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90" yWindow="525" windowWidth="19815" windowHeight="9405"/>
  </bookViews>
  <sheets>
    <sheet name="Моя стратегия" sheetId="1" r:id="rId1"/>
    <sheet name="Мой портфель" sheetId="2" r:id="rId2"/>
    <sheet name="Журнал Закупок" sheetId="3" r:id="rId3"/>
    <sheet name="Расчеты" sheetId="4" state="hidden" r:id="rId4"/>
    <sheet name="CT BTC" sheetId="5" state="hidden" r:id="rId5"/>
    <sheet name="CT EHT" sheetId="6" state="hidden" r:id="rId6"/>
    <sheet name="CT BNB" sheetId="7" state="hidden" r:id="rId7"/>
    <sheet name="СТ Эксперимент" sheetId="8" state="hidden" r:id="rId8"/>
    <sheet name="СТ Экспериментальные" sheetId="9" state="hidden" r:id="rId9"/>
    <sheet name="СТ Криптовалюта" sheetId="10" state="hidden" r:id="rId10"/>
    <sheet name="Курсы Бинанса" sheetId="11" state="hidden" r:id="rId11"/>
    <sheet name="Курсы OKX" sheetId="12" state="hidden" r:id="rId12"/>
    <sheet name="Курсы Huobi" sheetId="13" state="hidden" r:id="rId13"/>
    <sheet name="Курсы Bybit" sheetId="14" state="hidden" r:id="rId14"/>
    <sheet name="tickers" sheetId="15" state="hidden" r:id="rId15"/>
  </sheets>
  <externalReferences>
    <externalReference r:id="rId16"/>
  </externalReferences>
  <definedNames>
    <definedName name="Z_D930F80A_27B5_46CB_971C_1CFCBAC2999A_.wvu.FilterData" localSheetId="6" hidden="1">'CT BNB'!$A$1:$S$1000</definedName>
    <definedName name="Z_D930F80A_27B5_46CB_971C_1CFCBAC2999A_.wvu.FilterData" localSheetId="4" hidden="1">'CT BTC'!$A$1:$S$1201</definedName>
    <definedName name="Z_D930F80A_27B5_46CB_971C_1CFCBAC2999A_.wvu.FilterData" localSheetId="5" hidden="1">'CT EHT'!$A$1:$S$1000</definedName>
    <definedName name="Z_D930F80A_27B5_46CB_971C_1CFCBAC2999A_.wvu.FilterData" localSheetId="7" hidden="1">'СТ Эксперимент'!$A$1:$Q$1000</definedName>
    <definedName name="Срез_Годы">#REF!</definedName>
    <definedName name="Срез_Годы1">#REF!</definedName>
    <definedName name="Срез_Годы2">#REF!</definedName>
    <definedName name="Срез_Годы3">#REF!</definedName>
  </definedNames>
  <calcPr calcId="114210"/>
  <customWorkbookViews>
    <customWorkbookView name="Фильтр 1" guid="{D930F80A-27B5-46CB-971C-1CFCBAC2999A}" maximized="1" windowWidth="0" windowHeight="0" activeSheetId="0"/>
  </customWorkbookViews>
</workbook>
</file>

<file path=xl/calcChain.xml><?xml version="1.0" encoding="utf-8"?>
<calcChain xmlns="http://schemas.openxmlformats.org/spreadsheetml/2006/main">
  <c r="D997" i="3"/>
  <c r="F997"/>
  <c r="D996"/>
  <c r="F996"/>
  <c r="D995"/>
  <c r="F995"/>
  <c r="D994"/>
  <c r="F994"/>
  <c r="D993"/>
  <c r="F993"/>
  <c r="D992"/>
  <c r="F992"/>
  <c r="D991"/>
  <c r="F991"/>
  <c r="D990"/>
  <c r="F990"/>
  <c r="D989"/>
  <c r="F989"/>
  <c r="D988"/>
  <c r="F988"/>
  <c r="D987"/>
  <c r="F987"/>
  <c r="D986"/>
  <c r="F986"/>
  <c r="D985"/>
  <c r="F985"/>
  <c r="D984"/>
  <c r="F984"/>
  <c r="D983"/>
  <c r="F983"/>
  <c r="D982"/>
  <c r="F982"/>
  <c r="D981"/>
  <c r="F981"/>
  <c r="D980"/>
  <c r="F980"/>
  <c r="D979"/>
  <c r="F979"/>
  <c r="D978"/>
  <c r="F978"/>
  <c r="D977"/>
  <c r="F977"/>
  <c r="D976"/>
  <c r="F976"/>
  <c r="D975"/>
  <c r="F975"/>
  <c r="D974"/>
  <c r="F974"/>
  <c r="D973"/>
  <c r="F973"/>
  <c r="D972"/>
  <c r="F972"/>
  <c r="D971"/>
  <c r="F971"/>
  <c r="D970"/>
  <c r="F970"/>
  <c r="D969"/>
  <c r="F969"/>
  <c r="D968"/>
  <c r="F968"/>
  <c r="D967"/>
  <c r="F967"/>
  <c r="D966"/>
  <c r="F966"/>
  <c r="D965"/>
  <c r="F965"/>
  <c r="D964"/>
  <c r="F964"/>
  <c r="D963"/>
  <c r="F963"/>
  <c r="D962"/>
  <c r="F962"/>
  <c r="D961"/>
  <c r="F961"/>
  <c r="D960"/>
  <c r="F960"/>
  <c r="D959"/>
  <c r="F959"/>
  <c r="D958"/>
  <c r="F958"/>
  <c r="D957"/>
  <c r="F957"/>
  <c r="D956"/>
  <c r="F956"/>
  <c r="D955"/>
  <c r="F955"/>
  <c r="D954"/>
  <c r="F954"/>
  <c r="D953"/>
  <c r="F953"/>
  <c r="D952"/>
  <c r="F952"/>
  <c r="D951"/>
  <c r="F951"/>
  <c r="D950"/>
  <c r="F950"/>
  <c r="D949"/>
  <c r="F949"/>
  <c r="D948"/>
  <c r="F948"/>
  <c r="D947"/>
  <c r="F947"/>
  <c r="D946"/>
  <c r="F946"/>
  <c r="D945"/>
  <c r="F945"/>
  <c r="D944"/>
  <c r="F944"/>
  <c r="D943"/>
  <c r="F943"/>
  <c r="D942"/>
  <c r="F942"/>
  <c r="D941"/>
  <c r="F941"/>
  <c r="D940"/>
  <c r="F940"/>
  <c r="D939"/>
  <c r="F939"/>
  <c r="D938"/>
  <c r="F938"/>
  <c r="D937"/>
  <c r="F937"/>
  <c r="D936"/>
  <c r="F936"/>
  <c r="D935"/>
  <c r="F935"/>
  <c r="D934"/>
  <c r="F934"/>
  <c r="D933"/>
  <c r="F933"/>
  <c r="D932"/>
  <c r="F932"/>
  <c r="D931"/>
  <c r="F931"/>
  <c r="D930"/>
  <c r="F930"/>
  <c r="D929"/>
  <c r="F929"/>
  <c r="D928"/>
  <c r="F928"/>
  <c r="D927"/>
  <c r="F927"/>
  <c r="D926"/>
  <c r="F926"/>
  <c r="D925"/>
  <c r="F925"/>
  <c r="D924"/>
  <c r="F924"/>
  <c r="D923"/>
  <c r="F923"/>
  <c r="D922"/>
  <c r="F922"/>
  <c r="D921"/>
  <c r="F921"/>
  <c r="D920"/>
  <c r="F920"/>
  <c r="D919"/>
  <c r="F919"/>
  <c r="D918"/>
  <c r="F918"/>
  <c r="D917"/>
  <c r="F917"/>
  <c r="D916"/>
  <c r="F916"/>
  <c r="D915"/>
  <c r="F915"/>
  <c r="D914"/>
  <c r="F914"/>
  <c r="D913"/>
  <c r="F913"/>
  <c r="D912"/>
  <c r="F912"/>
  <c r="D911"/>
  <c r="F911"/>
  <c r="D910"/>
  <c r="F910"/>
  <c r="D909"/>
  <c r="F909"/>
  <c r="D908"/>
  <c r="F908"/>
  <c r="D907"/>
  <c r="F907"/>
  <c r="D906"/>
  <c r="F906"/>
  <c r="D905"/>
  <c r="F905"/>
  <c r="D904"/>
  <c r="F904"/>
  <c r="D903"/>
  <c r="F903"/>
  <c r="D902"/>
  <c r="F902"/>
  <c r="D901"/>
  <c r="F901"/>
  <c r="D900"/>
  <c r="F900"/>
  <c r="D899"/>
  <c r="F899"/>
  <c r="D898"/>
  <c r="F898"/>
  <c r="D897"/>
  <c r="F897"/>
  <c r="D896"/>
  <c r="F896"/>
  <c r="D895"/>
  <c r="F895"/>
  <c r="D894"/>
  <c r="F894"/>
  <c r="D893"/>
  <c r="F893"/>
  <c r="D892"/>
  <c r="F892"/>
  <c r="D891"/>
  <c r="F891"/>
  <c r="D890"/>
  <c r="F890"/>
  <c r="D889"/>
  <c r="F889"/>
  <c r="D888"/>
  <c r="F888"/>
  <c r="D887"/>
  <c r="F887"/>
  <c r="D886"/>
  <c r="F886"/>
  <c r="D885"/>
  <c r="F885"/>
  <c r="D884"/>
  <c r="F884"/>
  <c r="D883"/>
  <c r="F883"/>
  <c r="D882"/>
  <c r="F882"/>
  <c r="D881"/>
  <c r="F881"/>
  <c r="D880"/>
  <c r="F880"/>
  <c r="D879"/>
  <c r="F879"/>
  <c r="D878"/>
  <c r="F878"/>
  <c r="D877"/>
  <c r="F877"/>
  <c r="D876"/>
  <c r="F876"/>
  <c r="D875"/>
  <c r="F875"/>
  <c r="D874"/>
  <c r="F874"/>
  <c r="D873"/>
  <c r="F873"/>
  <c r="D872"/>
  <c r="F872"/>
  <c r="D871"/>
  <c r="F871"/>
  <c r="D870"/>
  <c r="F870"/>
  <c r="D869"/>
  <c r="F869"/>
  <c r="D868"/>
  <c r="F868"/>
  <c r="D867"/>
  <c r="F867"/>
  <c r="D866"/>
  <c r="F866"/>
  <c r="D865"/>
  <c r="F865"/>
  <c r="D864"/>
  <c r="F864"/>
  <c r="D863"/>
  <c r="F863"/>
  <c r="D862"/>
  <c r="F862"/>
  <c r="D861"/>
  <c r="F861"/>
  <c r="D860"/>
  <c r="F860"/>
  <c r="D859"/>
  <c r="F859"/>
  <c r="D858"/>
  <c r="F858"/>
  <c r="D857"/>
  <c r="F857"/>
  <c r="D856"/>
  <c r="F856"/>
  <c r="D855"/>
  <c r="F855"/>
  <c r="D854"/>
  <c r="F854"/>
  <c r="D853"/>
  <c r="F853"/>
  <c r="D852"/>
  <c r="F852"/>
  <c r="D851"/>
  <c r="F851"/>
  <c r="D850"/>
  <c r="F850"/>
  <c r="D849"/>
  <c r="F849"/>
  <c r="D848"/>
  <c r="F848"/>
  <c r="D847"/>
  <c r="F847"/>
  <c r="D846"/>
  <c r="F846"/>
  <c r="D845"/>
  <c r="F845"/>
  <c r="D844"/>
  <c r="F844"/>
  <c r="D843"/>
  <c r="F843"/>
  <c r="D842"/>
  <c r="F842"/>
  <c r="D841"/>
  <c r="F841"/>
  <c r="D840"/>
  <c r="F840"/>
  <c r="D839"/>
  <c r="F839"/>
  <c r="D838"/>
  <c r="F838"/>
  <c r="D837"/>
  <c r="F837"/>
  <c r="D836"/>
  <c r="F836"/>
  <c r="D835"/>
  <c r="F835"/>
  <c r="D834"/>
  <c r="F834"/>
  <c r="D833"/>
  <c r="F833"/>
  <c r="D832"/>
  <c r="F832"/>
  <c r="D831"/>
  <c r="F831"/>
  <c r="D830"/>
  <c r="F830"/>
  <c r="D829"/>
  <c r="F829"/>
  <c r="D828"/>
  <c r="F828"/>
  <c r="D827"/>
  <c r="F827"/>
  <c r="D826"/>
  <c r="F826"/>
  <c r="D825"/>
  <c r="F825"/>
  <c r="D824"/>
  <c r="F824"/>
  <c r="D823"/>
  <c r="F823"/>
  <c r="D822"/>
  <c r="F822"/>
  <c r="D821"/>
  <c r="F821"/>
  <c r="D820"/>
  <c r="F820"/>
  <c r="D819"/>
  <c r="F819"/>
  <c r="D818"/>
  <c r="F818"/>
  <c r="D817"/>
  <c r="F817"/>
  <c r="D816"/>
  <c r="F816"/>
  <c r="D815"/>
  <c r="F815"/>
  <c r="D814"/>
  <c r="F814"/>
  <c r="D813"/>
  <c r="F813"/>
  <c r="D812"/>
  <c r="F812"/>
  <c r="D811"/>
  <c r="F811"/>
  <c r="D810"/>
  <c r="F810"/>
  <c r="D809"/>
  <c r="F809"/>
  <c r="D808"/>
  <c r="F808"/>
  <c r="D807"/>
  <c r="F807"/>
  <c r="D806"/>
  <c r="F806"/>
  <c r="D805"/>
  <c r="F805"/>
  <c r="D804"/>
  <c r="F804"/>
  <c r="D803"/>
  <c r="F803"/>
  <c r="D802"/>
  <c r="F802"/>
  <c r="D801"/>
  <c r="F801"/>
  <c r="D800"/>
  <c r="F800"/>
  <c r="D799"/>
  <c r="F799"/>
  <c r="D798"/>
  <c r="F798"/>
  <c r="D797"/>
  <c r="F797"/>
  <c r="D796"/>
  <c r="F796"/>
  <c r="D795"/>
  <c r="F795"/>
  <c r="D794"/>
  <c r="F794"/>
  <c r="D793"/>
  <c r="F793"/>
  <c r="D792"/>
  <c r="F792"/>
  <c r="D791"/>
  <c r="F791"/>
  <c r="D790"/>
  <c r="F790"/>
  <c r="D789"/>
  <c r="F789"/>
  <c r="D788"/>
  <c r="F788"/>
  <c r="D787"/>
  <c r="F787"/>
  <c r="D786"/>
  <c r="F786"/>
  <c r="D785"/>
  <c r="F785"/>
  <c r="D784"/>
  <c r="F784"/>
  <c r="D783"/>
  <c r="F783"/>
  <c r="D782"/>
  <c r="F782"/>
  <c r="D781"/>
  <c r="F781"/>
  <c r="D780"/>
  <c r="F780"/>
  <c r="D779"/>
  <c r="F779"/>
  <c r="D778"/>
  <c r="F778"/>
  <c r="D777"/>
  <c r="F777"/>
  <c r="D776"/>
  <c r="F776"/>
  <c r="D775"/>
  <c r="F775"/>
  <c r="D774"/>
  <c r="F774"/>
  <c r="D773"/>
  <c r="F773"/>
  <c r="D772"/>
  <c r="F772"/>
  <c r="D771"/>
  <c r="F771"/>
  <c r="D770"/>
  <c r="F770"/>
  <c r="D769"/>
  <c r="F769"/>
  <c r="D768"/>
  <c r="F768"/>
  <c r="D767"/>
  <c r="F767"/>
  <c r="D766"/>
  <c r="F766"/>
  <c r="D765"/>
  <c r="F765"/>
  <c r="D764"/>
  <c r="F764"/>
  <c r="D763"/>
  <c r="F763"/>
  <c r="D762"/>
  <c r="F762"/>
  <c r="D761"/>
  <c r="F761"/>
  <c r="D760"/>
  <c r="F760"/>
  <c r="D759"/>
  <c r="F759"/>
  <c r="D758"/>
  <c r="F758"/>
  <c r="D757"/>
  <c r="F757"/>
  <c r="D756"/>
  <c r="F756"/>
  <c r="D755"/>
  <c r="F755"/>
  <c r="D754"/>
  <c r="F754"/>
  <c r="D753"/>
  <c r="F753"/>
  <c r="D752"/>
  <c r="F752"/>
  <c r="D751"/>
  <c r="F751"/>
  <c r="D750"/>
  <c r="F750"/>
  <c r="D749"/>
  <c r="F749"/>
  <c r="D748"/>
  <c r="F748"/>
  <c r="D747"/>
  <c r="F747"/>
  <c r="D746"/>
  <c r="F746"/>
  <c r="D745"/>
  <c r="F745"/>
  <c r="D744"/>
  <c r="F744"/>
  <c r="D743"/>
  <c r="F743"/>
  <c r="D742"/>
  <c r="F742"/>
  <c r="D741"/>
  <c r="F741"/>
  <c r="D740"/>
  <c r="F740"/>
  <c r="D739"/>
  <c r="F739"/>
  <c r="D738"/>
  <c r="F738"/>
  <c r="D737"/>
  <c r="F737"/>
  <c r="D736"/>
  <c r="F736"/>
  <c r="D735"/>
  <c r="F735"/>
  <c r="D734"/>
  <c r="F734"/>
  <c r="D733"/>
  <c r="F733"/>
  <c r="D732"/>
  <c r="F732"/>
  <c r="D731"/>
  <c r="F731"/>
  <c r="D730"/>
  <c r="F730"/>
  <c r="D729"/>
  <c r="F729"/>
  <c r="D728"/>
  <c r="F728"/>
  <c r="D727"/>
  <c r="F727"/>
  <c r="D726"/>
  <c r="F726"/>
  <c r="D725"/>
  <c r="F725"/>
  <c r="D724"/>
  <c r="F724"/>
  <c r="D723"/>
  <c r="F723"/>
  <c r="D722"/>
  <c r="F722"/>
  <c r="D721"/>
  <c r="F721"/>
  <c r="D720"/>
  <c r="F720"/>
  <c r="D719"/>
  <c r="F719"/>
  <c r="D718"/>
  <c r="F718"/>
  <c r="D717"/>
  <c r="F717"/>
  <c r="D716"/>
  <c r="F716"/>
  <c r="D715"/>
  <c r="F715"/>
  <c r="D714"/>
  <c r="F714"/>
  <c r="D713"/>
  <c r="F713"/>
  <c r="D712"/>
  <c r="F712"/>
  <c r="D711"/>
  <c r="F711"/>
  <c r="D710"/>
  <c r="F710"/>
  <c r="D709"/>
  <c r="F709"/>
  <c r="D708"/>
  <c r="F708"/>
  <c r="D707"/>
  <c r="F707"/>
  <c r="D706"/>
  <c r="F706"/>
  <c r="D705"/>
  <c r="F705"/>
  <c r="F3" i="2"/>
  <c r="O2" i="3"/>
  <c r="O3"/>
  <c r="O4"/>
  <c r="O5"/>
  <c r="O6"/>
  <c r="O7"/>
  <c r="O8"/>
  <c r="O9"/>
  <c r="O10"/>
  <c r="O11"/>
  <c r="O12"/>
  <c r="O13"/>
  <c r="N14"/>
  <c r="O14"/>
  <c r="L3" i="2"/>
  <c r="C17" i="1"/>
  <c r="K669" i="14"/>
  <c r="J669"/>
  <c r="I669"/>
  <c r="H669"/>
  <c r="G669"/>
  <c r="F669"/>
  <c r="E669"/>
  <c r="D669"/>
  <c r="C669"/>
  <c r="B669"/>
  <c r="A669"/>
  <c r="K668"/>
  <c r="J668"/>
  <c r="I668"/>
  <c r="H668"/>
  <c r="G668"/>
  <c r="F668"/>
  <c r="E668"/>
  <c r="D668"/>
  <c r="C668"/>
  <c r="B668"/>
  <c r="A668"/>
  <c r="K667"/>
  <c r="J667"/>
  <c r="I667"/>
  <c r="H667"/>
  <c r="G667"/>
  <c r="F667"/>
  <c r="E667"/>
  <c r="D667"/>
  <c r="C667"/>
  <c r="B667"/>
  <c r="A667"/>
  <c r="K666"/>
  <c r="J666"/>
  <c r="I666"/>
  <c r="H666"/>
  <c r="G666"/>
  <c r="F666"/>
  <c r="E666"/>
  <c r="D666"/>
  <c r="C666"/>
  <c r="B666"/>
  <c r="A666"/>
  <c r="K665"/>
  <c r="J665"/>
  <c r="I665"/>
  <c r="H665"/>
  <c r="G665"/>
  <c r="F665"/>
  <c r="E665"/>
  <c r="D665"/>
  <c r="C665"/>
  <c r="B665"/>
  <c r="A665"/>
  <c r="K664"/>
  <c r="J664"/>
  <c r="I664"/>
  <c r="H664"/>
  <c r="G664"/>
  <c r="F664"/>
  <c r="E664"/>
  <c r="D664"/>
  <c r="C664"/>
  <c r="B664"/>
  <c r="A664"/>
  <c r="K663"/>
  <c r="J663"/>
  <c r="I663"/>
  <c r="H663"/>
  <c r="G663"/>
  <c r="F663"/>
  <c r="E663"/>
  <c r="D663"/>
  <c r="C663"/>
  <c r="B663"/>
  <c r="A663"/>
  <c r="K662"/>
  <c r="J662"/>
  <c r="I662"/>
  <c r="H662"/>
  <c r="G662"/>
  <c r="F662"/>
  <c r="E662"/>
  <c r="D662"/>
  <c r="C662"/>
  <c r="B662"/>
  <c r="A662"/>
  <c r="K661"/>
  <c r="J661"/>
  <c r="I661"/>
  <c r="H661"/>
  <c r="G661"/>
  <c r="F661"/>
  <c r="E661"/>
  <c r="D661"/>
  <c r="C661"/>
  <c r="B661"/>
  <c r="A661"/>
  <c r="K660"/>
  <c r="J660"/>
  <c r="I660"/>
  <c r="H660"/>
  <c r="G660"/>
  <c r="F660"/>
  <c r="E660"/>
  <c r="D660"/>
  <c r="C660"/>
  <c r="B660"/>
  <c r="A660"/>
  <c r="K659"/>
  <c r="J659"/>
  <c r="I659"/>
  <c r="H659"/>
  <c r="G659"/>
  <c r="F659"/>
  <c r="E659"/>
  <c r="D659"/>
  <c r="C659"/>
  <c r="B659"/>
  <c r="A659"/>
  <c r="K658"/>
  <c r="J658"/>
  <c r="I658"/>
  <c r="H658"/>
  <c r="G658"/>
  <c r="F658"/>
  <c r="E658"/>
  <c r="D658"/>
  <c r="C658"/>
  <c r="B658"/>
  <c r="A658"/>
  <c r="K657"/>
  <c r="J657"/>
  <c r="I657"/>
  <c r="H657"/>
  <c r="G657"/>
  <c r="F657"/>
  <c r="E657"/>
  <c r="D657"/>
  <c r="C657"/>
  <c r="B657"/>
  <c r="A657"/>
  <c r="K656"/>
  <c r="J656"/>
  <c r="I656"/>
  <c r="H656"/>
  <c r="G656"/>
  <c r="F656"/>
  <c r="E656"/>
  <c r="D656"/>
  <c r="C656"/>
  <c r="B656"/>
  <c r="A656"/>
  <c r="K655"/>
  <c r="J655"/>
  <c r="I655"/>
  <c r="H655"/>
  <c r="G655"/>
  <c r="F655"/>
  <c r="E655"/>
  <c r="D655"/>
  <c r="C655"/>
  <c r="B655"/>
  <c r="A655"/>
  <c r="K654"/>
  <c r="J654"/>
  <c r="I654"/>
  <c r="H654"/>
  <c r="G654"/>
  <c r="F654"/>
  <c r="E654"/>
  <c r="D654"/>
  <c r="C654"/>
  <c r="B654"/>
  <c r="A654"/>
  <c r="K653"/>
  <c r="J653"/>
  <c r="I653"/>
  <c r="H653"/>
  <c r="G653"/>
  <c r="F653"/>
  <c r="E653"/>
  <c r="D653"/>
  <c r="C653"/>
  <c r="B653"/>
  <c r="A653"/>
  <c r="K652"/>
  <c r="J652"/>
  <c r="I652"/>
  <c r="H652"/>
  <c r="G652"/>
  <c r="F652"/>
  <c r="E652"/>
  <c r="D652"/>
  <c r="C652"/>
  <c r="B652"/>
  <c r="A652"/>
  <c r="K651"/>
  <c r="J651"/>
  <c r="I651"/>
  <c r="H651"/>
  <c r="G651"/>
  <c r="F651"/>
  <c r="E651"/>
  <c r="D651"/>
  <c r="C651"/>
  <c r="B651"/>
  <c r="A651"/>
  <c r="K650"/>
  <c r="J650"/>
  <c r="I650"/>
  <c r="H650"/>
  <c r="G650"/>
  <c r="F650"/>
  <c r="E650"/>
  <c r="D650"/>
  <c r="C650"/>
  <c r="B650"/>
  <c r="A650"/>
  <c r="K649"/>
  <c r="J649"/>
  <c r="I649"/>
  <c r="H649"/>
  <c r="G649"/>
  <c r="F649"/>
  <c r="E649"/>
  <c r="D649"/>
  <c r="C649"/>
  <c r="B649"/>
  <c r="A649"/>
  <c r="K648"/>
  <c r="J648"/>
  <c r="I648"/>
  <c r="H648"/>
  <c r="G648"/>
  <c r="F648"/>
  <c r="E648"/>
  <c r="D648"/>
  <c r="C648"/>
  <c r="B648"/>
  <c r="A648"/>
  <c r="K647"/>
  <c r="J647"/>
  <c r="I647"/>
  <c r="H647"/>
  <c r="G647"/>
  <c r="F647"/>
  <c r="E647"/>
  <c r="D647"/>
  <c r="C647"/>
  <c r="B647"/>
  <c r="A647"/>
  <c r="K646"/>
  <c r="J646"/>
  <c r="I646"/>
  <c r="H646"/>
  <c r="G646"/>
  <c r="F646"/>
  <c r="E646"/>
  <c r="D646"/>
  <c r="C646"/>
  <c r="B646"/>
  <c r="A646"/>
  <c r="K645"/>
  <c r="J645"/>
  <c r="I645"/>
  <c r="H645"/>
  <c r="G645"/>
  <c r="F645"/>
  <c r="E645"/>
  <c r="D645"/>
  <c r="C645"/>
  <c r="B645"/>
  <c r="A645"/>
  <c r="K644"/>
  <c r="J644"/>
  <c r="I644"/>
  <c r="H644"/>
  <c r="G644"/>
  <c r="F644"/>
  <c r="E644"/>
  <c r="D644"/>
  <c r="C644"/>
  <c r="B644"/>
  <c r="A644"/>
  <c r="K643"/>
  <c r="J643"/>
  <c r="I643"/>
  <c r="H643"/>
  <c r="G643"/>
  <c r="F643"/>
  <c r="E643"/>
  <c r="D643"/>
  <c r="C643"/>
  <c r="B643"/>
  <c r="A643"/>
  <c r="K642"/>
  <c r="J642"/>
  <c r="I642"/>
  <c r="H642"/>
  <c r="G642"/>
  <c r="F642"/>
  <c r="E642"/>
  <c r="D642"/>
  <c r="C642"/>
  <c r="B642"/>
  <c r="A642"/>
  <c r="K641"/>
  <c r="J641"/>
  <c r="I641"/>
  <c r="H641"/>
  <c r="G641"/>
  <c r="F641"/>
  <c r="E641"/>
  <c r="D641"/>
  <c r="C641"/>
  <c r="B641"/>
  <c r="A641"/>
  <c r="K640"/>
  <c r="J640"/>
  <c r="I640"/>
  <c r="H640"/>
  <c r="G640"/>
  <c r="F640"/>
  <c r="E640"/>
  <c r="D640"/>
  <c r="C640"/>
  <c r="B640"/>
  <c r="A640"/>
  <c r="K639"/>
  <c r="J639"/>
  <c r="I639"/>
  <c r="H639"/>
  <c r="G639"/>
  <c r="F639"/>
  <c r="E639"/>
  <c r="D639"/>
  <c r="C639"/>
  <c r="B639"/>
  <c r="A639"/>
  <c r="K638"/>
  <c r="J638"/>
  <c r="I638"/>
  <c r="H638"/>
  <c r="G638"/>
  <c r="F638"/>
  <c r="E638"/>
  <c r="D638"/>
  <c r="C638"/>
  <c r="B638"/>
  <c r="A638"/>
  <c r="K637"/>
  <c r="J637"/>
  <c r="I637"/>
  <c r="H637"/>
  <c r="G637"/>
  <c r="F637"/>
  <c r="E637"/>
  <c r="D637"/>
  <c r="C637"/>
  <c r="B637"/>
  <c r="A637"/>
  <c r="K636"/>
  <c r="J636"/>
  <c r="I636"/>
  <c r="H636"/>
  <c r="G636"/>
  <c r="F636"/>
  <c r="E636"/>
  <c r="D636"/>
  <c r="C636"/>
  <c r="B636"/>
  <c r="A636"/>
  <c r="K635"/>
  <c r="J635"/>
  <c r="I635"/>
  <c r="H635"/>
  <c r="G635"/>
  <c r="F635"/>
  <c r="E635"/>
  <c r="D635"/>
  <c r="C635"/>
  <c r="B635"/>
  <c r="A635"/>
  <c r="K634"/>
  <c r="J634"/>
  <c r="I634"/>
  <c r="H634"/>
  <c r="G634"/>
  <c r="F634"/>
  <c r="E634"/>
  <c r="D634"/>
  <c r="C634"/>
  <c r="B634"/>
  <c r="A634"/>
  <c r="K633"/>
  <c r="J633"/>
  <c r="I633"/>
  <c r="H633"/>
  <c r="G633"/>
  <c r="F633"/>
  <c r="E633"/>
  <c r="D633"/>
  <c r="C633"/>
  <c r="B633"/>
  <c r="A633"/>
  <c r="K632"/>
  <c r="J632"/>
  <c r="I632"/>
  <c r="H632"/>
  <c r="G632"/>
  <c r="F632"/>
  <c r="E632"/>
  <c r="D632"/>
  <c r="C632"/>
  <c r="B632"/>
  <c r="A632"/>
  <c r="K631"/>
  <c r="J631"/>
  <c r="I631"/>
  <c r="H631"/>
  <c r="G631"/>
  <c r="F631"/>
  <c r="E631"/>
  <c r="D631"/>
  <c r="C631"/>
  <c r="B631"/>
  <c r="A631"/>
  <c r="K630"/>
  <c r="J630"/>
  <c r="I630"/>
  <c r="H630"/>
  <c r="G630"/>
  <c r="F630"/>
  <c r="E630"/>
  <c r="D630"/>
  <c r="C630"/>
  <c r="B630"/>
  <c r="A630"/>
  <c r="K629"/>
  <c r="J629"/>
  <c r="I629"/>
  <c r="H629"/>
  <c r="G629"/>
  <c r="F629"/>
  <c r="E629"/>
  <c r="D629"/>
  <c r="C629"/>
  <c r="B629"/>
  <c r="A629"/>
  <c r="K628"/>
  <c r="J628"/>
  <c r="I628"/>
  <c r="H628"/>
  <c r="G628"/>
  <c r="F628"/>
  <c r="E628"/>
  <c r="D628"/>
  <c r="C628"/>
  <c r="B628"/>
  <c r="A628"/>
  <c r="K627"/>
  <c r="J627"/>
  <c r="I627"/>
  <c r="H627"/>
  <c r="G627"/>
  <c r="F627"/>
  <c r="E627"/>
  <c r="D627"/>
  <c r="C627"/>
  <c r="B627"/>
  <c r="A627"/>
  <c r="K626"/>
  <c r="J626"/>
  <c r="I626"/>
  <c r="H626"/>
  <c r="G626"/>
  <c r="F626"/>
  <c r="E626"/>
  <c r="D626"/>
  <c r="C626"/>
  <c r="B626"/>
  <c r="A626"/>
  <c r="K625"/>
  <c r="J625"/>
  <c r="I625"/>
  <c r="H625"/>
  <c r="G625"/>
  <c r="F625"/>
  <c r="E625"/>
  <c r="D625"/>
  <c r="C625"/>
  <c r="B625"/>
  <c r="A625"/>
  <c r="K624"/>
  <c r="J624"/>
  <c r="I624"/>
  <c r="H624"/>
  <c r="G624"/>
  <c r="F624"/>
  <c r="E624"/>
  <c r="D624"/>
  <c r="C624"/>
  <c r="B624"/>
  <c r="A624"/>
  <c r="K623"/>
  <c r="J623"/>
  <c r="I623"/>
  <c r="H623"/>
  <c r="G623"/>
  <c r="F623"/>
  <c r="E623"/>
  <c r="D623"/>
  <c r="C623"/>
  <c r="B623"/>
  <c r="A623"/>
  <c r="K622"/>
  <c r="J622"/>
  <c r="I622"/>
  <c r="H622"/>
  <c r="G622"/>
  <c r="F622"/>
  <c r="E622"/>
  <c r="D622"/>
  <c r="C622"/>
  <c r="B622"/>
  <c r="A622"/>
  <c r="K621"/>
  <c r="J621"/>
  <c r="I621"/>
  <c r="H621"/>
  <c r="G621"/>
  <c r="F621"/>
  <c r="E621"/>
  <c r="D621"/>
  <c r="C621"/>
  <c r="B621"/>
  <c r="A621"/>
  <c r="K620"/>
  <c r="J620"/>
  <c r="I620"/>
  <c r="H620"/>
  <c r="G620"/>
  <c r="F620"/>
  <c r="E620"/>
  <c r="D620"/>
  <c r="C620"/>
  <c r="B620"/>
  <c r="A620"/>
  <c r="K619"/>
  <c r="J619"/>
  <c r="I619"/>
  <c r="H619"/>
  <c r="G619"/>
  <c r="F619"/>
  <c r="E619"/>
  <c r="D619"/>
  <c r="C619"/>
  <c r="B619"/>
  <c r="A619"/>
  <c r="K618"/>
  <c r="J618"/>
  <c r="I618"/>
  <c r="H618"/>
  <c r="G618"/>
  <c r="F618"/>
  <c r="E618"/>
  <c r="D618"/>
  <c r="C618"/>
  <c r="B618"/>
  <c r="A618"/>
  <c r="K617"/>
  <c r="J617"/>
  <c r="I617"/>
  <c r="H617"/>
  <c r="G617"/>
  <c r="F617"/>
  <c r="E617"/>
  <c r="D617"/>
  <c r="C617"/>
  <c r="B617"/>
  <c r="A617"/>
  <c r="K616"/>
  <c r="J616"/>
  <c r="I616"/>
  <c r="H616"/>
  <c r="G616"/>
  <c r="F616"/>
  <c r="E616"/>
  <c r="D616"/>
  <c r="C616"/>
  <c r="B616"/>
  <c r="A616"/>
  <c r="K615"/>
  <c r="J615"/>
  <c r="I615"/>
  <c r="H615"/>
  <c r="G615"/>
  <c r="F615"/>
  <c r="E615"/>
  <c r="D615"/>
  <c r="C615"/>
  <c r="B615"/>
  <c r="A615"/>
  <c r="K614"/>
  <c r="J614"/>
  <c r="I614"/>
  <c r="H614"/>
  <c r="G614"/>
  <c r="F614"/>
  <c r="E614"/>
  <c r="D614"/>
  <c r="C614"/>
  <c r="B614"/>
  <c r="A614"/>
  <c r="K613"/>
  <c r="J613"/>
  <c r="I613"/>
  <c r="H613"/>
  <c r="G613"/>
  <c r="F613"/>
  <c r="E613"/>
  <c r="D613"/>
  <c r="C613"/>
  <c r="B613"/>
  <c r="A613"/>
  <c r="K612"/>
  <c r="J612"/>
  <c r="I612"/>
  <c r="H612"/>
  <c r="G612"/>
  <c r="F612"/>
  <c r="E612"/>
  <c r="D612"/>
  <c r="C612"/>
  <c r="B612"/>
  <c r="A612"/>
  <c r="K611"/>
  <c r="J611"/>
  <c r="I611"/>
  <c r="H611"/>
  <c r="G611"/>
  <c r="F611"/>
  <c r="E611"/>
  <c r="D611"/>
  <c r="C611"/>
  <c r="B611"/>
  <c r="A611"/>
  <c r="K610"/>
  <c r="J610"/>
  <c r="I610"/>
  <c r="H610"/>
  <c r="G610"/>
  <c r="F610"/>
  <c r="E610"/>
  <c r="D610"/>
  <c r="C610"/>
  <c r="B610"/>
  <c r="A610"/>
  <c r="K609"/>
  <c r="J609"/>
  <c r="I609"/>
  <c r="H609"/>
  <c r="G609"/>
  <c r="F609"/>
  <c r="E609"/>
  <c r="D609"/>
  <c r="C609"/>
  <c r="B609"/>
  <c r="A609"/>
  <c r="K608"/>
  <c r="J608"/>
  <c r="I608"/>
  <c r="H608"/>
  <c r="G608"/>
  <c r="F608"/>
  <c r="E608"/>
  <c r="D608"/>
  <c r="C608"/>
  <c r="B608"/>
  <c r="A608"/>
  <c r="K607"/>
  <c r="J607"/>
  <c r="I607"/>
  <c r="H607"/>
  <c r="G607"/>
  <c r="F607"/>
  <c r="E607"/>
  <c r="D607"/>
  <c r="C607"/>
  <c r="B607"/>
  <c r="A607"/>
  <c r="K606"/>
  <c r="J606"/>
  <c r="I606"/>
  <c r="H606"/>
  <c r="G606"/>
  <c r="F606"/>
  <c r="E606"/>
  <c r="D606"/>
  <c r="C606"/>
  <c r="B606"/>
  <c r="A606"/>
  <c r="K605"/>
  <c r="J605"/>
  <c r="I605"/>
  <c r="H605"/>
  <c r="G605"/>
  <c r="F605"/>
  <c r="E605"/>
  <c r="D605"/>
  <c r="C605"/>
  <c r="B605"/>
  <c r="A605"/>
  <c r="K604"/>
  <c r="J604"/>
  <c r="I604"/>
  <c r="H604"/>
  <c r="G604"/>
  <c r="F604"/>
  <c r="E604"/>
  <c r="D604"/>
  <c r="C604"/>
  <c r="B604"/>
  <c r="A604"/>
  <c r="K603"/>
  <c r="J603"/>
  <c r="I603"/>
  <c r="H603"/>
  <c r="G603"/>
  <c r="F603"/>
  <c r="E603"/>
  <c r="D603"/>
  <c r="C603"/>
  <c r="B603"/>
  <c r="A603"/>
  <c r="K602"/>
  <c r="J602"/>
  <c r="I602"/>
  <c r="H602"/>
  <c r="G602"/>
  <c r="F602"/>
  <c r="E602"/>
  <c r="D602"/>
  <c r="C602"/>
  <c r="B602"/>
  <c r="A602"/>
  <c r="K601"/>
  <c r="J601"/>
  <c r="I601"/>
  <c r="H601"/>
  <c r="G601"/>
  <c r="F601"/>
  <c r="E601"/>
  <c r="D601"/>
  <c r="C601"/>
  <c r="B601"/>
  <c r="A601"/>
  <c r="K600"/>
  <c r="J600"/>
  <c r="I600"/>
  <c r="H600"/>
  <c r="G600"/>
  <c r="F600"/>
  <c r="E600"/>
  <c r="D600"/>
  <c r="C600"/>
  <c r="B600"/>
  <c r="A600"/>
  <c r="K599"/>
  <c r="J599"/>
  <c r="I599"/>
  <c r="H599"/>
  <c r="G599"/>
  <c r="F599"/>
  <c r="E599"/>
  <c r="D599"/>
  <c r="C599"/>
  <c r="B599"/>
  <c r="A599"/>
  <c r="K598"/>
  <c r="J598"/>
  <c r="I598"/>
  <c r="H598"/>
  <c r="G598"/>
  <c r="F598"/>
  <c r="E598"/>
  <c r="D598"/>
  <c r="C598"/>
  <c r="B598"/>
  <c r="A598"/>
  <c r="K597"/>
  <c r="J597"/>
  <c r="I597"/>
  <c r="H597"/>
  <c r="G597"/>
  <c r="F597"/>
  <c r="E597"/>
  <c r="D597"/>
  <c r="C597"/>
  <c r="B597"/>
  <c r="A597"/>
  <c r="K596"/>
  <c r="J596"/>
  <c r="I596"/>
  <c r="H596"/>
  <c r="G596"/>
  <c r="F596"/>
  <c r="E596"/>
  <c r="D596"/>
  <c r="C596"/>
  <c r="B596"/>
  <c r="A596"/>
  <c r="K595"/>
  <c r="J595"/>
  <c r="I595"/>
  <c r="H595"/>
  <c r="G595"/>
  <c r="F595"/>
  <c r="E595"/>
  <c r="D595"/>
  <c r="C595"/>
  <c r="B595"/>
  <c r="A595"/>
  <c r="K594"/>
  <c r="J594"/>
  <c r="I594"/>
  <c r="H594"/>
  <c r="G594"/>
  <c r="F594"/>
  <c r="E594"/>
  <c r="D594"/>
  <c r="C594"/>
  <c r="B594"/>
  <c r="A594"/>
  <c r="K593"/>
  <c r="J593"/>
  <c r="I593"/>
  <c r="H593"/>
  <c r="G593"/>
  <c r="F593"/>
  <c r="E593"/>
  <c r="D593"/>
  <c r="C593"/>
  <c r="B593"/>
  <c r="A593"/>
  <c r="K592"/>
  <c r="J592"/>
  <c r="I592"/>
  <c r="H592"/>
  <c r="G592"/>
  <c r="F592"/>
  <c r="E592"/>
  <c r="D592"/>
  <c r="C592"/>
  <c r="B592"/>
  <c r="A592"/>
  <c r="K591"/>
  <c r="J591"/>
  <c r="I591"/>
  <c r="H591"/>
  <c r="G591"/>
  <c r="F591"/>
  <c r="E591"/>
  <c r="D591"/>
  <c r="C591"/>
  <c r="B591"/>
  <c r="A591"/>
  <c r="K590"/>
  <c r="J590"/>
  <c r="I590"/>
  <c r="H590"/>
  <c r="G590"/>
  <c r="F590"/>
  <c r="E590"/>
  <c r="D590"/>
  <c r="C590"/>
  <c r="B590"/>
  <c r="A590"/>
  <c r="K589"/>
  <c r="J589"/>
  <c r="I589"/>
  <c r="H589"/>
  <c r="G589"/>
  <c r="F589"/>
  <c r="E589"/>
  <c r="D589"/>
  <c r="C589"/>
  <c r="B589"/>
  <c r="A589"/>
  <c r="K588"/>
  <c r="J588"/>
  <c r="I588"/>
  <c r="H588"/>
  <c r="G588"/>
  <c r="F588"/>
  <c r="E588"/>
  <c r="D588"/>
  <c r="C588"/>
  <c r="B588"/>
  <c r="A588"/>
  <c r="K587"/>
  <c r="J587"/>
  <c r="I587"/>
  <c r="H587"/>
  <c r="G587"/>
  <c r="F587"/>
  <c r="E587"/>
  <c r="D587"/>
  <c r="C587"/>
  <c r="B587"/>
  <c r="A587"/>
  <c r="K586"/>
  <c r="J586"/>
  <c r="I586"/>
  <c r="H586"/>
  <c r="G586"/>
  <c r="F586"/>
  <c r="E586"/>
  <c r="D586"/>
  <c r="C586"/>
  <c r="B586"/>
  <c r="A586"/>
  <c r="K585"/>
  <c r="J585"/>
  <c r="I585"/>
  <c r="H585"/>
  <c r="G585"/>
  <c r="F585"/>
  <c r="E585"/>
  <c r="D585"/>
  <c r="C585"/>
  <c r="B585"/>
  <c r="A585"/>
  <c r="K584"/>
  <c r="J584"/>
  <c r="I584"/>
  <c r="H584"/>
  <c r="G584"/>
  <c r="F584"/>
  <c r="E584"/>
  <c r="D584"/>
  <c r="C584"/>
  <c r="B584"/>
  <c r="A584"/>
  <c r="K583"/>
  <c r="J583"/>
  <c r="I583"/>
  <c r="H583"/>
  <c r="G583"/>
  <c r="F583"/>
  <c r="E583"/>
  <c r="D583"/>
  <c r="C583"/>
  <c r="B583"/>
  <c r="A583"/>
  <c r="K582"/>
  <c r="J582"/>
  <c r="I582"/>
  <c r="H582"/>
  <c r="G582"/>
  <c r="F582"/>
  <c r="E582"/>
  <c r="D582"/>
  <c r="C582"/>
  <c r="B582"/>
  <c r="A582"/>
  <c r="K581"/>
  <c r="J581"/>
  <c r="I581"/>
  <c r="H581"/>
  <c r="G581"/>
  <c r="F581"/>
  <c r="E581"/>
  <c r="D581"/>
  <c r="C581"/>
  <c r="B581"/>
  <c r="A581"/>
  <c r="K580"/>
  <c r="J580"/>
  <c r="I580"/>
  <c r="H580"/>
  <c r="G580"/>
  <c r="F580"/>
  <c r="E580"/>
  <c r="D580"/>
  <c r="C580"/>
  <c r="B580"/>
  <c r="A580"/>
  <c r="K579"/>
  <c r="J579"/>
  <c r="I579"/>
  <c r="H579"/>
  <c r="G579"/>
  <c r="F579"/>
  <c r="E579"/>
  <c r="D579"/>
  <c r="C579"/>
  <c r="B579"/>
  <c r="A579"/>
  <c r="K578"/>
  <c r="J578"/>
  <c r="I578"/>
  <c r="H578"/>
  <c r="G578"/>
  <c r="F578"/>
  <c r="E578"/>
  <c r="D578"/>
  <c r="C578"/>
  <c r="B578"/>
  <c r="A578"/>
  <c r="K577"/>
  <c r="J577"/>
  <c r="I577"/>
  <c r="H577"/>
  <c r="G577"/>
  <c r="F577"/>
  <c r="E577"/>
  <c r="D577"/>
  <c r="C577"/>
  <c r="B577"/>
  <c r="A577"/>
  <c r="K576"/>
  <c r="J576"/>
  <c r="I576"/>
  <c r="H576"/>
  <c r="G576"/>
  <c r="F576"/>
  <c r="E576"/>
  <c r="D576"/>
  <c r="C576"/>
  <c r="B576"/>
  <c r="A576"/>
  <c r="K575"/>
  <c r="J575"/>
  <c r="I575"/>
  <c r="H575"/>
  <c r="G575"/>
  <c r="F575"/>
  <c r="E575"/>
  <c r="D575"/>
  <c r="C575"/>
  <c r="B575"/>
  <c r="A575"/>
  <c r="K574"/>
  <c r="J574"/>
  <c r="I574"/>
  <c r="H574"/>
  <c r="G574"/>
  <c r="F574"/>
  <c r="E574"/>
  <c r="D574"/>
  <c r="C574"/>
  <c r="B574"/>
  <c r="A574"/>
  <c r="K573"/>
  <c r="J573"/>
  <c r="I573"/>
  <c r="H573"/>
  <c r="G573"/>
  <c r="F573"/>
  <c r="E573"/>
  <c r="D573"/>
  <c r="C573"/>
  <c r="B573"/>
  <c r="A573"/>
  <c r="K572"/>
  <c r="J572"/>
  <c r="I572"/>
  <c r="H572"/>
  <c r="G572"/>
  <c r="F572"/>
  <c r="E572"/>
  <c r="D572"/>
  <c r="C572"/>
  <c r="B572"/>
  <c r="A572"/>
  <c r="K571"/>
  <c r="J571"/>
  <c r="I571"/>
  <c r="H571"/>
  <c r="G571"/>
  <c r="F571"/>
  <c r="E571"/>
  <c r="D571"/>
  <c r="C571"/>
  <c r="B571"/>
  <c r="A571"/>
  <c r="K570"/>
  <c r="J570"/>
  <c r="I570"/>
  <c r="H570"/>
  <c r="G570"/>
  <c r="F570"/>
  <c r="E570"/>
  <c r="D570"/>
  <c r="C570"/>
  <c r="B570"/>
  <c r="A570"/>
  <c r="K569"/>
  <c r="J569"/>
  <c r="I569"/>
  <c r="H569"/>
  <c r="G569"/>
  <c r="F569"/>
  <c r="E569"/>
  <c r="D569"/>
  <c r="C569"/>
  <c r="B569"/>
  <c r="A569"/>
  <c r="K568"/>
  <c r="J568"/>
  <c r="I568"/>
  <c r="H568"/>
  <c r="G568"/>
  <c r="F568"/>
  <c r="E568"/>
  <c r="D568"/>
  <c r="C568"/>
  <c r="B568"/>
  <c r="A568"/>
  <c r="K567"/>
  <c r="J567"/>
  <c r="I567"/>
  <c r="H567"/>
  <c r="G567"/>
  <c r="F567"/>
  <c r="E567"/>
  <c r="D567"/>
  <c r="C567"/>
  <c r="B567"/>
  <c r="A567"/>
  <c r="K566"/>
  <c r="J566"/>
  <c r="I566"/>
  <c r="H566"/>
  <c r="G566"/>
  <c r="F566"/>
  <c r="E566"/>
  <c r="D566"/>
  <c r="C566"/>
  <c r="B566"/>
  <c r="A566"/>
  <c r="K565"/>
  <c r="J565"/>
  <c r="I565"/>
  <c r="H565"/>
  <c r="G565"/>
  <c r="F565"/>
  <c r="E565"/>
  <c r="D565"/>
  <c r="C565"/>
  <c r="B565"/>
  <c r="A565"/>
  <c r="K564"/>
  <c r="J564"/>
  <c r="I564"/>
  <c r="H564"/>
  <c r="G564"/>
  <c r="F564"/>
  <c r="E564"/>
  <c r="D564"/>
  <c r="C564"/>
  <c r="B564"/>
  <c r="A564"/>
  <c r="K563"/>
  <c r="J563"/>
  <c r="I563"/>
  <c r="H563"/>
  <c r="G563"/>
  <c r="F563"/>
  <c r="E563"/>
  <c r="D563"/>
  <c r="C563"/>
  <c r="B563"/>
  <c r="A563"/>
  <c r="K562"/>
  <c r="J562"/>
  <c r="I562"/>
  <c r="H562"/>
  <c r="G562"/>
  <c r="F562"/>
  <c r="E562"/>
  <c r="D562"/>
  <c r="C562"/>
  <c r="B562"/>
  <c r="A562"/>
  <c r="K561"/>
  <c r="J561"/>
  <c r="I561"/>
  <c r="H561"/>
  <c r="G561"/>
  <c r="F561"/>
  <c r="E561"/>
  <c r="D561"/>
  <c r="C561"/>
  <c r="B561"/>
  <c r="A561"/>
  <c r="K560"/>
  <c r="J560"/>
  <c r="I560"/>
  <c r="H560"/>
  <c r="G560"/>
  <c r="F560"/>
  <c r="E560"/>
  <c r="D560"/>
  <c r="C560"/>
  <c r="B560"/>
  <c r="A560"/>
  <c r="K559"/>
  <c r="J559"/>
  <c r="I559"/>
  <c r="H559"/>
  <c r="G559"/>
  <c r="F559"/>
  <c r="E559"/>
  <c r="D559"/>
  <c r="C559"/>
  <c r="B559"/>
  <c r="A559"/>
  <c r="K558"/>
  <c r="J558"/>
  <c r="I558"/>
  <c r="H558"/>
  <c r="G558"/>
  <c r="F558"/>
  <c r="E558"/>
  <c r="D558"/>
  <c r="C558"/>
  <c r="B558"/>
  <c r="A558"/>
  <c r="K557"/>
  <c r="J557"/>
  <c r="I557"/>
  <c r="H557"/>
  <c r="G557"/>
  <c r="F557"/>
  <c r="E557"/>
  <c r="D557"/>
  <c r="C557"/>
  <c r="B557"/>
  <c r="A557"/>
  <c r="K556"/>
  <c r="J556"/>
  <c r="I556"/>
  <c r="H556"/>
  <c r="G556"/>
  <c r="F556"/>
  <c r="E556"/>
  <c r="D556"/>
  <c r="C556"/>
  <c r="B556"/>
  <c r="A556"/>
  <c r="K555"/>
  <c r="J555"/>
  <c r="I555"/>
  <c r="H555"/>
  <c r="G555"/>
  <c r="F555"/>
  <c r="E555"/>
  <c r="D555"/>
  <c r="C555"/>
  <c r="B555"/>
  <c r="A555"/>
  <c r="K554"/>
  <c r="J554"/>
  <c r="I554"/>
  <c r="H554"/>
  <c r="G554"/>
  <c r="F554"/>
  <c r="E554"/>
  <c r="D554"/>
  <c r="C554"/>
  <c r="B554"/>
  <c r="A554"/>
  <c r="K553"/>
  <c r="J553"/>
  <c r="I553"/>
  <c r="H553"/>
  <c r="G553"/>
  <c r="F553"/>
  <c r="E553"/>
  <c r="D553"/>
  <c r="C553"/>
  <c r="B553"/>
  <c r="A553"/>
  <c r="K552"/>
  <c r="J552"/>
  <c r="I552"/>
  <c r="H552"/>
  <c r="G552"/>
  <c r="F552"/>
  <c r="E552"/>
  <c r="D552"/>
  <c r="C552"/>
  <c r="B552"/>
  <c r="A552"/>
  <c r="K551"/>
  <c r="J551"/>
  <c r="I551"/>
  <c r="H551"/>
  <c r="G551"/>
  <c r="F551"/>
  <c r="E551"/>
  <c r="D551"/>
  <c r="C551"/>
  <c r="B551"/>
  <c r="A551"/>
  <c r="K550"/>
  <c r="J550"/>
  <c r="I550"/>
  <c r="H550"/>
  <c r="G550"/>
  <c r="F550"/>
  <c r="E550"/>
  <c r="D550"/>
  <c r="C550"/>
  <c r="B550"/>
  <c r="A550"/>
  <c r="K549"/>
  <c r="J549"/>
  <c r="I549"/>
  <c r="H549"/>
  <c r="G549"/>
  <c r="F549"/>
  <c r="E549"/>
  <c r="D549"/>
  <c r="C549"/>
  <c r="B549"/>
  <c r="A549"/>
  <c r="K548"/>
  <c r="J548"/>
  <c r="I548"/>
  <c r="H548"/>
  <c r="G548"/>
  <c r="F548"/>
  <c r="E548"/>
  <c r="D548"/>
  <c r="C548"/>
  <c r="B548"/>
  <c r="A548"/>
  <c r="K547"/>
  <c r="J547"/>
  <c r="I547"/>
  <c r="H547"/>
  <c r="G547"/>
  <c r="F547"/>
  <c r="E547"/>
  <c r="D547"/>
  <c r="C547"/>
  <c r="B547"/>
  <c r="A547"/>
  <c r="K546"/>
  <c r="J546"/>
  <c r="I546"/>
  <c r="H546"/>
  <c r="G546"/>
  <c r="F546"/>
  <c r="E546"/>
  <c r="D546"/>
  <c r="C546"/>
  <c r="B546"/>
  <c r="A546"/>
  <c r="K545"/>
  <c r="J545"/>
  <c r="I545"/>
  <c r="H545"/>
  <c r="G545"/>
  <c r="F545"/>
  <c r="E545"/>
  <c r="D545"/>
  <c r="C545"/>
  <c r="B545"/>
  <c r="A545"/>
  <c r="K544"/>
  <c r="J544"/>
  <c r="I544"/>
  <c r="H544"/>
  <c r="G544"/>
  <c r="F544"/>
  <c r="E544"/>
  <c r="D544"/>
  <c r="C544"/>
  <c r="B544"/>
  <c r="A544"/>
  <c r="K543"/>
  <c r="J543"/>
  <c r="I543"/>
  <c r="H543"/>
  <c r="G543"/>
  <c r="F543"/>
  <c r="E543"/>
  <c r="D543"/>
  <c r="C543"/>
  <c r="B543"/>
  <c r="A543"/>
  <c r="K542"/>
  <c r="J542"/>
  <c r="I542"/>
  <c r="H542"/>
  <c r="G542"/>
  <c r="F542"/>
  <c r="E542"/>
  <c r="D542"/>
  <c r="C542"/>
  <c r="B542"/>
  <c r="A542"/>
  <c r="K541"/>
  <c r="J541"/>
  <c r="I541"/>
  <c r="H541"/>
  <c r="G541"/>
  <c r="F541"/>
  <c r="E541"/>
  <c r="D541"/>
  <c r="C541"/>
  <c r="B541"/>
  <c r="A541"/>
  <c r="K540"/>
  <c r="J540"/>
  <c r="I540"/>
  <c r="H540"/>
  <c r="G540"/>
  <c r="F540"/>
  <c r="E540"/>
  <c r="D540"/>
  <c r="C540"/>
  <c r="B540"/>
  <c r="A540"/>
  <c r="K539"/>
  <c r="J539"/>
  <c r="I539"/>
  <c r="H539"/>
  <c r="G539"/>
  <c r="F539"/>
  <c r="E539"/>
  <c r="D539"/>
  <c r="C539"/>
  <c r="B539"/>
  <c r="A539"/>
  <c r="K538"/>
  <c r="J538"/>
  <c r="I538"/>
  <c r="H538"/>
  <c r="G538"/>
  <c r="F538"/>
  <c r="E538"/>
  <c r="D538"/>
  <c r="C538"/>
  <c r="B538"/>
  <c r="A538"/>
  <c r="K537"/>
  <c r="J537"/>
  <c r="I537"/>
  <c r="H537"/>
  <c r="G537"/>
  <c r="F537"/>
  <c r="E537"/>
  <c r="D537"/>
  <c r="C537"/>
  <c r="B537"/>
  <c r="A537"/>
  <c r="K536"/>
  <c r="J536"/>
  <c r="I536"/>
  <c r="H536"/>
  <c r="G536"/>
  <c r="F536"/>
  <c r="E536"/>
  <c r="D536"/>
  <c r="C536"/>
  <c r="B536"/>
  <c r="A536"/>
  <c r="K535"/>
  <c r="J535"/>
  <c r="I535"/>
  <c r="H535"/>
  <c r="G535"/>
  <c r="F535"/>
  <c r="E535"/>
  <c r="D535"/>
  <c r="C535"/>
  <c r="B535"/>
  <c r="A535"/>
  <c r="K534"/>
  <c r="J534"/>
  <c r="I534"/>
  <c r="H534"/>
  <c r="G534"/>
  <c r="F534"/>
  <c r="E534"/>
  <c r="D534"/>
  <c r="C534"/>
  <c r="B534"/>
  <c r="A534"/>
  <c r="K533"/>
  <c r="J533"/>
  <c r="I533"/>
  <c r="H533"/>
  <c r="G533"/>
  <c r="F533"/>
  <c r="E533"/>
  <c r="D533"/>
  <c r="C533"/>
  <c r="B533"/>
  <c r="A533"/>
  <c r="K532"/>
  <c r="J532"/>
  <c r="I532"/>
  <c r="H532"/>
  <c r="G532"/>
  <c r="F532"/>
  <c r="E532"/>
  <c r="D532"/>
  <c r="C532"/>
  <c r="B532"/>
  <c r="A532"/>
  <c r="K531"/>
  <c r="J531"/>
  <c r="I531"/>
  <c r="H531"/>
  <c r="G531"/>
  <c r="F531"/>
  <c r="E531"/>
  <c r="D531"/>
  <c r="C531"/>
  <c r="B531"/>
  <c r="A531"/>
  <c r="K530"/>
  <c r="J530"/>
  <c r="I530"/>
  <c r="H530"/>
  <c r="G530"/>
  <c r="F530"/>
  <c r="E530"/>
  <c r="D530"/>
  <c r="C530"/>
  <c r="B530"/>
  <c r="A530"/>
  <c r="K529"/>
  <c r="J529"/>
  <c r="I529"/>
  <c r="H529"/>
  <c r="G529"/>
  <c r="F529"/>
  <c r="E529"/>
  <c r="D529"/>
  <c r="C529"/>
  <c r="B529"/>
  <c r="A529"/>
  <c r="K528"/>
  <c r="J528"/>
  <c r="I528"/>
  <c r="H528"/>
  <c r="G528"/>
  <c r="F528"/>
  <c r="E528"/>
  <c r="D528"/>
  <c r="C528"/>
  <c r="B528"/>
  <c r="A528"/>
  <c r="K527"/>
  <c r="J527"/>
  <c r="I527"/>
  <c r="H527"/>
  <c r="G527"/>
  <c r="F527"/>
  <c r="E527"/>
  <c r="D527"/>
  <c r="C527"/>
  <c r="B527"/>
  <c r="A527"/>
  <c r="K526"/>
  <c r="J526"/>
  <c r="I526"/>
  <c r="H526"/>
  <c r="G526"/>
  <c r="F526"/>
  <c r="E526"/>
  <c r="D526"/>
  <c r="C526"/>
  <c r="B526"/>
  <c r="A526"/>
  <c r="K525"/>
  <c r="J525"/>
  <c r="I525"/>
  <c r="H525"/>
  <c r="G525"/>
  <c r="F525"/>
  <c r="E525"/>
  <c r="D525"/>
  <c r="C525"/>
  <c r="B525"/>
  <c r="A525"/>
  <c r="K524"/>
  <c r="J524"/>
  <c r="I524"/>
  <c r="H524"/>
  <c r="G524"/>
  <c r="F524"/>
  <c r="E524"/>
  <c r="D524"/>
  <c r="C524"/>
  <c r="B524"/>
  <c r="A524"/>
  <c r="K523"/>
  <c r="J523"/>
  <c r="I523"/>
  <c r="H523"/>
  <c r="G523"/>
  <c r="F523"/>
  <c r="E523"/>
  <c r="D523"/>
  <c r="C523"/>
  <c r="B523"/>
  <c r="A523"/>
  <c r="K522"/>
  <c r="J522"/>
  <c r="I522"/>
  <c r="H522"/>
  <c r="G522"/>
  <c r="F522"/>
  <c r="E522"/>
  <c r="D522"/>
  <c r="C522"/>
  <c r="B522"/>
  <c r="A522"/>
  <c r="K521"/>
  <c r="J521"/>
  <c r="I521"/>
  <c r="H521"/>
  <c r="G521"/>
  <c r="F521"/>
  <c r="E521"/>
  <c r="D521"/>
  <c r="C521"/>
  <c r="B521"/>
  <c r="A521"/>
  <c r="K520"/>
  <c r="J520"/>
  <c r="I520"/>
  <c r="H520"/>
  <c r="G520"/>
  <c r="F520"/>
  <c r="E520"/>
  <c r="D520"/>
  <c r="C520"/>
  <c r="B520"/>
  <c r="A520"/>
  <c r="K519"/>
  <c r="J519"/>
  <c r="I519"/>
  <c r="H519"/>
  <c r="G519"/>
  <c r="F519"/>
  <c r="E519"/>
  <c r="D519"/>
  <c r="C519"/>
  <c r="B519"/>
  <c r="A519"/>
  <c r="K518"/>
  <c r="J518"/>
  <c r="I518"/>
  <c r="H518"/>
  <c r="G518"/>
  <c r="F518"/>
  <c r="E518"/>
  <c r="D518"/>
  <c r="C518"/>
  <c r="B518"/>
  <c r="A518"/>
  <c r="K517"/>
  <c r="J517"/>
  <c r="I517"/>
  <c r="H517"/>
  <c r="G517"/>
  <c r="F517"/>
  <c r="E517"/>
  <c r="D517"/>
  <c r="C517"/>
  <c r="B517"/>
  <c r="A517"/>
  <c r="K516"/>
  <c r="J516"/>
  <c r="I516"/>
  <c r="H516"/>
  <c r="G516"/>
  <c r="F516"/>
  <c r="E516"/>
  <c r="D516"/>
  <c r="C516"/>
  <c r="B516"/>
  <c r="A516"/>
  <c r="K515"/>
  <c r="J515"/>
  <c r="I515"/>
  <c r="H515"/>
  <c r="G515"/>
  <c r="F515"/>
  <c r="E515"/>
  <c r="D515"/>
  <c r="C515"/>
  <c r="B515"/>
  <c r="A515"/>
  <c r="K514"/>
  <c r="J514"/>
  <c r="I514"/>
  <c r="H514"/>
  <c r="G514"/>
  <c r="F514"/>
  <c r="E514"/>
  <c r="D514"/>
  <c r="C514"/>
  <c r="B514"/>
  <c r="A514"/>
  <c r="K513"/>
  <c r="J513"/>
  <c r="I513"/>
  <c r="H513"/>
  <c r="G513"/>
  <c r="F513"/>
  <c r="E513"/>
  <c r="D513"/>
  <c r="C513"/>
  <c r="B513"/>
  <c r="A513"/>
  <c r="K512"/>
  <c r="J512"/>
  <c r="I512"/>
  <c r="H512"/>
  <c r="G512"/>
  <c r="F512"/>
  <c r="E512"/>
  <c r="D512"/>
  <c r="C512"/>
  <c r="B512"/>
  <c r="A512"/>
  <c r="K511"/>
  <c r="J511"/>
  <c r="I511"/>
  <c r="H511"/>
  <c r="G511"/>
  <c r="F511"/>
  <c r="E511"/>
  <c r="D511"/>
  <c r="C511"/>
  <c r="B511"/>
  <c r="A511"/>
  <c r="K510"/>
  <c r="J510"/>
  <c r="I510"/>
  <c r="H510"/>
  <c r="G510"/>
  <c r="F510"/>
  <c r="E510"/>
  <c r="D510"/>
  <c r="C510"/>
  <c r="B510"/>
  <c r="A510"/>
  <c r="K509"/>
  <c r="J509"/>
  <c r="I509"/>
  <c r="H509"/>
  <c r="G509"/>
  <c r="F509"/>
  <c r="E509"/>
  <c r="D509"/>
  <c r="C509"/>
  <c r="B509"/>
  <c r="A509"/>
  <c r="K508"/>
  <c r="J508"/>
  <c r="I508"/>
  <c r="H508"/>
  <c r="G508"/>
  <c r="F508"/>
  <c r="E508"/>
  <c r="D508"/>
  <c r="C508"/>
  <c r="B508"/>
  <c r="A508"/>
  <c r="K507"/>
  <c r="J507"/>
  <c r="I507"/>
  <c r="H507"/>
  <c r="G507"/>
  <c r="F507"/>
  <c r="E507"/>
  <c r="D507"/>
  <c r="C507"/>
  <c r="B507"/>
  <c r="A507"/>
  <c r="K506"/>
  <c r="J506"/>
  <c r="I506"/>
  <c r="H506"/>
  <c r="G506"/>
  <c r="F506"/>
  <c r="E506"/>
  <c r="D506"/>
  <c r="C506"/>
  <c r="B506"/>
  <c r="A506"/>
  <c r="K505"/>
  <c r="J505"/>
  <c r="I505"/>
  <c r="H505"/>
  <c r="G505"/>
  <c r="F505"/>
  <c r="E505"/>
  <c r="D505"/>
  <c r="C505"/>
  <c r="B505"/>
  <c r="A505"/>
  <c r="K504"/>
  <c r="J504"/>
  <c r="I504"/>
  <c r="H504"/>
  <c r="G504"/>
  <c r="F504"/>
  <c r="E504"/>
  <c r="D504"/>
  <c r="C504"/>
  <c r="B504"/>
  <c r="A504"/>
  <c r="K503"/>
  <c r="J503"/>
  <c r="I503"/>
  <c r="H503"/>
  <c r="G503"/>
  <c r="F503"/>
  <c r="E503"/>
  <c r="D503"/>
  <c r="C503"/>
  <c r="B503"/>
  <c r="A503"/>
  <c r="K502"/>
  <c r="J502"/>
  <c r="I502"/>
  <c r="H502"/>
  <c r="G502"/>
  <c r="F502"/>
  <c r="E502"/>
  <c r="D502"/>
  <c r="C502"/>
  <c r="B502"/>
  <c r="A502"/>
  <c r="K501"/>
  <c r="J501"/>
  <c r="I501"/>
  <c r="H501"/>
  <c r="G501"/>
  <c r="F501"/>
  <c r="E501"/>
  <c r="D501"/>
  <c r="C501"/>
  <c r="B501"/>
  <c r="A501"/>
  <c r="K500"/>
  <c r="J500"/>
  <c r="I500"/>
  <c r="H500"/>
  <c r="G500"/>
  <c r="F500"/>
  <c r="E500"/>
  <c r="D500"/>
  <c r="C500"/>
  <c r="B500"/>
  <c r="A500"/>
  <c r="K499"/>
  <c r="J499"/>
  <c r="I499"/>
  <c r="H499"/>
  <c r="G499"/>
  <c r="F499"/>
  <c r="E499"/>
  <c r="D499"/>
  <c r="C499"/>
  <c r="B499"/>
  <c r="A499"/>
  <c r="K498"/>
  <c r="J498"/>
  <c r="I498"/>
  <c r="H498"/>
  <c r="G498"/>
  <c r="F498"/>
  <c r="E498"/>
  <c r="D498"/>
  <c r="C498"/>
  <c r="B498"/>
  <c r="A498"/>
  <c r="K497"/>
  <c r="J497"/>
  <c r="I497"/>
  <c r="H497"/>
  <c r="G497"/>
  <c r="F497"/>
  <c r="E497"/>
  <c r="D497"/>
  <c r="C497"/>
  <c r="B497"/>
  <c r="A497"/>
  <c r="K496"/>
  <c r="J496"/>
  <c r="I496"/>
  <c r="H496"/>
  <c r="G496"/>
  <c r="F496"/>
  <c r="E496"/>
  <c r="D496"/>
  <c r="C496"/>
  <c r="B496"/>
  <c r="A496"/>
  <c r="K495"/>
  <c r="J495"/>
  <c r="I495"/>
  <c r="H495"/>
  <c r="G495"/>
  <c r="F495"/>
  <c r="E495"/>
  <c r="D495"/>
  <c r="C495"/>
  <c r="B495"/>
  <c r="A495"/>
  <c r="K494"/>
  <c r="J494"/>
  <c r="I494"/>
  <c r="H494"/>
  <c r="G494"/>
  <c r="F494"/>
  <c r="E494"/>
  <c r="D494"/>
  <c r="C494"/>
  <c r="B494"/>
  <c r="A494"/>
  <c r="K493"/>
  <c r="J493"/>
  <c r="I493"/>
  <c r="H493"/>
  <c r="G493"/>
  <c r="F493"/>
  <c r="E493"/>
  <c r="D493"/>
  <c r="C493"/>
  <c r="B493"/>
  <c r="A493"/>
  <c r="K492"/>
  <c r="J492"/>
  <c r="I492"/>
  <c r="H492"/>
  <c r="G492"/>
  <c r="F492"/>
  <c r="E492"/>
  <c r="D492"/>
  <c r="C492"/>
  <c r="B492"/>
  <c r="A492"/>
  <c r="K491"/>
  <c r="J491"/>
  <c r="I491"/>
  <c r="H491"/>
  <c r="G491"/>
  <c r="F491"/>
  <c r="E491"/>
  <c r="D491"/>
  <c r="C491"/>
  <c r="B491"/>
  <c r="A491"/>
  <c r="K490"/>
  <c r="J490"/>
  <c r="I490"/>
  <c r="H490"/>
  <c r="G490"/>
  <c r="F490"/>
  <c r="E490"/>
  <c r="D490"/>
  <c r="C490"/>
  <c r="B490"/>
  <c r="A490"/>
  <c r="K489"/>
  <c r="J489"/>
  <c r="I489"/>
  <c r="H489"/>
  <c r="G489"/>
  <c r="F489"/>
  <c r="E489"/>
  <c r="D489"/>
  <c r="C489"/>
  <c r="B489"/>
  <c r="A489"/>
  <c r="K488"/>
  <c r="J488"/>
  <c r="I488"/>
  <c r="H488"/>
  <c r="G488"/>
  <c r="F488"/>
  <c r="E488"/>
  <c r="D488"/>
  <c r="C488"/>
  <c r="B488"/>
  <c r="A488"/>
  <c r="K487"/>
  <c r="J487"/>
  <c r="I487"/>
  <c r="H487"/>
  <c r="G487"/>
  <c r="F487"/>
  <c r="E487"/>
  <c r="D487"/>
  <c r="C487"/>
  <c r="B487"/>
  <c r="A487"/>
  <c r="K486"/>
  <c r="J486"/>
  <c r="I486"/>
  <c r="H486"/>
  <c r="G486"/>
  <c r="F486"/>
  <c r="E486"/>
  <c r="D486"/>
  <c r="C486"/>
  <c r="B486"/>
  <c r="A486"/>
  <c r="K485"/>
  <c r="J485"/>
  <c r="I485"/>
  <c r="H485"/>
  <c r="G485"/>
  <c r="F485"/>
  <c r="E485"/>
  <c r="D485"/>
  <c r="C485"/>
  <c r="B485"/>
  <c r="A485"/>
  <c r="K484"/>
  <c r="J484"/>
  <c r="I484"/>
  <c r="H484"/>
  <c r="G484"/>
  <c r="F484"/>
  <c r="E484"/>
  <c r="D484"/>
  <c r="C484"/>
  <c r="B484"/>
  <c r="A484"/>
  <c r="K483"/>
  <c r="J483"/>
  <c r="I483"/>
  <c r="H483"/>
  <c r="G483"/>
  <c r="F483"/>
  <c r="E483"/>
  <c r="D483"/>
  <c r="C483"/>
  <c r="B483"/>
  <c r="A483"/>
  <c r="K482"/>
  <c r="J482"/>
  <c r="I482"/>
  <c r="H482"/>
  <c r="G482"/>
  <c r="F482"/>
  <c r="E482"/>
  <c r="D482"/>
  <c r="C482"/>
  <c r="B482"/>
  <c r="A482"/>
  <c r="K481"/>
  <c r="J481"/>
  <c r="I481"/>
  <c r="H481"/>
  <c r="G481"/>
  <c r="F481"/>
  <c r="E481"/>
  <c r="D481"/>
  <c r="C481"/>
  <c r="B481"/>
  <c r="A481"/>
  <c r="K480"/>
  <c r="J480"/>
  <c r="I480"/>
  <c r="H480"/>
  <c r="G480"/>
  <c r="F480"/>
  <c r="E480"/>
  <c r="D480"/>
  <c r="C480"/>
  <c r="B480"/>
  <c r="A480"/>
  <c r="K479"/>
  <c r="J479"/>
  <c r="I479"/>
  <c r="H479"/>
  <c r="G479"/>
  <c r="F479"/>
  <c r="E479"/>
  <c r="D479"/>
  <c r="C479"/>
  <c r="B479"/>
  <c r="A479"/>
  <c r="K478"/>
  <c r="J478"/>
  <c r="I478"/>
  <c r="H478"/>
  <c r="G478"/>
  <c r="F478"/>
  <c r="E478"/>
  <c r="D478"/>
  <c r="C478"/>
  <c r="B478"/>
  <c r="A478"/>
  <c r="K477"/>
  <c r="J477"/>
  <c r="I477"/>
  <c r="H477"/>
  <c r="G477"/>
  <c r="F477"/>
  <c r="E477"/>
  <c r="D477"/>
  <c r="C477"/>
  <c r="B477"/>
  <c r="A477"/>
  <c r="K476"/>
  <c r="J476"/>
  <c r="I476"/>
  <c r="H476"/>
  <c r="G476"/>
  <c r="F476"/>
  <c r="E476"/>
  <c r="D476"/>
  <c r="C476"/>
  <c r="B476"/>
  <c r="A476"/>
  <c r="K475"/>
  <c r="J475"/>
  <c r="I475"/>
  <c r="H475"/>
  <c r="G475"/>
  <c r="F475"/>
  <c r="E475"/>
  <c r="D475"/>
  <c r="C475"/>
  <c r="B475"/>
  <c r="A475"/>
  <c r="K474"/>
  <c r="J474"/>
  <c r="I474"/>
  <c r="H474"/>
  <c r="G474"/>
  <c r="F474"/>
  <c r="E474"/>
  <c r="D474"/>
  <c r="C474"/>
  <c r="B474"/>
  <c r="A474"/>
  <c r="K473"/>
  <c r="J473"/>
  <c r="I473"/>
  <c r="H473"/>
  <c r="G473"/>
  <c r="F473"/>
  <c r="E473"/>
  <c r="D473"/>
  <c r="C473"/>
  <c r="B473"/>
  <c r="A473"/>
  <c r="K472"/>
  <c r="J472"/>
  <c r="I472"/>
  <c r="H472"/>
  <c r="G472"/>
  <c r="F472"/>
  <c r="E472"/>
  <c r="D472"/>
  <c r="C472"/>
  <c r="B472"/>
  <c r="A472"/>
  <c r="K471"/>
  <c r="J471"/>
  <c r="I471"/>
  <c r="H471"/>
  <c r="G471"/>
  <c r="F471"/>
  <c r="E471"/>
  <c r="D471"/>
  <c r="C471"/>
  <c r="B471"/>
  <c r="A471"/>
  <c r="K470"/>
  <c r="J470"/>
  <c r="I470"/>
  <c r="H470"/>
  <c r="G470"/>
  <c r="F470"/>
  <c r="E470"/>
  <c r="D470"/>
  <c r="C470"/>
  <c r="B470"/>
  <c r="A470"/>
  <c r="K469"/>
  <c r="J469"/>
  <c r="I469"/>
  <c r="H469"/>
  <c r="G469"/>
  <c r="F469"/>
  <c r="E469"/>
  <c r="D469"/>
  <c r="C469"/>
  <c r="B469"/>
  <c r="A469"/>
  <c r="K468"/>
  <c r="J468"/>
  <c r="I468"/>
  <c r="H468"/>
  <c r="G468"/>
  <c r="F468"/>
  <c r="E468"/>
  <c r="D468"/>
  <c r="C468"/>
  <c r="B468"/>
  <c r="A468"/>
  <c r="K467"/>
  <c r="J467"/>
  <c r="I467"/>
  <c r="H467"/>
  <c r="G467"/>
  <c r="F467"/>
  <c r="E467"/>
  <c r="D467"/>
  <c r="C467"/>
  <c r="B467"/>
  <c r="A467"/>
  <c r="K466"/>
  <c r="J466"/>
  <c r="I466"/>
  <c r="H466"/>
  <c r="G466"/>
  <c r="F466"/>
  <c r="E466"/>
  <c r="D466"/>
  <c r="C466"/>
  <c r="B466"/>
  <c r="A466"/>
  <c r="K465"/>
  <c r="J465"/>
  <c r="I465"/>
  <c r="H465"/>
  <c r="G465"/>
  <c r="F465"/>
  <c r="E465"/>
  <c r="D465"/>
  <c r="C465"/>
  <c r="B465"/>
  <c r="A465"/>
  <c r="K464"/>
  <c r="J464"/>
  <c r="I464"/>
  <c r="H464"/>
  <c r="G464"/>
  <c r="F464"/>
  <c r="E464"/>
  <c r="D464"/>
  <c r="C464"/>
  <c r="B464"/>
  <c r="A464"/>
  <c r="K463"/>
  <c r="J463"/>
  <c r="I463"/>
  <c r="H463"/>
  <c r="G463"/>
  <c r="F463"/>
  <c r="E463"/>
  <c r="D463"/>
  <c r="C463"/>
  <c r="B463"/>
  <c r="A463"/>
  <c r="K462"/>
  <c r="J462"/>
  <c r="I462"/>
  <c r="H462"/>
  <c r="G462"/>
  <c r="F462"/>
  <c r="E462"/>
  <c r="D462"/>
  <c r="C462"/>
  <c r="B462"/>
  <c r="A462"/>
  <c r="K461"/>
  <c r="J461"/>
  <c r="I461"/>
  <c r="H461"/>
  <c r="G461"/>
  <c r="F461"/>
  <c r="E461"/>
  <c r="D461"/>
  <c r="C461"/>
  <c r="B461"/>
  <c r="A461"/>
  <c r="K460"/>
  <c r="J460"/>
  <c r="I460"/>
  <c r="H460"/>
  <c r="G460"/>
  <c r="F460"/>
  <c r="E460"/>
  <c r="D460"/>
  <c r="C460"/>
  <c r="B460"/>
  <c r="A460"/>
  <c r="K459"/>
  <c r="J459"/>
  <c r="I459"/>
  <c r="H459"/>
  <c r="G459"/>
  <c r="F459"/>
  <c r="E459"/>
  <c r="D459"/>
  <c r="C459"/>
  <c r="B459"/>
  <c r="A459"/>
  <c r="K458"/>
  <c r="J458"/>
  <c r="I458"/>
  <c r="H458"/>
  <c r="G458"/>
  <c r="F458"/>
  <c r="E458"/>
  <c r="D458"/>
  <c r="C458"/>
  <c r="B458"/>
  <c r="A458"/>
  <c r="K457"/>
  <c r="J457"/>
  <c r="I457"/>
  <c r="H457"/>
  <c r="G457"/>
  <c r="F457"/>
  <c r="E457"/>
  <c r="D457"/>
  <c r="C457"/>
  <c r="B457"/>
  <c r="A457"/>
  <c r="K456"/>
  <c r="J456"/>
  <c r="I456"/>
  <c r="H456"/>
  <c r="G456"/>
  <c r="F456"/>
  <c r="E456"/>
  <c r="D456"/>
  <c r="C456"/>
  <c r="B456"/>
  <c r="A456"/>
  <c r="K455"/>
  <c r="J455"/>
  <c r="I455"/>
  <c r="H455"/>
  <c r="G455"/>
  <c r="F455"/>
  <c r="E455"/>
  <c r="D455"/>
  <c r="C455"/>
  <c r="B455"/>
  <c r="A455"/>
  <c r="K454"/>
  <c r="J454"/>
  <c r="I454"/>
  <c r="H454"/>
  <c r="G454"/>
  <c r="F454"/>
  <c r="E454"/>
  <c r="D454"/>
  <c r="C454"/>
  <c r="B454"/>
  <c r="A454"/>
  <c r="K453"/>
  <c r="J453"/>
  <c r="I453"/>
  <c r="H453"/>
  <c r="G453"/>
  <c r="F453"/>
  <c r="E453"/>
  <c r="D453"/>
  <c r="C453"/>
  <c r="B453"/>
  <c r="A453"/>
  <c r="K452"/>
  <c r="J452"/>
  <c r="I452"/>
  <c r="H452"/>
  <c r="G452"/>
  <c r="F452"/>
  <c r="E452"/>
  <c r="D452"/>
  <c r="C452"/>
  <c r="B452"/>
  <c r="A452"/>
  <c r="K451"/>
  <c r="J451"/>
  <c r="I451"/>
  <c r="H451"/>
  <c r="G451"/>
  <c r="F451"/>
  <c r="E451"/>
  <c r="D451"/>
  <c r="C451"/>
  <c r="B451"/>
  <c r="A451"/>
  <c r="K450"/>
  <c r="J450"/>
  <c r="I450"/>
  <c r="H450"/>
  <c r="G450"/>
  <c r="F450"/>
  <c r="E450"/>
  <c r="D450"/>
  <c r="C450"/>
  <c r="B450"/>
  <c r="A450"/>
  <c r="K449"/>
  <c r="J449"/>
  <c r="I449"/>
  <c r="H449"/>
  <c r="G449"/>
  <c r="F449"/>
  <c r="E449"/>
  <c r="D449"/>
  <c r="C449"/>
  <c r="B449"/>
  <c r="A449"/>
  <c r="K448"/>
  <c r="J448"/>
  <c r="I448"/>
  <c r="H448"/>
  <c r="G448"/>
  <c r="F448"/>
  <c r="E448"/>
  <c r="D448"/>
  <c r="C448"/>
  <c r="B448"/>
  <c r="A448"/>
  <c r="K447"/>
  <c r="J447"/>
  <c r="I447"/>
  <c r="H447"/>
  <c r="G447"/>
  <c r="F447"/>
  <c r="E447"/>
  <c r="D447"/>
  <c r="C447"/>
  <c r="B447"/>
  <c r="A447"/>
  <c r="K446"/>
  <c r="J446"/>
  <c r="I446"/>
  <c r="H446"/>
  <c r="G446"/>
  <c r="F446"/>
  <c r="E446"/>
  <c r="D446"/>
  <c r="C446"/>
  <c r="B446"/>
  <c r="A446"/>
  <c r="K445"/>
  <c r="J445"/>
  <c r="I445"/>
  <c r="H445"/>
  <c r="G445"/>
  <c r="F445"/>
  <c r="E445"/>
  <c r="D445"/>
  <c r="C445"/>
  <c r="B445"/>
  <c r="A445"/>
  <c r="K444"/>
  <c r="J444"/>
  <c r="I444"/>
  <c r="H444"/>
  <c r="G444"/>
  <c r="F444"/>
  <c r="E444"/>
  <c r="D444"/>
  <c r="C444"/>
  <c r="B444"/>
  <c r="A444"/>
  <c r="K443"/>
  <c r="J443"/>
  <c r="I443"/>
  <c r="H443"/>
  <c r="G443"/>
  <c r="F443"/>
  <c r="E443"/>
  <c r="D443"/>
  <c r="C443"/>
  <c r="B443"/>
  <c r="A443"/>
  <c r="K442"/>
  <c r="J442"/>
  <c r="I442"/>
  <c r="H442"/>
  <c r="G442"/>
  <c r="F442"/>
  <c r="E442"/>
  <c r="D442"/>
  <c r="C442"/>
  <c r="B442"/>
  <c r="A442"/>
  <c r="K441"/>
  <c r="J441"/>
  <c r="I441"/>
  <c r="H441"/>
  <c r="G441"/>
  <c r="F441"/>
  <c r="E441"/>
  <c r="D441"/>
  <c r="C441"/>
  <c r="B441"/>
  <c r="A441"/>
  <c r="K440"/>
  <c r="J440"/>
  <c r="I440"/>
  <c r="H440"/>
  <c r="G440"/>
  <c r="F440"/>
  <c r="E440"/>
  <c r="D440"/>
  <c r="C440"/>
  <c r="B440"/>
  <c r="A440"/>
  <c r="K439"/>
  <c r="J439"/>
  <c r="I439"/>
  <c r="H439"/>
  <c r="G439"/>
  <c r="F439"/>
  <c r="E439"/>
  <c r="D439"/>
  <c r="C439"/>
  <c r="B439"/>
  <c r="A439"/>
  <c r="K438"/>
  <c r="J438"/>
  <c r="I438"/>
  <c r="H438"/>
  <c r="G438"/>
  <c r="F438"/>
  <c r="E438"/>
  <c r="D438"/>
  <c r="C438"/>
  <c r="B438"/>
  <c r="A438"/>
  <c r="K437"/>
  <c r="J437"/>
  <c r="I437"/>
  <c r="H437"/>
  <c r="G437"/>
  <c r="F437"/>
  <c r="E437"/>
  <c r="D437"/>
  <c r="C437"/>
  <c r="B437"/>
  <c r="A437"/>
  <c r="K436"/>
  <c r="J436"/>
  <c r="I436"/>
  <c r="H436"/>
  <c r="G436"/>
  <c r="F436"/>
  <c r="E436"/>
  <c r="D436"/>
  <c r="C436"/>
  <c r="B436"/>
  <c r="A436"/>
  <c r="K435"/>
  <c r="J435"/>
  <c r="I435"/>
  <c r="H435"/>
  <c r="G435"/>
  <c r="F435"/>
  <c r="E435"/>
  <c r="D435"/>
  <c r="C435"/>
  <c r="B435"/>
  <c r="A435"/>
  <c r="K434"/>
  <c r="J434"/>
  <c r="I434"/>
  <c r="H434"/>
  <c r="G434"/>
  <c r="F434"/>
  <c r="E434"/>
  <c r="D434"/>
  <c r="C434"/>
  <c r="B434"/>
  <c r="A434"/>
  <c r="K433"/>
  <c r="J433"/>
  <c r="I433"/>
  <c r="H433"/>
  <c r="G433"/>
  <c r="F433"/>
  <c r="E433"/>
  <c r="D433"/>
  <c r="C433"/>
  <c r="B433"/>
  <c r="A433"/>
  <c r="K432"/>
  <c r="J432"/>
  <c r="I432"/>
  <c r="H432"/>
  <c r="G432"/>
  <c r="F432"/>
  <c r="E432"/>
  <c r="D432"/>
  <c r="C432"/>
  <c r="B432"/>
  <c r="A432"/>
  <c r="K431"/>
  <c r="J431"/>
  <c r="I431"/>
  <c r="H431"/>
  <c r="G431"/>
  <c r="F431"/>
  <c r="E431"/>
  <c r="D431"/>
  <c r="C431"/>
  <c r="B431"/>
  <c r="A431"/>
  <c r="K430"/>
  <c r="J430"/>
  <c r="I430"/>
  <c r="H430"/>
  <c r="G430"/>
  <c r="F430"/>
  <c r="E430"/>
  <c r="D430"/>
  <c r="C430"/>
  <c r="B430"/>
  <c r="A430"/>
  <c r="K429"/>
  <c r="J429"/>
  <c r="I429"/>
  <c r="H429"/>
  <c r="G429"/>
  <c r="F429"/>
  <c r="E429"/>
  <c r="D429"/>
  <c r="C429"/>
  <c r="B429"/>
  <c r="A429"/>
  <c r="K428"/>
  <c r="J428"/>
  <c r="I428"/>
  <c r="H428"/>
  <c r="G428"/>
  <c r="F428"/>
  <c r="E428"/>
  <c r="D428"/>
  <c r="C428"/>
  <c r="B428"/>
  <c r="A428"/>
  <c r="K427"/>
  <c r="J427"/>
  <c r="I427"/>
  <c r="H427"/>
  <c r="G427"/>
  <c r="F427"/>
  <c r="E427"/>
  <c r="D427"/>
  <c r="C427"/>
  <c r="B427"/>
  <c r="A427"/>
  <c r="K426"/>
  <c r="J426"/>
  <c r="I426"/>
  <c r="H426"/>
  <c r="G426"/>
  <c r="F426"/>
  <c r="E426"/>
  <c r="D426"/>
  <c r="C426"/>
  <c r="B426"/>
  <c r="A426"/>
  <c r="K425"/>
  <c r="J425"/>
  <c r="I425"/>
  <c r="H425"/>
  <c r="G425"/>
  <c r="F425"/>
  <c r="E425"/>
  <c r="D425"/>
  <c r="C425"/>
  <c r="B425"/>
  <c r="A425"/>
  <c r="K424"/>
  <c r="J424"/>
  <c r="I424"/>
  <c r="H424"/>
  <c r="G424"/>
  <c r="F424"/>
  <c r="E424"/>
  <c r="D424"/>
  <c r="C424"/>
  <c r="B424"/>
  <c r="A424"/>
  <c r="K423"/>
  <c r="J423"/>
  <c r="I423"/>
  <c r="H423"/>
  <c r="G423"/>
  <c r="F423"/>
  <c r="E423"/>
  <c r="D423"/>
  <c r="C423"/>
  <c r="B423"/>
  <c r="A423"/>
  <c r="K422"/>
  <c r="J422"/>
  <c r="I422"/>
  <c r="H422"/>
  <c r="G422"/>
  <c r="F422"/>
  <c r="E422"/>
  <c r="D422"/>
  <c r="C422"/>
  <c r="B422"/>
  <c r="A422"/>
  <c r="K421"/>
  <c r="J421"/>
  <c r="I421"/>
  <c r="H421"/>
  <c r="G421"/>
  <c r="F421"/>
  <c r="E421"/>
  <c r="D421"/>
  <c r="C421"/>
  <c r="B421"/>
  <c r="A421"/>
  <c r="K420"/>
  <c r="J420"/>
  <c r="I420"/>
  <c r="H420"/>
  <c r="G420"/>
  <c r="F420"/>
  <c r="E420"/>
  <c r="D420"/>
  <c r="C420"/>
  <c r="B420"/>
  <c r="A420"/>
  <c r="K419"/>
  <c r="J419"/>
  <c r="I419"/>
  <c r="H419"/>
  <c r="G419"/>
  <c r="F419"/>
  <c r="E419"/>
  <c r="D419"/>
  <c r="C419"/>
  <c r="B419"/>
  <c r="A419"/>
  <c r="K418"/>
  <c r="J418"/>
  <c r="I418"/>
  <c r="H418"/>
  <c r="G418"/>
  <c r="F418"/>
  <c r="E418"/>
  <c r="D418"/>
  <c r="C418"/>
  <c r="B418"/>
  <c r="A418"/>
  <c r="K417"/>
  <c r="J417"/>
  <c r="I417"/>
  <c r="H417"/>
  <c r="G417"/>
  <c r="F417"/>
  <c r="E417"/>
  <c r="D417"/>
  <c r="C417"/>
  <c r="B417"/>
  <c r="A417"/>
  <c r="K416"/>
  <c r="J416"/>
  <c r="I416"/>
  <c r="H416"/>
  <c r="G416"/>
  <c r="F416"/>
  <c r="E416"/>
  <c r="D416"/>
  <c r="C416"/>
  <c r="B416"/>
  <c r="A416"/>
  <c r="K415"/>
  <c r="J415"/>
  <c r="I415"/>
  <c r="H415"/>
  <c r="G415"/>
  <c r="F415"/>
  <c r="E415"/>
  <c r="D415"/>
  <c r="C415"/>
  <c r="B415"/>
  <c r="A415"/>
  <c r="K414"/>
  <c r="J414"/>
  <c r="I414"/>
  <c r="H414"/>
  <c r="G414"/>
  <c r="F414"/>
  <c r="E414"/>
  <c r="D414"/>
  <c r="C414"/>
  <c r="B414"/>
  <c r="A414"/>
  <c r="K413"/>
  <c r="J413"/>
  <c r="I413"/>
  <c r="H413"/>
  <c r="G413"/>
  <c r="F413"/>
  <c r="E413"/>
  <c r="D413"/>
  <c r="C413"/>
  <c r="B413"/>
  <c r="A413"/>
  <c r="K412"/>
  <c r="J412"/>
  <c r="I412"/>
  <c r="H412"/>
  <c r="G412"/>
  <c r="F412"/>
  <c r="E412"/>
  <c r="D412"/>
  <c r="C412"/>
  <c r="B412"/>
  <c r="A412"/>
  <c r="K411"/>
  <c r="J411"/>
  <c r="I411"/>
  <c r="H411"/>
  <c r="G411"/>
  <c r="F411"/>
  <c r="E411"/>
  <c r="D411"/>
  <c r="C411"/>
  <c r="B411"/>
  <c r="A411"/>
  <c r="K410"/>
  <c r="J410"/>
  <c r="I410"/>
  <c r="H410"/>
  <c r="G410"/>
  <c r="F410"/>
  <c r="E410"/>
  <c r="D410"/>
  <c r="C410"/>
  <c r="B410"/>
  <c r="A410"/>
  <c r="K409"/>
  <c r="J409"/>
  <c r="I409"/>
  <c r="H409"/>
  <c r="G409"/>
  <c r="F409"/>
  <c r="E409"/>
  <c r="D409"/>
  <c r="C409"/>
  <c r="B409"/>
  <c r="A409"/>
  <c r="K408"/>
  <c r="J408"/>
  <c r="I408"/>
  <c r="H408"/>
  <c r="G408"/>
  <c r="F408"/>
  <c r="E408"/>
  <c r="D408"/>
  <c r="C408"/>
  <c r="B408"/>
  <c r="A408"/>
  <c r="K407"/>
  <c r="J407"/>
  <c r="I407"/>
  <c r="H407"/>
  <c r="G407"/>
  <c r="F407"/>
  <c r="E407"/>
  <c r="D407"/>
  <c r="C407"/>
  <c r="B407"/>
  <c r="A407"/>
  <c r="K406"/>
  <c r="J406"/>
  <c r="I406"/>
  <c r="H406"/>
  <c r="G406"/>
  <c r="F406"/>
  <c r="E406"/>
  <c r="D406"/>
  <c r="C406"/>
  <c r="B406"/>
  <c r="A406"/>
  <c r="K405"/>
  <c r="J405"/>
  <c r="I405"/>
  <c r="H405"/>
  <c r="G405"/>
  <c r="F405"/>
  <c r="E405"/>
  <c r="D405"/>
  <c r="C405"/>
  <c r="B405"/>
  <c r="A405"/>
  <c r="K404"/>
  <c r="J404"/>
  <c r="I404"/>
  <c r="H404"/>
  <c r="G404"/>
  <c r="F404"/>
  <c r="E404"/>
  <c r="D404"/>
  <c r="C404"/>
  <c r="B404"/>
  <c r="A404"/>
  <c r="K403"/>
  <c r="J403"/>
  <c r="I403"/>
  <c r="H403"/>
  <c r="G403"/>
  <c r="F403"/>
  <c r="E403"/>
  <c r="D403"/>
  <c r="C403"/>
  <c r="B403"/>
  <c r="A403"/>
  <c r="K402"/>
  <c r="J402"/>
  <c r="I402"/>
  <c r="H402"/>
  <c r="G402"/>
  <c r="F402"/>
  <c r="E402"/>
  <c r="D402"/>
  <c r="C402"/>
  <c r="B402"/>
  <c r="A402"/>
  <c r="K401"/>
  <c r="J401"/>
  <c r="I401"/>
  <c r="H401"/>
  <c r="G401"/>
  <c r="F401"/>
  <c r="E401"/>
  <c r="D401"/>
  <c r="C401"/>
  <c r="B401"/>
  <c r="A401"/>
  <c r="K400"/>
  <c r="J400"/>
  <c r="I400"/>
  <c r="H400"/>
  <c r="G400"/>
  <c r="F400"/>
  <c r="E400"/>
  <c r="D400"/>
  <c r="C400"/>
  <c r="B400"/>
  <c r="A400"/>
  <c r="K399"/>
  <c r="J399"/>
  <c r="I399"/>
  <c r="H399"/>
  <c r="G399"/>
  <c r="F399"/>
  <c r="E399"/>
  <c r="D399"/>
  <c r="C399"/>
  <c r="B399"/>
  <c r="A399"/>
  <c r="K398"/>
  <c r="J398"/>
  <c r="I398"/>
  <c r="H398"/>
  <c r="G398"/>
  <c r="F398"/>
  <c r="E398"/>
  <c r="D398"/>
  <c r="C398"/>
  <c r="B398"/>
  <c r="A398"/>
  <c r="K397"/>
  <c r="J397"/>
  <c r="I397"/>
  <c r="H397"/>
  <c r="G397"/>
  <c r="F397"/>
  <c r="E397"/>
  <c r="D397"/>
  <c r="C397"/>
  <c r="B397"/>
  <c r="A397"/>
  <c r="K396"/>
  <c r="J396"/>
  <c r="I396"/>
  <c r="H396"/>
  <c r="G396"/>
  <c r="F396"/>
  <c r="E396"/>
  <c r="D396"/>
  <c r="C396"/>
  <c r="B396"/>
  <c r="A396"/>
  <c r="K395"/>
  <c r="J395"/>
  <c r="I395"/>
  <c r="H395"/>
  <c r="G395"/>
  <c r="F395"/>
  <c r="E395"/>
  <c r="D395"/>
  <c r="C395"/>
  <c r="B395"/>
  <c r="A395"/>
  <c r="K394"/>
  <c r="J394"/>
  <c r="I394"/>
  <c r="H394"/>
  <c r="G394"/>
  <c r="F394"/>
  <c r="E394"/>
  <c r="D394"/>
  <c r="C394"/>
  <c r="B394"/>
  <c r="A394"/>
  <c r="K393"/>
  <c r="J393"/>
  <c r="I393"/>
  <c r="H393"/>
  <c r="G393"/>
  <c r="F393"/>
  <c r="E393"/>
  <c r="D393"/>
  <c r="C393"/>
  <c r="B393"/>
  <c r="A393"/>
  <c r="K392"/>
  <c r="J392"/>
  <c r="I392"/>
  <c r="H392"/>
  <c r="G392"/>
  <c r="F392"/>
  <c r="E392"/>
  <c r="D392"/>
  <c r="C392"/>
  <c r="B392"/>
  <c r="A392"/>
  <c r="K391"/>
  <c r="J391"/>
  <c r="I391"/>
  <c r="H391"/>
  <c r="G391"/>
  <c r="F391"/>
  <c r="E391"/>
  <c r="D391"/>
  <c r="C391"/>
  <c r="B391"/>
  <c r="A391"/>
  <c r="K390"/>
  <c r="J390"/>
  <c r="I390"/>
  <c r="H390"/>
  <c r="G390"/>
  <c r="F390"/>
  <c r="E390"/>
  <c r="D390"/>
  <c r="C390"/>
  <c r="B390"/>
  <c r="A390"/>
  <c r="K389"/>
  <c r="J389"/>
  <c r="I389"/>
  <c r="H389"/>
  <c r="G389"/>
  <c r="F389"/>
  <c r="E389"/>
  <c r="D389"/>
  <c r="C389"/>
  <c r="B389"/>
  <c r="A389"/>
  <c r="K388"/>
  <c r="J388"/>
  <c r="I388"/>
  <c r="H388"/>
  <c r="G388"/>
  <c r="F388"/>
  <c r="E388"/>
  <c r="D388"/>
  <c r="C388"/>
  <c r="B388"/>
  <c r="A388"/>
  <c r="K387"/>
  <c r="J387"/>
  <c r="I387"/>
  <c r="H387"/>
  <c r="G387"/>
  <c r="F387"/>
  <c r="E387"/>
  <c r="D387"/>
  <c r="C387"/>
  <c r="B387"/>
  <c r="A387"/>
  <c r="K386"/>
  <c r="J386"/>
  <c r="I386"/>
  <c r="H386"/>
  <c r="G386"/>
  <c r="F386"/>
  <c r="E386"/>
  <c r="D386"/>
  <c r="C386"/>
  <c r="B386"/>
  <c r="A386"/>
  <c r="K385"/>
  <c r="J385"/>
  <c r="I385"/>
  <c r="H385"/>
  <c r="G385"/>
  <c r="F385"/>
  <c r="E385"/>
  <c r="D385"/>
  <c r="C385"/>
  <c r="B385"/>
  <c r="A385"/>
  <c r="K384"/>
  <c r="J384"/>
  <c r="I384"/>
  <c r="H384"/>
  <c r="G384"/>
  <c r="F384"/>
  <c r="E384"/>
  <c r="D384"/>
  <c r="C384"/>
  <c r="B384"/>
  <c r="A384"/>
  <c r="K383"/>
  <c r="J383"/>
  <c r="I383"/>
  <c r="H383"/>
  <c r="G383"/>
  <c r="F383"/>
  <c r="E383"/>
  <c r="D383"/>
  <c r="C383"/>
  <c r="B383"/>
  <c r="A383"/>
  <c r="K382"/>
  <c r="J382"/>
  <c r="I382"/>
  <c r="H382"/>
  <c r="G382"/>
  <c r="F382"/>
  <c r="E382"/>
  <c r="D382"/>
  <c r="C382"/>
  <c r="B382"/>
  <c r="A382"/>
  <c r="K381"/>
  <c r="J381"/>
  <c r="I381"/>
  <c r="H381"/>
  <c r="G381"/>
  <c r="F381"/>
  <c r="E381"/>
  <c r="D381"/>
  <c r="C381"/>
  <c r="B381"/>
  <c r="A381"/>
  <c r="K380"/>
  <c r="J380"/>
  <c r="I380"/>
  <c r="H380"/>
  <c r="G380"/>
  <c r="F380"/>
  <c r="E380"/>
  <c r="D380"/>
  <c r="C380"/>
  <c r="B380"/>
  <c r="A380"/>
  <c r="K379"/>
  <c r="J379"/>
  <c r="I379"/>
  <c r="H379"/>
  <c r="G379"/>
  <c r="F379"/>
  <c r="E379"/>
  <c r="D379"/>
  <c r="C379"/>
  <c r="B379"/>
  <c r="A379"/>
  <c r="K378"/>
  <c r="J378"/>
  <c r="I378"/>
  <c r="H378"/>
  <c r="G378"/>
  <c r="F378"/>
  <c r="E378"/>
  <c r="D378"/>
  <c r="C378"/>
  <c r="B378"/>
  <c r="A378"/>
  <c r="K377"/>
  <c r="J377"/>
  <c r="I377"/>
  <c r="H377"/>
  <c r="G377"/>
  <c r="F377"/>
  <c r="E377"/>
  <c r="D377"/>
  <c r="C377"/>
  <c r="B377"/>
  <c r="A377"/>
  <c r="K376"/>
  <c r="J376"/>
  <c r="I376"/>
  <c r="H376"/>
  <c r="G376"/>
  <c r="F376"/>
  <c r="E376"/>
  <c r="D376"/>
  <c r="C376"/>
  <c r="B376"/>
  <c r="A376"/>
  <c r="K375"/>
  <c r="J375"/>
  <c r="I375"/>
  <c r="H375"/>
  <c r="G375"/>
  <c r="F375"/>
  <c r="E375"/>
  <c r="D375"/>
  <c r="C375"/>
  <c r="B375"/>
  <c r="A375"/>
  <c r="K374"/>
  <c r="J374"/>
  <c r="I374"/>
  <c r="H374"/>
  <c r="G374"/>
  <c r="F374"/>
  <c r="E374"/>
  <c r="D374"/>
  <c r="C374"/>
  <c r="B374"/>
  <c r="A374"/>
  <c r="K373"/>
  <c r="J373"/>
  <c r="I373"/>
  <c r="H373"/>
  <c r="G373"/>
  <c r="F373"/>
  <c r="E373"/>
  <c r="D373"/>
  <c r="C373"/>
  <c r="B373"/>
  <c r="A373"/>
  <c r="K372"/>
  <c r="J372"/>
  <c r="I372"/>
  <c r="H372"/>
  <c r="G372"/>
  <c r="F372"/>
  <c r="E372"/>
  <c r="D372"/>
  <c r="C372"/>
  <c r="B372"/>
  <c r="A372"/>
  <c r="K371"/>
  <c r="J371"/>
  <c r="I371"/>
  <c r="H371"/>
  <c r="G371"/>
  <c r="F371"/>
  <c r="E371"/>
  <c r="D371"/>
  <c r="C371"/>
  <c r="B371"/>
  <c r="A371"/>
  <c r="K370"/>
  <c r="J370"/>
  <c r="I370"/>
  <c r="H370"/>
  <c r="G370"/>
  <c r="F370"/>
  <c r="E370"/>
  <c r="D370"/>
  <c r="C370"/>
  <c r="B370"/>
  <c r="A370"/>
  <c r="K369"/>
  <c r="J369"/>
  <c r="I369"/>
  <c r="H369"/>
  <c r="G369"/>
  <c r="F369"/>
  <c r="E369"/>
  <c r="D369"/>
  <c r="C369"/>
  <c r="B369"/>
  <c r="A369"/>
  <c r="K368"/>
  <c r="J368"/>
  <c r="I368"/>
  <c r="H368"/>
  <c r="G368"/>
  <c r="F368"/>
  <c r="E368"/>
  <c r="D368"/>
  <c r="C368"/>
  <c r="B368"/>
  <c r="A368"/>
  <c r="K367"/>
  <c r="J367"/>
  <c r="I367"/>
  <c r="H367"/>
  <c r="G367"/>
  <c r="F367"/>
  <c r="E367"/>
  <c r="D367"/>
  <c r="C367"/>
  <c r="B367"/>
  <c r="A367"/>
  <c r="K366"/>
  <c r="J366"/>
  <c r="I366"/>
  <c r="H366"/>
  <c r="G366"/>
  <c r="F366"/>
  <c r="E366"/>
  <c r="D366"/>
  <c r="C366"/>
  <c r="B366"/>
  <c r="A366"/>
  <c r="K365"/>
  <c r="J365"/>
  <c r="I365"/>
  <c r="H365"/>
  <c r="G365"/>
  <c r="F365"/>
  <c r="E365"/>
  <c r="D365"/>
  <c r="C365"/>
  <c r="B365"/>
  <c r="A365"/>
  <c r="K364"/>
  <c r="J364"/>
  <c r="I364"/>
  <c r="H364"/>
  <c r="G364"/>
  <c r="F364"/>
  <c r="E364"/>
  <c r="D364"/>
  <c r="C364"/>
  <c r="B364"/>
  <c r="A364"/>
  <c r="K363"/>
  <c r="J363"/>
  <c r="I363"/>
  <c r="H363"/>
  <c r="G363"/>
  <c r="F363"/>
  <c r="E363"/>
  <c r="D363"/>
  <c r="C363"/>
  <c r="B363"/>
  <c r="A363"/>
  <c r="K362"/>
  <c r="J362"/>
  <c r="I362"/>
  <c r="H362"/>
  <c r="G362"/>
  <c r="F362"/>
  <c r="E362"/>
  <c r="D362"/>
  <c r="C362"/>
  <c r="B362"/>
  <c r="A362"/>
  <c r="K361"/>
  <c r="J361"/>
  <c r="I361"/>
  <c r="H361"/>
  <c r="G361"/>
  <c r="F361"/>
  <c r="E361"/>
  <c r="D361"/>
  <c r="C361"/>
  <c r="B361"/>
  <c r="A361"/>
  <c r="K360"/>
  <c r="J360"/>
  <c r="I360"/>
  <c r="H360"/>
  <c r="G360"/>
  <c r="F360"/>
  <c r="E360"/>
  <c r="D360"/>
  <c r="C360"/>
  <c r="B360"/>
  <c r="A360"/>
  <c r="K359"/>
  <c r="J359"/>
  <c r="I359"/>
  <c r="H359"/>
  <c r="G359"/>
  <c r="F359"/>
  <c r="E359"/>
  <c r="D359"/>
  <c r="C359"/>
  <c r="B359"/>
  <c r="A359"/>
  <c r="K358"/>
  <c r="J358"/>
  <c r="I358"/>
  <c r="H358"/>
  <c r="G358"/>
  <c r="F358"/>
  <c r="E358"/>
  <c r="D358"/>
  <c r="C358"/>
  <c r="B358"/>
  <c r="A358"/>
  <c r="K357"/>
  <c r="J357"/>
  <c r="I357"/>
  <c r="H357"/>
  <c r="G357"/>
  <c r="F357"/>
  <c r="E357"/>
  <c r="D357"/>
  <c r="C357"/>
  <c r="B357"/>
  <c r="A357"/>
  <c r="K356"/>
  <c r="J356"/>
  <c r="I356"/>
  <c r="H356"/>
  <c r="G356"/>
  <c r="F356"/>
  <c r="E356"/>
  <c r="D356"/>
  <c r="C356"/>
  <c r="B356"/>
  <c r="A356"/>
  <c r="K355"/>
  <c r="J355"/>
  <c r="I355"/>
  <c r="H355"/>
  <c r="G355"/>
  <c r="F355"/>
  <c r="E355"/>
  <c r="D355"/>
  <c r="C355"/>
  <c r="B355"/>
  <c r="A355"/>
  <c r="K354"/>
  <c r="J354"/>
  <c r="I354"/>
  <c r="H354"/>
  <c r="G354"/>
  <c r="F354"/>
  <c r="E354"/>
  <c r="D354"/>
  <c r="C354"/>
  <c r="B354"/>
  <c r="A354"/>
  <c r="K353"/>
  <c r="J353"/>
  <c r="I353"/>
  <c r="H353"/>
  <c r="G353"/>
  <c r="F353"/>
  <c r="E353"/>
  <c r="D353"/>
  <c r="C353"/>
  <c r="B353"/>
  <c r="A353"/>
  <c r="K352"/>
  <c r="J352"/>
  <c r="I352"/>
  <c r="H352"/>
  <c r="G352"/>
  <c r="F352"/>
  <c r="E352"/>
  <c r="D352"/>
  <c r="C352"/>
  <c r="B352"/>
  <c r="A352"/>
  <c r="K351"/>
  <c r="J351"/>
  <c r="I351"/>
  <c r="H351"/>
  <c r="G351"/>
  <c r="F351"/>
  <c r="E351"/>
  <c r="D351"/>
  <c r="C351"/>
  <c r="B351"/>
  <c r="A351"/>
  <c r="K350"/>
  <c r="J350"/>
  <c r="I350"/>
  <c r="H350"/>
  <c r="G350"/>
  <c r="F350"/>
  <c r="E350"/>
  <c r="D350"/>
  <c r="C350"/>
  <c r="B350"/>
  <c r="A350"/>
  <c r="K349"/>
  <c r="J349"/>
  <c r="I349"/>
  <c r="H349"/>
  <c r="G349"/>
  <c r="F349"/>
  <c r="E349"/>
  <c r="D349"/>
  <c r="C349"/>
  <c r="B349"/>
  <c r="A349"/>
  <c r="K348"/>
  <c r="J348"/>
  <c r="I348"/>
  <c r="H348"/>
  <c r="G348"/>
  <c r="F348"/>
  <c r="E348"/>
  <c r="D348"/>
  <c r="C348"/>
  <c r="B348"/>
  <c r="A348"/>
  <c r="K347"/>
  <c r="J347"/>
  <c r="I347"/>
  <c r="H347"/>
  <c r="G347"/>
  <c r="F347"/>
  <c r="E347"/>
  <c r="D347"/>
  <c r="C347"/>
  <c r="B347"/>
  <c r="A347"/>
  <c r="K346"/>
  <c r="J346"/>
  <c r="I346"/>
  <c r="H346"/>
  <c r="G346"/>
  <c r="F346"/>
  <c r="E346"/>
  <c r="D346"/>
  <c r="C346"/>
  <c r="B346"/>
  <c r="A346"/>
  <c r="K345"/>
  <c r="J345"/>
  <c r="I345"/>
  <c r="H345"/>
  <c r="G345"/>
  <c r="F345"/>
  <c r="E345"/>
  <c r="D345"/>
  <c r="C345"/>
  <c r="B345"/>
  <c r="A345"/>
  <c r="K344"/>
  <c r="J344"/>
  <c r="I344"/>
  <c r="H344"/>
  <c r="G344"/>
  <c r="F344"/>
  <c r="E344"/>
  <c r="D344"/>
  <c r="C344"/>
  <c r="B344"/>
  <c r="A344"/>
  <c r="K343"/>
  <c r="J343"/>
  <c r="I343"/>
  <c r="H343"/>
  <c r="G343"/>
  <c r="F343"/>
  <c r="E343"/>
  <c r="D343"/>
  <c r="C343"/>
  <c r="B343"/>
  <c r="A343"/>
  <c r="K342"/>
  <c r="J342"/>
  <c r="I342"/>
  <c r="H342"/>
  <c r="G342"/>
  <c r="F342"/>
  <c r="E342"/>
  <c r="D342"/>
  <c r="C342"/>
  <c r="B342"/>
  <c r="A342"/>
  <c r="K341"/>
  <c r="J341"/>
  <c r="I341"/>
  <c r="H341"/>
  <c r="G341"/>
  <c r="F341"/>
  <c r="E341"/>
  <c r="D341"/>
  <c r="C341"/>
  <c r="B341"/>
  <c r="A341"/>
  <c r="K340"/>
  <c r="J340"/>
  <c r="I340"/>
  <c r="H340"/>
  <c r="G340"/>
  <c r="F340"/>
  <c r="E340"/>
  <c r="D340"/>
  <c r="C340"/>
  <c r="B340"/>
  <c r="A340"/>
  <c r="K339"/>
  <c r="J339"/>
  <c r="I339"/>
  <c r="H339"/>
  <c r="G339"/>
  <c r="F339"/>
  <c r="E339"/>
  <c r="D339"/>
  <c r="C339"/>
  <c r="B339"/>
  <c r="A339"/>
  <c r="K338"/>
  <c r="J338"/>
  <c r="I338"/>
  <c r="H338"/>
  <c r="G338"/>
  <c r="F338"/>
  <c r="E338"/>
  <c r="D338"/>
  <c r="C338"/>
  <c r="B338"/>
  <c r="A338"/>
  <c r="K337"/>
  <c r="J337"/>
  <c r="I337"/>
  <c r="H337"/>
  <c r="G337"/>
  <c r="F337"/>
  <c r="E337"/>
  <c r="D337"/>
  <c r="C337"/>
  <c r="B337"/>
  <c r="A337"/>
  <c r="K336"/>
  <c r="J336"/>
  <c r="I336"/>
  <c r="H336"/>
  <c r="G336"/>
  <c r="F336"/>
  <c r="E336"/>
  <c r="D336"/>
  <c r="C336"/>
  <c r="B336"/>
  <c r="A336"/>
  <c r="K335"/>
  <c r="J335"/>
  <c r="I335"/>
  <c r="H335"/>
  <c r="G335"/>
  <c r="F335"/>
  <c r="E335"/>
  <c r="D335"/>
  <c r="C335"/>
  <c r="B335"/>
  <c r="A335"/>
  <c r="K334"/>
  <c r="J334"/>
  <c r="I334"/>
  <c r="H334"/>
  <c r="G334"/>
  <c r="F334"/>
  <c r="E334"/>
  <c r="D334"/>
  <c r="C334"/>
  <c r="B334"/>
  <c r="A334"/>
  <c r="K333"/>
  <c r="J333"/>
  <c r="I333"/>
  <c r="H333"/>
  <c r="G333"/>
  <c r="F333"/>
  <c r="E333"/>
  <c r="D333"/>
  <c r="C333"/>
  <c r="B333"/>
  <c r="A333"/>
  <c r="K332"/>
  <c r="J332"/>
  <c r="I332"/>
  <c r="H332"/>
  <c r="G332"/>
  <c r="F332"/>
  <c r="E332"/>
  <c r="D332"/>
  <c r="C332"/>
  <c r="B332"/>
  <c r="A332"/>
  <c r="K331"/>
  <c r="J331"/>
  <c r="I331"/>
  <c r="H331"/>
  <c r="G331"/>
  <c r="F331"/>
  <c r="E331"/>
  <c r="D331"/>
  <c r="C331"/>
  <c r="B331"/>
  <c r="A331"/>
  <c r="K330"/>
  <c r="J330"/>
  <c r="I330"/>
  <c r="H330"/>
  <c r="G330"/>
  <c r="F330"/>
  <c r="E330"/>
  <c r="D330"/>
  <c r="C330"/>
  <c r="B330"/>
  <c r="A330"/>
  <c r="K329"/>
  <c r="J329"/>
  <c r="I329"/>
  <c r="H329"/>
  <c r="G329"/>
  <c r="F329"/>
  <c r="E329"/>
  <c r="D329"/>
  <c r="C329"/>
  <c r="B329"/>
  <c r="A329"/>
  <c r="K328"/>
  <c r="J328"/>
  <c r="I328"/>
  <c r="H328"/>
  <c r="G328"/>
  <c r="F328"/>
  <c r="E328"/>
  <c r="D328"/>
  <c r="C328"/>
  <c r="B328"/>
  <c r="A328"/>
  <c r="K327"/>
  <c r="J327"/>
  <c r="I327"/>
  <c r="H327"/>
  <c r="G327"/>
  <c r="F327"/>
  <c r="E327"/>
  <c r="D327"/>
  <c r="C327"/>
  <c r="B327"/>
  <c r="A327"/>
  <c r="K326"/>
  <c r="J326"/>
  <c r="I326"/>
  <c r="H326"/>
  <c r="G326"/>
  <c r="F326"/>
  <c r="E326"/>
  <c r="D326"/>
  <c r="C326"/>
  <c r="B326"/>
  <c r="A326"/>
  <c r="K325"/>
  <c r="J325"/>
  <c r="I325"/>
  <c r="H325"/>
  <c r="G325"/>
  <c r="F325"/>
  <c r="E325"/>
  <c r="D325"/>
  <c r="C325"/>
  <c r="B325"/>
  <c r="A325"/>
  <c r="K324"/>
  <c r="J324"/>
  <c r="I324"/>
  <c r="H324"/>
  <c r="G324"/>
  <c r="F324"/>
  <c r="E324"/>
  <c r="D324"/>
  <c r="C324"/>
  <c r="B324"/>
  <c r="A324"/>
  <c r="K323"/>
  <c r="J323"/>
  <c r="I323"/>
  <c r="H323"/>
  <c r="G323"/>
  <c r="F323"/>
  <c r="E323"/>
  <c r="D323"/>
  <c r="C323"/>
  <c r="B323"/>
  <c r="A323"/>
  <c r="K322"/>
  <c r="J322"/>
  <c r="I322"/>
  <c r="H322"/>
  <c r="G322"/>
  <c r="F322"/>
  <c r="E322"/>
  <c r="D322"/>
  <c r="C322"/>
  <c r="B322"/>
  <c r="A322"/>
  <c r="K321"/>
  <c r="J321"/>
  <c r="I321"/>
  <c r="H321"/>
  <c r="G321"/>
  <c r="F321"/>
  <c r="E321"/>
  <c r="D321"/>
  <c r="C321"/>
  <c r="B321"/>
  <c r="A321"/>
  <c r="K320"/>
  <c r="J320"/>
  <c r="I320"/>
  <c r="H320"/>
  <c r="G320"/>
  <c r="F320"/>
  <c r="E320"/>
  <c r="D320"/>
  <c r="C320"/>
  <c r="B320"/>
  <c r="A320"/>
  <c r="K319"/>
  <c r="J319"/>
  <c r="I319"/>
  <c r="H319"/>
  <c r="G319"/>
  <c r="F319"/>
  <c r="E319"/>
  <c r="D319"/>
  <c r="C319"/>
  <c r="B319"/>
  <c r="A319"/>
  <c r="K318"/>
  <c r="J318"/>
  <c r="I318"/>
  <c r="H318"/>
  <c r="G318"/>
  <c r="F318"/>
  <c r="E318"/>
  <c r="D318"/>
  <c r="C318"/>
  <c r="B318"/>
  <c r="A318"/>
  <c r="K317"/>
  <c r="J317"/>
  <c r="I317"/>
  <c r="H317"/>
  <c r="G317"/>
  <c r="F317"/>
  <c r="E317"/>
  <c r="D317"/>
  <c r="C317"/>
  <c r="B317"/>
  <c r="A317"/>
  <c r="K316"/>
  <c r="J316"/>
  <c r="I316"/>
  <c r="H316"/>
  <c r="G316"/>
  <c r="F316"/>
  <c r="E316"/>
  <c r="D316"/>
  <c r="C316"/>
  <c r="B316"/>
  <c r="A316"/>
  <c r="K315"/>
  <c r="J315"/>
  <c r="I315"/>
  <c r="H315"/>
  <c r="G315"/>
  <c r="F315"/>
  <c r="E315"/>
  <c r="D315"/>
  <c r="C315"/>
  <c r="B315"/>
  <c r="A315"/>
  <c r="K314"/>
  <c r="J314"/>
  <c r="I314"/>
  <c r="H314"/>
  <c r="G314"/>
  <c r="F314"/>
  <c r="E314"/>
  <c r="D314"/>
  <c r="C314"/>
  <c r="B314"/>
  <c r="A314"/>
  <c r="K313"/>
  <c r="J313"/>
  <c r="I313"/>
  <c r="H313"/>
  <c r="G313"/>
  <c r="F313"/>
  <c r="E313"/>
  <c r="D313"/>
  <c r="C313"/>
  <c r="B313"/>
  <c r="A313"/>
  <c r="K312"/>
  <c r="J312"/>
  <c r="I312"/>
  <c r="H312"/>
  <c r="G312"/>
  <c r="F312"/>
  <c r="E312"/>
  <c r="D312"/>
  <c r="C312"/>
  <c r="B312"/>
  <c r="A312"/>
  <c r="K311"/>
  <c r="J311"/>
  <c r="I311"/>
  <c r="H311"/>
  <c r="G311"/>
  <c r="F311"/>
  <c r="E311"/>
  <c r="D311"/>
  <c r="C311"/>
  <c r="B311"/>
  <c r="A311"/>
  <c r="K310"/>
  <c r="J310"/>
  <c r="I310"/>
  <c r="H310"/>
  <c r="G310"/>
  <c r="F310"/>
  <c r="E310"/>
  <c r="D310"/>
  <c r="C310"/>
  <c r="B310"/>
  <c r="A310"/>
  <c r="K309"/>
  <c r="J309"/>
  <c r="I309"/>
  <c r="H309"/>
  <c r="G309"/>
  <c r="F309"/>
  <c r="E309"/>
  <c r="D309"/>
  <c r="C309"/>
  <c r="B309"/>
  <c r="A309"/>
  <c r="K308"/>
  <c r="J308"/>
  <c r="I308"/>
  <c r="H308"/>
  <c r="G308"/>
  <c r="F308"/>
  <c r="E308"/>
  <c r="D308"/>
  <c r="C308"/>
  <c r="B308"/>
  <c r="A308"/>
  <c r="K307"/>
  <c r="J307"/>
  <c r="I307"/>
  <c r="H307"/>
  <c r="G307"/>
  <c r="F307"/>
  <c r="E307"/>
  <c r="D307"/>
  <c r="C307"/>
  <c r="B307"/>
  <c r="A307"/>
  <c r="K306"/>
  <c r="J306"/>
  <c r="I306"/>
  <c r="H306"/>
  <c r="G306"/>
  <c r="F306"/>
  <c r="E306"/>
  <c r="D306"/>
  <c r="C306"/>
  <c r="B306"/>
  <c r="A306"/>
  <c r="K305"/>
  <c r="J305"/>
  <c r="I305"/>
  <c r="H305"/>
  <c r="G305"/>
  <c r="F305"/>
  <c r="E305"/>
  <c r="D305"/>
  <c r="C305"/>
  <c r="B305"/>
  <c r="A305"/>
  <c r="K304"/>
  <c r="J304"/>
  <c r="I304"/>
  <c r="H304"/>
  <c r="G304"/>
  <c r="F304"/>
  <c r="E304"/>
  <c r="D304"/>
  <c r="C304"/>
  <c r="B304"/>
  <c r="A304"/>
  <c r="K303"/>
  <c r="J303"/>
  <c r="I303"/>
  <c r="H303"/>
  <c r="G303"/>
  <c r="F303"/>
  <c r="E303"/>
  <c r="D303"/>
  <c r="C303"/>
  <c r="B303"/>
  <c r="A303"/>
  <c r="K302"/>
  <c r="J302"/>
  <c r="I302"/>
  <c r="H302"/>
  <c r="G302"/>
  <c r="F302"/>
  <c r="E302"/>
  <c r="D302"/>
  <c r="C302"/>
  <c r="B302"/>
  <c r="A302"/>
  <c r="K301"/>
  <c r="J301"/>
  <c r="I301"/>
  <c r="H301"/>
  <c r="G301"/>
  <c r="F301"/>
  <c r="E301"/>
  <c r="D301"/>
  <c r="C301"/>
  <c r="B301"/>
  <c r="A301"/>
  <c r="K300"/>
  <c r="J300"/>
  <c r="I300"/>
  <c r="H300"/>
  <c r="G300"/>
  <c r="F300"/>
  <c r="E300"/>
  <c r="D300"/>
  <c r="C300"/>
  <c r="B300"/>
  <c r="A300"/>
  <c r="K299"/>
  <c r="J299"/>
  <c r="I299"/>
  <c r="H299"/>
  <c r="G299"/>
  <c r="F299"/>
  <c r="E299"/>
  <c r="D299"/>
  <c r="C299"/>
  <c r="B299"/>
  <c r="A299"/>
  <c r="K298"/>
  <c r="J298"/>
  <c r="I298"/>
  <c r="H298"/>
  <c r="G298"/>
  <c r="F298"/>
  <c r="E298"/>
  <c r="D298"/>
  <c r="C298"/>
  <c r="B298"/>
  <c r="A298"/>
  <c r="K297"/>
  <c r="J297"/>
  <c r="I297"/>
  <c r="H297"/>
  <c r="G297"/>
  <c r="F297"/>
  <c r="E297"/>
  <c r="D297"/>
  <c r="C297"/>
  <c r="B297"/>
  <c r="A297"/>
  <c r="K296"/>
  <c r="J296"/>
  <c r="I296"/>
  <c r="H296"/>
  <c r="G296"/>
  <c r="F296"/>
  <c r="E296"/>
  <c r="D296"/>
  <c r="C296"/>
  <c r="B296"/>
  <c r="A296"/>
  <c r="K295"/>
  <c r="J295"/>
  <c r="I295"/>
  <c r="H295"/>
  <c r="G295"/>
  <c r="F295"/>
  <c r="E295"/>
  <c r="D295"/>
  <c r="C295"/>
  <c r="B295"/>
  <c r="A295"/>
  <c r="K294"/>
  <c r="J294"/>
  <c r="I294"/>
  <c r="H294"/>
  <c r="G294"/>
  <c r="F294"/>
  <c r="E294"/>
  <c r="D294"/>
  <c r="C294"/>
  <c r="B294"/>
  <c r="A294"/>
  <c r="K293"/>
  <c r="J293"/>
  <c r="I293"/>
  <c r="H293"/>
  <c r="G293"/>
  <c r="F293"/>
  <c r="E293"/>
  <c r="D293"/>
  <c r="C293"/>
  <c r="B293"/>
  <c r="A293"/>
  <c r="K292"/>
  <c r="J292"/>
  <c r="I292"/>
  <c r="H292"/>
  <c r="G292"/>
  <c r="F292"/>
  <c r="E292"/>
  <c r="D292"/>
  <c r="C292"/>
  <c r="B292"/>
  <c r="A292"/>
  <c r="K291"/>
  <c r="J291"/>
  <c r="I291"/>
  <c r="H291"/>
  <c r="G291"/>
  <c r="F291"/>
  <c r="E291"/>
  <c r="D291"/>
  <c r="C291"/>
  <c r="B291"/>
  <c r="A291"/>
  <c r="K290"/>
  <c r="J290"/>
  <c r="I290"/>
  <c r="H290"/>
  <c r="G290"/>
  <c r="F290"/>
  <c r="E290"/>
  <c r="D290"/>
  <c r="C290"/>
  <c r="B290"/>
  <c r="A290"/>
  <c r="K289"/>
  <c r="J289"/>
  <c r="I289"/>
  <c r="H289"/>
  <c r="G289"/>
  <c r="F289"/>
  <c r="E289"/>
  <c r="D289"/>
  <c r="C289"/>
  <c r="B289"/>
  <c r="A289"/>
  <c r="K288"/>
  <c r="J288"/>
  <c r="I288"/>
  <c r="H288"/>
  <c r="G288"/>
  <c r="F288"/>
  <c r="E288"/>
  <c r="D288"/>
  <c r="C288"/>
  <c r="B288"/>
  <c r="A288"/>
  <c r="K287"/>
  <c r="J287"/>
  <c r="I287"/>
  <c r="H287"/>
  <c r="G287"/>
  <c r="F287"/>
  <c r="E287"/>
  <c r="D287"/>
  <c r="C287"/>
  <c r="B287"/>
  <c r="A287"/>
  <c r="K286"/>
  <c r="J286"/>
  <c r="I286"/>
  <c r="H286"/>
  <c r="G286"/>
  <c r="F286"/>
  <c r="E286"/>
  <c r="D286"/>
  <c r="C286"/>
  <c r="B286"/>
  <c r="A286"/>
  <c r="K285"/>
  <c r="J285"/>
  <c r="I285"/>
  <c r="H285"/>
  <c r="G285"/>
  <c r="F285"/>
  <c r="E285"/>
  <c r="D285"/>
  <c r="C285"/>
  <c r="B285"/>
  <c r="A285"/>
  <c r="K284"/>
  <c r="J284"/>
  <c r="I284"/>
  <c r="H284"/>
  <c r="G284"/>
  <c r="F284"/>
  <c r="E284"/>
  <c r="D284"/>
  <c r="C284"/>
  <c r="B284"/>
  <c r="A284"/>
  <c r="K283"/>
  <c r="J283"/>
  <c r="I283"/>
  <c r="H283"/>
  <c r="G283"/>
  <c r="F283"/>
  <c r="E283"/>
  <c r="D283"/>
  <c r="C283"/>
  <c r="B283"/>
  <c r="A283"/>
  <c r="K282"/>
  <c r="J282"/>
  <c r="I282"/>
  <c r="H282"/>
  <c r="G282"/>
  <c r="F282"/>
  <c r="E282"/>
  <c r="D282"/>
  <c r="C282"/>
  <c r="B282"/>
  <c r="A282"/>
  <c r="K281"/>
  <c r="J281"/>
  <c r="I281"/>
  <c r="H281"/>
  <c r="G281"/>
  <c r="F281"/>
  <c r="E281"/>
  <c r="D281"/>
  <c r="C281"/>
  <c r="B281"/>
  <c r="A281"/>
  <c r="K280"/>
  <c r="J280"/>
  <c r="I280"/>
  <c r="H280"/>
  <c r="G280"/>
  <c r="F280"/>
  <c r="E280"/>
  <c r="D280"/>
  <c r="C280"/>
  <c r="B280"/>
  <c r="A280"/>
  <c r="K279"/>
  <c r="J279"/>
  <c r="I279"/>
  <c r="H279"/>
  <c r="G279"/>
  <c r="F279"/>
  <c r="E279"/>
  <c r="D279"/>
  <c r="C279"/>
  <c r="B279"/>
  <c r="A279"/>
  <c r="K278"/>
  <c r="J278"/>
  <c r="I278"/>
  <c r="H278"/>
  <c r="G278"/>
  <c r="F278"/>
  <c r="E278"/>
  <c r="D278"/>
  <c r="C278"/>
  <c r="B278"/>
  <c r="A278"/>
  <c r="K277"/>
  <c r="J277"/>
  <c r="I277"/>
  <c r="H277"/>
  <c r="G277"/>
  <c r="F277"/>
  <c r="E277"/>
  <c r="D277"/>
  <c r="C277"/>
  <c r="B277"/>
  <c r="A277"/>
  <c r="K276"/>
  <c r="J276"/>
  <c r="I276"/>
  <c r="H276"/>
  <c r="G276"/>
  <c r="F276"/>
  <c r="E276"/>
  <c r="D276"/>
  <c r="C276"/>
  <c r="B276"/>
  <c r="A276"/>
  <c r="K275"/>
  <c r="J275"/>
  <c r="I275"/>
  <c r="H275"/>
  <c r="G275"/>
  <c r="F275"/>
  <c r="E275"/>
  <c r="D275"/>
  <c r="C275"/>
  <c r="B275"/>
  <c r="A275"/>
  <c r="K274"/>
  <c r="J274"/>
  <c r="I274"/>
  <c r="H274"/>
  <c r="G274"/>
  <c r="F274"/>
  <c r="E274"/>
  <c r="D274"/>
  <c r="C274"/>
  <c r="B274"/>
  <c r="A274"/>
  <c r="K273"/>
  <c r="J273"/>
  <c r="I273"/>
  <c r="H273"/>
  <c r="G273"/>
  <c r="F273"/>
  <c r="E273"/>
  <c r="D273"/>
  <c r="C273"/>
  <c r="B273"/>
  <c r="A273"/>
  <c r="K272"/>
  <c r="J272"/>
  <c r="I272"/>
  <c r="H272"/>
  <c r="G272"/>
  <c r="F272"/>
  <c r="E272"/>
  <c r="D272"/>
  <c r="C272"/>
  <c r="B272"/>
  <c r="A272"/>
  <c r="K271"/>
  <c r="J271"/>
  <c r="I271"/>
  <c r="H271"/>
  <c r="G271"/>
  <c r="F271"/>
  <c r="E271"/>
  <c r="D271"/>
  <c r="C271"/>
  <c r="B271"/>
  <c r="A271"/>
  <c r="K270"/>
  <c r="J270"/>
  <c r="I270"/>
  <c r="H270"/>
  <c r="G270"/>
  <c r="F270"/>
  <c r="E270"/>
  <c r="D270"/>
  <c r="C270"/>
  <c r="B270"/>
  <c r="A270"/>
  <c r="K269"/>
  <c r="J269"/>
  <c r="I269"/>
  <c r="H269"/>
  <c r="G269"/>
  <c r="F269"/>
  <c r="E269"/>
  <c r="D269"/>
  <c r="C269"/>
  <c r="B269"/>
  <c r="A269"/>
  <c r="K268"/>
  <c r="J268"/>
  <c r="I268"/>
  <c r="H268"/>
  <c r="G268"/>
  <c r="F268"/>
  <c r="E268"/>
  <c r="D268"/>
  <c r="C268"/>
  <c r="B268"/>
  <c r="A268"/>
  <c r="K267"/>
  <c r="J267"/>
  <c r="I267"/>
  <c r="H267"/>
  <c r="G267"/>
  <c r="F267"/>
  <c r="E267"/>
  <c r="D267"/>
  <c r="C267"/>
  <c r="B267"/>
  <c r="A267"/>
  <c r="K266"/>
  <c r="J266"/>
  <c r="I266"/>
  <c r="H266"/>
  <c r="G266"/>
  <c r="F266"/>
  <c r="E266"/>
  <c r="D266"/>
  <c r="C266"/>
  <c r="B266"/>
  <c r="A266"/>
  <c r="K265"/>
  <c r="J265"/>
  <c r="I265"/>
  <c r="H265"/>
  <c r="G265"/>
  <c r="F265"/>
  <c r="E265"/>
  <c r="D265"/>
  <c r="C265"/>
  <c r="B265"/>
  <c r="A265"/>
  <c r="K264"/>
  <c r="J264"/>
  <c r="I264"/>
  <c r="H264"/>
  <c r="G264"/>
  <c r="F264"/>
  <c r="E264"/>
  <c r="D264"/>
  <c r="C264"/>
  <c r="B264"/>
  <c r="A264"/>
  <c r="K263"/>
  <c r="J263"/>
  <c r="I263"/>
  <c r="H263"/>
  <c r="G263"/>
  <c r="F263"/>
  <c r="E263"/>
  <c r="D263"/>
  <c r="C263"/>
  <c r="B263"/>
  <c r="A263"/>
  <c r="K262"/>
  <c r="J262"/>
  <c r="I262"/>
  <c r="H262"/>
  <c r="G262"/>
  <c r="F262"/>
  <c r="E262"/>
  <c r="D262"/>
  <c r="C262"/>
  <c r="B262"/>
  <c r="A262"/>
  <c r="K261"/>
  <c r="J261"/>
  <c r="I261"/>
  <c r="H261"/>
  <c r="G261"/>
  <c r="F261"/>
  <c r="E261"/>
  <c r="D261"/>
  <c r="C261"/>
  <c r="B261"/>
  <c r="A261"/>
  <c r="K260"/>
  <c r="J260"/>
  <c r="I260"/>
  <c r="H260"/>
  <c r="G260"/>
  <c r="F260"/>
  <c r="E260"/>
  <c r="D260"/>
  <c r="C260"/>
  <c r="B260"/>
  <c r="A260"/>
  <c r="K259"/>
  <c r="J259"/>
  <c r="I259"/>
  <c r="H259"/>
  <c r="G259"/>
  <c r="F259"/>
  <c r="E259"/>
  <c r="D259"/>
  <c r="C259"/>
  <c r="B259"/>
  <c r="A259"/>
  <c r="K258"/>
  <c r="J258"/>
  <c r="I258"/>
  <c r="H258"/>
  <c r="G258"/>
  <c r="F258"/>
  <c r="E258"/>
  <c r="D258"/>
  <c r="C258"/>
  <c r="B258"/>
  <c r="A258"/>
  <c r="K257"/>
  <c r="J257"/>
  <c r="I257"/>
  <c r="H257"/>
  <c r="G257"/>
  <c r="F257"/>
  <c r="E257"/>
  <c r="D257"/>
  <c r="C257"/>
  <c r="B257"/>
  <c r="A257"/>
  <c r="K256"/>
  <c r="J256"/>
  <c r="I256"/>
  <c r="H256"/>
  <c r="G256"/>
  <c r="F256"/>
  <c r="E256"/>
  <c r="D256"/>
  <c r="C256"/>
  <c r="B256"/>
  <c r="A256"/>
  <c r="K255"/>
  <c r="J255"/>
  <c r="I255"/>
  <c r="H255"/>
  <c r="G255"/>
  <c r="F255"/>
  <c r="E255"/>
  <c r="D255"/>
  <c r="C255"/>
  <c r="B255"/>
  <c r="A255"/>
  <c r="K254"/>
  <c r="J254"/>
  <c r="I254"/>
  <c r="H254"/>
  <c r="G254"/>
  <c r="F254"/>
  <c r="E254"/>
  <c r="D254"/>
  <c r="C254"/>
  <c r="B254"/>
  <c r="A254"/>
  <c r="K253"/>
  <c r="J253"/>
  <c r="I253"/>
  <c r="H253"/>
  <c r="G253"/>
  <c r="F253"/>
  <c r="E253"/>
  <c r="D253"/>
  <c r="C253"/>
  <c r="B253"/>
  <c r="A253"/>
  <c r="K252"/>
  <c r="J252"/>
  <c r="I252"/>
  <c r="H252"/>
  <c r="G252"/>
  <c r="F252"/>
  <c r="E252"/>
  <c r="D252"/>
  <c r="C252"/>
  <c r="B252"/>
  <c r="A252"/>
  <c r="K251"/>
  <c r="J251"/>
  <c r="I251"/>
  <c r="H251"/>
  <c r="G251"/>
  <c r="F251"/>
  <c r="E251"/>
  <c r="D251"/>
  <c r="C251"/>
  <c r="B251"/>
  <c r="A251"/>
  <c r="K250"/>
  <c r="J250"/>
  <c r="I250"/>
  <c r="H250"/>
  <c r="G250"/>
  <c r="F250"/>
  <c r="E250"/>
  <c r="D250"/>
  <c r="C250"/>
  <c r="B250"/>
  <c r="A250"/>
  <c r="K249"/>
  <c r="J249"/>
  <c r="I249"/>
  <c r="H249"/>
  <c r="G249"/>
  <c r="F249"/>
  <c r="E249"/>
  <c r="D249"/>
  <c r="C249"/>
  <c r="B249"/>
  <c r="A249"/>
  <c r="K248"/>
  <c r="J248"/>
  <c r="I248"/>
  <c r="H248"/>
  <c r="G248"/>
  <c r="F248"/>
  <c r="E248"/>
  <c r="D248"/>
  <c r="C248"/>
  <c r="B248"/>
  <c r="A248"/>
  <c r="K247"/>
  <c r="J247"/>
  <c r="I247"/>
  <c r="H247"/>
  <c r="G247"/>
  <c r="F247"/>
  <c r="E247"/>
  <c r="D247"/>
  <c r="C247"/>
  <c r="B247"/>
  <c r="A247"/>
  <c r="K246"/>
  <c r="J246"/>
  <c r="I246"/>
  <c r="H246"/>
  <c r="G246"/>
  <c r="F246"/>
  <c r="E246"/>
  <c r="D246"/>
  <c r="C246"/>
  <c r="B246"/>
  <c r="A246"/>
  <c r="K245"/>
  <c r="J245"/>
  <c r="I245"/>
  <c r="H245"/>
  <c r="G245"/>
  <c r="F245"/>
  <c r="E245"/>
  <c r="D245"/>
  <c r="C245"/>
  <c r="B245"/>
  <c r="A245"/>
  <c r="K244"/>
  <c r="J244"/>
  <c r="I244"/>
  <c r="H244"/>
  <c r="G244"/>
  <c r="F244"/>
  <c r="E244"/>
  <c r="D244"/>
  <c r="C244"/>
  <c r="B244"/>
  <c r="A244"/>
  <c r="K243"/>
  <c r="J243"/>
  <c r="I243"/>
  <c r="H243"/>
  <c r="G243"/>
  <c r="F243"/>
  <c r="E243"/>
  <c r="D243"/>
  <c r="C243"/>
  <c r="B243"/>
  <c r="A243"/>
  <c r="K242"/>
  <c r="J242"/>
  <c r="I242"/>
  <c r="H242"/>
  <c r="G242"/>
  <c r="F242"/>
  <c r="E242"/>
  <c r="D242"/>
  <c r="C242"/>
  <c r="B242"/>
  <c r="A242"/>
  <c r="K241"/>
  <c r="J241"/>
  <c r="I241"/>
  <c r="H241"/>
  <c r="G241"/>
  <c r="F241"/>
  <c r="E241"/>
  <c r="D241"/>
  <c r="C241"/>
  <c r="B241"/>
  <c r="A241"/>
  <c r="K240"/>
  <c r="J240"/>
  <c r="I240"/>
  <c r="H240"/>
  <c r="G240"/>
  <c r="F240"/>
  <c r="E240"/>
  <c r="D240"/>
  <c r="C240"/>
  <c r="B240"/>
  <c r="A240"/>
  <c r="K239"/>
  <c r="J239"/>
  <c r="I239"/>
  <c r="H239"/>
  <c r="G239"/>
  <c r="F239"/>
  <c r="E239"/>
  <c r="D239"/>
  <c r="C239"/>
  <c r="B239"/>
  <c r="A239"/>
  <c r="K238"/>
  <c r="J238"/>
  <c r="I238"/>
  <c r="H238"/>
  <c r="G238"/>
  <c r="F238"/>
  <c r="E238"/>
  <c r="D238"/>
  <c r="C238"/>
  <c r="B238"/>
  <c r="A238"/>
  <c r="K237"/>
  <c r="J237"/>
  <c r="I237"/>
  <c r="H237"/>
  <c r="G237"/>
  <c r="F237"/>
  <c r="E237"/>
  <c r="D237"/>
  <c r="C237"/>
  <c r="B237"/>
  <c r="A237"/>
  <c r="K236"/>
  <c r="J236"/>
  <c r="I236"/>
  <c r="H236"/>
  <c r="G236"/>
  <c r="F236"/>
  <c r="E236"/>
  <c r="D236"/>
  <c r="C236"/>
  <c r="B236"/>
  <c r="A236"/>
  <c r="K235"/>
  <c r="J235"/>
  <c r="I235"/>
  <c r="H235"/>
  <c r="G235"/>
  <c r="F235"/>
  <c r="E235"/>
  <c r="D235"/>
  <c r="C235"/>
  <c r="B235"/>
  <c r="A235"/>
  <c r="K234"/>
  <c r="J234"/>
  <c r="I234"/>
  <c r="H234"/>
  <c r="G234"/>
  <c r="F234"/>
  <c r="E234"/>
  <c r="D234"/>
  <c r="C234"/>
  <c r="B234"/>
  <c r="A234"/>
  <c r="K233"/>
  <c r="J233"/>
  <c r="I233"/>
  <c r="H233"/>
  <c r="G233"/>
  <c r="F233"/>
  <c r="E233"/>
  <c r="D233"/>
  <c r="C233"/>
  <c r="B233"/>
  <c r="A233"/>
  <c r="K232"/>
  <c r="J232"/>
  <c r="I232"/>
  <c r="H232"/>
  <c r="G232"/>
  <c r="F232"/>
  <c r="E232"/>
  <c r="D232"/>
  <c r="C232"/>
  <c r="B232"/>
  <c r="A232"/>
  <c r="K231"/>
  <c r="J231"/>
  <c r="I231"/>
  <c r="H231"/>
  <c r="G231"/>
  <c r="F231"/>
  <c r="E231"/>
  <c r="D231"/>
  <c r="C231"/>
  <c r="B231"/>
  <c r="A231"/>
  <c r="K230"/>
  <c r="J230"/>
  <c r="I230"/>
  <c r="H230"/>
  <c r="G230"/>
  <c r="F230"/>
  <c r="E230"/>
  <c r="D230"/>
  <c r="C230"/>
  <c r="B230"/>
  <c r="A230"/>
  <c r="K229"/>
  <c r="J229"/>
  <c r="I229"/>
  <c r="H229"/>
  <c r="G229"/>
  <c r="F229"/>
  <c r="E229"/>
  <c r="D229"/>
  <c r="C229"/>
  <c r="B229"/>
  <c r="A229"/>
  <c r="K228"/>
  <c r="J228"/>
  <c r="I228"/>
  <c r="H228"/>
  <c r="G228"/>
  <c r="F228"/>
  <c r="E228"/>
  <c r="D228"/>
  <c r="C228"/>
  <c r="B228"/>
  <c r="A228"/>
  <c r="K227"/>
  <c r="J227"/>
  <c r="I227"/>
  <c r="H227"/>
  <c r="G227"/>
  <c r="F227"/>
  <c r="E227"/>
  <c r="D227"/>
  <c r="C227"/>
  <c r="B227"/>
  <c r="A227"/>
  <c r="K226"/>
  <c r="J226"/>
  <c r="I226"/>
  <c r="H226"/>
  <c r="G226"/>
  <c r="F226"/>
  <c r="E226"/>
  <c r="D226"/>
  <c r="C226"/>
  <c r="B226"/>
  <c r="A226"/>
  <c r="K225"/>
  <c r="J225"/>
  <c r="I225"/>
  <c r="H225"/>
  <c r="G225"/>
  <c r="F225"/>
  <c r="E225"/>
  <c r="D225"/>
  <c r="C225"/>
  <c r="B225"/>
  <c r="A225"/>
  <c r="K224"/>
  <c r="J224"/>
  <c r="I224"/>
  <c r="H224"/>
  <c r="G224"/>
  <c r="F224"/>
  <c r="E224"/>
  <c r="D224"/>
  <c r="C224"/>
  <c r="B224"/>
  <c r="A224"/>
  <c r="K223"/>
  <c r="J223"/>
  <c r="I223"/>
  <c r="H223"/>
  <c r="G223"/>
  <c r="F223"/>
  <c r="E223"/>
  <c r="D223"/>
  <c r="C223"/>
  <c r="B223"/>
  <c r="A223"/>
  <c r="K222"/>
  <c r="J222"/>
  <c r="I222"/>
  <c r="H222"/>
  <c r="G222"/>
  <c r="F222"/>
  <c r="E222"/>
  <c r="D222"/>
  <c r="C222"/>
  <c r="B222"/>
  <c r="A222"/>
  <c r="K221"/>
  <c r="J221"/>
  <c r="I221"/>
  <c r="H221"/>
  <c r="G221"/>
  <c r="F221"/>
  <c r="E221"/>
  <c r="D221"/>
  <c r="C221"/>
  <c r="B221"/>
  <c r="A221"/>
  <c r="K220"/>
  <c r="J220"/>
  <c r="I220"/>
  <c r="H220"/>
  <c r="G220"/>
  <c r="F220"/>
  <c r="E220"/>
  <c r="D220"/>
  <c r="C220"/>
  <c r="B220"/>
  <c r="A220"/>
  <c r="K219"/>
  <c r="J219"/>
  <c r="I219"/>
  <c r="H219"/>
  <c r="G219"/>
  <c r="F219"/>
  <c r="E219"/>
  <c r="D219"/>
  <c r="C219"/>
  <c r="B219"/>
  <c r="A219"/>
  <c r="K218"/>
  <c r="J218"/>
  <c r="I218"/>
  <c r="H218"/>
  <c r="G218"/>
  <c r="F218"/>
  <c r="E218"/>
  <c r="D218"/>
  <c r="C218"/>
  <c r="B218"/>
  <c r="A218"/>
  <c r="K217"/>
  <c r="J217"/>
  <c r="I217"/>
  <c r="H217"/>
  <c r="G217"/>
  <c r="F217"/>
  <c r="E217"/>
  <c r="D217"/>
  <c r="C217"/>
  <c r="B217"/>
  <c r="A217"/>
  <c r="K216"/>
  <c r="J216"/>
  <c r="I216"/>
  <c r="H216"/>
  <c r="G216"/>
  <c r="F216"/>
  <c r="E216"/>
  <c r="D216"/>
  <c r="C216"/>
  <c r="B216"/>
  <c r="A216"/>
  <c r="K215"/>
  <c r="J215"/>
  <c r="I215"/>
  <c r="H215"/>
  <c r="G215"/>
  <c r="F215"/>
  <c r="E215"/>
  <c r="D215"/>
  <c r="C215"/>
  <c r="B215"/>
  <c r="A215"/>
  <c r="K214"/>
  <c r="J214"/>
  <c r="I214"/>
  <c r="H214"/>
  <c r="G214"/>
  <c r="F214"/>
  <c r="E214"/>
  <c r="D214"/>
  <c r="C214"/>
  <c r="B214"/>
  <c r="A214"/>
  <c r="K213"/>
  <c r="J213"/>
  <c r="I213"/>
  <c r="H213"/>
  <c r="G213"/>
  <c r="F213"/>
  <c r="E213"/>
  <c r="D213"/>
  <c r="C213"/>
  <c r="B213"/>
  <c r="A213"/>
  <c r="K212"/>
  <c r="J212"/>
  <c r="I212"/>
  <c r="H212"/>
  <c r="G212"/>
  <c r="F212"/>
  <c r="E212"/>
  <c r="D212"/>
  <c r="C212"/>
  <c r="B212"/>
  <c r="A212"/>
  <c r="K211"/>
  <c r="J211"/>
  <c r="I211"/>
  <c r="H211"/>
  <c r="G211"/>
  <c r="F211"/>
  <c r="E211"/>
  <c r="D211"/>
  <c r="C211"/>
  <c r="B211"/>
  <c r="A211"/>
  <c r="K210"/>
  <c r="J210"/>
  <c r="I210"/>
  <c r="H210"/>
  <c r="G210"/>
  <c r="F210"/>
  <c r="E210"/>
  <c r="D210"/>
  <c r="C210"/>
  <c r="B210"/>
  <c r="A210"/>
  <c r="K209"/>
  <c r="J209"/>
  <c r="I209"/>
  <c r="H209"/>
  <c r="G209"/>
  <c r="F209"/>
  <c r="E209"/>
  <c r="D209"/>
  <c r="C209"/>
  <c r="B209"/>
  <c r="A209"/>
  <c r="K208"/>
  <c r="J208"/>
  <c r="I208"/>
  <c r="H208"/>
  <c r="G208"/>
  <c r="F208"/>
  <c r="E208"/>
  <c r="D208"/>
  <c r="C208"/>
  <c r="B208"/>
  <c r="A208"/>
  <c r="K207"/>
  <c r="J207"/>
  <c r="I207"/>
  <c r="H207"/>
  <c r="G207"/>
  <c r="F207"/>
  <c r="E207"/>
  <c r="D207"/>
  <c r="C207"/>
  <c r="B207"/>
  <c r="A207"/>
  <c r="K206"/>
  <c r="J206"/>
  <c r="I206"/>
  <c r="H206"/>
  <c r="G206"/>
  <c r="F206"/>
  <c r="E206"/>
  <c r="D206"/>
  <c r="C206"/>
  <c r="B206"/>
  <c r="A206"/>
  <c r="K205"/>
  <c r="J205"/>
  <c r="I205"/>
  <c r="H205"/>
  <c r="G205"/>
  <c r="F205"/>
  <c r="E205"/>
  <c r="D205"/>
  <c r="C205"/>
  <c r="B205"/>
  <c r="A205"/>
  <c r="K204"/>
  <c r="J204"/>
  <c r="I204"/>
  <c r="H204"/>
  <c r="G204"/>
  <c r="F204"/>
  <c r="E204"/>
  <c r="D204"/>
  <c r="C204"/>
  <c r="B204"/>
  <c r="A204"/>
  <c r="K203"/>
  <c r="J203"/>
  <c r="I203"/>
  <c r="H203"/>
  <c r="G203"/>
  <c r="F203"/>
  <c r="E203"/>
  <c r="D203"/>
  <c r="C203"/>
  <c r="B203"/>
  <c r="A203"/>
  <c r="K202"/>
  <c r="J202"/>
  <c r="I202"/>
  <c r="H202"/>
  <c r="G202"/>
  <c r="F202"/>
  <c r="E202"/>
  <c r="D202"/>
  <c r="C202"/>
  <c r="B202"/>
  <c r="A202"/>
  <c r="K201"/>
  <c r="J201"/>
  <c r="I201"/>
  <c r="H201"/>
  <c r="G201"/>
  <c r="F201"/>
  <c r="E201"/>
  <c r="D201"/>
  <c r="C201"/>
  <c r="B201"/>
  <c r="A201"/>
  <c r="K200"/>
  <c r="J200"/>
  <c r="I200"/>
  <c r="H200"/>
  <c r="G200"/>
  <c r="F200"/>
  <c r="E200"/>
  <c r="D200"/>
  <c r="C200"/>
  <c r="B200"/>
  <c r="A200"/>
  <c r="K199"/>
  <c r="J199"/>
  <c r="I199"/>
  <c r="H199"/>
  <c r="G199"/>
  <c r="F199"/>
  <c r="E199"/>
  <c r="D199"/>
  <c r="C199"/>
  <c r="B199"/>
  <c r="A199"/>
  <c r="K198"/>
  <c r="J198"/>
  <c r="I198"/>
  <c r="H198"/>
  <c r="G198"/>
  <c r="F198"/>
  <c r="E198"/>
  <c r="D198"/>
  <c r="C198"/>
  <c r="B198"/>
  <c r="A198"/>
  <c r="K197"/>
  <c r="J197"/>
  <c r="I197"/>
  <c r="H197"/>
  <c r="G197"/>
  <c r="F197"/>
  <c r="E197"/>
  <c r="D197"/>
  <c r="C197"/>
  <c r="B197"/>
  <c r="A197"/>
  <c r="K196"/>
  <c r="J196"/>
  <c r="I196"/>
  <c r="H196"/>
  <c r="G196"/>
  <c r="F196"/>
  <c r="E196"/>
  <c r="D196"/>
  <c r="C196"/>
  <c r="B196"/>
  <c r="A196"/>
  <c r="K195"/>
  <c r="J195"/>
  <c r="I195"/>
  <c r="H195"/>
  <c r="G195"/>
  <c r="F195"/>
  <c r="E195"/>
  <c r="D195"/>
  <c r="C195"/>
  <c r="B195"/>
  <c r="A195"/>
  <c r="K194"/>
  <c r="J194"/>
  <c r="I194"/>
  <c r="H194"/>
  <c r="G194"/>
  <c r="F194"/>
  <c r="E194"/>
  <c r="D194"/>
  <c r="C194"/>
  <c r="B194"/>
  <c r="A194"/>
  <c r="K193"/>
  <c r="J193"/>
  <c r="I193"/>
  <c r="H193"/>
  <c r="G193"/>
  <c r="F193"/>
  <c r="E193"/>
  <c r="D193"/>
  <c r="C193"/>
  <c r="B193"/>
  <c r="A193"/>
  <c r="K192"/>
  <c r="J192"/>
  <c r="I192"/>
  <c r="H192"/>
  <c r="G192"/>
  <c r="F192"/>
  <c r="E192"/>
  <c r="D192"/>
  <c r="C192"/>
  <c r="B192"/>
  <c r="A192"/>
  <c r="K191"/>
  <c r="J191"/>
  <c r="I191"/>
  <c r="H191"/>
  <c r="G191"/>
  <c r="F191"/>
  <c r="E191"/>
  <c r="D191"/>
  <c r="C191"/>
  <c r="B191"/>
  <c r="A191"/>
  <c r="K190"/>
  <c r="J190"/>
  <c r="I190"/>
  <c r="H190"/>
  <c r="G190"/>
  <c r="F190"/>
  <c r="E190"/>
  <c r="D190"/>
  <c r="C190"/>
  <c r="B190"/>
  <c r="A190"/>
  <c r="K189"/>
  <c r="J189"/>
  <c r="I189"/>
  <c r="H189"/>
  <c r="G189"/>
  <c r="F189"/>
  <c r="E189"/>
  <c r="D189"/>
  <c r="C189"/>
  <c r="B189"/>
  <c r="A189"/>
  <c r="K188"/>
  <c r="J188"/>
  <c r="I188"/>
  <c r="H188"/>
  <c r="G188"/>
  <c r="F188"/>
  <c r="E188"/>
  <c r="D188"/>
  <c r="C188"/>
  <c r="B188"/>
  <c r="A188"/>
  <c r="K187"/>
  <c r="J187"/>
  <c r="I187"/>
  <c r="H187"/>
  <c r="G187"/>
  <c r="F187"/>
  <c r="E187"/>
  <c r="D187"/>
  <c r="C187"/>
  <c r="B187"/>
  <c r="A187"/>
  <c r="K186"/>
  <c r="J186"/>
  <c r="I186"/>
  <c r="H186"/>
  <c r="G186"/>
  <c r="F186"/>
  <c r="E186"/>
  <c r="D186"/>
  <c r="C186"/>
  <c r="B186"/>
  <c r="A186"/>
  <c r="K185"/>
  <c r="J185"/>
  <c r="I185"/>
  <c r="H185"/>
  <c r="G185"/>
  <c r="F185"/>
  <c r="E185"/>
  <c r="D185"/>
  <c r="C185"/>
  <c r="B185"/>
  <c r="A185"/>
  <c r="K184"/>
  <c r="J184"/>
  <c r="I184"/>
  <c r="H184"/>
  <c r="G184"/>
  <c r="F184"/>
  <c r="E184"/>
  <c r="D184"/>
  <c r="C184"/>
  <c r="B184"/>
  <c r="A184"/>
  <c r="K183"/>
  <c r="J183"/>
  <c r="I183"/>
  <c r="H183"/>
  <c r="G183"/>
  <c r="F183"/>
  <c r="E183"/>
  <c r="D183"/>
  <c r="C183"/>
  <c r="B183"/>
  <c r="A183"/>
  <c r="K182"/>
  <c r="J182"/>
  <c r="I182"/>
  <c r="H182"/>
  <c r="G182"/>
  <c r="F182"/>
  <c r="E182"/>
  <c r="D182"/>
  <c r="C182"/>
  <c r="B182"/>
  <c r="A182"/>
  <c r="K181"/>
  <c r="J181"/>
  <c r="I181"/>
  <c r="H181"/>
  <c r="G181"/>
  <c r="F181"/>
  <c r="E181"/>
  <c r="D181"/>
  <c r="C181"/>
  <c r="B181"/>
  <c r="A181"/>
  <c r="K180"/>
  <c r="J180"/>
  <c r="I180"/>
  <c r="H180"/>
  <c r="G180"/>
  <c r="F180"/>
  <c r="E180"/>
  <c r="D180"/>
  <c r="C180"/>
  <c r="B180"/>
  <c r="A180"/>
  <c r="K179"/>
  <c r="J179"/>
  <c r="I179"/>
  <c r="H179"/>
  <c r="G179"/>
  <c r="F179"/>
  <c r="E179"/>
  <c r="D179"/>
  <c r="C179"/>
  <c r="B179"/>
  <c r="A179"/>
  <c r="K178"/>
  <c r="J178"/>
  <c r="I178"/>
  <c r="H178"/>
  <c r="G178"/>
  <c r="F178"/>
  <c r="E178"/>
  <c r="D178"/>
  <c r="C178"/>
  <c r="B178"/>
  <c r="A178"/>
  <c r="K177"/>
  <c r="J177"/>
  <c r="I177"/>
  <c r="H177"/>
  <c r="G177"/>
  <c r="F177"/>
  <c r="E177"/>
  <c r="D177"/>
  <c r="C177"/>
  <c r="B177"/>
  <c r="A177"/>
  <c r="K176"/>
  <c r="J176"/>
  <c r="I176"/>
  <c r="H176"/>
  <c r="G176"/>
  <c r="F176"/>
  <c r="E176"/>
  <c r="D176"/>
  <c r="C176"/>
  <c r="B176"/>
  <c r="A176"/>
  <c r="K175"/>
  <c r="J175"/>
  <c r="I175"/>
  <c r="H175"/>
  <c r="G175"/>
  <c r="F175"/>
  <c r="E175"/>
  <c r="D175"/>
  <c r="C175"/>
  <c r="B175"/>
  <c r="A175"/>
  <c r="K174"/>
  <c r="J174"/>
  <c r="I174"/>
  <c r="H174"/>
  <c r="G174"/>
  <c r="F174"/>
  <c r="E174"/>
  <c r="D174"/>
  <c r="C174"/>
  <c r="B174"/>
  <c r="A174"/>
  <c r="K173"/>
  <c r="J173"/>
  <c r="I173"/>
  <c r="H173"/>
  <c r="G173"/>
  <c r="F173"/>
  <c r="E173"/>
  <c r="D173"/>
  <c r="C173"/>
  <c r="B173"/>
  <c r="A173"/>
  <c r="K172"/>
  <c r="J172"/>
  <c r="I172"/>
  <c r="H172"/>
  <c r="G172"/>
  <c r="F172"/>
  <c r="E172"/>
  <c r="D172"/>
  <c r="C172"/>
  <c r="B172"/>
  <c r="A172"/>
  <c r="K171"/>
  <c r="J171"/>
  <c r="I171"/>
  <c r="H171"/>
  <c r="G171"/>
  <c r="F171"/>
  <c r="E171"/>
  <c r="D171"/>
  <c r="C171"/>
  <c r="B171"/>
  <c r="A171"/>
  <c r="K170"/>
  <c r="J170"/>
  <c r="I170"/>
  <c r="H170"/>
  <c r="G170"/>
  <c r="F170"/>
  <c r="E170"/>
  <c r="D170"/>
  <c r="C170"/>
  <c r="B170"/>
  <c r="A170"/>
  <c r="K169"/>
  <c r="J169"/>
  <c r="I169"/>
  <c r="H169"/>
  <c r="G169"/>
  <c r="F169"/>
  <c r="E169"/>
  <c r="D169"/>
  <c r="C169"/>
  <c r="B169"/>
  <c r="A169"/>
  <c r="K168"/>
  <c r="J168"/>
  <c r="I168"/>
  <c r="H168"/>
  <c r="G168"/>
  <c r="F168"/>
  <c r="E168"/>
  <c r="D168"/>
  <c r="C168"/>
  <c r="B168"/>
  <c r="A168"/>
  <c r="K167"/>
  <c r="J167"/>
  <c r="I167"/>
  <c r="H167"/>
  <c r="G167"/>
  <c r="F167"/>
  <c r="E167"/>
  <c r="D167"/>
  <c r="C167"/>
  <c r="B167"/>
  <c r="A167"/>
  <c r="K166"/>
  <c r="J166"/>
  <c r="I166"/>
  <c r="H166"/>
  <c r="G166"/>
  <c r="F166"/>
  <c r="E166"/>
  <c r="D166"/>
  <c r="C166"/>
  <c r="B166"/>
  <c r="A166"/>
  <c r="K165"/>
  <c r="J165"/>
  <c r="I165"/>
  <c r="H165"/>
  <c r="G165"/>
  <c r="F165"/>
  <c r="E165"/>
  <c r="D165"/>
  <c r="C165"/>
  <c r="B165"/>
  <c r="A165"/>
  <c r="K164"/>
  <c r="J164"/>
  <c r="I164"/>
  <c r="H164"/>
  <c r="G164"/>
  <c r="F164"/>
  <c r="E164"/>
  <c r="D164"/>
  <c r="C164"/>
  <c r="B164"/>
  <c r="A164"/>
  <c r="K163"/>
  <c r="J163"/>
  <c r="I163"/>
  <c r="H163"/>
  <c r="G163"/>
  <c r="F163"/>
  <c r="E163"/>
  <c r="D163"/>
  <c r="C163"/>
  <c r="B163"/>
  <c r="A163"/>
  <c r="K162"/>
  <c r="J162"/>
  <c r="I162"/>
  <c r="H162"/>
  <c r="G162"/>
  <c r="F162"/>
  <c r="E162"/>
  <c r="D162"/>
  <c r="C162"/>
  <c r="B162"/>
  <c r="A162"/>
  <c r="K161"/>
  <c r="J161"/>
  <c r="I161"/>
  <c r="H161"/>
  <c r="G161"/>
  <c r="F161"/>
  <c r="E161"/>
  <c r="D161"/>
  <c r="C161"/>
  <c r="B161"/>
  <c r="A161"/>
  <c r="K160"/>
  <c r="J160"/>
  <c r="I160"/>
  <c r="H160"/>
  <c r="G160"/>
  <c r="F160"/>
  <c r="E160"/>
  <c r="D160"/>
  <c r="C160"/>
  <c r="B160"/>
  <c r="A160"/>
  <c r="K159"/>
  <c r="J159"/>
  <c r="I159"/>
  <c r="H159"/>
  <c r="G159"/>
  <c r="F159"/>
  <c r="E159"/>
  <c r="D159"/>
  <c r="C159"/>
  <c r="B159"/>
  <c r="A159"/>
  <c r="K158"/>
  <c r="J158"/>
  <c r="I158"/>
  <c r="H158"/>
  <c r="G158"/>
  <c r="F158"/>
  <c r="E158"/>
  <c r="D158"/>
  <c r="C158"/>
  <c r="B158"/>
  <c r="A158"/>
  <c r="K157"/>
  <c r="J157"/>
  <c r="I157"/>
  <c r="H157"/>
  <c r="G157"/>
  <c r="F157"/>
  <c r="E157"/>
  <c r="D157"/>
  <c r="C157"/>
  <c r="B157"/>
  <c r="A157"/>
  <c r="K156"/>
  <c r="J156"/>
  <c r="I156"/>
  <c r="H156"/>
  <c r="G156"/>
  <c r="F156"/>
  <c r="E156"/>
  <c r="D156"/>
  <c r="C156"/>
  <c r="B156"/>
  <c r="A156"/>
  <c r="K155"/>
  <c r="J155"/>
  <c r="I155"/>
  <c r="H155"/>
  <c r="G155"/>
  <c r="F155"/>
  <c r="E155"/>
  <c r="D155"/>
  <c r="C155"/>
  <c r="B155"/>
  <c r="A155"/>
  <c r="K154"/>
  <c r="J154"/>
  <c r="I154"/>
  <c r="H154"/>
  <c r="G154"/>
  <c r="F154"/>
  <c r="E154"/>
  <c r="D154"/>
  <c r="C154"/>
  <c r="B154"/>
  <c r="A154"/>
  <c r="K153"/>
  <c r="J153"/>
  <c r="I153"/>
  <c r="H153"/>
  <c r="G153"/>
  <c r="F153"/>
  <c r="E153"/>
  <c r="D153"/>
  <c r="C153"/>
  <c r="B153"/>
  <c r="A153"/>
  <c r="K152"/>
  <c r="J152"/>
  <c r="I152"/>
  <c r="H152"/>
  <c r="G152"/>
  <c r="F152"/>
  <c r="E152"/>
  <c r="D152"/>
  <c r="C152"/>
  <c r="B152"/>
  <c r="A152"/>
  <c r="K151"/>
  <c r="J151"/>
  <c r="I151"/>
  <c r="H151"/>
  <c r="G151"/>
  <c r="F151"/>
  <c r="E151"/>
  <c r="D151"/>
  <c r="C151"/>
  <c r="B151"/>
  <c r="A151"/>
  <c r="K150"/>
  <c r="J150"/>
  <c r="I150"/>
  <c r="H150"/>
  <c r="G150"/>
  <c r="F150"/>
  <c r="E150"/>
  <c r="D150"/>
  <c r="C150"/>
  <c r="B150"/>
  <c r="A150"/>
  <c r="K149"/>
  <c r="J149"/>
  <c r="I149"/>
  <c r="H149"/>
  <c r="G149"/>
  <c r="F149"/>
  <c r="E149"/>
  <c r="D149"/>
  <c r="C149"/>
  <c r="B149"/>
  <c r="A149"/>
  <c r="K148"/>
  <c r="J148"/>
  <c r="I148"/>
  <c r="H148"/>
  <c r="G148"/>
  <c r="F148"/>
  <c r="E148"/>
  <c r="D148"/>
  <c r="C148"/>
  <c r="B148"/>
  <c r="A148"/>
  <c r="K147"/>
  <c r="J147"/>
  <c r="I147"/>
  <c r="H147"/>
  <c r="G147"/>
  <c r="F147"/>
  <c r="E147"/>
  <c r="D147"/>
  <c r="C147"/>
  <c r="B147"/>
  <c r="A147"/>
  <c r="K146"/>
  <c r="J146"/>
  <c r="I146"/>
  <c r="H146"/>
  <c r="G146"/>
  <c r="F146"/>
  <c r="E146"/>
  <c r="D146"/>
  <c r="C146"/>
  <c r="B146"/>
  <c r="A146"/>
  <c r="K145"/>
  <c r="J145"/>
  <c r="I145"/>
  <c r="H145"/>
  <c r="G145"/>
  <c r="F145"/>
  <c r="E145"/>
  <c r="D145"/>
  <c r="C145"/>
  <c r="B145"/>
  <c r="A145"/>
  <c r="K144"/>
  <c r="J144"/>
  <c r="I144"/>
  <c r="H144"/>
  <c r="G144"/>
  <c r="F144"/>
  <c r="E144"/>
  <c r="D144"/>
  <c r="C144"/>
  <c r="B144"/>
  <c r="A144"/>
  <c r="K143"/>
  <c r="J143"/>
  <c r="I143"/>
  <c r="H143"/>
  <c r="G143"/>
  <c r="F143"/>
  <c r="E143"/>
  <c r="D143"/>
  <c r="C143"/>
  <c r="B143"/>
  <c r="A143"/>
  <c r="K142"/>
  <c r="J142"/>
  <c r="I142"/>
  <c r="H142"/>
  <c r="G142"/>
  <c r="F142"/>
  <c r="E142"/>
  <c r="D142"/>
  <c r="C142"/>
  <c r="B142"/>
  <c r="A142"/>
  <c r="K141"/>
  <c r="J141"/>
  <c r="I141"/>
  <c r="H141"/>
  <c r="G141"/>
  <c r="F141"/>
  <c r="E141"/>
  <c r="D141"/>
  <c r="C141"/>
  <c r="B141"/>
  <c r="A141"/>
  <c r="K140"/>
  <c r="J140"/>
  <c r="I140"/>
  <c r="H140"/>
  <c r="G140"/>
  <c r="F140"/>
  <c r="E140"/>
  <c r="D140"/>
  <c r="C140"/>
  <c r="B140"/>
  <c r="A140"/>
  <c r="K139"/>
  <c r="J139"/>
  <c r="I139"/>
  <c r="H139"/>
  <c r="G139"/>
  <c r="F139"/>
  <c r="E139"/>
  <c r="D139"/>
  <c r="C139"/>
  <c r="B139"/>
  <c r="A139"/>
  <c r="K138"/>
  <c r="J138"/>
  <c r="I138"/>
  <c r="H138"/>
  <c r="G138"/>
  <c r="F138"/>
  <c r="E138"/>
  <c r="D138"/>
  <c r="C138"/>
  <c r="B138"/>
  <c r="A138"/>
  <c r="K137"/>
  <c r="J137"/>
  <c r="I137"/>
  <c r="H137"/>
  <c r="G137"/>
  <c r="F137"/>
  <c r="E137"/>
  <c r="D137"/>
  <c r="C137"/>
  <c r="B137"/>
  <c r="A137"/>
  <c r="K136"/>
  <c r="J136"/>
  <c r="I136"/>
  <c r="H136"/>
  <c r="G136"/>
  <c r="F136"/>
  <c r="E136"/>
  <c r="D136"/>
  <c r="C136"/>
  <c r="B136"/>
  <c r="A136"/>
  <c r="K135"/>
  <c r="J135"/>
  <c r="I135"/>
  <c r="H135"/>
  <c r="G135"/>
  <c r="F135"/>
  <c r="E135"/>
  <c r="D135"/>
  <c r="C135"/>
  <c r="B135"/>
  <c r="A135"/>
  <c r="K134"/>
  <c r="J134"/>
  <c r="I134"/>
  <c r="H134"/>
  <c r="G134"/>
  <c r="F134"/>
  <c r="E134"/>
  <c r="D134"/>
  <c r="C134"/>
  <c r="B134"/>
  <c r="A134"/>
  <c r="K133"/>
  <c r="J133"/>
  <c r="I133"/>
  <c r="H133"/>
  <c r="G133"/>
  <c r="F133"/>
  <c r="E133"/>
  <c r="D133"/>
  <c r="C133"/>
  <c r="B133"/>
  <c r="A133"/>
  <c r="K132"/>
  <c r="J132"/>
  <c r="I132"/>
  <c r="H132"/>
  <c r="G132"/>
  <c r="F132"/>
  <c r="E132"/>
  <c r="D132"/>
  <c r="C132"/>
  <c r="B132"/>
  <c r="A132"/>
  <c r="K131"/>
  <c r="J131"/>
  <c r="I131"/>
  <c r="H131"/>
  <c r="G131"/>
  <c r="F131"/>
  <c r="E131"/>
  <c r="D131"/>
  <c r="C131"/>
  <c r="B131"/>
  <c r="A131"/>
  <c r="K130"/>
  <c r="J130"/>
  <c r="I130"/>
  <c r="H130"/>
  <c r="G130"/>
  <c r="F130"/>
  <c r="E130"/>
  <c r="D130"/>
  <c r="C130"/>
  <c r="B130"/>
  <c r="A130"/>
  <c r="K129"/>
  <c r="J129"/>
  <c r="I129"/>
  <c r="H129"/>
  <c r="G129"/>
  <c r="F129"/>
  <c r="E129"/>
  <c r="D129"/>
  <c r="C129"/>
  <c r="B129"/>
  <c r="A129"/>
  <c r="K128"/>
  <c r="J128"/>
  <c r="I128"/>
  <c r="H128"/>
  <c r="G128"/>
  <c r="F128"/>
  <c r="E128"/>
  <c r="D128"/>
  <c r="C128"/>
  <c r="B128"/>
  <c r="A128"/>
  <c r="K127"/>
  <c r="J127"/>
  <c r="I127"/>
  <c r="H127"/>
  <c r="G127"/>
  <c r="F127"/>
  <c r="E127"/>
  <c r="D127"/>
  <c r="C127"/>
  <c r="B127"/>
  <c r="A127"/>
  <c r="K126"/>
  <c r="J126"/>
  <c r="I126"/>
  <c r="H126"/>
  <c r="G126"/>
  <c r="F126"/>
  <c r="E126"/>
  <c r="D126"/>
  <c r="C126"/>
  <c r="B126"/>
  <c r="A126"/>
  <c r="K125"/>
  <c r="J125"/>
  <c r="I125"/>
  <c r="H125"/>
  <c r="G125"/>
  <c r="F125"/>
  <c r="E125"/>
  <c r="D125"/>
  <c r="C125"/>
  <c r="B125"/>
  <c r="A125"/>
  <c r="K124"/>
  <c r="J124"/>
  <c r="I124"/>
  <c r="H124"/>
  <c r="G124"/>
  <c r="F124"/>
  <c r="E124"/>
  <c r="D124"/>
  <c r="C124"/>
  <c r="B124"/>
  <c r="A124"/>
  <c r="K123"/>
  <c r="J123"/>
  <c r="I123"/>
  <c r="H123"/>
  <c r="G123"/>
  <c r="F123"/>
  <c r="E123"/>
  <c r="D123"/>
  <c r="C123"/>
  <c r="B123"/>
  <c r="A123"/>
  <c r="K122"/>
  <c r="J122"/>
  <c r="I122"/>
  <c r="H122"/>
  <c r="G122"/>
  <c r="F122"/>
  <c r="E122"/>
  <c r="D122"/>
  <c r="C122"/>
  <c r="B122"/>
  <c r="A122"/>
  <c r="K121"/>
  <c r="J121"/>
  <c r="I121"/>
  <c r="H121"/>
  <c r="G121"/>
  <c r="F121"/>
  <c r="E121"/>
  <c r="D121"/>
  <c r="C121"/>
  <c r="B121"/>
  <c r="A121"/>
  <c r="K120"/>
  <c r="J120"/>
  <c r="I120"/>
  <c r="H120"/>
  <c r="G120"/>
  <c r="F120"/>
  <c r="E120"/>
  <c r="D120"/>
  <c r="C120"/>
  <c r="B120"/>
  <c r="A120"/>
  <c r="K119"/>
  <c r="J119"/>
  <c r="I119"/>
  <c r="H119"/>
  <c r="G119"/>
  <c r="F119"/>
  <c r="E119"/>
  <c r="D119"/>
  <c r="C119"/>
  <c r="B119"/>
  <c r="A119"/>
  <c r="K118"/>
  <c r="J118"/>
  <c r="I118"/>
  <c r="H118"/>
  <c r="G118"/>
  <c r="F118"/>
  <c r="E118"/>
  <c r="D118"/>
  <c r="C118"/>
  <c r="B118"/>
  <c r="A118"/>
  <c r="K117"/>
  <c r="J117"/>
  <c r="I117"/>
  <c r="H117"/>
  <c r="G117"/>
  <c r="F117"/>
  <c r="E117"/>
  <c r="D117"/>
  <c r="C117"/>
  <c r="B117"/>
  <c r="A117"/>
  <c r="K116"/>
  <c r="J116"/>
  <c r="I116"/>
  <c r="H116"/>
  <c r="G116"/>
  <c r="F116"/>
  <c r="E116"/>
  <c r="D116"/>
  <c r="C116"/>
  <c r="B116"/>
  <c r="A116"/>
  <c r="K115"/>
  <c r="J115"/>
  <c r="I115"/>
  <c r="H115"/>
  <c r="G115"/>
  <c r="F115"/>
  <c r="E115"/>
  <c r="D115"/>
  <c r="C115"/>
  <c r="B115"/>
  <c r="A115"/>
  <c r="K114"/>
  <c r="J114"/>
  <c r="I114"/>
  <c r="H114"/>
  <c r="G114"/>
  <c r="F114"/>
  <c r="E114"/>
  <c r="D114"/>
  <c r="C114"/>
  <c r="B114"/>
  <c r="A114"/>
  <c r="K113"/>
  <c r="J113"/>
  <c r="I113"/>
  <c r="H113"/>
  <c r="G113"/>
  <c r="F113"/>
  <c r="E113"/>
  <c r="D113"/>
  <c r="C113"/>
  <c r="B113"/>
  <c r="A113"/>
  <c r="K112"/>
  <c r="J112"/>
  <c r="I112"/>
  <c r="H112"/>
  <c r="G112"/>
  <c r="F112"/>
  <c r="E112"/>
  <c r="D112"/>
  <c r="C112"/>
  <c r="B112"/>
  <c r="A112"/>
  <c r="K111"/>
  <c r="J111"/>
  <c r="I111"/>
  <c r="H111"/>
  <c r="G111"/>
  <c r="F111"/>
  <c r="E111"/>
  <c r="D111"/>
  <c r="C111"/>
  <c r="B111"/>
  <c r="A111"/>
  <c r="K110"/>
  <c r="J110"/>
  <c r="I110"/>
  <c r="H110"/>
  <c r="G110"/>
  <c r="F110"/>
  <c r="E110"/>
  <c r="D110"/>
  <c r="C110"/>
  <c r="B110"/>
  <c r="A110"/>
  <c r="K109"/>
  <c r="J109"/>
  <c r="I109"/>
  <c r="H109"/>
  <c r="G109"/>
  <c r="F109"/>
  <c r="E109"/>
  <c r="D109"/>
  <c r="C109"/>
  <c r="B109"/>
  <c r="A109"/>
  <c r="K108"/>
  <c r="J108"/>
  <c r="I108"/>
  <c r="H108"/>
  <c r="G108"/>
  <c r="F108"/>
  <c r="E108"/>
  <c r="D108"/>
  <c r="C108"/>
  <c r="B108"/>
  <c r="A108"/>
  <c r="K107"/>
  <c r="J107"/>
  <c r="I107"/>
  <c r="H107"/>
  <c r="G107"/>
  <c r="F107"/>
  <c r="E107"/>
  <c r="D107"/>
  <c r="C107"/>
  <c r="B107"/>
  <c r="A107"/>
  <c r="K106"/>
  <c r="J106"/>
  <c r="I106"/>
  <c r="H106"/>
  <c r="G106"/>
  <c r="F106"/>
  <c r="E106"/>
  <c r="D106"/>
  <c r="C106"/>
  <c r="B106"/>
  <c r="A106"/>
  <c r="K105"/>
  <c r="J105"/>
  <c r="I105"/>
  <c r="H105"/>
  <c r="G105"/>
  <c r="F105"/>
  <c r="E105"/>
  <c r="D105"/>
  <c r="C105"/>
  <c r="B105"/>
  <c r="A105"/>
  <c r="K104"/>
  <c r="J104"/>
  <c r="I104"/>
  <c r="H104"/>
  <c r="G104"/>
  <c r="F104"/>
  <c r="E104"/>
  <c r="D104"/>
  <c r="C104"/>
  <c r="B104"/>
  <c r="A104"/>
  <c r="K103"/>
  <c r="J103"/>
  <c r="I103"/>
  <c r="H103"/>
  <c r="G103"/>
  <c r="F103"/>
  <c r="E103"/>
  <c r="D103"/>
  <c r="C103"/>
  <c r="B103"/>
  <c r="A103"/>
  <c r="K102"/>
  <c r="J102"/>
  <c r="I102"/>
  <c r="H102"/>
  <c r="G102"/>
  <c r="F102"/>
  <c r="E102"/>
  <c r="D102"/>
  <c r="C102"/>
  <c r="B102"/>
  <c r="A102"/>
  <c r="K101"/>
  <c r="J101"/>
  <c r="I101"/>
  <c r="H101"/>
  <c r="G101"/>
  <c r="F101"/>
  <c r="E101"/>
  <c r="D101"/>
  <c r="C101"/>
  <c r="B101"/>
  <c r="A101"/>
  <c r="K100"/>
  <c r="J100"/>
  <c r="I100"/>
  <c r="H100"/>
  <c r="G100"/>
  <c r="F100"/>
  <c r="E100"/>
  <c r="D100"/>
  <c r="C100"/>
  <c r="B100"/>
  <c r="A100"/>
  <c r="K99"/>
  <c r="J99"/>
  <c r="I99"/>
  <c r="H99"/>
  <c r="G99"/>
  <c r="F99"/>
  <c r="E99"/>
  <c r="D99"/>
  <c r="C99"/>
  <c r="B99"/>
  <c r="A99"/>
  <c r="K98"/>
  <c r="J98"/>
  <c r="I98"/>
  <c r="H98"/>
  <c r="G98"/>
  <c r="F98"/>
  <c r="E98"/>
  <c r="D98"/>
  <c r="C98"/>
  <c r="B98"/>
  <c r="A98"/>
  <c r="K97"/>
  <c r="J97"/>
  <c r="I97"/>
  <c r="H97"/>
  <c r="G97"/>
  <c r="F97"/>
  <c r="E97"/>
  <c r="D97"/>
  <c r="C97"/>
  <c r="B97"/>
  <c r="A97"/>
  <c r="K96"/>
  <c r="J96"/>
  <c r="I96"/>
  <c r="H96"/>
  <c r="G96"/>
  <c r="F96"/>
  <c r="E96"/>
  <c r="D96"/>
  <c r="C96"/>
  <c r="B96"/>
  <c r="A96"/>
  <c r="K95"/>
  <c r="J95"/>
  <c r="I95"/>
  <c r="H95"/>
  <c r="G95"/>
  <c r="F95"/>
  <c r="E95"/>
  <c r="D95"/>
  <c r="C95"/>
  <c r="B95"/>
  <c r="A95"/>
  <c r="K94"/>
  <c r="J94"/>
  <c r="I94"/>
  <c r="H94"/>
  <c r="G94"/>
  <c r="F94"/>
  <c r="E94"/>
  <c r="D94"/>
  <c r="C94"/>
  <c r="B94"/>
  <c r="A94"/>
  <c r="K93"/>
  <c r="J93"/>
  <c r="I93"/>
  <c r="H93"/>
  <c r="G93"/>
  <c r="F93"/>
  <c r="E93"/>
  <c r="D93"/>
  <c r="C93"/>
  <c r="B93"/>
  <c r="A93"/>
  <c r="K92"/>
  <c r="J92"/>
  <c r="I92"/>
  <c r="H92"/>
  <c r="G92"/>
  <c r="F92"/>
  <c r="E92"/>
  <c r="D92"/>
  <c r="C92"/>
  <c r="B92"/>
  <c r="A92"/>
  <c r="K91"/>
  <c r="J91"/>
  <c r="I91"/>
  <c r="H91"/>
  <c r="G91"/>
  <c r="F91"/>
  <c r="E91"/>
  <c r="D91"/>
  <c r="C91"/>
  <c r="B91"/>
  <c r="A91"/>
  <c r="K90"/>
  <c r="J90"/>
  <c r="I90"/>
  <c r="H90"/>
  <c r="G90"/>
  <c r="F90"/>
  <c r="E90"/>
  <c r="D90"/>
  <c r="C90"/>
  <c r="B90"/>
  <c r="A90"/>
  <c r="K89"/>
  <c r="J89"/>
  <c r="I89"/>
  <c r="H89"/>
  <c r="G89"/>
  <c r="F89"/>
  <c r="E89"/>
  <c r="D89"/>
  <c r="C89"/>
  <c r="B89"/>
  <c r="A89"/>
  <c r="K88"/>
  <c r="J88"/>
  <c r="I88"/>
  <c r="H88"/>
  <c r="G88"/>
  <c r="F88"/>
  <c r="E88"/>
  <c r="D88"/>
  <c r="C88"/>
  <c r="B88"/>
  <c r="A88"/>
  <c r="K87"/>
  <c r="J87"/>
  <c r="I87"/>
  <c r="H87"/>
  <c r="G87"/>
  <c r="F87"/>
  <c r="E87"/>
  <c r="D87"/>
  <c r="C87"/>
  <c r="B87"/>
  <c r="A87"/>
  <c r="K86"/>
  <c r="J86"/>
  <c r="I86"/>
  <c r="H86"/>
  <c r="G86"/>
  <c r="F86"/>
  <c r="E86"/>
  <c r="D86"/>
  <c r="C86"/>
  <c r="B86"/>
  <c r="A86"/>
  <c r="K85"/>
  <c r="J85"/>
  <c r="I85"/>
  <c r="H85"/>
  <c r="G85"/>
  <c r="F85"/>
  <c r="E85"/>
  <c r="D85"/>
  <c r="C85"/>
  <c r="B85"/>
  <c r="A85"/>
  <c r="K84"/>
  <c r="J84"/>
  <c r="I84"/>
  <c r="H84"/>
  <c r="G84"/>
  <c r="F84"/>
  <c r="E84"/>
  <c r="D84"/>
  <c r="C84"/>
  <c r="B84"/>
  <c r="A84"/>
  <c r="K83"/>
  <c r="J83"/>
  <c r="I83"/>
  <c r="H83"/>
  <c r="G83"/>
  <c r="F83"/>
  <c r="E83"/>
  <c r="D83"/>
  <c r="C83"/>
  <c r="B83"/>
  <c r="A83"/>
  <c r="K82"/>
  <c r="J82"/>
  <c r="I82"/>
  <c r="H82"/>
  <c r="G82"/>
  <c r="F82"/>
  <c r="E82"/>
  <c r="D82"/>
  <c r="C82"/>
  <c r="B82"/>
  <c r="A82"/>
  <c r="K81"/>
  <c r="J81"/>
  <c r="I81"/>
  <c r="H81"/>
  <c r="G81"/>
  <c r="F81"/>
  <c r="E81"/>
  <c r="D81"/>
  <c r="C81"/>
  <c r="B81"/>
  <c r="A81"/>
  <c r="K80"/>
  <c r="J80"/>
  <c r="I80"/>
  <c r="H80"/>
  <c r="G80"/>
  <c r="F80"/>
  <c r="E80"/>
  <c r="D80"/>
  <c r="C80"/>
  <c r="B80"/>
  <c r="A80"/>
  <c r="K79"/>
  <c r="J79"/>
  <c r="I79"/>
  <c r="H79"/>
  <c r="G79"/>
  <c r="F79"/>
  <c r="E79"/>
  <c r="D79"/>
  <c r="C79"/>
  <c r="B79"/>
  <c r="A79"/>
  <c r="K78"/>
  <c r="J78"/>
  <c r="I78"/>
  <c r="H78"/>
  <c r="G78"/>
  <c r="F78"/>
  <c r="E78"/>
  <c r="D78"/>
  <c r="C78"/>
  <c r="B78"/>
  <c r="A78"/>
  <c r="K77"/>
  <c r="J77"/>
  <c r="I77"/>
  <c r="H77"/>
  <c r="G77"/>
  <c r="F77"/>
  <c r="E77"/>
  <c r="D77"/>
  <c r="C77"/>
  <c r="B77"/>
  <c r="A77"/>
  <c r="K76"/>
  <c r="J76"/>
  <c r="I76"/>
  <c r="H76"/>
  <c r="G76"/>
  <c r="F76"/>
  <c r="E76"/>
  <c r="D76"/>
  <c r="C76"/>
  <c r="B76"/>
  <c r="A76"/>
  <c r="K75"/>
  <c r="J75"/>
  <c r="I75"/>
  <c r="H75"/>
  <c r="G75"/>
  <c r="F75"/>
  <c r="E75"/>
  <c r="D75"/>
  <c r="C75"/>
  <c r="B75"/>
  <c r="A75"/>
  <c r="K74"/>
  <c r="J74"/>
  <c r="I74"/>
  <c r="H74"/>
  <c r="G74"/>
  <c r="F74"/>
  <c r="E74"/>
  <c r="D74"/>
  <c r="C74"/>
  <c r="B74"/>
  <c r="A74"/>
  <c r="K73"/>
  <c r="J73"/>
  <c r="I73"/>
  <c r="H73"/>
  <c r="G73"/>
  <c r="F73"/>
  <c r="E73"/>
  <c r="D73"/>
  <c r="C73"/>
  <c r="B73"/>
  <c r="A73"/>
  <c r="K72"/>
  <c r="J72"/>
  <c r="I72"/>
  <c r="H72"/>
  <c r="G72"/>
  <c r="F72"/>
  <c r="E72"/>
  <c r="D72"/>
  <c r="C72"/>
  <c r="B72"/>
  <c r="A72"/>
  <c r="K71"/>
  <c r="J71"/>
  <c r="I71"/>
  <c r="H71"/>
  <c r="G71"/>
  <c r="F71"/>
  <c r="E71"/>
  <c r="D71"/>
  <c r="C71"/>
  <c r="B71"/>
  <c r="A71"/>
  <c r="K70"/>
  <c r="J70"/>
  <c r="I70"/>
  <c r="H70"/>
  <c r="G70"/>
  <c r="F70"/>
  <c r="E70"/>
  <c r="D70"/>
  <c r="C70"/>
  <c r="B70"/>
  <c r="A70"/>
  <c r="K69"/>
  <c r="J69"/>
  <c r="I69"/>
  <c r="H69"/>
  <c r="G69"/>
  <c r="F69"/>
  <c r="E69"/>
  <c r="D69"/>
  <c r="C69"/>
  <c r="B69"/>
  <c r="A69"/>
  <c r="K68"/>
  <c r="J68"/>
  <c r="I68"/>
  <c r="H68"/>
  <c r="G68"/>
  <c r="F68"/>
  <c r="E68"/>
  <c r="D68"/>
  <c r="C68"/>
  <c r="B68"/>
  <c r="A68"/>
  <c r="K67"/>
  <c r="J67"/>
  <c r="I67"/>
  <c r="H67"/>
  <c r="G67"/>
  <c r="F67"/>
  <c r="E67"/>
  <c r="D67"/>
  <c r="C67"/>
  <c r="B67"/>
  <c r="A67"/>
  <c r="K66"/>
  <c r="J66"/>
  <c r="I66"/>
  <c r="H66"/>
  <c r="G66"/>
  <c r="F66"/>
  <c r="E66"/>
  <c r="D66"/>
  <c r="C66"/>
  <c r="B66"/>
  <c r="A66"/>
  <c r="K65"/>
  <c r="J65"/>
  <c r="I65"/>
  <c r="H65"/>
  <c r="G65"/>
  <c r="F65"/>
  <c r="E65"/>
  <c r="D65"/>
  <c r="C65"/>
  <c r="B65"/>
  <c r="A65"/>
  <c r="K64"/>
  <c r="J64"/>
  <c r="I64"/>
  <c r="H64"/>
  <c r="G64"/>
  <c r="F64"/>
  <c r="E64"/>
  <c r="D64"/>
  <c r="C64"/>
  <c r="B64"/>
  <c r="A64"/>
  <c r="K63"/>
  <c r="J63"/>
  <c r="I63"/>
  <c r="H63"/>
  <c r="G63"/>
  <c r="F63"/>
  <c r="E63"/>
  <c r="D63"/>
  <c r="C63"/>
  <c r="B63"/>
  <c r="A63"/>
  <c r="K62"/>
  <c r="J62"/>
  <c r="I62"/>
  <c r="H62"/>
  <c r="G62"/>
  <c r="F62"/>
  <c r="E62"/>
  <c r="D62"/>
  <c r="C62"/>
  <c r="B62"/>
  <c r="A62"/>
  <c r="K61"/>
  <c r="J61"/>
  <c r="I61"/>
  <c r="H61"/>
  <c r="G61"/>
  <c r="F61"/>
  <c r="E61"/>
  <c r="D61"/>
  <c r="C61"/>
  <c r="B61"/>
  <c r="A61"/>
  <c r="K60"/>
  <c r="J60"/>
  <c r="I60"/>
  <c r="H60"/>
  <c r="G60"/>
  <c r="F60"/>
  <c r="E60"/>
  <c r="D60"/>
  <c r="C60"/>
  <c r="B60"/>
  <c r="A60"/>
  <c r="K59"/>
  <c r="J59"/>
  <c r="I59"/>
  <c r="H59"/>
  <c r="G59"/>
  <c r="F59"/>
  <c r="E59"/>
  <c r="D59"/>
  <c r="C59"/>
  <c r="B59"/>
  <c r="A59"/>
  <c r="K58"/>
  <c r="J58"/>
  <c r="I58"/>
  <c r="H58"/>
  <c r="G58"/>
  <c r="F58"/>
  <c r="E58"/>
  <c r="D58"/>
  <c r="C58"/>
  <c r="B58"/>
  <c r="A58"/>
  <c r="K57"/>
  <c r="J57"/>
  <c r="I57"/>
  <c r="H57"/>
  <c r="G57"/>
  <c r="F57"/>
  <c r="E57"/>
  <c r="D57"/>
  <c r="C57"/>
  <c r="B57"/>
  <c r="A57"/>
  <c r="K56"/>
  <c r="J56"/>
  <c r="I56"/>
  <c r="H56"/>
  <c r="G56"/>
  <c r="F56"/>
  <c r="E56"/>
  <c r="D56"/>
  <c r="C56"/>
  <c r="B56"/>
  <c r="A56"/>
  <c r="K55"/>
  <c r="J55"/>
  <c r="I55"/>
  <c r="H55"/>
  <c r="G55"/>
  <c r="F55"/>
  <c r="E55"/>
  <c r="D55"/>
  <c r="C55"/>
  <c r="B55"/>
  <c r="A55"/>
  <c r="K54"/>
  <c r="J54"/>
  <c r="I54"/>
  <c r="H54"/>
  <c r="G54"/>
  <c r="F54"/>
  <c r="E54"/>
  <c r="D54"/>
  <c r="C54"/>
  <c r="B54"/>
  <c r="A54"/>
  <c r="K53"/>
  <c r="J53"/>
  <c r="I53"/>
  <c r="H53"/>
  <c r="G53"/>
  <c r="F53"/>
  <c r="E53"/>
  <c r="D53"/>
  <c r="C53"/>
  <c r="B53"/>
  <c r="A53"/>
  <c r="K52"/>
  <c r="J52"/>
  <c r="I52"/>
  <c r="H52"/>
  <c r="G52"/>
  <c r="F52"/>
  <c r="E52"/>
  <c r="D52"/>
  <c r="C52"/>
  <c r="B52"/>
  <c r="A52"/>
  <c r="K51"/>
  <c r="J51"/>
  <c r="I51"/>
  <c r="H51"/>
  <c r="G51"/>
  <c r="F51"/>
  <c r="E51"/>
  <c r="D51"/>
  <c r="C51"/>
  <c r="B51"/>
  <c r="A51"/>
  <c r="K50"/>
  <c r="J50"/>
  <c r="I50"/>
  <c r="H50"/>
  <c r="G50"/>
  <c r="F50"/>
  <c r="E50"/>
  <c r="D50"/>
  <c r="C50"/>
  <c r="B50"/>
  <c r="A50"/>
  <c r="K49"/>
  <c r="J49"/>
  <c r="I49"/>
  <c r="H49"/>
  <c r="G49"/>
  <c r="F49"/>
  <c r="E49"/>
  <c r="D49"/>
  <c r="C49"/>
  <c r="B49"/>
  <c r="A49"/>
  <c r="K48"/>
  <c r="J48"/>
  <c r="I48"/>
  <c r="H48"/>
  <c r="G48"/>
  <c r="F48"/>
  <c r="E48"/>
  <c r="D48"/>
  <c r="C48"/>
  <c r="B48"/>
  <c r="A48"/>
  <c r="K47"/>
  <c r="J47"/>
  <c r="I47"/>
  <c r="H47"/>
  <c r="G47"/>
  <c r="F47"/>
  <c r="E47"/>
  <c r="D47"/>
  <c r="C47"/>
  <c r="B47"/>
  <c r="A47"/>
  <c r="K46"/>
  <c r="J46"/>
  <c r="I46"/>
  <c r="H46"/>
  <c r="G46"/>
  <c r="F46"/>
  <c r="E46"/>
  <c r="D46"/>
  <c r="C46"/>
  <c r="B46"/>
  <c r="A46"/>
  <c r="K45"/>
  <c r="J45"/>
  <c r="I45"/>
  <c r="H45"/>
  <c r="G45"/>
  <c r="F45"/>
  <c r="E45"/>
  <c r="D45"/>
  <c r="C45"/>
  <c r="B45"/>
  <c r="A45"/>
  <c r="K44"/>
  <c r="J44"/>
  <c r="I44"/>
  <c r="H44"/>
  <c r="G44"/>
  <c r="F44"/>
  <c r="E44"/>
  <c r="D44"/>
  <c r="C44"/>
  <c r="B44"/>
  <c r="A44"/>
  <c r="K43"/>
  <c r="J43"/>
  <c r="I43"/>
  <c r="H43"/>
  <c r="G43"/>
  <c r="F43"/>
  <c r="E43"/>
  <c r="D43"/>
  <c r="C43"/>
  <c r="B43"/>
  <c r="A43"/>
  <c r="K42"/>
  <c r="J42"/>
  <c r="I42"/>
  <c r="H42"/>
  <c r="G42"/>
  <c r="F42"/>
  <c r="E42"/>
  <c r="D42"/>
  <c r="C42"/>
  <c r="B42"/>
  <c r="A42"/>
  <c r="K41"/>
  <c r="J41"/>
  <c r="I41"/>
  <c r="H41"/>
  <c r="G41"/>
  <c r="F41"/>
  <c r="E41"/>
  <c r="D41"/>
  <c r="C41"/>
  <c r="B41"/>
  <c r="A41"/>
  <c r="K40"/>
  <c r="J40"/>
  <c r="I40"/>
  <c r="H40"/>
  <c r="G40"/>
  <c r="F40"/>
  <c r="E40"/>
  <c r="D40"/>
  <c r="C40"/>
  <c r="B40"/>
  <c r="A40"/>
  <c r="K39"/>
  <c r="J39"/>
  <c r="I39"/>
  <c r="H39"/>
  <c r="G39"/>
  <c r="F39"/>
  <c r="E39"/>
  <c r="D39"/>
  <c r="C39"/>
  <c r="B39"/>
  <c r="A39"/>
  <c r="K38"/>
  <c r="J38"/>
  <c r="I38"/>
  <c r="H38"/>
  <c r="G38"/>
  <c r="F38"/>
  <c r="E38"/>
  <c r="D38"/>
  <c r="C38"/>
  <c r="B38"/>
  <c r="A38"/>
  <c r="K37"/>
  <c r="J37"/>
  <c r="I37"/>
  <c r="H37"/>
  <c r="G37"/>
  <c r="F37"/>
  <c r="E37"/>
  <c r="D37"/>
  <c r="C37"/>
  <c r="B37"/>
  <c r="A37"/>
  <c r="K36"/>
  <c r="J36"/>
  <c r="I36"/>
  <c r="H36"/>
  <c r="G36"/>
  <c r="F36"/>
  <c r="E36"/>
  <c r="D36"/>
  <c r="C36"/>
  <c r="B36"/>
  <c r="A36"/>
  <c r="K35"/>
  <c r="J35"/>
  <c r="I35"/>
  <c r="H35"/>
  <c r="G35"/>
  <c r="F35"/>
  <c r="E35"/>
  <c r="D35"/>
  <c r="C35"/>
  <c r="B35"/>
  <c r="A35"/>
  <c r="K34"/>
  <c r="J34"/>
  <c r="I34"/>
  <c r="H34"/>
  <c r="G34"/>
  <c r="F34"/>
  <c r="E34"/>
  <c r="D34"/>
  <c r="C34"/>
  <c r="B34"/>
  <c r="A34"/>
  <c r="K33"/>
  <c r="J33"/>
  <c r="I33"/>
  <c r="H33"/>
  <c r="G33"/>
  <c r="F33"/>
  <c r="E33"/>
  <c r="D33"/>
  <c r="C33"/>
  <c r="B33"/>
  <c r="A33"/>
  <c r="K32"/>
  <c r="J32"/>
  <c r="I32"/>
  <c r="H32"/>
  <c r="G32"/>
  <c r="F32"/>
  <c r="E32"/>
  <c r="D32"/>
  <c r="C32"/>
  <c r="B32"/>
  <c r="A32"/>
  <c r="K31"/>
  <c r="J31"/>
  <c r="I31"/>
  <c r="H31"/>
  <c r="G31"/>
  <c r="F31"/>
  <c r="E31"/>
  <c r="D31"/>
  <c r="C31"/>
  <c r="B31"/>
  <c r="A31"/>
  <c r="K30"/>
  <c r="J30"/>
  <c r="I30"/>
  <c r="H30"/>
  <c r="G30"/>
  <c r="F30"/>
  <c r="E30"/>
  <c r="D30"/>
  <c r="C30"/>
  <c r="B30"/>
  <c r="A30"/>
  <c r="K29"/>
  <c r="J29"/>
  <c r="I29"/>
  <c r="H29"/>
  <c r="G29"/>
  <c r="F29"/>
  <c r="E29"/>
  <c r="D29"/>
  <c r="C29"/>
  <c r="B29"/>
  <c r="A29"/>
  <c r="K28"/>
  <c r="J28"/>
  <c r="I28"/>
  <c r="H28"/>
  <c r="G28"/>
  <c r="F28"/>
  <c r="E28"/>
  <c r="D28"/>
  <c r="C28"/>
  <c r="B28"/>
  <c r="A28"/>
  <c r="K27"/>
  <c r="J27"/>
  <c r="I27"/>
  <c r="H27"/>
  <c r="G27"/>
  <c r="F27"/>
  <c r="E27"/>
  <c r="D27"/>
  <c r="C27"/>
  <c r="B27"/>
  <c r="A27"/>
  <c r="K26"/>
  <c r="J26"/>
  <c r="I26"/>
  <c r="H26"/>
  <c r="G26"/>
  <c r="F26"/>
  <c r="E26"/>
  <c r="D26"/>
  <c r="C26"/>
  <c r="B26"/>
  <c r="A26"/>
  <c r="K25"/>
  <c r="J25"/>
  <c r="I25"/>
  <c r="H25"/>
  <c r="G25"/>
  <c r="F25"/>
  <c r="E25"/>
  <c r="D25"/>
  <c r="C25"/>
  <c r="B25"/>
  <c r="A25"/>
  <c r="K24"/>
  <c r="J24"/>
  <c r="I24"/>
  <c r="H24"/>
  <c r="G24"/>
  <c r="F24"/>
  <c r="E24"/>
  <c r="D24"/>
  <c r="C24"/>
  <c r="B24"/>
  <c r="A24"/>
  <c r="K23"/>
  <c r="J23"/>
  <c r="I23"/>
  <c r="H23"/>
  <c r="G23"/>
  <c r="F23"/>
  <c r="E23"/>
  <c r="D23"/>
  <c r="C23"/>
  <c r="B23"/>
  <c r="A23"/>
  <c r="K22"/>
  <c r="J22"/>
  <c r="I22"/>
  <c r="H22"/>
  <c r="G22"/>
  <c r="F22"/>
  <c r="E22"/>
  <c r="D22"/>
  <c r="C22"/>
  <c r="B22"/>
  <c r="A22"/>
  <c r="K21"/>
  <c r="J21"/>
  <c r="I21"/>
  <c r="H21"/>
  <c r="G21"/>
  <c r="F21"/>
  <c r="E21"/>
  <c r="D21"/>
  <c r="C21"/>
  <c r="B21"/>
  <c r="A21"/>
  <c r="K20"/>
  <c r="J20"/>
  <c r="I20"/>
  <c r="H20"/>
  <c r="G20"/>
  <c r="F20"/>
  <c r="E20"/>
  <c r="D20"/>
  <c r="C20"/>
  <c r="B20"/>
  <c r="A20"/>
  <c r="K19"/>
  <c r="J19"/>
  <c r="I19"/>
  <c r="H19"/>
  <c r="G19"/>
  <c r="F19"/>
  <c r="E19"/>
  <c r="D19"/>
  <c r="C19"/>
  <c r="B19"/>
  <c r="A19"/>
  <c r="K18"/>
  <c r="J18"/>
  <c r="I18"/>
  <c r="H18"/>
  <c r="G18"/>
  <c r="F18"/>
  <c r="E18"/>
  <c r="D18"/>
  <c r="C18"/>
  <c r="B18"/>
  <c r="A18"/>
  <c r="K17"/>
  <c r="J17"/>
  <c r="I17"/>
  <c r="H17"/>
  <c r="G17"/>
  <c r="F17"/>
  <c r="E17"/>
  <c r="D17"/>
  <c r="C17"/>
  <c r="B17"/>
  <c r="A17"/>
  <c r="K16"/>
  <c r="J16"/>
  <c r="I16"/>
  <c r="H16"/>
  <c r="G16"/>
  <c r="F16"/>
  <c r="E16"/>
  <c r="D16"/>
  <c r="C16"/>
  <c r="B16"/>
  <c r="A16"/>
  <c r="K15"/>
  <c r="J15"/>
  <c r="I15"/>
  <c r="H15"/>
  <c r="G15"/>
  <c r="F15"/>
  <c r="E15"/>
  <c r="D15"/>
  <c r="C15"/>
  <c r="B15"/>
  <c r="A15"/>
  <c r="K14"/>
  <c r="J14"/>
  <c r="I14"/>
  <c r="H14"/>
  <c r="G14"/>
  <c r="F14"/>
  <c r="E14"/>
  <c r="D14"/>
  <c r="C14"/>
  <c r="B14"/>
  <c r="A14"/>
  <c r="K13"/>
  <c r="J13"/>
  <c r="I13"/>
  <c r="H13"/>
  <c r="G13"/>
  <c r="F13"/>
  <c r="E13"/>
  <c r="D13"/>
  <c r="C13"/>
  <c r="B13"/>
  <c r="A13"/>
  <c r="K12"/>
  <c r="J12"/>
  <c r="I12"/>
  <c r="H12"/>
  <c r="G12"/>
  <c r="F12"/>
  <c r="E12"/>
  <c r="D12"/>
  <c r="C12"/>
  <c r="B12"/>
  <c r="A12"/>
  <c r="K11"/>
  <c r="J11"/>
  <c r="I11"/>
  <c r="H11"/>
  <c r="G11"/>
  <c r="F11"/>
  <c r="E11"/>
  <c r="D11"/>
  <c r="C11"/>
  <c r="B11"/>
  <c r="A11"/>
  <c r="K10"/>
  <c r="J10"/>
  <c r="I10"/>
  <c r="H10"/>
  <c r="G10"/>
  <c r="F10"/>
  <c r="E10"/>
  <c r="D10"/>
  <c r="C10"/>
  <c r="B10"/>
  <c r="A10"/>
  <c r="K9"/>
  <c r="J9"/>
  <c r="I9"/>
  <c r="H9"/>
  <c r="G9"/>
  <c r="F9"/>
  <c r="E9"/>
  <c r="D9"/>
  <c r="C9"/>
  <c r="B9"/>
  <c r="A9"/>
  <c r="K8"/>
  <c r="J8"/>
  <c r="I8"/>
  <c r="H8"/>
  <c r="G8"/>
  <c r="F8"/>
  <c r="E8"/>
  <c r="D8"/>
  <c r="C8"/>
  <c r="B8"/>
  <c r="A8"/>
  <c r="K7"/>
  <c r="J7"/>
  <c r="I7"/>
  <c r="H7"/>
  <c r="G7"/>
  <c r="F7"/>
  <c r="E7"/>
  <c r="D7"/>
  <c r="C7"/>
  <c r="B7"/>
  <c r="A7"/>
  <c r="K6"/>
  <c r="J6"/>
  <c r="I6"/>
  <c r="H6"/>
  <c r="G6"/>
  <c r="F6"/>
  <c r="E6"/>
  <c r="D6"/>
  <c r="C6"/>
  <c r="B6"/>
  <c r="A6"/>
  <c r="K5"/>
  <c r="J5"/>
  <c r="I5"/>
  <c r="H5"/>
  <c r="G5"/>
  <c r="F5"/>
  <c r="E5"/>
  <c r="D5"/>
  <c r="C5"/>
  <c r="B5"/>
  <c r="A5"/>
  <c r="K4"/>
  <c r="J4"/>
  <c r="I4"/>
  <c r="H4"/>
  <c r="G4"/>
  <c r="F4"/>
  <c r="E4"/>
  <c r="D4"/>
  <c r="C4"/>
  <c r="B4"/>
  <c r="A4"/>
  <c r="K3"/>
  <c r="J3"/>
  <c r="I3"/>
  <c r="H3"/>
  <c r="G3"/>
  <c r="F3"/>
  <c r="E3"/>
  <c r="D3"/>
  <c r="C3"/>
  <c r="B3"/>
  <c r="A3"/>
  <c r="K2"/>
  <c r="J2"/>
  <c r="I2"/>
  <c r="H2"/>
  <c r="G2"/>
  <c r="F2"/>
  <c r="E2"/>
  <c r="D2"/>
  <c r="C2"/>
  <c r="B2"/>
  <c r="A2"/>
  <c r="K1"/>
  <c r="J1"/>
  <c r="I1"/>
  <c r="H1"/>
  <c r="G1"/>
  <c r="F1"/>
  <c r="E1"/>
  <c r="D1"/>
  <c r="C1"/>
  <c r="B1"/>
  <c r="A1"/>
  <c r="K808" i="13"/>
  <c r="J808"/>
  <c r="I808"/>
  <c r="H808"/>
  <c r="G808"/>
  <c r="F808"/>
  <c r="E808"/>
  <c r="D808"/>
  <c r="C808"/>
  <c r="B808"/>
  <c r="A808"/>
  <c r="K807"/>
  <c r="J807"/>
  <c r="I807"/>
  <c r="H807"/>
  <c r="G807"/>
  <c r="F807"/>
  <c r="E807"/>
  <c r="D807"/>
  <c r="C807"/>
  <c r="B807"/>
  <c r="A807"/>
  <c r="K806"/>
  <c r="J806"/>
  <c r="I806"/>
  <c r="H806"/>
  <c r="G806"/>
  <c r="F806"/>
  <c r="E806"/>
  <c r="D806"/>
  <c r="C806"/>
  <c r="B806"/>
  <c r="A806"/>
  <c r="K805"/>
  <c r="J805"/>
  <c r="I805"/>
  <c r="H805"/>
  <c r="G805"/>
  <c r="F805"/>
  <c r="E805"/>
  <c r="D805"/>
  <c r="C805"/>
  <c r="B805"/>
  <c r="A805"/>
  <c r="K804"/>
  <c r="J804"/>
  <c r="I804"/>
  <c r="H804"/>
  <c r="G804"/>
  <c r="F804"/>
  <c r="E804"/>
  <c r="D804"/>
  <c r="C804"/>
  <c r="B804"/>
  <c r="A804"/>
  <c r="K803"/>
  <c r="J803"/>
  <c r="I803"/>
  <c r="H803"/>
  <c r="G803"/>
  <c r="F803"/>
  <c r="E803"/>
  <c r="D803"/>
  <c r="C803"/>
  <c r="B803"/>
  <c r="A803"/>
  <c r="K802"/>
  <c r="J802"/>
  <c r="I802"/>
  <c r="H802"/>
  <c r="G802"/>
  <c r="F802"/>
  <c r="E802"/>
  <c r="D802"/>
  <c r="C802"/>
  <c r="B802"/>
  <c r="A802"/>
  <c r="K801"/>
  <c r="J801"/>
  <c r="I801"/>
  <c r="H801"/>
  <c r="G801"/>
  <c r="F801"/>
  <c r="E801"/>
  <c r="D801"/>
  <c r="C801"/>
  <c r="B801"/>
  <c r="A801"/>
  <c r="K800"/>
  <c r="J800"/>
  <c r="I800"/>
  <c r="H800"/>
  <c r="G800"/>
  <c r="F800"/>
  <c r="E800"/>
  <c r="D800"/>
  <c r="C800"/>
  <c r="B800"/>
  <c r="A800"/>
  <c r="K799"/>
  <c r="J799"/>
  <c r="I799"/>
  <c r="H799"/>
  <c r="G799"/>
  <c r="F799"/>
  <c r="E799"/>
  <c r="D799"/>
  <c r="C799"/>
  <c r="B799"/>
  <c r="A799"/>
  <c r="K798"/>
  <c r="J798"/>
  <c r="I798"/>
  <c r="H798"/>
  <c r="G798"/>
  <c r="F798"/>
  <c r="E798"/>
  <c r="D798"/>
  <c r="C798"/>
  <c r="B798"/>
  <c r="A798"/>
  <c r="K797"/>
  <c r="J797"/>
  <c r="I797"/>
  <c r="H797"/>
  <c r="G797"/>
  <c r="F797"/>
  <c r="E797"/>
  <c r="D797"/>
  <c r="C797"/>
  <c r="B797"/>
  <c r="A797"/>
  <c r="K796"/>
  <c r="J796"/>
  <c r="I796"/>
  <c r="H796"/>
  <c r="G796"/>
  <c r="F796"/>
  <c r="E796"/>
  <c r="D796"/>
  <c r="C796"/>
  <c r="B796"/>
  <c r="A796"/>
  <c r="K795"/>
  <c r="J795"/>
  <c r="I795"/>
  <c r="H795"/>
  <c r="G795"/>
  <c r="F795"/>
  <c r="E795"/>
  <c r="D795"/>
  <c r="C795"/>
  <c r="B795"/>
  <c r="A795"/>
  <c r="K794"/>
  <c r="J794"/>
  <c r="I794"/>
  <c r="H794"/>
  <c r="G794"/>
  <c r="F794"/>
  <c r="E794"/>
  <c r="D794"/>
  <c r="C794"/>
  <c r="B794"/>
  <c r="A794"/>
  <c r="K793"/>
  <c r="J793"/>
  <c r="I793"/>
  <c r="H793"/>
  <c r="G793"/>
  <c r="F793"/>
  <c r="E793"/>
  <c r="D793"/>
  <c r="C793"/>
  <c r="B793"/>
  <c r="A793"/>
  <c r="K792"/>
  <c r="J792"/>
  <c r="I792"/>
  <c r="H792"/>
  <c r="G792"/>
  <c r="F792"/>
  <c r="E792"/>
  <c r="D792"/>
  <c r="C792"/>
  <c r="B792"/>
  <c r="A792"/>
  <c r="K791"/>
  <c r="J791"/>
  <c r="I791"/>
  <c r="H791"/>
  <c r="G791"/>
  <c r="F791"/>
  <c r="E791"/>
  <c r="D791"/>
  <c r="C791"/>
  <c r="B791"/>
  <c r="A791"/>
  <c r="K790"/>
  <c r="J790"/>
  <c r="I790"/>
  <c r="H790"/>
  <c r="G790"/>
  <c r="F790"/>
  <c r="E790"/>
  <c r="D790"/>
  <c r="C790"/>
  <c r="B790"/>
  <c r="A790"/>
  <c r="K789"/>
  <c r="J789"/>
  <c r="I789"/>
  <c r="H789"/>
  <c r="G789"/>
  <c r="F789"/>
  <c r="E789"/>
  <c r="D789"/>
  <c r="C789"/>
  <c r="B789"/>
  <c r="A789"/>
  <c r="K788"/>
  <c r="J788"/>
  <c r="I788"/>
  <c r="H788"/>
  <c r="G788"/>
  <c r="F788"/>
  <c r="E788"/>
  <c r="D788"/>
  <c r="C788"/>
  <c r="B788"/>
  <c r="A788"/>
  <c r="K787"/>
  <c r="J787"/>
  <c r="I787"/>
  <c r="H787"/>
  <c r="G787"/>
  <c r="F787"/>
  <c r="E787"/>
  <c r="D787"/>
  <c r="C787"/>
  <c r="B787"/>
  <c r="A787"/>
  <c r="K786"/>
  <c r="J786"/>
  <c r="I786"/>
  <c r="H786"/>
  <c r="G786"/>
  <c r="F786"/>
  <c r="E786"/>
  <c r="D786"/>
  <c r="C786"/>
  <c r="B786"/>
  <c r="A786"/>
  <c r="K785"/>
  <c r="J785"/>
  <c r="I785"/>
  <c r="H785"/>
  <c r="G785"/>
  <c r="F785"/>
  <c r="E785"/>
  <c r="D785"/>
  <c r="C785"/>
  <c r="B785"/>
  <c r="A785"/>
  <c r="K784"/>
  <c r="J784"/>
  <c r="I784"/>
  <c r="H784"/>
  <c r="G784"/>
  <c r="F784"/>
  <c r="E784"/>
  <c r="D784"/>
  <c r="C784"/>
  <c r="B784"/>
  <c r="A784"/>
  <c r="K783"/>
  <c r="J783"/>
  <c r="I783"/>
  <c r="H783"/>
  <c r="G783"/>
  <c r="F783"/>
  <c r="E783"/>
  <c r="D783"/>
  <c r="C783"/>
  <c r="B783"/>
  <c r="A783"/>
  <c r="K782"/>
  <c r="J782"/>
  <c r="I782"/>
  <c r="H782"/>
  <c r="G782"/>
  <c r="F782"/>
  <c r="E782"/>
  <c r="D782"/>
  <c r="C782"/>
  <c r="B782"/>
  <c r="A782"/>
  <c r="K781"/>
  <c r="J781"/>
  <c r="I781"/>
  <c r="H781"/>
  <c r="G781"/>
  <c r="F781"/>
  <c r="E781"/>
  <c r="D781"/>
  <c r="C781"/>
  <c r="B781"/>
  <c r="A781"/>
  <c r="K780"/>
  <c r="J780"/>
  <c r="I780"/>
  <c r="H780"/>
  <c r="G780"/>
  <c r="F780"/>
  <c r="E780"/>
  <c r="D780"/>
  <c r="C780"/>
  <c r="B780"/>
  <c r="A780"/>
  <c r="K779"/>
  <c r="J779"/>
  <c r="I779"/>
  <c r="H779"/>
  <c r="G779"/>
  <c r="F779"/>
  <c r="E779"/>
  <c r="D779"/>
  <c r="C779"/>
  <c r="B779"/>
  <c r="A779"/>
  <c r="K778"/>
  <c r="J778"/>
  <c r="I778"/>
  <c r="H778"/>
  <c r="G778"/>
  <c r="F778"/>
  <c r="E778"/>
  <c r="D778"/>
  <c r="C778"/>
  <c r="B778"/>
  <c r="A778"/>
  <c r="K777"/>
  <c r="J777"/>
  <c r="I777"/>
  <c r="H777"/>
  <c r="G777"/>
  <c r="F777"/>
  <c r="E777"/>
  <c r="D777"/>
  <c r="C777"/>
  <c r="B777"/>
  <c r="A777"/>
  <c r="K776"/>
  <c r="J776"/>
  <c r="I776"/>
  <c r="H776"/>
  <c r="G776"/>
  <c r="F776"/>
  <c r="E776"/>
  <c r="D776"/>
  <c r="C776"/>
  <c r="B776"/>
  <c r="A776"/>
  <c r="K775"/>
  <c r="J775"/>
  <c r="I775"/>
  <c r="H775"/>
  <c r="G775"/>
  <c r="F775"/>
  <c r="E775"/>
  <c r="D775"/>
  <c r="C775"/>
  <c r="B775"/>
  <c r="A775"/>
  <c r="K774"/>
  <c r="J774"/>
  <c r="I774"/>
  <c r="H774"/>
  <c r="G774"/>
  <c r="F774"/>
  <c r="E774"/>
  <c r="D774"/>
  <c r="C774"/>
  <c r="B774"/>
  <c r="A774"/>
  <c r="K773"/>
  <c r="J773"/>
  <c r="I773"/>
  <c r="H773"/>
  <c r="G773"/>
  <c r="F773"/>
  <c r="E773"/>
  <c r="D773"/>
  <c r="C773"/>
  <c r="B773"/>
  <c r="A773"/>
  <c r="K772"/>
  <c r="J772"/>
  <c r="I772"/>
  <c r="H772"/>
  <c r="G772"/>
  <c r="F772"/>
  <c r="E772"/>
  <c r="D772"/>
  <c r="C772"/>
  <c r="B772"/>
  <c r="A772"/>
  <c r="K771"/>
  <c r="J771"/>
  <c r="I771"/>
  <c r="H771"/>
  <c r="G771"/>
  <c r="F771"/>
  <c r="E771"/>
  <c r="D771"/>
  <c r="C771"/>
  <c r="B771"/>
  <c r="A771"/>
  <c r="K770"/>
  <c r="J770"/>
  <c r="I770"/>
  <c r="H770"/>
  <c r="G770"/>
  <c r="F770"/>
  <c r="E770"/>
  <c r="D770"/>
  <c r="C770"/>
  <c r="B770"/>
  <c r="A770"/>
  <c r="K769"/>
  <c r="J769"/>
  <c r="I769"/>
  <c r="H769"/>
  <c r="G769"/>
  <c r="F769"/>
  <c r="E769"/>
  <c r="D769"/>
  <c r="C769"/>
  <c r="B769"/>
  <c r="A769"/>
  <c r="K768"/>
  <c r="J768"/>
  <c r="I768"/>
  <c r="H768"/>
  <c r="G768"/>
  <c r="F768"/>
  <c r="E768"/>
  <c r="D768"/>
  <c r="C768"/>
  <c r="B768"/>
  <c r="A768"/>
  <c r="K767"/>
  <c r="J767"/>
  <c r="I767"/>
  <c r="H767"/>
  <c r="G767"/>
  <c r="F767"/>
  <c r="E767"/>
  <c r="D767"/>
  <c r="C767"/>
  <c r="B767"/>
  <c r="A767"/>
  <c r="K766"/>
  <c r="J766"/>
  <c r="I766"/>
  <c r="H766"/>
  <c r="G766"/>
  <c r="F766"/>
  <c r="E766"/>
  <c r="D766"/>
  <c r="C766"/>
  <c r="B766"/>
  <c r="A766"/>
  <c r="K765"/>
  <c r="J765"/>
  <c r="I765"/>
  <c r="H765"/>
  <c r="G765"/>
  <c r="F765"/>
  <c r="E765"/>
  <c r="D765"/>
  <c r="C765"/>
  <c r="B765"/>
  <c r="A765"/>
  <c r="K764"/>
  <c r="J764"/>
  <c r="I764"/>
  <c r="H764"/>
  <c r="G764"/>
  <c r="F764"/>
  <c r="E764"/>
  <c r="D764"/>
  <c r="C764"/>
  <c r="B764"/>
  <c r="A764"/>
  <c r="K763"/>
  <c r="J763"/>
  <c r="I763"/>
  <c r="H763"/>
  <c r="G763"/>
  <c r="F763"/>
  <c r="E763"/>
  <c r="D763"/>
  <c r="C763"/>
  <c r="B763"/>
  <c r="A763"/>
  <c r="K762"/>
  <c r="J762"/>
  <c r="I762"/>
  <c r="H762"/>
  <c r="G762"/>
  <c r="F762"/>
  <c r="E762"/>
  <c r="D762"/>
  <c r="C762"/>
  <c r="B762"/>
  <c r="A762"/>
  <c r="K761"/>
  <c r="J761"/>
  <c r="I761"/>
  <c r="H761"/>
  <c r="G761"/>
  <c r="F761"/>
  <c r="E761"/>
  <c r="D761"/>
  <c r="C761"/>
  <c r="B761"/>
  <c r="A761"/>
  <c r="K760"/>
  <c r="J760"/>
  <c r="I760"/>
  <c r="H760"/>
  <c r="G760"/>
  <c r="F760"/>
  <c r="E760"/>
  <c r="D760"/>
  <c r="C760"/>
  <c r="B760"/>
  <c r="A760"/>
  <c r="K759"/>
  <c r="J759"/>
  <c r="I759"/>
  <c r="H759"/>
  <c r="G759"/>
  <c r="F759"/>
  <c r="E759"/>
  <c r="D759"/>
  <c r="C759"/>
  <c r="B759"/>
  <c r="A759"/>
  <c r="K758"/>
  <c r="J758"/>
  <c r="I758"/>
  <c r="H758"/>
  <c r="G758"/>
  <c r="F758"/>
  <c r="E758"/>
  <c r="D758"/>
  <c r="C758"/>
  <c r="B758"/>
  <c r="A758"/>
  <c r="K757"/>
  <c r="J757"/>
  <c r="I757"/>
  <c r="H757"/>
  <c r="G757"/>
  <c r="F757"/>
  <c r="E757"/>
  <c r="D757"/>
  <c r="C757"/>
  <c r="B757"/>
  <c r="A757"/>
  <c r="K756"/>
  <c r="J756"/>
  <c r="I756"/>
  <c r="H756"/>
  <c r="G756"/>
  <c r="F756"/>
  <c r="E756"/>
  <c r="D756"/>
  <c r="C756"/>
  <c r="B756"/>
  <c r="A756"/>
  <c r="K755"/>
  <c r="J755"/>
  <c r="I755"/>
  <c r="H755"/>
  <c r="G755"/>
  <c r="F755"/>
  <c r="E755"/>
  <c r="D755"/>
  <c r="C755"/>
  <c r="B755"/>
  <c r="A755"/>
  <c r="K754"/>
  <c r="J754"/>
  <c r="I754"/>
  <c r="H754"/>
  <c r="G754"/>
  <c r="F754"/>
  <c r="E754"/>
  <c r="D754"/>
  <c r="C754"/>
  <c r="B754"/>
  <c r="A754"/>
  <c r="K753"/>
  <c r="J753"/>
  <c r="I753"/>
  <c r="H753"/>
  <c r="G753"/>
  <c r="F753"/>
  <c r="E753"/>
  <c r="D753"/>
  <c r="C753"/>
  <c r="B753"/>
  <c r="A753"/>
  <c r="K752"/>
  <c r="J752"/>
  <c r="I752"/>
  <c r="H752"/>
  <c r="G752"/>
  <c r="F752"/>
  <c r="E752"/>
  <c r="D752"/>
  <c r="C752"/>
  <c r="B752"/>
  <c r="A752"/>
  <c r="K751"/>
  <c r="J751"/>
  <c r="I751"/>
  <c r="H751"/>
  <c r="G751"/>
  <c r="F751"/>
  <c r="E751"/>
  <c r="D751"/>
  <c r="C751"/>
  <c r="B751"/>
  <c r="A751"/>
  <c r="K750"/>
  <c r="J750"/>
  <c r="I750"/>
  <c r="H750"/>
  <c r="G750"/>
  <c r="F750"/>
  <c r="E750"/>
  <c r="D750"/>
  <c r="C750"/>
  <c r="B750"/>
  <c r="A750"/>
  <c r="K749"/>
  <c r="J749"/>
  <c r="I749"/>
  <c r="H749"/>
  <c r="G749"/>
  <c r="F749"/>
  <c r="E749"/>
  <c r="D749"/>
  <c r="C749"/>
  <c r="B749"/>
  <c r="A749"/>
  <c r="K748"/>
  <c r="J748"/>
  <c r="I748"/>
  <c r="H748"/>
  <c r="G748"/>
  <c r="F748"/>
  <c r="E748"/>
  <c r="D748"/>
  <c r="C748"/>
  <c r="B748"/>
  <c r="A748"/>
  <c r="K747"/>
  <c r="J747"/>
  <c r="I747"/>
  <c r="H747"/>
  <c r="G747"/>
  <c r="F747"/>
  <c r="E747"/>
  <c r="D747"/>
  <c r="C747"/>
  <c r="B747"/>
  <c r="A747"/>
  <c r="K746"/>
  <c r="J746"/>
  <c r="I746"/>
  <c r="H746"/>
  <c r="G746"/>
  <c r="F746"/>
  <c r="E746"/>
  <c r="D746"/>
  <c r="C746"/>
  <c r="B746"/>
  <c r="A746"/>
  <c r="K745"/>
  <c r="J745"/>
  <c r="I745"/>
  <c r="H745"/>
  <c r="G745"/>
  <c r="F745"/>
  <c r="E745"/>
  <c r="D745"/>
  <c r="C745"/>
  <c r="B745"/>
  <c r="A745"/>
  <c r="K744"/>
  <c r="J744"/>
  <c r="I744"/>
  <c r="H744"/>
  <c r="G744"/>
  <c r="F744"/>
  <c r="E744"/>
  <c r="D744"/>
  <c r="C744"/>
  <c r="B744"/>
  <c r="A744"/>
  <c r="K743"/>
  <c r="J743"/>
  <c r="I743"/>
  <c r="H743"/>
  <c r="G743"/>
  <c r="F743"/>
  <c r="E743"/>
  <c r="D743"/>
  <c r="C743"/>
  <c r="B743"/>
  <c r="A743"/>
  <c r="K742"/>
  <c r="J742"/>
  <c r="I742"/>
  <c r="H742"/>
  <c r="G742"/>
  <c r="F742"/>
  <c r="E742"/>
  <c r="D742"/>
  <c r="C742"/>
  <c r="B742"/>
  <c r="A742"/>
  <c r="K741"/>
  <c r="J741"/>
  <c r="I741"/>
  <c r="H741"/>
  <c r="G741"/>
  <c r="F741"/>
  <c r="E741"/>
  <c r="D741"/>
  <c r="C741"/>
  <c r="B741"/>
  <c r="A741"/>
  <c r="K740"/>
  <c r="J740"/>
  <c r="I740"/>
  <c r="H740"/>
  <c r="G740"/>
  <c r="F740"/>
  <c r="E740"/>
  <c r="D740"/>
  <c r="C740"/>
  <c r="B740"/>
  <c r="A740"/>
  <c r="K739"/>
  <c r="J739"/>
  <c r="I739"/>
  <c r="H739"/>
  <c r="G739"/>
  <c r="F739"/>
  <c r="E739"/>
  <c r="D739"/>
  <c r="C739"/>
  <c r="B739"/>
  <c r="A739"/>
  <c r="K738"/>
  <c r="J738"/>
  <c r="I738"/>
  <c r="H738"/>
  <c r="G738"/>
  <c r="F738"/>
  <c r="E738"/>
  <c r="D738"/>
  <c r="C738"/>
  <c r="B738"/>
  <c r="A738"/>
  <c r="K737"/>
  <c r="J737"/>
  <c r="I737"/>
  <c r="H737"/>
  <c r="G737"/>
  <c r="F737"/>
  <c r="E737"/>
  <c r="D737"/>
  <c r="C737"/>
  <c r="B737"/>
  <c r="A737"/>
  <c r="K736"/>
  <c r="J736"/>
  <c r="I736"/>
  <c r="H736"/>
  <c r="G736"/>
  <c r="F736"/>
  <c r="E736"/>
  <c r="D736"/>
  <c r="C736"/>
  <c r="B736"/>
  <c r="A736"/>
  <c r="K735"/>
  <c r="J735"/>
  <c r="I735"/>
  <c r="H735"/>
  <c r="G735"/>
  <c r="F735"/>
  <c r="E735"/>
  <c r="D735"/>
  <c r="C735"/>
  <c r="B735"/>
  <c r="A735"/>
  <c r="K734"/>
  <c r="J734"/>
  <c r="I734"/>
  <c r="H734"/>
  <c r="G734"/>
  <c r="F734"/>
  <c r="E734"/>
  <c r="D734"/>
  <c r="C734"/>
  <c r="B734"/>
  <c r="A734"/>
  <c r="K733"/>
  <c r="J733"/>
  <c r="I733"/>
  <c r="H733"/>
  <c r="G733"/>
  <c r="F733"/>
  <c r="E733"/>
  <c r="D733"/>
  <c r="C733"/>
  <c r="B733"/>
  <c r="A733"/>
  <c r="K732"/>
  <c r="J732"/>
  <c r="I732"/>
  <c r="H732"/>
  <c r="G732"/>
  <c r="F732"/>
  <c r="E732"/>
  <c r="D732"/>
  <c r="C732"/>
  <c r="B732"/>
  <c r="A732"/>
  <c r="K731"/>
  <c r="J731"/>
  <c r="I731"/>
  <c r="H731"/>
  <c r="G731"/>
  <c r="F731"/>
  <c r="E731"/>
  <c r="D731"/>
  <c r="C731"/>
  <c r="B731"/>
  <c r="A731"/>
  <c r="K730"/>
  <c r="J730"/>
  <c r="I730"/>
  <c r="H730"/>
  <c r="G730"/>
  <c r="F730"/>
  <c r="E730"/>
  <c r="D730"/>
  <c r="C730"/>
  <c r="B730"/>
  <c r="A730"/>
  <c r="K729"/>
  <c r="J729"/>
  <c r="I729"/>
  <c r="H729"/>
  <c r="G729"/>
  <c r="F729"/>
  <c r="E729"/>
  <c r="D729"/>
  <c r="C729"/>
  <c r="B729"/>
  <c r="A729"/>
  <c r="K728"/>
  <c r="J728"/>
  <c r="I728"/>
  <c r="H728"/>
  <c r="G728"/>
  <c r="F728"/>
  <c r="E728"/>
  <c r="D728"/>
  <c r="C728"/>
  <c r="B728"/>
  <c r="A728"/>
  <c r="K727"/>
  <c r="J727"/>
  <c r="I727"/>
  <c r="H727"/>
  <c r="G727"/>
  <c r="F727"/>
  <c r="E727"/>
  <c r="D727"/>
  <c r="C727"/>
  <c r="B727"/>
  <c r="A727"/>
  <c r="K726"/>
  <c r="J726"/>
  <c r="I726"/>
  <c r="H726"/>
  <c r="G726"/>
  <c r="F726"/>
  <c r="E726"/>
  <c r="D726"/>
  <c r="C726"/>
  <c r="B726"/>
  <c r="A726"/>
  <c r="K725"/>
  <c r="J725"/>
  <c r="I725"/>
  <c r="H725"/>
  <c r="G725"/>
  <c r="F725"/>
  <c r="E725"/>
  <c r="D725"/>
  <c r="C725"/>
  <c r="B725"/>
  <c r="A725"/>
  <c r="K724"/>
  <c r="J724"/>
  <c r="I724"/>
  <c r="H724"/>
  <c r="G724"/>
  <c r="F724"/>
  <c r="E724"/>
  <c r="D724"/>
  <c r="C724"/>
  <c r="B724"/>
  <c r="A724"/>
  <c r="K723"/>
  <c r="J723"/>
  <c r="I723"/>
  <c r="H723"/>
  <c r="G723"/>
  <c r="F723"/>
  <c r="E723"/>
  <c r="D723"/>
  <c r="C723"/>
  <c r="B723"/>
  <c r="A723"/>
  <c r="K722"/>
  <c r="J722"/>
  <c r="I722"/>
  <c r="H722"/>
  <c r="G722"/>
  <c r="F722"/>
  <c r="E722"/>
  <c r="D722"/>
  <c r="C722"/>
  <c r="B722"/>
  <c r="A722"/>
  <c r="K721"/>
  <c r="J721"/>
  <c r="I721"/>
  <c r="H721"/>
  <c r="G721"/>
  <c r="F721"/>
  <c r="E721"/>
  <c r="D721"/>
  <c r="C721"/>
  <c r="B721"/>
  <c r="A721"/>
  <c r="K720"/>
  <c r="J720"/>
  <c r="I720"/>
  <c r="H720"/>
  <c r="G720"/>
  <c r="F720"/>
  <c r="E720"/>
  <c r="D720"/>
  <c r="C720"/>
  <c r="B720"/>
  <c r="A720"/>
  <c r="K719"/>
  <c r="J719"/>
  <c r="I719"/>
  <c r="H719"/>
  <c r="G719"/>
  <c r="F719"/>
  <c r="E719"/>
  <c r="D719"/>
  <c r="C719"/>
  <c r="B719"/>
  <c r="A719"/>
  <c r="K718"/>
  <c r="J718"/>
  <c r="I718"/>
  <c r="H718"/>
  <c r="G718"/>
  <c r="F718"/>
  <c r="E718"/>
  <c r="D718"/>
  <c r="C718"/>
  <c r="B718"/>
  <c r="A718"/>
  <c r="K717"/>
  <c r="J717"/>
  <c r="I717"/>
  <c r="H717"/>
  <c r="G717"/>
  <c r="F717"/>
  <c r="E717"/>
  <c r="D717"/>
  <c r="C717"/>
  <c r="B717"/>
  <c r="A717"/>
  <c r="K716"/>
  <c r="J716"/>
  <c r="I716"/>
  <c r="H716"/>
  <c r="G716"/>
  <c r="F716"/>
  <c r="E716"/>
  <c r="D716"/>
  <c r="C716"/>
  <c r="B716"/>
  <c r="A716"/>
  <c r="K715"/>
  <c r="J715"/>
  <c r="I715"/>
  <c r="H715"/>
  <c r="G715"/>
  <c r="F715"/>
  <c r="E715"/>
  <c r="D715"/>
  <c r="C715"/>
  <c r="B715"/>
  <c r="A715"/>
  <c r="K714"/>
  <c r="J714"/>
  <c r="I714"/>
  <c r="H714"/>
  <c r="G714"/>
  <c r="F714"/>
  <c r="E714"/>
  <c r="D714"/>
  <c r="C714"/>
  <c r="B714"/>
  <c r="A714"/>
  <c r="K713"/>
  <c r="J713"/>
  <c r="I713"/>
  <c r="H713"/>
  <c r="G713"/>
  <c r="F713"/>
  <c r="E713"/>
  <c r="D713"/>
  <c r="C713"/>
  <c r="B713"/>
  <c r="A713"/>
  <c r="K712"/>
  <c r="J712"/>
  <c r="I712"/>
  <c r="H712"/>
  <c r="G712"/>
  <c r="F712"/>
  <c r="E712"/>
  <c r="D712"/>
  <c r="C712"/>
  <c r="B712"/>
  <c r="A712"/>
  <c r="K711"/>
  <c r="J711"/>
  <c r="I711"/>
  <c r="H711"/>
  <c r="G711"/>
  <c r="F711"/>
  <c r="E711"/>
  <c r="D711"/>
  <c r="C711"/>
  <c r="B711"/>
  <c r="A711"/>
  <c r="K710"/>
  <c r="J710"/>
  <c r="I710"/>
  <c r="H710"/>
  <c r="G710"/>
  <c r="F710"/>
  <c r="E710"/>
  <c r="D710"/>
  <c r="C710"/>
  <c r="B710"/>
  <c r="A710"/>
  <c r="K709"/>
  <c r="J709"/>
  <c r="I709"/>
  <c r="H709"/>
  <c r="G709"/>
  <c r="F709"/>
  <c r="E709"/>
  <c r="D709"/>
  <c r="C709"/>
  <c r="B709"/>
  <c r="A709"/>
  <c r="K708"/>
  <c r="J708"/>
  <c r="I708"/>
  <c r="H708"/>
  <c r="G708"/>
  <c r="F708"/>
  <c r="E708"/>
  <c r="D708"/>
  <c r="C708"/>
  <c r="B708"/>
  <c r="A708"/>
  <c r="K707"/>
  <c r="J707"/>
  <c r="I707"/>
  <c r="H707"/>
  <c r="G707"/>
  <c r="F707"/>
  <c r="E707"/>
  <c r="D707"/>
  <c r="C707"/>
  <c r="B707"/>
  <c r="A707"/>
  <c r="K706"/>
  <c r="J706"/>
  <c r="I706"/>
  <c r="H706"/>
  <c r="G706"/>
  <c r="F706"/>
  <c r="E706"/>
  <c r="D706"/>
  <c r="C706"/>
  <c r="B706"/>
  <c r="A706"/>
  <c r="K705"/>
  <c r="J705"/>
  <c r="I705"/>
  <c r="H705"/>
  <c r="G705"/>
  <c r="F705"/>
  <c r="E705"/>
  <c r="D705"/>
  <c r="C705"/>
  <c r="B705"/>
  <c r="A705"/>
  <c r="K704"/>
  <c r="J704"/>
  <c r="I704"/>
  <c r="H704"/>
  <c r="G704"/>
  <c r="F704"/>
  <c r="E704"/>
  <c r="D704"/>
  <c r="C704"/>
  <c r="B704"/>
  <c r="A704"/>
  <c r="K703"/>
  <c r="J703"/>
  <c r="I703"/>
  <c r="H703"/>
  <c r="G703"/>
  <c r="F703"/>
  <c r="E703"/>
  <c r="D703"/>
  <c r="C703"/>
  <c r="B703"/>
  <c r="A703"/>
  <c r="K702"/>
  <c r="J702"/>
  <c r="I702"/>
  <c r="H702"/>
  <c r="G702"/>
  <c r="F702"/>
  <c r="E702"/>
  <c r="D702"/>
  <c r="C702"/>
  <c r="B702"/>
  <c r="A702"/>
  <c r="K701"/>
  <c r="J701"/>
  <c r="I701"/>
  <c r="H701"/>
  <c r="G701"/>
  <c r="F701"/>
  <c r="E701"/>
  <c r="D701"/>
  <c r="C701"/>
  <c r="B701"/>
  <c r="A701"/>
  <c r="K700"/>
  <c r="J700"/>
  <c r="I700"/>
  <c r="H700"/>
  <c r="G700"/>
  <c r="F700"/>
  <c r="E700"/>
  <c r="D700"/>
  <c r="C700"/>
  <c r="B700"/>
  <c r="A700"/>
  <c r="K699"/>
  <c r="J699"/>
  <c r="I699"/>
  <c r="H699"/>
  <c r="G699"/>
  <c r="F699"/>
  <c r="E699"/>
  <c r="D699"/>
  <c r="C699"/>
  <c r="B699"/>
  <c r="A699"/>
  <c r="K698"/>
  <c r="J698"/>
  <c r="I698"/>
  <c r="H698"/>
  <c r="G698"/>
  <c r="F698"/>
  <c r="E698"/>
  <c r="D698"/>
  <c r="C698"/>
  <c r="B698"/>
  <c r="A698"/>
  <c r="K697"/>
  <c r="J697"/>
  <c r="I697"/>
  <c r="H697"/>
  <c r="G697"/>
  <c r="F697"/>
  <c r="E697"/>
  <c r="D697"/>
  <c r="C697"/>
  <c r="B697"/>
  <c r="A697"/>
  <c r="K696"/>
  <c r="J696"/>
  <c r="I696"/>
  <c r="H696"/>
  <c r="G696"/>
  <c r="F696"/>
  <c r="E696"/>
  <c r="D696"/>
  <c r="C696"/>
  <c r="B696"/>
  <c r="A696"/>
  <c r="K695"/>
  <c r="J695"/>
  <c r="I695"/>
  <c r="H695"/>
  <c r="G695"/>
  <c r="F695"/>
  <c r="E695"/>
  <c r="D695"/>
  <c r="C695"/>
  <c r="B695"/>
  <c r="A695"/>
  <c r="K694"/>
  <c r="J694"/>
  <c r="I694"/>
  <c r="H694"/>
  <c r="G694"/>
  <c r="F694"/>
  <c r="E694"/>
  <c r="D694"/>
  <c r="C694"/>
  <c r="B694"/>
  <c r="A694"/>
  <c r="K693"/>
  <c r="J693"/>
  <c r="I693"/>
  <c r="H693"/>
  <c r="G693"/>
  <c r="F693"/>
  <c r="E693"/>
  <c r="D693"/>
  <c r="C693"/>
  <c r="B693"/>
  <c r="A693"/>
  <c r="K692"/>
  <c r="J692"/>
  <c r="I692"/>
  <c r="H692"/>
  <c r="G692"/>
  <c r="F692"/>
  <c r="E692"/>
  <c r="D692"/>
  <c r="C692"/>
  <c r="B692"/>
  <c r="A692"/>
  <c r="K691"/>
  <c r="J691"/>
  <c r="I691"/>
  <c r="H691"/>
  <c r="G691"/>
  <c r="F691"/>
  <c r="E691"/>
  <c r="D691"/>
  <c r="C691"/>
  <c r="B691"/>
  <c r="A691"/>
  <c r="K690"/>
  <c r="J690"/>
  <c r="I690"/>
  <c r="H690"/>
  <c r="G690"/>
  <c r="F690"/>
  <c r="E690"/>
  <c r="D690"/>
  <c r="C690"/>
  <c r="B690"/>
  <c r="A690"/>
  <c r="K689"/>
  <c r="J689"/>
  <c r="I689"/>
  <c r="H689"/>
  <c r="G689"/>
  <c r="F689"/>
  <c r="E689"/>
  <c r="D689"/>
  <c r="C689"/>
  <c r="B689"/>
  <c r="A689"/>
  <c r="K688"/>
  <c r="J688"/>
  <c r="I688"/>
  <c r="H688"/>
  <c r="G688"/>
  <c r="F688"/>
  <c r="E688"/>
  <c r="D688"/>
  <c r="C688"/>
  <c r="B688"/>
  <c r="A688"/>
  <c r="K687"/>
  <c r="J687"/>
  <c r="I687"/>
  <c r="H687"/>
  <c r="G687"/>
  <c r="F687"/>
  <c r="E687"/>
  <c r="D687"/>
  <c r="C687"/>
  <c r="B687"/>
  <c r="A687"/>
  <c r="K686"/>
  <c r="J686"/>
  <c r="I686"/>
  <c r="H686"/>
  <c r="G686"/>
  <c r="F686"/>
  <c r="E686"/>
  <c r="D686"/>
  <c r="C686"/>
  <c r="B686"/>
  <c r="A686"/>
  <c r="K685"/>
  <c r="J685"/>
  <c r="I685"/>
  <c r="H685"/>
  <c r="G685"/>
  <c r="F685"/>
  <c r="E685"/>
  <c r="D685"/>
  <c r="C685"/>
  <c r="B685"/>
  <c r="A685"/>
  <c r="K684"/>
  <c r="J684"/>
  <c r="I684"/>
  <c r="H684"/>
  <c r="G684"/>
  <c r="F684"/>
  <c r="E684"/>
  <c r="D684"/>
  <c r="C684"/>
  <c r="B684"/>
  <c r="A684"/>
  <c r="K683"/>
  <c r="J683"/>
  <c r="I683"/>
  <c r="H683"/>
  <c r="G683"/>
  <c r="F683"/>
  <c r="E683"/>
  <c r="D683"/>
  <c r="C683"/>
  <c r="B683"/>
  <c r="A683"/>
  <c r="K682"/>
  <c r="J682"/>
  <c r="I682"/>
  <c r="H682"/>
  <c r="G682"/>
  <c r="F682"/>
  <c r="E682"/>
  <c r="D682"/>
  <c r="C682"/>
  <c r="B682"/>
  <c r="A682"/>
  <c r="K681"/>
  <c r="J681"/>
  <c r="I681"/>
  <c r="H681"/>
  <c r="G681"/>
  <c r="F681"/>
  <c r="E681"/>
  <c r="D681"/>
  <c r="C681"/>
  <c r="B681"/>
  <c r="A681"/>
  <c r="K680"/>
  <c r="J680"/>
  <c r="I680"/>
  <c r="H680"/>
  <c r="G680"/>
  <c r="F680"/>
  <c r="E680"/>
  <c r="D680"/>
  <c r="C680"/>
  <c r="B680"/>
  <c r="A680"/>
  <c r="K679"/>
  <c r="J679"/>
  <c r="I679"/>
  <c r="H679"/>
  <c r="G679"/>
  <c r="F679"/>
  <c r="E679"/>
  <c r="D679"/>
  <c r="C679"/>
  <c r="B679"/>
  <c r="A679"/>
  <c r="K678"/>
  <c r="J678"/>
  <c r="I678"/>
  <c r="H678"/>
  <c r="G678"/>
  <c r="F678"/>
  <c r="E678"/>
  <c r="D678"/>
  <c r="C678"/>
  <c r="B678"/>
  <c r="A678"/>
  <c r="K677"/>
  <c r="J677"/>
  <c r="I677"/>
  <c r="H677"/>
  <c r="G677"/>
  <c r="F677"/>
  <c r="E677"/>
  <c r="D677"/>
  <c r="C677"/>
  <c r="B677"/>
  <c r="A677"/>
  <c r="K676"/>
  <c r="J676"/>
  <c r="I676"/>
  <c r="H676"/>
  <c r="G676"/>
  <c r="F676"/>
  <c r="E676"/>
  <c r="D676"/>
  <c r="C676"/>
  <c r="B676"/>
  <c r="A676"/>
  <c r="K675"/>
  <c r="J675"/>
  <c r="I675"/>
  <c r="H675"/>
  <c r="G675"/>
  <c r="F675"/>
  <c r="E675"/>
  <c r="D675"/>
  <c r="C675"/>
  <c r="B675"/>
  <c r="A675"/>
  <c r="K674"/>
  <c r="J674"/>
  <c r="I674"/>
  <c r="H674"/>
  <c r="G674"/>
  <c r="F674"/>
  <c r="E674"/>
  <c r="D674"/>
  <c r="C674"/>
  <c r="B674"/>
  <c r="A674"/>
  <c r="K673"/>
  <c r="J673"/>
  <c r="I673"/>
  <c r="H673"/>
  <c r="G673"/>
  <c r="F673"/>
  <c r="E673"/>
  <c r="D673"/>
  <c r="C673"/>
  <c r="B673"/>
  <c r="A673"/>
  <c r="K672"/>
  <c r="J672"/>
  <c r="I672"/>
  <c r="H672"/>
  <c r="G672"/>
  <c r="F672"/>
  <c r="E672"/>
  <c r="D672"/>
  <c r="C672"/>
  <c r="B672"/>
  <c r="A672"/>
  <c r="K671"/>
  <c r="J671"/>
  <c r="I671"/>
  <c r="H671"/>
  <c r="G671"/>
  <c r="F671"/>
  <c r="E671"/>
  <c r="D671"/>
  <c r="C671"/>
  <c r="B671"/>
  <c r="A671"/>
  <c r="K670"/>
  <c r="J670"/>
  <c r="I670"/>
  <c r="H670"/>
  <c r="G670"/>
  <c r="F670"/>
  <c r="E670"/>
  <c r="D670"/>
  <c r="C670"/>
  <c r="B670"/>
  <c r="A670"/>
  <c r="K669"/>
  <c r="J669"/>
  <c r="I669"/>
  <c r="H669"/>
  <c r="G669"/>
  <c r="F669"/>
  <c r="E669"/>
  <c r="D669"/>
  <c r="C669"/>
  <c r="B669"/>
  <c r="A669"/>
  <c r="K668"/>
  <c r="J668"/>
  <c r="I668"/>
  <c r="H668"/>
  <c r="G668"/>
  <c r="F668"/>
  <c r="E668"/>
  <c r="D668"/>
  <c r="C668"/>
  <c r="B668"/>
  <c r="A668"/>
  <c r="K667"/>
  <c r="J667"/>
  <c r="I667"/>
  <c r="H667"/>
  <c r="G667"/>
  <c r="F667"/>
  <c r="E667"/>
  <c r="D667"/>
  <c r="C667"/>
  <c r="B667"/>
  <c r="A667"/>
  <c r="K666"/>
  <c r="J666"/>
  <c r="I666"/>
  <c r="H666"/>
  <c r="G666"/>
  <c r="F666"/>
  <c r="E666"/>
  <c r="D666"/>
  <c r="C666"/>
  <c r="B666"/>
  <c r="A666"/>
  <c r="K665"/>
  <c r="J665"/>
  <c r="I665"/>
  <c r="H665"/>
  <c r="G665"/>
  <c r="F665"/>
  <c r="E665"/>
  <c r="D665"/>
  <c r="C665"/>
  <c r="B665"/>
  <c r="A665"/>
  <c r="K664"/>
  <c r="J664"/>
  <c r="I664"/>
  <c r="H664"/>
  <c r="G664"/>
  <c r="F664"/>
  <c r="E664"/>
  <c r="D664"/>
  <c r="C664"/>
  <c r="B664"/>
  <c r="A664"/>
  <c r="K663"/>
  <c r="J663"/>
  <c r="I663"/>
  <c r="H663"/>
  <c r="G663"/>
  <c r="F663"/>
  <c r="E663"/>
  <c r="D663"/>
  <c r="C663"/>
  <c r="B663"/>
  <c r="A663"/>
  <c r="K662"/>
  <c r="J662"/>
  <c r="I662"/>
  <c r="H662"/>
  <c r="G662"/>
  <c r="F662"/>
  <c r="E662"/>
  <c r="D662"/>
  <c r="C662"/>
  <c r="B662"/>
  <c r="A662"/>
  <c r="K661"/>
  <c r="J661"/>
  <c r="I661"/>
  <c r="H661"/>
  <c r="G661"/>
  <c r="F661"/>
  <c r="E661"/>
  <c r="D661"/>
  <c r="C661"/>
  <c r="B661"/>
  <c r="A661"/>
  <c r="K660"/>
  <c r="J660"/>
  <c r="I660"/>
  <c r="H660"/>
  <c r="G660"/>
  <c r="F660"/>
  <c r="E660"/>
  <c r="D660"/>
  <c r="C660"/>
  <c r="B660"/>
  <c r="A660"/>
  <c r="K659"/>
  <c r="J659"/>
  <c r="I659"/>
  <c r="H659"/>
  <c r="G659"/>
  <c r="F659"/>
  <c r="E659"/>
  <c r="D659"/>
  <c r="C659"/>
  <c r="B659"/>
  <c r="A659"/>
  <c r="K658"/>
  <c r="J658"/>
  <c r="I658"/>
  <c r="H658"/>
  <c r="G658"/>
  <c r="F658"/>
  <c r="E658"/>
  <c r="D658"/>
  <c r="C658"/>
  <c r="B658"/>
  <c r="A658"/>
  <c r="K657"/>
  <c r="J657"/>
  <c r="I657"/>
  <c r="H657"/>
  <c r="G657"/>
  <c r="F657"/>
  <c r="E657"/>
  <c r="D657"/>
  <c r="C657"/>
  <c r="B657"/>
  <c r="A657"/>
  <c r="K656"/>
  <c r="J656"/>
  <c r="I656"/>
  <c r="H656"/>
  <c r="G656"/>
  <c r="F656"/>
  <c r="E656"/>
  <c r="D656"/>
  <c r="C656"/>
  <c r="B656"/>
  <c r="A656"/>
  <c r="K655"/>
  <c r="J655"/>
  <c r="I655"/>
  <c r="H655"/>
  <c r="G655"/>
  <c r="F655"/>
  <c r="E655"/>
  <c r="D655"/>
  <c r="C655"/>
  <c r="B655"/>
  <c r="A655"/>
  <c r="K654"/>
  <c r="J654"/>
  <c r="I654"/>
  <c r="H654"/>
  <c r="G654"/>
  <c r="F654"/>
  <c r="E654"/>
  <c r="D654"/>
  <c r="C654"/>
  <c r="B654"/>
  <c r="A654"/>
  <c r="K653"/>
  <c r="J653"/>
  <c r="I653"/>
  <c r="H653"/>
  <c r="G653"/>
  <c r="F653"/>
  <c r="E653"/>
  <c r="D653"/>
  <c r="C653"/>
  <c r="B653"/>
  <c r="A653"/>
  <c r="K652"/>
  <c r="J652"/>
  <c r="I652"/>
  <c r="H652"/>
  <c r="G652"/>
  <c r="F652"/>
  <c r="E652"/>
  <c r="D652"/>
  <c r="C652"/>
  <c r="B652"/>
  <c r="A652"/>
  <c r="K651"/>
  <c r="J651"/>
  <c r="I651"/>
  <c r="H651"/>
  <c r="G651"/>
  <c r="F651"/>
  <c r="E651"/>
  <c r="D651"/>
  <c r="C651"/>
  <c r="B651"/>
  <c r="A651"/>
  <c r="K650"/>
  <c r="J650"/>
  <c r="I650"/>
  <c r="H650"/>
  <c r="G650"/>
  <c r="F650"/>
  <c r="E650"/>
  <c r="D650"/>
  <c r="C650"/>
  <c r="B650"/>
  <c r="A650"/>
  <c r="K649"/>
  <c r="J649"/>
  <c r="I649"/>
  <c r="H649"/>
  <c r="G649"/>
  <c r="F649"/>
  <c r="E649"/>
  <c r="D649"/>
  <c r="C649"/>
  <c r="B649"/>
  <c r="A649"/>
  <c r="K648"/>
  <c r="J648"/>
  <c r="I648"/>
  <c r="H648"/>
  <c r="G648"/>
  <c r="F648"/>
  <c r="E648"/>
  <c r="D648"/>
  <c r="C648"/>
  <c r="B648"/>
  <c r="A648"/>
  <c r="K647"/>
  <c r="J647"/>
  <c r="I647"/>
  <c r="H647"/>
  <c r="G647"/>
  <c r="F647"/>
  <c r="E647"/>
  <c r="D647"/>
  <c r="C647"/>
  <c r="B647"/>
  <c r="A647"/>
  <c r="K646"/>
  <c r="J646"/>
  <c r="I646"/>
  <c r="H646"/>
  <c r="G646"/>
  <c r="F646"/>
  <c r="E646"/>
  <c r="D646"/>
  <c r="C646"/>
  <c r="B646"/>
  <c r="A646"/>
  <c r="K645"/>
  <c r="J645"/>
  <c r="I645"/>
  <c r="H645"/>
  <c r="G645"/>
  <c r="F645"/>
  <c r="E645"/>
  <c r="D645"/>
  <c r="C645"/>
  <c r="B645"/>
  <c r="A645"/>
  <c r="K644"/>
  <c r="J644"/>
  <c r="I644"/>
  <c r="H644"/>
  <c r="G644"/>
  <c r="F644"/>
  <c r="E644"/>
  <c r="D644"/>
  <c r="C644"/>
  <c r="B644"/>
  <c r="A644"/>
  <c r="K643"/>
  <c r="J643"/>
  <c r="I643"/>
  <c r="H643"/>
  <c r="G643"/>
  <c r="F643"/>
  <c r="E643"/>
  <c r="D643"/>
  <c r="C643"/>
  <c r="B643"/>
  <c r="A643"/>
  <c r="K642"/>
  <c r="J642"/>
  <c r="I642"/>
  <c r="H642"/>
  <c r="G642"/>
  <c r="F642"/>
  <c r="E642"/>
  <c r="D642"/>
  <c r="C642"/>
  <c r="B642"/>
  <c r="A642"/>
  <c r="K641"/>
  <c r="J641"/>
  <c r="I641"/>
  <c r="H641"/>
  <c r="G641"/>
  <c r="F641"/>
  <c r="E641"/>
  <c r="D641"/>
  <c r="C641"/>
  <c r="B641"/>
  <c r="A641"/>
  <c r="K640"/>
  <c r="J640"/>
  <c r="I640"/>
  <c r="H640"/>
  <c r="G640"/>
  <c r="F640"/>
  <c r="E640"/>
  <c r="D640"/>
  <c r="C640"/>
  <c r="B640"/>
  <c r="A640"/>
  <c r="K639"/>
  <c r="J639"/>
  <c r="I639"/>
  <c r="H639"/>
  <c r="G639"/>
  <c r="F639"/>
  <c r="E639"/>
  <c r="D639"/>
  <c r="C639"/>
  <c r="B639"/>
  <c r="A639"/>
  <c r="K638"/>
  <c r="J638"/>
  <c r="I638"/>
  <c r="H638"/>
  <c r="G638"/>
  <c r="F638"/>
  <c r="E638"/>
  <c r="D638"/>
  <c r="C638"/>
  <c r="B638"/>
  <c r="A638"/>
  <c r="K637"/>
  <c r="J637"/>
  <c r="I637"/>
  <c r="H637"/>
  <c r="G637"/>
  <c r="F637"/>
  <c r="E637"/>
  <c r="D637"/>
  <c r="C637"/>
  <c r="B637"/>
  <c r="A637"/>
  <c r="K636"/>
  <c r="J636"/>
  <c r="I636"/>
  <c r="H636"/>
  <c r="G636"/>
  <c r="F636"/>
  <c r="E636"/>
  <c r="D636"/>
  <c r="C636"/>
  <c r="B636"/>
  <c r="A636"/>
  <c r="K635"/>
  <c r="J635"/>
  <c r="I635"/>
  <c r="H635"/>
  <c r="G635"/>
  <c r="F635"/>
  <c r="E635"/>
  <c r="D635"/>
  <c r="C635"/>
  <c r="B635"/>
  <c r="A635"/>
  <c r="K634"/>
  <c r="J634"/>
  <c r="I634"/>
  <c r="H634"/>
  <c r="G634"/>
  <c r="F634"/>
  <c r="E634"/>
  <c r="D634"/>
  <c r="C634"/>
  <c r="B634"/>
  <c r="A634"/>
  <c r="K633"/>
  <c r="J633"/>
  <c r="I633"/>
  <c r="H633"/>
  <c r="G633"/>
  <c r="F633"/>
  <c r="E633"/>
  <c r="D633"/>
  <c r="C633"/>
  <c r="B633"/>
  <c r="A633"/>
  <c r="K632"/>
  <c r="J632"/>
  <c r="I632"/>
  <c r="H632"/>
  <c r="G632"/>
  <c r="F632"/>
  <c r="E632"/>
  <c r="D632"/>
  <c r="C632"/>
  <c r="B632"/>
  <c r="A632"/>
  <c r="K631"/>
  <c r="J631"/>
  <c r="I631"/>
  <c r="H631"/>
  <c r="G631"/>
  <c r="F631"/>
  <c r="E631"/>
  <c r="D631"/>
  <c r="C631"/>
  <c r="B631"/>
  <c r="A631"/>
  <c r="K630"/>
  <c r="J630"/>
  <c r="I630"/>
  <c r="H630"/>
  <c r="G630"/>
  <c r="F630"/>
  <c r="E630"/>
  <c r="D630"/>
  <c r="C630"/>
  <c r="B630"/>
  <c r="A630"/>
  <c r="K629"/>
  <c r="J629"/>
  <c r="I629"/>
  <c r="H629"/>
  <c r="G629"/>
  <c r="F629"/>
  <c r="E629"/>
  <c r="D629"/>
  <c r="C629"/>
  <c r="B629"/>
  <c r="A629"/>
  <c r="K628"/>
  <c r="J628"/>
  <c r="I628"/>
  <c r="H628"/>
  <c r="G628"/>
  <c r="F628"/>
  <c r="E628"/>
  <c r="D628"/>
  <c r="C628"/>
  <c r="B628"/>
  <c r="A628"/>
  <c r="K627"/>
  <c r="J627"/>
  <c r="I627"/>
  <c r="H627"/>
  <c r="G627"/>
  <c r="F627"/>
  <c r="E627"/>
  <c r="D627"/>
  <c r="C627"/>
  <c r="B627"/>
  <c r="A627"/>
  <c r="K626"/>
  <c r="J626"/>
  <c r="I626"/>
  <c r="H626"/>
  <c r="G626"/>
  <c r="F626"/>
  <c r="E626"/>
  <c r="D626"/>
  <c r="C626"/>
  <c r="B626"/>
  <c r="A626"/>
  <c r="K625"/>
  <c r="J625"/>
  <c r="I625"/>
  <c r="H625"/>
  <c r="G625"/>
  <c r="F625"/>
  <c r="E625"/>
  <c r="D625"/>
  <c r="C625"/>
  <c r="B625"/>
  <c r="A625"/>
  <c r="K624"/>
  <c r="J624"/>
  <c r="I624"/>
  <c r="H624"/>
  <c r="G624"/>
  <c r="F624"/>
  <c r="E624"/>
  <c r="D624"/>
  <c r="C624"/>
  <c r="B624"/>
  <c r="A624"/>
  <c r="K623"/>
  <c r="J623"/>
  <c r="I623"/>
  <c r="H623"/>
  <c r="G623"/>
  <c r="F623"/>
  <c r="E623"/>
  <c r="D623"/>
  <c r="C623"/>
  <c r="B623"/>
  <c r="A623"/>
  <c r="K622"/>
  <c r="J622"/>
  <c r="I622"/>
  <c r="H622"/>
  <c r="G622"/>
  <c r="F622"/>
  <c r="E622"/>
  <c r="D622"/>
  <c r="C622"/>
  <c r="B622"/>
  <c r="A622"/>
  <c r="K621"/>
  <c r="J621"/>
  <c r="I621"/>
  <c r="H621"/>
  <c r="G621"/>
  <c r="F621"/>
  <c r="E621"/>
  <c r="D621"/>
  <c r="C621"/>
  <c r="B621"/>
  <c r="A621"/>
  <c r="K620"/>
  <c r="J620"/>
  <c r="I620"/>
  <c r="H620"/>
  <c r="G620"/>
  <c r="F620"/>
  <c r="E620"/>
  <c r="D620"/>
  <c r="C620"/>
  <c r="B620"/>
  <c r="A620"/>
  <c r="K619"/>
  <c r="J619"/>
  <c r="I619"/>
  <c r="H619"/>
  <c r="G619"/>
  <c r="F619"/>
  <c r="E619"/>
  <c r="D619"/>
  <c r="C619"/>
  <c r="B619"/>
  <c r="A619"/>
  <c r="K618"/>
  <c r="J618"/>
  <c r="I618"/>
  <c r="H618"/>
  <c r="G618"/>
  <c r="F618"/>
  <c r="E618"/>
  <c r="D618"/>
  <c r="C618"/>
  <c r="B618"/>
  <c r="A618"/>
  <c r="K617"/>
  <c r="J617"/>
  <c r="I617"/>
  <c r="H617"/>
  <c r="G617"/>
  <c r="F617"/>
  <c r="E617"/>
  <c r="D617"/>
  <c r="C617"/>
  <c r="B617"/>
  <c r="A617"/>
  <c r="K616"/>
  <c r="J616"/>
  <c r="I616"/>
  <c r="H616"/>
  <c r="G616"/>
  <c r="F616"/>
  <c r="E616"/>
  <c r="D616"/>
  <c r="C616"/>
  <c r="B616"/>
  <c r="A616"/>
  <c r="K615"/>
  <c r="J615"/>
  <c r="I615"/>
  <c r="H615"/>
  <c r="G615"/>
  <c r="F615"/>
  <c r="E615"/>
  <c r="D615"/>
  <c r="C615"/>
  <c r="B615"/>
  <c r="A615"/>
  <c r="K614"/>
  <c r="J614"/>
  <c r="I614"/>
  <c r="H614"/>
  <c r="G614"/>
  <c r="F614"/>
  <c r="E614"/>
  <c r="D614"/>
  <c r="C614"/>
  <c r="B614"/>
  <c r="A614"/>
  <c r="K613"/>
  <c r="J613"/>
  <c r="I613"/>
  <c r="H613"/>
  <c r="G613"/>
  <c r="F613"/>
  <c r="E613"/>
  <c r="D613"/>
  <c r="C613"/>
  <c r="B613"/>
  <c r="A613"/>
  <c r="K612"/>
  <c r="J612"/>
  <c r="I612"/>
  <c r="H612"/>
  <c r="G612"/>
  <c r="F612"/>
  <c r="E612"/>
  <c r="D612"/>
  <c r="C612"/>
  <c r="B612"/>
  <c r="A612"/>
  <c r="K611"/>
  <c r="J611"/>
  <c r="I611"/>
  <c r="H611"/>
  <c r="G611"/>
  <c r="F611"/>
  <c r="E611"/>
  <c r="D611"/>
  <c r="C611"/>
  <c r="B611"/>
  <c r="A611"/>
  <c r="K610"/>
  <c r="J610"/>
  <c r="I610"/>
  <c r="H610"/>
  <c r="G610"/>
  <c r="F610"/>
  <c r="E610"/>
  <c r="D610"/>
  <c r="C610"/>
  <c r="B610"/>
  <c r="A610"/>
  <c r="K609"/>
  <c r="J609"/>
  <c r="I609"/>
  <c r="H609"/>
  <c r="G609"/>
  <c r="F609"/>
  <c r="E609"/>
  <c r="D609"/>
  <c r="C609"/>
  <c r="B609"/>
  <c r="A609"/>
  <c r="K608"/>
  <c r="J608"/>
  <c r="I608"/>
  <c r="H608"/>
  <c r="G608"/>
  <c r="F608"/>
  <c r="E608"/>
  <c r="D608"/>
  <c r="C608"/>
  <c r="B608"/>
  <c r="A608"/>
  <c r="K607"/>
  <c r="J607"/>
  <c r="I607"/>
  <c r="H607"/>
  <c r="G607"/>
  <c r="F607"/>
  <c r="E607"/>
  <c r="D607"/>
  <c r="C607"/>
  <c r="B607"/>
  <c r="A607"/>
  <c r="K606"/>
  <c r="J606"/>
  <c r="I606"/>
  <c r="H606"/>
  <c r="G606"/>
  <c r="F606"/>
  <c r="E606"/>
  <c r="D606"/>
  <c r="C606"/>
  <c r="B606"/>
  <c r="A606"/>
  <c r="K605"/>
  <c r="J605"/>
  <c r="I605"/>
  <c r="H605"/>
  <c r="G605"/>
  <c r="F605"/>
  <c r="E605"/>
  <c r="D605"/>
  <c r="C605"/>
  <c r="B605"/>
  <c r="A605"/>
  <c r="K604"/>
  <c r="J604"/>
  <c r="I604"/>
  <c r="H604"/>
  <c r="G604"/>
  <c r="F604"/>
  <c r="E604"/>
  <c r="D604"/>
  <c r="C604"/>
  <c r="B604"/>
  <c r="A604"/>
  <c r="K603"/>
  <c r="J603"/>
  <c r="I603"/>
  <c r="H603"/>
  <c r="G603"/>
  <c r="F603"/>
  <c r="E603"/>
  <c r="D603"/>
  <c r="C603"/>
  <c r="B603"/>
  <c r="A603"/>
  <c r="K602"/>
  <c r="J602"/>
  <c r="I602"/>
  <c r="H602"/>
  <c r="G602"/>
  <c r="F602"/>
  <c r="E602"/>
  <c r="D602"/>
  <c r="C602"/>
  <c r="B602"/>
  <c r="A602"/>
  <c r="K601"/>
  <c r="J601"/>
  <c r="I601"/>
  <c r="H601"/>
  <c r="G601"/>
  <c r="F601"/>
  <c r="E601"/>
  <c r="D601"/>
  <c r="C601"/>
  <c r="B601"/>
  <c r="A601"/>
  <c r="K600"/>
  <c r="J600"/>
  <c r="I600"/>
  <c r="H600"/>
  <c r="G600"/>
  <c r="F600"/>
  <c r="E600"/>
  <c r="D600"/>
  <c r="C600"/>
  <c r="B600"/>
  <c r="A600"/>
  <c r="K599"/>
  <c r="J599"/>
  <c r="I599"/>
  <c r="H599"/>
  <c r="G599"/>
  <c r="F599"/>
  <c r="E599"/>
  <c r="D599"/>
  <c r="C599"/>
  <c r="B599"/>
  <c r="A599"/>
  <c r="K598"/>
  <c r="J598"/>
  <c r="I598"/>
  <c r="H598"/>
  <c r="G598"/>
  <c r="F598"/>
  <c r="E598"/>
  <c r="D598"/>
  <c r="C598"/>
  <c r="B598"/>
  <c r="A598"/>
  <c r="K597"/>
  <c r="J597"/>
  <c r="I597"/>
  <c r="H597"/>
  <c r="G597"/>
  <c r="F597"/>
  <c r="E597"/>
  <c r="D597"/>
  <c r="C597"/>
  <c r="B597"/>
  <c r="A597"/>
  <c r="K596"/>
  <c r="J596"/>
  <c r="I596"/>
  <c r="H596"/>
  <c r="G596"/>
  <c r="F596"/>
  <c r="E596"/>
  <c r="D596"/>
  <c r="C596"/>
  <c r="B596"/>
  <c r="A596"/>
  <c r="K595"/>
  <c r="J595"/>
  <c r="I595"/>
  <c r="H595"/>
  <c r="G595"/>
  <c r="F595"/>
  <c r="E595"/>
  <c r="D595"/>
  <c r="C595"/>
  <c r="B595"/>
  <c r="A595"/>
  <c r="K594"/>
  <c r="J594"/>
  <c r="I594"/>
  <c r="H594"/>
  <c r="G594"/>
  <c r="F594"/>
  <c r="E594"/>
  <c r="D594"/>
  <c r="C594"/>
  <c r="B594"/>
  <c r="A594"/>
  <c r="K593"/>
  <c r="J593"/>
  <c r="I593"/>
  <c r="H593"/>
  <c r="G593"/>
  <c r="F593"/>
  <c r="E593"/>
  <c r="D593"/>
  <c r="C593"/>
  <c r="B593"/>
  <c r="A593"/>
  <c r="K592"/>
  <c r="J592"/>
  <c r="I592"/>
  <c r="H592"/>
  <c r="G592"/>
  <c r="F592"/>
  <c r="E592"/>
  <c r="D592"/>
  <c r="C592"/>
  <c r="B592"/>
  <c r="A592"/>
  <c r="K591"/>
  <c r="J591"/>
  <c r="I591"/>
  <c r="H591"/>
  <c r="G591"/>
  <c r="F591"/>
  <c r="E591"/>
  <c r="D591"/>
  <c r="C591"/>
  <c r="B591"/>
  <c r="A591"/>
  <c r="K590"/>
  <c r="J590"/>
  <c r="I590"/>
  <c r="H590"/>
  <c r="G590"/>
  <c r="F590"/>
  <c r="E590"/>
  <c r="D590"/>
  <c r="C590"/>
  <c r="B590"/>
  <c r="A590"/>
  <c r="K589"/>
  <c r="J589"/>
  <c r="I589"/>
  <c r="H589"/>
  <c r="G589"/>
  <c r="F589"/>
  <c r="E589"/>
  <c r="D589"/>
  <c r="C589"/>
  <c r="B589"/>
  <c r="A589"/>
  <c r="K588"/>
  <c r="J588"/>
  <c r="I588"/>
  <c r="H588"/>
  <c r="G588"/>
  <c r="F588"/>
  <c r="E588"/>
  <c r="D588"/>
  <c r="C588"/>
  <c r="B588"/>
  <c r="A588"/>
  <c r="K587"/>
  <c r="J587"/>
  <c r="I587"/>
  <c r="H587"/>
  <c r="G587"/>
  <c r="F587"/>
  <c r="E587"/>
  <c r="D587"/>
  <c r="C587"/>
  <c r="B587"/>
  <c r="A587"/>
  <c r="K586"/>
  <c r="J586"/>
  <c r="I586"/>
  <c r="H586"/>
  <c r="G586"/>
  <c r="F586"/>
  <c r="E586"/>
  <c r="D586"/>
  <c r="C586"/>
  <c r="B586"/>
  <c r="A586"/>
  <c r="K585"/>
  <c r="J585"/>
  <c r="I585"/>
  <c r="H585"/>
  <c r="G585"/>
  <c r="F585"/>
  <c r="E585"/>
  <c r="D585"/>
  <c r="C585"/>
  <c r="B585"/>
  <c r="A585"/>
  <c r="K584"/>
  <c r="J584"/>
  <c r="I584"/>
  <c r="H584"/>
  <c r="G584"/>
  <c r="F584"/>
  <c r="E584"/>
  <c r="D584"/>
  <c r="C584"/>
  <c r="B584"/>
  <c r="A584"/>
  <c r="K583"/>
  <c r="J583"/>
  <c r="I583"/>
  <c r="H583"/>
  <c r="G583"/>
  <c r="F583"/>
  <c r="E583"/>
  <c r="D583"/>
  <c r="C583"/>
  <c r="B583"/>
  <c r="A583"/>
  <c r="K582"/>
  <c r="J582"/>
  <c r="I582"/>
  <c r="H582"/>
  <c r="G582"/>
  <c r="F582"/>
  <c r="E582"/>
  <c r="D582"/>
  <c r="C582"/>
  <c r="B582"/>
  <c r="A582"/>
  <c r="K581"/>
  <c r="J581"/>
  <c r="I581"/>
  <c r="H581"/>
  <c r="G581"/>
  <c r="F581"/>
  <c r="E581"/>
  <c r="D581"/>
  <c r="C581"/>
  <c r="B581"/>
  <c r="A581"/>
  <c r="K580"/>
  <c r="J580"/>
  <c r="I580"/>
  <c r="H580"/>
  <c r="G580"/>
  <c r="F580"/>
  <c r="E580"/>
  <c r="D580"/>
  <c r="C580"/>
  <c r="B580"/>
  <c r="A580"/>
  <c r="K579"/>
  <c r="J579"/>
  <c r="I579"/>
  <c r="H579"/>
  <c r="G579"/>
  <c r="F579"/>
  <c r="E579"/>
  <c r="D579"/>
  <c r="C579"/>
  <c r="B579"/>
  <c r="A579"/>
  <c r="K578"/>
  <c r="J578"/>
  <c r="I578"/>
  <c r="H578"/>
  <c r="G578"/>
  <c r="F578"/>
  <c r="E578"/>
  <c r="D578"/>
  <c r="C578"/>
  <c r="B578"/>
  <c r="A578"/>
  <c r="K577"/>
  <c r="J577"/>
  <c r="I577"/>
  <c r="H577"/>
  <c r="G577"/>
  <c r="F577"/>
  <c r="E577"/>
  <c r="D577"/>
  <c r="C577"/>
  <c r="B577"/>
  <c r="A577"/>
  <c r="K576"/>
  <c r="J576"/>
  <c r="I576"/>
  <c r="H576"/>
  <c r="G576"/>
  <c r="F576"/>
  <c r="E576"/>
  <c r="D576"/>
  <c r="C576"/>
  <c r="B576"/>
  <c r="A576"/>
  <c r="K575"/>
  <c r="J575"/>
  <c r="I575"/>
  <c r="H575"/>
  <c r="G575"/>
  <c r="F575"/>
  <c r="E575"/>
  <c r="D575"/>
  <c r="C575"/>
  <c r="B575"/>
  <c r="A575"/>
  <c r="K574"/>
  <c r="J574"/>
  <c r="I574"/>
  <c r="H574"/>
  <c r="G574"/>
  <c r="F574"/>
  <c r="E574"/>
  <c r="D574"/>
  <c r="C574"/>
  <c r="B574"/>
  <c r="A574"/>
  <c r="K573"/>
  <c r="J573"/>
  <c r="I573"/>
  <c r="H573"/>
  <c r="G573"/>
  <c r="F573"/>
  <c r="E573"/>
  <c r="D573"/>
  <c r="C573"/>
  <c r="B573"/>
  <c r="A573"/>
  <c r="K572"/>
  <c r="J572"/>
  <c r="I572"/>
  <c r="H572"/>
  <c r="G572"/>
  <c r="F572"/>
  <c r="E572"/>
  <c r="D572"/>
  <c r="C572"/>
  <c r="B572"/>
  <c r="A572"/>
  <c r="K571"/>
  <c r="J571"/>
  <c r="I571"/>
  <c r="H571"/>
  <c r="G571"/>
  <c r="F571"/>
  <c r="E571"/>
  <c r="D571"/>
  <c r="C571"/>
  <c r="B571"/>
  <c r="A571"/>
  <c r="K570"/>
  <c r="J570"/>
  <c r="I570"/>
  <c r="H570"/>
  <c r="G570"/>
  <c r="F570"/>
  <c r="E570"/>
  <c r="D570"/>
  <c r="C570"/>
  <c r="B570"/>
  <c r="A570"/>
  <c r="K569"/>
  <c r="J569"/>
  <c r="I569"/>
  <c r="H569"/>
  <c r="G569"/>
  <c r="F569"/>
  <c r="E569"/>
  <c r="D569"/>
  <c r="C569"/>
  <c r="B569"/>
  <c r="A569"/>
  <c r="K568"/>
  <c r="J568"/>
  <c r="I568"/>
  <c r="H568"/>
  <c r="G568"/>
  <c r="F568"/>
  <c r="E568"/>
  <c r="D568"/>
  <c r="C568"/>
  <c r="B568"/>
  <c r="A568"/>
  <c r="K567"/>
  <c r="J567"/>
  <c r="I567"/>
  <c r="H567"/>
  <c r="G567"/>
  <c r="F567"/>
  <c r="E567"/>
  <c r="D567"/>
  <c r="C567"/>
  <c r="B567"/>
  <c r="A567"/>
  <c r="K566"/>
  <c r="J566"/>
  <c r="I566"/>
  <c r="H566"/>
  <c r="G566"/>
  <c r="F566"/>
  <c r="E566"/>
  <c r="D566"/>
  <c r="C566"/>
  <c r="B566"/>
  <c r="A566"/>
  <c r="K565"/>
  <c r="J565"/>
  <c r="I565"/>
  <c r="H565"/>
  <c r="G565"/>
  <c r="F565"/>
  <c r="E565"/>
  <c r="D565"/>
  <c r="C565"/>
  <c r="B565"/>
  <c r="A565"/>
  <c r="K564"/>
  <c r="J564"/>
  <c r="I564"/>
  <c r="H564"/>
  <c r="G564"/>
  <c r="F564"/>
  <c r="E564"/>
  <c r="D564"/>
  <c r="C564"/>
  <c r="B564"/>
  <c r="A564"/>
  <c r="K563"/>
  <c r="J563"/>
  <c r="I563"/>
  <c r="H563"/>
  <c r="G563"/>
  <c r="F563"/>
  <c r="E563"/>
  <c r="D563"/>
  <c r="C563"/>
  <c r="B563"/>
  <c r="A563"/>
  <c r="K562"/>
  <c r="J562"/>
  <c r="I562"/>
  <c r="H562"/>
  <c r="G562"/>
  <c r="F562"/>
  <c r="E562"/>
  <c r="D562"/>
  <c r="C562"/>
  <c r="B562"/>
  <c r="A562"/>
  <c r="K561"/>
  <c r="J561"/>
  <c r="I561"/>
  <c r="H561"/>
  <c r="G561"/>
  <c r="F561"/>
  <c r="E561"/>
  <c r="D561"/>
  <c r="C561"/>
  <c r="B561"/>
  <c r="A561"/>
  <c r="K560"/>
  <c r="J560"/>
  <c r="I560"/>
  <c r="H560"/>
  <c r="G560"/>
  <c r="F560"/>
  <c r="E560"/>
  <c r="D560"/>
  <c r="C560"/>
  <c r="B560"/>
  <c r="A560"/>
  <c r="K559"/>
  <c r="J559"/>
  <c r="I559"/>
  <c r="H559"/>
  <c r="G559"/>
  <c r="F559"/>
  <c r="E559"/>
  <c r="D559"/>
  <c r="C559"/>
  <c r="B559"/>
  <c r="A559"/>
  <c r="K558"/>
  <c r="J558"/>
  <c r="I558"/>
  <c r="H558"/>
  <c r="G558"/>
  <c r="F558"/>
  <c r="E558"/>
  <c r="D558"/>
  <c r="C558"/>
  <c r="B558"/>
  <c r="A558"/>
  <c r="K557"/>
  <c r="J557"/>
  <c r="I557"/>
  <c r="H557"/>
  <c r="G557"/>
  <c r="F557"/>
  <c r="E557"/>
  <c r="D557"/>
  <c r="C557"/>
  <c r="B557"/>
  <c r="A557"/>
  <c r="K556"/>
  <c r="J556"/>
  <c r="I556"/>
  <c r="H556"/>
  <c r="G556"/>
  <c r="F556"/>
  <c r="E556"/>
  <c r="D556"/>
  <c r="C556"/>
  <c r="B556"/>
  <c r="A556"/>
  <c r="K555"/>
  <c r="J555"/>
  <c r="I555"/>
  <c r="H555"/>
  <c r="G555"/>
  <c r="F555"/>
  <c r="E555"/>
  <c r="D555"/>
  <c r="C555"/>
  <c r="B555"/>
  <c r="A555"/>
  <c r="K554"/>
  <c r="J554"/>
  <c r="I554"/>
  <c r="H554"/>
  <c r="G554"/>
  <c r="F554"/>
  <c r="E554"/>
  <c r="D554"/>
  <c r="C554"/>
  <c r="B554"/>
  <c r="A554"/>
  <c r="K553"/>
  <c r="J553"/>
  <c r="I553"/>
  <c r="H553"/>
  <c r="G553"/>
  <c r="F553"/>
  <c r="E553"/>
  <c r="D553"/>
  <c r="C553"/>
  <c r="B553"/>
  <c r="A553"/>
  <c r="K552"/>
  <c r="J552"/>
  <c r="I552"/>
  <c r="H552"/>
  <c r="G552"/>
  <c r="F552"/>
  <c r="E552"/>
  <c r="D552"/>
  <c r="C552"/>
  <c r="B552"/>
  <c r="A552"/>
  <c r="K551"/>
  <c r="J551"/>
  <c r="I551"/>
  <c r="H551"/>
  <c r="G551"/>
  <c r="F551"/>
  <c r="E551"/>
  <c r="D551"/>
  <c r="C551"/>
  <c r="B551"/>
  <c r="A551"/>
  <c r="K550"/>
  <c r="J550"/>
  <c r="I550"/>
  <c r="H550"/>
  <c r="G550"/>
  <c r="F550"/>
  <c r="E550"/>
  <c r="D550"/>
  <c r="C550"/>
  <c r="B550"/>
  <c r="A550"/>
  <c r="K549"/>
  <c r="J549"/>
  <c r="I549"/>
  <c r="H549"/>
  <c r="G549"/>
  <c r="F549"/>
  <c r="E549"/>
  <c r="D549"/>
  <c r="C549"/>
  <c r="B549"/>
  <c r="A549"/>
  <c r="K548"/>
  <c r="J548"/>
  <c r="I548"/>
  <c r="H548"/>
  <c r="G548"/>
  <c r="F548"/>
  <c r="E548"/>
  <c r="D548"/>
  <c r="C548"/>
  <c r="B548"/>
  <c r="A548"/>
  <c r="K547"/>
  <c r="J547"/>
  <c r="I547"/>
  <c r="H547"/>
  <c r="G547"/>
  <c r="F547"/>
  <c r="E547"/>
  <c r="D547"/>
  <c r="C547"/>
  <c r="B547"/>
  <c r="A547"/>
  <c r="K546"/>
  <c r="J546"/>
  <c r="I546"/>
  <c r="H546"/>
  <c r="G546"/>
  <c r="F546"/>
  <c r="E546"/>
  <c r="D546"/>
  <c r="C546"/>
  <c r="B546"/>
  <c r="A546"/>
  <c r="K545"/>
  <c r="J545"/>
  <c r="I545"/>
  <c r="H545"/>
  <c r="G545"/>
  <c r="F545"/>
  <c r="E545"/>
  <c r="D545"/>
  <c r="C545"/>
  <c r="B545"/>
  <c r="A545"/>
  <c r="K544"/>
  <c r="J544"/>
  <c r="I544"/>
  <c r="H544"/>
  <c r="G544"/>
  <c r="F544"/>
  <c r="E544"/>
  <c r="D544"/>
  <c r="C544"/>
  <c r="B544"/>
  <c r="A544"/>
  <c r="K543"/>
  <c r="J543"/>
  <c r="I543"/>
  <c r="H543"/>
  <c r="G543"/>
  <c r="F543"/>
  <c r="E543"/>
  <c r="D543"/>
  <c r="C543"/>
  <c r="B543"/>
  <c r="A543"/>
  <c r="K542"/>
  <c r="J542"/>
  <c r="I542"/>
  <c r="H542"/>
  <c r="G542"/>
  <c r="F542"/>
  <c r="E542"/>
  <c r="D542"/>
  <c r="C542"/>
  <c r="B542"/>
  <c r="A542"/>
  <c r="K541"/>
  <c r="J541"/>
  <c r="I541"/>
  <c r="H541"/>
  <c r="G541"/>
  <c r="F541"/>
  <c r="E541"/>
  <c r="D541"/>
  <c r="C541"/>
  <c r="B541"/>
  <c r="A541"/>
  <c r="K540"/>
  <c r="J540"/>
  <c r="I540"/>
  <c r="H540"/>
  <c r="G540"/>
  <c r="F540"/>
  <c r="E540"/>
  <c r="D540"/>
  <c r="C540"/>
  <c r="B540"/>
  <c r="A540"/>
  <c r="K539"/>
  <c r="J539"/>
  <c r="I539"/>
  <c r="H539"/>
  <c r="G539"/>
  <c r="F539"/>
  <c r="E539"/>
  <c r="D539"/>
  <c r="C539"/>
  <c r="B539"/>
  <c r="A539"/>
  <c r="K538"/>
  <c r="J538"/>
  <c r="I538"/>
  <c r="H538"/>
  <c r="G538"/>
  <c r="F538"/>
  <c r="E538"/>
  <c r="D538"/>
  <c r="C538"/>
  <c r="B538"/>
  <c r="A538"/>
  <c r="K537"/>
  <c r="J537"/>
  <c r="I537"/>
  <c r="H537"/>
  <c r="G537"/>
  <c r="F537"/>
  <c r="E537"/>
  <c r="D537"/>
  <c r="C537"/>
  <c r="B537"/>
  <c r="A537"/>
  <c r="K536"/>
  <c r="J536"/>
  <c r="I536"/>
  <c r="H536"/>
  <c r="G536"/>
  <c r="F536"/>
  <c r="E536"/>
  <c r="D536"/>
  <c r="C536"/>
  <c r="B536"/>
  <c r="A536"/>
  <c r="K535"/>
  <c r="J535"/>
  <c r="I535"/>
  <c r="H535"/>
  <c r="G535"/>
  <c r="F535"/>
  <c r="E535"/>
  <c r="D535"/>
  <c r="C535"/>
  <c r="B535"/>
  <c r="A535"/>
  <c r="K534"/>
  <c r="J534"/>
  <c r="I534"/>
  <c r="H534"/>
  <c r="G534"/>
  <c r="F534"/>
  <c r="E534"/>
  <c r="D534"/>
  <c r="C534"/>
  <c r="B534"/>
  <c r="A534"/>
  <c r="K533"/>
  <c r="J533"/>
  <c r="I533"/>
  <c r="H533"/>
  <c r="G533"/>
  <c r="F533"/>
  <c r="E533"/>
  <c r="D533"/>
  <c r="C533"/>
  <c r="B533"/>
  <c r="A533"/>
  <c r="K532"/>
  <c r="J532"/>
  <c r="I532"/>
  <c r="H532"/>
  <c r="G532"/>
  <c r="F532"/>
  <c r="E532"/>
  <c r="D532"/>
  <c r="C532"/>
  <c r="B532"/>
  <c r="A532"/>
  <c r="K531"/>
  <c r="J531"/>
  <c r="I531"/>
  <c r="H531"/>
  <c r="G531"/>
  <c r="F531"/>
  <c r="E531"/>
  <c r="D531"/>
  <c r="C531"/>
  <c r="B531"/>
  <c r="A531"/>
  <c r="K530"/>
  <c r="J530"/>
  <c r="I530"/>
  <c r="H530"/>
  <c r="G530"/>
  <c r="F530"/>
  <c r="E530"/>
  <c r="D530"/>
  <c r="C530"/>
  <c r="B530"/>
  <c r="A530"/>
  <c r="K529"/>
  <c r="J529"/>
  <c r="I529"/>
  <c r="H529"/>
  <c r="G529"/>
  <c r="F529"/>
  <c r="E529"/>
  <c r="D529"/>
  <c r="C529"/>
  <c r="B529"/>
  <c r="A529"/>
  <c r="K528"/>
  <c r="J528"/>
  <c r="I528"/>
  <c r="H528"/>
  <c r="G528"/>
  <c r="F528"/>
  <c r="E528"/>
  <c r="D528"/>
  <c r="C528"/>
  <c r="B528"/>
  <c r="A528"/>
  <c r="K527"/>
  <c r="J527"/>
  <c r="I527"/>
  <c r="H527"/>
  <c r="G527"/>
  <c r="F527"/>
  <c r="E527"/>
  <c r="D527"/>
  <c r="C527"/>
  <c r="B527"/>
  <c r="A527"/>
  <c r="K526"/>
  <c r="J526"/>
  <c r="I526"/>
  <c r="H526"/>
  <c r="G526"/>
  <c r="F526"/>
  <c r="E526"/>
  <c r="D526"/>
  <c r="C526"/>
  <c r="B526"/>
  <c r="A526"/>
  <c r="K525"/>
  <c r="J525"/>
  <c r="I525"/>
  <c r="H525"/>
  <c r="G525"/>
  <c r="F525"/>
  <c r="E525"/>
  <c r="D525"/>
  <c r="C525"/>
  <c r="B525"/>
  <c r="A525"/>
  <c r="K524"/>
  <c r="J524"/>
  <c r="I524"/>
  <c r="H524"/>
  <c r="G524"/>
  <c r="F524"/>
  <c r="E524"/>
  <c r="D524"/>
  <c r="C524"/>
  <c r="B524"/>
  <c r="A524"/>
  <c r="K523"/>
  <c r="J523"/>
  <c r="I523"/>
  <c r="H523"/>
  <c r="G523"/>
  <c r="F523"/>
  <c r="E523"/>
  <c r="D523"/>
  <c r="C523"/>
  <c r="B523"/>
  <c r="A523"/>
  <c r="K522"/>
  <c r="J522"/>
  <c r="I522"/>
  <c r="H522"/>
  <c r="G522"/>
  <c r="F522"/>
  <c r="E522"/>
  <c r="D522"/>
  <c r="C522"/>
  <c r="B522"/>
  <c r="A522"/>
  <c r="K521"/>
  <c r="J521"/>
  <c r="I521"/>
  <c r="H521"/>
  <c r="G521"/>
  <c r="F521"/>
  <c r="E521"/>
  <c r="D521"/>
  <c r="C521"/>
  <c r="B521"/>
  <c r="A521"/>
  <c r="K520"/>
  <c r="J520"/>
  <c r="I520"/>
  <c r="H520"/>
  <c r="G520"/>
  <c r="F520"/>
  <c r="E520"/>
  <c r="D520"/>
  <c r="C520"/>
  <c r="B520"/>
  <c r="A520"/>
  <c r="K519"/>
  <c r="J519"/>
  <c r="I519"/>
  <c r="H519"/>
  <c r="G519"/>
  <c r="F519"/>
  <c r="E519"/>
  <c r="D519"/>
  <c r="C519"/>
  <c r="B519"/>
  <c r="A519"/>
  <c r="K518"/>
  <c r="J518"/>
  <c r="I518"/>
  <c r="H518"/>
  <c r="G518"/>
  <c r="F518"/>
  <c r="E518"/>
  <c r="D518"/>
  <c r="C518"/>
  <c r="B518"/>
  <c r="A518"/>
  <c r="K517"/>
  <c r="J517"/>
  <c r="I517"/>
  <c r="H517"/>
  <c r="G517"/>
  <c r="F517"/>
  <c r="E517"/>
  <c r="D517"/>
  <c r="C517"/>
  <c r="B517"/>
  <c r="A517"/>
  <c r="K516"/>
  <c r="J516"/>
  <c r="I516"/>
  <c r="H516"/>
  <c r="G516"/>
  <c r="F516"/>
  <c r="E516"/>
  <c r="D516"/>
  <c r="C516"/>
  <c r="B516"/>
  <c r="A516"/>
  <c r="K515"/>
  <c r="J515"/>
  <c r="I515"/>
  <c r="H515"/>
  <c r="G515"/>
  <c r="F515"/>
  <c r="E515"/>
  <c r="D515"/>
  <c r="C515"/>
  <c r="B515"/>
  <c r="A515"/>
  <c r="K514"/>
  <c r="J514"/>
  <c r="I514"/>
  <c r="H514"/>
  <c r="G514"/>
  <c r="F514"/>
  <c r="E514"/>
  <c r="D514"/>
  <c r="C514"/>
  <c r="B514"/>
  <c r="A514"/>
  <c r="K513"/>
  <c r="J513"/>
  <c r="I513"/>
  <c r="H513"/>
  <c r="G513"/>
  <c r="F513"/>
  <c r="E513"/>
  <c r="D513"/>
  <c r="C513"/>
  <c r="B513"/>
  <c r="A513"/>
  <c r="K512"/>
  <c r="J512"/>
  <c r="I512"/>
  <c r="H512"/>
  <c r="G512"/>
  <c r="F512"/>
  <c r="E512"/>
  <c r="D512"/>
  <c r="C512"/>
  <c r="B512"/>
  <c r="A512"/>
  <c r="K511"/>
  <c r="J511"/>
  <c r="I511"/>
  <c r="H511"/>
  <c r="G511"/>
  <c r="F511"/>
  <c r="E511"/>
  <c r="D511"/>
  <c r="C511"/>
  <c r="B511"/>
  <c r="A511"/>
  <c r="K510"/>
  <c r="J510"/>
  <c r="I510"/>
  <c r="H510"/>
  <c r="G510"/>
  <c r="F510"/>
  <c r="E510"/>
  <c r="D510"/>
  <c r="C510"/>
  <c r="B510"/>
  <c r="A510"/>
  <c r="K509"/>
  <c r="J509"/>
  <c r="I509"/>
  <c r="H509"/>
  <c r="G509"/>
  <c r="F509"/>
  <c r="E509"/>
  <c r="D509"/>
  <c r="C509"/>
  <c r="B509"/>
  <c r="A509"/>
  <c r="K508"/>
  <c r="J508"/>
  <c r="I508"/>
  <c r="H508"/>
  <c r="G508"/>
  <c r="F508"/>
  <c r="E508"/>
  <c r="D508"/>
  <c r="C508"/>
  <c r="B508"/>
  <c r="A508"/>
  <c r="K507"/>
  <c r="J507"/>
  <c r="I507"/>
  <c r="H507"/>
  <c r="G507"/>
  <c r="F507"/>
  <c r="E507"/>
  <c r="D507"/>
  <c r="C507"/>
  <c r="B507"/>
  <c r="A507"/>
  <c r="K506"/>
  <c r="J506"/>
  <c r="I506"/>
  <c r="H506"/>
  <c r="G506"/>
  <c r="F506"/>
  <c r="E506"/>
  <c r="D506"/>
  <c r="C506"/>
  <c r="B506"/>
  <c r="A506"/>
  <c r="K505"/>
  <c r="J505"/>
  <c r="I505"/>
  <c r="H505"/>
  <c r="G505"/>
  <c r="F505"/>
  <c r="E505"/>
  <c r="D505"/>
  <c r="C505"/>
  <c r="B505"/>
  <c r="A505"/>
  <c r="K504"/>
  <c r="J504"/>
  <c r="I504"/>
  <c r="H504"/>
  <c r="G504"/>
  <c r="F504"/>
  <c r="E504"/>
  <c r="D504"/>
  <c r="C504"/>
  <c r="B504"/>
  <c r="A504"/>
  <c r="K503"/>
  <c r="J503"/>
  <c r="I503"/>
  <c r="H503"/>
  <c r="G503"/>
  <c r="F503"/>
  <c r="E503"/>
  <c r="D503"/>
  <c r="C503"/>
  <c r="B503"/>
  <c r="A503"/>
  <c r="K502"/>
  <c r="J502"/>
  <c r="I502"/>
  <c r="H502"/>
  <c r="G502"/>
  <c r="F502"/>
  <c r="E502"/>
  <c r="D502"/>
  <c r="C502"/>
  <c r="B502"/>
  <c r="A502"/>
  <c r="K501"/>
  <c r="J501"/>
  <c r="I501"/>
  <c r="H501"/>
  <c r="G501"/>
  <c r="F501"/>
  <c r="E501"/>
  <c r="D501"/>
  <c r="C501"/>
  <c r="B501"/>
  <c r="A501"/>
  <c r="K500"/>
  <c r="J500"/>
  <c r="I500"/>
  <c r="H500"/>
  <c r="G500"/>
  <c r="F500"/>
  <c r="E500"/>
  <c r="D500"/>
  <c r="C500"/>
  <c r="B500"/>
  <c r="A500"/>
  <c r="K499"/>
  <c r="J499"/>
  <c r="I499"/>
  <c r="H499"/>
  <c r="G499"/>
  <c r="F499"/>
  <c r="E499"/>
  <c r="D499"/>
  <c r="C499"/>
  <c r="B499"/>
  <c r="A499"/>
  <c r="K498"/>
  <c r="J498"/>
  <c r="I498"/>
  <c r="H498"/>
  <c r="G498"/>
  <c r="F498"/>
  <c r="E498"/>
  <c r="D498"/>
  <c r="C498"/>
  <c r="B498"/>
  <c r="A498"/>
  <c r="K497"/>
  <c r="J497"/>
  <c r="I497"/>
  <c r="H497"/>
  <c r="G497"/>
  <c r="F497"/>
  <c r="E497"/>
  <c r="D497"/>
  <c r="C497"/>
  <c r="B497"/>
  <c r="A497"/>
  <c r="K496"/>
  <c r="J496"/>
  <c r="I496"/>
  <c r="H496"/>
  <c r="G496"/>
  <c r="F496"/>
  <c r="E496"/>
  <c r="D496"/>
  <c r="C496"/>
  <c r="B496"/>
  <c r="A496"/>
  <c r="K495"/>
  <c r="J495"/>
  <c r="I495"/>
  <c r="H495"/>
  <c r="G495"/>
  <c r="F495"/>
  <c r="E495"/>
  <c r="D495"/>
  <c r="C495"/>
  <c r="B495"/>
  <c r="A495"/>
  <c r="K494"/>
  <c r="J494"/>
  <c r="I494"/>
  <c r="H494"/>
  <c r="G494"/>
  <c r="F494"/>
  <c r="E494"/>
  <c r="D494"/>
  <c r="C494"/>
  <c r="B494"/>
  <c r="A494"/>
  <c r="K493"/>
  <c r="J493"/>
  <c r="I493"/>
  <c r="H493"/>
  <c r="G493"/>
  <c r="F493"/>
  <c r="E493"/>
  <c r="D493"/>
  <c r="C493"/>
  <c r="B493"/>
  <c r="A493"/>
  <c r="K492"/>
  <c r="J492"/>
  <c r="I492"/>
  <c r="H492"/>
  <c r="G492"/>
  <c r="F492"/>
  <c r="E492"/>
  <c r="D492"/>
  <c r="C492"/>
  <c r="B492"/>
  <c r="A492"/>
  <c r="K491"/>
  <c r="J491"/>
  <c r="I491"/>
  <c r="H491"/>
  <c r="G491"/>
  <c r="F491"/>
  <c r="E491"/>
  <c r="D491"/>
  <c r="C491"/>
  <c r="B491"/>
  <c r="A491"/>
  <c r="K490"/>
  <c r="J490"/>
  <c r="I490"/>
  <c r="H490"/>
  <c r="G490"/>
  <c r="F490"/>
  <c r="E490"/>
  <c r="D490"/>
  <c r="C490"/>
  <c r="B490"/>
  <c r="A490"/>
  <c r="K489"/>
  <c r="J489"/>
  <c r="I489"/>
  <c r="H489"/>
  <c r="G489"/>
  <c r="F489"/>
  <c r="E489"/>
  <c r="D489"/>
  <c r="C489"/>
  <c r="B489"/>
  <c r="A489"/>
  <c r="K488"/>
  <c r="J488"/>
  <c r="I488"/>
  <c r="H488"/>
  <c r="G488"/>
  <c r="F488"/>
  <c r="E488"/>
  <c r="D488"/>
  <c r="C488"/>
  <c r="B488"/>
  <c r="A488"/>
  <c r="K487"/>
  <c r="J487"/>
  <c r="I487"/>
  <c r="H487"/>
  <c r="G487"/>
  <c r="F487"/>
  <c r="E487"/>
  <c r="D487"/>
  <c r="C487"/>
  <c r="B487"/>
  <c r="A487"/>
  <c r="K486"/>
  <c r="J486"/>
  <c r="I486"/>
  <c r="H486"/>
  <c r="G486"/>
  <c r="F486"/>
  <c r="E486"/>
  <c r="D486"/>
  <c r="C486"/>
  <c r="B486"/>
  <c r="A486"/>
  <c r="K485"/>
  <c r="J485"/>
  <c r="I485"/>
  <c r="H485"/>
  <c r="G485"/>
  <c r="F485"/>
  <c r="E485"/>
  <c r="D485"/>
  <c r="C485"/>
  <c r="B485"/>
  <c r="A485"/>
  <c r="K484"/>
  <c r="J484"/>
  <c r="I484"/>
  <c r="H484"/>
  <c r="G484"/>
  <c r="F484"/>
  <c r="E484"/>
  <c r="D484"/>
  <c r="C484"/>
  <c r="B484"/>
  <c r="A484"/>
  <c r="K483"/>
  <c r="J483"/>
  <c r="I483"/>
  <c r="H483"/>
  <c r="G483"/>
  <c r="F483"/>
  <c r="E483"/>
  <c r="D483"/>
  <c r="C483"/>
  <c r="B483"/>
  <c r="A483"/>
  <c r="K482"/>
  <c r="J482"/>
  <c r="I482"/>
  <c r="H482"/>
  <c r="G482"/>
  <c r="F482"/>
  <c r="E482"/>
  <c r="D482"/>
  <c r="C482"/>
  <c r="B482"/>
  <c r="A482"/>
  <c r="K481"/>
  <c r="J481"/>
  <c r="I481"/>
  <c r="H481"/>
  <c r="G481"/>
  <c r="F481"/>
  <c r="E481"/>
  <c r="D481"/>
  <c r="C481"/>
  <c r="B481"/>
  <c r="A481"/>
  <c r="K480"/>
  <c r="J480"/>
  <c r="I480"/>
  <c r="H480"/>
  <c r="G480"/>
  <c r="F480"/>
  <c r="E480"/>
  <c r="D480"/>
  <c r="C480"/>
  <c r="B480"/>
  <c r="A480"/>
  <c r="K479"/>
  <c r="J479"/>
  <c r="I479"/>
  <c r="H479"/>
  <c r="G479"/>
  <c r="F479"/>
  <c r="E479"/>
  <c r="D479"/>
  <c r="C479"/>
  <c r="B479"/>
  <c r="A479"/>
  <c r="K478"/>
  <c r="J478"/>
  <c r="I478"/>
  <c r="H478"/>
  <c r="G478"/>
  <c r="F478"/>
  <c r="E478"/>
  <c r="D478"/>
  <c r="C478"/>
  <c r="B478"/>
  <c r="A478"/>
  <c r="K477"/>
  <c r="J477"/>
  <c r="I477"/>
  <c r="H477"/>
  <c r="G477"/>
  <c r="F477"/>
  <c r="E477"/>
  <c r="D477"/>
  <c r="C477"/>
  <c r="B477"/>
  <c r="A477"/>
  <c r="K476"/>
  <c r="J476"/>
  <c r="I476"/>
  <c r="H476"/>
  <c r="G476"/>
  <c r="F476"/>
  <c r="E476"/>
  <c r="D476"/>
  <c r="C476"/>
  <c r="B476"/>
  <c r="A476"/>
  <c r="K475"/>
  <c r="J475"/>
  <c r="I475"/>
  <c r="H475"/>
  <c r="G475"/>
  <c r="F475"/>
  <c r="E475"/>
  <c r="D475"/>
  <c r="C475"/>
  <c r="B475"/>
  <c r="A475"/>
  <c r="K474"/>
  <c r="J474"/>
  <c r="I474"/>
  <c r="H474"/>
  <c r="G474"/>
  <c r="F474"/>
  <c r="E474"/>
  <c r="D474"/>
  <c r="C474"/>
  <c r="B474"/>
  <c r="A474"/>
  <c r="K473"/>
  <c r="J473"/>
  <c r="I473"/>
  <c r="H473"/>
  <c r="G473"/>
  <c r="F473"/>
  <c r="E473"/>
  <c r="D473"/>
  <c r="C473"/>
  <c r="B473"/>
  <c r="A473"/>
  <c r="K472"/>
  <c r="J472"/>
  <c r="I472"/>
  <c r="H472"/>
  <c r="G472"/>
  <c r="F472"/>
  <c r="E472"/>
  <c r="D472"/>
  <c r="C472"/>
  <c r="B472"/>
  <c r="A472"/>
  <c r="K471"/>
  <c r="J471"/>
  <c r="I471"/>
  <c r="H471"/>
  <c r="G471"/>
  <c r="F471"/>
  <c r="E471"/>
  <c r="D471"/>
  <c r="C471"/>
  <c r="B471"/>
  <c r="A471"/>
  <c r="K470"/>
  <c r="J470"/>
  <c r="I470"/>
  <c r="H470"/>
  <c r="G470"/>
  <c r="F470"/>
  <c r="E470"/>
  <c r="D470"/>
  <c r="C470"/>
  <c r="B470"/>
  <c r="A470"/>
  <c r="K469"/>
  <c r="J469"/>
  <c r="I469"/>
  <c r="H469"/>
  <c r="G469"/>
  <c r="F469"/>
  <c r="E469"/>
  <c r="D469"/>
  <c r="C469"/>
  <c r="B469"/>
  <c r="A469"/>
  <c r="K468"/>
  <c r="J468"/>
  <c r="I468"/>
  <c r="H468"/>
  <c r="G468"/>
  <c r="F468"/>
  <c r="E468"/>
  <c r="D468"/>
  <c r="C468"/>
  <c r="B468"/>
  <c r="A468"/>
  <c r="K467"/>
  <c r="J467"/>
  <c r="I467"/>
  <c r="H467"/>
  <c r="G467"/>
  <c r="F467"/>
  <c r="E467"/>
  <c r="D467"/>
  <c r="C467"/>
  <c r="B467"/>
  <c r="A467"/>
  <c r="K466"/>
  <c r="J466"/>
  <c r="I466"/>
  <c r="H466"/>
  <c r="G466"/>
  <c r="F466"/>
  <c r="E466"/>
  <c r="D466"/>
  <c r="C466"/>
  <c r="B466"/>
  <c r="A466"/>
  <c r="K465"/>
  <c r="J465"/>
  <c r="I465"/>
  <c r="H465"/>
  <c r="G465"/>
  <c r="F465"/>
  <c r="E465"/>
  <c r="D465"/>
  <c r="C465"/>
  <c r="B465"/>
  <c r="A465"/>
  <c r="K464"/>
  <c r="J464"/>
  <c r="I464"/>
  <c r="H464"/>
  <c r="G464"/>
  <c r="F464"/>
  <c r="E464"/>
  <c r="D464"/>
  <c r="C464"/>
  <c r="B464"/>
  <c r="A464"/>
  <c r="K463"/>
  <c r="J463"/>
  <c r="I463"/>
  <c r="H463"/>
  <c r="G463"/>
  <c r="F463"/>
  <c r="E463"/>
  <c r="D463"/>
  <c r="C463"/>
  <c r="B463"/>
  <c r="A463"/>
  <c r="K462"/>
  <c r="J462"/>
  <c r="I462"/>
  <c r="H462"/>
  <c r="G462"/>
  <c r="F462"/>
  <c r="E462"/>
  <c r="D462"/>
  <c r="C462"/>
  <c r="B462"/>
  <c r="A462"/>
  <c r="K461"/>
  <c r="J461"/>
  <c r="I461"/>
  <c r="H461"/>
  <c r="G461"/>
  <c r="F461"/>
  <c r="E461"/>
  <c r="D461"/>
  <c r="C461"/>
  <c r="B461"/>
  <c r="A461"/>
  <c r="K460"/>
  <c r="J460"/>
  <c r="I460"/>
  <c r="H460"/>
  <c r="G460"/>
  <c r="F460"/>
  <c r="E460"/>
  <c r="D460"/>
  <c r="C460"/>
  <c r="B460"/>
  <c r="A460"/>
  <c r="K459"/>
  <c r="J459"/>
  <c r="I459"/>
  <c r="H459"/>
  <c r="G459"/>
  <c r="F459"/>
  <c r="E459"/>
  <c r="D459"/>
  <c r="C459"/>
  <c r="B459"/>
  <c r="A459"/>
  <c r="K458"/>
  <c r="J458"/>
  <c r="I458"/>
  <c r="H458"/>
  <c r="G458"/>
  <c r="F458"/>
  <c r="E458"/>
  <c r="D458"/>
  <c r="C458"/>
  <c r="B458"/>
  <c r="A458"/>
  <c r="K457"/>
  <c r="J457"/>
  <c r="I457"/>
  <c r="H457"/>
  <c r="G457"/>
  <c r="F457"/>
  <c r="E457"/>
  <c r="D457"/>
  <c r="C457"/>
  <c r="B457"/>
  <c r="A457"/>
  <c r="K456"/>
  <c r="J456"/>
  <c r="I456"/>
  <c r="H456"/>
  <c r="G456"/>
  <c r="F456"/>
  <c r="E456"/>
  <c r="D456"/>
  <c r="C456"/>
  <c r="B456"/>
  <c r="A456"/>
  <c r="K455"/>
  <c r="J455"/>
  <c r="I455"/>
  <c r="H455"/>
  <c r="G455"/>
  <c r="F455"/>
  <c r="E455"/>
  <c r="D455"/>
  <c r="C455"/>
  <c r="B455"/>
  <c r="A455"/>
  <c r="K454"/>
  <c r="J454"/>
  <c r="I454"/>
  <c r="H454"/>
  <c r="G454"/>
  <c r="F454"/>
  <c r="E454"/>
  <c r="D454"/>
  <c r="C454"/>
  <c r="B454"/>
  <c r="A454"/>
  <c r="K453"/>
  <c r="J453"/>
  <c r="I453"/>
  <c r="H453"/>
  <c r="G453"/>
  <c r="F453"/>
  <c r="E453"/>
  <c r="D453"/>
  <c r="C453"/>
  <c r="B453"/>
  <c r="A453"/>
  <c r="K452"/>
  <c r="J452"/>
  <c r="I452"/>
  <c r="H452"/>
  <c r="G452"/>
  <c r="F452"/>
  <c r="E452"/>
  <c r="D452"/>
  <c r="C452"/>
  <c r="B452"/>
  <c r="A452"/>
  <c r="K451"/>
  <c r="J451"/>
  <c r="I451"/>
  <c r="H451"/>
  <c r="G451"/>
  <c r="F451"/>
  <c r="E451"/>
  <c r="D451"/>
  <c r="C451"/>
  <c r="B451"/>
  <c r="A451"/>
  <c r="K450"/>
  <c r="J450"/>
  <c r="I450"/>
  <c r="H450"/>
  <c r="G450"/>
  <c r="F450"/>
  <c r="E450"/>
  <c r="D450"/>
  <c r="C450"/>
  <c r="B450"/>
  <c r="A450"/>
  <c r="K449"/>
  <c r="J449"/>
  <c r="I449"/>
  <c r="H449"/>
  <c r="G449"/>
  <c r="F449"/>
  <c r="E449"/>
  <c r="D449"/>
  <c r="C449"/>
  <c r="B449"/>
  <c r="A449"/>
  <c r="K448"/>
  <c r="J448"/>
  <c r="I448"/>
  <c r="H448"/>
  <c r="G448"/>
  <c r="F448"/>
  <c r="E448"/>
  <c r="D448"/>
  <c r="C448"/>
  <c r="B448"/>
  <c r="A448"/>
  <c r="K447"/>
  <c r="J447"/>
  <c r="I447"/>
  <c r="H447"/>
  <c r="G447"/>
  <c r="F447"/>
  <c r="E447"/>
  <c r="D447"/>
  <c r="C447"/>
  <c r="B447"/>
  <c r="A447"/>
  <c r="K446"/>
  <c r="J446"/>
  <c r="I446"/>
  <c r="H446"/>
  <c r="G446"/>
  <c r="F446"/>
  <c r="E446"/>
  <c r="D446"/>
  <c r="C446"/>
  <c r="B446"/>
  <c r="A446"/>
  <c r="K445"/>
  <c r="J445"/>
  <c r="I445"/>
  <c r="H445"/>
  <c r="G445"/>
  <c r="F445"/>
  <c r="E445"/>
  <c r="D445"/>
  <c r="C445"/>
  <c r="B445"/>
  <c r="A445"/>
  <c r="K444"/>
  <c r="J444"/>
  <c r="I444"/>
  <c r="H444"/>
  <c r="G444"/>
  <c r="F444"/>
  <c r="E444"/>
  <c r="D444"/>
  <c r="C444"/>
  <c r="B444"/>
  <c r="A444"/>
  <c r="K443"/>
  <c r="J443"/>
  <c r="I443"/>
  <c r="H443"/>
  <c r="G443"/>
  <c r="F443"/>
  <c r="E443"/>
  <c r="D443"/>
  <c r="C443"/>
  <c r="B443"/>
  <c r="A443"/>
  <c r="K442"/>
  <c r="J442"/>
  <c r="I442"/>
  <c r="H442"/>
  <c r="G442"/>
  <c r="F442"/>
  <c r="E442"/>
  <c r="D442"/>
  <c r="C442"/>
  <c r="B442"/>
  <c r="A442"/>
  <c r="K441"/>
  <c r="J441"/>
  <c r="I441"/>
  <c r="H441"/>
  <c r="G441"/>
  <c r="F441"/>
  <c r="E441"/>
  <c r="D441"/>
  <c r="C441"/>
  <c r="B441"/>
  <c r="A441"/>
  <c r="K440"/>
  <c r="J440"/>
  <c r="I440"/>
  <c r="H440"/>
  <c r="G440"/>
  <c r="F440"/>
  <c r="E440"/>
  <c r="D440"/>
  <c r="C440"/>
  <c r="B440"/>
  <c r="A440"/>
  <c r="K439"/>
  <c r="J439"/>
  <c r="I439"/>
  <c r="H439"/>
  <c r="G439"/>
  <c r="F439"/>
  <c r="E439"/>
  <c r="D439"/>
  <c r="C439"/>
  <c r="B439"/>
  <c r="A439"/>
  <c r="K438"/>
  <c r="J438"/>
  <c r="I438"/>
  <c r="H438"/>
  <c r="G438"/>
  <c r="F438"/>
  <c r="E438"/>
  <c r="D438"/>
  <c r="C438"/>
  <c r="B438"/>
  <c r="A438"/>
  <c r="K437"/>
  <c r="J437"/>
  <c r="I437"/>
  <c r="H437"/>
  <c r="G437"/>
  <c r="F437"/>
  <c r="E437"/>
  <c r="D437"/>
  <c r="C437"/>
  <c r="B437"/>
  <c r="A437"/>
  <c r="K436"/>
  <c r="J436"/>
  <c r="I436"/>
  <c r="H436"/>
  <c r="G436"/>
  <c r="F436"/>
  <c r="E436"/>
  <c r="D436"/>
  <c r="C436"/>
  <c r="B436"/>
  <c r="A436"/>
  <c r="K435"/>
  <c r="J435"/>
  <c r="I435"/>
  <c r="H435"/>
  <c r="G435"/>
  <c r="F435"/>
  <c r="E435"/>
  <c r="D435"/>
  <c r="C435"/>
  <c r="B435"/>
  <c r="A435"/>
  <c r="K434"/>
  <c r="J434"/>
  <c r="I434"/>
  <c r="H434"/>
  <c r="G434"/>
  <c r="F434"/>
  <c r="E434"/>
  <c r="D434"/>
  <c r="C434"/>
  <c r="B434"/>
  <c r="A434"/>
  <c r="K433"/>
  <c r="J433"/>
  <c r="I433"/>
  <c r="H433"/>
  <c r="G433"/>
  <c r="F433"/>
  <c r="E433"/>
  <c r="D433"/>
  <c r="C433"/>
  <c r="B433"/>
  <c r="A433"/>
  <c r="K432"/>
  <c r="J432"/>
  <c r="I432"/>
  <c r="H432"/>
  <c r="G432"/>
  <c r="F432"/>
  <c r="E432"/>
  <c r="D432"/>
  <c r="C432"/>
  <c r="B432"/>
  <c r="A432"/>
  <c r="K431"/>
  <c r="J431"/>
  <c r="I431"/>
  <c r="H431"/>
  <c r="G431"/>
  <c r="F431"/>
  <c r="E431"/>
  <c r="D431"/>
  <c r="C431"/>
  <c r="B431"/>
  <c r="A431"/>
  <c r="K430"/>
  <c r="J430"/>
  <c r="I430"/>
  <c r="H430"/>
  <c r="G430"/>
  <c r="F430"/>
  <c r="E430"/>
  <c r="D430"/>
  <c r="C430"/>
  <c r="B430"/>
  <c r="A430"/>
  <c r="K429"/>
  <c r="J429"/>
  <c r="I429"/>
  <c r="H429"/>
  <c r="G429"/>
  <c r="F429"/>
  <c r="E429"/>
  <c r="D429"/>
  <c r="C429"/>
  <c r="B429"/>
  <c r="A429"/>
  <c r="K428"/>
  <c r="J428"/>
  <c r="I428"/>
  <c r="H428"/>
  <c r="G428"/>
  <c r="F428"/>
  <c r="E428"/>
  <c r="D428"/>
  <c r="C428"/>
  <c r="B428"/>
  <c r="A428"/>
  <c r="K427"/>
  <c r="J427"/>
  <c r="I427"/>
  <c r="H427"/>
  <c r="G427"/>
  <c r="F427"/>
  <c r="E427"/>
  <c r="D427"/>
  <c r="C427"/>
  <c r="B427"/>
  <c r="A427"/>
  <c r="K426"/>
  <c r="J426"/>
  <c r="I426"/>
  <c r="H426"/>
  <c r="G426"/>
  <c r="F426"/>
  <c r="E426"/>
  <c r="D426"/>
  <c r="C426"/>
  <c r="B426"/>
  <c r="A426"/>
  <c r="K425"/>
  <c r="J425"/>
  <c r="I425"/>
  <c r="H425"/>
  <c r="G425"/>
  <c r="F425"/>
  <c r="E425"/>
  <c r="D425"/>
  <c r="C425"/>
  <c r="B425"/>
  <c r="A425"/>
  <c r="K424"/>
  <c r="J424"/>
  <c r="I424"/>
  <c r="H424"/>
  <c r="G424"/>
  <c r="F424"/>
  <c r="E424"/>
  <c r="D424"/>
  <c r="C424"/>
  <c r="B424"/>
  <c r="A424"/>
  <c r="K423"/>
  <c r="J423"/>
  <c r="I423"/>
  <c r="H423"/>
  <c r="G423"/>
  <c r="F423"/>
  <c r="E423"/>
  <c r="D423"/>
  <c r="C423"/>
  <c r="B423"/>
  <c r="A423"/>
  <c r="K422"/>
  <c r="J422"/>
  <c r="I422"/>
  <c r="H422"/>
  <c r="G422"/>
  <c r="F422"/>
  <c r="E422"/>
  <c r="D422"/>
  <c r="C422"/>
  <c r="B422"/>
  <c r="A422"/>
  <c r="K421"/>
  <c r="J421"/>
  <c r="I421"/>
  <c r="H421"/>
  <c r="G421"/>
  <c r="F421"/>
  <c r="E421"/>
  <c r="D421"/>
  <c r="C421"/>
  <c r="B421"/>
  <c r="A421"/>
  <c r="K420"/>
  <c r="J420"/>
  <c r="I420"/>
  <c r="H420"/>
  <c r="G420"/>
  <c r="F420"/>
  <c r="E420"/>
  <c r="D420"/>
  <c r="C420"/>
  <c r="B420"/>
  <c r="A420"/>
  <c r="K419"/>
  <c r="J419"/>
  <c r="I419"/>
  <c r="H419"/>
  <c r="G419"/>
  <c r="F419"/>
  <c r="E419"/>
  <c r="D419"/>
  <c r="C419"/>
  <c r="B419"/>
  <c r="A419"/>
  <c r="K418"/>
  <c r="J418"/>
  <c r="I418"/>
  <c r="H418"/>
  <c r="G418"/>
  <c r="F418"/>
  <c r="E418"/>
  <c r="D418"/>
  <c r="C418"/>
  <c r="B418"/>
  <c r="A418"/>
  <c r="K417"/>
  <c r="J417"/>
  <c r="I417"/>
  <c r="H417"/>
  <c r="G417"/>
  <c r="F417"/>
  <c r="E417"/>
  <c r="D417"/>
  <c r="C417"/>
  <c r="B417"/>
  <c r="A417"/>
  <c r="K416"/>
  <c r="J416"/>
  <c r="I416"/>
  <c r="H416"/>
  <c r="G416"/>
  <c r="F416"/>
  <c r="E416"/>
  <c r="D416"/>
  <c r="C416"/>
  <c r="B416"/>
  <c r="A416"/>
  <c r="K415"/>
  <c r="J415"/>
  <c r="I415"/>
  <c r="H415"/>
  <c r="G415"/>
  <c r="F415"/>
  <c r="E415"/>
  <c r="D415"/>
  <c r="C415"/>
  <c r="B415"/>
  <c r="A415"/>
  <c r="K414"/>
  <c r="J414"/>
  <c r="I414"/>
  <c r="H414"/>
  <c r="G414"/>
  <c r="F414"/>
  <c r="E414"/>
  <c r="D414"/>
  <c r="C414"/>
  <c r="B414"/>
  <c r="A414"/>
  <c r="K413"/>
  <c r="J413"/>
  <c r="I413"/>
  <c r="H413"/>
  <c r="G413"/>
  <c r="F413"/>
  <c r="E413"/>
  <c r="D413"/>
  <c r="C413"/>
  <c r="B413"/>
  <c r="A413"/>
  <c r="K412"/>
  <c r="J412"/>
  <c r="I412"/>
  <c r="H412"/>
  <c r="G412"/>
  <c r="F412"/>
  <c r="E412"/>
  <c r="D412"/>
  <c r="C412"/>
  <c r="B412"/>
  <c r="A412"/>
  <c r="K411"/>
  <c r="J411"/>
  <c r="I411"/>
  <c r="H411"/>
  <c r="G411"/>
  <c r="F411"/>
  <c r="E411"/>
  <c r="D411"/>
  <c r="C411"/>
  <c r="B411"/>
  <c r="A411"/>
  <c r="K410"/>
  <c r="J410"/>
  <c r="I410"/>
  <c r="H410"/>
  <c r="G410"/>
  <c r="F410"/>
  <c r="E410"/>
  <c r="D410"/>
  <c r="C410"/>
  <c r="B410"/>
  <c r="A410"/>
  <c r="K409"/>
  <c r="J409"/>
  <c r="I409"/>
  <c r="H409"/>
  <c r="G409"/>
  <c r="F409"/>
  <c r="E409"/>
  <c r="D409"/>
  <c r="C409"/>
  <c r="B409"/>
  <c r="A409"/>
  <c r="K408"/>
  <c r="J408"/>
  <c r="I408"/>
  <c r="H408"/>
  <c r="G408"/>
  <c r="F408"/>
  <c r="E408"/>
  <c r="D408"/>
  <c r="C408"/>
  <c r="B408"/>
  <c r="A408"/>
  <c r="K407"/>
  <c r="J407"/>
  <c r="I407"/>
  <c r="H407"/>
  <c r="G407"/>
  <c r="F407"/>
  <c r="E407"/>
  <c r="D407"/>
  <c r="C407"/>
  <c r="B407"/>
  <c r="A407"/>
  <c r="K406"/>
  <c r="J406"/>
  <c r="I406"/>
  <c r="H406"/>
  <c r="G406"/>
  <c r="F406"/>
  <c r="E406"/>
  <c r="D406"/>
  <c r="C406"/>
  <c r="B406"/>
  <c r="A406"/>
  <c r="K405"/>
  <c r="J405"/>
  <c r="I405"/>
  <c r="H405"/>
  <c r="G405"/>
  <c r="F405"/>
  <c r="E405"/>
  <c r="D405"/>
  <c r="C405"/>
  <c r="B405"/>
  <c r="A405"/>
  <c r="K404"/>
  <c r="J404"/>
  <c r="I404"/>
  <c r="H404"/>
  <c r="G404"/>
  <c r="F404"/>
  <c r="E404"/>
  <c r="D404"/>
  <c r="C404"/>
  <c r="B404"/>
  <c r="A404"/>
  <c r="K403"/>
  <c r="J403"/>
  <c r="I403"/>
  <c r="H403"/>
  <c r="G403"/>
  <c r="F403"/>
  <c r="E403"/>
  <c r="D403"/>
  <c r="C403"/>
  <c r="B403"/>
  <c r="A403"/>
  <c r="K402"/>
  <c r="J402"/>
  <c r="I402"/>
  <c r="H402"/>
  <c r="G402"/>
  <c r="F402"/>
  <c r="E402"/>
  <c r="D402"/>
  <c r="C402"/>
  <c r="B402"/>
  <c r="A402"/>
  <c r="K401"/>
  <c r="J401"/>
  <c r="I401"/>
  <c r="H401"/>
  <c r="G401"/>
  <c r="F401"/>
  <c r="E401"/>
  <c r="D401"/>
  <c r="C401"/>
  <c r="B401"/>
  <c r="A401"/>
  <c r="K400"/>
  <c r="J400"/>
  <c r="I400"/>
  <c r="H400"/>
  <c r="G400"/>
  <c r="F400"/>
  <c r="E400"/>
  <c r="D400"/>
  <c r="C400"/>
  <c r="B400"/>
  <c r="A400"/>
  <c r="K399"/>
  <c r="J399"/>
  <c r="I399"/>
  <c r="H399"/>
  <c r="G399"/>
  <c r="F399"/>
  <c r="E399"/>
  <c r="D399"/>
  <c r="C399"/>
  <c r="B399"/>
  <c r="A399"/>
  <c r="K398"/>
  <c r="J398"/>
  <c r="I398"/>
  <c r="H398"/>
  <c r="G398"/>
  <c r="F398"/>
  <c r="E398"/>
  <c r="D398"/>
  <c r="C398"/>
  <c r="B398"/>
  <c r="A398"/>
  <c r="K397"/>
  <c r="J397"/>
  <c r="I397"/>
  <c r="H397"/>
  <c r="G397"/>
  <c r="F397"/>
  <c r="E397"/>
  <c r="D397"/>
  <c r="C397"/>
  <c r="B397"/>
  <c r="A397"/>
  <c r="K396"/>
  <c r="J396"/>
  <c r="I396"/>
  <c r="H396"/>
  <c r="G396"/>
  <c r="F396"/>
  <c r="E396"/>
  <c r="D396"/>
  <c r="C396"/>
  <c r="B396"/>
  <c r="A396"/>
  <c r="K395"/>
  <c r="J395"/>
  <c r="I395"/>
  <c r="H395"/>
  <c r="G395"/>
  <c r="F395"/>
  <c r="E395"/>
  <c r="D395"/>
  <c r="C395"/>
  <c r="B395"/>
  <c r="A395"/>
  <c r="K394"/>
  <c r="J394"/>
  <c r="I394"/>
  <c r="H394"/>
  <c r="G394"/>
  <c r="F394"/>
  <c r="E394"/>
  <c r="D394"/>
  <c r="C394"/>
  <c r="B394"/>
  <c r="A394"/>
  <c r="K393"/>
  <c r="J393"/>
  <c r="I393"/>
  <c r="H393"/>
  <c r="G393"/>
  <c r="F393"/>
  <c r="E393"/>
  <c r="D393"/>
  <c r="C393"/>
  <c r="B393"/>
  <c r="A393"/>
  <c r="K392"/>
  <c r="J392"/>
  <c r="I392"/>
  <c r="H392"/>
  <c r="G392"/>
  <c r="F392"/>
  <c r="E392"/>
  <c r="D392"/>
  <c r="C392"/>
  <c r="B392"/>
  <c r="A392"/>
  <c r="K391"/>
  <c r="J391"/>
  <c r="I391"/>
  <c r="H391"/>
  <c r="G391"/>
  <c r="F391"/>
  <c r="E391"/>
  <c r="D391"/>
  <c r="C391"/>
  <c r="B391"/>
  <c r="A391"/>
  <c r="K390"/>
  <c r="J390"/>
  <c r="I390"/>
  <c r="H390"/>
  <c r="G390"/>
  <c r="F390"/>
  <c r="E390"/>
  <c r="D390"/>
  <c r="C390"/>
  <c r="B390"/>
  <c r="A390"/>
  <c r="K389"/>
  <c r="J389"/>
  <c r="I389"/>
  <c r="H389"/>
  <c r="G389"/>
  <c r="F389"/>
  <c r="E389"/>
  <c r="D389"/>
  <c r="C389"/>
  <c r="B389"/>
  <c r="A389"/>
  <c r="K388"/>
  <c r="J388"/>
  <c r="I388"/>
  <c r="H388"/>
  <c r="G388"/>
  <c r="F388"/>
  <c r="E388"/>
  <c r="D388"/>
  <c r="C388"/>
  <c r="B388"/>
  <c r="A388"/>
  <c r="K387"/>
  <c r="J387"/>
  <c r="I387"/>
  <c r="H387"/>
  <c r="G387"/>
  <c r="F387"/>
  <c r="E387"/>
  <c r="D387"/>
  <c r="C387"/>
  <c r="B387"/>
  <c r="A387"/>
  <c r="K386"/>
  <c r="J386"/>
  <c r="I386"/>
  <c r="H386"/>
  <c r="G386"/>
  <c r="F386"/>
  <c r="E386"/>
  <c r="D386"/>
  <c r="C386"/>
  <c r="B386"/>
  <c r="A386"/>
  <c r="K385"/>
  <c r="J385"/>
  <c r="I385"/>
  <c r="H385"/>
  <c r="G385"/>
  <c r="F385"/>
  <c r="E385"/>
  <c r="D385"/>
  <c r="C385"/>
  <c r="B385"/>
  <c r="A385"/>
  <c r="K384"/>
  <c r="J384"/>
  <c r="I384"/>
  <c r="H384"/>
  <c r="G384"/>
  <c r="F384"/>
  <c r="E384"/>
  <c r="D384"/>
  <c r="C384"/>
  <c r="B384"/>
  <c r="A384"/>
  <c r="K383"/>
  <c r="J383"/>
  <c r="I383"/>
  <c r="H383"/>
  <c r="G383"/>
  <c r="F383"/>
  <c r="E383"/>
  <c r="D383"/>
  <c r="C383"/>
  <c r="B383"/>
  <c r="A383"/>
  <c r="K382"/>
  <c r="J382"/>
  <c r="I382"/>
  <c r="H382"/>
  <c r="G382"/>
  <c r="F382"/>
  <c r="E382"/>
  <c r="D382"/>
  <c r="C382"/>
  <c r="B382"/>
  <c r="A382"/>
  <c r="K381"/>
  <c r="J381"/>
  <c r="I381"/>
  <c r="H381"/>
  <c r="G381"/>
  <c r="F381"/>
  <c r="E381"/>
  <c r="D381"/>
  <c r="C381"/>
  <c r="B381"/>
  <c r="A381"/>
  <c r="K380"/>
  <c r="J380"/>
  <c r="I380"/>
  <c r="H380"/>
  <c r="G380"/>
  <c r="F380"/>
  <c r="E380"/>
  <c r="D380"/>
  <c r="C380"/>
  <c r="B380"/>
  <c r="A380"/>
  <c r="K379"/>
  <c r="J379"/>
  <c r="I379"/>
  <c r="H379"/>
  <c r="G379"/>
  <c r="F379"/>
  <c r="E379"/>
  <c r="D379"/>
  <c r="C379"/>
  <c r="B379"/>
  <c r="A379"/>
  <c r="K378"/>
  <c r="J378"/>
  <c r="I378"/>
  <c r="H378"/>
  <c r="G378"/>
  <c r="F378"/>
  <c r="E378"/>
  <c r="D378"/>
  <c r="C378"/>
  <c r="B378"/>
  <c r="A378"/>
  <c r="K377"/>
  <c r="J377"/>
  <c r="I377"/>
  <c r="H377"/>
  <c r="G377"/>
  <c r="F377"/>
  <c r="E377"/>
  <c r="D377"/>
  <c r="C377"/>
  <c r="B377"/>
  <c r="A377"/>
  <c r="K376"/>
  <c r="J376"/>
  <c r="I376"/>
  <c r="H376"/>
  <c r="G376"/>
  <c r="F376"/>
  <c r="E376"/>
  <c r="D376"/>
  <c r="C376"/>
  <c r="B376"/>
  <c r="A376"/>
  <c r="K375"/>
  <c r="J375"/>
  <c r="I375"/>
  <c r="H375"/>
  <c r="G375"/>
  <c r="F375"/>
  <c r="E375"/>
  <c r="D375"/>
  <c r="C375"/>
  <c r="B375"/>
  <c r="A375"/>
  <c r="K374"/>
  <c r="J374"/>
  <c r="I374"/>
  <c r="H374"/>
  <c r="G374"/>
  <c r="F374"/>
  <c r="E374"/>
  <c r="D374"/>
  <c r="C374"/>
  <c r="B374"/>
  <c r="A374"/>
  <c r="K373"/>
  <c r="J373"/>
  <c r="I373"/>
  <c r="H373"/>
  <c r="G373"/>
  <c r="F373"/>
  <c r="E373"/>
  <c r="D373"/>
  <c r="C373"/>
  <c r="B373"/>
  <c r="A373"/>
  <c r="K372"/>
  <c r="J372"/>
  <c r="I372"/>
  <c r="H372"/>
  <c r="G372"/>
  <c r="F372"/>
  <c r="E372"/>
  <c r="D372"/>
  <c r="C372"/>
  <c r="B372"/>
  <c r="A372"/>
  <c r="K371"/>
  <c r="J371"/>
  <c r="I371"/>
  <c r="H371"/>
  <c r="G371"/>
  <c r="F371"/>
  <c r="E371"/>
  <c r="D371"/>
  <c r="C371"/>
  <c r="B371"/>
  <c r="A371"/>
  <c r="K370"/>
  <c r="J370"/>
  <c r="I370"/>
  <c r="H370"/>
  <c r="G370"/>
  <c r="F370"/>
  <c r="E370"/>
  <c r="D370"/>
  <c r="C370"/>
  <c r="B370"/>
  <c r="A370"/>
  <c r="K369"/>
  <c r="J369"/>
  <c r="I369"/>
  <c r="H369"/>
  <c r="G369"/>
  <c r="F369"/>
  <c r="E369"/>
  <c r="D369"/>
  <c r="C369"/>
  <c r="B369"/>
  <c r="A369"/>
  <c r="K368"/>
  <c r="J368"/>
  <c r="I368"/>
  <c r="H368"/>
  <c r="G368"/>
  <c r="F368"/>
  <c r="E368"/>
  <c r="D368"/>
  <c r="C368"/>
  <c r="B368"/>
  <c r="A368"/>
  <c r="K367"/>
  <c r="J367"/>
  <c r="I367"/>
  <c r="H367"/>
  <c r="G367"/>
  <c r="F367"/>
  <c r="E367"/>
  <c r="D367"/>
  <c r="C367"/>
  <c r="B367"/>
  <c r="A367"/>
  <c r="K366"/>
  <c r="J366"/>
  <c r="I366"/>
  <c r="H366"/>
  <c r="G366"/>
  <c r="F366"/>
  <c r="E366"/>
  <c r="D366"/>
  <c r="C366"/>
  <c r="B366"/>
  <c r="A366"/>
  <c r="K365"/>
  <c r="J365"/>
  <c r="I365"/>
  <c r="H365"/>
  <c r="G365"/>
  <c r="F365"/>
  <c r="E365"/>
  <c r="D365"/>
  <c r="C365"/>
  <c r="B365"/>
  <c r="A365"/>
  <c r="K364"/>
  <c r="J364"/>
  <c r="I364"/>
  <c r="H364"/>
  <c r="G364"/>
  <c r="F364"/>
  <c r="E364"/>
  <c r="D364"/>
  <c r="C364"/>
  <c r="B364"/>
  <c r="A364"/>
  <c r="K363"/>
  <c r="J363"/>
  <c r="I363"/>
  <c r="H363"/>
  <c r="G363"/>
  <c r="F363"/>
  <c r="E363"/>
  <c r="D363"/>
  <c r="C363"/>
  <c r="B363"/>
  <c r="A363"/>
  <c r="K362"/>
  <c r="J362"/>
  <c r="I362"/>
  <c r="H362"/>
  <c r="G362"/>
  <c r="F362"/>
  <c r="E362"/>
  <c r="D362"/>
  <c r="C362"/>
  <c r="B362"/>
  <c r="A362"/>
  <c r="K361"/>
  <c r="J361"/>
  <c r="I361"/>
  <c r="H361"/>
  <c r="G361"/>
  <c r="F361"/>
  <c r="E361"/>
  <c r="D361"/>
  <c r="C361"/>
  <c r="B361"/>
  <c r="A361"/>
  <c r="K360"/>
  <c r="J360"/>
  <c r="I360"/>
  <c r="H360"/>
  <c r="G360"/>
  <c r="F360"/>
  <c r="E360"/>
  <c r="D360"/>
  <c r="C360"/>
  <c r="B360"/>
  <c r="A360"/>
  <c r="K359"/>
  <c r="J359"/>
  <c r="I359"/>
  <c r="H359"/>
  <c r="G359"/>
  <c r="F359"/>
  <c r="E359"/>
  <c r="D359"/>
  <c r="C359"/>
  <c r="B359"/>
  <c r="A359"/>
  <c r="K358"/>
  <c r="J358"/>
  <c r="I358"/>
  <c r="H358"/>
  <c r="G358"/>
  <c r="F358"/>
  <c r="E358"/>
  <c r="D358"/>
  <c r="C358"/>
  <c r="B358"/>
  <c r="A358"/>
  <c r="K357"/>
  <c r="J357"/>
  <c r="I357"/>
  <c r="H357"/>
  <c r="G357"/>
  <c r="F357"/>
  <c r="E357"/>
  <c r="D357"/>
  <c r="C357"/>
  <c r="B357"/>
  <c r="A357"/>
  <c r="K356"/>
  <c r="J356"/>
  <c r="I356"/>
  <c r="H356"/>
  <c r="G356"/>
  <c r="F356"/>
  <c r="E356"/>
  <c r="D356"/>
  <c r="C356"/>
  <c r="B356"/>
  <c r="A356"/>
  <c r="K355"/>
  <c r="J355"/>
  <c r="I355"/>
  <c r="H355"/>
  <c r="G355"/>
  <c r="F355"/>
  <c r="E355"/>
  <c r="D355"/>
  <c r="C355"/>
  <c r="B355"/>
  <c r="A355"/>
  <c r="K354"/>
  <c r="J354"/>
  <c r="I354"/>
  <c r="H354"/>
  <c r="G354"/>
  <c r="F354"/>
  <c r="E354"/>
  <c r="D354"/>
  <c r="C354"/>
  <c r="B354"/>
  <c r="A354"/>
  <c r="K353"/>
  <c r="J353"/>
  <c r="I353"/>
  <c r="H353"/>
  <c r="G353"/>
  <c r="F353"/>
  <c r="E353"/>
  <c r="D353"/>
  <c r="C353"/>
  <c r="B353"/>
  <c r="A353"/>
  <c r="K352"/>
  <c r="J352"/>
  <c r="I352"/>
  <c r="H352"/>
  <c r="G352"/>
  <c r="F352"/>
  <c r="E352"/>
  <c r="D352"/>
  <c r="C352"/>
  <c r="B352"/>
  <c r="A352"/>
  <c r="K351"/>
  <c r="J351"/>
  <c r="I351"/>
  <c r="H351"/>
  <c r="G351"/>
  <c r="F351"/>
  <c r="E351"/>
  <c r="D351"/>
  <c r="C351"/>
  <c r="B351"/>
  <c r="A351"/>
  <c r="K350"/>
  <c r="J350"/>
  <c r="I350"/>
  <c r="H350"/>
  <c r="G350"/>
  <c r="F350"/>
  <c r="E350"/>
  <c r="D350"/>
  <c r="C350"/>
  <c r="B350"/>
  <c r="A350"/>
  <c r="K349"/>
  <c r="J349"/>
  <c r="I349"/>
  <c r="H349"/>
  <c r="G349"/>
  <c r="F349"/>
  <c r="E349"/>
  <c r="D349"/>
  <c r="C349"/>
  <c r="B349"/>
  <c r="A349"/>
  <c r="K348"/>
  <c r="J348"/>
  <c r="I348"/>
  <c r="H348"/>
  <c r="G348"/>
  <c r="F348"/>
  <c r="E348"/>
  <c r="D348"/>
  <c r="C348"/>
  <c r="B348"/>
  <c r="A348"/>
  <c r="K347"/>
  <c r="J347"/>
  <c r="I347"/>
  <c r="H347"/>
  <c r="G347"/>
  <c r="F347"/>
  <c r="E347"/>
  <c r="D347"/>
  <c r="C347"/>
  <c r="B347"/>
  <c r="A347"/>
  <c r="K346"/>
  <c r="J346"/>
  <c r="I346"/>
  <c r="H346"/>
  <c r="G346"/>
  <c r="F346"/>
  <c r="E346"/>
  <c r="D346"/>
  <c r="C346"/>
  <c r="B346"/>
  <c r="A346"/>
  <c r="K345"/>
  <c r="J345"/>
  <c r="I345"/>
  <c r="H345"/>
  <c r="G345"/>
  <c r="F345"/>
  <c r="E345"/>
  <c r="D345"/>
  <c r="C345"/>
  <c r="B345"/>
  <c r="A345"/>
  <c r="K344"/>
  <c r="J344"/>
  <c r="I344"/>
  <c r="H344"/>
  <c r="G344"/>
  <c r="F344"/>
  <c r="E344"/>
  <c r="D344"/>
  <c r="C344"/>
  <c r="B344"/>
  <c r="A344"/>
  <c r="K343"/>
  <c r="J343"/>
  <c r="I343"/>
  <c r="H343"/>
  <c r="G343"/>
  <c r="F343"/>
  <c r="E343"/>
  <c r="D343"/>
  <c r="C343"/>
  <c r="B343"/>
  <c r="A343"/>
  <c r="K342"/>
  <c r="J342"/>
  <c r="I342"/>
  <c r="H342"/>
  <c r="G342"/>
  <c r="F342"/>
  <c r="E342"/>
  <c r="D342"/>
  <c r="C342"/>
  <c r="B342"/>
  <c r="A342"/>
  <c r="K341"/>
  <c r="J341"/>
  <c r="I341"/>
  <c r="H341"/>
  <c r="G341"/>
  <c r="F341"/>
  <c r="E341"/>
  <c r="D341"/>
  <c r="C341"/>
  <c r="B341"/>
  <c r="A341"/>
  <c r="K340"/>
  <c r="J340"/>
  <c r="I340"/>
  <c r="H340"/>
  <c r="G340"/>
  <c r="F340"/>
  <c r="E340"/>
  <c r="D340"/>
  <c r="C340"/>
  <c r="B340"/>
  <c r="A340"/>
  <c r="K339"/>
  <c r="J339"/>
  <c r="I339"/>
  <c r="H339"/>
  <c r="G339"/>
  <c r="F339"/>
  <c r="E339"/>
  <c r="D339"/>
  <c r="C339"/>
  <c r="B339"/>
  <c r="A339"/>
  <c r="K338"/>
  <c r="J338"/>
  <c r="I338"/>
  <c r="H338"/>
  <c r="G338"/>
  <c r="F338"/>
  <c r="E338"/>
  <c r="D338"/>
  <c r="C338"/>
  <c r="B338"/>
  <c r="A338"/>
  <c r="K337"/>
  <c r="J337"/>
  <c r="I337"/>
  <c r="H337"/>
  <c r="G337"/>
  <c r="F337"/>
  <c r="E337"/>
  <c r="D337"/>
  <c r="C337"/>
  <c r="B337"/>
  <c r="A337"/>
  <c r="K336"/>
  <c r="J336"/>
  <c r="I336"/>
  <c r="H336"/>
  <c r="G336"/>
  <c r="F336"/>
  <c r="E336"/>
  <c r="D336"/>
  <c r="C336"/>
  <c r="B336"/>
  <c r="A336"/>
  <c r="K335"/>
  <c r="J335"/>
  <c r="I335"/>
  <c r="H335"/>
  <c r="G335"/>
  <c r="F335"/>
  <c r="E335"/>
  <c r="D335"/>
  <c r="C335"/>
  <c r="B335"/>
  <c r="A335"/>
  <c r="K334"/>
  <c r="J334"/>
  <c r="I334"/>
  <c r="H334"/>
  <c r="G334"/>
  <c r="F334"/>
  <c r="E334"/>
  <c r="D334"/>
  <c r="C334"/>
  <c r="B334"/>
  <c r="A334"/>
  <c r="K333"/>
  <c r="J333"/>
  <c r="I333"/>
  <c r="H333"/>
  <c r="G333"/>
  <c r="F333"/>
  <c r="E333"/>
  <c r="D333"/>
  <c r="C333"/>
  <c r="B333"/>
  <c r="A333"/>
  <c r="K332"/>
  <c r="J332"/>
  <c r="I332"/>
  <c r="H332"/>
  <c r="G332"/>
  <c r="F332"/>
  <c r="E332"/>
  <c r="D332"/>
  <c r="C332"/>
  <c r="B332"/>
  <c r="A332"/>
  <c r="K331"/>
  <c r="J331"/>
  <c r="I331"/>
  <c r="H331"/>
  <c r="G331"/>
  <c r="F331"/>
  <c r="E331"/>
  <c r="D331"/>
  <c r="C331"/>
  <c r="B331"/>
  <c r="A331"/>
  <c r="K330"/>
  <c r="J330"/>
  <c r="I330"/>
  <c r="H330"/>
  <c r="G330"/>
  <c r="F330"/>
  <c r="E330"/>
  <c r="D330"/>
  <c r="C330"/>
  <c r="B330"/>
  <c r="A330"/>
  <c r="K329"/>
  <c r="J329"/>
  <c r="I329"/>
  <c r="H329"/>
  <c r="G329"/>
  <c r="F329"/>
  <c r="E329"/>
  <c r="D329"/>
  <c r="C329"/>
  <c r="B329"/>
  <c r="A329"/>
  <c r="K328"/>
  <c r="J328"/>
  <c r="I328"/>
  <c r="H328"/>
  <c r="G328"/>
  <c r="F328"/>
  <c r="E328"/>
  <c r="D328"/>
  <c r="C328"/>
  <c r="B328"/>
  <c r="A328"/>
  <c r="K327"/>
  <c r="J327"/>
  <c r="I327"/>
  <c r="H327"/>
  <c r="G327"/>
  <c r="F327"/>
  <c r="E327"/>
  <c r="D327"/>
  <c r="C327"/>
  <c r="B327"/>
  <c r="A327"/>
  <c r="K326"/>
  <c r="J326"/>
  <c r="I326"/>
  <c r="H326"/>
  <c r="G326"/>
  <c r="F326"/>
  <c r="E326"/>
  <c r="D326"/>
  <c r="C326"/>
  <c r="B326"/>
  <c r="A326"/>
  <c r="K325"/>
  <c r="J325"/>
  <c r="I325"/>
  <c r="H325"/>
  <c r="G325"/>
  <c r="F325"/>
  <c r="E325"/>
  <c r="D325"/>
  <c r="C325"/>
  <c r="B325"/>
  <c r="A325"/>
  <c r="K324"/>
  <c r="J324"/>
  <c r="I324"/>
  <c r="H324"/>
  <c r="G324"/>
  <c r="F324"/>
  <c r="E324"/>
  <c r="D324"/>
  <c r="C324"/>
  <c r="B324"/>
  <c r="A324"/>
  <c r="K323"/>
  <c r="J323"/>
  <c r="I323"/>
  <c r="H323"/>
  <c r="G323"/>
  <c r="F323"/>
  <c r="E323"/>
  <c r="D323"/>
  <c r="C323"/>
  <c r="B323"/>
  <c r="A323"/>
  <c r="K322"/>
  <c r="J322"/>
  <c r="I322"/>
  <c r="H322"/>
  <c r="G322"/>
  <c r="F322"/>
  <c r="E322"/>
  <c r="D322"/>
  <c r="C322"/>
  <c r="B322"/>
  <c r="A322"/>
  <c r="K321"/>
  <c r="J321"/>
  <c r="I321"/>
  <c r="H321"/>
  <c r="G321"/>
  <c r="F321"/>
  <c r="E321"/>
  <c r="D321"/>
  <c r="C321"/>
  <c r="B321"/>
  <c r="A321"/>
  <c r="K320"/>
  <c r="J320"/>
  <c r="I320"/>
  <c r="H320"/>
  <c r="G320"/>
  <c r="F320"/>
  <c r="E320"/>
  <c r="D320"/>
  <c r="C320"/>
  <c r="B320"/>
  <c r="A320"/>
  <c r="K319"/>
  <c r="J319"/>
  <c r="I319"/>
  <c r="H319"/>
  <c r="G319"/>
  <c r="F319"/>
  <c r="E319"/>
  <c r="D319"/>
  <c r="C319"/>
  <c r="B319"/>
  <c r="A319"/>
  <c r="K318"/>
  <c r="J318"/>
  <c r="I318"/>
  <c r="H318"/>
  <c r="G318"/>
  <c r="F318"/>
  <c r="E318"/>
  <c r="D318"/>
  <c r="C318"/>
  <c r="B318"/>
  <c r="A318"/>
  <c r="K317"/>
  <c r="J317"/>
  <c r="I317"/>
  <c r="H317"/>
  <c r="G317"/>
  <c r="F317"/>
  <c r="E317"/>
  <c r="D317"/>
  <c r="C317"/>
  <c r="B317"/>
  <c r="A317"/>
  <c r="K316"/>
  <c r="J316"/>
  <c r="I316"/>
  <c r="H316"/>
  <c r="G316"/>
  <c r="F316"/>
  <c r="E316"/>
  <c r="D316"/>
  <c r="C316"/>
  <c r="B316"/>
  <c r="A316"/>
  <c r="K315"/>
  <c r="J315"/>
  <c r="I315"/>
  <c r="H315"/>
  <c r="G315"/>
  <c r="F315"/>
  <c r="E315"/>
  <c r="D315"/>
  <c r="C315"/>
  <c r="B315"/>
  <c r="A315"/>
  <c r="K314"/>
  <c r="J314"/>
  <c r="I314"/>
  <c r="H314"/>
  <c r="G314"/>
  <c r="F314"/>
  <c r="E314"/>
  <c r="D314"/>
  <c r="C314"/>
  <c r="B314"/>
  <c r="A314"/>
  <c r="K313"/>
  <c r="J313"/>
  <c r="I313"/>
  <c r="H313"/>
  <c r="G313"/>
  <c r="F313"/>
  <c r="E313"/>
  <c r="D313"/>
  <c r="C313"/>
  <c r="B313"/>
  <c r="A313"/>
  <c r="K312"/>
  <c r="J312"/>
  <c r="I312"/>
  <c r="H312"/>
  <c r="G312"/>
  <c r="F312"/>
  <c r="E312"/>
  <c r="D312"/>
  <c r="C312"/>
  <c r="B312"/>
  <c r="A312"/>
  <c r="K311"/>
  <c r="J311"/>
  <c r="I311"/>
  <c r="H311"/>
  <c r="G311"/>
  <c r="F311"/>
  <c r="E311"/>
  <c r="D311"/>
  <c r="C311"/>
  <c r="B311"/>
  <c r="A311"/>
  <c r="K310"/>
  <c r="J310"/>
  <c r="I310"/>
  <c r="H310"/>
  <c r="G310"/>
  <c r="F310"/>
  <c r="E310"/>
  <c r="D310"/>
  <c r="C310"/>
  <c r="B310"/>
  <c r="A310"/>
  <c r="K309"/>
  <c r="J309"/>
  <c r="I309"/>
  <c r="H309"/>
  <c r="G309"/>
  <c r="F309"/>
  <c r="E309"/>
  <c r="D309"/>
  <c r="C309"/>
  <c r="B309"/>
  <c r="A309"/>
  <c r="K308"/>
  <c r="J308"/>
  <c r="I308"/>
  <c r="H308"/>
  <c r="G308"/>
  <c r="F308"/>
  <c r="E308"/>
  <c r="D308"/>
  <c r="C308"/>
  <c r="B308"/>
  <c r="A308"/>
  <c r="K307"/>
  <c r="J307"/>
  <c r="I307"/>
  <c r="H307"/>
  <c r="G307"/>
  <c r="F307"/>
  <c r="E307"/>
  <c r="D307"/>
  <c r="C307"/>
  <c r="B307"/>
  <c r="A307"/>
  <c r="K306"/>
  <c r="J306"/>
  <c r="I306"/>
  <c r="H306"/>
  <c r="G306"/>
  <c r="F306"/>
  <c r="E306"/>
  <c r="D306"/>
  <c r="C306"/>
  <c r="B306"/>
  <c r="A306"/>
  <c r="K305"/>
  <c r="J305"/>
  <c r="I305"/>
  <c r="H305"/>
  <c r="G305"/>
  <c r="F305"/>
  <c r="E305"/>
  <c r="D305"/>
  <c r="C305"/>
  <c r="B305"/>
  <c r="A305"/>
  <c r="K304"/>
  <c r="J304"/>
  <c r="I304"/>
  <c r="H304"/>
  <c r="G304"/>
  <c r="F304"/>
  <c r="E304"/>
  <c r="D304"/>
  <c r="C304"/>
  <c r="B304"/>
  <c r="A304"/>
  <c r="K303"/>
  <c r="J303"/>
  <c r="I303"/>
  <c r="H303"/>
  <c r="G303"/>
  <c r="F303"/>
  <c r="E303"/>
  <c r="D303"/>
  <c r="C303"/>
  <c r="B303"/>
  <c r="A303"/>
  <c r="K302"/>
  <c r="J302"/>
  <c r="I302"/>
  <c r="H302"/>
  <c r="G302"/>
  <c r="F302"/>
  <c r="E302"/>
  <c r="D302"/>
  <c r="C302"/>
  <c r="B302"/>
  <c r="A302"/>
  <c r="K301"/>
  <c r="J301"/>
  <c r="I301"/>
  <c r="H301"/>
  <c r="G301"/>
  <c r="F301"/>
  <c r="E301"/>
  <c r="D301"/>
  <c r="C301"/>
  <c r="B301"/>
  <c r="A301"/>
  <c r="K300"/>
  <c r="J300"/>
  <c r="I300"/>
  <c r="H300"/>
  <c r="G300"/>
  <c r="F300"/>
  <c r="E300"/>
  <c r="D300"/>
  <c r="C300"/>
  <c r="B300"/>
  <c r="A300"/>
  <c r="K299"/>
  <c r="J299"/>
  <c r="I299"/>
  <c r="H299"/>
  <c r="G299"/>
  <c r="F299"/>
  <c r="E299"/>
  <c r="D299"/>
  <c r="C299"/>
  <c r="B299"/>
  <c r="A299"/>
  <c r="K298"/>
  <c r="J298"/>
  <c r="I298"/>
  <c r="H298"/>
  <c r="G298"/>
  <c r="F298"/>
  <c r="E298"/>
  <c r="D298"/>
  <c r="C298"/>
  <c r="B298"/>
  <c r="A298"/>
  <c r="K297"/>
  <c r="J297"/>
  <c r="I297"/>
  <c r="H297"/>
  <c r="G297"/>
  <c r="F297"/>
  <c r="E297"/>
  <c r="D297"/>
  <c r="C297"/>
  <c r="B297"/>
  <c r="A297"/>
  <c r="K296"/>
  <c r="J296"/>
  <c r="I296"/>
  <c r="H296"/>
  <c r="G296"/>
  <c r="F296"/>
  <c r="E296"/>
  <c r="D296"/>
  <c r="C296"/>
  <c r="B296"/>
  <c r="A296"/>
  <c r="K295"/>
  <c r="J295"/>
  <c r="I295"/>
  <c r="H295"/>
  <c r="G295"/>
  <c r="F295"/>
  <c r="E295"/>
  <c r="D295"/>
  <c r="C295"/>
  <c r="B295"/>
  <c r="A295"/>
  <c r="K294"/>
  <c r="J294"/>
  <c r="I294"/>
  <c r="H294"/>
  <c r="G294"/>
  <c r="F294"/>
  <c r="E294"/>
  <c r="D294"/>
  <c r="C294"/>
  <c r="B294"/>
  <c r="A294"/>
  <c r="K293"/>
  <c r="J293"/>
  <c r="I293"/>
  <c r="H293"/>
  <c r="G293"/>
  <c r="F293"/>
  <c r="E293"/>
  <c r="D293"/>
  <c r="C293"/>
  <c r="B293"/>
  <c r="A293"/>
  <c r="K292"/>
  <c r="J292"/>
  <c r="I292"/>
  <c r="H292"/>
  <c r="G292"/>
  <c r="F292"/>
  <c r="E292"/>
  <c r="D292"/>
  <c r="C292"/>
  <c r="B292"/>
  <c r="A292"/>
  <c r="K291"/>
  <c r="J291"/>
  <c r="I291"/>
  <c r="H291"/>
  <c r="G291"/>
  <c r="F291"/>
  <c r="E291"/>
  <c r="D291"/>
  <c r="C291"/>
  <c r="B291"/>
  <c r="A291"/>
  <c r="K290"/>
  <c r="J290"/>
  <c r="I290"/>
  <c r="H290"/>
  <c r="G290"/>
  <c r="F290"/>
  <c r="E290"/>
  <c r="D290"/>
  <c r="C290"/>
  <c r="B290"/>
  <c r="A290"/>
  <c r="K289"/>
  <c r="J289"/>
  <c r="I289"/>
  <c r="H289"/>
  <c r="G289"/>
  <c r="F289"/>
  <c r="E289"/>
  <c r="D289"/>
  <c r="C289"/>
  <c r="B289"/>
  <c r="A289"/>
  <c r="K288"/>
  <c r="J288"/>
  <c r="I288"/>
  <c r="H288"/>
  <c r="G288"/>
  <c r="F288"/>
  <c r="E288"/>
  <c r="D288"/>
  <c r="C288"/>
  <c r="B288"/>
  <c r="A288"/>
  <c r="K287"/>
  <c r="J287"/>
  <c r="I287"/>
  <c r="H287"/>
  <c r="G287"/>
  <c r="F287"/>
  <c r="E287"/>
  <c r="D287"/>
  <c r="C287"/>
  <c r="B287"/>
  <c r="A287"/>
  <c r="K286"/>
  <c r="J286"/>
  <c r="I286"/>
  <c r="H286"/>
  <c r="G286"/>
  <c r="F286"/>
  <c r="E286"/>
  <c r="D286"/>
  <c r="C286"/>
  <c r="B286"/>
  <c r="A286"/>
  <c r="K285"/>
  <c r="J285"/>
  <c r="I285"/>
  <c r="H285"/>
  <c r="G285"/>
  <c r="F285"/>
  <c r="E285"/>
  <c r="D285"/>
  <c r="C285"/>
  <c r="B285"/>
  <c r="A285"/>
  <c r="K284"/>
  <c r="J284"/>
  <c r="I284"/>
  <c r="H284"/>
  <c r="G284"/>
  <c r="F284"/>
  <c r="E284"/>
  <c r="D284"/>
  <c r="C284"/>
  <c r="B284"/>
  <c r="A284"/>
  <c r="K283"/>
  <c r="J283"/>
  <c r="I283"/>
  <c r="H283"/>
  <c r="G283"/>
  <c r="F283"/>
  <c r="E283"/>
  <c r="D283"/>
  <c r="C283"/>
  <c r="B283"/>
  <c r="A283"/>
  <c r="K282"/>
  <c r="J282"/>
  <c r="I282"/>
  <c r="H282"/>
  <c r="G282"/>
  <c r="F282"/>
  <c r="E282"/>
  <c r="D282"/>
  <c r="C282"/>
  <c r="B282"/>
  <c r="A282"/>
  <c r="K281"/>
  <c r="J281"/>
  <c r="I281"/>
  <c r="H281"/>
  <c r="G281"/>
  <c r="F281"/>
  <c r="E281"/>
  <c r="D281"/>
  <c r="C281"/>
  <c r="B281"/>
  <c r="A281"/>
  <c r="K280"/>
  <c r="J280"/>
  <c r="I280"/>
  <c r="H280"/>
  <c r="G280"/>
  <c r="F280"/>
  <c r="E280"/>
  <c r="D280"/>
  <c r="C280"/>
  <c r="B280"/>
  <c r="A280"/>
  <c r="K279"/>
  <c r="J279"/>
  <c r="I279"/>
  <c r="H279"/>
  <c r="G279"/>
  <c r="F279"/>
  <c r="E279"/>
  <c r="D279"/>
  <c r="C279"/>
  <c r="B279"/>
  <c r="A279"/>
  <c r="K278"/>
  <c r="J278"/>
  <c r="I278"/>
  <c r="H278"/>
  <c r="G278"/>
  <c r="F278"/>
  <c r="E278"/>
  <c r="D278"/>
  <c r="C278"/>
  <c r="B278"/>
  <c r="A278"/>
  <c r="K277"/>
  <c r="J277"/>
  <c r="I277"/>
  <c r="H277"/>
  <c r="G277"/>
  <c r="F277"/>
  <c r="E277"/>
  <c r="D277"/>
  <c r="C277"/>
  <c r="B277"/>
  <c r="A277"/>
  <c r="K276"/>
  <c r="J276"/>
  <c r="I276"/>
  <c r="H276"/>
  <c r="G276"/>
  <c r="F276"/>
  <c r="E276"/>
  <c r="D276"/>
  <c r="C276"/>
  <c r="B276"/>
  <c r="A276"/>
  <c r="K275"/>
  <c r="J275"/>
  <c r="I275"/>
  <c r="H275"/>
  <c r="G275"/>
  <c r="F275"/>
  <c r="E275"/>
  <c r="D275"/>
  <c r="C275"/>
  <c r="B275"/>
  <c r="A275"/>
  <c r="K274"/>
  <c r="J274"/>
  <c r="I274"/>
  <c r="H274"/>
  <c r="G274"/>
  <c r="F274"/>
  <c r="E274"/>
  <c r="D274"/>
  <c r="C274"/>
  <c r="B274"/>
  <c r="A274"/>
  <c r="K273"/>
  <c r="J273"/>
  <c r="I273"/>
  <c r="H273"/>
  <c r="G273"/>
  <c r="F273"/>
  <c r="E273"/>
  <c r="D273"/>
  <c r="C273"/>
  <c r="B273"/>
  <c r="A273"/>
  <c r="K272"/>
  <c r="J272"/>
  <c r="I272"/>
  <c r="H272"/>
  <c r="G272"/>
  <c r="F272"/>
  <c r="E272"/>
  <c r="D272"/>
  <c r="C272"/>
  <c r="B272"/>
  <c r="A272"/>
  <c r="K271"/>
  <c r="J271"/>
  <c r="I271"/>
  <c r="H271"/>
  <c r="G271"/>
  <c r="F271"/>
  <c r="E271"/>
  <c r="D271"/>
  <c r="C271"/>
  <c r="B271"/>
  <c r="A271"/>
  <c r="K270"/>
  <c r="J270"/>
  <c r="I270"/>
  <c r="H270"/>
  <c r="G270"/>
  <c r="F270"/>
  <c r="E270"/>
  <c r="D270"/>
  <c r="C270"/>
  <c r="B270"/>
  <c r="A270"/>
  <c r="K269"/>
  <c r="J269"/>
  <c r="I269"/>
  <c r="H269"/>
  <c r="G269"/>
  <c r="F269"/>
  <c r="E269"/>
  <c r="D269"/>
  <c r="C269"/>
  <c r="B269"/>
  <c r="A269"/>
  <c r="K268"/>
  <c r="J268"/>
  <c r="I268"/>
  <c r="H268"/>
  <c r="G268"/>
  <c r="F268"/>
  <c r="E268"/>
  <c r="D268"/>
  <c r="C268"/>
  <c r="B268"/>
  <c r="A268"/>
  <c r="K267"/>
  <c r="J267"/>
  <c r="I267"/>
  <c r="H267"/>
  <c r="G267"/>
  <c r="F267"/>
  <c r="E267"/>
  <c r="D267"/>
  <c r="C267"/>
  <c r="B267"/>
  <c r="A267"/>
  <c r="K266"/>
  <c r="J266"/>
  <c r="I266"/>
  <c r="H266"/>
  <c r="G266"/>
  <c r="F266"/>
  <c r="E266"/>
  <c r="D266"/>
  <c r="C266"/>
  <c r="B266"/>
  <c r="A266"/>
  <c r="K265"/>
  <c r="J265"/>
  <c r="I265"/>
  <c r="H265"/>
  <c r="G265"/>
  <c r="F265"/>
  <c r="E265"/>
  <c r="D265"/>
  <c r="C265"/>
  <c r="B265"/>
  <c r="A265"/>
  <c r="K264"/>
  <c r="J264"/>
  <c r="I264"/>
  <c r="H264"/>
  <c r="G264"/>
  <c r="F264"/>
  <c r="E264"/>
  <c r="D264"/>
  <c r="C264"/>
  <c r="B264"/>
  <c r="A264"/>
  <c r="K263"/>
  <c r="J263"/>
  <c r="I263"/>
  <c r="H263"/>
  <c r="G263"/>
  <c r="F263"/>
  <c r="E263"/>
  <c r="D263"/>
  <c r="C263"/>
  <c r="B263"/>
  <c r="A263"/>
  <c r="K262"/>
  <c r="J262"/>
  <c r="I262"/>
  <c r="H262"/>
  <c r="G262"/>
  <c r="F262"/>
  <c r="E262"/>
  <c r="D262"/>
  <c r="C262"/>
  <c r="B262"/>
  <c r="A262"/>
  <c r="K261"/>
  <c r="J261"/>
  <c r="I261"/>
  <c r="H261"/>
  <c r="G261"/>
  <c r="F261"/>
  <c r="E261"/>
  <c r="D261"/>
  <c r="C261"/>
  <c r="B261"/>
  <c r="A261"/>
  <c r="K260"/>
  <c r="J260"/>
  <c r="I260"/>
  <c r="H260"/>
  <c r="G260"/>
  <c r="F260"/>
  <c r="E260"/>
  <c r="D260"/>
  <c r="C260"/>
  <c r="B260"/>
  <c r="A260"/>
  <c r="K259"/>
  <c r="J259"/>
  <c r="I259"/>
  <c r="H259"/>
  <c r="G259"/>
  <c r="F259"/>
  <c r="E259"/>
  <c r="D259"/>
  <c r="C259"/>
  <c r="B259"/>
  <c r="A259"/>
  <c r="K258"/>
  <c r="J258"/>
  <c r="I258"/>
  <c r="H258"/>
  <c r="G258"/>
  <c r="F258"/>
  <c r="E258"/>
  <c r="D258"/>
  <c r="C258"/>
  <c r="B258"/>
  <c r="A258"/>
  <c r="K257"/>
  <c r="J257"/>
  <c r="I257"/>
  <c r="H257"/>
  <c r="G257"/>
  <c r="F257"/>
  <c r="E257"/>
  <c r="D257"/>
  <c r="C257"/>
  <c r="B257"/>
  <c r="A257"/>
  <c r="K256"/>
  <c r="J256"/>
  <c r="I256"/>
  <c r="H256"/>
  <c r="G256"/>
  <c r="F256"/>
  <c r="E256"/>
  <c r="D256"/>
  <c r="C256"/>
  <c r="B256"/>
  <c r="A256"/>
  <c r="K255"/>
  <c r="J255"/>
  <c r="I255"/>
  <c r="H255"/>
  <c r="G255"/>
  <c r="F255"/>
  <c r="E255"/>
  <c r="D255"/>
  <c r="C255"/>
  <c r="B255"/>
  <c r="A255"/>
  <c r="K254"/>
  <c r="J254"/>
  <c r="I254"/>
  <c r="H254"/>
  <c r="G254"/>
  <c r="F254"/>
  <c r="E254"/>
  <c r="D254"/>
  <c r="C254"/>
  <c r="B254"/>
  <c r="A254"/>
  <c r="K253"/>
  <c r="J253"/>
  <c r="I253"/>
  <c r="H253"/>
  <c r="G253"/>
  <c r="F253"/>
  <c r="E253"/>
  <c r="D253"/>
  <c r="C253"/>
  <c r="B253"/>
  <c r="A253"/>
  <c r="K252"/>
  <c r="J252"/>
  <c r="I252"/>
  <c r="H252"/>
  <c r="G252"/>
  <c r="F252"/>
  <c r="E252"/>
  <c r="D252"/>
  <c r="C252"/>
  <c r="B252"/>
  <c r="A252"/>
  <c r="K251"/>
  <c r="J251"/>
  <c r="I251"/>
  <c r="H251"/>
  <c r="G251"/>
  <c r="F251"/>
  <c r="E251"/>
  <c r="D251"/>
  <c r="C251"/>
  <c r="B251"/>
  <c r="A251"/>
  <c r="K250"/>
  <c r="J250"/>
  <c r="I250"/>
  <c r="H250"/>
  <c r="G250"/>
  <c r="F250"/>
  <c r="E250"/>
  <c r="D250"/>
  <c r="C250"/>
  <c r="B250"/>
  <c r="A250"/>
  <c r="K249"/>
  <c r="J249"/>
  <c r="I249"/>
  <c r="H249"/>
  <c r="G249"/>
  <c r="F249"/>
  <c r="E249"/>
  <c r="D249"/>
  <c r="C249"/>
  <c r="B249"/>
  <c r="A249"/>
  <c r="K248"/>
  <c r="J248"/>
  <c r="I248"/>
  <c r="H248"/>
  <c r="G248"/>
  <c r="F248"/>
  <c r="E248"/>
  <c r="D248"/>
  <c r="C248"/>
  <c r="B248"/>
  <c r="A248"/>
  <c r="K247"/>
  <c r="J247"/>
  <c r="I247"/>
  <c r="H247"/>
  <c r="G247"/>
  <c r="F247"/>
  <c r="E247"/>
  <c r="D247"/>
  <c r="C247"/>
  <c r="B247"/>
  <c r="A247"/>
  <c r="K246"/>
  <c r="J246"/>
  <c r="I246"/>
  <c r="H246"/>
  <c r="G246"/>
  <c r="F246"/>
  <c r="E246"/>
  <c r="D246"/>
  <c r="C246"/>
  <c r="B246"/>
  <c r="A246"/>
  <c r="K245"/>
  <c r="J245"/>
  <c r="I245"/>
  <c r="H245"/>
  <c r="G245"/>
  <c r="F245"/>
  <c r="E245"/>
  <c r="D245"/>
  <c r="C245"/>
  <c r="B245"/>
  <c r="A245"/>
  <c r="K244"/>
  <c r="J244"/>
  <c r="I244"/>
  <c r="H244"/>
  <c r="G244"/>
  <c r="F244"/>
  <c r="E244"/>
  <c r="D244"/>
  <c r="C244"/>
  <c r="B244"/>
  <c r="A244"/>
  <c r="K243"/>
  <c r="J243"/>
  <c r="I243"/>
  <c r="H243"/>
  <c r="G243"/>
  <c r="F243"/>
  <c r="E243"/>
  <c r="D243"/>
  <c r="C243"/>
  <c r="B243"/>
  <c r="A243"/>
  <c r="K242"/>
  <c r="J242"/>
  <c r="I242"/>
  <c r="H242"/>
  <c r="G242"/>
  <c r="F242"/>
  <c r="E242"/>
  <c r="D242"/>
  <c r="C242"/>
  <c r="B242"/>
  <c r="A242"/>
  <c r="K241"/>
  <c r="J241"/>
  <c r="I241"/>
  <c r="H241"/>
  <c r="G241"/>
  <c r="F241"/>
  <c r="E241"/>
  <c r="D241"/>
  <c r="C241"/>
  <c r="B241"/>
  <c r="A241"/>
  <c r="K240"/>
  <c r="J240"/>
  <c r="I240"/>
  <c r="H240"/>
  <c r="G240"/>
  <c r="F240"/>
  <c r="E240"/>
  <c r="D240"/>
  <c r="C240"/>
  <c r="B240"/>
  <c r="A240"/>
  <c r="K239"/>
  <c r="J239"/>
  <c r="I239"/>
  <c r="H239"/>
  <c r="G239"/>
  <c r="F239"/>
  <c r="E239"/>
  <c r="D239"/>
  <c r="C239"/>
  <c r="B239"/>
  <c r="A239"/>
  <c r="K238"/>
  <c r="J238"/>
  <c r="I238"/>
  <c r="H238"/>
  <c r="G238"/>
  <c r="F238"/>
  <c r="E238"/>
  <c r="D238"/>
  <c r="C238"/>
  <c r="B238"/>
  <c r="A238"/>
  <c r="K237"/>
  <c r="J237"/>
  <c r="I237"/>
  <c r="H237"/>
  <c r="G237"/>
  <c r="F237"/>
  <c r="E237"/>
  <c r="D237"/>
  <c r="C237"/>
  <c r="B237"/>
  <c r="A237"/>
  <c r="K236"/>
  <c r="J236"/>
  <c r="I236"/>
  <c r="H236"/>
  <c r="G236"/>
  <c r="F236"/>
  <c r="E236"/>
  <c r="D236"/>
  <c r="C236"/>
  <c r="B236"/>
  <c r="A236"/>
  <c r="K235"/>
  <c r="J235"/>
  <c r="I235"/>
  <c r="H235"/>
  <c r="G235"/>
  <c r="F235"/>
  <c r="E235"/>
  <c r="D235"/>
  <c r="C235"/>
  <c r="B235"/>
  <c r="A235"/>
  <c r="K234"/>
  <c r="J234"/>
  <c r="I234"/>
  <c r="H234"/>
  <c r="G234"/>
  <c r="F234"/>
  <c r="E234"/>
  <c r="D234"/>
  <c r="C234"/>
  <c r="B234"/>
  <c r="A234"/>
  <c r="K233"/>
  <c r="J233"/>
  <c r="I233"/>
  <c r="H233"/>
  <c r="G233"/>
  <c r="F233"/>
  <c r="E233"/>
  <c r="D233"/>
  <c r="C233"/>
  <c r="B233"/>
  <c r="A233"/>
  <c r="K232"/>
  <c r="J232"/>
  <c r="I232"/>
  <c r="H232"/>
  <c r="G232"/>
  <c r="F232"/>
  <c r="E232"/>
  <c r="D232"/>
  <c r="C232"/>
  <c r="B232"/>
  <c r="A232"/>
  <c r="K231"/>
  <c r="J231"/>
  <c r="I231"/>
  <c r="H231"/>
  <c r="G231"/>
  <c r="F231"/>
  <c r="E231"/>
  <c r="D231"/>
  <c r="C231"/>
  <c r="B231"/>
  <c r="A231"/>
  <c r="K230"/>
  <c r="J230"/>
  <c r="I230"/>
  <c r="H230"/>
  <c r="G230"/>
  <c r="F230"/>
  <c r="E230"/>
  <c r="D230"/>
  <c r="C230"/>
  <c r="B230"/>
  <c r="A230"/>
  <c r="K229"/>
  <c r="J229"/>
  <c r="I229"/>
  <c r="H229"/>
  <c r="G229"/>
  <c r="F229"/>
  <c r="E229"/>
  <c r="D229"/>
  <c r="C229"/>
  <c r="B229"/>
  <c r="A229"/>
  <c r="K228"/>
  <c r="J228"/>
  <c r="I228"/>
  <c r="H228"/>
  <c r="G228"/>
  <c r="F228"/>
  <c r="E228"/>
  <c r="D228"/>
  <c r="C228"/>
  <c r="B228"/>
  <c r="A228"/>
  <c r="K227"/>
  <c r="J227"/>
  <c r="I227"/>
  <c r="H227"/>
  <c r="G227"/>
  <c r="F227"/>
  <c r="E227"/>
  <c r="D227"/>
  <c r="C227"/>
  <c r="B227"/>
  <c r="A227"/>
  <c r="K226"/>
  <c r="J226"/>
  <c r="I226"/>
  <c r="H226"/>
  <c r="G226"/>
  <c r="F226"/>
  <c r="E226"/>
  <c r="D226"/>
  <c r="C226"/>
  <c r="B226"/>
  <c r="A226"/>
  <c r="K225"/>
  <c r="J225"/>
  <c r="I225"/>
  <c r="H225"/>
  <c r="G225"/>
  <c r="F225"/>
  <c r="E225"/>
  <c r="D225"/>
  <c r="C225"/>
  <c r="B225"/>
  <c r="A225"/>
  <c r="K224"/>
  <c r="J224"/>
  <c r="I224"/>
  <c r="H224"/>
  <c r="G224"/>
  <c r="F224"/>
  <c r="E224"/>
  <c r="D224"/>
  <c r="C224"/>
  <c r="B224"/>
  <c r="A224"/>
  <c r="K223"/>
  <c r="J223"/>
  <c r="I223"/>
  <c r="H223"/>
  <c r="G223"/>
  <c r="F223"/>
  <c r="E223"/>
  <c r="D223"/>
  <c r="C223"/>
  <c r="B223"/>
  <c r="A223"/>
  <c r="K222"/>
  <c r="J222"/>
  <c r="I222"/>
  <c r="H222"/>
  <c r="G222"/>
  <c r="F222"/>
  <c r="E222"/>
  <c r="D222"/>
  <c r="C222"/>
  <c r="B222"/>
  <c r="A222"/>
  <c r="K221"/>
  <c r="J221"/>
  <c r="I221"/>
  <c r="H221"/>
  <c r="G221"/>
  <c r="F221"/>
  <c r="E221"/>
  <c r="D221"/>
  <c r="C221"/>
  <c r="B221"/>
  <c r="A221"/>
  <c r="K220"/>
  <c r="J220"/>
  <c r="I220"/>
  <c r="H220"/>
  <c r="G220"/>
  <c r="F220"/>
  <c r="E220"/>
  <c r="D220"/>
  <c r="C220"/>
  <c r="B220"/>
  <c r="A220"/>
  <c r="K219"/>
  <c r="J219"/>
  <c r="I219"/>
  <c r="H219"/>
  <c r="G219"/>
  <c r="F219"/>
  <c r="E219"/>
  <c r="D219"/>
  <c r="C219"/>
  <c r="B219"/>
  <c r="A219"/>
  <c r="K218"/>
  <c r="J218"/>
  <c r="I218"/>
  <c r="H218"/>
  <c r="G218"/>
  <c r="F218"/>
  <c r="E218"/>
  <c r="D218"/>
  <c r="C218"/>
  <c r="B218"/>
  <c r="A218"/>
  <c r="K217"/>
  <c r="J217"/>
  <c r="I217"/>
  <c r="H217"/>
  <c r="G217"/>
  <c r="F217"/>
  <c r="E217"/>
  <c r="D217"/>
  <c r="C217"/>
  <c r="B217"/>
  <c r="A217"/>
  <c r="K216"/>
  <c r="J216"/>
  <c r="I216"/>
  <c r="H216"/>
  <c r="G216"/>
  <c r="F216"/>
  <c r="E216"/>
  <c r="D216"/>
  <c r="C216"/>
  <c r="B216"/>
  <c r="A216"/>
  <c r="K215"/>
  <c r="J215"/>
  <c r="I215"/>
  <c r="H215"/>
  <c r="G215"/>
  <c r="F215"/>
  <c r="E215"/>
  <c r="D215"/>
  <c r="C215"/>
  <c r="B215"/>
  <c r="A215"/>
  <c r="K214"/>
  <c r="J214"/>
  <c r="I214"/>
  <c r="H214"/>
  <c r="G214"/>
  <c r="F214"/>
  <c r="E214"/>
  <c r="D214"/>
  <c r="C214"/>
  <c r="B214"/>
  <c r="A214"/>
  <c r="K213"/>
  <c r="J213"/>
  <c r="I213"/>
  <c r="H213"/>
  <c r="G213"/>
  <c r="F213"/>
  <c r="E213"/>
  <c r="D213"/>
  <c r="C213"/>
  <c r="B213"/>
  <c r="A213"/>
  <c r="K212"/>
  <c r="J212"/>
  <c r="I212"/>
  <c r="H212"/>
  <c r="G212"/>
  <c r="F212"/>
  <c r="E212"/>
  <c r="D212"/>
  <c r="C212"/>
  <c r="B212"/>
  <c r="A212"/>
  <c r="K211"/>
  <c r="J211"/>
  <c r="I211"/>
  <c r="H211"/>
  <c r="G211"/>
  <c r="F211"/>
  <c r="E211"/>
  <c r="D211"/>
  <c r="C211"/>
  <c r="B211"/>
  <c r="A211"/>
  <c r="K210"/>
  <c r="J210"/>
  <c r="I210"/>
  <c r="H210"/>
  <c r="G210"/>
  <c r="F210"/>
  <c r="E210"/>
  <c r="D210"/>
  <c r="C210"/>
  <c r="B210"/>
  <c r="A210"/>
  <c r="K209"/>
  <c r="J209"/>
  <c r="I209"/>
  <c r="H209"/>
  <c r="G209"/>
  <c r="F209"/>
  <c r="E209"/>
  <c r="D209"/>
  <c r="C209"/>
  <c r="B209"/>
  <c r="A209"/>
  <c r="K208"/>
  <c r="J208"/>
  <c r="I208"/>
  <c r="H208"/>
  <c r="G208"/>
  <c r="F208"/>
  <c r="E208"/>
  <c r="D208"/>
  <c r="C208"/>
  <c r="B208"/>
  <c r="A208"/>
  <c r="K207"/>
  <c r="J207"/>
  <c r="I207"/>
  <c r="H207"/>
  <c r="G207"/>
  <c r="F207"/>
  <c r="E207"/>
  <c r="D207"/>
  <c r="C207"/>
  <c r="B207"/>
  <c r="A207"/>
  <c r="K206"/>
  <c r="J206"/>
  <c r="I206"/>
  <c r="H206"/>
  <c r="G206"/>
  <c r="F206"/>
  <c r="E206"/>
  <c r="D206"/>
  <c r="C206"/>
  <c r="B206"/>
  <c r="A206"/>
  <c r="K205"/>
  <c r="J205"/>
  <c r="I205"/>
  <c r="H205"/>
  <c r="G205"/>
  <c r="F205"/>
  <c r="E205"/>
  <c r="D205"/>
  <c r="C205"/>
  <c r="B205"/>
  <c r="A205"/>
  <c r="K204"/>
  <c r="J204"/>
  <c r="I204"/>
  <c r="H204"/>
  <c r="G204"/>
  <c r="F204"/>
  <c r="E204"/>
  <c r="D204"/>
  <c r="C204"/>
  <c r="B204"/>
  <c r="A204"/>
  <c r="K203"/>
  <c r="J203"/>
  <c r="I203"/>
  <c r="H203"/>
  <c r="G203"/>
  <c r="F203"/>
  <c r="E203"/>
  <c r="D203"/>
  <c r="C203"/>
  <c r="B203"/>
  <c r="A203"/>
  <c r="K202"/>
  <c r="J202"/>
  <c r="I202"/>
  <c r="H202"/>
  <c r="G202"/>
  <c r="F202"/>
  <c r="E202"/>
  <c r="D202"/>
  <c r="C202"/>
  <c r="B202"/>
  <c r="A202"/>
  <c r="K201"/>
  <c r="J201"/>
  <c r="I201"/>
  <c r="H201"/>
  <c r="G201"/>
  <c r="F201"/>
  <c r="E201"/>
  <c r="D201"/>
  <c r="C201"/>
  <c r="B201"/>
  <c r="A201"/>
  <c r="K200"/>
  <c r="J200"/>
  <c r="I200"/>
  <c r="H200"/>
  <c r="G200"/>
  <c r="F200"/>
  <c r="E200"/>
  <c r="D200"/>
  <c r="C200"/>
  <c r="B200"/>
  <c r="A200"/>
  <c r="K199"/>
  <c r="J199"/>
  <c r="I199"/>
  <c r="H199"/>
  <c r="G199"/>
  <c r="F199"/>
  <c r="E199"/>
  <c r="D199"/>
  <c r="C199"/>
  <c r="B199"/>
  <c r="A199"/>
  <c r="K198"/>
  <c r="J198"/>
  <c r="I198"/>
  <c r="H198"/>
  <c r="G198"/>
  <c r="F198"/>
  <c r="E198"/>
  <c r="D198"/>
  <c r="C198"/>
  <c r="B198"/>
  <c r="A198"/>
  <c r="K197"/>
  <c r="J197"/>
  <c r="I197"/>
  <c r="H197"/>
  <c r="G197"/>
  <c r="F197"/>
  <c r="E197"/>
  <c r="D197"/>
  <c r="C197"/>
  <c r="B197"/>
  <c r="A197"/>
  <c r="K196"/>
  <c r="J196"/>
  <c r="I196"/>
  <c r="H196"/>
  <c r="G196"/>
  <c r="F196"/>
  <c r="E196"/>
  <c r="D196"/>
  <c r="C196"/>
  <c r="B196"/>
  <c r="A196"/>
  <c r="K195"/>
  <c r="J195"/>
  <c r="I195"/>
  <c r="H195"/>
  <c r="G195"/>
  <c r="F195"/>
  <c r="E195"/>
  <c r="D195"/>
  <c r="C195"/>
  <c r="B195"/>
  <c r="A195"/>
  <c r="K194"/>
  <c r="J194"/>
  <c r="I194"/>
  <c r="H194"/>
  <c r="G194"/>
  <c r="F194"/>
  <c r="E194"/>
  <c r="D194"/>
  <c r="C194"/>
  <c r="B194"/>
  <c r="A194"/>
  <c r="K193"/>
  <c r="J193"/>
  <c r="I193"/>
  <c r="H193"/>
  <c r="G193"/>
  <c r="F193"/>
  <c r="E193"/>
  <c r="D193"/>
  <c r="C193"/>
  <c r="B193"/>
  <c r="A193"/>
  <c r="K192"/>
  <c r="J192"/>
  <c r="I192"/>
  <c r="H192"/>
  <c r="G192"/>
  <c r="F192"/>
  <c r="E192"/>
  <c r="D192"/>
  <c r="C192"/>
  <c r="B192"/>
  <c r="A192"/>
  <c r="K191"/>
  <c r="J191"/>
  <c r="I191"/>
  <c r="H191"/>
  <c r="G191"/>
  <c r="F191"/>
  <c r="E191"/>
  <c r="D191"/>
  <c r="C191"/>
  <c r="B191"/>
  <c r="A191"/>
  <c r="K190"/>
  <c r="J190"/>
  <c r="I190"/>
  <c r="H190"/>
  <c r="G190"/>
  <c r="F190"/>
  <c r="E190"/>
  <c r="D190"/>
  <c r="C190"/>
  <c r="B190"/>
  <c r="A190"/>
  <c r="K189"/>
  <c r="J189"/>
  <c r="I189"/>
  <c r="H189"/>
  <c r="G189"/>
  <c r="F189"/>
  <c r="E189"/>
  <c r="D189"/>
  <c r="C189"/>
  <c r="B189"/>
  <c r="A189"/>
  <c r="K188"/>
  <c r="J188"/>
  <c r="I188"/>
  <c r="H188"/>
  <c r="G188"/>
  <c r="F188"/>
  <c r="E188"/>
  <c r="D188"/>
  <c r="C188"/>
  <c r="B188"/>
  <c r="A188"/>
  <c r="K187"/>
  <c r="J187"/>
  <c r="I187"/>
  <c r="H187"/>
  <c r="G187"/>
  <c r="F187"/>
  <c r="E187"/>
  <c r="D187"/>
  <c r="C187"/>
  <c r="B187"/>
  <c r="A187"/>
  <c r="K186"/>
  <c r="J186"/>
  <c r="I186"/>
  <c r="H186"/>
  <c r="G186"/>
  <c r="F186"/>
  <c r="E186"/>
  <c r="D186"/>
  <c r="C186"/>
  <c r="B186"/>
  <c r="A186"/>
  <c r="K185"/>
  <c r="J185"/>
  <c r="I185"/>
  <c r="H185"/>
  <c r="G185"/>
  <c r="F185"/>
  <c r="E185"/>
  <c r="D185"/>
  <c r="C185"/>
  <c r="B185"/>
  <c r="A185"/>
  <c r="K184"/>
  <c r="J184"/>
  <c r="I184"/>
  <c r="H184"/>
  <c r="G184"/>
  <c r="F184"/>
  <c r="E184"/>
  <c r="D184"/>
  <c r="C184"/>
  <c r="B184"/>
  <c r="A184"/>
  <c r="K183"/>
  <c r="J183"/>
  <c r="I183"/>
  <c r="H183"/>
  <c r="G183"/>
  <c r="F183"/>
  <c r="E183"/>
  <c r="D183"/>
  <c r="C183"/>
  <c r="B183"/>
  <c r="A183"/>
  <c r="K182"/>
  <c r="J182"/>
  <c r="I182"/>
  <c r="H182"/>
  <c r="G182"/>
  <c r="F182"/>
  <c r="E182"/>
  <c r="D182"/>
  <c r="C182"/>
  <c r="B182"/>
  <c r="A182"/>
  <c r="K181"/>
  <c r="J181"/>
  <c r="I181"/>
  <c r="H181"/>
  <c r="G181"/>
  <c r="F181"/>
  <c r="E181"/>
  <c r="D181"/>
  <c r="C181"/>
  <c r="B181"/>
  <c r="A181"/>
  <c r="K180"/>
  <c r="J180"/>
  <c r="I180"/>
  <c r="H180"/>
  <c r="G180"/>
  <c r="F180"/>
  <c r="E180"/>
  <c r="D180"/>
  <c r="C180"/>
  <c r="B180"/>
  <c r="A180"/>
  <c r="K179"/>
  <c r="J179"/>
  <c r="I179"/>
  <c r="H179"/>
  <c r="G179"/>
  <c r="F179"/>
  <c r="E179"/>
  <c r="D179"/>
  <c r="C179"/>
  <c r="B179"/>
  <c r="A179"/>
  <c r="K178"/>
  <c r="J178"/>
  <c r="I178"/>
  <c r="H178"/>
  <c r="G178"/>
  <c r="F178"/>
  <c r="E178"/>
  <c r="D178"/>
  <c r="C178"/>
  <c r="B178"/>
  <c r="A178"/>
  <c r="K177"/>
  <c r="J177"/>
  <c r="I177"/>
  <c r="H177"/>
  <c r="G177"/>
  <c r="F177"/>
  <c r="E177"/>
  <c r="D177"/>
  <c r="C177"/>
  <c r="B177"/>
  <c r="A177"/>
  <c r="K176"/>
  <c r="J176"/>
  <c r="I176"/>
  <c r="H176"/>
  <c r="G176"/>
  <c r="F176"/>
  <c r="E176"/>
  <c r="D176"/>
  <c r="C176"/>
  <c r="B176"/>
  <c r="A176"/>
  <c r="K175"/>
  <c r="J175"/>
  <c r="I175"/>
  <c r="H175"/>
  <c r="G175"/>
  <c r="F175"/>
  <c r="E175"/>
  <c r="D175"/>
  <c r="C175"/>
  <c r="B175"/>
  <c r="A175"/>
  <c r="K174"/>
  <c r="J174"/>
  <c r="I174"/>
  <c r="H174"/>
  <c r="G174"/>
  <c r="F174"/>
  <c r="E174"/>
  <c r="D174"/>
  <c r="C174"/>
  <c r="B174"/>
  <c r="A174"/>
  <c r="K173"/>
  <c r="J173"/>
  <c r="I173"/>
  <c r="H173"/>
  <c r="G173"/>
  <c r="F173"/>
  <c r="E173"/>
  <c r="D173"/>
  <c r="C173"/>
  <c r="B173"/>
  <c r="A173"/>
  <c r="K172"/>
  <c r="J172"/>
  <c r="I172"/>
  <c r="H172"/>
  <c r="G172"/>
  <c r="F172"/>
  <c r="E172"/>
  <c r="D172"/>
  <c r="C172"/>
  <c r="B172"/>
  <c r="A172"/>
  <c r="K171"/>
  <c r="J171"/>
  <c r="I171"/>
  <c r="H171"/>
  <c r="G171"/>
  <c r="F171"/>
  <c r="E171"/>
  <c r="D171"/>
  <c r="C171"/>
  <c r="B171"/>
  <c r="A171"/>
  <c r="K170"/>
  <c r="J170"/>
  <c r="I170"/>
  <c r="H170"/>
  <c r="G170"/>
  <c r="F170"/>
  <c r="E170"/>
  <c r="D170"/>
  <c r="C170"/>
  <c r="B170"/>
  <c r="A170"/>
  <c r="K169"/>
  <c r="J169"/>
  <c r="I169"/>
  <c r="H169"/>
  <c r="G169"/>
  <c r="F169"/>
  <c r="E169"/>
  <c r="D169"/>
  <c r="C169"/>
  <c r="B169"/>
  <c r="A169"/>
  <c r="K168"/>
  <c r="J168"/>
  <c r="I168"/>
  <c r="H168"/>
  <c r="G168"/>
  <c r="F168"/>
  <c r="E168"/>
  <c r="D168"/>
  <c r="C168"/>
  <c r="B168"/>
  <c r="A168"/>
  <c r="K167"/>
  <c r="J167"/>
  <c r="I167"/>
  <c r="H167"/>
  <c r="G167"/>
  <c r="F167"/>
  <c r="E167"/>
  <c r="D167"/>
  <c r="C167"/>
  <c r="B167"/>
  <c r="A167"/>
  <c r="K166"/>
  <c r="J166"/>
  <c r="I166"/>
  <c r="H166"/>
  <c r="G166"/>
  <c r="F166"/>
  <c r="E166"/>
  <c r="D166"/>
  <c r="C166"/>
  <c r="B166"/>
  <c r="A166"/>
  <c r="K165"/>
  <c r="J165"/>
  <c r="I165"/>
  <c r="H165"/>
  <c r="G165"/>
  <c r="F165"/>
  <c r="E165"/>
  <c r="D165"/>
  <c r="C165"/>
  <c r="B165"/>
  <c r="A165"/>
  <c r="K164"/>
  <c r="J164"/>
  <c r="I164"/>
  <c r="H164"/>
  <c r="G164"/>
  <c r="F164"/>
  <c r="E164"/>
  <c r="D164"/>
  <c r="C164"/>
  <c r="B164"/>
  <c r="A164"/>
  <c r="K163"/>
  <c r="J163"/>
  <c r="I163"/>
  <c r="H163"/>
  <c r="G163"/>
  <c r="F163"/>
  <c r="E163"/>
  <c r="D163"/>
  <c r="C163"/>
  <c r="B163"/>
  <c r="A163"/>
  <c r="K162"/>
  <c r="J162"/>
  <c r="I162"/>
  <c r="H162"/>
  <c r="G162"/>
  <c r="F162"/>
  <c r="E162"/>
  <c r="D162"/>
  <c r="C162"/>
  <c r="B162"/>
  <c r="A162"/>
  <c r="K161"/>
  <c r="J161"/>
  <c r="I161"/>
  <c r="H161"/>
  <c r="G161"/>
  <c r="F161"/>
  <c r="E161"/>
  <c r="D161"/>
  <c r="C161"/>
  <c r="B161"/>
  <c r="A161"/>
  <c r="K160"/>
  <c r="J160"/>
  <c r="I160"/>
  <c r="H160"/>
  <c r="G160"/>
  <c r="F160"/>
  <c r="E160"/>
  <c r="D160"/>
  <c r="C160"/>
  <c r="B160"/>
  <c r="A160"/>
  <c r="K159"/>
  <c r="J159"/>
  <c r="I159"/>
  <c r="H159"/>
  <c r="G159"/>
  <c r="F159"/>
  <c r="E159"/>
  <c r="D159"/>
  <c r="C159"/>
  <c r="B159"/>
  <c r="A159"/>
  <c r="K158"/>
  <c r="J158"/>
  <c r="I158"/>
  <c r="H158"/>
  <c r="G158"/>
  <c r="F158"/>
  <c r="E158"/>
  <c r="D158"/>
  <c r="C158"/>
  <c r="B158"/>
  <c r="A158"/>
  <c r="K157"/>
  <c r="J157"/>
  <c r="I157"/>
  <c r="H157"/>
  <c r="G157"/>
  <c r="F157"/>
  <c r="E157"/>
  <c r="D157"/>
  <c r="C157"/>
  <c r="B157"/>
  <c r="A157"/>
  <c r="K156"/>
  <c r="J156"/>
  <c r="I156"/>
  <c r="H156"/>
  <c r="G156"/>
  <c r="F156"/>
  <c r="E156"/>
  <c r="D156"/>
  <c r="C156"/>
  <c r="B156"/>
  <c r="A156"/>
  <c r="K155"/>
  <c r="J155"/>
  <c r="I155"/>
  <c r="H155"/>
  <c r="G155"/>
  <c r="F155"/>
  <c r="E155"/>
  <c r="D155"/>
  <c r="C155"/>
  <c r="B155"/>
  <c r="A155"/>
  <c r="K154"/>
  <c r="J154"/>
  <c r="I154"/>
  <c r="H154"/>
  <c r="G154"/>
  <c r="F154"/>
  <c r="E154"/>
  <c r="D154"/>
  <c r="C154"/>
  <c r="B154"/>
  <c r="A154"/>
  <c r="K153"/>
  <c r="J153"/>
  <c r="I153"/>
  <c r="H153"/>
  <c r="G153"/>
  <c r="F153"/>
  <c r="E153"/>
  <c r="D153"/>
  <c r="C153"/>
  <c r="B153"/>
  <c r="A153"/>
  <c r="K152"/>
  <c r="J152"/>
  <c r="I152"/>
  <c r="H152"/>
  <c r="G152"/>
  <c r="F152"/>
  <c r="E152"/>
  <c r="D152"/>
  <c r="C152"/>
  <c r="B152"/>
  <c r="A152"/>
  <c r="K151"/>
  <c r="J151"/>
  <c r="I151"/>
  <c r="H151"/>
  <c r="G151"/>
  <c r="F151"/>
  <c r="E151"/>
  <c r="D151"/>
  <c r="C151"/>
  <c r="B151"/>
  <c r="A151"/>
  <c r="K150"/>
  <c r="J150"/>
  <c r="I150"/>
  <c r="H150"/>
  <c r="G150"/>
  <c r="F150"/>
  <c r="E150"/>
  <c r="D150"/>
  <c r="C150"/>
  <c r="B150"/>
  <c r="A150"/>
  <c r="K149"/>
  <c r="J149"/>
  <c r="I149"/>
  <c r="H149"/>
  <c r="G149"/>
  <c r="F149"/>
  <c r="E149"/>
  <c r="D149"/>
  <c r="C149"/>
  <c r="B149"/>
  <c r="A149"/>
  <c r="K148"/>
  <c r="J148"/>
  <c r="I148"/>
  <c r="H148"/>
  <c r="G148"/>
  <c r="F148"/>
  <c r="E148"/>
  <c r="D148"/>
  <c r="C148"/>
  <c r="B148"/>
  <c r="A148"/>
  <c r="K147"/>
  <c r="J147"/>
  <c r="I147"/>
  <c r="H147"/>
  <c r="G147"/>
  <c r="F147"/>
  <c r="E147"/>
  <c r="D147"/>
  <c r="C147"/>
  <c r="B147"/>
  <c r="A147"/>
  <c r="K146"/>
  <c r="J146"/>
  <c r="I146"/>
  <c r="H146"/>
  <c r="G146"/>
  <c r="F146"/>
  <c r="E146"/>
  <c r="D146"/>
  <c r="C146"/>
  <c r="B146"/>
  <c r="A146"/>
  <c r="K145"/>
  <c r="J145"/>
  <c r="I145"/>
  <c r="H145"/>
  <c r="G145"/>
  <c r="F145"/>
  <c r="E145"/>
  <c r="D145"/>
  <c r="C145"/>
  <c r="B145"/>
  <c r="A145"/>
  <c r="K144"/>
  <c r="J144"/>
  <c r="I144"/>
  <c r="H144"/>
  <c r="G144"/>
  <c r="F144"/>
  <c r="E144"/>
  <c r="D144"/>
  <c r="C144"/>
  <c r="B144"/>
  <c r="A144"/>
  <c r="K143"/>
  <c r="J143"/>
  <c r="I143"/>
  <c r="H143"/>
  <c r="G143"/>
  <c r="F143"/>
  <c r="E143"/>
  <c r="D143"/>
  <c r="C143"/>
  <c r="B143"/>
  <c r="A143"/>
  <c r="K142"/>
  <c r="J142"/>
  <c r="I142"/>
  <c r="H142"/>
  <c r="G142"/>
  <c r="F142"/>
  <c r="E142"/>
  <c r="D142"/>
  <c r="C142"/>
  <c r="B142"/>
  <c r="A142"/>
  <c r="K141"/>
  <c r="J141"/>
  <c r="I141"/>
  <c r="H141"/>
  <c r="G141"/>
  <c r="F141"/>
  <c r="E141"/>
  <c r="D141"/>
  <c r="C141"/>
  <c r="B141"/>
  <c r="A141"/>
  <c r="K140"/>
  <c r="J140"/>
  <c r="I140"/>
  <c r="H140"/>
  <c r="G140"/>
  <c r="F140"/>
  <c r="E140"/>
  <c r="D140"/>
  <c r="C140"/>
  <c r="B140"/>
  <c r="A140"/>
  <c r="K139"/>
  <c r="J139"/>
  <c r="I139"/>
  <c r="H139"/>
  <c r="G139"/>
  <c r="F139"/>
  <c r="E139"/>
  <c r="D139"/>
  <c r="C139"/>
  <c r="B139"/>
  <c r="A139"/>
  <c r="K138"/>
  <c r="J138"/>
  <c r="I138"/>
  <c r="H138"/>
  <c r="G138"/>
  <c r="F138"/>
  <c r="E138"/>
  <c r="D138"/>
  <c r="C138"/>
  <c r="B138"/>
  <c r="A138"/>
  <c r="K137"/>
  <c r="J137"/>
  <c r="I137"/>
  <c r="H137"/>
  <c r="G137"/>
  <c r="F137"/>
  <c r="E137"/>
  <c r="D137"/>
  <c r="C137"/>
  <c r="B137"/>
  <c r="A137"/>
  <c r="K136"/>
  <c r="J136"/>
  <c r="I136"/>
  <c r="H136"/>
  <c r="G136"/>
  <c r="F136"/>
  <c r="E136"/>
  <c r="D136"/>
  <c r="C136"/>
  <c r="B136"/>
  <c r="A136"/>
  <c r="K135"/>
  <c r="J135"/>
  <c r="I135"/>
  <c r="H135"/>
  <c r="G135"/>
  <c r="F135"/>
  <c r="E135"/>
  <c r="D135"/>
  <c r="C135"/>
  <c r="B135"/>
  <c r="A135"/>
  <c r="K134"/>
  <c r="J134"/>
  <c r="I134"/>
  <c r="H134"/>
  <c r="G134"/>
  <c r="F134"/>
  <c r="E134"/>
  <c r="D134"/>
  <c r="C134"/>
  <c r="B134"/>
  <c r="A134"/>
  <c r="K133"/>
  <c r="J133"/>
  <c r="I133"/>
  <c r="H133"/>
  <c r="G133"/>
  <c r="F133"/>
  <c r="E133"/>
  <c r="D133"/>
  <c r="C133"/>
  <c r="B133"/>
  <c r="A133"/>
  <c r="K132"/>
  <c r="J132"/>
  <c r="I132"/>
  <c r="H132"/>
  <c r="G132"/>
  <c r="F132"/>
  <c r="E132"/>
  <c r="D132"/>
  <c r="C132"/>
  <c r="B132"/>
  <c r="A132"/>
  <c r="K131"/>
  <c r="J131"/>
  <c r="I131"/>
  <c r="H131"/>
  <c r="G131"/>
  <c r="F131"/>
  <c r="E131"/>
  <c r="D131"/>
  <c r="C131"/>
  <c r="B131"/>
  <c r="A131"/>
  <c r="K130"/>
  <c r="J130"/>
  <c r="I130"/>
  <c r="H130"/>
  <c r="G130"/>
  <c r="F130"/>
  <c r="E130"/>
  <c r="D130"/>
  <c r="C130"/>
  <c r="B130"/>
  <c r="A130"/>
  <c r="K129"/>
  <c r="J129"/>
  <c r="I129"/>
  <c r="H129"/>
  <c r="G129"/>
  <c r="F129"/>
  <c r="E129"/>
  <c r="D129"/>
  <c r="C129"/>
  <c r="B129"/>
  <c r="A129"/>
  <c r="K128"/>
  <c r="J128"/>
  <c r="I128"/>
  <c r="H128"/>
  <c r="G128"/>
  <c r="F128"/>
  <c r="E128"/>
  <c r="D128"/>
  <c r="C128"/>
  <c r="B128"/>
  <c r="A128"/>
  <c r="K127"/>
  <c r="J127"/>
  <c r="I127"/>
  <c r="H127"/>
  <c r="G127"/>
  <c r="F127"/>
  <c r="E127"/>
  <c r="D127"/>
  <c r="C127"/>
  <c r="B127"/>
  <c r="A127"/>
  <c r="K126"/>
  <c r="J126"/>
  <c r="I126"/>
  <c r="H126"/>
  <c r="G126"/>
  <c r="F126"/>
  <c r="E126"/>
  <c r="D126"/>
  <c r="C126"/>
  <c r="B126"/>
  <c r="A126"/>
  <c r="K125"/>
  <c r="J125"/>
  <c r="I125"/>
  <c r="H125"/>
  <c r="G125"/>
  <c r="F125"/>
  <c r="E125"/>
  <c r="D125"/>
  <c r="C125"/>
  <c r="B125"/>
  <c r="A125"/>
  <c r="K124"/>
  <c r="J124"/>
  <c r="I124"/>
  <c r="H124"/>
  <c r="G124"/>
  <c r="F124"/>
  <c r="E124"/>
  <c r="D124"/>
  <c r="C124"/>
  <c r="B124"/>
  <c r="A124"/>
  <c r="K123"/>
  <c r="J123"/>
  <c r="I123"/>
  <c r="H123"/>
  <c r="G123"/>
  <c r="F123"/>
  <c r="E123"/>
  <c r="D123"/>
  <c r="C123"/>
  <c r="B123"/>
  <c r="A123"/>
  <c r="K122"/>
  <c r="J122"/>
  <c r="I122"/>
  <c r="H122"/>
  <c r="G122"/>
  <c r="F122"/>
  <c r="E122"/>
  <c r="D122"/>
  <c r="C122"/>
  <c r="B122"/>
  <c r="A122"/>
  <c r="K121"/>
  <c r="J121"/>
  <c r="I121"/>
  <c r="H121"/>
  <c r="G121"/>
  <c r="F121"/>
  <c r="E121"/>
  <c r="D121"/>
  <c r="C121"/>
  <c r="B121"/>
  <c r="A121"/>
  <c r="K120"/>
  <c r="J120"/>
  <c r="I120"/>
  <c r="H120"/>
  <c r="G120"/>
  <c r="F120"/>
  <c r="E120"/>
  <c r="D120"/>
  <c r="C120"/>
  <c r="B120"/>
  <c r="A120"/>
  <c r="K119"/>
  <c r="J119"/>
  <c r="I119"/>
  <c r="H119"/>
  <c r="G119"/>
  <c r="F119"/>
  <c r="E119"/>
  <c r="D119"/>
  <c r="C119"/>
  <c r="B119"/>
  <c r="A119"/>
  <c r="K118"/>
  <c r="J118"/>
  <c r="I118"/>
  <c r="H118"/>
  <c r="G118"/>
  <c r="F118"/>
  <c r="E118"/>
  <c r="D118"/>
  <c r="C118"/>
  <c r="B118"/>
  <c r="A118"/>
  <c r="K117"/>
  <c r="J117"/>
  <c r="I117"/>
  <c r="H117"/>
  <c r="G117"/>
  <c r="F117"/>
  <c r="E117"/>
  <c r="D117"/>
  <c r="C117"/>
  <c r="B117"/>
  <c r="A117"/>
  <c r="K116"/>
  <c r="J116"/>
  <c r="I116"/>
  <c r="H116"/>
  <c r="G116"/>
  <c r="F116"/>
  <c r="E116"/>
  <c r="D116"/>
  <c r="C116"/>
  <c r="B116"/>
  <c r="A116"/>
  <c r="K115"/>
  <c r="J115"/>
  <c r="I115"/>
  <c r="H115"/>
  <c r="G115"/>
  <c r="F115"/>
  <c r="E115"/>
  <c r="D115"/>
  <c r="C115"/>
  <c r="B115"/>
  <c r="A115"/>
  <c r="K114"/>
  <c r="J114"/>
  <c r="I114"/>
  <c r="H114"/>
  <c r="G114"/>
  <c r="F114"/>
  <c r="E114"/>
  <c r="D114"/>
  <c r="C114"/>
  <c r="B114"/>
  <c r="A114"/>
  <c r="K113"/>
  <c r="J113"/>
  <c r="I113"/>
  <c r="H113"/>
  <c r="G113"/>
  <c r="F113"/>
  <c r="E113"/>
  <c r="D113"/>
  <c r="C113"/>
  <c r="B113"/>
  <c r="A113"/>
  <c r="K112"/>
  <c r="J112"/>
  <c r="I112"/>
  <c r="H112"/>
  <c r="G112"/>
  <c r="F112"/>
  <c r="E112"/>
  <c r="D112"/>
  <c r="C112"/>
  <c r="B112"/>
  <c r="A112"/>
  <c r="K111"/>
  <c r="J111"/>
  <c r="I111"/>
  <c r="H111"/>
  <c r="G111"/>
  <c r="F111"/>
  <c r="E111"/>
  <c r="D111"/>
  <c r="C111"/>
  <c r="B111"/>
  <c r="A111"/>
  <c r="K110"/>
  <c r="J110"/>
  <c r="I110"/>
  <c r="H110"/>
  <c r="G110"/>
  <c r="F110"/>
  <c r="E110"/>
  <c r="D110"/>
  <c r="C110"/>
  <c r="B110"/>
  <c r="A110"/>
  <c r="K109"/>
  <c r="J109"/>
  <c r="I109"/>
  <c r="H109"/>
  <c r="G109"/>
  <c r="F109"/>
  <c r="E109"/>
  <c r="D109"/>
  <c r="C109"/>
  <c r="B109"/>
  <c r="A109"/>
  <c r="K108"/>
  <c r="J108"/>
  <c r="I108"/>
  <c r="H108"/>
  <c r="G108"/>
  <c r="F108"/>
  <c r="E108"/>
  <c r="D108"/>
  <c r="C108"/>
  <c r="B108"/>
  <c r="A108"/>
  <c r="K107"/>
  <c r="J107"/>
  <c r="I107"/>
  <c r="H107"/>
  <c r="G107"/>
  <c r="F107"/>
  <c r="E107"/>
  <c r="D107"/>
  <c r="C107"/>
  <c r="B107"/>
  <c r="A107"/>
  <c r="K106"/>
  <c r="J106"/>
  <c r="I106"/>
  <c r="H106"/>
  <c r="G106"/>
  <c r="F106"/>
  <c r="E106"/>
  <c r="D106"/>
  <c r="C106"/>
  <c r="B106"/>
  <c r="A106"/>
  <c r="K105"/>
  <c r="J105"/>
  <c r="I105"/>
  <c r="H105"/>
  <c r="G105"/>
  <c r="F105"/>
  <c r="E105"/>
  <c r="D105"/>
  <c r="C105"/>
  <c r="B105"/>
  <c r="A105"/>
  <c r="K104"/>
  <c r="J104"/>
  <c r="I104"/>
  <c r="H104"/>
  <c r="G104"/>
  <c r="F104"/>
  <c r="E104"/>
  <c r="D104"/>
  <c r="C104"/>
  <c r="B104"/>
  <c r="A104"/>
  <c r="K103"/>
  <c r="J103"/>
  <c r="I103"/>
  <c r="H103"/>
  <c r="G103"/>
  <c r="F103"/>
  <c r="E103"/>
  <c r="D103"/>
  <c r="C103"/>
  <c r="B103"/>
  <c r="A103"/>
  <c r="K102"/>
  <c r="J102"/>
  <c r="I102"/>
  <c r="H102"/>
  <c r="G102"/>
  <c r="F102"/>
  <c r="E102"/>
  <c r="D102"/>
  <c r="C102"/>
  <c r="B102"/>
  <c r="A102"/>
  <c r="K101"/>
  <c r="J101"/>
  <c r="I101"/>
  <c r="H101"/>
  <c r="G101"/>
  <c r="F101"/>
  <c r="E101"/>
  <c r="D101"/>
  <c r="C101"/>
  <c r="B101"/>
  <c r="A101"/>
  <c r="K100"/>
  <c r="J100"/>
  <c r="I100"/>
  <c r="H100"/>
  <c r="G100"/>
  <c r="F100"/>
  <c r="E100"/>
  <c r="D100"/>
  <c r="C100"/>
  <c r="B100"/>
  <c r="A100"/>
  <c r="K99"/>
  <c r="J99"/>
  <c r="I99"/>
  <c r="H99"/>
  <c r="G99"/>
  <c r="F99"/>
  <c r="E99"/>
  <c r="D99"/>
  <c r="C99"/>
  <c r="B99"/>
  <c r="A99"/>
  <c r="K98"/>
  <c r="J98"/>
  <c r="I98"/>
  <c r="H98"/>
  <c r="G98"/>
  <c r="F98"/>
  <c r="E98"/>
  <c r="D98"/>
  <c r="C98"/>
  <c r="B98"/>
  <c r="A98"/>
  <c r="K97"/>
  <c r="J97"/>
  <c r="I97"/>
  <c r="H97"/>
  <c r="G97"/>
  <c r="F97"/>
  <c r="E97"/>
  <c r="D97"/>
  <c r="C97"/>
  <c r="B97"/>
  <c r="A97"/>
  <c r="K96"/>
  <c r="J96"/>
  <c r="I96"/>
  <c r="H96"/>
  <c r="G96"/>
  <c r="F96"/>
  <c r="E96"/>
  <c r="D96"/>
  <c r="C96"/>
  <c r="B96"/>
  <c r="A96"/>
  <c r="K95"/>
  <c r="J95"/>
  <c r="I95"/>
  <c r="H95"/>
  <c r="G95"/>
  <c r="F95"/>
  <c r="E95"/>
  <c r="D95"/>
  <c r="C95"/>
  <c r="B95"/>
  <c r="A95"/>
  <c r="K94"/>
  <c r="J94"/>
  <c r="I94"/>
  <c r="H94"/>
  <c r="G94"/>
  <c r="F94"/>
  <c r="E94"/>
  <c r="D94"/>
  <c r="C94"/>
  <c r="B94"/>
  <c r="A94"/>
  <c r="K93"/>
  <c r="J93"/>
  <c r="I93"/>
  <c r="H93"/>
  <c r="G93"/>
  <c r="F93"/>
  <c r="E93"/>
  <c r="D93"/>
  <c r="C93"/>
  <c r="B93"/>
  <c r="A93"/>
  <c r="K92"/>
  <c r="J92"/>
  <c r="I92"/>
  <c r="H92"/>
  <c r="G92"/>
  <c r="F92"/>
  <c r="E92"/>
  <c r="D92"/>
  <c r="C92"/>
  <c r="B92"/>
  <c r="A92"/>
  <c r="K91"/>
  <c r="J91"/>
  <c r="I91"/>
  <c r="H91"/>
  <c r="G91"/>
  <c r="F91"/>
  <c r="E91"/>
  <c r="D91"/>
  <c r="C91"/>
  <c r="B91"/>
  <c r="A91"/>
  <c r="K90"/>
  <c r="J90"/>
  <c r="I90"/>
  <c r="H90"/>
  <c r="G90"/>
  <c r="F90"/>
  <c r="E90"/>
  <c r="D90"/>
  <c r="C90"/>
  <c r="B90"/>
  <c r="A90"/>
  <c r="K89"/>
  <c r="J89"/>
  <c r="I89"/>
  <c r="H89"/>
  <c r="G89"/>
  <c r="F89"/>
  <c r="E89"/>
  <c r="D89"/>
  <c r="C89"/>
  <c r="B89"/>
  <c r="A89"/>
  <c r="K88"/>
  <c r="J88"/>
  <c r="I88"/>
  <c r="H88"/>
  <c r="G88"/>
  <c r="F88"/>
  <c r="E88"/>
  <c r="D88"/>
  <c r="C88"/>
  <c r="B88"/>
  <c r="A88"/>
  <c r="K87"/>
  <c r="J87"/>
  <c r="I87"/>
  <c r="H87"/>
  <c r="G87"/>
  <c r="F87"/>
  <c r="E87"/>
  <c r="D87"/>
  <c r="C87"/>
  <c r="B87"/>
  <c r="A87"/>
  <c r="K86"/>
  <c r="J86"/>
  <c r="I86"/>
  <c r="H86"/>
  <c r="G86"/>
  <c r="F86"/>
  <c r="E86"/>
  <c r="D86"/>
  <c r="C86"/>
  <c r="B86"/>
  <c r="A86"/>
  <c r="K85"/>
  <c r="J85"/>
  <c r="I85"/>
  <c r="H85"/>
  <c r="G85"/>
  <c r="F85"/>
  <c r="E85"/>
  <c r="D85"/>
  <c r="C85"/>
  <c r="B85"/>
  <c r="A85"/>
  <c r="K84"/>
  <c r="J84"/>
  <c r="I84"/>
  <c r="H84"/>
  <c r="G84"/>
  <c r="F84"/>
  <c r="E84"/>
  <c r="D84"/>
  <c r="C84"/>
  <c r="B84"/>
  <c r="A84"/>
  <c r="K83"/>
  <c r="J83"/>
  <c r="I83"/>
  <c r="H83"/>
  <c r="G83"/>
  <c r="F83"/>
  <c r="E83"/>
  <c r="D83"/>
  <c r="C83"/>
  <c r="B83"/>
  <c r="A83"/>
  <c r="K82"/>
  <c r="J82"/>
  <c r="I82"/>
  <c r="H82"/>
  <c r="G82"/>
  <c r="F82"/>
  <c r="E82"/>
  <c r="D82"/>
  <c r="C82"/>
  <c r="B82"/>
  <c r="A82"/>
  <c r="K81"/>
  <c r="J81"/>
  <c r="I81"/>
  <c r="H81"/>
  <c r="G81"/>
  <c r="F81"/>
  <c r="E81"/>
  <c r="D81"/>
  <c r="C81"/>
  <c r="B81"/>
  <c r="A81"/>
  <c r="K80"/>
  <c r="J80"/>
  <c r="I80"/>
  <c r="H80"/>
  <c r="G80"/>
  <c r="F80"/>
  <c r="E80"/>
  <c r="D80"/>
  <c r="C80"/>
  <c r="B80"/>
  <c r="A80"/>
  <c r="K79"/>
  <c r="J79"/>
  <c r="I79"/>
  <c r="H79"/>
  <c r="G79"/>
  <c r="F79"/>
  <c r="E79"/>
  <c r="D79"/>
  <c r="C79"/>
  <c r="B79"/>
  <c r="A79"/>
  <c r="K78"/>
  <c r="J78"/>
  <c r="I78"/>
  <c r="H78"/>
  <c r="G78"/>
  <c r="F78"/>
  <c r="E78"/>
  <c r="D78"/>
  <c r="C78"/>
  <c r="B78"/>
  <c r="A78"/>
  <c r="K77"/>
  <c r="J77"/>
  <c r="I77"/>
  <c r="H77"/>
  <c r="G77"/>
  <c r="F77"/>
  <c r="E77"/>
  <c r="D77"/>
  <c r="C77"/>
  <c r="B77"/>
  <c r="A77"/>
  <c r="K76"/>
  <c r="J76"/>
  <c r="I76"/>
  <c r="H76"/>
  <c r="G76"/>
  <c r="F76"/>
  <c r="E76"/>
  <c r="D76"/>
  <c r="C76"/>
  <c r="B76"/>
  <c r="A76"/>
  <c r="K75"/>
  <c r="J75"/>
  <c r="I75"/>
  <c r="H75"/>
  <c r="G75"/>
  <c r="F75"/>
  <c r="E75"/>
  <c r="D75"/>
  <c r="C75"/>
  <c r="B75"/>
  <c r="A75"/>
  <c r="K74"/>
  <c r="J74"/>
  <c r="I74"/>
  <c r="H74"/>
  <c r="G74"/>
  <c r="F74"/>
  <c r="E74"/>
  <c r="D74"/>
  <c r="C74"/>
  <c r="B74"/>
  <c r="A74"/>
  <c r="K73"/>
  <c r="J73"/>
  <c r="I73"/>
  <c r="H73"/>
  <c r="G73"/>
  <c r="F73"/>
  <c r="E73"/>
  <c r="D73"/>
  <c r="C73"/>
  <c r="B73"/>
  <c r="A73"/>
  <c r="K72"/>
  <c r="J72"/>
  <c r="I72"/>
  <c r="H72"/>
  <c r="G72"/>
  <c r="F72"/>
  <c r="E72"/>
  <c r="D72"/>
  <c r="C72"/>
  <c r="B72"/>
  <c r="A72"/>
  <c r="K71"/>
  <c r="J71"/>
  <c r="I71"/>
  <c r="H71"/>
  <c r="G71"/>
  <c r="F71"/>
  <c r="E71"/>
  <c r="D71"/>
  <c r="C71"/>
  <c r="B71"/>
  <c r="A71"/>
  <c r="K70"/>
  <c r="J70"/>
  <c r="I70"/>
  <c r="H70"/>
  <c r="G70"/>
  <c r="F70"/>
  <c r="E70"/>
  <c r="D70"/>
  <c r="C70"/>
  <c r="B70"/>
  <c r="A70"/>
  <c r="K69"/>
  <c r="J69"/>
  <c r="I69"/>
  <c r="H69"/>
  <c r="G69"/>
  <c r="F69"/>
  <c r="E69"/>
  <c r="D69"/>
  <c r="C69"/>
  <c r="B69"/>
  <c r="A69"/>
  <c r="K68"/>
  <c r="J68"/>
  <c r="I68"/>
  <c r="H68"/>
  <c r="G68"/>
  <c r="F68"/>
  <c r="E68"/>
  <c r="D68"/>
  <c r="C68"/>
  <c r="B68"/>
  <c r="A68"/>
  <c r="K67"/>
  <c r="J67"/>
  <c r="I67"/>
  <c r="H67"/>
  <c r="G67"/>
  <c r="F67"/>
  <c r="E67"/>
  <c r="D67"/>
  <c r="C67"/>
  <c r="B67"/>
  <c r="A67"/>
  <c r="K66"/>
  <c r="J66"/>
  <c r="I66"/>
  <c r="H66"/>
  <c r="G66"/>
  <c r="F66"/>
  <c r="E66"/>
  <c r="D66"/>
  <c r="C66"/>
  <c r="B66"/>
  <c r="A66"/>
  <c r="K65"/>
  <c r="J65"/>
  <c r="I65"/>
  <c r="H65"/>
  <c r="G65"/>
  <c r="F65"/>
  <c r="E65"/>
  <c r="D65"/>
  <c r="C65"/>
  <c r="B65"/>
  <c r="A65"/>
  <c r="K64"/>
  <c r="J64"/>
  <c r="I64"/>
  <c r="H64"/>
  <c r="G64"/>
  <c r="F64"/>
  <c r="E64"/>
  <c r="D64"/>
  <c r="C64"/>
  <c r="B64"/>
  <c r="A64"/>
  <c r="K63"/>
  <c r="J63"/>
  <c r="I63"/>
  <c r="H63"/>
  <c r="G63"/>
  <c r="F63"/>
  <c r="E63"/>
  <c r="D63"/>
  <c r="C63"/>
  <c r="B63"/>
  <c r="A63"/>
  <c r="K62"/>
  <c r="J62"/>
  <c r="I62"/>
  <c r="H62"/>
  <c r="G62"/>
  <c r="F62"/>
  <c r="E62"/>
  <c r="D62"/>
  <c r="C62"/>
  <c r="B62"/>
  <c r="A62"/>
  <c r="K61"/>
  <c r="J61"/>
  <c r="I61"/>
  <c r="H61"/>
  <c r="G61"/>
  <c r="F61"/>
  <c r="E61"/>
  <c r="D61"/>
  <c r="C61"/>
  <c r="B61"/>
  <c r="A61"/>
  <c r="K60"/>
  <c r="J60"/>
  <c r="I60"/>
  <c r="H60"/>
  <c r="G60"/>
  <c r="F60"/>
  <c r="E60"/>
  <c r="D60"/>
  <c r="C60"/>
  <c r="B60"/>
  <c r="A60"/>
  <c r="K59"/>
  <c r="J59"/>
  <c r="I59"/>
  <c r="H59"/>
  <c r="G59"/>
  <c r="F59"/>
  <c r="E59"/>
  <c r="D59"/>
  <c r="C59"/>
  <c r="B59"/>
  <c r="A59"/>
  <c r="K58"/>
  <c r="J58"/>
  <c r="I58"/>
  <c r="H58"/>
  <c r="G58"/>
  <c r="F58"/>
  <c r="E58"/>
  <c r="D58"/>
  <c r="C58"/>
  <c r="B58"/>
  <c r="A58"/>
  <c r="K57"/>
  <c r="J57"/>
  <c r="I57"/>
  <c r="H57"/>
  <c r="G57"/>
  <c r="F57"/>
  <c r="E57"/>
  <c r="D57"/>
  <c r="C57"/>
  <c r="B57"/>
  <c r="A57"/>
  <c r="K56"/>
  <c r="J56"/>
  <c r="I56"/>
  <c r="H56"/>
  <c r="G56"/>
  <c r="F56"/>
  <c r="E56"/>
  <c r="D56"/>
  <c r="C56"/>
  <c r="B56"/>
  <c r="A56"/>
  <c r="K55"/>
  <c r="J55"/>
  <c r="I55"/>
  <c r="H55"/>
  <c r="G55"/>
  <c r="F55"/>
  <c r="E55"/>
  <c r="D55"/>
  <c r="C55"/>
  <c r="B55"/>
  <c r="A55"/>
  <c r="K54"/>
  <c r="J54"/>
  <c r="I54"/>
  <c r="H54"/>
  <c r="G54"/>
  <c r="F54"/>
  <c r="E54"/>
  <c r="D54"/>
  <c r="C54"/>
  <c r="B54"/>
  <c r="A54"/>
  <c r="K53"/>
  <c r="J53"/>
  <c r="I53"/>
  <c r="H53"/>
  <c r="G53"/>
  <c r="F53"/>
  <c r="E53"/>
  <c r="D53"/>
  <c r="C53"/>
  <c r="B53"/>
  <c r="A53"/>
  <c r="K52"/>
  <c r="J52"/>
  <c r="I52"/>
  <c r="H52"/>
  <c r="G52"/>
  <c r="F52"/>
  <c r="E52"/>
  <c r="D52"/>
  <c r="C52"/>
  <c r="B52"/>
  <c r="A52"/>
  <c r="K51"/>
  <c r="J51"/>
  <c r="I51"/>
  <c r="H51"/>
  <c r="G51"/>
  <c r="F51"/>
  <c r="E51"/>
  <c r="D51"/>
  <c r="C51"/>
  <c r="B51"/>
  <c r="A51"/>
  <c r="K50"/>
  <c r="J50"/>
  <c r="I50"/>
  <c r="H50"/>
  <c r="G50"/>
  <c r="F50"/>
  <c r="E50"/>
  <c r="D50"/>
  <c r="C50"/>
  <c r="B50"/>
  <c r="A50"/>
  <c r="K49"/>
  <c r="J49"/>
  <c r="I49"/>
  <c r="H49"/>
  <c r="G49"/>
  <c r="F49"/>
  <c r="E49"/>
  <c r="D49"/>
  <c r="C49"/>
  <c r="B49"/>
  <c r="A49"/>
  <c r="K48"/>
  <c r="J48"/>
  <c r="I48"/>
  <c r="H48"/>
  <c r="G48"/>
  <c r="F48"/>
  <c r="E48"/>
  <c r="D48"/>
  <c r="C48"/>
  <c r="B48"/>
  <c r="A48"/>
  <c r="K47"/>
  <c r="J47"/>
  <c r="I47"/>
  <c r="H47"/>
  <c r="G47"/>
  <c r="F47"/>
  <c r="E47"/>
  <c r="D47"/>
  <c r="C47"/>
  <c r="B47"/>
  <c r="A47"/>
  <c r="K46"/>
  <c r="J46"/>
  <c r="I46"/>
  <c r="H46"/>
  <c r="G46"/>
  <c r="F46"/>
  <c r="E46"/>
  <c r="D46"/>
  <c r="C46"/>
  <c r="B46"/>
  <c r="A46"/>
  <c r="K45"/>
  <c r="J45"/>
  <c r="I45"/>
  <c r="H45"/>
  <c r="G45"/>
  <c r="F45"/>
  <c r="E45"/>
  <c r="D45"/>
  <c r="C45"/>
  <c r="B45"/>
  <c r="A45"/>
  <c r="K44"/>
  <c r="J44"/>
  <c r="I44"/>
  <c r="H44"/>
  <c r="G44"/>
  <c r="F44"/>
  <c r="E44"/>
  <c r="D44"/>
  <c r="C44"/>
  <c r="B44"/>
  <c r="A44"/>
  <c r="K43"/>
  <c r="J43"/>
  <c r="I43"/>
  <c r="H43"/>
  <c r="G43"/>
  <c r="F43"/>
  <c r="E43"/>
  <c r="D43"/>
  <c r="C43"/>
  <c r="B43"/>
  <c r="A43"/>
  <c r="K42"/>
  <c r="J42"/>
  <c r="I42"/>
  <c r="H42"/>
  <c r="G42"/>
  <c r="F42"/>
  <c r="E42"/>
  <c r="D42"/>
  <c r="C42"/>
  <c r="B42"/>
  <c r="A42"/>
  <c r="K41"/>
  <c r="J41"/>
  <c r="I41"/>
  <c r="H41"/>
  <c r="G41"/>
  <c r="F41"/>
  <c r="E41"/>
  <c r="D41"/>
  <c r="C41"/>
  <c r="B41"/>
  <c r="A41"/>
  <c r="K40"/>
  <c r="J40"/>
  <c r="I40"/>
  <c r="H40"/>
  <c r="G40"/>
  <c r="F40"/>
  <c r="E40"/>
  <c r="D40"/>
  <c r="C40"/>
  <c r="B40"/>
  <c r="A40"/>
  <c r="K39"/>
  <c r="J39"/>
  <c r="I39"/>
  <c r="H39"/>
  <c r="G39"/>
  <c r="F39"/>
  <c r="E39"/>
  <c r="D39"/>
  <c r="C39"/>
  <c r="B39"/>
  <c r="A39"/>
  <c r="K38"/>
  <c r="J38"/>
  <c r="I38"/>
  <c r="H38"/>
  <c r="G38"/>
  <c r="F38"/>
  <c r="E38"/>
  <c r="D38"/>
  <c r="C38"/>
  <c r="B38"/>
  <c r="A38"/>
  <c r="K37"/>
  <c r="J37"/>
  <c r="I37"/>
  <c r="H37"/>
  <c r="G37"/>
  <c r="F37"/>
  <c r="E37"/>
  <c r="D37"/>
  <c r="C37"/>
  <c r="B37"/>
  <c r="A37"/>
  <c r="K36"/>
  <c r="J36"/>
  <c r="I36"/>
  <c r="H36"/>
  <c r="G36"/>
  <c r="F36"/>
  <c r="E36"/>
  <c r="D36"/>
  <c r="C36"/>
  <c r="B36"/>
  <c r="A36"/>
  <c r="K35"/>
  <c r="J35"/>
  <c r="I35"/>
  <c r="H35"/>
  <c r="G35"/>
  <c r="F35"/>
  <c r="E35"/>
  <c r="D35"/>
  <c r="C35"/>
  <c r="B35"/>
  <c r="A35"/>
  <c r="K34"/>
  <c r="J34"/>
  <c r="I34"/>
  <c r="H34"/>
  <c r="G34"/>
  <c r="F34"/>
  <c r="E34"/>
  <c r="D34"/>
  <c r="C34"/>
  <c r="B34"/>
  <c r="A34"/>
  <c r="K33"/>
  <c r="J33"/>
  <c r="I33"/>
  <c r="H33"/>
  <c r="G33"/>
  <c r="F33"/>
  <c r="E33"/>
  <c r="D33"/>
  <c r="C33"/>
  <c r="B33"/>
  <c r="A33"/>
  <c r="K32"/>
  <c r="J32"/>
  <c r="I32"/>
  <c r="H32"/>
  <c r="G32"/>
  <c r="F32"/>
  <c r="E32"/>
  <c r="D32"/>
  <c r="C32"/>
  <c r="B32"/>
  <c r="A32"/>
  <c r="K31"/>
  <c r="J31"/>
  <c r="I31"/>
  <c r="H31"/>
  <c r="G31"/>
  <c r="F31"/>
  <c r="E31"/>
  <c r="D31"/>
  <c r="C31"/>
  <c r="B31"/>
  <c r="A31"/>
  <c r="K30"/>
  <c r="J30"/>
  <c r="I30"/>
  <c r="H30"/>
  <c r="G30"/>
  <c r="F30"/>
  <c r="E30"/>
  <c r="D30"/>
  <c r="C30"/>
  <c r="B30"/>
  <c r="A30"/>
  <c r="K29"/>
  <c r="J29"/>
  <c r="I29"/>
  <c r="H29"/>
  <c r="G29"/>
  <c r="F29"/>
  <c r="E29"/>
  <c r="D29"/>
  <c r="C29"/>
  <c r="B29"/>
  <c r="A29"/>
  <c r="K28"/>
  <c r="J28"/>
  <c r="I28"/>
  <c r="H28"/>
  <c r="G28"/>
  <c r="F28"/>
  <c r="E28"/>
  <c r="D28"/>
  <c r="C28"/>
  <c r="B28"/>
  <c r="A28"/>
  <c r="K27"/>
  <c r="J27"/>
  <c r="I27"/>
  <c r="H27"/>
  <c r="G27"/>
  <c r="F27"/>
  <c r="E27"/>
  <c r="D27"/>
  <c r="C27"/>
  <c r="B27"/>
  <c r="A27"/>
  <c r="K26"/>
  <c r="J26"/>
  <c r="I26"/>
  <c r="H26"/>
  <c r="G26"/>
  <c r="F26"/>
  <c r="E26"/>
  <c r="D26"/>
  <c r="C26"/>
  <c r="B26"/>
  <c r="A26"/>
  <c r="K25"/>
  <c r="J25"/>
  <c r="I25"/>
  <c r="H25"/>
  <c r="G25"/>
  <c r="F25"/>
  <c r="E25"/>
  <c r="D25"/>
  <c r="C25"/>
  <c r="B25"/>
  <c r="A25"/>
  <c r="K24"/>
  <c r="J24"/>
  <c r="I24"/>
  <c r="H24"/>
  <c r="G24"/>
  <c r="F24"/>
  <c r="E24"/>
  <c r="D24"/>
  <c r="C24"/>
  <c r="B24"/>
  <c r="A24"/>
  <c r="K23"/>
  <c r="J23"/>
  <c r="I23"/>
  <c r="H23"/>
  <c r="G23"/>
  <c r="F23"/>
  <c r="E23"/>
  <c r="D23"/>
  <c r="C23"/>
  <c r="B23"/>
  <c r="A23"/>
  <c r="K22"/>
  <c r="J22"/>
  <c r="I22"/>
  <c r="H22"/>
  <c r="G22"/>
  <c r="F22"/>
  <c r="E22"/>
  <c r="D22"/>
  <c r="C22"/>
  <c r="B22"/>
  <c r="A22"/>
  <c r="K21"/>
  <c r="J21"/>
  <c r="I21"/>
  <c r="H21"/>
  <c r="G21"/>
  <c r="F21"/>
  <c r="E21"/>
  <c r="D21"/>
  <c r="C21"/>
  <c r="B21"/>
  <c r="A21"/>
  <c r="K20"/>
  <c r="J20"/>
  <c r="I20"/>
  <c r="H20"/>
  <c r="G20"/>
  <c r="F20"/>
  <c r="E20"/>
  <c r="D20"/>
  <c r="C20"/>
  <c r="B20"/>
  <c r="A20"/>
  <c r="K19"/>
  <c r="J19"/>
  <c r="I19"/>
  <c r="H19"/>
  <c r="G19"/>
  <c r="F19"/>
  <c r="E19"/>
  <c r="D19"/>
  <c r="C19"/>
  <c r="B19"/>
  <c r="A19"/>
  <c r="K18"/>
  <c r="J18"/>
  <c r="I18"/>
  <c r="H18"/>
  <c r="G18"/>
  <c r="F18"/>
  <c r="E18"/>
  <c r="D18"/>
  <c r="C18"/>
  <c r="B18"/>
  <c r="A18"/>
  <c r="K17"/>
  <c r="J17"/>
  <c r="I17"/>
  <c r="H17"/>
  <c r="G17"/>
  <c r="F17"/>
  <c r="E17"/>
  <c r="D17"/>
  <c r="C17"/>
  <c r="B17"/>
  <c r="A17"/>
  <c r="K16"/>
  <c r="J16"/>
  <c r="I16"/>
  <c r="H16"/>
  <c r="G16"/>
  <c r="F16"/>
  <c r="E16"/>
  <c r="D16"/>
  <c r="C16"/>
  <c r="B16"/>
  <c r="A16"/>
  <c r="K15"/>
  <c r="J15"/>
  <c r="I15"/>
  <c r="H15"/>
  <c r="G15"/>
  <c r="F15"/>
  <c r="E15"/>
  <c r="D15"/>
  <c r="C15"/>
  <c r="B15"/>
  <c r="A15"/>
  <c r="K14"/>
  <c r="J14"/>
  <c r="I14"/>
  <c r="H14"/>
  <c r="G14"/>
  <c r="F14"/>
  <c r="E14"/>
  <c r="D14"/>
  <c r="C14"/>
  <c r="B14"/>
  <c r="A14"/>
  <c r="K13"/>
  <c r="J13"/>
  <c r="I13"/>
  <c r="H13"/>
  <c r="G13"/>
  <c r="F13"/>
  <c r="E13"/>
  <c r="D13"/>
  <c r="C13"/>
  <c r="B13"/>
  <c r="A13"/>
  <c r="K12"/>
  <c r="J12"/>
  <c r="I12"/>
  <c r="H12"/>
  <c r="G12"/>
  <c r="F12"/>
  <c r="E12"/>
  <c r="D12"/>
  <c r="C12"/>
  <c r="B12"/>
  <c r="A12"/>
  <c r="K11"/>
  <c r="J11"/>
  <c r="I11"/>
  <c r="H11"/>
  <c r="G11"/>
  <c r="F11"/>
  <c r="E11"/>
  <c r="D11"/>
  <c r="C11"/>
  <c r="B11"/>
  <c r="A11"/>
  <c r="K10"/>
  <c r="J10"/>
  <c r="I10"/>
  <c r="H10"/>
  <c r="G10"/>
  <c r="F10"/>
  <c r="E10"/>
  <c r="D10"/>
  <c r="C10"/>
  <c r="B10"/>
  <c r="A10"/>
  <c r="K9"/>
  <c r="J9"/>
  <c r="I9"/>
  <c r="H9"/>
  <c r="G9"/>
  <c r="F9"/>
  <c r="E9"/>
  <c r="D9"/>
  <c r="C9"/>
  <c r="B9"/>
  <c r="A9"/>
  <c r="K8"/>
  <c r="J8"/>
  <c r="I8"/>
  <c r="H8"/>
  <c r="G8"/>
  <c r="F8"/>
  <c r="E8"/>
  <c r="D8"/>
  <c r="C8"/>
  <c r="B8"/>
  <c r="A8"/>
  <c r="K7"/>
  <c r="J7"/>
  <c r="I7"/>
  <c r="H7"/>
  <c r="G7"/>
  <c r="F7"/>
  <c r="E7"/>
  <c r="D7"/>
  <c r="C7"/>
  <c r="B7"/>
  <c r="A7"/>
  <c r="K6"/>
  <c r="J6"/>
  <c r="I6"/>
  <c r="H6"/>
  <c r="G6"/>
  <c r="F6"/>
  <c r="E6"/>
  <c r="D6"/>
  <c r="C6"/>
  <c r="B6"/>
  <c r="A6"/>
  <c r="K5"/>
  <c r="J5"/>
  <c r="I5"/>
  <c r="H5"/>
  <c r="G5"/>
  <c r="F5"/>
  <c r="E5"/>
  <c r="D5"/>
  <c r="C5"/>
  <c r="B5"/>
  <c r="A5"/>
  <c r="K4"/>
  <c r="J4"/>
  <c r="I4"/>
  <c r="H4"/>
  <c r="G4"/>
  <c r="F4"/>
  <c r="E4"/>
  <c r="D4"/>
  <c r="C4"/>
  <c r="B4"/>
  <c r="A4"/>
  <c r="K3"/>
  <c r="J3"/>
  <c r="I3"/>
  <c r="H3"/>
  <c r="G3"/>
  <c r="F3"/>
  <c r="E3"/>
  <c r="D3"/>
  <c r="C3"/>
  <c r="B3"/>
  <c r="A3"/>
  <c r="K2"/>
  <c r="J2"/>
  <c r="I2"/>
  <c r="H2"/>
  <c r="G2"/>
  <c r="F2"/>
  <c r="E2"/>
  <c r="D2"/>
  <c r="C2"/>
  <c r="B2"/>
  <c r="A2"/>
  <c r="K1"/>
  <c r="J1"/>
  <c r="I1"/>
  <c r="H1"/>
  <c r="G1"/>
  <c r="F1"/>
  <c r="E1"/>
  <c r="D1"/>
  <c r="C1"/>
  <c r="B1"/>
  <c r="A1"/>
  <c r="L792" i="12"/>
  <c r="K792"/>
  <c r="J792"/>
  <c r="I792"/>
  <c r="H792"/>
  <c r="G792"/>
  <c r="F792"/>
  <c r="E792"/>
  <c r="D792"/>
  <c r="C792"/>
  <c r="B792"/>
  <c r="L791"/>
  <c r="K791"/>
  <c r="J791"/>
  <c r="I791"/>
  <c r="H791"/>
  <c r="G791"/>
  <c r="F791"/>
  <c r="E791"/>
  <c r="D791"/>
  <c r="C791"/>
  <c r="B791"/>
  <c r="L790"/>
  <c r="K790"/>
  <c r="J790"/>
  <c r="I790"/>
  <c r="H790"/>
  <c r="G790"/>
  <c r="F790"/>
  <c r="E790"/>
  <c r="D790"/>
  <c r="C790"/>
  <c r="B790"/>
  <c r="L789"/>
  <c r="K789"/>
  <c r="J789"/>
  <c r="I789"/>
  <c r="H789"/>
  <c r="G789"/>
  <c r="F789"/>
  <c r="E789"/>
  <c r="D789"/>
  <c r="C789"/>
  <c r="B789"/>
  <c r="L788"/>
  <c r="K788"/>
  <c r="J788"/>
  <c r="I788"/>
  <c r="H788"/>
  <c r="G788"/>
  <c r="F788"/>
  <c r="E788"/>
  <c r="D788"/>
  <c r="C788"/>
  <c r="B788"/>
  <c r="L787"/>
  <c r="K787"/>
  <c r="J787"/>
  <c r="I787"/>
  <c r="H787"/>
  <c r="G787"/>
  <c r="F787"/>
  <c r="E787"/>
  <c r="D787"/>
  <c r="C787"/>
  <c r="B787"/>
  <c r="L786"/>
  <c r="K786"/>
  <c r="J786"/>
  <c r="I786"/>
  <c r="H786"/>
  <c r="G786"/>
  <c r="F786"/>
  <c r="E786"/>
  <c r="D786"/>
  <c r="C786"/>
  <c r="B786"/>
  <c r="L785"/>
  <c r="K785"/>
  <c r="J785"/>
  <c r="I785"/>
  <c r="H785"/>
  <c r="G785"/>
  <c r="F785"/>
  <c r="E785"/>
  <c r="D785"/>
  <c r="C785"/>
  <c r="B785"/>
  <c r="L784"/>
  <c r="K784"/>
  <c r="J784"/>
  <c r="I784"/>
  <c r="H784"/>
  <c r="G784"/>
  <c r="F784"/>
  <c r="E784"/>
  <c r="D784"/>
  <c r="C784"/>
  <c r="B784"/>
  <c r="L783"/>
  <c r="K783"/>
  <c r="J783"/>
  <c r="I783"/>
  <c r="H783"/>
  <c r="G783"/>
  <c r="F783"/>
  <c r="E783"/>
  <c r="D783"/>
  <c r="C783"/>
  <c r="B783"/>
  <c r="L782"/>
  <c r="K782"/>
  <c r="J782"/>
  <c r="I782"/>
  <c r="H782"/>
  <c r="G782"/>
  <c r="F782"/>
  <c r="E782"/>
  <c r="D782"/>
  <c r="C782"/>
  <c r="B782"/>
  <c r="L781"/>
  <c r="K781"/>
  <c r="J781"/>
  <c r="I781"/>
  <c r="H781"/>
  <c r="G781"/>
  <c r="F781"/>
  <c r="E781"/>
  <c r="D781"/>
  <c r="C781"/>
  <c r="B781"/>
  <c r="L780"/>
  <c r="K780"/>
  <c r="J780"/>
  <c r="I780"/>
  <c r="H780"/>
  <c r="G780"/>
  <c r="F780"/>
  <c r="E780"/>
  <c r="D780"/>
  <c r="C780"/>
  <c r="B780"/>
  <c r="L779"/>
  <c r="K779"/>
  <c r="J779"/>
  <c r="I779"/>
  <c r="H779"/>
  <c r="G779"/>
  <c r="F779"/>
  <c r="E779"/>
  <c r="D779"/>
  <c r="C779"/>
  <c r="B779"/>
  <c r="L778"/>
  <c r="K778"/>
  <c r="J778"/>
  <c r="I778"/>
  <c r="H778"/>
  <c r="G778"/>
  <c r="F778"/>
  <c r="E778"/>
  <c r="D778"/>
  <c r="C778"/>
  <c r="B778"/>
  <c r="L777"/>
  <c r="K777"/>
  <c r="J777"/>
  <c r="I777"/>
  <c r="H777"/>
  <c r="G777"/>
  <c r="F777"/>
  <c r="E777"/>
  <c r="D777"/>
  <c r="C777"/>
  <c r="B777"/>
  <c r="L776"/>
  <c r="K776"/>
  <c r="J776"/>
  <c r="I776"/>
  <c r="H776"/>
  <c r="G776"/>
  <c r="F776"/>
  <c r="E776"/>
  <c r="D776"/>
  <c r="C776"/>
  <c r="B776"/>
  <c r="L775"/>
  <c r="K775"/>
  <c r="J775"/>
  <c r="I775"/>
  <c r="H775"/>
  <c r="G775"/>
  <c r="F775"/>
  <c r="E775"/>
  <c r="D775"/>
  <c r="C775"/>
  <c r="B775"/>
  <c r="L774"/>
  <c r="K774"/>
  <c r="J774"/>
  <c r="I774"/>
  <c r="H774"/>
  <c r="G774"/>
  <c r="F774"/>
  <c r="E774"/>
  <c r="D774"/>
  <c r="C774"/>
  <c r="B774"/>
  <c r="L773"/>
  <c r="K773"/>
  <c r="J773"/>
  <c r="I773"/>
  <c r="H773"/>
  <c r="G773"/>
  <c r="F773"/>
  <c r="E773"/>
  <c r="D773"/>
  <c r="C773"/>
  <c r="B773"/>
  <c r="L772"/>
  <c r="K772"/>
  <c r="J772"/>
  <c r="I772"/>
  <c r="H772"/>
  <c r="G772"/>
  <c r="F772"/>
  <c r="E772"/>
  <c r="D772"/>
  <c r="C772"/>
  <c r="B772"/>
  <c r="L771"/>
  <c r="K771"/>
  <c r="J771"/>
  <c r="I771"/>
  <c r="H771"/>
  <c r="G771"/>
  <c r="F771"/>
  <c r="E771"/>
  <c r="D771"/>
  <c r="C771"/>
  <c r="B771"/>
  <c r="L770"/>
  <c r="K770"/>
  <c r="J770"/>
  <c r="I770"/>
  <c r="H770"/>
  <c r="G770"/>
  <c r="F770"/>
  <c r="E770"/>
  <c r="D770"/>
  <c r="C770"/>
  <c r="B770"/>
  <c r="L769"/>
  <c r="K769"/>
  <c r="J769"/>
  <c r="I769"/>
  <c r="H769"/>
  <c r="G769"/>
  <c r="F769"/>
  <c r="E769"/>
  <c r="D769"/>
  <c r="C769"/>
  <c r="B769"/>
  <c r="L768"/>
  <c r="K768"/>
  <c r="J768"/>
  <c r="I768"/>
  <c r="H768"/>
  <c r="G768"/>
  <c r="F768"/>
  <c r="E768"/>
  <c r="D768"/>
  <c r="C768"/>
  <c r="B768"/>
  <c r="L767"/>
  <c r="K767"/>
  <c r="J767"/>
  <c r="I767"/>
  <c r="H767"/>
  <c r="G767"/>
  <c r="F767"/>
  <c r="E767"/>
  <c r="D767"/>
  <c r="C767"/>
  <c r="B767"/>
  <c r="L766"/>
  <c r="K766"/>
  <c r="J766"/>
  <c r="I766"/>
  <c r="H766"/>
  <c r="G766"/>
  <c r="F766"/>
  <c r="E766"/>
  <c r="D766"/>
  <c r="C766"/>
  <c r="B766"/>
  <c r="L765"/>
  <c r="K765"/>
  <c r="J765"/>
  <c r="I765"/>
  <c r="H765"/>
  <c r="G765"/>
  <c r="F765"/>
  <c r="E765"/>
  <c r="D765"/>
  <c r="C765"/>
  <c r="B765"/>
  <c r="L764"/>
  <c r="K764"/>
  <c r="J764"/>
  <c r="I764"/>
  <c r="H764"/>
  <c r="G764"/>
  <c r="F764"/>
  <c r="E764"/>
  <c r="D764"/>
  <c r="C764"/>
  <c r="B764"/>
  <c r="L763"/>
  <c r="K763"/>
  <c r="J763"/>
  <c r="I763"/>
  <c r="H763"/>
  <c r="G763"/>
  <c r="F763"/>
  <c r="E763"/>
  <c r="D763"/>
  <c r="C763"/>
  <c r="B763"/>
  <c r="L762"/>
  <c r="K762"/>
  <c r="J762"/>
  <c r="I762"/>
  <c r="H762"/>
  <c r="G762"/>
  <c r="F762"/>
  <c r="E762"/>
  <c r="D762"/>
  <c r="C762"/>
  <c r="B762"/>
  <c r="L761"/>
  <c r="K761"/>
  <c r="J761"/>
  <c r="I761"/>
  <c r="H761"/>
  <c r="G761"/>
  <c r="F761"/>
  <c r="E761"/>
  <c r="D761"/>
  <c r="C761"/>
  <c r="B761"/>
  <c r="L760"/>
  <c r="K760"/>
  <c r="J760"/>
  <c r="I760"/>
  <c r="H760"/>
  <c r="G760"/>
  <c r="F760"/>
  <c r="E760"/>
  <c r="D760"/>
  <c r="C760"/>
  <c r="B760"/>
  <c r="L759"/>
  <c r="K759"/>
  <c r="J759"/>
  <c r="I759"/>
  <c r="H759"/>
  <c r="G759"/>
  <c r="F759"/>
  <c r="E759"/>
  <c r="D759"/>
  <c r="C759"/>
  <c r="B759"/>
  <c r="L758"/>
  <c r="K758"/>
  <c r="J758"/>
  <c r="I758"/>
  <c r="H758"/>
  <c r="G758"/>
  <c r="F758"/>
  <c r="E758"/>
  <c r="D758"/>
  <c r="C758"/>
  <c r="B758"/>
  <c r="L757"/>
  <c r="K757"/>
  <c r="J757"/>
  <c r="I757"/>
  <c r="H757"/>
  <c r="G757"/>
  <c r="F757"/>
  <c r="E757"/>
  <c r="D757"/>
  <c r="C757"/>
  <c r="B757"/>
  <c r="L756"/>
  <c r="K756"/>
  <c r="J756"/>
  <c r="I756"/>
  <c r="H756"/>
  <c r="G756"/>
  <c r="F756"/>
  <c r="E756"/>
  <c r="D756"/>
  <c r="C756"/>
  <c r="B756"/>
  <c r="L755"/>
  <c r="K755"/>
  <c r="J755"/>
  <c r="I755"/>
  <c r="H755"/>
  <c r="G755"/>
  <c r="F755"/>
  <c r="E755"/>
  <c r="D755"/>
  <c r="C755"/>
  <c r="B755"/>
  <c r="L754"/>
  <c r="K754"/>
  <c r="J754"/>
  <c r="I754"/>
  <c r="H754"/>
  <c r="G754"/>
  <c r="F754"/>
  <c r="E754"/>
  <c r="D754"/>
  <c r="C754"/>
  <c r="B754"/>
  <c r="L753"/>
  <c r="K753"/>
  <c r="J753"/>
  <c r="I753"/>
  <c r="H753"/>
  <c r="G753"/>
  <c r="F753"/>
  <c r="E753"/>
  <c r="D753"/>
  <c r="C753"/>
  <c r="B753"/>
  <c r="L752"/>
  <c r="K752"/>
  <c r="J752"/>
  <c r="I752"/>
  <c r="H752"/>
  <c r="G752"/>
  <c r="F752"/>
  <c r="E752"/>
  <c r="D752"/>
  <c r="C752"/>
  <c r="B752"/>
  <c r="L751"/>
  <c r="K751"/>
  <c r="J751"/>
  <c r="I751"/>
  <c r="H751"/>
  <c r="G751"/>
  <c r="F751"/>
  <c r="E751"/>
  <c r="D751"/>
  <c r="C751"/>
  <c r="B751"/>
  <c r="L750"/>
  <c r="K750"/>
  <c r="J750"/>
  <c r="I750"/>
  <c r="H750"/>
  <c r="G750"/>
  <c r="F750"/>
  <c r="E750"/>
  <c r="D750"/>
  <c r="C750"/>
  <c r="B750"/>
  <c r="L749"/>
  <c r="K749"/>
  <c r="J749"/>
  <c r="I749"/>
  <c r="H749"/>
  <c r="G749"/>
  <c r="F749"/>
  <c r="E749"/>
  <c r="D749"/>
  <c r="C749"/>
  <c r="B749"/>
  <c r="L748"/>
  <c r="K748"/>
  <c r="J748"/>
  <c r="I748"/>
  <c r="H748"/>
  <c r="G748"/>
  <c r="F748"/>
  <c r="E748"/>
  <c r="D748"/>
  <c r="C748"/>
  <c r="B748"/>
  <c r="L747"/>
  <c r="K747"/>
  <c r="J747"/>
  <c r="I747"/>
  <c r="H747"/>
  <c r="G747"/>
  <c r="F747"/>
  <c r="E747"/>
  <c r="D747"/>
  <c r="C747"/>
  <c r="B747"/>
  <c r="L746"/>
  <c r="K746"/>
  <c r="J746"/>
  <c r="I746"/>
  <c r="H746"/>
  <c r="G746"/>
  <c r="F746"/>
  <c r="E746"/>
  <c r="D746"/>
  <c r="C746"/>
  <c r="B746"/>
  <c r="L745"/>
  <c r="K745"/>
  <c r="J745"/>
  <c r="I745"/>
  <c r="H745"/>
  <c r="G745"/>
  <c r="F745"/>
  <c r="E745"/>
  <c r="D745"/>
  <c r="C745"/>
  <c r="B745"/>
  <c r="L744"/>
  <c r="K744"/>
  <c r="J744"/>
  <c r="I744"/>
  <c r="H744"/>
  <c r="G744"/>
  <c r="F744"/>
  <c r="E744"/>
  <c r="D744"/>
  <c r="C744"/>
  <c r="B744"/>
  <c r="L743"/>
  <c r="K743"/>
  <c r="J743"/>
  <c r="I743"/>
  <c r="H743"/>
  <c r="G743"/>
  <c r="F743"/>
  <c r="E743"/>
  <c r="D743"/>
  <c r="C743"/>
  <c r="B743"/>
  <c r="L742"/>
  <c r="K742"/>
  <c r="J742"/>
  <c r="I742"/>
  <c r="H742"/>
  <c r="G742"/>
  <c r="F742"/>
  <c r="E742"/>
  <c r="D742"/>
  <c r="C742"/>
  <c r="B742"/>
  <c r="L741"/>
  <c r="K741"/>
  <c r="J741"/>
  <c r="I741"/>
  <c r="H741"/>
  <c r="G741"/>
  <c r="F741"/>
  <c r="E741"/>
  <c r="D741"/>
  <c r="C741"/>
  <c r="B741"/>
  <c r="L740"/>
  <c r="K740"/>
  <c r="J740"/>
  <c r="I740"/>
  <c r="H740"/>
  <c r="G740"/>
  <c r="F740"/>
  <c r="E740"/>
  <c r="D740"/>
  <c r="C740"/>
  <c r="B740"/>
  <c r="L739"/>
  <c r="K739"/>
  <c r="J739"/>
  <c r="I739"/>
  <c r="H739"/>
  <c r="G739"/>
  <c r="F739"/>
  <c r="E739"/>
  <c r="D739"/>
  <c r="C739"/>
  <c r="B739"/>
  <c r="L738"/>
  <c r="K738"/>
  <c r="J738"/>
  <c r="I738"/>
  <c r="H738"/>
  <c r="G738"/>
  <c r="F738"/>
  <c r="E738"/>
  <c r="D738"/>
  <c r="C738"/>
  <c r="B738"/>
  <c r="L737"/>
  <c r="K737"/>
  <c r="J737"/>
  <c r="I737"/>
  <c r="H737"/>
  <c r="G737"/>
  <c r="F737"/>
  <c r="E737"/>
  <c r="D737"/>
  <c r="C737"/>
  <c r="B737"/>
  <c r="L736"/>
  <c r="K736"/>
  <c r="J736"/>
  <c r="I736"/>
  <c r="H736"/>
  <c r="G736"/>
  <c r="F736"/>
  <c r="E736"/>
  <c r="D736"/>
  <c r="C736"/>
  <c r="B736"/>
  <c r="L735"/>
  <c r="K735"/>
  <c r="J735"/>
  <c r="I735"/>
  <c r="H735"/>
  <c r="G735"/>
  <c r="F735"/>
  <c r="E735"/>
  <c r="D735"/>
  <c r="C735"/>
  <c r="B735"/>
  <c r="L734"/>
  <c r="K734"/>
  <c r="J734"/>
  <c r="I734"/>
  <c r="H734"/>
  <c r="G734"/>
  <c r="F734"/>
  <c r="E734"/>
  <c r="D734"/>
  <c r="C734"/>
  <c r="B734"/>
  <c r="L733"/>
  <c r="K733"/>
  <c r="J733"/>
  <c r="I733"/>
  <c r="H733"/>
  <c r="G733"/>
  <c r="F733"/>
  <c r="E733"/>
  <c r="D733"/>
  <c r="C733"/>
  <c r="B733"/>
  <c r="L732"/>
  <c r="K732"/>
  <c r="J732"/>
  <c r="I732"/>
  <c r="H732"/>
  <c r="G732"/>
  <c r="F732"/>
  <c r="E732"/>
  <c r="D732"/>
  <c r="C732"/>
  <c r="B732"/>
  <c r="L731"/>
  <c r="K731"/>
  <c r="J731"/>
  <c r="I731"/>
  <c r="H731"/>
  <c r="G731"/>
  <c r="F731"/>
  <c r="E731"/>
  <c r="D731"/>
  <c r="C731"/>
  <c r="B731"/>
  <c r="L730"/>
  <c r="K730"/>
  <c r="J730"/>
  <c r="I730"/>
  <c r="H730"/>
  <c r="G730"/>
  <c r="F730"/>
  <c r="E730"/>
  <c r="D730"/>
  <c r="C730"/>
  <c r="B730"/>
  <c r="L729"/>
  <c r="K729"/>
  <c r="J729"/>
  <c r="I729"/>
  <c r="H729"/>
  <c r="G729"/>
  <c r="F729"/>
  <c r="E729"/>
  <c r="D729"/>
  <c r="C729"/>
  <c r="B729"/>
  <c r="L728"/>
  <c r="K728"/>
  <c r="J728"/>
  <c r="I728"/>
  <c r="H728"/>
  <c r="G728"/>
  <c r="F728"/>
  <c r="E728"/>
  <c r="D728"/>
  <c r="C728"/>
  <c r="B728"/>
  <c r="L727"/>
  <c r="K727"/>
  <c r="J727"/>
  <c r="I727"/>
  <c r="H727"/>
  <c r="G727"/>
  <c r="F727"/>
  <c r="E727"/>
  <c r="D727"/>
  <c r="C727"/>
  <c r="B727"/>
  <c r="L726"/>
  <c r="K726"/>
  <c r="J726"/>
  <c r="I726"/>
  <c r="H726"/>
  <c r="G726"/>
  <c r="F726"/>
  <c r="E726"/>
  <c r="D726"/>
  <c r="C726"/>
  <c r="B726"/>
  <c r="L725"/>
  <c r="K725"/>
  <c r="J725"/>
  <c r="I725"/>
  <c r="H725"/>
  <c r="G725"/>
  <c r="F725"/>
  <c r="E725"/>
  <c r="D725"/>
  <c r="C725"/>
  <c r="B725"/>
  <c r="L724"/>
  <c r="K724"/>
  <c r="J724"/>
  <c r="I724"/>
  <c r="H724"/>
  <c r="G724"/>
  <c r="F724"/>
  <c r="E724"/>
  <c r="D724"/>
  <c r="C724"/>
  <c r="B724"/>
  <c r="L723"/>
  <c r="K723"/>
  <c r="J723"/>
  <c r="I723"/>
  <c r="H723"/>
  <c r="G723"/>
  <c r="F723"/>
  <c r="E723"/>
  <c r="D723"/>
  <c r="C723"/>
  <c r="B723"/>
  <c r="L722"/>
  <c r="K722"/>
  <c r="J722"/>
  <c r="I722"/>
  <c r="H722"/>
  <c r="G722"/>
  <c r="F722"/>
  <c r="E722"/>
  <c r="D722"/>
  <c r="C722"/>
  <c r="B722"/>
  <c r="L721"/>
  <c r="K721"/>
  <c r="J721"/>
  <c r="I721"/>
  <c r="H721"/>
  <c r="G721"/>
  <c r="F721"/>
  <c r="E721"/>
  <c r="D721"/>
  <c r="C721"/>
  <c r="B721"/>
  <c r="L720"/>
  <c r="K720"/>
  <c r="J720"/>
  <c r="I720"/>
  <c r="H720"/>
  <c r="G720"/>
  <c r="F720"/>
  <c r="E720"/>
  <c r="D720"/>
  <c r="C720"/>
  <c r="B720"/>
  <c r="L719"/>
  <c r="K719"/>
  <c r="J719"/>
  <c r="I719"/>
  <c r="H719"/>
  <c r="G719"/>
  <c r="F719"/>
  <c r="E719"/>
  <c r="D719"/>
  <c r="C719"/>
  <c r="B719"/>
  <c r="L718"/>
  <c r="K718"/>
  <c r="J718"/>
  <c r="I718"/>
  <c r="H718"/>
  <c r="G718"/>
  <c r="F718"/>
  <c r="E718"/>
  <c r="D718"/>
  <c r="C718"/>
  <c r="B718"/>
  <c r="L717"/>
  <c r="K717"/>
  <c r="J717"/>
  <c r="I717"/>
  <c r="H717"/>
  <c r="G717"/>
  <c r="F717"/>
  <c r="E717"/>
  <c r="D717"/>
  <c r="C717"/>
  <c r="B717"/>
  <c r="L716"/>
  <c r="K716"/>
  <c r="J716"/>
  <c r="I716"/>
  <c r="H716"/>
  <c r="G716"/>
  <c r="F716"/>
  <c r="E716"/>
  <c r="D716"/>
  <c r="C716"/>
  <c r="B716"/>
  <c r="L715"/>
  <c r="K715"/>
  <c r="J715"/>
  <c r="I715"/>
  <c r="H715"/>
  <c r="G715"/>
  <c r="F715"/>
  <c r="E715"/>
  <c r="D715"/>
  <c r="C715"/>
  <c r="B715"/>
  <c r="L714"/>
  <c r="K714"/>
  <c r="J714"/>
  <c r="I714"/>
  <c r="H714"/>
  <c r="G714"/>
  <c r="F714"/>
  <c r="E714"/>
  <c r="D714"/>
  <c r="C714"/>
  <c r="B714"/>
  <c r="L713"/>
  <c r="K713"/>
  <c r="J713"/>
  <c r="I713"/>
  <c r="H713"/>
  <c r="G713"/>
  <c r="F713"/>
  <c r="E713"/>
  <c r="D713"/>
  <c r="C713"/>
  <c r="B713"/>
  <c r="L712"/>
  <c r="K712"/>
  <c r="J712"/>
  <c r="I712"/>
  <c r="H712"/>
  <c r="G712"/>
  <c r="F712"/>
  <c r="E712"/>
  <c r="D712"/>
  <c r="C712"/>
  <c r="B712"/>
  <c r="L711"/>
  <c r="K711"/>
  <c r="J711"/>
  <c r="I711"/>
  <c r="H711"/>
  <c r="G711"/>
  <c r="F711"/>
  <c r="E711"/>
  <c r="D711"/>
  <c r="C711"/>
  <c r="B711"/>
  <c r="L710"/>
  <c r="K710"/>
  <c r="J710"/>
  <c r="I710"/>
  <c r="H710"/>
  <c r="G710"/>
  <c r="F710"/>
  <c r="E710"/>
  <c r="D710"/>
  <c r="C710"/>
  <c r="B710"/>
  <c r="L709"/>
  <c r="K709"/>
  <c r="J709"/>
  <c r="I709"/>
  <c r="H709"/>
  <c r="G709"/>
  <c r="F709"/>
  <c r="E709"/>
  <c r="D709"/>
  <c r="C709"/>
  <c r="B709"/>
  <c r="L708"/>
  <c r="K708"/>
  <c r="J708"/>
  <c r="I708"/>
  <c r="H708"/>
  <c r="G708"/>
  <c r="F708"/>
  <c r="E708"/>
  <c r="D708"/>
  <c r="C708"/>
  <c r="B708"/>
  <c r="L707"/>
  <c r="K707"/>
  <c r="J707"/>
  <c r="I707"/>
  <c r="H707"/>
  <c r="G707"/>
  <c r="F707"/>
  <c r="E707"/>
  <c r="D707"/>
  <c r="C707"/>
  <c r="B707"/>
  <c r="L706"/>
  <c r="K706"/>
  <c r="J706"/>
  <c r="I706"/>
  <c r="H706"/>
  <c r="G706"/>
  <c r="F706"/>
  <c r="E706"/>
  <c r="D706"/>
  <c r="C706"/>
  <c r="B706"/>
  <c r="L705"/>
  <c r="K705"/>
  <c r="J705"/>
  <c r="I705"/>
  <c r="H705"/>
  <c r="G705"/>
  <c r="F705"/>
  <c r="E705"/>
  <c r="D705"/>
  <c r="C705"/>
  <c r="B705"/>
  <c r="L704"/>
  <c r="K704"/>
  <c r="J704"/>
  <c r="I704"/>
  <c r="H704"/>
  <c r="G704"/>
  <c r="F704"/>
  <c r="E704"/>
  <c r="D704"/>
  <c r="C704"/>
  <c r="B704"/>
  <c r="L703"/>
  <c r="K703"/>
  <c r="J703"/>
  <c r="I703"/>
  <c r="H703"/>
  <c r="G703"/>
  <c r="F703"/>
  <c r="E703"/>
  <c r="D703"/>
  <c r="C703"/>
  <c r="B703"/>
  <c r="L702"/>
  <c r="K702"/>
  <c r="J702"/>
  <c r="I702"/>
  <c r="H702"/>
  <c r="G702"/>
  <c r="F702"/>
  <c r="E702"/>
  <c r="D702"/>
  <c r="C702"/>
  <c r="B702"/>
  <c r="L701"/>
  <c r="K701"/>
  <c r="J701"/>
  <c r="I701"/>
  <c r="H701"/>
  <c r="G701"/>
  <c r="F701"/>
  <c r="E701"/>
  <c r="D701"/>
  <c r="C701"/>
  <c r="B701"/>
  <c r="L700"/>
  <c r="K700"/>
  <c r="J700"/>
  <c r="I700"/>
  <c r="H700"/>
  <c r="G700"/>
  <c r="F700"/>
  <c r="E700"/>
  <c r="D700"/>
  <c r="C700"/>
  <c r="B700"/>
  <c r="L699"/>
  <c r="K699"/>
  <c r="J699"/>
  <c r="I699"/>
  <c r="H699"/>
  <c r="G699"/>
  <c r="F699"/>
  <c r="E699"/>
  <c r="D699"/>
  <c r="C699"/>
  <c r="B699"/>
  <c r="L698"/>
  <c r="K698"/>
  <c r="J698"/>
  <c r="I698"/>
  <c r="H698"/>
  <c r="G698"/>
  <c r="F698"/>
  <c r="E698"/>
  <c r="D698"/>
  <c r="C698"/>
  <c r="B698"/>
  <c r="L697"/>
  <c r="K697"/>
  <c r="J697"/>
  <c r="I697"/>
  <c r="H697"/>
  <c r="G697"/>
  <c r="F697"/>
  <c r="E697"/>
  <c r="D697"/>
  <c r="C697"/>
  <c r="B697"/>
  <c r="L696"/>
  <c r="K696"/>
  <c r="J696"/>
  <c r="I696"/>
  <c r="H696"/>
  <c r="G696"/>
  <c r="F696"/>
  <c r="E696"/>
  <c r="D696"/>
  <c r="C696"/>
  <c r="B696"/>
  <c r="L695"/>
  <c r="K695"/>
  <c r="J695"/>
  <c r="I695"/>
  <c r="H695"/>
  <c r="G695"/>
  <c r="F695"/>
  <c r="E695"/>
  <c r="D695"/>
  <c r="C695"/>
  <c r="B695"/>
  <c r="L694"/>
  <c r="K694"/>
  <c r="J694"/>
  <c r="I694"/>
  <c r="H694"/>
  <c r="G694"/>
  <c r="F694"/>
  <c r="E694"/>
  <c r="D694"/>
  <c r="C694"/>
  <c r="B694"/>
  <c r="L693"/>
  <c r="K693"/>
  <c r="J693"/>
  <c r="I693"/>
  <c r="H693"/>
  <c r="G693"/>
  <c r="F693"/>
  <c r="E693"/>
  <c r="D693"/>
  <c r="C693"/>
  <c r="B693"/>
  <c r="L692"/>
  <c r="K692"/>
  <c r="J692"/>
  <c r="I692"/>
  <c r="H692"/>
  <c r="G692"/>
  <c r="F692"/>
  <c r="E692"/>
  <c r="D692"/>
  <c r="C692"/>
  <c r="B692"/>
  <c r="L691"/>
  <c r="K691"/>
  <c r="J691"/>
  <c r="I691"/>
  <c r="H691"/>
  <c r="G691"/>
  <c r="F691"/>
  <c r="E691"/>
  <c r="D691"/>
  <c r="C691"/>
  <c r="B691"/>
  <c r="L690"/>
  <c r="K690"/>
  <c r="J690"/>
  <c r="I690"/>
  <c r="H690"/>
  <c r="G690"/>
  <c r="F690"/>
  <c r="E690"/>
  <c r="D690"/>
  <c r="C690"/>
  <c r="B690"/>
  <c r="L689"/>
  <c r="K689"/>
  <c r="J689"/>
  <c r="I689"/>
  <c r="H689"/>
  <c r="G689"/>
  <c r="F689"/>
  <c r="E689"/>
  <c r="D689"/>
  <c r="C689"/>
  <c r="B689"/>
  <c r="L688"/>
  <c r="K688"/>
  <c r="J688"/>
  <c r="I688"/>
  <c r="H688"/>
  <c r="G688"/>
  <c r="F688"/>
  <c r="E688"/>
  <c r="D688"/>
  <c r="C688"/>
  <c r="B688"/>
  <c r="L687"/>
  <c r="K687"/>
  <c r="J687"/>
  <c r="I687"/>
  <c r="H687"/>
  <c r="G687"/>
  <c r="F687"/>
  <c r="E687"/>
  <c r="D687"/>
  <c r="C687"/>
  <c r="B687"/>
  <c r="L686"/>
  <c r="K686"/>
  <c r="J686"/>
  <c r="I686"/>
  <c r="H686"/>
  <c r="G686"/>
  <c r="F686"/>
  <c r="E686"/>
  <c r="D686"/>
  <c r="C686"/>
  <c r="B686"/>
  <c r="L685"/>
  <c r="K685"/>
  <c r="J685"/>
  <c r="I685"/>
  <c r="H685"/>
  <c r="G685"/>
  <c r="F685"/>
  <c r="E685"/>
  <c r="D685"/>
  <c r="C685"/>
  <c r="B685"/>
  <c r="L684"/>
  <c r="K684"/>
  <c r="J684"/>
  <c r="I684"/>
  <c r="H684"/>
  <c r="G684"/>
  <c r="F684"/>
  <c r="E684"/>
  <c r="D684"/>
  <c r="C684"/>
  <c r="B684"/>
  <c r="L683"/>
  <c r="K683"/>
  <c r="J683"/>
  <c r="I683"/>
  <c r="H683"/>
  <c r="G683"/>
  <c r="F683"/>
  <c r="E683"/>
  <c r="D683"/>
  <c r="C683"/>
  <c r="B683"/>
  <c r="L682"/>
  <c r="K682"/>
  <c r="J682"/>
  <c r="I682"/>
  <c r="H682"/>
  <c r="G682"/>
  <c r="F682"/>
  <c r="E682"/>
  <c r="D682"/>
  <c r="C682"/>
  <c r="B682"/>
  <c r="L681"/>
  <c r="K681"/>
  <c r="J681"/>
  <c r="I681"/>
  <c r="H681"/>
  <c r="G681"/>
  <c r="F681"/>
  <c r="E681"/>
  <c r="D681"/>
  <c r="C681"/>
  <c r="B681"/>
  <c r="L680"/>
  <c r="K680"/>
  <c r="J680"/>
  <c r="I680"/>
  <c r="H680"/>
  <c r="G680"/>
  <c r="F680"/>
  <c r="E680"/>
  <c r="D680"/>
  <c r="C680"/>
  <c r="B680"/>
  <c r="L679"/>
  <c r="K679"/>
  <c r="J679"/>
  <c r="I679"/>
  <c r="H679"/>
  <c r="G679"/>
  <c r="F679"/>
  <c r="E679"/>
  <c r="D679"/>
  <c r="C679"/>
  <c r="B679"/>
  <c r="L678"/>
  <c r="K678"/>
  <c r="J678"/>
  <c r="I678"/>
  <c r="H678"/>
  <c r="G678"/>
  <c r="F678"/>
  <c r="E678"/>
  <c r="D678"/>
  <c r="C678"/>
  <c r="B678"/>
  <c r="L677"/>
  <c r="K677"/>
  <c r="J677"/>
  <c r="I677"/>
  <c r="H677"/>
  <c r="G677"/>
  <c r="F677"/>
  <c r="E677"/>
  <c r="D677"/>
  <c r="C677"/>
  <c r="B677"/>
  <c r="L676"/>
  <c r="K676"/>
  <c r="J676"/>
  <c r="I676"/>
  <c r="H676"/>
  <c r="G676"/>
  <c r="F676"/>
  <c r="E676"/>
  <c r="D676"/>
  <c r="C676"/>
  <c r="B676"/>
  <c r="L675"/>
  <c r="K675"/>
  <c r="J675"/>
  <c r="I675"/>
  <c r="H675"/>
  <c r="G675"/>
  <c r="F675"/>
  <c r="E675"/>
  <c r="D675"/>
  <c r="C675"/>
  <c r="B675"/>
  <c r="L674"/>
  <c r="K674"/>
  <c r="J674"/>
  <c r="I674"/>
  <c r="H674"/>
  <c r="G674"/>
  <c r="F674"/>
  <c r="E674"/>
  <c r="D674"/>
  <c r="C674"/>
  <c r="B674"/>
  <c r="L673"/>
  <c r="K673"/>
  <c r="J673"/>
  <c r="I673"/>
  <c r="H673"/>
  <c r="G673"/>
  <c r="F673"/>
  <c r="E673"/>
  <c r="D673"/>
  <c r="C673"/>
  <c r="B673"/>
  <c r="L672"/>
  <c r="K672"/>
  <c r="J672"/>
  <c r="I672"/>
  <c r="H672"/>
  <c r="G672"/>
  <c r="F672"/>
  <c r="E672"/>
  <c r="D672"/>
  <c r="C672"/>
  <c r="B672"/>
  <c r="L671"/>
  <c r="K671"/>
  <c r="J671"/>
  <c r="I671"/>
  <c r="H671"/>
  <c r="G671"/>
  <c r="F671"/>
  <c r="E671"/>
  <c r="D671"/>
  <c r="C671"/>
  <c r="B671"/>
  <c r="L670"/>
  <c r="K670"/>
  <c r="J670"/>
  <c r="I670"/>
  <c r="H670"/>
  <c r="G670"/>
  <c r="F670"/>
  <c r="E670"/>
  <c r="D670"/>
  <c r="C670"/>
  <c r="B670"/>
  <c r="L669"/>
  <c r="K669"/>
  <c r="J669"/>
  <c r="I669"/>
  <c r="H669"/>
  <c r="G669"/>
  <c r="F669"/>
  <c r="E669"/>
  <c r="D669"/>
  <c r="C669"/>
  <c r="B669"/>
  <c r="L668"/>
  <c r="K668"/>
  <c r="J668"/>
  <c r="I668"/>
  <c r="H668"/>
  <c r="G668"/>
  <c r="F668"/>
  <c r="E668"/>
  <c r="D668"/>
  <c r="C668"/>
  <c r="B668"/>
  <c r="L667"/>
  <c r="K667"/>
  <c r="J667"/>
  <c r="I667"/>
  <c r="H667"/>
  <c r="G667"/>
  <c r="F667"/>
  <c r="E667"/>
  <c r="D667"/>
  <c r="C667"/>
  <c r="B667"/>
  <c r="L666"/>
  <c r="K666"/>
  <c r="J666"/>
  <c r="I666"/>
  <c r="H666"/>
  <c r="G666"/>
  <c r="F666"/>
  <c r="E666"/>
  <c r="D666"/>
  <c r="C666"/>
  <c r="B666"/>
  <c r="L665"/>
  <c r="K665"/>
  <c r="J665"/>
  <c r="I665"/>
  <c r="H665"/>
  <c r="G665"/>
  <c r="F665"/>
  <c r="E665"/>
  <c r="D665"/>
  <c r="C665"/>
  <c r="B665"/>
  <c r="L664"/>
  <c r="K664"/>
  <c r="J664"/>
  <c r="I664"/>
  <c r="H664"/>
  <c r="G664"/>
  <c r="F664"/>
  <c r="E664"/>
  <c r="D664"/>
  <c r="C664"/>
  <c r="B664"/>
  <c r="L663"/>
  <c r="K663"/>
  <c r="J663"/>
  <c r="I663"/>
  <c r="H663"/>
  <c r="G663"/>
  <c r="F663"/>
  <c r="E663"/>
  <c r="D663"/>
  <c r="C663"/>
  <c r="B663"/>
  <c r="L662"/>
  <c r="K662"/>
  <c r="J662"/>
  <c r="I662"/>
  <c r="H662"/>
  <c r="G662"/>
  <c r="F662"/>
  <c r="E662"/>
  <c r="D662"/>
  <c r="C662"/>
  <c r="B662"/>
  <c r="L661"/>
  <c r="K661"/>
  <c r="J661"/>
  <c r="I661"/>
  <c r="H661"/>
  <c r="G661"/>
  <c r="F661"/>
  <c r="E661"/>
  <c r="D661"/>
  <c r="C661"/>
  <c r="B661"/>
  <c r="L660"/>
  <c r="K660"/>
  <c r="J660"/>
  <c r="I660"/>
  <c r="H660"/>
  <c r="G660"/>
  <c r="F660"/>
  <c r="E660"/>
  <c r="D660"/>
  <c r="C660"/>
  <c r="B660"/>
  <c r="L659"/>
  <c r="K659"/>
  <c r="J659"/>
  <c r="I659"/>
  <c r="H659"/>
  <c r="G659"/>
  <c r="F659"/>
  <c r="E659"/>
  <c r="D659"/>
  <c r="C659"/>
  <c r="B659"/>
  <c r="L658"/>
  <c r="K658"/>
  <c r="J658"/>
  <c r="I658"/>
  <c r="H658"/>
  <c r="G658"/>
  <c r="F658"/>
  <c r="E658"/>
  <c r="D658"/>
  <c r="C658"/>
  <c r="B658"/>
  <c r="L657"/>
  <c r="K657"/>
  <c r="J657"/>
  <c r="I657"/>
  <c r="H657"/>
  <c r="G657"/>
  <c r="F657"/>
  <c r="E657"/>
  <c r="D657"/>
  <c r="C657"/>
  <c r="B657"/>
  <c r="L656"/>
  <c r="K656"/>
  <c r="J656"/>
  <c r="I656"/>
  <c r="H656"/>
  <c r="G656"/>
  <c r="F656"/>
  <c r="E656"/>
  <c r="D656"/>
  <c r="C656"/>
  <c r="B656"/>
  <c r="L655"/>
  <c r="K655"/>
  <c r="J655"/>
  <c r="I655"/>
  <c r="H655"/>
  <c r="G655"/>
  <c r="F655"/>
  <c r="E655"/>
  <c r="D655"/>
  <c r="C655"/>
  <c r="B655"/>
  <c r="L654"/>
  <c r="K654"/>
  <c r="J654"/>
  <c r="I654"/>
  <c r="H654"/>
  <c r="G654"/>
  <c r="F654"/>
  <c r="E654"/>
  <c r="D654"/>
  <c r="C654"/>
  <c r="B654"/>
  <c r="L653"/>
  <c r="K653"/>
  <c r="J653"/>
  <c r="I653"/>
  <c r="H653"/>
  <c r="G653"/>
  <c r="F653"/>
  <c r="E653"/>
  <c r="D653"/>
  <c r="C653"/>
  <c r="B653"/>
  <c r="L652"/>
  <c r="K652"/>
  <c r="J652"/>
  <c r="I652"/>
  <c r="H652"/>
  <c r="G652"/>
  <c r="F652"/>
  <c r="E652"/>
  <c r="D652"/>
  <c r="C652"/>
  <c r="B652"/>
  <c r="L651"/>
  <c r="K651"/>
  <c r="J651"/>
  <c r="I651"/>
  <c r="H651"/>
  <c r="G651"/>
  <c r="F651"/>
  <c r="E651"/>
  <c r="D651"/>
  <c r="C651"/>
  <c r="B651"/>
  <c r="L650"/>
  <c r="K650"/>
  <c r="J650"/>
  <c r="I650"/>
  <c r="H650"/>
  <c r="G650"/>
  <c r="F650"/>
  <c r="E650"/>
  <c r="D650"/>
  <c r="C650"/>
  <c r="B650"/>
  <c r="L649"/>
  <c r="K649"/>
  <c r="J649"/>
  <c r="I649"/>
  <c r="H649"/>
  <c r="G649"/>
  <c r="F649"/>
  <c r="E649"/>
  <c r="D649"/>
  <c r="C649"/>
  <c r="B649"/>
  <c r="L648"/>
  <c r="K648"/>
  <c r="J648"/>
  <c r="I648"/>
  <c r="H648"/>
  <c r="G648"/>
  <c r="F648"/>
  <c r="E648"/>
  <c r="D648"/>
  <c r="C648"/>
  <c r="B648"/>
  <c r="L647"/>
  <c r="K647"/>
  <c r="J647"/>
  <c r="I647"/>
  <c r="H647"/>
  <c r="G647"/>
  <c r="F647"/>
  <c r="E647"/>
  <c r="D647"/>
  <c r="C647"/>
  <c r="B647"/>
  <c r="L646"/>
  <c r="K646"/>
  <c r="J646"/>
  <c r="I646"/>
  <c r="H646"/>
  <c r="G646"/>
  <c r="F646"/>
  <c r="E646"/>
  <c r="D646"/>
  <c r="C646"/>
  <c r="B646"/>
  <c r="L645"/>
  <c r="K645"/>
  <c r="J645"/>
  <c r="I645"/>
  <c r="H645"/>
  <c r="G645"/>
  <c r="F645"/>
  <c r="E645"/>
  <c r="D645"/>
  <c r="C645"/>
  <c r="B645"/>
  <c r="L644"/>
  <c r="K644"/>
  <c r="J644"/>
  <c r="I644"/>
  <c r="H644"/>
  <c r="G644"/>
  <c r="F644"/>
  <c r="E644"/>
  <c r="D644"/>
  <c r="C644"/>
  <c r="B644"/>
  <c r="L643"/>
  <c r="K643"/>
  <c r="J643"/>
  <c r="I643"/>
  <c r="H643"/>
  <c r="G643"/>
  <c r="F643"/>
  <c r="E643"/>
  <c r="D643"/>
  <c r="C643"/>
  <c r="B643"/>
  <c r="L642"/>
  <c r="K642"/>
  <c r="J642"/>
  <c r="I642"/>
  <c r="H642"/>
  <c r="G642"/>
  <c r="F642"/>
  <c r="E642"/>
  <c r="D642"/>
  <c r="C642"/>
  <c r="B642"/>
  <c r="L641"/>
  <c r="K641"/>
  <c r="J641"/>
  <c r="I641"/>
  <c r="H641"/>
  <c r="G641"/>
  <c r="F641"/>
  <c r="E641"/>
  <c r="D641"/>
  <c r="C641"/>
  <c r="B641"/>
  <c r="L640"/>
  <c r="K640"/>
  <c r="J640"/>
  <c r="I640"/>
  <c r="H640"/>
  <c r="G640"/>
  <c r="F640"/>
  <c r="E640"/>
  <c r="D640"/>
  <c r="C640"/>
  <c r="B640"/>
  <c r="L639"/>
  <c r="K639"/>
  <c r="J639"/>
  <c r="I639"/>
  <c r="H639"/>
  <c r="G639"/>
  <c r="F639"/>
  <c r="E639"/>
  <c r="D639"/>
  <c r="C639"/>
  <c r="B639"/>
  <c r="L638"/>
  <c r="K638"/>
  <c r="J638"/>
  <c r="I638"/>
  <c r="H638"/>
  <c r="G638"/>
  <c r="F638"/>
  <c r="E638"/>
  <c r="D638"/>
  <c r="C638"/>
  <c r="B638"/>
  <c r="L637"/>
  <c r="K637"/>
  <c r="J637"/>
  <c r="I637"/>
  <c r="H637"/>
  <c r="G637"/>
  <c r="F637"/>
  <c r="E637"/>
  <c r="D637"/>
  <c r="C637"/>
  <c r="B637"/>
  <c r="L636"/>
  <c r="K636"/>
  <c r="J636"/>
  <c r="I636"/>
  <c r="H636"/>
  <c r="G636"/>
  <c r="F636"/>
  <c r="E636"/>
  <c r="D636"/>
  <c r="C636"/>
  <c r="B636"/>
  <c r="L635"/>
  <c r="K635"/>
  <c r="J635"/>
  <c r="I635"/>
  <c r="H635"/>
  <c r="G635"/>
  <c r="F635"/>
  <c r="E635"/>
  <c r="D635"/>
  <c r="C635"/>
  <c r="B635"/>
  <c r="L634"/>
  <c r="K634"/>
  <c r="J634"/>
  <c r="I634"/>
  <c r="H634"/>
  <c r="G634"/>
  <c r="F634"/>
  <c r="E634"/>
  <c r="D634"/>
  <c r="C634"/>
  <c r="B634"/>
  <c r="L633"/>
  <c r="K633"/>
  <c r="J633"/>
  <c r="I633"/>
  <c r="H633"/>
  <c r="G633"/>
  <c r="F633"/>
  <c r="E633"/>
  <c r="D633"/>
  <c r="C633"/>
  <c r="B633"/>
  <c r="L632"/>
  <c r="K632"/>
  <c r="J632"/>
  <c r="I632"/>
  <c r="H632"/>
  <c r="G632"/>
  <c r="F632"/>
  <c r="E632"/>
  <c r="D632"/>
  <c r="C632"/>
  <c r="B632"/>
  <c r="L631"/>
  <c r="K631"/>
  <c r="J631"/>
  <c r="I631"/>
  <c r="H631"/>
  <c r="G631"/>
  <c r="F631"/>
  <c r="E631"/>
  <c r="D631"/>
  <c r="C631"/>
  <c r="B631"/>
  <c r="L630"/>
  <c r="K630"/>
  <c r="J630"/>
  <c r="I630"/>
  <c r="H630"/>
  <c r="G630"/>
  <c r="F630"/>
  <c r="E630"/>
  <c r="D630"/>
  <c r="C630"/>
  <c r="B630"/>
  <c r="L629"/>
  <c r="K629"/>
  <c r="J629"/>
  <c r="I629"/>
  <c r="H629"/>
  <c r="G629"/>
  <c r="F629"/>
  <c r="E629"/>
  <c r="D629"/>
  <c r="C629"/>
  <c r="B629"/>
  <c r="L628"/>
  <c r="K628"/>
  <c r="J628"/>
  <c r="I628"/>
  <c r="H628"/>
  <c r="G628"/>
  <c r="F628"/>
  <c r="E628"/>
  <c r="D628"/>
  <c r="C628"/>
  <c r="B628"/>
  <c r="L627"/>
  <c r="K627"/>
  <c r="J627"/>
  <c r="I627"/>
  <c r="H627"/>
  <c r="G627"/>
  <c r="F627"/>
  <c r="E627"/>
  <c r="D627"/>
  <c r="C627"/>
  <c r="B627"/>
  <c r="L626"/>
  <c r="K626"/>
  <c r="J626"/>
  <c r="I626"/>
  <c r="H626"/>
  <c r="G626"/>
  <c r="F626"/>
  <c r="E626"/>
  <c r="D626"/>
  <c r="C626"/>
  <c r="B626"/>
  <c r="L625"/>
  <c r="K625"/>
  <c r="J625"/>
  <c r="I625"/>
  <c r="H625"/>
  <c r="G625"/>
  <c r="F625"/>
  <c r="E625"/>
  <c r="D625"/>
  <c r="C625"/>
  <c r="B625"/>
  <c r="L624"/>
  <c r="K624"/>
  <c r="J624"/>
  <c r="I624"/>
  <c r="H624"/>
  <c r="G624"/>
  <c r="F624"/>
  <c r="E624"/>
  <c r="D624"/>
  <c r="C624"/>
  <c r="B624"/>
  <c r="L623"/>
  <c r="K623"/>
  <c r="J623"/>
  <c r="I623"/>
  <c r="H623"/>
  <c r="G623"/>
  <c r="F623"/>
  <c r="E623"/>
  <c r="D623"/>
  <c r="C623"/>
  <c r="B623"/>
  <c r="L622"/>
  <c r="K622"/>
  <c r="J622"/>
  <c r="I622"/>
  <c r="H622"/>
  <c r="G622"/>
  <c r="F622"/>
  <c r="E622"/>
  <c r="D622"/>
  <c r="C622"/>
  <c r="B622"/>
  <c r="L621"/>
  <c r="K621"/>
  <c r="J621"/>
  <c r="I621"/>
  <c r="H621"/>
  <c r="G621"/>
  <c r="F621"/>
  <c r="E621"/>
  <c r="D621"/>
  <c r="C621"/>
  <c r="B621"/>
  <c r="L620"/>
  <c r="K620"/>
  <c r="J620"/>
  <c r="I620"/>
  <c r="H620"/>
  <c r="G620"/>
  <c r="F620"/>
  <c r="E620"/>
  <c r="D620"/>
  <c r="C620"/>
  <c r="B620"/>
  <c r="L619"/>
  <c r="K619"/>
  <c r="J619"/>
  <c r="I619"/>
  <c r="H619"/>
  <c r="G619"/>
  <c r="F619"/>
  <c r="E619"/>
  <c r="D619"/>
  <c r="C619"/>
  <c r="B619"/>
  <c r="L618"/>
  <c r="K618"/>
  <c r="J618"/>
  <c r="I618"/>
  <c r="H618"/>
  <c r="G618"/>
  <c r="F618"/>
  <c r="E618"/>
  <c r="D618"/>
  <c r="C618"/>
  <c r="B618"/>
  <c r="L617"/>
  <c r="K617"/>
  <c r="J617"/>
  <c r="I617"/>
  <c r="H617"/>
  <c r="G617"/>
  <c r="F617"/>
  <c r="E617"/>
  <c r="D617"/>
  <c r="C617"/>
  <c r="B617"/>
  <c r="L616"/>
  <c r="K616"/>
  <c r="J616"/>
  <c r="I616"/>
  <c r="H616"/>
  <c r="G616"/>
  <c r="F616"/>
  <c r="E616"/>
  <c r="D616"/>
  <c r="C616"/>
  <c r="B616"/>
  <c r="L615"/>
  <c r="K615"/>
  <c r="J615"/>
  <c r="I615"/>
  <c r="H615"/>
  <c r="G615"/>
  <c r="F615"/>
  <c r="E615"/>
  <c r="D615"/>
  <c r="C615"/>
  <c r="B615"/>
  <c r="L614"/>
  <c r="K614"/>
  <c r="J614"/>
  <c r="I614"/>
  <c r="H614"/>
  <c r="G614"/>
  <c r="F614"/>
  <c r="E614"/>
  <c r="D614"/>
  <c r="C614"/>
  <c r="B614"/>
  <c r="L613"/>
  <c r="K613"/>
  <c r="J613"/>
  <c r="I613"/>
  <c r="H613"/>
  <c r="G613"/>
  <c r="F613"/>
  <c r="E613"/>
  <c r="D613"/>
  <c r="C613"/>
  <c r="B613"/>
  <c r="L612"/>
  <c r="K612"/>
  <c r="J612"/>
  <c r="I612"/>
  <c r="H612"/>
  <c r="G612"/>
  <c r="F612"/>
  <c r="E612"/>
  <c r="D612"/>
  <c r="C612"/>
  <c r="B612"/>
  <c r="L611"/>
  <c r="K611"/>
  <c r="J611"/>
  <c r="I611"/>
  <c r="H611"/>
  <c r="G611"/>
  <c r="F611"/>
  <c r="E611"/>
  <c r="D611"/>
  <c r="C611"/>
  <c r="B611"/>
  <c r="L610"/>
  <c r="K610"/>
  <c r="J610"/>
  <c r="I610"/>
  <c r="H610"/>
  <c r="G610"/>
  <c r="F610"/>
  <c r="E610"/>
  <c r="D610"/>
  <c r="C610"/>
  <c r="B610"/>
  <c r="L609"/>
  <c r="K609"/>
  <c r="J609"/>
  <c r="I609"/>
  <c r="H609"/>
  <c r="G609"/>
  <c r="F609"/>
  <c r="E609"/>
  <c r="D609"/>
  <c r="C609"/>
  <c r="B609"/>
  <c r="L608"/>
  <c r="K608"/>
  <c r="J608"/>
  <c r="I608"/>
  <c r="H608"/>
  <c r="G608"/>
  <c r="F608"/>
  <c r="E608"/>
  <c r="D608"/>
  <c r="C608"/>
  <c r="B608"/>
  <c r="L607"/>
  <c r="K607"/>
  <c r="J607"/>
  <c r="I607"/>
  <c r="H607"/>
  <c r="G607"/>
  <c r="F607"/>
  <c r="E607"/>
  <c r="D607"/>
  <c r="C607"/>
  <c r="B607"/>
  <c r="L606"/>
  <c r="K606"/>
  <c r="J606"/>
  <c r="I606"/>
  <c r="H606"/>
  <c r="G606"/>
  <c r="F606"/>
  <c r="E606"/>
  <c r="D606"/>
  <c r="C606"/>
  <c r="B606"/>
  <c r="L605"/>
  <c r="K605"/>
  <c r="J605"/>
  <c r="I605"/>
  <c r="H605"/>
  <c r="G605"/>
  <c r="F605"/>
  <c r="E605"/>
  <c r="D605"/>
  <c r="C605"/>
  <c r="B605"/>
  <c r="L604"/>
  <c r="K604"/>
  <c r="J604"/>
  <c r="I604"/>
  <c r="H604"/>
  <c r="G604"/>
  <c r="F604"/>
  <c r="E604"/>
  <c r="D604"/>
  <c r="C604"/>
  <c r="B604"/>
  <c r="L603"/>
  <c r="K603"/>
  <c r="J603"/>
  <c r="I603"/>
  <c r="H603"/>
  <c r="G603"/>
  <c r="F603"/>
  <c r="E603"/>
  <c r="D603"/>
  <c r="C603"/>
  <c r="B603"/>
  <c r="L602"/>
  <c r="K602"/>
  <c r="J602"/>
  <c r="I602"/>
  <c r="H602"/>
  <c r="G602"/>
  <c r="F602"/>
  <c r="E602"/>
  <c r="D602"/>
  <c r="C602"/>
  <c r="B602"/>
  <c r="L601"/>
  <c r="K601"/>
  <c r="J601"/>
  <c r="I601"/>
  <c r="H601"/>
  <c r="G601"/>
  <c r="F601"/>
  <c r="E601"/>
  <c r="D601"/>
  <c r="C601"/>
  <c r="B601"/>
  <c r="L600"/>
  <c r="K600"/>
  <c r="J600"/>
  <c r="I600"/>
  <c r="H600"/>
  <c r="G600"/>
  <c r="F600"/>
  <c r="E600"/>
  <c r="D600"/>
  <c r="C600"/>
  <c r="B600"/>
  <c r="L599"/>
  <c r="K599"/>
  <c r="J599"/>
  <c r="I599"/>
  <c r="H599"/>
  <c r="G599"/>
  <c r="F599"/>
  <c r="E599"/>
  <c r="D599"/>
  <c r="C599"/>
  <c r="B599"/>
  <c r="L598"/>
  <c r="K598"/>
  <c r="J598"/>
  <c r="I598"/>
  <c r="H598"/>
  <c r="G598"/>
  <c r="F598"/>
  <c r="E598"/>
  <c r="D598"/>
  <c r="C598"/>
  <c r="B598"/>
  <c r="L597"/>
  <c r="K597"/>
  <c r="J597"/>
  <c r="I597"/>
  <c r="H597"/>
  <c r="G597"/>
  <c r="F597"/>
  <c r="E597"/>
  <c r="D597"/>
  <c r="C597"/>
  <c r="B597"/>
  <c r="L596"/>
  <c r="K596"/>
  <c r="J596"/>
  <c r="I596"/>
  <c r="H596"/>
  <c r="G596"/>
  <c r="F596"/>
  <c r="E596"/>
  <c r="D596"/>
  <c r="C596"/>
  <c r="B596"/>
  <c r="L595"/>
  <c r="K595"/>
  <c r="J595"/>
  <c r="I595"/>
  <c r="H595"/>
  <c r="G595"/>
  <c r="F595"/>
  <c r="E595"/>
  <c r="D595"/>
  <c r="C595"/>
  <c r="B595"/>
  <c r="L594"/>
  <c r="K594"/>
  <c r="J594"/>
  <c r="I594"/>
  <c r="H594"/>
  <c r="G594"/>
  <c r="F594"/>
  <c r="E594"/>
  <c r="D594"/>
  <c r="C594"/>
  <c r="B594"/>
  <c r="L593"/>
  <c r="K593"/>
  <c r="J593"/>
  <c r="I593"/>
  <c r="H593"/>
  <c r="G593"/>
  <c r="F593"/>
  <c r="E593"/>
  <c r="D593"/>
  <c r="C593"/>
  <c r="B593"/>
  <c r="L592"/>
  <c r="K592"/>
  <c r="J592"/>
  <c r="I592"/>
  <c r="H592"/>
  <c r="G592"/>
  <c r="F592"/>
  <c r="E592"/>
  <c r="D592"/>
  <c r="C592"/>
  <c r="B592"/>
  <c r="L591"/>
  <c r="K591"/>
  <c r="J591"/>
  <c r="I591"/>
  <c r="H591"/>
  <c r="G591"/>
  <c r="F591"/>
  <c r="E591"/>
  <c r="D591"/>
  <c r="C591"/>
  <c r="B591"/>
  <c r="L590"/>
  <c r="K590"/>
  <c r="J590"/>
  <c r="I590"/>
  <c r="H590"/>
  <c r="G590"/>
  <c r="F590"/>
  <c r="E590"/>
  <c r="D590"/>
  <c r="C590"/>
  <c r="B590"/>
  <c r="L589"/>
  <c r="K589"/>
  <c r="J589"/>
  <c r="I589"/>
  <c r="H589"/>
  <c r="G589"/>
  <c r="F589"/>
  <c r="E589"/>
  <c r="D589"/>
  <c r="C589"/>
  <c r="B589"/>
  <c r="L588"/>
  <c r="K588"/>
  <c r="J588"/>
  <c r="I588"/>
  <c r="H588"/>
  <c r="G588"/>
  <c r="F588"/>
  <c r="E588"/>
  <c r="D588"/>
  <c r="C588"/>
  <c r="B588"/>
  <c r="L587"/>
  <c r="K587"/>
  <c r="J587"/>
  <c r="I587"/>
  <c r="H587"/>
  <c r="G587"/>
  <c r="F587"/>
  <c r="E587"/>
  <c r="D587"/>
  <c r="C587"/>
  <c r="B587"/>
  <c r="L586"/>
  <c r="K586"/>
  <c r="J586"/>
  <c r="I586"/>
  <c r="H586"/>
  <c r="G586"/>
  <c r="F586"/>
  <c r="E586"/>
  <c r="D586"/>
  <c r="C586"/>
  <c r="B586"/>
  <c r="L585"/>
  <c r="K585"/>
  <c r="J585"/>
  <c r="I585"/>
  <c r="H585"/>
  <c r="G585"/>
  <c r="F585"/>
  <c r="E585"/>
  <c r="D585"/>
  <c r="C585"/>
  <c r="B585"/>
  <c r="L584"/>
  <c r="K584"/>
  <c r="J584"/>
  <c r="I584"/>
  <c r="H584"/>
  <c r="G584"/>
  <c r="F584"/>
  <c r="E584"/>
  <c r="D584"/>
  <c r="C584"/>
  <c r="B584"/>
  <c r="L583"/>
  <c r="K583"/>
  <c r="J583"/>
  <c r="I583"/>
  <c r="H583"/>
  <c r="G583"/>
  <c r="F583"/>
  <c r="E583"/>
  <c r="D583"/>
  <c r="C583"/>
  <c r="B583"/>
  <c r="L582"/>
  <c r="K582"/>
  <c r="J582"/>
  <c r="I582"/>
  <c r="H582"/>
  <c r="G582"/>
  <c r="F582"/>
  <c r="E582"/>
  <c r="D582"/>
  <c r="C582"/>
  <c r="B582"/>
  <c r="L581"/>
  <c r="K581"/>
  <c r="J581"/>
  <c r="I581"/>
  <c r="H581"/>
  <c r="G581"/>
  <c r="F581"/>
  <c r="E581"/>
  <c r="D581"/>
  <c r="C581"/>
  <c r="B581"/>
  <c r="L580"/>
  <c r="K580"/>
  <c r="J580"/>
  <c r="I580"/>
  <c r="H580"/>
  <c r="G580"/>
  <c r="F580"/>
  <c r="E580"/>
  <c r="D580"/>
  <c r="C580"/>
  <c r="B580"/>
  <c r="L579"/>
  <c r="K579"/>
  <c r="J579"/>
  <c r="I579"/>
  <c r="H579"/>
  <c r="G579"/>
  <c r="F579"/>
  <c r="E579"/>
  <c r="D579"/>
  <c r="C579"/>
  <c r="B579"/>
  <c r="L578"/>
  <c r="K578"/>
  <c r="J578"/>
  <c r="I578"/>
  <c r="H578"/>
  <c r="G578"/>
  <c r="F578"/>
  <c r="E578"/>
  <c r="D578"/>
  <c r="C578"/>
  <c r="B578"/>
  <c r="L577"/>
  <c r="K577"/>
  <c r="J577"/>
  <c r="I577"/>
  <c r="H577"/>
  <c r="G577"/>
  <c r="F577"/>
  <c r="E577"/>
  <c r="D577"/>
  <c r="C577"/>
  <c r="B577"/>
  <c r="L576"/>
  <c r="K576"/>
  <c r="J576"/>
  <c r="I576"/>
  <c r="H576"/>
  <c r="G576"/>
  <c r="F576"/>
  <c r="E576"/>
  <c r="D576"/>
  <c r="C576"/>
  <c r="B576"/>
  <c r="L575"/>
  <c r="K575"/>
  <c r="J575"/>
  <c r="I575"/>
  <c r="H575"/>
  <c r="G575"/>
  <c r="F575"/>
  <c r="E575"/>
  <c r="D575"/>
  <c r="C575"/>
  <c r="B575"/>
  <c r="L574"/>
  <c r="K574"/>
  <c r="J574"/>
  <c r="I574"/>
  <c r="H574"/>
  <c r="G574"/>
  <c r="F574"/>
  <c r="E574"/>
  <c r="D574"/>
  <c r="C574"/>
  <c r="B574"/>
  <c r="L573"/>
  <c r="K573"/>
  <c r="J573"/>
  <c r="I573"/>
  <c r="H573"/>
  <c r="G573"/>
  <c r="F573"/>
  <c r="E573"/>
  <c r="D573"/>
  <c r="C573"/>
  <c r="B573"/>
  <c r="L572"/>
  <c r="K572"/>
  <c r="J572"/>
  <c r="I572"/>
  <c r="H572"/>
  <c r="G572"/>
  <c r="F572"/>
  <c r="E572"/>
  <c r="D572"/>
  <c r="C572"/>
  <c r="B572"/>
  <c r="L571"/>
  <c r="K571"/>
  <c r="J571"/>
  <c r="I571"/>
  <c r="H571"/>
  <c r="G571"/>
  <c r="F571"/>
  <c r="E571"/>
  <c r="D571"/>
  <c r="C571"/>
  <c r="B571"/>
  <c r="A571"/>
  <c r="L570"/>
  <c r="K570"/>
  <c r="J570"/>
  <c r="I570"/>
  <c r="H570"/>
  <c r="G570"/>
  <c r="F570"/>
  <c r="E570"/>
  <c r="D570"/>
  <c r="C570"/>
  <c r="B570"/>
  <c r="A570"/>
  <c r="L569"/>
  <c r="K569"/>
  <c r="J569"/>
  <c r="I569"/>
  <c r="H569"/>
  <c r="G569"/>
  <c r="F569"/>
  <c r="E569"/>
  <c r="D569"/>
  <c r="C569"/>
  <c r="B569"/>
  <c r="A569"/>
  <c r="L568"/>
  <c r="K568"/>
  <c r="J568"/>
  <c r="I568"/>
  <c r="H568"/>
  <c r="G568"/>
  <c r="F568"/>
  <c r="E568"/>
  <c r="D568"/>
  <c r="C568"/>
  <c r="B568"/>
  <c r="A568"/>
  <c r="L567"/>
  <c r="K567"/>
  <c r="J567"/>
  <c r="I567"/>
  <c r="H567"/>
  <c r="G567"/>
  <c r="F567"/>
  <c r="E567"/>
  <c r="D567"/>
  <c r="C567"/>
  <c r="B567"/>
  <c r="A567"/>
  <c r="L566"/>
  <c r="K566"/>
  <c r="J566"/>
  <c r="I566"/>
  <c r="H566"/>
  <c r="G566"/>
  <c r="F566"/>
  <c r="E566"/>
  <c r="D566"/>
  <c r="C566"/>
  <c r="B566"/>
  <c r="A566"/>
  <c r="L565"/>
  <c r="K565"/>
  <c r="J565"/>
  <c r="I565"/>
  <c r="H565"/>
  <c r="G565"/>
  <c r="F565"/>
  <c r="E565"/>
  <c r="D565"/>
  <c r="C565"/>
  <c r="B565"/>
  <c r="A565"/>
  <c r="L564"/>
  <c r="K564"/>
  <c r="J564"/>
  <c r="I564"/>
  <c r="H564"/>
  <c r="G564"/>
  <c r="F564"/>
  <c r="E564"/>
  <c r="D564"/>
  <c r="C564"/>
  <c r="B564"/>
  <c r="A564"/>
  <c r="L563"/>
  <c r="K563"/>
  <c r="J563"/>
  <c r="I563"/>
  <c r="H563"/>
  <c r="G563"/>
  <c r="F563"/>
  <c r="E563"/>
  <c r="D563"/>
  <c r="C563"/>
  <c r="B563"/>
  <c r="A563"/>
  <c r="L562"/>
  <c r="K562"/>
  <c r="J562"/>
  <c r="I562"/>
  <c r="H562"/>
  <c r="G562"/>
  <c r="F562"/>
  <c r="E562"/>
  <c r="D562"/>
  <c r="C562"/>
  <c r="B562"/>
  <c r="A562"/>
  <c r="L561"/>
  <c r="K561"/>
  <c r="J561"/>
  <c r="I561"/>
  <c r="H561"/>
  <c r="G561"/>
  <c r="F561"/>
  <c r="E561"/>
  <c r="D561"/>
  <c r="C561"/>
  <c r="B561"/>
  <c r="A561"/>
  <c r="L560"/>
  <c r="K560"/>
  <c r="J560"/>
  <c r="I560"/>
  <c r="H560"/>
  <c r="G560"/>
  <c r="F560"/>
  <c r="E560"/>
  <c r="D560"/>
  <c r="C560"/>
  <c r="B560"/>
  <c r="A560"/>
  <c r="L559"/>
  <c r="K559"/>
  <c r="J559"/>
  <c r="I559"/>
  <c r="H559"/>
  <c r="G559"/>
  <c r="F559"/>
  <c r="E559"/>
  <c r="D559"/>
  <c r="C559"/>
  <c r="B559"/>
  <c r="A559"/>
  <c r="L558"/>
  <c r="K558"/>
  <c r="J558"/>
  <c r="I558"/>
  <c r="H558"/>
  <c r="G558"/>
  <c r="F558"/>
  <c r="E558"/>
  <c r="D558"/>
  <c r="C558"/>
  <c r="B558"/>
  <c r="A558"/>
  <c r="L557"/>
  <c r="K557"/>
  <c r="J557"/>
  <c r="I557"/>
  <c r="H557"/>
  <c r="G557"/>
  <c r="F557"/>
  <c r="E557"/>
  <c r="D557"/>
  <c r="C557"/>
  <c r="B557"/>
  <c r="A557"/>
  <c r="L556"/>
  <c r="K556"/>
  <c r="J556"/>
  <c r="I556"/>
  <c r="H556"/>
  <c r="G556"/>
  <c r="F556"/>
  <c r="E556"/>
  <c r="D556"/>
  <c r="C556"/>
  <c r="B556"/>
  <c r="A556"/>
  <c r="L555"/>
  <c r="K555"/>
  <c r="J555"/>
  <c r="I555"/>
  <c r="H555"/>
  <c r="G555"/>
  <c r="F555"/>
  <c r="E555"/>
  <c r="D555"/>
  <c r="C555"/>
  <c r="B555"/>
  <c r="A555"/>
  <c r="L554"/>
  <c r="K554"/>
  <c r="J554"/>
  <c r="I554"/>
  <c r="H554"/>
  <c r="G554"/>
  <c r="F554"/>
  <c r="E554"/>
  <c r="D554"/>
  <c r="C554"/>
  <c r="B554"/>
  <c r="A554"/>
  <c r="L553"/>
  <c r="K553"/>
  <c r="J553"/>
  <c r="I553"/>
  <c r="H553"/>
  <c r="G553"/>
  <c r="F553"/>
  <c r="E553"/>
  <c r="D553"/>
  <c r="C553"/>
  <c r="B553"/>
  <c r="A553"/>
  <c r="L552"/>
  <c r="K552"/>
  <c r="J552"/>
  <c r="I552"/>
  <c r="H552"/>
  <c r="G552"/>
  <c r="F552"/>
  <c r="E552"/>
  <c r="D552"/>
  <c r="C552"/>
  <c r="B552"/>
  <c r="A552"/>
  <c r="L551"/>
  <c r="K551"/>
  <c r="J551"/>
  <c r="I551"/>
  <c r="H551"/>
  <c r="G551"/>
  <c r="F551"/>
  <c r="E551"/>
  <c r="D551"/>
  <c r="C551"/>
  <c r="B551"/>
  <c r="A551"/>
  <c r="L550"/>
  <c r="K550"/>
  <c r="J550"/>
  <c r="I550"/>
  <c r="H550"/>
  <c r="G550"/>
  <c r="F550"/>
  <c r="E550"/>
  <c r="D550"/>
  <c r="C550"/>
  <c r="B550"/>
  <c r="A550"/>
  <c r="L549"/>
  <c r="K549"/>
  <c r="J549"/>
  <c r="I549"/>
  <c r="H549"/>
  <c r="G549"/>
  <c r="F549"/>
  <c r="E549"/>
  <c r="D549"/>
  <c r="C549"/>
  <c r="B549"/>
  <c r="A549"/>
  <c r="L548"/>
  <c r="K548"/>
  <c r="J548"/>
  <c r="I548"/>
  <c r="H548"/>
  <c r="G548"/>
  <c r="F548"/>
  <c r="E548"/>
  <c r="D548"/>
  <c r="C548"/>
  <c r="B548"/>
  <c r="A548"/>
  <c r="L547"/>
  <c r="K547"/>
  <c r="J547"/>
  <c r="I547"/>
  <c r="H547"/>
  <c r="G547"/>
  <c r="F547"/>
  <c r="E547"/>
  <c r="D547"/>
  <c r="C547"/>
  <c r="B547"/>
  <c r="A547"/>
  <c r="L546"/>
  <c r="K546"/>
  <c r="J546"/>
  <c r="I546"/>
  <c r="H546"/>
  <c r="G546"/>
  <c r="F546"/>
  <c r="E546"/>
  <c r="D546"/>
  <c r="C546"/>
  <c r="B546"/>
  <c r="A546"/>
  <c r="L545"/>
  <c r="K545"/>
  <c r="J545"/>
  <c r="I545"/>
  <c r="H545"/>
  <c r="G545"/>
  <c r="F545"/>
  <c r="E545"/>
  <c r="D545"/>
  <c r="C545"/>
  <c r="B545"/>
  <c r="A545"/>
  <c r="L544"/>
  <c r="K544"/>
  <c r="J544"/>
  <c r="I544"/>
  <c r="H544"/>
  <c r="G544"/>
  <c r="F544"/>
  <c r="E544"/>
  <c r="D544"/>
  <c r="C544"/>
  <c r="B544"/>
  <c r="A544"/>
  <c r="L543"/>
  <c r="K543"/>
  <c r="J543"/>
  <c r="I543"/>
  <c r="H543"/>
  <c r="G543"/>
  <c r="F543"/>
  <c r="E543"/>
  <c r="D543"/>
  <c r="C543"/>
  <c r="B543"/>
  <c r="A543"/>
  <c r="L542"/>
  <c r="K542"/>
  <c r="J542"/>
  <c r="I542"/>
  <c r="H542"/>
  <c r="G542"/>
  <c r="F542"/>
  <c r="E542"/>
  <c r="D542"/>
  <c r="C542"/>
  <c r="B542"/>
  <c r="A542"/>
  <c r="L541"/>
  <c r="K541"/>
  <c r="J541"/>
  <c r="I541"/>
  <c r="H541"/>
  <c r="G541"/>
  <c r="F541"/>
  <c r="E541"/>
  <c r="D541"/>
  <c r="C541"/>
  <c r="B541"/>
  <c r="A541"/>
  <c r="L540"/>
  <c r="K540"/>
  <c r="J540"/>
  <c r="I540"/>
  <c r="H540"/>
  <c r="G540"/>
  <c r="F540"/>
  <c r="E540"/>
  <c r="D540"/>
  <c r="C540"/>
  <c r="B540"/>
  <c r="A540"/>
  <c r="L539"/>
  <c r="K539"/>
  <c r="J539"/>
  <c r="I539"/>
  <c r="H539"/>
  <c r="G539"/>
  <c r="F539"/>
  <c r="E539"/>
  <c r="D539"/>
  <c r="C539"/>
  <c r="B539"/>
  <c r="A539"/>
  <c r="L538"/>
  <c r="K538"/>
  <c r="J538"/>
  <c r="I538"/>
  <c r="H538"/>
  <c r="G538"/>
  <c r="F538"/>
  <c r="E538"/>
  <c r="D538"/>
  <c r="C538"/>
  <c r="B538"/>
  <c r="A538"/>
  <c r="L537"/>
  <c r="K537"/>
  <c r="J537"/>
  <c r="I537"/>
  <c r="H537"/>
  <c r="G537"/>
  <c r="F537"/>
  <c r="E537"/>
  <c r="D537"/>
  <c r="C537"/>
  <c r="B537"/>
  <c r="A537"/>
  <c r="L536"/>
  <c r="K536"/>
  <c r="J536"/>
  <c r="I536"/>
  <c r="H536"/>
  <c r="G536"/>
  <c r="F536"/>
  <c r="E536"/>
  <c r="D536"/>
  <c r="C536"/>
  <c r="B536"/>
  <c r="A536"/>
  <c r="L535"/>
  <c r="K535"/>
  <c r="J535"/>
  <c r="I535"/>
  <c r="H535"/>
  <c r="G535"/>
  <c r="F535"/>
  <c r="E535"/>
  <c r="D535"/>
  <c r="C535"/>
  <c r="B535"/>
  <c r="A535"/>
  <c r="L534"/>
  <c r="K534"/>
  <c r="J534"/>
  <c r="I534"/>
  <c r="H534"/>
  <c r="G534"/>
  <c r="F534"/>
  <c r="E534"/>
  <c r="D534"/>
  <c r="C534"/>
  <c r="B534"/>
  <c r="A534"/>
  <c r="L533"/>
  <c r="K533"/>
  <c r="J533"/>
  <c r="I533"/>
  <c r="H533"/>
  <c r="G533"/>
  <c r="F533"/>
  <c r="E533"/>
  <c r="D533"/>
  <c r="C533"/>
  <c r="B533"/>
  <c r="A533"/>
  <c r="L532"/>
  <c r="K532"/>
  <c r="J532"/>
  <c r="I532"/>
  <c r="H532"/>
  <c r="G532"/>
  <c r="F532"/>
  <c r="E532"/>
  <c r="D532"/>
  <c r="C532"/>
  <c r="B532"/>
  <c r="A532"/>
  <c r="L531"/>
  <c r="K531"/>
  <c r="J531"/>
  <c r="I531"/>
  <c r="H531"/>
  <c r="G531"/>
  <c r="F531"/>
  <c r="E531"/>
  <c r="D531"/>
  <c r="C531"/>
  <c r="B531"/>
  <c r="A531"/>
  <c r="L530"/>
  <c r="K530"/>
  <c r="J530"/>
  <c r="I530"/>
  <c r="H530"/>
  <c r="G530"/>
  <c r="F530"/>
  <c r="E530"/>
  <c r="D530"/>
  <c r="C530"/>
  <c r="B530"/>
  <c r="A530"/>
  <c r="L529"/>
  <c r="K529"/>
  <c r="J529"/>
  <c r="I529"/>
  <c r="H529"/>
  <c r="G529"/>
  <c r="F529"/>
  <c r="E529"/>
  <c r="D529"/>
  <c r="C529"/>
  <c r="B529"/>
  <c r="A529"/>
  <c r="L528"/>
  <c r="K528"/>
  <c r="J528"/>
  <c r="I528"/>
  <c r="H528"/>
  <c r="G528"/>
  <c r="F528"/>
  <c r="E528"/>
  <c r="D528"/>
  <c r="C528"/>
  <c r="B528"/>
  <c r="A528"/>
  <c r="L527"/>
  <c r="K527"/>
  <c r="J527"/>
  <c r="I527"/>
  <c r="H527"/>
  <c r="G527"/>
  <c r="F527"/>
  <c r="E527"/>
  <c r="D527"/>
  <c r="C527"/>
  <c r="B527"/>
  <c r="A527"/>
  <c r="L526"/>
  <c r="K526"/>
  <c r="J526"/>
  <c r="I526"/>
  <c r="H526"/>
  <c r="G526"/>
  <c r="F526"/>
  <c r="E526"/>
  <c r="D526"/>
  <c r="C526"/>
  <c r="B526"/>
  <c r="A526"/>
  <c r="L525"/>
  <c r="K525"/>
  <c r="J525"/>
  <c r="I525"/>
  <c r="H525"/>
  <c r="G525"/>
  <c r="F525"/>
  <c r="E525"/>
  <c r="D525"/>
  <c r="C525"/>
  <c r="B525"/>
  <c r="A525"/>
  <c r="L524"/>
  <c r="K524"/>
  <c r="J524"/>
  <c r="I524"/>
  <c r="H524"/>
  <c r="G524"/>
  <c r="F524"/>
  <c r="E524"/>
  <c r="D524"/>
  <c r="C524"/>
  <c r="B524"/>
  <c r="A524"/>
  <c r="L523"/>
  <c r="K523"/>
  <c r="J523"/>
  <c r="I523"/>
  <c r="H523"/>
  <c r="G523"/>
  <c r="F523"/>
  <c r="E523"/>
  <c r="D523"/>
  <c r="C523"/>
  <c r="B523"/>
  <c r="A523"/>
  <c r="L522"/>
  <c r="K522"/>
  <c r="J522"/>
  <c r="I522"/>
  <c r="H522"/>
  <c r="G522"/>
  <c r="F522"/>
  <c r="E522"/>
  <c r="D522"/>
  <c r="C522"/>
  <c r="B522"/>
  <c r="A522"/>
  <c r="L521"/>
  <c r="K521"/>
  <c r="J521"/>
  <c r="I521"/>
  <c r="H521"/>
  <c r="G521"/>
  <c r="F521"/>
  <c r="E521"/>
  <c r="D521"/>
  <c r="C521"/>
  <c r="B521"/>
  <c r="A521"/>
  <c r="L520"/>
  <c r="K520"/>
  <c r="J520"/>
  <c r="I520"/>
  <c r="H520"/>
  <c r="G520"/>
  <c r="F520"/>
  <c r="E520"/>
  <c r="D520"/>
  <c r="C520"/>
  <c r="B520"/>
  <c r="A520"/>
  <c r="L519"/>
  <c r="K519"/>
  <c r="J519"/>
  <c r="I519"/>
  <c r="H519"/>
  <c r="G519"/>
  <c r="F519"/>
  <c r="E519"/>
  <c r="D519"/>
  <c r="C519"/>
  <c r="B519"/>
  <c r="A519"/>
  <c r="L518"/>
  <c r="K518"/>
  <c r="J518"/>
  <c r="I518"/>
  <c r="H518"/>
  <c r="G518"/>
  <c r="F518"/>
  <c r="E518"/>
  <c r="D518"/>
  <c r="C518"/>
  <c r="B518"/>
  <c r="A518"/>
  <c r="L517"/>
  <c r="K517"/>
  <c r="J517"/>
  <c r="I517"/>
  <c r="H517"/>
  <c r="G517"/>
  <c r="F517"/>
  <c r="E517"/>
  <c r="D517"/>
  <c r="C517"/>
  <c r="B517"/>
  <c r="A517"/>
  <c r="L516"/>
  <c r="K516"/>
  <c r="J516"/>
  <c r="I516"/>
  <c r="H516"/>
  <c r="G516"/>
  <c r="F516"/>
  <c r="E516"/>
  <c r="D516"/>
  <c r="C516"/>
  <c r="B516"/>
  <c r="A516"/>
  <c r="L515"/>
  <c r="K515"/>
  <c r="J515"/>
  <c r="I515"/>
  <c r="H515"/>
  <c r="G515"/>
  <c r="F515"/>
  <c r="E515"/>
  <c r="D515"/>
  <c r="C515"/>
  <c r="B515"/>
  <c r="A515"/>
  <c r="L514"/>
  <c r="K514"/>
  <c r="J514"/>
  <c r="I514"/>
  <c r="H514"/>
  <c r="G514"/>
  <c r="F514"/>
  <c r="E514"/>
  <c r="D514"/>
  <c r="C514"/>
  <c r="B514"/>
  <c r="A514"/>
  <c r="L513"/>
  <c r="K513"/>
  <c r="J513"/>
  <c r="I513"/>
  <c r="H513"/>
  <c r="G513"/>
  <c r="F513"/>
  <c r="E513"/>
  <c r="D513"/>
  <c r="C513"/>
  <c r="B513"/>
  <c r="A513"/>
  <c r="L512"/>
  <c r="K512"/>
  <c r="J512"/>
  <c r="I512"/>
  <c r="H512"/>
  <c r="G512"/>
  <c r="F512"/>
  <c r="E512"/>
  <c r="D512"/>
  <c r="C512"/>
  <c r="B512"/>
  <c r="A512"/>
  <c r="L511"/>
  <c r="K511"/>
  <c r="J511"/>
  <c r="I511"/>
  <c r="H511"/>
  <c r="G511"/>
  <c r="F511"/>
  <c r="E511"/>
  <c r="D511"/>
  <c r="C511"/>
  <c r="B511"/>
  <c r="A511"/>
  <c r="L510"/>
  <c r="K510"/>
  <c r="J510"/>
  <c r="I510"/>
  <c r="H510"/>
  <c r="G510"/>
  <c r="F510"/>
  <c r="E510"/>
  <c r="D510"/>
  <c r="C510"/>
  <c r="B510"/>
  <c r="A510"/>
  <c r="L509"/>
  <c r="K509"/>
  <c r="J509"/>
  <c r="I509"/>
  <c r="H509"/>
  <c r="G509"/>
  <c r="F509"/>
  <c r="E509"/>
  <c r="D509"/>
  <c r="C509"/>
  <c r="B509"/>
  <c r="A509"/>
  <c r="L508"/>
  <c r="K508"/>
  <c r="J508"/>
  <c r="I508"/>
  <c r="H508"/>
  <c r="G508"/>
  <c r="F508"/>
  <c r="E508"/>
  <c r="D508"/>
  <c r="C508"/>
  <c r="B508"/>
  <c r="A508"/>
  <c r="L507"/>
  <c r="K507"/>
  <c r="J507"/>
  <c r="I507"/>
  <c r="H507"/>
  <c r="G507"/>
  <c r="F507"/>
  <c r="E507"/>
  <c r="D507"/>
  <c r="C507"/>
  <c r="B507"/>
  <c r="A507"/>
  <c r="L506"/>
  <c r="K506"/>
  <c r="J506"/>
  <c r="I506"/>
  <c r="H506"/>
  <c r="G506"/>
  <c r="F506"/>
  <c r="E506"/>
  <c r="D506"/>
  <c r="C506"/>
  <c r="B506"/>
  <c r="A506"/>
  <c r="L505"/>
  <c r="K505"/>
  <c r="J505"/>
  <c r="I505"/>
  <c r="H505"/>
  <c r="G505"/>
  <c r="F505"/>
  <c r="E505"/>
  <c r="D505"/>
  <c r="C505"/>
  <c r="B505"/>
  <c r="A505"/>
  <c r="L504"/>
  <c r="K504"/>
  <c r="J504"/>
  <c r="I504"/>
  <c r="H504"/>
  <c r="G504"/>
  <c r="F504"/>
  <c r="E504"/>
  <c r="D504"/>
  <c r="C504"/>
  <c r="B504"/>
  <c r="A504"/>
  <c r="L503"/>
  <c r="K503"/>
  <c r="J503"/>
  <c r="I503"/>
  <c r="H503"/>
  <c r="G503"/>
  <c r="F503"/>
  <c r="E503"/>
  <c r="D503"/>
  <c r="C503"/>
  <c r="B503"/>
  <c r="A503"/>
  <c r="L502"/>
  <c r="K502"/>
  <c r="J502"/>
  <c r="I502"/>
  <c r="H502"/>
  <c r="G502"/>
  <c r="F502"/>
  <c r="E502"/>
  <c r="D502"/>
  <c r="C502"/>
  <c r="B502"/>
  <c r="A502"/>
  <c r="L501"/>
  <c r="K501"/>
  <c r="J501"/>
  <c r="I501"/>
  <c r="H501"/>
  <c r="G501"/>
  <c r="F501"/>
  <c r="E501"/>
  <c r="D501"/>
  <c r="C501"/>
  <c r="B501"/>
  <c r="A501"/>
  <c r="L500"/>
  <c r="K500"/>
  <c r="J500"/>
  <c r="I500"/>
  <c r="H500"/>
  <c r="G500"/>
  <c r="F500"/>
  <c r="E500"/>
  <c r="D500"/>
  <c r="C500"/>
  <c r="B500"/>
  <c r="A500"/>
  <c r="L499"/>
  <c r="K499"/>
  <c r="J499"/>
  <c r="I499"/>
  <c r="H499"/>
  <c r="G499"/>
  <c r="F499"/>
  <c r="E499"/>
  <c r="D499"/>
  <c r="C499"/>
  <c r="B499"/>
  <c r="A499"/>
  <c r="L498"/>
  <c r="K498"/>
  <c r="J498"/>
  <c r="I498"/>
  <c r="H498"/>
  <c r="G498"/>
  <c r="F498"/>
  <c r="E498"/>
  <c r="D498"/>
  <c r="C498"/>
  <c r="B498"/>
  <c r="A498"/>
  <c r="L497"/>
  <c r="K497"/>
  <c r="J497"/>
  <c r="I497"/>
  <c r="H497"/>
  <c r="G497"/>
  <c r="F497"/>
  <c r="E497"/>
  <c r="D497"/>
  <c r="C497"/>
  <c r="B497"/>
  <c r="A497"/>
  <c r="L496"/>
  <c r="K496"/>
  <c r="J496"/>
  <c r="I496"/>
  <c r="H496"/>
  <c r="G496"/>
  <c r="F496"/>
  <c r="E496"/>
  <c r="D496"/>
  <c r="C496"/>
  <c r="B496"/>
  <c r="A496"/>
  <c r="L495"/>
  <c r="K495"/>
  <c r="J495"/>
  <c r="I495"/>
  <c r="H495"/>
  <c r="G495"/>
  <c r="F495"/>
  <c r="E495"/>
  <c r="D495"/>
  <c r="C495"/>
  <c r="B495"/>
  <c r="A495"/>
  <c r="L494"/>
  <c r="K494"/>
  <c r="J494"/>
  <c r="I494"/>
  <c r="H494"/>
  <c r="G494"/>
  <c r="F494"/>
  <c r="E494"/>
  <c r="D494"/>
  <c r="C494"/>
  <c r="B494"/>
  <c r="A494"/>
  <c r="L493"/>
  <c r="K493"/>
  <c r="J493"/>
  <c r="I493"/>
  <c r="H493"/>
  <c r="G493"/>
  <c r="F493"/>
  <c r="E493"/>
  <c r="D493"/>
  <c r="C493"/>
  <c r="B493"/>
  <c r="A493"/>
  <c r="L492"/>
  <c r="K492"/>
  <c r="J492"/>
  <c r="I492"/>
  <c r="H492"/>
  <c r="G492"/>
  <c r="F492"/>
  <c r="E492"/>
  <c r="D492"/>
  <c r="C492"/>
  <c r="B492"/>
  <c r="A492"/>
  <c r="L491"/>
  <c r="K491"/>
  <c r="J491"/>
  <c r="I491"/>
  <c r="H491"/>
  <c r="G491"/>
  <c r="F491"/>
  <c r="E491"/>
  <c r="D491"/>
  <c r="C491"/>
  <c r="B491"/>
  <c r="A491"/>
  <c r="L490"/>
  <c r="K490"/>
  <c r="J490"/>
  <c r="I490"/>
  <c r="H490"/>
  <c r="G490"/>
  <c r="F490"/>
  <c r="E490"/>
  <c r="D490"/>
  <c r="C490"/>
  <c r="B490"/>
  <c r="A490"/>
  <c r="L489"/>
  <c r="K489"/>
  <c r="J489"/>
  <c r="I489"/>
  <c r="H489"/>
  <c r="G489"/>
  <c r="F489"/>
  <c r="E489"/>
  <c r="D489"/>
  <c r="C489"/>
  <c r="B489"/>
  <c r="A489"/>
  <c r="L488"/>
  <c r="K488"/>
  <c r="J488"/>
  <c r="I488"/>
  <c r="H488"/>
  <c r="G488"/>
  <c r="F488"/>
  <c r="E488"/>
  <c r="D488"/>
  <c r="C488"/>
  <c r="B488"/>
  <c r="A488"/>
  <c r="L487"/>
  <c r="K487"/>
  <c r="J487"/>
  <c r="I487"/>
  <c r="H487"/>
  <c r="G487"/>
  <c r="F487"/>
  <c r="E487"/>
  <c r="D487"/>
  <c r="C487"/>
  <c r="B487"/>
  <c r="A487"/>
  <c r="L486"/>
  <c r="K486"/>
  <c r="J486"/>
  <c r="I486"/>
  <c r="H486"/>
  <c r="G486"/>
  <c r="F486"/>
  <c r="E486"/>
  <c r="D486"/>
  <c r="C486"/>
  <c r="B486"/>
  <c r="A486"/>
  <c r="L485"/>
  <c r="K485"/>
  <c r="J485"/>
  <c r="I485"/>
  <c r="H485"/>
  <c r="G485"/>
  <c r="F485"/>
  <c r="E485"/>
  <c r="D485"/>
  <c r="C485"/>
  <c r="B485"/>
  <c r="A485"/>
  <c r="L484"/>
  <c r="K484"/>
  <c r="J484"/>
  <c r="I484"/>
  <c r="H484"/>
  <c r="G484"/>
  <c r="F484"/>
  <c r="E484"/>
  <c r="D484"/>
  <c r="C484"/>
  <c r="B484"/>
  <c r="A484"/>
  <c r="L483"/>
  <c r="K483"/>
  <c r="J483"/>
  <c r="I483"/>
  <c r="H483"/>
  <c r="G483"/>
  <c r="F483"/>
  <c r="E483"/>
  <c r="D483"/>
  <c r="C483"/>
  <c r="B483"/>
  <c r="A483"/>
  <c r="L482"/>
  <c r="K482"/>
  <c r="J482"/>
  <c r="I482"/>
  <c r="H482"/>
  <c r="G482"/>
  <c r="F482"/>
  <c r="E482"/>
  <c r="D482"/>
  <c r="C482"/>
  <c r="B482"/>
  <c r="A482"/>
  <c r="L481"/>
  <c r="K481"/>
  <c r="J481"/>
  <c r="I481"/>
  <c r="H481"/>
  <c r="G481"/>
  <c r="F481"/>
  <c r="E481"/>
  <c r="D481"/>
  <c r="C481"/>
  <c r="B481"/>
  <c r="A481"/>
  <c r="L480"/>
  <c r="K480"/>
  <c r="J480"/>
  <c r="I480"/>
  <c r="H480"/>
  <c r="G480"/>
  <c r="F480"/>
  <c r="E480"/>
  <c r="D480"/>
  <c r="C480"/>
  <c r="B480"/>
  <c r="A480"/>
  <c r="L479"/>
  <c r="K479"/>
  <c r="J479"/>
  <c r="I479"/>
  <c r="H479"/>
  <c r="G479"/>
  <c r="F479"/>
  <c r="E479"/>
  <c r="D479"/>
  <c r="C479"/>
  <c r="B479"/>
  <c r="A479"/>
  <c r="L478"/>
  <c r="K478"/>
  <c r="J478"/>
  <c r="I478"/>
  <c r="H478"/>
  <c r="G478"/>
  <c r="F478"/>
  <c r="E478"/>
  <c r="D478"/>
  <c r="C478"/>
  <c r="B478"/>
  <c r="A478"/>
  <c r="L477"/>
  <c r="K477"/>
  <c r="J477"/>
  <c r="I477"/>
  <c r="H477"/>
  <c r="G477"/>
  <c r="F477"/>
  <c r="E477"/>
  <c r="D477"/>
  <c r="C477"/>
  <c r="B477"/>
  <c r="A477"/>
  <c r="L476"/>
  <c r="K476"/>
  <c r="J476"/>
  <c r="I476"/>
  <c r="H476"/>
  <c r="G476"/>
  <c r="F476"/>
  <c r="E476"/>
  <c r="D476"/>
  <c r="C476"/>
  <c r="B476"/>
  <c r="A476"/>
  <c r="L475"/>
  <c r="K475"/>
  <c r="J475"/>
  <c r="I475"/>
  <c r="H475"/>
  <c r="G475"/>
  <c r="F475"/>
  <c r="E475"/>
  <c r="D475"/>
  <c r="C475"/>
  <c r="B475"/>
  <c r="A475"/>
  <c r="L474"/>
  <c r="K474"/>
  <c r="J474"/>
  <c r="I474"/>
  <c r="H474"/>
  <c r="G474"/>
  <c r="F474"/>
  <c r="E474"/>
  <c r="D474"/>
  <c r="C474"/>
  <c r="B474"/>
  <c r="A474"/>
  <c r="L473"/>
  <c r="K473"/>
  <c r="J473"/>
  <c r="I473"/>
  <c r="H473"/>
  <c r="G473"/>
  <c r="F473"/>
  <c r="E473"/>
  <c r="D473"/>
  <c r="C473"/>
  <c r="B473"/>
  <c r="A473"/>
  <c r="L472"/>
  <c r="K472"/>
  <c r="J472"/>
  <c r="I472"/>
  <c r="H472"/>
  <c r="G472"/>
  <c r="F472"/>
  <c r="E472"/>
  <c r="D472"/>
  <c r="C472"/>
  <c r="B472"/>
  <c r="A472"/>
  <c r="L471"/>
  <c r="K471"/>
  <c r="J471"/>
  <c r="I471"/>
  <c r="H471"/>
  <c r="G471"/>
  <c r="F471"/>
  <c r="E471"/>
  <c r="D471"/>
  <c r="C471"/>
  <c r="B471"/>
  <c r="A471"/>
  <c r="L470"/>
  <c r="K470"/>
  <c r="J470"/>
  <c r="I470"/>
  <c r="H470"/>
  <c r="G470"/>
  <c r="F470"/>
  <c r="E470"/>
  <c r="D470"/>
  <c r="C470"/>
  <c r="B470"/>
  <c r="A470"/>
  <c r="L469"/>
  <c r="K469"/>
  <c r="J469"/>
  <c r="I469"/>
  <c r="H469"/>
  <c r="G469"/>
  <c r="F469"/>
  <c r="E469"/>
  <c r="D469"/>
  <c r="C469"/>
  <c r="B469"/>
  <c r="A469"/>
  <c r="L468"/>
  <c r="K468"/>
  <c r="J468"/>
  <c r="I468"/>
  <c r="H468"/>
  <c r="G468"/>
  <c r="F468"/>
  <c r="E468"/>
  <c r="D468"/>
  <c r="C468"/>
  <c r="B468"/>
  <c r="A468"/>
  <c r="L467"/>
  <c r="K467"/>
  <c r="J467"/>
  <c r="I467"/>
  <c r="H467"/>
  <c r="G467"/>
  <c r="F467"/>
  <c r="E467"/>
  <c r="D467"/>
  <c r="C467"/>
  <c r="B467"/>
  <c r="A467"/>
  <c r="L466"/>
  <c r="K466"/>
  <c r="J466"/>
  <c r="I466"/>
  <c r="H466"/>
  <c r="G466"/>
  <c r="F466"/>
  <c r="E466"/>
  <c r="D466"/>
  <c r="C466"/>
  <c r="B466"/>
  <c r="A466"/>
  <c r="L465"/>
  <c r="K465"/>
  <c r="J465"/>
  <c r="I465"/>
  <c r="H465"/>
  <c r="G465"/>
  <c r="F465"/>
  <c r="E465"/>
  <c r="D465"/>
  <c r="C465"/>
  <c r="B465"/>
  <c r="A465"/>
  <c r="L464"/>
  <c r="K464"/>
  <c r="J464"/>
  <c r="I464"/>
  <c r="H464"/>
  <c r="G464"/>
  <c r="F464"/>
  <c r="E464"/>
  <c r="D464"/>
  <c r="C464"/>
  <c r="B464"/>
  <c r="A464"/>
  <c r="L463"/>
  <c r="K463"/>
  <c r="J463"/>
  <c r="I463"/>
  <c r="H463"/>
  <c r="G463"/>
  <c r="F463"/>
  <c r="E463"/>
  <c r="D463"/>
  <c r="C463"/>
  <c r="B463"/>
  <c r="A463"/>
  <c r="L462"/>
  <c r="K462"/>
  <c r="J462"/>
  <c r="I462"/>
  <c r="H462"/>
  <c r="G462"/>
  <c r="F462"/>
  <c r="E462"/>
  <c r="D462"/>
  <c r="C462"/>
  <c r="B462"/>
  <c r="A462"/>
  <c r="L461"/>
  <c r="K461"/>
  <c r="J461"/>
  <c r="I461"/>
  <c r="H461"/>
  <c r="G461"/>
  <c r="F461"/>
  <c r="E461"/>
  <c r="D461"/>
  <c r="C461"/>
  <c r="B461"/>
  <c r="A461"/>
  <c r="L460"/>
  <c r="K460"/>
  <c r="J460"/>
  <c r="I460"/>
  <c r="H460"/>
  <c r="G460"/>
  <c r="F460"/>
  <c r="E460"/>
  <c r="D460"/>
  <c r="C460"/>
  <c r="B460"/>
  <c r="A460"/>
  <c r="L459"/>
  <c r="K459"/>
  <c r="J459"/>
  <c r="I459"/>
  <c r="H459"/>
  <c r="G459"/>
  <c r="F459"/>
  <c r="E459"/>
  <c r="D459"/>
  <c r="C459"/>
  <c r="B459"/>
  <c r="A459"/>
  <c r="L458"/>
  <c r="K458"/>
  <c r="J458"/>
  <c r="I458"/>
  <c r="H458"/>
  <c r="G458"/>
  <c r="F458"/>
  <c r="E458"/>
  <c r="D458"/>
  <c r="C458"/>
  <c r="B458"/>
  <c r="A458"/>
  <c r="L457"/>
  <c r="K457"/>
  <c r="J457"/>
  <c r="I457"/>
  <c r="H457"/>
  <c r="G457"/>
  <c r="F457"/>
  <c r="E457"/>
  <c r="D457"/>
  <c r="C457"/>
  <c r="B457"/>
  <c r="A457"/>
  <c r="L456"/>
  <c r="K456"/>
  <c r="J456"/>
  <c r="I456"/>
  <c r="H456"/>
  <c r="G456"/>
  <c r="F456"/>
  <c r="E456"/>
  <c r="D456"/>
  <c r="C456"/>
  <c r="B456"/>
  <c r="A456"/>
  <c r="L455"/>
  <c r="K455"/>
  <c r="J455"/>
  <c r="I455"/>
  <c r="H455"/>
  <c r="G455"/>
  <c r="F455"/>
  <c r="E455"/>
  <c r="D455"/>
  <c r="C455"/>
  <c r="B455"/>
  <c r="A455"/>
  <c r="L454"/>
  <c r="K454"/>
  <c r="J454"/>
  <c r="I454"/>
  <c r="H454"/>
  <c r="G454"/>
  <c r="F454"/>
  <c r="E454"/>
  <c r="D454"/>
  <c r="C454"/>
  <c r="B454"/>
  <c r="A454"/>
  <c r="L453"/>
  <c r="K453"/>
  <c r="J453"/>
  <c r="I453"/>
  <c r="H453"/>
  <c r="G453"/>
  <c r="F453"/>
  <c r="E453"/>
  <c r="D453"/>
  <c r="C453"/>
  <c r="B453"/>
  <c r="A453"/>
  <c r="L452"/>
  <c r="K452"/>
  <c r="J452"/>
  <c r="I452"/>
  <c r="H452"/>
  <c r="G452"/>
  <c r="F452"/>
  <c r="E452"/>
  <c r="D452"/>
  <c r="C452"/>
  <c r="B452"/>
  <c r="A452"/>
  <c r="L451"/>
  <c r="K451"/>
  <c r="J451"/>
  <c r="I451"/>
  <c r="H451"/>
  <c r="G451"/>
  <c r="F451"/>
  <c r="E451"/>
  <c r="D451"/>
  <c r="C451"/>
  <c r="B451"/>
  <c r="A451"/>
  <c r="L450"/>
  <c r="K450"/>
  <c r="J450"/>
  <c r="I450"/>
  <c r="H450"/>
  <c r="G450"/>
  <c r="F450"/>
  <c r="E450"/>
  <c r="D450"/>
  <c r="C450"/>
  <c r="B450"/>
  <c r="A450"/>
  <c r="L449"/>
  <c r="K449"/>
  <c r="J449"/>
  <c r="I449"/>
  <c r="H449"/>
  <c r="G449"/>
  <c r="F449"/>
  <c r="E449"/>
  <c r="D449"/>
  <c r="C449"/>
  <c r="B449"/>
  <c r="A449"/>
  <c r="L448"/>
  <c r="K448"/>
  <c r="J448"/>
  <c r="I448"/>
  <c r="H448"/>
  <c r="G448"/>
  <c r="F448"/>
  <c r="E448"/>
  <c r="D448"/>
  <c r="C448"/>
  <c r="B448"/>
  <c r="A448"/>
  <c r="L447"/>
  <c r="K447"/>
  <c r="J447"/>
  <c r="I447"/>
  <c r="H447"/>
  <c r="G447"/>
  <c r="F447"/>
  <c r="E447"/>
  <c r="D447"/>
  <c r="C447"/>
  <c r="B447"/>
  <c r="A447"/>
  <c r="L446"/>
  <c r="K446"/>
  <c r="J446"/>
  <c r="I446"/>
  <c r="H446"/>
  <c r="G446"/>
  <c r="F446"/>
  <c r="E446"/>
  <c r="D446"/>
  <c r="C446"/>
  <c r="B446"/>
  <c r="A446"/>
  <c r="L445"/>
  <c r="K445"/>
  <c r="J445"/>
  <c r="I445"/>
  <c r="H445"/>
  <c r="G445"/>
  <c r="F445"/>
  <c r="E445"/>
  <c r="D445"/>
  <c r="C445"/>
  <c r="B445"/>
  <c r="A445"/>
  <c r="L444"/>
  <c r="K444"/>
  <c r="J444"/>
  <c r="I444"/>
  <c r="H444"/>
  <c r="G444"/>
  <c r="F444"/>
  <c r="E444"/>
  <c r="D444"/>
  <c r="C444"/>
  <c r="B444"/>
  <c r="A444"/>
  <c r="L443"/>
  <c r="K443"/>
  <c r="J443"/>
  <c r="I443"/>
  <c r="H443"/>
  <c r="G443"/>
  <c r="F443"/>
  <c r="E443"/>
  <c r="D443"/>
  <c r="C443"/>
  <c r="B443"/>
  <c r="A443"/>
  <c r="L442"/>
  <c r="K442"/>
  <c r="J442"/>
  <c r="I442"/>
  <c r="H442"/>
  <c r="G442"/>
  <c r="F442"/>
  <c r="E442"/>
  <c r="D442"/>
  <c r="C442"/>
  <c r="B442"/>
  <c r="A442"/>
  <c r="L441"/>
  <c r="K441"/>
  <c r="J441"/>
  <c r="I441"/>
  <c r="H441"/>
  <c r="G441"/>
  <c r="F441"/>
  <c r="E441"/>
  <c r="D441"/>
  <c r="C441"/>
  <c r="B441"/>
  <c r="A441"/>
  <c r="L440"/>
  <c r="K440"/>
  <c r="J440"/>
  <c r="I440"/>
  <c r="H440"/>
  <c r="G440"/>
  <c r="F440"/>
  <c r="E440"/>
  <c r="D440"/>
  <c r="C440"/>
  <c r="B440"/>
  <c r="A440"/>
  <c r="L439"/>
  <c r="K439"/>
  <c r="J439"/>
  <c r="I439"/>
  <c r="H439"/>
  <c r="G439"/>
  <c r="F439"/>
  <c r="E439"/>
  <c r="D439"/>
  <c r="C439"/>
  <c r="B439"/>
  <c r="A439"/>
  <c r="L438"/>
  <c r="K438"/>
  <c r="J438"/>
  <c r="I438"/>
  <c r="H438"/>
  <c r="G438"/>
  <c r="F438"/>
  <c r="E438"/>
  <c r="D438"/>
  <c r="C438"/>
  <c r="B438"/>
  <c r="A438"/>
  <c r="L437"/>
  <c r="K437"/>
  <c r="J437"/>
  <c r="I437"/>
  <c r="H437"/>
  <c r="G437"/>
  <c r="F437"/>
  <c r="E437"/>
  <c r="D437"/>
  <c r="C437"/>
  <c r="B437"/>
  <c r="A437"/>
  <c r="L436"/>
  <c r="K436"/>
  <c r="J436"/>
  <c r="I436"/>
  <c r="H436"/>
  <c r="G436"/>
  <c r="F436"/>
  <c r="E436"/>
  <c r="D436"/>
  <c r="C436"/>
  <c r="B436"/>
  <c r="A436"/>
  <c r="L435"/>
  <c r="K435"/>
  <c r="J435"/>
  <c r="I435"/>
  <c r="H435"/>
  <c r="G435"/>
  <c r="F435"/>
  <c r="E435"/>
  <c r="D435"/>
  <c r="C435"/>
  <c r="B435"/>
  <c r="A435"/>
  <c r="L434"/>
  <c r="K434"/>
  <c r="J434"/>
  <c r="I434"/>
  <c r="H434"/>
  <c r="G434"/>
  <c r="F434"/>
  <c r="E434"/>
  <c r="D434"/>
  <c r="C434"/>
  <c r="B434"/>
  <c r="A434"/>
  <c r="L433"/>
  <c r="K433"/>
  <c r="J433"/>
  <c r="I433"/>
  <c r="H433"/>
  <c r="G433"/>
  <c r="F433"/>
  <c r="E433"/>
  <c r="D433"/>
  <c r="C433"/>
  <c r="B433"/>
  <c r="A433"/>
  <c r="L432"/>
  <c r="K432"/>
  <c r="J432"/>
  <c r="I432"/>
  <c r="H432"/>
  <c r="G432"/>
  <c r="F432"/>
  <c r="E432"/>
  <c r="D432"/>
  <c r="C432"/>
  <c r="B432"/>
  <c r="A432"/>
  <c r="L431"/>
  <c r="K431"/>
  <c r="J431"/>
  <c r="I431"/>
  <c r="H431"/>
  <c r="G431"/>
  <c r="F431"/>
  <c r="E431"/>
  <c r="D431"/>
  <c r="C431"/>
  <c r="B431"/>
  <c r="A431"/>
  <c r="L430"/>
  <c r="K430"/>
  <c r="J430"/>
  <c r="I430"/>
  <c r="H430"/>
  <c r="G430"/>
  <c r="F430"/>
  <c r="E430"/>
  <c r="D430"/>
  <c r="C430"/>
  <c r="B430"/>
  <c r="A430"/>
  <c r="L429"/>
  <c r="K429"/>
  <c r="J429"/>
  <c r="I429"/>
  <c r="H429"/>
  <c r="G429"/>
  <c r="F429"/>
  <c r="E429"/>
  <c r="D429"/>
  <c r="C429"/>
  <c r="B429"/>
  <c r="A429"/>
  <c r="L428"/>
  <c r="K428"/>
  <c r="J428"/>
  <c r="I428"/>
  <c r="H428"/>
  <c r="G428"/>
  <c r="F428"/>
  <c r="E428"/>
  <c r="D428"/>
  <c r="C428"/>
  <c r="B428"/>
  <c r="A428"/>
  <c r="L427"/>
  <c r="K427"/>
  <c r="J427"/>
  <c r="I427"/>
  <c r="H427"/>
  <c r="G427"/>
  <c r="F427"/>
  <c r="E427"/>
  <c r="D427"/>
  <c r="C427"/>
  <c r="B427"/>
  <c r="A427"/>
  <c r="L426"/>
  <c r="K426"/>
  <c r="J426"/>
  <c r="I426"/>
  <c r="H426"/>
  <c r="G426"/>
  <c r="F426"/>
  <c r="E426"/>
  <c r="D426"/>
  <c r="C426"/>
  <c r="B426"/>
  <c r="A426"/>
  <c r="L425"/>
  <c r="K425"/>
  <c r="J425"/>
  <c r="I425"/>
  <c r="H425"/>
  <c r="G425"/>
  <c r="F425"/>
  <c r="E425"/>
  <c r="D425"/>
  <c r="C425"/>
  <c r="B425"/>
  <c r="A425"/>
  <c r="L424"/>
  <c r="K424"/>
  <c r="J424"/>
  <c r="I424"/>
  <c r="H424"/>
  <c r="G424"/>
  <c r="F424"/>
  <c r="E424"/>
  <c r="D424"/>
  <c r="C424"/>
  <c r="B424"/>
  <c r="A424"/>
  <c r="L423"/>
  <c r="K423"/>
  <c r="J423"/>
  <c r="I423"/>
  <c r="H423"/>
  <c r="G423"/>
  <c r="F423"/>
  <c r="E423"/>
  <c r="D423"/>
  <c r="C423"/>
  <c r="B423"/>
  <c r="A423"/>
  <c r="L422"/>
  <c r="K422"/>
  <c r="J422"/>
  <c r="I422"/>
  <c r="H422"/>
  <c r="G422"/>
  <c r="F422"/>
  <c r="E422"/>
  <c r="D422"/>
  <c r="C422"/>
  <c r="B422"/>
  <c r="A422"/>
  <c r="L421"/>
  <c r="K421"/>
  <c r="J421"/>
  <c r="I421"/>
  <c r="H421"/>
  <c r="G421"/>
  <c r="F421"/>
  <c r="E421"/>
  <c r="D421"/>
  <c r="C421"/>
  <c r="B421"/>
  <c r="A421"/>
  <c r="L420"/>
  <c r="K420"/>
  <c r="J420"/>
  <c r="I420"/>
  <c r="H420"/>
  <c r="G420"/>
  <c r="F420"/>
  <c r="E420"/>
  <c r="D420"/>
  <c r="C420"/>
  <c r="B420"/>
  <c r="A420"/>
  <c r="L419"/>
  <c r="K419"/>
  <c r="J419"/>
  <c r="I419"/>
  <c r="H419"/>
  <c r="G419"/>
  <c r="F419"/>
  <c r="E419"/>
  <c r="D419"/>
  <c r="C419"/>
  <c r="B419"/>
  <c r="A419"/>
  <c r="L418"/>
  <c r="K418"/>
  <c r="J418"/>
  <c r="I418"/>
  <c r="H418"/>
  <c r="G418"/>
  <c r="F418"/>
  <c r="E418"/>
  <c r="D418"/>
  <c r="C418"/>
  <c r="B418"/>
  <c r="A418"/>
  <c r="L417"/>
  <c r="K417"/>
  <c r="J417"/>
  <c r="I417"/>
  <c r="H417"/>
  <c r="G417"/>
  <c r="F417"/>
  <c r="E417"/>
  <c r="D417"/>
  <c r="C417"/>
  <c r="B417"/>
  <c r="A417"/>
  <c r="L416"/>
  <c r="K416"/>
  <c r="J416"/>
  <c r="I416"/>
  <c r="H416"/>
  <c r="G416"/>
  <c r="F416"/>
  <c r="E416"/>
  <c r="D416"/>
  <c r="C416"/>
  <c r="B416"/>
  <c r="A416"/>
  <c r="L415"/>
  <c r="K415"/>
  <c r="J415"/>
  <c r="I415"/>
  <c r="H415"/>
  <c r="G415"/>
  <c r="F415"/>
  <c r="E415"/>
  <c r="D415"/>
  <c r="C415"/>
  <c r="B415"/>
  <c r="A415"/>
  <c r="L414"/>
  <c r="K414"/>
  <c r="J414"/>
  <c r="I414"/>
  <c r="H414"/>
  <c r="G414"/>
  <c r="F414"/>
  <c r="E414"/>
  <c r="D414"/>
  <c r="C414"/>
  <c r="B414"/>
  <c r="A414"/>
  <c r="L413"/>
  <c r="K413"/>
  <c r="J413"/>
  <c r="I413"/>
  <c r="H413"/>
  <c r="G413"/>
  <c r="F413"/>
  <c r="E413"/>
  <c r="D413"/>
  <c r="C413"/>
  <c r="B413"/>
  <c r="A413"/>
  <c r="L412"/>
  <c r="K412"/>
  <c r="J412"/>
  <c r="I412"/>
  <c r="H412"/>
  <c r="G412"/>
  <c r="F412"/>
  <c r="E412"/>
  <c r="D412"/>
  <c r="C412"/>
  <c r="B412"/>
  <c r="A412"/>
  <c r="L411"/>
  <c r="K411"/>
  <c r="J411"/>
  <c r="I411"/>
  <c r="H411"/>
  <c r="G411"/>
  <c r="F411"/>
  <c r="E411"/>
  <c r="D411"/>
  <c r="C411"/>
  <c r="B411"/>
  <c r="A411"/>
  <c r="L410"/>
  <c r="K410"/>
  <c r="J410"/>
  <c r="I410"/>
  <c r="H410"/>
  <c r="G410"/>
  <c r="F410"/>
  <c r="E410"/>
  <c r="D410"/>
  <c r="C410"/>
  <c r="B410"/>
  <c r="A410"/>
  <c r="L409"/>
  <c r="K409"/>
  <c r="J409"/>
  <c r="I409"/>
  <c r="H409"/>
  <c r="G409"/>
  <c r="F409"/>
  <c r="E409"/>
  <c r="D409"/>
  <c r="C409"/>
  <c r="B409"/>
  <c r="A409"/>
  <c r="L408"/>
  <c r="K408"/>
  <c r="J408"/>
  <c r="I408"/>
  <c r="H408"/>
  <c r="G408"/>
  <c r="F408"/>
  <c r="E408"/>
  <c r="D408"/>
  <c r="C408"/>
  <c r="B408"/>
  <c r="A408"/>
  <c r="L407"/>
  <c r="K407"/>
  <c r="J407"/>
  <c r="I407"/>
  <c r="H407"/>
  <c r="G407"/>
  <c r="F407"/>
  <c r="E407"/>
  <c r="D407"/>
  <c r="C407"/>
  <c r="B407"/>
  <c r="A407"/>
  <c r="L406"/>
  <c r="K406"/>
  <c r="J406"/>
  <c r="I406"/>
  <c r="H406"/>
  <c r="G406"/>
  <c r="F406"/>
  <c r="E406"/>
  <c r="D406"/>
  <c r="C406"/>
  <c r="B406"/>
  <c r="A406"/>
  <c r="L405"/>
  <c r="K405"/>
  <c r="J405"/>
  <c r="I405"/>
  <c r="H405"/>
  <c r="G405"/>
  <c r="F405"/>
  <c r="E405"/>
  <c r="D405"/>
  <c r="C405"/>
  <c r="B405"/>
  <c r="A405"/>
  <c r="L404"/>
  <c r="K404"/>
  <c r="J404"/>
  <c r="I404"/>
  <c r="H404"/>
  <c r="G404"/>
  <c r="F404"/>
  <c r="E404"/>
  <c r="D404"/>
  <c r="C404"/>
  <c r="B404"/>
  <c r="A404"/>
  <c r="L403"/>
  <c r="K403"/>
  <c r="J403"/>
  <c r="I403"/>
  <c r="H403"/>
  <c r="G403"/>
  <c r="F403"/>
  <c r="E403"/>
  <c r="D403"/>
  <c r="C403"/>
  <c r="B403"/>
  <c r="A403"/>
  <c r="L402"/>
  <c r="K402"/>
  <c r="J402"/>
  <c r="I402"/>
  <c r="H402"/>
  <c r="G402"/>
  <c r="F402"/>
  <c r="E402"/>
  <c r="D402"/>
  <c r="C402"/>
  <c r="B402"/>
  <c r="A402"/>
  <c r="L401"/>
  <c r="K401"/>
  <c r="J401"/>
  <c r="I401"/>
  <c r="H401"/>
  <c r="G401"/>
  <c r="F401"/>
  <c r="E401"/>
  <c r="D401"/>
  <c r="C401"/>
  <c r="B401"/>
  <c r="A401"/>
  <c r="L400"/>
  <c r="K400"/>
  <c r="J400"/>
  <c r="I400"/>
  <c r="H400"/>
  <c r="G400"/>
  <c r="F400"/>
  <c r="E400"/>
  <c r="D400"/>
  <c r="C400"/>
  <c r="B400"/>
  <c r="A400"/>
  <c r="L399"/>
  <c r="K399"/>
  <c r="J399"/>
  <c r="I399"/>
  <c r="H399"/>
  <c r="G399"/>
  <c r="F399"/>
  <c r="E399"/>
  <c r="D399"/>
  <c r="C399"/>
  <c r="B399"/>
  <c r="A399"/>
  <c r="L398"/>
  <c r="K398"/>
  <c r="J398"/>
  <c r="I398"/>
  <c r="H398"/>
  <c r="G398"/>
  <c r="F398"/>
  <c r="E398"/>
  <c r="D398"/>
  <c r="C398"/>
  <c r="B398"/>
  <c r="A398"/>
  <c r="L397"/>
  <c r="K397"/>
  <c r="J397"/>
  <c r="I397"/>
  <c r="H397"/>
  <c r="G397"/>
  <c r="F397"/>
  <c r="E397"/>
  <c r="D397"/>
  <c r="C397"/>
  <c r="B397"/>
  <c r="A397"/>
  <c r="L396"/>
  <c r="K396"/>
  <c r="J396"/>
  <c r="I396"/>
  <c r="H396"/>
  <c r="G396"/>
  <c r="F396"/>
  <c r="E396"/>
  <c r="D396"/>
  <c r="C396"/>
  <c r="B396"/>
  <c r="A396"/>
  <c r="L395"/>
  <c r="K395"/>
  <c r="J395"/>
  <c r="I395"/>
  <c r="H395"/>
  <c r="G395"/>
  <c r="F395"/>
  <c r="E395"/>
  <c r="D395"/>
  <c r="C395"/>
  <c r="B395"/>
  <c r="A395"/>
  <c r="L394"/>
  <c r="K394"/>
  <c r="J394"/>
  <c r="I394"/>
  <c r="H394"/>
  <c r="G394"/>
  <c r="F394"/>
  <c r="E394"/>
  <c r="D394"/>
  <c r="C394"/>
  <c r="B394"/>
  <c r="A394"/>
  <c r="L393"/>
  <c r="K393"/>
  <c r="J393"/>
  <c r="I393"/>
  <c r="H393"/>
  <c r="G393"/>
  <c r="F393"/>
  <c r="E393"/>
  <c r="D393"/>
  <c r="C393"/>
  <c r="B393"/>
  <c r="A393"/>
  <c r="L392"/>
  <c r="K392"/>
  <c r="J392"/>
  <c r="I392"/>
  <c r="H392"/>
  <c r="G392"/>
  <c r="F392"/>
  <c r="E392"/>
  <c r="D392"/>
  <c r="C392"/>
  <c r="B392"/>
  <c r="A392"/>
  <c r="L391"/>
  <c r="K391"/>
  <c r="J391"/>
  <c r="I391"/>
  <c r="H391"/>
  <c r="G391"/>
  <c r="F391"/>
  <c r="E391"/>
  <c r="D391"/>
  <c r="C391"/>
  <c r="B391"/>
  <c r="A391"/>
  <c r="L390"/>
  <c r="K390"/>
  <c r="J390"/>
  <c r="I390"/>
  <c r="H390"/>
  <c r="G390"/>
  <c r="F390"/>
  <c r="E390"/>
  <c r="D390"/>
  <c r="C390"/>
  <c r="B390"/>
  <c r="A390"/>
  <c r="L389"/>
  <c r="K389"/>
  <c r="J389"/>
  <c r="I389"/>
  <c r="H389"/>
  <c r="G389"/>
  <c r="F389"/>
  <c r="E389"/>
  <c r="D389"/>
  <c r="C389"/>
  <c r="B389"/>
  <c r="A389"/>
  <c r="L388"/>
  <c r="K388"/>
  <c r="J388"/>
  <c r="I388"/>
  <c r="H388"/>
  <c r="G388"/>
  <c r="F388"/>
  <c r="E388"/>
  <c r="D388"/>
  <c r="C388"/>
  <c r="B388"/>
  <c r="A388"/>
  <c r="L387"/>
  <c r="K387"/>
  <c r="J387"/>
  <c r="I387"/>
  <c r="H387"/>
  <c r="G387"/>
  <c r="F387"/>
  <c r="E387"/>
  <c r="D387"/>
  <c r="C387"/>
  <c r="B387"/>
  <c r="A387"/>
  <c r="L386"/>
  <c r="K386"/>
  <c r="J386"/>
  <c r="I386"/>
  <c r="H386"/>
  <c r="G386"/>
  <c r="F386"/>
  <c r="E386"/>
  <c r="D386"/>
  <c r="C386"/>
  <c r="B386"/>
  <c r="A386"/>
  <c r="L385"/>
  <c r="K385"/>
  <c r="J385"/>
  <c r="I385"/>
  <c r="H385"/>
  <c r="G385"/>
  <c r="F385"/>
  <c r="E385"/>
  <c r="D385"/>
  <c r="C385"/>
  <c r="B385"/>
  <c r="A385"/>
  <c r="L384"/>
  <c r="K384"/>
  <c r="J384"/>
  <c r="I384"/>
  <c r="H384"/>
  <c r="G384"/>
  <c r="F384"/>
  <c r="E384"/>
  <c r="D384"/>
  <c r="C384"/>
  <c r="B384"/>
  <c r="A384"/>
  <c r="L383"/>
  <c r="K383"/>
  <c r="J383"/>
  <c r="I383"/>
  <c r="H383"/>
  <c r="G383"/>
  <c r="F383"/>
  <c r="E383"/>
  <c r="D383"/>
  <c r="C383"/>
  <c r="B383"/>
  <c r="A383"/>
  <c r="L382"/>
  <c r="K382"/>
  <c r="J382"/>
  <c r="I382"/>
  <c r="H382"/>
  <c r="G382"/>
  <c r="F382"/>
  <c r="E382"/>
  <c r="D382"/>
  <c r="C382"/>
  <c r="B382"/>
  <c r="A382"/>
  <c r="L381"/>
  <c r="K381"/>
  <c r="J381"/>
  <c r="I381"/>
  <c r="H381"/>
  <c r="G381"/>
  <c r="F381"/>
  <c r="E381"/>
  <c r="D381"/>
  <c r="C381"/>
  <c r="B381"/>
  <c r="A381"/>
  <c r="L380"/>
  <c r="K380"/>
  <c r="J380"/>
  <c r="I380"/>
  <c r="H380"/>
  <c r="G380"/>
  <c r="F380"/>
  <c r="E380"/>
  <c r="D380"/>
  <c r="C380"/>
  <c r="B380"/>
  <c r="A380"/>
  <c r="L379"/>
  <c r="K379"/>
  <c r="J379"/>
  <c r="I379"/>
  <c r="H379"/>
  <c r="G379"/>
  <c r="F379"/>
  <c r="E379"/>
  <c r="D379"/>
  <c r="C379"/>
  <c r="B379"/>
  <c r="A379"/>
  <c r="L378"/>
  <c r="K378"/>
  <c r="J378"/>
  <c r="I378"/>
  <c r="H378"/>
  <c r="G378"/>
  <c r="F378"/>
  <c r="E378"/>
  <c r="D378"/>
  <c r="C378"/>
  <c r="B378"/>
  <c r="A378"/>
  <c r="L377"/>
  <c r="K377"/>
  <c r="J377"/>
  <c r="I377"/>
  <c r="H377"/>
  <c r="G377"/>
  <c r="F377"/>
  <c r="E377"/>
  <c r="D377"/>
  <c r="C377"/>
  <c r="B377"/>
  <c r="A377"/>
  <c r="L376"/>
  <c r="K376"/>
  <c r="J376"/>
  <c r="I376"/>
  <c r="H376"/>
  <c r="G376"/>
  <c r="F376"/>
  <c r="E376"/>
  <c r="D376"/>
  <c r="C376"/>
  <c r="B376"/>
  <c r="A376"/>
  <c r="L375"/>
  <c r="K375"/>
  <c r="J375"/>
  <c r="I375"/>
  <c r="H375"/>
  <c r="G375"/>
  <c r="F375"/>
  <c r="E375"/>
  <c r="D375"/>
  <c r="C375"/>
  <c r="B375"/>
  <c r="A375"/>
  <c r="L374"/>
  <c r="K374"/>
  <c r="J374"/>
  <c r="I374"/>
  <c r="H374"/>
  <c r="G374"/>
  <c r="F374"/>
  <c r="E374"/>
  <c r="D374"/>
  <c r="C374"/>
  <c r="B374"/>
  <c r="A374"/>
  <c r="L373"/>
  <c r="K373"/>
  <c r="J373"/>
  <c r="I373"/>
  <c r="H373"/>
  <c r="G373"/>
  <c r="F373"/>
  <c r="E373"/>
  <c r="D373"/>
  <c r="C373"/>
  <c r="B373"/>
  <c r="A373"/>
  <c r="L372"/>
  <c r="K372"/>
  <c r="J372"/>
  <c r="I372"/>
  <c r="H372"/>
  <c r="G372"/>
  <c r="F372"/>
  <c r="E372"/>
  <c r="D372"/>
  <c r="C372"/>
  <c r="B372"/>
  <c r="A372"/>
  <c r="L371"/>
  <c r="K371"/>
  <c r="J371"/>
  <c r="I371"/>
  <c r="H371"/>
  <c r="G371"/>
  <c r="F371"/>
  <c r="E371"/>
  <c r="D371"/>
  <c r="C371"/>
  <c r="B371"/>
  <c r="A371"/>
  <c r="L370"/>
  <c r="K370"/>
  <c r="J370"/>
  <c r="I370"/>
  <c r="H370"/>
  <c r="G370"/>
  <c r="F370"/>
  <c r="E370"/>
  <c r="D370"/>
  <c r="C370"/>
  <c r="B370"/>
  <c r="A370"/>
  <c r="L369"/>
  <c r="K369"/>
  <c r="J369"/>
  <c r="I369"/>
  <c r="H369"/>
  <c r="G369"/>
  <c r="F369"/>
  <c r="E369"/>
  <c r="D369"/>
  <c r="C369"/>
  <c r="B369"/>
  <c r="A369"/>
  <c r="L368"/>
  <c r="K368"/>
  <c r="J368"/>
  <c r="I368"/>
  <c r="H368"/>
  <c r="G368"/>
  <c r="F368"/>
  <c r="E368"/>
  <c r="D368"/>
  <c r="C368"/>
  <c r="B368"/>
  <c r="A368"/>
  <c r="L367"/>
  <c r="K367"/>
  <c r="J367"/>
  <c r="I367"/>
  <c r="H367"/>
  <c r="G367"/>
  <c r="F367"/>
  <c r="E367"/>
  <c r="D367"/>
  <c r="C367"/>
  <c r="B367"/>
  <c r="A367"/>
  <c r="L366"/>
  <c r="K366"/>
  <c r="J366"/>
  <c r="I366"/>
  <c r="H366"/>
  <c r="G366"/>
  <c r="F366"/>
  <c r="E366"/>
  <c r="D366"/>
  <c r="C366"/>
  <c r="B366"/>
  <c r="A366"/>
  <c r="L365"/>
  <c r="K365"/>
  <c r="J365"/>
  <c r="I365"/>
  <c r="H365"/>
  <c r="G365"/>
  <c r="F365"/>
  <c r="E365"/>
  <c r="D365"/>
  <c r="C365"/>
  <c r="B365"/>
  <c r="A365"/>
  <c r="L364"/>
  <c r="K364"/>
  <c r="J364"/>
  <c r="I364"/>
  <c r="H364"/>
  <c r="G364"/>
  <c r="F364"/>
  <c r="E364"/>
  <c r="D364"/>
  <c r="C364"/>
  <c r="B364"/>
  <c r="A364"/>
  <c r="L363"/>
  <c r="K363"/>
  <c r="J363"/>
  <c r="I363"/>
  <c r="H363"/>
  <c r="G363"/>
  <c r="F363"/>
  <c r="E363"/>
  <c r="D363"/>
  <c r="C363"/>
  <c r="B363"/>
  <c r="A363"/>
  <c r="L362"/>
  <c r="K362"/>
  <c r="J362"/>
  <c r="I362"/>
  <c r="H362"/>
  <c r="G362"/>
  <c r="F362"/>
  <c r="E362"/>
  <c r="D362"/>
  <c r="C362"/>
  <c r="B362"/>
  <c r="A362"/>
  <c r="L361"/>
  <c r="K361"/>
  <c r="J361"/>
  <c r="I361"/>
  <c r="H361"/>
  <c r="G361"/>
  <c r="F361"/>
  <c r="E361"/>
  <c r="D361"/>
  <c r="C361"/>
  <c r="B361"/>
  <c r="A361"/>
  <c r="L360"/>
  <c r="K360"/>
  <c r="J360"/>
  <c r="I360"/>
  <c r="H360"/>
  <c r="G360"/>
  <c r="F360"/>
  <c r="E360"/>
  <c r="D360"/>
  <c r="C360"/>
  <c r="B360"/>
  <c r="A360"/>
  <c r="L359"/>
  <c r="K359"/>
  <c r="J359"/>
  <c r="I359"/>
  <c r="H359"/>
  <c r="G359"/>
  <c r="F359"/>
  <c r="E359"/>
  <c r="D359"/>
  <c r="C359"/>
  <c r="B359"/>
  <c r="A359"/>
  <c r="L358"/>
  <c r="K358"/>
  <c r="J358"/>
  <c r="I358"/>
  <c r="H358"/>
  <c r="G358"/>
  <c r="F358"/>
  <c r="E358"/>
  <c r="D358"/>
  <c r="C358"/>
  <c r="B358"/>
  <c r="A358"/>
  <c r="L357"/>
  <c r="K357"/>
  <c r="J357"/>
  <c r="I357"/>
  <c r="H357"/>
  <c r="G357"/>
  <c r="F357"/>
  <c r="E357"/>
  <c r="D357"/>
  <c r="C357"/>
  <c r="B357"/>
  <c r="A357"/>
  <c r="L356"/>
  <c r="K356"/>
  <c r="J356"/>
  <c r="I356"/>
  <c r="H356"/>
  <c r="G356"/>
  <c r="F356"/>
  <c r="E356"/>
  <c r="D356"/>
  <c r="C356"/>
  <c r="B356"/>
  <c r="A356"/>
  <c r="L355"/>
  <c r="K355"/>
  <c r="J355"/>
  <c r="I355"/>
  <c r="H355"/>
  <c r="G355"/>
  <c r="F355"/>
  <c r="E355"/>
  <c r="D355"/>
  <c r="C355"/>
  <c r="B355"/>
  <c r="A355"/>
  <c r="L354"/>
  <c r="K354"/>
  <c r="J354"/>
  <c r="I354"/>
  <c r="H354"/>
  <c r="G354"/>
  <c r="F354"/>
  <c r="E354"/>
  <c r="D354"/>
  <c r="C354"/>
  <c r="B354"/>
  <c r="A354"/>
  <c r="L353"/>
  <c r="K353"/>
  <c r="J353"/>
  <c r="I353"/>
  <c r="H353"/>
  <c r="G353"/>
  <c r="F353"/>
  <c r="E353"/>
  <c r="D353"/>
  <c r="C353"/>
  <c r="B353"/>
  <c r="A353"/>
  <c r="L352"/>
  <c r="K352"/>
  <c r="J352"/>
  <c r="I352"/>
  <c r="H352"/>
  <c r="G352"/>
  <c r="F352"/>
  <c r="E352"/>
  <c r="D352"/>
  <c r="C352"/>
  <c r="B352"/>
  <c r="A352"/>
  <c r="L351"/>
  <c r="K351"/>
  <c r="J351"/>
  <c r="I351"/>
  <c r="H351"/>
  <c r="G351"/>
  <c r="F351"/>
  <c r="E351"/>
  <c r="D351"/>
  <c r="C351"/>
  <c r="B351"/>
  <c r="A351"/>
  <c r="L350"/>
  <c r="K350"/>
  <c r="J350"/>
  <c r="I350"/>
  <c r="H350"/>
  <c r="G350"/>
  <c r="F350"/>
  <c r="E350"/>
  <c r="D350"/>
  <c r="C350"/>
  <c r="B350"/>
  <c r="A350"/>
  <c r="L349"/>
  <c r="K349"/>
  <c r="J349"/>
  <c r="I349"/>
  <c r="H349"/>
  <c r="G349"/>
  <c r="F349"/>
  <c r="E349"/>
  <c r="D349"/>
  <c r="C349"/>
  <c r="B349"/>
  <c r="A349"/>
  <c r="L348"/>
  <c r="K348"/>
  <c r="J348"/>
  <c r="I348"/>
  <c r="H348"/>
  <c r="G348"/>
  <c r="F348"/>
  <c r="E348"/>
  <c r="D348"/>
  <c r="C348"/>
  <c r="B348"/>
  <c r="A348"/>
  <c r="L347"/>
  <c r="K347"/>
  <c r="J347"/>
  <c r="I347"/>
  <c r="H347"/>
  <c r="G347"/>
  <c r="F347"/>
  <c r="E347"/>
  <c r="D347"/>
  <c r="C347"/>
  <c r="B347"/>
  <c r="A347"/>
  <c r="L346"/>
  <c r="K346"/>
  <c r="J346"/>
  <c r="I346"/>
  <c r="H346"/>
  <c r="G346"/>
  <c r="F346"/>
  <c r="E346"/>
  <c r="D346"/>
  <c r="C346"/>
  <c r="B346"/>
  <c r="A346"/>
  <c r="L345"/>
  <c r="K345"/>
  <c r="J345"/>
  <c r="I345"/>
  <c r="H345"/>
  <c r="G345"/>
  <c r="F345"/>
  <c r="E345"/>
  <c r="D345"/>
  <c r="C345"/>
  <c r="B345"/>
  <c r="A345"/>
  <c r="L344"/>
  <c r="K344"/>
  <c r="J344"/>
  <c r="I344"/>
  <c r="H344"/>
  <c r="G344"/>
  <c r="F344"/>
  <c r="E344"/>
  <c r="D344"/>
  <c r="C344"/>
  <c r="B344"/>
  <c r="A344"/>
  <c r="L343"/>
  <c r="K343"/>
  <c r="J343"/>
  <c r="I343"/>
  <c r="H343"/>
  <c r="G343"/>
  <c r="F343"/>
  <c r="E343"/>
  <c r="D343"/>
  <c r="C343"/>
  <c r="B343"/>
  <c r="A343"/>
  <c r="L342"/>
  <c r="K342"/>
  <c r="J342"/>
  <c r="I342"/>
  <c r="H342"/>
  <c r="G342"/>
  <c r="F342"/>
  <c r="E342"/>
  <c r="D342"/>
  <c r="C342"/>
  <c r="B342"/>
  <c r="A342"/>
  <c r="L341"/>
  <c r="K341"/>
  <c r="J341"/>
  <c r="I341"/>
  <c r="H341"/>
  <c r="G341"/>
  <c r="F341"/>
  <c r="E341"/>
  <c r="D341"/>
  <c r="C341"/>
  <c r="B341"/>
  <c r="A341"/>
  <c r="L340"/>
  <c r="K340"/>
  <c r="J340"/>
  <c r="I340"/>
  <c r="H340"/>
  <c r="G340"/>
  <c r="F340"/>
  <c r="E340"/>
  <c r="D340"/>
  <c r="C340"/>
  <c r="B340"/>
  <c r="A340"/>
  <c r="L339"/>
  <c r="K339"/>
  <c r="J339"/>
  <c r="I339"/>
  <c r="H339"/>
  <c r="G339"/>
  <c r="F339"/>
  <c r="E339"/>
  <c r="D339"/>
  <c r="C339"/>
  <c r="B339"/>
  <c r="A339"/>
  <c r="L338"/>
  <c r="K338"/>
  <c r="J338"/>
  <c r="I338"/>
  <c r="H338"/>
  <c r="G338"/>
  <c r="F338"/>
  <c r="E338"/>
  <c r="D338"/>
  <c r="C338"/>
  <c r="B338"/>
  <c r="A338"/>
  <c r="L337"/>
  <c r="K337"/>
  <c r="J337"/>
  <c r="I337"/>
  <c r="H337"/>
  <c r="G337"/>
  <c r="F337"/>
  <c r="E337"/>
  <c r="D337"/>
  <c r="C337"/>
  <c r="B337"/>
  <c r="A337"/>
  <c r="L336"/>
  <c r="K336"/>
  <c r="J336"/>
  <c r="I336"/>
  <c r="H336"/>
  <c r="G336"/>
  <c r="F336"/>
  <c r="E336"/>
  <c r="D336"/>
  <c r="C336"/>
  <c r="B336"/>
  <c r="A336"/>
  <c r="L335"/>
  <c r="K335"/>
  <c r="J335"/>
  <c r="I335"/>
  <c r="H335"/>
  <c r="G335"/>
  <c r="F335"/>
  <c r="E335"/>
  <c r="D335"/>
  <c r="C335"/>
  <c r="B335"/>
  <c r="A335"/>
  <c r="L334"/>
  <c r="K334"/>
  <c r="J334"/>
  <c r="I334"/>
  <c r="H334"/>
  <c r="G334"/>
  <c r="F334"/>
  <c r="E334"/>
  <c r="D334"/>
  <c r="C334"/>
  <c r="B334"/>
  <c r="A334"/>
  <c r="L333"/>
  <c r="K333"/>
  <c r="J333"/>
  <c r="I333"/>
  <c r="H333"/>
  <c r="G333"/>
  <c r="F333"/>
  <c r="E333"/>
  <c r="D333"/>
  <c r="C333"/>
  <c r="B333"/>
  <c r="A333"/>
  <c r="L332"/>
  <c r="K332"/>
  <c r="J332"/>
  <c r="I332"/>
  <c r="H332"/>
  <c r="G332"/>
  <c r="F332"/>
  <c r="E332"/>
  <c r="D332"/>
  <c r="C332"/>
  <c r="B332"/>
  <c r="A332"/>
  <c r="L331"/>
  <c r="K331"/>
  <c r="J331"/>
  <c r="I331"/>
  <c r="H331"/>
  <c r="G331"/>
  <c r="F331"/>
  <c r="E331"/>
  <c r="D331"/>
  <c r="C331"/>
  <c r="B331"/>
  <c r="A331"/>
  <c r="L330"/>
  <c r="K330"/>
  <c r="J330"/>
  <c r="I330"/>
  <c r="H330"/>
  <c r="G330"/>
  <c r="F330"/>
  <c r="E330"/>
  <c r="D330"/>
  <c r="C330"/>
  <c r="B330"/>
  <c r="A330"/>
  <c r="L329"/>
  <c r="K329"/>
  <c r="J329"/>
  <c r="I329"/>
  <c r="H329"/>
  <c r="G329"/>
  <c r="F329"/>
  <c r="E329"/>
  <c r="D329"/>
  <c r="C329"/>
  <c r="B329"/>
  <c r="A329"/>
  <c r="L328"/>
  <c r="K328"/>
  <c r="J328"/>
  <c r="I328"/>
  <c r="H328"/>
  <c r="G328"/>
  <c r="F328"/>
  <c r="E328"/>
  <c r="D328"/>
  <c r="C328"/>
  <c r="B328"/>
  <c r="A328"/>
  <c r="L327"/>
  <c r="K327"/>
  <c r="J327"/>
  <c r="I327"/>
  <c r="H327"/>
  <c r="G327"/>
  <c r="F327"/>
  <c r="E327"/>
  <c r="D327"/>
  <c r="C327"/>
  <c r="B327"/>
  <c r="A327"/>
  <c r="L326"/>
  <c r="K326"/>
  <c r="J326"/>
  <c r="I326"/>
  <c r="H326"/>
  <c r="G326"/>
  <c r="F326"/>
  <c r="E326"/>
  <c r="D326"/>
  <c r="C326"/>
  <c r="B326"/>
  <c r="A326"/>
  <c r="L325"/>
  <c r="K325"/>
  <c r="J325"/>
  <c r="I325"/>
  <c r="H325"/>
  <c r="G325"/>
  <c r="F325"/>
  <c r="E325"/>
  <c r="D325"/>
  <c r="C325"/>
  <c r="B325"/>
  <c r="A325"/>
  <c r="L324"/>
  <c r="K324"/>
  <c r="J324"/>
  <c r="I324"/>
  <c r="H324"/>
  <c r="G324"/>
  <c r="F324"/>
  <c r="E324"/>
  <c r="D324"/>
  <c r="C324"/>
  <c r="B324"/>
  <c r="A324"/>
  <c r="L323"/>
  <c r="K323"/>
  <c r="J323"/>
  <c r="I323"/>
  <c r="H323"/>
  <c r="G323"/>
  <c r="F323"/>
  <c r="E323"/>
  <c r="D323"/>
  <c r="C323"/>
  <c r="B323"/>
  <c r="A323"/>
  <c r="L322"/>
  <c r="K322"/>
  <c r="J322"/>
  <c r="I322"/>
  <c r="H322"/>
  <c r="G322"/>
  <c r="F322"/>
  <c r="E322"/>
  <c r="D322"/>
  <c r="C322"/>
  <c r="B322"/>
  <c r="A322"/>
  <c r="L321"/>
  <c r="K321"/>
  <c r="J321"/>
  <c r="I321"/>
  <c r="H321"/>
  <c r="G321"/>
  <c r="F321"/>
  <c r="E321"/>
  <c r="D321"/>
  <c r="C321"/>
  <c r="B321"/>
  <c r="A321"/>
  <c r="L320"/>
  <c r="K320"/>
  <c r="J320"/>
  <c r="I320"/>
  <c r="H320"/>
  <c r="G320"/>
  <c r="F320"/>
  <c r="E320"/>
  <c r="D320"/>
  <c r="C320"/>
  <c r="B320"/>
  <c r="A320"/>
  <c r="L319"/>
  <c r="K319"/>
  <c r="J319"/>
  <c r="I319"/>
  <c r="H319"/>
  <c r="G319"/>
  <c r="F319"/>
  <c r="E319"/>
  <c r="D319"/>
  <c r="C319"/>
  <c r="B319"/>
  <c r="A319"/>
  <c r="L318"/>
  <c r="K318"/>
  <c r="J318"/>
  <c r="I318"/>
  <c r="H318"/>
  <c r="G318"/>
  <c r="F318"/>
  <c r="E318"/>
  <c r="D318"/>
  <c r="C318"/>
  <c r="B318"/>
  <c r="A318"/>
  <c r="L317"/>
  <c r="K317"/>
  <c r="J317"/>
  <c r="I317"/>
  <c r="H317"/>
  <c r="G317"/>
  <c r="F317"/>
  <c r="E317"/>
  <c r="D317"/>
  <c r="C317"/>
  <c r="B317"/>
  <c r="A317"/>
  <c r="L316"/>
  <c r="K316"/>
  <c r="J316"/>
  <c r="I316"/>
  <c r="H316"/>
  <c r="G316"/>
  <c r="F316"/>
  <c r="E316"/>
  <c r="D316"/>
  <c r="C316"/>
  <c r="B316"/>
  <c r="A316"/>
  <c r="L315"/>
  <c r="K315"/>
  <c r="J315"/>
  <c r="I315"/>
  <c r="H315"/>
  <c r="G315"/>
  <c r="F315"/>
  <c r="E315"/>
  <c r="D315"/>
  <c r="C315"/>
  <c r="B315"/>
  <c r="A315"/>
  <c r="L314"/>
  <c r="K314"/>
  <c r="J314"/>
  <c r="I314"/>
  <c r="H314"/>
  <c r="G314"/>
  <c r="F314"/>
  <c r="E314"/>
  <c r="D314"/>
  <c r="C314"/>
  <c r="B314"/>
  <c r="A314"/>
  <c r="L313"/>
  <c r="K313"/>
  <c r="J313"/>
  <c r="I313"/>
  <c r="H313"/>
  <c r="G313"/>
  <c r="F313"/>
  <c r="E313"/>
  <c r="D313"/>
  <c r="C313"/>
  <c r="B313"/>
  <c r="A313"/>
  <c r="L312"/>
  <c r="K312"/>
  <c r="J312"/>
  <c r="I312"/>
  <c r="H312"/>
  <c r="G312"/>
  <c r="F312"/>
  <c r="E312"/>
  <c r="D312"/>
  <c r="C312"/>
  <c r="B312"/>
  <c r="A312"/>
  <c r="L311"/>
  <c r="K311"/>
  <c r="J311"/>
  <c r="I311"/>
  <c r="H311"/>
  <c r="G311"/>
  <c r="F311"/>
  <c r="E311"/>
  <c r="D311"/>
  <c r="C311"/>
  <c r="B311"/>
  <c r="A311"/>
  <c r="L310"/>
  <c r="K310"/>
  <c r="J310"/>
  <c r="I310"/>
  <c r="H310"/>
  <c r="G310"/>
  <c r="F310"/>
  <c r="E310"/>
  <c r="D310"/>
  <c r="C310"/>
  <c r="B310"/>
  <c r="A310"/>
  <c r="L309"/>
  <c r="K309"/>
  <c r="J309"/>
  <c r="I309"/>
  <c r="H309"/>
  <c r="G309"/>
  <c r="F309"/>
  <c r="E309"/>
  <c r="D309"/>
  <c r="C309"/>
  <c r="B309"/>
  <c r="A309"/>
  <c r="L308"/>
  <c r="K308"/>
  <c r="J308"/>
  <c r="I308"/>
  <c r="H308"/>
  <c r="G308"/>
  <c r="F308"/>
  <c r="E308"/>
  <c r="D308"/>
  <c r="C308"/>
  <c r="B308"/>
  <c r="A308"/>
  <c r="L307"/>
  <c r="K307"/>
  <c r="J307"/>
  <c r="I307"/>
  <c r="H307"/>
  <c r="G307"/>
  <c r="F307"/>
  <c r="E307"/>
  <c r="D307"/>
  <c r="C307"/>
  <c r="B307"/>
  <c r="A307"/>
  <c r="L306"/>
  <c r="K306"/>
  <c r="J306"/>
  <c r="I306"/>
  <c r="H306"/>
  <c r="G306"/>
  <c r="F306"/>
  <c r="E306"/>
  <c r="D306"/>
  <c r="C306"/>
  <c r="B306"/>
  <c r="A306"/>
  <c r="L305"/>
  <c r="K305"/>
  <c r="J305"/>
  <c r="I305"/>
  <c r="H305"/>
  <c r="G305"/>
  <c r="F305"/>
  <c r="E305"/>
  <c r="D305"/>
  <c r="C305"/>
  <c r="B305"/>
  <c r="A305"/>
  <c r="L304"/>
  <c r="K304"/>
  <c r="J304"/>
  <c r="I304"/>
  <c r="H304"/>
  <c r="G304"/>
  <c r="F304"/>
  <c r="E304"/>
  <c r="D304"/>
  <c r="C304"/>
  <c r="B304"/>
  <c r="A304"/>
  <c r="L303"/>
  <c r="K303"/>
  <c r="J303"/>
  <c r="I303"/>
  <c r="H303"/>
  <c r="G303"/>
  <c r="F303"/>
  <c r="E303"/>
  <c r="D303"/>
  <c r="C303"/>
  <c r="B303"/>
  <c r="A303"/>
  <c r="L302"/>
  <c r="K302"/>
  <c r="J302"/>
  <c r="I302"/>
  <c r="H302"/>
  <c r="G302"/>
  <c r="F302"/>
  <c r="E302"/>
  <c r="D302"/>
  <c r="C302"/>
  <c r="B302"/>
  <c r="A302"/>
  <c r="L301"/>
  <c r="K301"/>
  <c r="J301"/>
  <c r="I301"/>
  <c r="H301"/>
  <c r="G301"/>
  <c r="F301"/>
  <c r="E301"/>
  <c r="D301"/>
  <c r="C301"/>
  <c r="B301"/>
  <c r="A301"/>
  <c r="L300"/>
  <c r="K300"/>
  <c r="J300"/>
  <c r="I300"/>
  <c r="H300"/>
  <c r="G300"/>
  <c r="F300"/>
  <c r="E300"/>
  <c r="D300"/>
  <c r="C300"/>
  <c r="B300"/>
  <c r="A300"/>
  <c r="L299"/>
  <c r="K299"/>
  <c r="J299"/>
  <c r="I299"/>
  <c r="H299"/>
  <c r="G299"/>
  <c r="F299"/>
  <c r="E299"/>
  <c r="D299"/>
  <c r="C299"/>
  <c r="B299"/>
  <c r="A299"/>
  <c r="L298"/>
  <c r="K298"/>
  <c r="J298"/>
  <c r="I298"/>
  <c r="H298"/>
  <c r="G298"/>
  <c r="F298"/>
  <c r="E298"/>
  <c r="D298"/>
  <c r="C298"/>
  <c r="B298"/>
  <c r="A298"/>
  <c r="L297"/>
  <c r="K297"/>
  <c r="J297"/>
  <c r="I297"/>
  <c r="H297"/>
  <c r="G297"/>
  <c r="F297"/>
  <c r="E297"/>
  <c r="D297"/>
  <c r="C297"/>
  <c r="B297"/>
  <c r="A297"/>
  <c r="L296"/>
  <c r="K296"/>
  <c r="J296"/>
  <c r="I296"/>
  <c r="H296"/>
  <c r="G296"/>
  <c r="F296"/>
  <c r="E296"/>
  <c r="D296"/>
  <c r="C296"/>
  <c r="B296"/>
  <c r="A296"/>
  <c r="L295"/>
  <c r="K295"/>
  <c r="J295"/>
  <c r="I295"/>
  <c r="H295"/>
  <c r="G295"/>
  <c r="F295"/>
  <c r="E295"/>
  <c r="D295"/>
  <c r="C295"/>
  <c r="B295"/>
  <c r="A295"/>
  <c r="L294"/>
  <c r="K294"/>
  <c r="J294"/>
  <c r="I294"/>
  <c r="H294"/>
  <c r="G294"/>
  <c r="F294"/>
  <c r="E294"/>
  <c r="D294"/>
  <c r="C294"/>
  <c r="B294"/>
  <c r="A294"/>
  <c r="L293"/>
  <c r="K293"/>
  <c r="J293"/>
  <c r="I293"/>
  <c r="H293"/>
  <c r="G293"/>
  <c r="F293"/>
  <c r="E293"/>
  <c r="D293"/>
  <c r="C293"/>
  <c r="B293"/>
  <c r="A293"/>
  <c r="L292"/>
  <c r="K292"/>
  <c r="J292"/>
  <c r="I292"/>
  <c r="H292"/>
  <c r="G292"/>
  <c r="F292"/>
  <c r="E292"/>
  <c r="D292"/>
  <c r="C292"/>
  <c r="B292"/>
  <c r="A292"/>
  <c r="L291"/>
  <c r="K291"/>
  <c r="J291"/>
  <c r="I291"/>
  <c r="H291"/>
  <c r="G291"/>
  <c r="F291"/>
  <c r="E291"/>
  <c r="D291"/>
  <c r="C291"/>
  <c r="B291"/>
  <c r="A291"/>
  <c r="L290"/>
  <c r="K290"/>
  <c r="J290"/>
  <c r="I290"/>
  <c r="H290"/>
  <c r="G290"/>
  <c r="F290"/>
  <c r="E290"/>
  <c r="D290"/>
  <c r="C290"/>
  <c r="B290"/>
  <c r="A290"/>
  <c r="L289"/>
  <c r="K289"/>
  <c r="J289"/>
  <c r="I289"/>
  <c r="H289"/>
  <c r="G289"/>
  <c r="F289"/>
  <c r="E289"/>
  <c r="D289"/>
  <c r="C289"/>
  <c r="B289"/>
  <c r="A289"/>
  <c r="L288"/>
  <c r="K288"/>
  <c r="J288"/>
  <c r="I288"/>
  <c r="H288"/>
  <c r="G288"/>
  <c r="F288"/>
  <c r="E288"/>
  <c r="D288"/>
  <c r="C288"/>
  <c r="B288"/>
  <c r="A288"/>
  <c r="L287"/>
  <c r="K287"/>
  <c r="J287"/>
  <c r="I287"/>
  <c r="H287"/>
  <c r="G287"/>
  <c r="F287"/>
  <c r="E287"/>
  <c r="D287"/>
  <c r="C287"/>
  <c r="B287"/>
  <c r="A287"/>
  <c r="L286"/>
  <c r="K286"/>
  <c r="J286"/>
  <c r="I286"/>
  <c r="H286"/>
  <c r="G286"/>
  <c r="F286"/>
  <c r="E286"/>
  <c r="D286"/>
  <c r="C286"/>
  <c r="B286"/>
  <c r="A286"/>
  <c r="L285"/>
  <c r="K285"/>
  <c r="J285"/>
  <c r="I285"/>
  <c r="H285"/>
  <c r="G285"/>
  <c r="F285"/>
  <c r="E285"/>
  <c r="D285"/>
  <c r="C285"/>
  <c r="B285"/>
  <c r="A285"/>
  <c r="L284"/>
  <c r="K284"/>
  <c r="J284"/>
  <c r="I284"/>
  <c r="H284"/>
  <c r="G284"/>
  <c r="F284"/>
  <c r="E284"/>
  <c r="D284"/>
  <c r="C284"/>
  <c r="B284"/>
  <c r="A284"/>
  <c r="L283"/>
  <c r="K283"/>
  <c r="J283"/>
  <c r="I283"/>
  <c r="H283"/>
  <c r="G283"/>
  <c r="F283"/>
  <c r="E283"/>
  <c r="D283"/>
  <c r="C283"/>
  <c r="B283"/>
  <c r="A283"/>
  <c r="L282"/>
  <c r="K282"/>
  <c r="J282"/>
  <c r="I282"/>
  <c r="H282"/>
  <c r="G282"/>
  <c r="F282"/>
  <c r="E282"/>
  <c r="D282"/>
  <c r="C282"/>
  <c r="B282"/>
  <c r="A282"/>
  <c r="L281"/>
  <c r="K281"/>
  <c r="J281"/>
  <c r="I281"/>
  <c r="H281"/>
  <c r="G281"/>
  <c r="F281"/>
  <c r="E281"/>
  <c r="D281"/>
  <c r="C281"/>
  <c r="B281"/>
  <c r="A281"/>
  <c r="L280"/>
  <c r="K280"/>
  <c r="J280"/>
  <c r="I280"/>
  <c r="H280"/>
  <c r="G280"/>
  <c r="F280"/>
  <c r="E280"/>
  <c r="D280"/>
  <c r="C280"/>
  <c r="B280"/>
  <c r="A280"/>
  <c r="L279"/>
  <c r="K279"/>
  <c r="J279"/>
  <c r="I279"/>
  <c r="H279"/>
  <c r="G279"/>
  <c r="F279"/>
  <c r="E279"/>
  <c r="D279"/>
  <c r="C279"/>
  <c r="B279"/>
  <c r="A279"/>
  <c r="L278"/>
  <c r="K278"/>
  <c r="J278"/>
  <c r="I278"/>
  <c r="H278"/>
  <c r="G278"/>
  <c r="F278"/>
  <c r="E278"/>
  <c r="D278"/>
  <c r="C278"/>
  <c r="B278"/>
  <c r="A278"/>
  <c r="L277"/>
  <c r="K277"/>
  <c r="J277"/>
  <c r="I277"/>
  <c r="H277"/>
  <c r="G277"/>
  <c r="F277"/>
  <c r="E277"/>
  <c r="D277"/>
  <c r="C277"/>
  <c r="B277"/>
  <c r="A277"/>
  <c r="L276"/>
  <c r="K276"/>
  <c r="J276"/>
  <c r="I276"/>
  <c r="H276"/>
  <c r="G276"/>
  <c r="F276"/>
  <c r="E276"/>
  <c r="D276"/>
  <c r="C276"/>
  <c r="B276"/>
  <c r="A276"/>
  <c r="L275"/>
  <c r="K275"/>
  <c r="J275"/>
  <c r="I275"/>
  <c r="H275"/>
  <c r="G275"/>
  <c r="F275"/>
  <c r="E275"/>
  <c r="D275"/>
  <c r="C275"/>
  <c r="B275"/>
  <c r="A275"/>
  <c r="L274"/>
  <c r="K274"/>
  <c r="J274"/>
  <c r="I274"/>
  <c r="H274"/>
  <c r="G274"/>
  <c r="F274"/>
  <c r="E274"/>
  <c r="D274"/>
  <c r="C274"/>
  <c r="B274"/>
  <c r="A274"/>
  <c r="L273"/>
  <c r="K273"/>
  <c r="J273"/>
  <c r="I273"/>
  <c r="H273"/>
  <c r="G273"/>
  <c r="F273"/>
  <c r="E273"/>
  <c r="D273"/>
  <c r="C273"/>
  <c r="B273"/>
  <c r="A273"/>
  <c r="L272"/>
  <c r="K272"/>
  <c r="J272"/>
  <c r="I272"/>
  <c r="H272"/>
  <c r="G272"/>
  <c r="F272"/>
  <c r="E272"/>
  <c r="D272"/>
  <c r="C272"/>
  <c r="B272"/>
  <c r="A272"/>
  <c r="L271"/>
  <c r="K271"/>
  <c r="J271"/>
  <c r="I271"/>
  <c r="H271"/>
  <c r="G271"/>
  <c r="F271"/>
  <c r="E271"/>
  <c r="D271"/>
  <c r="C271"/>
  <c r="B271"/>
  <c r="A271"/>
  <c r="L270"/>
  <c r="K270"/>
  <c r="J270"/>
  <c r="I270"/>
  <c r="H270"/>
  <c r="G270"/>
  <c r="F270"/>
  <c r="E270"/>
  <c r="D270"/>
  <c r="C270"/>
  <c r="B270"/>
  <c r="A270"/>
  <c r="L269"/>
  <c r="K269"/>
  <c r="J269"/>
  <c r="I269"/>
  <c r="H269"/>
  <c r="G269"/>
  <c r="F269"/>
  <c r="E269"/>
  <c r="D269"/>
  <c r="C269"/>
  <c r="B269"/>
  <c r="A269"/>
  <c r="L268"/>
  <c r="K268"/>
  <c r="J268"/>
  <c r="I268"/>
  <c r="H268"/>
  <c r="G268"/>
  <c r="F268"/>
  <c r="E268"/>
  <c r="D268"/>
  <c r="C268"/>
  <c r="B268"/>
  <c r="A268"/>
  <c r="L267"/>
  <c r="K267"/>
  <c r="J267"/>
  <c r="I267"/>
  <c r="H267"/>
  <c r="G267"/>
  <c r="F267"/>
  <c r="E267"/>
  <c r="D267"/>
  <c r="C267"/>
  <c r="B267"/>
  <c r="A267"/>
  <c r="L266"/>
  <c r="K266"/>
  <c r="J266"/>
  <c r="I266"/>
  <c r="H266"/>
  <c r="G266"/>
  <c r="F266"/>
  <c r="E266"/>
  <c r="D266"/>
  <c r="C266"/>
  <c r="B266"/>
  <c r="A266"/>
  <c r="L265"/>
  <c r="K265"/>
  <c r="J265"/>
  <c r="I265"/>
  <c r="H265"/>
  <c r="G265"/>
  <c r="F265"/>
  <c r="E265"/>
  <c r="D265"/>
  <c r="C265"/>
  <c r="B265"/>
  <c r="A265"/>
  <c r="L264"/>
  <c r="K264"/>
  <c r="J264"/>
  <c r="I264"/>
  <c r="H264"/>
  <c r="G264"/>
  <c r="F264"/>
  <c r="E264"/>
  <c r="D264"/>
  <c r="C264"/>
  <c r="B264"/>
  <c r="A264"/>
  <c r="L263"/>
  <c r="K263"/>
  <c r="J263"/>
  <c r="I263"/>
  <c r="H263"/>
  <c r="G263"/>
  <c r="F263"/>
  <c r="E263"/>
  <c r="D263"/>
  <c r="C263"/>
  <c r="B263"/>
  <c r="A263"/>
  <c r="L262"/>
  <c r="K262"/>
  <c r="J262"/>
  <c r="I262"/>
  <c r="H262"/>
  <c r="G262"/>
  <c r="F262"/>
  <c r="E262"/>
  <c r="D262"/>
  <c r="C262"/>
  <c r="B262"/>
  <c r="A262"/>
  <c r="L261"/>
  <c r="K261"/>
  <c r="J261"/>
  <c r="I261"/>
  <c r="H261"/>
  <c r="G261"/>
  <c r="F261"/>
  <c r="E261"/>
  <c r="D261"/>
  <c r="C261"/>
  <c r="B261"/>
  <c r="A261"/>
  <c r="L260"/>
  <c r="K260"/>
  <c r="J260"/>
  <c r="I260"/>
  <c r="H260"/>
  <c r="G260"/>
  <c r="F260"/>
  <c r="E260"/>
  <c r="D260"/>
  <c r="C260"/>
  <c r="B260"/>
  <c r="A260"/>
  <c r="L259"/>
  <c r="K259"/>
  <c r="J259"/>
  <c r="I259"/>
  <c r="H259"/>
  <c r="G259"/>
  <c r="F259"/>
  <c r="E259"/>
  <c r="D259"/>
  <c r="C259"/>
  <c r="B259"/>
  <c r="A259"/>
  <c r="L258"/>
  <c r="K258"/>
  <c r="J258"/>
  <c r="I258"/>
  <c r="H258"/>
  <c r="G258"/>
  <c r="F258"/>
  <c r="E258"/>
  <c r="D258"/>
  <c r="C258"/>
  <c r="B258"/>
  <c r="A258"/>
  <c r="L257"/>
  <c r="K257"/>
  <c r="J257"/>
  <c r="I257"/>
  <c r="H257"/>
  <c r="G257"/>
  <c r="F257"/>
  <c r="E257"/>
  <c r="D257"/>
  <c r="C257"/>
  <c r="B257"/>
  <c r="A257"/>
  <c r="L256"/>
  <c r="K256"/>
  <c r="J256"/>
  <c r="I256"/>
  <c r="H256"/>
  <c r="G256"/>
  <c r="F256"/>
  <c r="E256"/>
  <c r="D256"/>
  <c r="C256"/>
  <c r="B256"/>
  <c r="A256"/>
  <c r="L255"/>
  <c r="K255"/>
  <c r="J255"/>
  <c r="I255"/>
  <c r="H255"/>
  <c r="G255"/>
  <c r="F255"/>
  <c r="E255"/>
  <c r="D255"/>
  <c r="C255"/>
  <c r="B255"/>
  <c r="A255"/>
  <c r="L254"/>
  <c r="K254"/>
  <c r="J254"/>
  <c r="I254"/>
  <c r="H254"/>
  <c r="G254"/>
  <c r="F254"/>
  <c r="E254"/>
  <c r="D254"/>
  <c r="C254"/>
  <c r="B254"/>
  <c r="A254"/>
  <c r="L253"/>
  <c r="K253"/>
  <c r="J253"/>
  <c r="I253"/>
  <c r="H253"/>
  <c r="G253"/>
  <c r="F253"/>
  <c r="E253"/>
  <c r="D253"/>
  <c r="C253"/>
  <c r="B253"/>
  <c r="A253"/>
  <c r="L252"/>
  <c r="K252"/>
  <c r="J252"/>
  <c r="I252"/>
  <c r="H252"/>
  <c r="G252"/>
  <c r="F252"/>
  <c r="E252"/>
  <c r="D252"/>
  <c r="C252"/>
  <c r="B252"/>
  <c r="A252"/>
  <c r="L251"/>
  <c r="K251"/>
  <c r="J251"/>
  <c r="I251"/>
  <c r="H251"/>
  <c r="G251"/>
  <c r="F251"/>
  <c r="E251"/>
  <c r="D251"/>
  <c r="C251"/>
  <c r="B251"/>
  <c r="A251"/>
  <c r="L250"/>
  <c r="K250"/>
  <c r="J250"/>
  <c r="I250"/>
  <c r="H250"/>
  <c r="G250"/>
  <c r="F250"/>
  <c r="E250"/>
  <c r="D250"/>
  <c r="C250"/>
  <c r="B250"/>
  <c r="A250"/>
  <c r="L249"/>
  <c r="K249"/>
  <c r="J249"/>
  <c r="I249"/>
  <c r="H249"/>
  <c r="G249"/>
  <c r="F249"/>
  <c r="E249"/>
  <c r="D249"/>
  <c r="C249"/>
  <c r="B249"/>
  <c r="A249"/>
  <c r="L248"/>
  <c r="K248"/>
  <c r="J248"/>
  <c r="I248"/>
  <c r="H248"/>
  <c r="G248"/>
  <c r="F248"/>
  <c r="E248"/>
  <c r="D248"/>
  <c r="C248"/>
  <c r="B248"/>
  <c r="A248"/>
  <c r="L247"/>
  <c r="K247"/>
  <c r="J247"/>
  <c r="I247"/>
  <c r="H247"/>
  <c r="G247"/>
  <c r="F247"/>
  <c r="E247"/>
  <c r="D247"/>
  <c r="C247"/>
  <c r="B247"/>
  <c r="A247"/>
  <c r="L246"/>
  <c r="K246"/>
  <c r="J246"/>
  <c r="I246"/>
  <c r="H246"/>
  <c r="G246"/>
  <c r="F246"/>
  <c r="E246"/>
  <c r="D246"/>
  <c r="C246"/>
  <c r="B246"/>
  <c r="A246"/>
  <c r="L245"/>
  <c r="K245"/>
  <c r="J245"/>
  <c r="I245"/>
  <c r="H245"/>
  <c r="G245"/>
  <c r="F245"/>
  <c r="E245"/>
  <c r="D245"/>
  <c r="C245"/>
  <c r="B245"/>
  <c r="A245"/>
  <c r="L244"/>
  <c r="K244"/>
  <c r="J244"/>
  <c r="I244"/>
  <c r="H244"/>
  <c r="G244"/>
  <c r="F244"/>
  <c r="E244"/>
  <c r="D244"/>
  <c r="C244"/>
  <c r="B244"/>
  <c r="A244"/>
  <c r="L243"/>
  <c r="K243"/>
  <c r="J243"/>
  <c r="I243"/>
  <c r="H243"/>
  <c r="G243"/>
  <c r="F243"/>
  <c r="E243"/>
  <c r="D243"/>
  <c r="C243"/>
  <c r="B243"/>
  <c r="A243"/>
  <c r="L242"/>
  <c r="K242"/>
  <c r="J242"/>
  <c r="I242"/>
  <c r="H242"/>
  <c r="G242"/>
  <c r="F242"/>
  <c r="E242"/>
  <c r="D242"/>
  <c r="C242"/>
  <c r="B242"/>
  <c r="A242"/>
  <c r="L241"/>
  <c r="K241"/>
  <c r="J241"/>
  <c r="I241"/>
  <c r="H241"/>
  <c r="G241"/>
  <c r="F241"/>
  <c r="E241"/>
  <c r="D241"/>
  <c r="C241"/>
  <c r="B241"/>
  <c r="A241"/>
  <c r="L240"/>
  <c r="K240"/>
  <c r="J240"/>
  <c r="I240"/>
  <c r="H240"/>
  <c r="G240"/>
  <c r="F240"/>
  <c r="E240"/>
  <c r="D240"/>
  <c r="C240"/>
  <c r="B240"/>
  <c r="A240"/>
  <c r="L239"/>
  <c r="K239"/>
  <c r="J239"/>
  <c r="I239"/>
  <c r="H239"/>
  <c r="G239"/>
  <c r="F239"/>
  <c r="E239"/>
  <c r="D239"/>
  <c r="C239"/>
  <c r="B239"/>
  <c r="A239"/>
  <c r="L238"/>
  <c r="K238"/>
  <c r="J238"/>
  <c r="I238"/>
  <c r="H238"/>
  <c r="G238"/>
  <c r="F238"/>
  <c r="E238"/>
  <c r="D238"/>
  <c r="C238"/>
  <c r="B238"/>
  <c r="A238"/>
  <c r="L237"/>
  <c r="K237"/>
  <c r="J237"/>
  <c r="I237"/>
  <c r="H237"/>
  <c r="G237"/>
  <c r="F237"/>
  <c r="E237"/>
  <c r="D237"/>
  <c r="C237"/>
  <c r="B237"/>
  <c r="A237"/>
  <c r="L236"/>
  <c r="K236"/>
  <c r="J236"/>
  <c r="I236"/>
  <c r="H236"/>
  <c r="G236"/>
  <c r="F236"/>
  <c r="E236"/>
  <c r="D236"/>
  <c r="C236"/>
  <c r="B236"/>
  <c r="A236"/>
  <c r="L235"/>
  <c r="K235"/>
  <c r="J235"/>
  <c r="I235"/>
  <c r="H235"/>
  <c r="G235"/>
  <c r="F235"/>
  <c r="E235"/>
  <c r="D235"/>
  <c r="C235"/>
  <c r="B235"/>
  <c r="A235"/>
  <c r="L234"/>
  <c r="K234"/>
  <c r="J234"/>
  <c r="I234"/>
  <c r="H234"/>
  <c r="G234"/>
  <c r="F234"/>
  <c r="E234"/>
  <c r="D234"/>
  <c r="C234"/>
  <c r="B234"/>
  <c r="A234"/>
  <c r="L233"/>
  <c r="K233"/>
  <c r="J233"/>
  <c r="I233"/>
  <c r="H233"/>
  <c r="G233"/>
  <c r="F233"/>
  <c r="E233"/>
  <c r="D233"/>
  <c r="C233"/>
  <c r="B233"/>
  <c r="A233"/>
  <c r="L232"/>
  <c r="K232"/>
  <c r="J232"/>
  <c r="I232"/>
  <c r="H232"/>
  <c r="G232"/>
  <c r="F232"/>
  <c r="E232"/>
  <c r="D232"/>
  <c r="C232"/>
  <c r="B232"/>
  <c r="A232"/>
  <c r="L231"/>
  <c r="K231"/>
  <c r="J231"/>
  <c r="I231"/>
  <c r="H231"/>
  <c r="G231"/>
  <c r="F231"/>
  <c r="E231"/>
  <c r="D231"/>
  <c r="C231"/>
  <c r="B231"/>
  <c r="A231"/>
  <c r="L230"/>
  <c r="K230"/>
  <c r="J230"/>
  <c r="I230"/>
  <c r="H230"/>
  <c r="G230"/>
  <c r="F230"/>
  <c r="E230"/>
  <c r="D230"/>
  <c r="C230"/>
  <c r="B230"/>
  <c r="A230"/>
  <c r="L229"/>
  <c r="K229"/>
  <c r="J229"/>
  <c r="I229"/>
  <c r="H229"/>
  <c r="G229"/>
  <c r="F229"/>
  <c r="E229"/>
  <c r="D229"/>
  <c r="C229"/>
  <c r="B229"/>
  <c r="A229"/>
  <c r="L228"/>
  <c r="K228"/>
  <c r="J228"/>
  <c r="I228"/>
  <c r="H228"/>
  <c r="G228"/>
  <c r="F228"/>
  <c r="E228"/>
  <c r="D228"/>
  <c r="C228"/>
  <c r="B228"/>
  <c r="A228"/>
  <c r="L227"/>
  <c r="K227"/>
  <c r="J227"/>
  <c r="I227"/>
  <c r="H227"/>
  <c r="G227"/>
  <c r="F227"/>
  <c r="E227"/>
  <c r="D227"/>
  <c r="C227"/>
  <c r="B227"/>
  <c r="A227"/>
  <c r="L226"/>
  <c r="K226"/>
  <c r="J226"/>
  <c r="I226"/>
  <c r="H226"/>
  <c r="G226"/>
  <c r="F226"/>
  <c r="E226"/>
  <c r="D226"/>
  <c r="C226"/>
  <c r="B226"/>
  <c r="A226"/>
  <c r="L225"/>
  <c r="K225"/>
  <c r="J225"/>
  <c r="I225"/>
  <c r="H225"/>
  <c r="G225"/>
  <c r="F225"/>
  <c r="E225"/>
  <c r="D225"/>
  <c r="C225"/>
  <c r="B225"/>
  <c r="A225"/>
  <c r="L224"/>
  <c r="K224"/>
  <c r="J224"/>
  <c r="I224"/>
  <c r="H224"/>
  <c r="G224"/>
  <c r="F224"/>
  <c r="E224"/>
  <c r="D224"/>
  <c r="C224"/>
  <c r="B224"/>
  <c r="A224"/>
  <c r="L223"/>
  <c r="K223"/>
  <c r="J223"/>
  <c r="I223"/>
  <c r="H223"/>
  <c r="G223"/>
  <c r="F223"/>
  <c r="E223"/>
  <c r="D223"/>
  <c r="C223"/>
  <c r="B223"/>
  <c r="A223"/>
  <c r="L222"/>
  <c r="K222"/>
  <c r="J222"/>
  <c r="I222"/>
  <c r="H222"/>
  <c r="G222"/>
  <c r="F222"/>
  <c r="E222"/>
  <c r="D222"/>
  <c r="C222"/>
  <c r="B222"/>
  <c r="A222"/>
  <c r="L221"/>
  <c r="K221"/>
  <c r="J221"/>
  <c r="I221"/>
  <c r="H221"/>
  <c r="G221"/>
  <c r="F221"/>
  <c r="E221"/>
  <c r="D221"/>
  <c r="C221"/>
  <c r="B221"/>
  <c r="A221"/>
  <c r="L220"/>
  <c r="K220"/>
  <c r="J220"/>
  <c r="I220"/>
  <c r="H220"/>
  <c r="G220"/>
  <c r="F220"/>
  <c r="E220"/>
  <c r="D220"/>
  <c r="C220"/>
  <c r="B220"/>
  <c r="A220"/>
  <c r="L219"/>
  <c r="K219"/>
  <c r="J219"/>
  <c r="I219"/>
  <c r="H219"/>
  <c r="G219"/>
  <c r="F219"/>
  <c r="E219"/>
  <c r="D219"/>
  <c r="C219"/>
  <c r="B219"/>
  <c r="A219"/>
  <c r="L218"/>
  <c r="K218"/>
  <c r="J218"/>
  <c r="I218"/>
  <c r="H218"/>
  <c r="G218"/>
  <c r="F218"/>
  <c r="E218"/>
  <c r="D218"/>
  <c r="C218"/>
  <c r="B218"/>
  <c r="A218"/>
  <c r="L217"/>
  <c r="K217"/>
  <c r="J217"/>
  <c r="I217"/>
  <c r="H217"/>
  <c r="G217"/>
  <c r="F217"/>
  <c r="E217"/>
  <c r="D217"/>
  <c r="C217"/>
  <c r="B217"/>
  <c r="A217"/>
  <c r="L216"/>
  <c r="K216"/>
  <c r="J216"/>
  <c r="I216"/>
  <c r="H216"/>
  <c r="G216"/>
  <c r="F216"/>
  <c r="E216"/>
  <c r="D216"/>
  <c r="C216"/>
  <c r="B216"/>
  <c r="A216"/>
  <c r="L215"/>
  <c r="K215"/>
  <c r="J215"/>
  <c r="I215"/>
  <c r="H215"/>
  <c r="G215"/>
  <c r="F215"/>
  <c r="E215"/>
  <c r="D215"/>
  <c r="C215"/>
  <c r="B215"/>
  <c r="A215"/>
  <c r="L214"/>
  <c r="K214"/>
  <c r="J214"/>
  <c r="I214"/>
  <c r="H214"/>
  <c r="G214"/>
  <c r="F214"/>
  <c r="E214"/>
  <c r="D214"/>
  <c r="C214"/>
  <c r="B214"/>
  <c r="A214"/>
  <c r="L213"/>
  <c r="K213"/>
  <c r="J213"/>
  <c r="I213"/>
  <c r="H213"/>
  <c r="G213"/>
  <c r="F213"/>
  <c r="E213"/>
  <c r="D213"/>
  <c r="C213"/>
  <c r="B213"/>
  <c r="A213"/>
  <c r="L212"/>
  <c r="K212"/>
  <c r="J212"/>
  <c r="I212"/>
  <c r="H212"/>
  <c r="G212"/>
  <c r="F212"/>
  <c r="E212"/>
  <c r="D212"/>
  <c r="C212"/>
  <c r="B212"/>
  <c r="A212"/>
  <c r="L211"/>
  <c r="K211"/>
  <c r="J211"/>
  <c r="I211"/>
  <c r="H211"/>
  <c r="G211"/>
  <c r="F211"/>
  <c r="E211"/>
  <c r="D211"/>
  <c r="C211"/>
  <c r="B211"/>
  <c r="A211"/>
  <c r="L210"/>
  <c r="K210"/>
  <c r="J210"/>
  <c r="I210"/>
  <c r="H210"/>
  <c r="G210"/>
  <c r="F210"/>
  <c r="E210"/>
  <c r="D210"/>
  <c r="C210"/>
  <c r="B210"/>
  <c r="A210"/>
  <c r="L209"/>
  <c r="K209"/>
  <c r="J209"/>
  <c r="I209"/>
  <c r="H209"/>
  <c r="G209"/>
  <c r="F209"/>
  <c r="E209"/>
  <c r="D209"/>
  <c r="C209"/>
  <c r="B209"/>
  <c r="A209"/>
  <c r="L208"/>
  <c r="K208"/>
  <c r="J208"/>
  <c r="I208"/>
  <c r="H208"/>
  <c r="G208"/>
  <c r="F208"/>
  <c r="E208"/>
  <c r="D208"/>
  <c r="C208"/>
  <c r="B208"/>
  <c r="A208"/>
  <c r="L207"/>
  <c r="K207"/>
  <c r="J207"/>
  <c r="I207"/>
  <c r="H207"/>
  <c r="G207"/>
  <c r="F207"/>
  <c r="E207"/>
  <c r="D207"/>
  <c r="C207"/>
  <c r="B207"/>
  <c r="A207"/>
  <c r="L206"/>
  <c r="K206"/>
  <c r="J206"/>
  <c r="I206"/>
  <c r="H206"/>
  <c r="G206"/>
  <c r="F206"/>
  <c r="E206"/>
  <c r="D206"/>
  <c r="C206"/>
  <c r="B206"/>
  <c r="A206"/>
  <c r="L205"/>
  <c r="K205"/>
  <c r="J205"/>
  <c r="I205"/>
  <c r="H205"/>
  <c r="G205"/>
  <c r="F205"/>
  <c r="E205"/>
  <c r="D205"/>
  <c r="C205"/>
  <c r="B205"/>
  <c r="A205"/>
  <c r="L204"/>
  <c r="K204"/>
  <c r="J204"/>
  <c r="I204"/>
  <c r="H204"/>
  <c r="G204"/>
  <c r="F204"/>
  <c r="E204"/>
  <c r="D204"/>
  <c r="C204"/>
  <c r="B204"/>
  <c r="A204"/>
  <c r="L203"/>
  <c r="K203"/>
  <c r="J203"/>
  <c r="I203"/>
  <c r="H203"/>
  <c r="G203"/>
  <c r="F203"/>
  <c r="E203"/>
  <c r="D203"/>
  <c r="C203"/>
  <c r="B203"/>
  <c r="A203"/>
  <c r="L202"/>
  <c r="K202"/>
  <c r="J202"/>
  <c r="I202"/>
  <c r="H202"/>
  <c r="G202"/>
  <c r="F202"/>
  <c r="E202"/>
  <c r="D202"/>
  <c r="C202"/>
  <c r="B202"/>
  <c r="A202"/>
  <c r="L201"/>
  <c r="K201"/>
  <c r="J201"/>
  <c r="I201"/>
  <c r="H201"/>
  <c r="G201"/>
  <c r="F201"/>
  <c r="E201"/>
  <c r="D201"/>
  <c r="C201"/>
  <c r="B201"/>
  <c r="A201"/>
  <c r="L200"/>
  <c r="K200"/>
  <c r="J200"/>
  <c r="I200"/>
  <c r="H200"/>
  <c r="G200"/>
  <c r="F200"/>
  <c r="E200"/>
  <c r="D200"/>
  <c r="C200"/>
  <c r="B200"/>
  <c r="A200"/>
  <c r="L199"/>
  <c r="K199"/>
  <c r="J199"/>
  <c r="I199"/>
  <c r="H199"/>
  <c r="G199"/>
  <c r="F199"/>
  <c r="E199"/>
  <c r="D199"/>
  <c r="C199"/>
  <c r="B199"/>
  <c r="A199"/>
  <c r="L198"/>
  <c r="K198"/>
  <c r="J198"/>
  <c r="I198"/>
  <c r="H198"/>
  <c r="G198"/>
  <c r="F198"/>
  <c r="E198"/>
  <c r="D198"/>
  <c r="C198"/>
  <c r="B198"/>
  <c r="A198"/>
  <c r="L197"/>
  <c r="K197"/>
  <c r="J197"/>
  <c r="I197"/>
  <c r="H197"/>
  <c r="G197"/>
  <c r="F197"/>
  <c r="E197"/>
  <c r="D197"/>
  <c r="C197"/>
  <c r="B197"/>
  <c r="A197"/>
  <c r="L196"/>
  <c r="K196"/>
  <c r="J196"/>
  <c r="I196"/>
  <c r="H196"/>
  <c r="G196"/>
  <c r="F196"/>
  <c r="E196"/>
  <c r="D196"/>
  <c r="C196"/>
  <c r="B196"/>
  <c r="A196"/>
  <c r="L195"/>
  <c r="K195"/>
  <c r="J195"/>
  <c r="I195"/>
  <c r="H195"/>
  <c r="G195"/>
  <c r="F195"/>
  <c r="E195"/>
  <c r="D195"/>
  <c r="C195"/>
  <c r="B195"/>
  <c r="A195"/>
  <c r="L194"/>
  <c r="K194"/>
  <c r="J194"/>
  <c r="I194"/>
  <c r="H194"/>
  <c r="G194"/>
  <c r="F194"/>
  <c r="E194"/>
  <c r="D194"/>
  <c r="C194"/>
  <c r="B194"/>
  <c r="A194"/>
  <c r="L193"/>
  <c r="K193"/>
  <c r="J193"/>
  <c r="I193"/>
  <c r="H193"/>
  <c r="G193"/>
  <c r="F193"/>
  <c r="E193"/>
  <c r="D193"/>
  <c r="C193"/>
  <c r="B193"/>
  <c r="A193"/>
  <c r="L192"/>
  <c r="K192"/>
  <c r="J192"/>
  <c r="I192"/>
  <c r="H192"/>
  <c r="G192"/>
  <c r="F192"/>
  <c r="E192"/>
  <c r="D192"/>
  <c r="C192"/>
  <c r="B192"/>
  <c r="A192"/>
  <c r="L191"/>
  <c r="K191"/>
  <c r="J191"/>
  <c r="I191"/>
  <c r="H191"/>
  <c r="G191"/>
  <c r="F191"/>
  <c r="E191"/>
  <c r="D191"/>
  <c r="C191"/>
  <c r="B191"/>
  <c r="A191"/>
  <c r="L190"/>
  <c r="K190"/>
  <c r="J190"/>
  <c r="I190"/>
  <c r="H190"/>
  <c r="G190"/>
  <c r="F190"/>
  <c r="E190"/>
  <c r="D190"/>
  <c r="C190"/>
  <c r="B190"/>
  <c r="A190"/>
  <c r="L189"/>
  <c r="K189"/>
  <c r="J189"/>
  <c r="I189"/>
  <c r="H189"/>
  <c r="G189"/>
  <c r="F189"/>
  <c r="E189"/>
  <c r="D189"/>
  <c r="C189"/>
  <c r="B189"/>
  <c r="A189"/>
  <c r="L188"/>
  <c r="K188"/>
  <c r="J188"/>
  <c r="I188"/>
  <c r="H188"/>
  <c r="G188"/>
  <c r="F188"/>
  <c r="E188"/>
  <c r="D188"/>
  <c r="C188"/>
  <c r="B188"/>
  <c r="A188"/>
  <c r="L187"/>
  <c r="K187"/>
  <c r="J187"/>
  <c r="I187"/>
  <c r="H187"/>
  <c r="G187"/>
  <c r="F187"/>
  <c r="E187"/>
  <c r="D187"/>
  <c r="C187"/>
  <c r="B187"/>
  <c r="A187"/>
  <c r="L186"/>
  <c r="K186"/>
  <c r="J186"/>
  <c r="I186"/>
  <c r="H186"/>
  <c r="G186"/>
  <c r="F186"/>
  <c r="E186"/>
  <c r="D186"/>
  <c r="C186"/>
  <c r="B186"/>
  <c r="A186"/>
  <c r="L185"/>
  <c r="K185"/>
  <c r="J185"/>
  <c r="I185"/>
  <c r="H185"/>
  <c r="G185"/>
  <c r="F185"/>
  <c r="E185"/>
  <c r="D185"/>
  <c r="C185"/>
  <c r="B185"/>
  <c r="A185"/>
  <c r="L184"/>
  <c r="K184"/>
  <c r="J184"/>
  <c r="I184"/>
  <c r="H184"/>
  <c r="G184"/>
  <c r="F184"/>
  <c r="E184"/>
  <c r="D184"/>
  <c r="C184"/>
  <c r="B184"/>
  <c r="A184"/>
  <c r="L183"/>
  <c r="K183"/>
  <c r="J183"/>
  <c r="I183"/>
  <c r="H183"/>
  <c r="G183"/>
  <c r="F183"/>
  <c r="E183"/>
  <c r="D183"/>
  <c r="C183"/>
  <c r="B183"/>
  <c r="A183"/>
  <c r="L182"/>
  <c r="K182"/>
  <c r="J182"/>
  <c r="I182"/>
  <c r="H182"/>
  <c r="G182"/>
  <c r="F182"/>
  <c r="E182"/>
  <c r="D182"/>
  <c r="C182"/>
  <c r="B182"/>
  <c r="A182"/>
  <c r="L181"/>
  <c r="K181"/>
  <c r="J181"/>
  <c r="I181"/>
  <c r="H181"/>
  <c r="G181"/>
  <c r="F181"/>
  <c r="E181"/>
  <c r="D181"/>
  <c r="C181"/>
  <c r="B181"/>
  <c r="A181"/>
  <c r="L180"/>
  <c r="K180"/>
  <c r="J180"/>
  <c r="I180"/>
  <c r="H180"/>
  <c r="G180"/>
  <c r="F180"/>
  <c r="E180"/>
  <c r="D180"/>
  <c r="C180"/>
  <c r="B180"/>
  <c r="A180"/>
  <c r="L179"/>
  <c r="K179"/>
  <c r="J179"/>
  <c r="I179"/>
  <c r="H179"/>
  <c r="G179"/>
  <c r="F179"/>
  <c r="E179"/>
  <c r="D179"/>
  <c r="C179"/>
  <c r="B179"/>
  <c r="A179"/>
  <c r="L178"/>
  <c r="K178"/>
  <c r="J178"/>
  <c r="I178"/>
  <c r="H178"/>
  <c r="G178"/>
  <c r="F178"/>
  <c r="E178"/>
  <c r="D178"/>
  <c r="C178"/>
  <c r="B178"/>
  <c r="A178"/>
  <c r="L177"/>
  <c r="K177"/>
  <c r="J177"/>
  <c r="I177"/>
  <c r="H177"/>
  <c r="G177"/>
  <c r="F177"/>
  <c r="E177"/>
  <c r="D177"/>
  <c r="C177"/>
  <c r="B177"/>
  <c r="A177"/>
  <c r="L176"/>
  <c r="K176"/>
  <c r="J176"/>
  <c r="I176"/>
  <c r="H176"/>
  <c r="G176"/>
  <c r="F176"/>
  <c r="E176"/>
  <c r="D176"/>
  <c r="C176"/>
  <c r="B176"/>
  <c r="A176"/>
  <c r="L175"/>
  <c r="K175"/>
  <c r="J175"/>
  <c r="I175"/>
  <c r="H175"/>
  <c r="G175"/>
  <c r="F175"/>
  <c r="E175"/>
  <c r="D175"/>
  <c r="C175"/>
  <c r="B175"/>
  <c r="A175"/>
  <c r="L174"/>
  <c r="K174"/>
  <c r="J174"/>
  <c r="I174"/>
  <c r="H174"/>
  <c r="G174"/>
  <c r="F174"/>
  <c r="E174"/>
  <c r="D174"/>
  <c r="C174"/>
  <c r="B174"/>
  <c r="A174"/>
  <c r="L173"/>
  <c r="K173"/>
  <c r="J173"/>
  <c r="I173"/>
  <c r="H173"/>
  <c r="G173"/>
  <c r="F173"/>
  <c r="E173"/>
  <c r="D173"/>
  <c r="C173"/>
  <c r="B173"/>
  <c r="A173"/>
  <c r="L172"/>
  <c r="K172"/>
  <c r="J172"/>
  <c r="I172"/>
  <c r="H172"/>
  <c r="G172"/>
  <c r="F172"/>
  <c r="E172"/>
  <c r="D172"/>
  <c r="C172"/>
  <c r="B172"/>
  <c r="A172"/>
  <c r="L171"/>
  <c r="K171"/>
  <c r="J171"/>
  <c r="I171"/>
  <c r="H171"/>
  <c r="G171"/>
  <c r="F171"/>
  <c r="E171"/>
  <c r="D171"/>
  <c r="C171"/>
  <c r="B171"/>
  <c r="A171"/>
  <c r="L170"/>
  <c r="K170"/>
  <c r="J170"/>
  <c r="I170"/>
  <c r="H170"/>
  <c r="G170"/>
  <c r="F170"/>
  <c r="E170"/>
  <c r="D170"/>
  <c r="C170"/>
  <c r="B170"/>
  <c r="A170"/>
  <c r="L169"/>
  <c r="K169"/>
  <c r="J169"/>
  <c r="I169"/>
  <c r="H169"/>
  <c r="G169"/>
  <c r="F169"/>
  <c r="E169"/>
  <c r="D169"/>
  <c r="C169"/>
  <c r="B169"/>
  <c r="A169"/>
  <c r="L168"/>
  <c r="K168"/>
  <c r="J168"/>
  <c r="I168"/>
  <c r="H168"/>
  <c r="G168"/>
  <c r="F168"/>
  <c r="E168"/>
  <c r="D168"/>
  <c r="C168"/>
  <c r="B168"/>
  <c r="A168"/>
  <c r="L167"/>
  <c r="K167"/>
  <c r="J167"/>
  <c r="I167"/>
  <c r="H167"/>
  <c r="G167"/>
  <c r="F167"/>
  <c r="E167"/>
  <c r="D167"/>
  <c r="C167"/>
  <c r="B167"/>
  <c r="A167"/>
  <c r="L166"/>
  <c r="K166"/>
  <c r="J166"/>
  <c r="I166"/>
  <c r="H166"/>
  <c r="G166"/>
  <c r="F166"/>
  <c r="E166"/>
  <c r="D166"/>
  <c r="C166"/>
  <c r="B166"/>
  <c r="A166"/>
  <c r="L165"/>
  <c r="K165"/>
  <c r="J165"/>
  <c r="I165"/>
  <c r="H165"/>
  <c r="G165"/>
  <c r="F165"/>
  <c r="E165"/>
  <c r="D165"/>
  <c r="C165"/>
  <c r="B165"/>
  <c r="A165"/>
  <c r="L164"/>
  <c r="K164"/>
  <c r="J164"/>
  <c r="I164"/>
  <c r="H164"/>
  <c r="G164"/>
  <c r="F164"/>
  <c r="E164"/>
  <c r="D164"/>
  <c r="C164"/>
  <c r="B164"/>
  <c r="A164"/>
  <c r="L163"/>
  <c r="K163"/>
  <c r="J163"/>
  <c r="I163"/>
  <c r="H163"/>
  <c r="G163"/>
  <c r="F163"/>
  <c r="E163"/>
  <c r="D163"/>
  <c r="C163"/>
  <c r="B163"/>
  <c r="A163"/>
  <c r="L162"/>
  <c r="K162"/>
  <c r="J162"/>
  <c r="I162"/>
  <c r="H162"/>
  <c r="G162"/>
  <c r="F162"/>
  <c r="E162"/>
  <c r="D162"/>
  <c r="C162"/>
  <c r="B162"/>
  <c r="A162"/>
  <c r="L161"/>
  <c r="K161"/>
  <c r="J161"/>
  <c r="I161"/>
  <c r="H161"/>
  <c r="G161"/>
  <c r="F161"/>
  <c r="E161"/>
  <c r="D161"/>
  <c r="C161"/>
  <c r="B161"/>
  <c r="A161"/>
  <c r="L160"/>
  <c r="K160"/>
  <c r="J160"/>
  <c r="I160"/>
  <c r="H160"/>
  <c r="G160"/>
  <c r="F160"/>
  <c r="E160"/>
  <c r="D160"/>
  <c r="C160"/>
  <c r="B160"/>
  <c r="A160"/>
  <c r="L159"/>
  <c r="K159"/>
  <c r="J159"/>
  <c r="I159"/>
  <c r="H159"/>
  <c r="G159"/>
  <c r="F159"/>
  <c r="E159"/>
  <c r="D159"/>
  <c r="C159"/>
  <c r="B159"/>
  <c r="A159"/>
  <c r="L158"/>
  <c r="K158"/>
  <c r="J158"/>
  <c r="I158"/>
  <c r="H158"/>
  <c r="G158"/>
  <c r="F158"/>
  <c r="E158"/>
  <c r="D158"/>
  <c r="C158"/>
  <c r="B158"/>
  <c r="A158"/>
  <c r="L157"/>
  <c r="K157"/>
  <c r="J157"/>
  <c r="I157"/>
  <c r="H157"/>
  <c r="G157"/>
  <c r="F157"/>
  <c r="E157"/>
  <c r="D157"/>
  <c r="C157"/>
  <c r="B157"/>
  <c r="A157"/>
  <c r="L156"/>
  <c r="K156"/>
  <c r="J156"/>
  <c r="I156"/>
  <c r="H156"/>
  <c r="G156"/>
  <c r="F156"/>
  <c r="E156"/>
  <c r="D156"/>
  <c r="C156"/>
  <c r="B156"/>
  <c r="A156"/>
  <c r="L155"/>
  <c r="K155"/>
  <c r="J155"/>
  <c r="I155"/>
  <c r="H155"/>
  <c r="G155"/>
  <c r="F155"/>
  <c r="E155"/>
  <c r="D155"/>
  <c r="C155"/>
  <c r="B155"/>
  <c r="A155"/>
  <c r="L154"/>
  <c r="K154"/>
  <c r="J154"/>
  <c r="I154"/>
  <c r="H154"/>
  <c r="G154"/>
  <c r="F154"/>
  <c r="E154"/>
  <c r="D154"/>
  <c r="C154"/>
  <c r="B154"/>
  <c r="A154"/>
  <c r="L153"/>
  <c r="K153"/>
  <c r="J153"/>
  <c r="I153"/>
  <c r="H153"/>
  <c r="G153"/>
  <c r="F153"/>
  <c r="E153"/>
  <c r="D153"/>
  <c r="C153"/>
  <c r="B153"/>
  <c r="A153"/>
  <c r="L152"/>
  <c r="K152"/>
  <c r="J152"/>
  <c r="I152"/>
  <c r="H152"/>
  <c r="G152"/>
  <c r="F152"/>
  <c r="E152"/>
  <c r="D152"/>
  <c r="C152"/>
  <c r="B152"/>
  <c r="A152"/>
  <c r="L151"/>
  <c r="K151"/>
  <c r="J151"/>
  <c r="I151"/>
  <c r="H151"/>
  <c r="G151"/>
  <c r="F151"/>
  <c r="E151"/>
  <c r="D151"/>
  <c r="C151"/>
  <c r="B151"/>
  <c r="A151"/>
  <c r="L150"/>
  <c r="K150"/>
  <c r="J150"/>
  <c r="I150"/>
  <c r="H150"/>
  <c r="G150"/>
  <c r="F150"/>
  <c r="E150"/>
  <c r="D150"/>
  <c r="C150"/>
  <c r="B150"/>
  <c r="A150"/>
  <c r="L149"/>
  <c r="K149"/>
  <c r="J149"/>
  <c r="I149"/>
  <c r="H149"/>
  <c r="G149"/>
  <c r="F149"/>
  <c r="E149"/>
  <c r="D149"/>
  <c r="C149"/>
  <c r="B149"/>
  <c r="A149"/>
  <c r="L148"/>
  <c r="K148"/>
  <c r="J148"/>
  <c r="I148"/>
  <c r="H148"/>
  <c r="G148"/>
  <c r="F148"/>
  <c r="E148"/>
  <c r="D148"/>
  <c r="C148"/>
  <c r="B148"/>
  <c r="A148"/>
  <c r="L147"/>
  <c r="K147"/>
  <c r="J147"/>
  <c r="I147"/>
  <c r="H147"/>
  <c r="G147"/>
  <c r="F147"/>
  <c r="E147"/>
  <c r="D147"/>
  <c r="C147"/>
  <c r="B147"/>
  <c r="A147"/>
  <c r="L146"/>
  <c r="K146"/>
  <c r="J146"/>
  <c r="I146"/>
  <c r="H146"/>
  <c r="G146"/>
  <c r="F146"/>
  <c r="E146"/>
  <c r="D146"/>
  <c r="C146"/>
  <c r="B146"/>
  <c r="A146"/>
  <c r="L145"/>
  <c r="K145"/>
  <c r="J145"/>
  <c r="I145"/>
  <c r="H145"/>
  <c r="G145"/>
  <c r="F145"/>
  <c r="E145"/>
  <c r="D145"/>
  <c r="C145"/>
  <c r="B145"/>
  <c r="A145"/>
  <c r="L144"/>
  <c r="K144"/>
  <c r="J144"/>
  <c r="I144"/>
  <c r="H144"/>
  <c r="G144"/>
  <c r="F144"/>
  <c r="E144"/>
  <c r="D144"/>
  <c r="C144"/>
  <c r="B144"/>
  <c r="A144"/>
  <c r="L143"/>
  <c r="K143"/>
  <c r="J143"/>
  <c r="I143"/>
  <c r="H143"/>
  <c r="G143"/>
  <c r="F143"/>
  <c r="E143"/>
  <c r="D143"/>
  <c r="C143"/>
  <c r="B143"/>
  <c r="A143"/>
  <c r="L142"/>
  <c r="K142"/>
  <c r="J142"/>
  <c r="I142"/>
  <c r="H142"/>
  <c r="G142"/>
  <c r="F142"/>
  <c r="E142"/>
  <c r="D142"/>
  <c r="C142"/>
  <c r="B142"/>
  <c r="A142"/>
  <c r="L141"/>
  <c r="K141"/>
  <c r="J141"/>
  <c r="I141"/>
  <c r="H141"/>
  <c r="G141"/>
  <c r="F141"/>
  <c r="E141"/>
  <c r="D141"/>
  <c r="C141"/>
  <c r="B141"/>
  <c r="A141"/>
  <c r="L140"/>
  <c r="K140"/>
  <c r="J140"/>
  <c r="I140"/>
  <c r="H140"/>
  <c r="G140"/>
  <c r="F140"/>
  <c r="E140"/>
  <c r="D140"/>
  <c r="C140"/>
  <c r="B140"/>
  <c r="A140"/>
  <c r="L139"/>
  <c r="K139"/>
  <c r="J139"/>
  <c r="I139"/>
  <c r="H139"/>
  <c r="G139"/>
  <c r="F139"/>
  <c r="E139"/>
  <c r="D139"/>
  <c r="C139"/>
  <c r="B139"/>
  <c r="A139"/>
  <c r="L138"/>
  <c r="K138"/>
  <c r="J138"/>
  <c r="I138"/>
  <c r="H138"/>
  <c r="G138"/>
  <c r="F138"/>
  <c r="E138"/>
  <c r="D138"/>
  <c r="C138"/>
  <c r="B138"/>
  <c r="A138"/>
  <c r="L137"/>
  <c r="K137"/>
  <c r="J137"/>
  <c r="I137"/>
  <c r="H137"/>
  <c r="G137"/>
  <c r="F137"/>
  <c r="E137"/>
  <c r="D137"/>
  <c r="C137"/>
  <c r="B137"/>
  <c r="A137"/>
  <c r="L136"/>
  <c r="K136"/>
  <c r="J136"/>
  <c r="I136"/>
  <c r="H136"/>
  <c r="G136"/>
  <c r="F136"/>
  <c r="E136"/>
  <c r="D136"/>
  <c r="C136"/>
  <c r="B136"/>
  <c r="A136"/>
  <c r="L135"/>
  <c r="K135"/>
  <c r="J135"/>
  <c r="I135"/>
  <c r="H135"/>
  <c r="G135"/>
  <c r="F135"/>
  <c r="E135"/>
  <c r="D135"/>
  <c r="C135"/>
  <c r="B135"/>
  <c r="A135"/>
  <c r="L134"/>
  <c r="K134"/>
  <c r="J134"/>
  <c r="I134"/>
  <c r="H134"/>
  <c r="G134"/>
  <c r="F134"/>
  <c r="E134"/>
  <c r="D134"/>
  <c r="C134"/>
  <c r="B134"/>
  <c r="A134"/>
  <c r="L133"/>
  <c r="K133"/>
  <c r="J133"/>
  <c r="I133"/>
  <c r="H133"/>
  <c r="G133"/>
  <c r="F133"/>
  <c r="E133"/>
  <c r="D133"/>
  <c r="C133"/>
  <c r="B133"/>
  <c r="A133"/>
  <c r="L132"/>
  <c r="K132"/>
  <c r="J132"/>
  <c r="I132"/>
  <c r="H132"/>
  <c r="G132"/>
  <c r="F132"/>
  <c r="E132"/>
  <c r="D132"/>
  <c r="C132"/>
  <c r="B132"/>
  <c r="A132"/>
  <c r="L131"/>
  <c r="K131"/>
  <c r="J131"/>
  <c r="I131"/>
  <c r="H131"/>
  <c r="G131"/>
  <c r="F131"/>
  <c r="E131"/>
  <c r="D131"/>
  <c r="C131"/>
  <c r="B131"/>
  <c r="A131"/>
  <c r="L130"/>
  <c r="K130"/>
  <c r="J130"/>
  <c r="I130"/>
  <c r="H130"/>
  <c r="G130"/>
  <c r="F130"/>
  <c r="E130"/>
  <c r="D130"/>
  <c r="C130"/>
  <c r="B130"/>
  <c r="A130"/>
  <c r="L129"/>
  <c r="K129"/>
  <c r="J129"/>
  <c r="I129"/>
  <c r="H129"/>
  <c r="G129"/>
  <c r="F129"/>
  <c r="E129"/>
  <c r="D129"/>
  <c r="C129"/>
  <c r="B129"/>
  <c r="A129"/>
  <c r="L128"/>
  <c r="K128"/>
  <c r="J128"/>
  <c r="I128"/>
  <c r="H128"/>
  <c r="G128"/>
  <c r="F128"/>
  <c r="E128"/>
  <c r="D128"/>
  <c r="C128"/>
  <c r="B128"/>
  <c r="A128"/>
  <c r="L127"/>
  <c r="K127"/>
  <c r="J127"/>
  <c r="I127"/>
  <c r="H127"/>
  <c r="G127"/>
  <c r="F127"/>
  <c r="E127"/>
  <c r="D127"/>
  <c r="C127"/>
  <c r="B127"/>
  <c r="A127"/>
  <c r="L126"/>
  <c r="K126"/>
  <c r="J126"/>
  <c r="I126"/>
  <c r="H126"/>
  <c r="G126"/>
  <c r="F126"/>
  <c r="E126"/>
  <c r="D126"/>
  <c r="C126"/>
  <c r="B126"/>
  <c r="A126"/>
  <c r="L125"/>
  <c r="K125"/>
  <c r="J125"/>
  <c r="I125"/>
  <c r="H125"/>
  <c r="G125"/>
  <c r="F125"/>
  <c r="E125"/>
  <c r="D125"/>
  <c r="C125"/>
  <c r="B125"/>
  <c r="A125"/>
  <c r="L124"/>
  <c r="K124"/>
  <c r="J124"/>
  <c r="I124"/>
  <c r="H124"/>
  <c r="G124"/>
  <c r="F124"/>
  <c r="E124"/>
  <c r="D124"/>
  <c r="C124"/>
  <c r="B124"/>
  <c r="A124"/>
  <c r="L123"/>
  <c r="K123"/>
  <c r="J123"/>
  <c r="I123"/>
  <c r="H123"/>
  <c r="G123"/>
  <c r="F123"/>
  <c r="E123"/>
  <c r="D123"/>
  <c r="C123"/>
  <c r="B123"/>
  <c r="A123"/>
  <c r="L122"/>
  <c r="K122"/>
  <c r="J122"/>
  <c r="I122"/>
  <c r="H122"/>
  <c r="G122"/>
  <c r="F122"/>
  <c r="E122"/>
  <c r="D122"/>
  <c r="C122"/>
  <c r="B122"/>
  <c r="A122"/>
  <c r="L121"/>
  <c r="K121"/>
  <c r="J121"/>
  <c r="I121"/>
  <c r="H121"/>
  <c r="G121"/>
  <c r="F121"/>
  <c r="E121"/>
  <c r="D121"/>
  <c r="C121"/>
  <c r="B121"/>
  <c r="A121"/>
  <c r="L120"/>
  <c r="K120"/>
  <c r="J120"/>
  <c r="I120"/>
  <c r="H120"/>
  <c r="G120"/>
  <c r="F120"/>
  <c r="E120"/>
  <c r="D120"/>
  <c r="C120"/>
  <c r="B120"/>
  <c r="A120"/>
  <c r="L119"/>
  <c r="K119"/>
  <c r="J119"/>
  <c r="I119"/>
  <c r="H119"/>
  <c r="G119"/>
  <c r="F119"/>
  <c r="E119"/>
  <c r="D119"/>
  <c r="C119"/>
  <c r="B119"/>
  <c r="A119"/>
  <c r="L118"/>
  <c r="K118"/>
  <c r="J118"/>
  <c r="I118"/>
  <c r="H118"/>
  <c r="G118"/>
  <c r="F118"/>
  <c r="E118"/>
  <c r="D118"/>
  <c r="C118"/>
  <c r="B118"/>
  <c r="A118"/>
  <c r="L117"/>
  <c r="K117"/>
  <c r="J117"/>
  <c r="I117"/>
  <c r="H117"/>
  <c r="G117"/>
  <c r="F117"/>
  <c r="E117"/>
  <c r="D117"/>
  <c r="C117"/>
  <c r="B117"/>
  <c r="A117"/>
  <c r="L116"/>
  <c r="K116"/>
  <c r="J116"/>
  <c r="I116"/>
  <c r="H116"/>
  <c r="G116"/>
  <c r="F116"/>
  <c r="E116"/>
  <c r="D116"/>
  <c r="C116"/>
  <c r="B116"/>
  <c r="A116"/>
  <c r="L115"/>
  <c r="K115"/>
  <c r="J115"/>
  <c r="I115"/>
  <c r="H115"/>
  <c r="G115"/>
  <c r="F115"/>
  <c r="E115"/>
  <c r="D115"/>
  <c r="C115"/>
  <c r="B115"/>
  <c r="A115"/>
  <c r="L114"/>
  <c r="K114"/>
  <c r="J114"/>
  <c r="I114"/>
  <c r="H114"/>
  <c r="G114"/>
  <c r="F114"/>
  <c r="E114"/>
  <c r="D114"/>
  <c r="C114"/>
  <c r="B114"/>
  <c r="A114"/>
  <c r="L113"/>
  <c r="K113"/>
  <c r="J113"/>
  <c r="I113"/>
  <c r="H113"/>
  <c r="G113"/>
  <c r="F113"/>
  <c r="E113"/>
  <c r="D113"/>
  <c r="C113"/>
  <c r="B113"/>
  <c r="A113"/>
  <c r="L112"/>
  <c r="K112"/>
  <c r="J112"/>
  <c r="I112"/>
  <c r="H112"/>
  <c r="G112"/>
  <c r="F112"/>
  <c r="E112"/>
  <c r="D112"/>
  <c r="C112"/>
  <c r="B112"/>
  <c r="A112"/>
  <c r="L111"/>
  <c r="K111"/>
  <c r="J111"/>
  <c r="I111"/>
  <c r="H111"/>
  <c r="G111"/>
  <c r="F111"/>
  <c r="E111"/>
  <c r="D111"/>
  <c r="C111"/>
  <c r="B111"/>
  <c r="A111"/>
  <c r="L110"/>
  <c r="K110"/>
  <c r="J110"/>
  <c r="I110"/>
  <c r="H110"/>
  <c r="G110"/>
  <c r="F110"/>
  <c r="E110"/>
  <c r="D110"/>
  <c r="C110"/>
  <c r="B110"/>
  <c r="A110"/>
  <c r="L109"/>
  <c r="K109"/>
  <c r="J109"/>
  <c r="I109"/>
  <c r="H109"/>
  <c r="G109"/>
  <c r="F109"/>
  <c r="E109"/>
  <c r="D109"/>
  <c r="C109"/>
  <c r="B109"/>
  <c r="A109"/>
  <c r="L108"/>
  <c r="K108"/>
  <c r="J108"/>
  <c r="I108"/>
  <c r="H108"/>
  <c r="G108"/>
  <c r="F108"/>
  <c r="E108"/>
  <c r="D108"/>
  <c r="C108"/>
  <c r="B108"/>
  <c r="A108"/>
  <c r="L107"/>
  <c r="K107"/>
  <c r="J107"/>
  <c r="I107"/>
  <c r="H107"/>
  <c r="G107"/>
  <c r="F107"/>
  <c r="E107"/>
  <c r="D107"/>
  <c r="C107"/>
  <c r="B107"/>
  <c r="A107"/>
  <c r="L106"/>
  <c r="K106"/>
  <c r="J106"/>
  <c r="I106"/>
  <c r="H106"/>
  <c r="G106"/>
  <c r="F106"/>
  <c r="E106"/>
  <c r="D106"/>
  <c r="C106"/>
  <c r="B106"/>
  <c r="A106"/>
  <c r="L105"/>
  <c r="K105"/>
  <c r="J105"/>
  <c r="I105"/>
  <c r="H105"/>
  <c r="G105"/>
  <c r="F105"/>
  <c r="E105"/>
  <c r="D105"/>
  <c r="C105"/>
  <c r="B105"/>
  <c r="A105"/>
  <c r="L104"/>
  <c r="K104"/>
  <c r="J104"/>
  <c r="I104"/>
  <c r="H104"/>
  <c r="G104"/>
  <c r="F104"/>
  <c r="E104"/>
  <c r="D104"/>
  <c r="C104"/>
  <c r="B104"/>
  <c r="A104"/>
  <c r="L103"/>
  <c r="K103"/>
  <c r="J103"/>
  <c r="I103"/>
  <c r="H103"/>
  <c r="G103"/>
  <c r="F103"/>
  <c r="E103"/>
  <c r="D103"/>
  <c r="C103"/>
  <c r="B103"/>
  <c r="A103"/>
  <c r="L102"/>
  <c r="K102"/>
  <c r="J102"/>
  <c r="I102"/>
  <c r="H102"/>
  <c r="G102"/>
  <c r="F102"/>
  <c r="E102"/>
  <c r="D102"/>
  <c r="C102"/>
  <c r="B102"/>
  <c r="A102"/>
  <c r="L101"/>
  <c r="K101"/>
  <c r="J101"/>
  <c r="I101"/>
  <c r="H101"/>
  <c r="G101"/>
  <c r="F101"/>
  <c r="E101"/>
  <c r="D101"/>
  <c r="C101"/>
  <c r="B101"/>
  <c r="A101"/>
  <c r="L100"/>
  <c r="K100"/>
  <c r="J100"/>
  <c r="I100"/>
  <c r="H100"/>
  <c r="G100"/>
  <c r="F100"/>
  <c r="E100"/>
  <c r="D100"/>
  <c r="C100"/>
  <c r="B100"/>
  <c r="A100"/>
  <c r="L99"/>
  <c r="K99"/>
  <c r="J99"/>
  <c r="I99"/>
  <c r="H99"/>
  <c r="G99"/>
  <c r="F99"/>
  <c r="E99"/>
  <c r="D99"/>
  <c r="C99"/>
  <c r="B99"/>
  <c r="A99"/>
  <c r="L98"/>
  <c r="K98"/>
  <c r="J98"/>
  <c r="I98"/>
  <c r="H98"/>
  <c r="G98"/>
  <c r="F98"/>
  <c r="E98"/>
  <c r="D98"/>
  <c r="C98"/>
  <c r="B98"/>
  <c r="A98"/>
  <c r="L97"/>
  <c r="K97"/>
  <c r="J97"/>
  <c r="I97"/>
  <c r="H97"/>
  <c r="G97"/>
  <c r="F97"/>
  <c r="E97"/>
  <c r="D97"/>
  <c r="C97"/>
  <c r="B97"/>
  <c r="A97"/>
  <c r="L96"/>
  <c r="K96"/>
  <c r="J96"/>
  <c r="I96"/>
  <c r="H96"/>
  <c r="G96"/>
  <c r="F96"/>
  <c r="E96"/>
  <c r="D96"/>
  <c r="C96"/>
  <c r="B96"/>
  <c r="A96"/>
  <c r="L95"/>
  <c r="K95"/>
  <c r="J95"/>
  <c r="I95"/>
  <c r="H95"/>
  <c r="G95"/>
  <c r="F95"/>
  <c r="E95"/>
  <c r="D95"/>
  <c r="C95"/>
  <c r="B95"/>
  <c r="A95"/>
  <c r="L94"/>
  <c r="K94"/>
  <c r="J94"/>
  <c r="I94"/>
  <c r="H94"/>
  <c r="G94"/>
  <c r="F94"/>
  <c r="E94"/>
  <c r="D94"/>
  <c r="C94"/>
  <c r="B94"/>
  <c r="A94"/>
  <c r="L93"/>
  <c r="K93"/>
  <c r="J93"/>
  <c r="I93"/>
  <c r="H93"/>
  <c r="G93"/>
  <c r="F93"/>
  <c r="E93"/>
  <c r="D93"/>
  <c r="C93"/>
  <c r="B93"/>
  <c r="A93"/>
  <c r="L92"/>
  <c r="K92"/>
  <c r="J92"/>
  <c r="I92"/>
  <c r="H92"/>
  <c r="G92"/>
  <c r="F92"/>
  <c r="E92"/>
  <c r="D92"/>
  <c r="C92"/>
  <c r="B92"/>
  <c r="A92"/>
  <c r="L91"/>
  <c r="K91"/>
  <c r="J91"/>
  <c r="I91"/>
  <c r="H91"/>
  <c r="G91"/>
  <c r="F91"/>
  <c r="E91"/>
  <c r="D91"/>
  <c r="C91"/>
  <c r="B91"/>
  <c r="A91"/>
  <c r="L90"/>
  <c r="K90"/>
  <c r="J90"/>
  <c r="I90"/>
  <c r="H90"/>
  <c r="G90"/>
  <c r="F90"/>
  <c r="E90"/>
  <c r="D90"/>
  <c r="C90"/>
  <c r="B90"/>
  <c r="A90"/>
  <c r="L89"/>
  <c r="K89"/>
  <c r="J89"/>
  <c r="I89"/>
  <c r="H89"/>
  <c r="G89"/>
  <c r="F89"/>
  <c r="E89"/>
  <c r="D89"/>
  <c r="C89"/>
  <c r="B89"/>
  <c r="A89"/>
  <c r="L88"/>
  <c r="K88"/>
  <c r="J88"/>
  <c r="I88"/>
  <c r="H88"/>
  <c r="G88"/>
  <c r="F88"/>
  <c r="E88"/>
  <c r="D88"/>
  <c r="C88"/>
  <c r="B88"/>
  <c r="A88"/>
  <c r="L87"/>
  <c r="K87"/>
  <c r="J87"/>
  <c r="I87"/>
  <c r="H87"/>
  <c r="G87"/>
  <c r="F87"/>
  <c r="E87"/>
  <c r="D87"/>
  <c r="C87"/>
  <c r="B87"/>
  <c r="A87"/>
  <c r="L86"/>
  <c r="K86"/>
  <c r="J86"/>
  <c r="I86"/>
  <c r="H86"/>
  <c r="G86"/>
  <c r="F86"/>
  <c r="E86"/>
  <c r="D86"/>
  <c r="C86"/>
  <c r="B86"/>
  <c r="A86"/>
  <c r="L85"/>
  <c r="K85"/>
  <c r="J85"/>
  <c r="I85"/>
  <c r="H85"/>
  <c r="G85"/>
  <c r="F85"/>
  <c r="E85"/>
  <c r="D85"/>
  <c r="C85"/>
  <c r="B85"/>
  <c r="A85"/>
  <c r="L84"/>
  <c r="K84"/>
  <c r="J84"/>
  <c r="I84"/>
  <c r="H84"/>
  <c r="G84"/>
  <c r="F84"/>
  <c r="E84"/>
  <c r="D84"/>
  <c r="C84"/>
  <c r="B84"/>
  <c r="A84"/>
  <c r="L83"/>
  <c r="K83"/>
  <c r="J83"/>
  <c r="I83"/>
  <c r="H83"/>
  <c r="G83"/>
  <c r="F83"/>
  <c r="E83"/>
  <c r="D83"/>
  <c r="C83"/>
  <c r="B83"/>
  <c r="A83"/>
  <c r="L82"/>
  <c r="K82"/>
  <c r="J82"/>
  <c r="I82"/>
  <c r="H82"/>
  <c r="G82"/>
  <c r="F82"/>
  <c r="E82"/>
  <c r="D82"/>
  <c r="C82"/>
  <c r="B82"/>
  <c r="A82"/>
  <c r="L81"/>
  <c r="K81"/>
  <c r="J81"/>
  <c r="I81"/>
  <c r="H81"/>
  <c r="G81"/>
  <c r="F81"/>
  <c r="E81"/>
  <c r="D81"/>
  <c r="C81"/>
  <c r="B81"/>
  <c r="A81"/>
  <c r="L80"/>
  <c r="K80"/>
  <c r="J80"/>
  <c r="I80"/>
  <c r="H80"/>
  <c r="G80"/>
  <c r="F80"/>
  <c r="E80"/>
  <c r="D80"/>
  <c r="C80"/>
  <c r="B80"/>
  <c r="A80"/>
  <c r="L79"/>
  <c r="K79"/>
  <c r="J79"/>
  <c r="I79"/>
  <c r="H79"/>
  <c r="G79"/>
  <c r="F79"/>
  <c r="E79"/>
  <c r="D79"/>
  <c r="C79"/>
  <c r="B79"/>
  <c r="A79"/>
  <c r="L78"/>
  <c r="K78"/>
  <c r="J78"/>
  <c r="I78"/>
  <c r="H78"/>
  <c r="G78"/>
  <c r="F78"/>
  <c r="E78"/>
  <c r="D78"/>
  <c r="C78"/>
  <c r="B78"/>
  <c r="A78"/>
  <c r="L77"/>
  <c r="K77"/>
  <c r="J77"/>
  <c r="I77"/>
  <c r="H77"/>
  <c r="G77"/>
  <c r="F77"/>
  <c r="E77"/>
  <c r="D77"/>
  <c r="C77"/>
  <c r="B77"/>
  <c r="A77"/>
  <c r="L76"/>
  <c r="K76"/>
  <c r="J76"/>
  <c r="I76"/>
  <c r="H76"/>
  <c r="G76"/>
  <c r="F76"/>
  <c r="E76"/>
  <c r="D76"/>
  <c r="C76"/>
  <c r="B76"/>
  <c r="A76"/>
  <c r="L75"/>
  <c r="K75"/>
  <c r="J75"/>
  <c r="I75"/>
  <c r="H75"/>
  <c r="G75"/>
  <c r="F75"/>
  <c r="E75"/>
  <c r="D75"/>
  <c r="C75"/>
  <c r="B75"/>
  <c r="A75"/>
  <c r="L74"/>
  <c r="K74"/>
  <c r="J74"/>
  <c r="I74"/>
  <c r="H74"/>
  <c r="G74"/>
  <c r="F74"/>
  <c r="E74"/>
  <c r="D74"/>
  <c r="C74"/>
  <c r="B74"/>
  <c r="A74"/>
  <c r="L73"/>
  <c r="K73"/>
  <c r="J73"/>
  <c r="I73"/>
  <c r="H73"/>
  <c r="G73"/>
  <c r="F73"/>
  <c r="E73"/>
  <c r="D73"/>
  <c r="C73"/>
  <c r="B73"/>
  <c r="A73"/>
  <c r="L72"/>
  <c r="K72"/>
  <c r="J72"/>
  <c r="I72"/>
  <c r="H72"/>
  <c r="G72"/>
  <c r="F72"/>
  <c r="E72"/>
  <c r="D72"/>
  <c r="C72"/>
  <c r="B72"/>
  <c r="A72"/>
  <c r="L71"/>
  <c r="K71"/>
  <c r="J71"/>
  <c r="I71"/>
  <c r="H71"/>
  <c r="G71"/>
  <c r="F71"/>
  <c r="E71"/>
  <c r="D71"/>
  <c r="C71"/>
  <c r="B71"/>
  <c r="A71"/>
  <c r="L70"/>
  <c r="K70"/>
  <c r="J70"/>
  <c r="I70"/>
  <c r="H70"/>
  <c r="G70"/>
  <c r="F70"/>
  <c r="E70"/>
  <c r="D70"/>
  <c r="C70"/>
  <c r="B70"/>
  <c r="A70"/>
  <c r="L69"/>
  <c r="K69"/>
  <c r="J69"/>
  <c r="I69"/>
  <c r="H69"/>
  <c r="G69"/>
  <c r="F69"/>
  <c r="E69"/>
  <c r="D69"/>
  <c r="C69"/>
  <c r="B69"/>
  <c r="A69"/>
  <c r="L68"/>
  <c r="K68"/>
  <c r="J68"/>
  <c r="I68"/>
  <c r="H68"/>
  <c r="G68"/>
  <c r="F68"/>
  <c r="E68"/>
  <c r="D68"/>
  <c r="C68"/>
  <c r="B68"/>
  <c r="A68"/>
  <c r="L67"/>
  <c r="K67"/>
  <c r="J67"/>
  <c r="I67"/>
  <c r="H67"/>
  <c r="G67"/>
  <c r="F67"/>
  <c r="E67"/>
  <c r="D67"/>
  <c r="C67"/>
  <c r="B67"/>
  <c r="A67"/>
  <c r="L66"/>
  <c r="K66"/>
  <c r="J66"/>
  <c r="I66"/>
  <c r="H66"/>
  <c r="G66"/>
  <c r="F66"/>
  <c r="E66"/>
  <c r="D66"/>
  <c r="C66"/>
  <c r="B66"/>
  <c r="A66"/>
  <c r="L65"/>
  <c r="K65"/>
  <c r="J65"/>
  <c r="I65"/>
  <c r="H65"/>
  <c r="G65"/>
  <c r="F65"/>
  <c r="E65"/>
  <c r="D65"/>
  <c r="C65"/>
  <c r="B65"/>
  <c r="A65"/>
  <c r="L64"/>
  <c r="K64"/>
  <c r="J64"/>
  <c r="I64"/>
  <c r="H64"/>
  <c r="G64"/>
  <c r="F64"/>
  <c r="E64"/>
  <c r="D64"/>
  <c r="C64"/>
  <c r="B64"/>
  <c r="A64"/>
  <c r="L63"/>
  <c r="K63"/>
  <c r="J63"/>
  <c r="I63"/>
  <c r="H63"/>
  <c r="G63"/>
  <c r="F63"/>
  <c r="E63"/>
  <c r="D63"/>
  <c r="C63"/>
  <c r="B63"/>
  <c r="A63"/>
  <c r="L62"/>
  <c r="K62"/>
  <c r="J62"/>
  <c r="I62"/>
  <c r="H62"/>
  <c r="G62"/>
  <c r="F62"/>
  <c r="E62"/>
  <c r="D62"/>
  <c r="C62"/>
  <c r="B62"/>
  <c r="A62"/>
  <c r="L61"/>
  <c r="K61"/>
  <c r="J61"/>
  <c r="I61"/>
  <c r="H61"/>
  <c r="G61"/>
  <c r="F61"/>
  <c r="E61"/>
  <c r="D61"/>
  <c r="C61"/>
  <c r="B61"/>
  <c r="A61"/>
  <c r="L60"/>
  <c r="K60"/>
  <c r="J60"/>
  <c r="I60"/>
  <c r="H60"/>
  <c r="G60"/>
  <c r="F60"/>
  <c r="E60"/>
  <c r="D60"/>
  <c r="C60"/>
  <c r="B60"/>
  <c r="A60"/>
  <c r="L59"/>
  <c r="K59"/>
  <c r="J59"/>
  <c r="I59"/>
  <c r="H59"/>
  <c r="G59"/>
  <c r="F59"/>
  <c r="E59"/>
  <c r="D59"/>
  <c r="C59"/>
  <c r="B59"/>
  <c r="A59"/>
  <c r="L58"/>
  <c r="K58"/>
  <c r="J58"/>
  <c r="I58"/>
  <c r="H58"/>
  <c r="G58"/>
  <c r="F58"/>
  <c r="E58"/>
  <c r="D58"/>
  <c r="C58"/>
  <c r="B58"/>
  <c r="A58"/>
  <c r="L57"/>
  <c r="K57"/>
  <c r="J57"/>
  <c r="I57"/>
  <c r="H57"/>
  <c r="G57"/>
  <c r="F57"/>
  <c r="E57"/>
  <c r="D57"/>
  <c r="C57"/>
  <c r="B57"/>
  <c r="A57"/>
  <c r="L56"/>
  <c r="K56"/>
  <c r="J56"/>
  <c r="I56"/>
  <c r="H56"/>
  <c r="G56"/>
  <c r="F56"/>
  <c r="E56"/>
  <c r="D56"/>
  <c r="C56"/>
  <c r="B56"/>
  <c r="A56"/>
  <c r="L55"/>
  <c r="K55"/>
  <c r="J55"/>
  <c r="I55"/>
  <c r="H55"/>
  <c r="G55"/>
  <c r="F55"/>
  <c r="E55"/>
  <c r="D55"/>
  <c r="C55"/>
  <c r="B55"/>
  <c r="A55"/>
  <c r="L54"/>
  <c r="K54"/>
  <c r="J54"/>
  <c r="I54"/>
  <c r="H54"/>
  <c r="G54"/>
  <c r="F54"/>
  <c r="E54"/>
  <c r="D54"/>
  <c r="C54"/>
  <c r="B54"/>
  <c r="A54"/>
  <c r="L53"/>
  <c r="K53"/>
  <c r="J53"/>
  <c r="I53"/>
  <c r="H53"/>
  <c r="G53"/>
  <c r="F53"/>
  <c r="E53"/>
  <c r="D53"/>
  <c r="C53"/>
  <c r="B53"/>
  <c r="A53"/>
  <c r="L52"/>
  <c r="K52"/>
  <c r="J52"/>
  <c r="I52"/>
  <c r="H52"/>
  <c r="G52"/>
  <c r="F52"/>
  <c r="E52"/>
  <c r="D52"/>
  <c r="C52"/>
  <c r="B52"/>
  <c r="A52"/>
  <c r="L51"/>
  <c r="K51"/>
  <c r="J51"/>
  <c r="I51"/>
  <c r="H51"/>
  <c r="G51"/>
  <c r="F51"/>
  <c r="E51"/>
  <c r="D51"/>
  <c r="C51"/>
  <c r="B51"/>
  <c r="A51"/>
  <c r="L50"/>
  <c r="K50"/>
  <c r="J50"/>
  <c r="I50"/>
  <c r="H50"/>
  <c r="G50"/>
  <c r="F50"/>
  <c r="E50"/>
  <c r="D50"/>
  <c r="C50"/>
  <c r="B50"/>
  <c r="A50"/>
  <c r="L49"/>
  <c r="K49"/>
  <c r="J49"/>
  <c r="I49"/>
  <c r="H49"/>
  <c r="G49"/>
  <c r="F49"/>
  <c r="E49"/>
  <c r="D49"/>
  <c r="C49"/>
  <c r="B49"/>
  <c r="A49"/>
  <c r="L48"/>
  <c r="K48"/>
  <c r="J48"/>
  <c r="I48"/>
  <c r="H48"/>
  <c r="G48"/>
  <c r="F48"/>
  <c r="E48"/>
  <c r="D48"/>
  <c r="C48"/>
  <c r="B48"/>
  <c r="A48"/>
  <c r="L47"/>
  <c r="K47"/>
  <c r="J47"/>
  <c r="I47"/>
  <c r="H47"/>
  <c r="G47"/>
  <c r="F47"/>
  <c r="E47"/>
  <c r="D47"/>
  <c r="C47"/>
  <c r="B47"/>
  <c r="A47"/>
  <c r="L46"/>
  <c r="K46"/>
  <c r="J46"/>
  <c r="I46"/>
  <c r="H46"/>
  <c r="G46"/>
  <c r="F46"/>
  <c r="E46"/>
  <c r="D46"/>
  <c r="C46"/>
  <c r="B46"/>
  <c r="A46"/>
  <c r="L45"/>
  <c r="K45"/>
  <c r="J45"/>
  <c r="I45"/>
  <c r="H45"/>
  <c r="G45"/>
  <c r="F45"/>
  <c r="E45"/>
  <c r="D45"/>
  <c r="C45"/>
  <c r="B45"/>
  <c r="A45"/>
  <c r="L44"/>
  <c r="K44"/>
  <c r="J44"/>
  <c r="I44"/>
  <c r="H44"/>
  <c r="G44"/>
  <c r="F44"/>
  <c r="E44"/>
  <c r="D44"/>
  <c r="C44"/>
  <c r="B44"/>
  <c r="A44"/>
  <c r="L43"/>
  <c r="K43"/>
  <c r="J43"/>
  <c r="I43"/>
  <c r="H43"/>
  <c r="G43"/>
  <c r="F43"/>
  <c r="E43"/>
  <c r="D43"/>
  <c r="C43"/>
  <c r="B43"/>
  <c r="A43"/>
  <c r="L42"/>
  <c r="K42"/>
  <c r="J42"/>
  <c r="I42"/>
  <c r="H42"/>
  <c r="G42"/>
  <c r="F42"/>
  <c r="E42"/>
  <c r="D42"/>
  <c r="C42"/>
  <c r="B42"/>
  <c r="A42"/>
  <c r="L41"/>
  <c r="K41"/>
  <c r="J41"/>
  <c r="I41"/>
  <c r="H41"/>
  <c r="G41"/>
  <c r="F41"/>
  <c r="E41"/>
  <c r="D41"/>
  <c r="C41"/>
  <c r="B41"/>
  <c r="A41"/>
  <c r="L40"/>
  <c r="K40"/>
  <c r="J40"/>
  <c r="I40"/>
  <c r="H40"/>
  <c r="G40"/>
  <c r="F40"/>
  <c r="E40"/>
  <c r="D40"/>
  <c r="C40"/>
  <c r="B40"/>
  <c r="A40"/>
  <c r="L39"/>
  <c r="K39"/>
  <c r="J39"/>
  <c r="I39"/>
  <c r="H39"/>
  <c r="G39"/>
  <c r="F39"/>
  <c r="E39"/>
  <c r="D39"/>
  <c r="C39"/>
  <c r="B39"/>
  <c r="A39"/>
  <c r="L38"/>
  <c r="K38"/>
  <c r="J38"/>
  <c r="I38"/>
  <c r="H38"/>
  <c r="G38"/>
  <c r="F38"/>
  <c r="E38"/>
  <c r="D38"/>
  <c r="C38"/>
  <c r="B38"/>
  <c r="A38"/>
  <c r="L37"/>
  <c r="K37"/>
  <c r="J37"/>
  <c r="I37"/>
  <c r="H37"/>
  <c r="G37"/>
  <c r="F37"/>
  <c r="E37"/>
  <c r="D37"/>
  <c r="C37"/>
  <c r="B37"/>
  <c r="A37"/>
  <c r="L36"/>
  <c r="K36"/>
  <c r="J36"/>
  <c r="I36"/>
  <c r="H36"/>
  <c r="G36"/>
  <c r="F36"/>
  <c r="E36"/>
  <c r="D36"/>
  <c r="C36"/>
  <c r="B36"/>
  <c r="A36"/>
  <c r="L35"/>
  <c r="K35"/>
  <c r="J35"/>
  <c r="I35"/>
  <c r="H35"/>
  <c r="G35"/>
  <c r="F35"/>
  <c r="E35"/>
  <c r="D35"/>
  <c r="C35"/>
  <c r="B35"/>
  <c r="A35"/>
  <c r="L34"/>
  <c r="K34"/>
  <c r="J34"/>
  <c r="I34"/>
  <c r="H34"/>
  <c r="G34"/>
  <c r="F34"/>
  <c r="E34"/>
  <c r="D34"/>
  <c r="C34"/>
  <c r="B34"/>
  <c r="A34"/>
  <c r="L33"/>
  <c r="K33"/>
  <c r="J33"/>
  <c r="I33"/>
  <c r="H33"/>
  <c r="G33"/>
  <c r="F33"/>
  <c r="E33"/>
  <c r="D33"/>
  <c r="C33"/>
  <c r="B33"/>
  <c r="A33"/>
  <c r="L32"/>
  <c r="K32"/>
  <c r="J32"/>
  <c r="I32"/>
  <c r="H32"/>
  <c r="G32"/>
  <c r="F32"/>
  <c r="E32"/>
  <c r="D32"/>
  <c r="C32"/>
  <c r="B32"/>
  <c r="A32"/>
  <c r="L31"/>
  <c r="K31"/>
  <c r="J31"/>
  <c r="I31"/>
  <c r="H31"/>
  <c r="G31"/>
  <c r="F31"/>
  <c r="E31"/>
  <c r="D31"/>
  <c r="C31"/>
  <c r="B31"/>
  <c r="A31"/>
  <c r="L30"/>
  <c r="K30"/>
  <c r="J30"/>
  <c r="I30"/>
  <c r="H30"/>
  <c r="G30"/>
  <c r="F30"/>
  <c r="E30"/>
  <c r="D30"/>
  <c r="C30"/>
  <c r="B30"/>
  <c r="A30"/>
  <c r="L29"/>
  <c r="K29"/>
  <c r="J29"/>
  <c r="I29"/>
  <c r="H29"/>
  <c r="G29"/>
  <c r="F29"/>
  <c r="E29"/>
  <c r="D29"/>
  <c r="C29"/>
  <c r="B29"/>
  <c r="A29"/>
  <c r="L28"/>
  <c r="K28"/>
  <c r="J28"/>
  <c r="I28"/>
  <c r="H28"/>
  <c r="G28"/>
  <c r="F28"/>
  <c r="E28"/>
  <c r="D28"/>
  <c r="C28"/>
  <c r="B28"/>
  <c r="A28"/>
  <c r="L27"/>
  <c r="K27"/>
  <c r="J27"/>
  <c r="I27"/>
  <c r="H27"/>
  <c r="G27"/>
  <c r="F27"/>
  <c r="E27"/>
  <c r="D27"/>
  <c r="C27"/>
  <c r="B27"/>
  <c r="A27"/>
  <c r="L26"/>
  <c r="K26"/>
  <c r="J26"/>
  <c r="I26"/>
  <c r="H26"/>
  <c r="G26"/>
  <c r="F26"/>
  <c r="E26"/>
  <c r="D26"/>
  <c r="C26"/>
  <c r="B26"/>
  <c r="A26"/>
  <c r="L25"/>
  <c r="K25"/>
  <c r="J25"/>
  <c r="I25"/>
  <c r="H25"/>
  <c r="G25"/>
  <c r="F25"/>
  <c r="E25"/>
  <c r="D25"/>
  <c r="C25"/>
  <c r="B25"/>
  <c r="A25"/>
  <c r="L24"/>
  <c r="K24"/>
  <c r="J24"/>
  <c r="I24"/>
  <c r="H24"/>
  <c r="G24"/>
  <c r="F24"/>
  <c r="E24"/>
  <c r="D24"/>
  <c r="C24"/>
  <c r="B24"/>
  <c r="A24"/>
  <c r="L23"/>
  <c r="K23"/>
  <c r="J23"/>
  <c r="I23"/>
  <c r="H23"/>
  <c r="G23"/>
  <c r="F23"/>
  <c r="E23"/>
  <c r="D23"/>
  <c r="C23"/>
  <c r="B23"/>
  <c r="A23"/>
  <c r="L22"/>
  <c r="K22"/>
  <c r="J22"/>
  <c r="I22"/>
  <c r="H22"/>
  <c r="G22"/>
  <c r="F22"/>
  <c r="E22"/>
  <c r="D22"/>
  <c r="C22"/>
  <c r="B22"/>
  <c r="A22"/>
  <c r="L21"/>
  <c r="K21"/>
  <c r="J21"/>
  <c r="I21"/>
  <c r="H21"/>
  <c r="G21"/>
  <c r="F21"/>
  <c r="E21"/>
  <c r="D21"/>
  <c r="C21"/>
  <c r="B21"/>
  <c r="A21"/>
  <c r="L20"/>
  <c r="K20"/>
  <c r="J20"/>
  <c r="I20"/>
  <c r="H20"/>
  <c r="G20"/>
  <c r="F20"/>
  <c r="E20"/>
  <c r="D20"/>
  <c r="C20"/>
  <c r="B20"/>
  <c r="A20"/>
  <c r="L19"/>
  <c r="K19"/>
  <c r="J19"/>
  <c r="I19"/>
  <c r="H19"/>
  <c r="G19"/>
  <c r="F19"/>
  <c r="E19"/>
  <c r="D19"/>
  <c r="C19"/>
  <c r="B19"/>
  <c r="A19"/>
  <c r="L18"/>
  <c r="K18"/>
  <c r="J18"/>
  <c r="I18"/>
  <c r="H18"/>
  <c r="G18"/>
  <c r="F18"/>
  <c r="E18"/>
  <c r="D18"/>
  <c r="C18"/>
  <c r="B18"/>
  <c r="A18"/>
  <c r="L17"/>
  <c r="K17"/>
  <c r="J17"/>
  <c r="I17"/>
  <c r="H17"/>
  <c r="G17"/>
  <c r="F17"/>
  <c r="E17"/>
  <c r="D17"/>
  <c r="C17"/>
  <c r="B17"/>
  <c r="A17"/>
  <c r="L16"/>
  <c r="K16"/>
  <c r="J16"/>
  <c r="I16"/>
  <c r="H16"/>
  <c r="G16"/>
  <c r="F16"/>
  <c r="E16"/>
  <c r="D16"/>
  <c r="C16"/>
  <c r="B16"/>
  <c r="A16"/>
  <c r="L15"/>
  <c r="K15"/>
  <c r="J15"/>
  <c r="I15"/>
  <c r="H15"/>
  <c r="G15"/>
  <c r="F15"/>
  <c r="E15"/>
  <c r="D15"/>
  <c r="C15"/>
  <c r="B15"/>
  <c r="A15"/>
  <c r="L14"/>
  <c r="K14"/>
  <c r="J14"/>
  <c r="I14"/>
  <c r="H14"/>
  <c r="G14"/>
  <c r="F14"/>
  <c r="E14"/>
  <c r="D14"/>
  <c r="C14"/>
  <c r="B14"/>
  <c r="A14"/>
  <c r="L13"/>
  <c r="K13"/>
  <c r="J13"/>
  <c r="I13"/>
  <c r="H13"/>
  <c r="G13"/>
  <c r="F13"/>
  <c r="E13"/>
  <c r="D13"/>
  <c r="C13"/>
  <c r="B13"/>
  <c r="A13"/>
  <c r="L12"/>
  <c r="K12"/>
  <c r="J12"/>
  <c r="I12"/>
  <c r="H12"/>
  <c r="G12"/>
  <c r="F12"/>
  <c r="E12"/>
  <c r="D12"/>
  <c r="C12"/>
  <c r="B12"/>
  <c r="A12"/>
  <c r="L11"/>
  <c r="K11"/>
  <c r="J11"/>
  <c r="I11"/>
  <c r="H11"/>
  <c r="G11"/>
  <c r="F11"/>
  <c r="E11"/>
  <c r="D11"/>
  <c r="C11"/>
  <c r="B11"/>
  <c r="A11"/>
  <c r="L10"/>
  <c r="K10"/>
  <c r="J10"/>
  <c r="I10"/>
  <c r="H10"/>
  <c r="G10"/>
  <c r="F10"/>
  <c r="E10"/>
  <c r="D10"/>
  <c r="C10"/>
  <c r="B10"/>
  <c r="A10"/>
  <c r="L9"/>
  <c r="K9"/>
  <c r="J9"/>
  <c r="I9"/>
  <c r="H9"/>
  <c r="G9"/>
  <c r="F9"/>
  <c r="E9"/>
  <c r="D9"/>
  <c r="C9"/>
  <c r="B9"/>
  <c r="A9"/>
  <c r="L8"/>
  <c r="K8"/>
  <c r="J8"/>
  <c r="I8"/>
  <c r="H8"/>
  <c r="G8"/>
  <c r="F8"/>
  <c r="E8"/>
  <c r="D8"/>
  <c r="C8"/>
  <c r="B8"/>
  <c r="A8"/>
  <c r="L7"/>
  <c r="K7"/>
  <c r="J7"/>
  <c r="I7"/>
  <c r="H7"/>
  <c r="G7"/>
  <c r="F7"/>
  <c r="E7"/>
  <c r="D7"/>
  <c r="C7"/>
  <c r="B7"/>
  <c r="A7"/>
  <c r="L6"/>
  <c r="K6"/>
  <c r="J6"/>
  <c r="I6"/>
  <c r="H6"/>
  <c r="G6"/>
  <c r="F6"/>
  <c r="E6"/>
  <c r="D6"/>
  <c r="C6"/>
  <c r="B6"/>
  <c r="A6"/>
  <c r="L5"/>
  <c r="K5"/>
  <c r="J5"/>
  <c r="I5"/>
  <c r="H5"/>
  <c r="G5"/>
  <c r="F5"/>
  <c r="E5"/>
  <c r="D5"/>
  <c r="C5"/>
  <c r="B5"/>
  <c r="A5"/>
  <c r="L4"/>
  <c r="K4"/>
  <c r="J4"/>
  <c r="I4"/>
  <c r="H4"/>
  <c r="G4"/>
  <c r="F4"/>
  <c r="E4"/>
  <c r="D4"/>
  <c r="C4"/>
  <c r="B4"/>
  <c r="A4"/>
  <c r="L3"/>
  <c r="K3"/>
  <c r="J3"/>
  <c r="I3"/>
  <c r="H3"/>
  <c r="G3"/>
  <c r="F3"/>
  <c r="E3"/>
  <c r="D3"/>
  <c r="C3"/>
  <c r="B3"/>
  <c r="A3"/>
  <c r="L2"/>
  <c r="K2"/>
  <c r="J2"/>
  <c r="I2"/>
  <c r="H2"/>
  <c r="G2"/>
  <c r="F2"/>
  <c r="E2"/>
  <c r="D2"/>
  <c r="C2"/>
  <c r="B2"/>
  <c r="A2"/>
  <c r="L1"/>
  <c r="K1"/>
  <c r="J1"/>
  <c r="I1"/>
  <c r="H1"/>
  <c r="G1"/>
  <c r="F1"/>
  <c r="E1"/>
  <c r="D1"/>
  <c r="C1"/>
  <c r="B1"/>
  <c r="K3069" i="11"/>
  <c r="J3069"/>
  <c r="I3069"/>
  <c r="H3069"/>
  <c r="G3069"/>
  <c r="F3069"/>
  <c r="E3069"/>
  <c r="D3069"/>
  <c r="C3069"/>
  <c r="B3069"/>
  <c r="A3069"/>
  <c r="K3068"/>
  <c r="J3068"/>
  <c r="I3068"/>
  <c r="H3068"/>
  <c r="G3068"/>
  <c r="F3068"/>
  <c r="E3068"/>
  <c r="D3068"/>
  <c r="C3068"/>
  <c r="B3068"/>
  <c r="A3068"/>
  <c r="K3067"/>
  <c r="J3067"/>
  <c r="I3067"/>
  <c r="H3067"/>
  <c r="G3067"/>
  <c r="F3067"/>
  <c r="E3067"/>
  <c r="D3067"/>
  <c r="C3067"/>
  <c r="B3067"/>
  <c r="A3067"/>
  <c r="K3066"/>
  <c r="J3066"/>
  <c r="I3066"/>
  <c r="H3066"/>
  <c r="G3066"/>
  <c r="F3066"/>
  <c r="E3066"/>
  <c r="D3066"/>
  <c r="C3066"/>
  <c r="B3066"/>
  <c r="A3066"/>
  <c r="K3065"/>
  <c r="J3065"/>
  <c r="I3065"/>
  <c r="H3065"/>
  <c r="G3065"/>
  <c r="F3065"/>
  <c r="E3065"/>
  <c r="D3065"/>
  <c r="C3065"/>
  <c r="B3065"/>
  <c r="A3065"/>
  <c r="K3064"/>
  <c r="J3064"/>
  <c r="I3064"/>
  <c r="H3064"/>
  <c r="G3064"/>
  <c r="F3064"/>
  <c r="E3064"/>
  <c r="D3064"/>
  <c r="C3064"/>
  <c r="B3064"/>
  <c r="A3064"/>
  <c r="K3063"/>
  <c r="J3063"/>
  <c r="I3063"/>
  <c r="H3063"/>
  <c r="G3063"/>
  <c r="F3063"/>
  <c r="E3063"/>
  <c r="D3063"/>
  <c r="C3063"/>
  <c r="B3063"/>
  <c r="A3063"/>
  <c r="K3062"/>
  <c r="J3062"/>
  <c r="I3062"/>
  <c r="H3062"/>
  <c r="G3062"/>
  <c r="F3062"/>
  <c r="E3062"/>
  <c r="D3062"/>
  <c r="C3062"/>
  <c r="B3062"/>
  <c r="A3062"/>
  <c r="K3061"/>
  <c r="J3061"/>
  <c r="I3061"/>
  <c r="H3061"/>
  <c r="G3061"/>
  <c r="F3061"/>
  <c r="E3061"/>
  <c r="D3061"/>
  <c r="C3061"/>
  <c r="B3061"/>
  <c r="A3061"/>
  <c r="K3060"/>
  <c r="J3060"/>
  <c r="I3060"/>
  <c r="H3060"/>
  <c r="G3060"/>
  <c r="F3060"/>
  <c r="E3060"/>
  <c r="D3060"/>
  <c r="C3060"/>
  <c r="B3060"/>
  <c r="A3060"/>
  <c r="K3059"/>
  <c r="J3059"/>
  <c r="I3059"/>
  <c r="H3059"/>
  <c r="G3059"/>
  <c r="F3059"/>
  <c r="E3059"/>
  <c r="D3059"/>
  <c r="C3059"/>
  <c r="B3059"/>
  <c r="A3059"/>
  <c r="K3058"/>
  <c r="J3058"/>
  <c r="I3058"/>
  <c r="H3058"/>
  <c r="G3058"/>
  <c r="F3058"/>
  <c r="E3058"/>
  <c r="D3058"/>
  <c r="C3058"/>
  <c r="B3058"/>
  <c r="A3058"/>
  <c r="K3057"/>
  <c r="J3057"/>
  <c r="I3057"/>
  <c r="H3057"/>
  <c r="G3057"/>
  <c r="F3057"/>
  <c r="E3057"/>
  <c r="D3057"/>
  <c r="C3057"/>
  <c r="B3057"/>
  <c r="A3057"/>
  <c r="K3056"/>
  <c r="J3056"/>
  <c r="I3056"/>
  <c r="H3056"/>
  <c r="G3056"/>
  <c r="F3056"/>
  <c r="E3056"/>
  <c r="D3056"/>
  <c r="C3056"/>
  <c r="B3056"/>
  <c r="A3056"/>
  <c r="K3055"/>
  <c r="J3055"/>
  <c r="I3055"/>
  <c r="H3055"/>
  <c r="G3055"/>
  <c r="F3055"/>
  <c r="E3055"/>
  <c r="D3055"/>
  <c r="C3055"/>
  <c r="B3055"/>
  <c r="A3055"/>
  <c r="K3054"/>
  <c r="J3054"/>
  <c r="I3054"/>
  <c r="H3054"/>
  <c r="G3054"/>
  <c r="F3054"/>
  <c r="E3054"/>
  <c r="D3054"/>
  <c r="C3054"/>
  <c r="B3054"/>
  <c r="A3054"/>
  <c r="K3053"/>
  <c r="J3053"/>
  <c r="I3053"/>
  <c r="H3053"/>
  <c r="G3053"/>
  <c r="F3053"/>
  <c r="E3053"/>
  <c r="D3053"/>
  <c r="C3053"/>
  <c r="B3053"/>
  <c r="A3053"/>
  <c r="K3052"/>
  <c r="J3052"/>
  <c r="I3052"/>
  <c r="H3052"/>
  <c r="G3052"/>
  <c r="F3052"/>
  <c r="E3052"/>
  <c r="D3052"/>
  <c r="C3052"/>
  <c r="B3052"/>
  <c r="A3052"/>
  <c r="K3051"/>
  <c r="J3051"/>
  <c r="I3051"/>
  <c r="H3051"/>
  <c r="G3051"/>
  <c r="F3051"/>
  <c r="E3051"/>
  <c r="D3051"/>
  <c r="C3051"/>
  <c r="B3051"/>
  <c r="A3051"/>
  <c r="K3050"/>
  <c r="J3050"/>
  <c r="I3050"/>
  <c r="H3050"/>
  <c r="G3050"/>
  <c r="F3050"/>
  <c r="E3050"/>
  <c r="D3050"/>
  <c r="C3050"/>
  <c r="B3050"/>
  <c r="A3050"/>
  <c r="K3049"/>
  <c r="J3049"/>
  <c r="I3049"/>
  <c r="H3049"/>
  <c r="G3049"/>
  <c r="F3049"/>
  <c r="E3049"/>
  <c r="D3049"/>
  <c r="C3049"/>
  <c r="B3049"/>
  <c r="A3049"/>
  <c r="K3048"/>
  <c r="J3048"/>
  <c r="I3048"/>
  <c r="H3048"/>
  <c r="G3048"/>
  <c r="F3048"/>
  <c r="E3048"/>
  <c r="D3048"/>
  <c r="C3048"/>
  <c r="B3048"/>
  <c r="A3048"/>
  <c r="K3047"/>
  <c r="J3047"/>
  <c r="I3047"/>
  <c r="H3047"/>
  <c r="G3047"/>
  <c r="F3047"/>
  <c r="E3047"/>
  <c r="D3047"/>
  <c r="C3047"/>
  <c r="B3047"/>
  <c r="A3047"/>
  <c r="K3046"/>
  <c r="J3046"/>
  <c r="I3046"/>
  <c r="H3046"/>
  <c r="G3046"/>
  <c r="F3046"/>
  <c r="E3046"/>
  <c r="D3046"/>
  <c r="C3046"/>
  <c r="B3046"/>
  <c r="A3046"/>
  <c r="K3045"/>
  <c r="J3045"/>
  <c r="I3045"/>
  <c r="H3045"/>
  <c r="G3045"/>
  <c r="F3045"/>
  <c r="E3045"/>
  <c r="D3045"/>
  <c r="C3045"/>
  <c r="B3045"/>
  <c r="A3045"/>
  <c r="K3044"/>
  <c r="J3044"/>
  <c r="I3044"/>
  <c r="H3044"/>
  <c r="G3044"/>
  <c r="F3044"/>
  <c r="E3044"/>
  <c r="D3044"/>
  <c r="C3044"/>
  <c r="B3044"/>
  <c r="A3044"/>
  <c r="K3043"/>
  <c r="J3043"/>
  <c r="I3043"/>
  <c r="H3043"/>
  <c r="G3043"/>
  <c r="F3043"/>
  <c r="E3043"/>
  <c r="D3043"/>
  <c r="C3043"/>
  <c r="B3043"/>
  <c r="A3043"/>
  <c r="K3042"/>
  <c r="J3042"/>
  <c r="I3042"/>
  <c r="H3042"/>
  <c r="G3042"/>
  <c r="F3042"/>
  <c r="E3042"/>
  <c r="D3042"/>
  <c r="C3042"/>
  <c r="B3042"/>
  <c r="A3042"/>
  <c r="K3041"/>
  <c r="J3041"/>
  <c r="I3041"/>
  <c r="H3041"/>
  <c r="G3041"/>
  <c r="F3041"/>
  <c r="E3041"/>
  <c r="D3041"/>
  <c r="C3041"/>
  <c r="B3041"/>
  <c r="A3041"/>
  <c r="K3040"/>
  <c r="J3040"/>
  <c r="I3040"/>
  <c r="H3040"/>
  <c r="G3040"/>
  <c r="F3040"/>
  <c r="E3040"/>
  <c r="D3040"/>
  <c r="C3040"/>
  <c r="B3040"/>
  <c r="A3040"/>
  <c r="K3039"/>
  <c r="J3039"/>
  <c r="I3039"/>
  <c r="H3039"/>
  <c r="G3039"/>
  <c r="F3039"/>
  <c r="E3039"/>
  <c r="D3039"/>
  <c r="C3039"/>
  <c r="B3039"/>
  <c r="A3039"/>
  <c r="K3038"/>
  <c r="J3038"/>
  <c r="I3038"/>
  <c r="H3038"/>
  <c r="G3038"/>
  <c r="F3038"/>
  <c r="E3038"/>
  <c r="D3038"/>
  <c r="C3038"/>
  <c r="B3038"/>
  <c r="A3038"/>
  <c r="K3037"/>
  <c r="J3037"/>
  <c r="I3037"/>
  <c r="H3037"/>
  <c r="G3037"/>
  <c r="F3037"/>
  <c r="E3037"/>
  <c r="D3037"/>
  <c r="C3037"/>
  <c r="B3037"/>
  <c r="A3037"/>
  <c r="K3036"/>
  <c r="J3036"/>
  <c r="I3036"/>
  <c r="H3036"/>
  <c r="G3036"/>
  <c r="F3036"/>
  <c r="E3036"/>
  <c r="D3036"/>
  <c r="C3036"/>
  <c r="B3036"/>
  <c r="A3036"/>
  <c r="K3035"/>
  <c r="J3035"/>
  <c r="I3035"/>
  <c r="H3035"/>
  <c r="G3035"/>
  <c r="F3035"/>
  <c r="E3035"/>
  <c r="D3035"/>
  <c r="C3035"/>
  <c r="B3035"/>
  <c r="A3035"/>
  <c r="K3034"/>
  <c r="J3034"/>
  <c r="I3034"/>
  <c r="H3034"/>
  <c r="G3034"/>
  <c r="F3034"/>
  <c r="E3034"/>
  <c r="D3034"/>
  <c r="C3034"/>
  <c r="B3034"/>
  <c r="A3034"/>
  <c r="K3033"/>
  <c r="J3033"/>
  <c r="I3033"/>
  <c r="H3033"/>
  <c r="G3033"/>
  <c r="F3033"/>
  <c r="E3033"/>
  <c r="D3033"/>
  <c r="C3033"/>
  <c r="B3033"/>
  <c r="A3033"/>
  <c r="K3032"/>
  <c r="J3032"/>
  <c r="I3032"/>
  <c r="H3032"/>
  <c r="G3032"/>
  <c r="F3032"/>
  <c r="E3032"/>
  <c r="D3032"/>
  <c r="C3032"/>
  <c r="B3032"/>
  <c r="A3032"/>
  <c r="K3031"/>
  <c r="J3031"/>
  <c r="I3031"/>
  <c r="H3031"/>
  <c r="G3031"/>
  <c r="F3031"/>
  <c r="E3031"/>
  <c r="D3031"/>
  <c r="C3031"/>
  <c r="B3031"/>
  <c r="A3031"/>
  <c r="K3030"/>
  <c r="J3030"/>
  <c r="I3030"/>
  <c r="H3030"/>
  <c r="G3030"/>
  <c r="F3030"/>
  <c r="E3030"/>
  <c r="D3030"/>
  <c r="C3030"/>
  <c r="B3030"/>
  <c r="A3030"/>
  <c r="K3029"/>
  <c r="J3029"/>
  <c r="I3029"/>
  <c r="H3029"/>
  <c r="G3029"/>
  <c r="F3029"/>
  <c r="E3029"/>
  <c r="D3029"/>
  <c r="C3029"/>
  <c r="B3029"/>
  <c r="A3029"/>
  <c r="K3028"/>
  <c r="J3028"/>
  <c r="I3028"/>
  <c r="H3028"/>
  <c r="G3028"/>
  <c r="F3028"/>
  <c r="E3028"/>
  <c r="D3028"/>
  <c r="C3028"/>
  <c r="B3028"/>
  <c r="A3028"/>
  <c r="K3027"/>
  <c r="J3027"/>
  <c r="I3027"/>
  <c r="H3027"/>
  <c r="G3027"/>
  <c r="F3027"/>
  <c r="E3027"/>
  <c r="D3027"/>
  <c r="C3027"/>
  <c r="B3027"/>
  <c r="A3027"/>
  <c r="K3026"/>
  <c r="J3026"/>
  <c r="I3026"/>
  <c r="H3026"/>
  <c r="G3026"/>
  <c r="F3026"/>
  <c r="E3026"/>
  <c r="D3026"/>
  <c r="C3026"/>
  <c r="B3026"/>
  <c r="A3026"/>
  <c r="K3025"/>
  <c r="J3025"/>
  <c r="I3025"/>
  <c r="H3025"/>
  <c r="G3025"/>
  <c r="F3025"/>
  <c r="E3025"/>
  <c r="D3025"/>
  <c r="C3025"/>
  <c r="B3025"/>
  <c r="A3025"/>
  <c r="K3024"/>
  <c r="J3024"/>
  <c r="I3024"/>
  <c r="H3024"/>
  <c r="G3024"/>
  <c r="F3024"/>
  <c r="E3024"/>
  <c r="D3024"/>
  <c r="C3024"/>
  <c r="B3024"/>
  <c r="A3024"/>
  <c r="K3023"/>
  <c r="J3023"/>
  <c r="I3023"/>
  <c r="H3023"/>
  <c r="G3023"/>
  <c r="F3023"/>
  <c r="E3023"/>
  <c r="D3023"/>
  <c r="C3023"/>
  <c r="B3023"/>
  <c r="A3023"/>
  <c r="K3022"/>
  <c r="J3022"/>
  <c r="I3022"/>
  <c r="H3022"/>
  <c r="G3022"/>
  <c r="F3022"/>
  <c r="E3022"/>
  <c r="D3022"/>
  <c r="C3022"/>
  <c r="B3022"/>
  <c r="A3022"/>
  <c r="K3021"/>
  <c r="J3021"/>
  <c r="I3021"/>
  <c r="H3021"/>
  <c r="G3021"/>
  <c r="F3021"/>
  <c r="E3021"/>
  <c r="D3021"/>
  <c r="C3021"/>
  <c r="B3021"/>
  <c r="A3021"/>
  <c r="K3020"/>
  <c r="J3020"/>
  <c r="I3020"/>
  <c r="H3020"/>
  <c r="G3020"/>
  <c r="F3020"/>
  <c r="E3020"/>
  <c r="D3020"/>
  <c r="C3020"/>
  <c r="B3020"/>
  <c r="A3020"/>
  <c r="K3019"/>
  <c r="J3019"/>
  <c r="I3019"/>
  <c r="H3019"/>
  <c r="G3019"/>
  <c r="F3019"/>
  <c r="E3019"/>
  <c r="D3019"/>
  <c r="C3019"/>
  <c r="B3019"/>
  <c r="A3019"/>
  <c r="K3018"/>
  <c r="J3018"/>
  <c r="I3018"/>
  <c r="H3018"/>
  <c r="G3018"/>
  <c r="F3018"/>
  <c r="E3018"/>
  <c r="D3018"/>
  <c r="C3018"/>
  <c r="B3018"/>
  <c r="A3018"/>
  <c r="K3017"/>
  <c r="J3017"/>
  <c r="I3017"/>
  <c r="H3017"/>
  <c r="G3017"/>
  <c r="F3017"/>
  <c r="E3017"/>
  <c r="D3017"/>
  <c r="C3017"/>
  <c r="B3017"/>
  <c r="A3017"/>
  <c r="K3016"/>
  <c r="J3016"/>
  <c r="I3016"/>
  <c r="H3016"/>
  <c r="G3016"/>
  <c r="F3016"/>
  <c r="E3016"/>
  <c r="D3016"/>
  <c r="C3016"/>
  <c r="B3016"/>
  <c r="A3016"/>
  <c r="K3015"/>
  <c r="J3015"/>
  <c r="I3015"/>
  <c r="H3015"/>
  <c r="G3015"/>
  <c r="F3015"/>
  <c r="E3015"/>
  <c r="D3015"/>
  <c r="C3015"/>
  <c r="B3015"/>
  <c r="A3015"/>
  <c r="K3014"/>
  <c r="J3014"/>
  <c r="I3014"/>
  <c r="H3014"/>
  <c r="G3014"/>
  <c r="F3014"/>
  <c r="E3014"/>
  <c r="D3014"/>
  <c r="C3014"/>
  <c r="B3014"/>
  <c r="A3014"/>
  <c r="K3013"/>
  <c r="J3013"/>
  <c r="I3013"/>
  <c r="H3013"/>
  <c r="G3013"/>
  <c r="F3013"/>
  <c r="E3013"/>
  <c r="D3013"/>
  <c r="C3013"/>
  <c r="B3013"/>
  <c r="A3013"/>
  <c r="K3012"/>
  <c r="J3012"/>
  <c r="I3012"/>
  <c r="H3012"/>
  <c r="G3012"/>
  <c r="F3012"/>
  <c r="E3012"/>
  <c r="D3012"/>
  <c r="C3012"/>
  <c r="B3012"/>
  <c r="A3012"/>
  <c r="K3011"/>
  <c r="J3011"/>
  <c r="I3011"/>
  <c r="H3011"/>
  <c r="G3011"/>
  <c r="F3011"/>
  <c r="E3011"/>
  <c r="D3011"/>
  <c r="C3011"/>
  <c r="B3011"/>
  <c r="A3011"/>
  <c r="K3010"/>
  <c r="J3010"/>
  <c r="I3010"/>
  <c r="H3010"/>
  <c r="G3010"/>
  <c r="F3010"/>
  <c r="E3010"/>
  <c r="D3010"/>
  <c r="C3010"/>
  <c r="B3010"/>
  <c r="A3010"/>
  <c r="K3009"/>
  <c r="J3009"/>
  <c r="I3009"/>
  <c r="H3009"/>
  <c r="G3009"/>
  <c r="F3009"/>
  <c r="E3009"/>
  <c r="D3009"/>
  <c r="C3009"/>
  <c r="B3009"/>
  <c r="A3009"/>
  <c r="K3008"/>
  <c r="J3008"/>
  <c r="I3008"/>
  <c r="H3008"/>
  <c r="G3008"/>
  <c r="F3008"/>
  <c r="E3008"/>
  <c r="D3008"/>
  <c r="C3008"/>
  <c r="B3008"/>
  <c r="A3008"/>
  <c r="K3007"/>
  <c r="J3007"/>
  <c r="I3007"/>
  <c r="H3007"/>
  <c r="G3007"/>
  <c r="F3007"/>
  <c r="E3007"/>
  <c r="D3007"/>
  <c r="C3007"/>
  <c r="B3007"/>
  <c r="A3007"/>
  <c r="K3006"/>
  <c r="J3006"/>
  <c r="I3006"/>
  <c r="H3006"/>
  <c r="G3006"/>
  <c r="F3006"/>
  <c r="E3006"/>
  <c r="D3006"/>
  <c r="C3006"/>
  <c r="B3006"/>
  <c r="A3006"/>
  <c r="K3005"/>
  <c r="J3005"/>
  <c r="I3005"/>
  <c r="H3005"/>
  <c r="G3005"/>
  <c r="F3005"/>
  <c r="E3005"/>
  <c r="D3005"/>
  <c r="C3005"/>
  <c r="B3005"/>
  <c r="A3005"/>
  <c r="K3004"/>
  <c r="J3004"/>
  <c r="I3004"/>
  <c r="H3004"/>
  <c r="G3004"/>
  <c r="F3004"/>
  <c r="E3004"/>
  <c r="D3004"/>
  <c r="C3004"/>
  <c r="B3004"/>
  <c r="A3004"/>
  <c r="K3003"/>
  <c r="J3003"/>
  <c r="I3003"/>
  <c r="H3003"/>
  <c r="G3003"/>
  <c r="F3003"/>
  <c r="E3003"/>
  <c r="D3003"/>
  <c r="C3003"/>
  <c r="B3003"/>
  <c r="A3003"/>
  <c r="K3002"/>
  <c r="J3002"/>
  <c r="I3002"/>
  <c r="H3002"/>
  <c r="G3002"/>
  <c r="F3002"/>
  <c r="E3002"/>
  <c r="D3002"/>
  <c r="C3002"/>
  <c r="B3002"/>
  <c r="A3002"/>
  <c r="K3001"/>
  <c r="J3001"/>
  <c r="I3001"/>
  <c r="H3001"/>
  <c r="G3001"/>
  <c r="F3001"/>
  <c r="E3001"/>
  <c r="D3001"/>
  <c r="C3001"/>
  <c r="B3001"/>
  <c r="A3001"/>
  <c r="K3000"/>
  <c r="J3000"/>
  <c r="I3000"/>
  <c r="H3000"/>
  <c r="G3000"/>
  <c r="F3000"/>
  <c r="E3000"/>
  <c r="D3000"/>
  <c r="C3000"/>
  <c r="B3000"/>
  <c r="A3000"/>
  <c r="K2999"/>
  <c r="J2999"/>
  <c r="I2999"/>
  <c r="H2999"/>
  <c r="G2999"/>
  <c r="F2999"/>
  <c r="E2999"/>
  <c r="D2999"/>
  <c r="C2999"/>
  <c r="B2999"/>
  <c r="A2999"/>
  <c r="K2998"/>
  <c r="J2998"/>
  <c r="I2998"/>
  <c r="H2998"/>
  <c r="G2998"/>
  <c r="F2998"/>
  <c r="E2998"/>
  <c r="D2998"/>
  <c r="C2998"/>
  <c r="B2998"/>
  <c r="A2998"/>
  <c r="K2997"/>
  <c r="J2997"/>
  <c r="I2997"/>
  <c r="H2997"/>
  <c r="G2997"/>
  <c r="F2997"/>
  <c r="E2997"/>
  <c r="D2997"/>
  <c r="C2997"/>
  <c r="B2997"/>
  <c r="A2997"/>
  <c r="K2996"/>
  <c r="J2996"/>
  <c r="I2996"/>
  <c r="H2996"/>
  <c r="G2996"/>
  <c r="F2996"/>
  <c r="E2996"/>
  <c r="D2996"/>
  <c r="C2996"/>
  <c r="B2996"/>
  <c r="A2996"/>
  <c r="K2995"/>
  <c r="J2995"/>
  <c r="I2995"/>
  <c r="H2995"/>
  <c r="G2995"/>
  <c r="F2995"/>
  <c r="E2995"/>
  <c r="D2995"/>
  <c r="C2995"/>
  <c r="B2995"/>
  <c r="A2995"/>
  <c r="K2994"/>
  <c r="J2994"/>
  <c r="I2994"/>
  <c r="H2994"/>
  <c r="G2994"/>
  <c r="F2994"/>
  <c r="E2994"/>
  <c r="D2994"/>
  <c r="C2994"/>
  <c r="B2994"/>
  <c r="A2994"/>
  <c r="K2993"/>
  <c r="J2993"/>
  <c r="I2993"/>
  <c r="H2993"/>
  <c r="G2993"/>
  <c r="F2993"/>
  <c r="E2993"/>
  <c r="D2993"/>
  <c r="C2993"/>
  <c r="B2993"/>
  <c r="A2993"/>
  <c r="K2992"/>
  <c r="J2992"/>
  <c r="I2992"/>
  <c r="H2992"/>
  <c r="G2992"/>
  <c r="F2992"/>
  <c r="E2992"/>
  <c r="D2992"/>
  <c r="C2992"/>
  <c r="B2992"/>
  <c r="A2992"/>
  <c r="K2991"/>
  <c r="J2991"/>
  <c r="I2991"/>
  <c r="H2991"/>
  <c r="G2991"/>
  <c r="F2991"/>
  <c r="E2991"/>
  <c r="D2991"/>
  <c r="C2991"/>
  <c r="B2991"/>
  <c r="A2991"/>
  <c r="K2990"/>
  <c r="J2990"/>
  <c r="I2990"/>
  <c r="H2990"/>
  <c r="G2990"/>
  <c r="F2990"/>
  <c r="E2990"/>
  <c r="D2990"/>
  <c r="C2990"/>
  <c r="B2990"/>
  <c r="A2990"/>
  <c r="K2989"/>
  <c r="J2989"/>
  <c r="I2989"/>
  <c r="H2989"/>
  <c r="G2989"/>
  <c r="F2989"/>
  <c r="E2989"/>
  <c r="D2989"/>
  <c r="C2989"/>
  <c r="B2989"/>
  <c r="A2989"/>
  <c r="K2988"/>
  <c r="J2988"/>
  <c r="I2988"/>
  <c r="H2988"/>
  <c r="G2988"/>
  <c r="F2988"/>
  <c r="E2988"/>
  <c r="D2988"/>
  <c r="C2988"/>
  <c r="B2988"/>
  <c r="A2988"/>
  <c r="K2987"/>
  <c r="J2987"/>
  <c r="I2987"/>
  <c r="H2987"/>
  <c r="G2987"/>
  <c r="F2987"/>
  <c r="E2987"/>
  <c r="D2987"/>
  <c r="C2987"/>
  <c r="B2987"/>
  <c r="A2987"/>
  <c r="K2986"/>
  <c r="J2986"/>
  <c r="I2986"/>
  <c r="H2986"/>
  <c r="G2986"/>
  <c r="F2986"/>
  <c r="E2986"/>
  <c r="D2986"/>
  <c r="C2986"/>
  <c r="B2986"/>
  <c r="A2986"/>
  <c r="K2985"/>
  <c r="J2985"/>
  <c r="I2985"/>
  <c r="H2985"/>
  <c r="G2985"/>
  <c r="F2985"/>
  <c r="E2985"/>
  <c r="D2985"/>
  <c r="C2985"/>
  <c r="B2985"/>
  <c r="A2985"/>
  <c r="K2984"/>
  <c r="J2984"/>
  <c r="I2984"/>
  <c r="H2984"/>
  <c r="G2984"/>
  <c r="F2984"/>
  <c r="E2984"/>
  <c r="D2984"/>
  <c r="C2984"/>
  <c r="B2984"/>
  <c r="A2984"/>
  <c r="K2983"/>
  <c r="J2983"/>
  <c r="I2983"/>
  <c r="H2983"/>
  <c r="G2983"/>
  <c r="F2983"/>
  <c r="E2983"/>
  <c r="D2983"/>
  <c r="C2983"/>
  <c r="B2983"/>
  <c r="A2983"/>
  <c r="K2982"/>
  <c r="J2982"/>
  <c r="I2982"/>
  <c r="H2982"/>
  <c r="G2982"/>
  <c r="F2982"/>
  <c r="E2982"/>
  <c r="D2982"/>
  <c r="C2982"/>
  <c r="B2982"/>
  <c r="A2982"/>
  <c r="K2981"/>
  <c r="J2981"/>
  <c r="I2981"/>
  <c r="H2981"/>
  <c r="G2981"/>
  <c r="F2981"/>
  <c r="E2981"/>
  <c r="D2981"/>
  <c r="C2981"/>
  <c r="B2981"/>
  <c r="A2981"/>
  <c r="K2980"/>
  <c r="J2980"/>
  <c r="I2980"/>
  <c r="H2980"/>
  <c r="G2980"/>
  <c r="F2980"/>
  <c r="E2980"/>
  <c r="D2980"/>
  <c r="C2980"/>
  <c r="B2980"/>
  <c r="A2980"/>
  <c r="K2979"/>
  <c r="J2979"/>
  <c r="I2979"/>
  <c r="H2979"/>
  <c r="G2979"/>
  <c r="F2979"/>
  <c r="E2979"/>
  <c r="D2979"/>
  <c r="C2979"/>
  <c r="B2979"/>
  <c r="A2979"/>
  <c r="K2978"/>
  <c r="J2978"/>
  <c r="I2978"/>
  <c r="H2978"/>
  <c r="G2978"/>
  <c r="F2978"/>
  <c r="E2978"/>
  <c r="D2978"/>
  <c r="C2978"/>
  <c r="B2978"/>
  <c r="A2978"/>
  <c r="K2977"/>
  <c r="J2977"/>
  <c r="I2977"/>
  <c r="H2977"/>
  <c r="G2977"/>
  <c r="F2977"/>
  <c r="E2977"/>
  <c r="D2977"/>
  <c r="C2977"/>
  <c r="B2977"/>
  <c r="A2977"/>
  <c r="K2976"/>
  <c r="J2976"/>
  <c r="I2976"/>
  <c r="H2976"/>
  <c r="G2976"/>
  <c r="F2976"/>
  <c r="E2976"/>
  <c r="D2976"/>
  <c r="C2976"/>
  <c r="B2976"/>
  <c r="A2976"/>
  <c r="K2975"/>
  <c r="J2975"/>
  <c r="I2975"/>
  <c r="H2975"/>
  <c r="G2975"/>
  <c r="F2975"/>
  <c r="E2975"/>
  <c r="D2975"/>
  <c r="C2975"/>
  <c r="B2975"/>
  <c r="A2975"/>
  <c r="K2974"/>
  <c r="J2974"/>
  <c r="I2974"/>
  <c r="H2974"/>
  <c r="G2974"/>
  <c r="F2974"/>
  <c r="E2974"/>
  <c r="D2974"/>
  <c r="C2974"/>
  <c r="B2974"/>
  <c r="A2974"/>
  <c r="K2973"/>
  <c r="J2973"/>
  <c r="I2973"/>
  <c r="H2973"/>
  <c r="G2973"/>
  <c r="F2973"/>
  <c r="E2973"/>
  <c r="D2973"/>
  <c r="C2973"/>
  <c r="B2973"/>
  <c r="A2973"/>
  <c r="K2972"/>
  <c r="J2972"/>
  <c r="I2972"/>
  <c r="H2972"/>
  <c r="G2972"/>
  <c r="F2972"/>
  <c r="E2972"/>
  <c r="D2972"/>
  <c r="C2972"/>
  <c r="B2972"/>
  <c r="A2972"/>
  <c r="K2971"/>
  <c r="J2971"/>
  <c r="I2971"/>
  <c r="H2971"/>
  <c r="G2971"/>
  <c r="F2971"/>
  <c r="E2971"/>
  <c r="D2971"/>
  <c r="C2971"/>
  <c r="B2971"/>
  <c r="A2971"/>
  <c r="K2970"/>
  <c r="J2970"/>
  <c r="I2970"/>
  <c r="H2970"/>
  <c r="G2970"/>
  <c r="F2970"/>
  <c r="E2970"/>
  <c r="D2970"/>
  <c r="C2970"/>
  <c r="B2970"/>
  <c r="A2970"/>
  <c r="K2969"/>
  <c r="J2969"/>
  <c r="I2969"/>
  <c r="H2969"/>
  <c r="G2969"/>
  <c r="F2969"/>
  <c r="E2969"/>
  <c r="D2969"/>
  <c r="C2969"/>
  <c r="B2969"/>
  <c r="A2969"/>
  <c r="K2968"/>
  <c r="J2968"/>
  <c r="I2968"/>
  <c r="H2968"/>
  <c r="G2968"/>
  <c r="F2968"/>
  <c r="E2968"/>
  <c r="D2968"/>
  <c r="C2968"/>
  <c r="B2968"/>
  <c r="A2968"/>
  <c r="K2967"/>
  <c r="J2967"/>
  <c r="I2967"/>
  <c r="H2967"/>
  <c r="G2967"/>
  <c r="F2967"/>
  <c r="E2967"/>
  <c r="D2967"/>
  <c r="C2967"/>
  <c r="B2967"/>
  <c r="A2967"/>
  <c r="K2966"/>
  <c r="J2966"/>
  <c r="I2966"/>
  <c r="H2966"/>
  <c r="G2966"/>
  <c r="F2966"/>
  <c r="E2966"/>
  <c r="D2966"/>
  <c r="C2966"/>
  <c r="B2966"/>
  <c r="A2966"/>
  <c r="K2965"/>
  <c r="J2965"/>
  <c r="I2965"/>
  <c r="H2965"/>
  <c r="G2965"/>
  <c r="F2965"/>
  <c r="E2965"/>
  <c r="D2965"/>
  <c r="C2965"/>
  <c r="B2965"/>
  <c r="A2965"/>
  <c r="K2964"/>
  <c r="J2964"/>
  <c r="I2964"/>
  <c r="H2964"/>
  <c r="G2964"/>
  <c r="F2964"/>
  <c r="E2964"/>
  <c r="D2964"/>
  <c r="C2964"/>
  <c r="B2964"/>
  <c r="A2964"/>
  <c r="K2963"/>
  <c r="J2963"/>
  <c r="I2963"/>
  <c r="H2963"/>
  <c r="G2963"/>
  <c r="F2963"/>
  <c r="E2963"/>
  <c r="D2963"/>
  <c r="C2963"/>
  <c r="B2963"/>
  <c r="A2963"/>
  <c r="K2962"/>
  <c r="J2962"/>
  <c r="I2962"/>
  <c r="H2962"/>
  <c r="G2962"/>
  <c r="F2962"/>
  <c r="E2962"/>
  <c r="D2962"/>
  <c r="C2962"/>
  <c r="B2962"/>
  <c r="A2962"/>
  <c r="K2961"/>
  <c r="J2961"/>
  <c r="I2961"/>
  <c r="H2961"/>
  <c r="G2961"/>
  <c r="F2961"/>
  <c r="E2961"/>
  <c r="D2961"/>
  <c r="C2961"/>
  <c r="B2961"/>
  <c r="A2961"/>
  <c r="K2960"/>
  <c r="J2960"/>
  <c r="I2960"/>
  <c r="H2960"/>
  <c r="G2960"/>
  <c r="F2960"/>
  <c r="E2960"/>
  <c r="D2960"/>
  <c r="C2960"/>
  <c r="B2960"/>
  <c r="A2960"/>
  <c r="K2959"/>
  <c r="J2959"/>
  <c r="I2959"/>
  <c r="H2959"/>
  <c r="G2959"/>
  <c r="F2959"/>
  <c r="E2959"/>
  <c r="D2959"/>
  <c r="C2959"/>
  <c r="B2959"/>
  <c r="A2959"/>
  <c r="K2958"/>
  <c r="J2958"/>
  <c r="I2958"/>
  <c r="H2958"/>
  <c r="G2958"/>
  <c r="F2958"/>
  <c r="E2958"/>
  <c r="D2958"/>
  <c r="C2958"/>
  <c r="B2958"/>
  <c r="A2958"/>
  <c r="K2957"/>
  <c r="J2957"/>
  <c r="I2957"/>
  <c r="H2957"/>
  <c r="G2957"/>
  <c r="F2957"/>
  <c r="E2957"/>
  <c r="D2957"/>
  <c r="C2957"/>
  <c r="B2957"/>
  <c r="A2957"/>
  <c r="K2956"/>
  <c r="J2956"/>
  <c r="I2956"/>
  <c r="H2956"/>
  <c r="G2956"/>
  <c r="F2956"/>
  <c r="E2956"/>
  <c r="D2956"/>
  <c r="C2956"/>
  <c r="B2956"/>
  <c r="A2956"/>
  <c r="K2955"/>
  <c r="J2955"/>
  <c r="I2955"/>
  <c r="H2955"/>
  <c r="G2955"/>
  <c r="F2955"/>
  <c r="E2955"/>
  <c r="D2955"/>
  <c r="C2955"/>
  <c r="B2955"/>
  <c r="A2955"/>
  <c r="K2954"/>
  <c r="J2954"/>
  <c r="I2954"/>
  <c r="H2954"/>
  <c r="G2954"/>
  <c r="F2954"/>
  <c r="E2954"/>
  <c r="D2954"/>
  <c r="C2954"/>
  <c r="B2954"/>
  <c r="A2954"/>
  <c r="K2953"/>
  <c r="J2953"/>
  <c r="I2953"/>
  <c r="H2953"/>
  <c r="G2953"/>
  <c r="F2953"/>
  <c r="E2953"/>
  <c r="D2953"/>
  <c r="C2953"/>
  <c r="B2953"/>
  <c r="A2953"/>
  <c r="K2952"/>
  <c r="J2952"/>
  <c r="I2952"/>
  <c r="H2952"/>
  <c r="G2952"/>
  <c r="F2952"/>
  <c r="E2952"/>
  <c r="D2952"/>
  <c r="C2952"/>
  <c r="B2952"/>
  <c r="A2952"/>
  <c r="K2951"/>
  <c r="J2951"/>
  <c r="I2951"/>
  <c r="H2951"/>
  <c r="G2951"/>
  <c r="F2951"/>
  <c r="E2951"/>
  <c r="D2951"/>
  <c r="C2951"/>
  <c r="B2951"/>
  <c r="A2951"/>
  <c r="K2950"/>
  <c r="J2950"/>
  <c r="I2950"/>
  <c r="H2950"/>
  <c r="G2950"/>
  <c r="F2950"/>
  <c r="E2950"/>
  <c r="D2950"/>
  <c r="C2950"/>
  <c r="B2950"/>
  <c r="A2950"/>
  <c r="K2949"/>
  <c r="J2949"/>
  <c r="I2949"/>
  <c r="H2949"/>
  <c r="G2949"/>
  <c r="F2949"/>
  <c r="E2949"/>
  <c r="D2949"/>
  <c r="C2949"/>
  <c r="B2949"/>
  <c r="A2949"/>
  <c r="K2948"/>
  <c r="J2948"/>
  <c r="I2948"/>
  <c r="H2948"/>
  <c r="G2948"/>
  <c r="F2948"/>
  <c r="E2948"/>
  <c r="D2948"/>
  <c r="C2948"/>
  <c r="B2948"/>
  <c r="A2948"/>
  <c r="K2947"/>
  <c r="J2947"/>
  <c r="I2947"/>
  <c r="H2947"/>
  <c r="G2947"/>
  <c r="F2947"/>
  <c r="E2947"/>
  <c r="D2947"/>
  <c r="C2947"/>
  <c r="B2947"/>
  <c r="A2947"/>
  <c r="K2946"/>
  <c r="J2946"/>
  <c r="I2946"/>
  <c r="H2946"/>
  <c r="G2946"/>
  <c r="F2946"/>
  <c r="E2946"/>
  <c r="D2946"/>
  <c r="C2946"/>
  <c r="B2946"/>
  <c r="A2946"/>
  <c r="K2945"/>
  <c r="J2945"/>
  <c r="I2945"/>
  <c r="H2945"/>
  <c r="G2945"/>
  <c r="F2945"/>
  <c r="E2945"/>
  <c r="D2945"/>
  <c r="C2945"/>
  <c r="B2945"/>
  <c r="A2945"/>
  <c r="K2944"/>
  <c r="J2944"/>
  <c r="I2944"/>
  <c r="H2944"/>
  <c r="G2944"/>
  <c r="F2944"/>
  <c r="E2944"/>
  <c r="D2944"/>
  <c r="C2944"/>
  <c r="B2944"/>
  <c r="A2944"/>
  <c r="K2943"/>
  <c r="J2943"/>
  <c r="I2943"/>
  <c r="H2943"/>
  <c r="G2943"/>
  <c r="F2943"/>
  <c r="E2943"/>
  <c r="D2943"/>
  <c r="C2943"/>
  <c r="B2943"/>
  <c r="A2943"/>
  <c r="K2942"/>
  <c r="J2942"/>
  <c r="I2942"/>
  <c r="H2942"/>
  <c r="G2942"/>
  <c r="F2942"/>
  <c r="E2942"/>
  <c r="D2942"/>
  <c r="C2942"/>
  <c r="B2942"/>
  <c r="A2942"/>
  <c r="K2941"/>
  <c r="J2941"/>
  <c r="I2941"/>
  <c r="H2941"/>
  <c r="G2941"/>
  <c r="F2941"/>
  <c r="E2941"/>
  <c r="D2941"/>
  <c r="C2941"/>
  <c r="B2941"/>
  <c r="A2941"/>
  <c r="K2940"/>
  <c r="J2940"/>
  <c r="I2940"/>
  <c r="H2940"/>
  <c r="G2940"/>
  <c r="F2940"/>
  <c r="E2940"/>
  <c r="D2940"/>
  <c r="C2940"/>
  <c r="B2940"/>
  <c r="A2940"/>
  <c r="K2939"/>
  <c r="J2939"/>
  <c r="I2939"/>
  <c r="H2939"/>
  <c r="G2939"/>
  <c r="F2939"/>
  <c r="E2939"/>
  <c r="D2939"/>
  <c r="C2939"/>
  <c r="B2939"/>
  <c r="A2939"/>
  <c r="K2938"/>
  <c r="J2938"/>
  <c r="I2938"/>
  <c r="H2938"/>
  <c r="G2938"/>
  <c r="F2938"/>
  <c r="E2938"/>
  <c r="D2938"/>
  <c r="C2938"/>
  <c r="B2938"/>
  <c r="A2938"/>
  <c r="K2937"/>
  <c r="J2937"/>
  <c r="I2937"/>
  <c r="H2937"/>
  <c r="G2937"/>
  <c r="F2937"/>
  <c r="E2937"/>
  <c r="D2937"/>
  <c r="C2937"/>
  <c r="B2937"/>
  <c r="A2937"/>
  <c r="K2936"/>
  <c r="J2936"/>
  <c r="I2936"/>
  <c r="H2936"/>
  <c r="G2936"/>
  <c r="F2936"/>
  <c r="E2936"/>
  <c r="D2936"/>
  <c r="C2936"/>
  <c r="B2936"/>
  <c r="A2936"/>
  <c r="K2935"/>
  <c r="J2935"/>
  <c r="I2935"/>
  <c r="H2935"/>
  <c r="G2935"/>
  <c r="F2935"/>
  <c r="E2935"/>
  <c r="D2935"/>
  <c r="C2935"/>
  <c r="B2935"/>
  <c r="A2935"/>
  <c r="K2934"/>
  <c r="J2934"/>
  <c r="I2934"/>
  <c r="H2934"/>
  <c r="G2934"/>
  <c r="F2934"/>
  <c r="E2934"/>
  <c r="D2934"/>
  <c r="C2934"/>
  <c r="B2934"/>
  <c r="A2934"/>
  <c r="K2933"/>
  <c r="J2933"/>
  <c r="I2933"/>
  <c r="H2933"/>
  <c r="G2933"/>
  <c r="F2933"/>
  <c r="E2933"/>
  <c r="D2933"/>
  <c r="C2933"/>
  <c r="B2933"/>
  <c r="A2933"/>
  <c r="K2932"/>
  <c r="J2932"/>
  <c r="I2932"/>
  <c r="H2932"/>
  <c r="G2932"/>
  <c r="F2932"/>
  <c r="E2932"/>
  <c r="D2932"/>
  <c r="C2932"/>
  <c r="B2932"/>
  <c r="A2932"/>
  <c r="K2931"/>
  <c r="J2931"/>
  <c r="I2931"/>
  <c r="H2931"/>
  <c r="G2931"/>
  <c r="F2931"/>
  <c r="E2931"/>
  <c r="D2931"/>
  <c r="C2931"/>
  <c r="B2931"/>
  <c r="A2931"/>
  <c r="K2930"/>
  <c r="J2930"/>
  <c r="I2930"/>
  <c r="H2930"/>
  <c r="G2930"/>
  <c r="F2930"/>
  <c r="E2930"/>
  <c r="D2930"/>
  <c r="C2930"/>
  <c r="B2930"/>
  <c r="A2930"/>
  <c r="K2929"/>
  <c r="J2929"/>
  <c r="I2929"/>
  <c r="H2929"/>
  <c r="G2929"/>
  <c r="F2929"/>
  <c r="E2929"/>
  <c r="D2929"/>
  <c r="C2929"/>
  <c r="B2929"/>
  <c r="A2929"/>
  <c r="K2928"/>
  <c r="J2928"/>
  <c r="I2928"/>
  <c r="H2928"/>
  <c r="G2928"/>
  <c r="F2928"/>
  <c r="E2928"/>
  <c r="D2928"/>
  <c r="C2928"/>
  <c r="B2928"/>
  <c r="A2928"/>
  <c r="K2927"/>
  <c r="J2927"/>
  <c r="I2927"/>
  <c r="H2927"/>
  <c r="G2927"/>
  <c r="F2927"/>
  <c r="E2927"/>
  <c r="D2927"/>
  <c r="C2927"/>
  <c r="B2927"/>
  <c r="A2927"/>
  <c r="K2926"/>
  <c r="J2926"/>
  <c r="I2926"/>
  <c r="H2926"/>
  <c r="G2926"/>
  <c r="F2926"/>
  <c r="E2926"/>
  <c r="D2926"/>
  <c r="C2926"/>
  <c r="B2926"/>
  <c r="A2926"/>
  <c r="K2925"/>
  <c r="J2925"/>
  <c r="I2925"/>
  <c r="H2925"/>
  <c r="G2925"/>
  <c r="F2925"/>
  <c r="E2925"/>
  <c r="D2925"/>
  <c r="C2925"/>
  <c r="B2925"/>
  <c r="A2925"/>
  <c r="K2924"/>
  <c r="J2924"/>
  <c r="I2924"/>
  <c r="H2924"/>
  <c r="G2924"/>
  <c r="F2924"/>
  <c r="E2924"/>
  <c r="D2924"/>
  <c r="C2924"/>
  <c r="B2924"/>
  <c r="A2924"/>
  <c r="K2923"/>
  <c r="J2923"/>
  <c r="I2923"/>
  <c r="H2923"/>
  <c r="G2923"/>
  <c r="F2923"/>
  <c r="E2923"/>
  <c r="D2923"/>
  <c r="C2923"/>
  <c r="B2923"/>
  <c r="A2923"/>
  <c r="K2922"/>
  <c r="J2922"/>
  <c r="I2922"/>
  <c r="H2922"/>
  <c r="G2922"/>
  <c r="F2922"/>
  <c r="E2922"/>
  <c r="D2922"/>
  <c r="C2922"/>
  <c r="B2922"/>
  <c r="A2922"/>
  <c r="K2921"/>
  <c r="J2921"/>
  <c r="I2921"/>
  <c r="H2921"/>
  <c r="G2921"/>
  <c r="F2921"/>
  <c r="E2921"/>
  <c r="D2921"/>
  <c r="C2921"/>
  <c r="B2921"/>
  <c r="A2921"/>
  <c r="K2920"/>
  <c r="J2920"/>
  <c r="I2920"/>
  <c r="H2920"/>
  <c r="G2920"/>
  <c r="F2920"/>
  <c r="E2920"/>
  <c r="D2920"/>
  <c r="C2920"/>
  <c r="B2920"/>
  <c r="A2920"/>
  <c r="K2919"/>
  <c r="J2919"/>
  <c r="I2919"/>
  <c r="H2919"/>
  <c r="G2919"/>
  <c r="F2919"/>
  <c r="E2919"/>
  <c r="D2919"/>
  <c r="C2919"/>
  <c r="B2919"/>
  <c r="A2919"/>
  <c r="K2918"/>
  <c r="J2918"/>
  <c r="I2918"/>
  <c r="H2918"/>
  <c r="G2918"/>
  <c r="F2918"/>
  <c r="E2918"/>
  <c r="D2918"/>
  <c r="C2918"/>
  <c r="B2918"/>
  <c r="A2918"/>
  <c r="K2917"/>
  <c r="J2917"/>
  <c r="I2917"/>
  <c r="H2917"/>
  <c r="G2917"/>
  <c r="F2917"/>
  <c r="E2917"/>
  <c r="D2917"/>
  <c r="C2917"/>
  <c r="B2917"/>
  <c r="A2917"/>
  <c r="K2916"/>
  <c r="J2916"/>
  <c r="I2916"/>
  <c r="H2916"/>
  <c r="G2916"/>
  <c r="F2916"/>
  <c r="E2916"/>
  <c r="D2916"/>
  <c r="C2916"/>
  <c r="B2916"/>
  <c r="A2916"/>
  <c r="K2915"/>
  <c r="J2915"/>
  <c r="I2915"/>
  <c r="H2915"/>
  <c r="G2915"/>
  <c r="F2915"/>
  <c r="E2915"/>
  <c r="D2915"/>
  <c r="C2915"/>
  <c r="B2915"/>
  <c r="A2915"/>
  <c r="K2914"/>
  <c r="J2914"/>
  <c r="I2914"/>
  <c r="H2914"/>
  <c r="G2914"/>
  <c r="F2914"/>
  <c r="E2914"/>
  <c r="D2914"/>
  <c r="C2914"/>
  <c r="B2914"/>
  <c r="A2914"/>
  <c r="K2913"/>
  <c r="J2913"/>
  <c r="I2913"/>
  <c r="H2913"/>
  <c r="G2913"/>
  <c r="F2913"/>
  <c r="E2913"/>
  <c r="D2913"/>
  <c r="C2913"/>
  <c r="B2913"/>
  <c r="A2913"/>
  <c r="K2912"/>
  <c r="J2912"/>
  <c r="I2912"/>
  <c r="H2912"/>
  <c r="G2912"/>
  <c r="F2912"/>
  <c r="E2912"/>
  <c r="D2912"/>
  <c r="C2912"/>
  <c r="B2912"/>
  <c r="A2912"/>
  <c r="K2911"/>
  <c r="J2911"/>
  <c r="I2911"/>
  <c r="H2911"/>
  <c r="G2911"/>
  <c r="F2911"/>
  <c r="E2911"/>
  <c r="D2911"/>
  <c r="C2911"/>
  <c r="B2911"/>
  <c r="A2911"/>
  <c r="K2910"/>
  <c r="J2910"/>
  <c r="I2910"/>
  <c r="H2910"/>
  <c r="G2910"/>
  <c r="F2910"/>
  <c r="E2910"/>
  <c r="D2910"/>
  <c r="C2910"/>
  <c r="B2910"/>
  <c r="A2910"/>
  <c r="K2909"/>
  <c r="J2909"/>
  <c r="I2909"/>
  <c r="H2909"/>
  <c r="G2909"/>
  <c r="F2909"/>
  <c r="E2909"/>
  <c r="D2909"/>
  <c r="C2909"/>
  <c r="B2909"/>
  <c r="A2909"/>
  <c r="K2908"/>
  <c r="J2908"/>
  <c r="I2908"/>
  <c r="H2908"/>
  <c r="G2908"/>
  <c r="F2908"/>
  <c r="E2908"/>
  <c r="D2908"/>
  <c r="C2908"/>
  <c r="B2908"/>
  <c r="A2908"/>
  <c r="K2907"/>
  <c r="J2907"/>
  <c r="I2907"/>
  <c r="H2907"/>
  <c r="G2907"/>
  <c r="F2907"/>
  <c r="E2907"/>
  <c r="D2907"/>
  <c r="C2907"/>
  <c r="B2907"/>
  <c r="A2907"/>
  <c r="K2906"/>
  <c r="J2906"/>
  <c r="I2906"/>
  <c r="H2906"/>
  <c r="G2906"/>
  <c r="F2906"/>
  <c r="E2906"/>
  <c r="D2906"/>
  <c r="C2906"/>
  <c r="B2906"/>
  <c r="A2906"/>
  <c r="K2905"/>
  <c r="J2905"/>
  <c r="I2905"/>
  <c r="H2905"/>
  <c r="G2905"/>
  <c r="F2905"/>
  <c r="E2905"/>
  <c r="D2905"/>
  <c r="C2905"/>
  <c r="B2905"/>
  <c r="A2905"/>
  <c r="K2904"/>
  <c r="J2904"/>
  <c r="I2904"/>
  <c r="H2904"/>
  <c r="G2904"/>
  <c r="F2904"/>
  <c r="E2904"/>
  <c r="D2904"/>
  <c r="C2904"/>
  <c r="B2904"/>
  <c r="A2904"/>
  <c r="K2903"/>
  <c r="J2903"/>
  <c r="I2903"/>
  <c r="H2903"/>
  <c r="G2903"/>
  <c r="F2903"/>
  <c r="E2903"/>
  <c r="D2903"/>
  <c r="C2903"/>
  <c r="B2903"/>
  <c r="A2903"/>
  <c r="K2902"/>
  <c r="J2902"/>
  <c r="I2902"/>
  <c r="H2902"/>
  <c r="G2902"/>
  <c r="F2902"/>
  <c r="E2902"/>
  <c r="D2902"/>
  <c r="C2902"/>
  <c r="B2902"/>
  <c r="A2902"/>
  <c r="K2901"/>
  <c r="J2901"/>
  <c r="I2901"/>
  <c r="H2901"/>
  <c r="G2901"/>
  <c r="F2901"/>
  <c r="E2901"/>
  <c r="D2901"/>
  <c r="C2901"/>
  <c r="B2901"/>
  <c r="A2901"/>
  <c r="K2900"/>
  <c r="J2900"/>
  <c r="I2900"/>
  <c r="H2900"/>
  <c r="G2900"/>
  <c r="F2900"/>
  <c r="E2900"/>
  <c r="D2900"/>
  <c r="C2900"/>
  <c r="B2900"/>
  <c r="A2900"/>
  <c r="K2899"/>
  <c r="J2899"/>
  <c r="I2899"/>
  <c r="H2899"/>
  <c r="G2899"/>
  <c r="F2899"/>
  <c r="E2899"/>
  <c r="D2899"/>
  <c r="C2899"/>
  <c r="B2899"/>
  <c r="A2899"/>
  <c r="K2898"/>
  <c r="J2898"/>
  <c r="I2898"/>
  <c r="H2898"/>
  <c r="G2898"/>
  <c r="F2898"/>
  <c r="E2898"/>
  <c r="D2898"/>
  <c r="C2898"/>
  <c r="B2898"/>
  <c r="A2898"/>
  <c r="K2897"/>
  <c r="J2897"/>
  <c r="I2897"/>
  <c r="H2897"/>
  <c r="G2897"/>
  <c r="F2897"/>
  <c r="E2897"/>
  <c r="D2897"/>
  <c r="C2897"/>
  <c r="B2897"/>
  <c r="A2897"/>
  <c r="K2896"/>
  <c r="J2896"/>
  <c r="I2896"/>
  <c r="H2896"/>
  <c r="G2896"/>
  <c r="F2896"/>
  <c r="E2896"/>
  <c r="D2896"/>
  <c r="C2896"/>
  <c r="B2896"/>
  <c r="A2896"/>
  <c r="K2895"/>
  <c r="J2895"/>
  <c r="I2895"/>
  <c r="H2895"/>
  <c r="G2895"/>
  <c r="F2895"/>
  <c r="E2895"/>
  <c r="D2895"/>
  <c r="C2895"/>
  <c r="B2895"/>
  <c r="A2895"/>
  <c r="K2894"/>
  <c r="J2894"/>
  <c r="I2894"/>
  <c r="H2894"/>
  <c r="G2894"/>
  <c r="F2894"/>
  <c r="E2894"/>
  <c r="D2894"/>
  <c r="C2894"/>
  <c r="B2894"/>
  <c r="A2894"/>
  <c r="K2893"/>
  <c r="J2893"/>
  <c r="I2893"/>
  <c r="H2893"/>
  <c r="G2893"/>
  <c r="F2893"/>
  <c r="E2893"/>
  <c r="D2893"/>
  <c r="C2893"/>
  <c r="B2893"/>
  <c r="A2893"/>
  <c r="K2892"/>
  <c r="J2892"/>
  <c r="I2892"/>
  <c r="H2892"/>
  <c r="G2892"/>
  <c r="F2892"/>
  <c r="E2892"/>
  <c r="D2892"/>
  <c r="C2892"/>
  <c r="B2892"/>
  <c r="A2892"/>
  <c r="K2891"/>
  <c r="J2891"/>
  <c r="I2891"/>
  <c r="H2891"/>
  <c r="G2891"/>
  <c r="F2891"/>
  <c r="E2891"/>
  <c r="D2891"/>
  <c r="C2891"/>
  <c r="B2891"/>
  <c r="A2891"/>
  <c r="K2890"/>
  <c r="J2890"/>
  <c r="I2890"/>
  <c r="H2890"/>
  <c r="G2890"/>
  <c r="F2890"/>
  <c r="E2890"/>
  <c r="D2890"/>
  <c r="C2890"/>
  <c r="B2890"/>
  <c r="A2890"/>
  <c r="K2889"/>
  <c r="J2889"/>
  <c r="I2889"/>
  <c r="H2889"/>
  <c r="G2889"/>
  <c r="F2889"/>
  <c r="E2889"/>
  <c r="D2889"/>
  <c r="C2889"/>
  <c r="B2889"/>
  <c r="A2889"/>
  <c r="K2888"/>
  <c r="J2888"/>
  <c r="I2888"/>
  <c r="H2888"/>
  <c r="G2888"/>
  <c r="F2888"/>
  <c r="E2888"/>
  <c r="D2888"/>
  <c r="C2888"/>
  <c r="B2888"/>
  <c r="A2888"/>
  <c r="K2887"/>
  <c r="J2887"/>
  <c r="I2887"/>
  <c r="H2887"/>
  <c r="G2887"/>
  <c r="F2887"/>
  <c r="E2887"/>
  <c r="D2887"/>
  <c r="C2887"/>
  <c r="B2887"/>
  <c r="A2887"/>
  <c r="K2886"/>
  <c r="J2886"/>
  <c r="I2886"/>
  <c r="H2886"/>
  <c r="G2886"/>
  <c r="F2886"/>
  <c r="E2886"/>
  <c r="D2886"/>
  <c r="C2886"/>
  <c r="B2886"/>
  <c r="A2886"/>
  <c r="K2885"/>
  <c r="J2885"/>
  <c r="I2885"/>
  <c r="H2885"/>
  <c r="G2885"/>
  <c r="F2885"/>
  <c r="E2885"/>
  <c r="D2885"/>
  <c r="C2885"/>
  <c r="B2885"/>
  <c r="A2885"/>
  <c r="K2884"/>
  <c r="J2884"/>
  <c r="I2884"/>
  <c r="H2884"/>
  <c r="G2884"/>
  <c r="F2884"/>
  <c r="E2884"/>
  <c r="D2884"/>
  <c r="C2884"/>
  <c r="B2884"/>
  <c r="A2884"/>
  <c r="K2883"/>
  <c r="J2883"/>
  <c r="I2883"/>
  <c r="H2883"/>
  <c r="G2883"/>
  <c r="F2883"/>
  <c r="E2883"/>
  <c r="D2883"/>
  <c r="C2883"/>
  <c r="B2883"/>
  <c r="A2883"/>
  <c r="K2882"/>
  <c r="J2882"/>
  <c r="I2882"/>
  <c r="H2882"/>
  <c r="G2882"/>
  <c r="F2882"/>
  <c r="E2882"/>
  <c r="D2882"/>
  <c r="C2882"/>
  <c r="B2882"/>
  <c r="A2882"/>
  <c r="K2881"/>
  <c r="J2881"/>
  <c r="I2881"/>
  <c r="H2881"/>
  <c r="G2881"/>
  <c r="F2881"/>
  <c r="E2881"/>
  <c r="D2881"/>
  <c r="C2881"/>
  <c r="B2881"/>
  <c r="A2881"/>
  <c r="K2880"/>
  <c r="J2880"/>
  <c r="I2880"/>
  <c r="H2880"/>
  <c r="G2880"/>
  <c r="F2880"/>
  <c r="E2880"/>
  <c r="D2880"/>
  <c r="C2880"/>
  <c r="B2880"/>
  <c r="A2880"/>
  <c r="K2879"/>
  <c r="J2879"/>
  <c r="I2879"/>
  <c r="H2879"/>
  <c r="G2879"/>
  <c r="F2879"/>
  <c r="E2879"/>
  <c r="D2879"/>
  <c r="C2879"/>
  <c r="B2879"/>
  <c r="A2879"/>
  <c r="K2878"/>
  <c r="J2878"/>
  <c r="I2878"/>
  <c r="H2878"/>
  <c r="G2878"/>
  <c r="F2878"/>
  <c r="E2878"/>
  <c r="D2878"/>
  <c r="C2878"/>
  <c r="B2878"/>
  <c r="A2878"/>
  <c r="K2877"/>
  <c r="J2877"/>
  <c r="I2877"/>
  <c r="H2877"/>
  <c r="G2877"/>
  <c r="F2877"/>
  <c r="E2877"/>
  <c r="D2877"/>
  <c r="C2877"/>
  <c r="B2877"/>
  <c r="A2877"/>
  <c r="K2876"/>
  <c r="J2876"/>
  <c r="I2876"/>
  <c r="H2876"/>
  <c r="G2876"/>
  <c r="F2876"/>
  <c r="E2876"/>
  <c r="D2876"/>
  <c r="C2876"/>
  <c r="B2876"/>
  <c r="A2876"/>
  <c r="K2875"/>
  <c r="J2875"/>
  <c r="I2875"/>
  <c r="H2875"/>
  <c r="G2875"/>
  <c r="F2875"/>
  <c r="E2875"/>
  <c r="D2875"/>
  <c r="C2875"/>
  <c r="B2875"/>
  <c r="A2875"/>
  <c r="K2874"/>
  <c r="J2874"/>
  <c r="I2874"/>
  <c r="H2874"/>
  <c r="G2874"/>
  <c r="F2874"/>
  <c r="E2874"/>
  <c r="D2874"/>
  <c r="C2874"/>
  <c r="B2874"/>
  <c r="A2874"/>
  <c r="K2873"/>
  <c r="J2873"/>
  <c r="I2873"/>
  <c r="H2873"/>
  <c r="G2873"/>
  <c r="F2873"/>
  <c r="E2873"/>
  <c r="D2873"/>
  <c r="C2873"/>
  <c r="B2873"/>
  <c r="A2873"/>
  <c r="K2872"/>
  <c r="J2872"/>
  <c r="I2872"/>
  <c r="H2872"/>
  <c r="G2872"/>
  <c r="F2872"/>
  <c r="E2872"/>
  <c r="D2872"/>
  <c r="C2872"/>
  <c r="B2872"/>
  <c r="A2872"/>
  <c r="K2871"/>
  <c r="J2871"/>
  <c r="I2871"/>
  <c r="H2871"/>
  <c r="G2871"/>
  <c r="F2871"/>
  <c r="E2871"/>
  <c r="D2871"/>
  <c r="C2871"/>
  <c r="B2871"/>
  <c r="A2871"/>
  <c r="K2870"/>
  <c r="J2870"/>
  <c r="I2870"/>
  <c r="H2870"/>
  <c r="G2870"/>
  <c r="F2870"/>
  <c r="E2870"/>
  <c r="D2870"/>
  <c r="C2870"/>
  <c r="B2870"/>
  <c r="A2870"/>
  <c r="K2869"/>
  <c r="J2869"/>
  <c r="I2869"/>
  <c r="H2869"/>
  <c r="G2869"/>
  <c r="F2869"/>
  <c r="E2869"/>
  <c r="D2869"/>
  <c r="C2869"/>
  <c r="B2869"/>
  <c r="A2869"/>
  <c r="K2868"/>
  <c r="J2868"/>
  <c r="I2868"/>
  <c r="H2868"/>
  <c r="G2868"/>
  <c r="F2868"/>
  <c r="E2868"/>
  <c r="D2868"/>
  <c r="C2868"/>
  <c r="B2868"/>
  <c r="A2868"/>
  <c r="K2867"/>
  <c r="J2867"/>
  <c r="I2867"/>
  <c r="H2867"/>
  <c r="G2867"/>
  <c r="F2867"/>
  <c r="E2867"/>
  <c r="D2867"/>
  <c r="C2867"/>
  <c r="B2867"/>
  <c r="A2867"/>
  <c r="K2866"/>
  <c r="J2866"/>
  <c r="I2866"/>
  <c r="H2866"/>
  <c r="G2866"/>
  <c r="F2866"/>
  <c r="E2866"/>
  <c r="D2866"/>
  <c r="C2866"/>
  <c r="B2866"/>
  <c r="A2866"/>
  <c r="K2865"/>
  <c r="J2865"/>
  <c r="I2865"/>
  <c r="H2865"/>
  <c r="G2865"/>
  <c r="F2865"/>
  <c r="E2865"/>
  <c r="D2865"/>
  <c r="C2865"/>
  <c r="B2865"/>
  <c r="A2865"/>
  <c r="K2864"/>
  <c r="J2864"/>
  <c r="I2864"/>
  <c r="H2864"/>
  <c r="G2864"/>
  <c r="F2864"/>
  <c r="E2864"/>
  <c r="D2864"/>
  <c r="C2864"/>
  <c r="B2864"/>
  <c r="A2864"/>
  <c r="K2863"/>
  <c r="J2863"/>
  <c r="I2863"/>
  <c r="H2863"/>
  <c r="G2863"/>
  <c r="F2863"/>
  <c r="E2863"/>
  <c r="D2863"/>
  <c r="C2863"/>
  <c r="B2863"/>
  <c r="A2863"/>
  <c r="K2862"/>
  <c r="J2862"/>
  <c r="I2862"/>
  <c r="H2862"/>
  <c r="G2862"/>
  <c r="F2862"/>
  <c r="E2862"/>
  <c r="D2862"/>
  <c r="C2862"/>
  <c r="B2862"/>
  <c r="A2862"/>
  <c r="K2861"/>
  <c r="J2861"/>
  <c r="I2861"/>
  <c r="H2861"/>
  <c r="G2861"/>
  <c r="F2861"/>
  <c r="E2861"/>
  <c r="D2861"/>
  <c r="C2861"/>
  <c r="B2861"/>
  <c r="A2861"/>
  <c r="K2860"/>
  <c r="J2860"/>
  <c r="I2860"/>
  <c r="H2860"/>
  <c r="G2860"/>
  <c r="F2860"/>
  <c r="E2860"/>
  <c r="D2860"/>
  <c r="C2860"/>
  <c r="B2860"/>
  <c r="A2860"/>
  <c r="K2859"/>
  <c r="J2859"/>
  <c r="I2859"/>
  <c r="H2859"/>
  <c r="G2859"/>
  <c r="F2859"/>
  <c r="E2859"/>
  <c r="D2859"/>
  <c r="C2859"/>
  <c r="B2859"/>
  <c r="A2859"/>
  <c r="K2858"/>
  <c r="J2858"/>
  <c r="I2858"/>
  <c r="H2858"/>
  <c r="G2858"/>
  <c r="F2858"/>
  <c r="E2858"/>
  <c r="D2858"/>
  <c r="C2858"/>
  <c r="B2858"/>
  <c r="A2858"/>
  <c r="K2857"/>
  <c r="J2857"/>
  <c r="I2857"/>
  <c r="H2857"/>
  <c r="G2857"/>
  <c r="F2857"/>
  <c r="E2857"/>
  <c r="D2857"/>
  <c r="C2857"/>
  <c r="B2857"/>
  <c r="A2857"/>
  <c r="K2856"/>
  <c r="J2856"/>
  <c r="I2856"/>
  <c r="H2856"/>
  <c r="G2856"/>
  <c r="F2856"/>
  <c r="E2856"/>
  <c r="D2856"/>
  <c r="C2856"/>
  <c r="B2856"/>
  <c r="A2856"/>
  <c r="K2855"/>
  <c r="J2855"/>
  <c r="I2855"/>
  <c r="H2855"/>
  <c r="G2855"/>
  <c r="F2855"/>
  <c r="E2855"/>
  <c r="D2855"/>
  <c r="C2855"/>
  <c r="B2855"/>
  <c r="A2855"/>
  <c r="K2854"/>
  <c r="J2854"/>
  <c r="I2854"/>
  <c r="H2854"/>
  <c r="G2854"/>
  <c r="F2854"/>
  <c r="E2854"/>
  <c r="D2854"/>
  <c r="C2854"/>
  <c r="B2854"/>
  <c r="A2854"/>
  <c r="K2853"/>
  <c r="J2853"/>
  <c r="I2853"/>
  <c r="H2853"/>
  <c r="G2853"/>
  <c r="F2853"/>
  <c r="E2853"/>
  <c r="D2853"/>
  <c r="C2853"/>
  <c r="B2853"/>
  <c r="A2853"/>
  <c r="K2852"/>
  <c r="J2852"/>
  <c r="I2852"/>
  <c r="H2852"/>
  <c r="G2852"/>
  <c r="F2852"/>
  <c r="E2852"/>
  <c r="D2852"/>
  <c r="C2852"/>
  <c r="B2852"/>
  <c r="A2852"/>
  <c r="K2851"/>
  <c r="J2851"/>
  <c r="I2851"/>
  <c r="H2851"/>
  <c r="G2851"/>
  <c r="F2851"/>
  <c r="E2851"/>
  <c r="D2851"/>
  <c r="C2851"/>
  <c r="B2851"/>
  <c r="A2851"/>
  <c r="K2850"/>
  <c r="J2850"/>
  <c r="I2850"/>
  <c r="H2850"/>
  <c r="G2850"/>
  <c r="F2850"/>
  <c r="E2850"/>
  <c r="D2850"/>
  <c r="C2850"/>
  <c r="B2850"/>
  <c r="A2850"/>
  <c r="K2849"/>
  <c r="J2849"/>
  <c r="I2849"/>
  <c r="H2849"/>
  <c r="G2849"/>
  <c r="F2849"/>
  <c r="E2849"/>
  <c r="D2849"/>
  <c r="C2849"/>
  <c r="B2849"/>
  <c r="A2849"/>
  <c r="K2848"/>
  <c r="J2848"/>
  <c r="I2848"/>
  <c r="H2848"/>
  <c r="G2848"/>
  <c r="F2848"/>
  <c r="E2848"/>
  <c r="D2848"/>
  <c r="C2848"/>
  <c r="B2848"/>
  <c r="A2848"/>
  <c r="K2847"/>
  <c r="J2847"/>
  <c r="I2847"/>
  <c r="H2847"/>
  <c r="G2847"/>
  <c r="F2847"/>
  <c r="E2847"/>
  <c r="D2847"/>
  <c r="C2847"/>
  <c r="B2847"/>
  <c r="A2847"/>
  <c r="K2846"/>
  <c r="J2846"/>
  <c r="I2846"/>
  <c r="H2846"/>
  <c r="G2846"/>
  <c r="F2846"/>
  <c r="E2846"/>
  <c r="D2846"/>
  <c r="C2846"/>
  <c r="B2846"/>
  <c r="A2846"/>
  <c r="K2845"/>
  <c r="J2845"/>
  <c r="I2845"/>
  <c r="H2845"/>
  <c r="G2845"/>
  <c r="F2845"/>
  <c r="E2845"/>
  <c r="D2845"/>
  <c r="C2845"/>
  <c r="B2845"/>
  <c r="A2845"/>
  <c r="K2844"/>
  <c r="J2844"/>
  <c r="I2844"/>
  <c r="H2844"/>
  <c r="G2844"/>
  <c r="F2844"/>
  <c r="E2844"/>
  <c r="D2844"/>
  <c r="C2844"/>
  <c r="B2844"/>
  <c r="A2844"/>
  <c r="K2843"/>
  <c r="J2843"/>
  <c r="I2843"/>
  <c r="H2843"/>
  <c r="G2843"/>
  <c r="F2843"/>
  <c r="E2843"/>
  <c r="D2843"/>
  <c r="C2843"/>
  <c r="B2843"/>
  <c r="A2843"/>
  <c r="K2842"/>
  <c r="J2842"/>
  <c r="I2842"/>
  <c r="H2842"/>
  <c r="G2842"/>
  <c r="F2842"/>
  <c r="E2842"/>
  <c r="D2842"/>
  <c r="C2842"/>
  <c r="B2842"/>
  <c r="A2842"/>
  <c r="K2841"/>
  <c r="J2841"/>
  <c r="I2841"/>
  <c r="H2841"/>
  <c r="G2841"/>
  <c r="F2841"/>
  <c r="E2841"/>
  <c r="D2841"/>
  <c r="C2841"/>
  <c r="B2841"/>
  <c r="A2841"/>
  <c r="K2840"/>
  <c r="J2840"/>
  <c r="I2840"/>
  <c r="H2840"/>
  <c r="G2840"/>
  <c r="F2840"/>
  <c r="E2840"/>
  <c r="D2840"/>
  <c r="C2840"/>
  <c r="B2840"/>
  <c r="A2840"/>
  <c r="K2839"/>
  <c r="J2839"/>
  <c r="I2839"/>
  <c r="H2839"/>
  <c r="G2839"/>
  <c r="F2839"/>
  <c r="E2839"/>
  <c r="D2839"/>
  <c r="C2839"/>
  <c r="B2839"/>
  <c r="A2839"/>
  <c r="K2838"/>
  <c r="J2838"/>
  <c r="I2838"/>
  <c r="H2838"/>
  <c r="G2838"/>
  <c r="F2838"/>
  <c r="E2838"/>
  <c r="D2838"/>
  <c r="C2838"/>
  <c r="B2838"/>
  <c r="A2838"/>
  <c r="K2837"/>
  <c r="J2837"/>
  <c r="I2837"/>
  <c r="H2837"/>
  <c r="G2837"/>
  <c r="F2837"/>
  <c r="E2837"/>
  <c r="D2837"/>
  <c r="C2837"/>
  <c r="B2837"/>
  <c r="A2837"/>
  <c r="K2836"/>
  <c r="J2836"/>
  <c r="I2836"/>
  <c r="H2836"/>
  <c r="G2836"/>
  <c r="F2836"/>
  <c r="E2836"/>
  <c r="D2836"/>
  <c r="C2836"/>
  <c r="B2836"/>
  <c r="A2836"/>
  <c r="K2835"/>
  <c r="J2835"/>
  <c r="I2835"/>
  <c r="H2835"/>
  <c r="G2835"/>
  <c r="F2835"/>
  <c r="E2835"/>
  <c r="D2835"/>
  <c r="C2835"/>
  <c r="B2835"/>
  <c r="A2835"/>
  <c r="K2834"/>
  <c r="J2834"/>
  <c r="I2834"/>
  <c r="H2834"/>
  <c r="G2834"/>
  <c r="F2834"/>
  <c r="E2834"/>
  <c r="D2834"/>
  <c r="C2834"/>
  <c r="B2834"/>
  <c r="A2834"/>
  <c r="K2833"/>
  <c r="J2833"/>
  <c r="I2833"/>
  <c r="H2833"/>
  <c r="G2833"/>
  <c r="F2833"/>
  <c r="E2833"/>
  <c r="D2833"/>
  <c r="C2833"/>
  <c r="B2833"/>
  <c r="A2833"/>
  <c r="K2832"/>
  <c r="J2832"/>
  <c r="I2832"/>
  <c r="H2832"/>
  <c r="G2832"/>
  <c r="F2832"/>
  <c r="E2832"/>
  <c r="D2832"/>
  <c r="C2832"/>
  <c r="B2832"/>
  <c r="A2832"/>
  <c r="K2831"/>
  <c r="J2831"/>
  <c r="I2831"/>
  <c r="H2831"/>
  <c r="G2831"/>
  <c r="F2831"/>
  <c r="E2831"/>
  <c r="D2831"/>
  <c r="C2831"/>
  <c r="B2831"/>
  <c r="A2831"/>
  <c r="K2830"/>
  <c r="J2830"/>
  <c r="I2830"/>
  <c r="H2830"/>
  <c r="G2830"/>
  <c r="F2830"/>
  <c r="E2830"/>
  <c r="D2830"/>
  <c r="C2830"/>
  <c r="B2830"/>
  <c r="A2830"/>
  <c r="K2829"/>
  <c r="J2829"/>
  <c r="I2829"/>
  <c r="H2829"/>
  <c r="G2829"/>
  <c r="F2829"/>
  <c r="E2829"/>
  <c r="D2829"/>
  <c r="C2829"/>
  <c r="B2829"/>
  <c r="A2829"/>
  <c r="K2828"/>
  <c r="J2828"/>
  <c r="I2828"/>
  <c r="H2828"/>
  <c r="G2828"/>
  <c r="F2828"/>
  <c r="E2828"/>
  <c r="D2828"/>
  <c r="C2828"/>
  <c r="B2828"/>
  <c r="A2828"/>
  <c r="K2827"/>
  <c r="J2827"/>
  <c r="I2827"/>
  <c r="H2827"/>
  <c r="G2827"/>
  <c r="F2827"/>
  <c r="E2827"/>
  <c r="D2827"/>
  <c r="C2827"/>
  <c r="B2827"/>
  <c r="A2827"/>
  <c r="K2826"/>
  <c r="J2826"/>
  <c r="I2826"/>
  <c r="H2826"/>
  <c r="G2826"/>
  <c r="F2826"/>
  <c r="E2826"/>
  <c r="D2826"/>
  <c r="C2826"/>
  <c r="B2826"/>
  <c r="A2826"/>
  <c r="K2825"/>
  <c r="J2825"/>
  <c r="I2825"/>
  <c r="H2825"/>
  <c r="G2825"/>
  <c r="F2825"/>
  <c r="E2825"/>
  <c r="D2825"/>
  <c r="C2825"/>
  <c r="B2825"/>
  <c r="A2825"/>
  <c r="K2824"/>
  <c r="J2824"/>
  <c r="I2824"/>
  <c r="H2824"/>
  <c r="G2824"/>
  <c r="F2824"/>
  <c r="E2824"/>
  <c r="D2824"/>
  <c r="C2824"/>
  <c r="B2824"/>
  <c r="A2824"/>
  <c r="K2823"/>
  <c r="J2823"/>
  <c r="I2823"/>
  <c r="H2823"/>
  <c r="G2823"/>
  <c r="F2823"/>
  <c r="E2823"/>
  <c r="D2823"/>
  <c r="C2823"/>
  <c r="B2823"/>
  <c r="A2823"/>
  <c r="K2822"/>
  <c r="J2822"/>
  <c r="I2822"/>
  <c r="H2822"/>
  <c r="G2822"/>
  <c r="F2822"/>
  <c r="E2822"/>
  <c r="D2822"/>
  <c r="C2822"/>
  <c r="B2822"/>
  <c r="A2822"/>
  <c r="K2821"/>
  <c r="J2821"/>
  <c r="I2821"/>
  <c r="H2821"/>
  <c r="G2821"/>
  <c r="F2821"/>
  <c r="E2821"/>
  <c r="D2821"/>
  <c r="C2821"/>
  <c r="B2821"/>
  <c r="A2821"/>
  <c r="K2820"/>
  <c r="J2820"/>
  <c r="I2820"/>
  <c r="H2820"/>
  <c r="G2820"/>
  <c r="F2820"/>
  <c r="E2820"/>
  <c r="D2820"/>
  <c r="C2820"/>
  <c r="B2820"/>
  <c r="A2820"/>
  <c r="K2819"/>
  <c r="J2819"/>
  <c r="I2819"/>
  <c r="H2819"/>
  <c r="G2819"/>
  <c r="F2819"/>
  <c r="E2819"/>
  <c r="D2819"/>
  <c r="C2819"/>
  <c r="B2819"/>
  <c r="A2819"/>
  <c r="K2818"/>
  <c r="J2818"/>
  <c r="I2818"/>
  <c r="H2818"/>
  <c r="G2818"/>
  <c r="F2818"/>
  <c r="E2818"/>
  <c r="D2818"/>
  <c r="C2818"/>
  <c r="B2818"/>
  <c r="A2818"/>
  <c r="K2817"/>
  <c r="J2817"/>
  <c r="I2817"/>
  <c r="H2817"/>
  <c r="G2817"/>
  <c r="F2817"/>
  <c r="E2817"/>
  <c r="D2817"/>
  <c r="C2817"/>
  <c r="B2817"/>
  <c r="A2817"/>
  <c r="K2816"/>
  <c r="J2816"/>
  <c r="I2816"/>
  <c r="H2816"/>
  <c r="G2816"/>
  <c r="F2816"/>
  <c r="E2816"/>
  <c r="D2816"/>
  <c r="C2816"/>
  <c r="B2816"/>
  <c r="A2816"/>
  <c r="K2815"/>
  <c r="J2815"/>
  <c r="I2815"/>
  <c r="H2815"/>
  <c r="G2815"/>
  <c r="F2815"/>
  <c r="E2815"/>
  <c r="D2815"/>
  <c r="C2815"/>
  <c r="B2815"/>
  <c r="A2815"/>
  <c r="K2814"/>
  <c r="J2814"/>
  <c r="I2814"/>
  <c r="H2814"/>
  <c r="G2814"/>
  <c r="F2814"/>
  <c r="E2814"/>
  <c r="D2814"/>
  <c r="C2814"/>
  <c r="B2814"/>
  <c r="A2814"/>
  <c r="K2813"/>
  <c r="J2813"/>
  <c r="I2813"/>
  <c r="H2813"/>
  <c r="G2813"/>
  <c r="F2813"/>
  <c r="E2813"/>
  <c r="D2813"/>
  <c r="C2813"/>
  <c r="B2813"/>
  <c r="A2813"/>
  <c r="K2812"/>
  <c r="J2812"/>
  <c r="I2812"/>
  <c r="H2812"/>
  <c r="G2812"/>
  <c r="F2812"/>
  <c r="E2812"/>
  <c r="D2812"/>
  <c r="C2812"/>
  <c r="B2812"/>
  <c r="A2812"/>
  <c r="K2811"/>
  <c r="J2811"/>
  <c r="I2811"/>
  <c r="H2811"/>
  <c r="G2811"/>
  <c r="F2811"/>
  <c r="E2811"/>
  <c r="D2811"/>
  <c r="C2811"/>
  <c r="B2811"/>
  <c r="A2811"/>
  <c r="K2810"/>
  <c r="J2810"/>
  <c r="I2810"/>
  <c r="H2810"/>
  <c r="G2810"/>
  <c r="F2810"/>
  <c r="E2810"/>
  <c r="D2810"/>
  <c r="C2810"/>
  <c r="B2810"/>
  <c r="A2810"/>
  <c r="K2809"/>
  <c r="J2809"/>
  <c r="I2809"/>
  <c r="H2809"/>
  <c r="G2809"/>
  <c r="F2809"/>
  <c r="E2809"/>
  <c r="D2809"/>
  <c r="C2809"/>
  <c r="B2809"/>
  <c r="A2809"/>
  <c r="K2808"/>
  <c r="J2808"/>
  <c r="I2808"/>
  <c r="H2808"/>
  <c r="G2808"/>
  <c r="F2808"/>
  <c r="E2808"/>
  <c r="D2808"/>
  <c r="C2808"/>
  <c r="B2808"/>
  <c r="A2808"/>
  <c r="K2807"/>
  <c r="J2807"/>
  <c r="I2807"/>
  <c r="H2807"/>
  <c r="G2807"/>
  <c r="F2807"/>
  <c r="E2807"/>
  <c r="D2807"/>
  <c r="C2807"/>
  <c r="B2807"/>
  <c r="A2807"/>
  <c r="K2806"/>
  <c r="J2806"/>
  <c r="I2806"/>
  <c r="H2806"/>
  <c r="G2806"/>
  <c r="F2806"/>
  <c r="E2806"/>
  <c r="D2806"/>
  <c r="C2806"/>
  <c r="B2806"/>
  <c r="A2806"/>
  <c r="K2805"/>
  <c r="J2805"/>
  <c r="I2805"/>
  <c r="H2805"/>
  <c r="G2805"/>
  <c r="F2805"/>
  <c r="E2805"/>
  <c r="D2805"/>
  <c r="C2805"/>
  <c r="B2805"/>
  <c r="A2805"/>
  <c r="K2804"/>
  <c r="J2804"/>
  <c r="I2804"/>
  <c r="H2804"/>
  <c r="G2804"/>
  <c r="F2804"/>
  <c r="E2804"/>
  <c r="D2804"/>
  <c r="C2804"/>
  <c r="B2804"/>
  <c r="A2804"/>
  <c r="K2803"/>
  <c r="J2803"/>
  <c r="I2803"/>
  <c r="H2803"/>
  <c r="G2803"/>
  <c r="F2803"/>
  <c r="E2803"/>
  <c r="D2803"/>
  <c r="C2803"/>
  <c r="B2803"/>
  <c r="A2803"/>
  <c r="K2802"/>
  <c r="J2802"/>
  <c r="I2802"/>
  <c r="H2802"/>
  <c r="G2802"/>
  <c r="F2802"/>
  <c r="E2802"/>
  <c r="D2802"/>
  <c r="C2802"/>
  <c r="B2802"/>
  <c r="A2802"/>
  <c r="K2801"/>
  <c r="J2801"/>
  <c r="I2801"/>
  <c r="H2801"/>
  <c r="G2801"/>
  <c r="F2801"/>
  <c r="E2801"/>
  <c r="D2801"/>
  <c r="C2801"/>
  <c r="B2801"/>
  <c r="A2801"/>
  <c r="K2800"/>
  <c r="J2800"/>
  <c r="I2800"/>
  <c r="H2800"/>
  <c r="G2800"/>
  <c r="F2800"/>
  <c r="E2800"/>
  <c r="D2800"/>
  <c r="C2800"/>
  <c r="B2800"/>
  <c r="A2800"/>
  <c r="K2799"/>
  <c r="J2799"/>
  <c r="I2799"/>
  <c r="H2799"/>
  <c r="G2799"/>
  <c r="F2799"/>
  <c r="E2799"/>
  <c r="D2799"/>
  <c r="C2799"/>
  <c r="B2799"/>
  <c r="A2799"/>
  <c r="K2798"/>
  <c r="J2798"/>
  <c r="I2798"/>
  <c r="H2798"/>
  <c r="G2798"/>
  <c r="F2798"/>
  <c r="E2798"/>
  <c r="D2798"/>
  <c r="C2798"/>
  <c r="B2798"/>
  <c r="A2798"/>
  <c r="K2797"/>
  <c r="J2797"/>
  <c r="I2797"/>
  <c r="H2797"/>
  <c r="G2797"/>
  <c r="F2797"/>
  <c r="E2797"/>
  <c r="D2797"/>
  <c r="C2797"/>
  <c r="B2797"/>
  <c r="A2797"/>
  <c r="K2796"/>
  <c r="J2796"/>
  <c r="I2796"/>
  <c r="H2796"/>
  <c r="G2796"/>
  <c r="F2796"/>
  <c r="E2796"/>
  <c r="D2796"/>
  <c r="C2796"/>
  <c r="B2796"/>
  <c r="A2796"/>
  <c r="K2795"/>
  <c r="J2795"/>
  <c r="I2795"/>
  <c r="H2795"/>
  <c r="G2795"/>
  <c r="F2795"/>
  <c r="E2795"/>
  <c r="D2795"/>
  <c r="C2795"/>
  <c r="B2795"/>
  <c r="A2795"/>
  <c r="K2794"/>
  <c r="J2794"/>
  <c r="I2794"/>
  <c r="H2794"/>
  <c r="G2794"/>
  <c r="F2794"/>
  <c r="E2794"/>
  <c r="D2794"/>
  <c r="C2794"/>
  <c r="B2794"/>
  <c r="A2794"/>
  <c r="K2793"/>
  <c r="J2793"/>
  <c r="I2793"/>
  <c r="H2793"/>
  <c r="G2793"/>
  <c r="F2793"/>
  <c r="E2793"/>
  <c r="D2793"/>
  <c r="C2793"/>
  <c r="B2793"/>
  <c r="A2793"/>
  <c r="K2792"/>
  <c r="J2792"/>
  <c r="I2792"/>
  <c r="H2792"/>
  <c r="G2792"/>
  <c r="F2792"/>
  <c r="E2792"/>
  <c r="D2792"/>
  <c r="C2792"/>
  <c r="B2792"/>
  <c r="A2792"/>
  <c r="K2791"/>
  <c r="J2791"/>
  <c r="I2791"/>
  <c r="H2791"/>
  <c r="G2791"/>
  <c r="F2791"/>
  <c r="E2791"/>
  <c r="D2791"/>
  <c r="C2791"/>
  <c r="B2791"/>
  <c r="A2791"/>
  <c r="K2790"/>
  <c r="J2790"/>
  <c r="I2790"/>
  <c r="H2790"/>
  <c r="G2790"/>
  <c r="F2790"/>
  <c r="E2790"/>
  <c r="D2790"/>
  <c r="C2790"/>
  <c r="B2790"/>
  <c r="A2790"/>
  <c r="K2789"/>
  <c r="J2789"/>
  <c r="I2789"/>
  <c r="H2789"/>
  <c r="G2789"/>
  <c r="F2789"/>
  <c r="E2789"/>
  <c r="D2789"/>
  <c r="C2789"/>
  <c r="B2789"/>
  <c r="A2789"/>
  <c r="K2788"/>
  <c r="J2788"/>
  <c r="I2788"/>
  <c r="H2788"/>
  <c r="G2788"/>
  <c r="F2788"/>
  <c r="E2788"/>
  <c r="D2788"/>
  <c r="C2788"/>
  <c r="B2788"/>
  <c r="A2788"/>
  <c r="K2787"/>
  <c r="J2787"/>
  <c r="I2787"/>
  <c r="H2787"/>
  <c r="G2787"/>
  <c r="F2787"/>
  <c r="E2787"/>
  <c r="D2787"/>
  <c r="C2787"/>
  <c r="B2787"/>
  <c r="A2787"/>
  <c r="K2786"/>
  <c r="J2786"/>
  <c r="I2786"/>
  <c r="H2786"/>
  <c r="G2786"/>
  <c r="F2786"/>
  <c r="E2786"/>
  <c r="D2786"/>
  <c r="C2786"/>
  <c r="B2786"/>
  <c r="A2786"/>
  <c r="K2785"/>
  <c r="J2785"/>
  <c r="I2785"/>
  <c r="H2785"/>
  <c r="G2785"/>
  <c r="F2785"/>
  <c r="E2785"/>
  <c r="D2785"/>
  <c r="C2785"/>
  <c r="B2785"/>
  <c r="A2785"/>
  <c r="K2784"/>
  <c r="J2784"/>
  <c r="I2784"/>
  <c r="H2784"/>
  <c r="G2784"/>
  <c r="F2784"/>
  <c r="E2784"/>
  <c r="D2784"/>
  <c r="C2784"/>
  <c r="B2784"/>
  <c r="A2784"/>
  <c r="K2783"/>
  <c r="J2783"/>
  <c r="I2783"/>
  <c r="H2783"/>
  <c r="G2783"/>
  <c r="F2783"/>
  <c r="E2783"/>
  <c r="D2783"/>
  <c r="C2783"/>
  <c r="B2783"/>
  <c r="A2783"/>
  <c r="K2782"/>
  <c r="J2782"/>
  <c r="I2782"/>
  <c r="H2782"/>
  <c r="G2782"/>
  <c r="F2782"/>
  <c r="E2782"/>
  <c r="D2782"/>
  <c r="C2782"/>
  <c r="B2782"/>
  <c r="A2782"/>
  <c r="K2781"/>
  <c r="J2781"/>
  <c r="I2781"/>
  <c r="H2781"/>
  <c r="G2781"/>
  <c r="F2781"/>
  <c r="E2781"/>
  <c r="D2781"/>
  <c r="C2781"/>
  <c r="B2781"/>
  <c r="A2781"/>
  <c r="K2780"/>
  <c r="J2780"/>
  <c r="I2780"/>
  <c r="H2780"/>
  <c r="G2780"/>
  <c r="F2780"/>
  <c r="E2780"/>
  <c r="D2780"/>
  <c r="C2780"/>
  <c r="B2780"/>
  <c r="A2780"/>
  <c r="K2779"/>
  <c r="J2779"/>
  <c r="I2779"/>
  <c r="H2779"/>
  <c r="G2779"/>
  <c r="F2779"/>
  <c r="E2779"/>
  <c r="D2779"/>
  <c r="C2779"/>
  <c r="B2779"/>
  <c r="A2779"/>
  <c r="K2778"/>
  <c r="J2778"/>
  <c r="I2778"/>
  <c r="H2778"/>
  <c r="G2778"/>
  <c r="F2778"/>
  <c r="E2778"/>
  <c r="D2778"/>
  <c r="C2778"/>
  <c r="B2778"/>
  <c r="A2778"/>
  <c r="K2777"/>
  <c r="J2777"/>
  <c r="I2777"/>
  <c r="H2777"/>
  <c r="G2777"/>
  <c r="F2777"/>
  <c r="E2777"/>
  <c r="D2777"/>
  <c r="C2777"/>
  <c r="B2777"/>
  <c r="A2777"/>
  <c r="K2776"/>
  <c r="J2776"/>
  <c r="I2776"/>
  <c r="H2776"/>
  <c r="G2776"/>
  <c r="F2776"/>
  <c r="E2776"/>
  <c r="D2776"/>
  <c r="C2776"/>
  <c r="B2776"/>
  <c r="A2776"/>
  <c r="K2775"/>
  <c r="J2775"/>
  <c r="I2775"/>
  <c r="H2775"/>
  <c r="G2775"/>
  <c r="F2775"/>
  <c r="E2775"/>
  <c r="D2775"/>
  <c r="C2775"/>
  <c r="B2775"/>
  <c r="A2775"/>
  <c r="K2774"/>
  <c r="J2774"/>
  <c r="I2774"/>
  <c r="H2774"/>
  <c r="G2774"/>
  <c r="F2774"/>
  <c r="E2774"/>
  <c r="D2774"/>
  <c r="C2774"/>
  <c r="B2774"/>
  <c r="A2774"/>
  <c r="K2773"/>
  <c r="J2773"/>
  <c r="I2773"/>
  <c r="H2773"/>
  <c r="G2773"/>
  <c r="F2773"/>
  <c r="E2773"/>
  <c r="D2773"/>
  <c r="C2773"/>
  <c r="B2773"/>
  <c r="A2773"/>
  <c r="K2772"/>
  <c r="J2772"/>
  <c r="I2772"/>
  <c r="H2772"/>
  <c r="G2772"/>
  <c r="F2772"/>
  <c r="E2772"/>
  <c r="D2772"/>
  <c r="C2772"/>
  <c r="B2772"/>
  <c r="A2772"/>
  <c r="K2771"/>
  <c r="J2771"/>
  <c r="I2771"/>
  <c r="H2771"/>
  <c r="G2771"/>
  <c r="F2771"/>
  <c r="E2771"/>
  <c r="D2771"/>
  <c r="C2771"/>
  <c r="B2771"/>
  <c r="A2771"/>
  <c r="K2770"/>
  <c r="J2770"/>
  <c r="I2770"/>
  <c r="H2770"/>
  <c r="G2770"/>
  <c r="F2770"/>
  <c r="E2770"/>
  <c r="D2770"/>
  <c r="C2770"/>
  <c r="B2770"/>
  <c r="A2770"/>
  <c r="K2769"/>
  <c r="J2769"/>
  <c r="I2769"/>
  <c r="H2769"/>
  <c r="G2769"/>
  <c r="F2769"/>
  <c r="E2769"/>
  <c r="D2769"/>
  <c r="C2769"/>
  <c r="B2769"/>
  <c r="A2769"/>
  <c r="K2768"/>
  <c r="J2768"/>
  <c r="I2768"/>
  <c r="H2768"/>
  <c r="G2768"/>
  <c r="F2768"/>
  <c r="E2768"/>
  <c r="D2768"/>
  <c r="C2768"/>
  <c r="B2768"/>
  <c r="A2768"/>
  <c r="K2767"/>
  <c r="J2767"/>
  <c r="I2767"/>
  <c r="H2767"/>
  <c r="G2767"/>
  <c r="F2767"/>
  <c r="E2767"/>
  <c r="D2767"/>
  <c r="C2767"/>
  <c r="B2767"/>
  <c r="A2767"/>
  <c r="K2766"/>
  <c r="J2766"/>
  <c r="I2766"/>
  <c r="H2766"/>
  <c r="G2766"/>
  <c r="F2766"/>
  <c r="E2766"/>
  <c r="D2766"/>
  <c r="C2766"/>
  <c r="B2766"/>
  <c r="A2766"/>
  <c r="K2765"/>
  <c r="J2765"/>
  <c r="I2765"/>
  <c r="H2765"/>
  <c r="G2765"/>
  <c r="F2765"/>
  <c r="E2765"/>
  <c r="D2765"/>
  <c r="C2765"/>
  <c r="B2765"/>
  <c r="A2765"/>
  <c r="K2764"/>
  <c r="J2764"/>
  <c r="I2764"/>
  <c r="H2764"/>
  <c r="G2764"/>
  <c r="F2764"/>
  <c r="E2764"/>
  <c r="D2764"/>
  <c r="C2764"/>
  <c r="B2764"/>
  <c r="A2764"/>
  <c r="K2763"/>
  <c r="J2763"/>
  <c r="I2763"/>
  <c r="H2763"/>
  <c r="G2763"/>
  <c r="F2763"/>
  <c r="E2763"/>
  <c r="D2763"/>
  <c r="C2763"/>
  <c r="B2763"/>
  <c r="A2763"/>
  <c r="K2762"/>
  <c r="J2762"/>
  <c r="I2762"/>
  <c r="H2762"/>
  <c r="G2762"/>
  <c r="F2762"/>
  <c r="E2762"/>
  <c r="D2762"/>
  <c r="C2762"/>
  <c r="B2762"/>
  <c r="A2762"/>
  <c r="K2761"/>
  <c r="J2761"/>
  <c r="I2761"/>
  <c r="H2761"/>
  <c r="G2761"/>
  <c r="F2761"/>
  <c r="E2761"/>
  <c r="D2761"/>
  <c r="C2761"/>
  <c r="B2761"/>
  <c r="A2761"/>
  <c r="K2760"/>
  <c r="J2760"/>
  <c r="I2760"/>
  <c r="H2760"/>
  <c r="G2760"/>
  <c r="F2760"/>
  <c r="E2760"/>
  <c r="D2760"/>
  <c r="C2760"/>
  <c r="B2760"/>
  <c r="A2760"/>
  <c r="K2759"/>
  <c r="J2759"/>
  <c r="I2759"/>
  <c r="H2759"/>
  <c r="G2759"/>
  <c r="F2759"/>
  <c r="E2759"/>
  <c r="D2759"/>
  <c r="C2759"/>
  <c r="B2759"/>
  <c r="A2759"/>
  <c r="K2758"/>
  <c r="J2758"/>
  <c r="I2758"/>
  <c r="H2758"/>
  <c r="G2758"/>
  <c r="F2758"/>
  <c r="E2758"/>
  <c r="D2758"/>
  <c r="C2758"/>
  <c r="B2758"/>
  <c r="A2758"/>
  <c r="K2757"/>
  <c r="J2757"/>
  <c r="I2757"/>
  <c r="H2757"/>
  <c r="G2757"/>
  <c r="F2757"/>
  <c r="E2757"/>
  <c r="D2757"/>
  <c r="C2757"/>
  <c r="B2757"/>
  <c r="A2757"/>
  <c r="K2756"/>
  <c r="J2756"/>
  <c r="I2756"/>
  <c r="H2756"/>
  <c r="G2756"/>
  <c r="F2756"/>
  <c r="E2756"/>
  <c r="D2756"/>
  <c r="C2756"/>
  <c r="B2756"/>
  <c r="A2756"/>
  <c r="K2755"/>
  <c r="J2755"/>
  <c r="I2755"/>
  <c r="H2755"/>
  <c r="G2755"/>
  <c r="F2755"/>
  <c r="E2755"/>
  <c r="D2755"/>
  <c r="C2755"/>
  <c r="B2755"/>
  <c r="A2755"/>
  <c r="K2754"/>
  <c r="J2754"/>
  <c r="I2754"/>
  <c r="H2754"/>
  <c r="G2754"/>
  <c r="F2754"/>
  <c r="E2754"/>
  <c r="D2754"/>
  <c r="C2754"/>
  <c r="B2754"/>
  <c r="A2754"/>
  <c r="K2753"/>
  <c r="J2753"/>
  <c r="I2753"/>
  <c r="H2753"/>
  <c r="G2753"/>
  <c r="F2753"/>
  <c r="E2753"/>
  <c r="D2753"/>
  <c r="C2753"/>
  <c r="B2753"/>
  <c r="A2753"/>
  <c r="K2752"/>
  <c r="J2752"/>
  <c r="I2752"/>
  <c r="H2752"/>
  <c r="G2752"/>
  <c r="F2752"/>
  <c r="E2752"/>
  <c r="D2752"/>
  <c r="C2752"/>
  <c r="B2752"/>
  <c r="A2752"/>
  <c r="K2751"/>
  <c r="J2751"/>
  <c r="I2751"/>
  <c r="H2751"/>
  <c r="G2751"/>
  <c r="F2751"/>
  <c r="E2751"/>
  <c r="D2751"/>
  <c r="C2751"/>
  <c r="B2751"/>
  <c r="A2751"/>
  <c r="K2750"/>
  <c r="J2750"/>
  <c r="I2750"/>
  <c r="H2750"/>
  <c r="G2750"/>
  <c r="F2750"/>
  <c r="E2750"/>
  <c r="D2750"/>
  <c r="C2750"/>
  <c r="B2750"/>
  <c r="A2750"/>
  <c r="K2749"/>
  <c r="J2749"/>
  <c r="I2749"/>
  <c r="H2749"/>
  <c r="G2749"/>
  <c r="F2749"/>
  <c r="E2749"/>
  <c r="D2749"/>
  <c r="C2749"/>
  <c r="B2749"/>
  <c r="A2749"/>
  <c r="K2748"/>
  <c r="J2748"/>
  <c r="I2748"/>
  <c r="H2748"/>
  <c r="G2748"/>
  <c r="F2748"/>
  <c r="E2748"/>
  <c r="D2748"/>
  <c r="C2748"/>
  <c r="B2748"/>
  <c r="A2748"/>
  <c r="K2747"/>
  <c r="J2747"/>
  <c r="I2747"/>
  <c r="H2747"/>
  <c r="G2747"/>
  <c r="F2747"/>
  <c r="E2747"/>
  <c r="D2747"/>
  <c r="C2747"/>
  <c r="B2747"/>
  <c r="A2747"/>
  <c r="K2746"/>
  <c r="J2746"/>
  <c r="I2746"/>
  <c r="H2746"/>
  <c r="G2746"/>
  <c r="F2746"/>
  <c r="E2746"/>
  <c r="D2746"/>
  <c r="C2746"/>
  <c r="B2746"/>
  <c r="A2746"/>
  <c r="K2745"/>
  <c r="J2745"/>
  <c r="I2745"/>
  <c r="H2745"/>
  <c r="G2745"/>
  <c r="F2745"/>
  <c r="E2745"/>
  <c r="D2745"/>
  <c r="C2745"/>
  <c r="B2745"/>
  <c r="A2745"/>
  <c r="K2744"/>
  <c r="J2744"/>
  <c r="I2744"/>
  <c r="H2744"/>
  <c r="G2744"/>
  <c r="F2744"/>
  <c r="E2744"/>
  <c r="D2744"/>
  <c r="C2744"/>
  <c r="B2744"/>
  <c r="A2744"/>
  <c r="K2743"/>
  <c r="J2743"/>
  <c r="I2743"/>
  <c r="H2743"/>
  <c r="G2743"/>
  <c r="F2743"/>
  <c r="E2743"/>
  <c r="D2743"/>
  <c r="C2743"/>
  <c r="B2743"/>
  <c r="A2743"/>
  <c r="K2742"/>
  <c r="J2742"/>
  <c r="I2742"/>
  <c r="H2742"/>
  <c r="G2742"/>
  <c r="F2742"/>
  <c r="E2742"/>
  <c r="D2742"/>
  <c r="C2742"/>
  <c r="B2742"/>
  <c r="A2742"/>
  <c r="K2741"/>
  <c r="J2741"/>
  <c r="I2741"/>
  <c r="H2741"/>
  <c r="G2741"/>
  <c r="F2741"/>
  <c r="E2741"/>
  <c r="D2741"/>
  <c r="C2741"/>
  <c r="B2741"/>
  <c r="A2741"/>
  <c r="K2740"/>
  <c r="J2740"/>
  <c r="I2740"/>
  <c r="H2740"/>
  <c r="G2740"/>
  <c r="F2740"/>
  <c r="E2740"/>
  <c r="D2740"/>
  <c r="C2740"/>
  <c r="B2740"/>
  <c r="A2740"/>
  <c r="K2739"/>
  <c r="J2739"/>
  <c r="I2739"/>
  <c r="H2739"/>
  <c r="G2739"/>
  <c r="F2739"/>
  <c r="E2739"/>
  <c r="D2739"/>
  <c r="C2739"/>
  <c r="B2739"/>
  <c r="A2739"/>
  <c r="K2738"/>
  <c r="J2738"/>
  <c r="I2738"/>
  <c r="H2738"/>
  <c r="G2738"/>
  <c r="F2738"/>
  <c r="E2738"/>
  <c r="D2738"/>
  <c r="C2738"/>
  <c r="B2738"/>
  <c r="A2738"/>
  <c r="K2737"/>
  <c r="J2737"/>
  <c r="I2737"/>
  <c r="H2737"/>
  <c r="G2737"/>
  <c r="F2737"/>
  <c r="E2737"/>
  <c r="D2737"/>
  <c r="C2737"/>
  <c r="B2737"/>
  <c r="A2737"/>
  <c r="K2736"/>
  <c r="J2736"/>
  <c r="I2736"/>
  <c r="H2736"/>
  <c r="G2736"/>
  <c r="F2736"/>
  <c r="E2736"/>
  <c r="D2736"/>
  <c r="C2736"/>
  <c r="B2736"/>
  <c r="A2736"/>
  <c r="K2735"/>
  <c r="J2735"/>
  <c r="I2735"/>
  <c r="H2735"/>
  <c r="G2735"/>
  <c r="F2735"/>
  <c r="E2735"/>
  <c r="D2735"/>
  <c r="C2735"/>
  <c r="B2735"/>
  <c r="A2735"/>
  <c r="K2734"/>
  <c r="J2734"/>
  <c r="I2734"/>
  <c r="H2734"/>
  <c r="G2734"/>
  <c r="F2734"/>
  <c r="E2734"/>
  <c r="D2734"/>
  <c r="C2734"/>
  <c r="B2734"/>
  <c r="A2734"/>
  <c r="K2733"/>
  <c r="J2733"/>
  <c r="I2733"/>
  <c r="H2733"/>
  <c r="G2733"/>
  <c r="F2733"/>
  <c r="E2733"/>
  <c r="D2733"/>
  <c r="C2733"/>
  <c r="B2733"/>
  <c r="A2733"/>
  <c r="K2732"/>
  <c r="J2732"/>
  <c r="I2732"/>
  <c r="H2732"/>
  <c r="G2732"/>
  <c r="F2732"/>
  <c r="E2732"/>
  <c r="D2732"/>
  <c r="C2732"/>
  <c r="B2732"/>
  <c r="A2732"/>
  <c r="K2731"/>
  <c r="J2731"/>
  <c r="I2731"/>
  <c r="H2731"/>
  <c r="G2731"/>
  <c r="F2731"/>
  <c r="E2731"/>
  <c r="D2731"/>
  <c r="C2731"/>
  <c r="B2731"/>
  <c r="A2731"/>
  <c r="K2730"/>
  <c r="J2730"/>
  <c r="I2730"/>
  <c r="H2730"/>
  <c r="G2730"/>
  <c r="F2730"/>
  <c r="E2730"/>
  <c r="D2730"/>
  <c r="C2730"/>
  <c r="B2730"/>
  <c r="A2730"/>
  <c r="K2729"/>
  <c r="J2729"/>
  <c r="I2729"/>
  <c r="H2729"/>
  <c r="G2729"/>
  <c r="F2729"/>
  <c r="E2729"/>
  <c r="D2729"/>
  <c r="C2729"/>
  <c r="B2729"/>
  <c r="A2729"/>
  <c r="K2728"/>
  <c r="J2728"/>
  <c r="I2728"/>
  <c r="H2728"/>
  <c r="G2728"/>
  <c r="F2728"/>
  <c r="E2728"/>
  <c r="D2728"/>
  <c r="C2728"/>
  <c r="B2728"/>
  <c r="A2728"/>
  <c r="K2727"/>
  <c r="J2727"/>
  <c r="I2727"/>
  <c r="H2727"/>
  <c r="G2727"/>
  <c r="F2727"/>
  <c r="E2727"/>
  <c r="D2727"/>
  <c r="C2727"/>
  <c r="B2727"/>
  <c r="A2727"/>
  <c r="K2726"/>
  <c r="J2726"/>
  <c r="I2726"/>
  <c r="H2726"/>
  <c r="G2726"/>
  <c r="F2726"/>
  <c r="E2726"/>
  <c r="D2726"/>
  <c r="C2726"/>
  <c r="B2726"/>
  <c r="A2726"/>
  <c r="K2725"/>
  <c r="J2725"/>
  <c r="I2725"/>
  <c r="H2725"/>
  <c r="G2725"/>
  <c r="F2725"/>
  <c r="E2725"/>
  <c r="D2725"/>
  <c r="C2725"/>
  <c r="B2725"/>
  <c r="A2725"/>
  <c r="K2724"/>
  <c r="J2724"/>
  <c r="I2724"/>
  <c r="H2724"/>
  <c r="G2724"/>
  <c r="F2724"/>
  <c r="E2724"/>
  <c r="D2724"/>
  <c r="C2724"/>
  <c r="B2724"/>
  <c r="A2724"/>
  <c r="K2723"/>
  <c r="J2723"/>
  <c r="I2723"/>
  <c r="H2723"/>
  <c r="G2723"/>
  <c r="F2723"/>
  <c r="E2723"/>
  <c r="D2723"/>
  <c r="C2723"/>
  <c r="B2723"/>
  <c r="A2723"/>
  <c r="K2722"/>
  <c r="J2722"/>
  <c r="I2722"/>
  <c r="H2722"/>
  <c r="G2722"/>
  <c r="F2722"/>
  <c r="E2722"/>
  <c r="D2722"/>
  <c r="C2722"/>
  <c r="B2722"/>
  <c r="A2722"/>
  <c r="K2721"/>
  <c r="J2721"/>
  <c r="I2721"/>
  <c r="H2721"/>
  <c r="G2721"/>
  <c r="F2721"/>
  <c r="E2721"/>
  <c r="D2721"/>
  <c r="C2721"/>
  <c r="B2721"/>
  <c r="A2721"/>
  <c r="K2720"/>
  <c r="J2720"/>
  <c r="I2720"/>
  <c r="H2720"/>
  <c r="G2720"/>
  <c r="F2720"/>
  <c r="E2720"/>
  <c r="D2720"/>
  <c r="C2720"/>
  <c r="B2720"/>
  <c r="A2720"/>
  <c r="K2719"/>
  <c r="J2719"/>
  <c r="I2719"/>
  <c r="H2719"/>
  <c r="G2719"/>
  <c r="F2719"/>
  <c r="E2719"/>
  <c r="D2719"/>
  <c r="C2719"/>
  <c r="B2719"/>
  <c r="A2719"/>
  <c r="K2718"/>
  <c r="J2718"/>
  <c r="I2718"/>
  <c r="H2718"/>
  <c r="G2718"/>
  <c r="F2718"/>
  <c r="E2718"/>
  <c r="D2718"/>
  <c r="C2718"/>
  <c r="B2718"/>
  <c r="A2718"/>
  <c r="K2717"/>
  <c r="J2717"/>
  <c r="I2717"/>
  <c r="H2717"/>
  <c r="G2717"/>
  <c r="F2717"/>
  <c r="E2717"/>
  <c r="D2717"/>
  <c r="C2717"/>
  <c r="B2717"/>
  <c r="A2717"/>
  <c r="K2716"/>
  <c r="J2716"/>
  <c r="I2716"/>
  <c r="H2716"/>
  <c r="G2716"/>
  <c r="F2716"/>
  <c r="E2716"/>
  <c r="D2716"/>
  <c r="C2716"/>
  <c r="B2716"/>
  <c r="A2716"/>
  <c r="K2715"/>
  <c r="J2715"/>
  <c r="I2715"/>
  <c r="H2715"/>
  <c r="G2715"/>
  <c r="F2715"/>
  <c r="E2715"/>
  <c r="D2715"/>
  <c r="C2715"/>
  <c r="B2715"/>
  <c r="A2715"/>
  <c r="K2714"/>
  <c r="J2714"/>
  <c r="I2714"/>
  <c r="H2714"/>
  <c r="G2714"/>
  <c r="F2714"/>
  <c r="E2714"/>
  <c r="D2714"/>
  <c r="C2714"/>
  <c r="B2714"/>
  <c r="A2714"/>
  <c r="K2713"/>
  <c r="J2713"/>
  <c r="I2713"/>
  <c r="H2713"/>
  <c r="G2713"/>
  <c r="F2713"/>
  <c r="E2713"/>
  <c r="D2713"/>
  <c r="C2713"/>
  <c r="B2713"/>
  <c r="A2713"/>
  <c r="K2712"/>
  <c r="J2712"/>
  <c r="I2712"/>
  <c r="H2712"/>
  <c r="G2712"/>
  <c r="F2712"/>
  <c r="E2712"/>
  <c r="D2712"/>
  <c r="C2712"/>
  <c r="B2712"/>
  <c r="A2712"/>
  <c r="K2711"/>
  <c r="J2711"/>
  <c r="I2711"/>
  <c r="H2711"/>
  <c r="G2711"/>
  <c r="F2711"/>
  <c r="E2711"/>
  <c r="D2711"/>
  <c r="C2711"/>
  <c r="B2711"/>
  <c r="A2711"/>
  <c r="K2710"/>
  <c r="J2710"/>
  <c r="I2710"/>
  <c r="H2710"/>
  <c r="G2710"/>
  <c r="F2710"/>
  <c r="E2710"/>
  <c r="D2710"/>
  <c r="C2710"/>
  <c r="B2710"/>
  <c r="A2710"/>
  <c r="K2709"/>
  <c r="J2709"/>
  <c r="I2709"/>
  <c r="H2709"/>
  <c r="G2709"/>
  <c r="F2709"/>
  <c r="E2709"/>
  <c r="D2709"/>
  <c r="C2709"/>
  <c r="B2709"/>
  <c r="A2709"/>
  <c r="K2708"/>
  <c r="J2708"/>
  <c r="I2708"/>
  <c r="H2708"/>
  <c r="G2708"/>
  <c r="F2708"/>
  <c r="E2708"/>
  <c r="D2708"/>
  <c r="C2708"/>
  <c r="B2708"/>
  <c r="A2708"/>
  <c r="K2707"/>
  <c r="J2707"/>
  <c r="I2707"/>
  <c r="H2707"/>
  <c r="G2707"/>
  <c r="F2707"/>
  <c r="E2707"/>
  <c r="D2707"/>
  <c r="C2707"/>
  <c r="B2707"/>
  <c r="A2707"/>
  <c r="K2706"/>
  <c r="J2706"/>
  <c r="I2706"/>
  <c r="H2706"/>
  <c r="G2706"/>
  <c r="F2706"/>
  <c r="E2706"/>
  <c r="D2706"/>
  <c r="C2706"/>
  <c r="B2706"/>
  <c r="A2706"/>
  <c r="K2705"/>
  <c r="J2705"/>
  <c r="I2705"/>
  <c r="H2705"/>
  <c r="G2705"/>
  <c r="F2705"/>
  <c r="E2705"/>
  <c r="D2705"/>
  <c r="C2705"/>
  <c r="B2705"/>
  <c r="A2705"/>
  <c r="K2704"/>
  <c r="J2704"/>
  <c r="I2704"/>
  <c r="H2704"/>
  <c r="G2704"/>
  <c r="F2704"/>
  <c r="E2704"/>
  <c r="D2704"/>
  <c r="C2704"/>
  <c r="B2704"/>
  <c r="A2704"/>
  <c r="K2703"/>
  <c r="J2703"/>
  <c r="I2703"/>
  <c r="H2703"/>
  <c r="G2703"/>
  <c r="F2703"/>
  <c r="E2703"/>
  <c r="D2703"/>
  <c r="C2703"/>
  <c r="B2703"/>
  <c r="A2703"/>
  <c r="K2702"/>
  <c r="J2702"/>
  <c r="I2702"/>
  <c r="H2702"/>
  <c r="G2702"/>
  <c r="F2702"/>
  <c r="E2702"/>
  <c r="D2702"/>
  <c r="C2702"/>
  <c r="B2702"/>
  <c r="A2702"/>
  <c r="K2701"/>
  <c r="J2701"/>
  <c r="I2701"/>
  <c r="H2701"/>
  <c r="G2701"/>
  <c r="F2701"/>
  <c r="E2701"/>
  <c r="D2701"/>
  <c r="C2701"/>
  <c r="B2701"/>
  <c r="A2701"/>
  <c r="K2700"/>
  <c r="J2700"/>
  <c r="I2700"/>
  <c r="H2700"/>
  <c r="G2700"/>
  <c r="F2700"/>
  <c r="E2700"/>
  <c r="D2700"/>
  <c r="C2700"/>
  <c r="B2700"/>
  <c r="A2700"/>
  <c r="K2699"/>
  <c r="J2699"/>
  <c r="I2699"/>
  <c r="H2699"/>
  <c r="G2699"/>
  <c r="F2699"/>
  <c r="E2699"/>
  <c r="D2699"/>
  <c r="C2699"/>
  <c r="B2699"/>
  <c r="A2699"/>
  <c r="K2698"/>
  <c r="J2698"/>
  <c r="I2698"/>
  <c r="H2698"/>
  <c r="G2698"/>
  <c r="F2698"/>
  <c r="E2698"/>
  <c r="D2698"/>
  <c r="C2698"/>
  <c r="B2698"/>
  <c r="A2698"/>
  <c r="K2697"/>
  <c r="J2697"/>
  <c r="I2697"/>
  <c r="H2697"/>
  <c r="G2697"/>
  <c r="F2697"/>
  <c r="E2697"/>
  <c r="D2697"/>
  <c r="C2697"/>
  <c r="B2697"/>
  <c r="A2697"/>
  <c r="K2696"/>
  <c r="J2696"/>
  <c r="I2696"/>
  <c r="H2696"/>
  <c r="G2696"/>
  <c r="F2696"/>
  <c r="E2696"/>
  <c r="D2696"/>
  <c r="C2696"/>
  <c r="B2696"/>
  <c r="A2696"/>
  <c r="K2695"/>
  <c r="J2695"/>
  <c r="I2695"/>
  <c r="H2695"/>
  <c r="G2695"/>
  <c r="F2695"/>
  <c r="E2695"/>
  <c r="D2695"/>
  <c r="C2695"/>
  <c r="B2695"/>
  <c r="A2695"/>
  <c r="K2694"/>
  <c r="J2694"/>
  <c r="I2694"/>
  <c r="H2694"/>
  <c r="G2694"/>
  <c r="F2694"/>
  <c r="E2694"/>
  <c r="D2694"/>
  <c r="C2694"/>
  <c r="B2694"/>
  <c r="A2694"/>
  <c r="K2693"/>
  <c r="J2693"/>
  <c r="I2693"/>
  <c r="H2693"/>
  <c r="G2693"/>
  <c r="F2693"/>
  <c r="E2693"/>
  <c r="D2693"/>
  <c r="C2693"/>
  <c r="B2693"/>
  <c r="A2693"/>
  <c r="K2692"/>
  <c r="J2692"/>
  <c r="I2692"/>
  <c r="H2692"/>
  <c r="G2692"/>
  <c r="F2692"/>
  <c r="E2692"/>
  <c r="D2692"/>
  <c r="C2692"/>
  <c r="B2692"/>
  <c r="A2692"/>
  <c r="K2691"/>
  <c r="J2691"/>
  <c r="I2691"/>
  <c r="H2691"/>
  <c r="G2691"/>
  <c r="F2691"/>
  <c r="E2691"/>
  <c r="D2691"/>
  <c r="C2691"/>
  <c r="B2691"/>
  <c r="A2691"/>
  <c r="K2690"/>
  <c r="J2690"/>
  <c r="I2690"/>
  <c r="H2690"/>
  <c r="G2690"/>
  <c r="F2690"/>
  <c r="E2690"/>
  <c r="D2690"/>
  <c r="C2690"/>
  <c r="B2690"/>
  <c r="A2690"/>
  <c r="K2689"/>
  <c r="J2689"/>
  <c r="I2689"/>
  <c r="H2689"/>
  <c r="G2689"/>
  <c r="F2689"/>
  <c r="E2689"/>
  <c r="D2689"/>
  <c r="C2689"/>
  <c r="B2689"/>
  <c r="A2689"/>
  <c r="K2688"/>
  <c r="J2688"/>
  <c r="I2688"/>
  <c r="H2688"/>
  <c r="G2688"/>
  <c r="F2688"/>
  <c r="E2688"/>
  <c r="D2688"/>
  <c r="C2688"/>
  <c r="B2688"/>
  <c r="A2688"/>
  <c r="K2687"/>
  <c r="J2687"/>
  <c r="I2687"/>
  <c r="H2687"/>
  <c r="G2687"/>
  <c r="F2687"/>
  <c r="E2687"/>
  <c r="D2687"/>
  <c r="C2687"/>
  <c r="B2687"/>
  <c r="A2687"/>
  <c r="K2686"/>
  <c r="J2686"/>
  <c r="I2686"/>
  <c r="H2686"/>
  <c r="G2686"/>
  <c r="F2686"/>
  <c r="E2686"/>
  <c r="D2686"/>
  <c r="C2686"/>
  <c r="B2686"/>
  <c r="A2686"/>
  <c r="K2685"/>
  <c r="J2685"/>
  <c r="I2685"/>
  <c r="H2685"/>
  <c r="G2685"/>
  <c r="F2685"/>
  <c r="E2685"/>
  <c r="D2685"/>
  <c r="C2685"/>
  <c r="B2685"/>
  <c r="A2685"/>
  <c r="K2684"/>
  <c r="J2684"/>
  <c r="I2684"/>
  <c r="H2684"/>
  <c r="G2684"/>
  <c r="F2684"/>
  <c r="E2684"/>
  <c r="D2684"/>
  <c r="C2684"/>
  <c r="B2684"/>
  <c r="A2684"/>
  <c r="K2683"/>
  <c r="J2683"/>
  <c r="I2683"/>
  <c r="H2683"/>
  <c r="G2683"/>
  <c r="F2683"/>
  <c r="E2683"/>
  <c r="D2683"/>
  <c r="C2683"/>
  <c r="B2683"/>
  <c r="A2683"/>
  <c r="K2682"/>
  <c r="J2682"/>
  <c r="I2682"/>
  <c r="H2682"/>
  <c r="G2682"/>
  <c r="F2682"/>
  <c r="E2682"/>
  <c r="D2682"/>
  <c r="C2682"/>
  <c r="B2682"/>
  <c r="A2682"/>
  <c r="K2681"/>
  <c r="J2681"/>
  <c r="I2681"/>
  <c r="H2681"/>
  <c r="G2681"/>
  <c r="F2681"/>
  <c r="E2681"/>
  <c r="D2681"/>
  <c r="C2681"/>
  <c r="B2681"/>
  <c r="A2681"/>
  <c r="K2680"/>
  <c r="J2680"/>
  <c r="I2680"/>
  <c r="H2680"/>
  <c r="G2680"/>
  <c r="F2680"/>
  <c r="E2680"/>
  <c r="D2680"/>
  <c r="C2680"/>
  <c r="B2680"/>
  <c r="A2680"/>
  <c r="K2679"/>
  <c r="J2679"/>
  <c r="I2679"/>
  <c r="H2679"/>
  <c r="G2679"/>
  <c r="F2679"/>
  <c r="E2679"/>
  <c r="D2679"/>
  <c r="C2679"/>
  <c r="B2679"/>
  <c r="A2679"/>
  <c r="K2678"/>
  <c r="J2678"/>
  <c r="I2678"/>
  <c r="H2678"/>
  <c r="G2678"/>
  <c r="F2678"/>
  <c r="E2678"/>
  <c r="D2678"/>
  <c r="C2678"/>
  <c r="B2678"/>
  <c r="A2678"/>
  <c r="K2677"/>
  <c r="J2677"/>
  <c r="I2677"/>
  <c r="H2677"/>
  <c r="G2677"/>
  <c r="F2677"/>
  <c r="E2677"/>
  <c r="D2677"/>
  <c r="C2677"/>
  <c r="B2677"/>
  <c r="A2677"/>
  <c r="K2676"/>
  <c r="J2676"/>
  <c r="I2676"/>
  <c r="H2676"/>
  <c r="G2676"/>
  <c r="F2676"/>
  <c r="E2676"/>
  <c r="D2676"/>
  <c r="C2676"/>
  <c r="B2676"/>
  <c r="A2676"/>
  <c r="K2675"/>
  <c r="J2675"/>
  <c r="I2675"/>
  <c r="H2675"/>
  <c r="G2675"/>
  <c r="F2675"/>
  <c r="E2675"/>
  <c r="D2675"/>
  <c r="C2675"/>
  <c r="B2675"/>
  <c r="A2675"/>
  <c r="K2674"/>
  <c r="J2674"/>
  <c r="I2674"/>
  <c r="H2674"/>
  <c r="G2674"/>
  <c r="F2674"/>
  <c r="E2674"/>
  <c r="D2674"/>
  <c r="C2674"/>
  <c r="B2674"/>
  <c r="A2674"/>
  <c r="K2673"/>
  <c r="J2673"/>
  <c r="I2673"/>
  <c r="H2673"/>
  <c r="G2673"/>
  <c r="F2673"/>
  <c r="E2673"/>
  <c r="D2673"/>
  <c r="C2673"/>
  <c r="B2673"/>
  <c r="A2673"/>
  <c r="K2672"/>
  <c r="J2672"/>
  <c r="I2672"/>
  <c r="H2672"/>
  <c r="G2672"/>
  <c r="F2672"/>
  <c r="E2672"/>
  <c r="D2672"/>
  <c r="C2672"/>
  <c r="B2672"/>
  <c r="A2672"/>
  <c r="K2671"/>
  <c r="J2671"/>
  <c r="I2671"/>
  <c r="H2671"/>
  <c r="G2671"/>
  <c r="F2671"/>
  <c r="E2671"/>
  <c r="D2671"/>
  <c r="C2671"/>
  <c r="B2671"/>
  <c r="A2671"/>
  <c r="K2670"/>
  <c r="J2670"/>
  <c r="I2670"/>
  <c r="H2670"/>
  <c r="G2670"/>
  <c r="F2670"/>
  <c r="E2670"/>
  <c r="D2670"/>
  <c r="C2670"/>
  <c r="B2670"/>
  <c r="A2670"/>
  <c r="K2669"/>
  <c r="J2669"/>
  <c r="I2669"/>
  <c r="H2669"/>
  <c r="G2669"/>
  <c r="F2669"/>
  <c r="E2669"/>
  <c r="D2669"/>
  <c r="C2669"/>
  <c r="B2669"/>
  <c r="A2669"/>
  <c r="K2668"/>
  <c r="J2668"/>
  <c r="I2668"/>
  <c r="H2668"/>
  <c r="G2668"/>
  <c r="F2668"/>
  <c r="E2668"/>
  <c r="D2668"/>
  <c r="C2668"/>
  <c r="B2668"/>
  <c r="A2668"/>
  <c r="K2667"/>
  <c r="J2667"/>
  <c r="I2667"/>
  <c r="H2667"/>
  <c r="G2667"/>
  <c r="F2667"/>
  <c r="E2667"/>
  <c r="D2667"/>
  <c r="C2667"/>
  <c r="B2667"/>
  <c r="A2667"/>
  <c r="K2666"/>
  <c r="J2666"/>
  <c r="I2666"/>
  <c r="H2666"/>
  <c r="G2666"/>
  <c r="F2666"/>
  <c r="E2666"/>
  <c r="D2666"/>
  <c r="C2666"/>
  <c r="B2666"/>
  <c r="A2666"/>
  <c r="K2665"/>
  <c r="J2665"/>
  <c r="I2665"/>
  <c r="H2665"/>
  <c r="G2665"/>
  <c r="F2665"/>
  <c r="E2665"/>
  <c r="D2665"/>
  <c r="C2665"/>
  <c r="B2665"/>
  <c r="A2665"/>
  <c r="K2664"/>
  <c r="J2664"/>
  <c r="I2664"/>
  <c r="H2664"/>
  <c r="G2664"/>
  <c r="F2664"/>
  <c r="E2664"/>
  <c r="D2664"/>
  <c r="C2664"/>
  <c r="B2664"/>
  <c r="A2664"/>
  <c r="K2663"/>
  <c r="J2663"/>
  <c r="I2663"/>
  <c r="H2663"/>
  <c r="G2663"/>
  <c r="F2663"/>
  <c r="E2663"/>
  <c r="D2663"/>
  <c r="C2663"/>
  <c r="B2663"/>
  <c r="A2663"/>
  <c r="K2662"/>
  <c r="J2662"/>
  <c r="I2662"/>
  <c r="H2662"/>
  <c r="G2662"/>
  <c r="F2662"/>
  <c r="E2662"/>
  <c r="D2662"/>
  <c r="C2662"/>
  <c r="B2662"/>
  <c r="A2662"/>
  <c r="K2661"/>
  <c r="J2661"/>
  <c r="I2661"/>
  <c r="H2661"/>
  <c r="G2661"/>
  <c r="F2661"/>
  <c r="E2661"/>
  <c r="D2661"/>
  <c r="C2661"/>
  <c r="B2661"/>
  <c r="A2661"/>
  <c r="K2660"/>
  <c r="J2660"/>
  <c r="I2660"/>
  <c r="H2660"/>
  <c r="G2660"/>
  <c r="F2660"/>
  <c r="E2660"/>
  <c r="D2660"/>
  <c r="C2660"/>
  <c r="B2660"/>
  <c r="A2660"/>
  <c r="K2659"/>
  <c r="J2659"/>
  <c r="I2659"/>
  <c r="H2659"/>
  <c r="G2659"/>
  <c r="F2659"/>
  <c r="E2659"/>
  <c r="D2659"/>
  <c r="C2659"/>
  <c r="B2659"/>
  <c r="A2659"/>
  <c r="K2658"/>
  <c r="J2658"/>
  <c r="I2658"/>
  <c r="H2658"/>
  <c r="G2658"/>
  <c r="F2658"/>
  <c r="E2658"/>
  <c r="D2658"/>
  <c r="C2658"/>
  <c r="B2658"/>
  <c r="A2658"/>
  <c r="K2657"/>
  <c r="J2657"/>
  <c r="I2657"/>
  <c r="H2657"/>
  <c r="G2657"/>
  <c r="F2657"/>
  <c r="E2657"/>
  <c r="D2657"/>
  <c r="C2657"/>
  <c r="B2657"/>
  <c r="A2657"/>
  <c r="K2656"/>
  <c r="J2656"/>
  <c r="I2656"/>
  <c r="H2656"/>
  <c r="G2656"/>
  <c r="F2656"/>
  <c r="E2656"/>
  <c r="D2656"/>
  <c r="C2656"/>
  <c r="B2656"/>
  <c r="A2656"/>
  <c r="K2655"/>
  <c r="J2655"/>
  <c r="I2655"/>
  <c r="H2655"/>
  <c r="G2655"/>
  <c r="F2655"/>
  <c r="E2655"/>
  <c r="D2655"/>
  <c r="C2655"/>
  <c r="B2655"/>
  <c r="A2655"/>
  <c r="K2654"/>
  <c r="J2654"/>
  <c r="I2654"/>
  <c r="H2654"/>
  <c r="G2654"/>
  <c r="F2654"/>
  <c r="E2654"/>
  <c r="D2654"/>
  <c r="C2654"/>
  <c r="B2654"/>
  <c r="A2654"/>
  <c r="K2653"/>
  <c r="J2653"/>
  <c r="I2653"/>
  <c r="H2653"/>
  <c r="G2653"/>
  <c r="F2653"/>
  <c r="E2653"/>
  <c r="D2653"/>
  <c r="C2653"/>
  <c r="B2653"/>
  <c r="A2653"/>
  <c r="K2652"/>
  <c r="J2652"/>
  <c r="I2652"/>
  <c r="H2652"/>
  <c r="G2652"/>
  <c r="F2652"/>
  <c r="E2652"/>
  <c r="D2652"/>
  <c r="C2652"/>
  <c r="B2652"/>
  <c r="A2652"/>
  <c r="K2651"/>
  <c r="J2651"/>
  <c r="I2651"/>
  <c r="H2651"/>
  <c r="G2651"/>
  <c r="F2651"/>
  <c r="E2651"/>
  <c r="D2651"/>
  <c r="C2651"/>
  <c r="B2651"/>
  <c r="A2651"/>
  <c r="K2650"/>
  <c r="J2650"/>
  <c r="I2650"/>
  <c r="H2650"/>
  <c r="G2650"/>
  <c r="F2650"/>
  <c r="E2650"/>
  <c r="D2650"/>
  <c r="C2650"/>
  <c r="B2650"/>
  <c r="A2650"/>
  <c r="K2649"/>
  <c r="J2649"/>
  <c r="I2649"/>
  <c r="H2649"/>
  <c r="G2649"/>
  <c r="F2649"/>
  <c r="E2649"/>
  <c r="D2649"/>
  <c r="C2649"/>
  <c r="B2649"/>
  <c r="A2649"/>
  <c r="K2648"/>
  <c r="J2648"/>
  <c r="I2648"/>
  <c r="H2648"/>
  <c r="G2648"/>
  <c r="F2648"/>
  <c r="E2648"/>
  <c r="D2648"/>
  <c r="C2648"/>
  <c r="B2648"/>
  <c r="A2648"/>
  <c r="K2647"/>
  <c r="J2647"/>
  <c r="I2647"/>
  <c r="H2647"/>
  <c r="G2647"/>
  <c r="F2647"/>
  <c r="E2647"/>
  <c r="D2647"/>
  <c r="C2647"/>
  <c r="B2647"/>
  <c r="A2647"/>
  <c r="K2646"/>
  <c r="J2646"/>
  <c r="I2646"/>
  <c r="H2646"/>
  <c r="G2646"/>
  <c r="F2646"/>
  <c r="E2646"/>
  <c r="D2646"/>
  <c r="C2646"/>
  <c r="B2646"/>
  <c r="A2646"/>
  <c r="K2645"/>
  <c r="J2645"/>
  <c r="I2645"/>
  <c r="H2645"/>
  <c r="G2645"/>
  <c r="F2645"/>
  <c r="E2645"/>
  <c r="D2645"/>
  <c r="C2645"/>
  <c r="B2645"/>
  <c r="A2645"/>
  <c r="K2644"/>
  <c r="J2644"/>
  <c r="I2644"/>
  <c r="H2644"/>
  <c r="G2644"/>
  <c r="F2644"/>
  <c r="E2644"/>
  <c r="D2644"/>
  <c r="C2644"/>
  <c r="B2644"/>
  <c r="A2644"/>
  <c r="K2643"/>
  <c r="J2643"/>
  <c r="I2643"/>
  <c r="H2643"/>
  <c r="G2643"/>
  <c r="F2643"/>
  <c r="E2643"/>
  <c r="D2643"/>
  <c r="C2643"/>
  <c r="B2643"/>
  <c r="A2643"/>
  <c r="K2642"/>
  <c r="J2642"/>
  <c r="I2642"/>
  <c r="H2642"/>
  <c r="G2642"/>
  <c r="F2642"/>
  <c r="E2642"/>
  <c r="D2642"/>
  <c r="C2642"/>
  <c r="B2642"/>
  <c r="A2642"/>
  <c r="K2641"/>
  <c r="J2641"/>
  <c r="I2641"/>
  <c r="H2641"/>
  <c r="G2641"/>
  <c r="F2641"/>
  <c r="E2641"/>
  <c r="D2641"/>
  <c r="C2641"/>
  <c r="B2641"/>
  <c r="A2641"/>
  <c r="K2640"/>
  <c r="J2640"/>
  <c r="I2640"/>
  <c r="H2640"/>
  <c r="G2640"/>
  <c r="F2640"/>
  <c r="E2640"/>
  <c r="D2640"/>
  <c r="C2640"/>
  <c r="B2640"/>
  <c r="A2640"/>
  <c r="K2639"/>
  <c r="J2639"/>
  <c r="I2639"/>
  <c r="H2639"/>
  <c r="G2639"/>
  <c r="F2639"/>
  <c r="E2639"/>
  <c r="D2639"/>
  <c r="C2639"/>
  <c r="B2639"/>
  <c r="A2639"/>
  <c r="K2638"/>
  <c r="J2638"/>
  <c r="I2638"/>
  <c r="H2638"/>
  <c r="G2638"/>
  <c r="F2638"/>
  <c r="E2638"/>
  <c r="D2638"/>
  <c r="C2638"/>
  <c r="B2638"/>
  <c r="A2638"/>
  <c r="K2637"/>
  <c r="J2637"/>
  <c r="I2637"/>
  <c r="H2637"/>
  <c r="G2637"/>
  <c r="F2637"/>
  <c r="E2637"/>
  <c r="D2637"/>
  <c r="C2637"/>
  <c r="B2637"/>
  <c r="A2637"/>
  <c r="K2636"/>
  <c r="J2636"/>
  <c r="I2636"/>
  <c r="H2636"/>
  <c r="G2636"/>
  <c r="F2636"/>
  <c r="E2636"/>
  <c r="D2636"/>
  <c r="C2636"/>
  <c r="B2636"/>
  <c r="A2636"/>
  <c r="K2635"/>
  <c r="J2635"/>
  <c r="I2635"/>
  <c r="H2635"/>
  <c r="G2635"/>
  <c r="F2635"/>
  <c r="E2635"/>
  <c r="D2635"/>
  <c r="C2635"/>
  <c r="B2635"/>
  <c r="A2635"/>
  <c r="K2634"/>
  <c r="J2634"/>
  <c r="I2634"/>
  <c r="H2634"/>
  <c r="G2634"/>
  <c r="F2634"/>
  <c r="E2634"/>
  <c r="D2634"/>
  <c r="C2634"/>
  <c r="B2634"/>
  <c r="A2634"/>
  <c r="K2633"/>
  <c r="J2633"/>
  <c r="I2633"/>
  <c r="H2633"/>
  <c r="G2633"/>
  <c r="F2633"/>
  <c r="E2633"/>
  <c r="D2633"/>
  <c r="C2633"/>
  <c r="B2633"/>
  <c r="A2633"/>
  <c r="K2632"/>
  <c r="J2632"/>
  <c r="I2632"/>
  <c r="H2632"/>
  <c r="G2632"/>
  <c r="F2632"/>
  <c r="E2632"/>
  <c r="D2632"/>
  <c r="C2632"/>
  <c r="B2632"/>
  <c r="A2632"/>
  <c r="K2631"/>
  <c r="J2631"/>
  <c r="I2631"/>
  <c r="H2631"/>
  <c r="G2631"/>
  <c r="F2631"/>
  <c r="E2631"/>
  <c r="D2631"/>
  <c r="C2631"/>
  <c r="B2631"/>
  <c r="A2631"/>
  <c r="K2630"/>
  <c r="J2630"/>
  <c r="I2630"/>
  <c r="H2630"/>
  <c r="G2630"/>
  <c r="F2630"/>
  <c r="E2630"/>
  <c r="D2630"/>
  <c r="C2630"/>
  <c r="B2630"/>
  <c r="A2630"/>
  <c r="K2629"/>
  <c r="J2629"/>
  <c r="I2629"/>
  <c r="H2629"/>
  <c r="G2629"/>
  <c r="F2629"/>
  <c r="E2629"/>
  <c r="D2629"/>
  <c r="C2629"/>
  <c r="B2629"/>
  <c r="A2629"/>
  <c r="K2628"/>
  <c r="J2628"/>
  <c r="I2628"/>
  <c r="H2628"/>
  <c r="G2628"/>
  <c r="F2628"/>
  <c r="E2628"/>
  <c r="D2628"/>
  <c r="C2628"/>
  <c r="B2628"/>
  <c r="A2628"/>
  <c r="K2627"/>
  <c r="J2627"/>
  <c r="I2627"/>
  <c r="H2627"/>
  <c r="G2627"/>
  <c r="F2627"/>
  <c r="E2627"/>
  <c r="D2627"/>
  <c r="C2627"/>
  <c r="B2627"/>
  <c r="A2627"/>
  <c r="K2626"/>
  <c r="J2626"/>
  <c r="I2626"/>
  <c r="H2626"/>
  <c r="G2626"/>
  <c r="F2626"/>
  <c r="E2626"/>
  <c r="D2626"/>
  <c r="C2626"/>
  <c r="B2626"/>
  <c r="A2626"/>
  <c r="K2625"/>
  <c r="J2625"/>
  <c r="I2625"/>
  <c r="H2625"/>
  <c r="G2625"/>
  <c r="F2625"/>
  <c r="E2625"/>
  <c r="D2625"/>
  <c r="C2625"/>
  <c r="B2625"/>
  <c r="A2625"/>
  <c r="K2624"/>
  <c r="J2624"/>
  <c r="I2624"/>
  <c r="H2624"/>
  <c r="G2624"/>
  <c r="F2624"/>
  <c r="E2624"/>
  <c r="D2624"/>
  <c r="C2624"/>
  <c r="B2624"/>
  <c r="A2624"/>
  <c r="K2623"/>
  <c r="J2623"/>
  <c r="I2623"/>
  <c r="H2623"/>
  <c r="G2623"/>
  <c r="F2623"/>
  <c r="E2623"/>
  <c r="D2623"/>
  <c r="C2623"/>
  <c r="B2623"/>
  <c r="A2623"/>
  <c r="K2622"/>
  <c r="J2622"/>
  <c r="I2622"/>
  <c r="H2622"/>
  <c r="G2622"/>
  <c r="F2622"/>
  <c r="E2622"/>
  <c r="D2622"/>
  <c r="C2622"/>
  <c r="B2622"/>
  <c r="A2622"/>
  <c r="K2621"/>
  <c r="J2621"/>
  <c r="I2621"/>
  <c r="H2621"/>
  <c r="G2621"/>
  <c r="F2621"/>
  <c r="E2621"/>
  <c r="D2621"/>
  <c r="C2621"/>
  <c r="B2621"/>
  <c r="A2621"/>
  <c r="K2620"/>
  <c r="J2620"/>
  <c r="I2620"/>
  <c r="H2620"/>
  <c r="G2620"/>
  <c r="F2620"/>
  <c r="E2620"/>
  <c r="D2620"/>
  <c r="C2620"/>
  <c r="B2620"/>
  <c r="A2620"/>
  <c r="K2619"/>
  <c r="J2619"/>
  <c r="I2619"/>
  <c r="H2619"/>
  <c r="G2619"/>
  <c r="F2619"/>
  <c r="E2619"/>
  <c r="D2619"/>
  <c r="C2619"/>
  <c r="B2619"/>
  <c r="A2619"/>
  <c r="K2618"/>
  <c r="J2618"/>
  <c r="I2618"/>
  <c r="H2618"/>
  <c r="G2618"/>
  <c r="F2618"/>
  <c r="E2618"/>
  <c r="D2618"/>
  <c r="C2618"/>
  <c r="B2618"/>
  <c r="A2618"/>
  <c r="K2617"/>
  <c r="J2617"/>
  <c r="I2617"/>
  <c r="H2617"/>
  <c r="G2617"/>
  <c r="F2617"/>
  <c r="E2617"/>
  <c r="D2617"/>
  <c r="C2617"/>
  <c r="B2617"/>
  <c r="A2617"/>
  <c r="K2616"/>
  <c r="J2616"/>
  <c r="I2616"/>
  <c r="H2616"/>
  <c r="G2616"/>
  <c r="F2616"/>
  <c r="E2616"/>
  <c r="D2616"/>
  <c r="C2616"/>
  <c r="B2616"/>
  <c r="A2616"/>
  <c r="K2615"/>
  <c r="J2615"/>
  <c r="I2615"/>
  <c r="H2615"/>
  <c r="G2615"/>
  <c r="F2615"/>
  <c r="E2615"/>
  <c r="D2615"/>
  <c r="C2615"/>
  <c r="B2615"/>
  <c r="A2615"/>
  <c r="K2614"/>
  <c r="J2614"/>
  <c r="I2614"/>
  <c r="H2614"/>
  <c r="G2614"/>
  <c r="F2614"/>
  <c r="E2614"/>
  <c r="D2614"/>
  <c r="C2614"/>
  <c r="B2614"/>
  <c r="A2614"/>
  <c r="K2613"/>
  <c r="J2613"/>
  <c r="I2613"/>
  <c r="H2613"/>
  <c r="G2613"/>
  <c r="F2613"/>
  <c r="E2613"/>
  <c r="D2613"/>
  <c r="C2613"/>
  <c r="B2613"/>
  <c r="A2613"/>
  <c r="K2612"/>
  <c r="J2612"/>
  <c r="I2612"/>
  <c r="H2612"/>
  <c r="G2612"/>
  <c r="F2612"/>
  <c r="E2612"/>
  <c r="D2612"/>
  <c r="C2612"/>
  <c r="B2612"/>
  <c r="A2612"/>
  <c r="K2611"/>
  <c r="J2611"/>
  <c r="I2611"/>
  <c r="H2611"/>
  <c r="G2611"/>
  <c r="F2611"/>
  <c r="E2611"/>
  <c r="D2611"/>
  <c r="C2611"/>
  <c r="B2611"/>
  <c r="A2611"/>
  <c r="K2610"/>
  <c r="J2610"/>
  <c r="I2610"/>
  <c r="H2610"/>
  <c r="G2610"/>
  <c r="F2610"/>
  <c r="E2610"/>
  <c r="D2610"/>
  <c r="C2610"/>
  <c r="B2610"/>
  <c r="A2610"/>
  <c r="K2609"/>
  <c r="J2609"/>
  <c r="I2609"/>
  <c r="H2609"/>
  <c r="G2609"/>
  <c r="F2609"/>
  <c r="E2609"/>
  <c r="D2609"/>
  <c r="C2609"/>
  <c r="B2609"/>
  <c r="A2609"/>
  <c r="K2608"/>
  <c r="J2608"/>
  <c r="I2608"/>
  <c r="H2608"/>
  <c r="G2608"/>
  <c r="F2608"/>
  <c r="E2608"/>
  <c r="D2608"/>
  <c r="C2608"/>
  <c r="B2608"/>
  <c r="A2608"/>
  <c r="K2607"/>
  <c r="J2607"/>
  <c r="I2607"/>
  <c r="H2607"/>
  <c r="G2607"/>
  <c r="F2607"/>
  <c r="E2607"/>
  <c r="D2607"/>
  <c r="C2607"/>
  <c r="B2607"/>
  <c r="A2607"/>
  <c r="K2606"/>
  <c r="J2606"/>
  <c r="I2606"/>
  <c r="H2606"/>
  <c r="G2606"/>
  <c r="F2606"/>
  <c r="E2606"/>
  <c r="D2606"/>
  <c r="C2606"/>
  <c r="B2606"/>
  <c r="A2606"/>
  <c r="K2605"/>
  <c r="J2605"/>
  <c r="I2605"/>
  <c r="H2605"/>
  <c r="G2605"/>
  <c r="F2605"/>
  <c r="E2605"/>
  <c r="D2605"/>
  <c r="C2605"/>
  <c r="B2605"/>
  <c r="A2605"/>
  <c r="K2604"/>
  <c r="J2604"/>
  <c r="I2604"/>
  <c r="H2604"/>
  <c r="G2604"/>
  <c r="F2604"/>
  <c r="E2604"/>
  <c r="D2604"/>
  <c r="C2604"/>
  <c r="B2604"/>
  <c r="A2604"/>
  <c r="K2603"/>
  <c r="J2603"/>
  <c r="I2603"/>
  <c r="H2603"/>
  <c r="G2603"/>
  <c r="F2603"/>
  <c r="E2603"/>
  <c r="D2603"/>
  <c r="C2603"/>
  <c r="B2603"/>
  <c r="A2603"/>
  <c r="K2602"/>
  <c r="J2602"/>
  <c r="I2602"/>
  <c r="H2602"/>
  <c r="G2602"/>
  <c r="F2602"/>
  <c r="E2602"/>
  <c r="D2602"/>
  <c r="C2602"/>
  <c r="B2602"/>
  <c r="A2602"/>
  <c r="K2601"/>
  <c r="J2601"/>
  <c r="I2601"/>
  <c r="H2601"/>
  <c r="G2601"/>
  <c r="F2601"/>
  <c r="E2601"/>
  <c r="D2601"/>
  <c r="C2601"/>
  <c r="B2601"/>
  <c r="A2601"/>
  <c r="K2600"/>
  <c r="J2600"/>
  <c r="I2600"/>
  <c r="H2600"/>
  <c r="G2600"/>
  <c r="F2600"/>
  <c r="E2600"/>
  <c r="D2600"/>
  <c r="C2600"/>
  <c r="B2600"/>
  <c r="A2600"/>
  <c r="K2599"/>
  <c r="J2599"/>
  <c r="I2599"/>
  <c r="H2599"/>
  <c r="G2599"/>
  <c r="F2599"/>
  <c r="E2599"/>
  <c r="D2599"/>
  <c r="C2599"/>
  <c r="B2599"/>
  <c r="A2599"/>
  <c r="K2598"/>
  <c r="J2598"/>
  <c r="I2598"/>
  <c r="H2598"/>
  <c r="G2598"/>
  <c r="F2598"/>
  <c r="E2598"/>
  <c r="D2598"/>
  <c r="C2598"/>
  <c r="B2598"/>
  <c r="A2598"/>
  <c r="K2597"/>
  <c r="J2597"/>
  <c r="I2597"/>
  <c r="H2597"/>
  <c r="G2597"/>
  <c r="F2597"/>
  <c r="E2597"/>
  <c r="D2597"/>
  <c r="C2597"/>
  <c r="B2597"/>
  <c r="A2597"/>
  <c r="K2596"/>
  <c r="J2596"/>
  <c r="I2596"/>
  <c r="H2596"/>
  <c r="G2596"/>
  <c r="F2596"/>
  <c r="E2596"/>
  <c r="D2596"/>
  <c r="C2596"/>
  <c r="B2596"/>
  <c r="A2596"/>
  <c r="K2595"/>
  <c r="J2595"/>
  <c r="I2595"/>
  <c r="H2595"/>
  <c r="G2595"/>
  <c r="F2595"/>
  <c r="E2595"/>
  <c r="D2595"/>
  <c r="C2595"/>
  <c r="B2595"/>
  <c r="A2595"/>
  <c r="K2594"/>
  <c r="J2594"/>
  <c r="I2594"/>
  <c r="H2594"/>
  <c r="G2594"/>
  <c r="F2594"/>
  <c r="E2594"/>
  <c r="D2594"/>
  <c r="C2594"/>
  <c r="B2594"/>
  <c r="A2594"/>
  <c r="K2593"/>
  <c r="J2593"/>
  <c r="I2593"/>
  <c r="H2593"/>
  <c r="G2593"/>
  <c r="F2593"/>
  <c r="E2593"/>
  <c r="D2593"/>
  <c r="C2593"/>
  <c r="B2593"/>
  <c r="A2593"/>
  <c r="K2592"/>
  <c r="J2592"/>
  <c r="I2592"/>
  <c r="H2592"/>
  <c r="G2592"/>
  <c r="F2592"/>
  <c r="E2592"/>
  <c r="D2592"/>
  <c r="C2592"/>
  <c r="B2592"/>
  <c r="A2592"/>
  <c r="K2591"/>
  <c r="J2591"/>
  <c r="I2591"/>
  <c r="H2591"/>
  <c r="G2591"/>
  <c r="F2591"/>
  <c r="E2591"/>
  <c r="D2591"/>
  <c r="C2591"/>
  <c r="B2591"/>
  <c r="A2591"/>
  <c r="K2590"/>
  <c r="J2590"/>
  <c r="I2590"/>
  <c r="H2590"/>
  <c r="G2590"/>
  <c r="F2590"/>
  <c r="E2590"/>
  <c r="D2590"/>
  <c r="C2590"/>
  <c r="B2590"/>
  <c r="A2590"/>
  <c r="K2589"/>
  <c r="J2589"/>
  <c r="I2589"/>
  <c r="H2589"/>
  <c r="G2589"/>
  <c r="F2589"/>
  <c r="E2589"/>
  <c r="D2589"/>
  <c r="C2589"/>
  <c r="B2589"/>
  <c r="A2589"/>
  <c r="K2588"/>
  <c r="J2588"/>
  <c r="I2588"/>
  <c r="H2588"/>
  <c r="G2588"/>
  <c r="F2588"/>
  <c r="E2588"/>
  <c r="D2588"/>
  <c r="C2588"/>
  <c r="B2588"/>
  <c r="A2588"/>
  <c r="K2587"/>
  <c r="J2587"/>
  <c r="I2587"/>
  <c r="H2587"/>
  <c r="G2587"/>
  <c r="F2587"/>
  <c r="E2587"/>
  <c r="D2587"/>
  <c r="C2587"/>
  <c r="B2587"/>
  <c r="A2587"/>
  <c r="K2586"/>
  <c r="J2586"/>
  <c r="I2586"/>
  <c r="H2586"/>
  <c r="G2586"/>
  <c r="F2586"/>
  <c r="E2586"/>
  <c r="D2586"/>
  <c r="C2586"/>
  <c r="B2586"/>
  <c r="A2586"/>
  <c r="K2585"/>
  <c r="J2585"/>
  <c r="I2585"/>
  <c r="H2585"/>
  <c r="G2585"/>
  <c r="F2585"/>
  <c r="E2585"/>
  <c r="D2585"/>
  <c r="C2585"/>
  <c r="B2585"/>
  <c r="A2585"/>
  <c r="K2584"/>
  <c r="J2584"/>
  <c r="I2584"/>
  <c r="H2584"/>
  <c r="G2584"/>
  <c r="F2584"/>
  <c r="E2584"/>
  <c r="D2584"/>
  <c r="C2584"/>
  <c r="B2584"/>
  <c r="A2584"/>
  <c r="K2583"/>
  <c r="J2583"/>
  <c r="I2583"/>
  <c r="H2583"/>
  <c r="G2583"/>
  <c r="F2583"/>
  <c r="E2583"/>
  <c r="D2583"/>
  <c r="C2583"/>
  <c r="B2583"/>
  <c r="A2583"/>
  <c r="K2582"/>
  <c r="J2582"/>
  <c r="I2582"/>
  <c r="H2582"/>
  <c r="G2582"/>
  <c r="F2582"/>
  <c r="E2582"/>
  <c r="D2582"/>
  <c r="C2582"/>
  <c r="B2582"/>
  <c r="A2582"/>
  <c r="K2581"/>
  <c r="J2581"/>
  <c r="I2581"/>
  <c r="H2581"/>
  <c r="G2581"/>
  <c r="F2581"/>
  <c r="E2581"/>
  <c r="D2581"/>
  <c r="C2581"/>
  <c r="B2581"/>
  <c r="A2581"/>
  <c r="K2580"/>
  <c r="J2580"/>
  <c r="I2580"/>
  <c r="H2580"/>
  <c r="G2580"/>
  <c r="F2580"/>
  <c r="E2580"/>
  <c r="D2580"/>
  <c r="C2580"/>
  <c r="B2580"/>
  <c r="A2580"/>
  <c r="K2579"/>
  <c r="J2579"/>
  <c r="I2579"/>
  <c r="H2579"/>
  <c r="G2579"/>
  <c r="F2579"/>
  <c r="E2579"/>
  <c r="D2579"/>
  <c r="C2579"/>
  <c r="B2579"/>
  <c r="A2579"/>
  <c r="K2578"/>
  <c r="J2578"/>
  <c r="I2578"/>
  <c r="H2578"/>
  <c r="G2578"/>
  <c r="F2578"/>
  <c r="E2578"/>
  <c r="D2578"/>
  <c r="C2578"/>
  <c r="B2578"/>
  <c r="A2578"/>
  <c r="K2577"/>
  <c r="J2577"/>
  <c r="I2577"/>
  <c r="H2577"/>
  <c r="G2577"/>
  <c r="F2577"/>
  <c r="E2577"/>
  <c r="D2577"/>
  <c r="C2577"/>
  <c r="B2577"/>
  <c r="A2577"/>
  <c r="K2576"/>
  <c r="J2576"/>
  <c r="I2576"/>
  <c r="H2576"/>
  <c r="G2576"/>
  <c r="F2576"/>
  <c r="E2576"/>
  <c r="D2576"/>
  <c r="C2576"/>
  <c r="B2576"/>
  <c r="A2576"/>
  <c r="K2575"/>
  <c r="J2575"/>
  <c r="I2575"/>
  <c r="H2575"/>
  <c r="G2575"/>
  <c r="F2575"/>
  <c r="E2575"/>
  <c r="D2575"/>
  <c r="C2575"/>
  <c r="B2575"/>
  <c r="A2575"/>
  <c r="K2574"/>
  <c r="J2574"/>
  <c r="I2574"/>
  <c r="H2574"/>
  <c r="G2574"/>
  <c r="F2574"/>
  <c r="E2574"/>
  <c r="D2574"/>
  <c r="C2574"/>
  <c r="B2574"/>
  <c r="A2574"/>
  <c r="K2573"/>
  <c r="J2573"/>
  <c r="I2573"/>
  <c r="H2573"/>
  <c r="G2573"/>
  <c r="F2573"/>
  <c r="E2573"/>
  <c r="D2573"/>
  <c r="C2573"/>
  <c r="B2573"/>
  <c r="A2573"/>
  <c r="K2572"/>
  <c r="J2572"/>
  <c r="I2572"/>
  <c r="H2572"/>
  <c r="G2572"/>
  <c r="F2572"/>
  <c r="E2572"/>
  <c r="D2572"/>
  <c r="C2572"/>
  <c r="B2572"/>
  <c r="A2572"/>
  <c r="K2571"/>
  <c r="J2571"/>
  <c r="I2571"/>
  <c r="H2571"/>
  <c r="G2571"/>
  <c r="F2571"/>
  <c r="E2571"/>
  <c r="D2571"/>
  <c r="C2571"/>
  <c r="B2571"/>
  <c r="A2571"/>
  <c r="K2570"/>
  <c r="J2570"/>
  <c r="I2570"/>
  <c r="H2570"/>
  <c r="G2570"/>
  <c r="F2570"/>
  <c r="E2570"/>
  <c r="D2570"/>
  <c r="C2570"/>
  <c r="B2570"/>
  <c r="A2570"/>
  <c r="K2569"/>
  <c r="J2569"/>
  <c r="I2569"/>
  <c r="H2569"/>
  <c r="G2569"/>
  <c r="F2569"/>
  <c r="E2569"/>
  <c r="D2569"/>
  <c r="C2569"/>
  <c r="B2569"/>
  <c r="A2569"/>
  <c r="K2568"/>
  <c r="J2568"/>
  <c r="I2568"/>
  <c r="H2568"/>
  <c r="G2568"/>
  <c r="F2568"/>
  <c r="E2568"/>
  <c r="D2568"/>
  <c r="C2568"/>
  <c r="B2568"/>
  <c r="A2568"/>
  <c r="K2567"/>
  <c r="J2567"/>
  <c r="I2567"/>
  <c r="H2567"/>
  <c r="G2567"/>
  <c r="F2567"/>
  <c r="E2567"/>
  <c r="D2567"/>
  <c r="C2567"/>
  <c r="B2567"/>
  <c r="A2567"/>
  <c r="K2566"/>
  <c r="J2566"/>
  <c r="I2566"/>
  <c r="H2566"/>
  <c r="G2566"/>
  <c r="F2566"/>
  <c r="E2566"/>
  <c r="D2566"/>
  <c r="C2566"/>
  <c r="B2566"/>
  <c r="A2566"/>
  <c r="K2565"/>
  <c r="J2565"/>
  <c r="I2565"/>
  <c r="H2565"/>
  <c r="G2565"/>
  <c r="F2565"/>
  <c r="E2565"/>
  <c r="D2565"/>
  <c r="C2565"/>
  <c r="B2565"/>
  <c r="A2565"/>
  <c r="K2564"/>
  <c r="J2564"/>
  <c r="I2564"/>
  <c r="H2564"/>
  <c r="G2564"/>
  <c r="F2564"/>
  <c r="E2564"/>
  <c r="D2564"/>
  <c r="C2564"/>
  <c r="B2564"/>
  <c r="A2564"/>
  <c r="K2563"/>
  <c r="J2563"/>
  <c r="I2563"/>
  <c r="H2563"/>
  <c r="G2563"/>
  <c r="F2563"/>
  <c r="E2563"/>
  <c r="D2563"/>
  <c r="C2563"/>
  <c r="B2563"/>
  <c r="A2563"/>
  <c r="K2562"/>
  <c r="J2562"/>
  <c r="I2562"/>
  <c r="H2562"/>
  <c r="G2562"/>
  <c r="F2562"/>
  <c r="E2562"/>
  <c r="D2562"/>
  <c r="C2562"/>
  <c r="B2562"/>
  <c r="A2562"/>
  <c r="K2561"/>
  <c r="J2561"/>
  <c r="I2561"/>
  <c r="H2561"/>
  <c r="G2561"/>
  <c r="F2561"/>
  <c r="E2561"/>
  <c r="D2561"/>
  <c r="C2561"/>
  <c r="B2561"/>
  <c r="A2561"/>
  <c r="K2560"/>
  <c r="J2560"/>
  <c r="I2560"/>
  <c r="H2560"/>
  <c r="G2560"/>
  <c r="F2560"/>
  <c r="E2560"/>
  <c r="D2560"/>
  <c r="C2560"/>
  <c r="B2560"/>
  <c r="A2560"/>
  <c r="K2559"/>
  <c r="J2559"/>
  <c r="I2559"/>
  <c r="H2559"/>
  <c r="G2559"/>
  <c r="F2559"/>
  <c r="E2559"/>
  <c r="D2559"/>
  <c r="C2559"/>
  <c r="B2559"/>
  <c r="A2559"/>
  <c r="K2558"/>
  <c r="J2558"/>
  <c r="I2558"/>
  <c r="H2558"/>
  <c r="G2558"/>
  <c r="F2558"/>
  <c r="E2558"/>
  <c r="D2558"/>
  <c r="C2558"/>
  <c r="B2558"/>
  <c r="A2558"/>
  <c r="K2557"/>
  <c r="J2557"/>
  <c r="I2557"/>
  <c r="H2557"/>
  <c r="G2557"/>
  <c r="F2557"/>
  <c r="E2557"/>
  <c r="D2557"/>
  <c r="C2557"/>
  <c r="B2557"/>
  <c r="A2557"/>
  <c r="K2556"/>
  <c r="J2556"/>
  <c r="I2556"/>
  <c r="H2556"/>
  <c r="G2556"/>
  <c r="F2556"/>
  <c r="E2556"/>
  <c r="D2556"/>
  <c r="C2556"/>
  <c r="B2556"/>
  <c r="A2556"/>
  <c r="K2555"/>
  <c r="J2555"/>
  <c r="I2555"/>
  <c r="H2555"/>
  <c r="G2555"/>
  <c r="F2555"/>
  <c r="E2555"/>
  <c r="D2555"/>
  <c r="C2555"/>
  <c r="B2555"/>
  <c r="A2555"/>
  <c r="K2554"/>
  <c r="J2554"/>
  <c r="I2554"/>
  <c r="H2554"/>
  <c r="G2554"/>
  <c r="F2554"/>
  <c r="E2554"/>
  <c r="D2554"/>
  <c r="C2554"/>
  <c r="B2554"/>
  <c r="A2554"/>
  <c r="K2553"/>
  <c r="J2553"/>
  <c r="I2553"/>
  <c r="H2553"/>
  <c r="G2553"/>
  <c r="F2553"/>
  <c r="E2553"/>
  <c r="D2553"/>
  <c r="C2553"/>
  <c r="B2553"/>
  <c r="A2553"/>
  <c r="K2552"/>
  <c r="J2552"/>
  <c r="I2552"/>
  <c r="H2552"/>
  <c r="G2552"/>
  <c r="F2552"/>
  <c r="E2552"/>
  <c r="D2552"/>
  <c r="C2552"/>
  <c r="B2552"/>
  <c r="A2552"/>
  <c r="K2551"/>
  <c r="J2551"/>
  <c r="I2551"/>
  <c r="H2551"/>
  <c r="G2551"/>
  <c r="F2551"/>
  <c r="E2551"/>
  <c r="D2551"/>
  <c r="C2551"/>
  <c r="B2551"/>
  <c r="A2551"/>
  <c r="K2550"/>
  <c r="J2550"/>
  <c r="I2550"/>
  <c r="H2550"/>
  <c r="G2550"/>
  <c r="F2550"/>
  <c r="E2550"/>
  <c r="D2550"/>
  <c r="C2550"/>
  <c r="B2550"/>
  <c r="A2550"/>
  <c r="K2549"/>
  <c r="J2549"/>
  <c r="I2549"/>
  <c r="H2549"/>
  <c r="G2549"/>
  <c r="F2549"/>
  <c r="E2549"/>
  <c r="D2549"/>
  <c r="C2549"/>
  <c r="B2549"/>
  <c r="A2549"/>
  <c r="K2548"/>
  <c r="J2548"/>
  <c r="I2548"/>
  <c r="H2548"/>
  <c r="G2548"/>
  <c r="F2548"/>
  <c r="E2548"/>
  <c r="D2548"/>
  <c r="C2548"/>
  <c r="B2548"/>
  <c r="A2548"/>
  <c r="K2547"/>
  <c r="J2547"/>
  <c r="I2547"/>
  <c r="H2547"/>
  <c r="G2547"/>
  <c r="F2547"/>
  <c r="E2547"/>
  <c r="D2547"/>
  <c r="C2547"/>
  <c r="B2547"/>
  <c r="A2547"/>
  <c r="K2546"/>
  <c r="J2546"/>
  <c r="I2546"/>
  <c r="H2546"/>
  <c r="G2546"/>
  <c r="F2546"/>
  <c r="E2546"/>
  <c r="D2546"/>
  <c r="C2546"/>
  <c r="B2546"/>
  <c r="A2546"/>
  <c r="K2545"/>
  <c r="J2545"/>
  <c r="I2545"/>
  <c r="H2545"/>
  <c r="G2545"/>
  <c r="F2545"/>
  <c r="E2545"/>
  <c r="D2545"/>
  <c r="C2545"/>
  <c r="B2545"/>
  <c r="A2545"/>
  <c r="K2544"/>
  <c r="J2544"/>
  <c r="I2544"/>
  <c r="H2544"/>
  <c r="G2544"/>
  <c r="F2544"/>
  <c r="E2544"/>
  <c r="D2544"/>
  <c r="C2544"/>
  <c r="B2544"/>
  <c r="A2544"/>
  <c r="K2543"/>
  <c r="J2543"/>
  <c r="I2543"/>
  <c r="H2543"/>
  <c r="G2543"/>
  <c r="F2543"/>
  <c r="E2543"/>
  <c r="D2543"/>
  <c r="C2543"/>
  <c r="B2543"/>
  <c r="A2543"/>
  <c r="K2542"/>
  <c r="J2542"/>
  <c r="I2542"/>
  <c r="H2542"/>
  <c r="G2542"/>
  <c r="F2542"/>
  <c r="E2542"/>
  <c r="D2542"/>
  <c r="C2542"/>
  <c r="B2542"/>
  <c r="A2542"/>
  <c r="K2541"/>
  <c r="J2541"/>
  <c r="I2541"/>
  <c r="H2541"/>
  <c r="G2541"/>
  <c r="F2541"/>
  <c r="E2541"/>
  <c r="D2541"/>
  <c r="C2541"/>
  <c r="B2541"/>
  <c r="A2541"/>
  <c r="K2540"/>
  <c r="J2540"/>
  <c r="I2540"/>
  <c r="H2540"/>
  <c r="G2540"/>
  <c r="F2540"/>
  <c r="E2540"/>
  <c r="D2540"/>
  <c r="C2540"/>
  <c r="B2540"/>
  <c r="A2540"/>
  <c r="K2539"/>
  <c r="J2539"/>
  <c r="I2539"/>
  <c r="H2539"/>
  <c r="G2539"/>
  <c r="F2539"/>
  <c r="E2539"/>
  <c r="D2539"/>
  <c r="C2539"/>
  <c r="B2539"/>
  <c r="A2539"/>
  <c r="K2538"/>
  <c r="J2538"/>
  <c r="I2538"/>
  <c r="H2538"/>
  <c r="G2538"/>
  <c r="F2538"/>
  <c r="E2538"/>
  <c r="D2538"/>
  <c r="C2538"/>
  <c r="B2538"/>
  <c r="A2538"/>
  <c r="K2537"/>
  <c r="J2537"/>
  <c r="I2537"/>
  <c r="H2537"/>
  <c r="G2537"/>
  <c r="F2537"/>
  <c r="E2537"/>
  <c r="D2537"/>
  <c r="C2537"/>
  <c r="B2537"/>
  <c r="A2537"/>
  <c r="K2536"/>
  <c r="J2536"/>
  <c r="I2536"/>
  <c r="H2536"/>
  <c r="G2536"/>
  <c r="F2536"/>
  <c r="E2536"/>
  <c r="D2536"/>
  <c r="C2536"/>
  <c r="B2536"/>
  <c r="A2536"/>
  <c r="K2535"/>
  <c r="J2535"/>
  <c r="I2535"/>
  <c r="H2535"/>
  <c r="G2535"/>
  <c r="F2535"/>
  <c r="E2535"/>
  <c r="D2535"/>
  <c r="C2535"/>
  <c r="B2535"/>
  <c r="A2535"/>
  <c r="K2534"/>
  <c r="J2534"/>
  <c r="I2534"/>
  <c r="H2534"/>
  <c r="G2534"/>
  <c r="F2534"/>
  <c r="E2534"/>
  <c r="D2534"/>
  <c r="C2534"/>
  <c r="B2534"/>
  <c r="A2534"/>
  <c r="K2533"/>
  <c r="J2533"/>
  <c r="I2533"/>
  <c r="H2533"/>
  <c r="G2533"/>
  <c r="F2533"/>
  <c r="E2533"/>
  <c r="D2533"/>
  <c r="C2533"/>
  <c r="B2533"/>
  <c r="A2533"/>
  <c r="K2532"/>
  <c r="J2532"/>
  <c r="I2532"/>
  <c r="H2532"/>
  <c r="G2532"/>
  <c r="F2532"/>
  <c r="E2532"/>
  <c r="D2532"/>
  <c r="C2532"/>
  <c r="B2532"/>
  <c r="A2532"/>
  <c r="K2531"/>
  <c r="J2531"/>
  <c r="I2531"/>
  <c r="H2531"/>
  <c r="G2531"/>
  <c r="F2531"/>
  <c r="E2531"/>
  <c r="D2531"/>
  <c r="C2531"/>
  <c r="B2531"/>
  <c r="A2531"/>
  <c r="K2530"/>
  <c r="J2530"/>
  <c r="I2530"/>
  <c r="H2530"/>
  <c r="G2530"/>
  <c r="F2530"/>
  <c r="E2530"/>
  <c r="D2530"/>
  <c r="C2530"/>
  <c r="B2530"/>
  <c r="A2530"/>
  <c r="K2529"/>
  <c r="J2529"/>
  <c r="I2529"/>
  <c r="H2529"/>
  <c r="G2529"/>
  <c r="F2529"/>
  <c r="E2529"/>
  <c r="D2529"/>
  <c r="C2529"/>
  <c r="B2529"/>
  <c r="A2529"/>
  <c r="K2528"/>
  <c r="J2528"/>
  <c r="I2528"/>
  <c r="H2528"/>
  <c r="G2528"/>
  <c r="F2528"/>
  <c r="E2528"/>
  <c r="D2528"/>
  <c r="C2528"/>
  <c r="B2528"/>
  <c r="A2528"/>
  <c r="K2527"/>
  <c r="J2527"/>
  <c r="I2527"/>
  <c r="H2527"/>
  <c r="G2527"/>
  <c r="F2527"/>
  <c r="E2527"/>
  <c r="D2527"/>
  <c r="C2527"/>
  <c r="B2527"/>
  <c r="A2527"/>
  <c r="K2526"/>
  <c r="J2526"/>
  <c r="I2526"/>
  <c r="H2526"/>
  <c r="G2526"/>
  <c r="F2526"/>
  <c r="E2526"/>
  <c r="D2526"/>
  <c r="C2526"/>
  <c r="B2526"/>
  <c r="A2526"/>
  <c r="K2525"/>
  <c r="J2525"/>
  <c r="I2525"/>
  <c r="H2525"/>
  <c r="G2525"/>
  <c r="F2525"/>
  <c r="E2525"/>
  <c r="D2525"/>
  <c r="C2525"/>
  <c r="B2525"/>
  <c r="A2525"/>
  <c r="K2524"/>
  <c r="J2524"/>
  <c r="I2524"/>
  <c r="H2524"/>
  <c r="G2524"/>
  <c r="F2524"/>
  <c r="E2524"/>
  <c r="D2524"/>
  <c r="C2524"/>
  <c r="B2524"/>
  <c r="A2524"/>
  <c r="K2523"/>
  <c r="J2523"/>
  <c r="I2523"/>
  <c r="H2523"/>
  <c r="G2523"/>
  <c r="F2523"/>
  <c r="E2523"/>
  <c r="D2523"/>
  <c r="C2523"/>
  <c r="B2523"/>
  <c r="A2523"/>
  <c r="K2522"/>
  <c r="J2522"/>
  <c r="I2522"/>
  <c r="H2522"/>
  <c r="G2522"/>
  <c r="F2522"/>
  <c r="E2522"/>
  <c r="D2522"/>
  <c r="C2522"/>
  <c r="B2522"/>
  <c r="A2522"/>
  <c r="K2521"/>
  <c r="J2521"/>
  <c r="I2521"/>
  <c r="H2521"/>
  <c r="G2521"/>
  <c r="F2521"/>
  <c r="E2521"/>
  <c r="D2521"/>
  <c r="C2521"/>
  <c r="B2521"/>
  <c r="A2521"/>
  <c r="K2520"/>
  <c r="J2520"/>
  <c r="I2520"/>
  <c r="H2520"/>
  <c r="G2520"/>
  <c r="F2520"/>
  <c r="E2520"/>
  <c r="D2520"/>
  <c r="C2520"/>
  <c r="B2520"/>
  <c r="A2520"/>
  <c r="K2519"/>
  <c r="J2519"/>
  <c r="I2519"/>
  <c r="H2519"/>
  <c r="G2519"/>
  <c r="F2519"/>
  <c r="E2519"/>
  <c r="D2519"/>
  <c r="C2519"/>
  <c r="B2519"/>
  <c r="A2519"/>
  <c r="K2518"/>
  <c r="J2518"/>
  <c r="I2518"/>
  <c r="H2518"/>
  <c r="G2518"/>
  <c r="F2518"/>
  <c r="E2518"/>
  <c r="D2518"/>
  <c r="C2518"/>
  <c r="B2518"/>
  <c r="A2518"/>
  <c r="K2517"/>
  <c r="J2517"/>
  <c r="I2517"/>
  <c r="H2517"/>
  <c r="G2517"/>
  <c r="F2517"/>
  <c r="E2517"/>
  <c r="D2517"/>
  <c r="C2517"/>
  <c r="B2517"/>
  <c r="A2517"/>
  <c r="K2516"/>
  <c r="J2516"/>
  <c r="I2516"/>
  <c r="H2516"/>
  <c r="G2516"/>
  <c r="F2516"/>
  <c r="E2516"/>
  <c r="D2516"/>
  <c r="C2516"/>
  <c r="B2516"/>
  <c r="A2516"/>
  <c r="K2515"/>
  <c r="J2515"/>
  <c r="I2515"/>
  <c r="H2515"/>
  <c r="G2515"/>
  <c r="F2515"/>
  <c r="E2515"/>
  <c r="D2515"/>
  <c r="C2515"/>
  <c r="B2515"/>
  <c r="A2515"/>
  <c r="K2514"/>
  <c r="J2514"/>
  <c r="I2514"/>
  <c r="H2514"/>
  <c r="G2514"/>
  <c r="F2514"/>
  <c r="E2514"/>
  <c r="D2514"/>
  <c r="C2514"/>
  <c r="B2514"/>
  <c r="A2514"/>
  <c r="K2513"/>
  <c r="J2513"/>
  <c r="I2513"/>
  <c r="H2513"/>
  <c r="G2513"/>
  <c r="F2513"/>
  <c r="E2513"/>
  <c r="D2513"/>
  <c r="C2513"/>
  <c r="B2513"/>
  <c r="A2513"/>
  <c r="K2512"/>
  <c r="J2512"/>
  <c r="I2512"/>
  <c r="H2512"/>
  <c r="G2512"/>
  <c r="F2512"/>
  <c r="E2512"/>
  <c r="D2512"/>
  <c r="C2512"/>
  <c r="B2512"/>
  <c r="A2512"/>
  <c r="K2511"/>
  <c r="J2511"/>
  <c r="I2511"/>
  <c r="H2511"/>
  <c r="G2511"/>
  <c r="F2511"/>
  <c r="E2511"/>
  <c r="D2511"/>
  <c r="C2511"/>
  <c r="B2511"/>
  <c r="A2511"/>
  <c r="K2510"/>
  <c r="J2510"/>
  <c r="I2510"/>
  <c r="H2510"/>
  <c r="G2510"/>
  <c r="F2510"/>
  <c r="E2510"/>
  <c r="D2510"/>
  <c r="C2510"/>
  <c r="B2510"/>
  <c r="A2510"/>
  <c r="K2509"/>
  <c r="J2509"/>
  <c r="I2509"/>
  <c r="H2509"/>
  <c r="G2509"/>
  <c r="F2509"/>
  <c r="E2509"/>
  <c r="D2509"/>
  <c r="C2509"/>
  <c r="B2509"/>
  <c r="A2509"/>
  <c r="K2508"/>
  <c r="J2508"/>
  <c r="I2508"/>
  <c r="H2508"/>
  <c r="G2508"/>
  <c r="F2508"/>
  <c r="E2508"/>
  <c r="D2508"/>
  <c r="C2508"/>
  <c r="B2508"/>
  <c r="A2508"/>
  <c r="K2507"/>
  <c r="J2507"/>
  <c r="I2507"/>
  <c r="H2507"/>
  <c r="G2507"/>
  <c r="F2507"/>
  <c r="E2507"/>
  <c r="D2507"/>
  <c r="C2507"/>
  <c r="B2507"/>
  <c r="A2507"/>
  <c r="K2506"/>
  <c r="J2506"/>
  <c r="I2506"/>
  <c r="H2506"/>
  <c r="G2506"/>
  <c r="F2506"/>
  <c r="E2506"/>
  <c r="D2506"/>
  <c r="C2506"/>
  <c r="B2506"/>
  <c r="A2506"/>
  <c r="K2505"/>
  <c r="J2505"/>
  <c r="I2505"/>
  <c r="H2505"/>
  <c r="G2505"/>
  <c r="F2505"/>
  <c r="E2505"/>
  <c r="D2505"/>
  <c r="C2505"/>
  <c r="B2505"/>
  <c r="A2505"/>
  <c r="K2504"/>
  <c r="J2504"/>
  <c r="I2504"/>
  <c r="H2504"/>
  <c r="G2504"/>
  <c r="F2504"/>
  <c r="E2504"/>
  <c r="D2504"/>
  <c r="C2504"/>
  <c r="B2504"/>
  <c r="A2504"/>
  <c r="K2503"/>
  <c r="J2503"/>
  <c r="I2503"/>
  <c r="H2503"/>
  <c r="G2503"/>
  <c r="F2503"/>
  <c r="E2503"/>
  <c r="D2503"/>
  <c r="C2503"/>
  <c r="B2503"/>
  <c r="A2503"/>
  <c r="K2502"/>
  <c r="J2502"/>
  <c r="I2502"/>
  <c r="H2502"/>
  <c r="G2502"/>
  <c r="F2502"/>
  <c r="E2502"/>
  <c r="D2502"/>
  <c r="C2502"/>
  <c r="B2502"/>
  <c r="A2502"/>
  <c r="K2501"/>
  <c r="J2501"/>
  <c r="I2501"/>
  <c r="H2501"/>
  <c r="G2501"/>
  <c r="F2501"/>
  <c r="E2501"/>
  <c r="D2501"/>
  <c r="C2501"/>
  <c r="B2501"/>
  <c r="A2501"/>
  <c r="K2500"/>
  <c r="J2500"/>
  <c r="I2500"/>
  <c r="H2500"/>
  <c r="G2500"/>
  <c r="F2500"/>
  <c r="E2500"/>
  <c r="D2500"/>
  <c r="C2500"/>
  <c r="B2500"/>
  <c r="A2500"/>
  <c r="K2499"/>
  <c r="J2499"/>
  <c r="I2499"/>
  <c r="H2499"/>
  <c r="G2499"/>
  <c r="F2499"/>
  <c r="E2499"/>
  <c r="D2499"/>
  <c r="C2499"/>
  <c r="B2499"/>
  <c r="A2499"/>
  <c r="K2498"/>
  <c r="J2498"/>
  <c r="I2498"/>
  <c r="H2498"/>
  <c r="G2498"/>
  <c r="F2498"/>
  <c r="E2498"/>
  <c r="D2498"/>
  <c r="C2498"/>
  <c r="B2498"/>
  <c r="A2498"/>
  <c r="K2497"/>
  <c r="J2497"/>
  <c r="I2497"/>
  <c r="H2497"/>
  <c r="G2497"/>
  <c r="F2497"/>
  <c r="E2497"/>
  <c r="D2497"/>
  <c r="C2497"/>
  <c r="B2497"/>
  <c r="A2497"/>
  <c r="K2496"/>
  <c r="J2496"/>
  <c r="I2496"/>
  <c r="H2496"/>
  <c r="G2496"/>
  <c r="F2496"/>
  <c r="E2496"/>
  <c r="D2496"/>
  <c r="C2496"/>
  <c r="B2496"/>
  <c r="A2496"/>
  <c r="K2495"/>
  <c r="J2495"/>
  <c r="I2495"/>
  <c r="H2495"/>
  <c r="G2495"/>
  <c r="F2495"/>
  <c r="E2495"/>
  <c r="D2495"/>
  <c r="C2495"/>
  <c r="B2495"/>
  <c r="A2495"/>
  <c r="K2494"/>
  <c r="J2494"/>
  <c r="I2494"/>
  <c r="H2494"/>
  <c r="G2494"/>
  <c r="F2494"/>
  <c r="E2494"/>
  <c r="D2494"/>
  <c r="C2494"/>
  <c r="B2494"/>
  <c r="A2494"/>
  <c r="K2493"/>
  <c r="J2493"/>
  <c r="I2493"/>
  <c r="H2493"/>
  <c r="G2493"/>
  <c r="F2493"/>
  <c r="E2493"/>
  <c r="D2493"/>
  <c r="C2493"/>
  <c r="B2493"/>
  <c r="A2493"/>
  <c r="K2492"/>
  <c r="J2492"/>
  <c r="I2492"/>
  <c r="H2492"/>
  <c r="G2492"/>
  <c r="F2492"/>
  <c r="E2492"/>
  <c r="D2492"/>
  <c r="C2492"/>
  <c r="B2492"/>
  <c r="A2492"/>
  <c r="K2491"/>
  <c r="J2491"/>
  <c r="I2491"/>
  <c r="H2491"/>
  <c r="G2491"/>
  <c r="F2491"/>
  <c r="E2491"/>
  <c r="D2491"/>
  <c r="C2491"/>
  <c r="B2491"/>
  <c r="A2491"/>
  <c r="K2490"/>
  <c r="J2490"/>
  <c r="I2490"/>
  <c r="H2490"/>
  <c r="G2490"/>
  <c r="F2490"/>
  <c r="E2490"/>
  <c r="D2490"/>
  <c r="C2490"/>
  <c r="B2490"/>
  <c r="A2490"/>
  <c r="K2489"/>
  <c r="J2489"/>
  <c r="I2489"/>
  <c r="H2489"/>
  <c r="G2489"/>
  <c r="F2489"/>
  <c r="E2489"/>
  <c r="D2489"/>
  <c r="C2489"/>
  <c r="B2489"/>
  <c r="A2489"/>
  <c r="K2488"/>
  <c r="J2488"/>
  <c r="I2488"/>
  <c r="H2488"/>
  <c r="G2488"/>
  <c r="F2488"/>
  <c r="E2488"/>
  <c r="D2488"/>
  <c r="C2488"/>
  <c r="B2488"/>
  <c r="A2488"/>
  <c r="K2487"/>
  <c r="J2487"/>
  <c r="I2487"/>
  <c r="H2487"/>
  <c r="G2487"/>
  <c r="F2487"/>
  <c r="E2487"/>
  <c r="D2487"/>
  <c r="C2487"/>
  <c r="B2487"/>
  <c r="A2487"/>
  <c r="K2486"/>
  <c r="J2486"/>
  <c r="I2486"/>
  <c r="H2486"/>
  <c r="G2486"/>
  <c r="F2486"/>
  <c r="E2486"/>
  <c r="D2486"/>
  <c r="C2486"/>
  <c r="B2486"/>
  <c r="A2486"/>
  <c r="K2485"/>
  <c r="J2485"/>
  <c r="I2485"/>
  <c r="H2485"/>
  <c r="G2485"/>
  <c r="F2485"/>
  <c r="E2485"/>
  <c r="D2485"/>
  <c r="C2485"/>
  <c r="B2485"/>
  <c r="A2485"/>
  <c r="K2484"/>
  <c r="J2484"/>
  <c r="I2484"/>
  <c r="H2484"/>
  <c r="G2484"/>
  <c r="F2484"/>
  <c r="E2484"/>
  <c r="D2484"/>
  <c r="C2484"/>
  <c r="B2484"/>
  <c r="A2484"/>
  <c r="K2483"/>
  <c r="J2483"/>
  <c r="I2483"/>
  <c r="H2483"/>
  <c r="G2483"/>
  <c r="F2483"/>
  <c r="E2483"/>
  <c r="D2483"/>
  <c r="C2483"/>
  <c r="B2483"/>
  <c r="A2483"/>
  <c r="K2482"/>
  <c r="J2482"/>
  <c r="I2482"/>
  <c r="H2482"/>
  <c r="G2482"/>
  <c r="F2482"/>
  <c r="E2482"/>
  <c r="D2482"/>
  <c r="C2482"/>
  <c r="B2482"/>
  <c r="A2482"/>
  <c r="K2481"/>
  <c r="J2481"/>
  <c r="I2481"/>
  <c r="H2481"/>
  <c r="G2481"/>
  <c r="F2481"/>
  <c r="E2481"/>
  <c r="D2481"/>
  <c r="C2481"/>
  <c r="B2481"/>
  <c r="A2481"/>
  <c r="K2480"/>
  <c r="J2480"/>
  <c r="I2480"/>
  <c r="H2480"/>
  <c r="G2480"/>
  <c r="F2480"/>
  <c r="E2480"/>
  <c r="D2480"/>
  <c r="C2480"/>
  <c r="B2480"/>
  <c r="A2480"/>
  <c r="K2479"/>
  <c r="J2479"/>
  <c r="I2479"/>
  <c r="H2479"/>
  <c r="G2479"/>
  <c r="F2479"/>
  <c r="E2479"/>
  <c r="D2479"/>
  <c r="C2479"/>
  <c r="B2479"/>
  <c r="A2479"/>
  <c r="K2478"/>
  <c r="J2478"/>
  <c r="I2478"/>
  <c r="H2478"/>
  <c r="G2478"/>
  <c r="F2478"/>
  <c r="E2478"/>
  <c r="D2478"/>
  <c r="C2478"/>
  <c r="B2478"/>
  <c r="A2478"/>
  <c r="K2477"/>
  <c r="J2477"/>
  <c r="I2477"/>
  <c r="H2477"/>
  <c r="G2477"/>
  <c r="F2477"/>
  <c r="E2477"/>
  <c r="D2477"/>
  <c r="C2477"/>
  <c r="B2477"/>
  <c r="A2477"/>
  <c r="K2476"/>
  <c r="J2476"/>
  <c r="I2476"/>
  <c r="H2476"/>
  <c r="G2476"/>
  <c r="F2476"/>
  <c r="E2476"/>
  <c r="D2476"/>
  <c r="C2476"/>
  <c r="B2476"/>
  <c r="A2476"/>
  <c r="K2475"/>
  <c r="J2475"/>
  <c r="I2475"/>
  <c r="H2475"/>
  <c r="G2475"/>
  <c r="F2475"/>
  <c r="E2475"/>
  <c r="D2475"/>
  <c r="C2475"/>
  <c r="B2475"/>
  <c r="A2475"/>
  <c r="K2474"/>
  <c r="J2474"/>
  <c r="I2474"/>
  <c r="H2474"/>
  <c r="G2474"/>
  <c r="F2474"/>
  <c r="E2474"/>
  <c r="D2474"/>
  <c r="C2474"/>
  <c r="B2474"/>
  <c r="A2474"/>
  <c r="K2473"/>
  <c r="J2473"/>
  <c r="I2473"/>
  <c r="H2473"/>
  <c r="G2473"/>
  <c r="F2473"/>
  <c r="E2473"/>
  <c r="D2473"/>
  <c r="C2473"/>
  <c r="B2473"/>
  <c r="A2473"/>
  <c r="K2472"/>
  <c r="J2472"/>
  <c r="I2472"/>
  <c r="H2472"/>
  <c r="G2472"/>
  <c r="F2472"/>
  <c r="E2472"/>
  <c r="D2472"/>
  <c r="C2472"/>
  <c r="B2472"/>
  <c r="A2472"/>
  <c r="K2471"/>
  <c r="J2471"/>
  <c r="I2471"/>
  <c r="H2471"/>
  <c r="G2471"/>
  <c r="F2471"/>
  <c r="E2471"/>
  <c r="D2471"/>
  <c r="C2471"/>
  <c r="B2471"/>
  <c r="A2471"/>
  <c r="K2470"/>
  <c r="J2470"/>
  <c r="I2470"/>
  <c r="H2470"/>
  <c r="G2470"/>
  <c r="F2470"/>
  <c r="E2470"/>
  <c r="D2470"/>
  <c r="C2470"/>
  <c r="B2470"/>
  <c r="A2470"/>
  <c r="K2469"/>
  <c r="J2469"/>
  <c r="I2469"/>
  <c r="H2469"/>
  <c r="G2469"/>
  <c r="F2469"/>
  <c r="E2469"/>
  <c r="D2469"/>
  <c r="C2469"/>
  <c r="B2469"/>
  <c r="A2469"/>
  <c r="K2468"/>
  <c r="J2468"/>
  <c r="I2468"/>
  <c r="H2468"/>
  <c r="G2468"/>
  <c r="F2468"/>
  <c r="E2468"/>
  <c r="D2468"/>
  <c r="C2468"/>
  <c r="B2468"/>
  <c r="A2468"/>
  <c r="K2467"/>
  <c r="J2467"/>
  <c r="I2467"/>
  <c r="H2467"/>
  <c r="G2467"/>
  <c r="F2467"/>
  <c r="E2467"/>
  <c r="D2467"/>
  <c r="C2467"/>
  <c r="B2467"/>
  <c r="A2467"/>
  <c r="K2466"/>
  <c r="J2466"/>
  <c r="I2466"/>
  <c r="H2466"/>
  <c r="G2466"/>
  <c r="F2466"/>
  <c r="E2466"/>
  <c r="D2466"/>
  <c r="C2466"/>
  <c r="B2466"/>
  <c r="A2466"/>
  <c r="K2465"/>
  <c r="J2465"/>
  <c r="I2465"/>
  <c r="H2465"/>
  <c r="G2465"/>
  <c r="F2465"/>
  <c r="E2465"/>
  <c r="D2465"/>
  <c r="C2465"/>
  <c r="B2465"/>
  <c r="A2465"/>
  <c r="K2464"/>
  <c r="J2464"/>
  <c r="I2464"/>
  <c r="H2464"/>
  <c r="G2464"/>
  <c r="F2464"/>
  <c r="E2464"/>
  <c r="D2464"/>
  <c r="C2464"/>
  <c r="B2464"/>
  <c r="A2464"/>
  <c r="K2463"/>
  <c r="J2463"/>
  <c r="I2463"/>
  <c r="H2463"/>
  <c r="G2463"/>
  <c r="F2463"/>
  <c r="E2463"/>
  <c r="D2463"/>
  <c r="C2463"/>
  <c r="B2463"/>
  <c r="A2463"/>
  <c r="K2462"/>
  <c r="J2462"/>
  <c r="I2462"/>
  <c r="H2462"/>
  <c r="G2462"/>
  <c r="F2462"/>
  <c r="E2462"/>
  <c r="D2462"/>
  <c r="C2462"/>
  <c r="B2462"/>
  <c r="A2462"/>
  <c r="K2461"/>
  <c r="J2461"/>
  <c r="I2461"/>
  <c r="H2461"/>
  <c r="G2461"/>
  <c r="F2461"/>
  <c r="E2461"/>
  <c r="D2461"/>
  <c r="C2461"/>
  <c r="B2461"/>
  <c r="A2461"/>
  <c r="K2460"/>
  <c r="J2460"/>
  <c r="I2460"/>
  <c r="H2460"/>
  <c r="G2460"/>
  <c r="F2460"/>
  <c r="E2460"/>
  <c r="D2460"/>
  <c r="C2460"/>
  <c r="B2460"/>
  <c r="A2460"/>
  <c r="K2459"/>
  <c r="J2459"/>
  <c r="I2459"/>
  <c r="H2459"/>
  <c r="G2459"/>
  <c r="F2459"/>
  <c r="E2459"/>
  <c r="D2459"/>
  <c r="C2459"/>
  <c r="B2459"/>
  <c r="A2459"/>
  <c r="K2458"/>
  <c r="J2458"/>
  <c r="I2458"/>
  <c r="H2458"/>
  <c r="G2458"/>
  <c r="F2458"/>
  <c r="E2458"/>
  <c r="D2458"/>
  <c r="C2458"/>
  <c r="B2458"/>
  <c r="A2458"/>
  <c r="K2457"/>
  <c r="J2457"/>
  <c r="I2457"/>
  <c r="H2457"/>
  <c r="G2457"/>
  <c r="F2457"/>
  <c r="E2457"/>
  <c r="D2457"/>
  <c r="C2457"/>
  <c r="B2457"/>
  <c r="A2457"/>
  <c r="K2456"/>
  <c r="J2456"/>
  <c r="I2456"/>
  <c r="H2456"/>
  <c r="G2456"/>
  <c r="F2456"/>
  <c r="E2456"/>
  <c r="D2456"/>
  <c r="C2456"/>
  <c r="B2456"/>
  <c r="A2456"/>
  <c r="K2455"/>
  <c r="J2455"/>
  <c r="I2455"/>
  <c r="H2455"/>
  <c r="G2455"/>
  <c r="F2455"/>
  <c r="E2455"/>
  <c r="D2455"/>
  <c r="C2455"/>
  <c r="B2455"/>
  <c r="A2455"/>
  <c r="K2454"/>
  <c r="J2454"/>
  <c r="I2454"/>
  <c r="H2454"/>
  <c r="G2454"/>
  <c r="F2454"/>
  <c r="E2454"/>
  <c r="D2454"/>
  <c r="C2454"/>
  <c r="B2454"/>
  <c r="A2454"/>
  <c r="K2453"/>
  <c r="J2453"/>
  <c r="I2453"/>
  <c r="H2453"/>
  <c r="G2453"/>
  <c r="F2453"/>
  <c r="E2453"/>
  <c r="D2453"/>
  <c r="C2453"/>
  <c r="B2453"/>
  <c r="A2453"/>
  <c r="K2452"/>
  <c r="J2452"/>
  <c r="I2452"/>
  <c r="H2452"/>
  <c r="G2452"/>
  <c r="F2452"/>
  <c r="E2452"/>
  <c r="D2452"/>
  <c r="C2452"/>
  <c r="B2452"/>
  <c r="A2452"/>
  <c r="K2451"/>
  <c r="J2451"/>
  <c r="I2451"/>
  <c r="H2451"/>
  <c r="G2451"/>
  <c r="F2451"/>
  <c r="E2451"/>
  <c r="D2451"/>
  <c r="C2451"/>
  <c r="B2451"/>
  <c r="A2451"/>
  <c r="K2450"/>
  <c r="J2450"/>
  <c r="I2450"/>
  <c r="H2450"/>
  <c r="G2450"/>
  <c r="F2450"/>
  <c r="E2450"/>
  <c r="D2450"/>
  <c r="C2450"/>
  <c r="B2450"/>
  <c r="A2450"/>
  <c r="K2449"/>
  <c r="J2449"/>
  <c r="I2449"/>
  <c r="H2449"/>
  <c r="G2449"/>
  <c r="F2449"/>
  <c r="E2449"/>
  <c r="D2449"/>
  <c r="C2449"/>
  <c r="B2449"/>
  <c r="A2449"/>
  <c r="K2448"/>
  <c r="J2448"/>
  <c r="I2448"/>
  <c r="H2448"/>
  <c r="G2448"/>
  <c r="F2448"/>
  <c r="E2448"/>
  <c r="D2448"/>
  <c r="C2448"/>
  <c r="B2448"/>
  <c r="A2448"/>
  <c r="K2447"/>
  <c r="J2447"/>
  <c r="I2447"/>
  <c r="H2447"/>
  <c r="G2447"/>
  <c r="F2447"/>
  <c r="E2447"/>
  <c r="D2447"/>
  <c r="C2447"/>
  <c r="B2447"/>
  <c r="A2447"/>
  <c r="K2446"/>
  <c r="J2446"/>
  <c r="I2446"/>
  <c r="H2446"/>
  <c r="G2446"/>
  <c r="F2446"/>
  <c r="E2446"/>
  <c r="D2446"/>
  <c r="C2446"/>
  <c r="B2446"/>
  <c r="A2446"/>
  <c r="K2445"/>
  <c r="J2445"/>
  <c r="I2445"/>
  <c r="H2445"/>
  <c r="G2445"/>
  <c r="F2445"/>
  <c r="E2445"/>
  <c r="D2445"/>
  <c r="C2445"/>
  <c r="B2445"/>
  <c r="A2445"/>
  <c r="K2444"/>
  <c r="J2444"/>
  <c r="I2444"/>
  <c r="H2444"/>
  <c r="G2444"/>
  <c r="F2444"/>
  <c r="E2444"/>
  <c r="D2444"/>
  <c r="C2444"/>
  <c r="B2444"/>
  <c r="A2444"/>
  <c r="K2443"/>
  <c r="J2443"/>
  <c r="I2443"/>
  <c r="H2443"/>
  <c r="G2443"/>
  <c r="F2443"/>
  <c r="E2443"/>
  <c r="D2443"/>
  <c r="C2443"/>
  <c r="B2443"/>
  <c r="A2443"/>
  <c r="K2442"/>
  <c r="J2442"/>
  <c r="I2442"/>
  <c r="H2442"/>
  <c r="G2442"/>
  <c r="F2442"/>
  <c r="E2442"/>
  <c r="D2442"/>
  <c r="C2442"/>
  <c r="B2442"/>
  <c r="A2442"/>
  <c r="K2441"/>
  <c r="J2441"/>
  <c r="I2441"/>
  <c r="H2441"/>
  <c r="G2441"/>
  <c r="F2441"/>
  <c r="E2441"/>
  <c r="D2441"/>
  <c r="C2441"/>
  <c r="B2441"/>
  <c r="A2441"/>
  <c r="K2440"/>
  <c r="J2440"/>
  <c r="I2440"/>
  <c r="H2440"/>
  <c r="G2440"/>
  <c r="F2440"/>
  <c r="E2440"/>
  <c r="D2440"/>
  <c r="C2440"/>
  <c r="B2440"/>
  <c r="A2440"/>
  <c r="K2439"/>
  <c r="J2439"/>
  <c r="I2439"/>
  <c r="H2439"/>
  <c r="G2439"/>
  <c r="F2439"/>
  <c r="E2439"/>
  <c r="D2439"/>
  <c r="C2439"/>
  <c r="B2439"/>
  <c r="A2439"/>
  <c r="K2438"/>
  <c r="J2438"/>
  <c r="I2438"/>
  <c r="H2438"/>
  <c r="G2438"/>
  <c r="F2438"/>
  <c r="E2438"/>
  <c r="D2438"/>
  <c r="C2438"/>
  <c r="B2438"/>
  <c r="A2438"/>
  <c r="K2437"/>
  <c r="J2437"/>
  <c r="I2437"/>
  <c r="H2437"/>
  <c r="G2437"/>
  <c r="F2437"/>
  <c r="E2437"/>
  <c r="D2437"/>
  <c r="C2437"/>
  <c r="B2437"/>
  <c r="A2437"/>
  <c r="K2436"/>
  <c r="J2436"/>
  <c r="I2436"/>
  <c r="H2436"/>
  <c r="G2436"/>
  <c r="F2436"/>
  <c r="E2436"/>
  <c r="D2436"/>
  <c r="C2436"/>
  <c r="B2436"/>
  <c r="A2436"/>
  <c r="K2435"/>
  <c r="J2435"/>
  <c r="I2435"/>
  <c r="H2435"/>
  <c r="G2435"/>
  <c r="F2435"/>
  <c r="E2435"/>
  <c r="D2435"/>
  <c r="C2435"/>
  <c r="B2435"/>
  <c r="A2435"/>
  <c r="K2434"/>
  <c r="J2434"/>
  <c r="I2434"/>
  <c r="H2434"/>
  <c r="G2434"/>
  <c r="F2434"/>
  <c r="E2434"/>
  <c r="D2434"/>
  <c r="C2434"/>
  <c r="B2434"/>
  <c r="A2434"/>
  <c r="K2433"/>
  <c r="J2433"/>
  <c r="I2433"/>
  <c r="H2433"/>
  <c r="G2433"/>
  <c r="F2433"/>
  <c r="E2433"/>
  <c r="D2433"/>
  <c r="C2433"/>
  <c r="B2433"/>
  <c r="A2433"/>
  <c r="K2432"/>
  <c r="J2432"/>
  <c r="I2432"/>
  <c r="H2432"/>
  <c r="G2432"/>
  <c r="F2432"/>
  <c r="E2432"/>
  <c r="D2432"/>
  <c r="C2432"/>
  <c r="B2432"/>
  <c r="A2432"/>
  <c r="K2431"/>
  <c r="J2431"/>
  <c r="I2431"/>
  <c r="H2431"/>
  <c r="G2431"/>
  <c r="F2431"/>
  <c r="E2431"/>
  <c r="D2431"/>
  <c r="C2431"/>
  <c r="B2431"/>
  <c r="A2431"/>
  <c r="K2430"/>
  <c r="J2430"/>
  <c r="I2430"/>
  <c r="H2430"/>
  <c r="G2430"/>
  <c r="F2430"/>
  <c r="E2430"/>
  <c r="D2430"/>
  <c r="C2430"/>
  <c r="B2430"/>
  <c r="A2430"/>
  <c r="K2429"/>
  <c r="J2429"/>
  <c r="I2429"/>
  <c r="H2429"/>
  <c r="G2429"/>
  <c r="F2429"/>
  <c r="E2429"/>
  <c r="D2429"/>
  <c r="C2429"/>
  <c r="B2429"/>
  <c r="A2429"/>
  <c r="K2428"/>
  <c r="J2428"/>
  <c r="I2428"/>
  <c r="H2428"/>
  <c r="G2428"/>
  <c r="F2428"/>
  <c r="E2428"/>
  <c r="D2428"/>
  <c r="C2428"/>
  <c r="B2428"/>
  <c r="A2428"/>
  <c r="K2427"/>
  <c r="J2427"/>
  <c r="I2427"/>
  <c r="H2427"/>
  <c r="G2427"/>
  <c r="F2427"/>
  <c r="E2427"/>
  <c r="D2427"/>
  <c r="C2427"/>
  <c r="B2427"/>
  <c r="A2427"/>
  <c r="K2426"/>
  <c r="J2426"/>
  <c r="I2426"/>
  <c r="H2426"/>
  <c r="G2426"/>
  <c r="F2426"/>
  <c r="E2426"/>
  <c r="D2426"/>
  <c r="C2426"/>
  <c r="B2426"/>
  <c r="A2426"/>
  <c r="K2425"/>
  <c r="J2425"/>
  <c r="I2425"/>
  <c r="H2425"/>
  <c r="G2425"/>
  <c r="F2425"/>
  <c r="E2425"/>
  <c r="D2425"/>
  <c r="C2425"/>
  <c r="B2425"/>
  <c r="A2425"/>
  <c r="K2424"/>
  <c r="J2424"/>
  <c r="I2424"/>
  <c r="H2424"/>
  <c r="G2424"/>
  <c r="F2424"/>
  <c r="E2424"/>
  <c r="D2424"/>
  <c r="C2424"/>
  <c r="B2424"/>
  <c r="A2424"/>
  <c r="K2423"/>
  <c r="J2423"/>
  <c r="I2423"/>
  <c r="H2423"/>
  <c r="G2423"/>
  <c r="F2423"/>
  <c r="E2423"/>
  <c r="D2423"/>
  <c r="C2423"/>
  <c r="B2423"/>
  <c r="A2423"/>
  <c r="K2422"/>
  <c r="J2422"/>
  <c r="I2422"/>
  <c r="H2422"/>
  <c r="G2422"/>
  <c r="F2422"/>
  <c r="E2422"/>
  <c r="D2422"/>
  <c r="C2422"/>
  <c r="B2422"/>
  <c r="A2422"/>
  <c r="K2421"/>
  <c r="J2421"/>
  <c r="I2421"/>
  <c r="H2421"/>
  <c r="G2421"/>
  <c r="F2421"/>
  <c r="E2421"/>
  <c r="D2421"/>
  <c r="C2421"/>
  <c r="B2421"/>
  <c r="A2421"/>
  <c r="K2420"/>
  <c r="J2420"/>
  <c r="I2420"/>
  <c r="H2420"/>
  <c r="G2420"/>
  <c r="F2420"/>
  <c r="E2420"/>
  <c r="D2420"/>
  <c r="C2420"/>
  <c r="B2420"/>
  <c r="A2420"/>
  <c r="K2419"/>
  <c r="J2419"/>
  <c r="I2419"/>
  <c r="H2419"/>
  <c r="G2419"/>
  <c r="F2419"/>
  <c r="E2419"/>
  <c r="D2419"/>
  <c r="C2419"/>
  <c r="B2419"/>
  <c r="A2419"/>
  <c r="K2418"/>
  <c r="J2418"/>
  <c r="I2418"/>
  <c r="H2418"/>
  <c r="G2418"/>
  <c r="F2418"/>
  <c r="E2418"/>
  <c r="D2418"/>
  <c r="C2418"/>
  <c r="B2418"/>
  <c r="A2418"/>
  <c r="K2417"/>
  <c r="J2417"/>
  <c r="I2417"/>
  <c r="H2417"/>
  <c r="G2417"/>
  <c r="F2417"/>
  <c r="E2417"/>
  <c r="D2417"/>
  <c r="C2417"/>
  <c r="B2417"/>
  <c r="A2417"/>
  <c r="K2416"/>
  <c r="J2416"/>
  <c r="I2416"/>
  <c r="H2416"/>
  <c r="G2416"/>
  <c r="F2416"/>
  <c r="E2416"/>
  <c r="D2416"/>
  <c r="C2416"/>
  <c r="B2416"/>
  <c r="A2416"/>
  <c r="K2415"/>
  <c r="J2415"/>
  <c r="I2415"/>
  <c r="H2415"/>
  <c r="G2415"/>
  <c r="F2415"/>
  <c r="E2415"/>
  <c r="D2415"/>
  <c r="C2415"/>
  <c r="B2415"/>
  <c r="A2415"/>
  <c r="K2414"/>
  <c r="J2414"/>
  <c r="I2414"/>
  <c r="H2414"/>
  <c r="G2414"/>
  <c r="F2414"/>
  <c r="E2414"/>
  <c r="D2414"/>
  <c r="C2414"/>
  <c r="B2414"/>
  <c r="A2414"/>
  <c r="K2413"/>
  <c r="J2413"/>
  <c r="I2413"/>
  <c r="H2413"/>
  <c r="G2413"/>
  <c r="F2413"/>
  <c r="E2413"/>
  <c r="D2413"/>
  <c r="C2413"/>
  <c r="B2413"/>
  <c r="A2413"/>
  <c r="K2412"/>
  <c r="J2412"/>
  <c r="I2412"/>
  <c r="H2412"/>
  <c r="G2412"/>
  <c r="F2412"/>
  <c r="E2412"/>
  <c r="D2412"/>
  <c r="C2412"/>
  <c r="B2412"/>
  <c r="A2412"/>
  <c r="K2411"/>
  <c r="J2411"/>
  <c r="I2411"/>
  <c r="H2411"/>
  <c r="G2411"/>
  <c r="F2411"/>
  <c r="E2411"/>
  <c r="D2411"/>
  <c r="C2411"/>
  <c r="B2411"/>
  <c r="A2411"/>
  <c r="K2410"/>
  <c r="J2410"/>
  <c r="I2410"/>
  <c r="H2410"/>
  <c r="G2410"/>
  <c r="F2410"/>
  <c r="E2410"/>
  <c r="D2410"/>
  <c r="C2410"/>
  <c r="B2410"/>
  <c r="A2410"/>
  <c r="K2409"/>
  <c r="J2409"/>
  <c r="I2409"/>
  <c r="H2409"/>
  <c r="G2409"/>
  <c r="F2409"/>
  <c r="E2409"/>
  <c r="D2409"/>
  <c r="C2409"/>
  <c r="B2409"/>
  <c r="A2409"/>
  <c r="K2408"/>
  <c r="J2408"/>
  <c r="I2408"/>
  <c r="H2408"/>
  <c r="G2408"/>
  <c r="F2408"/>
  <c r="E2408"/>
  <c r="D2408"/>
  <c r="C2408"/>
  <c r="B2408"/>
  <c r="A2408"/>
  <c r="K2407"/>
  <c r="J2407"/>
  <c r="I2407"/>
  <c r="H2407"/>
  <c r="G2407"/>
  <c r="F2407"/>
  <c r="E2407"/>
  <c r="D2407"/>
  <c r="C2407"/>
  <c r="B2407"/>
  <c r="A2407"/>
  <c r="K2406"/>
  <c r="J2406"/>
  <c r="I2406"/>
  <c r="H2406"/>
  <c r="G2406"/>
  <c r="F2406"/>
  <c r="E2406"/>
  <c r="D2406"/>
  <c r="C2406"/>
  <c r="B2406"/>
  <c r="A2406"/>
  <c r="K2405"/>
  <c r="J2405"/>
  <c r="I2405"/>
  <c r="H2405"/>
  <c r="G2405"/>
  <c r="F2405"/>
  <c r="E2405"/>
  <c r="D2405"/>
  <c r="C2405"/>
  <c r="B2405"/>
  <c r="A2405"/>
  <c r="K2404"/>
  <c r="J2404"/>
  <c r="I2404"/>
  <c r="H2404"/>
  <c r="G2404"/>
  <c r="F2404"/>
  <c r="E2404"/>
  <c r="D2404"/>
  <c r="C2404"/>
  <c r="B2404"/>
  <c r="A2404"/>
  <c r="K2403"/>
  <c r="J2403"/>
  <c r="I2403"/>
  <c r="H2403"/>
  <c r="G2403"/>
  <c r="F2403"/>
  <c r="E2403"/>
  <c r="D2403"/>
  <c r="C2403"/>
  <c r="B2403"/>
  <c r="A2403"/>
  <c r="K2402"/>
  <c r="J2402"/>
  <c r="I2402"/>
  <c r="H2402"/>
  <c r="G2402"/>
  <c r="F2402"/>
  <c r="E2402"/>
  <c r="D2402"/>
  <c r="C2402"/>
  <c r="B2402"/>
  <c r="A2402"/>
  <c r="K2401"/>
  <c r="J2401"/>
  <c r="I2401"/>
  <c r="H2401"/>
  <c r="G2401"/>
  <c r="F2401"/>
  <c r="E2401"/>
  <c r="D2401"/>
  <c r="C2401"/>
  <c r="B2401"/>
  <c r="A2401"/>
  <c r="K2400"/>
  <c r="J2400"/>
  <c r="I2400"/>
  <c r="H2400"/>
  <c r="G2400"/>
  <c r="F2400"/>
  <c r="E2400"/>
  <c r="D2400"/>
  <c r="C2400"/>
  <c r="B2400"/>
  <c r="A2400"/>
  <c r="K2399"/>
  <c r="J2399"/>
  <c r="I2399"/>
  <c r="H2399"/>
  <c r="G2399"/>
  <c r="F2399"/>
  <c r="E2399"/>
  <c r="D2399"/>
  <c r="C2399"/>
  <c r="B2399"/>
  <c r="A2399"/>
  <c r="K2398"/>
  <c r="J2398"/>
  <c r="I2398"/>
  <c r="H2398"/>
  <c r="G2398"/>
  <c r="F2398"/>
  <c r="E2398"/>
  <c r="D2398"/>
  <c r="C2398"/>
  <c r="B2398"/>
  <c r="A2398"/>
  <c r="K2397"/>
  <c r="J2397"/>
  <c r="I2397"/>
  <c r="H2397"/>
  <c r="G2397"/>
  <c r="F2397"/>
  <c r="E2397"/>
  <c r="D2397"/>
  <c r="C2397"/>
  <c r="B2397"/>
  <c r="A2397"/>
  <c r="K2396"/>
  <c r="J2396"/>
  <c r="I2396"/>
  <c r="H2396"/>
  <c r="G2396"/>
  <c r="F2396"/>
  <c r="E2396"/>
  <c r="D2396"/>
  <c r="C2396"/>
  <c r="B2396"/>
  <c r="A2396"/>
  <c r="K2395"/>
  <c r="J2395"/>
  <c r="I2395"/>
  <c r="H2395"/>
  <c r="G2395"/>
  <c r="F2395"/>
  <c r="E2395"/>
  <c r="D2395"/>
  <c r="C2395"/>
  <c r="B2395"/>
  <c r="A2395"/>
  <c r="K2394"/>
  <c r="J2394"/>
  <c r="I2394"/>
  <c r="H2394"/>
  <c r="G2394"/>
  <c r="F2394"/>
  <c r="E2394"/>
  <c r="D2394"/>
  <c r="C2394"/>
  <c r="B2394"/>
  <c r="A2394"/>
  <c r="K2393"/>
  <c r="J2393"/>
  <c r="I2393"/>
  <c r="H2393"/>
  <c r="G2393"/>
  <c r="F2393"/>
  <c r="E2393"/>
  <c r="D2393"/>
  <c r="C2393"/>
  <c r="B2393"/>
  <c r="A2393"/>
  <c r="K2392"/>
  <c r="J2392"/>
  <c r="I2392"/>
  <c r="H2392"/>
  <c r="G2392"/>
  <c r="F2392"/>
  <c r="E2392"/>
  <c r="D2392"/>
  <c r="C2392"/>
  <c r="B2392"/>
  <c r="A2392"/>
  <c r="K2391"/>
  <c r="J2391"/>
  <c r="I2391"/>
  <c r="H2391"/>
  <c r="G2391"/>
  <c r="F2391"/>
  <c r="E2391"/>
  <c r="D2391"/>
  <c r="C2391"/>
  <c r="B2391"/>
  <c r="A2391"/>
  <c r="K2390"/>
  <c r="J2390"/>
  <c r="I2390"/>
  <c r="H2390"/>
  <c r="G2390"/>
  <c r="F2390"/>
  <c r="E2390"/>
  <c r="D2390"/>
  <c r="C2390"/>
  <c r="B2390"/>
  <c r="A2390"/>
  <c r="K2389"/>
  <c r="J2389"/>
  <c r="I2389"/>
  <c r="H2389"/>
  <c r="G2389"/>
  <c r="F2389"/>
  <c r="E2389"/>
  <c r="D2389"/>
  <c r="C2389"/>
  <c r="B2389"/>
  <c r="A2389"/>
  <c r="K2388"/>
  <c r="J2388"/>
  <c r="I2388"/>
  <c r="H2388"/>
  <c r="G2388"/>
  <c r="F2388"/>
  <c r="E2388"/>
  <c r="D2388"/>
  <c r="C2388"/>
  <c r="B2388"/>
  <c r="A2388"/>
  <c r="K2387"/>
  <c r="J2387"/>
  <c r="I2387"/>
  <c r="H2387"/>
  <c r="G2387"/>
  <c r="F2387"/>
  <c r="E2387"/>
  <c r="D2387"/>
  <c r="C2387"/>
  <c r="B2387"/>
  <c r="A2387"/>
  <c r="K2386"/>
  <c r="J2386"/>
  <c r="I2386"/>
  <c r="H2386"/>
  <c r="G2386"/>
  <c r="F2386"/>
  <c r="E2386"/>
  <c r="D2386"/>
  <c r="C2386"/>
  <c r="B2386"/>
  <c r="A2386"/>
  <c r="K2385"/>
  <c r="J2385"/>
  <c r="I2385"/>
  <c r="H2385"/>
  <c r="G2385"/>
  <c r="F2385"/>
  <c r="E2385"/>
  <c r="D2385"/>
  <c r="C2385"/>
  <c r="B2385"/>
  <c r="A2385"/>
  <c r="K2384"/>
  <c r="J2384"/>
  <c r="I2384"/>
  <c r="H2384"/>
  <c r="G2384"/>
  <c r="F2384"/>
  <c r="E2384"/>
  <c r="D2384"/>
  <c r="C2384"/>
  <c r="B2384"/>
  <c r="A2384"/>
  <c r="K2383"/>
  <c r="J2383"/>
  <c r="I2383"/>
  <c r="H2383"/>
  <c r="G2383"/>
  <c r="F2383"/>
  <c r="E2383"/>
  <c r="D2383"/>
  <c r="C2383"/>
  <c r="B2383"/>
  <c r="A2383"/>
  <c r="K2382"/>
  <c r="J2382"/>
  <c r="I2382"/>
  <c r="H2382"/>
  <c r="G2382"/>
  <c r="F2382"/>
  <c r="E2382"/>
  <c r="D2382"/>
  <c r="C2382"/>
  <c r="B2382"/>
  <c r="A2382"/>
  <c r="K2381"/>
  <c r="J2381"/>
  <c r="I2381"/>
  <c r="H2381"/>
  <c r="G2381"/>
  <c r="F2381"/>
  <c r="E2381"/>
  <c r="D2381"/>
  <c r="C2381"/>
  <c r="B2381"/>
  <c r="A2381"/>
  <c r="K2380"/>
  <c r="J2380"/>
  <c r="I2380"/>
  <c r="H2380"/>
  <c r="G2380"/>
  <c r="F2380"/>
  <c r="E2380"/>
  <c r="D2380"/>
  <c r="C2380"/>
  <c r="B2380"/>
  <c r="A2380"/>
  <c r="K2379"/>
  <c r="J2379"/>
  <c r="I2379"/>
  <c r="H2379"/>
  <c r="G2379"/>
  <c r="F2379"/>
  <c r="E2379"/>
  <c r="D2379"/>
  <c r="C2379"/>
  <c r="B2379"/>
  <c r="A2379"/>
  <c r="K2378"/>
  <c r="J2378"/>
  <c r="I2378"/>
  <c r="H2378"/>
  <c r="G2378"/>
  <c r="F2378"/>
  <c r="E2378"/>
  <c r="D2378"/>
  <c r="C2378"/>
  <c r="B2378"/>
  <c r="A2378"/>
  <c r="K2377"/>
  <c r="J2377"/>
  <c r="I2377"/>
  <c r="H2377"/>
  <c r="G2377"/>
  <c r="F2377"/>
  <c r="E2377"/>
  <c r="D2377"/>
  <c r="C2377"/>
  <c r="B2377"/>
  <c r="A2377"/>
  <c r="K2376"/>
  <c r="J2376"/>
  <c r="I2376"/>
  <c r="H2376"/>
  <c r="G2376"/>
  <c r="F2376"/>
  <c r="E2376"/>
  <c r="D2376"/>
  <c r="C2376"/>
  <c r="B2376"/>
  <c r="A2376"/>
  <c r="K2375"/>
  <c r="J2375"/>
  <c r="I2375"/>
  <c r="H2375"/>
  <c r="G2375"/>
  <c r="F2375"/>
  <c r="E2375"/>
  <c r="D2375"/>
  <c r="C2375"/>
  <c r="B2375"/>
  <c r="A2375"/>
  <c r="K2374"/>
  <c r="J2374"/>
  <c r="I2374"/>
  <c r="H2374"/>
  <c r="G2374"/>
  <c r="F2374"/>
  <c r="E2374"/>
  <c r="D2374"/>
  <c r="C2374"/>
  <c r="B2374"/>
  <c r="A2374"/>
  <c r="K2373"/>
  <c r="J2373"/>
  <c r="I2373"/>
  <c r="H2373"/>
  <c r="G2373"/>
  <c r="F2373"/>
  <c r="E2373"/>
  <c r="D2373"/>
  <c r="C2373"/>
  <c r="B2373"/>
  <c r="A2373"/>
  <c r="K2372"/>
  <c r="J2372"/>
  <c r="I2372"/>
  <c r="H2372"/>
  <c r="G2372"/>
  <c r="F2372"/>
  <c r="E2372"/>
  <c r="D2372"/>
  <c r="C2372"/>
  <c r="B2372"/>
  <c r="A2372"/>
  <c r="K2371"/>
  <c r="J2371"/>
  <c r="I2371"/>
  <c r="H2371"/>
  <c r="G2371"/>
  <c r="F2371"/>
  <c r="E2371"/>
  <c r="D2371"/>
  <c r="C2371"/>
  <c r="B2371"/>
  <c r="A2371"/>
  <c r="K2370"/>
  <c r="J2370"/>
  <c r="I2370"/>
  <c r="H2370"/>
  <c r="G2370"/>
  <c r="F2370"/>
  <c r="E2370"/>
  <c r="D2370"/>
  <c r="C2370"/>
  <c r="B2370"/>
  <c r="A2370"/>
  <c r="K2369"/>
  <c r="J2369"/>
  <c r="I2369"/>
  <c r="H2369"/>
  <c r="G2369"/>
  <c r="F2369"/>
  <c r="E2369"/>
  <c r="D2369"/>
  <c r="C2369"/>
  <c r="B2369"/>
  <c r="A2369"/>
  <c r="K2368"/>
  <c r="J2368"/>
  <c r="I2368"/>
  <c r="H2368"/>
  <c r="G2368"/>
  <c r="F2368"/>
  <c r="E2368"/>
  <c r="D2368"/>
  <c r="C2368"/>
  <c r="B2368"/>
  <c r="A2368"/>
  <c r="K2367"/>
  <c r="J2367"/>
  <c r="I2367"/>
  <c r="H2367"/>
  <c r="G2367"/>
  <c r="F2367"/>
  <c r="E2367"/>
  <c r="D2367"/>
  <c r="C2367"/>
  <c r="B2367"/>
  <c r="A2367"/>
  <c r="K2366"/>
  <c r="J2366"/>
  <c r="I2366"/>
  <c r="H2366"/>
  <c r="G2366"/>
  <c r="F2366"/>
  <c r="E2366"/>
  <c r="D2366"/>
  <c r="C2366"/>
  <c r="B2366"/>
  <c r="A2366"/>
  <c r="K2365"/>
  <c r="J2365"/>
  <c r="I2365"/>
  <c r="H2365"/>
  <c r="G2365"/>
  <c r="F2365"/>
  <c r="E2365"/>
  <c r="D2365"/>
  <c r="C2365"/>
  <c r="B2365"/>
  <c r="A2365"/>
  <c r="K2364"/>
  <c r="J2364"/>
  <c r="I2364"/>
  <c r="H2364"/>
  <c r="G2364"/>
  <c r="F2364"/>
  <c r="E2364"/>
  <c r="D2364"/>
  <c r="C2364"/>
  <c r="B2364"/>
  <c r="A2364"/>
  <c r="K2363"/>
  <c r="J2363"/>
  <c r="I2363"/>
  <c r="H2363"/>
  <c r="G2363"/>
  <c r="F2363"/>
  <c r="E2363"/>
  <c r="D2363"/>
  <c r="C2363"/>
  <c r="B2363"/>
  <c r="A2363"/>
  <c r="K2362"/>
  <c r="J2362"/>
  <c r="I2362"/>
  <c r="H2362"/>
  <c r="G2362"/>
  <c r="F2362"/>
  <c r="E2362"/>
  <c r="D2362"/>
  <c r="C2362"/>
  <c r="B2362"/>
  <c r="A2362"/>
  <c r="K2361"/>
  <c r="J2361"/>
  <c r="I2361"/>
  <c r="H2361"/>
  <c r="G2361"/>
  <c r="F2361"/>
  <c r="E2361"/>
  <c r="D2361"/>
  <c r="C2361"/>
  <c r="B2361"/>
  <c r="A2361"/>
  <c r="K2360"/>
  <c r="J2360"/>
  <c r="I2360"/>
  <c r="H2360"/>
  <c r="G2360"/>
  <c r="F2360"/>
  <c r="E2360"/>
  <c r="D2360"/>
  <c r="C2360"/>
  <c r="B2360"/>
  <c r="A2360"/>
  <c r="K2359"/>
  <c r="J2359"/>
  <c r="I2359"/>
  <c r="H2359"/>
  <c r="G2359"/>
  <c r="F2359"/>
  <c r="E2359"/>
  <c r="D2359"/>
  <c r="C2359"/>
  <c r="B2359"/>
  <c r="A2359"/>
  <c r="K2358"/>
  <c r="J2358"/>
  <c r="I2358"/>
  <c r="H2358"/>
  <c r="G2358"/>
  <c r="F2358"/>
  <c r="E2358"/>
  <c r="D2358"/>
  <c r="C2358"/>
  <c r="B2358"/>
  <c r="A2358"/>
  <c r="K2357"/>
  <c r="J2357"/>
  <c r="I2357"/>
  <c r="H2357"/>
  <c r="G2357"/>
  <c r="F2357"/>
  <c r="E2357"/>
  <c r="D2357"/>
  <c r="C2357"/>
  <c r="B2357"/>
  <c r="A2357"/>
  <c r="K2356"/>
  <c r="J2356"/>
  <c r="I2356"/>
  <c r="H2356"/>
  <c r="G2356"/>
  <c r="F2356"/>
  <c r="E2356"/>
  <c r="D2356"/>
  <c r="C2356"/>
  <c r="B2356"/>
  <c r="A2356"/>
  <c r="K2355"/>
  <c r="J2355"/>
  <c r="I2355"/>
  <c r="H2355"/>
  <c r="G2355"/>
  <c r="F2355"/>
  <c r="E2355"/>
  <c r="D2355"/>
  <c r="C2355"/>
  <c r="B2355"/>
  <c r="A2355"/>
  <c r="K2354"/>
  <c r="J2354"/>
  <c r="I2354"/>
  <c r="H2354"/>
  <c r="G2354"/>
  <c r="F2354"/>
  <c r="E2354"/>
  <c r="D2354"/>
  <c r="C2354"/>
  <c r="B2354"/>
  <c r="A2354"/>
  <c r="K2353"/>
  <c r="J2353"/>
  <c r="I2353"/>
  <c r="H2353"/>
  <c r="G2353"/>
  <c r="F2353"/>
  <c r="E2353"/>
  <c r="D2353"/>
  <c r="C2353"/>
  <c r="B2353"/>
  <c r="A2353"/>
  <c r="K2352"/>
  <c r="J2352"/>
  <c r="I2352"/>
  <c r="H2352"/>
  <c r="G2352"/>
  <c r="F2352"/>
  <c r="E2352"/>
  <c r="D2352"/>
  <c r="C2352"/>
  <c r="B2352"/>
  <c r="A2352"/>
  <c r="K2351"/>
  <c r="J2351"/>
  <c r="I2351"/>
  <c r="H2351"/>
  <c r="G2351"/>
  <c r="F2351"/>
  <c r="E2351"/>
  <c r="D2351"/>
  <c r="C2351"/>
  <c r="B2351"/>
  <c r="A2351"/>
  <c r="K2350"/>
  <c r="J2350"/>
  <c r="I2350"/>
  <c r="H2350"/>
  <c r="G2350"/>
  <c r="F2350"/>
  <c r="E2350"/>
  <c r="D2350"/>
  <c r="C2350"/>
  <c r="B2350"/>
  <c r="A2350"/>
  <c r="K2349"/>
  <c r="J2349"/>
  <c r="I2349"/>
  <c r="H2349"/>
  <c r="G2349"/>
  <c r="F2349"/>
  <c r="E2349"/>
  <c r="D2349"/>
  <c r="C2349"/>
  <c r="B2349"/>
  <c r="A2349"/>
  <c r="K2348"/>
  <c r="J2348"/>
  <c r="I2348"/>
  <c r="H2348"/>
  <c r="G2348"/>
  <c r="F2348"/>
  <c r="E2348"/>
  <c r="D2348"/>
  <c r="C2348"/>
  <c r="B2348"/>
  <c r="A2348"/>
  <c r="K2347"/>
  <c r="J2347"/>
  <c r="I2347"/>
  <c r="H2347"/>
  <c r="G2347"/>
  <c r="F2347"/>
  <c r="E2347"/>
  <c r="D2347"/>
  <c r="C2347"/>
  <c r="B2347"/>
  <c r="A2347"/>
  <c r="K2346"/>
  <c r="J2346"/>
  <c r="I2346"/>
  <c r="H2346"/>
  <c r="G2346"/>
  <c r="F2346"/>
  <c r="E2346"/>
  <c r="D2346"/>
  <c r="C2346"/>
  <c r="B2346"/>
  <c r="A2346"/>
  <c r="K2345"/>
  <c r="J2345"/>
  <c r="I2345"/>
  <c r="H2345"/>
  <c r="G2345"/>
  <c r="F2345"/>
  <c r="E2345"/>
  <c r="D2345"/>
  <c r="C2345"/>
  <c r="B2345"/>
  <c r="A2345"/>
  <c r="K2344"/>
  <c r="J2344"/>
  <c r="I2344"/>
  <c r="H2344"/>
  <c r="G2344"/>
  <c r="F2344"/>
  <c r="E2344"/>
  <c r="D2344"/>
  <c r="C2344"/>
  <c r="B2344"/>
  <c r="A2344"/>
  <c r="K2343"/>
  <c r="J2343"/>
  <c r="I2343"/>
  <c r="H2343"/>
  <c r="G2343"/>
  <c r="F2343"/>
  <c r="E2343"/>
  <c r="D2343"/>
  <c r="C2343"/>
  <c r="B2343"/>
  <c r="A2343"/>
  <c r="K2342"/>
  <c r="J2342"/>
  <c r="I2342"/>
  <c r="H2342"/>
  <c r="G2342"/>
  <c r="F2342"/>
  <c r="E2342"/>
  <c r="D2342"/>
  <c r="C2342"/>
  <c r="B2342"/>
  <c r="A2342"/>
  <c r="K2341"/>
  <c r="J2341"/>
  <c r="I2341"/>
  <c r="H2341"/>
  <c r="G2341"/>
  <c r="F2341"/>
  <c r="E2341"/>
  <c r="D2341"/>
  <c r="C2341"/>
  <c r="B2341"/>
  <c r="A2341"/>
  <c r="K2340"/>
  <c r="J2340"/>
  <c r="I2340"/>
  <c r="H2340"/>
  <c r="G2340"/>
  <c r="F2340"/>
  <c r="E2340"/>
  <c r="D2340"/>
  <c r="C2340"/>
  <c r="B2340"/>
  <c r="A2340"/>
  <c r="K2339"/>
  <c r="J2339"/>
  <c r="I2339"/>
  <c r="H2339"/>
  <c r="G2339"/>
  <c r="F2339"/>
  <c r="E2339"/>
  <c r="D2339"/>
  <c r="C2339"/>
  <c r="B2339"/>
  <c r="A2339"/>
  <c r="K2338"/>
  <c r="J2338"/>
  <c r="I2338"/>
  <c r="H2338"/>
  <c r="G2338"/>
  <c r="F2338"/>
  <c r="E2338"/>
  <c r="D2338"/>
  <c r="C2338"/>
  <c r="B2338"/>
  <c r="A2338"/>
  <c r="K2337"/>
  <c r="J2337"/>
  <c r="I2337"/>
  <c r="H2337"/>
  <c r="G2337"/>
  <c r="F2337"/>
  <c r="E2337"/>
  <c r="D2337"/>
  <c r="C2337"/>
  <c r="B2337"/>
  <c r="A2337"/>
  <c r="K2336"/>
  <c r="J2336"/>
  <c r="I2336"/>
  <c r="H2336"/>
  <c r="G2336"/>
  <c r="F2336"/>
  <c r="E2336"/>
  <c r="D2336"/>
  <c r="C2336"/>
  <c r="B2336"/>
  <c r="A2336"/>
  <c r="K2335"/>
  <c r="J2335"/>
  <c r="I2335"/>
  <c r="H2335"/>
  <c r="G2335"/>
  <c r="F2335"/>
  <c r="E2335"/>
  <c r="D2335"/>
  <c r="C2335"/>
  <c r="B2335"/>
  <c r="A2335"/>
  <c r="K2334"/>
  <c r="J2334"/>
  <c r="I2334"/>
  <c r="H2334"/>
  <c r="G2334"/>
  <c r="F2334"/>
  <c r="E2334"/>
  <c r="D2334"/>
  <c r="C2334"/>
  <c r="B2334"/>
  <c r="A2334"/>
  <c r="K2333"/>
  <c r="J2333"/>
  <c r="I2333"/>
  <c r="H2333"/>
  <c r="G2333"/>
  <c r="F2333"/>
  <c r="E2333"/>
  <c r="D2333"/>
  <c r="C2333"/>
  <c r="B2333"/>
  <c r="A2333"/>
  <c r="K2332"/>
  <c r="J2332"/>
  <c r="I2332"/>
  <c r="H2332"/>
  <c r="G2332"/>
  <c r="F2332"/>
  <c r="E2332"/>
  <c r="D2332"/>
  <c r="C2332"/>
  <c r="B2332"/>
  <c r="A2332"/>
  <c r="K2331"/>
  <c r="J2331"/>
  <c r="I2331"/>
  <c r="H2331"/>
  <c r="G2331"/>
  <c r="F2331"/>
  <c r="E2331"/>
  <c r="D2331"/>
  <c r="C2331"/>
  <c r="B2331"/>
  <c r="A2331"/>
  <c r="K2330"/>
  <c r="J2330"/>
  <c r="I2330"/>
  <c r="H2330"/>
  <c r="G2330"/>
  <c r="F2330"/>
  <c r="E2330"/>
  <c r="D2330"/>
  <c r="C2330"/>
  <c r="B2330"/>
  <c r="A2330"/>
  <c r="K2329"/>
  <c r="J2329"/>
  <c r="I2329"/>
  <c r="H2329"/>
  <c r="G2329"/>
  <c r="F2329"/>
  <c r="E2329"/>
  <c r="D2329"/>
  <c r="C2329"/>
  <c r="B2329"/>
  <c r="A2329"/>
  <c r="K2328"/>
  <c r="J2328"/>
  <c r="I2328"/>
  <c r="H2328"/>
  <c r="G2328"/>
  <c r="F2328"/>
  <c r="E2328"/>
  <c r="D2328"/>
  <c r="C2328"/>
  <c r="B2328"/>
  <c r="A2328"/>
  <c r="K2327"/>
  <c r="J2327"/>
  <c r="I2327"/>
  <c r="H2327"/>
  <c r="G2327"/>
  <c r="F2327"/>
  <c r="E2327"/>
  <c r="D2327"/>
  <c r="C2327"/>
  <c r="B2327"/>
  <c r="A2327"/>
  <c r="K2326"/>
  <c r="J2326"/>
  <c r="I2326"/>
  <c r="H2326"/>
  <c r="G2326"/>
  <c r="F2326"/>
  <c r="E2326"/>
  <c r="D2326"/>
  <c r="C2326"/>
  <c r="B2326"/>
  <c r="A2326"/>
  <c r="K2325"/>
  <c r="J2325"/>
  <c r="I2325"/>
  <c r="H2325"/>
  <c r="G2325"/>
  <c r="F2325"/>
  <c r="E2325"/>
  <c r="D2325"/>
  <c r="C2325"/>
  <c r="B2325"/>
  <c r="A2325"/>
  <c r="K2324"/>
  <c r="J2324"/>
  <c r="I2324"/>
  <c r="H2324"/>
  <c r="G2324"/>
  <c r="F2324"/>
  <c r="E2324"/>
  <c r="D2324"/>
  <c r="C2324"/>
  <c r="B2324"/>
  <c r="A2324"/>
  <c r="K2323"/>
  <c r="J2323"/>
  <c r="I2323"/>
  <c r="H2323"/>
  <c r="G2323"/>
  <c r="F2323"/>
  <c r="E2323"/>
  <c r="D2323"/>
  <c r="C2323"/>
  <c r="B2323"/>
  <c r="A2323"/>
  <c r="K2322"/>
  <c r="J2322"/>
  <c r="I2322"/>
  <c r="H2322"/>
  <c r="G2322"/>
  <c r="F2322"/>
  <c r="E2322"/>
  <c r="D2322"/>
  <c r="C2322"/>
  <c r="B2322"/>
  <c r="A2322"/>
  <c r="K2321"/>
  <c r="J2321"/>
  <c r="I2321"/>
  <c r="H2321"/>
  <c r="G2321"/>
  <c r="F2321"/>
  <c r="E2321"/>
  <c r="D2321"/>
  <c r="C2321"/>
  <c r="B2321"/>
  <c r="A2321"/>
  <c r="K2320"/>
  <c r="J2320"/>
  <c r="I2320"/>
  <c r="H2320"/>
  <c r="G2320"/>
  <c r="F2320"/>
  <c r="E2320"/>
  <c r="D2320"/>
  <c r="C2320"/>
  <c r="B2320"/>
  <c r="A2320"/>
  <c r="K2319"/>
  <c r="J2319"/>
  <c r="I2319"/>
  <c r="H2319"/>
  <c r="G2319"/>
  <c r="F2319"/>
  <c r="E2319"/>
  <c r="D2319"/>
  <c r="C2319"/>
  <c r="B2319"/>
  <c r="A2319"/>
  <c r="K2318"/>
  <c r="J2318"/>
  <c r="I2318"/>
  <c r="H2318"/>
  <c r="G2318"/>
  <c r="F2318"/>
  <c r="E2318"/>
  <c r="D2318"/>
  <c r="C2318"/>
  <c r="B2318"/>
  <c r="A2318"/>
  <c r="K2317"/>
  <c r="J2317"/>
  <c r="I2317"/>
  <c r="H2317"/>
  <c r="G2317"/>
  <c r="F2317"/>
  <c r="E2317"/>
  <c r="D2317"/>
  <c r="C2317"/>
  <c r="B2317"/>
  <c r="A2317"/>
  <c r="K2316"/>
  <c r="J2316"/>
  <c r="I2316"/>
  <c r="H2316"/>
  <c r="G2316"/>
  <c r="F2316"/>
  <c r="E2316"/>
  <c r="D2316"/>
  <c r="C2316"/>
  <c r="B2316"/>
  <c r="A2316"/>
  <c r="K2315"/>
  <c r="J2315"/>
  <c r="I2315"/>
  <c r="H2315"/>
  <c r="G2315"/>
  <c r="F2315"/>
  <c r="E2315"/>
  <c r="D2315"/>
  <c r="C2315"/>
  <c r="B2315"/>
  <c r="A2315"/>
  <c r="K2314"/>
  <c r="J2314"/>
  <c r="I2314"/>
  <c r="H2314"/>
  <c r="G2314"/>
  <c r="F2314"/>
  <c r="E2314"/>
  <c r="D2314"/>
  <c r="C2314"/>
  <c r="B2314"/>
  <c r="A2314"/>
  <c r="K2313"/>
  <c r="J2313"/>
  <c r="I2313"/>
  <c r="H2313"/>
  <c r="G2313"/>
  <c r="F2313"/>
  <c r="E2313"/>
  <c r="D2313"/>
  <c r="C2313"/>
  <c r="B2313"/>
  <c r="A2313"/>
  <c r="K2312"/>
  <c r="J2312"/>
  <c r="I2312"/>
  <c r="H2312"/>
  <c r="G2312"/>
  <c r="F2312"/>
  <c r="E2312"/>
  <c r="D2312"/>
  <c r="C2312"/>
  <c r="B2312"/>
  <c r="A2312"/>
  <c r="K2311"/>
  <c r="J2311"/>
  <c r="I2311"/>
  <c r="H2311"/>
  <c r="G2311"/>
  <c r="F2311"/>
  <c r="E2311"/>
  <c r="D2311"/>
  <c r="C2311"/>
  <c r="B2311"/>
  <c r="A2311"/>
  <c r="K2310"/>
  <c r="J2310"/>
  <c r="I2310"/>
  <c r="H2310"/>
  <c r="G2310"/>
  <c r="F2310"/>
  <c r="E2310"/>
  <c r="D2310"/>
  <c r="C2310"/>
  <c r="B2310"/>
  <c r="A2310"/>
  <c r="K2309"/>
  <c r="J2309"/>
  <c r="I2309"/>
  <c r="H2309"/>
  <c r="G2309"/>
  <c r="F2309"/>
  <c r="E2309"/>
  <c r="D2309"/>
  <c r="C2309"/>
  <c r="B2309"/>
  <c r="A2309"/>
  <c r="K2308"/>
  <c r="J2308"/>
  <c r="I2308"/>
  <c r="H2308"/>
  <c r="G2308"/>
  <c r="F2308"/>
  <c r="E2308"/>
  <c r="D2308"/>
  <c r="C2308"/>
  <c r="B2308"/>
  <c r="A2308"/>
  <c r="K2307"/>
  <c r="J2307"/>
  <c r="I2307"/>
  <c r="H2307"/>
  <c r="G2307"/>
  <c r="F2307"/>
  <c r="E2307"/>
  <c r="D2307"/>
  <c r="C2307"/>
  <c r="B2307"/>
  <c r="A2307"/>
  <c r="K2306"/>
  <c r="J2306"/>
  <c r="I2306"/>
  <c r="H2306"/>
  <c r="G2306"/>
  <c r="F2306"/>
  <c r="E2306"/>
  <c r="D2306"/>
  <c r="C2306"/>
  <c r="B2306"/>
  <c r="A2306"/>
  <c r="K2305"/>
  <c r="J2305"/>
  <c r="I2305"/>
  <c r="H2305"/>
  <c r="G2305"/>
  <c r="F2305"/>
  <c r="E2305"/>
  <c r="D2305"/>
  <c r="C2305"/>
  <c r="B2305"/>
  <c r="A2305"/>
  <c r="K2304"/>
  <c r="J2304"/>
  <c r="I2304"/>
  <c r="H2304"/>
  <c r="G2304"/>
  <c r="F2304"/>
  <c r="E2304"/>
  <c r="D2304"/>
  <c r="C2304"/>
  <c r="B2304"/>
  <c r="A2304"/>
  <c r="K2303"/>
  <c r="J2303"/>
  <c r="I2303"/>
  <c r="H2303"/>
  <c r="G2303"/>
  <c r="F2303"/>
  <c r="E2303"/>
  <c r="D2303"/>
  <c r="C2303"/>
  <c r="B2303"/>
  <c r="A2303"/>
  <c r="K2302"/>
  <c r="J2302"/>
  <c r="I2302"/>
  <c r="H2302"/>
  <c r="G2302"/>
  <c r="F2302"/>
  <c r="E2302"/>
  <c r="D2302"/>
  <c r="C2302"/>
  <c r="B2302"/>
  <c r="A2302"/>
  <c r="K2301"/>
  <c r="J2301"/>
  <c r="I2301"/>
  <c r="H2301"/>
  <c r="G2301"/>
  <c r="F2301"/>
  <c r="E2301"/>
  <c r="D2301"/>
  <c r="C2301"/>
  <c r="B2301"/>
  <c r="A2301"/>
  <c r="K2300"/>
  <c r="J2300"/>
  <c r="I2300"/>
  <c r="H2300"/>
  <c r="G2300"/>
  <c r="F2300"/>
  <c r="E2300"/>
  <c r="D2300"/>
  <c r="C2300"/>
  <c r="B2300"/>
  <c r="A2300"/>
  <c r="K2299"/>
  <c r="J2299"/>
  <c r="I2299"/>
  <c r="H2299"/>
  <c r="G2299"/>
  <c r="F2299"/>
  <c r="E2299"/>
  <c r="D2299"/>
  <c r="C2299"/>
  <c r="B2299"/>
  <c r="A2299"/>
  <c r="K2298"/>
  <c r="J2298"/>
  <c r="I2298"/>
  <c r="H2298"/>
  <c r="G2298"/>
  <c r="F2298"/>
  <c r="E2298"/>
  <c r="D2298"/>
  <c r="C2298"/>
  <c r="B2298"/>
  <c r="A2298"/>
  <c r="K2297"/>
  <c r="J2297"/>
  <c r="I2297"/>
  <c r="H2297"/>
  <c r="G2297"/>
  <c r="F2297"/>
  <c r="E2297"/>
  <c r="D2297"/>
  <c r="C2297"/>
  <c r="B2297"/>
  <c r="A2297"/>
  <c r="K2296"/>
  <c r="J2296"/>
  <c r="I2296"/>
  <c r="H2296"/>
  <c r="G2296"/>
  <c r="F2296"/>
  <c r="E2296"/>
  <c r="D2296"/>
  <c r="C2296"/>
  <c r="B2296"/>
  <c r="A2296"/>
  <c r="K2295"/>
  <c r="J2295"/>
  <c r="I2295"/>
  <c r="H2295"/>
  <c r="G2295"/>
  <c r="F2295"/>
  <c r="E2295"/>
  <c r="D2295"/>
  <c r="C2295"/>
  <c r="B2295"/>
  <c r="A2295"/>
  <c r="K2294"/>
  <c r="J2294"/>
  <c r="I2294"/>
  <c r="H2294"/>
  <c r="G2294"/>
  <c r="F2294"/>
  <c r="E2294"/>
  <c r="D2294"/>
  <c r="C2294"/>
  <c r="B2294"/>
  <c r="A2294"/>
  <c r="K2293"/>
  <c r="J2293"/>
  <c r="I2293"/>
  <c r="H2293"/>
  <c r="G2293"/>
  <c r="F2293"/>
  <c r="E2293"/>
  <c r="D2293"/>
  <c r="C2293"/>
  <c r="B2293"/>
  <c r="A2293"/>
  <c r="K2292"/>
  <c r="J2292"/>
  <c r="I2292"/>
  <c r="H2292"/>
  <c r="G2292"/>
  <c r="F2292"/>
  <c r="E2292"/>
  <c r="D2292"/>
  <c r="C2292"/>
  <c r="B2292"/>
  <c r="A2292"/>
  <c r="K2291"/>
  <c r="J2291"/>
  <c r="I2291"/>
  <c r="H2291"/>
  <c r="G2291"/>
  <c r="F2291"/>
  <c r="E2291"/>
  <c r="D2291"/>
  <c r="C2291"/>
  <c r="B2291"/>
  <c r="A2291"/>
  <c r="K2290"/>
  <c r="J2290"/>
  <c r="I2290"/>
  <c r="H2290"/>
  <c r="G2290"/>
  <c r="F2290"/>
  <c r="E2290"/>
  <c r="D2290"/>
  <c r="C2290"/>
  <c r="B2290"/>
  <c r="A2290"/>
  <c r="K2289"/>
  <c r="J2289"/>
  <c r="I2289"/>
  <c r="H2289"/>
  <c r="G2289"/>
  <c r="F2289"/>
  <c r="E2289"/>
  <c r="D2289"/>
  <c r="C2289"/>
  <c r="B2289"/>
  <c r="A2289"/>
  <c r="K2288"/>
  <c r="J2288"/>
  <c r="I2288"/>
  <c r="H2288"/>
  <c r="G2288"/>
  <c r="F2288"/>
  <c r="E2288"/>
  <c r="D2288"/>
  <c r="C2288"/>
  <c r="B2288"/>
  <c r="A2288"/>
  <c r="K2287"/>
  <c r="J2287"/>
  <c r="I2287"/>
  <c r="H2287"/>
  <c r="G2287"/>
  <c r="F2287"/>
  <c r="E2287"/>
  <c r="D2287"/>
  <c r="C2287"/>
  <c r="B2287"/>
  <c r="A2287"/>
  <c r="K2286"/>
  <c r="J2286"/>
  <c r="I2286"/>
  <c r="H2286"/>
  <c r="G2286"/>
  <c r="F2286"/>
  <c r="E2286"/>
  <c r="D2286"/>
  <c r="C2286"/>
  <c r="B2286"/>
  <c r="A2286"/>
  <c r="K2285"/>
  <c r="J2285"/>
  <c r="I2285"/>
  <c r="H2285"/>
  <c r="G2285"/>
  <c r="F2285"/>
  <c r="E2285"/>
  <c r="D2285"/>
  <c r="C2285"/>
  <c r="B2285"/>
  <c r="A2285"/>
  <c r="K2284"/>
  <c r="J2284"/>
  <c r="I2284"/>
  <c r="H2284"/>
  <c r="G2284"/>
  <c r="F2284"/>
  <c r="E2284"/>
  <c r="D2284"/>
  <c r="C2284"/>
  <c r="B2284"/>
  <c r="A2284"/>
  <c r="K2283"/>
  <c r="J2283"/>
  <c r="I2283"/>
  <c r="H2283"/>
  <c r="G2283"/>
  <c r="F2283"/>
  <c r="E2283"/>
  <c r="D2283"/>
  <c r="C2283"/>
  <c r="B2283"/>
  <c r="A2283"/>
  <c r="K2282"/>
  <c r="J2282"/>
  <c r="I2282"/>
  <c r="H2282"/>
  <c r="G2282"/>
  <c r="F2282"/>
  <c r="E2282"/>
  <c r="D2282"/>
  <c r="C2282"/>
  <c r="B2282"/>
  <c r="A2282"/>
  <c r="K2281"/>
  <c r="J2281"/>
  <c r="I2281"/>
  <c r="H2281"/>
  <c r="G2281"/>
  <c r="F2281"/>
  <c r="E2281"/>
  <c r="D2281"/>
  <c r="C2281"/>
  <c r="B2281"/>
  <c r="A2281"/>
  <c r="K2280"/>
  <c r="J2280"/>
  <c r="I2280"/>
  <c r="H2280"/>
  <c r="G2280"/>
  <c r="F2280"/>
  <c r="E2280"/>
  <c r="D2280"/>
  <c r="C2280"/>
  <c r="B2280"/>
  <c r="A2280"/>
  <c r="K2279"/>
  <c r="J2279"/>
  <c r="I2279"/>
  <c r="H2279"/>
  <c r="G2279"/>
  <c r="F2279"/>
  <c r="E2279"/>
  <c r="D2279"/>
  <c r="C2279"/>
  <c r="B2279"/>
  <c r="A2279"/>
  <c r="K2278"/>
  <c r="J2278"/>
  <c r="I2278"/>
  <c r="H2278"/>
  <c r="G2278"/>
  <c r="F2278"/>
  <c r="E2278"/>
  <c r="D2278"/>
  <c r="C2278"/>
  <c r="B2278"/>
  <c r="A2278"/>
  <c r="K2277"/>
  <c r="J2277"/>
  <c r="I2277"/>
  <c r="H2277"/>
  <c r="G2277"/>
  <c r="F2277"/>
  <c r="E2277"/>
  <c r="D2277"/>
  <c r="C2277"/>
  <c r="B2277"/>
  <c r="A2277"/>
  <c r="K2276"/>
  <c r="J2276"/>
  <c r="I2276"/>
  <c r="H2276"/>
  <c r="G2276"/>
  <c r="F2276"/>
  <c r="E2276"/>
  <c r="D2276"/>
  <c r="C2276"/>
  <c r="B2276"/>
  <c r="A2276"/>
  <c r="K2275"/>
  <c r="J2275"/>
  <c r="I2275"/>
  <c r="H2275"/>
  <c r="G2275"/>
  <c r="F2275"/>
  <c r="E2275"/>
  <c r="D2275"/>
  <c r="C2275"/>
  <c r="B2275"/>
  <c r="A2275"/>
  <c r="K2274"/>
  <c r="J2274"/>
  <c r="I2274"/>
  <c r="H2274"/>
  <c r="G2274"/>
  <c r="F2274"/>
  <c r="E2274"/>
  <c r="D2274"/>
  <c r="C2274"/>
  <c r="B2274"/>
  <c r="A2274"/>
  <c r="K2273"/>
  <c r="J2273"/>
  <c r="I2273"/>
  <c r="H2273"/>
  <c r="G2273"/>
  <c r="F2273"/>
  <c r="E2273"/>
  <c r="D2273"/>
  <c r="C2273"/>
  <c r="B2273"/>
  <c r="A2273"/>
  <c r="K2272"/>
  <c r="J2272"/>
  <c r="I2272"/>
  <c r="H2272"/>
  <c r="G2272"/>
  <c r="F2272"/>
  <c r="E2272"/>
  <c r="D2272"/>
  <c r="C2272"/>
  <c r="B2272"/>
  <c r="A2272"/>
  <c r="K2271"/>
  <c r="J2271"/>
  <c r="I2271"/>
  <c r="H2271"/>
  <c r="G2271"/>
  <c r="F2271"/>
  <c r="E2271"/>
  <c r="D2271"/>
  <c r="C2271"/>
  <c r="B2271"/>
  <c r="A2271"/>
  <c r="K2270"/>
  <c r="J2270"/>
  <c r="I2270"/>
  <c r="H2270"/>
  <c r="G2270"/>
  <c r="F2270"/>
  <c r="E2270"/>
  <c r="D2270"/>
  <c r="C2270"/>
  <c r="B2270"/>
  <c r="A2270"/>
  <c r="K2269"/>
  <c r="J2269"/>
  <c r="I2269"/>
  <c r="H2269"/>
  <c r="G2269"/>
  <c r="F2269"/>
  <c r="E2269"/>
  <c r="D2269"/>
  <c r="C2269"/>
  <c r="B2269"/>
  <c r="A2269"/>
  <c r="K2268"/>
  <c r="J2268"/>
  <c r="I2268"/>
  <c r="H2268"/>
  <c r="G2268"/>
  <c r="F2268"/>
  <c r="E2268"/>
  <c r="D2268"/>
  <c r="C2268"/>
  <c r="B2268"/>
  <c r="A2268"/>
  <c r="K2267"/>
  <c r="J2267"/>
  <c r="I2267"/>
  <c r="H2267"/>
  <c r="G2267"/>
  <c r="F2267"/>
  <c r="E2267"/>
  <c r="D2267"/>
  <c r="C2267"/>
  <c r="B2267"/>
  <c r="A2267"/>
  <c r="K2266"/>
  <c r="J2266"/>
  <c r="I2266"/>
  <c r="H2266"/>
  <c r="G2266"/>
  <c r="F2266"/>
  <c r="E2266"/>
  <c r="D2266"/>
  <c r="C2266"/>
  <c r="B2266"/>
  <c r="A2266"/>
  <c r="K2265"/>
  <c r="J2265"/>
  <c r="I2265"/>
  <c r="H2265"/>
  <c r="G2265"/>
  <c r="F2265"/>
  <c r="E2265"/>
  <c r="D2265"/>
  <c r="C2265"/>
  <c r="B2265"/>
  <c r="A2265"/>
  <c r="K2264"/>
  <c r="J2264"/>
  <c r="I2264"/>
  <c r="H2264"/>
  <c r="G2264"/>
  <c r="F2264"/>
  <c r="E2264"/>
  <c r="D2264"/>
  <c r="C2264"/>
  <c r="B2264"/>
  <c r="A2264"/>
  <c r="K2263"/>
  <c r="J2263"/>
  <c r="I2263"/>
  <c r="H2263"/>
  <c r="G2263"/>
  <c r="F2263"/>
  <c r="E2263"/>
  <c r="D2263"/>
  <c r="C2263"/>
  <c r="B2263"/>
  <c r="A2263"/>
  <c r="K2262"/>
  <c r="J2262"/>
  <c r="I2262"/>
  <c r="H2262"/>
  <c r="G2262"/>
  <c r="F2262"/>
  <c r="E2262"/>
  <c r="D2262"/>
  <c r="C2262"/>
  <c r="B2262"/>
  <c r="A2262"/>
  <c r="K2261"/>
  <c r="J2261"/>
  <c r="I2261"/>
  <c r="H2261"/>
  <c r="G2261"/>
  <c r="F2261"/>
  <c r="E2261"/>
  <c r="D2261"/>
  <c r="C2261"/>
  <c r="B2261"/>
  <c r="A2261"/>
  <c r="K2260"/>
  <c r="J2260"/>
  <c r="I2260"/>
  <c r="H2260"/>
  <c r="G2260"/>
  <c r="F2260"/>
  <c r="E2260"/>
  <c r="D2260"/>
  <c r="C2260"/>
  <c r="B2260"/>
  <c r="A2260"/>
  <c r="K2259"/>
  <c r="J2259"/>
  <c r="I2259"/>
  <c r="H2259"/>
  <c r="G2259"/>
  <c r="F2259"/>
  <c r="E2259"/>
  <c r="D2259"/>
  <c r="C2259"/>
  <c r="B2259"/>
  <c r="A2259"/>
  <c r="K2258"/>
  <c r="J2258"/>
  <c r="I2258"/>
  <c r="H2258"/>
  <c r="G2258"/>
  <c r="F2258"/>
  <c r="E2258"/>
  <c r="D2258"/>
  <c r="C2258"/>
  <c r="B2258"/>
  <c r="A2258"/>
  <c r="K2257"/>
  <c r="J2257"/>
  <c r="I2257"/>
  <c r="H2257"/>
  <c r="G2257"/>
  <c r="F2257"/>
  <c r="E2257"/>
  <c r="D2257"/>
  <c r="C2257"/>
  <c r="B2257"/>
  <c r="A2257"/>
  <c r="K2256"/>
  <c r="J2256"/>
  <c r="I2256"/>
  <c r="H2256"/>
  <c r="G2256"/>
  <c r="F2256"/>
  <c r="E2256"/>
  <c r="D2256"/>
  <c r="C2256"/>
  <c r="B2256"/>
  <c r="A2256"/>
  <c r="K2255"/>
  <c r="J2255"/>
  <c r="I2255"/>
  <c r="H2255"/>
  <c r="G2255"/>
  <c r="F2255"/>
  <c r="E2255"/>
  <c r="D2255"/>
  <c r="C2255"/>
  <c r="B2255"/>
  <c r="A2255"/>
  <c r="K2254"/>
  <c r="J2254"/>
  <c r="I2254"/>
  <c r="H2254"/>
  <c r="G2254"/>
  <c r="F2254"/>
  <c r="E2254"/>
  <c r="D2254"/>
  <c r="C2254"/>
  <c r="B2254"/>
  <c r="A2254"/>
  <c r="K2253"/>
  <c r="J2253"/>
  <c r="I2253"/>
  <c r="H2253"/>
  <c r="G2253"/>
  <c r="F2253"/>
  <c r="E2253"/>
  <c r="D2253"/>
  <c r="C2253"/>
  <c r="B2253"/>
  <c r="A2253"/>
  <c r="K2252"/>
  <c r="J2252"/>
  <c r="I2252"/>
  <c r="H2252"/>
  <c r="G2252"/>
  <c r="F2252"/>
  <c r="E2252"/>
  <c r="D2252"/>
  <c r="C2252"/>
  <c r="B2252"/>
  <c r="A2252"/>
  <c r="K2251"/>
  <c r="J2251"/>
  <c r="I2251"/>
  <c r="H2251"/>
  <c r="G2251"/>
  <c r="F2251"/>
  <c r="E2251"/>
  <c r="D2251"/>
  <c r="C2251"/>
  <c r="B2251"/>
  <c r="A2251"/>
  <c r="K2250"/>
  <c r="J2250"/>
  <c r="I2250"/>
  <c r="H2250"/>
  <c r="G2250"/>
  <c r="F2250"/>
  <c r="E2250"/>
  <c r="D2250"/>
  <c r="C2250"/>
  <c r="B2250"/>
  <c r="A2250"/>
  <c r="K2249"/>
  <c r="J2249"/>
  <c r="I2249"/>
  <c r="H2249"/>
  <c r="G2249"/>
  <c r="F2249"/>
  <c r="E2249"/>
  <c r="D2249"/>
  <c r="C2249"/>
  <c r="B2249"/>
  <c r="A2249"/>
  <c r="K2248"/>
  <c r="J2248"/>
  <c r="I2248"/>
  <c r="H2248"/>
  <c r="G2248"/>
  <c r="F2248"/>
  <c r="E2248"/>
  <c r="D2248"/>
  <c r="C2248"/>
  <c r="B2248"/>
  <c r="A2248"/>
  <c r="K2247"/>
  <c r="J2247"/>
  <c r="I2247"/>
  <c r="H2247"/>
  <c r="G2247"/>
  <c r="F2247"/>
  <c r="E2247"/>
  <c r="D2247"/>
  <c r="C2247"/>
  <c r="B2247"/>
  <c r="A2247"/>
  <c r="K2246"/>
  <c r="J2246"/>
  <c r="I2246"/>
  <c r="H2246"/>
  <c r="G2246"/>
  <c r="F2246"/>
  <c r="E2246"/>
  <c r="D2246"/>
  <c r="C2246"/>
  <c r="B2246"/>
  <c r="A2246"/>
  <c r="K2245"/>
  <c r="J2245"/>
  <c r="I2245"/>
  <c r="H2245"/>
  <c r="G2245"/>
  <c r="F2245"/>
  <c r="E2245"/>
  <c r="D2245"/>
  <c r="C2245"/>
  <c r="B2245"/>
  <c r="A2245"/>
  <c r="K2244"/>
  <c r="J2244"/>
  <c r="I2244"/>
  <c r="H2244"/>
  <c r="G2244"/>
  <c r="F2244"/>
  <c r="E2244"/>
  <c r="D2244"/>
  <c r="C2244"/>
  <c r="B2244"/>
  <c r="A2244"/>
  <c r="K2243"/>
  <c r="J2243"/>
  <c r="I2243"/>
  <c r="H2243"/>
  <c r="G2243"/>
  <c r="F2243"/>
  <c r="E2243"/>
  <c r="D2243"/>
  <c r="C2243"/>
  <c r="B2243"/>
  <c r="A2243"/>
  <c r="K2242"/>
  <c r="J2242"/>
  <c r="I2242"/>
  <c r="H2242"/>
  <c r="G2242"/>
  <c r="F2242"/>
  <c r="E2242"/>
  <c r="D2242"/>
  <c r="C2242"/>
  <c r="B2242"/>
  <c r="A2242"/>
  <c r="K2241"/>
  <c r="J2241"/>
  <c r="I2241"/>
  <c r="H2241"/>
  <c r="G2241"/>
  <c r="F2241"/>
  <c r="E2241"/>
  <c r="D2241"/>
  <c r="C2241"/>
  <c r="B2241"/>
  <c r="A2241"/>
  <c r="K2240"/>
  <c r="J2240"/>
  <c r="I2240"/>
  <c r="H2240"/>
  <c r="G2240"/>
  <c r="F2240"/>
  <c r="E2240"/>
  <c r="D2240"/>
  <c r="C2240"/>
  <c r="B2240"/>
  <c r="A2240"/>
  <c r="K2239"/>
  <c r="J2239"/>
  <c r="I2239"/>
  <c r="H2239"/>
  <c r="G2239"/>
  <c r="F2239"/>
  <c r="E2239"/>
  <c r="D2239"/>
  <c r="C2239"/>
  <c r="B2239"/>
  <c r="A2239"/>
  <c r="K2238"/>
  <c r="J2238"/>
  <c r="I2238"/>
  <c r="H2238"/>
  <c r="G2238"/>
  <c r="F2238"/>
  <c r="E2238"/>
  <c r="D2238"/>
  <c r="C2238"/>
  <c r="B2238"/>
  <c r="A2238"/>
  <c r="K2237"/>
  <c r="J2237"/>
  <c r="I2237"/>
  <c r="H2237"/>
  <c r="G2237"/>
  <c r="F2237"/>
  <c r="E2237"/>
  <c r="D2237"/>
  <c r="C2237"/>
  <c r="B2237"/>
  <c r="A2237"/>
  <c r="K2236"/>
  <c r="J2236"/>
  <c r="I2236"/>
  <c r="H2236"/>
  <c r="G2236"/>
  <c r="F2236"/>
  <c r="E2236"/>
  <c r="D2236"/>
  <c r="C2236"/>
  <c r="B2236"/>
  <c r="A2236"/>
  <c r="K2235"/>
  <c r="J2235"/>
  <c r="I2235"/>
  <c r="H2235"/>
  <c r="G2235"/>
  <c r="F2235"/>
  <c r="E2235"/>
  <c r="D2235"/>
  <c r="C2235"/>
  <c r="B2235"/>
  <c r="A2235"/>
  <c r="K2234"/>
  <c r="J2234"/>
  <c r="I2234"/>
  <c r="H2234"/>
  <c r="G2234"/>
  <c r="F2234"/>
  <c r="E2234"/>
  <c r="D2234"/>
  <c r="C2234"/>
  <c r="B2234"/>
  <c r="A2234"/>
  <c r="K2233"/>
  <c r="J2233"/>
  <c r="I2233"/>
  <c r="H2233"/>
  <c r="G2233"/>
  <c r="F2233"/>
  <c r="E2233"/>
  <c r="D2233"/>
  <c r="C2233"/>
  <c r="B2233"/>
  <c r="A2233"/>
  <c r="K2232"/>
  <c r="J2232"/>
  <c r="I2232"/>
  <c r="H2232"/>
  <c r="G2232"/>
  <c r="F2232"/>
  <c r="E2232"/>
  <c r="D2232"/>
  <c r="C2232"/>
  <c r="B2232"/>
  <c r="A2232"/>
  <c r="K2231"/>
  <c r="J2231"/>
  <c r="I2231"/>
  <c r="H2231"/>
  <c r="G2231"/>
  <c r="F2231"/>
  <c r="E2231"/>
  <c r="D2231"/>
  <c r="C2231"/>
  <c r="B2231"/>
  <c r="A2231"/>
  <c r="K2230"/>
  <c r="J2230"/>
  <c r="I2230"/>
  <c r="H2230"/>
  <c r="G2230"/>
  <c r="F2230"/>
  <c r="E2230"/>
  <c r="D2230"/>
  <c r="C2230"/>
  <c r="B2230"/>
  <c r="A2230"/>
  <c r="K2229"/>
  <c r="J2229"/>
  <c r="I2229"/>
  <c r="H2229"/>
  <c r="G2229"/>
  <c r="F2229"/>
  <c r="E2229"/>
  <c r="D2229"/>
  <c r="C2229"/>
  <c r="B2229"/>
  <c r="A2229"/>
  <c r="K2228"/>
  <c r="J2228"/>
  <c r="I2228"/>
  <c r="H2228"/>
  <c r="G2228"/>
  <c r="F2228"/>
  <c r="E2228"/>
  <c r="D2228"/>
  <c r="C2228"/>
  <c r="B2228"/>
  <c r="A2228"/>
  <c r="K2227"/>
  <c r="J2227"/>
  <c r="I2227"/>
  <c r="H2227"/>
  <c r="G2227"/>
  <c r="F2227"/>
  <c r="E2227"/>
  <c r="D2227"/>
  <c r="C2227"/>
  <c r="B2227"/>
  <c r="A2227"/>
  <c r="K2226"/>
  <c r="J2226"/>
  <c r="I2226"/>
  <c r="H2226"/>
  <c r="G2226"/>
  <c r="F2226"/>
  <c r="E2226"/>
  <c r="D2226"/>
  <c r="C2226"/>
  <c r="B2226"/>
  <c r="A2226"/>
  <c r="K2225"/>
  <c r="J2225"/>
  <c r="I2225"/>
  <c r="H2225"/>
  <c r="G2225"/>
  <c r="F2225"/>
  <c r="E2225"/>
  <c r="D2225"/>
  <c r="C2225"/>
  <c r="B2225"/>
  <c r="A2225"/>
  <c r="K2224"/>
  <c r="J2224"/>
  <c r="I2224"/>
  <c r="H2224"/>
  <c r="G2224"/>
  <c r="F2224"/>
  <c r="E2224"/>
  <c r="D2224"/>
  <c r="C2224"/>
  <c r="B2224"/>
  <c r="A2224"/>
  <c r="K2223"/>
  <c r="J2223"/>
  <c r="I2223"/>
  <c r="H2223"/>
  <c r="G2223"/>
  <c r="F2223"/>
  <c r="E2223"/>
  <c r="D2223"/>
  <c r="C2223"/>
  <c r="B2223"/>
  <c r="A2223"/>
  <c r="K2222"/>
  <c r="J2222"/>
  <c r="I2222"/>
  <c r="H2222"/>
  <c r="G2222"/>
  <c r="F2222"/>
  <c r="E2222"/>
  <c r="D2222"/>
  <c r="C2222"/>
  <c r="B2222"/>
  <c r="A2222"/>
  <c r="K2221"/>
  <c r="J2221"/>
  <c r="I2221"/>
  <c r="H2221"/>
  <c r="G2221"/>
  <c r="F2221"/>
  <c r="E2221"/>
  <c r="D2221"/>
  <c r="C2221"/>
  <c r="B2221"/>
  <c r="A2221"/>
  <c r="K2220"/>
  <c r="J2220"/>
  <c r="I2220"/>
  <c r="H2220"/>
  <c r="G2220"/>
  <c r="F2220"/>
  <c r="E2220"/>
  <c r="D2220"/>
  <c r="C2220"/>
  <c r="B2220"/>
  <c r="A2220"/>
  <c r="K2219"/>
  <c r="J2219"/>
  <c r="I2219"/>
  <c r="H2219"/>
  <c r="G2219"/>
  <c r="F2219"/>
  <c r="E2219"/>
  <c r="D2219"/>
  <c r="C2219"/>
  <c r="B2219"/>
  <c r="A2219"/>
  <c r="K2218"/>
  <c r="J2218"/>
  <c r="I2218"/>
  <c r="H2218"/>
  <c r="G2218"/>
  <c r="F2218"/>
  <c r="E2218"/>
  <c r="D2218"/>
  <c r="C2218"/>
  <c r="B2218"/>
  <c r="A2218"/>
  <c r="K2217"/>
  <c r="J2217"/>
  <c r="I2217"/>
  <c r="H2217"/>
  <c r="G2217"/>
  <c r="F2217"/>
  <c r="E2217"/>
  <c r="D2217"/>
  <c r="C2217"/>
  <c r="B2217"/>
  <c r="A2217"/>
  <c r="K2216"/>
  <c r="J2216"/>
  <c r="I2216"/>
  <c r="H2216"/>
  <c r="G2216"/>
  <c r="F2216"/>
  <c r="E2216"/>
  <c r="D2216"/>
  <c r="C2216"/>
  <c r="B2216"/>
  <c r="A2216"/>
  <c r="K2215"/>
  <c r="J2215"/>
  <c r="I2215"/>
  <c r="H2215"/>
  <c r="G2215"/>
  <c r="F2215"/>
  <c r="E2215"/>
  <c r="D2215"/>
  <c r="C2215"/>
  <c r="B2215"/>
  <c r="A2215"/>
  <c r="K2214"/>
  <c r="J2214"/>
  <c r="I2214"/>
  <c r="H2214"/>
  <c r="G2214"/>
  <c r="F2214"/>
  <c r="E2214"/>
  <c r="D2214"/>
  <c r="C2214"/>
  <c r="B2214"/>
  <c r="A2214"/>
  <c r="K2213"/>
  <c r="J2213"/>
  <c r="I2213"/>
  <c r="H2213"/>
  <c r="G2213"/>
  <c r="F2213"/>
  <c r="E2213"/>
  <c r="D2213"/>
  <c r="C2213"/>
  <c r="B2213"/>
  <c r="A2213"/>
  <c r="K2212"/>
  <c r="J2212"/>
  <c r="I2212"/>
  <c r="H2212"/>
  <c r="G2212"/>
  <c r="F2212"/>
  <c r="E2212"/>
  <c r="D2212"/>
  <c r="C2212"/>
  <c r="B2212"/>
  <c r="A2212"/>
  <c r="K2211"/>
  <c r="J2211"/>
  <c r="I2211"/>
  <c r="H2211"/>
  <c r="G2211"/>
  <c r="F2211"/>
  <c r="E2211"/>
  <c r="D2211"/>
  <c r="C2211"/>
  <c r="B2211"/>
  <c r="A2211"/>
  <c r="K2210"/>
  <c r="J2210"/>
  <c r="I2210"/>
  <c r="H2210"/>
  <c r="G2210"/>
  <c r="F2210"/>
  <c r="E2210"/>
  <c r="D2210"/>
  <c r="C2210"/>
  <c r="B2210"/>
  <c r="A2210"/>
  <c r="K2209"/>
  <c r="J2209"/>
  <c r="I2209"/>
  <c r="H2209"/>
  <c r="G2209"/>
  <c r="F2209"/>
  <c r="E2209"/>
  <c r="D2209"/>
  <c r="C2209"/>
  <c r="B2209"/>
  <c r="A2209"/>
  <c r="K2208"/>
  <c r="J2208"/>
  <c r="I2208"/>
  <c r="H2208"/>
  <c r="G2208"/>
  <c r="F2208"/>
  <c r="E2208"/>
  <c r="D2208"/>
  <c r="C2208"/>
  <c r="B2208"/>
  <c r="A2208"/>
  <c r="K2207"/>
  <c r="J2207"/>
  <c r="I2207"/>
  <c r="H2207"/>
  <c r="G2207"/>
  <c r="F2207"/>
  <c r="E2207"/>
  <c r="D2207"/>
  <c r="C2207"/>
  <c r="B2207"/>
  <c r="A2207"/>
  <c r="K2206"/>
  <c r="J2206"/>
  <c r="I2206"/>
  <c r="H2206"/>
  <c r="G2206"/>
  <c r="F2206"/>
  <c r="E2206"/>
  <c r="D2206"/>
  <c r="C2206"/>
  <c r="B2206"/>
  <c r="A2206"/>
  <c r="K2205"/>
  <c r="J2205"/>
  <c r="I2205"/>
  <c r="H2205"/>
  <c r="G2205"/>
  <c r="F2205"/>
  <c r="E2205"/>
  <c r="D2205"/>
  <c r="C2205"/>
  <c r="B2205"/>
  <c r="A2205"/>
  <c r="K2204"/>
  <c r="J2204"/>
  <c r="I2204"/>
  <c r="H2204"/>
  <c r="G2204"/>
  <c r="F2204"/>
  <c r="E2204"/>
  <c r="D2204"/>
  <c r="C2204"/>
  <c r="B2204"/>
  <c r="A2204"/>
  <c r="K2203"/>
  <c r="J2203"/>
  <c r="I2203"/>
  <c r="H2203"/>
  <c r="G2203"/>
  <c r="F2203"/>
  <c r="E2203"/>
  <c r="D2203"/>
  <c r="C2203"/>
  <c r="B2203"/>
  <c r="A2203"/>
  <c r="K2202"/>
  <c r="J2202"/>
  <c r="I2202"/>
  <c r="H2202"/>
  <c r="G2202"/>
  <c r="F2202"/>
  <c r="E2202"/>
  <c r="D2202"/>
  <c r="C2202"/>
  <c r="B2202"/>
  <c r="A2202"/>
  <c r="K2201"/>
  <c r="J2201"/>
  <c r="I2201"/>
  <c r="H2201"/>
  <c r="G2201"/>
  <c r="F2201"/>
  <c r="E2201"/>
  <c r="D2201"/>
  <c r="C2201"/>
  <c r="B2201"/>
  <c r="A2201"/>
  <c r="K2200"/>
  <c r="J2200"/>
  <c r="I2200"/>
  <c r="H2200"/>
  <c r="G2200"/>
  <c r="F2200"/>
  <c r="E2200"/>
  <c r="D2200"/>
  <c r="C2200"/>
  <c r="B2200"/>
  <c r="A2200"/>
  <c r="K2199"/>
  <c r="J2199"/>
  <c r="I2199"/>
  <c r="H2199"/>
  <c r="G2199"/>
  <c r="F2199"/>
  <c r="E2199"/>
  <c r="D2199"/>
  <c r="C2199"/>
  <c r="B2199"/>
  <c r="A2199"/>
  <c r="K2198"/>
  <c r="J2198"/>
  <c r="I2198"/>
  <c r="H2198"/>
  <c r="G2198"/>
  <c r="F2198"/>
  <c r="E2198"/>
  <c r="D2198"/>
  <c r="C2198"/>
  <c r="B2198"/>
  <c r="A2198"/>
  <c r="K2197"/>
  <c r="J2197"/>
  <c r="I2197"/>
  <c r="H2197"/>
  <c r="G2197"/>
  <c r="F2197"/>
  <c r="E2197"/>
  <c r="D2197"/>
  <c r="C2197"/>
  <c r="B2197"/>
  <c r="A2197"/>
  <c r="K2196"/>
  <c r="J2196"/>
  <c r="I2196"/>
  <c r="H2196"/>
  <c r="G2196"/>
  <c r="F2196"/>
  <c r="E2196"/>
  <c r="D2196"/>
  <c r="C2196"/>
  <c r="B2196"/>
  <c r="A2196"/>
  <c r="K2195"/>
  <c r="J2195"/>
  <c r="I2195"/>
  <c r="H2195"/>
  <c r="G2195"/>
  <c r="F2195"/>
  <c r="E2195"/>
  <c r="D2195"/>
  <c r="C2195"/>
  <c r="B2195"/>
  <c r="A2195"/>
  <c r="K2194"/>
  <c r="J2194"/>
  <c r="I2194"/>
  <c r="H2194"/>
  <c r="G2194"/>
  <c r="F2194"/>
  <c r="E2194"/>
  <c r="D2194"/>
  <c r="C2194"/>
  <c r="B2194"/>
  <c r="A2194"/>
  <c r="K2193"/>
  <c r="J2193"/>
  <c r="I2193"/>
  <c r="H2193"/>
  <c r="G2193"/>
  <c r="F2193"/>
  <c r="E2193"/>
  <c r="D2193"/>
  <c r="C2193"/>
  <c r="B2193"/>
  <c r="A2193"/>
  <c r="K2192"/>
  <c r="J2192"/>
  <c r="I2192"/>
  <c r="H2192"/>
  <c r="G2192"/>
  <c r="F2192"/>
  <c r="E2192"/>
  <c r="D2192"/>
  <c r="C2192"/>
  <c r="B2192"/>
  <c r="A2192"/>
  <c r="K2191"/>
  <c r="J2191"/>
  <c r="I2191"/>
  <c r="H2191"/>
  <c r="G2191"/>
  <c r="F2191"/>
  <c r="E2191"/>
  <c r="D2191"/>
  <c r="C2191"/>
  <c r="B2191"/>
  <c r="A2191"/>
  <c r="K2190"/>
  <c r="J2190"/>
  <c r="I2190"/>
  <c r="H2190"/>
  <c r="G2190"/>
  <c r="F2190"/>
  <c r="E2190"/>
  <c r="D2190"/>
  <c r="C2190"/>
  <c r="B2190"/>
  <c r="A2190"/>
  <c r="K2189"/>
  <c r="J2189"/>
  <c r="I2189"/>
  <c r="H2189"/>
  <c r="G2189"/>
  <c r="F2189"/>
  <c r="E2189"/>
  <c r="D2189"/>
  <c r="C2189"/>
  <c r="B2189"/>
  <c r="A2189"/>
  <c r="K2188"/>
  <c r="J2188"/>
  <c r="I2188"/>
  <c r="H2188"/>
  <c r="G2188"/>
  <c r="F2188"/>
  <c r="E2188"/>
  <c r="D2188"/>
  <c r="C2188"/>
  <c r="B2188"/>
  <c r="A2188"/>
  <c r="K2187"/>
  <c r="J2187"/>
  <c r="I2187"/>
  <c r="H2187"/>
  <c r="G2187"/>
  <c r="F2187"/>
  <c r="E2187"/>
  <c r="D2187"/>
  <c r="C2187"/>
  <c r="B2187"/>
  <c r="A2187"/>
  <c r="K2186"/>
  <c r="J2186"/>
  <c r="I2186"/>
  <c r="H2186"/>
  <c r="G2186"/>
  <c r="F2186"/>
  <c r="E2186"/>
  <c r="D2186"/>
  <c r="C2186"/>
  <c r="B2186"/>
  <c r="A2186"/>
  <c r="K2185"/>
  <c r="J2185"/>
  <c r="I2185"/>
  <c r="H2185"/>
  <c r="G2185"/>
  <c r="F2185"/>
  <c r="E2185"/>
  <c r="D2185"/>
  <c r="C2185"/>
  <c r="B2185"/>
  <c r="A2185"/>
  <c r="K2184"/>
  <c r="J2184"/>
  <c r="I2184"/>
  <c r="H2184"/>
  <c r="G2184"/>
  <c r="F2184"/>
  <c r="E2184"/>
  <c r="D2184"/>
  <c r="C2184"/>
  <c r="B2184"/>
  <c r="A2184"/>
  <c r="K2183"/>
  <c r="J2183"/>
  <c r="I2183"/>
  <c r="H2183"/>
  <c r="G2183"/>
  <c r="F2183"/>
  <c r="E2183"/>
  <c r="D2183"/>
  <c r="C2183"/>
  <c r="B2183"/>
  <c r="A2183"/>
  <c r="K2182"/>
  <c r="J2182"/>
  <c r="I2182"/>
  <c r="H2182"/>
  <c r="G2182"/>
  <c r="F2182"/>
  <c r="E2182"/>
  <c r="D2182"/>
  <c r="C2182"/>
  <c r="B2182"/>
  <c r="A2182"/>
  <c r="K2181"/>
  <c r="J2181"/>
  <c r="I2181"/>
  <c r="H2181"/>
  <c r="G2181"/>
  <c r="F2181"/>
  <c r="E2181"/>
  <c r="D2181"/>
  <c r="C2181"/>
  <c r="B2181"/>
  <c r="A2181"/>
  <c r="K2180"/>
  <c r="J2180"/>
  <c r="I2180"/>
  <c r="H2180"/>
  <c r="G2180"/>
  <c r="F2180"/>
  <c r="E2180"/>
  <c r="D2180"/>
  <c r="C2180"/>
  <c r="B2180"/>
  <c r="A2180"/>
  <c r="K2179"/>
  <c r="J2179"/>
  <c r="I2179"/>
  <c r="H2179"/>
  <c r="G2179"/>
  <c r="F2179"/>
  <c r="E2179"/>
  <c r="D2179"/>
  <c r="C2179"/>
  <c r="B2179"/>
  <c r="A2179"/>
  <c r="K2178"/>
  <c r="J2178"/>
  <c r="I2178"/>
  <c r="H2178"/>
  <c r="G2178"/>
  <c r="F2178"/>
  <c r="E2178"/>
  <c r="D2178"/>
  <c r="C2178"/>
  <c r="B2178"/>
  <c r="A2178"/>
  <c r="K2177"/>
  <c r="J2177"/>
  <c r="I2177"/>
  <c r="H2177"/>
  <c r="G2177"/>
  <c r="F2177"/>
  <c r="E2177"/>
  <c r="D2177"/>
  <c r="C2177"/>
  <c r="B2177"/>
  <c r="A2177"/>
  <c r="K2176"/>
  <c r="J2176"/>
  <c r="I2176"/>
  <c r="H2176"/>
  <c r="G2176"/>
  <c r="F2176"/>
  <c r="E2176"/>
  <c r="D2176"/>
  <c r="C2176"/>
  <c r="B2176"/>
  <c r="A2176"/>
  <c r="K2175"/>
  <c r="J2175"/>
  <c r="I2175"/>
  <c r="H2175"/>
  <c r="G2175"/>
  <c r="F2175"/>
  <c r="E2175"/>
  <c r="D2175"/>
  <c r="C2175"/>
  <c r="B2175"/>
  <c r="A2175"/>
  <c r="K2174"/>
  <c r="J2174"/>
  <c r="I2174"/>
  <c r="H2174"/>
  <c r="G2174"/>
  <c r="F2174"/>
  <c r="E2174"/>
  <c r="D2174"/>
  <c r="C2174"/>
  <c r="B2174"/>
  <c r="A2174"/>
  <c r="K2173"/>
  <c r="J2173"/>
  <c r="I2173"/>
  <c r="H2173"/>
  <c r="G2173"/>
  <c r="F2173"/>
  <c r="E2173"/>
  <c r="D2173"/>
  <c r="C2173"/>
  <c r="B2173"/>
  <c r="A2173"/>
  <c r="K2172"/>
  <c r="J2172"/>
  <c r="I2172"/>
  <c r="H2172"/>
  <c r="G2172"/>
  <c r="F2172"/>
  <c r="E2172"/>
  <c r="D2172"/>
  <c r="C2172"/>
  <c r="B2172"/>
  <c r="A2172"/>
  <c r="K2171"/>
  <c r="J2171"/>
  <c r="I2171"/>
  <c r="H2171"/>
  <c r="G2171"/>
  <c r="F2171"/>
  <c r="E2171"/>
  <c r="D2171"/>
  <c r="C2171"/>
  <c r="B2171"/>
  <c r="A2171"/>
  <c r="K2170"/>
  <c r="J2170"/>
  <c r="I2170"/>
  <c r="H2170"/>
  <c r="G2170"/>
  <c r="F2170"/>
  <c r="E2170"/>
  <c r="D2170"/>
  <c r="C2170"/>
  <c r="B2170"/>
  <c r="A2170"/>
  <c r="K2169"/>
  <c r="J2169"/>
  <c r="I2169"/>
  <c r="H2169"/>
  <c r="G2169"/>
  <c r="F2169"/>
  <c r="E2169"/>
  <c r="D2169"/>
  <c r="C2169"/>
  <c r="B2169"/>
  <c r="A2169"/>
  <c r="K2168"/>
  <c r="J2168"/>
  <c r="I2168"/>
  <c r="H2168"/>
  <c r="G2168"/>
  <c r="F2168"/>
  <c r="E2168"/>
  <c r="D2168"/>
  <c r="C2168"/>
  <c r="B2168"/>
  <c r="A2168"/>
  <c r="K2167"/>
  <c r="J2167"/>
  <c r="I2167"/>
  <c r="H2167"/>
  <c r="G2167"/>
  <c r="F2167"/>
  <c r="E2167"/>
  <c r="D2167"/>
  <c r="C2167"/>
  <c r="B2167"/>
  <c r="A2167"/>
  <c r="K2166"/>
  <c r="J2166"/>
  <c r="I2166"/>
  <c r="H2166"/>
  <c r="G2166"/>
  <c r="F2166"/>
  <c r="E2166"/>
  <c r="D2166"/>
  <c r="C2166"/>
  <c r="B2166"/>
  <c r="A2166"/>
  <c r="K2165"/>
  <c r="J2165"/>
  <c r="I2165"/>
  <c r="H2165"/>
  <c r="G2165"/>
  <c r="F2165"/>
  <c r="E2165"/>
  <c r="D2165"/>
  <c r="C2165"/>
  <c r="B2165"/>
  <c r="A2165"/>
  <c r="K2164"/>
  <c r="J2164"/>
  <c r="I2164"/>
  <c r="H2164"/>
  <c r="G2164"/>
  <c r="F2164"/>
  <c r="E2164"/>
  <c r="D2164"/>
  <c r="C2164"/>
  <c r="B2164"/>
  <c r="A2164"/>
  <c r="K2163"/>
  <c r="J2163"/>
  <c r="I2163"/>
  <c r="H2163"/>
  <c r="G2163"/>
  <c r="F2163"/>
  <c r="E2163"/>
  <c r="D2163"/>
  <c r="C2163"/>
  <c r="B2163"/>
  <c r="A2163"/>
  <c r="K2162"/>
  <c r="J2162"/>
  <c r="I2162"/>
  <c r="H2162"/>
  <c r="G2162"/>
  <c r="F2162"/>
  <c r="E2162"/>
  <c r="D2162"/>
  <c r="C2162"/>
  <c r="B2162"/>
  <c r="A2162"/>
  <c r="K2161"/>
  <c r="J2161"/>
  <c r="I2161"/>
  <c r="H2161"/>
  <c r="G2161"/>
  <c r="F2161"/>
  <c r="E2161"/>
  <c r="D2161"/>
  <c r="C2161"/>
  <c r="B2161"/>
  <c r="A2161"/>
  <c r="K2160"/>
  <c r="J2160"/>
  <c r="I2160"/>
  <c r="H2160"/>
  <c r="G2160"/>
  <c r="F2160"/>
  <c r="E2160"/>
  <c r="D2160"/>
  <c r="C2160"/>
  <c r="B2160"/>
  <c r="A2160"/>
  <c r="K2159"/>
  <c r="J2159"/>
  <c r="I2159"/>
  <c r="H2159"/>
  <c r="G2159"/>
  <c r="F2159"/>
  <c r="E2159"/>
  <c r="D2159"/>
  <c r="C2159"/>
  <c r="B2159"/>
  <c r="A2159"/>
  <c r="K2158"/>
  <c r="J2158"/>
  <c r="I2158"/>
  <c r="H2158"/>
  <c r="G2158"/>
  <c r="F2158"/>
  <c r="E2158"/>
  <c r="D2158"/>
  <c r="C2158"/>
  <c r="B2158"/>
  <c r="A2158"/>
  <c r="K2157"/>
  <c r="J2157"/>
  <c r="I2157"/>
  <c r="H2157"/>
  <c r="G2157"/>
  <c r="F2157"/>
  <c r="E2157"/>
  <c r="D2157"/>
  <c r="C2157"/>
  <c r="B2157"/>
  <c r="A2157"/>
  <c r="K2156"/>
  <c r="J2156"/>
  <c r="I2156"/>
  <c r="H2156"/>
  <c r="G2156"/>
  <c r="F2156"/>
  <c r="E2156"/>
  <c r="D2156"/>
  <c r="C2156"/>
  <c r="B2156"/>
  <c r="A2156"/>
  <c r="K2155"/>
  <c r="J2155"/>
  <c r="I2155"/>
  <c r="H2155"/>
  <c r="G2155"/>
  <c r="F2155"/>
  <c r="E2155"/>
  <c r="D2155"/>
  <c r="C2155"/>
  <c r="B2155"/>
  <c r="A2155"/>
  <c r="K2154"/>
  <c r="J2154"/>
  <c r="I2154"/>
  <c r="H2154"/>
  <c r="G2154"/>
  <c r="F2154"/>
  <c r="E2154"/>
  <c r="D2154"/>
  <c r="C2154"/>
  <c r="B2154"/>
  <c r="A2154"/>
  <c r="K2153"/>
  <c r="J2153"/>
  <c r="I2153"/>
  <c r="H2153"/>
  <c r="G2153"/>
  <c r="F2153"/>
  <c r="E2153"/>
  <c r="D2153"/>
  <c r="C2153"/>
  <c r="B2153"/>
  <c r="A2153"/>
  <c r="K2152"/>
  <c r="J2152"/>
  <c r="I2152"/>
  <c r="H2152"/>
  <c r="G2152"/>
  <c r="F2152"/>
  <c r="E2152"/>
  <c r="D2152"/>
  <c r="C2152"/>
  <c r="B2152"/>
  <c r="A2152"/>
  <c r="K2151"/>
  <c r="J2151"/>
  <c r="I2151"/>
  <c r="H2151"/>
  <c r="G2151"/>
  <c r="F2151"/>
  <c r="E2151"/>
  <c r="D2151"/>
  <c r="C2151"/>
  <c r="B2151"/>
  <c r="A2151"/>
  <c r="K2150"/>
  <c r="J2150"/>
  <c r="I2150"/>
  <c r="H2150"/>
  <c r="G2150"/>
  <c r="F2150"/>
  <c r="E2150"/>
  <c r="D2150"/>
  <c r="C2150"/>
  <c r="B2150"/>
  <c r="A2150"/>
  <c r="K2149"/>
  <c r="J2149"/>
  <c r="I2149"/>
  <c r="H2149"/>
  <c r="G2149"/>
  <c r="F2149"/>
  <c r="E2149"/>
  <c r="D2149"/>
  <c r="C2149"/>
  <c r="B2149"/>
  <c r="A2149"/>
  <c r="K2148"/>
  <c r="J2148"/>
  <c r="I2148"/>
  <c r="H2148"/>
  <c r="G2148"/>
  <c r="F2148"/>
  <c r="E2148"/>
  <c r="D2148"/>
  <c r="C2148"/>
  <c r="B2148"/>
  <c r="A2148"/>
  <c r="K2147"/>
  <c r="J2147"/>
  <c r="I2147"/>
  <c r="H2147"/>
  <c r="G2147"/>
  <c r="F2147"/>
  <c r="E2147"/>
  <c r="D2147"/>
  <c r="C2147"/>
  <c r="B2147"/>
  <c r="A2147"/>
  <c r="K2146"/>
  <c r="J2146"/>
  <c r="I2146"/>
  <c r="H2146"/>
  <c r="G2146"/>
  <c r="F2146"/>
  <c r="E2146"/>
  <c r="D2146"/>
  <c r="C2146"/>
  <c r="B2146"/>
  <c r="A2146"/>
  <c r="K2145"/>
  <c r="J2145"/>
  <c r="I2145"/>
  <c r="H2145"/>
  <c r="G2145"/>
  <c r="F2145"/>
  <c r="E2145"/>
  <c r="D2145"/>
  <c r="C2145"/>
  <c r="B2145"/>
  <c r="A2145"/>
  <c r="K2144"/>
  <c r="J2144"/>
  <c r="I2144"/>
  <c r="H2144"/>
  <c r="G2144"/>
  <c r="F2144"/>
  <c r="E2144"/>
  <c r="D2144"/>
  <c r="C2144"/>
  <c r="B2144"/>
  <c r="A2144"/>
  <c r="K2143"/>
  <c r="J2143"/>
  <c r="I2143"/>
  <c r="H2143"/>
  <c r="G2143"/>
  <c r="F2143"/>
  <c r="E2143"/>
  <c r="D2143"/>
  <c r="C2143"/>
  <c r="B2143"/>
  <c r="A2143"/>
  <c r="K2142"/>
  <c r="J2142"/>
  <c r="I2142"/>
  <c r="H2142"/>
  <c r="G2142"/>
  <c r="F2142"/>
  <c r="E2142"/>
  <c r="D2142"/>
  <c r="C2142"/>
  <c r="B2142"/>
  <c r="A2142"/>
  <c r="K2141"/>
  <c r="J2141"/>
  <c r="I2141"/>
  <c r="H2141"/>
  <c r="G2141"/>
  <c r="F2141"/>
  <c r="E2141"/>
  <c r="D2141"/>
  <c r="C2141"/>
  <c r="B2141"/>
  <c r="A2141"/>
  <c r="K2140"/>
  <c r="J2140"/>
  <c r="I2140"/>
  <c r="H2140"/>
  <c r="G2140"/>
  <c r="F2140"/>
  <c r="E2140"/>
  <c r="D2140"/>
  <c r="C2140"/>
  <c r="B2140"/>
  <c r="A2140"/>
  <c r="K2139"/>
  <c r="J2139"/>
  <c r="I2139"/>
  <c r="H2139"/>
  <c r="G2139"/>
  <c r="F2139"/>
  <c r="E2139"/>
  <c r="D2139"/>
  <c r="C2139"/>
  <c r="B2139"/>
  <c r="A2139"/>
  <c r="K2138"/>
  <c r="J2138"/>
  <c r="I2138"/>
  <c r="H2138"/>
  <c r="G2138"/>
  <c r="F2138"/>
  <c r="E2138"/>
  <c r="D2138"/>
  <c r="C2138"/>
  <c r="B2138"/>
  <c r="A2138"/>
  <c r="K2137"/>
  <c r="J2137"/>
  <c r="I2137"/>
  <c r="H2137"/>
  <c r="G2137"/>
  <c r="F2137"/>
  <c r="E2137"/>
  <c r="D2137"/>
  <c r="C2137"/>
  <c r="B2137"/>
  <c r="A2137"/>
  <c r="K2136"/>
  <c r="J2136"/>
  <c r="I2136"/>
  <c r="H2136"/>
  <c r="G2136"/>
  <c r="F2136"/>
  <c r="E2136"/>
  <c r="D2136"/>
  <c r="C2136"/>
  <c r="B2136"/>
  <c r="A2136"/>
  <c r="K2135"/>
  <c r="J2135"/>
  <c r="I2135"/>
  <c r="H2135"/>
  <c r="G2135"/>
  <c r="F2135"/>
  <c r="E2135"/>
  <c r="D2135"/>
  <c r="C2135"/>
  <c r="B2135"/>
  <c r="A2135"/>
  <c r="K2134"/>
  <c r="J2134"/>
  <c r="I2134"/>
  <c r="H2134"/>
  <c r="G2134"/>
  <c r="F2134"/>
  <c r="E2134"/>
  <c r="D2134"/>
  <c r="C2134"/>
  <c r="B2134"/>
  <c r="A2134"/>
  <c r="K2133"/>
  <c r="J2133"/>
  <c r="I2133"/>
  <c r="H2133"/>
  <c r="G2133"/>
  <c r="F2133"/>
  <c r="E2133"/>
  <c r="D2133"/>
  <c r="C2133"/>
  <c r="B2133"/>
  <c r="A2133"/>
  <c r="K2132"/>
  <c r="J2132"/>
  <c r="I2132"/>
  <c r="H2132"/>
  <c r="G2132"/>
  <c r="F2132"/>
  <c r="E2132"/>
  <c r="D2132"/>
  <c r="C2132"/>
  <c r="B2132"/>
  <c r="A2132"/>
  <c r="K2131"/>
  <c r="J2131"/>
  <c r="I2131"/>
  <c r="H2131"/>
  <c r="G2131"/>
  <c r="F2131"/>
  <c r="E2131"/>
  <c r="D2131"/>
  <c r="C2131"/>
  <c r="B2131"/>
  <c r="A2131"/>
  <c r="K2130"/>
  <c r="J2130"/>
  <c r="I2130"/>
  <c r="H2130"/>
  <c r="G2130"/>
  <c r="F2130"/>
  <c r="E2130"/>
  <c r="D2130"/>
  <c r="C2130"/>
  <c r="B2130"/>
  <c r="A2130"/>
  <c r="K2129"/>
  <c r="J2129"/>
  <c r="I2129"/>
  <c r="H2129"/>
  <c r="G2129"/>
  <c r="F2129"/>
  <c r="E2129"/>
  <c r="D2129"/>
  <c r="C2129"/>
  <c r="B2129"/>
  <c r="A2129"/>
  <c r="K2128"/>
  <c r="J2128"/>
  <c r="I2128"/>
  <c r="H2128"/>
  <c r="G2128"/>
  <c r="F2128"/>
  <c r="E2128"/>
  <c r="D2128"/>
  <c r="C2128"/>
  <c r="B2128"/>
  <c r="A2128"/>
  <c r="K2127"/>
  <c r="J2127"/>
  <c r="I2127"/>
  <c r="H2127"/>
  <c r="G2127"/>
  <c r="F2127"/>
  <c r="E2127"/>
  <c r="D2127"/>
  <c r="C2127"/>
  <c r="B2127"/>
  <c r="A2127"/>
  <c r="K2126"/>
  <c r="J2126"/>
  <c r="I2126"/>
  <c r="H2126"/>
  <c r="G2126"/>
  <c r="F2126"/>
  <c r="E2126"/>
  <c r="D2126"/>
  <c r="C2126"/>
  <c r="B2126"/>
  <c r="A2126"/>
  <c r="K2125"/>
  <c r="J2125"/>
  <c r="I2125"/>
  <c r="H2125"/>
  <c r="G2125"/>
  <c r="F2125"/>
  <c r="E2125"/>
  <c r="D2125"/>
  <c r="C2125"/>
  <c r="B2125"/>
  <c r="A2125"/>
  <c r="K2124"/>
  <c r="J2124"/>
  <c r="I2124"/>
  <c r="H2124"/>
  <c r="G2124"/>
  <c r="F2124"/>
  <c r="E2124"/>
  <c r="D2124"/>
  <c r="C2124"/>
  <c r="B2124"/>
  <c r="A2124"/>
  <c r="K2123"/>
  <c r="J2123"/>
  <c r="I2123"/>
  <c r="H2123"/>
  <c r="G2123"/>
  <c r="F2123"/>
  <c r="E2123"/>
  <c r="D2123"/>
  <c r="C2123"/>
  <c r="B2123"/>
  <c r="A2123"/>
  <c r="K2122"/>
  <c r="J2122"/>
  <c r="I2122"/>
  <c r="H2122"/>
  <c r="G2122"/>
  <c r="F2122"/>
  <c r="E2122"/>
  <c r="D2122"/>
  <c r="C2122"/>
  <c r="B2122"/>
  <c r="A2122"/>
  <c r="K2121"/>
  <c r="J2121"/>
  <c r="I2121"/>
  <c r="H2121"/>
  <c r="G2121"/>
  <c r="F2121"/>
  <c r="E2121"/>
  <c r="D2121"/>
  <c r="C2121"/>
  <c r="B2121"/>
  <c r="A2121"/>
  <c r="K2120"/>
  <c r="J2120"/>
  <c r="I2120"/>
  <c r="H2120"/>
  <c r="G2120"/>
  <c r="F2120"/>
  <c r="E2120"/>
  <c r="D2120"/>
  <c r="C2120"/>
  <c r="B2120"/>
  <c r="A2120"/>
  <c r="K2119"/>
  <c r="J2119"/>
  <c r="I2119"/>
  <c r="H2119"/>
  <c r="G2119"/>
  <c r="F2119"/>
  <c r="E2119"/>
  <c r="D2119"/>
  <c r="C2119"/>
  <c r="B2119"/>
  <c r="A2119"/>
  <c r="K2118"/>
  <c r="J2118"/>
  <c r="I2118"/>
  <c r="H2118"/>
  <c r="G2118"/>
  <c r="F2118"/>
  <c r="E2118"/>
  <c r="D2118"/>
  <c r="C2118"/>
  <c r="B2118"/>
  <c r="A2118"/>
  <c r="K2117"/>
  <c r="J2117"/>
  <c r="I2117"/>
  <c r="H2117"/>
  <c r="G2117"/>
  <c r="F2117"/>
  <c r="E2117"/>
  <c r="D2117"/>
  <c r="C2117"/>
  <c r="B2117"/>
  <c r="A2117"/>
  <c r="K2116"/>
  <c r="J2116"/>
  <c r="I2116"/>
  <c r="H2116"/>
  <c r="G2116"/>
  <c r="F2116"/>
  <c r="E2116"/>
  <c r="D2116"/>
  <c r="C2116"/>
  <c r="B2116"/>
  <c r="A2116"/>
  <c r="K2115"/>
  <c r="J2115"/>
  <c r="I2115"/>
  <c r="H2115"/>
  <c r="G2115"/>
  <c r="F2115"/>
  <c r="E2115"/>
  <c r="D2115"/>
  <c r="C2115"/>
  <c r="B2115"/>
  <c r="A2115"/>
  <c r="K2114"/>
  <c r="J2114"/>
  <c r="I2114"/>
  <c r="H2114"/>
  <c r="G2114"/>
  <c r="F2114"/>
  <c r="E2114"/>
  <c r="D2114"/>
  <c r="C2114"/>
  <c r="B2114"/>
  <c r="A2114"/>
  <c r="K2113"/>
  <c r="J2113"/>
  <c r="I2113"/>
  <c r="H2113"/>
  <c r="G2113"/>
  <c r="F2113"/>
  <c r="E2113"/>
  <c r="D2113"/>
  <c r="C2113"/>
  <c r="B2113"/>
  <c r="A2113"/>
  <c r="K2112"/>
  <c r="J2112"/>
  <c r="I2112"/>
  <c r="H2112"/>
  <c r="G2112"/>
  <c r="F2112"/>
  <c r="E2112"/>
  <c r="D2112"/>
  <c r="C2112"/>
  <c r="B2112"/>
  <c r="A2112"/>
  <c r="K2111"/>
  <c r="J2111"/>
  <c r="I2111"/>
  <c r="H2111"/>
  <c r="G2111"/>
  <c r="F2111"/>
  <c r="E2111"/>
  <c r="D2111"/>
  <c r="C2111"/>
  <c r="B2111"/>
  <c r="A2111"/>
  <c r="K2110"/>
  <c r="J2110"/>
  <c r="I2110"/>
  <c r="H2110"/>
  <c r="G2110"/>
  <c r="F2110"/>
  <c r="E2110"/>
  <c r="D2110"/>
  <c r="C2110"/>
  <c r="B2110"/>
  <c r="A2110"/>
  <c r="K2109"/>
  <c r="J2109"/>
  <c r="I2109"/>
  <c r="H2109"/>
  <c r="G2109"/>
  <c r="F2109"/>
  <c r="E2109"/>
  <c r="D2109"/>
  <c r="C2109"/>
  <c r="B2109"/>
  <c r="A2109"/>
  <c r="K2108"/>
  <c r="J2108"/>
  <c r="I2108"/>
  <c r="H2108"/>
  <c r="G2108"/>
  <c r="F2108"/>
  <c r="E2108"/>
  <c r="D2108"/>
  <c r="C2108"/>
  <c r="B2108"/>
  <c r="A2108"/>
  <c r="K2107"/>
  <c r="J2107"/>
  <c r="I2107"/>
  <c r="H2107"/>
  <c r="G2107"/>
  <c r="F2107"/>
  <c r="E2107"/>
  <c r="D2107"/>
  <c r="C2107"/>
  <c r="B2107"/>
  <c r="A2107"/>
  <c r="K2106"/>
  <c r="J2106"/>
  <c r="I2106"/>
  <c r="H2106"/>
  <c r="G2106"/>
  <c r="F2106"/>
  <c r="E2106"/>
  <c r="D2106"/>
  <c r="C2106"/>
  <c r="B2106"/>
  <c r="A2106"/>
  <c r="K2105"/>
  <c r="J2105"/>
  <c r="I2105"/>
  <c r="H2105"/>
  <c r="G2105"/>
  <c r="F2105"/>
  <c r="E2105"/>
  <c r="D2105"/>
  <c r="C2105"/>
  <c r="B2105"/>
  <c r="A2105"/>
  <c r="K2104"/>
  <c r="J2104"/>
  <c r="I2104"/>
  <c r="H2104"/>
  <c r="G2104"/>
  <c r="F2104"/>
  <c r="E2104"/>
  <c r="D2104"/>
  <c r="C2104"/>
  <c r="B2104"/>
  <c r="A2104"/>
  <c r="K2103"/>
  <c r="J2103"/>
  <c r="I2103"/>
  <c r="H2103"/>
  <c r="G2103"/>
  <c r="F2103"/>
  <c r="E2103"/>
  <c r="D2103"/>
  <c r="C2103"/>
  <c r="B2103"/>
  <c r="A2103"/>
  <c r="K2102"/>
  <c r="J2102"/>
  <c r="I2102"/>
  <c r="H2102"/>
  <c r="G2102"/>
  <c r="F2102"/>
  <c r="E2102"/>
  <c r="D2102"/>
  <c r="C2102"/>
  <c r="B2102"/>
  <c r="A2102"/>
  <c r="K2101"/>
  <c r="J2101"/>
  <c r="I2101"/>
  <c r="H2101"/>
  <c r="G2101"/>
  <c r="F2101"/>
  <c r="E2101"/>
  <c r="D2101"/>
  <c r="C2101"/>
  <c r="B2101"/>
  <c r="A2101"/>
  <c r="K2100"/>
  <c r="J2100"/>
  <c r="I2100"/>
  <c r="H2100"/>
  <c r="G2100"/>
  <c r="F2100"/>
  <c r="E2100"/>
  <c r="D2100"/>
  <c r="C2100"/>
  <c r="B2100"/>
  <c r="A2100"/>
  <c r="K2099"/>
  <c r="J2099"/>
  <c r="I2099"/>
  <c r="H2099"/>
  <c r="G2099"/>
  <c r="F2099"/>
  <c r="E2099"/>
  <c r="D2099"/>
  <c r="C2099"/>
  <c r="B2099"/>
  <c r="A2099"/>
  <c r="K2098"/>
  <c r="J2098"/>
  <c r="I2098"/>
  <c r="H2098"/>
  <c r="G2098"/>
  <c r="F2098"/>
  <c r="E2098"/>
  <c r="D2098"/>
  <c r="C2098"/>
  <c r="B2098"/>
  <c r="A2098"/>
  <c r="K2097"/>
  <c r="J2097"/>
  <c r="I2097"/>
  <c r="H2097"/>
  <c r="G2097"/>
  <c r="F2097"/>
  <c r="E2097"/>
  <c r="D2097"/>
  <c r="C2097"/>
  <c r="B2097"/>
  <c r="A2097"/>
  <c r="K2096"/>
  <c r="J2096"/>
  <c r="I2096"/>
  <c r="H2096"/>
  <c r="G2096"/>
  <c r="F2096"/>
  <c r="E2096"/>
  <c r="D2096"/>
  <c r="C2096"/>
  <c r="B2096"/>
  <c r="A2096"/>
  <c r="K2095"/>
  <c r="J2095"/>
  <c r="I2095"/>
  <c r="H2095"/>
  <c r="G2095"/>
  <c r="F2095"/>
  <c r="E2095"/>
  <c r="D2095"/>
  <c r="C2095"/>
  <c r="B2095"/>
  <c r="A2095"/>
  <c r="K2094"/>
  <c r="J2094"/>
  <c r="I2094"/>
  <c r="H2094"/>
  <c r="G2094"/>
  <c r="F2094"/>
  <c r="E2094"/>
  <c r="D2094"/>
  <c r="C2094"/>
  <c r="B2094"/>
  <c r="A2094"/>
  <c r="K2093"/>
  <c r="J2093"/>
  <c r="I2093"/>
  <c r="H2093"/>
  <c r="G2093"/>
  <c r="F2093"/>
  <c r="E2093"/>
  <c r="D2093"/>
  <c r="C2093"/>
  <c r="B2093"/>
  <c r="A2093"/>
  <c r="K2092"/>
  <c r="J2092"/>
  <c r="I2092"/>
  <c r="H2092"/>
  <c r="G2092"/>
  <c r="F2092"/>
  <c r="E2092"/>
  <c r="D2092"/>
  <c r="C2092"/>
  <c r="B2092"/>
  <c r="A2092"/>
  <c r="K2091"/>
  <c r="J2091"/>
  <c r="I2091"/>
  <c r="H2091"/>
  <c r="G2091"/>
  <c r="F2091"/>
  <c r="E2091"/>
  <c r="D2091"/>
  <c r="C2091"/>
  <c r="B2091"/>
  <c r="A2091"/>
  <c r="K2090"/>
  <c r="J2090"/>
  <c r="I2090"/>
  <c r="H2090"/>
  <c r="G2090"/>
  <c r="F2090"/>
  <c r="E2090"/>
  <c r="D2090"/>
  <c r="C2090"/>
  <c r="B2090"/>
  <c r="A2090"/>
  <c r="K2089"/>
  <c r="J2089"/>
  <c r="I2089"/>
  <c r="H2089"/>
  <c r="G2089"/>
  <c r="F2089"/>
  <c r="E2089"/>
  <c r="D2089"/>
  <c r="C2089"/>
  <c r="B2089"/>
  <c r="A2089"/>
  <c r="K2088"/>
  <c r="J2088"/>
  <c r="I2088"/>
  <c r="H2088"/>
  <c r="G2088"/>
  <c r="F2088"/>
  <c r="E2088"/>
  <c r="D2088"/>
  <c r="C2088"/>
  <c r="B2088"/>
  <c r="A2088"/>
  <c r="K2087"/>
  <c r="J2087"/>
  <c r="I2087"/>
  <c r="H2087"/>
  <c r="G2087"/>
  <c r="F2087"/>
  <c r="E2087"/>
  <c r="D2087"/>
  <c r="C2087"/>
  <c r="B2087"/>
  <c r="A2087"/>
  <c r="K2086"/>
  <c r="J2086"/>
  <c r="I2086"/>
  <c r="H2086"/>
  <c r="G2086"/>
  <c r="F2086"/>
  <c r="E2086"/>
  <c r="D2086"/>
  <c r="C2086"/>
  <c r="B2086"/>
  <c r="A2086"/>
  <c r="K2085"/>
  <c r="J2085"/>
  <c r="I2085"/>
  <c r="H2085"/>
  <c r="G2085"/>
  <c r="F2085"/>
  <c r="E2085"/>
  <c r="D2085"/>
  <c r="C2085"/>
  <c r="B2085"/>
  <c r="A2085"/>
  <c r="K2084"/>
  <c r="J2084"/>
  <c r="I2084"/>
  <c r="H2084"/>
  <c r="G2084"/>
  <c r="F2084"/>
  <c r="E2084"/>
  <c r="D2084"/>
  <c r="C2084"/>
  <c r="B2084"/>
  <c r="A2084"/>
  <c r="K2083"/>
  <c r="J2083"/>
  <c r="I2083"/>
  <c r="H2083"/>
  <c r="G2083"/>
  <c r="F2083"/>
  <c r="E2083"/>
  <c r="D2083"/>
  <c r="C2083"/>
  <c r="B2083"/>
  <c r="A2083"/>
  <c r="K2082"/>
  <c r="J2082"/>
  <c r="I2082"/>
  <c r="H2082"/>
  <c r="G2082"/>
  <c r="F2082"/>
  <c r="E2082"/>
  <c r="D2082"/>
  <c r="C2082"/>
  <c r="B2082"/>
  <c r="A2082"/>
  <c r="K2081"/>
  <c r="J2081"/>
  <c r="I2081"/>
  <c r="H2081"/>
  <c r="G2081"/>
  <c r="F2081"/>
  <c r="E2081"/>
  <c r="D2081"/>
  <c r="C2081"/>
  <c r="B2081"/>
  <c r="A2081"/>
  <c r="K2080"/>
  <c r="J2080"/>
  <c r="I2080"/>
  <c r="H2080"/>
  <c r="G2080"/>
  <c r="F2080"/>
  <c r="E2080"/>
  <c r="D2080"/>
  <c r="C2080"/>
  <c r="B2080"/>
  <c r="A2080"/>
  <c r="K2079"/>
  <c r="J2079"/>
  <c r="I2079"/>
  <c r="H2079"/>
  <c r="G2079"/>
  <c r="F2079"/>
  <c r="E2079"/>
  <c r="D2079"/>
  <c r="C2079"/>
  <c r="B2079"/>
  <c r="A2079"/>
  <c r="K2078"/>
  <c r="J2078"/>
  <c r="I2078"/>
  <c r="H2078"/>
  <c r="G2078"/>
  <c r="F2078"/>
  <c r="E2078"/>
  <c r="D2078"/>
  <c r="C2078"/>
  <c r="B2078"/>
  <c r="A2078"/>
  <c r="K2077"/>
  <c r="J2077"/>
  <c r="I2077"/>
  <c r="H2077"/>
  <c r="G2077"/>
  <c r="F2077"/>
  <c r="E2077"/>
  <c r="D2077"/>
  <c r="C2077"/>
  <c r="B2077"/>
  <c r="A2077"/>
  <c r="K2076"/>
  <c r="J2076"/>
  <c r="I2076"/>
  <c r="H2076"/>
  <c r="G2076"/>
  <c r="F2076"/>
  <c r="E2076"/>
  <c r="D2076"/>
  <c r="C2076"/>
  <c r="B2076"/>
  <c r="A2076"/>
  <c r="K2075"/>
  <c r="J2075"/>
  <c r="I2075"/>
  <c r="H2075"/>
  <c r="G2075"/>
  <c r="F2075"/>
  <c r="E2075"/>
  <c r="D2075"/>
  <c r="C2075"/>
  <c r="B2075"/>
  <c r="A2075"/>
  <c r="K2074"/>
  <c r="J2074"/>
  <c r="I2074"/>
  <c r="H2074"/>
  <c r="G2074"/>
  <c r="F2074"/>
  <c r="E2074"/>
  <c r="D2074"/>
  <c r="C2074"/>
  <c r="B2074"/>
  <c r="A2074"/>
  <c r="K2073"/>
  <c r="J2073"/>
  <c r="I2073"/>
  <c r="H2073"/>
  <c r="G2073"/>
  <c r="F2073"/>
  <c r="E2073"/>
  <c r="D2073"/>
  <c r="C2073"/>
  <c r="B2073"/>
  <c r="A2073"/>
  <c r="K2072"/>
  <c r="J2072"/>
  <c r="I2072"/>
  <c r="H2072"/>
  <c r="G2072"/>
  <c r="F2072"/>
  <c r="E2072"/>
  <c r="D2072"/>
  <c r="C2072"/>
  <c r="B2072"/>
  <c r="A2072"/>
  <c r="K2071"/>
  <c r="J2071"/>
  <c r="I2071"/>
  <c r="H2071"/>
  <c r="G2071"/>
  <c r="F2071"/>
  <c r="E2071"/>
  <c r="D2071"/>
  <c r="C2071"/>
  <c r="B2071"/>
  <c r="A2071"/>
  <c r="K2070"/>
  <c r="J2070"/>
  <c r="I2070"/>
  <c r="H2070"/>
  <c r="G2070"/>
  <c r="F2070"/>
  <c r="E2070"/>
  <c r="D2070"/>
  <c r="C2070"/>
  <c r="B2070"/>
  <c r="A2070"/>
  <c r="K2069"/>
  <c r="J2069"/>
  <c r="I2069"/>
  <c r="H2069"/>
  <c r="G2069"/>
  <c r="F2069"/>
  <c r="E2069"/>
  <c r="D2069"/>
  <c r="C2069"/>
  <c r="B2069"/>
  <c r="A2069"/>
  <c r="K2068"/>
  <c r="J2068"/>
  <c r="I2068"/>
  <c r="H2068"/>
  <c r="G2068"/>
  <c r="F2068"/>
  <c r="E2068"/>
  <c r="D2068"/>
  <c r="C2068"/>
  <c r="B2068"/>
  <c r="A2068"/>
  <c r="K2067"/>
  <c r="J2067"/>
  <c r="I2067"/>
  <c r="H2067"/>
  <c r="G2067"/>
  <c r="F2067"/>
  <c r="E2067"/>
  <c r="D2067"/>
  <c r="C2067"/>
  <c r="B2067"/>
  <c r="A2067"/>
  <c r="K2066"/>
  <c r="J2066"/>
  <c r="I2066"/>
  <c r="H2066"/>
  <c r="G2066"/>
  <c r="F2066"/>
  <c r="E2066"/>
  <c r="D2066"/>
  <c r="C2066"/>
  <c r="B2066"/>
  <c r="A2066"/>
  <c r="K2065"/>
  <c r="J2065"/>
  <c r="I2065"/>
  <c r="H2065"/>
  <c r="G2065"/>
  <c r="F2065"/>
  <c r="E2065"/>
  <c r="D2065"/>
  <c r="C2065"/>
  <c r="B2065"/>
  <c r="A2065"/>
  <c r="K2064"/>
  <c r="J2064"/>
  <c r="I2064"/>
  <c r="H2064"/>
  <c r="G2064"/>
  <c r="F2064"/>
  <c r="E2064"/>
  <c r="D2064"/>
  <c r="C2064"/>
  <c r="B2064"/>
  <c r="A2064"/>
  <c r="K2063"/>
  <c r="J2063"/>
  <c r="I2063"/>
  <c r="H2063"/>
  <c r="G2063"/>
  <c r="F2063"/>
  <c r="E2063"/>
  <c r="D2063"/>
  <c r="C2063"/>
  <c r="B2063"/>
  <c r="A2063"/>
  <c r="K2062"/>
  <c r="J2062"/>
  <c r="I2062"/>
  <c r="H2062"/>
  <c r="G2062"/>
  <c r="F2062"/>
  <c r="E2062"/>
  <c r="D2062"/>
  <c r="C2062"/>
  <c r="B2062"/>
  <c r="A2062"/>
  <c r="K2061"/>
  <c r="J2061"/>
  <c r="I2061"/>
  <c r="H2061"/>
  <c r="G2061"/>
  <c r="F2061"/>
  <c r="E2061"/>
  <c r="D2061"/>
  <c r="C2061"/>
  <c r="B2061"/>
  <c r="A2061"/>
  <c r="K2060"/>
  <c r="J2060"/>
  <c r="I2060"/>
  <c r="H2060"/>
  <c r="G2060"/>
  <c r="F2060"/>
  <c r="E2060"/>
  <c r="D2060"/>
  <c r="C2060"/>
  <c r="B2060"/>
  <c r="A2060"/>
  <c r="K2059"/>
  <c r="J2059"/>
  <c r="I2059"/>
  <c r="H2059"/>
  <c r="G2059"/>
  <c r="F2059"/>
  <c r="E2059"/>
  <c r="D2059"/>
  <c r="C2059"/>
  <c r="B2059"/>
  <c r="A2059"/>
  <c r="K2058"/>
  <c r="J2058"/>
  <c r="I2058"/>
  <c r="H2058"/>
  <c r="G2058"/>
  <c r="F2058"/>
  <c r="E2058"/>
  <c r="D2058"/>
  <c r="C2058"/>
  <c r="B2058"/>
  <c r="A2058"/>
  <c r="K2057"/>
  <c r="J2057"/>
  <c r="I2057"/>
  <c r="H2057"/>
  <c r="G2057"/>
  <c r="F2057"/>
  <c r="E2057"/>
  <c r="D2057"/>
  <c r="C2057"/>
  <c r="B2057"/>
  <c r="A2057"/>
  <c r="K2056"/>
  <c r="J2056"/>
  <c r="I2056"/>
  <c r="H2056"/>
  <c r="G2056"/>
  <c r="F2056"/>
  <c r="E2056"/>
  <c r="D2056"/>
  <c r="C2056"/>
  <c r="B2056"/>
  <c r="A2056"/>
  <c r="K2055"/>
  <c r="J2055"/>
  <c r="I2055"/>
  <c r="H2055"/>
  <c r="G2055"/>
  <c r="F2055"/>
  <c r="E2055"/>
  <c r="D2055"/>
  <c r="C2055"/>
  <c r="B2055"/>
  <c r="A2055"/>
  <c r="K2054"/>
  <c r="J2054"/>
  <c r="I2054"/>
  <c r="H2054"/>
  <c r="G2054"/>
  <c r="F2054"/>
  <c r="E2054"/>
  <c r="D2054"/>
  <c r="C2054"/>
  <c r="B2054"/>
  <c r="A2054"/>
  <c r="K2053"/>
  <c r="J2053"/>
  <c r="I2053"/>
  <c r="H2053"/>
  <c r="G2053"/>
  <c r="F2053"/>
  <c r="E2053"/>
  <c r="D2053"/>
  <c r="C2053"/>
  <c r="B2053"/>
  <c r="A2053"/>
  <c r="K2052"/>
  <c r="J2052"/>
  <c r="I2052"/>
  <c r="H2052"/>
  <c r="G2052"/>
  <c r="F2052"/>
  <c r="E2052"/>
  <c r="D2052"/>
  <c r="C2052"/>
  <c r="B2052"/>
  <c r="A2052"/>
  <c r="K2051"/>
  <c r="J2051"/>
  <c r="I2051"/>
  <c r="H2051"/>
  <c r="G2051"/>
  <c r="F2051"/>
  <c r="E2051"/>
  <c r="D2051"/>
  <c r="C2051"/>
  <c r="B2051"/>
  <c r="A2051"/>
  <c r="K2050"/>
  <c r="J2050"/>
  <c r="I2050"/>
  <c r="H2050"/>
  <c r="G2050"/>
  <c r="F2050"/>
  <c r="E2050"/>
  <c r="D2050"/>
  <c r="C2050"/>
  <c r="B2050"/>
  <c r="A2050"/>
  <c r="K2049"/>
  <c r="J2049"/>
  <c r="I2049"/>
  <c r="H2049"/>
  <c r="G2049"/>
  <c r="F2049"/>
  <c r="E2049"/>
  <c r="D2049"/>
  <c r="C2049"/>
  <c r="B2049"/>
  <c r="A2049"/>
  <c r="K2048"/>
  <c r="J2048"/>
  <c r="I2048"/>
  <c r="H2048"/>
  <c r="G2048"/>
  <c r="F2048"/>
  <c r="E2048"/>
  <c r="D2048"/>
  <c r="C2048"/>
  <c r="B2048"/>
  <c r="A2048"/>
  <c r="K2047"/>
  <c r="J2047"/>
  <c r="I2047"/>
  <c r="H2047"/>
  <c r="G2047"/>
  <c r="F2047"/>
  <c r="E2047"/>
  <c r="D2047"/>
  <c r="C2047"/>
  <c r="B2047"/>
  <c r="A2047"/>
  <c r="K2046"/>
  <c r="J2046"/>
  <c r="I2046"/>
  <c r="H2046"/>
  <c r="G2046"/>
  <c r="F2046"/>
  <c r="E2046"/>
  <c r="D2046"/>
  <c r="C2046"/>
  <c r="B2046"/>
  <c r="A2046"/>
  <c r="K2045"/>
  <c r="J2045"/>
  <c r="I2045"/>
  <c r="H2045"/>
  <c r="G2045"/>
  <c r="F2045"/>
  <c r="E2045"/>
  <c r="D2045"/>
  <c r="C2045"/>
  <c r="B2045"/>
  <c r="A2045"/>
  <c r="K2044"/>
  <c r="J2044"/>
  <c r="I2044"/>
  <c r="H2044"/>
  <c r="G2044"/>
  <c r="F2044"/>
  <c r="E2044"/>
  <c r="D2044"/>
  <c r="C2044"/>
  <c r="B2044"/>
  <c r="A2044"/>
  <c r="K2043"/>
  <c r="J2043"/>
  <c r="I2043"/>
  <c r="H2043"/>
  <c r="G2043"/>
  <c r="F2043"/>
  <c r="E2043"/>
  <c r="D2043"/>
  <c r="C2043"/>
  <c r="B2043"/>
  <c r="A2043"/>
  <c r="K2042"/>
  <c r="J2042"/>
  <c r="I2042"/>
  <c r="H2042"/>
  <c r="G2042"/>
  <c r="F2042"/>
  <c r="E2042"/>
  <c r="D2042"/>
  <c r="C2042"/>
  <c r="B2042"/>
  <c r="A2042"/>
  <c r="K2041"/>
  <c r="J2041"/>
  <c r="I2041"/>
  <c r="H2041"/>
  <c r="G2041"/>
  <c r="F2041"/>
  <c r="E2041"/>
  <c r="D2041"/>
  <c r="C2041"/>
  <c r="B2041"/>
  <c r="A2041"/>
  <c r="K2040"/>
  <c r="J2040"/>
  <c r="I2040"/>
  <c r="H2040"/>
  <c r="G2040"/>
  <c r="F2040"/>
  <c r="E2040"/>
  <c r="D2040"/>
  <c r="C2040"/>
  <c r="B2040"/>
  <c r="A2040"/>
  <c r="K2039"/>
  <c r="J2039"/>
  <c r="I2039"/>
  <c r="H2039"/>
  <c r="G2039"/>
  <c r="F2039"/>
  <c r="E2039"/>
  <c r="D2039"/>
  <c r="C2039"/>
  <c r="B2039"/>
  <c r="A2039"/>
  <c r="K2038"/>
  <c r="J2038"/>
  <c r="I2038"/>
  <c r="H2038"/>
  <c r="G2038"/>
  <c r="F2038"/>
  <c r="E2038"/>
  <c r="D2038"/>
  <c r="C2038"/>
  <c r="B2038"/>
  <c r="A2038"/>
  <c r="K2037"/>
  <c r="J2037"/>
  <c r="I2037"/>
  <c r="H2037"/>
  <c r="G2037"/>
  <c r="F2037"/>
  <c r="E2037"/>
  <c r="D2037"/>
  <c r="C2037"/>
  <c r="B2037"/>
  <c r="A2037"/>
  <c r="K2036"/>
  <c r="J2036"/>
  <c r="I2036"/>
  <c r="H2036"/>
  <c r="G2036"/>
  <c r="F2036"/>
  <c r="E2036"/>
  <c r="D2036"/>
  <c r="C2036"/>
  <c r="B2036"/>
  <c r="A2036"/>
  <c r="K2035"/>
  <c r="J2035"/>
  <c r="I2035"/>
  <c r="H2035"/>
  <c r="G2035"/>
  <c r="F2035"/>
  <c r="E2035"/>
  <c r="D2035"/>
  <c r="C2035"/>
  <c r="B2035"/>
  <c r="A2035"/>
  <c r="K2034"/>
  <c r="J2034"/>
  <c r="I2034"/>
  <c r="H2034"/>
  <c r="G2034"/>
  <c r="F2034"/>
  <c r="E2034"/>
  <c r="D2034"/>
  <c r="C2034"/>
  <c r="B2034"/>
  <c r="A2034"/>
  <c r="K2033"/>
  <c r="J2033"/>
  <c r="I2033"/>
  <c r="H2033"/>
  <c r="G2033"/>
  <c r="F2033"/>
  <c r="E2033"/>
  <c r="D2033"/>
  <c r="C2033"/>
  <c r="B2033"/>
  <c r="A2033"/>
  <c r="K2032"/>
  <c r="J2032"/>
  <c r="I2032"/>
  <c r="H2032"/>
  <c r="G2032"/>
  <c r="F2032"/>
  <c r="E2032"/>
  <c r="D2032"/>
  <c r="C2032"/>
  <c r="B2032"/>
  <c r="A2032"/>
  <c r="K2031"/>
  <c r="J2031"/>
  <c r="I2031"/>
  <c r="H2031"/>
  <c r="G2031"/>
  <c r="F2031"/>
  <c r="E2031"/>
  <c r="D2031"/>
  <c r="C2031"/>
  <c r="B2031"/>
  <c r="A2031"/>
  <c r="K2030"/>
  <c r="J2030"/>
  <c r="I2030"/>
  <c r="H2030"/>
  <c r="G2030"/>
  <c r="F2030"/>
  <c r="E2030"/>
  <c r="D2030"/>
  <c r="C2030"/>
  <c r="B2030"/>
  <c r="A2030"/>
  <c r="K2029"/>
  <c r="J2029"/>
  <c r="I2029"/>
  <c r="H2029"/>
  <c r="G2029"/>
  <c r="F2029"/>
  <c r="E2029"/>
  <c r="D2029"/>
  <c r="C2029"/>
  <c r="B2029"/>
  <c r="A2029"/>
  <c r="K2028"/>
  <c r="J2028"/>
  <c r="I2028"/>
  <c r="H2028"/>
  <c r="G2028"/>
  <c r="F2028"/>
  <c r="E2028"/>
  <c r="D2028"/>
  <c r="C2028"/>
  <c r="B2028"/>
  <c r="A2028"/>
  <c r="K2027"/>
  <c r="J2027"/>
  <c r="I2027"/>
  <c r="H2027"/>
  <c r="G2027"/>
  <c r="F2027"/>
  <c r="E2027"/>
  <c r="D2027"/>
  <c r="C2027"/>
  <c r="B2027"/>
  <c r="A2027"/>
  <c r="K2026"/>
  <c r="J2026"/>
  <c r="I2026"/>
  <c r="H2026"/>
  <c r="G2026"/>
  <c r="F2026"/>
  <c r="E2026"/>
  <c r="D2026"/>
  <c r="C2026"/>
  <c r="B2026"/>
  <c r="A2026"/>
  <c r="K2025"/>
  <c r="J2025"/>
  <c r="I2025"/>
  <c r="H2025"/>
  <c r="G2025"/>
  <c r="F2025"/>
  <c r="E2025"/>
  <c r="D2025"/>
  <c r="C2025"/>
  <c r="B2025"/>
  <c r="A2025"/>
  <c r="K2024"/>
  <c r="J2024"/>
  <c r="I2024"/>
  <c r="H2024"/>
  <c r="G2024"/>
  <c r="F2024"/>
  <c r="E2024"/>
  <c r="D2024"/>
  <c r="C2024"/>
  <c r="B2024"/>
  <c r="A2024"/>
  <c r="K2023"/>
  <c r="J2023"/>
  <c r="I2023"/>
  <c r="H2023"/>
  <c r="G2023"/>
  <c r="F2023"/>
  <c r="E2023"/>
  <c r="D2023"/>
  <c r="C2023"/>
  <c r="B2023"/>
  <c r="A2023"/>
  <c r="K2022"/>
  <c r="J2022"/>
  <c r="I2022"/>
  <c r="H2022"/>
  <c r="G2022"/>
  <c r="F2022"/>
  <c r="E2022"/>
  <c r="D2022"/>
  <c r="C2022"/>
  <c r="B2022"/>
  <c r="A2022"/>
  <c r="K2021"/>
  <c r="J2021"/>
  <c r="I2021"/>
  <c r="H2021"/>
  <c r="G2021"/>
  <c r="F2021"/>
  <c r="E2021"/>
  <c r="D2021"/>
  <c r="C2021"/>
  <c r="B2021"/>
  <c r="A2021"/>
  <c r="K2020"/>
  <c r="J2020"/>
  <c r="I2020"/>
  <c r="H2020"/>
  <c r="G2020"/>
  <c r="F2020"/>
  <c r="E2020"/>
  <c r="D2020"/>
  <c r="C2020"/>
  <c r="B2020"/>
  <c r="A2020"/>
  <c r="K2019"/>
  <c r="J2019"/>
  <c r="I2019"/>
  <c r="H2019"/>
  <c r="G2019"/>
  <c r="F2019"/>
  <c r="E2019"/>
  <c r="D2019"/>
  <c r="C2019"/>
  <c r="B2019"/>
  <c r="A2019"/>
  <c r="K2018"/>
  <c r="J2018"/>
  <c r="I2018"/>
  <c r="H2018"/>
  <c r="G2018"/>
  <c r="F2018"/>
  <c r="E2018"/>
  <c r="D2018"/>
  <c r="C2018"/>
  <c r="B2018"/>
  <c r="A2018"/>
  <c r="K2017"/>
  <c r="J2017"/>
  <c r="I2017"/>
  <c r="H2017"/>
  <c r="G2017"/>
  <c r="F2017"/>
  <c r="E2017"/>
  <c r="D2017"/>
  <c r="C2017"/>
  <c r="B2017"/>
  <c r="A2017"/>
  <c r="K2016"/>
  <c r="J2016"/>
  <c r="I2016"/>
  <c r="H2016"/>
  <c r="G2016"/>
  <c r="F2016"/>
  <c r="E2016"/>
  <c r="D2016"/>
  <c r="C2016"/>
  <c r="B2016"/>
  <c r="A2016"/>
  <c r="K2015"/>
  <c r="J2015"/>
  <c r="I2015"/>
  <c r="H2015"/>
  <c r="G2015"/>
  <c r="F2015"/>
  <c r="E2015"/>
  <c r="D2015"/>
  <c r="C2015"/>
  <c r="B2015"/>
  <c r="A2015"/>
  <c r="K2014"/>
  <c r="J2014"/>
  <c r="I2014"/>
  <c r="H2014"/>
  <c r="G2014"/>
  <c r="F2014"/>
  <c r="E2014"/>
  <c r="D2014"/>
  <c r="C2014"/>
  <c r="B2014"/>
  <c r="A2014"/>
  <c r="K2013"/>
  <c r="J2013"/>
  <c r="I2013"/>
  <c r="H2013"/>
  <c r="G2013"/>
  <c r="F2013"/>
  <c r="E2013"/>
  <c r="D2013"/>
  <c r="C2013"/>
  <c r="B2013"/>
  <c r="A2013"/>
  <c r="K2012"/>
  <c r="J2012"/>
  <c r="I2012"/>
  <c r="H2012"/>
  <c r="G2012"/>
  <c r="F2012"/>
  <c r="E2012"/>
  <c r="D2012"/>
  <c r="C2012"/>
  <c r="B2012"/>
  <c r="A2012"/>
  <c r="K2011"/>
  <c r="J2011"/>
  <c r="I2011"/>
  <c r="H2011"/>
  <c r="G2011"/>
  <c r="F2011"/>
  <c r="E2011"/>
  <c r="D2011"/>
  <c r="C2011"/>
  <c r="B2011"/>
  <c r="A2011"/>
  <c r="K2010"/>
  <c r="J2010"/>
  <c r="I2010"/>
  <c r="H2010"/>
  <c r="G2010"/>
  <c r="F2010"/>
  <c r="E2010"/>
  <c r="D2010"/>
  <c r="C2010"/>
  <c r="B2010"/>
  <c r="A2010"/>
  <c r="K2009"/>
  <c r="J2009"/>
  <c r="I2009"/>
  <c r="H2009"/>
  <c r="G2009"/>
  <c r="F2009"/>
  <c r="E2009"/>
  <c r="D2009"/>
  <c r="C2009"/>
  <c r="B2009"/>
  <c r="A2009"/>
  <c r="K2008"/>
  <c r="J2008"/>
  <c r="I2008"/>
  <c r="H2008"/>
  <c r="G2008"/>
  <c r="F2008"/>
  <c r="E2008"/>
  <c r="D2008"/>
  <c r="C2008"/>
  <c r="B2008"/>
  <c r="A2008"/>
  <c r="K2007"/>
  <c r="J2007"/>
  <c r="I2007"/>
  <c r="H2007"/>
  <c r="G2007"/>
  <c r="F2007"/>
  <c r="E2007"/>
  <c r="D2007"/>
  <c r="C2007"/>
  <c r="B2007"/>
  <c r="A2007"/>
  <c r="K2006"/>
  <c r="J2006"/>
  <c r="I2006"/>
  <c r="H2006"/>
  <c r="G2006"/>
  <c r="F2006"/>
  <c r="E2006"/>
  <c r="D2006"/>
  <c r="C2006"/>
  <c r="B2006"/>
  <c r="A2006"/>
  <c r="K2005"/>
  <c r="J2005"/>
  <c r="I2005"/>
  <c r="H2005"/>
  <c r="G2005"/>
  <c r="F2005"/>
  <c r="E2005"/>
  <c r="D2005"/>
  <c r="C2005"/>
  <c r="B2005"/>
  <c r="A2005"/>
  <c r="K2004"/>
  <c r="J2004"/>
  <c r="I2004"/>
  <c r="H2004"/>
  <c r="G2004"/>
  <c r="F2004"/>
  <c r="E2004"/>
  <c r="D2004"/>
  <c r="C2004"/>
  <c r="B2004"/>
  <c r="A2004"/>
  <c r="K2003"/>
  <c r="J2003"/>
  <c r="I2003"/>
  <c r="H2003"/>
  <c r="G2003"/>
  <c r="F2003"/>
  <c r="E2003"/>
  <c r="D2003"/>
  <c r="C2003"/>
  <c r="B2003"/>
  <c r="A2003"/>
  <c r="K2002"/>
  <c r="J2002"/>
  <c r="I2002"/>
  <c r="H2002"/>
  <c r="G2002"/>
  <c r="F2002"/>
  <c r="E2002"/>
  <c r="D2002"/>
  <c r="C2002"/>
  <c r="B2002"/>
  <c r="A2002"/>
  <c r="K2001"/>
  <c r="J2001"/>
  <c r="I2001"/>
  <c r="H2001"/>
  <c r="G2001"/>
  <c r="F2001"/>
  <c r="E2001"/>
  <c r="D2001"/>
  <c r="C2001"/>
  <c r="B2001"/>
  <c r="A2001"/>
  <c r="K2000"/>
  <c r="J2000"/>
  <c r="I2000"/>
  <c r="H2000"/>
  <c r="G2000"/>
  <c r="F2000"/>
  <c r="E2000"/>
  <c r="D2000"/>
  <c r="C2000"/>
  <c r="B2000"/>
  <c r="A2000"/>
  <c r="K1999"/>
  <c r="J1999"/>
  <c r="I1999"/>
  <c r="H1999"/>
  <c r="G1999"/>
  <c r="F1999"/>
  <c r="E1999"/>
  <c r="D1999"/>
  <c r="C1999"/>
  <c r="B1999"/>
  <c r="A1999"/>
  <c r="K1998"/>
  <c r="J1998"/>
  <c r="I1998"/>
  <c r="H1998"/>
  <c r="G1998"/>
  <c r="F1998"/>
  <c r="E1998"/>
  <c r="D1998"/>
  <c r="C1998"/>
  <c r="B1998"/>
  <c r="A1998"/>
  <c r="K1997"/>
  <c r="J1997"/>
  <c r="I1997"/>
  <c r="H1997"/>
  <c r="G1997"/>
  <c r="F1997"/>
  <c r="E1997"/>
  <c r="D1997"/>
  <c r="C1997"/>
  <c r="B1997"/>
  <c r="A1997"/>
  <c r="K1996"/>
  <c r="J1996"/>
  <c r="I1996"/>
  <c r="H1996"/>
  <c r="G1996"/>
  <c r="F1996"/>
  <c r="E1996"/>
  <c r="D1996"/>
  <c r="C1996"/>
  <c r="B1996"/>
  <c r="A1996"/>
  <c r="K1995"/>
  <c r="J1995"/>
  <c r="I1995"/>
  <c r="H1995"/>
  <c r="G1995"/>
  <c r="F1995"/>
  <c r="E1995"/>
  <c r="D1995"/>
  <c r="C1995"/>
  <c r="B1995"/>
  <c r="A1995"/>
  <c r="K1994"/>
  <c r="J1994"/>
  <c r="I1994"/>
  <c r="H1994"/>
  <c r="G1994"/>
  <c r="F1994"/>
  <c r="E1994"/>
  <c r="D1994"/>
  <c r="C1994"/>
  <c r="B1994"/>
  <c r="A1994"/>
  <c r="K1993"/>
  <c r="J1993"/>
  <c r="I1993"/>
  <c r="H1993"/>
  <c r="G1993"/>
  <c r="F1993"/>
  <c r="E1993"/>
  <c r="D1993"/>
  <c r="C1993"/>
  <c r="B1993"/>
  <c r="A1993"/>
  <c r="K1992"/>
  <c r="J1992"/>
  <c r="I1992"/>
  <c r="H1992"/>
  <c r="G1992"/>
  <c r="F1992"/>
  <c r="E1992"/>
  <c r="D1992"/>
  <c r="C1992"/>
  <c r="B1992"/>
  <c r="A1992"/>
  <c r="K1991"/>
  <c r="J1991"/>
  <c r="I1991"/>
  <c r="H1991"/>
  <c r="G1991"/>
  <c r="F1991"/>
  <c r="E1991"/>
  <c r="D1991"/>
  <c r="C1991"/>
  <c r="B1991"/>
  <c r="A1991"/>
  <c r="K1990"/>
  <c r="J1990"/>
  <c r="I1990"/>
  <c r="H1990"/>
  <c r="G1990"/>
  <c r="F1990"/>
  <c r="E1990"/>
  <c r="D1990"/>
  <c r="C1990"/>
  <c r="B1990"/>
  <c r="A1990"/>
  <c r="K1989"/>
  <c r="J1989"/>
  <c r="I1989"/>
  <c r="H1989"/>
  <c r="G1989"/>
  <c r="F1989"/>
  <c r="E1989"/>
  <c r="D1989"/>
  <c r="C1989"/>
  <c r="B1989"/>
  <c r="A1989"/>
  <c r="K1988"/>
  <c r="J1988"/>
  <c r="I1988"/>
  <c r="H1988"/>
  <c r="G1988"/>
  <c r="F1988"/>
  <c r="E1988"/>
  <c r="D1988"/>
  <c r="C1988"/>
  <c r="B1988"/>
  <c r="A1988"/>
  <c r="K1987"/>
  <c r="J1987"/>
  <c r="I1987"/>
  <c r="H1987"/>
  <c r="G1987"/>
  <c r="F1987"/>
  <c r="E1987"/>
  <c r="D1987"/>
  <c r="C1987"/>
  <c r="B1987"/>
  <c r="A1987"/>
  <c r="K1986"/>
  <c r="J1986"/>
  <c r="I1986"/>
  <c r="H1986"/>
  <c r="G1986"/>
  <c r="F1986"/>
  <c r="E1986"/>
  <c r="D1986"/>
  <c r="C1986"/>
  <c r="B1986"/>
  <c r="A1986"/>
  <c r="K1985"/>
  <c r="J1985"/>
  <c r="I1985"/>
  <c r="H1985"/>
  <c r="G1985"/>
  <c r="F1985"/>
  <c r="E1985"/>
  <c r="D1985"/>
  <c r="C1985"/>
  <c r="B1985"/>
  <c r="A1985"/>
  <c r="K1984"/>
  <c r="J1984"/>
  <c r="I1984"/>
  <c r="H1984"/>
  <c r="G1984"/>
  <c r="F1984"/>
  <c r="E1984"/>
  <c r="D1984"/>
  <c r="C1984"/>
  <c r="B1984"/>
  <c r="A1984"/>
  <c r="K1983"/>
  <c r="J1983"/>
  <c r="I1983"/>
  <c r="H1983"/>
  <c r="G1983"/>
  <c r="F1983"/>
  <c r="E1983"/>
  <c r="D1983"/>
  <c r="C1983"/>
  <c r="B1983"/>
  <c r="A1983"/>
  <c r="K1982"/>
  <c r="J1982"/>
  <c r="I1982"/>
  <c r="H1982"/>
  <c r="G1982"/>
  <c r="F1982"/>
  <c r="E1982"/>
  <c r="D1982"/>
  <c r="C1982"/>
  <c r="B1982"/>
  <c r="A1982"/>
  <c r="K1981"/>
  <c r="J1981"/>
  <c r="I1981"/>
  <c r="H1981"/>
  <c r="G1981"/>
  <c r="F1981"/>
  <c r="E1981"/>
  <c r="D1981"/>
  <c r="C1981"/>
  <c r="B1981"/>
  <c r="A1981"/>
  <c r="K1980"/>
  <c r="J1980"/>
  <c r="I1980"/>
  <c r="H1980"/>
  <c r="G1980"/>
  <c r="F1980"/>
  <c r="E1980"/>
  <c r="D1980"/>
  <c r="C1980"/>
  <c r="B1980"/>
  <c r="A1980"/>
  <c r="K1979"/>
  <c r="J1979"/>
  <c r="I1979"/>
  <c r="H1979"/>
  <c r="G1979"/>
  <c r="F1979"/>
  <c r="E1979"/>
  <c r="D1979"/>
  <c r="C1979"/>
  <c r="B1979"/>
  <c r="A1979"/>
  <c r="K1978"/>
  <c r="J1978"/>
  <c r="I1978"/>
  <c r="H1978"/>
  <c r="G1978"/>
  <c r="F1978"/>
  <c r="E1978"/>
  <c r="D1978"/>
  <c r="C1978"/>
  <c r="B1978"/>
  <c r="A1978"/>
  <c r="K1977"/>
  <c r="J1977"/>
  <c r="I1977"/>
  <c r="H1977"/>
  <c r="G1977"/>
  <c r="F1977"/>
  <c r="E1977"/>
  <c r="D1977"/>
  <c r="C1977"/>
  <c r="B1977"/>
  <c r="A1977"/>
  <c r="K1976"/>
  <c r="J1976"/>
  <c r="I1976"/>
  <c r="H1976"/>
  <c r="G1976"/>
  <c r="F1976"/>
  <c r="E1976"/>
  <c r="D1976"/>
  <c r="C1976"/>
  <c r="B1976"/>
  <c r="A1976"/>
  <c r="K1975"/>
  <c r="J1975"/>
  <c r="I1975"/>
  <c r="H1975"/>
  <c r="G1975"/>
  <c r="F1975"/>
  <c r="E1975"/>
  <c r="D1975"/>
  <c r="C1975"/>
  <c r="B1975"/>
  <c r="A1975"/>
  <c r="K1974"/>
  <c r="J1974"/>
  <c r="I1974"/>
  <c r="H1974"/>
  <c r="G1974"/>
  <c r="F1974"/>
  <c r="E1974"/>
  <c r="D1974"/>
  <c r="C1974"/>
  <c r="B1974"/>
  <c r="A1974"/>
  <c r="K1973"/>
  <c r="J1973"/>
  <c r="I1973"/>
  <c r="H1973"/>
  <c r="G1973"/>
  <c r="F1973"/>
  <c r="E1973"/>
  <c r="D1973"/>
  <c r="C1973"/>
  <c r="B1973"/>
  <c r="A1973"/>
  <c r="K1972"/>
  <c r="J1972"/>
  <c r="I1972"/>
  <c r="H1972"/>
  <c r="G1972"/>
  <c r="F1972"/>
  <c r="E1972"/>
  <c r="D1972"/>
  <c r="C1972"/>
  <c r="B1972"/>
  <c r="A1972"/>
  <c r="K1971"/>
  <c r="J1971"/>
  <c r="I1971"/>
  <c r="H1971"/>
  <c r="G1971"/>
  <c r="F1971"/>
  <c r="E1971"/>
  <c r="D1971"/>
  <c r="C1971"/>
  <c r="B1971"/>
  <c r="A1971"/>
  <c r="K1970"/>
  <c r="J1970"/>
  <c r="I1970"/>
  <c r="H1970"/>
  <c r="G1970"/>
  <c r="F1970"/>
  <c r="E1970"/>
  <c r="D1970"/>
  <c r="C1970"/>
  <c r="B1970"/>
  <c r="A1970"/>
  <c r="K1969"/>
  <c r="J1969"/>
  <c r="I1969"/>
  <c r="H1969"/>
  <c r="G1969"/>
  <c r="F1969"/>
  <c r="E1969"/>
  <c r="D1969"/>
  <c r="C1969"/>
  <c r="B1969"/>
  <c r="A1969"/>
  <c r="K1968"/>
  <c r="J1968"/>
  <c r="I1968"/>
  <c r="H1968"/>
  <c r="G1968"/>
  <c r="F1968"/>
  <c r="E1968"/>
  <c r="D1968"/>
  <c r="C1968"/>
  <c r="B1968"/>
  <c r="A1968"/>
  <c r="K1967"/>
  <c r="J1967"/>
  <c r="I1967"/>
  <c r="H1967"/>
  <c r="G1967"/>
  <c r="F1967"/>
  <c r="E1967"/>
  <c r="D1967"/>
  <c r="C1967"/>
  <c r="B1967"/>
  <c r="A1967"/>
  <c r="K1966"/>
  <c r="J1966"/>
  <c r="I1966"/>
  <c r="H1966"/>
  <c r="G1966"/>
  <c r="F1966"/>
  <c r="E1966"/>
  <c r="D1966"/>
  <c r="C1966"/>
  <c r="B1966"/>
  <c r="A1966"/>
  <c r="K1965"/>
  <c r="J1965"/>
  <c r="I1965"/>
  <c r="H1965"/>
  <c r="G1965"/>
  <c r="F1965"/>
  <c r="E1965"/>
  <c r="D1965"/>
  <c r="C1965"/>
  <c r="B1965"/>
  <c r="A1965"/>
  <c r="K1964"/>
  <c r="J1964"/>
  <c r="I1964"/>
  <c r="H1964"/>
  <c r="G1964"/>
  <c r="F1964"/>
  <c r="E1964"/>
  <c r="D1964"/>
  <c r="C1964"/>
  <c r="B1964"/>
  <c r="A1964"/>
  <c r="K1963"/>
  <c r="J1963"/>
  <c r="I1963"/>
  <c r="H1963"/>
  <c r="G1963"/>
  <c r="F1963"/>
  <c r="E1963"/>
  <c r="D1963"/>
  <c r="C1963"/>
  <c r="B1963"/>
  <c r="A1963"/>
  <c r="K1962"/>
  <c r="J1962"/>
  <c r="I1962"/>
  <c r="H1962"/>
  <c r="G1962"/>
  <c r="F1962"/>
  <c r="E1962"/>
  <c r="D1962"/>
  <c r="C1962"/>
  <c r="B1962"/>
  <c r="A1962"/>
  <c r="K1961"/>
  <c r="J1961"/>
  <c r="I1961"/>
  <c r="H1961"/>
  <c r="G1961"/>
  <c r="F1961"/>
  <c r="E1961"/>
  <c r="D1961"/>
  <c r="C1961"/>
  <c r="B1961"/>
  <c r="A1961"/>
  <c r="K1960"/>
  <c r="J1960"/>
  <c r="I1960"/>
  <c r="H1960"/>
  <c r="G1960"/>
  <c r="F1960"/>
  <c r="E1960"/>
  <c r="D1960"/>
  <c r="C1960"/>
  <c r="B1960"/>
  <c r="A1960"/>
  <c r="K1959"/>
  <c r="J1959"/>
  <c r="I1959"/>
  <c r="H1959"/>
  <c r="G1959"/>
  <c r="F1959"/>
  <c r="E1959"/>
  <c r="D1959"/>
  <c r="C1959"/>
  <c r="B1959"/>
  <c r="A1959"/>
  <c r="K1958"/>
  <c r="J1958"/>
  <c r="I1958"/>
  <c r="H1958"/>
  <c r="G1958"/>
  <c r="F1958"/>
  <c r="E1958"/>
  <c r="D1958"/>
  <c r="C1958"/>
  <c r="B1958"/>
  <c r="A1958"/>
  <c r="K1957"/>
  <c r="J1957"/>
  <c r="I1957"/>
  <c r="H1957"/>
  <c r="G1957"/>
  <c r="F1957"/>
  <c r="E1957"/>
  <c r="D1957"/>
  <c r="C1957"/>
  <c r="B1957"/>
  <c r="A1957"/>
  <c r="K1956"/>
  <c r="J1956"/>
  <c r="I1956"/>
  <c r="H1956"/>
  <c r="G1956"/>
  <c r="F1956"/>
  <c r="E1956"/>
  <c r="D1956"/>
  <c r="C1956"/>
  <c r="B1956"/>
  <c r="A1956"/>
  <c r="K1955"/>
  <c r="J1955"/>
  <c r="I1955"/>
  <c r="H1955"/>
  <c r="G1955"/>
  <c r="F1955"/>
  <c r="E1955"/>
  <c r="D1955"/>
  <c r="C1955"/>
  <c r="B1955"/>
  <c r="A1955"/>
  <c r="K1954"/>
  <c r="J1954"/>
  <c r="I1954"/>
  <c r="H1954"/>
  <c r="G1954"/>
  <c r="F1954"/>
  <c r="E1954"/>
  <c r="D1954"/>
  <c r="C1954"/>
  <c r="B1954"/>
  <c r="A1954"/>
  <c r="K1953"/>
  <c r="J1953"/>
  <c r="I1953"/>
  <c r="H1953"/>
  <c r="G1953"/>
  <c r="F1953"/>
  <c r="E1953"/>
  <c r="D1953"/>
  <c r="C1953"/>
  <c r="B1953"/>
  <c r="A1953"/>
  <c r="K1952"/>
  <c r="J1952"/>
  <c r="I1952"/>
  <c r="H1952"/>
  <c r="G1952"/>
  <c r="F1952"/>
  <c r="E1952"/>
  <c r="D1952"/>
  <c r="C1952"/>
  <c r="B1952"/>
  <c r="A1952"/>
  <c r="K1951"/>
  <c r="J1951"/>
  <c r="I1951"/>
  <c r="H1951"/>
  <c r="G1951"/>
  <c r="F1951"/>
  <c r="E1951"/>
  <c r="D1951"/>
  <c r="C1951"/>
  <c r="B1951"/>
  <c r="A1951"/>
  <c r="K1950"/>
  <c r="J1950"/>
  <c r="I1950"/>
  <c r="H1950"/>
  <c r="G1950"/>
  <c r="F1950"/>
  <c r="E1950"/>
  <c r="D1950"/>
  <c r="C1950"/>
  <c r="B1950"/>
  <c r="A1950"/>
  <c r="K1949"/>
  <c r="J1949"/>
  <c r="I1949"/>
  <c r="H1949"/>
  <c r="G1949"/>
  <c r="F1949"/>
  <c r="E1949"/>
  <c r="D1949"/>
  <c r="C1949"/>
  <c r="B1949"/>
  <c r="A1949"/>
  <c r="K1948"/>
  <c r="J1948"/>
  <c r="I1948"/>
  <c r="H1948"/>
  <c r="G1948"/>
  <c r="F1948"/>
  <c r="E1948"/>
  <c r="D1948"/>
  <c r="C1948"/>
  <c r="B1948"/>
  <c r="A1948"/>
  <c r="K1947"/>
  <c r="J1947"/>
  <c r="I1947"/>
  <c r="H1947"/>
  <c r="G1947"/>
  <c r="F1947"/>
  <c r="E1947"/>
  <c r="D1947"/>
  <c r="C1947"/>
  <c r="B1947"/>
  <c r="A1947"/>
  <c r="K1946"/>
  <c r="J1946"/>
  <c r="I1946"/>
  <c r="H1946"/>
  <c r="G1946"/>
  <c r="F1946"/>
  <c r="E1946"/>
  <c r="D1946"/>
  <c r="C1946"/>
  <c r="B1946"/>
  <c r="A1946"/>
  <c r="K1945"/>
  <c r="J1945"/>
  <c r="I1945"/>
  <c r="H1945"/>
  <c r="G1945"/>
  <c r="F1945"/>
  <c r="E1945"/>
  <c r="D1945"/>
  <c r="C1945"/>
  <c r="B1945"/>
  <c r="A1945"/>
  <c r="K1944"/>
  <c r="J1944"/>
  <c r="I1944"/>
  <c r="H1944"/>
  <c r="G1944"/>
  <c r="F1944"/>
  <c r="E1944"/>
  <c r="D1944"/>
  <c r="C1944"/>
  <c r="B1944"/>
  <c r="A1944"/>
  <c r="K1943"/>
  <c r="J1943"/>
  <c r="I1943"/>
  <c r="H1943"/>
  <c r="G1943"/>
  <c r="F1943"/>
  <c r="E1943"/>
  <c r="D1943"/>
  <c r="C1943"/>
  <c r="B1943"/>
  <c r="A1943"/>
  <c r="K1942"/>
  <c r="J1942"/>
  <c r="I1942"/>
  <c r="H1942"/>
  <c r="G1942"/>
  <c r="F1942"/>
  <c r="E1942"/>
  <c r="D1942"/>
  <c r="C1942"/>
  <c r="B1942"/>
  <c r="A1942"/>
  <c r="K1941"/>
  <c r="J1941"/>
  <c r="I1941"/>
  <c r="H1941"/>
  <c r="G1941"/>
  <c r="F1941"/>
  <c r="E1941"/>
  <c r="D1941"/>
  <c r="C1941"/>
  <c r="B1941"/>
  <c r="A1941"/>
  <c r="K1940"/>
  <c r="J1940"/>
  <c r="I1940"/>
  <c r="H1940"/>
  <c r="G1940"/>
  <c r="F1940"/>
  <c r="E1940"/>
  <c r="D1940"/>
  <c r="C1940"/>
  <c r="B1940"/>
  <c r="A1940"/>
  <c r="K1939"/>
  <c r="J1939"/>
  <c r="I1939"/>
  <c r="H1939"/>
  <c r="G1939"/>
  <c r="F1939"/>
  <c r="E1939"/>
  <c r="D1939"/>
  <c r="C1939"/>
  <c r="B1939"/>
  <c r="A1939"/>
  <c r="K1938"/>
  <c r="J1938"/>
  <c r="I1938"/>
  <c r="H1938"/>
  <c r="G1938"/>
  <c r="F1938"/>
  <c r="E1938"/>
  <c r="D1938"/>
  <c r="C1938"/>
  <c r="B1938"/>
  <c r="A1938"/>
  <c r="K1937"/>
  <c r="J1937"/>
  <c r="I1937"/>
  <c r="H1937"/>
  <c r="G1937"/>
  <c r="F1937"/>
  <c r="E1937"/>
  <c r="D1937"/>
  <c r="C1937"/>
  <c r="B1937"/>
  <c r="A1937"/>
  <c r="K1936"/>
  <c r="J1936"/>
  <c r="I1936"/>
  <c r="H1936"/>
  <c r="G1936"/>
  <c r="F1936"/>
  <c r="E1936"/>
  <c r="D1936"/>
  <c r="C1936"/>
  <c r="B1936"/>
  <c r="A1936"/>
  <c r="K1935"/>
  <c r="J1935"/>
  <c r="I1935"/>
  <c r="H1935"/>
  <c r="G1935"/>
  <c r="F1935"/>
  <c r="E1935"/>
  <c r="D1935"/>
  <c r="C1935"/>
  <c r="B1935"/>
  <c r="A1935"/>
  <c r="K1934"/>
  <c r="J1934"/>
  <c r="I1934"/>
  <c r="H1934"/>
  <c r="G1934"/>
  <c r="F1934"/>
  <c r="E1934"/>
  <c r="D1934"/>
  <c r="C1934"/>
  <c r="B1934"/>
  <c r="A1934"/>
  <c r="K1933"/>
  <c r="J1933"/>
  <c r="I1933"/>
  <c r="H1933"/>
  <c r="G1933"/>
  <c r="F1933"/>
  <c r="E1933"/>
  <c r="D1933"/>
  <c r="C1933"/>
  <c r="B1933"/>
  <c r="A1933"/>
  <c r="K1932"/>
  <c r="J1932"/>
  <c r="I1932"/>
  <c r="H1932"/>
  <c r="G1932"/>
  <c r="F1932"/>
  <c r="E1932"/>
  <c r="D1932"/>
  <c r="C1932"/>
  <c r="B1932"/>
  <c r="A1932"/>
  <c r="K1931"/>
  <c r="J1931"/>
  <c r="I1931"/>
  <c r="H1931"/>
  <c r="G1931"/>
  <c r="F1931"/>
  <c r="E1931"/>
  <c r="D1931"/>
  <c r="C1931"/>
  <c r="B1931"/>
  <c r="A1931"/>
  <c r="K1930"/>
  <c r="J1930"/>
  <c r="I1930"/>
  <c r="H1930"/>
  <c r="G1930"/>
  <c r="F1930"/>
  <c r="E1930"/>
  <c r="D1930"/>
  <c r="C1930"/>
  <c r="B1930"/>
  <c r="A1930"/>
  <c r="K1929"/>
  <c r="J1929"/>
  <c r="I1929"/>
  <c r="H1929"/>
  <c r="G1929"/>
  <c r="F1929"/>
  <c r="E1929"/>
  <c r="D1929"/>
  <c r="C1929"/>
  <c r="B1929"/>
  <c r="A1929"/>
  <c r="K1928"/>
  <c r="J1928"/>
  <c r="I1928"/>
  <c r="H1928"/>
  <c r="G1928"/>
  <c r="F1928"/>
  <c r="E1928"/>
  <c r="D1928"/>
  <c r="C1928"/>
  <c r="B1928"/>
  <c r="A1928"/>
  <c r="K1927"/>
  <c r="J1927"/>
  <c r="I1927"/>
  <c r="H1927"/>
  <c r="G1927"/>
  <c r="F1927"/>
  <c r="E1927"/>
  <c r="D1927"/>
  <c r="C1927"/>
  <c r="B1927"/>
  <c r="A1927"/>
  <c r="K1926"/>
  <c r="J1926"/>
  <c r="I1926"/>
  <c r="H1926"/>
  <c r="G1926"/>
  <c r="F1926"/>
  <c r="E1926"/>
  <c r="D1926"/>
  <c r="C1926"/>
  <c r="B1926"/>
  <c r="A1926"/>
  <c r="K1925"/>
  <c r="J1925"/>
  <c r="I1925"/>
  <c r="H1925"/>
  <c r="G1925"/>
  <c r="F1925"/>
  <c r="E1925"/>
  <c r="D1925"/>
  <c r="C1925"/>
  <c r="B1925"/>
  <c r="A1925"/>
  <c r="K1924"/>
  <c r="J1924"/>
  <c r="I1924"/>
  <c r="H1924"/>
  <c r="G1924"/>
  <c r="F1924"/>
  <c r="E1924"/>
  <c r="D1924"/>
  <c r="C1924"/>
  <c r="B1924"/>
  <c r="A1924"/>
  <c r="K1923"/>
  <c r="J1923"/>
  <c r="I1923"/>
  <c r="H1923"/>
  <c r="G1923"/>
  <c r="F1923"/>
  <c r="E1923"/>
  <c r="D1923"/>
  <c r="C1923"/>
  <c r="B1923"/>
  <c r="A1923"/>
  <c r="K1922"/>
  <c r="J1922"/>
  <c r="I1922"/>
  <c r="H1922"/>
  <c r="G1922"/>
  <c r="F1922"/>
  <c r="E1922"/>
  <c r="D1922"/>
  <c r="C1922"/>
  <c r="B1922"/>
  <c r="A1922"/>
  <c r="K1921"/>
  <c r="J1921"/>
  <c r="I1921"/>
  <c r="H1921"/>
  <c r="G1921"/>
  <c r="F1921"/>
  <c r="E1921"/>
  <c r="D1921"/>
  <c r="C1921"/>
  <c r="B1921"/>
  <c r="A1921"/>
  <c r="K1920"/>
  <c r="J1920"/>
  <c r="I1920"/>
  <c r="H1920"/>
  <c r="G1920"/>
  <c r="F1920"/>
  <c r="E1920"/>
  <c r="D1920"/>
  <c r="C1920"/>
  <c r="B1920"/>
  <c r="A1920"/>
  <c r="K1919"/>
  <c r="J1919"/>
  <c r="I1919"/>
  <c r="H1919"/>
  <c r="G1919"/>
  <c r="F1919"/>
  <c r="E1919"/>
  <c r="D1919"/>
  <c r="C1919"/>
  <c r="B1919"/>
  <c r="A1919"/>
  <c r="K1918"/>
  <c r="J1918"/>
  <c r="I1918"/>
  <c r="H1918"/>
  <c r="G1918"/>
  <c r="F1918"/>
  <c r="E1918"/>
  <c r="D1918"/>
  <c r="C1918"/>
  <c r="B1918"/>
  <c r="A1918"/>
  <c r="K1917"/>
  <c r="J1917"/>
  <c r="I1917"/>
  <c r="H1917"/>
  <c r="G1917"/>
  <c r="F1917"/>
  <c r="E1917"/>
  <c r="D1917"/>
  <c r="C1917"/>
  <c r="B1917"/>
  <c r="A1917"/>
  <c r="K1916"/>
  <c r="J1916"/>
  <c r="I1916"/>
  <c r="H1916"/>
  <c r="G1916"/>
  <c r="F1916"/>
  <c r="E1916"/>
  <c r="D1916"/>
  <c r="C1916"/>
  <c r="B1916"/>
  <c r="A1916"/>
  <c r="K1915"/>
  <c r="J1915"/>
  <c r="I1915"/>
  <c r="H1915"/>
  <c r="G1915"/>
  <c r="F1915"/>
  <c r="E1915"/>
  <c r="D1915"/>
  <c r="C1915"/>
  <c r="B1915"/>
  <c r="A1915"/>
  <c r="K1914"/>
  <c r="J1914"/>
  <c r="I1914"/>
  <c r="H1914"/>
  <c r="G1914"/>
  <c r="F1914"/>
  <c r="E1914"/>
  <c r="D1914"/>
  <c r="C1914"/>
  <c r="B1914"/>
  <c r="A1914"/>
  <c r="K1913"/>
  <c r="J1913"/>
  <c r="I1913"/>
  <c r="H1913"/>
  <c r="G1913"/>
  <c r="F1913"/>
  <c r="E1913"/>
  <c r="D1913"/>
  <c r="C1913"/>
  <c r="B1913"/>
  <c r="A1913"/>
  <c r="K1912"/>
  <c r="J1912"/>
  <c r="I1912"/>
  <c r="H1912"/>
  <c r="G1912"/>
  <c r="F1912"/>
  <c r="E1912"/>
  <c r="D1912"/>
  <c r="C1912"/>
  <c r="B1912"/>
  <c r="A1912"/>
  <c r="K1911"/>
  <c r="J1911"/>
  <c r="I1911"/>
  <c r="H1911"/>
  <c r="G1911"/>
  <c r="F1911"/>
  <c r="E1911"/>
  <c r="D1911"/>
  <c r="C1911"/>
  <c r="B1911"/>
  <c r="A1911"/>
  <c r="K1910"/>
  <c r="J1910"/>
  <c r="I1910"/>
  <c r="H1910"/>
  <c r="G1910"/>
  <c r="F1910"/>
  <c r="E1910"/>
  <c r="D1910"/>
  <c r="C1910"/>
  <c r="B1910"/>
  <c r="A1910"/>
  <c r="K1909"/>
  <c r="J1909"/>
  <c r="I1909"/>
  <c r="H1909"/>
  <c r="G1909"/>
  <c r="F1909"/>
  <c r="E1909"/>
  <c r="D1909"/>
  <c r="C1909"/>
  <c r="B1909"/>
  <c r="A1909"/>
  <c r="K1908"/>
  <c r="J1908"/>
  <c r="I1908"/>
  <c r="H1908"/>
  <c r="G1908"/>
  <c r="F1908"/>
  <c r="E1908"/>
  <c r="D1908"/>
  <c r="C1908"/>
  <c r="B1908"/>
  <c r="A1908"/>
  <c r="K1907"/>
  <c r="J1907"/>
  <c r="I1907"/>
  <c r="H1907"/>
  <c r="G1907"/>
  <c r="F1907"/>
  <c r="E1907"/>
  <c r="D1907"/>
  <c r="C1907"/>
  <c r="B1907"/>
  <c r="A1907"/>
  <c r="K1906"/>
  <c r="J1906"/>
  <c r="I1906"/>
  <c r="H1906"/>
  <c r="G1906"/>
  <c r="F1906"/>
  <c r="E1906"/>
  <c r="D1906"/>
  <c r="C1906"/>
  <c r="B1906"/>
  <c r="A1906"/>
  <c r="K1905"/>
  <c r="J1905"/>
  <c r="I1905"/>
  <c r="H1905"/>
  <c r="G1905"/>
  <c r="F1905"/>
  <c r="E1905"/>
  <c r="D1905"/>
  <c r="C1905"/>
  <c r="B1905"/>
  <c r="A1905"/>
  <c r="K1904"/>
  <c r="J1904"/>
  <c r="I1904"/>
  <c r="H1904"/>
  <c r="G1904"/>
  <c r="F1904"/>
  <c r="E1904"/>
  <c r="D1904"/>
  <c r="C1904"/>
  <c r="B1904"/>
  <c r="A1904"/>
  <c r="K1903"/>
  <c r="J1903"/>
  <c r="I1903"/>
  <c r="H1903"/>
  <c r="G1903"/>
  <c r="F1903"/>
  <c r="E1903"/>
  <c r="D1903"/>
  <c r="C1903"/>
  <c r="B1903"/>
  <c r="A1903"/>
  <c r="K1902"/>
  <c r="J1902"/>
  <c r="I1902"/>
  <c r="H1902"/>
  <c r="G1902"/>
  <c r="F1902"/>
  <c r="E1902"/>
  <c r="D1902"/>
  <c r="C1902"/>
  <c r="B1902"/>
  <c r="A1902"/>
  <c r="K1901"/>
  <c r="J1901"/>
  <c r="I1901"/>
  <c r="H1901"/>
  <c r="G1901"/>
  <c r="F1901"/>
  <c r="E1901"/>
  <c r="D1901"/>
  <c r="C1901"/>
  <c r="B1901"/>
  <c r="A1901"/>
  <c r="K1900"/>
  <c r="J1900"/>
  <c r="I1900"/>
  <c r="H1900"/>
  <c r="G1900"/>
  <c r="F1900"/>
  <c r="E1900"/>
  <c r="D1900"/>
  <c r="C1900"/>
  <c r="B1900"/>
  <c r="A1900"/>
  <c r="K1899"/>
  <c r="J1899"/>
  <c r="I1899"/>
  <c r="H1899"/>
  <c r="G1899"/>
  <c r="F1899"/>
  <c r="E1899"/>
  <c r="D1899"/>
  <c r="C1899"/>
  <c r="B1899"/>
  <c r="A1899"/>
  <c r="K1898"/>
  <c r="J1898"/>
  <c r="I1898"/>
  <c r="H1898"/>
  <c r="G1898"/>
  <c r="F1898"/>
  <c r="E1898"/>
  <c r="D1898"/>
  <c r="C1898"/>
  <c r="B1898"/>
  <c r="A1898"/>
  <c r="K1897"/>
  <c r="J1897"/>
  <c r="I1897"/>
  <c r="H1897"/>
  <c r="G1897"/>
  <c r="F1897"/>
  <c r="E1897"/>
  <c r="D1897"/>
  <c r="C1897"/>
  <c r="B1897"/>
  <c r="A1897"/>
  <c r="K1896"/>
  <c r="J1896"/>
  <c r="I1896"/>
  <c r="H1896"/>
  <c r="G1896"/>
  <c r="F1896"/>
  <c r="E1896"/>
  <c r="D1896"/>
  <c r="C1896"/>
  <c r="B1896"/>
  <c r="A1896"/>
  <c r="K1895"/>
  <c r="J1895"/>
  <c r="I1895"/>
  <c r="H1895"/>
  <c r="G1895"/>
  <c r="F1895"/>
  <c r="E1895"/>
  <c r="D1895"/>
  <c r="C1895"/>
  <c r="B1895"/>
  <c r="A1895"/>
  <c r="K1894"/>
  <c r="J1894"/>
  <c r="I1894"/>
  <c r="H1894"/>
  <c r="G1894"/>
  <c r="F1894"/>
  <c r="E1894"/>
  <c r="D1894"/>
  <c r="C1894"/>
  <c r="B1894"/>
  <c r="A1894"/>
  <c r="K1893"/>
  <c r="J1893"/>
  <c r="I1893"/>
  <c r="H1893"/>
  <c r="G1893"/>
  <c r="F1893"/>
  <c r="E1893"/>
  <c r="D1893"/>
  <c r="C1893"/>
  <c r="B1893"/>
  <c r="A1893"/>
  <c r="K1892"/>
  <c r="J1892"/>
  <c r="I1892"/>
  <c r="H1892"/>
  <c r="G1892"/>
  <c r="F1892"/>
  <c r="E1892"/>
  <c r="D1892"/>
  <c r="C1892"/>
  <c r="B1892"/>
  <c r="A1892"/>
  <c r="K1891"/>
  <c r="J1891"/>
  <c r="I1891"/>
  <c r="H1891"/>
  <c r="G1891"/>
  <c r="F1891"/>
  <c r="E1891"/>
  <c r="D1891"/>
  <c r="C1891"/>
  <c r="B1891"/>
  <c r="A1891"/>
  <c r="K1890"/>
  <c r="J1890"/>
  <c r="I1890"/>
  <c r="H1890"/>
  <c r="G1890"/>
  <c r="F1890"/>
  <c r="E1890"/>
  <c r="D1890"/>
  <c r="C1890"/>
  <c r="B1890"/>
  <c r="A1890"/>
  <c r="K1889"/>
  <c r="J1889"/>
  <c r="I1889"/>
  <c r="H1889"/>
  <c r="G1889"/>
  <c r="F1889"/>
  <c r="E1889"/>
  <c r="D1889"/>
  <c r="C1889"/>
  <c r="B1889"/>
  <c r="A1889"/>
  <c r="K1888"/>
  <c r="J1888"/>
  <c r="I1888"/>
  <c r="H1888"/>
  <c r="G1888"/>
  <c r="F1888"/>
  <c r="E1888"/>
  <c r="D1888"/>
  <c r="C1888"/>
  <c r="B1888"/>
  <c r="A1888"/>
  <c r="K1887"/>
  <c r="J1887"/>
  <c r="I1887"/>
  <c r="H1887"/>
  <c r="G1887"/>
  <c r="F1887"/>
  <c r="E1887"/>
  <c r="D1887"/>
  <c r="C1887"/>
  <c r="B1887"/>
  <c r="A1887"/>
  <c r="K1886"/>
  <c r="J1886"/>
  <c r="I1886"/>
  <c r="H1886"/>
  <c r="G1886"/>
  <c r="F1886"/>
  <c r="E1886"/>
  <c r="D1886"/>
  <c r="C1886"/>
  <c r="B1886"/>
  <c r="A1886"/>
  <c r="K1885"/>
  <c r="J1885"/>
  <c r="I1885"/>
  <c r="H1885"/>
  <c r="G1885"/>
  <c r="F1885"/>
  <c r="E1885"/>
  <c r="D1885"/>
  <c r="C1885"/>
  <c r="B1885"/>
  <c r="A1885"/>
  <c r="K1884"/>
  <c r="J1884"/>
  <c r="I1884"/>
  <c r="H1884"/>
  <c r="G1884"/>
  <c r="F1884"/>
  <c r="E1884"/>
  <c r="D1884"/>
  <c r="C1884"/>
  <c r="B1884"/>
  <c r="A1884"/>
  <c r="K1883"/>
  <c r="J1883"/>
  <c r="I1883"/>
  <c r="H1883"/>
  <c r="G1883"/>
  <c r="F1883"/>
  <c r="E1883"/>
  <c r="D1883"/>
  <c r="C1883"/>
  <c r="B1883"/>
  <c r="A1883"/>
  <c r="K1882"/>
  <c r="J1882"/>
  <c r="I1882"/>
  <c r="H1882"/>
  <c r="G1882"/>
  <c r="F1882"/>
  <c r="E1882"/>
  <c r="D1882"/>
  <c r="C1882"/>
  <c r="B1882"/>
  <c r="A1882"/>
  <c r="K1881"/>
  <c r="J1881"/>
  <c r="I1881"/>
  <c r="H1881"/>
  <c r="G1881"/>
  <c r="F1881"/>
  <c r="E1881"/>
  <c r="D1881"/>
  <c r="C1881"/>
  <c r="B1881"/>
  <c r="A1881"/>
  <c r="K1880"/>
  <c r="J1880"/>
  <c r="I1880"/>
  <c r="H1880"/>
  <c r="G1880"/>
  <c r="F1880"/>
  <c r="E1880"/>
  <c r="D1880"/>
  <c r="C1880"/>
  <c r="B1880"/>
  <c r="A1880"/>
  <c r="K1879"/>
  <c r="J1879"/>
  <c r="I1879"/>
  <c r="H1879"/>
  <c r="G1879"/>
  <c r="F1879"/>
  <c r="E1879"/>
  <c r="D1879"/>
  <c r="C1879"/>
  <c r="B1879"/>
  <c r="A1879"/>
  <c r="K1878"/>
  <c r="J1878"/>
  <c r="I1878"/>
  <c r="H1878"/>
  <c r="G1878"/>
  <c r="F1878"/>
  <c r="E1878"/>
  <c r="D1878"/>
  <c r="C1878"/>
  <c r="B1878"/>
  <c r="A1878"/>
  <c r="K1877"/>
  <c r="J1877"/>
  <c r="I1877"/>
  <c r="H1877"/>
  <c r="G1877"/>
  <c r="F1877"/>
  <c r="E1877"/>
  <c r="D1877"/>
  <c r="C1877"/>
  <c r="B1877"/>
  <c r="A1877"/>
  <c r="K1876"/>
  <c r="J1876"/>
  <c r="I1876"/>
  <c r="H1876"/>
  <c r="G1876"/>
  <c r="F1876"/>
  <c r="E1876"/>
  <c r="D1876"/>
  <c r="C1876"/>
  <c r="B1876"/>
  <c r="A1876"/>
  <c r="K1875"/>
  <c r="J1875"/>
  <c r="I1875"/>
  <c r="H1875"/>
  <c r="G1875"/>
  <c r="F1875"/>
  <c r="E1875"/>
  <c r="D1875"/>
  <c r="C1875"/>
  <c r="B1875"/>
  <c r="A1875"/>
  <c r="K1874"/>
  <c r="J1874"/>
  <c r="I1874"/>
  <c r="H1874"/>
  <c r="G1874"/>
  <c r="F1874"/>
  <c r="E1874"/>
  <c r="D1874"/>
  <c r="C1874"/>
  <c r="B1874"/>
  <c r="A1874"/>
  <c r="K1873"/>
  <c r="J1873"/>
  <c r="I1873"/>
  <c r="H1873"/>
  <c r="G1873"/>
  <c r="F1873"/>
  <c r="E1873"/>
  <c r="D1873"/>
  <c r="C1873"/>
  <c r="B1873"/>
  <c r="A1873"/>
  <c r="K1872"/>
  <c r="J1872"/>
  <c r="I1872"/>
  <c r="H1872"/>
  <c r="G1872"/>
  <c r="F1872"/>
  <c r="E1872"/>
  <c r="D1872"/>
  <c r="C1872"/>
  <c r="B1872"/>
  <c r="A1872"/>
  <c r="K1871"/>
  <c r="J1871"/>
  <c r="I1871"/>
  <c r="H1871"/>
  <c r="G1871"/>
  <c r="F1871"/>
  <c r="E1871"/>
  <c r="D1871"/>
  <c r="C1871"/>
  <c r="B1871"/>
  <c r="A1871"/>
  <c r="K1870"/>
  <c r="J1870"/>
  <c r="I1870"/>
  <c r="H1870"/>
  <c r="G1870"/>
  <c r="F1870"/>
  <c r="E1870"/>
  <c r="D1870"/>
  <c r="C1870"/>
  <c r="B1870"/>
  <c r="A1870"/>
  <c r="K1869"/>
  <c r="J1869"/>
  <c r="I1869"/>
  <c r="H1869"/>
  <c r="G1869"/>
  <c r="F1869"/>
  <c r="E1869"/>
  <c r="D1869"/>
  <c r="C1869"/>
  <c r="B1869"/>
  <c r="A1869"/>
  <c r="K1868"/>
  <c r="J1868"/>
  <c r="I1868"/>
  <c r="H1868"/>
  <c r="G1868"/>
  <c r="F1868"/>
  <c r="E1868"/>
  <c r="D1868"/>
  <c r="C1868"/>
  <c r="B1868"/>
  <c r="A1868"/>
  <c r="K1867"/>
  <c r="J1867"/>
  <c r="I1867"/>
  <c r="H1867"/>
  <c r="G1867"/>
  <c r="F1867"/>
  <c r="E1867"/>
  <c r="D1867"/>
  <c r="C1867"/>
  <c r="B1867"/>
  <c r="A1867"/>
  <c r="K1866"/>
  <c r="J1866"/>
  <c r="I1866"/>
  <c r="H1866"/>
  <c r="G1866"/>
  <c r="F1866"/>
  <c r="E1866"/>
  <c r="D1866"/>
  <c r="C1866"/>
  <c r="B1866"/>
  <c r="A1866"/>
  <c r="K1865"/>
  <c r="J1865"/>
  <c r="I1865"/>
  <c r="H1865"/>
  <c r="G1865"/>
  <c r="F1865"/>
  <c r="E1865"/>
  <c r="D1865"/>
  <c r="C1865"/>
  <c r="B1865"/>
  <c r="A1865"/>
  <c r="K1864"/>
  <c r="J1864"/>
  <c r="I1864"/>
  <c r="H1864"/>
  <c r="G1864"/>
  <c r="F1864"/>
  <c r="E1864"/>
  <c r="D1864"/>
  <c r="C1864"/>
  <c r="B1864"/>
  <c r="A1864"/>
  <c r="K1863"/>
  <c r="J1863"/>
  <c r="I1863"/>
  <c r="H1863"/>
  <c r="G1863"/>
  <c r="F1863"/>
  <c r="E1863"/>
  <c r="D1863"/>
  <c r="C1863"/>
  <c r="B1863"/>
  <c r="A1863"/>
  <c r="K1862"/>
  <c r="J1862"/>
  <c r="I1862"/>
  <c r="H1862"/>
  <c r="G1862"/>
  <c r="F1862"/>
  <c r="E1862"/>
  <c r="D1862"/>
  <c r="C1862"/>
  <c r="B1862"/>
  <c r="A1862"/>
  <c r="K1861"/>
  <c r="J1861"/>
  <c r="I1861"/>
  <c r="H1861"/>
  <c r="G1861"/>
  <c r="F1861"/>
  <c r="E1861"/>
  <c r="D1861"/>
  <c r="C1861"/>
  <c r="B1861"/>
  <c r="A1861"/>
  <c r="K1860"/>
  <c r="J1860"/>
  <c r="I1860"/>
  <c r="H1860"/>
  <c r="G1860"/>
  <c r="F1860"/>
  <c r="E1860"/>
  <c r="D1860"/>
  <c r="C1860"/>
  <c r="B1860"/>
  <c r="A1860"/>
  <c r="K1859"/>
  <c r="J1859"/>
  <c r="I1859"/>
  <c r="H1859"/>
  <c r="G1859"/>
  <c r="F1859"/>
  <c r="E1859"/>
  <c r="D1859"/>
  <c r="C1859"/>
  <c r="B1859"/>
  <c r="A1859"/>
  <c r="K1858"/>
  <c r="J1858"/>
  <c r="I1858"/>
  <c r="H1858"/>
  <c r="G1858"/>
  <c r="F1858"/>
  <c r="E1858"/>
  <c r="D1858"/>
  <c r="C1858"/>
  <c r="B1858"/>
  <c r="A1858"/>
  <c r="K1857"/>
  <c r="J1857"/>
  <c r="I1857"/>
  <c r="H1857"/>
  <c r="G1857"/>
  <c r="F1857"/>
  <c r="E1857"/>
  <c r="D1857"/>
  <c r="C1857"/>
  <c r="B1857"/>
  <c r="A1857"/>
  <c r="K1856"/>
  <c r="J1856"/>
  <c r="I1856"/>
  <c r="H1856"/>
  <c r="G1856"/>
  <c r="F1856"/>
  <c r="E1856"/>
  <c r="D1856"/>
  <c r="C1856"/>
  <c r="B1856"/>
  <c r="A1856"/>
  <c r="K1855"/>
  <c r="J1855"/>
  <c r="I1855"/>
  <c r="H1855"/>
  <c r="G1855"/>
  <c r="F1855"/>
  <c r="E1855"/>
  <c r="D1855"/>
  <c r="C1855"/>
  <c r="B1855"/>
  <c r="A1855"/>
  <c r="K1854"/>
  <c r="J1854"/>
  <c r="I1854"/>
  <c r="H1854"/>
  <c r="G1854"/>
  <c r="F1854"/>
  <c r="E1854"/>
  <c r="D1854"/>
  <c r="C1854"/>
  <c r="B1854"/>
  <c r="A1854"/>
  <c r="K1853"/>
  <c r="J1853"/>
  <c r="I1853"/>
  <c r="H1853"/>
  <c r="G1853"/>
  <c r="F1853"/>
  <c r="E1853"/>
  <c r="D1853"/>
  <c r="C1853"/>
  <c r="B1853"/>
  <c r="A1853"/>
  <c r="K1852"/>
  <c r="J1852"/>
  <c r="I1852"/>
  <c r="H1852"/>
  <c r="G1852"/>
  <c r="F1852"/>
  <c r="E1852"/>
  <c r="D1852"/>
  <c r="C1852"/>
  <c r="B1852"/>
  <c r="A1852"/>
  <c r="K1851"/>
  <c r="J1851"/>
  <c r="I1851"/>
  <c r="H1851"/>
  <c r="G1851"/>
  <c r="F1851"/>
  <c r="E1851"/>
  <c r="D1851"/>
  <c r="C1851"/>
  <c r="B1851"/>
  <c r="A1851"/>
  <c r="K1850"/>
  <c r="J1850"/>
  <c r="I1850"/>
  <c r="H1850"/>
  <c r="G1850"/>
  <c r="F1850"/>
  <c r="E1850"/>
  <c r="D1850"/>
  <c r="C1850"/>
  <c r="B1850"/>
  <c r="A1850"/>
  <c r="K1849"/>
  <c r="J1849"/>
  <c r="I1849"/>
  <c r="H1849"/>
  <c r="G1849"/>
  <c r="F1849"/>
  <c r="E1849"/>
  <c r="D1849"/>
  <c r="C1849"/>
  <c r="B1849"/>
  <c r="A1849"/>
  <c r="K1848"/>
  <c r="J1848"/>
  <c r="I1848"/>
  <c r="H1848"/>
  <c r="G1848"/>
  <c r="F1848"/>
  <c r="E1848"/>
  <c r="D1848"/>
  <c r="C1848"/>
  <c r="B1848"/>
  <c r="A1848"/>
  <c r="K1847"/>
  <c r="J1847"/>
  <c r="I1847"/>
  <c r="H1847"/>
  <c r="G1847"/>
  <c r="F1847"/>
  <c r="E1847"/>
  <c r="D1847"/>
  <c r="C1847"/>
  <c r="B1847"/>
  <c r="A1847"/>
  <c r="K1846"/>
  <c r="J1846"/>
  <c r="I1846"/>
  <c r="H1846"/>
  <c r="G1846"/>
  <c r="F1846"/>
  <c r="E1846"/>
  <c r="D1846"/>
  <c r="C1846"/>
  <c r="B1846"/>
  <c r="A1846"/>
  <c r="K1845"/>
  <c r="J1845"/>
  <c r="I1845"/>
  <c r="H1845"/>
  <c r="G1845"/>
  <c r="F1845"/>
  <c r="E1845"/>
  <c r="D1845"/>
  <c r="C1845"/>
  <c r="B1845"/>
  <c r="A1845"/>
  <c r="K1844"/>
  <c r="J1844"/>
  <c r="I1844"/>
  <c r="H1844"/>
  <c r="G1844"/>
  <c r="F1844"/>
  <c r="E1844"/>
  <c r="D1844"/>
  <c r="C1844"/>
  <c r="B1844"/>
  <c r="A1844"/>
  <c r="K1843"/>
  <c r="J1843"/>
  <c r="I1843"/>
  <c r="H1843"/>
  <c r="G1843"/>
  <c r="F1843"/>
  <c r="E1843"/>
  <c r="D1843"/>
  <c r="C1843"/>
  <c r="B1843"/>
  <c r="A1843"/>
  <c r="K1842"/>
  <c r="J1842"/>
  <c r="I1842"/>
  <c r="H1842"/>
  <c r="G1842"/>
  <c r="F1842"/>
  <c r="E1842"/>
  <c r="D1842"/>
  <c r="C1842"/>
  <c r="B1842"/>
  <c r="A1842"/>
  <c r="K1841"/>
  <c r="J1841"/>
  <c r="I1841"/>
  <c r="H1841"/>
  <c r="G1841"/>
  <c r="F1841"/>
  <c r="E1841"/>
  <c r="D1841"/>
  <c r="C1841"/>
  <c r="B1841"/>
  <c r="A1841"/>
  <c r="K1840"/>
  <c r="J1840"/>
  <c r="I1840"/>
  <c r="H1840"/>
  <c r="G1840"/>
  <c r="F1840"/>
  <c r="E1840"/>
  <c r="D1840"/>
  <c r="C1840"/>
  <c r="B1840"/>
  <c r="A1840"/>
  <c r="K1839"/>
  <c r="J1839"/>
  <c r="I1839"/>
  <c r="H1839"/>
  <c r="G1839"/>
  <c r="F1839"/>
  <c r="E1839"/>
  <c r="D1839"/>
  <c r="C1839"/>
  <c r="B1839"/>
  <c r="A1839"/>
  <c r="K1838"/>
  <c r="J1838"/>
  <c r="I1838"/>
  <c r="H1838"/>
  <c r="G1838"/>
  <c r="F1838"/>
  <c r="E1838"/>
  <c r="D1838"/>
  <c r="C1838"/>
  <c r="B1838"/>
  <c r="A1838"/>
  <c r="K1837"/>
  <c r="J1837"/>
  <c r="I1837"/>
  <c r="H1837"/>
  <c r="G1837"/>
  <c r="F1837"/>
  <c r="E1837"/>
  <c r="D1837"/>
  <c r="C1837"/>
  <c r="B1837"/>
  <c r="A1837"/>
  <c r="K1836"/>
  <c r="J1836"/>
  <c r="I1836"/>
  <c r="H1836"/>
  <c r="G1836"/>
  <c r="F1836"/>
  <c r="E1836"/>
  <c r="D1836"/>
  <c r="C1836"/>
  <c r="B1836"/>
  <c r="A1836"/>
  <c r="K1835"/>
  <c r="J1835"/>
  <c r="I1835"/>
  <c r="H1835"/>
  <c r="G1835"/>
  <c r="F1835"/>
  <c r="E1835"/>
  <c r="D1835"/>
  <c r="C1835"/>
  <c r="B1835"/>
  <c r="A1835"/>
  <c r="K1834"/>
  <c r="J1834"/>
  <c r="I1834"/>
  <c r="H1834"/>
  <c r="G1834"/>
  <c r="F1834"/>
  <c r="E1834"/>
  <c r="D1834"/>
  <c r="C1834"/>
  <c r="B1834"/>
  <c r="A1834"/>
  <c r="K1833"/>
  <c r="J1833"/>
  <c r="I1833"/>
  <c r="H1833"/>
  <c r="G1833"/>
  <c r="F1833"/>
  <c r="E1833"/>
  <c r="D1833"/>
  <c r="C1833"/>
  <c r="B1833"/>
  <c r="A1833"/>
  <c r="K1832"/>
  <c r="J1832"/>
  <c r="I1832"/>
  <c r="H1832"/>
  <c r="G1832"/>
  <c r="F1832"/>
  <c r="E1832"/>
  <c r="D1832"/>
  <c r="C1832"/>
  <c r="B1832"/>
  <c r="A1832"/>
  <c r="K1831"/>
  <c r="J1831"/>
  <c r="I1831"/>
  <c r="H1831"/>
  <c r="G1831"/>
  <c r="F1831"/>
  <c r="E1831"/>
  <c r="D1831"/>
  <c r="C1831"/>
  <c r="B1831"/>
  <c r="A1831"/>
  <c r="K1830"/>
  <c r="J1830"/>
  <c r="I1830"/>
  <c r="H1830"/>
  <c r="G1830"/>
  <c r="F1830"/>
  <c r="E1830"/>
  <c r="D1830"/>
  <c r="C1830"/>
  <c r="B1830"/>
  <c r="A1830"/>
  <c r="K1829"/>
  <c r="J1829"/>
  <c r="I1829"/>
  <c r="H1829"/>
  <c r="G1829"/>
  <c r="F1829"/>
  <c r="E1829"/>
  <c r="D1829"/>
  <c r="C1829"/>
  <c r="B1829"/>
  <c r="A1829"/>
  <c r="K1828"/>
  <c r="J1828"/>
  <c r="I1828"/>
  <c r="H1828"/>
  <c r="G1828"/>
  <c r="F1828"/>
  <c r="E1828"/>
  <c r="D1828"/>
  <c r="C1828"/>
  <c r="B1828"/>
  <c r="A1828"/>
  <c r="K1827"/>
  <c r="J1827"/>
  <c r="I1827"/>
  <c r="H1827"/>
  <c r="G1827"/>
  <c r="F1827"/>
  <c r="E1827"/>
  <c r="D1827"/>
  <c r="C1827"/>
  <c r="B1827"/>
  <c r="A1827"/>
  <c r="K1826"/>
  <c r="J1826"/>
  <c r="I1826"/>
  <c r="H1826"/>
  <c r="G1826"/>
  <c r="F1826"/>
  <c r="E1826"/>
  <c r="D1826"/>
  <c r="C1826"/>
  <c r="B1826"/>
  <c r="A1826"/>
  <c r="K1825"/>
  <c r="J1825"/>
  <c r="I1825"/>
  <c r="H1825"/>
  <c r="G1825"/>
  <c r="F1825"/>
  <c r="E1825"/>
  <c r="D1825"/>
  <c r="C1825"/>
  <c r="B1825"/>
  <c r="A1825"/>
  <c r="K1824"/>
  <c r="J1824"/>
  <c r="I1824"/>
  <c r="H1824"/>
  <c r="G1824"/>
  <c r="F1824"/>
  <c r="E1824"/>
  <c r="D1824"/>
  <c r="C1824"/>
  <c r="B1824"/>
  <c r="A1824"/>
  <c r="K1823"/>
  <c r="J1823"/>
  <c r="I1823"/>
  <c r="H1823"/>
  <c r="G1823"/>
  <c r="F1823"/>
  <c r="E1823"/>
  <c r="D1823"/>
  <c r="C1823"/>
  <c r="B1823"/>
  <c r="A1823"/>
  <c r="K1822"/>
  <c r="J1822"/>
  <c r="I1822"/>
  <c r="H1822"/>
  <c r="G1822"/>
  <c r="F1822"/>
  <c r="E1822"/>
  <c r="D1822"/>
  <c r="C1822"/>
  <c r="B1822"/>
  <c r="A1822"/>
  <c r="K1821"/>
  <c r="J1821"/>
  <c r="I1821"/>
  <c r="H1821"/>
  <c r="G1821"/>
  <c r="F1821"/>
  <c r="E1821"/>
  <c r="D1821"/>
  <c r="C1821"/>
  <c r="B1821"/>
  <c r="A1821"/>
  <c r="K1820"/>
  <c r="J1820"/>
  <c r="I1820"/>
  <c r="H1820"/>
  <c r="G1820"/>
  <c r="F1820"/>
  <c r="E1820"/>
  <c r="D1820"/>
  <c r="C1820"/>
  <c r="B1820"/>
  <c r="A1820"/>
  <c r="K1819"/>
  <c r="J1819"/>
  <c r="I1819"/>
  <c r="H1819"/>
  <c r="G1819"/>
  <c r="F1819"/>
  <c r="E1819"/>
  <c r="D1819"/>
  <c r="C1819"/>
  <c r="B1819"/>
  <c r="A1819"/>
  <c r="K1818"/>
  <c r="J1818"/>
  <c r="I1818"/>
  <c r="H1818"/>
  <c r="G1818"/>
  <c r="F1818"/>
  <c r="E1818"/>
  <c r="D1818"/>
  <c r="C1818"/>
  <c r="B1818"/>
  <c r="A1818"/>
  <c r="K1817"/>
  <c r="J1817"/>
  <c r="I1817"/>
  <c r="H1817"/>
  <c r="G1817"/>
  <c r="F1817"/>
  <c r="E1817"/>
  <c r="D1817"/>
  <c r="C1817"/>
  <c r="B1817"/>
  <c r="A1817"/>
  <c r="K1816"/>
  <c r="J1816"/>
  <c r="I1816"/>
  <c r="H1816"/>
  <c r="G1816"/>
  <c r="F1816"/>
  <c r="E1816"/>
  <c r="D1816"/>
  <c r="C1816"/>
  <c r="B1816"/>
  <c r="A1816"/>
  <c r="K1815"/>
  <c r="J1815"/>
  <c r="I1815"/>
  <c r="H1815"/>
  <c r="G1815"/>
  <c r="F1815"/>
  <c r="E1815"/>
  <c r="D1815"/>
  <c r="C1815"/>
  <c r="B1815"/>
  <c r="A1815"/>
  <c r="K1814"/>
  <c r="J1814"/>
  <c r="I1814"/>
  <c r="H1814"/>
  <c r="G1814"/>
  <c r="F1814"/>
  <c r="E1814"/>
  <c r="D1814"/>
  <c r="C1814"/>
  <c r="B1814"/>
  <c r="A1814"/>
  <c r="K1813"/>
  <c r="J1813"/>
  <c r="I1813"/>
  <c r="H1813"/>
  <c r="G1813"/>
  <c r="F1813"/>
  <c r="E1813"/>
  <c r="D1813"/>
  <c r="C1813"/>
  <c r="B1813"/>
  <c r="A1813"/>
  <c r="K1812"/>
  <c r="J1812"/>
  <c r="I1812"/>
  <c r="H1812"/>
  <c r="G1812"/>
  <c r="F1812"/>
  <c r="E1812"/>
  <c r="D1812"/>
  <c r="C1812"/>
  <c r="B1812"/>
  <c r="A1812"/>
  <c r="K1811"/>
  <c r="J1811"/>
  <c r="I1811"/>
  <c r="H1811"/>
  <c r="G1811"/>
  <c r="F1811"/>
  <c r="E1811"/>
  <c r="D1811"/>
  <c r="C1811"/>
  <c r="B1811"/>
  <c r="A1811"/>
  <c r="K1810"/>
  <c r="J1810"/>
  <c r="I1810"/>
  <c r="H1810"/>
  <c r="G1810"/>
  <c r="F1810"/>
  <c r="E1810"/>
  <c r="D1810"/>
  <c r="C1810"/>
  <c r="B1810"/>
  <c r="A1810"/>
  <c r="K1809"/>
  <c r="J1809"/>
  <c r="I1809"/>
  <c r="H1809"/>
  <c r="G1809"/>
  <c r="F1809"/>
  <c r="E1809"/>
  <c r="D1809"/>
  <c r="C1809"/>
  <c r="B1809"/>
  <c r="A1809"/>
  <c r="K1808"/>
  <c r="J1808"/>
  <c r="I1808"/>
  <c r="H1808"/>
  <c r="G1808"/>
  <c r="F1808"/>
  <c r="E1808"/>
  <c r="D1808"/>
  <c r="C1808"/>
  <c r="B1808"/>
  <c r="A1808"/>
  <c r="K1807"/>
  <c r="J1807"/>
  <c r="I1807"/>
  <c r="H1807"/>
  <c r="G1807"/>
  <c r="F1807"/>
  <c r="E1807"/>
  <c r="D1807"/>
  <c r="C1807"/>
  <c r="B1807"/>
  <c r="A1807"/>
  <c r="K1806"/>
  <c r="J1806"/>
  <c r="I1806"/>
  <c r="H1806"/>
  <c r="G1806"/>
  <c r="F1806"/>
  <c r="E1806"/>
  <c r="D1806"/>
  <c r="C1806"/>
  <c r="B1806"/>
  <c r="A1806"/>
  <c r="K1805"/>
  <c r="J1805"/>
  <c r="I1805"/>
  <c r="H1805"/>
  <c r="G1805"/>
  <c r="F1805"/>
  <c r="E1805"/>
  <c r="D1805"/>
  <c r="C1805"/>
  <c r="B1805"/>
  <c r="A1805"/>
  <c r="K1804"/>
  <c r="J1804"/>
  <c r="I1804"/>
  <c r="H1804"/>
  <c r="G1804"/>
  <c r="F1804"/>
  <c r="E1804"/>
  <c r="D1804"/>
  <c r="C1804"/>
  <c r="B1804"/>
  <c r="A1804"/>
  <c r="K1803"/>
  <c r="J1803"/>
  <c r="I1803"/>
  <c r="H1803"/>
  <c r="G1803"/>
  <c r="F1803"/>
  <c r="E1803"/>
  <c r="D1803"/>
  <c r="C1803"/>
  <c r="B1803"/>
  <c r="A1803"/>
  <c r="K1802"/>
  <c r="J1802"/>
  <c r="I1802"/>
  <c r="H1802"/>
  <c r="G1802"/>
  <c r="F1802"/>
  <c r="E1802"/>
  <c r="D1802"/>
  <c r="C1802"/>
  <c r="B1802"/>
  <c r="A1802"/>
  <c r="K1801"/>
  <c r="J1801"/>
  <c r="I1801"/>
  <c r="H1801"/>
  <c r="G1801"/>
  <c r="F1801"/>
  <c r="E1801"/>
  <c r="D1801"/>
  <c r="C1801"/>
  <c r="B1801"/>
  <c r="A1801"/>
  <c r="K1800"/>
  <c r="J1800"/>
  <c r="I1800"/>
  <c r="H1800"/>
  <c r="G1800"/>
  <c r="F1800"/>
  <c r="E1800"/>
  <c r="D1800"/>
  <c r="C1800"/>
  <c r="B1800"/>
  <c r="A1800"/>
  <c r="K1799"/>
  <c r="J1799"/>
  <c r="I1799"/>
  <c r="H1799"/>
  <c r="G1799"/>
  <c r="F1799"/>
  <c r="E1799"/>
  <c r="D1799"/>
  <c r="C1799"/>
  <c r="B1799"/>
  <c r="A1799"/>
  <c r="K1798"/>
  <c r="J1798"/>
  <c r="I1798"/>
  <c r="H1798"/>
  <c r="G1798"/>
  <c r="F1798"/>
  <c r="E1798"/>
  <c r="D1798"/>
  <c r="C1798"/>
  <c r="B1798"/>
  <c r="A1798"/>
  <c r="K1797"/>
  <c r="J1797"/>
  <c r="I1797"/>
  <c r="H1797"/>
  <c r="G1797"/>
  <c r="F1797"/>
  <c r="E1797"/>
  <c r="D1797"/>
  <c r="C1797"/>
  <c r="B1797"/>
  <c r="A1797"/>
  <c r="K1796"/>
  <c r="J1796"/>
  <c r="I1796"/>
  <c r="H1796"/>
  <c r="G1796"/>
  <c r="F1796"/>
  <c r="E1796"/>
  <c r="D1796"/>
  <c r="C1796"/>
  <c r="B1796"/>
  <c r="A1796"/>
  <c r="K1795"/>
  <c r="J1795"/>
  <c r="I1795"/>
  <c r="H1795"/>
  <c r="G1795"/>
  <c r="F1795"/>
  <c r="E1795"/>
  <c r="D1795"/>
  <c r="C1795"/>
  <c r="B1795"/>
  <c r="A1795"/>
  <c r="K1794"/>
  <c r="J1794"/>
  <c r="I1794"/>
  <c r="H1794"/>
  <c r="G1794"/>
  <c r="F1794"/>
  <c r="E1794"/>
  <c r="D1794"/>
  <c r="C1794"/>
  <c r="B1794"/>
  <c r="A1794"/>
  <c r="K1793"/>
  <c r="J1793"/>
  <c r="I1793"/>
  <c r="H1793"/>
  <c r="G1793"/>
  <c r="F1793"/>
  <c r="E1793"/>
  <c r="D1793"/>
  <c r="C1793"/>
  <c r="B1793"/>
  <c r="A1793"/>
  <c r="K1792"/>
  <c r="J1792"/>
  <c r="I1792"/>
  <c r="H1792"/>
  <c r="G1792"/>
  <c r="F1792"/>
  <c r="E1792"/>
  <c r="D1792"/>
  <c r="C1792"/>
  <c r="B1792"/>
  <c r="A1792"/>
  <c r="K1791"/>
  <c r="J1791"/>
  <c r="I1791"/>
  <c r="H1791"/>
  <c r="G1791"/>
  <c r="F1791"/>
  <c r="E1791"/>
  <c r="D1791"/>
  <c r="C1791"/>
  <c r="B1791"/>
  <c r="A1791"/>
  <c r="K1790"/>
  <c r="J1790"/>
  <c r="I1790"/>
  <c r="H1790"/>
  <c r="G1790"/>
  <c r="F1790"/>
  <c r="E1790"/>
  <c r="D1790"/>
  <c r="C1790"/>
  <c r="B1790"/>
  <c r="A1790"/>
  <c r="K1789"/>
  <c r="J1789"/>
  <c r="I1789"/>
  <c r="H1789"/>
  <c r="G1789"/>
  <c r="F1789"/>
  <c r="E1789"/>
  <c r="D1789"/>
  <c r="C1789"/>
  <c r="B1789"/>
  <c r="A1789"/>
  <c r="K1788"/>
  <c r="J1788"/>
  <c r="I1788"/>
  <c r="H1788"/>
  <c r="G1788"/>
  <c r="F1788"/>
  <c r="E1788"/>
  <c r="D1788"/>
  <c r="C1788"/>
  <c r="B1788"/>
  <c r="A1788"/>
  <c r="K1787"/>
  <c r="J1787"/>
  <c r="I1787"/>
  <c r="H1787"/>
  <c r="G1787"/>
  <c r="F1787"/>
  <c r="E1787"/>
  <c r="D1787"/>
  <c r="C1787"/>
  <c r="B1787"/>
  <c r="A1787"/>
  <c r="K1786"/>
  <c r="J1786"/>
  <c r="I1786"/>
  <c r="H1786"/>
  <c r="G1786"/>
  <c r="F1786"/>
  <c r="E1786"/>
  <c r="D1786"/>
  <c r="C1786"/>
  <c r="B1786"/>
  <c r="A1786"/>
  <c r="K1785"/>
  <c r="J1785"/>
  <c r="I1785"/>
  <c r="H1785"/>
  <c r="G1785"/>
  <c r="F1785"/>
  <c r="E1785"/>
  <c r="D1785"/>
  <c r="C1785"/>
  <c r="B1785"/>
  <c r="A1785"/>
  <c r="K1784"/>
  <c r="J1784"/>
  <c r="I1784"/>
  <c r="H1784"/>
  <c r="G1784"/>
  <c r="F1784"/>
  <c r="E1784"/>
  <c r="D1784"/>
  <c r="C1784"/>
  <c r="B1784"/>
  <c r="A1784"/>
  <c r="K1783"/>
  <c r="J1783"/>
  <c r="I1783"/>
  <c r="H1783"/>
  <c r="G1783"/>
  <c r="F1783"/>
  <c r="E1783"/>
  <c r="D1783"/>
  <c r="C1783"/>
  <c r="B1783"/>
  <c r="A1783"/>
  <c r="K1782"/>
  <c r="J1782"/>
  <c r="I1782"/>
  <c r="H1782"/>
  <c r="G1782"/>
  <c r="F1782"/>
  <c r="E1782"/>
  <c r="D1782"/>
  <c r="C1782"/>
  <c r="B1782"/>
  <c r="A1782"/>
  <c r="K1781"/>
  <c r="J1781"/>
  <c r="I1781"/>
  <c r="H1781"/>
  <c r="G1781"/>
  <c r="F1781"/>
  <c r="E1781"/>
  <c r="D1781"/>
  <c r="C1781"/>
  <c r="B1781"/>
  <c r="A1781"/>
  <c r="K1780"/>
  <c r="J1780"/>
  <c r="I1780"/>
  <c r="H1780"/>
  <c r="G1780"/>
  <c r="F1780"/>
  <c r="E1780"/>
  <c r="D1780"/>
  <c r="C1780"/>
  <c r="B1780"/>
  <c r="A1780"/>
  <c r="K1779"/>
  <c r="J1779"/>
  <c r="I1779"/>
  <c r="H1779"/>
  <c r="G1779"/>
  <c r="F1779"/>
  <c r="E1779"/>
  <c r="D1779"/>
  <c r="C1779"/>
  <c r="B1779"/>
  <c r="A1779"/>
  <c r="K1778"/>
  <c r="J1778"/>
  <c r="I1778"/>
  <c r="H1778"/>
  <c r="G1778"/>
  <c r="F1778"/>
  <c r="E1778"/>
  <c r="D1778"/>
  <c r="C1778"/>
  <c r="B1778"/>
  <c r="A1778"/>
  <c r="K1777"/>
  <c r="J1777"/>
  <c r="I1777"/>
  <c r="H1777"/>
  <c r="G1777"/>
  <c r="F1777"/>
  <c r="E1777"/>
  <c r="D1777"/>
  <c r="C1777"/>
  <c r="B1777"/>
  <c r="A1777"/>
  <c r="K1776"/>
  <c r="J1776"/>
  <c r="I1776"/>
  <c r="H1776"/>
  <c r="G1776"/>
  <c r="F1776"/>
  <c r="E1776"/>
  <c r="D1776"/>
  <c r="C1776"/>
  <c r="B1776"/>
  <c r="A1776"/>
  <c r="K1775"/>
  <c r="J1775"/>
  <c r="I1775"/>
  <c r="H1775"/>
  <c r="G1775"/>
  <c r="F1775"/>
  <c r="E1775"/>
  <c r="D1775"/>
  <c r="C1775"/>
  <c r="B1775"/>
  <c r="A1775"/>
  <c r="K1774"/>
  <c r="J1774"/>
  <c r="I1774"/>
  <c r="H1774"/>
  <c r="G1774"/>
  <c r="F1774"/>
  <c r="E1774"/>
  <c r="D1774"/>
  <c r="C1774"/>
  <c r="B1774"/>
  <c r="A1774"/>
  <c r="K1773"/>
  <c r="J1773"/>
  <c r="I1773"/>
  <c r="H1773"/>
  <c r="G1773"/>
  <c r="F1773"/>
  <c r="E1773"/>
  <c r="D1773"/>
  <c r="C1773"/>
  <c r="B1773"/>
  <c r="A1773"/>
  <c r="K1772"/>
  <c r="J1772"/>
  <c r="I1772"/>
  <c r="H1772"/>
  <c r="G1772"/>
  <c r="F1772"/>
  <c r="E1772"/>
  <c r="D1772"/>
  <c r="C1772"/>
  <c r="B1772"/>
  <c r="A1772"/>
  <c r="K1771"/>
  <c r="J1771"/>
  <c r="I1771"/>
  <c r="H1771"/>
  <c r="G1771"/>
  <c r="F1771"/>
  <c r="E1771"/>
  <c r="D1771"/>
  <c r="C1771"/>
  <c r="B1771"/>
  <c r="A1771"/>
  <c r="K1770"/>
  <c r="J1770"/>
  <c r="I1770"/>
  <c r="H1770"/>
  <c r="G1770"/>
  <c r="F1770"/>
  <c r="E1770"/>
  <c r="D1770"/>
  <c r="C1770"/>
  <c r="B1770"/>
  <c r="A1770"/>
  <c r="K1769"/>
  <c r="J1769"/>
  <c r="I1769"/>
  <c r="H1769"/>
  <c r="G1769"/>
  <c r="F1769"/>
  <c r="E1769"/>
  <c r="D1769"/>
  <c r="C1769"/>
  <c r="B1769"/>
  <c r="A1769"/>
  <c r="K1768"/>
  <c r="J1768"/>
  <c r="I1768"/>
  <c r="H1768"/>
  <c r="G1768"/>
  <c r="F1768"/>
  <c r="E1768"/>
  <c r="D1768"/>
  <c r="C1768"/>
  <c r="B1768"/>
  <c r="A1768"/>
  <c r="K1767"/>
  <c r="J1767"/>
  <c r="I1767"/>
  <c r="H1767"/>
  <c r="G1767"/>
  <c r="F1767"/>
  <c r="E1767"/>
  <c r="D1767"/>
  <c r="C1767"/>
  <c r="B1767"/>
  <c r="A1767"/>
  <c r="K1766"/>
  <c r="J1766"/>
  <c r="I1766"/>
  <c r="H1766"/>
  <c r="G1766"/>
  <c r="F1766"/>
  <c r="E1766"/>
  <c r="D1766"/>
  <c r="C1766"/>
  <c r="B1766"/>
  <c r="A1766"/>
  <c r="K1765"/>
  <c r="J1765"/>
  <c r="I1765"/>
  <c r="H1765"/>
  <c r="G1765"/>
  <c r="F1765"/>
  <c r="E1765"/>
  <c r="D1765"/>
  <c r="C1765"/>
  <c r="B1765"/>
  <c r="A1765"/>
  <c r="K1764"/>
  <c r="J1764"/>
  <c r="I1764"/>
  <c r="H1764"/>
  <c r="G1764"/>
  <c r="F1764"/>
  <c r="E1764"/>
  <c r="D1764"/>
  <c r="C1764"/>
  <c r="B1764"/>
  <c r="A1764"/>
  <c r="K1763"/>
  <c r="J1763"/>
  <c r="I1763"/>
  <c r="H1763"/>
  <c r="G1763"/>
  <c r="F1763"/>
  <c r="E1763"/>
  <c r="D1763"/>
  <c r="C1763"/>
  <c r="B1763"/>
  <c r="A1763"/>
  <c r="K1762"/>
  <c r="J1762"/>
  <c r="I1762"/>
  <c r="H1762"/>
  <c r="G1762"/>
  <c r="F1762"/>
  <c r="E1762"/>
  <c r="D1762"/>
  <c r="C1762"/>
  <c r="B1762"/>
  <c r="A1762"/>
  <c r="K1761"/>
  <c r="J1761"/>
  <c r="I1761"/>
  <c r="H1761"/>
  <c r="G1761"/>
  <c r="F1761"/>
  <c r="E1761"/>
  <c r="D1761"/>
  <c r="C1761"/>
  <c r="B1761"/>
  <c r="A1761"/>
  <c r="K1760"/>
  <c r="J1760"/>
  <c r="I1760"/>
  <c r="H1760"/>
  <c r="G1760"/>
  <c r="F1760"/>
  <c r="E1760"/>
  <c r="D1760"/>
  <c r="C1760"/>
  <c r="B1760"/>
  <c r="A1760"/>
  <c r="K1759"/>
  <c r="J1759"/>
  <c r="I1759"/>
  <c r="H1759"/>
  <c r="G1759"/>
  <c r="F1759"/>
  <c r="E1759"/>
  <c r="D1759"/>
  <c r="C1759"/>
  <c r="B1759"/>
  <c r="A1759"/>
  <c r="K1758"/>
  <c r="J1758"/>
  <c r="I1758"/>
  <c r="H1758"/>
  <c r="G1758"/>
  <c r="F1758"/>
  <c r="E1758"/>
  <c r="D1758"/>
  <c r="C1758"/>
  <c r="B1758"/>
  <c r="A1758"/>
  <c r="K1757"/>
  <c r="J1757"/>
  <c r="I1757"/>
  <c r="H1757"/>
  <c r="G1757"/>
  <c r="F1757"/>
  <c r="E1757"/>
  <c r="D1757"/>
  <c r="C1757"/>
  <c r="B1757"/>
  <c r="A1757"/>
  <c r="K1756"/>
  <c r="J1756"/>
  <c r="I1756"/>
  <c r="H1756"/>
  <c r="G1756"/>
  <c r="F1756"/>
  <c r="E1756"/>
  <c r="D1756"/>
  <c r="C1756"/>
  <c r="B1756"/>
  <c r="A1756"/>
  <c r="K1755"/>
  <c r="J1755"/>
  <c r="I1755"/>
  <c r="H1755"/>
  <c r="G1755"/>
  <c r="F1755"/>
  <c r="E1755"/>
  <c r="D1755"/>
  <c r="C1755"/>
  <c r="B1755"/>
  <c r="A1755"/>
  <c r="K1754"/>
  <c r="J1754"/>
  <c r="I1754"/>
  <c r="H1754"/>
  <c r="G1754"/>
  <c r="F1754"/>
  <c r="E1754"/>
  <c r="D1754"/>
  <c r="C1754"/>
  <c r="B1754"/>
  <c r="A1754"/>
  <c r="K1753"/>
  <c r="J1753"/>
  <c r="I1753"/>
  <c r="H1753"/>
  <c r="G1753"/>
  <c r="F1753"/>
  <c r="E1753"/>
  <c r="D1753"/>
  <c r="C1753"/>
  <c r="B1753"/>
  <c r="A1753"/>
  <c r="K1752"/>
  <c r="J1752"/>
  <c r="I1752"/>
  <c r="H1752"/>
  <c r="G1752"/>
  <c r="F1752"/>
  <c r="E1752"/>
  <c r="D1752"/>
  <c r="C1752"/>
  <c r="B1752"/>
  <c r="A1752"/>
  <c r="K1751"/>
  <c r="J1751"/>
  <c r="I1751"/>
  <c r="H1751"/>
  <c r="G1751"/>
  <c r="F1751"/>
  <c r="E1751"/>
  <c r="D1751"/>
  <c r="C1751"/>
  <c r="B1751"/>
  <c r="A1751"/>
  <c r="K1750"/>
  <c r="J1750"/>
  <c r="I1750"/>
  <c r="H1750"/>
  <c r="G1750"/>
  <c r="F1750"/>
  <c r="E1750"/>
  <c r="D1750"/>
  <c r="C1750"/>
  <c r="B1750"/>
  <c r="A1750"/>
  <c r="K1749"/>
  <c r="J1749"/>
  <c r="I1749"/>
  <c r="H1749"/>
  <c r="G1749"/>
  <c r="F1749"/>
  <c r="E1749"/>
  <c r="D1749"/>
  <c r="C1749"/>
  <c r="B1749"/>
  <c r="A1749"/>
  <c r="K1748"/>
  <c r="J1748"/>
  <c r="I1748"/>
  <c r="H1748"/>
  <c r="G1748"/>
  <c r="F1748"/>
  <c r="E1748"/>
  <c r="D1748"/>
  <c r="C1748"/>
  <c r="B1748"/>
  <c r="A1748"/>
  <c r="K1747"/>
  <c r="J1747"/>
  <c r="I1747"/>
  <c r="H1747"/>
  <c r="G1747"/>
  <c r="F1747"/>
  <c r="E1747"/>
  <c r="D1747"/>
  <c r="C1747"/>
  <c r="B1747"/>
  <c r="A1747"/>
  <c r="K1746"/>
  <c r="J1746"/>
  <c r="I1746"/>
  <c r="H1746"/>
  <c r="G1746"/>
  <c r="F1746"/>
  <c r="E1746"/>
  <c r="D1746"/>
  <c r="C1746"/>
  <c r="B1746"/>
  <c r="A1746"/>
  <c r="K1745"/>
  <c r="J1745"/>
  <c r="I1745"/>
  <c r="H1745"/>
  <c r="G1745"/>
  <c r="F1745"/>
  <c r="E1745"/>
  <c r="D1745"/>
  <c r="C1745"/>
  <c r="B1745"/>
  <c r="A1745"/>
  <c r="K1744"/>
  <c r="J1744"/>
  <c r="I1744"/>
  <c r="H1744"/>
  <c r="G1744"/>
  <c r="F1744"/>
  <c r="E1744"/>
  <c r="D1744"/>
  <c r="C1744"/>
  <c r="B1744"/>
  <c r="A1744"/>
  <c r="K1743"/>
  <c r="J1743"/>
  <c r="I1743"/>
  <c r="H1743"/>
  <c r="G1743"/>
  <c r="F1743"/>
  <c r="E1743"/>
  <c r="D1743"/>
  <c r="C1743"/>
  <c r="B1743"/>
  <c r="A1743"/>
  <c r="K1742"/>
  <c r="J1742"/>
  <c r="I1742"/>
  <c r="H1742"/>
  <c r="G1742"/>
  <c r="F1742"/>
  <c r="E1742"/>
  <c r="D1742"/>
  <c r="C1742"/>
  <c r="B1742"/>
  <c r="A1742"/>
  <c r="K1741"/>
  <c r="J1741"/>
  <c r="I1741"/>
  <c r="H1741"/>
  <c r="G1741"/>
  <c r="F1741"/>
  <c r="E1741"/>
  <c r="D1741"/>
  <c r="C1741"/>
  <c r="B1741"/>
  <c r="A1741"/>
  <c r="K1740"/>
  <c r="J1740"/>
  <c r="I1740"/>
  <c r="H1740"/>
  <c r="G1740"/>
  <c r="F1740"/>
  <c r="E1740"/>
  <c r="D1740"/>
  <c r="C1740"/>
  <c r="B1740"/>
  <c r="A1740"/>
  <c r="K1739"/>
  <c r="J1739"/>
  <c r="I1739"/>
  <c r="H1739"/>
  <c r="G1739"/>
  <c r="F1739"/>
  <c r="E1739"/>
  <c r="D1739"/>
  <c r="C1739"/>
  <c r="B1739"/>
  <c r="A1739"/>
  <c r="K1738"/>
  <c r="J1738"/>
  <c r="I1738"/>
  <c r="H1738"/>
  <c r="G1738"/>
  <c r="F1738"/>
  <c r="E1738"/>
  <c r="D1738"/>
  <c r="C1738"/>
  <c r="B1738"/>
  <c r="A1738"/>
  <c r="K1737"/>
  <c r="J1737"/>
  <c r="I1737"/>
  <c r="H1737"/>
  <c r="G1737"/>
  <c r="F1737"/>
  <c r="E1737"/>
  <c r="D1737"/>
  <c r="C1737"/>
  <c r="B1737"/>
  <c r="A1737"/>
  <c r="K1736"/>
  <c r="J1736"/>
  <c r="I1736"/>
  <c r="H1736"/>
  <c r="G1736"/>
  <c r="F1736"/>
  <c r="E1736"/>
  <c r="D1736"/>
  <c r="C1736"/>
  <c r="B1736"/>
  <c r="A1736"/>
  <c r="K1735"/>
  <c r="J1735"/>
  <c r="I1735"/>
  <c r="H1735"/>
  <c r="G1735"/>
  <c r="F1735"/>
  <c r="E1735"/>
  <c r="D1735"/>
  <c r="C1735"/>
  <c r="B1735"/>
  <c r="A1735"/>
  <c r="K1734"/>
  <c r="J1734"/>
  <c r="I1734"/>
  <c r="H1734"/>
  <c r="G1734"/>
  <c r="F1734"/>
  <c r="E1734"/>
  <c r="D1734"/>
  <c r="C1734"/>
  <c r="B1734"/>
  <c r="A1734"/>
  <c r="K1733"/>
  <c r="J1733"/>
  <c r="I1733"/>
  <c r="H1733"/>
  <c r="G1733"/>
  <c r="F1733"/>
  <c r="E1733"/>
  <c r="D1733"/>
  <c r="C1733"/>
  <c r="B1733"/>
  <c r="A1733"/>
  <c r="K1732"/>
  <c r="J1732"/>
  <c r="I1732"/>
  <c r="H1732"/>
  <c r="G1732"/>
  <c r="F1732"/>
  <c r="E1732"/>
  <c r="D1732"/>
  <c r="C1732"/>
  <c r="B1732"/>
  <c r="A1732"/>
  <c r="K1731"/>
  <c r="J1731"/>
  <c r="I1731"/>
  <c r="H1731"/>
  <c r="G1731"/>
  <c r="F1731"/>
  <c r="E1731"/>
  <c r="D1731"/>
  <c r="C1731"/>
  <c r="B1731"/>
  <c r="A1731"/>
  <c r="K1730"/>
  <c r="J1730"/>
  <c r="I1730"/>
  <c r="H1730"/>
  <c r="G1730"/>
  <c r="F1730"/>
  <c r="E1730"/>
  <c r="D1730"/>
  <c r="C1730"/>
  <c r="B1730"/>
  <c r="A1730"/>
  <c r="K1729"/>
  <c r="J1729"/>
  <c r="I1729"/>
  <c r="H1729"/>
  <c r="G1729"/>
  <c r="F1729"/>
  <c r="E1729"/>
  <c r="D1729"/>
  <c r="C1729"/>
  <c r="B1729"/>
  <c r="A1729"/>
  <c r="K1728"/>
  <c r="J1728"/>
  <c r="I1728"/>
  <c r="H1728"/>
  <c r="G1728"/>
  <c r="F1728"/>
  <c r="E1728"/>
  <c r="D1728"/>
  <c r="C1728"/>
  <c r="B1728"/>
  <c r="A1728"/>
  <c r="K1727"/>
  <c r="J1727"/>
  <c r="I1727"/>
  <c r="H1727"/>
  <c r="G1727"/>
  <c r="F1727"/>
  <c r="E1727"/>
  <c r="D1727"/>
  <c r="C1727"/>
  <c r="B1727"/>
  <c r="A1727"/>
  <c r="K1726"/>
  <c r="J1726"/>
  <c r="I1726"/>
  <c r="H1726"/>
  <c r="G1726"/>
  <c r="F1726"/>
  <c r="E1726"/>
  <c r="D1726"/>
  <c r="C1726"/>
  <c r="B1726"/>
  <c r="A1726"/>
  <c r="K1725"/>
  <c r="J1725"/>
  <c r="I1725"/>
  <c r="H1725"/>
  <c r="G1725"/>
  <c r="F1725"/>
  <c r="E1725"/>
  <c r="D1725"/>
  <c r="C1725"/>
  <c r="B1725"/>
  <c r="A1725"/>
  <c r="K1724"/>
  <c r="J1724"/>
  <c r="I1724"/>
  <c r="H1724"/>
  <c r="G1724"/>
  <c r="F1724"/>
  <c r="E1724"/>
  <c r="D1724"/>
  <c r="C1724"/>
  <c r="B1724"/>
  <c r="A1724"/>
  <c r="K1723"/>
  <c r="J1723"/>
  <c r="I1723"/>
  <c r="H1723"/>
  <c r="G1723"/>
  <c r="F1723"/>
  <c r="E1723"/>
  <c r="D1723"/>
  <c r="C1723"/>
  <c r="B1723"/>
  <c r="A1723"/>
  <c r="K1722"/>
  <c r="J1722"/>
  <c r="I1722"/>
  <c r="H1722"/>
  <c r="G1722"/>
  <c r="F1722"/>
  <c r="E1722"/>
  <c r="D1722"/>
  <c r="C1722"/>
  <c r="B1722"/>
  <c r="A1722"/>
  <c r="K1721"/>
  <c r="J1721"/>
  <c r="I1721"/>
  <c r="H1721"/>
  <c r="G1721"/>
  <c r="F1721"/>
  <c r="E1721"/>
  <c r="D1721"/>
  <c r="C1721"/>
  <c r="B1721"/>
  <c r="A1721"/>
  <c r="K1720"/>
  <c r="J1720"/>
  <c r="I1720"/>
  <c r="H1720"/>
  <c r="G1720"/>
  <c r="F1720"/>
  <c r="E1720"/>
  <c r="D1720"/>
  <c r="C1720"/>
  <c r="B1720"/>
  <c r="A1720"/>
  <c r="K1719"/>
  <c r="J1719"/>
  <c r="I1719"/>
  <c r="H1719"/>
  <c r="G1719"/>
  <c r="F1719"/>
  <c r="E1719"/>
  <c r="D1719"/>
  <c r="C1719"/>
  <c r="B1719"/>
  <c r="A1719"/>
  <c r="K1718"/>
  <c r="J1718"/>
  <c r="I1718"/>
  <c r="H1718"/>
  <c r="G1718"/>
  <c r="F1718"/>
  <c r="E1718"/>
  <c r="D1718"/>
  <c r="C1718"/>
  <c r="B1718"/>
  <c r="A1718"/>
  <c r="K1717"/>
  <c r="J1717"/>
  <c r="I1717"/>
  <c r="H1717"/>
  <c r="G1717"/>
  <c r="F1717"/>
  <c r="E1717"/>
  <c r="D1717"/>
  <c r="C1717"/>
  <c r="B1717"/>
  <c r="A1717"/>
  <c r="K1716"/>
  <c r="J1716"/>
  <c r="I1716"/>
  <c r="H1716"/>
  <c r="G1716"/>
  <c r="F1716"/>
  <c r="E1716"/>
  <c r="D1716"/>
  <c r="C1716"/>
  <c r="B1716"/>
  <c r="A1716"/>
  <c r="K1715"/>
  <c r="J1715"/>
  <c r="I1715"/>
  <c r="H1715"/>
  <c r="G1715"/>
  <c r="F1715"/>
  <c r="E1715"/>
  <c r="D1715"/>
  <c r="C1715"/>
  <c r="B1715"/>
  <c r="A1715"/>
  <c r="K1714"/>
  <c r="J1714"/>
  <c r="I1714"/>
  <c r="H1714"/>
  <c r="G1714"/>
  <c r="F1714"/>
  <c r="E1714"/>
  <c r="D1714"/>
  <c r="C1714"/>
  <c r="B1714"/>
  <c r="A1714"/>
  <c r="K1713"/>
  <c r="J1713"/>
  <c r="I1713"/>
  <c r="H1713"/>
  <c r="G1713"/>
  <c r="F1713"/>
  <c r="E1713"/>
  <c r="D1713"/>
  <c r="C1713"/>
  <c r="B1713"/>
  <c r="A1713"/>
  <c r="K1712"/>
  <c r="J1712"/>
  <c r="I1712"/>
  <c r="H1712"/>
  <c r="G1712"/>
  <c r="F1712"/>
  <c r="E1712"/>
  <c r="D1712"/>
  <c r="C1712"/>
  <c r="B1712"/>
  <c r="A1712"/>
  <c r="K1711"/>
  <c r="J1711"/>
  <c r="I1711"/>
  <c r="H1711"/>
  <c r="G1711"/>
  <c r="F1711"/>
  <c r="E1711"/>
  <c r="D1711"/>
  <c r="C1711"/>
  <c r="B1711"/>
  <c r="A1711"/>
  <c r="K1710"/>
  <c r="J1710"/>
  <c r="I1710"/>
  <c r="H1710"/>
  <c r="G1710"/>
  <c r="F1710"/>
  <c r="E1710"/>
  <c r="D1710"/>
  <c r="C1710"/>
  <c r="B1710"/>
  <c r="A1710"/>
  <c r="K1709"/>
  <c r="J1709"/>
  <c r="I1709"/>
  <c r="H1709"/>
  <c r="G1709"/>
  <c r="F1709"/>
  <c r="E1709"/>
  <c r="D1709"/>
  <c r="C1709"/>
  <c r="B1709"/>
  <c r="A1709"/>
  <c r="K1708"/>
  <c r="J1708"/>
  <c r="I1708"/>
  <c r="H1708"/>
  <c r="G1708"/>
  <c r="F1708"/>
  <c r="E1708"/>
  <c r="D1708"/>
  <c r="C1708"/>
  <c r="B1708"/>
  <c r="A1708"/>
  <c r="K1707"/>
  <c r="J1707"/>
  <c r="I1707"/>
  <c r="H1707"/>
  <c r="G1707"/>
  <c r="F1707"/>
  <c r="E1707"/>
  <c r="D1707"/>
  <c r="C1707"/>
  <c r="B1707"/>
  <c r="A1707"/>
  <c r="K1706"/>
  <c r="J1706"/>
  <c r="I1706"/>
  <c r="H1706"/>
  <c r="G1706"/>
  <c r="F1706"/>
  <c r="E1706"/>
  <c r="D1706"/>
  <c r="C1706"/>
  <c r="B1706"/>
  <c r="A1706"/>
  <c r="K1705"/>
  <c r="J1705"/>
  <c r="I1705"/>
  <c r="H1705"/>
  <c r="G1705"/>
  <c r="F1705"/>
  <c r="E1705"/>
  <c r="D1705"/>
  <c r="C1705"/>
  <c r="B1705"/>
  <c r="A1705"/>
  <c r="K1704"/>
  <c r="J1704"/>
  <c r="I1704"/>
  <c r="H1704"/>
  <c r="G1704"/>
  <c r="F1704"/>
  <c r="E1704"/>
  <c r="D1704"/>
  <c r="C1704"/>
  <c r="B1704"/>
  <c r="A1704"/>
  <c r="K1703"/>
  <c r="J1703"/>
  <c r="I1703"/>
  <c r="H1703"/>
  <c r="G1703"/>
  <c r="F1703"/>
  <c r="E1703"/>
  <c r="D1703"/>
  <c r="C1703"/>
  <c r="B1703"/>
  <c r="A1703"/>
  <c r="K1702"/>
  <c r="J1702"/>
  <c r="I1702"/>
  <c r="H1702"/>
  <c r="G1702"/>
  <c r="F1702"/>
  <c r="E1702"/>
  <c r="D1702"/>
  <c r="C1702"/>
  <c r="B1702"/>
  <c r="A1702"/>
  <c r="K1701"/>
  <c r="J1701"/>
  <c r="I1701"/>
  <c r="H1701"/>
  <c r="G1701"/>
  <c r="F1701"/>
  <c r="E1701"/>
  <c r="D1701"/>
  <c r="C1701"/>
  <c r="B1701"/>
  <c r="A1701"/>
  <c r="K1700"/>
  <c r="J1700"/>
  <c r="I1700"/>
  <c r="H1700"/>
  <c r="G1700"/>
  <c r="F1700"/>
  <c r="E1700"/>
  <c r="D1700"/>
  <c r="C1700"/>
  <c r="B1700"/>
  <c r="A1700"/>
  <c r="K1699"/>
  <c r="J1699"/>
  <c r="I1699"/>
  <c r="H1699"/>
  <c r="G1699"/>
  <c r="F1699"/>
  <c r="E1699"/>
  <c r="D1699"/>
  <c r="C1699"/>
  <c r="B1699"/>
  <c r="A1699"/>
  <c r="K1698"/>
  <c r="J1698"/>
  <c r="I1698"/>
  <c r="H1698"/>
  <c r="G1698"/>
  <c r="F1698"/>
  <c r="E1698"/>
  <c r="D1698"/>
  <c r="C1698"/>
  <c r="B1698"/>
  <c r="A1698"/>
  <c r="K1697"/>
  <c r="J1697"/>
  <c r="I1697"/>
  <c r="H1697"/>
  <c r="G1697"/>
  <c r="F1697"/>
  <c r="E1697"/>
  <c r="D1697"/>
  <c r="C1697"/>
  <c r="B1697"/>
  <c r="A1697"/>
  <c r="K1696"/>
  <c r="J1696"/>
  <c r="I1696"/>
  <c r="H1696"/>
  <c r="G1696"/>
  <c r="F1696"/>
  <c r="E1696"/>
  <c r="D1696"/>
  <c r="C1696"/>
  <c r="B1696"/>
  <c r="A1696"/>
  <c r="K1695"/>
  <c r="J1695"/>
  <c r="I1695"/>
  <c r="H1695"/>
  <c r="G1695"/>
  <c r="F1695"/>
  <c r="E1695"/>
  <c r="D1695"/>
  <c r="C1695"/>
  <c r="B1695"/>
  <c r="A1695"/>
  <c r="K1694"/>
  <c r="J1694"/>
  <c r="I1694"/>
  <c r="H1694"/>
  <c r="G1694"/>
  <c r="F1694"/>
  <c r="E1694"/>
  <c r="D1694"/>
  <c r="C1694"/>
  <c r="B1694"/>
  <c r="A1694"/>
  <c r="K1693"/>
  <c r="J1693"/>
  <c r="I1693"/>
  <c r="H1693"/>
  <c r="G1693"/>
  <c r="F1693"/>
  <c r="E1693"/>
  <c r="D1693"/>
  <c r="C1693"/>
  <c r="B1693"/>
  <c r="A1693"/>
  <c r="K1692"/>
  <c r="J1692"/>
  <c r="I1692"/>
  <c r="H1692"/>
  <c r="G1692"/>
  <c r="F1692"/>
  <c r="E1692"/>
  <c r="D1692"/>
  <c r="C1692"/>
  <c r="B1692"/>
  <c r="A1692"/>
  <c r="K1691"/>
  <c r="J1691"/>
  <c r="I1691"/>
  <c r="H1691"/>
  <c r="G1691"/>
  <c r="F1691"/>
  <c r="E1691"/>
  <c r="D1691"/>
  <c r="C1691"/>
  <c r="B1691"/>
  <c r="A1691"/>
  <c r="K1690"/>
  <c r="J1690"/>
  <c r="I1690"/>
  <c r="H1690"/>
  <c r="G1690"/>
  <c r="F1690"/>
  <c r="E1690"/>
  <c r="D1690"/>
  <c r="C1690"/>
  <c r="B1690"/>
  <c r="A1690"/>
  <c r="K1689"/>
  <c r="J1689"/>
  <c r="I1689"/>
  <c r="H1689"/>
  <c r="G1689"/>
  <c r="F1689"/>
  <c r="E1689"/>
  <c r="D1689"/>
  <c r="C1689"/>
  <c r="B1689"/>
  <c r="A1689"/>
  <c r="K1688"/>
  <c r="J1688"/>
  <c r="I1688"/>
  <c r="H1688"/>
  <c r="G1688"/>
  <c r="F1688"/>
  <c r="E1688"/>
  <c r="D1688"/>
  <c r="C1688"/>
  <c r="B1688"/>
  <c r="A1688"/>
  <c r="K1687"/>
  <c r="J1687"/>
  <c r="I1687"/>
  <c r="H1687"/>
  <c r="G1687"/>
  <c r="F1687"/>
  <c r="E1687"/>
  <c r="D1687"/>
  <c r="C1687"/>
  <c r="B1687"/>
  <c r="A1687"/>
  <c r="K1686"/>
  <c r="J1686"/>
  <c r="I1686"/>
  <c r="H1686"/>
  <c r="G1686"/>
  <c r="F1686"/>
  <c r="E1686"/>
  <c r="D1686"/>
  <c r="C1686"/>
  <c r="B1686"/>
  <c r="A1686"/>
  <c r="K1685"/>
  <c r="J1685"/>
  <c r="I1685"/>
  <c r="H1685"/>
  <c r="G1685"/>
  <c r="F1685"/>
  <c r="E1685"/>
  <c r="D1685"/>
  <c r="C1685"/>
  <c r="B1685"/>
  <c r="A1685"/>
  <c r="K1684"/>
  <c r="J1684"/>
  <c r="I1684"/>
  <c r="H1684"/>
  <c r="G1684"/>
  <c r="F1684"/>
  <c r="E1684"/>
  <c r="D1684"/>
  <c r="C1684"/>
  <c r="B1684"/>
  <c r="A1684"/>
  <c r="K1683"/>
  <c r="J1683"/>
  <c r="I1683"/>
  <c r="H1683"/>
  <c r="G1683"/>
  <c r="F1683"/>
  <c r="E1683"/>
  <c r="D1683"/>
  <c r="C1683"/>
  <c r="B1683"/>
  <c r="A1683"/>
  <c r="K1682"/>
  <c r="J1682"/>
  <c r="I1682"/>
  <c r="H1682"/>
  <c r="G1682"/>
  <c r="F1682"/>
  <c r="E1682"/>
  <c r="D1682"/>
  <c r="C1682"/>
  <c r="B1682"/>
  <c r="A1682"/>
  <c r="K1681"/>
  <c r="J1681"/>
  <c r="I1681"/>
  <c r="H1681"/>
  <c r="G1681"/>
  <c r="F1681"/>
  <c r="E1681"/>
  <c r="D1681"/>
  <c r="C1681"/>
  <c r="B1681"/>
  <c r="A1681"/>
  <c r="K1680"/>
  <c r="J1680"/>
  <c r="I1680"/>
  <c r="H1680"/>
  <c r="G1680"/>
  <c r="F1680"/>
  <c r="E1680"/>
  <c r="D1680"/>
  <c r="C1680"/>
  <c r="B1680"/>
  <c r="A1680"/>
  <c r="K1679"/>
  <c r="J1679"/>
  <c r="I1679"/>
  <c r="H1679"/>
  <c r="G1679"/>
  <c r="F1679"/>
  <c r="E1679"/>
  <c r="D1679"/>
  <c r="C1679"/>
  <c r="B1679"/>
  <c r="A1679"/>
  <c r="K1678"/>
  <c r="J1678"/>
  <c r="I1678"/>
  <c r="H1678"/>
  <c r="G1678"/>
  <c r="F1678"/>
  <c r="E1678"/>
  <c r="D1678"/>
  <c r="C1678"/>
  <c r="B1678"/>
  <c r="A1678"/>
  <c r="K1677"/>
  <c r="J1677"/>
  <c r="I1677"/>
  <c r="H1677"/>
  <c r="G1677"/>
  <c r="F1677"/>
  <c r="E1677"/>
  <c r="D1677"/>
  <c r="C1677"/>
  <c r="B1677"/>
  <c r="A1677"/>
  <c r="K1676"/>
  <c r="J1676"/>
  <c r="I1676"/>
  <c r="H1676"/>
  <c r="G1676"/>
  <c r="F1676"/>
  <c r="E1676"/>
  <c r="D1676"/>
  <c r="C1676"/>
  <c r="B1676"/>
  <c r="A1676"/>
  <c r="K1675"/>
  <c r="J1675"/>
  <c r="I1675"/>
  <c r="H1675"/>
  <c r="G1675"/>
  <c r="F1675"/>
  <c r="E1675"/>
  <c r="D1675"/>
  <c r="C1675"/>
  <c r="B1675"/>
  <c r="A1675"/>
  <c r="K1674"/>
  <c r="J1674"/>
  <c r="I1674"/>
  <c r="H1674"/>
  <c r="G1674"/>
  <c r="F1674"/>
  <c r="E1674"/>
  <c r="D1674"/>
  <c r="C1674"/>
  <c r="B1674"/>
  <c r="A1674"/>
  <c r="K1673"/>
  <c r="J1673"/>
  <c r="I1673"/>
  <c r="H1673"/>
  <c r="G1673"/>
  <c r="F1673"/>
  <c r="E1673"/>
  <c r="D1673"/>
  <c r="C1673"/>
  <c r="B1673"/>
  <c r="A1673"/>
  <c r="K1672"/>
  <c r="J1672"/>
  <c r="I1672"/>
  <c r="H1672"/>
  <c r="G1672"/>
  <c r="F1672"/>
  <c r="E1672"/>
  <c r="D1672"/>
  <c r="C1672"/>
  <c r="B1672"/>
  <c r="A1672"/>
  <c r="K1671"/>
  <c r="J1671"/>
  <c r="I1671"/>
  <c r="H1671"/>
  <c r="G1671"/>
  <c r="F1671"/>
  <c r="E1671"/>
  <c r="D1671"/>
  <c r="C1671"/>
  <c r="B1671"/>
  <c r="A1671"/>
  <c r="K1670"/>
  <c r="J1670"/>
  <c r="I1670"/>
  <c r="H1670"/>
  <c r="G1670"/>
  <c r="F1670"/>
  <c r="E1670"/>
  <c r="D1670"/>
  <c r="C1670"/>
  <c r="B1670"/>
  <c r="A1670"/>
  <c r="K1669"/>
  <c r="J1669"/>
  <c r="I1669"/>
  <c r="H1669"/>
  <c r="G1669"/>
  <c r="F1669"/>
  <c r="E1669"/>
  <c r="D1669"/>
  <c r="C1669"/>
  <c r="B1669"/>
  <c r="A1669"/>
  <c r="K1668"/>
  <c r="J1668"/>
  <c r="I1668"/>
  <c r="H1668"/>
  <c r="G1668"/>
  <c r="F1668"/>
  <c r="E1668"/>
  <c r="D1668"/>
  <c r="C1668"/>
  <c r="B1668"/>
  <c r="A1668"/>
  <c r="K1667"/>
  <c r="J1667"/>
  <c r="I1667"/>
  <c r="H1667"/>
  <c r="G1667"/>
  <c r="F1667"/>
  <c r="E1667"/>
  <c r="D1667"/>
  <c r="C1667"/>
  <c r="B1667"/>
  <c r="A1667"/>
  <c r="K1666"/>
  <c r="J1666"/>
  <c r="I1666"/>
  <c r="H1666"/>
  <c r="G1666"/>
  <c r="F1666"/>
  <c r="E1666"/>
  <c r="D1666"/>
  <c r="C1666"/>
  <c r="B1666"/>
  <c r="A1666"/>
  <c r="K1665"/>
  <c r="J1665"/>
  <c r="I1665"/>
  <c r="H1665"/>
  <c r="G1665"/>
  <c r="F1665"/>
  <c r="E1665"/>
  <c r="D1665"/>
  <c r="C1665"/>
  <c r="B1665"/>
  <c r="A1665"/>
  <c r="K1664"/>
  <c r="J1664"/>
  <c r="I1664"/>
  <c r="H1664"/>
  <c r="G1664"/>
  <c r="F1664"/>
  <c r="E1664"/>
  <c r="D1664"/>
  <c r="C1664"/>
  <c r="B1664"/>
  <c r="A1664"/>
  <c r="K1663"/>
  <c r="J1663"/>
  <c r="I1663"/>
  <c r="H1663"/>
  <c r="G1663"/>
  <c r="F1663"/>
  <c r="E1663"/>
  <c r="D1663"/>
  <c r="C1663"/>
  <c r="B1663"/>
  <c r="A1663"/>
  <c r="K1662"/>
  <c r="J1662"/>
  <c r="I1662"/>
  <c r="H1662"/>
  <c r="G1662"/>
  <c r="F1662"/>
  <c r="E1662"/>
  <c r="D1662"/>
  <c r="C1662"/>
  <c r="B1662"/>
  <c r="A1662"/>
  <c r="K1661"/>
  <c r="J1661"/>
  <c r="I1661"/>
  <c r="H1661"/>
  <c r="G1661"/>
  <c r="F1661"/>
  <c r="E1661"/>
  <c r="D1661"/>
  <c r="C1661"/>
  <c r="B1661"/>
  <c r="A1661"/>
  <c r="K1660"/>
  <c r="J1660"/>
  <c r="I1660"/>
  <c r="H1660"/>
  <c r="G1660"/>
  <c r="F1660"/>
  <c r="E1660"/>
  <c r="D1660"/>
  <c r="C1660"/>
  <c r="B1660"/>
  <c r="A1660"/>
  <c r="K1659"/>
  <c r="J1659"/>
  <c r="I1659"/>
  <c r="H1659"/>
  <c r="G1659"/>
  <c r="F1659"/>
  <c r="E1659"/>
  <c r="D1659"/>
  <c r="C1659"/>
  <c r="B1659"/>
  <c r="A1659"/>
  <c r="K1658"/>
  <c r="J1658"/>
  <c r="I1658"/>
  <c r="H1658"/>
  <c r="G1658"/>
  <c r="F1658"/>
  <c r="E1658"/>
  <c r="D1658"/>
  <c r="C1658"/>
  <c r="B1658"/>
  <c r="A1658"/>
  <c r="K1657"/>
  <c r="J1657"/>
  <c r="I1657"/>
  <c r="H1657"/>
  <c r="G1657"/>
  <c r="F1657"/>
  <c r="E1657"/>
  <c r="D1657"/>
  <c r="C1657"/>
  <c r="B1657"/>
  <c r="A1657"/>
  <c r="K1656"/>
  <c r="J1656"/>
  <c r="I1656"/>
  <c r="H1656"/>
  <c r="G1656"/>
  <c r="F1656"/>
  <c r="E1656"/>
  <c r="D1656"/>
  <c r="C1656"/>
  <c r="B1656"/>
  <c r="A1656"/>
  <c r="K1655"/>
  <c r="J1655"/>
  <c r="I1655"/>
  <c r="H1655"/>
  <c r="G1655"/>
  <c r="F1655"/>
  <c r="E1655"/>
  <c r="D1655"/>
  <c r="C1655"/>
  <c r="B1655"/>
  <c r="A1655"/>
  <c r="K1654"/>
  <c r="J1654"/>
  <c r="I1654"/>
  <c r="H1654"/>
  <c r="G1654"/>
  <c r="F1654"/>
  <c r="E1654"/>
  <c r="D1654"/>
  <c r="C1654"/>
  <c r="B1654"/>
  <c r="A1654"/>
  <c r="K1653"/>
  <c r="J1653"/>
  <c r="I1653"/>
  <c r="H1653"/>
  <c r="G1653"/>
  <c r="F1653"/>
  <c r="E1653"/>
  <c r="D1653"/>
  <c r="C1653"/>
  <c r="B1653"/>
  <c r="A1653"/>
  <c r="K1652"/>
  <c r="J1652"/>
  <c r="I1652"/>
  <c r="H1652"/>
  <c r="G1652"/>
  <c r="F1652"/>
  <c r="E1652"/>
  <c r="D1652"/>
  <c r="C1652"/>
  <c r="B1652"/>
  <c r="A1652"/>
  <c r="K1651"/>
  <c r="J1651"/>
  <c r="I1651"/>
  <c r="H1651"/>
  <c r="G1651"/>
  <c r="F1651"/>
  <c r="E1651"/>
  <c r="D1651"/>
  <c r="C1651"/>
  <c r="B1651"/>
  <c r="A1651"/>
  <c r="K1650"/>
  <c r="J1650"/>
  <c r="I1650"/>
  <c r="H1650"/>
  <c r="G1650"/>
  <c r="F1650"/>
  <c r="E1650"/>
  <c r="D1650"/>
  <c r="C1650"/>
  <c r="B1650"/>
  <c r="A1650"/>
  <c r="K1649"/>
  <c r="J1649"/>
  <c r="I1649"/>
  <c r="H1649"/>
  <c r="G1649"/>
  <c r="F1649"/>
  <c r="E1649"/>
  <c r="D1649"/>
  <c r="C1649"/>
  <c r="B1649"/>
  <c r="A1649"/>
  <c r="K1648"/>
  <c r="J1648"/>
  <c r="I1648"/>
  <c r="H1648"/>
  <c r="G1648"/>
  <c r="F1648"/>
  <c r="E1648"/>
  <c r="D1648"/>
  <c r="C1648"/>
  <c r="B1648"/>
  <c r="A1648"/>
  <c r="K1647"/>
  <c r="J1647"/>
  <c r="I1647"/>
  <c r="H1647"/>
  <c r="G1647"/>
  <c r="F1647"/>
  <c r="E1647"/>
  <c r="D1647"/>
  <c r="C1647"/>
  <c r="B1647"/>
  <c r="A1647"/>
  <c r="K1646"/>
  <c r="J1646"/>
  <c r="I1646"/>
  <c r="H1646"/>
  <c r="G1646"/>
  <c r="F1646"/>
  <c r="E1646"/>
  <c r="D1646"/>
  <c r="C1646"/>
  <c r="B1646"/>
  <c r="A1646"/>
  <c r="K1645"/>
  <c r="J1645"/>
  <c r="I1645"/>
  <c r="H1645"/>
  <c r="G1645"/>
  <c r="F1645"/>
  <c r="E1645"/>
  <c r="D1645"/>
  <c r="C1645"/>
  <c r="B1645"/>
  <c r="A1645"/>
  <c r="K1644"/>
  <c r="J1644"/>
  <c r="I1644"/>
  <c r="H1644"/>
  <c r="G1644"/>
  <c r="F1644"/>
  <c r="E1644"/>
  <c r="D1644"/>
  <c r="C1644"/>
  <c r="B1644"/>
  <c r="A1644"/>
  <c r="K1643"/>
  <c r="J1643"/>
  <c r="I1643"/>
  <c r="H1643"/>
  <c r="G1643"/>
  <c r="F1643"/>
  <c r="E1643"/>
  <c r="D1643"/>
  <c r="C1643"/>
  <c r="B1643"/>
  <c r="A1643"/>
  <c r="K1642"/>
  <c r="J1642"/>
  <c r="I1642"/>
  <c r="H1642"/>
  <c r="G1642"/>
  <c r="F1642"/>
  <c r="E1642"/>
  <c r="D1642"/>
  <c r="C1642"/>
  <c r="B1642"/>
  <c r="A1642"/>
  <c r="K1641"/>
  <c r="J1641"/>
  <c r="I1641"/>
  <c r="H1641"/>
  <c r="G1641"/>
  <c r="F1641"/>
  <c r="E1641"/>
  <c r="D1641"/>
  <c r="C1641"/>
  <c r="B1641"/>
  <c r="A1641"/>
  <c r="K1640"/>
  <c r="J1640"/>
  <c r="I1640"/>
  <c r="H1640"/>
  <c r="G1640"/>
  <c r="F1640"/>
  <c r="E1640"/>
  <c r="D1640"/>
  <c r="C1640"/>
  <c r="B1640"/>
  <c r="A1640"/>
  <c r="K1639"/>
  <c r="J1639"/>
  <c r="I1639"/>
  <c r="H1639"/>
  <c r="G1639"/>
  <c r="F1639"/>
  <c r="E1639"/>
  <c r="D1639"/>
  <c r="C1639"/>
  <c r="B1639"/>
  <c r="A1639"/>
  <c r="K1638"/>
  <c r="J1638"/>
  <c r="I1638"/>
  <c r="H1638"/>
  <c r="G1638"/>
  <c r="F1638"/>
  <c r="E1638"/>
  <c r="D1638"/>
  <c r="C1638"/>
  <c r="B1638"/>
  <c r="A1638"/>
  <c r="K1637"/>
  <c r="J1637"/>
  <c r="I1637"/>
  <c r="H1637"/>
  <c r="G1637"/>
  <c r="F1637"/>
  <c r="E1637"/>
  <c r="D1637"/>
  <c r="C1637"/>
  <c r="B1637"/>
  <c r="A1637"/>
  <c r="K1636"/>
  <c r="J1636"/>
  <c r="I1636"/>
  <c r="H1636"/>
  <c r="G1636"/>
  <c r="F1636"/>
  <c r="E1636"/>
  <c r="D1636"/>
  <c r="C1636"/>
  <c r="B1636"/>
  <c r="A1636"/>
  <c r="K1635"/>
  <c r="J1635"/>
  <c r="I1635"/>
  <c r="H1635"/>
  <c r="G1635"/>
  <c r="F1635"/>
  <c r="E1635"/>
  <c r="D1635"/>
  <c r="C1635"/>
  <c r="B1635"/>
  <c r="A1635"/>
  <c r="K1634"/>
  <c r="J1634"/>
  <c r="I1634"/>
  <c r="H1634"/>
  <c r="G1634"/>
  <c r="F1634"/>
  <c r="E1634"/>
  <c r="D1634"/>
  <c r="C1634"/>
  <c r="B1634"/>
  <c r="A1634"/>
  <c r="K1633"/>
  <c r="J1633"/>
  <c r="I1633"/>
  <c r="H1633"/>
  <c r="G1633"/>
  <c r="F1633"/>
  <c r="E1633"/>
  <c r="D1633"/>
  <c r="C1633"/>
  <c r="B1633"/>
  <c r="A1633"/>
  <c r="K1632"/>
  <c r="J1632"/>
  <c r="I1632"/>
  <c r="H1632"/>
  <c r="G1632"/>
  <c r="F1632"/>
  <c r="E1632"/>
  <c r="D1632"/>
  <c r="C1632"/>
  <c r="B1632"/>
  <c r="A1632"/>
  <c r="K1631"/>
  <c r="J1631"/>
  <c r="I1631"/>
  <c r="H1631"/>
  <c r="G1631"/>
  <c r="F1631"/>
  <c r="E1631"/>
  <c r="D1631"/>
  <c r="C1631"/>
  <c r="B1631"/>
  <c r="A1631"/>
  <c r="K1630"/>
  <c r="J1630"/>
  <c r="I1630"/>
  <c r="H1630"/>
  <c r="G1630"/>
  <c r="F1630"/>
  <c r="E1630"/>
  <c r="D1630"/>
  <c r="C1630"/>
  <c r="B1630"/>
  <c r="A1630"/>
  <c r="K1629"/>
  <c r="J1629"/>
  <c r="I1629"/>
  <c r="H1629"/>
  <c r="G1629"/>
  <c r="F1629"/>
  <c r="E1629"/>
  <c r="D1629"/>
  <c r="C1629"/>
  <c r="B1629"/>
  <c r="A1629"/>
  <c r="K1628"/>
  <c r="J1628"/>
  <c r="I1628"/>
  <c r="H1628"/>
  <c r="G1628"/>
  <c r="F1628"/>
  <c r="E1628"/>
  <c r="D1628"/>
  <c r="C1628"/>
  <c r="B1628"/>
  <c r="A1628"/>
  <c r="K1627"/>
  <c r="J1627"/>
  <c r="I1627"/>
  <c r="H1627"/>
  <c r="G1627"/>
  <c r="F1627"/>
  <c r="E1627"/>
  <c r="D1627"/>
  <c r="C1627"/>
  <c r="B1627"/>
  <c r="A1627"/>
  <c r="K1626"/>
  <c r="J1626"/>
  <c r="I1626"/>
  <c r="H1626"/>
  <c r="G1626"/>
  <c r="F1626"/>
  <c r="E1626"/>
  <c r="D1626"/>
  <c r="C1626"/>
  <c r="B1626"/>
  <c r="A1626"/>
  <c r="K1625"/>
  <c r="J1625"/>
  <c r="I1625"/>
  <c r="H1625"/>
  <c r="G1625"/>
  <c r="F1625"/>
  <c r="E1625"/>
  <c r="D1625"/>
  <c r="C1625"/>
  <c r="B1625"/>
  <c r="A1625"/>
  <c r="K1624"/>
  <c r="J1624"/>
  <c r="I1624"/>
  <c r="H1624"/>
  <c r="G1624"/>
  <c r="F1624"/>
  <c r="E1624"/>
  <c r="D1624"/>
  <c r="C1624"/>
  <c r="B1624"/>
  <c r="A1624"/>
  <c r="K1623"/>
  <c r="J1623"/>
  <c r="I1623"/>
  <c r="H1623"/>
  <c r="G1623"/>
  <c r="F1623"/>
  <c r="E1623"/>
  <c r="D1623"/>
  <c r="C1623"/>
  <c r="B1623"/>
  <c r="A1623"/>
  <c r="K1622"/>
  <c r="J1622"/>
  <c r="I1622"/>
  <c r="H1622"/>
  <c r="G1622"/>
  <c r="F1622"/>
  <c r="E1622"/>
  <c r="D1622"/>
  <c r="C1622"/>
  <c r="B1622"/>
  <c r="A1622"/>
  <c r="K1621"/>
  <c r="J1621"/>
  <c r="I1621"/>
  <c r="H1621"/>
  <c r="G1621"/>
  <c r="F1621"/>
  <c r="E1621"/>
  <c r="D1621"/>
  <c r="C1621"/>
  <c r="B1621"/>
  <c r="A1621"/>
  <c r="K1620"/>
  <c r="J1620"/>
  <c r="I1620"/>
  <c r="H1620"/>
  <c r="G1620"/>
  <c r="F1620"/>
  <c r="E1620"/>
  <c r="D1620"/>
  <c r="C1620"/>
  <c r="B1620"/>
  <c r="A1620"/>
  <c r="K1619"/>
  <c r="J1619"/>
  <c r="I1619"/>
  <c r="H1619"/>
  <c r="G1619"/>
  <c r="F1619"/>
  <c r="E1619"/>
  <c r="D1619"/>
  <c r="C1619"/>
  <c r="B1619"/>
  <c r="A1619"/>
  <c r="K1618"/>
  <c r="J1618"/>
  <c r="I1618"/>
  <c r="H1618"/>
  <c r="G1618"/>
  <c r="F1618"/>
  <c r="E1618"/>
  <c r="D1618"/>
  <c r="C1618"/>
  <c r="B1618"/>
  <c r="A1618"/>
  <c r="K1617"/>
  <c r="J1617"/>
  <c r="I1617"/>
  <c r="H1617"/>
  <c r="G1617"/>
  <c r="F1617"/>
  <c r="E1617"/>
  <c r="D1617"/>
  <c r="C1617"/>
  <c r="B1617"/>
  <c r="A1617"/>
  <c r="K1616"/>
  <c r="J1616"/>
  <c r="I1616"/>
  <c r="H1616"/>
  <c r="G1616"/>
  <c r="F1616"/>
  <c r="E1616"/>
  <c r="D1616"/>
  <c r="C1616"/>
  <c r="B1616"/>
  <c r="A1616"/>
  <c r="K1615"/>
  <c r="J1615"/>
  <c r="I1615"/>
  <c r="H1615"/>
  <c r="G1615"/>
  <c r="F1615"/>
  <c r="E1615"/>
  <c r="D1615"/>
  <c r="C1615"/>
  <c r="B1615"/>
  <c r="A1615"/>
  <c r="K1614"/>
  <c r="J1614"/>
  <c r="I1614"/>
  <c r="H1614"/>
  <c r="G1614"/>
  <c r="F1614"/>
  <c r="E1614"/>
  <c r="D1614"/>
  <c r="C1614"/>
  <c r="B1614"/>
  <c r="A1614"/>
  <c r="K1613"/>
  <c r="J1613"/>
  <c r="I1613"/>
  <c r="H1613"/>
  <c r="G1613"/>
  <c r="F1613"/>
  <c r="E1613"/>
  <c r="D1613"/>
  <c r="C1613"/>
  <c r="B1613"/>
  <c r="A1613"/>
  <c r="K1612"/>
  <c r="J1612"/>
  <c r="I1612"/>
  <c r="H1612"/>
  <c r="G1612"/>
  <c r="F1612"/>
  <c r="E1612"/>
  <c r="D1612"/>
  <c r="C1612"/>
  <c r="B1612"/>
  <c r="A1612"/>
  <c r="K1611"/>
  <c r="J1611"/>
  <c r="I1611"/>
  <c r="H1611"/>
  <c r="G1611"/>
  <c r="F1611"/>
  <c r="E1611"/>
  <c r="D1611"/>
  <c r="C1611"/>
  <c r="B1611"/>
  <c r="A1611"/>
  <c r="K1610"/>
  <c r="J1610"/>
  <c r="I1610"/>
  <c r="H1610"/>
  <c r="G1610"/>
  <c r="F1610"/>
  <c r="E1610"/>
  <c r="D1610"/>
  <c r="C1610"/>
  <c r="B1610"/>
  <c r="A1610"/>
  <c r="K1609"/>
  <c r="J1609"/>
  <c r="I1609"/>
  <c r="H1609"/>
  <c r="G1609"/>
  <c r="F1609"/>
  <c r="E1609"/>
  <c r="D1609"/>
  <c r="C1609"/>
  <c r="B1609"/>
  <c r="A1609"/>
  <c r="K1608"/>
  <c r="J1608"/>
  <c r="I1608"/>
  <c r="H1608"/>
  <c r="G1608"/>
  <c r="F1608"/>
  <c r="E1608"/>
  <c r="D1608"/>
  <c r="C1608"/>
  <c r="B1608"/>
  <c r="A1608"/>
  <c r="K1607"/>
  <c r="J1607"/>
  <c r="I1607"/>
  <c r="H1607"/>
  <c r="G1607"/>
  <c r="F1607"/>
  <c r="E1607"/>
  <c r="D1607"/>
  <c r="C1607"/>
  <c r="B1607"/>
  <c r="A1607"/>
  <c r="K1606"/>
  <c r="J1606"/>
  <c r="I1606"/>
  <c r="H1606"/>
  <c r="G1606"/>
  <c r="F1606"/>
  <c r="E1606"/>
  <c r="D1606"/>
  <c r="C1606"/>
  <c r="B1606"/>
  <c r="A1606"/>
  <c r="K1605"/>
  <c r="J1605"/>
  <c r="I1605"/>
  <c r="H1605"/>
  <c r="G1605"/>
  <c r="F1605"/>
  <c r="E1605"/>
  <c r="D1605"/>
  <c r="C1605"/>
  <c r="B1605"/>
  <c r="A1605"/>
  <c r="K1604"/>
  <c r="J1604"/>
  <c r="I1604"/>
  <c r="H1604"/>
  <c r="G1604"/>
  <c r="F1604"/>
  <c r="E1604"/>
  <c r="D1604"/>
  <c r="C1604"/>
  <c r="B1604"/>
  <c r="A1604"/>
  <c r="K1603"/>
  <c r="J1603"/>
  <c r="I1603"/>
  <c r="H1603"/>
  <c r="G1603"/>
  <c r="F1603"/>
  <c r="E1603"/>
  <c r="D1603"/>
  <c r="C1603"/>
  <c r="B1603"/>
  <c r="A1603"/>
  <c r="K1602"/>
  <c r="J1602"/>
  <c r="I1602"/>
  <c r="H1602"/>
  <c r="G1602"/>
  <c r="F1602"/>
  <c r="E1602"/>
  <c r="D1602"/>
  <c r="C1602"/>
  <c r="B1602"/>
  <c r="A1602"/>
  <c r="K1601"/>
  <c r="J1601"/>
  <c r="I1601"/>
  <c r="H1601"/>
  <c r="G1601"/>
  <c r="F1601"/>
  <c r="E1601"/>
  <c r="D1601"/>
  <c r="C1601"/>
  <c r="B1601"/>
  <c r="A1601"/>
  <c r="K1600"/>
  <c r="J1600"/>
  <c r="I1600"/>
  <c r="H1600"/>
  <c r="G1600"/>
  <c r="F1600"/>
  <c r="E1600"/>
  <c r="D1600"/>
  <c r="C1600"/>
  <c r="B1600"/>
  <c r="A1600"/>
  <c r="K1599"/>
  <c r="J1599"/>
  <c r="I1599"/>
  <c r="H1599"/>
  <c r="G1599"/>
  <c r="F1599"/>
  <c r="E1599"/>
  <c r="D1599"/>
  <c r="C1599"/>
  <c r="B1599"/>
  <c r="A1599"/>
  <c r="K1598"/>
  <c r="J1598"/>
  <c r="I1598"/>
  <c r="H1598"/>
  <c r="G1598"/>
  <c r="F1598"/>
  <c r="E1598"/>
  <c r="D1598"/>
  <c r="C1598"/>
  <c r="B1598"/>
  <c r="A1598"/>
  <c r="K1597"/>
  <c r="J1597"/>
  <c r="I1597"/>
  <c r="H1597"/>
  <c r="G1597"/>
  <c r="F1597"/>
  <c r="E1597"/>
  <c r="D1597"/>
  <c r="C1597"/>
  <c r="B1597"/>
  <c r="A1597"/>
  <c r="K1596"/>
  <c r="J1596"/>
  <c r="I1596"/>
  <c r="H1596"/>
  <c r="G1596"/>
  <c r="F1596"/>
  <c r="E1596"/>
  <c r="D1596"/>
  <c r="C1596"/>
  <c r="B1596"/>
  <c r="A1596"/>
  <c r="K1595"/>
  <c r="J1595"/>
  <c r="I1595"/>
  <c r="H1595"/>
  <c r="G1595"/>
  <c r="F1595"/>
  <c r="E1595"/>
  <c r="D1595"/>
  <c r="C1595"/>
  <c r="B1595"/>
  <c r="A1595"/>
  <c r="K1594"/>
  <c r="J1594"/>
  <c r="I1594"/>
  <c r="H1594"/>
  <c r="G1594"/>
  <c r="F1594"/>
  <c r="E1594"/>
  <c r="D1594"/>
  <c r="C1594"/>
  <c r="B1594"/>
  <c r="A1594"/>
  <c r="K1593"/>
  <c r="J1593"/>
  <c r="I1593"/>
  <c r="H1593"/>
  <c r="G1593"/>
  <c r="F1593"/>
  <c r="E1593"/>
  <c r="D1593"/>
  <c r="C1593"/>
  <c r="B1593"/>
  <c r="A1593"/>
  <c r="K1592"/>
  <c r="J1592"/>
  <c r="I1592"/>
  <c r="H1592"/>
  <c r="G1592"/>
  <c r="F1592"/>
  <c r="E1592"/>
  <c r="D1592"/>
  <c r="C1592"/>
  <c r="B1592"/>
  <c r="A1592"/>
  <c r="K1591"/>
  <c r="J1591"/>
  <c r="I1591"/>
  <c r="H1591"/>
  <c r="G1591"/>
  <c r="F1591"/>
  <c r="E1591"/>
  <c r="D1591"/>
  <c r="C1591"/>
  <c r="B1591"/>
  <c r="A1591"/>
  <c r="K1590"/>
  <c r="J1590"/>
  <c r="I1590"/>
  <c r="H1590"/>
  <c r="G1590"/>
  <c r="F1590"/>
  <c r="E1590"/>
  <c r="D1590"/>
  <c r="C1590"/>
  <c r="B1590"/>
  <c r="A1590"/>
  <c r="K1589"/>
  <c r="J1589"/>
  <c r="I1589"/>
  <c r="H1589"/>
  <c r="G1589"/>
  <c r="F1589"/>
  <c r="E1589"/>
  <c r="D1589"/>
  <c r="C1589"/>
  <c r="B1589"/>
  <c r="A1589"/>
  <c r="K1588"/>
  <c r="J1588"/>
  <c r="I1588"/>
  <c r="H1588"/>
  <c r="G1588"/>
  <c r="F1588"/>
  <c r="E1588"/>
  <c r="D1588"/>
  <c r="C1588"/>
  <c r="B1588"/>
  <c r="A1588"/>
  <c r="K1587"/>
  <c r="J1587"/>
  <c r="I1587"/>
  <c r="H1587"/>
  <c r="G1587"/>
  <c r="F1587"/>
  <c r="E1587"/>
  <c r="D1587"/>
  <c r="C1587"/>
  <c r="B1587"/>
  <c r="A1587"/>
  <c r="K1586"/>
  <c r="J1586"/>
  <c r="I1586"/>
  <c r="H1586"/>
  <c r="G1586"/>
  <c r="F1586"/>
  <c r="E1586"/>
  <c r="D1586"/>
  <c r="C1586"/>
  <c r="B1586"/>
  <c r="A1586"/>
  <c r="K1585"/>
  <c r="J1585"/>
  <c r="I1585"/>
  <c r="H1585"/>
  <c r="G1585"/>
  <c r="F1585"/>
  <c r="E1585"/>
  <c r="D1585"/>
  <c r="C1585"/>
  <c r="B1585"/>
  <c r="A1585"/>
  <c r="K1584"/>
  <c r="J1584"/>
  <c r="I1584"/>
  <c r="H1584"/>
  <c r="G1584"/>
  <c r="F1584"/>
  <c r="E1584"/>
  <c r="D1584"/>
  <c r="C1584"/>
  <c r="B1584"/>
  <c r="A1584"/>
  <c r="K1583"/>
  <c r="J1583"/>
  <c r="I1583"/>
  <c r="H1583"/>
  <c r="G1583"/>
  <c r="F1583"/>
  <c r="E1583"/>
  <c r="D1583"/>
  <c r="C1583"/>
  <c r="B1583"/>
  <c r="A1583"/>
  <c r="K1582"/>
  <c r="J1582"/>
  <c r="I1582"/>
  <c r="H1582"/>
  <c r="G1582"/>
  <c r="F1582"/>
  <c r="E1582"/>
  <c r="D1582"/>
  <c r="C1582"/>
  <c r="B1582"/>
  <c r="A1582"/>
  <c r="K1581"/>
  <c r="J1581"/>
  <c r="I1581"/>
  <c r="H1581"/>
  <c r="G1581"/>
  <c r="F1581"/>
  <c r="E1581"/>
  <c r="D1581"/>
  <c r="C1581"/>
  <c r="B1581"/>
  <c r="A1581"/>
  <c r="K1580"/>
  <c r="J1580"/>
  <c r="I1580"/>
  <c r="H1580"/>
  <c r="G1580"/>
  <c r="F1580"/>
  <c r="E1580"/>
  <c r="D1580"/>
  <c r="C1580"/>
  <c r="B1580"/>
  <c r="A1580"/>
  <c r="K1579"/>
  <c r="J1579"/>
  <c r="I1579"/>
  <c r="H1579"/>
  <c r="G1579"/>
  <c r="F1579"/>
  <c r="E1579"/>
  <c r="D1579"/>
  <c r="C1579"/>
  <c r="B1579"/>
  <c r="A1579"/>
  <c r="K1578"/>
  <c r="J1578"/>
  <c r="I1578"/>
  <c r="H1578"/>
  <c r="G1578"/>
  <c r="F1578"/>
  <c r="E1578"/>
  <c r="D1578"/>
  <c r="C1578"/>
  <c r="B1578"/>
  <c r="A1578"/>
  <c r="K1577"/>
  <c r="J1577"/>
  <c r="I1577"/>
  <c r="H1577"/>
  <c r="G1577"/>
  <c r="F1577"/>
  <c r="E1577"/>
  <c r="D1577"/>
  <c r="C1577"/>
  <c r="B1577"/>
  <c r="A1577"/>
  <c r="K1576"/>
  <c r="J1576"/>
  <c r="I1576"/>
  <c r="H1576"/>
  <c r="G1576"/>
  <c r="F1576"/>
  <c r="E1576"/>
  <c r="D1576"/>
  <c r="C1576"/>
  <c r="B1576"/>
  <c r="A1576"/>
  <c r="K1575"/>
  <c r="J1575"/>
  <c r="I1575"/>
  <c r="H1575"/>
  <c r="G1575"/>
  <c r="F1575"/>
  <c r="E1575"/>
  <c r="D1575"/>
  <c r="C1575"/>
  <c r="B1575"/>
  <c r="A1575"/>
  <c r="K1574"/>
  <c r="J1574"/>
  <c r="I1574"/>
  <c r="H1574"/>
  <c r="G1574"/>
  <c r="F1574"/>
  <c r="E1574"/>
  <c r="D1574"/>
  <c r="C1574"/>
  <c r="B1574"/>
  <c r="A1574"/>
  <c r="K1573"/>
  <c r="J1573"/>
  <c r="I1573"/>
  <c r="H1573"/>
  <c r="G1573"/>
  <c r="F1573"/>
  <c r="E1573"/>
  <c r="D1573"/>
  <c r="C1573"/>
  <c r="B1573"/>
  <c r="A1573"/>
  <c r="K1572"/>
  <c r="J1572"/>
  <c r="I1572"/>
  <c r="H1572"/>
  <c r="G1572"/>
  <c r="F1572"/>
  <c r="E1572"/>
  <c r="D1572"/>
  <c r="C1572"/>
  <c r="B1572"/>
  <c r="A1572"/>
  <c r="K1571"/>
  <c r="J1571"/>
  <c r="I1571"/>
  <c r="H1571"/>
  <c r="G1571"/>
  <c r="F1571"/>
  <c r="E1571"/>
  <c r="D1571"/>
  <c r="C1571"/>
  <c r="B1571"/>
  <c r="A1571"/>
  <c r="K1570"/>
  <c r="J1570"/>
  <c r="I1570"/>
  <c r="H1570"/>
  <c r="G1570"/>
  <c r="F1570"/>
  <c r="E1570"/>
  <c r="D1570"/>
  <c r="C1570"/>
  <c r="B1570"/>
  <c r="A1570"/>
  <c r="K1569"/>
  <c r="J1569"/>
  <c r="I1569"/>
  <c r="H1569"/>
  <c r="G1569"/>
  <c r="F1569"/>
  <c r="E1569"/>
  <c r="D1569"/>
  <c r="C1569"/>
  <c r="B1569"/>
  <c r="A1569"/>
  <c r="K1568"/>
  <c r="J1568"/>
  <c r="I1568"/>
  <c r="H1568"/>
  <c r="G1568"/>
  <c r="F1568"/>
  <c r="E1568"/>
  <c r="D1568"/>
  <c r="C1568"/>
  <c r="B1568"/>
  <c r="A1568"/>
  <c r="K1567"/>
  <c r="J1567"/>
  <c r="I1567"/>
  <c r="H1567"/>
  <c r="G1567"/>
  <c r="F1567"/>
  <c r="E1567"/>
  <c r="D1567"/>
  <c r="C1567"/>
  <c r="B1567"/>
  <c r="A1567"/>
  <c r="K1566"/>
  <c r="J1566"/>
  <c r="I1566"/>
  <c r="H1566"/>
  <c r="G1566"/>
  <c r="F1566"/>
  <c r="E1566"/>
  <c r="D1566"/>
  <c r="C1566"/>
  <c r="B1566"/>
  <c r="A1566"/>
  <c r="K1565"/>
  <c r="J1565"/>
  <c r="I1565"/>
  <c r="H1565"/>
  <c r="G1565"/>
  <c r="F1565"/>
  <c r="E1565"/>
  <c r="D1565"/>
  <c r="C1565"/>
  <c r="B1565"/>
  <c r="A1565"/>
  <c r="K1564"/>
  <c r="J1564"/>
  <c r="I1564"/>
  <c r="H1564"/>
  <c r="G1564"/>
  <c r="F1564"/>
  <c r="E1564"/>
  <c r="D1564"/>
  <c r="C1564"/>
  <c r="B1564"/>
  <c r="A1564"/>
  <c r="K1563"/>
  <c r="J1563"/>
  <c r="I1563"/>
  <c r="H1563"/>
  <c r="G1563"/>
  <c r="F1563"/>
  <c r="E1563"/>
  <c r="D1563"/>
  <c r="C1563"/>
  <c r="B1563"/>
  <c r="A1563"/>
  <c r="K1562"/>
  <c r="J1562"/>
  <c r="I1562"/>
  <c r="H1562"/>
  <c r="G1562"/>
  <c r="F1562"/>
  <c r="E1562"/>
  <c r="D1562"/>
  <c r="C1562"/>
  <c r="B1562"/>
  <c r="A1562"/>
  <c r="K1561"/>
  <c r="J1561"/>
  <c r="I1561"/>
  <c r="H1561"/>
  <c r="G1561"/>
  <c r="F1561"/>
  <c r="E1561"/>
  <c r="D1561"/>
  <c r="C1561"/>
  <c r="B1561"/>
  <c r="A1561"/>
  <c r="K1560"/>
  <c r="J1560"/>
  <c r="I1560"/>
  <c r="H1560"/>
  <c r="G1560"/>
  <c r="F1560"/>
  <c r="E1560"/>
  <c r="D1560"/>
  <c r="C1560"/>
  <c r="B1560"/>
  <c r="A1560"/>
  <c r="K1559"/>
  <c r="J1559"/>
  <c r="I1559"/>
  <c r="H1559"/>
  <c r="G1559"/>
  <c r="F1559"/>
  <c r="E1559"/>
  <c r="D1559"/>
  <c r="C1559"/>
  <c r="B1559"/>
  <c r="A1559"/>
  <c r="K1558"/>
  <c r="J1558"/>
  <c r="I1558"/>
  <c r="H1558"/>
  <c r="G1558"/>
  <c r="F1558"/>
  <c r="E1558"/>
  <c r="D1558"/>
  <c r="C1558"/>
  <c r="B1558"/>
  <c r="A1558"/>
  <c r="K1557"/>
  <c r="J1557"/>
  <c r="I1557"/>
  <c r="H1557"/>
  <c r="G1557"/>
  <c r="F1557"/>
  <c r="E1557"/>
  <c r="D1557"/>
  <c r="C1557"/>
  <c r="B1557"/>
  <c r="A1557"/>
  <c r="K1556"/>
  <c r="J1556"/>
  <c r="I1556"/>
  <c r="H1556"/>
  <c r="G1556"/>
  <c r="F1556"/>
  <c r="E1556"/>
  <c r="D1556"/>
  <c r="C1556"/>
  <c r="B1556"/>
  <c r="A1556"/>
  <c r="K1555"/>
  <c r="J1555"/>
  <c r="I1555"/>
  <c r="H1555"/>
  <c r="G1555"/>
  <c r="F1555"/>
  <c r="E1555"/>
  <c r="D1555"/>
  <c r="C1555"/>
  <c r="B1555"/>
  <c r="A1555"/>
  <c r="K1554"/>
  <c r="J1554"/>
  <c r="I1554"/>
  <c r="H1554"/>
  <c r="G1554"/>
  <c r="F1554"/>
  <c r="E1554"/>
  <c r="D1554"/>
  <c r="C1554"/>
  <c r="B1554"/>
  <c r="A1554"/>
  <c r="K1553"/>
  <c r="J1553"/>
  <c r="I1553"/>
  <c r="H1553"/>
  <c r="G1553"/>
  <c r="F1553"/>
  <c r="E1553"/>
  <c r="D1553"/>
  <c r="C1553"/>
  <c r="B1553"/>
  <c r="A1553"/>
  <c r="K1552"/>
  <c r="J1552"/>
  <c r="I1552"/>
  <c r="H1552"/>
  <c r="G1552"/>
  <c r="F1552"/>
  <c r="E1552"/>
  <c r="D1552"/>
  <c r="C1552"/>
  <c r="B1552"/>
  <c r="A1552"/>
  <c r="K1551"/>
  <c r="J1551"/>
  <c r="I1551"/>
  <c r="H1551"/>
  <c r="G1551"/>
  <c r="F1551"/>
  <c r="E1551"/>
  <c r="D1551"/>
  <c r="C1551"/>
  <c r="B1551"/>
  <c r="A1551"/>
  <c r="K1550"/>
  <c r="J1550"/>
  <c r="I1550"/>
  <c r="H1550"/>
  <c r="G1550"/>
  <c r="F1550"/>
  <c r="E1550"/>
  <c r="D1550"/>
  <c r="C1550"/>
  <c r="B1550"/>
  <c r="A1550"/>
  <c r="K1549"/>
  <c r="J1549"/>
  <c r="I1549"/>
  <c r="H1549"/>
  <c r="G1549"/>
  <c r="F1549"/>
  <c r="E1549"/>
  <c r="D1549"/>
  <c r="C1549"/>
  <c r="B1549"/>
  <c r="A1549"/>
  <c r="K1548"/>
  <c r="J1548"/>
  <c r="I1548"/>
  <c r="H1548"/>
  <c r="G1548"/>
  <c r="F1548"/>
  <c r="E1548"/>
  <c r="D1548"/>
  <c r="C1548"/>
  <c r="B1548"/>
  <c r="A1548"/>
  <c r="K1547"/>
  <c r="J1547"/>
  <c r="I1547"/>
  <c r="H1547"/>
  <c r="G1547"/>
  <c r="F1547"/>
  <c r="E1547"/>
  <c r="D1547"/>
  <c r="C1547"/>
  <c r="B1547"/>
  <c r="A1547"/>
  <c r="K1546"/>
  <c r="J1546"/>
  <c r="I1546"/>
  <c r="H1546"/>
  <c r="G1546"/>
  <c r="F1546"/>
  <c r="E1546"/>
  <c r="D1546"/>
  <c r="C1546"/>
  <c r="B1546"/>
  <c r="A1546"/>
  <c r="K1545"/>
  <c r="J1545"/>
  <c r="I1545"/>
  <c r="H1545"/>
  <c r="G1545"/>
  <c r="F1545"/>
  <c r="E1545"/>
  <c r="D1545"/>
  <c r="C1545"/>
  <c r="B1545"/>
  <c r="A1545"/>
  <c r="K1544"/>
  <c r="J1544"/>
  <c r="I1544"/>
  <c r="H1544"/>
  <c r="G1544"/>
  <c r="F1544"/>
  <c r="E1544"/>
  <c r="D1544"/>
  <c r="C1544"/>
  <c r="B1544"/>
  <c r="A1544"/>
  <c r="K1543"/>
  <c r="J1543"/>
  <c r="I1543"/>
  <c r="H1543"/>
  <c r="G1543"/>
  <c r="F1543"/>
  <c r="E1543"/>
  <c r="D1543"/>
  <c r="C1543"/>
  <c r="B1543"/>
  <c r="A1543"/>
  <c r="K1542"/>
  <c r="J1542"/>
  <c r="I1542"/>
  <c r="H1542"/>
  <c r="G1542"/>
  <c r="F1542"/>
  <c r="E1542"/>
  <c r="D1542"/>
  <c r="C1542"/>
  <c r="B1542"/>
  <c r="A1542"/>
  <c r="K1541"/>
  <c r="J1541"/>
  <c r="I1541"/>
  <c r="H1541"/>
  <c r="G1541"/>
  <c r="F1541"/>
  <c r="E1541"/>
  <c r="D1541"/>
  <c r="C1541"/>
  <c r="B1541"/>
  <c r="A1541"/>
  <c r="K1540"/>
  <c r="J1540"/>
  <c r="I1540"/>
  <c r="H1540"/>
  <c r="G1540"/>
  <c r="F1540"/>
  <c r="E1540"/>
  <c r="D1540"/>
  <c r="C1540"/>
  <c r="B1540"/>
  <c r="A1540"/>
  <c r="K1539"/>
  <c r="J1539"/>
  <c r="I1539"/>
  <c r="H1539"/>
  <c r="G1539"/>
  <c r="F1539"/>
  <c r="E1539"/>
  <c r="D1539"/>
  <c r="C1539"/>
  <c r="B1539"/>
  <c r="A1539"/>
  <c r="K1538"/>
  <c r="J1538"/>
  <c r="I1538"/>
  <c r="H1538"/>
  <c r="G1538"/>
  <c r="F1538"/>
  <c r="E1538"/>
  <c r="D1538"/>
  <c r="C1538"/>
  <c r="B1538"/>
  <c r="A1538"/>
  <c r="K1537"/>
  <c r="J1537"/>
  <c r="I1537"/>
  <c r="H1537"/>
  <c r="G1537"/>
  <c r="F1537"/>
  <c r="E1537"/>
  <c r="D1537"/>
  <c r="C1537"/>
  <c r="B1537"/>
  <c r="A1537"/>
  <c r="K1536"/>
  <c r="J1536"/>
  <c r="I1536"/>
  <c r="H1536"/>
  <c r="G1536"/>
  <c r="F1536"/>
  <c r="E1536"/>
  <c r="D1536"/>
  <c r="C1536"/>
  <c r="B1536"/>
  <c r="A1536"/>
  <c r="K1535"/>
  <c r="J1535"/>
  <c r="I1535"/>
  <c r="H1535"/>
  <c r="G1535"/>
  <c r="F1535"/>
  <c r="E1535"/>
  <c r="D1535"/>
  <c r="C1535"/>
  <c r="B1535"/>
  <c r="A1535"/>
  <c r="K1534"/>
  <c r="J1534"/>
  <c r="I1534"/>
  <c r="H1534"/>
  <c r="G1534"/>
  <c r="F1534"/>
  <c r="E1534"/>
  <c r="D1534"/>
  <c r="C1534"/>
  <c r="B1534"/>
  <c r="A1534"/>
  <c r="K1533"/>
  <c r="J1533"/>
  <c r="I1533"/>
  <c r="H1533"/>
  <c r="G1533"/>
  <c r="F1533"/>
  <c r="E1533"/>
  <c r="D1533"/>
  <c r="C1533"/>
  <c r="B1533"/>
  <c r="A1533"/>
  <c r="K1532"/>
  <c r="J1532"/>
  <c r="I1532"/>
  <c r="H1532"/>
  <c r="G1532"/>
  <c r="F1532"/>
  <c r="E1532"/>
  <c r="D1532"/>
  <c r="C1532"/>
  <c r="B1532"/>
  <c r="A1532"/>
  <c r="K1531"/>
  <c r="J1531"/>
  <c r="I1531"/>
  <c r="H1531"/>
  <c r="G1531"/>
  <c r="F1531"/>
  <c r="E1531"/>
  <c r="D1531"/>
  <c r="C1531"/>
  <c r="B1531"/>
  <c r="A1531"/>
  <c r="K1530"/>
  <c r="J1530"/>
  <c r="I1530"/>
  <c r="H1530"/>
  <c r="G1530"/>
  <c r="F1530"/>
  <c r="E1530"/>
  <c r="D1530"/>
  <c r="C1530"/>
  <c r="B1530"/>
  <c r="A1530"/>
  <c r="K1529"/>
  <c r="J1529"/>
  <c r="I1529"/>
  <c r="H1529"/>
  <c r="G1529"/>
  <c r="F1529"/>
  <c r="E1529"/>
  <c r="D1529"/>
  <c r="C1529"/>
  <c r="B1529"/>
  <c r="A1529"/>
  <c r="K1528"/>
  <c r="J1528"/>
  <c r="I1528"/>
  <c r="H1528"/>
  <c r="G1528"/>
  <c r="F1528"/>
  <c r="E1528"/>
  <c r="D1528"/>
  <c r="C1528"/>
  <c r="B1528"/>
  <c r="A1528"/>
  <c r="K1527"/>
  <c r="J1527"/>
  <c r="I1527"/>
  <c r="H1527"/>
  <c r="G1527"/>
  <c r="F1527"/>
  <c r="E1527"/>
  <c r="D1527"/>
  <c r="C1527"/>
  <c r="B1527"/>
  <c r="A1527"/>
  <c r="K1526"/>
  <c r="J1526"/>
  <c r="I1526"/>
  <c r="H1526"/>
  <c r="G1526"/>
  <c r="F1526"/>
  <c r="E1526"/>
  <c r="D1526"/>
  <c r="C1526"/>
  <c r="B1526"/>
  <c r="A1526"/>
  <c r="K1525"/>
  <c r="J1525"/>
  <c r="I1525"/>
  <c r="H1525"/>
  <c r="G1525"/>
  <c r="F1525"/>
  <c r="E1525"/>
  <c r="D1525"/>
  <c r="C1525"/>
  <c r="B1525"/>
  <c r="A1525"/>
  <c r="K1524"/>
  <c r="J1524"/>
  <c r="I1524"/>
  <c r="H1524"/>
  <c r="G1524"/>
  <c r="F1524"/>
  <c r="E1524"/>
  <c r="D1524"/>
  <c r="C1524"/>
  <c r="B1524"/>
  <c r="A1524"/>
  <c r="K1523"/>
  <c r="J1523"/>
  <c r="I1523"/>
  <c r="H1523"/>
  <c r="G1523"/>
  <c r="F1523"/>
  <c r="E1523"/>
  <c r="D1523"/>
  <c r="C1523"/>
  <c r="B1523"/>
  <c r="A1523"/>
  <c r="K1522"/>
  <c r="J1522"/>
  <c r="I1522"/>
  <c r="H1522"/>
  <c r="G1522"/>
  <c r="F1522"/>
  <c r="E1522"/>
  <c r="D1522"/>
  <c r="C1522"/>
  <c r="B1522"/>
  <c r="A1522"/>
  <c r="K1521"/>
  <c r="J1521"/>
  <c r="I1521"/>
  <c r="H1521"/>
  <c r="G1521"/>
  <c r="F1521"/>
  <c r="E1521"/>
  <c r="D1521"/>
  <c r="C1521"/>
  <c r="B1521"/>
  <c r="A1521"/>
  <c r="K1520"/>
  <c r="J1520"/>
  <c r="I1520"/>
  <c r="H1520"/>
  <c r="G1520"/>
  <c r="F1520"/>
  <c r="E1520"/>
  <c r="D1520"/>
  <c r="C1520"/>
  <c r="B1520"/>
  <c r="A1520"/>
  <c r="K1519"/>
  <c r="J1519"/>
  <c r="I1519"/>
  <c r="H1519"/>
  <c r="G1519"/>
  <c r="F1519"/>
  <c r="E1519"/>
  <c r="D1519"/>
  <c r="C1519"/>
  <c r="B1519"/>
  <c r="A1519"/>
  <c r="K1518"/>
  <c r="J1518"/>
  <c r="I1518"/>
  <c r="H1518"/>
  <c r="G1518"/>
  <c r="F1518"/>
  <c r="E1518"/>
  <c r="D1518"/>
  <c r="C1518"/>
  <c r="B1518"/>
  <c r="A1518"/>
  <c r="K1517"/>
  <c r="J1517"/>
  <c r="I1517"/>
  <c r="H1517"/>
  <c r="G1517"/>
  <c r="F1517"/>
  <c r="E1517"/>
  <c r="D1517"/>
  <c r="C1517"/>
  <c r="B1517"/>
  <c r="A1517"/>
  <c r="K1516"/>
  <c r="J1516"/>
  <c r="I1516"/>
  <c r="H1516"/>
  <c r="G1516"/>
  <c r="F1516"/>
  <c r="E1516"/>
  <c r="D1516"/>
  <c r="C1516"/>
  <c r="B1516"/>
  <c r="A1516"/>
  <c r="K1515"/>
  <c r="J1515"/>
  <c r="I1515"/>
  <c r="H1515"/>
  <c r="G1515"/>
  <c r="F1515"/>
  <c r="E1515"/>
  <c r="D1515"/>
  <c r="C1515"/>
  <c r="B1515"/>
  <c r="A1515"/>
  <c r="K1514"/>
  <c r="J1514"/>
  <c r="I1514"/>
  <c r="H1514"/>
  <c r="G1514"/>
  <c r="F1514"/>
  <c r="E1514"/>
  <c r="D1514"/>
  <c r="C1514"/>
  <c r="B1514"/>
  <c r="A1514"/>
  <c r="K1513"/>
  <c r="J1513"/>
  <c r="I1513"/>
  <c r="H1513"/>
  <c r="G1513"/>
  <c r="F1513"/>
  <c r="E1513"/>
  <c r="D1513"/>
  <c r="C1513"/>
  <c r="B1513"/>
  <c r="A1513"/>
  <c r="K1512"/>
  <c r="J1512"/>
  <c r="I1512"/>
  <c r="H1512"/>
  <c r="G1512"/>
  <c r="F1512"/>
  <c r="E1512"/>
  <c r="D1512"/>
  <c r="C1512"/>
  <c r="B1512"/>
  <c r="A1512"/>
  <c r="K1511"/>
  <c r="J1511"/>
  <c r="I1511"/>
  <c r="H1511"/>
  <c r="G1511"/>
  <c r="F1511"/>
  <c r="E1511"/>
  <c r="D1511"/>
  <c r="C1511"/>
  <c r="B1511"/>
  <c r="A1511"/>
  <c r="K1510"/>
  <c r="J1510"/>
  <c r="I1510"/>
  <c r="H1510"/>
  <c r="G1510"/>
  <c r="F1510"/>
  <c r="E1510"/>
  <c r="D1510"/>
  <c r="C1510"/>
  <c r="B1510"/>
  <c r="A1510"/>
  <c r="K1509"/>
  <c r="J1509"/>
  <c r="I1509"/>
  <c r="H1509"/>
  <c r="G1509"/>
  <c r="F1509"/>
  <c r="E1509"/>
  <c r="D1509"/>
  <c r="C1509"/>
  <c r="B1509"/>
  <c r="A1509"/>
  <c r="K1508"/>
  <c r="J1508"/>
  <c r="I1508"/>
  <c r="H1508"/>
  <c r="G1508"/>
  <c r="F1508"/>
  <c r="E1508"/>
  <c r="D1508"/>
  <c r="C1508"/>
  <c r="B1508"/>
  <c r="A1508"/>
  <c r="K1507"/>
  <c r="J1507"/>
  <c r="I1507"/>
  <c r="H1507"/>
  <c r="G1507"/>
  <c r="F1507"/>
  <c r="E1507"/>
  <c r="D1507"/>
  <c r="C1507"/>
  <c r="B1507"/>
  <c r="A1507"/>
  <c r="K1506"/>
  <c r="J1506"/>
  <c r="I1506"/>
  <c r="H1506"/>
  <c r="G1506"/>
  <c r="F1506"/>
  <c r="E1506"/>
  <c r="D1506"/>
  <c r="C1506"/>
  <c r="B1506"/>
  <c r="A1506"/>
  <c r="K1505"/>
  <c r="J1505"/>
  <c r="I1505"/>
  <c r="H1505"/>
  <c r="G1505"/>
  <c r="F1505"/>
  <c r="E1505"/>
  <c r="D1505"/>
  <c r="C1505"/>
  <c r="B1505"/>
  <c r="A1505"/>
  <c r="K1504"/>
  <c r="J1504"/>
  <c r="I1504"/>
  <c r="H1504"/>
  <c r="G1504"/>
  <c r="F1504"/>
  <c r="E1504"/>
  <c r="D1504"/>
  <c r="C1504"/>
  <c r="B1504"/>
  <c r="A1504"/>
  <c r="K1503"/>
  <c r="J1503"/>
  <c r="I1503"/>
  <c r="H1503"/>
  <c r="G1503"/>
  <c r="F1503"/>
  <c r="E1503"/>
  <c r="D1503"/>
  <c r="C1503"/>
  <c r="B1503"/>
  <c r="A1503"/>
  <c r="K1502"/>
  <c r="J1502"/>
  <c r="I1502"/>
  <c r="H1502"/>
  <c r="G1502"/>
  <c r="F1502"/>
  <c r="E1502"/>
  <c r="D1502"/>
  <c r="C1502"/>
  <c r="B1502"/>
  <c r="A1502"/>
  <c r="K1501"/>
  <c r="J1501"/>
  <c r="I1501"/>
  <c r="H1501"/>
  <c r="G1501"/>
  <c r="F1501"/>
  <c r="E1501"/>
  <c r="D1501"/>
  <c r="C1501"/>
  <c r="B1501"/>
  <c r="A1501"/>
  <c r="K1500"/>
  <c r="J1500"/>
  <c r="I1500"/>
  <c r="H1500"/>
  <c r="G1500"/>
  <c r="F1500"/>
  <c r="E1500"/>
  <c r="D1500"/>
  <c r="C1500"/>
  <c r="B1500"/>
  <c r="A1500"/>
  <c r="K1499"/>
  <c r="J1499"/>
  <c r="I1499"/>
  <c r="H1499"/>
  <c r="G1499"/>
  <c r="F1499"/>
  <c r="E1499"/>
  <c r="D1499"/>
  <c r="C1499"/>
  <c r="B1499"/>
  <c r="A1499"/>
  <c r="K1498"/>
  <c r="J1498"/>
  <c r="I1498"/>
  <c r="H1498"/>
  <c r="G1498"/>
  <c r="F1498"/>
  <c r="E1498"/>
  <c r="D1498"/>
  <c r="C1498"/>
  <c r="B1498"/>
  <c r="A1498"/>
  <c r="K1497"/>
  <c r="J1497"/>
  <c r="I1497"/>
  <c r="H1497"/>
  <c r="G1497"/>
  <c r="F1497"/>
  <c r="E1497"/>
  <c r="D1497"/>
  <c r="C1497"/>
  <c r="B1497"/>
  <c r="A1497"/>
  <c r="K1496"/>
  <c r="J1496"/>
  <c r="I1496"/>
  <c r="H1496"/>
  <c r="G1496"/>
  <c r="F1496"/>
  <c r="E1496"/>
  <c r="D1496"/>
  <c r="C1496"/>
  <c r="B1496"/>
  <c r="A1496"/>
  <c r="K1495"/>
  <c r="J1495"/>
  <c r="I1495"/>
  <c r="H1495"/>
  <c r="G1495"/>
  <c r="F1495"/>
  <c r="E1495"/>
  <c r="D1495"/>
  <c r="C1495"/>
  <c r="B1495"/>
  <c r="A1495"/>
  <c r="K1494"/>
  <c r="J1494"/>
  <c r="I1494"/>
  <c r="H1494"/>
  <c r="G1494"/>
  <c r="F1494"/>
  <c r="E1494"/>
  <c r="D1494"/>
  <c r="C1494"/>
  <c r="B1494"/>
  <c r="A1494"/>
  <c r="K1493"/>
  <c r="J1493"/>
  <c r="I1493"/>
  <c r="H1493"/>
  <c r="G1493"/>
  <c r="F1493"/>
  <c r="E1493"/>
  <c r="D1493"/>
  <c r="C1493"/>
  <c r="B1493"/>
  <c r="A1493"/>
  <c r="K1492"/>
  <c r="J1492"/>
  <c r="I1492"/>
  <c r="H1492"/>
  <c r="G1492"/>
  <c r="F1492"/>
  <c r="E1492"/>
  <c r="D1492"/>
  <c r="C1492"/>
  <c r="B1492"/>
  <c r="A1492"/>
  <c r="K1491"/>
  <c r="J1491"/>
  <c r="I1491"/>
  <c r="H1491"/>
  <c r="G1491"/>
  <c r="F1491"/>
  <c r="E1491"/>
  <c r="D1491"/>
  <c r="C1491"/>
  <c r="B1491"/>
  <c r="A1491"/>
  <c r="K1490"/>
  <c r="J1490"/>
  <c r="I1490"/>
  <c r="H1490"/>
  <c r="G1490"/>
  <c r="F1490"/>
  <c r="E1490"/>
  <c r="D1490"/>
  <c r="C1490"/>
  <c r="B1490"/>
  <c r="A1490"/>
  <c r="K1489"/>
  <c r="J1489"/>
  <c r="I1489"/>
  <c r="H1489"/>
  <c r="G1489"/>
  <c r="F1489"/>
  <c r="E1489"/>
  <c r="D1489"/>
  <c r="C1489"/>
  <c r="B1489"/>
  <c r="A1489"/>
  <c r="K1488"/>
  <c r="J1488"/>
  <c r="I1488"/>
  <c r="H1488"/>
  <c r="G1488"/>
  <c r="F1488"/>
  <c r="E1488"/>
  <c r="D1488"/>
  <c r="C1488"/>
  <c r="B1488"/>
  <c r="A1488"/>
  <c r="K1487"/>
  <c r="J1487"/>
  <c r="I1487"/>
  <c r="H1487"/>
  <c r="G1487"/>
  <c r="F1487"/>
  <c r="E1487"/>
  <c r="D1487"/>
  <c r="C1487"/>
  <c r="B1487"/>
  <c r="A1487"/>
  <c r="K1486"/>
  <c r="J1486"/>
  <c r="I1486"/>
  <c r="H1486"/>
  <c r="G1486"/>
  <c r="F1486"/>
  <c r="E1486"/>
  <c r="D1486"/>
  <c r="C1486"/>
  <c r="B1486"/>
  <c r="A1486"/>
  <c r="K1485"/>
  <c r="J1485"/>
  <c r="I1485"/>
  <c r="H1485"/>
  <c r="G1485"/>
  <c r="F1485"/>
  <c r="E1485"/>
  <c r="D1485"/>
  <c r="C1485"/>
  <c r="B1485"/>
  <c r="A1485"/>
  <c r="K1484"/>
  <c r="J1484"/>
  <c r="I1484"/>
  <c r="H1484"/>
  <c r="G1484"/>
  <c r="F1484"/>
  <c r="E1484"/>
  <c r="D1484"/>
  <c r="C1484"/>
  <c r="B1484"/>
  <c r="A1484"/>
  <c r="K1483"/>
  <c r="J1483"/>
  <c r="I1483"/>
  <c r="H1483"/>
  <c r="G1483"/>
  <c r="F1483"/>
  <c r="E1483"/>
  <c r="D1483"/>
  <c r="C1483"/>
  <c r="B1483"/>
  <c r="A1483"/>
  <c r="K1482"/>
  <c r="J1482"/>
  <c r="I1482"/>
  <c r="H1482"/>
  <c r="G1482"/>
  <c r="F1482"/>
  <c r="E1482"/>
  <c r="D1482"/>
  <c r="C1482"/>
  <c r="B1482"/>
  <c r="A1482"/>
  <c r="K1481"/>
  <c r="J1481"/>
  <c r="I1481"/>
  <c r="H1481"/>
  <c r="G1481"/>
  <c r="F1481"/>
  <c r="E1481"/>
  <c r="D1481"/>
  <c r="C1481"/>
  <c r="B1481"/>
  <c r="A1481"/>
  <c r="K1480"/>
  <c r="J1480"/>
  <c r="I1480"/>
  <c r="H1480"/>
  <c r="G1480"/>
  <c r="F1480"/>
  <c r="E1480"/>
  <c r="D1480"/>
  <c r="C1480"/>
  <c r="B1480"/>
  <c r="A1480"/>
  <c r="K1479"/>
  <c r="J1479"/>
  <c r="I1479"/>
  <c r="H1479"/>
  <c r="G1479"/>
  <c r="F1479"/>
  <c r="E1479"/>
  <c r="D1479"/>
  <c r="C1479"/>
  <c r="B1479"/>
  <c r="A1479"/>
  <c r="K1478"/>
  <c r="J1478"/>
  <c r="I1478"/>
  <c r="H1478"/>
  <c r="G1478"/>
  <c r="F1478"/>
  <c r="E1478"/>
  <c r="D1478"/>
  <c r="C1478"/>
  <c r="B1478"/>
  <c r="A1478"/>
  <c r="K1477"/>
  <c r="J1477"/>
  <c r="I1477"/>
  <c r="H1477"/>
  <c r="G1477"/>
  <c r="F1477"/>
  <c r="E1477"/>
  <c r="D1477"/>
  <c r="C1477"/>
  <c r="B1477"/>
  <c r="A1477"/>
  <c r="K1476"/>
  <c r="J1476"/>
  <c r="I1476"/>
  <c r="H1476"/>
  <c r="G1476"/>
  <c r="F1476"/>
  <c r="E1476"/>
  <c r="D1476"/>
  <c r="C1476"/>
  <c r="B1476"/>
  <c r="A1476"/>
  <c r="K1475"/>
  <c r="J1475"/>
  <c r="I1475"/>
  <c r="H1475"/>
  <c r="G1475"/>
  <c r="F1475"/>
  <c r="E1475"/>
  <c r="D1475"/>
  <c r="C1475"/>
  <c r="B1475"/>
  <c r="A1475"/>
  <c r="K1474"/>
  <c r="J1474"/>
  <c r="I1474"/>
  <c r="H1474"/>
  <c r="G1474"/>
  <c r="F1474"/>
  <c r="E1474"/>
  <c r="D1474"/>
  <c r="C1474"/>
  <c r="B1474"/>
  <c r="A1474"/>
  <c r="K1473"/>
  <c r="J1473"/>
  <c r="I1473"/>
  <c r="H1473"/>
  <c r="G1473"/>
  <c r="F1473"/>
  <c r="E1473"/>
  <c r="D1473"/>
  <c r="C1473"/>
  <c r="B1473"/>
  <c r="A1473"/>
  <c r="K1472"/>
  <c r="J1472"/>
  <c r="I1472"/>
  <c r="H1472"/>
  <c r="G1472"/>
  <c r="F1472"/>
  <c r="E1472"/>
  <c r="D1472"/>
  <c r="C1472"/>
  <c r="B1472"/>
  <c r="A1472"/>
  <c r="K1471"/>
  <c r="J1471"/>
  <c r="I1471"/>
  <c r="H1471"/>
  <c r="G1471"/>
  <c r="F1471"/>
  <c r="E1471"/>
  <c r="D1471"/>
  <c r="C1471"/>
  <c r="B1471"/>
  <c r="A1471"/>
  <c r="K1470"/>
  <c r="J1470"/>
  <c r="I1470"/>
  <c r="H1470"/>
  <c r="G1470"/>
  <c r="F1470"/>
  <c r="E1470"/>
  <c r="D1470"/>
  <c r="C1470"/>
  <c r="B1470"/>
  <c r="A1470"/>
  <c r="K1469"/>
  <c r="J1469"/>
  <c r="I1469"/>
  <c r="H1469"/>
  <c r="G1469"/>
  <c r="F1469"/>
  <c r="E1469"/>
  <c r="D1469"/>
  <c r="C1469"/>
  <c r="B1469"/>
  <c r="A1469"/>
  <c r="K1468"/>
  <c r="J1468"/>
  <c r="I1468"/>
  <c r="H1468"/>
  <c r="G1468"/>
  <c r="F1468"/>
  <c r="E1468"/>
  <c r="D1468"/>
  <c r="C1468"/>
  <c r="B1468"/>
  <c r="A1468"/>
  <c r="K1467"/>
  <c r="J1467"/>
  <c r="I1467"/>
  <c r="H1467"/>
  <c r="G1467"/>
  <c r="F1467"/>
  <c r="E1467"/>
  <c r="D1467"/>
  <c r="C1467"/>
  <c r="B1467"/>
  <c r="A1467"/>
  <c r="K1466"/>
  <c r="J1466"/>
  <c r="I1466"/>
  <c r="H1466"/>
  <c r="G1466"/>
  <c r="F1466"/>
  <c r="E1466"/>
  <c r="D1466"/>
  <c r="C1466"/>
  <c r="B1466"/>
  <c r="A1466"/>
  <c r="K1465"/>
  <c r="J1465"/>
  <c r="I1465"/>
  <c r="H1465"/>
  <c r="G1465"/>
  <c r="F1465"/>
  <c r="E1465"/>
  <c r="D1465"/>
  <c r="C1465"/>
  <c r="B1465"/>
  <c r="A1465"/>
  <c r="K1464"/>
  <c r="J1464"/>
  <c r="I1464"/>
  <c r="H1464"/>
  <c r="G1464"/>
  <c r="F1464"/>
  <c r="E1464"/>
  <c r="D1464"/>
  <c r="C1464"/>
  <c r="B1464"/>
  <c r="A1464"/>
  <c r="K1463"/>
  <c r="J1463"/>
  <c r="I1463"/>
  <c r="H1463"/>
  <c r="G1463"/>
  <c r="F1463"/>
  <c r="E1463"/>
  <c r="D1463"/>
  <c r="C1463"/>
  <c r="B1463"/>
  <c r="A1463"/>
  <c r="K1462"/>
  <c r="J1462"/>
  <c r="I1462"/>
  <c r="H1462"/>
  <c r="G1462"/>
  <c r="F1462"/>
  <c r="E1462"/>
  <c r="D1462"/>
  <c r="C1462"/>
  <c r="B1462"/>
  <c r="A1462"/>
  <c r="K1461"/>
  <c r="J1461"/>
  <c r="I1461"/>
  <c r="H1461"/>
  <c r="G1461"/>
  <c r="F1461"/>
  <c r="E1461"/>
  <c r="D1461"/>
  <c r="C1461"/>
  <c r="B1461"/>
  <c r="A1461"/>
  <c r="K1460"/>
  <c r="J1460"/>
  <c r="I1460"/>
  <c r="H1460"/>
  <c r="G1460"/>
  <c r="F1460"/>
  <c r="E1460"/>
  <c r="D1460"/>
  <c r="C1460"/>
  <c r="B1460"/>
  <c r="A1460"/>
  <c r="K1459"/>
  <c r="J1459"/>
  <c r="I1459"/>
  <c r="H1459"/>
  <c r="G1459"/>
  <c r="F1459"/>
  <c r="E1459"/>
  <c r="D1459"/>
  <c r="C1459"/>
  <c r="B1459"/>
  <c r="A1459"/>
  <c r="K1458"/>
  <c r="J1458"/>
  <c r="I1458"/>
  <c r="H1458"/>
  <c r="G1458"/>
  <c r="F1458"/>
  <c r="E1458"/>
  <c r="D1458"/>
  <c r="C1458"/>
  <c r="B1458"/>
  <c r="A1458"/>
  <c r="K1457"/>
  <c r="J1457"/>
  <c r="I1457"/>
  <c r="H1457"/>
  <c r="G1457"/>
  <c r="F1457"/>
  <c r="E1457"/>
  <c r="D1457"/>
  <c r="C1457"/>
  <c r="B1457"/>
  <c r="A1457"/>
  <c r="K1456"/>
  <c r="J1456"/>
  <c r="I1456"/>
  <c r="H1456"/>
  <c r="G1456"/>
  <c r="F1456"/>
  <c r="E1456"/>
  <c r="D1456"/>
  <c r="C1456"/>
  <c r="B1456"/>
  <c r="A1456"/>
  <c r="K1455"/>
  <c r="J1455"/>
  <c r="I1455"/>
  <c r="H1455"/>
  <c r="G1455"/>
  <c r="F1455"/>
  <c r="E1455"/>
  <c r="D1455"/>
  <c r="C1455"/>
  <c r="B1455"/>
  <c r="A1455"/>
  <c r="K1454"/>
  <c r="J1454"/>
  <c r="I1454"/>
  <c r="H1454"/>
  <c r="G1454"/>
  <c r="F1454"/>
  <c r="E1454"/>
  <c r="D1454"/>
  <c r="C1454"/>
  <c r="B1454"/>
  <c r="A1454"/>
  <c r="K1453"/>
  <c r="J1453"/>
  <c r="I1453"/>
  <c r="H1453"/>
  <c r="G1453"/>
  <c r="F1453"/>
  <c r="E1453"/>
  <c r="D1453"/>
  <c r="C1453"/>
  <c r="B1453"/>
  <c r="A1453"/>
  <c r="K1452"/>
  <c r="J1452"/>
  <c r="I1452"/>
  <c r="H1452"/>
  <c r="G1452"/>
  <c r="F1452"/>
  <c r="E1452"/>
  <c r="D1452"/>
  <c r="C1452"/>
  <c r="B1452"/>
  <c r="A1452"/>
  <c r="K1451"/>
  <c r="J1451"/>
  <c r="I1451"/>
  <c r="H1451"/>
  <c r="G1451"/>
  <c r="F1451"/>
  <c r="E1451"/>
  <c r="D1451"/>
  <c r="C1451"/>
  <c r="B1451"/>
  <c r="A1451"/>
  <c r="K1450"/>
  <c r="J1450"/>
  <c r="I1450"/>
  <c r="H1450"/>
  <c r="G1450"/>
  <c r="F1450"/>
  <c r="E1450"/>
  <c r="D1450"/>
  <c r="C1450"/>
  <c r="B1450"/>
  <c r="A1450"/>
  <c r="K1449"/>
  <c r="J1449"/>
  <c r="I1449"/>
  <c r="H1449"/>
  <c r="G1449"/>
  <c r="F1449"/>
  <c r="E1449"/>
  <c r="D1449"/>
  <c r="C1449"/>
  <c r="B1449"/>
  <c r="A1449"/>
  <c r="K1448"/>
  <c r="J1448"/>
  <c r="I1448"/>
  <c r="H1448"/>
  <c r="G1448"/>
  <c r="F1448"/>
  <c r="E1448"/>
  <c r="D1448"/>
  <c r="C1448"/>
  <c r="B1448"/>
  <c r="A1448"/>
  <c r="K1447"/>
  <c r="J1447"/>
  <c r="I1447"/>
  <c r="H1447"/>
  <c r="G1447"/>
  <c r="F1447"/>
  <c r="E1447"/>
  <c r="D1447"/>
  <c r="C1447"/>
  <c r="B1447"/>
  <c r="A1447"/>
  <c r="K1446"/>
  <c r="J1446"/>
  <c r="I1446"/>
  <c r="H1446"/>
  <c r="G1446"/>
  <c r="F1446"/>
  <c r="E1446"/>
  <c r="D1446"/>
  <c r="C1446"/>
  <c r="B1446"/>
  <c r="A1446"/>
  <c r="K1445"/>
  <c r="J1445"/>
  <c r="I1445"/>
  <c r="H1445"/>
  <c r="G1445"/>
  <c r="F1445"/>
  <c r="E1445"/>
  <c r="D1445"/>
  <c r="C1445"/>
  <c r="B1445"/>
  <c r="A1445"/>
  <c r="K1444"/>
  <c r="J1444"/>
  <c r="I1444"/>
  <c r="H1444"/>
  <c r="G1444"/>
  <c r="F1444"/>
  <c r="E1444"/>
  <c r="D1444"/>
  <c r="C1444"/>
  <c r="B1444"/>
  <c r="A1444"/>
  <c r="K1443"/>
  <c r="J1443"/>
  <c r="I1443"/>
  <c r="H1443"/>
  <c r="G1443"/>
  <c r="F1443"/>
  <c r="E1443"/>
  <c r="D1443"/>
  <c r="C1443"/>
  <c r="B1443"/>
  <c r="A1443"/>
  <c r="K1442"/>
  <c r="J1442"/>
  <c r="I1442"/>
  <c r="H1442"/>
  <c r="G1442"/>
  <c r="F1442"/>
  <c r="E1442"/>
  <c r="D1442"/>
  <c r="C1442"/>
  <c r="B1442"/>
  <c r="A1442"/>
  <c r="K1441"/>
  <c r="J1441"/>
  <c r="I1441"/>
  <c r="H1441"/>
  <c r="G1441"/>
  <c r="F1441"/>
  <c r="E1441"/>
  <c r="D1441"/>
  <c r="C1441"/>
  <c r="B1441"/>
  <c r="A1441"/>
  <c r="K1440"/>
  <c r="J1440"/>
  <c r="I1440"/>
  <c r="H1440"/>
  <c r="G1440"/>
  <c r="F1440"/>
  <c r="E1440"/>
  <c r="D1440"/>
  <c r="C1440"/>
  <c r="B1440"/>
  <c r="A1440"/>
  <c r="K1439"/>
  <c r="J1439"/>
  <c r="I1439"/>
  <c r="H1439"/>
  <c r="G1439"/>
  <c r="F1439"/>
  <c r="E1439"/>
  <c r="D1439"/>
  <c r="C1439"/>
  <c r="B1439"/>
  <c r="A1439"/>
  <c r="K1438"/>
  <c r="J1438"/>
  <c r="I1438"/>
  <c r="H1438"/>
  <c r="G1438"/>
  <c r="F1438"/>
  <c r="E1438"/>
  <c r="D1438"/>
  <c r="C1438"/>
  <c r="B1438"/>
  <c r="A1438"/>
  <c r="K1437"/>
  <c r="J1437"/>
  <c r="I1437"/>
  <c r="H1437"/>
  <c r="G1437"/>
  <c r="F1437"/>
  <c r="E1437"/>
  <c r="D1437"/>
  <c r="C1437"/>
  <c r="B1437"/>
  <c r="A1437"/>
  <c r="K1436"/>
  <c r="J1436"/>
  <c r="I1436"/>
  <c r="H1436"/>
  <c r="G1436"/>
  <c r="F1436"/>
  <c r="E1436"/>
  <c r="D1436"/>
  <c r="C1436"/>
  <c r="B1436"/>
  <c r="A1436"/>
  <c r="K1435"/>
  <c r="J1435"/>
  <c r="I1435"/>
  <c r="H1435"/>
  <c r="G1435"/>
  <c r="F1435"/>
  <c r="E1435"/>
  <c r="D1435"/>
  <c r="C1435"/>
  <c r="B1435"/>
  <c r="A1435"/>
  <c r="K1434"/>
  <c r="J1434"/>
  <c r="I1434"/>
  <c r="H1434"/>
  <c r="G1434"/>
  <c r="F1434"/>
  <c r="E1434"/>
  <c r="D1434"/>
  <c r="C1434"/>
  <c r="B1434"/>
  <c r="A1434"/>
  <c r="K1433"/>
  <c r="J1433"/>
  <c r="I1433"/>
  <c r="H1433"/>
  <c r="G1433"/>
  <c r="F1433"/>
  <c r="E1433"/>
  <c r="D1433"/>
  <c r="C1433"/>
  <c r="B1433"/>
  <c r="A1433"/>
  <c r="K1432"/>
  <c r="J1432"/>
  <c r="I1432"/>
  <c r="H1432"/>
  <c r="G1432"/>
  <c r="F1432"/>
  <c r="E1432"/>
  <c r="D1432"/>
  <c r="C1432"/>
  <c r="B1432"/>
  <c r="A1432"/>
  <c r="K1431"/>
  <c r="J1431"/>
  <c r="I1431"/>
  <c r="H1431"/>
  <c r="G1431"/>
  <c r="F1431"/>
  <c r="E1431"/>
  <c r="D1431"/>
  <c r="C1431"/>
  <c r="B1431"/>
  <c r="A1431"/>
  <c r="K1430"/>
  <c r="J1430"/>
  <c r="I1430"/>
  <c r="H1430"/>
  <c r="G1430"/>
  <c r="F1430"/>
  <c r="E1430"/>
  <c r="D1430"/>
  <c r="C1430"/>
  <c r="B1430"/>
  <c r="A1430"/>
  <c r="K1429"/>
  <c r="J1429"/>
  <c r="I1429"/>
  <c r="H1429"/>
  <c r="G1429"/>
  <c r="F1429"/>
  <c r="E1429"/>
  <c r="D1429"/>
  <c r="C1429"/>
  <c r="B1429"/>
  <c r="A1429"/>
  <c r="K1428"/>
  <c r="J1428"/>
  <c r="I1428"/>
  <c r="H1428"/>
  <c r="G1428"/>
  <c r="F1428"/>
  <c r="E1428"/>
  <c r="D1428"/>
  <c r="C1428"/>
  <c r="B1428"/>
  <c r="A1428"/>
  <c r="K1427"/>
  <c r="J1427"/>
  <c r="I1427"/>
  <c r="H1427"/>
  <c r="G1427"/>
  <c r="F1427"/>
  <c r="E1427"/>
  <c r="D1427"/>
  <c r="C1427"/>
  <c r="B1427"/>
  <c r="A1427"/>
  <c r="K1426"/>
  <c r="J1426"/>
  <c r="I1426"/>
  <c r="H1426"/>
  <c r="G1426"/>
  <c r="F1426"/>
  <c r="E1426"/>
  <c r="D1426"/>
  <c r="C1426"/>
  <c r="B1426"/>
  <c r="A1426"/>
  <c r="K1425"/>
  <c r="J1425"/>
  <c r="I1425"/>
  <c r="H1425"/>
  <c r="G1425"/>
  <c r="F1425"/>
  <c r="E1425"/>
  <c r="D1425"/>
  <c r="C1425"/>
  <c r="B1425"/>
  <c r="A1425"/>
  <c r="K1424"/>
  <c r="J1424"/>
  <c r="I1424"/>
  <c r="H1424"/>
  <c r="G1424"/>
  <c r="F1424"/>
  <c r="E1424"/>
  <c r="D1424"/>
  <c r="C1424"/>
  <c r="B1424"/>
  <c r="A1424"/>
  <c r="K1423"/>
  <c r="J1423"/>
  <c r="I1423"/>
  <c r="H1423"/>
  <c r="G1423"/>
  <c r="F1423"/>
  <c r="E1423"/>
  <c r="D1423"/>
  <c r="C1423"/>
  <c r="B1423"/>
  <c r="A1423"/>
  <c r="K1422"/>
  <c r="J1422"/>
  <c r="I1422"/>
  <c r="H1422"/>
  <c r="G1422"/>
  <c r="F1422"/>
  <c r="E1422"/>
  <c r="D1422"/>
  <c r="C1422"/>
  <c r="B1422"/>
  <c r="A1422"/>
  <c r="K1421"/>
  <c r="J1421"/>
  <c r="I1421"/>
  <c r="H1421"/>
  <c r="G1421"/>
  <c r="F1421"/>
  <c r="E1421"/>
  <c r="D1421"/>
  <c r="C1421"/>
  <c r="B1421"/>
  <c r="A1421"/>
  <c r="K1420"/>
  <c r="J1420"/>
  <c r="I1420"/>
  <c r="H1420"/>
  <c r="G1420"/>
  <c r="F1420"/>
  <c r="E1420"/>
  <c r="D1420"/>
  <c r="C1420"/>
  <c r="B1420"/>
  <c r="A1420"/>
  <c r="K1419"/>
  <c r="J1419"/>
  <c r="I1419"/>
  <c r="H1419"/>
  <c r="G1419"/>
  <c r="F1419"/>
  <c r="E1419"/>
  <c r="D1419"/>
  <c r="C1419"/>
  <c r="B1419"/>
  <c r="A1419"/>
  <c r="K1418"/>
  <c r="J1418"/>
  <c r="I1418"/>
  <c r="H1418"/>
  <c r="G1418"/>
  <c r="F1418"/>
  <c r="E1418"/>
  <c r="D1418"/>
  <c r="C1418"/>
  <c r="B1418"/>
  <c r="A1418"/>
  <c r="K1417"/>
  <c r="J1417"/>
  <c r="I1417"/>
  <c r="H1417"/>
  <c r="G1417"/>
  <c r="F1417"/>
  <c r="E1417"/>
  <c r="D1417"/>
  <c r="C1417"/>
  <c r="B1417"/>
  <c r="A1417"/>
  <c r="K1416"/>
  <c r="J1416"/>
  <c r="I1416"/>
  <c r="H1416"/>
  <c r="G1416"/>
  <c r="F1416"/>
  <c r="E1416"/>
  <c r="D1416"/>
  <c r="C1416"/>
  <c r="B1416"/>
  <c r="A1416"/>
  <c r="K1415"/>
  <c r="J1415"/>
  <c r="I1415"/>
  <c r="H1415"/>
  <c r="G1415"/>
  <c r="F1415"/>
  <c r="E1415"/>
  <c r="D1415"/>
  <c r="C1415"/>
  <c r="B1415"/>
  <c r="A1415"/>
  <c r="K1414"/>
  <c r="J1414"/>
  <c r="I1414"/>
  <c r="H1414"/>
  <c r="G1414"/>
  <c r="F1414"/>
  <c r="E1414"/>
  <c r="D1414"/>
  <c r="C1414"/>
  <c r="B1414"/>
  <c r="A1414"/>
  <c r="K1413"/>
  <c r="J1413"/>
  <c r="I1413"/>
  <c r="H1413"/>
  <c r="G1413"/>
  <c r="F1413"/>
  <c r="E1413"/>
  <c r="D1413"/>
  <c r="C1413"/>
  <c r="B1413"/>
  <c r="A1413"/>
  <c r="K1412"/>
  <c r="J1412"/>
  <c r="I1412"/>
  <c r="H1412"/>
  <c r="G1412"/>
  <c r="F1412"/>
  <c r="E1412"/>
  <c r="D1412"/>
  <c r="C1412"/>
  <c r="B1412"/>
  <c r="A1412"/>
  <c r="K1411"/>
  <c r="J1411"/>
  <c r="I1411"/>
  <c r="H1411"/>
  <c r="G1411"/>
  <c r="F1411"/>
  <c r="E1411"/>
  <c r="D1411"/>
  <c r="C1411"/>
  <c r="B1411"/>
  <c r="A1411"/>
  <c r="K1410"/>
  <c r="J1410"/>
  <c r="I1410"/>
  <c r="H1410"/>
  <c r="G1410"/>
  <c r="F1410"/>
  <c r="E1410"/>
  <c r="D1410"/>
  <c r="C1410"/>
  <c r="B1410"/>
  <c r="A1410"/>
  <c r="K1409"/>
  <c r="J1409"/>
  <c r="I1409"/>
  <c r="H1409"/>
  <c r="G1409"/>
  <c r="F1409"/>
  <c r="E1409"/>
  <c r="D1409"/>
  <c r="C1409"/>
  <c r="B1409"/>
  <c r="A1409"/>
  <c r="K1408"/>
  <c r="J1408"/>
  <c r="I1408"/>
  <c r="H1408"/>
  <c r="G1408"/>
  <c r="F1408"/>
  <c r="E1408"/>
  <c r="D1408"/>
  <c r="C1408"/>
  <c r="B1408"/>
  <c r="A1408"/>
  <c r="K1407"/>
  <c r="J1407"/>
  <c r="I1407"/>
  <c r="H1407"/>
  <c r="G1407"/>
  <c r="F1407"/>
  <c r="E1407"/>
  <c r="D1407"/>
  <c r="C1407"/>
  <c r="B1407"/>
  <c r="A1407"/>
  <c r="K1406"/>
  <c r="J1406"/>
  <c r="I1406"/>
  <c r="H1406"/>
  <c r="G1406"/>
  <c r="F1406"/>
  <c r="E1406"/>
  <c r="D1406"/>
  <c r="C1406"/>
  <c r="B1406"/>
  <c r="A1406"/>
  <c r="K1405"/>
  <c r="J1405"/>
  <c r="I1405"/>
  <c r="H1405"/>
  <c r="G1405"/>
  <c r="F1405"/>
  <c r="E1405"/>
  <c r="D1405"/>
  <c r="C1405"/>
  <c r="B1405"/>
  <c r="A1405"/>
  <c r="K1404"/>
  <c r="J1404"/>
  <c r="I1404"/>
  <c r="H1404"/>
  <c r="G1404"/>
  <c r="F1404"/>
  <c r="E1404"/>
  <c r="D1404"/>
  <c r="C1404"/>
  <c r="B1404"/>
  <c r="A1404"/>
  <c r="K1403"/>
  <c r="J1403"/>
  <c r="I1403"/>
  <c r="H1403"/>
  <c r="G1403"/>
  <c r="F1403"/>
  <c r="E1403"/>
  <c r="D1403"/>
  <c r="C1403"/>
  <c r="B1403"/>
  <c r="A1403"/>
  <c r="K1402"/>
  <c r="J1402"/>
  <c r="I1402"/>
  <c r="H1402"/>
  <c r="G1402"/>
  <c r="F1402"/>
  <c r="E1402"/>
  <c r="D1402"/>
  <c r="C1402"/>
  <c r="B1402"/>
  <c r="A1402"/>
  <c r="K1401"/>
  <c r="J1401"/>
  <c r="I1401"/>
  <c r="H1401"/>
  <c r="G1401"/>
  <c r="F1401"/>
  <c r="E1401"/>
  <c r="D1401"/>
  <c r="C1401"/>
  <c r="B1401"/>
  <c r="A1401"/>
  <c r="K1400"/>
  <c r="J1400"/>
  <c r="I1400"/>
  <c r="H1400"/>
  <c r="G1400"/>
  <c r="F1400"/>
  <c r="E1400"/>
  <c r="D1400"/>
  <c r="C1400"/>
  <c r="B1400"/>
  <c r="A1400"/>
  <c r="K1399"/>
  <c r="J1399"/>
  <c r="I1399"/>
  <c r="H1399"/>
  <c r="G1399"/>
  <c r="F1399"/>
  <c r="E1399"/>
  <c r="D1399"/>
  <c r="C1399"/>
  <c r="B1399"/>
  <c r="A1399"/>
  <c r="K1398"/>
  <c r="J1398"/>
  <c r="I1398"/>
  <c r="H1398"/>
  <c r="G1398"/>
  <c r="F1398"/>
  <c r="E1398"/>
  <c r="D1398"/>
  <c r="C1398"/>
  <c r="B1398"/>
  <c r="A1398"/>
  <c r="K1397"/>
  <c r="J1397"/>
  <c r="I1397"/>
  <c r="H1397"/>
  <c r="G1397"/>
  <c r="F1397"/>
  <c r="E1397"/>
  <c r="D1397"/>
  <c r="C1397"/>
  <c r="B1397"/>
  <c r="A1397"/>
  <c r="K1396"/>
  <c r="J1396"/>
  <c r="I1396"/>
  <c r="H1396"/>
  <c r="G1396"/>
  <c r="F1396"/>
  <c r="E1396"/>
  <c r="D1396"/>
  <c r="C1396"/>
  <c r="B1396"/>
  <c r="A1396"/>
  <c r="K1395"/>
  <c r="J1395"/>
  <c r="I1395"/>
  <c r="H1395"/>
  <c r="G1395"/>
  <c r="F1395"/>
  <c r="E1395"/>
  <c r="D1395"/>
  <c r="C1395"/>
  <c r="B1395"/>
  <c r="A1395"/>
  <c r="K1394"/>
  <c r="J1394"/>
  <c r="I1394"/>
  <c r="H1394"/>
  <c r="G1394"/>
  <c r="F1394"/>
  <c r="E1394"/>
  <c r="D1394"/>
  <c r="C1394"/>
  <c r="B1394"/>
  <c r="A1394"/>
  <c r="K1393"/>
  <c r="J1393"/>
  <c r="I1393"/>
  <c r="H1393"/>
  <c r="G1393"/>
  <c r="F1393"/>
  <c r="E1393"/>
  <c r="D1393"/>
  <c r="C1393"/>
  <c r="B1393"/>
  <c r="A1393"/>
  <c r="K1392"/>
  <c r="J1392"/>
  <c r="I1392"/>
  <c r="H1392"/>
  <c r="G1392"/>
  <c r="F1392"/>
  <c r="E1392"/>
  <c r="D1392"/>
  <c r="C1392"/>
  <c r="B1392"/>
  <c r="A1392"/>
  <c r="K1391"/>
  <c r="J1391"/>
  <c r="I1391"/>
  <c r="H1391"/>
  <c r="G1391"/>
  <c r="F1391"/>
  <c r="E1391"/>
  <c r="D1391"/>
  <c r="C1391"/>
  <c r="B1391"/>
  <c r="A1391"/>
  <c r="K1390"/>
  <c r="J1390"/>
  <c r="I1390"/>
  <c r="H1390"/>
  <c r="G1390"/>
  <c r="F1390"/>
  <c r="E1390"/>
  <c r="D1390"/>
  <c r="C1390"/>
  <c r="B1390"/>
  <c r="A1390"/>
  <c r="K1389"/>
  <c r="J1389"/>
  <c r="I1389"/>
  <c r="H1389"/>
  <c r="G1389"/>
  <c r="F1389"/>
  <c r="E1389"/>
  <c r="D1389"/>
  <c r="C1389"/>
  <c r="B1389"/>
  <c r="A1389"/>
  <c r="K1388"/>
  <c r="J1388"/>
  <c r="I1388"/>
  <c r="H1388"/>
  <c r="G1388"/>
  <c r="F1388"/>
  <c r="E1388"/>
  <c r="D1388"/>
  <c r="C1388"/>
  <c r="B1388"/>
  <c r="A1388"/>
  <c r="K1387"/>
  <c r="J1387"/>
  <c r="I1387"/>
  <c r="H1387"/>
  <c r="G1387"/>
  <c r="F1387"/>
  <c r="E1387"/>
  <c r="D1387"/>
  <c r="C1387"/>
  <c r="B1387"/>
  <c r="A1387"/>
  <c r="K1386"/>
  <c r="J1386"/>
  <c r="I1386"/>
  <c r="H1386"/>
  <c r="G1386"/>
  <c r="F1386"/>
  <c r="E1386"/>
  <c r="D1386"/>
  <c r="C1386"/>
  <c r="B1386"/>
  <c r="A1386"/>
  <c r="K1385"/>
  <c r="J1385"/>
  <c r="I1385"/>
  <c r="H1385"/>
  <c r="G1385"/>
  <c r="F1385"/>
  <c r="E1385"/>
  <c r="D1385"/>
  <c r="C1385"/>
  <c r="B1385"/>
  <c r="A1385"/>
  <c r="K1384"/>
  <c r="J1384"/>
  <c r="I1384"/>
  <c r="H1384"/>
  <c r="G1384"/>
  <c r="F1384"/>
  <c r="E1384"/>
  <c r="D1384"/>
  <c r="C1384"/>
  <c r="B1384"/>
  <c r="A1384"/>
  <c r="K1383"/>
  <c r="J1383"/>
  <c r="I1383"/>
  <c r="H1383"/>
  <c r="G1383"/>
  <c r="F1383"/>
  <c r="E1383"/>
  <c r="D1383"/>
  <c r="C1383"/>
  <c r="B1383"/>
  <c r="A1383"/>
  <c r="K1382"/>
  <c r="J1382"/>
  <c r="I1382"/>
  <c r="H1382"/>
  <c r="G1382"/>
  <c r="F1382"/>
  <c r="E1382"/>
  <c r="D1382"/>
  <c r="C1382"/>
  <c r="B1382"/>
  <c r="A1382"/>
  <c r="K1381"/>
  <c r="J1381"/>
  <c r="I1381"/>
  <c r="H1381"/>
  <c r="G1381"/>
  <c r="F1381"/>
  <c r="E1381"/>
  <c r="D1381"/>
  <c r="C1381"/>
  <c r="B1381"/>
  <c r="A1381"/>
  <c r="K1380"/>
  <c r="J1380"/>
  <c r="I1380"/>
  <c r="H1380"/>
  <c r="G1380"/>
  <c r="F1380"/>
  <c r="E1380"/>
  <c r="D1380"/>
  <c r="C1380"/>
  <c r="B1380"/>
  <c r="A1380"/>
  <c r="K1379"/>
  <c r="J1379"/>
  <c r="I1379"/>
  <c r="H1379"/>
  <c r="G1379"/>
  <c r="F1379"/>
  <c r="E1379"/>
  <c r="D1379"/>
  <c r="C1379"/>
  <c r="B1379"/>
  <c r="A1379"/>
  <c r="K1378"/>
  <c r="J1378"/>
  <c r="I1378"/>
  <c r="H1378"/>
  <c r="G1378"/>
  <c r="F1378"/>
  <c r="E1378"/>
  <c r="D1378"/>
  <c r="C1378"/>
  <c r="B1378"/>
  <c r="A1378"/>
  <c r="K1377"/>
  <c r="J1377"/>
  <c r="I1377"/>
  <c r="H1377"/>
  <c r="G1377"/>
  <c r="F1377"/>
  <c r="E1377"/>
  <c r="D1377"/>
  <c r="C1377"/>
  <c r="B1377"/>
  <c r="A1377"/>
  <c r="K1376"/>
  <c r="J1376"/>
  <c r="I1376"/>
  <c r="H1376"/>
  <c r="G1376"/>
  <c r="F1376"/>
  <c r="E1376"/>
  <c r="D1376"/>
  <c r="C1376"/>
  <c r="B1376"/>
  <c r="A1376"/>
  <c r="K1375"/>
  <c r="J1375"/>
  <c r="I1375"/>
  <c r="H1375"/>
  <c r="G1375"/>
  <c r="F1375"/>
  <c r="E1375"/>
  <c r="D1375"/>
  <c r="C1375"/>
  <c r="B1375"/>
  <c r="A1375"/>
  <c r="K1374"/>
  <c r="J1374"/>
  <c r="I1374"/>
  <c r="H1374"/>
  <c r="G1374"/>
  <c r="F1374"/>
  <c r="E1374"/>
  <c r="D1374"/>
  <c r="C1374"/>
  <c r="B1374"/>
  <c r="A1374"/>
  <c r="K1373"/>
  <c r="J1373"/>
  <c r="I1373"/>
  <c r="H1373"/>
  <c r="G1373"/>
  <c r="F1373"/>
  <c r="E1373"/>
  <c r="D1373"/>
  <c r="C1373"/>
  <c r="B1373"/>
  <c r="A1373"/>
  <c r="K1372"/>
  <c r="J1372"/>
  <c r="I1372"/>
  <c r="H1372"/>
  <c r="G1372"/>
  <c r="F1372"/>
  <c r="E1372"/>
  <c r="D1372"/>
  <c r="C1372"/>
  <c r="B1372"/>
  <c r="A1372"/>
  <c r="K1371"/>
  <c r="J1371"/>
  <c r="I1371"/>
  <c r="H1371"/>
  <c r="G1371"/>
  <c r="F1371"/>
  <c r="E1371"/>
  <c r="D1371"/>
  <c r="C1371"/>
  <c r="B1371"/>
  <c r="A1371"/>
  <c r="K1370"/>
  <c r="J1370"/>
  <c r="I1370"/>
  <c r="H1370"/>
  <c r="G1370"/>
  <c r="F1370"/>
  <c r="E1370"/>
  <c r="D1370"/>
  <c r="C1370"/>
  <c r="B1370"/>
  <c r="A1370"/>
  <c r="K1369"/>
  <c r="J1369"/>
  <c r="I1369"/>
  <c r="H1369"/>
  <c r="G1369"/>
  <c r="F1369"/>
  <c r="E1369"/>
  <c r="D1369"/>
  <c r="C1369"/>
  <c r="B1369"/>
  <c r="A1369"/>
  <c r="K1368"/>
  <c r="J1368"/>
  <c r="I1368"/>
  <c r="H1368"/>
  <c r="G1368"/>
  <c r="F1368"/>
  <c r="E1368"/>
  <c r="D1368"/>
  <c r="C1368"/>
  <c r="B1368"/>
  <c r="A1368"/>
  <c r="K1367"/>
  <c r="J1367"/>
  <c r="I1367"/>
  <c r="H1367"/>
  <c r="G1367"/>
  <c r="F1367"/>
  <c r="E1367"/>
  <c r="D1367"/>
  <c r="C1367"/>
  <c r="B1367"/>
  <c r="A1367"/>
  <c r="K1366"/>
  <c r="J1366"/>
  <c r="I1366"/>
  <c r="H1366"/>
  <c r="G1366"/>
  <c r="F1366"/>
  <c r="E1366"/>
  <c r="D1366"/>
  <c r="C1366"/>
  <c r="B1366"/>
  <c r="A1366"/>
  <c r="K1365"/>
  <c r="J1365"/>
  <c r="I1365"/>
  <c r="H1365"/>
  <c r="G1365"/>
  <c r="F1365"/>
  <c r="E1365"/>
  <c r="D1365"/>
  <c r="C1365"/>
  <c r="B1365"/>
  <c r="A1365"/>
  <c r="K1364"/>
  <c r="J1364"/>
  <c r="I1364"/>
  <c r="H1364"/>
  <c r="G1364"/>
  <c r="F1364"/>
  <c r="E1364"/>
  <c r="D1364"/>
  <c r="C1364"/>
  <c r="B1364"/>
  <c r="A1364"/>
  <c r="K1363"/>
  <c r="J1363"/>
  <c r="I1363"/>
  <c r="H1363"/>
  <c r="G1363"/>
  <c r="F1363"/>
  <c r="E1363"/>
  <c r="D1363"/>
  <c r="C1363"/>
  <c r="B1363"/>
  <c r="A1363"/>
  <c r="K1362"/>
  <c r="J1362"/>
  <c r="I1362"/>
  <c r="H1362"/>
  <c r="G1362"/>
  <c r="F1362"/>
  <c r="E1362"/>
  <c r="D1362"/>
  <c r="C1362"/>
  <c r="B1362"/>
  <c r="A1362"/>
  <c r="K1361"/>
  <c r="J1361"/>
  <c r="I1361"/>
  <c r="H1361"/>
  <c r="G1361"/>
  <c r="F1361"/>
  <c r="E1361"/>
  <c r="D1361"/>
  <c r="C1361"/>
  <c r="B1361"/>
  <c r="A1361"/>
  <c r="K1360"/>
  <c r="J1360"/>
  <c r="I1360"/>
  <c r="H1360"/>
  <c r="G1360"/>
  <c r="F1360"/>
  <c r="E1360"/>
  <c r="D1360"/>
  <c r="C1360"/>
  <c r="B1360"/>
  <c r="A1360"/>
  <c r="K1359"/>
  <c r="J1359"/>
  <c r="I1359"/>
  <c r="H1359"/>
  <c r="G1359"/>
  <c r="F1359"/>
  <c r="E1359"/>
  <c r="D1359"/>
  <c r="C1359"/>
  <c r="B1359"/>
  <c r="A1359"/>
  <c r="K1358"/>
  <c r="J1358"/>
  <c r="I1358"/>
  <c r="H1358"/>
  <c r="G1358"/>
  <c r="F1358"/>
  <c r="E1358"/>
  <c r="D1358"/>
  <c r="C1358"/>
  <c r="B1358"/>
  <c r="A1358"/>
  <c r="K1357"/>
  <c r="J1357"/>
  <c r="I1357"/>
  <c r="H1357"/>
  <c r="G1357"/>
  <c r="F1357"/>
  <c r="E1357"/>
  <c r="D1357"/>
  <c r="C1357"/>
  <c r="B1357"/>
  <c r="A1357"/>
  <c r="K1356"/>
  <c r="J1356"/>
  <c r="I1356"/>
  <c r="H1356"/>
  <c r="G1356"/>
  <c r="F1356"/>
  <c r="E1356"/>
  <c r="D1356"/>
  <c r="C1356"/>
  <c r="B1356"/>
  <c r="A1356"/>
  <c r="K1355"/>
  <c r="J1355"/>
  <c r="I1355"/>
  <c r="H1355"/>
  <c r="G1355"/>
  <c r="F1355"/>
  <c r="E1355"/>
  <c r="D1355"/>
  <c r="C1355"/>
  <c r="B1355"/>
  <c r="A1355"/>
  <c r="K1354"/>
  <c r="J1354"/>
  <c r="I1354"/>
  <c r="H1354"/>
  <c r="G1354"/>
  <c r="F1354"/>
  <c r="E1354"/>
  <c r="D1354"/>
  <c r="C1354"/>
  <c r="B1354"/>
  <c r="A1354"/>
  <c r="K1353"/>
  <c r="J1353"/>
  <c r="I1353"/>
  <c r="H1353"/>
  <c r="G1353"/>
  <c r="F1353"/>
  <c r="E1353"/>
  <c r="D1353"/>
  <c r="C1353"/>
  <c r="B1353"/>
  <c r="A1353"/>
  <c r="K1352"/>
  <c r="J1352"/>
  <c r="I1352"/>
  <c r="H1352"/>
  <c r="G1352"/>
  <c r="F1352"/>
  <c r="E1352"/>
  <c r="D1352"/>
  <c r="C1352"/>
  <c r="B1352"/>
  <c r="A1352"/>
  <c r="K1351"/>
  <c r="J1351"/>
  <c r="I1351"/>
  <c r="H1351"/>
  <c r="G1351"/>
  <c r="F1351"/>
  <c r="E1351"/>
  <c r="D1351"/>
  <c r="C1351"/>
  <c r="B1351"/>
  <c r="A1351"/>
  <c r="K1350"/>
  <c r="J1350"/>
  <c r="I1350"/>
  <c r="H1350"/>
  <c r="G1350"/>
  <c r="F1350"/>
  <c r="E1350"/>
  <c r="D1350"/>
  <c r="C1350"/>
  <c r="B1350"/>
  <c r="A1350"/>
  <c r="K1349"/>
  <c r="J1349"/>
  <c r="I1349"/>
  <c r="H1349"/>
  <c r="G1349"/>
  <c r="F1349"/>
  <c r="E1349"/>
  <c r="D1349"/>
  <c r="C1349"/>
  <c r="B1349"/>
  <c r="A1349"/>
  <c r="K1348"/>
  <c r="J1348"/>
  <c r="I1348"/>
  <c r="H1348"/>
  <c r="G1348"/>
  <c r="F1348"/>
  <c r="E1348"/>
  <c r="D1348"/>
  <c r="C1348"/>
  <c r="B1348"/>
  <c r="A1348"/>
  <c r="K1347"/>
  <c r="J1347"/>
  <c r="I1347"/>
  <c r="H1347"/>
  <c r="G1347"/>
  <c r="F1347"/>
  <c r="E1347"/>
  <c r="D1347"/>
  <c r="C1347"/>
  <c r="B1347"/>
  <c r="A1347"/>
  <c r="K1346"/>
  <c r="J1346"/>
  <c r="I1346"/>
  <c r="H1346"/>
  <c r="G1346"/>
  <c r="F1346"/>
  <c r="E1346"/>
  <c r="D1346"/>
  <c r="C1346"/>
  <c r="B1346"/>
  <c r="A1346"/>
  <c r="K1345"/>
  <c r="J1345"/>
  <c r="I1345"/>
  <c r="H1345"/>
  <c r="G1345"/>
  <c r="F1345"/>
  <c r="E1345"/>
  <c r="D1345"/>
  <c r="C1345"/>
  <c r="B1345"/>
  <c r="A1345"/>
  <c r="K1344"/>
  <c r="J1344"/>
  <c r="I1344"/>
  <c r="H1344"/>
  <c r="G1344"/>
  <c r="F1344"/>
  <c r="E1344"/>
  <c r="D1344"/>
  <c r="C1344"/>
  <c r="B1344"/>
  <c r="A1344"/>
  <c r="K1343"/>
  <c r="J1343"/>
  <c r="I1343"/>
  <c r="H1343"/>
  <c r="G1343"/>
  <c r="F1343"/>
  <c r="E1343"/>
  <c r="D1343"/>
  <c r="C1343"/>
  <c r="B1343"/>
  <c r="A1343"/>
  <c r="K1342"/>
  <c r="J1342"/>
  <c r="I1342"/>
  <c r="H1342"/>
  <c r="G1342"/>
  <c r="F1342"/>
  <c r="E1342"/>
  <c r="D1342"/>
  <c r="C1342"/>
  <c r="B1342"/>
  <c r="A1342"/>
  <c r="K1341"/>
  <c r="J1341"/>
  <c r="I1341"/>
  <c r="H1341"/>
  <c r="G1341"/>
  <c r="F1341"/>
  <c r="E1341"/>
  <c r="D1341"/>
  <c r="C1341"/>
  <c r="B1341"/>
  <c r="A1341"/>
  <c r="K1340"/>
  <c r="J1340"/>
  <c r="I1340"/>
  <c r="H1340"/>
  <c r="G1340"/>
  <c r="F1340"/>
  <c r="E1340"/>
  <c r="D1340"/>
  <c r="C1340"/>
  <c r="B1340"/>
  <c r="A1340"/>
  <c r="K1339"/>
  <c r="J1339"/>
  <c r="I1339"/>
  <c r="H1339"/>
  <c r="G1339"/>
  <c r="F1339"/>
  <c r="E1339"/>
  <c r="D1339"/>
  <c r="C1339"/>
  <c r="B1339"/>
  <c r="A1339"/>
  <c r="K1338"/>
  <c r="J1338"/>
  <c r="I1338"/>
  <c r="H1338"/>
  <c r="G1338"/>
  <c r="F1338"/>
  <c r="E1338"/>
  <c r="D1338"/>
  <c r="C1338"/>
  <c r="B1338"/>
  <c r="A1338"/>
  <c r="K1337"/>
  <c r="J1337"/>
  <c r="I1337"/>
  <c r="H1337"/>
  <c r="G1337"/>
  <c r="F1337"/>
  <c r="E1337"/>
  <c r="D1337"/>
  <c r="C1337"/>
  <c r="B1337"/>
  <c r="A1337"/>
  <c r="K1336"/>
  <c r="J1336"/>
  <c r="I1336"/>
  <c r="H1336"/>
  <c r="G1336"/>
  <c r="F1336"/>
  <c r="E1336"/>
  <c r="D1336"/>
  <c r="C1336"/>
  <c r="B1336"/>
  <c r="A1336"/>
  <c r="K1335"/>
  <c r="J1335"/>
  <c r="I1335"/>
  <c r="H1335"/>
  <c r="G1335"/>
  <c r="F1335"/>
  <c r="E1335"/>
  <c r="D1335"/>
  <c r="C1335"/>
  <c r="B1335"/>
  <c r="A1335"/>
  <c r="K1334"/>
  <c r="J1334"/>
  <c r="I1334"/>
  <c r="H1334"/>
  <c r="G1334"/>
  <c r="F1334"/>
  <c r="E1334"/>
  <c r="D1334"/>
  <c r="C1334"/>
  <c r="B1334"/>
  <c r="A1334"/>
  <c r="K1333"/>
  <c r="J1333"/>
  <c r="I1333"/>
  <c r="H1333"/>
  <c r="G1333"/>
  <c r="F1333"/>
  <c r="E1333"/>
  <c r="D1333"/>
  <c r="C1333"/>
  <c r="B1333"/>
  <c r="A1333"/>
  <c r="K1332"/>
  <c r="J1332"/>
  <c r="I1332"/>
  <c r="H1332"/>
  <c r="G1332"/>
  <c r="F1332"/>
  <c r="E1332"/>
  <c r="D1332"/>
  <c r="C1332"/>
  <c r="B1332"/>
  <c r="A1332"/>
  <c r="K1331"/>
  <c r="J1331"/>
  <c r="I1331"/>
  <c r="H1331"/>
  <c r="G1331"/>
  <c r="F1331"/>
  <c r="E1331"/>
  <c r="D1331"/>
  <c r="C1331"/>
  <c r="B1331"/>
  <c r="A1331"/>
  <c r="K1330"/>
  <c r="J1330"/>
  <c r="I1330"/>
  <c r="H1330"/>
  <c r="G1330"/>
  <c r="F1330"/>
  <c r="E1330"/>
  <c r="D1330"/>
  <c r="C1330"/>
  <c r="B1330"/>
  <c r="A1330"/>
  <c r="K1329"/>
  <c r="J1329"/>
  <c r="I1329"/>
  <c r="H1329"/>
  <c r="G1329"/>
  <c r="F1329"/>
  <c r="E1329"/>
  <c r="D1329"/>
  <c r="C1329"/>
  <c r="B1329"/>
  <c r="A1329"/>
  <c r="K1328"/>
  <c r="J1328"/>
  <c r="I1328"/>
  <c r="H1328"/>
  <c r="G1328"/>
  <c r="F1328"/>
  <c r="E1328"/>
  <c r="D1328"/>
  <c r="C1328"/>
  <c r="B1328"/>
  <c r="A1328"/>
  <c r="K1327"/>
  <c r="J1327"/>
  <c r="I1327"/>
  <c r="H1327"/>
  <c r="G1327"/>
  <c r="F1327"/>
  <c r="E1327"/>
  <c r="D1327"/>
  <c r="C1327"/>
  <c r="B1327"/>
  <c r="A1327"/>
  <c r="K1326"/>
  <c r="J1326"/>
  <c r="I1326"/>
  <c r="H1326"/>
  <c r="G1326"/>
  <c r="F1326"/>
  <c r="E1326"/>
  <c r="D1326"/>
  <c r="C1326"/>
  <c r="B1326"/>
  <c r="A1326"/>
  <c r="K1325"/>
  <c r="J1325"/>
  <c r="I1325"/>
  <c r="H1325"/>
  <c r="G1325"/>
  <c r="F1325"/>
  <c r="E1325"/>
  <c r="D1325"/>
  <c r="C1325"/>
  <c r="B1325"/>
  <c r="A1325"/>
  <c r="K1324"/>
  <c r="J1324"/>
  <c r="I1324"/>
  <c r="H1324"/>
  <c r="G1324"/>
  <c r="F1324"/>
  <c r="E1324"/>
  <c r="D1324"/>
  <c r="C1324"/>
  <c r="B1324"/>
  <c r="A1324"/>
  <c r="K1323"/>
  <c r="J1323"/>
  <c r="I1323"/>
  <c r="H1323"/>
  <c r="G1323"/>
  <c r="F1323"/>
  <c r="E1323"/>
  <c r="D1323"/>
  <c r="C1323"/>
  <c r="B1323"/>
  <c r="A1323"/>
  <c r="K1322"/>
  <c r="J1322"/>
  <c r="I1322"/>
  <c r="H1322"/>
  <c r="G1322"/>
  <c r="F1322"/>
  <c r="E1322"/>
  <c r="D1322"/>
  <c r="C1322"/>
  <c r="B1322"/>
  <c r="A1322"/>
  <c r="K1321"/>
  <c r="J1321"/>
  <c r="I1321"/>
  <c r="H1321"/>
  <c r="G1321"/>
  <c r="F1321"/>
  <c r="E1321"/>
  <c r="D1321"/>
  <c r="C1321"/>
  <c r="B1321"/>
  <c r="A1321"/>
  <c r="K1320"/>
  <c r="J1320"/>
  <c r="I1320"/>
  <c r="H1320"/>
  <c r="G1320"/>
  <c r="F1320"/>
  <c r="E1320"/>
  <c r="D1320"/>
  <c r="C1320"/>
  <c r="B1320"/>
  <c r="A1320"/>
  <c r="K1319"/>
  <c r="J1319"/>
  <c r="I1319"/>
  <c r="H1319"/>
  <c r="G1319"/>
  <c r="F1319"/>
  <c r="E1319"/>
  <c r="D1319"/>
  <c r="C1319"/>
  <c r="B1319"/>
  <c r="A1319"/>
  <c r="K1318"/>
  <c r="J1318"/>
  <c r="I1318"/>
  <c r="H1318"/>
  <c r="G1318"/>
  <c r="F1318"/>
  <c r="E1318"/>
  <c r="D1318"/>
  <c r="C1318"/>
  <c r="B1318"/>
  <c r="A1318"/>
  <c r="K1317"/>
  <c r="J1317"/>
  <c r="I1317"/>
  <c r="H1317"/>
  <c r="G1317"/>
  <c r="F1317"/>
  <c r="E1317"/>
  <c r="D1317"/>
  <c r="C1317"/>
  <c r="B1317"/>
  <c r="A1317"/>
  <c r="K1316"/>
  <c r="J1316"/>
  <c r="I1316"/>
  <c r="H1316"/>
  <c r="G1316"/>
  <c r="F1316"/>
  <c r="E1316"/>
  <c r="D1316"/>
  <c r="C1316"/>
  <c r="B1316"/>
  <c r="A1316"/>
  <c r="K1315"/>
  <c r="J1315"/>
  <c r="I1315"/>
  <c r="H1315"/>
  <c r="G1315"/>
  <c r="F1315"/>
  <c r="E1315"/>
  <c r="D1315"/>
  <c r="C1315"/>
  <c r="B1315"/>
  <c r="A1315"/>
  <c r="K1314"/>
  <c r="J1314"/>
  <c r="I1314"/>
  <c r="H1314"/>
  <c r="G1314"/>
  <c r="F1314"/>
  <c r="E1314"/>
  <c r="D1314"/>
  <c r="C1314"/>
  <c r="B1314"/>
  <c r="A1314"/>
  <c r="K1313"/>
  <c r="J1313"/>
  <c r="I1313"/>
  <c r="H1313"/>
  <c r="G1313"/>
  <c r="F1313"/>
  <c r="E1313"/>
  <c r="D1313"/>
  <c r="C1313"/>
  <c r="B1313"/>
  <c r="A1313"/>
  <c r="K1312"/>
  <c r="J1312"/>
  <c r="I1312"/>
  <c r="H1312"/>
  <c r="G1312"/>
  <c r="F1312"/>
  <c r="E1312"/>
  <c r="D1312"/>
  <c r="C1312"/>
  <c r="B1312"/>
  <c r="A1312"/>
  <c r="K1311"/>
  <c r="J1311"/>
  <c r="I1311"/>
  <c r="H1311"/>
  <c r="G1311"/>
  <c r="F1311"/>
  <c r="E1311"/>
  <c r="D1311"/>
  <c r="C1311"/>
  <c r="B1311"/>
  <c r="A1311"/>
  <c r="K1310"/>
  <c r="J1310"/>
  <c r="I1310"/>
  <c r="H1310"/>
  <c r="G1310"/>
  <c r="F1310"/>
  <c r="E1310"/>
  <c r="D1310"/>
  <c r="C1310"/>
  <c r="B1310"/>
  <c r="A1310"/>
  <c r="K1309"/>
  <c r="J1309"/>
  <c r="I1309"/>
  <c r="H1309"/>
  <c r="G1309"/>
  <c r="F1309"/>
  <c r="E1309"/>
  <c r="D1309"/>
  <c r="C1309"/>
  <c r="B1309"/>
  <c r="A1309"/>
  <c r="K1308"/>
  <c r="J1308"/>
  <c r="I1308"/>
  <c r="H1308"/>
  <c r="G1308"/>
  <c r="F1308"/>
  <c r="E1308"/>
  <c r="D1308"/>
  <c r="C1308"/>
  <c r="B1308"/>
  <c r="A1308"/>
  <c r="K1307"/>
  <c r="J1307"/>
  <c r="I1307"/>
  <c r="H1307"/>
  <c r="G1307"/>
  <c r="F1307"/>
  <c r="E1307"/>
  <c r="D1307"/>
  <c r="C1307"/>
  <c r="B1307"/>
  <c r="A1307"/>
  <c r="K1306"/>
  <c r="J1306"/>
  <c r="I1306"/>
  <c r="H1306"/>
  <c r="G1306"/>
  <c r="F1306"/>
  <c r="E1306"/>
  <c r="D1306"/>
  <c r="C1306"/>
  <c r="B1306"/>
  <c r="A1306"/>
  <c r="K1305"/>
  <c r="J1305"/>
  <c r="I1305"/>
  <c r="H1305"/>
  <c r="G1305"/>
  <c r="F1305"/>
  <c r="E1305"/>
  <c r="D1305"/>
  <c r="C1305"/>
  <c r="B1305"/>
  <c r="A1305"/>
  <c r="K1304"/>
  <c r="J1304"/>
  <c r="I1304"/>
  <c r="H1304"/>
  <c r="G1304"/>
  <c r="F1304"/>
  <c r="E1304"/>
  <c r="D1304"/>
  <c r="C1304"/>
  <c r="B1304"/>
  <c r="A1304"/>
  <c r="K1303"/>
  <c r="J1303"/>
  <c r="I1303"/>
  <c r="H1303"/>
  <c r="G1303"/>
  <c r="F1303"/>
  <c r="E1303"/>
  <c r="D1303"/>
  <c r="C1303"/>
  <c r="B1303"/>
  <c r="A1303"/>
  <c r="K1302"/>
  <c r="J1302"/>
  <c r="I1302"/>
  <c r="H1302"/>
  <c r="G1302"/>
  <c r="F1302"/>
  <c r="E1302"/>
  <c r="D1302"/>
  <c r="C1302"/>
  <c r="B1302"/>
  <c r="A1302"/>
  <c r="K1301"/>
  <c r="J1301"/>
  <c r="I1301"/>
  <c r="H1301"/>
  <c r="G1301"/>
  <c r="F1301"/>
  <c r="E1301"/>
  <c r="D1301"/>
  <c r="C1301"/>
  <c r="B1301"/>
  <c r="A1301"/>
  <c r="K1300"/>
  <c r="J1300"/>
  <c r="I1300"/>
  <c r="H1300"/>
  <c r="G1300"/>
  <c r="F1300"/>
  <c r="E1300"/>
  <c r="D1300"/>
  <c r="C1300"/>
  <c r="B1300"/>
  <c r="A1300"/>
  <c r="K1299"/>
  <c r="J1299"/>
  <c r="I1299"/>
  <c r="H1299"/>
  <c r="G1299"/>
  <c r="F1299"/>
  <c r="E1299"/>
  <c r="D1299"/>
  <c r="C1299"/>
  <c r="B1299"/>
  <c r="A1299"/>
  <c r="K1298"/>
  <c r="J1298"/>
  <c r="I1298"/>
  <c r="H1298"/>
  <c r="G1298"/>
  <c r="F1298"/>
  <c r="E1298"/>
  <c r="D1298"/>
  <c r="C1298"/>
  <c r="B1298"/>
  <c r="A1298"/>
  <c r="K1297"/>
  <c r="J1297"/>
  <c r="I1297"/>
  <c r="H1297"/>
  <c r="G1297"/>
  <c r="F1297"/>
  <c r="E1297"/>
  <c r="D1297"/>
  <c r="C1297"/>
  <c r="B1297"/>
  <c r="A1297"/>
  <c r="K1296"/>
  <c r="J1296"/>
  <c r="I1296"/>
  <c r="H1296"/>
  <c r="G1296"/>
  <c r="F1296"/>
  <c r="E1296"/>
  <c r="D1296"/>
  <c r="C1296"/>
  <c r="B1296"/>
  <c r="A1296"/>
  <c r="K1295"/>
  <c r="J1295"/>
  <c r="I1295"/>
  <c r="H1295"/>
  <c r="G1295"/>
  <c r="F1295"/>
  <c r="E1295"/>
  <c r="D1295"/>
  <c r="C1295"/>
  <c r="B1295"/>
  <c r="A1295"/>
  <c r="K1294"/>
  <c r="J1294"/>
  <c r="I1294"/>
  <c r="H1294"/>
  <c r="G1294"/>
  <c r="F1294"/>
  <c r="E1294"/>
  <c r="D1294"/>
  <c r="C1294"/>
  <c r="B1294"/>
  <c r="A1294"/>
  <c r="K1293"/>
  <c r="J1293"/>
  <c r="I1293"/>
  <c r="H1293"/>
  <c r="G1293"/>
  <c r="F1293"/>
  <c r="E1293"/>
  <c r="D1293"/>
  <c r="C1293"/>
  <c r="B1293"/>
  <c r="A1293"/>
  <c r="K1292"/>
  <c r="J1292"/>
  <c r="I1292"/>
  <c r="H1292"/>
  <c r="G1292"/>
  <c r="F1292"/>
  <c r="E1292"/>
  <c r="D1292"/>
  <c r="C1292"/>
  <c r="B1292"/>
  <c r="A1292"/>
  <c r="K1291"/>
  <c r="J1291"/>
  <c r="I1291"/>
  <c r="H1291"/>
  <c r="G1291"/>
  <c r="F1291"/>
  <c r="E1291"/>
  <c r="D1291"/>
  <c r="C1291"/>
  <c r="B1291"/>
  <c r="A1291"/>
  <c r="K1290"/>
  <c r="J1290"/>
  <c r="I1290"/>
  <c r="H1290"/>
  <c r="G1290"/>
  <c r="F1290"/>
  <c r="E1290"/>
  <c r="D1290"/>
  <c r="C1290"/>
  <c r="B1290"/>
  <c r="A1290"/>
  <c r="K1289"/>
  <c r="J1289"/>
  <c r="I1289"/>
  <c r="H1289"/>
  <c r="G1289"/>
  <c r="F1289"/>
  <c r="E1289"/>
  <c r="D1289"/>
  <c r="C1289"/>
  <c r="B1289"/>
  <c r="A1289"/>
  <c r="K1288"/>
  <c r="J1288"/>
  <c r="I1288"/>
  <c r="H1288"/>
  <c r="G1288"/>
  <c r="F1288"/>
  <c r="E1288"/>
  <c r="D1288"/>
  <c r="C1288"/>
  <c r="B1288"/>
  <c r="A1288"/>
  <c r="K1287"/>
  <c r="J1287"/>
  <c r="I1287"/>
  <c r="H1287"/>
  <c r="G1287"/>
  <c r="F1287"/>
  <c r="E1287"/>
  <c r="D1287"/>
  <c r="C1287"/>
  <c r="B1287"/>
  <c r="A1287"/>
  <c r="K1286"/>
  <c r="J1286"/>
  <c r="I1286"/>
  <c r="H1286"/>
  <c r="G1286"/>
  <c r="F1286"/>
  <c r="E1286"/>
  <c r="D1286"/>
  <c r="C1286"/>
  <c r="B1286"/>
  <c r="A1286"/>
  <c r="K1285"/>
  <c r="J1285"/>
  <c r="I1285"/>
  <c r="H1285"/>
  <c r="G1285"/>
  <c r="F1285"/>
  <c r="E1285"/>
  <c r="D1285"/>
  <c r="C1285"/>
  <c r="B1285"/>
  <c r="A1285"/>
  <c r="K1284"/>
  <c r="J1284"/>
  <c r="I1284"/>
  <c r="H1284"/>
  <c r="G1284"/>
  <c r="F1284"/>
  <c r="E1284"/>
  <c r="D1284"/>
  <c r="C1284"/>
  <c r="B1284"/>
  <c r="A1284"/>
  <c r="K1283"/>
  <c r="J1283"/>
  <c r="I1283"/>
  <c r="H1283"/>
  <c r="G1283"/>
  <c r="F1283"/>
  <c r="E1283"/>
  <c r="D1283"/>
  <c r="C1283"/>
  <c r="B1283"/>
  <c r="A1283"/>
  <c r="K1282"/>
  <c r="J1282"/>
  <c r="I1282"/>
  <c r="H1282"/>
  <c r="G1282"/>
  <c r="F1282"/>
  <c r="E1282"/>
  <c r="D1282"/>
  <c r="C1282"/>
  <c r="B1282"/>
  <c r="A1282"/>
  <c r="K1281"/>
  <c r="J1281"/>
  <c r="I1281"/>
  <c r="H1281"/>
  <c r="G1281"/>
  <c r="F1281"/>
  <c r="E1281"/>
  <c r="D1281"/>
  <c r="C1281"/>
  <c r="B1281"/>
  <c r="A1281"/>
  <c r="K1280"/>
  <c r="J1280"/>
  <c r="I1280"/>
  <c r="H1280"/>
  <c r="G1280"/>
  <c r="F1280"/>
  <c r="E1280"/>
  <c r="D1280"/>
  <c r="C1280"/>
  <c r="B1280"/>
  <c r="A1280"/>
  <c r="K1279"/>
  <c r="J1279"/>
  <c r="I1279"/>
  <c r="H1279"/>
  <c r="G1279"/>
  <c r="F1279"/>
  <c r="E1279"/>
  <c r="D1279"/>
  <c r="C1279"/>
  <c r="B1279"/>
  <c r="A1279"/>
  <c r="K1278"/>
  <c r="J1278"/>
  <c r="I1278"/>
  <c r="H1278"/>
  <c r="G1278"/>
  <c r="F1278"/>
  <c r="E1278"/>
  <c r="D1278"/>
  <c r="C1278"/>
  <c r="B1278"/>
  <c r="A1278"/>
  <c r="K1277"/>
  <c r="J1277"/>
  <c r="I1277"/>
  <c r="H1277"/>
  <c r="G1277"/>
  <c r="F1277"/>
  <c r="E1277"/>
  <c r="D1277"/>
  <c r="C1277"/>
  <c r="B1277"/>
  <c r="A1277"/>
  <c r="K1276"/>
  <c r="J1276"/>
  <c r="I1276"/>
  <c r="H1276"/>
  <c r="G1276"/>
  <c r="F1276"/>
  <c r="E1276"/>
  <c r="D1276"/>
  <c r="C1276"/>
  <c r="B1276"/>
  <c r="A1276"/>
  <c r="K1275"/>
  <c r="J1275"/>
  <c r="I1275"/>
  <c r="H1275"/>
  <c r="G1275"/>
  <c r="F1275"/>
  <c r="E1275"/>
  <c r="D1275"/>
  <c r="C1275"/>
  <c r="B1275"/>
  <c r="A1275"/>
  <c r="K1274"/>
  <c r="J1274"/>
  <c r="I1274"/>
  <c r="H1274"/>
  <c r="G1274"/>
  <c r="F1274"/>
  <c r="E1274"/>
  <c r="D1274"/>
  <c r="C1274"/>
  <c r="B1274"/>
  <c r="A1274"/>
  <c r="K1273"/>
  <c r="J1273"/>
  <c r="I1273"/>
  <c r="H1273"/>
  <c r="G1273"/>
  <c r="F1273"/>
  <c r="E1273"/>
  <c r="D1273"/>
  <c r="C1273"/>
  <c r="B1273"/>
  <c r="A1273"/>
  <c r="K1272"/>
  <c r="J1272"/>
  <c r="I1272"/>
  <c r="H1272"/>
  <c r="G1272"/>
  <c r="F1272"/>
  <c r="E1272"/>
  <c r="D1272"/>
  <c r="C1272"/>
  <c r="B1272"/>
  <c r="A1272"/>
  <c r="K1271"/>
  <c r="J1271"/>
  <c r="I1271"/>
  <c r="H1271"/>
  <c r="G1271"/>
  <c r="F1271"/>
  <c r="E1271"/>
  <c r="D1271"/>
  <c r="C1271"/>
  <c r="B1271"/>
  <c r="A1271"/>
  <c r="K1270"/>
  <c r="J1270"/>
  <c r="I1270"/>
  <c r="H1270"/>
  <c r="G1270"/>
  <c r="F1270"/>
  <c r="E1270"/>
  <c r="D1270"/>
  <c r="C1270"/>
  <c r="B1270"/>
  <c r="A1270"/>
  <c r="K1269"/>
  <c r="J1269"/>
  <c r="I1269"/>
  <c r="H1269"/>
  <c r="G1269"/>
  <c r="F1269"/>
  <c r="E1269"/>
  <c r="D1269"/>
  <c r="C1269"/>
  <c r="B1269"/>
  <c r="A1269"/>
  <c r="K1268"/>
  <c r="J1268"/>
  <c r="I1268"/>
  <c r="H1268"/>
  <c r="G1268"/>
  <c r="F1268"/>
  <c r="E1268"/>
  <c r="D1268"/>
  <c r="C1268"/>
  <c r="B1268"/>
  <c r="A1268"/>
  <c r="K1267"/>
  <c r="J1267"/>
  <c r="I1267"/>
  <c r="H1267"/>
  <c r="G1267"/>
  <c r="F1267"/>
  <c r="E1267"/>
  <c r="D1267"/>
  <c r="C1267"/>
  <c r="B1267"/>
  <c r="A1267"/>
  <c r="K1266"/>
  <c r="J1266"/>
  <c r="I1266"/>
  <c r="H1266"/>
  <c r="G1266"/>
  <c r="F1266"/>
  <c r="E1266"/>
  <c r="D1266"/>
  <c r="C1266"/>
  <c r="B1266"/>
  <c r="A1266"/>
  <c r="K1265"/>
  <c r="J1265"/>
  <c r="I1265"/>
  <c r="H1265"/>
  <c r="G1265"/>
  <c r="F1265"/>
  <c r="E1265"/>
  <c r="D1265"/>
  <c r="C1265"/>
  <c r="B1265"/>
  <c r="A1265"/>
  <c r="K1264"/>
  <c r="J1264"/>
  <c r="I1264"/>
  <c r="H1264"/>
  <c r="G1264"/>
  <c r="F1264"/>
  <c r="E1264"/>
  <c r="D1264"/>
  <c r="C1264"/>
  <c r="B1264"/>
  <c r="A1264"/>
  <c r="K1263"/>
  <c r="J1263"/>
  <c r="I1263"/>
  <c r="H1263"/>
  <c r="G1263"/>
  <c r="F1263"/>
  <c r="E1263"/>
  <c r="D1263"/>
  <c r="C1263"/>
  <c r="B1263"/>
  <c r="A1263"/>
  <c r="K1262"/>
  <c r="J1262"/>
  <c r="I1262"/>
  <c r="H1262"/>
  <c r="G1262"/>
  <c r="F1262"/>
  <c r="E1262"/>
  <c r="D1262"/>
  <c r="C1262"/>
  <c r="B1262"/>
  <c r="A1262"/>
  <c r="K1261"/>
  <c r="J1261"/>
  <c r="I1261"/>
  <c r="H1261"/>
  <c r="G1261"/>
  <c r="F1261"/>
  <c r="E1261"/>
  <c r="D1261"/>
  <c r="C1261"/>
  <c r="B1261"/>
  <c r="A1261"/>
  <c r="K1260"/>
  <c r="J1260"/>
  <c r="I1260"/>
  <c r="H1260"/>
  <c r="G1260"/>
  <c r="F1260"/>
  <c r="E1260"/>
  <c r="D1260"/>
  <c r="C1260"/>
  <c r="B1260"/>
  <c r="A1260"/>
  <c r="K1259"/>
  <c r="J1259"/>
  <c r="I1259"/>
  <c r="H1259"/>
  <c r="G1259"/>
  <c r="F1259"/>
  <c r="E1259"/>
  <c r="D1259"/>
  <c r="C1259"/>
  <c r="B1259"/>
  <c r="A1259"/>
  <c r="K1258"/>
  <c r="J1258"/>
  <c r="I1258"/>
  <c r="H1258"/>
  <c r="G1258"/>
  <c r="F1258"/>
  <c r="E1258"/>
  <c r="D1258"/>
  <c r="C1258"/>
  <c r="B1258"/>
  <c r="A1258"/>
  <c r="K1257"/>
  <c r="J1257"/>
  <c r="I1257"/>
  <c r="H1257"/>
  <c r="G1257"/>
  <c r="F1257"/>
  <c r="E1257"/>
  <c r="D1257"/>
  <c r="C1257"/>
  <c r="B1257"/>
  <c r="A1257"/>
  <c r="K1256"/>
  <c r="J1256"/>
  <c r="I1256"/>
  <c r="H1256"/>
  <c r="G1256"/>
  <c r="F1256"/>
  <c r="E1256"/>
  <c r="D1256"/>
  <c r="C1256"/>
  <c r="B1256"/>
  <c r="A1256"/>
  <c r="K1255"/>
  <c r="J1255"/>
  <c r="I1255"/>
  <c r="H1255"/>
  <c r="G1255"/>
  <c r="F1255"/>
  <c r="E1255"/>
  <c r="D1255"/>
  <c r="C1255"/>
  <c r="B1255"/>
  <c r="A1255"/>
  <c r="K1254"/>
  <c r="J1254"/>
  <c r="I1254"/>
  <c r="H1254"/>
  <c r="G1254"/>
  <c r="F1254"/>
  <c r="E1254"/>
  <c r="D1254"/>
  <c r="C1254"/>
  <c r="B1254"/>
  <c r="A1254"/>
  <c r="K1253"/>
  <c r="J1253"/>
  <c r="I1253"/>
  <c r="H1253"/>
  <c r="G1253"/>
  <c r="F1253"/>
  <c r="E1253"/>
  <c r="D1253"/>
  <c r="C1253"/>
  <c r="B1253"/>
  <c r="A1253"/>
  <c r="K1252"/>
  <c r="J1252"/>
  <c r="I1252"/>
  <c r="H1252"/>
  <c r="G1252"/>
  <c r="F1252"/>
  <c r="E1252"/>
  <c r="D1252"/>
  <c r="C1252"/>
  <c r="B1252"/>
  <c r="A1252"/>
  <c r="K1251"/>
  <c r="J1251"/>
  <c r="I1251"/>
  <c r="H1251"/>
  <c r="G1251"/>
  <c r="F1251"/>
  <c r="E1251"/>
  <c r="D1251"/>
  <c r="C1251"/>
  <c r="B1251"/>
  <c r="A1251"/>
  <c r="K1250"/>
  <c r="J1250"/>
  <c r="I1250"/>
  <c r="H1250"/>
  <c r="G1250"/>
  <c r="F1250"/>
  <c r="E1250"/>
  <c r="D1250"/>
  <c r="C1250"/>
  <c r="B1250"/>
  <c r="A1250"/>
  <c r="K1249"/>
  <c r="J1249"/>
  <c r="I1249"/>
  <c r="H1249"/>
  <c r="G1249"/>
  <c r="F1249"/>
  <c r="E1249"/>
  <c r="D1249"/>
  <c r="C1249"/>
  <c r="B1249"/>
  <c r="A1249"/>
  <c r="K1248"/>
  <c r="J1248"/>
  <c r="I1248"/>
  <c r="H1248"/>
  <c r="G1248"/>
  <c r="F1248"/>
  <c r="E1248"/>
  <c r="D1248"/>
  <c r="C1248"/>
  <c r="B1248"/>
  <c r="A1248"/>
  <c r="K1247"/>
  <c r="J1247"/>
  <c r="I1247"/>
  <c r="H1247"/>
  <c r="G1247"/>
  <c r="F1247"/>
  <c r="E1247"/>
  <c r="D1247"/>
  <c r="C1247"/>
  <c r="B1247"/>
  <c r="A1247"/>
  <c r="K1246"/>
  <c r="J1246"/>
  <c r="I1246"/>
  <c r="H1246"/>
  <c r="G1246"/>
  <c r="F1246"/>
  <c r="E1246"/>
  <c r="D1246"/>
  <c r="C1246"/>
  <c r="B1246"/>
  <c r="A1246"/>
  <c r="K1245"/>
  <c r="J1245"/>
  <c r="I1245"/>
  <c r="H1245"/>
  <c r="G1245"/>
  <c r="F1245"/>
  <c r="E1245"/>
  <c r="D1245"/>
  <c r="C1245"/>
  <c r="B1245"/>
  <c r="A1245"/>
  <c r="K1244"/>
  <c r="J1244"/>
  <c r="I1244"/>
  <c r="H1244"/>
  <c r="G1244"/>
  <c r="F1244"/>
  <c r="E1244"/>
  <c r="D1244"/>
  <c r="C1244"/>
  <c r="B1244"/>
  <c r="A1244"/>
  <c r="K1243"/>
  <c r="J1243"/>
  <c r="I1243"/>
  <c r="H1243"/>
  <c r="G1243"/>
  <c r="F1243"/>
  <c r="E1243"/>
  <c r="D1243"/>
  <c r="C1243"/>
  <c r="B1243"/>
  <c r="A1243"/>
  <c r="K1242"/>
  <c r="J1242"/>
  <c r="I1242"/>
  <c r="H1242"/>
  <c r="G1242"/>
  <c r="F1242"/>
  <c r="E1242"/>
  <c r="D1242"/>
  <c r="C1242"/>
  <c r="B1242"/>
  <c r="A1242"/>
  <c r="K1241"/>
  <c r="J1241"/>
  <c r="I1241"/>
  <c r="H1241"/>
  <c r="G1241"/>
  <c r="F1241"/>
  <c r="E1241"/>
  <c r="D1241"/>
  <c r="C1241"/>
  <c r="B1241"/>
  <c r="A1241"/>
  <c r="K1240"/>
  <c r="J1240"/>
  <c r="I1240"/>
  <c r="H1240"/>
  <c r="G1240"/>
  <c r="F1240"/>
  <c r="E1240"/>
  <c r="D1240"/>
  <c r="C1240"/>
  <c r="B1240"/>
  <c r="A1240"/>
  <c r="K1239"/>
  <c r="J1239"/>
  <c r="I1239"/>
  <c r="H1239"/>
  <c r="G1239"/>
  <c r="F1239"/>
  <c r="E1239"/>
  <c r="D1239"/>
  <c r="C1239"/>
  <c r="B1239"/>
  <c r="A1239"/>
  <c r="K1238"/>
  <c r="J1238"/>
  <c r="I1238"/>
  <c r="H1238"/>
  <c r="G1238"/>
  <c r="F1238"/>
  <c r="E1238"/>
  <c r="D1238"/>
  <c r="C1238"/>
  <c r="B1238"/>
  <c r="A1238"/>
  <c r="K1237"/>
  <c r="J1237"/>
  <c r="I1237"/>
  <c r="H1237"/>
  <c r="G1237"/>
  <c r="F1237"/>
  <c r="E1237"/>
  <c r="D1237"/>
  <c r="C1237"/>
  <c r="B1237"/>
  <c r="A1237"/>
  <c r="K1236"/>
  <c r="J1236"/>
  <c r="I1236"/>
  <c r="H1236"/>
  <c r="G1236"/>
  <c r="F1236"/>
  <c r="E1236"/>
  <c r="D1236"/>
  <c r="C1236"/>
  <c r="B1236"/>
  <c r="A1236"/>
  <c r="K1235"/>
  <c r="J1235"/>
  <c r="I1235"/>
  <c r="H1235"/>
  <c r="G1235"/>
  <c r="F1235"/>
  <c r="E1235"/>
  <c r="D1235"/>
  <c r="C1235"/>
  <c r="B1235"/>
  <c r="A1235"/>
  <c r="K1234"/>
  <c r="J1234"/>
  <c r="I1234"/>
  <c r="H1234"/>
  <c r="G1234"/>
  <c r="F1234"/>
  <c r="E1234"/>
  <c r="D1234"/>
  <c r="C1234"/>
  <c r="B1234"/>
  <c r="A1234"/>
  <c r="K1233"/>
  <c r="J1233"/>
  <c r="I1233"/>
  <c r="H1233"/>
  <c r="G1233"/>
  <c r="F1233"/>
  <c r="E1233"/>
  <c r="D1233"/>
  <c r="C1233"/>
  <c r="B1233"/>
  <c r="A1233"/>
  <c r="K1232"/>
  <c r="J1232"/>
  <c r="I1232"/>
  <c r="H1232"/>
  <c r="G1232"/>
  <c r="F1232"/>
  <c r="E1232"/>
  <c r="D1232"/>
  <c r="C1232"/>
  <c r="B1232"/>
  <c r="A1232"/>
  <c r="K1231"/>
  <c r="J1231"/>
  <c r="I1231"/>
  <c r="H1231"/>
  <c r="G1231"/>
  <c r="F1231"/>
  <c r="E1231"/>
  <c r="D1231"/>
  <c r="C1231"/>
  <c r="B1231"/>
  <c r="A1231"/>
  <c r="K1230"/>
  <c r="J1230"/>
  <c r="I1230"/>
  <c r="H1230"/>
  <c r="G1230"/>
  <c r="F1230"/>
  <c r="E1230"/>
  <c r="D1230"/>
  <c r="C1230"/>
  <c r="B1230"/>
  <c r="A1230"/>
  <c r="K1229"/>
  <c r="J1229"/>
  <c r="I1229"/>
  <c r="H1229"/>
  <c r="G1229"/>
  <c r="F1229"/>
  <c r="E1229"/>
  <c r="D1229"/>
  <c r="C1229"/>
  <c r="B1229"/>
  <c r="A1229"/>
  <c r="K1228"/>
  <c r="J1228"/>
  <c r="I1228"/>
  <c r="H1228"/>
  <c r="G1228"/>
  <c r="F1228"/>
  <c r="E1228"/>
  <c r="D1228"/>
  <c r="C1228"/>
  <c r="B1228"/>
  <c r="A1228"/>
  <c r="K1227"/>
  <c r="J1227"/>
  <c r="I1227"/>
  <c r="H1227"/>
  <c r="G1227"/>
  <c r="F1227"/>
  <c r="E1227"/>
  <c r="D1227"/>
  <c r="C1227"/>
  <c r="B1227"/>
  <c r="A1227"/>
  <c r="K1226"/>
  <c r="J1226"/>
  <c r="I1226"/>
  <c r="H1226"/>
  <c r="G1226"/>
  <c r="F1226"/>
  <c r="E1226"/>
  <c r="D1226"/>
  <c r="C1226"/>
  <c r="B1226"/>
  <c r="A1226"/>
  <c r="K1225"/>
  <c r="J1225"/>
  <c r="I1225"/>
  <c r="H1225"/>
  <c r="G1225"/>
  <c r="F1225"/>
  <c r="E1225"/>
  <c r="D1225"/>
  <c r="C1225"/>
  <c r="B1225"/>
  <c r="A1225"/>
  <c r="K1224"/>
  <c r="J1224"/>
  <c r="I1224"/>
  <c r="H1224"/>
  <c r="G1224"/>
  <c r="F1224"/>
  <c r="E1224"/>
  <c r="D1224"/>
  <c r="C1224"/>
  <c r="B1224"/>
  <c r="A1224"/>
  <c r="K1223"/>
  <c r="J1223"/>
  <c r="I1223"/>
  <c r="H1223"/>
  <c r="G1223"/>
  <c r="F1223"/>
  <c r="E1223"/>
  <c r="D1223"/>
  <c r="C1223"/>
  <c r="B1223"/>
  <c r="A1223"/>
  <c r="K1222"/>
  <c r="J1222"/>
  <c r="I1222"/>
  <c r="H1222"/>
  <c r="G1222"/>
  <c r="F1222"/>
  <c r="E1222"/>
  <c r="D1222"/>
  <c r="C1222"/>
  <c r="B1222"/>
  <c r="A1222"/>
  <c r="K1221"/>
  <c r="J1221"/>
  <c r="I1221"/>
  <c r="H1221"/>
  <c r="G1221"/>
  <c r="F1221"/>
  <c r="E1221"/>
  <c r="D1221"/>
  <c r="C1221"/>
  <c r="B1221"/>
  <c r="A1221"/>
  <c r="K1220"/>
  <c r="J1220"/>
  <c r="I1220"/>
  <c r="H1220"/>
  <c r="G1220"/>
  <c r="F1220"/>
  <c r="E1220"/>
  <c r="D1220"/>
  <c r="C1220"/>
  <c r="B1220"/>
  <c r="A1220"/>
  <c r="K1219"/>
  <c r="J1219"/>
  <c r="I1219"/>
  <c r="H1219"/>
  <c r="G1219"/>
  <c r="F1219"/>
  <c r="E1219"/>
  <c r="D1219"/>
  <c r="C1219"/>
  <c r="B1219"/>
  <c r="A1219"/>
  <c r="K1218"/>
  <c r="J1218"/>
  <c r="I1218"/>
  <c r="H1218"/>
  <c r="G1218"/>
  <c r="F1218"/>
  <c r="E1218"/>
  <c r="D1218"/>
  <c r="C1218"/>
  <c r="B1218"/>
  <c r="A1218"/>
  <c r="K1217"/>
  <c r="J1217"/>
  <c r="I1217"/>
  <c r="H1217"/>
  <c r="G1217"/>
  <c r="F1217"/>
  <c r="E1217"/>
  <c r="D1217"/>
  <c r="C1217"/>
  <c r="B1217"/>
  <c r="A1217"/>
  <c r="K1216"/>
  <c r="J1216"/>
  <c r="I1216"/>
  <c r="H1216"/>
  <c r="G1216"/>
  <c r="F1216"/>
  <c r="E1216"/>
  <c r="D1216"/>
  <c r="C1216"/>
  <c r="B1216"/>
  <c r="A1216"/>
  <c r="K1215"/>
  <c r="J1215"/>
  <c r="I1215"/>
  <c r="H1215"/>
  <c r="G1215"/>
  <c r="F1215"/>
  <c r="E1215"/>
  <c r="D1215"/>
  <c r="C1215"/>
  <c r="B1215"/>
  <c r="A1215"/>
  <c r="K1214"/>
  <c r="J1214"/>
  <c r="I1214"/>
  <c r="H1214"/>
  <c r="G1214"/>
  <c r="F1214"/>
  <c r="E1214"/>
  <c r="D1214"/>
  <c r="C1214"/>
  <c r="B1214"/>
  <c r="A1214"/>
  <c r="K1213"/>
  <c r="J1213"/>
  <c r="I1213"/>
  <c r="H1213"/>
  <c r="G1213"/>
  <c r="F1213"/>
  <c r="E1213"/>
  <c r="D1213"/>
  <c r="C1213"/>
  <c r="B1213"/>
  <c r="A1213"/>
  <c r="K1212"/>
  <c r="J1212"/>
  <c r="I1212"/>
  <c r="H1212"/>
  <c r="G1212"/>
  <c r="F1212"/>
  <c r="E1212"/>
  <c r="D1212"/>
  <c r="C1212"/>
  <c r="B1212"/>
  <c r="A1212"/>
  <c r="K1211"/>
  <c r="J1211"/>
  <c r="I1211"/>
  <c r="H1211"/>
  <c r="G1211"/>
  <c r="F1211"/>
  <c r="E1211"/>
  <c r="D1211"/>
  <c r="C1211"/>
  <c r="B1211"/>
  <c r="A1211"/>
  <c r="K1210"/>
  <c r="J1210"/>
  <c r="I1210"/>
  <c r="H1210"/>
  <c r="G1210"/>
  <c r="F1210"/>
  <c r="E1210"/>
  <c r="D1210"/>
  <c r="C1210"/>
  <c r="B1210"/>
  <c r="A1210"/>
  <c r="K1209"/>
  <c r="J1209"/>
  <c r="I1209"/>
  <c r="H1209"/>
  <c r="G1209"/>
  <c r="F1209"/>
  <c r="E1209"/>
  <c r="D1209"/>
  <c r="C1209"/>
  <c r="B1209"/>
  <c r="A1209"/>
  <c r="K1208"/>
  <c r="J1208"/>
  <c r="I1208"/>
  <c r="H1208"/>
  <c r="G1208"/>
  <c r="F1208"/>
  <c r="E1208"/>
  <c r="D1208"/>
  <c r="C1208"/>
  <c r="B1208"/>
  <c r="A1208"/>
  <c r="K1207"/>
  <c r="J1207"/>
  <c r="I1207"/>
  <c r="H1207"/>
  <c r="G1207"/>
  <c r="F1207"/>
  <c r="E1207"/>
  <c r="D1207"/>
  <c r="C1207"/>
  <c r="B1207"/>
  <c r="A1207"/>
  <c r="K1206"/>
  <c r="J1206"/>
  <c r="I1206"/>
  <c r="H1206"/>
  <c r="G1206"/>
  <c r="F1206"/>
  <c r="E1206"/>
  <c r="D1206"/>
  <c r="C1206"/>
  <c r="B1206"/>
  <c r="A1206"/>
  <c r="K1205"/>
  <c r="J1205"/>
  <c r="I1205"/>
  <c r="H1205"/>
  <c r="G1205"/>
  <c r="F1205"/>
  <c r="E1205"/>
  <c r="D1205"/>
  <c r="C1205"/>
  <c r="B1205"/>
  <c r="A1205"/>
  <c r="K1204"/>
  <c r="J1204"/>
  <c r="I1204"/>
  <c r="H1204"/>
  <c r="G1204"/>
  <c r="F1204"/>
  <c r="E1204"/>
  <c r="D1204"/>
  <c r="C1204"/>
  <c r="B1204"/>
  <c r="A1204"/>
  <c r="K1203"/>
  <c r="J1203"/>
  <c r="I1203"/>
  <c r="H1203"/>
  <c r="G1203"/>
  <c r="F1203"/>
  <c r="E1203"/>
  <c r="D1203"/>
  <c r="C1203"/>
  <c r="B1203"/>
  <c r="A1203"/>
  <c r="K1202"/>
  <c r="J1202"/>
  <c r="I1202"/>
  <c r="H1202"/>
  <c r="G1202"/>
  <c r="F1202"/>
  <c r="E1202"/>
  <c r="D1202"/>
  <c r="C1202"/>
  <c r="B1202"/>
  <c r="A1202"/>
  <c r="K1201"/>
  <c r="J1201"/>
  <c r="I1201"/>
  <c r="H1201"/>
  <c r="G1201"/>
  <c r="F1201"/>
  <c r="E1201"/>
  <c r="D1201"/>
  <c r="C1201"/>
  <c r="B1201"/>
  <c r="A1201"/>
  <c r="K1200"/>
  <c r="J1200"/>
  <c r="I1200"/>
  <c r="H1200"/>
  <c r="G1200"/>
  <c r="F1200"/>
  <c r="E1200"/>
  <c r="D1200"/>
  <c r="C1200"/>
  <c r="B1200"/>
  <c r="A1200"/>
  <c r="K1199"/>
  <c r="J1199"/>
  <c r="I1199"/>
  <c r="H1199"/>
  <c r="G1199"/>
  <c r="F1199"/>
  <c r="E1199"/>
  <c r="D1199"/>
  <c r="C1199"/>
  <c r="B1199"/>
  <c r="A1199"/>
  <c r="K1198"/>
  <c r="J1198"/>
  <c r="I1198"/>
  <c r="H1198"/>
  <c r="G1198"/>
  <c r="F1198"/>
  <c r="E1198"/>
  <c r="D1198"/>
  <c r="C1198"/>
  <c r="B1198"/>
  <c r="A1198"/>
  <c r="K1197"/>
  <c r="J1197"/>
  <c r="I1197"/>
  <c r="H1197"/>
  <c r="G1197"/>
  <c r="F1197"/>
  <c r="E1197"/>
  <c r="D1197"/>
  <c r="C1197"/>
  <c r="B1197"/>
  <c r="A1197"/>
  <c r="K1196"/>
  <c r="J1196"/>
  <c r="I1196"/>
  <c r="H1196"/>
  <c r="G1196"/>
  <c r="F1196"/>
  <c r="E1196"/>
  <c r="D1196"/>
  <c r="C1196"/>
  <c r="B1196"/>
  <c r="A1196"/>
  <c r="K1195"/>
  <c r="J1195"/>
  <c r="I1195"/>
  <c r="H1195"/>
  <c r="G1195"/>
  <c r="F1195"/>
  <c r="E1195"/>
  <c r="D1195"/>
  <c r="C1195"/>
  <c r="B1195"/>
  <c r="A1195"/>
  <c r="K1194"/>
  <c r="J1194"/>
  <c r="I1194"/>
  <c r="H1194"/>
  <c r="G1194"/>
  <c r="F1194"/>
  <c r="E1194"/>
  <c r="D1194"/>
  <c r="C1194"/>
  <c r="B1194"/>
  <c r="A1194"/>
  <c r="K1193"/>
  <c r="J1193"/>
  <c r="I1193"/>
  <c r="H1193"/>
  <c r="G1193"/>
  <c r="F1193"/>
  <c r="E1193"/>
  <c r="D1193"/>
  <c r="C1193"/>
  <c r="B1193"/>
  <c r="A1193"/>
  <c r="K1192"/>
  <c r="J1192"/>
  <c r="I1192"/>
  <c r="H1192"/>
  <c r="G1192"/>
  <c r="F1192"/>
  <c r="E1192"/>
  <c r="D1192"/>
  <c r="C1192"/>
  <c r="B1192"/>
  <c r="A1192"/>
  <c r="K1191"/>
  <c r="J1191"/>
  <c r="I1191"/>
  <c r="H1191"/>
  <c r="G1191"/>
  <c r="F1191"/>
  <c r="E1191"/>
  <c r="D1191"/>
  <c r="C1191"/>
  <c r="B1191"/>
  <c r="A1191"/>
  <c r="K1190"/>
  <c r="J1190"/>
  <c r="I1190"/>
  <c r="H1190"/>
  <c r="G1190"/>
  <c r="F1190"/>
  <c r="E1190"/>
  <c r="D1190"/>
  <c r="C1190"/>
  <c r="B1190"/>
  <c r="A1190"/>
  <c r="K1189"/>
  <c r="J1189"/>
  <c r="I1189"/>
  <c r="H1189"/>
  <c r="G1189"/>
  <c r="F1189"/>
  <c r="E1189"/>
  <c r="D1189"/>
  <c r="C1189"/>
  <c r="B1189"/>
  <c r="A1189"/>
  <c r="K1188"/>
  <c r="J1188"/>
  <c r="I1188"/>
  <c r="H1188"/>
  <c r="G1188"/>
  <c r="F1188"/>
  <c r="E1188"/>
  <c r="D1188"/>
  <c r="C1188"/>
  <c r="B1188"/>
  <c r="A1188"/>
  <c r="K1187"/>
  <c r="J1187"/>
  <c r="I1187"/>
  <c r="H1187"/>
  <c r="G1187"/>
  <c r="F1187"/>
  <c r="E1187"/>
  <c r="D1187"/>
  <c r="C1187"/>
  <c r="B1187"/>
  <c r="A1187"/>
  <c r="K1186"/>
  <c r="J1186"/>
  <c r="I1186"/>
  <c r="H1186"/>
  <c r="G1186"/>
  <c r="F1186"/>
  <c r="E1186"/>
  <c r="D1186"/>
  <c r="C1186"/>
  <c r="B1186"/>
  <c r="A1186"/>
  <c r="K1185"/>
  <c r="J1185"/>
  <c r="I1185"/>
  <c r="H1185"/>
  <c r="G1185"/>
  <c r="F1185"/>
  <c r="E1185"/>
  <c r="D1185"/>
  <c r="C1185"/>
  <c r="B1185"/>
  <c r="A1185"/>
  <c r="K1184"/>
  <c r="J1184"/>
  <c r="I1184"/>
  <c r="H1184"/>
  <c r="G1184"/>
  <c r="F1184"/>
  <c r="E1184"/>
  <c r="D1184"/>
  <c r="C1184"/>
  <c r="B1184"/>
  <c r="A1184"/>
  <c r="K1183"/>
  <c r="J1183"/>
  <c r="I1183"/>
  <c r="H1183"/>
  <c r="G1183"/>
  <c r="F1183"/>
  <c r="E1183"/>
  <c r="D1183"/>
  <c r="C1183"/>
  <c r="B1183"/>
  <c r="A1183"/>
  <c r="K1182"/>
  <c r="J1182"/>
  <c r="I1182"/>
  <c r="H1182"/>
  <c r="G1182"/>
  <c r="F1182"/>
  <c r="E1182"/>
  <c r="D1182"/>
  <c r="C1182"/>
  <c r="B1182"/>
  <c r="A1182"/>
  <c r="K1181"/>
  <c r="J1181"/>
  <c r="I1181"/>
  <c r="H1181"/>
  <c r="G1181"/>
  <c r="F1181"/>
  <c r="E1181"/>
  <c r="D1181"/>
  <c r="C1181"/>
  <c r="B1181"/>
  <c r="A1181"/>
  <c r="K1180"/>
  <c r="J1180"/>
  <c r="I1180"/>
  <c r="H1180"/>
  <c r="G1180"/>
  <c r="F1180"/>
  <c r="E1180"/>
  <c r="D1180"/>
  <c r="C1180"/>
  <c r="B1180"/>
  <c r="A1180"/>
  <c r="K1179"/>
  <c r="J1179"/>
  <c r="I1179"/>
  <c r="H1179"/>
  <c r="G1179"/>
  <c r="F1179"/>
  <c r="E1179"/>
  <c r="D1179"/>
  <c r="C1179"/>
  <c r="B1179"/>
  <c r="A1179"/>
  <c r="K1178"/>
  <c r="J1178"/>
  <c r="I1178"/>
  <c r="H1178"/>
  <c r="G1178"/>
  <c r="F1178"/>
  <c r="E1178"/>
  <c r="D1178"/>
  <c r="C1178"/>
  <c r="B1178"/>
  <c r="A1178"/>
  <c r="K1177"/>
  <c r="J1177"/>
  <c r="I1177"/>
  <c r="H1177"/>
  <c r="G1177"/>
  <c r="F1177"/>
  <c r="E1177"/>
  <c r="D1177"/>
  <c r="C1177"/>
  <c r="B1177"/>
  <c r="A1177"/>
  <c r="K1176"/>
  <c r="J1176"/>
  <c r="I1176"/>
  <c r="H1176"/>
  <c r="G1176"/>
  <c r="F1176"/>
  <c r="E1176"/>
  <c r="D1176"/>
  <c r="C1176"/>
  <c r="B1176"/>
  <c r="A1176"/>
  <c r="K1175"/>
  <c r="J1175"/>
  <c r="I1175"/>
  <c r="H1175"/>
  <c r="G1175"/>
  <c r="F1175"/>
  <c r="E1175"/>
  <c r="D1175"/>
  <c r="C1175"/>
  <c r="B1175"/>
  <c r="A1175"/>
  <c r="K1174"/>
  <c r="J1174"/>
  <c r="I1174"/>
  <c r="H1174"/>
  <c r="G1174"/>
  <c r="F1174"/>
  <c r="E1174"/>
  <c r="D1174"/>
  <c r="C1174"/>
  <c r="B1174"/>
  <c r="A1174"/>
  <c r="K1173"/>
  <c r="J1173"/>
  <c r="I1173"/>
  <c r="H1173"/>
  <c r="G1173"/>
  <c r="F1173"/>
  <c r="E1173"/>
  <c r="D1173"/>
  <c r="C1173"/>
  <c r="B1173"/>
  <c r="A1173"/>
  <c r="K1172"/>
  <c r="J1172"/>
  <c r="I1172"/>
  <c r="H1172"/>
  <c r="G1172"/>
  <c r="F1172"/>
  <c r="E1172"/>
  <c r="D1172"/>
  <c r="C1172"/>
  <c r="B1172"/>
  <c r="A1172"/>
  <c r="K1171"/>
  <c r="J1171"/>
  <c r="I1171"/>
  <c r="H1171"/>
  <c r="G1171"/>
  <c r="F1171"/>
  <c r="E1171"/>
  <c r="D1171"/>
  <c r="C1171"/>
  <c r="B1171"/>
  <c r="A1171"/>
  <c r="K1170"/>
  <c r="J1170"/>
  <c r="I1170"/>
  <c r="H1170"/>
  <c r="G1170"/>
  <c r="F1170"/>
  <c r="E1170"/>
  <c r="D1170"/>
  <c r="C1170"/>
  <c r="B1170"/>
  <c r="A1170"/>
  <c r="K1169"/>
  <c r="J1169"/>
  <c r="I1169"/>
  <c r="H1169"/>
  <c r="G1169"/>
  <c r="F1169"/>
  <c r="E1169"/>
  <c r="D1169"/>
  <c r="C1169"/>
  <c r="B1169"/>
  <c r="A1169"/>
  <c r="K1168"/>
  <c r="J1168"/>
  <c r="I1168"/>
  <c r="H1168"/>
  <c r="G1168"/>
  <c r="F1168"/>
  <c r="E1168"/>
  <c r="D1168"/>
  <c r="C1168"/>
  <c r="B1168"/>
  <c r="A1168"/>
  <c r="K1167"/>
  <c r="J1167"/>
  <c r="I1167"/>
  <c r="H1167"/>
  <c r="G1167"/>
  <c r="F1167"/>
  <c r="E1167"/>
  <c r="D1167"/>
  <c r="C1167"/>
  <c r="B1167"/>
  <c r="A1167"/>
  <c r="K1166"/>
  <c r="J1166"/>
  <c r="I1166"/>
  <c r="H1166"/>
  <c r="G1166"/>
  <c r="F1166"/>
  <c r="E1166"/>
  <c r="D1166"/>
  <c r="C1166"/>
  <c r="B1166"/>
  <c r="A1166"/>
  <c r="K1165"/>
  <c r="J1165"/>
  <c r="I1165"/>
  <c r="H1165"/>
  <c r="G1165"/>
  <c r="F1165"/>
  <c r="E1165"/>
  <c r="D1165"/>
  <c r="C1165"/>
  <c r="B1165"/>
  <c r="A1165"/>
  <c r="K1164"/>
  <c r="J1164"/>
  <c r="I1164"/>
  <c r="H1164"/>
  <c r="G1164"/>
  <c r="F1164"/>
  <c r="E1164"/>
  <c r="D1164"/>
  <c r="C1164"/>
  <c r="B1164"/>
  <c r="A1164"/>
  <c r="K1163"/>
  <c r="J1163"/>
  <c r="I1163"/>
  <c r="H1163"/>
  <c r="G1163"/>
  <c r="F1163"/>
  <c r="E1163"/>
  <c r="D1163"/>
  <c r="C1163"/>
  <c r="B1163"/>
  <c r="A1163"/>
  <c r="K1162"/>
  <c r="J1162"/>
  <c r="I1162"/>
  <c r="H1162"/>
  <c r="G1162"/>
  <c r="F1162"/>
  <c r="E1162"/>
  <c r="D1162"/>
  <c r="C1162"/>
  <c r="B1162"/>
  <c r="A1162"/>
  <c r="K1161"/>
  <c r="J1161"/>
  <c r="I1161"/>
  <c r="H1161"/>
  <c r="G1161"/>
  <c r="F1161"/>
  <c r="E1161"/>
  <c r="D1161"/>
  <c r="C1161"/>
  <c r="B1161"/>
  <c r="A1161"/>
  <c r="K1160"/>
  <c r="J1160"/>
  <c r="I1160"/>
  <c r="H1160"/>
  <c r="G1160"/>
  <c r="F1160"/>
  <c r="E1160"/>
  <c r="D1160"/>
  <c r="C1160"/>
  <c r="B1160"/>
  <c r="A1160"/>
  <c r="K1159"/>
  <c r="J1159"/>
  <c r="I1159"/>
  <c r="H1159"/>
  <c r="G1159"/>
  <c r="F1159"/>
  <c r="E1159"/>
  <c r="D1159"/>
  <c r="C1159"/>
  <c r="B1159"/>
  <c r="A1159"/>
  <c r="K1158"/>
  <c r="J1158"/>
  <c r="I1158"/>
  <c r="H1158"/>
  <c r="G1158"/>
  <c r="F1158"/>
  <c r="E1158"/>
  <c r="D1158"/>
  <c r="C1158"/>
  <c r="B1158"/>
  <c r="A1158"/>
  <c r="K1157"/>
  <c r="J1157"/>
  <c r="I1157"/>
  <c r="H1157"/>
  <c r="G1157"/>
  <c r="F1157"/>
  <c r="E1157"/>
  <c r="D1157"/>
  <c r="C1157"/>
  <c r="B1157"/>
  <c r="A1157"/>
  <c r="K1156"/>
  <c r="J1156"/>
  <c r="I1156"/>
  <c r="H1156"/>
  <c r="G1156"/>
  <c r="F1156"/>
  <c r="E1156"/>
  <c r="D1156"/>
  <c r="C1156"/>
  <c r="B1156"/>
  <c r="A1156"/>
  <c r="K1155"/>
  <c r="J1155"/>
  <c r="I1155"/>
  <c r="H1155"/>
  <c r="G1155"/>
  <c r="F1155"/>
  <c r="E1155"/>
  <c r="D1155"/>
  <c r="C1155"/>
  <c r="B1155"/>
  <c r="A1155"/>
  <c r="K1154"/>
  <c r="J1154"/>
  <c r="I1154"/>
  <c r="H1154"/>
  <c r="G1154"/>
  <c r="F1154"/>
  <c r="E1154"/>
  <c r="D1154"/>
  <c r="C1154"/>
  <c r="B1154"/>
  <c r="A1154"/>
  <c r="K1153"/>
  <c r="J1153"/>
  <c r="I1153"/>
  <c r="H1153"/>
  <c r="G1153"/>
  <c r="F1153"/>
  <c r="E1153"/>
  <c r="D1153"/>
  <c r="C1153"/>
  <c r="B1153"/>
  <c r="A1153"/>
  <c r="K1152"/>
  <c r="J1152"/>
  <c r="I1152"/>
  <c r="H1152"/>
  <c r="G1152"/>
  <c r="F1152"/>
  <c r="E1152"/>
  <c r="D1152"/>
  <c r="C1152"/>
  <c r="B1152"/>
  <c r="A1152"/>
  <c r="K1151"/>
  <c r="J1151"/>
  <c r="I1151"/>
  <c r="H1151"/>
  <c r="G1151"/>
  <c r="F1151"/>
  <c r="E1151"/>
  <c r="D1151"/>
  <c r="C1151"/>
  <c r="B1151"/>
  <c r="A1151"/>
  <c r="K1150"/>
  <c r="J1150"/>
  <c r="I1150"/>
  <c r="H1150"/>
  <c r="G1150"/>
  <c r="F1150"/>
  <c r="E1150"/>
  <c r="D1150"/>
  <c r="C1150"/>
  <c r="B1150"/>
  <c r="A1150"/>
  <c r="K1149"/>
  <c r="J1149"/>
  <c r="I1149"/>
  <c r="H1149"/>
  <c r="G1149"/>
  <c r="F1149"/>
  <c r="E1149"/>
  <c r="D1149"/>
  <c r="C1149"/>
  <c r="B1149"/>
  <c r="A1149"/>
  <c r="K1148"/>
  <c r="J1148"/>
  <c r="I1148"/>
  <c r="H1148"/>
  <c r="G1148"/>
  <c r="F1148"/>
  <c r="E1148"/>
  <c r="D1148"/>
  <c r="C1148"/>
  <c r="B1148"/>
  <c r="A1148"/>
  <c r="K1147"/>
  <c r="J1147"/>
  <c r="I1147"/>
  <c r="H1147"/>
  <c r="G1147"/>
  <c r="F1147"/>
  <c r="E1147"/>
  <c r="D1147"/>
  <c r="C1147"/>
  <c r="B1147"/>
  <c r="A1147"/>
  <c r="K1146"/>
  <c r="J1146"/>
  <c r="I1146"/>
  <c r="H1146"/>
  <c r="G1146"/>
  <c r="F1146"/>
  <c r="E1146"/>
  <c r="D1146"/>
  <c r="C1146"/>
  <c r="B1146"/>
  <c r="A1146"/>
  <c r="K1145"/>
  <c r="J1145"/>
  <c r="I1145"/>
  <c r="H1145"/>
  <c r="G1145"/>
  <c r="F1145"/>
  <c r="E1145"/>
  <c r="D1145"/>
  <c r="C1145"/>
  <c r="B1145"/>
  <c r="A1145"/>
  <c r="K1144"/>
  <c r="J1144"/>
  <c r="I1144"/>
  <c r="H1144"/>
  <c r="G1144"/>
  <c r="F1144"/>
  <c r="E1144"/>
  <c r="D1144"/>
  <c r="C1144"/>
  <c r="B1144"/>
  <c r="A1144"/>
  <c r="K1143"/>
  <c r="J1143"/>
  <c r="I1143"/>
  <c r="H1143"/>
  <c r="G1143"/>
  <c r="F1143"/>
  <c r="E1143"/>
  <c r="D1143"/>
  <c r="C1143"/>
  <c r="B1143"/>
  <c r="A1143"/>
  <c r="K1142"/>
  <c r="J1142"/>
  <c r="I1142"/>
  <c r="H1142"/>
  <c r="G1142"/>
  <c r="F1142"/>
  <c r="E1142"/>
  <c r="D1142"/>
  <c r="C1142"/>
  <c r="B1142"/>
  <c r="A1142"/>
  <c r="K1141"/>
  <c r="J1141"/>
  <c r="I1141"/>
  <c r="H1141"/>
  <c r="G1141"/>
  <c r="F1141"/>
  <c r="E1141"/>
  <c r="D1141"/>
  <c r="C1141"/>
  <c r="B1141"/>
  <c r="A1141"/>
  <c r="K1140"/>
  <c r="J1140"/>
  <c r="I1140"/>
  <c r="H1140"/>
  <c r="G1140"/>
  <c r="F1140"/>
  <c r="E1140"/>
  <c r="D1140"/>
  <c r="C1140"/>
  <c r="B1140"/>
  <c r="A1140"/>
  <c r="K1139"/>
  <c r="J1139"/>
  <c r="I1139"/>
  <c r="H1139"/>
  <c r="G1139"/>
  <c r="F1139"/>
  <c r="E1139"/>
  <c r="D1139"/>
  <c r="C1139"/>
  <c r="B1139"/>
  <c r="A1139"/>
  <c r="K1138"/>
  <c r="J1138"/>
  <c r="I1138"/>
  <c r="H1138"/>
  <c r="G1138"/>
  <c r="F1138"/>
  <c r="E1138"/>
  <c r="D1138"/>
  <c r="C1138"/>
  <c r="B1138"/>
  <c r="A1138"/>
  <c r="K1137"/>
  <c r="J1137"/>
  <c r="I1137"/>
  <c r="H1137"/>
  <c r="G1137"/>
  <c r="F1137"/>
  <c r="E1137"/>
  <c r="D1137"/>
  <c r="C1137"/>
  <c r="B1137"/>
  <c r="A1137"/>
  <c r="K1136"/>
  <c r="J1136"/>
  <c r="I1136"/>
  <c r="H1136"/>
  <c r="G1136"/>
  <c r="F1136"/>
  <c r="E1136"/>
  <c r="D1136"/>
  <c r="C1136"/>
  <c r="B1136"/>
  <c r="A1136"/>
  <c r="K1135"/>
  <c r="J1135"/>
  <c r="I1135"/>
  <c r="H1135"/>
  <c r="G1135"/>
  <c r="F1135"/>
  <c r="E1135"/>
  <c r="D1135"/>
  <c r="C1135"/>
  <c r="B1135"/>
  <c r="A1135"/>
  <c r="K1134"/>
  <c r="J1134"/>
  <c r="I1134"/>
  <c r="H1134"/>
  <c r="G1134"/>
  <c r="F1134"/>
  <c r="E1134"/>
  <c r="D1134"/>
  <c r="C1134"/>
  <c r="B1134"/>
  <c r="A1134"/>
  <c r="K1133"/>
  <c r="J1133"/>
  <c r="I1133"/>
  <c r="H1133"/>
  <c r="G1133"/>
  <c r="F1133"/>
  <c r="E1133"/>
  <c r="D1133"/>
  <c r="C1133"/>
  <c r="B1133"/>
  <c r="A1133"/>
  <c r="K1132"/>
  <c r="J1132"/>
  <c r="I1132"/>
  <c r="H1132"/>
  <c r="G1132"/>
  <c r="F1132"/>
  <c r="E1132"/>
  <c r="D1132"/>
  <c r="C1132"/>
  <c r="B1132"/>
  <c r="A1132"/>
  <c r="K1131"/>
  <c r="J1131"/>
  <c r="I1131"/>
  <c r="H1131"/>
  <c r="G1131"/>
  <c r="F1131"/>
  <c r="E1131"/>
  <c r="D1131"/>
  <c r="C1131"/>
  <c r="B1131"/>
  <c r="A1131"/>
  <c r="K1130"/>
  <c r="J1130"/>
  <c r="I1130"/>
  <c r="H1130"/>
  <c r="G1130"/>
  <c r="F1130"/>
  <c r="E1130"/>
  <c r="D1130"/>
  <c r="C1130"/>
  <c r="B1130"/>
  <c r="A1130"/>
  <c r="K1129"/>
  <c r="J1129"/>
  <c r="I1129"/>
  <c r="H1129"/>
  <c r="G1129"/>
  <c r="F1129"/>
  <c r="E1129"/>
  <c r="D1129"/>
  <c r="C1129"/>
  <c r="B1129"/>
  <c r="A1129"/>
  <c r="K1128"/>
  <c r="J1128"/>
  <c r="I1128"/>
  <c r="H1128"/>
  <c r="G1128"/>
  <c r="F1128"/>
  <c r="E1128"/>
  <c r="D1128"/>
  <c r="C1128"/>
  <c r="B1128"/>
  <c r="A1128"/>
  <c r="K1127"/>
  <c r="J1127"/>
  <c r="I1127"/>
  <c r="H1127"/>
  <c r="G1127"/>
  <c r="F1127"/>
  <c r="E1127"/>
  <c r="D1127"/>
  <c r="C1127"/>
  <c r="B1127"/>
  <c r="A1127"/>
  <c r="K1126"/>
  <c r="J1126"/>
  <c r="I1126"/>
  <c r="H1126"/>
  <c r="G1126"/>
  <c r="F1126"/>
  <c r="E1126"/>
  <c r="D1126"/>
  <c r="C1126"/>
  <c r="B1126"/>
  <c r="A1126"/>
  <c r="K1125"/>
  <c r="J1125"/>
  <c r="I1125"/>
  <c r="H1125"/>
  <c r="G1125"/>
  <c r="F1125"/>
  <c r="E1125"/>
  <c r="D1125"/>
  <c r="C1125"/>
  <c r="B1125"/>
  <c r="A1125"/>
  <c r="K1124"/>
  <c r="J1124"/>
  <c r="I1124"/>
  <c r="H1124"/>
  <c r="G1124"/>
  <c r="F1124"/>
  <c r="E1124"/>
  <c r="D1124"/>
  <c r="C1124"/>
  <c r="B1124"/>
  <c r="A1124"/>
  <c r="K1123"/>
  <c r="J1123"/>
  <c r="I1123"/>
  <c r="H1123"/>
  <c r="G1123"/>
  <c r="F1123"/>
  <c r="E1123"/>
  <c r="D1123"/>
  <c r="C1123"/>
  <c r="B1123"/>
  <c r="A1123"/>
  <c r="K1122"/>
  <c r="J1122"/>
  <c r="I1122"/>
  <c r="H1122"/>
  <c r="G1122"/>
  <c r="F1122"/>
  <c r="E1122"/>
  <c r="D1122"/>
  <c r="C1122"/>
  <c r="B1122"/>
  <c r="A1122"/>
  <c r="K1121"/>
  <c r="J1121"/>
  <c r="I1121"/>
  <c r="H1121"/>
  <c r="G1121"/>
  <c r="F1121"/>
  <c r="E1121"/>
  <c r="D1121"/>
  <c r="C1121"/>
  <c r="B1121"/>
  <c r="A1121"/>
  <c r="K1120"/>
  <c r="J1120"/>
  <c r="I1120"/>
  <c r="H1120"/>
  <c r="G1120"/>
  <c r="F1120"/>
  <c r="E1120"/>
  <c r="D1120"/>
  <c r="C1120"/>
  <c r="B1120"/>
  <c r="A1120"/>
  <c r="K1119"/>
  <c r="J1119"/>
  <c r="I1119"/>
  <c r="H1119"/>
  <c r="G1119"/>
  <c r="F1119"/>
  <c r="E1119"/>
  <c r="D1119"/>
  <c r="C1119"/>
  <c r="B1119"/>
  <c r="A1119"/>
  <c r="K1118"/>
  <c r="J1118"/>
  <c r="I1118"/>
  <c r="H1118"/>
  <c r="G1118"/>
  <c r="F1118"/>
  <c r="E1118"/>
  <c r="D1118"/>
  <c r="C1118"/>
  <c r="B1118"/>
  <c r="A1118"/>
  <c r="K1117"/>
  <c r="J1117"/>
  <c r="I1117"/>
  <c r="H1117"/>
  <c r="G1117"/>
  <c r="F1117"/>
  <c r="E1117"/>
  <c r="D1117"/>
  <c r="C1117"/>
  <c r="B1117"/>
  <c r="A1117"/>
  <c r="K1116"/>
  <c r="J1116"/>
  <c r="I1116"/>
  <c r="H1116"/>
  <c r="G1116"/>
  <c r="F1116"/>
  <c r="E1116"/>
  <c r="D1116"/>
  <c r="C1116"/>
  <c r="B1116"/>
  <c r="A1116"/>
  <c r="K1115"/>
  <c r="J1115"/>
  <c r="I1115"/>
  <c r="H1115"/>
  <c r="G1115"/>
  <c r="F1115"/>
  <c r="E1115"/>
  <c r="D1115"/>
  <c r="C1115"/>
  <c r="B1115"/>
  <c r="A1115"/>
  <c r="K1114"/>
  <c r="J1114"/>
  <c r="I1114"/>
  <c r="H1114"/>
  <c r="G1114"/>
  <c r="F1114"/>
  <c r="E1114"/>
  <c r="D1114"/>
  <c r="C1114"/>
  <c r="B1114"/>
  <c r="A1114"/>
  <c r="K1113"/>
  <c r="J1113"/>
  <c r="I1113"/>
  <c r="H1113"/>
  <c r="G1113"/>
  <c r="F1113"/>
  <c r="E1113"/>
  <c r="D1113"/>
  <c r="C1113"/>
  <c r="B1113"/>
  <c r="A1113"/>
  <c r="K1112"/>
  <c r="J1112"/>
  <c r="I1112"/>
  <c r="H1112"/>
  <c r="G1112"/>
  <c r="F1112"/>
  <c r="E1112"/>
  <c r="D1112"/>
  <c r="C1112"/>
  <c r="B1112"/>
  <c r="A1112"/>
  <c r="K1111"/>
  <c r="J1111"/>
  <c r="I1111"/>
  <c r="H1111"/>
  <c r="G1111"/>
  <c r="F1111"/>
  <c r="E1111"/>
  <c r="D1111"/>
  <c r="C1111"/>
  <c r="B1111"/>
  <c r="A1111"/>
  <c r="K1110"/>
  <c r="J1110"/>
  <c r="I1110"/>
  <c r="H1110"/>
  <c r="G1110"/>
  <c r="F1110"/>
  <c r="E1110"/>
  <c r="D1110"/>
  <c r="C1110"/>
  <c r="B1110"/>
  <c r="A1110"/>
  <c r="K1109"/>
  <c r="J1109"/>
  <c r="I1109"/>
  <c r="H1109"/>
  <c r="G1109"/>
  <c r="F1109"/>
  <c r="E1109"/>
  <c r="D1109"/>
  <c r="C1109"/>
  <c r="B1109"/>
  <c r="A1109"/>
  <c r="K1108"/>
  <c r="J1108"/>
  <c r="I1108"/>
  <c r="H1108"/>
  <c r="G1108"/>
  <c r="F1108"/>
  <c r="E1108"/>
  <c r="D1108"/>
  <c r="C1108"/>
  <c r="B1108"/>
  <c r="A1108"/>
  <c r="K1107"/>
  <c r="J1107"/>
  <c r="I1107"/>
  <c r="H1107"/>
  <c r="G1107"/>
  <c r="F1107"/>
  <c r="E1107"/>
  <c r="D1107"/>
  <c r="C1107"/>
  <c r="B1107"/>
  <c r="A1107"/>
  <c r="K1106"/>
  <c r="J1106"/>
  <c r="I1106"/>
  <c r="H1106"/>
  <c r="G1106"/>
  <c r="F1106"/>
  <c r="E1106"/>
  <c r="D1106"/>
  <c r="C1106"/>
  <c r="B1106"/>
  <c r="A1106"/>
  <c r="K1105"/>
  <c r="J1105"/>
  <c r="I1105"/>
  <c r="H1105"/>
  <c r="G1105"/>
  <c r="F1105"/>
  <c r="E1105"/>
  <c r="D1105"/>
  <c r="C1105"/>
  <c r="B1105"/>
  <c r="A1105"/>
  <c r="K1104"/>
  <c r="J1104"/>
  <c r="I1104"/>
  <c r="H1104"/>
  <c r="G1104"/>
  <c r="F1104"/>
  <c r="E1104"/>
  <c r="D1104"/>
  <c r="C1104"/>
  <c r="B1104"/>
  <c r="A1104"/>
  <c r="K1103"/>
  <c r="J1103"/>
  <c r="I1103"/>
  <c r="H1103"/>
  <c r="G1103"/>
  <c r="F1103"/>
  <c r="E1103"/>
  <c r="D1103"/>
  <c r="C1103"/>
  <c r="B1103"/>
  <c r="A1103"/>
  <c r="K1102"/>
  <c r="J1102"/>
  <c r="I1102"/>
  <c r="H1102"/>
  <c r="G1102"/>
  <c r="F1102"/>
  <c r="E1102"/>
  <c r="D1102"/>
  <c r="C1102"/>
  <c r="B1102"/>
  <c r="A1102"/>
  <c r="K1101"/>
  <c r="J1101"/>
  <c r="I1101"/>
  <c r="H1101"/>
  <c r="G1101"/>
  <c r="F1101"/>
  <c r="E1101"/>
  <c r="D1101"/>
  <c r="C1101"/>
  <c r="B1101"/>
  <c r="A1101"/>
  <c r="K1100"/>
  <c r="J1100"/>
  <c r="I1100"/>
  <c r="H1100"/>
  <c r="G1100"/>
  <c r="F1100"/>
  <c r="E1100"/>
  <c r="D1100"/>
  <c r="C1100"/>
  <c r="B1100"/>
  <c r="A1100"/>
  <c r="K1099"/>
  <c r="J1099"/>
  <c r="I1099"/>
  <c r="H1099"/>
  <c r="G1099"/>
  <c r="F1099"/>
  <c r="E1099"/>
  <c r="D1099"/>
  <c r="C1099"/>
  <c r="B1099"/>
  <c r="A1099"/>
  <c r="K1098"/>
  <c r="J1098"/>
  <c r="I1098"/>
  <c r="H1098"/>
  <c r="G1098"/>
  <c r="F1098"/>
  <c r="E1098"/>
  <c r="D1098"/>
  <c r="C1098"/>
  <c r="B1098"/>
  <c r="A1098"/>
  <c r="K1097"/>
  <c r="J1097"/>
  <c r="I1097"/>
  <c r="H1097"/>
  <c r="G1097"/>
  <c r="F1097"/>
  <c r="E1097"/>
  <c r="D1097"/>
  <c r="C1097"/>
  <c r="B1097"/>
  <c r="A1097"/>
  <c r="K1096"/>
  <c r="J1096"/>
  <c r="I1096"/>
  <c r="H1096"/>
  <c r="G1096"/>
  <c r="F1096"/>
  <c r="E1096"/>
  <c r="D1096"/>
  <c r="C1096"/>
  <c r="B1096"/>
  <c r="A1096"/>
  <c r="K1095"/>
  <c r="J1095"/>
  <c r="I1095"/>
  <c r="H1095"/>
  <c r="G1095"/>
  <c r="F1095"/>
  <c r="E1095"/>
  <c r="D1095"/>
  <c r="C1095"/>
  <c r="B1095"/>
  <c r="A1095"/>
  <c r="K1094"/>
  <c r="J1094"/>
  <c r="I1094"/>
  <c r="H1094"/>
  <c r="G1094"/>
  <c r="F1094"/>
  <c r="E1094"/>
  <c r="D1094"/>
  <c r="C1094"/>
  <c r="B1094"/>
  <c r="A1094"/>
  <c r="K1093"/>
  <c r="J1093"/>
  <c r="I1093"/>
  <c r="H1093"/>
  <c r="G1093"/>
  <c r="F1093"/>
  <c r="E1093"/>
  <c r="D1093"/>
  <c r="C1093"/>
  <c r="B1093"/>
  <c r="A1093"/>
  <c r="K1092"/>
  <c r="J1092"/>
  <c r="I1092"/>
  <c r="H1092"/>
  <c r="G1092"/>
  <c r="F1092"/>
  <c r="E1092"/>
  <c r="D1092"/>
  <c r="C1092"/>
  <c r="B1092"/>
  <c r="A1092"/>
  <c r="K1091"/>
  <c r="J1091"/>
  <c r="I1091"/>
  <c r="H1091"/>
  <c r="G1091"/>
  <c r="F1091"/>
  <c r="E1091"/>
  <c r="D1091"/>
  <c r="C1091"/>
  <c r="B1091"/>
  <c r="A1091"/>
  <c r="K1090"/>
  <c r="J1090"/>
  <c r="I1090"/>
  <c r="H1090"/>
  <c r="G1090"/>
  <c r="F1090"/>
  <c r="E1090"/>
  <c r="D1090"/>
  <c r="C1090"/>
  <c r="B1090"/>
  <c r="A1090"/>
  <c r="K1089"/>
  <c r="J1089"/>
  <c r="I1089"/>
  <c r="H1089"/>
  <c r="G1089"/>
  <c r="F1089"/>
  <c r="E1089"/>
  <c r="D1089"/>
  <c r="C1089"/>
  <c r="B1089"/>
  <c r="A1089"/>
  <c r="K1088"/>
  <c r="J1088"/>
  <c r="I1088"/>
  <c r="H1088"/>
  <c r="G1088"/>
  <c r="F1088"/>
  <c r="E1088"/>
  <c r="D1088"/>
  <c r="C1088"/>
  <c r="B1088"/>
  <c r="A1088"/>
  <c r="K1087"/>
  <c r="J1087"/>
  <c r="I1087"/>
  <c r="H1087"/>
  <c r="G1087"/>
  <c r="F1087"/>
  <c r="E1087"/>
  <c r="D1087"/>
  <c r="C1087"/>
  <c r="B1087"/>
  <c r="A1087"/>
  <c r="K1086"/>
  <c r="J1086"/>
  <c r="I1086"/>
  <c r="H1086"/>
  <c r="G1086"/>
  <c r="F1086"/>
  <c r="E1086"/>
  <c r="D1086"/>
  <c r="C1086"/>
  <c r="B1086"/>
  <c r="A1086"/>
  <c r="K1085"/>
  <c r="J1085"/>
  <c r="I1085"/>
  <c r="H1085"/>
  <c r="G1085"/>
  <c r="F1085"/>
  <c r="E1085"/>
  <c r="D1085"/>
  <c r="C1085"/>
  <c r="B1085"/>
  <c r="A1085"/>
  <c r="K1084"/>
  <c r="J1084"/>
  <c r="I1084"/>
  <c r="H1084"/>
  <c r="G1084"/>
  <c r="F1084"/>
  <c r="E1084"/>
  <c r="D1084"/>
  <c r="C1084"/>
  <c r="B1084"/>
  <c r="A1084"/>
  <c r="K1083"/>
  <c r="J1083"/>
  <c r="I1083"/>
  <c r="H1083"/>
  <c r="G1083"/>
  <c r="F1083"/>
  <c r="E1083"/>
  <c r="D1083"/>
  <c r="C1083"/>
  <c r="B1083"/>
  <c r="A1083"/>
  <c r="K1082"/>
  <c r="J1082"/>
  <c r="I1082"/>
  <c r="H1082"/>
  <c r="G1082"/>
  <c r="F1082"/>
  <c r="E1082"/>
  <c r="D1082"/>
  <c r="C1082"/>
  <c r="B1082"/>
  <c r="A1082"/>
  <c r="K1081"/>
  <c r="J1081"/>
  <c r="I1081"/>
  <c r="H1081"/>
  <c r="G1081"/>
  <c r="F1081"/>
  <c r="E1081"/>
  <c r="D1081"/>
  <c r="C1081"/>
  <c r="B1081"/>
  <c r="A1081"/>
  <c r="K1080"/>
  <c r="J1080"/>
  <c r="I1080"/>
  <c r="H1080"/>
  <c r="G1080"/>
  <c r="F1080"/>
  <c r="E1080"/>
  <c r="D1080"/>
  <c r="C1080"/>
  <c r="B1080"/>
  <c r="A1080"/>
  <c r="K1079"/>
  <c r="J1079"/>
  <c r="I1079"/>
  <c r="H1079"/>
  <c r="G1079"/>
  <c r="F1079"/>
  <c r="E1079"/>
  <c r="D1079"/>
  <c r="C1079"/>
  <c r="B1079"/>
  <c r="A1079"/>
  <c r="K1078"/>
  <c r="J1078"/>
  <c r="I1078"/>
  <c r="H1078"/>
  <c r="G1078"/>
  <c r="F1078"/>
  <c r="E1078"/>
  <c r="D1078"/>
  <c r="C1078"/>
  <c r="B1078"/>
  <c r="A1078"/>
  <c r="K1077"/>
  <c r="J1077"/>
  <c r="I1077"/>
  <c r="H1077"/>
  <c r="G1077"/>
  <c r="F1077"/>
  <c r="E1077"/>
  <c r="D1077"/>
  <c r="C1077"/>
  <c r="B1077"/>
  <c r="A1077"/>
  <c r="K1076"/>
  <c r="J1076"/>
  <c r="I1076"/>
  <c r="H1076"/>
  <c r="G1076"/>
  <c r="F1076"/>
  <c r="E1076"/>
  <c r="D1076"/>
  <c r="C1076"/>
  <c r="B1076"/>
  <c r="A1076"/>
  <c r="K1075"/>
  <c r="J1075"/>
  <c r="I1075"/>
  <c r="H1075"/>
  <c r="G1075"/>
  <c r="F1075"/>
  <c r="E1075"/>
  <c r="D1075"/>
  <c r="C1075"/>
  <c r="B1075"/>
  <c r="A1075"/>
  <c r="K1074"/>
  <c r="J1074"/>
  <c r="I1074"/>
  <c r="H1074"/>
  <c r="G1074"/>
  <c r="F1074"/>
  <c r="E1074"/>
  <c r="D1074"/>
  <c r="C1074"/>
  <c r="B1074"/>
  <c r="A1074"/>
  <c r="K1073"/>
  <c r="J1073"/>
  <c r="I1073"/>
  <c r="H1073"/>
  <c r="G1073"/>
  <c r="F1073"/>
  <c r="E1073"/>
  <c r="D1073"/>
  <c r="C1073"/>
  <c r="B1073"/>
  <c r="A1073"/>
  <c r="K1072"/>
  <c r="J1072"/>
  <c r="I1072"/>
  <c r="H1072"/>
  <c r="G1072"/>
  <c r="F1072"/>
  <c r="E1072"/>
  <c r="D1072"/>
  <c r="C1072"/>
  <c r="B1072"/>
  <c r="A1072"/>
  <c r="K1071"/>
  <c r="J1071"/>
  <c r="I1071"/>
  <c r="H1071"/>
  <c r="G1071"/>
  <c r="F1071"/>
  <c r="E1071"/>
  <c r="D1071"/>
  <c r="C1071"/>
  <c r="B1071"/>
  <c r="A1071"/>
  <c r="K1070"/>
  <c r="J1070"/>
  <c r="I1070"/>
  <c r="H1070"/>
  <c r="G1070"/>
  <c r="F1070"/>
  <c r="E1070"/>
  <c r="D1070"/>
  <c r="C1070"/>
  <c r="B1070"/>
  <c r="A1070"/>
  <c r="K1069"/>
  <c r="J1069"/>
  <c r="I1069"/>
  <c r="H1069"/>
  <c r="G1069"/>
  <c r="F1069"/>
  <c r="E1069"/>
  <c r="D1069"/>
  <c r="C1069"/>
  <c r="B1069"/>
  <c r="A1069"/>
  <c r="K1068"/>
  <c r="J1068"/>
  <c r="I1068"/>
  <c r="H1068"/>
  <c r="G1068"/>
  <c r="F1068"/>
  <c r="E1068"/>
  <c r="D1068"/>
  <c r="C1068"/>
  <c r="B1068"/>
  <c r="A1068"/>
  <c r="K1067"/>
  <c r="J1067"/>
  <c r="I1067"/>
  <c r="H1067"/>
  <c r="G1067"/>
  <c r="F1067"/>
  <c r="E1067"/>
  <c r="D1067"/>
  <c r="C1067"/>
  <c r="B1067"/>
  <c r="A1067"/>
  <c r="K1066"/>
  <c r="J1066"/>
  <c r="I1066"/>
  <c r="H1066"/>
  <c r="G1066"/>
  <c r="F1066"/>
  <c r="E1066"/>
  <c r="D1066"/>
  <c r="C1066"/>
  <c r="B1066"/>
  <c r="A1066"/>
  <c r="K1065"/>
  <c r="J1065"/>
  <c r="I1065"/>
  <c r="H1065"/>
  <c r="G1065"/>
  <c r="F1065"/>
  <c r="E1065"/>
  <c r="D1065"/>
  <c r="C1065"/>
  <c r="B1065"/>
  <c r="A1065"/>
  <c r="K1064"/>
  <c r="J1064"/>
  <c r="I1064"/>
  <c r="H1064"/>
  <c r="G1064"/>
  <c r="F1064"/>
  <c r="E1064"/>
  <c r="D1064"/>
  <c r="C1064"/>
  <c r="B1064"/>
  <c r="A1064"/>
  <c r="K1063"/>
  <c r="J1063"/>
  <c r="I1063"/>
  <c r="H1063"/>
  <c r="G1063"/>
  <c r="F1063"/>
  <c r="E1063"/>
  <c r="D1063"/>
  <c r="C1063"/>
  <c r="B1063"/>
  <c r="A1063"/>
  <c r="K1062"/>
  <c r="J1062"/>
  <c r="I1062"/>
  <c r="H1062"/>
  <c r="G1062"/>
  <c r="F1062"/>
  <c r="E1062"/>
  <c r="D1062"/>
  <c r="C1062"/>
  <c r="B1062"/>
  <c r="A1062"/>
  <c r="K1061"/>
  <c r="J1061"/>
  <c r="I1061"/>
  <c r="H1061"/>
  <c r="G1061"/>
  <c r="F1061"/>
  <c r="E1061"/>
  <c r="D1061"/>
  <c r="C1061"/>
  <c r="B1061"/>
  <c r="A1061"/>
  <c r="K1060"/>
  <c r="J1060"/>
  <c r="I1060"/>
  <c r="H1060"/>
  <c r="G1060"/>
  <c r="F1060"/>
  <c r="E1060"/>
  <c r="D1060"/>
  <c r="C1060"/>
  <c r="B1060"/>
  <c r="A1060"/>
  <c r="K1059"/>
  <c r="J1059"/>
  <c r="I1059"/>
  <c r="H1059"/>
  <c r="G1059"/>
  <c r="F1059"/>
  <c r="E1059"/>
  <c r="D1059"/>
  <c r="C1059"/>
  <c r="B1059"/>
  <c r="A1059"/>
  <c r="K1058"/>
  <c r="J1058"/>
  <c r="I1058"/>
  <c r="H1058"/>
  <c r="G1058"/>
  <c r="F1058"/>
  <c r="E1058"/>
  <c r="D1058"/>
  <c r="C1058"/>
  <c r="B1058"/>
  <c r="A1058"/>
  <c r="K1057"/>
  <c r="J1057"/>
  <c r="I1057"/>
  <c r="H1057"/>
  <c r="G1057"/>
  <c r="F1057"/>
  <c r="E1057"/>
  <c r="D1057"/>
  <c r="C1057"/>
  <c r="B1057"/>
  <c r="A1057"/>
  <c r="K1056"/>
  <c r="J1056"/>
  <c r="I1056"/>
  <c r="H1056"/>
  <c r="G1056"/>
  <c r="F1056"/>
  <c r="E1056"/>
  <c r="D1056"/>
  <c r="C1056"/>
  <c r="B1056"/>
  <c r="A1056"/>
  <c r="K1055"/>
  <c r="J1055"/>
  <c r="I1055"/>
  <c r="H1055"/>
  <c r="G1055"/>
  <c r="F1055"/>
  <c r="E1055"/>
  <c r="D1055"/>
  <c r="C1055"/>
  <c r="B1055"/>
  <c r="A1055"/>
  <c r="K1054"/>
  <c r="J1054"/>
  <c r="I1054"/>
  <c r="H1054"/>
  <c r="G1054"/>
  <c r="F1054"/>
  <c r="E1054"/>
  <c r="D1054"/>
  <c r="C1054"/>
  <c r="B1054"/>
  <c r="A1054"/>
  <c r="K1053"/>
  <c r="J1053"/>
  <c r="I1053"/>
  <c r="H1053"/>
  <c r="G1053"/>
  <c r="F1053"/>
  <c r="E1053"/>
  <c r="D1053"/>
  <c r="C1053"/>
  <c r="B1053"/>
  <c r="A1053"/>
  <c r="K1052"/>
  <c r="J1052"/>
  <c r="I1052"/>
  <c r="H1052"/>
  <c r="G1052"/>
  <c r="F1052"/>
  <c r="E1052"/>
  <c r="D1052"/>
  <c r="C1052"/>
  <c r="B1052"/>
  <c r="A1052"/>
  <c r="K1051"/>
  <c r="J1051"/>
  <c r="I1051"/>
  <c r="H1051"/>
  <c r="G1051"/>
  <c r="F1051"/>
  <c r="E1051"/>
  <c r="D1051"/>
  <c r="C1051"/>
  <c r="B1051"/>
  <c r="A1051"/>
  <c r="K1050"/>
  <c r="J1050"/>
  <c r="I1050"/>
  <c r="H1050"/>
  <c r="G1050"/>
  <c r="F1050"/>
  <c r="E1050"/>
  <c r="D1050"/>
  <c r="C1050"/>
  <c r="B1050"/>
  <c r="A1050"/>
  <c r="K1049"/>
  <c r="J1049"/>
  <c r="I1049"/>
  <c r="H1049"/>
  <c r="G1049"/>
  <c r="F1049"/>
  <c r="E1049"/>
  <c r="D1049"/>
  <c r="C1049"/>
  <c r="B1049"/>
  <c r="A1049"/>
  <c r="K1048"/>
  <c r="J1048"/>
  <c r="I1048"/>
  <c r="H1048"/>
  <c r="G1048"/>
  <c r="F1048"/>
  <c r="E1048"/>
  <c r="D1048"/>
  <c r="C1048"/>
  <c r="B1048"/>
  <c r="A1048"/>
  <c r="K1047"/>
  <c r="J1047"/>
  <c r="I1047"/>
  <c r="H1047"/>
  <c r="G1047"/>
  <c r="F1047"/>
  <c r="E1047"/>
  <c r="D1047"/>
  <c r="C1047"/>
  <c r="B1047"/>
  <c r="A1047"/>
  <c r="K1046"/>
  <c r="J1046"/>
  <c r="I1046"/>
  <c r="H1046"/>
  <c r="G1046"/>
  <c r="F1046"/>
  <c r="E1046"/>
  <c r="D1046"/>
  <c r="C1046"/>
  <c r="B1046"/>
  <c r="A1046"/>
  <c r="K1045"/>
  <c r="J1045"/>
  <c r="I1045"/>
  <c r="H1045"/>
  <c r="G1045"/>
  <c r="F1045"/>
  <c r="E1045"/>
  <c r="D1045"/>
  <c r="C1045"/>
  <c r="B1045"/>
  <c r="A1045"/>
  <c r="K1044"/>
  <c r="J1044"/>
  <c r="I1044"/>
  <c r="H1044"/>
  <c r="G1044"/>
  <c r="F1044"/>
  <c r="E1044"/>
  <c r="D1044"/>
  <c r="C1044"/>
  <c r="B1044"/>
  <c r="A1044"/>
  <c r="K1043"/>
  <c r="J1043"/>
  <c r="I1043"/>
  <c r="H1043"/>
  <c r="G1043"/>
  <c r="F1043"/>
  <c r="E1043"/>
  <c r="D1043"/>
  <c r="C1043"/>
  <c r="B1043"/>
  <c r="A1043"/>
  <c r="K1042"/>
  <c r="J1042"/>
  <c r="I1042"/>
  <c r="H1042"/>
  <c r="G1042"/>
  <c r="F1042"/>
  <c r="E1042"/>
  <c r="D1042"/>
  <c r="C1042"/>
  <c r="B1042"/>
  <c r="A1042"/>
  <c r="K1041"/>
  <c r="J1041"/>
  <c r="I1041"/>
  <c r="H1041"/>
  <c r="G1041"/>
  <c r="F1041"/>
  <c r="E1041"/>
  <c r="D1041"/>
  <c r="C1041"/>
  <c r="B1041"/>
  <c r="A1041"/>
  <c r="K1040"/>
  <c r="J1040"/>
  <c r="I1040"/>
  <c r="H1040"/>
  <c r="G1040"/>
  <c r="F1040"/>
  <c r="E1040"/>
  <c r="D1040"/>
  <c r="C1040"/>
  <c r="B1040"/>
  <c r="A1040"/>
  <c r="K1039"/>
  <c r="J1039"/>
  <c r="I1039"/>
  <c r="H1039"/>
  <c r="G1039"/>
  <c r="F1039"/>
  <c r="E1039"/>
  <c r="D1039"/>
  <c r="C1039"/>
  <c r="B1039"/>
  <c r="A1039"/>
  <c r="K1038"/>
  <c r="J1038"/>
  <c r="I1038"/>
  <c r="H1038"/>
  <c r="G1038"/>
  <c r="F1038"/>
  <c r="E1038"/>
  <c r="D1038"/>
  <c r="C1038"/>
  <c r="B1038"/>
  <c r="A1038"/>
  <c r="K1037"/>
  <c r="J1037"/>
  <c r="I1037"/>
  <c r="H1037"/>
  <c r="G1037"/>
  <c r="F1037"/>
  <c r="E1037"/>
  <c r="D1037"/>
  <c r="C1037"/>
  <c r="B1037"/>
  <c r="A1037"/>
  <c r="K1036"/>
  <c r="J1036"/>
  <c r="I1036"/>
  <c r="H1036"/>
  <c r="G1036"/>
  <c r="F1036"/>
  <c r="E1036"/>
  <c r="D1036"/>
  <c r="C1036"/>
  <c r="B1036"/>
  <c r="A1036"/>
  <c r="K1035"/>
  <c r="J1035"/>
  <c r="I1035"/>
  <c r="H1035"/>
  <c r="G1035"/>
  <c r="F1035"/>
  <c r="E1035"/>
  <c r="D1035"/>
  <c r="C1035"/>
  <c r="B1035"/>
  <c r="A1035"/>
  <c r="K1034"/>
  <c r="J1034"/>
  <c r="I1034"/>
  <c r="H1034"/>
  <c r="G1034"/>
  <c r="F1034"/>
  <c r="E1034"/>
  <c r="D1034"/>
  <c r="C1034"/>
  <c r="B1034"/>
  <c r="A1034"/>
  <c r="K1033"/>
  <c r="J1033"/>
  <c r="I1033"/>
  <c r="H1033"/>
  <c r="G1033"/>
  <c r="F1033"/>
  <c r="E1033"/>
  <c r="D1033"/>
  <c r="C1033"/>
  <c r="B1033"/>
  <c r="A1033"/>
  <c r="K1032"/>
  <c r="J1032"/>
  <c r="I1032"/>
  <c r="H1032"/>
  <c r="G1032"/>
  <c r="F1032"/>
  <c r="E1032"/>
  <c r="D1032"/>
  <c r="C1032"/>
  <c r="B1032"/>
  <c r="A1032"/>
  <c r="K1031"/>
  <c r="J1031"/>
  <c r="I1031"/>
  <c r="H1031"/>
  <c r="G1031"/>
  <c r="F1031"/>
  <c r="E1031"/>
  <c r="D1031"/>
  <c r="C1031"/>
  <c r="B1031"/>
  <c r="A1031"/>
  <c r="K1030"/>
  <c r="J1030"/>
  <c r="I1030"/>
  <c r="H1030"/>
  <c r="G1030"/>
  <c r="F1030"/>
  <c r="E1030"/>
  <c r="D1030"/>
  <c r="C1030"/>
  <c r="B1030"/>
  <c r="A1030"/>
  <c r="K1029"/>
  <c r="J1029"/>
  <c r="I1029"/>
  <c r="H1029"/>
  <c r="G1029"/>
  <c r="F1029"/>
  <c r="E1029"/>
  <c r="D1029"/>
  <c r="C1029"/>
  <c r="B1029"/>
  <c r="A1029"/>
  <c r="K1028"/>
  <c r="J1028"/>
  <c r="I1028"/>
  <c r="H1028"/>
  <c r="G1028"/>
  <c r="F1028"/>
  <c r="E1028"/>
  <c r="D1028"/>
  <c r="C1028"/>
  <c r="B1028"/>
  <c r="A1028"/>
  <c r="K1027"/>
  <c r="J1027"/>
  <c r="I1027"/>
  <c r="H1027"/>
  <c r="G1027"/>
  <c r="F1027"/>
  <c r="E1027"/>
  <c r="D1027"/>
  <c r="C1027"/>
  <c r="B1027"/>
  <c r="A1027"/>
  <c r="K1026"/>
  <c r="J1026"/>
  <c r="I1026"/>
  <c r="H1026"/>
  <c r="G1026"/>
  <c r="F1026"/>
  <c r="E1026"/>
  <c r="D1026"/>
  <c r="C1026"/>
  <c r="B1026"/>
  <c r="A1026"/>
  <c r="K1025"/>
  <c r="J1025"/>
  <c r="I1025"/>
  <c r="H1025"/>
  <c r="G1025"/>
  <c r="F1025"/>
  <c r="E1025"/>
  <c r="D1025"/>
  <c r="C1025"/>
  <c r="B1025"/>
  <c r="A1025"/>
  <c r="K1024"/>
  <c r="J1024"/>
  <c r="I1024"/>
  <c r="H1024"/>
  <c r="G1024"/>
  <c r="F1024"/>
  <c r="E1024"/>
  <c r="D1024"/>
  <c r="C1024"/>
  <c r="B1024"/>
  <c r="A1024"/>
  <c r="K1023"/>
  <c r="J1023"/>
  <c r="I1023"/>
  <c r="H1023"/>
  <c r="G1023"/>
  <c r="F1023"/>
  <c r="E1023"/>
  <c r="D1023"/>
  <c r="C1023"/>
  <c r="B1023"/>
  <c r="A1023"/>
  <c r="K1022"/>
  <c r="J1022"/>
  <c r="I1022"/>
  <c r="H1022"/>
  <c r="G1022"/>
  <c r="F1022"/>
  <c r="E1022"/>
  <c r="D1022"/>
  <c r="C1022"/>
  <c r="B1022"/>
  <c r="A1022"/>
  <c r="K1021"/>
  <c r="J1021"/>
  <c r="I1021"/>
  <c r="H1021"/>
  <c r="G1021"/>
  <c r="F1021"/>
  <c r="E1021"/>
  <c r="D1021"/>
  <c r="C1021"/>
  <c r="B1021"/>
  <c r="A1021"/>
  <c r="K1020"/>
  <c r="J1020"/>
  <c r="I1020"/>
  <c r="H1020"/>
  <c r="G1020"/>
  <c r="F1020"/>
  <c r="E1020"/>
  <c r="D1020"/>
  <c r="C1020"/>
  <c r="B1020"/>
  <c r="A1020"/>
  <c r="K1019"/>
  <c r="J1019"/>
  <c r="I1019"/>
  <c r="H1019"/>
  <c r="G1019"/>
  <c r="F1019"/>
  <c r="E1019"/>
  <c r="D1019"/>
  <c r="C1019"/>
  <c r="B1019"/>
  <c r="A1019"/>
  <c r="K1018"/>
  <c r="J1018"/>
  <c r="I1018"/>
  <c r="H1018"/>
  <c r="G1018"/>
  <c r="F1018"/>
  <c r="E1018"/>
  <c r="D1018"/>
  <c r="C1018"/>
  <c r="B1018"/>
  <c r="A1018"/>
  <c r="K1017"/>
  <c r="J1017"/>
  <c r="I1017"/>
  <c r="H1017"/>
  <c r="G1017"/>
  <c r="F1017"/>
  <c r="E1017"/>
  <c r="D1017"/>
  <c r="C1017"/>
  <c r="B1017"/>
  <c r="A1017"/>
  <c r="K1016"/>
  <c r="J1016"/>
  <c r="I1016"/>
  <c r="H1016"/>
  <c r="G1016"/>
  <c r="F1016"/>
  <c r="E1016"/>
  <c r="D1016"/>
  <c r="C1016"/>
  <c r="B1016"/>
  <c r="A1016"/>
  <c r="K1015"/>
  <c r="J1015"/>
  <c r="I1015"/>
  <c r="H1015"/>
  <c r="G1015"/>
  <c r="F1015"/>
  <c r="E1015"/>
  <c r="D1015"/>
  <c r="C1015"/>
  <c r="B1015"/>
  <c r="A1015"/>
  <c r="K1014"/>
  <c r="J1014"/>
  <c r="I1014"/>
  <c r="H1014"/>
  <c r="G1014"/>
  <c r="F1014"/>
  <c r="E1014"/>
  <c r="D1014"/>
  <c r="C1014"/>
  <c r="B1014"/>
  <c r="A1014"/>
  <c r="K1013"/>
  <c r="J1013"/>
  <c r="I1013"/>
  <c r="H1013"/>
  <c r="G1013"/>
  <c r="F1013"/>
  <c r="E1013"/>
  <c r="D1013"/>
  <c r="C1013"/>
  <c r="B1013"/>
  <c r="A1013"/>
  <c r="K1012"/>
  <c r="J1012"/>
  <c r="I1012"/>
  <c r="H1012"/>
  <c r="G1012"/>
  <c r="F1012"/>
  <c r="E1012"/>
  <c r="D1012"/>
  <c r="C1012"/>
  <c r="B1012"/>
  <c r="A1012"/>
  <c r="K1011"/>
  <c r="J1011"/>
  <c r="I1011"/>
  <c r="H1011"/>
  <c r="G1011"/>
  <c r="F1011"/>
  <c r="E1011"/>
  <c r="D1011"/>
  <c r="C1011"/>
  <c r="B1011"/>
  <c r="A1011"/>
  <c r="K1010"/>
  <c r="J1010"/>
  <c r="I1010"/>
  <c r="H1010"/>
  <c r="G1010"/>
  <c r="F1010"/>
  <c r="E1010"/>
  <c r="D1010"/>
  <c r="C1010"/>
  <c r="B1010"/>
  <c r="A1010"/>
  <c r="K1009"/>
  <c r="J1009"/>
  <c r="I1009"/>
  <c r="H1009"/>
  <c r="G1009"/>
  <c r="F1009"/>
  <c r="E1009"/>
  <c r="D1009"/>
  <c r="C1009"/>
  <c r="B1009"/>
  <c r="A1009"/>
  <c r="K1008"/>
  <c r="J1008"/>
  <c r="I1008"/>
  <c r="H1008"/>
  <c r="G1008"/>
  <c r="F1008"/>
  <c r="E1008"/>
  <c r="D1008"/>
  <c r="C1008"/>
  <c r="B1008"/>
  <c r="A1008"/>
  <c r="K1007"/>
  <c r="J1007"/>
  <c r="I1007"/>
  <c r="H1007"/>
  <c r="G1007"/>
  <c r="F1007"/>
  <c r="E1007"/>
  <c r="D1007"/>
  <c r="C1007"/>
  <c r="B1007"/>
  <c r="A1007"/>
  <c r="K1006"/>
  <c r="J1006"/>
  <c r="I1006"/>
  <c r="H1006"/>
  <c r="G1006"/>
  <c r="F1006"/>
  <c r="E1006"/>
  <c r="D1006"/>
  <c r="C1006"/>
  <c r="B1006"/>
  <c r="A1006"/>
  <c r="K1005"/>
  <c r="J1005"/>
  <c r="I1005"/>
  <c r="H1005"/>
  <c r="G1005"/>
  <c r="F1005"/>
  <c r="E1005"/>
  <c r="D1005"/>
  <c r="C1005"/>
  <c r="B1005"/>
  <c r="A1005"/>
  <c r="K1004"/>
  <c r="J1004"/>
  <c r="I1004"/>
  <c r="H1004"/>
  <c r="G1004"/>
  <c r="F1004"/>
  <c r="E1004"/>
  <c r="D1004"/>
  <c r="C1004"/>
  <c r="B1004"/>
  <c r="A1004"/>
  <c r="K1003"/>
  <c r="J1003"/>
  <c r="I1003"/>
  <c r="H1003"/>
  <c r="G1003"/>
  <c r="F1003"/>
  <c r="E1003"/>
  <c r="D1003"/>
  <c r="C1003"/>
  <c r="B1003"/>
  <c r="A1003"/>
  <c r="K1002"/>
  <c r="J1002"/>
  <c r="I1002"/>
  <c r="H1002"/>
  <c r="G1002"/>
  <c r="F1002"/>
  <c r="E1002"/>
  <c r="D1002"/>
  <c r="C1002"/>
  <c r="B1002"/>
  <c r="A1002"/>
  <c r="K1001"/>
  <c r="J1001"/>
  <c r="I1001"/>
  <c r="H1001"/>
  <c r="G1001"/>
  <c r="F1001"/>
  <c r="E1001"/>
  <c r="D1001"/>
  <c r="C1001"/>
  <c r="B1001"/>
  <c r="A1001"/>
  <c r="K1000"/>
  <c r="J1000"/>
  <c r="I1000"/>
  <c r="H1000"/>
  <c r="G1000"/>
  <c r="F1000"/>
  <c r="E1000"/>
  <c r="D1000"/>
  <c r="C1000"/>
  <c r="B1000"/>
  <c r="A1000"/>
  <c r="K999"/>
  <c r="J999"/>
  <c r="I999"/>
  <c r="H999"/>
  <c r="G999"/>
  <c r="F999"/>
  <c r="E999"/>
  <c r="D999"/>
  <c r="C999"/>
  <c r="B999"/>
  <c r="A999"/>
  <c r="K998"/>
  <c r="J998"/>
  <c r="I998"/>
  <c r="H998"/>
  <c r="G998"/>
  <c r="F998"/>
  <c r="E998"/>
  <c r="D998"/>
  <c r="C998"/>
  <c r="B998"/>
  <c r="A998"/>
  <c r="K997"/>
  <c r="J997"/>
  <c r="I997"/>
  <c r="H997"/>
  <c r="G997"/>
  <c r="F997"/>
  <c r="E997"/>
  <c r="D997"/>
  <c r="C997"/>
  <c r="B997"/>
  <c r="A997"/>
  <c r="K996"/>
  <c r="J996"/>
  <c r="I996"/>
  <c r="H996"/>
  <c r="G996"/>
  <c r="F996"/>
  <c r="E996"/>
  <c r="D996"/>
  <c r="C996"/>
  <c r="B996"/>
  <c r="A996"/>
  <c r="K995"/>
  <c r="J995"/>
  <c r="I995"/>
  <c r="H995"/>
  <c r="G995"/>
  <c r="F995"/>
  <c r="E995"/>
  <c r="D995"/>
  <c r="C995"/>
  <c r="B995"/>
  <c r="A995"/>
  <c r="K994"/>
  <c r="J994"/>
  <c r="I994"/>
  <c r="H994"/>
  <c r="G994"/>
  <c r="F994"/>
  <c r="E994"/>
  <c r="D994"/>
  <c r="C994"/>
  <c r="B994"/>
  <c r="A994"/>
  <c r="K993"/>
  <c r="J993"/>
  <c r="I993"/>
  <c r="H993"/>
  <c r="G993"/>
  <c r="F993"/>
  <c r="E993"/>
  <c r="D993"/>
  <c r="C993"/>
  <c r="B993"/>
  <c r="A993"/>
  <c r="K992"/>
  <c r="J992"/>
  <c r="I992"/>
  <c r="H992"/>
  <c r="G992"/>
  <c r="F992"/>
  <c r="E992"/>
  <c r="D992"/>
  <c r="C992"/>
  <c r="B992"/>
  <c r="A992"/>
  <c r="K991"/>
  <c r="J991"/>
  <c r="I991"/>
  <c r="H991"/>
  <c r="G991"/>
  <c r="F991"/>
  <c r="E991"/>
  <c r="D991"/>
  <c r="C991"/>
  <c r="B991"/>
  <c r="A991"/>
  <c r="K990"/>
  <c r="J990"/>
  <c r="I990"/>
  <c r="H990"/>
  <c r="G990"/>
  <c r="F990"/>
  <c r="E990"/>
  <c r="D990"/>
  <c r="C990"/>
  <c r="B990"/>
  <c r="A990"/>
  <c r="K989"/>
  <c r="J989"/>
  <c r="I989"/>
  <c r="H989"/>
  <c r="G989"/>
  <c r="F989"/>
  <c r="E989"/>
  <c r="D989"/>
  <c r="C989"/>
  <c r="B989"/>
  <c r="A989"/>
  <c r="K988"/>
  <c r="J988"/>
  <c r="I988"/>
  <c r="H988"/>
  <c r="G988"/>
  <c r="F988"/>
  <c r="E988"/>
  <c r="D988"/>
  <c r="C988"/>
  <c r="B988"/>
  <c r="A988"/>
  <c r="K987"/>
  <c r="J987"/>
  <c r="I987"/>
  <c r="H987"/>
  <c r="G987"/>
  <c r="F987"/>
  <c r="E987"/>
  <c r="D987"/>
  <c r="C987"/>
  <c r="B987"/>
  <c r="A987"/>
  <c r="K986"/>
  <c r="J986"/>
  <c r="I986"/>
  <c r="H986"/>
  <c r="G986"/>
  <c r="F986"/>
  <c r="E986"/>
  <c r="D986"/>
  <c r="C986"/>
  <c r="B986"/>
  <c r="A986"/>
  <c r="K985"/>
  <c r="J985"/>
  <c r="I985"/>
  <c r="H985"/>
  <c r="G985"/>
  <c r="F985"/>
  <c r="E985"/>
  <c r="D985"/>
  <c r="C985"/>
  <c r="B985"/>
  <c r="A985"/>
  <c r="K984"/>
  <c r="J984"/>
  <c r="I984"/>
  <c r="H984"/>
  <c r="G984"/>
  <c r="F984"/>
  <c r="E984"/>
  <c r="D984"/>
  <c r="C984"/>
  <c r="B984"/>
  <c r="A984"/>
  <c r="K983"/>
  <c r="J983"/>
  <c r="I983"/>
  <c r="H983"/>
  <c r="G983"/>
  <c r="F983"/>
  <c r="E983"/>
  <c r="D983"/>
  <c r="C983"/>
  <c r="B983"/>
  <c r="A983"/>
  <c r="K982"/>
  <c r="J982"/>
  <c r="I982"/>
  <c r="H982"/>
  <c r="G982"/>
  <c r="F982"/>
  <c r="E982"/>
  <c r="D982"/>
  <c r="C982"/>
  <c r="B982"/>
  <c r="A982"/>
  <c r="K981"/>
  <c r="J981"/>
  <c r="I981"/>
  <c r="H981"/>
  <c r="G981"/>
  <c r="F981"/>
  <c r="E981"/>
  <c r="D981"/>
  <c r="C981"/>
  <c r="B981"/>
  <c r="A981"/>
  <c r="K980"/>
  <c r="J980"/>
  <c r="I980"/>
  <c r="H980"/>
  <c r="G980"/>
  <c r="F980"/>
  <c r="E980"/>
  <c r="D980"/>
  <c r="C980"/>
  <c r="B980"/>
  <c r="A980"/>
  <c r="K979"/>
  <c r="J979"/>
  <c r="I979"/>
  <c r="H979"/>
  <c r="G979"/>
  <c r="F979"/>
  <c r="E979"/>
  <c r="D979"/>
  <c r="C979"/>
  <c r="B979"/>
  <c r="A979"/>
  <c r="K978"/>
  <c r="J978"/>
  <c r="I978"/>
  <c r="H978"/>
  <c r="G978"/>
  <c r="F978"/>
  <c r="E978"/>
  <c r="D978"/>
  <c r="C978"/>
  <c r="B978"/>
  <c r="A978"/>
  <c r="K977"/>
  <c r="J977"/>
  <c r="I977"/>
  <c r="H977"/>
  <c r="G977"/>
  <c r="F977"/>
  <c r="E977"/>
  <c r="D977"/>
  <c r="C977"/>
  <c r="B977"/>
  <c r="A977"/>
  <c r="K976"/>
  <c r="J976"/>
  <c r="I976"/>
  <c r="H976"/>
  <c r="G976"/>
  <c r="F976"/>
  <c r="E976"/>
  <c r="D976"/>
  <c r="C976"/>
  <c r="B976"/>
  <c r="A976"/>
  <c r="K975"/>
  <c r="J975"/>
  <c r="I975"/>
  <c r="H975"/>
  <c r="G975"/>
  <c r="F975"/>
  <c r="E975"/>
  <c r="D975"/>
  <c r="C975"/>
  <c r="B975"/>
  <c r="A975"/>
  <c r="K974"/>
  <c r="J974"/>
  <c r="I974"/>
  <c r="H974"/>
  <c r="G974"/>
  <c r="F974"/>
  <c r="E974"/>
  <c r="D974"/>
  <c r="C974"/>
  <c r="B974"/>
  <c r="A974"/>
  <c r="K973"/>
  <c r="J973"/>
  <c r="I973"/>
  <c r="H973"/>
  <c r="G973"/>
  <c r="F973"/>
  <c r="E973"/>
  <c r="D973"/>
  <c r="C973"/>
  <c r="B973"/>
  <c r="A973"/>
  <c r="K972"/>
  <c r="J972"/>
  <c r="I972"/>
  <c r="H972"/>
  <c r="G972"/>
  <c r="F972"/>
  <c r="E972"/>
  <c r="D972"/>
  <c r="C972"/>
  <c r="B972"/>
  <c r="A972"/>
  <c r="K971"/>
  <c r="J971"/>
  <c r="I971"/>
  <c r="H971"/>
  <c r="G971"/>
  <c r="F971"/>
  <c r="E971"/>
  <c r="D971"/>
  <c r="C971"/>
  <c r="B971"/>
  <c r="A971"/>
  <c r="K970"/>
  <c r="J970"/>
  <c r="I970"/>
  <c r="H970"/>
  <c r="G970"/>
  <c r="F970"/>
  <c r="E970"/>
  <c r="D970"/>
  <c r="C970"/>
  <c r="B970"/>
  <c r="A970"/>
  <c r="K969"/>
  <c r="J969"/>
  <c r="I969"/>
  <c r="H969"/>
  <c r="G969"/>
  <c r="F969"/>
  <c r="E969"/>
  <c r="D969"/>
  <c r="C969"/>
  <c r="B969"/>
  <c r="A969"/>
  <c r="K968"/>
  <c r="J968"/>
  <c r="I968"/>
  <c r="H968"/>
  <c r="G968"/>
  <c r="F968"/>
  <c r="E968"/>
  <c r="D968"/>
  <c r="C968"/>
  <c r="B968"/>
  <c r="A968"/>
  <c r="K967"/>
  <c r="J967"/>
  <c r="I967"/>
  <c r="H967"/>
  <c r="G967"/>
  <c r="F967"/>
  <c r="E967"/>
  <c r="D967"/>
  <c r="C967"/>
  <c r="B967"/>
  <c r="A967"/>
  <c r="K966"/>
  <c r="J966"/>
  <c r="I966"/>
  <c r="H966"/>
  <c r="G966"/>
  <c r="F966"/>
  <c r="E966"/>
  <c r="D966"/>
  <c r="C966"/>
  <c r="B966"/>
  <c r="A966"/>
  <c r="K965"/>
  <c r="J965"/>
  <c r="I965"/>
  <c r="H965"/>
  <c r="G965"/>
  <c r="F965"/>
  <c r="E965"/>
  <c r="D965"/>
  <c r="C965"/>
  <c r="B965"/>
  <c r="A965"/>
  <c r="K964"/>
  <c r="J964"/>
  <c r="I964"/>
  <c r="H964"/>
  <c r="G964"/>
  <c r="F964"/>
  <c r="E964"/>
  <c r="D964"/>
  <c r="C964"/>
  <c r="B964"/>
  <c r="A964"/>
  <c r="K963"/>
  <c r="J963"/>
  <c r="I963"/>
  <c r="H963"/>
  <c r="G963"/>
  <c r="F963"/>
  <c r="E963"/>
  <c r="D963"/>
  <c r="C963"/>
  <c r="B963"/>
  <c r="A963"/>
  <c r="K962"/>
  <c r="J962"/>
  <c r="I962"/>
  <c r="H962"/>
  <c r="G962"/>
  <c r="F962"/>
  <c r="E962"/>
  <c r="D962"/>
  <c r="C962"/>
  <c r="B962"/>
  <c r="A962"/>
  <c r="K961"/>
  <c r="J961"/>
  <c r="I961"/>
  <c r="H961"/>
  <c r="G961"/>
  <c r="F961"/>
  <c r="E961"/>
  <c r="D961"/>
  <c r="C961"/>
  <c r="B961"/>
  <c r="A961"/>
  <c r="K960"/>
  <c r="J960"/>
  <c r="I960"/>
  <c r="H960"/>
  <c r="G960"/>
  <c r="F960"/>
  <c r="E960"/>
  <c r="D960"/>
  <c r="C960"/>
  <c r="B960"/>
  <c r="A960"/>
  <c r="K959"/>
  <c r="J959"/>
  <c r="I959"/>
  <c r="H959"/>
  <c r="G959"/>
  <c r="F959"/>
  <c r="E959"/>
  <c r="D959"/>
  <c r="C959"/>
  <c r="B959"/>
  <c r="A959"/>
  <c r="K958"/>
  <c r="J958"/>
  <c r="I958"/>
  <c r="H958"/>
  <c r="G958"/>
  <c r="F958"/>
  <c r="E958"/>
  <c r="D958"/>
  <c r="C958"/>
  <c r="B958"/>
  <c r="A958"/>
  <c r="K957"/>
  <c r="J957"/>
  <c r="I957"/>
  <c r="H957"/>
  <c r="G957"/>
  <c r="F957"/>
  <c r="E957"/>
  <c r="D957"/>
  <c r="C957"/>
  <c r="B957"/>
  <c r="A957"/>
  <c r="K956"/>
  <c r="J956"/>
  <c r="I956"/>
  <c r="H956"/>
  <c r="G956"/>
  <c r="F956"/>
  <c r="E956"/>
  <c r="D956"/>
  <c r="C956"/>
  <c r="B956"/>
  <c r="A956"/>
  <c r="K955"/>
  <c r="J955"/>
  <c r="I955"/>
  <c r="H955"/>
  <c r="G955"/>
  <c r="F955"/>
  <c r="E955"/>
  <c r="D955"/>
  <c r="C955"/>
  <c r="B955"/>
  <c r="A955"/>
  <c r="K954"/>
  <c r="J954"/>
  <c r="I954"/>
  <c r="H954"/>
  <c r="G954"/>
  <c r="F954"/>
  <c r="E954"/>
  <c r="D954"/>
  <c r="C954"/>
  <c r="B954"/>
  <c r="A954"/>
  <c r="K953"/>
  <c r="J953"/>
  <c r="I953"/>
  <c r="H953"/>
  <c r="G953"/>
  <c r="F953"/>
  <c r="E953"/>
  <c r="D953"/>
  <c r="C953"/>
  <c r="B953"/>
  <c r="A953"/>
  <c r="K952"/>
  <c r="J952"/>
  <c r="I952"/>
  <c r="H952"/>
  <c r="G952"/>
  <c r="F952"/>
  <c r="E952"/>
  <c r="D952"/>
  <c r="C952"/>
  <c r="B952"/>
  <c r="A952"/>
  <c r="K951"/>
  <c r="J951"/>
  <c r="I951"/>
  <c r="H951"/>
  <c r="G951"/>
  <c r="F951"/>
  <c r="E951"/>
  <c r="D951"/>
  <c r="C951"/>
  <c r="B951"/>
  <c r="A951"/>
  <c r="K950"/>
  <c r="J950"/>
  <c r="I950"/>
  <c r="H950"/>
  <c r="G950"/>
  <c r="F950"/>
  <c r="E950"/>
  <c r="D950"/>
  <c r="C950"/>
  <c r="B950"/>
  <c r="A950"/>
  <c r="K949"/>
  <c r="J949"/>
  <c r="I949"/>
  <c r="H949"/>
  <c r="G949"/>
  <c r="F949"/>
  <c r="E949"/>
  <c r="D949"/>
  <c r="C949"/>
  <c r="B949"/>
  <c r="A949"/>
  <c r="K948"/>
  <c r="J948"/>
  <c r="I948"/>
  <c r="H948"/>
  <c r="G948"/>
  <c r="F948"/>
  <c r="E948"/>
  <c r="D948"/>
  <c r="C948"/>
  <c r="B948"/>
  <c r="A948"/>
  <c r="K947"/>
  <c r="J947"/>
  <c r="I947"/>
  <c r="H947"/>
  <c r="G947"/>
  <c r="F947"/>
  <c r="E947"/>
  <c r="D947"/>
  <c r="C947"/>
  <c r="B947"/>
  <c r="A947"/>
  <c r="K946"/>
  <c r="J946"/>
  <c r="I946"/>
  <c r="H946"/>
  <c r="G946"/>
  <c r="F946"/>
  <c r="E946"/>
  <c r="D946"/>
  <c r="C946"/>
  <c r="B946"/>
  <c r="A946"/>
  <c r="K945"/>
  <c r="J945"/>
  <c r="I945"/>
  <c r="H945"/>
  <c r="G945"/>
  <c r="F945"/>
  <c r="E945"/>
  <c r="D945"/>
  <c r="C945"/>
  <c r="B945"/>
  <c r="A945"/>
  <c r="K944"/>
  <c r="J944"/>
  <c r="I944"/>
  <c r="H944"/>
  <c r="G944"/>
  <c r="F944"/>
  <c r="E944"/>
  <c r="D944"/>
  <c r="C944"/>
  <c r="B944"/>
  <c r="A944"/>
  <c r="K943"/>
  <c r="J943"/>
  <c r="I943"/>
  <c r="H943"/>
  <c r="G943"/>
  <c r="F943"/>
  <c r="E943"/>
  <c r="D943"/>
  <c r="C943"/>
  <c r="B943"/>
  <c r="A943"/>
  <c r="K942"/>
  <c r="J942"/>
  <c r="I942"/>
  <c r="H942"/>
  <c r="G942"/>
  <c r="F942"/>
  <c r="E942"/>
  <c r="D942"/>
  <c r="C942"/>
  <c r="B942"/>
  <c r="A942"/>
  <c r="K941"/>
  <c r="J941"/>
  <c r="I941"/>
  <c r="H941"/>
  <c r="G941"/>
  <c r="F941"/>
  <c r="E941"/>
  <c r="D941"/>
  <c r="C941"/>
  <c r="B941"/>
  <c r="A941"/>
  <c r="K940"/>
  <c r="J940"/>
  <c r="I940"/>
  <c r="H940"/>
  <c r="G940"/>
  <c r="F940"/>
  <c r="E940"/>
  <c r="D940"/>
  <c r="C940"/>
  <c r="B940"/>
  <c r="A940"/>
  <c r="K939"/>
  <c r="J939"/>
  <c r="I939"/>
  <c r="H939"/>
  <c r="G939"/>
  <c r="F939"/>
  <c r="E939"/>
  <c r="D939"/>
  <c r="C939"/>
  <c r="B939"/>
  <c r="A939"/>
  <c r="K938"/>
  <c r="J938"/>
  <c r="I938"/>
  <c r="H938"/>
  <c r="G938"/>
  <c r="F938"/>
  <c r="E938"/>
  <c r="D938"/>
  <c r="C938"/>
  <c r="B938"/>
  <c r="A938"/>
  <c r="K937"/>
  <c r="J937"/>
  <c r="I937"/>
  <c r="H937"/>
  <c r="G937"/>
  <c r="F937"/>
  <c r="E937"/>
  <c r="D937"/>
  <c r="C937"/>
  <c r="B937"/>
  <c r="A937"/>
  <c r="K936"/>
  <c r="J936"/>
  <c r="I936"/>
  <c r="H936"/>
  <c r="G936"/>
  <c r="F936"/>
  <c r="E936"/>
  <c r="D936"/>
  <c r="C936"/>
  <c r="B936"/>
  <c r="A936"/>
  <c r="K935"/>
  <c r="J935"/>
  <c r="I935"/>
  <c r="H935"/>
  <c r="G935"/>
  <c r="F935"/>
  <c r="E935"/>
  <c r="D935"/>
  <c r="C935"/>
  <c r="B935"/>
  <c r="A935"/>
  <c r="K934"/>
  <c r="J934"/>
  <c r="I934"/>
  <c r="H934"/>
  <c r="G934"/>
  <c r="F934"/>
  <c r="E934"/>
  <c r="D934"/>
  <c r="C934"/>
  <c r="B934"/>
  <c r="A934"/>
  <c r="K933"/>
  <c r="J933"/>
  <c r="I933"/>
  <c r="H933"/>
  <c r="G933"/>
  <c r="F933"/>
  <c r="E933"/>
  <c r="D933"/>
  <c r="C933"/>
  <c r="B933"/>
  <c r="A933"/>
  <c r="K932"/>
  <c r="J932"/>
  <c r="I932"/>
  <c r="H932"/>
  <c r="G932"/>
  <c r="F932"/>
  <c r="E932"/>
  <c r="D932"/>
  <c r="C932"/>
  <c r="B932"/>
  <c r="A932"/>
  <c r="K931"/>
  <c r="J931"/>
  <c r="I931"/>
  <c r="H931"/>
  <c r="G931"/>
  <c r="F931"/>
  <c r="E931"/>
  <c r="D931"/>
  <c r="C931"/>
  <c r="B931"/>
  <c r="A931"/>
  <c r="K930"/>
  <c r="J930"/>
  <c r="I930"/>
  <c r="H930"/>
  <c r="G930"/>
  <c r="F930"/>
  <c r="E930"/>
  <c r="D930"/>
  <c r="C930"/>
  <c r="B930"/>
  <c r="A930"/>
  <c r="K929"/>
  <c r="J929"/>
  <c r="I929"/>
  <c r="H929"/>
  <c r="G929"/>
  <c r="F929"/>
  <c r="E929"/>
  <c r="D929"/>
  <c r="C929"/>
  <c r="B929"/>
  <c r="A929"/>
  <c r="K928"/>
  <c r="J928"/>
  <c r="I928"/>
  <c r="H928"/>
  <c r="G928"/>
  <c r="F928"/>
  <c r="E928"/>
  <c r="D928"/>
  <c r="C928"/>
  <c r="B928"/>
  <c r="A928"/>
  <c r="K927"/>
  <c r="J927"/>
  <c r="I927"/>
  <c r="H927"/>
  <c r="G927"/>
  <c r="F927"/>
  <c r="E927"/>
  <c r="D927"/>
  <c r="C927"/>
  <c r="B927"/>
  <c r="A927"/>
  <c r="K926"/>
  <c r="J926"/>
  <c r="I926"/>
  <c r="H926"/>
  <c r="G926"/>
  <c r="F926"/>
  <c r="E926"/>
  <c r="D926"/>
  <c r="C926"/>
  <c r="B926"/>
  <c r="A926"/>
  <c r="K925"/>
  <c r="J925"/>
  <c r="I925"/>
  <c r="H925"/>
  <c r="G925"/>
  <c r="F925"/>
  <c r="E925"/>
  <c r="D925"/>
  <c r="C925"/>
  <c r="B925"/>
  <c r="A925"/>
  <c r="K924"/>
  <c r="J924"/>
  <c r="I924"/>
  <c r="H924"/>
  <c r="G924"/>
  <c r="F924"/>
  <c r="E924"/>
  <c r="D924"/>
  <c r="C924"/>
  <c r="B924"/>
  <c r="A924"/>
  <c r="K923"/>
  <c r="J923"/>
  <c r="I923"/>
  <c r="H923"/>
  <c r="G923"/>
  <c r="F923"/>
  <c r="E923"/>
  <c r="D923"/>
  <c r="C923"/>
  <c r="B923"/>
  <c r="A923"/>
  <c r="K922"/>
  <c r="J922"/>
  <c r="I922"/>
  <c r="H922"/>
  <c r="G922"/>
  <c r="F922"/>
  <c r="E922"/>
  <c r="D922"/>
  <c r="C922"/>
  <c r="B922"/>
  <c r="A922"/>
  <c r="K921"/>
  <c r="J921"/>
  <c r="I921"/>
  <c r="H921"/>
  <c r="G921"/>
  <c r="F921"/>
  <c r="E921"/>
  <c r="D921"/>
  <c r="C921"/>
  <c r="B921"/>
  <c r="A921"/>
  <c r="K920"/>
  <c r="J920"/>
  <c r="I920"/>
  <c r="H920"/>
  <c r="G920"/>
  <c r="F920"/>
  <c r="E920"/>
  <c r="D920"/>
  <c r="C920"/>
  <c r="B920"/>
  <c r="A920"/>
  <c r="K919"/>
  <c r="J919"/>
  <c r="I919"/>
  <c r="H919"/>
  <c r="G919"/>
  <c r="F919"/>
  <c r="E919"/>
  <c r="D919"/>
  <c r="C919"/>
  <c r="B919"/>
  <c r="A919"/>
  <c r="K918"/>
  <c r="J918"/>
  <c r="I918"/>
  <c r="H918"/>
  <c r="G918"/>
  <c r="F918"/>
  <c r="E918"/>
  <c r="D918"/>
  <c r="C918"/>
  <c r="B918"/>
  <c r="A918"/>
  <c r="K917"/>
  <c r="J917"/>
  <c r="I917"/>
  <c r="H917"/>
  <c r="G917"/>
  <c r="F917"/>
  <c r="E917"/>
  <c r="D917"/>
  <c r="C917"/>
  <c r="B917"/>
  <c r="A917"/>
  <c r="K916"/>
  <c r="J916"/>
  <c r="I916"/>
  <c r="H916"/>
  <c r="G916"/>
  <c r="F916"/>
  <c r="E916"/>
  <c r="D916"/>
  <c r="C916"/>
  <c r="B916"/>
  <c r="A916"/>
  <c r="K915"/>
  <c r="J915"/>
  <c r="I915"/>
  <c r="H915"/>
  <c r="G915"/>
  <c r="F915"/>
  <c r="E915"/>
  <c r="D915"/>
  <c r="C915"/>
  <c r="B915"/>
  <c r="A915"/>
  <c r="K914"/>
  <c r="J914"/>
  <c r="I914"/>
  <c r="H914"/>
  <c r="G914"/>
  <c r="F914"/>
  <c r="E914"/>
  <c r="D914"/>
  <c r="C914"/>
  <c r="B914"/>
  <c r="A914"/>
  <c r="K913"/>
  <c r="J913"/>
  <c r="I913"/>
  <c r="H913"/>
  <c r="G913"/>
  <c r="F913"/>
  <c r="E913"/>
  <c r="D913"/>
  <c r="C913"/>
  <c r="B913"/>
  <c r="A913"/>
  <c r="K912"/>
  <c r="J912"/>
  <c r="I912"/>
  <c r="H912"/>
  <c r="G912"/>
  <c r="F912"/>
  <c r="E912"/>
  <c r="D912"/>
  <c r="C912"/>
  <c r="B912"/>
  <c r="A912"/>
  <c r="K911"/>
  <c r="J911"/>
  <c r="I911"/>
  <c r="H911"/>
  <c r="G911"/>
  <c r="F911"/>
  <c r="E911"/>
  <c r="D911"/>
  <c r="C911"/>
  <c r="B911"/>
  <c r="A911"/>
  <c r="K910"/>
  <c r="J910"/>
  <c r="I910"/>
  <c r="H910"/>
  <c r="G910"/>
  <c r="F910"/>
  <c r="E910"/>
  <c r="D910"/>
  <c r="C910"/>
  <c r="B910"/>
  <c r="A910"/>
  <c r="K909"/>
  <c r="J909"/>
  <c r="I909"/>
  <c r="H909"/>
  <c r="G909"/>
  <c r="F909"/>
  <c r="E909"/>
  <c r="D909"/>
  <c r="C909"/>
  <c r="B909"/>
  <c r="A909"/>
  <c r="K908"/>
  <c r="J908"/>
  <c r="I908"/>
  <c r="H908"/>
  <c r="G908"/>
  <c r="F908"/>
  <c r="E908"/>
  <c r="D908"/>
  <c r="C908"/>
  <c r="B908"/>
  <c r="A908"/>
  <c r="K907"/>
  <c r="J907"/>
  <c r="I907"/>
  <c r="H907"/>
  <c r="G907"/>
  <c r="F907"/>
  <c r="E907"/>
  <c r="D907"/>
  <c r="C907"/>
  <c r="B907"/>
  <c r="A907"/>
  <c r="K906"/>
  <c r="J906"/>
  <c r="I906"/>
  <c r="H906"/>
  <c r="G906"/>
  <c r="F906"/>
  <c r="E906"/>
  <c r="D906"/>
  <c r="C906"/>
  <c r="B906"/>
  <c r="A906"/>
  <c r="K905"/>
  <c r="J905"/>
  <c r="I905"/>
  <c r="H905"/>
  <c r="G905"/>
  <c r="F905"/>
  <c r="E905"/>
  <c r="D905"/>
  <c r="C905"/>
  <c r="B905"/>
  <c r="A905"/>
  <c r="K904"/>
  <c r="J904"/>
  <c r="I904"/>
  <c r="H904"/>
  <c r="G904"/>
  <c r="F904"/>
  <c r="E904"/>
  <c r="D904"/>
  <c r="C904"/>
  <c r="B904"/>
  <c r="A904"/>
  <c r="K903"/>
  <c r="J903"/>
  <c r="I903"/>
  <c r="H903"/>
  <c r="G903"/>
  <c r="F903"/>
  <c r="E903"/>
  <c r="D903"/>
  <c r="C903"/>
  <c r="B903"/>
  <c r="A903"/>
  <c r="K902"/>
  <c r="J902"/>
  <c r="I902"/>
  <c r="H902"/>
  <c r="G902"/>
  <c r="F902"/>
  <c r="E902"/>
  <c r="D902"/>
  <c r="C902"/>
  <c r="B902"/>
  <c r="A902"/>
  <c r="K901"/>
  <c r="J901"/>
  <c r="I901"/>
  <c r="H901"/>
  <c r="G901"/>
  <c r="F901"/>
  <c r="E901"/>
  <c r="D901"/>
  <c r="C901"/>
  <c r="B901"/>
  <c r="A901"/>
  <c r="K900"/>
  <c r="J900"/>
  <c r="I900"/>
  <c r="H900"/>
  <c r="G900"/>
  <c r="F900"/>
  <c r="E900"/>
  <c r="D900"/>
  <c r="C900"/>
  <c r="B900"/>
  <c r="A900"/>
  <c r="K899"/>
  <c r="J899"/>
  <c r="I899"/>
  <c r="H899"/>
  <c r="G899"/>
  <c r="F899"/>
  <c r="E899"/>
  <c r="D899"/>
  <c r="C899"/>
  <c r="B899"/>
  <c r="A899"/>
  <c r="K898"/>
  <c r="J898"/>
  <c r="I898"/>
  <c r="H898"/>
  <c r="G898"/>
  <c r="F898"/>
  <c r="E898"/>
  <c r="D898"/>
  <c r="C898"/>
  <c r="B898"/>
  <c r="A898"/>
  <c r="K897"/>
  <c r="J897"/>
  <c r="I897"/>
  <c r="H897"/>
  <c r="G897"/>
  <c r="F897"/>
  <c r="E897"/>
  <c r="D897"/>
  <c r="C897"/>
  <c r="B897"/>
  <c r="A897"/>
  <c r="K896"/>
  <c r="J896"/>
  <c r="I896"/>
  <c r="H896"/>
  <c r="G896"/>
  <c r="F896"/>
  <c r="E896"/>
  <c r="D896"/>
  <c r="C896"/>
  <c r="B896"/>
  <c r="A896"/>
  <c r="K895"/>
  <c r="J895"/>
  <c r="I895"/>
  <c r="H895"/>
  <c r="G895"/>
  <c r="F895"/>
  <c r="E895"/>
  <c r="D895"/>
  <c r="C895"/>
  <c r="B895"/>
  <c r="A895"/>
  <c r="K894"/>
  <c r="J894"/>
  <c r="I894"/>
  <c r="H894"/>
  <c r="G894"/>
  <c r="F894"/>
  <c r="E894"/>
  <c r="D894"/>
  <c r="C894"/>
  <c r="B894"/>
  <c r="A894"/>
  <c r="K893"/>
  <c r="J893"/>
  <c r="I893"/>
  <c r="H893"/>
  <c r="G893"/>
  <c r="F893"/>
  <c r="E893"/>
  <c r="D893"/>
  <c r="C893"/>
  <c r="B893"/>
  <c r="A893"/>
  <c r="K892"/>
  <c r="J892"/>
  <c r="I892"/>
  <c r="H892"/>
  <c r="G892"/>
  <c r="F892"/>
  <c r="E892"/>
  <c r="D892"/>
  <c r="C892"/>
  <c r="B892"/>
  <c r="A892"/>
  <c r="K891"/>
  <c r="J891"/>
  <c r="I891"/>
  <c r="H891"/>
  <c r="G891"/>
  <c r="F891"/>
  <c r="E891"/>
  <c r="D891"/>
  <c r="C891"/>
  <c r="B891"/>
  <c r="A891"/>
  <c r="K890"/>
  <c r="J890"/>
  <c r="I890"/>
  <c r="H890"/>
  <c r="G890"/>
  <c r="F890"/>
  <c r="E890"/>
  <c r="D890"/>
  <c r="C890"/>
  <c r="B890"/>
  <c r="A890"/>
  <c r="K889"/>
  <c r="J889"/>
  <c r="I889"/>
  <c r="H889"/>
  <c r="G889"/>
  <c r="F889"/>
  <c r="E889"/>
  <c r="D889"/>
  <c r="C889"/>
  <c r="B889"/>
  <c r="A889"/>
  <c r="K888"/>
  <c r="J888"/>
  <c r="I888"/>
  <c r="H888"/>
  <c r="G888"/>
  <c r="F888"/>
  <c r="E888"/>
  <c r="D888"/>
  <c r="C888"/>
  <c r="B888"/>
  <c r="A888"/>
  <c r="K887"/>
  <c r="J887"/>
  <c r="I887"/>
  <c r="H887"/>
  <c r="G887"/>
  <c r="F887"/>
  <c r="E887"/>
  <c r="D887"/>
  <c r="C887"/>
  <c r="B887"/>
  <c r="A887"/>
  <c r="K886"/>
  <c r="J886"/>
  <c r="I886"/>
  <c r="H886"/>
  <c r="G886"/>
  <c r="F886"/>
  <c r="E886"/>
  <c r="D886"/>
  <c r="C886"/>
  <c r="B886"/>
  <c r="A886"/>
  <c r="K885"/>
  <c r="J885"/>
  <c r="I885"/>
  <c r="H885"/>
  <c r="G885"/>
  <c r="F885"/>
  <c r="E885"/>
  <c r="D885"/>
  <c r="C885"/>
  <c r="B885"/>
  <c r="A885"/>
  <c r="K884"/>
  <c r="J884"/>
  <c r="I884"/>
  <c r="H884"/>
  <c r="G884"/>
  <c r="F884"/>
  <c r="E884"/>
  <c r="D884"/>
  <c r="C884"/>
  <c r="B884"/>
  <c r="A884"/>
  <c r="K883"/>
  <c r="J883"/>
  <c r="I883"/>
  <c r="H883"/>
  <c r="G883"/>
  <c r="F883"/>
  <c r="E883"/>
  <c r="D883"/>
  <c r="C883"/>
  <c r="B883"/>
  <c r="A883"/>
  <c r="K882"/>
  <c r="J882"/>
  <c r="I882"/>
  <c r="H882"/>
  <c r="G882"/>
  <c r="F882"/>
  <c r="E882"/>
  <c r="D882"/>
  <c r="C882"/>
  <c r="B882"/>
  <c r="A882"/>
  <c r="K881"/>
  <c r="J881"/>
  <c r="I881"/>
  <c r="H881"/>
  <c r="G881"/>
  <c r="F881"/>
  <c r="E881"/>
  <c r="D881"/>
  <c r="C881"/>
  <c r="B881"/>
  <c r="A881"/>
  <c r="K880"/>
  <c r="J880"/>
  <c r="I880"/>
  <c r="H880"/>
  <c r="G880"/>
  <c r="F880"/>
  <c r="E880"/>
  <c r="D880"/>
  <c r="C880"/>
  <c r="B880"/>
  <c r="A880"/>
  <c r="K879"/>
  <c r="J879"/>
  <c r="I879"/>
  <c r="H879"/>
  <c r="G879"/>
  <c r="F879"/>
  <c r="E879"/>
  <c r="D879"/>
  <c r="C879"/>
  <c r="B879"/>
  <c r="A879"/>
  <c r="K878"/>
  <c r="J878"/>
  <c r="I878"/>
  <c r="H878"/>
  <c r="G878"/>
  <c r="F878"/>
  <c r="E878"/>
  <c r="D878"/>
  <c r="C878"/>
  <c r="B878"/>
  <c r="A878"/>
  <c r="K877"/>
  <c r="J877"/>
  <c r="I877"/>
  <c r="H877"/>
  <c r="G877"/>
  <c r="F877"/>
  <c r="E877"/>
  <c r="D877"/>
  <c r="C877"/>
  <c r="B877"/>
  <c r="A877"/>
  <c r="K876"/>
  <c r="J876"/>
  <c r="I876"/>
  <c r="H876"/>
  <c r="G876"/>
  <c r="F876"/>
  <c r="E876"/>
  <c r="D876"/>
  <c r="C876"/>
  <c r="B876"/>
  <c r="A876"/>
  <c r="K875"/>
  <c r="J875"/>
  <c r="I875"/>
  <c r="H875"/>
  <c r="G875"/>
  <c r="F875"/>
  <c r="E875"/>
  <c r="D875"/>
  <c r="C875"/>
  <c r="B875"/>
  <c r="A875"/>
  <c r="K874"/>
  <c r="J874"/>
  <c r="I874"/>
  <c r="H874"/>
  <c r="G874"/>
  <c r="F874"/>
  <c r="E874"/>
  <c r="D874"/>
  <c r="C874"/>
  <c r="B874"/>
  <c r="A874"/>
  <c r="K873"/>
  <c r="J873"/>
  <c r="I873"/>
  <c r="H873"/>
  <c r="G873"/>
  <c r="F873"/>
  <c r="E873"/>
  <c r="D873"/>
  <c r="C873"/>
  <c r="B873"/>
  <c r="A873"/>
  <c r="K872"/>
  <c r="J872"/>
  <c r="I872"/>
  <c r="H872"/>
  <c r="G872"/>
  <c r="F872"/>
  <c r="E872"/>
  <c r="D872"/>
  <c r="C872"/>
  <c r="B872"/>
  <c r="A872"/>
  <c r="K871"/>
  <c r="J871"/>
  <c r="I871"/>
  <c r="H871"/>
  <c r="G871"/>
  <c r="F871"/>
  <c r="E871"/>
  <c r="D871"/>
  <c r="C871"/>
  <c r="B871"/>
  <c r="A871"/>
  <c r="K870"/>
  <c r="J870"/>
  <c r="I870"/>
  <c r="H870"/>
  <c r="G870"/>
  <c r="F870"/>
  <c r="E870"/>
  <c r="D870"/>
  <c r="C870"/>
  <c r="B870"/>
  <c r="A870"/>
  <c r="K869"/>
  <c r="J869"/>
  <c r="I869"/>
  <c r="H869"/>
  <c r="G869"/>
  <c r="F869"/>
  <c r="E869"/>
  <c r="D869"/>
  <c r="C869"/>
  <c r="B869"/>
  <c r="A869"/>
  <c r="K868"/>
  <c r="J868"/>
  <c r="I868"/>
  <c r="H868"/>
  <c r="G868"/>
  <c r="F868"/>
  <c r="E868"/>
  <c r="D868"/>
  <c r="C868"/>
  <c r="B868"/>
  <c r="A868"/>
  <c r="K867"/>
  <c r="J867"/>
  <c r="I867"/>
  <c r="H867"/>
  <c r="G867"/>
  <c r="F867"/>
  <c r="E867"/>
  <c r="D867"/>
  <c r="C867"/>
  <c r="B867"/>
  <c r="A867"/>
  <c r="K866"/>
  <c r="J866"/>
  <c r="I866"/>
  <c r="H866"/>
  <c r="G866"/>
  <c r="F866"/>
  <c r="E866"/>
  <c r="D866"/>
  <c r="C866"/>
  <c r="B866"/>
  <c r="A866"/>
  <c r="K865"/>
  <c r="J865"/>
  <c r="I865"/>
  <c r="H865"/>
  <c r="G865"/>
  <c r="F865"/>
  <c r="E865"/>
  <c r="D865"/>
  <c r="C865"/>
  <c r="B865"/>
  <c r="A865"/>
  <c r="K864"/>
  <c r="J864"/>
  <c r="I864"/>
  <c r="H864"/>
  <c r="G864"/>
  <c r="F864"/>
  <c r="E864"/>
  <c r="D864"/>
  <c r="C864"/>
  <c r="B864"/>
  <c r="A864"/>
  <c r="K863"/>
  <c r="J863"/>
  <c r="I863"/>
  <c r="H863"/>
  <c r="G863"/>
  <c r="F863"/>
  <c r="E863"/>
  <c r="D863"/>
  <c r="C863"/>
  <c r="B863"/>
  <c r="A863"/>
  <c r="K862"/>
  <c r="J862"/>
  <c r="I862"/>
  <c r="H862"/>
  <c r="G862"/>
  <c r="F862"/>
  <c r="E862"/>
  <c r="D862"/>
  <c r="C862"/>
  <c r="B862"/>
  <c r="A862"/>
  <c r="K861"/>
  <c r="J861"/>
  <c r="I861"/>
  <c r="H861"/>
  <c r="G861"/>
  <c r="F861"/>
  <c r="E861"/>
  <c r="D861"/>
  <c r="C861"/>
  <c r="B861"/>
  <c r="A861"/>
  <c r="K860"/>
  <c r="J860"/>
  <c r="I860"/>
  <c r="H860"/>
  <c r="G860"/>
  <c r="F860"/>
  <c r="E860"/>
  <c r="D860"/>
  <c r="C860"/>
  <c r="B860"/>
  <c r="A860"/>
  <c r="K859"/>
  <c r="J859"/>
  <c r="I859"/>
  <c r="H859"/>
  <c r="G859"/>
  <c r="F859"/>
  <c r="E859"/>
  <c r="D859"/>
  <c r="C859"/>
  <c r="B859"/>
  <c r="A859"/>
  <c r="K858"/>
  <c r="J858"/>
  <c r="I858"/>
  <c r="H858"/>
  <c r="G858"/>
  <c r="F858"/>
  <c r="E858"/>
  <c r="D858"/>
  <c r="C858"/>
  <c r="B858"/>
  <c r="A858"/>
  <c r="K857"/>
  <c r="J857"/>
  <c r="I857"/>
  <c r="H857"/>
  <c r="G857"/>
  <c r="F857"/>
  <c r="E857"/>
  <c r="D857"/>
  <c r="C857"/>
  <c r="B857"/>
  <c r="A857"/>
  <c r="K856"/>
  <c r="J856"/>
  <c r="I856"/>
  <c r="H856"/>
  <c r="G856"/>
  <c r="F856"/>
  <c r="E856"/>
  <c r="D856"/>
  <c r="C856"/>
  <c r="B856"/>
  <c r="A856"/>
  <c r="K855"/>
  <c r="J855"/>
  <c r="I855"/>
  <c r="H855"/>
  <c r="G855"/>
  <c r="F855"/>
  <c r="E855"/>
  <c r="D855"/>
  <c r="C855"/>
  <c r="B855"/>
  <c r="A855"/>
  <c r="K854"/>
  <c r="J854"/>
  <c r="I854"/>
  <c r="H854"/>
  <c r="G854"/>
  <c r="F854"/>
  <c r="E854"/>
  <c r="D854"/>
  <c r="C854"/>
  <c r="B854"/>
  <c r="A854"/>
  <c r="K853"/>
  <c r="J853"/>
  <c r="I853"/>
  <c r="H853"/>
  <c r="G853"/>
  <c r="F853"/>
  <c r="E853"/>
  <c r="D853"/>
  <c r="C853"/>
  <c r="B853"/>
  <c r="A853"/>
  <c r="K852"/>
  <c r="J852"/>
  <c r="I852"/>
  <c r="H852"/>
  <c r="G852"/>
  <c r="F852"/>
  <c r="E852"/>
  <c r="D852"/>
  <c r="C852"/>
  <c r="B852"/>
  <c r="A852"/>
  <c r="K851"/>
  <c r="J851"/>
  <c r="I851"/>
  <c r="H851"/>
  <c r="G851"/>
  <c r="F851"/>
  <c r="E851"/>
  <c r="D851"/>
  <c r="C851"/>
  <c r="B851"/>
  <c r="A851"/>
  <c r="K850"/>
  <c r="J850"/>
  <c r="I850"/>
  <c r="H850"/>
  <c r="G850"/>
  <c r="F850"/>
  <c r="E850"/>
  <c r="D850"/>
  <c r="C850"/>
  <c r="B850"/>
  <c r="A850"/>
  <c r="K849"/>
  <c r="J849"/>
  <c r="I849"/>
  <c r="H849"/>
  <c r="G849"/>
  <c r="F849"/>
  <c r="E849"/>
  <c r="D849"/>
  <c r="C849"/>
  <c r="B849"/>
  <c r="A849"/>
  <c r="K848"/>
  <c r="J848"/>
  <c r="I848"/>
  <c r="H848"/>
  <c r="G848"/>
  <c r="F848"/>
  <c r="E848"/>
  <c r="D848"/>
  <c r="C848"/>
  <c r="B848"/>
  <c r="A848"/>
  <c r="K847"/>
  <c r="J847"/>
  <c r="I847"/>
  <c r="H847"/>
  <c r="G847"/>
  <c r="F847"/>
  <c r="E847"/>
  <c r="D847"/>
  <c r="C847"/>
  <c r="B847"/>
  <c r="A847"/>
  <c r="K846"/>
  <c r="J846"/>
  <c r="I846"/>
  <c r="H846"/>
  <c r="G846"/>
  <c r="F846"/>
  <c r="E846"/>
  <c r="D846"/>
  <c r="C846"/>
  <c r="B846"/>
  <c r="A846"/>
  <c r="K845"/>
  <c r="J845"/>
  <c r="I845"/>
  <c r="H845"/>
  <c r="G845"/>
  <c r="F845"/>
  <c r="E845"/>
  <c r="D845"/>
  <c r="C845"/>
  <c r="B845"/>
  <c r="A845"/>
  <c r="K844"/>
  <c r="J844"/>
  <c r="I844"/>
  <c r="H844"/>
  <c r="G844"/>
  <c r="F844"/>
  <c r="E844"/>
  <c r="D844"/>
  <c r="C844"/>
  <c r="B844"/>
  <c r="A844"/>
  <c r="K843"/>
  <c r="J843"/>
  <c r="I843"/>
  <c r="H843"/>
  <c r="G843"/>
  <c r="F843"/>
  <c r="E843"/>
  <c r="D843"/>
  <c r="C843"/>
  <c r="B843"/>
  <c r="A843"/>
  <c r="K842"/>
  <c r="J842"/>
  <c r="I842"/>
  <c r="H842"/>
  <c r="G842"/>
  <c r="F842"/>
  <c r="E842"/>
  <c r="D842"/>
  <c r="C842"/>
  <c r="B842"/>
  <c r="A842"/>
  <c r="K841"/>
  <c r="J841"/>
  <c r="I841"/>
  <c r="H841"/>
  <c r="G841"/>
  <c r="F841"/>
  <c r="E841"/>
  <c r="D841"/>
  <c r="C841"/>
  <c r="B841"/>
  <c r="A841"/>
  <c r="K840"/>
  <c r="J840"/>
  <c r="I840"/>
  <c r="H840"/>
  <c r="G840"/>
  <c r="F840"/>
  <c r="E840"/>
  <c r="D840"/>
  <c r="C840"/>
  <c r="B840"/>
  <c r="A840"/>
  <c r="K839"/>
  <c r="J839"/>
  <c r="I839"/>
  <c r="H839"/>
  <c r="G839"/>
  <c r="F839"/>
  <c r="E839"/>
  <c r="D839"/>
  <c r="C839"/>
  <c r="B839"/>
  <c r="A839"/>
  <c r="K838"/>
  <c r="J838"/>
  <c r="I838"/>
  <c r="H838"/>
  <c r="G838"/>
  <c r="F838"/>
  <c r="E838"/>
  <c r="D838"/>
  <c r="C838"/>
  <c r="B838"/>
  <c r="A838"/>
  <c r="K837"/>
  <c r="J837"/>
  <c r="I837"/>
  <c r="H837"/>
  <c r="G837"/>
  <c r="F837"/>
  <c r="E837"/>
  <c r="D837"/>
  <c r="C837"/>
  <c r="B837"/>
  <c r="A837"/>
  <c r="K836"/>
  <c r="J836"/>
  <c r="I836"/>
  <c r="H836"/>
  <c r="G836"/>
  <c r="F836"/>
  <c r="E836"/>
  <c r="D836"/>
  <c r="C836"/>
  <c r="B836"/>
  <c r="A836"/>
  <c r="K835"/>
  <c r="J835"/>
  <c r="I835"/>
  <c r="H835"/>
  <c r="G835"/>
  <c r="F835"/>
  <c r="E835"/>
  <c r="D835"/>
  <c r="C835"/>
  <c r="B835"/>
  <c r="A835"/>
  <c r="K834"/>
  <c r="J834"/>
  <c r="I834"/>
  <c r="H834"/>
  <c r="G834"/>
  <c r="F834"/>
  <c r="E834"/>
  <c r="D834"/>
  <c r="C834"/>
  <c r="B834"/>
  <c r="A834"/>
  <c r="K833"/>
  <c r="J833"/>
  <c r="I833"/>
  <c r="H833"/>
  <c r="G833"/>
  <c r="F833"/>
  <c r="E833"/>
  <c r="D833"/>
  <c r="C833"/>
  <c r="B833"/>
  <c r="A833"/>
  <c r="K832"/>
  <c r="J832"/>
  <c r="I832"/>
  <c r="H832"/>
  <c r="G832"/>
  <c r="F832"/>
  <c r="E832"/>
  <c r="D832"/>
  <c r="C832"/>
  <c r="B832"/>
  <c r="A832"/>
  <c r="K831"/>
  <c r="J831"/>
  <c r="I831"/>
  <c r="H831"/>
  <c r="G831"/>
  <c r="F831"/>
  <c r="E831"/>
  <c r="D831"/>
  <c r="C831"/>
  <c r="B831"/>
  <c r="A831"/>
  <c r="K830"/>
  <c r="J830"/>
  <c r="I830"/>
  <c r="H830"/>
  <c r="G830"/>
  <c r="F830"/>
  <c r="E830"/>
  <c r="D830"/>
  <c r="C830"/>
  <c r="B830"/>
  <c r="A830"/>
  <c r="K829"/>
  <c r="J829"/>
  <c r="I829"/>
  <c r="H829"/>
  <c r="G829"/>
  <c r="F829"/>
  <c r="E829"/>
  <c r="D829"/>
  <c r="C829"/>
  <c r="B829"/>
  <c r="A829"/>
  <c r="K828"/>
  <c r="J828"/>
  <c r="I828"/>
  <c r="H828"/>
  <c r="G828"/>
  <c r="F828"/>
  <c r="E828"/>
  <c r="D828"/>
  <c r="C828"/>
  <c r="B828"/>
  <c r="A828"/>
  <c r="K827"/>
  <c r="J827"/>
  <c r="I827"/>
  <c r="H827"/>
  <c r="G827"/>
  <c r="F827"/>
  <c r="E827"/>
  <c r="D827"/>
  <c r="C827"/>
  <c r="B827"/>
  <c r="A827"/>
  <c r="K826"/>
  <c r="J826"/>
  <c r="I826"/>
  <c r="H826"/>
  <c r="G826"/>
  <c r="F826"/>
  <c r="E826"/>
  <c r="D826"/>
  <c r="C826"/>
  <c r="B826"/>
  <c r="A826"/>
  <c r="K825"/>
  <c r="J825"/>
  <c r="I825"/>
  <c r="H825"/>
  <c r="G825"/>
  <c r="F825"/>
  <c r="E825"/>
  <c r="D825"/>
  <c r="C825"/>
  <c r="B825"/>
  <c r="A825"/>
  <c r="K824"/>
  <c r="J824"/>
  <c r="I824"/>
  <c r="H824"/>
  <c r="G824"/>
  <c r="F824"/>
  <c r="E824"/>
  <c r="D824"/>
  <c r="C824"/>
  <c r="B824"/>
  <c r="A824"/>
  <c r="K823"/>
  <c r="J823"/>
  <c r="I823"/>
  <c r="H823"/>
  <c r="G823"/>
  <c r="F823"/>
  <c r="E823"/>
  <c r="D823"/>
  <c r="C823"/>
  <c r="B823"/>
  <c r="A823"/>
  <c r="K822"/>
  <c r="J822"/>
  <c r="I822"/>
  <c r="H822"/>
  <c r="G822"/>
  <c r="F822"/>
  <c r="E822"/>
  <c r="D822"/>
  <c r="C822"/>
  <c r="B822"/>
  <c r="A822"/>
  <c r="K821"/>
  <c r="J821"/>
  <c r="I821"/>
  <c r="H821"/>
  <c r="G821"/>
  <c r="F821"/>
  <c r="E821"/>
  <c r="D821"/>
  <c r="C821"/>
  <c r="B821"/>
  <c r="A821"/>
  <c r="K820"/>
  <c r="J820"/>
  <c r="I820"/>
  <c r="H820"/>
  <c r="G820"/>
  <c r="F820"/>
  <c r="E820"/>
  <c r="D820"/>
  <c r="C820"/>
  <c r="B820"/>
  <c r="A820"/>
  <c r="K819"/>
  <c r="J819"/>
  <c r="I819"/>
  <c r="H819"/>
  <c r="G819"/>
  <c r="F819"/>
  <c r="E819"/>
  <c r="D819"/>
  <c r="C819"/>
  <c r="B819"/>
  <c r="A819"/>
  <c r="K818"/>
  <c r="J818"/>
  <c r="I818"/>
  <c r="H818"/>
  <c r="G818"/>
  <c r="F818"/>
  <c r="E818"/>
  <c r="D818"/>
  <c r="C818"/>
  <c r="B818"/>
  <c r="A818"/>
  <c r="K817"/>
  <c r="J817"/>
  <c r="I817"/>
  <c r="H817"/>
  <c r="G817"/>
  <c r="F817"/>
  <c r="E817"/>
  <c r="D817"/>
  <c r="C817"/>
  <c r="B817"/>
  <c r="A817"/>
  <c r="K816"/>
  <c r="J816"/>
  <c r="I816"/>
  <c r="H816"/>
  <c r="G816"/>
  <c r="F816"/>
  <c r="E816"/>
  <c r="D816"/>
  <c r="C816"/>
  <c r="B816"/>
  <c r="A816"/>
  <c r="K815"/>
  <c r="J815"/>
  <c r="I815"/>
  <c r="H815"/>
  <c r="G815"/>
  <c r="F815"/>
  <c r="E815"/>
  <c r="D815"/>
  <c r="C815"/>
  <c r="B815"/>
  <c r="A815"/>
  <c r="K814"/>
  <c r="J814"/>
  <c r="I814"/>
  <c r="H814"/>
  <c r="G814"/>
  <c r="F814"/>
  <c r="E814"/>
  <c r="D814"/>
  <c r="C814"/>
  <c r="B814"/>
  <c r="A814"/>
  <c r="K813"/>
  <c r="J813"/>
  <c r="I813"/>
  <c r="H813"/>
  <c r="G813"/>
  <c r="F813"/>
  <c r="E813"/>
  <c r="D813"/>
  <c r="C813"/>
  <c r="B813"/>
  <c r="A813"/>
  <c r="K812"/>
  <c r="J812"/>
  <c r="I812"/>
  <c r="H812"/>
  <c r="G812"/>
  <c r="F812"/>
  <c r="E812"/>
  <c r="D812"/>
  <c r="C812"/>
  <c r="B812"/>
  <c r="A812"/>
  <c r="K811"/>
  <c r="J811"/>
  <c r="I811"/>
  <c r="H811"/>
  <c r="G811"/>
  <c r="F811"/>
  <c r="E811"/>
  <c r="D811"/>
  <c r="C811"/>
  <c r="B811"/>
  <c r="A811"/>
  <c r="K810"/>
  <c r="J810"/>
  <c r="I810"/>
  <c r="H810"/>
  <c r="G810"/>
  <c r="F810"/>
  <c r="E810"/>
  <c r="D810"/>
  <c r="C810"/>
  <c r="B810"/>
  <c r="A810"/>
  <c r="K809"/>
  <c r="J809"/>
  <c r="I809"/>
  <c r="H809"/>
  <c r="G809"/>
  <c r="F809"/>
  <c r="E809"/>
  <c r="D809"/>
  <c r="C809"/>
  <c r="B809"/>
  <c r="A809"/>
  <c r="K808"/>
  <c r="J808"/>
  <c r="I808"/>
  <c r="H808"/>
  <c r="G808"/>
  <c r="F808"/>
  <c r="E808"/>
  <c r="D808"/>
  <c r="C808"/>
  <c r="B808"/>
  <c r="A808"/>
  <c r="K807"/>
  <c r="J807"/>
  <c r="I807"/>
  <c r="H807"/>
  <c r="G807"/>
  <c r="F807"/>
  <c r="E807"/>
  <c r="D807"/>
  <c r="C807"/>
  <c r="B807"/>
  <c r="A807"/>
  <c r="K806"/>
  <c r="J806"/>
  <c r="I806"/>
  <c r="H806"/>
  <c r="G806"/>
  <c r="F806"/>
  <c r="E806"/>
  <c r="D806"/>
  <c r="C806"/>
  <c r="B806"/>
  <c r="A806"/>
  <c r="K805"/>
  <c r="J805"/>
  <c r="I805"/>
  <c r="H805"/>
  <c r="G805"/>
  <c r="F805"/>
  <c r="E805"/>
  <c r="D805"/>
  <c r="C805"/>
  <c r="B805"/>
  <c r="A805"/>
  <c r="K804"/>
  <c r="J804"/>
  <c r="I804"/>
  <c r="H804"/>
  <c r="G804"/>
  <c r="F804"/>
  <c r="E804"/>
  <c r="D804"/>
  <c r="C804"/>
  <c r="B804"/>
  <c r="A804"/>
  <c r="K803"/>
  <c r="J803"/>
  <c r="I803"/>
  <c r="H803"/>
  <c r="G803"/>
  <c r="F803"/>
  <c r="E803"/>
  <c r="D803"/>
  <c r="C803"/>
  <c r="B803"/>
  <c r="A803"/>
  <c r="K802"/>
  <c r="J802"/>
  <c r="I802"/>
  <c r="H802"/>
  <c r="G802"/>
  <c r="F802"/>
  <c r="E802"/>
  <c r="D802"/>
  <c r="C802"/>
  <c r="B802"/>
  <c r="A802"/>
  <c r="K801"/>
  <c r="J801"/>
  <c r="I801"/>
  <c r="H801"/>
  <c r="G801"/>
  <c r="F801"/>
  <c r="E801"/>
  <c r="D801"/>
  <c r="C801"/>
  <c r="B801"/>
  <c r="A801"/>
  <c r="K800"/>
  <c r="J800"/>
  <c r="I800"/>
  <c r="H800"/>
  <c r="G800"/>
  <c r="F800"/>
  <c r="E800"/>
  <c r="D800"/>
  <c r="C800"/>
  <c r="B800"/>
  <c r="A800"/>
  <c r="K799"/>
  <c r="J799"/>
  <c r="I799"/>
  <c r="H799"/>
  <c r="G799"/>
  <c r="F799"/>
  <c r="E799"/>
  <c r="D799"/>
  <c r="C799"/>
  <c r="B799"/>
  <c r="A799"/>
  <c r="K798"/>
  <c r="J798"/>
  <c r="I798"/>
  <c r="H798"/>
  <c r="G798"/>
  <c r="F798"/>
  <c r="E798"/>
  <c r="D798"/>
  <c r="C798"/>
  <c r="B798"/>
  <c r="A798"/>
  <c r="K797"/>
  <c r="J797"/>
  <c r="I797"/>
  <c r="H797"/>
  <c r="G797"/>
  <c r="F797"/>
  <c r="E797"/>
  <c r="D797"/>
  <c r="C797"/>
  <c r="B797"/>
  <c r="A797"/>
  <c r="K796"/>
  <c r="J796"/>
  <c r="I796"/>
  <c r="H796"/>
  <c r="G796"/>
  <c r="F796"/>
  <c r="E796"/>
  <c r="D796"/>
  <c r="C796"/>
  <c r="B796"/>
  <c r="A796"/>
  <c r="K795"/>
  <c r="J795"/>
  <c r="I795"/>
  <c r="H795"/>
  <c r="G795"/>
  <c r="F795"/>
  <c r="E795"/>
  <c r="D795"/>
  <c r="C795"/>
  <c r="B795"/>
  <c r="A795"/>
  <c r="K794"/>
  <c r="J794"/>
  <c r="I794"/>
  <c r="H794"/>
  <c r="G794"/>
  <c r="F794"/>
  <c r="E794"/>
  <c r="D794"/>
  <c r="C794"/>
  <c r="B794"/>
  <c r="A794"/>
  <c r="K793"/>
  <c r="J793"/>
  <c r="I793"/>
  <c r="H793"/>
  <c r="G793"/>
  <c r="F793"/>
  <c r="E793"/>
  <c r="D793"/>
  <c r="C793"/>
  <c r="B793"/>
  <c r="A793"/>
  <c r="K792"/>
  <c r="J792"/>
  <c r="I792"/>
  <c r="H792"/>
  <c r="G792"/>
  <c r="F792"/>
  <c r="E792"/>
  <c r="D792"/>
  <c r="C792"/>
  <c r="B792"/>
  <c r="A792"/>
  <c r="K791"/>
  <c r="J791"/>
  <c r="I791"/>
  <c r="H791"/>
  <c r="G791"/>
  <c r="F791"/>
  <c r="E791"/>
  <c r="D791"/>
  <c r="C791"/>
  <c r="B791"/>
  <c r="A791"/>
  <c r="K790"/>
  <c r="J790"/>
  <c r="I790"/>
  <c r="H790"/>
  <c r="G790"/>
  <c r="F790"/>
  <c r="E790"/>
  <c r="D790"/>
  <c r="C790"/>
  <c r="B790"/>
  <c r="A790"/>
  <c r="K789"/>
  <c r="J789"/>
  <c r="I789"/>
  <c r="H789"/>
  <c r="G789"/>
  <c r="F789"/>
  <c r="E789"/>
  <c r="D789"/>
  <c r="C789"/>
  <c r="B789"/>
  <c r="A789"/>
  <c r="K788"/>
  <c r="J788"/>
  <c r="I788"/>
  <c r="H788"/>
  <c r="G788"/>
  <c r="F788"/>
  <c r="E788"/>
  <c r="D788"/>
  <c r="C788"/>
  <c r="B788"/>
  <c r="A788"/>
  <c r="K787"/>
  <c r="J787"/>
  <c r="I787"/>
  <c r="H787"/>
  <c r="G787"/>
  <c r="F787"/>
  <c r="E787"/>
  <c r="D787"/>
  <c r="C787"/>
  <c r="B787"/>
  <c r="A787"/>
  <c r="K786"/>
  <c r="J786"/>
  <c r="I786"/>
  <c r="H786"/>
  <c r="G786"/>
  <c r="F786"/>
  <c r="E786"/>
  <c r="D786"/>
  <c r="C786"/>
  <c r="B786"/>
  <c r="A786"/>
  <c r="K785"/>
  <c r="J785"/>
  <c r="I785"/>
  <c r="H785"/>
  <c r="G785"/>
  <c r="F785"/>
  <c r="E785"/>
  <c r="D785"/>
  <c r="C785"/>
  <c r="B785"/>
  <c r="A785"/>
  <c r="K784"/>
  <c r="J784"/>
  <c r="I784"/>
  <c r="H784"/>
  <c r="G784"/>
  <c r="F784"/>
  <c r="E784"/>
  <c r="D784"/>
  <c r="C784"/>
  <c r="B784"/>
  <c r="A784"/>
  <c r="K783"/>
  <c r="J783"/>
  <c r="I783"/>
  <c r="H783"/>
  <c r="G783"/>
  <c r="F783"/>
  <c r="E783"/>
  <c r="D783"/>
  <c r="C783"/>
  <c r="B783"/>
  <c r="A783"/>
  <c r="K782"/>
  <c r="J782"/>
  <c r="I782"/>
  <c r="H782"/>
  <c r="G782"/>
  <c r="F782"/>
  <c r="E782"/>
  <c r="D782"/>
  <c r="C782"/>
  <c r="B782"/>
  <c r="A782"/>
  <c r="K781"/>
  <c r="J781"/>
  <c r="I781"/>
  <c r="H781"/>
  <c r="G781"/>
  <c r="F781"/>
  <c r="E781"/>
  <c r="D781"/>
  <c r="C781"/>
  <c r="B781"/>
  <c r="A781"/>
  <c r="K780"/>
  <c r="J780"/>
  <c r="I780"/>
  <c r="H780"/>
  <c r="G780"/>
  <c r="F780"/>
  <c r="E780"/>
  <c r="D780"/>
  <c r="C780"/>
  <c r="B780"/>
  <c r="A780"/>
  <c r="K779"/>
  <c r="J779"/>
  <c r="I779"/>
  <c r="H779"/>
  <c r="G779"/>
  <c r="F779"/>
  <c r="E779"/>
  <c r="D779"/>
  <c r="C779"/>
  <c r="B779"/>
  <c r="A779"/>
  <c r="K778"/>
  <c r="J778"/>
  <c r="I778"/>
  <c r="H778"/>
  <c r="G778"/>
  <c r="F778"/>
  <c r="E778"/>
  <c r="D778"/>
  <c r="C778"/>
  <c r="B778"/>
  <c r="A778"/>
  <c r="K777"/>
  <c r="J777"/>
  <c r="I777"/>
  <c r="H777"/>
  <c r="G777"/>
  <c r="F777"/>
  <c r="E777"/>
  <c r="D777"/>
  <c r="C777"/>
  <c r="B777"/>
  <c r="A777"/>
  <c r="K776"/>
  <c r="J776"/>
  <c r="I776"/>
  <c r="H776"/>
  <c r="G776"/>
  <c r="F776"/>
  <c r="E776"/>
  <c r="D776"/>
  <c r="C776"/>
  <c r="B776"/>
  <c r="A776"/>
  <c r="K775"/>
  <c r="J775"/>
  <c r="I775"/>
  <c r="H775"/>
  <c r="G775"/>
  <c r="F775"/>
  <c r="E775"/>
  <c r="D775"/>
  <c r="C775"/>
  <c r="B775"/>
  <c r="A775"/>
  <c r="K774"/>
  <c r="J774"/>
  <c r="I774"/>
  <c r="H774"/>
  <c r="G774"/>
  <c r="F774"/>
  <c r="E774"/>
  <c r="D774"/>
  <c r="C774"/>
  <c r="B774"/>
  <c r="A774"/>
  <c r="K773"/>
  <c r="J773"/>
  <c r="I773"/>
  <c r="H773"/>
  <c r="G773"/>
  <c r="F773"/>
  <c r="E773"/>
  <c r="D773"/>
  <c r="C773"/>
  <c r="B773"/>
  <c r="A773"/>
  <c r="K772"/>
  <c r="J772"/>
  <c r="I772"/>
  <c r="H772"/>
  <c r="G772"/>
  <c r="F772"/>
  <c r="E772"/>
  <c r="D772"/>
  <c r="C772"/>
  <c r="B772"/>
  <c r="A772"/>
  <c r="K771"/>
  <c r="J771"/>
  <c r="I771"/>
  <c r="H771"/>
  <c r="G771"/>
  <c r="F771"/>
  <c r="E771"/>
  <c r="D771"/>
  <c r="C771"/>
  <c r="B771"/>
  <c r="A771"/>
  <c r="K770"/>
  <c r="J770"/>
  <c r="I770"/>
  <c r="H770"/>
  <c r="G770"/>
  <c r="F770"/>
  <c r="E770"/>
  <c r="D770"/>
  <c r="C770"/>
  <c r="B770"/>
  <c r="A770"/>
  <c r="K769"/>
  <c r="J769"/>
  <c r="I769"/>
  <c r="H769"/>
  <c r="G769"/>
  <c r="F769"/>
  <c r="E769"/>
  <c r="D769"/>
  <c r="C769"/>
  <c r="B769"/>
  <c r="A769"/>
  <c r="K768"/>
  <c r="J768"/>
  <c r="I768"/>
  <c r="H768"/>
  <c r="G768"/>
  <c r="F768"/>
  <c r="E768"/>
  <c r="D768"/>
  <c r="C768"/>
  <c r="B768"/>
  <c r="A768"/>
  <c r="K767"/>
  <c r="J767"/>
  <c r="I767"/>
  <c r="H767"/>
  <c r="G767"/>
  <c r="F767"/>
  <c r="E767"/>
  <c r="D767"/>
  <c r="C767"/>
  <c r="B767"/>
  <c r="A767"/>
  <c r="K766"/>
  <c r="J766"/>
  <c r="I766"/>
  <c r="H766"/>
  <c r="G766"/>
  <c r="F766"/>
  <c r="E766"/>
  <c r="D766"/>
  <c r="C766"/>
  <c r="B766"/>
  <c r="A766"/>
  <c r="K765"/>
  <c r="J765"/>
  <c r="I765"/>
  <c r="H765"/>
  <c r="G765"/>
  <c r="F765"/>
  <c r="E765"/>
  <c r="D765"/>
  <c r="C765"/>
  <c r="B765"/>
  <c r="A765"/>
  <c r="K764"/>
  <c r="J764"/>
  <c r="I764"/>
  <c r="H764"/>
  <c r="G764"/>
  <c r="F764"/>
  <c r="E764"/>
  <c r="D764"/>
  <c r="C764"/>
  <c r="B764"/>
  <c r="A764"/>
  <c r="K763"/>
  <c r="J763"/>
  <c r="I763"/>
  <c r="H763"/>
  <c r="G763"/>
  <c r="F763"/>
  <c r="E763"/>
  <c r="D763"/>
  <c r="C763"/>
  <c r="B763"/>
  <c r="A763"/>
  <c r="K762"/>
  <c r="J762"/>
  <c r="I762"/>
  <c r="H762"/>
  <c r="G762"/>
  <c r="F762"/>
  <c r="E762"/>
  <c r="D762"/>
  <c r="C762"/>
  <c r="B762"/>
  <c r="A762"/>
  <c r="K761"/>
  <c r="J761"/>
  <c r="I761"/>
  <c r="H761"/>
  <c r="G761"/>
  <c r="F761"/>
  <c r="E761"/>
  <c r="D761"/>
  <c r="C761"/>
  <c r="B761"/>
  <c r="A761"/>
  <c r="K760"/>
  <c r="J760"/>
  <c r="I760"/>
  <c r="H760"/>
  <c r="G760"/>
  <c r="F760"/>
  <c r="E760"/>
  <c r="D760"/>
  <c r="C760"/>
  <c r="B760"/>
  <c r="A760"/>
  <c r="K759"/>
  <c r="J759"/>
  <c r="I759"/>
  <c r="H759"/>
  <c r="G759"/>
  <c r="F759"/>
  <c r="E759"/>
  <c r="D759"/>
  <c r="C759"/>
  <c r="B759"/>
  <c r="A759"/>
  <c r="K758"/>
  <c r="J758"/>
  <c r="I758"/>
  <c r="H758"/>
  <c r="G758"/>
  <c r="F758"/>
  <c r="E758"/>
  <c r="D758"/>
  <c r="C758"/>
  <c r="B758"/>
  <c r="A758"/>
  <c r="K757"/>
  <c r="J757"/>
  <c r="I757"/>
  <c r="H757"/>
  <c r="G757"/>
  <c r="F757"/>
  <c r="E757"/>
  <c r="D757"/>
  <c r="C757"/>
  <c r="B757"/>
  <c r="A757"/>
  <c r="K756"/>
  <c r="J756"/>
  <c r="I756"/>
  <c r="H756"/>
  <c r="G756"/>
  <c r="F756"/>
  <c r="E756"/>
  <c r="D756"/>
  <c r="C756"/>
  <c r="B756"/>
  <c r="A756"/>
  <c r="K755"/>
  <c r="J755"/>
  <c r="I755"/>
  <c r="H755"/>
  <c r="G755"/>
  <c r="F755"/>
  <c r="E755"/>
  <c r="D755"/>
  <c r="C755"/>
  <c r="B755"/>
  <c r="A755"/>
  <c r="K754"/>
  <c r="J754"/>
  <c r="I754"/>
  <c r="H754"/>
  <c r="G754"/>
  <c r="F754"/>
  <c r="E754"/>
  <c r="D754"/>
  <c r="C754"/>
  <c r="B754"/>
  <c r="A754"/>
  <c r="K753"/>
  <c r="J753"/>
  <c r="I753"/>
  <c r="H753"/>
  <c r="G753"/>
  <c r="F753"/>
  <c r="E753"/>
  <c r="D753"/>
  <c r="C753"/>
  <c r="B753"/>
  <c r="A753"/>
  <c r="K752"/>
  <c r="J752"/>
  <c r="I752"/>
  <c r="H752"/>
  <c r="G752"/>
  <c r="F752"/>
  <c r="E752"/>
  <c r="D752"/>
  <c r="C752"/>
  <c r="B752"/>
  <c r="A752"/>
  <c r="K751"/>
  <c r="J751"/>
  <c r="I751"/>
  <c r="H751"/>
  <c r="G751"/>
  <c r="F751"/>
  <c r="E751"/>
  <c r="D751"/>
  <c r="C751"/>
  <c r="B751"/>
  <c r="A751"/>
  <c r="K750"/>
  <c r="J750"/>
  <c r="I750"/>
  <c r="H750"/>
  <c r="G750"/>
  <c r="F750"/>
  <c r="E750"/>
  <c r="D750"/>
  <c r="C750"/>
  <c r="B750"/>
  <c r="A750"/>
  <c r="K749"/>
  <c r="J749"/>
  <c r="I749"/>
  <c r="H749"/>
  <c r="G749"/>
  <c r="F749"/>
  <c r="E749"/>
  <c r="D749"/>
  <c r="C749"/>
  <c r="B749"/>
  <c r="A749"/>
  <c r="K748"/>
  <c r="J748"/>
  <c r="I748"/>
  <c r="H748"/>
  <c r="G748"/>
  <c r="F748"/>
  <c r="E748"/>
  <c r="D748"/>
  <c r="C748"/>
  <c r="B748"/>
  <c r="A748"/>
  <c r="K747"/>
  <c r="J747"/>
  <c r="I747"/>
  <c r="H747"/>
  <c r="G747"/>
  <c r="F747"/>
  <c r="E747"/>
  <c r="D747"/>
  <c r="C747"/>
  <c r="B747"/>
  <c r="A747"/>
  <c r="K746"/>
  <c r="J746"/>
  <c r="I746"/>
  <c r="H746"/>
  <c r="G746"/>
  <c r="F746"/>
  <c r="E746"/>
  <c r="D746"/>
  <c r="C746"/>
  <c r="B746"/>
  <c r="A746"/>
  <c r="K745"/>
  <c r="J745"/>
  <c r="I745"/>
  <c r="H745"/>
  <c r="G745"/>
  <c r="F745"/>
  <c r="E745"/>
  <c r="D745"/>
  <c r="C745"/>
  <c r="B745"/>
  <c r="A745"/>
  <c r="K744"/>
  <c r="J744"/>
  <c r="I744"/>
  <c r="H744"/>
  <c r="G744"/>
  <c r="F744"/>
  <c r="E744"/>
  <c r="D744"/>
  <c r="C744"/>
  <c r="B744"/>
  <c r="A744"/>
  <c r="K743"/>
  <c r="J743"/>
  <c r="I743"/>
  <c r="H743"/>
  <c r="G743"/>
  <c r="F743"/>
  <c r="E743"/>
  <c r="D743"/>
  <c r="C743"/>
  <c r="B743"/>
  <c r="A743"/>
  <c r="K742"/>
  <c r="J742"/>
  <c r="I742"/>
  <c r="H742"/>
  <c r="G742"/>
  <c r="F742"/>
  <c r="E742"/>
  <c r="D742"/>
  <c r="C742"/>
  <c r="B742"/>
  <c r="A742"/>
  <c r="K741"/>
  <c r="J741"/>
  <c r="I741"/>
  <c r="H741"/>
  <c r="G741"/>
  <c r="F741"/>
  <c r="E741"/>
  <c r="D741"/>
  <c r="C741"/>
  <c r="B741"/>
  <c r="A741"/>
  <c r="K740"/>
  <c r="J740"/>
  <c r="I740"/>
  <c r="H740"/>
  <c r="G740"/>
  <c r="F740"/>
  <c r="E740"/>
  <c r="D740"/>
  <c r="C740"/>
  <c r="B740"/>
  <c r="A740"/>
  <c r="K739"/>
  <c r="J739"/>
  <c r="I739"/>
  <c r="H739"/>
  <c r="G739"/>
  <c r="F739"/>
  <c r="E739"/>
  <c r="D739"/>
  <c r="C739"/>
  <c r="B739"/>
  <c r="A739"/>
  <c r="K738"/>
  <c r="J738"/>
  <c r="I738"/>
  <c r="H738"/>
  <c r="G738"/>
  <c r="F738"/>
  <c r="E738"/>
  <c r="D738"/>
  <c r="C738"/>
  <c r="B738"/>
  <c r="A738"/>
  <c r="K737"/>
  <c r="J737"/>
  <c r="I737"/>
  <c r="H737"/>
  <c r="G737"/>
  <c r="F737"/>
  <c r="E737"/>
  <c r="D737"/>
  <c r="C737"/>
  <c r="B737"/>
  <c r="A737"/>
  <c r="K736"/>
  <c r="J736"/>
  <c r="I736"/>
  <c r="H736"/>
  <c r="G736"/>
  <c r="F736"/>
  <c r="E736"/>
  <c r="D736"/>
  <c r="C736"/>
  <c r="B736"/>
  <c r="A736"/>
  <c r="K735"/>
  <c r="J735"/>
  <c r="I735"/>
  <c r="H735"/>
  <c r="G735"/>
  <c r="F735"/>
  <c r="E735"/>
  <c r="D735"/>
  <c r="C735"/>
  <c r="B735"/>
  <c r="A735"/>
  <c r="K734"/>
  <c r="J734"/>
  <c r="I734"/>
  <c r="H734"/>
  <c r="G734"/>
  <c r="F734"/>
  <c r="E734"/>
  <c r="D734"/>
  <c r="C734"/>
  <c r="B734"/>
  <c r="A734"/>
  <c r="K733"/>
  <c r="J733"/>
  <c r="I733"/>
  <c r="H733"/>
  <c r="G733"/>
  <c r="F733"/>
  <c r="E733"/>
  <c r="D733"/>
  <c r="C733"/>
  <c r="B733"/>
  <c r="A733"/>
  <c r="K732"/>
  <c r="J732"/>
  <c r="I732"/>
  <c r="H732"/>
  <c r="G732"/>
  <c r="F732"/>
  <c r="E732"/>
  <c r="D732"/>
  <c r="C732"/>
  <c r="B732"/>
  <c r="A732"/>
  <c r="K731"/>
  <c r="J731"/>
  <c r="I731"/>
  <c r="H731"/>
  <c r="G731"/>
  <c r="F731"/>
  <c r="E731"/>
  <c r="D731"/>
  <c r="C731"/>
  <c r="B731"/>
  <c r="A731"/>
  <c r="K730"/>
  <c r="J730"/>
  <c r="I730"/>
  <c r="H730"/>
  <c r="G730"/>
  <c r="F730"/>
  <c r="E730"/>
  <c r="D730"/>
  <c r="C730"/>
  <c r="B730"/>
  <c r="A730"/>
  <c r="K729"/>
  <c r="J729"/>
  <c r="I729"/>
  <c r="H729"/>
  <c r="G729"/>
  <c r="F729"/>
  <c r="E729"/>
  <c r="D729"/>
  <c r="C729"/>
  <c r="B729"/>
  <c r="A729"/>
  <c r="K728"/>
  <c r="J728"/>
  <c r="I728"/>
  <c r="H728"/>
  <c r="G728"/>
  <c r="F728"/>
  <c r="E728"/>
  <c r="D728"/>
  <c r="C728"/>
  <c r="B728"/>
  <c r="A728"/>
  <c r="K727"/>
  <c r="J727"/>
  <c r="I727"/>
  <c r="H727"/>
  <c r="G727"/>
  <c r="F727"/>
  <c r="E727"/>
  <c r="D727"/>
  <c r="C727"/>
  <c r="B727"/>
  <c r="A727"/>
  <c r="K726"/>
  <c r="J726"/>
  <c r="I726"/>
  <c r="H726"/>
  <c r="G726"/>
  <c r="F726"/>
  <c r="E726"/>
  <c r="D726"/>
  <c r="C726"/>
  <c r="B726"/>
  <c r="A726"/>
  <c r="K725"/>
  <c r="J725"/>
  <c r="I725"/>
  <c r="H725"/>
  <c r="G725"/>
  <c r="F725"/>
  <c r="E725"/>
  <c r="D725"/>
  <c r="C725"/>
  <c r="B725"/>
  <c r="A725"/>
  <c r="K724"/>
  <c r="J724"/>
  <c r="I724"/>
  <c r="H724"/>
  <c r="G724"/>
  <c r="F724"/>
  <c r="E724"/>
  <c r="D724"/>
  <c r="C724"/>
  <c r="B724"/>
  <c r="A724"/>
  <c r="K723"/>
  <c r="J723"/>
  <c r="I723"/>
  <c r="H723"/>
  <c r="G723"/>
  <c r="F723"/>
  <c r="E723"/>
  <c r="D723"/>
  <c r="C723"/>
  <c r="B723"/>
  <c r="A723"/>
  <c r="K722"/>
  <c r="J722"/>
  <c r="I722"/>
  <c r="H722"/>
  <c r="G722"/>
  <c r="F722"/>
  <c r="E722"/>
  <c r="D722"/>
  <c r="C722"/>
  <c r="B722"/>
  <c r="A722"/>
  <c r="K721"/>
  <c r="J721"/>
  <c r="I721"/>
  <c r="H721"/>
  <c r="G721"/>
  <c r="F721"/>
  <c r="E721"/>
  <c r="D721"/>
  <c r="C721"/>
  <c r="B721"/>
  <c r="A721"/>
  <c r="K720"/>
  <c r="J720"/>
  <c r="I720"/>
  <c r="H720"/>
  <c r="G720"/>
  <c r="F720"/>
  <c r="E720"/>
  <c r="D720"/>
  <c r="C720"/>
  <c r="B720"/>
  <c r="A720"/>
  <c r="K719"/>
  <c r="J719"/>
  <c r="I719"/>
  <c r="H719"/>
  <c r="G719"/>
  <c r="F719"/>
  <c r="E719"/>
  <c r="D719"/>
  <c r="C719"/>
  <c r="B719"/>
  <c r="A719"/>
  <c r="K718"/>
  <c r="J718"/>
  <c r="I718"/>
  <c r="H718"/>
  <c r="G718"/>
  <c r="F718"/>
  <c r="E718"/>
  <c r="D718"/>
  <c r="C718"/>
  <c r="B718"/>
  <c r="A718"/>
  <c r="K717"/>
  <c r="J717"/>
  <c r="I717"/>
  <c r="H717"/>
  <c r="G717"/>
  <c r="F717"/>
  <c r="E717"/>
  <c r="D717"/>
  <c r="C717"/>
  <c r="B717"/>
  <c r="A717"/>
  <c r="K716"/>
  <c r="J716"/>
  <c r="I716"/>
  <c r="H716"/>
  <c r="G716"/>
  <c r="F716"/>
  <c r="E716"/>
  <c r="D716"/>
  <c r="C716"/>
  <c r="B716"/>
  <c r="A716"/>
  <c r="K715"/>
  <c r="J715"/>
  <c r="I715"/>
  <c r="H715"/>
  <c r="G715"/>
  <c r="F715"/>
  <c r="E715"/>
  <c r="D715"/>
  <c r="C715"/>
  <c r="B715"/>
  <c r="A715"/>
  <c r="K714"/>
  <c r="J714"/>
  <c r="I714"/>
  <c r="H714"/>
  <c r="G714"/>
  <c r="F714"/>
  <c r="E714"/>
  <c r="D714"/>
  <c r="C714"/>
  <c r="B714"/>
  <c r="A714"/>
  <c r="K713"/>
  <c r="J713"/>
  <c r="I713"/>
  <c r="H713"/>
  <c r="G713"/>
  <c r="F713"/>
  <c r="E713"/>
  <c r="D713"/>
  <c r="C713"/>
  <c r="B713"/>
  <c r="A713"/>
  <c r="K712"/>
  <c r="J712"/>
  <c r="I712"/>
  <c r="H712"/>
  <c r="G712"/>
  <c r="F712"/>
  <c r="E712"/>
  <c r="D712"/>
  <c r="C712"/>
  <c r="B712"/>
  <c r="A712"/>
  <c r="K711"/>
  <c r="J711"/>
  <c r="I711"/>
  <c r="H711"/>
  <c r="G711"/>
  <c r="F711"/>
  <c r="E711"/>
  <c r="D711"/>
  <c r="C711"/>
  <c r="B711"/>
  <c r="A711"/>
  <c r="K710"/>
  <c r="J710"/>
  <c r="I710"/>
  <c r="H710"/>
  <c r="G710"/>
  <c r="F710"/>
  <c r="E710"/>
  <c r="D710"/>
  <c r="C710"/>
  <c r="B710"/>
  <c r="A710"/>
  <c r="K709"/>
  <c r="J709"/>
  <c r="I709"/>
  <c r="H709"/>
  <c r="G709"/>
  <c r="F709"/>
  <c r="E709"/>
  <c r="D709"/>
  <c r="C709"/>
  <c r="B709"/>
  <c r="A709"/>
  <c r="K708"/>
  <c r="J708"/>
  <c r="I708"/>
  <c r="H708"/>
  <c r="G708"/>
  <c r="F708"/>
  <c r="E708"/>
  <c r="D708"/>
  <c r="C708"/>
  <c r="B708"/>
  <c r="A708"/>
  <c r="K707"/>
  <c r="J707"/>
  <c r="I707"/>
  <c r="H707"/>
  <c r="G707"/>
  <c r="F707"/>
  <c r="E707"/>
  <c r="D707"/>
  <c r="C707"/>
  <c r="B707"/>
  <c r="A707"/>
  <c r="K706"/>
  <c r="J706"/>
  <c r="I706"/>
  <c r="H706"/>
  <c r="G706"/>
  <c r="F706"/>
  <c r="E706"/>
  <c r="D706"/>
  <c r="C706"/>
  <c r="B706"/>
  <c r="A706"/>
  <c r="K705"/>
  <c r="J705"/>
  <c r="I705"/>
  <c r="H705"/>
  <c r="G705"/>
  <c r="F705"/>
  <c r="E705"/>
  <c r="D705"/>
  <c r="C705"/>
  <c r="B705"/>
  <c r="A705"/>
  <c r="K704"/>
  <c r="J704"/>
  <c r="I704"/>
  <c r="H704"/>
  <c r="G704"/>
  <c r="F704"/>
  <c r="E704"/>
  <c r="D704"/>
  <c r="C704"/>
  <c r="B704"/>
  <c r="A704"/>
  <c r="K703"/>
  <c r="J703"/>
  <c r="I703"/>
  <c r="H703"/>
  <c r="G703"/>
  <c r="F703"/>
  <c r="E703"/>
  <c r="D703"/>
  <c r="C703"/>
  <c r="B703"/>
  <c r="A703"/>
  <c r="K702"/>
  <c r="J702"/>
  <c r="I702"/>
  <c r="H702"/>
  <c r="G702"/>
  <c r="F702"/>
  <c r="E702"/>
  <c r="D702"/>
  <c r="C702"/>
  <c r="B702"/>
  <c r="A702"/>
  <c r="K701"/>
  <c r="J701"/>
  <c r="I701"/>
  <c r="H701"/>
  <c r="G701"/>
  <c r="F701"/>
  <c r="E701"/>
  <c r="D701"/>
  <c r="C701"/>
  <c r="B701"/>
  <c r="A701"/>
  <c r="K700"/>
  <c r="J700"/>
  <c r="I700"/>
  <c r="H700"/>
  <c r="G700"/>
  <c r="F700"/>
  <c r="E700"/>
  <c r="D700"/>
  <c r="C700"/>
  <c r="B700"/>
  <c r="A700"/>
  <c r="K699"/>
  <c r="J699"/>
  <c r="I699"/>
  <c r="H699"/>
  <c r="G699"/>
  <c r="F699"/>
  <c r="E699"/>
  <c r="D699"/>
  <c r="C699"/>
  <c r="B699"/>
  <c r="A699"/>
  <c r="K698"/>
  <c r="J698"/>
  <c r="I698"/>
  <c r="H698"/>
  <c r="G698"/>
  <c r="F698"/>
  <c r="E698"/>
  <c r="D698"/>
  <c r="C698"/>
  <c r="B698"/>
  <c r="A698"/>
  <c r="K697"/>
  <c r="J697"/>
  <c r="I697"/>
  <c r="H697"/>
  <c r="G697"/>
  <c r="F697"/>
  <c r="E697"/>
  <c r="D697"/>
  <c r="C697"/>
  <c r="B697"/>
  <c r="A697"/>
  <c r="K696"/>
  <c r="J696"/>
  <c r="I696"/>
  <c r="H696"/>
  <c r="G696"/>
  <c r="F696"/>
  <c r="E696"/>
  <c r="D696"/>
  <c r="C696"/>
  <c r="B696"/>
  <c r="A696"/>
  <c r="K695"/>
  <c r="J695"/>
  <c r="I695"/>
  <c r="H695"/>
  <c r="G695"/>
  <c r="F695"/>
  <c r="E695"/>
  <c r="D695"/>
  <c r="C695"/>
  <c r="B695"/>
  <c r="A695"/>
  <c r="K694"/>
  <c r="J694"/>
  <c r="I694"/>
  <c r="H694"/>
  <c r="G694"/>
  <c r="F694"/>
  <c r="E694"/>
  <c r="D694"/>
  <c r="C694"/>
  <c r="B694"/>
  <c r="A694"/>
  <c r="K693"/>
  <c r="J693"/>
  <c r="I693"/>
  <c r="H693"/>
  <c r="G693"/>
  <c r="F693"/>
  <c r="E693"/>
  <c r="D693"/>
  <c r="C693"/>
  <c r="B693"/>
  <c r="A693"/>
  <c r="K692"/>
  <c r="J692"/>
  <c r="I692"/>
  <c r="H692"/>
  <c r="G692"/>
  <c r="F692"/>
  <c r="E692"/>
  <c r="D692"/>
  <c r="C692"/>
  <c r="B692"/>
  <c r="A692"/>
  <c r="K691"/>
  <c r="J691"/>
  <c r="I691"/>
  <c r="H691"/>
  <c r="G691"/>
  <c r="F691"/>
  <c r="E691"/>
  <c r="D691"/>
  <c r="C691"/>
  <c r="B691"/>
  <c r="A691"/>
  <c r="K690"/>
  <c r="J690"/>
  <c r="I690"/>
  <c r="H690"/>
  <c r="G690"/>
  <c r="F690"/>
  <c r="E690"/>
  <c r="D690"/>
  <c r="C690"/>
  <c r="B690"/>
  <c r="A690"/>
  <c r="K689"/>
  <c r="J689"/>
  <c r="I689"/>
  <c r="H689"/>
  <c r="G689"/>
  <c r="F689"/>
  <c r="E689"/>
  <c r="D689"/>
  <c r="C689"/>
  <c r="B689"/>
  <c r="A689"/>
  <c r="K688"/>
  <c r="J688"/>
  <c r="I688"/>
  <c r="H688"/>
  <c r="G688"/>
  <c r="F688"/>
  <c r="E688"/>
  <c r="D688"/>
  <c r="C688"/>
  <c r="B688"/>
  <c r="A688"/>
  <c r="K687"/>
  <c r="J687"/>
  <c r="I687"/>
  <c r="H687"/>
  <c r="G687"/>
  <c r="F687"/>
  <c r="E687"/>
  <c r="D687"/>
  <c r="C687"/>
  <c r="B687"/>
  <c r="A687"/>
  <c r="K686"/>
  <c r="J686"/>
  <c r="I686"/>
  <c r="H686"/>
  <c r="G686"/>
  <c r="F686"/>
  <c r="E686"/>
  <c r="D686"/>
  <c r="C686"/>
  <c r="B686"/>
  <c r="A686"/>
  <c r="K685"/>
  <c r="J685"/>
  <c r="I685"/>
  <c r="H685"/>
  <c r="G685"/>
  <c r="F685"/>
  <c r="E685"/>
  <c r="D685"/>
  <c r="C685"/>
  <c r="B685"/>
  <c r="A685"/>
  <c r="K684"/>
  <c r="J684"/>
  <c r="I684"/>
  <c r="H684"/>
  <c r="G684"/>
  <c r="F684"/>
  <c r="E684"/>
  <c r="D684"/>
  <c r="C684"/>
  <c r="B684"/>
  <c r="A684"/>
  <c r="K683"/>
  <c r="J683"/>
  <c r="I683"/>
  <c r="H683"/>
  <c r="G683"/>
  <c r="F683"/>
  <c r="E683"/>
  <c r="D683"/>
  <c r="C683"/>
  <c r="B683"/>
  <c r="A683"/>
  <c r="K682"/>
  <c r="J682"/>
  <c r="I682"/>
  <c r="H682"/>
  <c r="G682"/>
  <c r="F682"/>
  <c r="E682"/>
  <c r="D682"/>
  <c r="C682"/>
  <c r="B682"/>
  <c r="A682"/>
  <c r="K681"/>
  <c r="J681"/>
  <c r="I681"/>
  <c r="H681"/>
  <c r="G681"/>
  <c r="F681"/>
  <c r="E681"/>
  <c r="D681"/>
  <c r="C681"/>
  <c r="B681"/>
  <c r="A681"/>
  <c r="K680"/>
  <c r="J680"/>
  <c r="I680"/>
  <c r="H680"/>
  <c r="G680"/>
  <c r="F680"/>
  <c r="E680"/>
  <c r="D680"/>
  <c r="C680"/>
  <c r="B680"/>
  <c r="A680"/>
  <c r="K679"/>
  <c r="J679"/>
  <c r="I679"/>
  <c r="H679"/>
  <c r="G679"/>
  <c r="F679"/>
  <c r="E679"/>
  <c r="D679"/>
  <c r="C679"/>
  <c r="B679"/>
  <c r="A679"/>
  <c r="K678"/>
  <c r="J678"/>
  <c r="I678"/>
  <c r="H678"/>
  <c r="G678"/>
  <c r="F678"/>
  <c r="E678"/>
  <c r="D678"/>
  <c r="C678"/>
  <c r="B678"/>
  <c r="A678"/>
  <c r="K677"/>
  <c r="J677"/>
  <c r="I677"/>
  <c r="H677"/>
  <c r="G677"/>
  <c r="F677"/>
  <c r="E677"/>
  <c r="D677"/>
  <c r="C677"/>
  <c r="B677"/>
  <c r="A677"/>
  <c r="K676"/>
  <c r="J676"/>
  <c r="I676"/>
  <c r="H676"/>
  <c r="G676"/>
  <c r="F676"/>
  <c r="E676"/>
  <c r="D676"/>
  <c r="C676"/>
  <c r="B676"/>
  <c r="A676"/>
  <c r="K675"/>
  <c r="J675"/>
  <c r="I675"/>
  <c r="H675"/>
  <c r="G675"/>
  <c r="F675"/>
  <c r="E675"/>
  <c r="D675"/>
  <c r="C675"/>
  <c r="B675"/>
  <c r="A675"/>
  <c r="K674"/>
  <c r="J674"/>
  <c r="I674"/>
  <c r="H674"/>
  <c r="G674"/>
  <c r="F674"/>
  <c r="E674"/>
  <c r="D674"/>
  <c r="C674"/>
  <c r="B674"/>
  <c r="A674"/>
  <c r="K673"/>
  <c r="J673"/>
  <c r="I673"/>
  <c r="H673"/>
  <c r="G673"/>
  <c r="F673"/>
  <c r="E673"/>
  <c r="D673"/>
  <c r="C673"/>
  <c r="B673"/>
  <c r="A673"/>
  <c r="K672"/>
  <c r="J672"/>
  <c r="I672"/>
  <c r="H672"/>
  <c r="G672"/>
  <c r="F672"/>
  <c r="E672"/>
  <c r="D672"/>
  <c r="C672"/>
  <c r="B672"/>
  <c r="A672"/>
  <c r="K671"/>
  <c r="J671"/>
  <c r="I671"/>
  <c r="H671"/>
  <c r="G671"/>
  <c r="F671"/>
  <c r="E671"/>
  <c r="D671"/>
  <c r="C671"/>
  <c r="B671"/>
  <c r="A671"/>
  <c r="K670"/>
  <c r="J670"/>
  <c r="I670"/>
  <c r="H670"/>
  <c r="G670"/>
  <c r="F670"/>
  <c r="E670"/>
  <c r="D670"/>
  <c r="C670"/>
  <c r="B670"/>
  <c r="A670"/>
  <c r="K669"/>
  <c r="J669"/>
  <c r="I669"/>
  <c r="H669"/>
  <c r="G669"/>
  <c r="F669"/>
  <c r="E669"/>
  <c r="D669"/>
  <c r="C669"/>
  <c r="B669"/>
  <c r="A669"/>
  <c r="K668"/>
  <c r="J668"/>
  <c r="I668"/>
  <c r="H668"/>
  <c r="G668"/>
  <c r="F668"/>
  <c r="E668"/>
  <c r="D668"/>
  <c r="C668"/>
  <c r="B668"/>
  <c r="A668"/>
  <c r="K667"/>
  <c r="J667"/>
  <c r="I667"/>
  <c r="H667"/>
  <c r="G667"/>
  <c r="F667"/>
  <c r="E667"/>
  <c r="D667"/>
  <c r="C667"/>
  <c r="B667"/>
  <c r="A667"/>
  <c r="K666"/>
  <c r="J666"/>
  <c r="I666"/>
  <c r="H666"/>
  <c r="G666"/>
  <c r="F666"/>
  <c r="E666"/>
  <c r="D666"/>
  <c r="C666"/>
  <c r="B666"/>
  <c r="A666"/>
  <c r="K665"/>
  <c r="J665"/>
  <c r="I665"/>
  <c r="H665"/>
  <c r="G665"/>
  <c r="F665"/>
  <c r="E665"/>
  <c r="D665"/>
  <c r="C665"/>
  <c r="B665"/>
  <c r="A665"/>
  <c r="K664"/>
  <c r="J664"/>
  <c r="I664"/>
  <c r="H664"/>
  <c r="G664"/>
  <c r="F664"/>
  <c r="E664"/>
  <c r="D664"/>
  <c r="C664"/>
  <c r="B664"/>
  <c r="A664"/>
  <c r="K663"/>
  <c r="J663"/>
  <c r="I663"/>
  <c r="H663"/>
  <c r="G663"/>
  <c r="F663"/>
  <c r="E663"/>
  <c r="D663"/>
  <c r="C663"/>
  <c r="B663"/>
  <c r="A663"/>
  <c r="K662"/>
  <c r="J662"/>
  <c r="I662"/>
  <c r="H662"/>
  <c r="G662"/>
  <c r="F662"/>
  <c r="E662"/>
  <c r="D662"/>
  <c r="C662"/>
  <c r="B662"/>
  <c r="A662"/>
  <c r="K661"/>
  <c r="J661"/>
  <c r="I661"/>
  <c r="H661"/>
  <c r="G661"/>
  <c r="F661"/>
  <c r="E661"/>
  <c r="D661"/>
  <c r="C661"/>
  <c r="B661"/>
  <c r="A661"/>
  <c r="K660"/>
  <c r="J660"/>
  <c r="I660"/>
  <c r="H660"/>
  <c r="G660"/>
  <c r="F660"/>
  <c r="E660"/>
  <c r="D660"/>
  <c r="C660"/>
  <c r="B660"/>
  <c r="A660"/>
  <c r="K659"/>
  <c r="J659"/>
  <c r="I659"/>
  <c r="H659"/>
  <c r="G659"/>
  <c r="F659"/>
  <c r="E659"/>
  <c r="D659"/>
  <c r="C659"/>
  <c r="B659"/>
  <c r="A659"/>
  <c r="K658"/>
  <c r="J658"/>
  <c r="I658"/>
  <c r="H658"/>
  <c r="G658"/>
  <c r="F658"/>
  <c r="E658"/>
  <c r="D658"/>
  <c r="C658"/>
  <c r="B658"/>
  <c r="A658"/>
  <c r="K657"/>
  <c r="J657"/>
  <c r="I657"/>
  <c r="H657"/>
  <c r="G657"/>
  <c r="F657"/>
  <c r="E657"/>
  <c r="D657"/>
  <c r="C657"/>
  <c r="B657"/>
  <c r="A657"/>
  <c r="K656"/>
  <c r="J656"/>
  <c r="I656"/>
  <c r="H656"/>
  <c r="G656"/>
  <c r="F656"/>
  <c r="E656"/>
  <c r="D656"/>
  <c r="C656"/>
  <c r="B656"/>
  <c r="A656"/>
  <c r="K655"/>
  <c r="J655"/>
  <c r="I655"/>
  <c r="H655"/>
  <c r="G655"/>
  <c r="F655"/>
  <c r="E655"/>
  <c r="D655"/>
  <c r="C655"/>
  <c r="B655"/>
  <c r="A655"/>
  <c r="K654"/>
  <c r="J654"/>
  <c r="I654"/>
  <c r="H654"/>
  <c r="G654"/>
  <c r="F654"/>
  <c r="E654"/>
  <c r="D654"/>
  <c r="C654"/>
  <c r="B654"/>
  <c r="A654"/>
  <c r="K653"/>
  <c r="J653"/>
  <c r="I653"/>
  <c r="H653"/>
  <c r="G653"/>
  <c r="F653"/>
  <c r="E653"/>
  <c r="D653"/>
  <c r="C653"/>
  <c r="B653"/>
  <c r="A653"/>
  <c r="K652"/>
  <c r="J652"/>
  <c r="I652"/>
  <c r="H652"/>
  <c r="G652"/>
  <c r="F652"/>
  <c r="E652"/>
  <c r="D652"/>
  <c r="C652"/>
  <c r="B652"/>
  <c r="A652"/>
  <c r="K651"/>
  <c r="J651"/>
  <c r="I651"/>
  <c r="H651"/>
  <c r="G651"/>
  <c r="F651"/>
  <c r="E651"/>
  <c r="D651"/>
  <c r="C651"/>
  <c r="B651"/>
  <c r="A651"/>
  <c r="K650"/>
  <c r="J650"/>
  <c r="I650"/>
  <c r="H650"/>
  <c r="G650"/>
  <c r="F650"/>
  <c r="E650"/>
  <c r="D650"/>
  <c r="C650"/>
  <c r="B650"/>
  <c r="A650"/>
  <c r="K649"/>
  <c r="J649"/>
  <c r="I649"/>
  <c r="H649"/>
  <c r="G649"/>
  <c r="F649"/>
  <c r="E649"/>
  <c r="D649"/>
  <c r="C649"/>
  <c r="B649"/>
  <c r="A649"/>
  <c r="K648"/>
  <c r="J648"/>
  <c r="I648"/>
  <c r="H648"/>
  <c r="G648"/>
  <c r="F648"/>
  <c r="E648"/>
  <c r="D648"/>
  <c r="C648"/>
  <c r="B648"/>
  <c r="A648"/>
  <c r="K647"/>
  <c r="J647"/>
  <c r="I647"/>
  <c r="H647"/>
  <c r="G647"/>
  <c r="F647"/>
  <c r="E647"/>
  <c r="D647"/>
  <c r="C647"/>
  <c r="B647"/>
  <c r="A647"/>
  <c r="K646"/>
  <c r="J646"/>
  <c r="I646"/>
  <c r="H646"/>
  <c r="G646"/>
  <c r="F646"/>
  <c r="E646"/>
  <c r="D646"/>
  <c r="C646"/>
  <c r="B646"/>
  <c r="A646"/>
  <c r="K645"/>
  <c r="J645"/>
  <c r="I645"/>
  <c r="H645"/>
  <c r="G645"/>
  <c r="F645"/>
  <c r="E645"/>
  <c r="D645"/>
  <c r="C645"/>
  <c r="B645"/>
  <c r="A645"/>
  <c r="K644"/>
  <c r="J644"/>
  <c r="I644"/>
  <c r="H644"/>
  <c r="G644"/>
  <c r="F644"/>
  <c r="E644"/>
  <c r="D644"/>
  <c r="C644"/>
  <c r="B644"/>
  <c r="A644"/>
  <c r="K643"/>
  <c r="J643"/>
  <c r="I643"/>
  <c r="H643"/>
  <c r="G643"/>
  <c r="F643"/>
  <c r="E643"/>
  <c r="D643"/>
  <c r="C643"/>
  <c r="B643"/>
  <c r="A643"/>
  <c r="K642"/>
  <c r="J642"/>
  <c r="I642"/>
  <c r="H642"/>
  <c r="G642"/>
  <c r="F642"/>
  <c r="E642"/>
  <c r="D642"/>
  <c r="C642"/>
  <c r="B642"/>
  <c r="A642"/>
  <c r="K641"/>
  <c r="J641"/>
  <c r="I641"/>
  <c r="H641"/>
  <c r="G641"/>
  <c r="F641"/>
  <c r="E641"/>
  <c r="D641"/>
  <c r="C641"/>
  <c r="B641"/>
  <c r="A641"/>
  <c r="K640"/>
  <c r="J640"/>
  <c r="I640"/>
  <c r="H640"/>
  <c r="G640"/>
  <c r="F640"/>
  <c r="E640"/>
  <c r="D640"/>
  <c r="C640"/>
  <c r="B640"/>
  <c r="A640"/>
  <c r="K639"/>
  <c r="J639"/>
  <c r="I639"/>
  <c r="H639"/>
  <c r="G639"/>
  <c r="F639"/>
  <c r="E639"/>
  <c r="D639"/>
  <c r="C639"/>
  <c r="B639"/>
  <c r="A639"/>
  <c r="K638"/>
  <c r="J638"/>
  <c r="I638"/>
  <c r="H638"/>
  <c r="G638"/>
  <c r="F638"/>
  <c r="E638"/>
  <c r="D638"/>
  <c r="C638"/>
  <c r="B638"/>
  <c r="A638"/>
  <c r="K637"/>
  <c r="J637"/>
  <c r="I637"/>
  <c r="H637"/>
  <c r="G637"/>
  <c r="F637"/>
  <c r="E637"/>
  <c r="D637"/>
  <c r="C637"/>
  <c r="B637"/>
  <c r="A637"/>
  <c r="K636"/>
  <c r="J636"/>
  <c r="I636"/>
  <c r="H636"/>
  <c r="G636"/>
  <c r="F636"/>
  <c r="E636"/>
  <c r="D636"/>
  <c r="C636"/>
  <c r="B636"/>
  <c r="A636"/>
  <c r="K635"/>
  <c r="J635"/>
  <c r="I635"/>
  <c r="H635"/>
  <c r="G635"/>
  <c r="F635"/>
  <c r="E635"/>
  <c r="D635"/>
  <c r="C635"/>
  <c r="B635"/>
  <c r="A635"/>
  <c r="K634"/>
  <c r="J634"/>
  <c r="I634"/>
  <c r="H634"/>
  <c r="G634"/>
  <c r="F634"/>
  <c r="E634"/>
  <c r="D634"/>
  <c r="C634"/>
  <c r="B634"/>
  <c r="A634"/>
  <c r="K633"/>
  <c r="J633"/>
  <c r="I633"/>
  <c r="H633"/>
  <c r="G633"/>
  <c r="F633"/>
  <c r="E633"/>
  <c r="D633"/>
  <c r="C633"/>
  <c r="B633"/>
  <c r="A633"/>
  <c r="K632"/>
  <c r="J632"/>
  <c r="I632"/>
  <c r="H632"/>
  <c r="G632"/>
  <c r="F632"/>
  <c r="E632"/>
  <c r="D632"/>
  <c r="C632"/>
  <c r="B632"/>
  <c r="A632"/>
  <c r="K631"/>
  <c r="J631"/>
  <c r="I631"/>
  <c r="H631"/>
  <c r="G631"/>
  <c r="F631"/>
  <c r="E631"/>
  <c r="D631"/>
  <c r="C631"/>
  <c r="B631"/>
  <c r="A631"/>
  <c r="K630"/>
  <c r="J630"/>
  <c r="I630"/>
  <c r="H630"/>
  <c r="G630"/>
  <c r="F630"/>
  <c r="E630"/>
  <c r="D630"/>
  <c r="C630"/>
  <c r="B630"/>
  <c r="A630"/>
  <c r="K629"/>
  <c r="J629"/>
  <c r="I629"/>
  <c r="H629"/>
  <c r="G629"/>
  <c r="F629"/>
  <c r="E629"/>
  <c r="D629"/>
  <c r="C629"/>
  <c r="B629"/>
  <c r="A629"/>
  <c r="K628"/>
  <c r="J628"/>
  <c r="I628"/>
  <c r="H628"/>
  <c r="G628"/>
  <c r="F628"/>
  <c r="E628"/>
  <c r="D628"/>
  <c r="C628"/>
  <c r="B628"/>
  <c r="A628"/>
  <c r="K627"/>
  <c r="J627"/>
  <c r="I627"/>
  <c r="H627"/>
  <c r="G627"/>
  <c r="F627"/>
  <c r="E627"/>
  <c r="D627"/>
  <c r="C627"/>
  <c r="B627"/>
  <c r="A627"/>
  <c r="K626"/>
  <c r="J626"/>
  <c r="I626"/>
  <c r="H626"/>
  <c r="G626"/>
  <c r="F626"/>
  <c r="E626"/>
  <c r="D626"/>
  <c r="C626"/>
  <c r="B626"/>
  <c r="A626"/>
  <c r="K625"/>
  <c r="J625"/>
  <c r="I625"/>
  <c r="H625"/>
  <c r="G625"/>
  <c r="F625"/>
  <c r="E625"/>
  <c r="D625"/>
  <c r="C625"/>
  <c r="B625"/>
  <c r="A625"/>
  <c r="K624"/>
  <c r="J624"/>
  <c r="I624"/>
  <c r="H624"/>
  <c r="G624"/>
  <c r="F624"/>
  <c r="E624"/>
  <c r="D624"/>
  <c r="C624"/>
  <c r="B624"/>
  <c r="A624"/>
  <c r="K623"/>
  <c r="J623"/>
  <c r="I623"/>
  <c r="H623"/>
  <c r="G623"/>
  <c r="F623"/>
  <c r="E623"/>
  <c r="D623"/>
  <c r="C623"/>
  <c r="B623"/>
  <c r="A623"/>
  <c r="K622"/>
  <c r="J622"/>
  <c r="I622"/>
  <c r="H622"/>
  <c r="G622"/>
  <c r="F622"/>
  <c r="E622"/>
  <c r="D622"/>
  <c r="C622"/>
  <c r="B622"/>
  <c r="A622"/>
  <c r="K621"/>
  <c r="J621"/>
  <c r="I621"/>
  <c r="H621"/>
  <c r="G621"/>
  <c r="F621"/>
  <c r="E621"/>
  <c r="D621"/>
  <c r="C621"/>
  <c r="B621"/>
  <c r="A621"/>
  <c r="K620"/>
  <c r="J620"/>
  <c r="I620"/>
  <c r="H620"/>
  <c r="G620"/>
  <c r="F620"/>
  <c r="E620"/>
  <c r="D620"/>
  <c r="C620"/>
  <c r="B620"/>
  <c r="A620"/>
  <c r="K619"/>
  <c r="J619"/>
  <c r="I619"/>
  <c r="H619"/>
  <c r="G619"/>
  <c r="F619"/>
  <c r="E619"/>
  <c r="D619"/>
  <c r="C619"/>
  <c r="B619"/>
  <c r="A619"/>
  <c r="K618"/>
  <c r="J618"/>
  <c r="I618"/>
  <c r="H618"/>
  <c r="G618"/>
  <c r="F618"/>
  <c r="E618"/>
  <c r="D618"/>
  <c r="C618"/>
  <c r="B618"/>
  <c r="A618"/>
  <c r="K617"/>
  <c r="J617"/>
  <c r="I617"/>
  <c r="H617"/>
  <c r="G617"/>
  <c r="F617"/>
  <c r="E617"/>
  <c r="D617"/>
  <c r="C617"/>
  <c r="B617"/>
  <c r="A617"/>
  <c r="K616"/>
  <c r="J616"/>
  <c r="I616"/>
  <c r="H616"/>
  <c r="G616"/>
  <c r="F616"/>
  <c r="E616"/>
  <c r="D616"/>
  <c r="C616"/>
  <c r="B616"/>
  <c r="A616"/>
  <c r="K615"/>
  <c r="J615"/>
  <c r="I615"/>
  <c r="H615"/>
  <c r="G615"/>
  <c r="F615"/>
  <c r="E615"/>
  <c r="D615"/>
  <c r="C615"/>
  <c r="B615"/>
  <c r="A615"/>
  <c r="K614"/>
  <c r="J614"/>
  <c r="I614"/>
  <c r="H614"/>
  <c r="G614"/>
  <c r="F614"/>
  <c r="E614"/>
  <c r="D614"/>
  <c r="C614"/>
  <c r="B614"/>
  <c r="A614"/>
  <c r="K613"/>
  <c r="J613"/>
  <c r="I613"/>
  <c r="H613"/>
  <c r="G613"/>
  <c r="F613"/>
  <c r="E613"/>
  <c r="D613"/>
  <c r="C613"/>
  <c r="B613"/>
  <c r="A613"/>
  <c r="K612"/>
  <c r="J612"/>
  <c r="I612"/>
  <c r="H612"/>
  <c r="G612"/>
  <c r="F612"/>
  <c r="E612"/>
  <c r="D612"/>
  <c r="C612"/>
  <c r="B612"/>
  <c r="A612"/>
  <c r="K611"/>
  <c r="J611"/>
  <c r="I611"/>
  <c r="H611"/>
  <c r="G611"/>
  <c r="F611"/>
  <c r="E611"/>
  <c r="D611"/>
  <c r="C611"/>
  <c r="B611"/>
  <c r="A611"/>
  <c r="K610"/>
  <c r="J610"/>
  <c r="I610"/>
  <c r="H610"/>
  <c r="G610"/>
  <c r="F610"/>
  <c r="E610"/>
  <c r="D610"/>
  <c r="C610"/>
  <c r="B610"/>
  <c r="A610"/>
  <c r="K609"/>
  <c r="J609"/>
  <c r="I609"/>
  <c r="H609"/>
  <c r="G609"/>
  <c r="F609"/>
  <c r="E609"/>
  <c r="D609"/>
  <c r="C609"/>
  <c r="B609"/>
  <c r="A609"/>
  <c r="K608"/>
  <c r="J608"/>
  <c r="I608"/>
  <c r="H608"/>
  <c r="G608"/>
  <c r="F608"/>
  <c r="E608"/>
  <c r="D608"/>
  <c r="C608"/>
  <c r="B608"/>
  <c r="A608"/>
  <c r="K607"/>
  <c r="J607"/>
  <c r="I607"/>
  <c r="H607"/>
  <c r="G607"/>
  <c r="F607"/>
  <c r="E607"/>
  <c r="D607"/>
  <c r="C607"/>
  <c r="B607"/>
  <c r="A607"/>
  <c r="K606"/>
  <c r="J606"/>
  <c r="I606"/>
  <c r="H606"/>
  <c r="G606"/>
  <c r="F606"/>
  <c r="E606"/>
  <c r="D606"/>
  <c r="C606"/>
  <c r="B606"/>
  <c r="A606"/>
  <c r="K605"/>
  <c r="J605"/>
  <c r="I605"/>
  <c r="H605"/>
  <c r="G605"/>
  <c r="F605"/>
  <c r="E605"/>
  <c r="D605"/>
  <c r="C605"/>
  <c r="B605"/>
  <c r="A605"/>
  <c r="K604"/>
  <c r="J604"/>
  <c r="I604"/>
  <c r="H604"/>
  <c r="G604"/>
  <c r="F604"/>
  <c r="E604"/>
  <c r="D604"/>
  <c r="C604"/>
  <c r="B604"/>
  <c r="A604"/>
  <c r="K603"/>
  <c r="J603"/>
  <c r="I603"/>
  <c r="H603"/>
  <c r="G603"/>
  <c r="F603"/>
  <c r="E603"/>
  <c r="D603"/>
  <c r="C603"/>
  <c r="B603"/>
  <c r="A603"/>
  <c r="K602"/>
  <c r="J602"/>
  <c r="I602"/>
  <c r="H602"/>
  <c r="G602"/>
  <c r="F602"/>
  <c r="E602"/>
  <c r="D602"/>
  <c r="C602"/>
  <c r="B602"/>
  <c r="A602"/>
  <c r="K601"/>
  <c r="J601"/>
  <c r="I601"/>
  <c r="H601"/>
  <c r="G601"/>
  <c r="F601"/>
  <c r="E601"/>
  <c r="D601"/>
  <c r="C601"/>
  <c r="B601"/>
  <c r="A601"/>
  <c r="K600"/>
  <c r="J600"/>
  <c r="I600"/>
  <c r="H600"/>
  <c r="G600"/>
  <c r="F600"/>
  <c r="E600"/>
  <c r="D600"/>
  <c r="C600"/>
  <c r="B600"/>
  <c r="A600"/>
  <c r="K599"/>
  <c r="J599"/>
  <c r="I599"/>
  <c r="H599"/>
  <c r="G599"/>
  <c r="F599"/>
  <c r="E599"/>
  <c r="D599"/>
  <c r="C599"/>
  <c r="B599"/>
  <c r="A599"/>
  <c r="K598"/>
  <c r="J598"/>
  <c r="I598"/>
  <c r="H598"/>
  <c r="G598"/>
  <c r="F598"/>
  <c r="E598"/>
  <c r="D598"/>
  <c r="C598"/>
  <c r="B598"/>
  <c r="A598"/>
  <c r="K597"/>
  <c r="J597"/>
  <c r="I597"/>
  <c r="H597"/>
  <c r="G597"/>
  <c r="F597"/>
  <c r="E597"/>
  <c r="D597"/>
  <c r="C597"/>
  <c r="B597"/>
  <c r="A597"/>
  <c r="K596"/>
  <c r="J596"/>
  <c r="I596"/>
  <c r="H596"/>
  <c r="G596"/>
  <c r="F596"/>
  <c r="E596"/>
  <c r="D596"/>
  <c r="C596"/>
  <c r="B596"/>
  <c r="A596"/>
  <c r="K595"/>
  <c r="J595"/>
  <c r="I595"/>
  <c r="H595"/>
  <c r="G595"/>
  <c r="F595"/>
  <c r="E595"/>
  <c r="D595"/>
  <c r="C595"/>
  <c r="B595"/>
  <c r="A595"/>
  <c r="K594"/>
  <c r="J594"/>
  <c r="I594"/>
  <c r="H594"/>
  <c r="G594"/>
  <c r="F594"/>
  <c r="E594"/>
  <c r="D594"/>
  <c r="C594"/>
  <c r="B594"/>
  <c r="A594"/>
  <c r="K593"/>
  <c r="J593"/>
  <c r="I593"/>
  <c r="H593"/>
  <c r="G593"/>
  <c r="F593"/>
  <c r="E593"/>
  <c r="D593"/>
  <c r="C593"/>
  <c r="B593"/>
  <c r="A593"/>
  <c r="K592"/>
  <c r="J592"/>
  <c r="I592"/>
  <c r="H592"/>
  <c r="G592"/>
  <c r="F592"/>
  <c r="E592"/>
  <c r="D592"/>
  <c r="C592"/>
  <c r="B592"/>
  <c r="A592"/>
  <c r="K591"/>
  <c r="J591"/>
  <c r="I591"/>
  <c r="H591"/>
  <c r="G591"/>
  <c r="F591"/>
  <c r="E591"/>
  <c r="D591"/>
  <c r="C591"/>
  <c r="B591"/>
  <c r="A591"/>
  <c r="K590"/>
  <c r="J590"/>
  <c r="I590"/>
  <c r="H590"/>
  <c r="G590"/>
  <c r="F590"/>
  <c r="E590"/>
  <c r="D590"/>
  <c r="C590"/>
  <c r="B590"/>
  <c r="A590"/>
  <c r="K589"/>
  <c r="J589"/>
  <c r="I589"/>
  <c r="H589"/>
  <c r="G589"/>
  <c r="F589"/>
  <c r="E589"/>
  <c r="D589"/>
  <c r="C589"/>
  <c r="B589"/>
  <c r="A589"/>
  <c r="K588"/>
  <c r="J588"/>
  <c r="I588"/>
  <c r="H588"/>
  <c r="G588"/>
  <c r="F588"/>
  <c r="E588"/>
  <c r="D588"/>
  <c r="C588"/>
  <c r="B588"/>
  <c r="A588"/>
  <c r="K587"/>
  <c r="J587"/>
  <c r="I587"/>
  <c r="H587"/>
  <c r="G587"/>
  <c r="F587"/>
  <c r="E587"/>
  <c r="D587"/>
  <c r="C587"/>
  <c r="B587"/>
  <c r="A587"/>
  <c r="K586"/>
  <c r="J586"/>
  <c r="I586"/>
  <c r="H586"/>
  <c r="G586"/>
  <c r="F586"/>
  <c r="E586"/>
  <c r="D586"/>
  <c r="C586"/>
  <c r="B586"/>
  <c r="A586"/>
  <c r="K585"/>
  <c r="J585"/>
  <c r="I585"/>
  <c r="H585"/>
  <c r="G585"/>
  <c r="F585"/>
  <c r="E585"/>
  <c r="D585"/>
  <c r="C585"/>
  <c r="B585"/>
  <c r="A585"/>
  <c r="K584"/>
  <c r="J584"/>
  <c r="I584"/>
  <c r="H584"/>
  <c r="G584"/>
  <c r="F584"/>
  <c r="E584"/>
  <c r="D584"/>
  <c r="C584"/>
  <c r="B584"/>
  <c r="A584"/>
  <c r="K583"/>
  <c r="J583"/>
  <c r="I583"/>
  <c r="H583"/>
  <c r="G583"/>
  <c r="F583"/>
  <c r="E583"/>
  <c r="D583"/>
  <c r="C583"/>
  <c r="B583"/>
  <c r="A583"/>
  <c r="K582"/>
  <c r="J582"/>
  <c r="I582"/>
  <c r="H582"/>
  <c r="G582"/>
  <c r="F582"/>
  <c r="E582"/>
  <c r="D582"/>
  <c r="C582"/>
  <c r="B582"/>
  <c r="A582"/>
  <c r="K581"/>
  <c r="J581"/>
  <c r="I581"/>
  <c r="H581"/>
  <c r="G581"/>
  <c r="F581"/>
  <c r="E581"/>
  <c r="D581"/>
  <c r="C581"/>
  <c r="B581"/>
  <c r="A581"/>
  <c r="K580"/>
  <c r="J580"/>
  <c r="I580"/>
  <c r="H580"/>
  <c r="G580"/>
  <c r="F580"/>
  <c r="E580"/>
  <c r="D580"/>
  <c r="C580"/>
  <c r="B580"/>
  <c r="A580"/>
  <c r="K579"/>
  <c r="J579"/>
  <c r="I579"/>
  <c r="H579"/>
  <c r="G579"/>
  <c r="F579"/>
  <c r="E579"/>
  <c r="D579"/>
  <c r="C579"/>
  <c r="B579"/>
  <c r="A579"/>
  <c r="K578"/>
  <c r="J578"/>
  <c r="I578"/>
  <c r="H578"/>
  <c r="G578"/>
  <c r="F578"/>
  <c r="E578"/>
  <c r="D578"/>
  <c r="C578"/>
  <c r="B578"/>
  <c r="A578"/>
  <c r="K577"/>
  <c r="J577"/>
  <c r="I577"/>
  <c r="H577"/>
  <c r="G577"/>
  <c r="F577"/>
  <c r="E577"/>
  <c r="D577"/>
  <c r="C577"/>
  <c r="B577"/>
  <c r="A577"/>
  <c r="K576"/>
  <c r="J576"/>
  <c r="I576"/>
  <c r="H576"/>
  <c r="G576"/>
  <c r="F576"/>
  <c r="E576"/>
  <c r="D576"/>
  <c r="C576"/>
  <c r="B576"/>
  <c r="A576"/>
  <c r="K575"/>
  <c r="J575"/>
  <c r="I575"/>
  <c r="H575"/>
  <c r="G575"/>
  <c r="F575"/>
  <c r="E575"/>
  <c r="D575"/>
  <c r="C575"/>
  <c r="B575"/>
  <c r="A575"/>
  <c r="K574"/>
  <c r="J574"/>
  <c r="I574"/>
  <c r="H574"/>
  <c r="G574"/>
  <c r="F574"/>
  <c r="E574"/>
  <c r="D574"/>
  <c r="C574"/>
  <c r="B574"/>
  <c r="A574"/>
  <c r="K573"/>
  <c r="J573"/>
  <c r="I573"/>
  <c r="H573"/>
  <c r="G573"/>
  <c r="F573"/>
  <c r="E573"/>
  <c r="D573"/>
  <c r="C573"/>
  <c r="B573"/>
  <c r="A573"/>
  <c r="K572"/>
  <c r="J572"/>
  <c r="I572"/>
  <c r="H572"/>
  <c r="G572"/>
  <c r="F572"/>
  <c r="E572"/>
  <c r="D572"/>
  <c r="C572"/>
  <c r="B572"/>
  <c r="A572"/>
  <c r="K571"/>
  <c r="J571"/>
  <c r="I571"/>
  <c r="H571"/>
  <c r="G571"/>
  <c r="F571"/>
  <c r="E571"/>
  <c r="D571"/>
  <c r="C571"/>
  <c r="B571"/>
  <c r="A571"/>
  <c r="K570"/>
  <c r="J570"/>
  <c r="I570"/>
  <c r="H570"/>
  <c r="G570"/>
  <c r="F570"/>
  <c r="E570"/>
  <c r="D570"/>
  <c r="C570"/>
  <c r="B570"/>
  <c r="A570"/>
  <c r="K569"/>
  <c r="J569"/>
  <c r="I569"/>
  <c r="H569"/>
  <c r="G569"/>
  <c r="F569"/>
  <c r="E569"/>
  <c r="D569"/>
  <c r="C569"/>
  <c r="B569"/>
  <c r="A569"/>
  <c r="K568"/>
  <c r="J568"/>
  <c r="I568"/>
  <c r="H568"/>
  <c r="G568"/>
  <c r="F568"/>
  <c r="E568"/>
  <c r="D568"/>
  <c r="C568"/>
  <c r="B568"/>
  <c r="A568"/>
  <c r="K567"/>
  <c r="J567"/>
  <c r="I567"/>
  <c r="H567"/>
  <c r="G567"/>
  <c r="F567"/>
  <c r="E567"/>
  <c r="D567"/>
  <c r="C567"/>
  <c r="B567"/>
  <c r="A567"/>
  <c r="K566"/>
  <c r="J566"/>
  <c r="I566"/>
  <c r="H566"/>
  <c r="G566"/>
  <c r="F566"/>
  <c r="E566"/>
  <c r="D566"/>
  <c r="C566"/>
  <c r="B566"/>
  <c r="A566"/>
  <c r="K565"/>
  <c r="J565"/>
  <c r="I565"/>
  <c r="H565"/>
  <c r="G565"/>
  <c r="F565"/>
  <c r="E565"/>
  <c r="D565"/>
  <c r="C565"/>
  <c r="B565"/>
  <c r="A565"/>
  <c r="K564"/>
  <c r="J564"/>
  <c r="I564"/>
  <c r="H564"/>
  <c r="G564"/>
  <c r="F564"/>
  <c r="E564"/>
  <c r="D564"/>
  <c r="C564"/>
  <c r="B564"/>
  <c r="A564"/>
  <c r="K563"/>
  <c r="J563"/>
  <c r="I563"/>
  <c r="H563"/>
  <c r="G563"/>
  <c r="F563"/>
  <c r="E563"/>
  <c r="D563"/>
  <c r="C563"/>
  <c r="B563"/>
  <c r="A563"/>
  <c r="K562"/>
  <c r="J562"/>
  <c r="I562"/>
  <c r="H562"/>
  <c r="G562"/>
  <c r="F562"/>
  <c r="E562"/>
  <c r="D562"/>
  <c r="C562"/>
  <c r="B562"/>
  <c r="A562"/>
  <c r="K561"/>
  <c r="J561"/>
  <c r="I561"/>
  <c r="H561"/>
  <c r="G561"/>
  <c r="F561"/>
  <c r="E561"/>
  <c r="D561"/>
  <c r="C561"/>
  <c r="B561"/>
  <c r="A561"/>
  <c r="K560"/>
  <c r="J560"/>
  <c r="I560"/>
  <c r="H560"/>
  <c r="G560"/>
  <c r="F560"/>
  <c r="E560"/>
  <c r="D560"/>
  <c r="C560"/>
  <c r="B560"/>
  <c r="A560"/>
  <c r="K559"/>
  <c r="J559"/>
  <c r="I559"/>
  <c r="H559"/>
  <c r="G559"/>
  <c r="F559"/>
  <c r="E559"/>
  <c r="D559"/>
  <c r="C559"/>
  <c r="B559"/>
  <c r="A559"/>
  <c r="K558"/>
  <c r="J558"/>
  <c r="I558"/>
  <c r="H558"/>
  <c r="G558"/>
  <c r="F558"/>
  <c r="E558"/>
  <c r="D558"/>
  <c r="C558"/>
  <c r="B558"/>
  <c r="A558"/>
  <c r="K557"/>
  <c r="J557"/>
  <c r="I557"/>
  <c r="H557"/>
  <c r="G557"/>
  <c r="F557"/>
  <c r="E557"/>
  <c r="D557"/>
  <c r="C557"/>
  <c r="B557"/>
  <c r="A557"/>
  <c r="K556"/>
  <c r="J556"/>
  <c r="I556"/>
  <c r="H556"/>
  <c r="G556"/>
  <c r="F556"/>
  <c r="E556"/>
  <c r="D556"/>
  <c r="C556"/>
  <c r="B556"/>
  <c r="A556"/>
  <c r="K555"/>
  <c r="J555"/>
  <c r="I555"/>
  <c r="H555"/>
  <c r="G555"/>
  <c r="F555"/>
  <c r="E555"/>
  <c r="D555"/>
  <c r="C555"/>
  <c r="B555"/>
  <c r="A555"/>
  <c r="K554"/>
  <c r="J554"/>
  <c r="I554"/>
  <c r="H554"/>
  <c r="G554"/>
  <c r="F554"/>
  <c r="E554"/>
  <c r="D554"/>
  <c r="C554"/>
  <c r="B554"/>
  <c r="A554"/>
  <c r="K553"/>
  <c r="J553"/>
  <c r="I553"/>
  <c r="H553"/>
  <c r="G553"/>
  <c r="F553"/>
  <c r="E553"/>
  <c r="D553"/>
  <c r="C553"/>
  <c r="B553"/>
  <c r="A553"/>
  <c r="K552"/>
  <c r="J552"/>
  <c r="I552"/>
  <c r="H552"/>
  <c r="G552"/>
  <c r="F552"/>
  <c r="E552"/>
  <c r="D552"/>
  <c r="C552"/>
  <c r="B552"/>
  <c r="A552"/>
  <c r="K551"/>
  <c r="J551"/>
  <c r="I551"/>
  <c r="H551"/>
  <c r="G551"/>
  <c r="F551"/>
  <c r="E551"/>
  <c r="D551"/>
  <c r="C551"/>
  <c r="B551"/>
  <c r="A551"/>
  <c r="K550"/>
  <c r="J550"/>
  <c r="I550"/>
  <c r="H550"/>
  <c r="G550"/>
  <c r="F550"/>
  <c r="E550"/>
  <c r="D550"/>
  <c r="C550"/>
  <c r="B550"/>
  <c r="A550"/>
  <c r="K549"/>
  <c r="J549"/>
  <c r="I549"/>
  <c r="H549"/>
  <c r="G549"/>
  <c r="F549"/>
  <c r="E549"/>
  <c r="D549"/>
  <c r="C549"/>
  <c r="B549"/>
  <c r="A549"/>
  <c r="K548"/>
  <c r="J548"/>
  <c r="I548"/>
  <c r="H548"/>
  <c r="G548"/>
  <c r="F548"/>
  <c r="E548"/>
  <c r="D548"/>
  <c r="C548"/>
  <c r="B548"/>
  <c r="A548"/>
  <c r="K547"/>
  <c r="J547"/>
  <c r="I547"/>
  <c r="H547"/>
  <c r="G547"/>
  <c r="F547"/>
  <c r="E547"/>
  <c r="D547"/>
  <c r="C547"/>
  <c r="B547"/>
  <c r="A547"/>
  <c r="K546"/>
  <c r="J546"/>
  <c r="I546"/>
  <c r="H546"/>
  <c r="G546"/>
  <c r="F546"/>
  <c r="E546"/>
  <c r="D546"/>
  <c r="C546"/>
  <c r="B546"/>
  <c r="A546"/>
  <c r="K545"/>
  <c r="J545"/>
  <c r="I545"/>
  <c r="H545"/>
  <c r="G545"/>
  <c r="F545"/>
  <c r="E545"/>
  <c r="D545"/>
  <c r="C545"/>
  <c r="B545"/>
  <c r="A545"/>
  <c r="K544"/>
  <c r="J544"/>
  <c r="I544"/>
  <c r="H544"/>
  <c r="G544"/>
  <c r="F544"/>
  <c r="E544"/>
  <c r="D544"/>
  <c r="C544"/>
  <c r="B544"/>
  <c r="A544"/>
  <c r="K543"/>
  <c r="J543"/>
  <c r="I543"/>
  <c r="H543"/>
  <c r="G543"/>
  <c r="F543"/>
  <c r="E543"/>
  <c r="D543"/>
  <c r="C543"/>
  <c r="B543"/>
  <c r="A543"/>
  <c r="K542"/>
  <c r="J542"/>
  <c r="I542"/>
  <c r="H542"/>
  <c r="G542"/>
  <c r="F542"/>
  <c r="E542"/>
  <c r="D542"/>
  <c r="C542"/>
  <c r="B542"/>
  <c r="A542"/>
  <c r="K541"/>
  <c r="J541"/>
  <c r="I541"/>
  <c r="H541"/>
  <c r="G541"/>
  <c r="F541"/>
  <c r="E541"/>
  <c r="D541"/>
  <c r="C541"/>
  <c r="B541"/>
  <c r="A541"/>
  <c r="K540"/>
  <c r="J540"/>
  <c r="I540"/>
  <c r="H540"/>
  <c r="G540"/>
  <c r="F540"/>
  <c r="E540"/>
  <c r="D540"/>
  <c r="C540"/>
  <c r="B540"/>
  <c r="A540"/>
  <c r="K539"/>
  <c r="J539"/>
  <c r="I539"/>
  <c r="H539"/>
  <c r="G539"/>
  <c r="F539"/>
  <c r="E539"/>
  <c r="D539"/>
  <c r="C539"/>
  <c r="B539"/>
  <c r="A539"/>
  <c r="K538"/>
  <c r="J538"/>
  <c r="I538"/>
  <c r="H538"/>
  <c r="G538"/>
  <c r="F538"/>
  <c r="E538"/>
  <c r="D538"/>
  <c r="C538"/>
  <c r="B538"/>
  <c r="A538"/>
  <c r="K537"/>
  <c r="J537"/>
  <c r="I537"/>
  <c r="H537"/>
  <c r="G537"/>
  <c r="F537"/>
  <c r="E537"/>
  <c r="D537"/>
  <c r="C537"/>
  <c r="B537"/>
  <c r="A537"/>
  <c r="K536"/>
  <c r="J536"/>
  <c r="I536"/>
  <c r="H536"/>
  <c r="G536"/>
  <c r="F536"/>
  <c r="E536"/>
  <c r="D536"/>
  <c r="C536"/>
  <c r="B536"/>
  <c r="A536"/>
  <c r="K535"/>
  <c r="J535"/>
  <c r="I535"/>
  <c r="H535"/>
  <c r="G535"/>
  <c r="F535"/>
  <c r="E535"/>
  <c r="D535"/>
  <c r="C535"/>
  <c r="B535"/>
  <c r="A535"/>
  <c r="K534"/>
  <c r="J534"/>
  <c r="I534"/>
  <c r="H534"/>
  <c r="G534"/>
  <c r="F534"/>
  <c r="E534"/>
  <c r="D534"/>
  <c r="C534"/>
  <c r="B534"/>
  <c r="A534"/>
  <c r="K533"/>
  <c r="J533"/>
  <c r="I533"/>
  <c r="H533"/>
  <c r="G533"/>
  <c r="F533"/>
  <c r="E533"/>
  <c r="D533"/>
  <c r="C533"/>
  <c r="B533"/>
  <c r="A533"/>
  <c r="K532"/>
  <c r="J532"/>
  <c r="I532"/>
  <c r="H532"/>
  <c r="G532"/>
  <c r="F532"/>
  <c r="E532"/>
  <c r="D532"/>
  <c r="C532"/>
  <c r="B532"/>
  <c r="A532"/>
  <c r="K531"/>
  <c r="J531"/>
  <c r="I531"/>
  <c r="H531"/>
  <c r="G531"/>
  <c r="F531"/>
  <c r="E531"/>
  <c r="D531"/>
  <c r="C531"/>
  <c r="B531"/>
  <c r="A531"/>
  <c r="K530"/>
  <c r="J530"/>
  <c r="I530"/>
  <c r="H530"/>
  <c r="G530"/>
  <c r="F530"/>
  <c r="E530"/>
  <c r="D530"/>
  <c r="C530"/>
  <c r="B530"/>
  <c r="A530"/>
  <c r="K529"/>
  <c r="J529"/>
  <c r="I529"/>
  <c r="H529"/>
  <c r="G529"/>
  <c r="F529"/>
  <c r="E529"/>
  <c r="D529"/>
  <c r="C529"/>
  <c r="B529"/>
  <c r="A529"/>
  <c r="K528"/>
  <c r="J528"/>
  <c r="I528"/>
  <c r="H528"/>
  <c r="G528"/>
  <c r="F528"/>
  <c r="E528"/>
  <c r="D528"/>
  <c r="C528"/>
  <c r="B528"/>
  <c r="A528"/>
  <c r="K527"/>
  <c r="J527"/>
  <c r="I527"/>
  <c r="H527"/>
  <c r="G527"/>
  <c r="F527"/>
  <c r="E527"/>
  <c r="D527"/>
  <c r="C527"/>
  <c r="B527"/>
  <c r="A527"/>
  <c r="K526"/>
  <c r="J526"/>
  <c r="I526"/>
  <c r="H526"/>
  <c r="G526"/>
  <c r="F526"/>
  <c r="E526"/>
  <c r="D526"/>
  <c r="C526"/>
  <c r="B526"/>
  <c r="A526"/>
  <c r="K525"/>
  <c r="J525"/>
  <c r="I525"/>
  <c r="H525"/>
  <c r="G525"/>
  <c r="F525"/>
  <c r="E525"/>
  <c r="D525"/>
  <c r="C525"/>
  <c r="B525"/>
  <c r="A525"/>
  <c r="K524"/>
  <c r="J524"/>
  <c r="I524"/>
  <c r="H524"/>
  <c r="G524"/>
  <c r="F524"/>
  <c r="E524"/>
  <c r="D524"/>
  <c r="C524"/>
  <c r="B524"/>
  <c r="A524"/>
  <c r="K523"/>
  <c r="J523"/>
  <c r="I523"/>
  <c r="H523"/>
  <c r="G523"/>
  <c r="F523"/>
  <c r="E523"/>
  <c r="D523"/>
  <c r="C523"/>
  <c r="B523"/>
  <c r="A523"/>
  <c r="K522"/>
  <c r="J522"/>
  <c r="I522"/>
  <c r="H522"/>
  <c r="G522"/>
  <c r="F522"/>
  <c r="E522"/>
  <c r="D522"/>
  <c r="C522"/>
  <c r="B522"/>
  <c r="A522"/>
  <c r="K521"/>
  <c r="J521"/>
  <c r="I521"/>
  <c r="H521"/>
  <c r="G521"/>
  <c r="F521"/>
  <c r="E521"/>
  <c r="D521"/>
  <c r="C521"/>
  <c r="B521"/>
  <c r="A521"/>
  <c r="K520"/>
  <c r="J520"/>
  <c r="I520"/>
  <c r="H520"/>
  <c r="G520"/>
  <c r="F520"/>
  <c r="E520"/>
  <c r="D520"/>
  <c r="C520"/>
  <c r="B520"/>
  <c r="A520"/>
  <c r="K519"/>
  <c r="J519"/>
  <c r="I519"/>
  <c r="H519"/>
  <c r="G519"/>
  <c r="F519"/>
  <c r="E519"/>
  <c r="D519"/>
  <c r="C519"/>
  <c r="B519"/>
  <c r="A519"/>
  <c r="K518"/>
  <c r="J518"/>
  <c r="I518"/>
  <c r="H518"/>
  <c r="G518"/>
  <c r="F518"/>
  <c r="E518"/>
  <c r="D518"/>
  <c r="C518"/>
  <c r="B518"/>
  <c r="A518"/>
  <c r="K517"/>
  <c r="J517"/>
  <c r="I517"/>
  <c r="H517"/>
  <c r="G517"/>
  <c r="F517"/>
  <c r="E517"/>
  <c r="D517"/>
  <c r="C517"/>
  <c r="B517"/>
  <c r="A517"/>
  <c r="K516"/>
  <c r="J516"/>
  <c r="I516"/>
  <c r="H516"/>
  <c r="G516"/>
  <c r="F516"/>
  <c r="E516"/>
  <c r="D516"/>
  <c r="C516"/>
  <c r="B516"/>
  <c r="A516"/>
  <c r="K515"/>
  <c r="J515"/>
  <c r="I515"/>
  <c r="H515"/>
  <c r="G515"/>
  <c r="F515"/>
  <c r="E515"/>
  <c r="D515"/>
  <c r="C515"/>
  <c r="B515"/>
  <c r="A515"/>
  <c r="K514"/>
  <c r="J514"/>
  <c r="I514"/>
  <c r="H514"/>
  <c r="G514"/>
  <c r="F514"/>
  <c r="E514"/>
  <c r="D514"/>
  <c r="C514"/>
  <c r="B514"/>
  <c r="A514"/>
  <c r="K513"/>
  <c r="J513"/>
  <c r="I513"/>
  <c r="H513"/>
  <c r="G513"/>
  <c r="F513"/>
  <c r="E513"/>
  <c r="D513"/>
  <c r="C513"/>
  <c r="B513"/>
  <c r="A513"/>
  <c r="K512"/>
  <c r="J512"/>
  <c r="I512"/>
  <c r="H512"/>
  <c r="G512"/>
  <c r="F512"/>
  <c r="E512"/>
  <c r="D512"/>
  <c r="C512"/>
  <c r="B512"/>
  <c r="A512"/>
  <c r="K511"/>
  <c r="J511"/>
  <c r="I511"/>
  <c r="H511"/>
  <c r="G511"/>
  <c r="F511"/>
  <c r="E511"/>
  <c r="D511"/>
  <c r="C511"/>
  <c r="B511"/>
  <c r="A511"/>
  <c r="K510"/>
  <c r="J510"/>
  <c r="I510"/>
  <c r="H510"/>
  <c r="G510"/>
  <c r="F510"/>
  <c r="E510"/>
  <c r="D510"/>
  <c r="C510"/>
  <c r="B510"/>
  <c r="A510"/>
  <c r="K509"/>
  <c r="J509"/>
  <c r="I509"/>
  <c r="H509"/>
  <c r="G509"/>
  <c r="F509"/>
  <c r="E509"/>
  <c r="D509"/>
  <c r="C509"/>
  <c r="B509"/>
  <c r="A509"/>
  <c r="K508"/>
  <c r="J508"/>
  <c r="I508"/>
  <c r="H508"/>
  <c r="G508"/>
  <c r="F508"/>
  <c r="E508"/>
  <c r="D508"/>
  <c r="C508"/>
  <c r="B508"/>
  <c r="A508"/>
  <c r="K507"/>
  <c r="J507"/>
  <c r="I507"/>
  <c r="H507"/>
  <c r="G507"/>
  <c r="F507"/>
  <c r="E507"/>
  <c r="D507"/>
  <c r="C507"/>
  <c r="B507"/>
  <c r="A507"/>
  <c r="K506"/>
  <c r="J506"/>
  <c r="I506"/>
  <c r="H506"/>
  <c r="G506"/>
  <c r="F506"/>
  <c r="E506"/>
  <c r="D506"/>
  <c r="C506"/>
  <c r="B506"/>
  <c r="A506"/>
  <c r="K505"/>
  <c r="J505"/>
  <c r="I505"/>
  <c r="H505"/>
  <c r="G505"/>
  <c r="F505"/>
  <c r="E505"/>
  <c r="D505"/>
  <c r="C505"/>
  <c r="B505"/>
  <c r="A505"/>
  <c r="K504"/>
  <c r="J504"/>
  <c r="I504"/>
  <c r="H504"/>
  <c r="G504"/>
  <c r="F504"/>
  <c r="E504"/>
  <c r="D504"/>
  <c r="C504"/>
  <c r="B504"/>
  <c r="A504"/>
  <c r="K503"/>
  <c r="J503"/>
  <c r="I503"/>
  <c r="H503"/>
  <c r="G503"/>
  <c r="F503"/>
  <c r="E503"/>
  <c r="D503"/>
  <c r="C503"/>
  <c r="B503"/>
  <c r="A503"/>
  <c r="K502"/>
  <c r="J502"/>
  <c r="I502"/>
  <c r="H502"/>
  <c r="G502"/>
  <c r="F502"/>
  <c r="E502"/>
  <c r="D502"/>
  <c r="C502"/>
  <c r="B502"/>
  <c r="A502"/>
  <c r="K501"/>
  <c r="J501"/>
  <c r="I501"/>
  <c r="H501"/>
  <c r="G501"/>
  <c r="F501"/>
  <c r="E501"/>
  <c r="D501"/>
  <c r="C501"/>
  <c r="B501"/>
  <c r="A501"/>
  <c r="K500"/>
  <c r="J500"/>
  <c r="I500"/>
  <c r="H500"/>
  <c r="G500"/>
  <c r="F500"/>
  <c r="E500"/>
  <c r="D500"/>
  <c r="C500"/>
  <c r="B500"/>
  <c r="A500"/>
  <c r="K499"/>
  <c r="J499"/>
  <c r="I499"/>
  <c r="H499"/>
  <c r="G499"/>
  <c r="F499"/>
  <c r="E499"/>
  <c r="D499"/>
  <c r="C499"/>
  <c r="B499"/>
  <c r="A499"/>
  <c r="K498"/>
  <c r="J498"/>
  <c r="I498"/>
  <c r="H498"/>
  <c r="G498"/>
  <c r="F498"/>
  <c r="E498"/>
  <c r="D498"/>
  <c r="C498"/>
  <c r="B498"/>
  <c r="A498"/>
  <c r="K497"/>
  <c r="J497"/>
  <c r="I497"/>
  <c r="H497"/>
  <c r="G497"/>
  <c r="F497"/>
  <c r="E497"/>
  <c r="D497"/>
  <c r="C497"/>
  <c r="B497"/>
  <c r="A497"/>
  <c r="K496"/>
  <c r="J496"/>
  <c r="I496"/>
  <c r="H496"/>
  <c r="G496"/>
  <c r="F496"/>
  <c r="E496"/>
  <c r="D496"/>
  <c r="C496"/>
  <c r="B496"/>
  <c r="A496"/>
  <c r="K495"/>
  <c r="J495"/>
  <c r="I495"/>
  <c r="H495"/>
  <c r="G495"/>
  <c r="F495"/>
  <c r="E495"/>
  <c r="D495"/>
  <c r="C495"/>
  <c r="B495"/>
  <c r="A495"/>
  <c r="K494"/>
  <c r="J494"/>
  <c r="I494"/>
  <c r="H494"/>
  <c r="G494"/>
  <c r="F494"/>
  <c r="E494"/>
  <c r="D494"/>
  <c r="C494"/>
  <c r="B494"/>
  <c r="A494"/>
  <c r="K493"/>
  <c r="J493"/>
  <c r="I493"/>
  <c r="H493"/>
  <c r="G493"/>
  <c r="F493"/>
  <c r="E493"/>
  <c r="D493"/>
  <c r="C493"/>
  <c r="B493"/>
  <c r="A493"/>
  <c r="K492"/>
  <c r="J492"/>
  <c r="I492"/>
  <c r="H492"/>
  <c r="G492"/>
  <c r="F492"/>
  <c r="E492"/>
  <c r="D492"/>
  <c r="C492"/>
  <c r="B492"/>
  <c r="A492"/>
  <c r="K491"/>
  <c r="J491"/>
  <c r="I491"/>
  <c r="H491"/>
  <c r="G491"/>
  <c r="F491"/>
  <c r="E491"/>
  <c r="D491"/>
  <c r="C491"/>
  <c r="B491"/>
  <c r="A491"/>
  <c r="K490"/>
  <c r="J490"/>
  <c r="I490"/>
  <c r="H490"/>
  <c r="G490"/>
  <c r="F490"/>
  <c r="E490"/>
  <c r="D490"/>
  <c r="C490"/>
  <c r="B490"/>
  <c r="A490"/>
  <c r="K489"/>
  <c r="J489"/>
  <c r="I489"/>
  <c r="H489"/>
  <c r="G489"/>
  <c r="F489"/>
  <c r="E489"/>
  <c r="D489"/>
  <c r="C489"/>
  <c r="B489"/>
  <c r="A489"/>
  <c r="K488"/>
  <c r="J488"/>
  <c r="I488"/>
  <c r="H488"/>
  <c r="G488"/>
  <c r="F488"/>
  <c r="E488"/>
  <c r="D488"/>
  <c r="C488"/>
  <c r="B488"/>
  <c r="A488"/>
  <c r="K487"/>
  <c r="J487"/>
  <c r="I487"/>
  <c r="H487"/>
  <c r="G487"/>
  <c r="F487"/>
  <c r="E487"/>
  <c r="D487"/>
  <c r="C487"/>
  <c r="B487"/>
  <c r="A487"/>
  <c r="K486"/>
  <c r="J486"/>
  <c r="I486"/>
  <c r="H486"/>
  <c r="G486"/>
  <c r="F486"/>
  <c r="E486"/>
  <c r="D486"/>
  <c r="C486"/>
  <c r="B486"/>
  <c r="A486"/>
  <c r="K485"/>
  <c r="J485"/>
  <c r="I485"/>
  <c r="H485"/>
  <c r="G485"/>
  <c r="F485"/>
  <c r="E485"/>
  <c r="D485"/>
  <c r="C485"/>
  <c r="B485"/>
  <c r="A485"/>
  <c r="K484"/>
  <c r="J484"/>
  <c r="I484"/>
  <c r="H484"/>
  <c r="G484"/>
  <c r="F484"/>
  <c r="E484"/>
  <c r="D484"/>
  <c r="C484"/>
  <c r="B484"/>
  <c r="A484"/>
  <c r="K483"/>
  <c r="J483"/>
  <c r="I483"/>
  <c r="H483"/>
  <c r="G483"/>
  <c r="F483"/>
  <c r="E483"/>
  <c r="D483"/>
  <c r="C483"/>
  <c r="B483"/>
  <c r="A483"/>
  <c r="K482"/>
  <c r="J482"/>
  <c r="I482"/>
  <c r="H482"/>
  <c r="G482"/>
  <c r="F482"/>
  <c r="E482"/>
  <c r="D482"/>
  <c r="C482"/>
  <c r="B482"/>
  <c r="A482"/>
  <c r="K481"/>
  <c r="J481"/>
  <c r="I481"/>
  <c r="H481"/>
  <c r="G481"/>
  <c r="F481"/>
  <c r="E481"/>
  <c r="D481"/>
  <c r="C481"/>
  <c r="B481"/>
  <c r="A481"/>
  <c r="K480"/>
  <c r="J480"/>
  <c r="I480"/>
  <c r="H480"/>
  <c r="G480"/>
  <c r="F480"/>
  <c r="E480"/>
  <c r="D480"/>
  <c r="C480"/>
  <c r="B480"/>
  <c r="A480"/>
  <c r="K479"/>
  <c r="J479"/>
  <c r="I479"/>
  <c r="H479"/>
  <c r="G479"/>
  <c r="F479"/>
  <c r="E479"/>
  <c r="D479"/>
  <c r="C479"/>
  <c r="B479"/>
  <c r="A479"/>
  <c r="K478"/>
  <c r="J478"/>
  <c r="I478"/>
  <c r="H478"/>
  <c r="G478"/>
  <c r="F478"/>
  <c r="E478"/>
  <c r="D478"/>
  <c r="C478"/>
  <c r="B478"/>
  <c r="A478"/>
  <c r="K477"/>
  <c r="J477"/>
  <c r="I477"/>
  <c r="H477"/>
  <c r="G477"/>
  <c r="F477"/>
  <c r="E477"/>
  <c r="D477"/>
  <c r="C477"/>
  <c r="B477"/>
  <c r="A477"/>
  <c r="K476"/>
  <c r="J476"/>
  <c r="I476"/>
  <c r="H476"/>
  <c r="G476"/>
  <c r="F476"/>
  <c r="E476"/>
  <c r="D476"/>
  <c r="C476"/>
  <c r="B476"/>
  <c r="A476"/>
  <c r="K475"/>
  <c r="J475"/>
  <c r="I475"/>
  <c r="H475"/>
  <c r="G475"/>
  <c r="F475"/>
  <c r="E475"/>
  <c r="D475"/>
  <c r="C475"/>
  <c r="B475"/>
  <c r="A475"/>
  <c r="K474"/>
  <c r="J474"/>
  <c r="I474"/>
  <c r="H474"/>
  <c r="G474"/>
  <c r="F474"/>
  <c r="E474"/>
  <c r="D474"/>
  <c r="C474"/>
  <c r="B474"/>
  <c r="A474"/>
  <c r="K473"/>
  <c r="J473"/>
  <c r="I473"/>
  <c r="H473"/>
  <c r="G473"/>
  <c r="F473"/>
  <c r="E473"/>
  <c r="D473"/>
  <c r="C473"/>
  <c r="B473"/>
  <c r="A473"/>
  <c r="K472"/>
  <c r="J472"/>
  <c r="I472"/>
  <c r="H472"/>
  <c r="G472"/>
  <c r="F472"/>
  <c r="E472"/>
  <c r="D472"/>
  <c r="C472"/>
  <c r="B472"/>
  <c r="A472"/>
  <c r="K471"/>
  <c r="J471"/>
  <c r="I471"/>
  <c r="H471"/>
  <c r="G471"/>
  <c r="F471"/>
  <c r="E471"/>
  <c r="D471"/>
  <c r="C471"/>
  <c r="B471"/>
  <c r="A471"/>
  <c r="K470"/>
  <c r="J470"/>
  <c r="I470"/>
  <c r="H470"/>
  <c r="G470"/>
  <c r="F470"/>
  <c r="E470"/>
  <c r="D470"/>
  <c r="C470"/>
  <c r="B470"/>
  <c r="A470"/>
  <c r="K469"/>
  <c r="J469"/>
  <c r="I469"/>
  <c r="H469"/>
  <c r="G469"/>
  <c r="F469"/>
  <c r="E469"/>
  <c r="D469"/>
  <c r="C469"/>
  <c r="B469"/>
  <c r="A469"/>
  <c r="K468"/>
  <c r="J468"/>
  <c r="I468"/>
  <c r="H468"/>
  <c r="G468"/>
  <c r="F468"/>
  <c r="E468"/>
  <c r="D468"/>
  <c r="C468"/>
  <c r="B468"/>
  <c r="A468"/>
  <c r="K467"/>
  <c r="J467"/>
  <c r="I467"/>
  <c r="H467"/>
  <c r="G467"/>
  <c r="F467"/>
  <c r="E467"/>
  <c r="D467"/>
  <c r="C467"/>
  <c r="B467"/>
  <c r="A467"/>
  <c r="K466"/>
  <c r="J466"/>
  <c r="I466"/>
  <c r="H466"/>
  <c r="G466"/>
  <c r="F466"/>
  <c r="E466"/>
  <c r="D466"/>
  <c r="C466"/>
  <c r="B466"/>
  <c r="A466"/>
  <c r="K465"/>
  <c r="J465"/>
  <c r="I465"/>
  <c r="H465"/>
  <c r="G465"/>
  <c r="F465"/>
  <c r="E465"/>
  <c r="D465"/>
  <c r="C465"/>
  <c r="B465"/>
  <c r="A465"/>
  <c r="K464"/>
  <c r="J464"/>
  <c r="I464"/>
  <c r="H464"/>
  <c r="G464"/>
  <c r="F464"/>
  <c r="E464"/>
  <c r="D464"/>
  <c r="C464"/>
  <c r="B464"/>
  <c r="A464"/>
  <c r="K463"/>
  <c r="J463"/>
  <c r="I463"/>
  <c r="H463"/>
  <c r="G463"/>
  <c r="F463"/>
  <c r="E463"/>
  <c r="D463"/>
  <c r="C463"/>
  <c r="B463"/>
  <c r="A463"/>
  <c r="K462"/>
  <c r="J462"/>
  <c r="I462"/>
  <c r="H462"/>
  <c r="G462"/>
  <c r="F462"/>
  <c r="E462"/>
  <c r="D462"/>
  <c r="C462"/>
  <c r="B462"/>
  <c r="A462"/>
  <c r="K461"/>
  <c r="J461"/>
  <c r="I461"/>
  <c r="H461"/>
  <c r="G461"/>
  <c r="F461"/>
  <c r="E461"/>
  <c r="D461"/>
  <c r="C461"/>
  <c r="B461"/>
  <c r="A461"/>
  <c r="K460"/>
  <c r="J460"/>
  <c r="I460"/>
  <c r="H460"/>
  <c r="G460"/>
  <c r="F460"/>
  <c r="E460"/>
  <c r="D460"/>
  <c r="C460"/>
  <c r="B460"/>
  <c r="A460"/>
  <c r="K459"/>
  <c r="J459"/>
  <c r="I459"/>
  <c r="H459"/>
  <c r="G459"/>
  <c r="F459"/>
  <c r="E459"/>
  <c r="D459"/>
  <c r="C459"/>
  <c r="B459"/>
  <c r="A459"/>
  <c r="K458"/>
  <c r="J458"/>
  <c r="I458"/>
  <c r="H458"/>
  <c r="G458"/>
  <c r="F458"/>
  <c r="E458"/>
  <c r="D458"/>
  <c r="C458"/>
  <c r="B458"/>
  <c r="A458"/>
  <c r="K457"/>
  <c r="J457"/>
  <c r="I457"/>
  <c r="H457"/>
  <c r="G457"/>
  <c r="F457"/>
  <c r="E457"/>
  <c r="D457"/>
  <c r="C457"/>
  <c r="B457"/>
  <c r="A457"/>
  <c r="K456"/>
  <c r="J456"/>
  <c r="I456"/>
  <c r="H456"/>
  <c r="G456"/>
  <c r="F456"/>
  <c r="E456"/>
  <c r="D456"/>
  <c r="C456"/>
  <c r="B456"/>
  <c r="A456"/>
  <c r="K455"/>
  <c r="J455"/>
  <c r="I455"/>
  <c r="H455"/>
  <c r="G455"/>
  <c r="F455"/>
  <c r="E455"/>
  <c r="D455"/>
  <c r="C455"/>
  <c r="B455"/>
  <c r="A455"/>
  <c r="K454"/>
  <c r="J454"/>
  <c r="I454"/>
  <c r="H454"/>
  <c r="G454"/>
  <c r="F454"/>
  <c r="E454"/>
  <c r="D454"/>
  <c r="C454"/>
  <c r="B454"/>
  <c r="A454"/>
  <c r="K453"/>
  <c r="J453"/>
  <c r="I453"/>
  <c r="H453"/>
  <c r="G453"/>
  <c r="F453"/>
  <c r="E453"/>
  <c r="D453"/>
  <c r="C453"/>
  <c r="B453"/>
  <c r="A453"/>
  <c r="K452"/>
  <c r="J452"/>
  <c r="I452"/>
  <c r="H452"/>
  <c r="G452"/>
  <c r="F452"/>
  <c r="E452"/>
  <c r="D452"/>
  <c r="C452"/>
  <c r="B452"/>
  <c r="A452"/>
  <c r="K451"/>
  <c r="J451"/>
  <c r="I451"/>
  <c r="H451"/>
  <c r="G451"/>
  <c r="F451"/>
  <c r="E451"/>
  <c r="D451"/>
  <c r="C451"/>
  <c r="B451"/>
  <c r="A451"/>
  <c r="K450"/>
  <c r="J450"/>
  <c r="I450"/>
  <c r="H450"/>
  <c r="G450"/>
  <c r="F450"/>
  <c r="E450"/>
  <c r="D450"/>
  <c r="C450"/>
  <c r="B450"/>
  <c r="A450"/>
  <c r="K449"/>
  <c r="J449"/>
  <c r="I449"/>
  <c r="H449"/>
  <c r="G449"/>
  <c r="F449"/>
  <c r="E449"/>
  <c r="D449"/>
  <c r="C449"/>
  <c r="B449"/>
  <c r="A449"/>
  <c r="K448"/>
  <c r="J448"/>
  <c r="I448"/>
  <c r="H448"/>
  <c r="G448"/>
  <c r="F448"/>
  <c r="E448"/>
  <c r="D448"/>
  <c r="C448"/>
  <c r="B448"/>
  <c r="A448"/>
  <c r="K447"/>
  <c r="J447"/>
  <c r="I447"/>
  <c r="H447"/>
  <c r="G447"/>
  <c r="F447"/>
  <c r="E447"/>
  <c r="D447"/>
  <c r="C447"/>
  <c r="B447"/>
  <c r="A447"/>
  <c r="K446"/>
  <c r="J446"/>
  <c r="I446"/>
  <c r="H446"/>
  <c r="G446"/>
  <c r="F446"/>
  <c r="E446"/>
  <c r="D446"/>
  <c r="C446"/>
  <c r="B446"/>
  <c r="A446"/>
  <c r="K445"/>
  <c r="J445"/>
  <c r="I445"/>
  <c r="H445"/>
  <c r="G445"/>
  <c r="F445"/>
  <c r="E445"/>
  <c r="D445"/>
  <c r="C445"/>
  <c r="B445"/>
  <c r="A445"/>
  <c r="K444"/>
  <c r="J444"/>
  <c r="I444"/>
  <c r="H444"/>
  <c r="G444"/>
  <c r="F444"/>
  <c r="E444"/>
  <c r="D444"/>
  <c r="C444"/>
  <c r="B444"/>
  <c r="A444"/>
  <c r="K443"/>
  <c r="J443"/>
  <c r="I443"/>
  <c r="H443"/>
  <c r="G443"/>
  <c r="F443"/>
  <c r="E443"/>
  <c r="D443"/>
  <c r="C443"/>
  <c r="B443"/>
  <c r="A443"/>
  <c r="K442"/>
  <c r="J442"/>
  <c r="I442"/>
  <c r="H442"/>
  <c r="G442"/>
  <c r="F442"/>
  <c r="E442"/>
  <c r="D442"/>
  <c r="C442"/>
  <c r="B442"/>
  <c r="A442"/>
  <c r="K441"/>
  <c r="J441"/>
  <c r="I441"/>
  <c r="H441"/>
  <c r="G441"/>
  <c r="F441"/>
  <c r="E441"/>
  <c r="D441"/>
  <c r="C441"/>
  <c r="B441"/>
  <c r="A441"/>
  <c r="K440"/>
  <c r="J440"/>
  <c r="I440"/>
  <c r="H440"/>
  <c r="G440"/>
  <c r="F440"/>
  <c r="E440"/>
  <c r="D440"/>
  <c r="C440"/>
  <c r="B440"/>
  <c r="A440"/>
  <c r="K439"/>
  <c r="J439"/>
  <c r="I439"/>
  <c r="H439"/>
  <c r="G439"/>
  <c r="F439"/>
  <c r="E439"/>
  <c r="D439"/>
  <c r="C439"/>
  <c r="B439"/>
  <c r="A439"/>
  <c r="K438"/>
  <c r="J438"/>
  <c r="I438"/>
  <c r="H438"/>
  <c r="G438"/>
  <c r="F438"/>
  <c r="E438"/>
  <c r="D438"/>
  <c r="C438"/>
  <c r="B438"/>
  <c r="A438"/>
  <c r="K437"/>
  <c r="J437"/>
  <c r="I437"/>
  <c r="H437"/>
  <c r="G437"/>
  <c r="F437"/>
  <c r="E437"/>
  <c r="D437"/>
  <c r="C437"/>
  <c r="B437"/>
  <c r="A437"/>
  <c r="K436"/>
  <c r="J436"/>
  <c r="I436"/>
  <c r="H436"/>
  <c r="G436"/>
  <c r="F436"/>
  <c r="E436"/>
  <c r="D436"/>
  <c r="C436"/>
  <c r="B436"/>
  <c r="A436"/>
  <c r="K435"/>
  <c r="J435"/>
  <c r="I435"/>
  <c r="H435"/>
  <c r="G435"/>
  <c r="F435"/>
  <c r="E435"/>
  <c r="D435"/>
  <c r="C435"/>
  <c r="B435"/>
  <c r="A435"/>
  <c r="K434"/>
  <c r="J434"/>
  <c r="I434"/>
  <c r="H434"/>
  <c r="G434"/>
  <c r="F434"/>
  <c r="E434"/>
  <c r="D434"/>
  <c r="C434"/>
  <c r="B434"/>
  <c r="A434"/>
  <c r="K433"/>
  <c r="J433"/>
  <c r="I433"/>
  <c r="H433"/>
  <c r="G433"/>
  <c r="F433"/>
  <c r="E433"/>
  <c r="D433"/>
  <c r="C433"/>
  <c r="B433"/>
  <c r="A433"/>
  <c r="K432"/>
  <c r="J432"/>
  <c r="I432"/>
  <c r="H432"/>
  <c r="G432"/>
  <c r="F432"/>
  <c r="E432"/>
  <c r="D432"/>
  <c r="C432"/>
  <c r="B432"/>
  <c r="A432"/>
  <c r="K431"/>
  <c r="J431"/>
  <c r="I431"/>
  <c r="H431"/>
  <c r="G431"/>
  <c r="F431"/>
  <c r="E431"/>
  <c r="D431"/>
  <c r="C431"/>
  <c r="B431"/>
  <c r="A431"/>
  <c r="K430"/>
  <c r="J430"/>
  <c r="I430"/>
  <c r="H430"/>
  <c r="G430"/>
  <c r="F430"/>
  <c r="E430"/>
  <c r="D430"/>
  <c r="C430"/>
  <c r="B430"/>
  <c r="A430"/>
  <c r="K429"/>
  <c r="J429"/>
  <c r="I429"/>
  <c r="H429"/>
  <c r="G429"/>
  <c r="F429"/>
  <c r="E429"/>
  <c r="D429"/>
  <c r="C429"/>
  <c r="B429"/>
  <c r="A429"/>
  <c r="K428"/>
  <c r="J428"/>
  <c r="I428"/>
  <c r="H428"/>
  <c r="G428"/>
  <c r="F428"/>
  <c r="E428"/>
  <c r="D428"/>
  <c r="C428"/>
  <c r="B428"/>
  <c r="A428"/>
  <c r="K427"/>
  <c r="J427"/>
  <c r="I427"/>
  <c r="H427"/>
  <c r="G427"/>
  <c r="F427"/>
  <c r="E427"/>
  <c r="D427"/>
  <c r="C427"/>
  <c r="B427"/>
  <c r="A427"/>
  <c r="K426"/>
  <c r="J426"/>
  <c r="I426"/>
  <c r="H426"/>
  <c r="G426"/>
  <c r="F426"/>
  <c r="E426"/>
  <c r="D426"/>
  <c r="C426"/>
  <c r="B426"/>
  <c r="A426"/>
  <c r="K425"/>
  <c r="J425"/>
  <c r="I425"/>
  <c r="H425"/>
  <c r="G425"/>
  <c r="F425"/>
  <c r="E425"/>
  <c r="D425"/>
  <c r="C425"/>
  <c r="B425"/>
  <c r="A425"/>
  <c r="K424"/>
  <c r="J424"/>
  <c r="I424"/>
  <c r="H424"/>
  <c r="G424"/>
  <c r="F424"/>
  <c r="E424"/>
  <c r="D424"/>
  <c r="C424"/>
  <c r="B424"/>
  <c r="A424"/>
  <c r="K423"/>
  <c r="J423"/>
  <c r="I423"/>
  <c r="H423"/>
  <c r="G423"/>
  <c r="F423"/>
  <c r="E423"/>
  <c r="D423"/>
  <c r="C423"/>
  <c r="B423"/>
  <c r="A423"/>
  <c r="K422"/>
  <c r="J422"/>
  <c r="I422"/>
  <c r="H422"/>
  <c r="G422"/>
  <c r="F422"/>
  <c r="E422"/>
  <c r="D422"/>
  <c r="C422"/>
  <c r="B422"/>
  <c r="A422"/>
  <c r="K421"/>
  <c r="J421"/>
  <c r="I421"/>
  <c r="H421"/>
  <c r="G421"/>
  <c r="F421"/>
  <c r="E421"/>
  <c r="D421"/>
  <c r="C421"/>
  <c r="B421"/>
  <c r="A421"/>
  <c r="K420"/>
  <c r="J420"/>
  <c r="I420"/>
  <c r="H420"/>
  <c r="G420"/>
  <c r="F420"/>
  <c r="E420"/>
  <c r="D420"/>
  <c r="C420"/>
  <c r="B420"/>
  <c r="A420"/>
  <c r="K419"/>
  <c r="J419"/>
  <c r="I419"/>
  <c r="H419"/>
  <c r="G419"/>
  <c r="F419"/>
  <c r="E419"/>
  <c r="D419"/>
  <c r="C419"/>
  <c r="B419"/>
  <c r="A419"/>
  <c r="K418"/>
  <c r="J418"/>
  <c r="I418"/>
  <c r="H418"/>
  <c r="G418"/>
  <c r="F418"/>
  <c r="E418"/>
  <c r="D418"/>
  <c r="C418"/>
  <c r="B418"/>
  <c r="A418"/>
  <c r="K417"/>
  <c r="J417"/>
  <c r="I417"/>
  <c r="H417"/>
  <c r="G417"/>
  <c r="F417"/>
  <c r="E417"/>
  <c r="D417"/>
  <c r="C417"/>
  <c r="B417"/>
  <c r="A417"/>
  <c r="K416"/>
  <c r="J416"/>
  <c r="I416"/>
  <c r="H416"/>
  <c r="G416"/>
  <c r="F416"/>
  <c r="E416"/>
  <c r="D416"/>
  <c r="C416"/>
  <c r="B416"/>
  <c r="A416"/>
  <c r="K415"/>
  <c r="J415"/>
  <c r="I415"/>
  <c r="H415"/>
  <c r="G415"/>
  <c r="F415"/>
  <c r="E415"/>
  <c r="D415"/>
  <c r="C415"/>
  <c r="B415"/>
  <c r="A415"/>
  <c r="K414"/>
  <c r="J414"/>
  <c r="I414"/>
  <c r="H414"/>
  <c r="G414"/>
  <c r="F414"/>
  <c r="E414"/>
  <c r="D414"/>
  <c r="C414"/>
  <c r="B414"/>
  <c r="A414"/>
  <c r="K413"/>
  <c r="J413"/>
  <c r="I413"/>
  <c r="H413"/>
  <c r="G413"/>
  <c r="F413"/>
  <c r="E413"/>
  <c r="D413"/>
  <c r="C413"/>
  <c r="B413"/>
  <c r="A413"/>
  <c r="K412"/>
  <c r="J412"/>
  <c r="I412"/>
  <c r="H412"/>
  <c r="G412"/>
  <c r="F412"/>
  <c r="E412"/>
  <c r="D412"/>
  <c r="C412"/>
  <c r="B412"/>
  <c r="A412"/>
  <c r="K411"/>
  <c r="J411"/>
  <c r="I411"/>
  <c r="H411"/>
  <c r="G411"/>
  <c r="F411"/>
  <c r="E411"/>
  <c r="D411"/>
  <c r="C411"/>
  <c r="B411"/>
  <c r="A411"/>
  <c r="K410"/>
  <c r="J410"/>
  <c r="I410"/>
  <c r="H410"/>
  <c r="G410"/>
  <c r="F410"/>
  <c r="E410"/>
  <c r="D410"/>
  <c r="C410"/>
  <c r="B410"/>
  <c r="A410"/>
  <c r="K409"/>
  <c r="J409"/>
  <c r="I409"/>
  <c r="H409"/>
  <c r="G409"/>
  <c r="F409"/>
  <c r="E409"/>
  <c r="D409"/>
  <c r="C409"/>
  <c r="B409"/>
  <c r="A409"/>
  <c r="K408"/>
  <c r="J408"/>
  <c r="I408"/>
  <c r="H408"/>
  <c r="G408"/>
  <c r="F408"/>
  <c r="E408"/>
  <c r="D408"/>
  <c r="C408"/>
  <c r="B408"/>
  <c r="A408"/>
  <c r="K407"/>
  <c r="J407"/>
  <c r="I407"/>
  <c r="H407"/>
  <c r="G407"/>
  <c r="F407"/>
  <c r="E407"/>
  <c r="D407"/>
  <c r="C407"/>
  <c r="B407"/>
  <c r="A407"/>
  <c r="K406"/>
  <c r="J406"/>
  <c r="I406"/>
  <c r="H406"/>
  <c r="G406"/>
  <c r="F406"/>
  <c r="E406"/>
  <c r="D406"/>
  <c r="C406"/>
  <c r="B406"/>
  <c r="A406"/>
  <c r="K405"/>
  <c r="J405"/>
  <c r="I405"/>
  <c r="H405"/>
  <c r="G405"/>
  <c r="F405"/>
  <c r="E405"/>
  <c r="D405"/>
  <c r="C405"/>
  <c r="B405"/>
  <c r="A405"/>
  <c r="K404"/>
  <c r="J404"/>
  <c r="I404"/>
  <c r="H404"/>
  <c r="G404"/>
  <c r="F404"/>
  <c r="E404"/>
  <c r="D404"/>
  <c r="C404"/>
  <c r="B404"/>
  <c r="A404"/>
  <c r="K403"/>
  <c r="J403"/>
  <c r="I403"/>
  <c r="H403"/>
  <c r="G403"/>
  <c r="F403"/>
  <c r="E403"/>
  <c r="D403"/>
  <c r="C403"/>
  <c r="B403"/>
  <c r="A403"/>
  <c r="K402"/>
  <c r="J402"/>
  <c r="I402"/>
  <c r="H402"/>
  <c r="G402"/>
  <c r="F402"/>
  <c r="E402"/>
  <c r="D402"/>
  <c r="C402"/>
  <c r="B402"/>
  <c r="A402"/>
  <c r="K401"/>
  <c r="J401"/>
  <c r="I401"/>
  <c r="H401"/>
  <c r="G401"/>
  <c r="F401"/>
  <c r="E401"/>
  <c r="D401"/>
  <c r="C401"/>
  <c r="B401"/>
  <c r="A401"/>
  <c r="K400"/>
  <c r="J400"/>
  <c r="I400"/>
  <c r="H400"/>
  <c r="G400"/>
  <c r="F400"/>
  <c r="E400"/>
  <c r="D400"/>
  <c r="C400"/>
  <c r="B400"/>
  <c r="A400"/>
  <c r="K399"/>
  <c r="J399"/>
  <c r="I399"/>
  <c r="H399"/>
  <c r="G399"/>
  <c r="F399"/>
  <c r="E399"/>
  <c r="D399"/>
  <c r="C399"/>
  <c r="B399"/>
  <c r="A399"/>
  <c r="K398"/>
  <c r="J398"/>
  <c r="I398"/>
  <c r="H398"/>
  <c r="G398"/>
  <c r="F398"/>
  <c r="E398"/>
  <c r="D398"/>
  <c r="C398"/>
  <c r="B398"/>
  <c r="A398"/>
  <c r="K397"/>
  <c r="J397"/>
  <c r="I397"/>
  <c r="H397"/>
  <c r="G397"/>
  <c r="F397"/>
  <c r="E397"/>
  <c r="D397"/>
  <c r="C397"/>
  <c r="B397"/>
  <c r="A397"/>
  <c r="K396"/>
  <c r="J396"/>
  <c r="I396"/>
  <c r="H396"/>
  <c r="G396"/>
  <c r="F396"/>
  <c r="E396"/>
  <c r="D396"/>
  <c r="C396"/>
  <c r="B396"/>
  <c r="A396"/>
  <c r="K395"/>
  <c r="J395"/>
  <c r="I395"/>
  <c r="H395"/>
  <c r="G395"/>
  <c r="F395"/>
  <c r="E395"/>
  <c r="D395"/>
  <c r="C395"/>
  <c r="B395"/>
  <c r="A395"/>
  <c r="K394"/>
  <c r="J394"/>
  <c r="I394"/>
  <c r="H394"/>
  <c r="G394"/>
  <c r="F394"/>
  <c r="E394"/>
  <c r="D394"/>
  <c r="C394"/>
  <c r="B394"/>
  <c r="A394"/>
  <c r="K393"/>
  <c r="J393"/>
  <c r="I393"/>
  <c r="H393"/>
  <c r="G393"/>
  <c r="F393"/>
  <c r="E393"/>
  <c r="D393"/>
  <c r="C393"/>
  <c r="B393"/>
  <c r="A393"/>
  <c r="K392"/>
  <c r="J392"/>
  <c r="I392"/>
  <c r="H392"/>
  <c r="G392"/>
  <c r="F392"/>
  <c r="E392"/>
  <c r="D392"/>
  <c r="C392"/>
  <c r="B392"/>
  <c r="A392"/>
  <c r="K391"/>
  <c r="J391"/>
  <c r="I391"/>
  <c r="H391"/>
  <c r="G391"/>
  <c r="F391"/>
  <c r="E391"/>
  <c r="D391"/>
  <c r="C391"/>
  <c r="B391"/>
  <c r="A391"/>
  <c r="K390"/>
  <c r="J390"/>
  <c r="I390"/>
  <c r="H390"/>
  <c r="G390"/>
  <c r="F390"/>
  <c r="E390"/>
  <c r="D390"/>
  <c r="C390"/>
  <c r="B390"/>
  <c r="A390"/>
  <c r="K389"/>
  <c r="J389"/>
  <c r="I389"/>
  <c r="H389"/>
  <c r="G389"/>
  <c r="F389"/>
  <c r="E389"/>
  <c r="D389"/>
  <c r="C389"/>
  <c r="B389"/>
  <c r="A389"/>
  <c r="K388"/>
  <c r="J388"/>
  <c r="I388"/>
  <c r="H388"/>
  <c r="G388"/>
  <c r="F388"/>
  <c r="E388"/>
  <c r="D388"/>
  <c r="C388"/>
  <c r="B388"/>
  <c r="A388"/>
  <c r="K387"/>
  <c r="J387"/>
  <c r="I387"/>
  <c r="H387"/>
  <c r="G387"/>
  <c r="F387"/>
  <c r="E387"/>
  <c r="D387"/>
  <c r="C387"/>
  <c r="B387"/>
  <c r="A387"/>
  <c r="K386"/>
  <c r="J386"/>
  <c r="I386"/>
  <c r="H386"/>
  <c r="G386"/>
  <c r="F386"/>
  <c r="E386"/>
  <c r="D386"/>
  <c r="C386"/>
  <c r="B386"/>
  <c r="A386"/>
  <c r="K385"/>
  <c r="J385"/>
  <c r="I385"/>
  <c r="H385"/>
  <c r="G385"/>
  <c r="F385"/>
  <c r="E385"/>
  <c r="D385"/>
  <c r="C385"/>
  <c r="B385"/>
  <c r="A385"/>
  <c r="K384"/>
  <c r="J384"/>
  <c r="I384"/>
  <c r="H384"/>
  <c r="G384"/>
  <c r="F384"/>
  <c r="E384"/>
  <c r="D384"/>
  <c r="C384"/>
  <c r="B384"/>
  <c r="A384"/>
  <c r="K383"/>
  <c r="J383"/>
  <c r="I383"/>
  <c r="H383"/>
  <c r="G383"/>
  <c r="F383"/>
  <c r="E383"/>
  <c r="D383"/>
  <c r="C383"/>
  <c r="B383"/>
  <c r="A383"/>
  <c r="K382"/>
  <c r="J382"/>
  <c r="I382"/>
  <c r="H382"/>
  <c r="G382"/>
  <c r="F382"/>
  <c r="E382"/>
  <c r="D382"/>
  <c r="C382"/>
  <c r="B382"/>
  <c r="A382"/>
  <c r="K381"/>
  <c r="J381"/>
  <c r="I381"/>
  <c r="H381"/>
  <c r="G381"/>
  <c r="F381"/>
  <c r="E381"/>
  <c r="D381"/>
  <c r="C381"/>
  <c r="B381"/>
  <c r="A381"/>
  <c r="K380"/>
  <c r="J380"/>
  <c r="I380"/>
  <c r="H380"/>
  <c r="G380"/>
  <c r="F380"/>
  <c r="E380"/>
  <c r="D380"/>
  <c r="C380"/>
  <c r="B380"/>
  <c r="A380"/>
  <c r="K379"/>
  <c r="J379"/>
  <c r="I379"/>
  <c r="H379"/>
  <c r="G379"/>
  <c r="F379"/>
  <c r="E379"/>
  <c r="D379"/>
  <c r="C379"/>
  <c r="B379"/>
  <c r="A379"/>
  <c r="K378"/>
  <c r="J378"/>
  <c r="I378"/>
  <c r="H378"/>
  <c r="G378"/>
  <c r="F378"/>
  <c r="E378"/>
  <c r="D378"/>
  <c r="C378"/>
  <c r="B378"/>
  <c r="A378"/>
  <c r="K377"/>
  <c r="J377"/>
  <c r="I377"/>
  <c r="H377"/>
  <c r="G377"/>
  <c r="F377"/>
  <c r="E377"/>
  <c r="D377"/>
  <c r="C377"/>
  <c r="B377"/>
  <c r="A377"/>
  <c r="K376"/>
  <c r="J376"/>
  <c r="I376"/>
  <c r="H376"/>
  <c r="G376"/>
  <c r="F376"/>
  <c r="E376"/>
  <c r="D376"/>
  <c r="C376"/>
  <c r="B376"/>
  <c r="A376"/>
  <c r="K375"/>
  <c r="J375"/>
  <c r="I375"/>
  <c r="H375"/>
  <c r="G375"/>
  <c r="F375"/>
  <c r="E375"/>
  <c r="D375"/>
  <c r="C375"/>
  <c r="B375"/>
  <c r="A375"/>
  <c r="K374"/>
  <c r="J374"/>
  <c r="I374"/>
  <c r="H374"/>
  <c r="G374"/>
  <c r="F374"/>
  <c r="E374"/>
  <c r="D374"/>
  <c r="C374"/>
  <c r="B374"/>
  <c r="A374"/>
  <c r="K373"/>
  <c r="J373"/>
  <c r="I373"/>
  <c r="H373"/>
  <c r="G373"/>
  <c r="F373"/>
  <c r="E373"/>
  <c r="D373"/>
  <c r="C373"/>
  <c r="B373"/>
  <c r="A373"/>
  <c r="K372"/>
  <c r="J372"/>
  <c r="I372"/>
  <c r="H372"/>
  <c r="G372"/>
  <c r="F372"/>
  <c r="E372"/>
  <c r="D372"/>
  <c r="C372"/>
  <c r="B372"/>
  <c r="A372"/>
  <c r="K371"/>
  <c r="J371"/>
  <c r="I371"/>
  <c r="H371"/>
  <c r="G371"/>
  <c r="F371"/>
  <c r="E371"/>
  <c r="D371"/>
  <c r="C371"/>
  <c r="B371"/>
  <c r="A371"/>
  <c r="K370"/>
  <c r="J370"/>
  <c r="I370"/>
  <c r="H370"/>
  <c r="G370"/>
  <c r="F370"/>
  <c r="E370"/>
  <c r="D370"/>
  <c r="C370"/>
  <c r="B370"/>
  <c r="A370"/>
  <c r="K369"/>
  <c r="J369"/>
  <c r="I369"/>
  <c r="H369"/>
  <c r="G369"/>
  <c r="F369"/>
  <c r="E369"/>
  <c r="D369"/>
  <c r="C369"/>
  <c r="B369"/>
  <c r="A369"/>
  <c r="K368"/>
  <c r="J368"/>
  <c r="I368"/>
  <c r="H368"/>
  <c r="G368"/>
  <c r="F368"/>
  <c r="E368"/>
  <c r="D368"/>
  <c r="C368"/>
  <c r="B368"/>
  <c r="A368"/>
  <c r="K367"/>
  <c r="J367"/>
  <c r="I367"/>
  <c r="H367"/>
  <c r="G367"/>
  <c r="F367"/>
  <c r="E367"/>
  <c r="D367"/>
  <c r="C367"/>
  <c r="B367"/>
  <c r="A367"/>
  <c r="K366"/>
  <c r="J366"/>
  <c r="I366"/>
  <c r="H366"/>
  <c r="G366"/>
  <c r="F366"/>
  <c r="E366"/>
  <c r="D366"/>
  <c r="C366"/>
  <c r="B366"/>
  <c r="A366"/>
  <c r="K365"/>
  <c r="J365"/>
  <c r="I365"/>
  <c r="H365"/>
  <c r="G365"/>
  <c r="F365"/>
  <c r="E365"/>
  <c r="D365"/>
  <c r="C365"/>
  <c r="B365"/>
  <c r="A365"/>
  <c r="K364"/>
  <c r="J364"/>
  <c r="I364"/>
  <c r="H364"/>
  <c r="G364"/>
  <c r="F364"/>
  <c r="E364"/>
  <c r="D364"/>
  <c r="C364"/>
  <c r="B364"/>
  <c r="A364"/>
  <c r="K363"/>
  <c r="J363"/>
  <c r="I363"/>
  <c r="H363"/>
  <c r="G363"/>
  <c r="F363"/>
  <c r="E363"/>
  <c r="D363"/>
  <c r="C363"/>
  <c r="B363"/>
  <c r="A363"/>
  <c r="K362"/>
  <c r="J362"/>
  <c r="I362"/>
  <c r="H362"/>
  <c r="G362"/>
  <c r="F362"/>
  <c r="E362"/>
  <c r="D362"/>
  <c r="C362"/>
  <c r="B362"/>
  <c r="A362"/>
  <c r="K361"/>
  <c r="J361"/>
  <c r="I361"/>
  <c r="H361"/>
  <c r="G361"/>
  <c r="F361"/>
  <c r="E361"/>
  <c r="D361"/>
  <c r="C361"/>
  <c r="B361"/>
  <c r="A361"/>
  <c r="K360"/>
  <c r="J360"/>
  <c r="I360"/>
  <c r="H360"/>
  <c r="G360"/>
  <c r="F360"/>
  <c r="E360"/>
  <c r="D360"/>
  <c r="C360"/>
  <c r="B360"/>
  <c r="A360"/>
  <c r="K359"/>
  <c r="J359"/>
  <c r="I359"/>
  <c r="H359"/>
  <c r="G359"/>
  <c r="F359"/>
  <c r="E359"/>
  <c r="D359"/>
  <c r="C359"/>
  <c r="B359"/>
  <c r="A359"/>
  <c r="K358"/>
  <c r="J358"/>
  <c r="I358"/>
  <c r="H358"/>
  <c r="G358"/>
  <c r="F358"/>
  <c r="E358"/>
  <c r="D358"/>
  <c r="C358"/>
  <c r="B358"/>
  <c r="A358"/>
  <c r="K357"/>
  <c r="J357"/>
  <c r="I357"/>
  <c r="H357"/>
  <c r="G357"/>
  <c r="F357"/>
  <c r="E357"/>
  <c r="D357"/>
  <c r="C357"/>
  <c r="B357"/>
  <c r="A357"/>
  <c r="K356"/>
  <c r="J356"/>
  <c r="I356"/>
  <c r="H356"/>
  <c r="G356"/>
  <c r="F356"/>
  <c r="E356"/>
  <c r="D356"/>
  <c r="C356"/>
  <c r="B356"/>
  <c r="A356"/>
  <c r="K355"/>
  <c r="J355"/>
  <c r="I355"/>
  <c r="H355"/>
  <c r="G355"/>
  <c r="F355"/>
  <c r="E355"/>
  <c r="D355"/>
  <c r="C355"/>
  <c r="B355"/>
  <c r="A355"/>
  <c r="K354"/>
  <c r="J354"/>
  <c r="I354"/>
  <c r="H354"/>
  <c r="G354"/>
  <c r="F354"/>
  <c r="E354"/>
  <c r="D354"/>
  <c r="C354"/>
  <c r="B354"/>
  <c r="A354"/>
  <c r="K353"/>
  <c r="J353"/>
  <c r="I353"/>
  <c r="H353"/>
  <c r="G353"/>
  <c r="F353"/>
  <c r="E353"/>
  <c r="D353"/>
  <c r="C353"/>
  <c r="B353"/>
  <c r="A353"/>
  <c r="K352"/>
  <c r="J352"/>
  <c r="I352"/>
  <c r="H352"/>
  <c r="G352"/>
  <c r="F352"/>
  <c r="E352"/>
  <c r="D352"/>
  <c r="C352"/>
  <c r="B352"/>
  <c r="A352"/>
  <c r="K351"/>
  <c r="J351"/>
  <c r="I351"/>
  <c r="H351"/>
  <c r="G351"/>
  <c r="F351"/>
  <c r="E351"/>
  <c r="D351"/>
  <c r="C351"/>
  <c r="B351"/>
  <c r="A351"/>
  <c r="K350"/>
  <c r="J350"/>
  <c r="I350"/>
  <c r="H350"/>
  <c r="G350"/>
  <c r="F350"/>
  <c r="E350"/>
  <c r="D350"/>
  <c r="C350"/>
  <c r="B350"/>
  <c r="A350"/>
  <c r="K349"/>
  <c r="J349"/>
  <c r="I349"/>
  <c r="H349"/>
  <c r="G349"/>
  <c r="F349"/>
  <c r="E349"/>
  <c r="D349"/>
  <c r="C349"/>
  <c r="B349"/>
  <c r="A349"/>
  <c r="K348"/>
  <c r="J348"/>
  <c r="I348"/>
  <c r="H348"/>
  <c r="G348"/>
  <c r="F348"/>
  <c r="E348"/>
  <c r="D348"/>
  <c r="C348"/>
  <c r="B348"/>
  <c r="A348"/>
  <c r="K347"/>
  <c r="J347"/>
  <c r="I347"/>
  <c r="H347"/>
  <c r="G347"/>
  <c r="F347"/>
  <c r="E347"/>
  <c r="D347"/>
  <c r="C347"/>
  <c r="B347"/>
  <c r="A347"/>
  <c r="K346"/>
  <c r="J346"/>
  <c r="I346"/>
  <c r="H346"/>
  <c r="G346"/>
  <c r="F346"/>
  <c r="E346"/>
  <c r="D346"/>
  <c r="C346"/>
  <c r="B346"/>
  <c r="A346"/>
  <c r="K345"/>
  <c r="J345"/>
  <c r="I345"/>
  <c r="H345"/>
  <c r="G345"/>
  <c r="F345"/>
  <c r="E345"/>
  <c r="D345"/>
  <c r="C345"/>
  <c r="B345"/>
  <c r="A345"/>
  <c r="K344"/>
  <c r="J344"/>
  <c r="I344"/>
  <c r="H344"/>
  <c r="G344"/>
  <c r="F344"/>
  <c r="E344"/>
  <c r="D344"/>
  <c r="C344"/>
  <c r="B344"/>
  <c r="A344"/>
  <c r="K343"/>
  <c r="J343"/>
  <c r="I343"/>
  <c r="H343"/>
  <c r="G343"/>
  <c r="F343"/>
  <c r="E343"/>
  <c r="D343"/>
  <c r="C343"/>
  <c r="B343"/>
  <c r="A343"/>
  <c r="K342"/>
  <c r="J342"/>
  <c r="I342"/>
  <c r="H342"/>
  <c r="G342"/>
  <c r="F342"/>
  <c r="E342"/>
  <c r="D342"/>
  <c r="C342"/>
  <c r="B342"/>
  <c r="A342"/>
  <c r="K341"/>
  <c r="J341"/>
  <c r="I341"/>
  <c r="H341"/>
  <c r="G341"/>
  <c r="F341"/>
  <c r="E341"/>
  <c r="D341"/>
  <c r="C341"/>
  <c r="B341"/>
  <c r="A341"/>
  <c r="K340"/>
  <c r="J340"/>
  <c r="I340"/>
  <c r="H340"/>
  <c r="G340"/>
  <c r="F340"/>
  <c r="E340"/>
  <c r="D340"/>
  <c r="C340"/>
  <c r="B340"/>
  <c r="A340"/>
  <c r="K339"/>
  <c r="J339"/>
  <c r="I339"/>
  <c r="H339"/>
  <c r="G339"/>
  <c r="F339"/>
  <c r="E339"/>
  <c r="D339"/>
  <c r="C339"/>
  <c r="B339"/>
  <c r="A339"/>
  <c r="K338"/>
  <c r="J338"/>
  <c r="I338"/>
  <c r="H338"/>
  <c r="G338"/>
  <c r="F338"/>
  <c r="E338"/>
  <c r="D338"/>
  <c r="C338"/>
  <c r="B338"/>
  <c r="A338"/>
  <c r="K337"/>
  <c r="J337"/>
  <c r="I337"/>
  <c r="H337"/>
  <c r="G337"/>
  <c r="F337"/>
  <c r="E337"/>
  <c r="D337"/>
  <c r="C337"/>
  <c r="B337"/>
  <c r="A337"/>
  <c r="K336"/>
  <c r="J336"/>
  <c r="I336"/>
  <c r="H336"/>
  <c r="G336"/>
  <c r="F336"/>
  <c r="E336"/>
  <c r="D336"/>
  <c r="C336"/>
  <c r="B336"/>
  <c r="A336"/>
  <c r="K335"/>
  <c r="J335"/>
  <c r="I335"/>
  <c r="H335"/>
  <c r="G335"/>
  <c r="F335"/>
  <c r="E335"/>
  <c r="D335"/>
  <c r="C335"/>
  <c r="B335"/>
  <c r="A335"/>
  <c r="K334"/>
  <c r="J334"/>
  <c r="I334"/>
  <c r="H334"/>
  <c r="G334"/>
  <c r="F334"/>
  <c r="E334"/>
  <c r="D334"/>
  <c r="C334"/>
  <c r="B334"/>
  <c r="A334"/>
  <c r="K333"/>
  <c r="J333"/>
  <c r="I333"/>
  <c r="H333"/>
  <c r="G333"/>
  <c r="F333"/>
  <c r="E333"/>
  <c r="D333"/>
  <c r="C333"/>
  <c r="B333"/>
  <c r="A333"/>
  <c r="K332"/>
  <c r="J332"/>
  <c r="I332"/>
  <c r="H332"/>
  <c r="G332"/>
  <c r="F332"/>
  <c r="E332"/>
  <c r="D332"/>
  <c r="C332"/>
  <c r="B332"/>
  <c r="A332"/>
  <c r="K331"/>
  <c r="J331"/>
  <c r="I331"/>
  <c r="H331"/>
  <c r="G331"/>
  <c r="F331"/>
  <c r="E331"/>
  <c r="D331"/>
  <c r="C331"/>
  <c r="B331"/>
  <c r="A331"/>
  <c r="K330"/>
  <c r="J330"/>
  <c r="I330"/>
  <c r="H330"/>
  <c r="G330"/>
  <c r="F330"/>
  <c r="E330"/>
  <c r="D330"/>
  <c r="C330"/>
  <c r="B330"/>
  <c r="A330"/>
  <c r="K329"/>
  <c r="J329"/>
  <c r="I329"/>
  <c r="H329"/>
  <c r="G329"/>
  <c r="F329"/>
  <c r="E329"/>
  <c r="D329"/>
  <c r="C329"/>
  <c r="B329"/>
  <c r="A329"/>
  <c r="K328"/>
  <c r="J328"/>
  <c r="I328"/>
  <c r="H328"/>
  <c r="G328"/>
  <c r="F328"/>
  <c r="E328"/>
  <c r="D328"/>
  <c r="C328"/>
  <c r="B328"/>
  <c r="A328"/>
  <c r="K327"/>
  <c r="J327"/>
  <c r="I327"/>
  <c r="H327"/>
  <c r="G327"/>
  <c r="F327"/>
  <c r="E327"/>
  <c r="D327"/>
  <c r="C327"/>
  <c r="B327"/>
  <c r="A327"/>
  <c r="K326"/>
  <c r="J326"/>
  <c r="I326"/>
  <c r="H326"/>
  <c r="G326"/>
  <c r="F326"/>
  <c r="E326"/>
  <c r="D326"/>
  <c r="C326"/>
  <c r="B326"/>
  <c r="A326"/>
  <c r="K325"/>
  <c r="J325"/>
  <c r="I325"/>
  <c r="H325"/>
  <c r="G325"/>
  <c r="F325"/>
  <c r="E325"/>
  <c r="D325"/>
  <c r="C325"/>
  <c r="B325"/>
  <c r="A325"/>
  <c r="K324"/>
  <c r="J324"/>
  <c r="I324"/>
  <c r="H324"/>
  <c r="G324"/>
  <c r="F324"/>
  <c r="E324"/>
  <c r="D324"/>
  <c r="C324"/>
  <c r="B324"/>
  <c r="A324"/>
  <c r="K323"/>
  <c r="J323"/>
  <c r="I323"/>
  <c r="H323"/>
  <c r="G323"/>
  <c r="F323"/>
  <c r="E323"/>
  <c r="D323"/>
  <c r="C323"/>
  <c r="B323"/>
  <c r="A323"/>
  <c r="K322"/>
  <c r="J322"/>
  <c r="I322"/>
  <c r="H322"/>
  <c r="G322"/>
  <c r="F322"/>
  <c r="E322"/>
  <c r="D322"/>
  <c r="C322"/>
  <c r="B322"/>
  <c r="A322"/>
  <c r="K321"/>
  <c r="J321"/>
  <c r="I321"/>
  <c r="H321"/>
  <c r="G321"/>
  <c r="F321"/>
  <c r="E321"/>
  <c r="D321"/>
  <c r="C321"/>
  <c r="B321"/>
  <c r="A321"/>
  <c r="K320"/>
  <c r="J320"/>
  <c r="I320"/>
  <c r="H320"/>
  <c r="G320"/>
  <c r="F320"/>
  <c r="E320"/>
  <c r="D320"/>
  <c r="C320"/>
  <c r="B320"/>
  <c r="A320"/>
  <c r="K319"/>
  <c r="J319"/>
  <c r="I319"/>
  <c r="H319"/>
  <c r="G319"/>
  <c r="F319"/>
  <c r="E319"/>
  <c r="D319"/>
  <c r="C319"/>
  <c r="B319"/>
  <c r="A319"/>
  <c r="K318"/>
  <c r="J318"/>
  <c r="I318"/>
  <c r="H318"/>
  <c r="G318"/>
  <c r="F318"/>
  <c r="E318"/>
  <c r="D318"/>
  <c r="C318"/>
  <c r="B318"/>
  <c r="A318"/>
  <c r="K317"/>
  <c r="J317"/>
  <c r="I317"/>
  <c r="H317"/>
  <c r="G317"/>
  <c r="F317"/>
  <c r="E317"/>
  <c r="D317"/>
  <c r="C317"/>
  <c r="B317"/>
  <c r="A317"/>
  <c r="K316"/>
  <c r="J316"/>
  <c r="I316"/>
  <c r="H316"/>
  <c r="G316"/>
  <c r="F316"/>
  <c r="E316"/>
  <c r="D316"/>
  <c r="C316"/>
  <c r="B316"/>
  <c r="A316"/>
  <c r="K315"/>
  <c r="J315"/>
  <c r="I315"/>
  <c r="H315"/>
  <c r="G315"/>
  <c r="F315"/>
  <c r="E315"/>
  <c r="D315"/>
  <c r="C315"/>
  <c r="B315"/>
  <c r="A315"/>
  <c r="K314"/>
  <c r="J314"/>
  <c r="I314"/>
  <c r="H314"/>
  <c r="G314"/>
  <c r="F314"/>
  <c r="E314"/>
  <c r="D314"/>
  <c r="C314"/>
  <c r="B314"/>
  <c r="A314"/>
  <c r="K313"/>
  <c r="J313"/>
  <c r="I313"/>
  <c r="H313"/>
  <c r="G313"/>
  <c r="F313"/>
  <c r="E313"/>
  <c r="D313"/>
  <c r="C313"/>
  <c r="B313"/>
  <c r="A313"/>
  <c r="K312"/>
  <c r="J312"/>
  <c r="I312"/>
  <c r="H312"/>
  <c r="G312"/>
  <c r="F312"/>
  <c r="E312"/>
  <c r="D312"/>
  <c r="C312"/>
  <c r="B312"/>
  <c r="A312"/>
  <c r="K311"/>
  <c r="J311"/>
  <c r="I311"/>
  <c r="H311"/>
  <c r="G311"/>
  <c r="F311"/>
  <c r="E311"/>
  <c r="D311"/>
  <c r="C311"/>
  <c r="B311"/>
  <c r="A311"/>
  <c r="K310"/>
  <c r="J310"/>
  <c r="I310"/>
  <c r="H310"/>
  <c r="G310"/>
  <c r="F310"/>
  <c r="E310"/>
  <c r="D310"/>
  <c r="C310"/>
  <c r="B310"/>
  <c r="A310"/>
  <c r="K309"/>
  <c r="J309"/>
  <c r="I309"/>
  <c r="H309"/>
  <c r="G309"/>
  <c r="F309"/>
  <c r="E309"/>
  <c r="D309"/>
  <c r="C309"/>
  <c r="B309"/>
  <c r="A309"/>
  <c r="K308"/>
  <c r="J308"/>
  <c r="I308"/>
  <c r="H308"/>
  <c r="G308"/>
  <c r="F308"/>
  <c r="E308"/>
  <c r="D308"/>
  <c r="C308"/>
  <c r="B308"/>
  <c r="A308"/>
  <c r="K307"/>
  <c r="J307"/>
  <c r="I307"/>
  <c r="H307"/>
  <c r="G307"/>
  <c r="F307"/>
  <c r="E307"/>
  <c r="D307"/>
  <c r="C307"/>
  <c r="B307"/>
  <c r="A307"/>
  <c r="K306"/>
  <c r="J306"/>
  <c r="I306"/>
  <c r="H306"/>
  <c r="G306"/>
  <c r="F306"/>
  <c r="E306"/>
  <c r="D306"/>
  <c r="C306"/>
  <c r="B306"/>
  <c r="A306"/>
  <c r="K305"/>
  <c r="J305"/>
  <c r="I305"/>
  <c r="H305"/>
  <c r="G305"/>
  <c r="F305"/>
  <c r="E305"/>
  <c r="D305"/>
  <c r="C305"/>
  <c r="B305"/>
  <c r="A305"/>
  <c r="K304"/>
  <c r="J304"/>
  <c r="I304"/>
  <c r="H304"/>
  <c r="G304"/>
  <c r="F304"/>
  <c r="E304"/>
  <c r="D304"/>
  <c r="C304"/>
  <c r="B304"/>
  <c r="A304"/>
  <c r="K303"/>
  <c r="J303"/>
  <c r="I303"/>
  <c r="H303"/>
  <c r="G303"/>
  <c r="F303"/>
  <c r="E303"/>
  <c r="D303"/>
  <c r="C303"/>
  <c r="B303"/>
  <c r="A303"/>
  <c r="K302"/>
  <c r="J302"/>
  <c r="I302"/>
  <c r="H302"/>
  <c r="G302"/>
  <c r="F302"/>
  <c r="E302"/>
  <c r="D302"/>
  <c r="C302"/>
  <c r="B302"/>
  <c r="A302"/>
  <c r="K301"/>
  <c r="J301"/>
  <c r="I301"/>
  <c r="H301"/>
  <c r="G301"/>
  <c r="F301"/>
  <c r="E301"/>
  <c r="D301"/>
  <c r="C301"/>
  <c r="B301"/>
  <c r="A301"/>
  <c r="K300"/>
  <c r="J300"/>
  <c r="I300"/>
  <c r="H300"/>
  <c r="G300"/>
  <c r="F300"/>
  <c r="E300"/>
  <c r="D300"/>
  <c r="C300"/>
  <c r="B300"/>
  <c r="A300"/>
  <c r="K299"/>
  <c r="J299"/>
  <c r="I299"/>
  <c r="H299"/>
  <c r="G299"/>
  <c r="F299"/>
  <c r="E299"/>
  <c r="D299"/>
  <c r="C299"/>
  <c r="B299"/>
  <c r="A299"/>
  <c r="K298"/>
  <c r="J298"/>
  <c r="I298"/>
  <c r="H298"/>
  <c r="G298"/>
  <c r="F298"/>
  <c r="E298"/>
  <c r="D298"/>
  <c r="C298"/>
  <c r="B298"/>
  <c r="A298"/>
  <c r="K297"/>
  <c r="J297"/>
  <c r="I297"/>
  <c r="H297"/>
  <c r="G297"/>
  <c r="F297"/>
  <c r="E297"/>
  <c r="D297"/>
  <c r="C297"/>
  <c r="B297"/>
  <c r="A297"/>
  <c r="K296"/>
  <c r="J296"/>
  <c r="I296"/>
  <c r="H296"/>
  <c r="G296"/>
  <c r="F296"/>
  <c r="E296"/>
  <c r="D296"/>
  <c r="C296"/>
  <c r="B296"/>
  <c r="A296"/>
  <c r="K295"/>
  <c r="J295"/>
  <c r="I295"/>
  <c r="H295"/>
  <c r="G295"/>
  <c r="F295"/>
  <c r="E295"/>
  <c r="D295"/>
  <c r="C295"/>
  <c r="B295"/>
  <c r="A295"/>
  <c r="K294"/>
  <c r="J294"/>
  <c r="I294"/>
  <c r="H294"/>
  <c r="G294"/>
  <c r="F294"/>
  <c r="E294"/>
  <c r="D294"/>
  <c r="C294"/>
  <c r="B294"/>
  <c r="A294"/>
  <c r="K293"/>
  <c r="J293"/>
  <c r="I293"/>
  <c r="H293"/>
  <c r="G293"/>
  <c r="F293"/>
  <c r="E293"/>
  <c r="D293"/>
  <c r="C293"/>
  <c r="B293"/>
  <c r="A293"/>
  <c r="K292"/>
  <c r="J292"/>
  <c r="I292"/>
  <c r="H292"/>
  <c r="G292"/>
  <c r="F292"/>
  <c r="E292"/>
  <c r="D292"/>
  <c r="C292"/>
  <c r="B292"/>
  <c r="A292"/>
  <c r="K291"/>
  <c r="J291"/>
  <c r="I291"/>
  <c r="H291"/>
  <c r="G291"/>
  <c r="F291"/>
  <c r="E291"/>
  <c r="D291"/>
  <c r="C291"/>
  <c r="B291"/>
  <c r="A291"/>
  <c r="K290"/>
  <c r="J290"/>
  <c r="I290"/>
  <c r="H290"/>
  <c r="G290"/>
  <c r="F290"/>
  <c r="E290"/>
  <c r="D290"/>
  <c r="C290"/>
  <c r="B290"/>
  <c r="A290"/>
  <c r="K289"/>
  <c r="J289"/>
  <c r="I289"/>
  <c r="H289"/>
  <c r="G289"/>
  <c r="F289"/>
  <c r="E289"/>
  <c r="D289"/>
  <c r="C289"/>
  <c r="B289"/>
  <c r="A289"/>
  <c r="K288"/>
  <c r="J288"/>
  <c r="I288"/>
  <c r="H288"/>
  <c r="G288"/>
  <c r="F288"/>
  <c r="E288"/>
  <c r="D288"/>
  <c r="C288"/>
  <c r="B288"/>
  <c r="A288"/>
  <c r="K287"/>
  <c r="J287"/>
  <c r="I287"/>
  <c r="H287"/>
  <c r="G287"/>
  <c r="F287"/>
  <c r="E287"/>
  <c r="D287"/>
  <c r="C287"/>
  <c r="B287"/>
  <c r="A287"/>
  <c r="K286"/>
  <c r="J286"/>
  <c r="I286"/>
  <c r="H286"/>
  <c r="G286"/>
  <c r="F286"/>
  <c r="E286"/>
  <c r="D286"/>
  <c r="C286"/>
  <c r="B286"/>
  <c r="A286"/>
  <c r="K285"/>
  <c r="J285"/>
  <c r="I285"/>
  <c r="H285"/>
  <c r="G285"/>
  <c r="F285"/>
  <c r="E285"/>
  <c r="D285"/>
  <c r="C285"/>
  <c r="B285"/>
  <c r="A285"/>
  <c r="K284"/>
  <c r="J284"/>
  <c r="I284"/>
  <c r="H284"/>
  <c r="G284"/>
  <c r="F284"/>
  <c r="E284"/>
  <c r="D284"/>
  <c r="C284"/>
  <c r="B284"/>
  <c r="A284"/>
  <c r="K283"/>
  <c r="J283"/>
  <c r="I283"/>
  <c r="H283"/>
  <c r="G283"/>
  <c r="F283"/>
  <c r="E283"/>
  <c r="D283"/>
  <c r="C283"/>
  <c r="B283"/>
  <c r="A283"/>
  <c r="K282"/>
  <c r="J282"/>
  <c r="I282"/>
  <c r="H282"/>
  <c r="G282"/>
  <c r="F282"/>
  <c r="E282"/>
  <c r="D282"/>
  <c r="C282"/>
  <c r="B282"/>
  <c r="A282"/>
  <c r="K281"/>
  <c r="J281"/>
  <c r="I281"/>
  <c r="H281"/>
  <c r="G281"/>
  <c r="F281"/>
  <c r="E281"/>
  <c r="D281"/>
  <c r="C281"/>
  <c r="B281"/>
  <c r="A281"/>
  <c r="K280"/>
  <c r="J280"/>
  <c r="I280"/>
  <c r="H280"/>
  <c r="G280"/>
  <c r="F280"/>
  <c r="E280"/>
  <c r="D280"/>
  <c r="C280"/>
  <c r="B280"/>
  <c r="A280"/>
  <c r="K279"/>
  <c r="J279"/>
  <c r="I279"/>
  <c r="H279"/>
  <c r="G279"/>
  <c r="F279"/>
  <c r="E279"/>
  <c r="D279"/>
  <c r="C279"/>
  <c r="B279"/>
  <c r="A279"/>
  <c r="K278"/>
  <c r="J278"/>
  <c r="I278"/>
  <c r="H278"/>
  <c r="G278"/>
  <c r="F278"/>
  <c r="E278"/>
  <c r="D278"/>
  <c r="C278"/>
  <c r="B278"/>
  <c r="A278"/>
  <c r="K277"/>
  <c r="J277"/>
  <c r="I277"/>
  <c r="H277"/>
  <c r="G277"/>
  <c r="F277"/>
  <c r="E277"/>
  <c r="D277"/>
  <c r="C277"/>
  <c r="B277"/>
  <c r="A277"/>
  <c r="K276"/>
  <c r="J276"/>
  <c r="I276"/>
  <c r="H276"/>
  <c r="G276"/>
  <c r="F276"/>
  <c r="E276"/>
  <c r="D276"/>
  <c r="C276"/>
  <c r="B276"/>
  <c r="A276"/>
  <c r="K275"/>
  <c r="J275"/>
  <c r="I275"/>
  <c r="H275"/>
  <c r="G275"/>
  <c r="F275"/>
  <c r="E275"/>
  <c r="D275"/>
  <c r="C275"/>
  <c r="B275"/>
  <c r="A275"/>
  <c r="K274"/>
  <c r="J274"/>
  <c r="I274"/>
  <c r="H274"/>
  <c r="G274"/>
  <c r="F274"/>
  <c r="E274"/>
  <c r="D274"/>
  <c r="C274"/>
  <c r="B274"/>
  <c r="A274"/>
  <c r="K273"/>
  <c r="J273"/>
  <c r="I273"/>
  <c r="H273"/>
  <c r="G273"/>
  <c r="F273"/>
  <c r="E273"/>
  <c r="D273"/>
  <c r="C273"/>
  <c r="B273"/>
  <c r="A273"/>
  <c r="K272"/>
  <c r="J272"/>
  <c r="I272"/>
  <c r="H272"/>
  <c r="G272"/>
  <c r="F272"/>
  <c r="E272"/>
  <c r="D272"/>
  <c r="C272"/>
  <c r="B272"/>
  <c r="A272"/>
  <c r="K271"/>
  <c r="J271"/>
  <c r="I271"/>
  <c r="H271"/>
  <c r="G271"/>
  <c r="F271"/>
  <c r="E271"/>
  <c r="D271"/>
  <c r="C271"/>
  <c r="B271"/>
  <c r="A271"/>
  <c r="K270"/>
  <c r="J270"/>
  <c r="I270"/>
  <c r="H270"/>
  <c r="G270"/>
  <c r="F270"/>
  <c r="E270"/>
  <c r="D270"/>
  <c r="C270"/>
  <c r="B270"/>
  <c r="A270"/>
  <c r="K269"/>
  <c r="J269"/>
  <c r="I269"/>
  <c r="H269"/>
  <c r="G269"/>
  <c r="F269"/>
  <c r="E269"/>
  <c r="D269"/>
  <c r="C269"/>
  <c r="B269"/>
  <c r="A269"/>
  <c r="K268"/>
  <c r="J268"/>
  <c r="I268"/>
  <c r="H268"/>
  <c r="G268"/>
  <c r="F268"/>
  <c r="E268"/>
  <c r="D268"/>
  <c r="C268"/>
  <c r="B268"/>
  <c r="A268"/>
  <c r="K267"/>
  <c r="J267"/>
  <c r="I267"/>
  <c r="H267"/>
  <c r="G267"/>
  <c r="F267"/>
  <c r="E267"/>
  <c r="D267"/>
  <c r="C267"/>
  <c r="B267"/>
  <c r="A267"/>
  <c r="K266"/>
  <c r="J266"/>
  <c r="I266"/>
  <c r="H266"/>
  <c r="G266"/>
  <c r="F266"/>
  <c r="E266"/>
  <c r="D266"/>
  <c r="C266"/>
  <c r="B266"/>
  <c r="A266"/>
  <c r="K265"/>
  <c r="J265"/>
  <c r="I265"/>
  <c r="H265"/>
  <c r="G265"/>
  <c r="F265"/>
  <c r="E265"/>
  <c r="D265"/>
  <c r="C265"/>
  <c r="B265"/>
  <c r="A265"/>
  <c r="K264"/>
  <c r="J264"/>
  <c r="I264"/>
  <c r="H264"/>
  <c r="G264"/>
  <c r="F264"/>
  <c r="E264"/>
  <c r="D264"/>
  <c r="C264"/>
  <c r="B264"/>
  <c r="A264"/>
  <c r="K263"/>
  <c r="J263"/>
  <c r="I263"/>
  <c r="H263"/>
  <c r="G263"/>
  <c r="F263"/>
  <c r="E263"/>
  <c r="D263"/>
  <c r="C263"/>
  <c r="B263"/>
  <c r="A263"/>
  <c r="K262"/>
  <c r="J262"/>
  <c r="I262"/>
  <c r="H262"/>
  <c r="G262"/>
  <c r="F262"/>
  <c r="E262"/>
  <c r="D262"/>
  <c r="C262"/>
  <c r="B262"/>
  <c r="A262"/>
  <c r="K261"/>
  <c r="J261"/>
  <c r="I261"/>
  <c r="H261"/>
  <c r="G261"/>
  <c r="F261"/>
  <c r="E261"/>
  <c r="D261"/>
  <c r="C261"/>
  <c r="B261"/>
  <c r="A261"/>
  <c r="K260"/>
  <c r="J260"/>
  <c r="I260"/>
  <c r="H260"/>
  <c r="G260"/>
  <c r="F260"/>
  <c r="E260"/>
  <c r="D260"/>
  <c r="C260"/>
  <c r="B260"/>
  <c r="A260"/>
  <c r="K259"/>
  <c r="J259"/>
  <c r="I259"/>
  <c r="H259"/>
  <c r="G259"/>
  <c r="F259"/>
  <c r="E259"/>
  <c r="D259"/>
  <c r="C259"/>
  <c r="B259"/>
  <c r="A259"/>
  <c r="K258"/>
  <c r="J258"/>
  <c r="I258"/>
  <c r="H258"/>
  <c r="G258"/>
  <c r="F258"/>
  <c r="E258"/>
  <c r="D258"/>
  <c r="C258"/>
  <c r="B258"/>
  <c r="A258"/>
  <c r="K257"/>
  <c r="J257"/>
  <c r="I257"/>
  <c r="H257"/>
  <c r="G257"/>
  <c r="F257"/>
  <c r="E257"/>
  <c r="D257"/>
  <c r="C257"/>
  <c r="B257"/>
  <c r="A257"/>
  <c r="K256"/>
  <c r="J256"/>
  <c r="I256"/>
  <c r="H256"/>
  <c r="G256"/>
  <c r="F256"/>
  <c r="E256"/>
  <c r="D256"/>
  <c r="C256"/>
  <c r="B256"/>
  <c r="A256"/>
  <c r="K255"/>
  <c r="J255"/>
  <c r="I255"/>
  <c r="H255"/>
  <c r="G255"/>
  <c r="F255"/>
  <c r="E255"/>
  <c r="D255"/>
  <c r="C255"/>
  <c r="B255"/>
  <c r="A255"/>
  <c r="K254"/>
  <c r="J254"/>
  <c r="I254"/>
  <c r="H254"/>
  <c r="G254"/>
  <c r="F254"/>
  <c r="E254"/>
  <c r="D254"/>
  <c r="C254"/>
  <c r="B254"/>
  <c r="A254"/>
  <c r="K253"/>
  <c r="J253"/>
  <c r="I253"/>
  <c r="H253"/>
  <c r="G253"/>
  <c r="F253"/>
  <c r="E253"/>
  <c r="D253"/>
  <c r="C253"/>
  <c r="B253"/>
  <c r="A253"/>
  <c r="K252"/>
  <c r="J252"/>
  <c r="I252"/>
  <c r="H252"/>
  <c r="G252"/>
  <c r="F252"/>
  <c r="E252"/>
  <c r="D252"/>
  <c r="C252"/>
  <c r="B252"/>
  <c r="A252"/>
  <c r="K251"/>
  <c r="J251"/>
  <c r="I251"/>
  <c r="H251"/>
  <c r="G251"/>
  <c r="F251"/>
  <c r="E251"/>
  <c r="D251"/>
  <c r="C251"/>
  <c r="B251"/>
  <c r="A251"/>
  <c r="K250"/>
  <c r="J250"/>
  <c r="I250"/>
  <c r="H250"/>
  <c r="G250"/>
  <c r="F250"/>
  <c r="E250"/>
  <c r="D250"/>
  <c r="C250"/>
  <c r="B250"/>
  <c r="A250"/>
  <c r="K249"/>
  <c r="J249"/>
  <c r="I249"/>
  <c r="H249"/>
  <c r="G249"/>
  <c r="F249"/>
  <c r="E249"/>
  <c r="D249"/>
  <c r="C249"/>
  <c r="B249"/>
  <c r="A249"/>
  <c r="K248"/>
  <c r="J248"/>
  <c r="I248"/>
  <c r="H248"/>
  <c r="G248"/>
  <c r="F248"/>
  <c r="E248"/>
  <c r="D248"/>
  <c r="C248"/>
  <c r="B248"/>
  <c r="A248"/>
  <c r="K247"/>
  <c r="J247"/>
  <c r="I247"/>
  <c r="H247"/>
  <c r="G247"/>
  <c r="F247"/>
  <c r="E247"/>
  <c r="D247"/>
  <c r="C247"/>
  <c r="B247"/>
  <c r="A247"/>
  <c r="K246"/>
  <c r="J246"/>
  <c r="I246"/>
  <c r="H246"/>
  <c r="G246"/>
  <c r="F246"/>
  <c r="E246"/>
  <c r="D246"/>
  <c r="C246"/>
  <c r="B246"/>
  <c r="A246"/>
  <c r="K245"/>
  <c r="J245"/>
  <c r="I245"/>
  <c r="H245"/>
  <c r="G245"/>
  <c r="F245"/>
  <c r="E245"/>
  <c r="D245"/>
  <c r="C245"/>
  <c r="B245"/>
  <c r="A245"/>
  <c r="K244"/>
  <c r="J244"/>
  <c r="I244"/>
  <c r="H244"/>
  <c r="G244"/>
  <c r="F244"/>
  <c r="E244"/>
  <c r="D244"/>
  <c r="C244"/>
  <c r="B244"/>
  <c r="A244"/>
  <c r="K243"/>
  <c r="J243"/>
  <c r="I243"/>
  <c r="H243"/>
  <c r="G243"/>
  <c r="F243"/>
  <c r="E243"/>
  <c r="D243"/>
  <c r="C243"/>
  <c r="B243"/>
  <c r="A243"/>
  <c r="K242"/>
  <c r="J242"/>
  <c r="I242"/>
  <c r="H242"/>
  <c r="G242"/>
  <c r="F242"/>
  <c r="E242"/>
  <c r="D242"/>
  <c r="C242"/>
  <c r="B242"/>
  <c r="A242"/>
  <c r="K241"/>
  <c r="J241"/>
  <c r="I241"/>
  <c r="H241"/>
  <c r="G241"/>
  <c r="F241"/>
  <c r="E241"/>
  <c r="D241"/>
  <c r="C241"/>
  <c r="B241"/>
  <c r="A241"/>
  <c r="K240"/>
  <c r="J240"/>
  <c r="I240"/>
  <c r="H240"/>
  <c r="G240"/>
  <c r="F240"/>
  <c r="E240"/>
  <c r="D240"/>
  <c r="C240"/>
  <c r="B240"/>
  <c r="A240"/>
  <c r="K239"/>
  <c r="J239"/>
  <c r="I239"/>
  <c r="H239"/>
  <c r="G239"/>
  <c r="F239"/>
  <c r="E239"/>
  <c r="D239"/>
  <c r="C239"/>
  <c r="B239"/>
  <c r="A239"/>
  <c r="K238"/>
  <c r="J238"/>
  <c r="I238"/>
  <c r="H238"/>
  <c r="G238"/>
  <c r="F238"/>
  <c r="E238"/>
  <c r="D238"/>
  <c r="C238"/>
  <c r="B238"/>
  <c r="A238"/>
  <c r="K237"/>
  <c r="J237"/>
  <c r="I237"/>
  <c r="H237"/>
  <c r="G237"/>
  <c r="F237"/>
  <c r="E237"/>
  <c r="D237"/>
  <c r="C237"/>
  <c r="B237"/>
  <c r="A237"/>
  <c r="K236"/>
  <c r="J236"/>
  <c r="I236"/>
  <c r="H236"/>
  <c r="G236"/>
  <c r="F236"/>
  <c r="E236"/>
  <c r="D236"/>
  <c r="C236"/>
  <c r="B236"/>
  <c r="A236"/>
  <c r="K235"/>
  <c r="J235"/>
  <c r="I235"/>
  <c r="H235"/>
  <c r="G235"/>
  <c r="F235"/>
  <c r="E235"/>
  <c r="D235"/>
  <c r="C235"/>
  <c r="B235"/>
  <c r="A235"/>
  <c r="K234"/>
  <c r="J234"/>
  <c r="I234"/>
  <c r="H234"/>
  <c r="G234"/>
  <c r="F234"/>
  <c r="E234"/>
  <c r="D234"/>
  <c r="C234"/>
  <c r="B234"/>
  <c r="A234"/>
  <c r="K233"/>
  <c r="J233"/>
  <c r="I233"/>
  <c r="H233"/>
  <c r="G233"/>
  <c r="F233"/>
  <c r="E233"/>
  <c r="D233"/>
  <c r="C233"/>
  <c r="B233"/>
  <c r="A233"/>
  <c r="K232"/>
  <c r="J232"/>
  <c r="I232"/>
  <c r="H232"/>
  <c r="G232"/>
  <c r="F232"/>
  <c r="E232"/>
  <c r="D232"/>
  <c r="C232"/>
  <c r="B232"/>
  <c r="A232"/>
  <c r="K231"/>
  <c r="J231"/>
  <c r="I231"/>
  <c r="H231"/>
  <c r="G231"/>
  <c r="F231"/>
  <c r="E231"/>
  <c r="D231"/>
  <c r="C231"/>
  <c r="B231"/>
  <c r="A231"/>
  <c r="K230"/>
  <c r="J230"/>
  <c r="I230"/>
  <c r="H230"/>
  <c r="G230"/>
  <c r="F230"/>
  <c r="E230"/>
  <c r="D230"/>
  <c r="C230"/>
  <c r="B230"/>
  <c r="A230"/>
  <c r="K229"/>
  <c r="J229"/>
  <c r="I229"/>
  <c r="H229"/>
  <c r="G229"/>
  <c r="F229"/>
  <c r="E229"/>
  <c r="D229"/>
  <c r="C229"/>
  <c r="B229"/>
  <c r="A229"/>
  <c r="K228"/>
  <c r="J228"/>
  <c r="I228"/>
  <c r="H228"/>
  <c r="G228"/>
  <c r="F228"/>
  <c r="E228"/>
  <c r="D228"/>
  <c r="C228"/>
  <c r="B228"/>
  <c r="A228"/>
  <c r="K227"/>
  <c r="J227"/>
  <c r="I227"/>
  <c r="H227"/>
  <c r="G227"/>
  <c r="F227"/>
  <c r="E227"/>
  <c r="D227"/>
  <c r="C227"/>
  <c r="B227"/>
  <c r="A227"/>
  <c r="K226"/>
  <c r="J226"/>
  <c r="I226"/>
  <c r="H226"/>
  <c r="G226"/>
  <c r="F226"/>
  <c r="E226"/>
  <c r="D226"/>
  <c r="C226"/>
  <c r="B226"/>
  <c r="A226"/>
  <c r="K225"/>
  <c r="J225"/>
  <c r="I225"/>
  <c r="H225"/>
  <c r="G225"/>
  <c r="F225"/>
  <c r="E225"/>
  <c r="D225"/>
  <c r="C225"/>
  <c r="B225"/>
  <c r="A225"/>
  <c r="K224"/>
  <c r="J224"/>
  <c r="I224"/>
  <c r="H224"/>
  <c r="G224"/>
  <c r="F224"/>
  <c r="E224"/>
  <c r="D224"/>
  <c r="C224"/>
  <c r="B224"/>
  <c r="A224"/>
  <c r="K223"/>
  <c r="J223"/>
  <c r="I223"/>
  <c r="H223"/>
  <c r="G223"/>
  <c r="F223"/>
  <c r="E223"/>
  <c r="D223"/>
  <c r="C223"/>
  <c r="B223"/>
  <c r="A223"/>
  <c r="K222"/>
  <c r="J222"/>
  <c r="I222"/>
  <c r="H222"/>
  <c r="G222"/>
  <c r="F222"/>
  <c r="E222"/>
  <c r="D222"/>
  <c r="C222"/>
  <c r="B222"/>
  <c r="A222"/>
  <c r="K221"/>
  <c r="J221"/>
  <c r="I221"/>
  <c r="H221"/>
  <c r="G221"/>
  <c r="F221"/>
  <c r="E221"/>
  <c r="D221"/>
  <c r="C221"/>
  <c r="B221"/>
  <c r="A221"/>
  <c r="K220"/>
  <c r="J220"/>
  <c r="I220"/>
  <c r="H220"/>
  <c r="G220"/>
  <c r="F220"/>
  <c r="E220"/>
  <c r="D220"/>
  <c r="C220"/>
  <c r="B220"/>
  <c r="A220"/>
  <c r="K219"/>
  <c r="J219"/>
  <c r="I219"/>
  <c r="H219"/>
  <c r="G219"/>
  <c r="F219"/>
  <c r="E219"/>
  <c r="D219"/>
  <c r="C219"/>
  <c r="B219"/>
  <c r="A219"/>
  <c r="K218"/>
  <c r="J218"/>
  <c r="I218"/>
  <c r="H218"/>
  <c r="G218"/>
  <c r="F218"/>
  <c r="E218"/>
  <c r="D218"/>
  <c r="C218"/>
  <c r="B218"/>
  <c r="A218"/>
  <c r="K217"/>
  <c r="J217"/>
  <c r="I217"/>
  <c r="H217"/>
  <c r="G217"/>
  <c r="F217"/>
  <c r="E217"/>
  <c r="D217"/>
  <c r="C217"/>
  <c r="B217"/>
  <c r="A217"/>
  <c r="K216"/>
  <c r="J216"/>
  <c r="I216"/>
  <c r="H216"/>
  <c r="G216"/>
  <c r="F216"/>
  <c r="E216"/>
  <c r="D216"/>
  <c r="C216"/>
  <c r="B216"/>
  <c r="A216"/>
  <c r="K215"/>
  <c r="J215"/>
  <c r="I215"/>
  <c r="H215"/>
  <c r="G215"/>
  <c r="F215"/>
  <c r="E215"/>
  <c r="D215"/>
  <c r="C215"/>
  <c r="B215"/>
  <c r="A215"/>
  <c r="K214"/>
  <c r="J214"/>
  <c r="I214"/>
  <c r="H214"/>
  <c r="G214"/>
  <c r="F214"/>
  <c r="E214"/>
  <c r="D214"/>
  <c r="C214"/>
  <c r="B214"/>
  <c r="A214"/>
  <c r="K213"/>
  <c r="J213"/>
  <c r="I213"/>
  <c r="H213"/>
  <c r="G213"/>
  <c r="F213"/>
  <c r="E213"/>
  <c r="D213"/>
  <c r="C213"/>
  <c r="B213"/>
  <c r="A213"/>
  <c r="K212"/>
  <c r="J212"/>
  <c r="I212"/>
  <c r="H212"/>
  <c r="G212"/>
  <c r="F212"/>
  <c r="E212"/>
  <c r="D212"/>
  <c r="C212"/>
  <c r="B212"/>
  <c r="A212"/>
  <c r="K211"/>
  <c r="J211"/>
  <c r="I211"/>
  <c r="H211"/>
  <c r="G211"/>
  <c r="F211"/>
  <c r="E211"/>
  <c r="D211"/>
  <c r="C211"/>
  <c r="B211"/>
  <c r="A211"/>
  <c r="K210"/>
  <c r="J210"/>
  <c r="I210"/>
  <c r="H210"/>
  <c r="G210"/>
  <c r="F210"/>
  <c r="E210"/>
  <c r="D210"/>
  <c r="C210"/>
  <c r="B210"/>
  <c r="A210"/>
  <c r="K209"/>
  <c r="J209"/>
  <c r="I209"/>
  <c r="H209"/>
  <c r="G209"/>
  <c r="F209"/>
  <c r="E209"/>
  <c r="D209"/>
  <c r="C209"/>
  <c r="B209"/>
  <c r="A209"/>
  <c r="K208"/>
  <c r="J208"/>
  <c r="I208"/>
  <c r="H208"/>
  <c r="G208"/>
  <c r="F208"/>
  <c r="E208"/>
  <c r="D208"/>
  <c r="C208"/>
  <c r="B208"/>
  <c r="A208"/>
  <c r="K207"/>
  <c r="J207"/>
  <c r="I207"/>
  <c r="H207"/>
  <c r="G207"/>
  <c r="F207"/>
  <c r="E207"/>
  <c r="D207"/>
  <c r="C207"/>
  <c r="B207"/>
  <c r="A207"/>
  <c r="K206"/>
  <c r="J206"/>
  <c r="I206"/>
  <c r="H206"/>
  <c r="G206"/>
  <c r="F206"/>
  <c r="E206"/>
  <c r="D206"/>
  <c r="C206"/>
  <c r="B206"/>
  <c r="A206"/>
  <c r="K205"/>
  <c r="J205"/>
  <c r="I205"/>
  <c r="H205"/>
  <c r="G205"/>
  <c r="F205"/>
  <c r="E205"/>
  <c r="D205"/>
  <c r="C205"/>
  <c r="B205"/>
  <c r="A205"/>
  <c r="K204"/>
  <c r="J204"/>
  <c r="I204"/>
  <c r="H204"/>
  <c r="G204"/>
  <c r="F204"/>
  <c r="E204"/>
  <c r="D204"/>
  <c r="C204"/>
  <c r="B204"/>
  <c r="A204"/>
  <c r="K203"/>
  <c r="J203"/>
  <c r="I203"/>
  <c r="H203"/>
  <c r="G203"/>
  <c r="F203"/>
  <c r="E203"/>
  <c r="D203"/>
  <c r="C203"/>
  <c r="B203"/>
  <c r="A203"/>
  <c r="K202"/>
  <c r="J202"/>
  <c r="I202"/>
  <c r="H202"/>
  <c r="G202"/>
  <c r="F202"/>
  <c r="E202"/>
  <c r="D202"/>
  <c r="C202"/>
  <c r="B202"/>
  <c r="A202"/>
  <c r="K201"/>
  <c r="J201"/>
  <c r="I201"/>
  <c r="H201"/>
  <c r="G201"/>
  <c r="F201"/>
  <c r="E201"/>
  <c r="D201"/>
  <c r="C201"/>
  <c r="B201"/>
  <c r="A201"/>
  <c r="K200"/>
  <c r="J200"/>
  <c r="I200"/>
  <c r="H200"/>
  <c r="G200"/>
  <c r="F200"/>
  <c r="E200"/>
  <c r="D200"/>
  <c r="C200"/>
  <c r="B200"/>
  <c r="A200"/>
  <c r="K199"/>
  <c r="J199"/>
  <c r="I199"/>
  <c r="H199"/>
  <c r="G199"/>
  <c r="F199"/>
  <c r="E199"/>
  <c r="D199"/>
  <c r="C199"/>
  <c r="B199"/>
  <c r="A199"/>
  <c r="K198"/>
  <c r="J198"/>
  <c r="I198"/>
  <c r="H198"/>
  <c r="G198"/>
  <c r="F198"/>
  <c r="E198"/>
  <c r="D198"/>
  <c r="C198"/>
  <c r="B198"/>
  <c r="A198"/>
  <c r="K197"/>
  <c r="J197"/>
  <c r="I197"/>
  <c r="H197"/>
  <c r="G197"/>
  <c r="F197"/>
  <c r="E197"/>
  <c r="D197"/>
  <c r="C197"/>
  <c r="B197"/>
  <c r="A197"/>
  <c r="K196"/>
  <c r="J196"/>
  <c r="I196"/>
  <c r="H196"/>
  <c r="G196"/>
  <c r="F196"/>
  <c r="E196"/>
  <c r="D196"/>
  <c r="C196"/>
  <c r="B196"/>
  <c r="A196"/>
  <c r="K195"/>
  <c r="J195"/>
  <c r="I195"/>
  <c r="H195"/>
  <c r="G195"/>
  <c r="F195"/>
  <c r="E195"/>
  <c r="D195"/>
  <c r="C195"/>
  <c r="B195"/>
  <c r="A195"/>
  <c r="K194"/>
  <c r="J194"/>
  <c r="I194"/>
  <c r="H194"/>
  <c r="G194"/>
  <c r="F194"/>
  <c r="E194"/>
  <c r="D194"/>
  <c r="C194"/>
  <c r="B194"/>
  <c r="A194"/>
  <c r="K193"/>
  <c r="J193"/>
  <c r="I193"/>
  <c r="H193"/>
  <c r="G193"/>
  <c r="F193"/>
  <c r="E193"/>
  <c r="D193"/>
  <c r="C193"/>
  <c r="B193"/>
  <c r="A193"/>
  <c r="K192"/>
  <c r="J192"/>
  <c r="I192"/>
  <c r="H192"/>
  <c r="G192"/>
  <c r="F192"/>
  <c r="E192"/>
  <c r="D192"/>
  <c r="C192"/>
  <c r="B192"/>
  <c r="A192"/>
  <c r="K191"/>
  <c r="J191"/>
  <c r="I191"/>
  <c r="H191"/>
  <c r="G191"/>
  <c r="F191"/>
  <c r="E191"/>
  <c r="D191"/>
  <c r="C191"/>
  <c r="B191"/>
  <c r="A191"/>
  <c r="K190"/>
  <c r="J190"/>
  <c r="I190"/>
  <c r="H190"/>
  <c r="G190"/>
  <c r="F190"/>
  <c r="E190"/>
  <c r="D190"/>
  <c r="C190"/>
  <c r="B190"/>
  <c r="A190"/>
  <c r="K189"/>
  <c r="J189"/>
  <c r="I189"/>
  <c r="H189"/>
  <c r="G189"/>
  <c r="F189"/>
  <c r="E189"/>
  <c r="D189"/>
  <c r="C189"/>
  <c r="B189"/>
  <c r="A189"/>
  <c r="K188"/>
  <c r="J188"/>
  <c r="I188"/>
  <c r="H188"/>
  <c r="G188"/>
  <c r="F188"/>
  <c r="E188"/>
  <c r="D188"/>
  <c r="C188"/>
  <c r="B188"/>
  <c r="A188"/>
  <c r="K187"/>
  <c r="J187"/>
  <c r="I187"/>
  <c r="H187"/>
  <c r="G187"/>
  <c r="F187"/>
  <c r="E187"/>
  <c r="D187"/>
  <c r="C187"/>
  <c r="B187"/>
  <c r="A187"/>
  <c r="K186"/>
  <c r="J186"/>
  <c r="I186"/>
  <c r="H186"/>
  <c r="G186"/>
  <c r="F186"/>
  <c r="E186"/>
  <c r="D186"/>
  <c r="C186"/>
  <c r="B186"/>
  <c r="A186"/>
  <c r="K185"/>
  <c r="J185"/>
  <c r="I185"/>
  <c r="H185"/>
  <c r="G185"/>
  <c r="F185"/>
  <c r="E185"/>
  <c r="D185"/>
  <c r="C185"/>
  <c r="B185"/>
  <c r="A185"/>
  <c r="K184"/>
  <c r="J184"/>
  <c r="I184"/>
  <c r="H184"/>
  <c r="G184"/>
  <c r="F184"/>
  <c r="E184"/>
  <c r="D184"/>
  <c r="C184"/>
  <c r="B184"/>
  <c r="A184"/>
  <c r="K183"/>
  <c r="J183"/>
  <c r="I183"/>
  <c r="H183"/>
  <c r="G183"/>
  <c r="F183"/>
  <c r="E183"/>
  <c r="D183"/>
  <c r="C183"/>
  <c r="B183"/>
  <c r="A183"/>
  <c r="K182"/>
  <c r="J182"/>
  <c r="I182"/>
  <c r="H182"/>
  <c r="G182"/>
  <c r="F182"/>
  <c r="E182"/>
  <c r="D182"/>
  <c r="C182"/>
  <c r="B182"/>
  <c r="A182"/>
  <c r="K181"/>
  <c r="J181"/>
  <c r="I181"/>
  <c r="H181"/>
  <c r="G181"/>
  <c r="F181"/>
  <c r="E181"/>
  <c r="D181"/>
  <c r="C181"/>
  <c r="B181"/>
  <c r="A181"/>
  <c r="K180"/>
  <c r="J180"/>
  <c r="I180"/>
  <c r="H180"/>
  <c r="G180"/>
  <c r="F180"/>
  <c r="E180"/>
  <c r="D180"/>
  <c r="C180"/>
  <c r="B180"/>
  <c r="A180"/>
  <c r="K179"/>
  <c r="J179"/>
  <c r="I179"/>
  <c r="H179"/>
  <c r="G179"/>
  <c r="F179"/>
  <c r="E179"/>
  <c r="D179"/>
  <c r="C179"/>
  <c r="B179"/>
  <c r="A179"/>
  <c r="K178"/>
  <c r="J178"/>
  <c r="I178"/>
  <c r="H178"/>
  <c r="G178"/>
  <c r="F178"/>
  <c r="E178"/>
  <c r="D178"/>
  <c r="C178"/>
  <c r="B178"/>
  <c r="A178"/>
  <c r="K177"/>
  <c r="J177"/>
  <c r="I177"/>
  <c r="H177"/>
  <c r="G177"/>
  <c r="F177"/>
  <c r="E177"/>
  <c r="D177"/>
  <c r="C177"/>
  <c r="B177"/>
  <c r="A177"/>
  <c r="K176"/>
  <c r="J176"/>
  <c r="I176"/>
  <c r="H176"/>
  <c r="G176"/>
  <c r="F176"/>
  <c r="E176"/>
  <c r="D176"/>
  <c r="C176"/>
  <c r="B176"/>
  <c r="A176"/>
  <c r="K175"/>
  <c r="J175"/>
  <c r="I175"/>
  <c r="H175"/>
  <c r="G175"/>
  <c r="F175"/>
  <c r="E175"/>
  <c r="D175"/>
  <c r="C175"/>
  <c r="B175"/>
  <c r="A175"/>
  <c r="K174"/>
  <c r="J174"/>
  <c r="I174"/>
  <c r="H174"/>
  <c r="G174"/>
  <c r="F174"/>
  <c r="E174"/>
  <c r="D174"/>
  <c r="C174"/>
  <c r="B174"/>
  <c r="A174"/>
  <c r="K173"/>
  <c r="J173"/>
  <c r="I173"/>
  <c r="H173"/>
  <c r="G173"/>
  <c r="F173"/>
  <c r="E173"/>
  <c r="D173"/>
  <c r="C173"/>
  <c r="B173"/>
  <c r="A173"/>
  <c r="K172"/>
  <c r="J172"/>
  <c r="I172"/>
  <c r="H172"/>
  <c r="G172"/>
  <c r="F172"/>
  <c r="E172"/>
  <c r="D172"/>
  <c r="C172"/>
  <c r="B172"/>
  <c r="A172"/>
  <c r="K171"/>
  <c r="J171"/>
  <c r="I171"/>
  <c r="H171"/>
  <c r="G171"/>
  <c r="F171"/>
  <c r="E171"/>
  <c r="D171"/>
  <c r="C171"/>
  <c r="B171"/>
  <c r="A171"/>
  <c r="K170"/>
  <c r="J170"/>
  <c r="I170"/>
  <c r="H170"/>
  <c r="G170"/>
  <c r="F170"/>
  <c r="E170"/>
  <c r="D170"/>
  <c r="C170"/>
  <c r="B170"/>
  <c r="A170"/>
  <c r="K169"/>
  <c r="J169"/>
  <c r="I169"/>
  <c r="H169"/>
  <c r="G169"/>
  <c r="F169"/>
  <c r="E169"/>
  <c r="D169"/>
  <c r="C169"/>
  <c r="B169"/>
  <c r="A169"/>
  <c r="K168"/>
  <c r="J168"/>
  <c r="I168"/>
  <c r="H168"/>
  <c r="G168"/>
  <c r="F168"/>
  <c r="E168"/>
  <c r="D168"/>
  <c r="C168"/>
  <c r="B168"/>
  <c r="A168"/>
  <c r="K167"/>
  <c r="J167"/>
  <c r="I167"/>
  <c r="H167"/>
  <c r="G167"/>
  <c r="F167"/>
  <c r="E167"/>
  <c r="D167"/>
  <c r="C167"/>
  <c r="B167"/>
  <c r="A167"/>
  <c r="K166"/>
  <c r="J166"/>
  <c r="I166"/>
  <c r="H166"/>
  <c r="G166"/>
  <c r="F166"/>
  <c r="E166"/>
  <c r="D166"/>
  <c r="C166"/>
  <c r="B166"/>
  <c r="A166"/>
  <c r="K165"/>
  <c r="J165"/>
  <c r="I165"/>
  <c r="H165"/>
  <c r="G165"/>
  <c r="F165"/>
  <c r="E165"/>
  <c r="D165"/>
  <c r="C165"/>
  <c r="B165"/>
  <c r="A165"/>
  <c r="K164"/>
  <c r="J164"/>
  <c r="I164"/>
  <c r="H164"/>
  <c r="G164"/>
  <c r="F164"/>
  <c r="E164"/>
  <c r="D164"/>
  <c r="C164"/>
  <c r="B164"/>
  <c r="A164"/>
  <c r="K163"/>
  <c r="J163"/>
  <c r="I163"/>
  <c r="H163"/>
  <c r="G163"/>
  <c r="F163"/>
  <c r="E163"/>
  <c r="D163"/>
  <c r="C163"/>
  <c r="B163"/>
  <c r="A163"/>
  <c r="K162"/>
  <c r="J162"/>
  <c r="I162"/>
  <c r="H162"/>
  <c r="G162"/>
  <c r="F162"/>
  <c r="E162"/>
  <c r="D162"/>
  <c r="C162"/>
  <c r="B162"/>
  <c r="A162"/>
  <c r="K161"/>
  <c r="J161"/>
  <c r="I161"/>
  <c r="H161"/>
  <c r="G161"/>
  <c r="F161"/>
  <c r="E161"/>
  <c r="D161"/>
  <c r="C161"/>
  <c r="B161"/>
  <c r="A161"/>
  <c r="K160"/>
  <c r="J160"/>
  <c r="I160"/>
  <c r="H160"/>
  <c r="G160"/>
  <c r="F160"/>
  <c r="E160"/>
  <c r="D160"/>
  <c r="C160"/>
  <c r="B160"/>
  <c r="A160"/>
  <c r="K159"/>
  <c r="J159"/>
  <c r="I159"/>
  <c r="H159"/>
  <c r="G159"/>
  <c r="F159"/>
  <c r="E159"/>
  <c r="D159"/>
  <c r="C159"/>
  <c r="B159"/>
  <c r="A159"/>
  <c r="K158"/>
  <c r="J158"/>
  <c r="I158"/>
  <c r="H158"/>
  <c r="G158"/>
  <c r="F158"/>
  <c r="E158"/>
  <c r="D158"/>
  <c r="C158"/>
  <c r="B158"/>
  <c r="A158"/>
  <c r="K157"/>
  <c r="J157"/>
  <c r="I157"/>
  <c r="H157"/>
  <c r="G157"/>
  <c r="F157"/>
  <c r="E157"/>
  <c r="D157"/>
  <c r="C157"/>
  <c r="B157"/>
  <c r="A157"/>
  <c r="K156"/>
  <c r="J156"/>
  <c r="I156"/>
  <c r="H156"/>
  <c r="G156"/>
  <c r="F156"/>
  <c r="E156"/>
  <c r="D156"/>
  <c r="C156"/>
  <c r="B156"/>
  <c r="A156"/>
  <c r="K155"/>
  <c r="J155"/>
  <c r="I155"/>
  <c r="H155"/>
  <c r="G155"/>
  <c r="F155"/>
  <c r="E155"/>
  <c r="D155"/>
  <c r="C155"/>
  <c r="B155"/>
  <c r="A155"/>
  <c r="K154"/>
  <c r="J154"/>
  <c r="I154"/>
  <c r="H154"/>
  <c r="G154"/>
  <c r="F154"/>
  <c r="E154"/>
  <c r="D154"/>
  <c r="C154"/>
  <c r="B154"/>
  <c r="A154"/>
  <c r="K153"/>
  <c r="J153"/>
  <c r="I153"/>
  <c r="H153"/>
  <c r="G153"/>
  <c r="F153"/>
  <c r="E153"/>
  <c r="D153"/>
  <c r="C153"/>
  <c r="B153"/>
  <c r="A153"/>
  <c r="K152"/>
  <c r="J152"/>
  <c r="I152"/>
  <c r="H152"/>
  <c r="G152"/>
  <c r="F152"/>
  <c r="E152"/>
  <c r="D152"/>
  <c r="C152"/>
  <c r="B152"/>
  <c r="A152"/>
  <c r="K151"/>
  <c r="J151"/>
  <c r="I151"/>
  <c r="H151"/>
  <c r="G151"/>
  <c r="F151"/>
  <c r="E151"/>
  <c r="D151"/>
  <c r="C151"/>
  <c r="B151"/>
  <c r="A151"/>
  <c r="K150"/>
  <c r="J150"/>
  <c r="I150"/>
  <c r="H150"/>
  <c r="G150"/>
  <c r="F150"/>
  <c r="E150"/>
  <c r="D150"/>
  <c r="C150"/>
  <c r="B150"/>
  <c r="A150"/>
  <c r="K149"/>
  <c r="J149"/>
  <c r="I149"/>
  <c r="H149"/>
  <c r="G149"/>
  <c r="F149"/>
  <c r="E149"/>
  <c r="D149"/>
  <c r="C149"/>
  <c r="B149"/>
  <c r="A149"/>
  <c r="K148"/>
  <c r="J148"/>
  <c r="I148"/>
  <c r="H148"/>
  <c r="G148"/>
  <c r="F148"/>
  <c r="E148"/>
  <c r="D148"/>
  <c r="C148"/>
  <c r="B148"/>
  <c r="A148"/>
  <c r="K147"/>
  <c r="J147"/>
  <c r="I147"/>
  <c r="H147"/>
  <c r="G147"/>
  <c r="F147"/>
  <c r="E147"/>
  <c r="D147"/>
  <c r="C147"/>
  <c r="B147"/>
  <c r="A147"/>
  <c r="K146"/>
  <c r="J146"/>
  <c r="I146"/>
  <c r="H146"/>
  <c r="G146"/>
  <c r="F146"/>
  <c r="E146"/>
  <c r="D146"/>
  <c r="C146"/>
  <c r="B146"/>
  <c r="A146"/>
  <c r="K145"/>
  <c r="J145"/>
  <c r="I145"/>
  <c r="H145"/>
  <c r="G145"/>
  <c r="F145"/>
  <c r="E145"/>
  <c r="D145"/>
  <c r="C145"/>
  <c r="B145"/>
  <c r="A145"/>
  <c r="K144"/>
  <c r="J144"/>
  <c r="I144"/>
  <c r="H144"/>
  <c r="G144"/>
  <c r="F144"/>
  <c r="E144"/>
  <c r="D144"/>
  <c r="C144"/>
  <c r="B144"/>
  <c r="A144"/>
  <c r="K143"/>
  <c r="J143"/>
  <c r="I143"/>
  <c r="H143"/>
  <c r="G143"/>
  <c r="F143"/>
  <c r="E143"/>
  <c r="D143"/>
  <c r="C143"/>
  <c r="B143"/>
  <c r="A143"/>
  <c r="K142"/>
  <c r="J142"/>
  <c r="I142"/>
  <c r="H142"/>
  <c r="G142"/>
  <c r="F142"/>
  <c r="E142"/>
  <c r="D142"/>
  <c r="C142"/>
  <c r="B142"/>
  <c r="A142"/>
  <c r="K141"/>
  <c r="J141"/>
  <c r="I141"/>
  <c r="H141"/>
  <c r="G141"/>
  <c r="F141"/>
  <c r="E141"/>
  <c r="D141"/>
  <c r="C141"/>
  <c r="B141"/>
  <c r="A141"/>
  <c r="K140"/>
  <c r="J140"/>
  <c r="I140"/>
  <c r="H140"/>
  <c r="G140"/>
  <c r="F140"/>
  <c r="E140"/>
  <c r="D140"/>
  <c r="C140"/>
  <c r="B140"/>
  <c r="A140"/>
  <c r="K139"/>
  <c r="J139"/>
  <c r="I139"/>
  <c r="H139"/>
  <c r="G139"/>
  <c r="F139"/>
  <c r="E139"/>
  <c r="D139"/>
  <c r="C139"/>
  <c r="B139"/>
  <c r="A139"/>
  <c r="K138"/>
  <c r="J138"/>
  <c r="I138"/>
  <c r="H138"/>
  <c r="G138"/>
  <c r="F138"/>
  <c r="E138"/>
  <c r="D138"/>
  <c r="C138"/>
  <c r="B138"/>
  <c r="A138"/>
  <c r="K137"/>
  <c r="J137"/>
  <c r="I137"/>
  <c r="H137"/>
  <c r="G137"/>
  <c r="F137"/>
  <c r="E137"/>
  <c r="D137"/>
  <c r="C137"/>
  <c r="B137"/>
  <c r="A137"/>
  <c r="K136"/>
  <c r="J136"/>
  <c r="I136"/>
  <c r="H136"/>
  <c r="G136"/>
  <c r="F136"/>
  <c r="E136"/>
  <c r="D136"/>
  <c r="C136"/>
  <c r="B136"/>
  <c r="A136"/>
  <c r="K135"/>
  <c r="J135"/>
  <c r="I135"/>
  <c r="H135"/>
  <c r="G135"/>
  <c r="F135"/>
  <c r="E135"/>
  <c r="D135"/>
  <c r="C135"/>
  <c r="B135"/>
  <c r="A135"/>
  <c r="K134"/>
  <c r="J134"/>
  <c r="I134"/>
  <c r="H134"/>
  <c r="G134"/>
  <c r="F134"/>
  <c r="E134"/>
  <c r="D134"/>
  <c r="C134"/>
  <c r="B134"/>
  <c r="A134"/>
  <c r="K133"/>
  <c r="J133"/>
  <c r="I133"/>
  <c r="H133"/>
  <c r="G133"/>
  <c r="F133"/>
  <c r="E133"/>
  <c r="D133"/>
  <c r="C133"/>
  <c r="B133"/>
  <c r="A133"/>
  <c r="K132"/>
  <c r="J132"/>
  <c r="I132"/>
  <c r="H132"/>
  <c r="G132"/>
  <c r="F132"/>
  <c r="E132"/>
  <c r="D132"/>
  <c r="C132"/>
  <c r="B132"/>
  <c r="A132"/>
  <c r="K131"/>
  <c r="J131"/>
  <c r="I131"/>
  <c r="H131"/>
  <c r="G131"/>
  <c r="F131"/>
  <c r="E131"/>
  <c r="D131"/>
  <c r="C131"/>
  <c r="B131"/>
  <c r="A131"/>
  <c r="K130"/>
  <c r="J130"/>
  <c r="I130"/>
  <c r="H130"/>
  <c r="G130"/>
  <c r="F130"/>
  <c r="E130"/>
  <c r="D130"/>
  <c r="C130"/>
  <c r="B130"/>
  <c r="A130"/>
  <c r="K129"/>
  <c r="J129"/>
  <c r="I129"/>
  <c r="H129"/>
  <c r="G129"/>
  <c r="F129"/>
  <c r="E129"/>
  <c r="D129"/>
  <c r="C129"/>
  <c r="B129"/>
  <c r="A129"/>
  <c r="K128"/>
  <c r="J128"/>
  <c r="I128"/>
  <c r="H128"/>
  <c r="G128"/>
  <c r="F128"/>
  <c r="E128"/>
  <c r="D128"/>
  <c r="C128"/>
  <c r="B128"/>
  <c r="A128"/>
  <c r="K127"/>
  <c r="J127"/>
  <c r="I127"/>
  <c r="H127"/>
  <c r="G127"/>
  <c r="F127"/>
  <c r="E127"/>
  <c r="D127"/>
  <c r="C127"/>
  <c r="B127"/>
  <c r="A127"/>
  <c r="K126"/>
  <c r="J126"/>
  <c r="I126"/>
  <c r="H126"/>
  <c r="G126"/>
  <c r="F126"/>
  <c r="E126"/>
  <c r="D126"/>
  <c r="C126"/>
  <c r="B126"/>
  <c r="A126"/>
  <c r="K125"/>
  <c r="J125"/>
  <c r="I125"/>
  <c r="H125"/>
  <c r="G125"/>
  <c r="F125"/>
  <c r="E125"/>
  <c r="D125"/>
  <c r="C125"/>
  <c r="B125"/>
  <c r="A125"/>
  <c r="K124"/>
  <c r="J124"/>
  <c r="I124"/>
  <c r="H124"/>
  <c r="G124"/>
  <c r="F124"/>
  <c r="E124"/>
  <c r="D124"/>
  <c r="C124"/>
  <c r="B124"/>
  <c r="A124"/>
  <c r="K123"/>
  <c r="J123"/>
  <c r="I123"/>
  <c r="H123"/>
  <c r="G123"/>
  <c r="F123"/>
  <c r="E123"/>
  <c r="D123"/>
  <c r="C123"/>
  <c r="B123"/>
  <c r="A123"/>
  <c r="K122"/>
  <c r="J122"/>
  <c r="I122"/>
  <c r="H122"/>
  <c r="G122"/>
  <c r="F122"/>
  <c r="E122"/>
  <c r="D122"/>
  <c r="C122"/>
  <c r="B122"/>
  <c r="A122"/>
  <c r="K121"/>
  <c r="J121"/>
  <c r="I121"/>
  <c r="H121"/>
  <c r="G121"/>
  <c r="F121"/>
  <c r="E121"/>
  <c r="D121"/>
  <c r="C121"/>
  <c r="B121"/>
  <c r="A121"/>
  <c r="K120"/>
  <c r="J120"/>
  <c r="I120"/>
  <c r="H120"/>
  <c r="G120"/>
  <c r="F120"/>
  <c r="E120"/>
  <c r="D120"/>
  <c r="C120"/>
  <c r="B120"/>
  <c r="A120"/>
  <c r="K119"/>
  <c r="J119"/>
  <c r="I119"/>
  <c r="H119"/>
  <c r="G119"/>
  <c r="F119"/>
  <c r="E119"/>
  <c r="D119"/>
  <c r="C119"/>
  <c r="B119"/>
  <c r="A119"/>
  <c r="K118"/>
  <c r="J118"/>
  <c r="I118"/>
  <c r="H118"/>
  <c r="G118"/>
  <c r="F118"/>
  <c r="E118"/>
  <c r="D118"/>
  <c r="C118"/>
  <c r="B118"/>
  <c r="A118"/>
  <c r="K117"/>
  <c r="J117"/>
  <c r="I117"/>
  <c r="H117"/>
  <c r="G117"/>
  <c r="F117"/>
  <c r="E117"/>
  <c r="D117"/>
  <c r="C117"/>
  <c r="B117"/>
  <c r="A117"/>
  <c r="K116"/>
  <c r="J116"/>
  <c r="I116"/>
  <c r="H116"/>
  <c r="G116"/>
  <c r="F116"/>
  <c r="E116"/>
  <c r="D116"/>
  <c r="C116"/>
  <c r="B116"/>
  <c r="A116"/>
  <c r="K115"/>
  <c r="J115"/>
  <c r="I115"/>
  <c r="H115"/>
  <c r="G115"/>
  <c r="F115"/>
  <c r="E115"/>
  <c r="D115"/>
  <c r="C115"/>
  <c r="B115"/>
  <c r="A115"/>
  <c r="K114"/>
  <c r="J114"/>
  <c r="I114"/>
  <c r="H114"/>
  <c r="G114"/>
  <c r="F114"/>
  <c r="E114"/>
  <c r="D114"/>
  <c r="C114"/>
  <c r="B114"/>
  <c r="A114"/>
  <c r="K113"/>
  <c r="J113"/>
  <c r="I113"/>
  <c r="H113"/>
  <c r="G113"/>
  <c r="F113"/>
  <c r="E113"/>
  <c r="D113"/>
  <c r="C113"/>
  <c r="B113"/>
  <c r="A113"/>
  <c r="K112"/>
  <c r="J112"/>
  <c r="I112"/>
  <c r="H112"/>
  <c r="G112"/>
  <c r="F112"/>
  <c r="E112"/>
  <c r="D112"/>
  <c r="C112"/>
  <c r="B112"/>
  <c r="A112"/>
  <c r="K111"/>
  <c r="J111"/>
  <c r="I111"/>
  <c r="H111"/>
  <c r="G111"/>
  <c r="F111"/>
  <c r="E111"/>
  <c r="D111"/>
  <c r="C111"/>
  <c r="B111"/>
  <c r="A111"/>
  <c r="K110"/>
  <c r="J110"/>
  <c r="I110"/>
  <c r="H110"/>
  <c r="G110"/>
  <c r="F110"/>
  <c r="E110"/>
  <c r="D110"/>
  <c r="C110"/>
  <c r="B110"/>
  <c r="A110"/>
  <c r="K109"/>
  <c r="J109"/>
  <c r="I109"/>
  <c r="H109"/>
  <c r="G109"/>
  <c r="F109"/>
  <c r="E109"/>
  <c r="D109"/>
  <c r="C109"/>
  <c r="B109"/>
  <c r="A109"/>
  <c r="K108"/>
  <c r="J108"/>
  <c r="I108"/>
  <c r="H108"/>
  <c r="G108"/>
  <c r="F108"/>
  <c r="E108"/>
  <c r="D108"/>
  <c r="C108"/>
  <c r="B108"/>
  <c r="A108"/>
  <c r="K107"/>
  <c r="J107"/>
  <c r="I107"/>
  <c r="H107"/>
  <c r="G107"/>
  <c r="F107"/>
  <c r="E107"/>
  <c r="D107"/>
  <c r="C107"/>
  <c r="B107"/>
  <c r="A107"/>
  <c r="K106"/>
  <c r="J106"/>
  <c r="I106"/>
  <c r="H106"/>
  <c r="G106"/>
  <c r="F106"/>
  <c r="E106"/>
  <c r="D106"/>
  <c r="C106"/>
  <c r="B106"/>
  <c r="A106"/>
  <c r="K105"/>
  <c r="J105"/>
  <c r="I105"/>
  <c r="H105"/>
  <c r="G105"/>
  <c r="F105"/>
  <c r="E105"/>
  <c r="D105"/>
  <c r="C105"/>
  <c r="B105"/>
  <c r="A105"/>
  <c r="K104"/>
  <c r="J104"/>
  <c r="I104"/>
  <c r="H104"/>
  <c r="G104"/>
  <c r="F104"/>
  <c r="E104"/>
  <c r="D104"/>
  <c r="C104"/>
  <c r="B104"/>
  <c r="A104"/>
  <c r="K103"/>
  <c r="J103"/>
  <c r="I103"/>
  <c r="H103"/>
  <c r="G103"/>
  <c r="F103"/>
  <c r="E103"/>
  <c r="D103"/>
  <c r="C103"/>
  <c r="B103"/>
  <c r="A103"/>
  <c r="K102"/>
  <c r="J102"/>
  <c r="I102"/>
  <c r="H102"/>
  <c r="G102"/>
  <c r="F102"/>
  <c r="E102"/>
  <c r="D102"/>
  <c r="C102"/>
  <c r="B102"/>
  <c r="A102"/>
  <c r="K101"/>
  <c r="J101"/>
  <c r="I101"/>
  <c r="H101"/>
  <c r="G101"/>
  <c r="F101"/>
  <c r="E101"/>
  <c r="D101"/>
  <c r="C101"/>
  <c r="B101"/>
  <c r="A101"/>
  <c r="K100"/>
  <c r="J100"/>
  <c r="I100"/>
  <c r="H100"/>
  <c r="G100"/>
  <c r="F100"/>
  <c r="E100"/>
  <c r="D100"/>
  <c r="C100"/>
  <c r="B100"/>
  <c r="A100"/>
  <c r="K99"/>
  <c r="J99"/>
  <c r="I99"/>
  <c r="H99"/>
  <c r="G99"/>
  <c r="F99"/>
  <c r="E99"/>
  <c r="D99"/>
  <c r="C99"/>
  <c r="B99"/>
  <c r="A99"/>
  <c r="K98"/>
  <c r="J98"/>
  <c r="I98"/>
  <c r="H98"/>
  <c r="G98"/>
  <c r="F98"/>
  <c r="E98"/>
  <c r="D98"/>
  <c r="C98"/>
  <c r="B98"/>
  <c r="A98"/>
  <c r="K97"/>
  <c r="J97"/>
  <c r="I97"/>
  <c r="H97"/>
  <c r="G97"/>
  <c r="F97"/>
  <c r="E97"/>
  <c r="D97"/>
  <c r="C97"/>
  <c r="B97"/>
  <c r="A97"/>
  <c r="K96"/>
  <c r="J96"/>
  <c r="I96"/>
  <c r="H96"/>
  <c r="G96"/>
  <c r="F96"/>
  <c r="E96"/>
  <c r="D96"/>
  <c r="C96"/>
  <c r="B96"/>
  <c r="A96"/>
  <c r="K95"/>
  <c r="J95"/>
  <c r="I95"/>
  <c r="H95"/>
  <c r="G95"/>
  <c r="F95"/>
  <c r="E95"/>
  <c r="D95"/>
  <c r="C95"/>
  <c r="B95"/>
  <c r="A95"/>
  <c r="K94"/>
  <c r="J94"/>
  <c r="I94"/>
  <c r="H94"/>
  <c r="G94"/>
  <c r="F94"/>
  <c r="E94"/>
  <c r="D94"/>
  <c r="C94"/>
  <c r="B94"/>
  <c r="A94"/>
  <c r="K93"/>
  <c r="J93"/>
  <c r="I93"/>
  <c r="H93"/>
  <c r="G93"/>
  <c r="F93"/>
  <c r="E93"/>
  <c r="D93"/>
  <c r="C93"/>
  <c r="B93"/>
  <c r="A93"/>
  <c r="K92"/>
  <c r="J92"/>
  <c r="I92"/>
  <c r="H92"/>
  <c r="G92"/>
  <c r="F92"/>
  <c r="E92"/>
  <c r="D92"/>
  <c r="C92"/>
  <c r="B92"/>
  <c r="A92"/>
  <c r="K91"/>
  <c r="J91"/>
  <c r="I91"/>
  <c r="H91"/>
  <c r="G91"/>
  <c r="F91"/>
  <c r="E91"/>
  <c r="D91"/>
  <c r="C91"/>
  <c r="B91"/>
  <c r="A91"/>
  <c r="K90"/>
  <c r="J90"/>
  <c r="I90"/>
  <c r="H90"/>
  <c r="G90"/>
  <c r="F90"/>
  <c r="E90"/>
  <c r="D90"/>
  <c r="C90"/>
  <c r="B90"/>
  <c r="A90"/>
  <c r="K89"/>
  <c r="J89"/>
  <c r="I89"/>
  <c r="H89"/>
  <c r="G89"/>
  <c r="F89"/>
  <c r="E89"/>
  <c r="D89"/>
  <c r="C89"/>
  <c r="B89"/>
  <c r="A89"/>
  <c r="K88"/>
  <c r="J88"/>
  <c r="I88"/>
  <c r="H88"/>
  <c r="G88"/>
  <c r="F88"/>
  <c r="E88"/>
  <c r="D88"/>
  <c r="C88"/>
  <c r="B88"/>
  <c r="A88"/>
  <c r="K87"/>
  <c r="J87"/>
  <c r="I87"/>
  <c r="H87"/>
  <c r="G87"/>
  <c r="F87"/>
  <c r="E87"/>
  <c r="D87"/>
  <c r="C87"/>
  <c r="B87"/>
  <c r="A87"/>
  <c r="K86"/>
  <c r="J86"/>
  <c r="I86"/>
  <c r="H86"/>
  <c r="G86"/>
  <c r="F86"/>
  <c r="E86"/>
  <c r="D86"/>
  <c r="C86"/>
  <c r="B86"/>
  <c r="A86"/>
  <c r="K85"/>
  <c r="J85"/>
  <c r="I85"/>
  <c r="H85"/>
  <c r="G85"/>
  <c r="F85"/>
  <c r="E85"/>
  <c r="D85"/>
  <c r="C85"/>
  <c r="B85"/>
  <c r="A85"/>
  <c r="K84"/>
  <c r="J84"/>
  <c r="I84"/>
  <c r="H84"/>
  <c r="G84"/>
  <c r="F84"/>
  <c r="E84"/>
  <c r="D84"/>
  <c r="C84"/>
  <c r="B84"/>
  <c r="A84"/>
  <c r="K83"/>
  <c r="J83"/>
  <c r="I83"/>
  <c r="H83"/>
  <c r="G83"/>
  <c r="F83"/>
  <c r="E83"/>
  <c r="D83"/>
  <c r="C83"/>
  <c r="B83"/>
  <c r="A83"/>
  <c r="K82"/>
  <c r="J82"/>
  <c r="I82"/>
  <c r="H82"/>
  <c r="G82"/>
  <c r="F82"/>
  <c r="E82"/>
  <c r="D82"/>
  <c r="C82"/>
  <c r="B82"/>
  <c r="A82"/>
  <c r="K81"/>
  <c r="J81"/>
  <c r="I81"/>
  <c r="H81"/>
  <c r="G81"/>
  <c r="F81"/>
  <c r="E81"/>
  <c r="D81"/>
  <c r="C81"/>
  <c r="B81"/>
  <c r="A81"/>
  <c r="K80"/>
  <c r="J80"/>
  <c r="I80"/>
  <c r="H80"/>
  <c r="G80"/>
  <c r="F80"/>
  <c r="E80"/>
  <c r="D80"/>
  <c r="C80"/>
  <c r="B80"/>
  <c r="A80"/>
  <c r="K79"/>
  <c r="J79"/>
  <c r="I79"/>
  <c r="H79"/>
  <c r="G79"/>
  <c r="F79"/>
  <c r="E79"/>
  <c r="D79"/>
  <c r="C79"/>
  <c r="B79"/>
  <c r="A79"/>
  <c r="K78"/>
  <c r="J78"/>
  <c r="I78"/>
  <c r="H78"/>
  <c r="G78"/>
  <c r="F78"/>
  <c r="E78"/>
  <c r="D78"/>
  <c r="C78"/>
  <c r="B78"/>
  <c r="A78"/>
  <c r="K77"/>
  <c r="J77"/>
  <c r="I77"/>
  <c r="H77"/>
  <c r="G77"/>
  <c r="F77"/>
  <c r="E77"/>
  <c r="D77"/>
  <c r="C77"/>
  <c r="B77"/>
  <c r="A77"/>
  <c r="K76"/>
  <c r="J76"/>
  <c r="I76"/>
  <c r="H76"/>
  <c r="G76"/>
  <c r="F76"/>
  <c r="E76"/>
  <c r="D76"/>
  <c r="C76"/>
  <c r="B76"/>
  <c r="A76"/>
  <c r="K75"/>
  <c r="J75"/>
  <c r="I75"/>
  <c r="H75"/>
  <c r="G75"/>
  <c r="F75"/>
  <c r="E75"/>
  <c r="D75"/>
  <c r="C75"/>
  <c r="B75"/>
  <c r="A75"/>
  <c r="K74"/>
  <c r="J74"/>
  <c r="I74"/>
  <c r="H74"/>
  <c r="G74"/>
  <c r="F74"/>
  <c r="E74"/>
  <c r="D74"/>
  <c r="C74"/>
  <c r="B74"/>
  <c r="A74"/>
  <c r="K73"/>
  <c r="J73"/>
  <c r="I73"/>
  <c r="H73"/>
  <c r="G73"/>
  <c r="F73"/>
  <c r="E73"/>
  <c r="D73"/>
  <c r="C73"/>
  <c r="B73"/>
  <c r="A73"/>
  <c r="K72"/>
  <c r="J72"/>
  <c r="I72"/>
  <c r="H72"/>
  <c r="G72"/>
  <c r="F72"/>
  <c r="E72"/>
  <c r="D72"/>
  <c r="C72"/>
  <c r="B72"/>
  <c r="A72"/>
  <c r="K71"/>
  <c r="J71"/>
  <c r="I71"/>
  <c r="H71"/>
  <c r="G71"/>
  <c r="F71"/>
  <c r="E71"/>
  <c r="D71"/>
  <c r="C71"/>
  <c r="B71"/>
  <c r="A71"/>
  <c r="K70"/>
  <c r="J70"/>
  <c r="I70"/>
  <c r="H70"/>
  <c r="G70"/>
  <c r="F70"/>
  <c r="E70"/>
  <c r="D70"/>
  <c r="C70"/>
  <c r="B70"/>
  <c r="A70"/>
  <c r="K69"/>
  <c r="J69"/>
  <c r="I69"/>
  <c r="H69"/>
  <c r="G69"/>
  <c r="F69"/>
  <c r="E69"/>
  <c r="D69"/>
  <c r="C69"/>
  <c r="B69"/>
  <c r="A69"/>
  <c r="K68"/>
  <c r="J68"/>
  <c r="I68"/>
  <c r="H68"/>
  <c r="G68"/>
  <c r="F68"/>
  <c r="E68"/>
  <c r="D68"/>
  <c r="C68"/>
  <c r="B68"/>
  <c r="A68"/>
  <c r="K67"/>
  <c r="J67"/>
  <c r="I67"/>
  <c r="H67"/>
  <c r="G67"/>
  <c r="F67"/>
  <c r="E67"/>
  <c r="D67"/>
  <c r="C67"/>
  <c r="B67"/>
  <c r="A67"/>
  <c r="K66"/>
  <c r="J66"/>
  <c r="I66"/>
  <c r="H66"/>
  <c r="G66"/>
  <c r="F66"/>
  <c r="E66"/>
  <c r="D66"/>
  <c r="C66"/>
  <c r="B66"/>
  <c r="A66"/>
  <c r="K65"/>
  <c r="J65"/>
  <c r="I65"/>
  <c r="H65"/>
  <c r="G65"/>
  <c r="F65"/>
  <c r="E65"/>
  <c r="D65"/>
  <c r="C65"/>
  <c r="B65"/>
  <c r="A65"/>
  <c r="K64"/>
  <c r="J64"/>
  <c r="I64"/>
  <c r="H64"/>
  <c r="G64"/>
  <c r="F64"/>
  <c r="E64"/>
  <c r="D64"/>
  <c r="C64"/>
  <c r="B64"/>
  <c r="A64"/>
  <c r="K63"/>
  <c r="J63"/>
  <c r="I63"/>
  <c r="H63"/>
  <c r="G63"/>
  <c r="F63"/>
  <c r="E63"/>
  <c r="D63"/>
  <c r="C63"/>
  <c r="B63"/>
  <c r="A63"/>
  <c r="K62"/>
  <c r="J62"/>
  <c r="I62"/>
  <c r="H62"/>
  <c r="G62"/>
  <c r="F62"/>
  <c r="E62"/>
  <c r="D62"/>
  <c r="C62"/>
  <c r="B62"/>
  <c r="A62"/>
  <c r="K61"/>
  <c r="J61"/>
  <c r="I61"/>
  <c r="H61"/>
  <c r="G61"/>
  <c r="F61"/>
  <c r="E61"/>
  <c r="D61"/>
  <c r="C61"/>
  <c r="B61"/>
  <c r="A61"/>
  <c r="K60"/>
  <c r="J60"/>
  <c r="I60"/>
  <c r="H60"/>
  <c r="G60"/>
  <c r="F60"/>
  <c r="E60"/>
  <c r="D60"/>
  <c r="C60"/>
  <c r="B60"/>
  <c r="A60"/>
  <c r="K59"/>
  <c r="J59"/>
  <c r="I59"/>
  <c r="H59"/>
  <c r="G59"/>
  <c r="F59"/>
  <c r="E59"/>
  <c r="D59"/>
  <c r="C59"/>
  <c r="B59"/>
  <c r="A59"/>
  <c r="K58"/>
  <c r="J58"/>
  <c r="I58"/>
  <c r="H58"/>
  <c r="G58"/>
  <c r="F58"/>
  <c r="E58"/>
  <c r="D58"/>
  <c r="C58"/>
  <c r="B58"/>
  <c r="A58"/>
  <c r="K57"/>
  <c r="J57"/>
  <c r="I57"/>
  <c r="H57"/>
  <c r="G57"/>
  <c r="F57"/>
  <c r="E57"/>
  <c r="D57"/>
  <c r="C57"/>
  <c r="B57"/>
  <c r="A57"/>
  <c r="K56"/>
  <c r="J56"/>
  <c r="I56"/>
  <c r="H56"/>
  <c r="G56"/>
  <c r="F56"/>
  <c r="E56"/>
  <c r="D56"/>
  <c r="C56"/>
  <c r="B56"/>
  <c r="A56"/>
  <c r="K55"/>
  <c r="J55"/>
  <c r="I55"/>
  <c r="H55"/>
  <c r="G55"/>
  <c r="F55"/>
  <c r="E55"/>
  <c r="D55"/>
  <c r="C55"/>
  <c r="B55"/>
  <c r="A55"/>
  <c r="K54"/>
  <c r="J54"/>
  <c r="I54"/>
  <c r="H54"/>
  <c r="G54"/>
  <c r="F54"/>
  <c r="E54"/>
  <c r="D54"/>
  <c r="C54"/>
  <c r="B54"/>
  <c r="A54"/>
  <c r="K53"/>
  <c r="J53"/>
  <c r="I53"/>
  <c r="H53"/>
  <c r="G53"/>
  <c r="F53"/>
  <c r="E53"/>
  <c r="D53"/>
  <c r="C53"/>
  <c r="B53"/>
  <c r="A53"/>
  <c r="K52"/>
  <c r="J52"/>
  <c r="I52"/>
  <c r="H52"/>
  <c r="G52"/>
  <c r="F52"/>
  <c r="E52"/>
  <c r="D52"/>
  <c r="C52"/>
  <c r="B52"/>
  <c r="A52"/>
  <c r="K51"/>
  <c r="J51"/>
  <c r="I51"/>
  <c r="H51"/>
  <c r="G51"/>
  <c r="F51"/>
  <c r="E51"/>
  <c r="D51"/>
  <c r="C51"/>
  <c r="B51"/>
  <c r="A51"/>
  <c r="K50"/>
  <c r="J50"/>
  <c r="I50"/>
  <c r="H50"/>
  <c r="G50"/>
  <c r="F50"/>
  <c r="E50"/>
  <c r="D50"/>
  <c r="C50"/>
  <c r="B50"/>
  <c r="A50"/>
  <c r="K49"/>
  <c r="J49"/>
  <c r="I49"/>
  <c r="H49"/>
  <c r="G49"/>
  <c r="F49"/>
  <c r="E49"/>
  <c r="D49"/>
  <c r="C49"/>
  <c r="B49"/>
  <c r="A49"/>
  <c r="K48"/>
  <c r="J48"/>
  <c r="I48"/>
  <c r="H48"/>
  <c r="G48"/>
  <c r="F48"/>
  <c r="E48"/>
  <c r="D48"/>
  <c r="C48"/>
  <c r="B48"/>
  <c r="A48"/>
  <c r="K47"/>
  <c r="J47"/>
  <c r="I47"/>
  <c r="H47"/>
  <c r="G47"/>
  <c r="F47"/>
  <c r="E47"/>
  <c r="D47"/>
  <c r="C47"/>
  <c r="B47"/>
  <c r="A47"/>
  <c r="K46"/>
  <c r="J46"/>
  <c r="I46"/>
  <c r="H46"/>
  <c r="G46"/>
  <c r="F46"/>
  <c r="E46"/>
  <c r="D46"/>
  <c r="C46"/>
  <c r="B46"/>
  <c r="A46"/>
  <c r="K45"/>
  <c r="J45"/>
  <c r="I45"/>
  <c r="H45"/>
  <c r="G45"/>
  <c r="F45"/>
  <c r="E45"/>
  <c r="D45"/>
  <c r="C45"/>
  <c r="B45"/>
  <c r="A45"/>
  <c r="K44"/>
  <c r="J44"/>
  <c r="I44"/>
  <c r="H44"/>
  <c r="G44"/>
  <c r="F44"/>
  <c r="E44"/>
  <c r="D44"/>
  <c r="C44"/>
  <c r="B44"/>
  <c r="A44"/>
  <c r="K43"/>
  <c r="J43"/>
  <c r="I43"/>
  <c r="H43"/>
  <c r="G43"/>
  <c r="F43"/>
  <c r="E43"/>
  <c r="D43"/>
  <c r="C43"/>
  <c r="B43"/>
  <c r="A43"/>
  <c r="K42"/>
  <c r="J42"/>
  <c r="I42"/>
  <c r="H42"/>
  <c r="G42"/>
  <c r="F42"/>
  <c r="E42"/>
  <c r="D42"/>
  <c r="C42"/>
  <c r="B42"/>
  <c r="A42"/>
  <c r="K41"/>
  <c r="J41"/>
  <c r="I41"/>
  <c r="H41"/>
  <c r="G41"/>
  <c r="F41"/>
  <c r="E41"/>
  <c r="D41"/>
  <c r="C41"/>
  <c r="B41"/>
  <c r="A41"/>
  <c r="K40"/>
  <c r="J40"/>
  <c r="I40"/>
  <c r="H40"/>
  <c r="G40"/>
  <c r="F40"/>
  <c r="E40"/>
  <c r="D40"/>
  <c r="C40"/>
  <c r="B40"/>
  <c r="A40"/>
  <c r="K39"/>
  <c r="J39"/>
  <c r="I39"/>
  <c r="H39"/>
  <c r="G39"/>
  <c r="F39"/>
  <c r="E39"/>
  <c r="D39"/>
  <c r="C39"/>
  <c r="B39"/>
  <c r="A39"/>
  <c r="K38"/>
  <c r="J38"/>
  <c r="I38"/>
  <c r="H38"/>
  <c r="G38"/>
  <c r="F38"/>
  <c r="E38"/>
  <c r="D38"/>
  <c r="C38"/>
  <c r="B38"/>
  <c r="A38"/>
  <c r="K37"/>
  <c r="J37"/>
  <c r="I37"/>
  <c r="H37"/>
  <c r="G37"/>
  <c r="F37"/>
  <c r="E37"/>
  <c r="D37"/>
  <c r="C37"/>
  <c r="B37"/>
  <c r="A37"/>
  <c r="K36"/>
  <c r="J36"/>
  <c r="I36"/>
  <c r="H36"/>
  <c r="G36"/>
  <c r="F36"/>
  <c r="E36"/>
  <c r="D36"/>
  <c r="C36"/>
  <c r="B36"/>
  <c r="A36"/>
  <c r="K35"/>
  <c r="J35"/>
  <c r="I35"/>
  <c r="H35"/>
  <c r="G35"/>
  <c r="F35"/>
  <c r="E35"/>
  <c r="D35"/>
  <c r="C35"/>
  <c r="B35"/>
  <c r="A35"/>
  <c r="K34"/>
  <c r="J34"/>
  <c r="I34"/>
  <c r="H34"/>
  <c r="G34"/>
  <c r="F34"/>
  <c r="E34"/>
  <c r="D34"/>
  <c r="C34"/>
  <c r="B34"/>
  <c r="A34"/>
  <c r="K33"/>
  <c r="J33"/>
  <c r="I33"/>
  <c r="H33"/>
  <c r="G33"/>
  <c r="F33"/>
  <c r="E33"/>
  <c r="D33"/>
  <c r="C33"/>
  <c r="B33"/>
  <c r="A33"/>
  <c r="K32"/>
  <c r="J32"/>
  <c r="I32"/>
  <c r="H32"/>
  <c r="G32"/>
  <c r="F32"/>
  <c r="E32"/>
  <c r="D32"/>
  <c r="C32"/>
  <c r="B32"/>
  <c r="A32"/>
  <c r="K31"/>
  <c r="J31"/>
  <c r="I31"/>
  <c r="H31"/>
  <c r="G31"/>
  <c r="F31"/>
  <c r="E31"/>
  <c r="D31"/>
  <c r="C31"/>
  <c r="B31"/>
  <c r="A31"/>
  <c r="K30"/>
  <c r="J30"/>
  <c r="I30"/>
  <c r="H30"/>
  <c r="G30"/>
  <c r="F30"/>
  <c r="E30"/>
  <c r="D30"/>
  <c r="C30"/>
  <c r="B30"/>
  <c r="A30"/>
  <c r="K29"/>
  <c r="J29"/>
  <c r="I29"/>
  <c r="H29"/>
  <c r="G29"/>
  <c r="F29"/>
  <c r="E29"/>
  <c r="D29"/>
  <c r="C29"/>
  <c r="B29"/>
  <c r="A29"/>
  <c r="K28"/>
  <c r="J28"/>
  <c r="I28"/>
  <c r="H28"/>
  <c r="G28"/>
  <c r="F28"/>
  <c r="E28"/>
  <c r="D28"/>
  <c r="C28"/>
  <c r="B28"/>
  <c r="A28"/>
  <c r="K27"/>
  <c r="J27"/>
  <c r="I27"/>
  <c r="H27"/>
  <c r="G27"/>
  <c r="F27"/>
  <c r="E27"/>
  <c r="D27"/>
  <c r="C27"/>
  <c r="B27"/>
  <c r="A27"/>
  <c r="K26"/>
  <c r="J26"/>
  <c r="I26"/>
  <c r="H26"/>
  <c r="G26"/>
  <c r="F26"/>
  <c r="E26"/>
  <c r="D26"/>
  <c r="C26"/>
  <c r="B26"/>
  <c r="A26"/>
  <c r="K25"/>
  <c r="J25"/>
  <c r="I25"/>
  <c r="H25"/>
  <c r="G25"/>
  <c r="F25"/>
  <c r="E25"/>
  <c r="D25"/>
  <c r="C25"/>
  <c r="B25"/>
  <c r="A25"/>
  <c r="K24"/>
  <c r="J24"/>
  <c r="I24"/>
  <c r="H24"/>
  <c r="G24"/>
  <c r="F24"/>
  <c r="E24"/>
  <c r="D24"/>
  <c r="C24"/>
  <c r="B24"/>
  <c r="A24"/>
  <c r="K23"/>
  <c r="J23"/>
  <c r="I23"/>
  <c r="H23"/>
  <c r="G23"/>
  <c r="F23"/>
  <c r="E23"/>
  <c r="D23"/>
  <c r="C23"/>
  <c r="B23"/>
  <c r="A23"/>
  <c r="K22"/>
  <c r="J22"/>
  <c r="I22"/>
  <c r="H22"/>
  <c r="G22"/>
  <c r="F22"/>
  <c r="E22"/>
  <c r="D22"/>
  <c r="C22"/>
  <c r="B22"/>
  <c r="A22"/>
  <c r="K21"/>
  <c r="J21"/>
  <c r="I21"/>
  <c r="H21"/>
  <c r="G21"/>
  <c r="F21"/>
  <c r="E21"/>
  <c r="D21"/>
  <c r="C21"/>
  <c r="B21"/>
  <c r="A21"/>
  <c r="K20"/>
  <c r="J20"/>
  <c r="I20"/>
  <c r="H20"/>
  <c r="G20"/>
  <c r="F20"/>
  <c r="E20"/>
  <c r="D20"/>
  <c r="C20"/>
  <c r="B20"/>
  <c r="A20"/>
  <c r="K19"/>
  <c r="J19"/>
  <c r="I19"/>
  <c r="H19"/>
  <c r="G19"/>
  <c r="F19"/>
  <c r="E19"/>
  <c r="D19"/>
  <c r="C19"/>
  <c r="B19"/>
  <c r="A19"/>
  <c r="K18"/>
  <c r="J18"/>
  <c r="I18"/>
  <c r="H18"/>
  <c r="G18"/>
  <c r="F18"/>
  <c r="E18"/>
  <c r="D18"/>
  <c r="C18"/>
  <c r="B18"/>
  <c r="A18"/>
  <c r="K17"/>
  <c r="J17"/>
  <c r="I17"/>
  <c r="H17"/>
  <c r="G17"/>
  <c r="F17"/>
  <c r="E17"/>
  <c r="D17"/>
  <c r="C17"/>
  <c r="B17"/>
  <c r="A17"/>
  <c r="K16"/>
  <c r="J16"/>
  <c r="I16"/>
  <c r="H16"/>
  <c r="G16"/>
  <c r="F16"/>
  <c r="E16"/>
  <c r="D16"/>
  <c r="C16"/>
  <c r="B16"/>
  <c r="A16"/>
  <c r="K15"/>
  <c r="J15"/>
  <c r="I15"/>
  <c r="H15"/>
  <c r="G15"/>
  <c r="F15"/>
  <c r="E15"/>
  <c r="D15"/>
  <c r="C15"/>
  <c r="B15"/>
  <c r="A15"/>
  <c r="K14"/>
  <c r="J14"/>
  <c r="I14"/>
  <c r="H14"/>
  <c r="G14"/>
  <c r="F14"/>
  <c r="E14"/>
  <c r="D14"/>
  <c r="C14"/>
  <c r="B14"/>
  <c r="A14"/>
  <c r="K13"/>
  <c r="J13"/>
  <c r="I13"/>
  <c r="H13"/>
  <c r="G13"/>
  <c r="F13"/>
  <c r="E13"/>
  <c r="D13"/>
  <c r="C13"/>
  <c r="B13"/>
  <c r="A13"/>
  <c r="K12"/>
  <c r="J12"/>
  <c r="I12"/>
  <c r="H12"/>
  <c r="G12"/>
  <c r="F12"/>
  <c r="E12"/>
  <c r="D12"/>
  <c r="C12"/>
  <c r="B12"/>
  <c r="A12"/>
  <c r="K11"/>
  <c r="J11"/>
  <c r="I11"/>
  <c r="H11"/>
  <c r="G11"/>
  <c r="F11"/>
  <c r="E11"/>
  <c r="D11"/>
  <c r="C11"/>
  <c r="B11"/>
  <c r="A11"/>
  <c r="K10"/>
  <c r="J10"/>
  <c r="I10"/>
  <c r="H10"/>
  <c r="G10"/>
  <c r="F10"/>
  <c r="E10"/>
  <c r="D10"/>
  <c r="C10"/>
  <c r="B10"/>
  <c r="A10"/>
  <c r="K9"/>
  <c r="J9"/>
  <c r="I9"/>
  <c r="H9"/>
  <c r="G9"/>
  <c r="F9"/>
  <c r="E9"/>
  <c r="D9"/>
  <c r="C9"/>
  <c r="B9"/>
  <c r="A9"/>
  <c r="K8"/>
  <c r="J8"/>
  <c r="I8"/>
  <c r="H8"/>
  <c r="G8"/>
  <c r="F8"/>
  <c r="E8"/>
  <c r="D8"/>
  <c r="C8"/>
  <c r="B8"/>
  <c r="A8"/>
  <c r="K7"/>
  <c r="J7"/>
  <c r="I7"/>
  <c r="H7"/>
  <c r="G7"/>
  <c r="F7"/>
  <c r="E7"/>
  <c r="D7"/>
  <c r="C7"/>
  <c r="B7"/>
  <c r="A7"/>
  <c r="K6"/>
  <c r="J6"/>
  <c r="I6"/>
  <c r="H6"/>
  <c r="G6"/>
  <c r="F6"/>
  <c r="E6"/>
  <c r="D6"/>
  <c r="C6"/>
  <c r="B6"/>
  <c r="A6"/>
  <c r="K5"/>
  <c r="J5"/>
  <c r="I5"/>
  <c r="H5"/>
  <c r="G5"/>
  <c r="F5"/>
  <c r="E5"/>
  <c r="D5"/>
  <c r="C5"/>
  <c r="B5"/>
  <c r="A5"/>
  <c r="K4"/>
  <c r="J4"/>
  <c r="I4"/>
  <c r="H4"/>
  <c r="G4"/>
  <c r="F4"/>
  <c r="E4"/>
  <c r="D4"/>
  <c r="C4"/>
  <c r="B4"/>
  <c r="A4"/>
  <c r="K3"/>
  <c r="J3"/>
  <c r="I3"/>
  <c r="H3"/>
  <c r="G3"/>
  <c r="F3"/>
  <c r="E3"/>
  <c r="D3"/>
  <c r="C3"/>
  <c r="B3"/>
  <c r="A3"/>
  <c r="K2"/>
  <c r="J2"/>
  <c r="I2"/>
  <c r="H2"/>
  <c r="G2"/>
  <c r="F2"/>
  <c r="E2"/>
  <c r="D2"/>
  <c r="C2"/>
  <c r="B2"/>
  <c r="A2"/>
  <c r="K1"/>
  <c r="J1"/>
  <c r="I1"/>
  <c r="H1"/>
  <c r="G1"/>
  <c r="F1"/>
  <c r="E1"/>
  <c r="D1"/>
  <c r="C1"/>
  <c r="B1"/>
  <c r="A1"/>
  <c r="D1788" i="10"/>
  <c r="E1788"/>
  <c r="D1787"/>
  <c r="E1787"/>
  <c r="D1786"/>
  <c r="E1786"/>
  <c r="D1785"/>
  <c r="E1785"/>
  <c r="D1784"/>
  <c r="E1784"/>
  <c r="D1783"/>
  <c r="E1783"/>
  <c r="D1782"/>
  <c r="E1782"/>
  <c r="D1781"/>
  <c r="E1781"/>
  <c r="D1780"/>
  <c r="E1780"/>
  <c r="D1779"/>
  <c r="E1779"/>
  <c r="D1778"/>
  <c r="E1778"/>
  <c r="D1777"/>
  <c r="E1777"/>
  <c r="D1776"/>
  <c r="E1776"/>
  <c r="D1775"/>
  <c r="E1775"/>
  <c r="D1774"/>
  <c r="E1774"/>
  <c r="D1773"/>
  <c r="E1773"/>
  <c r="D1772"/>
  <c r="E1772"/>
  <c r="D1771"/>
  <c r="E1771"/>
  <c r="D1770"/>
  <c r="E1770"/>
  <c r="D1769"/>
  <c r="E1769"/>
  <c r="D1768"/>
  <c r="E1768"/>
  <c r="D1767"/>
  <c r="E1767"/>
  <c r="D1766"/>
  <c r="E1766"/>
  <c r="D1765"/>
  <c r="E1765"/>
  <c r="D1764"/>
  <c r="E1764"/>
  <c r="D1763"/>
  <c r="E1763"/>
  <c r="D1762"/>
  <c r="E1762"/>
  <c r="D1761"/>
  <c r="E1761"/>
  <c r="D1760"/>
  <c r="E1760"/>
  <c r="D1759"/>
  <c r="E1759"/>
  <c r="D1758"/>
  <c r="E1758"/>
  <c r="D1757"/>
  <c r="E1757"/>
  <c r="D1756"/>
  <c r="E1756"/>
  <c r="D1755"/>
  <c r="E1755"/>
  <c r="D1754"/>
  <c r="E1754"/>
  <c r="D1753"/>
  <c r="E1753"/>
  <c r="D1752"/>
  <c r="E1752"/>
  <c r="D1751"/>
  <c r="E1751"/>
  <c r="D1750"/>
  <c r="E1750"/>
  <c r="D1749"/>
  <c r="E1749"/>
  <c r="D1748"/>
  <c r="E1748"/>
  <c r="D1747"/>
  <c r="E1747"/>
  <c r="D1746"/>
  <c r="E1746"/>
  <c r="D1745"/>
  <c r="E1745"/>
  <c r="D1744"/>
  <c r="E1744"/>
  <c r="D1743"/>
  <c r="E1743"/>
  <c r="D1742"/>
  <c r="E1742"/>
  <c r="D1741"/>
  <c r="E1741"/>
  <c r="D1740"/>
  <c r="E1740"/>
  <c r="D1739"/>
  <c r="E1739"/>
  <c r="D1738"/>
  <c r="E1738"/>
  <c r="D1737"/>
  <c r="E1737"/>
  <c r="D1736"/>
  <c r="E1736"/>
  <c r="D1735"/>
  <c r="E1735"/>
  <c r="D1734"/>
  <c r="E1734"/>
  <c r="D1733"/>
  <c r="E1733"/>
  <c r="D1732"/>
  <c r="E1732"/>
  <c r="D1731"/>
  <c r="E1731"/>
  <c r="D1730"/>
  <c r="E1730"/>
  <c r="D1729"/>
  <c r="E1729"/>
  <c r="D1728"/>
  <c r="E1728"/>
  <c r="D1727"/>
  <c r="E1727"/>
  <c r="D1726"/>
  <c r="E1726"/>
  <c r="D1725"/>
  <c r="E1725"/>
  <c r="D1724"/>
  <c r="E1724"/>
  <c r="D1723"/>
  <c r="E1723"/>
  <c r="D1722"/>
  <c r="E1722"/>
  <c r="D1721"/>
  <c r="E1721"/>
  <c r="D1720"/>
  <c r="E1720"/>
  <c r="D1719"/>
  <c r="E1719"/>
  <c r="D1718"/>
  <c r="E1718"/>
  <c r="D1717"/>
  <c r="E1717"/>
  <c r="D1716"/>
  <c r="E1716"/>
  <c r="D1715"/>
  <c r="E1715"/>
  <c r="D1714"/>
  <c r="E1714"/>
  <c r="D1713"/>
  <c r="E1713"/>
  <c r="D1712"/>
  <c r="E1712"/>
  <c r="D1711"/>
  <c r="E1711"/>
  <c r="D1710"/>
  <c r="E1710"/>
  <c r="D1709"/>
  <c r="E1709"/>
  <c r="D1708"/>
  <c r="E1708"/>
  <c r="D1707"/>
  <c r="E1707"/>
  <c r="D1706"/>
  <c r="E1706"/>
  <c r="D1705"/>
  <c r="E1705"/>
  <c r="D1704"/>
  <c r="E1704"/>
  <c r="D1703"/>
  <c r="E1703"/>
  <c r="D1702"/>
  <c r="E1702"/>
  <c r="D1701"/>
  <c r="E1701"/>
  <c r="D1700"/>
  <c r="E1700"/>
  <c r="D1699"/>
  <c r="E1699"/>
  <c r="D1698"/>
  <c r="E1698"/>
  <c r="D1697"/>
  <c r="E1697"/>
  <c r="D1696"/>
  <c r="E1696"/>
  <c r="D1695"/>
  <c r="E1695"/>
  <c r="D1694"/>
  <c r="E1694"/>
  <c r="D1693"/>
  <c r="E1693"/>
  <c r="D1692"/>
  <c r="E1692"/>
  <c r="D1691"/>
  <c r="E1691"/>
  <c r="D1690"/>
  <c r="E1690"/>
  <c r="D1689"/>
  <c r="E1689"/>
  <c r="D1688"/>
  <c r="E1688"/>
  <c r="D1687"/>
  <c r="E1687"/>
  <c r="D1686"/>
  <c r="E1686"/>
  <c r="D1685"/>
  <c r="E1685"/>
  <c r="D1684"/>
  <c r="E1684"/>
  <c r="D1683"/>
  <c r="E1683"/>
  <c r="D1682"/>
  <c r="E1682"/>
  <c r="D1681"/>
  <c r="E1681"/>
  <c r="D1680"/>
  <c r="E1680"/>
  <c r="D1679"/>
  <c r="E1679"/>
  <c r="D1678"/>
  <c r="E1678"/>
  <c r="D1677"/>
  <c r="E1677"/>
  <c r="D1676"/>
  <c r="E1676"/>
  <c r="D1675"/>
  <c r="E1675"/>
  <c r="D1674"/>
  <c r="E1674"/>
  <c r="D1673"/>
  <c r="E1673"/>
  <c r="D1672"/>
  <c r="E1672"/>
  <c r="D1671"/>
  <c r="E1671"/>
  <c r="D1670"/>
  <c r="E1670"/>
  <c r="D1669"/>
  <c r="E1669"/>
  <c r="D1668"/>
  <c r="E1668"/>
  <c r="D1667"/>
  <c r="E1667"/>
  <c r="D1666"/>
  <c r="E1666"/>
  <c r="D1665"/>
  <c r="E1665"/>
  <c r="D1664"/>
  <c r="E1664"/>
  <c r="D1663"/>
  <c r="E1663"/>
  <c r="D1662"/>
  <c r="E1662"/>
  <c r="D1661"/>
  <c r="E1661"/>
  <c r="D1660"/>
  <c r="E1660"/>
  <c r="D1659"/>
  <c r="E1659"/>
  <c r="D1658"/>
  <c r="E1658"/>
  <c r="D1657"/>
  <c r="E1657"/>
  <c r="D1656"/>
  <c r="E1656"/>
  <c r="D1655"/>
  <c r="E1655"/>
  <c r="D1654"/>
  <c r="E1654"/>
  <c r="D1653"/>
  <c r="E1653"/>
  <c r="D1652"/>
  <c r="E1652"/>
  <c r="D1651"/>
  <c r="E1651"/>
  <c r="D1650"/>
  <c r="E1650"/>
  <c r="D1649"/>
  <c r="E1649"/>
  <c r="D1648"/>
  <c r="E1648"/>
  <c r="D1647"/>
  <c r="E1647"/>
  <c r="D1646"/>
  <c r="E1646"/>
  <c r="D1645"/>
  <c r="E1645"/>
  <c r="D1644"/>
  <c r="E1644"/>
  <c r="D1643"/>
  <c r="E1643"/>
  <c r="D1642"/>
  <c r="E1642"/>
  <c r="D1641"/>
  <c r="E1641"/>
  <c r="D1640"/>
  <c r="E1640"/>
  <c r="D1639"/>
  <c r="E1639"/>
  <c r="D1638"/>
  <c r="E1638"/>
  <c r="D1637"/>
  <c r="E1637"/>
  <c r="D1636"/>
  <c r="E1636"/>
  <c r="D1635"/>
  <c r="E1635"/>
  <c r="D1634"/>
  <c r="E1634"/>
  <c r="D1633"/>
  <c r="E1633"/>
  <c r="D1632"/>
  <c r="E1632"/>
  <c r="D1631"/>
  <c r="E1631"/>
  <c r="D1630"/>
  <c r="E1630"/>
  <c r="D1629"/>
  <c r="E1629"/>
  <c r="D1628"/>
  <c r="E1628"/>
  <c r="D1627"/>
  <c r="E1627"/>
  <c r="D1626"/>
  <c r="E1626"/>
  <c r="D1625"/>
  <c r="E1625"/>
  <c r="D1624"/>
  <c r="E1624"/>
  <c r="D1623"/>
  <c r="E1623"/>
  <c r="D1622"/>
  <c r="E1622"/>
  <c r="D1621"/>
  <c r="E1621"/>
  <c r="D1620"/>
  <c r="E1620"/>
  <c r="D1619"/>
  <c r="E1619"/>
  <c r="D1618"/>
  <c r="E1618"/>
  <c r="D1617"/>
  <c r="E1617"/>
  <c r="D1616"/>
  <c r="E1616"/>
  <c r="D1615"/>
  <c r="E1615"/>
  <c r="D1614"/>
  <c r="E1614"/>
  <c r="D1613"/>
  <c r="E1613"/>
  <c r="D1612"/>
  <c r="E1612"/>
  <c r="D1611"/>
  <c r="E1611"/>
  <c r="D1610"/>
  <c r="E1610"/>
  <c r="D1609"/>
  <c r="E1609"/>
  <c r="D1608"/>
  <c r="E1608"/>
  <c r="D1607"/>
  <c r="E1607"/>
  <c r="D1606"/>
  <c r="E1606"/>
  <c r="D1605"/>
  <c r="E1605"/>
  <c r="D1604"/>
  <c r="E1604"/>
  <c r="D1603"/>
  <c r="E1603"/>
  <c r="D1602"/>
  <c r="E1602"/>
  <c r="D1601"/>
  <c r="E1601"/>
  <c r="D1600"/>
  <c r="E1600"/>
  <c r="D1599"/>
  <c r="E1599"/>
  <c r="D1598"/>
  <c r="E1598"/>
  <c r="D1597"/>
  <c r="E1597"/>
  <c r="D1596"/>
  <c r="E1596"/>
  <c r="D1595"/>
  <c r="E1595"/>
  <c r="D1594"/>
  <c r="E1594"/>
  <c r="D1593"/>
  <c r="E1593"/>
  <c r="D1592"/>
  <c r="E1592"/>
  <c r="D1591"/>
  <c r="E1591"/>
  <c r="D1590"/>
  <c r="E1590"/>
  <c r="D1589"/>
  <c r="E1589"/>
  <c r="D1588"/>
  <c r="E1588"/>
  <c r="D1587"/>
  <c r="E1587"/>
  <c r="D1586"/>
  <c r="E1586"/>
  <c r="D1585"/>
  <c r="E1585"/>
  <c r="D1584"/>
  <c r="E1584"/>
  <c r="D1583"/>
  <c r="E1583"/>
  <c r="D1582"/>
  <c r="E1582"/>
  <c r="D1581"/>
  <c r="E1581"/>
  <c r="D1580"/>
  <c r="E1580"/>
  <c r="D1579"/>
  <c r="E1579"/>
  <c r="D1578"/>
  <c r="E1578"/>
  <c r="D1577"/>
  <c r="E1577"/>
  <c r="D1576"/>
  <c r="E1576"/>
  <c r="D1575"/>
  <c r="E1575"/>
  <c r="D1574"/>
  <c r="E1574"/>
  <c r="D1573"/>
  <c r="E1573"/>
  <c r="D1572"/>
  <c r="E1572"/>
  <c r="D1571"/>
  <c r="E1571"/>
  <c r="D1570"/>
  <c r="E1570"/>
  <c r="D1569"/>
  <c r="E1569"/>
  <c r="D1568"/>
  <c r="E1568"/>
  <c r="D1567"/>
  <c r="E1567"/>
  <c r="D1566"/>
  <c r="E1566"/>
  <c r="D1565"/>
  <c r="E1565"/>
  <c r="D1564"/>
  <c r="E1564"/>
  <c r="D1563"/>
  <c r="E1563"/>
  <c r="D1562"/>
  <c r="E1562"/>
  <c r="D1561"/>
  <c r="E1561"/>
  <c r="D1560"/>
  <c r="E1560"/>
  <c r="D1559"/>
  <c r="E1559"/>
  <c r="D1558"/>
  <c r="E1558"/>
  <c r="D1557"/>
  <c r="E1557"/>
  <c r="D1556"/>
  <c r="E1556"/>
  <c r="D1555"/>
  <c r="E1555"/>
  <c r="D1554"/>
  <c r="E1554"/>
  <c r="D1553"/>
  <c r="E1553"/>
  <c r="D1552"/>
  <c r="E1552"/>
  <c r="D1551"/>
  <c r="E1551"/>
  <c r="D1550"/>
  <c r="E1550"/>
  <c r="D1549"/>
  <c r="E1549"/>
  <c r="D1548"/>
  <c r="E1548"/>
  <c r="D1547"/>
  <c r="E1547"/>
  <c r="D1546"/>
  <c r="E1546"/>
  <c r="D1545"/>
  <c r="E1545"/>
  <c r="D1544"/>
  <c r="E1544"/>
  <c r="D1543"/>
  <c r="E1543"/>
  <c r="D1542"/>
  <c r="E1542"/>
  <c r="D1541"/>
  <c r="E1541"/>
  <c r="D1540"/>
  <c r="E1540"/>
  <c r="D1539"/>
  <c r="E1539"/>
  <c r="D1538"/>
  <c r="E1538"/>
  <c r="D1537"/>
  <c r="E1537"/>
  <c r="D1536"/>
  <c r="E1536"/>
  <c r="D1535"/>
  <c r="E1535"/>
  <c r="D1534"/>
  <c r="E1534"/>
  <c r="D1533"/>
  <c r="E1533"/>
  <c r="D1532"/>
  <c r="E1532"/>
  <c r="D1531"/>
  <c r="E1531"/>
  <c r="D1530"/>
  <c r="E1530"/>
  <c r="D1529"/>
  <c r="E1529"/>
  <c r="D1528"/>
  <c r="E1528"/>
  <c r="D1527"/>
  <c r="E1527"/>
  <c r="D1526"/>
  <c r="E1526"/>
  <c r="D1525"/>
  <c r="E1525"/>
  <c r="D1524"/>
  <c r="E1524"/>
  <c r="D1523"/>
  <c r="E1523"/>
  <c r="D1522"/>
  <c r="E1522"/>
  <c r="D1521"/>
  <c r="E1521"/>
  <c r="D1520"/>
  <c r="E1520"/>
  <c r="D1519"/>
  <c r="E1519"/>
  <c r="D1518"/>
  <c r="E1518"/>
  <c r="D1517"/>
  <c r="E1517"/>
  <c r="D1516"/>
  <c r="E1516"/>
  <c r="D1515"/>
  <c r="E1515"/>
  <c r="D1514"/>
  <c r="E1514"/>
  <c r="D1513"/>
  <c r="E1513"/>
  <c r="D1512"/>
  <c r="E1512"/>
  <c r="D1511"/>
  <c r="E1511"/>
  <c r="D1510"/>
  <c r="E1510"/>
  <c r="D1509"/>
  <c r="E1509"/>
  <c r="D1508"/>
  <c r="E1508"/>
  <c r="D1507"/>
  <c r="E1507"/>
  <c r="D1506"/>
  <c r="E1506"/>
  <c r="D1505"/>
  <c r="E1505"/>
  <c r="D1504"/>
  <c r="E1504"/>
  <c r="D1503"/>
  <c r="E1503"/>
  <c r="D1502"/>
  <c r="E1502"/>
  <c r="D1501"/>
  <c r="E1501"/>
  <c r="D1500"/>
  <c r="E1500"/>
  <c r="D1499"/>
  <c r="E1499"/>
  <c r="D1498"/>
  <c r="E1498"/>
  <c r="D1497"/>
  <c r="E1497"/>
  <c r="D1496"/>
  <c r="E1496"/>
  <c r="D1495"/>
  <c r="E1495"/>
  <c r="D1494"/>
  <c r="E1494"/>
  <c r="D1493"/>
  <c r="E1493"/>
  <c r="D1492"/>
  <c r="E1492"/>
  <c r="D1491"/>
  <c r="E1491"/>
  <c r="D1490"/>
  <c r="E1490"/>
  <c r="D1489"/>
  <c r="E1489"/>
  <c r="D1488"/>
  <c r="E1488"/>
  <c r="D1487"/>
  <c r="E1487"/>
  <c r="D1486"/>
  <c r="E1486"/>
  <c r="D1485"/>
  <c r="E1485"/>
  <c r="D1484"/>
  <c r="E1484"/>
  <c r="D1483"/>
  <c r="E1483"/>
  <c r="D1482"/>
  <c r="E1482"/>
  <c r="D1481"/>
  <c r="E1481"/>
  <c r="D1480"/>
  <c r="E1480"/>
  <c r="D1479"/>
  <c r="E1479"/>
  <c r="D1478"/>
  <c r="E1478"/>
  <c r="D1477"/>
  <c r="E1477"/>
  <c r="D1476"/>
  <c r="E1476"/>
  <c r="D1475"/>
  <c r="E1475"/>
  <c r="D1474"/>
  <c r="E1474"/>
  <c r="D1473"/>
  <c r="E1473"/>
  <c r="D1472"/>
  <c r="E1472"/>
  <c r="D1471"/>
  <c r="E1471"/>
  <c r="D1470"/>
  <c r="E1470"/>
  <c r="D1469"/>
  <c r="E1469"/>
  <c r="D1468"/>
  <c r="E1468"/>
  <c r="D1467"/>
  <c r="E1467"/>
  <c r="D1466"/>
  <c r="E1466"/>
  <c r="D1465"/>
  <c r="E1465"/>
  <c r="D1464"/>
  <c r="E1464"/>
  <c r="D1463"/>
  <c r="E1463"/>
  <c r="D1462"/>
  <c r="E1462"/>
  <c r="D1461"/>
  <c r="E1461"/>
  <c r="D1460"/>
  <c r="E1460"/>
  <c r="D1459"/>
  <c r="E1459"/>
  <c r="D1458"/>
  <c r="E1458"/>
  <c r="D1457"/>
  <c r="E1457"/>
  <c r="D1456"/>
  <c r="E1456"/>
  <c r="D1455"/>
  <c r="E1455"/>
  <c r="D1454"/>
  <c r="E1454"/>
  <c r="D1453"/>
  <c r="E1453"/>
  <c r="D1452"/>
  <c r="E1452"/>
  <c r="D1451"/>
  <c r="E1451"/>
  <c r="D1450"/>
  <c r="E1450"/>
  <c r="D1449"/>
  <c r="E1449"/>
  <c r="D1448"/>
  <c r="E1448"/>
  <c r="D1447"/>
  <c r="E1447"/>
  <c r="D1446"/>
  <c r="E1446"/>
  <c r="D1445"/>
  <c r="E1445"/>
  <c r="D1444"/>
  <c r="E1444"/>
  <c r="D1443"/>
  <c r="E1443"/>
  <c r="D1442"/>
  <c r="E1442"/>
  <c r="D1441"/>
  <c r="E1441"/>
  <c r="D1440"/>
  <c r="E1440"/>
  <c r="D1439"/>
  <c r="E1439"/>
  <c r="D1438"/>
  <c r="E1438"/>
  <c r="D1437"/>
  <c r="E1437"/>
  <c r="D1436"/>
  <c r="E1436"/>
  <c r="D1435"/>
  <c r="E1435"/>
  <c r="D1434"/>
  <c r="E1434"/>
  <c r="D1433"/>
  <c r="E1433"/>
  <c r="D1432"/>
  <c r="E1432"/>
  <c r="D1431"/>
  <c r="E1431"/>
  <c r="D1430"/>
  <c r="E1430"/>
  <c r="D1429"/>
  <c r="E1429"/>
  <c r="D1428"/>
  <c r="E1428"/>
  <c r="D1427"/>
  <c r="E1427"/>
  <c r="D1426"/>
  <c r="E1426"/>
  <c r="D1425"/>
  <c r="E1425"/>
  <c r="D1424"/>
  <c r="E1424"/>
  <c r="D1423"/>
  <c r="E1423"/>
  <c r="D1422"/>
  <c r="E1422"/>
  <c r="D1421"/>
  <c r="E1421"/>
  <c r="D1420"/>
  <c r="E1420"/>
  <c r="D1419"/>
  <c r="E1419"/>
  <c r="D1418"/>
  <c r="E1418"/>
  <c r="D1417"/>
  <c r="E1417"/>
  <c r="D1416"/>
  <c r="E1416"/>
  <c r="D1415"/>
  <c r="E1415"/>
  <c r="D1414"/>
  <c r="E1414"/>
  <c r="D1413"/>
  <c r="E1413"/>
  <c r="D1412"/>
  <c r="E1412"/>
  <c r="D1411"/>
  <c r="E1411"/>
  <c r="D1410"/>
  <c r="E1410"/>
  <c r="D1409"/>
  <c r="E1409"/>
  <c r="D1408"/>
  <c r="E1408"/>
  <c r="D1407"/>
  <c r="E1407"/>
  <c r="D1406"/>
  <c r="E1406"/>
  <c r="D1405"/>
  <c r="E1405"/>
  <c r="D1404"/>
  <c r="E1404"/>
  <c r="D1403"/>
  <c r="E1403"/>
  <c r="D1402"/>
  <c r="E1402"/>
  <c r="D1401"/>
  <c r="E1401"/>
  <c r="D1400"/>
  <c r="E1400"/>
  <c r="D1399"/>
  <c r="E1399"/>
  <c r="D1398"/>
  <c r="E1398"/>
  <c r="D1397"/>
  <c r="E1397"/>
  <c r="D1396"/>
  <c r="E1396"/>
  <c r="D1395"/>
  <c r="E1395"/>
  <c r="D1394"/>
  <c r="E1394"/>
  <c r="D1393"/>
  <c r="E1393"/>
  <c r="D1392"/>
  <c r="E1392"/>
  <c r="D1391"/>
  <c r="E1391"/>
  <c r="D1390"/>
  <c r="E1390"/>
  <c r="D1389"/>
  <c r="E1389"/>
  <c r="D1388"/>
  <c r="E1388"/>
  <c r="D1387"/>
  <c r="E1387"/>
  <c r="D1386"/>
  <c r="E1386"/>
  <c r="D1385"/>
  <c r="E1385"/>
  <c r="D1384"/>
  <c r="E1384"/>
  <c r="D1383"/>
  <c r="E1383"/>
  <c r="D1382"/>
  <c r="E1382"/>
  <c r="D1381"/>
  <c r="E1381"/>
  <c r="D1380"/>
  <c r="E1380"/>
  <c r="D1379"/>
  <c r="E1379"/>
  <c r="D1378"/>
  <c r="E1378"/>
  <c r="D1377"/>
  <c r="E1377"/>
  <c r="D1376"/>
  <c r="E1376"/>
  <c r="D1375"/>
  <c r="E1375"/>
  <c r="D1374"/>
  <c r="E1374"/>
  <c r="D1373"/>
  <c r="E1373"/>
  <c r="D1372"/>
  <c r="E1372"/>
  <c r="D1371"/>
  <c r="E1371"/>
  <c r="D1370"/>
  <c r="E1370"/>
  <c r="D1369"/>
  <c r="E1369"/>
  <c r="D1368"/>
  <c r="E1368"/>
  <c r="D1367"/>
  <c r="E1367"/>
  <c r="D1366"/>
  <c r="E1366"/>
  <c r="D1365"/>
  <c r="E1365"/>
  <c r="D1364"/>
  <c r="E1364"/>
  <c r="D1363"/>
  <c r="E1363"/>
  <c r="D1362"/>
  <c r="E1362"/>
  <c r="D1361"/>
  <c r="E1361"/>
  <c r="D1360"/>
  <c r="E1360"/>
  <c r="D1359"/>
  <c r="E1359"/>
  <c r="D1358"/>
  <c r="E1358"/>
  <c r="D1357"/>
  <c r="E1357"/>
  <c r="D1356"/>
  <c r="E1356"/>
  <c r="D1355"/>
  <c r="E1355"/>
  <c r="D1354"/>
  <c r="E1354"/>
  <c r="D1353"/>
  <c r="E1353"/>
  <c r="D1352"/>
  <c r="E1352"/>
  <c r="D1351"/>
  <c r="E1351"/>
  <c r="D1350"/>
  <c r="E1350"/>
  <c r="D1349"/>
  <c r="E1349"/>
  <c r="D1348"/>
  <c r="E1348"/>
  <c r="D1347"/>
  <c r="E1347"/>
  <c r="D1346"/>
  <c r="E1346"/>
  <c r="D1345"/>
  <c r="E1345"/>
  <c r="D1344"/>
  <c r="E1344"/>
  <c r="D1343"/>
  <c r="E1343"/>
  <c r="D1342"/>
  <c r="E1342"/>
  <c r="D1341"/>
  <c r="E1341"/>
  <c r="D1340"/>
  <c r="E1340"/>
  <c r="D1339"/>
  <c r="E1339"/>
  <c r="D1338"/>
  <c r="E1338"/>
  <c r="D1337"/>
  <c r="E1337"/>
  <c r="D1336"/>
  <c r="E1336"/>
  <c r="D1335"/>
  <c r="E1335"/>
  <c r="D1334"/>
  <c r="E1334"/>
  <c r="D1333"/>
  <c r="E1333"/>
  <c r="D1332"/>
  <c r="E1332"/>
  <c r="D1331"/>
  <c r="E1331"/>
  <c r="D1330"/>
  <c r="E1330"/>
  <c r="D1329"/>
  <c r="E1329"/>
  <c r="D1328"/>
  <c r="E1328"/>
  <c r="D1327"/>
  <c r="E1327"/>
  <c r="D1326"/>
  <c r="E1326"/>
  <c r="D1325"/>
  <c r="E1325"/>
  <c r="D1324"/>
  <c r="E1324"/>
  <c r="D1323"/>
  <c r="E1323"/>
  <c r="D1322"/>
  <c r="E1322"/>
  <c r="D1321"/>
  <c r="E1321"/>
  <c r="D1320"/>
  <c r="E1320"/>
  <c r="D1319"/>
  <c r="E1319"/>
  <c r="D1318"/>
  <c r="E1318"/>
  <c r="D1317"/>
  <c r="E1317"/>
  <c r="D1316"/>
  <c r="E1316"/>
  <c r="D1315"/>
  <c r="E1315"/>
  <c r="D1314"/>
  <c r="E1314"/>
  <c r="D1313"/>
  <c r="E1313"/>
  <c r="D1312"/>
  <c r="E1312"/>
  <c r="D1311"/>
  <c r="E1311"/>
  <c r="D1310"/>
  <c r="E1310"/>
  <c r="D1309"/>
  <c r="E1309"/>
  <c r="D1308"/>
  <c r="E1308"/>
  <c r="D1307"/>
  <c r="E1307"/>
  <c r="D1306"/>
  <c r="E1306"/>
  <c r="D1305"/>
  <c r="E1305"/>
  <c r="D1304"/>
  <c r="E1304"/>
  <c r="D1303"/>
  <c r="E1303"/>
  <c r="D1302"/>
  <c r="E1302"/>
  <c r="D1301"/>
  <c r="E1301"/>
  <c r="D1300"/>
  <c r="E1300"/>
  <c r="D1299"/>
  <c r="E1299"/>
  <c r="D1298"/>
  <c r="E1298"/>
  <c r="D1297"/>
  <c r="E1297"/>
  <c r="D1296"/>
  <c r="E1296"/>
  <c r="D1295"/>
  <c r="E1295"/>
  <c r="D1294"/>
  <c r="E1294"/>
  <c r="D1293"/>
  <c r="E1293"/>
  <c r="D1292"/>
  <c r="E1292"/>
  <c r="D1291"/>
  <c r="E1291"/>
  <c r="D1290"/>
  <c r="E1290"/>
  <c r="D1289"/>
  <c r="E1289"/>
  <c r="D1288"/>
  <c r="E1288"/>
  <c r="D1287"/>
  <c r="E1287"/>
  <c r="D1286"/>
  <c r="E1286"/>
  <c r="D1285"/>
  <c r="E1285"/>
  <c r="D1284"/>
  <c r="E1284"/>
  <c r="D1283"/>
  <c r="E1283"/>
  <c r="D1282"/>
  <c r="E1282"/>
  <c r="D1281"/>
  <c r="E1281"/>
  <c r="D1280"/>
  <c r="E1280"/>
  <c r="D1279"/>
  <c r="E1279"/>
  <c r="D1278"/>
  <c r="E1278"/>
  <c r="D1277"/>
  <c r="E1277"/>
  <c r="D1276"/>
  <c r="E1276"/>
  <c r="D1275"/>
  <c r="E1275"/>
  <c r="D1274"/>
  <c r="E1274"/>
  <c r="D1273"/>
  <c r="E1273"/>
  <c r="D1272"/>
  <c r="E1272"/>
  <c r="D1271"/>
  <c r="E1271"/>
  <c r="D1270"/>
  <c r="E1270"/>
  <c r="D1269"/>
  <c r="E1269"/>
  <c r="D1268"/>
  <c r="E1268"/>
  <c r="D1267"/>
  <c r="E1267"/>
  <c r="D1266"/>
  <c r="E1266"/>
  <c r="D1265"/>
  <c r="E1265"/>
  <c r="D1264"/>
  <c r="E1264"/>
  <c r="D1263"/>
  <c r="E1263"/>
  <c r="D1262"/>
  <c r="E1262"/>
  <c r="D1261"/>
  <c r="E1261"/>
  <c r="D1260"/>
  <c r="E1260"/>
  <c r="D1259"/>
  <c r="E1259"/>
  <c r="D1258"/>
  <c r="E1258"/>
  <c r="D1257"/>
  <c r="E1257"/>
  <c r="D1256"/>
  <c r="E1256"/>
  <c r="D1255"/>
  <c r="E1255"/>
  <c r="D1254"/>
  <c r="E1254"/>
  <c r="D1253"/>
  <c r="E1253"/>
  <c r="D1252"/>
  <c r="E1252"/>
  <c r="D1251"/>
  <c r="E1251"/>
  <c r="D1250"/>
  <c r="E1250"/>
  <c r="D1249"/>
  <c r="E1249"/>
  <c r="D1248"/>
  <c r="E1248"/>
  <c r="D1247"/>
  <c r="E1247"/>
  <c r="D1246"/>
  <c r="E1246"/>
  <c r="D1245"/>
  <c r="E1245"/>
  <c r="D1244"/>
  <c r="E1244"/>
  <c r="D1243"/>
  <c r="E1243"/>
  <c r="D1242"/>
  <c r="E1242"/>
  <c r="D1241"/>
  <c r="E1241"/>
  <c r="D1240"/>
  <c r="E1240"/>
  <c r="D1239"/>
  <c r="E1239"/>
  <c r="D1238"/>
  <c r="E1238"/>
  <c r="D1237"/>
  <c r="E1237"/>
  <c r="D1236"/>
  <c r="E1236"/>
  <c r="D1235"/>
  <c r="E1235"/>
  <c r="D1234"/>
  <c r="E1234"/>
  <c r="D1233"/>
  <c r="E1233"/>
  <c r="D1232"/>
  <c r="E1232"/>
  <c r="D1231"/>
  <c r="E1231"/>
  <c r="D1230"/>
  <c r="E1230"/>
  <c r="D1229"/>
  <c r="E1229"/>
  <c r="D1228"/>
  <c r="E1228"/>
  <c r="D1227"/>
  <c r="E1227"/>
  <c r="D1226"/>
  <c r="E1226"/>
  <c r="D1225"/>
  <c r="E1225"/>
  <c r="D1224"/>
  <c r="E1224"/>
  <c r="D1223"/>
  <c r="E1223"/>
  <c r="D1222"/>
  <c r="E1222"/>
  <c r="D1221"/>
  <c r="E1221"/>
  <c r="D1220"/>
  <c r="E1220"/>
  <c r="D1219"/>
  <c r="E1219"/>
  <c r="D1218"/>
  <c r="E1218"/>
  <c r="D1217"/>
  <c r="E1217"/>
  <c r="D1216"/>
  <c r="E1216"/>
  <c r="D1215"/>
  <c r="E1215"/>
  <c r="D1214"/>
  <c r="E1214"/>
  <c r="D1213"/>
  <c r="E1213"/>
  <c r="D1212"/>
  <c r="E1212"/>
  <c r="D1211"/>
  <c r="E1211"/>
  <c r="D1210"/>
  <c r="E1210"/>
  <c r="D1209"/>
  <c r="E1209"/>
  <c r="D1208"/>
  <c r="E1208"/>
  <c r="D1207"/>
  <c r="E1207"/>
  <c r="D1206"/>
  <c r="E1206"/>
  <c r="D1205"/>
  <c r="E1205"/>
  <c r="D1204"/>
  <c r="E1204"/>
  <c r="D1203"/>
  <c r="E1203"/>
  <c r="D1202"/>
  <c r="E1202"/>
  <c r="D1201"/>
  <c r="E1201"/>
  <c r="D1200"/>
  <c r="E1200"/>
  <c r="D1199"/>
  <c r="E1199"/>
  <c r="D1198"/>
  <c r="E1198"/>
  <c r="D1197"/>
  <c r="E1197"/>
  <c r="D1196"/>
  <c r="E1196"/>
  <c r="D1195"/>
  <c r="E1195"/>
  <c r="D1194"/>
  <c r="E1194"/>
  <c r="D1193"/>
  <c r="E1193"/>
  <c r="D1192"/>
  <c r="E1192"/>
  <c r="D1191"/>
  <c r="E1191"/>
  <c r="D1190"/>
  <c r="E1190"/>
  <c r="D1189"/>
  <c r="E1189"/>
  <c r="D1188"/>
  <c r="E1188"/>
  <c r="D1187"/>
  <c r="E1187"/>
  <c r="D1186"/>
  <c r="E1186"/>
  <c r="D1185"/>
  <c r="E1185"/>
  <c r="D1184"/>
  <c r="E1184"/>
  <c r="D1183"/>
  <c r="E1183"/>
  <c r="D1182"/>
  <c r="E1182"/>
  <c r="D1181"/>
  <c r="E1181"/>
  <c r="D1180"/>
  <c r="E1180"/>
  <c r="D1179"/>
  <c r="E1179"/>
  <c r="D1178"/>
  <c r="E1178"/>
  <c r="D1177"/>
  <c r="E1177"/>
  <c r="D1176"/>
  <c r="E1176"/>
  <c r="D1175"/>
  <c r="E1175"/>
  <c r="D1174"/>
  <c r="E1174"/>
  <c r="D1173"/>
  <c r="E1173"/>
  <c r="D1172"/>
  <c r="E1172"/>
  <c r="D1171"/>
  <c r="E1171"/>
  <c r="D1170"/>
  <c r="E1170"/>
  <c r="D1169"/>
  <c r="E1169"/>
  <c r="D1168"/>
  <c r="E1168"/>
  <c r="D1167"/>
  <c r="E1167"/>
  <c r="D1166"/>
  <c r="E1166"/>
  <c r="D1165"/>
  <c r="E1165"/>
  <c r="D1164"/>
  <c r="E1164"/>
  <c r="D1163"/>
  <c r="E1163"/>
  <c r="D1162"/>
  <c r="E1162"/>
  <c r="D1161"/>
  <c r="E1161"/>
  <c r="D1160"/>
  <c r="E1160"/>
  <c r="D1159"/>
  <c r="E1159"/>
  <c r="D1158"/>
  <c r="E1158"/>
  <c r="D1157"/>
  <c r="E1157"/>
  <c r="D1156"/>
  <c r="E1156"/>
  <c r="D1155"/>
  <c r="E1155"/>
  <c r="D1154"/>
  <c r="E1154"/>
  <c r="D1153"/>
  <c r="E1153"/>
  <c r="D1152"/>
  <c r="E1152"/>
  <c r="D1151"/>
  <c r="E1151"/>
  <c r="D1150"/>
  <c r="E1150"/>
  <c r="D1149"/>
  <c r="E1149"/>
  <c r="D1148"/>
  <c r="E1148"/>
  <c r="D1147"/>
  <c r="E1147"/>
  <c r="D1146"/>
  <c r="E1146"/>
  <c r="D1145"/>
  <c r="E1145"/>
  <c r="D1144"/>
  <c r="E1144"/>
  <c r="D1143"/>
  <c r="E1143"/>
  <c r="D1142"/>
  <c r="E1142"/>
  <c r="D1141"/>
  <c r="E1141"/>
  <c r="D1140"/>
  <c r="E1140"/>
  <c r="D1139"/>
  <c r="E1139"/>
  <c r="D1138"/>
  <c r="E1138"/>
  <c r="D1137"/>
  <c r="E1137"/>
  <c r="D1136"/>
  <c r="E1136"/>
  <c r="D1135"/>
  <c r="E1135"/>
  <c r="D1134"/>
  <c r="E1134"/>
  <c r="D1133"/>
  <c r="E1133"/>
  <c r="D1132"/>
  <c r="E1132"/>
  <c r="D1131"/>
  <c r="E1131"/>
  <c r="D1130"/>
  <c r="E1130"/>
  <c r="D1129"/>
  <c r="E1129"/>
  <c r="D1128"/>
  <c r="E1128"/>
  <c r="D1127"/>
  <c r="E1127"/>
  <c r="D1126"/>
  <c r="E1126"/>
  <c r="D1125"/>
  <c r="E1125"/>
  <c r="D1124"/>
  <c r="E1124"/>
  <c r="D1123"/>
  <c r="E1123"/>
  <c r="D1122"/>
  <c r="E1122"/>
  <c r="D1121"/>
  <c r="E1121"/>
  <c r="D1120"/>
  <c r="E1120"/>
  <c r="D1119"/>
  <c r="E1119"/>
  <c r="D1118"/>
  <c r="E1118"/>
  <c r="D1117"/>
  <c r="E1117"/>
  <c r="D1116"/>
  <c r="E1116"/>
  <c r="D1115"/>
  <c r="E1115"/>
  <c r="D1114"/>
  <c r="E1114"/>
  <c r="D1113"/>
  <c r="E1113"/>
  <c r="D1112"/>
  <c r="E1112"/>
  <c r="D1111"/>
  <c r="E1111"/>
  <c r="D1110"/>
  <c r="E1110"/>
  <c r="D1109"/>
  <c r="E1109"/>
  <c r="D1108"/>
  <c r="E1108"/>
  <c r="D1107"/>
  <c r="E1107"/>
  <c r="D1106"/>
  <c r="E1106"/>
  <c r="D1105"/>
  <c r="E1105"/>
  <c r="D1104"/>
  <c r="E1104"/>
  <c r="D1103"/>
  <c r="E1103"/>
  <c r="D1102"/>
  <c r="E1102"/>
  <c r="D1101"/>
  <c r="E1101"/>
  <c r="D1100"/>
  <c r="E1100"/>
  <c r="D1099"/>
  <c r="E1099"/>
  <c r="D1098"/>
  <c r="E1098"/>
  <c r="D1097"/>
  <c r="E1097"/>
  <c r="D1096"/>
  <c r="E1096"/>
  <c r="D1095"/>
  <c r="E1095"/>
  <c r="D1094"/>
  <c r="E1094"/>
  <c r="D1093"/>
  <c r="E1093"/>
  <c r="D1092"/>
  <c r="E1092"/>
  <c r="D1091"/>
  <c r="E1091"/>
  <c r="D1090"/>
  <c r="E1090"/>
  <c r="D1089"/>
  <c r="E1089"/>
  <c r="D1088"/>
  <c r="E1088"/>
  <c r="D1087"/>
  <c r="E1087"/>
  <c r="D1086"/>
  <c r="E1086"/>
  <c r="D1085"/>
  <c r="E1085"/>
  <c r="D1084"/>
  <c r="E1084"/>
  <c r="D1083"/>
  <c r="E1083"/>
  <c r="D1082"/>
  <c r="E1082"/>
  <c r="D1081"/>
  <c r="E1081"/>
  <c r="D1080"/>
  <c r="E1080"/>
  <c r="D1079"/>
  <c r="E1079"/>
  <c r="D1078"/>
  <c r="E1078"/>
  <c r="D1077"/>
  <c r="E1077"/>
  <c r="D1076"/>
  <c r="E1076"/>
  <c r="D1075"/>
  <c r="E1075"/>
  <c r="D1074"/>
  <c r="E1074"/>
  <c r="D1073"/>
  <c r="E1073"/>
  <c r="D1072"/>
  <c r="E1072"/>
  <c r="D1071"/>
  <c r="E1071"/>
  <c r="D1070"/>
  <c r="E1070"/>
  <c r="D1069"/>
  <c r="E1069"/>
  <c r="D1068"/>
  <c r="E1068"/>
  <c r="D1067"/>
  <c r="E1067"/>
  <c r="D1066"/>
  <c r="E1066"/>
  <c r="D1065"/>
  <c r="E1065"/>
  <c r="D1064"/>
  <c r="E1064"/>
  <c r="D1063"/>
  <c r="E1063"/>
  <c r="D1062"/>
  <c r="E1062"/>
  <c r="D1061"/>
  <c r="E1061"/>
  <c r="D1060"/>
  <c r="E1060"/>
  <c r="D1059"/>
  <c r="E1059"/>
  <c r="D1058"/>
  <c r="E1058"/>
  <c r="D1057"/>
  <c r="E1057"/>
  <c r="D1056"/>
  <c r="E1056"/>
  <c r="D1055"/>
  <c r="E1055"/>
  <c r="D1054"/>
  <c r="E1054"/>
  <c r="D1053"/>
  <c r="E1053"/>
  <c r="D1052"/>
  <c r="E1052"/>
  <c r="D1051"/>
  <c r="E1051"/>
  <c r="D1050"/>
  <c r="E1050"/>
  <c r="D1049"/>
  <c r="E1049"/>
  <c r="D1048"/>
  <c r="E1048"/>
  <c r="D1047"/>
  <c r="E1047"/>
  <c r="D1046"/>
  <c r="E1046"/>
  <c r="D1045"/>
  <c r="E1045"/>
  <c r="D1044"/>
  <c r="E1044"/>
  <c r="D1043"/>
  <c r="E1043"/>
  <c r="D1042"/>
  <c r="E1042"/>
  <c r="D1041"/>
  <c r="E1041"/>
  <c r="D1040"/>
  <c r="E1040"/>
  <c r="D1039"/>
  <c r="E1039"/>
  <c r="D1038"/>
  <c r="E1038"/>
  <c r="D1037"/>
  <c r="E1037"/>
  <c r="D1036"/>
  <c r="E1036"/>
  <c r="D1035"/>
  <c r="E1035"/>
  <c r="D1034"/>
  <c r="E1034"/>
  <c r="D1033"/>
  <c r="E1033"/>
  <c r="D1032"/>
  <c r="E1032"/>
  <c r="D1031"/>
  <c r="E1031"/>
  <c r="D1030"/>
  <c r="E1030"/>
  <c r="D1029"/>
  <c r="E1029"/>
  <c r="D1028"/>
  <c r="E1028"/>
  <c r="D1027"/>
  <c r="E1027"/>
  <c r="D1026"/>
  <c r="E1026"/>
  <c r="D1025"/>
  <c r="E1025"/>
  <c r="D1024"/>
  <c r="E1024"/>
  <c r="D1023"/>
  <c r="E1023"/>
  <c r="D1022"/>
  <c r="E1022"/>
  <c r="D1021"/>
  <c r="E1021"/>
  <c r="D1020"/>
  <c r="E1020"/>
  <c r="D1019"/>
  <c r="E1019"/>
  <c r="D1018"/>
  <c r="E1018"/>
  <c r="D1017"/>
  <c r="E1017"/>
  <c r="D1016"/>
  <c r="E1016"/>
  <c r="D1015"/>
  <c r="E1015"/>
  <c r="D1014"/>
  <c r="E1014"/>
  <c r="D1013"/>
  <c r="E1013"/>
  <c r="D1012"/>
  <c r="E1012"/>
  <c r="D1011"/>
  <c r="E1011"/>
  <c r="D1010"/>
  <c r="E1010"/>
  <c r="D1009"/>
  <c r="E1009"/>
  <c r="D1008"/>
  <c r="E1008"/>
  <c r="D1007"/>
  <c r="E1007"/>
  <c r="D1006"/>
  <c r="E1006"/>
  <c r="D1005"/>
  <c r="E1005"/>
  <c r="D1004"/>
  <c r="E1004"/>
  <c r="D1003"/>
  <c r="E1003"/>
  <c r="D1002"/>
  <c r="E1002"/>
  <c r="D1001"/>
  <c r="E1001"/>
  <c r="D1000"/>
  <c r="E1000"/>
  <c r="D999"/>
  <c r="E999"/>
  <c r="D998"/>
  <c r="E998"/>
  <c r="D997"/>
  <c r="E997"/>
  <c r="D996"/>
  <c r="E996"/>
  <c r="D995"/>
  <c r="E995"/>
  <c r="D994"/>
  <c r="E994"/>
  <c r="D993"/>
  <c r="E993"/>
  <c r="D992"/>
  <c r="E992"/>
  <c r="D991"/>
  <c r="E991"/>
  <c r="D990"/>
  <c r="E990"/>
  <c r="D989"/>
  <c r="E989"/>
  <c r="D988"/>
  <c r="E988"/>
  <c r="D987"/>
  <c r="E987"/>
  <c r="D986"/>
  <c r="E986"/>
  <c r="D985"/>
  <c r="E985"/>
  <c r="D984"/>
  <c r="E984"/>
  <c r="D983"/>
  <c r="E983"/>
  <c r="D982"/>
  <c r="E982"/>
  <c r="D981"/>
  <c r="E981"/>
  <c r="D980"/>
  <c r="E980"/>
  <c r="D979"/>
  <c r="E979"/>
  <c r="D978"/>
  <c r="E978"/>
  <c r="D977"/>
  <c r="E977"/>
  <c r="D976"/>
  <c r="E976"/>
  <c r="D975"/>
  <c r="E975"/>
  <c r="D974"/>
  <c r="E974"/>
  <c r="D973"/>
  <c r="E973"/>
  <c r="D972"/>
  <c r="E972"/>
  <c r="D971"/>
  <c r="E971"/>
  <c r="D970"/>
  <c r="E970"/>
  <c r="D969"/>
  <c r="E969"/>
  <c r="D968"/>
  <c r="E968"/>
  <c r="D967"/>
  <c r="E967"/>
  <c r="D966"/>
  <c r="E966"/>
  <c r="D965"/>
  <c r="E965"/>
  <c r="D964"/>
  <c r="E964"/>
  <c r="D963"/>
  <c r="E963"/>
  <c r="D962"/>
  <c r="E962"/>
  <c r="D961"/>
  <c r="E961"/>
  <c r="D960"/>
  <c r="E960"/>
  <c r="D959"/>
  <c r="E959"/>
  <c r="D958"/>
  <c r="E958"/>
  <c r="D957"/>
  <c r="E957"/>
  <c r="D956"/>
  <c r="E956"/>
  <c r="D955"/>
  <c r="E955"/>
  <c r="D954"/>
  <c r="E954"/>
  <c r="D953"/>
  <c r="E953"/>
  <c r="D952"/>
  <c r="E952"/>
  <c r="D951"/>
  <c r="E951"/>
  <c r="D950"/>
  <c r="E950"/>
  <c r="D949"/>
  <c r="E949"/>
  <c r="D948"/>
  <c r="E948"/>
  <c r="D947"/>
  <c r="E947"/>
  <c r="D946"/>
  <c r="E946"/>
  <c r="D945"/>
  <c r="E945"/>
  <c r="D944"/>
  <c r="E944"/>
  <c r="D943"/>
  <c r="E943"/>
  <c r="D942"/>
  <c r="E942"/>
  <c r="D941"/>
  <c r="E941"/>
  <c r="D940"/>
  <c r="E940"/>
  <c r="D939"/>
  <c r="E939"/>
  <c r="D938"/>
  <c r="E938"/>
  <c r="D937"/>
  <c r="E937"/>
  <c r="D936"/>
  <c r="E936"/>
  <c r="D935"/>
  <c r="E935"/>
  <c r="D934"/>
  <c r="E934"/>
  <c r="D933"/>
  <c r="E933"/>
  <c r="D932"/>
  <c r="E932"/>
  <c r="D931"/>
  <c r="E931"/>
  <c r="D930"/>
  <c r="E930"/>
  <c r="D929"/>
  <c r="E929"/>
  <c r="D928"/>
  <c r="E928"/>
  <c r="D927"/>
  <c r="E927"/>
  <c r="D926"/>
  <c r="E926"/>
  <c r="D925"/>
  <c r="E925"/>
  <c r="D924"/>
  <c r="E924"/>
  <c r="D923"/>
  <c r="E923"/>
  <c r="D922"/>
  <c r="E922"/>
  <c r="D921"/>
  <c r="E921"/>
  <c r="D920"/>
  <c r="E920"/>
  <c r="D919"/>
  <c r="E919"/>
  <c r="D918"/>
  <c r="E918"/>
  <c r="D917"/>
  <c r="E917"/>
  <c r="D916"/>
  <c r="E916"/>
  <c r="D915"/>
  <c r="E915"/>
  <c r="D914"/>
  <c r="E914"/>
  <c r="D913"/>
  <c r="E913"/>
  <c r="D912"/>
  <c r="E912"/>
  <c r="D911"/>
  <c r="E911"/>
  <c r="D910"/>
  <c r="E910"/>
  <c r="D909"/>
  <c r="E909"/>
  <c r="D908"/>
  <c r="E908"/>
  <c r="D907"/>
  <c r="E907"/>
  <c r="D906"/>
  <c r="E906"/>
  <c r="D905"/>
  <c r="E905"/>
  <c r="D904"/>
  <c r="E904"/>
  <c r="D903"/>
  <c r="E903"/>
  <c r="D902"/>
  <c r="E902"/>
  <c r="D901"/>
  <c r="E901"/>
  <c r="D900"/>
  <c r="E900"/>
  <c r="D899"/>
  <c r="E899"/>
  <c r="D898"/>
  <c r="E898"/>
  <c r="D897"/>
  <c r="E897"/>
  <c r="D896"/>
  <c r="E896"/>
  <c r="D895"/>
  <c r="E895"/>
  <c r="D894"/>
  <c r="E894"/>
  <c r="D893"/>
  <c r="E893"/>
  <c r="D892"/>
  <c r="E892"/>
  <c r="D891"/>
  <c r="E891"/>
  <c r="D890"/>
  <c r="E890"/>
  <c r="D889"/>
  <c r="E889"/>
  <c r="D888"/>
  <c r="E888"/>
  <c r="D887"/>
  <c r="E887"/>
  <c r="D886"/>
  <c r="E886"/>
  <c r="D885"/>
  <c r="E885"/>
  <c r="D884"/>
  <c r="E884"/>
  <c r="D883"/>
  <c r="E883"/>
  <c r="D882"/>
  <c r="E882"/>
  <c r="D881"/>
  <c r="E881"/>
  <c r="D880"/>
  <c r="E880"/>
  <c r="D879"/>
  <c r="E879"/>
  <c r="D878"/>
  <c r="E878"/>
  <c r="D877"/>
  <c r="E877"/>
  <c r="D876"/>
  <c r="E876"/>
  <c r="D875"/>
  <c r="E875"/>
  <c r="D874"/>
  <c r="E874"/>
  <c r="D873"/>
  <c r="E873"/>
  <c r="D872"/>
  <c r="E872"/>
  <c r="D871"/>
  <c r="E871"/>
  <c r="D870"/>
  <c r="E870"/>
  <c r="D869"/>
  <c r="E869"/>
  <c r="D868"/>
  <c r="E868"/>
  <c r="D867"/>
  <c r="E867"/>
  <c r="D866"/>
  <c r="E866"/>
  <c r="D865"/>
  <c r="E865"/>
  <c r="D864"/>
  <c r="E864"/>
  <c r="D863"/>
  <c r="E863"/>
  <c r="D862"/>
  <c r="E862"/>
  <c r="D861"/>
  <c r="E861"/>
  <c r="D860"/>
  <c r="E860"/>
  <c r="D859"/>
  <c r="E859"/>
  <c r="D858"/>
  <c r="E858"/>
  <c r="D857"/>
  <c r="E857"/>
  <c r="D856"/>
  <c r="E856"/>
  <c r="D855"/>
  <c r="E855"/>
  <c r="D854"/>
  <c r="E854"/>
  <c r="D853"/>
  <c r="E853"/>
  <c r="D852"/>
  <c r="E852"/>
  <c r="D851"/>
  <c r="E851"/>
  <c r="D850"/>
  <c r="E850"/>
  <c r="D849"/>
  <c r="E849"/>
  <c r="D848"/>
  <c r="E848"/>
  <c r="D847"/>
  <c r="E847"/>
  <c r="D846"/>
  <c r="E846"/>
  <c r="D845"/>
  <c r="E845"/>
  <c r="D844"/>
  <c r="E844"/>
  <c r="D843"/>
  <c r="E843"/>
  <c r="D842"/>
  <c r="E842"/>
  <c r="D841"/>
  <c r="E841"/>
  <c r="D840"/>
  <c r="E840"/>
  <c r="D839"/>
  <c r="E839"/>
  <c r="D838"/>
  <c r="E838"/>
  <c r="D837"/>
  <c r="E837"/>
  <c r="D836"/>
  <c r="E836"/>
  <c r="D835"/>
  <c r="E835"/>
  <c r="D834"/>
  <c r="E834"/>
  <c r="D833"/>
  <c r="E833"/>
  <c r="D832"/>
  <c r="E832"/>
  <c r="D831"/>
  <c r="E831"/>
  <c r="D830"/>
  <c r="E830"/>
  <c r="D829"/>
  <c r="E829"/>
  <c r="D828"/>
  <c r="E828"/>
  <c r="D827"/>
  <c r="E827"/>
  <c r="D826"/>
  <c r="E826"/>
  <c r="D825"/>
  <c r="E825"/>
  <c r="D824"/>
  <c r="E824"/>
  <c r="D823"/>
  <c r="E823"/>
  <c r="D822"/>
  <c r="E822"/>
  <c r="D821"/>
  <c r="E821"/>
  <c r="D820"/>
  <c r="E820"/>
  <c r="D819"/>
  <c r="E819"/>
  <c r="D818"/>
  <c r="E818"/>
  <c r="D817"/>
  <c r="E817"/>
  <c r="D816"/>
  <c r="E816"/>
  <c r="D815"/>
  <c r="E815"/>
  <c r="D814"/>
  <c r="E814"/>
  <c r="D813"/>
  <c r="E813"/>
  <c r="D812"/>
  <c r="E812"/>
  <c r="D811"/>
  <c r="E811"/>
  <c r="D810"/>
  <c r="E810"/>
  <c r="D809"/>
  <c r="E809"/>
  <c r="D808"/>
  <c r="E808"/>
  <c r="D807"/>
  <c r="E807"/>
  <c r="D806"/>
  <c r="E806"/>
  <c r="D805"/>
  <c r="E805"/>
  <c r="D804"/>
  <c r="E804"/>
  <c r="D803"/>
  <c r="E803"/>
  <c r="D802"/>
  <c r="E802"/>
  <c r="D801"/>
  <c r="E801"/>
  <c r="D800"/>
  <c r="E800"/>
  <c r="D799"/>
  <c r="E799"/>
  <c r="D798"/>
  <c r="E798"/>
  <c r="D797"/>
  <c r="E797"/>
  <c r="D796"/>
  <c r="E796"/>
  <c r="D795"/>
  <c r="E795"/>
  <c r="D794"/>
  <c r="E794"/>
  <c r="D793"/>
  <c r="E793"/>
  <c r="D792"/>
  <c r="E792"/>
  <c r="D791"/>
  <c r="E791"/>
  <c r="D790"/>
  <c r="E790"/>
  <c r="D789"/>
  <c r="E789"/>
  <c r="D788"/>
  <c r="E788"/>
  <c r="D787"/>
  <c r="E787"/>
  <c r="D786"/>
  <c r="E786"/>
  <c r="D785"/>
  <c r="E785"/>
  <c r="D784"/>
  <c r="E784"/>
  <c r="D783"/>
  <c r="E783"/>
  <c r="D782"/>
  <c r="E782"/>
  <c r="D781"/>
  <c r="E781"/>
  <c r="D780"/>
  <c r="E780"/>
  <c r="D779"/>
  <c r="E779"/>
  <c r="D778"/>
  <c r="E778"/>
  <c r="D777"/>
  <c r="E777"/>
  <c r="D776"/>
  <c r="E776"/>
  <c r="D775"/>
  <c r="E775"/>
  <c r="D774"/>
  <c r="E774"/>
  <c r="D773"/>
  <c r="E773"/>
  <c r="D772"/>
  <c r="E772"/>
  <c r="D771"/>
  <c r="E771"/>
  <c r="D770"/>
  <c r="E770"/>
  <c r="D769"/>
  <c r="E769"/>
  <c r="D768"/>
  <c r="E768"/>
  <c r="D767"/>
  <c r="E767"/>
  <c r="D766"/>
  <c r="E766"/>
  <c r="D765"/>
  <c r="E765"/>
  <c r="D764"/>
  <c r="E764"/>
  <c r="D763"/>
  <c r="E763"/>
  <c r="D762"/>
  <c r="E762"/>
  <c r="D761"/>
  <c r="E761"/>
  <c r="D760"/>
  <c r="E760"/>
  <c r="D759"/>
  <c r="E759"/>
  <c r="D758"/>
  <c r="E758"/>
  <c r="D757"/>
  <c r="E757"/>
  <c r="D756"/>
  <c r="E756"/>
  <c r="D755"/>
  <c r="E755"/>
  <c r="D754"/>
  <c r="E754"/>
  <c r="D753"/>
  <c r="E753"/>
  <c r="D752"/>
  <c r="E752"/>
  <c r="D751"/>
  <c r="E751"/>
  <c r="D750"/>
  <c r="E750"/>
  <c r="D749"/>
  <c r="E749"/>
  <c r="D748"/>
  <c r="E748"/>
  <c r="D747"/>
  <c r="E747"/>
  <c r="D746"/>
  <c r="E746"/>
  <c r="D745"/>
  <c r="E745"/>
  <c r="D744"/>
  <c r="E744"/>
  <c r="D743"/>
  <c r="E743"/>
  <c r="D742"/>
  <c r="E742"/>
  <c r="D741"/>
  <c r="E741"/>
  <c r="D740"/>
  <c r="E740"/>
  <c r="D739"/>
  <c r="E739"/>
  <c r="D738"/>
  <c r="E738"/>
  <c r="D737"/>
  <c r="E737"/>
  <c r="D736"/>
  <c r="E736"/>
  <c r="D735"/>
  <c r="E735"/>
  <c r="D734"/>
  <c r="E734"/>
  <c r="D733"/>
  <c r="E733"/>
  <c r="D732"/>
  <c r="E732"/>
  <c r="D731"/>
  <c r="E731"/>
  <c r="D730"/>
  <c r="E730"/>
  <c r="D729"/>
  <c r="E729"/>
  <c r="D728"/>
  <c r="E728"/>
  <c r="D727"/>
  <c r="E727"/>
  <c r="D726"/>
  <c r="E726"/>
  <c r="D725"/>
  <c r="E725"/>
  <c r="D724"/>
  <c r="E724"/>
  <c r="D723"/>
  <c r="E723"/>
  <c r="D722"/>
  <c r="E722"/>
  <c r="D721"/>
  <c r="E721"/>
  <c r="D720"/>
  <c r="E720"/>
  <c r="D719"/>
  <c r="E719"/>
  <c r="D718"/>
  <c r="E718"/>
  <c r="D717"/>
  <c r="E717"/>
  <c r="D716"/>
  <c r="E716"/>
  <c r="D715"/>
  <c r="E715"/>
  <c r="D714"/>
  <c r="E714"/>
  <c r="D713"/>
  <c r="E713"/>
  <c r="D712"/>
  <c r="E712"/>
  <c r="D711"/>
  <c r="E711"/>
  <c r="D710"/>
  <c r="E710"/>
  <c r="D709"/>
  <c r="E709"/>
  <c r="D708"/>
  <c r="E708"/>
  <c r="D707"/>
  <c r="E707"/>
  <c r="D706"/>
  <c r="E706"/>
  <c r="D705"/>
  <c r="E705"/>
  <c r="D704"/>
  <c r="E704"/>
  <c r="D703"/>
  <c r="E703"/>
  <c r="D702"/>
  <c r="E702"/>
  <c r="D701"/>
  <c r="E701"/>
  <c r="D700"/>
  <c r="E700"/>
  <c r="D699"/>
  <c r="E699"/>
  <c r="D698"/>
  <c r="E698"/>
  <c r="D697"/>
  <c r="E697"/>
  <c r="D696"/>
  <c r="E696"/>
  <c r="D695"/>
  <c r="E695"/>
  <c r="D694"/>
  <c r="E694"/>
  <c r="D693"/>
  <c r="E693"/>
  <c r="D692"/>
  <c r="E692"/>
  <c r="D691"/>
  <c r="E691"/>
  <c r="D690"/>
  <c r="E690"/>
  <c r="D689"/>
  <c r="E689"/>
  <c r="D688"/>
  <c r="E688"/>
  <c r="D687"/>
  <c r="E687"/>
  <c r="D686"/>
  <c r="E686"/>
  <c r="D685"/>
  <c r="E685"/>
  <c r="D684"/>
  <c r="E684"/>
  <c r="D683"/>
  <c r="E683"/>
  <c r="D682"/>
  <c r="E682"/>
  <c r="D681"/>
  <c r="E681"/>
  <c r="D680"/>
  <c r="E680"/>
  <c r="D679"/>
  <c r="E679"/>
  <c r="D678"/>
  <c r="E678"/>
  <c r="D677"/>
  <c r="E677"/>
  <c r="D676"/>
  <c r="E676"/>
  <c r="D675"/>
  <c r="E675"/>
  <c r="D674"/>
  <c r="E674"/>
  <c r="D673"/>
  <c r="E673"/>
  <c r="D672"/>
  <c r="E672"/>
  <c r="D671"/>
  <c r="E671"/>
  <c r="D670"/>
  <c r="E670"/>
  <c r="D669"/>
  <c r="E669"/>
  <c r="D668"/>
  <c r="E668"/>
  <c r="D667"/>
  <c r="E667"/>
  <c r="D666"/>
  <c r="E666"/>
  <c r="D665"/>
  <c r="E665"/>
  <c r="D664"/>
  <c r="E664"/>
  <c r="D663"/>
  <c r="E663"/>
  <c r="D662"/>
  <c r="E662"/>
  <c r="D661"/>
  <c r="E661"/>
  <c r="D660"/>
  <c r="E660"/>
  <c r="D659"/>
  <c r="E659"/>
  <c r="D658"/>
  <c r="E658"/>
  <c r="D657"/>
  <c r="E657"/>
  <c r="D656"/>
  <c r="E656"/>
  <c r="D655"/>
  <c r="E655"/>
  <c r="D654"/>
  <c r="E654"/>
  <c r="D653"/>
  <c r="E653"/>
  <c r="D652"/>
  <c r="E652"/>
  <c r="D651"/>
  <c r="E651"/>
  <c r="D650"/>
  <c r="E650"/>
  <c r="D649"/>
  <c r="E649"/>
  <c r="D648"/>
  <c r="E648"/>
  <c r="D647"/>
  <c r="E647"/>
  <c r="D646"/>
  <c r="E646"/>
  <c r="D645"/>
  <c r="E645"/>
  <c r="D644"/>
  <c r="E644"/>
  <c r="D643"/>
  <c r="E643"/>
  <c r="D642"/>
  <c r="E642"/>
  <c r="D641"/>
  <c r="E641"/>
  <c r="D640"/>
  <c r="E640"/>
  <c r="D639"/>
  <c r="E639"/>
  <c r="D638"/>
  <c r="E638"/>
  <c r="D637"/>
  <c r="E637"/>
  <c r="D636"/>
  <c r="E636"/>
  <c r="D635"/>
  <c r="E635"/>
  <c r="D634"/>
  <c r="E634"/>
  <c r="D633"/>
  <c r="E633"/>
  <c r="D632"/>
  <c r="E632"/>
  <c r="D631"/>
  <c r="E631"/>
  <c r="D630"/>
  <c r="E630"/>
  <c r="D629"/>
  <c r="E629"/>
  <c r="D628"/>
  <c r="E628"/>
  <c r="D627"/>
  <c r="E627"/>
  <c r="D626"/>
  <c r="E626"/>
  <c r="D625"/>
  <c r="E625"/>
  <c r="D624"/>
  <c r="E624"/>
  <c r="D623"/>
  <c r="E623"/>
  <c r="D622"/>
  <c r="E622"/>
  <c r="D621"/>
  <c r="E621"/>
  <c r="D620"/>
  <c r="E620"/>
  <c r="D619"/>
  <c r="E619"/>
  <c r="D618"/>
  <c r="E618"/>
  <c r="D617"/>
  <c r="E617"/>
  <c r="D616"/>
  <c r="E616"/>
  <c r="D615"/>
  <c r="E615"/>
  <c r="D614"/>
  <c r="E614"/>
  <c r="D613"/>
  <c r="E613"/>
  <c r="D612"/>
  <c r="E612"/>
  <c r="D611"/>
  <c r="E611"/>
  <c r="D610"/>
  <c r="E610"/>
  <c r="D609"/>
  <c r="E609"/>
  <c r="D608"/>
  <c r="E608"/>
  <c r="D607"/>
  <c r="E607"/>
  <c r="D606"/>
  <c r="E606"/>
  <c r="D605"/>
  <c r="E605"/>
  <c r="D604"/>
  <c r="E604"/>
  <c r="D603"/>
  <c r="E603"/>
  <c r="D602"/>
  <c r="E602"/>
  <c r="D601"/>
  <c r="E601"/>
  <c r="D600"/>
  <c r="E600"/>
  <c r="D599"/>
  <c r="E599"/>
  <c r="D598"/>
  <c r="E598"/>
  <c r="D597"/>
  <c r="E597"/>
  <c r="D596"/>
  <c r="E596"/>
  <c r="D595"/>
  <c r="E595"/>
  <c r="D594"/>
  <c r="E594"/>
  <c r="D593"/>
  <c r="E593"/>
  <c r="D592"/>
  <c r="E592"/>
  <c r="D591"/>
  <c r="E591"/>
  <c r="D590"/>
  <c r="E590"/>
  <c r="D589"/>
  <c r="E589"/>
  <c r="D588"/>
  <c r="E588"/>
  <c r="D587"/>
  <c r="E587"/>
  <c r="D586"/>
  <c r="E586"/>
  <c r="D585"/>
  <c r="E585"/>
  <c r="D584"/>
  <c r="E584"/>
  <c r="D583"/>
  <c r="E583"/>
  <c r="D582"/>
  <c r="E582"/>
  <c r="D581"/>
  <c r="E581"/>
  <c r="D580"/>
  <c r="E580"/>
  <c r="D579"/>
  <c r="E579"/>
  <c r="D578"/>
  <c r="E578"/>
  <c r="D577"/>
  <c r="E577"/>
  <c r="D576"/>
  <c r="E576"/>
  <c r="D575"/>
  <c r="E575"/>
  <c r="D574"/>
  <c r="E574"/>
  <c r="D573"/>
  <c r="E573"/>
  <c r="D572"/>
  <c r="E572"/>
  <c r="D571"/>
  <c r="E571"/>
  <c r="D570"/>
  <c r="E570"/>
  <c r="D569"/>
  <c r="E569"/>
  <c r="D568"/>
  <c r="E568"/>
  <c r="D567"/>
  <c r="E567"/>
  <c r="D566"/>
  <c r="E566"/>
  <c r="D565"/>
  <c r="E565"/>
  <c r="D564"/>
  <c r="E564"/>
  <c r="D563"/>
  <c r="E563"/>
  <c r="D562"/>
  <c r="E562"/>
  <c r="D561"/>
  <c r="E561"/>
  <c r="D560"/>
  <c r="E560"/>
  <c r="D559"/>
  <c r="E559"/>
  <c r="D558"/>
  <c r="E558"/>
  <c r="D557"/>
  <c r="E557"/>
  <c r="D556"/>
  <c r="E556"/>
  <c r="D555"/>
  <c r="E555"/>
  <c r="D554"/>
  <c r="E554"/>
  <c r="D553"/>
  <c r="E553"/>
  <c r="D552"/>
  <c r="E552"/>
  <c r="D551"/>
  <c r="E551"/>
  <c r="D550"/>
  <c r="E550"/>
  <c r="D549"/>
  <c r="E549"/>
  <c r="D548"/>
  <c r="E548"/>
  <c r="D547"/>
  <c r="E547"/>
  <c r="D546"/>
  <c r="E546"/>
  <c r="D545"/>
  <c r="E545"/>
  <c r="D544"/>
  <c r="E544"/>
  <c r="D543"/>
  <c r="E543"/>
  <c r="D542"/>
  <c r="E542"/>
  <c r="D541"/>
  <c r="E541"/>
  <c r="D540"/>
  <c r="E540"/>
  <c r="D539"/>
  <c r="E539"/>
  <c r="D538"/>
  <c r="E538"/>
  <c r="D537"/>
  <c r="E537"/>
  <c r="D536"/>
  <c r="E536"/>
  <c r="D535"/>
  <c r="E535"/>
  <c r="D534"/>
  <c r="E534"/>
  <c r="D533"/>
  <c r="E533"/>
  <c r="D532"/>
  <c r="E532"/>
  <c r="D531"/>
  <c r="E531"/>
  <c r="D530"/>
  <c r="E530"/>
  <c r="D529"/>
  <c r="E529"/>
  <c r="D528"/>
  <c r="E528"/>
  <c r="D527"/>
  <c r="E527"/>
  <c r="D526"/>
  <c r="E526"/>
  <c r="D525"/>
  <c r="E525"/>
  <c r="D524"/>
  <c r="E524"/>
  <c r="D523"/>
  <c r="E523"/>
  <c r="D522"/>
  <c r="E522"/>
  <c r="D521"/>
  <c r="E521"/>
  <c r="D520"/>
  <c r="E520"/>
  <c r="D519"/>
  <c r="E519"/>
  <c r="D518"/>
  <c r="E518"/>
  <c r="D517"/>
  <c r="E517"/>
  <c r="D516"/>
  <c r="E516"/>
  <c r="D515"/>
  <c r="E515"/>
  <c r="D514"/>
  <c r="E514"/>
  <c r="D513"/>
  <c r="E513"/>
  <c r="D512"/>
  <c r="E512"/>
  <c r="D511"/>
  <c r="E511"/>
  <c r="D510"/>
  <c r="E510"/>
  <c r="D509"/>
  <c r="E509"/>
  <c r="D508"/>
  <c r="E508"/>
  <c r="D507"/>
  <c r="E507"/>
  <c r="D506"/>
  <c r="E506"/>
  <c r="D505"/>
  <c r="E505"/>
  <c r="D504"/>
  <c r="E504"/>
  <c r="D503"/>
  <c r="E503"/>
  <c r="D502"/>
  <c r="E502"/>
  <c r="D501"/>
  <c r="E501"/>
  <c r="D500"/>
  <c r="E500"/>
  <c r="D499"/>
  <c r="E499"/>
  <c r="D498"/>
  <c r="E498"/>
  <c r="D497"/>
  <c r="E497"/>
  <c r="D496"/>
  <c r="E496"/>
  <c r="D495"/>
  <c r="E495"/>
  <c r="D494"/>
  <c r="E494"/>
  <c r="D493"/>
  <c r="E493"/>
  <c r="D492"/>
  <c r="E492"/>
  <c r="D491"/>
  <c r="E491"/>
  <c r="D490"/>
  <c r="E490"/>
  <c r="D489"/>
  <c r="E489"/>
  <c r="D488"/>
  <c r="E488"/>
  <c r="D487"/>
  <c r="E487"/>
  <c r="D486"/>
  <c r="E486"/>
  <c r="D485"/>
  <c r="E485"/>
  <c r="D484"/>
  <c r="E484"/>
  <c r="D483"/>
  <c r="E483"/>
  <c r="D482"/>
  <c r="E482"/>
  <c r="D481"/>
  <c r="E481"/>
  <c r="D480"/>
  <c r="E480"/>
  <c r="D479"/>
  <c r="E479"/>
  <c r="D478"/>
  <c r="E478"/>
  <c r="D477"/>
  <c r="E477"/>
  <c r="D476"/>
  <c r="E476"/>
  <c r="D475"/>
  <c r="E475"/>
  <c r="D474"/>
  <c r="E474"/>
  <c r="D473"/>
  <c r="E473"/>
  <c r="D472"/>
  <c r="E472"/>
  <c r="D471"/>
  <c r="E471"/>
  <c r="D470"/>
  <c r="E470"/>
  <c r="D469"/>
  <c r="E469"/>
  <c r="D468"/>
  <c r="E468"/>
  <c r="D467"/>
  <c r="E467"/>
  <c r="D466"/>
  <c r="E466"/>
  <c r="D465"/>
  <c r="E465"/>
  <c r="D464"/>
  <c r="E464"/>
  <c r="D463"/>
  <c r="E463"/>
  <c r="D462"/>
  <c r="E462"/>
  <c r="D461"/>
  <c r="E461"/>
  <c r="D460"/>
  <c r="E460"/>
  <c r="D459"/>
  <c r="E459"/>
  <c r="D458"/>
  <c r="E458"/>
  <c r="D457"/>
  <c r="E457"/>
  <c r="D456"/>
  <c r="E456"/>
  <c r="D455"/>
  <c r="E455"/>
  <c r="D454"/>
  <c r="E454"/>
  <c r="D453"/>
  <c r="E453"/>
  <c r="D452"/>
  <c r="E452"/>
  <c r="D451"/>
  <c r="E451"/>
  <c r="D450"/>
  <c r="E450"/>
  <c r="D449"/>
  <c r="E449"/>
  <c r="D448"/>
  <c r="E448"/>
  <c r="D447"/>
  <c r="E447"/>
  <c r="D446"/>
  <c r="E446"/>
  <c r="D445"/>
  <c r="E445"/>
  <c r="D444"/>
  <c r="E444"/>
  <c r="D443"/>
  <c r="E443"/>
  <c r="D442"/>
  <c r="E442"/>
  <c r="D441"/>
  <c r="E441"/>
  <c r="D440"/>
  <c r="E440"/>
  <c r="D439"/>
  <c r="E439"/>
  <c r="D438"/>
  <c r="E438"/>
  <c r="D437"/>
  <c r="E437"/>
  <c r="D436"/>
  <c r="E436"/>
  <c r="D435"/>
  <c r="E435"/>
  <c r="D434"/>
  <c r="E434"/>
  <c r="D433"/>
  <c r="E433"/>
  <c r="D432"/>
  <c r="E432"/>
  <c r="D431"/>
  <c r="E431"/>
  <c r="D430"/>
  <c r="E430"/>
  <c r="D429"/>
  <c r="E429"/>
  <c r="D428"/>
  <c r="E428"/>
  <c r="D427"/>
  <c r="E427"/>
  <c r="D426"/>
  <c r="E426"/>
  <c r="D425"/>
  <c r="E425"/>
  <c r="D424"/>
  <c r="E424"/>
  <c r="D423"/>
  <c r="E423"/>
  <c r="D422"/>
  <c r="E422"/>
  <c r="D421"/>
  <c r="E421"/>
  <c r="D420"/>
  <c r="E420"/>
  <c r="D419"/>
  <c r="E419"/>
  <c r="D418"/>
  <c r="E418"/>
  <c r="D417"/>
  <c r="E417"/>
  <c r="D416"/>
  <c r="E416"/>
  <c r="D415"/>
  <c r="E415"/>
  <c r="D414"/>
  <c r="E414"/>
  <c r="D413"/>
  <c r="E413"/>
  <c r="D412"/>
  <c r="E412"/>
  <c r="D411"/>
  <c r="E411"/>
  <c r="D410"/>
  <c r="E410"/>
  <c r="D409"/>
  <c r="E409"/>
  <c r="D408"/>
  <c r="E408"/>
  <c r="D407"/>
  <c r="E407"/>
  <c r="D406"/>
  <c r="E406"/>
  <c r="D405"/>
  <c r="E405"/>
  <c r="D404"/>
  <c r="E404"/>
  <c r="D403"/>
  <c r="E403"/>
  <c r="D402"/>
  <c r="E402"/>
  <c r="D401"/>
  <c r="E401"/>
  <c r="D400"/>
  <c r="E400"/>
  <c r="D399"/>
  <c r="E399"/>
  <c r="D398"/>
  <c r="E398"/>
  <c r="D397"/>
  <c r="E397"/>
  <c r="D396"/>
  <c r="E396"/>
  <c r="D395"/>
  <c r="E395"/>
  <c r="D394"/>
  <c r="E394"/>
  <c r="D393"/>
  <c r="E393"/>
  <c r="D392"/>
  <c r="E392"/>
  <c r="D391"/>
  <c r="E391"/>
  <c r="D390"/>
  <c r="E390"/>
  <c r="D389"/>
  <c r="E389"/>
  <c r="D388"/>
  <c r="E388"/>
  <c r="D387"/>
  <c r="E387"/>
  <c r="D386"/>
  <c r="E386"/>
  <c r="D385"/>
  <c r="E385"/>
  <c r="D384"/>
  <c r="E384"/>
  <c r="D383"/>
  <c r="E383"/>
  <c r="D382"/>
  <c r="E382"/>
  <c r="D381"/>
  <c r="E381"/>
  <c r="D380"/>
  <c r="E380"/>
  <c r="D379"/>
  <c r="E379"/>
  <c r="D378"/>
  <c r="E378"/>
  <c r="D377"/>
  <c r="E377"/>
  <c r="D376"/>
  <c r="E376"/>
  <c r="D375"/>
  <c r="E375"/>
  <c r="D374"/>
  <c r="E374"/>
  <c r="D373"/>
  <c r="E373"/>
  <c r="D372"/>
  <c r="E372"/>
  <c r="D371"/>
  <c r="E371"/>
  <c r="D370"/>
  <c r="E370"/>
  <c r="D369"/>
  <c r="E369"/>
  <c r="D368"/>
  <c r="E368"/>
  <c r="D367"/>
  <c r="E367"/>
  <c r="D366"/>
  <c r="E366"/>
  <c r="D365"/>
  <c r="E365"/>
  <c r="D364"/>
  <c r="E364"/>
  <c r="D363"/>
  <c r="E363"/>
  <c r="D362"/>
  <c r="E362"/>
  <c r="D361"/>
  <c r="E361"/>
  <c r="D360"/>
  <c r="E360"/>
  <c r="D359"/>
  <c r="E359"/>
  <c r="D358"/>
  <c r="E358"/>
  <c r="D357"/>
  <c r="E357"/>
  <c r="D356"/>
  <c r="E356"/>
  <c r="D355"/>
  <c r="E355"/>
  <c r="D354"/>
  <c r="E354"/>
  <c r="D353"/>
  <c r="E353"/>
  <c r="D352"/>
  <c r="E352"/>
  <c r="D351"/>
  <c r="E351"/>
  <c r="D350"/>
  <c r="E350"/>
  <c r="D349"/>
  <c r="E349"/>
  <c r="D348"/>
  <c r="E348"/>
  <c r="D347"/>
  <c r="E347"/>
  <c r="D346"/>
  <c r="E346"/>
  <c r="D345"/>
  <c r="E345"/>
  <c r="D344"/>
  <c r="E344"/>
  <c r="D343"/>
  <c r="E343"/>
  <c r="D342"/>
  <c r="E342"/>
  <c r="D341"/>
  <c r="E341"/>
  <c r="D340"/>
  <c r="E340"/>
  <c r="D339"/>
  <c r="E339"/>
  <c r="D338"/>
  <c r="E338"/>
  <c r="D337"/>
  <c r="E337"/>
  <c r="D336"/>
  <c r="E336"/>
  <c r="D335"/>
  <c r="E335"/>
  <c r="D334"/>
  <c r="E334"/>
  <c r="D333"/>
  <c r="E333"/>
  <c r="D332"/>
  <c r="E332"/>
  <c r="D331"/>
  <c r="E331"/>
  <c r="D330"/>
  <c r="E330"/>
  <c r="D329"/>
  <c r="E329"/>
  <c r="D328"/>
  <c r="E328"/>
  <c r="D327"/>
  <c r="E327"/>
  <c r="D326"/>
  <c r="E326"/>
  <c r="D325"/>
  <c r="E325"/>
  <c r="D324"/>
  <c r="E324"/>
  <c r="D323"/>
  <c r="E323"/>
  <c r="D322"/>
  <c r="E322"/>
  <c r="D321"/>
  <c r="E321"/>
  <c r="D320"/>
  <c r="E320"/>
  <c r="D319"/>
  <c r="E319"/>
  <c r="D318"/>
  <c r="E318"/>
  <c r="D317"/>
  <c r="E317"/>
  <c r="D316"/>
  <c r="E316"/>
  <c r="D315"/>
  <c r="E315"/>
  <c r="D314"/>
  <c r="E314"/>
  <c r="D313"/>
  <c r="E313"/>
  <c r="D312"/>
  <c r="E312"/>
  <c r="D311"/>
  <c r="E311"/>
  <c r="D310"/>
  <c r="E310"/>
  <c r="D309"/>
  <c r="E309"/>
  <c r="D308"/>
  <c r="E308"/>
  <c r="D307"/>
  <c r="E307"/>
  <c r="D306"/>
  <c r="E306"/>
  <c r="D305"/>
  <c r="E305"/>
  <c r="D304"/>
  <c r="E304"/>
  <c r="D303"/>
  <c r="E303"/>
  <c r="D302"/>
  <c r="E302"/>
  <c r="D301"/>
  <c r="E301"/>
  <c r="D300"/>
  <c r="E300"/>
  <c r="D299"/>
  <c r="E299"/>
  <c r="D298"/>
  <c r="E298"/>
  <c r="D297"/>
  <c r="E297"/>
  <c r="D296"/>
  <c r="E296"/>
  <c r="D295"/>
  <c r="E295"/>
  <c r="D294"/>
  <c r="E294"/>
  <c r="D293"/>
  <c r="E293"/>
  <c r="D292"/>
  <c r="E292"/>
  <c r="D291"/>
  <c r="E291"/>
  <c r="D290"/>
  <c r="E290"/>
  <c r="D289"/>
  <c r="E289"/>
  <c r="D288"/>
  <c r="E288"/>
  <c r="D287"/>
  <c r="E287"/>
  <c r="D286"/>
  <c r="E286"/>
  <c r="D285"/>
  <c r="E285"/>
  <c r="D284"/>
  <c r="E284"/>
  <c r="D283"/>
  <c r="E283"/>
  <c r="D282"/>
  <c r="E282"/>
  <c r="D281"/>
  <c r="E281"/>
  <c r="D280"/>
  <c r="E280"/>
  <c r="D279"/>
  <c r="E279"/>
  <c r="D278"/>
  <c r="E278"/>
  <c r="D277"/>
  <c r="E277"/>
  <c r="D276"/>
  <c r="E276"/>
  <c r="D275"/>
  <c r="E275"/>
  <c r="D274"/>
  <c r="E274"/>
  <c r="D273"/>
  <c r="E273"/>
  <c r="D272"/>
  <c r="E272"/>
  <c r="D271"/>
  <c r="E271"/>
  <c r="D270"/>
  <c r="E270"/>
  <c r="D269"/>
  <c r="E269"/>
  <c r="D268"/>
  <c r="E268"/>
  <c r="D267"/>
  <c r="E267"/>
  <c r="D266"/>
  <c r="E266"/>
  <c r="D265"/>
  <c r="E265"/>
  <c r="D264"/>
  <c r="E264"/>
  <c r="D263"/>
  <c r="E263"/>
  <c r="D262"/>
  <c r="E262"/>
  <c r="D261"/>
  <c r="E261"/>
  <c r="D260"/>
  <c r="E260"/>
  <c r="D259"/>
  <c r="E259"/>
  <c r="D258"/>
  <c r="E258"/>
  <c r="D257"/>
  <c r="E257"/>
  <c r="D256"/>
  <c r="E256"/>
  <c r="D255"/>
  <c r="E255"/>
  <c r="D254"/>
  <c r="E254"/>
  <c r="D253"/>
  <c r="E253"/>
  <c r="D252"/>
  <c r="E252"/>
  <c r="D251"/>
  <c r="E251"/>
  <c r="D250"/>
  <c r="E250"/>
  <c r="D249"/>
  <c r="E249"/>
  <c r="D248"/>
  <c r="E248"/>
  <c r="D247"/>
  <c r="E247"/>
  <c r="D246"/>
  <c r="E246"/>
  <c r="D245"/>
  <c r="E245"/>
  <c r="D244"/>
  <c r="E244"/>
  <c r="D243"/>
  <c r="E243"/>
  <c r="D242"/>
  <c r="E242"/>
  <c r="D241"/>
  <c r="E241"/>
  <c r="D240"/>
  <c r="E240"/>
  <c r="D239"/>
  <c r="E239"/>
  <c r="D238"/>
  <c r="E238"/>
  <c r="D237"/>
  <c r="E237"/>
  <c r="D236"/>
  <c r="E236"/>
  <c r="D235"/>
  <c r="E235"/>
  <c r="D234"/>
  <c r="E234"/>
  <c r="D233"/>
  <c r="E233"/>
  <c r="D232"/>
  <c r="E232"/>
  <c r="D231"/>
  <c r="E231"/>
  <c r="D230"/>
  <c r="E230"/>
  <c r="D229"/>
  <c r="E229"/>
  <c r="D228"/>
  <c r="E228"/>
  <c r="D227"/>
  <c r="E227"/>
  <c r="D226"/>
  <c r="E226"/>
  <c r="D225"/>
  <c r="E225"/>
  <c r="D224"/>
  <c r="E224"/>
  <c r="D223"/>
  <c r="E223"/>
  <c r="D222"/>
  <c r="E222"/>
  <c r="D221"/>
  <c r="E221"/>
  <c r="D220"/>
  <c r="E220"/>
  <c r="D219"/>
  <c r="E219"/>
  <c r="D218"/>
  <c r="E218"/>
  <c r="D217"/>
  <c r="E217"/>
  <c r="D216"/>
  <c r="E216"/>
  <c r="D215"/>
  <c r="E215"/>
  <c r="D214"/>
  <c r="E214"/>
  <c r="D213"/>
  <c r="E213"/>
  <c r="D212"/>
  <c r="E212"/>
  <c r="D211"/>
  <c r="E211"/>
  <c r="D210"/>
  <c r="E210"/>
  <c r="D209"/>
  <c r="E209"/>
  <c r="D208"/>
  <c r="E208"/>
  <c r="D207"/>
  <c r="E207"/>
  <c r="D206"/>
  <c r="E206"/>
  <c r="D205"/>
  <c r="E205"/>
  <c r="D204"/>
  <c r="E204"/>
  <c r="D203"/>
  <c r="E203"/>
  <c r="D202"/>
  <c r="E202"/>
  <c r="D201"/>
  <c r="E201"/>
  <c r="D200"/>
  <c r="E200"/>
  <c r="D199"/>
  <c r="E199"/>
  <c r="D198"/>
  <c r="E198"/>
  <c r="D197"/>
  <c r="E197"/>
  <c r="D196"/>
  <c r="E196"/>
  <c r="D195"/>
  <c r="E195"/>
  <c r="D194"/>
  <c r="E194"/>
  <c r="D193"/>
  <c r="E193"/>
  <c r="D192"/>
  <c r="E192"/>
  <c r="D191"/>
  <c r="E191"/>
  <c r="D190"/>
  <c r="E190"/>
  <c r="D189"/>
  <c r="E189"/>
  <c r="D188"/>
  <c r="E188"/>
  <c r="D187"/>
  <c r="E187"/>
  <c r="D186"/>
  <c r="E186"/>
  <c r="D185"/>
  <c r="E185"/>
  <c r="D184"/>
  <c r="E184"/>
  <c r="D183"/>
  <c r="E183"/>
  <c r="D182"/>
  <c r="E182"/>
  <c r="D181"/>
  <c r="E181"/>
  <c r="D180"/>
  <c r="E180"/>
  <c r="D179"/>
  <c r="E179"/>
  <c r="D178"/>
  <c r="E178"/>
  <c r="D177"/>
  <c r="E177"/>
  <c r="D176"/>
  <c r="E176"/>
  <c r="D175"/>
  <c r="E175"/>
  <c r="D174"/>
  <c r="E174"/>
  <c r="D173"/>
  <c r="E173"/>
  <c r="D172"/>
  <c r="E172"/>
  <c r="D171"/>
  <c r="E171"/>
  <c r="D170"/>
  <c r="E170"/>
  <c r="D169"/>
  <c r="E169"/>
  <c r="D168"/>
  <c r="E168"/>
  <c r="D167"/>
  <c r="E167"/>
  <c r="D166"/>
  <c r="E166"/>
  <c r="D165"/>
  <c r="E165"/>
  <c r="D164"/>
  <c r="E164"/>
  <c r="D163"/>
  <c r="E163"/>
  <c r="D162"/>
  <c r="E162"/>
  <c r="D161"/>
  <c r="E161"/>
  <c r="D160"/>
  <c r="E160"/>
  <c r="D159"/>
  <c r="E159"/>
  <c r="D158"/>
  <c r="E158"/>
  <c r="D157"/>
  <c r="E157"/>
  <c r="D156"/>
  <c r="E156"/>
  <c r="D155"/>
  <c r="E155"/>
  <c r="D154"/>
  <c r="E154"/>
  <c r="D153"/>
  <c r="E153"/>
  <c r="D152"/>
  <c r="E152"/>
  <c r="D151"/>
  <c r="E151"/>
  <c r="D150"/>
  <c r="E150"/>
  <c r="D149"/>
  <c r="E149"/>
  <c r="D148"/>
  <c r="E148"/>
  <c r="D147"/>
  <c r="E147"/>
  <c r="D146"/>
  <c r="E146"/>
  <c r="D145"/>
  <c r="E145"/>
  <c r="D144"/>
  <c r="E144"/>
  <c r="D143"/>
  <c r="E143"/>
  <c r="D142"/>
  <c r="E142"/>
  <c r="D141"/>
  <c r="E141"/>
  <c r="D140"/>
  <c r="E140"/>
  <c r="D139"/>
  <c r="E139"/>
  <c r="D138"/>
  <c r="E138"/>
  <c r="D137"/>
  <c r="E137"/>
  <c r="D136"/>
  <c r="E136"/>
  <c r="D135"/>
  <c r="E135"/>
  <c r="D134"/>
  <c r="E134"/>
  <c r="D133"/>
  <c r="E133"/>
  <c r="D132"/>
  <c r="E132"/>
  <c r="D131"/>
  <c r="E131"/>
  <c r="D130"/>
  <c r="E130"/>
  <c r="D129"/>
  <c r="E129"/>
  <c r="D128"/>
  <c r="E128"/>
  <c r="D127"/>
  <c r="E127"/>
  <c r="D126"/>
  <c r="E126"/>
  <c r="D125"/>
  <c r="E125"/>
  <c r="D124"/>
  <c r="E124"/>
  <c r="D123"/>
  <c r="E123"/>
  <c r="D122"/>
  <c r="E122"/>
  <c r="D121"/>
  <c r="E121"/>
  <c r="D120"/>
  <c r="E120"/>
  <c r="D119"/>
  <c r="E119"/>
  <c r="D118"/>
  <c r="E118"/>
  <c r="D117"/>
  <c r="E117"/>
  <c r="D116"/>
  <c r="E116"/>
  <c r="D115"/>
  <c r="E115"/>
  <c r="D114"/>
  <c r="E114"/>
  <c r="D113"/>
  <c r="E113"/>
  <c r="D112"/>
  <c r="E112"/>
  <c r="D111"/>
  <c r="E111"/>
  <c r="D110"/>
  <c r="E110"/>
  <c r="D109"/>
  <c r="E109"/>
  <c r="D108"/>
  <c r="E108"/>
  <c r="D107"/>
  <c r="E107"/>
  <c r="D106"/>
  <c r="E106"/>
  <c r="D105"/>
  <c r="E105"/>
  <c r="D104"/>
  <c r="E104"/>
  <c r="D103"/>
  <c r="E103"/>
  <c r="D102"/>
  <c r="E102"/>
  <c r="D101"/>
  <c r="E101"/>
  <c r="D100"/>
  <c r="E100"/>
  <c r="D99"/>
  <c r="E99"/>
  <c r="D98"/>
  <c r="E98"/>
  <c r="D97"/>
  <c r="E97"/>
  <c r="D96"/>
  <c r="E96"/>
  <c r="D95"/>
  <c r="E95"/>
  <c r="D94"/>
  <c r="E94"/>
  <c r="D93"/>
  <c r="E93"/>
  <c r="D92"/>
  <c r="E92"/>
  <c r="D91"/>
  <c r="E91"/>
  <c r="D90"/>
  <c r="E90"/>
  <c r="D89"/>
  <c r="E89"/>
  <c r="D88"/>
  <c r="E88"/>
  <c r="D87"/>
  <c r="E87"/>
  <c r="D86"/>
  <c r="E86"/>
  <c r="D85"/>
  <c r="E85"/>
  <c r="D84"/>
  <c r="E84"/>
  <c r="D83"/>
  <c r="E83"/>
  <c r="D82"/>
  <c r="E82"/>
  <c r="D81"/>
  <c r="E81"/>
  <c r="D80"/>
  <c r="E80"/>
  <c r="D79"/>
  <c r="E79"/>
  <c r="D78"/>
  <c r="E78"/>
  <c r="D77"/>
  <c r="E77"/>
  <c r="D76"/>
  <c r="E76"/>
  <c r="D75"/>
  <c r="E75"/>
  <c r="D74"/>
  <c r="E74"/>
  <c r="D73"/>
  <c r="E73"/>
  <c r="D72"/>
  <c r="E72"/>
  <c r="D71"/>
  <c r="E71"/>
  <c r="D70"/>
  <c r="E70"/>
  <c r="D69"/>
  <c r="E69"/>
  <c r="D68"/>
  <c r="E68"/>
  <c r="D67"/>
  <c r="E67"/>
  <c r="D66"/>
  <c r="E66"/>
  <c r="D65"/>
  <c r="E65"/>
  <c r="D64"/>
  <c r="E64"/>
  <c r="D63"/>
  <c r="E63"/>
  <c r="D62"/>
  <c r="E62"/>
  <c r="D61"/>
  <c r="E61"/>
  <c r="D60"/>
  <c r="E60"/>
  <c r="D59"/>
  <c r="E59"/>
  <c r="D58"/>
  <c r="E58"/>
  <c r="D57"/>
  <c r="E57"/>
  <c r="D56"/>
  <c r="E56"/>
  <c r="D55"/>
  <c r="E55"/>
  <c r="D54"/>
  <c r="E54"/>
  <c r="D53"/>
  <c r="E53"/>
  <c r="D52"/>
  <c r="E52"/>
  <c r="D51"/>
  <c r="E51"/>
  <c r="D50"/>
  <c r="E50"/>
  <c r="D49"/>
  <c r="E49"/>
  <c r="D48"/>
  <c r="E48"/>
  <c r="D47"/>
  <c r="E47"/>
  <c r="D46"/>
  <c r="E46"/>
  <c r="D45"/>
  <c r="E45"/>
  <c r="D44"/>
  <c r="E44"/>
  <c r="D43"/>
  <c r="E43"/>
  <c r="D42"/>
  <c r="E42"/>
  <c r="D41"/>
  <c r="E41"/>
  <c r="D40"/>
  <c r="E40"/>
  <c r="D39"/>
  <c r="E39"/>
  <c r="D38"/>
  <c r="E38"/>
  <c r="D37"/>
  <c r="E37"/>
  <c r="D36"/>
  <c r="E36"/>
  <c r="D35"/>
  <c r="E35"/>
  <c r="D34"/>
  <c r="E34"/>
  <c r="D33"/>
  <c r="E33"/>
  <c r="D32"/>
  <c r="E32"/>
  <c r="D31"/>
  <c r="E31"/>
  <c r="D30"/>
  <c r="E30"/>
  <c r="D29"/>
  <c r="E29"/>
  <c r="D28"/>
  <c r="E28"/>
  <c r="D27"/>
  <c r="E27"/>
  <c r="D26"/>
  <c r="E26"/>
  <c r="D25"/>
  <c r="E25"/>
  <c r="D24"/>
  <c r="E24"/>
  <c r="D23"/>
  <c r="E23"/>
  <c r="D22"/>
  <c r="E22"/>
  <c r="D21"/>
  <c r="E21"/>
  <c r="D20"/>
  <c r="E20"/>
  <c r="D19"/>
  <c r="E19"/>
  <c r="D18"/>
  <c r="E18"/>
  <c r="D17"/>
  <c r="E17"/>
  <c r="D16"/>
  <c r="E16"/>
  <c r="D15"/>
  <c r="E15"/>
  <c r="D14"/>
  <c r="E14"/>
  <c r="D13"/>
  <c r="E13"/>
  <c r="D12"/>
  <c r="E12"/>
  <c r="D11"/>
  <c r="E11"/>
  <c r="D10"/>
  <c r="E10"/>
  <c r="D9"/>
  <c r="E9"/>
  <c r="E8"/>
  <c r="E7"/>
  <c r="E6"/>
  <c r="D5"/>
  <c r="E5"/>
  <c r="D4"/>
  <c r="E4"/>
  <c r="D3"/>
  <c r="E3"/>
  <c r="Q100" i="9"/>
  <c r="P100"/>
  <c r="Q99"/>
  <c r="P99"/>
  <c r="Q98"/>
  <c r="P98"/>
  <c r="Q97"/>
  <c r="P97"/>
  <c r="Q96"/>
  <c r="P96"/>
  <c r="Q95"/>
  <c r="P95"/>
  <c r="Q94"/>
  <c r="P94"/>
  <c r="Q93"/>
  <c r="P93"/>
  <c r="Q92"/>
  <c r="P92"/>
  <c r="Q91"/>
  <c r="P91"/>
  <c r="Q90"/>
  <c r="P90"/>
  <c r="Q89"/>
  <c r="P89"/>
  <c r="Q88"/>
  <c r="P88"/>
  <c r="Q87"/>
  <c r="P87"/>
  <c r="Q86"/>
  <c r="P86"/>
  <c r="Q85"/>
  <c r="P85"/>
  <c r="Q84"/>
  <c r="P84"/>
  <c r="Q83"/>
  <c r="P83"/>
  <c r="Q82"/>
  <c r="P82"/>
  <c r="Q81"/>
  <c r="P81"/>
  <c r="Q80"/>
  <c r="P80"/>
  <c r="Q79"/>
  <c r="P79"/>
  <c r="Q78"/>
  <c r="P78"/>
  <c r="Q77"/>
  <c r="P77"/>
  <c r="Q76"/>
  <c r="P76"/>
  <c r="Q75"/>
  <c r="P75"/>
  <c r="Q74"/>
  <c r="P74"/>
  <c r="Q73"/>
  <c r="P73"/>
  <c r="Q72"/>
  <c r="P72"/>
  <c r="Q71"/>
  <c r="P71"/>
  <c r="Q70"/>
  <c r="P70"/>
  <c r="Q69"/>
  <c r="P69"/>
  <c r="Q68"/>
  <c r="P68"/>
  <c r="Q67"/>
  <c r="P67"/>
  <c r="Q66"/>
  <c r="P66"/>
  <c r="Q65"/>
  <c r="P65"/>
  <c r="Q64"/>
  <c r="P64"/>
  <c r="Q63"/>
  <c r="P63"/>
  <c r="Q62"/>
  <c r="P62"/>
  <c r="Q61"/>
  <c r="P61"/>
  <c r="Q60"/>
  <c r="P60"/>
  <c r="Q59"/>
  <c r="P59"/>
  <c r="Q58"/>
  <c r="P58"/>
  <c r="Q57"/>
  <c r="P57"/>
  <c r="Q56"/>
  <c r="P56"/>
  <c r="Q55"/>
  <c r="P55"/>
  <c r="Q54"/>
  <c r="P54"/>
  <c r="Q53"/>
  <c r="P53"/>
  <c r="Q52"/>
  <c r="P52"/>
  <c r="Q51"/>
  <c r="P51"/>
  <c r="Q50"/>
  <c r="P50"/>
  <c r="Q49"/>
  <c r="P49"/>
  <c r="Q48"/>
  <c r="P48"/>
  <c r="Q47"/>
  <c r="P47"/>
  <c r="Q46"/>
  <c r="P46"/>
  <c r="Q45"/>
  <c r="P45"/>
  <c r="Q44"/>
  <c r="P44"/>
  <c r="Q43"/>
  <c r="P43"/>
  <c r="Q42"/>
  <c r="P42"/>
  <c r="Q41"/>
  <c r="P41"/>
  <c r="Q40"/>
  <c r="P40"/>
  <c r="Q39"/>
  <c r="P39"/>
  <c r="Q38"/>
  <c r="P38"/>
  <c r="Q37"/>
  <c r="P37"/>
  <c r="Q36"/>
  <c r="P36"/>
  <c r="Q35"/>
  <c r="P35"/>
  <c r="Q34"/>
  <c r="P34"/>
  <c r="Q33"/>
  <c r="P33"/>
  <c r="Q32"/>
  <c r="P32"/>
  <c r="Q31"/>
  <c r="P31"/>
  <c r="Q30"/>
  <c r="P30"/>
  <c r="Q29"/>
  <c r="P29"/>
  <c r="Q28"/>
  <c r="P28"/>
  <c r="Q27"/>
  <c r="P27"/>
  <c r="Q26"/>
  <c r="P26"/>
  <c r="Q25"/>
  <c r="P25"/>
  <c r="Q24"/>
  <c r="P24"/>
  <c r="Q23"/>
  <c r="P23"/>
  <c r="Q22"/>
  <c r="P22"/>
  <c r="Q21"/>
  <c r="P21"/>
  <c r="Q20"/>
  <c r="P20"/>
  <c r="Q19"/>
  <c r="P19"/>
  <c r="Q18"/>
  <c r="P18"/>
  <c r="Q17"/>
  <c r="P17"/>
  <c r="Q16"/>
  <c r="P16"/>
  <c r="Q15"/>
  <c r="P15"/>
  <c r="Q14"/>
  <c r="P14"/>
  <c r="Q13"/>
  <c r="P13"/>
  <c r="Q12"/>
  <c r="P12"/>
  <c r="Q11"/>
  <c r="P11"/>
  <c r="Q10"/>
  <c r="P10"/>
  <c r="Q9"/>
  <c r="P9"/>
  <c r="Q8"/>
  <c r="P8"/>
  <c r="Q7"/>
  <c r="P7"/>
  <c r="Q6"/>
  <c r="P6"/>
  <c r="Q5"/>
  <c r="P5"/>
  <c r="Q4"/>
  <c r="P4"/>
  <c r="Q3"/>
  <c r="P3"/>
  <c r="A2"/>
  <c r="Q2"/>
  <c r="P2"/>
  <c r="Q500" i="8"/>
  <c r="P500"/>
  <c r="Q499"/>
  <c r="P499"/>
  <c r="Q498"/>
  <c r="P498"/>
  <c r="Q497"/>
  <c r="P497"/>
  <c r="Q496"/>
  <c r="P496"/>
  <c r="Q495"/>
  <c r="P495"/>
  <c r="Q494"/>
  <c r="P494"/>
  <c r="Q493"/>
  <c r="P493"/>
  <c r="Q492"/>
  <c r="P492"/>
  <c r="Q491"/>
  <c r="P491"/>
  <c r="Q490"/>
  <c r="P490"/>
  <c r="Q489"/>
  <c r="P489"/>
  <c r="Q488"/>
  <c r="P488"/>
  <c r="Q487"/>
  <c r="P487"/>
  <c r="Q486"/>
  <c r="P486"/>
  <c r="Q485"/>
  <c r="P485"/>
  <c r="Q484"/>
  <c r="P484"/>
  <c r="Q483"/>
  <c r="P483"/>
  <c r="Q482"/>
  <c r="P482"/>
  <c r="Q481"/>
  <c r="P481"/>
  <c r="Q480"/>
  <c r="P480"/>
  <c r="Q479"/>
  <c r="P479"/>
  <c r="Q478"/>
  <c r="P478"/>
  <c r="Q477"/>
  <c r="P477"/>
  <c r="Q476"/>
  <c r="P476"/>
  <c r="Q475"/>
  <c r="P475"/>
  <c r="Q474"/>
  <c r="P474"/>
  <c r="Q473"/>
  <c r="P473"/>
  <c r="Q472"/>
  <c r="P472"/>
  <c r="Q471"/>
  <c r="P471"/>
  <c r="Q470"/>
  <c r="P470"/>
  <c r="Q469"/>
  <c r="P469"/>
  <c r="Q468"/>
  <c r="P468"/>
  <c r="Q467"/>
  <c r="P467"/>
  <c r="Q466"/>
  <c r="P466"/>
  <c r="Q465"/>
  <c r="P465"/>
  <c r="Q464"/>
  <c r="P464"/>
  <c r="Q463"/>
  <c r="P463"/>
  <c r="Q462"/>
  <c r="P462"/>
  <c r="Q461"/>
  <c r="P461"/>
  <c r="Q460"/>
  <c r="P460"/>
  <c r="Q459"/>
  <c r="P459"/>
  <c r="Q458"/>
  <c r="P458"/>
  <c r="Q457"/>
  <c r="P457"/>
  <c r="Q456"/>
  <c r="P456"/>
  <c r="Q455"/>
  <c r="P455"/>
  <c r="Q454"/>
  <c r="P454"/>
  <c r="Q453"/>
  <c r="P453"/>
  <c r="Q452"/>
  <c r="P452"/>
  <c r="Q451"/>
  <c r="P451"/>
  <c r="Q450"/>
  <c r="P450"/>
  <c r="Q449"/>
  <c r="P449"/>
  <c r="Q448"/>
  <c r="P448"/>
  <c r="Q447"/>
  <c r="P447"/>
  <c r="Q446"/>
  <c r="P446"/>
  <c r="Q445"/>
  <c r="P445"/>
  <c r="Q444"/>
  <c r="P444"/>
  <c r="Q443"/>
  <c r="P443"/>
  <c r="Q442"/>
  <c r="P442"/>
  <c r="Q441"/>
  <c r="P441"/>
  <c r="Q440"/>
  <c r="P440"/>
  <c r="Q439"/>
  <c r="P439"/>
  <c r="Q438"/>
  <c r="P438"/>
  <c r="Q437"/>
  <c r="P437"/>
  <c r="Q436"/>
  <c r="P436"/>
  <c r="Q435"/>
  <c r="P435"/>
  <c r="Q434"/>
  <c r="P434"/>
  <c r="Q433"/>
  <c r="P433"/>
  <c r="Q432"/>
  <c r="P432"/>
  <c r="Q431"/>
  <c r="P431"/>
  <c r="Q430"/>
  <c r="P430"/>
  <c r="Q429"/>
  <c r="P429"/>
  <c r="Q428"/>
  <c r="P428"/>
  <c r="Q427"/>
  <c r="P427"/>
  <c r="Q426"/>
  <c r="P426"/>
  <c r="Q425"/>
  <c r="P425"/>
  <c r="Q424"/>
  <c r="P424"/>
  <c r="Q423"/>
  <c r="P423"/>
  <c r="Q422"/>
  <c r="P422"/>
  <c r="Q421"/>
  <c r="P421"/>
  <c r="Q420"/>
  <c r="P420"/>
  <c r="Q419"/>
  <c r="P419"/>
  <c r="Q418"/>
  <c r="P418"/>
  <c r="Q417"/>
  <c r="P417"/>
  <c r="Q416"/>
  <c r="P416"/>
  <c r="Q415"/>
  <c r="P415"/>
  <c r="Q414"/>
  <c r="P414"/>
  <c r="Q413"/>
  <c r="P413"/>
  <c r="Q412"/>
  <c r="P412"/>
  <c r="Q411"/>
  <c r="P411"/>
  <c r="Q410"/>
  <c r="P410"/>
  <c r="Q409"/>
  <c r="P409"/>
  <c r="Q408"/>
  <c r="P408"/>
  <c r="Q407"/>
  <c r="P407"/>
  <c r="Q406"/>
  <c r="P406"/>
  <c r="Q405"/>
  <c r="P405"/>
  <c r="Q404"/>
  <c r="P404"/>
  <c r="Q403"/>
  <c r="P403"/>
  <c r="Q402"/>
  <c r="P402"/>
  <c r="Q401"/>
  <c r="P401"/>
  <c r="Q400"/>
  <c r="P400"/>
  <c r="Q399"/>
  <c r="P399"/>
  <c r="Q398"/>
  <c r="P398"/>
  <c r="Q397"/>
  <c r="P397"/>
  <c r="Q396"/>
  <c r="P396"/>
  <c r="Q395"/>
  <c r="P395"/>
  <c r="Q394"/>
  <c r="P394"/>
  <c r="Q393"/>
  <c r="P393"/>
  <c r="Q392"/>
  <c r="P392"/>
  <c r="Q391"/>
  <c r="P391"/>
  <c r="Q390"/>
  <c r="P390"/>
  <c r="Q389"/>
  <c r="P389"/>
  <c r="Q388"/>
  <c r="P388"/>
  <c r="Q387"/>
  <c r="P387"/>
  <c r="Q386"/>
  <c r="P386"/>
  <c r="Q385"/>
  <c r="P385"/>
  <c r="Q384"/>
  <c r="P384"/>
  <c r="Q383"/>
  <c r="P383"/>
  <c r="Q382"/>
  <c r="P382"/>
  <c r="Q381"/>
  <c r="P381"/>
  <c r="Q380"/>
  <c r="P380"/>
  <c r="Q379"/>
  <c r="P379"/>
  <c r="Q378"/>
  <c r="P378"/>
  <c r="Q377"/>
  <c r="P377"/>
  <c r="Q376"/>
  <c r="P376"/>
  <c r="Q375"/>
  <c r="P375"/>
  <c r="Q374"/>
  <c r="P374"/>
  <c r="Q373"/>
  <c r="P373"/>
  <c r="Q372"/>
  <c r="P372"/>
  <c r="Q371"/>
  <c r="P371"/>
  <c r="Q370"/>
  <c r="P370"/>
  <c r="Q369"/>
  <c r="P369"/>
  <c r="Q368"/>
  <c r="P368"/>
  <c r="Q367"/>
  <c r="P367"/>
  <c r="Q366"/>
  <c r="P366"/>
  <c r="Q365"/>
  <c r="P365"/>
  <c r="Q364"/>
  <c r="P364"/>
  <c r="Q363"/>
  <c r="P363"/>
  <c r="Q362"/>
  <c r="P362"/>
  <c r="Q361"/>
  <c r="P361"/>
  <c r="Q360"/>
  <c r="P360"/>
  <c r="Q359"/>
  <c r="P359"/>
  <c r="Q358"/>
  <c r="P358"/>
  <c r="Q357"/>
  <c r="P357"/>
  <c r="Q356"/>
  <c r="P356"/>
  <c r="Q355"/>
  <c r="P355"/>
  <c r="Q354"/>
  <c r="P354"/>
  <c r="Q353"/>
  <c r="P353"/>
  <c r="Q352"/>
  <c r="P352"/>
  <c r="Q351"/>
  <c r="P351"/>
  <c r="Q350"/>
  <c r="P350"/>
  <c r="Q349"/>
  <c r="P349"/>
  <c r="Q348"/>
  <c r="P348"/>
  <c r="Q347"/>
  <c r="P347"/>
  <c r="Q346"/>
  <c r="P346"/>
  <c r="Q345"/>
  <c r="P345"/>
  <c r="Q344"/>
  <c r="P344"/>
  <c r="Q343"/>
  <c r="P343"/>
  <c r="Q342"/>
  <c r="P342"/>
  <c r="Q341"/>
  <c r="P341"/>
  <c r="Q340"/>
  <c r="P340"/>
  <c r="Q339"/>
  <c r="P339"/>
  <c r="Q338"/>
  <c r="P338"/>
  <c r="Q337"/>
  <c r="P337"/>
  <c r="Q336"/>
  <c r="P336"/>
  <c r="Q335"/>
  <c r="P335"/>
  <c r="Q334"/>
  <c r="P334"/>
  <c r="Q333"/>
  <c r="P333"/>
  <c r="Q332"/>
  <c r="P332"/>
  <c r="Q331"/>
  <c r="P331"/>
  <c r="Q330"/>
  <c r="P330"/>
  <c r="Q329"/>
  <c r="P329"/>
  <c r="Q328"/>
  <c r="P328"/>
  <c r="Q327"/>
  <c r="P327"/>
  <c r="Q326"/>
  <c r="P326"/>
  <c r="Q325"/>
  <c r="P325"/>
  <c r="Q324"/>
  <c r="P324"/>
  <c r="Q323"/>
  <c r="P323"/>
  <c r="Q322"/>
  <c r="P322"/>
  <c r="Q321"/>
  <c r="P321"/>
  <c r="Q320"/>
  <c r="P320"/>
  <c r="Q319"/>
  <c r="P319"/>
  <c r="Q318"/>
  <c r="P318"/>
  <c r="Q317"/>
  <c r="P317"/>
  <c r="Q316"/>
  <c r="P316"/>
  <c r="Q315"/>
  <c r="P315"/>
  <c r="Q314"/>
  <c r="P314"/>
  <c r="Q313"/>
  <c r="P313"/>
  <c r="Q312"/>
  <c r="P312"/>
  <c r="Q311"/>
  <c r="P311"/>
  <c r="Q310"/>
  <c r="P310"/>
  <c r="Q309"/>
  <c r="P309"/>
  <c r="Q308"/>
  <c r="P308"/>
  <c r="Q307"/>
  <c r="P307"/>
  <c r="Q306"/>
  <c r="P306"/>
  <c r="Q305"/>
  <c r="P305"/>
  <c r="Q304"/>
  <c r="P304"/>
  <c r="Q303"/>
  <c r="P303"/>
  <c r="Q302"/>
  <c r="P302"/>
  <c r="Q301"/>
  <c r="P301"/>
  <c r="Q300"/>
  <c r="P300"/>
  <c r="Q299"/>
  <c r="P299"/>
  <c r="Q298"/>
  <c r="P298"/>
  <c r="Q297"/>
  <c r="P297"/>
  <c r="Q296"/>
  <c r="P296"/>
  <c r="Q295"/>
  <c r="P295"/>
  <c r="Q294"/>
  <c r="P294"/>
  <c r="Q293"/>
  <c r="P293"/>
  <c r="Q292"/>
  <c r="P292"/>
  <c r="Q291"/>
  <c r="P291"/>
  <c r="Q290"/>
  <c r="P290"/>
  <c r="Q289"/>
  <c r="P289"/>
  <c r="Q288"/>
  <c r="P288"/>
  <c r="Q287"/>
  <c r="P287"/>
  <c r="Q286"/>
  <c r="P286"/>
  <c r="Q285"/>
  <c r="P285"/>
  <c r="Q284"/>
  <c r="P284"/>
  <c r="Q283"/>
  <c r="P283"/>
  <c r="Q282"/>
  <c r="P282"/>
  <c r="Q281"/>
  <c r="P281"/>
  <c r="Q280"/>
  <c r="P280"/>
  <c r="Q279"/>
  <c r="P279"/>
  <c r="Q278"/>
  <c r="P278"/>
  <c r="Q277"/>
  <c r="P277"/>
  <c r="Q276"/>
  <c r="P276"/>
  <c r="Q275"/>
  <c r="P275"/>
  <c r="Q274"/>
  <c r="P274"/>
  <c r="Q273"/>
  <c r="P273"/>
  <c r="Q272"/>
  <c r="P272"/>
  <c r="Q271"/>
  <c r="P271"/>
  <c r="Q270"/>
  <c r="P270"/>
  <c r="Q269"/>
  <c r="P269"/>
  <c r="Q268"/>
  <c r="P268"/>
  <c r="Q267"/>
  <c r="P267"/>
  <c r="Q266"/>
  <c r="P266"/>
  <c r="Q265"/>
  <c r="P265"/>
  <c r="Q264"/>
  <c r="P264"/>
  <c r="Q263"/>
  <c r="P263"/>
  <c r="Q262"/>
  <c r="P262"/>
  <c r="Q261"/>
  <c r="P261"/>
  <c r="Q260"/>
  <c r="P260"/>
  <c r="Q259"/>
  <c r="P259"/>
  <c r="Q258"/>
  <c r="P258"/>
  <c r="Q257"/>
  <c r="P257"/>
  <c r="Q256"/>
  <c r="P256"/>
  <c r="Q255"/>
  <c r="P255"/>
  <c r="Q254"/>
  <c r="P254"/>
  <c r="Q253"/>
  <c r="P253"/>
  <c r="Q252"/>
  <c r="P252"/>
  <c r="Q251"/>
  <c r="P251"/>
  <c r="Q250"/>
  <c r="P250"/>
  <c r="Q249"/>
  <c r="P249"/>
  <c r="Q248"/>
  <c r="P248"/>
  <c r="Q247"/>
  <c r="P247"/>
  <c r="Q246"/>
  <c r="P246"/>
  <c r="Q245"/>
  <c r="P245"/>
  <c r="Q244"/>
  <c r="P244"/>
  <c r="Q243"/>
  <c r="P243"/>
  <c r="Q242"/>
  <c r="P242"/>
  <c r="Q241"/>
  <c r="P241"/>
  <c r="Q240"/>
  <c r="P240"/>
  <c r="Q239"/>
  <c r="P239"/>
  <c r="Q238"/>
  <c r="P238"/>
  <c r="Q237"/>
  <c r="P237"/>
  <c r="Q236"/>
  <c r="P236"/>
  <c r="Q235"/>
  <c r="P235"/>
  <c r="Q234"/>
  <c r="P234"/>
  <c r="Q233"/>
  <c r="P233"/>
  <c r="Q232"/>
  <c r="P232"/>
  <c r="Q231"/>
  <c r="P231"/>
  <c r="Q230"/>
  <c r="P230"/>
  <c r="Q229"/>
  <c r="P229"/>
  <c r="Q228"/>
  <c r="P228"/>
  <c r="Q227"/>
  <c r="P227"/>
  <c r="Q226"/>
  <c r="P226"/>
  <c r="Q225"/>
  <c r="P225"/>
  <c r="Q224"/>
  <c r="P224"/>
  <c r="Q223"/>
  <c r="P223"/>
  <c r="Q222"/>
  <c r="P222"/>
  <c r="Q221"/>
  <c r="P221"/>
  <c r="Q220"/>
  <c r="P220"/>
  <c r="Q219"/>
  <c r="P219"/>
  <c r="Q218"/>
  <c r="P218"/>
  <c r="Q217"/>
  <c r="P217"/>
  <c r="Q216"/>
  <c r="P216"/>
  <c r="Q215"/>
  <c r="P215"/>
  <c r="Q214"/>
  <c r="P214"/>
  <c r="Q213"/>
  <c r="P213"/>
  <c r="Q212"/>
  <c r="P212"/>
  <c r="Q211"/>
  <c r="P211"/>
  <c r="Q210"/>
  <c r="P210"/>
  <c r="Q209"/>
  <c r="P209"/>
  <c r="Q208"/>
  <c r="P208"/>
  <c r="Q207"/>
  <c r="P207"/>
  <c r="Q206"/>
  <c r="P206"/>
  <c r="Q205"/>
  <c r="P205"/>
  <c r="Q204"/>
  <c r="P204"/>
  <c r="Q203"/>
  <c r="P203"/>
  <c r="Q202"/>
  <c r="P202"/>
  <c r="Q201"/>
  <c r="P201"/>
  <c r="Q200"/>
  <c r="P200"/>
  <c r="Q199"/>
  <c r="P199"/>
  <c r="Q198"/>
  <c r="P198"/>
  <c r="Q197"/>
  <c r="P197"/>
  <c r="Q196"/>
  <c r="P196"/>
  <c r="Q195"/>
  <c r="P195"/>
  <c r="Q194"/>
  <c r="P194"/>
  <c r="Q193"/>
  <c r="P193"/>
  <c r="Q192"/>
  <c r="P192"/>
  <c r="Q191"/>
  <c r="P191"/>
  <c r="Q190"/>
  <c r="P190"/>
  <c r="Q189"/>
  <c r="P189"/>
  <c r="Q188"/>
  <c r="P188"/>
  <c r="Q187"/>
  <c r="P187"/>
  <c r="Q186"/>
  <c r="P186"/>
  <c r="Q185"/>
  <c r="P185"/>
  <c r="Q184"/>
  <c r="P184"/>
  <c r="Q183"/>
  <c r="P183"/>
  <c r="Q182"/>
  <c r="P182"/>
  <c r="Q181"/>
  <c r="P181"/>
  <c r="Q180"/>
  <c r="P180"/>
  <c r="Q179"/>
  <c r="P179"/>
  <c r="Q178"/>
  <c r="P178"/>
  <c r="Q177"/>
  <c r="P177"/>
  <c r="Q176"/>
  <c r="P176"/>
  <c r="Q175"/>
  <c r="P175"/>
  <c r="Q174"/>
  <c r="P174"/>
  <c r="Q173"/>
  <c r="P173"/>
  <c r="Q172"/>
  <c r="P172"/>
  <c r="Q171"/>
  <c r="P171"/>
  <c r="Q170"/>
  <c r="P170"/>
  <c r="Q169"/>
  <c r="P169"/>
  <c r="Q168"/>
  <c r="P168"/>
  <c r="Q167"/>
  <c r="P167"/>
  <c r="Q166"/>
  <c r="P166"/>
  <c r="Q165"/>
  <c r="P165"/>
  <c r="Q164"/>
  <c r="P164"/>
  <c r="Q163"/>
  <c r="P163"/>
  <c r="Q162"/>
  <c r="P162"/>
  <c r="Q161"/>
  <c r="P161"/>
  <c r="Q160"/>
  <c r="P160"/>
  <c r="Q159"/>
  <c r="P159"/>
  <c r="Q158"/>
  <c r="P158"/>
  <c r="Q157"/>
  <c r="P157"/>
  <c r="Q156"/>
  <c r="P156"/>
  <c r="Q155"/>
  <c r="P155"/>
  <c r="Q154"/>
  <c r="P154"/>
  <c r="Q153"/>
  <c r="P153"/>
  <c r="Q152"/>
  <c r="P152"/>
  <c r="Q151"/>
  <c r="P151"/>
  <c r="Q150"/>
  <c r="P150"/>
  <c r="Q149"/>
  <c r="P149"/>
  <c r="Q148"/>
  <c r="P148"/>
  <c r="Q147"/>
  <c r="P147"/>
  <c r="Q146"/>
  <c r="P146"/>
  <c r="Q145"/>
  <c r="P145"/>
  <c r="Q144"/>
  <c r="P144"/>
  <c r="Q143"/>
  <c r="P143"/>
  <c r="Q142"/>
  <c r="P142"/>
  <c r="Q141"/>
  <c r="P141"/>
  <c r="Q140"/>
  <c r="P140"/>
  <c r="Q139"/>
  <c r="P139"/>
  <c r="Q138"/>
  <c r="P138"/>
  <c r="Q137"/>
  <c r="P137"/>
  <c r="Q136"/>
  <c r="P136"/>
  <c r="Q135"/>
  <c r="P135"/>
  <c r="Q134"/>
  <c r="P134"/>
  <c r="Q133"/>
  <c r="P133"/>
  <c r="Q132"/>
  <c r="P132"/>
  <c r="Q131"/>
  <c r="P131"/>
  <c r="Q130"/>
  <c r="P130"/>
  <c r="Q129"/>
  <c r="P129"/>
  <c r="Q128"/>
  <c r="P128"/>
  <c r="Q127"/>
  <c r="P127"/>
  <c r="Q126"/>
  <c r="P126"/>
  <c r="Q125"/>
  <c r="P125"/>
  <c r="Q124"/>
  <c r="P124"/>
  <c r="Q123"/>
  <c r="P123"/>
  <c r="Q122"/>
  <c r="P122"/>
  <c r="Q121"/>
  <c r="P121"/>
  <c r="Q120"/>
  <c r="P120"/>
  <c r="Q119"/>
  <c r="P119"/>
  <c r="Q118"/>
  <c r="P118"/>
  <c r="Q117"/>
  <c r="P117"/>
  <c r="Q116"/>
  <c r="P116"/>
  <c r="Q115"/>
  <c r="P115"/>
  <c r="Q114"/>
  <c r="P114"/>
  <c r="Q113"/>
  <c r="P113"/>
  <c r="Q112"/>
  <c r="P112"/>
  <c r="Q111"/>
  <c r="P111"/>
  <c r="Q110"/>
  <c r="P110"/>
  <c r="Q109"/>
  <c r="P109"/>
  <c r="Q108"/>
  <c r="P108"/>
  <c r="Q107"/>
  <c r="P107"/>
  <c r="Q106"/>
  <c r="P106"/>
  <c r="Q105"/>
  <c r="P105"/>
  <c r="Q104"/>
  <c r="P104"/>
  <c r="Q103"/>
  <c r="P103"/>
  <c r="Q102"/>
  <c r="P102"/>
  <c r="Q101"/>
  <c r="P101"/>
  <c r="Q100"/>
  <c r="P100"/>
  <c r="Q99"/>
  <c r="P99"/>
  <c r="Q98"/>
  <c r="P98"/>
  <c r="Q97"/>
  <c r="P97"/>
  <c r="Q96"/>
  <c r="P96"/>
  <c r="Q95"/>
  <c r="P95"/>
  <c r="Q94"/>
  <c r="P94"/>
  <c r="Q93"/>
  <c r="P93"/>
  <c r="Q92"/>
  <c r="P92"/>
  <c r="Q91"/>
  <c r="P91"/>
  <c r="Q90"/>
  <c r="P90"/>
  <c r="Q89"/>
  <c r="P89"/>
  <c r="Q88"/>
  <c r="P88"/>
  <c r="Q87"/>
  <c r="P87"/>
  <c r="Q86"/>
  <c r="P86"/>
  <c r="Q85"/>
  <c r="P85"/>
  <c r="Q84"/>
  <c r="P84"/>
  <c r="Q83"/>
  <c r="P83"/>
  <c r="Q82"/>
  <c r="P82"/>
  <c r="Q81"/>
  <c r="P81"/>
  <c r="Q80"/>
  <c r="P80"/>
  <c r="Q79"/>
  <c r="P79"/>
  <c r="Q78"/>
  <c r="P78"/>
  <c r="Q77"/>
  <c r="P77"/>
  <c r="Q76"/>
  <c r="P76"/>
  <c r="Q75"/>
  <c r="P75"/>
  <c r="Q74"/>
  <c r="P74"/>
  <c r="Q73"/>
  <c r="P73"/>
  <c r="Q72"/>
  <c r="P72"/>
  <c r="Q71"/>
  <c r="P71"/>
  <c r="Q70"/>
  <c r="P70"/>
  <c r="Q69"/>
  <c r="P69"/>
  <c r="Q68"/>
  <c r="P68"/>
  <c r="Q67"/>
  <c r="P67"/>
  <c r="Q66"/>
  <c r="P66"/>
  <c r="Q65"/>
  <c r="P65"/>
  <c r="Q64"/>
  <c r="P64"/>
  <c r="Q63"/>
  <c r="P63"/>
  <c r="Q62"/>
  <c r="P62"/>
  <c r="Q61"/>
  <c r="P61"/>
  <c r="Q60"/>
  <c r="P60"/>
  <c r="Q59"/>
  <c r="P59"/>
  <c r="Q58"/>
  <c r="P58"/>
  <c r="Q57"/>
  <c r="P57"/>
  <c r="Q56"/>
  <c r="P56"/>
  <c r="Q55"/>
  <c r="P55"/>
  <c r="Q54"/>
  <c r="P54"/>
  <c r="Q53"/>
  <c r="P53"/>
  <c r="Q52"/>
  <c r="P52"/>
  <c r="Q51"/>
  <c r="P51"/>
  <c r="Q50"/>
  <c r="P50"/>
  <c r="Q49"/>
  <c r="P49"/>
  <c r="Q48"/>
  <c r="P48"/>
  <c r="Q47"/>
  <c r="P47"/>
  <c r="Q46"/>
  <c r="P46"/>
  <c r="Q45"/>
  <c r="P45"/>
  <c r="Q44"/>
  <c r="P44"/>
  <c r="Q43"/>
  <c r="P43"/>
  <c r="Q42"/>
  <c r="P42"/>
  <c r="Q41"/>
  <c r="P41"/>
  <c r="Q40"/>
  <c r="P40"/>
  <c r="Q39"/>
  <c r="P39"/>
  <c r="Q38"/>
  <c r="P38"/>
  <c r="Q37"/>
  <c r="P37"/>
  <c r="Q36"/>
  <c r="P36"/>
  <c r="Q35"/>
  <c r="P35"/>
  <c r="Q34"/>
  <c r="P34"/>
  <c r="Q33"/>
  <c r="P33"/>
  <c r="Q32"/>
  <c r="P32"/>
  <c r="Q31"/>
  <c r="P31"/>
  <c r="Q30"/>
  <c r="P30"/>
  <c r="Q29"/>
  <c r="P29"/>
  <c r="Q28"/>
  <c r="P28"/>
  <c r="Q27"/>
  <c r="P27"/>
  <c r="Q26"/>
  <c r="P26"/>
  <c r="Q25"/>
  <c r="P25"/>
  <c r="Q24"/>
  <c r="P24"/>
  <c r="Q23"/>
  <c r="P23"/>
  <c r="Q22"/>
  <c r="P22"/>
  <c r="Q21"/>
  <c r="P21"/>
  <c r="Q20"/>
  <c r="P20"/>
  <c r="Q19"/>
  <c r="P19"/>
  <c r="Q18"/>
  <c r="P18"/>
  <c r="Q17"/>
  <c r="P17"/>
  <c r="Q16"/>
  <c r="P16"/>
  <c r="Q15"/>
  <c r="P15"/>
  <c r="Q14"/>
  <c r="P14"/>
  <c r="Q13"/>
  <c r="P13"/>
  <c r="Q12"/>
  <c r="P12"/>
  <c r="Q11"/>
  <c r="P11"/>
  <c r="Q10"/>
  <c r="P10"/>
  <c r="Q9"/>
  <c r="P9"/>
  <c r="Q8"/>
  <c r="P8"/>
  <c r="Q7"/>
  <c r="P7"/>
  <c r="Q6"/>
  <c r="P6"/>
  <c r="Q5"/>
  <c r="P5"/>
  <c r="Q4"/>
  <c r="P4"/>
  <c r="Q3"/>
  <c r="P3"/>
  <c r="A2"/>
  <c r="Q2"/>
  <c r="P2"/>
  <c r="S100" i="7"/>
  <c r="R100"/>
  <c r="S99"/>
  <c r="R99"/>
  <c r="S98"/>
  <c r="R98"/>
  <c r="S97"/>
  <c r="R97"/>
  <c r="S96"/>
  <c r="R96"/>
  <c r="S95"/>
  <c r="R95"/>
  <c r="S94"/>
  <c r="R94"/>
  <c r="S93"/>
  <c r="R93"/>
  <c r="S92"/>
  <c r="R92"/>
  <c r="S91"/>
  <c r="R91"/>
  <c r="S90"/>
  <c r="R90"/>
  <c r="S89"/>
  <c r="R89"/>
  <c r="S88"/>
  <c r="R88"/>
  <c r="S87"/>
  <c r="R87"/>
  <c r="S86"/>
  <c r="R86"/>
  <c r="S85"/>
  <c r="R85"/>
  <c r="S84"/>
  <c r="R84"/>
  <c r="S83"/>
  <c r="R83"/>
  <c r="S82"/>
  <c r="R82"/>
  <c r="S81"/>
  <c r="R81"/>
  <c r="S80"/>
  <c r="R80"/>
  <c r="S79"/>
  <c r="R79"/>
  <c r="S78"/>
  <c r="R78"/>
  <c r="S77"/>
  <c r="R77"/>
  <c r="S76"/>
  <c r="R76"/>
  <c r="S75"/>
  <c r="R75"/>
  <c r="S74"/>
  <c r="R74"/>
  <c r="S73"/>
  <c r="R73"/>
  <c r="S72"/>
  <c r="R72"/>
  <c r="S71"/>
  <c r="R71"/>
  <c r="S70"/>
  <c r="R70"/>
  <c r="S69"/>
  <c r="R69"/>
  <c r="S68"/>
  <c r="R68"/>
  <c r="S67"/>
  <c r="R67"/>
  <c r="S66"/>
  <c r="R66"/>
  <c r="S65"/>
  <c r="R65"/>
  <c r="S64"/>
  <c r="R64"/>
  <c r="S63"/>
  <c r="R63"/>
  <c r="S62"/>
  <c r="R62"/>
  <c r="S61"/>
  <c r="R61"/>
  <c r="S60"/>
  <c r="R60"/>
  <c r="S59"/>
  <c r="R59"/>
  <c r="S58"/>
  <c r="R58"/>
  <c r="S57"/>
  <c r="R57"/>
  <c r="S56"/>
  <c r="R56"/>
  <c r="S55"/>
  <c r="R55"/>
  <c r="S54"/>
  <c r="R54"/>
  <c r="S53"/>
  <c r="R53"/>
  <c r="S52"/>
  <c r="R52"/>
  <c r="S51"/>
  <c r="R51"/>
  <c r="S50"/>
  <c r="R50"/>
  <c r="S49"/>
  <c r="R49"/>
  <c r="S48"/>
  <c r="R48"/>
  <c r="S47"/>
  <c r="R47"/>
  <c r="S46"/>
  <c r="R46"/>
  <c r="S45"/>
  <c r="R45"/>
  <c r="S44"/>
  <c r="R44"/>
  <c r="S43"/>
  <c r="R43"/>
  <c r="S42"/>
  <c r="R42"/>
  <c r="S41"/>
  <c r="R41"/>
  <c r="S40"/>
  <c r="R40"/>
  <c r="S39"/>
  <c r="R39"/>
  <c r="S38"/>
  <c r="R38"/>
  <c r="S37"/>
  <c r="R37"/>
  <c r="S36"/>
  <c r="R36"/>
  <c r="S35"/>
  <c r="R35"/>
  <c r="S34"/>
  <c r="R34"/>
  <c r="S33"/>
  <c r="R33"/>
  <c r="S32"/>
  <c r="R32"/>
  <c r="S31"/>
  <c r="R31"/>
  <c r="S30"/>
  <c r="R30"/>
  <c r="S29"/>
  <c r="R29"/>
  <c r="S28"/>
  <c r="R28"/>
  <c r="S27"/>
  <c r="R27"/>
  <c r="S26"/>
  <c r="R26"/>
  <c r="S25"/>
  <c r="R25"/>
  <c r="S24"/>
  <c r="R24"/>
  <c r="S23"/>
  <c r="R23"/>
  <c r="S22"/>
  <c r="R22"/>
  <c r="S21"/>
  <c r="R21"/>
  <c r="S20"/>
  <c r="R20"/>
  <c r="S19"/>
  <c r="R19"/>
  <c r="S18"/>
  <c r="R18"/>
  <c r="S17"/>
  <c r="R17"/>
  <c r="S16"/>
  <c r="R16"/>
  <c r="S15"/>
  <c r="R15"/>
  <c r="S14"/>
  <c r="R14"/>
  <c r="S13"/>
  <c r="R13"/>
  <c r="S12"/>
  <c r="R12"/>
  <c r="S11"/>
  <c r="R11"/>
  <c r="S10"/>
  <c r="R10"/>
  <c r="S9"/>
  <c r="R9"/>
  <c r="S8"/>
  <c r="R8"/>
  <c r="S7"/>
  <c r="R7"/>
  <c r="S6"/>
  <c r="R6"/>
  <c r="S5"/>
  <c r="R5"/>
  <c r="S4"/>
  <c r="R4"/>
  <c r="S3"/>
  <c r="R3"/>
  <c r="A2"/>
  <c r="S2"/>
  <c r="R2"/>
  <c r="S100" i="6"/>
  <c r="R100"/>
  <c r="S99"/>
  <c r="R99"/>
  <c r="S98"/>
  <c r="R98"/>
  <c r="S97"/>
  <c r="R97"/>
  <c r="S96"/>
  <c r="R96"/>
  <c r="S95"/>
  <c r="R95"/>
  <c r="S94"/>
  <c r="R94"/>
  <c r="S93"/>
  <c r="R93"/>
  <c r="S92"/>
  <c r="R92"/>
  <c r="S91"/>
  <c r="R91"/>
  <c r="S90"/>
  <c r="R90"/>
  <c r="S89"/>
  <c r="R89"/>
  <c r="S88"/>
  <c r="R88"/>
  <c r="S87"/>
  <c r="R87"/>
  <c r="S86"/>
  <c r="R86"/>
  <c r="S85"/>
  <c r="R85"/>
  <c r="S84"/>
  <c r="R84"/>
  <c r="S83"/>
  <c r="R83"/>
  <c r="S82"/>
  <c r="R82"/>
  <c r="S81"/>
  <c r="R81"/>
  <c r="S80"/>
  <c r="R80"/>
  <c r="S79"/>
  <c r="R79"/>
  <c r="S78"/>
  <c r="R78"/>
  <c r="S77"/>
  <c r="R77"/>
  <c r="S76"/>
  <c r="R76"/>
  <c r="S75"/>
  <c r="R75"/>
  <c r="S74"/>
  <c r="R74"/>
  <c r="S73"/>
  <c r="R73"/>
  <c r="S72"/>
  <c r="R72"/>
  <c r="S71"/>
  <c r="R71"/>
  <c r="S70"/>
  <c r="R70"/>
  <c r="S69"/>
  <c r="R69"/>
  <c r="S68"/>
  <c r="R68"/>
  <c r="S67"/>
  <c r="R67"/>
  <c r="S66"/>
  <c r="R66"/>
  <c r="S65"/>
  <c r="R65"/>
  <c r="S64"/>
  <c r="R64"/>
  <c r="S63"/>
  <c r="R63"/>
  <c r="S62"/>
  <c r="R62"/>
  <c r="S61"/>
  <c r="R61"/>
  <c r="S60"/>
  <c r="R60"/>
  <c r="S59"/>
  <c r="R59"/>
  <c r="S58"/>
  <c r="R58"/>
  <c r="S57"/>
  <c r="R57"/>
  <c r="S56"/>
  <c r="R56"/>
  <c r="S55"/>
  <c r="R55"/>
  <c r="S54"/>
  <c r="R54"/>
  <c r="S53"/>
  <c r="R53"/>
  <c r="S52"/>
  <c r="R52"/>
  <c r="S51"/>
  <c r="R51"/>
  <c r="S50"/>
  <c r="R50"/>
  <c r="S49"/>
  <c r="R49"/>
  <c r="S48"/>
  <c r="R48"/>
  <c r="S47"/>
  <c r="R47"/>
  <c r="S46"/>
  <c r="R46"/>
  <c r="S45"/>
  <c r="R45"/>
  <c r="S44"/>
  <c r="R44"/>
  <c r="S43"/>
  <c r="R43"/>
  <c r="S42"/>
  <c r="R42"/>
  <c r="S41"/>
  <c r="R41"/>
  <c r="S40"/>
  <c r="R40"/>
  <c r="S39"/>
  <c r="R39"/>
  <c r="S38"/>
  <c r="R38"/>
  <c r="S37"/>
  <c r="R37"/>
  <c r="S36"/>
  <c r="R36"/>
  <c r="S35"/>
  <c r="R35"/>
  <c r="S34"/>
  <c r="R34"/>
  <c r="S33"/>
  <c r="R33"/>
  <c r="S32"/>
  <c r="R32"/>
  <c r="S31"/>
  <c r="R31"/>
  <c r="S30"/>
  <c r="R30"/>
  <c r="S29"/>
  <c r="R29"/>
  <c r="S28"/>
  <c r="R28"/>
  <c r="S27"/>
  <c r="R27"/>
  <c r="S26"/>
  <c r="R26"/>
  <c r="S25"/>
  <c r="R25"/>
  <c r="S24"/>
  <c r="R24"/>
  <c r="S23"/>
  <c r="R23"/>
  <c r="S22"/>
  <c r="R22"/>
  <c r="S21"/>
  <c r="R21"/>
  <c r="S20"/>
  <c r="R20"/>
  <c r="S19"/>
  <c r="R19"/>
  <c r="S18"/>
  <c r="R18"/>
  <c r="S17"/>
  <c r="R17"/>
  <c r="S16"/>
  <c r="R16"/>
  <c r="S15"/>
  <c r="R15"/>
  <c r="S14"/>
  <c r="R14"/>
  <c r="S13"/>
  <c r="R13"/>
  <c r="S12"/>
  <c r="R12"/>
  <c r="S11"/>
  <c r="R11"/>
  <c r="S10"/>
  <c r="R10"/>
  <c r="S9"/>
  <c r="R9"/>
  <c r="S8"/>
  <c r="R8"/>
  <c r="S7"/>
  <c r="R7"/>
  <c r="S6"/>
  <c r="R6"/>
  <c r="S5"/>
  <c r="R5"/>
  <c r="S4"/>
  <c r="R4"/>
  <c r="S3"/>
  <c r="R3"/>
  <c r="A2"/>
  <c r="S2"/>
  <c r="R2"/>
  <c r="S143" i="5"/>
  <c r="R143"/>
  <c r="S142"/>
  <c r="R142"/>
  <c r="S141"/>
  <c r="R141"/>
  <c r="S140"/>
  <c r="R140"/>
  <c r="S139"/>
  <c r="R139"/>
  <c r="S138"/>
  <c r="R138"/>
  <c r="S137"/>
  <c r="R137"/>
  <c r="S136"/>
  <c r="R136"/>
  <c r="S135"/>
  <c r="R135"/>
  <c r="S134"/>
  <c r="R134"/>
  <c r="S133"/>
  <c r="R133"/>
  <c r="S132"/>
  <c r="R132"/>
  <c r="S131"/>
  <c r="R131"/>
  <c r="S130"/>
  <c r="R130"/>
  <c r="S129"/>
  <c r="R129"/>
  <c r="S128"/>
  <c r="R128"/>
  <c r="S127"/>
  <c r="R127"/>
  <c r="S126"/>
  <c r="R126"/>
  <c r="S125"/>
  <c r="R125"/>
  <c r="S124"/>
  <c r="R124"/>
  <c r="S123"/>
  <c r="R123"/>
  <c r="S122"/>
  <c r="R122"/>
  <c r="S121"/>
  <c r="R121"/>
  <c r="S120"/>
  <c r="R120"/>
  <c r="S119"/>
  <c r="R119"/>
  <c r="S118"/>
  <c r="R118"/>
  <c r="S117"/>
  <c r="R117"/>
  <c r="S116"/>
  <c r="R116"/>
  <c r="S115"/>
  <c r="R115"/>
  <c r="S114"/>
  <c r="R114"/>
  <c r="S113"/>
  <c r="R113"/>
  <c r="S112"/>
  <c r="R112"/>
  <c r="S111"/>
  <c r="R111"/>
  <c r="S110"/>
  <c r="R110"/>
  <c r="S109"/>
  <c r="R109"/>
  <c r="S108"/>
  <c r="R108"/>
  <c r="S107"/>
  <c r="R107"/>
  <c r="S106"/>
  <c r="R106"/>
  <c r="S105"/>
  <c r="R105"/>
  <c r="S104"/>
  <c r="R104"/>
  <c r="S103"/>
  <c r="R103"/>
  <c r="S102"/>
  <c r="R102"/>
  <c r="S101"/>
  <c r="R101"/>
  <c r="S100"/>
  <c r="R100"/>
  <c r="S99"/>
  <c r="R99"/>
  <c r="S98"/>
  <c r="R98"/>
  <c r="S97"/>
  <c r="R97"/>
  <c r="S96"/>
  <c r="R96"/>
  <c r="S95"/>
  <c r="R95"/>
  <c r="S94"/>
  <c r="R94"/>
  <c r="S93"/>
  <c r="R93"/>
  <c r="S92"/>
  <c r="R92"/>
  <c r="S91"/>
  <c r="R91"/>
  <c r="S90"/>
  <c r="R90"/>
  <c r="S89"/>
  <c r="R89"/>
  <c r="S88"/>
  <c r="R88"/>
  <c r="S87"/>
  <c r="R87"/>
  <c r="S86"/>
  <c r="R86"/>
  <c r="S85"/>
  <c r="R85"/>
  <c r="S84"/>
  <c r="R84"/>
  <c r="S83"/>
  <c r="R83"/>
  <c r="S82"/>
  <c r="R82"/>
  <c r="S81"/>
  <c r="R81"/>
  <c r="S80"/>
  <c r="R80"/>
  <c r="S79"/>
  <c r="R79"/>
  <c r="S78"/>
  <c r="R78"/>
  <c r="S77"/>
  <c r="R77"/>
  <c r="S76"/>
  <c r="R76"/>
  <c r="S75"/>
  <c r="R75"/>
  <c r="S74"/>
  <c r="R74"/>
  <c r="S73"/>
  <c r="R73"/>
  <c r="S72"/>
  <c r="R72"/>
  <c r="S71"/>
  <c r="R71"/>
  <c r="S70"/>
  <c r="R70"/>
  <c r="S69"/>
  <c r="R69"/>
  <c r="S68"/>
  <c r="R68"/>
  <c r="S67"/>
  <c r="R67"/>
  <c r="S66"/>
  <c r="R66"/>
  <c r="S65"/>
  <c r="R65"/>
  <c r="S64"/>
  <c r="R64"/>
  <c r="S63"/>
  <c r="R63"/>
  <c r="S62"/>
  <c r="R62"/>
  <c r="S61"/>
  <c r="R61"/>
  <c r="S60"/>
  <c r="R60"/>
  <c r="S59"/>
  <c r="R59"/>
  <c r="S58"/>
  <c r="R58"/>
  <c r="S57"/>
  <c r="R57"/>
  <c r="S56"/>
  <c r="R56"/>
  <c r="S55"/>
  <c r="R55"/>
  <c r="S54"/>
  <c r="R54"/>
  <c r="S53"/>
  <c r="R53"/>
  <c r="S52"/>
  <c r="R52"/>
  <c r="S51"/>
  <c r="R51"/>
  <c r="S50"/>
  <c r="R50"/>
  <c r="S49"/>
  <c r="R49"/>
  <c r="S48"/>
  <c r="R48"/>
  <c r="S47"/>
  <c r="R47"/>
  <c r="S46"/>
  <c r="R46"/>
  <c r="S45"/>
  <c r="R45"/>
  <c r="S44"/>
  <c r="R44"/>
  <c r="S43"/>
  <c r="R43"/>
  <c r="S42"/>
  <c r="R42"/>
  <c r="S41"/>
  <c r="R41"/>
  <c r="S40"/>
  <c r="R40"/>
  <c r="S39"/>
  <c r="R39"/>
  <c r="S38"/>
  <c r="R38"/>
  <c r="S37"/>
  <c r="R37"/>
  <c r="S36"/>
  <c r="R36"/>
  <c r="S35"/>
  <c r="R35"/>
  <c r="S34"/>
  <c r="R34"/>
  <c r="S33"/>
  <c r="R33"/>
  <c r="S32"/>
  <c r="R32"/>
  <c r="S31"/>
  <c r="R31"/>
  <c r="S30"/>
  <c r="R30"/>
  <c r="S29"/>
  <c r="R29"/>
  <c r="S28"/>
  <c r="R28"/>
  <c r="S27"/>
  <c r="R27"/>
  <c r="S26"/>
  <c r="R26"/>
  <c r="S25"/>
  <c r="R25"/>
  <c r="S24"/>
  <c r="R24"/>
  <c r="S23"/>
  <c r="R23"/>
  <c r="S22"/>
  <c r="R22"/>
  <c r="S21"/>
  <c r="R21"/>
  <c r="S20"/>
  <c r="R20"/>
  <c r="S19"/>
  <c r="R19"/>
  <c r="S18"/>
  <c r="R18"/>
  <c r="S17"/>
  <c r="R17"/>
  <c r="S16"/>
  <c r="R16"/>
  <c r="S15"/>
  <c r="R15"/>
  <c r="S14"/>
  <c r="R14"/>
  <c r="S13"/>
  <c r="R13"/>
  <c r="S12"/>
  <c r="R12"/>
  <c r="S11"/>
  <c r="R11"/>
  <c r="S10"/>
  <c r="R10"/>
  <c r="S9"/>
  <c r="R9"/>
  <c r="S8"/>
  <c r="R8"/>
  <c r="S7"/>
  <c r="R7"/>
  <c r="S6"/>
  <c r="R6"/>
  <c r="S5"/>
  <c r="R5"/>
  <c r="S4"/>
  <c r="R4"/>
  <c r="S3"/>
  <c r="R3"/>
  <c r="A2"/>
  <c r="S2"/>
  <c r="R2"/>
  <c r="D15" i="4"/>
  <c r="C15"/>
  <c r="B15"/>
  <c r="D13"/>
  <c r="D12"/>
  <c r="D14"/>
  <c r="C13"/>
  <c r="C12"/>
  <c r="C14"/>
  <c r="B13"/>
  <c r="B12"/>
  <c r="B14"/>
  <c r="D11"/>
  <c r="C11"/>
  <c r="B11"/>
  <c r="G2"/>
  <c r="B4"/>
  <c r="E4"/>
  <c r="B3"/>
  <c r="E3"/>
  <c r="E6"/>
  <c r="D6"/>
  <c r="C6"/>
  <c r="B6"/>
  <c r="J5"/>
  <c r="B5"/>
  <c r="E5"/>
  <c r="D4"/>
  <c r="D3"/>
  <c r="D5"/>
  <c r="C4"/>
  <c r="C3"/>
  <c r="C5"/>
  <c r="M4"/>
  <c r="J4"/>
  <c r="M3"/>
  <c r="J3"/>
  <c r="M2"/>
  <c r="J2"/>
  <c r="B2"/>
  <c r="E2"/>
  <c r="D2"/>
  <c r="C2"/>
  <c r="I997" i="3"/>
  <c r="N997"/>
  <c r="P997"/>
  <c r="Q997"/>
  <c r="I996"/>
  <c r="N996"/>
  <c r="P996"/>
  <c r="Q996"/>
  <c r="I995"/>
  <c r="N995"/>
  <c r="P995"/>
  <c r="Q995"/>
  <c r="I994"/>
  <c r="N994"/>
  <c r="P994"/>
  <c r="Q994"/>
  <c r="I993"/>
  <c r="N993"/>
  <c r="P993"/>
  <c r="Q993"/>
  <c r="I992"/>
  <c r="N992"/>
  <c r="P992"/>
  <c r="Q992"/>
  <c r="I991"/>
  <c r="N991"/>
  <c r="P991"/>
  <c r="Q991"/>
  <c r="I990"/>
  <c r="N990"/>
  <c r="P990"/>
  <c r="Q990"/>
  <c r="I989"/>
  <c r="N989"/>
  <c r="P989"/>
  <c r="Q989"/>
  <c r="I988"/>
  <c r="N988"/>
  <c r="P988"/>
  <c r="Q988"/>
  <c r="I987"/>
  <c r="N987"/>
  <c r="P987"/>
  <c r="Q987"/>
  <c r="I986"/>
  <c r="N986"/>
  <c r="P986"/>
  <c r="Q986"/>
  <c r="I985"/>
  <c r="N985"/>
  <c r="P985"/>
  <c r="Q985"/>
  <c r="I984"/>
  <c r="N984"/>
  <c r="P984"/>
  <c r="Q984"/>
  <c r="I983"/>
  <c r="N983"/>
  <c r="P983"/>
  <c r="Q983"/>
  <c r="I982"/>
  <c r="N982"/>
  <c r="P982"/>
  <c r="Q982"/>
  <c r="I981"/>
  <c r="N981"/>
  <c r="P981"/>
  <c r="Q981"/>
  <c r="I980"/>
  <c r="N980"/>
  <c r="P980"/>
  <c r="Q980"/>
  <c r="I979"/>
  <c r="N979"/>
  <c r="P979"/>
  <c r="Q979"/>
  <c r="I978"/>
  <c r="N978"/>
  <c r="P978"/>
  <c r="Q978"/>
  <c r="I977"/>
  <c r="N977"/>
  <c r="P977"/>
  <c r="Q977"/>
  <c r="I976"/>
  <c r="N976"/>
  <c r="P976"/>
  <c r="Q976"/>
  <c r="I975"/>
  <c r="N975"/>
  <c r="P975"/>
  <c r="Q975"/>
  <c r="I974"/>
  <c r="N974"/>
  <c r="P974"/>
  <c r="Q974"/>
  <c r="I973"/>
  <c r="N973"/>
  <c r="P973"/>
  <c r="Q973"/>
  <c r="I972"/>
  <c r="N972"/>
  <c r="P972"/>
  <c r="Q972"/>
  <c r="I971"/>
  <c r="N971"/>
  <c r="P971"/>
  <c r="Q971"/>
  <c r="I970"/>
  <c r="N970"/>
  <c r="P970"/>
  <c r="Q970"/>
  <c r="I969"/>
  <c r="N969"/>
  <c r="P969"/>
  <c r="Q969"/>
  <c r="I968"/>
  <c r="N968"/>
  <c r="P968"/>
  <c r="Q968"/>
  <c r="I967"/>
  <c r="N967"/>
  <c r="P967"/>
  <c r="Q967"/>
  <c r="I966"/>
  <c r="N966"/>
  <c r="P966"/>
  <c r="Q966"/>
  <c r="I965"/>
  <c r="N965"/>
  <c r="P965"/>
  <c r="Q965"/>
  <c r="I964"/>
  <c r="N964"/>
  <c r="P964"/>
  <c r="Q964"/>
  <c r="I963"/>
  <c r="N963"/>
  <c r="P963"/>
  <c r="Q963"/>
  <c r="I962"/>
  <c r="N962"/>
  <c r="P962"/>
  <c r="Q962"/>
  <c r="I961"/>
  <c r="N961"/>
  <c r="P961"/>
  <c r="Q961"/>
  <c r="I960"/>
  <c r="N960"/>
  <c r="P960"/>
  <c r="Q960"/>
  <c r="I959"/>
  <c r="N959"/>
  <c r="P959"/>
  <c r="Q959"/>
  <c r="I958"/>
  <c r="N958"/>
  <c r="P958"/>
  <c r="Q958"/>
  <c r="I957"/>
  <c r="N957"/>
  <c r="P957"/>
  <c r="Q957"/>
  <c r="I956"/>
  <c r="N956"/>
  <c r="P956"/>
  <c r="Q956"/>
  <c r="I955"/>
  <c r="N955"/>
  <c r="P955"/>
  <c r="Q955"/>
  <c r="I954"/>
  <c r="N954"/>
  <c r="P954"/>
  <c r="Q954"/>
  <c r="I953"/>
  <c r="N953"/>
  <c r="P953"/>
  <c r="Q953"/>
  <c r="I952"/>
  <c r="N952"/>
  <c r="P952"/>
  <c r="Q952"/>
  <c r="I951"/>
  <c r="N951"/>
  <c r="P951"/>
  <c r="Q951"/>
  <c r="I950"/>
  <c r="N950"/>
  <c r="P950"/>
  <c r="Q950"/>
  <c r="I949"/>
  <c r="N949"/>
  <c r="P949"/>
  <c r="Q949"/>
  <c r="I948"/>
  <c r="N948"/>
  <c r="P948"/>
  <c r="Q948"/>
  <c r="I947"/>
  <c r="N947"/>
  <c r="P947"/>
  <c r="Q947"/>
  <c r="I946"/>
  <c r="N946"/>
  <c r="P946"/>
  <c r="Q946"/>
  <c r="I945"/>
  <c r="N945"/>
  <c r="P945"/>
  <c r="Q945"/>
  <c r="I944"/>
  <c r="N944"/>
  <c r="P944"/>
  <c r="Q944"/>
  <c r="I943"/>
  <c r="N943"/>
  <c r="P943"/>
  <c r="Q943"/>
  <c r="I942"/>
  <c r="N942"/>
  <c r="P942"/>
  <c r="Q942"/>
  <c r="I941"/>
  <c r="N941"/>
  <c r="P941"/>
  <c r="Q941"/>
  <c r="I940"/>
  <c r="N940"/>
  <c r="P940"/>
  <c r="Q940"/>
  <c r="I939"/>
  <c r="N939"/>
  <c r="P939"/>
  <c r="Q939"/>
  <c r="I938"/>
  <c r="N938"/>
  <c r="P938"/>
  <c r="Q938"/>
  <c r="I937"/>
  <c r="N937"/>
  <c r="P937"/>
  <c r="Q937"/>
  <c r="I936"/>
  <c r="N936"/>
  <c r="P936"/>
  <c r="Q936"/>
  <c r="I935"/>
  <c r="N935"/>
  <c r="P935"/>
  <c r="Q935"/>
  <c r="I934"/>
  <c r="N934"/>
  <c r="P934"/>
  <c r="Q934"/>
  <c r="I933"/>
  <c r="N933"/>
  <c r="P933"/>
  <c r="Q933"/>
  <c r="I932"/>
  <c r="N932"/>
  <c r="P932"/>
  <c r="Q932"/>
  <c r="I931"/>
  <c r="N931"/>
  <c r="P931"/>
  <c r="Q931"/>
  <c r="I930"/>
  <c r="N930"/>
  <c r="P930"/>
  <c r="Q930"/>
  <c r="I929"/>
  <c r="N929"/>
  <c r="P929"/>
  <c r="Q929"/>
  <c r="I928"/>
  <c r="N928"/>
  <c r="P928"/>
  <c r="Q928"/>
  <c r="I927"/>
  <c r="N927"/>
  <c r="P927"/>
  <c r="Q927"/>
  <c r="I926"/>
  <c r="N926"/>
  <c r="P926"/>
  <c r="Q926"/>
  <c r="I925"/>
  <c r="N925"/>
  <c r="P925"/>
  <c r="Q925"/>
  <c r="I924"/>
  <c r="N924"/>
  <c r="P924"/>
  <c r="Q924"/>
  <c r="I923"/>
  <c r="N923"/>
  <c r="P923"/>
  <c r="Q923"/>
  <c r="I922"/>
  <c r="N922"/>
  <c r="P922"/>
  <c r="Q922"/>
  <c r="I921"/>
  <c r="N921"/>
  <c r="P921"/>
  <c r="Q921"/>
  <c r="I920"/>
  <c r="N920"/>
  <c r="P920"/>
  <c r="Q920"/>
  <c r="I919"/>
  <c r="N919"/>
  <c r="P919"/>
  <c r="Q919"/>
  <c r="I918"/>
  <c r="N918"/>
  <c r="P918"/>
  <c r="Q918"/>
  <c r="I917"/>
  <c r="N917"/>
  <c r="P917"/>
  <c r="Q917"/>
  <c r="I916"/>
  <c r="N916"/>
  <c r="P916"/>
  <c r="Q916"/>
  <c r="I915"/>
  <c r="N915"/>
  <c r="P915"/>
  <c r="Q915"/>
  <c r="I914"/>
  <c r="N914"/>
  <c r="P914"/>
  <c r="Q914"/>
  <c r="I913"/>
  <c r="N913"/>
  <c r="P913"/>
  <c r="Q913"/>
  <c r="I912"/>
  <c r="N912"/>
  <c r="P912"/>
  <c r="Q912"/>
  <c r="I911"/>
  <c r="N911"/>
  <c r="P911"/>
  <c r="Q911"/>
  <c r="I910"/>
  <c r="N910"/>
  <c r="P910"/>
  <c r="Q910"/>
  <c r="I909"/>
  <c r="N909"/>
  <c r="P909"/>
  <c r="Q909"/>
  <c r="I908"/>
  <c r="N908"/>
  <c r="P908"/>
  <c r="Q908"/>
  <c r="I907"/>
  <c r="N907"/>
  <c r="P907"/>
  <c r="Q907"/>
  <c r="I906"/>
  <c r="N906"/>
  <c r="P906"/>
  <c r="Q906"/>
  <c r="I905"/>
  <c r="N905"/>
  <c r="P905"/>
  <c r="Q905"/>
  <c r="I904"/>
  <c r="N904"/>
  <c r="P904"/>
  <c r="Q904"/>
  <c r="I903"/>
  <c r="N903"/>
  <c r="P903"/>
  <c r="Q903"/>
  <c r="I902"/>
  <c r="N902"/>
  <c r="P902"/>
  <c r="Q902"/>
  <c r="I901"/>
  <c r="N901"/>
  <c r="P901"/>
  <c r="Q901"/>
  <c r="I900"/>
  <c r="N900"/>
  <c r="P900"/>
  <c r="Q900"/>
  <c r="I899"/>
  <c r="N899"/>
  <c r="P899"/>
  <c r="Q899"/>
  <c r="I898"/>
  <c r="N898"/>
  <c r="P898"/>
  <c r="Q898"/>
  <c r="I897"/>
  <c r="N897"/>
  <c r="P897"/>
  <c r="Q897"/>
  <c r="I896"/>
  <c r="N896"/>
  <c r="P896"/>
  <c r="Q896"/>
  <c r="I895"/>
  <c r="N895"/>
  <c r="P895"/>
  <c r="Q895"/>
  <c r="I894"/>
  <c r="N894"/>
  <c r="P894"/>
  <c r="Q894"/>
  <c r="I893"/>
  <c r="N893"/>
  <c r="P893"/>
  <c r="Q893"/>
  <c r="I892"/>
  <c r="N892"/>
  <c r="P892"/>
  <c r="Q892"/>
  <c r="I891"/>
  <c r="N891"/>
  <c r="P891"/>
  <c r="Q891"/>
  <c r="I890"/>
  <c r="N890"/>
  <c r="P890"/>
  <c r="Q890"/>
  <c r="I889"/>
  <c r="N889"/>
  <c r="P889"/>
  <c r="Q889"/>
  <c r="I888"/>
  <c r="N888"/>
  <c r="P888"/>
  <c r="Q888"/>
  <c r="I887"/>
  <c r="N887"/>
  <c r="P887"/>
  <c r="Q887"/>
  <c r="I886"/>
  <c r="N886"/>
  <c r="P886"/>
  <c r="Q886"/>
  <c r="I885"/>
  <c r="N885"/>
  <c r="P885"/>
  <c r="Q885"/>
  <c r="I884"/>
  <c r="N884"/>
  <c r="P884"/>
  <c r="Q884"/>
  <c r="I883"/>
  <c r="N883"/>
  <c r="P883"/>
  <c r="Q883"/>
  <c r="I882"/>
  <c r="N882"/>
  <c r="P882"/>
  <c r="Q882"/>
  <c r="I881"/>
  <c r="N881"/>
  <c r="P881"/>
  <c r="Q881"/>
  <c r="I880"/>
  <c r="N880"/>
  <c r="P880"/>
  <c r="Q880"/>
  <c r="I879"/>
  <c r="N879"/>
  <c r="P879"/>
  <c r="Q879"/>
  <c r="I878"/>
  <c r="N878"/>
  <c r="P878"/>
  <c r="Q878"/>
  <c r="I877"/>
  <c r="N877"/>
  <c r="P877"/>
  <c r="Q877"/>
  <c r="I876"/>
  <c r="N876"/>
  <c r="P876"/>
  <c r="Q876"/>
  <c r="I875"/>
  <c r="N875"/>
  <c r="P875"/>
  <c r="Q875"/>
  <c r="I874"/>
  <c r="N874"/>
  <c r="P874"/>
  <c r="Q874"/>
  <c r="I873"/>
  <c r="N873"/>
  <c r="P873"/>
  <c r="Q873"/>
  <c r="I872"/>
  <c r="N872"/>
  <c r="P872"/>
  <c r="Q872"/>
  <c r="I871"/>
  <c r="N871"/>
  <c r="P871"/>
  <c r="Q871"/>
  <c r="I870"/>
  <c r="N870"/>
  <c r="P870"/>
  <c r="Q870"/>
  <c r="I869"/>
  <c r="N869"/>
  <c r="P869"/>
  <c r="Q869"/>
  <c r="I868"/>
  <c r="N868"/>
  <c r="P868"/>
  <c r="Q868"/>
  <c r="I867"/>
  <c r="N867"/>
  <c r="P867"/>
  <c r="Q867"/>
  <c r="I866"/>
  <c r="N866"/>
  <c r="P866"/>
  <c r="Q866"/>
  <c r="I865"/>
  <c r="N865"/>
  <c r="P865"/>
  <c r="Q865"/>
  <c r="I864"/>
  <c r="N864"/>
  <c r="P864"/>
  <c r="Q864"/>
  <c r="I863"/>
  <c r="N863"/>
  <c r="P863"/>
  <c r="Q863"/>
  <c r="I862"/>
  <c r="N862"/>
  <c r="P862"/>
  <c r="Q862"/>
  <c r="I861"/>
  <c r="N861"/>
  <c r="P861"/>
  <c r="Q861"/>
  <c r="I860"/>
  <c r="N860"/>
  <c r="P860"/>
  <c r="Q860"/>
  <c r="I859"/>
  <c r="N859"/>
  <c r="P859"/>
  <c r="Q859"/>
  <c r="I858"/>
  <c r="N858"/>
  <c r="P858"/>
  <c r="Q858"/>
  <c r="I857"/>
  <c r="N857"/>
  <c r="P857"/>
  <c r="Q857"/>
  <c r="I856"/>
  <c r="N856"/>
  <c r="P856"/>
  <c r="Q856"/>
  <c r="I855"/>
  <c r="N855"/>
  <c r="P855"/>
  <c r="Q855"/>
  <c r="I854"/>
  <c r="N854"/>
  <c r="P854"/>
  <c r="Q854"/>
  <c r="I853"/>
  <c r="N853"/>
  <c r="P853"/>
  <c r="Q853"/>
  <c r="I852"/>
  <c r="N852"/>
  <c r="P852"/>
  <c r="Q852"/>
  <c r="I851"/>
  <c r="N851"/>
  <c r="P851"/>
  <c r="Q851"/>
  <c r="I850"/>
  <c r="N850"/>
  <c r="P850"/>
  <c r="Q850"/>
  <c r="I849"/>
  <c r="N849"/>
  <c r="P849"/>
  <c r="Q849"/>
  <c r="I848"/>
  <c r="N848"/>
  <c r="P848"/>
  <c r="Q848"/>
  <c r="I847"/>
  <c r="N847"/>
  <c r="P847"/>
  <c r="Q847"/>
  <c r="I846"/>
  <c r="N846"/>
  <c r="P846"/>
  <c r="Q846"/>
  <c r="I845"/>
  <c r="N845"/>
  <c r="P845"/>
  <c r="Q845"/>
  <c r="I844"/>
  <c r="N844"/>
  <c r="P844"/>
  <c r="Q844"/>
  <c r="I843"/>
  <c r="N843"/>
  <c r="P843"/>
  <c r="Q843"/>
  <c r="I842"/>
  <c r="N842"/>
  <c r="P842"/>
  <c r="Q842"/>
  <c r="I841"/>
  <c r="N841"/>
  <c r="P841"/>
  <c r="Q841"/>
  <c r="I840"/>
  <c r="N840"/>
  <c r="P840"/>
  <c r="Q840"/>
  <c r="I839"/>
  <c r="N839"/>
  <c r="P839"/>
  <c r="Q839"/>
  <c r="I838"/>
  <c r="N838"/>
  <c r="P838"/>
  <c r="Q838"/>
  <c r="I837"/>
  <c r="N837"/>
  <c r="P837"/>
  <c r="Q837"/>
  <c r="I836"/>
  <c r="N836"/>
  <c r="P836"/>
  <c r="Q836"/>
  <c r="I835"/>
  <c r="N835"/>
  <c r="P835"/>
  <c r="Q835"/>
  <c r="I834"/>
  <c r="N834"/>
  <c r="P834"/>
  <c r="Q834"/>
  <c r="I833"/>
  <c r="N833"/>
  <c r="P833"/>
  <c r="Q833"/>
  <c r="I832"/>
  <c r="N832"/>
  <c r="P832"/>
  <c r="Q832"/>
  <c r="I831"/>
  <c r="N831"/>
  <c r="P831"/>
  <c r="Q831"/>
  <c r="I830"/>
  <c r="N830"/>
  <c r="P830"/>
  <c r="Q830"/>
  <c r="I829"/>
  <c r="N829"/>
  <c r="P829"/>
  <c r="Q829"/>
  <c r="I828"/>
  <c r="N828"/>
  <c r="P828"/>
  <c r="Q828"/>
  <c r="I827"/>
  <c r="N827"/>
  <c r="P827"/>
  <c r="Q827"/>
  <c r="I826"/>
  <c r="N826"/>
  <c r="P826"/>
  <c r="Q826"/>
  <c r="I825"/>
  <c r="N825"/>
  <c r="P825"/>
  <c r="Q825"/>
  <c r="I824"/>
  <c r="N824"/>
  <c r="P824"/>
  <c r="Q824"/>
  <c r="I823"/>
  <c r="N823"/>
  <c r="P823"/>
  <c r="Q823"/>
  <c r="I822"/>
  <c r="N822"/>
  <c r="P822"/>
  <c r="Q822"/>
  <c r="I821"/>
  <c r="N821"/>
  <c r="P821"/>
  <c r="Q821"/>
  <c r="I820"/>
  <c r="N820"/>
  <c r="P820"/>
  <c r="Q820"/>
  <c r="I819"/>
  <c r="N819"/>
  <c r="P819"/>
  <c r="Q819"/>
  <c r="I818"/>
  <c r="N818"/>
  <c r="P818"/>
  <c r="Q818"/>
  <c r="I817"/>
  <c r="N817"/>
  <c r="P817"/>
  <c r="Q817"/>
  <c r="I816"/>
  <c r="N816"/>
  <c r="P816"/>
  <c r="Q816"/>
  <c r="I815"/>
  <c r="N815"/>
  <c r="P815"/>
  <c r="Q815"/>
  <c r="I814"/>
  <c r="N814"/>
  <c r="P814"/>
  <c r="Q814"/>
  <c r="I813"/>
  <c r="N813"/>
  <c r="P813"/>
  <c r="Q813"/>
  <c r="I812"/>
  <c r="N812"/>
  <c r="P812"/>
  <c r="Q812"/>
  <c r="I811"/>
  <c r="N811"/>
  <c r="P811"/>
  <c r="Q811"/>
  <c r="I810"/>
  <c r="N810"/>
  <c r="P810"/>
  <c r="Q810"/>
  <c r="I809"/>
  <c r="N809"/>
  <c r="P809"/>
  <c r="Q809"/>
  <c r="I808"/>
  <c r="N808"/>
  <c r="P808"/>
  <c r="Q808"/>
  <c r="I807"/>
  <c r="N807"/>
  <c r="P807"/>
  <c r="Q807"/>
  <c r="I806"/>
  <c r="N806"/>
  <c r="P806"/>
  <c r="Q806"/>
  <c r="I805"/>
  <c r="N805"/>
  <c r="P805"/>
  <c r="Q805"/>
  <c r="I804"/>
  <c r="N804"/>
  <c r="P804"/>
  <c r="Q804"/>
  <c r="I803"/>
  <c r="N803"/>
  <c r="P803"/>
  <c r="Q803"/>
  <c r="I802"/>
  <c r="N802"/>
  <c r="P802"/>
  <c r="Q802"/>
  <c r="I801"/>
  <c r="N801"/>
  <c r="P801"/>
  <c r="Q801"/>
  <c r="I800"/>
  <c r="N800"/>
  <c r="P800"/>
  <c r="Q800"/>
  <c r="I799"/>
  <c r="N799"/>
  <c r="P799"/>
  <c r="Q799"/>
  <c r="I798"/>
  <c r="N798"/>
  <c r="P798"/>
  <c r="Q798"/>
  <c r="I797"/>
  <c r="N797"/>
  <c r="P797"/>
  <c r="Q797"/>
  <c r="I796"/>
  <c r="N796"/>
  <c r="P796"/>
  <c r="Q796"/>
  <c r="I795"/>
  <c r="N795"/>
  <c r="P795"/>
  <c r="Q795"/>
  <c r="I794"/>
  <c r="N794"/>
  <c r="P794"/>
  <c r="Q794"/>
  <c r="I793"/>
  <c r="N793"/>
  <c r="P793"/>
  <c r="Q793"/>
  <c r="I792"/>
  <c r="N792"/>
  <c r="P792"/>
  <c r="Q792"/>
  <c r="I791"/>
  <c r="N791"/>
  <c r="P791"/>
  <c r="Q791"/>
  <c r="I790"/>
  <c r="N790"/>
  <c r="P790"/>
  <c r="Q790"/>
  <c r="I789"/>
  <c r="N789"/>
  <c r="P789"/>
  <c r="Q789"/>
  <c r="I788"/>
  <c r="N788"/>
  <c r="P788"/>
  <c r="Q788"/>
  <c r="I787"/>
  <c r="N787"/>
  <c r="P787"/>
  <c r="Q787"/>
  <c r="I786"/>
  <c r="N786"/>
  <c r="P786"/>
  <c r="Q786"/>
  <c r="I785"/>
  <c r="N785"/>
  <c r="P785"/>
  <c r="Q785"/>
  <c r="I784"/>
  <c r="N784"/>
  <c r="P784"/>
  <c r="Q784"/>
  <c r="I783"/>
  <c r="N783"/>
  <c r="P783"/>
  <c r="Q783"/>
  <c r="I782"/>
  <c r="N782"/>
  <c r="P782"/>
  <c r="Q782"/>
  <c r="I781"/>
  <c r="N781"/>
  <c r="P781"/>
  <c r="Q781"/>
  <c r="I780"/>
  <c r="N780"/>
  <c r="P780"/>
  <c r="Q780"/>
  <c r="I779"/>
  <c r="N779"/>
  <c r="P779"/>
  <c r="Q779"/>
  <c r="I778"/>
  <c r="N778"/>
  <c r="P778"/>
  <c r="Q778"/>
  <c r="I777"/>
  <c r="N777"/>
  <c r="P777"/>
  <c r="Q777"/>
  <c r="I776"/>
  <c r="N776"/>
  <c r="P776"/>
  <c r="Q776"/>
  <c r="I775"/>
  <c r="N775"/>
  <c r="P775"/>
  <c r="Q775"/>
  <c r="I774"/>
  <c r="N774"/>
  <c r="P774"/>
  <c r="Q774"/>
  <c r="I773"/>
  <c r="N773"/>
  <c r="P773"/>
  <c r="Q773"/>
  <c r="I772"/>
  <c r="N772"/>
  <c r="P772"/>
  <c r="Q772"/>
  <c r="I771"/>
  <c r="N771"/>
  <c r="P771"/>
  <c r="Q771"/>
  <c r="I770"/>
  <c r="N770"/>
  <c r="P770"/>
  <c r="Q770"/>
  <c r="I769"/>
  <c r="N769"/>
  <c r="P769"/>
  <c r="Q769"/>
  <c r="I768"/>
  <c r="N768"/>
  <c r="P768"/>
  <c r="Q768"/>
  <c r="I767"/>
  <c r="N767"/>
  <c r="P767"/>
  <c r="Q767"/>
  <c r="I766"/>
  <c r="N766"/>
  <c r="P766"/>
  <c r="Q766"/>
  <c r="I765"/>
  <c r="N765"/>
  <c r="P765"/>
  <c r="Q765"/>
  <c r="I764"/>
  <c r="N764"/>
  <c r="P764"/>
  <c r="Q764"/>
  <c r="I763"/>
  <c r="N763"/>
  <c r="P763"/>
  <c r="Q763"/>
  <c r="I762"/>
  <c r="N762"/>
  <c r="P762"/>
  <c r="Q762"/>
  <c r="I761"/>
  <c r="N761"/>
  <c r="P761"/>
  <c r="Q761"/>
  <c r="I760"/>
  <c r="N760"/>
  <c r="P760"/>
  <c r="Q760"/>
  <c r="I759"/>
  <c r="N759"/>
  <c r="P759"/>
  <c r="Q759"/>
  <c r="I758"/>
  <c r="N758"/>
  <c r="P758"/>
  <c r="Q758"/>
  <c r="I757"/>
  <c r="N757"/>
  <c r="P757"/>
  <c r="Q757"/>
  <c r="I756"/>
  <c r="N756"/>
  <c r="P756"/>
  <c r="Q756"/>
  <c r="I755"/>
  <c r="N755"/>
  <c r="P755"/>
  <c r="Q755"/>
  <c r="I754"/>
  <c r="N754"/>
  <c r="P754"/>
  <c r="Q754"/>
  <c r="I753"/>
  <c r="N753"/>
  <c r="P753"/>
  <c r="Q753"/>
  <c r="I752"/>
  <c r="N752"/>
  <c r="P752"/>
  <c r="Q752"/>
  <c r="I751"/>
  <c r="N751"/>
  <c r="P751"/>
  <c r="Q751"/>
  <c r="I750"/>
  <c r="N750"/>
  <c r="P750"/>
  <c r="Q750"/>
  <c r="I749"/>
  <c r="N749"/>
  <c r="P749"/>
  <c r="Q749"/>
  <c r="I748"/>
  <c r="N748"/>
  <c r="P748"/>
  <c r="Q748"/>
  <c r="I747"/>
  <c r="N747"/>
  <c r="P747"/>
  <c r="Q747"/>
  <c r="I746"/>
  <c r="N746"/>
  <c r="P746"/>
  <c r="Q746"/>
  <c r="I745"/>
  <c r="N745"/>
  <c r="P745"/>
  <c r="Q745"/>
  <c r="I744"/>
  <c r="N744"/>
  <c r="P744"/>
  <c r="Q744"/>
  <c r="I743"/>
  <c r="N743"/>
  <c r="P743"/>
  <c r="Q743"/>
  <c r="I742"/>
  <c r="N742"/>
  <c r="P742"/>
  <c r="Q742"/>
  <c r="I741"/>
  <c r="N741"/>
  <c r="P741"/>
  <c r="Q741"/>
  <c r="I740"/>
  <c r="N740"/>
  <c r="P740"/>
  <c r="Q740"/>
  <c r="I739"/>
  <c r="N739"/>
  <c r="P739"/>
  <c r="Q739"/>
  <c r="I738"/>
  <c r="N738"/>
  <c r="P738"/>
  <c r="Q738"/>
  <c r="I737"/>
  <c r="N737"/>
  <c r="P737"/>
  <c r="Q737"/>
  <c r="I736"/>
  <c r="N736"/>
  <c r="P736"/>
  <c r="Q736"/>
  <c r="I735"/>
  <c r="N735"/>
  <c r="P735"/>
  <c r="Q735"/>
  <c r="I734"/>
  <c r="N734"/>
  <c r="P734"/>
  <c r="Q734"/>
  <c r="I733"/>
  <c r="N733"/>
  <c r="P733"/>
  <c r="Q733"/>
  <c r="I732"/>
  <c r="N732"/>
  <c r="P732"/>
  <c r="Q732"/>
  <c r="I731"/>
  <c r="N731"/>
  <c r="P731"/>
  <c r="Q731"/>
  <c r="I730"/>
  <c r="N730"/>
  <c r="P730"/>
  <c r="Q730"/>
  <c r="I729"/>
  <c r="N729"/>
  <c r="P729"/>
  <c r="Q729"/>
  <c r="I728"/>
  <c r="N728"/>
  <c r="P728"/>
  <c r="Q728"/>
  <c r="I727"/>
  <c r="N727"/>
  <c r="P727"/>
  <c r="Q727"/>
  <c r="I726"/>
  <c r="N726"/>
  <c r="P726"/>
  <c r="Q726"/>
  <c r="I725"/>
  <c r="N725"/>
  <c r="P725"/>
  <c r="Q725"/>
  <c r="I724"/>
  <c r="N724"/>
  <c r="P724"/>
  <c r="Q724"/>
  <c r="I723"/>
  <c r="N723"/>
  <c r="P723"/>
  <c r="Q723"/>
  <c r="I722"/>
  <c r="N722"/>
  <c r="P722"/>
  <c r="Q722"/>
  <c r="I721"/>
  <c r="N721"/>
  <c r="P721"/>
  <c r="Q721"/>
  <c r="I720"/>
  <c r="N720"/>
  <c r="P720"/>
  <c r="Q720"/>
  <c r="I719"/>
  <c r="N719"/>
  <c r="P719"/>
  <c r="Q719"/>
  <c r="I718"/>
  <c r="N718"/>
  <c r="P718"/>
  <c r="Q718"/>
  <c r="I717"/>
  <c r="N717"/>
  <c r="P717"/>
  <c r="Q717"/>
  <c r="I716"/>
  <c r="N716"/>
  <c r="P716"/>
  <c r="Q716"/>
  <c r="I715"/>
  <c r="N715"/>
  <c r="P715"/>
  <c r="Q715"/>
  <c r="I714"/>
  <c r="N714"/>
  <c r="P714"/>
  <c r="Q714"/>
  <c r="I713"/>
  <c r="N713"/>
  <c r="P713"/>
  <c r="Q713"/>
  <c r="I712"/>
  <c r="N712"/>
  <c r="P712"/>
  <c r="Q712"/>
  <c r="I711"/>
  <c r="N711"/>
  <c r="P711"/>
  <c r="Q711"/>
  <c r="I710"/>
  <c r="N710"/>
  <c r="P710"/>
  <c r="Q710"/>
  <c r="I709"/>
  <c r="N709"/>
  <c r="P709"/>
  <c r="Q709"/>
  <c r="I708"/>
  <c r="N708"/>
  <c r="P708"/>
  <c r="Q708"/>
  <c r="I707"/>
  <c r="N707"/>
  <c r="P707"/>
  <c r="Q707"/>
  <c r="I706"/>
  <c r="N706"/>
  <c r="P706"/>
  <c r="Q706"/>
  <c r="I705"/>
  <c r="N705"/>
  <c r="P705"/>
  <c r="Q705"/>
  <c r="I704"/>
  <c r="N704"/>
  <c r="P704"/>
  <c r="Q704"/>
  <c r="D704"/>
  <c r="I703"/>
  <c r="N703"/>
  <c r="P703"/>
  <c r="Q703"/>
  <c r="D703"/>
  <c r="I702"/>
  <c r="N702"/>
  <c r="P702"/>
  <c r="Q702"/>
  <c r="D702"/>
  <c r="I701"/>
  <c r="N701"/>
  <c r="P701"/>
  <c r="Q701"/>
  <c r="D701"/>
  <c r="I700"/>
  <c r="N700"/>
  <c r="P700"/>
  <c r="Q700"/>
  <c r="D700"/>
  <c r="I699"/>
  <c r="N699"/>
  <c r="P699"/>
  <c r="Q699"/>
  <c r="D699"/>
  <c r="I698"/>
  <c r="N698"/>
  <c r="P698"/>
  <c r="Q698"/>
  <c r="D698"/>
  <c r="I697"/>
  <c r="N697"/>
  <c r="P697"/>
  <c r="Q697"/>
  <c r="D697"/>
  <c r="I696"/>
  <c r="N696"/>
  <c r="P696"/>
  <c r="Q696"/>
  <c r="D696"/>
  <c r="I695"/>
  <c r="N695"/>
  <c r="P695"/>
  <c r="Q695"/>
  <c r="D695"/>
  <c r="I694"/>
  <c r="N694"/>
  <c r="P694"/>
  <c r="Q694"/>
  <c r="D694"/>
  <c r="I693"/>
  <c r="N693"/>
  <c r="P693"/>
  <c r="Q693"/>
  <c r="D693"/>
  <c r="I692"/>
  <c r="N692"/>
  <c r="P692"/>
  <c r="Q692"/>
  <c r="D692"/>
  <c r="I691"/>
  <c r="N691"/>
  <c r="P691"/>
  <c r="Q691"/>
  <c r="D691"/>
  <c r="I690"/>
  <c r="N690"/>
  <c r="P690"/>
  <c r="Q690"/>
  <c r="D690"/>
  <c r="I689"/>
  <c r="N689"/>
  <c r="P689"/>
  <c r="Q689"/>
  <c r="D689"/>
  <c r="I688"/>
  <c r="N688"/>
  <c r="P688"/>
  <c r="Q688"/>
  <c r="D688"/>
  <c r="I687"/>
  <c r="N687"/>
  <c r="P687"/>
  <c r="Q687"/>
  <c r="D687"/>
  <c r="I686"/>
  <c r="N686"/>
  <c r="P686"/>
  <c r="Q686"/>
  <c r="D686"/>
  <c r="I685"/>
  <c r="N685"/>
  <c r="P685"/>
  <c r="Q685"/>
  <c r="D685"/>
  <c r="I684"/>
  <c r="N684"/>
  <c r="P684"/>
  <c r="Q684"/>
  <c r="D684"/>
  <c r="I683"/>
  <c r="N683"/>
  <c r="P683"/>
  <c r="Q683"/>
  <c r="D683"/>
  <c r="I682"/>
  <c r="N682"/>
  <c r="P682"/>
  <c r="Q682"/>
  <c r="D682"/>
  <c r="I681"/>
  <c r="N681"/>
  <c r="P681"/>
  <c r="Q681"/>
  <c r="D681"/>
  <c r="I680"/>
  <c r="N680"/>
  <c r="P680"/>
  <c r="Q680"/>
  <c r="D680"/>
  <c r="I679"/>
  <c r="N679"/>
  <c r="P679"/>
  <c r="Q679"/>
  <c r="D679"/>
  <c r="I678"/>
  <c r="N678"/>
  <c r="P678"/>
  <c r="Q678"/>
  <c r="D678"/>
  <c r="I677"/>
  <c r="N677"/>
  <c r="P677"/>
  <c r="Q677"/>
  <c r="D677"/>
  <c r="I676"/>
  <c r="N676"/>
  <c r="P676"/>
  <c r="Q676"/>
  <c r="D676"/>
  <c r="I675"/>
  <c r="N675"/>
  <c r="P675"/>
  <c r="Q675"/>
  <c r="D675"/>
  <c r="I674"/>
  <c r="N674"/>
  <c r="P674"/>
  <c r="Q674"/>
  <c r="D674"/>
  <c r="I673"/>
  <c r="N673"/>
  <c r="P673"/>
  <c r="Q673"/>
  <c r="D673"/>
  <c r="I672"/>
  <c r="N672"/>
  <c r="P672"/>
  <c r="Q672"/>
  <c r="D672"/>
  <c r="I671"/>
  <c r="N671"/>
  <c r="P671"/>
  <c r="Q671"/>
  <c r="D671"/>
  <c r="I670"/>
  <c r="N670"/>
  <c r="P670"/>
  <c r="Q670"/>
  <c r="D670"/>
  <c r="I669"/>
  <c r="N669"/>
  <c r="P669"/>
  <c r="Q669"/>
  <c r="D669"/>
  <c r="I668"/>
  <c r="N668"/>
  <c r="P668"/>
  <c r="Q668"/>
  <c r="D668"/>
  <c r="I667"/>
  <c r="N667"/>
  <c r="P667"/>
  <c r="Q667"/>
  <c r="D667"/>
  <c r="I666"/>
  <c r="N666"/>
  <c r="P666"/>
  <c r="Q666"/>
  <c r="D666"/>
  <c r="I665"/>
  <c r="N665"/>
  <c r="P665"/>
  <c r="Q665"/>
  <c r="D665"/>
  <c r="I664"/>
  <c r="N664"/>
  <c r="P664"/>
  <c r="Q664"/>
  <c r="D664"/>
  <c r="I663"/>
  <c r="N663"/>
  <c r="P663"/>
  <c r="Q663"/>
  <c r="D663"/>
  <c r="I662"/>
  <c r="N662"/>
  <c r="P662"/>
  <c r="Q662"/>
  <c r="D662"/>
  <c r="I661"/>
  <c r="N661"/>
  <c r="P661"/>
  <c r="Q661"/>
  <c r="D661"/>
  <c r="I660"/>
  <c r="N660"/>
  <c r="P660"/>
  <c r="Q660"/>
  <c r="D660"/>
  <c r="I659"/>
  <c r="N659"/>
  <c r="P659"/>
  <c r="Q659"/>
  <c r="D659"/>
  <c r="I658"/>
  <c r="N658"/>
  <c r="P658"/>
  <c r="Q658"/>
  <c r="D658"/>
  <c r="I657"/>
  <c r="N657"/>
  <c r="P657"/>
  <c r="Q657"/>
  <c r="D657"/>
  <c r="I656"/>
  <c r="N656"/>
  <c r="P656"/>
  <c r="Q656"/>
  <c r="D656"/>
  <c r="I655"/>
  <c r="N655"/>
  <c r="P655"/>
  <c r="Q655"/>
  <c r="D655"/>
  <c r="I654"/>
  <c r="N654"/>
  <c r="P654"/>
  <c r="Q654"/>
  <c r="D654"/>
  <c r="I653"/>
  <c r="N653"/>
  <c r="P653"/>
  <c r="Q653"/>
  <c r="D653"/>
  <c r="I652"/>
  <c r="N652"/>
  <c r="P652"/>
  <c r="Q652"/>
  <c r="D652"/>
  <c r="I651"/>
  <c r="N651"/>
  <c r="P651"/>
  <c r="Q651"/>
  <c r="D651"/>
  <c r="I650"/>
  <c r="N650"/>
  <c r="P650"/>
  <c r="Q650"/>
  <c r="D650"/>
  <c r="I649"/>
  <c r="N649"/>
  <c r="P649"/>
  <c r="Q649"/>
  <c r="D649"/>
  <c r="I648"/>
  <c r="N648"/>
  <c r="P648"/>
  <c r="Q648"/>
  <c r="D648"/>
  <c r="I647"/>
  <c r="N647"/>
  <c r="P647"/>
  <c r="Q647"/>
  <c r="D647"/>
  <c r="I646"/>
  <c r="N646"/>
  <c r="P646"/>
  <c r="Q646"/>
  <c r="D646"/>
  <c r="I645"/>
  <c r="N645"/>
  <c r="P645"/>
  <c r="Q645"/>
  <c r="D645"/>
  <c r="I644"/>
  <c r="N644"/>
  <c r="P644"/>
  <c r="Q644"/>
  <c r="D644"/>
  <c r="I643"/>
  <c r="N643"/>
  <c r="P643"/>
  <c r="Q643"/>
  <c r="D643"/>
  <c r="I642"/>
  <c r="N642"/>
  <c r="P642"/>
  <c r="Q642"/>
  <c r="D642"/>
  <c r="I641"/>
  <c r="N641"/>
  <c r="P641"/>
  <c r="Q641"/>
  <c r="D641"/>
  <c r="I640"/>
  <c r="N640"/>
  <c r="P640"/>
  <c r="Q640"/>
  <c r="D640"/>
  <c r="I639"/>
  <c r="N639"/>
  <c r="P639"/>
  <c r="Q639"/>
  <c r="D639"/>
  <c r="I638"/>
  <c r="N638"/>
  <c r="P638"/>
  <c r="Q638"/>
  <c r="D638"/>
  <c r="I637"/>
  <c r="N637"/>
  <c r="P637"/>
  <c r="Q637"/>
  <c r="D637"/>
  <c r="I636"/>
  <c r="N636"/>
  <c r="P636"/>
  <c r="Q636"/>
  <c r="D636"/>
  <c r="I635"/>
  <c r="N635"/>
  <c r="P635"/>
  <c r="Q635"/>
  <c r="D635"/>
  <c r="I634"/>
  <c r="N634"/>
  <c r="P634"/>
  <c r="Q634"/>
  <c r="D634"/>
  <c r="I633"/>
  <c r="N633"/>
  <c r="P633"/>
  <c r="Q633"/>
  <c r="D633"/>
  <c r="I632"/>
  <c r="N632"/>
  <c r="P632"/>
  <c r="Q632"/>
  <c r="D632"/>
  <c r="I631"/>
  <c r="N631"/>
  <c r="P631"/>
  <c r="Q631"/>
  <c r="D631"/>
  <c r="I630"/>
  <c r="N630"/>
  <c r="P630"/>
  <c r="Q630"/>
  <c r="D630"/>
  <c r="I629"/>
  <c r="N629"/>
  <c r="P629"/>
  <c r="Q629"/>
  <c r="D629"/>
  <c r="I628"/>
  <c r="N628"/>
  <c r="P628"/>
  <c r="Q628"/>
  <c r="D628"/>
  <c r="I627"/>
  <c r="N627"/>
  <c r="P627"/>
  <c r="Q627"/>
  <c r="D627"/>
  <c r="I626"/>
  <c r="N626"/>
  <c r="P626"/>
  <c r="Q626"/>
  <c r="D626"/>
  <c r="I625"/>
  <c r="N625"/>
  <c r="P625"/>
  <c r="Q625"/>
  <c r="D625"/>
  <c r="I624"/>
  <c r="N624"/>
  <c r="P624"/>
  <c r="Q624"/>
  <c r="D624"/>
  <c r="I623"/>
  <c r="N623"/>
  <c r="P623"/>
  <c r="Q623"/>
  <c r="D623"/>
  <c r="I622"/>
  <c r="N622"/>
  <c r="P622"/>
  <c r="Q622"/>
  <c r="D622"/>
  <c r="I621"/>
  <c r="N621"/>
  <c r="P621"/>
  <c r="Q621"/>
  <c r="D621"/>
  <c r="I620"/>
  <c r="N620"/>
  <c r="P620"/>
  <c r="Q620"/>
  <c r="D620"/>
  <c r="I619"/>
  <c r="N619"/>
  <c r="P619"/>
  <c r="Q619"/>
  <c r="D619"/>
  <c r="I618"/>
  <c r="N618"/>
  <c r="P618"/>
  <c r="Q618"/>
  <c r="D618"/>
  <c r="I617"/>
  <c r="N617"/>
  <c r="P617"/>
  <c r="Q617"/>
  <c r="D617"/>
  <c r="I616"/>
  <c r="N616"/>
  <c r="P616"/>
  <c r="Q616"/>
  <c r="D616"/>
  <c r="I615"/>
  <c r="N615"/>
  <c r="P615"/>
  <c r="Q615"/>
  <c r="D615"/>
  <c r="I614"/>
  <c r="N614"/>
  <c r="P614"/>
  <c r="Q614"/>
  <c r="D614"/>
  <c r="I613"/>
  <c r="N613"/>
  <c r="P613"/>
  <c r="Q613"/>
  <c r="D613"/>
  <c r="I612"/>
  <c r="N612"/>
  <c r="P612"/>
  <c r="Q612"/>
  <c r="D612"/>
  <c r="I611"/>
  <c r="N611"/>
  <c r="P611"/>
  <c r="Q611"/>
  <c r="D611"/>
  <c r="I610"/>
  <c r="N610"/>
  <c r="P610"/>
  <c r="Q610"/>
  <c r="D610"/>
  <c r="I609"/>
  <c r="N609"/>
  <c r="P609"/>
  <c r="Q609"/>
  <c r="D609"/>
  <c r="I608"/>
  <c r="N608"/>
  <c r="P608"/>
  <c r="Q608"/>
  <c r="D608"/>
  <c r="I607"/>
  <c r="N607"/>
  <c r="P607"/>
  <c r="Q607"/>
  <c r="D607"/>
  <c r="I606"/>
  <c r="N606"/>
  <c r="P606"/>
  <c r="Q606"/>
  <c r="D606"/>
  <c r="I605"/>
  <c r="N605"/>
  <c r="P605"/>
  <c r="Q605"/>
  <c r="D605"/>
  <c r="I604"/>
  <c r="N604"/>
  <c r="P604"/>
  <c r="Q604"/>
  <c r="D604"/>
  <c r="I603"/>
  <c r="N603"/>
  <c r="P603"/>
  <c r="Q603"/>
  <c r="D603"/>
  <c r="I602"/>
  <c r="N602"/>
  <c r="P602"/>
  <c r="Q602"/>
  <c r="D602"/>
  <c r="I601"/>
  <c r="N601"/>
  <c r="P601"/>
  <c r="Q601"/>
  <c r="D601"/>
  <c r="I600"/>
  <c r="N600"/>
  <c r="P600"/>
  <c r="Q600"/>
  <c r="D600"/>
  <c r="I599"/>
  <c r="N599"/>
  <c r="P599"/>
  <c r="Q599"/>
  <c r="D599"/>
  <c r="I598"/>
  <c r="N598"/>
  <c r="P598"/>
  <c r="Q598"/>
  <c r="D598"/>
  <c r="I597"/>
  <c r="N597"/>
  <c r="P597"/>
  <c r="Q597"/>
  <c r="D597"/>
  <c r="I596"/>
  <c r="N596"/>
  <c r="P596"/>
  <c r="Q596"/>
  <c r="D596"/>
  <c r="I595"/>
  <c r="N595"/>
  <c r="P595"/>
  <c r="Q595"/>
  <c r="D595"/>
  <c r="I594"/>
  <c r="N594"/>
  <c r="P594"/>
  <c r="Q594"/>
  <c r="D594"/>
  <c r="I593"/>
  <c r="N593"/>
  <c r="P593"/>
  <c r="Q593"/>
  <c r="D593"/>
  <c r="I592"/>
  <c r="N592"/>
  <c r="P592"/>
  <c r="Q592"/>
  <c r="D592"/>
  <c r="I591"/>
  <c r="N591"/>
  <c r="P591"/>
  <c r="Q591"/>
  <c r="D591"/>
  <c r="I590"/>
  <c r="N590"/>
  <c r="P590"/>
  <c r="Q590"/>
  <c r="D590"/>
  <c r="I589"/>
  <c r="N589"/>
  <c r="P589"/>
  <c r="Q589"/>
  <c r="D589"/>
  <c r="I588"/>
  <c r="N588"/>
  <c r="P588"/>
  <c r="Q588"/>
  <c r="D588"/>
  <c r="I587"/>
  <c r="N587"/>
  <c r="P587"/>
  <c r="Q587"/>
  <c r="D587"/>
  <c r="I586"/>
  <c r="N586"/>
  <c r="P586"/>
  <c r="Q586"/>
  <c r="D586"/>
  <c r="I585"/>
  <c r="N585"/>
  <c r="P585"/>
  <c r="Q585"/>
  <c r="D585"/>
  <c r="I584"/>
  <c r="N584"/>
  <c r="P584"/>
  <c r="Q584"/>
  <c r="D584"/>
  <c r="I583"/>
  <c r="N583"/>
  <c r="P583"/>
  <c r="Q583"/>
  <c r="D583"/>
  <c r="I582"/>
  <c r="N582"/>
  <c r="P582"/>
  <c r="Q582"/>
  <c r="D582"/>
  <c r="I581"/>
  <c r="N581"/>
  <c r="P581"/>
  <c r="Q581"/>
  <c r="D581"/>
  <c r="I580"/>
  <c r="N580"/>
  <c r="P580"/>
  <c r="Q580"/>
  <c r="D580"/>
  <c r="I579"/>
  <c r="N579"/>
  <c r="P579"/>
  <c r="Q579"/>
  <c r="D579"/>
  <c r="I578"/>
  <c r="N578"/>
  <c r="P578"/>
  <c r="Q578"/>
  <c r="D578"/>
  <c r="I577"/>
  <c r="N577"/>
  <c r="P577"/>
  <c r="Q577"/>
  <c r="D577"/>
  <c r="I576"/>
  <c r="N576"/>
  <c r="P576"/>
  <c r="Q576"/>
  <c r="D576"/>
  <c r="I575"/>
  <c r="N575"/>
  <c r="P575"/>
  <c r="Q575"/>
  <c r="D575"/>
  <c r="I574"/>
  <c r="N574"/>
  <c r="P574"/>
  <c r="Q574"/>
  <c r="D574"/>
  <c r="I573"/>
  <c r="N573"/>
  <c r="P573"/>
  <c r="Q573"/>
  <c r="D573"/>
  <c r="I572"/>
  <c r="N572"/>
  <c r="P572"/>
  <c r="Q572"/>
  <c r="D572"/>
  <c r="I571"/>
  <c r="N571"/>
  <c r="P571"/>
  <c r="Q571"/>
  <c r="D571"/>
  <c r="I570"/>
  <c r="N570"/>
  <c r="P570"/>
  <c r="Q570"/>
  <c r="D570"/>
  <c r="I569"/>
  <c r="N569"/>
  <c r="P569"/>
  <c r="Q569"/>
  <c r="D569"/>
  <c r="I568"/>
  <c r="N568"/>
  <c r="P568"/>
  <c r="Q568"/>
  <c r="D568"/>
  <c r="I567"/>
  <c r="N567"/>
  <c r="P567"/>
  <c r="Q567"/>
  <c r="D567"/>
  <c r="I566"/>
  <c r="N566"/>
  <c r="P566"/>
  <c r="Q566"/>
  <c r="D566"/>
  <c r="I565"/>
  <c r="N565"/>
  <c r="P565"/>
  <c r="Q565"/>
  <c r="D565"/>
  <c r="I564"/>
  <c r="N564"/>
  <c r="P564"/>
  <c r="Q564"/>
  <c r="D564"/>
  <c r="I563"/>
  <c r="N563"/>
  <c r="P563"/>
  <c r="Q563"/>
  <c r="D563"/>
  <c r="I562"/>
  <c r="N562"/>
  <c r="P562"/>
  <c r="Q562"/>
  <c r="D562"/>
  <c r="I561"/>
  <c r="N561"/>
  <c r="P561"/>
  <c r="Q561"/>
  <c r="D561"/>
  <c r="I560"/>
  <c r="N560"/>
  <c r="P560"/>
  <c r="Q560"/>
  <c r="D560"/>
  <c r="I559"/>
  <c r="N559"/>
  <c r="P559"/>
  <c r="Q559"/>
  <c r="D559"/>
  <c r="I558"/>
  <c r="N558"/>
  <c r="P558"/>
  <c r="Q558"/>
  <c r="D558"/>
  <c r="I557"/>
  <c r="N557"/>
  <c r="P557"/>
  <c r="Q557"/>
  <c r="D557"/>
  <c r="I556"/>
  <c r="N556"/>
  <c r="P556"/>
  <c r="Q556"/>
  <c r="D556"/>
  <c r="I555"/>
  <c r="N555"/>
  <c r="P555"/>
  <c r="Q555"/>
  <c r="D555"/>
  <c r="N554"/>
  <c r="P554"/>
  <c r="Q554"/>
  <c r="O554"/>
  <c r="I554"/>
  <c r="D554"/>
  <c r="N553"/>
  <c r="P553"/>
  <c r="Q553"/>
  <c r="O553"/>
  <c r="I553"/>
  <c r="D553"/>
  <c r="N552"/>
  <c r="P552"/>
  <c r="Q552"/>
  <c r="O552"/>
  <c r="I552"/>
  <c r="D552"/>
  <c r="N551"/>
  <c r="P551"/>
  <c r="Q551"/>
  <c r="O551"/>
  <c r="I551"/>
  <c r="D551"/>
  <c r="N550"/>
  <c r="P550"/>
  <c r="Q550"/>
  <c r="O550"/>
  <c r="I550"/>
  <c r="D550"/>
  <c r="N549"/>
  <c r="P549"/>
  <c r="Q549"/>
  <c r="O549"/>
  <c r="I549"/>
  <c r="D549"/>
  <c r="N548"/>
  <c r="P548"/>
  <c r="Q548"/>
  <c r="O548"/>
  <c r="I548"/>
  <c r="D548"/>
  <c r="N547"/>
  <c r="P547"/>
  <c r="Q547"/>
  <c r="O547"/>
  <c r="I547"/>
  <c r="D547"/>
  <c r="N546"/>
  <c r="P546"/>
  <c r="Q546"/>
  <c r="O546"/>
  <c r="I546"/>
  <c r="D546"/>
  <c r="N545"/>
  <c r="P545"/>
  <c r="Q545"/>
  <c r="O545"/>
  <c r="I545"/>
  <c r="D545"/>
  <c r="N544"/>
  <c r="P544"/>
  <c r="Q544"/>
  <c r="O544"/>
  <c r="I544"/>
  <c r="D544"/>
  <c r="N543"/>
  <c r="P543"/>
  <c r="Q543"/>
  <c r="O543"/>
  <c r="I543"/>
  <c r="D543"/>
  <c r="N542"/>
  <c r="P542"/>
  <c r="Q542"/>
  <c r="O542"/>
  <c r="I542"/>
  <c r="D542"/>
  <c r="N541"/>
  <c r="P541"/>
  <c r="Q541"/>
  <c r="O541"/>
  <c r="I541"/>
  <c r="D541"/>
  <c r="N540"/>
  <c r="P540"/>
  <c r="Q540"/>
  <c r="O540"/>
  <c r="I540"/>
  <c r="D540"/>
  <c r="N539"/>
  <c r="P539"/>
  <c r="Q539"/>
  <c r="O539"/>
  <c r="I539"/>
  <c r="D539"/>
  <c r="N538"/>
  <c r="P538"/>
  <c r="Q538"/>
  <c r="O538"/>
  <c r="I538"/>
  <c r="D538"/>
  <c r="N537"/>
  <c r="P537"/>
  <c r="Q537"/>
  <c r="O537"/>
  <c r="I537"/>
  <c r="D537"/>
  <c r="N536"/>
  <c r="P536"/>
  <c r="Q536"/>
  <c r="O536"/>
  <c r="I536"/>
  <c r="D536"/>
  <c r="N535"/>
  <c r="P535"/>
  <c r="Q535"/>
  <c r="O535"/>
  <c r="I535"/>
  <c r="D535"/>
  <c r="N534"/>
  <c r="P534"/>
  <c r="Q534"/>
  <c r="O534"/>
  <c r="I534"/>
  <c r="D534"/>
  <c r="N533"/>
  <c r="P533"/>
  <c r="Q533"/>
  <c r="O533"/>
  <c r="I533"/>
  <c r="D533"/>
  <c r="N532"/>
  <c r="P532"/>
  <c r="Q532"/>
  <c r="O532"/>
  <c r="I532"/>
  <c r="D532"/>
  <c r="N531"/>
  <c r="P531"/>
  <c r="Q531"/>
  <c r="O531"/>
  <c r="I531"/>
  <c r="D531"/>
  <c r="N530"/>
  <c r="P530"/>
  <c r="Q530"/>
  <c r="O530"/>
  <c r="I530"/>
  <c r="D530"/>
  <c r="N529"/>
  <c r="P529"/>
  <c r="Q529"/>
  <c r="O529"/>
  <c r="I529"/>
  <c r="D529"/>
  <c r="N528"/>
  <c r="P528"/>
  <c r="Q528"/>
  <c r="O528"/>
  <c r="I528"/>
  <c r="D528"/>
  <c r="N527"/>
  <c r="P527"/>
  <c r="Q527"/>
  <c r="O527"/>
  <c r="I527"/>
  <c r="D527"/>
  <c r="N526"/>
  <c r="P526"/>
  <c r="Q526"/>
  <c r="O526"/>
  <c r="I526"/>
  <c r="D526"/>
  <c r="N525"/>
  <c r="P525"/>
  <c r="Q525"/>
  <c r="O525"/>
  <c r="I525"/>
  <c r="D525"/>
  <c r="N524"/>
  <c r="P524"/>
  <c r="Q524"/>
  <c r="O524"/>
  <c r="I524"/>
  <c r="D524"/>
  <c r="N523"/>
  <c r="P523"/>
  <c r="Q523"/>
  <c r="O523"/>
  <c r="I523"/>
  <c r="D523"/>
  <c r="N522"/>
  <c r="P522"/>
  <c r="Q522"/>
  <c r="O522"/>
  <c r="I522"/>
  <c r="D522"/>
  <c r="N521"/>
  <c r="P521"/>
  <c r="Q521"/>
  <c r="O521"/>
  <c r="I521"/>
  <c r="D521"/>
  <c r="N520"/>
  <c r="P520"/>
  <c r="Q520"/>
  <c r="O520"/>
  <c r="I520"/>
  <c r="D520"/>
  <c r="N519"/>
  <c r="P519"/>
  <c r="Q519"/>
  <c r="O519"/>
  <c r="I519"/>
  <c r="D519"/>
  <c r="E519"/>
  <c r="N518"/>
  <c r="P518"/>
  <c r="Q518"/>
  <c r="O518"/>
  <c r="I518"/>
  <c r="D518"/>
  <c r="E518"/>
  <c r="N517"/>
  <c r="P517"/>
  <c r="Q517"/>
  <c r="O517"/>
  <c r="I517"/>
  <c r="D517"/>
  <c r="E517"/>
  <c r="N516"/>
  <c r="P516"/>
  <c r="Q516"/>
  <c r="O516"/>
  <c r="I516"/>
  <c r="D516"/>
  <c r="E516"/>
  <c r="N515"/>
  <c r="P515"/>
  <c r="Q515"/>
  <c r="O515"/>
  <c r="I515"/>
  <c r="D515"/>
  <c r="E515"/>
  <c r="N514"/>
  <c r="P514"/>
  <c r="Q514"/>
  <c r="O514"/>
  <c r="I514"/>
  <c r="D514"/>
  <c r="E514"/>
  <c r="N513"/>
  <c r="P513"/>
  <c r="Q513"/>
  <c r="O513"/>
  <c r="I513"/>
  <c r="D513"/>
  <c r="E513"/>
  <c r="N512"/>
  <c r="P512"/>
  <c r="Q512"/>
  <c r="O512"/>
  <c r="I512"/>
  <c r="D512"/>
  <c r="E512"/>
  <c r="N511"/>
  <c r="P511"/>
  <c r="Q511"/>
  <c r="O511"/>
  <c r="I511"/>
  <c r="D511"/>
  <c r="E511"/>
  <c r="N510"/>
  <c r="P510"/>
  <c r="Q510"/>
  <c r="O510"/>
  <c r="J510"/>
  <c r="I510"/>
  <c r="D510"/>
  <c r="E510"/>
  <c r="N509"/>
  <c r="P509"/>
  <c r="Q509"/>
  <c r="O509"/>
  <c r="J509"/>
  <c r="I509"/>
  <c r="D509"/>
  <c r="E509"/>
  <c r="N508"/>
  <c r="P508"/>
  <c r="Q508"/>
  <c r="O508"/>
  <c r="J508"/>
  <c r="I508"/>
  <c r="D508"/>
  <c r="E508"/>
  <c r="N507"/>
  <c r="P507"/>
  <c r="Q507"/>
  <c r="O507"/>
  <c r="J507"/>
  <c r="I507"/>
  <c r="D507"/>
  <c r="E507"/>
  <c r="N506"/>
  <c r="P506"/>
  <c r="Q506"/>
  <c r="O506"/>
  <c r="J506"/>
  <c r="I506"/>
  <c r="D506"/>
  <c r="E506"/>
  <c r="N505"/>
  <c r="P505"/>
  <c r="Q505"/>
  <c r="O505"/>
  <c r="J505"/>
  <c r="I505"/>
  <c r="D505"/>
  <c r="E505"/>
  <c r="N504"/>
  <c r="P504"/>
  <c r="Q504"/>
  <c r="O504"/>
  <c r="J504"/>
  <c r="I504"/>
  <c r="D504"/>
  <c r="E504"/>
  <c r="N503"/>
  <c r="P503"/>
  <c r="Q503"/>
  <c r="O503"/>
  <c r="J503"/>
  <c r="I503"/>
  <c r="D503"/>
  <c r="E503"/>
  <c r="N502"/>
  <c r="P502"/>
  <c r="Q502"/>
  <c r="O502"/>
  <c r="J502"/>
  <c r="I502"/>
  <c r="D502"/>
  <c r="E502"/>
  <c r="N501"/>
  <c r="P501"/>
  <c r="Q501"/>
  <c r="O501"/>
  <c r="J501"/>
  <c r="I501"/>
  <c r="D501"/>
  <c r="E501"/>
  <c r="N500"/>
  <c r="P500"/>
  <c r="Q500"/>
  <c r="O500"/>
  <c r="J500"/>
  <c r="I500"/>
  <c r="D500"/>
  <c r="E500"/>
  <c r="N499"/>
  <c r="P499"/>
  <c r="Q499"/>
  <c r="O499"/>
  <c r="J499"/>
  <c r="I499"/>
  <c r="D499"/>
  <c r="E499"/>
  <c r="N498"/>
  <c r="P498"/>
  <c r="Q498"/>
  <c r="O498"/>
  <c r="J498"/>
  <c r="I498"/>
  <c r="D498"/>
  <c r="E498"/>
  <c r="N497"/>
  <c r="P497"/>
  <c r="Q497"/>
  <c r="O497"/>
  <c r="J497"/>
  <c r="I497"/>
  <c r="D497"/>
  <c r="E497"/>
  <c r="N496"/>
  <c r="P496"/>
  <c r="Q496"/>
  <c r="O496"/>
  <c r="J496"/>
  <c r="I496"/>
  <c r="D496"/>
  <c r="E496"/>
  <c r="N495"/>
  <c r="P495"/>
  <c r="Q495"/>
  <c r="O495"/>
  <c r="J495"/>
  <c r="I495"/>
  <c r="D495"/>
  <c r="E495"/>
  <c r="N494"/>
  <c r="P494"/>
  <c r="Q494"/>
  <c r="O494"/>
  <c r="J494"/>
  <c r="I494"/>
  <c r="D494"/>
  <c r="E494"/>
  <c r="N493"/>
  <c r="P493"/>
  <c r="Q493"/>
  <c r="O493"/>
  <c r="J493"/>
  <c r="I493"/>
  <c r="D493"/>
  <c r="E493"/>
  <c r="N492"/>
  <c r="P492"/>
  <c r="Q492"/>
  <c r="O492"/>
  <c r="J492"/>
  <c r="I492"/>
  <c r="D492"/>
  <c r="E492"/>
  <c r="N491"/>
  <c r="P491"/>
  <c r="Q491"/>
  <c r="O491"/>
  <c r="J491"/>
  <c r="I491"/>
  <c r="D491"/>
  <c r="E491"/>
  <c r="N490"/>
  <c r="P490"/>
  <c r="Q490"/>
  <c r="O490"/>
  <c r="J490"/>
  <c r="I490"/>
  <c r="D490"/>
  <c r="E490"/>
  <c r="N489"/>
  <c r="P489"/>
  <c r="Q489"/>
  <c r="O489"/>
  <c r="J489"/>
  <c r="I489"/>
  <c r="D489"/>
  <c r="E489"/>
  <c r="N488"/>
  <c r="P488"/>
  <c r="Q488"/>
  <c r="O488"/>
  <c r="J488"/>
  <c r="I488"/>
  <c r="D488"/>
  <c r="E488"/>
  <c r="N487"/>
  <c r="P487"/>
  <c r="Q487"/>
  <c r="O487"/>
  <c r="J487"/>
  <c r="I487"/>
  <c r="D487"/>
  <c r="E487"/>
  <c r="N486"/>
  <c r="P486"/>
  <c r="Q486"/>
  <c r="O486"/>
  <c r="J486"/>
  <c r="I486"/>
  <c r="D486"/>
  <c r="E486"/>
  <c r="N485"/>
  <c r="P485"/>
  <c r="Q485"/>
  <c r="O485"/>
  <c r="J485"/>
  <c r="I485"/>
  <c r="D485"/>
  <c r="E485"/>
  <c r="N484"/>
  <c r="P484"/>
  <c r="Q484"/>
  <c r="O484"/>
  <c r="J484"/>
  <c r="I484"/>
  <c r="D484"/>
  <c r="E484"/>
  <c r="N483"/>
  <c r="P483"/>
  <c r="Q483"/>
  <c r="O483"/>
  <c r="J483"/>
  <c r="I483"/>
  <c r="D483"/>
  <c r="E483"/>
  <c r="N482"/>
  <c r="P482"/>
  <c r="Q482"/>
  <c r="O482"/>
  <c r="J482"/>
  <c r="I482"/>
  <c r="D482"/>
  <c r="E482"/>
  <c r="N481"/>
  <c r="P481"/>
  <c r="Q481"/>
  <c r="O481"/>
  <c r="J481"/>
  <c r="I481"/>
  <c r="D481"/>
  <c r="E481"/>
  <c r="N480"/>
  <c r="P480"/>
  <c r="Q480"/>
  <c r="O480"/>
  <c r="J480"/>
  <c r="I480"/>
  <c r="D480"/>
  <c r="E480"/>
  <c r="N479"/>
  <c r="P479"/>
  <c r="Q479"/>
  <c r="O479"/>
  <c r="J479"/>
  <c r="I479"/>
  <c r="D479"/>
  <c r="E479"/>
  <c r="N478"/>
  <c r="P478"/>
  <c r="Q478"/>
  <c r="O478"/>
  <c r="J478"/>
  <c r="I478"/>
  <c r="D478"/>
  <c r="E478"/>
  <c r="N477"/>
  <c r="P477"/>
  <c r="Q477"/>
  <c r="O477"/>
  <c r="J477"/>
  <c r="I477"/>
  <c r="D477"/>
  <c r="E477"/>
  <c r="N476"/>
  <c r="P476"/>
  <c r="Q476"/>
  <c r="O476"/>
  <c r="J476"/>
  <c r="I476"/>
  <c r="D476"/>
  <c r="E476"/>
  <c r="N475"/>
  <c r="P475"/>
  <c r="Q475"/>
  <c r="O475"/>
  <c r="J475"/>
  <c r="I475"/>
  <c r="D475"/>
  <c r="E475"/>
  <c r="N474"/>
  <c r="P474"/>
  <c r="Q474"/>
  <c r="O474"/>
  <c r="J474"/>
  <c r="I474"/>
  <c r="D474"/>
  <c r="E474"/>
  <c r="N473"/>
  <c r="P473"/>
  <c r="Q473"/>
  <c r="O473"/>
  <c r="J473"/>
  <c r="I473"/>
  <c r="D473"/>
  <c r="E473"/>
  <c r="N472"/>
  <c r="P472"/>
  <c r="Q472"/>
  <c r="O472"/>
  <c r="J472"/>
  <c r="I472"/>
  <c r="D472"/>
  <c r="E472"/>
  <c r="N471"/>
  <c r="P471"/>
  <c r="Q471"/>
  <c r="O471"/>
  <c r="J471"/>
  <c r="I471"/>
  <c r="D471"/>
  <c r="E471"/>
  <c r="N470"/>
  <c r="P470"/>
  <c r="Q470"/>
  <c r="O470"/>
  <c r="J470"/>
  <c r="I470"/>
  <c r="D470"/>
  <c r="E470"/>
  <c r="N469"/>
  <c r="P469"/>
  <c r="Q469"/>
  <c r="O469"/>
  <c r="J469"/>
  <c r="I469"/>
  <c r="D469"/>
  <c r="E469"/>
  <c r="N468"/>
  <c r="P468"/>
  <c r="Q468"/>
  <c r="O468"/>
  <c r="J468"/>
  <c r="I468"/>
  <c r="D468"/>
  <c r="E468"/>
  <c r="N467"/>
  <c r="P467"/>
  <c r="Q467"/>
  <c r="O467"/>
  <c r="J467"/>
  <c r="I467"/>
  <c r="D467"/>
  <c r="E467"/>
  <c r="N466"/>
  <c r="P466"/>
  <c r="Q466"/>
  <c r="O466"/>
  <c r="J466"/>
  <c r="I466"/>
  <c r="D466"/>
  <c r="E466"/>
  <c r="N465"/>
  <c r="P465"/>
  <c r="Q465"/>
  <c r="O465"/>
  <c r="J465"/>
  <c r="I465"/>
  <c r="D465"/>
  <c r="E465"/>
  <c r="N464"/>
  <c r="P464"/>
  <c r="Q464"/>
  <c r="O464"/>
  <c r="J464"/>
  <c r="I464"/>
  <c r="D464"/>
  <c r="E464"/>
  <c r="N463"/>
  <c r="P463"/>
  <c r="Q463"/>
  <c r="O463"/>
  <c r="J463"/>
  <c r="I463"/>
  <c r="D463"/>
  <c r="E463"/>
  <c r="N462"/>
  <c r="P462"/>
  <c r="Q462"/>
  <c r="O462"/>
  <c r="J462"/>
  <c r="I462"/>
  <c r="D462"/>
  <c r="E462"/>
  <c r="N461"/>
  <c r="P461"/>
  <c r="Q461"/>
  <c r="O461"/>
  <c r="J461"/>
  <c r="I461"/>
  <c r="D461"/>
  <c r="E461"/>
  <c r="N460"/>
  <c r="P460"/>
  <c r="Q460"/>
  <c r="O460"/>
  <c r="J460"/>
  <c r="I460"/>
  <c r="D460"/>
  <c r="E460"/>
  <c r="N459"/>
  <c r="P459"/>
  <c r="Q459"/>
  <c r="O459"/>
  <c r="J459"/>
  <c r="I459"/>
  <c r="D459"/>
  <c r="E459"/>
  <c r="N458"/>
  <c r="P458"/>
  <c r="Q458"/>
  <c r="O458"/>
  <c r="J458"/>
  <c r="I458"/>
  <c r="D458"/>
  <c r="E458"/>
  <c r="N457"/>
  <c r="P457"/>
  <c r="Q457"/>
  <c r="O457"/>
  <c r="J457"/>
  <c r="I457"/>
  <c r="D457"/>
  <c r="E457"/>
  <c r="N456"/>
  <c r="P456"/>
  <c r="Q456"/>
  <c r="O456"/>
  <c r="J456"/>
  <c r="I456"/>
  <c r="D456"/>
  <c r="E456"/>
  <c r="N455"/>
  <c r="P455"/>
  <c r="Q455"/>
  <c r="O455"/>
  <c r="J455"/>
  <c r="I455"/>
  <c r="D455"/>
  <c r="E455"/>
  <c r="N454"/>
  <c r="P454"/>
  <c r="Q454"/>
  <c r="O454"/>
  <c r="J454"/>
  <c r="I454"/>
  <c r="D454"/>
  <c r="E454"/>
  <c r="N453"/>
  <c r="P453"/>
  <c r="Q453"/>
  <c r="O453"/>
  <c r="J453"/>
  <c r="I453"/>
  <c r="D453"/>
  <c r="E453"/>
  <c r="N452"/>
  <c r="P452"/>
  <c r="Q452"/>
  <c r="O452"/>
  <c r="J452"/>
  <c r="I452"/>
  <c r="D452"/>
  <c r="E452"/>
  <c r="N451"/>
  <c r="P451"/>
  <c r="Q451"/>
  <c r="O451"/>
  <c r="J451"/>
  <c r="I451"/>
  <c r="D451"/>
  <c r="E451"/>
  <c r="N450"/>
  <c r="P450"/>
  <c r="Q450"/>
  <c r="O450"/>
  <c r="J450"/>
  <c r="I450"/>
  <c r="D450"/>
  <c r="E450"/>
  <c r="N449"/>
  <c r="P449"/>
  <c r="Q449"/>
  <c r="O449"/>
  <c r="J449"/>
  <c r="I449"/>
  <c r="D449"/>
  <c r="E449"/>
  <c r="N448"/>
  <c r="P448"/>
  <c r="Q448"/>
  <c r="O448"/>
  <c r="J448"/>
  <c r="I448"/>
  <c r="D448"/>
  <c r="E448"/>
  <c r="N447"/>
  <c r="P447"/>
  <c r="Q447"/>
  <c r="O447"/>
  <c r="J447"/>
  <c r="I447"/>
  <c r="D447"/>
  <c r="E447"/>
  <c r="N446"/>
  <c r="P446"/>
  <c r="Q446"/>
  <c r="O446"/>
  <c r="J446"/>
  <c r="I446"/>
  <c r="D446"/>
  <c r="E446"/>
  <c r="N445"/>
  <c r="P445"/>
  <c r="Q445"/>
  <c r="O445"/>
  <c r="J445"/>
  <c r="I445"/>
  <c r="D445"/>
  <c r="E445"/>
  <c r="N444"/>
  <c r="P444"/>
  <c r="Q444"/>
  <c r="O444"/>
  <c r="J444"/>
  <c r="I444"/>
  <c r="D444"/>
  <c r="E444"/>
  <c r="N443"/>
  <c r="P443"/>
  <c r="Q443"/>
  <c r="O443"/>
  <c r="J443"/>
  <c r="I443"/>
  <c r="D443"/>
  <c r="E443"/>
  <c r="N442"/>
  <c r="P442"/>
  <c r="Q442"/>
  <c r="O442"/>
  <c r="J442"/>
  <c r="I442"/>
  <c r="D442"/>
  <c r="E442"/>
  <c r="N441"/>
  <c r="P441"/>
  <c r="Q441"/>
  <c r="O441"/>
  <c r="J441"/>
  <c r="I441"/>
  <c r="D441"/>
  <c r="E441"/>
  <c r="N440"/>
  <c r="P440"/>
  <c r="Q440"/>
  <c r="O440"/>
  <c r="J440"/>
  <c r="I440"/>
  <c r="D440"/>
  <c r="E440"/>
  <c r="N439"/>
  <c r="P439"/>
  <c r="Q439"/>
  <c r="O439"/>
  <c r="J439"/>
  <c r="I439"/>
  <c r="D439"/>
  <c r="E439"/>
  <c r="N438"/>
  <c r="P438"/>
  <c r="Q438"/>
  <c r="O438"/>
  <c r="J438"/>
  <c r="I438"/>
  <c r="D438"/>
  <c r="E438"/>
  <c r="N437"/>
  <c r="P437"/>
  <c r="Q437"/>
  <c r="O437"/>
  <c r="J437"/>
  <c r="I437"/>
  <c r="D437"/>
  <c r="E437"/>
  <c r="N436"/>
  <c r="P436"/>
  <c r="Q436"/>
  <c r="O436"/>
  <c r="J436"/>
  <c r="I436"/>
  <c r="D436"/>
  <c r="E436"/>
  <c r="N435"/>
  <c r="P435"/>
  <c r="Q435"/>
  <c r="O435"/>
  <c r="J435"/>
  <c r="I435"/>
  <c r="D435"/>
  <c r="E435"/>
  <c r="N434"/>
  <c r="P434"/>
  <c r="Q434"/>
  <c r="O434"/>
  <c r="J434"/>
  <c r="I434"/>
  <c r="D434"/>
  <c r="E434"/>
  <c r="N433"/>
  <c r="P433"/>
  <c r="Q433"/>
  <c r="O433"/>
  <c r="J433"/>
  <c r="I433"/>
  <c r="D433"/>
  <c r="E433"/>
  <c r="N432"/>
  <c r="P432"/>
  <c r="Q432"/>
  <c r="O432"/>
  <c r="J432"/>
  <c r="I432"/>
  <c r="D432"/>
  <c r="E432"/>
  <c r="N431"/>
  <c r="P431"/>
  <c r="Q431"/>
  <c r="O431"/>
  <c r="J431"/>
  <c r="I431"/>
  <c r="D431"/>
  <c r="E431"/>
  <c r="N430"/>
  <c r="P430"/>
  <c r="Q430"/>
  <c r="O430"/>
  <c r="J430"/>
  <c r="I430"/>
  <c r="D430"/>
  <c r="E430"/>
  <c r="N429"/>
  <c r="P429"/>
  <c r="Q429"/>
  <c r="O429"/>
  <c r="J429"/>
  <c r="I429"/>
  <c r="D429"/>
  <c r="E429"/>
  <c r="N428"/>
  <c r="P428"/>
  <c r="Q428"/>
  <c r="O428"/>
  <c r="J428"/>
  <c r="I428"/>
  <c r="D428"/>
  <c r="E428"/>
  <c r="N427"/>
  <c r="P427"/>
  <c r="Q427"/>
  <c r="O427"/>
  <c r="J427"/>
  <c r="I427"/>
  <c r="D427"/>
  <c r="E427"/>
  <c r="N426"/>
  <c r="P426"/>
  <c r="Q426"/>
  <c r="O426"/>
  <c r="J426"/>
  <c r="I426"/>
  <c r="D426"/>
  <c r="E426"/>
  <c r="N425"/>
  <c r="P425"/>
  <c r="Q425"/>
  <c r="O425"/>
  <c r="J425"/>
  <c r="I425"/>
  <c r="D425"/>
  <c r="E425"/>
  <c r="N424"/>
  <c r="P424"/>
  <c r="Q424"/>
  <c r="O424"/>
  <c r="J424"/>
  <c r="I424"/>
  <c r="D424"/>
  <c r="E424"/>
  <c r="N423"/>
  <c r="P423"/>
  <c r="Q423"/>
  <c r="O423"/>
  <c r="J423"/>
  <c r="I423"/>
  <c r="D423"/>
  <c r="E423"/>
  <c r="N422"/>
  <c r="P422"/>
  <c r="Q422"/>
  <c r="O422"/>
  <c r="J422"/>
  <c r="I422"/>
  <c r="D422"/>
  <c r="E422"/>
  <c r="N421"/>
  <c r="P421"/>
  <c r="Q421"/>
  <c r="O421"/>
  <c r="J421"/>
  <c r="I421"/>
  <c r="D421"/>
  <c r="E421"/>
  <c r="N420"/>
  <c r="P420"/>
  <c r="Q420"/>
  <c r="O420"/>
  <c r="J420"/>
  <c r="I420"/>
  <c r="D420"/>
  <c r="E420"/>
  <c r="N419"/>
  <c r="P419"/>
  <c r="Q419"/>
  <c r="O419"/>
  <c r="J419"/>
  <c r="I419"/>
  <c r="D419"/>
  <c r="E419"/>
  <c r="N418"/>
  <c r="P418"/>
  <c r="Q418"/>
  <c r="O418"/>
  <c r="J418"/>
  <c r="I418"/>
  <c r="D418"/>
  <c r="E418"/>
  <c r="N417"/>
  <c r="P417"/>
  <c r="Q417"/>
  <c r="O417"/>
  <c r="J417"/>
  <c r="I417"/>
  <c r="D417"/>
  <c r="E417"/>
  <c r="N416"/>
  <c r="P416"/>
  <c r="Q416"/>
  <c r="O416"/>
  <c r="J416"/>
  <c r="I416"/>
  <c r="D416"/>
  <c r="E416"/>
  <c r="N415"/>
  <c r="P415"/>
  <c r="Q415"/>
  <c r="O415"/>
  <c r="J415"/>
  <c r="I415"/>
  <c r="D415"/>
  <c r="E415"/>
  <c r="N414"/>
  <c r="P414"/>
  <c r="Q414"/>
  <c r="O414"/>
  <c r="J414"/>
  <c r="I414"/>
  <c r="D414"/>
  <c r="E414"/>
  <c r="N413"/>
  <c r="P413"/>
  <c r="Q413"/>
  <c r="O413"/>
  <c r="J413"/>
  <c r="I413"/>
  <c r="D413"/>
  <c r="E413"/>
  <c r="N412"/>
  <c r="P412"/>
  <c r="Q412"/>
  <c r="O412"/>
  <c r="J412"/>
  <c r="I412"/>
  <c r="D412"/>
  <c r="E412"/>
  <c r="N411"/>
  <c r="P411"/>
  <c r="Q411"/>
  <c r="O411"/>
  <c r="J411"/>
  <c r="I411"/>
  <c r="D411"/>
  <c r="E411"/>
  <c r="N410"/>
  <c r="P410"/>
  <c r="Q410"/>
  <c r="O410"/>
  <c r="J410"/>
  <c r="I410"/>
  <c r="D410"/>
  <c r="E410"/>
  <c r="N409"/>
  <c r="P409"/>
  <c r="Q409"/>
  <c r="O409"/>
  <c r="J409"/>
  <c r="I409"/>
  <c r="D409"/>
  <c r="E409"/>
  <c r="N408"/>
  <c r="P408"/>
  <c r="Q408"/>
  <c r="O408"/>
  <c r="J408"/>
  <c r="I408"/>
  <c r="D408"/>
  <c r="E408"/>
  <c r="N407"/>
  <c r="P407"/>
  <c r="Q407"/>
  <c r="O407"/>
  <c r="J407"/>
  <c r="I407"/>
  <c r="D407"/>
  <c r="E407"/>
  <c r="N406"/>
  <c r="P406"/>
  <c r="Q406"/>
  <c r="O406"/>
  <c r="J406"/>
  <c r="I406"/>
  <c r="D406"/>
  <c r="E406"/>
  <c r="N405"/>
  <c r="P405"/>
  <c r="Q405"/>
  <c r="O405"/>
  <c r="J405"/>
  <c r="I405"/>
  <c r="D405"/>
  <c r="E405"/>
  <c r="N404"/>
  <c r="P404"/>
  <c r="Q404"/>
  <c r="O404"/>
  <c r="J404"/>
  <c r="I404"/>
  <c r="D404"/>
  <c r="E404"/>
  <c r="N403"/>
  <c r="P403"/>
  <c r="Q403"/>
  <c r="O403"/>
  <c r="J403"/>
  <c r="I403"/>
  <c r="D403"/>
  <c r="E403"/>
  <c r="N402"/>
  <c r="P402"/>
  <c r="Q402"/>
  <c r="O402"/>
  <c r="J402"/>
  <c r="I402"/>
  <c r="D402"/>
  <c r="E402"/>
  <c r="N401"/>
  <c r="P401"/>
  <c r="Q401"/>
  <c r="O401"/>
  <c r="J401"/>
  <c r="I401"/>
  <c r="D401"/>
  <c r="E401"/>
  <c r="N400"/>
  <c r="P400"/>
  <c r="Q400"/>
  <c r="O400"/>
  <c r="J400"/>
  <c r="I400"/>
  <c r="D400"/>
  <c r="E400"/>
  <c r="N399"/>
  <c r="P399"/>
  <c r="Q399"/>
  <c r="O399"/>
  <c r="J399"/>
  <c r="I399"/>
  <c r="D399"/>
  <c r="E399"/>
  <c r="N398"/>
  <c r="P398"/>
  <c r="Q398"/>
  <c r="O398"/>
  <c r="J398"/>
  <c r="I398"/>
  <c r="D398"/>
  <c r="E398"/>
  <c r="N397"/>
  <c r="P397"/>
  <c r="Q397"/>
  <c r="O397"/>
  <c r="J397"/>
  <c r="I397"/>
  <c r="D397"/>
  <c r="E397"/>
  <c r="N396"/>
  <c r="P396"/>
  <c r="Q396"/>
  <c r="O396"/>
  <c r="J396"/>
  <c r="I396"/>
  <c r="D396"/>
  <c r="E396"/>
  <c r="N395"/>
  <c r="P395"/>
  <c r="Q395"/>
  <c r="O395"/>
  <c r="J395"/>
  <c r="I395"/>
  <c r="D395"/>
  <c r="E395"/>
  <c r="N394"/>
  <c r="P394"/>
  <c r="Q394"/>
  <c r="O394"/>
  <c r="J394"/>
  <c r="I394"/>
  <c r="D394"/>
  <c r="E394"/>
  <c r="N393"/>
  <c r="P393"/>
  <c r="Q393"/>
  <c r="O393"/>
  <c r="J393"/>
  <c r="I393"/>
  <c r="D393"/>
  <c r="E393"/>
  <c r="N392"/>
  <c r="P392"/>
  <c r="Q392"/>
  <c r="O392"/>
  <c r="J392"/>
  <c r="I392"/>
  <c r="D392"/>
  <c r="E392"/>
  <c r="N391"/>
  <c r="P391"/>
  <c r="Q391"/>
  <c r="O391"/>
  <c r="J391"/>
  <c r="I391"/>
  <c r="D391"/>
  <c r="E391"/>
  <c r="N390"/>
  <c r="P390"/>
  <c r="Q390"/>
  <c r="O390"/>
  <c r="J390"/>
  <c r="I390"/>
  <c r="D390"/>
  <c r="E390"/>
  <c r="N389"/>
  <c r="P389"/>
  <c r="Q389"/>
  <c r="O389"/>
  <c r="J389"/>
  <c r="I389"/>
  <c r="D389"/>
  <c r="E389"/>
  <c r="N388"/>
  <c r="P388"/>
  <c r="Q388"/>
  <c r="O388"/>
  <c r="J388"/>
  <c r="I388"/>
  <c r="D388"/>
  <c r="E388"/>
  <c r="N387"/>
  <c r="P387"/>
  <c r="Q387"/>
  <c r="O387"/>
  <c r="J387"/>
  <c r="I387"/>
  <c r="D387"/>
  <c r="E387"/>
  <c r="N386"/>
  <c r="P386"/>
  <c r="Q386"/>
  <c r="O386"/>
  <c r="J386"/>
  <c r="I386"/>
  <c r="D386"/>
  <c r="E386"/>
  <c r="N385"/>
  <c r="P385"/>
  <c r="Q385"/>
  <c r="O385"/>
  <c r="J385"/>
  <c r="I385"/>
  <c r="D385"/>
  <c r="E385"/>
  <c r="N384"/>
  <c r="P384"/>
  <c r="Q384"/>
  <c r="O384"/>
  <c r="J384"/>
  <c r="I384"/>
  <c r="D384"/>
  <c r="E384"/>
  <c r="N383"/>
  <c r="P383"/>
  <c r="Q383"/>
  <c r="O383"/>
  <c r="J383"/>
  <c r="I383"/>
  <c r="D383"/>
  <c r="E383"/>
  <c r="N382"/>
  <c r="P382"/>
  <c r="Q382"/>
  <c r="O382"/>
  <c r="J382"/>
  <c r="I382"/>
  <c r="D382"/>
  <c r="E382"/>
  <c r="N381"/>
  <c r="P381"/>
  <c r="Q381"/>
  <c r="O381"/>
  <c r="J381"/>
  <c r="I381"/>
  <c r="D381"/>
  <c r="E381"/>
  <c r="N380"/>
  <c r="P380"/>
  <c r="Q380"/>
  <c r="O380"/>
  <c r="J380"/>
  <c r="I380"/>
  <c r="D380"/>
  <c r="E380"/>
  <c r="N379"/>
  <c r="P379"/>
  <c r="Q379"/>
  <c r="O379"/>
  <c r="J379"/>
  <c r="I379"/>
  <c r="D379"/>
  <c r="E379"/>
  <c r="N378"/>
  <c r="P378"/>
  <c r="Q378"/>
  <c r="O378"/>
  <c r="J378"/>
  <c r="I378"/>
  <c r="D378"/>
  <c r="E378"/>
  <c r="N377"/>
  <c r="P377"/>
  <c r="Q377"/>
  <c r="O377"/>
  <c r="J377"/>
  <c r="I377"/>
  <c r="D377"/>
  <c r="E377"/>
  <c r="N376"/>
  <c r="P376"/>
  <c r="Q376"/>
  <c r="O376"/>
  <c r="J376"/>
  <c r="I376"/>
  <c r="D376"/>
  <c r="E376"/>
  <c r="N375"/>
  <c r="P375"/>
  <c r="Q375"/>
  <c r="O375"/>
  <c r="J375"/>
  <c r="I375"/>
  <c r="D375"/>
  <c r="E375"/>
  <c r="N374"/>
  <c r="P374"/>
  <c r="Q374"/>
  <c r="O374"/>
  <c r="J374"/>
  <c r="I374"/>
  <c r="D374"/>
  <c r="E374"/>
  <c r="N373"/>
  <c r="P373"/>
  <c r="Q373"/>
  <c r="O373"/>
  <c r="J373"/>
  <c r="I373"/>
  <c r="D373"/>
  <c r="E373"/>
  <c r="N372"/>
  <c r="P372"/>
  <c r="Q372"/>
  <c r="O372"/>
  <c r="J372"/>
  <c r="I372"/>
  <c r="D372"/>
  <c r="E372"/>
  <c r="N371"/>
  <c r="P371"/>
  <c r="Q371"/>
  <c r="O371"/>
  <c r="J371"/>
  <c r="I371"/>
  <c r="D371"/>
  <c r="E371"/>
  <c r="N370"/>
  <c r="P370"/>
  <c r="Q370"/>
  <c r="O370"/>
  <c r="J370"/>
  <c r="I370"/>
  <c r="D370"/>
  <c r="E370"/>
  <c r="N369"/>
  <c r="P369"/>
  <c r="Q369"/>
  <c r="O369"/>
  <c r="J369"/>
  <c r="I369"/>
  <c r="D369"/>
  <c r="E369"/>
  <c r="N368"/>
  <c r="P368"/>
  <c r="Q368"/>
  <c r="O368"/>
  <c r="J368"/>
  <c r="I368"/>
  <c r="D368"/>
  <c r="E368"/>
  <c r="N367"/>
  <c r="P367"/>
  <c r="Q367"/>
  <c r="O367"/>
  <c r="J367"/>
  <c r="I367"/>
  <c r="D367"/>
  <c r="E367"/>
  <c r="N366"/>
  <c r="P366"/>
  <c r="Q366"/>
  <c r="O366"/>
  <c r="J366"/>
  <c r="I366"/>
  <c r="D366"/>
  <c r="E366"/>
  <c r="N365"/>
  <c r="P365"/>
  <c r="Q365"/>
  <c r="O365"/>
  <c r="J365"/>
  <c r="I365"/>
  <c r="D365"/>
  <c r="E365"/>
  <c r="N364"/>
  <c r="P364"/>
  <c r="Q364"/>
  <c r="O364"/>
  <c r="J364"/>
  <c r="I364"/>
  <c r="D364"/>
  <c r="E364"/>
  <c r="N363"/>
  <c r="P363"/>
  <c r="Q363"/>
  <c r="O363"/>
  <c r="J363"/>
  <c r="I363"/>
  <c r="D363"/>
  <c r="E363"/>
  <c r="N362"/>
  <c r="P362"/>
  <c r="Q362"/>
  <c r="O362"/>
  <c r="J362"/>
  <c r="I362"/>
  <c r="D362"/>
  <c r="E362"/>
  <c r="N361"/>
  <c r="P361"/>
  <c r="Q361"/>
  <c r="O361"/>
  <c r="J361"/>
  <c r="I361"/>
  <c r="D361"/>
  <c r="E361"/>
  <c r="N360"/>
  <c r="P360"/>
  <c r="Q360"/>
  <c r="O360"/>
  <c r="J360"/>
  <c r="I360"/>
  <c r="D360"/>
  <c r="E360"/>
  <c r="N359"/>
  <c r="P359"/>
  <c r="Q359"/>
  <c r="O359"/>
  <c r="J359"/>
  <c r="I359"/>
  <c r="D359"/>
  <c r="E359"/>
  <c r="N358"/>
  <c r="P358"/>
  <c r="Q358"/>
  <c r="O358"/>
  <c r="J358"/>
  <c r="I358"/>
  <c r="D358"/>
  <c r="E358"/>
  <c r="N357"/>
  <c r="P357"/>
  <c r="Q357"/>
  <c r="O357"/>
  <c r="J357"/>
  <c r="I357"/>
  <c r="D357"/>
  <c r="E357"/>
  <c r="N356"/>
  <c r="P356"/>
  <c r="Q356"/>
  <c r="O356"/>
  <c r="J356"/>
  <c r="I356"/>
  <c r="D356"/>
  <c r="E356"/>
  <c r="N355"/>
  <c r="P355"/>
  <c r="Q355"/>
  <c r="O355"/>
  <c r="J355"/>
  <c r="I355"/>
  <c r="D355"/>
  <c r="E355"/>
  <c r="N354"/>
  <c r="P354"/>
  <c r="Q354"/>
  <c r="O354"/>
  <c r="J354"/>
  <c r="I354"/>
  <c r="D354"/>
  <c r="E354"/>
  <c r="N353"/>
  <c r="P353"/>
  <c r="Q353"/>
  <c r="O353"/>
  <c r="J353"/>
  <c r="I353"/>
  <c r="D353"/>
  <c r="E353"/>
  <c r="N352"/>
  <c r="P352"/>
  <c r="Q352"/>
  <c r="O352"/>
  <c r="J352"/>
  <c r="I352"/>
  <c r="D352"/>
  <c r="E352"/>
  <c r="N351"/>
  <c r="P351"/>
  <c r="Q351"/>
  <c r="O351"/>
  <c r="J351"/>
  <c r="I351"/>
  <c r="D351"/>
  <c r="E351"/>
  <c r="N350"/>
  <c r="P350"/>
  <c r="Q350"/>
  <c r="O350"/>
  <c r="J350"/>
  <c r="I350"/>
  <c r="D350"/>
  <c r="E350"/>
  <c r="N349"/>
  <c r="P349"/>
  <c r="Q349"/>
  <c r="O349"/>
  <c r="J349"/>
  <c r="I349"/>
  <c r="D349"/>
  <c r="E349"/>
  <c r="N348"/>
  <c r="P348"/>
  <c r="Q348"/>
  <c r="O348"/>
  <c r="J348"/>
  <c r="I348"/>
  <c r="D348"/>
  <c r="E348"/>
  <c r="N347"/>
  <c r="P347"/>
  <c r="Q347"/>
  <c r="O347"/>
  <c r="J347"/>
  <c r="I347"/>
  <c r="D347"/>
  <c r="E347"/>
  <c r="N346"/>
  <c r="P346"/>
  <c r="Q346"/>
  <c r="O346"/>
  <c r="J346"/>
  <c r="I346"/>
  <c r="D346"/>
  <c r="E346"/>
  <c r="N345"/>
  <c r="P345"/>
  <c r="Q345"/>
  <c r="O345"/>
  <c r="J345"/>
  <c r="I345"/>
  <c r="D345"/>
  <c r="E345"/>
  <c r="N344"/>
  <c r="P344"/>
  <c r="Q344"/>
  <c r="O344"/>
  <c r="J344"/>
  <c r="I344"/>
  <c r="D344"/>
  <c r="E344"/>
  <c r="N343"/>
  <c r="P343"/>
  <c r="Q343"/>
  <c r="O343"/>
  <c r="J343"/>
  <c r="I343"/>
  <c r="D343"/>
  <c r="E343"/>
  <c r="N342"/>
  <c r="P342"/>
  <c r="Q342"/>
  <c r="O342"/>
  <c r="J342"/>
  <c r="I342"/>
  <c r="D342"/>
  <c r="E342"/>
  <c r="N341"/>
  <c r="P341"/>
  <c r="Q341"/>
  <c r="O341"/>
  <c r="J341"/>
  <c r="I341"/>
  <c r="D341"/>
  <c r="E341"/>
  <c r="N340"/>
  <c r="P340"/>
  <c r="Q340"/>
  <c r="O340"/>
  <c r="J340"/>
  <c r="I340"/>
  <c r="D340"/>
  <c r="E340"/>
  <c r="N339"/>
  <c r="P339"/>
  <c r="Q339"/>
  <c r="O339"/>
  <c r="J339"/>
  <c r="I339"/>
  <c r="D339"/>
  <c r="E339"/>
  <c r="N338"/>
  <c r="P338"/>
  <c r="Q338"/>
  <c r="O338"/>
  <c r="J338"/>
  <c r="I338"/>
  <c r="D338"/>
  <c r="E338"/>
  <c r="N337"/>
  <c r="P337"/>
  <c r="Q337"/>
  <c r="O337"/>
  <c r="J337"/>
  <c r="I337"/>
  <c r="D337"/>
  <c r="E337"/>
  <c r="N336"/>
  <c r="P336"/>
  <c r="Q336"/>
  <c r="O336"/>
  <c r="J336"/>
  <c r="I336"/>
  <c r="D336"/>
  <c r="E336"/>
  <c r="N335"/>
  <c r="P335"/>
  <c r="Q335"/>
  <c r="O335"/>
  <c r="J335"/>
  <c r="I335"/>
  <c r="D335"/>
  <c r="E335"/>
  <c r="N334"/>
  <c r="P334"/>
  <c r="Q334"/>
  <c r="O334"/>
  <c r="J334"/>
  <c r="I334"/>
  <c r="D334"/>
  <c r="E334"/>
  <c r="N333"/>
  <c r="P333"/>
  <c r="Q333"/>
  <c r="O333"/>
  <c r="J333"/>
  <c r="I333"/>
  <c r="D333"/>
  <c r="E333"/>
  <c r="N332"/>
  <c r="P332"/>
  <c r="Q332"/>
  <c r="O332"/>
  <c r="J332"/>
  <c r="I332"/>
  <c r="D332"/>
  <c r="E332"/>
  <c r="N331"/>
  <c r="P331"/>
  <c r="Q331"/>
  <c r="O331"/>
  <c r="J331"/>
  <c r="I331"/>
  <c r="D331"/>
  <c r="E331"/>
  <c r="N330"/>
  <c r="P330"/>
  <c r="Q330"/>
  <c r="O330"/>
  <c r="J330"/>
  <c r="I330"/>
  <c r="D330"/>
  <c r="E330"/>
  <c r="N329"/>
  <c r="P329"/>
  <c r="Q329"/>
  <c r="O329"/>
  <c r="J329"/>
  <c r="I329"/>
  <c r="D329"/>
  <c r="E329"/>
  <c r="N328"/>
  <c r="P328"/>
  <c r="Q328"/>
  <c r="O328"/>
  <c r="J328"/>
  <c r="I328"/>
  <c r="D328"/>
  <c r="E328"/>
  <c r="N327"/>
  <c r="P327"/>
  <c r="Q327"/>
  <c r="O327"/>
  <c r="J327"/>
  <c r="I327"/>
  <c r="D327"/>
  <c r="E327"/>
  <c r="N326"/>
  <c r="P326"/>
  <c r="Q326"/>
  <c r="O326"/>
  <c r="J326"/>
  <c r="I326"/>
  <c r="D326"/>
  <c r="E326"/>
  <c r="N325"/>
  <c r="P325"/>
  <c r="Q325"/>
  <c r="O325"/>
  <c r="J325"/>
  <c r="I325"/>
  <c r="D325"/>
  <c r="E325"/>
  <c r="N324"/>
  <c r="P324"/>
  <c r="Q324"/>
  <c r="O324"/>
  <c r="J324"/>
  <c r="I324"/>
  <c r="D324"/>
  <c r="E324"/>
  <c r="N323"/>
  <c r="P323"/>
  <c r="Q323"/>
  <c r="O323"/>
  <c r="J323"/>
  <c r="I323"/>
  <c r="D323"/>
  <c r="E323"/>
  <c r="N322"/>
  <c r="P322"/>
  <c r="Q322"/>
  <c r="O322"/>
  <c r="J322"/>
  <c r="I322"/>
  <c r="D322"/>
  <c r="E322"/>
  <c r="N321"/>
  <c r="P321"/>
  <c r="Q321"/>
  <c r="O321"/>
  <c r="J321"/>
  <c r="I321"/>
  <c r="D321"/>
  <c r="E321"/>
  <c r="N320"/>
  <c r="P320"/>
  <c r="Q320"/>
  <c r="O320"/>
  <c r="J320"/>
  <c r="I320"/>
  <c r="D320"/>
  <c r="E320"/>
  <c r="N319"/>
  <c r="P319"/>
  <c r="Q319"/>
  <c r="O319"/>
  <c r="J319"/>
  <c r="I319"/>
  <c r="D319"/>
  <c r="E319"/>
  <c r="N318"/>
  <c r="P318"/>
  <c r="Q318"/>
  <c r="O318"/>
  <c r="J318"/>
  <c r="I318"/>
  <c r="D318"/>
  <c r="E318"/>
  <c r="N317"/>
  <c r="P317"/>
  <c r="Q317"/>
  <c r="O317"/>
  <c r="J317"/>
  <c r="I317"/>
  <c r="D317"/>
  <c r="E317"/>
  <c r="N316"/>
  <c r="P316"/>
  <c r="Q316"/>
  <c r="O316"/>
  <c r="J316"/>
  <c r="I316"/>
  <c r="D316"/>
  <c r="E316"/>
  <c r="N315"/>
  <c r="P315"/>
  <c r="Q315"/>
  <c r="O315"/>
  <c r="J315"/>
  <c r="I315"/>
  <c r="D315"/>
  <c r="E315"/>
  <c r="N314"/>
  <c r="P314"/>
  <c r="Q314"/>
  <c r="O314"/>
  <c r="J314"/>
  <c r="I314"/>
  <c r="D314"/>
  <c r="E314"/>
  <c r="N313"/>
  <c r="P313"/>
  <c r="Q313"/>
  <c r="O313"/>
  <c r="J313"/>
  <c r="I313"/>
  <c r="D313"/>
  <c r="E313"/>
  <c r="N312"/>
  <c r="P312"/>
  <c r="Q312"/>
  <c r="O312"/>
  <c r="J312"/>
  <c r="I312"/>
  <c r="D312"/>
  <c r="E312"/>
  <c r="N311"/>
  <c r="P311"/>
  <c r="Q311"/>
  <c r="O311"/>
  <c r="J311"/>
  <c r="I311"/>
  <c r="D311"/>
  <c r="E311"/>
  <c r="N310"/>
  <c r="P310"/>
  <c r="Q310"/>
  <c r="O310"/>
  <c r="J310"/>
  <c r="I310"/>
  <c r="D310"/>
  <c r="E310"/>
  <c r="N309"/>
  <c r="P309"/>
  <c r="Q309"/>
  <c r="O309"/>
  <c r="J309"/>
  <c r="I309"/>
  <c r="D309"/>
  <c r="E309"/>
  <c r="N308"/>
  <c r="P308"/>
  <c r="Q308"/>
  <c r="O308"/>
  <c r="J308"/>
  <c r="I308"/>
  <c r="D308"/>
  <c r="E308"/>
  <c r="N307"/>
  <c r="P307"/>
  <c r="Q307"/>
  <c r="O307"/>
  <c r="J307"/>
  <c r="I307"/>
  <c r="D307"/>
  <c r="E307"/>
  <c r="N306"/>
  <c r="P306"/>
  <c r="Q306"/>
  <c r="O306"/>
  <c r="J306"/>
  <c r="I306"/>
  <c r="D306"/>
  <c r="E306"/>
  <c r="N305"/>
  <c r="P305"/>
  <c r="Q305"/>
  <c r="O305"/>
  <c r="J305"/>
  <c r="I305"/>
  <c r="D305"/>
  <c r="E305"/>
  <c r="N304"/>
  <c r="P304"/>
  <c r="Q304"/>
  <c r="O304"/>
  <c r="J304"/>
  <c r="I304"/>
  <c r="D304"/>
  <c r="E304"/>
  <c r="N303"/>
  <c r="P303"/>
  <c r="Q303"/>
  <c r="O303"/>
  <c r="J303"/>
  <c r="I303"/>
  <c r="D303"/>
  <c r="E303"/>
  <c r="N302"/>
  <c r="P302"/>
  <c r="Q302"/>
  <c r="O302"/>
  <c r="J302"/>
  <c r="I302"/>
  <c r="D302"/>
  <c r="E302"/>
  <c r="N301"/>
  <c r="P301"/>
  <c r="Q301"/>
  <c r="O301"/>
  <c r="J301"/>
  <c r="I301"/>
  <c r="D301"/>
  <c r="E301"/>
  <c r="N300"/>
  <c r="P300"/>
  <c r="Q300"/>
  <c r="O300"/>
  <c r="J300"/>
  <c r="I300"/>
  <c r="D300"/>
  <c r="E300"/>
  <c r="N299"/>
  <c r="P299"/>
  <c r="Q299"/>
  <c r="O299"/>
  <c r="J299"/>
  <c r="I299"/>
  <c r="D299"/>
  <c r="E299"/>
  <c r="N298"/>
  <c r="P298"/>
  <c r="Q298"/>
  <c r="O298"/>
  <c r="J298"/>
  <c r="I298"/>
  <c r="D298"/>
  <c r="E298"/>
  <c r="N297"/>
  <c r="P297"/>
  <c r="Q297"/>
  <c r="O297"/>
  <c r="J297"/>
  <c r="I297"/>
  <c r="D297"/>
  <c r="E297"/>
  <c r="N296"/>
  <c r="P296"/>
  <c r="Q296"/>
  <c r="O296"/>
  <c r="J296"/>
  <c r="I296"/>
  <c r="D296"/>
  <c r="E296"/>
  <c r="N295"/>
  <c r="P295"/>
  <c r="Q295"/>
  <c r="O295"/>
  <c r="J295"/>
  <c r="I295"/>
  <c r="D295"/>
  <c r="E295"/>
  <c r="N294"/>
  <c r="P294"/>
  <c r="Q294"/>
  <c r="O294"/>
  <c r="J294"/>
  <c r="I294"/>
  <c r="D294"/>
  <c r="E294"/>
  <c r="N293"/>
  <c r="P293"/>
  <c r="Q293"/>
  <c r="O293"/>
  <c r="J293"/>
  <c r="I293"/>
  <c r="D293"/>
  <c r="E293"/>
  <c r="N292"/>
  <c r="P292"/>
  <c r="Q292"/>
  <c r="O292"/>
  <c r="J292"/>
  <c r="I292"/>
  <c r="D292"/>
  <c r="E292"/>
  <c r="N291"/>
  <c r="P291"/>
  <c r="Q291"/>
  <c r="O291"/>
  <c r="J291"/>
  <c r="I291"/>
  <c r="D291"/>
  <c r="E291"/>
  <c r="N290"/>
  <c r="P290"/>
  <c r="Q290"/>
  <c r="O290"/>
  <c r="J290"/>
  <c r="I290"/>
  <c r="D290"/>
  <c r="E290"/>
  <c r="N289"/>
  <c r="P289"/>
  <c r="Q289"/>
  <c r="O289"/>
  <c r="J289"/>
  <c r="I289"/>
  <c r="D289"/>
  <c r="E289"/>
  <c r="N288"/>
  <c r="P288"/>
  <c r="Q288"/>
  <c r="O288"/>
  <c r="J288"/>
  <c r="I288"/>
  <c r="D288"/>
  <c r="E288"/>
  <c r="N287"/>
  <c r="P287"/>
  <c r="Q287"/>
  <c r="O287"/>
  <c r="J287"/>
  <c r="I287"/>
  <c r="D287"/>
  <c r="E287"/>
  <c r="N286"/>
  <c r="P286"/>
  <c r="Q286"/>
  <c r="O286"/>
  <c r="J286"/>
  <c r="I286"/>
  <c r="D286"/>
  <c r="E286"/>
  <c r="N285"/>
  <c r="P285"/>
  <c r="Q285"/>
  <c r="O285"/>
  <c r="J285"/>
  <c r="I285"/>
  <c r="D285"/>
  <c r="E285"/>
  <c r="N284"/>
  <c r="P284"/>
  <c r="Q284"/>
  <c r="O284"/>
  <c r="J284"/>
  <c r="I284"/>
  <c r="D284"/>
  <c r="E284"/>
  <c r="N283"/>
  <c r="P283"/>
  <c r="Q283"/>
  <c r="O283"/>
  <c r="J283"/>
  <c r="I283"/>
  <c r="D283"/>
  <c r="E283"/>
  <c r="N282"/>
  <c r="P282"/>
  <c r="Q282"/>
  <c r="O282"/>
  <c r="J282"/>
  <c r="I282"/>
  <c r="D282"/>
  <c r="E282"/>
  <c r="N281"/>
  <c r="P281"/>
  <c r="Q281"/>
  <c r="O281"/>
  <c r="J281"/>
  <c r="I281"/>
  <c r="D281"/>
  <c r="E281"/>
  <c r="N280"/>
  <c r="P280"/>
  <c r="Q280"/>
  <c r="O280"/>
  <c r="J280"/>
  <c r="I280"/>
  <c r="D280"/>
  <c r="E280"/>
  <c r="N279"/>
  <c r="P279"/>
  <c r="Q279"/>
  <c r="O279"/>
  <c r="J279"/>
  <c r="I279"/>
  <c r="D279"/>
  <c r="E279"/>
  <c r="N278"/>
  <c r="P278"/>
  <c r="Q278"/>
  <c r="O278"/>
  <c r="J278"/>
  <c r="I278"/>
  <c r="D278"/>
  <c r="E278"/>
  <c r="N277"/>
  <c r="P277"/>
  <c r="Q277"/>
  <c r="O277"/>
  <c r="J277"/>
  <c r="I277"/>
  <c r="D277"/>
  <c r="E277"/>
  <c r="N276"/>
  <c r="P276"/>
  <c r="Q276"/>
  <c r="O276"/>
  <c r="J276"/>
  <c r="I276"/>
  <c r="D276"/>
  <c r="E276"/>
  <c r="N275"/>
  <c r="P275"/>
  <c r="Q275"/>
  <c r="O275"/>
  <c r="J275"/>
  <c r="I275"/>
  <c r="D275"/>
  <c r="E275"/>
  <c r="N274"/>
  <c r="P274"/>
  <c r="Q274"/>
  <c r="O274"/>
  <c r="J274"/>
  <c r="I274"/>
  <c r="D274"/>
  <c r="E274"/>
  <c r="N273"/>
  <c r="P273"/>
  <c r="Q273"/>
  <c r="O273"/>
  <c r="J273"/>
  <c r="I273"/>
  <c r="D273"/>
  <c r="E273"/>
  <c r="N272"/>
  <c r="P272"/>
  <c r="Q272"/>
  <c r="O272"/>
  <c r="J272"/>
  <c r="I272"/>
  <c r="D272"/>
  <c r="E272"/>
  <c r="N271"/>
  <c r="P271"/>
  <c r="Q271"/>
  <c r="O271"/>
  <c r="J271"/>
  <c r="I271"/>
  <c r="D271"/>
  <c r="E271"/>
  <c r="N270"/>
  <c r="P270"/>
  <c r="Q270"/>
  <c r="O270"/>
  <c r="J270"/>
  <c r="I270"/>
  <c r="D270"/>
  <c r="E270"/>
  <c r="N269"/>
  <c r="P269"/>
  <c r="Q269"/>
  <c r="O269"/>
  <c r="J269"/>
  <c r="I269"/>
  <c r="D269"/>
  <c r="E269"/>
  <c r="N268"/>
  <c r="P268"/>
  <c r="Q268"/>
  <c r="O268"/>
  <c r="J268"/>
  <c r="I268"/>
  <c r="D268"/>
  <c r="E268"/>
  <c r="N267"/>
  <c r="P267"/>
  <c r="Q267"/>
  <c r="O267"/>
  <c r="J267"/>
  <c r="I267"/>
  <c r="D267"/>
  <c r="E267"/>
  <c r="N266"/>
  <c r="P266"/>
  <c r="Q266"/>
  <c r="O266"/>
  <c r="J266"/>
  <c r="I266"/>
  <c r="D266"/>
  <c r="E266"/>
  <c r="N265"/>
  <c r="P265"/>
  <c r="Q265"/>
  <c r="O265"/>
  <c r="J265"/>
  <c r="I265"/>
  <c r="D265"/>
  <c r="E265"/>
  <c r="N264"/>
  <c r="P264"/>
  <c r="Q264"/>
  <c r="O264"/>
  <c r="J264"/>
  <c r="I264"/>
  <c r="D264"/>
  <c r="E264"/>
  <c r="N263"/>
  <c r="P263"/>
  <c r="Q263"/>
  <c r="O263"/>
  <c r="J263"/>
  <c r="I263"/>
  <c r="D263"/>
  <c r="E263"/>
  <c r="N262"/>
  <c r="P262"/>
  <c r="Q262"/>
  <c r="O262"/>
  <c r="J262"/>
  <c r="I262"/>
  <c r="D262"/>
  <c r="E262"/>
  <c r="N261"/>
  <c r="P261"/>
  <c r="Q261"/>
  <c r="O261"/>
  <c r="J261"/>
  <c r="I261"/>
  <c r="D261"/>
  <c r="E261"/>
  <c r="N260"/>
  <c r="P260"/>
  <c r="Q260"/>
  <c r="O260"/>
  <c r="J260"/>
  <c r="I260"/>
  <c r="D260"/>
  <c r="E260"/>
  <c r="N259"/>
  <c r="P259"/>
  <c r="Q259"/>
  <c r="O259"/>
  <c r="J259"/>
  <c r="I259"/>
  <c r="D259"/>
  <c r="E259"/>
  <c r="N258"/>
  <c r="P258"/>
  <c r="Q258"/>
  <c r="O258"/>
  <c r="J258"/>
  <c r="I258"/>
  <c r="D258"/>
  <c r="E258"/>
  <c r="N257"/>
  <c r="P257"/>
  <c r="Q257"/>
  <c r="O257"/>
  <c r="J257"/>
  <c r="I257"/>
  <c r="D257"/>
  <c r="E257"/>
  <c r="N256"/>
  <c r="P256"/>
  <c r="Q256"/>
  <c r="O256"/>
  <c r="J256"/>
  <c r="I256"/>
  <c r="D256"/>
  <c r="E256"/>
  <c r="N255"/>
  <c r="P255"/>
  <c r="Q255"/>
  <c r="O255"/>
  <c r="J255"/>
  <c r="I255"/>
  <c r="D255"/>
  <c r="E255"/>
  <c r="N254"/>
  <c r="P254"/>
  <c r="Q254"/>
  <c r="O254"/>
  <c r="J254"/>
  <c r="I254"/>
  <c r="D254"/>
  <c r="E254"/>
  <c r="N253"/>
  <c r="P253"/>
  <c r="Q253"/>
  <c r="O253"/>
  <c r="J253"/>
  <c r="I253"/>
  <c r="D253"/>
  <c r="E253"/>
  <c r="N252"/>
  <c r="P252"/>
  <c r="Q252"/>
  <c r="O252"/>
  <c r="J252"/>
  <c r="I252"/>
  <c r="D252"/>
  <c r="E252"/>
  <c r="N251"/>
  <c r="P251"/>
  <c r="Q251"/>
  <c r="O251"/>
  <c r="J251"/>
  <c r="I251"/>
  <c r="D251"/>
  <c r="E251"/>
  <c r="N250"/>
  <c r="P250"/>
  <c r="Q250"/>
  <c r="O250"/>
  <c r="J250"/>
  <c r="I250"/>
  <c r="D250"/>
  <c r="E250"/>
  <c r="N249"/>
  <c r="P249"/>
  <c r="Q249"/>
  <c r="O249"/>
  <c r="J249"/>
  <c r="I249"/>
  <c r="D249"/>
  <c r="E249"/>
  <c r="N248"/>
  <c r="P248"/>
  <c r="Q248"/>
  <c r="O248"/>
  <c r="J248"/>
  <c r="I248"/>
  <c r="D248"/>
  <c r="E248"/>
  <c r="N247"/>
  <c r="P247"/>
  <c r="Q247"/>
  <c r="O247"/>
  <c r="J247"/>
  <c r="I247"/>
  <c r="D247"/>
  <c r="E247"/>
  <c r="N246"/>
  <c r="P246"/>
  <c r="Q246"/>
  <c r="O246"/>
  <c r="J246"/>
  <c r="I246"/>
  <c r="D246"/>
  <c r="E246"/>
  <c r="N245"/>
  <c r="P245"/>
  <c r="Q245"/>
  <c r="O245"/>
  <c r="J245"/>
  <c r="I245"/>
  <c r="D245"/>
  <c r="E245"/>
  <c r="N244"/>
  <c r="P244"/>
  <c r="Q244"/>
  <c r="O244"/>
  <c r="J244"/>
  <c r="I244"/>
  <c r="D244"/>
  <c r="E244"/>
  <c r="N243"/>
  <c r="P243"/>
  <c r="Q243"/>
  <c r="O243"/>
  <c r="J243"/>
  <c r="I243"/>
  <c r="D243"/>
  <c r="E243"/>
  <c r="N242"/>
  <c r="P242"/>
  <c r="Q242"/>
  <c r="O242"/>
  <c r="J242"/>
  <c r="I242"/>
  <c r="D242"/>
  <c r="E242"/>
  <c r="N241"/>
  <c r="P241"/>
  <c r="Q241"/>
  <c r="O241"/>
  <c r="J241"/>
  <c r="I241"/>
  <c r="D241"/>
  <c r="E241"/>
  <c r="N240"/>
  <c r="P240"/>
  <c r="Q240"/>
  <c r="O240"/>
  <c r="J240"/>
  <c r="I240"/>
  <c r="D240"/>
  <c r="E240"/>
  <c r="N239"/>
  <c r="P239"/>
  <c r="Q239"/>
  <c r="O239"/>
  <c r="J239"/>
  <c r="I239"/>
  <c r="D239"/>
  <c r="E239"/>
  <c r="N238"/>
  <c r="P238"/>
  <c r="Q238"/>
  <c r="O238"/>
  <c r="J238"/>
  <c r="I238"/>
  <c r="D238"/>
  <c r="E238"/>
  <c r="N237"/>
  <c r="P237"/>
  <c r="Q237"/>
  <c r="O237"/>
  <c r="J237"/>
  <c r="I237"/>
  <c r="D237"/>
  <c r="E237"/>
  <c r="N236"/>
  <c r="P236"/>
  <c r="Q236"/>
  <c r="O236"/>
  <c r="J236"/>
  <c r="I236"/>
  <c r="D236"/>
  <c r="E236"/>
  <c r="N235"/>
  <c r="P235"/>
  <c r="Q235"/>
  <c r="O235"/>
  <c r="J235"/>
  <c r="I235"/>
  <c r="D235"/>
  <c r="E235"/>
  <c r="N234"/>
  <c r="P234"/>
  <c r="Q234"/>
  <c r="O234"/>
  <c r="J234"/>
  <c r="I234"/>
  <c r="D234"/>
  <c r="E234"/>
  <c r="N233"/>
  <c r="P233"/>
  <c r="Q233"/>
  <c r="O233"/>
  <c r="J233"/>
  <c r="I233"/>
  <c r="D233"/>
  <c r="E233"/>
  <c r="N232"/>
  <c r="P232"/>
  <c r="Q232"/>
  <c r="O232"/>
  <c r="J232"/>
  <c r="I232"/>
  <c r="D232"/>
  <c r="E232"/>
  <c r="N231"/>
  <c r="P231"/>
  <c r="Q231"/>
  <c r="O231"/>
  <c r="J231"/>
  <c r="I231"/>
  <c r="D231"/>
  <c r="E231"/>
  <c r="N230"/>
  <c r="P230"/>
  <c r="Q230"/>
  <c r="O230"/>
  <c r="J230"/>
  <c r="I230"/>
  <c r="D230"/>
  <c r="E230"/>
  <c r="N229"/>
  <c r="P229"/>
  <c r="Q229"/>
  <c r="O229"/>
  <c r="J229"/>
  <c r="I229"/>
  <c r="D229"/>
  <c r="E229"/>
  <c r="N228"/>
  <c r="P228"/>
  <c r="Q228"/>
  <c r="O228"/>
  <c r="J228"/>
  <c r="I228"/>
  <c r="D228"/>
  <c r="E228"/>
  <c r="N227"/>
  <c r="P227"/>
  <c r="Q227"/>
  <c r="O227"/>
  <c r="J227"/>
  <c r="I227"/>
  <c r="D227"/>
  <c r="E227"/>
  <c r="N226"/>
  <c r="P226"/>
  <c r="Q226"/>
  <c r="O226"/>
  <c r="J226"/>
  <c r="I226"/>
  <c r="D226"/>
  <c r="E226"/>
  <c r="N225"/>
  <c r="P225"/>
  <c r="Q225"/>
  <c r="O225"/>
  <c r="J225"/>
  <c r="I225"/>
  <c r="D225"/>
  <c r="E225"/>
  <c r="N224"/>
  <c r="P224"/>
  <c r="Q224"/>
  <c r="O224"/>
  <c r="J224"/>
  <c r="I224"/>
  <c r="D224"/>
  <c r="E224"/>
  <c r="N223"/>
  <c r="P223"/>
  <c r="Q223"/>
  <c r="O223"/>
  <c r="J223"/>
  <c r="I223"/>
  <c r="D223"/>
  <c r="E223"/>
  <c r="N222"/>
  <c r="P222"/>
  <c r="Q222"/>
  <c r="O222"/>
  <c r="J222"/>
  <c r="I222"/>
  <c r="D222"/>
  <c r="E222"/>
  <c r="N221"/>
  <c r="P221"/>
  <c r="Q221"/>
  <c r="O221"/>
  <c r="J221"/>
  <c r="I221"/>
  <c r="D221"/>
  <c r="E221"/>
  <c r="N220"/>
  <c r="P220"/>
  <c r="Q220"/>
  <c r="O220"/>
  <c r="J220"/>
  <c r="I220"/>
  <c r="D220"/>
  <c r="E220"/>
  <c r="N219"/>
  <c r="P219"/>
  <c r="Q219"/>
  <c r="O219"/>
  <c r="J219"/>
  <c r="I219"/>
  <c r="D219"/>
  <c r="E219"/>
  <c r="N218"/>
  <c r="P218"/>
  <c r="Q218"/>
  <c r="O218"/>
  <c r="J218"/>
  <c r="I218"/>
  <c r="D218"/>
  <c r="E218"/>
  <c r="N217"/>
  <c r="P217"/>
  <c r="Q217"/>
  <c r="O217"/>
  <c r="J217"/>
  <c r="I217"/>
  <c r="D217"/>
  <c r="E217"/>
  <c r="N216"/>
  <c r="P216"/>
  <c r="Q216"/>
  <c r="O216"/>
  <c r="J216"/>
  <c r="I216"/>
  <c r="D216"/>
  <c r="E216"/>
  <c r="N215"/>
  <c r="P215"/>
  <c r="Q215"/>
  <c r="O215"/>
  <c r="J215"/>
  <c r="I215"/>
  <c r="D215"/>
  <c r="E215"/>
  <c r="N214"/>
  <c r="P214"/>
  <c r="Q214"/>
  <c r="O214"/>
  <c r="J214"/>
  <c r="I214"/>
  <c r="D214"/>
  <c r="E214"/>
  <c r="N213"/>
  <c r="P213"/>
  <c r="Q213"/>
  <c r="O213"/>
  <c r="J213"/>
  <c r="I213"/>
  <c r="D213"/>
  <c r="E213"/>
  <c r="N212"/>
  <c r="P212"/>
  <c r="Q212"/>
  <c r="O212"/>
  <c r="J212"/>
  <c r="I212"/>
  <c r="D212"/>
  <c r="E212"/>
  <c r="N211"/>
  <c r="P211"/>
  <c r="Q211"/>
  <c r="O211"/>
  <c r="J211"/>
  <c r="I211"/>
  <c r="D211"/>
  <c r="E211"/>
  <c r="N210"/>
  <c r="P210"/>
  <c r="Q210"/>
  <c r="O210"/>
  <c r="J210"/>
  <c r="I210"/>
  <c r="D210"/>
  <c r="E210"/>
  <c r="N209"/>
  <c r="P209"/>
  <c r="Q209"/>
  <c r="O209"/>
  <c r="J209"/>
  <c r="I209"/>
  <c r="D209"/>
  <c r="E209"/>
  <c r="N208"/>
  <c r="P208"/>
  <c r="Q208"/>
  <c r="O208"/>
  <c r="J208"/>
  <c r="I208"/>
  <c r="D208"/>
  <c r="E208"/>
  <c r="N207"/>
  <c r="P207"/>
  <c r="Q207"/>
  <c r="O207"/>
  <c r="J207"/>
  <c r="I207"/>
  <c r="D207"/>
  <c r="E207"/>
  <c r="N206"/>
  <c r="P206"/>
  <c r="Q206"/>
  <c r="O206"/>
  <c r="J206"/>
  <c r="I206"/>
  <c r="D206"/>
  <c r="E206"/>
  <c r="N205"/>
  <c r="P205"/>
  <c r="Q205"/>
  <c r="O205"/>
  <c r="J205"/>
  <c r="I205"/>
  <c r="D205"/>
  <c r="E205"/>
  <c r="N204"/>
  <c r="P204"/>
  <c r="Q204"/>
  <c r="O204"/>
  <c r="J204"/>
  <c r="I204"/>
  <c r="D204"/>
  <c r="E204"/>
  <c r="N203"/>
  <c r="P203"/>
  <c r="Q203"/>
  <c r="O203"/>
  <c r="J203"/>
  <c r="I203"/>
  <c r="D203"/>
  <c r="E203"/>
  <c r="N202"/>
  <c r="P202"/>
  <c r="Q202"/>
  <c r="O202"/>
  <c r="J202"/>
  <c r="I202"/>
  <c r="D202"/>
  <c r="E202"/>
  <c r="N201"/>
  <c r="P201"/>
  <c r="Q201"/>
  <c r="O201"/>
  <c r="J201"/>
  <c r="I201"/>
  <c r="D201"/>
  <c r="E201"/>
  <c r="N200"/>
  <c r="P200"/>
  <c r="Q200"/>
  <c r="O200"/>
  <c r="J200"/>
  <c r="I200"/>
  <c r="D200"/>
  <c r="E200"/>
  <c r="N199"/>
  <c r="P199"/>
  <c r="Q199"/>
  <c r="O199"/>
  <c r="J199"/>
  <c r="I199"/>
  <c r="D199"/>
  <c r="E199"/>
  <c r="N198"/>
  <c r="P198"/>
  <c r="Q198"/>
  <c r="O198"/>
  <c r="J198"/>
  <c r="I198"/>
  <c r="D198"/>
  <c r="E198"/>
  <c r="N197"/>
  <c r="P197"/>
  <c r="Q197"/>
  <c r="O197"/>
  <c r="J197"/>
  <c r="I197"/>
  <c r="D197"/>
  <c r="E197"/>
  <c r="N196"/>
  <c r="P196"/>
  <c r="Q196"/>
  <c r="O196"/>
  <c r="J196"/>
  <c r="I196"/>
  <c r="D196"/>
  <c r="E196"/>
  <c r="N195"/>
  <c r="P195"/>
  <c r="Q195"/>
  <c r="O195"/>
  <c r="J195"/>
  <c r="I195"/>
  <c r="D195"/>
  <c r="E195"/>
  <c r="N194"/>
  <c r="P194"/>
  <c r="Q194"/>
  <c r="O194"/>
  <c r="J194"/>
  <c r="I194"/>
  <c r="D194"/>
  <c r="E194"/>
  <c r="N193"/>
  <c r="P193"/>
  <c r="Q193"/>
  <c r="O193"/>
  <c r="J193"/>
  <c r="I193"/>
  <c r="D193"/>
  <c r="E193"/>
  <c r="N192"/>
  <c r="P192"/>
  <c r="Q192"/>
  <c r="O192"/>
  <c r="J192"/>
  <c r="I192"/>
  <c r="D192"/>
  <c r="E192"/>
  <c r="N191"/>
  <c r="P191"/>
  <c r="Q191"/>
  <c r="O191"/>
  <c r="J191"/>
  <c r="I191"/>
  <c r="D191"/>
  <c r="E191"/>
  <c r="N190"/>
  <c r="P190"/>
  <c r="Q190"/>
  <c r="O190"/>
  <c r="J190"/>
  <c r="I190"/>
  <c r="D190"/>
  <c r="E190"/>
  <c r="N189"/>
  <c r="P189"/>
  <c r="Q189"/>
  <c r="O189"/>
  <c r="J189"/>
  <c r="I189"/>
  <c r="D189"/>
  <c r="E189"/>
  <c r="N188"/>
  <c r="P188"/>
  <c r="Q188"/>
  <c r="O188"/>
  <c r="J188"/>
  <c r="I188"/>
  <c r="D188"/>
  <c r="E188"/>
  <c r="N187"/>
  <c r="P187"/>
  <c r="Q187"/>
  <c r="O187"/>
  <c r="J187"/>
  <c r="I187"/>
  <c r="D187"/>
  <c r="E187"/>
  <c r="N186"/>
  <c r="P186"/>
  <c r="Q186"/>
  <c r="O186"/>
  <c r="J186"/>
  <c r="I186"/>
  <c r="D186"/>
  <c r="E186"/>
  <c r="N185"/>
  <c r="P185"/>
  <c r="Q185"/>
  <c r="O185"/>
  <c r="J185"/>
  <c r="I185"/>
  <c r="D185"/>
  <c r="E185"/>
  <c r="N184"/>
  <c r="P184"/>
  <c r="Q184"/>
  <c r="O184"/>
  <c r="J184"/>
  <c r="I184"/>
  <c r="D184"/>
  <c r="E184"/>
  <c r="N183"/>
  <c r="P183"/>
  <c r="Q183"/>
  <c r="O183"/>
  <c r="J183"/>
  <c r="I183"/>
  <c r="D183"/>
  <c r="E183"/>
  <c r="N182"/>
  <c r="P182"/>
  <c r="Q182"/>
  <c r="O182"/>
  <c r="J182"/>
  <c r="I182"/>
  <c r="D182"/>
  <c r="E182"/>
  <c r="N181"/>
  <c r="P181"/>
  <c r="Q181"/>
  <c r="O181"/>
  <c r="J181"/>
  <c r="I181"/>
  <c r="D181"/>
  <c r="E181"/>
  <c r="N180"/>
  <c r="P180"/>
  <c r="Q180"/>
  <c r="O180"/>
  <c r="J180"/>
  <c r="I180"/>
  <c r="D180"/>
  <c r="E180"/>
  <c r="N179"/>
  <c r="P179"/>
  <c r="Q179"/>
  <c r="O179"/>
  <c r="J179"/>
  <c r="I179"/>
  <c r="D179"/>
  <c r="E179"/>
  <c r="N178"/>
  <c r="P178"/>
  <c r="Q178"/>
  <c r="O178"/>
  <c r="J178"/>
  <c r="I178"/>
  <c r="D178"/>
  <c r="E178"/>
  <c r="N177"/>
  <c r="P177"/>
  <c r="Q177"/>
  <c r="O177"/>
  <c r="J177"/>
  <c r="I177"/>
  <c r="D177"/>
  <c r="E177"/>
  <c r="N176"/>
  <c r="P176"/>
  <c r="Q176"/>
  <c r="O176"/>
  <c r="J176"/>
  <c r="I176"/>
  <c r="D176"/>
  <c r="E176"/>
  <c r="N175"/>
  <c r="P175"/>
  <c r="Q175"/>
  <c r="O175"/>
  <c r="J175"/>
  <c r="I175"/>
  <c r="D175"/>
  <c r="E175"/>
  <c r="N174"/>
  <c r="P174"/>
  <c r="Q174"/>
  <c r="O174"/>
  <c r="J174"/>
  <c r="I174"/>
  <c r="D174"/>
  <c r="E174"/>
  <c r="N173"/>
  <c r="P173"/>
  <c r="Q173"/>
  <c r="O173"/>
  <c r="J173"/>
  <c r="I173"/>
  <c r="D173"/>
  <c r="E173"/>
  <c r="N172"/>
  <c r="P172"/>
  <c r="Q172"/>
  <c r="O172"/>
  <c r="J172"/>
  <c r="I172"/>
  <c r="D172"/>
  <c r="E172"/>
  <c r="N171"/>
  <c r="P171"/>
  <c r="Q171"/>
  <c r="O171"/>
  <c r="J171"/>
  <c r="I171"/>
  <c r="D171"/>
  <c r="E171"/>
  <c r="N170"/>
  <c r="P170"/>
  <c r="Q170"/>
  <c r="O170"/>
  <c r="J170"/>
  <c r="I170"/>
  <c r="D170"/>
  <c r="E170"/>
  <c r="N169"/>
  <c r="P169"/>
  <c r="Q169"/>
  <c r="O169"/>
  <c r="J169"/>
  <c r="I169"/>
  <c r="D169"/>
  <c r="E169"/>
  <c r="N168"/>
  <c r="P168"/>
  <c r="Q168"/>
  <c r="O168"/>
  <c r="J168"/>
  <c r="I168"/>
  <c r="D168"/>
  <c r="E168"/>
  <c r="N167"/>
  <c r="P167"/>
  <c r="Q167"/>
  <c r="O167"/>
  <c r="J167"/>
  <c r="I167"/>
  <c r="D167"/>
  <c r="E167"/>
  <c r="N166"/>
  <c r="P166"/>
  <c r="Q166"/>
  <c r="O166"/>
  <c r="J166"/>
  <c r="I166"/>
  <c r="D166"/>
  <c r="E166"/>
  <c r="N165"/>
  <c r="P165"/>
  <c r="Q165"/>
  <c r="O165"/>
  <c r="J165"/>
  <c r="I165"/>
  <c r="D165"/>
  <c r="E165"/>
  <c r="N164"/>
  <c r="P164"/>
  <c r="Q164"/>
  <c r="O164"/>
  <c r="J164"/>
  <c r="I164"/>
  <c r="D164"/>
  <c r="E164"/>
  <c r="N163"/>
  <c r="P163"/>
  <c r="Q163"/>
  <c r="O163"/>
  <c r="J163"/>
  <c r="I163"/>
  <c r="D163"/>
  <c r="E163"/>
  <c r="N162"/>
  <c r="P162"/>
  <c r="Q162"/>
  <c r="O162"/>
  <c r="J162"/>
  <c r="I162"/>
  <c r="D162"/>
  <c r="E162"/>
  <c r="N161"/>
  <c r="P161"/>
  <c r="Q161"/>
  <c r="O161"/>
  <c r="J161"/>
  <c r="I161"/>
  <c r="D161"/>
  <c r="E161"/>
  <c r="N160"/>
  <c r="P160"/>
  <c r="Q160"/>
  <c r="O160"/>
  <c r="J160"/>
  <c r="I160"/>
  <c r="D160"/>
  <c r="E160"/>
  <c r="N159"/>
  <c r="P159"/>
  <c r="Q159"/>
  <c r="O159"/>
  <c r="J159"/>
  <c r="I159"/>
  <c r="D159"/>
  <c r="E159"/>
  <c r="N158"/>
  <c r="P158"/>
  <c r="Q158"/>
  <c r="O158"/>
  <c r="J158"/>
  <c r="I158"/>
  <c r="D158"/>
  <c r="E158"/>
  <c r="N157"/>
  <c r="P157"/>
  <c r="Q157"/>
  <c r="O157"/>
  <c r="J157"/>
  <c r="I157"/>
  <c r="D157"/>
  <c r="E157"/>
  <c r="N156"/>
  <c r="P156"/>
  <c r="Q156"/>
  <c r="O156"/>
  <c r="J156"/>
  <c r="I156"/>
  <c r="D156"/>
  <c r="E156"/>
  <c r="N155"/>
  <c r="P155"/>
  <c r="Q155"/>
  <c r="O155"/>
  <c r="J155"/>
  <c r="I155"/>
  <c r="D155"/>
  <c r="E155"/>
  <c r="N154"/>
  <c r="P154"/>
  <c r="Q154"/>
  <c r="O154"/>
  <c r="J154"/>
  <c r="I154"/>
  <c r="D154"/>
  <c r="E154"/>
  <c r="N153"/>
  <c r="P153"/>
  <c r="Q153"/>
  <c r="O153"/>
  <c r="J153"/>
  <c r="I153"/>
  <c r="D153"/>
  <c r="E153"/>
  <c r="N152"/>
  <c r="P152"/>
  <c r="Q152"/>
  <c r="O152"/>
  <c r="J152"/>
  <c r="I152"/>
  <c r="D152"/>
  <c r="E152"/>
  <c r="N151"/>
  <c r="P151"/>
  <c r="Q151"/>
  <c r="O151"/>
  <c r="J151"/>
  <c r="I151"/>
  <c r="D151"/>
  <c r="E151"/>
  <c r="N150"/>
  <c r="P150"/>
  <c r="Q150"/>
  <c r="O150"/>
  <c r="J150"/>
  <c r="I150"/>
  <c r="D150"/>
  <c r="E150"/>
  <c r="N149"/>
  <c r="P149"/>
  <c r="Q149"/>
  <c r="O149"/>
  <c r="J149"/>
  <c r="I149"/>
  <c r="D149"/>
  <c r="E149"/>
  <c r="N148"/>
  <c r="P148"/>
  <c r="Q148"/>
  <c r="O148"/>
  <c r="J148"/>
  <c r="I148"/>
  <c r="D148"/>
  <c r="E148"/>
  <c r="N147"/>
  <c r="P147"/>
  <c r="Q147"/>
  <c r="O147"/>
  <c r="J147"/>
  <c r="I147"/>
  <c r="D147"/>
  <c r="E147"/>
  <c r="N146"/>
  <c r="P146"/>
  <c r="Q146"/>
  <c r="O146"/>
  <c r="J146"/>
  <c r="I146"/>
  <c r="D146"/>
  <c r="E146"/>
  <c r="N145"/>
  <c r="P145"/>
  <c r="Q145"/>
  <c r="O145"/>
  <c r="J145"/>
  <c r="I145"/>
  <c r="D145"/>
  <c r="E145"/>
  <c r="N144"/>
  <c r="P144"/>
  <c r="Q144"/>
  <c r="O144"/>
  <c r="J144"/>
  <c r="I144"/>
  <c r="D144"/>
  <c r="E144"/>
  <c r="N143"/>
  <c r="P143"/>
  <c r="Q143"/>
  <c r="O143"/>
  <c r="J143"/>
  <c r="I143"/>
  <c r="D143"/>
  <c r="E143"/>
  <c r="N142"/>
  <c r="P142"/>
  <c r="Q142"/>
  <c r="O142"/>
  <c r="J142"/>
  <c r="I142"/>
  <c r="D142"/>
  <c r="E142"/>
  <c r="N141"/>
  <c r="P141"/>
  <c r="Q141"/>
  <c r="O141"/>
  <c r="J141"/>
  <c r="I141"/>
  <c r="D141"/>
  <c r="E141"/>
  <c r="N140"/>
  <c r="P140"/>
  <c r="Q140"/>
  <c r="O140"/>
  <c r="J140"/>
  <c r="I140"/>
  <c r="D140"/>
  <c r="E140"/>
  <c r="N139"/>
  <c r="P139"/>
  <c r="Q139"/>
  <c r="O139"/>
  <c r="J139"/>
  <c r="I139"/>
  <c r="D139"/>
  <c r="E139"/>
  <c r="N138"/>
  <c r="P138"/>
  <c r="Q138"/>
  <c r="O138"/>
  <c r="J138"/>
  <c r="I138"/>
  <c r="D138"/>
  <c r="E138"/>
  <c r="N137"/>
  <c r="P137"/>
  <c r="Q137"/>
  <c r="O137"/>
  <c r="J137"/>
  <c r="I137"/>
  <c r="D137"/>
  <c r="E137"/>
  <c r="N136"/>
  <c r="P136"/>
  <c r="Q136"/>
  <c r="O136"/>
  <c r="J136"/>
  <c r="I136"/>
  <c r="D136"/>
  <c r="E136"/>
  <c r="N135"/>
  <c r="P135"/>
  <c r="Q135"/>
  <c r="O135"/>
  <c r="J135"/>
  <c r="I135"/>
  <c r="D135"/>
  <c r="E135"/>
  <c r="N134"/>
  <c r="P134"/>
  <c r="Q134"/>
  <c r="O134"/>
  <c r="J134"/>
  <c r="I134"/>
  <c r="D134"/>
  <c r="E134"/>
  <c r="N133"/>
  <c r="P133"/>
  <c r="Q133"/>
  <c r="O133"/>
  <c r="J133"/>
  <c r="I133"/>
  <c r="D133"/>
  <c r="E133"/>
  <c r="N132"/>
  <c r="P132"/>
  <c r="Q132"/>
  <c r="O132"/>
  <c r="J132"/>
  <c r="I132"/>
  <c r="D132"/>
  <c r="E132"/>
  <c r="N131"/>
  <c r="P131"/>
  <c r="Q131"/>
  <c r="O131"/>
  <c r="J131"/>
  <c r="I131"/>
  <c r="D131"/>
  <c r="E131"/>
  <c r="N130"/>
  <c r="P130"/>
  <c r="Q130"/>
  <c r="O130"/>
  <c r="J130"/>
  <c r="I130"/>
  <c r="D130"/>
  <c r="E130"/>
  <c r="N129"/>
  <c r="P129"/>
  <c r="Q129"/>
  <c r="O129"/>
  <c r="J129"/>
  <c r="I129"/>
  <c r="D129"/>
  <c r="E129"/>
  <c r="N128"/>
  <c r="P128"/>
  <c r="Q128"/>
  <c r="O128"/>
  <c r="J128"/>
  <c r="I128"/>
  <c r="D128"/>
  <c r="E128"/>
  <c r="N127"/>
  <c r="P127"/>
  <c r="Q127"/>
  <c r="O127"/>
  <c r="J127"/>
  <c r="I127"/>
  <c r="D127"/>
  <c r="E127"/>
  <c r="N126"/>
  <c r="P126"/>
  <c r="Q126"/>
  <c r="O126"/>
  <c r="J126"/>
  <c r="I126"/>
  <c r="D126"/>
  <c r="E126"/>
  <c r="N125"/>
  <c r="P125"/>
  <c r="Q125"/>
  <c r="O125"/>
  <c r="J125"/>
  <c r="I125"/>
  <c r="D125"/>
  <c r="E125"/>
  <c r="N124"/>
  <c r="P124"/>
  <c r="Q124"/>
  <c r="O124"/>
  <c r="J124"/>
  <c r="I124"/>
  <c r="D124"/>
  <c r="E124"/>
  <c r="N123"/>
  <c r="P123"/>
  <c r="Q123"/>
  <c r="O123"/>
  <c r="J123"/>
  <c r="I123"/>
  <c r="D123"/>
  <c r="E123"/>
  <c r="N122"/>
  <c r="P122"/>
  <c r="Q122"/>
  <c r="O122"/>
  <c r="J122"/>
  <c r="I122"/>
  <c r="D122"/>
  <c r="E122"/>
  <c r="N121"/>
  <c r="P121"/>
  <c r="Q121"/>
  <c r="O121"/>
  <c r="J121"/>
  <c r="I121"/>
  <c r="D121"/>
  <c r="E121"/>
  <c r="N120"/>
  <c r="P120"/>
  <c r="Q120"/>
  <c r="O120"/>
  <c r="J120"/>
  <c r="I120"/>
  <c r="D120"/>
  <c r="E120"/>
  <c r="N119"/>
  <c r="P119"/>
  <c r="Q119"/>
  <c r="O119"/>
  <c r="J119"/>
  <c r="I119"/>
  <c r="D119"/>
  <c r="E119"/>
  <c r="N118"/>
  <c r="P118"/>
  <c r="Q118"/>
  <c r="O118"/>
  <c r="J118"/>
  <c r="I118"/>
  <c r="D118"/>
  <c r="E118"/>
  <c r="N117"/>
  <c r="P117"/>
  <c r="Q117"/>
  <c r="O117"/>
  <c r="J117"/>
  <c r="I117"/>
  <c r="D117"/>
  <c r="E117"/>
  <c r="N116"/>
  <c r="P116"/>
  <c r="Q116"/>
  <c r="O116"/>
  <c r="J116"/>
  <c r="I116"/>
  <c r="D116"/>
  <c r="E116"/>
  <c r="N115"/>
  <c r="P115"/>
  <c r="Q115"/>
  <c r="O115"/>
  <c r="J115"/>
  <c r="I115"/>
  <c r="D115"/>
  <c r="E115"/>
  <c r="N114"/>
  <c r="P114"/>
  <c r="Q114"/>
  <c r="O114"/>
  <c r="J114"/>
  <c r="I114"/>
  <c r="D114"/>
  <c r="E114"/>
  <c r="N113"/>
  <c r="P113"/>
  <c r="Q113"/>
  <c r="O113"/>
  <c r="J113"/>
  <c r="I113"/>
  <c r="D113"/>
  <c r="E113"/>
  <c r="N112"/>
  <c r="P112"/>
  <c r="Q112"/>
  <c r="O112"/>
  <c r="J112"/>
  <c r="I112"/>
  <c r="D112"/>
  <c r="E112"/>
  <c r="N111"/>
  <c r="P111"/>
  <c r="Q111"/>
  <c r="O111"/>
  <c r="J111"/>
  <c r="I111"/>
  <c r="D111"/>
  <c r="E111"/>
  <c r="N110"/>
  <c r="P110"/>
  <c r="Q110"/>
  <c r="O110"/>
  <c r="J110"/>
  <c r="I110"/>
  <c r="D110"/>
  <c r="E110"/>
  <c r="N109"/>
  <c r="P109"/>
  <c r="Q109"/>
  <c r="O109"/>
  <c r="J109"/>
  <c r="I109"/>
  <c r="D109"/>
  <c r="E109"/>
  <c r="N108"/>
  <c r="P108"/>
  <c r="Q108"/>
  <c r="O108"/>
  <c r="J108"/>
  <c r="I108"/>
  <c r="D108"/>
  <c r="E108"/>
  <c r="N107"/>
  <c r="P107"/>
  <c r="Q107"/>
  <c r="O107"/>
  <c r="J107"/>
  <c r="I107"/>
  <c r="D107"/>
  <c r="E107"/>
  <c r="N106"/>
  <c r="P106"/>
  <c r="Q106"/>
  <c r="O106"/>
  <c r="J106"/>
  <c r="I106"/>
  <c r="D106"/>
  <c r="E106"/>
  <c r="N105"/>
  <c r="P105"/>
  <c r="Q105"/>
  <c r="O105"/>
  <c r="J105"/>
  <c r="I105"/>
  <c r="D105"/>
  <c r="E105"/>
  <c r="N104"/>
  <c r="P104"/>
  <c r="Q104"/>
  <c r="O104"/>
  <c r="J104"/>
  <c r="I104"/>
  <c r="D104"/>
  <c r="E104"/>
  <c r="N103"/>
  <c r="P103"/>
  <c r="Q103"/>
  <c r="O103"/>
  <c r="J103"/>
  <c r="I103"/>
  <c r="D103"/>
  <c r="E103"/>
  <c r="N102"/>
  <c r="P102"/>
  <c r="Q102"/>
  <c r="O102"/>
  <c r="J102"/>
  <c r="I102"/>
  <c r="D102"/>
  <c r="E102"/>
  <c r="N101"/>
  <c r="P101"/>
  <c r="Q101"/>
  <c r="O101"/>
  <c r="J101"/>
  <c r="I101"/>
  <c r="D101"/>
  <c r="E101"/>
  <c r="N100"/>
  <c r="P100"/>
  <c r="Q100"/>
  <c r="O100"/>
  <c r="J100"/>
  <c r="I100"/>
  <c r="D100"/>
  <c r="E100"/>
  <c r="N99"/>
  <c r="P99"/>
  <c r="Q99"/>
  <c r="O99"/>
  <c r="J99"/>
  <c r="I99"/>
  <c r="D99"/>
  <c r="E99"/>
  <c r="N98"/>
  <c r="P98"/>
  <c r="Q98"/>
  <c r="O98"/>
  <c r="J98"/>
  <c r="I98"/>
  <c r="D98"/>
  <c r="E98"/>
  <c r="N97"/>
  <c r="P97"/>
  <c r="Q97"/>
  <c r="O97"/>
  <c r="J97"/>
  <c r="I97"/>
  <c r="D97"/>
  <c r="E97"/>
  <c r="N96"/>
  <c r="P96"/>
  <c r="Q96"/>
  <c r="O96"/>
  <c r="J96"/>
  <c r="I96"/>
  <c r="D96"/>
  <c r="E96"/>
  <c r="N95"/>
  <c r="P95"/>
  <c r="Q95"/>
  <c r="O95"/>
  <c r="J95"/>
  <c r="I95"/>
  <c r="D95"/>
  <c r="E95"/>
  <c r="N94"/>
  <c r="P94"/>
  <c r="Q94"/>
  <c r="O94"/>
  <c r="J94"/>
  <c r="I94"/>
  <c r="D94"/>
  <c r="E94"/>
  <c r="N93"/>
  <c r="P93"/>
  <c r="Q93"/>
  <c r="O93"/>
  <c r="J93"/>
  <c r="I93"/>
  <c r="D93"/>
  <c r="E93"/>
  <c r="N92"/>
  <c r="P92"/>
  <c r="Q92"/>
  <c r="O92"/>
  <c r="J92"/>
  <c r="I92"/>
  <c r="D92"/>
  <c r="E92"/>
  <c r="N91"/>
  <c r="P91"/>
  <c r="Q91"/>
  <c r="O91"/>
  <c r="J91"/>
  <c r="I91"/>
  <c r="D91"/>
  <c r="E91"/>
  <c r="N90"/>
  <c r="P90"/>
  <c r="Q90"/>
  <c r="O90"/>
  <c r="J90"/>
  <c r="I90"/>
  <c r="D90"/>
  <c r="E90"/>
  <c r="N89"/>
  <c r="P89"/>
  <c r="Q89"/>
  <c r="O89"/>
  <c r="J89"/>
  <c r="I89"/>
  <c r="D89"/>
  <c r="E89"/>
  <c r="N88"/>
  <c r="P88"/>
  <c r="Q88"/>
  <c r="O88"/>
  <c r="J88"/>
  <c r="I88"/>
  <c r="D88"/>
  <c r="E88"/>
  <c r="N87"/>
  <c r="P87"/>
  <c r="Q87"/>
  <c r="O87"/>
  <c r="J87"/>
  <c r="I87"/>
  <c r="D87"/>
  <c r="E87"/>
  <c r="N86"/>
  <c r="P86"/>
  <c r="Q86"/>
  <c r="O86"/>
  <c r="J86"/>
  <c r="I86"/>
  <c r="D86"/>
  <c r="E86"/>
  <c r="N85"/>
  <c r="P85"/>
  <c r="Q85"/>
  <c r="O85"/>
  <c r="J85"/>
  <c r="I85"/>
  <c r="D85"/>
  <c r="E85"/>
  <c r="N84"/>
  <c r="P84"/>
  <c r="Q84"/>
  <c r="O84"/>
  <c r="J84"/>
  <c r="I84"/>
  <c r="D84"/>
  <c r="E84"/>
  <c r="N83"/>
  <c r="P83"/>
  <c r="Q83"/>
  <c r="O83"/>
  <c r="J83"/>
  <c r="I83"/>
  <c r="D83"/>
  <c r="E83"/>
  <c r="N82"/>
  <c r="P82"/>
  <c r="Q82"/>
  <c r="O82"/>
  <c r="J82"/>
  <c r="I82"/>
  <c r="D82"/>
  <c r="E82"/>
  <c r="N81"/>
  <c r="P81"/>
  <c r="Q81"/>
  <c r="O81"/>
  <c r="J81"/>
  <c r="I81"/>
  <c r="D81"/>
  <c r="E81"/>
  <c r="N80"/>
  <c r="P80"/>
  <c r="Q80"/>
  <c r="O80"/>
  <c r="J80"/>
  <c r="I80"/>
  <c r="D80"/>
  <c r="E80"/>
  <c r="N79"/>
  <c r="P79"/>
  <c r="Q79"/>
  <c r="O79"/>
  <c r="J79"/>
  <c r="I79"/>
  <c r="D79"/>
  <c r="E79"/>
  <c r="N78"/>
  <c r="P78"/>
  <c r="Q78"/>
  <c r="O78"/>
  <c r="J78"/>
  <c r="I78"/>
  <c r="D78"/>
  <c r="E78"/>
  <c r="N77"/>
  <c r="P77"/>
  <c r="Q77"/>
  <c r="O77"/>
  <c r="J77"/>
  <c r="I77"/>
  <c r="D77"/>
  <c r="E77"/>
  <c r="N76"/>
  <c r="P76"/>
  <c r="Q76"/>
  <c r="O76"/>
  <c r="J76"/>
  <c r="I76"/>
  <c r="D76"/>
  <c r="E76"/>
  <c r="N75"/>
  <c r="P75"/>
  <c r="Q75"/>
  <c r="O75"/>
  <c r="J75"/>
  <c r="I75"/>
  <c r="D75"/>
  <c r="E75"/>
  <c r="N74"/>
  <c r="P74"/>
  <c r="Q74"/>
  <c r="O74"/>
  <c r="J74"/>
  <c r="I74"/>
  <c r="D74"/>
  <c r="E74"/>
  <c r="N73"/>
  <c r="P73"/>
  <c r="Q73"/>
  <c r="O73"/>
  <c r="J73"/>
  <c r="I73"/>
  <c r="D73"/>
  <c r="E73"/>
  <c r="N72"/>
  <c r="P72"/>
  <c r="Q72"/>
  <c r="O72"/>
  <c r="J72"/>
  <c r="I72"/>
  <c r="D72"/>
  <c r="E72"/>
  <c r="N71"/>
  <c r="P71"/>
  <c r="Q71"/>
  <c r="O71"/>
  <c r="J71"/>
  <c r="I71"/>
  <c r="D71"/>
  <c r="E71"/>
  <c r="N70"/>
  <c r="P70"/>
  <c r="Q70"/>
  <c r="O70"/>
  <c r="J70"/>
  <c r="I70"/>
  <c r="D70"/>
  <c r="E70"/>
  <c r="N69"/>
  <c r="P69"/>
  <c r="Q69"/>
  <c r="O69"/>
  <c r="J69"/>
  <c r="I69"/>
  <c r="D69"/>
  <c r="E69"/>
  <c r="N68"/>
  <c r="P68"/>
  <c r="Q68"/>
  <c r="O68"/>
  <c r="J68"/>
  <c r="I68"/>
  <c r="D68"/>
  <c r="E68"/>
  <c r="N67"/>
  <c r="P67"/>
  <c r="Q67"/>
  <c r="O67"/>
  <c r="J67"/>
  <c r="I67"/>
  <c r="D67"/>
  <c r="E67"/>
  <c r="N66"/>
  <c r="P66"/>
  <c r="Q66"/>
  <c r="O66"/>
  <c r="J66"/>
  <c r="I66"/>
  <c r="D66"/>
  <c r="E66"/>
  <c r="N65"/>
  <c r="P65"/>
  <c r="Q65"/>
  <c r="O65"/>
  <c r="J65"/>
  <c r="I65"/>
  <c r="D65"/>
  <c r="E65"/>
  <c r="N64"/>
  <c r="P64"/>
  <c r="Q64"/>
  <c r="O64"/>
  <c r="J64"/>
  <c r="I64"/>
  <c r="D64"/>
  <c r="E64"/>
  <c r="N63"/>
  <c r="P63"/>
  <c r="Q63"/>
  <c r="O63"/>
  <c r="J63"/>
  <c r="I63"/>
  <c r="D63"/>
  <c r="E63"/>
  <c r="N62"/>
  <c r="P62"/>
  <c r="Q62"/>
  <c r="O62"/>
  <c r="J62"/>
  <c r="I62"/>
  <c r="D62"/>
  <c r="E62"/>
  <c r="N61"/>
  <c r="P61"/>
  <c r="Q61"/>
  <c r="O61"/>
  <c r="J61"/>
  <c r="I61"/>
  <c r="D61"/>
  <c r="E61"/>
  <c r="N60"/>
  <c r="P60"/>
  <c r="Q60"/>
  <c r="O60"/>
  <c r="J60"/>
  <c r="I60"/>
  <c r="D60"/>
  <c r="E60"/>
  <c r="N59"/>
  <c r="P59"/>
  <c r="Q59"/>
  <c r="O59"/>
  <c r="J59"/>
  <c r="I59"/>
  <c r="D59"/>
  <c r="E59"/>
  <c r="N58"/>
  <c r="P58"/>
  <c r="Q58"/>
  <c r="O58"/>
  <c r="J58"/>
  <c r="I58"/>
  <c r="D58"/>
  <c r="E58"/>
  <c r="N57"/>
  <c r="P57"/>
  <c r="Q57"/>
  <c r="O57"/>
  <c r="J57"/>
  <c r="I57"/>
  <c r="D57"/>
  <c r="E57"/>
  <c r="N56"/>
  <c r="P56"/>
  <c r="Q56"/>
  <c r="O56"/>
  <c r="J56"/>
  <c r="I56"/>
  <c r="D56"/>
  <c r="E56"/>
  <c r="N55"/>
  <c r="P55"/>
  <c r="Q55"/>
  <c r="O55"/>
  <c r="J55"/>
  <c r="I55"/>
  <c r="D55"/>
  <c r="E55"/>
  <c r="N54"/>
  <c r="P54"/>
  <c r="Q54"/>
  <c r="O54"/>
  <c r="J54"/>
  <c r="I54"/>
  <c r="D54"/>
  <c r="E54"/>
  <c r="N53"/>
  <c r="P53"/>
  <c r="Q53"/>
  <c r="O53"/>
  <c r="J53"/>
  <c r="I53"/>
  <c r="D53"/>
  <c r="E53"/>
  <c r="N52"/>
  <c r="P52"/>
  <c r="Q52"/>
  <c r="O52"/>
  <c r="J52"/>
  <c r="I52"/>
  <c r="D52"/>
  <c r="E52"/>
  <c r="N51"/>
  <c r="P51"/>
  <c r="Q51"/>
  <c r="O51"/>
  <c r="J51"/>
  <c r="I51"/>
  <c r="D51"/>
  <c r="E51"/>
  <c r="N50"/>
  <c r="P50"/>
  <c r="Q50"/>
  <c r="O50"/>
  <c r="J50"/>
  <c r="I50"/>
  <c r="D50"/>
  <c r="E50"/>
  <c r="N49"/>
  <c r="P49"/>
  <c r="Q49"/>
  <c r="O49"/>
  <c r="J49"/>
  <c r="I49"/>
  <c r="D49"/>
  <c r="E49"/>
  <c r="N48"/>
  <c r="P48"/>
  <c r="Q48"/>
  <c r="O48"/>
  <c r="J48"/>
  <c r="I48"/>
  <c r="D48"/>
  <c r="E48"/>
  <c r="N47"/>
  <c r="P47"/>
  <c r="Q47"/>
  <c r="O47"/>
  <c r="J47"/>
  <c r="I47"/>
  <c r="D47"/>
  <c r="E47"/>
  <c r="N46"/>
  <c r="P46"/>
  <c r="Q46"/>
  <c r="O46"/>
  <c r="J46"/>
  <c r="I46"/>
  <c r="D46"/>
  <c r="E46"/>
  <c r="N44"/>
  <c r="P44"/>
  <c r="Q44"/>
  <c r="O44"/>
  <c r="J44"/>
  <c r="I44"/>
  <c r="D44"/>
  <c r="E44"/>
  <c r="N43"/>
  <c r="P43"/>
  <c r="Q43"/>
  <c r="O43"/>
  <c r="J43"/>
  <c r="I43"/>
  <c r="D43"/>
  <c r="E43"/>
  <c r="N42"/>
  <c r="P42"/>
  <c r="Q42"/>
  <c r="O42"/>
  <c r="J42"/>
  <c r="I42"/>
  <c r="D42"/>
  <c r="E42"/>
  <c r="N41"/>
  <c r="P41"/>
  <c r="Q41"/>
  <c r="O41"/>
  <c r="J41"/>
  <c r="I41"/>
  <c r="D41"/>
  <c r="E41"/>
  <c r="N20"/>
  <c r="P20"/>
  <c r="Q20"/>
  <c r="O20"/>
  <c r="J20"/>
  <c r="I20"/>
  <c r="D20"/>
  <c r="E20"/>
  <c r="N19"/>
  <c r="P19"/>
  <c r="Q19"/>
  <c r="O19"/>
  <c r="J19"/>
  <c r="I19"/>
  <c r="D19"/>
  <c r="E19"/>
  <c r="N18"/>
  <c r="P18"/>
  <c r="Q18"/>
  <c r="O18"/>
  <c r="J18"/>
  <c r="I18"/>
  <c r="D18"/>
  <c r="E18"/>
  <c r="N17"/>
  <c r="P17"/>
  <c r="Q17"/>
  <c r="O17"/>
  <c r="J17"/>
  <c r="I17"/>
  <c r="D17"/>
  <c r="E17"/>
  <c r="N16"/>
  <c r="P16"/>
  <c r="Q16"/>
  <c r="O16"/>
  <c r="J16"/>
  <c r="I16"/>
  <c r="D16"/>
  <c r="E16"/>
  <c r="N15"/>
  <c r="P15"/>
  <c r="Q15"/>
  <c r="O15"/>
  <c r="J15"/>
  <c r="I15"/>
  <c r="D15"/>
  <c r="E15"/>
  <c r="P14"/>
  <c r="Q14"/>
  <c r="J14"/>
  <c r="I14"/>
  <c r="D14"/>
  <c r="E14"/>
  <c r="P13"/>
  <c r="Q13"/>
  <c r="J13"/>
  <c r="I13"/>
  <c r="P12"/>
  <c r="Q12"/>
  <c r="J12"/>
  <c r="I12"/>
  <c r="P11"/>
  <c r="Q11"/>
  <c r="J11"/>
  <c r="I11"/>
  <c r="P10"/>
  <c r="Q10"/>
  <c r="J10"/>
  <c r="I10"/>
  <c r="P9"/>
  <c r="Q9"/>
  <c r="J9"/>
  <c r="I9"/>
  <c r="P8"/>
  <c r="Q8"/>
  <c r="J8"/>
  <c r="I8"/>
  <c r="P7"/>
  <c r="Q7"/>
  <c r="J7"/>
  <c r="I7"/>
  <c r="P6"/>
  <c r="Q6"/>
  <c r="J6"/>
  <c r="I6"/>
  <c r="P5"/>
  <c r="Q5"/>
  <c r="J5"/>
  <c r="I5"/>
  <c r="P4"/>
  <c r="Q4"/>
  <c r="J4"/>
  <c r="I4"/>
  <c r="P3"/>
  <c r="Q3"/>
  <c r="J3"/>
  <c r="I3"/>
  <c r="D3"/>
  <c r="E3"/>
  <c r="P2"/>
  <c r="Q2"/>
  <c r="J2"/>
  <c r="I2"/>
  <c r="D2"/>
  <c r="E2"/>
  <c r="F64" i="2"/>
  <c r="H64"/>
  <c r="K64"/>
  <c r="J64"/>
  <c r="I64"/>
  <c r="G64"/>
  <c r="E64"/>
  <c r="F63"/>
  <c r="H63"/>
  <c r="K63"/>
  <c r="J63"/>
  <c r="I63"/>
  <c r="G63"/>
  <c r="E63"/>
  <c r="F62"/>
  <c r="H62"/>
  <c r="K62"/>
  <c r="J62"/>
  <c r="I62"/>
  <c r="G62"/>
  <c r="E62"/>
  <c r="F61"/>
  <c r="H61"/>
  <c r="K61"/>
  <c r="J61"/>
  <c r="I61"/>
  <c r="G61"/>
  <c r="E61"/>
  <c r="F60"/>
  <c r="H60"/>
  <c r="K60"/>
  <c r="J60"/>
  <c r="I60"/>
  <c r="G60"/>
  <c r="E60"/>
  <c r="F59"/>
  <c r="H59"/>
  <c r="K59"/>
  <c r="J59"/>
  <c r="I59"/>
  <c r="G59"/>
  <c r="E59"/>
  <c r="F58"/>
  <c r="H58"/>
  <c r="K58"/>
  <c r="J58"/>
  <c r="I58"/>
  <c r="G58"/>
  <c r="E58"/>
  <c r="F57"/>
  <c r="H57"/>
  <c r="K57"/>
  <c r="J57"/>
  <c r="I57"/>
  <c r="G57"/>
  <c r="E57"/>
  <c r="F56"/>
  <c r="H56"/>
  <c r="K56"/>
  <c r="J56"/>
  <c r="I56"/>
  <c r="G56"/>
  <c r="E56"/>
  <c r="F55"/>
  <c r="H55"/>
  <c r="K55"/>
  <c r="J55"/>
  <c r="I55"/>
  <c r="G55"/>
  <c r="E55"/>
  <c r="F54"/>
  <c r="H54"/>
  <c r="K54"/>
  <c r="J54"/>
  <c r="I54"/>
  <c r="G54"/>
  <c r="E54"/>
  <c r="F53"/>
  <c r="H53"/>
  <c r="K53"/>
  <c r="J53"/>
  <c r="I53"/>
  <c r="G53"/>
  <c r="E53"/>
  <c r="F52"/>
  <c r="H52"/>
  <c r="K52"/>
  <c r="J52"/>
  <c r="I52"/>
  <c r="G52"/>
  <c r="E52"/>
  <c r="F51"/>
  <c r="H51"/>
  <c r="K51"/>
  <c r="J51"/>
  <c r="I51"/>
  <c r="G51"/>
  <c r="E51"/>
  <c r="F50"/>
  <c r="H50"/>
  <c r="K50"/>
  <c r="J50"/>
  <c r="I50"/>
  <c r="G50"/>
  <c r="E50"/>
  <c r="F49"/>
  <c r="H49"/>
  <c r="K49"/>
  <c r="J49"/>
  <c r="I49"/>
  <c r="G49"/>
  <c r="E49"/>
  <c r="F48"/>
  <c r="H48"/>
  <c r="K48"/>
  <c r="J48"/>
  <c r="I48"/>
  <c r="G48"/>
  <c r="E48"/>
  <c r="F47"/>
  <c r="H47"/>
  <c r="K47"/>
  <c r="J47"/>
  <c r="I47"/>
  <c r="G47"/>
  <c r="E47"/>
  <c r="F46"/>
  <c r="H46"/>
  <c r="K46"/>
  <c r="J46"/>
  <c r="I46"/>
  <c r="G46"/>
  <c r="E46"/>
  <c r="F45"/>
  <c r="H45"/>
  <c r="K45"/>
  <c r="J45"/>
  <c r="I45"/>
  <c r="G45"/>
  <c r="E45"/>
  <c r="F44"/>
  <c r="H44"/>
  <c r="K44"/>
  <c r="J44"/>
  <c r="I44"/>
  <c r="G44"/>
  <c r="E44"/>
  <c r="F43"/>
  <c r="H43"/>
  <c r="K43"/>
  <c r="J43"/>
  <c r="I43"/>
  <c r="G43"/>
  <c r="E43"/>
  <c r="F42"/>
  <c r="H42"/>
  <c r="K42"/>
  <c r="J42"/>
  <c r="I42"/>
  <c r="G42"/>
  <c r="E42"/>
  <c r="F41"/>
  <c r="H41"/>
  <c r="K41"/>
  <c r="J41"/>
  <c r="I41"/>
  <c r="G41"/>
  <c r="E41"/>
  <c r="F40"/>
  <c r="H40"/>
  <c r="K40"/>
  <c r="J40"/>
  <c r="I40"/>
  <c r="G40"/>
  <c r="E40"/>
  <c r="F39"/>
  <c r="H39"/>
  <c r="K39"/>
  <c r="J39"/>
  <c r="I39"/>
  <c r="G39"/>
  <c r="E39"/>
  <c r="F38"/>
  <c r="H38"/>
  <c r="K38"/>
  <c r="J38"/>
  <c r="I38"/>
  <c r="G38"/>
  <c r="E38"/>
  <c r="F37"/>
  <c r="H37"/>
  <c r="K37"/>
  <c r="J37"/>
  <c r="I37"/>
  <c r="G37"/>
  <c r="E37"/>
  <c r="F36"/>
  <c r="H36"/>
  <c r="K36"/>
  <c r="J36"/>
  <c r="I36"/>
  <c r="G36"/>
  <c r="E36"/>
  <c r="F35"/>
  <c r="H35"/>
  <c r="K35"/>
  <c r="J35"/>
  <c r="I35"/>
  <c r="G35"/>
  <c r="E35"/>
  <c r="F33"/>
  <c r="H33"/>
  <c r="K33"/>
  <c r="J33"/>
  <c r="I33"/>
  <c r="G33"/>
  <c r="E33"/>
  <c r="F32"/>
  <c r="H32"/>
  <c r="K32"/>
  <c r="J32"/>
  <c r="I32"/>
  <c r="G32"/>
  <c r="E32"/>
  <c r="F31"/>
  <c r="H31"/>
  <c r="K31"/>
  <c r="J31"/>
  <c r="I31"/>
  <c r="G31"/>
  <c r="E31"/>
  <c r="F30"/>
  <c r="H30"/>
  <c r="K30"/>
  <c r="J30"/>
  <c r="I30"/>
  <c r="E30"/>
  <c r="F29"/>
  <c r="H29"/>
  <c r="K29"/>
  <c r="J29"/>
  <c r="I29"/>
  <c r="E29"/>
  <c r="F28"/>
  <c r="H28"/>
  <c r="K28"/>
  <c r="J28"/>
  <c r="I28"/>
  <c r="E28"/>
  <c r="F27"/>
  <c r="H27"/>
  <c r="K27"/>
  <c r="J27"/>
  <c r="I27"/>
  <c r="E27"/>
  <c r="F26"/>
  <c r="H26"/>
  <c r="K26"/>
  <c r="J26"/>
  <c r="I26"/>
  <c r="E26"/>
  <c r="F25"/>
  <c r="H25"/>
  <c r="K25"/>
  <c r="J25"/>
  <c r="I25"/>
  <c r="G25"/>
  <c r="E25"/>
  <c r="F24"/>
  <c r="H24"/>
  <c r="K24"/>
  <c r="J24"/>
  <c r="I24"/>
  <c r="G24"/>
  <c r="E24"/>
  <c r="F23"/>
  <c r="H23"/>
  <c r="K23"/>
  <c r="J23"/>
  <c r="I23"/>
  <c r="G23"/>
  <c r="E23"/>
  <c r="F22"/>
  <c r="H22"/>
  <c r="K22"/>
  <c r="J22"/>
  <c r="I22"/>
  <c r="G22"/>
  <c r="E22"/>
  <c r="F21"/>
  <c r="H21"/>
  <c r="K21"/>
  <c r="J21"/>
  <c r="I21"/>
  <c r="G21"/>
  <c r="E21"/>
  <c r="F20"/>
  <c r="H20"/>
  <c r="K20"/>
  <c r="J20"/>
  <c r="I20"/>
  <c r="G20"/>
  <c r="E20"/>
  <c r="F19"/>
  <c r="H19"/>
  <c r="K19"/>
  <c r="J19"/>
  <c r="I19"/>
  <c r="G19"/>
  <c r="E19"/>
  <c r="F17"/>
  <c r="H17"/>
  <c r="K17"/>
  <c r="J17"/>
  <c r="I17"/>
  <c r="G17"/>
  <c r="E17"/>
  <c r="F16"/>
  <c r="H16"/>
  <c r="K16"/>
  <c r="J16"/>
  <c r="I16"/>
  <c r="G16"/>
  <c r="E16"/>
  <c r="F15"/>
  <c r="H15"/>
  <c r="K15"/>
  <c r="J15"/>
  <c r="I15"/>
  <c r="G15"/>
  <c r="E15"/>
  <c r="F14"/>
  <c r="H14"/>
  <c r="K14"/>
  <c r="J14"/>
  <c r="I14"/>
  <c r="G14"/>
  <c r="E14"/>
  <c r="F13"/>
  <c r="H13"/>
  <c r="K13"/>
  <c r="J13"/>
  <c r="I13"/>
  <c r="G13"/>
  <c r="E13"/>
  <c r="F12"/>
  <c r="H12"/>
  <c r="K12"/>
  <c r="J12"/>
  <c r="I12"/>
  <c r="G12"/>
  <c r="E12"/>
  <c r="F11"/>
  <c r="H11"/>
  <c r="K11"/>
  <c r="J11"/>
  <c r="I11"/>
  <c r="G11"/>
  <c r="E11"/>
  <c r="F10"/>
  <c r="H10"/>
  <c r="K10"/>
  <c r="J10"/>
  <c r="I10"/>
  <c r="G10"/>
  <c r="E10"/>
  <c r="F9"/>
  <c r="H9"/>
  <c r="K9"/>
  <c r="J9"/>
  <c r="I9"/>
  <c r="G9"/>
  <c r="E9"/>
  <c r="F8"/>
  <c r="H8"/>
  <c r="K8"/>
  <c r="J8"/>
  <c r="I8"/>
  <c r="G8"/>
  <c r="E8"/>
  <c r="F7"/>
  <c r="H7"/>
  <c r="K7"/>
  <c r="J7"/>
  <c r="I7"/>
  <c r="G7"/>
  <c r="E7"/>
  <c r="F5"/>
  <c r="H5"/>
  <c r="K5"/>
  <c r="J5"/>
  <c r="I5"/>
  <c r="G5"/>
  <c r="F4"/>
  <c r="H4"/>
  <c r="K4"/>
  <c r="J4"/>
  <c r="I4"/>
  <c r="G4"/>
  <c r="M3"/>
  <c r="N3"/>
  <c r="H3"/>
  <c r="K3"/>
  <c r="J3"/>
  <c r="I3"/>
  <c r="G3"/>
  <c r="C19" i="1"/>
  <c r="C18"/>
</calcChain>
</file>

<file path=xl/sharedStrings.xml><?xml version="1.0" encoding="utf-8"?>
<sst xmlns="http://schemas.openxmlformats.org/spreadsheetml/2006/main" count="16228" uniqueCount="15910">
  <si>
    <t>YVS:YVS FINANCE</t>
  </si>
  <si>
    <t>IBFR:IBUFFER TOKEN</t>
  </si>
  <si>
    <t>INU:KOKA INU</t>
  </si>
  <si>
    <t>LUCKY:LUCKY LION</t>
  </si>
  <si>
    <t>FLVR:FLAVORS BSC</t>
  </si>
  <si>
    <t>AMAS:AMASA</t>
  </si>
  <si>
    <t>CRT:CERTURIUM</t>
  </si>
  <si>
    <t>TOZ:TOZEX</t>
  </si>
  <si>
    <t>IDH:IDHUS</t>
  </si>
  <si>
    <t>ZLOT:ZLOT</t>
  </si>
  <si>
    <t>OCV:OCULUS VISION</t>
  </si>
  <si>
    <t>SSTX:SILVER STONKS</t>
  </si>
  <si>
    <t>MNDCC:MONDO COMMUNITY COIN</t>
  </si>
  <si>
    <t>ISLAINU:ISLAND INU</t>
  </si>
  <si>
    <t>VFY:VERIFY TOKEN</t>
  </si>
  <si>
    <t>BUILD:BUILD FINANCE</t>
  </si>
  <si>
    <t>ICUBE:ICECUBES FINANCE</t>
  </si>
  <si>
    <t>DOBO:DOGEBONK</t>
  </si>
  <si>
    <t>ADAT:ADADEX TOOLS</t>
  </si>
  <si>
    <t>DEPO:DEPO</t>
  </si>
  <si>
    <t>DGAT:DOGE ARMY TOKEN</t>
  </si>
  <si>
    <t>SWC:SW DAO</t>
  </si>
  <si>
    <t>SHED:SHED COIN</t>
  </si>
  <si>
    <t>BOOCAKE:BOOCAKE</t>
  </si>
  <si>
    <t>SHILL:SHILLIT APP</t>
  </si>
  <si>
    <t>TOMI:TOMI</t>
  </si>
  <si>
    <t>ELP:THE EVERLASTING PARACHAIN</t>
  </si>
  <si>
    <t>SCT:SAFECHAINTOKEN</t>
  </si>
  <si>
    <t>WISEAVAX:WISEAVAX</t>
  </si>
  <si>
    <t>GOOREO:GOOREO</t>
  </si>
  <si>
    <t>OLIVE:OLIVE CASH</t>
  </si>
  <si>
    <t>CASH:CAASH</t>
  </si>
  <si>
    <t>PARA:PARABOLIC</t>
  </si>
  <si>
    <t>KCLP:KROSS CHAIN LAUNCHPAD</t>
  </si>
  <si>
    <t>DOGUS:DOGUS</t>
  </si>
  <si>
    <t>TEAT:TEAL</t>
  </si>
  <si>
    <t>CALCIFER:CALCIFER</t>
  </si>
  <si>
    <t>THUNDRR:THUNDER RUN BSC</t>
  </si>
  <si>
    <t>CRYPT:CRYPTIA</t>
  </si>
  <si>
    <t>LDX:LONDEX</t>
  </si>
  <si>
    <t>HAPPY:HAPPYFANS</t>
  </si>
  <si>
    <t>MINERS:MINERSDEFI</t>
  </si>
  <si>
    <t>CSMC:COSMIC MUSIC</t>
  </si>
  <si>
    <t>PCHF:PEACHFOLIO</t>
  </si>
  <si>
    <t>AAPX:AMPNET</t>
  </si>
  <si>
    <t>NEXUS:NEXUS TOKEN</t>
  </si>
  <si>
    <t>AKIRA:AKIRA</t>
  </si>
  <si>
    <t>ANFT:ARTWORK NFT</t>
  </si>
  <si>
    <t>SHO:SHOWCASE TOKEN</t>
  </si>
  <si>
    <t>METAUNIVER:METAUNIVERSE</t>
  </si>
  <si>
    <t>CHIV:CHIVA TOKEN</t>
  </si>
  <si>
    <t>MINI:MINI</t>
  </si>
  <si>
    <t>SNE:STRONGNODE</t>
  </si>
  <si>
    <t>POLP:POLKAPARTY</t>
  </si>
  <si>
    <t>WOLFY:WOLFY</t>
  </si>
  <si>
    <t>FDOGE:FIRST DOGE FINANCE</t>
  </si>
  <si>
    <t>XMN:XMINE</t>
  </si>
  <si>
    <t>FISH:METAFISH</t>
  </si>
  <si>
    <t>CORN:CORN</t>
  </si>
  <si>
    <t>XTM:XTIME</t>
  </si>
  <si>
    <t>DAOVC:DAOVC</t>
  </si>
  <si>
    <t>ELONONE:ASTROELON</t>
  </si>
  <si>
    <t>BSB:BITCOIN SB</t>
  </si>
  <si>
    <t>HNW:HOBBS NETWORKING</t>
  </si>
  <si>
    <t>SAKATA:SAKATA INU</t>
  </si>
  <si>
    <t>TAP:TAPME TOKEN</t>
  </si>
  <si>
    <t>AU:AUTOCRYPTO</t>
  </si>
  <si>
    <t>PIGGY:PIGGY</t>
  </si>
  <si>
    <t>COR:CORGINFTGAME</t>
  </si>
  <si>
    <t>REL:RELEASE</t>
  </si>
  <si>
    <t>GOGETA:GOGETA INU</t>
  </si>
  <si>
    <t>TUNA:TUNACOIN</t>
  </si>
  <si>
    <t>THANOS:THANOS</t>
  </si>
  <si>
    <t>KKI:KAKASHIINUV2</t>
  </si>
  <si>
    <t>L:L INU</t>
  </si>
  <si>
    <t>PSI:PASSIVE INCOME</t>
  </si>
  <si>
    <t>CIOTX:CROSSCHAIN IOTX</t>
  </si>
  <si>
    <t>PW:PETWORLD</t>
  </si>
  <si>
    <t>STKD:STAKD TOKEN</t>
  </si>
  <si>
    <t>NBU:NIMBUS</t>
  </si>
  <si>
    <t>PIPI:PIPPI FINANCE</t>
  </si>
  <si>
    <t>ERABBIT:ELONS RABBIT</t>
  </si>
  <si>
    <t>POKERMANIA:POKERMANIA TOKEN</t>
  </si>
  <si>
    <t>BOOFI:BOO FINANCE</t>
  </si>
  <si>
    <t>$MAID:MAIDCOIN</t>
  </si>
  <si>
    <t>BBNANA:BABYBANANA</t>
  </si>
  <si>
    <t>RADAR:RADAR</t>
  </si>
  <si>
    <t>$SHIBX:SHIBX</t>
  </si>
  <si>
    <t>LOVES:LOVES</t>
  </si>
  <si>
    <t>FAM:FAM TOKEN</t>
  </si>
  <si>
    <t>GONEWILD:GONEWILD</t>
  </si>
  <si>
    <t>LVLUP:LEVEL UP</t>
  </si>
  <si>
    <t>BODAV2:BODA TOKEN</t>
  </si>
  <si>
    <t>MOMAT:MOMA PROTOCOL</t>
  </si>
  <si>
    <t>SBECOM:SHEBOLLETH COMMERCE</t>
  </si>
  <si>
    <t>MBIRD:MOONBIRD</t>
  </si>
  <si>
    <t>PEA:PRELAX</t>
  </si>
  <si>
    <t>RWSC:REWARDSCOIN</t>
  </si>
  <si>
    <t>FIT:FIT TOKEN</t>
  </si>
  <si>
    <t>RVL:REVOLOTTO</t>
  </si>
  <si>
    <t>GUARD:GUARDIAN TOKEN</t>
  </si>
  <si>
    <t>POKERFI:POKERFI</t>
  </si>
  <si>
    <t>FFA:CRYPTOFIFA</t>
  </si>
  <si>
    <t>SHIBAWITCH:SHIWBAWITCH TOKEN</t>
  </si>
  <si>
    <t>KAIKEN:KAIKENINU</t>
  </si>
  <si>
    <t>SPACEXDOGE:DOGE UNIVERSE</t>
  </si>
  <si>
    <t>UPC:UPCAKE</t>
  </si>
  <si>
    <t>HOLY:HOLY TRINITY</t>
  </si>
  <si>
    <t>EMP:EMP TOKEN</t>
  </si>
  <si>
    <t>EFC:EVERTON FAN TOKEN</t>
  </si>
  <si>
    <t>BULK:BULK NETWORK</t>
  </si>
  <si>
    <t>BITD:8BIT DOGE</t>
  </si>
  <si>
    <t>BISON:BISHARES</t>
  </si>
  <si>
    <t>OBT:OBTOKEN</t>
  </si>
  <si>
    <t>LBR:LITTLE BUNNY ROCKET</t>
  </si>
  <si>
    <t>MCS:MCS TOKEN</t>
  </si>
  <si>
    <t>DESO:DECENTRALIZED SOCIAL</t>
  </si>
  <si>
    <t>SAITAX:SAITAMAX</t>
  </si>
  <si>
    <t>YAS:YAS</t>
  </si>
  <si>
    <t>ADABOY:ADABOY</t>
  </si>
  <si>
    <t>FESBNB:FESBNB</t>
  </si>
  <si>
    <t>MI:MOSTERISLAND</t>
  </si>
  <si>
    <t>LEAG:LEAGUEDAO GOVERNANCE TOKEN</t>
  </si>
  <si>
    <t>CRYPT:CRYPTERTOKEN</t>
  </si>
  <si>
    <t>OMEN:AUGURY FINANCE</t>
  </si>
  <si>
    <t>VAL:VALKYRIE NETWORK</t>
  </si>
  <si>
    <t>POW:POWERADA</t>
  </si>
  <si>
    <t>BVL:BULLSWAP PROTOCOL</t>
  </si>
  <si>
    <t>JED:JEDSTAR</t>
  </si>
  <si>
    <t>D11:DEFI11</t>
  </si>
  <si>
    <t>ARATA:ARATA</t>
  </si>
  <si>
    <t>SSB:SATOSHISTREETBETS</t>
  </si>
  <si>
    <t>DELO:DECENTRA-LOTTO</t>
  </si>
  <si>
    <t>MCU:MEMECOINUNIVERSE</t>
  </si>
  <si>
    <t>DMR:DREAMR PLATFORM TOKEN</t>
  </si>
  <si>
    <t>OCTANE:OCTANE PROTOCOL TOKEN</t>
  </si>
  <si>
    <t>ARTX:ARTX</t>
  </si>
  <si>
    <t>LPI:LPI DAO</t>
  </si>
  <si>
    <t>INFT:INFT PLATFORM</t>
  </si>
  <si>
    <t>HK:HELKIN</t>
  </si>
  <si>
    <t>FUMA:FUMA FINANCE</t>
  </si>
  <si>
    <t>WJXN:JAX NETWORK</t>
  </si>
  <si>
    <t>HPAD:HARMONYPAD</t>
  </si>
  <si>
    <t>MSN:MAISON CAPITAL</t>
  </si>
  <si>
    <t>AMA:MRWEB FINANCE</t>
  </si>
  <si>
    <t>GUSDT:GLOBAL UTILITY SMART DIGITAL TOKEN</t>
  </si>
  <si>
    <t>CLV:CLOVER FINANCE</t>
  </si>
  <si>
    <t>CVX:CONVEX FINANCE</t>
  </si>
  <si>
    <t>BIT:BITDAO</t>
  </si>
  <si>
    <t>BTRST:BRAINTRUST</t>
  </si>
  <si>
    <t>LF:LINKFLOW</t>
  </si>
  <si>
    <t>JASMY:JASMYCOIN</t>
  </si>
  <si>
    <t>HMT:HUMAN PROTOCOL</t>
  </si>
  <si>
    <t>EURT:TETHER EURT</t>
  </si>
  <si>
    <t>TOKE:TOKEMAK</t>
  </si>
  <si>
    <t>LON:TOKENLON</t>
  </si>
  <si>
    <t>CHESS:TRANCHESS</t>
  </si>
  <si>
    <t>PYR:VULCAN FORGED</t>
  </si>
  <si>
    <t>SDN:SHIDEN NETWORK</t>
  </si>
  <si>
    <t>DERC:DERACE</t>
  </si>
  <si>
    <t>TMCN:TIMECOIN PROTOCOL</t>
  </si>
  <si>
    <t>ADAX:ADAX</t>
  </si>
  <si>
    <t>XNO:XENO TOKEN</t>
  </si>
  <si>
    <t>LYXE:LUKSO TOKEN</t>
  </si>
  <si>
    <t>CRP:CROPPERFINANCE</t>
  </si>
  <si>
    <t>AGPC:AGPC</t>
  </si>
  <si>
    <t>CNC:GLOBAL CHINA CASH</t>
  </si>
  <si>
    <t>BTCST:BTC STANDARD HASHRATE TOKEN</t>
  </si>
  <si>
    <t>LITH:LITHIUM FINANCE</t>
  </si>
  <si>
    <t>SHI:SHIRTUM</t>
  </si>
  <si>
    <t>RACA:RADIO CACA</t>
  </si>
  <si>
    <t>GAME:GAMESTARTER</t>
  </si>
  <si>
    <t>QI:BENQI</t>
  </si>
  <si>
    <t>LHB:LENDHUB</t>
  </si>
  <si>
    <t>PORT:PORT FINANCE</t>
  </si>
  <si>
    <t>SYN:SYNAPSE</t>
  </si>
  <si>
    <t>CNZ:COINZO TOKEN</t>
  </si>
  <si>
    <t>FB:FENERBAHÇE TOKEN</t>
  </si>
  <si>
    <t>WNCG:WRAPPED NCG</t>
  </si>
  <si>
    <t>LAT:PLATON NETWORK</t>
  </si>
  <si>
    <t>VENT:VENT FINANCE</t>
  </si>
  <si>
    <t>PBX:PARIBUS</t>
  </si>
  <si>
    <t>LOUD:LOUD MARKET</t>
  </si>
  <si>
    <t>FNB:FINEXBOX TOKEN</t>
  </si>
  <si>
    <t>VALUE:VALUE DEFI</t>
  </si>
  <si>
    <t>MVC:MILEVERSE</t>
  </si>
  <si>
    <t>BP:BUNNYPARK</t>
  </si>
  <si>
    <t>STF:STRUCTURE FINANCE</t>
  </si>
  <si>
    <t>AVXL:AVAXLAUNCHER</t>
  </si>
  <si>
    <t>CCXX:COUNOSX</t>
  </si>
  <si>
    <t>SOC:SODA COIN</t>
  </si>
  <si>
    <t>ZCX:UNIZEN</t>
  </si>
  <si>
    <t>EFI:EFINITY</t>
  </si>
  <si>
    <t>TALK:TALKEN</t>
  </si>
  <si>
    <t>DPX:DOPEX</t>
  </si>
  <si>
    <t>BAE:BAE</t>
  </si>
  <si>
    <t>AGLD:ADVENTURE GOLD</t>
  </si>
  <si>
    <t>UFT:UNILEND FINANCE</t>
  </si>
  <si>
    <t>DBT:DATBIT</t>
  </si>
  <si>
    <t>CGS:CRYPTO GLADIATOR SHARDS</t>
  </si>
  <si>
    <t>OCT:OCTOPUS NETWORK</t>
  </si>
  <si>
    <t>SBR:SABER</t>
  </si>
  <si>
    <t>ZOON:CRYPTOZOON</t>
  </si>
  <si>
    <t>GNBT:GENEBANK TOKEN</t>
  </si>
  <si>
    <t>TRU:TRUEBIT PROTOCOL</t>
  </si>
  <si>
    <t>KOKO:KOKOSWAP</t>
  </si>
  <si>
    <t>BMON:BINAMON</t>
  </si>
  <si>
    <t>DMD:DMD</t>
  </si>
  <si>
    <t>LDO:LIDO DAO</t>
  </si>
  <si>
    <t>XSUSHI:XSUSHI</t>
  </si>
  <si>
    <t>BCP:BLOCK COMMERCE PROTOCOL</t>
  </si>
  <si>
    <t>ONIT:ONBUFF</t>
  </si>
  <si>
    <t>DRC:DRC MOBILITY</t>
  </si>
  <si>
    <t>XAVA:AVALAUNCH</t>
  </si>
  <si>
    <t>COPE:COPE</t>
  </si>
  <si>
    <t>SUNNY:SUNNY AGGREGATOR</t>
  </si>
  <si>
    <t>ALT:ALITAS</t>
  </si>
  <si>
    <t>XELS:XELS</t>
  </si>
  <si>
    <t>DAF:DAFIN</t>
  </si>
  <si>
    <t>XP:POLKAFANTASY</t>
  </si>
  <si>
    <t>AXIAV3:AXIA</t>
  </si>
  <si>
    <t>MM:MILLIMETER</t>
  </si>
  <si>
    <t>STOS:STRATOS</t>
  </si>
  <si>
    <t>STA:DEFI STOA</t>
  </si>
  <si>
    <t>MEDA:MEDACOIN</t>
  </si>
  <si>
    <t>KSC:KSTARCOIN</t>
  </si>
  <si>
    <t>DBUY:DOONT BUY</t>
  </si>
  <si>
    <t>BHP:BLOCKCHAIN OF HASH POWER</t>
  </si>
  <si>
    <t>MNGO:MANGO MARKETS</t>
  </si>
  <si>
    <t>GLCH:GLITCH PROTOCOL</t>
  </si>
  <si>
    <t>CIRUS:CIRUS</t>
  </si>
  <si>
    <t>KIAN:PORTA</t>
  </si>
  <si>
    <t>LARIX:LARIX</t>
  </si>
  <si>
    <t>OCC:OCCAMFI</t>
  </si>
  <si>
    <t>HIT:HITBTC TOKEN</t>
  </si>
  <si>
    <t>UBX:UBIX NETWORK</t>
  </si>
  <si>
    <t>PKOIN:POCKETCOIN</t>
  </si>
  <si>
    <t>SLRS:SOLRISE FINANCE</t>
  </si>
  <si>
    <t>GMT:GOMINING TOKEN</t>
  </si>
  <si>
    <t>RUSD:RUSD</t>
  </si>
  <si>
    <t>PETN:PYLON ECO TOKEN</t>
  </si>
  <si>
    <t>LN:LINK</t>
  </si>
  <si>
    <t>CELL:CELLFRAME</t>
  </si>
  <si>
    <t>PMON:POLYCHAIN MONSTERS</t>
  </si>
  <si>
    <t>OOE:OPENOCEAN</t>
  </si>
  <si>
    <t>DXO:DEEPSPACE TOKEN</t>
  </si>
  <si>
    <t>ETERNAL:CRYPTOMINES ETERNAL</t>
  </si>
  <si>
    <t>STAR:FILESTAR</t>
  </si>
  <si>
    <t>TRR:TERRAN COIN</t>
  </si>
  <si>
    <t>MASS:MASS</t>
  </si>
  <si>
    <t>POSI:POSITION TOKEN</t>
  </si>
  <si>
    <t>PWAR:POLKAWAR</t>
  </si>
  <si>
    <t>ANSR:ANSWERLY</t>
  </si>
  <si>
    <t>SOLD:SOLANAX</t>
  </si>
  <si>
    <t>EPK:EPIK PROTOCOL</t>
  </si>
  <si>
    <t>PLUT:PLUTOS NETWORK</t>
  </si>
  <si>
    <t>ARX:ARCS</t>
  </si>
  <si>
    <t>GLX:GALAXER</t>
  </si>
  <si>
    <t>FST:FUTURESWAP</t>
  </si>
  <si>
    <t>WCELO:WRAPPED CELO</t>
  </si>
  <si>
    <t>SRX:STORX</t>
  </si>
  <si>
    <t>SONA:SONA NETWORK</t>
  </si>
  <si>
    <t>DBZ:DIAMOND BOYZ COIN</t>
  </si>
  <si>
    <t>RDPX:DOPEX REBATE TOKEN</t>
  </si>
  <si>
    <t>HERO:STEP HERO</t>
  </si>
  <si>
    <t>BETU:BETU</t>
  </si>
  <si>
    <t>KCCPAD:KCCPAD</t>
  </si>
  <si>
    <t>ROC:ROXE</t>
  </si>
  <si>
    <t>TABOO:TABOO TOKEN</t>
  </si>
  <si>
    <t>ADP:ADAPPTER TOKEN</t>
  </si>
  <si>
    <t>MMUI:METAMUI</t>
  </si>
  <si>
    <t>UFO:UFO GAMING</t>
  </si>
  <si>
    <t>PIZA:HALF PIZZA</t>
  </si>
  <si>
    <t>MVP:MVP COIN</t>
  </si>
  <si>
    <t>BEAN:BEAN</t>
  </si>
  <si>
    <t>CP:COPUPPY</t>
  </si>
  <si>
    <t>MAKI:MAKISWAP</t>
  </si>
  <si>
    <t>CYT:COINARY TOKEN</t>
  </si>
  <si>
    <t>CCAR:CRYPTOCARS</t>
  </si>
  <si>
    <t>ADAPAD:ADAPAD</t>
  </si>
  <si>
    <t>DAPPX:DAPPSTORE</t>
  </si>
  <si>
    <t>MNR:MINERAL</t>
  </si>
  <si>
    <t>SPO:SPORES NETWORK</t>
  </si>
  <si>
    <t>LORD:OVERLORD</t>
  </si>
  <si>
    <t>XIDO:XIDO FINANCE</t>
  </si>
  <si>
    <t>ALD:ALADDIN DAO</t>
  </si>
  <si>
    <t>APN:APRON</t>
  </si>
  <si>
    <t>BIT:BICONOMY EXCHANGE TOKEN</t>
  </si>
  <si>
    <t>TRONPAD:TRONPAD</t>
  </si>
  <si>
    <t>TIK:CHRONOBASE</t>
  </si>
  <si>
    <t>LED:LEDGIS</t>
  </si>
  <si>
    <t>EDC:EARNDEFI</t>
  </si>
  <si>
    <t>GICT:GICTRADE</t>
  </si>
  <si>
    <t>LINA:LINEAR (BSC)</t>
  </si>
  <si>
    <t>MCB:MCDEX</t>
  </si>
  <si>
    <t>LIKE:ONLY1</t>
  </si>
  <si>
    <t>YINBI:YINBI</t>
  </si>
  <si>
    <t>OSWAP:OPENSWAP</t>
  </si>
  <si>
    <t>COOP:COOP NETWORK</t>
  </si>
  <si>
    <t>C3:CHARLI3</t>
  </si>
  <si>
    <t>COOK:COOK</t>
  </si>
  <si>
    <t>IOI:IOI TOKEN</t>
  </si>
  <si>
    <t>EPIK:EPIK PRIME</t>
  </si>
  <si>
    <t>CHE:CHERRYSWAP</t>
  </si>
  <si>
    <t>AXC:AXIA COIN</t>
  </si>
  <si>
    <t>MIA:MIAMICOIN</t>
  </si>
  <si>
    <t>TPT:TOKEN POCKET</t>
  </si>
  <si>
    <t>TYT:TIANYA TOKEN</t>
  </si>
  <si>
    <t>BNX:BINARYX</t>
  </si>
  <si>
    <t>APECOIN:ASIA PACIFIC ELECTRONIC COIN</t>
  </si>
  <si>
    <t>REALM:REALM</t>
  </si>
  <si>
    <t>CRTS:CRATOS</t>
  </si>
  <si>
    <t>TOROCUS:TOROCUS TOKEN</t>
  </si>
  <si>
    <t>XPNET:XP NETWORK</t>
  </si>
  <si>
    <t>SYP:SYPOOL</t>
  </si>
  <si>
    <t>SANA:STORAGE AREA NETWORK ANYWHERE</t>
  </si>
  <si>
    <t>P2PS:P2P SOLUTIONS</t>
  </si>
  <si>
    <t>TOK:TOKENPLACE</t>
  </si>
  <si>
    <t>MONS:MONSTERS CLAN</t>
  </si>
  <si>
    <t>TULIP:SOLFARM</t>
  </si>
  <si>
    <t>XIL:PROJECTX</t>
  </si>
  <si>
    <t>VYNC:VYNK CHAIN</t>
  </si>
  <si>
    <t>SHIBCAKE:SHIBCAKE</t>
  </si>
  <si>
    <t>LEOS:LEONICORN SWAP</t>
  </si>
  <si>
    <t>MNST:MOONSTARTER</t>
  </si>
  <si>
    <t>BSBT:BIT STORAGE BOX TOKEN</t>
  </si>
  <si>
    <t>MARX:MARX</t>
  </si>
  <si>
    <t>LIFE:LIFE CRYPTO</t>
  </si>
  <si>
    <t>AAA:MOON RABBIT</t>
  </si>
  <si>
    <t>EBS:EBISU NETWORK</t>
  </si>
  <si>
    <t>ADDY:ADAMANT MESSENGER</t>
  </si>
  <si>
    <t>STAK:JIGSTACK</t>
  </si>
  <si>
    <t>FIT:300FIT</t>
  </si>
  <si>
    <t>MOON:HONEYMOON TOKEN</t>
  </si>
  <si>
    <t>ETHPAD:ETHPAD</t>
  </si>
  <si>
    <t>MFI:MARGINSWAP</t>
  </si>
  <si>
    <t>SUM:SUMSWAP</t>
  </si>
  <si>
    <t>BUNI:BUNICORN</t>
  </si>
  <si>
    <t>BABY:BABYSWAP</t>
  </si>
  <si>
    <t>AUR:AUREO</t>
  </si>
  <si>
    <t>ROCKS:ROCKI</t>
  </si>
  <si>
    <t>CYCE:CRYPTO CARBON ENERGY</t>
  </si>
  <si>
    <t>MQL:MIRAQLE</t>
  </si>
  <si>
    <t>TAI:TBRIDGE TOKEN</t>
  </si>
  <si>
    <t>SMON:STARMON TOKEN</t>
  </si>
  <si>
    <t>GZX:GREENZONEX</t>
  </si>
  <si>
    <t>COMB:COMBO</t>
  </si>
  <si>
    <t>DXT:DEXIT</t>
  </si>
  <si>
    <t>PANDO:PANDO</t>
  </si>
  <si>
    <t>ARENA:ARENA TOKEN</t>
  </si>
  <si>
    <t>EROWAN:SIFCHAIN</t>
  </si>
  <si>
    <t>POTS:MOONPOT</t>
  </si>
  <si>
    <t>NEWB:NEWB.FARM</t>
  </si>
  <si>
    <t>BLES:BLIND BOXES</t>
  </si>
  <si>
    <t>XRI:XROAD</t>
  </si>
  <si>
    <t>FEVR:REALFEVR</t>
  </si>
  <si>
    <t>XHT:HOLLAEX TOKEN</t>
  </si>
  <si>
    <t>SXC:SIMPLEXCHAIN</t>
  </si>
  <si>
    <t>CREDIT:PROXI DEFI</t>
  </si>
  <si>
    <t>HESH:HESH.FI</t>
  </si>
  <si>
    <t>XYZ:UNIVERSE.XYZ</t>
  </si>
  <si>
    <t>VAB:VABBLE</t>
  </si>
  <si>
    <t>BARMY:BSCARMY</t>
  </si>
  <si>
    <t>CFXQ:CFX QUANTUM</t>
  </si>
  <si>
    <t>IF:IMPOSSIBLE FINANCE</t>
  </si>
  <si>
    <t>GMEE:GAMEE</t>
  </si>
  <si>
    <t>PET:BATTLE PETS</t>
  </si>
  <si>
    <t>LHC:LIGHTCOIN</t>
  </si>
  <si>
    <t>PLENTYCOIN:PLENTYCOIN</t>
  </si>
  <si>
    <t>NBNG:NOBUNAGA</t>
  </si>
  <si>
    <t>DXCT:DNAXCAT</t>
  </si>
  <si>
    <t>AGN:AGRINOBLE</t>
  </si>
  <si>
    <t>PAPER:DOPE WARS PAPER</t>
  </si>
  <si>
    <t>EPICHERO:EPICHERO</t>
  </si>
  <si>
    <t>ZOO:ZOO - CRYPTO WORLD</t>
  </si>
  <si>
    <t>PLUG:PL^GNET</t>
  </si>
  <si>
    <t>UNO:UNO</t>
  </si>
  <si>
    <t>BIRB:BIRB</t>
  </si>
  <si>
    <t>HEROEGG:HEROFI</t>
  </si>
  <si>
    <t>MXT:MIXTRUST</t>
  </si>
  <si>
    <t>YAY:YAY GAMES</t>
  </si>
  <si>
    <t>PUSD:PUSD</t>
  </si>
  <si>
    <t>CHNG:CHAINGE FINANCE</t>
  </si>
  <si>
    <t>CLC:CIFCULATION</t>
  </si>
  <si>
    <t>WNTR:WEENTAR</t>
  </si>
  <si>
    <t>CTT:CRYPTOTYCOON</t>
  </si>
  <si>
    <t>TBCC:TBCC</t>
  </si>
  <si>
    <t>EGI:EGAME</t>
  </si>
  <si>
    <t>STFI:STARTFI</t>
  </si>
  <si>
    <t>ARCX:ARC GOVERNANCE</t>
  </si>
  <si>
    <t>AFR:AFREUM</t>
  </si>
  <si>
    <t>$LORDZ:MEME LORDZ</t>
  </si>
  <si>
    <t>NFD:FEISTY DOGE NFT</t>
  </si>
  <si>
    <t>PUSH:ETHEREUM PUSH NOTIFICATION SERVICE - EPNS</t>
  </si>
  <si>
    <t>KOM:KOMMUNITAS</t>
  </si>
  <si>
    <t>DFL:DEFIL</t>
  </si>
  <si>
    <t>SCIX:SCIENTIX</t>
  </si>
  <si>
    <t>PAD:NEARPAD</t>
  </si>
  <si>
    <t>WDEFI:WOONKLY DEFI</t>
  </si>
  <si>
    <t>UNV:UNVEST</t>
  </si>
  <si>
    <t>TSC:TRUSTERCOIN</t>
  </si>
  <si>
    <t>THOREUM:THOREUM</t>
  </si>
  <si>
    <t>BUX:BUX TOKEN</t>
  </si>
  <si>
    <t>DFM:DEFI ON MCW</t>
  </si>
  <si>
    <t>IXS:IX SWAP</t>
  </si>
  <si>
    <t>SMILE:SMILE TOKEN</t>
  </si>
  <si>
    <t>BXH:BXH TOKEN</t>
  </si>
  <si>
    <t>POOL:POOLTOGETHER</t>
  </si>
  <si>
    <t>UMI:UMI DIGITAL</t>
  </si>
  <si>
    <t>MOLA:MOONLANA</t>
  </si>
  <si>
    <t>POP!:POP</t>
  </si>
  <si>
    <t>GIN:GIN TOKEN</t>
  </si>
  <si>
    <t>KITE:KITE SYNC</t>
  </si>
  <si>
    <t>ONX:ONX FINANCE</t>
  </si>
  <si>
    <t>APAD:ANYPAD</t>
  </si>
  <si>
    <t>AQT:AQT TOKEN</t>
  </si>
  <si>
    <t>ULTI:ULTI ARENA</t>
  </si>
  <si>
    <t>ZOO:CRYPTOZOO</t>
  </si>
  <si>
    <t>ZOO:ZOOKEEPER</t>
  </si>
  <si>
    <t>NOVA:SHIBANOVA</t>
  </si>
  <si>
    <t>NUCLEUS:NUCLEUS</t>
  </si>
  <si>
    <t>F9:FALCON NINE</t>
  </si>
  <si>
    <t>VPP:VIRTUE POKER POINTS</t>
  </si>
  <si>
    <t>GDT:GLOBE DERIVATIVE EXCHANGE</t>
  </si>
  <si>
    <t>BT:BT.FINANCE</t>
  </si>
  <si>
    <t>SCC:SIACLASSIC</t>
  </si>
  <si>
    <t>ASH:ASH</t>
  </si>
  <si>
    <t>CFXT:CHAINFLIX</t>
  </si>
  <si>
    <t>PURE:PURIEVER</t>
  </si>
  <si>
    <t>MNY:MOONIENFT</t>
  </si>
  <si>
    <t>BLP:BULLPERKS</t>
  </si>
  <si>
    <t>HELMET:HELMET INSURE</t>
  </si>
  <si>
    <t>QBT:QUBIT</t>
  </si>
  <si>
    <t>HUNNY:PANCAKE HUNNY</t>
  </si>
  <si>
    <t>SMILE:SMILE COIN</t>
  </si>
  <si>
    <t>DFD:DEFIDOLLAR DAO</t>
  </si>
  <si>
    <t>PERI:PERI FINANCE</t>
  </si>
  <si>
    <t>Делаю еженедельные закупки по Средам на 50 USDT.
При достижении любой монеты доходности 100% - продаю половину и остаюсь бесплатно в рынке (освободившиеся USDT всегда вывожу и реинвестирую их в BTC в ядро).</t>
  </si>
  <si>
    <t>При падении монеты на 30% и более, докупаю из резерва на +20% от текущей стоимости этой монеты, чтобы усредниться.
Делать ребалансировку раз в полгода: 
01.12.2025 / 01.06.2026</t>
  </si>
  <si>
    <r>
      <t xml:space="preserve">Сумма, </t>
    </r>
    <r>
      <rPr>
        <b/>
        <sz val="11"/>
        <color indexed="8"/>
        <rFont val="Arial Cyr"/>
        <charset val="204"/>
      </rPr>
      <t>₽</t>
    </r>
  </si>
  <si>
    <t>MNWL:MOONWILLY</t>
  </si>
  <si>
    <t>NCC3:NETCOINCAPITAL</t>
  </si>
  <si>
    <t>NUSD:NORMALIZED TETHER USD</t>
  </si>
  <si>
    <t>OPUS:CANOPUS</t>
  </si>
  <si>
    <t>PEFI:PENGUIN FINANCE</t>
  </si>
  <si>
    <t>PET2:BATTLE PETS</t>
  </si>
  <si>
    <t>PKC2:PUNKCOIN</t>
  </si>
  <si>
    <t>POLO:POLKAPLAY</t>
  </si>
  <si>
    <t>PTT3:POTENT</t>
  </si>
  <si>
    <t>PUBG:PUBG COİN</t>
  </si>
  <si>
    <t>PUNK:PUNK</t>
  </si>
  <si>
    <t>QARK:QARK TOKEN</t>
  </si>
  <si>
    <t>QBT3:QUBIT</t>
  </si>
  <si>
    <t>QRDO:QREDO</t>
  </si>
  <si>
    <t>RBC5:ROBOCOIN</t>
  </si>
  <si>
    <t>SLD2:SHIELDX</t>
  </si>
  <si>
    <t>SNK2:SNOOK</t>
  </si>
  <si>
    <t>STF2:STRUCTURE FINANCE</t>
  </si>
  <si>
    <t>SUM3:SUMSWAP</t>
  </si>
  <si>
    <t>SURF:SURFEX UTILITY TOKEN</t>
  </si>
  <si>
    <t>TFI2:TRUSTFI NETWORK</t>
  </si>
  <si>
    <t>THG2:THETAN ARENA</t>
  </si>
  <si>
    <t>TYC3:TIANYU FINANCE</t>
  </si>
  <si>
    <t>VEGA:VEGA PROTOCOL</t>
  </si>
  <si>
    <t>WET2:WEBLE ECOSYSTEM TOKEN</t>
  </si>
  <si>
    <t>XBZZ:XBZZ TOKEN</t>
  </si>
  <si>
    <t>YEFI:YEFI</t>
  </si>
  <si>
    <t>YOU3:SELFLLERY</t>
  </si>
  <si>
    <t>ALKOM:ALPHA KOMBAT</t>
  </si>
  <si>
    <t>ANGEL:CROWD FOR ANGELS</t>
  </si>
  <si>
    <t>AUTO4:AUTOSTAKE</t>
  </si>
  <si>
    <t>BBFEG:BABYFEG</t>
  </si>
  <si>
    <t>BDIGG:BADGER SETT DIGG</t>
  </si>
  <si>
    <t>BEAR4:HONEYBEAR</t>
  </si>
  <si>
    <t>BIRD2:BIRDY FINANCE</t>
  </si>
  <si>
    <t>BONE2:BONE SHIBASWAP</t>
  </si>
  <si>
    <t>BPENG:BABYPENGUIN</t>
  </si>
  <si>
    <t>BROSE:BLACKROSE COİN</t>
  </si>
  <si>
    <t>BTCA2:BITCOIN ASIA</t>
  </si>
  <si>
    <t>CCASH:CAMPUSCASH</t>
  </si>
  <si>
    <t>CDOGE:CHUBBYDOGE</t>
  </si>
  <si>
    <t>CYCLE:CYCLE TOKEN</t>
  </si>
  <si>
    <t>DEFIL:PIEDAO DEFI LARGE CAP</t>
  </si>
  <si>
    <t>DOGE2:DOGECOIN 2.0</t>
  </si>
  <si>
    <t>EROS2:EROS</t>
  </si>
  <si>
    <t>EVAPE:EVERYAPE</t>
  </si>
  <si>
    <t>IZOBI:IZOBI</t>
  </si>
  <si>
    <t>KITSU:KITSUNE INU</t>
  </si>
  <si>
    <t>KIWI3:KIWISWAP FINANCE</t>
  </si>
  <si>
    <t>LAIKA:LAIKA PROTOCOL</t>
  </si>
  <si>
    <t>LAND3:LANDSHARE TOKEN</t>
  </si>
  <si>
    <t>LNCHX:LAUNCHX</t>
  </si>
  <si>
    <t>QUACK:RICH QUACK</t>
  </si>
  <si>
    <t>STAK2:JIGSTACK</t>
  </si>
  <si>
    <t>TRIPS:TRIPS COMMUNITY</t>
  </si>
  <si>
    <t>USDAP:BONDAPPETIT USD</t>
  </si>
  <si>
    <t>WAVAX:WRAPPED AVAX</t>
  </si>
  <si>
    <t>ANGEL3:POLYLAUNCHER</t>
  </si>
  <si>
    <t>BOOST3:BOOST COIN</t>
  </si>
  <si>
    <t>BPUNKS:BABYPUNKS</t>
  </si>
  <si>
    <t>BSHIBR:BABY SHIBA ROCKET</t>
  </si>
  <si>
    <t>CFL365:CFL365 FINANCE</t>
  </si>
  <si>
    <t>ETHVOL:ETHEREUM VOLATILITY TOKEN</t>
  </si>
  <si>
    <t>FOOTIE:FOOTIE PLUS</t>
  </si>
  <si>
    <t>GSHIBA:GAMBLER SHIBA</t>
  </si>
  <si>
    <t>HUNGRY:HUNGRY BEAR</t>
  </si>
  <si>
    <t>KELPIE:KELPIE INU</t>
  </si>
  <si>
    <t>LOVELY:LOVELY INU</t>
  </si>
  <si>
    <t>PUPPY2:PUPPY DOGE</t>
  </si>
  <si>
    <t>SHERPA:SHERPA</t>
  </si>
  <si>
    <t>SHI3LD:POLYSHIELD</t>
  </si>
  <si>
    <t>SIMPLE:SIMPLECHAIN</t>
  </si>
  <si>
    <t>SUGAR2:SUGARLAND</t>
  </si>
  <si>
    <t>TUNDRA:TUNDRA TOKEN</t>
  </si>
  <si>
    <t>VAULT2:SAFEVAULT</t>
  </si>
  <si>
    <t>WMATIC:WRAPPED MATIC</t>
  </si>
  <si>
    <t>ZOOSHI:ZOOSHI</t>
  </si>
  <si>
    <t>BABYADA:BABY ADA</t>
  </si>
  <si>
    <t>BABYSUN:BABYSUN</t>
  </si>
  <si>
    <t>CATGIRL:CATGIRL</t>
  </si>
  <si>
    <t>DRYCAKE:DRYCAKE SWAP</t>
  </si>
  <si>
    <t>ENERGYX:SAFE ENERGY</t>
  </si>
  <si>
    <t>MIMATIC:MAI</t>
  </si>
  <si>
    <t>PUPDOGE:PUP DOGE</t>
  </si>
  <si>
    <t>COCKTAIL:COCKTAIL</t>
  </si>
  <si>
    <t>ETHHEDGE:1X SHORT ETHEREUM TOKEN</t>
  </si>
  <si>
    <t>FULLSEND:FULL SEND</t>
  </si>
  <si>
    <t>HERODOGE:HERODOGE</t>
  </si>
  <si>
    <t>ONE1INCH:STABLE 1INCH</t>
  </si>
  <si>
    <t>REDSHIBA:REDSHIBA</t>
  </si>
  <si>
    <t>SHIBCAKE:SHIB CAKE</t>
  </si>
  <si>
    <t>DADDYCAKE:DADDYCAKE</t>
  </si>
  <si>
    <t>CYBRRRDOGE:CYBERDOGE</t>
  </si>
  <si>
    <t>THUNDERADA:THUNDERADA.APP</t>
  </si>
  <si>
    <t>CFX:CONFLUX</t>
  </si>
  <si>
    <t>WOO:WOO NETWORK</t>
  </si>
  <si>
    <t>POWR:POWERLEDGER</t>
  </si>
  <si>
    <t>HARD:KAVA LEND</t>
  </si>
  <si>
    <t>EZ:EASYFI</t>
  </si>
  <si>
    <t>USDP:PAX DOLLAR</t>
  </si>
  <si>
    <t>ASD:ASD</t>
  </si>
  <si>
    <t>MER:MERCURIAL FINANCE</t>
  </si>
  <si>
    <t>ICH:IDEA CHAIN COIN</t>
  </si>
  <si>
    <t>AGIX:SINGULARITY NET</t>
  </si>
  <si>
    <t>SKEY:SKEY NETWORK</t>
  </si>
  <si>
    <t>UPUNK:UNICLY CRYPTOPUNKS COLLECTION</t>
  </si>
  <si>
    <t>SIGNA:SIGNUM</t>
  </si>
  <si>
    <t>GMD:THE COOP NETWORK</t>
  </si>
  <si>
    <t>DG:DEGATE</t>
  </si>
  <si>
    <t>CONE:COINONE TOKEN</t>
  </si>
  <si>
    <t>STACK:STACKOS</t>
  </si>
  <si>
    <t>SATA:SIGNATA</t>
  </si>
  <si>
    <t>NFTI:NFT INDEX</t>
  </si>
  <si>
    <t>YFIII:DIFY.FINANCE</t>
  </si>
  <si>
    <t>LAUNCH:SUPERLAUNCHER</t>
  </si>
  <si>
    <t>DITTO:DITTO</t>
  </si>
  <si>
    <t>PPBLZ:PEPEMON PEPEBALLS</t>
  </si>
  <si>
    <t>HGOLD:HOLLYGOLD</t>
  </si>
  <si>
    <t>WARP:WARP FINANCE</t>
  </si>
  <si>
    <t>YIELD:YIELD PROTOCOL</t>
  </si>
  <si>
    <t>DFS:DEFIS NETWORK</t>
  </si>
  <si>
    <t>TH:TEAM HERETICS FAN TOKEN</t>
  </si>
  <si>
    <t>N1:NFTIFY</t>
  </si>
  <si>
    <t>VNXLU:VNX EXCHANGE</t>
  </si>
  <si>
    <t>TWIN:TWINCI</t>
  </si>
  <si>
    <t>EPD:ENTERPRISE PRODUCTS</t>
  </si>
  <si>
    <t>ZNGA:ZYNGA INC.</t>
  </si>
  <si>
    <t>ECO:ORMEUS ECOSYSTEM</t>
  </si>
  <si>
    <t>ISLE:ISLAND COIN</t>
  </si>
  <si>
    <t>CRCTE:CIRCUIT ELITE</t>
  </si>
  <si>
    <t>HBIT:HASHBIT BLOCKCHAIN</t>
  </si>
  <si>
    <t>KLAYG:KLAYGAMES</t>
  </si>
  <si>
    <t>BLOK:BLOKTOPIA</t>
  </si>
  <si>
    <t>ATT:ARTUBE</t>
  </si>
  <si>
    <t>TIME:WONDERLAND</t>
  </si>
  <si>
    <t>BCT:TOUCAN PROTOCOL: BASE CARBON TONNE</t>
  </si>
  <si>
    <t>NAKA:NAKAMOTO GAMES</t>
  </si>
  <si>
    <t>SCLP:SCALLOP</t>
  </si>
  <si>
    <t>SGB:SONGBIRD</t>
  </si>
  <si>
    <t>MIM:MAGIC INTERNET MONEY</t>
  </si>
  <si>
    <t>SIN:SIN CITY</t>
  </si>
  <si>
    <t>COLA:COLA TOKEN</t>
  </si>
  <si>
    <t>JOE:TRADER JOE</t>
  </si>
  <si>
    <t>UNR:UNIREALCHAIN</t>
  </si>
  <si>
    <t>WARS:METAWARS</t>
  </si>
  <si>
    <t>KIBA:KIBA INU</t>
  </si>
  <si>
    <t>FODL:FODL FINANCE</t>
  </si>
  <si>
    <t>RBN:RIBBON FINANCE</t>
  </si>
  <si>
    <t>ECOP:ECO DEFI</t>
  </si>
  <si>
    <t>BCMC:BLOCKCHAIN MONSTER HUNT</t>
  </si>
  <si>
    <t>EJS:ENJINSTARTER</t>
  </si>
  <si>
    <t>RENA:WARENA</t>
  </si>
  <si>
    <t>THG:THETAN ARENA</t>
  </si>
  <si>
    <t>WND:WONDERHERO</t>
  </si>
  <si>
    <t>BOOST:BOOST</t>
  </si>
  <si>
    <t>BCOIN:BOMBER COIN</t>
  </si>
  <si>
    <t>FINA:DEFINA FINANCE</t>
  </si>
  <si>
    <t>AURY:AURORY</t>
  </si>
  <si>
    <t>COMBO:FURUCOMBO</t>
  </si>
  <si>
    <t>LAND:LANDBOX</t>
  </si>
  <si>
    <t>SCP2:SCPRIME</t>
  </si>
  <si>
    <t>YIELD2:YIELD PROTOCOL</t>
  </si>
  <si>
    <t>LKR2:POLKALOKR</t>
  </si>
  <si>
    <t>IMO2:IMO</t>
  </si>
  <si>
    <t>KANGAL:KANGAL</t>
  </si>
  <si>
    <t>TAP:TAPMYDATA</t>
  </si>
  <si>
    <t>FOC:THEFORCE TRADE</t>
  </si>
  <si>
    <t>OKS2:OIKOS</t>
  </si>
  <si>
    <t>DFSOCIAL:DEFISOCIAL GAMING</t>
  </si>
  <si>
    <t>AC4:ACOCONUT</t>
  </si>
  <si>
    <t>MRP2:MORPHINE</t>
  </si>
  <si>
    <t>ROYA:ROYALE FINANCE</t>
  </si>
  <si>
    <t>SOTA:SOTA.FINANCE</t>
  </si>
  <si>
    <t>ALN:ALUNA SOCIAL</t>
  </si>
  <si>
    <t>BEMT:BEM</t>
  </si>
  <si>
    <t>SHO:SHOWCASE</t>
  </si>
  <si>
    <t>ETIT:ETITANIUM</t>
  </si>
  <si>
    <t>LOOX:SAFEPE</t>
  </si>
  <si>
    <t>XMON:XMON</t>
  </si>
  <si>
    <t>DWZ:DEFI WIZARD</t>
  </si>
  <si>
    <t>ASIA:ASIA COIN</t>
  </si>
  <si>
    <t>SDT4:STAKE DAO</t>
  </si>
  <si>
    <t>MEL2:CARAMEL SWAP</t>
  </si>
  <si>
    <t>FEAST:FEAST TOKEN</t>
  </si>
  <si>
    <t>NUT3:NUT MONEY</t>
  </si>
  <si>
    <t>CCAKE:CHEESECAKESWAP TOKEN</t>
  </si>
  <si>
    <t>CRP3:CRYPTON</t>
  </si>
  <si>
    <t>DCAT:DONUTCAT</t>
  </si>
  <si>
    <t>BOLC:BOLIECOIN</t>
  </si>
  <si>
    <t>NIN:NINJA BABY</t>
  </si>
  <si>
    <t>PSI:PASSIVE INCOME TOKEN</t>
  </si>
  <si>
    <t>CHI2:CHI GASTOKEN</t>
  </si>
  <si>
    <t>FAMOUS:FAMOUS COIN</t>
  </si>
  <si>
    <t>STARSHIP:STARSHIP</t>
  </si>
  <si>
    <t>BIRD3:BIRDCHAIN</t>
  </si>
  <si>
    <t>PNIX:PHOENIXDEFI</t>
  </si>
  <si>
    <t>GDEFI:GLOBAL DEFI</t>
  </si>
  <si>
    <t>PNL:TRUE PNL</t>
  </si>
  <si>
    <t>KPAD:KICKPAD</t>
  </si>
  <si>
    <t>8PAY:8PA</t>
  </si>
  <si>
    <t>BIC4:BITCREX COIN</t>
  </si>
  <si>
    <t>BULL4:BULLCOIN</t>
  </si>
  <si>
    <t>USDS2:STABLY USD</t>
  </si>
  <si>
    <t>KEBAB:KEBAB TOKEN</t>
  </si>
  <si>
    <t>BID4:DEFI BIDS</t>
  </si>
  <si>
    <t>MRC3:MEROECHAIN</t>
  </si>
  <si>
    <t>TFF2:TUTTI FRUTTI</t>
  </si>
  <si>
    <t>CFL:CRYPTOFLOW</t>
  </si>
  <si>
    <t>EPS:ECLIPSE</t>
  </si>
  <si>
    <t>SENPAI:PROJECT SENPAI</t>
  </si>
  <si>
    <t>SEOS:SEOS</t>
  </si>
  <si>
    <t>CBIX-P:CUBIEX POWER</t>
  </si>
  <si>
    <t>MNGUZ:MANGU</t>
  </si>
  <si>
    <t>GCG2:GULF COIN GOLD</t>
  </si>
  <si>
    <t>SURE:SURETY</t>
  </si>
  <si>
    <t>CVT3:CIVITAS PROTOCOL</t>
  </si>
  <si>
    <t>GTC5:GASTROCOIN</t>
  </si>
  <si>
    <t>BAS2:BASIS SHARE</t>
  </si>
  <si>
    <t>CRC3:CR COIN</t>
  </si>
  <si>
    <t>INRT:INRTOKEN</t>
  </si>
  <si>
    <t>VTX3:VORTEX DEFI</t>
  </si>
  <si>
    <t>SYN2:SYNLEV</t>
  </si>
  <si>
    <t>SWAM:SWAPMATIC TOKEN</t>
  </si>
  <si>
    <t>YFIAG:YEARNAGNOSTIC FINANCE</t>
  </si>
  <si>
    <t>300:300 TOKEN</t>
  </si>
  <si>
    <t>MCH2:MEMECASH</t>
  </si>
  <si>
    <t>ZOL:ZOLAN</t>
  </si>
  <si>
    <t>STACK2:STACKER VENTURES TOKEN</t>
  </si>
  <si>
    <t>EVC4:EVRICE</t>
  </si>
  <si>
    <t>TKM:TOKEMON COIN</t>
  </si>
  <si>
    <t>COVER:COVER PROTOCOL [OLD]</t>
  </si>
  <si>
    <t>DEBASE:DEBASE</t>
  </si>
  <si>
    <t>KIMOCHI:KIMOCHI FINANCE</t>
  </si>
  <si>
    <t>AQUAGOAT:AQUAGOAT</t>
  </si>
  <si>
    <t>SNR:SONDER</t>
  </si>
  <si>
    <t>WG:WGAMES</t>
  </si>
  <si>
    <t>BTCA3:BITCOIN ANONYMOUS</t>
  </si>
  <si>
    <t>YFIM:YEARN FINANCE MONEY</t>
  </si>
  <si>
    <t>AFO1:ALL FOR ONE BUSINESS</t>
  </si>
  <si>
    <t>TMM2:TRON MAKING MACHINE</t>
  </si>
  <si>
    <t>NDO:NANDOOS</t>
  </si>
  <si>
    <t>PACT2:PACT</t>
  </si>
  <si>
    <t>YFD:YFDFI FINANCE</t>
  </si>
  <si>
    <t>XPGFK:PGFK PARTICLES</t>
  </si>
  <si>
    <t>DUCK2:DUCK FINANACE</t>
  </si>
  <si>
    <t>BTP3:BITPAL</t>
  </si>
  <si>
    <t>CTC5:CRYPTOCOIN</t>
  </si>
  <si>
    <t>MUST2:MUST</t>
  </si>
  <si>
    <t>AMBK:AMBANK COIN</t>
  </si>
  <si>
    <t>GTX3:GOALTIME N</t>
  </si>
  <si>
    <t>OGODS:GOTOGODS</t>
  </si>
  <si>
    <t>DSD2:DYNAMIC SET DOLLAR</t>
  </si>
  <si>
    <t>SDOG2:SAFEDOG</t>
  </si>
  <si>
    <t>STR3:STAKER</t>
  </si>
  <si>
    <t>NXR:NEUROMASTER</t>
  </si>
  <si>
    <t>PGU:POLYIENT GAMES UNITY</t>
  </si>
  <si>
    <t>BOSON:BOSON PROTOCOL</t>
  </si>
  <si>
    <t>STN2:STENEUM COIN</t>
  </si>
  <si>
    <t>BULLION:BULLIONPAY</t>
  </si>
  <si>
    <t>PA:POLAR</t>
  </si>
  <si>
    <t>IETH2:IETHEREUM</t>
  </si>
  <si>
    <t>AL2:ASSET LUMINOUS</t>
  </si>
  <si>
    <t>ILG:ILGON</t>
  </si>
  <si>
    <t>MWG:METAWHALE GOLD</t>
  </si>
  <si>
    <t>SGA:SOGUR</t>
  </si>
  <si>
    <t>XTL:MONEY TREE</t>
  </si>
  <si>
    <t>YUP:YUP</t>
  </si>
  <si>
    <t>BIXB:BIXBCOIN</t>
  </si>
  <si>
    <t>CBC6:CASINO BETTING COIN</t>
  </si>
  <si>
    <t>CROM:CRYPTOMUSIC</t>
  </si>
  <si>
    <t>FLX4:FLEX WORK</t>
  </si>
  <si>
    <t>HODL:HODL TOKEN</t>
  </si>
  <si>
    <t>LIT4:LITENTRY</t>
  </si>
  <si>
    <t>MERL:MERLIN LAB</t>
  </si>
  <si>
    <t>MIST:ALCHEMIST</t>
  </si>
  <si>
    <t>NUX2:NUAXESCOIN</t>
  </si>
  <si>
    <t>POKE:POKEBALL.FINANCE</t>
  </si>
  <si>
    <t>PPL2:QRIPPLEX</t>
  </si>
  <si>
    <t>SAUD:SAUD</t>
  </si>
  <si>
    <t>STX3:STACKS</t>
  </si>
  <si>
    <t>BTLUX:BITLUX OTC</t>
  </si>
  <si>
    <t>GBTC2:GIGTRICKS</t>
  </si>
  <si>
    <t>HUSKY:HUSKY</t>
  </si>
  <si>
    <t>REVU2:REVU</t>
  </si>
  <si>
    <t>SETH3:SETHER</t>
  </si>
  <si>
    <t>CANDY4:CANDY</t>
  </si>
  <si>
    <t>GBP.CX:GBP TOKENIZED CURRENCY</t>
  </si>
  <si>
    <t>BT:BOW</t>
  </si>
  <si>
    <t>FM:FOLLOW ME</t>
  </si>
  <si>
    <t>LC:LIBRA</t>
  </si>
  <si>
    <t>QI:QISWAP</t>
  </si>
  <si>
    <t>SI:SIREN</t>
  </si>
  <si>
    <t>3XT:3XT TOKEN</t>
  </si>
  <si>
    <t>7UP:SEVEN UP TOKEN</t>
  </si>
  <si>
    <t>ACS:ACRYPTOS</t>
  </si>
  <si>
    <t>AIN:AI NETWORK</t>
  </si>
  <si>
    <t>AWS:AURUSSILVER</t>
  </si>
  <si>
    <t>AWX:AURUSCOIN</t>
  </si>
  <si>
    <t>BAG:BONDAPPETIT GOVERNANCE TOKEN</t>
  </si>
  <si>
    <t>BNJ:BINJIT COIN</t>
  </si>
  <si>
    <t>BPP:BITPOWER</t>
  </si>
  <si>
    <t>CEZ:CEZO</t>
  </si>
  <si>
    <t>CFG:CENTRIFUGE</t>
  </si>
  <si>
    <t>CGG:CHAINGUARDIANS</t>
  </si>
  <si>
    <t>CHS:CHEESESWAP</t>
  </si>
  <si>
    <t>CLA:CANDELA COIN</t>
  </si>
  <si>
    <t>CRL:CORL</t>
  </si>
  <si>
    <t>CUB:CRYPTO USER BASE</t>
  </si>
  <si>
    <t>DCL:DELPHI CHAIN LINK</t>
  </si>
  <si>
    <t>DGN:DIAGON</t>
  </si>
  <si>
    <t>DHC:DELTAHUB COMMUNITY</t>
  </si>
  <si>
    <t>DIS:TOSDIS FINANCE</t>
  </si>
  <si>
    <t>DNS:BITDNS</t>
  </si>
  <si>
    <t>DON:DON-KEY</t>
  </si>
  <si>
    <t>DOP:DOPPLE</t>
  </si>
  <si>
    <t>DVG:DAOVENTURES</t>
  </si>
  <si>
    <t>DXF:DEXFIN</t>
  </si>
  <si>
    <t>EMB:OVERLINE EMBLEM</t>
  </si>
  <si>
    <t>ESW:EMISWAP</t>
  </si>
  <si>
    <t>EXF:EXTEND FINANCE</t>
  </si>
  <si>
    <t>FL2:FREELIQUID</t>
  </si>
  <si>
    <t>FMT:FACE MASK TOKEN</t>
  </si>
  <si>
    <t>FOX:UNIFOX</t>
  </si>
  <si>
    <t>GBK:GOLDBLOCK</t>
  </si>
  <si>
    <t>GUM:GOURMET</t>
  </si>
  <si>
    <t>HP2:HEARTBOUT PAY</t>
  </si>
  <si>
    <t>HP3:HEALING PLUS</t>
  </si>
  <si>
    <t>IDV:IDAVOLL</t>
  </si>
  <si>
    <t>ISP:ISPOLINK</t>
  </si>
  <si>
    <t>ITS:ITERATION SYNDICATE</t>
  </si>
  <si>
    <t>KWC:KWATCOIN</t>
  </si>
  <si>
    <t>KYL:KYLIN NETWORK</t>
  </si>
  <si>
    <t>LAS:ALASKA INU</t>
  </si>
  <si>
    <t>LC5:LAOCON</t>
  </si>
  <si>
    <t>LCE:LANCE COIN</t>
  </si>
  <si>
    <t>LEE:LEECOIN</t>
  </si>
  <si>
    <t>LTX:GRAYSCALE LITECOIN TRUST</t>
  </si>
  <si>
    <t>MAI:MINDSYNC</t>
  </si>
  <si>
    <t>MCP:MY CRYPTO PLAY</t>
  </si>
  <si>
    <t>MOB:MOBILECOIN</t>
  </si>
  <si>
    <t>MSC:MONSTER SLAYER</t>
  </si>
  <si>
    <t>NAR:NAR TOKEN</t>
  </si>
  <si>
    <t>NTB:TOKENASSET</t>
  </si>
  <si>
    <t>NUX:PEANUT</t>
  </si>
  <si>
    <t>OKT:OKEXCHAIN</t>
  </si>
  <si>
    <t>ORK:ORAKURU</t>
  </si>
  <si>
    <t>OSM:OPTIONS.MARKET</t>
  </si>
  <si>
    <t>OT2:OPTION TOKEN</t>
  </si>
  <si>
    <t>OVR:OVR</t>
  </si>
  <si>
    <t>PFI:PROTOCOL FINANCE</t>
  </si>
  <si>
    <t>PMP:PUMPY FARM</t>
  </si>
  <si>
    <t>PPL:PETPLE TOKEN</t>
  </si>
  <si>
    <t>RBC:ROBOCOIN</t>
  </si>
  <si>
    <t>SFM:SFMONEY</t>
  </si>
  <si>
    <t>SGE:SOCIETY OF GALACTIC EXPLORATION</t>
  </si>
  <si>
    <t>SPG:SPONGE FINANCE</t>
  </si>
  <si>
    <t>STN:STONE DEFI</t>
  </si>
  <si>
    <t>STR:STATER</t>
  </si>
  <si>
    <t>SYL:XSL LAB</t>
  </si>
  <si>
    <t>TFF:THEFAUSTFLICK</t>
  </si>
  <si>
    <t>TIA:TICAN</t>
  </si>
  <si>
    <t>TLM:ALIEN WORLDS TRILIUM</t>
  </si>
  <si>
    <t>TWT:TRONWATCHTOKEN</t>
  </si>
  <si>
    <t>UNL:UNILOCK.NETWORK</t>
  </si>
  <si>
    <t>UOP:UTOPIA OPEN PLATFORM</t>
  </si>
  <si>
    <t>UQB:UBIQUITIUM BLOCKCHAIN</t>
  </si>
  <si>
    <t>VOT:VOTE COIN</t>
  </si>
  <si>
    <t>WLT:WLT</t>
  </si>
  <si>
    <t>XCH:CHIA NETWORK</t>
  </si>
  <si>
    <t>XHT:HOLLAEX</t>
  </si>
  <si>
    <t>YCO:Y COIN</t>
  </si>
  <si>
    <t>YFO:YFIONE</t>
  </si>
  <si>
    <t>ZAI:ZERO COLLATERAL DAI</t>
  </si>
  <si>
    <t>1TRC:1TRONIC</t>
  </si>
  <si>
    <t>AAPL:APPLE INC TOKENIZED STOCK</t>
  </si>
  <si>
    <t>ACXT:AC EXCHANGE TOKEN</t>
  </si>
  <si>
    <t>ALCX:ALCHEMIX FINANCE</t>
  </si>
  <si>
    <t>ARTH:ARTH COIN</t>
  </si>
  <si>
    <t>ASSY:ASSY INDEX</t>
  </si>
  <si>
    <t>AVAL:AVALUSE</t>
  </si>
  <si>
    <t>BBC5:BLUE BAIKAL</t>
  </si>
  <si>
    <t>BBOO:PANDAYIELD</t>
  </si>
  <si>
    <t>BBP2:BITBOT PROTOCOL</t>
  </si>
  <si>
    <t>BBS2:BABY-SHARK.FINANCE</t>
  </si>
  <si>
    <t>BBT4:BITBOOK TOKEN</t>
  </si>
  <si>
    <t>BCHG:GRAYSCALE BITCOIN CASH TRUST</t>
  </si>
  <si>
    <t>BCP5:PIEDAO BALANCED CRYPTO PIE</t>
  </si>
  <si>
    <t>BCUG:BLOCKCHAIN CUTIES UNIVERSE GOVERNANCE TOKEN</t>
  </si>
  <si>
    <t>BCVT:BITCOINVEND</t>
  </si>
  <si>
    <t>BDAY:BIRTHDAY TOKEN</t>
  </si>
  <si>
    <t>BDT5:BLOCK DUELERS NFT BATTLES</t>
  </si>
  <si>
    <t>BELT:BELT FINANCE</t>
  </si>
  <si>
    <t>BLES:BLESSING</t>
  </si>
  <si>
    <t>BREW:CAFESWAP</t>
  </si>
  <si>
    <t>BRI2:BAROIN</t>
  </si>
  <si>
    <t>BSCX:BSCEX</t>
  </si>
  <si>
    <t>BTE3:BTECOIN</t>
  </si>
  <si>
    <t>BVND:BINANCE VIETNAMESE DONG</t>
  </si>
  <si>
    <t>BXTB:BXTB</t>
  </si>
  <si>
    <t>CAPS:TERNOA</t>
  </si>
  <si>
    <t>CARR:CARNOMALY</t>
  </si>
  <si>
    <t>CATZ:CATZCOIN</t>
  </si>
  <si>
    <t>CELL:CELLFRAME TOKEN</t>
  </si>
  <si>
    <t>CIR3:CIRCLESWAP</t>
  </si>
  <si>
    <t>CLVA:CLEVER</t>
  </si>
  <si>
    <t>CNT2:CYBER NETWORK TOKEN</t>
  </si>
  <si>
    <t>CONV:CONVERGENCE FINANCE</t>
  </si>
  <si>
    <t>CORN:BITCORN</t>
  </si>
  <si>
    <t>CROW:CROW FINANCE</t>
  </si>
  <si>
    <t>CTC4:CREDITCOIN</t>
  </si>
  <si>
    <t>CUT2:CARBON UTILITY TOKEN</t>
  </si>
  <si>
    <t>DAIQ:DAIQUILIBRIUM</t>
  </si>
  <si>
    <t>DEOR:DEOR</t>
  </si>
  <si>
    <t>DEUS:DEUS DAO</t>
  </si>
  <si>
    <t>DFYN:DFYN</t>
  </si>
  <si>
    <t>DIP4:DIPPER</t>
  </si>
  <si>
    <t>DLN3:DELOREAN COIN</t>
  </si>
  <si>
    <t>DRK2:DRAKEN</t>
  </si>
  <si>
    <t>DUSA:MEDUSA</t>
  </si>
  <si>
    <t>DXC3:DEX-TRADE EXCHANGE TOKEN</t>
  </si>
  <si>
    <t>DOF2:DOORFINANCE</t>
  </si>
  <si>
    <t>EBOX:ETHBOX TOKEN</t>
  </si>
  <si>
    <t>ELE2:ELEVATE</t>
  </si>
  <si>
    <t>ELON:DOGELON MARS</t>
  </si>
  <si>
    <t>EMON:ETHERMON</t>
  </si>
  <si>
    <t>ETHE:GRAYSCALE ETHEREUM TRUST</t>
  </si>
  <si>
    <t>EVN3:EVOLUTION FINANCE</t>
  </si>
  <si>
    <t>FDO2:FIRDAOS</t>
  </si>
  <si>
    <t>FNB2:FINEXBOXTOKEN</t>
  </si>
  <si>
    <t>FXC3:FUTUREXCRYPTO</t>
  </si>
  <si>
    <t>GASG:GASGAINS</t>
  </si>
  <si>
    <t>GBTC:GRAYSCALE BITCOIN TRUST</t>
  </si>
  <si>
    <t>GCBN:GAS CASH BACK</t>
  </si>
  <si>
    <t>GDT2:GLOBE</t>
  </si>
  <si>
    <t>GRAP:GRAP FINANCE</t>
  </si>
  <si>
    <t>GROW:GROW</t>
  </si>
  <si>
    <t>GYEN:GMO DIGITAL JPY</t>
  </si>
  <si>
    <t>STRP:STRIPS FINANCE</t>
  </si>
  <si>
    <t>TBE2:TRUSTBASE</t>
  </si>
  <si>
    <t>TETU:TETU REWARD TOKEN</t>
  </si>
  <si>
    <t>THRN:THORNCOIN</t>
  </si>
  <si>
    <t>TOMB:TOMB</t>
  </si>
  <si>
    <t>TRGI:THE REAL GOLDEN INU</t>
  </si>
  <si>
    <t>UPC2:UPCAKE</t>
  </si>
  <si>
    <t>USDL:USDL</t>
  </si>
  <si>
    <t>VGO2:VIRGO</t>
  </si>
  <si>
    <t>XEMX:XENIUMX</t>
  </si>
  <si>
    <t>YOU4:YOUVES YOU GOVERNANCE</t>
  </si>
  <si>
    <t>ANIME:ANIME VAULT (NFTX)</t>
  </si>
  <si>
    <t>BURNX:BURNX</t>
  </si>
  <si>
    <t>CPOOL:CLEARPOOL</t>
  </si>
  <si>
    <t>DOGEX:PROJECT DOGEX</t>
  </si>
  <si>
    <t>FLOAT:FLOAT PROTOCOL: FLOAT</t>
  </si>
  <si>
    <t>FUNJO:FUNJOCOIN</t>
  </si>
  <si>
    <t>GLYPH:GLYPH VAULT (NFTX)</t>
  </si>
  <si>
    <t>HIGH2:HIGHSTREET</t>
  </si>
  <si>
    <t>JOJO2:JOJO INU</t>
  </si>
  <si>
    <t>KLEAR:KLEAR FINANCE</t>
  </si>
  <si>
    <t>KLIMA:KLIMA DAO</t>
  </si>
  <si>
    <t>LABRA:LABRACOIN</t>
  </si>
  <si>
    <t>MAID2:MAIDCOIN</t>
  </si>
  <si>
    <t>MODEX:MODEX TOKEN</t>
  </si>
  <si>
    <t>MOVE3:MARKETMOVE</t>
  </si>
  <si>
    <t>NFTL2:NIFTY LEAGUE</t>
  </si>
  <si>
    <t>PLAY4:METAVERSE NFT INDEX</t>
  </si>
  <si>
    <t>PUMP4:MOONPUMP</t>
  </si>
  <si>
    <t>RUSH2:RUSHMOON</t>
  </si>
  <si>
    <t>SCALE:SCALE FINANCE</t>
  </si>
  <si>
    <t>TPAY3:TECOPAY</t>
  </si>
  <si>
    <t>UUSD2:YOUVES UUSD</t>
  </si>
  <si>
    <t>VERA2:VERA</t>
  </si>
  <si>
    <t>WISH3:WISH FINANCE</t>
  </si>
  <si>
    <t>XKAWA:XKAWA</t>
  </si>
  <si>
    <t>ASHBIT:ASHBITCOIN</t>
  </si>
  <si>
    <t>BLAST4:BLASTOISE INU</t>
  </si>
  <si>
    <t>CRETH2:CREAM ETH 2</t>
  </si>
  <si>
    <t>KAMINA:KAMINA INU</t>
  </si>
  <si>
    <t>LAIKA2:LAIKACOIN</t>
  </si>
  <si>
    <t>MATPAD:MATICPAD</t>
  </si>
  <si>
    <t>NFTBOX:NFTBOX.FUN</t>
  </si>
  <si>
    <t>NIFTSY:ENVELOP</t>
  </si>
  <si>
    <t>POCMON:POCMON</t>
  </si>
  <si>
    <t>TASTE2:TASTENFT</t>
  </si>
  <si>
    <t>TITAN2:IRON TITANIUM TOKEN</t>
  </si>
  <si>
    <t>ZABAKU:ZABAKU INU</t>
  </si>
  <si>
    <t>BAMBOO5:POLYPANDA</t>
  </si>
  <si>
    <t>BTCGAME:BTC GAME</t>
  </si>
  <si>
    <t>KNIGHT2:FOREST KNIGHT</t>
  </si>
  <si>
    <t>LEOPARD:LEOPARD</t>
  </si>
  <si>
    <t>STKXPRT:PSTAKE STAKED XPRT</t>
  </si>
  <si>
    <t>YVBOOST:YEARN COMPOUNDING VECRV YVAULT</t>
  </si>
  <si>
    <t>BULLISH2:BULLISHAPES</t>
  </si>
  <si>
    <t>DELTARLP:REBASING LIQUIDITY</t>
  </si>
  <si>
    <t>DIREWOLF:DIREWOLF</t>
  </si>
  <si>
    <t>MOONMOON:MOONMOON</t>
  </si>
  <si>
    <t>ALTRUCOIN:ALTRUCOIN</t>
  </si>
  <si>
    <t>MOONLIGHT:MOONLIGHT TOKEN</t>
  </si>
  <si>
    <t>BABYFLOKI2:BABY FLOKI</t>
  </si>
  <si>
    <t>DADDYSHARK:DADDY SHARK</t>
  </si>
  <si>
    <t>BUNNYROCKET:BUNNYROCKET</t>
  </si>
  <si>
    <t>DORAEMONINU:DORAEMONINU</t>
  </si>
  <si>
    <t>FOREVERFOMO:FOREVERFOMO</t>
  </si>
  <si>
    <t>RICKMORTYDOXX:RICKMORTYDOXX</t>
  </si>
  <si>
    <t>MINA:MINA</t>
  </si>
  <si>
    <t>1INCH:1INCH NETWORK</t>
  </si>
  <si>
    <t>ADX:AMBIRE ADEX</t>
  </si>
  <si>
    <t>CWS:SEASCAPE CROWNS</t>
  </si>
  <si>
    <t>DHT:DHEDGE DAO</t>
  </si>
  <si>
    <t>ASR:AS ROMA FAN TOKEN</t>
  </si>
  <si>
    <t>KOK:KOK</t>
  </si>
  <si>
    <t>FORM:FORMATION FI</t>
  </si>
  <si>
    <t>MBX:MOBIECOIN</t>
  </si>
  <si>
    <t>SHFT:SHYFT NETWORK</t>
  </si>
  <si>
    <t>STETH:LIDO STETH</t>
  </si>
  <si>
    <t>MNW:MORPHEUS.NETWORK</t>
  </si>
  <si>
    <t>URUS:AUROX</t>
  </si>
  <si>
    <t>TRIAS:TRIAS TOKEN (NEW)</t>
  </si>
  <si>
    <t>BANK:FLOAT PROTOCOL (BANK)</t>
  </si>
  <si>
    <t>MFG:SMART MFG</t>
  </si>
  <si>
    <t>BIDR:BIDR</t>
  </si>
  <si>
    <t>WEMIX:WEMIX</t>
  </si>
  <si>
    <t>LAT:PLATON</t>
  </si>
  <si>
    <t>RMRK:RMRK</t>
  </si>
  <si>
    <t>LITH:LITHIUM</t>
  </si>
  <si>
    <t>MONI:MONSTA INFINITE</t>
  </si>
  <si>
    <t>JOE:JOE</t>
  </si>
  <si>
    <t>RARE:SUPERRARE</t>
  </si>
  <si>
    <t>DINO:DINO</t>
  </si>
  <si>
    <t>ASTRO:ASTROSWAP</t>
  </si>
  <si>
    <t>BIFI:BEEFY FINANCE</t>
  </si>
  <si>
    <t>BTSE:BTSE</t>
  </si>
  <si>
    <t>SMC:SMARTCOIN (SMC)</t>
  </si>
  <si>
    <t>BETA:BETA</t>
  </si>
  <si>
    <t>1COV:COVESTRO AG</t>
  </si>
  <si>
    <t>COSA:COSANTA</t>
  </si>
  <si>
    <t>DEKU:DEKU INU</t>
  </si>
  <si>
    <t>ZIN:ZOMAINFINITY</t>
  </si>
  <si>
    <t>NIP:CATNIP</t>
  </si>
  <si>
    <t>NDS:NODESEEDS</t>
  </si>
  <si>
    <t>TORG:TORG</t>
  </si>
  <si>
    <t>LLAND:LYFE LAND</t>
  </si>
  <si>
    <t>PRDX:PREDIX NETWORK</t>
  </si>
  <si>
    <t>REAP:REAPIT</t>
  </si>
  <si>
    <t>XHT:XHUNTER</t>
  </si>
  <si>
    <t>PAYT:PAYACCEPT</t>
  </si>
  <si>
    <t>GAJ:GAJ FINANCE</t>
  </si>
  <si>
    <t>VEST:DAO INVEST</t>
  </si>
  <si>
    <t>ANTX:ANTARIKSH</t>
  </si>
  <si>
    <t>GASP:GASP</t>
  </si>
  <si>
    <t>FCBTC:FC BITCOIN</t>
  </si>
  <si>
    <t>GGG:GIGABYTE GAMES</t>
  </si>
  <si>
    <t>CATS:CATS TOKEN</t>
  </si>
  <si>
    <t>DPS:DEEPSPACE</t>
  </si>
  <si>
    <t>NUKE:NUKE TOKEN</t>
  </si>
  <si>
    <t>MOONTOKEN:MOONTOKEN</t>
  </si>
  <si>
    <t>VICS:ROBOFI TOKEN</t>
  </si>
  <si>
    <t>BBKFI:BITBLOCKS FINANCE</t>
  </si>
  <si>
    <t>EDOGE:ELON DOGE</t>
  </si>
  <si>
    <t>LTN:LIFE TOKEN</t>
  </si>
  <si>
    <t>OCTA:OCTANS</t>
  </si>
  <si>
    <t>VGO:VIRTUAL GOODS TOKEN</t>
  </si>
  <si>
    <t>TRADE:SMART TRADE COIN</t>
  </si>
  <si>
    <t>FUNJO:FUNJO</t>
  </si>
  <si>
    <t>WCRES:WRAPPED CRESCOFIN</t>
  </si>
  <si>
    <t>BME:BITCOMINE</t>
  </si>
  <si>
    <t>FED:FEDORA GOLD</t>
  </si>
  <si>
    <t>DANCE:DANCE COIN</t>
  </si>
  <si>
    <t>BRP:BOR PROTOCOL</t>
  </si>
  <si>
    <t>ATP:ALAYA</t>
  </si>
  <si>
    <t>LUCHOW:LUNACHOW</t>
  </si>
  <si>
    <t>BNFT:BRUCE NON FUNGIBLE TOKEN</t>
  </si>
  <si>
    <t>QSD:QIAN SECOND GENERATION DOLLAR</t>
  </si>
  <si>
    <t>SFUEL:SUPERFUEL</t>
  </si>
  <si>
    <t>DMT:DARK MATTER</t>
  </si>
  <si>
    <t>KURAI:KURAI METAVERSE</t>
  </si>
  <si>
    <t>MONSTER:MONSTER VALLEY</t>
  </si>
  <si>
    <t>FIT:FINANCIAL INVESTMENT TOKEN</t>
  </si>
  <si>
    <t>BORUTO:BORUTO INU</t>
  </si>
  <si>
    <t>MLR:MEGA LOTTERY SERVICES GLOBAL</t>
  </si>
  <si>
    <t>DIP:DIPPER NETWORK</t>
  </si>
  <si>
    <t>LOF:LONELYFANS</t>
  </si>
  <si>
    <t>INF:INFBUNDLE</t>
  </si>
  <si>
    <t>BITBUCKS:BITBUCKS</t>
  </si>
  <si>
    <t>BTYM:BLOCKTYME</t>
  </si>
  <si>
    <t>POVO:POVO FINANCE</t>
  </si>
  <si>
    <t>PAPER:PAPER</t>
  </si>
  <si>
    <t>DID:DIDCOIN</t>
  </si>
  <si>
    <t>ASP:ASPIRE</t>
  </si>
  <si>
    <t>JERA:JERA</t>
  </si>
  <si>
    <t>NFT:NEFTIPEDIA</t>
  </si>
  <si>
    <t>P2E:PLANT2EARN</t>
  </si>
  <si>
    <t>CBG:CHAINBING</t>
  </si>
  <si>
    <t>SMOON:SAYLORMOON</t>
  </si>
  <si>
    <t>ETHIX:ETHICHUB</t>
  </si>
  <si>
    <t>SLUSH:SLUSH PUPPIE</t>
  </si>
  <si>
    <t>SAP:SAPCHAIN</t>
  </si>
  <si>
    <t>TOPIA:TOPIA</t>
  </si>
  <si>
    <t>BTCB:BITCOINBRAND</t>
  </si>
  <si>
    <t>GOAT:GOATCOIN</t>
  </si>
  <si>
    <t>LUMI:LUMI CREDITS</t>
  </si>
  <si>
    <t>SLAB:SLINK LABS</t>
  </si>
  <si>
    <t>PDAO:PANDA DAO</t>
  </si>
  <si>
    <t>PHENIX:PHENIX</t>
  </si>
  <si>
    <t>PUNCH:PUNCH</t>
  </si>
  <si>
    <t>DGN:DEGEN PROTOCOL</t>
  </si>
  <si>
    <t>GAMESAFE:GAMESAFE</t>
  </si>
  <si>
    <t>MOONRISE:MOONRISE</t>
  </si>
  <si>
    <t>WAR:ROBOT WARS</t>
  </si>
  <si>
    <t>MACD:MACD FINANCE</t>
  </si>
  <si>
    <t>LIC:LIGHTENING CASH</t>
  </si>
  <si>
    <t>FAST:FASTSWAP</t>
  </si>
  <si>
    <t>NMX:NOMINEX</t>
  </si>
  <si>
    <t>SHIR:SHIRO INU</t>
  </si>
  <si>
    <t>HUP:HUP.LIFE</t>
  </si>
  <si>
    <t>FK:FK COIN</t>
  </si>
  <si>
    <t>MCONTENT:MCONTENT</t>
  </si>
  <si>
    <t>JIND:JINDO INU</t>
  </si>
  <si>
    <t>DQUICK:DRAGON'S QUICK</t>
  </si>
  <si>
    <t>FLEX:FLEX COIN</t>
  </si>
  <si>
    <t>NEB:NEBULA</t>
  </si>
  <si>
    <t>AST:AINU SWAP TOKEN</t>
  </si>
  <si>
    <t>SSN:SUPERSONIC FINANCE</t>
  </si>
  <si>
    <t>DFE:DECENTRALIZED FINANCE EUROPE</t>
  </si>
  <si>
    <t>MFM:MOONFARMER</t>
  </si>
  <si>
    <t>MINISPORTS:MINISPORTS TOKEN</t>
  </si>
  <si>
    <t>ORE:STARMINER ORE TOKEN</t>
  </si>
  <si>
    <t>LOVECOIN:LOVECOIN TOKEN</t>
  </si>
  <si>
    <t>XLV:HEALTH CARE SELECT SECTOR SPDR FUND</t>
  </si>
  <si>
    <t>$TREAM:STREAM</t>
  </si>
  <si>
    <t>FUCHA:FUNCHA COIN</t>
  </si>
  <si>
    <t>MMS:MINIMALS</t>
  </si>
  <si>
    <t>TRAIL:POLKATRAIL</t>
  </si>
  <si>
    <t>NFTART:NFT ART FINANCE</t>
  </si>
  <si>
    <t>BDS:BORDERLESS</t>
  </si>
  <si>
    <t>RTT:REAL TRUMP TOKEN</t>
  </si>
  <si>
    <t>DGSTB:DOGESTRIBUTE</t>
  </si>
  <si>
    <t>JOKER:JOKERFARM</t>
  </si>
  <si>
    <t>KUKA:KUKACHU</t>
  </si>
  <si>
    <t>UTC:UNITECH</t>
  </si>
  <si>
    <t>MKS:MAKES</t>
  </si>
  <si>
    <t>ROCKS:ROCKS IDLE GAME</t>
  </si>
  <si>
    <t>TC:TTCOIN</t>
  </si>
  <si>
    <t>PINKM:PINKMOON</t>
  </si>
  <si>
    <t>GKCAKE:GOLDEN KITTY CAKE</t>
  </si>
  <si>
    <t>MUSO:MUSO FINANCE</t>
  </si>
  <si>
    <t>SCORGI:SPACECORGI</t>
  </si>
  <si>
    <t>OCT:OCTREE</t>
  </si>
  <si>
    <t>TTT:TAPCOIN</t>
  </si>
  <si>
    <t>KDOGE:KINGDOGE</t>
  </si>
  <si>
    <t>WRC:WHITEROCKCASINO</t>
  </si>
  <si>
    <t>COLD:COLD FINANCE</t>
  </si>
  <si>
    <t>PHIFIV2:PHIFI FINANCE</t>
  </si>
  <si>
    <t>IQ7:IQ7G</t>
  </si>
  <si>
    <t>CTF:CYBERTIME FINANCE</t>
  </si>
  <si>
    <t>SHAK:SHAKITA INU</t>
  </si>
  <si>
    <t>DBX:DBX</t>
  </si>
  <si>
    <t>XIASI:XIASI INU</t>
  </si>
  <si>
    <t>MGAMES:MEME GAMES</t>
  </si>
  <si>
    <t>CPD:COINSPAID</t>
  </si>
  <si>
    <t>PLANETDOGE:PLANET DOGE</t>
  </si>
  <si>
    <t>STT:SCATTER.CX</t>
  </si>
  <si>
    <t>CTG:CRYPTORG TOKEN</t>
  </si>
  <si>
    <t>LASEREYES:LASER EYES</t>
  </si>
  <si>
    <t>SEFI:SEFI</t>
  </si>
  <si>
    <t>END:ENDGAME TOKEN</t>
  </si>
  <si>
    <t>TCORE:TORNADO CORE</t>
  </si>
  <si>
    <t>CNT:CRYPTION NETWORK</t>
  </si>
  <si>
    <t>POST:IPSE</t>
  </si>
  <si>
    <t>MOBTC:MOTHER OF BITCOIN</t>
  </si>
  <si>
    <t>KILI:KILIMANJARO</t>
  </si>
  <si>
    <t>MORA:MELIORA</t>
  </si>
  <si>
    <t>LHCOIN:LHCOIN</t>
  </si>
  <si>
    <t>PTLKX:POTLUCK PROTOCOL TOKEN</t>
  </si>
  <si>
    <t>MICROSHIB:MICROSHIBA</t>
  </si>
  <si>
    <t>FOXX:STAR FOXX</t>
  </si>
  <si>
    <t>SHARK:BABY SHARK</t>
  </si>
  <si>
    <t>NHC:NEO HOLISTIC COIN</t>
  </si>
  <si>
    <t>CREEDX:CREEDX</t>
  </si>
  <si>
    <t>APP:DAPPSY</t>
  </si>
  <si>
    <t>AOE:APES OF EMPIRES</t>
  </si>
  <si>
    <t>TKL:TOKEL</t>
  </si>
  <si>
    <t>COCK:SHIBACOCK</t>
  </si>
  <si>
    <t>CPHX:CRYPTO PHOENIX</t>
  </si>
  <si>
    <t>MINIDOGEIN:MINI DOGE INU</t>
  </si>
  <si>
    <t>WPX:WALLET PLUS X</t>
  </si>
  <si>
    <t>BEZOGE:BEZOGE EARTH</t>
  </si>
  <si>
    <t>ROD:REPUBLIC OF DOGS</t>
  </si>
  <si>
    <t>WINNINGS:SHOW ME THE MONEY</t>
  </si>
  <si>
    <t>SHPP:SHIPITPRO</t>
  </si>
  <si>
    <t>KEANU:KEANU INU</t>
  </si>
  <si>
    <t>DICASH:DINHEIRUS.CASH</t>
  </si>
  <si>
    <t>KOEL:KOEL COIN</t>
  </si>
  <si>
    <t>BFF:BITCOFFEEN</t>
  </si>
  <si>
    <t>AFT:APE FUN TOKEN</t>
  </si>
  <si>
    <t>RMOON:ROCKETMOON</t>
  </si>
  <si>
    <t>GULAG:GULAG TOKEN</t>
  </si>
  <si>
    <t>PAA:PALACE</t>
  </si>
  <si>
    <t>PINADA:PINADA</t>
  </si>
  <si>
    <t>ABG:ABITCOINGOLD COIN</t>
  </si>
  <si>
    <t>AIDI:AIDI INU</t>
  </si>
  <si>
    <t>CHAR:CHARITAS</t>
  </si>
  <si>
    <t>CDOGE:CHOCO DOGE</t>
  </si>
  <si>
    <t>ORC:ORACLE SYSTEM</t>
  </si>
  <si>
    <t>CHBY:CHUBBYBOY</t>
  </si>
  <si>
    <t>STEAMX:STEAM EXCHANGE</t>
  </si>
  <si>
    <t>DTUBE:DTUBE COIN</t>
  </si>
  <si>
    <t>FSH:FUSION HEROES</t>
  </si>
  <si>
    <t>FSAFE:FAIR SAFE</t>
  </si>
  <si>
    <t>GOKU:GOKU INU</t>
  </si>
  <si>
    <t>HUE:HUE</t>
  </si>
  <si>
    <t>HOKK:HOKKAIDU INU</t>
  </si>
  <si>
    <t>PDAI:PRIME DAI</t>
  </si>
  <si>
    <t>VORO:VORONOI FINANCE</t>
  </si>
  <si>
    <t>HODO:HOLOGRAPHIC DOGE</t>
  </si>
  <si>
    <t>HBC:HYBNCASH</t>
  </si>
  <si>
    <t>DDC:DUXDOGE</t>
  </si>
  <si>
    <t>ZEDXION:ZEDXION TRC-20</t>
  </si>
  <si>
    <t>SCAKE:SHARKCAKE</t>
  </si>
  <si>
    <t>ESWAP:ESWAPPING</t>
  </si>
  <si>
    <t>SHILLMOON:SHILLMOON</t>
  </si>
  <si>
    <t>MGM:MGM RESORTS INTERNATIONAL</t>
  </si>
  <si>
    <t>FFLIX:FUTUREFLIX</t>
  </si>
  <si>
    <t>SAM:SAMURAI</t>
  </si>
  <si>
    <t>XP:EXPOSE PROTOCOL</t>
  </si>
  <si>
    <t>WINDY:WINDSWAP</t>
  </si>
  <si>
    <t>JBL:JABIL</t>
  </si>
  <si>
    <t>ORANGE:ORANGE TOKEN</t>
  </si>
  <si>
    <t>SPC:SPACEPORT COIN</t>
  </si>
  <si>
    <t>NWSET:2100NEWS ETHEREUM TOKENS INDEX FUND</t>
  </si>
  <si>
    <t>CHTA:CHEETAHCOIN</t>
  </si>
  <si>
    <t>ICH:IDEACHAIN</t>
  </si>
  <si>
    <t>BRILX:BRILLIANCEX</t>
  </si>
  <si>
    <t>VGD:VANGOLD TOKEN</t>
  </si>
  <si>
    <t>SCO:SAFECRYPTO</t>
  </si>
  <si>
    <t>RAIN:RAIN NETWORK</t>
  </si>
  <si>
    <t>SUM:SUMCOIN</t>
  </si>
  <si>
    <t>ZTTL:ZETTELKASTEN</t>
  </si>
  <si>
    <t>NWSBCT:2100NEWS BLUE CHIP INDEX FUND</t>
  </si>
  <si>
    <t>GCG:GULF COIN GOLD</t>
  </si>
  <si>
    <t>NWSLT:2100NEWS CRYPTO LARGE-CAPS INDEX FUND</t>
  </si>
  <si>
    <t>WDX:WORDLEX</t>
  </si>
  <si>
    <t>COOM:COOMCOIN</t>
  </si>
  <si>
    <t>X-TOKEN:X-TOKEN</t>
  </si>
  <si>
    <t>NFTBS:NFTBOOKS</t>
  </si>
  <si>
    <t>DOLLAR:DOLLAR INTERNATIONAL</t>
  </si>
  <si>
    <t>DWAY:DISEASE AWAY</t>
  </si>
  <si>
    <t>GRILL:GRILL FARM</t>
  </si>
  <si>
    <t>INFLEX:INFLEX FINANCE</t>
  </si>
  <si>
    <t>NWSCOT:2100NEWS COINS INDEX FUND</t>
  </si>
  <si>
    <t>GKG:GIEKI CREDITS</t>
  </si>
  <si>
    <t>DBUBBLE:DOUBLE BUBBLE</t>
  </si>
  <si>
    <t>STACKCAKE:STACKCAKE</t>
  </si>
  <si>
    <t>LEAF:LEGAL LEAF</t>
  </si>
  <si>
    <t>GEMS:SAFEGEM</t>
  </si>
  <si>
    <t>SRSB:SIRIUS BOND</t>
  </si>
  <si>
    <t>BOOMC:BOOMCOIN</t>
  </si>
  <si>
    <t>MINTY:MINTY ART</t>
  </si>
  <si>
    <t>FROZEN:FROZENCAKE</t>
  </si>
  <si>
    <t>TDW:THE DOGE WORLD</t>
  </si>
  <si>
    <t>MINICOMM:MINICOMM</t>
  </si>
  <si>
    <t>SPACE:SPACE FARM</t>
  </si>
  <si>
    <t>FRANC:FRANC</t>
  </si>
  <si>
    <t>BASHTANK:BABY SHARK TANK</t>
  </si>
  <si>
    <t>OMCHF:OMNIUNIT CASH FEATURES</t>
  </si>
  <si>
    <t>VLM:VALIREUM</t>
  </si>
  <si>
    <t>SEED:SESAMESEED</t>
  </si>
  <si>
    <t>INCEPTION:INU-CEPTION</t>
  </si>
  <si>
    <t>GDOGE:GOLDEN DOGE</t>
  </si>
  <si>
    <t>ITEN:ITEN</t>
  </si>
  <si>
    <t>LDC:LITTLE DOGE CAKE</t>
  </si>
  <si>
    <t>LSC:LITTLESESAME</t>
  </si>
  <si>
    <t>LSP20:LISPROCOIN</t>
  </si>
  <si>
    <t>DOJO:DOJO</t>
  </si>
  <si>
    <t>ROKET:STARBASELON</t>
  </si>
  <si>
    <t>HOME:HOME COIN</t>
  </si>
  <si>
    <t>TWI:TRADE.WIN</t>
  </si>
  <si>
    <t>SHILD:SHIELD NETWORK</t>
  </si>
  <si>
    <t>VLAD:VLAD FINANCE</t>
  </si>
  <si>
    <t>WULA:WULA</t>
  </si>
  <si>
    <t>SMNR:CRYPTO SUMMONER</t>
  </si>
  <si>
    <t>DCAKE:DOGE CAKE</t>
  </si>
  <si>
    <t>MINISOCCER:MINISOCCER</t>
  </si>
  <si>
    <t>SAPA:SAPA</t>
  </si>
  <si>
    <t>ODE:ODE</t>
  </si>
  <si>
    <t>LAMBOQ:LAMBO QUEST</t>
  </si>
  <si>
    <t>BSCCROP:BSCCROP</t>
  </si>
  <si>
    <t>TXC:TENXCOIN</t>
  </si>
  <si>
    <t>YFF:YFF.FINANCE</t>
  </si>
  <si>
    <t>KNGO:KANGAROO TOKEN</t>
  </si>
  <si>
    <t>HG:HYGENERCOIN</t>
  </si>
  <si>
    <t>ASX:ADS SOCIAL</t>
  </si>
  <si>
    <t>STI:STIB</t>
  </si>
  <si>
    <t>CENT:CENTURION INU</t>
  </si>
  <si>
    <t>TZT:TANZANITE</t>
  </si>
  <si>
    <t>TRN:TRONNODES</t>
  </si>
  <si>
    <t>PICK:PICK</t>
  </si>
  <si>
    <t>DOGOWN:DOG OWNER</t>
  </si>
  <si>
    <t>WFF:WHITEFLAGFUND</t>
  </si>
  <si>
    <t>SAFEMUSK:SAFEMUSK</t>
  </si>
  <si>
    <t>FREE:ANTI-LOCKDOWN</t>
  </si>
  <si>
    <t>WAR:WARRIOR TOKEN</t>
  </si>
  <si>
    <t>LUCK:LUCK</t>
  </si>
  <si>
    <t>SHITCOIN:JUST ANOTHER SHITCOIN</t>
  </si>
  <si>
    <t>TTM:TO THE MOON</t>
  </si>
  <si>
    <t>CAKITA:CHUBBYAKITA</t>
  </si>
  <si>
    <t>DZOO:DOGEZOO</t>
  </si>
  <si>
    <t>PSYCHODOGE:PSYCHO DOGE</t>
  </si>
  <si>
    <t>KSHIB:KAIKEN SHIBA</t>
  </si>
  <si>
    <t>GRMS:GRMS</t>
  </si>
  <si>
    <t>MBUD:MOON BUD</t>
  </si>
  <si>
    <t>PEACH:PEACH</t>
  </si>
  <si>
    <t>BVG:BITCOIN VIRTUAL GOLD</t>
  </si>
  <si>
    <t>B8F:BALL EIGHT FINANCE</t>
  </si>
  <si>
    <t>SLT:SAFELIFETOKEN</t>
  </si>
  <si>
    <t>REDFEG:REDFEG</t>
  </si>
  <si>
    <t>HGC:HIGAMECOIN</t>
  </si>
  <si>
    <t>S8:SUPER8</t>
  </si>
  <si>
    <t>ROY:ROYAL PROTOCOL</t>
  </si>
  <si>
    <t>DIWOT:DIGITAL WORLD TRAVEL CHAIN</t>
  </si>
  <si>
    <t>MAGI:MAGIKARP FINANCE</t>
  </si>
  <si>
    <t>SUPDOG:SUPERDOGE</t>
  </si>
  <si>
    <t>AZT:AZ FUNDCHAIN</t>
  </si>
  <si>
    <t>MSC:MASTER STAKE COIN</t>
  </si>
  <si>
    <t>B2U:B2U COIN</t>
  </si>
  <si>
    <t>BABYTRUMP:BABY TRUMP</t>
  </si>
  <si>
    <t>DINKYDOGE:DINKY DOGE BSC</t>
  </si>
  <si>
    <t>DVX:DRIVENX</t>
  </si>
  <si>
    <t>THC:WEEDCOIN</t>
  </si>
  <si>
    <t>GINU:GREEN SHIBA INU</t>
  </si>
  <si>
    <t>JBX:JBOX</t>
  </si>
  <si>
    <t>SELA:SELACOIN</t>
  </si>
  <si>
    <t>ACA:ACASH COIN</t>
  </si>
  <si>
    <t>SHICO:SHIBACORGI</t>
  </si>
  <si>
    <t>WAG:WAGYUSWAP</t>
  </si>
  <si>
    <t>BRIGADEIRO:BRIGADEIRO FINANCE</t>
  </si>
  <si>
    <t>LMOOSE:LITTLEMOOSE</t>
  </si>
  <si>
    <t>XWG:X WORLD GAMES</t>
  </si>
  <si>
    <t>CRO2:CRYPTO.COM COIN</t>
  </si>
  <si>
    <t>PAX:PAX DOLLAR</t>
  </si>
  <si>
    <t>BNT:BANCOR NETWORK TOKEN</t>
  </si>
  <si>
    <t>DYDX:DYDX</t>
  </si>
  <si>
    <t>OHM2:OLYMPUS</t>
  </si>
  <si>
    <t>MOVR:MOONRIVER</t>
  </si>
  <si>
    <t>HERO4:METAHERO</t>
  </si>
  <si>
    <t>BIT5:BITDAO</t>
  </si>
  <si>
    <t>GT2:GATECHAIN TOKEN</t>
  </si>
  <si>
    <t>SDN2:SHIDEN NETWORK</t>
  </si>
  <si>
    <t>WIN4:WINKLINK</t>
  </si>
  <si>
    <t>KNCL:KYBER NETWORK CRYSTAL LEGACY</t>
  </si>
  <si>
    <t>DOG:DOGECOIN CASH</t>
  </si>
  <si>
    <t>SPADE:POLYGONFARM FINANCE</t>
  </si>
  <si>
    <t>WHL:WHALEROOM</t>
  </si>
  <si>
    <t>LILFLOKI:LIL FLOKI</t>
  </si>
  <si>
    <t>WORK:THE EMPLOYMENT COMMONS WORK TOKEN</t>
  </si>
  <si>
    <t>FOOFIGHT:FRUIT FIGHTERS</t>
  </si>
  <si>
    <t>RBN:ROBINOS</t>
  </si>
  <si>
    <t>ROGUE:ROGUE WEST</t>
  </si>
  <si>
    <t>AQUA:AQUAFI</t>
  </si>
  <si>
    <t>TUT:TUTELLUS TOKEN</t>
  </si>
  <si>
    <t>BZSC:BEZOS COIN</t>
  </si>
  <si>
    <t>CHIZ:SEWER RAT SOCIAL CLUB CHIZ TOKEN</t>
  </si>
  <si>
    <t>MEDI:MEDICONNECT</t>
  </si>
  <si>
    <t>CACTI:CACTI CLUB</t>
  </si>
  <si>
    <t>RPST:ROCK PAPER SCISSORS TOKEN</t>
  </si>
  <si>
    <t>ARCHA:ARCHANGEL TOKEN</t>
  </si>
  <si>
    <t>ZORO:ZORO INU</t>
  </si>
  <si>
    <t>WAROO:SUPERWHALE</t>
  </si>
  <si>
    <t>YETU:YETUCOIN</t>
  </si>
  <si>
    <t>DYNA:DYNAMIX</t>
  </si>
  <si>
    <t>RKT:REKT</t>
  </si>
  <si>
    <t>ARMD:ARMADA</t>
  </si>
  <si>
    <t>QOGE:QOGECOIN</t>
  </si>
  <si>
    <t>QBU:QUANNABU</t>
  </si>
  <si>
    <t>CNFI:CHAINFI</t>
  </si>
  <si>
    <t>EARENA:ELECTRIC ARENA</t>
  </si>
  <si>
    <t>ILAYER:ILAYER</t>
  </si>
  <si>
    <t>LPDI:LUCKY PROPERTY DEVELOPMENT INVEST</t>
  </si>
  <si>
    <t>DCT:DEGREE CRYPTO TOKEN</t>
  </si>
  <si>
    <t>PINK:PINK PANTHER</t>
  </si>
  <si>
    <t>GANY:GANYMEDE</t>
  </si>
  <si>
    <t>XFLOKI:SPACEX FLOKI</t>
  </si>
  <si>
    <t>FLOKIS:FLOKISWAP</t>
  </si>
  <si>
    <t>MYTH:MYTH TOKEN</t>
  </si>
  <si>
    <t>SALSA:SALSA TOKEN</t>
  </si>
  <si>
    <t>PSN:POLKASOCIAL NETWORK</t>
  </si>
  <si>
    <t>ROCKSTAR:ROCKSTAR DOGE</t>
  </si>
  <si>
    <t>RH:RH</t>
  </si>
  <si>
    <t>BWT:BABYWHITETIGER</t>
  </si>
  <si>
    <t>ULTBNB:ULTIMATEBNB</t>
  </si>
  <si>
    <t>TKB:TKBTOKEN</t>
  </si>
  <si>
    <t>FIAT:FLOKI ADVENTURE</t>
  </si>
  <si>
    <t>TDG:TOYDOGE</t>
  </si>
  <si>
    <t>AUREUSRH:AUREUS TOKEN</t>
  </si>
  <si>
    <t>MDC:MARS DOGECOIN</t>
  </si>
  <si>
    <t>PICIPO:PICIPO</t>
  </si>
  <si>
    <t>ROBIN:NICO ROBIN INU</t>
  </si>
  <si>
    <t>X3S:X3SWAP</t>
  </si>
  <si>
    <t>CADAX:CANADA COIN</t>
  </si>
  <si>
    <t>DOGEPEPSI:DOGEPEPSI</t>
  </si>
  <si>
    <t>AHT:ANGELHEART TOKEN</t>
  </si>
  <si>
    <t>NFTASCII:NFTASCII</t>
  </si>
  <si>
    <t>BABYFD:BABY FLOKI DOGE</t>
  </si>
  <si>
    <t>BDOGEX:BABYDOGEX</t>
  </si>
  <si>
    <t>FLRS:FLOURISH COIN</t>
  </si>
  <si>
    <t>ADVAR:ADVAR PROTOCOL</t>
  </si>
  <si>
    <t>FLOKI:FLOKITOKEN</t>
  </si>
  <si>
    <t>SMOON:SWIFTMOON</t>
  </si>
  <si>
    <t>FDM:FREEDOM</t>
  </si>
  <si>
    <t>FSTAR:FUTURE STAR</t>
  </si>
  <si>
    <t>CBBN:CBBN TOKEN</t>
  </si>
  <si>
    <t>EVI:EAGLE VISION ADA</t>
  </si>
  <si>
    <t>PSIV:PHOENIXSIV</t>
  </si>
  <si>
    <t>CYO:CALYPSO</t>
  </si>
  <si>
    <t>DOGGGO:DOGGGO</t>
  </si>
  <si>
    <t>SI14:SI14BET</t>
  </si>
  <si>
    <t>WSPP:WOLFSAFEPOORPEOPLE</t>
  </si>
  <si>
    <t>CAKEUP:CAKEUP</t>
  </si>
  <si>
    <t>REUM:REWARDEUM</t>
  </si>
  <si>
    <t>CDS:CRYPTO DEVELOPMENT SERVICES</t>
  </si>
  <si>
    <t>FTG:FTGIGS</t>
  </si>
  <si>
    <t>KSOC:KSOC SPORTS</t>
  </si>
  <si>
    <t>WILDF:WILDFIRE TOKEN</t>
  </si>
  <si>
    <t>CHIPS:CHIPSTARS</t>
  </si>
  <si>
    <t>MTCH:MATCH GROUP, INC.</t>
  </si>
  <si>
    <t>EXG:EXG</t>
  </si>
  <si>
    <t>FIRE:BABY BONFIRE</t>
  </si>
  <si>
    <t>PRYZ:PRYZ</t>
  </si>
  <si>
    <t>HONEY:HONEY DEFI</t>
  </si>
  <si>
    <t>PICKLE:MR. PICKLES</t>
  </si>
  <si>
    <t>CLT:CEXLT</t>
  </si>
  <si>
    <t>WHIS:WHIS INU</t>
  </si>
  <si>
    <t>TOGEN:TOGEN</t>
  </si>
  <si>
    <t>KARMA:KARMA DAO</t>
  </si>
  <si>
    <t>ZABU:ZABU TOKEN</t>
  </si>
  <si>
    <t>MBT:MAGIC BIRDS TOKEN</t>
  </si>
  <si>
    <t>MCOIN:MCOIN</t>
  </si>
  <si>
    <t>DOFI:DOGE FLOKI COIN</t>
  </si>
  <si>
    <t>FLOKIELON:FLOKI ELON</t>
  </si>
  <si>
    <t>BEOS:BEOS</t>
  </si>
  <si>
    <t>DOGEDEALER:DOGEDEALER</t>
  </si>
  <si>
    <t>CEDARS:CEDARTOKEN</t>
  </si>
  <si>
    <t>BLAST:BLASTOISE INU</t>
  </si>
  <si>
    <t>TRE:TURTLE FINANCE</t>
  </si>
  <si>
    <t>ALLY:ALLY FINANCIAL</t>
  </si>
  <si>
    <t>BNM:BINANOMICS</t>
  </si>
  <si>
    <t>CHOPPER:CHOPPER INU</t>
  </si>
  <si>
    <t>CDZ:CDZEXCHANGE</t>
  </si>
  <si>
    <t>MSD:METASOLDIER</t>
  </si>
  <si>
    <t>UDOG:UNITED DOGE FINANCE</t>
  </si>
  <si>
    <t>BABYHMNG:BABY HMNG</t>
  </si>
  <si>
    <t>PTD:PESETA DIGITAL</t>
  </si>
  <si>
    <t>OHL:OBRASCÓN HUARTE LAIN, S.A.</t>
  </si>
  <si>
    <t>STGZ:STARGAZE PROTOCOL</t>
  </si>
  <si>
    <t>THKD:TRUEHKD</t>
  </si>
  <si>
    <t>BPE:BPER BANCA SPA</t>
  </si>
  <si>
    <t>FSLY:FASTLY, INC.</t>
  </si>
  <si>
    <t>NVTKRU:NOVATEK</t>
  </si>
  <si>
    <t>TEF:TELEFONICA</t>
  </si>
  <si>
    <t>TSUKI:TSUKI DAO</t>
  </si>
  <si>
    <t>ESRC:ECHOSORACOIN</t>
  </si>
  <si>
    <t>THIRM:THIRM PROTOCOL</t>
  </si>
  <si>
    <t>KP3RB:KEEP3R BSC NETWORK</t>
  </si>
  <si>
    <t>REVO:REVONETWORK</t>
  </si>
  <si>
    <t>AMI:AMMYI COIN</t>
  </si>
  <si>
    <t>FEED:FEEDER FINANCE</t>
  </si>
  <si>
    <t>PBS:PBS CHAIN</t>
  </si>
  <si>
    <t>MARS:MARS NETWORK</t>
  </si>
  <si>
    <t>AMUN:AMUNDI</t>
  </si>
  <si>
    <t>FETA:FETATOKEN</t>
  </si>
  <si>
    <t>CPE:CALLON PETROLEUM</t>
  </si>
  <si>
    <t>ETSY:ETSY</t>
  </si>
  <si>
    <t>MGNTRU:MAGNIT</t>
  </si>
  <si>
    <t>RTC:READ THIS CONTRACT</t>
  </si>
  <si>
    <t>TKNT:TKN TOKEN</t>
  </si>
  <si>
    <t>TLN:TRUSTLINES NETWORK</t>
  </si>
  <si>
    <t>OBR:OBR</t>
  </si>
  <si>
    <t>AVS:ALGOVEST</t>
  </si>
  <si>
    <t>WSB:WALLSTREETBETS DAPP</t>
  </si>
  <si>
    <t>WATER:WATER FINANCE</t>
  </si>
  <si>
    <t>PIASA:PIASA</t>
  </si>
  <si>
    <t>SPI:SHOPPING.IO</t>
  </si>
  <si>
    <t>COIN:COINBASE TOKENIZED STOCK</t>
  </si>
  <si>
    <t>DEFY:DEFYDEFI</t>
  </si>
  <si>
    <t>SMART:MOONSMART</t>
  </si>
  <si>
    <t>SPARTA:SPARTA</t>
  </si>
  <si>
    <t>CRTS:CRYPTOTIPSFR</t>
  </si>
  <si>
    <t>BREE:CBDAO</t>
  </si>
  <si>
    <t>SBDO:BDOLLAR SHARE</t>
  </si>
  <si>
    <t>MBOX:MOBOX</t>
  </si>
  <si>
    <t>YTV:YTV COIN</t>
  </si>
  <si>
    <t>NIF:UNIFTY</t>
  </si>
  <si>
    <t>AMUN.CX:AMUNDI TOKENIZED STOCK</t>
  </si>
  <si>
    <t>AZN:ASTRAZENECA - USD</t>
  </si>
  <si>
    <t>VRTX:VERTEX</t>
  </si>
  <si>
    <t>RCN:RCOIN</t>
  </si>
  <si>
    <t>PBTT:PURPLE BUTTERFLY TRADING</t>
  </si>
  <si>
    <t>DLTR:DOLLAR TREE, INC.</t>
  </si>
  <si>
    <t>DWDP:DOWDUPONT INC.</t>
  </si>
  <si>
    <t>NDA:AURUBIS AG</t>
  </si>
  <si>
    <t>PBR:PETROLEO BRASILEIRO SA</t>
  </si>
  <si>
    <t>SNE:SONY CORPORATION</t>
  </si>
  <si>
    <t>XLNX:XILINX, INC.</t>
  </si>
  <si>
    <t>AYX:ALTERYX</t>
  </si>
  <si>
    <t>LI:KLEPIERRE REIT</t>
  </si>
  <si>
    <t>MOEXRU:MOSCOW EXCHANGE</t>
  </si>
  <si>
    <t>U:UNITY SOFTWARE INC.</t>
  </si>
  <si>
    <t>CAVA:CAVAPOO</t>
  </si>
  <si>
    <t>SPACEK:SPACE KNIGHT</t>
  </si>
  <si>
    <t>HLX:HILUX</t>
  </si>
  <si>
    <t>VGT:VANGUARD INFORMATION TECHNOLOGY ETF</t>
  </si>
  <si>
    <t>NKTR:NEKTAR THERAPEUTICS</t>
  </si>
  <si>
    <t>TWLO:TWILIO CL A</t>
  </si>
  <si>
    <t>SATAN:S8N.FINANCE</t>
  </si>
  <si>
    <t>CNK:CINEMARK HOLDINGS</t>
  </si>
  <si>
    <t>PZZA:PAPA JOHNS</t>
  </si>
  <si>
    <t>SPWR:SUNPOWER CORPORATION</t>
  </si>
  <si>
    <t>ZM:ZOOM VIDEO COMMUNICATIONS</t>
  </si>
  <si>
    <t>CRM:SALESFORCE</t>
  </si>
  <si>
    <t>TRY:TRY.FINANCE</t>
  </si>
  <si>
    <t>BLC:BLAKECOIN</t>
  </si>
  <si>
    <t>TAGR:TAGRCOIN</t>
  </si>
  <si>
    <t>GAIN:UGAIN</t>
  </si>
  <si>
    <t>LTH:LATHAAN</t>
  </si>
  <si>
    <t>WTN:WALETOKEN</t>
  </si>
  <si>
    <t>JUMP:JUMPCOIN</t>
  </si>
  <si>
    <t>MHSP:MELONHEADSPROTOCOL</t>
  </si>
  <si>
    <t>EXAS:EXACT SCIENCES CORPORATION</t>
  </si>
  <si>
    <t>R:RYDER SYSTEM</t>
  </si>
  <si>
    <t>WB:WEIBO CORPORATION</t>
  </si>
  <si>
    <t>CAPY:CAPY</t>
  </si>
  <si>
    <t>ZIN:ZIN FINANCE</t>
  </si>
  <si>
    <t>FCK:FCK BANKS COIN</t>
  </si>
  <si>
    <t>VSPY:S&amp;P 500 INDEX BY ITOVAULT</t>
  </si>
  <si>
    <t>CPZ:CASHPAY TOKEN</t>
  </si>
  <si>
    <t>SCA:SCALARIS</t>
  </si>
  <si>
    <t>OMM:OMCOIN</t>
  </si>
  <si>
    <t>COMFY:COMFY TOKEN</t>
  </si>
  <si>
    <t>MAR:COMPUMAR</t>
  </si>
  <si>
    <t>JDI:JDI TOKEN</t>
  </si>
  <si>
    <t>0992:LENOVO</t>
  </si>
  <si>
    <t>1618:METALLURGICAL CORP</t>
  </si>
  <si>
    <t>AIEQ:AI POWERED EQUITY ETF</t>
  </si>
  <si>
    <t>BBD:BANCO BRADESCO</t>
  </si>
  <si>
    <t>DRIV:GLOBAL X AUTONOMOUS &amp; ELECTRIC VEHICLES ETF</t>
  </si>
  <si>
    <t>FUBO:FUBOTV INC.</t>
  </si>
  <si>
    <t>HOLX:HOLOGIC</t>
  </si>
  <si>
    <t>ITDR:ITRADER TODAY</t>
  </si>
  <si>
    <t>TRUXTR:TRUXTR</t>
  </si>
  <si>
    <t>ABCD2:ABCD TOKEN</t>
  </si>
  <si>
    <t>USDS3:USD SMART</t>
  </si>
  <si>
    <t>BUCC:BUCCANEER V2</t>
  </si>
  <si>
    <t>0857:PETROCHINA</t>
  </si>
  <si>
    <t>ROSNRU:NK ROSNEFT</t>
  </si>
  <si>
    <t>TTF:TURBOTRIX FINANCE</t>
  </si>
  <si>
    <t>AET:AEROTOKEN</t>
  </si>
  <si>
    <t>STAKEC:STAKECENTERCASH</t>
  </si>
  <si>
    <t>CHUEY:CHIHUAHUA FINANCE</t>
  </si>
  <si>
    <t>NESS:PRIVATENESS</t>
  </si>
  <si>
    <t>TENM:TENARIS SA</t>
  </si>
  <si>
    <t>TIT:TELECOM ITALIA SPA</t>
  </si>
  <si>
    <t>UAL:UNITED</t>
  </si>
  <si>
    <t>FLUX:DATAMINE FLUX</t>
  </si>
  <si>
    <t>AXL:AXIAL</t>
  </si>
  <si>
    <t>GREW:GREEN WORLD</t>
  </si>
  <si>
    <t>LLT:LIFELINE</t>
  </si>
  <si>
    <t>SWAMP:SWAMPY</t>
  </si>
  <si>
    <t>PFI:PRIME FINANCE</t>
  </si>
  <si>
    <t>WAR:WESTARTER</t>
  </si>
  <si>
    <t>YFID:YFIDAPP</t>
  </si>
  <si>
    <t>DMX:DYMMAX</t>
  </si>
  <si>
    <t>WILLIE:WILLIECOIN</t>
  </si>
  <si>
    <t>DFYN:DFYN NETWORK</t>
  </si>
  <si>
    <t>MOOI:MOONAÏ</t>
  </si>
  <si>
    <t>ID:EVEREST</t>
  </si>
  <si>
    <t>TMED:MDSQUARE</t>
  </si>
  <si>
    <t>MCF:MOON CHAIN</t>
  </si>
  <si>
    <t>FEAR:FEAR</t>
  </si>
  <si>
    <t>BCDT:EVIDENZ</t>
  </si>
  <si>
    <t>SPRAY:SPRAYTOKEN.NET</t>
  </si>
  <si>
    <t>FORM:FORMATION.FI</t>
  </si>
  <si>
    <t>ISRG:INTUITIVE SURGICAL, INC.</t>
  </si>
  <si>
    <t>VNET:21VIANET GROUP, INC.</t>
  </si>
  <si>
    <t>HEAR:TURTLE BEACH CORPORATION</t>
  </si>
  <si>
    <t>SGL:SGL CARBON</t>
  </si>
  <si>
    <t>SM:SM ENERGY</t>
  </si>
  <si>
    <t>BUTK:BUTKOIN</t>
  </si>
  <si>
    <t>ANTF:ANTS.FINANCE</t>
  </si>
  <si>
    <t>DKEY:DKEY BANK</t>
  </si>
  <si>
    <t>AAH:AHEGAO DAO</t>
  </si>
  <si>
    <t>CVS:CVS HEALTH</t>
  </si>
  <si>
    <t>HOO:HOO TOKEN</t>
  </si>
  <si>
    <t>RVMT:RIVEMONT</t>
  </si>
  <si>
    <t>G3N:G3N</t>
  </si>
  <si>
    <t>ARC:ARCADE TOKEN</t>
  </si>
  <si>
    <t>EFX:EFFECT NETWORK</t>
  </si>
  <si>
    <t>BANK:BANK COIN</t>
  </si>
  <si>
    <t>FLUX:FLUX</t>
  </si>
  <si>
    <t>MYNT:MYNT</t>
  </si>
  <si>
    <t>KOIN:KOINON</t>
  </si>
  <si>
    <t>CBN:CONNECT BUSINESS NETWORK</t>
  </si>
  <si>
    <t>TRUSD:TRUSTUSD</t>
  </si>
  <si>
    <t>TAT:TATCOIN</t>
  </si>
  <si>
    <t>UNFI:UNIFI PROTOCOL</t>
  </si>
  <si>
    <t>IFX:INFINEON TECHNOLOGIES AG</t>
  </si>
  <si>
    <t>CAG:CONAGRA BRANDS INC</t>
  </si>
  <si>
    <t>CPB:CAMPBELL SOUP</t>
  </si>
  <si>
    <t>HCA:HCA HEALTHCARE</t>
  </si>
  <si>
    <t>INCY:INCYTE CORPORATION</t>
  </si>
  <si>
    <t>PEP:PEPSICO</t>
  </si>
  <si>
    <t>PTEN:PATTERSON-UTI ENERGY, INC.</t>
  </si>
  <si>
    <t>GBTC:GULF BITS COIN</t>
  </si>
  <si>
    <t>HXYF:HXY.FINANCE</t>
  </si>
  <si>
    <t>BIXB:BIXBICOIN</t>
  </si>
  <si>
    <t>SUPERBID:SUPERBID</t>
  </si>
  <si>
    <t>WSBC:WALLSTREETBETS COIN</t>
  </si>
  <si>
    <t>SPOT:CRYPTOSPOT TOKEN</t>
  </si>
  <si>
    <t>ALBC:ALBCOIN</t>
  </si>
  <si>
    <t>EARN$:EARN NETWORK</t>
  </si>
  <si>
    <t>BURNY:BURNY.FINANCE</t>
  </si>
  <si>
    <t>LONG:LONG ASSET</t>
  </si>
  <si>
    <t>BASS:BASS</t>
  </si>
  <si>
    <t>BTN:BITNORM</t>
  </si>
  <si>
    <t>0728:CHINA TELECOM</t>
  </si>
  <si>
    <t>1031:KINGSTON FINANCIAL</t>
  </si>
  <si>
    <t>1055:CHINA SOUTHERN AIRLINES</t>
  </si>
  <si>
    <t>1171:YANZHOU COAL</t>
  </si>
  <si>
    <t>1177:SINO BIOPHARMECEUTICAL</t>
  </si>
  <si>
    <t>1898:CHINA COAL ENERGY</t>
  </si>
  <si>
    <t>PAH3:PORSCHE</t>
  </si>
  <si>
    <t>RTKMRU:ROSTELECOM</t>
  </si>
  <si>
    <t>SKT:TANGER FACTORY REIT</t>
  </si>
  <si>
    <t>TLT:ISHARES 20+ YEAR TREASURY BOND ETF</t>
  </si>
  <si>
    <t>UBOT:DIREXION DAILY ROBOTICS ARTIFICIAL INTELLIGENCE &amp; AUTOMATION INDEX BULL 3X SHARES</t>
  </si>
  <si>
    <t>UPWK:UPWORK INC.</t>
  </si>
  <si>
    <t>Z:ZILLOW</t>
  </si>
  <si>
    <t>HAUS:DAOHAUS</t>
  </si>
  <si>
    <t>CYBERD:CYBER DOGE</t>
  </si>
  <si>
    <t>MLT:MEDIA LICENSING TOKEN</t>
  </si>
  <si>
    <t>IBP:INNOVATION BLOCKCHAIN PAYMENT</t>
  </si>
  <si>
    <t>ENX:ENEX</t>
  </si>
  <si>
    <t>AGAR:AGA REWARDS</t>
  </si>
  <si>
    <t>SLF:SOLARFARE</t>
  </si>
  <si>
    <t>LBD:LINKBASED</t>
  </si>
  <si>
    <t>PBOM:POCKET BOMB</t>
  </si>
  <si>
    <t>SYL:XSL LABS</t>
  </si>
  <si>
    <t>TSX:TRADESTARS</t>
  </si>
  <si>
    <t>SSX:SOMESING</t>
  </si>
  <si>
    <t>SOVI:SOVI TOKEN</t>
  </si>
  <si>
    <t>LION:LION TOKEN</t>
  </si>
  <si>
    <t>XSP:XSWAP</t>
  </si>
  <si>
    <t>FDD:FROGDAO DIME</t>
  </si>
  <si>
    <t>TFT:THE FAMOUS TOKEN</t>
  </si>
  <si>
    <t>NFT:APENFT</t>
  </si>
  <si>
    <t>DRIP:DRIPPER</t>
  </si>
  <si>
    <t>STA:STABLE ASSET</t>
  </si>
  <si>
    <t>BTF:BITCOIN FAITH</t>
  </si>
  <si>
    <t>DNA:METAVERSE DNA</t>
  </si>
  <si>
    <t>SBGO:BINGO SHARE</t>
  </si>
  <si>
    <t>SAP:SWAPALL</t>
  </si>
  <si>
    <t>AAPL:AAPL</t>
  </si>
  <si>
    <t>VRX:VEROX</t>
  </si>
  <si>
    <t>MEME:MEME</t>
  </si>
  <si>
    <t>RISE:RISE PROTOCOL</t>
  </si>
  <si>
    <t>DOGG:DOGG TOKEN</t>
  </si>
  <si>
    <t>ERN:ETHERNITY CHAIN</t>
  </si>
  <si>
    <t>LVX:LVX</t>
  </si>
  <si>
    <t>POD:PODO POINT</t>
  </si>
  <si>
    <t>ALOHA:ALOHA</t>
  </si>
  <si>
    <t>METIS:METIS TOKEN</t>
  </si>
  <si>
    <t>SAFEGALAXY:SAFEGALAXY</t>
  </si>
  <si>
    <t>KABOSU:KABOSU</t>
  </si>
  <si>
    <t>BANK:BANKLESS DAO</t>
  </si>
  <si>
    <t>RYIP:RYI PLATINUM</t>
  </si>
  <si>
    <t>BXA:BLOCKCHAIN EXCHANGE ALLIANCE</t>
  </si>
  <si>
    <t>FERMA:FERMA</t>
  </si>
  <si>
    <t>BIOS:0X_NODES</t>
  </si>
  <si>
    <t>DOGES:DOGESWAP</t>
  </si>
  <si>
    <t>REW:REWARDIQA</t>
  </si>
  <si>
    <t>LOTTO:LOTTO</t>
  </si>
  <si>
    <t>CORA:CORRA.FINANCE</t>
  </si>
  <si>
    <t>BID:TOPBIDDER</t>
  </si>
  <si>
    <t>BLK:BLINK</t>
  </si>
  <si>
    <t>STAX:STABLEXSWAP</t>
  </si>
  <si>
    <t>SAS:STAND SHARE</t>
  </si>
  <si>
    <t>SATX:SATOEXCHANGE TOKEN</t>
  </si>
  <si>
    <t>PAMP:PAMP.CC</t>
  </si>
  <si>
    <t>YFIM:YFI.MOBI</t>
  </si>
  <si>
    <t>OX:ORCAX</t>
  </si>
  <si>
    <t>VANA:NIRVANA</t>
  </si>
  <si>
    <t>TRO:TRODL</t>
  </si>
  <si>
    <t>SPY:SATOPAY YIELD TOKEN</t>
  </si>
  <si>
    <t>ANW:ANCHOR NEURAL WORLD TOKEN</t>
  </si>
  <si>
    <t>VECO:VECO</t>
  </si>
  <si>
    <t>BDESC:DESCOUNT</t>
  </si>
  <si>
    <t>CUBT:CUBTOKEN</t>
  </si>
  <si>
    <t>SST:SOCIALSWAP TOKEN</t>
  </si>
  <si>
    <t>BABYDOGE:BABY DOGE COIN</t>
  </si>
  <si>
    <t>OCTAX:OCTAX</t>
  </si>
  <si>
    <t>GAX:GETART  NFT</t>
  </si>
  <si>
    <t>FXT:FENIX</t>
  </si>
  <si>
    <t>BYCO:BYCOIN</t>
  </si>
  <si>
    <t>NFT:NFT SMART COIN</t>
  </si>
  <si>
    <t>RYOSHI:RYOSHI TOKEN</t>
  </si>
  <si>
    <t>ENOX:ETHANOL X</t>
  </si>
  <si>
    <t>PKER:POKER</t>
  </si>
  <si>
    <t>SAFETY:SAFETY TOKEN</t>
  </si>
  <si>
    <t>1TRC:1TRONIC NETWORK</t>
  </si>
  <si>
    <t>SHIBBY:SHIBBY</t>
  </si>
  <si>
    <t>FOXY:FOXY EQUILIBRIUM</t>
  </si>
  <si>
    <t>DLPN:DOLPHIN TOKEN</t>
  </si>
  <si>
    <t>LEVS:LEVELUP - BNB</t>
  </si>
  <si>
    <t>R0OK:R0OK TOKEN</t>
  </si>
  <si>
    <t>SWISE:STAKEWISE</t>
  </si>
  <si>
    <t>MISO:MISO SWAP</t>
  </si>
  <si>
    <t>NFTQR:NFT-QR</t>
  </si>
  <si>
    <t>GLDX:GOLDEX TOKEN</t>
  </si>
  <si>
    <t>DFN:DEFINOMICS</t>
  </si>
  <si>
    <t>GEM:NFTMALL (GEM)</t>
  </si>
  <si>
    <t>BWI:BITWIN24</t>
  </si>
  <si>
    <t>ZENC:ZENCCOIN</t>
  </si>
  <si>
    <t>KNIGHT:KNIGHT TOKEN</t>
  </si>
  <si>
    <t>GMY:GAMEOLOGY</t>
  </si>
  <si>
    <t>WINLET:WINLET NFT</t>
  </si>
  <si>
    <t>MARS:MARSTOKEN</t>
  </si>
  <si>
    <t>CHIA:CHIA NETWORK TOKEN</t>
  </si>
  <si>
    <t>WLINK:WLINK</t>
  </si>
  <si>
    <t>SELF:BESELFLESS</t>
  </si>
  <si>
    <t>MCL:MARMARA CREDIT LOOPS (MCL COIN)</t>
  </si>
  <si>
    <t>GAP:GLOBAL ADVERSITY PROJECT</t>
  </si>
  <si>
    <t>SAF:SAFCOIN</t>
  </si>
  <si>
    <t>ECUM:ETHEREUMCUM</t>
  </si>
  <si>
    <t>PUG:PUG</t>
  </si>
  <si>
    <t>GIVE:GIVE TOKEN</t>
  </si>
  <si>
    <t>WHACKD:WHACKD</t>
  </si>
  <si>
    <t>EMP:EMPÍRICUS TOKEN</t>
  </si>
  <si>
    <t>PIC:PICACOIN</t>
  </si>
  <si>
    <t>UTED:UNITED</t>
  </si>
  <si>
    <t>ONLYUP:ONLY UP TOKEN</t>
  </si>
  <si>
    <t>SION:SION</t>
  </si>
  <si>
    <t>DOUG:DOUG COIN</t>
  </si>
  <si>
    <t>YOCO:YOCOIN</t>
  </si>
  <si>
    <t>BNBG:BNB GOLD</t>
  </si>
  <si>
    <t>PIKA:PIKA</t>
  </si>
  <si>
    <t>HERPES:HERPES</t>
  </si>
  <si>
    <t>COLDKOALA:COLDKOALA</t>
  </si>
  <si>
    <t>RSWP:ROCKETSWAP TOKEN</t>
  </si>
  <si>
    <t>UFCT:UFCTOKEN</t>
  </si>
  <si>
    <t>CUP:CUPDEFI</t>
  </si>
  <si>
    <t>BOND:BARNBRIDGE</t>
  </si>
  <si>
    <t>WP:WHITEPIGEON</t>
  </si>
  <si>
    <t>SMBSWAP:SIMBCOIN SWAP</t>
  </si>
  <si>
    <t>DENCH:DENCHCOIN</t>
  </si>
  <si>
    <t>THUN:THUNDER</t>
  </si>
  <si>
    <t>DCC:DOGECOIN CASH</t>
  </si>
  <si>
    <t>SELEN:SELENIUM TOKEN</t>
  </si>
  <si>
    <t>UNITY:UNITYFUND</t>
  </si>
  <si>
    <t>SPH:SPHYNX NETWORK</t>
  </si>
  <si>
    <t>FLOKI:SHIBA FLOKI</t>
  </si>
  <si>
    <t>CPOO:COCKAPOO</t>
  </si>
  <si>
    <t>BTR:BTRIPS</t>
  </si>
  <si>
    <t>MARS4:MARS4</t>
  </si>
  <si>
    <t>USD-N:USD-N</t>
  </si>
  <si>
    <t>KODI:KODI</t>
  </si>
  <si>
    <t>BOTTO:BOTTO</t>
  </si>
  <si>
    <t>KITTY:KITTY INU</t>
  </si>
  <si>
    <t>PKR:POLKER</t>
  </si>
  <si>
    <t>DOGEDASH:DOGE DASH</t>
  </si>
  <si>
    <t>EGC:EVERGROWCOIN</t>
  </si>
  <si>
    <t>ROCO:ROCO FINANCE</t>
  </si>
  <si>
    <t>KINGSHIB:KING SHIBA</t>
  </si>
  <si>
    <t>TORII:TORII FINANCE</t>
  </si>
  <si>
    <t>DINGER:DINGER TOKEN</t>
  </si>
  <si>
    <t>MIMATIC:MIMATIC</t>
  </si>
  <si>
    <t>CHLT:CHELLITCOIN</t>
  </si>
  <si>
    <t>KLO:KALAO</t>
  </si>
  <si>
    <t>EDEN:EDEN NETWORK</t>
  </si>
  <si>
    <t>POLL:POLLCHAIN</t>
  </si>
  <si>
    <t>PLUG:PLUG CHAIN</t>
  </si>
  <si>
    <t>ENTR:ENTERDAO</t>
  </si>
  <si>
    <t>WTK:WADZPAY TOKEN</t>
  </si>
  <si>
    <t>MAT:MY MASTER WAR</t>
  </si>
  <si>
    <t>MFLOKIADA:MINIFLOKIADA</t>
  </si>
  <si>
    <t>MX:MARSX</t>
  </si>
  <si>
    <t>GZONE:GAMEZONE</t>
  </si>
  <si>
    <t>PETS:MICROPETS</t>
  </si>
  <si>
    <t>CHAMP:NFT CHAMPIONS</t>
  </si>
  <si>
    <t>AI:FLOURISHING AI</t>
  </si>
  <si>
    <t>BLADE:BLADEWARRIOR</t>
  </si>
  <si>
    <t>SHIBOKI:SHIBOKI</t>
  </si>
  <si>
    <t>LFW:LEGENDS OF FANTASY WAR</t>
  </si>
  <si>
    <t>WILD:WILD CREDIT</t>
  </si>
  <si>
    <t>DMLG:DEMOLE</t>
  </si>
  <si>
    <t>IHC:INFLATION HEDGING COIN</t>
  </si>
  <si>
    <t>EVCOIN:EVERESTCOIN</t>
  </si>
  <si>
    <t>AKAMARU:AKAMARU INU</t>
  </si>
  <si>
    <t>MECH:MECH MASTER</t>
  </si>
  <si>
    <t>CXPAD:COINXPAD</t>
  </si>
  <si>
    <t>PPOLL:PANCAKEPOLL</t>
  </si>
  <si>
    <t>MSH:CRIR MSH</t>
  </si>
  <si>
    <t>BNPL:BNPL PAY</t>
  </si>
  <si>
    <t>COCO:COCO SWAP</t>
  </si>
  <si>
    <t>CARS:CRYPTOCARS WORLD</t>
  </si>
  <si>
    <t>DARK:DARK FRONTIERS</t>
  </si>
  <si>
    <t>VETTER:VETTER TOKEN</t>
  </si>
  <si>
    <t>XI:XI TOKEN</t>
  </si>
  <si>
    <t>PULSEDOGE:PULSEDOGE</t>
  </si>
  <si>
    <t>PAWTH:PAWTHEREUM</t>
  </si>
  <si>
    <t>RVF:ROCKET VAULT-ROCKETX</t>
  </si>
  <si>
    <t>NFTL:NIFTY LEAGUE</t>
  </si>
  <si>
    <t>QUID:QUID IKA</t>
  </si>
  <si>
    <t>SHOE:SHOEFY</t>
  </si>
  <si>
    <t>FOLD:MANIFOLD FINANCE</t>
  </si>
  <si>
    <t>CMCX:CORE MULTICHAIN</t>
  </si>
  <si>
    <t>RNB:RENTIBLE</t>
  </si>
  <si>
    <t>XDOGE:XDOGE</t>
  </si>
  <si>
    <t>POK:POKMONSTERS</t>
  </si>
  <si>
    <t>SOLR:SOLRAZR</t>
  </si>
  <si>
    <t>KICK:KICK.IO</t>
  </si>
  <si>
    <t>MSA:MY SHIBA ACADEMIA</t>
  </si>
  <si>
    <t>DES:DESPACE PROTOCOL</t>
  </si>
  <si>
    <t>MEGA:MEGACRYPTOPOLIS</t>
  </si>
  <si>
    <t>VRT:VENUS REWARD TOKEN</t>
  </si>
  <si>
    <t>LOX:LOX NETWORK</t>
  </si>
  <si>
    <t>ACA:ACA TOKEN</t>
  </si>
  <si>
    <t>XLD:XCEL SWAP</t>
  </si>
  <si>
    <t>XET:XFINITE ENTERTAINMENT TOKEN</t>
  </si>
  <si>
    <t>JRIT:JERITEX</t>
  </si>
  <si>
    <t>BLXM:BLOXMOVE</t>
  </si>
  <si>
    <t>VALK:VALKYRIO TOKEN</t>
  </si>
  <si>
    <t>INUYASHA:INUYASHA</t>
  </si>
  <si>
    <t>FLOKIN:FLOKINOMICS</t>
  </si>
  <si>
    <t>DHX:DATAHIGHWAY</t>
  </si>
  <si>
    <t>OYT:OXYDEV</t>
  </si>
  <si>
    <t>CELT:CELESTIAL</t>
  </si>
  <si>
    <t>SDT:STABLEDOC TOKEN</t>
  </si>
  <si>
    <t>MINIKISHU:MINIKISHU</t>
  </si>
  <si>
    <t>BFK:BFK WARZONE</t>
  </si>
  <si>
    <t>AGSPAD:AEGIS LAUNCHPAD</t>
  </si>
  <si>
    <t>LOVELY:LOVELY INU FINANCE</t>
  </si>
  <si>
    <t>DEFIDO:DEFIDO</t>
  </si>
  <si>
    <t>GEMG:GEM GUARDIAN</t>
  </si>
  <si>
    <t>DMTR:DIMITRA</t>
  </si>
  <si>
    <t>FLOKIM:FLOKIMOONI</t>
  </si>
  <si>
    <t>DIVER:DIVERGENCE PROTOCOL</t>
  </si>
  <si>
    <t>PINU:PICCOLO INU</t>
  </si>
  <si>
    <t>MGS:MG.SOCIAL</t>
  </si>
  <si>
    <t>ATL:ATLANTIS LOANS</t>
  </si>
  <si>
    <t>CPO:CRYPTOPOLIS</t>
  </si>
  <si>
    <t>BKR:BALKARI TOKEN</t>
  </si>
  <si>
    <t>LELOUCH:LELOUCH LAMPEROUGE</t>
  </si>
  <si>
    <t>KWS:KNIGHT WAR SPIRITS</t>
  </si>
  <si>
    <t>$PULSAR:PULSAR TOKEN</t>
  </si>
  <si>
    <t>UNN:UNION PROTOCOL GOVERNANCE TOKEN</t>
  </si>
  <si>
    <t>NOONE:NO ONE</t>
  </si>
  <si>
    <t>FLOKI:FLOKI MUSK</t>
  </si>
  <si>
    <t>TUBE2:TUBE2</t>
  </si>
  <si>
    <t>$ELONOM:ELONOMICS</t>
  </si>
  <si>
    <t>KDC:DRONEFLY</t>
  </si>
  <si>
    <t>REVA:REVAULT NETWORK</t>
  </si>
  <si>
    <t>NIFTSY:ENVELOP (NIFTSY)</t>
  </si>
  <si>
    <t>SSV:SSV NETWORK</t>
  </si>
  <si>
    <t>PSB:PLANET SANDBOX</t>
  </si>
  <si>
    <t>TEDDY:TEDDY CASH</t>
  </si>
  <si>
    <t>BLIZZ:BLIZZARD NETWORK</t>
  </si>
  <si>
    <t>NRT:NFT ROYAL TOKEN</t>
  </si>
  <si>
    <t>TRDC:TRADERS COIN</t>
  </si>
  <si>
    <t>L99:LUCKY UNICORN TOKEN</t>
  </si>
  <si>
    <t>GEG:GEGEM</t>
  </si>
  <si>
    <t>STRX:STRIKEX</t>
  </si>
  <si>
    <t>GRANX:GRANX CHAIN</t>
  </si>
  <si>
    <t>TRGO:TRGOLD</t>
  </si>
  <si>
    <t>BATH:BATTLE HERO</t>
  </si>
  <si>
    <t>SFD:SAFEDEAL</t>
  </si>
  <si>
    <t>B8:BINANCE8</t>
  </si>
  <si>
    <t>JET:JET</t>
  </si>
  <si>
    <t>CRACE:COINRACER</t>
  </si>
  <si>
    <t>DTO:DOTORACLE</t>
  </si>
  <si>
    <t>BRKL:BROKOLI</t>
  </si>
  <si>
    <t>EVA:EVANESCO NETWORK</t>
  </si>
  <si>
    <t>DWEB:DECENTRAWEB</t>
  </si>
  <si>
    <t>$GREED:GREED</t>
  </si>
  <si>
    <t>DGP:DGPAYMENT</t>
  </si>
  <si>
    <t>FLNS:FALCON SWAPS</t>
  </si>
  <si>
    <t>BIGETH:BIG</t>
  </si>
  <si>
    <t>MRCR:MERCOR FINANCE</t>
  </si>
  <si>
    <t>XETA:XETA REALITY</t>
  </si>
  <si>
    <t>OTAKU:FOMO CHRONICLES MANGA</t>
  </si>
  <si>
    <t>BSCM:BSC MEMEPAD</t>
  </si>
  <si>
    <t>NFTG:NFT GLOBAL PLATFORM</t>
  </si>
  <si>
    <t>RONINGMZ:RONIN GAMEZ</t>
  </si>
  <si>
    <t>FCF:FRENCH CONNECTION FINANCE</t>
  </si>
  <si>
    <t>SHWA:SHIBAWALLET</t>
  </si>
  <si>
    <t>ARM:ARMOURS</t>
  </si>
  <si>
    <t>XCV:XCARNIVAL</t>
  </si>
  <si>
    <t>MARVIN:MARVININU</t>
  </si>
  <si>
    <t>WGL:WIGGLY FINANCE</t>
  </si>
  <si>
    <t>BAS:BLOCK APE SCISSORS</t>
  </si>
  <si>
    <t>NAUT:ASTRONAUT</t>
  </si>
  <si>
    <t>ADACASH:ADACASH</t>
  </si>
  <si>
    <t>WDUCX:WRAPPED DUCATUSX</t>
  </si>
  <si>
    <t>APEIN:APE IN</t>
  </si>
  <si>
    <t>NXT:NEXT TOKEN</t>
  </si>
  <si>
    <t>CTFT:COIN TO FISH</t>
  </si>
  <si>
    <t>HUDI:HUDI</t>
  </si>
  <si>
    <t>MGT:MEGATECH</t>
  </si>
  <si>
    <t>CURE:CURE TOKEN V2</t>
  </si>
  <si>
    <t>ROTTS:ROTTSCHILD</t>
  </si>
  <si>
    <t>BULL:BULLIONFX</t>
  </si>
  <si>
    <t>INFP:INFINITYPAD</t>
  </si>
  <si>
    <t>KINTA:KINTAMAN</t>
  </si>
  <si>
    <t>AUMI:AUTOMATIC NETWORK</t>
  </si>
  <si>
    <t>MOONED:MOONEDGE</t>
  </si>
  <si>
    <t>LIQ:LIQUIDUS</t>
  </si>
  <si>
    <t>PLENTY:PLENTY DEFI</t>
  </si>
  <si>
    <t>FNDZ:FNDZ TOKEN</t>
  </si>
  <si>
    <t>DEK:DEKBOX</t>
  </si>
  <si>
    <t>BUDG:BULLDOGSWAP</t>
  </si>
  <si>
    <t>ZPTC:ZEPTAGRAM</t>
  </si>
  <si>
    <t>TSCT:TRANSIENT</t>
  </si>
  <si>
    <t>ETHOS:ETHOS PROJECT</t>
  </si>
  <si>
    <t>GATSBYINU:GATSBY INU</t>
  </si>
  <si>
    <t>SUNC:SUNRISE</t>
  </si>
  <si>
    <t>YCT:YOUCLOUT</t>
  </si>
  <si>
    <t>HER:HEROVERSE</t>
  </si>
  <si>
    <t>NFT:NFT PROTOCOL</t>
  </si>
  <si>
    <t>PDX:POKEDX</t>
  </si>
  <si>
    <t>KST:KSM STARTER</t>
  </si>
  <si>
    <t>BULLISH:BULLISHAPES</t>
  </si>
  <si>
    <t>FLUX:FLUX PROTOCOL</t>
  </si>
  <si>
    <t>EVERETH:EVERETH</t>
  </si>
  <si>
    <t>VLXPAD:VELASPAD</t>
  </si>
  <si>
    <t>ELE:ELEVEN FINANCE</t>
  </si>
  <si>
    <t>PLC:PLUTON CHAIN</t>
  </si>
  <si>
    <t>STR:SOLSTER</t>
  </si>
  <si>
    <t>CVC:COVICOIN</t>
  </si>
  <si>
    <t>DNF:DNFT PROTOCOL</t>
  </si>
  <si>
    <t>NFTD:NFTRADE</t>
  </si>
  <si>
    <t>JPAW:JPAW INU</t>
  </si>
  <si>
    <t>MOFI:MOBIFI</t>
  </si>
  <si>
    <t>AIRT:AIRNFT TOKEN</t>
  </si>
  <si>
    <t>SLA:SUPERLAUNCH</t>
  </si>
  <si>
    <t>LOVE:LOVEPOT TOKEN</t>
  </si>
  <si>
    <t>AXIN:AXIENOMICS</t>
  </si>
  <si>
    <t>SPAY:SMART PAYMENT</t>
  </si>
  <si>
    <t>ATTN:ATTN</t>
  </si>
  <si>
    <t>GB:GOOD BRIDGING</t>
  </si>
  <si>
    <t>MOT:MOBIUS FINANCE</t>
  </si>
  <si>
    <t>DVDX:DERIVED</t>
  </si>
  <si>
    <t>RD:ROUND DOLLAR</t>
  </si>
  <si>
    <t>TDF:TRADE FIGHTER</t>
  </si>
  <si>
    <t>GRBE:GREEN BELI</t>
  </si>
  <si>
    <t>SKLAY:SKLAY</t>
  </si>
  <si>
    <t>GFN:GRAPHENE</t>
  </si>
  <si>
    <t>KUN:CHEMIX ECOLOGY GOVERNANCE TOKEN</t>
  </si>
  <si>
    <t>ANCHOR:ANCHORSWAP</t>
  </si>
  <si>
    <t>MOONER:COINMOONER</t>
  </si>
  <si>
    <t>APE-X:APE-X</t>
  </si>
  <si>
    <t>NERDY:NERDY INU</t>
  </si>
  <si>
    <t>SHIBIN:SHIBANOMICS</t>
  </si>
  <si>
    <t>WSDQ:WASDAQ</t>
  </si>
  <si>
    <t>HUSL:THE HUSL</t>
  </si>
  <si>
    <t>VOW:VOW</t>
  </si>
  <si>
    <t>NEVADA:NEVADA</t>
  </si>
  <si>
    <t>YARD:SOLYARD FINANCE</t>
  </si>
  <si>
    <t>BBND:BEATBIND</t>
  </si>
  <si>
    <t>PUMPKIN:PUMPKIN INU</t>
  </si>
  <si>
    <t>TTT:TT TOKEN</t>
  </si>
  <si>
    <t>PANFT:PICARTNFT</t>
  </si>
  <si>
    <t>ZTC:ZETO</t>
  </si>
  <si>
    <t>AFFINITY:SAFEAFFINITY</t>
  </si>
  <si>
    <t>NFTY:NFTY TOKEN</t>
  </si>
  <si>
    <t>PFY:PORTIFY</t>
  </si>
  <si>
    <t>UM:CONTINUUM WORLD</t>
  </si>
  <si>
    <t>NDAU:NDAU</t>
  </si>
  <si>
    <t>META:METAVERSE MINER</t>
  </si>
  <si>
    <t>RICE:DAOSQUARE</t>
  </si>
  <si>
    <t>KIT:KITTY</t>
  </si>
  <si>
    <t>MUSK:MUSKSWAP</t>
  </si>
  <si>
    <t>RDT:RIDOTTO</t>
  </si>
  <si>
    <t>GHC:GALAXY HEROES COIN</t>
  </si>
  <si>
    <t>DRCT:ALLY DIRECT</t>
  </si>
  <si>
    <t>UFO:UNKNOWN FAIR OBJECT</t>
  </si>
  <si>
    <t>NMS:NEMESIS</t>
  </si>
  <si>
    <t>ZNC:ZIONCOIN</t>
  </si>
  <si>
    <t>PETH18C:PETH18C</t>
  </si>
  <si>
    <t>OH:OH! FINANCE</t>
  </si>
  <si>
    <t>INX:INFINITX</t>
  </si>
  <si>
    <t>JEM:JEM</t>
  </si>
  <si>
    <t>IAG:IAGON</t>
  </si>
  <si>
    <t>BEE:HONEYBEE</t>
  </si>
  <si>
    <t>EUT:EUTARIA</t>
  </si>
  <si>
    <t>IBBTC:INTEREST BEARING BITCOIN</t>
  </si>
  <si>
    <t>MMA:MMACOIN</t>
  </si>
  <si>
    <t>SATOZ:SATOZHI</t>
  </si>
  <si>
    <t>ARTR:ARTERY NETWORK</t>
  </si>
  <si>
    <t>KDOGE:KOREADOGE</t>
  </si>
  <si>
    <t>WELD:WELD</t>
  </si>
  <si>
    <t>BNBCH:BNB CASH</t>
  </si>
  <si>
    <t>BZZONE:BZZONE</t>
  </si>
  <si>
    <t>COOOM:INCOOOM GENESIS</t>
  </si>
  <si>
    <t>WOJ:WOJAK FINANCE</t>
  </si>
  <si>
    <t>ALTB:ALTBASE</t>
  </si>
  <si>
    <t>NSFW:XXXNIFTY</t>
  </si>
  <si>
    <t>GEM:GEM TOKEN</t>
  </si>
  <si>
    <t>SWIFT:SWIFT FINANCE</t>
  </si>
  <si>
    <t>WAG:WAGGLE NETWORK</t>
  </si>
  <si>
    <t>BDT:BLACKDRAGON TOKEN</t>
  </si>
  <si>
    <t>FOXGIRL:FOXGIRL</t>
  </si>
  <si>
    <t>INVI:INVI TOKEN</t>
  </si>
  <si>
    <t>RVST:REVEST FINANCE</t>
  </si>
  <si>
    <t>SQUIDGAMES:INTERNATIONAL SQUID GAMES</t>
  </si>
  <si>
    <t>VEE:VEE FINANCE</t>
  </si>
  <si>
    <t>AANG:AANG INU</t>
  </si>
  <si>
    <t>RUSH:RUSH DEFI</t>
  </si>
  <si>
    <t>FTE:FISHY TANK TOKEN</t>
  </si>
  <si>
    <t>MONEY:MONEYTREE</t>
  </si>
  <si>
    <t>VIDA:VIDIACHANGE</t>
  </si>
  <si>
    <t>MISTY:MISTY INU</t>
  </si>
  <si>
    <t>TWO:2GATHER</t>
  </si>
  <si>
    <t>ALNY:ALNYLAM PHARMACEUTICALS, INC.</t>
  </si>
  <si>
    <t>DOOM:DOOM TOKEN</t>
  </si>
  <si>
    <t>VPC:VOLTPOTCOIN</t>
  </si>
  <si>
    <t>0916:CHINA LONGYUAN POWER</t>
  </si>
  <si>
    <t>SSLCA:SANDSTORM GOLD</t>
  </si>
  <si>
    <t>YFICG:YFI CREDITS GROUP</t>
  </si>
  <si>
    <t>UPCOIN:UPCOIN</t>
  </si>
  <si>
    <t>CLICK:CLICK</t>
  </si>
  <si>
    <t>DOGI:DOGGY INU</t>
  </si>
  <si>
    <t>TABOO:TABOO</t>
  </si>
  <si>
    <t>BIST:BISTROO</t>
  </si>
  <si>
    <t>HOT:HOT TOKEN</t>
  </si>
  <si>
    <t>HATCH:HATCH</t>
  </si>
  <si>
    <t>SEC:SUNRISE ENERGY TOKEN</t>
  </si>
  <si>
    <t>CANA:CANNABIS SEED TOKEN</t>
  </si>
  <si>
    <t>BOOB:BOOBANKER</t>
  </si>
  <si>
    <t>BTSHK:BITSHARK</t>
  </si>
  <si>
    <t>SST:SIMBA STORAGE TOKEN</t>
  </si>
  <si>
    <t>HCC:HUMAN CHARITY COIN</t>
  </si>
  <si>
    <t>ARKQ:ARK AUTONOMOUS TECHNOLOGY &amp; ROBOTICS ETF</t>
  </si>
  <si>
    <t>KPC:KOLOOP BASIC</t>
  </si>
  <si>
    <t>LNKO:LNKO TOKEN</t>
  </si>
  <si>
    <t>THOR:ASGARD FINANCE</t>
  </si>
  <si>
    <t>SWIRL:SWIRL CASH</t>
  </si>
  <si>
    <t>GMR:GMR FINANCE</t>
  </si>
  <si>
    <t>MCAU:MELD GOLD</t>
  </si>
  <si>
    <t>NFTL:NFTL TOKEN</t>
  </si>
  <si>
    <t>FISH:PENGUIN PARTY FISH</t>
  </si>
  <si>
    <t>GENE:GENE</t>
  </si>
  <si>
    <t>BSK:BITCOINSTAKING</t>
  </si>
  <si>
    <t>FNK:FNK.COM</t>
  </si>
  <si>
    <t>YFET:YFET</t>
  </si>
  <si>
    <t>HXG:HEXOGEN</t>
  </si>
  <si>
    <t>BULL:BULL FINANCE</t>
  </si>
  <si>
    <t>PHUCK:PHUCKS</t>
  </si>
  <si>
    <t>SUNE:KITSUNE TOKEN</t>
  </si>
  <si>
    <t>VKC:VITAKINGS COIN</t>
  </si>
  <si>
    <t>QIQ:QOINIQ</t>
  </si>
  <si>
    <t>BABYDOGO:BABY DOGO COIN</t>
  </si>
  <si>
    <t>VCC:VICTORUM</t>
  </si>
  <si>
    <t>STORY:STORY</t>
  </si>
  <si>
    <t>ICHI:ICHI</t>
  </si>
  <si>
    <t>ESHARE:EVERSHARE</t>
  </si>
  <si>
    <t>LIL:LILLION</t>
  </si>
  <si>
    <t>PROGE:PROTECTOR ROGE</t>
  </si>
  <si>
    <t>LILS:LILS</t>
  </si>
  <si>
    <t>WATC:WHATCOIN</t>
  </si>
  <si>
    <t>SPX:SCOPX</t>
  </si>
  <si>
    <t>LHC:COLLIDER</t>
  </si>
  <si>
    <t>EURT:EURT</t>
  </si>
  <si>
    <t>KOSHU:KOSHU INU</t>
  </si>
  <si>
    <t>PIXIU:PIXIUSWAP TOKEN</t>
  </si>
  <si>
    <t>EVDC:ELECTRIC VEHICLE DIRECT CURRENCY</t>
  </si>
  <si>
    <t>CRASH:CRASHCOIN</t>
  </si>
  <si>
    <t>BDI:BABYDOGEINU</t>
  </si>
  <si>
    <t>SLP:SMOOTH LOVE POTION</t>
  </si>
  <si>
    <t>NBL:NOBILITY</t>
  </si>
  <si>
    <t>SENT:SENTINEL (OLD)</t>
  </si>
  <si>
    <t>MHCE:MASTERNODE HYPE COIN EXCHANGE</t>
  </si>
  <si>
    <t>TIKI:TIKI TOKEN</t>
  </si>
  <si>
    <t>FEAR:FEAR NFTS</t>
  </si>
  <si>
    <t>ZOE:ZOE CASH</t>
  </si>
  <si>
    <t>ELV:E-LEVEN</t>
  </si>
  <si>
    <t>FRUIT2:FRUIT'S ADVENTURES</t>
  </si>
  <si>
    <t>KAR:KARURA</t>
  </si>
  <si>
    <t>GODL:GODL</t>
  </si>
  <si>
    <t>KWAT:KWATCOIN</t>
  </si>
  <si>
    <t>SNB2:SAFE NEBULA</t>
  </si>
  <si>
    <t>FSHIB:FLOKI SHIBA</t>
  </si>
  <si>
    <t>BFLOKI:BABY FLOKI INU</t>
  </si>
  <si>
    <t>STFIRO:STAKEHOUND STAKEDFIRO</t>
  </si>
  <si>
    <t>BABYFLOKI:BABYFLOKI</t>
  </si>
  <si>
    <t>FLOKISHIB:FLOKI SHIBA INU</t>
  </si>
  <si>
    <t>WETH:WRAPPED ETH</t>
  </si>
  <si>
    <t>IPM:TIMERS</t>
  </si>
  <si>
    <t>USDP:PAXOS STANDARD TOKEN</t>
  </si>
  <si>
    <t>C98:COIN98</t>
  </si>
  <si>
    <t>ASD:ASCENDEX TOKEN</t>
  </si>
  <si>
    <t>ACH:ALCHEMY PAY</t>
  </si>
  <si>
    <t>SLIM:SOLANIUM</t>
  </si>
  <si>
    <t>AHT:AHATOKEN</t>
  </si>
  <si>
    <t>CLT:COINLOAN</t>
  </si>
  <si>
    <t>FCT:FIRMACHAIN</t>
  </si>
  <si>
    <t>SNY:SYNTHETIFY</t>
  </si>
  <si>
    <t>WILD:WILDER WORLD</t>
  </si>
  <si>
    <t>DIP:ETHERISC DIP TOKEN</t>
  </si>
  <si>
    <t>DOGGY:DOGGY</t>
  </si>
  <si>
    <t>DPET:MY DEFI PET</t>
  </si>
  <si>
    <t>MOD:MODEFI</t>
  </si>
  <si>
    <t>PBR:POLKABRIDGE</t>
  </si>
  <si>
    <t>GHOST:GHOST</t>
  </si>
  <si>
    <t>FARA:FARALAND</t>
  </si>
  <si>
    <t>TRA:TRABZONSPOR FAN TOKEN</t>
  </si>
  <si>
    <t>PENDLE:PENDLE</t>
  </si>
  <si>
    <t>FOL:FOLDER PROTOCOL</t>
  </si>
  <si>
    <t>CYC:CYCLONE PROTOCOL</t>
  </si>
  <si>
    <t>WSG:WALL STREET GAMES</t>
  </si>
  <si>
    <t>MAHA:MAHADAO</t>
  </si>
  <si>
    <t>BRUSH:BRUSH</t>
  </si>
  <si>
    <t>WORLD:WORLD TOKEN</t>
  </si>
  <si>
    <t>DRC:DRACULA TOKEN</t>
  </si>
  <si>
    <t>SPH:SPHEROID UNIVERSE</t>
  </si>
  <si>
    <t>LOWB:LOSER COIN</t>
  </si>
  <si>
    <t>BIKI:BIKI</t>
  </si>
  <si>
    <t>PAINT:MURALL</t>
  </si>
  <si>
    <t>DOP:DROPS OWNERSHIP POWER</t>
  </si>
  <si>
    <t>PRT:PORTION</t>
  </si>
  <si>
    <t>ASKO:ASKO</t>
  </si>
  <si>
    <t>STPL:STREAM PROTOCOL</t>
  </si>
  <si>
    <t>EARNX:EARNX</t>
  </si>
  <si>
    <t>SNOW:SNOWSWAP</t>
  </si>
  <si>
    <t>ETNA:ETNA NETWORK</t>
  </si>
  <si>
    <t>NCT:NAME CHANGE TOKEN</t>
  </si>
  <si>
    <t>BCUG:BLOCKCHAIN CUTIES UNIVERSE GOVERNANCE</t>
  </si>
  <si>
    <t>SFUEL:SPARKPOINT FUEL</t>
  </si>
  <si>
    <t>COR:CORETO</t>
  </si>
  <si>
    <t>SUB:SUBME</t>
  </si>
  <si>
    <t>KTLYO:KATALYO</t>
  </si>
  <si>
    <t>SHIELD:SHIELD PROTOCOL</t>
  </si>
  <si>
    <t>BNF:BONFI</t>
  </si>
  <si>
    <t>KKO:KINEKO</t>
  </si>
  <si>
    <t>URQA:UREEQA</t>
  </si>
  <si>
    <t>MOMA:MOCHI MARKET</t>
  </si>
  <si>
    <t>USDS:STABLY USD</t>
  </si>
  <si>
    <t>RELI:RELITE FINANCE</t>
  </si>
  <si>
    <t>GOLD:GOLDEN GOOSE</t>
  </si>
  <si>
    <t>CTASK:CRYPTOTASK</t>
  </si>
  <si>
    <t>AC:ACOCONUT</t>
  </si>
  <si>
    <t>TANGO:KEYTANGO</t>
  </si>
  <si>
    <t>8PAY:8PAY</t>
  </si>
  <si>
    <t>COLL:COLLATERAL PAY</t>
  </si>
  <si>
    <t>QANX:QANPLATFORM</t>
  </si>
  <si>
    <t>GUM:GOURMET GALAXY</t>
  </si>
  <si>
    <t>CNS:CENTRIC SWAP</t>
  </si>
  <si>
    <t>PHT:PHONEUM</t>
  </si>
  <si>
    <t>VOX:VOX.FINANCE</t>
  </si>
  <si>
    <t>DANK:MU DANK</t>
  </si>
  <si>
    <t>BEER:BEER MONEY</t>
  </si>
  <si>
    <t>1MIL:1MILLIONNFTS</t>
  </si>
  <si>
    <t>BSL:BSCLAUNCH</t>
  </si>
  <si>
    <t>SAR:SAREN</t>
  </si>
  <si>
    <t>BNTX:BINTEX FUTURES</t>
  </si>
  <si>
    <t>OMC:ORMEUS CASH</t>
  </si>
  <si>
    <t>KDG:KINGDOM GAME 4.0</t>
  </si>
  <si>
    <t>TRIX:TRIUMPHX</t>
  </si>
  <si>
    <t>BORING:BORINGDAO</t>
  </si>
  <si>
    <t>HD:THE HOME DEPOT</t>
  </si>
  <si>
    <t>CAT:CAT TOKEN</t>
  </si>
  <si>
    <t>BCP:BITCASHPAY</t>
  </si>
  <si>
    <t>PYRO:PYRO NETWORK</t>
  </si>
  <si>
    <t>ZNE:ZONECOIN</t>
  </si>
  <si>
    <t>LST:LUCKYSEVENTOKEN</t>
  </si>
  <si>
    <t>ABC:ABC CHAIN</t>
  </si>
  <si>
    <t>CELEB:CELEB</t>
  </si>
  <si>
    <t>ETM:ETHERSMART</t>
  </si>
  <si>
    <t>PLA:PLAYDAPP</t>
  </si>
  <si>
    <t>UCTC:UCT CASH</t>
  </si>
  <si>
    <t>UCT:UNIVERSAL COMMUNITY TRUST</t>
  </si>
  <si>
    <t>DFA:DEFINE</t>
  </si>
  <si>
    <t>XT:XT TOKEN</t>
  </si>
  <si>
    <t>PVU:PLANT VS UNDEAD TOKEN</t>
  </si>
  <si>
    <t>OHM:OLYMPUS</t>
  </si>
  <si>
    <t>YGG:YIELD GUILD GAMES</t>
  </si>
  <si>
    <t>ATA:AUTOMATA</t>
  </si>
  <si>
    <t>GCR:GOLD COIN RESERVE</t>
  </si>
  <si>
    <t>SPELL:SPELL TOKEN</t>
  </si>
  <si>
    <t>CSPR:CASPER NETWORK</t>
  </si>
  <si>
    <t>WING:WING FINANCE</t>
  </si>
  <si>
    <t>ALGOBEAR:3X SHORT ALGORAND TOKEN</t>
  </si>
  <si>
    <t>ALGOBULL:3X LONG ALGORAND TOKEN</t>
  </si>
  <si>
    <t>ATOMBEAR:3X SHORT COSMOS TOKEN</t>
  </si>
  <si>
    <t>ATOMBULL:3X LONG COSMOS TOKEN</t>
  </si>
  <si>
    <t>BEARSHIT:3X SHORT SHITCOIN INDEX TOKEN</t>
  </si>
  <si>
    <t>BRIKCOIN:BRIKCOIN</t>
  </si>
  <si>
    <t>BTMXBULL:3X LONG BITMAX TOKEN TOKEN</t>
  </si>
  <si>
    <t>BULLSHIT:3X LONG SHITCOIN INDEX TOKEN</t>
  </si>
  <si>
    <t>DRGNBEAR:3X SHORT DRAGON INDEX TOKEN</t>
  </si>
  <si>
    <t>DRGNBULL:3X LONG DRAGON INDEX TOKEN</t>
  </si>
  <si>
    <t>EXCHBEAR:3X SHORT EXCHANGE TOKENS INDEX TOKEN</t>
  </si>
  <si>
    <t>EXCHBULL:3X LONG EXCHANGE TOKENS INDEX TOKEN</t>
  </si>
  <si>
    <t>LINKBEAR:3X SHORT CHAINLINK TOKEN</t>
  </si>
  <si>
    <t>LINKBULL:3X LONG CHAINLINK TOKEN</t>
  </si>
  <si>
    <t>LINKDOWN:LINKDOWN</t>
  </si>
  <si>
    <t>PAXGBEAR:3X SHORT PAX GOLD TOKEN</t>
  </si>
  <si>
    <t>PAXGBULL:3X LONG PAX GOLD TOKEN</t>
  </si>
  <si>
    <t>SOLARITE:SOLARITE</t>
  </si>
  <si>
    <t>TOMOBEAR:3X SHORT TOMOCHAIN TOKEN</t>
  </si>
  <si>
    <t>TRUMPWIN:TRUMPWIN</t>
  </si>
  <si>
    <t>UNISTAKE:UNISTAKE</t>
  </si>
  <si>
    <t>MATICBEAR:3X SHORT MATIC TOKEN</t>
  </si>
  <si>
    <t>MATICBULL:3X LONG MATIC TOKEN</t>
  </si>
  <si>
    <t>SUSHIBEAR:3X SHORT SUSHI TOKEN</t>
  </si>
  <si>
    <t>SUSHIBULL:3X LONG SUSHI TOKEN</t>
  </si>
  <si>
    <t>SUSHIDOWN:BINANCE SUSHI SHORT</t>
  </si>
  <si>
    <t>TRUMPLOSE:TRUMPLOSE</t>
  </si>
  <si>
    <t>DAI:MULTI COLLATERAL DAI</t>
  </si>
  <si>
    <t>SUSHI:SUSHISWAP</t>
  </si>
  <si>
    <t>STX:BLOCKSTACK</t>
  </si>
  <si>
    <t>LUNA:TERRA</t>
  </si>
  <si>
    <t>ZB:ZB TOKEN</t>
  </si>
  <si>
    <t>OXT:ORCHID</t>
  </si>
  <si>
    <t>RIF:RSK INFRASTRUCTURE FRAMEWORK</t>
  </si>
  <si>
    <t>NXM:NXM</t>
  </si>
  <si>
    <t>XDC:XINFIN NETWORK</t>
  </si>
  <si>
    <t>KAVA:KAVA.IO</t>
  </si>
  <si>
    <t>STRAX:STRATIS</t>
  </si>
  <si>
    <t>XZC:ZCOIN</t>
  </si>
  <si>
    <t>SWAP:TRUSTSWAP</t>
  </si>
  <si>
    <t>VSYS:V.SYSTEMS</t>
  </si>
  <si>
    <t>SERO:SUPER ZERO PROTOCOL</t>
  </si>
  <si>
    <t>ADX:ADEX NETWORK</t>
  </si>
  <si>
    <t>MRPH:MORPHEUS.NETWORK</t>
  </si>
  <si>
    <t>DAD:DAD</t>
  </si>
  <si>
    <t>SEELE:SEELE-N</t>
  </si>
  <si>
    <t>FOR:FORTUBE</t>
  </si>
  <si>
    <t>CTC:CREDITCOIN</t>
  </si>
  <si>
    <t>TNC:TNC COIN</t>
  </si>
  <si>
    <t>KRT:TERRAKRW</t>
  </si>
  <si>
    <t>FARM:HARVEST FINANCE</t>
  </si>
  <si>
    <t>DEUS:DEUSCOIN</t>
  </si>
  <si>
    <t>TONE:TE-FOOD</t>
  </si>
  <si>
    <t>WABI:WABI</t>
  </si>
  <si>
    <t>BET:DAO.CASINO</t>
  </si>
  <si>
    <t>TIME:CHRONOBANK</t>
  </si>
  <si>
    <t>ARNX:AERON</t>
  </si>
  <si>
    <t>CMT:COMET</t>
  </si>
  <si>
    <t>VGX:VOYAGER TOKEN</t>
  </si>
  <si>
    <t>DNA:METAVERSE DUALCHAIN NETWORK ARCHITECTURE</t>
  </si>
  <si>
    <t>TKN:TOKENCARD</t>
  </si>
  <si>
    <t>SAI:SINGLE COLLATERAL DAI</t>
  </si>
  <si>
    <t>LKK:LYKKE</t>
  </si>
  <si>
    <t>ABYSS:THE ABYSS</t>
  </si>
  <si>
    <t>ZIP:ZIPPER</t>
  </si>
  <si>
    <t>HVN:HIVE PROJECT</t>
  </si>
  <si>
    <t>FOX:FOX TOKEN</t>
  </si>
  <si>
    <t>AMP:HYPERSPACE</t>
  </si>
  <si>
    <t>HXX:HEXX</t>
  </si>
  <si>
    <t>CDX:COMMODITY AD NETWORK</t>
  </si>
  <si>
    <t>CTX:CARTAXI</t>
  </si>
  <si>
    <t>KUN:KUN</t>
  </si>
  <si>
    <t>CPS:CAPRICOIN+</t>
  </si>
  <si>
    <t>TRI:TRIANGLES</t>
  </si>
  <si>
    <t>GHST:AAVEGOTCHI GHST TOKEN</t>
  </si>
  <si>
    <t>IOV:CARLIVE CHAIN</t>
  </si>
  <si>
    <t>808:808COIN</t>
  </si>
  <si>
    <t>8BIT:8BIT</t>
  </si>
  <si>
    <t>RTB:AB-CHAIN RTB</t>
  </si>
  <si>
    <t>ACC:ACCHAIN</t>
  </si>
  <si>
    <t>ACE:ACE (TOKENSTARS)</t>
  </si>
  <si>
    <t>AKY:AKUYA COIN</t>
  </si>
  <si>
    <t>ACP:ANARCHISTSPRIME</t>
  </si>
  <si>
    <t>APX:APX</t>
  </si>
  <si>
    <t>ARB:ARBITRAGE</t>
  </si>
  <si>
    <t>ARG:ARGENTUM</t>
  </si>
  <si>
    <t>ARI:ARICOIN</t>
  </si>
  <si>
    <t>ADCN:ASIADIGICOIN</t>
  </si>
  <si>
    <t>ATX:ASTON</t>
  </si>
  <si>
    <t>AURA:AURORA DAO</t>
  </si>
  <si>
    <t>AU:AURUMCOIN</t>
  </si>
  <si>
    <t>AT:AWARE</t>
  </si>
  <si>
    <t>BSN:BASTONET</t>
  </si>
  <si>
    <t>BET:BETACOIN</t>
  </si>
  <si>
    <t>XBL:BILLIONAIRE TOKEN</t>
  </si>
  <si>
    <t>BIRDS:BIRDS</t>
  </si>
  <si>
    <t>CAT:BITCLAVE</t>
  </si>
  <si>
    <t>BCF:BITCOIN FAST</t>
  </si>
  <si>
    <t>BITG:BITCOIN GREEN</t>
  </si>
  <si>
    <t>BTCS:BITCOIN SCRYPT</t>
  </si>
  <si>
    <t>BCY:BITCRYSTALS</t>
  </si>
  <si>
    <t>BQ:BITQY</t>
  </si>
  <si>
    <t>BIT:BITREWARDS</t>
  </si>
  <si>
    <t>BSR:BITSOAR</t>
  </si>
  <si>
    <t>ZNY:BITZENY</t>
  </si>
  <si>
    <t>BLAZR:BLAZERCOIN</t>
  </si>
  <si>
    <t>BPL:BLOCKPOOL</t>
  </si>
  <si>
    <t>BPT:BLOCKPORT</t>
  </si>
  <si>
    <t>BTT:BLOCKTRADE TOKEN</t>
  </si>
  <si>
    <t>BOAT:BOAT</t>
  </si>
  <si>
    <t>BOT:BODHI</t>
  </si>
  <si>
    <t>AHT:BOWHEAD</t>
  </si>
  <si>
    <t>BRM:BRAHMAOS</t>
  </si>
  <si>
    <t>BRX:BREAKOUT STAKE</t>
  </si>
  <si>
    <t>BBK:BRICKBLOCK</t>
  </si>
  <si>
    <t>BRIT:BRITCOIN</t>
  </si>
  <si>
    <t>BUN:BUNNYCOIN</t>
  </si>
  <si>
    <t>CC:CAMPUSCOIN</t>
  </si>
  <si>
    <t>CIT:CARINET</t>
  </si>
  <si>
    <t>CAT:CATCOIN</t>
  </si>
  <si>
    <t>CHX:CHAINIUM</t>
  </si>
  <si>
    <t>CHIPS:CHIPS</t>
  </si>
  <si>
    <t>CFC:COFFEECOIN</t>
  </si>
  <si>
    <t>CTIC3:COIMATIC 3.0</t>
  </si>
  <si>
    <t>CNO:COIN(O)</t>
  </si>
  <si>
    <t>CCC:CONCIERGE COIN</t>
  </si>
  <si>
    <t>CDM:CONDOMINIUM</t>
  </si>
  <si>
    <t>CONI:CONI</t>
  </si>
  <si>
    <t>CAN:CONTENT AND AD NETWORK</t>
  </si>
  <si>
    <t>COR:CORION</t>
  </si>
  <si>
    <t>COSS:COSS</t>
  </si>
  <si>
    <t>COUPE:COUPECOIN</t>
  </si>
  <si>
    <t>CREA:CREATIVECOIN</t>
  </si>
  <si>
    <t>CRDNC:CREDENCE COIN</t>
  </si>
  <si>
    <t>CREDO:CREDO</t>
  </si>
  <si>
    <t>CEFS:CRYPTOPIA FEE SHARES</t>
  </si>
  <si>
    <t>CYDER:CYDER</t>
  </si>
  <si>
    <t>DACS:DACSEE</t>
  </si>
  <si>
    <t>DADI:DADI</t>
  </si>
  <si>
    <t>DAPS:DAPS TOKEN</t>
  </si>
  <si>
    <t>DTB:DATABITS</t>
  </si>
  <si>
    <t>DEW:DEW</t>
  </si>
  <si>
    <t>MTC:DOCADEMIC</t>
  </si>
  <si>
    <t>DOR:DORADO</t>
  </si>
  <si>
    <t>DRXNE:DROXNE</t>
  </si>
  <si>
    <t>DUTCH:DUTCH COIN</t>
  </si>
  <si>
    <t>DMC:DYNAMICCOIN</t>
  </si>
  <si>
    <t>EARTH:EARTH TOKEN</t>
  </si>
  <si>
    <t>EJOY:EJOY</t>
  </si>
  <si>
    <t>ELI:ELIGMA TOKEN</t>
  </si>
  <si>
    <t>MBRS:EMBERS</t>
  </si>
  <si>
    <t>ENT:ENTCASH</t>
  </si>
  <si>
    <t>ERA:ERA</t>
  </si>
  <si>
    <t>ETBS:ETHBITS</t>
  </si>
  <si>
    <t>ETHD:ETHEREUM DARK</t>
  </si>
  <si>
    <t>ETG:ETHEREUM GOLD</t>
  </si>
  <si>
    <t>RIYA:ETHERIYA</t>
  </si>
  <si>
    <t>EXC:EXCALIBURCOIN</t>
  </si>
  <si>
    <t>EZT:EZTOKEN</t>
  </si>
  <si>
    <t>FANS:FANTASY CASH</t>
  </si>
  <si>
    <t>FCN:FANTOMCOIN</t>
  </si>
  <si>
    <t>BITCF:FIRST BITCOIN CAPITAL</t>
  </si>
  <si>
    <t>FLM:FOLMCOIN</t>
  </si>
  <si>
    <t>FORK:FORKCOIN</t>
  </si>
  <si>
    <t>NTO:FUJINTO</t>
  </si>
  <si>
    <t>GNR:GAINER</t>
  </si>
  <si>
    <t>GAM:GAMBIT</t>
  </si>
  <si>
    <t>GCS:GAMECHAIN SYSTEM</t>
  </si>
  <si>
    <t>GLA:GLADIUS TOKEN</t>
  </si>
  <si>
    <t>GLS:GLASSCOIN</t>
  </si>
  <si>
    <t>GMX:GOLDMAXCOIN</t>
  </si>
  <si>
    <t>GOLF:GOLFCOIN</t>
  </si>
  <si>
    <t>GBG:GOLOS GOLD</t>
  </si>
  <si>
    <t>GOOD:GOODOMY</t>
  </si>
  <si>
    <t>GDC:GRANDCOIN</t>
  </si>
  <si>
    <t>GRE:GREENCOIN</t>
  </si>
  <si>
    <t>GRIM:GRIMCOIN</t>
  </si>
  <si>
    <t>GRWI:GROWERS INTERNATIONAL</t>
  </si>
  <si>
    <t>GETX:GUARANTEED ETHURANCE TOKEN EXTRA</t>
  </si>
  <si>
    <t>HC:HARVEST MASTERNODE COIN</t>
  </si>
  <si>
    <t>HAV:HAVVEN</t>
  </si>
  <si>
    <t>WORM:HEALTHYWORMCOIN</t>
  </si>
  <si>
    <t>HBZ:HELBIZ</t>
  </si>
  <si>
    <t>HIGH:HIGH GAIN</t>
  </si>
  <si>
    <t>HMC:HI MUTUAL SOCIETY</t>
  </si>
  <si>
    <t>HIRE:HIREMATCH</t>
  </si>
  <si>
    <t>HOLD:HOLD</t>
  </si>
  <si>
    <t>HBC:HOMEBLOCKCOIN</t>
  </si>
  <si>
    <t>HONEY:HONEY</t>
  </si>
  <si>
    <t>HUM:HUMANSCAPE</t>
  </si>
  <si>
    <t>HNC:HUNCOIN</t>
  </si>
  <si>
    <t>HUC:HUNTERCOIN</t>
  </si>
  <si>
    <t>HYPER:HYPER</t>
  </si>
  <si>
    <t>I0C:I0COIN</t>
  </si>
  <si>
    <t>ICE:IDICE</t>
  </si>
  <si>
    <t>IFOOD:IFOODS CHAIN</t>
  </si>
  <si>
    <t>REX:IMBREX</t>
  </si>
  <si>
    <t>NKA:INCAKOIN</t>
  </si>
  <si>
    <t>INDI:INDICOIN</t>
  </si>
  <si>
    <t>ENIX:INVACIO</t>
  </si>
  <si>
    <t>IQT:IQUANT</t>
  </si>
  <si>
    <t>JIN:JIN COIN</t>
  </si>
  <si>
    <t>SWTC:JINGTUM TECH</t>
  </si>
  <si>
    <t>J:JOINCOIN</t>
  </si>
  <si>
    <t>KAYI:KAYICOIN</t>
  </si>
  <si>
    <t>KLN:KOLION</t>
  </si>
  <si>
    <t>KBR:KUBERA COIN</t>
  </si>
  <si>
    <t>LEAF:LEAFCOIN</t>
  </si>
  <si>
    <t>LC4:LEOCOIN</t>
  </si>
  <si>
    <t>LEV:LEVERJ</t>
  </si>
  <si>
    <t>XLC:LEVIAR</t>
  </si>
  <si>
    <t>LEVO:LEVOCOIN</t>
  </si>
  <si>
    <t>LIFE:LIFE</t>
  </si>
  <si>
    <t>LKC:LINKEDCOIN</t>
  </si>
  <si>
    <t>LNK:LINK PLATFORM</t>
  </si>
  <si>
    <t>LIVE:LIVE STARS</t>
  </si>
  <si>
    <t>LWF:LOCAL WORLD FORWARDERS</t>
  </si>
  <si>
    <t>MAG:MAGGIE</t>
  </si>
  <si>
    <t>MAGN:MAGNETCOIN</t>
  </si>
  <si>
    <t>MGM:MAGNUM</t>
  </si>
  <si>
    <t>MXT:MARTEXCOIN</t>
  </si>
  <si>
    <t>MVL:MASS VEHICLE LEDGER</t>
  </si>
  <si>
    <t>MTNC:MASTERNODECOIN</t>
  </si>
  <si>
    <t>MEDX:MEDIBLOC [ERC20]</t>
  </si>
  <si>
    <t>MEESH:MEESH COIN</t>
  </si>
  <si>
    <t>MRT:MINERS' REWARD TOKEN</t>
  </si>
  <si>
    <t>MINEX:MINEX</t>
  </si>
  <si>
    <t>XMO:MONERO ORIGINAL</t>
  </si>
  <si>
    <t>MCC:MOVING CLOUD COIN</t>
  </si>
  <si>
    <t>MSD:MSD</t>
  </si>
  <si>
    <t>MTC:MTC MESH NETWORK</t>
  </si>
  <si>
    <t>MCI:MUSICONOMI</t>
  </si>
  <si>
    <t>NAVI:NAVIADDRESS</t>
  </si>
  <si>
    <t>NDC:NEVERDIE</t>
  </si>
  <si>
    <t>NPW:NEW POWER COIN</t>
  </si>
  <si>
    <t>NLX:NULLEX</t>
  </si>
  <si>
    <t>NMS:NUMUS</t>
  </si>
  <si>
    <t>OCL:OCEANLAB</t>
  </si>
  <si>
    <t>OPC:OP COIN</t>
  </si>
  <si>
    <t>OXY:OXYCOIN</t>
  </si>
  <si>
    <t>$PAC:PACCOIN</t>
  </si>
  <si>
    <t>PASL:PASCAL LITE</t>
  </si>
  <si>
    <t>CON:PAYCON</t>
  </si>
  <si>
    <t>PENG:PENGUIN COIN</t>
  </si>
  <si>
    <t>PHO:PHOTON</t>
  </si>
  <si>
    <t>PIGGY:PIGGYCOIN</t>
  </si>
  <si>
    <t>PLX:PLEXCOIN</t>
  </si>
  <si>
    <t>PLC:POLCOIN</t>
  </si>
  <si>
    <t>PAL:POLICYPAL NETWORK</t>
  </si>
  <si>
    <t>PCH:POPCHAIN</t>
  </si>
  <si>
    <t>POS:POSTOKEN</t>
  </si>
  <si>
    <t>PRX:PRINTERIUM</t>
  </si>
  <si>
    <t>PGL:PROSPECTORS GOLD</t>
  </si>
  <si>
    <t>PBL:PUBLICA</t>
  </si>
  <si>
    <t>QURO:QURITO</t>
  </si>
  <si>
    <t>QVT:QVOLTA</t>
  </si>
  <si>
    <t>REBL:REBL</t>
  </si>
  <si>
    <t>XRE:REVOLVERCOIN</t>
  </si>
  <si>
    <t>RMESH:RIGHTMESH</t>
  </si>
  <si>
    <t>RKT:ROCK</t>
  </si>
  <si>
    <t>RRC:RRCOIN</t>
  </si>
  <si>
    <t>RUNNERS:RUNNERS</t>
  </si>
  <si>
    <t>RMC:RUSSIAN MINER COIN</t>
  </si>
  <si>
    <t>SAGA:SAGACOIN</t>
  </si>
  <si>
    <t>SKR:SAKURACOIN</t>
  </si>
  <si>
    <t>SRC:SECURECOIN</t>
  </si>
  <si>
    <t>SEER:SEER</t>
  </si>
  <si>
    <t>SDRN:SENDERON</t>
  </si>
  <si>
    <t>SEN:SENTIENT COIN</t>
  </si>
  <si>
    <t>SHA:SHACOIN</t>
  </si>
  <si>
    <t>SEXC:SHAREX</t>
  </si>
  <si>
    <t>JEW:SHEKEL</t>
  </si>
  <si>
    <t>SIGMA:SIGMACOIN</t>
  </si>
  <si>
    <t>SDA:SIX DOMAIN CHAIN</t>
  </si>
  <si>
    <t>SKC:SKEINCOIN</t>
  </si>
  <si>
    <t>SLOTH:SLOTHCOIN</t>
  </si>
  <si>
    <t>SNOV:SNOVIAN.SPACE</t>
  </si>
  <si>
    <t>WHEEL:WHEELERS</t>
  </si>
  <si>
    <t>HAKA:HAKA</t>
  </si>
  <si>
    <t>WASP:WANSWAP</t>
  </si>
  <si>
    <t>CLOUT:BITCLOUT</t>
  </si>
  <si>
    <t>INST:INSTADAPP</t>
  </si>
  <si>
    <t>DEXTF:DEXTF</t>
  </si>
  <si>
    <t>DS:DESTORAGE</t>
  </si>
  <si>
    <t>MOOV:DOTMOOVS</t>
  </si>
  <si>
    <t>RABBIT:RABBIT FINANCE</t>
  </si>
  <si>
    <t>SECO:SERUM ECOSYSTEM TOKEN</t>
  </si>
  <si>
    <t>BPL:BETSPLAYER</t>
  </si>
  <si>
    <t>YLDY:YIELDLY</t>
  </si>
  <si>
    <t>BAFI:BAFI FINANCE TOKEN</t>
  </si>
  <si>
    <t>PINK:DOT FINANCE</t>
  </si>
  <si>
    <t>LOCG:LOCGAME</t>
  </si>
  <si>
    <t>PING:SONAR</t>
  </si>
  <si>
    <t>DYZ:DYZTOKEN</t>
  </si>
  <si>
    <t>PHX:PHOENIX TOKEN</t>
  </si>
  <si>
    <t>SMT:SWARM MARKETS</t>
  </si>
  <si>
    <t>ADS:ALKIMI</t>
  </si>
  <si>
    <t>DAH:DIRHAM</t>
  </si>
  <si>
    <t>WCS:WEECOINS</t>
  </si>
  <si>
    <t>LECLIENTE:LE CALIENTE</t>
  </si>
  <si>
    <t>CRDN:CARDENCE</t>
  </si>
  <si>
    <t>EQX:EQIFI TOKEN</t>
  </si>
  <si>
    <t>MCT:MICROTUBER</t>
  </si>
  <si>
    <t>DXL:DEXLAB</t>
  </si>
  <si>
    <t>BANANA:BANANA FINANCE</t>
  </si>
  <si>
    <t>VBSC:VOTECHAIN</t>
  </si>
  <si>
    <t>UNIC:UNICLY</t>
  </si>
  <si>
    <t>PEA:PEA FARM</t>
  </si>
  <si>
    <t>ROSN:ROSEON FINANCE</t>
  </si>
  <si>
    <t>EVN:EVOLUTION FINANCE</t>
  </si>
  <si>
    <t>CMP:MOONPOLY</t>
  </si>
  <si>
    <t>SKT:SUKHAVATI NETWORK</t>
  </si>
  <si>
    <t>POLA:POLARIS SHARE</t>
  </si>
  <si>
    <t>QRX:QUIVERX</t>
  </si>
  <si>
    <t>GFI:GAMEFI TOKEN</t>
  </si>
  <si>
    <t>CIFI:CITIZEN FINANCE</t>
  </si>
  <si>
    <t>COFI:COFIX</t>
  </si>
  <si>
    <t>DAISY:DAISY PROTOCOL</t>
  </si>
  <si>
    <t>MELO:MELO TOKEN</t>
  </si>
  <si>
    <t>SEED:SEED TOKEN</t>
  </si>
  <si>
    <t>ROYA:ROYALE</t>
  </si>
  <si>
    <t>AI:MULTIVERSE</t>
  </si>
  <si>
    <t>DON:DONNIE FINANCE</t>
  </si>
  <si>
    <t>WITCH:WITCH TOKEN</t>
  </si>
  <si>
    <t>ZORT:ZORT</t>
  </si>
  <si>
    <t>L2P:LUNG PROTOCOL</t>
  </si>
  <si>
    <t>TOOLS:TOOLS</t>
  </si>
  <si>
    <t>HNT:HYMNODE</t>
  </si>
  <si>
    <t>2CRZ:2CRAZYNFT</t>
  </si>
  <si>
    <t>GRC:GREEN FLOW</t>
  </si>
  <si>
    <t>GFX:GAMYFI TOKEN</t>
  </si>
  <si>
    <t>AXIS:AXIS TOKEN</t>
  </si>
  <si>
    <t>TSA:TEASWAP ART</t>
  </si>
  <si>
    <t>WLITI:WLITI</t>
  </si>
  <si>
    <t>DRACE:DEATHROAD</t>
  </si>
  <si>
    <t>TCT:TACOCAT TOKEN</t>
  </si>
  <si>
    <t>DONA:DONA</t>
  </si>
  <si>
    <t>ATFI:ATLANTIC FINANCE</t>
  </si>
  <si>
    <t>WGC:GREEN CLIMATE WORLD</t>
  </si>
  <si>
    <t>MER:MERCURIAL</t>
  </si>
  <si>
    <t>KUB:BITKUB COIN</t>
  </si>
  <si>
    <t>DEL:DECIMAL</t>
  </si>
  <si>
    <t>MCF:MCFINANCE</t>
  </si>
  <si>
    <t>UMG:UNDER MINE GOLD</t>
  </si>
  <si>
    <t>FIBO:FIBO TOKEN</t>
  </si>
  <si>
    <t>CALI:CALICOIN</t>
  </si>
  <si>
    <t>ALPHA:POLYALPHA FINANCE</t>
  </si>
  <si>
    <t>ARTG:GOYA GIANT TOKEN</t>
  </si>
  <si>
    <t>APL:APOLLON LIMASSOL FAN TOKEN</t>
  </si>
  <si>
    <t>CBANK:CRYPTO BANK</t>
  </si>
  <si>
    <t>LIGHT:LIGHT DEFI</t>
  </si>
  <si>
    <t>EMC:EDUMETRIX COIN</t>
  </si>
  <si>
    <t>CRWNY:CROWNY TOKEN</t>
  </si>
  <si>
    <t>MEDIA:MEDIA NETWORK</t>
  </si>
  <si>
    <t>MICN:MINDEXNEW</t>
  </si>
  <si>
    <t>DLTA:DELTA.THETA</t>
  </si>
  <si>
    <t>DVD:DAOVENTURES</t>
  </si>
  <si>
    <t>IPAD:INFINITY PAD</t>
  </si>
  <si>
    <t>DNXC:DINOX</t>
  </si>
  <si>
    <t>UP:UNIFI PROTOCOL</t>
  </si>
  <si>
    <t>TFBX:TRUEFEEDBACK TOKEN</t>
  </si>
  <si>
    <t>PSLIP:PINKSLIP FINANCE</t>
  </si>
  <si>
    <t>PHM:PHANTOM PROTOCOL</t>
  </si>
  <si>
    <t>BIN:BINEMON</t>
  </si>
  <si>
    <t>ZIG:ZIGNALY</t>
  </si>
  <si>
    <t>HCC:HOLIDAY CHAIN</t>
  </si>
  <si>
    <t>XRUNE:THORSTARTER</t>
  </si>
  <si>
    <t>SNP:SYNAPSE NETWORK</t>
  </si>
  <si>
    <t>BGLD:BASED GOLD</t>
  </si>
  <si>
    <t>RELAY:RELAY TOKEN</t>
  </si>
  <si>
    <t>QBIT:PROJECT QUANTUM</t>
  </si>
  <si>
    <t>EPS:EPANUS</t>
  </si>
  <si>
    <t>HUGO:HUGO FINANCE</t>
  </si>
  <si>
    <t>BANKER:BANKERDOGE</t>
  </si>
  <si>
    <t>TOM:TOM FINANCE</t>
  </si>
  <si>
    <t>HELIOS:MISSION HELIOS</t>
  </si>
  <si>
    <t>LBXC:LUX BIO EXCHANGE COIN</t>
  </si>
  <si>
    <t>ARIX:ARIX</t>
  </si>
  <si>
    <t>TENFI:TEN</t>
  </si>
  <si>
    <t>XCT:CITADEL.ONE</t>
  </si>
  <si>
    <t>NMT:NFTMART TOKEN</t>
  </si>
  <si>
    <t>LUA:LUASWAP</t>
  </si>
  <si>
    <t>TONCOIN:THE OPEN NETWORK</t>
  </si>
  <si>
    <t>RDOGE:ROYAL DOGE</t>
  </si>
  <si>
    <t>ACT:ACET</t>
  </si>
  <si>
    <t>MM:MILLION</t>
  </si>
  <si>
    <t>DFT:DFUTURE</t>
  </si>
  <si>
    <t>BYG:BLACK EYE GALAXY</t>
  </si>
  <si>
    <t>FTS:FORTRESS</t>
  </si>
  <si>
    <t>FUEL:JETFUEL FINANCE</t>
  </si>
  <si>
    <t>888:888 INFINITY</t>
  </si>
  <si>
    <t>CTC:CYBERTRONCHAIN</t>
  </si>
  <si>
    <t>FAR:FARMLAND PROTOCOL</t>
  </si>
  <si>
    <t>ARW:AROWANA TOKEN</t>
  </si>
  <si>
    <t>LEMD:LEMOND</t>
  </si>
  <si>
    <t>XTK:XTOKEN</t>
  </si>
  <si>
    <t>AWO:AIWORK</t>
  </si>
  <si>
    <t>PER:PER PROJECT</t>
  </si>
  <si>
    <t>CISLA:CRYPTO ISLAND</t>
  </si>
  <si>
    <t>NFTS:NFT STARS</t>
  </si>
  <si>
    <t>DAA:DOUBLE ACE</t>
  </si>
  <si>
    <t>DUCK:UNIT PROTOCOL NEW</t>
  </si>
  <si>
    <t>AVAK:AVAKUS</t>
  </si>
  <si>
    <t>ARTEX:ARTEX</t>
  </si>
  <si>
    <t>PAYN:PAYNET COIN</t>
  </si>
  <si>
    <t>GDR:GOLDEN ROOTS</t>
  </si>
  <si>
    <t>XDNA:EXTRADNA</t>
  </si>
  <si>
    <t>MCHC:MCH COIN</t>
  </si>
  <si>
    <t>COGE:COGECOIN</t>
  </si>
  <si>
    <t>CVR:CVR</t>
  </si>
  <si>
    <t>IUP:INFINITUP</t>
  </si>
  <si>
    <t>MVS:MOVIESTAR</t>
  </si>
  <si>
    <t>BTK:BITKITTIES</t>
  </si>
  <si>
    <t>BRAIN:BNBRAIN</t>
  </si>
  <si>
    <t>TVA:TOVPAY</t>
  </si>
  <si>
    <t>PAZZY:PAZZY</t>
  </si>
  <si>
    <t>FUPS:FEED PUPS</t>
  </si>
  <si>
    <t>SKY:SKY SHIBA</t>
  </si>
  <si>
    <t>BARMY:BABYARMY</t>
  </si>
  <si>
    <t>RCKT:ROCKET LAUNCHPAD</t>
  </si>
  <si>
    <t>ADEC:BLOCKADE</t>
  </si>
  <si>
    <t>CHARIZARD:CHARIZARD INU</t>
  </si>
  <si>
    <t>SNRW:SNRW.E</t>
  </si>
  <si>
    <t>SHK:SHREK</t>
  </si>
  <si>
    <t>STARK:STARK CHAIN</t>
  </si>
  <si>
    <t>STRI:STRITE</t>
  </si>
  <si>
    <t>NAMI:NAMI INU</t>
  </si>
  <si>
    <t>DIADOGS:DIAMOND DOGS</t>
  </si>
  <si>
    <t>EFT:EFT</t>
  </si>
  <si>
    <t>FLOKI:BABY MOON FLOKI</t>
  </si>
  <si>
    <t>UZUMAKI:UZUMAKI INU</t>
  </si>
  <si>
    <t>TZKI:TSUZUKI INU</t>
  </si>
  <si>
    <t>HADA:HODLADA</t>
  </si>
  <si>
    <t>BEACH:BEACH TOKEN</t>
  </si>
  <si>
    <t>BABYDB:BABY DOGE BILLIONAIRE</t>
  </si>
  <si>
    <t>BR2.0:BULLRUN2.0</t>
  </si>
  <si>
    <t>BAK:BACONCOIN</t>
  </si>
  <si>
    <t>CBC:CRYPTO BHARAT COIN</t>
  </si>
  <si>
    <t>CPMK:CHIPMONK COIN</t>
  </si>
  <si>
    <t>SFC:SAFECHAIN</t>
  </si>
  <si>
    <t>PDOX:PARADOX</t>
  </si>
  <si>
    <t>ALG:BITALGO</t>
  </si>
  <si>
    <t>BSE:BEST SHITCOIN EVER</t>
  </si>
  <si>
    <t>WCHTA:WRAPPEDCHEETAHCOIN</t>
  </si>
  <si>
    <t>TEND:TENDON</t>
  </si>
  <si>
    <t>ETOS:ETERNAL OASIS</t>
  </si>
  <si>
    <t>VVMC:VIRTUAL VENTURE MEDIA COIN</t>
  </si>
  <si>
    <t>DNP:DNP TOKEN</t>
  </si>
  <si>
    <t>OBTC:OPTICAL BITCOIN</t>
  </si>
  <si>
    <t>NPI:NINJA PANDA INU</t>
  </si>
  <si>
    <t>MOONA:MS MOONA REWARDS</t>
  </si>
  <si>
    <t>RAKUC:RAKU COIN</t>
  </si>
  <si>
    <t>FATE:FATE TOKEN</t>
  </si>
  <si>
    <t>GSA:GLOBAL SMART ASSET</t>
  </si>
  <si>
    <t>NEZUKO:NEZUKO INU</t>
  </si>
  <si>
    <t>BIOTECH:BIOTECH TOKENS</t>
  </si>
  <si>
    <t>RAPTOR:RAPTOR FINANCE</t>
  </si>
  <si>
    <t>ICHIGO:ICHIGO INU</t>
  </si>
  <si>
    <t>PEKC:PEACOCKCOIN</t>
  </si>
  <si>
    <t>ROBODOGE:ROBODOGE COIN</t>
  </si>
  <si>
    <t>SPHYNX:SPHYNX TOKEN</t>
  </si>
  <si>
    <t>JOJO:JOJO INU</t>
  </si>
  <si>
    <t>FF:FANTASY FOX</t>
  </si>
  <si>
    <t>CDII:CHISAI DOGE II</t>
  </si>
  <si>
    <t>XBUL:THEBULLOCKCHAIN</t>
  </si>
  <si>
    <t>BODO:BOOZEDOGE</t>
  </si>
  <si>
    <t>ISA:ISACOIN</t>
  </si>
  <si>
    <t>SENSHI:SENSHI INU</t>
  </si>
  <si>
    <t>HOKAGE:HOKAGE INU</t>
  </si>
  <si>
    <t>MNTIS:MANTIS NETWORK</t>
  </si>
  <si>
    <t>NEWINU:NEWINU</t>
  </si>
  <si>
    <t>FOMOZILLA:FOMOZILLA</t>
  </si>
  <si>
    <t>BCNT:BINCENTIVE</t>
  </si>
  <si>
    <t>WOLVERINU:WOLVERINU</t>
  </si>
  <si>
    <t>SAJA:SAJA</t>
  </si>
  <si>
    <t>RICH:WERICH.FINANCE</t>
  </si>
  <si>
    <t>ISN:69COIN</t>
  </si>
  <si>
    <t>XIAZ2:XIAZFINANCE2</t>
  </si>
  <si>
    <t>SANDMAN:SANDMAN</t>
  </si>
  <si>
    <t>STRNG:STRONGHOLD</t>
  </si>
  <si>
    <t>LADYB:LADYBUG FINANCE</t>
  </si>
  <si>
    <t>DIGINU:DIGINU</t>
  </si>
  <si>
    <t>MMON:MAMMON</t>
  </si>
  <si>
    <t>KUNU:KURAMAINU</t>
  </si>
  <si>
    <t>WINRY:WINRY INU</t>
  </si>
  <si>
    <t>APPA:APPA INU</t>
  </si>
  <si>
    <t>XPC:XPANDACOIN</t>
  </si>
  <si>
    <t>ASUNAINU:ASUNA INU</t>
  </si>
  <si>
    <t>ADOT:ALTERDOT</t>
  </si>
  <si>
    <t>ORBYT:ORBYT TOKEN</t>
  </si>
  <si>
    <t>DAW:DESWAP</t>
  </si>
  <si>
    <t>IMP:IMPERIAL OBELISK</t>
  </si>
  <si>
    <t>BECOIN:BECOIN</t>
  </si>
  <si>
    <t>USTX:UPSTABLETOKEN</t>
  </si>
  <si>
    <t>DOGETWIN:DOGETWINCOIN</t>
  </si>
  <si>
    <t>TAILS:TAILS</t>
  </si>
  <si>
    <t>EBSP:EBSP TOKEN</t>
  </si>
  <si>
    <t>LBURST:LOANBURST</t>
  </si>
  <si>
    <t>FC:FUTURESCOIN</t>
  </si>
  <si>
    <t>HVI:HUNGARIAN VIZSLA INU</t>
  </si>
  <si>
    <t>ESTI:EASTICOIN</t>
  </si>
  <si>
    <t>BBH:BEAVIS AND BUTTHEAD</t>
  </si>
  <si>
    <t>BDI:BABY DOGE INU</t>
  </si>
  <si>
    <t>BARK:BARKING</t>
  </si>
  <si>
    <t>432:432</t>
  </si>
  <si>
    <t>UNITS:ARRAY</t>
  </si>
  <si>
    <t>RICKMORTY:RICK AND MORTY</t>
  </si>
  <si>
    <t>PESP:PESP COIN</t>
  </si>
  <si>
    <t>NOEL:NOEL CAPITAL</t>
  </si>
  <si>
    <t>PONZI:BERNIE MADOFF</t>
  </si>
  <si>
    <t>BUBA:BURGERBABY</t>
  </si>
  <si>
    <t>MSN:MSN</t>
  </si>
  <si>
    <t>CRUNCH:CRUNCHY</t>
  </si>
  <si>
    <t>ZCNOX:ZCNOX COIN</t>
  </si>
  <si>
    <t>VQR:VIRTUAL QUEST ROOM COIN</t>
  </si>
  <si>
    <t>AIC:AI COIN</t>
  </si>
  <si>
    <t>MAGICCAKE:MAGIC CAKE</t>
  </si>
  <si>
    <t>FALCONZILL:FALCONDOGEZILLA</t>
  </si>
  <si>
    <t>LABV2:LITTLE ANGRY BUNNY V2</t>
  </si>
  <si>
    <t>BNC5:BIFROST</t>
  </si>
  <si>
    <t>OSMO:OSMOSIS</t>
  </si>
  <si>
    <t>ICE3:POPSICLE FINANCE</t>
  </si>
  <si>
    <t>PLA4:PLAYDAPP</t>
  </si>
  <si>
    <t>BETA:BETA FINANCE</t>
  </si>
  <si>
    <t>MINE:PYLON PROTOCOL</t>
  </si>
  <si>
    <t>XSGD:STRAITSX SINGAPORE DOLLAR</t>
  </si>
  <si>
    <t>ORCA2:ORCA</t>
  </si>
  <si>
    <t>BOO:SPOOKYSWAP</t>
  </si>
  <si>
    <t>DOG:THE DOGE NFT</t>
  </si>
  <si>
    <t>GODS:GODS UNCHAINED</t>
  </si>
  <si>
    <t>LAZIO:LAZIO FAN TOKEN</t>
  </si>
  <si>
    <t>GMR2:GMR FINANCE</t>
  </si>
  <si>
    <t>UBSN:SILENT NOTARY</t>
  </si>
  <si>
    <t>TCR3:TRACER DAO</t>
  </si>
  <si>
    <t>CTX:CRYPTEX FINANCE</t>
  </si>
  <si>
    <t>DFL2:DEFIL</t>
  </si>
  <si>
    <t>CPAN:CRYPTOPLANES</t>
  </si>
  <si>
    <t>BTR3:BITRUE COIN</t>
  </si>
  <si>
    <t>GRO2:GROWTH DEFI</t>
  </si>
  <si>
    <t>YVECRVDAO:VECRV-DAO YVAULT</t>
  </si>
  <si>
    <t>MYCE:MY CEREMONIAL EVENT</t>
  </si>
  <si>
    <t>STACK3:STACKOS</t>
  </si>
  <si>
    <t>SIENNA:SIENNA GOVERNANCE TOKEN</t>
  </si>
  <si>
    <t>CBC6:CBC.NETWORK</t>
  </si>
  <si>
    <t>PIKACHU:PIKACHU INU</t>
  </si>
  <si>
    <t>HERA:HERO ARENA</t>
  </si>
  <si>
    <t>WSPP:WOLF SAFE POOR PEOPLE</t>
  </si>
  <si>
    <t>BTCBAM:BITCOIN BAM</t>
  </si>
  <si>
    <t>STARS:MOGUL PRODUCTIONS</t>
  </si>
  <si>
    <t>HUSL1:THE HUSL</t>
  </si>
  <si>
    <t>DOP2:DROPS</t>
  </si>
  <si>
    <t>RVL2:REVIVAL</t>
  </si>
  <si>
    <t>TSF:TRANSACTION SERVICE FEE</t>
  </si>
  <si>
    <t>BDCC:BITICA DIGITAL CRYPTO CURRENCY</t>
  </si>
  <si>
    <t>NDX3:INDEXED FINANCE</t>
  </si>
  <si>
    <t>T2L:TICKET2LAMBO</t>
  </si>
  <si>
    <t>BLAST3:SAFEBLAST</t>
  </si>
  <si>
    <t>THN:THRONE</t>
  </si>
  <si>
    <t>SHIELD2:SHIELD PROTOCOL</t>
  </si>
  <si>
    <t>DOPX:DOPPLE EXCHANGE TOKEN</t>
  </si>
  <si>
    <t>TWX2:TWINDEX</t>
  </si>
  <si>
    <t>BCCT:BCC TOKEN</t>
  </si>
  <si>
    <t>COLLAR:POLYPUP FINANCE</t>
  </si>
  <si>
    <t>DIVINE1:DIVINE DAO</t>
  </si>
  <si>
    <t>POLR:POLYSTARTER</t>
  </si>
  <si>
    <t>MMM7:MMMLUCKUP7</t>
  </si>
  <si>
    <t>TC1:TTCOIN</t>
  </si>
  <si>
    <t>LIGHT2:LIGHTNING</t>
  </si>
  <si>
    <t>MDC:MADCOIN</t>
  </si>
  <si>
    <t>AC5:ASIACOIN</t>
  </si>
  <si>
    <t>BIOS1:BIOSCRYPTO</t>
  </si>
  <si>
    <t>AGF:AUGMENTED FINANCE</t>
  </si>
  <si>
    <t>PCAKE:POLYCAKE TOKEN</t>
  </si>
  <si>
    <t>AC:AMERICAN COIN</t>
  </si>
  <si>
    <t>CD:CHAINSTAKE DEFI</t>
  </si>
  <si>
    <t>BPT:BLACKPOOL</t>
  </si>
  <si>
    <t>BT3:BOZKURT TOKEN</t>
  </si>
  <si>
    <t>IAR:I AM RICH</t>
  </si>
  <si>
    <t>NRC:NERACHAIN</t>
  </si>
  <si>
    <t>THT:THOUGHT</t>
  </si>
  <si>
    <t>ZKT:ZKTUBE PROTOCOL</t>
  </si>
  <si>
    <t>1ART:ARTWALLET</t>
  </si>
  <si>
    <t>ANI2:ANIME TOKEN</t>
  </si>
  <si>
    <t>BASK:BASKETDAO</t>
  </si>
  <si>
    <t>BRUH:BRUH</t>
  </si>
  <si>
    <t>CCS2:CLOUTCONTRACTS</t>
  </si>
  <si>
    <t>CONE:COINONE</t>
  </si>
  <si>
    <t>CPO2:CRYPTOPOLIS</t>
  </si>
  <si>
    <t>DOVE:DOVECOIN</t>
  </si>
  <si>
    <t>DUBI:DECENTRALIZED UNIVERSAL BASIC INCOME</t>
  </si>
  <si>
    <t>ECT6:ECOCHAINTOKEN</t>
  </si>
  <si>
    <t>FIT3:FIT TOKEN</t>
  </si>
  <si>
    <t>GEMG:GEMGUARDIAN</t>
  </si>
  <si>
    <t>GFN2:GRAPHENE</t>
  </si>
  <si>
    <t>GMC6:GMCOIN</t>
  </si>
  <si>
    <t>IGN2:INFINITY GAME NTF</t>
  </si>
  <si>
    <t>JUNO:JUNO</t>
  </si>
  <si>
    <t>LTNM:BITCOIN LATINUM</t>
  </si>
  <si>
    <t>MAT2:MY MASTER WAR</t>
  </si>
  <si>
    <t>MBET:MOONBET</t>
  </si>
  <si>
    <t>NAFU:NAFULOO</t>
  </si>
  <si>
    <t>SCTK:SPARKLECOIN</t>
  </si>
  <si>
    <t>SML2:SUPER MUSIC LEAGUE</t>
  </si>
  <si>
    <t>SRT1:INSPIRIT</t>
  </si>
  <si>
    <t>TRVC:TRIVECHAIN</t>
  </si>
  <si>
    <t>TXT1:TRUST DICE</t>
  </si>
  <si>
    <t>UNGC:UNFOLDU GROUP COIN (NEW)</t>
  </si>
  <si>
    <t>USDO:USD OPEN DOLLAR</t>
  </si>
  <si>
    <t>YLD2:KANPEKI</t>
  </si>
  <si>
    <t>ZOOT:ZOO TOKEN</t>
  </si>
  <si>
    <t>BAKED:REBAKED</t>
  </si>
  <si>
    <t>BSCM1:BSC MEMEPAD</t>
  </si>
  <si>
    <t>CURE2:CURE TOKEN V2</t>
  </si>
  <si>
    <t>DIVER:DIVERGENCE</t>
  </si>
  <si>
    <t>EARN2:EARNABLE</t>
  </si>
  <si>
    <t>GENX2:EVODEFI</t>
  </si>
  <si>
    <t>HUSH2:HUSH COIN</t>
  </si>
  <si>
    <t>META4:METAVERSE MINER</t>
  </si>
  <si>
    <t>OBICG:OBICGOLD</t>
  </si>
  <si>
    <t>ORION:ORION MONEY</t>
  </si>
  <si>
    <t>PINK2:DOT FINANCE</t>
  </si>
  <si>
    <t>STRX4:STRIKEX</t>
  </si>
  <si>
    <t>TREAT:TREATDAO V2</t>
  </si>
  <si>
    <t>UNGC1:UNFOLDU GROUP COIN (OLD)</t>
  </si>
  <si>
    <t>ZAIF2:ZAIGAR FINANCE</t>
  </si>
  <si>
    <t>CARROT:CARROT STABLE COIN</t>
  </si>
  <si>
    <t>CRYPT3:CRYPTERTOKEN</t>
  </si>
  <si>
    <t>DELTA2:DELTA FINANCIAL</t>
  </si>
  <si>
    <t>MCASH2:MONSOON FINANCE</t>
  </si>
  <si>
    <t>SPACEVERSE:SPACEVERSE</t>
  </si>
  <si>
    <t>BABYHARMONY:BABYHARMONY</t>
  </si>
  <si>
    <t>METAUNIVERSE:METAUNIVERSE</t>
  </si>
  <si>
    <t>SW:SAFEWOLF</t>
  </si>
  <si>
    <t>AU2:AUTOCRYPTO</t>
  </si>
  <si>
    <t>BAL:BALLOONS</t>
  </si>
  <si>
    <t>BDI:BASKETDAO DEFI INDEX</t>
  </si>
  <si>
    <t>BGH:BITCOIN CLASSIC</t>
  </si>
  <si>
    <t>BKP:BURN KING PROTOCOL</t>
  </si>
  <si>
    <t>BXR:BLOCKSTER</t>
  </si>
  <si>
    <t>BZP:BITZIPP</t>
  </si>
  <si>
    <t>CGU:CRYPTO GAMING UNITED</t>
  </si>
  <si>
    <t>DBA:DIGITAL BANK OF AFRICA</t>
  </si>
  <si>
    <t>FFT:FUTURA FINANCE</t>
  </si>
  <si>
    <t>FVT:FINANCE.VOTE</t>
  </si>
  <si>
    <t>HCT:HURRICANESWAP TOKEN</t>
  </si>
  <si>
    <t>HID:HYPERSIGN</t>
  </si>
  <si>
    <t>KWT:KAWAII TOKEN</t>
  </si>
  <si>
    <t>LDB:LDXCHAIN BOT</t>
  </si>
  <si>
    <t>MCN:MONETA VERDE</t>
  </si>
  <si>
    <t>MDF:MATRIXETF</t>
  </si>
  <si>
    <t>MEM:MEME.COM</t>
  </si>
  <si>
    <t>MI2:MOSTERISLAND</t>
  </si>
  <si>
    <t>MVI:METAVERSE INDEX</t>
  </si>
  <si>
    <t>NCN:NODA NETWORK</t>
  </si>
  <si>
    <t>O1T:ONLY 1 TOKEN</t>
  </si>
  <si>
    <t>RCW:RAN ONLINE CRYPTO WORLD</t>
  </si>
  <si>
    <t>TXT:TAXA TOKEN</t>
  </si>
  <si>
    <t>UBI:UNIVERSAL BASIC INCOME</t>
  </si>
  <si>
    <t>UMG:UNDERMINEGOLD</t>
  </si>
  <si>
    <t>YTS:YETISWAP</t>
  </si>
  <si>
    <t>ACA3:ACA TOKEN</t>
  </si>
  <si>
    <t>ACU2:ACUITY TOKEN</t>
  </si>
  <si>
    <t>ANVS:CONQUERURANUS</t>
  </si>
  <si>
    <t>BAYC:BAYC VAULT (NFTX)</t>
  </si>
  <si>
    <t>BEE6:HONEYBEE</t>
  </si>
  <si>
    <t>BEXT:BYTEDEX</t>
  </si>
  <si>
    <t>BLT4:BLOCTO</t>
  </si>
  <si>
    <t>BOO1:BOOGLE</t>
  </si>
  <si>
    <t>BTR5:BTRIPS</t>
  </si>
  <si>
    <t>CARS:CRYPTO CARS WORLD</t>
  </si>
  <si>
    <t>CMCX:CORE MULTI-CHAIN</t>
  </si>
  <si>
    <t>CRIC:CRICKET FOUNDATION</t>
  </si>
  <si>
    <t>DMTR:DIMITRA TOKEN</t>
  </si>
  <si>
    <t>DSFR:DIGITAL SWISS FRANC</t>
  </si>
  <si>
    <t>DXB2:DEFIXBET</t>
  </si>
  <si>
    <t>EGT2:ELASTICDAO</t>
  </si>
  <si>
    <t>EUT2:EUTARIA</t>
  </si>
  <si>
    <t>EVRY:EVRYNET</t>
  </si>
  <si>
    <t>HER2:HEROVERSE</t>
  </si>
  <si>
    <t>INX3:INFINITX</t>
  </si>
  <si>
    <t>KST2:KSM STARTER</t>
  </si>
  <si>
    <t>LBY2:LIBONOMY</t>
  </si>
  <si>
    <t>MDC3:MARS DOGECOIN</t>
  </si>
  <si>
    <t>MGPC:MAGPIECOIN</t>
  </si>
  <si>
    <t>MION:MISSION</t>
  </si>
  <si>
    <t>MNOP:MEMENOPOLY</t>
  </si>
  <si>
    <t>MOVD:MOVE NETWORK</t>
  </si>
  <si>
    <t>MSOL:MARINADE STAKED SOL</t>
  </si>
  <si>
    <t>NSTE:NEWSOLUTION 2.0</t>
  </si>
  <si>
    <t>OPUL:OPULOUS</t>
  </si>
  <si>
    <t>PARA:PARALINK</t>
  </si>
  <si>
    <t>PHTG:PHONEUM GREEN</t>
  </si>
  <si>
    <t>PKEX:POLKAEX</t>
  </si>
  <si>
    <t>PRT3:PARROT PROTOCOL</t>
  </si>
  <si>
    <t>PUGL:PUGLIFE</t>
  </si>
  <si>
    <t>QUA3:QUA FINANCE</t>
  </si>
  <si>
    <t>REF2:REF FINANCE</t>
  </si>
  <si>
    <t>RRBT:RRBIT</t>
  </si>
  <si>
    <t>RUUF:RUUFCOIN</t>
  </si>
  <si>
    <t>RYMA:BAKUMATSU SWAP FINANCE</t>
  </si>
  <si>
    <t>SDT5:STABLEDOC TOKEN</t>
  </si>
  <si>
    <t>SKY3:SKY SHIBA</t>
  </si>
  <si>
    <t>STOS:STRATOS TOKEN</t>
  </si>
  <si>
    <t>SWOP:SWOP</t>
  </si>
  <si>
    <t>INU:HACHIKO INU TOKEN</t>
  </si>
  <si>
    <t>BITCI:BITCICOIN</t>
  </si>
  <si>
    <t>DRS:DRAGON SLAYER</t>
  </si>
  <si>
    <t>SOLAR:SOLARMOON</t>
  </si>
  <si>
    <t>SAK3:SAK3</t>
  </si>
  <si>
    <t>CPHR:POLKACIPHER</t>
  </si>
  <si>
    <t>UGT:UNREAL FINANCE</t>
  </si>
  <si>
    <t>VENTION:VENTION</t>
  </si>
  <si>
    <t>RA:RAIDO</t>
  </si>
  <si>
    <t>R3FI:RECHARGE FINANCE</t>
  </si>
  <si>
    <t>XTRA:TARAPLATFORM</t>
  </si>
  <si>
    <t>ATM:AFRICA TO MARS</t>
  </si>
  <si>
    <t>IRE:IRENT</t>
  </si>
  <si>
    <t>EDUX:EDUFEX</t>
  </si>
  <si>
    <t>KRN:KRYZA NETWORK</t>
  </si>
  <si>
    <t>B21:B21</t>
  </si>
  <si>
    <t>DRK:DRAKEN</t>
  </si>
  <si>
    <t>RCG:RECHARGE</t>
  </si>
  <si>
    <t>RVLVR:REVOLVER TOKEN</t>
  </si>
  <si>
    <t>RHO:RHINOS FINANCE</t>
  </si>
  <si>
    <t>BMARS:BINAMARS</t>
  </si>
  <si>
    <t>SDFI:STINGDEFI</t>
  </si>
  <si>
    <t>DOTX:DEFI OF THRONES</t>
  </si>
  <si>
    <t>AER:AERDROP</t>
  </si>
  <si>
    <t>GEX:GENEX</t>
  </si>
  <si>
    <t>ALLEY:NFT ALLEY</t>
  </si>
  <si>
    <t>SCOOBNBDOO:SCOOBNBDOO</t>
  </si>
  <si>
    <t>VERSE:SHIBAVERSE</t>
  </si>
  <si>
    <t>PRINTS:FINGERPRINTS DAO</t>
  </si>
  <si>
    <t>BUMN:BUMOON</t>
  </si>
  <si>
    <t>ORT:OMNI REAL ESTATE TOKEN</t>
  </si>
  <si>
    <t>BXX:BAANX</t>
  </si>
  <si>
    <t>SAMO:SAMOYEDCOIN</t>
  </si>
  <si>
    <t>WIVA:WIVA</t>
  </si>
  <si>
    <t>RC:RUSSELLCOIN</t>
  </si>
  <si>
    <t>METAMARS:METAMARS</t>
  </si>
  <si>
    <t>RSUN:RISINGSUN</t>
  </si>
  <si>
    <t>GYRO:GYRO</t>
  </si>
  <si>
    <t>PYLON:PYLON FINANCE</t>
  </si>
  <si>
    <t>ROMEODOGE:ROMEO DOGE</t>
  </si>
  <si>
    <t>UPBNB:UPBNB</t>
  </si>
  <si>
    <t>THALES:THALES</t>
  </si>
  <si>
    <t>SAITAMA:SAITAMA INU</t>
  </si>
  <si>
    <t>KPHI:KEPHI GALLERY</t>
  </si>
  <si>
    <t>YAY:YAYSWAP</t>
  </si>
  <si>
    <t>BLACK:BLACKHOLE PROTOCOL</t>
  </si>
  <si>
    <t>SIM:SIMBA EMPIRE</t>
  </si>
  <si>
    <t>TCG2:TCGCOIN 2.0</t>
  </si>
  <si>
    <t>VEGAS:VEGASDOGE</t>
  </si>
  <si>
    <t>RPT:REPRESENT</t>
  </si>
  <si>
    <t>$PAC:PAY ARROW COIN</t>
  </si>
  <si>
    <t>BABYEGG:BABYEGG</t>
  </si>
  <si>
    <t>AENS:AEN SMART TOKEN</t>
  </si>
  <si>
    <t>SHIBAPUP:SHIBAPUP</t>
  </si>
  <si>
    <t>PYRO:PYROWORLD</t>
  </si>
  <si>
    <t>PASTA:PASTA FINANCE</t>
  </si>
  <si>
    <t>ULTRA:ULTRASAFE</t>
  </si>
  <si>
    <t>DOGECOIN:BUFF DOGE COIN</t>
  </si>
  <si>
    <t>DFND:DFUND</t>
  </si>
  <si>
    <t>XXT:XXT-TOKEN</t>
  </si>
  <si>
    <t>DOGECOLA:DOGECOLA</t>
  </si>
  <si>
    <t>TLT:TRIP LEVERAGE TOKEN</t>
  </si>
  <si>
    <t>CGC:COINGALAXY</t>
  </si>
  <si>
    <t>NEKO:NEKO NETWORK</t>
  </si>
  <si>
    <t>THUNDERBNB:THUNDERBNB</t>
  </si>
  <si>
    <t>MTG:MAGNETGOLD</t>
  </si>
  <si>
    <t>BABYFLOKI:BABY FLOKI</t>
  </si>
  <si>
    <t>SFC:SAFECAP TOKEN</t>
  </si>
  <si>
    <t>PAYC:PAYCOM SOFTWARE, INC.</t>
  </si>
  <si>
    <t>SHIBSC:SHIBA BSC</t>
  </si>
  <si>
    <t>PCN:PHOENIXCHAIN</t>
  </si>
  <si>
    <t>WIFI:WIFI COIN</t>
  </si>
  <si>
    <t>DADDYDOGE:DADDY DOGE</t>
  </si>
  <si>
    <t>DART:DART INSURANCE</t>
  </si>
  <si>
    <t>BINS:BSOCIAL</t>
  </si>
  <si>
    <t>PYE:CREAMPYE</t>
  </si>
  <si>
    <t>KTT:K-TUNE</t>
  </si>
  <si>
    <t>TITS:SAFETITS</t>
  </si>
  <si>
    <t>ORI:ORICA</t>
  </si>
  <si>
    <t>ELAND:ETHERLAND</t>
  </si>
  <si>
    <t>AEL:AELYSIR</t>
  </si>
  <si>
    <t>OWN:OWNLY</t>
  </si>
  <si>
    <t>VMT:VANISHING MITILENA</t>
  </si>
  <si>
    <t>BPLC:BLACKPEARL TOKEN</t>
  </si>
  <si>
    <t>MU:MU CONTINENT</t>
  </si>
  <si>
    <t>VERSE:VERSEWAR</t>
  </si>
  <si>
    <t>CJX:CRYPTOJAGUARS</t>
  </si>
  <si>
    <t>FEWGO:FEWMANS GOLD</t>
  </si>
  <si>
    <t>WANDER:WANDERLUST</t>
  </si>
  <si>
    <t>DBALL:DRAKEBALL TOKEN</t>
  </si>
  <si>
    <t>CHARLES:CARDANO PLANET</t>
  </si>
  <si>
    <t>SCOOT:SCOOTERCOIN</t>
  </si>
  <si>
    <t>HONEY:HONEYPAD</t>
  </si>
  <si>
    <t>HIBIKI:HIBIKI FINANCE</t>
  </si>
  <si>
    <t>BABYETH:BABYETH</t>
  </si>
  <si>
    <t>BABYUSDT:BABYUSDT</t>
  </si>
  <si>
    <t>REDDOGE:REDDOGE</t>
  </si>
  <si>
    <t>MTCL:MATICLAUNCH</t>
  </si>
  <si>
    <t>VAULT:M7 VAULT</t>
  </si>
  <si>
    <t>ODIN:ODIN PROTOCOL</t>
  </si>
  <si>
    <t>BBADGER:BADGER SETT BADGER</t>
  </si>
  <si>
    <t>FOX:FOX FINANCE</t>
  </si>
  <si>
    <t>DEFIT:DIGITAL FITNESS</t>
  </si>
  <si>
    <t>LDFI:LENDEFI</t>
  </si>
  <si>
    <t>WILC:WRAPPED ILCOIN</t>
  </si>
  <si>
    <t>UNAGI:UNAGI TOKEN</t>
  </si>
  <si>
    <t>MUFC:MANCHESTER UNITED FAN TOKEN</t>
  </si>
  <si>
    <t>RAM:HERUM</t>
  </si>
  <si>
    <t>MELODY:MELODY</t>
  </si>
  <si>
    <t>HUA:CHIHUAHUA</t>
  </si>
  <si>
    <t>PAND:PANDA.FINANCE</t>
  </si>
  <si>
    <t>CORGI:CORGI INU</t>
  </si>
  <si>
    <t>LEASH:DOGE KILLER</t>
  </si>
  <si>
    <t>HVE2:UHIVE</t>
  </si>
  <si>
    <t>CBK:COBAK TOKEN</t>
  </si>
  <si>
    <t>CUBE:SOMNIUM SPACE CUBES</t>
  </si>
  <si>
    <t>XAZAB:XAZAB</t>
  </si>
  <si>
    <t>POCROC:POCKETROCKET</t>
  </si>
  <si>
    <t>MOM:MOM TOKEN</t>
  </si>
  <si>
    <t>DGGG:DOGGGO</t>
  </si>
  <si>
    <t>ZOMBIE:ZOMBIES</t>
  </si>
  <si>
    <t>SCOOBY:SCOOBY DOO INU</t>
  </si>
  <si>
    <t>HODL:HODL</t>
  </si>
  <si>
    <t>EYE:EYE</t>
  </si>
  <si>
    <t>BIDR:BINANCEIDR</t>
  </si>
  <si>
    <t>AQUA:AQUA</t>
  </si>
  <si>
    <t>XODS:XODS</t>
  </si>
  <si>
    <t>UPDOG:UPDOG</t>
  </si>
  <si>
    <t>NICHE:NICHEMAN</t>
  </si>
  <si>
    <t>VENUS:VENUSIA</t>
  </si>
  <si>
    <t>RKYU:RYUKYUTOKEN</t>
  </si>
  <si>
    <t>IVORY:IVORYGATE</t>
  </si>
  <si>
    <t>KOMBAI:KOMBAI INU</t>
  </si>
  <si>
    <t>WSBT:WALLSTREETBETS TOKEN</t>
  </si>
  <si>
    <t>DCASH:DIAMOND CASH</t>
  </si>
  <si>
    <t>W1VE2:2WIVES</t>
  </si>
  <si>
    <t>USDSP:USDSPORTS</t>
  </si>
  <si>
    <t>TIPSY:TIPSY TOKEN</t>
  </si>
  <si>
    <t>LPNT:LUXURIOUS PRO NETWORK TOKEN</t>
  </si>
  <si>
    <t>CFF:COFFE UTILITY TOKEN</t>
  </si>
  <si>
    <t>RIC:RIELCOIN</t>
  </si>
  <si>
    <t>KAIINU:KAI INU</t>
  </si>
  <si>
    <t>XIAZ:XIAZFINANCE</t>
  </si>
  <si>
    <t>0175:GEELY AUTOMOBILE</t>
  </si>
  <si>
    <t>0347:ANGANG STEEL</t>
  </si>
  <si>
    <t>0358:JIANGXI COPPER</t>
  </si>
  <si>
    <t>0753:AIR CHINA</t>
  </si>
  <si>
    <t>0941:CHINA MOBILE</t>
  </si>
  <si>
    <t>1208:MMG</t>
  </si>
  <si>
    <t>1530:3SBIO</t>
  </si>
  <si>
    <t>1913:PRADA</t>
  </si>
  <si>
    <t>1919:COSCO SHIPPING</t>
  </si>
  <si>
    <t>2777:GUANGZHOU R&amp;F PROPERTIES</t>
  </si>
  <si>
    <t>2883:CHINA OILFIELD SERVICES</t>
  </si>
  <si>
    <t>2899:ZIJIN MINING</t>
  </si>
  <si>
    <t>3323:CNBM</t>
  </si>
  <si>
    <t>3606:FUYAO GLASS INDUSTRY</t>
  </si>
  <si>
    <t>AAL:AMERICAN AIRLINES GROUP</t>
  </si>
  <si>
    <t>ABCL:ABCELLERA BIOLOGICS INC.</t>
  </si>
  <si>
    <t>ABNB:AIRBNB, INC.</t>
  </si>
  <si>
    <t>AFLTRU:AEROFLOT</t>
  </si>
  <si>
    <t>AFRM:AFFIRM HOLDINGS, INC.</t>
  </si>
  <si>
    <t>AG:FIRST MAJESTIC SILVER CORP.</t>
  </si>
  <si>
    <t>AIV:AIMCO</t>
  </si>
  <si>
    <t>ALRSRU:ALROSA</t>
  </si>
  <si>
    <t>AMC:AMC</t>
  </si>
  <si>
    <t>AMGO:AMIGO</t>
  </si>
  <si>
    <t>AMRS:AMYRIS, INC.</t>
  </si>
  <si>
    <t>ANA:ACCIONA</t>
  </si>
  <si>
    <t>ARKG:ARK GENOMIC REVOLUTION ETF</t>
  </si>
  <si>
    <t>ARKK:ARK INNOVATION ETF</t>
  </si>
  <si>
    <t>AUIX:US AIRLINES INDEX</t>
  </si>
  <si>
    <t>AVRO:AVROBIO, INC.</t>
  </si>
  <si>
    <t>BAC:BANK OF AMERICA</t>
  </si>
  <si>
    <t>BAYN:BAYER</t>
  </si>
  <si>
    <t>BB:BLACKBERRY LIMITED</t>
  </si>
  <si>
    <t>BE:BLOOM ENERGY CORPORATION</t>
  </si>
  <si>
    <t>BP:BP - USD</t>
  </si>
  <si>
    <t>BRK.A10:BERKSHIRE 10 INDEX</t>
  </si>
  <si>
    <t>CBOMRU:MOSKOVSKIY KREDITNYI BANK</t>
  </si>
  <si>
    <t>CCL:CARNIVAL</t>
  </si>
  <si>
    <t>CHMFRU:SEVERSTAL</t>
  </si>
  <si>
    <t>CINE:CINEWORLD GROUP</t>
  </si>
  <si>
    <t>DASH:DOORDASH INC</t>
  </si>
  <si>
    <t>DOCU:DOCUSIGN</t>
  </si>
  <si>
    <t>EA:ELECTRONIC ARTS</t>
  </si>
  <si>
    <t>ECIX:ELECTRIC CARS INDEX</t>
  </si>
  <si>
    <t>ENPH:ENPHASE ENERGY, INC.</t>
  </si>
  <si>
    <t>ENRURU:ENEL RUSSIA</t>
  </si>
  <si>
    <t>EZJ:EASYJET</t>
  </si>
  <si>
    <t>FCEL:FUELCELL ENERGY, INC.</t>
  </si>
  <si>
    <t>GAZPRU:GAZPROM</t>
  </si>
  <si>
    <t>GM:GM</t>
  </si>
  <si>
    <t>GMKNRU:MMC NORILSK NICKEL</t>
  </si>
  <si>
    <t>HPQ:HP</t>
  </si>
  <si>
    <t>HTBX:HEAT BIOLOGICS</t>
  </si>
  <si>
    <t>HYLN:HYLIION HOLDINGS CORP.</t>
  </si>
  <si>
    <t>ICAG:INTERNATIONAL CONSOLIDATED AIRLINES GROUP S.A.</t>
  </si>
  <si>
    <t>INO:IO PHARMACEUTICALS</t>
  </si>
  <si>
    <t>JD:JD.COM</t>
  </si>
  <si>
    <t>JDST:DIREXION DAILY JUNIOR GOLD MINERS INDEX BEAR 3X SHARES</t>
  </si>
  <si>
    <t>KIE:KIER GROUP</t>
  </si>
  <si>
    <t>KOPN:KOPIN CORPORATION</t>
  </si>
  <si>
    <t>LBK:LIBERBANK</t>
  </si>
  <si>
    <t>LDO:LEONARDO SPA</t>
  </si>
  <si>
    <t>LEO:LEONI AG</t>
  </si>
  <si>
    <t>LIT:GLOBAL X LITHIUM &amp; BATTERY TECH ETF</t>
  </si>
  <si>
    <t>LKOHRU:LUKOIL</t>
  </si>
  <si>
    <t>LLOY:LLOYDS</t>
  </si>
  <si>
    <t>MAGNRU:MAGNITOGORSK IRON &amp; STEEL WORKS</t>
  </si>
  <si>
    <t>MARA:MARATHON PATENT GROUP, INC.</t>
  </si>
  <si>
    <t>MRKCRU:IDGC CENTRE</t>
  </si>
  <si>
    <t>MRNA:MODERNA</t>
  </si>
  <si>
    <t>MSRSRU:MOESK</t>
  </si>
  <si>
    <t>MTSSRU:MTS</t>
  </si>
  <si>
    <t>MUR:MURPHY OIL</t>
  </si>
  <si>
    <t>MVIDRU:M.VIDEO</t>
  </si>
  <si>
    <t>NDAQ:NASDAQ</t>
  </si>
  <si>
    <t>NDX1:NORDEX</t>
  </si>
  <si>
    <t>NIO:NIO LIMITED</t>
  </si>
  <si>
    <t>NKLA:NIKOLA CORPORATION</t>
  </si>
  <si>
    <t>NRG:NRG ENERGY</t>
  </si>
  <si>
    <t>NVAX:NOVAVAX</t>
  </si>
  <si>
    <t>O2D:TELEFONICA DE</t>
  </si>
  <si>
    <t>OIX:OIL PORTFOLIO INDEX</t>
  </si>
  <si>
    <t>PHAR:PHARMING GROUP</t>
  </si>
  <si>
    <t>PINS:PINTEREST</t>
  </si>
  <si>
    <t>PLTK:PLAYTIKA HOLDING CORP.</t>
  </si>
  <si>
    <t>PLTR:PALANTIR TECHNOLOGIES INC.</t>
  </si>
  <si>
    <t>PLUG:PLUG POWER INC.</t>
  </si>
  <si>
    <t>POLYRU:POLYMETAL INTERNATIONAL</t>
  </si>
  <si>
    <t>PUBM:PUBMATIC, INC.</t>
  </si>
  <si>
    <t>QQQ:INVESCO QQQ TRUST</t>
  </si>
  <si>
    <t>QS:QUANTUMSCAPE CORPORATION</t>
  </si>
  <si>
    <t>RCL:ROYAL CARIBBEAN CRUISES</t>
  </si>
  <si>
    <t>RDSA:ROYAL DUTCH SHELL PLC</t>
  </si>
  <si>
    <t>REP:REPSOL</t>
  </si>
  <si>
    <t>RIG:TRANSOCEAN</t>
  </si>
  <si>
    <t>ROSN:ROSNEFT</t>
  </si>
  <si>
    <t>RTNGB:RESTAURANT GROUP</t>
  </si>
  <si>
    <t>RUALRU:UNITED COMPANY RUSAL</t>
  </si>
  <si>
    <t>SBERRU:SBERBANK ROSSII</t>
  </si>
  <si>
    <t>SBRY:SAINSBURY</t>
  </si>
  <si>
    <t>SEDG:SOLAREDGE TECHNOLOGIES</t>
  </si>
  <si>
    <t>SIBNRU:GAZPROM NEFT PJSC</t>
  </si>
  <si>
    <t>SNGSRU:SURGUTNEFTEGAZ</t>
  </si>
  <si>
    <t>SPCE:VIRGIN GALACTIC</t>
  </si>
  <si>
    <t>SPOT:SPOTIFY</t>
  </si>
  <si>
    <t>SPR:SPIRIT AEROSYSTEMS HOLDINGS, INC</t>
  </si>
  <si>
    <t>T:AT&amp;T</t>
  </si>
  <si>
    <t>TAN:INVESCO SOLAR ETF</t>
  </si>
  <si>
    <t>TATNRU:TATNEFT-3</t>
  </si>
  <si>
    <t>TCDA:TRICIDA</t>
  </si>
  <si>
    <t>TDOC:TELADOC HEALTH, INC.</t>
  </si>
  <si>
    <t>TLW:TULLOW</t>
  </si>
  <si>
    <t>TSM:TAIWAN SEMICONDUCTOR</t>
  </si>
  <si>
    <t>UVXY:PROSHARES ULTRA VIX SHORT-TERM FUTURES ETF</t>
  </si>
  <si>
    <t>VIR:VIR BIOTECHNOLOGY</t>
  </si>
  <si>
    <t>VK:VALLOUREC</t>
  </si>
  <si>
    <t>VTBRRU:VTB</t>
  </si>
  <si>
    <t>VXRT:VAXART</t>
  </si>
  <si>
    <t>VZ:VERIZON</t>
  </si>
  <si>
    <t>WISH:CONTEXTLOGIC INC</t>
  </si>
  <si>
    <t>WKHS:WORKHORSE GROUP INC.</t>
  </si>
  <si>
    <t>XOM:EXXON MOBIL</t>
  </si>
  <si>
    <t>XPEV:XPENG INC.</t>
  </si>
  <si>
    <t>YNDXRU:YANDEX N.V.</t>
  </si>
  <si>
    <t>YRD:YIRENDAI</t>
  </si>
  <si>
    <t>PLANT:PLANTCOIN</t>
  </si>
  <si>
    <t>PEPE:PEPE COIN</t>
  </si>
  <si>
    <t>JACQ:DESIGNING THE FUTURE</t>
  </si>
  <si>
    <t>DBZ:DOGEBALLZ</t>
  </si>
  <si>
    <t>MOOCHII:MOOCHII</t>
  </si>
  <si>
    <t>CREED:CREED</t>
  </si>
  <si>
    <t>CORGI:CORGICOIN</t>
  </si>
  <si>
    <t>FEN:FENNEC</t>
  </si>
  <si>
    <t>GTM:GOTOMOON</t>
  </si>
  <si>
    <t>HKS:HACKERSPACE</t>
  </si>
  <si>
    <t>CBEER:COLD BEER TOKEN</t>
  </si>
  <si>
    <t>TMG:TAMAGO</t>
  </si>
  <si>
    <t>AGE:AGENOR</t>
  </si>
  <si>
    <t>BSKT:BASKETCOIN</t>
  </si>
  <si>
    <t>CROX:CROXSWAP</t>
  </si>
  <si>
    <t>SGT:SPACEGOAT TOKEN</t>
  </si>
  <si>
    <t>SIH:SALIENT INVESTMENT HOLDING</t>
  </si>
  <si>
    <t>GOAL:GOAL</t>
  </si>
  <si>
    <t>AROW:AROW</t>
  </si>
  <si>
    <t>RKG:RAP KEO GROUP</t>
  </si>
  <si>
    <t>GOLDUCK:GOLDEN DUCK</t>
  </si>
  <si>
    <t>KALLY:POLKALLY</t>
  </si>
  <si>
    <t>MNME:MASTERNODESME</t>
  </si>
  <si>
    <t>REDPANDA:REDPANDA EARTH</t>
  </si>
  <si>
    <t>EXO:EXOHOOD</t>
  </si>
  <si>
    <t>RTK:RULETKA</t>
  </si>
  <si>
    <t>BCT:BITCRATIC</t>
  </si>
  <si>
    <t>WHEAT:WHEAT TOKEN</t>
  </si>
  <si>
    <t>BGO:BINGO CASH</t>
  </si>
  <si>
    <t>MTP:MULTIPLAY</t>
  </si>
  <si>
    <t>BCC:BASIS COIN CASH</t>
  </si>
  <si>
    <t>TMH:TRUSMARKETHUB TOKEN</t>
  </si>
  <si>
    <t>HYVE:HYVE</t>
  </si>
  <si>
    <t>WBIND:WRAPPED BIND</t>
  </si>
  <si>
    <t>FUNDX:FUNDER ONE</t>
  </si>
  <si>
    <t>KODURO:KODURO</t>
  </si>
  <si>
    <t>TVT:TVT</t>
  </si>
  <si>
    <t>IQQ:IQONIQ</t>
  </si>
  <si>
    <t>DFX:DEFIREX</t>
  </si>
  <si>
    <t>PAPP:PAPP MOBILE</t>
  </si>
  <si>
    <t>VIAGRA:VIAGRA TOKEN</t>
  </si>
  <si>
    <t>PLUM:PLUMCAKE FINANCE</t>
  </si>
  <si>
    <t>BIRD:BIRD.MONEY</t>
  </si>
  <si>
    <t>AETH:ANKRETH</t>
  </si>
  <si>
    <t>CHIBA:CATE SHIBA</t>
  </si>
  <si>
    <t>LIMEX:LIMESTONE NETWORK</t>
  </si>
  <si>
    <t>DSD:DYNAMIC SET DOLLAR</t>
  </si>
  <si>
    <t>SKILL:CRYPTOBLADES</t>
  </si>
  <si>
    <t>RWN:ROWAN COIN</t>
  </si>
  <si>
    <t>VEX:VELOREX</t>
  </si>
  <si>
    <t>MSC:MONSTER SLAYER CASH</t>
  </si>
  <si>
    <t>ALPHR:ALPHR</t>
  </si>
  <si>
    <t>LATTE:LATTESWAP</t>
  </si>
  <si>
    <t>SNFT:SEEDSWAP</t>
  </si>
  <si>
    <t>FL:FREELIQUID</t>
  </si>
  <si>
    <t>GSMT:GRAFSOUND</t>
  </si>
  <si>
    <t>PVM:PRIVATEUM</t>
  </si>
  <si>
    <t>TKX:TOKENIZE XCHANGE</t>
  </si>
  <si>
    <t>LOT:LOTTERY TOKEN</t>
  </si>
  <si>
    <t>APLP:APPLE FINANCE</t>
  </si>
  <si>
    <t>SHIBM:SHIBA MOON</t>
  </si>
  <si>
    <t>SBF:STEAKBANK FINANCE</t>
  </si>
  <si>
    <t>CATNIP:CATNIP MONEY</t>
  </si>
  <si>
    <t>IFEX:INTERFINEX BILLS</t>
  </si>
  <si>
    <t>MNTT:MOONTRUST</t>
  </si>
  <si>
    <t>VIX:VIXCO</t>
  </si>
  <si>
    <t>CNB:COINSBIT TOKEN</t>
  </si>
  <si>
    <t>SOGA:SOGA PROJECT</t>
  </si>
  <si>
    <t>ANT:ANTCOIN</t>
  </si>
  <si>
    <t>GOLD:XBULLION</t>
  </si>
  <si>
    <t>BELUGA:BELUGASWAP</t>
  </si>
  <si>
    <t>LABS:LABS GROUP</t>
  </si>
  <si>
    <t>PMON:POCMON</t>
  </si>
  <si>
    <t>EVNY:EVNY TOKEN</t>
  </si>
  <si>
    <t>BALPHA:BALPHA</t>
  </si>
  <si>
    <t>BTOUR:BTOUR CHAIN</t>
  </si>
  <si>
    <t>BIOT:BIO PASSPORT</t>
  </si>
  <si>
    <t>EDC:EDCOIN</t>
  </si>
  <si>
    <t>XGT:XION GLOBAL TOKEN</t>
  </si>
  <si>
    <t>DMS:DIMSUM</t>
  </si>
  <si>
    <t>NPO:NPO COIN</t>
  </si>
  <si>
    <t>ATMN:ANTIMONY</t>
  </si>
  <si>
    <t>ACE:ACENT</t>
  </si>
  <si>
    <t>AUR:AURIX</t>
  </si>
  <si>
    <t>TYC:TYCOON</t>
  </si>
  <si>
    <t>PRARE:POLKARARE</t>
  </si>
  <si>
    <t>CVP:POWERPOOL CONCENTRATED VOTING POWER</t>
  </si>
  <si>
    <t>IPFST:IPFST</t>
  </si>
  <si>
    <t>LABRA:LABRA FINANCE</t>
  </si>
  <si>
    <t>TONE:NFT TONE</t>
  </si>
  <si>
    <t>HLP:HLP TOKEN</t>
  </si>
  <si>
    <t>JULD:JULSWAP</t>
  </si>
  <si>
    <t>NOA:NOA PLAY</t>
  </si>
  <si>
    <t>BHIBA:BABY SHIBA</t>
  </si>
  <si>
    <t>BEVO:BEVO DIGITAL ART TOKEN</t>
  </si>
  <si>
    <t>BR34P:BR34P</t>
  </si>
  <si>
    <t>JNTR:JOINTER</t>
  </si>
  <si>
    <t>INX:INSIGHT PROTOCOL</t>
  </si>
  <si>
    <t>OCP:OMNI CONSUMER PROTOCOL</t>
  </si>
  <si>
    <t>SCT:CLASH TOKEN</t>
  </si>
  <si>
    <t>FROGE:FROGE FINANCE</t>
  </si>
  <si>
    <t>KING:KING SWAP</t>
  </si>
  <si>
    <t>RAM:RAMIFI PROTOCOL</t>
  </si>
  <si>
    <t>BAGS:BASIS GOLD SHARE</t>
  </si>
  <si>
    <t>COC:COCKTAILBAR.FINANCE</t>
  </si>
  <si>
    <t>HYFI:HYPER FINANCE</t>
  </si>
  <si>
    <t>NTVRK:NETVRK</t>
  </si>
  <si>
    <t>DXC:DEX-TRADE COIN</t>
  </si>
  <si>
    <t>SPOK:SPOCK</t>
  </si>
  <si>
    <t>TBB:TRADE BUTLER BOT</t>
  </si>
  <si>
    <t>CFT:COINBENE FUTURE TOKEN</t>
  </si>
  <si>
    <t>CNX:COFINEX</t>
  </si>
  <si>
    <t>SUP:SUPERTX GOVERNANCE TOKEN</t>
  </si>
  <si>
    <t>FLY:FRANKLIN</t>
  </si>
  <si>
    <t>KXUSD:KXUSD</t>
  </si>
  <si>
    <t>TRADE:UNITRADE</t>
  </si>
  <si>
    <t>BYN:BEYOND FINANCE</t>
  </si>
  <si>
    <t>ROAD:YELLOW ROAD</t>
  </si>
  <si>
    <t>WCK:WRAPPED CRYPTOKITTIES</t>
  </si>
  <si>
    <t>SUNI:SUNI</t>
  </si>
  <si>
    <t>LBK:LBK</t>
  </si>
  <si>
    <t>CORN:CORNICHON</t>
  </si>
  <si>
    <t>GGIVE:GLOBALGIVE</t>
  </si>
  <si>
    <t>KSP:KLAYSWAP PROTOCOL</t>
  </si>
  <si>
    <t>CAN:CHANNELS</t>
  </si>
  <si>
    <t>COIN:COIN ARTIST</t>
  </si>
  <si>
    <t>KODA:KODA FINANCE</t>
  </si>
  <si>
    <t>PRKL:PERKLE</t>
  </si>
  <si>
    <t>DAPP:DAPPERCOIN</t>
  </si>
  <si>
    <t>WLT:WEALTH LOCKS</t>
  </si>
  <si>
    <t>YPIE:PIEDAO YEARN ECOSYSTEM PIE</t>
  </si>
  <si>
    <t>XRGE:ROUGECOIN</t>
  </si>
  <si>
    <t>BANANA:APESWAP FINANCE</t>
  </si>
  <si>
    <t>BNXX:BITCOINNEXX</t>
  </si>
  <si>
    <t>DSCVR:DSCVR.FINANCE</t>
  </si>
  <si>
    <t>DRM:DODREAMCHAIN</t>
  </si>
  <si>
    <t>18C:BLOCK 18</t>
  </si>
  <si>
    <t>FLTY:FLUITY</t>
  </si>
  <si>
    <t>VBSWAP:VBSWAP</t>
  </si>
  <si>
    <t>MBOX2:MOBOX</t>
  </si>
  <si>
    <t>KNC:KYBER NETWORK CRYSTAL</t>
  </si>
  <si>
    <t>HBC2:HBTC CAPTAIN TOKEN</t>
  </si>
  <si>
    <t>EPS2:ELLIPSIS</t>
  </si>
  <si>
    <t>ATLAS2:STAR ATLAS</t>
  </si>
  <si>
    <t>CUNI:COMPOUND UNISWAP</t>
  </si>
  <si>
    <t>CVXCRV:CONVEX CRV</t>
  </si>
  <si>
    <t>LEND:AAVE [OLD]</t>
  </si>
  <si>
    <t>BANANA2:APESWAP FINANCE</t>
  </si>
  <si>
    <t>POLIS2:STAR ATLAS DAO</t>
  </si>
  <si>
    <t>ARTR:ARTERY</t>
  </si>
  <si>
    <t>CLV2:CLOVER FINANCE</t>
  </si>
  <si>
    <t>SUN:SUN TOKEN</t>
  </si>
  <si>
    <t>ASTX:ASTOX TOKEN</t>
  </si>
  <si>
    <t>RARE2:SUPERRARE</t>
  </si>
  <si>
    <t>INST2:INSTADAPP</t>
  </si>
  <si>
    <t>FEG:FEG TOKEN</t>
  </si>
  <si>
    <t>SLRS2:SOLRISE</t>
  </si>
  <si>
    <t>CHESS3:TRANCHESS</t>
  </si>
  <si>
    <t>UFO5:UFO GAMING</t>
  </si>
  <si>
    <t>NFT3:APENFT</t>
  </si>
  <si>
    <t>NUSD1:NUSD</t>
  </si>
  <si>
    <t>STEP3:STEP FINANCE</t>
  </si>
  <si>
    <t>BABY2:BABYSWAP</t>
  </si>
  <si>
    <t>INDC:NANO DOGECOIN</t>
  </si>
  <si>
    <t>QI5:BENQI</t>
  </si>
  <si>
    <t>SPS2:SPLINTERSHARDS</t>
  </si>
  <si>
    <t>MER2:MERCURIAL FINANCE</t>
  </si>
  <si>
    <t>CIV3:CIVILIZATION</t>
  </si>
  <si>
    <t>SNOB:SNOWBALL</t>
  </si>
  <si>
    <t>NRV3:NERVE FINANCE</t>
  </si>
  <si>
    <t>ZPAY:ZOIDPAY</t>
  </si>
  <si>
    <t>BUX2:BUX PLATFORM TOKEN</t>
  </si>
  <si>
    <t>GEL:GELATO TOKEN</t>
  </si>
  <si>
    <t>MM5:MILLION</t>
  </si>
  <si>
    <t>DOGGY2:DOGGY</t>
  </si>
  <si>
    <t>LZ:LAUNCHZONE</t>
  </si>
  <si>
    <t>SEFI:SECRET FINANCE</t>
  </si>
  <si>
    <t>NFTB:NFTB</t>
  </si>
  <si>
    <t>SKU:SAKURA</t>
  </si>
  <si>
    <t>FIN:DEFINER</t>
  </si>
  <si>
    <t>ABLOCK:ANY BLOCKNET</t>
  </si>
  <si>
    <t>HOD:HODOOI</t>
  </si>
  <si>
    <t>CMK:CREDMARK</t>
  </si>
  <si>
    <t>ANRX:ANRKEY X</t>
  </si>
  <si>
    <t>EQX:EQIFI</t>
  </si>
  <si>
    <t>TRAVA:TRAVA FINANCE</t>
  </si>
  <si>
    <t>EVAI:EVAI</t>
  </si>
  <si>
    <t>GBE1:GOLDBEE</t>
  </si>
  <si>
    <t>SPORE3:SPORE</t>
  </si>
  <si>
    <t>SWEET:HONEY TOKEN</t>
  </si>
  <si>
    <t>GMX3:GAMEX</t>
  </si>
  <si>
    <t>TFT2:THREEFOLD</t>
  </si>
  <si>
    <t>FUEL2:JETFUEL FINANCE</t>
  </si>
  <si>
    <t>MIST2:MIST GAME</t>
  </si>
  <si>
    <t>RUNE2:RUNE</t>
  </si>
  <si>
    <t>BED2:BANKLESS BED INDEX</t>
  </si>
  <si>
    <t>PKR3:POLKER</t>
  </si>
  <si>
    <t>PIT2:PITBULL TOKEN</t>
  </si>
  <si>
    <t>TARA:TARAXA</t>
  </si>
  <si>
    <t>LOOT:NFTLOOTBOX</t>
  </si>
  <si>
    <t>PAR3:PARALLEL</t>
  </si>
  <si>
    <t>GAT3:GAME ACE TOKEN</t>
  </si>
  <si>
    <t>LIX2:LIXIR FINANCE</t>
  </si>
  <si>
    <t>WEE2:WEE</t>
  </si>
  <si>
    <t>CHT4:CHRONIC TOKEN</t>
  </si>
  <si>
    <t>SPHRI:SPHERIUM</t>
  </si>
  <si>
    <t>AVE:AVAWARE</t>
  </si>
  <si>
    <t>PRXY:PROXY</t>
  </si>
  <si>
    <t>NCT2:NAME CHANGE TOKEN</t>
  </si>
  <si>
    <t>DHV:DEHIVE</t>
  </si>
  <si>
    <t>LONDON:$LONDON</t>
  </si>
  <si>
    <t>EVDC:EV DIRECT CURRENCY</t>
  </si>
  <si>
    <t>FISH:POLYCAT FINANCE</t>
  </si>
  <si>
    <t>TOTM:TOTEMFI</t>
  </si>
  <si>
    <t>BRIGHT:BRIGHT UNION</t>
  </si>
  <si>
    <t>HYD:HYDRA</t>
  </si>
  <si>
    <t>AMSK:NOLEWATER</t>
  </si>
  <si>
    <t>TRADE:POLYTRADE</t>
  </si>
  <si>
    <t>BOBO:BOBO CASH</t>
  </si>
  <si>
    <t>MFO:MOONFARM FINANCE</t>
  </si>
  <si>
    <t>WHIRL:POLYWHIRL</t>
  </si>
  <si>
    <t>NICHEMAN:NICHEMAN</t>
  </si>
  <si>
    <t>LOOT2:TRONLOOT</t>
  </si>
  <si>
    <t>SPH3:SPHYNX NETWORK</t>
  </si>
  <si>
    <t>R1:RECAST1 TOKEN</t>
  </si>
  <si>
    <t>YFIC2:YEARN CASH</t>
  </si>
  <si>
    <t>YEL:YELLOW TOKEN</t>
  </si>
  <si>
    <t>BOOST:BOOSTED FINANCE</t>
  </si>
  <si>
    <t>DEX1:DEX</t>
  </si>
  <si>
    <t>PIXIU2:PIXIUSWAP TOKEN</t>
  </si>
  <si>
    <t>OMN:OMNI</t>
  </si>
  <si>
    <t>DDX2:DIETBITCOIN</t>
  </si>
  <si>
    <t>TRADE5:TRADECOIN</t>
  </si>
  <si>
    <t>MOONB:MOONBITCH</t>
  </si>
  <si>
    <t>AQUA3:PLANET FINANCE</t>
  </si>
  <si>
    <t>EWIT:EWIT</t>
  </si>
  <si>
    <t>IT:INFINITY TOKEN</t>
  </si>
  <si>
    <t>BDS:BIG DIGITAL SHARES</t>
  </si>
  <si>
    <t>CLV:CLOVER</t>
  </si>
  <si>
    <t>CPO:CRYPTO</t>
  </si>
  <si>
    <t>DEX:NEWDEX TOKEN</t>
  </si>
  <si>
    <t>FAO:FARMER AND ONE TOKEN</t>
  </si>
  <si>
    <t>HAM:HAMSTER</t>
  </si>
  <si>
    <t>HNC:HNC COIN</t>
  </si>
  <si>
    <t>KTY:KITTYKOIN</t>
  </si>
  <si>
    <t>LPK:KRIPTON</t>
  </si>
  <si>
    <t>MBF:MOONBEAR.FINANCE</t>
  </si>
  <si>
    <t>MNI:MANAIO</t>
  </si>
  <si>
    <t>QZK:QZKCOIN</t>
  </si>
  <si>
    <t>RSN:ROKETSIN</t>
  </si>
  <si>
    <t>TXA:TXA PROJECT</t>
  </si>
  <si>
    <t>URG:URGAMING</t>
  </si>
  <si>
    <t>VDV:VDV TOKEN</t>
  </si>
  <si>
    <t>YSI:YORKSHIRE INU</t>
  </si>
  <si>
    <t>APPR:APPRECIATE COIN</t>
  </si>
  <si>
    <t>AXC2:AXIA COIN</t>
  </si>
  <si>
    <t>AZU2:AZUS</t>
  </si>
  <si>
    <t>BNBY:BNB CHARITY FINANCE</t>
  </si>
  <si>
    <t>BTO2:BITOCOIN</t>
  </si>
  <si>
    <t>BUFF:BUFFALOSWAP</t>
  </si>
  <si>
    <t>CATE:CATECOIN</t>
  </si>
  <si>
    <t>CLEW:CLEWEE</t>
  </si>
  <si>
    <t>CRP4:CROPPERFINANCE</t>
  </si>
  <si>
    <t>CVNT:CONSCIOUS VALUE NETWORK</t>
  </si>
  <si>
    <t>DCH2:DOGE CASH</t>
  </si>
  <si>
    <t>DINT:INVESTMENT TOKEN</t>
  </si>
  <si>
    <t>DMOD:DEMODYFI</t>
  </si>
  <si>
    <t>DNP3:DNPTOKEN</t>
  </si>
  <si>
    <t>DRS3:DOCTORS COIN</t>
  </si>
  <si>
    <t>EDEN:EDEN</t>
  </si>
  <si>
    <t>EVA2:EVANESCO NETWORK</t>
  </si>
  <si>
    <t>FTWG:FEED THE WORLD GLOBAL</t>
  </si>
  <si>
    <t>GART:GRIFFIN ART</t>
  </si>
  <si>
    <t>GNUN:GOLDEN INU</t>
  </si>
  <si>
    <t>GOD2:THEGODCOIN</t>
  </si>
  <si>
    <t>HODL:HODL 2.0</t>
  </si>
  <si>
    <t>KEY3:VP TOKEN</t>
  </si>
  <si>
    <t>LYCA:LYCA GOVERNANCE</t>
  </si>
  <si>
    <t>MIMO:MIMO PARALLEL GOVERNANCE TOKEN</t>
  </si>
  <si>
    <t>NENG:NENGCOIN</t>
  </si>
  <si>
    <t>NTC2:NATCOIN</t>
  </si>
  <si>
    <t>ORG2:OGCNODE</t>
  </si>
  <si>
    <t>OROS:OROS.FINANCE</t>
  </si>
  <si>
    <t>PLEX:MINEPLEX</t>
  </si>
  <si>
    <t>RBC4:RUBY CURRENCY</t>
  </si>
  <si>
    <t>SUM2:SUMCOIN</t>
  </si>
  <si>
    <t>TRAX:PRIVI TRAX</t>
  </si>
  <si>
    <t>UPPS:UPPSME</t>
  </si>
  <si>
    <t>VCC2:VICTORUM</t>
  </si>
  <si>
    <t>WAIV:WAIV</t>
  </si>
  <si>
    <t>WANA:WANAKA FARM</t>
  </si>
  <si>
    <t>WFF2:WHITEFLAGFUND</t>
  </si>
  <si>
    <t>WGC2:GREEN CLIMATE WORLD</t>
  </si>
  <si>
    <t>ZENC:ZENC COIN</t>
  </si>
  <si>
    <t>CATS3:CATS TOKEN</t>
  </si>
  <si>
    <t>COMB2:COMBO</t>
  </si>
  <si>
    <t>DEHUB:DEHUB</t>
  </si>
  <si>
    <t>FDOGE:FREEDOGE TOKEN</t>
  </si>
  <si>
    <t>GAME3:GAMESTARTER</t>
  </si>
  <si>
    <t>GREEN:GREENEUM</t>
  </si>
  <si>
    <t>KALA2:KALATA</t>
  </si>
  <si>
    <t>KCAKE:KITTYCAKE</t>
  </si>
  <si>
    <t>KIRBY:KIRBY INU</t>
  </si>
  <si>
    <t>LIKE5:ONLY1</t>
  </si>
  <si>
    <t>MEONG:MEONG TOKEN</t>
  </si>
  <si>
    <t>PLAY3:POLYPLAY</t>
  </si>
  <si>
    <t>PROT2:PROSTARTER</t>
  </si>
  <si>
    <t>PUFFS:CRYPTO PUFFS</t>
  </si>
  <si>
    <t>PUPPY:PUPPYSWAP TOKEN</t>
  </si>
  <si>
    <t>RISE2:EVERRISE</t>
  </si>
  <si>
    <t>SCCN2:SUCCESSION</t>
  </si>
  <si>
    <t>TPAY2:TETRA PAY</t>
  </si>
  <si>
    <t>VEST2:DAO INVEST</t>
  </si>
  <si>
    <t>WLITI:LITI CAPITAL</t>
  </si>
  <si>
    <t>WLUNA:WRAPPED LUNA TOKEN</t>
  </si>
  <si>
    <t>BBMUSK:BABYMUSK</t>
  </si>
  <si>
    <t>EDOGE2:ELONDOGE</t>
  </si>
  <si>
    <t>START2:STARTER</t>
  </si>
  <si>
    <t>WHACKD:WHACKD TOKEN</t>
  </si>
  <si>
    <t>SHIBEMP:SHIBA INU EMPIRE</t>
  </si>
  <si>
    <t>BABYDOUG:BABY DOUG</t>
  </si>
  <si>
    <t>BURNDOGE:BURNDOGE</t>
  </si>
  <si>
    <t>KOGECOIN:KOGECOIN</t>
  </si>
  <si>
    <t>BABYDOGE2:BABYDOGE ETH</t>
  </si>
  <si>
    <t>BURN1COIN:BURN1 COIN</t>
  </si>
  <si>
    <t>MINISHIBA:MINI SHIBA</t>
  </si>
  <si>
    <t>GM:GEOMANNA</t>
  </si>
  <si>
    <t>AFN:ALTAFIN</t>
  </si>
  <si>
    <t>BZZ:SWARM</t>
  </si>
  <si>
    <t>CNV:COINEAL VALUE</t>
  </si>
  <si>
    <t>CP2:COPUPPY</t>
  </si>
  <si>
    <t>CYN:CYCAN NETWORK</t>
  </si>
  <si>
    <t>ELM:ELEMENTS</t>
  </si>
  <si>
    <t>GDL:GONDOLA FINANCE</t>
  </si>
  <si>
    <t>GOR:GOLDENROOSTER</t>
  </si>
  <si>
    <t>KFT:KNIT FINANCE</t>
  </si>
  <si>
    <t>LBY:LIBERTY159</t>
  </si>
  <si>
    <t>LEC:LOVE EARTH COIN</t>
  </si>
  <si>
    <t>LTY:LEDGITY</t>
  </si>
  <si>
    <t>MM4:MM TOKEN</t>
  </si>
  <si>
    <t>MNY:MOONIE NFT</t>
  </si>
  <si>
    <t>MUS:MUS</t>
  </si>
  <si>
    <t>NCR:NEOS CREDITS</t>
  </si>
  <si>
    <t>NFL:NFTLEGENDS</t>
  </si>
  <si>
    <t>PPN:PUPPIES NETWORK</t>
  </si>
  <si>
    <t>PVU:PLANT VS UNDEAD</t>
  </si>
  <si>
    <t>SCA:SCALESWAP</t>
  </si>
  <si>
    <t>SMD:SMD COIN</t>
  </si>
  <si>
    <t>SMG:SMG</t>
  </si>
  <si>
    <t>UFI:PUREFI PROTOCOL</t>
  </si>
  <si>
    <t>XP2:POLKAFANTASY</t>
  </si>
  <si>
    <t>YAK:YIELD YAK</t>
  </si>
  <si>
    <t>YOU:YOUSWAP</t>
  </si>
  <si>
    <t>AAA4:MOON RABBIT</t>
  </si>
  <si>
    <t>ABEY:ABEY TOKEN</t>
  </si>
  <si>
    <t>ATD2:A2DAO</t>
  </si>
  <si>
    <t>ATTR:ATTRACE</t>
  </si>
  <si>
    <t>AVME:AVME</t>
  </si>
  <si>
    <t>BABI:BABYLONS</t>
  </si>
  <si>
    <t>BAE3:BAE</t>
  </si>
  <si>
    <t>BFI3:BEARN.FI</t>
  </si>
  <si>
    <t>BKS2:BABY KSHARK</t>
  </si>
  <si>
    <t>BPET:BINAPET</t>
  </si>
  <si>
    <t>BR20:BULLRUN2.0</t>
  </si>
  <si>
    <t>BRNK:BRANK</t>
  </si>
  <si>
    <t>CAP3:CAP</t>
  </si>
  <si>
    <t>CFT2:COINBENE FUTURE TOKEN</t>
  </si>
  <si>
    <t>CHE2:CHERRYSWAP</t>
  </si>
  <si>
    <t>CICO:CROWD ICO</t>
  </si>
  <si>
    <t>COW3:COINWIND</t>
  </si>
  <si>
    <t>CPD2:СOINSPAID</t>
  </si>
  <si>
    <t>CSX2:COINSTOX</t>
  </si>
  <si>
    <t>CUDL:CUDL FINANCE</t>
  </si>
  <si>
    <t>DRS2:DRAGON SLAYER</t>
  </si>
  <si>
    <t>DTX2:DETOX</t>
  </si>
  <si>
    <t>DXCT:DNAXCAT TOKEN</t>
  </si>
  <si>
    <t>ECN2:E-COIN NETWORK</t>
  </si>
  <si>
    <t>ECT5:ETHEREUM CHAIN TOKEN</t>
  </si>
  <si>
    <t>ENV3:ENV FINANCE TOKEN</t>
  </si>
  <si>
    <t>ETL2:ETHERLITE</t>
  </si>
  <si>
    <t>FANC:FANCIRCLE</t>
  </si>
  <si>
    <t>FIWA:DEFI WARRIOR</t>
  </si>
  <si>
    <t>FMT2:FINMINITY</t>
  </si>
  <si>
    <t>FNDZ:FNDZ</t>
  </si>
  <si>
    <t>GAFI:GAMEFI</t>
  </si>
  <si>
    <t>GEX1:GENEX</t>
  </si>
  <si>
    <t>GNBU:NIMBUS GOVERNANCE TOKEN</t>
  </si>
  <si>
    <t>IDIA:IMPOSSIBLE DECENTRALIZED INCUBATOR ACCESS</t>
  </si>
  <si>
    <t>ITGR:INTEGRAL</t>
  </si>
  <si>
    <t>JOE2:JOE</t>
  </si>
  <si>
    <t>JOJO:JOJO</t>
  </si>
  <si>
    <t>KCLP:KUCOIN LAUNCHPAD</t>
  </si>
  <si>
    <t>KDCC:KINELA TOKEN</t>
  </si>
  <si>
    <t>LTX3:GRAYSCALE LITECOIN TRUST</t>
  </si>
  <si>
    <t>MMM2:MULTIMILLION</t>
  </si>
  <si>
    <t>ICH2:IDEA CHAIN COIN</t>
  </si>
  <si>
    <t>RAY:RAYDIUM</t>
  </si>
  <si>
    <t>XPRT:PERSISTENCE</t>
  </si>
  <si>
    <t>TALC:TALESHCOIN</t>
  </si>
  <si>
    <t>ANC3:ANCHOR PROTOCOL</t>
  </si>
  <si>
    <t>ASKA:ASK ADVISORS</t>
  </si>
  <si>
    <t>MAPS:MAPS.ME</t>
  </si>
  <si>
    <t>GFCC:GOLD FINCH</t>
  </si>
  <si>
    <t>TRIBE:TRIBE</t>
  </si>
  <si>
    <t>AGIX:SINGULARITYNET</t>
  </si>
  <si>
    <t>CSPR:CASPER</t>
  </si>
  <si>
    <t>ATA:AUTOMATA NETWORK</t>
  </si>
  <si>
    <t>NMX:NOMINEX TOKEN</t>
  </si>
  <si>
    <t>GTC6:GITCOIN</t>
  </si>
  <si>
    <t>STRK:STRIKE</t>
  </si>
  <si>
    <t>MLN:ENZYME</t>
  </si>
  <si>
    <t>BADGER:BADGER DAO GOVERNANCE TOKEN</t>
  </si>
  <si>
    <t>SFP:SAFEPAL</t>
  </si>
  <si>
    <t>BOND2:BARNBRIDGE</t>
  </si>
  <si>
    <t>BIFI2:BEEFY FINANCE</t>
  </si>
  <si>
    <t>FRAX:FRAX</t>
  </si>
  <si>
    <t>DAO:DAO MAKER</t>
  </si>
  <si>
    <t>REV4:RCHAIN</t>
  </si>
  <si>
    <t>OXY4:OXYGEN</t>
  </si>
  <si>
    <t>WSCRT:SECRET NETWORK TOKEN</t>
  </si>
  <si>
    <t>CUMMIES:CUMROCKET</t>
  </si>
  <si>
    <t>FIDA:BONFIDA</t>
  </si>
  <si>
    <t>VAI:VAI</t>
  </si>
  <si>
    <t>TWT:TRUST WALLET TOKEN</t>
  </si>
  <si>
    <t>WOOP:WOONKLY POWER</t>
  </si>
  <si>
    <t>PCOIN2:PCOIN NETWORK</t>
  </si>
  <si>
    <t>REEF:REEF.FINANCE</t>
  </si>
  <si>
    <t>ERN:ETHERNITY</t>
  </si>
  <si>
    <t>HTR:HATHOR</t>
  </si>
  <si>
    <t>HYDRA:HYDRA CHAIN</t>
  </si>
  <si>
    <t>AETH2:ANKRETH</t>
  </si>
  <si>
    <t>TFT4:TRON FLIGHT TICKET</t>
  </si>
  <si>
    <t>MASK:MASK NETWORK</t>
  </si>
  <si>
    <t>STC4:STUDENT COIN</t>
  </si>
  <si>
    <t>GALA:GALA</t>
  </si>
  <si>
    <t>SUPER3:SUPERFARM</t>
  </si>
  <si>
    <t>OXEN:OXEN</t>
  </si>
  <si>
    <t>PAID:PAID NETWORK</t>
  </si>
  <si>
    <t>BAR:FC BARCELONA FAN TOKEN</t>
  </si>
  <si>
    <t>RGT2:RARI GOVERNANCE TOKEN</t>
  </si>
  <si>
    <t>BMI:BRIDGE MUTUAL</t>
  </si>
  <si>
    <t>AUCTION:BOUNCE TOKEN</t>
  </si>
  <si>
    <t>SPI2:SHOPPING.IO</t>
  </si>
  <si>
    <t>PDEX:POLKADEX</t>
  </si>
  <si>
    <t>GLCH:GLITCH</t>
  </si>
  <si>
    <t>TRU:TRUEFI</t>
  </si>
  <si>
    <t>CUDOS:CUDOS TOKEN</t>
  </si>
  <si>
    <t>CARDS:CARDSTARTER</t>
  </si>
  <si>
    <t>AIOZ:AIOZ NETWORK</t>
  </si>
  <si>
    <t>FLUX4:FLUX</t>
  </si>
  <si>
    <t>STAX:STABLEX TOKEN</t>
  </si>
  <si>
    <t>ILV:ILLUVIUM</t>
  </si>
  <si>
    <t>FXF:FINXFLO</t>
  </si>
  <si>
    <t>ARMOR:ARMOR</t>
  </si>
  <si>
    <t>OLY:OLYSEUM</t>
  </si>
  <si>
    <t>100X:100XCOIN</t>
  </si>
  <si>
    <t>TORN:TORN TOKEN</t>
  </si>
  <si>
    <t>ARIA20:ARIANEE</t>
  </si>
  <si>
    <t>NFTX:NFTX</t>
  </si>
  <si>
    <t>HOPR:HOPR</t>
  </si>
  <si>
    <t>HOTCROSS:HOT CROSS</t>
  </si>
  <si>
    <t>SGT2:SPACEGOAT TOKEN</t>
  </si>
  <si>
    <t>YFIII2:YEARFI.FINANCE</t>
  </si>
  <si>
    <t>ALPACA:ALPACA</t>
  </si>
  <si>
    <t>XEP2:ELECTRA PROTOCOL</t>
  </si>
  <si>
    <t>MOD2:MODEFI</t>
  </si>
  <si>
    <t>EVZ2:ELECTRIC VEHICLE ZONE</t>
  </si>
  <si>
    <t>KUMA:KUMA INU</t>
  </si>
  <si>
    <t>UBX:UBIX.NETWORK</t>
  </si>
  <si>
    <t>ETM4:ELECTROMCOIN</t>
  </si>
  <si>
    <t>FINE:REFINABLE</t>
  </si>
  <si>
    <t>VSP:VESPER FINANCE</t>
  </si>
  <si>
    <t>BTCST:BITCOIN STANDARD HASHRATE TOKEN</t>
  </si>
  <si>
    <t>APY2:APY.FINANCE</t>
  </si>
  <si>
    <t>STACK:DEX STACK FINANCE</t>
  </si>
  <si>
    <t>VOX:VOXELS</t>
  </si>
  <si>
    <t>BCT8:BITCOINTRUST</t>
  </si>
  <si>
    <t>ACM:AC MILAN FAN TOKEN</t>
  </si>
  <si>
    <t>NVT3:NERVENETWORK</t>
  </si>
  <si>
    <t>BAO:BAO FINANCE</t>
  </si>
  <si>
    <t>LCMS:LCMS</t>
  </si>
  <si>
    <t>MPH3:88MPH</t>
  </si>
  <si>
    <t>XED:EXEEDME</t>
  </si>
  <si>
    <t>VAL3:VALIDITY</t>
  </si>
  <si>
    <t>DORA:DORA FACTORY</t>
  </si>
  <si>
    <t>SLC4:SUPPORT LISTING COIN</t>
  </si>
  <si>
    <t>DIGG:BADGER DAO REBASE TOKEN</t>
  </si>
  <si>
    <t>BMC3:BOUNTYMARKETCAP</t>
  </si>
  <si>
    <t>X2P:XENON PAY</t>
  </si>
  <si>
    <t>CWS:CROWNS</t>
  </si>
  <si>
    <t>KONO:KONOMI NETWORK</t>
  </si>
  <si>
    <t>NORD:NORD FINANCE</t>
  </si>
  <si>
    <t>EMB3:EMBERCOIN</t>
  </si>
  <si>
    <t>TRIAS:TRIAS TOKEN</t>
  </si>
  <si>
    <t>POLX:POLYLASTIC</t>
  </si>
  <si>
    <t>PMON:POLKAMON</t>
  </si>
  <si>
    <t>PUSH:ETHEREUM PUSH NOTIFICATION SERVICE</t>
  </si>
  <si>
    <t>SPP:SHAPEPAY</t>
  </si>
  <si>
    <t>FOR3:FORTUBE</t>
  </si>
  <si>
    <t>KTN2:KATTANA</t>
  </si>
  <si>
    <t>PI:PLIAN</t>
  </si>
  <si>
    <t>BRG2:BRIDGE ORACLE</t>
  </si>
  <si>
    <t>ATI:ATILIUS VENTURE DEBT FUND</t>
  </si>
  <si>
    <t>NBU:NIMBUS PLATFORM</t>
  </si>
  <si>
    <t>SAITO:SAITO</t>
  </si>
  <si>
    <t>THUGS:THUGS TOKEN</t>
  </si>
  <si>
    <t>YAXIS:YAXIS</t>
  </si>
  <si>
    <t>WHITE:WHITEHEART</t>
  </si>
  <si>
    <t>CBK2:COBAK TOKEN</t>
  </si>
  <si>
    <t>K21:K21</t>
  </si>
  <si>
    <t>WATCH:YIELDWATCH</t>
  </si>
  <si>
    <t>HQZ:HQZCASH</t>
  </si>
  <si>
    <t>RAZOR:RAZOR NETWORK</t>
  </si>
  <si>
    <t>FXT2:FXT TOKEN</t>
  </si>
  <si>
    <t>APY:APYSWAP</t>
  </si>
  <si>
    <t>TECH:CRYPTOMEDA</t>
  </si>
  <si>
    <t>ODDZ:ODDZ</t>
  </si>
  <si>
    <t>PKF:POLKAFOUNDRY</t>
  </si>
  <si>
    <t>ROOK2:KEEPERDAO</t>
  </si>
  <si>
    <t>XEND:XEND FINANCE</t>
  </si>
  <si>
    <t>KEX:KIRA NETWORK</t>
  </si>
  <si>
    <t>STND:STANDARD PROTOCOL</t>
  </si>
  <si>
    <t>EQZ:EQUALIZER</t>
  </si>
  <si>
    <t>SFUND:SEEDIFY.FUND</t>
  </si>
  <si>
    <t>PROS:PROSPER</t>
  </si>
  <si>
    <t>URUS:URUS</t>
  </si>
  <si>
    <t>BDO:BDOLLAR</t>
  </si>
  <si>
    <t>BSCS:BSC STATION</t>
  </si>
  <si>
    <t>RAZE:RAZE NETWORK</t>
  </si>
  <si>
    <t>BDP2:BIG DATA PROTOCOL</t>
  </si>
  <si>
    <t>CVR2:POLKACOVER</t>
  </si>
  <si>
    <t>DERI:DERI PROTOCOL</t>
  </si>
  <si>
    <t>TIDAL:TIDAL FINANCE</t>
  </si>
  <si>
    <t>NAOS:NAOS FINANCE</t>
  </si>
  <si>
    <t>ELONPEG:ELONPEG</t>
  </si>
  <si>
    <t>COL3:UNIT PROTOCOL</t>
  </si>
  <si>
    <t>POC:PANGEA OCEAN CLEANUP COIN</t>
  </si>
  <si>
    <t>LSS:LOSSLESS PROTOCOL</t>
  </si>
  <si>
    <t>UMB:UMBRELLA NETWORK</t>
  </si>
  <si>
    <t>YLD2:YIELD</t>
  </si>
  <si>
    <t>ROOM:OPTIONROOM</t>
  </si>
  <si>
    <t>FCL:FRACTAL</t>
  </si>
  <si>
    <t>DOWS:SHADOWS</t>
  </si>
  <si>
    <t>DYP:DEFI YIELD PROTOCOL</t>
  </si>
  <si>
    <t>EGG8:GOOSE FINANCE</t>
  </si>
  <si>
    <t>ALU:ALTURA</t>
  </si>
  <si>
    <t>GGIVE:GLOBALGIVE TOKEN</t>
  </si>
  <si>
    <t>DIO3:DIO COIN</t>
  </si>
  <si>
    <t>ONX2:ONX FINANCE</t>
  </si>
  <si>
    <t>HOGL:HOGL FINANCE</t>
  </si>
  <si>
    <t>MINT:PUBLIC MINT</t>
  </si>
  <si>
    <t>CLEANOCEAN:CLEANOCEAN</t>
  </si>
  <si>
    <t>ATE:ALBETRAGE</t>
  </si>
  <si>
    <t>UNIDX:UNIDEX</t>
  </si>
  <si>
    <t>BPRO3:B.PROTOCOL</t>
  </si>
  <si>
    <t>CLS:COLDSTACK</t>
  </si>
  <si>
    <t>BRY:BERRY DATA</t>
  </si>
  <si>
    <t>GAZE:GAZETV</t>
  </si>
  <si>
    <t>STZEN:STAKEDZEN</t>
  </si>
  <si>
    <t>SMARTCREDIT:SMARTCREDIT TOKEN</t>
  </si>
  <si>
    <t>WILD2:WILDER WORLD</t>
  </si>
  <si>
    <t>IDEA:IDEA TOKEN</t>
  </si>
  <si>
    <t>NGM:E-MONEY</t>
  </si>
  <si>
    <t>GS:GENESIS SHARDS</t>
  </si>
  <si>
    <t>KEK2:CRYPTOKEK.COM</t>
  </si>
  <si>
    <t>MNTIS:MANTIS COIN</t>
  </si>
  <si>
    <t>YBO:YOUNG BOYS FAN TOKEN</t>
  </si>
  <si>
    <t>TCHTX:THORECASH</t>
  </si>
  <si>
    <t>TEFCO:TEFCO TECH</t>
  </si>
  <si>
    <t>TICO3:TICOEX TOKEN</t>
  </si>
  <si>
    <t>TOPAZ:TOPAZ COIN</t>
  </si>
  <si>
    <t>TRAID:TRAID</t>
  </si>
  <si>
    <t>TRAT2:TRATIN</t>
  </si>
  <si>
    <t>TRICK:TRICKYCOIN</t>
  </si>
  <si>
    <t>TUBER:TOKENTUBER</t>
  </si>
  <si>
    <t>UNTD2:UNT CHAIN</t>
  </si>
  <si>
    <t>USDSB:USDS.B</t>
  </si>
  <si>
    <t>VESTX:VESTX</t>
  </si>
  <si>
    <t>VINCI:VINCI</t>
  </si>
  <si>
    <t>VNXLU:VNX</t>
  </si>
  <si>
    <t>VOLTZ:VOLTZ</t>
  </si>
  <si>
    <t>WIKEN:PROJECTWITH</t>
  </si>
  <si>
    <t>WMPRO:WORD OF MOUTH PRO</t>
  </si>
  <si>
    <t>XPAND:XPAND</t>
  </si>
  <si>
    <t>YUSDT:YELLOW TETHER</t>
  </si>
  <si>
    <t>ZEON2:ZEON HEX</t>
  </si>
  <si>
    <t>0XBUTT:BUTTCOIN</t>
  </si>
  <si>
    <t>AFCASH:AFRICUNIA BANK</t>
  </si>
  <si>
    <t>ARCONA:ARCONA</t>
  </si>
  <si>
    <t>ARLIZE:ARLIZE</t>
  </si>
  <si>
    <t>BOUNCY:BOUNCY</t>
  </si>
  <si>
    <t>CBUCKS:CRYPTOBUCKS</t>
  </si>
  <si>
    <t>CREDIT:CREDIT</t>
  </si>
  <si>
    <t>ETBOLD:AWARDS TOKEN PROJECT</t>
  </si>
  <si>
    <t>FRECNX:FRELDO</t>
  </si>
  <si>
    <t>FIRECX:FIRECASH</t>
  </si>
  <si>
    <t>HATCH2:HATCH</t>
  </si>
  <si>
    <t>HIPHOP:4HIPHOP</t>
  </si>
  <si>
    <t>INGRAM:INGRAM</t>
  </si>
  <si>
    <t>LATINO:LATINO TOKEN</t>
  </si>
  <si>
    <t>LCPLUS:LIFECARE PLUS</t>
  </si>
  <si>
    <t>LIQUID:NETKOIN LIQUID</t>
  </si>
  <si>
    <t>LMNTAL:LMNTAL</t>
  </si>
  <si>
    <t>NOLLAR:NOLLAR</t>
  </si>
  <si>
    <t>SPICE2:SPICETOKEN</t>
  </si>
  <si>
    <t>SPIRIT:SPIRIT</t>
  </si>
  <si>
    <t>SPRING:SPRINGROLE</t>
  </si>
  <si>
    <t>TCHAPP:TCH APP</t>
  </si>
  <si>
    <t>UNIFI2:UNIFI DEFI</t>
  </si>
  <si>
    <t>AFRITOK:AFRICAN TOKEN</t>
  </si>
  <si>
    <t>BIX1901:BIBOX BOND</t>
  </si>
  <si>
    <t>SMARTUP:SMARTUP</t>
  </si>
  <si>
    <t>TRADECOIN:TRADECOIN</t>
  </si>
  <si>
    <t>BLASTWAVES:BLASTWAVES</t>
  </si>
  <si>
    <t>INSTANTCOIN:INSTANTCOIN</t>
  </si>
  <si>
    <t>A1:A1 COIN</t>
  </si>
  <si>
    <t>CP:CRYPTOPROFILE</t>
  </si>
  <si>
    <t>DF:DFORCE TOKEN</t>
  </si>
  <si>
    <t>EA:EA TOKEN</t>
  </si>
  <si>
    <t>EM:EMPOW</t>
  </si>
  <si>
    <t>JT:JUBI TOKEN</t>
  </si>
  <si>
    <t>L9:LOTTO9</t>
  </si>
  <si>
    <t>LC:LAOCON</t>
  </si>
  <si>
    <t>OC:OCEANCHAIN</t>
  </si>
  <si>
    <t>ON:OFIN TOKEN</t>
  </si>
  <si>
    <t>RI:RI TOKEN</t>
  </si>
  <si>
    <t>RM:RIVERMOUNT</t>
  </si>
  <si>
    <t>YT:CHERRY TOKEN</t>
  </si>
  <si>
    <t>$PC:STAR PACIFIC COIN</t>
  </si>
  <si>
    <t>1AI:1AI</t>
  </si>
  <si>
    <t>3CS:CRYPTO CRICKET CLUB</t>
  </si>
  <si>
    <t>ACA:ACA NETWORK</t>
  </si>
  <si>
    <t>AFC:APIARY FUND COIN</t>
  </si>
  <si>
    <t>AFT:AFTI</t>
  </si>
  <si>
    <t>AGS:AEGISDEFI</t>
  </si>
  <si>
    <t>AGT:AGATE</t>
  </si>
  <si>
    <t>AHF:AMERICANHORROR.FINANCE</t>
  </si>
  <si>
    <t>AIM:MODIHOST</t>
  </si>
  <si>
    <t>AKN:AKOIN</t>
  </si>
  <si>
    <t>ALA:ALA</t>
  </si>
  <si>
    <t>ALD:ALUDRA NETWORK</t>
  </si>
  <si>
    <t>ANK:ALPHALINK</t>
  </si>
  <si>
    <t>APE:APECOIN</t>
  </si>
  <si>
    <t>ASM:ASSEMBLE PROTOCOL</t>
  </si>
  <si>
    <t>ASY:ASYAGRO</t>
  </si>
  <si>
    <t>AVC:AVCCOIN</t>
  </si>
  <si>
    <t>AWG:AURUSGOLD</t>
  </si>
  <si>
    <t>AXI:AXIOMS</t>
  </si>
  <si>
    <t>AXN:AXION</t>
  </si>
  <si>
    <t>AZR:AEZORA</t>
  </si>
  <si>
    <t>AZU:AZULTEC</t>
  </si>
  <si>
    <t>B1P:B ONE PAYMENT</t>
  </si>
  <si>
    <t>BCR:BANKCOIN RESERVE</t>
  </si>
  <si>
    <t>BFI:BITDEFI</t>
  </si>
  <si>
    <t>BHP:BHP COIN</t>
  </si>
  <si>
    <t>BIA:BILAXY</t>
  </si>
  <si>
    <t>BKS:BARKIS NETWORK</t>
  </si>
  <si>
    <t>BMP:BROTHER MUSIC PLATFORM</t>
  </si>
  <si>
    <t>BMW:MAKE BUSINESS THE WORLD</t>
  </si>
  <si>
    <t>BNA:BANANATOK</t>
  </si>
  <si>
    <t>BNP:BENEPIT PROTOCOL</t>
  </si>
  <si>
    <t>BNS:BNS TOKEN</t>
  </si>
  <si>
    <t>BNZ:BONEZYARD</t>
  </si>
  <si>
    <t>BOO:BOOGLE</t>
  </si>
  <si>
    <t>BR2:BLOCKCHAIN REPUTATION</t>
  </si>
  <si>
    <t>BRI:BFINE</t>
  </si>
  <si>
    <t>BSE:BUY-SELL</t>
  </si>
  <si>
    <t>BSY:BESTAY</t>
  </si>
  <si>
    <t>BTE:BITSERIAL</t>
  </si>
  <si>
    <t>BTV:BITVALVE</t>
  </si>
  <si>
    <t>BTY:BITYUAN</t>
  </si>
  <si>
    <t>BVL:BULLSWAP EXCHANGE</t>
  </si>
  <si>
    <t>CBE:THE CHAIN OF BUSINESS ENTERTAINMENT</t>
  </si>
  <si>
    <t>CBR:CYBERCOIN</t>
  </si>
  <si>
    <t>CCE:CLOUDCOIN</t>
  </si>
  <si>
    <t>CHM:CRYPTOCHROME</t>
  </si>
  <si>
    <t>CNG:CNG CASINO</t>
  </si>
  <si>
    <t>COM:COMMUNITY TOKEN</t>
  </si>
  <si>
    <t>CPI:CRYPTO PRICE INDEX</t>
  </si>
  <si>
    <t>CPU:CPUCOIN</t>
  </si>
  <si>
    <t>CRO:CRONUSCOIN</t>
  </si>
  <si>
    <t>CSO:COINSTO</t>
  </si>
  <si>
    <t>CVL:CIVIL</t>
  </si>
  <si>
    <t>CVR:COVIR</t>
  </si>
  <si>
    <t>CWN:CRYPTO WORLD NEWS</t>
  </si>
  <si>
    <t>CYF:CY FINANCE</t>
  </si>
  <si>
    <t>DCD:DIGITAL CURRENCY DAILY</t>
  </si>
  <si>
    <t>DCH:DOCH COIN</t>
  </si>
  <si>
    <t>DEC:DECENTR</t>
  </si>
  <si>
    <t>DEP:DEAP COIN</t>
  </si>
  <si>
    <t>DFF:DEFI FIREFLY</t>
  </si>
  <si>
    <t>DFX:DEFINITEX</t>
  </si>
  <si>
    <t>DHT:DHEDGE</t>
  </si>
  <si>
    <t>DMG:DMM GOVERNANCE TOKEN</t>
  </si>
  <si>
    <t>DPI:DEFI PULSE INDEX</t>
  </si>
  <si>
    <t>DSC:DASH CASH</t>
  </si>
  <si>
    <t>DSS:DSS TOKEN</t>
  </si>
  <si>
    <t>DT4:DCOIN TOKEN</t>
  </si>
  <si>
    <t>DTC:DAATTY COIN</t>
  </si>
  <si>
    <t>DVI:DVISION NETWORK</t>
  </si>
  <si>
    <t>DXD:DXDAO</t>
  </si>
  <si>
    <t>E01:ELEVEN01</t>
  </si>
  <si>
    <t>EDI:FREIGHT TRUST AND CLEARING NETWORK</t>
  </si>
  <si>
    <t>EFG:ECOC FINANCIAL GROWTH</t>
  </si>
  <si>
    <t>EMN:EMINENCE</t>
  </si>
  <si>
    <t>EOC:EVERYONESCRYPTO</t>
  </si>
  <si>
    <t>EPG:ENCOCOINPLUS</t>
  </si>
  <si>
    <t>ERS:EROS</t>
  </si>
  <si>
    <t>ETO:ESSEK TOV</t>
  </si>
  <si>
    <t>EUT:ETHER UTILITY TOKEN</t>
  </si>
  <si>
    <t>EYE:BEHODLER</t>
  </si>
  <si>
    <t>EZY:EZYCOUNT</t>
  </si>
  <si>
    <t>FAP:FAPCOIN</t>
  </si>
  <si>
    <t>FBT:FANBI TOKEN</t>
  </si>
  <si>
    <t>FC4:FEICOIN</t>
  </si>
  <si>
    <t>FCD:FUTURE-CASH DIGITAL</t>
  </si>
  <si>
    <t>FCH:FANÁTICOS CASH</t>
  </si>
  <si>
    <t>FDO:FIDUCIA</t>
  </si>
  <si>
    <t>FF1:TWO PRIME FF1 TOKEN</t>
  </si>
  <si>
    <t>FFF:FORCE FOR FAST</t>
  </si>
  <si>
    <t>FIS:STAFI PROTOCOL</t>
  </si>
  <si>
    <t>FIX:FUSIONCHAIN</t>
  </si>
  <si>
    <t>FNK:FUNKEYPAY</t>
  </si>
  <si>
    <t>FNT:FALCON TOKEN</t>
  </si>
  <si>
    <t>FR8:FR8 NETWORK</t>
  </si>
  <si>
    <t>FSP:FLASHSWAP</t>
  </si>
  <si>
    <t>FSW:FALCONSWAP</t>
  </si>
  <si>
    <t>FWT:FREEWAY TOKEN</t>
  </si>
  <si>
    <t>FX1:FANZY</t>
  </si>
  <si>
    <t>FZY:FRENZY</t>
  </si>
  <si>
    <t>FZZ:F1ZZ</t>
  </si>
  <si>
    <t>G50:GRAND50</t>
  </si>
  <si>
    <t>GCX:GERMANCOIN</t>
  </si>
  <si>
    <t>GHD:GIFTEDHANDS</t>
  </si>
  <si>
    <t>GOF:GOLFF</t>
  </si>
  <si>
    <t>GPO:GALAXY POOL COIN</t>
  </si>
  <si>
    <t>GSX:GOLD SECURED CURRENCY</t>
  </si>
  <si>
    <t>GTF:GTF TOKEN</t>
  </si>
  <si>
    <t>H3X:H3X</t>
  </si>
  <si>
    <t>HMB:HAMEBI TOKEN</t>
  </si>
  <si>
    <t>HOX:HUG OXYTOCIN</t>
  </si>
  <si>
    <t>HXY:HXY MONEY</t>
  </si>
  <si>
    <t>ICK:$ICK MASK</t>
  </si>
  <si>
    <t>IDK:IDK</t>
  </si>
  <si>
    <t>IPR:I-PRO TOKEN</t>
  </si>
  <si>
    <t>IQC:INTELLIGENCE QUICKLY CHAIN</t>
  </si>
  <si>
    <t>IST:ISHOP TOKEN</t>
  </si>
  <si>
    <t>IYF:IYF.FINANCE</t>
  </si>
  <si>
    <t>IZB:IZERBLACK</t>
  </si>
  <si>
    <t>JFI:JACKPOOL.FINANCE</t>
  </si>
  <si>
    <t>JSB:JSB FOUNDATION</t>
  </si>
  <si>
    <t>JUS:JUST NETWORK</t>
  </si>
  <si>
    <t>KAL:KALEIDO</t>
  </si>
  <si>
    <t>KAU:KAURI</t>
  </si>
  <si>
    <t>KDG:KINGDOM GAME</t>
  </si>
  <si>
    <t>KFC:CHICKEN</t>
  </si>
  <si>
    <t>KIF:KITTENFINANCE</t>
  </si>
  <si>
    <t>KIP:KHIPU TOKEN</t>
  </si>
  <si>
    <t>KMW:KEPLER NETWORK</t>
  </si>
  <si>
    <t>KNV:KANVA</t>
  </si>
  <si>
    <t>KOK:KEYSTONE OF OPPORTUNITY AND KNOWLEDGE</t>
  </si>
  <si>
    <t>KTC:KWATCOIN</t>
  </si>
  <si>
    <t>KTT:K TUNE</t>
  </si>
  <si>
    <t>KVA:KEVACOIN</t>
  </si>
  <si>
    <t>KVI:KVI</t>
  </si>
  <si>
    <t>KVN:KARVUON</t>
  </si>
  <si>
    <t>LAR:LINKART</t>
  </si>
  <si>
    <t>LCG:LCG ENERGY</t>
  </si>
  <si>
    <t>LID:LIQUIDITY DIVIDENDS PROTOCOL</t>
  </si>
  <si>
    <t>LMS:LUMOS</t>
  </si>
  <si>
    <t>LOA:LOA PROTOCOL</t>
  </si>
  <si>
    <t>LOV:THE LOVECHAIN</t>
  </si>
  <si>
    <t>LSV:LITECOIN SV</t>
  </si>
  <si>
    <t>LTP:LIFETIONCOIN</t>
  </si>
  <si>
    <t>LTX:LATTICE TOKEN</t>
  </si>
  <si>
    <t>LUA:LUA TOKEN</t>
  </si>
  <si>
    <t>LYR:LYRA</t>
  </si>
  <si>
    <t>MAZ:MAZZUMA</t>
  </si>
  <si>
    <t>MBM:MOBILUM</t>
  </si>
  <si>
    <t>MCI:MULTI CHANNEL INFLUENCER</t>
  </si>
  <si>
    <t>MCR:MONOLITHOSDAO</t>
  </si>
  <si>
    <t>MCX:MACHI X</t>
  </si>
  <si>
    <t>MDU:MDUKEY</t>
  </si>
  <si>
    <t>MDX:MIDEX</t>
  </si>
  <si>
    <t>MEK:MERAKI COIN</t>
  </si>
  <si>
    <t>MLK:MIL.K ALLIANCE</t>
  </si>
  <si>
    <t>MLR:MEGALTR</t>
  </si>
  <si>
    <t>MPS:MT PELERIN SHARES</t>
  </si>
  <si>
    <t>MRL:MORELO</t>
  </si>
  <si>
    <t>MSB:MISBLOC</t>
  </si>
  <si>
    <t>MTI:MTI FINANCE</t>
  </si>
  <si>
    <t>MTS:METIS</t>
  </si>
  <si>
    <t>MVH:MOVIECASH</t>
  </si>
  <si>
    <t>NAN:NANTRADE</t>
  </si>
  <si>
    <t>NBS:NEW BITSHARES</t>
  </si>
  <si>
    <t>NDN:NDN LINK</t>
  </si>
  <si>
    <t>NFY:NON-FUNGIBLE YEARN</t>
  </si>
  <si>
    <t>NNN:NOVEM NNN GOLD TOKEN</t>
  </si>
  <si>
    <t>NRV:NERVE</t>
  </si>
  <si>
    <t>NSE:NEO SMART ENERGY</t>
  </si>
  <si>
    <t>NVA:NEEVA DEFI</t>
  </si>
  <si>
    <t>OBR:ORDER OF THE BLACK ROSE</t>
  </si>
  <si>
    <t>OCB:BLOCKMAX</t>
  </si>
  <si>
    <t>OGX:ORGANIX</t>
  </si>
  <si>
    <t>OPM:OMEGA PROTOCOL MONEY</t>
  </si>
  <si>
    <t>ORO:OROPOCKET</t>
  </si>
  <si>
    <t>OZI:OZINEX TOKEN</t>
  </si>
  <si>
    <t>PCI:PAYPROTOCOL PAYCOIN</t>
  </si>
  <si>
    <t>PDF:PORT OF DEFI NETWORK</t>
  </si>
  <si>
    <t>PGX:PHIGOLD</t>
  </si>
  <si>
    <t>PJM:PAJAMA.FINANCE</t>
  </si>
  <si>
    <t>POL:PROOF OF LIQUIDITY</t>
  </si>
  <si>
    <t>POX:POLLUX COIN</t>
  </si>
  <si>
    <t>PQT:PREDIQT</t>
  </si>
  <si>
    <t>PVG:PILNETTE</t>
  </si>
  <si>
    <t>PWZ:POWERLIGHT</t>
  </si>
  <si>
    <t>PXP:POINTPAY</t>
  </si>
  <si>
    <t>QBZ:QUEENBEE</t>
  </si>
  <si>
    <t>QHC:QCHI CHAIN</t>
  </si>
  <si>
    <t>QTV:QUISH</t>
  </si>
  <si>
    <t>R2R:CITIOS</t>
  </si>
  <si>
    <t>RAC:RAC</t>
  </si>
  <si>
    <t>RAE:RECEIVE ACCESS ECOSYSTEM</t>
  </si>
  <si>
    <t>RFE:RICH FOR EVER</t>
  </si>
  <si>
    <t>RHP:RHYPTON</t>
  </si>
  <si>
    <t>RLR:RELAYER NETWORK</t>
  </si>
  <si>
    <t>RNX:ROONEX</t>
  </si>
  <si>
    <t>ROR:ROR UNIVERSE</t>
  </si>
  <si>
    <t>RRW:RRW</t>
  </si>
  <si>
    <t>RSP:RESOPER</t>
  </si>
  <si>
    <t>RSV:RESERVE TOKEN</t>
  </si>
  <si>
    <t>RUC:RUSH TOKEN</t>
  </si>
  <si>
    <t>RVX:RIVEX</t>
  </si>
  <si>
    <t>RWN:ROWAN ENERGY BLOCKCHAIN</t>
  </si>
  <si>
    <t>RWS:ROBONOMICS WEB SERVICES</t>
  </si>
  <si>
    <t>S3P:S3 WALLET</t>
  </si>
  <si>
    <t>SBP:SOUND BLOCKCHAIN PROTOCOL</t>
  </si>
  <si>
    <t>SFR:SAFARI</t>
  </si>
  <si>
    <t>SGC:SUDAN GOLD COIN</t>
  </si>
  <si>
    <t>SIT:SITKOIN</t>
  </si>
  <si>
    <t>SNB:SYNCHROBIT</t>
  </si>
  <si>
    <t>SNG:SINERGIA</t>
  </si>
  <si>
    <t>SOX:SONICX FOUNDATION</t>
  </si>
  <si>
    <t>STG:STEGOS</t>
  </si>
  <si>
    <t>SVT:SALVATIO</t>
  </si>
  <si>
    <t>SWG:SWIRGE</t>
  </si>
  <si>
    <t>SYC:SYNCHROCOIN</t>
  </si>
  <si>
    <t>TAD:TADPOLE FINANCE</t>
  </si>
  <si>
    <t>TAI:TAI</t>
  </si>
  <si>
    <t>TEM:TEMTUM</t>
  </si>
  <si>
    <t>TFE:TFE</t>
  </si>
  <si>
    <t>GZIL:GOVERNANCE ZILLIQA</t>
  </si>
  <si>
    <t>HAPI:HAPI</t>
  </si>
  <si>
    <t>HBT3:HABITAT</t>
  </si>
  <si>
    <t>HNY4:HONEY</t>
  </si>
  <si>
    <t>HYPR:HYPERNET</t>
  </si>
  <si>
    <t>ICEX:ICEX</t>
  </si>
  <si>
    <t>ICP2:INTERNET COMPUTER (IOU)</t>
  </si>
  <si>
    <t>IDX2:INDEX CHAIN</t>
  </si>
  <si>
    <t>IETH:IETH</t>
  </si>
  <si>
    <t>IMX2:IMPERMAX</t>
  </si>
  <si>
    <t>ISAL:ISALCOIN</t>
  </si>
  <si>
    <t>IXRP:IXRP</t>
  </si>
  <si>
    <t>IXTZ:IXTZ</t>
  </si>
  <si>
    <t>JAM2:JAMBO</t>
  </si>
  <si>
    <t>JIGG:JIGGLY FINANCE</t>
  </si>
  <si>
    <t>JULB:JUSTLIQUIDITY BINANCE</t>
  </si>
  <si>
    <t>KALI:KALICOIN</t>
  </si>
  <si>
    <t>KINE:KINE PROTOCOL</t>
  </si>
  <si>
    <t>KOIN:KOINOS</t>
  </si>
  <si>
    <t>LABS:LABS</t>
  </si>
  <si>
    <t>LDFI:LENDEFI TOKEN</t>
  </si>
  <si>
    <t>LDN2:LUDENA PROTOCOL</t>
  </si>
  <si>
    <t>LED3:LEDGIS</t>
  </si>
  <si>
    <t>LOCC:LOW ORBIT CRYPTO CANNON</t>
  </si>
  <si>
    <t>MBOX:MONEYBOX</t>
  </si>
  <si>
    <t>MBTC:MSTABLE BTC</t>
  </si>
  <si>
    <t>MCC4:MINECRAFT COIN</t>
  </si>
  <si>
    <t>MDX4:MANDALA EXCHANGE TOKEN</t>
  </si>
  <si>
    <t>MOOV:DOTMOVS</t>
  </si>
  <si>
    <t>MSP2:MOON SHIP</t>
  </si>
  <si>
    <t>NCAT:NCAT TOKEN</t>
  </si>
  <si>
    <t>NFTL:NFT FANTASY LEAGUE</t>
  </si>
  <si>
    <t>OCC2:OCCAMFI</t>
  </si>
  <si>
    <t>OUR3:OUR PAY</t>
  </si>
  <si>
    <t>PACT:PACT TOKEN</t>
  </si>
  <si>
    <t>PEPR:PEPPER TOKEN</t>
  </si>
  <si>
    <t>PIS2:POLKAINSURE FINANCE</t>
  </si>
  <si>
    <t>POLC:POLKACITY</t>
  </si>
  <si>
    <t>PRCY:PRCY COIN</t>
  </si>
  <si>
    <t>RAM2:HERUM</t>
  </si>
  <si>
    <t>RARE:UNIQUE ONE</t>
  </si>
  <si>
    <t>RICE:RICE TOKEN</t>
  </si>
  <si>
    <t>RICH:RICH TOKEN</t>
  </si>
  <si>
    <t>SADA:SADA</t>
  </si>
  <si>
    <t>SAS2:STAND SHARE</t>
  </si>
  <si>
    <t>SBCH:SBCH</t>
  </si>
  <si>
    <t>SBNB:SBNB</t>
  </si>
  <si>
    <t>SCEX:SCEX</t>
  </si>
  <si>
    <t>SCV2:SCVTOKEN</t>
  </si>
  <si>
    <t>SDAO:SINGULARITYDAO</t>
  </si>
  <si>
    <t>SDOG:SMALL DOGE</t>
  </si>
  <si>
    <t>SETH:SETH</t>
  </si>
  <si>
    <t>SEUR:SEUR</t>
  </si>
  <si>
    <t>SHFT:SHYFT TOKEN</t>
  </si>
  <si>
    <t>SHIH:SHIH TZU</t>
  </si>
  <si>
    <t>SLME:SLIME FINANCE</t>
  </si>
  <si>
    <t>SLTC:SLTC</t>
  </si>
  <si>
    <t>SOBA:SOBA TOKEN</t>
  </si>
  <si>
    <t>SOIL:SOIL</t>
  </si>
  <si>
    <t>SWOP:SWOP TOKEN</t>
  </si>
  <si>
    <t>SXAG:SXAG</t>
  </si>
  <si>
    <t>SXAU:SXAU</t>
  </si>
  <si>
    <t>SXMR:SXMR</t>
  </si>
  <si>
    <t>SXRP:SXRP</t>
  </si>
  <si>
    <t>SXTZ:SXTZ</t>
  </si>
  <si>
    <t>T.CX:AT&amp;T</t>
  </si>
  <si>
    <t>TAXI:TAXI.FINANCE</t>
  </si>
  <si>
    <t>TEN2:TENET</t>
  </si>
  <si>
    <t>THRS:THERIOS</t>
  </si>
  <si>
    <t>TIDE:TIDE PROTOCOL</t>
  </si>
  <si>
    <t>TMCN:TIMECOINPROTOCOL</t>
  </si>
  <si>
    <t>TOP3:TOKENSWAP</t>
  </si>
  <si>
    <t>TRDG:TARDIGRADES.FINANCE</t>
  </si>
  <si>
    <t>TRDL:STRUDEL FINANCE</t>
  </si>
  <si>
    <t>TRL2:TRO LITE</t>
  </si>
  <si>
    <t>TRU2:TRUEBIT PROTOCOL</t>
  </si>
  <si>
    <t>TTC5:TTCRYPTO</t>
  </si>
  <si>
    <t>TYC2:TYCOON</t>
  </si>
  <si>
    <t>U.CX:UNITY SOFTWARE INC.</t>
  </si>
  <si>
    <t>UNCX:UNICRYPT</t>
  </si>
  <si>
    <t>UNDG:UNIDEXGAS</t>
  </si>
  <si>
    <t>UNO2:UNORE</t>
  </si>
  <si>
    <t>VISR:VISOR</t>
  </si>
  <si>
    <t>VNTW:VALUE NETWORK TOKEN</t>
  </si>
  <si>
    <t>VRX2:VEROX</t>
  </si>
  <si>
    <t>WAR2:NFT WARS</t>
  </si>
  <si>
    <t>WBNB:WRAPPED BNB</t>
  </si>
  <si>
    <t>WISE:WISE TOKEN</t>
  </si>
  <si>
    <t>WIZ2:WIZARD</t>
  </si>
  <si>
    <t>WSUM:WRAPPED SUMCOIN</t>
  </si>
  <si>
    <t>XCH2:CHIA NETWORK (IOU)</t>
  </si>
  <si>
    <t>XDAI:XDAI</t>
  </si>
  <si>
    <t>XTK2:XTOKEN</t>
  </si>
  <si>
    <t>XUSD:XUSD STABLE</t>
  </si>
  <si>
    <t>YAPE:GORILLAYIELD</t>
  </si>
  <si>
    <t>YFTE:YFTETHER</t>
  </si>
  <si>
    <t>YPRO:YPRO FINANCE</t>
  </si>
  <si>
    <t>Z.CX:ZILLOW</t>
  </si>
  <si>
    <t>ZERO:ZERO EXCHANGE</t>
  </si>
  <si>
    <t>ZUSD:ZYTARA DOLLAR</t>
  </si>
  <si>
    <t>ZWAP:ZILSWAP</t>
  </si>
  <si>
    <t>XHDX:HYDRADX</t>
  </si>
  <si>
    <t>$PEPE:$PEPE COIN</t>
  </si>
  <si>
    <t>AG.CX:FIRST MAJESTIC SILVER CORP.</t>
  </si>
  <si>
    <t>AKITA:AKITA INU</t>
  </si>
  <si>
    <t>ALGOP:ALGOPAINTER</t>
  </si>
  <si>
    <t>ALLEY:ALLEY TOKEN</t>
  </si>
  <si>
    <t>ALUSD:ALCHEMIX USD</t>
  </si>
  <si>
    <t>AUTO3:AUTOV2</t>
  </si>
  <si>
    <t>BB.CX:BLACKBERRY TOKENIZED STOCK</t>
  </si>
  <si>
    <t>BDIGG:BADGER DAO REBASE ERC20 TOKEN</t>
  </si>
  <si>
    <t>BE.CX:BLOOM ENERGY CORPORATION</t>
  </si>
  <si>
    <t>BEST3:BITCOIN AND ETHEREUM STANDARD TOKEN</t>
  </si>
  <si>
    <t>BIFI3:BIFI TOKEN</t>
  </si>
  <si>
    <t>BLANK:BLANK</t>
  </si>
  <si>
    <t>BP.CX:BP - USD</t>
  </si>
  <si>
    <t>BRIBE:BRIBE PROTOCOL</t>
  </si>
  <si>
    <t>BRICK:FORTNITEBR BRICKS</t>
  </si>
  <si>
    <t>BONUS:BONUS</t>
  </si>
  <si>
    <t>CANDY:CRYPTO CANDY</t>
  </si>
  <si>
    <t>CBANK:CRYPTOBANK</t>
  </si>
  <si>
    <t>COSHI:COSHI INU</t>
  </si>
  <si>
    <t>CUSD3:CUSD CURRENCY</t>
  </si>
  <si>
    <t>DITTO:DITTO MONEY</t>
  </si>
  <si>
    <t>DOGEN:DOGEN FINANCE</t>
  </si>
  <si>
    <t>DONUT:DONUT</t>
  </si>
  <si>
    <t>DSWAP:DEFINEX</t>
  </si>
  <si>
    <t>EA.CX:ELECTRONIC ARTS</t>
  </si>
  <si>
    <t>EMAX2:ETHEREUMMAX</t>
  </si>
  <si>
    <t>EULER:EULERS.TOOLS TOKEN</t>
  </si>
  <si>
    <t>FE.CX:FIRSTENERGY CORP.</t>
  </si>
  <si>
    <t>FLEX2:FLEX</t>
  </si>
  <si>
    <t>CCS:CLOUTCONTRACTS</t>
  </si>
  <si>
    <t>AMPLE:AMPLESWAP</t>
  </si>
  <si>
    <t>KLTR:KOLLECTOR</t>
  </si>
  <si>
    <t>COMFI:COMPLIFI</t>
  </si>
  <si>
    <t>BTCIX:BITCOLOJIX</t>
  </si>
  <si>
    <t>DOUGH:DOUGH</t>
  </si>
  <si>
    <t>IGN:INFINITY GAME NFT</t>
  </si>
  <si>
    <t>PEEPS:THE PEOPLE’S COIN</t>
  </si>
  <si>
    <t>JOKER:JOKER COIN</t>
  </si>
  <si>
    <t>MAU:EGYPTIAN MAU</t>
  </si>
  <si>
    <t>CSC:CRYPTO SOCCER</t>
  </si>
  <si>
    <t>ATH:AETHERV2</t>
  </si>
  <si>
    <t>WEMP:WOMEN EMPOWERMENT TOKEN</t>
  </si>
  <si>
    <t>GOTEM:GOTEM</t>
  </si>
  <si>
    <t>CAMP:CAMP</t>
  </si>
  <si>
    <t>HLINK:HYDROLINK</t>
  </si>
  <si>
    <t>CPOS:CPOS CLOUD PAYMENT</t>
  </si>
  <si>
    <t>CLD:CRYPTOPIA LAND DOLLAR</t>
  </si>
  <si>
    <t>KSHIBA:KAWAI SHIBA</t>
  </si>
  <si>
    <t>COW:CASHCOW</t>
  </si>
  <si>
    <t>CS:COIN SACK</t>
  </si>
  <si>
    <t>LUD:LUDOS PROTOCOL</t>
  </si>
  <si>
    <t>BUMP:BABYPUMPKIN FINANCE</t>
  </si>
  <si>
    <t>OWL:OWLDAO</t>
  </si>
  <si>
    <t>UNFT:ULTIMATE NFT</t>
  </si>
  <si>
    <t>CFB:FINBET</t>
  </si>
  <si>
    <t>MAUSDC:MATIC AAVE INTEREST BEARING USDC</t>
  </si>
  <si>
    <t>VEGI:VEGETA INU</t>
  </si>
  <si>
    <t>ALI:ALITA</t>
  </si>
  <si>
    <t>WAD:WARDEN</t>
  </si>
  <si>
    <t>BRAND:BRANDPAD FINANCE</t>
  </si>
  <si>
    <t>FIG:FLOWCOM</t>
  </si>
  <si>
    <t>DSC:DEFISPORTSCOIN</t>
  </si>
  <si>
    <t>MATE:MATE</t>
  </si>
  <si>
    <t>OMNIS:OMNIS</t>
  </si>
  <si>
    <t>ABIC:ARABIC</t>
  </si>
  <si>
    <t>PAKK:PAKKUN INU</t>
  </si>
  <si>
    <t>TRL:TRIALL</t>
  </si>
  <si>
    <t>ISH:INTERLUDE</t>
  </si>
  <si>
    <t>OWL:OWL TOKEN</t>
  </si>
  <si>
    <t>MILK:MILKSHAKE SWAP</t>
  </si>
  <si>
    <t>CODI:COIN DISCOVERY</t>
  </si>
  <si>
    <t>DUST:DUST</t>
  </si>
  <si>
    <t>1FLR:FLARE TOKEN</t>
  </si>
  <si>
    <t>MEO:MEO.TOOLS</t>
  </si>
  <si>
    <t>GSONIC:GOLD SONIC</t>
  </si>
  <si>
    <t>EX:ELITEX EX</t>
  </si>
  <si>
    <t>DEUS:DEUS FINANCE</t>
  </si>
  <si>
    <t>LUNR:LUNR TOKEN</t>
  </si>
  <si>
    <t>SBF:STONKBASE</t>
  </si>
  <si>
    <t>MINISHIB:MINISHIB ETH</t>
  </si>
  <si>
    <t>CAKEZILLA:CAKEZILLA</t>
  </si>
  <si>
    <t>FUFU:FUFU</t>
  </si>
  <si>
    <t>LUCY:LUCY INU</t>
  </si>
  <si>
    <t>GAIA:GAIA EVERWORLD</t>
  </si>
  <si>
    <t>BABYCARE:BABYCARE</t>
  </si>
  <si>
    <t>PLE:PLETHORI</t>
  </si>
  <si>
    <t>MEOW:MEOWSWAP</t>
  </si>
  <si>
    <t>DELOS:DELOS</t>
  </si>
  <si>
    <t>EVRT:EVEREST TOKEN</t>
  </si>
  <si>
    <t>BUFF:BUFFALO SWAP</t>
  </si>
  <si>
    <t>LOCK:CONTRACTO</t>
  </si>
  <si>
    <t>DDN:DEN DOMAINS</t>
  </si>
  <si>
    <t>ALUCARD:BABY ALUCARD</t>
  </si>
  <si>
    <t>MANA:GENESIS MANA</t>
  </si>
  <si>
    <t>SLUSH:ICESLUSH FINANCE</t>
  </si>
  <si>
    <t>KAINET:KAINET</t>
  </si>
  <si>
    <t>HEGG:HUMMINGBIRD EGG TOKEN</t>
  </si>
  <si>
    <t>SQUEEZE:SQUEEZE TOKEN</t>
  </si>
  <si>
    <t>PASS:PASSPORT FINANCE</t>
  </si>
  <si>
    <t>DIVINE:DIVINE DAO</t>
  </si>
  <si>
    <t>SHIBARMY:SHIB ARMY</t>
  </si>
  <si>
    <t>MTO:MERCHANT TOKEN</t>
  </si>
  <si>
    <t>ALP:COINALPHA</t>
  </si>
  <si>
    <t>CBD:GREENHEART CBD</t>
  </si>
  <si>
    <t>DIAMONDS:BLACK DIAMOND</t>
  </si>
  <si>
    <t>FAI:FAIRUM</t>
  </si>
  <si>
    <t>STAY:STAY TOKEN</t>
  </si>
  <si>
    <t>GDT:GORILLA DIAMOND</t>
  </si>
  <si>
    <t>ZINU:ZOMBIE INU</t>
  </si>
  <si>
    <t>AI:ARTIFICIAL INTELLIGENCE</t>
  </si>
  <si>
    <t>MEWTWO:MEWTWO INU</t>
  </si>
  <si>
    <t>KDC:FANDOM CHAIN</t>
  </si>
  <si>
    <t>LUTO:LUTO CASH</t>
  </si>
  <si>
    <t>RAYONS:RAYONS ENERGY</t>
  </si>
  <si>
    <t>GAL:GALLANT</t>
  </si>
  <si>
    <t>TTH:TETRAHEDRA</t>
  </si>
  <si>
    <t>INSTA:INSTARAISE</t>
  </si>
  <si>
    <t>KHALIFA:KHALIFA FINANCE</t>
  </si>
  <si>
    <t>BEPR:BLOCKCHAIN EURO PROJECT</t>
  </si>
  <si>
    <t>SAFESTAR:SAFESTAR</t>
  </si>
  <si>
    <t>CEVO:CARDANOEVO</t>
  </si>
  <si>
    <t>RPTC:REPTILIAN</t>
  </si>
  <si>
    <t>MSD:MONEYDEFISWAP</t>
  </si>
  <si>
    <t>SAFEARN:SAFE EARN</t>
  </si>
  <si>
    <t>PFT:PITCH FINANCE TOKEN</t>
  </si>
  <si>
    <t>WHE:WORTHWHILE</t>
  </si>
  <si>
    <t>CHAINCADE:CHAINCADE</t>
  </si>
  <si>
    <t>PUN:CRYPTOPUNT</t>
  </si>
  <si>
    <t>EXPR:EXPERIENCER</t>
  </si>
  <si>
    <t>SHELL:SHELL TOKEN</t>
  </si>
  <si>
    <t>SFO:SUNFLOWER FINANCE</t>
  </si>
  <si>
    <t>TIPINU:TIPINU</t>
  </si>
  <si>
    <t>MTR:MOONSTAREVENGE TOKEN</t>
  </si>
  <si>
    <t>UTU:UTU COIN</t>
  </si>
  <si>
    <t>METANAUT:METANAUT</t>
  </si>
  <si>
    <t>TOO:TOO TOKEN</t>
  </si>
  <si>
    <t>SEED:THE SEED FARM</t>
  </si>
  <si>
    <t>CZUSD:CZUSD</t>
  </si>
  <si>
    <t>DSBOWL:DOGE SUPERBOWL</t>
  </si>
  <si>
    <t>SINU:SASUKE INU</t>
  </si>
  <si>
    <t>CHS:CHAINSQUARE</t>
  </si>
  <si>
    <t>NFTSOL:NFT SOLPAD</t>
  </si>
  <si>
    <t>DEX:DEXIRA</t>
  </si>
  <si>
    <t>SUG:SULGECOIN</t>
  </si>
  <si>
    <t>CMERGE:COINMERGE</t>
  </si>
  <si>
    <t>VGO:VIRGO</t>
  </si>
  <si>
    <t>PCOOOM:INCOOOM GENESIS PSYCHEDELIC</t>
  </si>
  <si>
    <t>GLA:GALAXY ADVENTURE</t>
  </si>
  <si>
    <t>EVE:EVELYN</t>
  </si>
  <si>
    <t>DFP2:DEFIPLAZA</t>
  </si>
  <si>
    <t>DADDYSHIBA:DADDYSHIBA</t>
  </si>
  <si>
    <t>NAUSICAA:NAUSICAA-INU</t>
  </si>
  <si>
    <t>$MLNX:MELONX</t>
  </si>
  <si>
    <t>RIOT:RIOT RACERS</t>
  </si>
  <si>
    <t>MIL:MILITARY FINANCE</t>
  </si>
  <si>
    <t>BABYETHV2:BABYETH V2</t>
  </si>
  <si>
    <t>LEAF:SEEDER FINANCE</t>
  </si>
  <si>
    <t>MOJOV2:MOJO V2</t>
  </si>
  <si>
    <t>SMBR:SOMBRA</t>
  </si>
  <si>
    <t>CHARLES:CHARLES</t>
  </si>
  <si>
    <t>IOEN:INTERNET OF ENERGY NETWORK</t>
  </si>
  <si>
    <t>WPKT:WRAPPED PKT</t>
  </si>
  <si>
    <t>NSC:NFTSOCIAL</t>
  </si>
  <si>
    <t>FREEMOON:FREEMOON</t>
  </si>
  <si>
    <t>DOGEX:DOGEHOUSE CAPITAL</t>
  </si>
  <si>
    <t>MEEB:MEEB MASTER</t>
  </si>
  <si>
    <t>MAGIC:COSMIC UNIVERSE MAGIC TOKEN</t>
  </si>
  <si>
    <t>PTR:PAYTURN</t>
  </si>
  <si>
    <t>KNUCKLES:KNUCKLES</t>
  </si>
  <si>
    <t>ZEROPAY:ZEROPAY FINANCE</t>
  </si>
  <si>
    <t>NFTY:NIFTY TOKEN</t>
  </si>
  <si>
    <t>SMX:SOMAX</t>
  </si>
  <si>
    <t>XBLADE:CRYPTOWAR XBLADE</t>
  </si>
  <si>
    <t>PCT:PINECONE FINANCE</t>
  </si>
  <si>
    <t>BETA:POLYBETA FINANCE</t>
  </si>
  <si>
    <t>DVX:DERIVEX</t>
  </si>
  <si>
    <t>$HRIMP:WHALESTREET $HRIMP TOKEN</t>
  </si>
  <si>
    <t>RVL:REVIVAL</t>
  </si>
  <si>
    <t>VLK:VULKANIA</t>
  </si>
  <si>
    <t>BP:BEYOND PROTOCOL</t>
  </si>
  <si>
    <t>XBN:ELASTIC BNB</t>
  </si>
  <si>
    <t>VERO:VERO FARM</t>
  </si>
  <si>
    <t>SAGE:POLYSAGE</t>
  </si>
  <si>
    <t>TBC:TERABLOCK</t>
  </si>
  <si>
    <t>QUA:QUA FINANCE</t>
  </si>
  <si>
    <t>ONEPIECE:ONE PIECE</t>
  </si>
  <si>
    <t>TROLLER:THE TROLLER COIN</t>
  </si>
  <si>
    <t>SWAP:SAFESWAP ONLINE</t>
  </si>
  <si>
    <t>GRM:GREENMOON</t>
  </si>
  <si>
    <t>WEIUP:WEIUP</t>
  </si>
  <si>
    <t>NRGY:NRGY DEFI</t>
  </si>
  <si>
    <t>IM:INTELLIGENT MINING</t>
  </si>
  <si>
    <t>ZFAI:ZAFIRA</t>
  </si>
  <si>
    <t>IFMV3:INFINITY MONEY V3</t>
  </si>
  <si>
    <t>CDTC:DECREDIT</t>
  </si>
  <si>
    <t>BEAGLECAKE:BEAGLECAKE</t>
  </si>
  <si>
    <t>INPA:INPA COIN</t>
  </si>
  <si>
    <t>BITSZ:BITSZ</t>
  </si>
  <si>
    <t>EUK:EUKEX COIN</t>
  </si>
  <si>
    <t>RBS:ROBINIASWAP TOKEN</t>
  </si>
  <si>
    <t>GUMMIE:GUMMY BEANS</t>
  </si>
  <si>
    <t>BDOGE:BITDOGE</t>
  </si>
  <si>
    <t>PEANUTS:PEANUTS</t>
  </si>
  <si>
    <t>RHT:REWARD HUNTERS TOKEN</t>
  </si>
  <si>
    <t>WASABI:WASABIX</t>
  </si>
  <si>
    <t>MURPHY:MURPHYCAT</t>
  </si>
  <si>
    <t>PSTV:PERSPECTIVE COIN</t>
  </si>
  <si>
    <t>REDFLOKI:RED FLOKI</t>
  </si>
  <si>
    <t>HOOD:HOODLER</t>
  </si>
  <si>
    <t>MGPX:MONSTER GRAND PRIX TOKEN</t>
  </si>
  <si>
    <t>TUSK:MAMMOTH.BET</t>
  </si>
  <si>
    <t>TANKZ:CRYPTOTANKZ</t>
  </si>
  <si>
    <t>RISQ:RISQ PROTOCOL</t>
  </si>
  <si>
    <t>RC:RETROCADE</t>
  </si>
  <si>
    <t>KROOT:K-ROOT WALLET</t>
  </si>
  <si>
    <t>UNITY:UNITY PROTOCOL</t>
  </si>
  <si>
    <t>CHOW:CHOW CHOW FINANCE</t>
  </si>
  <si>
    <t>LDOGE:LAMBDOGE</t>
  </si>
  <si>
    <t>BONUSCAKE:BONUS CAKE</t>
  </si>
  <si>
    <t>MARSRISE:MARSRISE</t>
  </si>
  <si>
    <t>BABYDEFIDO:BABY DEFIDO</t>
  </si>
  <si>
    <t>WE:WANDA EXCHANGE</t>
  </si>
  <si>
    <t>FLOKIG:FLOKIGRAVITY</t>
  </si>
  <si>
    <t>DREGG:DRAGON EGG</t>
  </si>
  <si>
    <t>MELIODAS:MELIODAS</t>
  </si>
  <si>
    <t>THS:THEOSCOIN</t>
  </si>
  <si>
    <t>LYCA:LYCA ISLAND</t>
  </si>
  <si>
    <t>VAULT:SAFEVAULT</t>
  </si>
  <si>
    <t>RCW:RAN CRYPTO WORLD ONLINE</t>
  </si>
  <si>
    <t>HORNY:HORNY DOGE</t>
  </si>
  <si>
    <t>SIONX:SIONIX</t>
  </si>
  <si>
    <t>WOOFY:WOOFY</t>
  </si>
  <si>
    <t>SANS:SANS TOKEN</t>
  </si>
  <si>
    <t>STICKY:FLYPAPER</t>
  </si>
  <si>
    <t>FID:FIDIRA</t>
  </si>
  <si>
    <t>LIV:LIVCONECT</t>
  </si>
  <si>
    <t>KMO:KOINOMO</t>
  </si>
  <si>
    <t>XWIN:XWIN FINANCE</t>
  </si>
  <si>
    <t>THEROCKS:THE ROCKS</t>
  </si>
  <si>
    <t>LDF:LONDEFY</t>
  </si>
  <si>
    <t>DCM:DOGECAKEMOON</t>
  </si>
  <si>
    <t>ORE:ORE TOKEN</t>
  </si>
  <si>
    <t>PEAKAVAX:PEAK AVALANCHE</t>
  </si>
  <si>
    <t>DKKS:DAIKOKUTEN SAMA</t>
  </si>
  <si>
    <t>MND:MIND MUSIC</t>
  </si>
  <si>
    <t>DRDC:DROID COIN</t>
  </si>
  <si>
    <t>MAD:MADNETWORK</t>
  </si>
  <si>
    <t>ACX:ACCESSLAUNCHER</t>
  </si>
  <si>
    <t>KAREN:KARENCOIN</t>
  </si>
  <si>
    <t>UTOPIA:UTOPIA</t>
  </si>
  <si>
    <t>LLN:LUNALAND</t>
  </si>
  <si>
    <t>THUNDERETH:THUNDERETH</t>
  </si>
  <si>
    <t>SAFEMOONA:SAFEMOONAVAX</t>
  </si>
  <si>
    <t>COC:COCKER</t>
  </si>
  <si>
    <t>TRI:THOMSON REUTERS</t>
  </si>
  <si>
    <t>REEC:RENEWABLE ELECTRONIC ENERGY COIN</t>
  </si>
  <si>
    <t>WEL:WELNANCE FINANCE</t>
  </si>
  <si>
    <t>GAMEONE:GAMEONETOKEN</t>
  </si>
  <si>
    <t>BITUP:BITUP</t>
  </si>
  <si>
    <t>$TIME:MADAGASCAR TOKEN</t>
  </si>
  <si>
    <t>THRUST:THRUST</t>
  </si>
  <si>
    <t>PER:PER TOKEN</t>
  </si>
  <si>
    <t>PSHIB:PIXEL SHIBA INU</t>
  </si>
  <si>
    <t>4STC:4-STOCK</t>
  </si>
  <si>
    <t>SOAK:SOAKMONT</t>
  </si>
  <si>
    <t>HYPERBOOST:HYPERBOOST</t>
  </si>
  <si>
    <t>SYNC:LINKSYNC</t>
  </si>
  <si>
    <t>BULLAF:BULLISH AF</t>
  </si>
  <si>
    <t>TOFU:TOFU COIN</t>
  </si>
  <si>
    <t>SYMM:SYMMETRIC</t>
  </si>
  <si>
    <t>ROS:ROSTOFY COIN</t>
  </si>
  <si>
    <t>DANGERMOON:DANGERMOON</t>
  </si>
  <si>
    <t>AVEX!:AEVOLVE TOKEN</t>
  </si>
  <si>
    <t>LOOK:LOOKSCOIN</t>
  </si>
  <si>
    <t>NDOGE:NAUGHTYDOGE</t>
  </si>
  <si>
    <t>ZATCOIN:ZATCOIN</t>
  </si>
  <si>
    <t>VIVA:VIVA CLASSIC</t>
  </si>
  <si>
    <t>GLD:GOLDARIO</t>
  </si>
  <si>
    <t>UCD:UNICANDY</t>
  </si>
  <si>
    <t>ATC:ASTER</t>
  </si>
  <si>
    <t>MWD:MADCREDITS</t>
  </si>
  <si>
    <t>BT:BOZKURT</t>
  </si>
  <si>
    <t>CHECOIN:CHECOIN</t>
  </si>
  <si>
    <t>X22:X22</t>
  </si>
  <si>
    <t>BALPAC:BABY ALPACA</t>
  </si>
  <si>
    <t>KING:KINGFUND FINANCE</t>
  </si>
  <si>
    <t>SUCCESS:SUCCESS INU</t>
  </si>
  <si>
    <t>SML:SUPER MUSIC LEAGUE</t>
  </si>
  <si>
    <t>DOGEGF:DOGEGF</t>
  </si>
  <si>
    <t>MPT:MARS PANDA WORLD</t>
  </si>
  <si>
    <t>EGG:WAVES DUCKS</t>
  </si>
  <si>
    <t>KISHIMOTO:KISHIMOTO INU</t>
  </si>
  <si>
    <t>NFTEEZ:NFTEEZ</t>
  </si>
  <si>
    <t>BONE:BONE TOKEN</t>
  </si>
  <si>
    <t>MARIO:SUPER MARIO</t>
  </si>
  <si>
    <t>LUFFY:LUFFY INU</t>
  </si>
  <si>
    <t>DAO:GAMEDAO</t>
  </si>
  <si>
    <t>RVL:RAVENCOIN LITE</t>
  </si>
  <si>
    <t>TTB:TETHERBLACK</t>
  </si>
  <si>
    <t>NIFTY:NIFTYNFT</t>
  </si>
  <si>
    <t>DARK:DARKCOIN</t>
  </si>
  <si>
    <t>MAGICDOGE:MAGICDOGE</t>
  </si>
  <si>
    <t>MASON:MASON TOKEN</t>
  </si>
  <si>
    <t>DAO1:DAO1</t>
  </si>
  <si>
    <t>INET:IDEANET TOKEN</t>
  </si>
  <si>
    <t>PULSE:PULSE TOKEN</t>
  </si>
  <si>
    <t>KITTY:KITTYCOIN</t>
  </si>
  <si>
    <t>DRIVE:SAFE DRIVE</t>
  </si>
  <si>
    <t>NFTT:NFT TECH</t>
  </si>
  <si>
    <t>GLORYD:GLORYDOGE</t>
  </si>
  <si>
    <t>SFSHLD:SAFE SHIELD</t>
  </si>
  <si>
    <t>ZOMB:ZOMBIE RISING</t>
  </si>
  <si>
    <t>CBC:CARBON COIN</t>
  </si>
  <si>
    <t>LITO:LITUNI</t>
  </si>
  <si>
    <t>GAMEBOX:GAMEBOX</t>
  </si>
  <si>
    <t>FEGN:FEGNOMICS</t>
  </si>
  <si>
    <t>XGC:XIGLUTE COIN</t>
  </si>
  <si>
    <t>CMS:CRYPTOMOONSHOTS</t>
  </si>
  <si>
    <t>BGLG:BIG LEAGUE</t>
  </si>
  <si>
    <t>SUNRISE:THE SUN RISES</t>
  </si>
  <si>
    <t>BTCI:BITCOIN INTERNATIONAL</t>
  </si>
  <si>
    <t>SINU:SCAM INU</t>
  </si>
  <si>
    <t>LWAZI:LWAZI PROJECT</t>
  </si>
  <si>
    <t>$BLOW:BLOWUP</t>
  </si>
  <si>
    <t>ALVN:ALVARENET</t>
  </si>
  <si>
    <t>CZO:CARBONZERO</t>
  </si>
  <si>
    <t>PENN.CX:PENN NATIONAL GAMING TOKENIZED STOCK</t>
  </si>
  <si>
    <t>PINS.CX:PINTEREST</t>
  </si>
  <si>
    <t>PLTK.CX:PLAYTIKA HOLDING CORP.</t>
  </si>
  <si>
    <t>PLTR.CX:PALANTIR TECHNOLOGIES INC.</t>
  </si>
  <si>
    <t>PLUG.CX:PLUG POWER INC.</t>
  </si>
  <si>
    <t>PUBM.CX:PUBMATIC, INC.</t>
  </si>
  <si>
    <t>PZZA.CX:PAPA JOHNS</t>
  </si>
  <si>
    <t>ROSN.CX:ROSNEFT</t>
  </si>
  <si>
    <t>SEDG.CX:SOLAREDGE TECHNOLOGIES</t>
  </si>
  <si>
    <t>SESG.CX:SES FDR TOKENIZED STOCK</t>
  </si>
  <si>
    <t>SOLDIER:SPACE SOLDIER</t>
  </si>
  <si>
    <t>SPCE.CX:VIRGIN GALACTIC</t>
  </si>
  <si>
    <t>SPN3.CX:SPAIN 35 TOKENIZED STOCK</t>
  </si>
  <si>
    <t>SPOT.CX:SPOTIFY</t>
  </si>
  <si>
    <t>SPWR.CX:SUNPOWER CORPORATION</t>
  </si>
  <si>
    <t>SPXM.CX:S&amp;P 500 TOKENIZED STOCK</t>
  </si>
  <si>
    <t>TCDA.CX:TRICIDA</t>
  </si>
  <si>
    <t>TDOC.CX:TELADOC HEALTH, INC.</t>
  </si>
  <si>
    <t>UBOT.CX:DIREXION DAILY ROBOTICS ARTIFICIAL INTELLIGENCE &amp; AUTOMATION INDEX BULL 3X SHARES</t>
  </si>
  <si>
    <t>UPWK.CX:UPWORK INC.</t>
  </si>
  <si>
    <t>UVXY.CX:PROSHARES ULTRA VIX SHORT-TERM FUTURES ETF</t>
  </si>
  <si>
    <t>VALE.CX:VALE</t>
  </si>
  <si>
    <t>VOW3.CX:VOLKSWAGEN AG TOKENIZED STOCK</t>
  </si>
  <si>
    <t>VRTX.CX:VERTEX</t>
  </si>
  <si>
    <t>VXRT.CX:VAXART</t>
  </si>
  <si>
    <t>WEATHER:WEATHER FINANCE</t>
  </si>
  <si>
    <t>WISH.CX:CONTEXTLOGIC INC</t>
  </si>
  <si>
    <t>WKHS.CX:WORKHORSE GROUP INC.</t>
  </si>
  <si>
    <t>XAGM.CX:SILVER SPOT TOKENIZED STOCK</t>
  </si>
  <si>
    <t>XAUM.CX:GOLD SPOT TOKENIZED STOCK</t>
  </si>
  <si>
    <t>XPEV.CX:XPENG INC.</t>
  </si>
  <si>
    <t>ZNGA.CX:ZYNGA INC.</t>
  </si>
  <si>
    <t>BTMXBEAR:3X SHORT BITMAX TOKEN TOKEN</t>
  </si>
  <si>
    <t>CERBERUS:CERBERUS</t>
  </si>
  <si>
    <t>FASTMOON:FASTMOON</t>
  </si>
  <si>
    <t>PRQBOOST:PARSIQ BOOST</t>
  </si>
  <si>
    <t>BAKE:BAKERYTOKEN</t>
  </si>
  <si>
    <t>LUSD:LIQUITY USD</t>
  </si>
  <si>
    <t>MIR:MIRROR PROTOCOL</t>
  </si>
  <si>
    <t>PUNDIX:PUNDI X[NEW]</t>
  </si>
  <si>
    <t>PERP:PERPETUAL PROTOCOL</t>
  </si>
  <si>
    <t>MATH:MATH</t>
  </si>
  <si>
    <t>TLM:ALIEN WORLDS</t>
  </si>
  <si>
    <t>LINA:LINEAR</t>
  </si>
  <si>
    <t>RLY:RALLY</t>
  </si>
  <si>
    <t>EXRD:RADIX</t>
  </si>
  <si>
    <t>ALICE:MYNEIGHBORALICE</t>
  </si>
  <si>
    <t>LON:TOKENLON NETWORK TOKEN</t>
  </si>
  <si>
    <t>RAMP:RAMP</t>
  </si>
  <si>
    <t>MLK:MIL.K</t>
  </si>
  <si>
    <t>POND:MARLIN</t>
  </si>
  <si>
    <t>HAI:HACKEN TOKEN</t>
  </si>
  <si>
    <t>SPI:SHOPPING</t>
  </si>
  <si>
    <t>VSP:VESPER</t>
  </si>
  <si>
    <t>API3:API3</t>
  </si>
  <si>
    <t>ANY:ANYSWAP</t>
  </si>
  <si>
    <t>TVK:TERRA VIRTUA KOLECT</t>
  </si>
  <si>
    <t>MARO:MARO</t>
  </si>
  <si>
    <t>KYL:KYLIN</t>
  </si>
  <si>
    <t>VISR:VISOR.FINANCE</t>
  </si>
  <si>
    <t>DVPN:SENTINEL</t>
  </si>
  <si>
    <t>PYR:VULCAN FORGED PYR</t>
  </si>
  <si>
    <t>MAPS:MAPS</t>
  </si>
  <si>
    <t>MTA:MSTABLE GOVERNANCE TOKEN: META (MTA)</t>
  </si>
  <si>
    <t>LQTY:LIQUITY</t>
  </si>
  <si>
    <t>APY:APY.FINANCE</t>
  </si>
  <si>
    <t>ALCX:ALCHEMIX</t>
  </si>
  <si>
    <t>STETH:STETH (LIDO)</t>
  </si>
  <si>
    <t>ANC:ANCHOR PROTOCOL</t>
  </si>
  <si>
    <t>BRG:BRIDGE ORACLE</t>
  </si>
  <si>
    <t>BLCT:BLOOMZED LOYALTY CLUB TICKET</t>
  </si>
  <si>
    <t>MDX:MDEX</t>
  </si>
  <si>
    <t>BZ:BITZ TOKEN</t>
  </si>
  <si>
    <t>ORC:ORBIT CHAIN</t>
  </si>
  <si>
    <t>KGO:KIWIGO</t>
  </si>
  <si>
    <t>CHI:CHI GASTOKEN</t>
  </si>
  <si>
    <t>NOAHP:NOAH COIN</t>
  </si>
  <si>
    <t>BAC:BASIS CASH</t>
  </si>
  <si>
    <t>NPXS:PUNDI X[OLD]</t>
  </si>
  <si>
    <t>RUNE:THORCHAIN (ERC20)</t>
  </si>
  <si>
    <t>PNG:PANGOLIN</t>
  </si>
  <si>
    <t>RVP:REVOLUTION POPULI</t>
  </si>
  <si>
    <t>VISION:APY VISION</t>
  </si>
  <si>
    <t>XCM:COINMETRO TOKEN</t>
  </si>
  <si>
    <t>ATT:ATTILA</t>
  </si>
  <si>
    <t>BPS:BITCOINPOS</t>
  </si>
  <si>
    <t>JUL:JUSTLIQUIDITY</t>
  </si>
  <si>
    <t>XBP:BLITZPICK</t>
  </si>
  <si>
    <t>BTMX:ASD (BTMX)</t>
  </si>
  <si>
    <t>AA.CX:ALCOA TOKENIZED STOCK</t>
  </si>
  <si>
    <t>ABUSD:AAVE BUSD</t>
  </si>
  <si>
    <t>ADAUP:BINANCE CARDANO LONG</t>
  </si>
  <si>
    <t>ALEND:AAVE LEND</t>
  </si>
  <si>
    <t>ALINK:AAVE LINK</t>
  </si>
  <si>
    <t>AMANA:AAVE MANA</t>
  </si>
  <si>
    <t>AN.CX:AUTONATION TOKENIZED STOCK</t>
  </si>
  <si>
    <t>AR.CX:ANTERO RESOURCES TOKENIZED STOCK</t>
  </si>
  <si>
    <t>ASUSD:AAVE SUSD</t>
  </si>
  <si>
    <t>ATUSD:AAVE TUSD</t>
  </si>
  <si>
    <t>AUDT2:AUSTRALIANDOLLAR TOKEN</t>
  </si>
  <si>
    <t>AUSCM:AURIC NETWORK</t>
  </si>
  <si>
    <t>AUSDC:AAVE USDC</t>
  </si>
  <si>
    <t>AUSDT:AAVE USDT</t>
  </si>
  <si>
    <t>AWBTC:AAVE WBTC</t>
  </si>
  <si>
    <t>AZUKI:AZUKI</t>
  </si>
  <si>
    <t>BA.CX:BOEING TOKENIZED STOCK</t>
  </si>
  <si>
    <t>BASED:BASED MONEY</t>
  </si>
  <si>
    <t>BCHUP:BINANCE BITCOIN CASH LONG</t>
  </si>
  <si>
    <t>BICAS:BITHERCASH</t>
  </si>
  <si>
    <t>BNBUP:BINANCE BINANCE COIN LONG</t>
  </si>
  <si>
    <t>BSHA3:BSHA3</t>
  </si>
  <si>
    <t>BTC++:PIEDAO BTC++</t>
  </si>
  <si>
    <t>BTC3L:BITCOIN 3X DAILY LONG</t>
  </si>
  <si>
    <t>BTC3S:BITCOIN 3X DAILY SHORT</t>
  </si>
  <si>
    <t>BTCHG:BITCOIN HEDGE</t>
  </si>
  <si>
    <t>BTCP2:BITCOIN PRO</t>
  </si>
  <si>
    <t>BTCR3:BITCURATE</t>
  </si>
  <si>
    <t>BTCS2:BITCOIN SILVER</t>
  </si>
  <si>
    <t>BTCT2:BITCOIN TRUE</t>
  </si>
  <si>
    <t>BTCUP:BTCUP</t>
  </si>
  <si>
    <t>BTCV2:BITCOIN VAULT</t>
  </si>
  <si>
    <t>BTNYX:BITONYX</t>
  </si>
  <si>
    <t>BTTR2:BITTIGER</t>
  </si>
  <si>
    <t>BUIDL:DFOHUB</t>
  </si>
  <si>
    <t>BXIOT:BXIOT</t>
  </si>
  <si>
    <t>CACXT:CONVERTIBLE ACXT</t>
  </si>
  <si>
    <t>CANA2:CANNABIS SEED TOKEN</t>
  </si>
  <si>
    <t>CASH3:LITECASH</t>
  </si>
  <si>
    <t>CC.CX:CHEMOURS TOKENIZED STOCK</t>
  </si>
  <si>
    <t>CHADS:CHADS VC</t>
  </si>
  <si>
    <t>CHAIN:CHAIN GAMES</t>
  </si>
  <si>
    <t>COAL2:COALCULUS</t>
  </si>
  <si>
    <t>COFI2:COFIX</t>
  </si>
  <si>
    <t>COIN4:COINDEFI</t>
  </si>
  <si>
    <t>CORAL:CORAL SWAP</t>
  </si>
  <si>
    <t>CORN3:CORN</t>
  </si>
  <si>
    <t>CRAFT:DECRAFT FINANCE</t>
  </si>
  <si>
    <t>CRING:DARWINIA CRAB NETWORK</t>
  </si>
  <si>
    <t>DAOFI:DAOFI</t>
  </si>
  <si>
    <t>DDRST:DIGIDINAR STABLETOKEN</t>
  </si>
  <si>
    <t>DE.CX:DEERE TOKENIZED STOCK</t>
  </si>
  <si>
    <t>DEGOV:DEGOV</t>
  </si>
  <si>
    <t>DEURO:DIGITAL EURO</t>
  </si>
  <si>
    <t>DG.CX:DOLLAR GENERAL TOKENIZED STOCK</t>
  </si>
  <si>
    <t>DICE3:TRONBETDICE</t>
  </si>
  <si>
    <t>DIGEX:DIGEX</t>
  </si>
  <si>
    <t>DOTUP:BINANCE POLKADOT LONG</t>
  </si>
  <si>
    <t>DXIOT:DXIOT</t>
  </si>
  <si>
    <t>EBIRD:ETHER BIRD</t>
  </si>
  <si>
    <t>ECELL:CONSENSUS CELL NETWORK</t>
  </si>
  <si>
    <t>EIDOS:EIDOS</t>
  </si>
  <si>
    <t>EMTRG:METER GOVERNANCE MAPPED BY METER.IO</t>
  </si>
  <si>
    <t>EOSUP:BINANCE EOS LONG</t>
  </si>
  <si>
    <t>ETH3L:ETHER 3X DAILY LONG</t>
  </si>
  <si>
    <t>ETH3S:ETHER 3X DAILY SHORT</t>
  </si>
  <si>
    <t>ETHBN:DOGDATA</t>
  </si>
  <si>
    <t>ETHPY:ETHERPAY</t>
  </si>
  <si>
    <t>ETHUP:BINANCE ETHEREUM LONG</t>
  </si>
  <si>
    <t>ETNXP:ELECTRONERO PULSE</t>
  </si>
  <si>
    <t>FB.CX:FACEBOOK TOKENIZED STOCK</t>
  </si>
  <si>
    <t>FILUP:BINANCE FILECOIN LONG</t>
  </si>
  <si>
    <t>FLEX2:COINFLEX</t>
  </si>
  <si>
    <t>FLUX2:FLUX TOKENS</t>
  </si>
  <si>
    <t>GD.CX:GENERAL DYNAMICS TOKENIZED STOCK</t>
  </si>
  <si>
    <t>GE.CX:GENERAL ELECTRIC CO TOKENIZED STOCK</t>
  </si>
  <si>
    <t>GOLDR:GOLDEN RATIO COIN</t>
  </si>
  <si>
    <t>GOM22:ANIMALGO</t>
  </si>
  <si>
    <t>GRAIN:GRAIN</t>
  </si>
  <si>
    <t>GRAPH:UNIGRAPH</t>
  </si>
  <si>
    <t>GSWAP:GAMESWAP</t>
  </si>
  <si>
    <t>GT.CX:THE GOODYEAR TIRE &amp; RUBBER COMPANY TOKENIZED STOCK</t>
  </si>
  <si>
    <t>GUIDE:BMY.GUIDE</t>
  </si>
  <si>
    <t>HANDY:HANDY</t>
  </si>
  <si>
    <t>HEDGE:1X SHORT BITCOIN TOKEN</t>
  </si>
  <si>
    <t>HIPPO:HIPPOFINANCE</t>
  </si>
  <si>
    <t>IBVOL:FTX INVERSE BTC VOL TOKEN</t>
  </si>
  <si>
    <t>IDALL:IDALL</t>
  </si>
  <si>
    <t>INDEX:INDEX COOPERATIVE</t>
  </si>
  <si>
    <t>INVOX:INVOX FINANCE</t>
  </si>
  <si>
    <t>IP.CX:INTERNATIONAL PAPER TOKENIZED STOCK</t>
  </si>
  <si>
    <t>JUICE:MOON JUICE</t>
  </si>
  <si>
    <t>KO.CX:COCA-COLA TOKENIZED STOCK</t>
  </si>
  <si>
    <t>KOMET:KOMET FINANCE</t>
  </si>
  <si>
    <t>KORE2:KORE VAULT</t>
  </si>
  <si>
    <t>LB.CX:L BRANDS TOKENIZED STOCK</t>
  </si>
  <si>
    <t>LBC10:JUSTINAS STAUGAITIS</t>
  </si>
  <si>
    <t>LIMIT:LIMITSWAP</t>
  </si>
  <si>
    <t>LINA2:LINEAR FINANCE</t>
  </si>
  <si>
    <t>LTCUP:BINANCE LITECOIN LONG</t>
  </si>
  <si>
    <t>LX.CX:LEXINFINTECH HOLDINGS LTD. TOKENIZED STOCK</t>
  </si>
  <si>
    <t>MA.CX:MASTERCARD INC TOKENIZED STOCK</t>
  </si>
  <si>
    <t>MANDI:MANDI TOKEN</t>
  </si>
  <si>
    <t>MEDI3:MEDICONNECT</t>
  </si>
  <si>
    <t>MILK2:MILK2</t>
  </si>
  <si>
    <t>MINDS:MINDS</t>
  </si>
  <si>
    <t>MJ.CX:ETFMG ALTERNATIVE HARVEST ETF TOKENIZED STOCK</t>
  </si>
  <si>
    <t>MONA2:MONAVALE</t>
  </si>
  <si>
    <t>MOUSE:MOUSEMN</t>
  </si>
  <si>
    <t>MOZOX:MOZOX</t>
  </si>
  <si>
    <t>MTCX2:MYTHICX</t>
  </si>
  <si>
    <t>MU.CX:MICRON TECHNOLOGY, INC. TOKENIZED STOCK</t>
  </si>
  <si>
    <t>MUSD2:MUSD</t>
  </si>
  <si>
    <t>MUSE2:MUSE</t>
  </si>
  <si>
    <t>MVEDA:MEDICALVEDA</t>
  </si>
  <si>
    <t>NEWS2:NEWSTOKENS</t>
  </si>
  <si>
    <t>NEXBT:NATIVE XBTPRO EXCHANGE TОKEN</t>
  </si>
  <si>
    <t>ORBYT:BITORB</t>
  </si>
  <si>
    <t>PAHOO:PAHOO COIN</t>
  </si>
  <si>
    <t>PASTA:SPAGHETTI</t>
  </si>
  <si>
    <t>PAYOU:PAYOU FINANCE</t>
  </si>
  <si>
    <t>PEARL:PEARL FINANCE</t>
  </si>
  <si>
    <t>PFARM:FARM DEFI</t>
  </si>
  <si>
    <t>PGOLD:PYRRHOS GOLD</t>
  </si>
  <si>
    <t>PGPAY:PUREGOLD</t>
  </si>
  <si>
    <t>PIXBY:PIXBY</t>
  </si>
  <si>
    <t>PLAAS:PLAAS</t>
  </si>
  <si>
    <t>PORTE:PAYMENT PORTE</t>
  </si>
  <si>
    <t>PORUS:PORUS COIN</t>
  </si>
  <si>
    <t>POST2:IPSE</t>
  </si>
  <si>
    <t>POWER:UNIPOWER</t>
  </si>
  <si>
    <t>PRDX2:PREDIX NETWORK</t>
  </si>
  <si>
    <t>PRSTX:PRESTO</t>
  </si>
  <si>
    <t>Q8E20:Q8E20 TOKEN</t>
  </si>
  <si>
    <t>RADAR:RADARCOIN</t>
  </si>
  <si>
    <t>RBASE:RBASE.FINANCE</t>
  </si>
  <si>
    <t>RBTC2:REBITCOIN</t>
  </si>
  <si>
    <t>REMI2:REMICHAIN</t>
  </si>
  <si>
    <t>REPV2:AUGUR V2</t>
  </si>
  <si>
    <t>RFCTR:REFLECTOR.FINANCE</t>
  </si>
  <si>
    <t>RH.CX:RH TOKENIZED STOCK</t>
  </si>
  <si>
    <t>RINGX:RINGX</t>
  </si>
  <si>
    <t>ROCKS:SOCIAL ROCKET</t>
  </si>
  <si>
    <t>SAKE2:SAKETOKEN</t>
  </si>
  <si>
    <t>SBTC3:SYNTH SBTC</t>
  </si>
  <si>
    <t>SBTC4:SOFT BITCOIN</t>
  </si>
  <si>
    <t>SERGS:SERGS</t>
  </si>
  <si>
    <t>SHENG:SHENG</t>
  </si>
  <si>
    <t>SLINK:SOFTLINK</t>
  </si>
  <si>
    <t>SNOW2:SNOWSWAP</t>
  </si>
  <si>
    <t>SOCKS:UNISOCKS</t>
  </si>
  <si>
    <t>SPYCE:SPYCE</t>
  </si>
  <si>
    <t>SQ.CX:SQUARE CL A TOKENIZED STOCK</t>
  </si>
  <si>
    <t>STACY:STACY</t>
  </si>
  <si>
    <t>STAMP:SAFEPOST</t>
  </si>
  <si>
    <t>STDEX:STABLEDEX</t>
  </si>
  <si>
    <t>STEAK:STEAKS FINANCE</t>
  </si>
  <si>
    <t>STONK:STONK</t>
  </si>
  <si>
    <t>SXPUP:BINANCE SWIPE LONG</t>
  </si>
  <si>
    <t>TCFX2:TOPCOINFX</t>
  </si>
  <si>
    <t>TERN2:TERNIO-ERC20</t>
  </si>
  <si>
    <t>TIME2:TIMEMINER</t>
  </si>
  <si>
    <t>TOSS2:CRYPTOSS</t>
  </si>
  <si>
    <t>TREEP:TREEPTOKEN</t>
  </si>
  <si>
    <t>TRONX:TRONX COIN</t>
  </si>
  <si>
    <t>TROV2:TRO.NETWORK</t>
  </si>
  <si>
    <t>TRU-E:TRULLION-E</t>
  </si>
  <si>
    <t>TRXUP:BINANCE TRON LONG</t>
  </si>
  <si>
    <t>UNIFI:UNIFI</t>
  </si>
  <si>
    <t>UNIUP:BINANCE UNISWAP LONG</t>
  </si>
  <si>
    <t>UPEUR:UNIVERSAL EURO</t>
  </si>
  <si>
    <t>UPUSD:UNIVERSAL DOLLAR</t>
  </si>
  <si>
    <t>USD++:PIEDAO USD++</t>
  </si>
  <si>
    <t>USDB2:BITMODI</t>
  </si>
  <si>
    <t>USDEX:ETORO USDEX</t>
  </si>
  <si>
    <t>VALUE:VALUE DEFI PROTOCOL</t>
  </si>
  <si>
    <t>VESTA:VESTA PROTOCOL</t>
  </si>
  <si>
    <t>VIDYX:VIDYCOIN</t>
  </si>
  <si>
    <t>VOLTS:VOLTS.FINANCE</t>
  </si>
  <si>
    <t>WB.CX:WEIBO CORPORATION TOKENIZED STOCK</t>
  </si>
  <si>
    <t>WELL2:WELLNESS TOKEN</t>
  </si>
  <si>
    <t>WHOLE:WORMHOLE.FINANCE</t>
  </si>
  <si>
    <t>XFUEL:XFUEL</t>
  </si>
  <si>
    <t>XLMUP:BINANCE STELLAR LONG</t>
  </si>
  <si>
    <t>XSHOP:SHOPEREUM</t>
  </si>
  <si>
    <t>XTZUP:BINANCE TEZOS LONG</t>
  </si>
  <si>
    <t>YAMV3:YAMV3</t>
  </si>
  <si>
    <t>YBREE:YIELD BREEDER DAO</t>
  </si>
  <si>
    <t>YEFAM:YEFAM.FINANCE</t>
  </si>
  <si>
    <t>YFIEC:YEARN FINANCE ECOSYSTEM</t>
  </si>
  <si>
    <t>YFIIG:YFII GOLD</t>
  </si>
  <si>
    <t>YFIUP:BINANCE YEARN.FINANCE LONG</t>
  </si>
  <si>
    <t>YFPRO:YFPRO FINANCE</t>
  </si>
  <si>
    <t>YFUEL:YFUEL</t>
  </si>
  <si>
    <t>YIELD:YIELD-FARMING</t>
  </si>
  <si>
    <t>YLAND:YEARN LAND</t>
  </si>
  <si>
    <t>YRISE:YRISE FINANCE</t>
  </si>
  <si>
    <t>YY.CX:YY INC. TOKENIZED STOCK</t>
  </si>
  <si>
    <t>ZONTO:ZONTO TOKEN</t>
  </si>
  <si>
    <t>ERSDL:UNFEDERALRESERVE</t>
  </si>
  <si>
    <t>IMBTC:THE TOKENIZED BITCOIN</t>
  </si>
  <si>
    <t>AAP.CX:ADVANCE AUTO PARTS TOKENIZED STOCK</t>
  </si>
  <si>
    <t>AAVEUP:BINANCE AAVE LONG</t>
  </si>
  <si>
    <t>AEM.CX:AGNICO EAGLE TOKENIZED STOCK</t>
  </si>
  <si>
    <t>AMD.CX:ADVANCED MICRO DEVICES INC TOKENIZED STOCK</t>
  </si>
  <si>
    <t>APA.CX:APACHE TOKENIZED STOCK</t>
  </si>
  <si>
    <t>AUD.CX:AUSTRALIAN DOLLAR TOKENIZED STOCK</t>
  </si>
  <si>
    <t>BADGER:BADGER DAO</t>
  </si>
  <si>
    <t>BBY.CX:BEST BUY TOKENIZED STOCK</t>
  </si>
  <si>
    <t>BIG.CX:BIG LOTS TOKENIZED STOCK</t>
  </si>
  <si>
    <t>BONDLY:BONDLY</t>
  </si>
  <si>
    <t>BRAIN2:NO BRAINER FINANCE</t>
  </si>
  <si>
    <t>BSX.CX:BOSTON SCIENTIFIC TOKENIZED STOCK</t>
  </si>
  <si>
    <t>BTC3L2:AMUN BITCOIN 3X DAILY LONG</t>
  </si>
  <si>
    <t>BTC3S2:AMUN BITCOIN 3X DAILY SHORT</t>
  </si>
  <si>
    <t>BUILD1:BUILD FINANCE</t>
  </si>
  <si>
    <t>CAG.CX:CONAGRA BRANDS INC TOKENIZED STOCK</t>
  </si>
  <si>
    <t>CNX.CX:CONSOL ENERGY TOKENIZED STOCK</t>
  </si>
  <si>
    <t>CPB.CX:CAMPBELL SOUP TOKENIZED STOCK</t>
  </si>
  <si>
    <t>CVS.CX:CVS HEALTH TOKENIZED STOCK</t>
  </si>
  <si>
    <t>DBX.CX:DROPBOX TOKENIZED STOCK</t>
  </si>
  <si>
    <t>DEFI+L:PIEDAO DEFI LARGE CAP</t>
  </si>
  <si>
    <t>DEFI+S:PIEDAO DEFI SMALL CAP</t>
  </si>
  <si>
    <t>DHR.CX:DANAHER TOKENIZED STOCK</t>
  </si>
  <si>
    <t>EMN.CX:EASTMAN CHEMICAL TOKENIZED STOCK</t>
  </si>
  <si>
    <t>EMOJI2:EMOJITOKEN</t>
  </si>
  <si>
    <t>ENTONE:ENTONE</t>
  </si>
  <si>
    <t>ETH3L2:AMUN ETHER 3X DAILY LONG</t>
  </si>
  <si>
    <t>ETH3S2:AMUN ETHER 3X DAILY SHORT</t>
  </si>
  <si>
    <t>ETHBNT:ETHBNT RELAY</t>
  </si>
  <si>
    <t>FDX.CX:FEDEX TOKENIZED STOCK</t>
  </si>
  <si>
    <t>GCASH2:GAMECASH</t>
  </si>
  <si>
    <t>GME.CX:GAMESTOP TOKENIZED STOCK</t>
  </si>
  <si>
    <t>GPS.CX:THE GAP, INC. TOKENIZED STOCK</t>
  </si>
  <si>
    <t>HCA.CX:HCA HEALTHCARE TOKENIZED STOCK</t>
  </si>
  <si>
    <t>HITHOT:HITHOT</t>
  </si>
  <si>
    <t>HMI.CX:HUAMI CORPORATION TOKENIZED STOCK</t>
  </si>
  <si>
    <t>IBM.CX:INTERNATIONAL BUSINESS MACHINES CORP TOKENIZED STOCK</t>
  </si>
  <si>
    <t>JBL.CX:JABIL TOKENIZED STOCK</t>
  </si>
  <si>
    <t>JIAOZI:JIAOZI</t>
  </si>
  <si>
    <t>JKS.CX:JINKOSOLAR HOLDING CO., LTD. TOKENIZED STOCK</t>
  </si>
  <si>
    <t>JNJ.CX:JOHNSON &amp; JOHNSON TOKENIZED STOCK</t>
  </si>
  <si>
    <t>JPM.CX:JPMORGAN CHASE TOKENIZED STOCK</t>
  </si>
  <si>
    <t>JWN.CX:NORDSTROM TOKENIZED STOCK</t>
  </si>
  <si>
    <t>KATANA:KATANA FINANCE</t>
  </si>
  <si>
    <t>KHC.CX:THE KRAFT HEINZ COMPANY TOKENIZED STOCK</t>
  </si>
  <si>
    <t>LEVELG:LEVELG</t>
  </si>
  <si>
    <t>LINKUP:BINANCE CHAINLINK SHORT</t>
  </si>
  <si>
    <t>LLY.CX:ELI LILLY &amp; CO TOKENIZED STOCK</t>
  </si>
  <si>
    <t>LIBREF:LIBREFREELENCER</t>
  </si>
  <si>
    <t>LONG:LONG</t>
  </si>
  <si>
    <t>TIGZ:TIG ZODIAC</t>
  </si>
  <si>
    <t>POLE:SOUTHPOLE</t>
  </si>
  <si>
    <t>GST:GOOSE TOKEN</t>
  </si>
  <si>
    <t>PLT:PLATINIUM TOKEN</t>
  </si>
  <si>
    <t>SAYAN:SAIYAN INU</t>
  </si>
  <si>
    <t>GUF:GOESUPHIGHER</t>
  </si>
  <si>
    <t>ZMBE:ZOMBIE</t>
  </si>
  <si>
    <t>HET:HESTIA TOKEN</t>
  </si>
  <si>
    <t>LANC:LANCERIA</t>
  </si>
  <si>
    <t>TOGO:TOGO INU</t>
  </si>
  <si>
    <t>EPCH:ELONNPOOCH</t>
  </si>
  <si>
    <t>SHEEP:SHEEPTOKEN</t>
  </si>
  <si>
    <t>HERO:METAHERO</t>
  </si>
  <si>
    <t>CEUR:CELO EURO</t>
  </si>
  <si>
    <t>SLW:SOLARWIND TOKEN</t>
  </si>
  <si>
    <t>FIRU:FIRULAIS</t>
  </si>
  <si>
    <t>DAWG:INUMAKI</t>
  </si>
  <si>
    <t>BALLE:BALLENA</t>
  </si>
  <si>
    <t>SNB:SAFE NEBULA</t>
  </si>
  <si>
    <t>BRISE:BITRISE TOKEN</t>
  </si>
  <si>
    <t>ORDR:THE RED ORDER</t>
  </si>
  <si>
    <t>TTUM:TITANIUM</t>
  </si>
  <si>
    <t>PTT:POTENT</t>
  </si>
  <si>
    <t>REDAN:REDANCOIN</t>
  </si>
  <si>
    <t>GMC:GOKUMARKET CREDIT</t>
  </si>
  <si>
    <t>CATTY:CATTY COIN</t>
  </si>
  <si>
    <t>FAST:FAST.FINANCE</t>
  </si>
  <si>
    <t>WOLF:WOLF.FINANCE</t>
  </si>
  <si>
    <t>MONTO:MONKEY TOKEN</t>
  </si>
  <si>
    <t>CYT:COYOTE</t>
  </si>
  <si>
    <t>UNGC:UNFOLDU GROUP COIN</t>
  </si>
  <si>
    <t>SPACE5:SPACELENS</t>
  </si>
  <si>
    <t>GMT3:GOMINING TOKEN</t>
  </si>
  <si>
    <t>OBC:OBLICHAIN</t>
  </si>
  <si>
    <t>BOR3:BORINGDAO</t>
  </si>
  <si>
    <t>HTZ:HERTZ NETWORK</t>
  </si>
  <si>
    <t>SPACE4:SPACE TOKEN</t>
  </si>
  <si>
    <t>USD12:PSYCHE</t>
  </si>
  <si>
    <t>WCX2:WECOOWN</t>
  </si>
  <si>
    <t>HLD:HOLDEFI</t>
  </si>
  <si>
    <t>DAFI:DAFI PROTOCOL</t>
  </si>
  <si>
    <t>LAZYDOGE:LAZYDOGE</t>
  </si>
  <si>
    <t>EVAI:EVAI.IO</t>
  </si>
  <si>
    <t>CSM3:CRUST SHADOW</t>
  </si>
  <si>
    <t>B2C3:BLACKBEARCOIN</t>
  </si>
  <si>
    <t>UFARM:UNIFARM</t>
  </si>
  <si>
    <t>WOW6:WOWSWAP</t>
  </si>
  <si>
    <t>CNT3:CRYPTION NETWORK TOKEN</t>
  </si>
  <si>
    <t>OZG:OZAGOLD</t>
  </si>
  <si>
    <t>AIR3:AIRCOIN</t>
  </si>
  <si>
    <t>PHUCK:PHUCK</t>
  </si>
  <si>
    <t>ASAP:CHAINSWAP</t>
  </si>
  <si>
    <t>SKRT:SEKURITANCE</t>
  </si>
  <si>
    <t>NFTA:NFTA</t>
  </si>
  <si>
    <t>GAP3:GLOBAL ADVERSITY PROJECT</t>
  </si>
  <si>
    <t>AINU:AINU TOKEN</t>
  </si>
  <si>
    <t>GMC9:GOKUMARKET CREDIT</t>
  </si>
  <si>
    <t>HAC2:HACASH</t>
  </si>
  <si>
    <t>UNC5:UNELMACOIN</t>
  </si>
  <si>
    <t>RBT2:RIMBIT</t>
  </si>
  <si>
    <t>SAFU:SAFU NETWORK</t>
  </si>
  <si>
    <t>ARFI:AROMA FINANCE</t>
  </si>
  <si>
    <t>ONI:ONI</t>
  </si>
  <si>
    <t>HUP2:HUP.LIFE</t>
  </si>
  <si>
    <t>PALLA:PALLAPAY</t>
  </si>
  <si>
    <t>STARL:STARLINK</t>
  </si>
  <si>
    <t>CT:CARE TOKEN</t>
  </si>
  <si>
    <t>O3:O3 SWAP TOKEN</t>
  </si>
  <si>
    <t>AGN:AGRICOIN</t>
  </si>
  <si>
    <t>ALM:ALIUM SWAP</t>
  </si>
  <si>
    <t>ANV:ANIVERSE</t>
  </si>
  <si>
    <t>CNA:CURRENCY FARM TOKEN</t>
  </si>
  <si>
    <t>CQT:COVA</t>
  </si>
  <si>
    <t>FOY:FUND OF YOURS</t>
  </si>
  <si>
    <t>NOC:NEXABOOK COIN</t>
  </si>
  <si>
    <t>TPI:THANECOIN</t>
  </si>
  <si>
    <t>XEC:ECASH</t>
  </si>
  <si>
    <t>BTRM:BETRIUM</t>
  </si>
  <si>
    <t>DCH1:DECHART</t>
  </si>
  <si>
    <t>FRTS:FRUITS</t>
  </si>
  <si>
    <t>GENS:GENSHIRO</t>
  </si>
  <si>
    <t>HART:HARA</t>
  </si>
  <si>
    <t>IBNB:IBNB FINANCE</t>
  </si>
  <si>
    <t>IRON:IRON</t>
  </si>
  <si>
    <t>LUD2:LITTLE UGLY DUCK</t>
  </si>
  <si>
    <t>PKR2:PEKKER TOKEN</t>
  </si>
  <si>
    <t>SAF2:SAFCOIN</t>
  </si>
  <si>
    <t>SETS:SENSITRUST</t>
  </si>
  <si>
    <t>SSGT:SAFESWAP</t>
  </si>
  <si>
    <t>STOC:STOC COIN</t>
  </si>
  <si>
    <t>TGDY:TEGRIDY TOKEN</t>
  </si>
  <si>
    <t>WWC2:WEREWOLF COIN</t>
  </si>
  <si>
    <t>XCAD:XCAD NETWORK</t>
  </si>
  <si>
    <t>ZORT:ZORT COIN</t>
  </si>
  <si>
    <t>AXIS4:AXIS TOKEN</t>
  </si>
  <si>
    <t>CATS2:CATOSHI NAKAMOTO</t>
  </si>
  <si>
    <t>DUCK5:UNIT PROTOCOL NEW</t>
  </si>
  <si>
    <t>FLOKI:FLOKI INU</t>
  </si>
  <si>
    <t>HERO5:FARMHERO</t>
  </si>
  <si>
    <t>MYOBU:MYŌBU</t>
  </si>
  <si>
    <t>PING2:SONAR</t>
  </si>
  <si>
    <t>SENT2:SENTIMENT TOKEN</t>
  </si>
  <si>
    <t>TENFI:TEN FINANCE</t>
  </si>
  <si>
    <t>PIZZA2:PIZZA FINANCE</t>
  </si>
  <si>
    <t>SHARK2:BABYSHARK TOKEN</t>
  </si>
  <si>
    <t>BONFIRE:BONFIRE</t>
  </si>
  <si>
    <t>TRIDENT:TRIDENT</t>
  </si>
  <si>
    <t>ELONGATE:ELONGATE</t>
  </si>
  <si>
    <t>MINIDOGE:MINIDOGE</t>
  </si>
  <si>
    <t>SAFUYIELD:SAFUYIELD PROTOCOL</t>
  </si>
  <si>
    <t>GT:GATETOKEN</t>
  </si>
  <si>
    <t>FUN:FUNTOKEN</t>
  </si>
  <si>
    <t>TKO:TOKO TOKEN</t>
  </si>
  <si>
    <t>GAL:GALATASARAY FAN TOKEN</t>
  </si>
  <si>
    <t>LDO:LIDO DAO TOKEN</t>
  </si>
  <si>
    <t>NRV:NERVE FINANCE</t>
  </si>
  <si>
    <t>PERL:PERL.ECO</t>
  </si>
  <si>
    <t>DPR:DEEPER NETWORK</t>
  </si>
  <si>
    <t>CUDOS:CUDOS</t>
  </si>
  <si>
    <t>DG:DECENTRAL GAMES</t>
  </si>
  <si>
    <t>CONV:CONVERGENCE</t>
  </si>
  <si>
    <t>EVZ:ELECTRIC VEHICLE ZONE</t>
  </si>
  <si>
    <t>DF:DFORCE</t>
  </si>
  <si>
    <t>MUSE:MUSE</t>
  </si>
  <si>
    <t>BHP:BHPCOIN</t>
  </si>
  <si>
    <t>ORAI:ORAICHAIN TOKEN</t>
  </si>
  <si>
    <t>TFBX:TRUEFEEDBACK</t>
  </si>
  <si>
    <t>IDV:IDAVOLL NETWORK</t>
  </si>
  <si>
    <t>FIS:STAFI</t>
  </si>
  <si>
    <t>OPIUM:OPIUM</t>
  </si>
  <si>
    <t>PTF:POWERTRADE FUEL</t>
  </si>
  <si>
    <t>HAKKA:HAKKA.FINANCE</t>
  </si>
  <si>
    <t>NFT:NFT</t>
  </si>
  <si>
    <t>RINGX:RING X PLATFORM</t>
  </si>
  <si>
    <t>BUY:BURENCY</t>
  </si>
  <si>
    <t>CGG:CHAIN GUARDIANS</t>
  </si>
  <si>
    <t>INT:INT</t>
  </si>
  <si>
    <t>AME:AMEPAY</t>
  </si>
  <si>
    <t>TOWER:TOWER</t>
  </si>
  <si>
    <t>DGTX:DIGITEX</t>
  </si>
  <si>
    <t>POOLZ:POOLZ FINANCE</t>
  </si>
  <si>
    <t>APYS:APYSWAP</t>
  </si>
  <si>
    <t>SIG:XSIGMA</t>
  </si>
  <si>
    <t>XSR:XENSOR</t>
  </si>
  <si>
    <t>SUN:SUN (NEW)</t>
  </si>
  <si>
    <t>DRS:DOCTORS COIN</t>
  </si>
  <si>
    <t>DDX:DERIVADAO</t>
  </si>
  <si>
    <t>FLM:FLAMINGO</t>
  </si>
  <si>
    <t>AQT:ALPHA QUARK TOKEN</t>
  </si>
  <si>
    <t>MUSD:MSTABLE USD</t>
  </si>
  <si>
    <t>BFC:BIFROST (BFC)</t>
  </si>
  <si>
    <t>SLT:SMARTLANDS NETWORK</t>
  </si>
  <si>
    <t>DREP:DREP [NEW]</t>
  </si>
  <si>
    <t>INSUR:INSURACE</t>
  </si>
  <si>
    <t>SLICE:TRANCHE FINANCE</t>
  </si>
  <si>
    <t>BIP:MINTER NETWORK</t>
  </si>
  <si>
    <t>XRT:ROBONOMICS.NETWORK</t>
  </si>
  <si>
    <t>MRX:METRIX COIN</t>
  </si>
  <si>
    <t>NVT:NERVENETWORK</t>
  </si>
  <si>
    <t>RBC:RUBIC</t>
  </si>
  <si>
    <t>BLANK:BLANK WALLET</t>
  </si>
  <si>
    <t>ABYSS:ABYSS</t>
  </si>
  <si>
    <t>MTRG:METER GOVERNANCE</t>
  </si>
  <si>
    <t>DUCK:DUCK DAO (DLP DUCK TOKEN)</t>
  </si>
  <si>
    <t>HZN:HORIZON PROTOCOL</t>
  </si>
  <si>
    <t>XIO:BLOCKZERO LABS</t>
  </si>
  <si>
    <t>UMX:UNIMEX NETWORK</t>
  </si>
  <si>
    <t>BANK:FLOAT PROTOCOL</t>
  </si>
  <si>
    <t>BREW:CAFESWAP TOKEN</t>
  </si>
  <si>
    <t>FIC:FILECASH</t>
  </si>
  <si>
    <t>WIKEN:PROJECT WITH</t>
  </si>
  <si>
    <t>WOW:WOWSWAP</t>
  </si>
  <si>
    <t>VNT:VNT CHAIN</t>
  </si>
  <si>
    <t>DEPAY:DEPAY</t>
  </si>
  <si>
    <t>EGG:GOOSE FINANCE</t>
  </si>
  <si>
    <t>STEP:STEP FINANCE</t>
  </si>
  <si>
    <t>TON:TOKAMAK NETWORK</t>
  </si>
  <si>
    <t>VBTC:VENUS BTC</t>
  </si>
  <si>
    <t>BOR:BORINGDAO</t>
  </si>
  <si>
    <t>OXY:OXYGEN</t>
  </si>
  <si>
    <t>YLD:YIELD APP</t>
  </si>
  <si>
    <t>EM:EMINER</t>
  </si>
  <si>
    <t>MUSH:MUSHROOM</t>
  </si>
  <si>
    <t>TRV:TRUSTVERSE</t>
  </si>
  <si>
    <t>MOON:MOONSWAP</t>
  </si>
  <si>
    <t>HY:HYBRIX</t>
  </si>
  <si>
    <t>GEO:GEODB</t>
  </si>
  <si>
    <t>SAKE:SAKETOKEN</t>
  </si>
  <si>
    <t>AXPR:AXPR</t>
  </si>
  <si>
    <t>SNB:SYNCHROBITCOIN</t>
  </si>
  <si>
    <t>FLO:FLOURMIX</t>
  </si>
  <si>
    <t>:</t>
  </si>
  <si>
    <t>BDP:BIG DATA PROTOCOL</t>
  </si>
  <si>
    <t>BIOT:BIOPASSPORT TOKEN</t>
  </si>
  <si>
    <t>CLBK:CLOUDBRIC</t>
  </si>
  <si>
    <t>DIP:DIP</t>
  </si>
  <si>
    <t>EL:ELYSIA</t>
  </si>
  <si>
    <t>MAP:MAP PROTOCOL</t>
  </si>
  <si>
    <t>MIS:MITHRIL SHARE</t>
  </si>
  <si>
    <t>SURE:SURE</t>
  </si>
  <si>
    <t>BTCA:BITCOIN ANONYMOUS</t>
  </si>
  <si>
    <t>APE$:APE PUNK</t>
  </si>
  <si>
    <t>HLX:HELEX</t>
  </si>
  <si>
    <t>BUBBA:BUBBA</t>
  </si>
  <si>
    <t>AIR:AIRCOIN</t>
  </si>
  <si>
    <t>KIOWA:KIOWA</t>
  </si>
  <si>
    <t>BTCA:BITCOIN ASIA</t>
  </si>
  <si>
    <t>KWIK:KWIKSWAP PROTOCOL</t>
  </si>
  <si>
    <t>PERI:PYNTHS PROTOCOL</t>
  </si>
  <si>
    <t>NICKEL:NICKEL</t>
  </si>
  <si>
    <t>SHICA:SHIBA CAKE</t>
  </si>
  <si>
    <t>GROND:GROND</t>
  </si>
  <si>
    <t>UDO:UNIDO</t>
  </si>
  <si>
    <t>ORO:ORO</t>
  </si>
  <si>
    <t>TESTA:TESTA</t>
  </si>
  <si>
    <t>DYNAMO:DYNAMO</t>
  </si>
  <si>
    <t>CON:COIN OF NATURE</t>
  </si>
  <si>
    <t>AIDOGE:AIDOGE FINANCE</t>
  </si>
  <si>
    <t>SST3:SOCIALSWAP</t>
  </si>
  <si>
    <t>XEC:CIMAREX ENERGY</t>
  </si>
  <si>
    <t>MCHI:ISHARES MSCI CHINA ETF</t>
  </si>
  <si>
    <t>MEHHC:MEHHCOIN</t>
  </si>
  <si>
    <t>BTE:BITWEB</t>
  </si>
  <si>
    <t>OPAL:OPAL</t>
  </si>
  <si>
    <t>JBC:JAPAN BRAND COIN</t>
  </si>
  <si>
    <t>BIA:BILAXY TOKEN</t>
  </si>
  <si>
    <t>SFX:SOFEROX</t>
  </si>
  <si>
    <t>BCCX:BLOCKCHAINCOINX</t>
  </si>
  <si>
    <t>CNX:CONSOL ENERGY</t>
  </si>
  <si>
    <t>SVIN:SAVING</t>
  </si>
  <si>
    <t>BMY:BRISTOL-MYERS SQUIBB</t>
  </si>
  <si>
    <t>CVX:CHEVRON</t>
  </si>
  <si>
    <t>FTI:TECHNIPFMS</t>
  </si>
  <si>
    <t>GOCO:GOHEALTH, INC.</t>
  </si>
  <si>
    <t>MD:MEDNAX</t>
  </si>
  <si>
    <t>VALE:VALE</t>
  </si>
  <si>
    <t>DTOP:DHEDGE TOP INDEX</t>
  </si>
  <si>
    <t>HDLN:HODLERS NETWORK</t>
  </si>
  <si>
    <t>MCL:MARMARA CREDIT LOOPS</t>
  </si>
  <si>
    <t>XNC:XENIOSCOIN</t>
  </si>
  <si>
    <t>ZEDXION:ZEDXION</t>
  </si>
  <si>
    <t>BFC3:BIFROST</t>
  </si>
  <si>
    <t>VIT:VISION INDUSTRY TOKEN</t>
  </si>
  <si>
    <t>BCCX:BLOCKCHAIN COINX</t>
  </si>
  <si>
    <t>ADS:ADIDAS AG</t>
  </si>
  <si>
    <t>PIPI:PIPI COIN</t>
  </si>
  <si>
    <t>BAMN:KONINKLIJKE BAM</t>
  </si>
  <si>
    <t>TIKTAK:TIKTAK</t>
  </si>
  <si>
    <t>EDF:EDF</t>
  </si>
  <si>
    <t>CTX:CRYPTEX</t>
  </si>
  <si>
    <t>XTK:XTAKE</t>
  </si>
  <si>
    <t>FTXR:FIRST TRUST NASDAQ TRANSPORTATION ETF</t>
  </si>
  <si>
    <t>TER:TERADYNE</t>
  </si>
  <si>
    <t>ADNT:ADIENT</t>
  </si>
  <si>
    <t>GRMN.CX:GARMIN LTD. TOKENIZED STOCK</t>
  </si>
  <si>
    <t>GRUB.CX:GRUBHUB TOKENIZED STOCK</t>
  </si>
  <si>
    <t>GWPH.CX:GW PHARMACEUTICALS PLC TOKENIZED STOCK</t>
  </si>
  <si>
    <t>ICPT.CX:INTERCEPT PHARMACEUTICALS, INC. TOKENIZED STOCK</t>
  </si>
  <si>
    <t>INCY.CX:INCYTE CORPORATION TOKENIZED STOCK</t>
  </si>
  <si>
    <t>INTC.CX:INTEL CORPORATION TOKENIZED STOCK</t>
  </si>
  <si>
    <t>IRBT.CX:IROBOT CORPORATION TOKENIZED STOCK</t>
  </si>
  <si>
    <t>ISRG.CX:INTUITIVE SURGICAL, INC. TOKENIZED STOCK</t>
  </si>
  <si>
    <t>LINKUSD:LINKUSD</t>
  </si>
  <si>
    <t>LKOD.CX:LUKOIL PJSC ADR TOKENIZED STOCK</t>
  </si>
  <si>
    <t>LTCBEAR:3X SHORT LITECOIN TOKEN</t>
  </si>
  <si>
    <t>LTCBULL:3X LONG LITECOIN TOKEN</t>
  </si>
  <si>
    <t>LTCDOWN:BINANCE LITECOIN SHORT</t>
  </si>
  <si>
    <t>LYFT.CX:LYFT TOKENIZED STOCK</t>
  </si>
  <si>
    <t>MCHP.CX:MICROCHIP TECHNOLOGY INCORPORATED TOKENIZED STOCK</t>
  </si>
  <si>
    <t>MOMO.CX:MOMO INC. TOKENIZED STOCK</t>
  </si>
  <si>
    <t>MRVL.CX:MARVELL TECHNOLOGY GROUP LTD. TOKENIZED STOCK</t>
  </si>
  <si>
    <t>MSFT.CX:MICROSOFT TOKENIZED STOCK</t>
  </si>
  <si>
    <t>MTCH.CX:MATCH GROUP, INC. TOKENIZED STOCK</t>
  </si>
  <si>
    <t>NCLH.CX:NORWEGIAN CRUISE LINE HOLDINGS LTD. TOKENIZED STOCK</t>
  </si>
  <si>
    <t>NFLX.CX:NETFLIX TOKENIZED STOCK</t>
  </si>
  <si>
    <t>NKTR.CX:NEKTAR THERAPEUTICS TOKENIZED STOCK</t>
  </si>
  <si>
    <t>NTES.CX:NETEASE, INC. TOKENIZED STOCK</t>
  </si>
  <si>
    <t>NVDA.CX:NVIDIA TOKENIZED STOCK</t>
  </si>
  <si>
    <t>OCFT.CX:ONECONNECT TOKENIZED STOCK</t>
  </si>
  <si>
    <t>OGZD.CX:GAZPROM PJSC ADR TOKENIZED STOCK</t>
  </si>
  <si>
    <t>OKBBEAR:3X SHORT OKB TOKEN</t>
  </si>
  <si>
    <t>OKBBULL:3X LONG OKB TOKEN</t>
  </si>
  <si>
    <t>ONEM.CX:1LIFE HEALTHCARE INC TOKENIZED STOCK</t>
  </si>
  <si>
    <t>ONIGIRI:ONIGIRISWAP</t>
  </si>
  <si>
    <t>ORCL.CX:ORACLE TOKENIZED STOCK</t>
  </si>
  <si>
    <t>OSTK.CX:OVERSTOCK.COM, INC. TOKENIZED STOCK</t>
  </si>
  <si>
    <t>PAYC.CX:PAYCOM SOFTWARE, INC. TOKENIZED STOCK</t>
  </si>
  <si>
    <t>PBYI.CX:PUMA BIOTECHNOLOGY, INC. TOKENIZED STOCK</t>
  </si>
  <si>
    <t>PROPHET:PROPHET</t>
  </si>
  <si>
    <t>PTEN.CX:PATTERSON-UTI ENERGY, INC. TOKENIZED STOCK</t>
  </si>
  <si>
    <t>PTON.CX:PELOTON INTERACTIVE INC TOKENIZED STOCK</t>
  </si>
  <si>
    <t>PYPL.CX:PAYPAL HOLDINGS TOKENIZED STOCK</t>
  </si>
  <si>
    <t>QCOM.CX:QUALCOMM INC TOKENIZED STOCK</t>
  </si>
  <si>
    <t>QRVO.CX:QORVO, INC. TOKENIZED STOCK</t>
  </si>
  <si>
    <t>ROKU.CX:ROKU, INC. TOKENIZED STOCK</t>
  </si>
  <si>
    <t>SAGE.CX:SAGE THERAPEUTICS, INC. TOKENIZED STOCK</t>
  </si>
  <si>
    <t>SBER.CX:SBERBANK OF RUSSIA GDR TOKENIZED STOCK</t>
  </si>
  <si>
    <t>SBUX.CX:STARBUCKS CORP TOKENIZED STOCK</t>
  </si>
  <si>
    <t>SHOP.CX:SHOPIFY CL A SUB VTG TOKENIZED STOCK</t>
  </si>
  <si>
    <t>SLCA.CX:US SILICA HOLDINGS TOKENIZED STOCK</t>
  </si>
  <si>
    <t>SNAP.CX:SNAP TOKENIZED STOCK</t>
  </si>
  <si>
    <t>SOHU.CX:SOHU.COM LIMITED TOKENIZED STOCK</t>
  </si>
  <si>
    <t>SRPT.CX:SAREPTA THERAPEUTICS, INC. TOKENIZED STOCK</t>
  </si>
  <si>
    <t>STLD.CX:STEEL DYNAMICS, INC. TOKENIZED STOCK</t>
  </si>
  <si>
    <t>SUSHIUP:BINANCE SUSHI LONG</t>
  </si>
  <si>
    <t>SWKS.CX:SKYWORKS SOLUTIONS, INC. TOKENIZED STOCK</t>
  </si>
  <si>
    <t>SXPDOWN:BINANCE SWIPE SHORT</t>
  </si>
  <si>
    <t>TEAM.CX:ATLASSIAN CORPORATION PLC TOKENIZED STOCK</t>
  </si>
  <si>
    <t>TEVA.CX:TEVA PHARMA IND ADR REP 1 TOKENIZED STOCK</t>
  </si>
  <si>
    <t>TLRY.CX:TILRAY, INC. TOKENIZED STOCK</t>
  </si>
  <si>
    <t>TMUS.CX:T-MOBILE US, INC. TOKENIZED STOCK</t>
  </si>
  <si>
    <t>TRIP.CX:TRIPADVISOR, INC. TOKENIZED STOCK</t>
  </si>
  <si>
    <t>TRXBEAR:3X SHORT TRX TOKEN</t>
  </si>
  <si>
    <t>TRXBULL:3X LONG TRX TOKEN</t>
  </si>
  <si>
    <t>TRXDOWN:BINANCE TRON SHORT</t>
  </si>
  <si>
    <t>TSLA.CX:TESLA TOKENIZED STOCK</t>
  </si>
  <si>
    <t>TTWO.CX:TAKE-TWO INTERACTIVE SOFTWARE, INC. TOKENIZED STOCK</t>
  </si>
  <si>
    <t>TWLO.CX:TWILIO CL A TOKENIZED STOCK</t>
  </si>
  <si>
    <t>TWTR.CX:TWITTER TOKENIZED STOCK</t>
  </si>
  <si>
    <t>UBER.CX:UBER TECHNOLOGIES INC TOKENIZED STOCK</t>
  </si>
  <si>
    <t>UNICRAP:UNICRAPTOKEN.XYZ</t>
  </si>
  <si>
    <t>UNIDOWN:BINANCE UNISWAP SHORT</t>
  </si>
  <si>
    <t>VNET.CX:21VIANET GROUP, INC. TOKENIZED STOCK</t>
  </si>
  <si>
    <t>WANATHA:ANATHA</t>
  </si>
  <si>
    <t>WATT.CX:ENERGOUS CORPORATION TOKENIZED STOCK</t>
  </si>
  <si>
    <t>WDAY.CX:WORKDAY INC TOKENIZED STOCK</t>
  </si>
  <si>
    <t>WORK.CX:SLACK TECHNOLOGIES INC TOKENIZED STOCK</t>
  </si>
  <si>
    <t>XLMDOWN:BINANCE STELLAR SHORT</t>
  </si>
  <si>
    <t>XLNX.CX:XILINX, INC. TOKENIZED STOCK</t>
  </si>
  <si>
    <t>XRPBEAR:3X SHORT XRP TOKEN</t>
  </si>
  <si>
    <t>XRPBULL:3X LONG XRP TOKEN</t>
  </si>
  <si>
    <t>XRPDOWN:BINANCE XRP SHORT</t>
  </si>
  <si>
    <t>XTZBEAR:3X SHORT TEZOS TOKEN</t>
  </si>
  <si>
    <t>XTZDOWN:BINANCE TEZOS SHORT</t>
  </si>
  <si>
    <t>YELP.CX:YELP TOKENIZED STOCK</t>
  </si>
  <si>
    <t>YFIKING:YFIKING FINANCE</t>
  </si>
  <si>
    <t>YIELDX2:YIELDX TOKEN</t>
  </si>
  <si>
    <t>YNDX.CX:YANDEX N.V. TOKENIZED STOCK</t>
  </si>
  <si>
    <t>YOLO.CX:ADVISORSHARES PURE CANNABIS ETF TOKENIZED STOCK</t>
  </si>
  <si>
    <t>AAVEDOWN:BINANCE AAVE SHORT</t>
  </si>
  <si>
    <t>AAA:AAA COIN</t>
  </si>
  <si>
    <t>CCH4:COINCHASE TOKEN</t>
  </si>
  <si>
    <t>MDTK:MDTOKEN</t>
  </si>
  <si>
    <t>UMC:UNITY MATRIX COMMONS</t>
  </si>
  <si>
    <t>DIM:DIMCOIN</t>
  </si>
  <si>
    <t>SHVR:SHIVERS</t>
  </si>
  <si>
    <t>SIG:SIGNAL TOKEN</t>
  </si>
  <si>
    <t>WYS:WYS TOKEN</t>
  </si>
  <si>
    <t>BUMBA:BUMBACOIN</t>
  </si>
  <si>
    <t>XG:GIGA</t>
  </si>
  <si>
    <t>FLT:FLUTTERCOIN</t>
  </si>
  <si>
    <t>DICE4:DICE.FINANCE</t>
  </si>
  <si>
    <t>HVCO:HIGH VOLTAGE</t>
  </si>
  <si>
    <t>FND:FUNDREQUEST</t>
  </si>
  <si>
    <t>UCS:UNCENSORED TOKEN</t>
  </si>
  <si>
    <t>PACT:PACT</t>
  </si>
  <si>
    <t>SYBC:SYB COIN</t>
  </si>
  <si>
    <t>REA:REALISTO</t>
  </si>
  <si>
    <t>SLT2:SMARTLANDS</t>
  </si>
  <si>
    <t>ETA:ETHEERA</t>
  </si>
  <si>
    <t>FLC2:FLOWCHAIN</t>
  </si>
  <si>
    <t>BTXC:BETTEX COIN</t>
  </si>
  <si>
    <t>SMS:SPEED MINING SERVICE</t>
  </si>
  <si>
    <t>IMX:IMPACT</t>
  </si>
  <si>
    <t>BITS2:BITCOINUS</t>
  </si>
  <si>
    <t>WELL:WELL</t>
  </si>
  <si>
    <t>OAK:ACORN COLLECTIVE</t>
  </si>
  <si>
    <t>GJC:GLOBAL JOBCOIN</t>
  </si>
  <si>
    <t>ANTI:ANTIBITCOIN</t>
  </si>
  <si>
    <t>YUP:CROWDHOLDING</t>
  </si>
  <si>
    <t>BUL:BULLEON</t>
  </si>
  <si>
    <t>KARMA2:KARMA</t>
  </si>
  <si>
    <t>BXT2:BITFXT COIN</t>
  </si>
  <si>
    <t>ATS:AUTHORSHIP</t>
  </si>
  <si>
    <t>DRP:DCORP</t>
  </si>
  <si>
    <t>ENGT:ENGAGEMENT TOKEN</t>
  </si>
  <si>
    <t>GPU:GPU COIN</t>
  </si>
  <si>
    <t>HST:DECISION TOKEN</t>
  </si>
  <si>
    <t>XIO:XIO</t>
  </si>
  <si>
    <t>HOSP:HOSPITAL COIN</t>
  </si>
  <si>
    <t>CALL:GLOBAL CRYPTO ALLIANCE</t>
  </si>
  <si>
    <t>GEEQ:GEEQ</t>
  </si>
  <si>
    <t>HGO:HIREGO</t>
  </si>
  <si>
    <t>XXX:ADULTCHAIN</t>
  </si>
  <si>
    <t>SOAR:SOARCOIN</t>
  </si>
  <si>
    <t>RNS:RENOS</t>
  </si>
  <si>
    <t>ICOB:ICOBID</t>
  </si>
  <si>
    <t>JMC:JUNSONMINGCHANCOIN</t>
  </si>
  <si>
    <t>CAZ:CAZCOIN</t>
  </si>
  <si>
    <t>STV:SATIVACOIN</t>
  </si>
  <si>
    <t>IMS:INDEPENDENT MONEY SYSTEM</t>
  </si>
  <si>
    <t>LST7:LUCKYSEVENTOKEN</t>
  </si>
  <si>
    <t>CFUN:CFUN</t>
  </si>
  <si>
    <t>ELCN:ELACOIN</t>
  </si>
  <si>
    <t>STREAM:STREAMIT COIN</t>
  </si>
  <si>
    <t>BOAT:DOUBLOON</t>
  </si>
  <si>
    <t>HYPX:HYPNOXYS</t>
  </si>
  <si>
    <t>DCTO:DECENTRALIZED CRYPTO TOKEN</t>
  </si>
  <si>
    <t>RTO:ARTO</t>
  </si>
  <si>
    <t>ASG:ASGARD</t>
  </si>
  <si>
    <t>REDC:REDCAB</t>
  </si>
  <si>
    <t>WBB:WILD BEAST BLOCK</t>
  </si>
  <si>
    <t>IXE:IXTUS EDUTAINMENT</t>
  </si>
  <si>
    <t>RLT:ROULETTETOKEN</t>
  </si>
  <si>
    <t>ICR:INTERCRONE</t>
  </si>
  <si>
    <t>ESCE:ESCROCO EMERALD</t>
  </si>
  <si>
    <t>UEC:UNITED EMIRATE COIN</t>
  </si>
  <si>
    <t>CXT:COINONAT</t>
  </si>
  <si>
    <t>MAG:MAGNET</t>
  </si>
  <si>
    <t>BRAIN:BRAINCOIN</t>
  </si>
  <si>
    <t>CAID:CLEARAID</t>
  </si>
  <si>
    <t>XOV:XOVBANK</t>
  </si>
  <si>
    <t>BTSA:BITCOINSAVING</t>
  </si>
  <si>
    <t>MBGL:MOBIT GLOBAL</t>
  </si>
  <si>
    <t>CCT4:CRYSTAL CLEAR</t>
  </si>
  <si>
    <t>XGOX:GO! COIN</t>
  </si>
  <si>
    <t>XZX:ZIXX</t>
  </si>
  <si>
    <t>ANON:ANON</t>
  </si>
  <si>
    <t>DAN:DANEEL</t>
  </si>
  <si>
    <t>CPC4:CASHPAYZ TOKEN</t>
  </si>
  <si>
    <t>LRM:LIQUID REGENERATIVE MEDICINE COIN</t>
  </si>
  <si>
    <t>OLMP:OLYMPIC</t>
  </si>
  <si>
    <t>STS:STRESS</t>
  </si>
  <si>
    <t>XMCC:MONOECI</t>
  </si>
  <si>
    <t>CEDEX:CEDEX COIN</t>
  </si>
  <si>
    <t>VIU:VIULY</t>
  </si>
  <si>
    <t>DRAGON:DRAGON OPTION</t>
  </si>
  <si>
    <t>MRO:MERO CURRENCY</t>
  </si>
  <si>
    <t>EBASE:EURBASE</t>
  </si>
  <si>
    <t>BKC:BANKCOIN CASH</t>
  </si>
  <si>
    <t>FLVR:FLAVORCOIN</t>
  </si>
  <si>
    <t>BNC:BIONIC</t>
  </si>
  <si>
    <t>URALS:URALSCOIN</t>
  </si>
  <si>
    <t>SLING:SLING</t>
  </si>
  <si>
    <t>KOD:KODCOIN</t>
  </si>
  <si>
    <t>DASHD:DASH DIAMOND</t>
  </si>
  <si>
    <t>FBC2:FIBERCOIN</t>
  </si>
  <si>
    <t>PURE:PURE</t>
  </si>
  <si>
    <t>THAR:THAR TOKEN</t>
  </si>
  <si>
    <t>PLNC:PLNCOIN</t>
  </si>
  <si>
    <t>CRB:CREDITBIT</t>
  </si>
  <si>
    <t>PDX:PAYDAY COIN</t>
  </si>
  <si>
    <t>MTC:DOC.COM</t>
  </si>
  <si>
    <t>CMT2:COMET</t>
  </si>
  <si>
    <t>DGMT:DIGIMAX</t>
  </si>
  <si>
    <t>ACC:ADCOIN</t>
  </si>
  <si>
    <t>ALX:ALAX</t>
  </si>
  <si>
    <t>BAC3:BASIS CASH</t>
  </si>
  <si>
    <t>XRH:RHENIUM</t>
  </si>
  <si>
    <t>ALTCOM:ALTCOMMUNITY COIN</t>
  </si>
  <si>
    <t>STO2:STOREUM</t>
  </si>
  <si>
    <t>ELD:ELECTRUM DARK</t>
  </si>
  <si>
    <t>SCORE:SCORECOIN</t>
  </si>
  <si>
    <t>BXC5:BITCOIN CLASSIC</t>
  </si>
  <si>
    <t>NAT:NATMIN</t>
  </si>
  <si>
    <t>SIM:SIMMITRI</t>
  </si>
  <si>
    <t>CBTC:CLASSICBITCOIN</t>
  </si>
  <si>
    <t>XID2:SPHERE IDENTITY</t>
  </si>
  <si>
    <t>BCARD:CARDBUYERS</t>
  </si>
  <si>
    <t>SPZ:SWAPCOINZ</t>
  </si>
  <si>
    <t>MMT:MAXIMUM EXCHANGE</t>
  </si>
  <si>
    <t>MILO:MILOCOIN</t>
  </si>
  <si>
    <t>CESC:CRYPTOESCUDO</t>
  </si>
  <si>
    <t>KAASO:KAASO</t>
  </si>
  <si>
    <t>HZT:HAZEL</t>
  </si>
  <si>
    <t>LGS:LOGISCOIN</t>
  </si>
  <si>
    <t>STR:STAKER</t>
  </si>
  <si>
    <t>PRTX:PRINTEX</t>
  </si>
  <si>
    <t>SND2:SNODECOIN</t>
  </si>
  <si>
    <t>XCT:C-BIT</t>
  </si>
  <si>
    <t>STPX:STASH</t>
  </si>
  <si>
    <t>BRAT:BRAT</t>
  </si>
  <si>
    <t>IRL:IRISHCOIN</t>
  </si>
  <si>
    <t>PRJ:PROJECT COIN</t>
  </si>
  <si>
    <t>TORQ:TORQ COIN</t>
  </si>
  <si>
    <t>LBC13:JONAS SMILGEVIČIUS</t>
  </si>
  <si>
    <t>SAKE:SAKECOIN</t>
  </si>
  <si>
    <t>BND:BLOCKNODE</t>
  </si>
  <si>
    <t>XGEN:NEXT GENERATION</t>
  </si>
  <si>
    <t>TRDT:TRIDENT GROUP</t>
  </si>
  <si>
    <t>MNP:MNPCOIN</t>
  </si>
  <si>
    <t>ECPN:ECPN TOKEN</t>
  </si>
  <si>
    <t>BRK:BREAKOUT</t>
  </si>
  <si>
    <t>HAC:HACKSPACE CAPITAL</t>
  </si>
  <si>
    <t>BOON:BOON TECH</t>
  </si>
  <si>
    <t>XN:NODIUM</t>
  </si>
  <si>
    <t>TMT:TRAXIA</t>
  </si>
  <si>
    <t>BENJI:BENJIROLLS</t>
  </si>
  <si>
    <t>ECTE:EUROCOINTOKEN</t>
  </si>
  <si>
    <t>DFS:DIGITAL FANTASY SPORTS</t>
  </si>
  <si>
    <t>GENX:GENESIS</t>
  </si>
  <si>
    <t>FNTB:FINTAB</t>
  </si>
  <si>
    <t>BRG:BRING</t>
  </si>
  <si>
    <t>MOON4:MOONSWAP</t>
  </si>
  <si>
    <t>WLO:WOLLO</t>
  </si>
  <si>
    <t>SCM:SIMULACRUM</t>
  </si>
  <si>
    <t>BIT3:BITMONEY</t>
  </si>
  <si>
    <t>CNMC:CRYPTONODES</t>
  </si>
  <si>
    <t>MSCN:MASTER SWISCOIN</t>
  </si>
  <si>
    <t>GPA:GPLAY</t>
  </si>
  <si>
    <t>EVOS:EVOS</t>
  </si>
  <si>
    <t>MERO2:MERO</t>
  </si>
  <si>
    <t>MAX:MAX EXCHANGE TOKEN</t>
  </si>
  <si>
    <t>SET2:SAVE ENVIRONMENT TOKEN</t>
  </si>
  <si>
    <t>JC:JESUS COIN</t>
  </si>
  <si>
    <t>KZE:ALMEELA</t>
  </si>
  <si>
    <t>GRMD:GREENMED</t>
  </si>
  <si>
    <t>CRBT:CRUISEBIT</t>
  </si>
  <si>
    <t>PUREX:PURE</t>
  </si>
  <si>
    <t>AEVO:AEVO</t>
  </si>
  <si>
    <t>CDM:CDMCOIN</t>
  </si>
  <si>
    <t>ACRE:ACRE</t>
  </si>
  <si>
    <t>BTCONE:BITCOIN ONE</t>
  </si>
  <si>
    <t>HTA:HISTORIA</t>
  </si>
  <si>
    <t>CONX:CONCOIN</t>
  </si>
  <si>
    <t>SLV2:SILVERWAY</t>
  </si>
  <si>
    <t>SLT3:SLT</t>
  </si>
  <si>
    <t>ELS:ELYSIUM</t>
  </si>
  <si>
    <t>AT:ABCC TOKEN</t>
  </si>
  <si>
    <t>VIP2:VIP COIN</t>
  </si>
  <si>
    <t>MTNS:OMOTENASHICOIN</t>
  </si>
  <si>
    <t>CNZ:CRYPTONATIONZ</t>
  </si>
  <si>
    <t>OBT:ORBIS TOKEN</t>
  </si>
  <si>
    <t>DTCN:DATOCOIN</t>
  </si>
  <si>
    <t>TUX:TUXCOIN</t>
  </si>
  <si>
    <t>PAR:PARLAY</t>
  </si>
  <si>
    <t>B2C:BITCLASSIC</t>
  </si>
  <si>
    <t>MPT:MONEY PLANT TOKEN</t>
  </si>
  <si>
    <t>MM:MARCUSMILLICHAP</t>
  </si>
  <si>
    <t>GMCN:GAMBLECOIN</t>
  </si>
  <si>
    <t>LTK:LITECOIN TOKEN</t>
  </si>
  <si>
    <t>SHB:SKYHUB</t>
  </si>
  <si>
    <t>BSX:BITSPACE</t>
  </si>
  <si>
    <t>CLX3:CELEUM</t>
  </si>
  <si>
    <t>XMASS:XMASS</t>
  </si>
  <si>
    <t>XCG:XCHANGE</t>
  </si>
  <si>
    <t>P2PX:P2PX</t>
  </si>
  <si>
    <t>2GO:COINTOGO</t>
  </si>
  <si>
    <t>BOXX:BLOCKPARTY</t>
  </si>
  <si>
    <t>SCT:SOMA</t>
  </si>
  <si>
    <t>GRV:GRAVIUM</t>
  </si>
  <si>
    <t>XC:XCURRENCY</t>
  </si>
  <si>
    <t>MFIT:MFIT COIN</t>
  </si>
  <si>
    <t>NYAN:NYANCOIN</t>
  </si>
  <si>
    <t>SPDR3:SPIDER VPS</t>
  </si>
  <si>
    <t>SEKO:SEKOPAY</t>
  </si>
  <si>
    <t>WXC:WX-COIN</t>
  </si>
  <si>
    <t>ZEST:ZEST</t>
  </si>
  <si>
    <t>BTCUI:BITCOIN UNICORN</t>
  </si>
  <si>
    <t>UNIT:UNIVERSAL CURRENCY</t>
  </si>
  <si>
    <t>SPEC:SPECTRUMNETWORK</t>
  </si>
  <si>
    <t>CDZC:CRYPTODEZIRECASH</t>
  </si>
  <si>
    <t>TMB2:TEMBOCOIN</t>
  </si>
  <si>
    <t>ESK:ESKA</t>
  </si>
  <si>
    <t>XCXT:COINONATX</t>
  </si>
  <si>
    <t>SBREE:CBDAO</t>
  </si>
  <si>
    <t>ZBA:ZOOMBA</t>
  </si>
  <si>
    <t>PROC:PROCURRENCY</t>
  </si>
  <si>
    <t>GEX3:GEXAN</t>
  </si>
  <si>
    <t>BCP:BLUECHILIPROMO</t>
  </si>
  <si>
    <t>BENZ:BENZ</t>
  </si>
  <si>
    <t>MINTD:MINTD</t>
  </si>
  <si>
    <t>WCO:WINCO</t>
  </si>
  <si>
    <t>DC:DUCAT COIN</t>
  </si>
  <si>
    <t>ICHX:ICECHAIN</t>
  </si>
  <si>
    <t>XGR:GOLDRESERVE</t>
  </si>
  <si>
    <t>EPIC:EPIC COIN</t>
  </si>
  <si>
    <t>NOBS:NO BS CRYPTO</t>
  </si>
  <si>
    <t>GEERT:GEERTCOIN</t>
  </si>
  <si>
    <t>AZART:AZART</t>
  </si>
  <si>
    <t>ZIO:ZIO</t>
  </si>
  <si>
    <t>MC:MASTERCOIN</t>
  </si>
  <si>
    <t>NTX:NETCHAIN</t>
  </si>
  <si>
    <t>WSP:WISPR</t>
  </si>
  <si>
    <t>ZYD:ZAYEDCOIN</t>
  </si>
  <si>
    <t>TRD2:BITTRADER</t>
  </si>
  <si>
    <t>COTN:COTTONCOIN</t>
  </si>
  <si>
    <t>MORE:MITHRIL ORE</t>
  </si>
  <si>
    <t>ZOW:ZOOW</t>
  </si>
  <si>
    <t>DDX:DIETBITCOIN</t>
  </si>
  <si>
    <t>HTX:HUPTEX</t>
  </si>
  <si>
    <t>CSX:CASAX</t>
  </si>
  <si>
    <t>ETGP:ETHEREUM GOLD</t>
  </si>
  <si>
    <t>FLM3:FOLM</t>
  </si>
  <si>
    <t>ORM:ORIUM</t>
  </si>
  <si>
    <t>PNX:PHANTOMX</t>
  </si>
  <si>
    <t>STN:STENEUM COIN</t>
  </si>
  <si>
    <t>PCOIN:PIONEER COIN</t>
  </si>
  <si>
    <t>TREX:TREXCOIN</t>
  </si>
  <si>
    <t>ELLI:ELLIOT COIN</t>
  </si>
  <si>
    <t>ROOFS:ROOFS</t>
  </si>
  <si>
    <t>BON:BONPAY</t>
  </si>
  <si>
    <t>EXPI:EXPI</t>
  </si>
  <si>
    <t>BTT5:BLOCKTRADE TOKEN</t>
  </si>
  <si>
    <t>QNO:QYNO</t>
  </si>
  <si>
    <t>CCBC:CRYPTO CASH BACK</t>
  </si>
  <si>
    <t>TASK:TASKEVA</t>
  </si>
  <si>
    <t>CCC:BLOCKSHIPPING GSCP</t>
  </si>
  <si>
    <t>ACAD:ACADEMY</t>
  </si>
  <si>
    <t>TRADE:TRADECOIN</t>
  </si>
  <si>
    <t>SFE:SAFECOIN</t>
  </si>
  <si>
    <t>DTEM:DYSTEM</t>
  </si>
  <si>
    <t>PSY2:PSY TOKEN</t>
  </si>
  <si>
    <t>JIYOX:JIYO</t>
  </si>
  <si>
    <t>MST:MUSTANGCOIN</t>
  </si>
  <si>
    <t>VN:VICE NETWORK</t>
  </si>
  <si>
    <t>CLM:CLAYMORE</t>
  </si>
  <si>
    <t>BLCR:BLACER COIN</t>
  </si>
  <si>
    <t>OMB:OMBRE</t>
  </si>
  <si>
    <t>AAA:ABULABA</t>
  </si>
  <si>
    <t>PCR:PAYCORE</t>
  </si>
  <si>
    <t>DVD:DIVIDEND.CASH</t>
  </si>
  <si>
    <t>BTPL:BITCOIN PLANET</t>
  </si>
  <si>
    <t>CCC3:CONCIERGE COIN</t>
  </si>
  <si>
    <t>BLS:BLISSCOIN</t>
  </si>
  <si>
    <t>TRK:TRUCKCOIN</t>
  </si>
  <si>
    <t>OUR2:OURCOIN</t>
  </si>
  <si>
    <t>PLACO:PLAYERCOIN</t>
  </si>
  <si>
    <t>VOLT:BITVOLT</t>
  </si>
  <si>
    <t>REDFISH:REDFISHCOIN</t>
  </si>
  <si>
    <t>TAL:TALUS</t>
  </si>
  <si>
    <t>GEN:GENESIS COIN</t>
  </si>
  <si>
    <t>INNBCL:INNOVATIVE BIORESEARCH CLASSIC</t>
  </si>
  <si>
    <t>JS:JAVASCRIPT TOKEN</t>
  </si>
  <si>
    <t>NEWS:PUBLISH</t>
  </si>
  <si>
    <t>XLC:ETHEREUM LITE CASH</t>
  </si>
  <si>
    <t>DELIZ:DELIZIA</t>
  </si>
  <si>
    <t>EBT:EBITTREE COIN</t>
  </si>
  <si>
    <t>ZZC:ZOZOCOIN</t>
  </si>
  <si>
    <t>DIG:DIGNITY</t>
  </si>
  <si>
    <t>DLITE:DLITE TOKEN</t>
  </si>
  <si>
    <t>REV3:REVENU</t>
  </si>
  <si>
    <t>QNODE:QUANTUM NODE</t>
  </si>
  <si>
    <t>SFC:SOLARFLARECOIN</t>
  </si>
  <si>
    <t>IETH:IETHEREUM</t>
  </si>
  <si>
    <t>CCN:CANNACOIN</t>
  </si>
  <si>
    <t>DAR:DARCRUS</t>
  </si>
  <si>
    <t>SCN:SECURE CLOUD NET</t>
  </si>
  <si>
    <t>7E:7ELEVEN</t>
  </si>
  <si>
    <t>SOIL:SOILCOIN</t>
  </si>
  <si>
    <t>SOL:SOLA TOKEN</t>
  </si>
  <si>
    <t>SPK:SPARKS</t>
  </si>
  <si>
    <t>XID:SPHRE AIR</t>
  </si>
  <si>
    <t>SPD:SPINDLE</t>
  </si>
  <si>
    <t>SPRTS:SPROUTS</t>
  </si>
  <si>
    <t>STA:STARTA</t>
  </si>
  <si>
    <t>HOLD:STELLAR HOLDINGS</t>
  </si>
  <si>
    <t>UNITY:SUPERNET</t>
  </si>
  <si>
    <t>SIC:SWISSCOIN</t>
  </si>
  <si>
    <t>TGT:TARGET COIN</t>
  </si>
  <si>
    <t>TLE:TATTOOCOIN (LIMITED EDITION)</t>
  </si>
  <si>
    <t>TCN:TCOIN</t>
  </si>
  <si>
    <t>TESLA:TESLACOILCOIN</t>
  </si>
  <si>
    <t>TOK:TOKUGAWA</t>
  </si>
  <si>
    <t>TOR:TORCOIN</t>
  </si>
  <si>
    <t>TRCT:TRACTO</t>
  </si>
  <si>
    <t>TTC:TTC PROTOCOL</t>
  </si>
  <si>
    <t>TURBO:TURBOCOIN</t>
  </si>
  <si>
    <t>TWIST:TWIST</t>
  </si>
  <si>
    <t>UNC:UNCOIN</t>
  </si>
  <si>
    <t>UFO:UNIFORM FISCAL OBJECT</t>
  </si>
  <si>
    <t>UKG:UNIKOIN GOLD</t>
  </si>
  <si>
    <t>VLTC:VAULT COIN</t>
  </si>
  <si>
    <t>VZT:VEZT</t>
  </si>
  <si>
    <t>VTA:VIRTACOIN</t>
  </si>
  <si>
    <t>XVP:VIRTACOINPLUS</t>
  </si>
  <si>
    <t>VC:VIRTUALCOIN</t>
  </si>
  <si>
    <t>WGO:WAVESGO</t>
  </si>
  <si>
    <t>WSX:WEARESATOSHI</t>
  </si>
  <si>
    <t>WHL:WHALECOIN</t>
  </si>
  <si>
    <t>WWB:WOWBIT</t>
  </si>
  <si>
    <t>XCEL:XCELTOKEN</t>
  </si>
  <si>
    <t>XNN:XENON</t>
  </si>
  <si>
    <t>YOU:YOU COIN</t>
  </si>
  <si>
    <t>ZCO:ZEBI</t>
  </si>
  <si>
    <t>ZMC:ZETAMICRON</t>
  </si>
  <si>
    <t>FTCH:FARFETCH LTD</t>
  </si>
  <si>
    <t>BCA:BITCOIVA</t>
  </si>
  <si>
    <t>ETHBNT</t>
  </si>
  <si>
    <t>FBC:FIBERCOIN</t>
  </si>
  <si>
    <t>EREX:EREXCOIN</t>
  </si>
  <si>
    <t>CHAN:CHANCOIN</t>
  </si>
  <si>
    <t>STEPS:STEPS</t>
  </si>
  <si>
    <t>LIR:LETITRIDE</t>
  </si>
  <si>
    <t>CME:CASHME</t>
  </si>
  <si>
    <t>KASHH:KASHHCOIN</t>
  </si>
  <si>
    <t>SBIT:STACKBIT</t>
  </si>
  <si>
    <t>WXC:WXCOINS</t>
  </si>
  <si>
    <t>EAI:ETHEREUMAI</t>
  </si>
  <si>
    <t>CBT:CREBIT</t>
  </si>
  <si>
    <t>GTMR:GETMODER</t>
  </si>
  <si>
    <t>XOS:OASIS</t>
  </si>
  <si>
    <t>AGU:AGOUTI</t>
  </si>
  <si>
    <t>DNS:DINERS</t>
  </si>
  <si>
    <t>ELD:ELECTRUMDARK</t>
  </si>
  <si>
    <t>TRBO:TRBO</t>
  </si>
  <si>
    <t>BOO:BAMBOO</t>
  </si>
  <si>
    <t>CCN:CUSTOMCONTRACTNETWORK</t>
  </si>
  <si>
    <t>RITO:RITO</t>
  </si>
  <si>
    <t>INFO:INFO COIN</t>
  </si>
  <si>
    <t>KGS:KINGSCOIN</t>
  </si>
  <si>
    <t>LCNT:LUCENT</t>
  </si>
  <si>
    <t>HYT:HORYOUTOKEN</t>
  </si>
  <si>
    <t>BEN:TOKEN OF SZCZEPAN BENTYN</t>
  </si>
  <si>
    <t>ODEX:ONE DEX</t>
  </si>
  <si>
    <t>XIRO:XIROPHT</t>
  </si>
  <si>
    <t>STRN:SATURN CLASSIC DAO TOKEN</t>
  </si>
  <si>
    <t>SHIT:SHITCOIN</t>
  </si>
  <si>
    <t>KOWAL:KOWALSKI TOKEN</t>
  </si>
  <si>
    <t>KOS:ŁUKASZ KOS TOKEN</t>
  </si>
  <si>
    <t>TPC:TRADING POOL COIN</t>
  </si>
  <si>
    <t>421:FOURTWENTYONE</t>
  </si>
  <si>
    <t>POINT:POINT</t>
  </si>
  <si>
    <t>ADCTOKEN:AMAZING DIGITAL CRYPTO</t>
  </si>
  <si>
    <t>IOWN:IOWN TOKEN</t>
  </si>
  <si>
    <t>ANK:APPLE NETWORK</t>
  </si>
  <si>
    <t>AKC:AKIKCOIN</t>
  </si>
  <si>
    <t>SBTC:SOFT BITCOIN</t>
  </si>
  <si>
    <t>CUBIC:CUBIC</t>
  </si>
  <si>
    <t>0241:ALIBABA HEALTH INFORMATION TECHNOLOGY LIMITED</t>
  </si>
  <si>
    <t>AA:ALCOA</t>
  </si>
  <si>
    <t>AAP:ADVANCE AUTO PARTS</t>
  </si>
  <si>
    <t>ABBV:ABBVIE</t>
  </si>
  <si>
    <t>ADPT:ADAPTIVE BIOTECHNOLOGIES CORPORATION</t>
  </si>
  <si>
    <t>APA:APACHE</t>
  </si>
  <si>
    <t>BILL:BILL.COM INC</t>
  </si>
  <si>
    <t>BMW:BMW AG</t>
  </si>
  <si>
    <t>C:CITIGROUP INC</t>
  </si>
  <si>
    <t>DDOG:DATADOG INC</t>
  </si>
  <si>
    <t>IBM:INTERNATIONAL BUSINESS MACHINES CORP</t>
  </si>
  <si>
    <t>NET:CLOUDFLARE INC.</t>
  </si>
  <si>
    <t>SHOP:SHOPIFY CL A SUB VTG</t>
  </si>
  <si>
    <t>WMT:WAL-MART STORES INC</t>
  </si>
  <si>
    <t>CTLT:CATALENT INC</t>
  </si>
  <si>
    <t>DHR:DANAHER</t>
  </si>
  <si>
    <t>GLPG:GALAPAGOS NV</t>
  </si>
  <si>
    <t>GRMN:GARMIN LTD.</t>
  </si>
  <si>
    <t>IPN:IPSEN</t>
  </si>
  <si>
    <t>K:KELLOGG</t>
  </si>
  <si>
    <t>MU:MICRON TECHNOLOGY, INC.</t>
  </si>
  <si>
    <t>NOW:SERVICENOW</t>
  </si>
  <si>
    <t>PBYI:PUMA BIOTECHNOLOGY, INC.</t>
  </si>
  <si>
    <t>SIG:SIGNET JEWELERS</t>
  </si>
  <si>
    <t>TFX:TELEFLEX</t>
  </si>
  <si>
    <t>ZUKA:ZUKACOIN</t>
  </si>
  <si>
    <t>YOK:YOKCOIN</t>
  </si>
  <si>
    <t>LEX:ELXIS</t>
  </si>
  <si>
    <t>RAI:RAICOIN</t>
  </si>
  <si>
    <t>MDZA:MEDOOZA ECOSYSTEM</t>
  </si>
  <si>
    <t>CBSE:COINBASE PRE-IPO CONTRACTS</t>
  </si>
  <si>
    <t>POND:POND</t>
  </si>
  <si>
    <t>MSWAP:MONEYSWAP</t>
  </si>
  <si>
    <t>AU:AURUM COIN</t>
  </si>
  <si>
    <t>PXI:PRIME-XI</t>
  </si>
  <si>
    <t>CAB:CABBAGE</t>
  </si>
  <si>
    <t>IMPS:IMPULSECOIN</t>
  </si>
  <si>
    <t>EGOLD:EGOLD</t>
  </si>
  <si>
    <t>PWR:PWR COIN</t>
  </si>
  <si>
    <t>BIT:BITMONEY</t>
  </si>
  <si>
    <t>INX:INMAX</t>
  </si>
  <si>
    <t>MVT:THE MOVEMENT</t>
  </si>
  <si>
    <t>GOLD:GOLD</t>
  </si>
  <si>
    <t>IVC:INVOICE COIN</t>
  </si>
  <si>
    <t>MESH:MESHBOX</t>
  </si>
  <si>
    <t>XBA:BITCOIN AIR</t>
  </si>
  <si>
    <t>X0Z:ZEROZED</t>
  </si>
  <si>
    <t>EXR:EXSERION</t>
  </si>
  <si>
    <t>HNST:HONEST</t>
  </si>
  <si>
    <t>CVCC:CRYPTOVERIFICATIONCOIN</t>
  </si>
  <si>
    <t>TYC:TYCHECOIN</t>
  </si>
  <si>
    <t>MPWR:EMPOWER NETWORK</t>
  </si>
  <si>
    <t>VENA:VENA</t>
  </si>
  <si>
    <t>NNC:NANUCOIN</t>
  </si>
  <si>
    <t>DIMI:DIMINUTIVE COIN</t>
  </si>
  <si>
    <t>WGAMES:WAVESGAMES</t>
  </si>
  <si>
    <t>NOKN:NOKENCOIN</t>
  </si>
  <si>
    <t>DEC:DARK ENERGY CRYSTALS</t>
  </si>
  <si>
    <t>CO2B:CO2BIT</t>
  </si>
  <si>
    <t>STON:STON</t>
  </si>
  <si>
    <t>MANGA:MANGA TOKEN</t>
  </si>
  <si>
    <t>GTC:GITCOIN</t>
  </si>
  <si>
    <t>CW:CARDWALLET</t>
  </si>
  <si>
    <t>XKI:KI</t>
  </si>
  <si>
    <t>OPS:OCTOPUS PROTOCOL</t>
  </si>
  <si>
    <t>BSW:BISWAP</t>
  </si>
  <si>
    <t>BABYCAKE:BABY CAKE</t>
  </si>
  <si>
    <t>STETH:LIDO STAKED ETHER</t>
  </si>
  <si>
    <t>HOPE:HOPE TOKEN</t>
  </si>
  <si>
    <t>LIME:IME LAB</t>
  </si>
  <si>
    <t>DHS:DIRHAM CRYPTO</t>
  </si>
  <si>
    <t>DUCK:DLP DUCK TOKEN</t>
  </si>
  <si>
    <t>WSIENNA:SIENNA [ERC-20]</t>
  </si>
  <si>
    <t>XAI:SIDESHIFT TOKEN</t>
  </si>
  <si>
    <t>DOGEDRINKS:DOGEDRINKS</t>
  </si>
  <si>
    <t>PSL:PASTEL</t>
  </si>
  <si>
    <t>HZT:BLACK DIAMOND RATING</t>
  </si>
  <si>
    <t>GEC:GREEN ENERGY COIN</t>
  </si>
  <si>
    <t>B20:B20</t>
  </si>
  <si>
    <t>FTS:FOOTBALLSTARS</t>
  </si>
  <si>
    <t>JACK:JACK TOKEN</t>
  </si>
  <si>
    <t>XBX:XBX</t>
  </si>
  <si>
    <t>KEN:KEYSIANS NETWORK</t>
  </si>
  <si>
    <t>CIV:CIVILIZATION</t>
  </si>
  <si>
    <t>BFIC:BFICOIN</t>
  </si>
  <si>
    <t>BIFI:BIFI</t>
  </si>
  <si>
    <t>WEYU:WEYU</t>
  </si>
  <si>
    <t>AMC:AMC FIGHT NIGHT</t>
  </si>
  <si>
    <t>OMT:MARS TOKEN</t>
  </si>
  <si>
    <t>GPOOL:GENESIS POOL</t>
  </si>
  <si>
    <t>WBX:WIBX</t>
  </si>
  <si>
    <t>MW:MIRROR WORLD TOKEN</t>
  </si>
  <si>
    <t>XBLZD:BLIZZARD</t>
  </si>
  <si>
    <t>MATRIX:MATRIXSWAP</t>
  </si>
  <si>
    <t>TOVA:TOVA</t>
  </si>
  <si>
    <t>CRING:DARWINIA CRAB NETWORK NATIVE TOKEN</t>
  </si>
  <si>
    <t>MNSTRS:BLOCK MONSTERS</t>
  </si>
  <si>
    <t>BUY:BUYING.COM</t>
  </si>
  <si>
    <t>PAR:PARALLEL</t>
  </si>
  <si>
    <t>C4G3:CAGE</t>
  </si>
  <si>
    <t>DARA:IMMUTABLE</t>
  </si>
  <si>
    <t>TENSHI:TENSHI</t>
  </si>
  <si>
    <t>NABOX:NABOX</t>
  </si>
  <si>
    <t>IT:INFINITY</t>
  </si>
  <si>
    <t>UEDC:UNITED EMIRATE DECENTRALIZED COIN</t>
  </si>
  <si>
    <t>AOW:ART OF WAR</t>
  </si>
  <si>
    <t>CAD:CANDY PROTOCOL</t>
  </si>
  <si>
    <t>AGS:AEGIS</t>
  </si>
  <si>
    <t>VSO:VERSO</t>
  </si>
  <si>
    <t>MNOP:MEMENOPOLY MONEY</t>
  </si>
  <si>
    <t>ASTROGOLD:ASTRO GOLD</t>
  </si>
  <si>
    <t>PETG:PET GAMES</t>
  </si>
  <si>
    <t>X:GIBX SWAP</t>
  </si>
  <si>
    <t>BSI:BSI TOKEN</t>
  </si>
  <si>
    <t>CSS:COINSWAP SPACE</t>
  </si>
  <si>
    <t>CFI:CYBERFI</t>
  </si>
  <si>
    <t>NORA:SNOWCRASH TOKEN</t>
  </si>
  <si>
    <t>SCCN:SUCCESSION</t>
  </si>
  <si>
    <t>PACOCA:PACOCA</t>
  </si>
  <si>
    <t>FAN:FANADISE</t>
  </si>
  <si>
    <t>IDTT:IDENTITY</t>
  </si>
  <si>
    <t>DEXI:DEXIOPROTOCOL</t>
  </si>
  <si>
    <t>BEAR:HONEYBEAR</t>
  </si>
  <si>
    <t>ICA:ICARUS NETWORK</t>
  </si>
  <si>
    <t>CHEESE:CHEESE SWAP</t>
  </si>
  <si>
    <t>TBE:TRUSTBASE</t>
  </si>
  <si>
    <t>POLO:NFTYPLAY</t>
  </si>
  <si>
    <t>RIN:ALDRIN</t>
  </si>
  <si>
    <t>KUN:QIAN GOVERNANCE TOKEN</t>
  </si>
  <si>
    <t>PORNROCKET:PORNROCKET</t>
  </si>
  <si>
    <t>EHASH:EHASH</t>
  </si>
  <si>
    <t>SOKU:SOKUSWAP</t>
  </si>
  <si>
    <t>HANU:HANU YOKIA</t>
  </si>
  <si>
    <t>HI:HI DOLLAR</t>
  </si>
  <si>
    <t>IVG:IVOGEL</t>
  </si>
  <si>
    <t>TAB:TABANK</t>
  </si>
  <si>
    <t>DND:DUNGEONSWAP</t>
  </si>
  <si>
    <t>KABY:KABY ARENA</t>
  </si>
  <si>
    <t>ECO:ECOFI</t>
  </si>
  <si>
    <t>MONSTA:CAKE MONSTER</t>
  </si>
  <si>
    <t>SAT:SMARTX</t>
  </si>
  <si>
    <t>SWT:SMART WALLET TOKEN</t>
  </si>
  <si>
    <t>PILOT:UNIPILOT</t>
  </si>
  <si>
    <t>PSWAP:POLKASWAP</t>
  </si>
  <si>
    <t>ANGEL:POLYLAUNCHER</t>
  </si>
  <si>
    <t>FREL:FREELA</t>
  </si>
  <si>
    <t>TWX:TWINDEX</t>
  </si>
  <si>
    <t>FLOKIPUP:FLOKIPUP INU</t>
  </si>
  <si>
    <t>SCIFI:SCIFI.FINANCE</t>
  </si>
  <si>
    <t>GFI:GRAVITY FINANCE</t>
  </si>
  <si>
    <t>BPRO:B.PROTOCOL</t>
  </si>
  <si>
    <t>NFTL:NFTLAUNCH</t>
  </si>
  <si>
    <t>DRE:DOREN</t>
  </si>
  <si>
    <t>ETT:EFFICIENT TRANSACTION TOKEN</t>
  </si>
  <si>
    <t>DOG:DOGESWAP TOKEN (HECO)</t>
  </si>
  <si>
    <t>MPAD:MULTIPAD</t>
  </si>
  <si>
    <t>RNBW:HALODAO</t>
  </si>
  <si>
    <t>KEY:MOMO KEY</t>
  </si>
  <si>
    <t>HONEY:HONEYFARM FINANCE</t>
  </si>
  <si>
    <t>TCR:TRACER DAO</t>
  </si>
  <si>
    <t>BALL:BALL TOKEN</t>
  </si>
  <si>
    <t>BED:BIT ECOLOGICAL DIGITAL</t>
  </si>
  <si>
    <t>GAT:GAME ACE TOKEN</t>
  </si>
  <si>
    <t>EDDA:EDDASWAP</t>
  </si>
  <si>
    <t>DUKE:DUKE TOKEN</t>
  </si>
  <si>
    <t>PKMON:POLKAMONSTER</t>
  </si>
  <si>
    <t>NDEFI:POLLY DEFI NEST</t>
  </si>
  <si>
    <t>PIG:PIG FINANCE</t>
  </si>
  <si>
    <t>BILL:BILL TOKEN</t>
  </si>
  <si>
    <t>BURP:COINBURP</t>
  </si>
  <si>
    <t>BPT:BLACKPOOL TOKEN</t>
  </si>
  <si>
    <t>YFX:YOUR FUTURES EXCHANGE</t>
  </si>
  <si>
    <t>POLAR:POLAR SYNC</t>
  </si>
  <si>
    <t>REI:ZEROGOKI</t>
  </si>
  <si>
    <t>DRF:DRIFE</t>
  </si>
  <si>
    <t>ANATHA:ANATHA</t>
  </si>
  <si>
    <t>GLMS:GLIMPSE</t>
  </si>
  <si>
    <t>POLYBUNNY:PANCAKE BUNNY POLYGON</t>
  </si>
  <si>
    <t>LCG:LCG</t>
  </si>
  <si>
    <t>BFC:BIT FINANCIAL</t>
  </si>
  <si>
    <t>DEEZNUTS:DEEZ NUTS</t>
  </si>
  <si>
    <t>LEV:LEVER NETWORK</t>
  </si>
  <si>
    <t>TND:THOUSAND TOKEN</t>
  </si>
  <si>
    <t>MINTYS:MINTYSWAP</t>
  </si>
  <si>
    <t>TRCL:TREECLE</t>
  </si>
  <si>
    <t>CBP:CASHBACKPRO</t>
  </si>
  <si>
    <t>NFTPAD:NFTPAD</t>
  </si>
  <si>
    <t>LIQ:LIQ PROTOCOL</t>
  </si>
  <si>
    <t>BRIGHT:BRIGHT TOKEN</t>
  </si>
  <si>
    <t>USDP:USDP STABLECOIN</t>
  </si>
  <si>
    <t>MOZ:MOZIK</t>
  </si>
  <si>
    <t>STOP:SATOPAY</t>
  </si>
  <si>
    <t>BSD:BASIS DOLLAR</t>
  </si>
  <si>
    <t>SURF:SURF.FINANCE</t>
  </si>
  <si>
    <t>EKTA:EKTA</t>
  </si>
  <si>
    <t>DOGEBACK:DOGE BACK</t>
  </si>
  <si>
    <t>TKING:TIGER KING</t>
  </si>
  <si>
    <t>WRK:BLOCKWRK</t>
  </si>
  <si>
    <t>REN:RINNEGAN</t>
  </si>
  <si>
    <t>ZCON:ZCON PROTOCOL</t>
  </si>
  <si>
    <t>A5T:ALPHA5</t>
  </si>
  <si>
    <t>PBTC35A:PBTC35A</t>
  </si>
  <si>
    <t>MRCH:MERCHDAO</t>
  </si>
  <si>
    <t>JAWS:AUTOSHARK</t>
  </si>
  <si>
    <t>YDR:YDRAGON</t>
  </si>
  <si>
    <t>DIS:TOSDIS</t>
  </si>
  <si>
    <t>CZF:CZFARM</t>
  </si>
  <si>
    <t>DOGO:DOGEMONGO</t>
  </si>
  <si>
    <t>GGTK:GG TOKEN</t>
  </si>
  <si>
    <t>UJENNY:JENNY METAVERSE DAO TOKEN</t>
  </si>
  <si>
    <t>RYOSHI:RYOSHIS VISION</t>
  </si>
  <si>
    <t>THEOS:THEOS</t>
  </si>
  <si>
    <t>KILL:MEMEKILLER</t>
  </si>
  <si>
    <t>ONS:ONE SHARE</t>
  </si>
  <si>
    <t>YFIX:YFIX.FINANCE</t>
  </si>
  <si>
    <t>DFL:DEFILY</t>
  </si>
  <si>
    <t>TAKO:TAKO TOKEN</t>
  </si>
  <si>
    <t>BONE:BONE SHIBASWAP</t>
  </si>
  <si>
    <t>PERA:PERA FINANCE</t>
  </si>
  <si>
    <t>BBT:BITBOOK</t>
  </si>
  <si>
    <t>KAMI:KAMILAND</t>
  </si>
  <si>
    <t>WPE:OPES FINANCE</t>
  </si>
  <si>
    <t>DON:DONKEY TOKEN</t>
  </si>
  <si>
    <t>CAP:CAP</t>
  </si>
  <si>
    <t>FLURRY:FLURRY FINANCE</t>
  </si>
  <si>
    <t>GNFT:GAMENFT</t>
  </si>
  <si>
    <t>MNG:MOON NATION GAME</t>
  </si>
  <si>
    <t>OPA:OPTION PANDA PLATFORM</t>
  </si>
  <si>
    <t>MINIFLOKI:MINI FLOKI</t>
  </si>
  <si>
    <t>ALIX:ALINX</t>
  </si>
  <si>
    <t>HRB:HEROBATTLE</t>
  </si>
  <si>
    <t>EROS:EROS TOKEN</t>
  </si>
  <si>
    <t>RAIL:RAILGUN</t>
  </si>
  <si>
    <t>BSTS:MAGIC BEASTIES</t>
  </si>
  <si>
    <t>MARS:MARS</t>
  </si>
  <si>
    <t>LSP:LUMENSWAP</t>
  </si>
  <si>
    <t>XQC:QURAS TOKEN</t>
  </si>
  <si>
    <t>LIX:LIXIR FINANCE</t>
  </si>
  <si>
    <t>TXA:TXA</t>
  </si>
  <si>
    <t>PHTR:PHUTURE</t>
  </si>
  <si>
    <t>OIL:OILER</t>
  </si>
  <si>
    <t>PERRY:SWAPERRY</t>
  </si>
  <si>
    <t>BEC:BETHERCHIP</t>
  </si>
  <si>
    <t>PEARL:CRYPTO BAY</t>
  </si>
  <si>
    <t>BTSUCN:BTSUNICORN</t>
  </si>
  <si>
    <t>BHUNT:BINAHUNTER</t>
  </si>
  <si>
    <t>HZD:HORIZON DOLLAR</t>
  </si>
  <si>
    <t>PNDR:PANDORA PROTOCOL</t>
  </si>
  <si>
    <t>BRT:BASE REWARD TOKEN</t>
  </si>
  <si>
    <t>DEP:DEPTH TOKEN</t>
  </si>
  <si>
    <t>SNK:SNOOK</t>
  </si>
  <si>
    <t>ZENY:ZENY</t>
  </si>
  <si>
    <t>DACXI:DACXI</t>
  </si>
  <si>
    <t>SHD:SHARDINGDAO</t>
  </si>
  <si>
    <t>VISION:APY.VISION</t>
  </si>
  <si>
    <t>MDX:MANDALA EXCHANGE TOKEN</t>
  </si>
  <si>
    <t>BOSS:BOSS</t>
  </si>
  <si>
    <t>EPH:EPOCH TOKEN</t>
  </si>
  <si>
    <t>UWL:UNIWHALES</t>
  </si>
  <si>
    <t>COP:COPIOSA</t>
  </si>
  <si>
    <t>SAFEMARS:SAFEMARS</t>
  </si>
  <si>
    <t>GNT:GREENTRUST</t>
  </si>
  <si>
    <t>PROT:PROSTARTER</t>
  </si>
  <si>
    <t>BUKH:BUKHI</t>
  </si>
  <si>
    <t>H2O:IFOSWAP TOKEN</t>
  </si>
  <si>
    <t>POLI:POLINATE</t>
  </si>
  <si>
    <t>SAUNA:SAUNAFINANCE TOKEN</t>
  </si>
  <si>
    <t>SLAM:SLAM TOKEN</t>
  </si>
  <si>
    <t>SKRT:SKRT TOKEN</t>
  </si>
  <si>
    <t>MEM:MEMECOIN</t>
  </si>
  <si>
    <t>COPYCAT:COPYCAT FINANCE</t>
  </si>
  <si>
    <t>LTD:LIVETRADE TOKEN</t>
  </si>
  <si>
    <t>YEL:YEL.FINANCE</t>
  </si>
  <si>
    <t>WEC:WEB COIN PAY</t>
  </si>
  <si>
    <t>BEAST:CRYPTOBEAST</t>
  </si>
  <si>
    <t>MEL:MELALIE</t>
  </si>
  <si>
    <t>DKYC:DON'T KYC</t>
  </si>
  <si>
    <t>XNFT:XNFT PROTOCOL</t>
  </si>
  <si>
    <t>VRN:VAREN</t>
  </si>
  <si>
    <t>WHALE:WHALE FALL</t>
  </si>
  <si>
    <t>PHO:PHOSWAP</t>
  </si>
  <si>
    <t>WIZARD:WIZARD TOKEN</t>
  </si>
  <si>
    <t>RAT:THE RARE ANTIQUITIES TOKEN</t>
  </si>
  <si>
    <t>DINO:DINO EXCHANGE</t>
  </si>
  <si>
    <t>KLEE:KLEEKAI</t>
  </si>
  <si>
    <t>TOKAU:TOKYO AU</t>
  </si>
  <si>
    <t>GENX:GENX TOKEN</t>
  </si>
  <si>
    <t>RRB:RENRENBIT</t>
  </si>
  <si>
    <t>KADA:KING CARDANO</t>
  </si>
  <si>
    <t>IRIS:IRIS TOKEN</t>
  </si>
  <si>
    <t>SMARS:SAFEMARS PROTOCOL</t>
  </si>
  <si>
    <t>MASKDOGE:MASKDOGE</t>
  </si>
  <si>
    <t>FONT:FONT</t>
  </si>
  <si>
    <t>TREAT:TREATDAO</t>
  </si>
  <si>
    <t>VICE:VICEWRLD</t>
  </si>
  <si>
    <t>AWX:AURUSDEFI</t>
  </si>
  <si>
    <t>MVERSE:MATICVERSE</t>
  </si>
  <si>
    <t>CTR:CREATOR PLATFORM</t>
  </si>
  <si>
    <t>THOGE:THOR DOGE</t>
  </si>
  <si>
    <t>VNY:VANITY</t>
  </si>
  <si>
    <t>CSWAP:CROSSSWAP</t>
  </si>
  <si>
    <t>HBO:HASH BRIDGE ORACLE</t>
  </si>
  <si>
    <t>XAGC:AGROCASH X</t>
  </si>
  <si>
    <t>PIZZA:PIZZASWAP</t>
  </si>
  <si>
    <t>OLO:OLO</t>
  </si>
  <si>
    <t>UFF:UNITED FARMERS FINANCE</t>
  </si>
  <si>
    <t>YUMMY:YUMMY</t>
  </si>
  <si>
    <t>MADA:MINI CARDANO</t>
  </si>
  <si>
    <t>DEFC:DEFI COIN</t>
  </si>
  <si>
    <t>LYD:LYDIA FINANCE TOKEN</t>
  </si>
  <si>
    <t>RISE:EVERRISE</t>
  </si>
  <si>
    <t>CERES:CERES</t>
  </si>
  <si>
    <t>DLEGENDS:MY DEFI LEGENDS</t>
  </si>
  <si>
    <t>ADAFLECT:ADAFLECT</t>
  </si>
  <si>
    <t>1DOGE:1DOGE</t>
  </si>
  <si>
    <t>SGO:SPORTEMON GO</t>
  </si>
  <si>
    <t>WSWAP:WALLET SWAP</t>
  </si>
  <si>
    <t>ROBOT:ROBOT</t>
  </si>
  <si>
    <t>SFEX:SAFEX</t>
  </si>
  <si>
    <t>HPY:HYPER PAY</t>
  </si>
  <si>
    <t>KANA:KANALOA NETWORK</t>
  </si>
  <si>
    <t>EMAX:ETHEREUMMAX</t>
  </si>
  <si>
    <t>GM:GM HOLDING</t>
  </si>
  <si>
    <t>MOOLAH:BLOCK CREATURES</t>
  </si>
  <si>
    <t>HIFI:HIFI GAMING SOCIETY</t>
  </si>
  <si>
    <t>CC:CRYPTOCART</t>
  </si>
  <si>
    <t>BIGSB:BIGSHORTBETS</t>
  </si>
  <si>
    <t>BANKETH:BANKETH</t>
  </si>
  <si>
    <t>NAFTY:NAFTY</t>
  </si>
  <si>
    <t>FVT:FINANCE VOTE</t>
  </si>
  <si>
    <t>EBSC:EARLYBSC</t>
  </si>
  <si>
    <t>BORED:BORED MUSEUM</t>
  </si>
  <si>
    <t>GMX:GAMEX</t>
  </si>
  <si>
    <t>ETHVAULT:ETHVAULT</t>
  </si>
  <si>
    <t>HUSKY:HUSKY AVAX</t>
  </si>
  <si>
    <t>ZONE:GRIDZONE</t>
  </si>
  <si>
    <t>SCAN:SCAN DEFI</t>
  </si>
  <si>
    <t>RHYTHM:RHYTHM</t>
  </si>
  <si>
    <t>MOVE:MOVER</t>
  </si>
  <si>
    <t>XDEX:XDEFI GOVERNANCE TOKEN</t>
  </si>
  <si>
    <t>MONA:MONAVALE</t>
  </si>
  <si>
    <t>IMX:IMPERMAX</t>
  </si>
  <si>
    <t>XMARK:XMARK</t>
  </si>
  <si>
    <t>MINIUSDC:MINIUSDC</t>
  </si>
  <si>
    <t>SVS:SILVER GATEWAY</t>
  </si>
  <si>
    <t>ADF:AD FLEX TOKEN</t>
  </si>
  <si>
    <t>APRIL:APRIL</t>
  </si>
  <si>
    <t>LKT:LOCKLET</t>
  </si>
  <si>
    <t>MUST:MUST</t>
  </si>
  <si>
    <t>WP:UNDERGROUND WARRIORS</t>
  </si>
  <si>
    <t>POODL:POODL TOKEN</t>
  </si>
  <si>
    <t>STARS:STARSHIP TOKEN</t>
  </si>
  <si>
    <t>BCP:PIEDAO BALANCED CRYPTO PIE</t>
  </si>
  <si>
    <t>DPACE:DEFPACE</t>
  </si>
  <si>
    <t>LOFI:LOFI DEFI</t>
  </si>
  <si>
    <t>BUST:BUSTA</t>
  </si>
  <si>
    <t>CAKEBANK:CAKE BANK</t>
  </si>
  <si>
    <t>PROS:PROSWAP</t>
  </si>
  <si>
    <t>DCTD:DCTDAO</t>
  </si>
  <si>
    <t>ATMC:ATOMIC TOKEN</t>
  </si>
  <si>
    <t>HOODRAT:HOODRAT FINANCE</t>
  </si>
  <si>
    <t>RTC:RIJENT COIN</t>
  </si>
  <si>
    <t>ARGO:ARGO TOKEN</t>
  </si>
  <si>
    <t>SARCO:SARCOPHAGUS</t>
  </si>
  <si>
    <t>CAKEPUNKS:CAKEPUNKS</t>
  </si>
  <si>
    <t>TASTE:TASTENFT</t>
  </si>
  <si>
    <t>CHERRY:CHERRYPICK</t>
  </si>
  <si>
    <t>DGCL:DIGICOL TOKEN</t>
  </si>
  <si>
    <t>REAU:VIRA-LATA FINANCE</t>
  </si>
  <si>
    <t>WENR:WEINER</t>
  </si>
  <si>
    <t>MXF:MIXTY FINANCE</t>
  </si>
  <si>
    <t>GTC:GASTROCOIN</t>
  </si>
  <si>
    <t>DIO:DEIMOS TOKEN</t>
  </si>
  <si>
    <t>BTP:BITPAL</t>
  </si>
  <si>
    <t>MTF:MILKTEA FINANCE</t>
  </si>
  <si>
    <t>MASQ:MASQ</t>
  </si>
  <si>
    <t>AIA:AIANETWORK</t>
  </si>
  <si>
    <t>EUBI:EUBI TOKEN</t>
  </si>
  <si>
    <t>DINGO:DINGOCOIN</t>
  </si>
  <si>
    <t>ARMOR:ARMOR FINANCE</t>
  </si>
  <si>
    <t>LEM:LEMUR</t>
  </si>
  <si>
    <t>HMNG:HUMMINGBIRD FINANCE</t>
  </si>
  <si>
    <t>PAL:PLAYANDLIKE</t>
  </si>
  <si>
    <t>KUPP:KUPP</t>
  </si>
  <si>
    <t>TFT:THREEFOLD TOKEN</t>
  </si>
  <si>
    <t>TCAKE:PANCAKETOOLS</t>
  </si>
  <si>
    <t>PWDX:POWERDEXCOIN</t>
  </si>
  <si>
    <t>FLOW:FLOW</t>
  </si>
  <si>
    <t>WNYC:WRAPPED NEWYORKCOIN</t>
  </si>
  <si>
    <t>STONK:STONKSWAP TOKEN</t>
  </si>
  <si>
    <t>BOG:BOGGED FINANCE</t>
  </si>
  <si>
    <t>MUNCH:MUNCH TOKEN</t>
  </si>
  <si>
    <t>REVO:REVOMON</t>
  </si>
  <si>
    <t>MELLO:MELLO TOKEN</t>
  </si>
  <si>
    <t>MIST:ALCHEMIST COIN</t>
  </si>
  <si>
    <t>UNIQ:UNIQLY</t>
  </si>
  <si>
    <t>DOGO:DOGO COIN</t>
  </si>
  <si>
    <t>ECP:ECLIPSE</t>
  </si>
  <si>
    <t>CREAM:CREAM</t>
  </si>
  <si>
    <t>METEOR:METEORITE.NETWORK</t>
  </si>
  <si>
    <t>EXG:EXGOLD</t>
  </si>
  <si>
    <t>BIR:BITRON</t>
  </si>
  <si>
    <t>XXP:XX PLATFORM</t>
  </si>
  <si>
    <t>SV7:7PLUS COIN</t>
  </si>
  <si>
    <t>OAC:ONE ARMY COIN</t>
  </si>
  <si>
    <t>RAI:RAI REFLEX INDEX</t>
  </si>
  <si>
    <t>FLX:REFLEXER UNGOVERNANCE TOKEN</t>
  </si>
  <si>
    <t>DSCPL:DISCIPLINA</t>
  </si>
  <si>
    <t>GIL:MATERIA</t>
  </si>
  <si>
    <t>SHELLS:SHELLS</t>
  </si>
  <si>
    <t>FIDO:FIDO TOKEN</t>
  </si>
  <si>
    <t>OIL:PETROLEUM</t>
  </si>
  <si>
    <t>MERK:MERK</t>
  </si>
  <si>
    <t>DONK:DONKEY</t>
  </si>
  <si>
    <t>BGL:BITGESELL</t>
  </si>
  <si>
    <t>TREE:TREE</t>
  </si>
  <si>
    <t>DFC:DFC</t>
  </si>
  <si>
    <t>DAC:DEGENARTS.COM COIN</t>
  </si>
  <si>
    <t>ROGE:ROGUE DOGE</t>
  </si>
  <si>
    <t>WCN:WIDECOIN</t>
  </si>
  <si>
    <t>COAL:COALCULUS</t>
  </si>
  <si>
    <t>DACC:DEGEN ARTS CHAD COIN</t>
  </si>
  <si>
    <t>HORD:HORD</t>
  </si>
  <si>
    <t>ARTEON:ARTEON</t>
  </si>
  <si>
    <t>PETAL:BITFLOWERS</t>
  </si>
  <si>
    <t>GREEN:GREEN TOKEN</t>
  </si>
  <si>
    <t>SETS:SENSITRUST TOKEN</t>
  </si>
  <si>
    <t>SMF:SAFE MOON FAST</t>
  </si>
  <si>
    <t>JAM:JAMBO</t>
  </si>
  <si>
    <t>PAN:PANTOS</t>
  </si>
  <si>
    <t>NDX:INDEXED FINANCE</t>
  </si>
  <si>
    <t>XPIX:XPIXBR</t>
  </si>
  <si>
    <t>MYID:MY IDENTITY COIN</t>
  </si>
  <si>
    <t>FILDA:FILDA</t>
  </si>
  <si>
    <t>KIT:DEXKIT</t>
  </si>
  <si>
    <t>CUBAN:CUBAN COIN</t>
  </si>
  <si>
    <t>PNGN:SPACEPENGUIN</t>
  </si>
  <si>
    <t>KOMBAT:CRYPTO KOMBAT TOKEN</t>
  </si>
  <si>
    <t>DOBE:DOBERMANN</t>
  </si>
  <si>
    <t>SAFEMOON:SAFEMOON</t>
  </si>
  <si>
    <t>SAFEBTC:SAFEBTC</t>
  </si>
  <si>
    <t>NXL:NEXT LEVEL</t>
  </si>
  <si>
    <t>YFIH2:YFIH2</t>
  </si>
  <si>
    <t>TESLF:TESLAFAN</t>
  </si>
  <si>
    <t>CBY:CBERRY</t>
  </si>
  <si>
    <t>UMBR:UMBRIA NETWORK</t>
  </si>
  <si>
    <t>PFB:PENNY FOR BIT</t>
  </si>
  <si>
    <t>QWLA:QAWALLA TOKEN</t>
  </si>
  <si>
    <t>JAGUAR:JAGUARSWAP</t>
  </si>
  <si>
    <t>VLP:VALUP</t>
  </si>
  <si>
    <t>DINU:DOGEY-INU</t>
  </si>
  <si>
    <t>STARBOUND:STARBOUND</t>
  </si>
  <si>
    <t>MPH:88MPH</t>
  </si>
  <si>
    <t>DIRTY:DIRTY.FINANCE</t>
  </si>
  <si>
    <t>SPACE:SPACE TOKEN</t>
  </si>
  <si>
    <t>ANVS:CONQUER URANUS</t>
  </si>
  <si>
    <t>BADGER:BADGER</t>
  </si>
  <si>
    <t>DIGG:DIGG</t>
  </si>
  <si>
    <t>TNO:TNOS COIN</t>
  </si>
  <si>
    <t>SEC:SMILECOIN</t>
  </si>
  <si>
    <t>WUSD:WRAPPED USD</t>
  </si>
  <si>
    <t>XCH:CHIA</t>
  </si>
  <si>
    <t>BBTC:BINANCE WRAPPED BTC</t>
  </si>
  <si>
    <t>FORESTPLUS:THE FORBIDDEN FOREST</t>
  </si>
  <si>
    <t>FEAST:FEAST FINANCE</t>
  </si>
  <si>
    <t>ZITI:ZITICOIN</t>
  </si>
  <si>
    <t>PEECH:PEACH.FINANCE</t>
  </si>
  <si>
    <t>SHIB:SHIBA INU</t>
  </si>
  <si>
    <t>KIMJ:KIMJONGMOON</t>
  </si>
  <si>
    <t>LC:LIBRA COIN</t>
  </si>
  <si>
    <t>SMG:SMAUGS NFT</t>
  </si>
  <si>
    <t>BBANK:BLOCKBANK</t>
  </si>
  <si>
    <t>CORGI:CORGIDOGE</t>
  </si>
  <si>
    <t>HFS:HOLDERSWAP</t>
  </si>
  <si>
    <t>SLDS:SOLIDUS</t>
  </si>
  <si>
    <t>CLC:COLLIDER COIN</t>
  </si>
  <si>
    <t>DOGE-2:DOGE-2</t>
  </si>
  <si>
    <t>FORTH:AMPLEFORTH GOVERNANCE TOKEN</t>
  </si>
  <si>
    <t>ICP:INTERNET COMPUTER</t>
  </si>
  <si>
    <t>AUCT:AUCT TOKEN</t>
  </si>
  <si>
    <t>AUPC:AUTHPAPER COIN</t>
  </si>
  <si>
    <t>AWR2:AWARDCOIN</t>
  </si>
  <si>
    <t>BAC2:BITCOIN ACADEMY</t>
  </si>
  <si>
    <t>BADA:BADA</t>
  </si>
  <si>
    <t>BAE2:BUSINESS APPLICATION ECOLOGICAL</t>
  </si>
  <si>
    <t>BALI:BALI COIN</t>
  </si>
  <si>
    <t>BAR2:BALANCE ACCOUNTED RECEIPT</t>
  </si>
  <si>
    <t>BAXS:BOXAXIS</t>
  </si>
  <si>
    <t>BBC4:BIGBANG CORE</t>
  </si>
  <si>
    <t>BBN2:BBNCOIN</t>
  </si>
  <si>
    <t>BBTA:BETRA</t>
  </si>
  <si>
    <t>BCCN:BANCCOIN</t>
  </si>
  <si>
    <t>BCEO:BITCEO</t>
  </si>
  <si>
    <t>BCIO:BLOCKCHAIN.IO</t>
  </si>
  <si>
    <t>BCM2:BUCKSTAKE COIN</t>
  </si>
  <si>
    <t>BCNX:BCNEX</t>
  </si>
  <si>
    <t>BCP2:BITCOIN PLATINUMS</t>
  </si>
  <si>
    <t>BCP3:BLOCKCHAIN POLAND</t>
  </si>
  <si>
    <t>BCPX:BITCOIN POSITIVE</t>
  </si>
  <si>
    <t>BCT3:BICOIN TOKEN</t>
  </si>
  <si>
    <t>BCT5:BITCARD TOUR</t>
  </si>
  <si>
    <t>BCT6:BITCRATIC</t>
  </si>
  <si>
    <t>BDT2:BLOCKONIX</t>
  </si>
  <si>
    <t>BEAR:3X SHORT BITCOIN</t>
  </si>
  <si>
    <t>BEC2:BEAUTY CHAIN</t>
  </si>
  <si>
    <t>BEER:BREWERY CONSORTIUM COIN</t>
  </si>
  <si>
    <t>BEI2:BEIXIANG MALL</t>
  </si>
  <si>
    <t>BEN2:BEN</t>
  </si>
  <si>
    <t>BERG:BERGCO COIN</t>
  </si>
  <si>
    <t>BET4:EOSBET</t>
  </si>
  <si>
    <t>BETN:BETACOIN</t>
  </si>
  <si>
    <t>BFC2:BITCOIN FREE</t>
  </si>
  <si>
    <t>BGX2:BIT.GAME</t>
  </si>
  <si>
    <t>BGX3:BITCOINGENX</t>
  </si>
  <si>
    <t>BHD2:BENZI</t>
  </si>
  <si>
    <t>BHI2:BITHI</t>
  </si>
  <si>
    <t>BHT2:BEESTORE</t>
  </si>
  <si>
    <t>BID2:ROYALTY</t>
  </si>
  <si>
    <t>BIGB:BIGBANG COIN</t>
  </si>
  <si>
    <t>BIKI:BIKI TOKEN</t>
  </si>
  <si>
    <t>BILL:BBILLER</t>
  </si>
  <si>
    <t>BIT2:BITREWARDS</t>
  </si>
  <si>
    <t>BIT4:FIRST BITCOIN</t>
  </si>
  <si>
    <t>BITV:BITVIER</t>
  </si>
  <si>
    <t>BITW:BLOCKCHAIN DEPOSITARY RECEIPTS</t>
  </si>
  <si>
    <t>BITX:BITIFEX</t>
  </si>
  <si>
    <t>BKC2:FACTS</t>
  </si>
  <si>
    <t>BKC3:BALKANCOIN</t>
  </si>
  <si>
    <t>BLN3:BLACKNET</t>
  </si>
  <si>
    <t>BLTV:BLOCKTV TOKEN</t>
  </si>
  <si>
    <t>BMAX:BITCOINMAX</t>
  </si>
  <si>
    <t>BMT2:BITMINUTES</t>
  </si>
  <si>
    <t>BNKR:BANKROLL NETWORK</t>
  </si>
  <si>
    <t>BNOX:BLOCKNOTEX</t>
  </si>
  <si>
    <t>BNTE:BOUNTIE</t>
  </si>
  <si>
    <t>BPC3:BEAUTYPAYCOIN</t>
  </si>
  <si>
    <t>BPRO:BITCLOUD PRO</t>
  </si>
  <si>
    <t>BRN2:BURN COIN</t>
  </si>
  <si>
    <t>BRST:BRAVE SOUND TOKEN</t>
  </si>
  <si>
    <t>BRT2:BERITH TOKEN</t>
  </si>
  <si>
    <t>BRT3:BHIG REWARD TOKEN</t>
  </si>
  <si>
    <t>BST2:BOOSTO</t>
  </si>
  <si>
    <t>BST4:BLOCKSTAMP</t>
  </si>
  <si>
    <t>BTA3:BLOCKCHAIN TO APPLICATION</t>
  </si>
  <si>
    <t>BTCC:BITCOINCORE</t>
  </si>
  <si>
    <t>BTCO:BITCOIN OIL</t>
  </si>
  <si>
    <t>BTP2:BITCOIN PAY</t>
  </si>
  <si>
    <t>BTSC:BEYOND THE SCENE COIN</t>
  </si>
  <si>
    <t>BTSG:BITSONG</t>
  </si>
  <si>
    <t>BTV2:BITVOTE</t>
  </si>
  <si>
    <t>BTZ2:BITOZ COIN</t>
  </si>
  <si>
    <t>BTZ3:BIG HEALTH PLATFORM</t>
  </si>
  <si>
    <t>BUC2:BIT UNION COIN</t>
  </si>
  <si>
    <t>BULL:3X LONG BITCOIN TOKEN</t>
  </si>
  <si>
    <t>BUSD:BUSD</t>
  </si>
  <si>
    <t>BXA2:BLOCKCHAIN EXCHANGE ALLIANCE</t>
  </si>
  <si>
    <t>BXTC:BOUNDLESS COIN</t>
  </si>
  <si>
    <t>BYTS:BYTUS</t>
  </si>
  <si>
    <t>CASH:CASH POKER PRO</t>
  </si>
  <si>
    <t>CBAT:COMPOUND BASIC ATTENTION TOKEN</t>
  </si>
  <si>
    <t>CBC2:CASHBERRY COIN</t>
  </si>
  <si>
    <t>CBC4:CRYPTOBOSSCOIN</t>
  </si>
  <si>
    <t>CCC2:CCCOIN</t>
  </si>
  <si>
    <t>CCC7:COINDOM</t>
  </si>
  <si>
    <t>CCC8:CIUPEK CAPITAL COIN</t>
  </si>
  <si>
    <t>CCCX:CLIPPER COIN</t>
  </si>
  <si>
    <t>CCH2:CITICASH</t>
  </si>
  <si>
    <t>CCN2:CUSTOM CONTRACT NETWORK</t>
  </si>
  <si>
    <t>CCOH:ISKRA</t>
  </si>
  <si>
    <t>CCP2:CRYPTOCOINPAY</t>
  </si>
  <si>
    <t>CCT3:CLAP CLAP TOKEN</t>
  </si>
  <si>
    <t>CCXX:COUNOS X</t>
  </si>
  <si>
    <t>CEC2:CONSERVATION OF ENERGY CHAIN</t>
  </si>
  <si>
    <t>CELC:CELCOIN</t>
  </si>
  <si>
    <t>CERT:CERTIFIED CARBON EMISSION TRANSACTION</t>
  </si>
  <si>
    <t>CFTY:CRAFTY</t>
  </si>
  <si>
    <t>CHFT:CRYPTO HOLDING</t>
  </si>
  <si>
    <t>CHMC:CHRISTMAS COIN</t>
  </si>
  <si>
    <t>CHRT:CHARITYCOIN</t>
  </si>
  <si>
    <t>CHT3:COINHE TOKEN</t>
  </si>
  <si>
    <t>CHTC:CRYPTOHASHTANK</t>
  </si>
  <si>
    <t>CIC2:CICHAIN</t>
  </si>
  <si>
    <t>CLO2:CRYPTLO</t>
  </si>
  <si>
    <t>CLR2:CLEAR</t>
  </si>
  <si>
    <t>CLT3:COINLIM TOKEN</t>
  </si>
  <si>
    <t>CMTR:COINMEGATREND</t>
  </si>
  <si>
    <t>CNC2:ECOINOMIC</t>
  </si>
  <si>
    <t>CNCT:CONNECT</t>
  </si>
  <si>
    <t>CNNS:CRYPTO NEO-VALUE NEURAL SYSTEM</t>
  </si>
  <si>
    <t>CNYT:CNY TETHER</t>
  </si>
  <si>
    <t>COIC:CRYPTOCURRENCY OF INDUSTRIAL IOT CULTURE</t>
  </si>
  <si>
    <t>CONI:COINBENE</t>
  </si>
  <si>
    <t>COOL:ICOOL</t>
  </si>
  <si>
    <t>COOP:COOPEX</t>
  </si>
  <si>
    <t>COT4:COMMUNITY COIN</t>
  </si>
  <si>
    <t>COUP:COUPIT</t>
  </si>
  <si>
    <t>CPS2:COINPAWS</t>
  </si>
  <si>
    <t>CPU2:CPUCHAIN CORE</t>
  </si>
  <si>
    <t>CRAD:CRYPTOADS</t>
  </si>
  <si>
    <t>CRET:CRYPTO ENERGY TOKEN</t>
  </si>
  <si>
    <t>CRGO:CARGOCOIN</t>
  </si>
  <si>
    <t>CROP:CROPCOIN</t>
  </si>
  <si>
    <t>CRS2:CRIPTOREAL</t>
  </si>
  <si>
    <t>CRS3:CURES</t>
  </si>
  <si>
    <t>CRV5:CROWDVILLA OWNERSHIP</t>
  </si>
  <si>
    <t>CRYT:CRYTREXTOKEN</t>
  </si>
  <si>
    <t>CSAI:COMPOUND SAI</t>
  </si>
  <si>
    <t>CSNP:CROWDSALE NETWORK</t>
  </si>
  <si>
    <t>CTA2:CULTURE TRAVEL AGRICULTURE</t>
  </si>
  <si>
    <t>CTC3:CULTURE TICKET CHAIN</t>
  </si>
  <si>
    <t>CTK1:CRYPTYK</t>
  </si>
  <si>
    <t>CTK2:COINTICK</t>
  </si>
  <si>
    <t>CUAN:KINGCUAN</t>
  </si>
  <si>
    <t>CUR2:CURRENTCOIN</t>
  </si>
  <si>
    <t>CUST:CUSTODY TOKEN</t>
  </si>
  <si>
    <t>CVT2:CONCERTVR</t>
  </si>
  <si>
    <t>CWT2:COINW TOKEN</t>
  </si>
  <si>
    <t>CYBR:CYBR</t>
  </si>
  <si>
    <t>DAC2:DACASH</t>
  </si>
  <si>
    <t>DARK:DARK.BUILD</t>
  </si>
  <si>
    <t>DASC:DASCOIN</t>
  </si>
  <si>
    <t>DAXT:DIGITAL ASSET EXCHANGE TOKEN</t>
  </si>
  <si>
    <t>DBT2:DENGBA PLANET</t>
  </si>
  <si>
    <t>DBT3:DIGITAL BUSINESS TRAVEL</t>
  </si>
  <si>
    <t>DBT4:DUBLER TOKEN</t>
  </si>
  <si>
    <t>DDAM:DECENTRALIZED DATA ASSETS MANAGEMENT</t>
  </si>
  <si>
    <t>DEEP:DEEPCLOUDAI</t>
  </si>
  <si>
    <t>DEFL:DEFLACOIN</t>
  </si>
  <si>
    <t>DET2:DIGITAL ECONOMIC TOKEN</t>
  </si>
  <si>
    <t>DEXR:DEXERGI</t>
  </si>
  <si>
    <t>DFT2:DIGIFINEXTOKEN</t>
  </si>
  <si>
    <t>DILI:D COMMUNITY</t>
  </si>
  <si>
    <t>DIVO:DIVO</t>
  </si>
  <si>
    <t>DKPC:DARKPAYCOIN</t>
  </si>
  <si>
    <t>DMTC:DEMETER CHAIN</t>
  </si>
  <si>
    <t>DONU:DONU</t>
  </si>
  <si>
    <t>DOT2:POLKADOT FUTURES</t>
  </si>
  <si>
    <t>DPST:DPSCHAIN</t>
  </si>
  <si>
    <t>DRC3:DIGITAL RESERVE CURRENCY</t>
  </si>
  <si>
    <t>DRGB:DRAGONBIT</t>
  </si>
  <si>
    <t>DROP:DROPIL</t>
  </si>
  <si>
    <t>DRV2:DRV</t>
  </si>
  <si>
    <t>DRV4:DIGIDERIV TOKEN</t>
  </si>
  <si>
    <t>DSLA:DECENTRALIZED SERVICE LEVEL AGREEMENT</t>
  </si>
  <si>
    <t>DST2:DSTRA</t>
  </si>
  <si>
    <t>DST3:HYPERDRAGONS</t>
  </si>
  <si>
    <t>DUC2:DUCATUSCOIN</t>
  </si>
  <si>
    <t>DUO2:DUO NETWORK</t>
  </si>
  <si>
    <t>DWC2:DIGITAL WALLET</t>
  </si>
  <si>
    <t>DXG2:DEXTER G</t>
  </si>
  <si>
    <t>EBCR:EBLOCK COIN</t>
  </si>
  <si>
    <t>EBT2:EBANKERS</t>
  </si>
  <si>
    <t>ECOP:COLOMBIAN</t>
  </si>
  <si>
    <t>ECP2:ECP+</t>
  </si>
  <si>
    <t>EDU2:OPEN SOURCE UNIVERSITY</t>
  </si>
  <si>
    <t>EMC3:EDUMETRIX</t>
  </si>
  <si>
    <t>EMP2:EMPIRE COIN</t>
  </si>
  <si>
    <t>EMT2:EMT CHAIN</t>
  </si>
  <si>
    <t>ENDO:ENDOCOIN</t>
  </si>
  <si>
    <t>EOST:EOS TRUST</t>
  </si>
  <si>
    <t>EPC3:EPCLOUD</t>
  </si>
  <si>
    <t>EPC4:ELECTRONIC PK CHAIN</t>
  </si>
  <si>
    <t>EPT2:E-POCKET</t>
  </si>
  <si>
    <t>EQL2:EQUALISER</t>
  </si>
  <si>
    <t>ESCO:ESCROWCOIN</t>
  </si>
  <si>
    <t>ESTS:ESTS INITIATIVE</t>
  </si>
  <si>
    <t>ETC8:ETHER LEGEND</t>
  </si>
  <si>
    <t>ETF2:ETHEREUM FOG</t>
  </si>
  <si>
    <t>ETF3:ENTHERFOUND</t>
  </si>
  <si>
    <t>ETHS:ETHERSTONE</t>
  </si>
  <si>
    <t>ETM2:ELITECOIN</t>
  </si>
  <si>
    <t>ETX5:ETHEREUMX·NET</t>
  </si>
  <si>
    <t>EULO:EULOGIAN</t>
  </si>
  <si>
    <t>EXBT:EXHIBIT TOKEN</t>
  </si>
  <si>
    <t>EXC2:EXCALIBURCOIN</t>
  </si>
  <si>
    <t>EXO3:EXOLOVER</t>
  </si>
  <si>
    <t>EXOR:EXOR</t>
  </si>
  <si>
    <t>EXRT:EXRT NETWORK</t>
  </si>
  <si>
    <t>EXTN:EXTENSIVECOIN</t>
  </si>
  <si>
    <t>EZY2:EAZY COMMUNITY NODE</t>
  </si>
  <si>
    <t>FAZZ:FAZZCOIN</t>
  </si>
  <si>
    <t>FCC2:FILECASH</t>
  </si>
  <si>
    <t>FCC3:FIVE COLORS COIN</t>
  </si>
  <si>
    <t>FGC2:FOUNDGAME</t>
  </si>
  <si>
    <t>FIC2:FLORAFIC</t>
  </si>
  <si>
    <t>FINX:FINX</t>
  </si>
  <si>
    <t>FLS2:FLITS</t>
  </si>
  <si>
    <t>FML2:FORMULA</t>
  </si>
  <si>
    <t>FONZ:FONZIECOIN</t>
  </si>
  <si>
    <t>FORS:FORESIGHT</t>
  </si>
  <si>
    <t>FOUR:THE 4TH PILLAR</t>
  </si>
  <si>
    <t>FOXD:FOXDCOIN</t>
  </si>
  <si>
    <t>FRAG:FRAGCASH</t>
  </si>
  <si>
    <t>FRAS:FRASINDO FRAS COIN</t>
  </si>
  <si>
    <t>FRED:FRED ENERGY</t>
  </si>
  <si>
    <t>FRGC:FARGOCOIN</t>
  </si>
  <si>
    <t>FRWC:FRANKYWILLCOIN</t>
  </si>
  <si>
    <t>FSCP:FIVE STAR COIN PRO</t>
  </si>
  <si>
    <t>FST2:1IRSTCOIN</t>
  </si>
  <si>
    <t>FTEC:FTEC</t>
  </si>
  <si>
    <t>FTR2:FUTOURIST</t>
  </si>
  <si>
    <t>FTXO:FUTUREXCO</t>
  </si>
  <si>
    <t>FURT:FURT COIN</t>
  </si>
  <si>
    <t>FURY:FURYCOIN</t>
  </si>
  <si>
    <t>FXS2:FREIXSHARES</t>
  </si>
  <si>
    <t>GAC4:GACHAIN</t>
  </si>
  <si>
    <t>GBTC:GIGTRICKS</t>
  </si>
  <si>
    <t>GCC3:GOLD CHAIN COIN</t>
  </si>
  <si>
    <t>GCR2:GOLD COIN RESERVE</t>
  </si>
  <si>
    <t>GDX2:GAME DOLLORS TOKEN</t>
  </si>
  <si>
    <t>GELD:SGELDERGER</t>
  </si>
  <si>
    <t>GENT:GENESIS</t>
  </si>
  <si>
    <t>GEX2:GLOBEX</t>
  </si>
  <si>
    <t>GFC2:GOLD COIN</t>
  </si>
  <si>
    <t>GFCS:GLOBAL FUNERAL CARE</t>
  </si>
  <si>
    <t>GGC2:GRAMGOLD COIN</t>
  </si>
  <si>
    <t>GGP2:GAMINGGOPROJECT</t>
  </si>
  <si>
    <t>GIG2:GIGECOIN</t>
  </si>
  <si>
    <t>GLOS:GLOS</t>
  </si>
  <si>
    <t>GLOV:GLOVECOIN</t>
  </si>
  <si>
    <t>GLX3:GLOBCOIN</t>
  </si>
  <si>
    <t>GMAM:GROWMORE ASSET MANAGEMENT</t>
  </si>
  <si>
    <t>GMBC:GAMBLICA</t>
  </si>
  <si>
    <t>GMC2:GRANDMASTERCOIN</t>
  </si>
  <si>
    <t>GMC3:GEIMCOIN</t>
  </si>
  <si>
    <t>GMC5:GEMMYCOIN</t>
  </si>
  <si>
    <t>GMC7:GAMECHAIN</t>
  </si>
  <si>
    <t>GMCI:GAMECITY</t>
  </si>
  <si>
    <t>GME2:GAMECOIN</t>
  </si>
  <si>
    <t>GMIT:GAME MACHINE</t>
  </si>
  <si>
    <t>GNC2:GNCOIN</t>
  </si>
  <si>
    <t>GODZ:GODZILLION</t>
  </si>
  <si>
    <t>GOXT:GSTAR</t>
  </si>
  <si>
    <t>GPC3:GREEN PAY</t>
  </si>
  <si>
    <t>GTEX:GTEX</t>
  </si>
  <si>
    <t>GTSE:GLOBAL TOURISM SHARING ECOLOGY</t>
  </si>
  <si>
    <t>GWAY:GWAYCOIN</t>
  </si>
  <si>
    <t>HARD:HARD PROTOCOL</t>
  </si>
  <si>
    <t>HBRS:HUBRISONE</t>
  </si>
  <si>
    <t>HBX2:HASHBX</t>
  </si>
  <si>
    <t>HETA:HETACHAIN</t>
  </si>
  <si>
    <t>HIC2:HICHAIN</t>
  </si>
  <si>
    <t>HIGH:HIGHBANK</t>
  </si>
  <si>
    <t>HILT:HILET</t>
  </si>
  <si>
    <t>HIN2:HINKA</t>
  </si>
  <si>
    <t>HISC:HIGH STAKES COIN</t>
  </si>
  <si>
    <t>HNST:HONEST MINING</t>
  </si>
  <si>
    <t>HNT2:HINTO</t>
  </si>
  <si>
    <t>HNT3:HYMNODE</t>
  </si>
  <si>
    <t>HNT4:HELIUM</t>
  </si>
  <si>
    <t>HOT3:HOTNOW</t>
  </si>
  <si>
    <t>HTCH:HATCHWORKS</t>
  </si>
  <si>
    <t>HTS2:HOTSHOT</t>
  </si>
  <si>
    <t>HTX2:HASHTRUST</t>
  </si>
  <si>
    <t>HYBN:HEY BITCOIN</t>
  </si>
  <si>
    <t>HYT2:HORYOU</t>
  </si>
  <si>
    <t>HZT2:BLACK DIAMOND RATING</t>
  </si>
  <si>
    <t>IBS3:IRBIS NETWORK</t>
  </si>
  <si>
    <t>IDOL:IDOL COIN</t>
  </si>
  <si>
    <t>INCX:INTERNATIONALCRYPTOX</t>
  </si>
  <si>
    <t>INFT:INFINITO</t>
  </si>
  <si>
    <t>IOEX:IOEX</t>
  </si>
  <si>
    <t>IOOX:IOOX</t>
  </si>
  <si>
    <t>IOUX:IOU</t>
  </si>
  <si>
    <t>IOV2:CARLIVE CHAIN</t>
  </si>
  <si>
    <t>IOX2:IONOS</t>
  </si>
  <si>
    <t>IPT2:IPTCHAIN</t>
  </si>
  <si>
    <t>IPUX:IPUX</t>
  </si>
  <si>
    <t>ITCO:REDITUS</t>
  </si>
  <si>
    <t>ITGC:ITGOLDS</t>
  </si>
  <si>
    <t>JOB2:JOBCOIN</t>
  </si>
  <si>
    <t>JOYS:JOYS</t>
  </si>
  <si>
    <t>KALA:KALA</t>
  </si>
  <si>
    <t>KAOS:KAOSCANDY</t>
  </si>
  <si>
    <t>KAPP:KAPPI NETWORK</t>
  </si>
  <si>
    <t>KAZU:KAZU</t>
  </si>
  <si>
    <t>KEY2:KEY</t>
  </si>
  <si>
    <t>KGLD:KAZUGOLD</t>
  </si>
  <si>
    <t>KISC:KAISER</t>
  </si>
  <si>
    <t>KLAY:KLAYTN</t>
  </si>
  <si>
    <t>KPX2:KOPEX</t>
  </si>
  <si>
    <t>KRT2:TERRA</t>
  </si>
  <si>
    <t>KSLV:KAZUSILVER</t>
  </si>
  <si>
    <t>KTC2:KYVALION</t>
  </si>
  <si>
    <t>LAC3:LUXALPA</t>
  </si>
  <si>
    <t>LAD2:LADDER NETWORK</t>
  </si>
  <si>
    <t>LALA:LALA WORLD</t>
  </si>
  <si>
    <t>LBK2:LBK TOKEN</t>
  </si>
  <si>
    <t>LBR2:LIBERTALIA</t>
  </si>
  <si>
    <t>LEEE:LEEEMALL</t>
  </si>
  <si>
    <t>LGCY:LGCY NETWORK</t>
  </si>
  <si>
    <t>LGR2:LOGARITHM</t>
  </si>
  <si>
    <t>LIB2:BANKLIFE</t>
  </si>
  <si>
    <t>LNKO:LNKO CHAIN</t>
  </si>
  <si>
    <t>LOOK:LOOKREV</t>
  </si>
  <si>
    <t>VECT:VECTORIUM</t>
  </si>
  <si>
    <t>WEX:WAULTSWAP</t>
  </si>
  <si>
    <t>DOKI:DOKI DOKI</t>
  </si>
  <si>
    <t>POC:PANGEA CLEANUP COIN</t>
  </si>
  <si>
    <t>LPL:LINKPOOL</t>
  </si>
  <si>
    <t>MCRN:MACARONSWAP</t>
  </si>
  <si>
    <t>GSPI:SHOPPING.IO GOVERNANCE</t>
  </si>
  <si>
    <t>YFT:TOSHIFY.FINANCE</t>
  </si>
  <si>
    <t>CT:COJAM</t>
  </si>
  <si>
    <t>GOL:GOGOLCOIN</t>
  </si>
  <si>
    <t>BSHIBA:BSCSHIBA</t>
  </si>
  <si>
    <t>ISDT:ISTARDUST</t>
  </si>
  <si>
    <t>MEC:MECRO COIN</t>
  </si>
  <si>
    <t>FOTO:UNIQUE PHOTO</t>
  </si>
  <si>
    <t>ARGON:ARGON</t>
  </si>
  <si>
    <t>STEEL:STEEL</t>
  </si>
  <si>
    <t>CWAP:DEFIRE</t>
  </si>
  <si>
    <t>MOMO:MOMO PROTOCOL</t>
  </si>
  <si>
    <t>ASK:PERMISSION COIN</t>
  </si>
  <si>
    <t>POLYDOGE:POLYDOGE</t>
  </si>
  <si>
    <t>SACT:SRNARTGALLERY</t>
  </si>
  <si>
    <t>ALPA:ALPACA CITY</t>
  </si>
  <si>
    <t>GC:GALAXY WALLET</t>
  </si>
  <si>
    <t>HCS:HELP COINS</t>
  </si>
  <si>
    <t>SHROOM:NIFTYX PROTOCOL</t>
  </si>
  <si>
    <t>DON:DEONEX TOKEN</t>
  </si>
  <si>
    <t>NRCH:ENREACHDAO</t>
  </si>
  <si>
    <t>DRAGON:DRAGON FINANCE</t>
  </si>
  <si>
    <t>STN:STONE TOKEN</t>
  </si>
  <si>
    <t>FOMO:FOMO LABS</t>
  </si>
  <si>
    <t>BUTTER:BUTTER TOKEN</t>
  </si>
  <si>
    <t>GERA:GERA COIN</t>
  </si>
  <si>
    <t>SLNV2:SLNV2</t>
  </si>
  <si>
    <t>GAT:GLOBAL AEX TOKEN</t>
  </si>
  <si>
    <t>GHT:GLOBAL HUMAN TRUST</t>
  </si>
  <si>
    <t>MILF:MILF FINANCE</t>
  </si>
  <si>
    <t>PACT:PACTSWAP</t>
  </si>
  <si>
    <t>BSG:BASIS GOLD</t>
  </si>
  <si>
    <t>BGC:BE GAMING COIN</t>
  </si>
  <si>
    <t>MARK:BENCHMARK PROTOCOL</t>
  </si>
  <si>
    <t>DFY:DEFI FOR YOU</t>
  </si>
  <si>
    <t>MOONSHOT:MOONSHOT</t>
  </si>
  <si>
    <t>PSY:PSYCHIC</t>
  </si>
  <si>
    <t>RASTA:RASTA FINANCE</t>
  </si>
  <si>
    <t>PLEX:PLEX</t>
  </si>
  <si>
    <t>MAT:MATKA</t>
  </si>
  <si>
    <t>GLDR:GOLDER COIN</t>
  </si>
  <si>
    <t>PAYB:PAYBSWAP</t>
  </si>
  <si>
    <t>RING:DARWINIA NETWORK NATIVE TOKEN</t>
  </si>
  <si>
    <t>SLM:SALMON</t>
  </si>
  <si>
    <t>GERO:GEROWALLET</t>
  </si>
  <si>
    <t>SYC:SYNCHROLIFE</t>
  </si>
  <si>
    <t>WDC:WISDOM CHAIN</t>
  </si>
  <si>
    <t>MO:MORALITY</t>
  </si>
  <si>
    <t>SDGO:SANDEGO</t>
  </si>
  <si>
    <t>STKR:STAKER DAO</t>
  </si>
  <si>
    <t>DNC:DANAT COIN</t>
  </si>
  <si>
    <t>LAMA:LLAMASWAP</t>
  </si>
  <si>
    <t>INFI:INSURED FINANCE</t>
  </si>
  <si>
    <t>XBE:XBE TOKEN</t>
  </si>
  <si>
    <t>STMX:STORMX</t>
  </si>
  <si>
    <t>DION:DIONPAY</t>
  </si>
  <si>
    <t>ONC:ONE CASH</t>
  </si>
  <si>
    <t>PEPPA:PEPPA NETWORK</t>
  </si>
  <si>
    <t>SPE:SAVEPLANETEARTH</t>
  </si>
  <si>
    <t>ACD:ALLIANCE CARGO DIRECT</t>
  </si>
  <si>
    <t>WEMIX:WEMIX TOKEN</t>
  </si>
  <si>
    <t>RICH:RICHIERICH COIN</t>
  </si>
  <si>
    <t>USHIBA:AMERICAN SHIBA</t>
  </si>
  <si>
    <t>ANON:ANONYMOUS BSC</t>
  </si>
  <si>
    <t>BFLY:BUTTERFLY PROTOCOL</t>
  </si>
  <si>
    <t>BPC:BACKPACKER COIN</t>
  </si>
  <si>
    <t>CUMINU:CUM INU</t>
  </si>
  <si>
    <t>QMC:QMCOIN</t>
  </si>
  <si>
    <t>POLK:POLKAMARKETS</t>
  </si>
  <si>
    <t>CNFI:CONNECT FINANCIAL</t>
  </si>
  <si>
    <t>LIGHT:LIGHTNING</t>
  </si>
  <si>
    <t>TOR:TORCHAIN</t>
  </si>
  <si>
    <t>PTD:PILOT</t>
  </si>
  <si>
    <t>PTN:PLUTO NETWORK</t>
  </si>
  <si>
    <t>HPAY:HYPER CREDIT NETWORK</t>
  </si>
  <si>
    <t>SVT:SPACEVIKINGS</t>
  </si>
  <si>
    <t>AZU:AZUS</t>
  </si>
  <si>
    <t>BKK:BKEX CHAIN</t>
  </si>
  <si>
    <t>MYX:MYX NETWORK</t>
  </si>
  <si>
    <t>ASS:AUSTRALIAN SAFE SHEPHERD</t>
  </si>
  <si>
    <t>BAFE:BAFE.IO</t>
  </si>
  <si>
    <t>VCN:VERSACOIN</t>
  </si>
  <si>
    <t>URUS:URUS TOKEN</t>
  </si>
  <si>
    <t>ICE:POPSICLE FINANCE</t>
  </si>
  <si>
    <t>REL:RELEVANT</t>
  </si>
  <si>
    <t>ZERO:0.EXCHANGE</t>
  </si>
  <si>
    <t>MTS:MTBLOCK</t>
  </si>
  <si>
    <t>BAS:BASIS SHARE</t>
  </si>
  <si>
    <t>PUX:POLYPUX</t>
  </si>
  <si>
    <t>SGT:SHAREDSTAKE GOVERNANCE TOKEN</t>
  </si>
  <si>
    <t>BFI:BITFARMINGS</t>
  </si>
  <si>
    <t>ORAO:ORAO NETWORK</t>
  </si>
  <si>
    <t>BTCBAM:BITCOINBAM</t>
  </si>
  <si>
    <t>BTR:BITRIVER</t>
  </si>
  <si>
    <t>DHOLD:DIAMONDHOLD</t>
  </si>
  <si>
    <t>FMT:FINMINITY</t>
  </si>
  <si>
    <t>UDT:UNLOCK PROTOCOL</t>
  </si>
  <si>
    <t>BELT:BELT</t>
  </si>
  <si>
    <t>CLU:CLUCOIN</t>
  </si>
  <si>
    <t>BSCPAD:BSCPAD</t>
  </si>
  <si>
    <t>PARA:PARALINK NETWORK</t>
  </si>
  <si>
    <t>PHA:PHALA NETWORK</t>
  </si>
  <si>
    <t>HODL:HODLEARN</t>
  </si>
  <si>
    <t>OPEN:OPEN GOVERNANCE TOKEN</t>
  </si>
  <si>
    <t>ALPACA:ALPACA FINANCE</t>
  </si>
  <si>
    <t>FXS:FRAX SHARE</t>
  </si>
  <si>
    <t>EPS:ELLIPSIS</t>
  </si>
  <si>
    <t>TATA:HAKUNA MATATA</t>
  </si>
  <si>
    <t>NAFT:NAFTER</t>
  </si>
  <si>
    <t>BIFI:BEEFY.FINANCE</t>
  </si>
  <si>
    <t>BURGER:BURGER SWAP</t>
  </si>
  <si>
    <t>BUNNY:PANCAKE BUNNY</t>
  </si>
  <si>
    <t>AUTO:AUTO</t>
  </si>
  <si>
    <t>LTRBT:LITTLE RABBIT</t>
  </si>
  <si>
    <t>SPARTA:SPARTAN PROTOCOL TOKEN</t>
  </si>
  <si>
    <t>BTCB:BINANCE BITCOIN</t>
  </si>
  <si>
    <t>MEPAD:MEMEPAD</t>
  </si>
  <si>
    <t>GYEN:GYEN</t>
  </si>
  <si>
    <t>XPOSE:XPOSE PROTOCOL</t>
  </si>
  <si>
    <t>SUPER:SUPERFARM</t>
  </si>
  <si>
    <t>BULL:BULL</t>
  </si>
  <si>
    <t>TIKTOK:TIKTOK COIN</t>
  </si>
  <si>
    <t>PNL:TRUEPNL TOKEN</t>
  </si>
  <si>
    <t>CTC:CRYPTOCOIN</t>
  </si>
  <si>
    <t>BUHUND:BUHUNDCOIN</t>
  </si>
  <si>
    <t>E8:ENERGY8</t>
  </si>
  <si>
    <t>BNIX:BNIX TOKEN</t>
  </si>
  <si>
    <t>SADGE:SADGE</t>
  </si>
  <si>
    <t>GOLD:GOLDFARM</t>
  </si>
  <si>
    <t>SEED:SEEDTOKEN</t>
  </si>
  <si>
    <t>LESS:LESS</t>
  </si>
  <si>
    <t>UNC:UNELMACOIN</t>
  </si>
  <si>
    <t>SWO:SPACEWOLF</t>
  </si>
  <si>
    <t>SR:SKYROCKET</t>
  </si>
  <si>
    <t>YSOY:YSOY</t>
  </si>
  <si>
    <t>BUGG:BUGG FINANCE</t>
  </si>
  <si>
    <t>DOGEM:MOON DOGE</t>
  </si>
  <si>
    <t>MINA:MINA PROTOCOL</t>
  </si>
  <si>
    <t>MP3:REVAMPED MUSIC</t>
  </si>
  <si>
    <t>VINYL:VINYL</t>
  </si>
  <si>
    <t>IONX:CHARGED PARTICLES</t>
  </si>
  <si>
    <t>CGS:COUGARSWAP</t>
  </si>
  <si>
    <t>KNB:KRONOBIT</t>
  </si>
  <si>
    <t>TDM:TODAMOON</t>
  </si>
  <si>
    <t>HEART:HEART</t>
  </si>
  <si>
    <t>MAT:MINTASSET</t>
  </si>
  <si>
    <t>JACK:JACKPOT</t>
  </si>
  <si>
    <t>TBT:TENNISBALL</t>
  </si>
  <si>
    <t>BIDCOM:BIDCOMMERCE</t>
  </si>
  <si>
    <t>BOBA:BOOBAM</t>
  </si>
  <si>
    <t>CATGE:CATGE COIN</t>
  </si>
  <si>
    <t>DAFT:DAFTCOIN</t>
  </si>
  <si>
    <t>MLT:MODERN LIQUIDITY TOKEN</t>
  </si>
  <si>
    <t>PIGGY:PIGGY BANK TOKEN</t>
  </si>
  <si>
    <t>BDL:BUNDLE DAO</t>
  </si>
  <si>
    <t>FRAG:GAME-FRAG</t>
  </si>
  <si>
    <t>BLKC:BLACKHAT</t>
  </si>
  <si>
    <t>DUB:DUB TOKEN</t>
  </si>
  <si>
    <t>PCOIN:PCOIN NETWORK</t>
  </si>
  <si>
    <t>DOGEZ:DOGEZILLA</t>
  </si>
  <si>
    <t>XLN:LUNARIUM COIN</t>
  </si>
  <si>
    <t>OOKS:ONOOKS</t>
  </si>
  <si>
    <t>KOJI:KOJI</t>
  </si>
  <si>
    <t>PRSS:PRSS</t>
  </si>
  <si>
    <t>AST:APOLLO SPACE TOKEN</t>
  </si>
  <si>
    <t>MTDR:MATADOR TOKEN</t>
  </si>
  <si>
    <t>BBS:BABY-SHARK.FINANCE</t>
  </si>
  <si>
    <t>PALG:PALGOLD</t>
  </si>
  <si>
    <t>SCH:SCHILLINGCOIN</t>
  </si>
  <si>
    <t>TEDDI:TEDI INU BSC</t>
  </si>
  <si>
    <t>TINKU:TINKU</t>
  </si>
  <si>
    <t>NKTN:NIYUKT</t>
  </si>
  <si>
    <t>SAMMY:WHITE WOOLF NETWORK</t>
  </si>
  <si>
    <t>WAVE:THE GREAT WAVE</t>
  </si>
  <si>
    <t>SMSCT:SMSCODES</t>
  </si>
  <si>
    <t>VET:VETERAN</t>
  </si>
  <si>
    <t>YTOFU:YTOFU</t>
  </si>
  <si>
    <t>ELECT:ELECT</t>
  </si>
  <si>
    <t>JOE:JOEROGAN COIN</t>
  </si>
  <si>
    <t>SPF:SEA PLASTIC FREE</t>
  </si>
  <si>
    <t>TKREV:TOKEN REVOLUTION</t>
  </si>
  <si>
    <t>LTCM:LITECOIN MINI FINANCE</t>
  </si>
  <si>
    <t>DLN:DELOREAN COIN</t>
  </si>
  <si>
    <t>ASTRON:ASTRONOMIA TOKEN BSC</t>
  </si>
  <si>
    <t>BLB:BLUEBERRY</t>
  </si>
  <si>
    <t>HENTAI:HENTAI TOKEN</t>
  </si>
  <si>
    <t>RGT:RARI GOVERNANCE TOKEN</t>
  </si>
  <si>
    <t>SCV:SCVTOKEN</t>
  </si>
  <si>
    <t>AMOR:AMOR FINANCE</t>
  </si>
  <si>
    <t>WSHIB:WSHIBA</t>
  </si>
  <si>
    <t>LSS:LOSSLESS</t>
  </si>
  <si>
    <t>GROVE:GROVE</t>
  </si>
  <si>
    <t>HXN:HAVENS NOOK</t>
  </si>
  <si>
    <t>SDOG:SAFEDOG</t>
  </si>
  <si>
    <t>MOCHI:MOCHI</t>
  </si>
  <si>
    <t>MEL:CARAMEL SWAP</t>
  </si>
  <si>
    <t>OXZ:OX ZODIAC</t>
  </si>
  <si>
    <t>ZEFI:ZCORE FINANCE</t>
  </si>
  <si>
    <t>PFZR:PFZERCOIN</t>
  </si>
  <si>
    <t>MOONSTAR:MOONSTAR</t>
  </si>
  <si>
    <t>HRLD:HAROLDCOIN</t>
  </si>
  <si>
    <t>NST:NFT STARTER</t>
  </si>
  <si>
    <t>FAN:FANSPEL</t>
  </si>
  <si>
    <t>WEE:WEE</t>
  </si>
  <si>
    <t>SAHU:SAKHALIN HUSKY</t>
  </si>
  <si>
    <t>ALOE:ALOE TOKEN</t>
  </si>
  <si>
    <t>BEEZ:SAFEBEEZ</t>
  </si>
  <si>
    <t>2LC:2LOCAL</t>
  </si>
  <si>
    <t>MEOW:MOONKITTIES</t>
  </si>
  <si>
    <t>USDS:USD SMART</t>
  </si>
  <si>
    <t>WPC:WAVE PAY COIN</t>
  </si>
  <si>
    <t>SIAM:SIAMESE NEKO</t>
  </si>
  <si>
    <t>VIBEON:TURNVIBEON</t>
  </si>
  <si>
    <t>ZFARM:ZFARM TOKEN</t>
  </si>
  <si>
    <t>NEP:NEPTUNE MUTUAL TOKEN</t>
  </si>
  <si>
    <t>SPORE:SPORE</t>
  </si>
  <si>
    <t>NLIFE:NIGHT LIFE CRYPTO</t>
  </si>
  <si>
    <t>SPACE:SPACELENS</t>
  </si>
  <si>
    <t>PISS:PISSCOIN</t>
  </si>
  <si>
    <t>UCT:UNITEDCROWD TOKEN</t>
  </si>
  <si>
    <t>RFG:REFUGEES TOKEN</t>
  </si>
  <si>
    <t>PEACH:CYBER PEACH</t>
  </si>
  <si>
    <t>TNM:TRAVEL N MILES</t>
  </si>
  <si>
    <t>NUT:NUT MONEY</t>
  </si>
  <si>
    <t>ARV:ARIVA</t>
  </si>
  <si>
    <t>RUFUS:RUFUS FINANCE</t>
  </si>
  <si>
    <t>DANK:DANK</t>
  </si>
  <si>
    <t>MAR3:COMPUMAR</t>
  </si>
  <si>
    <t>PAL3:PLAYANDLIKE</t>
  </si>
  <si>
    <t>STEEL:SISHUB</t>
  </si>
  <si>
    <t>TNDR:THUNDER TOKEN</t>
  </si>
  <si>
    <t>FEI:FEI PROTOCOL</t>
  </si>
  <si>
    <t>GMT:MERCURY PROTOCOL</t>
  </si>
  <si>
    <t>HBTC:HUOBI BTC</t>
  </si>
  <si>
    <t>YUP2:CROWDHOLDING</t>
  </si>
  <si>
    <t>EGW:EGW CAPITAL</t>
  </si>
  <si>
    <t>XYM:SYMBOL</t>
  </si>
  <si>
    <t>MDX3:MDEX</t>
  </si>
  <si>
    <t>1INCH:1INCH NETWORK TOKEN</t>
  </si>
  <si>
    <t>PUNDIX:PUNDI X [NEW]</t>
  </si>
  <si>
    <t>NPXS:PUNDI X [OLD]</t>
  </si>
  <si>
    <t>VNT3:VERSUS NETWORK</t>
  </si>
  <si>
    <t>VOID:VOID TOKEN</t>
  </si>
  <si>
    <t>VOL2:VOLUME NETWORK</t>
  </si>
  <si>
    <t>VOLC:VOLCANOES</t>
  </si>
  <si>
    <t>VRES:VRES</t>
  </si>
  <si>
    <t>VTEX:VERTEX</t>
  </si>
  <si>
    <t>WADS:ADSBYWIFI</t>
  </si>
  <si>
    <t>WBT2:WORLD BANK WALLET</t>
  </si>
  <si>
    <t>WCDC:WORLD CREDIT DIAMOND COIN</t>
  </si>
  <si>
    <t>WDC3:WISDOM CHAIN</t>
  </si>
  <si>
    <t>WEB3:WEBHITS</t>
  </si>
  <si>
    <t>WIDE:WIDE ENERGY</t>
  </si>
  <si>
    <t>WIKI:WIKI TOKEN</t>
  </si>
  <si>
    <t>WILD:WILD CRYPTO</t>
  </si>
  <si>
    <t>WIN4:WINK</t>
  </si>
  <si>
    <t>WINE:FOLLOWINE</t>
  </si>
  <si>
    <t>WOLF:WOLFPACKBOT</t>
  </si>
  <si>
    <t>WOPC:WORKPLACE COIN</t>
  </si>
  <si>
    <t>WORK:AWORKER</t>
  </si>
  <si>
    <t>WSPX:WEBSPACEX</t>
  </si>
  <si>
    <t>WST2:WEISER CHAIN</t>
  </si>
  <si>
    <t>WTIP:WORKTIPS</t>
  </si>
  <si>
    <t>WUSD:WUSD</t>
  </si>
  <si>
    <t>XCOM:XCOM PAY</t>
  </si>
  <si>
    <t>XCT2:XCRYPT</t>
  </si>
  <si>
    <t>XEN2:XENIA COIN</t>
  </si>
  <si>
    <t>XFRC:FRUCTUS</t>
  </si>
  <si>
    <t>XIN2:INFINITY ECONOMICS</t>
  </si>
  <si>
    <t>XKN2:KOIN</t>
  </si>
  <si>
    <t>XLP2:XANPOOL</t>
  </si>
  <si>
    <t>XN35:PROJECTON</t>
  </si>
  <si>
    <t>XPX2:RIPAEX</t>
  </si>
  <si>
    <t>XRC2:BITCOIN RHODIUM</t>
  </si>
  <si>
    <t>XRD3:RAVEN DARK</t>
  </si>
  <si>
    <t>XRPC:XRP CLASSIC</t>
  </si>
  <si>
    <t>XSAP:XSAPPHIRE</t>
  </si>
  <si>
    <t>XSC2:STARCRO</t>
  </si>
  <si>
    <t>XSC3:HYPERSPACE</t>
  </si>
  <si>
    <t>XSCC:GHOST TALK</t>
  </si>
  <si>
    <t>XSCP:SCOPECOIN</t>
  </si>
  <si>
    <t>XTRD:XTRD</t>
  </si>
  <si>
    <t>XUSB:XUSB</t>
  </si>
  <si>
    <t>YANU:YANU</t>
  </si>
  <si>
    <t>YFI2:YEARN2.FINANCE</t>
  </si>
  <si>
    <t>YUKI:YUKI</t>
  </si>
  <si>
    <t>ZETH:ZETHEREUM</t>
  </si>
  <si>
    <t>ZIP2:ZIPPER</t>
  </si>
  <si>
    <t>ZORO:ZOROCHAIN</t>
  </si>
  <si>
    <t>ZUBE:ZUZUBECOIN</t>
  </si>
  <si>
    <t>IOWN:IOWN</t>
  </si>
  <si>
    <t>13372:3DP-TOKEN</t>
  </si>
  <si>
    <t>ACRYL:ACRYL</t>
  </si>
  <si>
    <t>AFDLT:AFRODEX LABS TOKEN</t>
  </si>
  <si>
    <t>AFROX:AFRODEX</t>
  </si>
  <si>
    <t>AGRO2:AGROCOIN</t>
  </si>
  <si>
    <t>AIOT2:AIOT</t>
  </si>
  <si>
    <t>ALCUP:ALPHACUP</t>
  </si>
  <si>
    <t>ALLBI:ALL BEST ICO</t>
  </si>
  <si>
    <t>ANSOX:ANSOBITX</t>
  </si>
  <si>
    <t>ANTBT:ANTBT</t>
  </si>
  <si>
    <t>ASTC2:ASEAN TRADE CHAIN</t>
  </si>
  <si>
    <t>AXIS2:AXIS COIN</t>
  </si>
  <si>
    <t>BASID:BASID COIN</t>
  </si>
  <si>
    <t>BBOS2:BBOS</t>
  </si>
  <si>
    <t>BCBC2:BCBC</t>
  </si>
  <si>
    <t>BEST1:BESTCHAIN</t>
  </si>
  <si>
    <t>BETN2:BITELECTRONEUM</t>
  </si>
  <si>
    <t>BETTY:BETTY</t>
  </si>
  <si>
    <t>BETXC:BETXOIN</t>
  </si>
  <si>
    <t>BITOX:BITOX</t>
  </si>
  <si>
    <t>BKBT2:BITWIRES GLOBAL TOKEN</t>
  </si>
  <si>
    <t>BLACK:EOSBLACK</t>
  </si>
  <si>
    <t>BLINK:BLOCKMASON LINK TOKEN</t>
  </si>
  <si>
    <t>BLOCS:BLOCS</t>
  </si>
  <si>
    <t>BLOOD:BLOOD</t>
  </si>
  <si>
    <t>BOLTT:BOLTTCOIN</t>
  </si>
  <si>
    <t>BPAKC:BITPAKCOINTOKEN</t>
  </si>
  <si>
    <t>BRIX2:BRIXCOIN</t>
  </si>
  <si>
    <t>BTSC2:BTS COIN</t>
  </si>
  <si>
    <t>BTSC3:BITERIS</t>
  </si>
  <si>
    <t>BTSMD:BITSHARES MEDIA</t>
  </si>
  <si>
    <t>CANDY:CANDY</t>
  </si>
  <si>
    <t>CASH2:CASH2</t>
  </si>
  <si>
    <t>CELC2:CELLSCOIN</t>
  </si>
  <si>
    <t>CENT2:CENTERCOIN</t>
  </si>
  <si>
    <t>CHANC:CHANCEBET</t>
  </si>
  <si>
    <t>CHARS:CHARS</t>
  </si>
  <si>
    <t>CHEX2:CHINTAI</t>
  </si>
  <si>
    <t>CIPHC:CIPHER CORE TOKEN</t>
  </si>
  <si>
    <t>CITY2:CITY CHAIN</t>
  </si>
  <si>
    <t>CLINT:CLINTON</t>
  </si>
  <si>
    <t>COBRA:COBRABYTES</t>
  </si>
  <si>
    <t>COMP3:COMPOUND COIN</t>
  </si>
  <si>
    <t>DAPPT:DAPP.COM</t>
  </si>
  <si>
    <t>DELIV:DELIV</t>
  </si>
  <si>
    <t>DICE2:BETDICE</t>
  </si>
  <si>
    <t>EBTC2:EXTREMEBTC</t>
  </si>
  <si>
    <t>ECHO2:RECIPROCATION</t>
  </si>
  <si>
    <t>ECOEC:ECOEARTHCOIN</t>
  </si>
  <si>
    <t>ECOIN:ECOIN</t>
  </si>
  <si>
    <t>EGWHS:EGW HIGH YIELD ST 1</t>
  </si>
  <si>
    <t>EGWHY:EGW CAPITAL HY 1</t>
  </si>
  <si>
    <t>EKD27:EKD27</t>
  </si>
  <si>
    <t>ENTRP:HUT34</t>
  </si>
  <si>
    <t>EPLUS:EPLUS COIN</t>
  </si>
  <si>
    <t>ETHS2:ETHERCASH</t>
  </si>
  <si>
    <t>EXPO2:EXPO TOKEN</t>
  </si>
  <si>
    <t>FAIR2:FAIRGAME</t>
  </si>
  <si>
    <t>FAIRC:FAIREUM</t>
  </si>
  <si>
    <t>FSTSH:FIASTEEM SHARE HOLDING</t>
  </si>
  <si>
    <t>FUNDZ:FUNDTOKEN</t>
  </si>
  <si>
    <t>GEAR3:GEARPROTOCOL</t>
  </si>
  <si>
    <t>GLDR5:WAR FIELD</t>
  </si>
  <si>
    <t>GOLD3:GOLD</t>
  </si>
  <si>
    <t>GOLD6:GOLD CHAIN</t>
  </si>
  <si>
    <t>GOLD7:CRYPTOGALAXY</t>
  </si>
  <si>
    <t>GOLD8:DRAGONEREUM</t>
  </si>
  <si>
    <t>GOLDY:GOLDY COIN</t>
  </si>
  <si>
    <t>HAPPY:HAPPY</t>
  </si>
  <si>
    <t>HARON:HARON</t>
  </si>
  <si>
    <t>HASH3:HASH</t>
  </si>
  <si>
    <t>HASH4:BITCOIN HASHRATE FUTURES</t>
  </si>
  <si>
    <t>HATCH:HATCH DAO</t>
  </si>
  <si>
    <t>HIVE2:BLOCKHIVE</t>
  </si>
  <si>
    <t>HUDDL:HUDDL</t>
  </si>
  <si>
    <t>IDEAL:IDEALCOIN</t>
  </si>
  <si>
    <t>IDHUB:IDHUB</t>
  </si>
  <si>
    <t>INSUR:INSURCHAIN</t>
  </si>
  <si>
    <t>KBYTE:KAZUBYTE</t>
  </si>
  <si>
    <t>KOLIN:KOLIN</t>
  </si>
  <si>
    <t>LAMBS:LAMBDA SPACE TOKEN</t>
  </si>
  <si>
    <t>LBC01:JONAS BASANAVIČIUS</t>
  </si>
  <si>
    <t>LBC02:MYKOLAS BIRŽIŠKA</t>
  </si>
  <si>
    <t>LBC03:PRANAS DOVYDAITIS</t>
  </si>
  <si>
    <t>LBC04:STEPONAS KAIRYS</t>
  </si>
  <si>
    <t>LENDO:LENDO</t>
  </si>
  <si>
    <t>LIGHT:LIGHTCHAIN</t>
  </si>
  <si>
    <t>LOTEU:LOTEU</t>
  </si>
  <si>
    <t>MACPO:MASTER COIN POINT</t>
  </si>
  <si>
    <t>MEDI2:MEDI PLUS</t>
  </si>
  <si>
    <t>MESSE:MESSE TOKEN</t>
  </si>
  <si>
    <t>MGOLD:MGOLD</t>
  </si>
  <si>
    <t>MIAMI:MIAMI</t>
  </si>
  <si>
    <t>MOBI2:MOBINODE</t>
  </si>
  <si>
    <t>MONEY:MONEYCOIN</t>
  </si>
  <si>
    <t>MYFIE:MYFIE</t>
  </si>
  <si>
    <t>NACRE:NACREOUS</t>
  </si>
  <si>
    <t>NELLA:X-NELLA</t>
  </si>
  <si>
    <t>NIUMC:NIUM</t>
  </si>
  <si>
    <t>NOIA2:METANOIA</t>
  </si>
  <si>
    <t>ODIN3:ODIN BLOCKCHAIN</t>
  </si>
  <si>
    <t>OMNES:OMNES COIN</t>
  </si>
  <si>
    <t>PAPER:PAPERCOIN</t>
  </si>
  <si>
    <t>PARQ2:PARQ</t>
  </si>
  <si>
    <t>PITCH:PITCH</t>
  </si>
  <si>
    <t>PLAT2:PLATINUM</t>
  </si>
  <si>
    <t>PRIMU:PRIMULON</t>
  </si>
  <si>
    <t>QCASH:QUANTUM CASH</t>
  </si>
  <si>
    <t>RALLY:RALLY</t>
  </si>
  <si>
    <t>REMCO:REMCO</t>
  </si>
  <si>
    <t>RUDRA:RUDRA INDIA HOLDINGS</t>
  </si>
  <si>
    <t>RVIEW:REVIEWBASE</t>
  </si>
  <si>
    <t>SAPP2:SAPPCHAIN</t>
  </si>
  <si>
    <t>SBTC2:SIAMBITCOIN</t>
  </si>
  <si>
    <t>SDUSD:SDUSD</t>
  </si>
  <si>
    <t>SENNO:SENNO</t>
  </si>
  <si>
    <t>SHARK:SHARK COIN</t>
  </si>
  <si>
    <t>SINOC:SINOC</t>
  </si>
  <si>
    <t>SKYFT:SKYFCHAIN</t>
  </si>
  <si>
    <t>SPORT:SPORTSCOIN</t>
  </si>
  <si>
    <t>SPRK2:SPARKLECOIN</t>
  </si>
  <si>
    <t>SREUR:SOCIALREMIT</t>
  </si>
  <si>
    <t>STASH:BITSTASH MARKETPLACE</t>
  </si>
  <si>
    <t>STRMS:STREAMIES</t>
  </si>
  <si>
    <t>STRO2:SUPER TRON</t>
  </si>
  <si>
    <t>SUB1X:SUB1X</t>
  </si>
  <si>
    <t>SWIPE:SWIPE</t>
  </si>
  <si>
    <t>TAGZ5:TAGZ5</t>
  </si>
  <si>
    <t>NFXC:NFX COIN</t>
  </si>
  <si>
    <t>EST:ESTATE TOKEN</t>
  </si>
  <si>
    <t>ZCC:ZUCOINCHAIN</t>
  </si>
  <si>
    <t>FXTC:FIXED TRADE COIN</t>
  </si>
  <si>
    <t>TICO:TICO</t>
  </si>
  <si>
    <t>PPC:PLATINUM PRO COIN</t>
  </si>
  <si>
    <t>HONK:HONK HONK</t>
  </si>
  <si>
    <t>DIGI:DIGIVERSE</t>
  </si>
  <si>
    <t>URBC:URBANCASH</t>
  </si>
  <si>
    <t>CIRQ:CIRQUITY</t>
  </si>
  <si>
    <t>XPT:CRYPTOBUYER</t>
  </si>
  <si>
    <t>BTSE:BTSE TOKEN</t>
  </si>
  <si>
    <t>MCOFF:MCOFF</t>
  </si>
  <si>
    <t>ZAI:ZAIGAR</t>
  </si>
  <si>
    <t>GSC:GOLD STAR COIN</t>
  </si>
  <si>
    <t>EVOX:EVOLUTION</t>
  </si>
  <si>
    <t>NEAR:NEAR PROTOCOL</t>
  </si>
  <si>
    <t>CHND:CASHHAND</t>
  </si>
  <si>
    <t>ESN:ESCUDO NAVACENSE</t>
  </si>
  <si>
    <t>JUP:JUPITER</t>
  </si>
  <si>
    <t>MARTK:MARTKIST</t>
  </si>
  <si>
    <t>HIVE:HIVE</t>
  </si>
  <si>
    <t>UMA:UMA</t>
  </si>
  <si>
    <t>LIDER:LIDER TOKEN</t>
  </si>
  <si>
    <t>UCA:UCA COIN</t>
  </si>
  <si>
    <t>NEWS:CRYPTONEWSNET</t>
  </si>
  <si>
    <t>BPT:BITPAYER TOKEN</t>
  </si>
  <si>
    <t>XT:EXTSTOCK TOKEN</t>
  </si>
  <si>
    <t>AG8:ATROMG8</t>
  </si>
  <si>
    <t>SENSO:SENSO</t>
  </si>
  <si>
    <t>OWN:OWN TOKEN</t>
  </si>
  <si>
    <t>KTV:KMUSHICOIN</t>
  </si>
  <si>
    <t>LCX:LCX</t>
  </si>
  <si>
    <t>GRT:GOLDEN RATIO TOKEN</t>
  </si>
  <si>
    <t>PGO:PENGOLINCOIN</t>
  </si>
  <si>
    <t>DMSC:DIAMOND STAR COIN</t>
  </si>
  <si>
    <t>TRYB:BILIRA</t>
  </si>
  <si>
    <t>STC:STUDENT COIN</t>
  </si>
  <si>
    <t>SPERO:SPEROCOIN</t>
  </si>
  <si>
    <t>XAU:GOLD SPOT TOKEN</t>
  </si>
  <si>
    <t>SPX:S&amp;P 500 TOKEN</t>
  </si>
  <si>
    <t>XAG:SILVER SPOT TOKEN</t>
  </si>
  <si>
    <t>XTI:US CRUDE OIL SPOT TOKEN</t>
  </si>
  <si>
    <t>NDX:NASDAQ 100 TOKEN</t>
  </si>
  <si>
    <t>DAX:DAX 30 TOKEN</t>
  </si>
  <si>
    <t>IT40:FTSE MIB 40 TOKEN</t>
  </si>
  <si>
    <t>IBEX:IBEX 35 TOKEN</t>
  </si>
  <si>
    <t>DJ30:DOW JONES 30 TOKEN</t>
  </si>
  <si>
    <t>XPD:PALLADIUM SPOT TOKEN</t>
  </si>
  <si>
    <t>XPT:PLATINUM SPOT TOKEN</t>
  </si>
  <si>
    <t>XBR:BRENT CRUDE OIL SPOT</t>
  </si>
  <si>
    <t>CAC:CAC 40 TOKEN</t>
  </si>
  <si>
    <t>CN50:FTSE CHINA A50 TOKEN</t>
  </si>
  <si>
    <t>EU50:EURO STOXX 50 TOKEN</t>
  </si>
  <si>
    <t>AEX:AEX 25 TOKEN</t>
  </si>
  <si>
    <t>GBP:POUND STERLING TOKEN</t>
  </si>
  <si>
    <t>CAD:CANADIAN DOLLAR TOKEN</t>
  </si>
  <si>
    <t>EUR:EURO TOKEN</t>
  </si>
  <si>
    <t>AUD:AUSTRALIAN DOLLAR TOKEN</t>
  </si>
  <si>
    <t>NZD:NEW ZEALAND DOLLAR TOKEN</t>
  </si>
  <si>
    <t>CHF:SWISS FRANC TOKEN</t>
  </si>
  <si>
    <t>ORN:ORION PROTOCOL</t>
  </si>
  <si>
    <t>BDCASH:BIGDATACASH</t>
  </si>
  <si>
    <t>BEPRO:BETPROTOCOL</t>
  </si>
  <si>
    <t>BET:EARNBET</t>
  </si>
  <si>
    <t>SVC:SILVERCASH</t>
  </si>
  <si>
    <t>AGRD:AGUARD</t>
  </si>
  <si>
    <t>KYF:KRYPTOFRANC</t>
  </si>
  <si>
    <t>BTC3:BITCOIN 3</t>
  </si>
  <si>
    <t>JPX:JAPAN EXCITEMENT COIN</t>
  </si>
  <si>
    <t>DFI:DEFI CHAIN</t>
  </si>
  <si>
    <t>EWT:ENERGY WEB TOKEN</t>
  </si>
  <si>
    <t>BZRX:BZX PROTOCOL</t>
  </si>
  <si>
    <t>LQX:LQX COIN</t>
  </si>
  <si>
    <t>GLF:GLUFCO</t>
  </si>
  <si>
    <t>RICK:INFINITE RICKS</t>
  </si>
  <si>
    <t>MNS:MONNOS</t>
  </si>
  <si>
    <t>SHR:SHARETOKEN</t>
  </si>
  <si>
    <t>HOMT:HOM TOKEN</t>
  </si>
  <si>
    <t>FTS:FTS COIN</t>
  </si>
  <si>
    <t>WLLO:WILLOWCOIN</t>
  </si>
  <si>
    <t>SSC:SHINING STAR COIN</t>
  </si>
  <si>
    <t>DAM:DATAMINE</t>
  </si>
  <si>
    <t>PEAK:PEAKDEFI</t>
  </si>
  <si>
    <t>INRTOKEN:INRTOKEN</t>
  </si>
  <si>
    <t>ETHMNY:ETHEREUM MONEY</t>
  </si>
  <si>
    <t>XGM:DEFIS</t>
  </si>
  <si>
    <t>PWRB:POWERBALT</t>
  </si>
  <si>
    <t>CGT:CACHE GOLD</t>
  </si>
  <si>
    <t>CLOG:CLO GOLD</t>
  </si>
  <si>
    <t>HNS:HANDSHAKE</t>
  </si>
  <si>
    <t>XPR:PROTON</t>
  </si>
  <si>
    <t>BCHC:BITCHERRY</t>
  </si>
  <si>
    <t>LBET:LEMON BET</t>
  </si>
  <si>
    <t>SOV:SOVEREIGN COIN</t>
  </si>
  <si>
    <t>JRT:JARVIS REWARD TOKEN</t>
  </si>
  <si>
    <t>PHNX:PHOENIXDAO</t>
  </si>
  <si>
    <t>COMP:COMPOUND</t>
  </si>
  <si>
    <t>CATS:CATSCOIN</t>
  </si>
  <si>
    <t>MWC:MIMBLE WIMBLE COIN</t>
  </si>
  <si>
    <t>TCP:TOKEN CASHPAY</t>
  </si>
  <si>
    <t>MTA:META</t>
  </si>
  <si>
    <t>XAUT:TETHER GOLD</t>
  </si>
  <si>
    <t>SWINGBY:SWINGBY</t>
  </si>
  <si>
    <t>FIO:FIO PROTOCOL</t>
  </si>
  <si>
    <t>ALEPH:ALEPH.IM</t>
  </si>
  <si>
    <t>PEG:PEGNET</t>
  </si>
  <si>
    <t>IDX:INDEX CHAIN</t>
  </si>
  <si>
    <t>MGSC:MG SKYPE COIN</t>
  </si>
  <si>
    <t>DIA:DIA</t>
  </si>
  <si>
    <t>KIWI:KIWI TOKEN</t>
  </si>
  <si>
    <t>TSCHYBRID:TRON SECURE HYBRID</t>
  </si>
  <si>
    <t>888:888TOKEN</t>
  </si>
  <si>
    <t>CNS:CENTRIC CASH</t>
  </si>
  <si>
    <t>PUSD:PAYFREQUENT USD</t>
  </si>
  <si>
    <t>CRDT:CRDT</t>
  </si>
  <si>
    <t>SRM:SERUM</t>
  </si>
  <si>
    <t>SAND:THE SANDBOX</t>
  </si>
  <si>
    <t>GOLD:GOLD CASH</t>
  </si>
  <si>
    <t>ZYX:ZYX</t>
  </si>
  <si>
    <t>BPCN:BLIPCOIN</t>
  </si>
  <si>
    <t>XJP:EXCITING JAPAN COIN</t>
  </si>
  <si>
    <t>ABST:ABITSHADOW TOKEN</t>
  </si>
  <si>
    <t>SPA:SPERAX</t>
  </si>
  <si>
    <t>OM:MANTRA DAO</t>
  </si>
  <si>
    <t>OGN:ORIGIN PROTOCOL</t>
  </si>
  <si>
    <t>PRQ:PARSIQ</t>
  </si>
  <si>
    <t>BDCC:BITICA COIN</t>
  </si>
  <si>
    <t>SNN:SECHAIN</t>
  </si>
  <si>
    <t>EGG:NESTEGG COIN</t>
  </si>
  <si>
    <t>RNDR:RENDER TOKEN</t>
  </si>
  <si>
    <t>PAMP:PAMP NETWORK</t>
  </si>
  <si>
    <t>RSV:RESERVE</t>
  </si>
  <si>
    <t>KSM:KUSAMA</t>
  </si>
  <si>
    <t>AVAX:AVALANCHE</t>
  </si>
  <si>
    <t>4ART:4ART</t>
  </si>
  <si>
    <t>TEWKEN:TEWKEN</t>
  </si>
  <si>
    <t>HALV:HALVING COIN</t>
  </si>
  <si>
    <t>EFK:REFORK</t>
  </si>
  <si>
    <t>ONE:ONE HUNDRED COIN</t>
  </si>
  <si>
    <t>ORKIT:ORKIT COIN</t>
  </si>
  <si>
    <t>ASH:AENEAS</t>
  </si>
  <si>
    <t>KUB:RICHAMSTER TOKEN</t>
  </si>
  <si>
    <t>GTF:GLOBAL TRUSTFUND TOKEN</t>
  </si>
  <si>
    <t>DMG:DMM: GOVERNANCE</t>
  </si>
  <si>
    <t>EFIN:EFIN</t>
  </si>
  <si>
    <t>FXL:FXL TOKEN</t>
  </si>
  <si>
    <t>YFI:YEARN.FINANCE</t>
  </si>
  <si>
    <t>AXIS:AXIS DEFI</t>
  </si>
  <si>
    <t>PIE:DEFIPIE</t>
  </si>
  <si>
    <t>CRV:CURVE DAO TOKEN</t>
  </si>
  <si>
    <t>PLT:PLUTUS DEFI</t>
  </si>
  <si>
    <t>KLP:KULUPU</t>
  </si>
  <si>
    <t>FOUR:4THPILLAR TECHNOLOGIES</t>
  </si>
  <si>
    <t>XRT:ROBONOMICS NETWORK</t>
  </si>
  <si>
    <t>SOL:SOLANA</t>
  </si>
  <si>
    <t>BOT:BOUNCE TOKEN</t>
  </si>
  <si>
    <t>DESH:DECASH</t>
  </si>
  <si>
    <t>OKS:OIKOS</t>
  </si>
  <si>
    <t>BLURT:BLURT</t>
  </si>
  <si>
    <t>INEX:INTERNET EXCHANGE TOKEN</t>
  </si>
  <si>
    <t>GTHR:GATHERER</t>
  </si>
  <si>
    <t>THPT:HELIOPOWER TOKEN</t>
  </si>
  <si>
    <t>FXC:FUTUREXCRYPTO</t>
  </si>
  <si>
    <t>YFII:DFI.MONEY</t>
  </si>
  <si>
    <t>WNXM:WRAPPED NXM</t>
  </si>
  <si>
    <t>CRU:CRUST</t>
  </si>
  <si>
    <t>BID:BIDAO</t>
  </si>
  <si>
    <t>BEAR:BEAR COIN</t>
  </si>
  <si>
    <t>SUSHI:SUSHI</t>
  </si>
  <si>
    <t>YAMV2:YAMV2</t>
  </si>
  <si>
    <t>STAKE:XDAI STAKE</t>
  </si>
  <si>
    <t>RFUEL:RIODEFI</t>
  </si>
  <si>
    <t>STA:STATERA</t>
  </si>
  <si>
    <t>DEXG:DEXTOKEN GOVERNANCE</t>
  </si>
  <si>
    <t>FFYI:FISCUS GOVERNANCE COIN</t>
  </si>
  <si>
    <t>NAZ:NAZ COIN</t>
  </si>
  <si>
    <t>XAG:XRPALIKE GENE</t>
  </si>
  <si>
    <t>TN:TURTLE NETWORK</t>
  </si>
  <si>
    <t>THXC:THXCHAIN</t>
  </si>
  <si>
    <t>XTP:TAP</t>
  </si>
  <si>
    <t>SPEED:SPEED COIN</t>
  </si>
  <si>
    <t>QOOB:QOOBER</t>
  </si>
  <si>
    <t>AUOP:OPALCOIN</t>
  </si>
  <si>
    <t>P2P:P2P CASH</t>
  </si>
  <si>
    <t>UFFYI:UNLIMITED FISCUSFYI</t>
  </si>
  <si>
    <t>OCTO:OCTOFI</t>
  </si>
  <si>
    <t>UNIFI:UNIFI DEFI</t>
  </si>
  <si>
    <t>UNI:UNISWAP</t>
  </si>
  <si>
    <t>I9C:I9 COIN</t>
  </si>
  <si>
    <t>TLR:TALER</t>
  </si>
  <si>
    <t>CRP:CRYPTON</t>
  </si>
  <si>
    <t>YOUC:YOUCASH</t>
  </si>
  <si>
    <t>C2O:CRYPTOWATER</t>
  </si>
  <si>
    <t>EGLD:ELROND</t>
  </si>
  <si>
    <t>RFX:REFLEX</t>
  </si>
  <si>
    <t>VX:VITEX COIN</t>
  </si>
  <si>
    <t>EASY:EASYFI</t>
  </si>
  <si>
    <t>1211:BYD COMPANY LIMITED</t>
  </si>
  <si>
    <t>1810:XIAOMI CORP.</t>
  </si>
  <si>
    <t>9988:ALIBABA GROUP HOLDING LIMITED</t>
  </si>
  <si>
    <t>AAPL:APPLE INC</t>
  </si>
  <si>
    <t>ADBE:ADOBE SYSTEMS INC</t>
  </si>
  <si>
    <t>AMD:ADVANCED MICRO DEVICES INC</t>
  </si>
  <si>
    <t>AMZN:AMAZON.COM INC</t>
  </si>
  <si>
    <t>ATVI:ACTIVISION BLIZZARD INC</t>
  </si>
  <si>
    <t>BA:BOEING</t>
  </si>
  <si>
    <t>BABA:ALIBABA GROUP HOLDING LIMITED</t>
  </si>
  <si>
    <t>BBY:BEST BUY</t>
  </si>
  <si>
    <t>BMRN:BIOMARIN PHARMACEUTICAL INC</t>
  </si>
  <si>
    <t>BNTX:BIONTECH SE</t>
  </si>
  <si>
    <t>CBK:COMMERZBANK AG</t>
  </si>
  <si>
    <t>CSCO:CISCO SYSTEMS</t>
  </si>
  <si>
    <t>DBK:DEUTSCHE BANK AG</t>
  </si>
  <si>
    <t>DBX:DROPBOX</t>
  </si>
  <si>
    <t>DIS:WALT DISNEY</t>
  </si>
  <si>
    <t>EBAY:EBAY</t>
  </si>
  <si>
    <t>EPAM:EPAM SYSTEMS, INC.</t>
  </si>
  <si>
    <t>F:FORD MOTOR CO</t>
  </si>
  <si>
    <t>FB:FACEBOOK</t>
  </si>
  <si>
    <t>FSLR:FIRST SOLAR INC</t>
  </si>
  <si>
    <t>GE:GENERAL ELECTRIC CO</t>
  </si>
  <si>
    <t>GME:GAMESTOP</t>
  </si>
  <si>
    <t>GPRO:GOPRO INC</t>
  </si>
  <si>
    <t>INTC:INTEL CORPORATION</t>
  </si>
  <si>
    <t>JNJ:JOHNSON &amp; JOHNSON</t>
  </si>
  <si>
    <t>JPM:JPMORGAN CHASE</t>
  </si>
  <si>
    <t>KO:COCA-COLA</t>
  </si>
  <si>
    <t>LB:L BRANDS</t>
  </si>
  <si>
    <t>LHA:DEUTSCHE LUFTHANSA AG</t>
  </si>
  <si>
    <t>M:MACYS</t>
  </si>
  <si>
    <t>MA:MASTERCARD INC</t>
  </si>
  <si>
    <t>MCD:MCDONALD'S</t>
  </si>
  <si>
    <t>MOMO:MOMO INC.</t>
  </si>
  <si>
    <t>MRK:MERCK &amp; CO INC</t>
  </si>
  <si>
    <t>MSFT:MICROSOFT</t>
  </si>
  <si>
    <t>NEM:NEWMONT MINING</t>
  </si>
  <si>
    <t>NFLX:NETFLIX</t>
  </si>
  <si>
    <t>NKE:NIKE INC</t>
  </si>
  <si>
    <t>NVDA:NVIDIA</t>
  </si>
  <si>
    <t>OCFT:ONECONNECT</t>
  </si>
  <si>
    <t>PFE:PFIZER INC</t>
  </si>
  <si>
    <t>PTON:PELOTON INTERACTIVE INC</t>
  </si>
  <si>
    <t>PYPL:PAYPAL HOLDINGS</t>
  </si>
  <si>
    <t>SBUX:STARBUCKS CORP</t>
  </si>
  <si>
    <t>SDC:SMILEDIRECTCLUB INC</t>
  </si>
  <si>
    <t>SNAP:SNAP</t>
  </si>
  <si>
    <t>SWN:SOUTHWESTERN ENERGY</t>
  </si>
  <si>
    <t>TSLA:TESLA</t>
  </si>
  <si>
    <t>TWTR:TWITTER</t>
  </si>
  <si>
    <t>UBER:UBER TECHNOLOGIES INC</t>
  </si>
  <si>
    <t>V:VISA INC</t>
  </si>
  <si>
    <t>VOO:VANGUARD S&amp;P 500 ETF</t>
  </si>
  <si>
    <t>VOW3:VOLKSWAGEN AG</t>
  </si>
  <si>
    <t>WBA:WALGREEN BOOTS ALLIANCE</t>
  </si>
  <si>
    <t>WDAY:WORKDAY INC</t>
  </si>
  <si>
    <t>WFC:WELLS FARGO &amp; CO</t>
  </si>
  <si>
    <t>WORK:SLACK TECHNOLOGIES INC</t>
  </si>
  <si>
    <t>X:US STEEL CORP</t>
  </si>
  <si>
    <t>XNG:US NATURAL GAS SPOT</t>
  </si>
  <si>
    <t>YOLO:ADVISORSHARES PURE CANNABIS ETF</t>
  </si>
  <si>
    <t>AIR:AIRBUS SE</t>
  </si>
  <si>
    <t>AR:ANTERO RESOURCES</t>
  </si>
  <si>
    <t>BIDU:BAIDU, INC.</t>
  </si>
  <si>
    <t>BIG:BIG LOTS</t>
  </si>
  <si>
    <t>BIIB:BIOGEN INC.</t>
  </si>
  <si>
    <t>BILI:BILIBILI INC.</t>
  </si>
  <si>
    <t>BLUE:BLUEBIRD BIO, INC.</t>
  </si>
  <si>
    <t>BSX:BOSTON SCIENTIFIC</t>
  </si>
  <si>
    <t>CIEN:CIENA</t>
  </si>
  <si>
    <t>TGO:TETHERGO</t>
  </si>
  <si>
    <t>TLW:TILWIKI</t>
  </si>
  <si>
    <t>TMH:TRUSTMARKETHUB TOKEN</t>
  </si>
  <si>
    <t>TOB:TOKENS OF BABEL</t>
  </si>
  <si>
    <t>TPD:TRIPEDIA</t>
  </si>
  <si>
    <t>TSK:TASUKI</t>
  </si>
  <si>
    <t>TSM:THESAURUM</t>
  </si>
  <si>
    <t>TSV:TRONSV</t>
  </si>
  <si>
    <t>TZX:TORZEX</t>
  </si>
  <si>
    <t>UBS:UBIT SHARE</t>
  </si>
  <si>
    <t>UCO:UNIRIS</t>
  </si>
  <si>
    <t>UHP:ULGEN HASH POWER</t>
  </si>
  <si>
    <t>UNT:UNIMONITOR</t>
  </si>
  <si>
    <t>UPT:UNIVERSAL PROTOCOL TOKEN</t>
  </si>
  <si>
    <t>USG:USGOLD</t>
  </si>
  <si>
    <t>UTO:UNITOPIA TOKEN</t>
  </si>
  <si>
    <t>UTU:UTU PROTOCOL</t>
  </si>
  <si>
    <t>UTY:UNITYDAO</t>
  </si>
  <si>
    <t>VES:VESTELLA</t>
  </si>
  <si>
    <t>VMR:VOMER</t>
  </si>
  <si>
    <t>VRO:VERAONE</t>
  </si>
  <si>
    <t>VSN:VISION NETWORK</t>
  </si>
  <si>
    <t>WAR:YIELDWARS</t>
  </si>
  <si>
    <t>WBX:WINBIX</t>
  </si>
  <si>
    <t>WCC:WINCASH COIN</t>
  </si>
  <si>
    <t>WG0:WRAPPED GEN-0 CRYPTOKITTIES</t>
  </si>
  <si>
    <t>WLB:WALLABEE</t>
  </si>
  <si>
    <t>WLF:WOLFS GROUP</t>
  </si>
  <si>
    <t>WMA:WEEMAT</t>
  </si>
  <si>
    <t>WOA:WRAPPED ORIGIN AXIE</t>
  </si>
  <si>
    <t>WPX:WALLETPLUSX</t>
  </si>
  <si>
    <t>WTF:WALNUT.FINANCE</t>
  </si>
  <si>
    <t>WTP:WEB TOKEN PAY</t>
  </si>
  <si>
    <t>WWT:WORLDWIDETRADE</t>
  </si>
  <si>
    <t>XCF:CENFURA TOKEN</t>
  </si>
  <si>
    <t>XMD:MYDEXPAY</t>
  </si>
  <si>
    <t>XMM:MOMENTUM</t>
  </si>
  <si>
    <t>XRB:RAINBOW</t>
  </si>
  <si>
    <t>XTK:XTAKE.CASH</t>
  </si>
  <si>
    <t>XYS:ANALYSX</t>
  </si>
  <si>
    <t>YAH:JAMAICOIN</t>
  </si>
  <si>
    <t>YBY:TEN BILLION COIN</t>
  </si>
  <si>
    <t>YEA:YEAFINANCE</t>
  </si>
  <si>
    <t>YF4:YEARN4 FINANCE</t>
  </si>
  <si>
    <t>YFA:YFA FINANCE</t>
  </si>
  <si>
    <t>YFE:YFE MONEY</t>
  </si>
  <si>
    <t>YFL:YF LINK</t>
  </si>
  <si>
    <t>YFT:YIELD FARMING TOKEN</t>
  </si>
  <si>
    <t>YKZ:YAKUZA DAO</t>
  </si>
  <si>
    <t>YLD:YIELD APP UTILITY TOKEN</t>
  </si>
  <si>
    <t>YNK:YOINK</t>
  </si>
  <si>
    <t>YOD:YODA X</t>
  </si>
  <si>
    <t>YSR:YSTAR</t>
  </si>
  <si>
    <t>YUI:YUI TOKEN</t>
  </si>
  <si>
    <t>ZAC:ZAC FINANCE</t>
  </si>
  <si>
    <t>ZCH:0CASH</t>
  </si>
  <si>
    <t>ZEE:ZEROSWAP</t>
  </si>
  <si>
    <t>ZLP:ZUPLO</t>
  </si>
  <si>
    <t>ZTB:ZTTOKEN</t>
  </si>
  <si>
    <t>ZUT:ZERO UTILITY TOKEN</t>
  </si>
  <si>
    <t>ZZZ:ZZZ.FINANCE</t>
  </si>
  <si>
    <t>0XMR:0XMR</t>
  </si>
  <si>
    <t>4ART:4ARTECHNOLOGIES</t>
  </si>
  <si>
    <t>ABAT:AAVE BAT</t>
  </si>
  <si>
    <t>ABTC:AML BITCOIN</t>
  </si>
  <si>
    <t>ACPT:CRYPTO ACCEPT</t>
  </si>
  <si>
    <t>ADAI:AAVE DAI</t>
  </si>
  <si>
    <t>ADEL:AKROPOLIS DELPHI</t>
  </si>
  <si>
    <t>AENJ:AAVE ENJ</t>
  </si>
  <si>
    <t>AETH:AAVE ETH</t>
  </si>
  <si>
    <t>AICC:ANGEL INTERNATIONAL CAPITAL CHAIN</t>
  </si>
  <si>
    <t>AIO2:AVRIO</t>
  </si>
  <si>
    <t>AK12:AK12</t>
  </si>
  <si>
    <t>AKNC:AAVE KNC</t>
  </si>
  <si>
    <t>ALBT:ALLIANCEBLOCK</t>
  </si>
  <si>
    <t>ALPA:ALPA TOKEN</t>
  </si>
  <si>
    <t>ALPD:ALPHADOME</t>
  </si>
  <si>
    <t>AMDC:ALLMEDI COIN</t>
  </si>
  <si>
    <t>AMKR:AAVE MKR</t>
  </si>
  <si>
    <t>AMZ2:AMAZONAS COIN</t>
  </si>
  <si>
    <t>ANC2:ARAGON CHINA</t>
  </si>
  <si>
    <t>ANSO:ANSOBIT</t>
  </si>
  <si>
    <t>API3:API3 TOKEN</t>
  </si>
  <si>
    <t>APT2:AD PAY TOKEN</t>
  </si>
  <si>
    <t>AREN:AAVE REN</t>
  </si>
  <si>
    <t>ARTE:ETHART</t>
  </si>
  <si>
    <t>ARX2:ARCS</t>
  </si>
  <si>
    <t>ASAC:ASAC COIN</t>
  </si>
  <si>
    <t>ASNX:AAVE SNX</t>
  </si>
  <si>
    <t>ATIS:ATLANTIS TOKEN</t>
  </si>
  <si>
    <t>ATP2:ALAYA</t>
  </si>
  <si>
    <t>ATTN:ATTN TOKEN</t>
  </si>
  <si>
    <t>AUDT:AUDITCHAIN</t>
  </si>
  <si>
    <t>AUDX:ETORO AUDX</t>
  </si>
  <si>
    <t>AUX2:AQUILA PROTOCOL</t>
  </si>
  <si>
    <t>AYFI:AAVE YFI</t>
  </si>
  <si>
    <t>AZBI:AZBI CORE</t>
  </si>
  <si>
    <t>AZRX:AAVE ZRX</t>
  </si>
  <si>
    <t>BAKE:BAKERYSWAP</t>
  </si>
  <si>
    <t>BALO:BALLOON COIN</t>
  </si>
  <si>
    <t>BAST:BAST</t>
  </si>
  <si>
    <t>BCA2:BITCOIVA</t>
  </si>
  <si>
    <t>BCAS:BCA SOLUTIONS</t>
  </si>
  <si>
    <t>BCT7:BLOCKCHAIN TOWN</t>
  </si>
  <si>
    <t>BCTR:BITCRATIC REVENUE</t>
  </si>
  <si>
    <t>BEC3:BETHERCHIP</t>
  </si>
  <si>
    <t>BHSC:BLACKHOLESWAP-COMPOUND DAI/USDC</t>
  </si>
  <si>
    <t>BID3:BLOCKIDCOIN</t>
  </si>
  <si>
    <t>BIM2:BIMCOIN</t>
  </si>
  <si>
    <t>BION:BIIDO</t>
  </si>
  <si>
    <t>BITN:BITCOIN AND COMPANY NETWORK</t>
  </si>
  <si>
    <t>BIUT:BIT TRUST SYSTEM</t>
  </si>
  <si>
    <t>BKKG:BIOKKOIN</t>
  </si>
  <si>
    <t>BLT3:BILETCOIN</t>
  </si>
  <si>
    <t>BLV2:BELLEVUE NETWORK</t>
  </si>
  <si>
    <t>BLVR:BELIEVER</t>
  </si>
  <si>
    <t>BLZN:BLAZE NETWORK</t>
  </si>
  <si>
    <t>BNC4:BNC TOKEN</t>
  </si>
  <si>
    <t>BNSD:BNSD FINANCE</t>
  </si>
  <si>
    <t>BNTX:BINTEX TOKEN</t>
  </si>
  <si>
    <t>BOC2:BOTTON</t>
  </si>
  <si>
    <t>BOLO:BOLO TOKEN</t>
  </si>
  <si>
    <t>BOND:BONDED FINANCE</t>
  </si>
  <si>
    <t>BONE:BONE</t>
  </si>
  <si>
    <t>BONK:BONK</t>
  </si>
  <si>
    <t>BOX4:DEFIBOX</t>
  </si>
  <si>
    <t>BPLC:BLACKPEARL.CHAIN</t>
  </si>
  <si>
    <t>BPT2:BLOCKPOOL</t>
  </si>
  <si>
    <t>BPT4:BITPUMPS TOKEN</t>
  </si>
  <si>
    <t>BRAP:BRAPPER</t>
  </si>
  <si>
    <t>BRLN:NEUTRINO BRAZILIAN REAL</t>
  </si>
  <si>
    <t>BRT4:BARTER TRADE</t>
  </si>
  <si>
    <t>BRX3:BERRYX</t>
  </si>
  <si>
    <t>BST1:BLUESHARE TOKEN</t>
  </si>
  <si>
    <t>BSYS:BSYS</t>
  </si>
  <si>
    <t>BTCS:BTCSHORT</t>
  </si>
  <si>
    <t>BTCX:BITSCOIN</t>
  </si>
  <si>
    <t>BTFC:BITCOIN FLASH CASH</t>
  </si>
  <si>
    <t>BTU3:BITSOU</t>
  </si>
  <si>
    <t>FP.CX:TOTAL TOKENIZED STOCK</t>
  </si>
  <si>
    <t>FRIES:FRY.WORLD</t>
  </si>
  <si>
    <t>GM.CX:GM</t>
  </si>
  <si>
    <t>HD.CX:THE HOME DEPOT</t>
  </si>
  <si>
    <t>IBETH:INTEREST BEARING ETH</t>
  </si>
  <si>
    <t>IDASH:IDASH</t>
  </si>
  <si>
    <t>ILINK:ILINK</t>
  </si>
  <si>
    <t>JASMY:JASMY</t>
  </si>
  <si>
    <t>JD.CX:JD.COM</t>
  </si>
  <si>
    <t>KISHU:KISHU INU</t>
  </si>
  <si>
    <t>LPOOL:LAUNCHPOOLXYZ</t>
  </si>
  <si>
    <t>MAKI2:MAKIV2</t>
  </si>
  <si>
    <t>MARSH:UNMARSHAL</t>
  </si>
  <si>
    <t>MC.CX:LVMH MOET HENNESSY LOUIS VUITTON SE TOKENIZED STOCK</t>
  </si>
  <si>
    <t>MD.CX:MEDNAX</t>
  </si>
  <si>
    <t>MEME4:MEME</t>
  </si>
  <si>
    <t>MINA2:MINA TOKEN (IOU)</t>
  </si>
  <si>
    <t>MOCHI:MOCHISWAP</t>
  </si>
  <si>
    <t>MOON5:R/CRYPTOCURRENCY MOONS</t>
  </si>
  <si>
    <t>NAVI3:NATUS VINCERE FAN TOKEN</t>
  </si>
  <si>
    <t>NHBTC:NEST PROTOCOL</t>
  </si>
  <si>
    <t>NIIFI:NIIFI</t>
  </si>
  <si>
    <t>PHOON:TYPHOON CASH</t>
  </si>
  <si>
    <t>PNODE:PINKNODE</t>
  </si>
  <si>
    <t>POOL2:POOLTOGETHER</t>
  </si>
  <si>
    <t>PSWAP:SORA PSWAP TOKEN</t>
  </si>
  <si>
    <t>QS.CX:QUANTUMSCAPE CORPORATION</t>
  </si>
  <si>
    <t>QUICK:QUICKSWAP</t>
  </si>
  <si>
    <t>RUPEE:HYRULESWAP</t>
  </si>
  <si>
    <t>RAMEN:RAMENSWAP</t>
  </si>
  <si>
    <t>SBTC3:SBTC</t>
  </si>
  <si>
    <t>SDASH:SDASH</t>
  </si>
  <si>
    <t>SDEFI:SDEFI</t>
  </si>
  <si>
    <t>SEED6:TREEDEFI</t>
  </si>
  <si>
    <t>SHOPX:SPLYT</t>
  </si>
  <si>
    <t>SM.CX:SM ENERGY</t>
  </si>
  <si>
    <t>SPORE:SPORE FINANCE</t>
  </si>
  <si>
    <t>STETH:STAKEHOUND STAKED ETHER</t>
  </si>
  <si>
    <t>STONE:STONECOIN</t>
  </si>
  <si>
    <t>STXEM:STAKEHOUND STAKEDXEM</t>
  </si>
  <si>
    <t>SUPRA:SUPRA FINANCE</t>
  </si>
  <si>
    <t>SWAPP:SWAPP PROTOCOL</t>
  </si>
  <si>
    <t>TACO2:TACOTOKEN</t>
  </si>
  <si>
    <t>TASTY:TASTYTOKEN</t>
  </si>
  <si>
    <t>TRISM:TRISM</t>
  </si>
  <si>
    <t>TS.CX:TENARIS - USD</t>
  </si>
  <si>
    <t>USDFL:USDFREELIQUIDITY</t>
  </si>
  <si>
    <t>VZ.CX:VERIZON</t>
  </si>
  <si>
    <t>WXBTC:WRAPPED XBTC</t>
  </si>
  <si>
    <t>XFUND:XFUND</t>
  </si>
  <si>
    <t>ZM.CX:ZOOM VIDEO COMMUNICATIONS</t>
  </si>
  <si>
    <t>ZZZV2:ZZZ.FINANCE V2</t>
  </si>
  <si>
    <t>G9TRO:G9TRO CROWDFUNDING PLATFORM</t>
  </si>
  <si>
    <t>YBEAR:YBEAR FINANCE</t>
  </si>
  <si>
    <t>YBXTB:YBXTB</t>
  </si>
  <si>
    <t>AAL.CX:AMERICAN AIRLINES GROUP</t>
  </si>
  <si>
    <t>ACB.CX:AURORA CANNABIS INC. TOKENIZED STOCK</t>
  </si>
  <si>
    <t>ADS.CX:ADIDAS AG TOKENIZED STOCK</t>
  </si>
  <si>
    <t>AIV.CX:AIMCO</t>
  </si>
  <si>
    <t>AMC.CX:AMC ENTERTAINMENT HOLDINGS TOKENIZED STOCK</t>
  </si>
  <si>
    <t>APH.CX:AMPHENOL</t>
  </si>
  <si>
    <t>AQUARI:AQUARI</t>
  </si>
  <si>
    <t>AYX.CX:ALTERYX</t>
  </si>
  <si>
    <t>AZN.CX:ASTRAZENECA - USD</t>
  </si>
  <si>
    <t>BAC.CX:BANK OF AMERICA</t>
  </si>
  <si>
    <t>BANANA:BANANA.FINANCE</t>
  </si>
  <si>
    <t>BBD.CX:BANCO BRADESCO</t>
  </si>
  <si>
    <t>BERRY2:BERRYSWAP</t>
  </si>
  <si>
    <t>BERRY3:BERRY</t>
  </si>
  <si>
    <t>BMW.CX:BMW AG TOKENIZED STOCK</t>
  </si>
  <si>
    <t>BMY.CX:BRISTOL-MYERS SQUIBB</t>
  </si>
  <si>
    <t>BUNNY3:PANCAKE BUNNY</t>
  </si>
  <si>
    <t>BURGER:BURGER FINANCE</t>
  </si>
  <si>
    <t>BYN.CX:BYN TOKENIZED CURRENCY</t>
  </si>
  <si>
    <t>CAD.CX:CAD TOKENIZED CURRENCY</t>
  </si>
  <si>
    <t>CBK.CX:COMMERZBANK AG TOKENIZED STOCK</t>
  </si>
  <si>
    <t>CCL.CX:CARNIVAL</t>
  </si>
  <si>
    <t>CGC.CX:CANOPY GROWTH CORP TOKENIZED STOCK</t>
  </si>
  <si>
    <t>CHF.CX:CHF TOKENIZED CURRENCY</t>
  </si>
  <si>
    <t>CNK.CX:CINEMARK HOLDINGS</t>
  </si>
  <si>
    <t>COVER2:COVER PROTOCOL [NEW]</t>
  </si>
  <si>
    <t>CPE.CX:CALLON PETROLEUM</t>
  </si>
  <si>
    <t>CRM.CX:SALESFORCE</t>
  </si>
  <si>
    <t>CVX.CX:CHEVRON</t>
  </si>
  <si>
    <t>DAI.CX:DAIMLER AG TOKENIZED STOCK</t>
  </si>
  <si>
    <t>DBK.CX:DEUTSCHE BANK AG TOKENIZED STOCK</t>
  </si>
  <si>
    <t>DIS.CX:WALT DISNEY TOKENIZED STOCK</t>
  </si>
  <si>
    <t>EDF.CX:EDF TOKENIZED STOCK</t>
  </si>
  <si>
    <t>EPD.CX:ENTERPRISE PRODUCTS</t>
  </si>
  <si>
    <t>EROWAN:SIFCHAIN FINANCE</t>
  </si>
  <si>
    <t>ETL.CX:EUTELSAT COMMUNICATIONS TOKENIZED STOCK</t>
  </si>
  <si>
    <t>EUR.CX:EUR TOKENIZED CURRENCY</t>
  </si>
  <si>
    <t>FTI.CX:TECHNIPFMS</t>
  </si>
  <si>
    <t>GDX.CX:VANECK VECTORS GOLD MINERS ETF TOKENIZED STOCK</t>
  </si>
  <si>
    <t>GLD.CX:SPDR GOLD SHARES</t>
  </si>
  <si>
    <t>GOLD10:GOLDEN TOKEN</t>
  </si>
  <si>
    <t>HKD.CX:HKD TOKENIZED CURRENCY</t>
  </si>
  <si>
    <t>HPQ.CX:HP</t>
  </si>
  <si>
    <t>IFX.CX:INFINEON TECHNOLOGIES AG TOKENIZED STOCK</t>
  </si>
  <si>
    <t>INO.CX:IO PHARMACEUTICALS</t>
  </si>
  <si>
    <t>INSUR2:INSURACE TOKEN</t>
  </si>
  <si>
    <t>IPN.CX:IPSEN TOKENIZED STOCK</t>
  </si>
  <si>
    <t>JPY.CX:JPY TOKENIZED CURRENCY</t>
  </si>
  <si>
    <t>LHA.CX:DEUTSCHE LUFTHANSA AG TOKENIZED STOCK</t>
  </si>
  <si>
    <t>LIT.CX:GLOBAL X LITHIUM &amp; BATTERY TECH ETF</t>
  </si>
  <si>
    <t>MATTER:ANTIMATTER</t>
  </si>
  <si>
    <t>MUR.CX:MURPHY OIL</t>
  </si>
  <si>
    <t>MUSIC2:NFTMUSIC.AI</t>
  </si>
  <si>
    <t>MXN.CX:MXN TOKENIZED CURRENCY</t>
  </si>
  <si>
    <t>NDA.CX:AURUBIS AG TOKENIZED STOCK</t>
  </si>
  <si>
    <t>NIO.CX:NIO LIMITED</t>
  </si>
  <si>
    <t>NOK.CX:NOKIA TOKENIZED STOCK</t>
  </si>
  <si>
    <t>NRG.CX:NRG ENERGY</t>
  </si>
  <si>
    <t>NZD.CX:NZD TOKENIZED CURRENCY</t>
  </si>
  <si>
    <t>OHL.CX:OBRASCÓN HUARTE LAIN, S.A. TOKENIZED STOCK</t>
  </si>
  <si>
    <t>OIX.CX:OIL PORTFOLIO INDEX</t>
  </si>
  <si>
    <t>PREMIA:PREMIA</t>
  </si>
  <si>
    <t>PROPEL:PROPEL</t>
  </si>
  <si>
    <t>QQQ.CX:INVESCO QQQ TRUST</t>
  </si>
  <si>
    <t>RCL.CX:ROYAL CARIBBEAN CRUISES</t>
  </si>
  <si>
    <t>RIG.CX:TRANSOCEAN</t>
  </si>
  <si>
    <t>RNO.CX:RENAULT PAR TOKENIZED STOCK</t>
  </si>
  <si>
    <t>ROCKET:ROCKET YIELD</t>
  </si>
  <si>
    <t>ROCKS2:ROCKI</t>
  </si>
  <si>
    <t>RUB.CX:RUB TOKENIZED CURRENCY</t>
  </si>
  <si>
    <t>SANSHU:SANSHU INU</t>
  </si>
  <si>
    <t>SEK.CX:SEK TOKENIZED CURRENCY</t>
  </si>
  <si>
    <t>SHIELD:SHIELD TOKEN</t>
  </si>
  <si>
    <t>SKT.CX:TANGER FACTORY REIT</t>
  </si>
  <si>
    <t>SLINK2:SLINK</t>
  </si>
  <si>
    <t>SLV.CX:ISHARES SILVER TRUST TOKENIZED STOCK</t>
  </si>
  <si>
    <t>SPR.CX:SPIRIT AEROSYSTEMS HOLDINGS, INC</t>
  </si>
  <si>
    <t>STETH2:LIDO STAKED ETHER</t>
  </si>
  <si>
    <t>TAN.CX:INVESCO SOLAR ETF</t>
  </si>
  <si>
    <t>THRSTO:THORE TOKEN</t>
  </si>
  <si>
    <t>TIGER2:TIGER FINANCE</t>
  </si>
  <si>
    <t>TLT.CX:ISHARES 20+ YEAR TREASURY BOND ETF</t>
  </si>
  <si>
    <t>TSM.CX:TAIWAN SEMICONDUCTOR</t>
  </si>
  <si>
    <t>UAL.CX:UNITED</t>
  </si>
  <si>
    <t>USD.CX:USD TOKENIZED CURRENCY</t>
  </si>
  <si>
    <t>USO.CX:UNITED STATES OIL FUND TOKENIZED</t>
  </si>
  <si>
    <t>VIKING:VIKING SWAP</t>
  </si>
  <si>
    <t>VIR.CX:VIR BIOTECHNOLOGY</t>
  </si>
  <si>
    <t>VST.CX:VISTRA ENERGY</t>
  </si>
  <si>
    <t>WAULTX:WAULT</t>
  </si>
  <si>
    <t>XBR.CX:BRENT CRUDE OIL SPOT TOKENIZED STOCK</t>
  </si>
  <si>
    <t>XNG.CX:US NATURAL GAS SPOT TOKENIZED STOCK</t>
  </si>
  <si>
    <t>XOM.CX:EXXON MOBIL</t>
  </si>
  <si>
    <t>XPT.CX:PLATINUM SPOT TOKENIZED STOCK</t>
  </si>
  <si>
    <t>XTI.CX:US CRUDE OIL SPOT TOKENIZED STOCK</t>
  </si>
  <si>
    <t>YOOSHI:YOOSHI</t>
  </si>
  <si>
    <t>YRD.CX:YIRENDAI</t>
  </si>
  <si>
    <t>ZAR.CX:ZAR TOKENIZED CURRENCY</t>
  </si>
  <si>
    <t>1COV.CX:COVESTRO AG TOKENIZED STOCK</t>
  </si>
  <si>
    <t>ABCL.CX:ABCELLERA BIOLOGICS INC.</t>
  </si>
  <si>
    <t>ABNB.CX:AIRBNB, INC.</t>
  </si>
  <si>
    <t>AFRM.CX:AFFIRM HOLDINGS, INC.</t>
  </si>
  <si>
    <t>AIEQ.CX:AI POWERED EQUITY ETF</t>
  </si>
  <si>
    <t>AMRS.CX:AMYRIS, INC.</t>
  </si>
  <si>
    <t>APAM.CX:APERAM S.A. TOKENIZED STOCK</t>
  </si>
  <si>
    <t>APHA.CX:APHRIA INC. TOKENIZED STOCK</t>
  </si>
  <si>
    <t>ARKG.CX:ARK GENOMIC REVOLUTION ETF</t>
  </si>
  <si>
    <t>ARKK.CX:ARK INNOVATION ETF</t>
  </si>
  <si>
    <t>ARKQ.CX:ARK AUTONOMOUS TECHNOLOGY &amp; ROBOTICS ETF</t>
  </si>
  <si>
    <t>AUIX.CX:US AIRLINES INDEX</t>
  </si>
  <si>
    <t>AVRO.CX:AVROBIO, INC.</t>
  </si>
  <si>
    <t>BAMBOO3:PANDA YIELD</t>
  </si>
  <si>
    <t>BITW.CX:BITWISE 10 CRYPTO INDEX FUND TOKENIZED</t>
  </si>
  <si>
    <t>BSVBEAR:3X SHORT BITCOIN SV TOKEN</t>
  </si>
  <si>
    <t>CBSE.CX:COINBASE FTX CONTRACT</t>
  </si>
  <si>
    <t>CH50.CX:FTSE CHINA A50 TOKENIZED STOCK</t>
  </si>
  <si>
    <t>COIN.CX:COINBASE TOKENIZED STOCK</t>
  </si>
  <si>
    <t>DASH.CX:DOORDASH INC</t>
  </si>
  <si>
    <t>DOCU.CX:DOCUSIGN</t>
  </si>
  <si>
    <t>DRIV.CX:GLOBAL X AUTONOMOUS &amp; ELECTRIC VEHICLES ETF</t>
  </si>
  <si>
    <t>ENPH.CX:ENPHASE ENERGY, INC.</t>
  </si>
  <si>
    <t>ETHE.CX:GRAYSCALE ETHEREUM TRUST TOKENIZED STOCK</t>
  </si>
  <si>
    <t>ETSY.CX:ETSY</t>
  </si>
  <si>
    <t>EU50.CX:EURO STOXX 50 TOKENIZED STOCK</t>
  </si>
  <si>
    <t>FCEL.CX:FUELCELL ENERGY, INC.</t>
  </si>
  <si>
    <t>FCHI.CX:FRANCE 40 TOKENIZED STOCK</t>
  </si>
  <si>
    <t>FSLY.CX:FASTLY, INC.</t>
  </si>
  <si>
    <t>FUBO.CX:FUBOTV INC.</t>
  </si>
  <si>
    <t>GBTC.CX:GRAYSCALE BITCOIN TRUST TOKENIZED STOCK</t>
  </si>
  <si>
    <t>GDAX.CX:GERMANY 30 TOKENIZED STOCK</t>
  </si>
  <si>
    <t>GDXJ.CX:VANECK VECTORS JUNIOR GOLD MINERS EFT TOKENIZED</t>
  </si>
  <si>
    <t>GLPG.CX:GALAPAGOS NV TOKENIZED STOCK</t>
  </si>
  <si>
    <t>GLXY.CX:GALAXY DIGITAL HOLDINGS TOKENIZED STOCK</t>
  </si>
  <si>
    <t>GOCO.CX:GOHEALTH, INC.</t>
  </si>
  <si>
    <t>HEAR.CX:TURTLE BEACH CORPORATION</t>
  </si>
  <si>
    <t>HOLX.CX:HOLOGIC</t>
  </si>
  <si>
    <t>HOOD.CX:ROBINHOOD TOKENIZED STOCK</t>
  </si>
  <si>
    <t>HTBX.CX:HEAT BIOLOGICS</t>
  </si>
  <si>
    <t>HYLN.CX:HYLIION HOLDINGS CORP.</t>
  </si>
  <si>
    <t>IT40.CX:FTSE BORSA ITALIANA INDEX 40 TOKENIZED STOCK</t>
  </si>
  <si>
    <t>JDST.CX:DIREXION DAILY JUNIOR GOLD MINERS INDEX BEAR 3X SHARES</t>
  </si>
  <si>
    <t>KOPN.CX:KOPIN CORPORATION</t>
  </si>
  <si>
    <t>LSILVER:LYFE SILVER</t>
  </si>
  <si>
    <t>MARA.CX:MARATHON PATENT GROUP, INC.</t>
  </si>
  <si>
    <t>MCHI.CX:ISHARES MSCI CHINA ETF</t>
  </si>
  <si>
    <t>MRNA.CX:MODERNA</t>
  </si>
  <si>
    <t>MSTR.CX:MICROSTRATEGY TOKENIZED STOCK</t>
  </si>
  <si>
    <t>NDAQ.CX:NASDAQ</t>
  </si>
  <si>
    <t>NDXM.CX:NASDAQ 100 INDEX TOKENIZED STOCK</t>
  </si>
  <si>
    <t>NKLA.CX:NIKOLA CORPORATION</t>
  </si>
  <si>
    <t>NL25.CX:AMSTERDAM EXCHANGE INDEX 25 TOKENIZED STOCK</t>
  </si>
  <si>
    <t>NVAX.CX:NOVAVAX</t>
  </si>
  <si>
    <t>TKM2:THINKIUM</t>
  </si>
  <si>
    <t>TMT3:TAMY TOKEN</t>
  </si>
  <si>
    <t>TON5:TON CRYSTAL</t>
  </si>
  <si>
    <t>TON6:FREE TON</t>
  </si>
  <si>
    <t>TORM:THORIUM</t>
  </si>
  <si>
    <t>TOS3:TRANSACTION ONGOING SYSTEM</t>
  </si>
  <si>
    <t>TPX2:TPX NETWORK</t>
  </si>
  <si>
    <t>TRBT:TRIBUTE</t>
  </si>
  <si>
    <t>TRIB:CONTRIBUTE</t>
  </si>
  <si>
    <t>TRND:TRENDERING</t>
  </si>
  <si>
    <t>TRYX:TRYX</t>
  </si>
  <si>
    <t>TSC4:TREVISAN COIN</t>
  </si>
  <si>
    <t>TSLA:TESSLA COIN</t>
  </si>
  <si>
    <t>TST2:TUNESTARTV</t>
  </si>
  <si>
    <t>TST3:TOUCH SMART TOKEN</t>
  </si>
  <si>
    <t>TUNE:TUNE TOKEN</t>
  </si>
  <si>
    <t>TWEE:TWEEBAA</t>
  </si>
  <si>
    <t>TWOB:THE WHALE OF BLOCKCHAIN</t>
  </si>
  <si>
    <t>TYM2:TIMELOCK COIN</t>
  </si>
  <si>
    <t>UBIN:UBINER</t>
  </si>
  <si>
    <t>UBXT:UPBOTS</t>
  </si>
  <si>
    <t>UFO2:UFO COIN</t>
  </si>
  <si>
    <t>UMEX:UNIMEX</t>
  </si>
  <si>
    <t>UNB2:UNITED BULL TRADERS</t>
  </si>
  <si>
    <t>UNC2:UNCLOAK</t>
  </si>
  <si>
    <t>UNC4:UNICRYPT</t>
  </si>
  <si>
    <t>UNCL:UNCL</t>
  </si>
  <si>
    <t>UNII:UNII FINANCE</t>
  </si>
  <si>
    <t>UNOC:UNOCHAIN</t>
  </si>
  <si>
    <t>UNOS:UNOSWAP</t>
  </si>
  <si>
    <t>USDB:BANCOR USD TOKEN</t>
  </si>
  <si>
    <t>USDF:FOLGORYUSD</t>
  </si>
  <si>
    <t>USDG:USDG</t>
  </si>
  <si>
    <t>USDJ:TRON USDJ</t>
  </si>
  <si>
    <t>USDU:UPPER DOLLAR</t>
  </si>
  <si>
    <t>V.CX:VISA INC TOKENIZED STOCK</t>
  </si>
  <si>
    <t>VAL2:SORA VALIDATOR TOKEN</t>
  </si>
  <si>
    <t>VAMP:VAMPIRE PROTOCOL</t>
  </si>
  <si>
    <t>VCTP:VECTORIUM PLUS</t>
  </si>
  <si>
    <t>VLM2:VALIREUM</t>
  </si>
  <si>
    <t>VTCH:VERTCOIN CASH</t>
  </si>
  <si>
    <t>VTX2:VORTEX NETWORK</t>
  </si>
  <si>
    <t>VVAL:V-VALLEY</t>
  </si>
  <si>
    <t>W.CX:WAYFAIR CL A TOKENIZED STOCK</t>
  </si>
  <si>
    <t>WAIF:WAIFU TOKEN</t>
  </si>
  <si>
    <t>WBX2:WIBX</t>
  </si>
  <si>
    <t>WCCX:WRAPPED CONCEAL</t>
  </si>
  <si>
    <t>WENB:WENBURN</t>
  </si>
  <si>
    <t>WGRT:WAYKICHAIN GOVERNANCE COIN</t>
  </si>
  <si>
    <t>WING:WINGSHOP</t>
  </si>
  <si>
    <t>WIS2:WISH COIN</t>
  </si>
  <si>
    <t>WLEO:WRAPPED LEO</t>
  </si>
  <si>
    <t>WLT2:WARLORDTOKEN</t>
  </si>
  <si>
    <t>WOW5:WOWSECRET</t>
  </si>
  <si>
    <t>WPT2:WORLDPET</t>
  </si>
  <si>
    <t>WRC2:WHITEROCKCASINO</t>
  </si>
  <si>
    <t>WVG0:WRAPPED VIRGIN GEN-0 CRYPTOKITTIES</t>
  </si>
  <si>
    <t>X.CX:US STEEL CORP TOKENIZED STOCK</t>
  </si>
  <si>
    <t>XANK:XANK</t>
  </si>
  <si>
    <t>XBG2:BITGRIN</t>
  </si>
  <si>
    <t>XCUR:CURATE</t>
  </si>
  <si>
    <t>XFII:XFII</t>
  </si>
  <si>
    <t>XFYI:XCREDIT FINANCE</t>
  </si>
  <si>
    <t>XLA2:RIPPLE ALPHA</t>
  </si>
  <si>
    <t>XTRM:XTRM</t>
  </si>
  <si>
    <t>XVIX:XVIX</t>
  </si>
  <si>
    <t>YAM3:YAM V3</t>
  </si>
  <si>
    <t>YELD:YELD FINANCE</t>
  </si>
  <si>
    <t>YETI:YEARN ECOSYSTEM TOKEN INDEX</t>
  </si>
  <si>
    <t>YFB2:YEARN FINANCE BIT2</t>
  </si>
  <si>
    <t>YFED:YFED.FINANCE</t>
  </si>
  <si>
    <t>YFET:YFET FINANCE</t>
  </si>
  <si>
    <t>YFFC:YFFC.FINANCE</t>
  </si>
  <si>
    <t>YFFI:YFFI FINANCE</t>
  </si>
  <si>
    <t>YFFS:YFFS FINANCE</t>
  </si>
  <si>
    <t>YFI3:YFI3.MONEY</t>
  </si>
  <si>
    <t>YFIB:YFIBUSINESS</t>
  </si>
  <si>
    <t>YFIE:YFIEXCHANGE.FINANCE</t>
  </si>
  <si>
    <t>YFIS:YFISCURITY</t>
  </si>
  <si>
    <t>YFIX:YFIX FINANCE</t>
  </si>
  <si>
    <t>YFKA:YIELD FARMING KNOWN AS ASH</t>
  </si>
  <si>
    <t>YFMB:YFMOONBEAM</t>
  </si>
  <si>
    <t>YFOS:YFOS.FINANCE</t>
  </si>
  <si>
    <t>YFPI:YEARN FINANCE PASSIVE INCOME</t>
  </si>
  <si>
    <t>YFRB:YFRB.FINANCE</t>
  </si>
  <si>
    <t>YFRM:YEARN FINANCE RED MOON</t>
  </si>
  <si>
    <t>YLAB:YEARN-FINANCE INFRASTRUCTURE LABS</t>
  </si>
  <si>
    <t>YMAX:YMAX</t>
  </si>
  <si>
    <t>YMEN:YMEN.FINANCE</t>
  </si>
  <si>
    <t>YSEC:YEARN SECURE</t>
  </si>
  <si>
    <t>YUNO:YUNO.FINANCE</t>
  </si>
  <si>
    <t>ZARX:ZARX</t>
  </si>
  <si>
    <t>ZCC2:ZUCOINCHAIN</t>
  </si>
  <si>
    <t>ZCRT:ZCORE TOKEN</t>
  </si>
  <si>
    <t>ZDEX:ZEEDEX</t>
  </si>
  <si>
    <t>ZEFU:ZENFUSE</t>
  </si>
  <si>
    <t>ZILD:ZILD FINANCE COIN</t>
  </si>
  <si>
    <t>ZLOT:ZLOT FINANCE</t>
  </si>
  <si>
    <t>ZOM2:ZOOM PROTOCOL</t>
  </si>
  <si>
    <t>ZORA:ZORACLES</t>
  </si>
  <si>
    <t>ZYRO:ZYRO</t>
  </si>
  <si>
    <t>$ROPE:ROPE</t>
  </si>
  <si>
    <t>24CAR:BLUEQBIT</t>
  </si>
  <si>
    <t>FT:FABRIC TOKEN</t>
  </si>
  <si>
    <t>PAT:BITNATION</t>
  </si>
  <si>
    <t>DZI:DEFINITION</t>
  </si>
  <si>
    <t>BART:BARTERTRADE</t>
  </si>
  <si>
    <t>LGO:LGO EXCHANGE</t>
  </si>
  <si>
    <t>TERA2:TERA</t>
  </si>
  <si>
    <t>SFD:SAFE DEAL</t>
  </si>
  <si>
    <t>VIPS:VIPSTAR COIN</t>
  </si>
  <si>
    <t>BEER4:BEER MONEY</t>
  </si>
  <si>
    <t>NTK:NEUROMATION</t>
  </si>
  <si>
    <t>LIF:WINDING TREE</t>
  </si>
  <si>
    <t>FNX2:FINNEXUS</t>
  </si>
  <si>
    <t>CEN2:COINSUPER ECOSYSTEM NETWORK</t>
  </si>
  <si>
    <t>MOAC:MOAC</t>
  </si>
  <si>
    <t>PGT:POLYIENT GAMES GOVERNANCE TOKEN</t>
  </si>
  <si>
    <t>FYZ:FYOOZ</t>
  </si>
  <si>
    <t>LHT:LIGHTHOUSE TOKEN</t>
  </si>
  <si>
    <t>HSS:HASHSHARE</t>
  </si>
  <si>
    <t>NOW:CHANGENOW</t>
  </si>
  <si>
    <t>VRA:VERA</t>
  </si>
  <si>
    <t>BQQQ:BITSDAQ</t>
  </si>
  <si>
    <t>EVT2:ELEVATION TOKEN</t>
  </si>
  <si>
    <t>LNX:LINIX</t>
  </si>
  <si>
    <t>MTLX:METTALEX</t>
  </si>
  <si>
    <t>BITUSD:BITUSD</t>
  </si>
  <si>
    <t>OODL:OODLEBIT</t>
  </si>
  <si>
    <t>EOSC:EOS FORCE</t>
  </si>
  <si>
    <t>LYL:LOYALCOIN</t>
  </si>
  <si>
    <t>PAR2:PARACHUTE</t>
  </si>
  <si>
    <t>CRN2:CHRONOCOIN</t>
  </si>
  <si>
    <t>IOV:STARNAME</t>
  </si>
  <si>
    <t>SPANK:SPANKCHAIN</t>
  </si>
  <si>
    <t>MODIC:MODERN INVESTMENT COIN</t>
  </si>
  <si>
    <t>CNTM:CONNECTOME</t>
  </si>
  <si>
    <t>BTB3:BITBALL</t>
  </si>
  <si>
    <t>CZR:CANONCHAIN</t>
  </si>
  <si>
    <t>AMN:AMON</t>
  </si>
  <si>
    <t>XSPEC:SPECTRECOIN</t>
  </si>
  <si>
    <t>PARETO:PARETO REWARDS</t>
  </si>
  <si>
    <t>NBX2:NETBOX COIN</t>
  </si>
  <si>
    <t>XFT:OFFSHIFT</t>
  </si>
  <si>
    <t>ORCA:ORCA</t>
  </si>
  <si>
    <t>CPC2:CPCHAIN</t>
  </si>
  <si>
    <t>XTRI:TRITON</t>
  </si>
  <si>
    <t>MARK2:BENCHMARK PROTOCOL</t>
  </si>
  <si>
    <t>TOA:TOACOIN</t>
  </si>
  <si>
    <t>XSG:SNOWGEM</t>
  </si>
  <si>
    <t>RVC:RAVENCOIN CLASSIC</t>
  </si>
  <si>
    <t>TWINS:WIN.WIN</t>
  </si>
  <si>
    <t>ISIKC:ISIKLAR COIN</t>
  </si>
  <si>
    <t>FAIR:FAIRCOIN</t>
  </si>
  <si>
    <t>LVH:LOVEHEARTS</t>
  </si>
  <si>
    <t>SIN2:SINOVATE</t>
  </si>
  <si>
    <t>LOCK2:MERIDIAN NETWORK</t>
  </si>
  <si>
    <t>HOLY2:HOLYHELD</t>
  </si>
  <si>
    <t>ALG2:BITALGO</t>
  </si>
  <si>
    <t>CEEK:CEEK VR</t>
  </si>
  <si>
    <t>GENE2:GENE SOURCE CODE CHAIN</t>
  </si>
  <si>
    <t>MSP:MOTHERSHIP</t>
  </si>
  <si>
    <t>TDX:TIDEX TOKEN</t>
  </si>
  <si>
    <t>BCDT:BLOCKCHAIN CERTIFIED DATA TOKEN</t>
  </si>
  <si>
    <t>WWB:WOWOO</t>
  </si>
  <si>
    <t>LRN:LOOPRING</t>
  </si>
  <si>
    <t>LST:LENDROID SUPPORT TOKEN</t>
  </si>
  <si>
    <t>VI:VID</t>
  </si>
  <si>
    <t>PPAY:PLASMA FINANCE</t>
  </si>
  <si>
    <t>BLT:BLOOM</t>
  </si>
  <si>
    <t>UGAS:ULTRAIN</t>
  </si>
  <si>
    <t>NYN:NYNJA</t>
  </si>
  <si>
    <t>CLR1:COLOR PLATFORM</t>
  </si>
  <si>
    <t>CUR3:CURIO</t>
  </si>
  <si>
    <t>MB8:MB8 COIN</t>
  </si>
  <si>
    <t>SPOT:CRYPTOSPOT</t>
  </si>
  <si>
    <t>LAYER:UNILAYER</t>
  </si>
  <si>
    <t>UDOO:HOWDOO</t>
  </si>
  <si>
    <t>ONE:MENLO ONE</t>
  </si>
  <si>
    <t>N0031:NYFI</t>
  </si>
  <si>
    <t>QNTU:QUANTA UTILITY TOKEN</t>
  </si>
  <si>
    <t>AFIN:ASIAN FINTECH</t>
  </si>
  <si>
    <t>XXA:IXINIUM</t>
  </si>
  <si>
    <t>APIS:APIS</t>
  </si>
  <si>
    <t>FIX2:FIX NETWORK</t>
  </si>
  <si>
    <t>BOX3:BOX TOKEN</t>
  </si>
  <si>
    <t>EDC:EDCASH</t>
  </si>
  <si>
    <t>DFS3:DEFIS NETWORK</t>
  </si>
  <si>
    <t>BIDR:BINANCE IDR</t>
  </si>
  <si>
    <t>OVC:OVCODE</t>
  </si>
  <si>
    <t>ETHV:ETHVERSE</t>
  </si>
  <si>
    <t>TTT:TRUSTNOTE</t>
  </si>
  <si>
    <t>DCC:DISTRIBUTED CREDIT CHAIN</t>
  </si>
  <si>
    <t>PEG2:PEGNET</t>
  </si>
  <si>
    <t>PLOT:PLOTX</t>
  </si>
  <si>
    <t>VINX:VINX COIN STO</t>
  </si>
  <si>
    <t>EBC:EBCOIN</t>
  </si>
  <si>
    <t>MTV2:MULTIVAC</t>
  </si>
  <si>
    <t>SGN:SIGNALS NETWORK</t>
  </si>
  <si>
    <t>BBR:BOOLBERRY</t>
  </si>
  <si>
    <t>DEXA:DEXA COIN</t>
  </si>
  <si>
    <t>MEE:COINMEET</t>
  </si>
  <si>
    <t>DOT5:DOTCOIN</t>
  </si>
  <si>
    <t>TRY2:TRIAS</t>
  </si>
  <si>
    <t>PMGT:PERTH MINT GOLD TOKEN</t>
  </si>
  <si>
    <t>XFI:XFINANCE</t>
  </si>
  <si>
    <t>SLP:SMALL LOVE POTION</t>
  </si>
  <si>
    <t>PLA3:PLANET</t>
  </si>
  <si>
    <t>BOOM:BOOM</t>
  </si>
  <si>
    <t>FDR:FD RESERVE</t>
  </si>
  <si>
    <t>RPZX:RAPIDZ</t>
  </si>
  <si>
    <t>DPT2:DIAMOND NETWORK COIN</t>
  </si>
  <si>
    <t>SDA:SIXDOMAINCHAIN</t>
  </si>
  <si>
    <t>ARN:AERON</t>
  </si>
  <si>
    <t>ASK2:PERMISSION COIN</t>
  </si>
  <si>
    <t>ORMEUS:ORMEUS COIN</t>
  </si>
  <si>
    <t>XBTC:XBTC</t>
  </si>
  <si>
    <t>PASC:PASCAL COIN</t>
  </si>
  <si>
    <t>SWIFT:BITSWIFT</t>
  </si>
  <si>
    <t>OPEN:OPEN PLATFORM</t>
  </si>
  <si>
    <t>HALO:HALO PLATFORM</t>
  </si>
  <si>
    <t>SXUT:SPECTRE UTILITY TOKEN</t>
  </si>
  <si>
    <t>OUSD:ORIGIN DOLLAR</t>
  </si>
  <si>
    <t>BC4:BITCOIN CONFIDENTIAL</t>
  </si>
  <si>
    <t>PVT:PIVOT</t>
  </si>
  <si>
    <t>GET2:THEMIS</t>
  </si>
  <si>
    <t>SEN:CONSENSUS</t>
  </si>
  <si>
    <t>BGBP:BINANCE GBP</t>
  </si>
  <si>
    <t>MNC3:MAINCOIN</t>
  </si>
  <si>
    <t>SSC:SELFSELL</t>
  </si>
  <si>
    <t>OKS:OKSCHAIN</t>
  </si>
  <si>
    <t>OIO:ONLINE</t>
  </si>
  <si>
    <t>GLD:GOLDCOIN</t>
  </si>
  <si>
    <t>GTP:TRONGAMEGLOBALPAY</t>
  </si>
  <si>
    <t>VGW:VEGAWALLET TOKEN</t>
  </si>
  <si>
    <t>CVCOIN:CVCOIN</t>
  </si>
  <si>
    <t>XHI:HICOIN</t>
  </si>
  <si>
    <t>AXIS3:AXIS DEFI</t>
  </si>
  <si>
    <t>ALY:ALLY</t>
  </si>
  <si>
    <t>FLDC:FOLDINGCOIN</t>
  </si>
  <si>
    <t>BBKX:BRICKBLOCK</t>
  </si>
  <si>
    <t>SUQA:SUQA</t>
  </si>
  <si>
    <t>MUSIC:MUSICOIN</t>
  </si>
  <si>
    <t>XIOT:XIOTRI</t>
  </si>
  <si>
    <t>MOT:OLYMPUS LABS</t>
  </si>
  <si>
    <t>JGN:JUGGERNAUT</t>
  </si>
  <si>
    <t>AMON:AMOND</t>
  </si>
  <si>
    <t>JUI:JUIICE</t>
  </si>
  <si>
    <t>SCC2:STEM CELL</t>
  </si>
  <si>
    <t>E2C:ELECTRONIC ENERGY COIN</t>
  </si>
  <si>
    <t>2KEY:2KEY</t>
  </si>
  <si>
    <t>BBC2:B2BCOIN</t>
  </si>
  <si>
    <t>LEDU:EDUCATION ECOSYSTEM</t>
  </si>
  <si>
    <t>CPT2:CRYPTAUR</t>
  </si>
  <si>
    <t>REW2:REWARDIQA</t>
  </si>
  <si>
    <t>ZUM:ZUMCOIN</t>
  </si>
  <si>
    <t>MGD:MASSGRID</t>
  </si>
  <si>
    <t>IOG:INTERNET OF GAMES</t>
  </si>
  <si>
    <t>PPP:PAYPIE</t>
  </si>
  <si>
    <t>PHT2:LIGHTSTREAMS</t>
  </si>
  <si>
    <t>CREA:CREA</t>
  </si>
  <si>
    <t>ENX:ENOX</t>
  </si>
  <si>
    <t>ASTRO:ASTRONAUT</t>
  </si>
  <si>
    <t>C8:CARBONEUM</t>
  </si>
  <si>
    <t>ETHY:ETHEREUM YIELD</t>
  </si>
  <si>
    <t>SPN:SAPIEN</t>
  </si>
  <si>
    <t>HY:HYBRIX HYDRA</t>
  </si>
  <si>
    <t>HAI:HACKENAI</t>
  </si>
  <si>
    <t>CNTR:CENTAUR</t>
  </si>
  <si>
    <t>FNKOS:FNKOS</t>
  </si>
  <si>
    <t>OPEN2:OPEN GOVERNANCE TOKEN</t>
  </si>
  <si>
    <t>ATMOS:ATMOS</t>
  </si>
  <si>
    <t>GLC:GLOBALCOIN</t>
  </si>
  <si>
    <t>GOLD:DIGITAL GOLD</t>
  </si>
  <si>
    <t>MPG2:MAX PROPERTY GROUP</t>
  </si>
  <si>
    <t>FJC:FUJICOIN</t>
  </si>
  <si>
    <t>FESS:FESSCHAIN</t>
  </si>
  <si>
    <t>SVR:SOVRANOCOIN</t>
  </si>
  <si>
    <t>CCX3:CONCEAL</t>
  </si>
  <si>
    <t>LDC:LEADCOIN</t>
  </si>
  <si>
    <t>ALIS:ALIS</t>
  </si>
  <si>
    <t>PLT2:PLUTUSDEFI</t>
  </si>
  <si>
    <t>ES:ERA SWAP TOKEN</t>
  </si>
  <si>
    <t>XPN:PANTHEON X</t>
  </si>
  <si>
    <t>CCOIN:CREDITCOIN</t>
  </si>
  <si>
    <t>IPC:IPCHAIN</t>
  </si>
  <si>
    <t>TTV:TV-TWO</t>
  </si>
  <si>
    <t>BCS2:BUSINESS CREDIT SUBSTITUTE</t>
  </si>
  <si>
    <t>MLC:FLOGMALL</t>
  </si>
  <si>
    <t>PNT2:PENTA</t>
  </si>
  <si>
    <t>CPY:COPYTRACK</t>
  </si>
  <si>
    <t>ORS:ORIGIN SPORT</t>
  </si>
  <si>
    <t>BXC4:BONUSCLOUD</t>
  </si>
  <si>
    <t>NBAI:NEBULA AI</t>
  </si>
  <si>
    <t>LAX:LAPO BLOCKCHAIN</t>
  </si>
  <si>
    <t>INFS:INFINITY ESAHAM</t>
  </si>
  <si>
    <t>X8X:X8X TOKEN</t>
  </si>
  <si>
    <t>KP4R:KEEP4R</t>
  </si>
  <si>
    <t>AMP:SYNEREO</t>
  </si>
  <si>
    <t>RBG:RANKINGBALL GOLD</t>
  </si>
  <si>
    <t>ELAC:ELA COIN</t>
  </si>
  <si>
    <t>NUG:NUGGETS</t>
  </si>
  <si>
    <t>RMPL:RMPL</t>
  </si>
  <si>
    <t>FLEX3:FLEX TOKEN</t>
  </si>
  <si>
    <t>BITTO:BITTO</t>
  </si>
  <si>
    <t>RC:RUSSIACOIN</t>
  </si>
  <si>
    <t>BOOST2:BOOSTED FINANCE</t>
  </si>
  <si>
    <t>GMB2:GAMB</t>
  </si>
  <si>
    <t>XRA2:XRIBA</t>
  </si>
  <si>
    <t>KCAL:PHANTASMA ENERGY</t>
  </si>
  <si>
    <t>TKS:TOKES</t>
  </si>
  <si>
    <t>KST:STARCOIN</t>
  </si>
  <si>
    <t>TN:TURTLENETWORK</t>
  </si>
  <si>
    <t>YFDOT:YEARN FINANCE DOT</t>
  </si>
  <si>
    <t>BQTX:BQT</t>
  </si>
  <si>
    <t>SHX:STRONGHOLD TOKEN</t>
  </si>
  <si>
    <t>TON4:TONTOKEN</t>
  </si>
  <si>
    <t>BTN:BITNEWCHAIN</t>
  </si>
  <si>
    <t>JAAG:JAAG COIN</t>
  </si>
  <si>
    <t>BITB:BEAT CASH</t>
  </si>
  <si>
    <t>WEBD:WEBDOLLAR</t>
  </si>
  <si>
    <t>MINTME:MINTME.COM COIN</t>
  </si>
  <si>
    <t>IUT:ITO UTILITY TOKEN</t>
  </si>
  <si>
    <t>DIO:DECIMATED</t>
  </si>
  <si>
    <t>VANY:VANYWHERE</t>
  </si>
  <si>
    <t>EXMR:EXMR</t>
  </si>
  <si>
    <t>STYL:YIN LANG</t>
  </si>
  <si>
    <t>TAS2:TARUSH</t>
  </si>
  <si>
    <t>ZJLT:ZJLT DISTRIBUTED FACTORING NETWORK</t>
  </si>
  <si>
    <t>USDS2:STABLEUSD</t>
  </si>
  <si>
    <t>ZVC:ZVCHAIN</t>
  </si>
  <si>
    <t>CONST:CONSTANT</t>
  </si>
  <si>
    <t>PXL:PICTION NETWORK</t>
  </si>
  <si>
    <t>YAP:YAP STONE</t>
  </si>
  <si>
    <t>ONG2:SOMEE.SOCIAL</t>
  </si>
  <si>
    <t>HX:HYPEREXCHANGE</t>
  </si>
  <si>
    <t>DEFI++:PIEDAO DEFI++</t>
  </si>
  <si>
    <t>ALB:ALBOS</t>
  </si>
  <si>
    <t>REAL:REAL</t>
  </si>
  <si>
    <t>GMB3:GMB</t>
  </si>
  <si>
    <t>XNS2:INSOLAR</t>
  </si>
  <si>
    <t>TONS:THISOPTION</t>
  </si>
  <si>
    <t>ESBC:ESBC</t>
  </si>
  <si>
    <t>LEAD:LEAD WALLET</t>
  </si>
  <si>
    <t>NASH:NEOWORLD CASH</t>
  </si>
  <si>
    <t>MCH3:MKTCASH</t>
  </si>
  <si>
    <t>NOBL:NOBLECOIN</t>
  </si>
  <si>
    <t>FAB:FAST ACCESS BLOCKCHAIN</t>
  </si>
  <si>
    <t>TALAO:TALAO</t>
  </si>
  <si>
    <t>PTE:PEET DEFI</t>
  </si>
  <si>
    <t>CRBN:CARBON</t>
  </si>
  <si>
    <t>BEAT:BEAT</t>
  </si>
  <si>
    <t>BKRW:BINANCE KRW</t>
  </si>
  <si>
    <t>TEND:TENDIES</t>
  </si>
  <si>
    <t>CTT3:CASTWEET</t>
  </si>
  <si>
    <t>DEB:DEBITUM</t>
  </si>
  <si>
    <t>HTRE:HODLTREE</t>
  </si>
  <si>
    <t>VNT:VANTA NETWORK</t>
  </si>
  <si>
    <t>PCO:PECUNIO</t>
  </si>
  <si>
    <t>TAC:TRACEABILITY CHAIN</t>
  </si>
  <si>
    <t>GOT2:PARKINGO</t>
  </si>
  <si>
    <t>XBASE:ETERBASE</t>
  </si>
  <si>
    <t>MKCY:MARKACCY</t>
  </si>
  <si>
    <t>ASKO:ASKOBAR NETWORK</t>
  </si>
  <si>
    <t>BITX2:BITSCREENER TOKEN</t>
  </si>
  <si>
    <t>XAMP:ANTIAMPLE</t>
  </si>
  <si>
    <t>DRPU:DCORP UTILITY</t>
  </si>
  <si>
    <t>SPH:SAPPHIRE</t>
  </si>
  <si>
    <t>GEAR2:BITGEAR</t>
  </si>
  <si>
    <t>CHAI:CHAI</t>
  </si>
  <si>
    <t>TIOX:TRADE TOKEN X</t>
  </si>
  <si>
    <t>UFO:UFO COIN</t>
  </si>
  <si>
    <t>PRDZ:PREDICTZ</t>
  </si>
  <si>
    <t>HOLD2:HOLD</t>
  </si>
  <si>
    <t>RVT:RIVETZ</t>
  </si>
  <si>
    <t>BNY:BANCACY</t>
  </si>
  <si>
    <t>WIZ:CROWDWIZ</t>
  </si>
  <si>
    <t>GEMS:GEMS</t>
  </si>
  <si>
    <t>PSK:POOL OF STAKE</t>
  </si>
  <si>
    <t>CVCC:CRYPTO VERIFICATION COIN</t>
  </si>
  <si>
    <t>BOB:BOB'S REPAIR</t>
  </si>
  <si>
    <t>USDS:STRONGHOLD USD</t>
  </si>
  <si>
    <t>ZEPH:ZEPHYR</t>
  </si>
  <si>
    <t>PRA:PROCHAIN</t>
  </si>
  <si>
    <t>VLD:VETRI</t>
  </si>
  <si>
    <t>MRK:MARK.SPACE</t>
  </si>
  <si>
    <t>XEL:ELASTIC</t>
  </si>
  <si>
    <t>SRCOIN:SRCOIN</t>
  </si>
  <si>
    <t>CXN:CXN NETWORK</t>
  </si>
  <si>
    <t>AMA2:AMATEN</t>
  </si>
  <si>
    <t>FKX:KNOXSTERTOKEN</t>
  </si>
  <si>
    <t>DTH:DETHER</t>
  </si>
  <si>
    <t>HERO:HERO</t>
  </si>
  <si>
    <t>RET:REALTRACT</t>
  </si>
  <si>
    <t>AXE2:AXE</t>
  </si>
  <si>
    <t>KONJ:KONJUNGATE</t>
  </si>
  <si>
    <t>DEAL:IDEALCASH</t>
  </si>
  <si>
    <t>ABX2:ARBIDEX</t>
  </si>
  <si>
    <t>GRG:RIGO TOKEN</t>
  </si>
  <si>
    <t>ECU:ECOSC</t>
  </si>
  <si>
    <t>HLM:HELIUM</t>
  </si>
  <si>
    <t>ZP:ZEN PROTOCOL</t>
  </si>
  <si>
    <t>TIX:BLOCKTIX</t>
  </si>
  <si>
    <t>XES:PROXEUS</t>
  </si>
  <si>
    <t>HEAL:ETHEAL</t>
  </si>
  <si>
    <t>CRYP:CRYPTICCOIN</t>
  </si>
  <si>
    <t>ENRG:ENERGYCOIN</t>
  </si>
  <si>
    <t>RED2:RED</t>
  </si>
  <si>
    <t>ATMI:ATONOMI</t>
  </si>
  <si>
    <t>CTT2:CITEX TOKEN</t>
  </si>
  <si>
    <t>FXT:FUZEX</t>
  </si>
  <si>
    <t>CDL3:COINDEAL TOKEN</t>
  </si>
  <si>
    <t>INT:INTERNET NODE TOKEN</t>
  </si>
  <si>
    <t>PEPECASH:PEPE CASH</t>
  </si>
  <si>
    <t>BFX:BITFEX</t>
  </si>
  <si>
    <t>SPIKE:SPIKING</t>
  </si>
  <si>
    <t>KB3:B3COIN</t>
  </si>
  <si>
    <t>PUB2:PUBLYTO</t>
  </si>
  <si>
    <t>AIDUS:AIDUS</t>
  </si>
  <si>
    <t>ZFL:ZUFLO COIN</t>
  </si>
  <si>
    <t>CRP2:CRYPTON</t>
  </si>
  <si>
    <t>ICNQ:ICONIQ LAB TOKEN</t>
  </si>
  <si>
    <t>ADC:AUDIOCOIN</t>
  </si>
  <si>
    <t>TIT:TITTIECOIN</t>
  </si>
  <si>
    <t>DEM:DEUTSCHE EMARK</t>
  </si>
  <si>
    <t>DRS:DIGITAL RUPEES</t>
  </si>
  <si>
    <t>DAV2:DAV NETWORK</t>
  </si>
  <si>
    <t>FTT:FARMATRUST</t>
  </si>
  <si>
    <t>BBN:BANYAN NETWORK</t>
  </si>
  <si>
    <t>ERD:ELROND NETWORK</t>
  </si>
  <si>
    <t>OCT:ORACLECHAIN</t>
  </si>
  <si>
    <t>EVI:EVIMERIA</t>
  </si>
  <si>
    <t>STBZ:STABILIZE</t>
  </si>
  <si>
    <t>ROAD:ROAD</t>
  </si>
  <si>
    <t>LDOGE:LITEDOGE</t>
  </si>
  <si>
    <t>HORUS:HORUSPAY</t>
  </si>
  <si>
    <t>ATCC:ATC COIN</t>
  </si>
  <si>
    <t>WFC3:WORK FORCE COIN</t>
  </si>
  <si>
    <t>KIT2:DEXKIT</t>
  </si>
  <si>
    <t>XSTAR:STARCURVE</t>
  </si>
  <si>
    <t>MAC:MATREXCOIN</t>
  </si>
  <si>
    <t>XBP:BLITZPREDICT</t>
  </si>
  <si>
    <t>HEAT:HEAT</t>
  </si>
  <si>
    <t>LC2:LICHANG</t>
  </si>
  <si>
    <t>MAC.CX:MACERICH TOKENIZED STOCK</t>
  </si>
  <si>
    <t>MCD.CX:MCDONALD'S TOKENIZED STOCK</t>
  </si>
  <si>
    <t>MGM.CX:MGM RESORTS INTERNATIONAL TOKENIZED STOCK</t>
  </si>
  <si>
    <t>MNK.CX:MALLINCKRODT TOKENIZED STOCK</t>
  </si>
  <si>
    <t>MRK.CX:MERCK &amp; CO INC TOKENIZED STOCK</t>
  </si>
  <si>
    <t>NEE.CX:NEXTERA ENERGY TOKENIZED STOCK</t>
  </si>
  <si>
    <t>NEM.CX:NEWMONT MINING TOKENIZED STOCK</t>
  </si>
  <si>
    <t>NET.CX:CLOUDFLARE INC. TOKENIZED STOCK</t>
  </si>
  <si>
    <t>NEWTON:NEWTONIUM</t>
  </si>
  <si>
    <t>NKE.CX:NIKE INC TOKENIZED STOCK</t>
  </si>
  <si>
    <t>NOW.CX:SERVICENOW TOKENIZED STOCK</t>
  </si>
  <si>
    <t>NTRUMP:NO TRUMP AUGUR PREDICTION TOKEN</t>
  </si>
  <si>
    <t>NYAN-2:NYAN V2</t>
  </si>
  <si>
    <t>OAS.CX:OASIS PETROLEUM TOKENIZED STOCK</t>
  </si>
  <si>
    <t>PBF.CX:PBF ENERGY CL A TOKENIZED STOCK</t>
  </si>
  <si>
    <t>PBR.CX:PETROLEO BRASILEIRO SA TOKENIZED STOCK</t>
  </si>
  <si>
    <t>PEP.CX:PEPSICO TOKENIZED STOCK</t>
  </si>
  <si>
    <t>PFE.CX:PFIZER INC TOKENIZED STOCK</t>
  </si>
  <si>
    <t>PICKLE:PICKLE FINANCE</t>
  </si>
  <si>
    <t>PNC.CX:PNC FINANCIAL SERVICES GROUP TOKENIZED STOCK</t>
  </si>
  <si>
    <t>PTERIA:PTERIA</t>
  </si>
  <si>
    <t>RAD.CX:RITE AID TOKENIZED STOCK</t>
  </si>
  <si>
    <t>RENZEC:RENZEC</t>
  </si>
  <si>
    <t>RMD.CX:RESMED TOKENIZED STOCK</t>
  </si>
  <si>
    <t>SDC.CX:SMILEDIRECTCLUB INC TOKENIZED STOCK</t>
  </si>
  <si>
    <t>SHRIMP:SHRIMP FINACNE</t>
  </si>
  <si>
    <t>SHROOM:SHROOM.FINANCE</t>
  </si>
  <si>
    <t>SIG.CX:SIGNET JEWELERS TOKENIZED STOCK</t>
  </si>
  <si>
    <t>SMG.CX:THE SCOTTS MIRACLE-GRO COMPANY TOKENIZED STOCK</t>
  </si>
  <si>
    <t>SNE.CX:SONY CORPORATION TOKENIZED STOCK</t>
  </si>
  <si>
    <t>SPN.CX:SUPERI ENER SVCS TOKENIZED STOCK</t>
  </si>
  <si>
    <t>SSA.CX:SISTEMA PJSFC GDR TOKENIZED STOCK</t>
  </si>
  <si>
    <t>STM.CX:STMICROELECTRONICS ADR TOKENIZED STOCK</t>
  </si>
  <si>
    <t>SWN.CX:SOUTHWESTERN ENERGY TOKENIZED STOCK</t>
  </si>
  <si>
    <t>SYY.CX:SYSCO TOKENIZED STOCK</t>
  </si>
  <si>
    <t>TER.CX:TERADYNE TOKENIZED STOCK</t>
  </si>
  <si>
    <t>TFX.CX:TELEFLEX TOKENIZED STOCK</t>
  </si>
  <si>
    <t>TGT.CX:TARGET CORP TOKENIZED STOCK</t>
  </si>
  <si>
    <t>TPX.CX:TEMPUR SEALY INTERNATIONAL TOKENIZED STOCK</t>
  </si>
  <si>
    <t>TRI.CX:THOMSON REUTERS TOKENIZED STOCK</t>
  </si>
  <si>
    <t>TXT.CX:TEXTRON TOKENIZED STOCK</t>
  </si>
  <si>
    <t>UAA.CX:UNDER ARMOUR CL A TOKENIZED STOCK</t>
  </si>
  <si>
    <t>UNIUSD:UNIDOLLAR</t>
  </si>
  <si>
    <t>VGT.CX:VANGUARD INFORMATION TECHNOLOGY ETF TOKENIZED STOCK</t>
  </si>
  <si>
    <t>VOO.CX:VANGUARD S&amp;P 500 ETF TOKENIZED STOCK</t>
  </si>
  <si>
    <t>WBA.CX:WALGREEN BOOTS ALLIANCE TOKENIZED STOCK</t>
  </si>
  <si>
    <t>WFC.CX:WELLS FARGO &amp; CO TOKENIZED STOCK</t>
  </si>
  <si>
    <t>WLL.CX:WHITING PETROLEUM TOKENIZED STOCK</t>
  </si>
  <si>
    <t>WMT.CX:WAL-MART STORES INC TOKENIZED STOCK</t>
  </si>
  <si>
    <t>XEC.CX:CIMAREX ENERGY TOKENIZED STOCK</t>
  </si>
  <si>
    <t>XLV.CX:HEALTH CARE SELECT SECTOR SPDR FUND TOKENIZED STOCK</t>
  </si>
  <si>
    <t>XPO.CX:XPO LOGISTICS TOKENIZED STOCK</t>
  </si>
  <si>
    <t>YCURVE:LP-YCURVE</t>
  </si>
  <si>
    <t>YFBETA:YFBETA</t>
  </si>
  <si>
    <t>YIELDX:YIELDX</t>
  </si>
  <si>
    <t>YTRUMP:YES TRUMP AUGUR PREDICTION TOKEN</t>
  </si>
  <si>
    <t>ZHEGIC:ZHEGIC</t>
  </si>
  <si>
    <t>AAPL.CX:APPLE INC TOKENIZED STOCK</t>
  </si>
  <si>
    <t>ABBV.CX:ABBVIE TOKENIZED STOCK</t>
  </si>
  <si>
    <t>ADABEAR:3X SHORT CARDANO TOKEN</t>
  </si>
  <si>
    <t>ADABULL:3X LONG CARDANO TOKEN</t>
  </si>
  <si>
    <t>ADADOWN:BINANCE CARDANO SHORT</t>
  </si>
  <si>
    <t>ADBE.CX:ADOBE SYSTEMS INC TOKENIZED STOCK</t>
  </si>
  <si>
    <t>ADNT.CX:ADIENT TOKENIZED STOCK</t>
  </si>
  <si>
    <t>ADPT.CX:ADAPTIVE BIOTECHNOLOGIES CORPORATION TOKENIZED STOCK</t>
  </si>
  <si>
    <t>ALLY.CX:ALLY FINANCIAL TOKENIZED STOCK</t>
  </si>
  <si>
    <t>ALNY.CX:ALNYLAM PHARMACEUTICALS, INC. TOKENIZED STOCK</t>
  </si>
  <si>
    <t>ALTBEAR:3X SHORT ALTCOIN INDEX TOKEN</t>
  </si>
  <si>
    <t>ALTBULL:3X LONG ALTCOIN INDEX TOKEN</t>
  </si>
  <si>
    <t>ALXN.CX:ALEXION PHARMACEUTICALS, INC. TOKENIZED STOCK</t>
  </si>
  <si>
    <t>AMZN.CX:AMAZON.COM INC TOKENIZED STOCK</t>
  </si>
  <si>
    <t>ARNC.CX:ARCONIC TOKENIZED STOCK</t>
  </si>
  <si>
    <t>ATVI.CX:ACTIVISION BLIZZARD INC TOKENIZED STOCK</t>
  </si>
  <si>
    <t>BABA.CX:ALIBABA GROUP HOLDING LIMITED TOKENIZED STOCK</t>
  </si>
  <si>
    <t>BBBY.CX:BED BATH &amp; BEYOND INC. TOKENIZED STOCK</t>
  </si>
  <si>
    <t>BCHBEAR:3X SHORT BITCOIN CASH TOKEN</t>
  </si>
  <si>
    <t>BCHBULL:3X LONG BITCOIN CASH TOKEN</t>
  </si>
  <si>
    <t>BCHDOWN:BINANCE BITCOIN CASH SHORT</t>
  </si>
  <si>
    <t>BIDU.CX:BAIDU, INC. TOKENIZED STOCK</t>
  </si>
  <si>
    <t>BIIB.CX:BIOGEN INC. TOKENIZED STOCK</t>
  </si>
  <si>
    <t>BILI.CX:BILIBILI INC. TOKENIZED STOCK</t>
  </si>
  <si>
    <t>BILL.CX:BILL.COM INC TOKENIZED STOCK</t>
  </si>
  <si>
    <t>BLUE.CX:BLUEBIRD BIO, INC. TOKENIZED STOCK</t>
  </si>
  <si>
    <t>BMRN.CX:BIOMARIN PHARMACEUTICAL INC TOKENIZED STOCK</t>
  </si>
  <si>
    <t>BNBBEAR:3X SHORT BNB TOKEN</t>
  </si>
  <si>
    <t>BNBBULL:3X LONG BNB TOKEN</t>
  </si>
  <si>
    <t>BNBDOWN:BINANCE BINANCE COIN SHORT</t>
  </si>
  <si>
    <t>BNTX.CX:BIONTECH SE TOKENIZED STOCK</t>
  </si>
  <si>
    <t>BSVBULL:3X LONG BITCOIN SV TOKEN</t>
  </si>
  <si>
    <t>BTCDOWN:BTCDOWN</t>
  </si>
  <si>
    <t>BURGER2:BURGERSWAP</t>
  </si>
  <si>
    <t>BYND.CX:BEYOND MEAT, INC. TOKENIZED STOCK</t>
  </si>
  <si>
    <t>BZUN.CX:BAOZUN INC. TOKENIZED STOCK</t>
  </si>
  <si>
    <t>CIEN.CX:CIENA TOKENIZED STOCK</t>
  </si>
  <si>
    <t>CLVS.CX:CLOVIS ONCOLOGY, INC. TOKENIZED STOCK</t>
  </si>
  <si>
    <t>COMM.CX:COMMSCOPE HOLDING COMPANY, INC. TOKENIZED STOCK</t>
  </si>
  <si>
    <t>CPRT.CX:COPART, INC. TOKENIZED STOCK</t>
  </si>
  <si>
    <t>CREDIT2:PROXIDEFI</t>
  </si>
  <si>
    <t>CRON.CX:CRONOS GROUP INC. TOKENIZED STOCK</t>
  </si>
  <si>
    <t>CSCO.CX:CISCO SYSTEMS TOKENIZED STOCK</t>
  </si>
  <si>
    <t>CTLT.CX:CATALENT INC TOKENIZED STOCK</t>
  </si>
  <si>
    <t>DDOG.CX:DATADOG INC TOKENIZED STOCK</t>
  </si>
  <si>
    <t>DLPH.CX:DELPHI AUTOMOTIVE TOKENIZED STOCK</t>
  </si>
  <si>
    <t>DLTR.CX:DOLLAR TREE, INC. TOKENIZED STOCK</t>
  </si>
  <si>
    <t>DOTDOWN:BINANCE POLKADOT SHORT</t>
  </si>
  <si>
    <t>DRAGON2:DRAGON BALL</t>
  </si>
  <si>
    <t>DWDP.CX:DOWDUPONT INC. TOKENIZED STOCK</t>
  </si>
  <si>
    <t>EBAY.CX:EBAY TOKENIZED STOCK</t>
  </si>
  <si>
    <t>EOSBEAR:3X SHORT EOS TOKEN</t>
  </si>
  <si>
    <t>EOSBULL:3X LONG EOS TOKEN</t>
  </si>
  <si>
    <t>EOSDOWN:BINANCE EOS SHORT</t>
  </si>
  <si>
    <t>EPAM.CX:EPAM SYSTEMS, INC. TOKENIZED STOCK</t>
  </si>
  <si>
    <t>ETCBEAR:3X SHORT ETHEREUM CLASSIC TOKEN</t>
  </si>
  <si>
    <t>ETCBULL:3X LONG ETHEREUM CLASSIC TOKEN</t>
  </si>
  <si>
    <t>ETHBEAR:3X SHORT ETHEREUM TOKEN</t>
  </si>
  <si>
    <t>ETHBULL:3X LONG ETHEREUM TOKEN</t>
  </si>
  <si>
    <t>ETHDOWN:BINANCE ETHEREUM SHORT</t>
  </si>
  <si>
    <t>EXAS.CX:EXACT SCIENCES CORPORATION TOKENIZED STOCK</t>
  </si>
  <si>
    <t>EXEL.CX:EXELIXIS, INC. TOKENIZED STOCK</t>
  </si>
  <si>
    <t>EXPE.CX:EXPEDIA INC TOKENIZED STOCK</t>
  </si>
  <si>
    <t>FILDOWN:BINANCE FILECOIN SHORT</t>
  </si>
  <si>
    <t>FSLR.CX:FIRST SOLAR INC TOKENIZED STOCK</t>
  </si>
  <si>
    <t>FTCH.CX:FARFETCH LTD TOKENIZED STOCK</t>
  </si>
  <si>
    <t>FTXR.CX:FIRST TRUST NASDAQ TRANSPORTATION ETF TOKENIZED STOCK</t>
  </si>
  <si>
    <t>FVRR.CX:FIVERR INTERNATIONAL LTD TOKENIZED STOCK</t>
  </si>
  <si>
    <t>GILD.CX:GILEAD SCIENCES TOKENIZED STOCK</t>
  </si>
  <si>
    <t>GPRO.CX:GOPRO INC TOKENIZED STOCK</t>
  </si>
  <si>
    <t>TSE:TATTOOCOIN (STANDARD EDITION)</t>
  </si>
  <si>
    <t>PTS:PITISCOIN</t>
  </si>
  <si>
    <t>YFIVE:YFIVE FINANCE</t>
  </si>
  <si>
    <t>DGS:DRAGONGLASS</t>
  </si>
  <si>
    <t>CTX2:CENTAURI</t>
  </si>
  <si>
    <t>SGP:SGPAY</t>
  </si>
  <si>
    <t>PMNT:PAYMON</t>
  </si>
  <si>
    <t>MTRC:MODULTRADE</t>
  </si>
  <si>
    <t>ENT:ETERNITY</t>
  </si>
  <si>
    <t>BFDT:BEFUND</t>
  </si>
  <si>
    <t>AMIO:AMINO NETWOR</t>
  </si>
  <si>
    <t>STAC:STARTERCOIN</t>
  </si>
  <si>
    <t>OBEE:OBEE NETWORK</t>
  </si>
  <si>
    <t>$NOOB:NOOB.FINANCE</t>
  </si>
  <si>
    <t>SFG:S.FINANCE</t>
  </si>
  <si>
    <t>XMCT:XMCT</t>
  </si>
  <si>
    <t>IFX24:IFX24</t>
  </si>
  <si>
    <t>ESZ:ETHERSPORTZ</t>
  </si>
  <si>
    <t>LIN2:LINEAGECODE</t>
  </si>
  <si>
    <t>BGTT:BAGUETTE TOKEN</t>
  </si>
  <si>
    <t>DOW:DOWCOIN</t>
  </si>
  <si>
    <t>BIRD:BIRDCHAIN</t>
  </si>
  <si>
    <t>FREC:FREYRCHAIN</t>
  </si>
  <si>
    <t>HCA:HARCOMIA</t>
  </si>
  <si>
    <t>REBL:REBELLIOUS</t>
  </si>
  <si>
    <t>GIFT2:LOYALTY</t>
  </si>
  <si>
    <t>FIII:FIII</t>
  </si>
  <si>
    <t>BTCL:BTC LITE</t>
  </si>
  <si>
    <t>Q2C:QUBITCOIN</t>
  </si>
  <si>
    <t>BTR:BITETHER</t>
  </si>
  <si>
    <t>DP:DIGITALPRICE</t>
  </si>
  <si>
    <t>KNT2:KNEKTED</t>
  </si>
  <si>
    <t>VNX:VISIONX</t>
  </si>
  <si>
    <t>NPC:NPCOIN</t>
  </si>
  <si>
    <t>SGR:SUGAR EXCHANGE</t>
  </si>
  <si>
    <t>TLS:TLS TOKEN</t>
  </si>
  <si>
    <t>BST:BLOCKSQUARE</t>
  </si>
  <si>
    <t>JOT:JURY.ONLINE TOKEN</t>
  </si>
  <si>
    <t>RPM:REPME</t>
  </si>
  <si>
    <t>XSTC:SAFE TRADE COIN</t>
  </si>
  <si>
    <t>BTRN:BIOTRON</t>
  </si>
  <si>
    <t>KOTO:KOTO</t>
  </si>
  <si>
    <t>ETHP:ETHPLUS</t>
  </si>
  <si>
    <t>BSTN:BITSTATION</t>
  </si>
  <si>
    <t>MAY:THERESA MAY COIN</t>
  </si>
  <si>
    <t>IOTW:IOTW</t>
  </si>
  <si>
    <t>YFSI:YFSCIENCE</t>
  </si>
  <si>
    <t>INV:INVACIO</t>
  </si>
  <si>
    <t>YI12:YIELD STAKE FINANCE</t>
  </si>
  <si>
    <t>NEXT:NEXT.EXCHANGE</t>
  </si>
  <si>
    <t>TMC2:TIMICOIN</t>
  </si>
  <si>
    <t>DTRC:DATARIUS CREDIT</t>
  </si>
  <si>
    <t>ESCX:ESCX TOKEN</t>
  </si>
  <si>
    <t>BIH:BITHOSTCOIN</t>
  </si>
  <si>
    <t>OBITS:OBITS</t>
  </si>
  <si>
    <t>WAB:WABNETWORK</t>
  </si>
  <si>
    <t>SERV2:SERVE</t>
  </si>
  <si>
    <t>HOUSE:TOAST.FINANCE</t>
  </si>
  <si>
    <t>PYX:PYREXCOIN</t>
  </si>
  <si>
    <t>BBT:BITBOOST</t>
  </si>
  <si>
    <t>SNBL:SNOWBALL</t>
  </si>
  <si>
    <t>JSE:JSECOIN</t>
  </si>
  <si>
    <t>SGC2:STARGRAM COIN</t>
  </si>
  <si>
    <t>XIND:INDINODE</t>
  </si>
  <si>
    <t>SONO:SONOCOIN</t>
  </si>
  <si>
    <t>CJT:CONNECTJOB</t>
  </si>
  <si>
    <t>CAR:CARBLOCK</t>
  </si>
  <si>
    <t>GOSS:GOSSIP-COIN</t>
  </si>
  <si>
    <t>BTCR:BITCOIN RED</t>
  </si>
  <si>
    <t>888:OCTOCOIN</t>
  </si>
  <si>
    <t>RKC:ROOKIECOIN</t>
  </si>
  <si>
    <t>TEAM3:TEAM FINANCE</t>
  </si>
  <si>
    <t>EXO2:EXOSIS</t>
  </si>
  <si>
    <t>PUT2:PROFILE UTILITY TOKEN</t>
  </si>
  <si>
    <t>EEE:ELEMENTH TOKEN</t>
  </si>
  <si>
    <t>KNGC:KINGN COIN</t>
  </si>
  <si>
    <t>OWT:OPENWEB TOKEN</t>
  </si>
  <si>
    <t>KGS2:KINGSCOIN</t>
  </si>
  <si>
    <t>XEUR:XEURO</t>
  </si>
  <si>
    <t>ELIX:ELIXIR</t>
  </si>
  <si>
    <t>BLN:BOLENUM</t>
  </si>
  <si>
    <t>KSEED:KUSH FINANCE</t>
  </si>
  <si>
    <t>DOLLAR:DOLLAR ONLINE</t>
  </si>
  <si>
    <t>EDC20:EDC-20</t>
  </si>
  <si>
    <t>VIX:VIANEX</t>
  </si>
  <si>
    <t>BTH2:BITHEREUM</t>
  </si>
  <si>
    <t>PSC:PRIMESTONE</t>
  </si>
  <si>
    <t>AER:AERYUS</t>
  </si>
  <si>
    <t>WAGE:DIGIWAGE</t>
  </si>
  <si>
    <t>PLAT:BITGUILD</t>
  </si>
  <si>
    <t>VME:VERIME</t>
  </si>
  <si>
    <t>CMCT2:CYBER MOVIE CHAIN</t>
  </si>
  <si>
    <t>GDR:GUIDER</t>
  </si>
  <si>
    <t>CST2:CRYPTOSOLARTECH</t>
  </si>
  <si>
    <t>PSM:PRASM</t>
  </si>
  <si>
    <t>RED:REDCOIN</t>
  </si>
  <si>
    <t>VIDZ:PUREVIDZ</t>
  </si>
  <si>
    <t>PKB:PARKBYTE</t>
  </si>
  <si>
    <t>AEG:AEGEUS</t>
  </si>
  <si>
    <t>INX2:INMAX</t>
  </si>
  <si>
    <t>NRO:NEURO</t>
  </si>
  <si>
    <t>ITT:INTELLIGENT TRADING FOUNDATION</t>
  </si>
  <si>
    <t>XOC:XONECOIN</t>
  </si>
  <si>
    <t>VOCO:PROVOCO TOKEN</t>
  </si>
  <si>
    <t>FOR:FORCE</t>
  </si>
  <si>
    <t>REF:REFTOKEN</t>
  </si>
  <si>
    <t>C2:COIN2.1</t>
  </si>
  <si>
    <t>BYC:BYTECENT</t>
  </si>
  <si>
    <t>BTCSHORT:BTCSHORT</t>
  </si>
  <si>
    <t>VPX:PRIVIX</t>
  </si>
  <si>
    <t>XRUP:RUPEES</t>
  </si>
  <si>
    <t>RIL:RILCOIN</t>
  </si>
  <si>
    <t>BAZT:BAZ TOKEN</t>
  </si>
  <si>
    <t>RAIN:CONDENSATE</t>
  </si>
  <si>
    <t>BELA:BELA</t>
  </si>
  <si>
    <t>MCC2:MAGIC CUBE COIN</t>
  </si>
  <si>
    <t>HTC:HITCOIN</t>
  </si>
  <si>
    <t>DISTX:DISTX</t>
  </si>
  <si>
    <t>NER:NERVES</t>
  </si>
  <si>
    <t>FLIK:FLIK</t>
  </si>
  <si>
    <t>AGLT:AGROLOT</t>
  </si>
  <si>
    <t>OPCX:OPCOINX</t>
  </si>
  <si>
    <t>NIO:AUTONIO</t>
  </si>
  <si>
    <t>EMPR:EMPOWR COIN</t>
  </si>
  <si>
    <t>BPC:BITPARK COIN</t>
  </si>
  <si>
    <t>BUCKS:SWAGBUCKS</t>
  </si>
  <si>
    <t>WIT:WITCHAIN</t>
  </si>
  <si>
    <t>SSX:STAKESHARE</t>
  </si>
  <si>
    <t>TSF:TESLAFUNDS</t>
  </si>
  <si>
    <t>CHC:CHAINCOIN</t>
  </si>
  <si>
    <t>LPC:LIGHTPAYCOIN</t>
  </si>
  <si>
    <t>YFDT:YEARN FINANCE DIAMOND</t>
  </si>
  <si>
    <t>ZEUS:ZEUSNETWORK</t>
  </si>
  <si>
    <t>KED:DARSEK</t>
  </si>
  <si>
    <t>APC2:ALPHA COIN</t>
  </si>
  <si>
    <t>CV2:COLOSSUSCOIN V2</t>
  </si>
  <si>
    <t>BLOC2:BLOC.MONEY</t>
  </si>
  <si>
    <t>ZIJA:ZIJACOIN</t>
  </si>
  <si>
    <t>BOST:BOOSTCOIN</t>
  </si>
  <si>
    <t>SWAP2:SWAP</t>
  </si>
  <si>
    <t>NPX:NAPOLEONX</t>
  </si>
  <si>
    <t>UOS2:U°OS NETWORK</t>
  </si>
  <si>
    <t>CARE:CAREBIT</t>
  </si>
  <si>
    <t>SPEED2:SPEED COIN</t>
  </si>
  <si>
    <t>TKA:TOKIA</t>
  </si>
  <si>
    <t>LINX:LINX</t>
  </si>
  <si>
    <t>GZRO:GRAVITY</t>
  </si>
  <si>
    <t>GALI:GALILEL</t>
  </si>
  <si>
    <t>XUNI:ULTRANOTE INFINITY</t>
  </si>
  <si>
    <t>MUSEUM:MARQUISE MUSEUM</t>
  </si>
  <si>
    <t>CNT:CENTURION</t>
  </si>
  <si>
    <t>IBT:ICOBAY</t>
  </si>
  <si>
    <t>XGM:GRIMM</t>
  </si>
  <si>
    <t>SPT2:SPECTRUM</t>
  </si>
  <si>
    <t>SLM:SLIMCOIN</t>
  </si>
  <si>
    <t>IBTC:IBTC</t>
  </si>
  <si>
    <t>COAL:BITCOAL</t>
  </si>
  <si>
    <t>EVC2:EVA CASH</t>
  </si>
  <si>
    <t>WBET:WAVESBET</t>
  </si>
  <si>
    <t>BTCA:BITAIR</t>
  </si>
  <si>
    <t>BEAR3:BEAR COIN</t>
  </si>
  <si>
    <t>HANA:HANACOIN</t>
  </si>
  <si>
    <t>SPF:SPORTYCO</t>
  </si>
  <si>
    <t>ONLEXPA:ONLEXPA</t>
  </si>
  <si>
    <t>BZL:BZLCOIN</t>
  </si>
  <si>
    <t>CNNC:CANNATION</t>
  </si>
  <si>
    <t>NETC:NETCOIN</t>
  </si>
  <si>
    <t>WEB2:WEBCOIN</t>
  </si>
  <si>
    <t>HDI:HEIDI</t>
  </si>
  <si>
    <t>INCO:INCODIUM</t>
  </si>
  <si>
    <t>DLISK:DAPPSTER</t>
  </si>
  <si>
    <t>RRC:RRCHAIN</t>
  </si>
  <si>
    <t>PHON:PHONECOIN</t>
  </si>
  <si>
    <t>ARY:BLOCK ARRAY</t>
  </si>
  <si>
    <t>SONIQ:SONIQ</t>
  </si>
  <si>
    <t>ERY:ERYLLIUM</t>
  </si>
  <si>
    <t>UCN2:UCHAIN</t>
  </si>
  <si>
    <t>HLX2:HELEX</t>
  </si>
  <si>
    <t>MOJO:MOJOCOIN</t>
  </si>
  <si>
    <t>AVN2:AVNRICH TOKEN</t>
  </si>
  <si>
    <t>SEAL3:SEAL FINANCE</t>
  </si>
  <si>
    <t>DACHX:DACH COIN</t>
  </si>
  <si>
    <t>MOD:MODUM</t>
  </si>
  <si>
    <t>GRPH:GRAPHCOIN</t>
  </si>
  <si>
    <t>LXT2:LEXIT</t>
  </si>
  <si>
    <t>INFX:INFLUXCOIN</t>
  </si>
  <si>
    <t>LBC07:KAZIMIERAS BIZAUSKAS</t>
  </si>
  <si>
    <t>BURN3:BLOCKBURN</t>
  </si>
  <si>
    <t>RIDE:RIDE MY CAR</t>
  </si>
  <si>
    <t>YFN:YEARN FINANCE NETWORK</t>
  </si>
  <si>
    <t>VSX:VSYNC</t>
  </si>
  <si>
    <t>VIVO:VIVO</t>
  </si>
  <si>
    <t>XBTS:BEATCOIN</t>
  </si>
  <si>
    <t>NEVA:NEVACOIN</t>
  </si>
  <si>
    <t>CTIC2:COIMATIC 2.0</t>
  </si>
  <si>
    <t>LTCU:LITECOIN ULTRA</t>
  </si>
  <si>
    <t>ECO:ECOCOIN</t>
  </si>
  <si>
    <t>RPC:RONPAULCOIN</t>
  </si>
  <si>
    <t>ACOIN:ACOIN</t>
  </si>
  <si>
    <t>SPT:SPOTS</t>
  </si>
  <si>
    <t>XBTC21:BITCOIN 21</t>
  </si>
  <si>
    <t>LUNA:LUNA COIN</t>
  </si>
  <si>
    <t>LEA:LEACOIN</t>
  </si>
  <si>
    <t>ASAFE:ALLSAFE</t>
  </si>
  <si>
    <t>DBTC:DEBITCOIN</t>
  </si>
  <si>
    <t>VPRC:VAPERSCOIN</t>
  </si>
  <si>
    <t>TAJ:TAJCOIN</t>
  </si>
  <si>
    <t>CF:CALIFORNIUM</t>
  </si>
  <si>
    <t>ARB:ARBIT</t>
  </si>
  <si>
    <t>ICON:ICONIC</t>
  </si>
  <si>
    <t>WOMEN:WOMENCOIN</t>
  </si>
  <si>
    <t>QBC:QUEBECOIN</t>
  </si>
  <si>
    <t>KNC:KINGN COIN</t>
  </si>
  <si>
    <t>SCS:SPEEDCASH</t>
  </si>
  <si>
    <t>JOBS:JOBSCOIN</t>
  </si>
  <si>
    <t>ARGUS:ARGUS</t>
  </si>
  <si>
    <t>NANOX:PROJECT-X</t>
  </si>
  <si>
    <t>CREVA:CREVACOIN</t>
  </si>
  <si>
    <t>XRC:RAWCOIN</t>
  </si>
  <si>
    <t>GSR:GEYSERCOIN</t>
  </si>
  <si>
    <t>DGCS:DIGITAL CREDITS</t>
  </si>
  <si>
    <t>HMC:HARMONYCOIN</t>
  </si>
  <si>
    <t>DMB:DIGITAL MONEY BITS</t>
  </si>
  <si>
    <t>BITS:BITSWIFT</t>
  </si>
  <si>
    <t>SDC:SHADOWCASH</t>
  </si>
  <si>
    <t>BBP:BIBLEPAY</t>
  </si>
  <si>
    <t>SHORTY:SHORTY</t>
  </si>
  <si>
    <t>BTCR:BITCURRENCY</t>
  </si>
  <si>
    <t>USC:ULTIMATE SECURE CASH</t>
  </si>
  <si>
    <t>METAL:METALCOIN</t>
  </si>
  <si>
    <t>VLT:VELTOR</t>
  </si>
  <si>
    <t>UNI:UNIVERSE</t>
  </si>
  <si>
    <t>BITZ:BITZ</t>
  </si>
  <si>
    <t>VAL:VALORBIT</t>
  </si>
  <si>
    <t>RBIES:RUBIES</t>
  </si>
  <si>
    <t>MANNA:MANNA</t>
  </si>
  <si>
    <t>VOT:VOTECOIN</t>
  </si>
  <si>
    <t>CYP:CYPHER</t>
  </si>
  <si>
    <t>FIRE:FIRECOIN</t>
  </si>
  <si>
    <t>SCRT:SECRETCOIN</t>
  </si>
  <si>
    <t>FRC:FREICOIN</t>
  </si>
  <si>
    <t>SPEX:SPROUTSEXTREME</t>
  </si>
  <si>
    <t>ISL:ISLACOIN</t>
  </si>
  <si>
    <t>FRK:FRANKO</t>
  </si>
  <si>
    <t>JWL:JEWELS</t>
  </si>
  <si>
    <t>BLRY:BILLARYCOIN</t>
  </si>
  <si>
    <t>PULSE:PULSE</t>
  </si>
  <si>
    <t>GCC:GUCCIONECOIN</t>
  </si>
  <si>
    <t>MTLMC3:METAL MUSIC COIN</t>
  </si>
  <si>
    <t>BSTAR:BLACKSTAR</t>
  </si>
  <si>
    <t>URO:URO</t>
  </si>
  <si>
    <t>VEC2:VECTORAI</t>
  </si>
  <si>
    <t>PONZI:PONZICOIN</t>
  </si>
  <si>
    <t>PIE:PIECOIN</t>
  </si>
  <si>
    <t>DES:DESTINY</t>
  </si>
  <si>
    <t>BSC:BOWSCOIN</t>
  </si>
  <si>
    <t>MND:MINDCOIN</t>
  </si>
  <si>
    <t>LTCR:LITECRED</t>
  </si>
  <si>
    <t>WARP:WARP</t>
  </si>
  <si>
    <t>DRM:DREAMCOIN</t>
  </si>
  <si>
    <t>IBANK:IBANK</t>
  </si>
  <si>
    <t>BIOS:BIOSCRYPTO</t>
  </si>
  <si>
    <t>SH:SHILLING</t>
  </si>
  <si>
    <t>CWXT:CRYPTOWORLDX TOKEN</t>
  </si>
  <si>
    <t>URC:UNREALCOIN</t>
  </si>
  <si>
    <t>EGO:EGO</t>
  </si>
  <si>
    <t>ORLY:ORLYCOIN</t>
  </si>
  <si>
    <t>ALTC:ANTILITECOIN</t>
  </si>
  <si>
    <t>OS76:OSMIUMCOIN</t>
  </si>
  <si>
    <t>RSGP:RSGPCOIN</t>
  </si>
  <si>
    <t>PEX:POSEX</t>
  </si>
  <si>
    <t>SANDG:SAVE AND GAIN</t>
  </si>
  <si>
    <t>BIOB:BIOBAR</t>
  </si>
  <si>
    <t>SDP:SYDPAK</t>
  </si>
  <si>
    <t>NODC:NODECOIN</t>
  </si>
  <si>
    <t>P7C:P7COIN</t>
  </si>
  <si>
    <t>SLFI:SELFIECOIN</t>
  </si>
  <si>
    <t>BCX:BITCOINX</t>
  </si>
  <si>
    <t>WICC:WAYKICHAIN</t>
  </si>
  <si>
    <t>ADK:AIDOS KUNEEN</t>
  </si>
  <si>
    <t>BCD:BITCOIN DIAMOND</t>
  </si>
  <si>
    <t>TOPC:TOPCHAIN</t>
  </si>
  <si>
    <t>KCASH:KCASH</t>
  </si>
  <si>
    <t>SBTC:SUPER BITCOIN</t>
  </si>
  <si>
    <t>RCT:REALCHAIN</t>
  </si>
  <si>
    <t>B2X:SEGWIT2X</t>
  </si>
  <si>
    <t>AIT:AICHAIN</t>
  </si>
  <si>
    <t>BCA:BITCOIN ATOM</t>
  </si>
  <si>
    <t>IFC:INFINITECOIN</t>
  </si>
  <si>
    <t>UBTC:UNITED BITCOIN</t>
  </si>
  <si>
    <t>ATN:ATN</t>
  </si>
  <si>
    <t>TER:TERRANOVA</t>
  </si>
  <si>
    <t>MDT:MEASURABLE DATA TOKEN</t>
  </si>
  <si>
    <t>FIL:FILECOIN</t>
  </si>
  <si>
    <t>SHND:STRONGHANDS</t>
  </si>
  <si>
    <t>CLUB:CLUBCOIN</t>
  </si>
  <si>
    <t>LBTC:LIGHTNING BITCOIN</t>
  </si>
  <si>
    <t>TOKC:TOKYO</t>
  </si>
  <si>
    <t>XIN:INFINITY ECONOMICS</t>
  </si>
  <si>
    <t>N8V:NATIVECOIN</t>
  </si>
  <si>
    <t>BOS:BOSCOIN</t>
  </si>
  <si>
    <t>GOD:BITCOIN GOD</t>
  </si>
  <si>
    <t>ORE:GALACTRUM</t>
  </si>
  <si>
    <t>EDRC:EDRCOIN</t>
  </si>
  <si>
    <t>IC:IGNITION</t>
  </si>
  <si>
    <t>TODAY:TODAYCOIN</t>
  </si>
  <si>
    <t>ANI:ANIMECOIN</t>
  </si>
  <si>
    <t>SAK:SHARKCOIN</t>
  </si>
  <si>
    <t>VASH:VPNCOIN</t>
  </si>
  <si>
    <t>ACES:ACES</t>
  </si>
  <si>
    <t>CSC:CASINOCOIN</t>
  </si>
  <si>
    <t>FRN:FRANCS</t>
  </si>
  <si>
    <t>PCN:PEEPCOIN</t>
  </si>
  <si>
    <t>BEST:BESTCHAIN</t>
  </si>
  <si>
    <t>VULC:VULCANO [OLD]</t>
  </si>
  <si>
    <t>BITOK:BITOK</t>
  </si>
  <si>
    <t>CTL:CITADEL</t>
  </si>
  <si>
    <t>MARX:MARXCOIN</t>
  </si>
  <si>
    <t>WINK:WINK</t>
  </si>
  <si>
    <t>CC:CYBERCOIN</t>
  </si>
  <si>
    <t>DASHS:DASHS</t>
  </si>
  <si>
    <t>XVE:THE VEGAN INITIATIVE</t>
  </si>
  <si>
    <t>HALLO:HALLOWEEN COIN</t>
  </si>
  <si>
    <t>KARMA:KARMACOIN</t>
  </si>
  <si>
    <t>SKULL:PIRATE BLOCKS</t>
  </si>
  <si>
    <t>NBIT:NETBIT</t>
  </si>
  <si>
    <t>XDE2:XDE II</t>
  </si>
  <si>
    <t>RUBIT:RUBLEBIT</t>
  </si>
  <si>
    <t>BUB:BUBBLE</t>
  </si>
  <si>
    <t>LEPEN:LEPEN</t>
  </si>
  <si>
    <t>RICHX:RICHCOIN</t>
  </si>
  <si>
    <t>PAYP:PAYPEER</t>
  </si>
  <si>
    <t>MONETA:MONETA</t>
  </si>
  <si>
    <t>GML:GAMELEAGUECOIN</t>
  </si>
  <si>
    <t>XAUC:XAUCOIN</t>
  </si>
  <si>
    <t>BIT:FIRST BITCOIN</t>
  </si>
  <si>
    <t>VOYA:VOYACOIN</t>
  </si>
  <si>
    <t>ROYAL:ROYALCOIN</t>
  </si>
  <si>
    <t>AV:AVATARCOIN</t>
  </si>
  <si>
    <t>DCRE:DELTACREDITS</t>
  </si>
  <si>
    <t>MAVRO:MAVRO</t>
  </si>
  <si>
    <t>OP:OPERAND</t>
  </si>
  <si>
    <t>BAC:BITALPHACOIN</t>
  </si>
  <si>
    <t>CYC:CYCLING COIN</t>
  </si>
  <si>
    <t>IVZ:INVISIBLECOIN</t>
  </si>
  <si>
    <t>X2:X2</t>
  </si>
  <si>
    <t>PSY:PSILOCYBIN</t>
  </si>
  <si>
    <t>SHELL:SHELLCOIN</t>
  </si>
  <si>
    <t>OMC:OMICRON</t>
  </si>
  <si>
    <t>AXIOM:AXIOM</t>
  </si>
  <si>
    <t>EGG:EGGCOIN</t>
  </si>
  <si>
    <t>DISK:DARKLISK</t>
  </si>
  <si>
    <t>MMXVI:MMXVI</t>
  </si>
  <si>
    <t>TCR:THECREED</t>
  </si>
  <si>
    <t>OCOW:OCOW</t>
  </si>
  <si>
    <t>TRX:TRON</t>
  </si>
  <si>
    <t>ICX:ICON</t>
  </si>
  <si>
    <t>OMG:OMG NETWORK</t>
  </si>
  <si>
    <t>PPT:POPULOUS</t>
  </si>
  <si>
    <t>ARDR:ARDOR</t>
  </si>
  <si>
    <t>SNT:STATUS</t>
  </si>
  <si>
    <t>ZRX:0X</t>
  </si>
  <si>
    <t>VERI:VERITASEUM</t>
  </si>
  <si>
    <t>DCN:DENTACOIN</t>
  </si>
  <si>
    <t>DRGN:DRAGONCHAIN</t>
  </si>
  <si>
    <t>FUN:FUNFAIR</t>
  </si>
  <si>
    <t>SALT:SALT</t>
  </si>
  <si>
    <t>BAT:BASIC ATTENTION TOKEN</t>
  </si>
  <si>
    <t>QASH:QASH</t>
  </si>
  <si>
    <t>WAXP:WAX</t>
  </si>
  <si>
    <t>WTC:WALTONCHAIN</t>
  </si>
  <si>
    <t>GAS:GAS</t>
  </si>
  <si>
    <t>GNT:GOLEM</t>
  </si>
  <si>
    <t>ETHOS:ETHOS</t>
  </si>
  <si>
    <t>LRC:LOOPRING</t>
  </si>
  <si>
    <t>KNC:KYBER NETWORK</t>
  </si>
  <si>
    <t>DENT:DENT</t>
  </si>
  <si>
    <t>REV:RCHAIN</t>
  </si>
  <si>
    <t>POWR:POWER LEDGER</t>
  </si>
  <si>
    <t>REQ:REQUEST NETWORK</t>
  </si>
  <si>
    <t>KIN:KIN</t>
  </si>
  <si>
    <t>AION:AION</t>
  </si>
  <si>
    <t>DGD:DIGIXDAO</t>
  </si>
  <si>
    <t>ELF:AELF</t>
  </si>
  <si>
    <t>BTM:BYTOM</t>
  </si>
  <si>
    <t>SUB:SUBSTRATUM</t>
  </si>
  <si>
    <t>MAID:MAIDSAFECOIN</t>
  </si>
  <si>
    <t>QSP:QUANTSTAMP</t>
  </si>
  <si>
    <t>NAS:NEBULAS</t>
  </si>
  <si>
    <t>LINK:CHAINLINK</t>
  </si>
  <si>
    <t>BNT:BANCOR</t>
  </si>
  <si>
    <t>CND:CINDICATOR</t>
  </si>
  <si>
    <t>CVC:CIVIC</t>
  </si>
  <si>
    <t>PAY:TENX</t>
  </si>
  <si>
    <t>GNO:GNOSIS</t>
  </si>
  <si>
    <t>VEE:BLOCKV</t>
  </si>
  <si>
    <t>POE:PO.ET</t>
  </si>
  <si>
    <t>RDN:RAIDEN NETWORK</t>
  </si>
  <si>
    <t>COB:COBINHOOD</t>
  </si>
  <si>
    <t>SPHTX:SOPHIATX</t>
  </si>
  <si>
    <t>PLR:PILLAR</t>
  </si>
  <si>
    <t>TNB:TIME NEW BANK</t>
  </si>
  <si>
    <t>SAN:SANTIMENT NETWORK TOKEN</t>
  </si>
  <si>
    <t>STORJ:STORJ</t>
  </si>
  <si>
    <t>LEND:AAVE</t>
  </si>
  <si>
    <t>ENJ:ENJIN COIN</t>
  </si>
  <si>
    <t>VIBE:VIBE</t>
  </si>
  <si>
    <t>RLC:IEXEC</t>
  </si>
  <si>
    <t>STORM:STORM</t>
  </si>
  <si>
    <t>DTR:DYNAMIC TRADING RIGHTS</t>
  </si>
  <si>
    <t>SRN:SIRIN LABS TOKEN</t>
  </si>
  <si>
    <t>MCO:MCO</t>
  </si>
  <si>
    <t>BIX:BIBOX TOKEN</t>
  </si>
  <si>
    <t>EDG:EDGELESS</t>
  </si>
  <si>
    <t>AST:AIRSWAP</t>
  </si>
  <si>
    <t>OST:OST</t>
  </si>
  <si>
    <t>REV:REVAIN</t>
  </si>
  <si>
    <t>APPC:APPCOINS</t>
  </si>
  <si>
    <t>DBC:DEEPBRAIN CHAIN</t>
  </si>
  <si>
    <t>TEL:TELCOIN</t>
  </si>
  <si>
    <t>PHB:RED PULSE PHOENIX</t>
  </si>
  <si>
    <t>RCN:RIPIO CREDIT NETWORK</t>
  </si>
  <si>
    <t>SNGLS:SINGULARDTV</t>
  </si>
  <si>
    <t>XNS:INSOLAR</t>
  </si>
  <si>
    <t>WABI:TAEL</t>
  </si>
  <si>
    <t>MANA:DECENTRALAND</t>
  </si>
  <si>
    <t>UTK:UTRUST</t>
  </si>
  <si>
    <t>SNM:SONM</t>
  </si>
  <si>
    <t>NULS:NULS</t>
  </si>
  <si>
    <t>ANT:ARAGON</t>
  </si>
  <si>
    <t>ADX:ADEX</t>
  </si>
  <si>
    <t>QRL:QUANTUM RESISTANT LEDGER</t>
  </si>
  <si>
    <t>DATA:STREAMR DATACOIN</t>
  </si>
  <si>
    <t>ITC:IOT CHAIN</t>
  </si>
  <si>
    <t>CMT:CYBERMILES</t>
  </si>
  <si>
    <t>ATM:ATMCHAIN</t>
  </si>
  <si>
    <t>QLC:QLC CHAIN</t>
  </si>
  <si>
    <t>FUEL:ETHERPARTY</t>
  </si>
  <si>
    <t>DNT:DISTRICT0X</t>
  </si>
  <si>
    <t>WGR:WAGERR</t>
  </si>
  <si>
    <t>TAU:LAMDEN</t>
  </si>
  <si>
    <t>NGC:NAGA</t>
  </si>
  <si>
    <t>WINGS:WINGS</t>
  </si>
  <si>
    <t>AMB:AMBROSUS</t>
  </si>
  <si>
    <t>HVN:HIVETERMINAL TOKEN</t>
  </si>
  <si>
    <t>MGO:MOBILEGO</t>
  </si>
  <si>
    <t>EDO:EIDOO</t>
  </si>
  <si>
    <t>INT:INT CHAIN</t>
  </si>
  <si>
    <t>BRD:BREAD</t>
  </si>
  <si>
    <t>MTL:METAL</t>
  </si>
  <si>
    <t>1ST:FIRSTBLOOD</t>
  </si>
  <si>
    <t>TNT:TIERION</t>
  </si>
  <si>
    <t>GTO:GIFTO</t>
  </si>
  <si>
    <t>EVX:EVEREX</t>
  </si>
  <si>
    <t>LUN:LUNYR</t>
  </si>
  <si>
    <t>TRST:WETRUST</t>
  </si>
  <si>
    <t>IXT:IXT</t>
  </si>
  <si>
    <t>CFI:COFOUND.IT</t>
  </si>
  <si>
    <t>MTH:MONETHA</t>
  </si>
  <si>
    <t>MDS:MEDISHARES</t>
  </si>
  <si>
    <t>TAAS:TAAS</t>
  </si>
  <si>
    <t>HGT:HELLOGOLD</t>
  </si>
  <si>
    <t>DLT:AGRELLO</t>
  </si>
  <si>
    <t>ADT:ADTOKEN</t>
  </si>
  <si>
    <t>PRE:PRESEARCH</t>
  </si>
  <si>
    <t>DAT:DATUM</t>
  </si>
  <si>
    <t>TKN:MONOLITH</t>
  </si>
  <si>
    <t>WRC:WORLDCORE</t>
  </si>
  <si>
    <t>VOISE:VOISE</t>
  </si>
  <si>
    <t>PAYX:PAYPEX</t>
  </si>
  <si>
    <t>INK:INK</t>
  </si>
  <si>
    <t>YOYOW:YOYOW</t>
  </si>
  <si>
    <t>NSR:NUSHARES</t>
  </si>
  <si>
    <t>SNC:SUNCONTRACT</t>
  </si>
  <si>
    <t>MER:MERCURY</t>
  </si>
  <si>
    <t>VIB:VIBERATE</t>
  </si>
  <si>
    <t>NEU:NEUMARK</t>
  </si>
  <si>
    <t>HMQ:HUMANIQ</t>
  </si>
  <si>
    <t>AMP:AMPTOKEN</t>
  </si>
  <si>
    <t>LA:LATOKEN</t>
  </si>
  <si>
    <t>DPY:DELPHY</t>
  </si>
  <si>
    <t>BITCNY:BITCNY</t>
  </si>
  <si>
    <t>GTC:GAME.COM</t>
  </si>
  <si>
    <t>DRT:DOMRAIDER</t>
  </si>
  <si>
    <t>ART:MAECENAS</t>
  </si>
  <si>
    <t>ZSC:ZEUSSHIELD</t>
  </si>
  <si>
    <t>BNTY:BOUNTY0X</t>
  </si>
  <si>
    <t>NMR:NUMERAIRE</t>
  </si>
  <si>
    <t>DOV:DOVU</t>
  </si>
  <si>
    <t>MDA:MOEDA LOYALTY POINTS</t>
  </si>
  <si>
    <t>PRO:PROPY</t>
  </si>
  <si>
    <t>IFT:INVESTFEED</t>
  </si>
  <si>
    <t>BCPT:BLOCKMASON CREDIT PROTOCOL</t>
  </si>
  <si>
    <t>BMC:BLACKMOON</t>
  </si>
  <si>
    <t>STX:STOX</t>
  </si>
  <si>
    <t>BLUE:BLUE PROTOCOL</t>
  </si>
  <si>
    <t>DBET:DECENTBET</t>
  </si>
  <si>
    <t>PKT:PLAYKEY</t>
  </si>
  <si>
    <t>OAX:OAX</t>
  </si>
  <si>
    <t>QUN:QUNQUN</t>
  </si>
  <si>
    <t>OTN:OPEN TRADING NETWORK</t>
  </si>
  <si>
    <t>MYB:MYBIT</t>
  </si>
  <si>
    <t>INCNT:INCENT</t>
  </si>
  <si>
    <t>PTOY:PATIENTORY</t>
  </si>
  <si>
    <t>CRED:VERIFY</t>
  </si>
  <si>
    <t>AL:ALIVE CASINO</t>
  </si>
  <si>
    <t>B3:B3COIN</t>
  </si>
  <si>
    <t>BC:BOOMSTARTER.NETWORK</t>
  </si>
  <si>
    <t>BN:BOXINODE</t>
  </si>
  <si>
    <t>CB:CB TOKEN</t>
  </si>
  <si>
    <t>CR:CRYPTORIYAL</t>
  </si>
  <si>
    <t>EC:EU COIN</t>
  </si>
  <si>
    <t>FN:FILENET</t>
  </si>
  <si>
    <t>GC:GRIC</t>
  </si>
  <si>
    <t>GT:GTEST</t>
  </si>
  <si>
    <t>HN:HELLENIC NODE</t>
  </si>
  <si>
    <t>KC:KLOUTCOIN</t>
  </si>
  <si>
    <t>LK:LIKER</t>
  </si>
  <si>
    <t>LX:MOONLIGHT</t>
  </si>
  <si>
    <t>ME:ALL.ME</t>
  </si>
  <si>
    <t>NT:NEXDAX</t>
  </si>
  <si>
    <t>OF:OFCOIN</t>
  </si>
  <si>
    <t>PK:PENNYKOIN</t>
  </si>
  <si>
    <t>S8:SUPER 8</t>
  </si>
  <si>
    <t>SG:SOCIALGOOD</t>
  </si>
  <si>
    <t>SP:SUNPOWER</t>
  </si>
  <si>
    <t>VD:BITCOIN CARD</t>
  </si>
  <si>
    <t>W1:W1 PLATFORM</t>
  </si>
  <si>
    <t>WC:WINCOIN</t>
  </si>
  <si>
    <t>WG:WAVESGAMES</t>
  </si>
  <si>
    <t>WT:WORLDWIFI</t>
  </si>
  <si>
    <t>18C:BLOCK18</t>
  </si>
  <si>
    <t>1SG:1SG</t>
  </si>
  <si>
    <t>4XB:MYBTCFX</t>
  </si>
  <si>
    <t>777:BINGO.FUN</t>
  </si>
  <si>
    <t>999:999</t>
  </si>
  <si>
    <t>99B:99B TOKEN</t>
  </si>
  <si>
    <t>ACN:AVONCOIN</t>
  </si>
  <si>
    <t>ACU:AITHEON</t>
  </si>
  <si>
    <t>ADE:ADEPTIO</t>
  </si>
  <si>
    <t>AET:AETERNUM COIN</t>
  </si>
  <si>
    <t>AEX:AERIUMX</t>
  </si>
  <si>
    <t>AGA:AGA TOKEN</t>
  </si>
  <si>
    <t>AGM:ARGONEUM</t>
  </si>
  <si>
    <t>AIC:AI CRYPTO</t>
  </si>
  <si>
    <t>AIS:AIS-X</t>
  </si>
  <si>
    <t>AIV:AIVIA</t>
  </si>
  <si>
    <t>ALC:ALIGATOCOIN</t>
  </si>
  <si>
    <t>ALE:ALEHUB</t>
  </si>
  <si>
    <t>ALP:ALPHACON</t>
  </si>
  <si>
    <t>ALV:ALLIVE</t>
  </si>
  <si>
    <t>AMG:AMALGAM</t>
  </si>
  <si>
    <t>ANN:APEXEL NATURAL NANO</t>
  </si>
  <si>
    <t>ANU:ALPHANU</t>
  </si>
  <si>
    <t>APC:ALPACOIN</t>
  </si>
  <si>
    <t>APT:ARTPRO</t>
  </si>
  <si>
    <t>AQU:AQUEST</t>
  </si>
  <si>
    <t>AQX:AQUA INTELLIGENCE</t>
  </si>
  <si>
    <t>ARR:ARROUND</t>
  </si>
  <si>
    <t>ATF:AGROTECHFARM</t>
  </si>
  <si>
    <t>ATV:ACTIVITY</t>
  </si>
  <si>
    <t>AVH:ANIMATION VISION CASH</t>
  </si>
  <si>
    <t>AXL:AXIAL ENTERTAINMENT DIGITAL ASSET</t>
  </si>
  <si>
    <t>B2G:BITCOIIN</t>
  </si>
  <si>
    <t>B91:B91</t>
  </si>
  <si>
    <t>BAI:BAINVEST</t>
  </si>
  <si>
    <t>BAK:TOKENBACON</t>
  </si>
  <si>
    <t>BAW:BAW NETWORK</t>
  </si>
  <si>
    <t>BAZ:BAZA FOUNDATION</t>
  </si>
  <si>
    <t>BBC:BIGBOOBSCOIN</t>
  </si>
  <si>
    <t>BBX:BLOCKBUSTER</t>
  </si>
  <si>
    <t>BCG:BC.GAME</t>
  </si>
  <si>
    <t>BCL:BITCOINCLEAN</t>
  </si>
  <si>
    <t>BCO:BRIDGECOIN</t>
  </si>
  <si>
    <t>BFC:BETFORM</t>
  </si>
  <si>
    <t>BHT:BHEX</t>
  </si>
  <si>
    <t>BIC:BIC COIN</t>
  </si>
  <si>
    <t>BIL:BLACKBILL</t>
  </si>
  <si>
    <t>BKF:BKEX FINANCE</t>
  </si>
  <si>
    <t>BKK:BKEX TOKEN</t>
  </si>
  <si>
    <t>BKY:BLUEKEY</t>
  </si>
  <si>
    <t>BMT:BMCHAIN</t>
  </si>
  <si>
    <t>BNL:BNLIO</t>
  </si>
  <si>
    <t>BOC:BINGOCOIN</t>
  </si>
  <si>
    <t>BOK:BLOCKIUM</t>
  </si>
  <si>
    <t>BOX:CONTENTBOX TOKEN</t>
  </si>
  <si>
    <t>BPX:BISPEX</t>
  </si>
  <si>
    <t>BRF:BITRACE TOKEN</t>
  </si>
  <si>
    <t>BTA:BITCOIN BLUE</t>
  </si>
  <si>
    <t>BTF:BITPHANTOM</t>
  </si>
  <si>
    <t>BTI:BITCOIN INSTANT</t>
  </si>
  <si>
    <t>BTK:BITCOIN TURBO KOIN</t>
  </si>
  <si>
    <t>BTL:BITLONG</t>
  </si>
  <si>
    <t>BTP:BITPROPERTY</t>
  </si>
  <si>
    <t>BTZ:BITZON</t>
  </si>
  <si>
    <t>BUC:BUYCOIN</t>
  </si>
  <si>
    <t>BUZ:BUZCOIN</t>
  </si>
  <si>
    <t>BVK:BITCOIN 5000</t>
  </si>
  <si>
    <t>BWB:BIT WORLD TOKEN</t>
  </si>
  <si>
    <t>BWX:BLUE WHALE TOKEN</t>
  </si>
  <si>
    <t>BZO:BIZOMNI</t>
  </si>
  <si>
    <t>BZT:BLOOMZED TOKEN</t>
  </si>
  <si>
    <t>C25:C25 PLATFORM</t>
  </si>
  <si>
    <t>C2P:COIN2PLAY</t>
  </si>
  <si>
    <t>C3X:CONN3X</t>
  </si>
  <si>
    <t>C4L:CRYPTO4LIKES</t>
  </si>
  <si>
    <t>C4T:COIN4TRADE</t>
  </si>
  <si>
    <t>CA2:CHONGAI</t>
  </si>
  <si>
    <t>CAI:CAI TOKEN</t>
  </si>
  <si>
    <t>CAP:CAPITAL COIN</t>
  </si>
  <si>
    <t>CBM:CRYPTO BONUS MILES</t>
  </si>
  <si>
    <t>CCA:COUNOS COIN</t>
  </si>
  <si>
    <t>CCM:CRYPTO COUPONS MARKET</t>
  </si>
  <si>
    <t>CCX:COINCASSO</t>
  </si>
  <si>
    <t>CDB:CLOUDBIT TOKEN</t>
  </si>
  <si>
    <t>CDC:COMMERCE DATA CONNECTION</t>
  </si>
  <si>
    <t>CDF:CRYPTODIVAFUND</t>
  </si>
  <si>
    <t>CDS:CLOUD NODES</t>
  </si>
  <si>
    <t>CEN:CENTAURE</t>
  </si>
  <si>
    <t>CFI:CYBERFI TOKEN</t>
  </si>
  <si>
    <t>CFX:CRYPTOFOREX</t>
  </si>
  <si>
    <t>CHE:CRYPTO HARBOR EXCHANGE</t>
  </si>
  <si>
    <t>CHT:COUNTINGHOUSEFUND</t>
  </si>
  <si>
    <t>CIC:COAL INDUSTRY COIN</t>
  </si>
  <si>
    <t>CIF:CRYPTO IMPROVEMENT FUND</t>
  </si>
  <si>
    <t>CLD:CLOUD</t>
  </si>
  <si>
    <t>CLT:COINLOAN TOKEN</t>
  </si>
  <si>
    <t>CMA:CRYPTO MARKET ADS</t>
  </si>
  <si>
    <t>CMC:CHRISTIANMISSION</t>
  </si>
  <si>
    <t>CNB:CANABIO</t>
  </si>
  <si>
    <t>COI:COINNEC</t>
  </si>
  <si>
    <t>COL:COLIUM</t>
  </si>
  <si>
    <t>COY:COINANALYST</t>
  </si>
  <si>
    <t>COZ:COZ</t>
  </si>
  <si>
    <t>CRD:CRYPTALDASH</t>
  </si>
  <si>
    <t>CRP:CRANEPAY</t>
  </si>
  <si>
    <t>CTD:CRYPTOTRADINGCOIN</t>
  </si>
  <si>
    <t>CTF:COIN2FLY</t>
  </si>
  <si>
    <t>CTT:CRYPTOINVEST</t>
  </si>
  <si>
    <t>CTU:CONTRACTIUM.IO</t>
  </si>
  <si>
    <t>CUZ:COOL COUSIN</t>
  </si>
  <si>
    <t>CVD:COVID19</t>
  </si>
  <si>
    <t>CVH:CURRICULUM VITAE</t>
  </si>
  <si>
    <t>CXC:CAPITAL X CELL</t>
  </si>
  <si>
    <t>DAD:DAD CHAIN</t>
  </si>
  <si>
    <t>DAV:DAVORCOIN</t>
  </si>
  <si>
    <t>DBG:DIGITAL BULLION GOLD</t>
  </si>
  <si>
    <t>DCP:DISCOUNT PERCENT</t>
  </si>
  <si>
    <t>DET:DIAMOND EXCHANGE TOKEN</t>
  </si>
  <si>
    <t>DEV:DEVIANT</t>
  </si>
  <si>
    <t>DFD:DARKFORCE DATA</t>
  </si>
  <si>
    <t>SFCX:SAFECREX</t>
  </si>
  <si>
    <t>LBRL:LBRL</t>
  </si>
  <si>
    <t>FIRE:FIREBALL</t>
  </si>
  <si>
    <t>FVRR:FIVERR INTERNATIONAL LTD</t>
  </si>
  <si>
    <t>ONEM:1LIFE HEALTHCARE INC</t>
  </si>
  <si>
    <t>AEM:AGNICO EAGLE</t>
  </si>
  <si>
    <t>ALXN:ALEXION PHARMACEUTICALS, INC.</t>
  </si>
  <si>
    <t>BZUN:BAOZUN INC.</t>
  </si>
  <si>
    <t>EXEL:EXELIXIS, INC.</t>
  </si>
  <si>
    <t>MRVL:MARVELL TECHNOLOGY GROUP LTD.</t>
  </si>
  <si>
    <t>NTES:NETEASE, INC.</t>
  </si>
  <si>
    <t>SWKS:SKYWORKS SOLUTIONS, INC.</t>
  </si>
  <si>
    <t>TPX:TEMPUR SEALY INTERNATIONAL</t>
  </si>
  <si>
    <t>WLL:WHITING PETROLEUM</t>
  </si>
  <si>
    <t>LXAG:LUNESXAG</t>
  </si>
  <si>
    <t>YFIT:YEARN FINANCE TOKEN</t>
  </si>
  <si>
    <t>WDF:WILDFIRE</t>
  </si>
  <si>
    <t>NWC:NEWSCRYPTO</t>
  </si>
  <si>
    <t>UNN:UNION FINANCE</t>
  </si>
  <si>
    <t>CHAL:CHALICE FINANCE</t>
  </si>
  <si>
    <t>TCORE:TORNADOCORE</t>
  </si>
  <si>
    <t>2BASED:2BASED FINANCE</t>
  </si>
  <si>
    <t>undefined</t>
  </si>
  <si>
    <t>KCS:KUCOIN TOKEN</t>
  </si>
  <si>
    <t>$PAC:PAC PROTOCOL</t>
  </si>
  <si>
    <t>ALIAS:ALIAS</t>
  </si>
  <si>
    <t>VAL:VALIDITY</t>
  </si>
  <si>
    <t>TRUST:TRUSTPLUS</t>
  </si>
  <si>
    <t>RUPX:RUPAYA</t>
  </si>
  <si>
    <t>WAY:WAYGUIDE</t>
  </si>
  <si>
    <t>SOCC:SOCIALCOIN</t>
  </si>
  <si>
    <t>VIP:VIP TOKENS</t>
  </si>
  <si>
    <t>HCC:HAPPY CREATOR COIN</t>
  </si>
  <si>
    <t>PHB:PHOENIX GLOBAL</t>
  </si>
  <si>
    <t>AMP:AMP</t>
  </si>
  <si>
    <t>BTWTY:BIT20</t>
  </si>
  <si>
    <t>RMT:SUREREMIT</t>
  </si>
  <si>
    <t>LGO:LGO TOKEN</t>
  </si>
  <si>
    <t>MFT:HIFI FINANCE</t>
  </si>
  <si>
    <t>PROPS:PROPS</t>
  </si>
  <si>
    <t>STX:STACKS</t>
  </si>
  <si>
    <t>AQUA:AQUACHAIN</t>
  </si>
  <si>
    <t>MERO:MERO</t>
  </si>
  <si>
    <t>CRD:CRD NETWORK</t>
  </si>
  <si>
    <t>ETHO:ETHO PROTOCOL</t>
  </si>
  <si>
    <t>LML:LINK MACHINE LEARNING</t>
  </si>
  <si>
    <t>XSC:HYPERSPACE</t>
  </si>
  <si>
    <t>OPCT:OPACITY</t>
  </si>
  <si>
    <t>KT:KUAI TOKEN</t>
  </si>
  <si>
    <t>GGT:GLOBAL GOLD TOKEN</t>
  </si>
  <si>
    <t>QOS:QOS CHAIN</t>
  </si>
  <si>
    <t>JMT:JMTIME</t>
  </si>
  <si>
    <t>GRAM:OPENGRAM</t>
  </si>
  <si>
    <t>YB:YB</t>
  </si>
  <si>
    <t>BRT:BERITH TOKEN</t>
  </si>
  <si>
    <t>GENT:GENESIS TOKEN</t>
  </si>
  <si>
    <t>QCSS:QUALITY CONTROL SAFETY SYSTEM</t>
  </si>
  <si>
    <t>BYTZ:BYTZ</t>
  </si>
  <si>
    <t>POP:POP CHEST TOKEN</t>
  </si>
  <si>
    <t>ENU:ENUMIVO</t>
  </si>
  <si>
    <t>XFC:FOOTBALL COIN</t>
  </si>
  <si>
    <t>STH:SMARTHOLDEM</t>
  </si>
  <si>
    <t>ELAMA:ELA COIN</t>
  </si>
  <si>
    <t>ALTM:ALTMARKETS COIN</t>
  </si>
  <si>
    <t>GTC:GTIB</t>
  </si>
  <si>
    <t>BGX:BITCOINGENX</t>
  </si>
  <si>
    <t>XRC:XRHODIUM</t>
  </si>
  <si>
    <t>VIDT:VIDT DATALINK</t>
  </si>
  <si>
    <t>AUS:AUSTRALIA CASH</t>
  </si>
  <si>
    <t>FST:1IRSTCOIN</t>
  </si>
  <si>
    <t>SCP:SCPRIME</t>
  </si>
  <si>
    <t>MATIC:POLYGON</t>
  </si>
  <si>
    <t>XTNC:XTENDCASH</t>
  </si>
  <si>
    <t>ZARH:ZARCASH</t>
  </si>
  <si>
    <t>NACA:NASHCASH</t>
  </si>
  <si>
    <t>VD:VINDAX COIN</t>
  </si>
  <si>
    <t>WIN:WINKLINK</t>
  </si>
  <si>
    <t>LTK:LINKTOKEN</t>
  </si>
  <si>
    <t>XCZM:XAVANDER COIN</t>
  </si>
  <si>
    <t>BLN:BLACKNET</t>
  </si>
  <si>
    <t>HSN:HYPER SPEED NETWORK</t>
  </si>
  <si>
    <t>TRN:TREELION</t>
  </si>
  <si>
    <t>ROGER:THEHOLYROGERCOIN</t>
  </si>
  <si>
    <t>ZUM:ZUM TOKEN</t>
  </si>
  <si>
    <t>NINJA:NINJACOIN</t>
  </si>
  <si>
    <t>CASH:LITECASH</t>
  </si>
  <si>
    <t>NMP:NEUROMORPHIC</t>
  </si>
  <si>
    <t>BTCP:BITCOIN PRO</t>
  </si>
  <si>
    <t>DEP:DEAPCOIN</t>
  </si>
  <si>
    <t>TRD:TRADECOIN</t>
  </si>
  <si>
    <t>TLO:TALLEO</t>
  </si>
  <si>
    <t>N808:NEW808COIN</t>
  </si>
  <si>
    <t>HFR:HFRCOIN</t>
  </si>
  <si>
    <t>NEWS:NEWSTOKENS</t>
  </si>
  <si>
    <t>0XMR:0XMONERO</t>
  </si>
  <si>
    <t>SPRX:SPRINT</t>
  </si>
  <si>
    <t>CFX:CONFLUX NETWORK</t>
  </si>
  <si>
    <t>GEAR:BITGEAR</t>
  </si>
  <si>
    <t>WINR:WINR</t>
  </si>
  <si>
    <t>XZAR:SOUTH AFRICAN TETHER</t>
  </si>
  <si>
    <t>OPT:OPENPREEDICT</t>
  </si>
  <si>
    <t>REEF:REEF</t>
  </si>
  <si>
    <t>UNFI:UNIVERSE FINANCE</t>
  </si>
  <si>
    <t>WHALE:WHALE</t>
  </si>
  <si>
    <t>DAI:DAIMLER AG</t>
  </si>
  <si>
    <t>GOOG:ALPHABET INC</t>
  </si>
  <si>
    <t>MJ:ETFMG ALTERNATIVE HARVEST ETF</t>
  </si>
  <si>
    <t>ORCL:ORACLE</t>
  </si>
  <si>
    <t>BBBY:BED BATH &amp; BEYOND INC.</t>
  </si>
  <si>
    <t>CPRT:COPART, INC.</t>
  </si>
  <si>
    <t>DE:DEERE</t>
  </si>
  <si>
    <t>DG:DOLLAR GENERAL</t>
  </si>
  <si>
    <t>ICPT:INTERCEPT PHARMACEUTICALS, INC.</t>
  </si>
  <si>
    <t>SRPT:SAREPTA THERAPEUTICS, INC.</t>
  </si>
  <si>
    <t>STLD:STEEL DYNAMICS, INC.</t>
  </si>
  <si>
    <t>TXT:TEXTRON</t>
  </si>
  <si>
    <t>YY:YY INC.</t>
  </si>
  <si>
    <t>FUD:FUD.FINANCE</t>
  </si>
  <si>
    <t>ROT:ROTTEN TOKEN</t>
  </si>
  <si>
    <t>GHX:GAMERCOIN</t>
  </si>
  <si>
    <t>KIRO:KIROBO</t>
  </si>
  <si>
    <t>LEAD:LEAD</t>
  </si>
  <si>
    <t>YMF20:YEARN20MOON</t>
  </si>
  <si>
    <t>LOVE:LOVE COIN</t>
  </si>
  <si>
    <t>FUSE:FUSE NETWORK</t>
  </si>
  <si>
    <t>GYSR:GEYSER</t>
  </si>
  <si>
    <t>NEBO:CSP DAO</t>
  </si>
  <si>
    <t>MM:MMTOKEN</t>
  </si>
  <si>
    <t>DRC:DIGITAL RESERVE CURRENCY</t>
  </si>
  <si>
    <t>YFD:YFDFI.FINANCE</t>
  </si>
  <si>
    <t>IRR:IRANIAN RIAL</t>
  </si>
  <si>
    <t>YLD:YIELD</t>
  </si>
  <si>
    <t>TME:TAMA EGG NIFTYGOTCHI</t>
  </si>
  <si>
    <t>BLAS:BLAKESTAR 2.0</t>
  </si>
  <si>
    <t>G999:G999</t>
  </si>
  <si>
    <t>KOBE:SHABU SHABU</t>
  </si>
  <si>
    <t>BMC:BOUNTYMARKETCAP</t>
  </si>
  <si>
    <t>YGYM:YFGYM</t>
  </si>
  <si>
    <t>USD1:PSYCHE</t>
  </si>
  <si>
    <t>FDO:FIRDAOS</t>
  </si>
  <si>
    <t>BULLS:BULLS</t>
  </si>
  <si>
    <t>WISE:WISE</t>
  </si>
  <si>
    <t>BNJ:BINJITCOIN</t>
  </si>
  <si>
    <t>XEP:ELECTRA PROTOCOL</t>
  </si>
  <si>
    <t>TFT:TRON FLIGHT TICKET</t>
  </si>
  <si>
    <t>MPTC:MNPOSTREE COIN</t>
  </si>
  <si>
    <t>YOP:YOP</t>
  </si>
  <si>
    <t>1INCH:1INCH</t>
  </si>
  <si>
    <t>YFIG:YEARN FINANCE GLOBAL</t>
  </si>
  <si>
    <t>CURRY:CURRY SWAP</t>
  </si>
  <si>
    <t>FEY:FEYORRA</t>
  </si>
  <si>
    <t>COVER:COVER PROTOCOL GOVERNANCE TOKEN</t>
  </si>
  <si>
    <t>SKEY:SMARTKEY</t>
  </si>
  <si>
    <t>FR:FREEDOM RESERVE</t>
  </si>
  <si>
    <t>RIGEL:RIGEL FINANCE</t>
  </si>
  <si>
    <t>STBU:STOBOX TOKEN</t>
  </si>
  <si>
    <t>BETS:BETSCOIN</t>
  </si>
  <si>
    <t>BCMC1:BEFORE COINMARKETCAP</t>
  </si>
  <si>
    <t>DOGY:DOGEYIELD</t>
  </si>
  <si>
    <t>YCATT:CATEX.FINANCE</t>
  </si>
  <si>
    <t>KP2R:KP2R.NETWORK</t>
  </si>
  <si>
    <t>XSGD:XSGD</t>
  </si>
  <si>
    <t>ELG:ESCOIN TOKEN</t>
  </si>
  <si>
    <t>HYDRA:HYDRA</t>
  </si>
  <si>
    <t>ELX:ENERGY LEDGER</t>
  </si>
  <si>
    <t>BITT:BITTOKEN</t>
  </si>
  <si>
    <t>DXB:DEXZBITZ</t>
  </si>
  <si>
    <t>PRCY:PRIVACY COIN</t>
  </si>
  <si>
    <t>ALICE:MY NEIGHBOR ALICE</t>
  </si>
  <si>
    <t>LIT:LITENTRY</t>
  </si>
  <si>
    <t>OWL:OWL</t>
  </si>
  <si>
    <t>XNODE:XNODE</t>
  </si>
  <si>
    <t>BBST:BBSTOKEN</t>
  </si>
  <si>
    <t>AUTX:AUTRADEX</t>
  </si>
  <si>
    <t>ELCASH:ELECTRIC CASH</t>
  </si>
  <si>
    <t>QUAI:QUAI DAO</t>
  </si>
  <si>
    <t>GOGO:GOGO.FINANCE</t>
  </si>
  <si>
    <t>CAVO:EXCAVO FINANCE</t>
  </si>
  <si>
    <t>CPC:CPCOIN</t>
  </si>
  <si>
    <t>KPX:KAPOWX</t>
  </si>
  <si>
    <t>BAMBOO:BAMBOODEFI</t>
  </si>
  <si>
    <t>COIN:COIN</t>
  </si>
  <si>
    <t>RNL:RENTALCHAIN</t>
  </si>
  <si>
    <t>HYBN:HEY-BITCOIN</t>
  </si>
  <si>
    <t>XOT:OKURU TOKEN</t>
  </si>
  <si>
    <t>ROUTE:ROUTER PROTOCOL</t>
  </si>
  <si>
    <t>DEVA:DEVA TOKEN</t>
  </si>
  <si>
    <t>SAP:SWAAP STABLECOIN</t>
  </si>
  <si>
    <t>VAL:SORA VALIDATOR TOKEN</t>
  </si>
  <si>
    <t>4CH5:4CHAN</t>
  </si>
  <si>
    <t>TORN:TORNADO CASH</t>
  </si>
  <si>
    <t>MP3:MP3</t>
  </si>
  <si>
    <t>AMX:ARMOR NETWORK</t>
  </si>
  <si>
    <t>HUSKY:HUSKY TOKEN</t>
  </si>
  <si>
    <t>NSBT:NEUTRINO SYSTEM BASE TOKEN</t>
  </si>
  <si>
    <t>SATO:SATO</t>
  </si>
  <si>
    <t>GOVI:GOVI</t>
  </si>
  <si>
    <t>ICAP:INVICTUSCAPITAL.COM TOKEN</t>
  </si>
  <si>
    <t>QTF:QUANTFURY TOKEN</t>
  </si>
  <si>
    <t>OAP:OPENALEXA PROTOCOL</t>
  </si>
  <si>
    <t>WSB:WALL STREET BABY</t>
  </si>
  <si>
    <t>DODO:DODO</t>
  </si>
  <si>
    <t>BDT:BLOCK DUELERS</t>
  </si>
  <si>
    <t>FSXU:FLASHX ULTRA</t>
  </si>
  <si>
    <t>RAD:RADICLE</t>
  </si>
  <si>
    <t>EMOJ:EMOJI</t>
  </si>
  <si>
    <t>BOLO:BOLO</t>
  </si>
  <si>
    <t>OIL:CRUDEOIL FINANCE</t>
  </si>
  <si>
    <t>BSP:BALLSWAP</t>
  </si>
  <si>
    <t>USDN:NEUTRINO USD</t>
  </si>
  <si>
    <t>SAPG:SWAAP GOVERNANCE</t>
  </si>
  <si>
    <t>CHIK:CHICKENKEBAB FINANCE</t>
  </si>
  <si>
    <t>GROSH:GROSH</t>
  </si>
  <si>
    <t>KNOLIX:KNOLIX</t>
  </si>
  <si>
    <t>EMDC:EMERALD COIN</t>
  </si>
  <si>
    <t>AMBK:AMBK</t>
  </si>
  <si>
    <t>LAVA:LAVASWAP</t>
  </si>
  <si>
    <t>IJC:IJASCOIN</t>
  </si>
  <si>
    <t>ANI:ANIME TOKEN</t>
  </si>
  <si>
    <t>FEG:FEG</t>
  </si>
  <si>
    <t>STACK:STACKER VENTURES TOKEN</t>
  </si>
  <si>
    <t>EBRH:EBIRAH</t>
  </si>
  <si>
    <t>CRX:CRYPTEX</t>
  </si>
  <si>
    <t>NS:NODESTATS</t>
  </si>
  <si>
    <t>REMIT:REMITA COIN</t>
  </si>
  <si>
    <t>NIA:NYDRONIA</t>
  </si>
  <si>
    <t>XGG:10X.GG</t>
  </si>
  <si>
    <t>ROOK:KEEPERDAO</t>
  </si>
  <si>
    <t>EAURIC:EAURIC</t>
  </si>
  <si>
    <t>ZKS:ZKSWAP</t>
  </si>
  <si>
    <t>ADCO:ADVERTISE COIN</t>
  </si>
  <si>
    <t>SHDC:SHDCASH</t>
  </si>
  <si>
    <t>OXB:OXBULL</t>
  </si>
  <si>
    <t>WTC:WHEAT COIN</t>
  </si>
  <si>
    <t>BAST:BITCOIN ASSOCIATION SLOVENIA TOKEN</t>
  </si>
  <si>
    <t>BOSE:BOSE.FINANCE</t>
  </si>
  <si>
    <t>IL8P:INFINILOOP</t>
  </si>
  <si>
    <t>AIN:AINORI</t>
  </si>
  <si>
    <t>YNI:YEARNYFI NETWORK</t>
  </si>
  <si>
    <t>XGAME:XGAMECOIN</t>
  </si>
  <si>
    <t>ETM:ELECTROMCOIN</t>
  </si>
  <si>
    <t>TGBP:TRUEGBP</t>
  </si>
  <si>
    <t>POC:POC BLOCKCHAIN</t>
  </si>
  <si>
    <t>RTM:RAPTOREUM</t>
  </si>
  <si>
    <t>UZE:UZE EXCHANGE</t>
  </si>
  <si>
    <t>ALPHA:ALPHA FINANCE</t>
  </si>
  <si>
    <t>ROSE:OASIS NETWORK</t>
  </si>
  <si>
    <t>KEYFI:KEYFI</t>
  </si>
  <si>
    <t>DFC:DEFLACASH</t>
  </si>
  <si>
    <t>PWAY:PWAY</t>
  </si>
  <si>
    <t>WHIRL:WHIRL FINANCE</t>
  </si>
  <si>
    <t>NIMB:NIMBOCOIN</t>
  </si>
  <si>
    <t>BCT:BITCREDIT</t>
  </si>
  <si>
    <t>B26:B26 FINANCE</t>
  </si>
  <si>
    <t>DOG:UNDERDOG</t>
  </si>
  <si>
    <t>CSX:COINSTOX TOKEN</t>
  </si>
  <si>
    <t>BIN:BUILDIN</t>
  </si>
  <si>
    <t>BDOG:BULLDOG</t>
  </si>
  <si>
    <t>RGP:RIGEL PROTOCOL</t>
  </si>
  <si>
    <t>USDI:USDI0</t>
  </si>
  <si>
    <t>DDR:DIGIDINAR</t>
  </si>
  <si>
    <t>ALTS:ALTCOINS</t>
  </si>
  <si>
    <t>VEGAN:VEGAN SWAP</t>
  </si>
  <si>
    <t>2GT:2GETHER</t>
  </si>
  <si>
    <t>FEB:FEB TOKEN</t>
  </si>
  <si>
    <t>CFT:COFFEE TOKEN</t>
  </si>
  <si>
    <t>INV:INV</t>
  </si>
  <si>
    <t>PZB:PRIZMBIT TOKEN</t>
  </si>
  <si>
    <t>PIKA:PIKA FINANCE</t>
  </si>
  <si>
    <t>CUT:CARBON UTILITY TOKEN</t>
  </si>
  <si>
    <t>FRY:FOUNDRY LOGISTICS TOKEN</t>
  </si>
  <si>
    <t>WAR:NFTWARS</t>
  </si>
  <si>
    <t>GLQ:GRAPHLINQ</t>
  </si>
  <si>
    <t>WHX:WHITEX</t>
  </si>
  <si>
    <t>BTE:BTECOIN</t>
  </si>
  <si>
    <t>SDT:STAKE DAO</t>
  </si>
  <si>
    <t>YFDAI:YFDAI.FINANCE</t>
  </si>
  <si>
    <t>WCX:WECOOWN REWARDS</t>
  </si>
  <si>
    <t>G-FI:GORILLA-FI</t>
  </si>
  <si>
    <t>LGBTQ:PRIDE</t>
  </si>
  <si>
    <t>AFO:ALL FOR ONE BUSINESS</t>
  </si>
  <si>
    <t>SATVG:SATURNV GOLD</t>
  </si>
  <si>
    <t>BTA:BITCOIN ASSET</t>
  </si>
  <si>
    <t>VSPACEX:VSPACEX</t>
  </si>
  <si>
    <t>GRTD:GRATITUDE</t>
  </si>
  <si>
    <t>LDXF:LDX DEFI FINANCE</t>
  </si>
  <si>
    <t>ID:INFINITE DIVS</t>
  </si>
  <si>
    <t>SVX:SAVIX</t>
  </si>
  <si>
    <t>DPH:DIGIPHARM</t>
  </si>
  <si>
    <t>CRYPTO:CRYPTOCOIN</t>
  </si>
  <si>
    <t>STHC:SOOTHING COIN</t>
  </si>
  <si>
    <t>TKO:TOKOCRYPTO</t>
  </si>
  <si>
    <t>MGB:MAGIC BALANCER</t>
  </si>
  <si>
    <t>BSCDOG:BSCDOG</t>
  </si>
  <si>
    <t>VANCAT:VANCAT TOKEN</t>
  </si>
  <si>
    <t>HOGE:HOGE FINANCE</t>
  </si>
  <si>
    <t>PRDX:PARAMOUNTDAX TOKEN</t>
  </si>
  <si>
    <t>BT:BITENIUM TOKEN</t>
  </si>
  <si>
    <t>AKT:AKITA</t>
  </si>
  <si>
    <t>10SET:TENSET</t>
  </si>
  <si>
    <t>JDC:JUNDCOIN</t>
  </si>
  <si>
    <t>BA:BATORRENT</t>
  </si>
  <si>
    <t>SLC:SHALON COIN</t>
  </si>
  <si>
    <t>PIT:PITBULL</t>
  </si>
  <si>
    <t>ULT:SHARDUS</t>
  </si>
  <si>
    <t>ULU:UNIVERSAL LIQUIDITY UNION</t>
  </si>
  <si>
    <t>UPA:UNITOPIA</t>
  </si>
  <si>
    <t>UPC:ULTRAPAY COIN</t>
  </si>
  <si>
    <t>UPI:UPI</t>
  </si>
  <si>
    <t>UST:USERVICE</t>
  </si>
  <si>
    <t>UTD:AIRDROP UNITED</t>
  </si>
  <si>
    <t>UTS:UTEMIS</t>
  </si>
  <si>
    <t>UZZ:UZURAS</t>
  </si>
  <si>
    <t>VCC:VCOIN</t>
  </si>
  <si>
    <t>VCO:VOUCHER COIN</t>
  </si>
  <si>
    <t>VD2:VINDAX</t>
  </si>
  <si>
    <t>VEN:VECHAIN</t>
  </si>
  <si>
    <t>VGO:VIRTUALGOODSTOKEN</t>
  </si>
  <si>
    <t>VIP:VIPCHAIN</t>
  </si>
  <si>
    <t>VJC:VENJOCOIN</t>
  </si>
  <si>
    <t>VLU:VALUTO</t>
  </si>
  <si>
    <t>VOL:VOLAIR</t>
  </si>
  <si>
    <t>VTY:VERITY</t>
  </si>
  <si>
    <t>VVI:VV COIN</t>
  </si>
  <si>
    <t>VX2:VITEX COIN</t>
  </si>
  <si>
    <t>WBY:WEBUY</t>
  </si>
  <si>
    <t>WCF:WORLD CRYPTO FORUM</t>
  </si>
  <si>
    <t>WFF:WHIFF NETWORK</t>
  </si>
  <si>
    <t>WGC:WEGEN</t>
  </si>
  <si>
    <t>WIN:WINTOKEN</t>
  </si>
  <si>
    <t>WLK:WOLK</t>
  </si>
  <si>
    <t>WMB:WATERMELONBLOCK</t>
  </si>
  <si>
    <t>WOK:WEBLOC</t>
  </si>
  <si>
    <t>WTM:WAYTOM</t>
  </si>
  <si>
    <t>WVC:WAVER COIN</t>
  </si>
  <si>
    <t>WVR:WEAVE</t>
  </si>
  <si>
    <t>XAC:GENERAL ATTENTION CURRENCY</t>
  </si>
  <si>
    <t>XAO:ALLOY PROJECT</t>
  </si>
  <si>
    <t>XAX:ARTAX</t>
  </si>
  <si>
    <t>XBT:BRICKTOX</t>
  </si>
  <si>
    <t>XCD:CAPDAXTOKEN</t>
  </si>
  <si>
    <t>XCQ:EXECUTECOIN</t>
  </si>
  <si>
    <t>XDR:XANDEREUM</t>
  </si>
  <si>
    <t>XET:ETERNAL TOKEN</t>
  </si>
  <si>
    <t>XFE:FEIRM</t>
  </si>
  <si>
    <t>XGA:XGAMINGUP</t>
  </si>
  <si>
    <t>XGO:AIGO PROTOCOL</t>
  </si>
  <si>
    <t>XHD:XRPHD</t>
  </si>
  <si>
    <t>XMN:MOTION</t>
  </si>
  <si>
    <t>XND:NDAU</t>
  </si>
  <si>
    <t>XNS:XEONBIT TOKEN</t>
  </si>
  <si>
    <t>XPH:PHANTOM</t>
  </si>
  <si>
    <t>XPO:X-POWER CHAIN</t>
  </si>
  <si>
    <t>XPT:XPTOKEN.IO</t>
  </si>
  <si>
    <t>XPV:PERCIVAL</t>
  </si>
  <si>
    <t>XQC:QURAS COIN</t>
  </si>
  <si>
    <t>XQN:QUOTIENT</t>
  </si>
  <si>
    <t>XRM:AERUM</t>
  </si>
  <si>
    <t>XRR:XCHANGERATE</t>
  </si>
  <si>
    <t>XRT:XRT TOKEN</t>
  </si>
  <si>
    <t>XRX:GLOBAL PROPERTY REGISTER</t>
  </si>
  <si>
    <t>XSC:XSCOIN</t>
  </si>
  <si>
    <t>XSP:SPAIKCOIN</t>
  </si>
  <si>
    <t>XTX:XTOCK</t>
  </si>
  <si>
    <t>XUN:ULTRANOTE COIN</t>
  </si>
  <si>
    <t>XWO:WOOSHCOIN</t>
  </si>
  <si>
    <t>XZP:CLICK CHAIN COIN</t>
  </si>
  <si>
    <t>YAT:YATTAQI</t>
  </si>
  <si>
    <t>YFP:YEARN FINANCE PROTOCOL</t>
  </si>
  <si>
    <t>ZB2:ZEROBANK</t>
  </si>
  <si>
    <t>ZCO:ZYLOFON</t>
  </si>
  <si>
    <t>ZDR:ZDR TOKEN</t>
  </si>
  <si>
    <t>ZDX:ZER-DEX</t>
  </si>
  <si>
    <t>ZIK:ZIKTALK</t>
  </si>
  <si>
    <t>ZLC:ZELAACOIN</t>
  </si>
  <si>
    <t>ZLS:ZELERIUS</t>
  </si>
  <si>
    <t>ZOM:ZOM</t>
  </si>
  <si>
    <t>ZWN:ZWCOIN</t>
  </si>
  <si>
    <t>ZXE:ZOOOMEX</t>
  </si>
  <si>
    <t>1337:ELITE</t>
  </si>
  <si>
    <t>7772:JACKPOT</t>
  </si>
  <si>
    <t>AAT2:AGRICULTURAL TRADE CHAIN</t>
  </si>
  <si>
    <t>ABLX:ABLE</t>
  </si>
  <si>
    <t>ACA2:ACASHCOIN</t>
  </si>
  <si>
    <t>ACC2:ASIAN-AFRICAN CAPITAL CHAIN</t>
  </si>
  <si>
    <t>ADAB:ADAB SOLUTIONS</t>
  </si>
  <si>
    <t>ADC2:ANDROID CHAIN</t>
  </si>
  <si>
    <t>ADC3:AFRICA DEVELOPMENT CHAIN</t>
  </si>
  <si>
    <t>ADL2:ADELPHOI</t>
  </si>
  <si>
    <t>ADV2:ADEVPLUS2.0</t>
  </si>
  <si>
    <t>ADVC:ADVERTISINGCOIN</t>
  </si>
  <si>
    <t>AET2:AEROTOKEN</t>
  </si>
  <si>
    <t>AGOR:AGORA COIN</t>
  </si>
  <si>
    <t>AGRI:AGRICHAIN</t>
  </si>
  <si>
    <t>AGRO:AGRO EXCHANGE</t>
  </si>
  <si>
    <t>AGRS:AGORAS TOKENS</t>
  </si>
  <si>
    <t>AIQ2:ARTIQOX</t>
  </si>
  <si>
    <t>AIRX:AIRCOINS</t>
  </si>
  <si>
    <t>AKC2:AKIKCOIN</t>
  </si>
  <si>
    <t>ALC3:ARAB LEAGUE COIN</t>
  </si>
  <si>
    <t>ALC4:ALIENCOIN</t>
  </si>
  <si>
    <t>ALLN:AIRLINE AND LIFE NETWORKING</t>
  </si>
  <si>
    <t>ALMN:ALLMASTERNODES</t>
  </si>
  <si>
    <t>ALP2:ALP COIN</t>
  </si>
  <si>
    <t>ALT2:ALT.ESTATE</t>
  </si>
  <si>
    <t>ALTH:ALIOTH</t>
  </si>
  <si>
    <t>ALTX:ALTTEX</t>
  </si>
  <si>
    <t>AMMO:AMMO RELOADED</t>
  </si>
  <si>
    <t>ANTE:TRONBET</t>
  </si>
  <si>
    <t>ANTR:ANTARA</t>
  </si>
  <si>
    <t>ANY2:ANYONE</t>
  </si>
  <si>
    <t>API2:APPLICATION PROGRAMMING INTERFACE</t>
  </si>
  <si>
    <t>APIX:APIS</t>
  </si>
  <si>
    <t>APOD:AIRPOD</t>
  </si>
  <si>
    <t>APOT:APOT</t>
  </si>
  <si>
    <t>ARAI:ADRENALINE AI</t>
  </si>
  <si>
    <t>ARCH:ARCHER DAO GOVERNANCE TOKEN</t>
  </si>
  <si>
    <t>ARPA:ARPA</t>
  </si>
  <si>
    <t>ASGC:ASG COIN</t>
  </si>
  <si>
    <t>ATC2:ATLANTIC COIN</t>
  </si>
  <si>
    <t>ATH3:AUTHORA</t>
  </si>
  <si>
    <t>ATLS:ATLAS NETWORK</t>
  </si>
  <si>
    <t>ATT2:AFRICA TRADING CHAIN</t>
  </si>
  <si>
    <t>AOG:SMARTOFGIVING</t>
  </si>
  <si>
    <t>CTRT:CRYPTRUST</t>
  </si>
  <si>
    <t>BUNNY:BUNNYTOKEN</t>
  </si>
  <si>
    <t>PLURA:PLURACOIN</t>
  </si>
  <si>
    <t>SIX:SIX</t>
  </si>
  <si>
    <t>ROX:ROBOTINA</t>
  </si>
  <si>
    <t>IOG:PLAYGROUNDZ</t>
  </si>
  <si>
    <t>CMIT:CMITCOIN</t>
  </si>
  <si>
    <t>PLUS1:PLUSONECOIN</t>
  </si>
  <si>
    <t>GOSS:GOSSIP COIN</t>
  </si>
  <si>
    <t>IQN:IQEON</t>
  </si>
  <si>
    <t>XCASH:X-CASH</t>
  </si>
  <si>
    <t>PAXEX:PAXEX</t>
  </si>
  <si>
    <t>SHARD:SHARD</t>
  </si>
  <si>
    <t>ECOREAL:ECOREAL ESTATE</t>
  </si>
  <si>
    <t>DAPS:DAPS COIN</t>
  </si>
  <si>
    <t>CARAT:CARAT</t>
  </si>
  <si>
    <t>ACTP:ARCHETYPAL NETWORK</t>
  </si>
  <si>
    <t>VEO:AMOVEO</t>
  </si>
  <si>
    <t>MAS:MIDASPROTOCOL</t>
  </si>
  <si>
    <t>ZB:ZB</t>
  </si>
  <si>
    <t>TMTG:THE MIDAS TOUCH GOLD</t>
  </si>
  <si>
    <t>PAX:PAXOS STANDARD TOKEN</t>
  </si>
  <si>
    <t>ERT:ERISTICA</t>
  </si>
  <si>
    <t>DAGT:DIGITAL ASSET GUARANTEE TOKEN</t>
  </si>
  <si>
    <t>HSN:HELPER SEARCH TOKEN</t>
  </si>
  <si>
    <t>PLC:PLATINCOIN</t>
  </si>
  <si>
    <t>SINS:SAFEINSURE</t>
  </si>
  <si>
    <t>EXCC:EXCHANGECOIN</t>
  </si>
  <si>
    <t>MIR:MIR COIN</t>
  </si>
  <si>
    <t>BETHER:BETHEREUM</t>
  </si>
  <si>
    <t>RAGNA:RAGNAROK</t>
  </si>
  <si>
    <t>XGS:GENESISX</t>
  </si>
  <si>
    <t>KNT:KNEKTED</t>
  </si>
  <si>
    <t>ATH:ATHEIOS</t>
  </si>
  <si>
    <t>MASH:MASTERNET</t>
  </si>
  <si>
    <t>TOL:TOLAR</t>
  </si>
  <si>
    <t>ACM:ACTINIUM</t>
  </si>
  <si>
    <t>FREE:FREE COIN</t>
  </si>
  <si>
    <t>STEEP:STEEPCOIN</t>
  </si>
  <si>
    <t>NRP:NEURAL PROTOCOL</t>
  </si>
  <si>
    <t>WIX:WIXLAR</t>
  </si>
  <si>
    <t>EGX:EAGLEX</t>
  </si>
  <si>
    <t>SCRIV:SCRIV NETWORK</t>
  </si>
  <si>
    <t>GUSD:GEMINI DOLLAR</t>
  </si>
  <si>
    <t>WTL:WELLTRADO</t>
  </si>
  <si>
    <t>BLAST:BLAST</t>
  </si>
  <si>
    <t>HELP:HELPICO</t>
  </si>
  <si>
    <t>NDX:NDEX</t>
  </si>
  <si>
    <t>BCZERO:BUGGYRA COIN ZERO</t>
  </si>
  <si>
    <t>F1C:FUTURE1COIN</t>
  </si>
  <si>
    <t>QAC:QUASARCOIN</t>
  </si>
  <si>
    <t>SHPING:SHPING</t>
  </si>
  <si>
    <t>BC:BLOCK-CHAIN.COM</t>
  </si>
  <si>
    <t>CMCT:CYBER MOVIE CHAIN</t>
  </si>
  <si>
    <t>ENTS:EUNOMIA</t>
  </si>
  <si>
    <t>RPD:RAPIDS</t>
  </si>
  <si>
    <t>DEC:DARICO ECOSYSTEM COIN</t>
  </si>
  <si>
    <t>SNET:SNETWORK</t>
  </si>
  <si>
    <t>DIVI:DIVI</t>
  </si>
  <si>
    <t>ABBC:ABBC COIN</t>
  </si>
  <si>
    <t>WIRE:AIRWIRE</t>
  </si>
  <si>
    <t>DOGEC:DOGECASH</t>
  </si>
  <si>
    <t>DIC:DAIKICOIN</t>
  </si>
  <si>
    <t>CBTC:CLASSIC BITCOIN</t>
  </si>
  <si>
    <t>ZNT:ZENSWAP NETWORK TOKEN</t>
  </si>
  <si>
    <t>MMO:MMOCOIN</t>
  </si>
  <si>
    <t>CCX:CONCEAL</t>
  </si>
  <si>
    <t>ETHO:ETHER-1</t>
  </si>
  <si>
    <t>BLOC:BLOC.MONEY</t>
  </si>
  <si>
    <t>DATP:DECENTRALIZED ASSET TRADING PLATFORM</t>
  </si>
  <si>
    <t>IRD:IRIDIUM</t>
  </si>
  <si>
    <t>DEEX:DEEX</t>
  </si>
  <si>
    <t>HELP:GOHELPFUND</t>
  </si>
  <si>
    <t>BITS:BITCOINUS</t>
  </si>
  <si>
    <t>ZT:ZTCOIN</t>
  </si>
  <si>
    <t>RPI:RPICOIN</t>
  </si>
  <si>
    <t>CHEESE:CHEESECOIN</t>
  </si>
  <si>
    <t>ALT:ALT.ESTATE TOKEN</t>
  </si>
  <si>
    <t>BULL:BUYSELL</t>
  </si>
  <si>
    <t>TDP:TRUEDECK</t>
  </si>
  <si>
    <t>FBN:FIVEBALANCE</t>
  </si>
  <si>
    <t>ROBET:ROBET</t>
  </si>
  <si>
    <t>ITL:ITALIAN LIRA</t>
  </si>
  <si>
    <t>YEED:YGGDRASH</t>
  </si>
  <si>
    <t>BOX:BOX TOKEN</t>
  </si>
  <si>
    <t>DT:DRAGON TOKEN</t>
  </si>
  <si>
    <t>TELOS:TELOSCOIN</t>
  </si>
  <si>
    <t>MODX:MODEL-X-COIN</t>
  </si>
  <si>
    <t>PNY:PEONY</t>
  </si>
  <si>
    <t>GST:GAME STARS</t>
  </si>
  <si>
    <t>BZX:BITCOIN ZERO</t>
  </si>
  <si>
    <t>LQD:LIQUIDITY NETWORK</t>
  </si>
  <si>
    <t>SOUL:CRYPTOSOUL</t>
  </si>
  <si>
    <t>TYPE:TYPERIUM</t>
  </si>
  <si>
    <t>HNDC:HONDAISCOIN</t>
  </si>
  <si>
    <t>SIERRA:SIERRACOIN</t>
  </si>
  <si>
    <t>LTO:LTO NETWORK</t>
  </si>
  <si>
    <t>MBC:MICROBITCOIN</t>
  </si>
  <si>
    <t>IONC:IONCHAIN</t>
  </si>
  <si>
    <t>APC:ALPHA COIN</t>
  </si>
  <si>
    <t>D4RK:DARKPAY</t>
  </si>
  <si>
    <t>DEX:DEX</t>
  </si>
  <si>
    <t>SIN:SINOVATE</t>
  </si>
  <si>
    <t>ABET:ALTBET</t>
  </si>
  <si>
    <t>QCH:QCHI</t>
  </si>
  <si>
    <t>CYL:CRYSTAL TOKEN</t>
  </si>
  <si>
    <t>WET:WESHOW TOKEN</t>
  </si>
  <si>
    <t>MEDIBIT:MEDIBIT</t>
  </si>
  <si>
    <t>AIAS:AIAS COIN</t>
  </si>
  <si>
    <t>ABS:ABSOLUTE</t>
  </si>
  <si>
    <t>BGG:BGOGO TOKEN</t>
  </si>
  <si>
    <t>ETHM:ETHEREUM META</t>
  </si>
  <si>
    <t>PTN:PALLETONE</t>
  </si>
  <si>
    <t>LION:COIN LION</t>
  </si>
  <si>
    <t>INVE:INTERVALUE</t>
  </si>
  <si>
    <t>XNV:NERVA</t>
  </si>
  <si>
    <t>CDZC:CRYPTO DEZIRE CASH</t>
  </si>
  <si>
    <t>ETI:ETHERINC</t>
  </si>
  <si>
    <t>IMPL:IMPLEUM</t>
  </si>
  <si>
    <t>BSV:BITCOIN SV</t>
  </si>
  <si>
    <t>SHMN:STRONGHANDS MASTERNODE</t>
  </si>
  <si>
    <t>ZNZ:ZENZO</t>
  </si>
  <si>
    <t>AZ:AZBIT</t>
  </si>
  <si>
    <t>BDT:BITDEPOSITARY</t>
  </si>
  <si>
    <t>VEST:VESTCHAIN</t>
  </si>
  <si>
    <t>SCAVO:SCAVO TOKEN</t>
  </si>
  <si>
    <t>DASHG:DASH GREEN</t>
  </si>
  <si>
    <t>CWV:CWV CHAIN</t>
  </si>
  <si>
    <t>KAT:KAMBRIA</t>
  </si>
  <si>
    <t>MICRO:MICROMINES</t>
  </si>
  <si>
    <t>SCOL:SCOLCOIN</t>
  </si>
  <si>
    <t>ARRR:PIRATE</t>
  </si>
  <si>
    <t>BCAC:BUSINESS CREDIT ALLIANCE CHAIN</t>
  </si>
  <si>
    <t>BOLD:BOLDMAN CAPITAL</t>
  </si>
  <si>
    <t>ILC:ILCOIN</t>
  </si>
  <si>
    <t>HQT:HYPERQUANT</t>
  </si>
  <si>
    <t>SSX:STAKE SHARE</t>
  </si>
  <si>
    <t>VRSC:VERUS COIN</t>
  </si>
  <si>
    <t>BTB:BITBALL</t>
  </si>
  <si>
    <t>SPRTZ:SPRITZCOIN</t>
  </si>
  <si>
    <t>XBASE:ETERBASE COIN</t>
  </si>
  <si>
    <t>AGCMN:AGRICOIN MASTERNODE</t>
  </si>
  <si>
    <t>NZL:ZEALIUM</t>
  </si>
  <si>
    <t>EQUAD:QUADRANTPROTOCOL</t>
  </si>
  <si>
    <t>RBTC:RSK SMART BITCOIN</t>
  </si>
  <si>
    <t>MXC:MACHINE XCHANGE COIN</t>
  </si>
  <si>
    <t>AXE:AXE</t>
  </si>
  <si>
    <t>LKR:LKRCOIN</t>
  </si>
  <si>
    <t>ZND:ZENAD</t>
  </si>
  <si>
    <t>BZE:BZEDGE</t>
  </si>
  <si>
    <t>SAT:SOCIAL ACTIVITY TOKEN</t>
  </si>
  <si>
    <t>SAFE:SAFECOIN</t>
  </si>
  <si>
    <t>FOAM:FOAM</t>
  </si>
  <si>
    <t>LML:LISK MACHINE LEARNING</t>
  </si>
  <si>
    <t>TEMCO:TEMCO</t>
  </si>
  <si>
    <t>PLAT:BITGUILD PLAT</t>
  </si>
  <si>
    <t>CRO:CRYPTO.COM COIN</t>
  </si>
  <si>
    <t>XDAG:DAGGER</t>
  </si>
  <si>
    <t>ACTN:ACTION COIN</t>
  </si>
  <si>
    <t>AERGO:AERGO</t>
  </si>
  <si>
    <t>SKCH:SKYCHAIN</t>
  </si>
  <si>
    <t>EXO:EXOSIS</t>
  </si>
  <si>
    <t>VDL:VIDULUM</t>
  </si>
  <si>
    <t>PXG:PLAYGAME</t>
  </si>
  <si>
    <t>LPT:LIVEPEER</t>
  </si>
  <si>
    <t>YCE:MYCE</t>
  </si>
  <si>
    <t>ECHT:E-CHAT</t>
  </si>
  <si>
    <t>SNOW:SNOWBLOSSOM</t>
  </si>
  <si>
    <t>HERB:HERBALIST TOKEN</t>
  </si>
  <si>
    <t>BECN:BEACON</t>
  </si>
  <si>
    <t>HMN:HOSTMASTERNODE</t>
  </si>
  <si>
    <t>CNUS:COINUS</t>
  </si>
  <si>
    <t>COVA:COVA</t>
  </si>
  <si>
    <t>TVNT:TRAVELNOTE</t>
  </si>
  <si>
    <t>NPLC:PLUS-COIN</t>
  </si>
  <si>
    <t>XFC:FOOTBALLCOIN</t>
  </si>
  <si>
    <t>BRC:BAER CHAIN</t>
  </si>
  <si>
    <t>HLIX:HELIX</t>
  </si>
  <si>
    <t>UPX:UPLEXA</t>
  </si>
  <si>
    <t>HERC:HERCULES</t>
  </si>
  <si>
    <t>REEX:REECORE</t>
  </si>
  <si>
    <t>FTN:FOUNTAIN</t>
  </si>
  <si>
    <t>BTT:BITTORRENT</t>
  </si>
  <si>
    <t>FET:FETCH</t>
  </si>
  <si>
    <t>USC:USDCOIN</t>
  </si>
  <si>
    <t>HEDG:HEDGETRADE</t>
  </si>
  <si>
    <t>QUIN:QUINADS</t>
  </si>
  <si>
    <t>XPC:EXPERIENCE CHAIN</t>
  </si>
  <si>
    <t>BSH:BITCOIN STASH</t>
  </si>
  <si>
    <t>PRX:PROXYNODE</t>
  </si>
  <si>
    <t>AGVC:AGAVECOIN</t>
  </si>
  <si>
    <t>AWC:ATOMIC WALLET COIN</t>
  </si>
  <si>
    <t>XFG:FANGO</t>
  </si>
  <si>
    <t>SWIPP:SWIPP</t>
  </si>
  <si>
    <t>FXP:FXPAY</t>
  </si>
  <si>
    <t>ULT:ULTILEDGER</t>
  </si>
  <si>
    <t>BTMX:BITMAX TOKEN</t>
  </si>
  <si>
    <t>CENT:CENTERCOIN</t>
  </si>
  <si>
    <t>MOX:MOX</t>
  </si>
  <si>
    <t>CVNT:CONTENT VALUE NETWORK</t>
  </si>
  <si>
    <t>IMGC:IMAGECASH</t>
  </si>
  <si>
    <t>XTA:ITALO</t>
  </si>
  <si>
    <t>TWJ:TRON WEEKLY JOURNAL</t>
  </si>
  <si>
    <t>WIN:TRONWIN</t>
  </si>
  <si>
    <t>DICE:TRONDICE</t>
  </si>
  <si>
    <t>SEDO:SEDO COIN</t>
  </si>
  <si>
    <t>TOK:TOKOK</t>
  </si>
  <si>
    <t>SNTVT:SENTIVATE</t>
  </si>
  <si>
    <t>HYN:HYPERION</t>
  </si>
  <si>
    <t>OKB:OKB</t>
  </si>
  <si>
    <t>TCH:TIGERCASH</t>
  </si>
  <si>
    <t>COF:COFFEECOIN</t>
  </si>
  <si>
    <t>CTX:CENTAURI</t>
  </si>
  <si>
    <t>RIF:RIF TOKEN</t>
  </si>
  <si>
    <t>BF:BITFOREX</t>
  </si>
  <si>
    <t>CNET:CURRENCY NETWORK</t>
  </si>
  <si>
    <t>HAZ:HAZZA</t>
  </si>
  <si>
    <t>DICE:BETDICE</t>
  </si>
  <si>
    <t>BTP:BITCOIN PAY</t>
  </si>
  <si>
    <t>HPT:HUOBI POOL TOKEN</t>
  </si>
  <si>
    <t>BGC:BAGCOIN</t>
  </si>
  <si>
    <t>EOSC:EOSFORCE</t>
  </si>
  <si>
    <t>HTB:HOTBIT TOKEN</t>
  </si>
  <si>
    <t>S4F:S4FE</t>
  </si>
  <si>
    <t>FCC:FILECASH</t>
  </si>
  <si>
    <t>NOVA:NOVA</t>
  </si>
  <si>
    <t>TOPB:TOPBTC TOKEN</t>
  </si>
  <si>
    <t>TOSC:T.OS</t>
  </si>
  <si>
    <t>TAVITT:TAVITTCOIN</t>
  </si>
  <si>
    <t>BTH:BITCOIN HOT</t>
  </si>
  <si>
    <t>TCH:TCHAIN</t>
  </si>
  <si>
    <t>FML:FORMULA</t>
  </si>
  <si>
    <t>BXC:BONUSCLOUD</t>
  </si>
  <si>
    <t>NGOT:NGOT</t>
  </si>
  <si>
    <t>KREX:KRONN</t>
  </si>
  <si>
    <t>KIZ:KIZUNACOIN</t>
  </si>
  <si>
    <t>SPG:SUPER GOLD</t>
  </si>
  <si>
    <t>BRC:BRYLLITE</t>
  </si>
  <si>
    <t>PORTAL:PORTAL</t>
  </si>
  <si>
    <t>LOCUS:LOCUS CHAIN</t>
  </si>
  <si>
    <t>1X2:1X2 COIN</t>
  </si>
  <si>
    <t>RCCC:RCCC</t>
  </si>
  <si>
    <t>PNC:PARALLEL NETWORK</t>
  </si>
  <si>
    <t>OSCH:OPEN SOURCE CHAIN</t>
  </si>
  <si>
    <t>VNT:VNTCHAIN</t>
  </si>
  <si>
    <t>SBTC:SIAMBITCOIN</t>
  </si>
  <si>
    <t>VKT:VANKIA CHAIN</t>
  </si>
  <si>
    <t>GXI:GENEXI</t>
  </si>
  <si>
    <t>POK:POKER.IO</t>
  </si>
  <si>
    <t>ZCC:ZCCOIN</t>
  </si>
  <si>
    <t>MUSK:MUSK</t>
  </si>
  <si>
    <t>MIN:MINDOL</t>
  </si>
  <si>
    <t>TCASH:TCASH</t>
  </si>
  <si>
    <t>SAFE:SAFE</t>
  </si>
  <si>
    <t>PLTC:PLATONCOIN</t>
  </si>
  <si>
    <t>ZAIF:ZAIF TOKEN</t>
  </si>
  <si>
    <t>GOOC:GOOCOIN</t>
  </si>
  <si>
    <t>BDX:BELDEX</t>
  </si>
  <si>
    <t>FGC:FOUNDGAME</t>
  </si>
  <si>
    <t>ZPAY:ZANTEPAY</t>
  </si>
  <si>
    <t>LOTO:LOTOBLOCK</t>
  </si>
  <si>
    <t>DKYC:DATAKYC</t>
  </si>
  <si>
    <t>FUND:FUNDCHAINS</t>
  </si>
  <si>
    <t>SHA:SAFE HAVEN</t>
  </si>
  <si>
    <t>CTC:CULTURE TICKET CHAIN</t>
  </si>
  <si>
    <t>UL:USELINK CHAIN</t>
  </si>
  <si>
    <t>ZEON:ZEON NETWORK</t>
  </si>
  <si>
    <t>NEAL:COINEAL TOKEN</t>
  </si>
  <si>
    <t>CAJ:CAJUTEL</t>
  </si>
  <si>
    <t>ESBC:E-SPORT BETTING COIN</t>
  </si>
  <si>
    <t>ETNX:ELECTRONERO</t>
  </si>
  <si>
    <t>EUBC:EUB CHAIN</t>
  </si>
  <si>
    <t>BHD:BITCOIN HD</t>
  </si>
  <si>
    <t>PLG:PLUG</t>
  </si>
  <si>
    <t>GEX:GLOBEX</t>
  </si>
  <si>
    <t>SCC:SOFTCHAIN</t>
  </si>
  <si>
    <t>SWL:SWIFTLANCE</t>
  </si>
  <si>
    <t>WEBN:WEBN</t>
  </si>
  <si>
    <t>ARQ:ARQMA</t>
  </si>
  <si>
    <t>FEX:FIDEX EXCHANGE</t>
  </si>
  <si>
    <t>DCNT:DECENTURION</t>
  </si>
  <si>
    <t>GMCI:GAME CITY</t>
  </si>
  <si>
    <t>TCNX:TERCET NETWORK</t>
  </si>
  <si>
    <t>SFCP:SF CAPITAL</t>
  </si>
  <si>
    <t>SILK:SILKCHAIN</t>
  </si>
  <si>
    <t>DSC:DREAMSCAPE</t>
  </si>
  <si>
    <t>MRC:MERITCOINS</t>
  </si>
  <si>
    <t>KEC:KEYCO</t>
  </si>
  <si>
    <t>XUEZ:XUEZ COIN</t>
  </si>
  <si>
    <t>CHG:CHARG COIN</t>
  </si>
  <si>
    <t>EXPO:EXPO TOKEN</t>
  </si>
  <si>
    <t>YLD:YIELD COIN</t>
  </si>
  <si>
    <t>BTRL:BITCOINREGULAR</t>
  </si>
  <si>
    <t>DTX:DIGITAL TICKS</t>
  </si>
  <si>
    <t>CLC:CALURACOIN</t>
  </si>
  <si>
    <t>BST:BITSTEN TOKEN</t>
  </si>
  <si>
    <t>BCHIP:BLUECHIPS TOKEN</t>
  </si>
  <si>
    <t>TRAD:TRADCOIN</t>
  </si>
  <si>
    <t>REOSC:REOSC ECOSYSTEM</t>
  </si>
  <si>
    <t>FSCC:FISCO</t>
  </si>
  <si>
    <t>AFRO:AFRO</t>
  </si>
  <si>
    <t>TRAT:TRATOK</t>
  </si>
  <si>
    <t>PHL:PLACEH</t>
  </si>
  <si>
    <t>XNB:XEONBIT</t>
  </si>
  <si>
    <t>ETGP:ETHEREUM GOLD PROJECT</t>
  </si>
  <si>
    <t>TLC:TL COIN</t>
  </si>
  <si>
    <t>VXV:VECTORSPACE AI</t>
  </si>
  <si>
    <t>KMC:KOUMEI</t>
  </si>
  <si>
    <t>BEAM:BEAM</t>
  </si>
  <si>
    <t>CRV:CROWDVILLA OWNERSHIP</t>
  </si>
  <si>
    <t>ADM:ADAMANT MESSENGER</t>
  </si>
  <si>
    <t>GRIN:GRIN</t>
  </si>
  <si>
    <t>XBX:BITEX</t>
  </si>
  <si>
    <t>SFX:SAFEX CASH</t>
  </si>
  <si>
    <t>SFT:SAFEX TOKEN</t>
  </si>
  <si>
    <t>LUNES:LUNES</t>
  </si>
  <si>
    <t>ADS:ADSHARES</t>
  </si>
  <si>
    <t>BST:BLOCKSTAMP</t>
  </si>
  <si>
    <t>DEEP:DEEPCLOUD AI</t>
  </si>
  <si>
    <t>OROX:COINTOROX</t>
  </si>
  <si>
    <t>VARIUS:VARIUS</t>
  </si>
  <si>
    <t>ZOC:01COIN</t>
  </si>
  <si>
    <t>WBTC:WRAPPED BITCOIN</t>
  </si>
  <si>
    <t>NOBT:NOBT</t>
  </si>
  <si>
    <t>SOLVE:SOLVE</t>
  </si>
  <si>
    <t>USDS:STABLEUSD</t>
  </si>
  <si>
    <t>DT3:DREAMTEAM3</t>
  </si>
  <si>
    <t>NTM:NETM</t>
  </si>
  <si>
    <t>BCASH:BANKCOIN</t>
  </si>
  <si>
    <t>MYMN:MYMN COIN</t>
  </si>
  <si>
    <t>PLA:PLAYCHIP</t>
  </si>
  <si>
    <t>BTU:BTU PROTOCOL</t>
  </si>
  <si>
    <t>IMG:IMAGECOIN</t>
  </si>
  <si>
    <t>POS:PROOF OF STAKE COIN</t>
  </si>
  <si>
    <t>FLC:FLOWCHAIN</t>
  </si>
  <si>
    <t>QUSD:QUSD</t>
  </si>
  <si>
    <t>VEIL:VEIL</t>
  </si>
  <si>
    <t>RUNES:RUNEBASE</t>
  </si>
  <si>
    <t>BAN:BANANO</t>
  </si>
  <si>
    <t>XSPC:SPECTRE SECURITY COIN</t>
  </si>
  <si>
    <t>HXRO:HXRO</t>
  </si>
  <si>
    <t>RAT:RATCOIN</t>
  </si>
  <si>
    <t>LOT5:LUKKI OPERATING TOKEN</t>
  </si>
  <si>
    <t>LST4:LUCK STAR</t>
  </si>
  <si>
    <t>LTE2:LTECHAIN</t>
  </si>
  <si>
    <t>LTFN:LITECOIN FINANCE</t>
  </si>
  <si>
    <t>LTK2:LINKTOKEN</t>
  </si>
  <si>
    <t>LUME:LUMEOS</t>
  </si>
  <si>
    <t>LUX2:LUXTRADE</t>
  </si>
  <si>
    <t>LVE3:LVE COIN</t>
  </si>
  <si>
    <t>LVL2:LEVELAPP</t>
  </si>
  <si>
    <t>LXMT:LUXURIUM</t>
  </si>
  <si>
    <t>LYTX:LYTIX</t>
  </si>
  <si>
    <t>MACH:MACH</t>
  </si>
  <si>
    <t>MAG2:MAGGIE</t>
  </si>
  <si>
    <t>MAI2:MAKE AI CHAIN</t>
  </si>
  <si>
    <t>MAP2:MARCOPOLO</t>
  </si>
  <si>
    <t>MARC:MARKET ARBITRAGE COIN</t>
  </si>
  <si>
    <t>MASP:MARKET.SPACE</t>
  </si>
  <si>
    <t>MATH:MATH WALLET</t>
  </si>
  <si>
    <t>MBMT:MESSENGERBANK METALS TOKEN</t>
  </si>
  <si>
    <t>MDAB:BLOC PLATFORM</t>
  </si>
  <si>
    <t>MDL2:MEDALLION</t>
  </si>
  <si>
    <t>METC:METALTECH</t>
  </si>
  <si>
    <t>MFTU:MAINSTREAM FOR THE UNDERGROUND</t>
  </si>
  <si>
    <t>MGC2:MAGNACHAIN</t>
  </si>
  <si>
    <t>MGC3:MAYANMAR GOLD COIN</t>
  </si>
  <si>
    <t>MGC4:MGC TOKEN</t>
  </si>
  <si>
    <t>MIAC:MIACOIN</t>
  </si>
  <si>
    <t>MINX:INNOVAMINEX</t>
  </si>
  <si>
    <t>MIRO:MIROCANA</t>
  </si>
  <si>
    <t>MIT2:MINERTA</t>
  </si>
  <si>
    <t>MKEY:MEDIKEY</t>
  </si>
  <si>
    <t>MKT3:MEIMEI TOKEN</t>
  </si>
  <si>
    <t>MKT4:MARKETINO</t>
  </si>
  <si>
    <t>MLGC:MARSHAL LION GROUP COIN</t>
  </si>
  <si>
    <t>MLT2:MOLOTTOKEN</t>
  </si>
  <si>
    <t>MMT3:MASTER MIX</t>
  </si>
  <si>
    <t>MNBC:MASTERNODE BROWSING COIN</t>
  </si>
  <si>
    <t>MNR2:MNOER</t>
  </si>
  <si>
    <t>MNZ2:MONETIZE COIN</t>
  </si>
  <si>
    <t>MOAB:MOAB</t>
  </si>
  <si>
    <t>MODL:MODULE</t>
  </si>
  <si>
    <t>MOGX:MOGU</t>
  </si>
  <si>
    <t>MON2:MONEYBYTE</t>
  </si>
  <si>
    <t>MRC2:MERITCOINS</t>
  </si>
  <si>
    <t>MTA2:METIAI</t>
  </si>
  <si>
    <t>MTCN:MULTICOIN</t>
  </si>
  <si>
    <t>MTT2:MEET TOKEN</t>
  </si>
  <si>
    <t>MUSD:MASTER USD</t>
  </si>
  <si>
    <t>MXC2:MONEXCOIN</t>
  </si>
  <si>
    <t>NCC2:NEEDSCOIN</t>
  </si>
  <si>
    <t>NEOG:NEO GOLD</t>
  </si>
  <si>
    <t>NHCT:NANOHEALTHCARE TOKEN</t>
  </si>
  <si>
    <t>NIRX:NAIRAX</t>
  </si>
  <si>
    <t>NMT2:NEW MEDIA TECHNOLOGY</t>
  </si>
  <si>
    <t>NNC2:NEO NAME CREDIT</t>
  </si>
  <si>
    <t>NOIZ:NOIZ</t>
  </si>
  <si>
    <t>NPC2:NPCCOIN</t>
  </si>
  <si>
    <t>NTS2:NERTHUS</t>
  </si>
  <si>
    <t>NUKE:HALF LIFE</t>
  </si>
  <si>
    <t>OAOT:OAOT</t>
  </si>
  <si>
    <t>OATH:OATH PROTOCOL</t>
  </si>
  <si>
    <t>OBIC:OBIC COIN</t>
  </si>
  <si>
    <t>OBX2:OOOBTC TOKEN</t>
  </si>
  <si>
    <t>OCUL:OCULOR</t>
  </si>
  <si>
    <t>ODC2:OVERSEAS DIRECT CERTIFICATION</t>
  </si>
  <si>
    <t>ODEX:ONEDEXPROJECT</t>
  </si>
  <si>
    <t>OHC2:OHWE</t>
  </si>
  <si>
    <t>OMEN:OMENCOIN</t>
  </si>
  <si>
    <t>ONE3:BIGONE</t>
  </si>
  <si>
    <t>ONEX:ONEEXBIT</t>
  </si>
  <si>
    <t>ONOT:ONO</t>
  </si>
  <si>
    <t>OPES:OPESCOIN</t>
  </si>
  <si>
    <t>OPTI:OPTITOKEN</t>
  </si>
  <si>
    <t>ORC3:ORACLEG</t>
  </si>
  <si>
    <t>ORGT:ORGANIC TOKEN</t>
  </si>
  <si>
    <t>OROM:OROM TOKEN</t>
  </si>
  <si>
    <t>ORS2:ORS GROUP</t>
  </si>
  <si>
    <t>OXY2:CRYPTOXYGEN</t>
  </si>
  <si>
    <t>P2P2:P2P COIN</t>
  </si>
  <si>
    <t>PAN2:PANDLA</t>
  </si>
  <si>
    <t>PATH:PATH.NETWORK</t>
  </si>
  <si>
    <t>PAWS:PAWS FUND</t>
  </si>
  <si>
    <t>PAY3:PAYACCEPT</t>
  </si>
  <si>
    <t>PBC2:PROFITBASE</t>
  </si>
  <si>
    <t>PCT2:PERKSCOIN</t>
  </si>
  <si>
    <t>PDG2:PRIVATE DATAGRAM</t>
  </si>
  <si>
    <t>PEC2:POVERTY ERADICATION COIN</t>
  </si>
  <si>
    <t>PESO:PESOTOKEN</t>
  </si>
  <si>
    <t>PHT3:PHONEUM</t>
  </si>
  <si>
    <t>PIPS:PIPSCHAIN</t>
  </si>
  <si>
    <t>PITC:PIETA</t>
  </si>
  <si>
    <t>PLG2:PLUG</t>
  </si>
  <si>
    <t>PMC2:PRIMEBANK COIN</t>
  </si>
  <si>
    <t>PNC2:PARALLEL NETWORK</t>
  </si>
  <si>
    <t>PNDM:PANDEMIA</t>
  </si>
  <si>
    <t>POCC:POC CHAIN</t>
  </si>
  <si>
    <t>POK2:POKER</t>
  </si>
  <si>
    <t>POKE:POKECOIN</t>
  </si>
  <si>
    <t>PONG:PONG CHAIN</t>
  </si>
  <si>
    <t>PPS2:PROPHET SET</t>
  </si>
  <si>
    <t>PPT7:PROMETEO PROJECT</t>
  </si>
  <si>
    <t>PRC2:PRODUCTION CHAIN</t>
  </si>
  <si>
    <t>PRDC:PREMIUM DIGI COIN</t>
  </si>
  <si>
    <t>PROQ:QUARTERIA</t>
  </si>
  <si>
    <t>PROT:PROT</t>
  </si>
  <si>
    <t>PRT2:PALACE RESIDENCE</t>
  </si>
  <si>
    <t>PXC2:PIXIE COIN</t>
  </si>
  <si>
    <t>PXP2:PAX PAGO</t>
  </si>
  <si>
    <t>PYC2:PRIVACY CHAIN</t>
  </si>
  <si>
    <t>QDAO:QDAO DEFI</t>
  </si>
  <si>
    <t>QIPC:QCHI INTERNATIONAL PASS CERTIFICATE</t>
  </si>
  <si>
    <t>QST2:QUAESTOR</t>
  </si>
  <si>
    <t>QST3:NUCLEAR CHAIN</t>
  </si>
  <si>
    <t>QUBE:QUBE</t>
  </si>
  <si>
    <t>QUOT:QUOTATION PROJECTS</t>
  </si>
  <si>
    <t>RBC2:ROBBOCOACH</t>
  </si>
  <si>
    <t>RBZ2:RAINBOW ZONE</t>
  </si>
  <si>
    <t>RCSN:RECESSIONCOIN</t>
  </si>
  <si>
    <t>READ:READ</t>
  </si>
  <si>
    <t>REDI:REDI</t>
  </si>
  <si>
    <t>REG2:REG</t>
  </si>
  <si>
    <t>REGI:REGIUM</t>
  </si>
  <si>
    <t>RENT:RENTAPP</t>
  </si>
  <si>
    <t>RES2:RENEWABLE ENERGY SAVING</t>
  </si>
  <si>
    <t>RESC:CRYPTO RESCUE COIN</t>
  </si>
  <si>
    <t>REVU:REVU</t>
  </si>
  <si>
    <t>REY2:REYNA2</t>
  </si>
  <si>
    <t>RKT2:ROCKET FUND</t>
  </si>
  <si>
    <t>RMC2:RUSSIAN MINER COIN</t>
  </si>
  <si>
    <t>RMOB:REWARD MOB</t>
  </si>
  <si>
    <t>ROAR:ROAR</t>
  </si>
  <si>
    <t>ROCO:ROIYAL COIN</t>
  </si>
  <si>
    <t>RRC2:RRSPACE</t>
  </si>
  <si>
    <t>RSC2:RESOURCE COIN</t>
  </si>
  <si>
    <t>SAM2:SIX FARM</t>
  </si>
  <si>
    <t>SANC:SANCOJ</t>
  </si>
  <si>
    <t>SAON:SAON</t>
  </si>
  <si>
    <t>SBE2:SOMBE</t>
  </si>
  <si>
    <t>SCH2:SCHILLING COIN</t>
  </si>
  <si>
    <t>SCPT:SCEPTERCASH</t>
  </si>
  <si>
    <t>SCRT:SECRET</t>
  </si>
  <si>
    <t>SCT2:SPACECOIN TOKEN</t>
  </si>
  <si>
    <t>SEA2:SECOND EXCHANGE ALLIANCE</t>
  </si>
  <si>
    <t>SEC2:SECURED NOTES</t>
  </si>
  <si>
    <t>SEC3:SOCIAL ECOMMERCE CHAIN</t>
  </si>
  <si>
    <t>SEL2:SELENCOIN</t>
  </si>
  <si>
    <t>SEL3:STEMC</t>
  </si>
  <si>
    <t>SGC3:SECURED GOLD COIN</t>
  </si>
  <si>
    <t>SHE2:STERNIUM HUGE ELLIGENCE COIN</t>
  </si>
  <si>
    <t>SHEL:SHELTERDAO</t>
  </si>
  <si>
    <t>SHOP:SHOPIN</t>
  </si>
  <si>
    <t>SHOW:SHOW</t>
  </si>
  <si>
    <t>SIDT:SHARE INTERNET DATA</t>
  </si>
  <si>
    <t>SISA:SISA</t>
  </si>
  <si>
    <t>SJCX:STORJCOIN X</t>
  </si>
  <si>
    <t>SKYM:SOAR</t>
  </si>
  <si>
    <t>SLC2:SLICECOIN</t>
  </si>
  <si>
    <t>SLC3:SOLLIDACOIN</t>
  </si>
  <si>
    <t>SLRM:SOLAREUM</t>
  </si>
  <si>
    <t>SMT5:SUN MONEY TOKEN</t>
  </si>
  <si>
    <t>SNIP:SNIPCOIN</t>
  </si>
  <si>
    <t>SPDX:SPENDER-X</t>
  </si>
  <si>
    <t>SPES:SPESCOIN</t>
  </si>
  <si>
    <t>SPKZ:SPOKKZ</t>
  </si>
  <si>
    <t>SPO2:SPONB</t>
  </si>
  <si>
    <t>SPRK:SPARKSTER</t>
  </si>
  <si>
    <t>SPX3:SPORTSPLEX</t>
  </si>
  <si>
    <t>STB2:STB CHAIN</t>
  </si>
  <si>
    <t>STB3:STARBLOCK</t>
  </si>
  <si>
    <t>STE2:SATELLITE COIN</t>
  </si>
  <si>
    <t>STM2:STIM</t>
  </si>
  <si>
    <t>STOR:SELF STORAGE COIN</t>
  </si>
  <si>
    <t>STRS:STARS TOKEN</t>
  </si>
  <si>
    <t>STS2:STATIONCOIN</t>
  </si>
  <si>
    <t>SUN1:SUN COIN</t>
  </si>
  <si>
    <t>SUN2:SUNNYCOIN</t>
  </si>
  <si>
    <t>SUT2:SUM TOKEN</t>
  </si>
  <si>
    <t>SVT2:SVT CHAIN</t>
  </si>
  <si>
    <t>SWAP:SWAPS.NETWORK</t>
  </si>
  <si>
    <t>SWAT:SWTCOIN</t>
  </si>
  <si>
    <t>SXBT:SOCIALXBOUNTY</t>
  </si>
  <si>
    <t>SYNC:SYNC NETWORK</t>
  </si>
  <si>
    <t>TAGZ:TAGZ</t>
  </si>
  <si>
    <t>TARM:ARMTOKEN</t>
  </si>
  <si>
    <t>TAT2:LEBLOCK</t>
  </si>
  <si>
    <t>TAT3:TRACKANT</t>
  </si>
  <si>
    <t>TAUC:TAURUS COIN</t>
  </si>
  <si>
    <t>TBC2:THUNDERBOLTCOIN</t>
  </si>
  <si>
    <t>TBOX:CRYPTO TOOLBOX</t>
  </si>
  <si>
    <t>TCAT:THE CURRENCY ANALYTICS</t>
  </si>
  <si>
    <t>TCH5:TEACHER COIN</t>
  </si>
  <si>
    <t>TCH6:TCHAIN</t>
  </si>
  <si>
    <t>TCS2:TCS TOKEN</t>
  </si>
  <si>
    <t>TEAC:TEA CHAIN</t>
  </si>
  <si>
    <t>TEAM:TEAMUP</t>
  </si>
  <si>
    <t>TECN:TECCOIN</t>
  </si>
  <si>
    <t>TED3:TOKEN ECONOMY DOIN</t>
  </si>
  <si>
    <t>TELL:TELLURION</t>
  </si>
  <si>
    <t>TENX:TENX TOKEN</t>
  </si>
  <si>
    <t>TEO2:TRUSTETH REORIGIN</t>
  </si>
  <si>
    <t>TFC2:THEFREEDOMCOIN</t>
  </si>
  <si>
    <t>TFC3:TREASURE FINANCIAL COIN</t>
  </si>
  <si>
    <t>TFC4:TRANSFERCOIN</t>
  </si>
  <si>
    <t>TFT2:THREEFOLD NETWORK</t>
  </si>
  <si>
    <t>TGBP:TRUE GBP</t>
  </si>
  <si>
    <t>TGCO:THALER GROUP COMPANY</t>
  </si>
  <si>
    <t>TICO:TOPINVESTMENTCOIN</t>
  </si>
  <si>
    <t>TLS2:TELLUS</t>
  </si>
  <si>
    <t>TMNK:TRADEMONK</t>
  </si>
  <si>
    <t>TNX2:TRONEXT</t>
  </si>
  <si>
    <t>TOK3:TOKUGAWA</t>
  </si>
  <si>
    <t>TON2:TOMAINFO</t>
  </si>
  <si>
    <t>TOOL:CRYPTOOL</t>
  </si>
  <si>
    <t>TORI:STORICHAIN</t>
  </si>
  <si>
    <t>TOS2:THINGSOPREATINGSYSTEM</t>
  </si>
  <si>
    <t>TRC6:TRADER CASH</t>
  </si>
  <si>
    <t>TRET:TOURIST REVIEW TOKEN</t>
  </si>
  <si>
    <t>TRN2:TREELION</t>
  </si>
  <si>
    <t>TROY:TROY</t>
  </si>
  <si>
    <t>TRT2:THE RENTALS TOKEN</t>
  </si>
  <si>
    <t>TSC3:TIME SPACE CHAIN</t>
  </si>
  <si>
    <t>TTC4:TREXTOKENCLASSIC</t>
  </si>
  <si>
    <t>TUBI:TUBI</t>
  </si>
  <si>
    <t>TUDA:TUTOR'S DIARY</t>
  </si>
  <si>
    <t>TVT2:TVT TOKENS</t>
  </si>
  <si>
    <t>TXT2:TUNETRADE</t>
  </si>
  <si>
    <t>TXTE:TREXEXCHANGE TOKEN</t>
  </si>
  <si>
    <t>UBIT:UBIT CASH</t>
  </si>
  <si>
    <t>UCBI:UCBI BANKING</t>
  </si>
  <si>
    <t>UNI3:UNI COIN</t>
  </si>
  <si>
    <t>UNIS:UNIVERSE COIN</t>
  </si>
  <si>
    <t>UNRC:UNIVERSALROYALCOIN</t>
  </si>
  <si>
    <t>UPX2:UDAP</t>
  </si>
  <si>
    <t>URUN:U RUN IT</t>
  </si>
  <si>
    <t>USC2:USDCOIN</t>
  </si>
  <si>
    <t>USDA:USDA</t>
  </si>
  <si>
    <t>UST2:ULTRA SALESCLOUD</t>
  </si>
  <si>
    <t>UTD2:UNITED TOKEN DOLLARS</t>
  </si>
  <si>
    <t>VAIP:VEHICLE DATA ARTIFICIAL INTELLIGENCE PLATFORM</t>
  </si>
  <si>
    <t>VCCO:VERA CRUZ COIN</t>
  </si>
  <si>
    <t>VEDX:VEDX TOKEN</t>
  </si>
  <si>
    <t>VELO:VELO</t>
  </si>
  <si>
    <t>VELT:VELIC</t>
  </si>
  <si>
    <t>VENA:VENA NETWORK</t>
  </si>
  <si>
    <t>VERA:VERA</t>
  </si>
  <si>
    <t>VERS:VERSESS COIN</t>
  </si>
  <si>
    <t>VICE:VICE</t>
  </si>
  <si>
    <t>VLX3:VALLIX</t>
  </si>
  <si>
    <t>VMC2:V-MEMBERS COIN</t>
  </si>
  <si>
    <t>WIN:WINK</t>
  </si>
  <si>
    <t>AUDAX:AUDAX</t>
  </si>
  <si>
    <t>BTR:BITRUE COIN</t>
  </si>
  <si>
    <t>LUNA:LUNA</t>
  </si>
  <si>
    <t>DYNMT:DYNAMITE</t>
  </si>
  <si>
    <t>DAPPT:DAPP TOKEN</t>
  </si>
  <si>
    <t>DDK:DDKOIN</t>
  </si>
  <si>
    <t>USDK:USDK</t>
  </si>
  <si>
    <t>NAH:STRAYACOIN</t>
  </si>
  <si>
    <t>ICASH:ICASH</t>
  </si>
  <si>
    <t>FTT:FTX TOKEN</t>
  </si>
  <si>
    <t>PCX:CHAINX</t>
  </si>
  <si>
    <t>OPNN:OPENNITY</t>
  </si>
  <si>
    <t>SWACE:SWACE</t>
  </si>
  <si>
    <t>BOA:BOSAGORA</t>
  </si>
  <si>
    <t>1UP:UPTRENND</t>
  </si>
  <si>
    <t>YEC:YCASH</t>
  </si>
  <si>
    <t>MCASH:MCASHCHAIN</t>
  </si>
  <si>
    <t>LOL:EMOGI NETWORK</t>
  </si>
  <si>
    <t>YTA:YOTTACHAIN</t>
  </si>
  <si>
    <t>CPU:CPUCHAIN</t>
  </si>
  <si>
    <t>UGD:UNIGRID</t>
  </si>
  <si>
    <t>TGN:TERRAGREEN</t>
  </si>
  <si>
    <t>LMY:LUNCH MONEY</t>
  </si>
  <si>
    <t>BCNA:BITCANNA</t>
  </si>
  <si>
    <t>ZUC:ZEUXCOIN</t>
  </si>
  <si>
    <t>HINT:HINTCHAIN</t>
  </si>
  <si>
    <t>EGG:NESTREE</t>
  </si>
  <si>
    <t>FRM:FERRUM NETWORK</t>
  </si>
  <si>
    <t>CHI:XAYA</t>
  </si>
  <si>
    <t>NYE:NEWYORK EXCHANGE</t>
  </si>
  <si>
    <t>KICKS:SESSIA</t>
  </si>
  <si>
    <t>WBBC:WIBCOIN</t>
  </si>
  <si>
    <t>TOKO:TOKOIN</t>
  </si>
  <si>
    <t>DEFI:DEFI</t>
  </si>
  <si>
    <t>MNG:MANGOCOIN</t>
  </si>
  <si>
    <t>PLG:PLEDGE COIN</t>
  </si>
  <si>
    <t>GT:GATECHAIN TOKEN</t>
  </si>
  <si>
    <t>PERL:PERLINX</t>
  </si>
  <si>
    <t>SXP:SWIPE</t>
  </si>
  <si>
    <t>BHT:BHEX TOKEN</t>
  </si>
  <si>
    <t>TSHP:12SHIPS</t>
  </si>
  <si>
    <t>KGC:KRYPTON GALAXY COIN</t>
  </si>
  <si>
    <t>DAB:DABANKING</t>
  </si>
  <si>
    <t>VID:VIDEOCOIN</t>
  </si>
  <si>
    <t>PLA:PLANET</t>
  </si>
  <si>
    <t>FO:FIBOS</t>
  </si>
  <si>
    <t>FXS:FREIXSHARES</t>
  </si>
  <si>
    <t>NODE:WHOLE NETWORK</t>
  </si>
  <si>
    <t>SEAL:SEALCHAIN</t>
  </si>
  <si>
    <t>YO:YOBIT TOKEN</t>
  </si>
  <si>
    <t>TAN:TAKLIMAKAN NETWORK</t>
  </si>
  <si>
    <t>CBM:CRYPTOBONUSMILES</t>
  </si>
  <si>
    <t>BDP:BIDIPASS</t>
  </si>
  <si>
    <t>BAND:BAND PROTOCOL</t>
  </si>
  <si>
    <t>NBX:NETBOX COIN</t>
  </si>
  <si>
    <t>MB:MINEBEE</t>
  </si>
  <si>
    <t>WAC:WARRANTY CHAIN</t>
  </si>
  <si>
    <t>DSLA:DSLA PROTOCOL</t>
  </si>
  <si>
    <t>EMRX:EMIREX TOKEN</t>
  </si>
  <si>
    <t>AMIO:AMINO NETWORK</t>
  </si>
  <si>
    <t>BARE:BARE</t>
  </si>
  <si>
    <t>DVP:DECENTRALIZED VULNERABILITY PLATFORM</t>
  </si>
  <si>
    <t>XDB:DIGITALBITS</t>
  </si>
  <si>
    <t>SPICE:SPICE</t>
  </si>
  <si>
    <t>PROB:PROBIT TOKEN</t>
  </si>
  <si>
    <t>GOM:GOMICS</t>
  </si>
  <si>
    <t>QQQ:POSEIDON NETWORK</t>
  </si>
  <si>
    <t>FDR:FRENCH DIGITAL RESERVE</t>
  </si>
  <si>
    <t>WEC:WAVE EDU COIN</t>
  </si>
  <si>
    <t>SBE:SOMBE</t>
  </si>
  <si>
    <t>HBAR:HEDERA HASHGRAPH</t>
  </si>
  <si>
    <t>CREX:CREX TOKEN</t>
  </si>
  <si>
    <t>SOVE:SOVERAIN</t>
  </si>
  <si>
    <t>ROOBEE:ROOBEE</t>
  </si>
  <si>
    <t>BEFX:BELIFEX</t>
  </si>
  <si>
    <t>ZOD:KRYPTON</t>
  </si>
  <si>
    <t>TLOS:TELOS</t>
  </si>
  <si>
    <t>MEXC:MEXC TOKEN</t>
  </si>
  <si>
    <t>BUSD:BINANCE USD</t>
  </si>
  <si>
    <t>FYD:FYDCOIN</t>
  </si>
  <si>
    <t>EMRALS:EMRALS</t>
  </si>
  <si>
    <t>SORA:SORACHANCOIN</t>
  </si>
  <si>
    <t>TFB:TRUEFEEDBACK</t>
  </si>
  <si>
    <t>PAXG:PAX GOLD</t>
  </si>
  <si>
    <t>PVP:PLAYERVSPLAYERCOIN</t>
  </si>
  <si>
    <t>NEXXO:NEXXO</t>
  </si>
  <si>
    <t>XLAB:XCELTOKEN PLUS</t>
  </si>
  <si>
    <t>VTX:VOLENTIX</t>
  </si>
  <si>
    <t>BCS:BUSINESS CREDIT SUBSTITUTE</t>
  </si>
  <si>
    <t>XRD:RAVEN DARK</t>
  </si>
  <si>
    <t>VLX:VELAS</t>
  </si>
  <si>
    <t>MON:MONEYBYTE</t>
  </si>
  <si>
    <t>CLR:COLOR PLATFORM</t>
  </si>
  <si>
    <t>TEP:TEPLETON</t>
  </si>
  <si>
    <t>BARIN:BARIN</t>
  </si>
  <si>
    <t>SPAZ:SWAPCOINZ</t>
  </si>
  <si>
    <t>HUSD:HUSD</t>
  </si>
  <si>
    <t>BCCX:BCCXGENESIS</t>
  </si>
  <si>
    <t>KAVA:KAVA</t>
  </si>
  <si>
    <t>BEST:BITPANDA ECOSYSTEM TOKEN</t>
  </si>
  <si>
    <t>BAB:BASECOIN</t>
  </si>
  <si>
    <t>CTSC:CRYPTO TRADING SOLUTIONS COIN</t>
  </si>
  <si>
    <t>2X2:2X2</t>
  </si>
  <si>
    <t>CHEX:CHINTAI</t>
  </si>
  <si>
    <t>KDA:KADENA</t>
  </si>
  <si>
    <t>CBC:CRYPTO BOSS COIN</t>
  </si>
  <si>
    <t>BTRS:BITBALL TREASURE</t>
  </si>
  <si>
    <t>BYND:BEYONDCOIN</t>
  </si>
  <si>
    <t>NII:NII</t>
  </si>
  <si>
    <t>AXAI:AXAI</t>
  </si>
  <si>
    <t>BCP:BITCOIN PLATINUMS</t>
  </si>
  <si>
    <t>BTZC:BEATZCOIN</t>
  </si>
  <si>
    <t>DMME:DMME</t>
  </si>
  <si>
    <t>CDL:COINDEAL TOKEN</t>
  </si>
  <si>
    <t>EPC:EPCOIN</t>
  </si>
  <si>
    <t>JKCOIN:JACEK KOŁODZIEJCZAK TOKEN</t>
  </si>
  <si>
    <t>RES:RESFINEX TOKEN</t>
  </si>
  <si>
    <t>ARCG:ARCH CRYPTON GAME</t>
  </si>
  <si>
    <t>CLG:COLLEGICOIN</t>
  </si>
  <si>
    <t>CKB:NERVOS NETWORK</t>
  </si>
  <si>
    <t>CLX:CELEUM</t>
  </si>
  <si>
    <t>POD:PAYMENT COIN</t>
  </si>
  <si>
    <t>PWC:PAWCOIN</t>
  </si>
  <si>
    <t>BIP:MINTER</t>
  </si>
  <si>
    <t>SPL:SIMPLICITY</t>
  </si>
  <si>
    <t>CODEO:CODEO TOKEN</t>
  </si>
  <si>
    <t>FORFUN:FORFUN</t>
  </si>
  <si>
    <t>GRIMM:GRIMM</t>
  </si>
  <si>
    <t>KEMA:KEMACOIN</t>
  </si>
  <si>
    <t>CUT:CUTCOIN</t>
  </si>
  <si>
    <t>CVA:CRYPTO VILLAGE ACCELERATOR</t>
  </si>
  <si>
    <t>SUGAR:SUGARCHAIN</t>
  </si>
  <si>
    <t>CCY:CCY</t>
  </si>
  <si>
    <t>TRB:TELLOR</t>
  </si>
  <si>
    <t>MMT:MAMO COIN</t>
  </si>
  <si>
    <t>HEX:HEX</t>
  </si>
  <si>
    <t>CNTX:CENTEX</t>
  </si>
  <si>
    <t>JADE:JADE CURRENCY</t>
  </si>
  <si>
    <t>BTCT:BITCOIN TOKEN</t>
  </si>
  <si>
    <t>DMS:DOCUMENTCHAIN</t>
  </si>
  <si>
    <t>GGC:GLOBAL GAME COIN</t>
  </si>
  <si>
    <t>GNTO:GOLDENUGGET</t>
  </si>
  <si>
    <t>MW:MASTERWIN</t>
  </si>
  <si>
    <t>UVU:CCUNIVERSE</t>
  </si>
  <si>
    <t>IPX:TACHYON PROTOCOL</t>
  </si>
  <si>
    <t>FNX:FINNEXUS</t>
  </si>
  <si>
    <t>MERGE:MERGE</t>
  </si>
  <si>
    <t>MALW:MALWARECHAIN</t>
  </si>
  <si>
    <t>BAZ:BAZOOKA TOKEN</t>
  </si>
  <si>
    <t>VAULT:VAULT COIN</t>
  </si>
  <si>
    <t>TKM:TOKEMON</t>
  </si>
  <si>
    <t>UBU:UBU</t>
  </si>
  <si>
    <t>SURE:INSURE</t>
  </si>
  <si>
    <t>EZPAY:EAZYPAYZA</t>
  </si>
  <si>
    <t>BCB:BCB BLOCKCHAIN</t>
  </si>
  <si>
    <t>ARMS:2ACOIN</t>
  </si>
  <si>
    <t>BYRON:BYRON</t>
  </si>
  <si>
    <t>FLS:FLITS</t>
  </si>
  <si>
    <t>NST:NEWSOLUTION</t>
  </si>
  <si>
    <t>XDCA:DECENTRALIZECURRENCY</t>
  </si>
  <si>
    <t>AZUM:AZUMA COIN</t>
  </si>
  <si>
    <t>SCAP:SAFECAPITAL</t>
  </si>
  <si>
    <t>BSOV:BITCOINSOV</t>
  </si>
  <si>
    <t>CUR:CURIO</t>
  </si>
  <si>
    <t>GLEEC:GLEEC COIN</t>
  </si>
  <si>
    <t>VTX:VORTEX NETWORK</t>
  </si>
  <si>
    <t>SWYFTT:SWYFT NETWORK</t>
  </si>
  <si>
    <t>DEURO:DIGITALEURO</t>
  </si>
  <si>
    <t>HUSL:HUSTLE TOKEN</t>
  </si>
  <si>
    <t>CIR:CIREDO</t>
  </si>
  <si>
    <t>ARW:ARROW</t>
  </si>
  <si>
    <t>XSCR:SECURUS</t>
  </si>
  <si>
    <t>FLAPX:FLAPX</t>
  </si>
  <si>
    <t>TUSC:THE UNIVERSAL SETTLEMENT COIN</t>
  </si>
  <si>
    <t>FSC:FIVE STAR COIN</t>
  </si>
  <si>
    <t>CPR:CIPHER</t>
  </si>
  <si>
    <t>HPTF:HEPTAFRANC</t>
  </si>
  <si>
    <t>MEK:MERAKI</t>
  </si>
  <si>
    <t>EPIC:EPIC CASH</t>
  </si>
  <si>
    <t>CELO:CELO</t>
  </si>
  <si>
    <t>NCOV:CORONACOIN</t>
  </si>
  <si>
    <t>ARE:AUREI</t>
  </si>
  <si>
    <t>BTCV:BITCOIN VAULT</t>
  </si>
  <si>
    <t>GRT:GLOBAL RENTAL TOKEN</t>
  </si>
  <si>
    <t>SWAMP:SWAMP COIN</t>
  </si>
  <si>
    <t>SOLO:SOLOGENIC</t>
  </si>
  <si>
    <t>MODEX:MODEX</t>
  </si>
  <si>
    <t>SCSX:SECURE CASH</t>
  </si>
  <si>
    <t>IDNA:IDENA</t>
  </si>
  <si>
    <t>CLO:CRYPTLO</t>
  </si>
  <si>
    <t>VID</t>
  </si>
  <si>
    <t>SUKU</t>
  </si>
  <si>
    <t>Power Ledger</t>
  </si>
  <si>
    <t>POWR</t>
  </si>
  <si>
    <t>bZx Protocol</t>
  </si>
  <si>
    <t>BZRX</t>
  </si>
  <si>
    <t>CoinMetro Token</t>
  </si>
  <si>
    <t>XCM</t>
  </si>
  <si>
    <t>Quantum Resistant Ledger</t>
  </si>
  <si>
    <t>QRL</t>
  </si>
  <si>
    <t>ARMOR</t>
  </si>
  <si>
    <t>Polkamarkets</t>
  </si>
  <si>
    <t>POLK</t>
  </si>
  <si>
    <t>Constellation</t>
  </si>
  <si>
    <t>DAG</t>
  </si>
  <si>
    <t>Polymath</t>
  </si>
  <si>
    <t>POLY</t>
  </si>
  <si>
    <t>ZrCoin</t>
  </si>
  <si>
    <t>ZRC</t>
  </si>
  <si>
    <t>Super Zero Protocol</t>
  </si>
  <si>
    <t>SERO</t>
  </si>
  <si>
    <t>Step Finance</t>
  </si>
  <si>
    <t>STEP</t>
  </si>
  <si>
    <t>ZClassic</t>
  </si>
  <si>
    <t>ZCL</t>
  </si>
  <si>
    <t>Phore</t>
  </si>
  <si>
    <t>PHR</t>
  </si>
  <si>
    <t>Lunyr</t>
  </si>
  <si>
    <t>LUN</t>
  </si>
  <si>
    <t>Propy</t>
  </si>
  <si>
    <t>PRO</t>
  </si>
  <si>
    <t>Hyve</t>
  </si>
  <si>
    <t>HYVE</t>
  </si>
  <si>
    <t>Blockchain Certified Data Token</t>
  </si>
  <si>
    <t>BCDT</t>
  </si>
  <si>
    <t>EvidenZ</t>
  </si>
  <si>
    <t>Alien Worlds</t>
  </si>
  <si>
    <t>TLM</t>
  </si>
  <si>
    <t>Handshake</t>
  </si>
  <si>
    <t>HNS</t>
  </si>
  <si>
    <t>Solaris</t>
  </si>
  <si>
    <t>XLR</t>
  </si>
  <si>
    <t>Hedera Hashgraph</t>
  </si>
  <si>
    <t>HBAR</t>
  </si>
  <si>
    <t>BUX Token</t>
  </si>
  <si>
    <t>BUX</t>
  </si>
  <si>
    <t>GokuMarket Credit</t>
  </si>
  <si>
    <t>GMC</t>
  </si>
  <si>
    <t>AXEL</t>
  </si>
  <si>
    <t>BitMart Token</t>
  </si>
  <si>
    <t>BMX</t>
  </si>
  <si>
    <t>LTO Network</t>
  </si>
  <si>
    <t>LTO</t>
  </si>
  <si>
    <t>Grid+</t>
  </si>
  <si>
    <t>GRID</t>
  </si>
  <si>
    <t>NuBits</t>
  </si>
  <si>
    <t>USNBT</t>
  </si>
  <si>
    <t>Waves Community Token</t>
  </si>
  <si>
    <t>WCT</t>
  </si>
  <si>
    <t>BitGreen</t>
  </si>
  <si>
    <t>BITG</t>
  </si>
  <si>
    <t>RAMP</t>
  </si>
  <si>
    <t>Tixl</t>
  </si>
  <si>
    <t>TXL</t>
  </si>
  <si>
    <t>Aergo</t>
  </si>
  <si>
    <t>AERGO</t>
  </si>
  <si>
    <t>ABBC Coin</t>
  </si>
  <si>
    <t>ABBC</t>
  </si>
  <si>
    <t>Monolith</t>
  </si>
  <si>
    <t>TKN</t>
  </si>
  <si>
    <t>Yield Optimization Platform &amp; Protocol</t>
  </si>
  <si>
    <t>YOP</t>
  </si>
  <si>
    <t>RSK Infrastructure Framework</t>
  </si>
  <si>
    <t>RIF</t>
  </si>
  <si>
    <t>Ardor</t>
  </si>
  <si>
    <t>ARDR</t>
  </si>
  <si>
    <t>Mochimo</t>
  </si>
  <si>
    <t>MCM</t>
  </si>
  <si>
    <t>Duck DAO (DLP Duck Token)</t>
  </si>
  <si>
    <t>DUCK</t>
  </si>
  <si>
    <t>bitCNY</t>
  </si>
  <si>
    <t>BITCNY</t>
  </si>
  <si>
    <t>BitZ Token</t>
  </si>
  <si>
    <t>BZ</t>
  </si>
  <si>
    <t>USDX [Kava]</t>
  </si>
  <si>
    <t>USDX</t>
  </si>
  <si>
    <t>CUTcoin</t>
  </si>
  <si>
    <t>CUT</t>
  </si>
  <si>
    <t>USDX [Lighthouse]</t>
  </si>
  <si>
    <t>Dollars</t>
  </si>
  <si>
    <t>Lossless</t>
  </si>
  <si>
    <t>LSS</t>
  </si>
  <si>
    <t>Cortex</t>
  </si>
  <si>
    <t>CTXC</t>
  </si>
  <si>
    <t>Qcash</t>
  </si>
  <si>
    <t>QC</t>
  </si>
  <si>
    <t>WaykiChain</t>
  </si>
  <si>
    <t>WICC</t>
  </si>
  <si>
    <t>LGO Token</t>
  </si>
  <si>
    <t>LGO</t>
  </si>
  <si>
    <t>Ideaology</t>
  </si>
  <si>
    <t>IDEA</t>
  </si>
  <si>
    <t>DECOIN</t>
  </si>
  <si>
    <t>DTEP</t>
  </si>
  <si>
    <t>Stakenet</t>
  </si>
  <si>
    <t>XSN</t>
  </si>
  <si>
    <t>Fractal</t>
  </si>
  <si>
    <t>FCL</t>
  </si>
  <si>
    <t>Anchor Protocol</t>
  </si>
  <si>
    <t>ANC</t>
  </si>
  <si>
    <t>Anoncoin</t>
  </si>
  <si>
    <t>PolkaFoundry</t>
  </si>
  <si>
    <t>PKF</t>
  </si>
  <si>
    <t>SONM</t>
  </si>
  <si>
    <t>SNM</t>
  </si>
  <si>
    <t>Wownero</t>
  </si>
  <si>
    <t>WOW</t>
  </si>
  <si>
    <t>WOWswap</t>
  </si>
  <si>
    <t>Wabi</t>
  </si>
  <si>
    <t>WABI</t>
  </si>
  <si>
    <t>1X2 COIN</t>
  </si>
  <si>
    <t>1X2</t>
  </si>
  <si>
    <t>Aleph.im</t>
  </si>
  <si>
    <t>ALEPH</t>
  </si>
  <si>
    <t>Phantasma</t>
  </si>
  <si>
    <t>SOUL</t>
  </si>
  <si>
    <t>Metaverse ETP</t>
  </si>
  <si>
    <t>ETP</t>
  </si>
  <si>
    <t>Bluzelle</t>
  </si>
  <si>
    <t>BLZ</t>
  </si>
  <si>
    <t>Xend Finance</t>
  </si>
  <si>
    <t>XEND</t>
  </si>
  <si>
    <t>DAD</t>
  </si>
  <si>
    <t>CONTRACOIN</t>
  </si>
  <si>
    <t>CTCN</t>
  </si>
  <si>
    <t>APYSwap</t>
  </si>
  <si>
    <t>APYS</t>
  </si>
  <si>
    <t>OIN Finance</t>
  </si>
  <si>
    <t>OIN</t>
  </si>
  <si>
    <t>srnArt Gallery</t>
  </si>
  <si>
    <t>SACT</t>
  </si>
  <si>
    <t>dForce</t>
  </si>
  <si>
    <t>DF</t>
  </si>
  <si>
    <t>Umbrella Network</t>
  </si>
  <si>
    <t>UMB</t>
  </si>
  <si>
    <t>reflect.finance</t>
  </si>
  <si>
    <t>RFI</t>
  </si>
  <si>
    <t>SmartKey</t>
  </si>
  <si>
    <t>SKEY</t>
  </si>
  <si>
    <t>Pantos</t>
  </si>
  <si>
    <t>PAN</t>
  </si>
  <si>
    <t>WAX</t>
  </si>
  <si>
    <t>WAXP</t>
  </si>
  <si>
    <t>COTI</t>
  </si>
  <si>
    <t>Datamine</t>
  </si>
  <si>
    <t>DAM</t>
  </si>
  <si>
    <t>Blockzero Labs</t>
  </si>
  <si>
    <t>XIO</t>
  </si>
  <si>
    <t>Genesis Shards</t>
  </si>
  <si>
    <t>GS</t>
  </si>
  <si>
    <t>Kylin</t>
  </si>
  <si>
    <t>KYL</t>
  </si>
  <si>
    <t>TrueFi</t>
  </si>
  <si>
    <t>TRU</t>
  </si>
  <si>
    <t>Aion</t>
  </si>
  <si>
    <t>AION</t>
  </si>
  <si>
    <t>Crypto.com Coin</t>
  </si>
  <si>
    <t>CRO</t>
  </si>
  <si>
    <t>Syscoin</t>
  </si>
  <si>
    <t>SYS</t>
  </si>
  <si>
    <t>BITTO</t>
  </si>
  <si>
    <t>Sentinel Protocol</t>
  </si>
  <si>
    <t>UPP</t>
  </si>
  <si>
    <t>Revain</t>
  </si>
  <si>
    <t>REV</t>
  </si>
  <si>
    <t>RChain</t>
  </si>
  <si>
    <t>Crypterium</t>
  </si>
  <si>
    <t>CRPT</t>
  </si>
  <si>
    <t>REVV</t>
  </si>
  <si>
    <t>Radix</t>
  </si>
  <si>
    <t>EXRD</t>
  </si>
  <si>
    <t>district0x</t>
  </si>
  <si>
    <t>DNT</t>
  </si>
  <si>
    <t>BOSAGORA</t>
  </si>
  <si>
    <t>BOA</t>
  </si>
  <si>
    <t>Ferrum Network</t>
  </si>
  <si>
    <t>FRM</t>
  </si>
  <si>
    <t>Sport and Leisure</t>
  </si>
  <si>
    <t>SNL</t>
  </si>
  <si>
    <t>NEM</t>
  </si>
  <si>
    <t>XEM</t>
  </si>
  <si>
    <t>AirSwap</t>
  </si>
  <si>
    <t>AST</t>
  </si>
  <si>
    <t>Hord</t>
  </si>
  <si>
    <t>HORD</t>
  </si>
  <si>
    <t>OAX</t>
  </si>
  <si>
    <t>Raze Network</t>
  </si>
  <si>
    <t>RAZE</t>
  </si>
  <si>
    <t>MalwareChain</t>
  </si>
  <si>
    <t>MALW</t>
  </si>
  <si>
    <t>Niftyx Protocol</t>
  </si>
  <si>
    <t>SHROOM</t>
  </si>
  <si>
    <t>Tidex Token</t>
  </si>
  <si>
    <t>TDX</t>
  </si>
  <si>
    <t>Shadows</t>
  </si>
  <si>
    <t>DOWS</t>
  </si>
  <si>
    <t>Dusk Network</t>
  </si>
  <si>
    <t>DUSK</t>
  </si>
  <si>
    <t>Tendies</t>
  </si>
  <si>
    <t>TEND</t>
  </si>
  <si>
    <t>Zero</t>
  </si>
  <si>
    <t>ZER</t>
  </si>
  <si>
    <t>BORA</t>
  </si>
  <si>
    <t>MASQ</t>
  </si>
  <si>
    <t>Metadium</t>
  </si>
  <si>
    <t>META</t>
  </si>
  <si>
    <t>SonoCoin</t>
  </si>
  <si>
    <t>SONO</t>
  </si>
  <si>
    <t>Flux</t>
  </si>
  <si>
    <t>FLUX</t>
  </si>
  <si>
    <t>Datamine FLUX</t>
  </si>
  <si>
    <t>Bread</t>
  </si>
  <si>
    <t>BRD</t>
  </si>
  <si>
    <t>High Performance Blockchain</t>
  </si>
  <si>
    <t>HPB</t>
  </si>
  <si>
    <t>Bitrue Coin</t>
  </si>
  <si>
    <t>BTR</t>
  </si>
  <si>
    <t>Telos</t>
  </si>
  <si>
    <t>TLOS</t>
  </si>
  <si>
    <t>Minereum</t>
  </si>
  <si>
    <t>MNE</t>
  </si>
  <si>
    <t>GameCredits</t>
  </si>
  <si>
    <t>GAME</t>
  </si>
  <si>
    <t>MANTRA DAO</t>
  </si>
  <si>
    <t>OM</t>
  </si>
  <si>
    <t>Arcblock</t>
  </si>
  <si>
    <t>ABT</t>
  </si>
  <si>
    <t>ClinTex CTi</t>
  </si>
  <si>
    <t>CTI</t>
  </si>
  <si>
    <t>ExclusiveCoin</t>
  </si>
  <si>
    <t>EXCL</t>
  </si>
  <si>
    <t>TenUp</t>
  </si>
  <si>
    <t>TUP</t>
  </si>
  <si>
    <t>Kleros</t>
  </si>
  <si>
    <t>PNK</t>
  </si>
  <si>
    <t>Nuco.cloud</t>
  </si>
  <si>
    <t>NCDT</t>
  </si>
  <si>
    <t>Polkacover</t>
  </si>
  <si>
    <t>CVR</t>
  </si>
  <si>
    <t>Evedo</t>
  </si>
  <si>
    <t>EVED</t>
  </si>
  <si>
    <t>Primecoin</t>
  </si>
  <si>
    <t>XPM</t>
  </si>
  <si>
    <t>Venus ETH</t>
  </si>
  <si>
    <t>vETH</t>
  </si>
  <si>
    <t>Crypto Sports</t>
  </si>
  <si>
    <t>CSPN</t>
  </si>
  <si>
    <t>Hacken Token</t>
  </si>
  <si>
    <t>HAI</t>
  </si>
  <si>
    <t>Karbo</t>
  </si>
  <si>
    <t>KRB</t>
  </si>
  <si>
    <t>Cat Token</t>
  </si>
  <si>
    <t>CAT</t>
  </si>
  <si>
    <t>Horizon Protocol</t>
  </si>
  <si>
    <t>HZN</t>
  </si>
  <si>
    <t>Moss Coin</t>
  </si>
  <si>
    <t>MOC</t>
  </si>
  <si>
    <t>PUBLISH</t>
  </si>
  <si>
    <t>NEWS</t>
  </si>
  <si>
    <t>dKargo</t>
  </si>
  <si>
    <t>DKA</t>
  </si>
  <si>
    <t>Dragonchain</t>
  </si>
  <si>
    <t>DRGN</t>
  </si>
  <si>
    <t>Etherisc DIP Token</t>
  </si>
  <si>
    <t>DIP</t>
  </si>
  <si>
    <t>Levolution</t>
  </si>
  <si>
    <t>LEVL</t>
  </si>
  <si>
    <t>Cornichon</t>
  </si>
  <si>
    <t>CORN</t>
  </si>
  <si>
    <t>Bismuth</t>
  </si>
  <si>
    <t>BIS</t>
  </si>
  <si>
    <t>Rubic</t>
  </si>
  <si>
    <t>RBC</t>
  </si>
  <si>
    <t>Aeternity</t>
  </si>
  <si>
    <t>AE</t>
  </si>
  <si>
    <t>Stealthcoin</t>
  </si>
  <si>
    <t>XST</t>
  </si>
  <si>
    <t>Synergy</t>
  </si>
  <si>
    <t>SNRG</t>
  </si>
  <si>
    <t>Streamr</t>
  </si>
  <si>
    <t>DATA</t>
  </si>
  <si>
    <t>REAL</t>
  </si>
  <si>
    <t>QANplatform</t>
  </si>
  <si>
    <t>QARK</t>
  </si>
  <si>
    <t>Enigma</t>
  </si>
  <si>
    <t>ENG</t>
  </si>
  <si>
    <t>Polis</t>
  </si>
  <si>
    <t>POLIS</t>
  </si>
  <si>
    <t>Carbon</t>
  </si>
  <si>
    <t>CRBN</t>
  </si>
  <si>
    <t>Vidya</t>
  </si>
  <si>
    <t>VIDYA</t>
  </si>
  <si>
    <t>Tokenomy</t>
  </si>
  <si>
    <t>TEN</t>
  </si>
  <si>
    <t>Azuki</t>
  </si>
  <si>
    <t>AZUKI</t>
  </si>
  <si>
    <t>Ormeus Cash</t>
  </si>
  <si>
    <t>OMC</t>
  </si>
  <si>
    <t>Shadow Token</t>
  </si>
  <si>
    <t>SHDW</t>
  </si>
  <si>
    <t>Centrality</t>
  </si>
  <si>
    <t>CENNZ</t>
  </si>
  <si>
    <t>DigitalBits</t>
  </si>
  <si>
    <t>XDB</t>
  </si>
  <si>
    <t>MotaCoin</t>
  </si>
  <si>
    <t>MOTA</t>
  </si>
  <si>
    <t>Harmony</t>
  </si>
  <si>
    <t>ONE</t>
  </si>
  <si>
    <t>Swingby</t>
  </si>
  <si>
    <t>SWINGBY</t>
  </si>
  <si>
    <t>Gem Exchange And Trading</t>
  </si>
  <si>
    <t>GXT</t>
  </si>
  <si>
    <t>VegaWallet Token</t>
  </si>
  <si>
    <t>VGW</t>
  </si>
  <si>
    <t>Autonio</t>
  </si>
  <si>
    <t>NIOX</t>
  </si>
  <si>
    <t>Idena</t>
  </si>
  <si>
    <t>IDNA</t>
  </si>
  <si>
    <t>1World</t>
  </si>
  <si>
    <t>1WO</t>
  </si>
  <si>
    <t>Beldex</t>
  </si>
  <si>
    <t>BDX</t>
  </si>
  <si>
    <t>Spectre.ai Dividend Token</t>
  </si>
  <si>
    <t>SXDT</t>
  </si>
  <si>
    <t>Auctus</t>
  </si>
  <si>
    <t>AUC</t>
  </si>
  <si>
    <t>Noku</t>
  </si>
  <si>
    <t>NOKU</t>
  </si>
  <si>
    <t>smARTOFGIVING</t>
  </si>
  <si>
    <t>AOG</t>
  </si>
  <si>
    <t>Neurotoken</t>
  </si>
  <si>
    <t>NTK</t>
  </si>
  <si>
    <t>Ankr</t>
  </si>
  <si>
    <t>ANKR</t>
  </si>
  <si>
    <t>OTOCASH</t>
  </si>
  <si>
    <t>OTO</t>
  </si>
  <si>
    <t>Atari Token</t>
  </si>
  <si>
    <t>ATRI</t>
  </si>
  <si>
    <t>VeChain</t>
  </si>
  <si>
    <t>VET</t>
  </si>
  <si>
    <t>Dock</t>
  </si>
  <si>
    <t>DOCK</t>
  </si>
  <si>
    <t>I/O Coin</t>
  </si>
  <si>
    <t>IOC</t>
  </si>
  <si>
    <t>Enecuum</t>
  </si>
  <si>
    <t>ENQ</t>
  </si>
  <si>
    <t>LATOKEN</t>
  </si>
  <si>
    <t>LA</t>
  </si>
  <si>
    <t>Crown</t>
  </si>
  <si>
    <t>CRW</t>
  </si>
  <si>
    <t>UBU Finance</t>
  </si>
  <si>
    <t>UBU</t>
  </si>
  <si>
    <t>Hexx</t>
  </si>
  <si>
    <t>HXX</t>
  </si>
  <si>
    <t>QASH</t>
  </si>
  <si>
    <t>SIX</t>
  </si>
  <si>
    <t>IRISnet</t>
  </si>
  <si>
    <t>IRIS</t>
  </si>
  <si>
    <t>Bitcoin Atom</t>
  </si>
  <si>
    <t>BCA</t>
  </si>
  <si>
    <t>Zilliqa</t>
  </si>
  <si>
    <t>ZIL</t>
  </si>
  <si>
    <t>Casino Betting Coin</t>
  </si>
  <si>
    <t>CBC</t>
  </si>
  <si>
    <t>Cashbery Coin</t>
  </si>
  <si>
    <t>Hegic</t>
  </si>
  <si>
    <t>HEGIC</t>
  </si>
  <si>
    <t>ArdCoin</t>
  </si>
  <si>
    <t>ARDX</t>
  </si>
  <si>
    <t>IoT Chain</t>
  </si>
  <si>
    <t>ITC</t>
  </si>
  <si>
    <t>Opacity</t>
  </si>
  <si>
    <t>OPCT</t>
  </si>
  <si>
    <t>Swapcoinz</t>
  </si>
  <si>
    <t>SPAZ</t>
  </si>
  <si>
    <t>CyberFi Token</t>
  </si>
  <si>
    <t>CFi</t>
  </si>
  <si>
    <t>DAOstack</t>
  </si>
  <si>
    <t>GEN</t>
  </si>
  <si>
    <t>Casper</t>
  </si>
  <si>
    <t>CSPR</t>
  </si>
  <si>
    <t>Monkey Project</t>
  </si>
  <si>
    <t>MONK</t>
  </si>
  <si>
    <t>Deeper Network</t>
  </si>
  <si>
    <t>DPR</t>
  </si>
  <si>
    <t>ScPrime</t>
  </si>
  <si>
    <t>SCP</t>
  </si>
  <si>
    <t>Etho Protocol</t>
  </si>
  <si>
    <t>ETHO</t>
  </si>
  <si>
    <t>Nexalt</t>
  </si>
  <si>
    <t>XLT</t>
  </si>
  <si>
    <t>PlotX</t>
  </si>
  <si>
    <t>PLOT</t>
  </si>
  <si>
    <t>Orbs</t>
  </si>
  <si>
    <t>ORBS</t>
  </si>
  <si>
    <t>Tapmydata</t>
  </si>
  <si>
    <t>TAP</t>
  </si>
  <si>
    <t>Loom Network</t>
  </si>
  <si>
    <t>LOOM</t>
  </si>
  <si>
    <t>Sumokoin</t>
  </si>
  <si>
    <t>SUMO</t>
  </si>
  <si>
    <t>EXMO Coin</t>
  </si>
  <si>
    <t>EXM</t>
  </si>
  <si>
    <t>Swarm</t>
  </si>
  <si>
    <t>SWM</t>
  </si>
  <si>
    <t>WOM Protocol</t>
  </si>
  <si>
    <t>WOM</t>
  </si>
  <si>
    <t>Orient Walt</t>
  </si>
  <si>
    <t>HTDF</t>
  </si>
  <si>
    <t>Fluity</t>
  </si>
  <si>
    <t>FLTY</t>
  </si>
  <si>
    <t>BSC Station</t>
  </si>
  <si>
    <t>BSCS</t>
  </si>
  <si>
    <t>Status</t>
  </si>
  <si>
    <t>SNT</t>
  </si>
  <si>
    <t>Marlin</t>
  </si>
  <si>
    <t>POND</t>
  </si>
  <si>
    <t>Empty Set Dollar</t>
  </si>
  <si>
    <t>ESD</t>
  </si>
  <si>
    <t>Deri Protocol</t>
  </si>
  <si>
    <t>DERI</t>
  </si>
  <si>
    <t>Bondly</t>
  </si>
  <si>
    <t>BONDLY</t>
  </si>
  <si>
    <t>NaPoleonX</t>
  </si>
  <si>
    <t>NPX</t>
  </si>
  <si>
    <t>Pascal</t>
  </si>
  <si>
    <t>PASC</t>
  </si>
  <si>
    <t>Royale Finance</t>
  </si>
  <si>
    <t>ROYA</t>
  </si>
  <si>
    <t>NativeCoin</t>
  </si>
  <si>
    <t>N8V</t>
  </si>
  <si>
    <t>Stipend</t>
  </si>
  <si>
    <t>SPD</t>
  </si>
  <si>
    <t>Krios</t>
  </si>
  <si>
    <t>GIG</t>
  </si>
  <si>
    <t>TRON</t>
  </si>
  <si>
    <t>TRX</t>
  </si>
  <si>
    <t>yOUcash</t>
  </si>
  <si>
    <t>YOUC</t>
  </si>
  <si>
    <t>Fatcoin</t>
  </si>
  <si>
    <t>FAT</t>
  </si>
  <si>
    <t>Falconswap</t>
  </si>
  <si>
    <t>FSW</t>
  </si>
  <si>
    <t>LUXCoin</t>
  </si>
  <si>
    <t>LUX</t>
  </si>
  <si>
    <t>Bibox Token</t>
  </si>
  <si>
    <t>BIX</t>
  </si>
  <si>
    <t>REPO</t>
  </si>
  <si>
    <t>AhaToken</t>
  </si>
  <si>
    <t>AHT</t>
  </si>
  <si>
    <t>Cryptopay</t>
  </si>
  <si>
    <t>CPAY</t>
  </si>
  <si>
    <t>Agrello</t>
  </si>
  <si>
    <t>DLT</t>
  </si>
  <si>
    <t>Xaya</t>
  </si>
  <si>
    <t>CHI</t>
  </si>
  <si>
    <t>Chi Gastoken</t>
  </si>
  <si>
    <t>TrumpCoin</t>
  </si>
  <si>
    <t>TRUMP</t>
  </si>
  <si>
    <t>PERL.eco</t>
  </si>
  <si>
    <t>PERL</t>
  </si>
  <si>
    <t>Hush</t>
  </si>
  <si>
    <t>HUSH</t>
  </si>
  <si>
    <t>Curecoin</t>
  </si>
  <si>
    <t>CURE</t>
  </si>
  <si>
    <t>POLKARARE</t>
  </si>
  <si>
    <t>PRARE</t>
  </si>
  <si>
    <t>LuaSwap</t>
  </si>
  <si>
    <t>LUA</t>
  </si>
  <si>
    <t>IslaCoin</t>
  </si>
  <si>
    <t>ISL</t>
  </si>
  <si>
    <t>Internet of People</t>
  </si>
  <si>
    <t>IOP</t>
  </si>
  <si>
    <t>Razor Network</t>
  </si>
  <si>
    <t>RAZOR</t>
  </si>
  <si>
    <t>Aluna.Social</t>
  </si>
  <si>
    <t>CLVS:CLOVIS ONCOLOGY, INC.</t>
  </si>
  <si>
    <t>CRON:CRONOS GROUP INC.</t>
  </si>
  <si>
    <t>ETL:EUTELSAT COMMUNICATIONS</t>
  </si>
  <si>
    <t>FDX:FEDEX</t>
  </si>
  <si>
    <t>FP:TOTAL</t>
  </si>
  <si>
    <t>GD:GENERAL DYNAMICS</t>
  </si>
  <si>
    <t>GILD:GILEAD SCIENCES</t>
  </si>
  <si>
    <t>GPS:THE GAP, INC.</t>
  </si>
  <si>
    <t>GT:THE GOODYEAR TIRE &amp; RUBBER COMPANY</t>
  </si>
  <si>
    <t>GWPH:GW PHARMACEUTICALS PLC</t>
  </si>
  <si>
    <t>HMI:HUAMI CORPORATION</t>
  </si>
  <si>
    <t>IRBT:IROBOT CORPORATION</t>
  </si>
  <si>
    <t>JKS:JINKOSOLAR HOLDING CO., LTD.</t>
  </si>
  <si>
    <t>JWN:NORDSTROM</t>
  </si>
  <si>
    <t>KHC:THE KRAFT HEINZ COMPANY</t>
  </si>
  <si>
    <t>LKOD:LUKOIL PJSC ADR</t>
  </si>
  <si>
    <t>LLY:ELI LILLY &amp; CO</t>
  </si>
  <si>
    <t>LX:LEXINFINTECH HOLDINGS LTD.</t>
  </si>
  <si>
    <t>LYFT:LYFT</t>
  </si>
  <si>
    <t>MAC:MACERICH</t>
  </si>
  <si>
    <t>MC:LVMH MOET HENNESSY LOUIS VUITTON SE</t>
  </si>
  <si>
    <t>MCHP:MICROCHIP TECHNOLOGY INCORPORATED</t>
  </si>
  <si>
    <t>NCLH:NORWEGIAN CRUISE LINE HOLDINGS LTD.</t>
  </si>
  <si>
    <t>NEE:NEXTERA ENERGY</t>
  </si>
  <si>
    <t>OGZD:GAZPROM PJSC ADR</t>
  </si>
  <si>
    <t>OSTK:OVERSTOCK.COM, INC.</t>
  </si>
  <si>
    <t>PBF:PBF ENERGY CL A</t>
  </si>
  <si>
    <t>QCOM:QUALCOMM INC</t>
  </si>
  <si>
    <t>RAD:RITE AID</t>
  </si>
  <si>
    <t>RNO:RENAULT PAR</t>
  </si>
  <si>
    <t>ROKU:ROKU, INC.</t>
  </si>
  <si>
    <t>SAGE:SAGE THERAPEUTICS, INC.</t>
  </si>
  <si>
    <t>SBER:SBERBANK OF RUSSIA GDR</t>
  </si>
  <si>
    <t>SESG:SES FDR</t>
  </si>
  <si>
    <t>SLCA:US SILICA HOLDINGS</t>
  </si>
  <si>
    <t>SOHU:SOHU.COM LIMITED</t>
  </si>
  <si>
    <t>SQ:SQUARE CL A</t>
  </si>
  <si>
    <t>SSA:SISTEMA PJSFC GDR</t>
  </si>
  <si>
    <t>STM:STMICROELECTRONICS ADR</t>
  </si>
  <si>
    <t>TEAM:ATLASSIAN CORPORATION PLC</t>
  </si>
  <si>
    <t>TEVA:TEVA PHARMA IND ADR REP 1</t>
  </si>
  <si>
    <t>TGT:TARGET CORP</t>
  </si>
  <si>
    <t>TLRY:TILRAY, INC.</t>
  </si>
  <si>
    <t>TRIP:TRIPADVISOR, INC.</t>
  </si>
  <si>
    <t>TTWO:TAKE-TWO INTERACTIVE SOFTWARE, INC.</t>
  </si>
  <si>
    <t>UAA:UNDER ARMOUR CL A</t>
  </si>
  <si>
    <t>W:WAYFAIR CL A</t>
  </si>
  <si>
    <t>WATT:ENERGOUS CORPORATION</t>
  </si>
  <si>
    <t>YELP:YELP</t>
  </si>
  <si>
    <t>YNDX:YANDEX N.V.</t>
  </si>
  <si>
    <t>UCR:ULTRA CLEAR</t>
  </si>
  <si>
    <t>HTR:HATHOR NETWORK</t>
  </si>
  <si>
    <t>AXEL:AXEL</t>
  </si>
  <si>
    <t>ZCARTZ:ZCARTZ</t>
  </si>
  <si>
    <t>UMI:UNIVERSAL MONEY INSTRUMENT</t>
  </si>
  <si>
    <t>SASHIMI:SASHIMI</t>
  </si>
  <si>
    <t>JFI:JACKPOOL FINANCE</t>
  </si>
  <si>
    <t>SVI:SAVINGCOIN</t>
  </si>
  <si>
    <t>CC:CLIMACOIN</t>
  </si>
  <si>
    <t>YFFII:YFFII.FINANCE</t>
  </si>
  <si>
    <t>BWF:BEOWULF</t>
  </si>
  <si>
    <t>YFBT:YEARN FINANCE BIT</t>
  </si>
  <si>
    <t>ZZZ:ZZZ FINANCE</t>
  </si>
  <si>
    <t>YEFIM:YFI MANAGEMENT</t>
  </si>
  <si>
    <t>AAVE:AAVE</t>
  </si>
  <si>
    <t>CORE:CVAULT.FINANCE</t>
  </si>
  <si>
    <t>TTT:THE TRANSFER TOKEN</t>
  </si>
  <si>
    <t>TON:TON CRYSTAL</t>
  </si>
  <si>
    <t>VPS:VIPO VPS SOLUTIONS</t>
  </si>
  <si>
    <t>SAPP:SAPPHIRE</t>
  </si>
  <si>
    <t>AZZR:AZZURE</t>
  </si>
  <si>
    <t>CBRL:CRYPTOBRL</t>
  </si>
  <si>
    <t>DOGDEFI:DOGDEFICOIN</t>
  </si>
  <si>
    <t>ZYON:BITZYON</t>
  </si>
  <si>
    <t>MBX:MOBIEPAY</t>
  </si>
  <si>
    <t>YUSRA:YUSRA</t>
  </si>
  <si>
    <t>SKN:SHARKCOIN</t>
  </si>
  <si>
    <t>TEX:TYCHEXCHANGE</t>
  </si>
  <si>
    <t>AXS:AXIE INFINITY</t>
  </si>
  <si>
    <t>VIDYA:VIDYA</t>
  </si>
  <si>
    <t>FMA:FLAMA</t>
  </si>
  <si>
    <t>TBF:THE BRIGHT FUTURE</t>
  </si>
  <si>
    <t>ARTS:ART STUDIO</t>
  </si>
  <si>
    <t>SALE:DXSALE.NETWORK</t>
  </si>
  <si>
    <t>EOC:EVERYONES CRYPTO</t>
  </si>
  <si>
    <t>ZLW:ZELWIN</t>
  </si>
  <si>
    <t>BCT:BITCOINTRUST</t>
  </si>
  <si>
    <t>GTH:GATHER</t>
  </si>
  <si>
    <t>MILK2:MILKYWAY COIN</t>
  </si>
  <si>
    <t>BIG:THEBIGCOIN</t>
  </si>
  <si>
    <t>LTV:LEADER TV COIN</t>
  </si>
  <si>
    <t>SHAKE:MILKSHAKE COIN</t>
  </si>
  <si>
    <t>RAK:RAKE FINANCE</t>
  </si>
  <si>
    <t>SUP8EME:SUP8EME</t>
  </si>
  <si>
    <t>HBD:HIVE BACKED DOLLAR</t>
  </si>
  <si>
    <t>TLB:THE LUXURY COIN</t>
  </si>
  <si>
    <t>DPC:DAPPCENTS</t>
  </si>
  <si>
    <t>CBM:CRYPTO BREW MASTER</t>
  </si>
  <si>
    <t>KYAN:KYANITE</t>
  </si>
  <si>
    <t>C24:CRYPTEX</t>
  </si>
  <si>
    <t>777:777 JACKPOT</t>
  </si>
  <si>
    <t>ETLT:ETHEREUM LIGHTNING TOKEN</t>
  </si>
  <si>
    <t>TCR:TECRACOIN</t>
  </si>
  <si>
    <t>CORX:CORIONX</t>
  </si>
  <si>
    <t>LEO:LEOFINANCE</t>
  </si>
  <si>
    <t>SPKL:SPOKLOTTERY</t>
  </si>
  <si>
    <t>LTN:LATINIO</t>
  </si>
  <si>
    <t>BIT:BITEXBLOCK</t>
  </si>
  <si>
    <t>UPAY:UPAYMENT</t>
  </si>
  <si>
    <t>HNT:HELIUM</t>
  </si>
  <si>
    <t>BEER:BEER</t>
  </si>
  <si>
    <t>QRN:QURENO</t>
  </si>
  <si>
    <t>OFT:ORIENT</t>
  </si>
  <si>
    <t>XKR:KRYPTOKRONA</t>
  </si>
  <si>
    <t>MCAN:MEDICANCOIN</t>
  </si>
  <si>
    <t>BTLLR:BETLLER COIN</t>
  </si>
  <si>
    <t>YLFI:YEARN LOANS FINANCE</t>
  </si>
  <si>
    <t>SKL:SKALE</t>
  </si>
  <si>
    <t>WIZ:WIZARD</t>
  </si>
  <si>
    <t>DEON:DEONCASH</t>
  </si>
  <si>
    <t>GEO:GEO</t>
  </si>
  <si>
    <t>BCHA:BITCOIN CASH ABC</t>
  </si>
  <si>
    <t>TXL:TIXL</t>
  </si>
  <si>
    <t>ATRI:ATARI TOKEN</t>
  </si>
  <si>
    <t>BUY2:BURENCY</t>
  </si>
  <si>
    <t>BVOL:FTX BTC VOL TOKEN</t>
  </si>
  <si>
    <t>C.CX:CITIGROUP INC TOKENIZED STOCK</t>
  </si>
  <si>
    <t>CADX:CADX</t>
  </si>
  <si>
    <t>CATX:CAT.TRADE PROTOCOL</t>
  </si>
  <si>
    <t>CBC5:CRYPTOBHARATCOIN</t>
  </si>
  <si>
    <t>CBET:CRYPTOBET</t>
  </si>
  <si>
    <t>CBP2:CASHBACKPRO</t>
  </si>
  <si>
    <t>CCTN:CONNECTCHAIN</t>
  </si>
  <si>
    <t>CDEX:CODEX</t>
  </si>
  <si>
    <t>CET2:CHAINCE</t>
  </si>
  <si>
    <t>CFX2:CONFLUX NETWORK</t>
  </si>
  <si>
    <t>CGC2:CASH GLOBAL COIN</t>
  </si>
  <si>
    <t>CGLD:CELO GOLD</t>
  </si>
  <si>
    <t>CGMT:CLICKGEM TOKEN</t>
  </si>
  <si>
    <t>CHFX:CHFX</t>
  </si>
  <si>
    <t>CHOP:PORKCHOP</t>
  </si>
  <si>
    <t>CLIQ:DEFICLIQ</t>
  </si>
  <si>
    <t>CMRA:CHIMERA</t>
  </si>
  <si>
    <t>CND2:CANNADRIX</t>
  </si>
  <si>
    <t>CNX2:COFINEX</t>
  </si>
  <si>
    <t>CNYX:CNYX</t>
  </si>
  <si>
    <t>COIL:COIL</t>
  </si>
  <si>
    <t>COMB:COMBINE.FINANCE</t>
  </si>
  <si>
    <t>CORD:CORD DEFI</t>
  </si>
  <si>
    <t>COW2:COWBOY.FINANCE</t>
  </si>
  <si>
    <t>CPR2:CIPHER</t>
  </si>
  <si>
    <t>CPS3:CASH PER SCAN</t>
  </si>
  <si>
    <t>CPX3:CRYPXIE</t>
  </si>
  <si>
    <t>CRDT:CRDT TOKEN</t>
  </si>
  <si>
    <t>CRT3:CARROT FINANCE</t>
  </si>
  <si>
    <t>CSPC:CSPC</t>
  </si>
  <si>
    <t>CTN2:CETAN</t>
  </si>
  <si>
    <t>CTR2:CRYPTOTALKER</t>
  </si>
  <si>
    <t>CUSD:CUSD CURRENCY</t>
  </si>
  <si>
    <t>CWC2:CLOUD WAREHOUSE CHAIN</t>
  </si>
  <si>
    <t>CXC2:CLIPX</t>
  </si>
  <si>
    <t>CYTR:CYCLOPS TREASURE</t>
  </si>
  <si>
    <t>DASV:DASH SV</t>
  </si>
  <si>
    <t>DAVP:DAVION</t>
  </si>
  <si>
    <t>DBT5:DOBI TOKEN</t>
  </si>
  <si>
    <t>DDIM:DUCKDAODIME</t>
  </si>
  <si>
    <t>DDRT:DIGIDINAR TOKEN</t>
  </si>
  <si>
    <t>DEFO:DEFHOLD</t>
  </si>
  <si>
    <t>DEGO:DEGO FINANCE</t>
  </si>
  <si>
    <t>DETS:DEXTRUST</t>
  </si>
  <si>
    <t>DEV3:DEV PROTOCOL</t>
  </si>
  <si>
    <t>DEVE:DIVERT FINANCE</t>
  </si>
  <si>
    <t>DEXE:DEXE</t>
  </si>
  <si>
    <t>DEXG:DEXTOKEN</t>
  </si>
  <si>
    <t>DFIO:DEFI OMEGA</t>
  </si>
  <si>
    <t>DGVC:DEGENVC</t>
  </si>
  <si>
    <t>DION:DIONCOIN</t>
  </si>
  <si>
    <t>DIP2:DIPPER NETWORK</t>
  </si>
  <si>
    <t>DIP3:DEIPOOL</t>
  </si>
  <si>
    <t>DMD2:DMD</t>
  </si>
  <si>
    <t>DMST:DMST</t>
  </si>
  <si>
    <t>DNA3:METAVERSE DUALCHAIN NETWORK ARCHITECTURE</t>
  </si>
  <si>
    <t>DNP2:DNP CHAIN</t>
  </si>
  <si>
    <t>DODO:DODO TOKEN</t>
  </si>
  <si>
    <t>DOGZ:DOGZ</t>
  </si>
  <si>
    <t>DOKI:DOKI DOKI FINANCE</t>
  </si>
  <si>
    <t>DRAY:D.RAY</t>
  </si>
  <si>
    <t>DRC2:DRACULA PROTOCOL</t>
  </si>
  <si>
    <t>DRM2:DODREAMCHAIN</t>
  </si>
  <si>
    <t>DSYS:DSYS</t>
  </si>
  <si>
    <t>DTOP:DTOP TOKEN</t>
  </si>
  <si>
    <t>DUSD:DEFIDOLLAR</t>
  </si>
  <si>
    <t>DVX2:DERIVEX</t>
  </si>
  <si>
    <t>DXTS:DESTINY SUCCESS</t>
  </si>
  <si>
    <t>DZAR:DIGITAL RAND</t>
  </si>
  <si>
    <t>EARN:YEARN CLASSIC FINANCE</t>
  </si>
  <si>
    <t>ECOC:ECOCHAIN</t>
  </si>
  <si>
    <t>EDG2:EDGEWARE</t>
  </si>
  <si>
    <t>EGG7:NESTEGG COIN</t>
  </si>
  <si>
    <t>EHRT:8HOURS</t>
  </si>
  <si>
    <t>ELYX:ELYNET</t>
  </si>
  <si>
    <t>EMT3:EASYMINE</t>
  </si>
  <si>
    <t>ENK2:ENKRONOS</t>
  </si>
  <si>
    <t>ENOL:ETHANOL</t>
  </si>
  <si>
    <t>EPAN:PAYPOLITAN TOKEN</t>
  </si>
  <si>
    <t>EPAY:EPAY</t>
  </si>
  <si>
    <t>EPC5:EPC</t>
  </si>
  <si>
    <t>EPWR:ETHEREUM POWER</t>
  </si>
  <si>
    <t>ESAX:ESAX</t>
  </si>
  <si>
    <t>ESN3:ESCUDONAVACENSE</t>
  </si>
  <si>
    <t>ESRC:ESR COIN</t>
  </si>
  <si>
    <t>ESWA:EASYSWAP</t>
  </si>
  <si>
    <t>ETE2:ETHERCOIN</t>
  </si>
  <si>
    <t>ETLT:ETHEREUM LIGHTNING</t>
  </si>
  <si>
    <t>EURU:UPPER EURO</t>
  </si>
  <si>
    <t>EURX:ETORO EURX</t>
  </si>
  <si>
    <t>EXNT:EXNETWORK TOKEN</t>
  </si>
  <si>
    <t>EXO4:EXODUS</t>
  </si>
  <si>
    <t>EXP2:EXCHANGE PAYMENT COIN</t>
  </si>
  <si>
    <t>EXRD:E-RADIX</t>
  </si>
  <si>
    <t>EYES:EYES PROTOCOL</t>
  </si>
  <si>
    <t>F.CX:FORD MOTOR CO TOKENIZED STOCK</t>
  </si>
  <si>
    <t>FACT:FEE ACTIVE COLLATERAL TOKEN</t>
  </si>
  <si>
    <t>FAME:FAME</t>
  </si>
  <si>
    <t>FCH2:FREECASH</t>
  </si>
  <si>
    <t>FIC3:FINCREDIT PROTOCOL</t>
  </si>
  <si>
    <t>FICO:FRENCH ICO</t>
  </si>
  <si>
    <t>FNSP:FINSWAP</t>
  </si>
  <si>
    <t>FOCV:FOCV</t>
  </si>
  <si>
    <t>FOMP:FOMPOUND</t>
  </si>
  <si>
    <t>FOX4:FOX TOKEN</t>
  </si>
  <si>
    <t>FRMX:FRMX TOKEN</t>
  </si>
  <si>
    <t>FTO2:FIVETOKEN</t>
  </si>
  <si>
    <t>FUD2:FUD.FINANCE</t>
  </si>
  <si>
    <t>GAC5:GAIA CHAIN</t>
  </si>
  <si>
    <t>GARK:TADPOLE CHAIN</t>
  </si>
  <si>
    <t>GBPX:ETORO GBPX</t>
  </si>
  <si>
    <t>GDAO:GOVERNOR DAO</t>
  </si>
  <si>
    <t>GEM2:GEMSWAP</t>
  </si>
  <si>
    <t>GET4:GIRE TOKEN</t>
  </si>
  <si>
    <t>GLDR:GOLDERGAMES</t>
  </si>
  <si>
    <t>GLDY:BUZZSHOW</t>
  </si>
  <si>
    <t>GLEX:GLEX</t>
  </si>
  <si>
    <t>GLOB:GLOBAL RESERVE SYSTEM</t>
  </si>
  <si>
    <t>GLOX:GLOX FINANCE</t>
  </si>
  <si>
    <t>GMNG:GLOBAL GAMING</t>
  </si>
  <si>
    <t>GNC3:GALAXY NETWORK</t>
  </si>
  <si>
    <t>GOM2:GOMICS</t>
  </si>
  <si>
    <t>GPT2:GRACE PERIOD TOKEN</t>
  </si>
  <si>
    <t>GRAP:GRAP</t>
  </si>
  <si>
    <t>GRET:GLOBAL REIT</t>
  </si>
  <si>
    <t>GSMT:GRAF TOKEN</t>
  </si>
  <si>
    <t>GTC4:GLOBAL TRUST COIN</t>
  </si>
  <si>
    <t>GYSR:GYSR</t>
  </si>
  <si>
    <t>GZB2:GZCLUB TOKEN</t>
  </si>
  <si>
    <t>HBDC:HAPPY BIRTHDAY COIN</t>
  </si>
  <si>
    <t>HEBE:HEBEBLOCK</t>
  </si>
  <si>
    <t>HIBS:HIBLOCKS</t>
  </si>
  <si>
    <t>HKDX:HKDX</t>
  </si>
  <si>
    <t>HRC2:HUNTER CHAIN</t>
  </si>
  <si>
    <t>HROI:HIGH-ROI</t>
  </si>
  <si>
    <t>HUSL:HUSTLE APP</t>
  </si>
  <si>
    <t>IEOS:IEO SERVICE</t>
  </si>
  <si>
    <t>IMS3:IMSWALLET</t>
  </si>
  <si>
    <t>INFD:INFINITYDEFI</t>
  </si>
  <si>
    <t>INTX:INTEXCOIN</t>
  </si>
  <si>
    <t>INVC:INVESTCOIN</t>
  </si>
  <si>
    <t>ITAM:ITAM GAMES</t>
  </si>
  <si>
    <t>IZER:IZEROIUM</t>
  </si>
  <si>
    <t>JAC2:JASPER COIN</t>
  </si>
  <si>
    <t>JACK:JACKR</t>
  </si>
  <si>
    <t>JPYX:JPYX</t>
  </si>
  <si>
    <t>K.CX:KELLOGG TOKENIZED STOCK</t>
  </si>
  <si>
    <t>KAM2:BITKAM</t>
  </si>
  <si>
    <t>KASH:KIDS CASH</t>
  </si>
  <si>
    <t>KBOT:KORBOT</t>
  </si>
  <si>
    <t>KEN2:KEYSIANS NETWORK</t>
  </si>
  <si>
    <t>KEYT:REBIT</t>
  </si>
  <si>
    <t>KIM2:KING MONEY</t>
  </si>
  <si>
    <t>KNL2:KANNALON</t>
  </si>
  <si>
    <t>KODX:KING OF DEFI</t>
  </si>
  <si>
    <t>KOL2:COMMUNITY ALLIANCE</t>
  </si>
  <si>
    <t>KOMP:KOMPASS</t>
  </si>
  <si>
    <t>KOPI:KOPI BLOCKCHAIN</t>
  </si>
  <si>
    <t>KTC3:KRATSCOIN</t>
  </si>
  <si>
    <t>KTON:DARWINIA COMMITMENT TOKEN</t>
  </si>
  <si>
    <t>KTT2:KRINGLE TRADE TOKEN</t>
  </si>
  <si>
    <t>LFEC:THE LONDON FOOTBALL EXCHANGE</t>
  </si>
  <si>
    <t>LIEN:LIEN</t>
  </si>
  <si>
    <t>LK3R:LOCK3R NETWORK</t>
  </si>
  <si>
    <t>LMCH:LATAMCASH</t>
  </si>
  <si>
    <t>LMT2:LAMP888</t>
  </si>
  <si>
    <t>LNOT:LIVENODES TOKEN</t>
  </si>
  <si>
    <t>LNT2:LOTTONATION</t>
  </si>
  <si>
    <t>LOAD:LOAD</t>
  </si>
  <si>
    <t>LONG:LONG COIN</t>
  </si>
  <si>
    <t>LOON:LOON NETWORK</t>
  </si>
  <si>
    <t>LST5:LIBARTYSHARETOKEN</t>
  </si>
  <si>
    <t>LTB2:LITRADEX</t>
  </si>
  <si>
    <t>LTB3:LITBINEX COIN</t>
  </si>
  <si>
    <t>LUCY:LUCY</t>
  </si>
  <si>
    <t>LYFE:LYFE</t>
  </si>
  <si>
    <t>M.CX:MACYS TOKENIZED STOCK</t>
  </si>
  <si>
    <t>MAFI:MAFIA.NETWORK</t>
  </si>
  <si>
    <t>MAHA:MAHA TOKEN</t>
  </si>
  <si>
    <t>MAKI:MAKIV2</t>
  </si>
  <si>
    <t>MANY:MANY</t>
  </si>
  <si>
    <t>MBC4:MYBCERT</t>
  </si>
  <si>
    <t>MBC5:MARBLECOIN</t>
  </si>
  <si>
    <t>MCB3:MCDEX</t>
  </si>
  <si>
    <t>MDTL:MEDALTE</t>
  </si>
  <si>
    <t>METP:METAPREDICTION</t>
  </si>
  <si>
    <t>MHLX:HELIXNETWORK</t>
  </si>
  <si>
    <t>MIKS:MIKS COIN</t>
  </si>
  <si>
    <t>MINI:MINISWAP</t>
  </si>
  <si>
    <t>MIXS:STREAMIX</t>
  </si>
  <si>
    <t>MNFT:MYNONFUNGIBLETOKEN</t>
  </si>
  <si>
    <t>MNR1:MINERAL</t>
  </si>
  <si>
    <t>MOCO:MOCO TOKEN</t>
  </si>
  <si>
    <t>MOST:MOST PROTOCOL</t>
  </si>
  <si>
    <t>MOV2:MOTIV PROTOCOL</t>
  </si>
  <si>
    <t>MPH2:MORPHER</t>
  </si>
  <si>
    <t>MTC4:MTC MESH</t>
  </si>
  <si>
    <t>MTRG:METER</t>
  </si>
  <si>
    <t>MXT2:MIXTRUST</t>
  </si>
  <si>
    <t>MYFI:MYEARN FINANCE</t>
  </si>
  <si>
    <t>MYTV:MYTVCHAIN</t>
  </si>
  <si>
    <t>MYX2:MYX NETWORK</t>
  </si>
  <si>
    <t>NDX2:NEWDEX</t>
  </si>
  <si>
    <t>NEEO:NEEO</t>
  </si>
  <si>
    <t>NFT2:NFT PROTOCOL</t>
  </si>
  <si>
    <t>NILU:NILU</t>
  </si>
  <si>
    <t>NOKN:NOKENCHAIN</t>
  </si>
  <si>
    <t>NORT:NORTHERN</t>
  </si>
  <si>
    <t>NOVO:NOVO</t>
  </si>
  <si>
    <t>NRV2:NRV COIN</t>
  </si>
  <si>
    <t>NSBT:NEUTRINO TOKEN</t>
  </si>
  <si>
    <t>NSRT:NEW SILK ROAD BRICS TOKEN</t>
  </si>
  <si>
    <t>NTX2:NITROEX</t>
  </si>
  <si>
    <t>NUTS:SQUIRREL FINANCE</t>
  </si>
  <si>
    <t>NUVO:NUVO</t>
  </si>
  <si>
    <t>NVZN:INVIZION</t>
  </si>
  <si>
    <t>NZDX:ETORO NZDX</t>
  </si>
  <si>
    <t>OAS2:OAS CHAIN</t>
  </si>
  <si>
    <t>ODIN:ODIN</t>
  </si>
  <si>
    <t>OLCF:OLPORTAL</t>
  </si>
  <si>
    <t>ONES:ONESWAP</t>
  </si>
  <si>
    <t>OPET:ÕPET FOUNDATION</t>
  </si>
  <si>
    <t>OPT3:OPENPREDICT</t>
  </si>
  <si>
    <t>ORAI:ORAICHAIN</t>
  </si>
  <si>
    <t>ORBI:ORBICULAR</t>
  </si>
  <si>
    <t>ORC1:ORACLE SYSTEM</t>
  </si>
  <si>
    <t>OWL2:OWL</t>
  </si>
  <si>
    <t>OWN2:OWN TOKEN</t>
  </si>
  <si>
    <t>P2PS:P2P SOLUTIONS FOUNDATION</t>
  </si>
  <si>
    <t>PBTC:PTOKENS BTC</t>
  </si>
  <si>
    <t>PCT4:PERCENT</t>
  </si>
  <si>
    <t>PERP:USD PERPETUAL</t>
  </si>
  <si>
    <t>PERX:PEEREX</t>
  </si>
  <si>
    <t>PFID:POFID DAO</t>
  </si>
  <si>
    <t>PICA:PICAARTMONEY</t>
  </si>
  <si>
    <t>PLNX:PLNX</t>
  </si>
  <si>
    <t>PLO2:PLOUTOZ</t>
  </si>
  <si>
    <t>POOL:POOLCOIN</t>
  </si>
  <si>
    <t>POP3:POP NETWORK TOKEN</t>
  </si>
  <si>
    <t>POSH:SHILL AND WIN</t>
  </si>
  <si>
    <t>PRIA:PRIA</t>
  </si>
  <si>
    <t>PSHP:PAYSHIP</t>
  </si>
  <si>
    <t>PSK2:POOLSTAKE</t>
  </si>
  <si>
    <t>PTF2:POWERTRADE</t>
  </si>
  <si>
    <t>PUMP:PUMP COIN</t>
  </si>
  <si>
    <t>PUSD:PAYUSD</t>
  </si>
  <si>
    <t>PYRO:PYRO.NETWORK</t>
  </si>
  <si>
    <t>QARK:QAN PLATFORM</t>
  </si>
  <si>
    <t>QQBC:QQBC</t>
  </si>
  <si>
    <t>R.CX:RYDER SYSTEM TOKENIZED STOCK</t>
  </si>
  <si>
    <t>RAKU:RAKUN</t>
  </si>
  <si>
    <t>RAMP:RAMP DEFI</t>
  </si>
  <si>
    <t>RAUX:ERCAUX</t>
  </si>
  <si>
    <t>RDAI:RDAI</t>
  </si>
  <si>
    <t>REAP:REAPCHAIN</t>
  </si>
  <si>
    <t>REL2:RELEVANT</t>
  </si>
  <si>
    <t>RIMO:RIVERMOUNT FINANCE</t>
  </si>
  <si>
    <t>RLD2:REALLAND</t>
  </si>
  <si>
    <t>ROOK:RECKOON</t>
  </si>
  <si>
    <t>RUGZ:PULLTHERUG.FINANCE</t>
  </si>
  <si>
    <t>SAV3:SAV3TOKEN</t>
  </si>
  <si>
    <t>SCHA:SCHAIN WALLET</t>
  </si>
  <si>
    <t>SCN2:SILVER COIN</t>
  </si>
  <si>
    <t>SDT3:TERRA SDT</t>
  </si>
  <si>
    <t>SEEN:SEEN</t>
  </si>
  <si>
    <t>SHUF:SHUFFLE MONSTER</t>
  </si>
  <si>
    <t>SI14:SI14</t>
  </si>
  <si>
    <t>SIC2:SICASH</t>
  </si>
  <si>
    <t>SIPC:SIMPLECHAIN</t>
  </si>
  <si>
    <t>SMDX:SOMIDAX</t>
  </si>
  <si>
    <t>SMNC:SIMPLE MASTERNODE COIN</t>
  </si>
  <si>
    <t>SMOL:SMOL</t>
  </si>
  <si>
    <t>SMPL:SMPL FOUNDATION</t>
  </si>
  <si>
    <t>SNGJ:SINGULAR J</t>
  </si>
  <si>
    <t>SOC2:SODA COIN</t>
  </si>
  <si>
    <t>SODA:SODA TOKEN</t>
  </si>
  <si>
    <t>SOFI:SOCIAL FINANCE</t>
  </si>
  <si>
    <t>SPA2:SPERAX</t>
  </si>
  <si>
    <t>SPH2:SPHEROID UNIVERSE</t>
  </si>
  <si>
    <t>SPOK:SPOCKCHAIN NETWORK</t>
  </si>
  <si>
    <t>SRC3:SUPER RUNNING COIN</t>
  </si>
  <si>
    <t>SSS2:SIMPLE SOFTWARE SOLUTIONS</t>
  </si>
  <si>
    <t>STI2:STIB</t>
  </si>
  <si>
    <t>STMX:CRYPTERIO COIN</t>
  </si>
  <si>
    <t>STOP:SATOPAY NETWORK</t>
  </si>
  <si>
    <t>SUP3:SUP</t>
  </si>
  <si>
    <t>SWAG:SWAG FINANCE</t>
  </si>
  <si>
    <t>SWFL:SWAPFOLIO</t>
  </si>
  <si>
    <t>SWSH:SWAPSHIP</t>
  </si>
  <si>
    <t>SWZL:SWAPZILLA</t>
  </si>
  <si>
    <t>SATT:SATT</t>
  </si>
  <si>
    <t>TACO:TACOS</t>
  </si>
  <si>
    <t>TAT4:TATCOIN</t>
  </si>
  <si>
    <t>TAU3:TAUTRINO</t>
  </si>
  <si>
    <t>TBTC:TBTC</t>
  </si>
  <si>
    <t>TCFX:TCBCOIN</t>
  </si>
  <si>
    <t>TCR2:TECRACOIN</t>
  </si>
  <si>
    <t>TEAT:TEAL TOKEN</t>
  </si>
  <si>
    <t>TFC5:THEFUTBOLCOIN</t>
  </si>
  <si>
    <t>TFD2:ETF DAO</t>
  </si>
  <si>
    <t>TGIC:THE GLOBAL INDEX CHAIN</t>
  </si>
  <si>
    <t>TGT2:TOGETHER GO</t>
  </si>
  <si>
    <t>THC3:THC</t>
  </si>
  <si>
    <t>THRM:THIRM PROTOCOL</t>
  </si>
  <si>
    <t>TIEN:TIEN BLOCKCHAIN</t>
  </si>
  <si>
    <t>MBC2:MICROBITCOIN</t>
  </si>
  <si>
    <t>TOP2:TOP NETWORK</t>
  </si>
  <si>
    <t>PROPS:PROPS TOKEN</t>
  </si>
  <si>
    <t>RIO:REALIO NETWORK</t>
  </si>
  <si>
    <t>SHARE:SEIGNIORAGE SHARES</t>
  </si>
  <si>
    <t>DOUGH:PIEDAO DOUGH V2</t>
  </si>
  <si>
    <t>QTCON:QUIZTOK</t>
  </si>
  <si>
    <t>SHA2:SAFE HAVEN</t>
  </si>
  <si>
    <t>JRT:JARVIS</t>
  </si>
  <si>
    <t>POA:POA NETWORK</t>
  </si>
  <si>
    <t>CPT3:CONTENTS PROTOCOL</t>
  </si>
  <si>
    <t>CRON:CRYPTOCEAN</t>
  </si>
  <si>
    <t>VALOR:SMART VALOR</t>
  </si>
  <si>
    <t>EDR:E-DINAR COIN</t>
  </si>
  <si>
    <t>GRID:GRID+</t>
  </si>
  <si>
    <t>FAT:FATCOIN</t>
  </si>
  <si>
    <t>SAFE2:SAFE</t>
  </si>
  <si>
    <t>LCX2:LCX</t>
  </si>
  <si>
    <t>DCNTR:DECENTRAHUB COIN</t>
  </si>
  <si>
    <t>PMEER:QITMEER</t>
  </si>
  <si>
    <t>STA3:STATERA</t>
  </si>
  <si>
    <t>SWRV:SWERVE</t>
  </si>
  <si>
    <t>ASTA:ASTA</t>
  </si>
  <si>
    <t>GBC2:GOLD BITS COIN</t>
  </si>
  <si>
    <t>ECC:ECC</t>
  </si>
  <si>
    <t>NEU:NEUFUND</t>
  </si>
  <si>
    <t>SURE2:INSURE</t>
  </si>
  <si>
    <t>BC2:BLOCK-CHAIN.COM</t>
  </si>
  <si>
    <t>NSURE:NSURE NETWORK</t>
  </si>
  <si>
    <t>YAX:YAXIS</t>
  </si>
  <si>
    <t>CTI:CLINTEX CTI</t>
  </si>
  <si>
    <t>TCH2:TIGER CASH</t>
  </si>
  <si>
    <t>SOUL2:PHANTASMA PROTOCOL</t>
  </si>
  <si>
    <t>FOR3:THE FORCE PROTOCOL</t>
  </si>
  <si>
    <t>FAB2:FABRK</t>
  </si>
  <si>
    <t>DKKT:DKK TOKEN</t>
  </si>
  <si>
    <t>ACH4:ALCHEMY PAY</t>
  </si>
  <si>
    <t>CLN:COLU LOCAL NETWORK</t>
  </si>
  <si>
    <t>WPP:WPP</t>
  </si>
  <si>
    <t>VNDC:VNDC</t>
  </si>
  <si>
    <t>GET:GUTS TICKETS</t>
  </si>
  <si>
    <t>BIP2:MINTER</t>
  </si>
  <si>
    <t>LYXE:LUKSO</t>
  </si>
  <si>
    <t>HLC:HALALCHAIN</t>
  </si>
  <si>
    <t>RARI:RARIBLE</t>
  </si>
  <si>
    <t>TTC2:TTC PROTOCOL</t>
  </si>
  <si>
    <t>RSTR:ONDORI</t>
  </si>
  <si>
    <t>GAP2:GAPS</t>
  </si>
  <si>
    <t>MXX:MULTIPLIER</t>
  </si>
  <si>
    <t>CDT:COINDASH</t>
  </si>
  <si>
    <t>PLU:PLUTUS</t>
  </si>
  <si>
    <t>AITRA:AITRA</t>
  </si>
  <si>
    <t>AVINOC:AVINOC</t>
  </si>
  <si>
    <t>BIZZ:BIZZCOIN</t>
  </si>
  <si>
    <t>SPARTA:SPARTAN PROTOCOL</t>
  </si>
  <si>
    <t>QLC:QLINK</t>
  </si>
  <si>
    <t>IDLE:IDLE</t>
  </si>
  <si>
    <t>SYM:SYMVERSE</t>
  </si>
  <si>
    <t>SUP8EME:SUP8EME TOKEN</t>
  </si>
  <si>
    <t>TERC:TRONEUROPEREWARDCOIN</t>
  </si>
  <si>
    <t>UFC:UNION FAIR COIN</t>
  </si>
  <si>
    <t>MIC:MINDEXCOIN</t>
  </si>
  <si>
    <t>HYC:HYCON</t>
  </si>
  <si>
    <t>GAMEC:GAME</t>
  </si>
  <si>
    <t>UTN:UNIVERSA</t>
  </si>
  <si>
    <t>EPIC2:EPIC CASH</t>
  </si>
  <si>
    <t>OGO:ORIGO NETWORK</t>
  </si>
  <si>
    <t>GHOST2:GHOST</t>
  </si>
  <si>
    <t>HMC2:HI MUTUAL SOCIETY</t>
  </si>
  <si>
    <t>CNHT:TETHER CHINESE YUAN</t>
  </si>
  <si>
    <t>SCC6:STAKECUBECOIN</t>
  </si>
  <si>
    <t>JOB:JOBCHAIN</t>
  </si>
  <si>
    <t>CRU2:CRUST</t>
  </si>
  <si>
    <t>HDAO:HYPERDAO</t>
  </si>
  <si>
    <t>MIDAS:MIDAS</t>
  </si>
  <si>
    <t>TRADE3:UNITRADE</t>
  </si>
  <si>
    <t>NEW:NEWTON PROJECT</t>
  </si>
  <si>
    <t>VBIT:VALOBIT</t>
  </si>
  <si>
    <t>BPT:BUX PLATFORM TOKEN</t>
  </si>
  <si>
    <t>PTON:FORESTING</t>
  </si>
  <si>
    <t>OST:SIMPLE TOKEN</t>
  </si>
  <si>
    <t>TERN:TERNIO</t>
  </si>
  <si>
    <t>ANJ:ARAGON COURT</t>
  </si>
  <si>
    <t>DADI:EDGE</t>
  </si>
  <si>
    <t>MOR3:MORCRYPTO COIN</t>
  </si>
  <si>
    <t>NAVI:NAVIAADDRESS</t>
  </si>
  <si>
    <t>USDX:USDX</t>
  </si>
  <si>
    <t>CHIP:REALCASINO</t>
  </si>
  <si>
    <t>OSC:OASIS CITY</t>
  </si>
  <si>
    <t>OG:OG FAN TOKEN</t>
  </si>
  <si>
    <t>ANY3:ANYSWAP</t>
  </si>
  <si>
    <t>SPDR:SPIDERDAO</t>
  </si>
  <si>
    <t>HOMI:HOMIHELP</t>
  </si>
  <si>
    <t>CTC:CREDIT TAG CHAIN</t>
  </si>
  <si>
    <t>HOLD:INTERSTELLAR HOLDINGS</t>
  </si>
  <si>
    <t>BLY:BLOCERY</t>
  </si>
  <si>
    <t>WIS:EXPERTY WISDOM TOKEN</t>
  </si>
  <si>
    <t>HGET:HEDGET</t>
  </si>
  <si>
    <t>CRAVE:CRAVE</t>
  </si>
  <si>
    <t>ECO4:ORMEUS ECOSYSTEM</t>
  </si>
  <si>
    <t>AT2:ARTFINITY</t>
  </si>
  <si>
    <t>YOU2:YOU COIN</t>
  </si>
  <si>
    <t>JUL3:JUSTLIQUIDITY</t>
  </si>
  <si>
    <t>SNGLS:SNGLS DAO</t>
  </si>
  <si>
    <t>NAX:NEXTDAO</t>
  </si>
  <si>
    <t>BUBO:BUDBO</t>
  </si>
  <si>
    <t>IDRT:RUPIAH TOKEN</t>
  </si>
  <si>
    <t>EXM:EXMO COIN</t>
  </si>
  <si>
    <t>GEO2:GEODB</t>
  </si>
  <si>
    <t>MIX2:MIX</t>
  </si>
  <si>
    <t>DTEP:DECOIN</t>
  </si>
  <si>
    <t>SHP:SHARPE CAPITAL</t>
  </si>
  <si>
    <t>APY:APY FINANCE</t>
  </si>
  <si>
    <t>SHIFT:SHIFT</t>
  </si>
  <si>
    <t>LINKA:LINKA</t>
  </si>
  <si>
    <t>CLB:CLOUDBRIC</t>
  </si>
  <si>
    <t>MFG:SYNCFAB</t>
  </si>
  <si>
    <t>BTX:BITCORE</t>
  </si>
  <si>
    <t>CGT2:CACHE GOLD</t>
  </si>
  <si>
    <t>SYLO:SYLO</t>
  </si>
  <si>
    <t>VNT2:VNT CHAIN</t>
  </si>
  <si>
    <t>TFBX</t>
  </si>
  <si>
    <t>OST</t>
  </si>
  <si>
    <t>Beaxy</t>
  </si>
  <si>
    <t>BXY</t>
  </si>
  <si>
    <t>MultiVAC</t>
  </si>
  <si>
    <t>MTV</t>
  </si>
  <si>
    <t>Safe Haven</t>
  </si>
  <si>
    <t>SHA</t>
  </si>
  <si>
    <t>QuadrantProtocol</t>
  </si>
  <si>
    <t>EQUAD</t>
  </si>
  <si>
    <t>ATN</t>
  </si>
  <si>
    <t>Rewardiqa</t>
  </si>
  <si>
    <t>REW</t>
  </si>
  <si>
    <t>X8X Token</t>
  </si>
  <si>
    <t>X8X</t>
  </si>
  <si>
    <t>Wirex Token</t>
  </si>
  <si>
    <t>WXT</t>
  </si>
  <si>
    <t>VINchain</t>
  </si>
  <si>
    <t>VIN</t>
  </si>
  <si>
    <t>ILCOIN</t>
  </si>
  <si>
    <t>ILC</t>
  </si>
  <si>
    <t>BASIC</t>
  </si>
  <si>
    <t>FIBOS</t>
  </si>
  <si>
    <t>FO</t>
  </si>
  <si>
    <t>CryptoAds Marketplace</t>
  </si>
  <si>
    <t>CRAD</t>
  </si>
  <si>
    <t>Blockmason Credit Protocol</t>
  </si>
  <si>
    <t>BCPT</t>
  </si>
  <si>
    <t>Devery</t>
  </si>
  <si>
    <t>EVE</t>
  </si>
  <si>
    <t>Proton</t>
  </si>
  <si>
    <t>XPR</t>
  </si>
  <si>
    <t>Valobit</t>
  </si>
  <si>
    <t>VBIT</t>
  </si>
  <si>
    <t>DopeCoin</t>
  </si>
  <si>
    <t>DOPE</t>
  </si>
  <si>
    <t>Mixin</t>
  </si>
  <si>
    <t>XIN</t>
  </si>
  <si>
    <t>ELYSIA</t>
  </si>
  <si>
    <t>EL</t>
  </si>
  <si>
    <t>Kattana</t>
  </si>
  <si>
    <t>KTN</t>
  </si>
  <si>
    <t>Digitex</t>
  </si>
  <si>
    <t>DGTX</t>
  </si>
  <si>
    <t>ECOMI</t>
  </si>
  <si>
    <t>OMI</t>
  </si>
  <si>
    <t>Buggyra Coin Zero</t>
  </si>
  <si>
    <t>BCZERO</t>
  </si>
  <si>
    <t>Minter Network</t>
  </si>
  <si>
    <t>BIP</t>
  </si>
  <si>
    <t>BEPRO Network</t>
  </si>
  <si>
    <t>BEPRO</t>
  </si>
  <si>
    <t>Amon</t>
  </si>
  <si>
    <t>AMN</t>
  </si>
  <si>
    <t>LINKA</t>
  </si>
  <si>
    <t>Pakcoin</t>
  </si>
  <si>
    <t>PAK</t>
  </si>
  <si>
    <t>MIB Coin</t>
  </si>
  <si>
    <t>MIB</t>
  </si>
  <si>
    <t>Zetacoin</t>
  </si>
  <si>
    <t>ZET</t>
  </si>
  <si>
    <t>APR Coin</t>
  </si>
  <si>
    <t>APR</t>
  </si>
  <si>
    <t>Observer</t>
  </si>
  <si>
    <t>OBSR</t>
  </si>
  <si>
    <t>ATC Coin</t>
  </si>
  <si>
    <t>ATCC</t>
  </si>
  <si>
    <t>ZEON</t>
  </si>
  <si>
    <t>YIELD App</t>
  </si>
  <si>
    <t>YLD</t>
  </si>
  <si>
    <t>BOLT</t>
  </si>
  <si>
    <t>Apex</t>
  </si>
  <si>
    <t>CPX</t>
  </si>
  <si>
    <t>CEEK VR</t>
  </si>
  <si>
    <t>CEEK</t>
  </si>
  <si>
    <t>Maecenas</t>
  </si>
  <si>
    <t>ART</t>
  </si>
  <si>
    <t>suterusu</t>
  </si>
  <si>
    <t>SUTER</t>
  </si>
  <si>
    <t>ROOBEE</t>
  </si>
  <si>
    <t>MixMarvel</t>
  </si>
  <si>
    <t>MIX</t>
  </si>
  <si>
    <t>Myriad</t>
  </si>
  <si>
    <t>XMY</t>
  </si>
  <si>
    <t>Precium</t>
  </si>
  <si>
    <t>PCM</t>
  </si>
  <si>
    <t>SmartMesh</t>
  </si>
  <si>
    <t>SMT</t>
  </si>
  <si>
    <t>SINOVATE</t>
  </si>
  <si>
    <t>SIN</t>
  </si>
  <si>
    <t>Dragon Coins</t>
  </si>
  <si>
    <t>DRG</t>
  </si>
  <si>
    <t>Substratum</t>
  </si>
  <si>
    <t>SUB</t>
  </si>
  <si>
    <t>1irstcoin</t>
  </si>
  <si>
    <t>FST</t>
  </si>
  <si>
    <t>Cred</t>
  </si>
  <si>
    <t>LBA</t>
  </si>
  <si>
    <t>Mcashchain</t>
  </si>
  <si>
    <t>MCASH</t>
  </si>
  <si>
    <t>Blockpass</t>
  </si>
  <si>
    <t>PASS</t>
  </si>
  <si>
    <t>Netko</t>
  </si>
  <si>
    <t>NETKO</t>
  </si>
  <si>
    <t>AmonD</t>
  </si>
  <si>
    <t>AMON</t>
  </si>
  <si>
    <t>IntelliShare</t>
  </si>
  <si>
    <t>INE</t>
  </si>
  <si>
    <t>Scry.info</t>
  </si>
  <si>
    <t>DDD</t>
  </si>
  <si>
    <t>Lead Wallet</t>
  </si>
  <si>
    <t>LEAD</t>
  </si>
  <si>
    <t>Digital Insurance Token</t>
  </si>
  <si>
    <t>DIT</t>
  </si>
  <si>
    <t>CoinJanitor</t>
  </si>
  <si>
    <t>JAN</t>
  </si>
  <si>
    <t>Phoenix Global</t>
  </si>
  <si>
    <t>PHB</t>
  </si>
  <si>
    <t>Open Platform</t>
  </si>
  <si>
    <t>OPEN</t>
  </si>
  <si>
    <t>LuckChain</t>
  </si>
  <si>
    <t>BASH</t>
  </si>
  <si>
    <t>Lisk Machine Learning</t>
  </si>
  <si>
    <t>LML</t>
  </si>
  <si>
    <t>DragonVein</t>
  </si>
  <si>
    <t>DVC</t>
  </si>
  <si>
    <t>Open Governance Token</t>
  </si>
  <si>
    <t>STK</t>
  </si>
  <si>
    <t>BaaSid</t>
  </si>
  <si>
    <t>BAAS</t>
  </si>
  <si>
    <t>TransferCoin</t>
  </si>
  <si>
    <t>TX</t>
  </si>
  <si>
    <t>Sint-Truidense Voetbalvereniging Fan Token</t>
  </si>
  <si>
    <t>STV</t>
  </si>
  <si>
    <t>Waifu Token</t>
  </si>
  <si>
    <t>WAIF</t>
  </si>
  <si>
    <t>Cappasity</t>
  </si>
  <si>
    <t>CAPP</t>
  </si>
  <si>
    <t>ChatCoin</t>
  </si>
  <si>
    <t>CHAT</t>
  </si>
  <si>
    <t>AICHAIN</t>
  </si>
  <si>
    <t>AIT</t>
  </si>
  <si>
    <t>Flashstake</t>
  </si>
  <si>
    <t>FLASH</t>
  </si>
  <si>
    <t>Bancacy</t>
  </si>
  <si>
    <t>BNY</t>
  </si>
  <si>
    <t>Advanced Technology Coin</t>
  </si>
  <si>
    <t>ARC</t>
  </si>
  <si>
    <t>Time New Bank</t>
  </si>
  <si>
    <t>TNB</t>
  </si>
  <si>
    <t>Kambria</t>
  </si>
  <si>
    <t>KAT</t>
  </si>
  <si>
    <t>FairGame</t>
  </si>
  <si>
    <t>FAIR</t>
  </si>
  <si>
    <t>Zebi Token</t>
  </si>
  <si>
    <t>ZEBI</t>
  </si>
  <si>
    <t>Eden</t>
  </si>
  <si>
    <t>EDN</t>
  </si>
  <si>
    <t>InvestDigital</t>
  </si>
  <si>
    <t>IDT</t>
  </si>
  <si>
    <t>Master Contract Token</t>
  </si>
  <si>
    <t>MCT</t>
  </si>
  <si>
    <t>BitTorrent</t>
  </si>
  <si>
    <t>BTT</t>
  </si>
  <si>
    <t>BitKan</t>
  </si>
  <si>
    <t>KAN</t>
  </si>
  <si>
    <t>OceanEx Token</t>
  </si>
  <si>
    <t>OCE</t>
  </si>
  <si>
    <t>eosDAC</t>
  </si>
  <si>
    <t>EOSDAC</t>
  </si>
  <si>
    <t>PANTHEON X</t>
  </si>
  <si>
    <t>XPN</t>
  </si>
  <si>
    <t>Sharder</t>
  </si>
  <si>
    <t>SS</t>
  </si>
  <si>
    <t>The ChampCoin</t>
  </si>
  <si>
    <t>TCC</t>
  </si>
  <si>
    <t>Bitsdaq</t>
  </si>
  <si>
    <t>BQQQ</t>
  </si>
  <si>
    <t>PIXEL</t>
  </si>
  <si>
    <t>PXL</t>
  </si>
  <si>
    <t>Metaverse Dualchain Network Architecture</t>
  </si>
  <si>
    <t>DNA</t>
  </si>
  <si>
    <t>Geeq</t>
  </si>
  <si>
    <t>GEEQ</t>
  </si>
  <si>
    <t>0xcert</t>
  </si>
  <si>
    <t>ZXC</t>
  </si>
  <si>
    <t>MintMe.com Coin</t>
  </si>
  <si>
    <t>MINTME</t>
  </si>
  <si>
    <t>Ether Zero</t>
  </si>
  <si>
    <t>ETZ</t>
  </si>
  <si>
    <t>Hifi Finance</t>
  </si>
  <si>
    <t>MFT</t>
  </si>
  <si>
    <t>BLink</t>
  </si>
  <si>
    <t>BLINK</t>
  </si>
  <si>
    <t>Dev Protocol</t>
  </si>
  <si>
    <t>DEV</t>
  </si>
  <si>
    <t>Dent</t>
  </si>
  <si>
    <t>DENT</t>
  </si>
  <si>
    <t>RAI Finance</t>
  </si>
  <si>
    <t>RAI</t>
  </si>
  <si>
    <t>Titan Coin</t>
  </si>
  <si>
    <t>TTN</t>
  </si>
  <si>
    <t>Yap Stone</t>
  </si>
  <si>
    <t>YAP</t>
  </si>
  <si>
    <t>HorusPay</t>
  </si>
  <si>
    <t>HORUS</t>
  </si>
  <si>
    <t>CoinFi</t>
  </si>
  <si>
    <t>COFI</t>
  </si>
  <si>
    <t>8X8 PROTOCOL</t>
  </si>
  <si>
    <t>EXE</t>
  </si>
  <si>
    <t>HOQU</t>
  </si>
  <si>
    <t>HQX</t>
  </si>
  <si>
    <t>inSure DeFi</t>
  </si>
  <si>
    <t>SURE</t>
  </si>
  <si>
    <t>ReddCoin</t>
  </si>
  <si>
    <t>RDD</t>
  </si>
  <si>
    <t>Apollo Currency</t>
  </si>
  <si>
    <t>APL</t>
  </si>
  <si>
    <t>SuperFarm</t>
  </si>
  <si>
    <t>SUPER</t>
  </si>
  <si>
    <t>GAMB</t>
  </si>
  <si>
    <t>GMB</t>
  </si>
  <si>
    <t>Essentia</t>
  </si>
  <si>
    <t>ESS</t>
  </si>
  <si>
    <t>Apollon Limassol</t>
  </si>
  <si>
    <t>BitCapitalVendor</t>
  </si>
  <si>
    <t>BCV</t>
  </si>
  <si>
    <t>Yellow Road</t>
  </si>
  <si>
    <t>ROAD</t>
  </si>
  <si>
    <t>DAOBet</t>
  </si>
  <si>
    <t>BET</t>
  </si>
  <si>
    <t>Permission Coin</t>
  </si>
  <si>
    <t>ASK</t>
  </si>
  <si>
    <t>VIDY</t>
  </si>
  <si>
    <t>Bird.Money</t>
  </si>
  <si>
    <t>BIRD</t>
  </si>
  <si>
    <t>BiFi</t>
  </si>
  <si>
    <t>BIFI</t>
  </si>
  <si>
    <t>Skrumble Network</t>
  </si>
  <si>
    <t>SKM</t>
  </si>
  <si>
    <t>Antiample</t>
  </si>
  <si>
    <t>XAMP</t>
  </si>
  <si>
    <t>EchoLink</t>
  </si>
  <si>
    <t>EKO</t>
  </si>
  <si>
    <t>Birdchain</t>
  </si>
  <si>
    <t>Snovian.Space</t>
  </si>
  <si>
    <t>SNOV</t>
  </si>
  <si>
    <t>LGCY Network</t>
  </si>
  <si>
    <t>LGCY</t>
  </si>
  <si>
    <t>Centaur</t>
  </si>
  <si>
    <t>CNTR</t>
  </si>
  <si>
    <t>NextDAO</t>
  </si>
  <si>
    <t>NAX</t>
  </si>
  <si>
    <t>Litex</t>
  </si>
  <si>
    <t>LXT</t>
  </si>
  <si>
    <t>adbank</t>
  </si>
  <si>
    <t>ADB</t>
  </si>
  <si>
    <t>Decentralized Vulnerability Platform</t>
  </si>
  <si>
    <t>DVP</t>
  </si>
  <si>
    <t>NeuroChain</t>
  </si>
  <si>
    <t>NCC</t>
  </si>
  <si>
    <t>Debitum</t>
  </si>
  <si>
    <t>DEB</t>
  </si>
  <si>
    <t>BlueCoin</t>
  </si>
  <si>
    <t>BLU</t>
  </si>
  <si>
    <t>LunchMoney</t>
  </si>
  <si>
    <t>LMY</t>
  </si>
  <si>
    <t>MyBit</t>
  </si>
  <si>
    <t>MYB</t>
  </si>
  <si>
    <t>Endor Protocol</t>
  </si>
  <si>
    <t>EDR</t>
  </si>
  <si>
    <t>TOP</t>
  </si>
  <si>
    <t>TraDove B2BCoin</t>
  </si>
  <si>
    <t>BBC</t>
  </si>
  <si>
    <t>xRhodium</t>
  </si>
  <si>
    <t>XRC</t>
  </si>
  <si>
    <t>AI Doctor</t>
  </si>
  <si>
    <t>AIDOC</t>
  </si>
  <si>
    <t>TrezarCoin</t>
  </si>
  <si>
    <t>TZC</t>
  </si>
  <si>
    <t>Artfinity</t>
  </si>
  <si>
    <t>AT</t>
  </si>
  <si>
    <t>DEXTools</t>
  </si>
  <si>
    <t>DEXT</t>
  </si>
  <si>
    <t>VestChain</t>
  </si>
  <si>
    <t>VEST</t>
  </si>
  <si>
    <t>CONUN</t>
  </si>
  <si>
    <t>CON</t>
  </si>
  <si>
    <t>Spheroid Universe</t>
  </si>
  <si>
    <t>SPH</t>
  </si>
  <si>
    <t>Trollcoin</t>
  </si>
  <si>
    <t>TROLL</t>
  </si>
  <si>
    <t>FYDcoin</t>
  </si>
  <si>
    <t>FYD</t>
  </si>
  <si>
    <t>XTRABYTES</t>
  </si>
  <si>
    <t>XBY</t>
  </si>
  <si>
    <t>Friendz</t>
  </si>
  <si>
    <t>FDZ</t>
  </si>
  <si>
    <t>OneRoot Network</t>
  </si>
  <si>
    <t>RNT</t>
  </si>
  <si>
    <t>Davinci Coin</t>
  </si>
  <si>
    <t>DAC</t>
  </si>
  <si>
    <t>Nucleus Vision</t>
  </si>
  <si>
    <t>NCASH</t>
  </si>
  <si>
    <t>The Midas Touch Gold</t>
  </si>
  <si>
    <t>TMTG</t>
  </si>
  <si>
    <t>BOX Token</t>
  </si>
  <si>
    <t>BOX</t>
  </si>
  <si>
    <t>Datum</t>
  </si>
  <si>
    <t>DAT</t>
  </si>
  <si>
    <t>ContentBox</t>
  </si>
  <si>
    <t>Heart Number</t>
  </si>
  <si>
    <t>HTN</t>
  </si>
  <si>
    <t>Bottos</t>
  </si>
  <si>
    <t>BTO</t>
  </si>
  <si>
    <t>ParallelCoin</t>
  </si>
  <si>
    <t>DUO</t>
  </si>
  <si>
    <t>AMO Coin</t>
  </si>
  <si>
    <t>AMO</t>
  </si>
  <si>
    <t>SwftCoin</t>
  </si>
  <si>
    <t>SWFTC</t>
  </si>
  <si>
    <t>Egretia</t>
  </si>
  <si>
    <t>EGT</t>
  </si>
  <si>
    <t>Float Protocol</t>
  </si>
  <si>
    <t>BANK</t>
  </si>
  <si>
    <t>Atlas Protocol</t>
  </si>
  <si>
    <t>ATP</t>
  </si>
  <si>
    <t>Remme</t>
  </si>
  <si>
    <t>REM</t>
  </si>
  <si>
    <t>DAV Coin</t>
  </si>
  <si>
    <t>DAV</t>
  </si>
  <si>
    <t>BitDegree</t>
  </si>
  <si>
    <t>BDG</t>
  </si>
  <si>
    <t>DigitalNote</t>
  </si>
  <si>
    <t>XDN</t>
  </si>
  <si>
    <t>EUNO</t>
  </si>
  <si>
    <t>Investcoin</t>
  </si>
  <si>
    <t>INVC</t>
  </si>
  <si>
    <t>Spiking</t>
  </si>
  <si>
    <t>SPIKE</t>
  </si>
  <si>
    <t>YEE</t>
  </si>
  <si>
    <t>Xensor</t>
  </si>
  <si>
    <t>XSR</t>
  </si>
  <si>
    <t>Ink Protocol</t>
  </si>
  <si>
    <t>XNK</t>
  </si>
  <si>
    <t>Aurora</t>
  </si>
  <si>
    <t>AOA</t>
  </si>
  <si>
    <t>ProximaX</t>
  </si>
  <si>
    <t>XPX</t>
  </si>
  <si>
    <t>UCA Coin</t>
  </si>
  <si>
    <t>UCA</t>
  </si>
  <si>
    <t>SaTT</t>
  </si>
  <si>
    <t>SATT</t>
  </si>
  <si>
    <t>JustBet</t>
  </si>
  <si>
    <t>WINR</t>
  </si>
  <si>
    <t>Catex Token</t>
  </si>
  <si>
    <t>CATT</t>
  </si>
  <si>
    <t>ZumCoin</t>
  </si>
  <si>
    <t>ZUM</t>
  </si>
  <si>
    <t>ShipChain</t>
  </si>
  <si>
    <t>SHIP</t>
  </si>
  <si>
    <t>Equal</t>
  </si>
  <si>
    <t>EQL</t>
  </si>
  <si>
    <t>Bitblocks</t>
  </si>
  <si>
    <t>BBK</t>
  </si>
  <si>
    <t>Coinsuper Ecosystem Network</t>
  </si>
  <si>
    <t>CEN</t>
  </si>
  <si>
    <t>Bonpay</t>
  </si>
  <si>
    <t>BON</t>
  </si>
  <si>
    <t>DxChain Token</t>
  </si>
  <si>
    <t>DX</t>
  </si>
  <si>
    <t>Carry</t>
  </si>
  <si>
    <t>CRE</t>
  </si>
  <si>
    <t>PIBBLE</t>
  </si>
  <si>
    <t>PIB</t>
  </si>
  <si>
    <t>Jobchain</t>
  </si>
  <si>
    <t>JOB</t>
  </si>
  <si>
    <t>AudioCoin</t>
  </si>
  <si>
    <t>ADC</t>
  </si>
  <si>
    <t>pEOS</t>
  </si>
  <si>
    <t>PEOS</t>
  </si>
  <si>
    <t>Manna</t>
  </si>
  <si>
    <t>MANNA</t>
  </si>
  <si>
    <t>Gene Source Code Chain</t>
  </si>
  <si>
    <t>GENE</t>
  </si>
  <si>
    <t>FinNexus</t>
  </si>
  <si>
    <t>FNX</t>
  </si>
  <si>
    <t>GoldFund</t>
  </si>
  <si>
    <t>GFUN</t>
  </si>
  <si>
    <t>Clash Token</t>
  </si>
  <si>
    <t>SCT</t>
  </si>
  <si>
    <t>Odyssey</t>
  </si>
  <si>
    <t>OCN</t>
  </si>
  <si>
    <t>CannabisCoin</t>
  </si>
  <si>
    <t>CANN</t>
  </si>
  <si>
    <t>Global Cryptocurrency</t>
  </si>
  <si>
    <t>GCC</t>
  </si>
  <si>
    <t>Lethean</t>
  </si>
  <si>
    <t>LTHN</t>
  </si>
  <si>
    <t>Rate3</t>
  </si>
  <si>
    <t>RTE</t>
  </si>
  <si>
    <t>Ink</t>
  </si>
  <si>
    <t>INK</t>
  </si>
  <si>
    <t>ZelaaPayAE</t>
  </si>
  <si>
    <t>ZPAE</t>
  </si>
  <si>
    <t>CWV Chain</t>
  </si>
  <si>
    <t>CWV</t>
  </si>
  <si>
    <t>Crust Shadow</t>
  </si>
  <si>
    <t>CSM</t>
  </si>
  <si>
    <t>KeeperDAO</t>
  </si>
  <si>
    <t>ROOK</t>
  </si>
  <si>
    <t>Tripio</t>
  </si>
  <si>
    <t>TRIO</t>
  </si>
  <si>
    <t>CommerceBlock</t>
  </si>
  <si>
    <t>CBT</t>
  </si>
  <si>
    <t>Bittwatt</t>
  </si>
  <si>
    <t>BWT</t>
  </si>
  <si>
    <t>InterValue</t>
  </si>
  <si>
    <t>INVE</t>
  </si>
  <si>
    <t>Etherparty</t>
  </si>
  <si>
    <t>FUEL</t>
  </si>
  <si>
    <t>HashBX</t>
  </si>
  <si>
    <t>HBX</t>
  </si>
  <si>
    <t>Cosmo Coin</t>
  </si>
  <si>
    <t>COSM</t>
  </si>
  <si>
    <t>Electrify.Asia</t>
  </si>
  <si>
    <t>ELEC</t>
  </si>
  <si>
    <t>SophiaTX</t>
  </si>
  <si>
    <t>SPHTX</t>
  </si>
  <si>
    <t>Bounty0x</t>
  </si>
  <si>
    <t>BNTY</t>
  </si>
  <si>
    <t>BlitzPick</t>
  </si>
  <si>
    <t>XBP</t>
  </si>
  <si>
    <t>Trinity Network Credit</t>
  </si>
  <si>
    <t>TNC</t>
  </si>
  <si>
    <t>PegNet</t>
  </si>
  <si>
    <t>PEG</t>
  </si>
  <si>
    <t>Mobilian Coin</t>
  </si>
  <si>
    <t>MBN</t>
  </si>
  <si>
    <t>Raven Protocol</t>
  </si>
  <si>
    <t>RAVEN</t>
  </si>
  <si>
    <t>Merculet</t>
  </si>
  <si>
    <t>MVP</t>
  </si>
  <si>
    <t>BeatzCoin</t>
  </si>
  <si>
    <t>BTZC</t>
  </si>
  <si>
    <t>Open Predict Token</t>
  </si>
  <si>
    <t>OPT</t>
  </si>
  <si>
    <t>Ecobit</t>
  </si>
  <si>
    <t>ECOB</t>
  </si>
  <si>
    <t>Membrana</t>
  </si>
  <si>
    <t>Bao Finance</t>
  </si>
  <si>
    <t>BAO</t>
  </si>
  <si>
    <t>YGGDRASH</t>
  </si>
  <si>
    <t>YEED</t>
  </si>
  <si>
    <t>THEKEY</t>
  </si>
  <si>
    <t>TKY</t>
  </si>
  <si>
    <t>FNB Protocol</t>
  </si>
  <si>
    <t>FNB</t>
  </si>
  <si>
    <t>Wilder World</t>
  </si>
  <si>
    <t>WILD</t>
  </si>
  <si>
    <t>Tap</t>
  </si>
  <si>
    <t>XTP</t>
  </si>
  <si>
    <t>DATx</t>
  </si>
  <si>
    <t>DATX</t>
  </si>
  <si>
    <t>DACSEE</t>
  </si>
  <si>
    <t>DACS</t>
  </si>
  <si>
    <t>DomRaider</t>
  </si>
  <si>
    <t>DRT</t>
  </si>
  <si>
    <t>Crypton</t>
  </si>
  <si>
    <t>CRP</t>
  </si>
  <si>
    <t>IHT Real Estate Protocol</t>
  </si>
  <si>
    <t>IHT</t>
  </si>
  <si>
    <t>adToken</t>
  </si>
  <si>
    <t>ADT</t>
  </si>
  <si>
    <t>Bifrost (BFC)</t>
  </si>
  <si>
    <t>BFC</t>
  </si>
  <si>
    <t>Bankera</t>
  </si>
  <si>
    <t>BNK</t>
  </si>
  <si>
    <t>Metrix Coin</t>
  </si>
  <si>
    <t>MRX</t>
  </si>
  <si>
    <t>Big Data Protocol</t>
  </si>
  <si>
    <t>BDP</t>
  </si>
  <si>
    <t>Scala</t>
  </si>
  <si>
    <t>XLA</t>
  </si>
  <si>
    <t>Defis Network</t>
  </si>
  <si>
    <t>DFS</t>
  </si>
  <si>
    <t>Nuggets</t>
  </si>
  <si>
    <t>NUG</t>
  </si>
  <si>
    <t>Coinsbit Token</t>
  </si>
  <si>
    <t>CNB</t>
  </si>
  <si>
    <t>Zeepin</t>
  </si>
  <si>
    <t>ZPT</t>
  </si>
  <si>
    <t>Auto</t>
  </si>
  <si>
    <t>AUTO</t>
  </si>
  <si>
    <t>Modefi</t>
  </si>
  <si>
    <t>MOD</t>
  </si>
  <si>
    <t>Folgory Coin</t>
  </si>
  <si>
    <t>FLG</t>
  </si>
  <si>
    <t>Voise</t>
  </si>
  <si>
    <t>VOISE</t>
  </si>
  <si>
    <t>DTA</t>
  </si>
  <si>
    <t>Cube</t>
  </si>
  <si>
    <t>IG Gold</t>
  </si>
  <si>
    <t>IGG</t>
  </si>
  <si>
    <t>carVertical</t>
  </si>
  <si>
    <t>CV</t>
  </si>
  <si>
    <t>Falcon Project</t>
  </si>
  <si>
    <t>FNT</t>
  </si>
  <si>
    <t>Polkalokr</t>
  </si>
  <si>
    <t>LKR</t>
  </si>
  <si>
    <t>PluraCoin</t>
  </si>
  <si>
    <t>PLURA</t>
  </si>
  <si>
    <t>Beetle Coin</t>
  </si>
  <si>
    <t>BEET</t>
  </si>
  <si>
    <t>Bitpanda Ecosystem Token</t>
  </si>
  <si>
    <t>BEST</t>
  </si>
  <si>
    <t>Wink</t>
  </si>
  <si>
    <t>WIN</t>
  </si>
  <si>
    <t>Bytecoin</t>
  </si>
  <si>
    <t>BCN</t>
  </si>
  <si>
    <t>Galatasaray Fan Token</t>
  </si>
  <si>
    <t>GAL</t>
  </si>
  <si>
    <t>UBIX.Network</t>
  </si>
  <si>
    <t>UBX</t>
  </si>
  <si>
    <t>Newton</t>
  </si>
  <si>
    <t>NEW</t>
  </si>
  <si>
    <t>WebDollar</t>
  </si>
  <si>
    <t>WEBD</t>
  </si>
  <si>
    <t>Linker Coin</t>
  </si>
  <si>
    <t>LNC</t>
  </si>
  <si>
    <t>BitcoinZ</t>
  </si>
  <si>
    <t>BTCZ</t>
  </si>
  <si>
    <t>U Network</t>
  </si>
  <si>
    <t>UUU</t>
  </si>
  <si>
    <t>Energo</t>
  </si>
  <si>
    <t>TSL</t>
  </si>
  <si>
    <t>ACoconut</t>
  </si>
  <si>
    <t>AC</t>
  </si>
  <si>
    <t>BonusCloud</t>
  </si>
  <si>
    <t>BXC</t>
  </si>
  <si>
    <t>GoWithMi</t>
  </si>
  <si>
    <t>GMAT</t>
  </si>
  <si>
    <t>TigerCash</t>
  </si>
  <si>
    <t>TCH</t>
  </si>
  <si>
    <t>Typerium</t>
  </si>
  <si>
    <t>TYPE</t>
  </si>
  <si>
    <t>extraDNA</t>
  </si>
  <si>
    <t>XDNA</t>
  </si>
  <si>
    <t>DPRating</t>
  </si>
  <si>
    <t>RATING</t>
  </si>
  <si>
    <t>FuzeX</t>
  </si>
  <si>
    <t>FXT</t>
  </si>
  <si>
    <t>ZPER</t>
  </si>
  <si>
    <t>ZPR</t>
  </si>
  <si>
    <t>Crust Network</t>
  </si>
  <si>
    <t>CRU</t>
  </si>
  <si>
    <t>Crust</t>
  </si>
  <si>
    <t>TrustSwap</t>
  </si>
  <si>
    <t>SWAP</t>
  </si>
  <si>
    <t>BABB</t>
  </si>
  <si>
    <t>BAX</t>
  </si>
  <si>
    <t>InsurAce</t>
  </si>
  <si>
    <t>INSUR</t>
  </si>
  <si>
    <t>ToaCoin</t>
  </si>
  <si>
    <t>TOA</t>
  </si>
  <si>
    <t>Filecash</t>
  </si>
  <si>
    <t>FIC</t>
  </si>
  <si>
    <t>XMax</t>
  </si>
  <si>
    <t>XMX</t>
  </si>
  <si>
    <t>Ravencoin Classic</t>
  </si>
  <si>
    <t>ROT:ROTTEN</t>
  </si>
  <si>
    <t>SNRG:SYNERGY</t>
  </si>
  <si>
    <t>TRAK:TRAKINVEST</t>
  </si>
  <si>
    <t>LYNC:LYNC NETWORK</t>
  </si>
  <si>
    <t>PIPT:POWER INDEX POOL TOKEN</t>
  </si>
  <si>
    <t>LINDA:LINDA</t>
  </si>
  <si>
    <t>WTN:WAL-E</t>
  </si>
  <si>
    <t>ARDX:ARDCOIN</t>
  </si>
  <si>
    <t>C3W:C3 WALLET</t>
  </si>
  <si>
    <t>TDPS:TRADEPLUS</t>
  </si>
  <si>
    <t>BWK:BULWARK</t>
  </si>
  <si>
    <t>IQ2:IQ.CASH</t>
  </si>
  <si>
    <t>HBN:HOBONICKELS</t>
  </si>
  <si>
    <t>SPD2:SPINDLE</t>
  </si>
  <si>
    <t>GHOST:GHOSTPRISM</t>
  </si>
  <si>
    <t>LIBERTAS:LIBERTAS TOKEN</t>
  </si>
  <si>
    <t>OIN:OIN FINANCE</t>
  </si>
  <si>
    <t>SEQ:SEQUENCE</t>
  </si>
  <si>
    <t>ACM2:ACTINIUM</t>
  </si>
  <si>
    <t>CHART:CHARTEX</t>
  </si>
  <si>
    <t>ETK:ENERGITOKEN</t>
  </si>
  <si>
    <t>UCOIN:UCOIN</t>
  </si>
  <si>
    <t>UP:UPTOKEN</t>
  </si>
  <si>
    <t>SNOV:SNOVIO</t>
  </si>
  <si>
    <t>EGC:EVERGREENCOIN</t>
  </si>
  <si>
    <t>KFX:KNOXFS</t>
  </si>
  <si>
    <t>SDA2:ESDCHAIN</t>
  </si>
  <si>
    <t>RVR:REVOLUTIONVR</t>
  </si>
  <si>
    <t>PTX2:PATENTTX</t>
  </si>
  <si>
    <t>UCAP:UNICAP.FINANCE</t>
  </si>
  <si>
    <t>YMPL:YMPL</t>
  </si>
  <si>
    <t>GBX2:GOBYTE</t>
  </si>
  <si>
    <t>PWR:POWERCOIN</t>
  </si>
  <si>
    <t>LEAF3:LEAFCOIN</t>
  </si>
  <si>
    <t>TFD:TE-FOOD</t>
  </si>
  <si>
    <t>ZEBI:ZEBI</t>
  </si>
  <si>
    <t>FLOW2:FLOW PROTOCOL</t>
  </si>
  <si>
    <t>DUO:PARALLELCOIN</t>
  </si>
  <si>
    <t>EQT:EQUITRADER</t>
  </si>
  <si>
    <t>SEAL2:SEALCHAIN</t>
  </si>
  <si>
    <t>CATT:BITCLAVE</t>
  </si>
  <si>
    <t>VOTE:AGORA</t>
  </si>
  <si>
    <t>CNET:CONTRACTNET</t>
  </si>
  <si>
    <t>TTU:TATATU</t>
  </si>
  <si>
    <t>VIEW:VIEWLY</t>
  </si>
  <si>
    <t>KUV:KUVERIT</t>
  </si>
  <si>
    <t>BNN:BROKERNEKONETWORK</t>
  </si>
  <si>
    <t>PIX:LAMPIX</t>
  </si>
  <si>
    <t>PIA:FUTUREPIA</t>
  </si>
  <si>
    <t>RPT:REALPROPERTYTOKEN</t>
  </si>
  <si>
    <t>WDP:WATERDROP</t>
  </si>
  <si>
    <t>SMQ:SIMDAQ</t>
  </si>
  <si>
    <t>MOONS:MOONTOOLS</t>
  </si>
  <si>
    <t>HYP:HYPERSTAKE</t>
  </si>
  <si>
    <t>AAB:AAX TOKEN</t>
  </si>
  <si>
    <t>KORE:KORE</t>
  </si>
  <si>
    <t>GOT4:GONETWORK</t>
  </si>
  <si>
    <t>ESN:ETHERSOCIAL</t>
  </si>
  <si>
    <t>APH:APHELION</t>
  </si>
  <si>
    <t>IPSX:IP EXCHANGE</t>
  </si>
  <si>
    <t>611:SIXELEVEN</t>
  </si>
  <si>
    <t>SHRP:SHARPAY</t>
  </si>
  <si>
    <t>QBT2:QBAO</t>
  </si>
  <si>
    <t>UGC:UGCHAIN</t>
  </si>
  <si>
    <t>HUZU:HUZU</t>
  </si>
  <si>
    <t>3DC:3DCOIN</t>
  </si>
  <si>
    <t>ZPAE:ZELAAPAYAE</t>
  </si>
  <si>
    <t>GTX:SWISSBLOC CAPITAL</t>
  </si>
  <si>
    <t>USDH:HONESTCOIN</t>
  </si>
  <si>
    <t>POW:POW TOKEN</t>
  </si>
  <si>
    <t>PAZZI:PAPARAZZI</t>
  </si>
  <si>
    <t>LOOT:TRONLOOT</t>
  </si>
  <si>
    <t>W3C:W3COIN</t>
  </si>
  <si>
    <t>IND2:INDORSE</t>
  </si>
  <si>
    <t>GBT2:GLOBATALENT</t>
  </si>
  <si>
    <t>ATX2:ASTON</t>
  </si>
  <si>
    <t>XLMX:STELLAR CLASSIC</t>
  </si>
  <si>
    <t>QWARK:QWARK</t>
  </si>
  <si>
    <t>LEO1:LEOCOIN</t>
  </si>
  <si>
    <t>HPAY:HPAY COIN</t>
  </si>
  <si>
    <t>UBN:UBRICOIN</t>
  </si>
  <si>
    <t>GAP:GAPCOIN</t>
  </si>
  <si>
    <t>BOE:BODHI [ETH]</t>
  </si>
  <si>
    <t>VITES:VITES</t>
  </si>
  <si>
    <t>BETR:BETTERBETTING</t>
  </si>
  <si>
    <t>BITCAR:BITCAR</t>
  </si>
  <si>
    <t>SWIFT2:SWIFTCASH</t>
  </si>
  <si>
    <t>EBTC:EBITCOIN</t>
  </si>
  <si>
    <t>PDATA:OPIRIA</t>
  </si>
  <si>
    <t>J8T:JET8</t>
  </si>
  <si>
    <t>KNT:KORA NETWORK TOKEN</t>
  </si>
  <si>
    <t>HDG:HEDGE</t>
  </si>
  <si>
    <t>REB2:REBASED</t>
  </si>
  <si>
    <t>HELP3:HELPICO</t>
  </si>
  <si>
    <t>W12:W12</t>
  </si>
  <si>
    <t>BLUR:BLUR NETWORK</t>
  </si>
  <si>
    <t>MCW:MOCROW</t>
  </si>
  <si>
    <t>SPX:SP8DE</t>
  </si>
  <si>
    <t>NEOS:NEOSCOIN</t>
  </si>
  <si>
    <t>HYPE:HYPE TOKEN</t>
  </si>
  <si>
    <t>ARB2:ARBITRAGE</t>
  </si>
  <si>
    <t>KIMCHI:KIMCHI.FINANCE</t>
  </si>
  <si>
    <t>RITO:RITOCOIN</t>
  </si>
  <si>
    <t>CRC:CROWDCOIN</t>
  </si>
  <si>
    <t>WIB:WIBSON</t>
  </si>
  <si>
    <t>ASAFE2:ALLSAFE</t>
  </si>
  <si>
    <t>AEC:EMARATCOIN</t>
  </si>
  <si>
    <t>CNRG:CRYPTOENERGY</t>
  </si>
  <si>
    <t>HUM2:HUMANSCAPE</t>
  </si>
  <si>
    <t>WEC3:WAVE EDU COIN</t>
  </si>
  <si>
    <t>CBIX:CUBIEX</t>
  </si>
  <si>
    <t>MES:MESCHAIN</t>
  </si>
  <si>
    <t>SUR:SURETLY</t>
  </si>
  <si>
    <t>BLU:BLUECOIN</t>
  </si>
  <si>
    <t>VIT:VICE INDUSTRY TOKEN</t>
  </si>
  <si>
    <t>BTHR:BETHEREUM</t>
  </si>
  <si>
    <t>SHAKE:SHAKE</t>
  </si>
  <si>
    <t>VOX4:VOX FINANCE</t>
  </si>
  <si>
    <t>SLOPPS:SLOPPSCOIN</t>
  </si>
  <si>
    <t>STQ:STORIQA</t>
  </si>
  <si>
    <t>TEAM2:TEAM (TOKENSTARS)</t>
  </si>
  <si>
    <t>NANJ:NANJCOIN</t>
  </si>
  <si>
    <t>JVZ:JIVIZ</t>
  </si>
  <si>
    <t>WAND:WANDX</t>
  </si>
  <si>
    <t>BAEPAY:BAEPAY</t>
  </si>
  <si>
    <t>EBST:EBOOST</t>
  </si>
  <si>
    <t>SEFA:MESEFA</t>
  </si>
  <si>
    <t>BITEUR:BITEUR</t>
  </si>
  <si>
    <t>MFC2:MFCOIN</t>
  </si>
  <si>
    <t>WBL:WIZBL</t>
  </si>
  <si>
    <t>HWC:HOLLYWOODCOIN</t>
  </si>
  <si>
    <t>LMC:LOMOCOIN</t>
  </si>
  <si>
    <t>CREP:COMPOUND AUGUR</t>
  </si>
  <si>
    <t>SWC2:SCANETCHAIN</t>
  </si>
  <si>
    <t>RLX:RELEX</t>
  </si>
  <si>
    <t>VNLA:VANILLA NETWORK</t>
  </si>
  <si>
    <t>CRC2:CRYCASH</t>
  </si>
  <si>
    <t>HBZ:HBZ COIN</t>
  </si>
  <si>
    <t>BLUE:ETHEREUM BLUE</t>
  </si>
  <si>
    <t>NTK2:NETKOIN</t>
  </si>
  <si>
    <t>LGC:GEMINI</t>
  </si>
  <si>
    <t>GUN:GUNCOIN</t>
  </si>
  <si>
    <t>STM4:STREAMITY</t>
  </si>
  <si>
    <t>TENA:TENA</t>
  </si>
  <si>
    <t>WTT:GIGA WATT TOKEN</t>
  </si>
  <si>
    <t>PHI2:PHI TOKEN</t>
  </si>
  <si>
    <t>QUAN:QUANTIS NET</t>
  </si>
  <si>
    <t>HSN2:HYPER SPEED NETWORK</t>
  </si>
  <si>
    <t>FERA:FERA</t>
  </si>
  <si>
    <t>LBC16:ALEKSANDRAS STULGINSKIS</t>
  </si>
  <si>
    <t>UKG:UNIKRN</t>
  </si>
  <si>
    <t>XDNA2:EXTRADNA</t>
  </si>
  <si>
    <t>FYS:FYSICAL</t>
  </si>
  <si>
    <t>LND:LENDINGBLOCK</t>
  </si>
  <si>
    <t>GMR:GIMMER</t>
  </si>
  <si>
    <t>MESG:MESG</t>
  </si>
  <si>
    <t>WINR:JUSTBET</t>
  </si>
  <si>
    <t>SWYFTT:SWYFT</t>
  </si>
  <si>
    <t>EPY:EMPHY</t>
  </si>
  <si>
    <t>SCRL:SCROLL TOKEN</t>
  </si>
  <si>
    <t>PURA:PURA</t>
  </si>
  <si>
    <t>SCC3:SIACASHCOIN</t>
  </si>
  <si>
    <t>AC3:AC3</t>
  </si>
  <si>
    <t>OSA:OPTIMAL SHELF AVAILABILITY TOKEN</t>
  </si>
  <si>
    <t>GAT:GATCOIN</t>
  </si>
  <si>
    <t>B2N:BITCOIN2NETWORK</t>
  </si>
  <si>
    <t>ANC:ANONCOIN</t>
  </si>
  <si>
    <t>TXT3:TREXTOKEN</t>
  </si>
  <si>
    <t>ISLA:INSULA</t>
  </si>
  <si>
    <t>OURO:OUROBOROS</t>
  </si>
  <si>
    <t>A:ALPHA</t>
  </si>
  <si>
    <t>FOOD:FOODCOIN</t>
  </si>
  <si>
    <t>SPD:STIPEND</t>
  </si>
  <si>
    <t>XRA:RATECOIN</t>
  </si>
  <si>
    <t>YTSLA:YTSLA FINANCE</t>
  </si>
  <si>
    <t>ERC:EUROPECOIN</t>
  </si>
  <si>
    <t>ERO:EROSCOIN</t>
  </si>
  <si>
    <t>CATO:CATOCOIN</t>
  </si>
  <si>
    <t>PUX2:POLYPUX</t>
  </si>
  <si>
    <t>IC2:IGNITION</t>
  </si>
  <si>
    <t>RUP:RUPEE</t>
  </si>
  <si>
    <t>PRX2:PROXYNODE</t>
  </si>
  <si>
    <t>YFFII:YFFII FINANCE</t>
  </si>
  <si>
    <t>NUSD2:NEUTRAL DOLLAR</t>
  </si>
  <si>
    <t>TSC2:THUNDERSTAKE</t>
  </si>
  <si>
    <t>OCEAN:BURSTOCEAN</t>
  </si>
  <si>
    <t>ERT2:ERISTICA</t>
  </si>
  <si>
    <t>OMX:SHIVOM</t>
  </si>
  <si>
    <t>POSS:POSSCOIN</t>
  </si>
  <si>
    <t>PAT1:PATRON</t>
  </si>
  <si>
    <t>7ADD:HOLDTOWIN</t>
  </si>
  <si>
    <t>BDL:BITDEAL</t>
  </si>
  <si>
    <t>LBC17:ANTANAS SMETONA</t>
  </si>
  <si>
    <t>BTA2:BATA</t>
  </si>
  <si>
    <t>ADH:ADHIVE</t>
  </si>
  <si>
    <t>ORI:ORIGAMI</t>
  </si>
  <si>
    <t>EZW:EZOOW</t>
  </si>
  <si>
    <t>BTNT:BITNAUTIC TOKEN</t>
  </si>
  <si>
    <t>RISK:GLOBAL RISK EXCHANGE TOKEN</t>
  </si>
  <si>
    <t>ARO:ARIONUM</t>
  </si>
  <si>
    <t>DIW:DIW TOKEN</t>
  </si>
  <si>
    <t>SAFE3:YIELDFARMING.INSURE</t>
  </si>
  <si>
    <t>TMN:TRANSLATEME</t>
  </si>
  <si>
    <t>USDE:USDE</t>
  </si>
  <si>
    <t>MNX:MINEXCOIN</t>
  </si>
  <si>
    <t>ZINC:ZINC</t>
  </si>
  <si>
    <t>AD:ASIAN DRAGON</t>
  </si>
  <si>
    <t>IXT:IXLEDGER</t>
  </si>
  <si>
    <t>ACE:TOKENSTARS</t>
  </si>
  <si>
    <t>LBC20:STANISLOVAS NARUTAVIČIUS</t>
  </si>
  <si>
    <t>LBC18:JOKŪBAS ŠERNAS</t>
  </si>
  <si>
    <t>LBC19:JONAS VILEIŠIS</t>
  </si>
  <si>
    <t>CIV:CIVITAS</t>
  </si>
  <si>
    <t>DNA:ENCRYPGEN</t>
  </si>
  <si>
    <t>ADRX:ADRENALINE CHAIN</t>
  </si>
  <si>
    <t>LBC11:KAZIMIERAS STEPONAS ŠAULYS</t>
  </si>
  <si>
    <t>UBC:UBCOIN MARKET</t>
  </si>
  <si>
    <t>MT2:MONARCH</t>
  </si>
  <si>
    <t>SNPC:EARNEO</t>
  </si>
  <si>
    <t>LBC15:SALIAMONAS BANAITIS</t>
  </si>
  <si>
    <t>RAISE:RAISE</t>
  </si>
  <si>
    <t>HORSE:ETHORSE</t>
  </si>
  <si>
    <t>SVD:SAVEDROID</t>
  </si>
  <si>
    <t>KUB:KUBLAICOIN</t>
  </si>
  <si>
    <t>LBC14:JONAS VAILOKAITIS</t>
  </si>
  <si>
    <t>GUP:MATCHPOOL</t>
  </si>
  <si>
    <t>ENTRC:ENTERCOIN</t>
  </si>
  <si>
    <t>CNTF:CENTURION FUTURE</t>
  </si>
  <si>
    <t>LBC09:ALFONSAS PETRULIS</t>
  </si>
  <si>
    <t>LOCI:LOCICOIN</t>
  </si>
  <si>
    <t>GCCN:GUCCIONECOIN</t>
  </si>
  <si>
    <t>UIS:UNITUS</t>
  </si>
  <si>
    <t>LBC05:DONATAS MALINAUSKAS</t>
  </si>
  <si>
    <t>LBC06:JURGIS ŠAULYS</t>
  </si>
  <si>
    <t>WON5:WEBLOCK</t>
  </si>
  <si>
    <t>CSOUL:CRYPTOSOUL</t>
  </si>
  <si>
    <t>FLG:FOLGORY COIN</t>
  </si>
  <si>
    <t>UTC:ULTRACOIN</t>
  </si>
  <si>
    <t>LBC08:PETRAS KLIMAS</t>
  </si>
  <si>
    <t>NRVE:NARRATIVE</t>
  </si>
  <si>
    <t>EVN2:EVENCOIN</t>
  </si>
  <si>
    <t>LBC12:VLADAS MIRONAS</t>
  </si>
  <si>
    <t>MAR2:MCHAIN</t>
  </si>
  <si>
    <t>VULC:VULCANO</t>
  </si>
  <si>
    <t>FUZE:FUZE TOKEN</t>
  </si>
  <si>
    <t>XUEZ:XUEZ</t>
  </si>
  <si>
    <t>CAT:BLOCKCAT</t>
  </si>
  <si>
    <t>DOMO:DOMOCOIN</t>
  </si>
  <si>
    <t>ZENI:ZENNIES</t>
  </si>
  <si>
    <t>SQR:SQUEEZER</t>
  </si>
  <si>
    <t>BWS:BITCOIN W SPECTRUM</t>
  </si>
  <si>
    <t>SEAL:SEAL NETWORK</t>
  </si>
  <si>
    <t>HNB:HASHNET BITECO</t>
  </si>
  <si>
    <t>FSBT:FORTY SEVEN BANK</t>
  </si>
  <si>
    <t>XSM:SPECTRUMCASH</t>
  </si>
  <si>
    <t>AC:ASIACOIN</t>
  </si>
  <si>
    <t>LUC:LEVEL UP COIN</t>
  </si>
  <si>
    <t>WBT:WHALESBURG</t>
  </si>
  <si>
    <t>SCL:SICLOCOIN</t>
  </si>
  <si>
    <t>NXC:NEXIUM</t>
  </si>
  <si>
    <t>AIX:AIGANG</t>
  </si>
  <si>
    <t>DELTA:DELTACHAIN</t>
  </si>
  <si>
    <t>MCC3:MULTICOINCASINO</t>
  </si>
  <si>
    <t>AMBER:AMBERCOIN</t>
  </si>
  <si>
    <t>XAP:APOLLON</t>
  </si>
  <si>
    <t>ODN:OBSIDIAN</t>
  </si>
  <si>
    <t>MARS:MARSCOIN</t>
  </si>
  <si>
    <t>GOLOS:GOLOS</t>
  </si>
  <si>
    <t>OMNI:OMNI</t>
  </si>
  <si>
    <t>MINT:MINTCOIN</t>
  </si>
  <si>
    <t>EXP:EXPANSE</t>
  </si>
  <si>
    <t>DBIX:DUBAICOIN</t>
  </si>
  <si>
    <t>NYC:NEWYORKCOIN</t>
  </si>
  <si>
    <t>RBY:RUBYCOIN</t>
  </si>
  <si>
    <t>BITB:BEAN CASH</t>
  </si>
  <si>
    <t>MRX:METRIX</t>
  </si>
  <si>
    <t>MUE:MONETARYUNIT</t>
  </si>
  <si>
    <t>RADS:RADIUM</t>
  </si>
  <si>
    <t>BIS:BISMUTH</t>
  </si>
  <si>
    <t>OK:OKCASH</t>
  </si>
  <si>
    <t>ATB:ATBCOIN</t>
  </si>
  <si>
    <t>HUSH:HUSH</t>
  </si>
  <si>
    <t>GBX:GOBYTE</t>
  </si>
  <si>
    <t>SBD:STEEM DOLLARS</t>
  </si>
  <si>
    <t>ECN:E-COIN</t>
  </si>
  <si>
    <t>POSW:POSW COIN</t>
  </si>
  <si>
    <t>FLO:FLO</t>
  </si>
  <si>
    <t>NTRN:NEUTRON</t>
  </si>
  <si>
    <t>BSD:BITSEND</t>
  </si>
  <si>
    <t>LUX:LUXCOIN</t>
  </si>
  <si>
    <t>CLAM:CLAMS</t>
  </si>
  <si>
    <t>UNO:UNOBTANIUM</t>
  </si>
  <si>
    <t>COLX:COLOSSUSXT</t>
  </si>
  <si>
    <t>ABY:ARTBYTE</t>
  </si>
  <si>
    <t>PIRL:PIRL</t>
  </si>
  <si>
    <t>IOP:INTERNET OF PEOPLE</t>
  </si>
  <si>
    <t>SUMO:SUMOKOIN</t>
  </si>
  <si>
    <t>XST:STEALTH</t>
  </si>
  <si>
    <t>XLR:SOLARIS</t>
  </si>
  <si>
    <t>NOR:NOIR</t>
  </si>
  <si>
    <t>XPM:PRIMECOIN</t>
  </si>
  <si>
    <t>TIPS:FEDORACOIN</t>
  </si>
  <si>
    <t>GCR:GLOBAL CURRENCY RESERVE</t>
  </si>
  <si>
    <t>GEO:GEOCOIN</t>
  </si>
  <si>
    <t>PINK:PINKCOIN</t>
  </si>
  <si>
    <t>FRST:FIRSTCOIN</t>
  </si>
  <si>
    <t>ESP:ESPERS</t>
  </si>
  <si>
    <t>INN:INNOVA</t>
  </si>
  <si>
    <t>SPHR:SPHERE</t>
  </si>
  <si>
    <t>REC:REGALCOIN</t>
  </si>
  <si>
    <t>SEND:SOCIAL SEND</t>
  </si>
  <si>
    <t>POLIS:POLIS</t>
  </si>
  <si>
    <t>XVC:VCASH</t>
  </si>
  <si>
    <t>EAC:EARTHCOIN</t>
  </si>
  <si>
    <t>BTDX:BITCLOUD</t>
  </si>
  <si>
    <t>CURE:CURECOIN</t>
  </si>
  <si>
    <t>BTM:BITMARK</t>
  </si>
  <si>
    <t>TAO:TAO</t>
  </si>
  <si>
    <t>DOPE:DOPECOIN</t>
  </si>
  <si>
    <t>SPR:SPREADCOIN</t>
  </si>
  <si>
    <t>VRM:VERIUMRESERVE</t>
  </si>
  <si>
    <t>TZC:TREZARCOIN</t>
  </si>
  <si>
    <t>USNBT:NUBITS</t>
  </si>
  <si>
    <t>TX:TRANSFERCOIN</t>
  </si>
  <si>
    <t>PTC:PESETACOIN</t>
  </si>
  <si>
    <t>LTHN:LETHEAN</t>
  </si>
  <si>
    <t>MEME:MEMETIC</t>
  </si>
  <si>
    <t>SYNX:SYNDICATE</t>
  </si>
  <si>
    <t>TCC:THE CHAMPCOIN</t>
  </si>
  <si>
    <t>XBC:BITCOIN PLUS</t>
  </si>
  <si>
    <t>XLQ:ALQO</t>
  </si>
  <si>
    <t>NVC:NOVACOIN</t>
  </si>
  <si>
    <t>RIC:RIECOIN</t>
  </si>
  <si>
    <t>CANN:CANNABISCOIN</t>
  </si>
  <si>
    <t>EDC:EDC BLOCKCHAIN</t>
  </si>
  <si>
    <t>AUR:AURORACOIN</t>
  </si>
  <si>
    <t>GLC:GOLDCOIN</t>
  </si>
  <si>
    <t>BTCZ:BITCOINZ</t>
  </si>
  <si>
    <t>2GIVE:2GIVE</t>
  </si>
  <si>
    <t>XGOX:XGOX</t>
  </si>
  <si>
    <t>ZER:ZERO</t>
  </si>
  <si>
    <t>PZM:PRIZM</t>
  </si>
  <si>
    <t>SXC:SEXCOIN</t>
  </si>
  <si>
    <t>BUZZ:BUZZCOIN</t>
  </si>
  <si>
    <t>NOTE:DNOTES</t>
  </si>
  <si>
    <t>EXCL:EXCLUSIVECOIN</t>
  </si>
  <si>
    <t>CARBON:CARBONCOIN</t>
  </si>
  <si>
    <t>START:STARTCOIN</t>
  </si>
  <si>
    <t>PUT:PUTINCOIN</t>
  </si>
  <si>
    <t>ELLA:ELLAISM</t>
  </si>
  <si>
    <t>IXC:IXCOIN</t>
  </si>
  <si>
    <t>GCN:GCN COIN</t>
  </si>
  <si>
    <t>TRC:TERRACOIN</t>
  </si>
  <si>
    <t>DYN:DYNAMIC</t>
  </si>
  <si>
    <t>XMG:MAGI</t>
  </si>
  <si>
    <t>QRK:QUARK</t>
  </si>
  <si>
    <t>ZEIT:ZEITCOIN</t>
  </si>
  <si>
    <t>KRB:KARBO</t>
  </si>
  <si>
    <t>CBX:BULLION</t>
  </si>
  <si>
    <t>V:VERSION</t>
  </si>
  <si>
    <t>EFL:E-GULDEN</t>
  </si>
  <si>
    <t>MONK:MONKEY PROJECT</t>
  </si>
  <si>
    <t>GCC:GLOBAL CRYPTOCURRENCY</t>
  </si>
  <si>
    <t>STAK:STRAKS</t>
  </si>
  <si>
    <t>ARC:ADVANCED TECHNOLOGY COIN</t>
  </si>
  <si>
    <t>YOC:YOCOIN</t>
  </si>
  <si>
    <t>POP:POPULARCOIN</t>
  </si>
  <si>
    <t>WDC:WORLDCOIN</t>
  </si>
  <si>
    <t>D:DENARIUS</t>
  </si>
  <si>
    <t>UNIFY:UNIFY</t>
  </si>
  <si>
    <t>MEC:MEGACOIN</t>
  </si>
  <si>
    <t>MOIN:MOIN</t>
  </si>
  <si>
    <t>INSN:INSANECOIN</t>
  </si>
  <si>
    <t>BASH:LUCKCHAIN</t>
  </si>
  <si>
    <t>DFT:DRAFTCOIN</t>
  </si>
  <si>
    <t>ADZ:ADZCOIN</t>
  </si>
  <si>
    <t>NET:NETCOIN</t>
  </si>
  <si>
    <t>BRO:BITRADIO</t>
  </si>
  <si>
    <t>CDN:CANADA ECOIN</t>
  </si>
  <si>
    <t>ELE:ELEMENTREM</t>
  </si>
  <si>
    <t>XCN:CRYPTONITE</t>
  </si>
  <si>
    <t>SONO:SONO</t>
  </si>
  <si>
    <t>BTA:BATA</t>
  </si>
  <si>
    <t>DSR:DESIRE</t>
  </si>
  <si>
    <t>IFLT:INFLATIONCOIN</t>
  </si>
  <si>
    <t>MAC:MACHINECOIN</t>
  </si>
  <si>
    <t>42:42-COIN</t>
  </si>
  <si>
    <t>KEK:KEKCOIN</t>
  </si>
  <si>
    <t>TES:TESLACOIN</t>
  </si>
  <si>
    <t>MAZA:MAZA</t>
  </si>
  <si>
    <t>CRM:CREAM</t>
  </si>
  <si>
    <t>CCRB:CRYPTOCARBON</t>
  </si>
  <si>
    <t>DGC:DIGITALCOIN</t>
  </si>
  <si>
    <t>ORB:ORBITCOIN</t>
  </si>
  <si>
    <t>ZET:ZETACOIN</t>
  </si>
  <si>
    <t>SMC:SMARTCOIN</t>
  </si>
  <si>
    <t>TROLL:TROLLCOIN</t>
  </si>
  <si>
    <t>CPC:CAPRICOIN</t>
  </si>
  <si>
    <t>VISIO:VISIO</t>
  </si>
  <si>
    <t>NETKO:NETKO</t>
  </si>
  <si>
    <t>HODL:HODLCOIN</t>
  </si>
  <si>
    <t>LANA:LANACOIN</t>
  </si>
  <si>
    <t>BITS:BITSTAR</t>
  </si>
  <si>
    <t>KURT:KURRENT</t>
  </si>
  <si>
    <t>XPD:PETRODOLLAR</t>
  </si>
  <si>
    <t>BTB:BITBAR</t>
  </si>
  <si>
    <t>SMLY:SMILEYCOIN</t>
  </si>
  <si>
    <t>KOBO:KOBOCOIN</t>
  </si>
  <si>
    <t>EL:ELCOIN</t>
  </si>
  <si>
    <t>ITI:ITICOIN</t>
  </si>
  <si>
    <t>MAX:MAXCOIN</t>
  </si>
  <si>
    <t>AMS:AMSTERDAMCOIN</t>
  </si>
  <si>
    <t>CJ:CRYPTOJACKS</t>
  </si>
  <si>
    <t>TRUMP:TRUMPCOIN</t>
  </si>
  <si>
    <t>HPC:HAPPYCOIN</t>
  </si>
  <si>
    <t>XPTX:PLATINUMBAR</t>
  </si>
  <si>
    <t>TIT:TITCOIN</t>
  </si>
  <si>
    <t>RBT:RIMBIT</t>
  </si>
  <si>
    <t>NUKO:NEKONIUM</t>
  </si>
  <si>
    <t>XJO:JOULECOIN</t>
  </si>
  <si>
    <t>MCRN:MACRON</t>
  </si>
  <si>
    <t>SIGT:SIGNATUM</t>
  </si>
  <si>
    <t>GB:GOLDBLOCKS</t>
  </si>
  <si>
    <t>KUSH:KUSHCOIN</t>
  </si>
  <si>
    <t>PXC:PHOENIXCOIN</t>
  </si>
  <si>
    <t>XIOS:XIOS</t>
  </si>
  <si>
    <t>CRX:CHRONOS</t>
  </si>
  <si>
    <t>BXT:BITTOKENS</t>
  </si>
  <si>
    <t>SUPER:SUPERCOIN</t>
  </si>
  <si>
    <t>PHS:PHILOSOPHER STONES</t>
  </si>
  <si>
    <t>PAK:PAKCOIN</t>
  </si>
  <si>
    <t>YTN:YENTEN</t>
  </si>
  <si>
    <t>FNC:FINCOIN</t>
  </si>
  <si>
    <t>XPY:PAYCOIN</t>
  </si>
  <si>
    <t>POST:POSTCOIN</t>
  </si>
  <si>
    <t>DLC:DOLLARCOIN</t>
  </si>
  <si>
    <t>ONX:ONIX</t>
  </si>
  <si>
    <t>HNC:HELLENICCOIN</t>
  </si>
  <si>
    <t>BIGUP:BIGUP</t>
  </si>
  <si>
    <t>ICN:ICOIN</t>
  </si>
  <si>
    <t>AIB:ADVANCED INTERNET BLOCKS</t>
  </si>
  <si>
    <t>EVO:EVOTION</t>
  </si>
  <si>
    <t>MNM:MINEUM</t>
  </si>
  <si>
    <t>PX:PX</t>
  </si>
  <si>
    <t>LCP:LITECOIN PLUS</t>
  </si>
  <si>
    <t>LTB:LITEBAR</t>
  </si>
  <si>
    <t>EVIL:EVIL COIN</t>
  </si>
  <si>
    <t>MAD:SATOSHIMADNESS</t>
  </si>
  <si>
    <t>ARCO:AQUARIUSCOIN</t>
  </si>
  <si>
    <t>TAG:TAGCOIN</t>
  </si>
  <si>
    <t>CHESS:CHESSCOIN</t>
  </si>
  <si>
    <t>EMD:EMERALD CRYPTO</t>
  </si>
  <si>
    <t>LBTC:LITEBITCOIN</t>
  </si>
  <si>
    <t>EUC:EUROCOIN</t>
  </si>
  <si>
    <t>GXX:GRAVITYCOIN</t>
  </si>
  <si>
    <t>FLY:FLYCOIN</t>
  </si>
  <si>
    <t>SWING:SWING</t>
  </si>
  <si>
    <t>ZUR:ZURCOIN</t>
  </si>
  <si>
    <t>SPACE:SPACECOIN</t>
  </si>
  <si>
    <t>BERN:BERNCASH</t>
  </si>
  <si>
    <t>UNITS:GAMEUNITS</t>
  </si>
  <si>
    <t>BSTY:GLOBALBOOST-Y</t>
  </si>
  <si>
    <t>TEK:TEKCOIN</t>
  </si>
  <si>
    <t>BOLI:BOLIVARCOIN</t>
  </si>
  <si>
    <t>XCO:X-COIN</t>
  </si>
  <si>
    <t>FUZZ:FUZZBALLS</t>
  </si>
  <si>
    <t>TALK:BTCTALKCOIN</t>
  </si>
  <si>
    <t>SONG:SONGCOIN</t>
  </si>
  <si>
    <t>BTG:BITGEM</t>
  </si>
  <si>
    <t>MNC:MINCOIN</t>
  </si>
  <si>
    <t>MAO:MAO ZEDONG</t>
  </si>
  <si>
    <t>ALL:ALLION</t>
  </si>
  <si>
    <t>XCRE:CREATIO</t>
  </si>
  <si>
    <t>MOTO:MOTOCOIN</t>
  </si>
  <si>
    <t>GLT:GLOBALTOKEN</t>
  </si>
  <si>
    <t>GP:GOLDPIECES</t>
  </si>
  <si>
    <t>YAC:YACOIN</t>
  </si>
  <si>
    <t>ABYSS</t>
  </si>
  <si>
    <t>UpBots</t>
  </si>
  <si>
    <t>UBXT</t>
  </si>
  <si>
    <t>EuropeCoin</t>
  </si>
  <si>
    <t>ERC</t>
  </si>
  <si>
    <t>OKCash</t>
  </si>
  <si>
    <t>OK</t>
  </si>
  <si>
    <t>FLO</t>
  </si>
  <si>
    <t>Secret</t>
  </si>
  <si>
    <t>SCRT</t>
  </si>
  <si>
    <t>FOAM</t>
  </si>
  <si>
    <t>Ambrosus</t>
  </si>
  <si>
    <t>AMB</t>
  </si>
  <si>
    <t>Warp Finance</t>
  </si>
  <si>
    <t>WARP</t>
  </si>
  <si>
    <t>Celer Network</t>
  </si>
  <si>
    <t>CELR</t>
  </si>
  <si>
    <t>Ontology Gas</t>
  </si>
  <si>
    <t>ONG</t>
  </si>
  <si>
    <t>SpaceChain</t>
  </si>
  <si>
    <t>SPC</t>
  </si>
  <si>
    <t>apM Coin</t>
  </si>
  <si>
    <t>APM</t>
  </si>
  <si>
    <t>SoMee.Social</t>
  </si>
  <si>
    <t>CUMROCKET CRYPTO</t>
  </si>
  <si>
    <t>CUMMIES</t>
  </si>
  <si>
    <t>CUMROCKET</t>
  </si>
  <si>
    <t>Edge</t>
  </si>
  <si>
    <t>DADI</t>
  </si>
  <si>
    <t>Einsteinium</t>
  </si>
  <si>
    <t>EMC2</t>
  </si>
  <si>
    <t>MXC</t>
  </si>
  <si>
    <t>APIX</t>
  </si>
  <si>
    <t>Blank Wallet</t>
  </si>
  <si>
    <t>BLANK</t>
  </si>
  <si>
    <t>Ixcoin</t>
  </si>
  <si>
    <t>IXC</t>
  </si>
  <si>
    <t>Hakka.Finance</t>
  </si>
  <si>
    <t>HAKKA</t>
  </si>
  <si>
    <t>AMLT</t>
  </si>
  <si>
    <t>eBoost</t>
  </si>
  <si>
    <t>EBST</t>
  </si>
  <si>
    <t>Xfinance</t>
  </si>
  <si>
    <t>XFI</t>
  </si>
  <si>
    <t>Ripio Credit Network</t>
  </si>
  <si>
    <t>RCN</t>
  </si>
  <si>
    <t>TE-FOOD</t>
  </si>
  <si>
    <t>TONE</t>
  </si>
  <si>
    <t>AtromG8</t>
  </si>
  <si>
    <t>AG8</t>
  </si>
  <si>
    <t>ChangeNOW Token</t>
  </si>
  <si>
    <t>NOW</t>
  </si>
  <si>
    <t>Kwikswap Protocol</t>
  </si>
  <si>
    <t>KWIK</t>
  </si>
  <si>
    <t>Blocery</t>
  </si>
  <si>
    <t>BLY</t>
  </si>
  <si>
    <t>Burency</t>
  </si>
  <si>
    <t>BUY</t>
  </si>
  <si>
    <t>LBRY Credits</t>
  </si>
  <si>
    <t>LBC</t>
  </si>
  <si>
    <t>EOS Force</t>
  </si>
  <si>
    <t>EOSC</t>
  </si>
  <si>
    <t>Curve DAO Token</t>
  </si>
  <si>
    <t>CRV</t>
  </si>
  <si>
    <t>PressOne</t>
  </si>
  <si>
    <t>PRS</t>
  </si>
  <si>
    <t>Feathercoin</t>
  </si>
  <si>
    <t>FTC</t>
  </si>
  <si>
    <t>NIX</t>
  </si>
  <si>
    <t>JulSwap</t>
  </si>
  <si>
    <t>JULD</t>
  </si>
  <si>
    <t>Presearch</t>
  </si>
  <si>
    <t>PRE</t>
  </si>
  <si>
    <t>Breezecoin</t>
  </si>
  <si>
    <t>BRZE</t>
  </si>
  <si>
    <t>Hydro</t>
  </si>
  <si>
    <t>HYDRO</t>
  </si>
  <si>
    <t>Birake</t>
  </si>
  <si>
    <t>BIR</t>
  </si>
  <si>
    <t>DreamTeam Token</t>
  </si>
  <si>
    <t>DREAM</t>
  </si>
  <si>
    <t>Axe</t>
  </si>
  <si>
    <t>AXE</t>
  </si>
  <si>
    <t>Measurable Data Token</t>
  </si>
  <si>
    <t>MDT</t>
  </si>
  <si>
    <t>EDC Blockchain</t>
  </si>
  <si>
    <t>EDC</t>
  </si>
  <si>
    <t>SunContract</t>
  </si>
  <si>
    <t>SNC</t>
  </si>
  <si>
    <t>Giga Watt Token</t>
  </si>
  <si>
    <t>WTT</t>
  </si>
  <si>
    <t>Terracoin</t>
  </si>
  <si>
    <t>TRC</t>
  </si>
  <si>
    <t>Convergence</t>
  </si>
  <si>
    <t>CONV</t>
  </si>
  <si>
    <t>TronEuropeRewardCoin</t>
  </si>
  <si>
    <t>TERC</t>
  </si>
  <si>
    <t>Showcase</t>
  </si>
  <si>
    <t>SHO</t>
  </si>
  <si>
    <t>SIBCoin</t>
  </si>
  <si>
    <t>SIB</t>
  </si>
  <si>
    <t>Reserve Rights</t>
  </si>
  <si>
    <t>RSR</t>
  </si>
  <si>
    <t>DMScript</t>
  </si>
  <si>
    <t>DMST</t>
  </si>
  <si>
    <t>ZBG Token</t>
  </si>
  <si>
    <t>ZT</t>
  </si>
  <si>
    <t>Ethverse</t>
  </si>
  <si>
    <t>ETHV</t>
  </si>
  <si>
    <t>QLC Chain</t>
  </si>
  <si>
    <t>QLC</t>
  </si>
  <si>
    <t>Envion</t>
  </si>
  <si>
    <t>EVN</t>
  </si>
  <si>
    <t>TokenClub</t>
  </si>
  <si>
    <t>TCT</t>
  </si>
  <si>
    <t>LCX</t>
  </si>
  <si>
    <t>Credits</t>
  </si>
  <si>
    <t>CS</t>
  </si>
  <si>
    <t>Honest</t>
  </si>
  <si>
    <t>HNST</t>
  </si>
  <si>
    <t>Rise Protocol</t>
  </si>
  <si>
    <t>RISE</t>
  </si>
  <si>
    <t>Rise</t>
  </si>
  <si>
    <t>EventChain</t>
  </si>
  <si>
    <t>EVC</t>
  </si>
  <si>
    <t>CUDOS</t>
  </si>
  <si>
    <t>Blackmoon</t>
  </si>
  <si>
    <t>BMC</t>
  </si>
  <si>
    <t>ShareToken</t>
  </si>
  <si>
    <t>SHR</t>
  </si>
  <si>
    <t>QChi</t>
  </si>
  <si>
    <t>QCH</t>
  </si>
  <si>
    <t>Gulden</t>
  </si>
  <si>
    <t>NLG</t>
  </si>
  <si>
    <t>STATERA</t>
  </si>
  <si>
    <t>STA</t>
  </si>
  <si>
    <t>Akropolis</t>
  </si>
  <si>
    <t>AKRO</t>
  </si>
  <si>
    <t>Burst</t>
  </si>
  <si>
    <t>BURST</t>
  </si>
  <si>
    <t>x42 Protocol</t>
  </si>
  <si>
    <t>X42</t>
  </si>
  <si>
    <t>ASKO</t>
  </si>
  <si>
    <t>GreenPower</t>
  </si>
  <si>
    <t>GRN</t>
  </si>
  <si>
    <t>GoChain</t>
  </si>
  <si>
    <t>GO</t>
  </si>
  <si>
    <t>Insights Network</t>
  </si>
  <si>
    <t>INSTAR</t>
  </si>
  <si>
    <t>Hyper Finance</t>
  </si>
  <si>
    <t>HYFI</t>
  </si>
  <si>
    <t>Graviocoin</t>
  </si>
  <si>
    <t>GIO</t>
  </si>
  <si>
    <t>IOST</t>
  </si>
  <si>
    <t>Verge</t>
  </si>
  <si>
    <t>XVG</t>
  </si>
  <si>
    <t>Primas</t>
  </si>
  <si>
    <t>PST</t>
  </si>
  <si>
    <t>Sentinel</t>
  </si>
  <si>
    <t>DVPN</t>
  </si>
  <si>
    <t>QuickX Protocol</t>
  </si>
  <si>
    <t>QCX</t>
  </si>
  <si>
    <t>Monetha</t>
  </si>
  <si>
    <t>MTH</t>
  </si>
  <si>
    <t>WinStars.live</t>
  </si>
  <si>
    <t>WNL</t>
  </si>
  <si>
    <t>GAPS</t>
  </si>
  <si>
    <t>GAP</t>
  </si>
  <si>
    <t>Seigniorage Shares</t>
  </si>
  <si>
    <t>SHARE</t>
  </si>
  <si>
    <t>MobileGo</t>
  </si>
  <si>
    <t>MGO</t>
  </si>
  <si>
    <t>2key.network</t>
  </si>
  <si>
    <t>2KEY</t>
  </si>
  <si>
    <t>StormX</t>
  </si>
  <si>
    <t>STMX</t>
  </si>
  <si>
    <t>IoTeX</t>
  </si>
  <si>
    <t>IOTX</t>
  </si>
  <si>
    <t>BnkToTheFuture</t>
  </si>
  <si>
    <t>BFT</t>
  </si>
  <si>
    <t>BIKI</t>
  </si>
  <si>
    <t>CoinPoker</t>
  </si>
  <si>
    <t>CHP</t>
  </si>
  <si>
    <t>TopBidder</t>
  </si>
  <si>
    <t>BID</t>
  </si>
  <si>
    <t>DeFi Bids</t>
  </si>
  <si>
    <t>Indorse Token</t>
  </si>
  <si>
    <t>IND</t>
  </si>
  <si>
    <t>Airbloc</t>
  </si>
  <si>
    <t>ABL</t>
  </si>
  <si>
    <t>MidasProtocol</t>
  </si>
  <si>
    <t>MAS</t>
  </si>
  <si>
    <t>Revolution Populi</t>
  </si>
  <si>
    <t>RVP</t>
  </si>
  <si>
    <t>Graphlinq Protocol</t>
  </si>
  <si>
    <t>GLQ</t>
  </si>
  <si>
    <t>All Sports</t>
  </si>
  <si>
    <t>SOC</t>
  </si>
  <si>
    <t>ForTube</t>
  </si>
  <si>
    <t>FOR</t>
  </si>
  <si>
    <t>MAP Protocol</t>
  </si>
  <si>
    <t>MAP</t>
  </si>
  <si>
    <t>v.systems</t>
  </si>
  <si>
    <t>VSYS</t>
  </si>
  <si>
    <t>RING X PLATFORM</t>
  </si>
  <si>
    <t>RINGX</t>
  </si>
  <si>
    <t>Howdoo</t>
  </si>
  <si>
    <t>UDOO</t>
  </si>
  <si>
    <t>Ignis</t>
  </si>
  <si>
    <t>IGNIS</t>
  </si>
  <si>
    <t>Leverj Gluon</t>
  </si>
  <si>
    <t>L2</t>
  </si>
  <si>
    <t>Tower</t>
  </si>
  <si>
    <t>TOWER</t>
  </si>
  <si>
    <t>BarterTrade</t>
  </si>
  <si>
    <t>BART</t>
  </si>
  <si>
    <t>Olyseum</t>
  </si>
  <si>
    <t>OLY</t>
  </si>
  <si>
    <t>Xaurum</t>
  </si>
  <si>
    <t>XAUR</t>
  </si>
  <si>
    <t>HEROcoin</t>
  </si>
  <si>
    <t>PLAY</t>
  </si>
  <si>
    <t>SOTA Finance</t>
  </si>
  <si>
    <t>SOTA</t>
  </si>
  <si>
    <t>ADAMANT Messenger</t>
  </si>
  <si>
    <t>ADM</t>
  </si>
  <si>
    <t>Bytom</t>
  </si>
  <si>
    <t>BTM</t>
  </si>
  <si>
    <t>Caspian</t>
  </si>
  <si>
    <t>CSP</t>
  </si>
  <si>
    <t>PayPie</t>
  </si>
  <si>
    <t>PPP</t>
  </si>
  <si>
    <t>Ultiledger</t>
  </si>
  <si>
    <t>ULT</t>
  </si>
  <si>
    <t>Tokoin</t>
  </si>
  <si>
    <t>TOKO</t>
  </si>
  <si>
    <t>Patientory</t>
  </si>
  <si>
    <t>PTOY</t>
  </si>
  <si>
    <t>Semux</t>
  </si>
  <si>
    <t>SEM</t>
  </si>
  <si>
    <t>LikeCoin</t>
  </si>
  <si>
    <t>LIKE</t>
  </si>
  <si>
    <t>Veil</t>
  </si>
  <si>
    <t>VEIL</t>
  </si>
  <si>
    <t>Switcheo</t>
  </si>
  <si>
    <t>SWTH</t>
  </si>
  <si>
    <t>Student Coin</t>
  </si>
  <si>
    <t>STC</t>
  </si>
  <si>
    <t>DAFI Protocol</t>
  </si>
  <si>
    <t>DAFI</t>
  </si>
  <si>
    <t>Telcoin</t>
  </si>
  <si>
    <t>TEL</t>
  </si>
  <si>
    <t>QuarkChain</t>
  </si>
  <si>
    <t>QKC</t>
  </si>
  <si>
    <t>PotCoin</t>
  </si>
  <si>
    <t>POT</t>
  </si>
  <si>
    <t>Smart MFG</t>
  </si>
  <si>
    <t>MFG</t>
  </si>
  <si>
    <t>TurtleNetwork</t>
  </si>
  <si>
    <t>TN</t>
  </si>
  <si>
    <t>Blox</t>
  </si>
  <si>
    <t>CDT</t>
  </si>
  <si>
    <t>UGAS</t>
  </si>
  <si>
    <t>Happycoin</t>
  </si>
  <si>
    <t>HPC</t>
  </si>
  <si>
    <t>Genaro Network</t>
  </si>
  <si>
    <t>GNX</t>
  </si>
  <si>
    <t>Insureum</t>
  </si>
  <si>
    <t>ISR</t>
  </si>
  <si>
    <t>AMEPAY</t>
  </si>
  <si>
    <t>AME</t>
  </si>
  <si>
    <t>Arbidex</t>
  </si>
  <si>
    <t>ABX</t>
  </si>
  <si>
    <t>FUNToken</t>
  </si>
  <si>
    <t>FUN</t>
  </si>
  <si>
    <t>Project Pai</t>
  </si>
  <si>
    <t>PAI</t>
  </si>
  <si>
    <t>HyperDAO</t>
  </si>
  <si>
    <t>HDAO</t>
  </si>
  <si>
    <t>BioPassport Token</t>
  </si>
  <si>
    <t>BIOT</t>
  </si>
  <si>
    <t>Phantasma Energy</t>
  </si>
  <si>
    <t>KCAL</t>
  </si>
  <si>
    <t>Flexacoin</t>
  </si>
  <si>
    <t>FXC</t>
  </si>
  <si>
    <t>Reef</t>
  </si>
  <si>
    <t>REEF</t>
  </si>
  <si>
    <t>LocalCoinSwap</t>
  </si>
  <si>
    <t>LCS</t>
  </si>
  <si>
    <t>Blue Protocol</t>
  </si>
  <si>
    <t>BLUE</t>
  </si>
  <si>
    <t>Aryacoin</t>
  </si>
  <si>
    <t>AYA</t>
  </si>
  <si>
    <t>Bitgear</t>
  </si>
  <si>
    <t>GEAR</t>
  </si>
  <si>
    <t>CoinDeal Token</t>
  </si>
  <si>
    <t>CDL</t>
  </si>
  <si>
    <t>ESBC</t>
  </si>
  <si>
    <t>Natus Vincere Fan Token</t>
  </si>
  <si>
    <t>NAVI</t>
  </si>
  <si>
    <t>Lotto</t>
  </si>
  <si>
    <t>LOTTO</t>
  </si>
  <si>
    <t>DMarket</t>
  </si>
  <si>
    <t>DMT</t>
  </si>
  <si>
    <t>Plair</t>
  </si>
  <si>
    <t>PLA</t>
  </si>
  <si>
    <t>PLANET</t>
  </si>
  <si>
    <t>FLETA</t>
  </si>
  <si>
    <t>On.Live</t>
  </si>
  <si>
    <t>ONL</t>
  </si>
  <si>
    <t>Litecoin Cash</t>
  </si>
  <si>
    <t>LCC</t>
  </si>
  <si>
    <t>Mobius</t>
  </si>
  <si>
    <t>MOBI</t>
  </si>
  <si>
    <t>TrueDeck</t>
  </si>
  <si>
    <t>TDP</t>
  </si>
  <si>
    <t>Gala</t>
  </si>
  <si>
    <t>GALA</t>
  </si>
  <si>
    <t>Medicalchain</t>
  </si>
  <si>
    <t>MTN</t>
  </si>
  <si>
    <t>Polkally</t>
  </si>
  <si>
    <t>KALLY</t>
  </si>
  <si>
    <t>Lunes</t>
  </si>
  <si>
    <t>LUNES</t>
  </si>
  <si>
    <t>Rublix</t>
  </si>
  <si>
    <t>RBLX</t>
  </si>
  <si>
    <t>TrustVerse</t>
  </si>
  <si>
    <t>TRV</t>
  </si>
  <si>
    <t>MAX Exchange Token</t>
  </si>
  <si>
    <t>MAX</t>
  </si>
  <si>
    <t>Limitless VIP</t>
  </si>
  <si>
    <t>VIP</t>
  </si>
  <si>
    <t>MaxCoin</t>
  </si>
  <si>
    <t>MVL</t>
  </si>
  <si>
    <t>Motocoin</t>
  </si>
  <si>
    <t>MOTO</t>
  </si>
  <si>
    <t>Contentos</t>
  </si>
  <si>
    <t>COS</t>
  </si>
  <si>
    <t>Lambda</t>
  </si>
  <si>
    <t>LAMB</t>
  </si>
  <si>
    <t>Bitcoin Confidential</t>
  </si>
  <si>
    <t>BC</t>
  </si>
  <si>
    <t>Naka Bodhi Token</t>
  </si>
  <si>
    <t>NBOT</t>
  </si>
  <si>
    <t>Nxt</t>
  </si>
  <si>
    <t>NXT</t>
  </si>
  <si>
    <t>Kcash</t>
  </si>
  <si>
    <t>KCASH</t>
  </si>
  <si>
    <t>Save Environment Token</t>
  </si>
  <si>
    <t>SET</t>
  </si>
  <si>
    <t>Сиакоин</t>
  </si>
  <si>
    <t>SC</t>
  </si>
  <si>
    <t>TrustDAO</t>
  </si>
  <si>
    <t>TRUST</t>
  </si>
  <si>
    <t>Everipedia</t>
  </si>
  <si>
    <t>IQ</t>
  </si>
  <si>
    <t>Beowulf</t>
  </si>
  <si>
    <t>BWF</t>
  </si>
  <si>
    <t>Quiztok</t>
  </si>
  <si>
    <t>QTCON</t>
  </si>
  <si>
    <t>Oikos</t>
  </si>
  <si>
    <t>OKS</t>
  </si>
  <si>
    <t>Holo</t>
  </si>
  <si>
    <t>HOT</t>
  </si>
  <si>
    <t>Dovu</t>
  </si>
  <si>
    <t>DOV</t>
  </si>
  <si>
    <t>Hydro Protocol</t>
  </si>
  <si>
    <t>Golden Goose</t>
  </si>
  <si>
    <t>GOLD</t>
  </si>
  <si>
    <t>Jade Currency</t>
  </si>
  <si>
    <t>JADE</t>
  </si>
  <si>
    <t>Idavoll Network</t>
  </si>
  <si>
    <t>IDV</t>
  </si>
  <si>
    <t>CyberVein</t>
  </si>
  <si>
    <t>CVT</t>
  </si>
  <si>
    <t>IXT</t>
  </si>
  <si>
    <t>Eureka Coin</t>
  </si>
  <si>
    <t>ERK</t>
  </si>
  <si>
    <t>Quark</t>
  </si>
  <si>
    <t>QRK</t>
  </si>
  <si>
    <t>OptionRoom</t>
  </si>
  <si>
    <t>ROOM</t>
  </si>
  <si>
    <t>FintruX Network</t>
  </si>
  <si>
    <t>FTX</t>
  </si>
  <si>
    <t>EncryptoTel [WAVES]</t>
  </si>
  <si>
    <t>ETT</t>
  </si>
  <si>
    <t>OracleChain</t>
  </si>
  <si>
    <t>OCT</t>
  </si>
  <si>
    <t>Effect.AI</t>
  </si>
  <si>
    <t>EFX</t>
  </si>
  <si>
    <t>AXPR</t>
  </si>
  <si>
    <t>MODEL-X-coin</t>
  </si>
  <si>
    <t>MODX</t>
  </si>
  <si>
    <t>Wing</t>
  </si>
  <si>
    <t>WING</t>
  </si>
  <si>
    <t>Footballcoin</t>
  </si>
  <si>
    <t>XFC</t>
  </si>
  <si>
    <t>SwagBucks</t>
  </si>
  <si>
    <t>BUCKS</t>
  </si>
  <si>
    <t>LiquidApps</t>
  </si>
  <si>
    <t>DAPP</t>
  </si>
  <si>
    <t>Jupiter</t>
  </si>
  <si>
    <t>JUP</t>
  </si>
  <si>
    <t>Cindicator</t>
  </si>
  <si>
    <t>CND</t>
  </si>
  <si>
    <t>DAEX</t>
  </si>
  <si>
    <t>DAX</t>
  </si>
  <si>
    <t>BarnBridge</t>
  </si>
  <si>
    <t>BOND</t>
  </si>
  <si>
    <t>Verasity</t>
  </si>
  <si>
    <t>VRA</t>
  </si>
  <si>
    <t>BLOCKv</t>
  </si>
  <si>
    <t>VEE</t>
  </si>
  <si>
    <t>#MetaHash</t>
  </si>
  <si>
    <t>MHC</t>
  </si>
  <si>
    <t>NEST Protocol</t>
  </si>
  <si>
    <t>NEST</t>
  </si>
  <si>
    <t>YOYOW</t>
  </si>
  <si>
    <t>Bonded Finance</t>
  </si>
  <si>
    <t>BitScreener Token</t>
  </si>
  <si>
    <t>BITX</t>
  </si>
  <si>
    <t>Banano</t>
  </si>
  <si>
    <t>BAN</t>
  </si>
  <si>
    <t>Infinitus Token</t>
  </si>
  <si>
    <t>INF</t>
  </si>
  <si>
    <t>Refereum</t>
  </si>
  <si>
    <t>RFR</t>
  </si>
  <si>
    <t>CyberMiles</t>
  </si>
  <si>
    <t>CMT</t>
  </si>
  <si>
    <t>SIRIN LABS Token</t>
  </si>
  <si>
    <t>SRN</t>
  </si>
  <si>
    <t>Nervos Network</t>
  </si>
  <si>
    <t>CKB</t>
  </si>
  <si>
    <t>PetroDollar</t>
  </si>
  <si>
    <t>XPD</t>
  </si>
  <si>
    <t>Terra</t>
  </si>
  <si>
    <t>LUNA</t>
  </si>
  <si>
    <t>Stacks</t>
  </si>
  <si>
    <t>STX</t>
  </si>
  <si>
    <t>Lympo</t>
  </si>
  <si>
    <t>LYM</t>
  </si>
  <si>
    <t>BOScoin</t>
  </si>
  <si>
    <t>BOS</t>
  </si>
  <si>
    <t>Mercury</t>
  </si>
  <si>
    <t>MER</t>
  </si>
  <si>
    <t>Stox</t>
  </si>
  <si>
    <t>INT</t>
  </si>
  <si>
    <t>ShadowCash</t>
  </si>
  <si>
    <t>SDC</t>
  </si>
  <si>
    <t>Dynamic Trading Rights</t>
  </si>
  <si>
    <t>DTR</t>
  </si>
  <si>
    <t>HempCoin</t>
  </si>
  <si>
    <t>THC</t>
  </si>
  <si>
    <t>Safex Cash</t>
  </si>
  <si>
    <t>SFX</t>
  </si>
  <si>
    <t>BitCrystals</t>
  </si>
  <si>
    <t>BCY</t>
  </si>
  <si>
    <t>GridCoin</t>
  </si>
  <si>
    <t>GRC</t>
  </si>
  <si>
    <t>Dether</t>
  </si>
  <si>
    <t>DTH</t>
  </si>
  <si>
    <t>GYEN</t>
  </si>
  <si>
    <t>WeOwn</t>
  </si>
  <si>
    <t>CHX</t>
  </si>
  <si>
    <t>Thunder Token</t>
  </si>
  <si>
    <t>TT</t>
  </si>
  <si>
    <t>PRIZM</t>
  </si>
  <si>
    <t>PZM</t>
  </si>
  <si>
    <t>Fountain</t>
  </si>
  <si>
    <t>FTN</t>
  </si>
  <si>
    <t>AnimalGo</t>
  </si>
  <si>
    <t>GOM2</t>
  </si>
  <si>
    <t>Auxilium</t>
  </si>
  <si>
    <t>AUX</t>
  </si>
  <si>
    <t>Zloadr</t>
  </si>
  <si>
    <t>ZDR</t>
  </si>
  <si>
    <t>Vexanium</t>
  </si>
  <si>
    <t>VEX</t>
  </si>
  <si>
    <t>WePower</t>
  </si>
  <si>
    <t>WPR</t>
  </si>
  <si>
    <t>Landbox</t>
  </si>
  <si>
    <t>LAND</t>
  </si>
  <si>
    <t>Asch</t>
  </si>
  <si>
    <t>XAS</t>
  </si>
  <si>
    <t>Freeway Token</t>
  </si>
  <si>
    <t>FWT</t>
  </si>
  <si>
    <t>Achain</t>
  </si>
  <si>
    <t>ACT</t>
  </si>
  <si>
    <t>BitBoost</t>
  </si>
  <si>
    <t>BBT</t>
  </si>
  <si>
    <t>Omnitude</t>
  </si>
  <si>
    <t>ECOM</t>
  </si>
  <si>
    <t>SWT:SWARM CITY</t>
  </si>
  <si>
    <t>XAUR:XAURUM</t>
  </si>
  <si>
    <t>COVAL:CIRCUITS OF VALUE</t>
  </si>
  <si>
    <t>LOC:LOCKTRIP</t>
  </si>
  <si>
    <t>ICOS:ICOS</t>
  </si>
  <si>
    <t>XRL:RIALTO</t>
  </si>
  <si>
    <t>FLIXX:FLIXXO</t>
  </si>
  <si>
    <t>WCT:WAVES COMMUNITY TOKEN</t>
  </si>
  <si>
    <t>POLL:CLEARPOLL</t>
  </si>
  <si>
    <t>PLBT:POLYBIUS</t>
  </si>
  <si>
    <t>CAG:CHANGE</t>
  </si>
  <si>
    <t>PFR:PAYFAIR</t>
  </si>
  <si>
    <t>PLU:PLUTON</t>
  </si>
  <si>
    <t>DICE:ETHEROLL</t>
  </si>
  <si>
    <t>TIME:CHRONO.TECH</t>
  </si>
  <si>
    <t>AVT:AVENTUS</t>
  </si>
  <si>
    <t>BET:DAOBET</t>
  </si>
  <si>
    <t>PST:PRIMAS</t>
  </si>
  <si>
    <t>UFR:UPFIRING</t>
  </si>
  <si>
    <t>HKN:HACKEN</t>
  </si>
  <si>
    <t>ECOB:ECOBIT</t>
  </si>
  <si>
    <t>RNT:ONEROOT NETWORK</t>
  </si>
  <si>
    <t>CVN:CVCOIN</t>
  </si>
  <si>
    <t>ONG:SOMEE.SOCIAL</t>
  </si>
  <si>
    <t>ATL:ATLANT</t>
  </si>
  <si>
    <t>FYP:FLYPME</t>
  </si>
  <si>
    <t>NIOX:AUTONIO</t>
  </si>
  <si>
    <t>UQC:UQUID COIN</t>
  </si>
  <si>
    <t>TIE:TIES NETWORK</t>
  </si>
  <si>
    <t>WISH:MYWISH</t>
  </si>
  <si>
    <t>ASTRO:ASTRO</t>
  </si>
  <si>
    <t>XUC:EXCHANGE UNION</t>
  </si>
  <si>
    <t>B2B:B2BX</t>
  </si>
  <si>
    <t>OPT:OPUS</t>
  </si>
  <si>
    <t>PLAY:HEROCOIN</t>
  </si>
  <si>
    <t>AMM:MICROMONEY</t>
  </si>
  <si>
    <t>PRIX:PRIVATIX</t>
  </si>
  <si>
    <t>TFL:TRUEFLIP</t>
  </si>
  <si>
    <t>HBT:HUBII NETWORK</t>
  </si>
  <si>
    <t>SCL:SOCIALL</t>
  </si>
  <si>
    <t>CDX:CDX NETWORK</t>
  </si>
  <si>
    <t>DAI:DAI</t>
  </si>
  <si>
    <t>INXT:INTERNXT</t>
  </si>
  <si>
    <t>IND:INDORSE TOKEN</t>
  </si>
  <si>
    <t>VSL:VSLICE</t>
  </si>
  <si>
    <t>PYLNT:PYLON NETWORK</t>
  </si>
  <si>
    <t>ZRC:ZRCOIN</t>
  </si>
  <si>
    <t>ADL:ADELPHOI</t>
  </si>
  <si>
    <t>ERC20:ERC20</t>
  </si>
  <si>
    <t>PING:CRYPTOPING</t>
  </si>
  <si>
    <t>ELTCOIN:ELTCOIN</t>
  </si>
  <si>
    <t>STU:BITJOB</t>
  </si>
  <si>
    <t>PBT:PRIMALBASE TOKEN</t>
  </si>
  <si>
    <t>ECASH:ETHEREUM CASH</t>
  </si>
  <si>
    <t>PIPL:PIPLCOIN</t>
  </si>
  <si>
    <t>MORE:MORE COIN</t>
  </si>
  <si>
    <t>JET:JETCOIN</t>
  </si>
  <si>
    <t>CPAY:CRYPTOPAY</t>
  </si>
  <si>
    <t>SKIN:SKINCOIN</t>
  </si>
  <si>
    <t>BTCRED:BITCOIN RED</t>
  </si>
  <si>
    <t>CCO:CCORE</t>
  </si>
  <si>
    <t>CCT:CRYSTAL CLEAR</t>
  </si>
  <si>
    <t>BRAT:BROTHER</t>
  </si>
  <si>
    <t>DALC:DALECOIN</t>
  </si>
  <si>
    <t>VRS:VEROS</t>
  </si>
  <si>
    <t>EXRN:EXRNCHAIN</t>
  </si>
  <si>
    <t>ETT:ENCRYPTOTEL [WAVES]</t>
  </si>
  <si>
    <t>INPAY:INPAY</t>
  </si>
  <si>
    <t>SHDW:SHADOW TOKEN</t>
  </si>
  <si>
    <t>IOST:IOST</t>
  </si>
  <si>
    <t>SWFTC:SWFTCOIN</t>
  </si>
  <si>
    <t>GNX:GENARO NETWORK</t>
  </si>
  <si>
    <t>SMT:SMARTMESH</t>
  </si>
  <si>
    <t>BTO:BOTTOS</t>
  </si>
  <si>
    <t>AIDOC:AI DOCTOR</t>
  </si>
  <si>
    <t>THETA:THETA</t>
  </si>
  <si>
    <t>SPC:SPACECHAIN</t>
  </si>
  <si>
    <t>KEY:SELFKEY</t>
  </si>
  <si>
    <t>TSL:ENERGO</t>
  </si>
  <si>
    <t>AGI:SINGULARITY NET</t>
  </si>
  <si>
    <t>PUT:PROFILE UTILITY TOKEN</t>
  </si>
  <si>
    <t>QBT:QBAO</t>
  </si>
  <si>
    <t>IGNIS:IGNIS</t>
  </si>
  <si>
    <t>EKO:ECHOLINK</t>
  </si>
  <si>
    <t>IPL:VOUCHFORME</t>
  </si>
  <si>
    <t>FAIR:FAIRGAME</t>
  </si>
  <si>
    <t>CL:COINLANCER</t>
  </si>
  <si>
    <t>CAN:CANYACOIN</t>
  </si>
  <si>
    <t>CAPP:CAPPASITY</t>
  </si>
  <si>
    <t>CMS:COMSA</t>
  </si>
  <si>
    <t>BDG:BITDEGREE</t>
  </si>
  <si>
    <t>HORSE:ETHOUSE</t>
  </si>
  <si>
    <t>EDT:ETHERDELTA TOKEN</t>
  </si>
  <si>
    <t>IDT:INVESTDIGITAL</t>
  </si>
  <si>
    <t>ARCT:ARBITRAGECT</t>
  </si>
  <si>
    <t>ZAP:ZAP</t>
  </si>
  <si>
    <t>MVC:MAVERICK CHAIN</t>
  </si>
  <si>
    <t>SXDT:SPECTRE DIVIDEND TOKEN</t>
  </si>
  <si>
    <t>TCT:TOKENCLUB</t>
  </si>
  <si>
    <t>BCDN:BLOCKCDN</t>
  </si>
  <si>
    <t>UTT:UNITED TRADERS TOKEN</t>
  </si>
  <si>
    <t>DAY:CHRONOLOGIC</t>
  </si>
  <si>
    <t>ABC:ALPHABIT</t>
  </si>
  <si>
    <t>GET:GET PROTOCOL</t>
  </si>
  <si>
    <t>EVC:EVENTCHAIN</t>
  </si>
  <si>
    <t>BTCS:BITCOIN SILVER</t>
  </si>
  <si>
    <t>NOX:NITRO</t>
  </si>
  <si>
    <t>STAR:STARBASE</t>
  </si>
  <si>
    <t>BTCM:BTCMOON</t>
  </si>
  <si>
    <t>EVR:EVERUS</t>
  </si>
  <si>
    <t>MCR:MACRO</t>
  </si>
  <si>
    <t>ELITE:ETHEREUM LITE</t>
  </si>
  <si>
    <t>ETT:ENCRYPTOTEL [ETH]</t>
  </si>
  <si>
    <t>WIC:WI COIN</t>
  </si>
  <si>
    <t>MTX:MATRYX</t>
  </si>
  <si>
    <t>PRES:PRESIDENT TRUMP</t>
  </si>
  <si>
    <t>HMP:HEMPCOIN</t>
  </si>
  <si>
    <t>AAC:ACUTE ANGLE CLOUD</t>
  </si>
  <si>
    <t>CHAT:CHATCOIN</t>
  </si>
  <si>
    <t>DDD:SCRY.INFO</t>
  </si>
  <si>
    <t>RBBT:RABBITCOIN</t>
  </si>
  <si>
    <t>ENG:ENIGMA</t>
  </si>
  <si>
    <t>YEE:YEE</t>
  </si>
  <si>
    <t>STC:STARCHAIN</t>
  </si>
  <si>
    <t>MOBI:MOBIUS</t>
  </si>
  <si>
    <t>HOT:HYDRO PROTOCOL</t>
  </si>
  <si>
    <t>OCN:ODYSSEY</t>
  </si>
  <si>
    <t>LET:LINKEYE</t>
  </si>
  <si>
    <t>MOF:MOLECULAR FUTURE</t>
  </si>
  <si>
    <t>UIP:UNLIMITEDIP</t>
  </si>
  <si>
    <t>TRUE:TRUECHAIN</t>
  </si>
  <si>
    <t>BLTG:BLOCK-LOGIC</t>
  </si>
  <si>
    <t>SPK:SPARKSPAY</t>
  </si>
  <si>
    <t>TNC:TRINITY NETWORK CREDIT</t>
  </si>
  <si>
    <t>COV:COVESTING</t>
  </si>
  <si>
    <t>EVE:DEVERY</t>
  </si>
  <si>
    <t>DTA:DATA</t>
  </si>
  <si>
    <t>CV:CARVERTICAL</t>
  </si>
  <si>
    <t>C20:CRYPTO20</t>
  </si>
  <si>
    <t>IDH:INDAHASH</t>
  </si>
  <si>
    <t>AID:AIDCOIN</t>
  </si>
  <si>
    <t>TRAC:ORIGINTRAIL</t>
  </si>
  <si>
    <t>EKT:EDUCARE</t>
  </si>
  <si>
    <t>CRPT:CRYPTERIUM</t>
  </si>
  <si>
    <t>AXPR:AXPIRE</t>
  </si>
  <si>
    <t>GUESS:PEERGUESS</t>
  </si>
  <si>
    <t>TBX:TOKENBOX</t>
  </si>
  <si>
    <t>FOTA:FORTUNA</t>
  </si>
  <si>
    <t>ZIL:ZILLIQA</t>
  </si>
  <si>
    <t>MEET:COINMEET</t>
  </si>
  <si>
    <t>NPXS:PUNDI X</t>
  </si>
  <si>
    <t>SOC:ALL SPORTS</t>
  </si>
  <si>
    <t>GRLC:GARLICOIN</t>
  </si>
  <si>
    <t>MAN:MATRIX AI NETWORK</t>
  </si>
  <si>
    <t>EPC:ELECTRONIC PK CHAIN</t>
  </si>
  <si>
    <t>NKC:NEWORK</t>
  </si>
  <si>
    <t>BTW:BITWHITE</t>
  </si>
  <si>
    <t>RUFF:RUFF</t>
  </si>
  <si>
    <t>DFN:DFINITY</t>
  </si>
  <si>
    <t>DLB:DATA LINK BASE</t>
  </si>
  <si>
    <t>DLX:DIPLEXCOIN</t>
  </si>
  <si>
    <t>DNZ:ADENZ</t>
  </si>
  <si>
    <t>DPN:DIPNET</t>
  </si>
  <si>
    <t>DQI:DOTQII</t>
  </si>
  <si>
    <t>DRA:DIRUNA</t>
  </si>
  <si>
    <t>DRC:DARICO</t>
  </si>
  <si>
    <t>DRV:DRIVE MARKETS</t>
  </si>
  <si>
    <t>DSA:DISTRIBUTED SURVEY ACCELERATOR</t>
  </si>
  <si>
    <t>DST:DIMENSIONS NETWORK</t>
  </si>
  <si>
    <t>DT2:DT JOCKEY CLUB</t>
  </si>
  <si>
    <t>DTT:DREAMTEAM</t>
  </si>
  <si>
    <t>DUB:DUBSTEP</t>
  </si>
  <si>
    <t>DUC:DUCATUR</t>
  </si>
  <si>
    <t>DXC:DIXICOIN</t>
  </si>
  <si>
    <t>DXG:DEXAGE</t>
  </si>
  <si>
    <t>DXN:DEXON</t>
  </si>
  <si>
    <t>EAG:EA COIN</t>
  </si>
  <si>
    <t>EC2:ECHOIN</t>
  </si>
  <si>
    <t>ECP:ETHEREUM CASH PRO</t>
  </si>
  <si>
    <t>EGY:EGYPT</t>
  </si>
  <si>
    <t>EMS:ETHEREUM MESSAGE SEARCH</t>
  </si>
  <si>
    <t>ENK:ENKIDU</t>
  </si>
  <si>
    <t>ENY:EMERGENCYCOIN</t>
  </si>
  <si>
    <t>ERA:EARTHBI</t>
  </si>
  <si>
    <t>ERT:ESPORTS</t>
  </si>
  <si>
    <t>ESH:SWITCH</t>
  </si>
  <si>
    <t>EST:ESPORTS TOKEN</t>
  </si>
  <si>
    <t>ET2:EXX TOKEN</t>
  </si>
  <si>
    <t>ET3:E TOKEN</t>
  </si>
  <si>
    <t>ETB:ETHERBURN</t>
  </si>
  <si>
    <t>ETM:EN-TAN-MO</t>
  </si>
  <si>
    <t>ETX:ETHEREUMX</t>
  </si>
  <si>
    <t>EVA:EVAIO</t>
  </si>
  <si>
    <t>EXE:8X8 PROTOCOL</t>
  </si>
  <si>
    <t>EXN:EXCHANGEN</t>
  </si>
  <si>
    <t>FAN:FAN TOKEN</t>
  </si>
  <si>
    <t>FAS:FAS CHAIN</t>
  </si>
  <si>
    <t>FAW:FASTWAY</t>
  </si>
  <si>
    <t>FC3:FUTURESCOIN</t>
  </si>
  <si>
    <t>FCQ:FORTEM CAPITAL</t>
  </si>
  <si>
    <t>FFC:FIREFLYCOIN</t>
  </si>
  <si>
    <t>FGC:FANTASYGOLD</t>
  </si>
  <si>
    <t>FIC:FIC NETWORK</t>
  </si>
  <si>
    <t>FIH:FIDELITY HOUSE</t>
  </si>
  <si>
    <t>FLP:GAMEFLIP</t>
  </si>
  <si>
    <t>FLX:FLEX WORK</t>
  </si>
  <si>
    <t>FT1:FORTUNE 1 COIN</t>
  </si>
  <si>
    <t>FT2:FCOIN TOKEN</t>
  </si>
  <si>
    <t>FXN:FXCOIN</t>
  </si>
  <si>
    <t>GAD:GARUDA TOKEN</t>
  </si>
  <si>
    <t>GAL:GALORE</t>
  </si>
  <si>
    <t>GAU:GAUNTLET</t>
  </si>
  <si>
    <t>GC2:GALAXY WALLET</t>
  </si>
  <si>
    <t>GCG:GLOBALCRYPTOGATE</t>
  </si>
  <si>
    <t>GCH:GALAXYCASH</t>
  </si>
  <si>
    <t>GCS:GAME CHAIN SYSTEM</t>
  </si>
  <si>
    <t>GCZ:GLOBALCHAINZ</t>
  </si>
  <si>
    <t>GFL:GOLDEN FLEECE TOKEN</t>
  </si>
  <si>
    <t>GFN:GAME FANZ</t>
  </si>
  <si>
    <t>GFR:GOLDENFEVER</t>
  </si>
  <si>
    <t>GGC:GGCOIN</t>
  </si>
  <si>
    <t>GIG:GIG9</t>
  </si>
  <si>
    <t>GIV:GIVLY</t>
  </si>
  <si>
    <t>GKI:GKI</t>
  </si>
  <si>
    <t>GM2:GMCOIN</t>
  </si>
  <si>
    <t>GO2:GOEUREKA</t>
  </si>
  <si>
    <t>GOB:GRAND OF BLOCKCHAIN</t>
  </si>
  <si>
    <t>GOM:GOMONEY</t>
  </si>
  <si>
    <t>GOS:GOSAMA</t>
  </si>
  <si>
    <t>GRX:GOLD REWARD TOKEN</t>
  </si>
  <si>
    <t>GT3:GDAC</t>
  </si>
  <si>
    <t>GTS:GLOBAL TRADING SYSTEM</t>
  </si>
  <si>
    <t>GZE:GAZECOIN</t>
  </si>
  <si>
    <t>H2O:HYDROMINER</t>
  </si>
  <si>
    <t>HBX:HYPERBRIDGE</t>
  </si>
  <si>
    <t>HD2:HARDCORE</t>
  </si>
  <si>
    <t>HDN:HALADINAR</t>
  </si>
  <si>
    <t>HDP:HEDPAY</t>
  </si>
  <si>
    <t>HDS:HOTDOLLARS TOKEN</t>
  </si>
  <si>
    <t>HEM:HEMELIOS</t>
  </si>
  <si>
    <t>HGH:HGH TOKEN</t>
  </si>
  <si>
    <t>HKD:SPARKDEX</t>
  </si>
  <si>
    <t>HRC:HARACOIN</t>
  </si>
  <si>
    <t>HRD:HOARD</t>
  </si>
  <si>
    <t>HRS:HORSECHAIN</t>
  </si>
  <si>
    <t>HTN:HEART NUMBER</t>
  </si>
  <si>
    <t>HUM:HUMANITYLINK</t>
  </si>
  <si>
    <t>HUP:HUPAYX</t>
  </si>
  <si>
    <t>HVT:HIREVIBE</t>
  </si>
  <si>
    <t>HYB:HYBRID BLOCK</t>
  </si>
  <si>
    <t>IAN:IAN COIN</t>
  </si>
  <si>
    <t>ICS:IC2S</t>
  </si>
  <si>
    <t>ICT:ICOCALENDAR.TODAY</t>
  </si>
  <si>
    <t>IDG:INDIGEN</t>
  </si>
  <si>
    <t>IDX:INDONESIAN EXCHANGE</t>
  </si>
  <si>
    <t>IFP:INFINIPAY</t>
  </si>
  <si>
    <t>IFV:INFLIV</t>
  </si>
  <si>
    <t>IFX:INFINEX</t>
  </si>
  <si>
    <t>IMU:IMUSIFY</t>
  </si>
  <si>
    <t>IRC:IRONCOIN</t>
  </si>
  <si>
    <t>ISC:I CHAIN</t>
  </si>
  <si>
    <t>IXB:X-BLOCK</t>
  </si>
  <si>
    <t>IZI:IZICHAIN</t>
  </si>
  <si>
    <t>IZZ:IZZCOIN</t>
  </si>
  <si>
    <t>JAN:COINJANITOR</t>
  </si>
  <si>
    <t>JCC:JUNCA CASH</t>
  </si>
  <si>
    <t>JCT:JAPAN CONTENT TOKEN</t>
  </si>
  <si>
    <t>JIC:JOORSCHAIN</t>
  </si>
  <si>
    <t>KAM:KAMARI</t>
  </si>
  <si>
    <t>KC2:KOREA CASH</t>
  </si>
  <si>
    <t>KEA:KEA COIN</t>
  </si>
  <si>
    <t>KEN:KENCOIN</t>
  </si>
  <si>
    <t>KGC:KRYPTON GALAXY</t>
  </si>
  <si>
    <t>KGT:KIZUNA GLOBAL TOKEN</t>
  </si>
  <si>
    <t>KIT:KITTOKEN</t>
  </si>
  <si>
    <t>KLT:KLOUTCOIN</t>
  </si>
  <si>
    <t>KMX:KIMEX</t>
  </si>
  <si>
    <t>KOI:KOI</t>
  </si>
  <si>
    <t>KOZ:KOZJIN</t>
  </si>
  <si>
    <t>KSS:KROSSCOIN</t>
  </si>
  <si>
    <t>KTN:KASOUTUUKA NEWS</t>
  </si>
  <si>
    <t>KYD:KNOW YOUR DEVELOPER</t>
  </si>
  <si>
    <t>LAD:LEMONAD</t>
  </si>
  <si>
    <t>LAZ:LAZARUSCOIN</t>
  </si>
  <si>
    <t>LBK:LEGAL BLOCK</t>
  </si>
  <si>
    <t>LBN:LUCKY BLOCK NETWORK</t>
  </si>
  <si>
    <t>LC3:LOVECHAIN</t>
  </si>
  <si>
    <t>LCT:LIGHT COIN EXCHANGE TOKEN</t>
  </si>
  <si>
    <t>LDG:LEDGIT</t>
  </si>
  <si>
    <t>LDN:LYDIAN</t>
  </si>
  <si>
    <t>LGV:LONGEVITY</t>
  </si>
  <si>
    <t>LKU:LUKIU</t>
  </si>
  <si>
    <t>LLM:MERIT</t>
  </si>
  <si>
    <t>LOT:LOTTOCOIN</t>
  </si>
  <si>
    <t>LPK:KYPTON</t>
  </si>
  <si>
    <t>LRG:LARGO COIN</t>
  </si>
  <si>
    <t>LTE:LOCAL TOKEN EXCHANGE</t>
  </si>
  <si>
    <t>LTS:POLLEN INSTITUTE</t>
  </si>
  <si>
    <t>LUD:LUDOS</t>
  </si>
  <si>
    <t>LVN:LIVENPAY</t>
  </si>
  <si>
    <t>LVX:LEVEL01</t>
  </si>
  <si>
    <t>LX2:LUNARX</t>
  </si>
  <si>
    <t>M2O:M2O</t>
  </si>
  <si>
    <t>MAK:MAKCOIN</t>
  </si>
  <si>
    <t>MAT:MINIAPPS</t>
  </si>
  <si>
    <t>MBC:MAMBOCOIN</t>
  </si>
  <si>
    <t>MBT:MINEBIT</t>
  </si>
  <si>
    <t>MCB:MICROBYTE</t>
  </si>
  <si>
    <t>MCH:MECONCASH</t>
  </si>
  <si>
    <t>MDM:MEDIUM</t>
  </si>
  <si>
    <t>MEQ:METERQUBES</t>
  </si>
  <si>
    <t>MGX:MARGIX</t>
  </si>
  <si>
    <t>MIG:MIGRANET</t>
  </si>
  <si>
    <t>MIO:MINER ONE</t>
  </si>
  <si>
    <t>MKT:MARKETCASH</t>
  </si>
  <si>
    <t>MM2:MOON MONEY CHAIN</t>
  </si>
  <si>
    <t>MMC:MIMIBIT COIN</t>
  </si>
  <si>
    <t>MNT:MN TRACKER</t>
  </si>
  <si>
    <t>MOC:MOSSLAND</t>
  </si>
  <si>
    <t>MON:BITCOIN MONSTER</t>
  </si>
  <si>
    <t>MOR:MORIA</t>
  </si>
  <si>
    <t>MPH:CHASYR TOKEN</t>
  </si>
  <si>
    <t>MRP:MONEYREBEL</t>
  </si>
  <si>
    <t>MRS:MARGINLESS</t>
  </si>
  <si>
    <t>MS2:HASH MATRIX</t>
  </si>
  <si>
    <t>MUU:MUUSIC</t>
  </si>
  <si>
    <t>MXM:MAXIMINE COIN</t>
  </si>
  <si>
    <t>MYO:MYCRO</t>
  </si>
  <si>
    <t>MZG:MOOZICORE</t>
  </si>
  <si>
    <t>NAM:NAM COIN</t>
  </si>
  <si>
    <t>NBX:NIBBLECLASSIC</t>
  </si>
  <si>
    <t>NCI:NET CURRENCY INDEX</t>
  </si>
  <si>
    <t>NCL:NUCLEAR COIN</t>
  </si>
  <si>
    <t>NFC:NOFAKECOIN</t>
  </si>
  <si>
    <t>NFT:NATIONAL FITNESS TOKEN</t>
  </si>
  <si>
    <t>NIC:ICONIC ECOSYSTEM</t>
  </si>
  <si>
    <t>NII:NAHMII</t>
  </si>
  <si>
    <t>NIT:NESTEN</t>
  </si>
  <si>
    <t>NLS:NELUNS</t>
  </si>
  <si>
    <t>NMN:99MASTERNODES</t>
  </si>
  <si>
    <t>NMT:NOVADEFI</t>
  </si>
  <si>
    <t>NNB:COINBULL</t>
  </si>
  <si>
    <t>NSG:NASGO</t>
  </si>
  <si>
    <t>NSS:NSS COIN</t>
  </si>
  <si>
    <t>NTC:NATCOIN</t>
  </si>
  <si>
    <t>NUT:NATIVE UTILITY TOKEN</t>
  </si>
  <si>
    <t>NUX:NUAXESCOIN</t>
  </si>
  <si>
    <t>NVT:NOVA TOKEN</t>
  </si>
  <si>
    <t>NZO:ALFA-ENZO</t>
  </si>
  <si>
    <t>OAS:OASES</t>
  </si>
  <si>
    <t>OBX:OBXCOIN</t>
  </si>
  <si>
    <t>OCG:OROCRYPT GOLD TOKEN</t>
  </si>
  <si>
    <t>ODC:ODDO COIN</t>
  </si>
  <si>
    <t>OGC:ONEGRAM COIN</t>
  </si>
  <si>
    <t>ONG:ONG</t>
  </si>
  <si>
    <t>ONZ:ONZ COIN</t>
  </si>
  <si>
    <t>OPN:OPENBIT</t>
  </si>
  <si>
    <t>OPR:OPHIR</t>
  </si>
  <si>
    <t>OSB:OASISBLOC</t>
  </si>
  <si>
    <t>OTS:OTS COIN</t>
  </si>
  <si>
    <t>OUR:UNION REVOLUTION</t>
  </si>
  <si>
    <t>OVO:ICOVO</t>
  </si>
  <si>
    <t>P59:PROMETHEUS59</t>
  </si>
  <si>
    <t>PAL:PALLYCOIN</t>
  </si>
  <si>
    <t>PBC:PARINITA BANSODE COIN</t>
  </si>
  <si>
    <t>PBK:POWERBANK</t>
  </si>
  <si>
    <t>PCS:PABYOSI COIN (SPECIAL)</t>
  </si>
  <si>
    <t>PEC:PEACECOIN</t>
  </si>
  <si>
    <t>PEG:PEGASUS</t>
  </si>
  <si>
    <t>PGC:PEGASCOIN</t>
  </si>
  <si>
    <t>PGS:PEGASUS</t>
  </si>
  <si>
    <t>PHC:PROFIT HUNTERS COIN</t>
  </si>
  <si>
    <t>PHV:PATHHIVE</t>
  </si>
  <si>
    <t>PKC:PIKCIOCHAIN</t>
  </si>
  <si>
    <t>PLG:PLEDGECAMP</t>
  </si>
  <si>
    <t>PLY:PLAYCOIN</t>
  </si>
  <si>
    <t>PMN:PEEPMASTERNODE</t>
  </si>
  <si>
    <t>PNC:POLARA NETWORK COIN</t>
  </si>
  <si>
    <t>PPI:PIEDPIPER COIN</t>
  </si>
  <si>
    <t>PPL:QRIPPLEX</t>
  </si>
  <si>
    <t>PPS:POPULSTAY</t>
  </si>
  <si>
    <t>PRM:PRISMCHAIN</t>
  </si>
  <si>
    <t>PRN:PROTEAN</t>
  </si>
  <si>
    <t>QBS:QBASE</t>
  </si>
  <si>
    <t>QBT:CUBITS</t>
  </si>
  <si>
    <t>QMC:QUALITY MAGNET COIN</t>
  </si>
  <si>
    <t>QOB:QOBIT</t>
  </si>
  <si>
    <t>QOS:QOS</t>
  </si>
  <si>
    <t>QXE:QUIXXI CONNECT</t>
  </si>
  <si>
    <t>RAD:RAD LENDING</t>
  </si>
  <si>
    <t>REL:RELEASE PROJECT</t>
  </si>
  <si>
    <t>REO:CAREONCHAIN</t>
  </si>
  <si>
    <t>RES:RESISTANCE</t>
  </si>
  <si>
    <t>REX:REXCOIN</t>
  </si>
  <si>
    <t>RLD:RELOAD</t>
  </si>
  <si>
    <t>RNC:RENEWCASH</t>
  </si>
  <si>
    <t>RNG:RNG COIN</t>
  </si>
  <si>
    <t>ROM:ROMTOKEN</t>
  </si>
  <si>
    <t>RON:RON</t>
  </si>
  <si>
    <t>ROY:ROY</t>
  </si>
  <si>
    <t>RRT:RECOVERY RIGHT TOKEN</t>
  </si>
  <si>
    <t>RSC:RONALDINHO SOCCER COIN</t>
  </si>
  <si>
    <t>RST:REGA RISK SHARING TOKEN</t>
  </si>
  <si>
    <t>RSX:RAISEX TOKEN</t>
  </si>
  <si>
    <t>RT2:RESOURCE TOKEN</t>
  </si>
  <si>
    <t>RTL:RENTLEDGER</t>
  </si>
  <si>
    <t>RVL:REVOIL</t>
  </si>
  <si>
    <t>RXE:REALXOIN</t>
  </si>
  <si>
    <t>RYA:RYACOIN</t>
  </si>
  <si>
    <t>RYZ:ANRYZE</t>
  </si>
  <si>
    <t>RZE:RESERVE USD</t>
  </si>
  <si>
    <t>SAL:SALPAY</t>
  </si>
  <si>
    <t>SBA:SIMPLYBRAND</t>
  </si>
  <si>
    <t>SBC:STRIKEBITCLUB</t>
  </si>
  <si>
    <t>SBT:SOLBIT</t>
  </si>
  <si>
    <t>SCC:STOCKCHAIN</t>
  </si>
  <si>
    <t>SCV:SUPER COINVIEW TOKEN</t>
  </si>
  <si>
    <t>SDC:SDCOIN</t>
  </si>
  <si>
    <t>SDD:STEADYNODE</t>
  </si>
  <si>
    <t>SEA:GALLEON QUEST</t>
  </si>
  <si>
    <t>SET:SWYTCH ENERGY TOKEN</t>
  </si>
  <si>
    <t>SFT:SPORTSFIX</t>
  </si>
  <si>
    <t>SGA:SAGA</t>
  </si>
  <si>
    <t>SGS:SAFEGAMES</t>
  </si>
  <si>
    <t>SIN:SINT</t>
  </si>
  <si>
    <t>SKC:SKINCHAIN</t>
  </si>
  <si>
    <t>SKI:SKILLCHAIN</t>
  </si>
  <si>
    <t>SKT:SEALBLOCK TOKEN</t>
  </si>
  <si>
    <t>SLD:SOLDO</t>
  </si>
  <si>
    <t>SLT:SOCIAL LENDING TOKEN</t>
  </si>
  <si>
    <t>SLX:SLATE</t>
  </si>
  <si>
    <t>SME:SMELTERCOIN</t>
  </si>
  <si>
    <t>SMM:SOCIAL MEDIA COIN</t>
  </si>
  <si>
    <t>SND:SAND COIN</t>
  </si>
  <si>
    <t>SNO:SAVENODE</t>
  </si>
  <si>
    <t>SON:SIMONE</t>
  </si>
  <si>
    <t>SPA:SPARTA</t>
  </si>
  <si>
    <t>STO:THE STONE COIN</t>
  </si>
  <si>
    <t>STT:STARAMBA</t>
  </si>
  <si>
    <t>SW3:SAVEWON</t>
  </si>
  <si>
    <t>SWP:SWAPCOIN</t>
  </si>
  <si>
    <t>SYD:SECURITY DONATIONS</t>
  </si>
  <si>
    <t>T2T:TRACETO</t>
  </si>
  <si>
    <t>TAB:ACCOUNTING BLOCKCHAIN</t>
  </si>
  <si>
    <t>TAR:TARAXA</t>
  </si>
  <si>
    <t>TBE:TOWERBEE</t>
  </si>
  <si>
    <t>TCJ:COINSHARE</t>
  </si>
  <si>
    <t>TCO:TOURCOM</t>
  </si>
  <si>
    <t>TCZ:TRACIZE</t>
  </si>
  <si>
    <t>TDC:TRENDERCOIN</t>
  </si>
  <si>
    <t>TDH:TRUSTEDHEALTH</t>
  </si>
  <si>
    <t>TFB:TRUEFEEDBACKCHAIN</t>
  </si>
  <si>
    <t>TGT:TWOGAP</t>
  </si>
  <si>
    <t>THE:THOREEXCHANGE TOKEN</t>
  </si>
  <si>
    <t>THO:ATHERO</t>
  </si>
  <si>
    <t>THS:TECHSHARES</t>
  </si>
  <si>
    <t>TIP:TIP BLOCKCHAIN</t>
  </si>
  <si>
    <t>TKC:TURKEYCHAIN</t>
  </si>
  <si>
    <t>TKT:CRYPTO.TICKETS</t>
  </si>
  <si>
    <t>TM2:TRAXIA MOVEMENT</t>
  </si>
  <si>
    <t>TOP:TOPCOIN</t>
  </si>
  <si>
    <t>TOT:TRECENTO BLOCKCHAIN CAPITAL</t>
  </si>
  <si>
    <t>TOU:TOURISTOKEN</t>
  </si>
  <si>
    <t>TPG:TRADING PREMIUM GAIN</t>
  </si>
  <si>
    <t>TPT:TOKENPOCKET</t>
  </si>
  <si>
    <t>TQN:TOQQN</t>
  </si>
  <si>
    <t>TRO:TRUNK COIN</t>
  </si>
  <si>
    <t>TSR:TESRA</t>
  </si>
  <si>
    <t>TSY:TRONSOCIETY</t>
  </si>
  <si>
    <t>TT8:THUNDERCORE</t>
  </si>
  <si>
    <t>TUP:TENUP</t>
  </si>
  <si>
    <t>TWJ:TRON WEEKLYJOURNAL</t>
  </si>
  <si>
    <t>TWM:TRONWATCHMARKET</t>
  </si>
  <si>
    <t>TWQ:TWQ TOKEN</t>
  </si>
  <si>
    <t>TWX:TWX</t>
  </si>
  <si>
    <t>TXT:TRUST DICE</t>
  </si>
  <si>
    <t>TYC:TYROCOIN</t>
  </si>
  <si>
    <t>UAT:ULTRALPHA</t>
  </si>
  <si>
    <t>UCM:UCROWDME</t>
  </si>
  <si>
    <t>UCN:VERIFYUNION</t>
  </si>
  <si>
    <t>UFY:UNIFY TOKEN</t>
  </si>
  <si>
    <t>UKC:UNITED KOREA COIN</t>
  </si>
  <si>
    <t>EXT:EXPERIENCE TOKEN</t>
  </si>
  <si>
    <t>GOC:GOCRYPTO</t>
  </si>
  <si>
    <t>BBK:BITBLOCKS</t>
  </si>
  <si>
    <t>CRP:CRYPLY</t>
  </si>
  <si>
    <t>NBC:NIOBIUM COIN</t>
  </si>
  <si>
    <t>TCH:THORE CASH</t>
  </si>
  <si>
    <t>VIN:VINCHAIN</t>
  </si>
  <si>
    <t>LYNX:LYNX</t>
  </si>
  <si>
    <t>CROAT:CROAT</t>
  </si>
  <si>
    <t>CMM:COMMERCIUM</t>
  </si>
  <si>
    <t>LINA:LINA</t>
  </si>
  <si>
    <t>ROCK2:ICE ROCK MINING</t>
  </si>
  <si>
    <t>NPXSXEM:PUNDI X NEM</t>
  </si>
  <si>
    <t>SCR:SCORUM</t>
  </si>
  <si>
    <t>GIC:GIANT</t>
  </si>
  <si>
    <t>GIO:GRAVIOCOIN</t>
  </si>
  <si>
    <t>OWN:OWNDATA</t>
  </si>
  <si>
    <t>NEWOS:NEWSTOKEN</t>
  </si>
  <si>
    <t>INB:INSIGHT CHAIN</t>
  </si>
  <si>
    <t>UCT:UBIQUE CHAIN OF THINGS</t>
  </si>
  <si>
    <t>PKG:PKG TOKEN</t>
  </si>
  <si>
    <t>GSE:GSENETWORK</t>
  </si>
  <si>
    <t>XPX:PROXIMAX</t>
  </si>
  <si>
    <t>AREPA:AREPACOIN</t>
  </si>
  <si>
    <t>SDS:ALCHEMINT STANDARDS</t>
  </si>
  <si>
    <t>IG:IGTOKEN</t>
  </si>
  <si>
    <t>HTH:HELP THE HOMELESS COIN</t>
  </si>
  <si>
    <t>TIC:THINGSCHAIN</t>
  </si>
  <si>
    <t>GET:THEMIS</t>
  </si>
  <si>
    <t>NYEX:NYERIUM</t>
  </si>
  <si>
    <t>EGEM:ETHERGEM</t>
  </si>
  <si>
    <t>SCC:SIACASHCOIN</t>
  </si>
  <si>
    <t>XDNA:XDNA</t>
  </si>
  <si>
    <t>NTK:NETKOIN</t>
  </si>
  <si>
    <t>PASS:BLOCKPASS</t>
  </si>
  <si>
    <t>C2C:C2C SYSTEM</t>
  </si>
  <si>
    <t>NOKU:NOKU</t>
  </si>
  <si>
    <t>QNT:QUANT</t>
  </si>
  <si>
    <t>THR:THORECOIN</t>
  </si>
  <si>
    <t>MEETONE:MEET.ONE</t>
  </si>
  <si>
    <t>OBTC:OBITAN CHAIN</t>
  </si>
  <si>
    <t>DX:DXCHAIN TOKEN</t>
  </si>
  <si>
    <t>CYFM:CYBERFM</t>
  </si>
  <si>
    <t>KARMA:KARMA</t>
  </si>
  <si>
    <t>AKA:AKROMA</t>
  </si>
  <si>
    <t>LAMB:LAMBDA</t>
  </si>
  <si>
    <t>ABL:AIRBLOC</t>
  </si>
  <si>
    <t>DAC:DAVINCI COIN</t>
  </si>
  <si>
    <t>ZCR:ZCORE</t>
  </si>
  <si>
    <t>METM:METAMORPH</t>
  </si>
  <si>
    <t>TKT:TWINKLE</t>
  </si>
  <si>
    <t>ARION:ARION</t>
  </si>
  <si>
    <t>PMA:PUMAPAY</t>
  </si>
  <si>
    <t>YLC:YOLOCASH</t>
  </si>
  <si>
    <t>XBI:BITCOIN INCOGNITO</t>
  </si>
  <si>
    <t>VITAE:VITAE</t>
  </si>
  <si>
    <t>HB:HEARTBOUT</t>
  </si>
  <si>
    <t>ABX:ARBIDEX</t>
  </si>
  <si>
    <t>HAND:SHOWHAND</t>
  </si>
  <si>
    <t>COMP:COMPOUND COIN</t>
  </si>
  <si>
    <t>HIT:HITCHAIN</t>
  </si>
  <si>
    <t>GPKR:GOLD POKER</t>
  </si>
  <si>
    <t>ECT:SUPEREDGE</t>
  </si>
  <si>
    <t>RATING:DPRATING</t>
  </si>
  <si>
    <t>AUX:AUXILIUM</t>
  </si>
  <si>
    <t>MIB:MIB COIN</t>
  </si>
  <si>
    <t>KXC:KINGXCHAIN</t>
  </si>
  <si>
    <t>CRU:CURIUM</t>
  </si>
  <si>
    <t>CBC:CASHBERY COIN</t>
  </si>
  <si>
    <t>NSD:NASDACOIN</t>
  </si>
  <si>
    <t>LOBS:LOBSTEX</t>
  </si>
  <si>
    <t>VDG:VERIDOCGLOBAL</t>
  </si>
  <si>
    <t>ONG:ONTOLOGY GAS</t>
  </si>
  <si>
    <t>NRG:ENERGI</t>
  </si>
  <si>
    <t>GTM:GENTARIUM</t>
  </si>
  <si>
    <t>DAV:DAV COIN</t>
  </si>
  <si>
    <t>KNOW:KNOW</t>
  </si>
  <si>
    <t>FTXT:FUTURAX</t>
  </si>
  <si>
    <t>CST:CRYPTOSOLARTECH</t>
  </si>
  <si>
    <t>QBIT:QUBITICA</t>
  </si>
  <si>
    <t>FKX:FORTKNOXSTER</t>
  </si>
  <si>
    <t>XRA:XRIBA</t>
  </si>
  <si>
    <t>BQT:BLOCKCHAIN QUOTATIONS INDEX TOKEN</t>
  </si>
  <si>
    <t>BBS:BBSCOIN</t>
  </si>
  <si>
    <t>PENG:PENG</t>
  </si>
  <si>
    <t>ALI:AILINK TOKEN</t>
  </si>
  <si>
    <t>USE:USECHAIN TOKEN</t>
  </si>
  <si>
    <t>FLOT:FIRE LOTTO</t>
  </si>
  <si>
    <t>GOT:PARKINGO</t>
  </si>
  <si>
    <t>SHE:SHINECHAIN</t>
  </si>
  <si>
    <t>BEET:BEETLE COIN</t>
  </si>
  <si>
    <t>UT:ULORD</t>
  </si>
  <si>
    <t>CYMT:CYBERMUSIC</t>
  </si>
  <si>
    <t>MRI:MIRAI</t>
  </si>
  <si>
    <t>BUT:BITUP TOKEN</t>
  </si>
  <si>
    <t>CCL:CYCLEAN</t>
  </si>
  <si>
    <t>AMO:AMO COIN</t>
  </si>
  <si>
    <t>EVN:EVENCOIN</t>
  </si>
  <si>
    <t>UC:YOULIVE COIN</t>
  </si>
  <si>
    <t>DIN:DINERO</t>
  </si>
  <si>
    <t>DIT:DIGITAL INSURANCE TOKEN</t>
  </si>
  <si>
    <t>HAVY:HAVY</t>
  </si>
  <si>
    <t>VSC:VSPORTCOIN</t>
  </si>
  <si>
    <t>IMP:ETHER KINGDOMS TOKEN</t>
  </si>
  <si>
    <t>IQ:IQ.CASH</t>
  </si>
  <si>
    <t>RTH:ROTHARIUM</t>
  </si>
  <si>
    <t>MEX:MEX</t>
  </si>
  <si>
    <t>BIR:BIRAKE</t>
  </si>
  <si>
    <t>FOIN:FOIN</t>
  </si>
  <si>
    <t>TV:TI-VALUE</t>
  </si>
  <si>
    <t>BEN:BITCOEN</t>
  </si>
  <si>
    <t>BU:BUMO</t>
  </si>
  <si>
    <t>GENE:GENE SOURCE CODE CHAIN</t>
  </si>
  <si>
    <t>BTAD:BITCOIN ADULT</t>
  </si>
  <si>
    <t>PTM:POTENTIAM</t>
  </si>
  <si>
    <t>RAP:RAPTURE</t>
  </si>
  <si>
    <t>EDN:EDEN</t>
  </si>
  <si>
    <t>JOINT:JOINT VENTURES</t>
  </si>
  <si>
    <t>MOLK:MOBILINKTOKEN</t>
  </si>
  <si>
    <t>SPND:SPENDCOIN</t>
  </si>
  <si>
    <t>CSTL:CASTLE</t>
  </si>
  <si>
    <t>BOLT:BOLT</t>
  </si>
  <si>
    <t>LKN:LINKCOIN TOKEN</t>
  </si>
  <si>
    <t>HWI:HAWAII</t>
  </si>
  <si>
    <t>Моя цель на инвестиции в криптовалюте</t>
  </si>
  <si>
    <t>Ежемесячный пассивный доход</t>
  </si>
  <si>
    <t>Стратегия инвестирования</t>
  </si>
  <si>
    <t>Сумма</t>
  </si>
  <si>
    <t>Дата</t>
  </si>
  <si>
    <t>Что изменится в моей жизни, когда я приду к этой цели</t>
  </si>
  <si>
    <t>Риск - профиль</t>
  </si>
  <si>
    <t>Умеренный</t>
  </si>
  <si>
    <t>Периодичность инвестирования</t>
  </si>
  <si>
    <t>Период</t>
  </si>
  <si>
    <t>Доля криптовалюты в моем инвестиционном портфеле, %</t>
  </si>
  <si>
    <t>Структура портфеля - План</t>
  </si>
  <si>
    <t>Ядро, %</t>
  </si>
  <si>
    <t>Активная часть, %</t>
  </si>
  <si>
    <t>Резерв,  %</t>
  </si>
  <si>
    <t>Структура портфеля - Факт</t>
  </si>
  <si>
    <t>План</t>
  </si>
  <si>
    <t>Факт</t>
  </si>
  <si>
    <t>Монета</t>
  </si>
  <si>
    <t>Процент в портфеле</t>
  </si>
  <si>
    <t>Актуальная стоимость, $</t>
  </si>
  <si>
    <t>Общее кол-во монет</t>
  </si>
  <si>
    <t>Стоимость покупки, $</t>
  </si>
  <si>
    <t>Стоимость покупки, ₽</t>
  </si>
  <si>
    <t>Актуальная прибыль, $</t>
  </si>
  <si>
    <t>-/+, %</t>
  </si>
  <si>
    <t>Общая сумма портфеля, $</t>
  </si>
  <si>
    <t>Актуальная прибыль, ₽</t>
  </si>
  <si>
    <t>Ядро</t>
  </si>
  <si>
    <t>Активная часть</t>
  </si>
  <si>
    <t>Резерв</t>
  </si>
  <si>
    <t>В Ядро включено</t>
  </si>
  <si>
    <t>Ethereum</t>
  </si>
  <si>
    <t>Bitcoin</t>
  </si>
  <si>
    <t>В Активную часть включено</t>
  </si>
  <si>
    <t>В Резерв включено</t>
  </si>
  <si>
    <t>Название монеты</t>
  </si>
  <si>
    <t>Биржа</t>
  </si>
  <si>
    <t>Тикер</t>
  </si>
  <si>
    <t>Тикер для бирж</t>
  </si>
  <si>
    <t>Тип монеты</t>
  </si>
  <si>
    <t>Кол-во монет</t>
  </si>
  <si>
    <t>Цена монеты $</t>
  </si>
  <si>
    <t>Стоимость покупки $</t>
  </si>
  <si>
    <t>Стоимость покупки РУБ, по курсу ЦБ РФ на дату покупки</t>
  </si>
  <si>
    <t>На какой кошелек отправлено</t>
  </si>
  <si>
    <t>Срок стейкинга/
фарминга и тп</t>
  </si>
  <si>
    <t>Актуальная стоимость монет, $</t>
  </si>
  <si>
    <t>Текущая стоимость актива, $</t>
  </si>
  <si>
    <t>Итого</t>
  </si>
  <si>
    <t>Валюта</t>
  </si>
  <si>
    <t>Цена</t>
  </si>
  <si>
    <t>Номер</t>
  </si>
  <si>
    <t>Месяц</t>
  </si>
  <si>
    <t>USDRUB</t>
  </si>
  <si>
    <t>BTCUSD</t>
  </si>
  <si>
    <t>Январь</t>
  </si>
  <si>
    <t>Стоимость покупки</t>
  </si>
  <si>
    <t>EURRUB</t>
  </si>
  <si>
    <t>ETHUSD</t>
  </si>
  <si>
    <t>Февраль</t>
  </si>
  <si>
    <t>Актуальная стоимость</t>
  </si>
  <si>
    <t>USDEUR</t>
  </si>
  <si>
    <t>BNBUSD</t>
  </si>
  <si>
    <t>Март</t>
  </si>
  <si>
    <t>Актуальная прибыль</t>
  </si>
  <si>
    <t>USDTRUB</t>
  </si>
  <si>
    <t>Апрель</t>
  </si>
  <si>
    <t>Май</t>
  </si>
  <si>
    <t>Июнь</t>
  </si>
  <si>
    <t>Июль</t>
  </si>
  <si>
    <t>Авгус</t>
  </si>
  <si>
    <t>BITCOIN</t>
  </si>
  <si>
    <t>Binance Coin</t>
  </si>
  <si>
    <t>Сентябрь</t>
  </si>
  <si>
    <t>Октябрь</t>
  </si>
  <si>
    <t>Ноябрь</t>
  </si>
  <si>
    <t>Декабрь</t>
  </si>
  <si>
    <t>Год</t>
  </si>
  <si>
    <t>Криптовалюта</t>
  </si>
  <si>
    <t>№</t>
  </si>
  <si>
    <t xml:space="preserve">Пара USDT </t>
  </si>
  <si>
    <t>Стоимость, $</t>
  </si>
  <si>
    <t>BTC</t>
  </si>
  <si>
    <t>ETH</t>
  </si>
  <si>
    <t>BNB</t>
  </si>
  <si>
    <t>Biswap</t>
  </si>
  <si>
    <t>BSW</t>
  </si>
  <si>
    <t>BSWUSDT</t>
  </si>
  <si>
    <t>Cake</t>
  </si>
  <si>
    <t>CAKE</t>
  </si>
  <si>
    <t>CAKEUSDT</t>
  </si>
  <si>
    <t>Uni</t>
  </si>
  <si>
    <t>UNI</t>
  </si>
  <si>
    <t>UNIUSDT</t>
  </si>
  <si>
    <t>Unisocks</t>
  </si>
  <si>
    <t>SOCKS</t>
  </si>
  <si>
    <t>Wrapped Bitcoin</t>
  </si>
  <si>
    <t>WBTC</t>
  </si>
  <si>
    <t>Bitcoin BEP2</t>
  </si>
  <si>
    <t>BTCB</t>
  </si>
  <si>
    <t>renBTC</t>
  </si>
  <si>
    <t>RENBTC</t>
  </si>
  <si>
    <t>RSK Smart Bitcoin</t>
  </si>
  <si>
    <t>RBTC</t>
  </si>
  <si>
    <t>yearn.finance</t>
  </si>
  <si>
    <t>YFI</t>
  </si>
  <si>
    <t>DIGG</t>
  </si>
  <si>
    <t>BoringDAO</t>
  </si>
  <si>
    <t>BOR</t>
  </si>
  <si>
    <t>Venus BTC</t>
  </si>
  <si>
    <t>vBTC</t>
  </si>
  <si>
    <t>Wrapped Origin Axie</t>
  </si>
  <si>
    <t>WOA</t>
  </si>
  <si>
    <t>Perth Mint Gold Token</t>
  </si>
  <si>
    <t>PMGT</t>
  </si>
  <si>
    <t>cVault.finance</t>
  </si>
  <si>
    <t>CORE</t>
  </si>
  <si>
    <t>Utrum</t>
  </si>
  <si>
    <t>OOT</t>
  </si>
  <si>
    <t>Maker</t>
  </si>
  <si>
    <t>MKR</t>
  </si>
  <si>
    <t>DFI.Money</t>
  </si>
  <si>
    <t>YFII</t>
  </si>
  <si>
    <t>PAX Gold</t>
  </si>
  <si>
    <t>PAXG</t>
  </si>
  <si>
    <t>XMON</t>
  </si>
  <si>
    <t>COVER Protocol</t>
  </si>
  <si>
    <t>COVER</t>
  </si>
  <si>
    <t>YFDAI.FINANCE</t>
  </si>
  <si>
    <t>YF-DAI</t>
  </si>
  <si>
    <t>Whiteheart</t>
  </si>
  <si>
    <t>WHITE</t>
  </si>
  <si>
    <t>Zero Utility Token</t>
  </si>
  <si>
    <t>ZUT</t>
  </si>
  <si>
    <t>ankrETH</t>
  </si>
  <si>
    <t>aEth</t>
  </si>
  <si>
    <t>Bitcoin Cash</t>
  </si>
  <si>
    <t>BCH</t>
  </si>
  <si>
    <t>Primalbase Token</t>
  </si>
  <si>
    <t>PBT</t>
  </si>
  <si>
    <t>DigixDAO</t>
  </si>
  <si>
    <t>DGD</t>
  </si>
  <si>
    <t>QuickSwap</t>
  </si>
  <si>
    <t>QUICK</t>
  </si>
  <si>
    <t>UniCrypt</t>
  </si>
  <si>
    <t>UNCX</t>
  </si>
  <si>
    <t>saffron.finance</t>
  </si>
  <si>
    <t>SFI</t>
  </si>
  <si>
    <t>Alchemix</t>
  </si>
  <si>
    <t>ALCX</t>
  </si>
  <si>
    <t>DXdao</t>
  </si>
  <si>
    <t>DXD</t>
  </si>
  <si>
    <t>Aave</t>
  </si>
  <si>
    <t>AAVE</t>
  </si>
  <si>
    <t>AGAr</t>
  </si>
  <si>
    <t>AGAR</t>
  </si>
  <si>
    <t>Decentral Games</t>
  </si>
  <si>
    <t>DG</t>
  </si>
  <si>
    <t>DeGate</t>
  </si>
  <si>
    <t>Monero</t>
  </si>
  <si>
    <t>XMR</t>
  </si>
  <si>
    <t>Wrapped Gen-0 CryptoKitties</t>
  </si>
  <si>
    <t>WG0</t>
  </si>
  <si>
    <t>Kusama</t>
  </si>
  <si>
    <t>KSM</t>
  </si>
  <si>
    <t>Sora</t>
  </si>
  <si>
    <t>XOR</t>
  </si>
  <si>
    <t>Gnosis</t>
  </si>
  <si>
    <t>GNO</t>
  </si>
  <si>
    <t>Cream Finance</t>
  </si>
  <si>
    <t>CREAM</t>
  </si>
  <si>
    <t>Bitcoin SV</t>
  </si>
  <si>
    <t>BSV</t>
  </si>
  <si>
    <t>Litecoin</t>
  </si>
  <si>
    <t>LTC</t>
  </si>
  <si>
    <t>DFSocial Gaming</t>
  </si>
  <si>
    <t>DFSOCIAL</t>
  </si>
  <si>
    <t>Дэш</t>
  </si>
  <si>
    <t>DASH</t>
  </si>
  <si>
    <t>Decred</t>
  </si>
  <si>
    <t>DCR</t>
  </si>
  <si>
    <t>Frax Share</t>
  </si>
  <si>
    <t>FXS</t>
  </si>
  <si>
    <t>Polyient Games Governance Token</t>
  </si>
  <si>
    <t>PGT</t>
  </si>
  <si>
    <t>Harvest Finance</t>
  </si>
  <si>
    <t>FARM</t>
  </si>
  <si>
    <t>Illuvium</t>
  </si>
  <si>
    <t>ILV</t>
  </si>
  <si>
    <t>Zcash</t>
  </si>
  <si>
    <t>ZEC</t>
  </si>
  <si>
    <t>Xiotri</t>
  </si>
  <si>
    <t>XIOT</t>
  </si>
  <si>
    <t>Zoracles</t>
  </si>
  <si>
    <t>ZORA</t>
  </si>
  <si>
    <t>Elrond</t>
  </si>
  <si>
    <t>EGLD</t>
  </si>
  <si>
    <t>Enzyme</t>
  </si>
  <si>
    <t>MLN</t>
  </si>
  <si>
    <t>Melon</t>
  </si>
  <si>
    <t>Keep3rV1</t>
  </si>
  <si>
    <t>KP3R</t>
  </si>
  <si>
    <t>NXM</t>
  </si>
  <si>
    <t>MARK.SPACE</t>
  </si>
  <si>
    <t>MRK</t>
  </si>
  <si>
    <t>YF Link</t>
  </si>
  <si>
    <t>YFL</t>
  </si>
  <si>
    <t>Quant</t>
  </si>
  <si>
    <t>QNT</t>
  </si>
  <si>
    <t>NFTX</t>
  </si>
  <si>
    <t>Digix Gold Token</t>
  </si>
  <si>
    <t>DGX</t>
  </si>
  <si>
    <t>CACHE Gold</t>
  </si>
  <si>
    <t>CGT</t>
  </si>
  <si>
    <t>Non-Fungible Yearn</t>
  </si>
  <si>
    <t>NFY</t>
  </si>
  <si>
    <t>StakedZEN</t>
  </si>
  <si>
    <t>STZEN</t>
  </si>
  <si>
    <t>Horizen</t>
  </si>
  <si>
    <t>ZEN</t>
  </si>
  <si>
    <t>Filecoin</t>
  </si>
  <si>
    <t>FIL</t>
  </si>
  <si>
    <t>Darwinia Commitment Token</t>
  </si>
  <si>
    <t>KTON</t>
  </si>
  <si>
    <t>Ethereum Classic</t>
  </si>
  <si>
    <t>ETC</t>
  </si>
  <si>
    <t>Bitcoin Gold</t>
  </si>
  <si>
    <t>BTG</t>
  </si>
  <si>
    <t>HAPI</t>
  </si>
  <si>
    <t>Strike</t>
  </si>
  <si>
    <t>STRK</t>
  </si>
  <si>
    <t>Mist</t>
  </si>
  <si>
    <t>MIST</t>
  </si>
  <si>
    <t>Dogeswap</t>
  </si>
  <si>
    <t>DOGES</t>
  </si>
  <si>
    <t>Tornado</t>
  </si>
  <si>
    <t>TCORE</t>
  </si>
  <si>
    <t>Internet Computer</t>
  </si>
  <si>
    <t>ICP</t>
  </si>
  <si>
    <t>Earneo</t>
  </si>
  <si>
    <t>RNO</t>
  </si>
  <si>
    <t>Streamity</t>
  </si>
  <si>
    <t>STM</t>
  </si>
  <si>
    <t>Tellor</t>
  </si>
  <si>
    <t>TRB</t>
  </si>
  <si>
    <t>bAlpha</t>
  </si>
  <si>
    <t>BALPHA</t>
  </si>
  <si>
    <t>Neo</t>
  </si>
  <si>
    <t>NEO</t>
  </si>
  <si>
    <t>Shopping</t>
  </si>
  <si>
    <t>SPI</t>
  </si>
  <si>
    <t>Doki Doki Finance</t>
  </si>
  <si>
    <t>DOKI</t>
  </si>
  <si>
    <t>Numeraire</t>
  </si>
  <si>
    <t>NMR</t>
  </si>
  <si>
    <t>Tornado Cash</t>
  </si>
  <si>
    <t>TORN</t>
  </si>
  <si>
    <t>Solana</t>
  </si>
  <si>
    <t>SOL</t>
  </si>
  <si>
    <t>Muse</t>
  </si>
  <si>
    <t>MUSE</t>
  </si>
  <si>
    <t>FTX Token</t>
  </si>
  <si>
    <t>FTT</t>
  </si>
  <si>
    <t>Unifty</t>
  </si>
  <si>
    <t>NIF</t>
  </si>
  <si>
    <t>Neutrino Token</t>
  </si>
  <si>
    <t>NSBT</t>
  </si>
  <si>
    <t>Obyte</t>
  </si>
  <si>
    <t>GBYTE</t>
  </si>
  <si>
    <t>Axie Infinity</t>
  </si>
  <si>
    <t>AXS</t>
  </si>
  <si>
    <t>Balancer</t>
  </si>
  <si>
    <t>BAL</t>
  </si>
  <si>
    <t>Bounce Token</t>
  </si>
  <si>
    <t>AUCTION</t>
  </si>
  <si>
    <t>Augur</t>
  </si>
  <si>
    <t>REP</t>
  </si>
  <si>
    <t>KLAYswap Protocol</t>
  </si>
  <si>
    <t>KSP</t>
  </si>
  <si>
    <t>MoonTools</t>
  </si>
  <si>
    <t>MOONS</t>
  </si>
  <si>
    <t>Infinitecoin</t>
  </si>
  <si>
    <t>IFC</t>
  </si>
  <si>
    <t>Paris Saint-Germain Fan Token</t>
  </si>
  <si>
    <t>PSG</t>
  </si>
  <si>
    <t>Venus</t>
  </si>
  <si>
    <t>XVS</t>
  </si>
  <si>
    <t>Uquid Coin</t>
  </si>
  <si>
    <t>UQC</t>
  </si>
  <si>
    <t>Chrono.tech</t>
  </si>
  <si>
    <t>TIME</t>
  </si>
  <si>
    <t>Chronobank</t>
  </si>
  <si>
    <t>Chainlink</t>
  </si>
  <si>
    <t>LINK</t>
  </si>
  <si>
    <t>Ampleforth Governance Token</t>
  </si>
  <si>
    <t>FORTH</t>
  </si>
  <si>
    <t>Flow</t>
  </si>
  <si>
    <t>FLOW</t>
  </si>
  <si>
    <t>Bitcoin Standard Hashrate Token</t>
  </si>
  <si>
    <t>BTCST</t>
  </si>
  <si>
    <t>FC Barcelona Fan Token</t>
  </si>
  <si>
    <t>BAR</t>
  </si>
  <si>
    <t>Arweave</t>
  </si>
  <si>
    <t>AR</t>
  </si>
  <si>
    <t>Radicle</t>
  </si>
  <si>
    <t>RAD</t>
  </si>
  <si>
    <t>PancakeSwap</t>
  </si>
  <si>
    <t>Livepeer</t>
  </si>
  <si>
    <t>LPT</t>
  </si>
  <si>
    <t>Polkadot</t>
  </si>
  <si>
    <t>DOT</t>
  </si>
  <si>
    <t>Veritaseum</t>
  </si>
  <si>
    <t>VERI</t>
  </si>
  <si>
    <t>Waves</t>
  </si>
  <si>
    <t>WAVES</t>
  </si>
  <si>
    <t>Robonomics.network</t>
  </si>
  <si>
    <t>XRT</t>
  </si>
  <si>
    <t>Q DAO Governance token v1.0</t>
  </si>
  <si>
    <t>QDAO</t>
  </si>
  <si>
    <t>Vox.Finance</t>
  </si>
  <si>
    <t>VOX</t>
  </si>
  <si>
    <t>Prometeus</t>
  </si>
  <si>
    <t>PROM</t>
  </si>
  <si>
    <t>Ducato Protocol Token</t>
  </si>
  <si>
    <t>DUCATO</t>
  </si>
  <si>
    <t>Cosmos</t>
  </si>
  <si>
    <t>ATOM</t>
  </si>
  <si>
    <t>Avalanche</t>
  </si>
  <si>
    <t>AVAX</t>
  </si>
  <si>
    <t>Belt Finance</t>
  </si>
  <si>
    <t>BELT</t>
  </si>
  <si>
    <t>Helium</t>
  </si>
  <si>
    <t>HNT</t>
  </si>
  <si>
    <t>Sun (New)</t>
  </si>
  <si>
    <t>SUN</t>
  </si>
  <si>
    <t>NewYork Exchange</t>
  </si>
  <si>
    <t>NYE</t>
  </si>
  <si>
    <t>OKB</t>
  </si>
  <si>
    <t>PolkaBridge</t>
  </si>
  <si>
    <t>PBR</t>
  </si>
  <si>
    <t>Novo</t>
  </si>
  <si>
    <t>NOVO</t>
  </si>
  <si>
    <t>Rocket Pool</t>
  </si>
  <si>
    <t>RPL</t>
  </si>
  <si>
    <t>Synthetix</t>
  </si>
  <si>
    <t>SNX</t>
  </si>
  <si>
    <t>Rope</t>
  </si>
  <si>
    <t>$ROPE</t>
  </si>
  <si>
    <t>Corra.Finance</t>
  </si>
  <si>
    <t>CORA</t>
  </si>
  <si>
    <t>MCO</t>
  </si>
  <si>
    <t>Tadpole Finance</t>
  </si>
  <si>
    <t>TAD</t>
  </si>
  <si>
    <t>Rarible</t>
  </si>
  <si>
    <t>RARI</t>
  </si>
  <si>
    <t>Bitcoin Plus</t>
  </si>
  <si>
    <t>XBC</t>
  </si>
  <si>
    <t>Polkadex</t>
  </si>
  <si>
    <t>PDEX</t>
  </si>
  <si>
    <t>Huobi Token</t>
  </si>
  <si>
    <t>HT</t>
  </si>
  <si>
    <t>Vanilla Network</t>
  </si>
  <si>
    <t>VNLA</t>
  </si>
  <si>
    <t>DuckDaoDime</t>
  </si>
  <si>
    <t>DDIM</t>
  </si>
  <si>
    <t>UMA</t>
  </si>
  <si>
    <t>Juventus Fan Token</t>
  </si>
  <si>
    <t>JUV</t>
  </si>
  <si>
    <t>OctoFi</t>
  </si>
  <si>
    <t>OCTO</t>
  </si>
  <si>
    <t>Unifi Protocol DAO</t>
  </si>
  <si>
    <t>UNFI</t>
  </si>
  <si>
    <t>KuCoin Token</t>
  </si>
  <si>
    <t>KCS</t>
  </si>
  <si>
    <t>KuCoin Shares</t>
  </si>
  <si>
    <t>Perpetual Protocol</t>
  </si>
  <si>
    <t>PERP</t>
  </si>
  <si>
    <t>Badger DAO</t>
  </si>
  <si>
    <t>BADGER</t>
  </si>
  <si>
    <t>Cryptocean</t>
  </si>
  <si>
    <t>CRON</t>
  </si>
  <si>
    <t>Zenon</t>
  </si>
  <si>
    <t>ZNN</t>
  </si>
  <si>
    <t>TitanSwap</t>
  </si>
  <si>
    <t>TITAN</t>
  </si>
  <si>
    <t>Urus</t>
  </si>
  <si>
    <t>URUS</t>
  </si>
  <si>
    <t>Lido DAO Token</t>
  </si>
  <si>
    <t>LDO</t>
  </si>
  <si>
    <t>Gas</t>
  </si>
  <si>
    <t>GAS</t>
  </si>
  <si>
    <t>xDai</t>
  </si>
  <si>
    <t>STAKE</t>
  </si>
  <si>
    <t>Cobak Token</t>
  </si>
  <si>
    <t>CBK</t>
  </si>
  <si>
    <t>SushiSwap</t>
  </si>
  <si>
    <t>SUSHI</t>
  </si>
  <si>
    <t>Dego Finance</t>
  </si>
  <si>
    <t>DEGO</t>
  </si>
  <si>
    <t>PieDAO DEFI++</t>
  </si>
  <si>
    <t>DEFI++</t>
  </si>
  <si>
    <t>WHALE</t>
  </si>
  <si>
    <t>Dero</t>
  </si>
  <si>
    <t>DERO</t>
  </si>
  <si>
    <t>Pickle Finance</t>
  </si>
  <si>
    <t>PICKLE</t>
  </si>
  <si>
    <t>Injective Protocol</t>
  </si>
  <si>
    <t>INJ</t>
  </si>
  <si>
    <t>LockTrip</t>
  </si>
  <si>
    <t>LOC</t>
  </si>
  <si>
    <t>MyNeighborAlice</t>
  </si>
  <si>
    <t>ALICE</t>
  </si>
  <si>
    <t>LUKSO</t>
  </si>
  <si>
    <t>LYXe</t>
  </si>
  <si>
    <t>Persistence</t>
  </si>
  <si>
    <t>XPRT</t>
  </si>
  <si>
    <t>Ethernity Chain</t>
  </si>
  <si>
    <t>ERN</t>
  </si>
  <si>
    <t>Qtum</t>
  </si>
  <si>
    <t>QTUM</t>
  </si>
  <si>
    <t>Band Protocol</t>
  </si>
  <si>
    <t>BAND</t>
  </si>
  <si>
    <t>Vesper</t>
  </si>
  <si>
    <t>VSP</t>
  </si>
  <si>
    <t>THORChain</t>
  </si>
  <si>
    <t>RUNE</t>
  </si>
  <si>
    <t>BTSE</t>
  </si>
  <si>
    <t>Metis</t>
  </si>
  <si>
    <t>METIS</t>
  </si>
  <si>
    <t>TENA</t>
  </si>
  <si>
    <t>TENA [old]</t>
  </si>
  <si>
    <t>Steem Dollars</t>
  </si>
  <si>
    <t>SBD</t>
  </si>
  <si>
    <t>Dora Factory</t>
  </si>
  <si>
    <t>DORA</t>
  </si>
  <si>
    <t>Ergo</t>
  </si>
  <si>
    <t>ERG</t>
  </si>
  <si>
    <t>Celsius</t>
  </si>
  <si>
    <t>CEL</t>
  </si>
  <si>
    <t>Rari Governance Token</t>
  </si>
  <si>
    <t>RGT</t>
  </si>
  <si>
    <t>Energy Web Token</t>
  </si>
  <si>
    <t>EWT</t>
  </si>
  <si>
    <t>Mask Network</t>
  </si>
  <si>
    <t>MASK</t>
  </si>
  <si>
    <t>NFTX Hashmasks Index</t>
  </si>
  <si>
    <t>THETA</t>
  </si>
  <si>
    <t>Orion Protocol</t>
  </si>
  <si>
    <t>ORN</t>
  </si>
  <si>
    <t>Kyber Network</t>
  </si>
  <si>
    <t>KNC</t>
  </si>
  <si>
    <t>Kyber Network Crystal Legacy</t>
  </si>
  <si>
    <t>Firo</t>
  </si>
  <si>
    <t>FIRO</t>
  </si>
  <si>
    <t>Oraichain Token</t>
  </si>
  <si>
    <t>ORAI</t>
  </si>
  <si>
    <t>Liquity</t>
  </si>
  <si>
    <t>LQTY</t>
  </si>
  <si>
    <t>PLATINCOIN</t>
  </si>
  <si>
    <t>PLC</t>
  </si>
  <si>
    <t>StackOs</t>
  </si>
  <si>
    <t>STACK</t>
  </si>
  <si>
    <t>YMPL</t>
  </si>
  <si>
    <t>MimbleWimbleCoin</t>
  </si>
  <si>
    <t>MWC</t>
  </si>
  <si>
    <t>Kava.io</t>
  </si>
  <si>
    <t>KAVA</t>
  </si>
  <si>
    <t>Nano</t>
  </si>
  <si>
    <t>NANO</t>
  </si>
  <si>
    <t>Pluton</t>
  </si>
  <si>
    <t>PLU</t>
  </si>
  <si>
    <t>Keep4r</t>
  </si>
  <si>
    <t>KP4R</t>
  </si>
  <si>
    <t>DeXe</t>
  </si>
  <si>
    <t>DEXE</t>
  </si>
  <si>
    <t>OG Fan Token</t>
  </si>
  <si>
    <t>OG</t>
  </si>
  <si>
    <t>Omni</t>
  </si>
  <si>
    <t>OMNI</t>
  </si>
  <si>
    <t>Crowns</t>
  </si>
  <si>
    <t>CWS</t>
  </si>
  <si>
    <t>VAULT</t>
  </si>
  <si>
    <t>API3</t>
  </si>
  <si>
    <t>Router Protocol</t>
  </si>
  <si>
    <t>ROUTE</t>
  </si>
  <si>
    <t>OMG Network</t>
  </si>
  <si>
    <t>OMG</t>
  </si>
  <si>
    <t>Idle</t>
  </si>
  <si>
    <t>IDLE</t>
  </si>
  <si>
    <t>EOS</t>
  </si>
  <si>
    <t>Trias Token (new)</t>
  </si>
  <si>
    <t>TRIAS</t>
  </si>
  <si>
    <t>Burger Swap</t>
  </si>
  <si>
    <t>BURGER</t>
  </si>
  <si>
    <t>Aragon</t>
  </si>
  <si>
    <t>ANT</t>
  </si>
  <si>
    <t>Haven Protocol</t>
  </si>
  <si>
    <t>XHV</t>
  </si>
  <si>
    <t>yAxis</t>
  </si>
  <si>
    <t>YAXIS</t>
  </si>
  <si>
    <t>Mettalex</t>
  </si>
  <si>
    <t>MTLX</t>
  </si>
  <si>
    <t>Hermez Network</t>
  </si>
  <si>
    <t>HEZ</t>
  </si>
  <si>
    <t>RDCT:RDCTOKEN</t>
  </si>
  <si>
    <t>OWO:ONEWORLD</t>
  </si>
  <si>
    <t>X42:X42</t>
  </si>
  <si>
    <t>VIP:VIP COIN</t>
  </si>
  <si>
    <t>EVRAZ:EVRAZ</t>
  </si>
  <si>
    <t>IEX:INTERNAL EXCHANGE COIN</t>
  </si>
  <si>
    <t>DCA:DECENTRALIZE CURRENCY ASSETS</t>
  </si>
  <si>
    <t>AUNIT:AUNITE</t>
  </si>
  <si>
    <t>HBX:HASHBX</t>
  </si>
  <si>
    <t>EVY:EVERYCOIN</t>
  </si>
  <si>
    <t>BNANA:CHIMPION</t>
  </si>
  <si>
    <t>MHC:METAHASH</t>
  </si>
  <si>
    <t>TKP:TOKPIE</t>
  </si>
  <si>
    <t>VLS:VELES</t>
  </si>
  <si>
    <t>MNC:MONEYNET</t>
  </si>
  <si>
    <t>DTC:DATECOIN</t>
  </si>
  <si>
    <t>GMB:GMB</t>
  </si>
  <si>
    <t>JNB:JINBI TOKEN</t>
  </si>
  <si>
    <t>MPG:MAX PROPERTY GROUP</t>
  </si>
  <si>
    <t>SWC:SCANETCHAIN</t>
  </si>
  <si>
    <t>OWC:ODUWA</t>
  </si>
  <si>
    <t>LABX:STAKINGLAB</t>
  </si>
  <si>
    <t>WRKZ:WRKZCOIN</t>
  </si>
  <si>
    <t>LTZ:LITECOINZ</t>
  </si>
  <si>
    <t>NOIA:NOIA NETWORK</t>
  </si>
  <si>
    <t>CSPN:CRYPTO SPORTS</t>
  </si>
  <si>
    <t>SWIFT:SWIFTCASH</t>
  </si>
  <si>
    <t>FLN:FLINE</t>
  </si>
  <si>
    <t>XQR:QREDIT</t>
  </si>
  <si>
    <t>SKRP:SKRAPS</t>
  </si>
  <si>
    <t>BCP:BLOCKCHAIN POLAND</t>
  </si>
  <si>
    <t>NYZO:NYZO</t>
  </si>
  <si>
    <t>PIB:PIBBLE</t>
  </si>
  <si>
    <t>EUM:ELITIUM</t>
  </si>
  <si>
    <t>KTS:KLIMATAS</t>
  </si>
  <si>
    <t>MNC:MAINCOIN</t>
  </si>
  <si>
    <t>SPT:SPECTRUM</t>
  </si>
  <si>
    <t>OMEGA:OMEGA</t>
  </si>
  <si>
    <t>VSYS:V SYSTEMS</t>
  </si>
  <si>
    <t>THX:THORENEXT</t>
  </si>
  <si>
    <t>ONOT:ONOTOKEN</t>
  </si>
  <si>
    <t>COT:COTRADER</t>
  </si>
  <si>
    <t>SPRKL:SPARKLE</t>
  </si>
  <si>
    <t>DOS:DOS NETWORK</t>
  </si>
  <si>
    <t>MDL:MDL TALENT HUB</t>
  </si>
  <si>
    <t>HET:HAVETHERTOKEN</t>
  </si>
  <si>
    <t>SCRIBE:SCRIBE</t>
  </si>
  <si>
    <t>NET:NEXT</t>
  </si>
  <si>
    <t>THEX:THORE EXCHANGE</t>
  </si>
  <si>
    <t>BOLTT:BOLTT COIN</t>
  </si>
  <si>
    <t>ARAW:ARAW</t>
  </si>
  <si>
    <t>JWL:JEWEL</t>
  </si>
  <si>
    <t>INNBCL:INNOVATIVEBIORESEARCHCLASSIC</t>
  </si>
  <si>
    <t>RC20:ROBOCALLS</t>
  </si>
  <si>
    <t>CATT:CATEX TOKEN</t>
  </si>
  <si>
    <t>PLAT:PLATINUM</t>
  </si>
  <si>
    <t>BORA:BORA</t>
  </si>
  <si>
    <t>XWP:SWAP</t>
  </si>
  <si>
    <t>CREDIT:TERRACREDIT</t>
  </si>
  <si>
    <t>BTCV:BITCOINV</t>
  </si>
  <si>
    <t>NAVY:BOATPILOT TOKEN</t>
  </si>
  <si>
    <t>LYRA:SCRYPTA</t>
  </si>
  <si>
    <t>BZC:BITZEC</t>
  </si>
  <si>
    <t>INE:INTELLISHARE</t>
  </si>
  <si>
    <t>FXC:FLEXACOIN</t>
  </si>
  <si>
    <t>CELR:CELER NETWORK</t>
  </si>
  <si>
    <t>ZMY:ZUMY</t>
  </si>
  <si>
    <t>MIC3:MOUSECOIN</t>
  </si>
  <si>
    <t>PTON:PTON</t>
  </si>
  <si>
    <t>BRAVO:BRAVOCOIN</t>
  </si>
  <si>
    <t>DREAM:DREAMTEAM TOKEN</t>
  </si>
  <si>
    <t>BHIG:BUCKHATHCOIN</t>
  </si>
  <si>
    <t>GPT:GOPOWER</t>
  </si>
  <si>
    <t>OLXA:OLXA</t>
  </si>
  <si>
    <t>SLC:SLICE</t>
  </si>
  <si>
    <t>TFUEL:THETA FUEL</t>
  </si>
  <si>
    <t>TOP:TOP</t>
  </si>
  <si>
    <t>BUD:BUDDY</t>
  </si>
  <si>
    <t>ULG:ULTRAGATE</t>
  </si>
  <si>
    <t>ZTC:ZENT CASH</t>
  </si>
  <si>
    <t>KUBO:KUBOCOIN</t>
  </si>
  <si>
    <t>FUND:UNIFICATION</t>
  </si>
  <si>
    <t>NEX:NASH EXCHANGE</t>
  </si>
  <si>
    <t>MOG:MOGWAICOIN</t>
  </si>
  <si>
    <t>BBGC:BIG BANG GAME COIN</t>
  </si>
  <si>
    <t>ARTIS:ARTIS</t>
  </si>
  <si>
    <t>XRC:BITCOIN RHODIUM</t>
  </si>
  <si>
    <t>XEQ:EQUILIBRIA</t>
  </si>
  <si>
    <t>CBU:BANQUE UNIVERSAL</t>
  </si>
  <si>
    <t>XSR:SUCRECOIN</t>
  </si>
  <si>
    <t>VBK:VERIBLOCK</t>
  </si>
  <si>
    <t>VIDT:V-ID</t>
  </si>
  <si>
    <t>CSP:CASPIAN</t>
  </si>
  <si>
    <t>JMC:JUNSON MING CHAN COIN</t>
  </si>
  <si>
    <t>404:404 COIN</t>
  </si>
  <si>
    <t>XDC:XDC</t>
  </si>
  <si>
    <t>SLB:SOLAR BANKERS COIN</t>
  </si>
  <si>
    <t>WHEN:WHEN TOKEN</t>
  </si>
  <si>
    <t>OTO:OTOCASH</t>
  </si>
  <si>
    <t>GENIX:GENIX</t>
  </si>
  <si>
    <t>GFUN:GOLDFUND</t>
  </si>
  <si>
    <t>MTV:MULTIVAC</t>
  </si>
  <si>
    <t>BLOC:BLOCKCLOUD</t>
  </si>
  <si>
    <t>FNB:FNB PROTOCOL</t>
  </si>
  <si>
    <t>PTI:PAYTOMAT</t>
  </si>
  <si>
    <t>CBEX:CBEX TOKEN</t>
  </si>
  <si>
    <t>MAR:MCHAIN</t>
  </si>
  <si>
    <t>INF:INFINITUS TOKEN</t>
  </si>
  <si>
    <t>EVED:EVEDO</t>
  </si>
  <si>
    <t>DEQ:DEQUANT</t>
  </si>
  <si>
    <t>SSF:SAFE SEAFOOD COIN</t>
  </si>
  <si>
    <t>SCP:SIAPRIME COIN</t>
  </si>
  <si>
    <t>LNO:LIVENODES</t>
  </si>
  <si>
    <t>UGAS:UGAS</t>
  </si>
  <si>
    <t>BZKY:BIZKEY</t>
  </si>
  <si>
    <t>CNNS:CNNS</t>
  </si>
  <si>
    <t>CON:CONUN</t>
  </si>
  <si>
    <t>NEW:NEWTON</t>
  </si>
  <si>
    <t>LIT:LITION</t>
  </si>
  <si>
    <t>ZEON:ZEON</t>
  </si>
  <si>
    <t>MCC:MICROCOIN</t>
  </si>
  <si>
    <t>IRIS:IRISNET</t>
  </si>
  <si>
    <t>VALOR:VALOR TOKEN</t>
  </si>
  <si>
    <t>FOR:THE FORCE PROTOCOL</t>
  </si>
  <si>
    <t>MFC:MFCOIN</t>
  </si>
  <si>
    <t>COW:COWRY</t>
  </si>
  <si>
    <t>DLN:DELION</t>
  </si>
  <si>
    <t>OCE:OCEANEX TOKEN</t>
  </si>
  <si>
    <t>TERA:TERA</t>
  </si>
  <si>
    <t>RFOX:REDFOX LABS</t>
  </si>
  <si>
    <t>QCX:QUICKX PROTOCOL</t>
  </si>
  <si>
    <t>FX:FUNCTION X</t>
  </si>
  <si>
    <t>MCLB:MILLENNIUMCLUB COIN</t>
  </si>
  <si>
    <t>BTTR:BITTRACKSYSTEMS</t>
  </si>
  <si>
    <t>MBL:MOVIEBLOC</t>
  </si>
  <si>
    <t>BITC:BITCASH</t>
  </si>
  <si>
    <t>CGCX:CGCX</t>
  </si>
  <si>
    <t>WPP:WPP TOKEN</t>
  </si>
  <si>
    <t>MATIC:MATIC NETWORK</t>
  </si>
  <si>
    <t>NAT:NATMIN PURE ESCROW</t>
  </si>
  <si>
    <t>VOLLAR:V-DIMENSION</t>
  </si>
  <si>
    <t>NOW:NOW TOKEN</t>
  </si>
  <si>
    <t>OSC:OASISCITY</t>
  </si>
  <si>
    <t>GMAT:GOWITHMI</t>
  </si>
  <si>
    <t>XMV:MONEROV</t>
  </si>
  <si>
    <t>DUO:DUO NETWORK TOKEN</t>
  </si>
  <si>
    <t>MCM:MOCHIMO</t>
  </si>
  <si>
    <t>OCEAN:OCEAN PROTOCOL</t>
  </si>
  <si>
    <t>TTN:TITAN COIN</t>
  </si>
  <si>
    <t>EVT:EVERITOKEN</t>
  </si>
  <si>
    <t>PEPS:PEPS COIN</t>
  </si>
  <si>
    <t>GTN:GLITZKOIN</t>
  </si>
  <si>
    <t>MERI:MEREBEL</t>
  </si>
  <si>
    <t>WGP:W GREEN PAY</t>
  </si>
  <si>
    <t>XLMG:STELLAR GOLD</t>
  </si>
  <si>
    <t>IDEX:IDEX</t>
  </si>
  <si>
    <t>PEOS:PEOS</t>
  </si>
  <si>
    <t>IXI:IXICASH</t>
  </si>
  <si>
    <t>BCZ:BITCOIN CZ</t>
  </si>
  <si>
    <t>TT:THUNDER TOKEN</t>
  </si>
  <si>
    <t>ICOL:ICOLCOIN</t>
  </si>
  <si>
    <t>NTBC:NOTE BLOCKCHAIN</t>
  </si>
  <si>
    <t>ELET:ELEMENTUM TOKEN</t>
  </si>
  <si>
    <t>TFTN:TFT NETWORK</t>
  </si>
  <si>
    <t>ZANO:ZANO</t>
  </si>
  <si>
    <t>NNB:NNB TOKEN</t>
  </si>
  <si>
    <t>SRK:SPARKPOINT</t>
  </si>
  <si>
    <t>XCON:CONNECT COIN</t>
  </si>
  <si>
    <t>MZK:MUZIKA</t>
  </si>
  <si>
    <t>TRP:TRONIPAY</t>
  </si>
  <si>
    <t>BC:BITCOIN CONFIDENTIAL</t>
  </si>
  <si>
    <t>VDX:VODI X</t>
  </si>
  <si>
    <t>QWC:QWERTYCOIN</t>
  </si>
  <si>
    <t>ADMN:ADIOMAN</t>
  </si>
  <si>
    <t>CRE:CARRY</t>
  </si>
  <si>
    <t>LEO:LEO TOKEN</t>
  </si>
  <si>
    <t>NTR:NETRUM</t>
  </si>
  <si>
    <t>KUE:KUENDE</t>
  </si>
  <si>
    <t>B2B:B2BCOIN</t>
  </si>
  <si>
    <t>BOMB:BOMB</t>
  </si>
  <si>
    <t>BNODE:BEENODE</t>
  </si>
  <si>
    <t>AMPL:AMPLEFORTH</t>
  </si>
  <si>
    <t>TOC:TOUCHCON</t>
  </si>
  <si>
    <t>RSR:RESERVE RIGHTS</t>
  </si>
  <si>
    <t>BHD:BITCOINHD</t>
  </si>
  <si>
    <t>AYA:ARYACOIN</t>
  </si>
  <si>
    <t>BTC2:BITCOIN 2</t>
  </si>
  <si>
    <t>SNL:SPORT AND LEISURE</t>
  </si>
  <si>
    <t>MCPC:MOBILE CRYPTO PAY COIN</t>
  </si>
  <si>
    <t>1MT:1MILLION TOKEN</t>
  </si>
  <si>
    <t>RNRC:ROCKNRAINCOIN</t>
  </si>
  <si>
    <t>PEC:POVERTY ERADICATION COIN</t>
  </si>
  <si>
    <t>NBXC:NIBBLE</t>
  </si>
  <si>
    <t>ONE:HARMONY</t>
  </si>
  <si>
    <t>SCC:STAKECUBECOIN</t>
  </si>
  <si>
    <t>OGO:ORIGO</t>
  </si>
  <si>
    <t>NUT:NUT</t>
  </si>
  <si>
    <t>EOSDT:EOSDT</t>
  </si>
  <si>
    <t>PAISA:PAISACOIN</t>
  </si>
  <si>
    <t>WFX:WEBFLIX TOKEN</t>
  </si>
  <si>
    <t>LVL:LEVELAPP TOKEN</t>
  </si>
  <si>
    <t>CRAD:CRAD CASH</t>
  </si>
  <si>
    <t>IRA:DILIGENCE</t>
  </si>
  <si>
    <t>EMT:EMANATE</t>
  </si>
  <si>
    <t>MIX:MIXMARVEL</t>
  </si>
  <si>
    <t>MBN:MEMBRANA</t>
  </si>
  <si>
    <t>GFNCASH:GRAFENOCOIN</t>
  </si>
  <si>
    <t>GEX:GEXAN</t>
  </si>
  <si>
    <t>MOTA:MOTACOIN</t>
  </si>
  <si>
    <t>ELPH:ELPHYRECOIN</t>
  </si>
  <si>
    <t>SERO:SUPER ZERO</t>
  </si>
  <si>
    <t>ANDES:ANDESCOIN</t>
  </si>
  <si>
    <t>QDAO:QDAO</t>
  </si>
  <si>
    <t>FUNC:FUNTIMECOIN</t>
  </si>
  <si>
    <t>RAVEN:RAVEN PROTOCOL</t>
  </si>
  <si>
    <t>ETHPLO:ETHPLODE</t>
  </si>
  <si>
    <t>AXA:AXA FOUNDATION</t>
  </si>
  <si>
    <t>PIRATE:PIRATECASH</t>
  </si>
  <si>
    <t>MX:MX TOKEN</t>
  </si>
  <si>
    <t>DVT:DEVAULT</t>
  </si>
  <si>
    <t>UOS:ULTRA</t>
  </si>
  <si>
    <t>CHZ:CHILIZ</t>
  </si>
  <si>
    <t>STABL:STABLE COIN</t>
  </si>
  <si>
    <t>WOW:WOWNERO</t>
  </si>
  <si>
    <t>VIDY:VIDY</t>
  </si>
  <si>
    <t>PINE:PINECOIN</t>
  </si>
  <si>
    <t>SLV:SILVERWAY</t>
  </si>
  <si>
    <t>NBOT:NAKA BODHI TOKEN</t>
  </si>
  <si>
    <t>ALGO:ALGORAND</t>
  </si>
  <si>
    <t>ZNN:ZENON</t>
  </si>
  <si>
    <t>STPT:STPT</t>
  </si>
  <si>
    <t>PAR:PARACHUTE</t>
  </si>
  <si>
    <t>MPAY:MENAPAY</t>
  </si>
  <si>
    <t>ERD:ELROND [OLD TOKEN]</t>
  </si>
  <si>
    <t>JAR:JARVIS+</t>
  </si>
  <si>
    <t>BXK:BITBOOK GAMBLING</t>
  </si>
  <si>
    <t>CIX100:CRYPTOINDEX.COM 100</t>
  </si>
  <si>
    <t>COS:CONTENTOS</t>
  </si>
  <si>
    <t>MGC:MGC TOKEN</t>
  </si>
  <si>
    <t>SPIN:SPIN PROTOCOL</t>
  </si>
  <si>
    <t>BTCB:BITCOIN BEP2</t>
  </si>
  <si>
    <t>MAPR:MAYA PREFERRED 223</t>
  </si>
  <si>
    <t>XCHF:CRYPTOFRANC</t>
  </si>
  <si>
    <t>DAPP:LIQUIDAPPS</t>
  </si>
  <si>
    <t>BXY:BEAXY</t>
  </si>
  <si>
    <t>WXT:WIREX TOKEN</t>
  </si>
  <si>
    <t>PROM:PROMETEUS</t>
  </si>
  <si>
    <t>PXL:PIXEL</t>
  </si>
  <si>
    <t>ENQ:ENECUUM</t>
  </si>
  <si>
    <t>SPN:SPARTANCOIN</t>
  </si>
  <si>
    <t>URAC:URANUS</t>
  </si>
  <si>
    <t>XENO:XENOVERSE</t>
  </si>
  <si>
    <t>ARPA:ARPA CHAIN</t>
  </si>
  <si>
    <t>DYT:DOYOURTIP</t>
  </si>
  <si>
    <t>FLETA:FLETA</t>
  </si>
  <si>
    <t>PVT:PIVOT TOKEN</t>
  </si>
  <si>
    <t>NOIZ:NOIZCHAIN</t>
  </si>
  <si>
    <t>RUNE:THORCHAIN</t>
  </si>
  <si>
    <t>TMN:TRANSLATEME NETWORK TOKEN</t>
  </si>
  <si>
    <t>QBX:QIIBEE</t>
  </si>
  <si>
    <t>AKRO:AKROPOLIS</t>
  </si>
  <si>
    <t>ERK:EUREKA COIN</t>
  </si>
  <si>
    <t>MCC:MAGIC CUBE COIN</t>
  </si>
  <si>
    <t>WNL:WINSTARS.LIVE</t>
  </si>
  <si>
    <t>GOLD:GOLDEN TOKEN</t>
  </si>
  <si>
    <t>BRZ:BRAZILIAN DIGITAL TOKEN</t>
  </si>
  <si>
    <t>Saito</t>
  </si>
  <si>
    <t>SAITO</t>
  </si>
  <si>
    <t>Digitalcoin</t>
  </si>
  <si>
    <t>DGC</t>
  </si>
  <si>
    <t>Bitcoin Interest</t>
  </si>
  <si>
    <t>BCI</t>
  </si>
  <si>
    <t>DecentBet</t>
  </si>
  <si>
    <t>DBET</t>
  </si>
  <si>
    <t>Elamachain</t>
  </si>
  <si>
    <t>ELAMA</t>
  </si>
  <si>
    <t>Block-Logic</t>
  </si>
  <si>
    <t>BLTG</t>
  </si>
  <si>
    <t>Playgroundz</t>
  </si>
  <si>
    <t>IOG</t>
  </si>
  <si>
    <t>MenaPay</t>
  </si>
  <si>
    <t>MPAY</t>
  </si>
  <si>
    <t>Ormeus Coin</t>
  </si>
  <si>
    <t>ORMEUS</t>
  </si>
  <si>
    <t>Megacoin</t>
  </si>
  <si>
    <t>MEC</t>
  </si>
  <si>
    <t>Cardstack</t>
  </si>
  <si>
    <t>CARD</t>
  </si>
  <si>
    <t>OneLedger</t>
  </si>
  <si>
    <t>OLT</t>
  </si>
  <si>
    <t>VIBE</t>
  </si>
  <si>
    <t>LNX Protocol</t>
  </si>
  <si>
    <t>LNX</t>
  </si>
  <si>
    <t>Libertas Token</t>
  </si>
  <si>
    <t>LIBERTAS</t>
  </si>
  <si>
    <t>Hyperion</t>
  </si>
  <si>
    <t>HYN</t>
  </si>
  <si>
    <t>Litentry</t>
  </si>
  <si>
    <t>LIT</t>
  </si>
  <si>
    <t>DeepBrain Chain</t>
  </si>
  <si>
    <t>DBC</t>
  </si>
  <si>
    <t>Lendingblock</t>
  </si>
  <si>
    <t>LND</t>
  </si>
  <si>
    <t>Jarvis+</t>
  </si>
  <si>
    <t>JAR</t>
  </si>
  <si>
    <t>ProChain</t>
  </si>
  <si>
    <t>PRA</t>
  </si>
  <si>
    <t>Lition</t>
  </si>
  <si>
    <t>SingularDTV</t>
  </si>
  <si>
    <t>SNGLS</t>
  </si>
  <si>
    <t>Humaniq</t>
  </si>
  <si>
    <t>HMQ</t>
  </si>
  <si>
    <t>Max Property Group</t>
  </si>
  <si>
    <t>MPG</t>
  </si>
  <si>
    <t>WayGuide</t>
  </si>
  <si>
    <t>WAY</t>
  </si>
  <si>
    <t>eBitcoin</t>
  </si>
  <si>
    <t>EBTC</t>
  </si>
  <si>
    <t>Ulord</t>
  </si>
  <si>
    <t>UT</t>
  </si>
  <si>
    <t>PoSW Coin</t>
  </si>
  <si>
    <t>POSW</t>
  </si>
  <si>
    <t>Selfkey</t>
  </si>
  <si>
    <t>KEY</t>
  </si>
  <si>
    <t>CPChain</t>
  </si>
  <si>
    <t>CPC</t>
  </si>
  <si>
    <t>HEAT</t>
  </si>
  <si>
    <t>Qbao</t>
  </si>
  <si>
    <t>QBT</t>
  </si>
  <si>
    <t>TROY</t>
  </si>
  <si>
    <t>Patron</t>
  </si>
  <si>
    <t>PAT</t>
  </si>
  <si>
    <t>Maincoin</t>
  </si>
  <si>
    <t>MNC</t>
  </si>
  <si>
    <t>Phoenixcoin</t>
  </si>
  <si>
    <t>PXC</t>
  </si>
  <si>
    <t>WeTrust</t>
  </si>
  <si>
    <t>TRST</t>
  </si>
  <si>
    <t>Moneynet</t>
  </si>
  <si>
    <t>Circuits of Value</t>
  </si>
  <si>
    <t>COVAL</t>
  </si>
  <si>
    <t>Hiveterminal Token</t>
  </si>
  <si>
    <t>HVN</t>
  </si>
  <si>
    <t>Ormeus Ecosystem</t>
  </si>
  <si>
    <t>ECO</t>
  </si>
  <si>
    <t>MovieBloc</t>
  </si>
  <si>
    <t>MBL</t>
  </si>
  <si>
    <t>LABS Group</t>
  </si>
  <si>
    <t>LABS</t>
  </si>
  <si>
    <t>LinkEye</t>
  </si>
  <si>
    <t>LET</t>
  </si>
  <si>
    <t>Bitcloud</t>
  </si>
  <si>
    <t>BTDX</t>
  </si>
  <si>
    <t>Sentivate</t>
  </si>
  <si>
    <t>SNTVT</t>
  </si>
  <si>
    <t>S4FE</t>
  </si>
  <si>
    <t>S4F</t>
  </si>
  <si>
    <t>Swace</t>
  </si>
  <si>
    <t>SWACE</t>
  </si>
  <si>
    <t>Edgeware</t>
  </si>
  <si>
    <t>EDG</t>
  </si>
  <si>
    <t>ALLY</t>
  </si>
  <si>
    <t>ALY</t>
  </si>
  <si>
    <t>PCHAIN</t>
  </si>
  <si>
    <t>PI</t>
  </si>
  <si>
    <t>Edgeless</t>
  </si>
  <si>
    <t>VNT Chain</t>
  </si>
  <si>
    <t>VNT</t>
  </si>
  <si>
    <t>Eminer</t>
  </si>
  <si>
    <t>EM</t>
  </si>
  <si>
    <t>4THPILLAR TECHNOLOGIES</t>
  </si>
  <si>
    <t>FOUR</t>
  </si>
  <si>
    <t>Kobocoin</t>
  </si>
  <si>
    <t>KOBO</t>
  </si>
  <si>
    <t>Delphy</t>
  </si>
  <si>
    <t>DPY</t>
  </si>
  <si>
    <t>Electroneum</t>
  </si>
  <si>
    <t>ETN</t>
  </si>
  <si>
    <t>DEAPcoin</t>
  </si>
  <si>
    <t>DEP</t>
  </si>
  <si>
    <t>Global Social Chain</t>
  </si>
  <si>
    <t>GSC</t>
  </si>
  <si>
    <t>Starbase</t>
  </si>
  <si>
    <t>STAR</t>
  </si>
  <si>
    <t>Bob's Repair</t>
  </si>
  <si>
    <t>BOB</t>
  </si>
  <si>
    <t>Tolar</t>
  </si>
  <si>
    <t>TOL</t>
  </si>
  <si>
    <t>Alpha Token</t>
  </si>
  <si>
    <t>A</t>
  </si>
  <si>
    <t>Callisto Network</t>
  </si>
  <si>
    <t>CLO</t>
  </si>
  <si>
    <t>Donut</t>
  </si>
  <si>
    <t>DONUT</t>
  </si>
  <si>
    <t>ATLANT</t>
  </si>
  <si>
    <t>ATL</t>
  </si>
  <si>
    <t>NevaCoin</t>
  </si>
  <si>
    <t>NEVA</t>
  </si>
  <si>
    <t>SolarCoin</t>
  </si>
  <si>
    <t>SLR</t>
  </si>
  <si>
    <t>TERA</t>
  </si>
  <si>
    <t>BOOM</t>
  </si>
  <si>
    <t>HyperExchange</t>
  </si>
  <si>
    <t>HX</t>
  </si>
  <si>
    <t>Color Platform</t>
  </si>
  <si>
    <t>CLR</t>
  </si>
  <si>
    <t>VeThor Token</t>
  </si>
  <si>
    <t>VTHO</t>
  </si>
  <si>
    <t>Basis Cash</t>
  </si>
  <si>
    <t>BAC</t>
  </si>
  <si>
    <t>QunQun</t>
  </si>
  <si>
    <t>QUN</t>
  </si>
  <si>
    <t>EDUCare</t>
  </si>
  <si>
    <t>EKT</t>
  </si>
  <si>
    <t>Seele-N</t>
  </si>
  <si>
    <t>SEELE</t>
  </si>
  <si>
    <t>Origo</t>
  </si>
  <si>
    <t>OGO</t>
  </si>
  <si>
    <t>Acute Angle Cloud</t>
  </si>
  <si>
    <t>AAC</t>
  </si>
  <si>
    <t>Startcoin</t>
  </si>
  <si>
    <t>START</t>
  </si>
  <si>
    <t>Parachute</t>
  </si>
  <si>
    <t>PAR</t>
  </si>
  <si>
    <t>PlayFuel</t>
  </si>
  <si>
    <t>PLF</t>
  </si>
  <si>
    <t>Alliance Fan Token</t>
  </si>
  <si>
    <t>ALL</t>
  </si>
  <si>
    <t>SmartCash</t>
  </si>
  <si>
    <t>SMART</t>
  </si>
  <si>
    <t>MonetaryUnit</t>
  </si>
  <si>
    <t>MUE</t>
  </si>
  <si>
    <t>Noir</t>
  </si>
  <si>
    <t>NOR</t>
  </si>
  <si>
    <t>Liquidity Network</t>
  </si>
  <si>
    <t>LQD</t>
  </si>
  <si>
    <t>Nimiq</t>
  </si>
  <si>
    <t>NIM</t>
  </si>
  <si>
    <t>UnlimitedIP</t>
  </si>
  <si>
    <t>UIP</t>
  </si>
  <si>
    <t>YOU COIN</t>
  </si>
  <si>
    <t>YOU</t>
  </si>
  <si>
    <t>BitTokens</t>
  </si>
  <si>
    <t>BXT</t>
  </si>
  <si>
    <t>Gitcoin</t>
  </si>
  <si>
    <t>GTC</t>
  </si>
  <si>
    <t>Game.com</t>
  </si>
  <si>
    <t>TerraCredit</t>
  </si>
  <si>
    <t>CREDIT</t>
  </si>
  <si>
    <t>Origin Sport</t>
  </si>
  <si>
    <t>ORS</t>
  </si>
  <si>
    <t>MetalCoin</t>
  </si>
  <si>
    <t>METAL</t>
  </si>
  <si>
    <t>DECENT</t>
  </si>
  <si>
    <t>DCT</t>
  </si>
  <si>
    <t>SparkPoint</t>
  </si>
  <si>
    <t>SRK</t>
  </si>
  <si>
    <t>BitForex Token</t>
  </si>
  <si>
    <t>BF</t>
  </si>
  <si>
    <t>Fera</t>
  </si>
  <si>
    <t>FERA</t>
  </si>
  <si>
    <t>DSLA Protocol</t>
  </si>
  <si>
    <t>DSLA</t>
  </si>
  <si>
    <t>Machi X</t>
  </si>
  <si>
    <t>MCX</t>
  </si>
  <si>
    <t>MEET.ONE</t>
  </si>
  <si>
    <t>MEETONE</t>
  </si>
  <si>
    <t>TEMCO</t>
  </si>
  <si>
    <t>Sylo</t>
  </si>
  <si>
    <t>SYLO</t>
  </si>
  <si>
    <t>Mirror Protocol</t>
  </si>
  <si>
    <t>MIR</t>
  </si>
  <si>
    <t>XYO</t>
  </si>
  <si>
    <t>MIR COIN</t>
  </si>
  <si>
    <t>Pinkcoin</t>
  </si>
  <si>
    <t>PINK</t>
  </si>
  <si>
    <t>BitTube</t>
  </si>
  <si>
    <t>TUBE</t>
  </si>
  <si>
    <t>Nework</t>
  </si>
  <si>
    <t>NKC</t>
  </si>
  <si>
    <t>BoutsPro</t>
  </si>
  <si>
    <t>BOUTS</t>
  </si>
  <si>
    <t>Huobi Pool Token</t>
  </si>
  <si>
    <t>HPT</t>
  </si>
  <si>
    <t>Peculium</t>
  </si>
  <si>
    <t>PCL</t>
  </si>
  <si>
    <t>CRD Network</t>
  </si>
  <si>
    <t>CRD</t>
  </si>
  <si>
    <t>Era Swap</t>
  </si>
  <si>
    <t>ES</t>
  </si>
  <si>
    <t>Vetri</t>
  </si>
  <si>
    <t>VLD</t>
  </si>
  <si>
    <t>PolySwarm</t>
  </si>
  <si>
    <t>NCT</t>
  </si>
  <si>
    <t>MediShares</t>
  </si>
  <si>
    <t>MDS</t>
  </si>
  <si>
    <t>Cloudbric</t>
  </si>
  <si>
    <t>CLBK</t>
  </si>
  <si>
    <t>Name Change Token</t>
  </si>
  <si>
    <t>RED</t>
  </si>
  <si>
    <t>ZIMBOCASH</t>
  </si>
  <si>
    <t>ZASH</t>
  </si>
  <si>
    <t>Ruff</t>
  </si>
  <si>
    <t>RUFF</t>
  </si>
  <si>
    <t>DOC.COM</t>
  </si>
  <si>
    <t>MTC</t>
  </si>
  <si>
    <t>Gourmet Galaxy</t>
  </si>
  <si>
    <t>GUM</t>
  </si>
  <si>
    <t>Freicoin</t>
  </si>
  <si>
    <t>FRC</t>
  </si>
  <si>
    <t>Zilla</t>
  </si>
  <si>
    <t>ZLA</t>
  </si>
  <si>
    <t>Tidal Finance</t>
  </si>
  <si>
    <t>TIDAL</t>
  </si>
  <si>
    <t>Project WITH</t>
  </si>
  <si>
    <t>WIKEN</t>
  </si>
  <si>
    <t>Faceter</t>
  </si>
  <si>
    <t>FACE</t>
  </si>
  <si>
    <t>Snetwork</t>
  </si>
  <si>
    <t>SNET</t>
  </si>
  <si>
    <t>TrueFeedBack</t>
  </si>
  <si>
    <t>Я БУДУ ПУТЕШЕСТВОВАТЬ И ЖИТЬ НА ПАССИВНЫЙ ДОХОД</t>
  </si>
  <si>
    <t>ZPT:ZEEPIN</t>
  </si>
  <si>
    <t>HLC:QITMEER</t>
  </si>
  <si>
    <t>COFI:COINFI</t>
  </si>
  <si>
    <t>CXO:CARGOX</t>
  </si>
  <si>
    <t>CPC:CPCHAIN</t>
  </si>
  <si>
    <t>VLC:VALUECHAIN</t>
  </si>
  <si>
    <t>EQL:EQUAL</t>
  </si>
  <si>
    <t>SENSE:SENSE</t>
  </si>
  <si>
    <t>HT:HUOBI TOKEN</t>
  </si>
  <si>
    <t>ELA:ELASTOS</t>
  </si>
  <si>
    <t>BLZ:BLUZELLE</t>
  </si>
  <si>
    <t>ING:IUNGO</t>
  </si>
  <si>
    <t>JNT:JIBREL NETWORK</t>
  </si>
  <si>
    <t>STK:STK</t>
  </si>
  <si>
    <t>MTN:MEDICALCHAIN</t>
  </si>
  <si>
    <t>TKY:THEKEY</t>
  </si>
  <si>
    <t>ZLA:ZILLA</t>
  </si>
  <si>
    <t>WPR:WEPOWER</t>
  </si>
  <si>
    <t>CHSB:SWISSBORG</t>
  </si>
  <si>
    <t>ADB:ADBANK</t>
  </si>
  <si>
    <t>POLY:POLYMATH</t>
  </si>
  <si>
    <t>DXT:DATAWALLET</t>
  </si>
  <si>
    <t>SWM:SWARM</t>
  </si>
  <si>
    <t>DMT:DMARKET</t>
  </si>
  <si>
    <t>MLM:MKTCOIN</t>
  </si>
  <si>
    <t>MNTP:GOLDMINT</t>
  </si>
  <si>
    <t>UCASH:UNIVERSAL CASH</t>
  </si>
  <si>
    <t>BIO:BIOCOIN</t>
  </si>
  <si>
    <t>FSN:FUSION</t>
  </si>
  <si>
    <t>UTNP:UNIVERSA</t>
  </si>
  <si>
    <t>ACAT:ALPHACAT</t>
  </si>
  <si>
    <t>EVN:ENVION</t>
  </si>
  <si>
    <t>CAS:CASHAA</t>
  </si>
  <si>
    <t>NANO:NANO</t>
  </si>
  <si>
    <t>MWAT:RESTART ENERGY MWAT</t>
  </si>
  <si>
    <t>NTK:NEUROTOKEN</t>
  </si>
  <si>
    <t>DTC:DATACOIN</t>
  </si>
  <si>
    <t>GEM:GEMS</t>
  </si>
  <si>
    <t>LCC:LITECOIN CASH</t>
  </si>
  <si>
    <t>REN:REPUBLIC PROTOCOL</t>
  </si>
  <si>
    <t>POA:POA</t>
  </si>
  <si>
    <t>ABT:ARCBLOCK</t>
  </si>
  <si>
    <t>CS:CREDITS</t>
  </si>
  <si>
    <t>RFR:REFEREUM</t>
  </si>
  <si>
    <t>CDT:BLOX</t>
  </si>
  <si>
    <t>REM:REMME</t>
  </si>
  <si>
    <t>XNK:INK PROTOCOL</t>
  </si>
  <si>
    <t>BEZ:BEZOP</t>
  </si>
  <si>
    <t>ONT:ONTOLOGY</t>
  </si>
  <si>
    <t>NCASH:NUCLEUS VISION</t>
  </si>
  <si>
    <t>TUSD:TRUE USD</t>
  </si>
  <si>
    <t>AUTO:CUBE</t>
  </si>
  <si>
    <t>IHT:IHT REAL ESTATE PROTOCOL</t>
  </si>
  <si>
    <t>DATX:DATX</t>
  </si>
  <si>
    <t>LYM:LYMPO</t>
  </si>
  <si>
    <t>INSTAR:INSIGHTS NETWORK</t>
  </si>
  <si>
    <t>HQX:HOQU</t>
  </si>
  <si>
    <t>EXY:EXPERTY</t>
  </si>
  <si>
    <t>TOMO:TOMOCHAIN</t>
  </si>
  <si>
    <t>CHP:COINPOKER</t>
  </si>
  <si>
    <t>GRFT:GRAFT</t>
  </si>
  <si>
    <t>ELEC:ELECTRIFY.ASIA</t>
  </si>
  <si>
    <t>BAX:BABB</t>
  </si>
  <si>
    <t>BTCP:BITCOIN PRIVATE</t>
  </si>
  <si>
    <t>RVN:RAVENCOIN</t>
  </si>
  <si>
    <t>TEN:TOKENOMY</t>
  </si>
  <si>
    <t>SHIP:SHIPCHAIN</t>
  </si>
  <si>
    <t>OCC:OCTOIN COIN</t>
  </si>
  <si>
    <t>CENNZ:CENTRALITY</t>
  </si>
  <si>
    <t>LOOM:LOOM NETWORK</t>
  </si>
  <si>
    <t>BANCA:BANCA</t>
  </si>
  <si>
    <t>DRG:DRAGON COINS</t>
  </si>
  <si>
    <t>NOAH:NOAH COIN</t>
  </si>
  <si>
    <t>1WO:1WORLD</t>
  </si>
  <si>
    <t>LATX:LATIUMX</t>
  </si>
  <si>
    <t>BITG:BITGREEN</t>
  </si>
  <si>
    <t>MEDIC:MEDICCOIN</t>
  </si>
  <si>
    <t>BFT:BNKTOTHEFUTURE</t>
  </si>
  <si>
    <t>WAN:WANCHAIN</t>
  </si>
  <si>
    <t>AMLT:AMLT</t>
  </si>
  <si>
    <t>MITH:MITHRIL</t>
  </si>
  <si>
    <t>PCL:PECULIUM</t>
  </si>
  <si>
    <t>SIG:SPECTIV</t>
  </si>
  <si>
    <t>RNTB:BITRENT</t>
  </si>
  <si>
    <t>LNC:BLOCKLANCER</t>
  </si>
  <si>
    <t>EMB:EMBERCOIN</t>
  </si>
  <si>
    <t>SWTH:SWITCHEO</t>
  </si>
  <si>
    <t>XCLR:CLEARCOIN</t>
  </si>
  <si>
    <t>SENC:SENTINEL CHAIN</t>
  </si>
  <si>
    <t>FDZ:FRIENDZ</t>
  </si>
  <si>
    <t>TPAY:TOKENPAY</t>
  </si>
  <si>
    <t>BERRY:RENTBERRY</t>
  </si>
  <si>
    <t>XLA:SCALA</t>
  </si>
  <si>
    <t>NCT:POLYSWARM</t>
  </si>
  <si>
    <t>ODE:ODEM</t>
  </si>
  <si>
    <t>CKUSD:CK USD</t>
  </si>
  <si>
    <t>TTY:TRINITY</t>
  </si>
  <si>
    <t>ITF:INTELLIGENT TRADING FOUNDATION</t>
  </si>
  <si>
    <t>XSN:STAKENET</t>
  </si>
  <si>
    <t>XDCE:XINFIN NETWORK</t>
  </si>
  <si>
    <t>TDS:TOKENDESK</t>
  </si>
  <si>
    <t>CPX:APEX</t>
  </si>
  <si>
    <t>CTXC:CORTEX</t>
  </si>
  <si>
    <t>BSM:BITSUM</t>
  </si>
  <si>
    <t>UUU:U NETWORK</t>
  </si>
  <si>
    <t>DEV:DEVIANTCOIN</t>
  </si>
  <si>
    <t>EOSDAC:EOSDAC</t>
  </si>
  <si>
    <t>CBT:COMMERCEBLOCK</t>
  </si>
  <si>
    <t>SENT:SENTINEL</t>
  </si>
  <si>
    <t>CVT:CYBERVEIN</t>
  </si>
  <si>
    <t>AUC:AUCTUS</t>
  </si>
  <si>
    <t>XMC:MONERO CLASSIC</t>
  </si>
  <si>
    <t>DERO:DERO</t>
  </si>
  <si>
    <t>FTX:FINTRUX NETWORK</t>
  </si>
  <si>
    <t>ADI:ADITUS</t>
  </si>
  <si>
    <t>CRC:CRYCASH</t>
  </si>
  <si>
    <t>XHV:HAVEN PROTOCOL</t>
  </si>
  <si>
    <t>EFX:EFFECT.AI</t>
  </si>
  <si>
    <t>PHI:PHI TOKEN</t>
  </si>
  <si>
    <t>PXC:PIXIE COIN</t>
  </si>
  <si>
    <t>LNC:LINKER COIN</t>
  </si>
  <si>
    <t>DOCK:DOCK</t>
  </si>
  <si>
    <t>MSR:MASARI</t>
  </si>
  <si>
    <t>CHX:OWN</t>
  </si>
  <si>
    <t>ZPB:ZEBI PUBLIC BLOCKCHAIN</t>
  </si>
  <si>
    <t>BBC:TRADOVE B2BCOIN</t>
  </si>
  <si>
    <t>DML:DECENTRALIZED MACHINE LEARNING</t>
  </si>
  <si>
    <t>HOT:HOLO</t>
  </si>
  <si>
    <t>RBLX:RUBLIX</t>
  </si>
  <si>
    <t>PNT:PENTA</t>
  </si>
  <si>
    <t>NEXO:NEXO</t>
  </si>
  <si>
    <t>DAX:DAEX</t>
  </si>
  <si>
    <t>LRN:LOOPRING [NEO]</t>
  </si>
  <si>
    <t>HYDRO:HYDRO</t>
  </si>
  <si>
    <t>SS:SHARDER</t>
  </si>
  <si>
    <t>CEL:CELSIUS</t>
  </si>
  <si>
    <t>BCI:BITCOIN INTEREST</t>
  </si>
  <si>
    <t>CMCT:CROWD MACHINE</t>
  </si>
  <si>
    <t>TNS:TRANSCODIUM</t>
  </si>
  <si>
    <t>FLP:FLIP</t>
  </si>
  <si>
    <t>MITX:MORPHEUS LABS</t>
  </si>
  <si>
    <t>PROUD:PROUD MONEY</t>
  </si>
  <si>
    <t>NTY:NEXTY</t>
  </si>
  <si>
    <t>MTC:DOC.COM TOKEN</t>
  </si>
  <si>
    <t>KEY:KEY</t>
  </si>
  <si>
    <t>MT:MYTOKEN</t>
  </si>
  <si>
    <t>TRIO:TRIPIO</t>
  </si>
  <si>
    <t>KZC:KZ CASH</t>
  </si>
  <si>
    <t>APR:APR COIN</t>
  </si>
  <si>
    <t>BOUTS:BOUTSPRO</t>
  </si>
  <si>
    <t>CRE:CYBEREITS</t>
  </si>
  <si>
    <t>GENE:PARKGENE</t>
  </si>
  <si>
    <t>SKM:SKRUMBLE NETWORK</t>
  </si>
  <si>
    <t>GEN:DAOSTACK</t>
  </si>
  <si>
    <t>BZNT:BEZANT</t>
  </si>
  <si>
    <t>TEAM:TEAM (TOKENSTARS)</t>
  </si>
  <si>
    <t>OOT:UTRUM</t>
  </si>
  <si>
    <t>CNN:CONTENT NEUTRALITY NETWORK</t>
  </si>
  <si>
    <t>EDU:EDUCOIN</t>
  </si>
  <si>
    <t>ZIPT:ZIPPIE</t>
  </si>
  <si>
    <t>NPER:NPER</t>
  </si>
  <si>
    <t>INC:INFLUENCE CHAIN</t>
  </si>
  <si>
    <t>DGX:DIGIX GOLD TOKEN</t>
  </si>
  <si>
    <t>SKB:SAKURA BLOOM</t>
  </si>
  <si>
    <t>GSC:GLOBAL SOCIAL CHAIN</t>
  </si>
  <si>
    <t>IIC:INTELLIGENT INVESTMENT CHAIN</t>
  </si>
  <si>
    <t>TUBE:BITTUBE</t>
  </si>
  <si>
    <t>GRN:GREENPOWER</t>
  </si>
  <si>
    <t>LOKI:LOKI</t>
  </si>
  <si>
    <t>BMH:BLOCKMESH</t>
  </si>
  <si>
    <t>HER:HERONODE</t>
  </si>
  <si>
    <t>UBT:UNIBRIGHT</t>
  </si>
  <si>
    <t>CLO:CALLISTO NETWORK</t>
  </si>
  <si>
    <t>XYO:XYO NETWORK</t>
  </si>
  <si>
    <t>LBA:CRED</t>
  </si>
  <si>
    <t>PAT:PATRON</t>
  </si>
  <si>
    <t>OPENC:OPEN PLATFORM</t>
  </si>
  <si>
    <t>MRPH:MORPHEUS NETWORK</t>
  </si>
  <si>
    <t>SNTR:SILENT NOTARY</t>
  </si>
  <si>
    <t>RED:RED</t>
  </si>
  <si>
    <t>GIN:GINCOIN</t>
  </si>
  <si>
    <t>DGTX:DIGITEX FUTURES</t>
  </si>
  <si>
    <t>IOTX:IOTEX</t>
  </si>
  <si>
    <t>ALG:ALGORY</t>
  </si>
  <si>
    <t>SOUL:PHANTASMA</t>
  </si>
  <si>
    <t>AVA:TRAVALA.COM</t>
  </si>
  <si>
    <t>FACE:FACETER</t>
  </si>
  <si>
    <t>NKN:NKN</t>
  </si>
  <si>
    <t>IMT:MONEYTOKEN</t>
  </si>
  <si>
    <t>ELY:ELYSIAN</t>
  </si>
  <si>
    <t>ECOM:OMNITUDE</t>
  </si>
  <si>
    <t>BBO:BIGBOM</t>
  </si>
  <si>
    <t>VRA:VERASITY</t>
  </si>
  <si>
    <t>PNK:KLEROS</t>
  </si>
  <si>
    <t>ESS:ESSENTIA</t>
  </si>
  <si>
    <t>CARD:CARDSTACK</t>
  </si>
  <si>
    <t>ASA:ASURA COIN</t>
  </si>
  <si>
    <t>QKC:QUARKCHAIN</t>
  </si>
  <si>
    <t>GOT:GONETWORK</t>
  </si>
  <si>
    <t>FTM:FANTOM</t>
  </si>
  <si>
    <t>COTI:COTI</t>
  </si>
  <si>
    <t>OLT:ONELEDGER</t>
  </si>
  <si>
    <t>UCN:UCHAIN</t>
  </si>
  <si>
    <t>NOS:NOS</t>
  </si>
  <si>
    <t>ANKR:ANKR</t>
  </si>
  <si>
    <t>ATP:ATLAS PROTOCOL</t>
  </si>
  <si>
    <t>OXT:ORCHID PROTOCOL</t>
  </si>
  <si>
    <t>NEC:NECTAR</t>
  </si>
  <si>
    <t>SEELE:SEELE</t>
  </si>
  <si>
    <t>EDR:ENDOR PROTOCOL</t>
  </si>
  <si>
    <t>PI:PCHAIN</t>
  </si>
  <si>
    <t>0XBTC:0XBITCOIN</t>
  </si>
  <si>
    <t>KWATT:4NEW</t>
  </si>
  <si>
    <t>CPT:CRYPTAUR</t>
  </si>
  <si>
    <t>ETZ:ETHER ZERO</t>
  </si>
  <si>
    <t>BNK:BANKERA</t>
  </si>
  <si>
    <t>UBEX:UBEX</t>
  </si>
  <si>
    <t>DACC:DACC</t>
  </si>
  <si>
    <t>FTO:FUTUROCOIN</t>
  </si>
  <si>
    <t>ABYSS:ABYSS TOKEN</t>
  </si>
  <si>
    <t>HUR:HURIFY</t>
  </si>
  <si>
    <t>TM2:TRAXIA</t>
  </si>
  <si>
    <t>VITE:VITE</t>
  </si>
  <si>
    <t>EGCC:ENGINE</t>
  </si>
  <si>
    <t>CBC:CASHBET COIN</t>
  </si>
  <si>
    <t>COU:COUCHAIN</t>
  </si>
  <si>
    <t>GO:GOCHAIN</t>
  </si>
  <si>
    <t>SSP:SMARTSHARE</t>
  </si>
  <si>
    <t>XMX:XMAX</t>
  </si>
  <si>
    <t>GMB:GAMB</t>
  </si>
  <si>
    <t>UPP:SENTINEL PROTOCOL</t>
  </si>
  <si>
    <t>DAG:CONSTELLATION</t>
  </si>
  <si>
    <t>MVP:MERCULET</t>
  </si>
  <si>
    <t>BWT:BITTWATT</t>
  </si>
  <si>
    <t>BOX:CONTENTBOX</t>
  </si>
  <si>
    <t>AOA:AURORA</t>
  </si>
  <si>
    <t>MET:METRONOME</t>
  </si>
  <si>
    <t>DFT:DIGIFINEXTOKEN</t>
  </si>
  <si>
    <t>RTE:RATE3</t>
  </si>
  <si>
    <t>ZCN:0CHAIN</t>
  </si>
  <si>
    <t>EGT:EGRETIA</t>
  </si>
  <si>
    <t>KNDC:KANADECOIN</t>
  </si>
  <si>
    <t>BOB:BOB`S REPAIR</t>
  </si>
  <si>
    <t>MFT:MAINFRAME</t>
  </si>
  <si>
    <t>ORBS:ORBS</t>
  </si>
  <si>
    <t>GBX:GLOBITEX</t>
  </si>
  <si>
    <t>PYN:PAYCENT</t>
  </si>
  <si>
    <t>ISR:INSUREUM</t>
  </si>
  <si>
    <t>LEMO:LEMOCHAIN</t>
  </si>
  <si>
    <t>FSBT:FSBT API TOKEN</t>
  </si>
  <si>
    <t>THRT:THRIVE TOKEN</t>
  </si>
  <si>
    <t>OTB:OTCBTC TOKEN</t>
  </si>
  <si>
    <t>ONL:ON.LIVE</t>
  </si>
  <si>
    <t>PAI:PROJECT PAI</t>
  </si>
  <si>
    <t>FTI:FANSTIME</t>
  </si>
  <si>
    <t>KBC:KARATGOLD COIN</t>
  </si>
  <si>
    <t>HSC:HASHCOIN</t>
  </si>
  <si>
    <t>LIKE:LIKECOIN</t>
  </si>
  <si>
    <t>ORS:ORS GROUP</t>
  </si>
  <si>
    <t>TENT:TENT</t>
  </si>
  <si>
    <t>MOC:MOSS COIN</t>
  </si>
  <si>
    <t>DTX:DATA EXCHANGE</t>
  </si>
  <si>
    <t>BZ:BIT-Z TOKEN</t>
  </si>
  <si>
    <t>BKBT:BEEKAN</t>
  </si>
  <si>
    <t>CGEN:COMMUNITY GENERATION</t>
  </si>
  <si>
    <t>ZXC:0XCERT</t>
  </si>
  <si>
    <t>DWS:DWS</t>
  </si>
  <si>
    <t>SUSD:SUSD</t>
  </si>
  <si>
    <t>IQ:EVERIPEDIA</t>
  </si>
  <si>
    <t>TRTT:TRITTIUM</t>
  </si>
  <si>
    <t>BMX:BITMART TOKEN</t>
  </si>
  <si>
    <t>RPL:ROCKET POOL</t>
  </si>
  <si>
    <t>XD:DATA TRANSACTION TOKEN</t>
  </si>
  <si>
    <t>TGAME:TRUEGAME</t>
  </si>
  <si>
    <t>GARD:HASHGARD</t>
  </si>
  <si>
    <t>DREP:DREP</t>
  </si>
  <si>
    <t>SOP:SOPAY</t>
  </si>
  <si>
    <t>PTT:PROTON TOKEN</t>
  </si>
  <si>
    <t>KRL:KRYLL</t>
  </si>
  <si>
    <t>META:METADIUM</t>
  </si>
  <si>
    <t>COSM:COSMO COIN</t>
  </si>
  <si>
    <t>BWX:BLUE WHALE EXCHANGE</t>
  </si>
  <si>
    <t>TRTL:TURTLECOIN</t>
  </si>
  <si>
    <t>VCT:VALUECYBERTOKEN</t>
  </si>
  <si>
    <t>LCS:LOCALCOINSWAP</t>
  </si>
  <si>
    <t>ZPR:ZPER</t>
  </si>
  <si>
    <t>VIKKY:VIKKYTOKEN</t>
  </si>
  <si>
    <t>TOTO:TOURIST TOKEN</t>
  </si>
  <si>
    <t>GVE:GLOBALVILLAGE ECOSYSTEM</t>
  </si>
  <si>
    <t>FOXT:FOX TRADING</t>
  </si>
  <si>
    <t>VIEW:VIEW</t>
  </si>
  <si>
    <t>BRDG:BRIDGE PROTOCOL</t>
  </si>
  <si>
    <t>NIM:NIMIQ</t>
  </si>
  <si>
    <t>RYO:RYO CURRENCY</t>
  </si>
  <si>
    <t>LFC:LINFINITY</t>
  </si>
  <si>
    <t>MVL:MVL</t>
  </si>
  <si>
    <t>CSM:CONSENTIUM</t>
  </si>
  <si>
    <t>NCP:NEWTON COIN PROJECT</t>
  </si>
  <si>
    <t>TOS:THINGSOPERATINGSYSTEM</t>
  </si>
  <si>
    <t>NIX:NIX</t>
  </si>
  <si>
    <t>APL:APOLLO CURRENCY</t>
  </si>
  <si>
    <t>BIFI:BITCOIN FILE</t>
  </si>
  <si>
    <t>OCP:OC PROTOCOL</t>
  </si>
  <si>
    <t>CET:COINEX TOKEN</t>
  </si>
  <si>
    <t>EURS:STASIS EURO</t>
  </si>
  <si>
    <t>KAN:BITKAN</t>
  </si>
  <si>
    <t>PGN:PIGEONCOIN</t>
  </si>
  <si>
    <t>ACED:ACED</t>
  </si>
  <si>
    <t>CEN:COINSUPER ECOSYSTEM NETWORK</t>
  </si>
  <si>
    <t>VTHO:VETHOR TOKEN</t>
  </si>
  <si>
    <t>VEX:VEXANIUM</t>
  </si>
  <si>
    <t>NBR:NIOBIO CASH</t>
  </si>
  <si>
    <t>BITX:BITSCREENER TOKEN</t>
  </si>
  <si>
    <t>ACDC:VOLT</t>
  </si>
  <si>
    <t>MCT:MASTER CONTRACT TOKEN</t>
  </si>
  <si>
    <t>PRIV:PRIVCY</t>
  </si>
  <si>
    <t>IOV:IOV BLOCKCHAIN</t>
  </si>
  <si>
    <t>FDN:EXMR</t>
  </si>
  <si>
    <t>HDAC:HDAC</t>
  </si>
  <si>
    <t>KWH:KWHCOIN</t>
  </si>
  <si>
    <t>ZMN:ZMINE</t>
  </si>
  <si>
    <t>VIVID:VIVID COIN</t>
  </si>
  <si>
    <t>NCC:NEUROCHAIN</t>
  </si>
  <si>
    <t>KLKS:KALKULUS</t>
  </si>
  <si>
    <t>SEM:SEMUX</t>
  </si>
  <si>
    <t>BCV:BITCAPITALVENDOR</t>
  </si>
  <si>
    <t>LXT:LITEX</t>
  </si>
  <si>
    <t>WEB:WEBCOIN</t>
  </si>
  <si>
    <t>PC:PROMOTION COIN</t>
  </si>
  <si>
    <t>YCC:YUAN CHAIN COIN</t>
  </si>
  <si>
    <t>ZEL:ZELCASH</t>
  </si>
  <si>
    <t>BTCN:BITCOINOTE</t>
  </si>
  <si>
    <t>KIND:KIND ADS TOKEN</t>
  </si>
  <si>
    <t>EUNO:EUNO</t>
  </si>
  <si>
    <t>EDS:ENDORSIT</t>
  </si>
  <si>
    <t>SOL_Solana</t>
  </si>
  <si>
    <t>XRP_Ripple</t>
  </si>
  <si>
    <t>ADA_Cardano</t>
  </si>
  <si>
    <t>UNI_Uniswap</t>
  </si>
  <si>
    <t>LINK_Chainlink</t>
  </si>
  <si>
    <t>AAVE_Aave</t>
  </si>
  <si>
    <t>TRX_Tron</t>
  </si>
  <si>
    <t>TON_Toncoin</t>
  </si>
  <si>
    <t>USDT для grid ботов</t>
  </si>
  <si>
    <t>ALN</t>
  </si>
  <si>
    <t>Lobstex</t>
  </si>
  <si>
    <t>LOBS</t>
  </si>
  <si>
    <t>Mithril</t>
  </si>
  <si>
    <t>MITH</t>
  </si>
  <si>
    <t>Bitcashpay</t>
  </si>
  <si>
    <t>BCP</t>
  </si>
  <si>
    <t>e-Gulden</t>
  </si>
  <si>
    <t>EFL</t>
  </si>
  <si>
    <t>Fuse Network</t>
  </si>
  <si>
    <t>FUSE</t>
  </si>
  <si>
    <t>ORAO Network</t>
  </si>
  <si>
    <t>ORAO</t>
  </si>
  <si>
    <t>AppCoins</t>
  </si>
  <si>
    <t>APPC</t>
  </si>
  <si>
    <t>Request</t>
  </si>
  <si>
    <t>REQ</t>
  </si>
  <si>
    <t>SynchroBitcoin</t>
  </si>
  <si>
    <t>SNB</t>
  </si>
  <si>
    <t>Ravencoin</t>
  </si>
  <si>
    <t>RVN</t>
  </si>
  <si>
    <t>KardiaChain</t>
  </si>
  <si>
    <t>KAI</t>
  </si>
  <si>
    <t>BlackCoin</t>
  </si>
  <si>
    <t>BLK</t>
  </si>
  <si>
    <t>Swing</t>
  </si>
  <si>
    <t>SWING</t>
  </si>
  <si>
    <t>RedFOX Labs</t>
  </si>
  <si>
    <t>RFOX</t>
  </si>
  <si>
    <t>TenX</t>
  </si>
  <si>
    <t>PAY</t>
  </si>
  <si>
    <t>Oasis Network</t>
  </si>
  <si>
    <t>ROSE</t>
  </si>
  <si>
    <t>Multiplier</t>
  </si>
  <si>
    <t>MXX</t>
  </si>
  <si>
    <t>Props Token</t>
  </si>
  <si>
    <t>PROPS</t>
  </si>
  <si>
    <t>Stobox Token</t>
  </si>
  <si>
    <t>STBU</t>
  </si>
  <si>
    <t>Maro</t>
  </si>
  <si>
    <t>MARO</t>
  </si>
  <si>
    <t>TokenPay</t>
  </si>
  <si>
    <t>TPAY</t>
  </si>
  <si>
    <t>Zen Protocol</t>
  </si>
  <si>
    <t>ZP</t>
  </si>
  <si>
    <t>VITE</t>
  </si>
  <si>
    <t>SOLVE</t>
  </si>
  <si>
    <t>Garlicoin</t>
  </si>
  <si>
    <t>GRLC</t>
  </si>
  <si>
    <t>Sessia</t>
  </si>
  <si>
    <t>KICKS</t>
  </si>
  <si>
    <t>JUST</t>
  </si>
  <si>
    <t>JST</t>
  </si>
  <si>
    <t>Coreto</t>
  </si>
  <si>
    <t>COR</t>
  </si>
  <si>
    <t>Emercoin</t>
  </si>
  <si>
    <t>EMC</t>
  </si>
  <si>
    <t>PhoenixDAO</t>
  </si>
  <si>
    <t>PHNX</t>
  </si>
  <si>
    <t>Spaceswap MILK2</t>
  </si>
  <si>
    <t>MILK2</t>
  </si>
  <si>
    <t>Trittium</t>
  </si>
  <si>
    <t>TRTT</t>
  </si>
  <si>
    <t>Incent</t>
  </si>
  <si>
    <t>INCNT</t>
  </si>
  <si>
    <t>Smaugs NFT</t>
  </si>
  <si>
    <t>SMG</t>
  </si>
  <si>
    <t>FlypMe</t>
  </si>
  <si>
    <t>FYP</t>
  </si>
  <si>
    <t>MediBloc</t>
  </si>
  <si>
    <t>MED</t>
  </si>
  <si>
    <t>Standard Tokenization Protocol</t>
  </si>
  <si>
    <t>STPT</t>
  </si>
  <si>
    <t>Anchor Neural World</t>
  </si>
  <si>
    <t>ANW</t>
  </si>
  <si>
    <t>Klever</t>
  </si>
  <si>
    <t>KLV</t>
  </si>
  <si>
    <t>Flixxo</t>
  </si>
  <si>
    <t>FLIXX</t>
  </si>
  <si>
    <t>Insured Finance</t>
  </si>
  <si>
    <t>INFI</t>
  </si>
  <si>
    <t>Meme</t>
  </si>
  <si>
    <t>MEME</t>
  </si>
  <si>
    <t>Lamden</t>
  </si>
  <si>
    <t>TAU</t>
  </si>
  <si>
    <t>Memetic / PepeCoin</t>
  </si>
  <si>
    <t>GoCrypto Token</t>
  </si>
  <si>
    <t>GOC</t>
  </si>
  <si>
    <t>TENT</t>
  </si>
  <si>
    <t>StakerDAO</t>
  </si>
  <si>
    <t>STKR</t>
  </si>
  <si>
    <t>Divi</t>
  </si>
  <si>
    <t>DIVI</t>
  </si>
  <si>
    <t>Swarm City</t>
  </si>
  <si>
    <t>SWT</t>
  </si>
  <si>
    <t>Multi Channel Influencer Creater Cloud Funding Platform</t>
  </si>
  <si>
    <t>MCI</t>
  </si>
  <si>
    <t>Velas</t>
  </si>
  <si>
    <t>VLX</t>
  </si>
  <si>
    <t>ZENZO</t>
  </si>
  <si>
    <t>ZNZ</t>
  </si>
  <si>
    <t>Matryx</t>
  </si>
  <si>
    <t>MTX</t>
  </si>
  <si>
    <t>Zenfuse</t>
  </si>
  <si>
    <t>ZEFU</t>
  </si>
  <si>
    <t>Vid</t>
  </si>
  <si>
    <t>VI</t>
  </si>
  <si>
    <t>Argon</t>
  </si>
  <si>
    <t>ARGON</t>
  </si>
  <si>
    <t>Jarvis Network</t>
  </si>
  <si>
    <t>JRT</t>
  </si>
  <si>
    <t>Plasma Finance</t>
  </si>
  <si>
    <t>PPAY</t>
  </si>
  <si>
    <t>Hedge</t>
  </si>
  <si>
    <t>HDG</t>
  </si>
  <si>
    <t>Modern Investment Coin</t>
  </si>
  <si>
    <t>MODIC</t>
  </si>
  <si>
    <t>Attila</t>
  </si>
  <si>
    <t>ATT</t>
  </si>
  <si>
    <t>Zap</t>
  </si>
  <si>
    <t>ZAP</t>
  </si>
  <si>
    <t>Masari</t>
  </si>
  <si>
    <t>MSR</t>
  </si>
  <si>
    <t>Kebab Token</t>
  </si>
  <si>
    <t>KEBAB</t>
  </si>
  <si>
    <t>Unido EP</t>
  </si>
  <si>
    <t>UDO</t>
  </si>
  <si>
    <t>GoByte</t>
  </si>
  <si>
    <t>GBX</t>
  </si>
  <si>
    <t>VeriCoin</t>
  </si>
  <si>
    <t>VRC</t>
  </si>
  <si>
    <t>Битшерс</t>
  </si>
  <si>
    <t>BTS</t>
  </si>
  <si>
    <t>KIWIGO</t>
  </si>
  <si>
    <t>KGO</t>
  </si>
  <si>
    <t>DigiByte</t>
  </si>
  <si>
    <t>DGB</t>
  </si>
  <si>
    <t>CREA</t>
  </si>
  <si>
    <t>Expanse</t>
  </si>
  <si>
    <t>EXP</t>
  </si>
  <si>
    <t>GlobalBoost-Y</t>
  </si>
  <si>
    <t>BSTY</t>
  </si>
  <si>
    <t>Databroker</t>
  </si>
  <si>
    <t>DTX</t>
  </si>
  <si>
    <t>8PAY</t>
  </si>
  <si>
    <t>Restart Energy MWAT</t>
  </si>
  <si>
    <t>MWAT</t>
  </si>
  <si>
    <t>ASTA</t>
  </si>
  <si>
    <t>AquariusCoin</t>
  </si>
  <si>
    <t>ARCO</t>
  </si>
  <si>
    <t>VNX Exchange</t>
  </si>
  <si>
    <t>VNXLU</t>
  </si>
  <si>
    <t>Upfiring</t>
  </si>
  <si>
    <t>UFR</t>
  </si>
  <si>
    <t>Jetcoin</t>
  </si>
  <si>
    <t>JET</t>
  </si>
  <si>
    <t>Gifto</t>
  </si>
  <si>
    <t>GTO</t>
  </si>
  <si>
    <t>Decentr</t>
  </si>
  <si>
    <t>DEC</t>
  </si>
  <si>
    <t>Spectre.ai Utility Token</t>
  </si>
  <si>
    <t>SXUT</t>
  </si>
  <si>
    <t>Morpheus Labs</t>
  </si>
  <si>
    <t>MITX</t>
  </si>
  <si>
    <t>Wings</t>
  </si>
  <si>
    <t>WINGS</t>
  </si>
  <si>
    <t>Netbox Coin</t>
  </si>
  <si>
    <t>NBX</t>
  </si>
  <si>
    <t>RioDeFi</t>
  </si>
  <si>
    <t>RFUEL</t>
  </si>
  <si>
    <t>Darwinia Network</t>
  </si>
  <si>
    <t>RING</t>
  </si>
  <si>
    <t>IDEX</t>
  </si>
  <si>
    <t>DOS Network</t>
  </si>
  <si>
    <t>DOS</t>
  </si>
  <si>
    <t>DMM: Governance</t>
  </si>
  <si>
    <t>DMG</t>
  </si>
  <si>
    <t>CHADS VC</t>
  </si>
  <si>
    <t>CHADS</t>
  </si>
  <si>
    <t>ParkinGo</t>
  </si>
  <si>
    <t>GOT</t>
  </si>
  <si>
    <t>PirateCash</t>
  </si>
  <si>
    <t>PIRATE</t>
  </si>
  <si>
    <t>Electric Vehicle Zone</t>
  </si>
  <si>
    <t>EVZ</t>
  </si>
  <si>
    <t>Experty</t>
  </si>
  <si>
    <t>EXY</t>
  </si>
  <si>
    <t>FortKnoxster</t>
  </si>
  <si>
    <t>FKX</t>
  </si>
  <si>
    <t>DogeCash</t>
  </si>
  <si>
    <t>DOGEC</t>
  </si>
  <si>
    <t>AidCoin</t>
  </si>
  <si>
    <t>AID</t>
  </si>
  <si>
    <t>Swap</t>
  </si>
  <si>
    <t>XWP</t>
  </si>
  <si>
    <t>Innova</t>
  </si>
  <si>
    <t>INN</t>
  </si>
  <si>
    <t>Nerva</t>
  </si>
  <si>
    <t>XNV</t>
  </si>
  <si>
    <t>SYNC Network</t>
  </si>
  <si>
    <t>SYNC</t>
  </si>
  <si>
    <t>Arqma</t>
  </si>
  <si>
    <t>ARQ</t>
  </si>
  <si>
    <t>Eternity</t>
  </si>
  <si>
    <t>ENT</t>
  </si>
  <si>
    <t>Shorty</t>
  </si>
  <si>
    <t>SHORTY</t>
  </si>
  <si>
    <t>Viberate</t>
  </si>
  <si>
    <t>VIB</t>
  </si>
  <si>
    <t>Innovation Blockchain Payment</t>
  </si>
  <si>
    <t>IBP</t>
  </si>
  <si>
    <t>ARPA Chain</t>
  </si>
  <si>
    <t>ARPA</t>
  </si>
  <si>
    <t>Education Ecosystem</t>
  </si>
  <si>
    <t>LEDU</t>
  </si>
  <si>
    <t>Linear</t>
  </si>
  <si>
    <t>LINA</t>
  </si>
  <si>
    <t>Blue Whale EXchange</t>
  </si>
  <si>
    <t>BWX</t>
  </si>
  <si>
    <t>AC Milan Fan Token</t>
  </si>
  <si>
    <t>ACM</t>
  </si>
  <si>
    <t>Actinium</t>
  </si>
  <si>
    <t>Wagerr</t>
  </si>
  <si>
    <t>WGR</t>
  </si>
  <si>
    <t>Pillar</t>
  </si>
  <si>
    <t>PLR</t>
  </si>
  <si>
    <t>Tachyon Protocol</t>
  </si>
  <si>
    <t>IPX</t>
  </si>
  <si>
    <t>Quantstamp</t>
  </si>
  <si>
    <t>QSP</t>
  </si>
  <si>
    <t>Safex Token</t>
  </si>
  <si>
    <t>SFT</t>
  </si>
  <si>
    <t>Unistake</t>
  </si>
  <si>
    <t>UNISTAKE</t>
  </si>
  <si>
    <t>TheForce Trade</t>
  </si>
  <si>
    <t>FOC</t>
  </si>
  <si>
    <t>Qitmeer</t>
  </si>
  <si>
    <t>PMEER</t>
  </si>
  <si>
    <t>Ryo Currency</t>
  </si>
  <si>
    <t>RYO</t>
  </si>
  <si>
    <t>Matrix AI Network</t>
  </si>
  <si>
    <t>MAN</t>
  </si>
  <si>
    <t>POA</t>
  </si>
  <si>
    <t>Nestree</t>
  </si>
  <si>
    <t>EGG</t>
  </si>
  <si>
    <t>Goose Finance</t>
  </si>
  <si>
    <t>NestEGG Coin</t>
  </si>
  <si>
    <t>ZCore</t>
  </si>
  <si>
    <t>ZCR</t>
  </si>
  <si>
    <t>Consensus</t>
  </si>
  <si>
    <t>SEN</t>
  </si>
  <si>
    <t>Abyss</t>
  </si>
  <si>
    <t>CUSD:CELO DOLLAR</t>
  </si>
  <si>
    <t>VYBE:VYBE</t>
  </si>
  <si>
    <t>VGC:5G-CASH</t>
  </si>
  <si>
    <t>DOT:POLKADOT</t>
  </si>
  <si>
    <t>BNKR:BANKROLL TOKEN</t>
  </si>
  <si>
    <t>MCH:MKTCASH</t>
  </si>
  <si>
    <t>CURVE:CURVEHASH COIN</t>
  </si>
  <si>
    <t>SIC:SICASH</t>
  </si>
  <si>
    <t>VST:VSCOINTRADERS</t>
  </si>
  <si>
    <t>XNC:XENIOS</t>
  </si>
  <si>
    <t>YSKF:YEARN SHARK FINANCE</t>
  </si>
  <si>
    <t>MSC:MINER STAKE COIN</t>
  </si>
  <si>
    <t>KCH:KEEP CALM AND HODL</t>
  </si>
  <si>
    <t>DCG:DAILY CRYPTO GIVEAWAYS</t>
  </si>
  <si>
    <t>ZLN:ZILLIONCOIN</t>
  </si>
  <si>
    <t>LOP:KILOPI</t>
  </si>
  <si>
    <t>300:SPARTAN</t>
  </si>
  <si>
    <t>DEC:DARK ENERGY CRYSTAL</t>
  </si>
  <si>
    <t>UST:TERRAUSD</t>
  </si>
  <si>
    <t>MUSTA:MUSTACHECOIN</t>
  </si>
  <si>
    <t>MNS:MNSCOIN</t>
  </si>
  <si>
    <t>CRT:CRYPTONITS</t>
  </si>
  <si>
    <t>WW:WAYA WOLF COIN</t>
  </si>
  <si>
    <t>MTTCOIN:MONEY OF TOMORROW, TODAY</t>
  </si>
  <si>
    <t>HEGIC:HEGIC</t>
  </si>
  <si>
    <t>HIG:HIG+</t>
  </si>
  <si>
    <t>PYRK:PYRK</t>
  </si>
  <si>
    <t>CSNO:BITDICE</t>
  </si>
  <si>
    <t>AUD2:AUSSIE  DIGITAL</t>
  </si>
  <si>
    <t>SETH:SETHER</t>
  </si>
  <si>
    <t>YAP2:YAAPOO</t>
  </si>
  <si>
    <t>FMF:FORMOSA FINANCIAL</t>
  </si>
  <si>
    <t>BKX:BANKEX</t>
  </si>
  <si>
    <t>FZEN:FINANCIAL ZEN</t>
  </si>
  <si>
    <t>BCHSV:BITCOIN SV</t>
  </si>
  <si>
    <t>UNFLD:UNFOLDU</t>
  </si>
  <si>
    <t>PRG:PARAGON</t>
  </si>
  <si>
    <t>SENSO:SENSO TOKEN</t>
  </si>
  <si>
    <t>TGC:TIGERCOIN</t>
  </si>
  <si>
    <t>BEE:BEE TOKEN</t>
  </si>
  <si>
    <t>GRAM:TELEGRAM OPEN NETWORK</t>
  </si>
  <si>
    <t>LEO:UNUS SED LEO</t>
  </si>
  <si>
    <t>CRO2:CRYPTO.COM CHAIN TOKEN</t>
  </si>
  <si>
    <t>CDAI:COMPOUND DAI</t>
  </si>
  <si>
    <t>CEL:CELSIUS NETWORK</t>
  </si>
  <si>
    <t>OPQ:OPACITY</t>
  </si>
  <si>
    <t>DAI:MULTI-COLLATERAL DAI</t>
  </si>
  <si>
    <t>CUSDC:COMPOUND USD COIN</t>
  </si>
  <si>
    <t>WIEG:EGW-WISHMAX</t>
  </si>
  <si>
    <t>EGWCAP:EGW CAPITAL</t>
  </si>
  <si>
    <t>BUSD2:BINANCE USD</t>
  </si>
  <si>
    <t>INO:INO COIN</t>
  </si>
  <si>
    <t>GRT:THE GRAPH</t>
  </si>
  <si>
    <t>CETH:COMPOUND ETHER</t>
  </si>
  <si>
    <t>CWBTC:COMPOUND WRAPPED BTC</t>
  </si>
  <si>
    <t>IZE:IZE</t>
  </si>
  <si>
    <t>IDXM:IDEX MEMBERSHIP</t>
  </si>
  <si>
    <t>HMR:HOMEROS</t>
  </si>
  <si>
    <t>DICE1:DICE</t>
  </si>
  <si>
    <t>FIL2:FILECOIN IOU</t>
  </si>
  <si>
    <t>EGLD:ELROND EGOLD</t>
  </si>
  <si>
    <t>RENBTC:RENBTC</t>
  </si>
  <si>
    <t>BTT:BITTORENT</t>
  </si>
  <si>
    <t>DFI:DEFICHAIN</t>
  </si>
  <si>
    <t>AVAX2:AVALANCHE IOU</t>
  </si>
  <si>
    <t>ESD:EMPTY SET DOLLAR</t>
  </si>
  <si>
    <t>COIN:COINVEST</t>
  </si>
  <si>
    <t>EGWA:EGW ACADEMY</t>
  </si>
  <si>
    <t>TNC2:TNC COIN</t>
  </si>
  <si>
    <t>STX3:BLOCKSTACK</t>
  </si>
  <si>
    <t>BOTX:BOTXCOIN</t>
  </si>
  <si>
    <t>LUNA2:TERRA</t>
  </si>
  <si>
    <t>NXM:NEXUS MUTUAL</t>
  </si>
  <si>
    <t>NEAR2:NEAR PROTOCOL IOU</t>
  </si>
  <si>
    <t>OCN2:OCEAN PROTOCOL</t>
  </si>
  <si>
    <t>CGIZA:CRYPTOGUYINZA</t>
  </si>
  <si>
    <t>SAI:SINGLE-COLLATERAL DAI</t>
  </si>
  <si>
    <t>DMCH:DARMA CASH</t>
  </si>
  <si>
    <t>MGC:MERGECOIN</t>
  </si>
  <si>
    <t>KEEP:KEEP NETWORK</t>
  </si>
  <si>
    <t>BSC2:BOONSCOIN</t>
  </si>
  <si>
    <t>HOT2:HOLO</t>
  </si>
  <si>
    <t>EXC:EXIMCHAIN</t>
  </si>
  <si>
    <t>BPS2:BITCOINPOS</t>
  </si>
  <si>
    <t>NU:NUCYPHER</t>
  </si>
  <si>
    <t>CKB:NERVOS</t>
  </si>
  <si>
    <t>BAL3:BALANCER</t>
  </si>
  <si>
    <t>AR:ARWEAVE</t>
  </si>
  <si>
    <t>EON:DIMENSION CHAIN</t>
  </si>
  <si>
    <t>GT2:GATECHAINTOKEN</t>
  </si>
  <si>
    <t>CUSDT:COMPOUND USDT</t>
  </si>
  <si>
    <t>KP3R:KEEP3RV1</t>
  </si>
  <si>
    <t>MTC3:METACOIN</t>
  </si>
  <si>
    <t>STRONG:STRONG</t>
  </si>
  <si>
    <t>ROSE:OASIS ROSE GARDEN</t>
  </si>
  <si>
    <t>YVAULT-LP-YCURVE:YUSD</t>
  </si>
  <si>
    <t>XIN:MIXIN</t>
  </si>
  <si>
    <t>ECHO:ECHO</t>
  </si>
  <si>
    <t>QC:QCASH</t>
  </si>
  <si>
    <t>XDC:XINFIN TOKEN</t>
  </si>
  <si>
    <t>JUL2:JOULE</t>
  </si>
  <si>
    <t>BXK:BITBOOK AG</t>
  </si>
  <si>
    <t>NOIA:SYNTROPY</t>
  </si>
  <si>
    <t>NUSD:NUSD</t>
  </si>
  <si>
    <t>YFII:YEARN.FINANCE II</t>
  </si>
  <si>
    <t>GBCR:GOLD BCR</t>
  </si>
  <si>
    <t>STP:STPAY</t>
  </si>
  <si>
    <t>AMP2:AMP</t>
  </si>
  <si>
    <t>NEST:NEST PROTOCOL</t>
  </si>
  <si>
    <t>ATT3:ATTILA</t>
  </si>
  <si>
    <t>JST:JUST</t>
  </si>
  <si>
    <t>SKL:SKALE NETWORK</t>
  </si>
  <si>
    <t>VLX2:VELAS</t>
  </si>
  <si>
    <t>DIVI:DIVI PROJECT</t>
  </si>
  <si>
    <t>CZRX:COMPOUND 0X</t>
  </si>
  <si>
    <t>KAI:KARDIACHAIN</t>
  </si>
  <si>
    <t>BHAO:BITHAO</t>
  </si>
  <si>
    <t>EURT:TETHER EUR</t>
  </si>
  <si>
    <t>VXC:VINX COIN</t>
  </si>
  <si>
    <t>HEGIC:HEGIC TOKEN</t>
  </si>
  <si>
    <t>HIVE:HIVE TOKEN</t>
  </si>
  <si>
    <t>HNC:HELLENIC COIN</t>
  </si>
  <si>
    <t>BTU2:BTU PROTOCOL</t>
  </si>
  <si>
    <t>MWC:MIMBLEWIMBLECOIN</t>
  </si>
  <si>
    <t>ORC4:ORBIT CHAIN</t>
  </si>
  <si>
    <t>INJ:INJECTIVE PROTOCOL</t>
  </si>
  <si>
    <t>MCO:CRYPTO.COM</t>
  </si>
  <si>
    <t>FARM2:HARVEST FINANCE</t>
  </si>
  <si>
    <t>SUN:SUN</t>
  </si>
  <si>
    <t>AGI:SINGULARITYNET</t>
  </si>
  <si>
    <t>TVK:TERRA VIRTUA KOLEKT</t>
  </si>
  <si>
    <t>EURS:STASIS EURS</t>
  </si>
  <si>
    <t>HARMONY:HARMONY</t>
  </si>
  <si>
    <t>XOR2:SORA</t>
  </si>
  <si>
    <t>ARRR:PIRATE CHAIN</t>
  </si>
  <si>
    <t>IRIS:IRIS NETWORK</t>
  </si>
  <si>
    <t>TWT2:TRUST WALLET TOKEN</t>
  </si>
  <si>
    <t>SWAP3:TRUSTSWAP</t>
  </si>
  <si>
    <t>CAKE:PANCAKESWAP</t>
  </si>
  <si>
    <t>ALPHA:ALPHA FINANCE LAB</t>
  </si>
  <si>
    <t>COVER:COVER PROTOCOL</t>
  </si>
  <si>
    <t>WOZX:EFFORCE</t>
  </si>
  <si>
    <t>TITAN:TITANSWAP</t>
  </si>
  <si>
    <t>XLT:NEXALT</t>
  </si>
  <si>
    <t>TTT9:THE TRANSFER TOKEN</t>
  </si>
  <si>
    <t>BONO:BONORUM</t>
  </si>
  <si>
    <t>STAKE:XDAI</t>
  </si>
  <si>
    <t>TRU:TRUSTTOKEN</t>
  </si>
  <si>
    <t>FRM2:FERRUM NETWORK</t>
  </si>
  <si>
    <t>BTCD:BITCOINDARK</t>
  </si>
  <si>
    <t>JDC:JD COIN</t>
  </si>
  <si>
    <t>DUCATO:DUCATO PROTOCOL TOKEN</t>
  </si>
  <si>
    <t>BASIC:BASIC</t>
  </si>
  <si>
    <t>ZYN:ZYNECOIN</t>
  </si>
  <si>
    <t>RKN:RAKON</t>
  </si>
  <si>
    <t>MXC:MXC</t>
  </si>
  <si>
    <t>YAM:YAM</t>
  </si>
  <si>
    <t>XVS:VENUS</t>
  </si>
  <si>
    <t>NEX:NASH</t>
  </si>
  <si>
    <t>SERO:SERO</t>
  </si>
  <si>
    <t>CIX100:CRYPTOINDEX</t>
  </si>
  <si>
    <t>ANKR:ANKR NETWORK</t>
  </si>
  <si>
    <t>USDN:NEUTRINO DOLLAR</t>
  </si>
  <si>
    <t>FLM:FLAMINGO FINANCE</t>
  </si>
  <si>
    <t>AKT:AKASH NETWORK</t>
  </si>
  <si>
    <t>ICN:ICONOMI</t>
  </si>
  <si>
    <t>BRZE:BREEZECOIN</t>
  </si>
  <si>
    <t>PLF:PLAYFUEL</t>
  </si>
  <si>
    <t>SFI:SAFFRON.FINANCE</t>
  </si>
  <si>
    <t>MORPH:MORPHEUS NETWORK</t>
  </si>
  <si>
    <t>KLV:KLEVER</t>
  </si>
  <si>
    <t>BNANA:BANANA TOKEN</t>
  </si>
  <si>
    <t>CTK:CERTIK</t>
  </si>
  <si>
    <t>PCX2:CHAINX</t>
  </si>
  <si>
    <t>AUDIO:AUDIUS</t>
  </si>
  <si>
    <t>ZOOM:COINZOOM TOKEN</t>
  </si>
  <si>
    <t>WOM:WOM PROTOCOL</t>
  </si>
  <si>
    <t>BUX:BUXCOIN</t>
  </si>
  <si>
    <t>STMX2:STORMX</t>
  </si>
  <si>
    <t>HEZ:HERMEZ NETWORK</t>
  </si>
  <si>
    <t>GNY:GNY</t>
  </si>
  <si>
    <t>YEP:YEP COIN</t>
  </si>
  <si>
    <t>XSR2:XENSOR</t>
  </si>
  <si>
    <t>RHOC:RCHAIN</t>
  </si>
  <si>
    <t>PERP2:PERPETUAL PROTOCOL</t>
  </si>
  <si>
    <t>NWC:NEWSCRYPTO.IO</t>
  </si>
  <si>
    <t>BAR3:FC BARCELONA FAN TOKEN</t>
  </si>
  <si>
    <t>WRX:WAZIRX</t>
  </si>
  <si>
    <t>IHF:INVICTUS HYPERION FUND</t>
  </si>
  <si>
    <t>DCY:DINASTYCOIN</t>
  </si>
  <si>
    <t>BLZL:BLUZELLE</t>
  </si>
  <si>
    <t>RFI:REFLECT.FINANCE</t>
  </si>
  <si>
    <t>MEDX:MEDIBLOC</t>
  </si>
  <si>
    <t>GXT:GEM EXCHANGE AND TRADING</t>
  </si>
  <si>
    <t>BEL:BELLA PROTOCOL</t>
  </si>
  <si>
    <t>POLS:POLKASTARTER</t>
  </si>
  <si>
    <t>NCDT:NUCO.CLOUD</t>
  </si>
  <si>
    <t>MBL2:MOVIEBLOC</t>
  </si>
  <si>
    <t>BLUM:BLUMIUM RESEARCH</t>
  </si>
  <si>
    <t>CVP:POWERPOOL</t>
  </si>
  <si>
    <t>ETHOS:VOYAGER TOKEN</t>
  </si>
  <si>
    <t>TRUE:TRUE CHAIN</t>
  </si>
  <si>
    <t>REPO:REPO</t>
  </si>
  <si>
    <t>AOS:AOS</t>
  </si>
  <si>
    <t>KARMA3:KARMA DAO</t>
  </si>
  <si>
    <t>MASS:MASSNET</t>
  </si>
  <si>
    <t>TRIG:TRIGGERS</t>
  </si>
  <si>
    <t>XPR2:PROTON</t>
  </si>
  <si>
    <t>KDAG:KING DAG</t>
  </si>
  <si>
    <t>DIP:ETHERISC</t>
  </si>
  <si>
    <t>IGG:IG GOLD</t>
  </si>
  <si>
    <t>CTCN:CONTRACOIN</t>
  </si>
  <si>
    <t>ZT:ZBG TOKEN</t>
  </si>
  <si>
    <t>MTA3:META</t>
  </si>
  <si>
    <t>LSH:LEASEHOLD</t>
  </si>
  <si>
    <t>STPT:STANDARD TOKENIZATION PROTOCOL</t>
  </si>
  <si>
    <t>BHD:BTCHD</t>
  </si>
  <si>
    <t>DKA:DKARGO</t>
  </si>
  <si>
    <t>QSH:QASH</t>
  </si>
  <si>
    <t>SUKU:SUKU</t>
  </si>
  <si>
    <t>PERL:PERLIN</t>
  </si>
  <si>
    <t>RING:DARWINIA NETWORK</t>
  </si>
  <si>
    <t>CRE2:CARRY PROTOCOL</t>
  </si>
  <si>
    <t>CON2:CONUN</t>
  </si>
  <si>
    <t>SICA:SIGNATURECHAIN</t>
  </si>
  <si>
    <t>MEME3:DEGENERATOR</t>
  </si>
  <si>
    <t>META2:METADIUM</t>
  </si>
  <si>
    <t>IPX:IPX TOKEN</t>
  </si>
  <si>
    <t>MIR2:MIRROR PROTOCOL</t>
  </si>
  <si>
    <t>HAKKA:HAKKA FINANCE</t>
  </si>
  <si>
    <t>PHA:PHALA.NETWORK</t>
  </si>
  <si>
    <t>YF-DAI:YFDAI.FINANCE</t>
  </si>
  <si>
    <t>GHST:AAVEGOTCHI</t>
  </si>
  <si>
    <t>USDQ:USDQ</t>
  </si>
  <si>
    <t>GDC:GLOBAL DIGITAL CONTENT</t>
  </si>
  <si>
    <t>BOT4:BOUNCE TOKEN</t>
  </si>
  <si>
    <t>AIR:AIRTOKEN</t>
  </si>
  <si>
    <t>ATM2:ATLETICO DE MADRID FAN TOKEN</t>
  </si>
  <si>
    <t>PAI2:PROJECT PAI</t>
  </si>
  <si>
    <t>ERG:ERGO</t>
  </si>
  <si>
    <t>PLC2:PLATINCOIN</t>
  </si>
  <si>
    <t>WING2:WING</t>
  </si>
  <si>
    <t>COCOS:COCOS-BCX</t>
  </si>
  <si>
    <t>LEVL:LEVOLUTION</t>
  </si>
  <si>
    <t>DTX:DATABROKER DAO</t>
  </si>
  <si>
    <t>YFV:YFVALUE</t>
  </si>
  <si>
    <t>ANW:ANCHOR NEURAL WORLD</t>
  </si>
  <si>
    <t>XRT2:ROBONOMICS NETWORK</t>
  </si>
  <si>
    <t>WEST:WAVES ENTERPRISE</t>
  </si>
  <si>
    <t>CTSI:CARTESI</t>
  </si>
  <si>
    <t>ANCT:ANCHOR</t>
  </si>
  <si>
    <t>PLA:PLAIR</t>
  </si>
  <si>
    <t>FTB:FREE TOOL BOX COIN</t>
  </si>
  <si>
    <t>PLA2:PLAYCHIP</t>
  </si>
  <si>
    <t>OBSR:OBSERVER</t>
  </si>
  <si>
    <t>REVV:REVV</t>
  </si>
  <si>
    <t>GAL2:GALATASARAY FAN TOKEN</t>
  </si>
  <si>
    <t>PHX:RED PULSE PHOENIX</t>
  </si>
  <si>
    <t>FLUZ:FLUZ FLUZ</t>
  </si>
  <si>
    <t>BF:BITFOREX TOKEN</t>
  </si>
  <si>
    <t>CREAM:CREAM FINANCE</t>
  </si>
  <si>
    <t>ATR3:ASTERIONSPACE</t>
  </si>
  <si>
    <t>FCT2:FIRMACHAIN</t>
  </si>
  <si>
    <t>EDR2:ENDOR PROTOCOL</t>
  </si>
  <si>
    <t>VETH:VETHER</t>
  </si>
  <si>
    <t>EM2:EMINER</t>
  </si>
  <si>
    <t>L2:LEVERJ GLUON</t>
  </si>
  <si>
    <t>MIX3:MIXMARVEL</t>
  </si>
  <si>
    <t>BASE:BASE PROTOCOL</t>
  </si>
  <si>
    <t>UFT:UNILEND</t>
  </si>
  <si>
    <t>AEN:AENCOIN</t>
  </si>
  <si>
    <t>IVY:IVY</t>
  </si>
  <si>
    <t>SAFEX:SAFE EXCHANGE COIN</t>
  </si>
  <si>
    <t>TRV2:TRUSTVERSE</t>
  </si>
  <si>
    <t>DAWN:DAWN PROTOCOL</t>
  </si>
  <si>
    <t>STACS:STACS</t>
  </si>
  <si>
    <t>DUN:DUNE NETWORK</t>
  </si>
  <si>
    <t>EGG5:NESTREE</t>
  </si>
  <si>
    <t>PNT:PNETWORK</t>
  </si>
  <si>
    <t>SST2:SIMBA STORAGE TOKEN</t>
  </si>
  <si>
    <t>OAP:OPENALEXAPROTOCOL</t>
  </si>
  <si>
    <t>PRS:PRESSONE</t>
  </si>
  <si>
    <t>BFT:BF TOKEN</t>
  </si>
  <si>
    <t>ASR2:AS ROMA FAN TOKEN</t>
  </si>
  <si>
    <t>BULL2:BUYSELL</t>
  </si>
  <si>
    <t>PCM:PRECIUM</t>
  </si>
  <si>
    <t>USDX2:USDX STABLECOIN</t>
  </si>
  <si>
    <t>DEXT:DEXTOOLS</t>
  </si>
  <si>
    <t>TON3:TOKAMAK NETWORK</t>
  </si>
  <si>
    <t>HTDF:ORIENT WALT</t>
  </si>
  <si>
    <t>PROPY:PROPY</t>
  </si>
  <si>
    <t>OMI:ECOMI</t>
  </si>
  <si>
    <t>BAAS:BAASID</t>
  </si>
  <si>
    <t>ZASH:ZIMBOCASH</t>
  </si>
  <si>
    <t>EL2:ELYSIA</t>
  </si>
  <si>
    <t>EGR:EGORAS</t>
  </si>
  <si>
    <t>GIG3:KRIOS</t>
  </si>
  <si>
    <t>GEN2:DAOSTACK</t>
  </si>
  <si>
    <t>PEAK:MARKETPEAK</t>
  </si>
  <si>
    <t>APM:APM COIN</t>
  </si>
  <si>
    <t>ILK:INLOCK</t>
  </si>
  <si>
    <t>FRONT:FRONTIER</t>
  </si>
  <si>
    <t>ELAMA:ELAMACHAIN</t>
  </si>
  <si>
    <t>DVC:DRAGONVEIN</t>
  </si>
  <si>
    <t>ADN:ALADDIN</t>
  </si>
  <si>
    <t>HUNT:HUNT</t>
  </si>
  <si>
    <t>WOO:WOOTRADE</t>
  </si>
  <si>
    <t>SUTER:SUTERUSU</t>
  </si>
  <si>
    <t>Internxt</t>
  </si>
  <si>
    <t>INXT</t>
  </si>
  <si>
    <t>Hedget</t>
  </si>
  <si>
    <t>HGET</t>
  </si>
  <si>
    <t>Ethereum Yield</t>
  </si>
  <si>
    <t>ETHY</t>
  </si>
  <si>
    <t>Raydium</t>
  </si>
  <si>
    <t>RAY</t>
  </si>
  <si>
    <t>GateToken</t>
  </si>
  <si>
    <t>GT</t>
  </si>
  <si>
    <t>Power Index Pool Token</t>
  </si>
  <si>
    <t>PIPT</t>
  </si>
  <si>
    <t>Bancor</t>
  </si>
  <si>
    <t>BNT</t>
  </si>
  <si>
    <t>Serum</t>
  </si>
  <si>
    <t>SRM</t>
  </si>
  <si>
    <t>Hellenic Coin</t>
  </si>
  <si>
    <t>HNC</t>
  </si>
  <si>
    <t>BitBall</t>
  </si>
  <si>
    <t>BTB</t>
  </si>
  <si>
    <t>ChainX</t>
  </si>
  <si>
    <t>PCX</t>
  </si>
  <si>
    <t>Alpha Quark Token</t>
  </si>
  <si>
    <t>AQT</t>
  </si>
  <si>
    <t>UNUS SED LEO</t>
  </si>
  <si>
    <t>LEO</t>
  </si>
  <si>
    <t>SEEN</t>
  </si>
  <si>
    <t>Elitium</t>
  </si>
  <si>
    <t>EUM</t>
  </si>
  <si>
    <t>88mph</t>
  </si>
  <si>
    <t>MPH</t>
  </si>
  <si>
    <t>iExec RLC</t>
  </si>
  <si>
    <t>RLC</t>
  </si>
  <si>
    <t>Celo</t>
  </si>
  <si>
    <t>CELO</t>
  </si>
  <si>
    <t>Infinity Esaham</t>
  </si>
  <si>
    <t>INFS</t>
  </si>
  <si>
    <t>Metronome</t>
  </si>
  <si>
    <t>MET</t>
  </si>
  <si>
    <t>Tezos</t>
  </si>
  <si>
    <t>XTZ</t>
  </si>
  <si>
    <t>SnowSwap</t>
  </si>
  <si>
    <t>SNOW</t>
  </si>
  <si>
    <t>Akash Network</t>
  </si>
  <si>
    <t>AKT</t>
  </si>
  <si>
    <t>SAFE DEAL</t>
  </si>
  <si>
    <t>SFD</t>
  </si>
  <si>
    <t>CRYPTO20</t>
  </si>
  <si>
    <t>C20</t>
  </si>
  <si>
    <t>Lisk</t>
  </si>
  <si>
    <t>LSK</t>
  </si>
  <si>
    <t>Tokenlon Network Token</t>
  </si>
  <si>
    <t>LON</t>
  </si>
  <si>
    <t>CrowdWiz</t>
  </si>
  <si>
    <t>WIZ</t>
  </si>
  <si>
    <t>1inch</t>
  </si>
  <si>
    <t>1INCH</t>
  </si>
  <si>
    <t>TomoChain</t>
  </si>
  <si>
    <t>TOMO</t>
  </si>
  <si>
    <t>Genesis Vision</t>
  </si>
  <si>
    <t>GVT</t>
  </si>
  <si>
    <t>GET Protocol</t>
  </si>
  <si>
    <t>GET</t>
  </si>
  <si>
    <t>Themis</t>
  </si>
  <si>
    <t>Elastos</t>
  </si>
  <si>
    <t>ELA</t>
  </si>
  <si>
    <t>Meter Governance</t>
  </si>
  <si>
    <t>MTRG</t>
  </si>
  <si>
    <t>Travala.com</t>
  </si>
  <si>
    <t>AVA</t>
  </si>
  <si>
    <t>Voyager Token</t>
  </si>
  <si>
    <t>VGX</t>
  </si>
  <si>
    <t>Chimpion</t>
  </si>
  <si>
    <t>BNANA</t>
  </si>
  <si>
    <t>NEAR Protocol</t>
  </si>
  <si>
    <t>NEAR</t>
  </si>
  <si>
    <t>Diamond</t>
  </si>
  <si>
    <t>DMD</t>
  </si>
  <si>
    <t>Bitcoin Diamond</t>
  </si>
  <si>
    <t>BCD</t>
  </si>
  <si>
    <t>hybrix</t>
  </si>
  <si>
    <t>HY</t>
  </si>
  <si>
    <t>Zano</t>
  </si>
  <si>
    <t>ZANO</t>
  </si>
  <si>
    <t>BakeryToken</t>
  </si>
  <si>
    <t>BAKE</t>
  </si>
  <si>
    <t>JustLiquidity</t>
  </si>
  <si>
    <t>JUL</t>
  </si>
  <si>
    <t>Poolz Finance</t>
  </si>
  <si>
    <t>POOLZ</t>
  </si>
  <si>
    <t>StableXSwap</t>
  </si>
  <si>
    <t>STAX</t>
  </si>
  <si>
    <t>Coldstack</t>
  </si>
  <si>
    <t>CLS</t>
  </si>
  <si>
    <t>PRCY Coin</t>
  </si>
  <si>
    <t>PRCY</t>
  </si>
  <si>
    <t>Swipe</t>
  </si>
  <si>
    <t>SXP</t>
  </si>
  <si>
    <t>IQeon</t>
  </si>
  <si>
    <t>IQN</t>
  </si>
  <si>
    <t>MahaDAO</t>
  </si>
  <si>
    <t>MAHA</t>
  </si>
  <si>
    <t>Dawn Protocol</t>
  </si>
  <si>
    <t>DAWN</t>
  </si>
  <si>
    <t>Populous</t>
  </si>
  <si>
    <t>PPT</t>
  </si>
  <si>
    <t>Squirrel Finance</t>
  </si>
  <si>
    <t>NUTS</t>
  </si>
  <si>
    <t>ebirah</t>
  </si>
  <si>
    <t>EBRH</t>
  </si>
  <si>
    <t>Young Boys Fan Token</t>
  </si>
  <si>
    <t>YBO</t>
  </si>
  <si>
    <t>Metal</t>
  </si>
  <si>
    <t>MTL</t>
  </si>
  <si>
    <t>BitcoinHD</t>
  </si>
  <si>
    <t>BHD</t>
  </si>
  <si>
    <t>Stratis</t>
  </si>
  <si>
    <t>STRAX</t>
  </si>
  <si>
    <t>Bloomzed Loyalty Club Ticket</t>
  </si>
  <si>
    <t>BLCT</t>
  </si>
  <si>
    <t>Opium</t>
  </si>
  <si>
    <t>OPIUM</t>
  </si>
  <si>
    <t>BOMB</t>
  </si>
  <si>
    <t>Vulcan Forged PYR</t>
  </si>
  <si>
    <t>PYR</t>
  </si>
  <si>
    <t>Nexo</t>
  </si>
  <si>
    <t>NEXO</t>
  </si>
  <si>
    <t>Oxbull.tech</t>
  </si>
  <si>
    <t>OXB</t>
  </si>
  <si>
    <t>Qubitica</t>
  </si>
  <si>
    <t>QBIT</t>
  </si>
  <si>
    <t>Energi</t>
  </si>
  <si>
    <t>NRG</t>
  </si>
  <si>
    <t>Atomic Wallet Coin</t>
  </si>
  <si>
    <t>AWC</t>
  </si>
  <si>
    <t>DAO Maker</t>
  </si>
  <si>
    <t>DAO</t>
  </si>
  <si>
    <t>Particl</t>
  </si>
  <si>
    <t>PART</t>
  </si>
  <si>
    <t>Receive Access Ecosystem</t>
  </si>
  <si>
    <t>RAE</t>
  </si>
  <si>
    <t>Toko Token</t>
  </si>
  <si>
    <t>TKO</t>
  </si>
  <si>
    <t>DIA</t>
  </si>
  <si>
    <t>Anyswap</t>
  </si>
  <si>
    <t>ANY</t>
  </si>
  <si>
    <t>Benchmark Protocol</t>
  </si>
  <si>
    <t>MARK</t>
  </si>
  <si>
    <t>Clever DeFi</t>
  </si>
  <si>
    <t>CLVA</t>
  </si>
  <si>
    <t>EasyFi</t>
  </si>
  <si>
    <t>EASY</t>
  </si>
  <si>
    <t>Base Protocol</t>
  </si>
  <si>
    <t>BASE</t>
  </si>
  <si>
    <t>Audius</t>
  </si>
  <si>
    <t>AUDIO</t>
  </si>
  <si>
    <t>Polygon</t>
  </si>
  <si>
    <t>MATIC</t>
  </si>
  <si>
    <t>Rotharium</t>
  </si>
  <si>
    <t>RTH</t>
  </si>
  <si>
    <t>Nord Finance</t>
  </si>
  <si>
    <t>NORD</t>
  </si>
  <si>
    <t>Stake DAO</t>
  </si>
  <si>
    <t>SDT</t>
  </si>
  <si>
    <t>Namecoin</t>
  </si>
  <si>
    <t>NMC</t>
  </si>
  <si>
    <t>Cardano</t>
  </si>
  <si>
    <t>ADA</t>
  </si>
  <si>
    <t>Enjin Coin</t>
  </si>
  <si>
    <t>ENJ</t>
  </si>
  <si>
    <t>MonaCoin</t>
  </si>
  <si>
    <t>MONA</t>
  </si>
  <si>
    <t>Monavale</t>
  </si>
  <si>
    <t>Unibright</t>
  </si>
  <si>
    <t>UBT</t>
  </si>
  <si>
    <t>HOMIHELP</t>
  </si>
  <si>
    <t>HOMI</t>
  </si>
  <si>
    <t>UnMarshal</t>
  </si>
  <si>
    <t>MARSH</t>
  </si>
  <si>
    <t>DODO</t>
  </si>
  <si>
    <t>Mina</t>
  </si>
  <si>
    <t>MINA</t>
  </si>
  <si>
    <t>Bella Protocol</t>
  </si>
  <si>
    <t>BEL</t>
  </si>
  <si>
    <t>XeniosCoin</t>
  </si>
  <si>
    <t>XNC</t>
  </si>
  <si>
    <t>Factom</t>
  </si>
  <si>
    <t>FCT</t>
  </si>
  <si>
    <t>FirmaChain</t>
  </si>
  <si>
    <t>STASIS EURO</t>
  </si>
  <si>
    <t>EURS</t>
  </si>
  <si>
    <t>Trias (old)</t>
  </si>
  <si>
    <t>TRY</t>
  </si>
  <si>
    <t>Realio Network</t>
  </si>
  <si>
    <t>RIO</t>
  </si>
  <si>
    <t>Bithao</t>
  </si>
  <si>
    <t>BHAO</t>
  </si>
  <si>
    <t>Beacon</t>
  </si>
  <si>
    <t>BECN</t>
  </si>
  <si>
    <t>Archer DAO Governance Token</t>
  </si>
  <si>
    <t>ARCH</t>
  </si>
  <si>
    <t>Pundi X[new]</t>
  </si>
  <si>
    <t>PUNDIX</t>
  </si>
  <si>
    <t>Lattice Token</t>
  </si>
  <si>
    <t>LTX</t>
  </si>
  <si>
    <t>Uniswap</t>
  </si>
  <si>
    <t>Pangolin</t>
  </si>
  <si>
    <t>PNG</t>
  </si>
  <si>
    <t>CryptoFranc</t>
  </si>
  <si>
    <t>XCHF</t>
  </si>
  <si>
    <t>CertiK</t>
  </si>
  <si>
    <t>CTK</t>
  </si>
  <si>
    <t>DeFinition</t>
  </si>
  <si>
    <t>DZI</t>
  </si>
  <si>
    <t>Polkastarter</t>
  </si>
  <si>
    <t>POLS</t>
  </si>
  <si>
    <t>WazirX</t>
  </si>
  <si>
    <t>WRX</t>
  </si>
  <si>
    <t>ZUSD</t>
  </si>
  <si>
    <t>Nash</t>
  </si>
  <si>
    <t>NEX</t>
  </si>
  <si>
    <t>MATH</t>
  </si>
  <si>
    <t>CryptoVerificationCoin</t>
  </si>
  <si>
    <t>CVCC</t>
  </si>
  <si>
    <t>Aavegotchi</t>
  </si>
  <si>
    <t>GHST</t>
  </si>
  <si>
    <t>Bitcoin Private</t>
  </si>
  <si>
    <t>BTCP</t>
  </si>
  <si>
    <t>Dai</t>
  </si>
  <si>
    <t>DAI</t>
  </si>
  <si>
    <t>sUSD</t>
  </si>
  <si>
    <t>SUSD</t>
  </si>
  <si>
    <t>USDK</t>
  </si>
  <si>
    <t>HUSD</t>
  </si>
  <si>
    <t>Binance USD</t>
  </si>
  <si>
    <t>BUSD</t>
  </si>
  <si>
    <t>TrueUSD</t>
  </si>
  <si>
    <t>TUSD</t>
  </si>
  <si>
    <t>Tether</t>
  </si>
  <si>
    <t>USDT</t>
  </si>
  <si>
    <t>USD Coin</t>
  </si>
  <si>
    <t>USDC</t>
  </si>
  <si>
    <t>TerraUSD</t>
  </si>
  <si>
    <t>USDJ</t>
  </si>
  <si>
    <t>Paxos Standard</t>
  </si>
  <si>
    <t>PAX</t>
  </si>
  <si>
    <t>Gemini Dollar</t>
  </si>
  <si>
    <t>GUSD</t>
  </si>
  <si>
    <t>Celo Dollar</t>
  </si>
  <si>
    <t>CUSD</t>
  </si>
  <si>
    <t>Neutrino USD</t>
  </si>
  <si>
    <t>USDN</t>
  </si>
  <si>
    <t>Frax</t>
  </si>
  <si>
    <t>FRAX</t>
  </si>
  <si>
    <t>Stably USD</t>
  </si>
  <si>
    <t>USDS</t>
  </si>
  <si>
    <t>Origin Dollar</t>
  </si>
  <si>
    <t>OUSD</t>
  </si>
  <si>
    <t>DePay</t>
  </si>
  <si>
    <t>DEPAY</t>
  </si>
  <si>
    <t>EOSDT</t>
  </si>
  <si>
    <t>Ampleforth</t>
  </si>
  <si>
    <t>AMPL</t>
  </si>
  <si>
    <t>Ditto</t>
  </si>
  <si>
    <t>DITTO</t>
  </si>
  <si>
    <t>Alphr finance</t>
  </si>
  <si>
    <t>ALPHR</t>
  </si>
  <si>
    <t>Ethereum Push Notification Service</t>
  </si>
  <si>
    <t>PUSH</t>
  </si>
  <si>
    <t>PowerPool</t>
  </si>
  <si>
    <t>CVP</t>
  </si>
  <si>
    <t>CafeSwap Token</t>
  </si>
  <si>
    <t>BREW</t>
  </si>
  <si>
    <t>Storj</t>
  </si>
  <si>
    <t>STORJ</t>
  </si>
  <si>
    <t>VerusCoin</t>
  </si>
  <si>
    <t>VRSC</t>
  </si>
  <si>
    <t>Klaytn</t>
  </si>
  <si>
    <t>KLAY</t>
  </si>
  <si>
    <t>Peercoin</t>
  </si>
  <si>
    <t>PPC</t>
  </si>
  <si>
    <t>Ark</t>
  </si>
  <si>
    <t>ARK</t>
  </si>
  <si>
    <t>Offshift</t>
  </si>
  <si>
    <t>XFT</t>
  </si>
  <si>
    <t>Aitra</t>
  </si>
  <si>
    <t>AITRA</t>
  </si>
  <si>
    <t>Cajutel</t>
  </si>
  <si>
    <t>CAJ</t>
  </si>
  <si>
    <t>Curate</t>
  </si>
  <si>
    <t>XCUR</t>
  </si>
  <si>
    <t>Blocknet</t>
  </si>
  <si>
    <t>BLOCK</t>
  </si>
  <si>
    <t>MOBOX</t>
  </si>
  <si>
    <t>MBOX</t>
  </si>
  <si>
    <t>Neblio</t>
  </si>
  <si>
    <t>NEBL</t>
  </si>
  <si>
    <t>MiL.k</t>
  </si>
  <si>
    <t>MLK</t>
  </si>
  <si>
    <t>Algorand</t>
  </si>
  <si>
    <t>ALGO</t>
  </si>
  <si>
    <t>Tranche Finance</t>
  </si>
  <si>
    <t>SLICE</t>
  </si>
  <si>
    <t>Phala Network</t>
  </si>
  <si>
    <t>PHA</t>
  </si>
  <si>
    <t>SENSO</t>
  </si>
  <si>
    <t>dHedge DAO</t>
  </si>
  <si>
    <t>DHT</t>
  </si>
  <si>
    <t>Skycoin</t>
  </si>
  <si>
    <t>SKY</t>
  </si>
  <si>
    <t>Prosper</t>
  </si>
  <si>
    <t>PROS</t>
  </si>
  <si>
    <t>ICON</t>
  </si>
  <si>
    <t>ICX</t>
  </si>
  <si>
    <t>Anchor</t>
  </si>
  <si>
    <t>ANCT</t>
  </si>
  <si>
    <t>Arianee</t>
  </si>
  <si>
    <t>ARIA20</t>
  </si>
  <si>
    <t>Oxen</t>
  </si>
  <si>
    <t>OXEN</t>
  </si>
  <si>
    <t>mStable Governance Token: Meta (MTA)</t>
  </si>
  <si>
    <t>MTA</t>
  </si>
  <si>
    <t>Loki</t>
  </si>
  <si>
    <t>LOKI</t>
  </si>
  <si>
    <t>Origin Protocol</t>
  </si>
  <si>
    <t>OGN</t>
  </si>
  <si>
    <t>Juggernaut</t>
  </si>
  <si>
    <t>JGN</t>
  </si>
  <si>
    <t>ZKSwap</t>
  </si>
  <si>
    <t>ZKS</t>
  </si>
  <si>
    <t>Komodo</t>
  </si>
  <si>
    <t>KMD</t>
  </si>
  <si>
    <t>IOTA</t>
  </si>
  <si>
    <t>MIOTA</t>
  </si>
  <si>
    <t>Groestlcoin</t>
  </si>
  <si>
    <t>GRS</t>
  </si>
  <si>
    <t>XSGD</t>
  </si>
  <si>
    <t>Yearn Secure</t>
  </si>
  <si>
    <t>YSEC</t>
  </si>
  <si>
    <t>Stafi</t>
  </si>
  <si>
    <t>FIS</t>
  </si>
  <si>
    <t>Molecular Future</t>
  </si>
  <si>
    <t>MOF</t>
  </si>
  <si>
    <t>SafePal</t>
  </si>
  <si>
    <t>SFP</t>
  </si>
  <si>
    <t>0x</t>
  </si>
  <si>
    <t>ZRX</t>
  </si>
  <si>
    <t>Aidos Kuneen</t>
  </si>
  <si>
    <t>ADK</t>
  </si>
  <si>
    <t>HARD Protocol</t>
  </si>
  <si>
    <t>HARD</t>
  </si>
  <si>
    <t>Frontier</t>
  </si>
  <si>
    <t>FRONT</t>
  </si>
  <si>
    <t>Berry Data</t>
  </si>
  <si>
    <t>BRY</t>
  </si>
  <si>
    <t>Ontology</t>
  </si>
  <si>
    <t>ONT</t>
  </si>
  <si>
    <t>BSCPAD</t>
  </si>
  <si>
    <t>AstroTools</t>
  </si>
  <si>
    <t>ASTRO</t>
  </si>
  <si>
    <t>KeyFi</t>
  </si>
  <si>
    <t>KEYFI</t>
  </si>
  <si>
    <t>Rialto</t>
  </si>
  <si>
    <t>XRL</t>
  </si>
  <si>
    <t>Cocos-BCX</t>
  </si>
  <si>
    <t>COCOS</t>
  </si>
  <si>
    <t>MaidSafeCoin</t>
  </si>
  <si>
    <t>MAID</t>
  </si>
  <si>
    <t>EFFORCE</t>
  </si>
  <si>
    <t>WOZX</t>
  </si>
  <si>
    <t>AAX Token</t>
  </si>
  <si>
    <t>AAB</t>
  </si>
  <si>
    <t>HyperCash</t>
  </si>
  <si>
    <t>HC</t>
  </si>
  <si>
    <t>AEON</t>
  </si>
  <si>
    <t>Emirex Token</t>
  </si>
  <si>
    <t>EMRX</t>
  </si>
  <si>
    <t>Decentraland</t>
  </si>
  <si>
    <t>MANA</t>
  </si>
  <si>
    <t>Alpha Finance Lab</t>
  </si>
  <si>
    <t>ALPHA</t>
  </si>
  <si>
    <t>Beyond Finance</t>
  </si>
  <si>
    <t>BYN</t>
  </si>
  <si>
    <t>Swerve</t>
  </si>
  <si>
    <t>SWRV</t>
  </si>
  <si>
    <t>Ghost</t>
  </si>
  <si>
    <t>GHOST</t>
  </si>
  <si>
    <t>GHOSTPRISM</t>
  </si>
  <si>
    <t>DDKoin</t>
  </si>
  <si>
    <t>DDK</t>
  </si>
  <si>
    <t>Render Token</t>
  </si>
  <si>
    <t>RNDR</t>
  </si>
  <si>
    <t>SwissBorg</t>
  </si>
  <si>
    <t>CHSB</t>
  </si>
  <si>
    <t>XRP</t>
  </si>
  <si>
    <t>Nerve Finance</t>
  </si>
  <si>
    <t>NRV</t>
  </si>
  <si>
    <t>UniLend</t>
  </si>
  <si>
    <t>UFT</t>
  </si>
  <si>
    <t>Epic Cash</t>
  </si>
  <si>
    <t>EPIC</t>
  </si>
  <si>
    <t>Morpheus.Network</t>
  </si>
  <si>
    <t>MRPH</t>
  </si>
  <si>
    <t>Teloscoin</t>
  </si>
  <si>
    <t>TELOS</t>
  </si>
  <si>
    <t>Newscrypto</t>
  </si>
  <si>
    <t>NWC</t>
  </si>
  <si>
    <t>Axis DeFi</t>
  </si>
  <si>
    <t>AXIS</t>
  </si>
  <si>
    <t>Tribe</t>
  </si>
  <si>
    <t>TRIBE</t>
  </si>
  <si>
    <t>K21</t>
  </si>
  <si>
    <t>Ellipsis</t>
  </si>
  <si>
    <t>EPS</t>
  </si>
  <si>
    <t>BHPCoin</t>
  </si>
  <si>
    <t>BHP</t>
  </si>
  <si>
    <t>Moeda Loyalty Points</t>
  </si>
  <si>
    <t>MDA</t>
  </si>
  <si>
    <t>RigoBlock</t>
  </si>
  <si>
    <t>GRG</t>
  </si>
  <si>
    <t>Governor DAO</t>
  </si>
  <si>
    <t>GDAO</t>
  </si>
  <si>
    <t>NAOS Finance</t>
  </si>
  <si>
    <t>NAOS</t>
  </si>
  <si>
    <t>Bitcoin 2</t>
  </si>
  <si>
    <t>BTC2</t>
  </si>
  <si>
    <t>Adshares</t>
  </si>
  <si>
    <t>ADS</t>
  </si>
  <si>
    <t>Pylon Network</t>
  </si>
  <si>
    <t>PYLNT</t>
  </si>
  <si>
    <t>Bridge Mutual</t>
  </si>
  <si>
    <t>BMI</t>
  </si>
  <si>
    <t>Wootrade</t>
  </si>
  <si>
    <t>WOO</t>
  </si>
  <si>
    <t>Wanchain</t>
  </si>
  <si>
    <t>WAN</t>
  </si>
  <si>
    <t>UniMex Network</t>
  </si>
  <si>
    <t>UMX</t>
  </si>
  <si>
    <t>Alpaca Finance</t>
  </si>
  <si>
    <t>ALPACA</t>
  </si>
  <si>
    <t>Waltonchain</t>
  </si>
  <si>
    <t>WTC</t>
  </si>
  <si>
    <t>Decentrahub Coin</t>
  </si>
  <si>
    <t>DCNTR</t>
  </si>
  <si>
    <t>Seedify.fund</t>
  </si>
  <si>
    <t>SFUND</t>
  </si>
  <si>
    <t>PIVX</t>
  </si>
  <si>
    <t>AGA Token</t>
  </si>
  <si>
    <t>AGA</t>
  </si>
  <si>
    <t>Basic Attention Token</t>
  </si>
  <si>
    <t>BAT</t>
  </si>
  <si>
    <t>Dynamic</t>
  </si>
  <si>
    <t>DYN</t>
  </si>
  <si>
    <t>Hxro</t>
  </si>
  <si>
    <t>HXRO</t>
  </si>
  <si>
    <t>Blockchain Cuties Universe Governance</t>
  </si>
  <si>
    <t>BCUG</t>
  </si>
  <si>
    <t>MX Token</t>
  </si>
  <si>
    <t>MX</t>
  </si>
  <si>
    <t>BTU Protocol</t>
  </si>
  <si>
    <t>BTU</t>
  </si>
  <si>
    <t>BITTUP</t>
  </si>
  <si>
    <t>Ultra</t>
  </si>
  <si>
    <t>UOS</t>
  </si>
  <si>
    <t>Insula</t>
  </si>
  <si>
    <t>ISLA</t>
  </si>
  <si>
    <t>Golff</t>
  </si>
  <si>
    <t>GOF</t>
  </si>
  <si>
    <t>The Sandbox</t>
  </si>
  <si>
    <t>SAND</t>
  </si>
  <si>
    <t>Tokamak Network</t>
  </si>
  <si>
    <t>TON</t>
  </si>
  <si>
    <t>TON Token</t>
  </si>
  <si>
    <t>Beam</t>
  </si>
  <si>
    <t>BEAM</t>
  </si>
  <si>
    <t>PlatonCoin</t>
  </si>
  <si>
    <t>PLTC</t>
  </si>
  <si>
    <t>Safe</t>
  </si>
  <si>
    <t>SAFE</t>
  </si>
  <si>
    <t>SafeCoin</t>
  </si>
  <si>
    <t>Vertcoin</t>
  </si>
  <si>
    <t>VTC</t>
  </si>
  <si>
    <t>Hacken</t>
  </si>
  <si>
    <t>HKN</t>
  </si>
  <si>
    <t>Hathor</t>
  </si>
  <si>
    <t>HTR</t>
  </si>
  <si>
    <t>Gleec</t>
  </si>
  <si>
    <t>GLEEC</t>
  </si>
  <si>
    <t>Nexus</t>
  </si>
  <si>
    <t>NXS</t>
  </si>
  <si>
    <t>GXChain</t>
  </si>
  <si>
    <t>GXC</t>
  </si>
  <si>
    <t>Massnet</t>
  </si>
  <si>
    <t>MASS</t>
  </si>
  <si>
    <t>LYNC Network</t>
  </si>
  <si>
    <t>LYNC</t>
  </si>
  <si>
    <t>Vai</t>
  </si>
  <si>
    <t>VAI</t>
  </si>
  <si>
    <t>yieldwatch</t>
  </si>
  <si>
    <t>WATCH</t>
  </si>
  <si>
    <t>PARSIQ</t>
  </si>
  <si>
    <t>PRQ</t>
  </si>
  <si>
    <t>0xBitcoin</t>
  </si>
  <si>
    <t>0xBTC</t>
  </si>
  <si>
    <t>PieDAO DOUGH v2</t>
  </si>
  <si>
    <t>DOUGH</t>
  </si>
  <si>
    <t>Cartesi</t>
  </si>
  <si>
    <t>CTSI</t>
  </si>
  <si>
    <t>CloakCoin</t>
  </si>
  <si>
    <t>CLOAK</t>
  </si>
  <si>
    <t>Isiklar Coin</t>
  </si>
  <si>
    <t>ISIKC</t>
  </si>
  <si>
    <t>Ocean Protocol</t>
  </si>
  <si>
    <t>OCEAN</t>
  </si>
  <si>
    <t>Zynecoin</t>
  </si>
  <si>
    <t>ZYN</t>
  </si>
  <si>
    <t>Peony</t>
  </si>
  <si>
    <t>PNY</t>
  </si>
  <si>
    <t>HyperBurn</t>
  </si>
  <si>
    <t>HYPR</t>
  </si>
  <si>
    <t>MAPS</t>
  </si>
  <si>
    <t>Bullion</t>
  </si>
  <si>
    <t>CBX</t>
  </si>
  <si>
    <t>Covesting</t>
  </si>
  <si>
    <t>COV</t>
  </si>
  <si>
    <t>ODUWA</t>
  </si>
  <si>
    <t>OWC</t>
  </si>
  <si>
    <t>DoYourTip</t>
  </si>
  <si>
    <t>DYT</t>
  </si>
  <si>
    <t>Hackspace Capital</t>
  </si>
  <si>
    <t>HAC</t>
  </si>
  <si>
    <t>Viacoin</t>
  </si>
  <si>
    <t>VIA</t>
  </si>
  <si>
    <t>Steem</t>
  </si>
  <si>
    <t>STEEM</t>
  </si>
  <si>
    <t>GNY</t>
  </si>
  <si>
    <t>Fusion</t>
  </si>
  <si>
    <t>FSN</t>
  </si>
  <si>
    <t>ASD (BTMX)</t>
  </si>
  <si>
    <t>BTMX</t>
  </si>
  <si>
    <t>Curio</t>
  </si>
  <si>
    <t>CUR</t>
  </si>
  <si>
    <t>Kadena</t>
  </si>
  <si>
    <t>KDA</t>
  </si>
  <si>
    <t>Automata Network</t>
  </si>
  <si>
    <t>ATA</t>
  </si>
  <si>
    <t>NavCoin</t>
  </si>
  <si>
    <t>NAV</t>
  </si>
  <si>
    <t>LCMS</t>
  </si>
  <si>
    <t>NULS</t>
  </si>
  <si>
    <t>Kira Network</t>
  </si>
  <si>
    <t>KEX</t>
  </si>
  <si>
    <t>AllianceBlock</t>
  </si>
  <si>
    <t>ALBT</t>
  </si>
  <si>
    <t>Flamingo</t>
  </si>
  <si>
    <t>FLM</t>
  </si>
  <si>
    <t>0Chain</t>
  </si>
  <si>
    <t>ZCN</t>
  </si>
  <si>
    <t>Waves Enterprise</t>
  </si>
  <si>
    <t>WEST</t>
  </si>
  <si>
    <t>Kuai Token</t>
  </si>
  <si>
    <t>KT</t>
  </si>
  <si>
    <t>AdEx</t>
  </si>
  <si>
    <t>ADX</t>
  </si>
  <si>
    <t>VIDT Datalink</t>
  </si>
  <si>
    <t>VIDT</t>
  </si>
  <si>
    <t>Small Love Potion</t>
  </si>
  <si>
    <t>SLP</t>
  </si>
  <si>
    <t>Ren</t>
  </si>
  <si>
    <t>REN</t>
  </si>
  <si>
    <t>Drops Ownership Power</t>
  </si>
  <si>
    <t>DOP</t>
  </si>
  <si>
    <t>Standard Protocol</t>
  </si>
  <si>
    <t>STND</t>
  </si>
  <si>
    <t>Everex</t>
  </si>
  <si>
    <t>EVX</t>
  </si>
  <si>
    <t>Novacoin</t>
  </si>
  <si>
    <t>NVC</t>
  </si>
  <si>
    <t>Bitcore</t>
  </si>
  <si>
    <t>BTX</t>
  </si>
  <si>
    <t>Trust Wallet Token</t>
  </si>
  <si>
    <t>TWT</t>
  </si>
  <si>
    <t>Hive</t>
  </si>
  <si>
    <t>HIVE</t>
  </si>
  <si>
    <t>xBTC</t>
  </si>
  <si>
    <t>Equalizer</t>
  </si>
  <si>
    <t>EQZ</t>
  </si>
  <si>
    <t>Mysterium</t>
  </si>
  <si>
    <t>MYST</t>
  </si>
  <si>
    <t>King DAG</t>
  </si>
  <si>
    <t>KDAG</t>
  </si>
  <si>
    <t>Finxflo</t>
  </si>
  <si>
    <t>FXF</t>
  </si>
  <si>
    <t>Konomi Network</t>
  </si>
  <si>
    <t>KONO</t>
  </si>
  <si>
    <t>Monero Classic</t>
  </si>
  <si>
    <t>XMC</t>
  </si>
  <si>
    <t>Keep Network</t>
  </si>
  <si>
    <t>KEEP</t>
  </si>
  <si>
    <t>Drep [new]</t>
  </si>
  <si>
    <t>DREP</t>
  </si>
  <si>
    <t>Lendefi</t>
  </si>
  <si>
    <t>LDFI</t>
  </si>
  <si>
    <t>Orchid</t>
  </si>
  <si>
    <t>OXT</t>
  </si>
  <si>
    <t>Eauric</t>
  </si>
  <si>
    <t>EAURIC</t>
  </si>
  <si>
    <t>Grin</t>
  </si>
  <si>
    <t>GRIN</t>
  </si>
  <si>
    <t>Raiden Network Token</t>
  </si>
  <si>
    <t>RDN</t>
  </si>
  <si>
    <t>Golem</t>
  </si>
  <si>
    <t>GLM</t>
  </si>
  <si>
    <t>UniLayer</t>
  </si>
  <si>
    <t>LAYER</t>
  </si>
  <si>
    <t>Darma Cash</t>
  </si>
  <si>
    <t>DMCH</t>
  </si>
  <si>
    <t>PAID Network</t>
  </si>
  <si>
    <t>PAID</t>
  </si>
  <si>
    <t>Nebulas</t>
  </si>
  <si>
    <t>NAS</t>
  </si>
  <si>
    <t>Theta Fuel</t>
  </si>
  <si>
    <t>TFUEL</t>
  </si>
  <si>
    <t>ZB Token</t>
  </si>
  <si>
    <t>ZB</t>
  </si>
  <si>
    <t>Iconic Token</t>
  </si>
  <si>
    <t>ICNQ</t>
  </si>
  <si>
    <t>Peseta Digital</t>
  </si>
  <si>
    <t>PTD</t>
  </si>
  <si>
    <t>Spartan Protocol</t>
  </si>
  <si>
    <t>SPARTA</t>
  </si>
  <si>
    <t>DeFi Yield Protocol</t>
  </si>
  <si>
    <t>DYP</t>
  </si>
  <si>
    <t>Nyzo</t>
  </si>
  <si>
    <t>NYZO</t>
  </si>
  <si>
    <t>Aventus</t>
  </si>
  <si>
    <t>AVT</t>
  </si>
  <si>
    <t>DeepOnion</t>
  </si>
  <si>
    <t>ONION</t>
  </si>
  <si>
    <t>Function X</t>
  </si>
  <si>
    <t>FX</t>
  </si>
  <si>
    <t>PEAKDEFI</t>
  </si>
  <si>
    <t>PEAK</t>
  </si>
  <si>
    <t>Valor Token</t>
  </si>
  <si>
    <t>VALOR</t>
  </si>
  <si>
    <t>Ycash</t>
  </si>
  <si>
    <t>YEC</t>
  </si>
  <si>
    <t>Oddz</t>
  </si>
  <si>
    <t>ODDZ</t>
  </si>
  <si>
    <t>PowerTrade Fuel</t>
  </si>
  <si>
    <t>PTF</t>
  </si>
  <si>
    <t>DubaiCoin</t>
  </si>
  <si>
    <t>DBIX</t>
  </si>
  <si>
    <t>Gameswap</t>
  </si>
  <si>
    <t>GSWAP</t>
  </si>
  <si>
    <t>Dvision Network</t>
  </si>
  <si>
    <t>DVI</t>
  </si>
  <si>
    <t>GeoDB</t>
  </si>
  <si>
    <t>GEO</t>
  </si>
  <si>
    <t>GeoCoin</t>
  </si>
  <si>
    <t>Coin Artist</t>
  </si>
  <si>
    <t>COIN</t>
  </si>
  <si>
    <t>B2BX</t>
  </si>
  <si>
    <t>B2B</t>
  </si>
  <si>
    <t>Refinable</t>
  </si>
  <si>
    <t>FINE</t>
  </si>
  <si>
    <t>CargoX</t>
  </si>
  <si>
    <t>CXO</t>
  </si>
  <si>
    <t>Nsure.Network</t>
  </si>
  <si>
    <t>NSURE</t>
  </si>
  <si>
    <t>ProBit Token</t>
  </si>
  <si>
    <t>PROB</t>
  </si>
  <si>
    <t>Denarius</t>
  </si>
  <si>
    <t>D</t>
  </si>
  <si>
    <t>Furucombo</t>
  </si>
  <si>
    <t>COMBO</t>
  </si>
  <si>
    <t>Aragon Court</t>
  </si>
  <si>
    <t>ANJ</t>
  </si>
  <si>
    <t>Thisoption</t>
  </si>
  <si>
    <t>TONS</t>
  </si>
  <si>
    <t>HUNT</t>
  </si>
  <si>
    <t>Rakon</t>
  </si>
  <si>
    <t>RKN</t>
  </si>
  <si>
    <t>CVCoin</t>
  </si>
  <si>
    <t>CVN</t>
  </si>
  <si>
    <t>Orbitcoin</t>
  </si>
  <si>
    <t>ORB</t>
  </si>
  <si>
    <t>Fetch.ai</t>
  </si>
  <si>
    <t>FET</t>
  </si>
  <si>
    <t>OriginTrail</t>
  </si>
  <si>
    <t>TRAC</t>
  </si>
  <si>
    <t>Chiliz</t>
  </si>
  <si>
    <t>CHZ</t>
  </si>
  <si>
    <t>Sapphire</t>
  </si>
  <si>
    <t>SAPP</t>
  </si>
  <si>
    <t>CryptoPing</t>
  </si>
  <si>
    <t>PING</t>
  </si>
  <si>
    <t>Stellar</t>
  </si>
  <si>
    <t>XLM</t>
  </si>
  <si>
    <t>Kryll</t>
  </si>
  <si>
    <t>KRL</t>
  </si>
  <si>
    <t>Santiment Network Token</t>
  </si>
  <si>
    <t>SAN</t>
  </si>
  <si>
    <t>Glitch</t>
  </si>
  <si>
    <t>GLCH</t>
  </si>
  <si>
    <t>Cashhand</t>
  </si>
  <si>
    <t>CHND</t>
  </si>
  <si>
    <t>Conceal</t>
  </si>
  <si>
    <t>CCX</t>
  </si>
  <si>
    <t>Civic</t>
  </si>
  <si>
    <t>CVC</t>
  </si>
  <si>
    <t>Loopring</t>
  </si>
  <si>
    <t>LRC</t>
  </si>
  <si>
    <t>CheesecakeSwap Token</t>
  </si>
  <si>
    <t>CCAKE</t>
  </si>
  <si>
    <t>Chromia</t>
  </si>
  <si>
    <t>CHR</t>
  </si>
  <si>
    <t>APY.Finance</t>
  </si>
  <si>
    <t>APY</t>
  </si>
  <si>
    <t>SingularityNET</t>
  </si>
  <si>
    <t>AGIX</t>
  </si>
  <si>
    <t>Fantom</t>
  </si>
  <si>
    <t>FTM</t>
  </si>
  <si>
    <t>NuCypher</t>
  </si>
  <si>
    <t>NU</t>
  </si>
  <si>
    <t>SKALE Network</t>
  </si>
  <si>
    <t>SKL</t>
  </si>
  <si>
    <t>NKN</t>
  </si>
  <si>
    <t>MyWish</t>
  </si>
  <si>
    <t>WISH</t>
  </si>
  <si>
    <t>Invictus Hyperion Fund</t>
  </si>
  <si>
    <t>IHF</t>
  </si>
  <si>
    <t>nYFI</t>
  </si>
  <si>
    <t>N0031</t>
  </si>
  <si>
    <t>AIOZ Network</t>
  </si>
  <si>
    <t>AIOZ</t>
  </si>
  <si>
    <t>ZeroSwap</t>
  </si>
  <si>
    <t>ZEE</t>
  </si>
  <si>
    <t>Syntropy</t>
  </si>
  <si>
    <t>NOIA</t>
  </si>
  <si>
    <t>SALT</t>
  </si>
  <si>
    <t>Fyooz</t>
  </si>
  <si>
    <t>FYZ</t>
  </si>
  <si>
    <t>Chain Guardians</t>
  </si>
  <si>
    <t>CGG</t>
  </si>
  <si>
    <t>Exeedme</t>
  </si>
  <si>
    <t>XED</t>
  </si>
  <si>
    <t>Dogecoin</t>
  </si>
  <si>
    <t>DOGE</t>
  </si>
  <si>
    <t>UTRUST</t>
  </si>
  <si>
    <t>UTK</t>
  </si>
  <si>
    <t>aelf</t>
  </si>
  <si>
    <t>ELF</t>
  </si>
  <si>
    <t>FIO Protocol</t>
  </si>
  <si>
    <t>FIO</t>
  </si>
  <si>
    <t>Terra Virtua Kolect</t>
  </si>
  <si>
    <t>TVK</t>
  </si>
  <si>
    <t>Ubiq</t>
  </si>
  <si>
    <t>UBQ</t>
  </si>
  <si>
    <t>VideoCoin</t>
  </si>
  <si>
    <t>RVC</t>
  </si>
  <si>
    <t>VeriDocGlobal</t>
  </si>
  <si>
    <t>VDG</t>
  </si>
  <si>
    <t>Centric Cash</t>
  </si>
  <si>
    <t>CNS</t>
  </si>
  <si>
    <t>Alphacat</t>
  </si>
  <si>
    <t>ACAT</t>
  </si>
  <si>
    <t>Ubex</t>
  </si>
  <si>
    <t>UBEX</t>
  </si>
  <si>
    <t>UNIVERSAL CASH</t>
  </si>
  <si>
    <t>UCASH</t>
  </si>
  <si>
    <t>FansTime</t>
  </si>
  <si>
    <t>FTI</t>
  </si>
  <si>
    <t>uPlexa</t>
  </si>
  <si>
    <t>UPX</t>
  </si>
  <si>
    <t>COVA</t>
  </si>
  <si>
    <t>iDealCash</t>
  </si>
  <si>
    <t>DEAL</t>
  </si>
  <si>
    <t>KIMCHI.finance</t>
  </si>
  <si>
    <t>KIMCHI</t>
  </si>
  <si>
    <t>PlayGame</t>
  </si>
  <si>
    <t>PXG</t>
  </si>
  <si>
    <t>Cheesecoin</t>
  </si>
  <si>
    <t>CHEESE</t>
  </si>
  <si>
    <t>PTON</t>
  </si>
  <si>
    <t>Graft</t>
  </si>
  <si>
    <t>GRFT</t>
  </si>
  <si>
    <t>Quantis Network</t>
  </si>
  <si>
    <t>QUAN</t>
  </si>
  <si>
    <t>Alt.Estate token</t>
  </si>
  <si>
    <t>ALT</t>
  </si>
  <si>
    <t>KickToken</t>
  </si>
  <si>
    <t>KICK</t>
  </si>
  <si>
    <t>Smartlands Network</t>
  </si>
  <si>
    <t>SLT</t>
  </si>
  <si>
    <t>NerveNetwork</t>
  </si>
  <si>
    <t>NVT</t>
  </si>
  <si>
    <t>X-CASH</t>
  </si>
  <si>
    <t>XCASH</t>
  </si>
  <si>
    <t>Lightning Bitcoin</t>
  </si>
  <si>
    <t>LBTC</t>
  </si>
  <si>
    <t>HTMLCOIN</t>
  </si>
  <si>
    <t>HTML</t>
  </si>
  <si>
    <t>DEXA COIN</t>
  </si>
  <si>
    <t>DEXA</t>
  </si>
  <si>
    <t>Cyclone Protocol</t>
  </si>
  <si>
    <t>CYC</t>
  </si>
  <si>
    <t>PumaPay</t>
  </si>
  <si>
    <t>PMA</t>
  </si>
  <si>
    <t>Ethereum Meta</t>
  </si>
  <si>
    <t>ETHM</t>
  </si>
  <si>
    <t>Pundi X NEM</t>
  </si>
  <si>
    <t>NPXSXEM</t>
  </si>
  <si>
    <t>Starname</t>
  </si>
  <si>
    <t>IOV</t>
  </si>
  <si>
    <t>Cryptaur</t>
  </si>
  <si>
    <t>CPT</t>
  </si>
  <si>
    <t>Digital Reserve Currency</t>
  </si>
  <si>
    <t>DRC</t>
  </si>
  <si>
    <t>Dracula Token</t>
  </si>
  <si>
    <t>Hashgard</t>
  </si>
  <si>
    <t>GARD</t>
  </si>
  <si>
    <t>Pivot Token</t>
  </si>
  <si>
    <t>PVT</t>
  </si>
  <si>
    <t>HiCoin</t>
  </si>
  <si>
    <t>XHI</t>
  </si>
  <si>
    <t>CryptoBonusMiles</t>
  </si>
  <si>
    <t>CBM</t>
  </si>
  <si>
    <t>FujiCoin</t>
  </si>
  <si>
    <t>FJC</t>
  </si>
  <si>
    <t>Bean Cash</t>
  </si>
  <si>
    <t>BITB</t>
  </si>
  <si>
    <t>CryptEx</t>
  </si>
  <si>
    <t>CRX</t>
  </si>
  <si>
    <t>BackPacker Coin</t>
  </si>
  <si>
    <t>BPC</t>
  </si>
  <si>
    <t>OLXA</t>
  </si>
  <si>
    <t>NFTLootBox</t>
  </si>
  <si>
    <t>LOOT</t>
  </si>
  <si>
    <t>Bezant</t>
  </si>
  <si>
    <t>BZNT</t>
  </si>
  <si>
    <t>Golos Blockchain</t>
  </si>
  <si>
    <t>GLS</t>
  </si>
  <si>
    <t>Kuverit</t>
  </si>
  <si>
    <t>KUV</t>
  </si>
  <si>
    <t>HeroNode</t>
  </si>
  <si>
    <t>HER</t>
  </si>
  <si>
    <t>The Graph</t>
  </si>
  <si>
    <t>GRT</t>
  </si>
  <si>
    <t>DerivaDAO</t>
  </si>
  <si>
    <t>DDX</t>
  </si>
  <si>
    <t>APENFT</t>
  </si>
  <si>
    <t>NFT</t>
  </si>
  <si>
    <t>Hoge Finance</t>
  </si>
  <si>
    <t>HOGE</t>
  </si>
  <si>
    <t>pNetwork</t>
  </si>
  <si>
    <t>PNT</t>
  </si>
  <si>
    <t>BIDR</t>
  </si>
  <si>
    <t>TurtleCoin</t>
  </si>
  <si>
    <t>TRTL</t>
  </si>
  <si>
    <t>Pancake Bunny</t>
  </si>
  <si>
    <t>BUNNY</t>
  </si>
  <si>
    <t>ReapChain</t>
  </si>
  <si>
    <t>REAP</t>
  </si>
  <si>
    <t>ERC20</t>
  </si>
  <si>
    <t>LiteDoge</t>
  </si>
  <si>
    <t>LDOGE</t>
  </si>
  <si>
    <t>ThreeFold</t>
  </si>
  <si>
    <t>TFT</t>
  </si>
  <si>
    <t>HitChain</t>
  </si>
  <si>
    <t>HIT</t>
  </si>
  <si>
    <t>Rupiah Token</t>
  </si>
  <si>
    <t>IDRT</t>
  </si>
  <si>
    <t>CoTrader</t>
  </si>
  <si>
    <t>COT</t>
  </si>
  <si>
    <t>Public Mint</t>
  </si>
  <si>
    <t>MINT</t>
  </si>
  <si>
    <t>Carboncoin</t>
  </si>
  <si>
    <t>CARBON</t>
  </si>
  <si>
    <t>xSigma</t>
  </si>
  <si>
    <t>SIG</t>
  </si>
  <si>
    <t>Penta</t>
  </si>
  <si>
    <t>GPU Coin</t>
  </si>
  <si>
    <t>GPU</t>
  </si>
  <si>
    <t>Pigeoncoin</t>
  </si>
  <si>
    <t>PGN</t>
  </si>
  <si>
    <t>HYCON</t>
  </si>
  <si>
    <t>HYC</t>
  </si>
  <si>
    <t>SOAR.FI</t>
  </si>
  <si>
    <t>SOAR</t>
  </si>
  <si>
    <t>NANJCOIN</t>
  </si>
  <si>
    <t>NANJ</t>
  </si>
  <si>
    <t>XcelToken Plus</t>
  </si>
  <si>
    <t>XLAB</t>
  </si>
  <si>
    <t>Moneytoken</t>
  </si>
  <si>
    <t>IMT</t>
  </si>
  <si>
    <t>BZEdge</t>
  </si>
  <si>
    <t>BZE</t>
  </si>
  <si>
    <t>EBCoin</t>
  </si>
  <si>
    <t>EBC</t>
  </si>
  <si>
    <t>Colossuscoin V2</t>
  </si>
  <si>
    <t>CV2</t>
  </si>
  <si>
    <t>NuShares</t>
  </si>
  <si>
    <t>NSR</t>
  </si>
  <si>
    <t>LanaCoin</t>
  </si>
  <si>
    <t>LANA</t>
  </si>
  <si>
    <t>Smartshare</t>
  </si>
  <si>
    <t>SSP</t>
  </si>
  <si>
    <t>RealTract</t>
  </si>
  <si>
    <t>RET</t>
  </si>
  <si>
    <t>Trodl</t>
  </si>
  <si>
    <t>TRO</t>
  </si>
  <si>
    <t>NeoWorld Cash</t>
  </si>
  <si>
    <t>NASH</t>
  </si>
  <si>
    <t>Ritocoin</t>
  </si>
  <si>
    <t>RITO</t>
  </si>
  <si>
    <t>MineBee</t>
  </si>
  <si>
    <t>MB</t>
  </si>
  <si>
    <t>Zennies</t>
  </si>
  <si>
    <t>ZENI</t>
  </si>
  <si>
    <t>Po.et</t>
  </si>
  <si>
    <t>POE</t>
  </si>
  <si>
    <t>BiblePay</t>
  </si>
  <si>
    <t>BBP</t>
  </si>
  <si>
    <t>Symbol:Name</t>
  </si>
  <si>
    <t>USD price</t>
  </si>
  <si>
    <t>Price override</t>
  </si>
  <si>
    <t>CAD:CANADIAN DOLLAR</t>
  </si>
  <si>
    <t>HKD:HONG KONG DOLLAR</t>
  </si>
  <si>
    <t>ISK:ICELANDIC KR</t>
  </si>
  <si>
    <t>PHP:PHILIPPINE PESO</t>
  </si>
  <si>
    <t>DKK:DANISH KRONE</t>
  </si>
  <si>
    <t>HUF:HUNGARIAN FORINT</t>
  </si>
  <si>
    <t>CZK:CZECH KORUNA</t>
  </si>
  <si>
    <t>GBP:BRITISH POUND</t>
  </si>
  <si>
    <t>RON:ROMANIAN LEU</t>
  </si>
  <si>
    <t>SEK:SWEDISH KRONA</t>
  </si>
  <si>
    <t>IDR:INDONESIAN RUPIAH</t>
  </si>
  <si>
    <t>INR:INDIAN RUPEE</t>
  </si>
  <si>
    <t>BRL:BRAZIL REAL</t>
  </si>
  <si>
    <t>RUB:RUSSIAN RUBLE</t>
  </si>
  <si>
    <t>HRK:CROATIAN KUNA</t>
  </si>
  <si>
    <t>JPY:JAPANESE YEN</t>
  </si>
  <si>
    <t>THB:THAI BAHT</t>
  </si>
  <si>
    <t>CHF:SWISS FRANK</t>
  </si>
  <si>
    <t>EUR:EURO</t>
  </si>
  <si>
    <t>MYR:MALAYSIAN RINGGIT</t>
  </si>
  <si>
    <t>BGN:BULGARIAN LEV</t>
  </si>
  <si>
    <t>TRY:TURKISH LIRA</t>
  </si>
  <si>
    <t>CNY:CHINESE YUAN</t>
  </si>
  <si>
    <t>NOK:NORWEGIAN KRONE</t>
  </si>
  <si>
    <t>NZD:NEW ZEALAND DOLLAR</t>
  </si>
  <si>
    <t>ZAR:SOUTH AFRICAN RAND</t>
  </si>
  <si>
    <t>USD:US DOLLAR</t>
  </si>
  <si>
    <t>MXN:MEXICAN PESO</t>
  </si>
  <si>
    <t>SGD:SINGAPORE DOLLAR</t>
  </si>
  <si>
    <t>AUD:AUSTRALIAN DOLLAR</t>
  </si>
  <si>
    <t>ILS:ISRAELI SHEKEL</t>
  </si>
  <si>
    <t>KRW:KOREAN WON</t>
  </si>
  <si>
    <t>PLN:POLISH ZLOTE</t>
  </si>
  <si>
    <t>BTC:BITCOIN</t>
  </si>
  <si>
    <t>ETH:ETHEREUM</t>
  </si>
  <si>
    <t>XRP:XRP</t>
  </si>
  <si>
    <t>XMR:MONERO</t>
  </si>
  <si>
    <t>USDT:TETHER</t>
  </si>
  <si>
    <t>ETH-26-MA-CROSSOVER-YIELD-II</t>
  </si>
  <si>
    <t>XTZ:TEZOS</t>
  </si>
  <si>
    <t>BNB:BINANCE COIN</t>
  </si>
  <si>
    <t>MKR:MAKER</t>
  </si>
  <si>
    <t>REP:AUGUR</t>
  </si>
  <si>
    <t>AE:AETERNITY</t>
  </si>
  <si>
    <t>MLN:MELON</t>
  </si>
  <si>
    <t>GVT:GENESIS VISION</t>
  </si>
  <si>
    <t>KICK:KICKTOKEN</t>
  </si>
  <si>
    <t>MYST:MYSTERIUM</t>
  </si>
  <si>
    <t>MNE:MINEREUM</t>
  </si>
  <si>
    <t>WETH:WETH</t>
  </si>
  <si>
    <t>SNX:SYNTHETIX</t>
  </si>
  <si>
    <t>USDC:USD COIN</t>
  </si>
  <si>
    <t>ATOM:COSMOS</t>
  </si>
  <si>
    <t>CHR:CHROMIA</t>
  </si>
  <si>
    <t>DUSK:DUSK NETWORK</t>
  </si>
  <si>
    <t>JUV:JUVENTUS FAN TOKEN</t>
  </si>
  <si>
    <t>XOR:SORA</t>
  </si>
  <si>
    <t>BAL:BALANCER</t>
  </si>
  <si>
    <t>GLM:GOLEM</t>
  </si>
  <si>
    <t>PSG:PARIS SAINT-GERMAIN FAN TOKEN</t>
  </si>
  <si>
    <t>UNFI:UNIFI PROTOCOL DAO</t>
  </si>
  <si>
    <t>EBK:EBAKUS</t>
  </si>
  <si>
    <t>WETH</t>
  </si>
  <si>
    <t>MIOTA:IOTA</t>
  </si>
  <si>
    <t>EOS:EOS</t>
  </si>
  <si>
    <t>BCH:BITCOIN CASH</t>
  </si>
  <si>
    <t>ADA:CARDANO</t>
  </si>
  <si>
    <t>LTC:LITECOIN</t>
  </si>
  <si>
    <t>XEM:NEM</t>
  </si>
  <si>
    <t>NEO:NEO</t>
  </si>
  <si>
    <t>XLM:STELLAR</t>
  </si>
  <si>
    <t>DASH:DASH</t>
  </si>
  <si>
    <t>BTG:BITCOIN GOLD</t>
  </si>
  <si>
    <t>ETC:ETHEREUM CLASSIC</t>
  </si>
  <si>
    <t>QTUM:QTUM</t>
  </si>
  <si>
    <t>LSK:LISK</t>
  </si>
  <si>
    <t>ZEC:ZCASH</t>
  </si>
  <si>
    <t>XVG:VERGE</t>
  </si>
  <si>
    <t>VET:VECHAIN</t>
  </si>
  <si>
    <t>SC:SIACOIN</t>
  </si>
  <si>
    <t>STRAT:STRATIS</t>
  </si>
  <si>
    <t>BCN:BYTECOIN</t>
  </si>
  <si>
    <t>STEEM:STEEM</t>
  </si>
  <si>
    <t>KCS:KUCOIN SHARES</t>
  </si>
  <si>
    <t>BTS:BITSHARES</t>
  </si>
  <si>
    <t>DOGE:DOGECOIN</t>
  </si>
  <si>
    <t>WAVES:WAVES</t>
  </si>
  <si>
    <t>ETN:ELECTRONEUM</t>
  </si>
  <si>
    <t>SMART:SMARTCASH</t>
  </si>
  <si>
    <t>DCR:DECRED</t>
  </si>
  <si>
    <t>KMD:KOMODO</t>
  </si>
  <si>
    <t>DGB:DIGIBYTE</t>
  </si>
  <si>
    <t>ARK:ARK</t>
  </si>
  <si>
    <t>GBYTE:BYTEBALL BYTES</t>
  </si>
  <si>
    <t>PIVX:PIVX</t>
  </si>
  <si>
    <t>HC:HYPERCASH</t>
  </si>
  <si>
    <t>ZCL:ZCLASSIC</t>
  </si>
  <si>
    <t>RDD:REDDCOIN</t>
  </si>
  <si>
    <t>FCT:FACTOM</t>
  </si>
  <si>
    <t>MED:MEDIBLOC</t>
  </si>
  <si>
    <t>NXS:NEXUS</t>
  </si>
  <si>
    <t>XP:EXPERIENCE POINTS</t>
  </si>
  <si>
    <t>SYS:SYSCOIN</t>
  </si>
  <si>
    <t>MONA:MONACOIN</t>
  </si>
  <si>
    <t>NEBL:NEBLIO</t>
  </si>
  <si>
    <t>BCC:BITCONNECT</t>
  </si>
  <si>
    <t>NXT:NXT</t>
  </si>
  <si>
    <t>EMC:EMERCOIN</t>
  </si>
  <si>
    <t>GXC:GXCHAIN</t>
  </si>
  <si>
    <t>FIRO:FIRO</t>
  </si>
  <si>
    <t>GAME:GAMECREDITS</t>
  </si>
  <si>
    <t>PART:PARTICL</t>
  </si>
  <si>
    <t>$PAC:PAC GLOBAL</t>
  </si>
  <si>
    <t>XDN:DIGITALNOTE</t>
  </si>
  <si>
    <t>CNX:CRYPTONEX</t>
  </si>
  <si>
    <t>SKY:SKYCOIN</t>
  </si>
  <si>
    <t>ACT:ACHAIN</t>
  </si>
  <si>
    <t>NAV:NAVCOIN</t>
  </si>
  <si>
    <t>VTC:VERTCOIN</t>
  </si>
  <si>
    <t>BLOCK:BLOCKNET</t>
  </si>
  <si>
    <t>HPB:HIGH PERFORMANCE BLOCKCHAIN</t>
  </si>
  <si>
    <t>XBY:XTRABYTES</t>
  </si>
  <si>
    <t>UBQ:UBIQ</t>
  </si>
  <si>
    <t>XCP:COUNTERPARTY</t>
  </si>
  <si>
    <t>HTML:HTMLCOIN</t>
  </si>
  <si>
    <t>PPC:PEERCOIN</t>
  </si>
  <si>
    <t>ZEN:HORIZEN</t>
  </si>
  <si>
    <t>BAY:BITBAY</t>
  </si>
  <si>
    <t>EMC2:EINSTEINIUM</t>
  </si>
  <si>
    <t>NLG:GULDEN</t>
  </si>
  <si>
    <t>LBC:LBRY CREDITS</t>
  </si>
  <si>
    <t>VIA:VIACOIN</t>
  </si>
  <si>
    <t>ETP:METAVERSE ETP</t>
  </si>
  <si>
    <t>ECA:ELECTRA</t>
  </si>
  <si>
    <t>IOC:I/O COIN</t>
  </si>
  <si>
    <t>BURST:BURST</t>
  </si>
  <si>
    <t>RISE:RISE</t>
  </si>
  <si>
    <t>THC:HEMPCOIN</t>
  </si>
  <si>
    <t>CLOAK:CLOAKCOIN</t>
  </si>
  <si>
    <t>XAS:ASCH</t>
  </si>
  <si>
    <t>FLASH:FLASH</t>
  </si>
  <si>
    <t>DCT:DECENT</t>
  </si>
  <si>
    <t>AEON:AEON</t>
  </si>
  <si>
    <t>NMC:NAMECOIN</t>
  </si>
  <si>
    <t>GRS:GROESTLCOIN</t>
  </si>
  <si>
    <t>XSH:SHIELD</t>
  </si>
  <si>
    <t>SLS:SALUS</t>
  </si>
  <si>
    <t>MOON:MOONCOIN</t>
  </si>
  <si>
    <t>FTC:FEATHERCOIN</t>
  </si>
  <si>
    <t>VRC:VERICOIN</t>
  </si>
  <si>
    <t>CRW:CROWN</t>
  </si>
  <si>
    <t>PASC:PASCAL</t>
  </si>
  <si>
    <t>DMD:DIAMOND</t>
  </si>
  <si>
    <t>SLR:SOLARCOIN</t>
  </si>
  <si>
    <t>POT:POTCOIN</t>
  </si>
  <si>
    <t>ONION:DEEPONION</t>
  </si>
  <si>
    <t>XWC:WHITECOIN</t>
  </si>
  <si>
    <t>SIB:SIBCOIN</t>
  </si>
  <si>
    <t>DIME:DIMECOIN</t>
  </si>
  <si>
    <t>PPY:PEERPLAYS</t>
  </si>
  <si>
    <t>ION:ION</t>
  </si>
  <si>
    <t>BLK:BLACKCOIN</t>
  </si>
  <si>
    <t>XMY:MYRIAD</t>
  </si>
  <si>
    <t>GRC:GRIDCOIN</t>
  </si>
  <si>
    <t>NLC2:NOLIMITCOIN</t>
  </si>
  <si>
    <t>PHR:PHORE</t>
  </si>
  <si>
    <t>PND:PANDACOIN</t>
  </si>
</sst>
</file>

<file path=xl/styles.xml><?xml version="1.0" encoding="utf-8"?>
<styleSheet xmlns="http://schemas.openxmlformats.org/spreadsheetml/2006/main">
  <numFmts count="7">
    <numFmt numFmtId="164" formatCode="dd\.mm\.yyyy"/>
    <numFmt numFmtId="165" formatCode="#,##0.0000_);\(#,##0.0000\)"/>
    <numFmt numFmtId="166" formatCode="[$$-409]#,##0.00"/>
    <numFmt numFmtId="167" formatCode="#,##0.00\ [$₽-419]"/>
    <numFmt numFmtId="168" formatCode="#,##0.000"/>
    <numFmt numFmtId="169" formatCode="#,##0.0000"/>
    <numFmt numFmtId="170" formatCode="#,##0.00_);\(#,##0.00\)"/>
  </numFmts>
  <fonts count="32">
    <font>
      <sz val="11"/>
      <color theme="1"/>
      <name val="Calibri"/>
      <scheme val="minor"/>
    </font>
    <font>
      <b/>
      <sz val="11"/>
      <color indexed="43"/>
      <name val="Montserrat"/>
    </font>
    <font>
      <sz val="11"/>
      <name val="Calibri"/>
    </font>
    <font>
      <sz val="11"/>
      <color indexed="8"/>
      <name val="Montserrat"/>
    </font>
    <font>
      <b/>
      <sz val="11"/>
      <color indexed="8"/>
      <name val="Montserrat"/>
    </font>
    <font>
      <b/>
      <sz val="11"/>
      <color indexed="8"/>
      <name val="Montserrat"/>
    </font>
    <font>
      <sz val="11"/>
      <color indexed="8"/>
      <name val="Calibri"/>
    </font>
    <font>
      <sz val="11"/>
      <color indexed="8"/>
      <name val="Calibri"/>
    </font>
    <font>
      <sz val="10"/>
      <color indexed="8"/>
      <name val="Montserrat"/>
    </font>
    <font>
      <b/>
      <sz val="12"/>
      <color indexed="43"/>
      <name val="Montserrat"/>
    </font>
    <font>
      <sz val="10"/>
      <color indexed="8"/>
      <name val="Montserrat"/>
    </font>
    <font>
      <b/>
      <sz val="10"/>
      <color indexed="43"/>
      <name val="Montserrat"/>
    </font>
    <font>
      <b/>
      <sz val="10"/>
      <color indexed="8"/>
      <name val="Montserrat"/>
    </font>
    <font>
      <b/>
      <sz val="10"/>
      <color indexed="8"/>
      <name val="Montserrat"/>
    </font>
    <font>
      <sz val="11"/>
      <color indexed="8"/>
      <name val="Calibri"/>
    </font>
    <font>
      <b/>
      <sz val="11"/>
      <color indexed="57"/>
      <name val="Montserrat"/>
    </font>
    <font>
      <sz val="10"/>
      <color indexed="8"/>
      <name val="Calibri"/>
    </font>
    <font>
      <sz val="10"/>
      <color indexed="8"/>
      <name val="Calibri"/>
    </font>
    <font>
      <sz val="10"/>
      <color indexed="8"/>
      <name val="Verdana"/>
    </font>
    <font>
      <sz val="11"/>
      <color indexed="8"/>
      <name val="Inconsolata"/>
    </font>
    <font>
      <b/>
      <sz val="8"/>
      <color indexed="8"/>
      <name val="Montserrat"/>
    </font>
    <font>
      <sz val="11"/>
      <color indexed="8"/>
      <name val="&quot;Times New Roman&quot;"/>
    </font>
    <font>
      <u/>
      <sz val="11"/>
      <color indexed="30"/>
      <name val="Calibri"/>
    </font>
    <font>
      <u/>
      <sz val="11"/>
      <color indexed="8"/>
      <name val="Calibri"/>
    </font>
    <font>
      <b/>
      <sz val="11"/>
      <color indexed="63"/>
      <name val="Roboto Mono"/>
    </font>
    <font>
      <sz val="11"/>
      <color indexed="8"/>
      <name val="Roboto Mono"/>
    </font>
    <font>
      <sz val="11"/>
      <color indexed="51"/>
      <name val="Roboto Mono"/>
    </font>
    <font>
      <u/>
      <sz val="11"/>
      <color indexed="12"/>
      <name val="Roboto Mono"/>
    </font>
    <font>
      <b/>
      <sz val="11"/>
      <color indexed="8"/>
      <name val="Calibri"/>
      <family val="2"/>
      <charset val="204"/>
    </font>
    <font>
      <b/>
      <sz val="11"/>
      <color indexed="8"/>
      <name val="Montserrat"/>
      <charset val="204"/>
    </font>
    <font>
      <sz val="10"/>
      <name val="Calibri"/>
    </font>
    <font>
      <b/>
      <sz val="11"/>
      <color indexed="8"/>
      <name val="Arial Cyr"/>
      <charset val="204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31"/>
        <bgColor indexed="31"/>
      </patternFill>
    </fill>
    <fill>
      <patternFill patternType="solid">
        <fgColor indexed="56"/>
        <bgColor indexed="56"/>
      </patternFill>
    </fill>
    <fill>
      <patternFill patternType="solid">
        <fgColor indexed="43"/>
        <bgColor indexed="43"/>
      </patternFill>
    </fill>
    <fill>
      <patternFill patternType="solid">
        <fgColor indexed="22"/>
        <bgColor indexed="22"/>
      </patternFill>
    </fill>
    <fill>
      <patternFill patternType="solid">
        <fgColor indexed="29"/>
        <bgColor indexed="29"/>
      </patternFill>
    </fill>
    <fill>
      <patternFill patternType="solid">
        <fgColor indexed="26"/>
        <bgColor indexed="26"/>
      </patternFill>
    </fill>
    <fill>
      <patternFill patternType="solid">
        <fgColor indexed="46"/>
        <bgColor indexed="44"/>
      </patternFill>
    </fill>
    <fill>
      <patternFill patternType="solid">
        <fgColor indexed="46"/>
        <bgColor indexed="31"/>
      </patternFill>
    </fill>
  </fills>
  <borders count="4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 style="thick">
        <color indexed="9"/>
      </right>
      <top/>
      <bottom/>
      <diagonal/>
    </border>
    <border>
      <left/>
      <right style="thin">
        <color indexed="22"/>
      </right>
      <top/>
      <bottom/>
      <diagonal/>
    </border>
    <border>
      <left style="thin">
        <color indexed="9"/>
      </left>
      <right style="thick">
        <color indexed="9"/>
      </right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9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ck">
        <color indexed="9"/>
      </right>
      <top/>
      <bottom/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ck">
        <color indexed="9"/>
      </right>
      <top/>
      <bottom style="thin">
        <color indexed="9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ck">
        <color indexed="9"/>
      </right>
      <top style="thin">
        <color indexed="9"/>
      </top>
      <bottom/>
      <diagonal/>
    </border>
    <border>
      <left/>
      <right/>
      <top style="thin">
        <color indexed="22"/>
      </top>
      <bottom/>
      <diagonal/>
    </border>
    <border>
      <left/>
      <right style="thick">
        <color indexed="9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9"/>
      </top>
      <bottom/>
      <diagonal/>
    </border>
    <border>
      <left/>
      <right style="thick">
        <color indexed="9"/>
      </right>
      <top style="thin">
        <color indexed="9"/>
      </top>
      <bottom/>
      <diagonal/>
    </border>
    <border>
      <left/>
      <right/>
      <top/>
      <bottom style="thick">
        <color indexed="9"/>
      </bottom>
      <diagonal/>
    </border>
    <border>
      <left/>
      <right style="thick">
        <color indexed="9"/>
      </right>
      <top/>
      <bottom style="thick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 style="thick">
        <color indexed="9"/>
      </right>
      <top style="thin">
        <color indexed="9"/>
      </top>
      <bottom style="thin">
        <color indexed="9"/>
      </bottom>
      <diagonal/>
    </border>
    <border>
      <left style="thick">
        <color indexed="9"/>
      </left>
      <right/>
      <top style="thin">
        <color indexed="9"/>
      </top>
      <bottom/>
      <diagonal/>
    </border>
    <border>
      <left style="thick">
        <color indexed="9"/>
      </left>
      <right/>
      <top/>
      <bottom/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/>
      <bottom style="thick">
        <color indexed="9"/>
      </bottom>
      <diagonal/>
    </border>
  </borders>
  <cellStyleXfs count="1">
    <xf numFmtId="0" fontId="0" fillId="0" borderId="0"/>
  </cellStyleXfs>
  <cellXfs count="190">
    <xf numFmtId="0" fontId="0" fillId="0" borderId="0" xfId="0" applyFont="1" applyAlignment="1"/>
    <xf numFmtId="0" fontId="4" fillId="2" borderId="2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 wrapText="1"/>
    </xf>
    <xf numFmtId="0" fontId="6" fillId="0" borderId="4" xfId="0" applyFont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6" fillId="0" borderId="3" xfId="0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7" fillId="2" borderId="2" xfId="0" applyFont="1" applyFill="1" applyBorder="1" applyAlignment="1">
      <alignment vertical="center"/>
    </xf>
    <xf numFmtId="0" fontId="6" fillId="2" borderId="2" xfId="0" applyFont="1" applyFill="1" applyBorder="1" applyAlignment="1">
      <alignment vertical="center"/>
    </xf>
    <xf numFmtId="10" fontId="3" fillId="2" borderId="3" xfId="0" applyNumberFormat="1" applyFont="1" applyFill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4" borderId="5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4" fontId="11" fillId="4" borderId="5" xfId="0" applyNumberFormat="1" applyFont="1" applyFill="1" applyBorder="1" applyAlignment="1">
      <alignment horizontal="center" vertical="center" wrapText="1"/>
    </xf>
    <xf numFmtId="165" fontId="11" fillId="4" borderId="5" xfId="0" applyNumberFormat="1" applyFont="1" applyFill="1" applyBorder="1" applyAlignment="1">
      <alignment horizontal="center" vertical="center" wrapText="1"/>
    </xf>
    <xf numFmtId="10" fontId="11" fillId="4" borderId="5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left" vertical="center" wrapText="1"/>
    </xf>
    <xf numFmtId="0" fontId="12" fillId="5" borderId="8" xfId="0" applyFont="1" applyFill="1" applyBorder="1" applyAlignment="1">
      <alignment horizontal="center" vertical="center" wrapText="1"/>
    </xf>
    <xf numFmtId="0" fontId="13" fillId="5" borderId="9" xfId="0" applyFont="1" applyFill="1" applyBorder="1" applyAlignment="1"/>
    <xf numFmtId="0" fontId="13" fillId="5" borderId="3" xfId="0" applyFont="1" applyFill="1" applyBorder="1" applyAlignment="1"/>
    <xf numFmtId="4" fontId="13" fillId="5" borderId="3" xfId="0" applyNumberFormat="1" applyFont="1" applyFill="1" applyBorder="1"/>
    <xf numFmtId="165" fontId="13" fillId="5" borderId="3" xfId="0" applyNumberFormat="1" applyFont="1" applyFill="1" applyBorder="1"/>
    <xf numFmtId="10" fontId="13" fillId="5" borderId="3" xfId="0" applyNumberFormat="1" applyFont="1" applyFill="1" applyBorder="1"/>
    <xf numFmtId="166" fontId="13" fillId="5" borderId="10" xfId="0" applyNumberFormat="1" applyFont="1" applyFill="1" applyBorder="1" applyAlignment="1">
      <alignment horizontal="center" vertical="center" wrapText="1"/>
    </xf>
    <xf numFmtId="166" fontId="13" fillId="5" borderId="11" xfId="0" applyNumberFormat="1" applyFont="1" applyFill="1" applyBorder="1" applyAlignment="1">
      <alignment horizontal="center" vertical="center" wrapText="1"/>
    </xf>
    <xf numFmtId="167" fontId="13" fillId="5" borderId="12" xfId="0" applyNumberFormat="1" applyFont="1" applyFill="1" applyBorder="1" applyAlignment="1">
      <alignment horizontal="center" vertical="center" wrapText="1"/>
    </xf>
    <xf numFmtId="0" fontId="10" fillId="0" borderId="0" xfId="0" applyFont="1"/>
    <xf numFmtId="0" fontId="11" fillId="4" borderId="0" xfId="0" applyFont="1" applyFill="1" applyBorder="1" applyAlignment="1">
      <alignment horizontal="left"/>
    </xf>
    <xf numFmtId="0" fontId="11" fillId="4" borderId="13" xfId="0" applyFont="1" applyFill="1" applyBorder="1" applyAlignment="1">
      <alignment horizontal="center"/>
    </xf>
    <xf numFmtId="0" fontId="11" fillId="4" borderId="0" xfId="0" applyFont="1" applyFill="1" applyBorder="1" applyAlignment="1">
      <alignment horizontal="center"/>
    </xf>
    <xf numFmtId="0" fontId="11" fillId="4" borderId="7" xfId="0" applyFont="1" applyFill="1" applyBorder="1" applyAlignment="1">
      <alignment horizontal="center"/>
    </xf>
    <xf numFmtId="0" fontId="8" fillId="3" borderId="14" xfId="0" applyFont="1" applyFill="1" applyBorder="1" applyAlignment="1">
      <alignment horizontal="left" vertical="center" wrapText="1"/>
    </xf>
    <xf numFmtId="10" fontId="8" fillId="3" borderId="15" xfId="0" applyNumberFormat="1" applyFont="1" applyFill="1" applyBorder="1" applyAlignment="1">
      <alignment horizontal="center" vertical="center" wrapText="1"/>
    </xf>
    <xf numFmtId="0" fontId="10" fillId="2" borderId="16" xfId="0" applyFont="1" applyFill="1" applyBorder="1" applyAlignment="1"/>
    <xf numFmtId="10" fontId="10" fillId="2" borderId="16" xfId="0" applyNumberFormat="1" applyFont="1" applyFill="1" applyBorder="1"/>
    <xf numFmtId="4" fontId="10" fillId="2" borderId="17" xfId="0" applyNumberFormat="1" applyFont="1" applyFill="1" applyBorder="1"/>
    <xf numFmtId="165" fontId="10" fillId="2" borderId="17" xfId="0" applyNumberFormat="1" applyFont="1" applyFill="1" applyBorder="1"/>
    <xf numFmtId="4" fontId="10" fillId="6" borderId="17" xfId="0" applyNumberFormat="1" applyFont="1" applyFill="1" applyBorder="1"/>
    <xf numFmtId="10" fontId="10" fillId="2" borderId="17" xfId="0" applyNumberFormat="1" applyFont="1" applyFill="1" applyBorder="1"/>
    <xf numFmtId="0" fontId="8" fillId="3" borderId="9" xfId="0" applyFont="1" applyFill="1" applyBorder="1" applyAlignment="1">
      <alignment horizontal="left" vertical="center" wrapText="1"/>
    </xf>
    <xf numFmtId="0" fontId="10" fillId="2" borderId="18" xfId="0" applyFont="1" applyFill="1" applyBorder="1" applyAlignment="1"/>
    <xf numFmtId="4" fontId="10" fillId="2" borderId="1" xfId="0" applyNumberFormat="1" applyFont="1" applyFill="1" applyBorder="1"/>
    <xf numFmtId="165" fontId="10" fillId="2" borderId="1" xfId="0" applyNumberFormat="1" applyFont="1" applyFill="1" applyBorder="1"/>
    <xf numFmtId="4" fontId="10" fillId="6" borderId="1" xfId="0" applyNumberFormat="1" applyFont="1" applyFill="1" applyBorder="1"/>
    <xf numFmtId="10" fontId="10" fillId="2" borderId="1" xfId="0" applyNumberFormat="1" applyFont="1" applyFill="1" applyBorder="1"/>
    <xf numFmtId="10" fontId="8" fillId="3" borderId="8" xfId="0" applyNumberFormat="1" applyFont="1" applyFill="1" applyBorder="1" applyAlignment="1">
      <alignment horizontal="center" vertical="center" wrapText="1"/>
    </xf>
    <xf numFmtId="0" fontId="10" fillId="2" borderId="18" xfId="0" applyFont="1" applyFill="1" applyBorder="1"/>
    <xf numFmtId="0" fontId="10" fillId="0" borderId="0" xfId="0" applyFont="1" applyAlignment="1"/>
    <xf numFmtId="10" fontId="10" fillId="0" borderId="0" xfId="0" applyNumberFormat="1" applyFont="1"/>
    <xf numFmtId="0" fontId="8" fillId="3" borderId="19" xfId="0" applyFont="1" applyFill="1" applyBorder="1" applyAlignment="1">
      <alignment horizontal="left" vertical="center" wrapText="1"/>
    </xf>
    <xf numFmtId="10" fontId="8" fillId="3" borderId="20" xfId="0" applyNumberFormat="1" applyFont="1" applyFill="1" applyBorder="1" applyAlignment="1">
      <alignment horizontal="center" vertical="center" wrapText="1"/>
    </xf>
    <xf numFmtId="0" fontId="11" fillId="4" borderId="21" xfId="0" applyFont="1" applyFill="1" applyBorder="1" applyAlignment="1">
      <alignment horizontal="left"/>
    </xf>
    <xf numFmtId="0" fontId="11" fillId="4" borderId="22" xfId="0" applyFont="1" applyFill="1" applyBorder="1" applyAlignment="1">
      <alignment horizontal="center"/>
    </xf>
    <xf numFmtId="0" fontId="11" fillId="4" borderId="21" xfId="0" applyFont="1" applyFill="1" applyBorder="1" applyAlignment="1">
      <alignment horizontal="center"/>
    </xf>
    <xf numFmtId="0" fontId="11" fillId="4" borderId="23" xfId="0" applyFont="1" applyFill="1" applyBorder="1" applyAlignment="1">
      <alignment horizontal="center"/>
    </xf>
    <xf numFmtId="0" fontId="11" fillId="4" borderId="24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 vertical="center" wrapText="1"/>
    </xf>
    <xf numFmtId="0" fontId="11" fillId="4" borderId="0" xfId="0" applyFont="1" applyFill="1" applyBorder="1" applyAlignment="1">
      <alignment horizontal="center" vertical="center" wrapText="1"/>
    </xf>
    <xf numFmtId="0" fontId="11" fillId="4" borderId="25" xfId="0" applyFont="1" applyFill="1" applyBorder="1" applyAlignment="1">
      <alignment horizontal="center" vertical="center" wrapText="1"/>
    </xf>
    <xf numFmtId="4" fontId="11" fillId="4" borderId="25" xfId="0" applyNumberFormat="1" applyFont="1" applyFill="1" applyBorder="1" applyAlignment="1">
      <alignment horizontal="center" vertical="center" wrapText="1"/>
    </xf>
    <xf numFmtId="49" fontId="11" fillId="4" borderId="25" xfId="0" applyNumberFormat="1" applyFont="1" applyFill="1" applyBorder="1" applyAlignment="1">
      <alignment horizontal="center" vertical="center" wrapText="1"/>
    </xf>
    <xf numFmtId="49" fontId="11" fillId="4" borderId="0" xfId="0" applyNumberFormat="1" applyFont="1" applyFill="1" applyAlignment="1">
      <alignment horizontal="center" vertical="center" wrapText="1"/>
    </xf>
    <xf numFmtId="164" fontId="10" fillId="2" borderId="1" xfId="0" applyNumberFormat="1" applyFont="1" applyFill="1" applyBorder="1" applyAlignment="1"/>
    <xf numFmtId="0" fontId="10" fillId="2" borderId="1" xfId="0" applyFont="1" applyFill="1" applyBorder="1" applyAlignment="1">
      <alignment wrapText="1"/>
    </xf>
    <xf numFmtId="0" fontId="10" fillId="2" borderId="1" xfId="0" applyFont="1" applyFill="1" applyBorder="1" applyAlignment="1">
      <alignment horizontal="center"/>
    </xf>
    <xf numFmtId="0" fontId="10" fillId="0" borderId="1" xfId="0" applyFont="1" applyBorder="1" applyAlignment="1">
      <alignment wrapText="1"/>
    </xf>
    <xf numFmtId="4" fontId="10" fillId="2" borderId="1" xfId="0" applyNumberFormat="1" applyFont="1" applyFill="1" applyBorder="1" applyAlignment="1">
      <alignment horizontal="right" wrapText="1"/>
    </xf>
    <xf numFmtId="4" fontId="10" fillId="2" borderId="1" xfId="0" applyNumberFormat="1" applyFont="1" applyFill="1" applyBorder="1" applyAlignment="1"/>
    <xf numFmtId="49" fontId="10" fillId="2" borderId="1" xfId="0" applyNumberFormat="1" applyFont="1" applyFill="1" applyBorder="1" applyAlignment="1">
      <alignment horizontal="right" wrapText="1"/>
    </xf>
    <xf numFmtId="4" fontId="3" fillId="2" borderId="1" xfId="0" applyNumberFormat="1" applyFont="1" applyFill="1" applyBorder="1" applyAlignment="1">
      <alignment horizontal="right" wrapText="1"/>
    </xf>
    <xf numFmtId="10" fontId="10" fillId="2" borderId="1" xfId="0" applyNumberFormat="1" applyFont="1" applyFill="1" applyBorder="1" applyAlignment="1">
      <alignment horizontal="right" wrapText="1"/>
    </xf>
    <xf numFmtId="10" fontId="10" fillId="2" borderId="0" xfId="0" applyNumberFormat="1" applyFont="1" applyFill="1" applyAlignment="1">
      <alignment horizontal="right" wrapText="1"/>
    </xf>
    <xf numFmtId="0" fontId="10" fillId="2" borderId="1" xfId="0" applyFont="1" applyFill="1" applyBorder="1" applyAlignment="1"/>
    <xf numFmtId="168" fontId="10" fillId="2" borderId="1" xfId="0" applyNumberFormat="1" applyFont="1" applyFill="1" applyBorder="1" applyAlignment="1">
      <alignment horizontal="right" wrapText="1"/>
    </xf>
    <xf numFmtId="0" fontId="10" fillId="2" borderId="1" xfId="0" applyFont="1" applyFill="1" applyBorder="1" applyAlignment="1">
      <alignment horizontal="right" wrapText="1"/>
    </xf>
    <xf numFmtId="14" fontId="3" fillId="2" borderId="1" xfId="0" applyNumberFormat="1" applyFont="1" applyFill="1" applyBorder="1" applyAlignment="1">
      <alignment horizontal="right"/>
    </xf>
    <xf numFmtId="0" fontId="3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wrapText="1"/>
    </xf>
    <xf numFmtId="4" fontId="3" fillId="2" borderId="1" xfId="0" applyNumberFormat="1" applyFont="1" applyFill="1" applyBorder="1" applyAlignment="1">
      <alignment horizontal="right"/>
    </xf>
    <xf numFmtId="4" fontId="14" fillId="2" borderId="1" xfId="0" applyNumberFormat="1" applyFont="1" applyFill="1" applyBorder="1" applyAlignment="1"/>
    <xf numFmtId="4" fontId="15" fillId="2" borderId="1" xfId="0" applyNumberFormat="1" applyFont="1" applyFill="1" applyBorder="1" applyAlignment="1">
      <alignment horizontal="right" wrapText="1"/>
    </xf>
    <xf numFmtId="10" fontId="15" fillId="2" borderId="1" xfId="0" applyNumberFormat="1" applyFont="1" applyFill="1" applyBorder="1" applyAlignment="1">
      <alignment horizontal="right" wrapText="1"/>
    </xf>
    <xf numFmtId="10" fontId="14" fillId="2" borderId="0" xfId="0" applyNumberFormat="1" applyFont="1" applyFill="1" applyAlignment="1"/>
    <xf numFmtId="164" fontId="3" fillId="2" borderId="1" xfId="0" applyNumberFormat="1" applyFont="1" applyFill="1" applyBorder="1" applyAlignment="1">
      <alignment horizontal="right"/>
    </xf>
    <xf numFmtId="14" fontId="16" fillId="0" borderId="1" xfId="0" applyNumberFormat="1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4" fontId="16" fillId="0" borderId="1" xfId="0" applyNumberFormat="1" applyFont="1" applyBorder="1" applyAlignment="1">
      <alignment horizontal="center" vertical="center" wrapText="1"/>
    </xf>
    <xf numFmtId="49" fontId="16" fillId="0" borderId="1" xfId="0" applyNumberFormat="1" applyFont="1" applyBorder="1" applyAlignment="1">
      <alignment horizontal="center" vertical="center" wrapText="1"/>
    </xf>
    <xf numFmtId="0" fontId="16" fillId="0" borderId="0" xfId="0" applyFont="1"/>
    <xf numFmtId="4" fontId="17" fillId="0" borderId="25" xfId="0" applyNumberFormat="1" applyFont="1" applyBorder="1" applyAlignment="1">
      <alignment horizontal="center" vertical="center" wrapText="1"/>
    </xf>
    <xf numFmtId="4" fontId="16" fillId="0" borderId="25" xfId="0" applyNumberFormat="1" applyFont="1" applyBorder="1" applyAlignment="1">
      <alignment horizontal="center" vertical="center" wrapText="1"/>
    </xf>
    <xf numFmtId="49" fontId="18" fillId="2" borderId="0" xfId="0" applyNumberFormat="1" applyFont="1" applyFill="1" applyAlignment="1">
      <alignment horizontal="center" vertical="center" wrapText="1"/>
    </xf>
    <xf numFmtId="14" fontId="16" fillId="0" borderId="0" xfId="0" applyNumberFormat="1" applyFont="1"/>
    <xf numFmtId="168" fontId="16" fillId="0" borderId="1" xfId="0" applyNumberFormat="1" applyFont="1" applyBorder="1"/>
    <xf numFmtId="0" fontId="6" fillId="0" borderId="0" xfId="0" applyFont="1"/>
    <xf numFmtId="0" fontId="16" fillId="0" borderId="0" xfId="0" applyFont="1" applyAlignment="1"/>
    <xf numFmtId="167" fontId="16" fillId="0" borderId="0" xfId="0" applyNumberFormat="1" applyFont="1"/>
    <xf numFmtId="166" fontId="16" fillId="0" borderId="0" xfId="0" applyNumberFormat="1" applyFont="1"/>
    <xf numFmtId="0" fontId="7" fillId="0" borderId="0" xfId="0" applyFont="1" applyAlignment="1"/>
    <xf numFmtId="4" fontId="16" fillId="0" borderId="1" xfId="0" applyNumberFormat="1" applyFont="1" applyBorder="1"/>
    <xf numFmtId="0" fontId="6" fillId="0" borderId="0" xfId="0" applyFont="1" applyAlignment="1">
      <alignment horizontal="left"/>
    </xf>
    <xf numFmtId="10" fontId="16" fillId="0" borderId="0" xfId="0" applyNumberFormat="1" applyFont="1"/>
    <xf numFmtId="10" fontId="16" fillId="0" borderId="1" xfId="0" applyNumberFormat="1" applyFont="1" applyBorder="1"/>
    <xf numFmtId="0" fontId="7" fillId="0" borderId="0" xfId="0" applyFont="1"/>
    <xf numFmtId="0" fontId="16" fillId="2" borderId="0" xfId="0" applyFont="1" applyFill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169" fontId="16" fillId="2" borderId="0" xfId="0" applyNumberFormat="1" applyFont="1" applyFill="1" applyAlignment="1">
      <alignment horizontal="center" vertical="center" wrapText="1"/>
    </xf>
    <xf numFmtId="4" fontId="16" fillId="2" borderId="0" xfId="0" applyNumberFormat="1" applyFont="1" applyFill="1" applyAlignment="1">
      <alignment horizontal="center" vertical="center" wrapText="1"/>
    </xf>
    <xf numFmtId="49" fontId="16" fillId="2" borderId="0" xfId="0" applyNumberFormat="1" applyFont="1" applyFill="1" applyAlignment="1">
      <alignment horizontal="center" vertical="center" wrapText="1"/>
    </xf>
    <xf numFmtId="0" fontId="19" fillId="2" borderId="0" xfId="0" applyFont="1" applyFill="1"/>
    <xf numFmtId="0" fontId="13" fillId="3" borderId="0" xfId="0" applyFont="1" applyFill="1" applyBorder="1" applyAlignment="1">
      <alignment horizontal="center" vertical="center" wrapText="1"/>
    </xf>
    <xf numFmtId="0" fontId="13" fillId="3" borderId="25" xfId="0" applyFont="1" applyFill="1" applyBorder="1" applyAlignment="1">
      <alignment horizontal="center" vertical="center" wrapText="1"/>
    </xf>
    <xf numFmtId="4" fontId="13" fillId="3" borderId="25" xfId="0" applyNumberFormat="1" applyFont="1" applyFill="1" applyBorder="1" applyAlignment="1">
      <alignment horizontal="center" vertical="center" wrapText="1"/>
    </xf>
    <xf numFmtId="4" fontId="20" fillId="3" borderId="25" xfId="0" applyNumberFormat="1" applyFont="1" applyFill="1" applyBorder="1" applyAlignment="1">
      <alignment horizontal="center" vertical="center" wrapText="1"/>
    </xf>
    <xf numFmtId="49" fontId="13" fillId="3" borderId="25" xfId="0" applyNumberFormat="1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center"/>
    </xf>
    <xf numFmtId="165" fontId="21" fillId="2" borderId="0" xfId="0" applyNumberFormat="1" applyFont="1" applyFill="1" applyAlignment="1">
      <alignment horizontal="center"/>
    </xf>
    <xf numFmtId="0" fontId="21" fillId="2" borderId="0" xfId="0" applyFont="1" applyFill="1" applyAlignment="1"/>
    <xf numFmtId="165" fontId="21" fillId="2" borderId="0" xfId="0" applyNumberFormat="1" applyFont="1" applyFill="1" applyAlignment="1">
      <alignment horizontal="right"/>
    </xf>
    <xf numFmtId="170" fontId="21" fillId="2" borderId="0" xfId="0" applyNumberFormat="1" applyFont="1" applyFill="1" applyAlignment="1">
      <alignment horizontal="right"/>
    </xf>
    <xf numFmtId="0" fontId="22" fillId="2" borderId="0" xfId="0" applyFont="1" applyFill="1" applyAlignment="1"/>
    <xf numFmtId="0" fontId="23" fillId="0" borderId="0" xfId="0" applyFont="1" applyAlignment="1"/>
    <xf numFmtId="0" fontId="6" fillId="0" borderId="0" xfId="0" applyFont="1" applyAlignment="1"/>
    <xf numFmtId="49" fontId="24" fillId="7" borderId="0" xfId="0" applyNumberFormat="1" applyFont="1" applyFill="1" applyAlignment="1">
      <alignment horizontal="center" vertical="center" wrapText="1"/>
    </xf>
    <xf numFmtId="49" fontId="24" fillId="8" borderId="0" xfId="0" applyNumberFormat="1" applyFont="1" applyFill="1" applyAlignment="1">
      <alignment horizontal="center" vertical="center" wrapText="1"/>
    </xf>
    <xf numFmtId="49" fontId="25" fillId="0" borderId="0" xfId="0" applyNumberFormat="1" applyFont="1" applyAlignment="1"/>
    <xf numFmtId="49" fontId="25" fillId="0" borderId="0" xfId="0" applyNumberFormat="1" applyFont="1" applyAlignment="1">
      <alignment horizontal="right"/>
    </xf>
    <xf numFmtId="49" fontId="26" fillId="0" borderId="0" xfId="0" applyNumberFormat="1" applyFont="1" applyAlignment="1">
      <alignment horizontal="center"/>
    </xf>
    <xf numFmtId="49" fontId="27" fillId="0" borderId="0" xfId="0" applyNumberFormat="1" applyFont="1" applyAlignment="1"/>
    <xf numFmtId="4" fontId="28" fillId="2" borderId="3" xfId="0" applyNumberFormat="1" applyFont="1" applyFill="1" applyBorder="1" applyAlignment="1">
      <alignment horizontal="center" vertical="center"/>
    </xf>
    <xf numFmtId="14" fontId="6" fillId="2" borderId="3" xfId="0" applyNumberFormat="1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8" fillId="9" borderId="9" xfId="0" applyFont="1" applyFill="1" applyBorder="1" applyAlignment="1">
      <alignment horizontal="left" vertical="center" wrapText="1"/>
    </xf>
    <xf numFmtId="10" fontId="8" fillId="10" borderId="8" xfId="0" applyNumberFormat="1" applyFont="1" applyFill="1" applyBorder="1" applyAlignment="1">
      <alignment horizontal="center" vertical="center" wrapText="1"/>
    </xf>
    <xf numFmtId="10" fontId="8" fillId="10" borderId="15" xfId="0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vertical="center"/>
    </xf>
    <xf numFmtId="0" fontId="2" fillId="0" borderId="9" xfId="0" applyFont="1" applyBorder="1"/>
    <xf numFmtId="0" fontId="12" fillId="3" borderId="26" xfId="0" applyFont="1" applyFill="1" applyBorder="1" applyAlignment="1">
      <alignment vertical="center" wrapText="1"/>
    </xf>
    <xf numFmtId="0" fontId="30" fillId="0" borderId="26" xfId="0" applyFont="1" applyBorder="1"/>
    <xf numFmtId="0" fontId="30" fillId="0" borderId="27" xfId="0" applyFont="1" applyBorder="1"/>
    <xf numFmtId="0" fontId="16" fillId="0" borderId="0" xfId="0" applyFont="1" applyAlignment="1"/>
    <xf numFmtId="0" fontId="30" fillId="0" borderId="13" xfId="0" applyFont="1" applyBorder="1"/>
    <xf numFmtId="0" fontId="30" fillId="0" borderId="28" xfId="0" applyFont="1" applyBorder="1"/>
    <xf numFmtId="0" fontId="30" fillId="0" borderId="29" xfId="0" applyFont="1" applyBorder="1"/>
    <xf numFmtId="0" fontId="1" fillId="4" borderId="4" xfId="0" applyFont="1" applyFill="1" applyBorder="1" applyAlignment="1">
      <alignment vertical="center"/>
    </xf>
    <xf numFmtId="0" fontId="2" fillId="0" borderId="30" xfId="0" applyFont="1" applyBorder="1"/>
    <xf numFmtId="0" fontId="3" fillId="2" borderId="4" xfId="0" applyFont="1" applyFill="1" applyBorder="1" applyAlignment="1">
      <alignment vertical="center"/>
    </xf>
    <xf numFmtId="0" fontId="1" fillId="4" borderId="30" xfId="0" applyFont="1" applyFill="1" applyBorder="1" applyAlignment="1">
      <alignment vertical="center"/>
    </xf>
    <xf numFmtId="0" fontId="12" fillId="3" borderId="35" xfId="0" applyFont="1" applyFill="1" applyBorder="1" applyAlignment="1">
      <alignment horizontal="left" vertical="center" wrapText="1"/>
    </xf>
    <xf numFmtId="0" fontId="30" fillId="0" borderId="26" xfId="0" applyFont="1" applyBorder="1" applyAlignment="1">
      <alignment horizontal="left"/>
    </xf>
    <xf numFmtId="0" fontId="30" fillId="0" borderId="27" xfId="0" applyFont="1" applyBorder="1" applyAlignment="1">
      <alignment horizontal="left"/>
    </xf>
    <xf numFmtId="0" fontId="16" fillId="0" borderId="36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30" fillId="0" borderId="13" xfId="0" applyFont="1" applyBorder="1" applyAlignment="1">
      <alignment horizontal="left"/>
    </xf>
    <xf numFmtId="0" fontId="30" fillId="0" borderId="37" xfId="0" applyFont="1" applyBorder="1" applyAlignment="1">
      <alignment horizontal="left"/>
    </xf>
    <xf numFmtId="0" fontId="30" fillId="0" borderId="28" xfId="0" applyFont="1" applyBorder="1" applyAlignment="1">
      <alignment horizontal="left"/>
    </xf>
    <xf numFmtId="0" fontId="30" fillId="0" borderId="29" xfId="0" applyFont="1" applyBorder="1" applyAlignment="1">
      <alignment horizontal="left"/>
    </xf>
    <xf numFmtId="164" fontId="6" fillId="2" borderId="4" xfId="0" applyNumberFormat="1" applyFont="1" applyFill="1" applyBorder="1" applyAlignment="1">
      <alignment vertical="center"/>
    </xf>
    <xf numFmtId="0" fontId="1" fillId="4" borderId="4" xfId="0" applyFont="1" applyFill="1" applyBorder="1" applyAlignment="1">
      <alignment vertical="center" wrapText="1"/>
    </xf>
    <xf numFmtId="0" fontId="6" fillId="2" borderId="4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1" fillId="4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vertical="center" wrapText="1"/>
    </xf>
    <xf numFmtId="0" fontId="3" fillId="2" borderId="26" xfId="0" applyFont="1" applyFill="1" applyBorder="1" applyAlignment="1">
      <alignment vertical="center"/>
    </xf>
    <xf numFmtId="0" fontId="2" fillId="0" borderId="26" xfId="0" applyFont="1" applyBorder="1"/>
    <xf numFmtId="0" fontId="2" fillId="0" borderId="27" xfId="0" applyFont="1" applyBorder="1"/>
    <xf numFmtId="0" fontId="0" fillId="0" borderId="0" xfId="0" applyFont="1" applyAlignment="1"/>
    <xf numFmtId="0" fontId="2" fillId="0" borderId="13" xfId="0" applyFont="1" applyBorder="1"/>
    <xf numFmtId="0" fontId="2" fillId="0" borderId="28" xfId="0" applyFont="1" applyBorder="1"/>
    <xf numFmtId="0" fontId="2" fillId="0" borderId="29" xfId="0" applyFont="1" applyBorder="1"/>
    <xf numFmtId="0" fontId="3" fillId="0" borderId="4" xfId="0" applyFont="1" applyBorder="1" applyAlignment="1">
      <alignment vertical="center" wrapText="1"/>
    </xf>
    <xf numFmtId="0" fontId="6" fillId="0" borderId="31" xfId="0" applyFont="1" applyBorder="1" applyAlignment="1">
      <alignment vertical="center"/>
    </xf>
    <xf numFmtId="0" fontId="2" fillId="0" borderId="32" xfId="0" applyFont="1" applyBorder="1"/>
    <xf numFmtId="0" fontId="2" fillId="0" borderId="33" xfId="0" applyFont="1" applyBorder="1"/>
    <xf numFmtId="0" fontId="3" fillId="2" borderId="38" xfId="0" applyFont="1" applyFill="1" applyBorder="1" applyAlignment="1">
      <alignment vertical="center"/>
    </xf>
    <xf numFmtId="0" fontId="2" fillId="0" borderId="39" xfId="0" applyFont="1" applyBorder="1"/>
    <xf numFmtId="0" fontId="2" fillId="0" borderId="40" xfId="0" applyFont="1" applyBorder="1"/>
    <xf numFmtId="0" fontId="9" fillId="4" borderId="4" xfId="0" applyFont="1" applyFill="1" applyBorder="1" applyAlignment="1">
      <alignment horizontal="center" vertical="center" wrapText="1"/>
    </xf>
    <xf numFmtId="0" fontId="2" fillId="0" borderId="34" xfId="0" applyFont="1" applyBorder="1"/>
    <xf numFmtId="0" fontId="9" fillId="4" borderId="30" xfId="0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center"/>
    </xf>
  </cellXfs>
  <cellStyles count="1">
    <cellStyle name="Обычный" xfId="0" builtinId="0"/>
  </cellStyles>
  <dxfs count="2">
    <dxf>
      <font>
        <b/>
        <color rgb="FFCC0000"/>
      </font>
      <fill>
        <patternFill patternType="none"/>
      </fill>
    </dxf>
    <dxf>
      <font>
        <b/>
        <color theme="9"/>
      </font>
      <fill>
        <patternFill patternType="none"/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 lvl="0">
              <a:defRPr b="1">
                <a:solidFill>
                  <a:srgbClr val="001F56"/>
                </a:solidFill>
                <a:latin typeface="+mn-lt"/>
              </a:defRPr>
            </a:pPr>
            <a:r>
              <a:rPr lang="ru-RU" b="1">
                <a:solidFill>
                  <a:srgbClr val="001F56"/>
                </a:solidFill>
                <a:latin typeface="+mn-lt"/>
              </a:rPr>
              <a:t>Структура портфеля - план</a:t>
            </a:r>
          </a:p>
        </c:rich>
      </c:tx>
      <c:spPr>
        <a:noFill/>
        <a:ln w="25400">
          <a:noFill/>
        </a:ln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DEC983"/>
              </a:solidFill>
            </c:spPr>
          </c:dPt>
          <c:dPt>
            <c:idx val="1"/>
            <c:spPr>
              <a:solidFill>
                <a:srgbClr val="C9DAF8"/>
              </a:solidFill>
            </c:spPr>
          </c:dPt>
          <c:dPt>
            <c:idx val="2"/>
            <c:spPr>
              <a:solidFill>
                <a:srgbClr val="001F56"/>
              </a:solidFill>
            </c:spPr>
          </c:dPt>
          <c:cat>
            <c:strRef>
              <c:f>'Моя стратегия'!$A$11:$A$13</c:f>
              <c:strCache>
                <c:ptCount val="3"/>
                <c:pt idx="0">
                  <c:v>Ядро, %</c:v>
                </c:pt>
                <c:pt idx="1">
                  <c:v>Активная часть, %</c:v>
                </c:pt>
                <c:pt idx="2">
                  <c:v>Резерв,  %</c:v>
                </c:pt>
              </c:strCache>
            </c:strRef>
          </c:cat>
          <c:val>
            <c:numRef>
              <c:f>'Моя стратегия'!$C$11:$C$13</c:f>
              <c:numCache>
                <c:formatCode>0.00%</c:formatCode>
                <c:ptCount val="3"/>
                <c:pt idx="0">
                  <c:v>0.6</c:v>
                </c:pt>
                <c:pt idx="1">
                  <c:v>0.3</c:v>
                </c:pt>
                <c:pt idx="2">
                  <c:v>0.1</c:v>
                </c:pt>
              </c:numCache>
            </c:numRef>
          </c:val>
        </c:ser>
        <c:firstSliceAng val="0"/>
      </c:pieChart>
      <c:spPr>
        <a:noFill/>
        <a:ln w="25400">
          <a:noFill/>
        </a:ln>
      </c:spPr>
    </c:plotArea>
    <c:legend>
      <c:legendPos val="r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</c:chart>
  <c:spPr>
    <a:solidFill>
      <a:srgbClr val="EFEFEF"/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 lvl="0">
              <a:defRPr b="1">
                <a:solidFill>
                  <a:srgbClr val="001F56"/>
                </a:solidFill>
                <a:latin typeface="+mn-lt"/>
              </a:defRPr>
            </a:pPr>
            <a:r>
              <a:rPr lang="ru-RU" b="1">
                <a:solidFill>
                  <a:srgbClr val="001F56"/>
                </a:solidFill>
                <a:latin typeface="+mn-lt"/>
              </a:rPr>
              <a:t>Структура портфеля - факт</a:t>
            </a:r>
          </a:p>
        </c:rich>
      </c:tx>
      <c:spPr>
        <a:noFill/>
        <a:ln w="25400">
          <a:noFill/>
        </a:ln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DEC983"/>
              </a:solidFill>
            </c:spPr>
          </c:dPt>
          <c:dPt>
            <c:idx val="1"/>
            <c:spPr>
              <a:solidFill>
                <a:srgbClr val="0A3C81"/>
              </a:solidFill>
            </c:spPr>
          </c:dPt>
          <c:dPt>
            <c:idx val="2"/>
            <c:spPr>
              <a:solidFill>
                <a:srgbClr val="C9DAF8"/>
              </a:solidFill>
            </c:spPr>
          </c:dPt>
          <c:cat>
            <c:strRef>
              <c:f>'Моя стратегия'!$A$17:$A$19</c:f>
              <c:strCache>
                <c:ptCount val="3"/>
                <c:pt idx="0">
                  <c:v>Ядро, %</c:v>
                </c:pt>
                <c:pt idx="1">
                  <c:v>Активная часть, %</c:v>
                </c:pt>
                <c:pt idx="2">
                  <c:v>Резерв,  %</c:v>
                </c:pt>
              </c:strCache>
            </c:strRef>
          </c:cat>
          <c:val>
            <c:numRef>
              <c:f>'Моя стратегия'!$C$17:$C$19</c:f>
              <c:numCache>
                <c:formatCode>0.00%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firstSliceAng val="0"/>
      </c:pieChart>
      <c:spPr>
        <a:noFill/>
        <a:ln w="25400">
          <a:noFill/>
        </a:ln>
      </c:spPr>
    </c:plotArea>
    <c:legend>
      <c:legendPos val="r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</c:chart>
  <c:spPr>
    <a:solidFill>
      <a:srgbClr val="EFEFEF"/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 lvl="0">
              <a:defRPr b="1">
                <a:solidFill>
                  <a:srgbClr val="001F56"/>
                </a:solidFill>
                <a:latin typeface="+mn-lt"/>
              </a:defRPr>
            </a:pPr>
            <a:r>
              <a:rPr lang="ru-RU" b="1">
                <a:solidFill>
                  <a:srgbClr val="001F56"/>
                </a:solidFill>
                <a:latin typeface="+mn-lt"/>
              </a:rPr>
              <a:t>Состав активов в портфеле - план</a:t>
            </a:r>
          </a:p>
        </c:rich>
      </c:tx>
      <c:spPr>
        <a:noFill/>
        <a:ln w="25400">
          <a:noFill/>
        </a:ln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5B9BD5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Pt>
            <c:idx val="4"/>
          </c:dPt>
          <c:dPt>
            <c:idx val="5"/>
          </c:dPt>
          <c:dPt>
            <c:idx val="6"/>
          </c:dPt>
          <c:dPt>
            <c:idx val="7"/>
          </c:dPt>
          <c:dPt>
            <c:idx val="8"/>
          </c:dPt>
          <c:dPt>
            <c:idx val="9"/>
          </c:dPt>
          <c:dPt>
            <c:idx val="10"/>
          </c:dPt>
          <c:dPt>
            <c:idx val="11"/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Pt>
            <c:idx val="18"/>
          </c:dPt>
          <c:dPt>
            <c:idx val="19"/>
          </c:dPt>
          <c:dPt>
            <c:idx val="20"/>
          </c:dPt>
          <c:dPt>
            <c:idx val="21"/>
          </c:dPt>
          <c:dPt>
            <c:idx val="22"/>
          </c:dPt>
          <c:dPt>
            <c:idx val="23"/>
          </c:dPt>
          <c:dPt>
            <c:idx val="24"/>
          </c:dPt>
          <c:dPt>
            <c:idx val="25"/>
          </c:dPt>
          <c:dPt>
            <c:idx val="26"/>
          </c:dPt>
          <c:dPt>
            <c:idx val="27"/>
          </c:dPt>
          <c:dPt>
            <c:idx val="28"/>
          </c:dPt>
          <c:dPt>
            <c:idx val="29"/>
          </c:dPt>
          <c:dPt>
            <c:idx val="30"/>
          </c:dPt>
          <c:dPt>
            <c:idx val="31"/>
          </c:dPt>
          <c:dPt>
            <c:idx val="32"/>
          </c:dPt>
          <c:dPt>
            <c:idx val="33"/>
          </c:dPt>
          <c:dPt>
            <c:idx val="34"/>
          </c:dPt>
          <c:dPt>
            <c:idx val="35"/>
          </c:dPt>
          <c:dPt>
            <c:idx val="36"/>
          </c:dPt>
          <c:dPt>
            <c:idx val="37"/>
          </c:dPt>
          <c:dPt>
            <c:idx val="38"/>
          </c:dPt>
          <c:dPt>
            <c:idx val="39"/>
          </c:dPt>
          <c:dPt>
            <c:idx val="40"/>
          </c:dPt>
          <c:dPt>
            <c:idx val="41"/>
          </c:dPt>
          <c:dPt>
            <c:idx val="42"/>
          </c:dPt>
          <c:dPt>
            <c:idx val="43"/>
          </c:dPt>
          <c:cat>
            <c:strRef>
              <c:f>'Мой портфель'!$B$7:$B$50</c:f>
              <c:strCache>
                <c:ptCount val="30"/>
                <c:pt idx="0">
                  <c:v>Ethereum</c:v>
                </c:pt>
                <c:pt idx="1">
                  <c:v>Bitcoin</c:v>
                </c:pt>
                <c:pt idx="11">
                  <c:v>Активная часть</c:v>
                </c:pt>
                <c:pt idx="12">
                  <c:v>SOL_Solana</c:v>
                </c:pt>
                <c:pt idx="13">
                  <c:v>XRP_Ripple</c:v>
                </c:pt>
                <c:pt idx="14">
                  <c:v>ADA_Cardano</c:v>
                </c:pt>
                <c:pt idx="15">
                  <c:v>AAVE_Aave</c:v>
                </c:pt>
                <c:pt idx="16">
                  <c:v>LINK_Chainlink</c:v>
                </c:pt>
                <c:pt idx="17">
                  <c:v>UNI_Uniswap</c:v>
                </c:pt>
                <c:pt idx="18">
                  <c:v>TRX_Tron</c:v>
                </c:pt>
                <c:pt idx="19">
                  <c:v>SOL_Solana</c:v>
                </c:pt>
                <c:pt idx="20">
                  <c:v>XRP_Ripple</c:v>
                </c:pt>
                <c:pt idx="21">
                  <c:v>TON_Toncoin</c:v>
                </c:pt>
                <c:pt idx="27">
                  <c:v>Резерв</c:v>
                </c:pt>
                <c:pt idx="28">
                  <c:v>USDT</c:v>
                </c:pt>
                <c:pt idx="29">
                  <c:v>USDT для grid ботов</c:v>
                </c:pt>
              </c:strCache>
            </c:strRef>
          </c:cat>
          <c:val>
            <c:numRef>
              <c:f>'Мой портфель'!$C$7:$C$50</c:f>
              <c:numCache>
                <c:formatCode>0.00%</c:formatCode>
                <c:ptCount val="44"/>
                <c:pt idx="0">
                  <c:v>0.25</c:v>
                </c:pt>
                <c:pt idx="1">
                  <c:v>0.25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8">
                  <c:v>7.0000000000000007E-2</c:v>
                </c:pt>
                <c:pt idx="29">
                  <c:v>7.0000000000000007E-2</c:v>
                </c:pt>
              </c:numCache>
            </c:numRef>
          </c:val>
        </c:ser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6857142857142859"/>
          <c:y val="0.34920770247280536"/>
          <c:w val="0.30571428571428572"/>
          <c:h val="0.57143078586459051"/>
        </c:manualLayout>
      </c:layout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</c:chart>
  <c:spPr>
    <a:solidFill>
      <a:srgbClr val="EFEFEF"/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/>
          <a:lstStyle/>
          <a:p>
            <a:pPr lvl="0">
              <a:defRPr b="1">
                <a:solidFill>
                  <a:srgbClr val="001F56"/>
                </a:solidFill>
                <a:latin typeface="+mn-lt"/>
              </a:defRPr>
            </a:pPr>
            <a:r>
              <a:rPr lang="ru-RU" b="1">
                <a:solidFill>
                  <a:srgbClr val="001F56"/>
                </a:solidFill>
                <a:latin typeface="+mn-lt"/>
              </a:rPr>
              <a:t>Состав активов в портфеле - факт</a:t>
            </a:r>
          </a:p>
        </c:rich>
      </c:tx>
      <c:spPr>
        <a:noFill/>
        <a:ln w="25400">
          <a:noFill/>
        </a:ln>
      </c:spPr>
    </c:title>
    <c:plotArea>
      <c:layout/>
      <c:pieChart>
        <c:varyColors val="1"/>
        <c:ser>
          <c:idx val="0"/>
          <c:order val="0"/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Pt>
            <c:idx val="5"/>
          </c:dPt>
          <c:dPt>
            <c:idx val="6"/>
          </c:dPt>
          <c:dPt>
            <c:idx val="7"/>
          </c:dPt>
          <c:dPt>
            <c:idx val="8"/>
          </c:dPt>
          <c:dPt>
            <c:idx val="9"/>
          </c:dPt>
          <c:dPt>
            <c:idx val="10"/>
          </c:dPt>
          <c:dPt>
            <c:idx val="11"/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Pt>
            <c:idx val="18"/>
          </c:dPt>
          <c:dPt>
            <c:idx val="19"/>
          </c:dPt>
          <c:dPt>
            <c:idx val="20"/>
          </c:dPt>
          <c:dPt>
            <c:idx val="21"/>
          </c:dPt>
          <c:dPt>
            <c:idx val="22"/>
          </c:dPt>
          <c:dPt>
            <c:idx val="23"/>
          </c:dPt>
          <c:dPt>
            <c:idx val="24"/>
          </c:dPt>
          <c:dPt>
            <c:idx val="25"/>
          </c:dPt>
          <c:dPt>
            <c:idx val="26"/>
          </c:dPt>
          <c:dPt>
            <c:idx val="27"/>
          </c:dPt>
          <c:dPt>
            <c:idx val="28"/>
          </c:dPt>
          <c:dPt>
            <c:idx val="29"/>
          </c:dPt>
          <c:dPt>
            <c:idx val="30"/>
          </c:dPt>
          <c:dPt>
            <c:idx val="31"/>
          </c:dPt>
          <c:dPt>
            <c:idx val="32"/>
          </c:dPt>
          <c:dPt>
            <c:idx val="33"/>
          </c:dPt>
          <c:dPt>
            <c:idx val="34"/>
          </c:dPt>
          <c:dPt>
            <c:idx val="35"/>
          </c:dPt>
          <c:dPt>
            <c:idx val="36"/>
          </c:dPt>
          <c:cat>
            <c:numRef>
              <c:f>'Мой портфель'!$D$7:$D$43</c:f>
              <c:numCache>
                <c:formatCode>General</c:formatCode>
                <c:ptCount val="37"/>
              </c:numCache>
            </c:numRef>
          </c:cat>
          <c:val>
            <c:numRef>
              <c:f>'Мой портфель'!$E$7:$E$43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firstSliceAng val="0"/>
      </c:pie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1142857142857148"/>
          <c:y val="0.37301731855049663"/>
          <c:w val="6.5714285714285711E-2"/>
          <c:h val="0.57143078586459051"/>
        </c:manualLayout>
      </c:layout>
      <c:txPr>
        <a:bodyPr/>
        <a:lstStyle/>
        <a:p>
          <a:pPr lvl="0">
            <a:defRPr b="1" i="0">
              <a:solidFill>
                <a:srgbClr val="1A1A1A"/>
              </a:solidFill>
              <a:latin typeface="+mn-lt"/>
            </a:defRPr>
          </a:pPr>
          <a:endParaRPr lang="ru-RU"/>
        </a:p>
      </c:txPr>
    </c:legend>
    <c:plotVisOnly val="1"/>
    <c:dispBlanksAs val="zero"/>
  </c:chart>
  <c:spPr>
    <a:solidFill>
      <a:srgbClr val="EFEFEF"/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323850</xdr:colOff>
      <xdr:row>7</xdr:row>
      <xdr:rowOff>209550</xdr:rowOff>
    </xdr:from>
    <xdr:to>
      <xdr:col>7</xdr:col>
      <xdr:colOff>952500</xdr:colOff>
      <xdr:row>12</xdr:row>
      <xdr:rowOff>371475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 editAs="oneCell">
    <xdr:from>
      <xdr:col>3</xdr:col>
      <xdr:colOff>323850</xdr:colOff>
      <xdr:row>14</xdr:row>
      <xdr:rowOff>161925</xdr:rowOff>
    </xdr:from>
    <xdr:to>
      <xdr:col>7</xdr:col>
      <xdr:colOff>952500</xdr:colOff>
      <xdr:row>19</xdr:row>
      <xdr:rowOff>123825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9525</xdr:colOff>
      <xdr:row>16</xdr:row>
      <xdr:rowOff>47625</xdr:rowOff>
    </xdr:from>
    <xdr:to>
      <xdr:col>14</xdr:col>
      <xdr:colOff>0</xdr:colOff>
      <xdr:row>29</xdr:row>
      <xdr:rowOff>95250</xdr:rowOff>
    </xdr:to>
    <xdr:graphicFrame macro="">
      <xdr:nvGraphicFramePr>
        <xdr:cNvPr id="40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 editAs="oneCell">
    <xdr:from>
      <xdr:col>11</xdr:col>
      <xdr:colOff>19050</xdr:colOff>
      <xdr:row>3</xdr:row>
      <xdr:rowOff>47625</xdr:rowOff>
    </xdr:from>
    <xdr:to>
      <xdr:col>14</xdr:col>
      <xdr:colOff>9525</xdr:colOff>
      <xdr:row>16</xdr:row>
      <xdr:rowOff>95250</xdr:rowOff>
    </xdr:to>
    <xdr:graphicFrame macro="">
      <xdr:nvGraphicFramePr>
        <xdr:cNvPr id="409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4;&#1072;&#1096;&#1073;&#1086;&#1088;&#1076;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Дашборд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scry.info/" TargetMode="External"/><Relationship Id="rId3" Type="http://schemas.openxmlformats.org/officeDocument/2006/relationships/hyperlink" Target="http://fetch.ai/" TargetMode="External"/><Relationship Id="rId7" Type="http://schemas.openxmlformats.org/officeDocument/2006/relationships/hyperlink" Target="http://doc.com/" TargetMode="External"/><Relationship Id="rId2" Type="http://schemas.openxmlformats.org/officeDocument/2006/relationships/hyperlink" Target="http://travala.com/" TargetMode="External"/><Relationship Id="rId1" Type="http://schemas.openxmlformats.org/officeDocument/2006/relationships/hyperlink" Target="http://kava.io/" TargetMode="External"/><Relationship Id="rId6" Type="http://schemas.openxmlformats.org/officeDocument/2006/relationships/hyperlink" Target="http://game.com/" TargetMode="External"/><Relationship Id="rId5" Type="http://schemas.openxmlformats.org/officeDocument/2006/relationships/hyperlink" Target="http://effect.ai/" TargetMode="External"/><Relationship Id="rId10" Type="http://schemas.openxmlformats.org/officeDocument/2006/relationships/hyperlink" Target="http://po.et/" TargetMode="External"/><Relationship Id="rId4" Type="http://schemas.openxmlformats.org/officeDocument/2006/relationships/hyperlink" Target="http://aleph.im/" TargetMode="External"/><Relationship Id="rId9" Type="http://schemas.openxmlformats.org/officeDocument/2006/relationships/hyperlink" Target="http://soar.fi/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O22"/>
  <sheetViews>
    <sheetView tabSelected="1" workbookViewId="0">
      <selection activeCell="A3" sqref="A3"/>
    </sheetView>
  </sheetViews>
  <sheetFormatPr defaultColWidth="14.42578125" defaultRowHeight="15" customHeight="1"/>
  <cols>
    <col min="1" max="1" width="17.42578125" customWidth="1"/>
    <col min="2" max="2" width="19.85546875" customWidth="1"/>
    <col min="3" max="3" width="26.85546875" customWidth="1"/>
    <col min="4" max="4" width="5.140625" customWidth="1"/>
    <col min="9" max="9" width="3.5703125" customWidth="1"/>
    <col min="10" max="10" width="17.7109375" customWidth="1"/>
    <col min="11" max="11" width="16.42578125" customWidth="1"/>
    <col min="12" max="12" width="18.7109375" customWidth="1"/>
  </cols>
  <sheetData>
    <row r="1" spans="1:15" ht="26.25" customHeight="1">
      <c r="A1" s="150" t="s">
        <v>12885</v>
      </c>
      <c r="B1" s="151"/>
      <c r="C1" s="142"/>
      <c r="D1" s="152" t="s">
        <v>12886</v>
      </c>
      <c r="E1" s="151"/>
      <c r="F1" s="151"/>
      <c r="G1" s="151"/>
      <c r="H1" s="142"/>
      <c r="I1" s="1"/>
      <c r="J1" s="153" t="s">
        <v>12887</v>
      </c>
      <c r="K1" s="151"/>
      <c r="L1" s="151"/>
      <c r="M1" s="151"/>
      <c r="N1" s="151"/>
      <c r="O1" s="142"/>
    </row>
    <row r="2" spans="1:15" ht="26.25" customHeight="1">
      <c r="A2" s="2" t="s">
        <v>439</v>
      </c>
      <c r="B2" s="2" t="s">
        <v>12889</v>
      </c>
      <c r="C2" s="141" t="s">
        <v>12890</v>
      </c>
      <c r="D2" s="151"/>
      <c r="E2" s="151"/>
      <c r="F2" s="151"/>
      <c r="G2" s="151"/>
      <c r="H2" s="142"/>
      <c r="I2" s="3"/>
      <c r="J2" s="154" t="s">
        <v>437</v>
      </c>
      <c r="K2" s="155"/>
      <c r="L2" s="156"/>
      <c r="M2" s="183"/>
      <c r="N2" s="173"/>
      <c r="O2" s="174"/>
    </row>
    <row r="3" spans="1:15" ht="30" customHeight="1">
      <c r="A3" s="135">
        <v>20000000</v>
      </c>
      <c r="B3" s="136">
        <v>50405</v>
      </c>
      <c r="C3" s="165" t="s">
        <v>13911</v>
      </c>
      <c r="D3" s="166"/>
      <c r="E3" s="166"/>
      <c r="F3" s="166"/>
      <c r="G3" s="166"/>
      <c r="H3" s="167"/>
      <c r="I3" s="3"/>
      <c r="J3" s="157"/>
      <c r="K3" s="158"/>
      <c r="L3" s="159"/>
      <c r="M3" s="184"/>
      <c r="N3" s="175"/>
      <c r="O3" s="176"/>
    </row>
    <row r="4" spans="1:15">
      <c r="A4" s="168"/>
      <c r="B4" s="151"/>
      <c r="C4" s="151"/>
      <c r="D4" s="151"/>
      <c r="E4" s="151"/>
      <c r="F4" s="151"/>
      <c r="G4" s="151"/>
      <c r="H4" s="142"/>
      <c r="I4" s="3"/>
      <c r="J4" s="157"/>
      <c r="K4" s="158"/>
      <c r="L4" s="159"/>
      <c r="M4" s="184"/>
      <c r="N4" s="175"/>
      <c r="O4" s="176"/>
    </row>
    <row r="5" spans="1:15" ht="26.25" customHeight="1">
      <c r="A5" s="150" t="s">
        <v>12891</v>
      </c>
      <c r="B5" s="142"/>
      <c r="C5" s="5" t="s">
        <v>12892</v>
      </c>
      <c r="D5" s="180"/>
      <c r="E5" s="169" t="s">
        <v>12893</v>
      </c>
      <c r="F5" s="151"/>
      <c r="G5" s="151"/>
      <c r="H5" s="142"/>
      <c r="I5" s="3"/>
      <c r="J5" s="157"/>
      <c r="K5" s="158"/>
      <c r="L5" s="159"/>
      <c r="M5" s="184"/>
      <c r="N5" s="175"/>
      <c r="O5" s="176"/>
    </row>
    <row r="6" spans="1:15">
      <c r="A6" s="6"/>
      <c r="B6" s="6"/>
      <c r="C6" s="6"/>
      <c r="D6" s="181"/>
      <c r="E6" s="170" t="s">
        <v>12888</v>
      </c>
      <c r="F6" s="142"/>
      <c r="G6" s="170" t="s">
        <v>12894</v>
      </c>
      <c r="H6" s="142"/>
      <c r="I6" s="3"/>
      <c r="J6" s="157"/>
      <c r="K6" s="158"/>
      <c r="L6" s="159"/>
      <c r="M6" s="184"/>
      <c r="N6" s="175"/>
      <c r="O6" s="176"/>
    </row>
    <row r="7" spans="1:15" ht="38.25" customHeight="1">
      <c r="A7" s="164" t="s">
        <v>12895</v>
      </c>
      <c r="B7" s="142"/>
      <c r="C7" s="137">
        <v>15</v>
      </c>
      <c r="D7" s="181"/>
      <c r="E7" s="171"/>
      <c r="F7" s="142"/>
      <c r="G7" s="163"/>
      <c r="H7" s="142"/>
      <c r="I7" s="3"/>
      <c r="J7" s="160"/>
      <c r="K7" s="161"/>
      <c r="L7" s="162"/>
      <c r="M7" s="185"/>
      <c r="N7" s="177"/>
      <c r="O7" s="178"/>
    </row>
    <row r="8" spans="1:15" ht="15.75" customHeight="1">
      <c r="A8" s="7"/>
      <c r="B8" s="7"/>
      <c r="C8" s="8"/>
      <c r="D8" s="181"/>
      <c r="E8" s="7"/>
      <c r="F8" s="7"/>
      <c r="G8" s="6"/>
      <c r="H8" s="4"/>
      <c r="I8" s="9"/>
      <c r="J8" s="10"/>
      <c r="K8" s="10"/>
      <c r="L8" s="10"/>
      <c r="M8" s="10"/>
      <c r="N8" s="10"/>
      <c r="O8" s="10"/>
    </row>
    <row r="9" spans="1:15" ht="18.75" customHeight="1">
      <c r="A9" s="7"/>
      <c r="B9" s="7"/>
      <c r="C9" s="8"/>
      <c r="D9" s="181"/>
      <c r="E9" s="7"/>
      <c r="F9" s="7"/>
      <c r="G9" s="6"/>
      <c r="H9" s="4"/>
      <c r="I9" s="9"/>
      <c r="J9" s="143" t="s">
        <v>438</v>
      </c>
      <c r="K9" s="144"/>
      <c r="L9" s="145"/>
      <c r="M9" s="172"/>
      <c r="N9" s="173"/>
      <c r="O9" s="174"/>
    </row>
    <row r="10" spans="1:15" ht="26.25" customHeight="1">
      <c r="A10" s="150" t="s">
        <v>12896</v>
      </c>
      <c r="B10" s="151"/>
      <c r="C10" s="142"/>
      <c r="D10" s="181"/>
      <c r="E10" s="179"/>
      <c r="F10" s="142"/>
      <c r="G10" s="168"/>
      <c r="H10" s="142"/>
      <c r="I10" s="9"/>
      <c r="J10" s="146"/>
      <c r="K10" s="146"/>
      <c r="L10" s="147"/>
      <c r="M10" s="175"/>
      <c r="N10" s="175"/>
      <c r="O10" s="176"/>
    </row>
    <row r="11" spans="1:15" ht="32.25" customHeight="1">
      <c r="A11" s="141" t="s">
        <v>12897</v>
      </c>
      <c r="B11" s="142"/>
      <c r="C11" s="11">
        <v>0.6</v>
      </c>
      <c r="D11" s="181"/>
      <c r="E11" s="6"/>
      <c r="F11" s="6"/>
      <c r="G11" s="6"/>
      <c r="H11" s="4"/>
      <c r="I11" s="9"/>
      <c r="J11" s="146"/>
      <c r="K11" s="146"/>
      <c r="L11" s="147"/>
      <c r="M11" s="175"/>
      <c r="N11" s="175"/>
      <c r="O11" s="176"/>
    </row>
    <row r="12" spans="1:15" ht="36.75" customHeight="1">
      <c r="A12" s="141" t="s">
        <v>12898</v>
      </c>
      <c r="B12" s="142"/>
      <c r="C12" s="11">
        <v>0.3</v>
      </c>
      <c r="D12" s="181"/>
      <c r="E12" s="6"/>
      <c r="F12" s="6"/>
      <c r="G12" s="6"/>
      <c r="H12" s="4"/>
      <c r="I12" s="9"/>
      <c r="J12" s="146"/>
      <c r="K12" s="146"/>
      <c r="L12" s="147"/>
      <c r="M12" s="175"/>
      <c r="N12" s="175"/>
      <c r="O12" s="176"/>
    </row>
    <row r="13" spans="1:15" ht="32.25" customHeight="1">
      <c r="A13" s="141" t="s">
        <v>12899</v>
      </c>
      <c r="B13" s="142"/>
      <c r="C13" s="11">
        <v>0.1</v>
      </c>
      <c r="D13" s="181"/>
      <c r="E13" s="6"/>
      <c r="F13" s="6"/>
      <c r="G13" s="6"/>
      <c r="H13" s="4"/>
      <c r="I13" s="9"/>
      <c r="J13" s="148"/>
      <c r="K13" s="148"/>
      <c r="L13" s="149"/>
      <c r="M13" s="177"/>
      <c r="N13" s="177"/>
      <c r="O13" s="178"/>
    </row>
    <row r="14" spans="1:15">
      <c r="A14" s="6"/>
      <c r="B14" s="6"/>
      <c r="C14" s="6"/>
      <c r="D14" s="182"/>
      <c r="E14" s="6"/>
      <c r="F14" s="6"/>
      <c r="G14" s="6"/>
      <c r="H14" s="4"/>
      <c r="I14" s="9"/>
      <c r="J14" s="10"/>
      <c r="K14" s="10"/>
      <c r="L14" s="10"/>
      <c r="M14" s="10"/>
      <c r="N14" s="10"/>
      <c r="O14" s="10"/>
    </row>
    <row r="15" spans="1:15">
      <c r="A15" s="6"/>
      <c r="B15" s="6"/>
      <c r="C15" s="6"/>
      <c r="D15" s="6"/>
      <c r="E15" s="6"/>
      <c r="F15" s="6"/>
      <c r="G15" s="6"/>
      <c r="H15" s="4"/>
      <c r="I15" s="9"/>
      <c r="J15" s="10"/>
      <c r="K15" s="10"/>
      <c r="L15" s="10"/>
      <c r="M15" s="10"/>
      <c r="N15" s="10"/>
      <c r="O15" s="10"/>
    </row>
    <row r="16" spans="1:15" ht="27.75" customHeight="1">
      <c r="A16" s="150" t="s">
        <v>12900</v>
      </c>
      <c r="B16" s="151"/>
      <c r="C16" s="142"/>
      <c r="D16" s="6"/>
      <c r="E16" s="6"/>
      <c r="F16" s="6"/>
      <c r="G16" s="6"/>
      <c r="H16" s="4"/>
      <c r="I16" s="9"/>
      <c r="J16" s="10"/>
      <c r="K16" s="10"/>
      <c r="L16" s="10"/>
      <c r="M16" s="10"/>
      <c r="N16" s="10"/>
      <c r="O16" s="10"/>
    </row>
    <row r="17" spans="1:15" ht="31.5" customHeight="1">
      <c r="A17" s="141" t="s">
        <v>12897</v>
      </c>
      <c r="B17" s="142"/>
      <c r="C17" s="11" t="e">
        <f ca="1">'Мой портфель'!F3/'Мой портфель'!L3</f>
        <v>#VALUE!</v>
      </c>
      <c r="D17" s="6"/>
      <c r="E17" s="6"/>
      <c r="F17" s="6"/>
      <c r="G17" s="6"/>
      <c r="H17" s="4"/>
      <c r="I17" s="9"/>
      <c r="J17" s="10"/>
      <c r="K17" s="10"/>
      <c r="L17" s="10"/>
      <c r="M17" s="10"/>
      <c r="N17" s="10"/>
      <c r="O17" s="10"/>
    </row>
    <row r="18" spans="1:15" ht="36" customHeight="1">
      <c r="A18" s="141" t="s">
        <v>12898</v>
      </c>
      <c r="B18" s="142"/>
      <c r="C18" s="11" t="e">
        <f ca="1">'Мой портфель'!F4/'Мой портфель'!L3</f>
        <v>#VALUE!</v>
      </c>
      <c r="D18" s="6"/>
      <c r="E18" s="6"/>
      <c r="F18" s="6"/>
      <c r="G18" s="6"/>
      <c r="H18" s="4"/>
      <c r="I18" s="9"/>
      <c r="J18" s="10"/>
      <c r="K18" s="10"/>
      <c r="L18" s="10"/>
      <c r="M18" s="10"/>
      <c r="N18" s="10"/>
      <c r="O18" s="10"/>
    </row>
    <row r="19" spans="1:15" ht="36" customHeight="1">
      <c r="A19" s="141" t="s">
        <v>12899</v>
      </c>
      <c r="B19" s="142"/>
      <c r="C19" s="11" t="e">
        <f ca="1">'Мой портфель'!F5/'Мой портфель'!L3</f>
        <v>#VALUE!</v>
      </c>
      <c r="D19" s="6"/>
      <c r="E19" s="6"/>
      <c r="F19" s="6"/>
      <c r="G19" s="6"/>
      <c r="H19" s="4"/>
      <c r="I19" s="9"/>
      <c r="J19" s="10"/>
      <c r="K19" s="10"/>
      <c r="L19" s="10"/>
      <c r="M19" s="10"/>
      <c r="N19" s="10"/>
      <c r="O19" s="10"/>
    </row>
    <row r="20" spans="1:15">
      <c r="A20" s="6"/>
      <c r="B20" s="6"/>
      <c r="C20" s="6"/>
      <c r="D20" s="6"/>
      <c r="E20" s="6"/>
      <c r="F20" s="6"/>
      <c r="G20" s="6"/>
      <c r="H20" s="4"/>
      <c r="I20" s="9"/>
      <c r="J20" s="10"/>
      <c r="K20" s="10"/>
      <c r="L20" s="10"/>
      <c r="M20" s="10"/>
      <c r="N20" s="10"/>
      <c r="O20" s="10"/>
    </row>
    <row r="21" spans="1:15">
      <c r="A21" s="6"/>
      <c r="B21" s="6"/>
      <c r="C21" s="6"/>
      <c r="D21" s="6"/>
      <c r="E21" s="6"/>
      <c r="F21" s="6"/>
      <c r="G21" s="6"/>
      <c r="H21" s="4"/>
      <c r="I21" s="9"/>
      <c r="J21" s="10"/>
      <c r="K21" s="10"/>
      <c r="L21" s="10"/>
      <c r="M21" s="10"/>
      <c r="N21" s="10"/>
      <c r="O21" s="10"/>
    </row>
    <row r="22" spans="1:15">
      <c r="A22" s="6"/>
      <c r="B22" s="6"/>
      <c r="C22" s="6"/>
      <c r="D22" s="6"/>
      <c r="E22" s="6"/>
      <c r="F22" s="6"/>
      <c r="G22" s="6"/>
      <c r="H22" s="4"/>
      <c r="I22" s="9"/>
      <c r="J22" s="10"/>
      <c r="K22" s="10"/>
      <c r="L22" s="10"/>
      <c r="M22" s="10"/>
      <c r="N22" s="10"/>
      <c r="O22" s="10"/>
    </row>
  </sheetData>
  <mergeCells count="28">
    <mergeCell ref="M9:O13"/>
    <mergeCell ref="A10:C10"/>
    <mergeCell ref="E10:F10"/>
    <mergeCell ref="A11:B11"/>
    <mergeCell ref="A12:B12"/>
    <mergeCell ref="D5:D14"/>
    <mergeCell ref="A5:B5"/>
    <mergeCell ref="M2:O7"/>
    <mergeCell ref="C3:H3"/>
    <mergeCell ref="A4:H4"/>
    <mergeCell ref="A17:B17"/>
    <mergeCell ref="E5:H5"/>
    <mergeCell ref="E6:F6"/>
    <mergeCell ref="A13:B13"/>
    <mergeCell ref="G6:H6"/>
    <mergeCell ref="G10:H10"/>
    <mergeCell ref="A16:C16"/>
    <mergeCell ref="E7:F7"/>
    <mergeCell ref="A19:B19"/>
    <mergeCell ref="J9:L13"/>
    <mergeCell ref="A1:C1"/>
    <mergeCell ref="D1:H1"/>
    <mergeCell ref="J1:O1"/>
    <mergeCell ref="C2:H2"/>
    <mergeCell ref="J2:L7"/>
    <mergeCell ref="A18:B18"/>
    <mergeCell ref="G7:H7"/>
    <mergeCell ref="A7:B7"/>
  </mergeCells>
  <phoneticPr fontId="0" type="noConversion"/>
  <dataValidations disablePrompts="1" count="2">
    <dataValidation type="list" allowBlank="1" showErrorMessage="1" sqref="C5">
      <formula1>"Консервативный,Умеренный,Агрессивный"</formula1>
    </dataValidation>
    <dataValidation type="list" allowBlank="1" showErrorMessage="1" sqref="D1">
      <formula1>"Ежемесячный пассивный доход,Сумма портфеля"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O64"/>
  <sheetViews>
    <sheetView showGridLines="0" zoomScale="90" workbookViewId="0">
      <pane ySplit="2" topLeftCell="A3" activePane="bottomLeft" state="frozen"/>
      <selection pane="bottomLeft" activeCell="C2" sqref="C2"/>
    </sheetView>
  </sheetViews>
  <sheetFormatPr defaultColWidth="14.42578125" defaultRowHeight="15" customHeight="1"/>
  <cols>
    <col min="1" max="1" width="4.85546875" customWidth="1"/>
    <col min="2" max="2" width="23.7109375" customWidth="1"/>
    <col min="3" max="3" width="15.140625" customWidth="1"/>
    <col min="4" max="4" width="20.42578125" customWidth="1"/>
    <col min="5" max="5" width="14.7109375" customWidth="1"/>
    <col min="6" max="6" width="15.42578125" customWidth="1"/>
    <col min="7" max="7" width="14.140625" hidden="1" customWidth="1"/>
    <col min="8" max="8" width="12.85546875" customWidth="1"/>
    <col min="9" max="9" width="14.140625" customWidth="1"/>
    <col min="10" max="10" width="13.85546875" customWidth="1"/>
    <col min="11" max="11" width="11.140625" customWidth="1"/>
    <col min="12" max="12" width="19.5703125" customWidth="1"/>
    <col min="13" max="13" width="13.42578125" customWidth="1"/>
    <col min="14" max="14" width="17.140625" customWidth="1"/>
    <col min="15" max="15" width="4.85546875" customWidth="1"/>
  </cols>
  <sheetData>
    <row r="1" spans="1:15" ht="21" customHeight="1">
      <c r="A1" s="12"/>
      <c r="B1" s="186" t="s">
        <v>12901</v>
      </c>
      <c r="C1" s="187"/>
      <c r="D1" s="188" t="s">
        <v>12902</v>
      </c>
      <c r="E1" s="151"/>
      <c r="F1" s="151"/>
      <c r="G1" s="151"/>
      <c r="H1" s="151"/>
      <c r="I1" s="151"/>
      <c r="J1" s="151"/>
      <c r="K1" s="151"/>
      <c r="L1" s="151"/>
      <c r="M1" s="151"/>
      <c r="N1" s="142"/>
      <c r="O1" s="13"/>
    </row>
    <row r="2" spans="1:15" ht="33.75" customHeight="1">
      <c r="A2" s="12"/>
      <c r="B2" s="14" t="s">
        <v>12903</v>
      </c>
      <c r="C2" s="15" t="s">
        <v>12904</v>
      </c>
      <c r="D2" s="16" t="s">
        <v>12903</v>
      </c>
      <c r="E2" s="17" t="s">
        <v>12904</v>
      </c>
      <c r="F2" s="17" t="s">
        <v>12905</v>
      </c>
      <c r="G2" s="18" t="s">
        <v>12906</v>
      </c>
      <c r="H2" s="17" t="s">
        <v>12907</v>
      </c>
      <c r="I2" s="17" t="s">
        <v>12908</v>
      </c>
      <c r="J2" s="17" t="s">
        <v>12909</v>
      </c>
      <c r="K2" s="19" t="s">
        <v>12910</v>
      </c>
      <c r="L2" s="20" t="s">
        <v>12911</v>
      </c>
      <c r="M2" s="20" t="s">
        <v>12909</v>
      </c>
      <c r="N2" s="20" t="s">
        <v>12912</v>
      </c>
      <c r="O2" s="13"/>
    </row>
    <row r="3" spans="1:15" ht="14.25" customHeight="1">
      <c r="A3" s="12"/>
      <c r="B3" s="21" t="s">
        <v>12913</v>
      </c>
      <c r="C3" s="22"/>
      <c r="D3" s="23" t="s">
        <v>12913</v>
      </c>
      <c r="E3" s="24"/>
      <c r="F3" s="25">
        <f ca="1">SUMIF('Журнал Закупок'!F:F,D3,'Журнал Закупок'!O:O)</f>
        <v>0</v>
      </c>
      <c r="G3" s="26">
        <f ca="1">SUMIF('Журнал Закупок'!F:F,D3,'Журнал Закупок'!G:G)</f>
        <v>0</v>
      </c>
      <c r="H3" s="25">
        <f ca="1">SUMIF('Журнал Закупок'!F:F,D3,'Журнал Закупок'!I:I)</f>
        <v>0</v>
      </c>
      <c r="I3" s="25">
        <f ca="1">SUMIF('Журнал Закупок'!F:F,D3,'Журнал Закупок'!J:J)</f>
        <v>0</v>
      </c>
      <c r="J3" s="25">
        <f ca="1">F3-H3</f>
        <v>0</v>
      </c>
      <c r="K3" s="27" t="e">
        <f ca="1">IFERROR((F3-H3)/H3,0)</f>
        <v>#NAME?</v>
      </c>
      <c r="L3" s="28" t="e">
        <f ca="1">SUM('Журнал Закупок'!O:O)</f>
        <v>#VALUE!</v>
      </c>
      <c r="M3" s="29">
        <f ca="1">SUM('Журнал Закупок'!P:P)</f>
        <v>0</v>
      </c>
      <c r="N3" s="30" t="e">
        <f ca="1">M3*Расчеты!J2</f>
        <v>#NAME?</v>
      </c>
      <c r="O3" s="13"/>
    </row>
    <row r="4" spans="1:15" ht="14.25" customHeight="1">
      <c r="A4" s="12"/>
      <c r="B4" s="21" t="s">
        <v>12914</v>
      </c>
      <c r="C4" s="22"/>
      <c r="D4" s="23" t="s">
        <v>12914</v>
      </c>
      <c r="E4" s="24"/>
      <c r="F4" s="25">
        <f ca="1">SUMIF('Журнал Закупок'!F:F,D4,'Журнал Закупок'!O:O)</f>
        <v>0</v>
      </c>
      <c r="G4" s="26">
        <f ca="1">SUMIF('Журнал Закупок'!F:F,D4,'Журнал Закупок'!G:G)</f>
        <v>0</v>
      </c>
      <c r="H4" s="25">
        <f ca="1">SUMIF('Журнал Закупок'!F:F,D4,'Журнал Закупок'!I:I)</f>
        <v>0</v>
      </c>
      <c r="I4" s="25">
        <f ca="1">SUMIF('Журнал Закупок'!F:F,D4,'Журнал Закупок'!J:J)</f>
        <v>0</v>
      </c>
      <c r="J4" s="25">
        <f ca="1">F4-H4</f>
        <v>0</v>
      </c>
      <c r="K4" s="27" t="e">
        <f ca="1">IFERROR((F4-H4)/H4,0)</f>
        <v>#NAME?</v>
      </c>
      <c r="L4" s="31"/>
      <c r="M4" s="31"/>
      <c r="N4" s="31"/>
      <c r="O4" s="31"/>
    </row>
    <row r="5" spans="1:15" ht="14.25" customHeight="1">
      <c r="A5" s="12"/>
      <c r="B5" s="21" t="s">
        <v>12915</v>
      </c>
      <c r="C5" s="22"/>
      <c r="D5" s="23" t="s">
        <v>12915</v>
      </c>
      <c r="E5" s="24"/>
      <c r="F5" s="25">
        <f ca="1">SUMIF('Журнал Закупок'!F:F,D5,'Журнал Закупок'!O:O)</f>
        <v>0</v>
      </c>
      <c r="G5" s="26">
        <f ca="1">SUMIF('Журнал Закупок'!F:F,D5,'Журнал Закупок'!G:G)</f>
        <v>0</v>
      </c>
      <c r="H5" s="25">
        <f ca="1">SUMIF('Журнал Закупок'!F:F,D5,'Журнал Закупок'!I:I)</f>
        <v>0</v>
      </c>
      <c r="I5" s="25">
        <f ca="1">SUMIF('Журнал Закупок'!F:F,D5,'Журнал Закупок'!J:J)</f>
        <v>0</v>
      </c>
      <c r="J5" s="25">
        <f ca="1">F5-H5</f>
        <v>0</v>
      </c>
      <c r="K5" s="27" t="e">
        <f ca="1">IFERROR((F5-H5)/H5,0)</f>
        <v>#NAME?</v>
      </c>
      <c r="L5" s="31"/>
      <c r="M5" s="31"/>
      <c r="N5" s="31"/>
      <c r="O5" s="31"/>
    </row>
    <row r="6" spans="1:15" ht="14.25" customHeight="1">
      <c r="A6" s="12"/>
      <c r="B6" s="32" t="s">
        <v>12913</v>
      </c>
      <c r="C6" s="33"/>
      <c r="D6" s="34"/>
      <c r="E6" s="34"/>
      <c r="F6" s="34" t="s">
        <v>12916</v>
      </c>
      <c r="G6" s="34"/>
      <c r="H6" s="34"/>
      <c r="I6" s="34"/>
      <c r="J6" s="34"/>
      <c r="K6" s="35"/>
      <c r="O6" s="31"/>
    </row>
    <row r="7" spans="1:15" ht="14.25" customHeight="1">
      <c r="A7" s="12"/>
      <c r="B7" s="36" t="s">
        <v>12917</v>
      </c>
      <c r="C7" s="37">
        <v>0.25</v>
      </c>
      <c r="D7" s="38"/>
      <c r="E7" s="39" t="e">
        <f t="shared" ref="E7:E17" si="0">F7/$L$3</f>
        <v>#VALUE!</v>
      </c>
      <c r="F7" s="40">
        <f ca="1">SUMIF('Журнал Закупок'!B:B,D7,'Журнал Закупок'!O:O)</f>
        <v>0</v>
      </c>
      <c r="G7" s="41">
        <f ca="1">SUMIF('Журнал Закупок'!B:B,D7,'Журнал Закупок'!G:G)</f>
        <v>0</v>
      </c>
      <c r="H7" s="40">
        <f ca="1">SUMIF('Журнал Закупок'!B:B,D7,'Журнал Закупок'!I:I)</f>
        <v>0</v>
      </c>
      <c r="I7" s="42">
        <f ca="1">SUMIF('Журнал Закупок'!B:B,D7,'Журнал Закупок'!J:J)</f>
        <v>0</v>
      </c>
      <c r="J7" s="40">
        <f t="shared" ref="J7:J17" si="1">F7-H7</f>
        <v>0</v>
      </c>
      <c r="K7" s="43" t="e">
        <f t="shared" ref="K7:K17" ca="1" si="2">IFERROR((F7-H7)/H7,0)</f>
        <v>#NAME?</v>
      </c>
      <c r="L7" s="31"/>
      <c r="M7" s="31"/>
      <c r="N7" s="31"/>
      <c r="O7" s="31"/>
    </row>
    <row r="8" spans="1:15" ht="14.25" customHeight="1">
      <c r="A8" s="12"/>
      <c r="B8" s="44" t="s">
        <v>12918</v>
      </c>
      <c r="C8" s="37">
        <v>0.25</v>
      </c>
      <c r="D8" s="45"/>
      <c r="E8" s="39" t="e">
        <f t="shared" si="0"/>
        <v>#VALUE!</v>
      </c>
      <c r="F8" s="46">
        <f ca="1">SUMIF('Журнал Закупок'!B:B,D8,'Журнал Закупок'!O:O)</f>
        <v>0</v>
      </c>
      <c r="G8" s="47">
        <f ca="1">SUMIF('Журнал Закупок'!B:B,D8,'Журнал Закупок'!G:G)</f>
        <v>0</v>
      </c>
      <c r="H8" s="46">
        <f ca="1">SUMIF('Журнал Закупок'!B:B,D8,'Журнал Закупок'!I:I)</f>
        <v>0</v>
      </c>
      <c r="I8" s="48">
        <f ca="1">SUMIF('Журнал Закупок'!B:B,D8,'Журнал Закупок'!J:J)</f>
        <v>0</v>
      </c>
      <c r="J8" s="46">
        <f t="shared" si="1"/>
        <v>0</v>
      </c>
      <c r="K8" s="49" t="e">
        <f t="shared" ca="1" si="2"/>
        <v>#NAME?</v>
      </c>
      <c r="L8" s="31"/>
      <c r="M8" s="31"/>
      <c r="N8" s="31"/>
      <c r="O8" s="31"/>
    </row>
    <row r="9" spans="1:15" ht="14.25" customHeight="1">
      <c r="A9" s="12"/>
      <c r="B9" s="44"/>
      <c r="C9" s="50"/>
      <c r="D9" s="45"/>
      <c r="E9" s="39" t="e">
        <f t="shared" si="0"/>
        <v>#VALUE!</v>
      </c>
      <c r="F9" s="46">
        <f ca="1">SUMIF('Журнал Закупок'!B:B,D9,'Журнал Закупок'!O:O)</f>
        <v>0</v>
      </c>
      <c r="G9" s="47">
        <f ca="1">SUMIF('Журнал Закупок'!B:B,D9,'Журнал Закупок'!G:G)</f>
        <v>0</v>
      </c>
      <c r="H9" s="46">
        <f ca="1">SUMIF('Журнал Закупок'!B:B,D9,'Журнал Закупок'!I:I)</f>
        <v>0</v>
      </c>
      <c r="I9" s="48">
        <f ca="1">SUMIF('Журнал Закупок'!B:B,D9,'Журнал Закупок'!J:J)</f>
        <v>0</v>
      </c>
      <c r="J9" s="46">
        <f t="shared" si="1"/>
        <v>0</v>
      </c>
      <c r="K9" s="49" t="e">
        <f t="shared" ca="1" si="2"/>
        <v>#NAME?</v>
      </c>
      <c r="L9" s="31"/>
      <c r="M9" s="31"/>
      <c r="N9" s="31"/>
      <c r="O9" s="31"/>
    </row>
    <row r="10" spans="1:15" ht="14.25" customHeight="1">
      <c r="A10" s="12"/>
      <c r="B10" s="44"/>
      <c r="C10" s="50"/>
      <c r="D10" s="51"/>
      <c r="E10" s="39" t="e">
        <f t="shared" si="0"/>
        <v>#VALUE!</v>
      </c>
      <c r="F10" s="46">
        <f ca="1">SUMIF('Журнал Закупок'!B:B,D10,'Журнал Закупок'!O:O)</f>
        <v>0</v>
      </c>
      <c r="G10" s="47">
        <f ca="1">SUMIF('Журнал Закупок'!B:B,D10,'Журнал Закупок'!G:G)</f>
        <v>0</v>
      </c>
      <c r="H10" s="46">
        <f ca="1">SUMIF('Журнал Закупок'!B:B,D10,'Журнал Закупок'!I:I)</f>
        <v>0</v>
      </c>
      <c r="I10" s="48">
        <f ca="1">SUMIF('Журнал Закупок'!B:B,D10,'Журнал Закупок'!J:J)</f>
        <v>0</v>
      </c>
      <c r="J10" s="46">
        <f t="shared" si="1"/>
        <v>0</v>
      </c>
      <c r="K10" s="49" t="e">
        <f t="shared" ca="1" si="2"/>
        <v>#NAME?</v>
      </c>
      <c r="L10" s="31"/>
      <c r="M10" s="31"/>
      <c r="N10" s="31"/>
      <c r="O10" s="31"/>
    </row>
    <row r="11" spans="1:15" ht="14.25" customHeight="1">
      <c r="A11" s="12"/>
      <c r="B11" s="44"/>
      <c r="C11" s="50"/>
      <c r="D11" s="45"/>
      <c r="E11" s="39" t="e">
        <f t="shared" si="0"/>
        <v>#VALUE!</v>
      </c>
      <c r="F11" s="46">
        <f ca="1">SUMIF('Журнал Закупок'!B:B,D11,'Журнал Закупок'!O:O)</f>
        <v>0</v>
      </c>
      <c r="G11" s="47">
        <f ca="1">SUMIF('Журнал Закупок'!B:B,D11,'Журнал Закупок'!G:G)</f>
        <v>0</v>
      </c>
      <c r="H11" s="46">
        <f ca="1">SUMIF('Журнал Закупок'!B:B,D11,'Журнал Закупок'!I:I)</f>
        <v>0</v>
      </c>
      <c r="I11" s="48">
        <f ca="1">SUMIF('Журнал Закупок'!B:B,D11,'Журнал Закупок'!J:J)</f>
        <v>0</v>
      </c>
      <c r="J11" s="46">
        <f t="shared" si="1"/>
        <v>0</v>
      </c>
      <c r="K11" s="49" t="e">
        <f t="shared" ca="1" si="2"/>
        <v>#NAME?</v>
      </c>
      <c r="L11" s="31"/>
      <c r="M11" s="31"/>
      <c r="N11" s="31"/>
      <c r="O11" s="31"/>
    </row>
    <row r="12" spans="1:15" ht="14.25" customHeight="1">
      <c r="A12" s="12"/>
      <c r="B12" s="44"/>
      <c r="C12" s="50"/>
      <c r="D12" s="45"/>
      <c r="E12" s="39" t="e">
        <f t="shared" si="0"/>
        <v>#VALUE!</v>
      </c>
      <c r="F12" s="46">
        <f ca="1">SUMIF('Журнал Закупок'!B:B,D12,'Журнал Закупок'!O:O)</f>
        <v>0</v>
      </c>
      <c r="G12" s="47">
        <f ca="1">SUMIF('Журнал Закупок'!B:B,D12,'Журнал Закупок'!G:G)</f>
        <v>0</v>
      </c>
      <c r="H12" s="46">
        <f ca="1">SUMIF('Журнал Закупок'!B:B,D12,'Журнал Закупок'!I:I)</f>
        <v>0</v>
      </c>
      <c r="I12" s="48">
        <f ca="1">SUMIF('Журнал Закупок'!B:B,D12,'Журнал Закупок'!J:J)</f>
        <v>0</v>
      </c>
      <c r="J12" s="46">
        <f t="shared" si="1"/>
        <v>0</v>
      </c>
      <c r="K12" s="49" t="e">
        <f t="shared" ca="1" si="2"/>
        <v>#NAME?</v>
      </c>
      <c r="L12" s="52"/>
      <c r="M12" s="52"/>
      <c r="N12" s="53"/>
      <c r="O12" s="31"/>
    </row>
    <row r="13" spans="1:15" ht="14.25" customHeight="1">
      <c r="A13" s="12"/>
      <c r="B13" s="44"/>
      <c r="C13" s="50"/>
      <c r="D13" s="45"/>
      <c r="E13" s="39" t="e">
        <f t="shared" si="0"/>
        <v>#VALUE!</v>
      </c>
      <c r="F13" s="46">
        <f ca="1">SUMIF('Журнал Закупок'!B:B,D13,'Журнал Закупок'!O:O)</f>
        <v>0</v>
      </c>
      <c r="G13" s="47">
        <f ca="1">SUMIF('Журнал Закупок'!B:B,D13,'Журнал Закупок'!G:G)</f>
        <v>0</v>
      </c>
      <c r="H13" s="46">
        <f ca="1">SUMIF('Журнал Закупок'!B:B,D13,'Журнал Закупок'!I:I)</f>
        <v>0</v>
      </c>
      <c r="I13" s="48">
        <f ca="1">SUMIF('Журнал Закупок'!B:B,D13,'Журнал Закупок'!J:J)</f>
        <v>0</v>
      </c>
      <c r="J13" s="46">
        <f t="shared" si="1"/>
        <v>0</v>
      </c>
      <c r="K13" s="49" t="e">
        <f t="shared" ca="1" si="2"/>
        <v>#NAME?</v>
      </c>
      <c r="L13" s="31"/>
      <c r="M13" s="31"/>
      <c r="N13" s="31"/>
      <c r="O13" s="31"/>
    </row>
    <row r="14" spans="1:15" ht="14.25" customHeight="1">
      <c r="A14" s="12"/>
      <c r="B14" s="44"/>
      <c r="C14" s="50"/>
      <c r="D14" s="51"/>
      <c r="E14" s="39" t="e">
        <f t="shared" si="0"/>
        <v>#VALUE!</v>
      </c>
      <c r="F14" s="46">
        <f ca="1">SUMIF('Журнал Закупок'!B:B,D14,'Журнал Закупок'!O:O)</f>
        <v>0</v>
      </c>
      <c r="G14" s="47">
        <f ca="1">SUMIF('Журнал Закупок'!B:B,D14,'Журнал Закупок'!G:G)</f>
        <v>0</v>
      </c>
      <c r="H14" s="46">
        <f ca="1">SUMIF('Журнал Закупок'!B:B,D14,'Журнал Закупок'!I:I)</f>
        <v>0</v>
      </c>
      <c r="I14" s="48">
        <f ca="1">SUMIF('Журнал Закупок'!B:B,D14,'Журнал Закупок'!J:J)</f>
        <v>0</v>
      </c>
      <c r="J14" s="46">
        <f t="shared" si="1"/>
        <v>0</v>
      </c>
      <c r="K14" s="49" t="e">
        <f t="shared" ca="1" si="2"/>
        <v>#NAME?</v>
      </c>
      <c r="L14" s="31"/>
      <c r="M14" s="31"/>
      <c r="N14" s="31"/>
      <c r="O14" s="31"/>
    </row>
    <row r="15" spans="1:15" ht="14.25" customHeight="1">
      <c r="A15" s="12"/>
      <c r="B15" s="44"/>
      <c r="C15" s="50"/>
      <c r="D15" s="51"/>
      <c r="E15" s="39" t="e">
        <f t="shared" si="0"/>
        <v>#VALUE!</v>
      </c>
      <c r="F15" s="46">
        <f ca="1">SUMIF('Журнал Закупок'!B:B,D15,'Журнал Закупок'!O:O)</f>
        <v>0</v>
      </c>
      <c r="G15" s="47">
        <f ca="1">SUMIF('Журнал Закупок'!B:B,D15,'Журнал Закупок'!G:G)</f>
        <v>0</v>
      </c>
      <c r="H15" s="46">
        <f ca="1">SUMIF('Журнал Закупок'!B:B,D15,'Журнал Закупок'!I:I)</f>
        <v>0</v>
      </c>
      <c r="I15" s="48">
        <f ca="1">SUMIF('Журнал Закупок'!B:B,D15,'Журнал Закупок'!J:J)</f>
        <v>0</v>
      </c>
      <c r="J15" s="46">
        <f t="shared" si="1"/>
        <v>0</v>
      </c>
      <c r="K15" s="49" t="e">
        <f t="shared" ca="1" si="2"/>
        <v>#NAME?</v>
      </c>
      <c r="L15" s="31"/>
      <c r="M15" s="31"/>
      <c r="N15" s="31"/>
      <c r="O15" s="31"/>
    </row>
    <row r="16" spans="1:15" ht="14.25" customHeight="1">
      <c r="A16" s="12"/>
      <c r="B16" s="44"/>
      <c r="C16" s="50"/>
      <c r="D16" s="51"/>
      <c r="E16" s="39" t="e">
        <f t="shared" si="0"/>
        <v>#VALUE!</v>
      </c>
      <c r="F16" s="46">
        <f ca="1">SUMIF('Журнал Закупок'!B:B,D16,'Журнал Закупок'!O:O)</f>
        <v>0</v>
      </c>
      <c r="G16" s="47">
        <f ca="1">SUMIF('Журнал Закупок'!B:B,D16,'Журнал Закупок'!G:G)</f>
        <v>0</v>
      </c>
      <c r="H16" s="46">
        <f ca="1">SUMIF('Журнал Закупок'!B:B,D16,'Журнал Закупок'!I:I)</f>
        <v>0</v>
      </c>
      <c r="I16" s="48">
        <f ca="1">SUMIF('Журнал Закупок'!B:B,D16,'Журнал Закупок'!J:J)</f>
        <v>0</v>
      </c>
      <c r="J16" s="46">
        <f t="shared" si="1"/>
        <v>0</v>
      </c>
      <c r="K16" s="49" t="e">
        <f t="shared" ca="1" si="2"/>
        <v>#NAME?</v>
      </c>
      <c r="L16" s="31"/>
      <c r="M16" s="31"/>
      <c r="N16" s="31"/>
      <c r="O16" s="31"/>
    </row>
    <row r="17" spans="1:15" ht="14.25" customHeight="1">
      <c r="A17" s="12"/>
      <c r="B17" s="54"/>
      <c r="C17" s="55"/>
      <c r="D17" s="51"/>
      <c r="E17" s="39" t="e">
        <f t="shared" si="0"/>
        <v>#VALUE!</v>
      </c>
      <c r="F17" s="46">
        <f ca="1">SUMIF('Журнал Закупок'!B:B,D17,'Журнал Закупок'!O:O)</f>
        <v>0</v>
      </c>
      <c r="G17" s="47">
        <f ca="1">SUMIF('Журнал Закупок'!B:B,D17,'Журнал Закупок'!G:G)</f>
        <v>0</v>
      </c>
      <c r="H17" s="46">
        <f ca="1">SUMIF('Журнал Закупок'!B:B,D17,'Журнал Закупок'!I:I)</f>
        <v>0</v>
      </c>
      <c r="I17" s="48">
        <f ca="1">SUMIF('Журнал Закупок'!B:B,D17,'Журнал Закупок'!J:J)</f>
        <v>0</v>
      </c>
      <c r="J17" s="46">
        <f t="shared" si="1"/>
        <v>0</v>
      </c>
      <c r="K17" s="49" t="e">
        <f t="shared" ca="1" si="2"/>
        <v>#NAME?</v>
      </c>
      <c r="L17" s="31"/>
      <c r="M17" s="31"/>
      <c r="N17" s="31"/>
      <c r="O17" s="31"/>
    </row>
    <row r="18" spans="1:15" ht="14.25" customHeight="1">
      <c r="A18" s="12"/>
      <c r="B18" s="56" t="s">
        <v>12914</v>
      </c>
      <c r="C18" s="57"/>
      <c r="D18" s="58"/>
      <c r="E18" s="58"/>
      <c r="F18" s="59" t="s">
        <v>12919</v>
      </c>
      <c r="G18" s="58"/>
      <c r="H18" s="59"/>
      <c r="I18" s="58"/>
      <c r="J18" s="58"/>
      <c r="K18" s="60"/>
      <c r="L18" s="31"/>
      <c r="M18" s="31"/>
      <c r="N18" s="31"/>
      <c r="O18" s="31"/>
    </row>
    <row r="19" spans="1:15" ht="14.25" customHeight="1">
      <c r="A19" s="12"/>
      <c r="B19" s="44" t="s">
        <v>14247</v>
      </c>
      <c r="C19" s="37">
        <v>0.03</v>
      </c>
      <c r="D19" s="38"/>
      <c r="E19" s="39" t="e">
        <f t="shared" ref="E19:E33" si="3">F19/$L$3</f>
        <v>#VALUE!</v>
      </c>
      <c r="F19" s="46">
        <f ca="1">SUMIF('Журнал Закупок'!B:B,D19,'Журнал Закупок'!O:O)</f>
        <v>0</v>
      </c>
      <c r="G19" s="47">
        <f ca="1">SUMIF('Журнал Закупок'!B:B,D19,'Журнал Закупок'!G:G)</f>
        <v>0</v>
      </c>
      <c r="H19" s="46">
        <f ca="1">SUMIF('Журнал Закупок'!B:B,D19,'Журнал Закупок'!I:I)</f>
        <v>0</v>
      </c>
      <c r="I19" s="48">
        <f ca="1">SUMIF('Журнал Закупок'!B:B,D19,'Журнал Закупок'!J:J)</f>
        <v>0</v>
      </c>
      <c r="J19" s="40">
        <f t="shared" ref="J19:J33" si="4">F19-H19</f>
        <v>0</v>
      </c>
      <c r="K19" s="43" t="e">
        <f t="shared" ref="K19:K33" ca="1" si="5">IFERROR((F19-H19)/H19,0)</f>
        <v>#NAME?</v>
      </c>
      <c r="L19" s="31"/>
      <c r="M19" s="31"/>
      <c r="N19" s="31"/>
      <c r="O19" s="31"/>
    </row>
    <row r="20" spans="1:15" ht="14.25" customHeight="1">
      <c r="A20" s="12"/>
      <c r="B20" s="44" t="s">
        <v>14248</v>
      </c>
      <c r="C20" s="50">
        <v>0.03</v>
      </c>
      <c r="D20" s="45"/>
      <c r="E20" s="39" t="e">
        <f t="shared" si="3"/>
        <v>#VALUE!</v>
      </c>
      <c r="F20" s="46">
        <f ca="1">SUMIF('Журнал Закупок'!B:B,D20,'Журнал Закупок'!O:O)</f>
        <v>0</v>
      </c>
      <c r="G20" s="47">
        <f ca="1">SUMIF('Журнал Закупок'!B:B,D20,'Журнал Закупок'!G:G)</f>
        <v>0</v>
      </c>
      <c r="H20" s="46">
        <f ca="1">SUMIF('Журнал Закупок'!B:B,D20,'Журнал Закупок'!I:I)</f>
        <v>0</v>
      </c>
      <c r="I20" s="48">
        <f ca="1">SUMIF('Журнал Закупок'!B:B,D20,'Журнал Закупок'!J:J)</f>
        <v>0</v>
      </c>
      <c r="J20" s="46">
        <f t="shared" si="4"/>
        <v>0</v>
      </c>
      <c r="K20" s="49" t="e">
        <f t="shared" ca="1" si="5"/>
        <v>#NAME?</v>
      </c>
      <c r="L20" s="31"/>
      <c r="M20" s="31"/>
      <c r="N20" s="31"/>
      <c r="O20" s="31"/>
    </row>
    <row r="21" spans="1:15" ht="14.25" customHeight="1">
      <c r="A21" s="12"/>
      <c r="B21" s="44" t="s">
        <v>14249</v>
      </c>
      <c r="C21" s="37">
        <v>0.03</v>
      </c>
      <c r="D21" s="45"/>
      <c r="E21" s="39" t="e">
        <f t="shared" si="3"/>
        <v>#VALUE!</v>
      </c>
      <c r="F21" s="46">
        <f ca="1">SUMIF('Журнал Закупок'!B:B,D21,'Журнал Закупок'!O:O)</f>
        <v>0</v>
      </c>
      <c r="G21" s="47">
        <f ca="1">SUMIF('Журнал Закупок'!B:B,D21,'Журнал Закупок'!G:G)</f>
        <v>0</v>
      </c>
      <c r="H21" s="46">
        <f ca="1">SUMIF('Журнал Закупок'!B:B,D21,'Журнал Закупок'!I:I)</f>
        <v>0</v>
      </c>
      <c r="I21" s="48">
        <f ca="1">SUMIF('Журнал Закупок'!B:B,D21,'Журнал Закупок'!J:J)</f>
        <v>0</v>
      </c>
      <c r="J21" s="46">
        <f t="shared" si="4"/>
        <v>0</v>
      </c>
      <c r="K21" s="49" t="e">
        <f t="shared" ca="1" si="5"/>
        <v>#NAME?</v>
      </c>
      <c r="L21" s="31"/>
      <c r="M21" s="31"/>
      <c r="N21" s="31"/>
      <c r="O21" s="31"/>
    </row>
    <row r="22" spans="1:15" ht="14.25" customHeight="1">
      <c r="A22" s="12"/>
      <c r="B22" s="44" t="s">
        <v>14252</v>
      </c>
      <c r="C22" s="50">
        <v>0.03</v>
      </c>
      <c r="D22" s="45"/>
      <c r="E22" s="39" t="e">
        <f t="shared" si="3"/>
        <v>#VALUE!</v>
      </c>
      <c r="F22" s="46">
        <f ca="1">SUMIF('Журнал Закупок'!B:B,D22,'Журнал Закупок'!O:O)</f>
        <v>0</v>
      </c>
      <c r="G22" s="47">
        <f ca="1">SUMIF('Журнал Закупок'!B:B,D22,'Журнал Закупок'!G:G)</f>
        <v>0</v>
      </c>
      <c r="H22" s="46">
        <f ca="1">SUMIF('Журнал Закупок'!B:B,D22,'Журнал Закупок'!I:I)</f>
        <v>0</v>
      </c>
      <c r="I22" s="48">
        <f ca="1">SUMIF('Журнал Закупок'!B:B,D22,'Журнал Закупок'!J:J)</f>
        <v>0</v>
      </c>
      <c r="J22" s="46">
        <f t="shared" si="4"/>
        <v>0</v>
      </c>
      <c r="K22" s="49" t="e">
        <f t="shared" ca="1" si="5"/>
        <v>#NAME?</v>
      </c>
      <c r="L22" s="31"/>
      <c r="M22" s="31"/>
      <c r="N22" s="31"/>
      <c r="O22" s="31"/>
    </row>
    <row r="23" spans="1:15" ht="14.25" customHeight="1">
      <c r="A23" s="12"/>
      <c r="B23" s="44" t="s">
        <v>14251</v>
      </c>
      <c r="C23" s="37">
        <v>0.03</v>
      </c>
      <c r="D23" s="45"/>
      <c r="E23" s="39" t="e">
        <f t="shared" si="3"/>
        <v>#VALUE!</v>
      </c>
      <c r="F23" s="46">
        <f ca="1">SUMIF('Журнал Закупок'!B:B,D23,'Журнал Закупок'!O:O)</f>
        <v>0</v>
      </c>
      <c r="G23" s="47">
        <f ca="1">SUMIF('Журнал Закупок'!B:B,D23,'Журнал Закупок'!G:G)</f>
        <v>0</v>
      </c>
      <c r="H23" s="46">
        <f ca="1">SUMIF('Журнал Закупок'!B:B,D23,'Журнал Закупок'!I:I)</f>
        <v>0</v>
      </c>
      <c r="I23" s="48">
        <f ca="1">SUMIF('Журнал Закупок'!B:B,D23,'Журнал Закупок'!J:J)</f>
        <v>0</v>
      </c>
      <c r="J23" s="46">
        <f t="shared" si="4"/>
        <v>0</v>
      </c>
      <c r="K23" s="49" t="e">
        <f t="shared" ca="1" si="5"/>
        <v>#NAME?</v>
      </c>
      <c r="L23" s="31"/>
      <c r="M23" s="31"/>
      <c r="N23" s="31"/>
      <c r="O23" s="31"/>
    </row>
    <row r="24" spans="1:15" ht="14.25" customHeight="1">
      <c r="A24" s="12"/>
      <c r="B24" s="44" t="s">
        <v>14250</v>
      </c>
      <c r="C24" s="50">
        <v>0.03</v>
      </c>
      <c r="D24" s="45"/>
      <c r="E24" s="39" t="e">
        <f t="shared" si="3"/>
        <v>#VALUE!</v>
      </c>
      <c r="F24" s="46">
        <f ca="1">SUMIF('Журнал Закупок'!B:B,D24,'Журнал Закупок'!O:O)</f>
        <v>0</v>
      </c>
      <c r="G24" s="47">
        <f ca="1">SUMIF('Журнал Закупок'!B:B,D24,'Журнал Закупок'!G:G)</f>
        <v>0</v>
      </c>
      <c r="H24" s="46">
        <f ca="1">SUMIF('Журнал Закупок'!B:B,D24,'Журнал Закупок'!I:I)</f>
        <v>0</v>
      </c>
      <c r="I24" s="48">
        <f ca="1">SUMIF('Журнал Закупок'!B:B,D24,'Журнал Закупок'!J:J)</f>
        <v>0</v>
      </c>
      <c r="J24" s="46">
        <f t="shared" si="4"/>
        <v>0</v>
      </c>
      <c r="K24" s="49" t="e">
        <f t="shared" ca="1" si="5"/>
        <v>#NAME?</v>
      </c>
      <c r="L24" s="31"/>
      <c r="M24" s="31"/>
      <c r="N24" s="31"/>
      <c r="O24" s="31"/>
    </row>
    <row r="25" spans="1:15" ht="14.25" customHeight="1">
      <c r="A25" s="12"/>
      <c r="B25" s="44" t="s">
        <v>14253</v>
      </c>
      <c r="C25" s="50">
        <v>0.03</v>
      </c>
      <c r="D25" s="45"/>
      <c r="E25" s="39" t="e">
        <f t="shared" si="3"/>
        <v>#VALUE!</v>
      </c>
      <c r="F25" s="46">
        <f ca="1">SUMIF('Журнал Закупок'!B:B,D25,'Журнал Закупок'!O:O)</f>
        <v>0</v>
      </c>
      <c r="G25" s="47">
        <f ca="1">SUMIF('Журнал Закупок'!B:B,D25,'Журнал Закупок'!G:G)</f>
        <v>0</v>
      </c>
      <c r="H25" s="46">
        <f ca="1">SUMIF('Журнал Закупок'!B:B,D25,'Журнал Закупок'!I:I)</f>
        <v>0</v>
      </c>
      <c r="I25" s="48">
        <f ca="1">SUMIF('Журнал Закупок'!B:B,D25,'Журнал Закупок'!J:J)</f>
        <v>0</v>
      </c>
      <c r="J25" s="46">
        <f t="shared" si="4"/>
        <v>0</v>
      </c>
      <c r="K25" s="49" t="e">
        <f t="shared" ca="1" si="5"/>
        <v>#NAME?</v>
      </c>
      <c r="L25" s="31"/>
      <c r="M25" s="31"/>
      <c r="N25" s="31"/>
      <c r="O25" s="31"/>
    </row>
    <row r="26" spans="1:15" ht="14.25" customHeight="1">
      <c r="A26" s="12"/>
      <c r="B26" s="138" t="s">
        <v>14247</v>
      </c>
      <c r="C26" s="139">
        <v>0.05</v>
      </c>
      <c r="D26" s="45"/>
      <c r="E26" s="39" t="e">
        <f t="shared" si="3"/>
        <v>#VALUE!</v>
      </c>
      <c r="F26" s="46">
        <f ca="1">SUMIF('Журнал Закупок'!B:B,D26,'Журнал Закупок'!O:O)</f>
        <v>0</v>
      </c>
      <c r="G26" s="47"/>
      <c r="H26" s="46">
        <f ca="1">SUMIF('Журнал Закупок'!B:B,D26,'Журнал Закупок'!I:I)</f>
        <v>0</v>
      </c>
      <c r="I26" s="48">
        <f ca="1">SUMIF('Журнал Закупок'!B:B,D26,'Журнал Закупок'!J:J)</f>
        <v>0</v>
      </c>
      <c r="J26" s="46">
        <f t="shared" si="4"/>
        <v>0</v>
      </c>
      <c r="K26" s="49" t="e">
        <f t="shared" ca="1" si="5"/>
        <v>#NAME?</v>
      </c>
      <c r="L26" s="31"/>
      <c r="M26" s="31"/>
      <c r="N26" s="31"/>
      <c r="O26" s="31"/>
    </row>
    <row r="27" spans="1:15" ht="14.25" customHeight="1">
      <c r="A27" s="12"/>
      <c r="B27" s="138" t="s">
        <v>14248</v>
      </c>
      <c r="C27" s="140">
        <v>0.05</v>
      </c>
      <c r="D27" s="45"/>
      <c r="E27" s="39" t="e">
        <f t="shared" si="3"/>
        <v>#VALUE!</v>
      </c>
      <c r="F27" s="46">
        <f ca="1">SUMIF('Журнал Закупок'!B:B,D27,'Журнал Закупок'!O:O)</f>
        <v>0</v>
      </c>
      <c r="G27" s="47"/>
      <c r="H27" s="46">
        <f ca="1">SUMIF('Журнал Закупок'!B:B,D27,'Журнал Закупок'!I:I)</f>
        <v>0</v>
      </c>
      <c r="I27" s="48">
        <f ca="1">SUMIF('Журнал Закупок'!B:B,D27,'Журнал Закупок'!J:J)</f>
        <v>0</v>
      </c>
      <c r="J27" s="46">
        <f t="shared" si="4"/>
        <v>0</v>
      </c>
      <c r="K27" s="49" t="e">
        <f t="shared" ca="1" si="5"/>
        <v>#NAME?</v>
      </c>
      <c r="L27" s="31"/>
      <c r="M27" s="31"/>
      <c r="N27" s="31"/>
      <c r="O27" s="31"/>
    </row>
    <row r="28" spans="1:15" ht="14.25" customHeight="1">
      <c r="A28" s="12"/>
      <c r="B28" s="138" t="s">
        <v>14254</v>
      </c>
      <c r="C28" s="139">
        <v>0.05</v>
      </c>
      <c r="D28" s="38"/>
      <c r="E28" s="39" t="e">
        <f t="shared" si="3"/>
        <v>#VALUE!</v>
      </c>
      <c r="F28" s="46">
        <f ca="1">SUMIF('Журнал Закупок'!B:B,D28,'Журнал Закупок'!O:O)</f>
        <v>0</v>
      </c>
      <c r="G28" s="47"/>
      <c r="H28" s="46">
        <f ca="1">SUMIF('Журнал Закупок'!B:B,D28,'Журнал Закупок'!I:I)</f>
        <v>0</v>
      </c>
      <c r="I28" s="48">
        <f ca="1">SUMIF('Журнал Закупок'!B:B,D28,'Журнал Закупок'!J:J)</f>
        <v>0</v>
      </c>
      <c r="J28" s="46">
        <f t="shared" si="4"/>
        <v>0</v>
      </c>
      <c r="K28" s="49" t="e">
        <f t="shared" ca="1" si="5"/>
        <v>#NAME?</v>
      </c>
      <c r="L28" s="31"/>
      <c r="M28" s="31"/>
      <c r="N28" s="31"/>
      <c r="O28" s="31"/>
    </row>
    <row r="29" spans="1:15" ht="14.25" customHeight="1">
      <c r="A29" s="12"/>
      <c r="B29" s="44"/>
      <c r="C29" s="50"/>
      <c r="D29" s="45"/>
      <c r="E29" s="39" t="e">
        <f t="shared" si="3"/>
        <v>#VALUE!</v>
      </c>
      <c r="F29" s="46">
        <f ca="1">SUMIF('Журнал Закупок'!B:B,D29,'Журнал Закупок'!O:O)</f>
        <v>0</v>
      </c>
      <c r="G29" s="47"/>
      <c r="H29" s="46">
        <f ca="1">SUMIF('Журнал Закупок'!B:B,D29,'Журнал Закупок'!I:I)</f>
        <v>0</v>
      </c>
      <c r="I29" s="48">
        <f ca="1">SUMIF('Журнал Закупок'!B:B,D29,'Журнал Закупок'!J:J)</f>
        <v>0</v>
      </c>
      <c r="J29" s="46">
        <f t="shared" si="4"/>
        <v>0</v>
      </c>
      <c r="K29" s="49" t="e">
        <f t="shared" ca="1" si="5"/>
        <v>#NAME?</v>
      </c>
      <c r="L29" s="31"/>
      <c r="M29" s="31"/>
      <c r="N29" s="31"/>
      <c r="O29" s="31"/>
    </row>
    <row r="30" spans="1:15" ht="14.25" customHeight="1">
      <c r="A30" s="12"/>
      <c r="B30" s="44"/>
      <c r="C30" s="50"/>
      <c r="D30" s="45"/>
      <c r="E30" s="39" t="e">
        <f t="shared" si="3"/>
        <v>#VALUE!</v>
      </c>
      <c r="F30" s="46">
        <f ca="1">SUMIF('Журнал Закупок'!B:B,D30,'Журнал Закупок'!O:O)</f>
        <v>0</v>
      </c>
      <c r="G30" s="47"/>
      <c r="H30" s="46">
        <f ca="1">SUMIF('Журнал Закупок'!B:B,D30,'Журнал Закупок'!I:I)</f>
        <v>0</v>
      </c>
      <c r="I30" s="48">
        <f ca="1">SUMIF('Журнал Закупок'!B:B,D30,'Журнал Закупок'!J:J)</f>
        <v>0</v>
      </c>
      <c r="J30" s="46">
        <f t="shared" si="4"/>
        <v>0</v>
      </c>
      <c r="K30" s="49" t="e">
        <f t="shared" ca="1" si="5"/>
        <v>#NAME?</v>
      </c>
      <c r="L30" s="31"/>
      <c r="M30" s="31"/>
      <c r="N30" s="31"/>
      <c r="O30" s="31"/>
    </row>
    <row r="31" spans="1:15" ht="14.25" customHeight="1">
      <c r="A31" s="12"/>
      <c r="B31" s="44"/>
      <c r="C31" s="50"/>
      <c r="D31" s="45"/>
      <c r="E31" s="39" t="e">
        <f t="shared" si="3"/>
        <v>#VALUE!</v>
      </c>
      <c r="F31" s="46">
        <f ca="1">SUMIF('Журнал Закупок'!B:B,D31,'Журнал Закупок'!O:O)</f>
        <v>0</v>
      </c>
      <c r="G31" s="47">
        <f ca="1">SUMIF('Журнал Закупок'!B:B,D31,'Журнал Закупок'!G:G)</f>
        <v>0</v>
      </c>
      <c r="H31" s="46">
        <f ca="1">SUMIF('Журнал Закупок'!B:B,D31,'Журнал Закупок'!I:I)</f>
        <v>0</v>
      </c>
      <c r="I31" s="48">
        <f ca="1">SUMIF('Журнал Закупок'!B:B,D31,'Журнал Закупок'!J:J)</f>
        <v>0</v>
      </c>
      <c r="J31" s="46">
        <f t="shared" si="4"/>
        <v>0</v>
      </c>
      <c r="K31" s="49" t="e">
        <f t="shared" ca="1" si="5"/>
        <v>#NAME?</v>
      </c>
      <c r="L31" s="31"/>
      <c r="M31" s="31"/>
      <c r="N31" s="31"/>
      <c r="O31" s="31"/>
    </row>
    <row r="32" spans="1:15" ht="14.25" customHeight="1">
      <c r="A32" s="12"/>
      <c r="B32" s="44"/>
      <c r="C32" s="50"/>
      <c r="D32" s="45"/>
      <c r="E32" s="39" t="e">
        <f t="shared" si="3"/>
        <v>#VALUE!</v>
      </c>
      <c r="F32" s="46">
        <f ca="1">SUMIF('Журнал Закупок'!B:B,D32,'Журнал Закупок'!O:O)</f>
        <v>0</v>
      </c>
      <c r="G32" s="47">
        <f ca="1">SUMIF('Журнал Закупок'!B:B,D32,'Журнал Закупок'!G:G)</f>
        <v>0</v>
      </c>
      <c r="H32" s="46">
        <f ca="1">SUMIF('Журнал Закупок'!B:B,D32,'Журнал Закупок'!I:I)</f>
        <v>0</v>
      </c>
      <c r="I32" s="48">
        <f ca="1">SUMIF('Журнал Закупок'!B:B,D32,'Журнал Закупок'!J:J)</f>
        <v>0</v>
      </c>
      <c r="J32" s="46">
        <f t="shared" si="4"/>
        <v>0</v>
      </c>
      <c r="K32" s="49" t="e">
        <f t="shared" ca="1" si="5"/>
        <v>#NAME?</v>
      </c>
      <c r="L32" s="31"/>
      <c r="M32" s="31"/>
      <c r="N32" s="31"/>
      <c r="O32" s="31"/>
    </row>
    <row r="33" spans="1:15" ht="14.25" customHeight="1">
      <c r="A33" s="12"/>
      <c r="B33" s="44"/>
      <c r="C33" s="50"/>
      <c r="D33" s="45"/>
      <c r="E33" s="39" t="e">
        <f t="shared" si="3"/>
        <v>#VALUE!</v>
      </c>
      <c r="F33" s="46">
        <f ca="1">SUMIF('Журнал Закупок'!B:B,D33,'Журнал Закупок'!O:O)</f>
        <v>0</v>
      </c>
      <c r="G33" s="47">
        <f ca="1">SUMIF('Журнал Закупок'!B:B,D33,'Журнал Закупок'!G:G)</f>
        <v>0</v>
      </c>
      <c r="H33" s="46">
        <f ca="1">SUMIF('Журнал Закупок'!B:B,D33,'Журнал Закупок'!I:I)</f>
        <v>0</v>
      </c>
      <c r="I33" s="48">
        <f ca="1">SUMIF('Журнал Закупок'!B:B,D33,'Журнал Закупок'!J:J)</f>
        <v>0</v>
      </c>
      <c r="J33" s="46">
        <f t="shared" si="4"/>
        <v>0</v>
      </c>
      <c r="K33" s="49" t="e">
        <f t="shared" ca="1" si="5"/>
        <v>#NAME?</v>
      </c>
      <c r="L33" s="31"/>
      <c r="M33" s="31"/>
      <c r="N33" s="31"/>
      <c r="O33" s="31"/>
    </row>
    <row r="34" spans="1:15" ht="14.25" customHeight="1">
      <c r="A34" s="12"/>
      <c r="B34" s="56" t="s">
        <v>12915</v>
      </c>
      <c r="C34" s="57"/>
      <c r="D34" s="58"/>
      <c r="E34" s="58"/>
      <c r="F34" s="59" t="s">
        <v>12920</v>
      </c>
      <c r="G34" s="58"/>
      <c r="H34" s="59"/>
      <c r="I34" s="58"/>
      <c r="J34" s="58"/>
      <c r="K34" s="60"/>
      <c r="L34" s="31"/>
      <c r="M34" s="31"/>
      <c r="N34" s="31"/>
      <c r="O34" s="31"/>
    </row>
    <row r="35" spans="1:15" ht="14.25" customHeight="1">
      <c r="A35" s="12"/>
      <c r="B35" s="36" t="s">
        <v>15055</v>
      </c>
      <c r="C35" s="37">
        <v>7.0000000000000007E-2</v>
      </c>
      <c r="D35" s="38"/>
      <c r="E35" s="39" t="e">
        <f t="shared" ref="E35:E64" si="6">F35/$L$3</f>
        <v>#VALUE!</v>
      </c>
      <c r="F35" s="46">
        <f ca="1">SUMIF('Журнал Закупок'!B:B,D35,'Журнал Закупок'!O:O)</f>
        <v>0</v>
      </c>
      <c r="G35" s="47">
        <f ca="1">SUMIF('Журнал Закупок'!B:B,D35,'Журнал Закупок'!G:G)</f>
        <v>0</v>
      </c>
      <c r="H35" s="46">
        <f ca="1">SUMIF('Журнал Закупок'!B:B,D35,'Журнал Закупок'!I:I)</f>
        <v>0</v>
      </c>
      <c r="I35" s="48">
        <f ca="1">SUMIF('Журнал Закупок'!B:B,D35,'Журнал Закупок'!J:J)</f>
        <v>0</v>
      </c>
      <c r="J35" s="40">
        <f t="shared" ref="J35:J64" si="7">F35-H35</f>
        <v>0</v>
      </c>
      <c r="K35" s="43" t="e">
        <f t="shared" ref="K35:K64" ca="1" si="8">IFERROR((F35-H35)/H35,0)</f>
        <v>#NAME?</v>
      </c>
      <c r="L35" s="31"/>
      <c r="M35" s="31"/>
      <c r="N35" s="31"/>
      <c r="O35" s="31"/>
    </row>
    <row r="36" spans="1:15" ht="14.25" customHeight="1">
      <c r="A36" s="12"/>
      <c r="B36" s="44" t="s">
        <v>14255</v>
      </c>
      <c r="C36" s="50">
        <v>7.0000000000000007E-2</v>
      </c>
      <c r="D36" s="45"/>
      <c r="E36" s="39" t="e">
        <f t="shared" si="6"/>
        <v>#VALUE!</v>
      </c>
      <c r="F36" s="46">
        <f ca="1">SUMIF('Журнал Закупок'!B:B,D36,'Журнал Закупок'!O:O)</f>
        <v>0</v>
      </c>
      <c r="G36" s="47">
        <f ca="1">SUMIF('Журнал Закупок'!B:B,D36,'Журнал Закупок'!G:G)</f>
        <v>0</v>
      </c>
      <c r="H36" s="46">
        <f ca="1">SUMIF('Журнал Закупок'!B:B,D36,'Журнал Закупок'!I:I)</f>
        <v>0</v>
      </c>
      <c r="I36" s="48">
        <f ca="1">SUMIF('Журнал Закупок'!B:B,D36,'Журнал Закупок'!J:J)</f>
        <v>0</v>
      </c>
      <c r="J36" s="46">
        <f t="shared" si="7"/>
        <v>0</v>
      </c>
      <c r="K36" s="49" t="e">
        <f t="shared" ca="1" si="8"/>
        <v>#NAME?</v>
      </c>
      <c r="L36" s="31"/>
      <c r="M36" s="31"/>
      <c r="N36" s="31"/>
      <c r="O36" s="31"/>
    </row>
    <row r="37" spans="1:15" ht="14.25" customHeight="1">
      <c r="A37" s="12"/>
      <c r="B37" s="44"/>
      <c r="C37" s="61"/>
      <c r="D37" s="45"/>
      <c r="E37" s="39" t="e">
        <f t="shared" si="6"/>
        <v>#VALUE!</v>
      </c>
      <c r="F37" s="46">
        <f ca="1">SUMIF('Журнал Закупок'!B:B,D37,'Журнал Закупок'!O:O)</f>
        <v>0</v>
      </c>
      <c r="G37" s="47">
        <f ca="1">SUMIF('Журнал Закупок'!B:B,D37,'Журнал Закупок'!G:G)</f>
        <v>0</v>
      </c>
      <c r="H37" s="46">
        <f ca="1">SUMIF('Журнал Закупок'!B:B,D37,'Журнал Закупок'!I:I)</f>
        <v>0</v>
      </c>
      <c r="I37" s="48">
        <f ca="1">SUMIF('Журнал Закупок'!B:B,D37,'Журнал Закупок'!J:J)</f>
        <v>0</v>
      </c>
      <c r="J37" s="46">
        <f t="shared" si="7"/>
        <v>0</v>
      </c>
      <c r="K37" s="49" t="e">
        <f t="shared" ca="1" si="8"/>
        <v>#NAME?</v>
      </c>
      <c r="L37" s="31"/>
      <c r="M37" s="31"/>
      <c r="N37" s="31"/>
      <c r="O37" s="31"/>
    </row>
    <row r="38" spans="1:15" ht="14.25" customHeight="1">
      <c r="A38" s="12"/>
      <c r="B38" s="44"/>
      <c r="C38" s="50"/>
      <c r="D38" s="45"/>
      <c r="E38" s="39" t="e">
        <f t="shared" si="6"/>
        <v>#VALUE!</v>
      </c>
      <c r="F38" s="46">
        <f ca="1">SUMIF('Журнал Закупок'!B:B,D38,'Журнал Закупок'!O:O)</f>
        <v>0</v>
      </c>
      <c r="G38" s="47">
        <f ca="1">SUMIF('Журнал Закупок'!B:B,D38,'Журнал Закупок'!G:G)</f>
        <v>0</v>
      </c>
      <c r="H38" s="46">
        <f ca="1">SUMIF('Журнал Закупок'!B:B,D38,'Журнал Закупок'!I:I)</f>
        <v>0</v>
      </c>
      <c r="I38" s="48">
        <f ca="1">SUMIF('Журнал Закупок'!B:B,D38,'Журнал Закупок'!J:J)</f>
        <v>0</v>
      </c>
      <c r="J38" s="46">
        <f t="shared" si="7"/>
        <v>0</v>
      </c>
      <c r="K38" s="49" t="e">
        <f t="shared" ca="1" si="8"/>
        <v>#NAME?</v>
      </c>
      <c r="L38" s="31"/>
      <c r="M38" s="31"/>
      <c r="N38" s="31"/>
      <c r="O38" s="31"/>
    </row>
    <row r="39" spans="1:15" ht="14.25" customHeight="1">
      <c r="A39" s="12"/>
      <c r="B39" s="44"/>
      <c r="C39" s="61"/>
      <c r="D39" s="45"/>
      <c r="E39" s="39" t="e">
        <f t="shared" si="6"/>
        <v>#VALUE!</v>
      </c>
      <c r="F39" s="46">
        <f ca="1">SUMIF('Журнал Закупок'!B:B,D39,'Журнал Закупок'!O:O)</f>
        <v>0</v>
      </c>
      <c r="G39" s="47">
        <f ca="1">SUMIF('Журнал Закупок'!B:B,D39,'Журнал Закупок'!G:G)</f>
        <v>0</v>
      </c>
      <c r="H39" s="46">
        <f ca="1">SUMIF('Журнал Закупок'!B:B,D39,'Журнал Закупок'!I:I)</f>
        <v>0</v>
      </c>
      <c r="I39" s="48">
        <f ca="1">SUMIF('Журнал Закупок'!B:B,D39,'Журнал Закупок'!J:J)</f>
        <v>0</v>
      </c>
      <c r="J39" s="46">
        <f t="shared" si="7"/>
        <v>0</v>
      </c>
      <c r="K39" s="49" t="e">
        <f t="shared" ca="1" si="8"/>
        <v>#NAME?</v>
      </c>
      <c r="L39" s="31"/>
      <c r="M39" s="31"/>
      <c r="N39" s="31"/>
      <c r="O39" s="31"/>
    </row>
    <row r="40" spans="1:15" ht="14.25" customHeight="1">
      <c r="A40" s="12"/>
      <c r="B40" s="44"/>
      <c r="C40" s="50"/>
      <c r="D40" s="45"/>
      <c r="E40" s="39" t="e">
        <f t="shared" si="6"/>
        <v>#VALUE!</v>
      </c>
      <c r="F40" s="46">
        <f ca="1">SUMIF('Журнал Закупок'!B:B,D40,'Журнал Закупок'!O:O)</f>
        <v>0</v>
      </c>
      <c r="G40" s="47">
        <f ca="1">SUMIF('Журнал Закупок'!B:B,D40,'Журнал Закупок'!G:G)</f>
        <v>0</v>
      </c>
      <c r="H40" s="46">
        <f ca="1">SUMIF('Журнал Закупок'!B:B,D40,'Журнал Закупок'!I:I)</f>
        <v>0</v>
      </c>
      <c r="I40" s="48">
        <f ca="1">SUMIF('Журнал Закупок'!B:B,D40,'Журнал Закупок'!J:J)</f>
        <v>0</v>
      </c>
      <c r="J40" s="46">
        <f t="shared" si="7"/>
        <v>0</v>
      </c>
      <c r="K40" s="49" t="e">
        <f t="shared" ca="1" si="8"/>
        <v>#NAME?</v>
      </c>
      <c r="L40" s="31"/>
      <c r="M40" s="31"/>
      <c r="N40" s="31"/>
      <c r="O40" s="31"/>
    </row>
    <row r="41" spans="1:15" ht="14.25" customHeight="1">
      <c r="A41" s="12"/>
      <c r="B41" s="44"/>
      <c r="C41" s="50"/>
      <c r="D41" s="45"/>
      <c r="E41" s="39" t="e">
        <f t="shared" si="6"/>
        <v>#VALUE!</v>
      </c>
      <c r="F41" s="46">
        <f ca="1">SUMIF('Журнал Закупок'!B:B,D41,'Журнал Закупок'!O:O)</f>
        <v>0</v>
      </c>
      <c r="G41" s="47">
        <f ca="1">SUMIF('Журнал Закупок'!B:B,D41,'Журнал Закупок'!G:G)</f>
        <v>0</v>
      </c>
      <c r="H41" s="46">
        <f ca="1">SUMIF('Журнал Закупок'!B:B,D41,'Журнал Закупок'!I:I)</f>
        <v>0</v>
      </c>
      <c r="I41" s="48">
        <f ca="1">SUMIF('Журнал Закупок'!B:B,D41,'Журнал Закупок'!J:J)</f>
        <v>0</v>
      </c>
      <c r="J41" s="46">
        <f t="shared" si="7"/>
        <v>0</v>
      </c>
      <c r="K41" s="49" t="e">
        <f t="shared" ca="1" si="8"/>
        <v>#NAME?</v>
      </c>
      <c r="L41" s="31"/>
      <c r="M41" s="31"/>
      <c r="N41" s="31"/>
      <c r="O41" s="31"/>
    </row>
    <row r="42" spans="1:15" ht="14.25" customHeight="1">
      <c r="A42" s="12"/>
      <c r="B42" s="44"/>
      <c r="C42" s="50"/>
      <c r="D42" s="45"/>
      <c r="E42" s="39" t="e">
        <f t="shared" si="6"/>
        <v>#VALUE!</v>
      </c>
      <c r="F42" s="46">
        <f ca="1">SUMIF('Журнал Закупок'!B:B,D42,'Журнал Закупок'!O:O)</f>
        <v>0</v>
      </c>
      <c r="G42" s="47">
        <f ca="1">SUMIF('Журнал Закупок'!B:B,D42,'Журнал Закупок'!G:G)</f>
        <v>0</v>
      </c>
      <c r="H42" s="46">
        <f ca="1">SUMIF('Журнал Закупок'!B:B,D42,'Журнал Закупок'!I:I)</f>
        <v>0</v>
      </c>
      <c r="I42" s="48">
        <f ca="1">SUMIF('Журнал Закупок'!B:B,D42,'Журнал Закупок'!J:J)</f>
        <v>0</v>
      </c>
      <c r="J42" s="46">
        <f t="shared" si="7"/>
        <v>0</v>
      </c>
      <c r="K42" s="49" t="e">
        <f t="shared" ca="1" si="8"/>
        <v>#NAME?</v>
      </c>
      <c r="L42" s="31"/>
      <c r="M42" s="31"/>
      <c r="N42" s="31"/>
      <c r="O42" s="31"/>
    </row>
    <row r="43" spans="1:15" ht="14.25" customHeight="1">
      <c r="A43" s="12"/>
      <c r="B43" s="54"/>
      <c r="C43" s="55"/>
      <c r="D43" s="45"/>
      <c r="E43" s="39" t="e">
        <f t="shared" si="6"/>
        <v>#VALUE!</v>
      </c>
      <c r="F43" s="46">
        <f ca="1">SUMIF('Журнал Закупок'!B:B,D43,'Журнал Закупок'!O:O)</f>
        <v>0</v>
      </c>
      <c r="G43" s="47" t="str">
        <f ca="1">IF(D43="","",SUMIF(#REF!,D43,#REF!))</f>
        <v/>
      </c>
      <c r="H43" s="46">
        <f ca="1">SUMIF('Журнал Закупок'!B:B,D43,'Журнал Закупок'!I:I)</f>
        <v>0</v>
      </c>
      <c r="I43" s="48">
        <f ca="1">SUMIF('Журнал Закупок'!B:B,D43,'Журнал Закупок'!J:J)</f>
        <v>0</v>
      </c>
      <c r="J43" s="46">
        <f t="shared" si="7"/>
        <v>0</v>
      </c>
      <c r="K43" s="49" t="e">
        <f t="shared" ca="1" si="8"/>
        <v>#NAME?</v>
      </c>
      <c r="L43" s="31"/>
      <c r="M43" s="31"/>
      <c r="N43" s="31"/>
      <c r="O43" s="31"/>
    </row>
    <row r="44" spans="1:15" ht="14.25" customHeight="1">
      <c r="A44" s="12"/>
      <c r="B44" s="44"/>
      <c r="C44" s="50"/>
      <c r="D44" s="45"/>
      <c r="E44" s="39" t="e">
        <f t="shared" si="6"/>
        <v>#VALUE!</v>
      </c>
      <c r="F44" s="46">
        <f ca="1">SUMIF('Журнал Закупок'!B:B,D44,'Журнал Закупок'!O:O)</f>
        <v>0</v>
      </c>
      <c r="G44" s="47">
        <f ca="1">SUMIF('Журнал Закупок'!B:B,D44,'Журнал Закупок'!G:G)</f>
        <v>0</v>
      </c>
      <c r="H44" s="46">
        <f ca="1">SUMIF('Журнал Закупок'!B:B,D44,'Журнал Закупок'!I:I)</f>
        <v>0</v>
      </c>
      <c r="I44" s="48">
        <f ca="1">SUMIF('Журнал Закупок'!B:B,D44,'Журнал Закупок'!J:J)</f>
        <v>0</v>
      </c>
      <c r="J44" s="46">
        <f t="shared" si="7"/>
        <v>0</v>
      </c>
      <c r="K44" s="49" t="e">
        <f t="shared" ca="1" si="8"/>
        <v>#NAME?</v>
      </c>
      <c r="L44" s="31"/>
      <c r="M44" s="31"/>
      <c r="N44" s="31"/>
      <c r="O44" s="31"/>
    </row>
    <row r="45" spans="1:15" ht="14.25" customHeight="1">
      <c r="A45" s="12"/>
      <c r="B45" s="54"/>
      <c r="C45" s="55"/>
      <c r="D45" s="45"/>
      <c r="E45" s="39" t="e">
        <f t="shared" si="6"/>
        <v>#VALUE!</v>
      </c>
      <c r="F45" s="46">
        <f ca="1">SUMIF('Журнал Закупок'!B:B,D45,'Журнал Закупок'!O:O)</f>
        <v>0</v>
      </c>
      <c r="G45" s="47" t="str">
        <f ca="1">IF(D45="","",SUMIF(#REF!,D45,#REF!))</f>
        <v/>
      </c>
      <c r="H45" s="46">
        <f ca="1">SUMIF('Журнал Закупок'!B:B,D45,'Журнал Закупок'!I:I)</f>
        <v>0</v>
      </c>
      <c r="I45" s="48">
        <f ca="1">SUMIF('Журнал Закупок'!B:B,D45,'Журнал Закупок'!J:J)</f>
        <v>0</v>
      </c>
      <c r="J45" s="46">
        <f t="shared" si="7"/>
        <v>0</v>
      </c>
      <c r="K45" s="49" t="e">
        <f t="shared" ca="1" si="8"/>
        <v>#NAME?</v>
      </c>
      <c r="L45" s="31"/>
      <c r="M45" s="31"/>
      <c r="N45" s="31"/>
      <c r="O45" s="31"/>
    </row>
    <row r="46" spans="1:15" ht="14.25" customHeight="1">
      <c r="A46" s="12"/>
      <c r="B46" s="44"/>
      <c r="C46" s="50"/>
      <c r="D46" s="45"/>
      <c r="E46" s="39" t="e">
        <f t="shared" si="6"/>
        <v>#VALUE!</v>
      </c>
      <c r="F46" s="46">
        <f ca="1">SUMIF('Журнал Закупок'!B:B,D46,'Журнал Закупок'!O:O)</f>
        <v>0</v>
      </c>
      <c r="G46" s="47">
        <f ca="1">SUMIF('Журнал Закупок'!B:B,D46,'Журнал Закупок'!G:G)</f>
        <v>0</v>
      </c>
      <c r="H46" s="46">
        <f ca="1">SUMIF('Журнал Закупок'!B:B,D46,'Журнал Закупок'!I:I)</f>
        <v>0</v>
      </c>
      <c r="I46" s="48">
        <f ca="1">SUMIF('Журнал Закупок'!B:B,D46,'Журнал Закупок'!J:J)</f>
        <v>0</v>
      </c>
      <c r="J46" s="46">
        <f t="shared" si="7"/>
        <v>0</v>
      </c>
      <c r="K46" s="49" t="e">
        <f t="shared" ca="1" si="8"/>
        <v>#NAME?</v>
      </c>
      <c r="L46" s="31"/>
      <c r="M46" s="31"/>
      <c r="N46" s="31"/>
      <c r="O46" s="31"/>
    </row>
    <row r="47" spans="1:15" ht="14.25" customHeight="1">
      <c r="A47" s="12"/>
      <c r="B47" s="54"/>
      <c r="C47" s="55"/>
      <c r="D47" s="45"/>
      <c r="E47" s="39" t="e">
        <f t="shared" si="6"/>
        <v>#VALUE!</v>
      </c>
      <c r="F47" s="46">
        <f ca="1">SUMIF('Журнал Закупок'!B:B,D47,'Журнал Закупок'!O:O)</f>
        <v>0</v>
      </c>
      <c r="G47" s="47" t="str">
        <f ca="1">IF(D47="","",SUMIF(#REF!,D47,#REF!))</f>
        <v/>
      </c>
      <c r="H47" s="46">
        <f ca="1">SUMIF('Журнал Закупок'!B:B,D47,'Журнал Закупок'!I:I)</f>
        <v>0</v>
      </c>
      <c r="I47" s="48">
        <f ca="1">SUMIF('Журнал Закупок'!B:B,D47,'Журнал Закупок'!J:J)</f>
        <v>0</v>
      </c>
      <c r="J47" s="46">
        <f t="shared" si="7"/>
        <v>0</v>
      </c>
      <c r="K47" s="49" t="e">
        <f t="shared" ca="1" si="8"/>
        <v>#NAME?</v>
      </c>
      <c r="L47" s="31"/>
      <c r="M47" s="31"/>
      <c r="N47" s="31"/>
      <c r="O47" s="31"/>
    </row>
    <row r="48" spans="1:15" ht="14.25" customHeight="1">
      <c r="A48" s="12"/>
      <c r="B48" s="44"/>
      <c r="C48" s="50"/>
      <c r="D48" s="45"/>
      <c r="E48" s="39" t="e">
        <f t="shared" si="6"/>
        <v>#VALUE!</v>
      </c>
      <c r="F48" s="46">
        <f ca="1">SUMIF('Журнал Закупок'!B:B,D48,'Журнал Закупок'!O:O)</f>
        <v>0</v>
      </c>
      <c r="G48" s="47">
        <f ca="1">SUMIF('Журнал Закупок'!B:B,D48,'Журнал Закупок'!G:G)</f>
        <v>0</v>
      </c>
      <c r="H48" s="46">
        <f ca="1">SUMIF('Журнал Закупок'!B:B,D48,'Журнал Закупок'!I:I)</f>
        <v>0</v>
      </c>
      <c r="I48" s="48">
        <f ca="1">SUMIF('Журнал Закупок'!B:B,D48,'Журнал Закупок'!J:J)</f>
        <v>0</v>
      </c>
      <c r="J48" s="46">
        <f t="shared" si="7"/>
        <v>0</v>
      </c>
      <c r="K48" s="49" t="e">
        <f t="shared" ca="1" si="8"/>
        <v>#NAME?</v>
      </c>
      <c r="L48" s="31"/>
      <c r="M48" s="31"/>
      <c r="N48" s="31"/>
      <c r="O48" s="31"/>
    </row>
    <row r="49" spans="1:15" ht="14.25" customHeight="1">
      <c r="A49" s="12"/>
      <c r="B49" s="54"/>
      <c r="C49" s="55"/>
      <c r="D49" s="45"/>
      <c r="E49" s="39" t="e">
        <f t="shared" si="6"/>
        <v>#VALUE!</v>
      </c>
      <c r="F49" s="46">
        <f ca="1">SUMIF('Журнал Закупок'!B:B,D49,'Журнал Закупок'!O:O)</f>
        <v>0</v>
      </c>
      <c r="G49" s="47" t="str">
        <f ca="1">IF(D49="","",SUMIF(#REF!,D49,#REF!))</f>
        <v/>
      </c>
      <c r="H49" s="46">
        <f ca="1">SUMIF('Журнал Закупок'!B:B,D49,'Журнал Закупок'!I:I)</f>
        <v>0</v>
      </c>
      <c r="I49" s="48">
        <f ca="1">SUMIF('Журнал Закупок'!B:B,D49,'Журнал Закупок'!J:J)</f>
        <v>0</v>
      </c>
      <c r="J49" s="46">
        <f t="shared" si="7"/>
        <v>0</v>
      </c>
      <c r="K49" s="49" t="e">
        <f t="shared" ca="1" si="8"/>
        <v>#NAME?</v>
      </c>
      <c r="L49" s="31"/>
      <c r="M49" s="31"/>
      <c r="N49" s="31"/>
      <c r="O49" s="31"/>
    </row>
    <row r="50" spans="1:15" ht="14.25" customHeight="1">
      <c r="A50" s="12"/>
      <c r="B50" s="44"/>
      <c r="C50" s="50"/>
      <c r="D50" s="45"/>
      <c r="E50" s="39" t="e">
        <f t="shared" si="6"/>
        <v>#VALUE!</v>
      </c>
      <c r="F50" s="46">
        <f ca="1">SUMIF('Журнал Закупок'!B:B,D50,'Журнал Закупок'!O:O)</f>
        <v>0</v>
      </c>
      <c r="G50" s="47">
        <f ca="1">SUMIF('Журнал Закупок'!B:B,D50,'Журнал Закупок'!G:G)</f>
        <v>0</v>
      </c>
      <c r="H50" s="46">
        <f ca="1">SUMIF('Журнал Закупок'!B:B,D50,'Журнал Закупок'!I:I)</f>
        <v>0</v>
      </c>
      <c r="I50" s="48">
        <f ca="1">SUMIF('Журнал Закупок'!B:B,D50,'Журнал Закупок'!J:J)</f>
        <v>0</v>
      </c>
      <c r="J50" s="46">
        <f t="shared" si="7"/>
        <v>0</v>
      </c>
      <c r="K50" s="49" t="e">
        <f t="shared" ca="1" si="8"/>
        <v>#NAME?</v>
      </c>
      <c r="L50" s="31"/>
      <c r="M50" s="31"/>
      <c r="N50" s="31"/>
      <c r="O50" s="31"/>
    </row>
    <row r="51" spans="1:15" ht="14.25" customHeight="1">
      <c r="A51" s="12"/>
      <c r="B51" s="44"/>
      <c r="C51" s="50"/>
      <c r="D51" s="51"/>
      <c r="E51" s="39" t="e">
        <f t="shared" si="6"/>
        <v>#VALUE!</v>
      </c>
      <c r="F51" s="46">
        <f ca="1">SUMIF('Журнал Закупок'!B:B,D51,'Журнал Закупок'!O:O)</f>
        <v>0</v>
      </c>
      <c r="G51" s="47">
        <f ca="1">SUMIF('Журнал Закупок'!B:B,D51,'Журнал Закупок'!G:G)</f>
        <v>0</v>
      </c>
      <c r="H51" s="46">
        <f ca="1">SUMIF('Журнал Закупок'!B:B,D51,'Журнал Закупок'!I:I)</f>
        <v>0</v>
      </c>
      <c r="I51" s="48">
        <f ca="1">SUMIF('Журнал Закупок'!B:B,D51,'Журнал Закупок'!J:J)</f>
        <v>0</v>
      </c>
      <c r="J51" s="46">
        <f t="shared" si="7"/>
        <v>0</v>
      </c>
      <c r="K51" s="49" t="e">
        <f t="shared" ca="1" si="8"/>
        <v>#NAME?</v>
      </c>
      <c r="L51" s="31"/>
      <c r="M51" s="31"/>
      <c r="N51" s="31"/>
      <c r="O51" s="31"/>
    </row>
    <row r="52" spans="1:15" ht="14.25" customHeight="1">
      <c r="A52" s="12"/>
      <c r="B52" s="44"/>
      <c r="C52" s="50"/>
      <c r="D52" s="51"/>
      <c r="E52" s="39" t="e">
        <f t="shared" si="6"/>
        <v>#VALUE!</v>
      </c>
      <c r="F52" s="46">
        <f ca="1">SUMIF('Журнал Закупок'!B:B,D52,'Журнал Закупок'!O:O)</f>
        <v>0</v>
      </c>
      <c r="G52" s="47">
        <f ca="1">SUMIF('Журнал Закупок'!B:B,D52,'Журнал Закупок'!G:G)</f>
        <v>0</v>
      </c>
      <c r="H52" s="46">
        <f ca="1">SUMIF('Журнал Закупок'!B:B,D52,'Журнал Закупок'!I:I)</f>
        <v>0</v>
      </c>
      <c r="I52" s="48">
        <f ca="1">SUMIF('Журнал Закупок'!B:B,D52,'Журнал Закупок'!J:J)</f>
        <v>0</v>
      </c>
      <c r="J52" s="46">
        <f t="shared" si="7"/>
        <v>0</v>
      </c>
      <c r="K52" s="49" t="e">
        <f t="shared" ca="1" si="8"/>
        <v>#NAME?</v>
      </c>
      <c r="L52" s="31"/>
      <c r="M52" s="31"/>
      <c r="N52" s="31"/>
      <c r="O52" s="31"/>
    </row>
    <row r="53" spans="1:15" ht="14.25" customHeight="1">
      <c r="A53" s="12"/>
      <c r="B53" s="54"/>
      <c r="C53" s="55"/>
      <c r="D53" s="51"/>
      <c r="E53" s="39" t="e">
        <f t="shared" si="6"/>
        <v>#VALUE!</v>
      </c>
      <c r="F53" s="46">
        <f ca="1">SUMIF('Журнал Закупок'!B:B,D53,'Журнал Закупок'!O:O)</f>
        <v>0</v>
      </c>
      <c r="G53" s="47" t="str">
        <f ca="1">IF(D53="","",SUMIF(#REF!,D53,#REF!))</f>
        <v/>
      </c>
      <c r="H53" s="46">
        <f ca="1">SUMIF('Журнал Закупок'!B:B,D53,'Журнал Закупок'!I:I)</f>
        <v>0</v>
      </c>
      <c r="I53" s="48">
        <f ca="1">SUMIF('Журнал Закупок'!B:B,D53,'Журнал Закупок'!J:J)</f>
        <v>0</v>
      </c>
      <c r="J53" s="46">
        <f t="shared" si="7"/>
        <v>0</v>
      </c>
      <c r="K53" s="49" t="e">
        <f t="shared" ca="1" si="8"/>
        <v>#NAME?</v>
      </c>
      <c r="L53" s="31"/>
      <c r="M53" s="31"/>
      <c r="N53" s="31"/>
      <c r="O53" s="31"/>
    </row>
    <row r="54" spans="1:15" ht="14.25" customHeight="1">
      <c r="A54" s="12"/>
      <c r="B54" s="44"/>
      <c r="C54" s="50"/>
      <c r="D54" s="51"/>
      <c r="E54" s="39" t="e">
        <f t="shared" si="6"/>
        <v>#VALUE!</v>
      </c>
      <c r="F54" s="46">
        <f ca="1">SUMIF('Журнал Закупок'!B:B,D54,'Журнал Закупок'!O:O)</f>
        <v>0</v>
      </c>
      <c r="G54" s="47">
        <f ca="1">SUMIF('Журнал Закупок'!B:B,D54,'Журнал Закупок'!G:G)</f>
        <v>0</v>
      </c>
      <c r="H54" s="46">
        <f ca="1">SUMIF('Журнал Закупок'!B:B,D54,'Журнал Закупок'!I:I)</f>
        <v>0</v>
      </c>
      <c r="I54" s="48">
        <f ca="1">SUMIF('Журнал Закупок'!B:B,D54,'Журнал Закупок'!J:J)</f>
        <v>0</v>
      </c>
      <c r="J54" s="46">
        <f t="shared" si="7"/>
        <v>0</v>
      </c>
      <c r="K54" s="49" t="e">
        <f t="shared" ca="1" si="8"/>
        <v>#NAME?</v>
      </c>
      <c r="L54" s="31"/>
      <c r="M54" s="31"/>
      <c r="N54" s="31"/>
      <c r="O54" s="31"/>
    </row>
    <row r="55" spans="1:15" ht="14.25" customHeight="1">
      <c r="A55" s="12"/>
      <c r="B55" s="54"/>
      <c r="C55" s="55"/>
      <c r="D55" s="51"/>
      <c r="E55" s="39" t="e">
        <f t="shared" si="6"/>
        <v>#VALUE!</v>
      </c>
      <c r="F55" s="46">
        <f ca="1">SUMIF('Журнал Закупок'!B:B,D55,'Журнал Закупок'!O:O)</f>
        <v>0</v>
      </c>
      <c r="G55" s="47" t="str">
        <f ca="1">IF(D55="","",SUMIF(#REF!,D55,#REF!))</f>
        <v/>
      </c>
      <c r="H55" s="46">
        <f ca="1">SUMIF('Журнал Закупок'!B:B,D55,'Журнал Закупок'!I:I)</f>
        <v>0</v>
      </c>
      <c r="I55" s="48">
        <f ca="1">SUMIF('Журнал Закупок'!B:B,D55,'Журнал Закупок'!J:J)</f>
        <v>0</v>
      </c>
      <c r="J55" s="46">
        <f t="shared" si="7"/>
        <v>0</v>
      </c>
      <c r="K55" s="49" t="e">
        <f t="shared" ca="1" si="8"/>
        <v>#NAME?</v>
      </c>
      <c r="L55" s="31"/>
      <c r="M55" s="31"/>
      <c r="N55" s="31"/>
      <c r="O55" s="31"/>
    </row>
    <row r="56" spans="1:15" ht="14.25" customHeight="1">
      <c r="A56" s="12"/>
      <c r="B56" s="44"/>
      <c r="C56" s="50"/>
      <c r="D56" s="51"/>
      <c r="E56" s="39" t="e">
        <f t="shared" si="6"/>
        <v>#VALUE!</v>
      </c>
      <c r="F56" s="46">
        <f ca="1">SUMIF('Журнал Закупок'!B:B,D56,'Журнал Закупок'!O:O)</f>
        <v>0</v>
      </c>
      <c r="G56" s="47">
        <f ca="1">SUMIF('Журнал Закупок'!B:B,D56,'Журнал Закупок'!G:G)</f>
        <v>0</v>
      </c>
      <c r="H56" s="46">
        <f ca="1">SUMIF('Журнал Закупок'!B:B,D56,'Журнал Закупок'!I:I)</f>
        <v>0</v>
      </c>
      <c r="I56" s="48">
        <f ca="1">SUMIF('Журнал Закупок'!B:B,D56,'Журнал Закупок'!J:J)</f>
        <v>0</v>
      </c>
      <c r="J56" s="46">
        <f t="shared" si="7"/>
        <v>0</v>
      </c>
      <c r="K56" s="49" t="e">
        <f t="shared" ca="1" si="8"/>
        <v>#NAME?</v>
      </c>
      <c r="L56" s="31"/>
      <c r="M56" s="31"/>
      <c r="N56" s="31"/>
      <c r="O56" s="31"/>
    </row>
    <row r="57" spans="1:15" ht="14.25" customHeight="1">
      <c r="A57" s="12"/>
      <c r="B57" s="54"/>
      <c r="C57" s="55"/>
      <c r="D57" s="51"/>
      <c r="E57" s="39" t="e">
        <f t="shared" si="6"/>
        <v>#VALUE!</v>
      </c>
      <c r="F57" s="46">
        <f ca="1">SUMIF('Журнал Закупок'!B:B,D57,'Журнал Закупок'!O:O)</f>
        <v>0</v>
      </c>
      <c r="G57" s="47" t="str">
        <f ca="1">IF(D57="","",SUMIF(#REF!,D57,#REF!))</f>
        <v/>
      </c>
      <c r="H57" s="46">
        <f ca="1">SUMIF('Журнал Закупок'!B:B,D57,'Журнал Закупок'!I:I)</f>
        <v>0</v>
      </c>
      <c r="I57" s="48">
        <f ca="1">SUMIF('Журнал Закупок'!B:B,D57,'Журнал Закупок'!J:J)</f>
        <v>0</v>
      </c>
      <c r="J57" s="46">
        <f t="shared" si="7"/>
        <v>0</v>
      </c>
      <c r="K57" s="49" t="e">
        <f t="shared" ca="1" si="8"/>
        <v>#NAME?</v>
      </c>
      <c r="L57" s="31"/>
      <c r="M57" s="31"/>
      <c r="N57" s="31"/>
      <c r="O57" s="31"/>
    </row>
    <row r="58" spans="1:15" ht="14.25" customHeight="1">
      <c r="A58" s="12"/>
      <c r="B58" s="44"/>
      <c r="C58" s="50"/>
      <c r="D58" s="51"/>
      <c r="E58" s="39" t="e">
        <f t="shared" si="6"/>
        <v>#VALUE!</v>
      </c>
      <c r="F58" s="46">
        <f ca="1">SUMIF('Журнал Закупок'!B:B,D58,'Журнал Закупок'!O:O)</f>
        <v>0</v>
      </c>
      <c r="G58" s="47">
        <f ca="1">SUMIF('Журнал Закупок'!B:B,D58,'Журнал Закупок'!G:G)</f>
        <v>0</v>
      </c>
      <c r="H58" s="46">
        <f ca="1">SUMIF('Журнал Закупок'!B:B,D58,'Журнал Закупок'!I:I)</f>
        <v>0</v>
      </c>
      <c r="I58" s="48">
        <f ca="1">SUMIF('Журнал Закупок'!B:B,D58,'Журнал Закупок'!J:J)</f>
        <v>0</v>
      </c>
      <c r="J58" s="46">
        <f t="shared" si="7"/>
        <v>0</v>
      </c>
      <c r="K58" s="49" t="e">
        <f t="shared" ca="1" si="8"/>
        <v>#NAME?</v>
      </c>
      <c r="L58" s="31"/>
      <c r="M58" s="31"/>
      <c r="N58" s="31"/>
      <c r="O58" s="31"/>
    </row>
    <row r="59" spans="1:15" ht="14.25" customHeight="1">
      <c r="A59" s="12"/>
      <c r="B59" s="54"/>
      <c r="C59" s="55"/>
      <c r="D59" s="51"/>
      <c r="E59" s="39" t="e">
        <f t="shared" si="6"/>
        <v>#VALUE!</v>
      </c>
      <c r="F59" s="46">
        <f ca="1">SUMIF('Журнал Закупок'!B:B,D59,'Журнал Закупок'!O:O)</f>
        <v>0</v>
      </c>
      <c r="G59" s="47" t="str">
        <f ca="1">IF(D59="","",SUMIF(#REF!,D59,#REF!))</f>
        <v/>
      </c>
      <c r="H59" s="46">
        <f ca="1">SUMIF('Журнал Закупок'!B:B,D59,'Журнал Закупок'!I:I)</f>
        <v>0</v>
      </c>
      <c r="I59" s="48">
        <f ca="1">SUMIF('Журнал Закупок'!B:B,D59,'Журнал Закупок'!J:J)</f>
        <v>0</v>
      </c>
      <c r="J59" s="46">
        <f t="shared" si="7"/>
        <v>0</v>
      </c>
      <c r="K59" s="49" t="e">
        <f t="shared" ca="1" si="8"/>
        <v>#NAME?</v>
      </c>
      <c r="L59" s="31"/>
      <c r="M59" s="31"/>
      <c r="N59" s="31"/>
      <c r="O59" s="31"/>
    </row>
    <row r="60" spans="1:15" ht="14.25" customHeight="1">
      <c r="A60" s="12"/>
      <c r="B60" s="44"/>
      <c r="C60" s="50"/>
      <c r="D60" s="51"/>
      <c r="E60" s="39" t="e">
        <f t="shared" si="6"/>
        <v>#VALUE!</v>
      </c>
      <c r="F60" s="46">
        <f ca="1">SUMIF('Журнал Закупок'!B:B,D60,'Журнал Закупок'!O:O)</f>
        <v>0</v>
      </c>
      <c r="G60" s="47">
        <f ca="1">SUMIF('Журнал Закупок'!B:B,D60,'Журнал Закупок'!G:G)</f>
        <v>0</v>
      </c>
      <c r="H60" s="46">
        <f ca="1">SUMIF('Журнал Закупок'!B:B,D60,'Журнал Закупок'!I:I)</f>
        <v>0</v>
      </c>
      <c r="I60" s="48">
        <f ca="1">SUMIF('Журнал Закупок'!B:B,D60,'Журнал Закупок'!J:J)</f>
        <v>0</v>
      </c>
      <c r="J60" s="46">
        <f t="shared" si="7"/>
        <v>0</v>
      </c>
      <c r="K60" s="49" t="e">
        <f t="shared" ca="1" si="8"/>
        <v>#NAME?</v>
      </c>
      <c r="L60" s="31"/>
      <c r="M60" s="31"/>
      <c r="N60" s="31"/>
      <c r="O60" s="31"/>
    </row>
    <row r="61" spans="1:15" ht="14.25" customHeight="1">
      <c r="A61" s="12"/>
      <c r="B61" s="44"/>
      <c r="C61" s="50"/>
      <c r="D61" s="51"/>
      <c r="E61" s="39" t="e">
        <f t="shared" si="6"/>
        <v>#VALUE!</v>
      </c>
      <c r="F61" s="46">
        <f ca="1">SUMIF('Журнал Закупок'!B:B,D61,'Журнал Закупок'!O:O)</f>
        <v>0</v>
      </c>
      <c r="G61" s="47">
        <f ca="1">SUMIF('Журнал Закупок'!B:B,D61,'Журнал Закупок'!G:G)</f>
        <v>0</v>
      </c>
      <c r="H61" s="46">
        <f ca="1">SUMIF('Журнал Закупок'!B:B,D61,'Журнал Закупок'!I:I)</f>
        <v>0</v>
      </c>
      <c r="I61" s="48">
        <f ca="1">SUMIF('Журнал Закупок'!B:B,D61,'Журнал Закупок'!J:J)</f>
        <v>0</v>
      </c>
      <c r="J61" s="46">
        <f t="shared" si="7"/>
        <v>0</v>
      </c>
      <c r="K61" s="49" t="e">
        <f t="shared" ca="1" si="8"/>
        <v>#NAME?</v>
      </c>
      <c r="L61" s="31"/>
      <c r="M61" s="31"/>
      <c r="N61" s="31"/>
      <c r="O61" s="31"/>
    </row>
    <row r="62" spans="1:15" ht="14.25" customHeight="1">
      <c r="A62" s="12"/>
      <c r="B62" s="44"/>
      <c r="C62" s="50"/>
      <c r="D62" s="51"/>
      <c r="E62" s="39" t="e">
        <f t="shared" si="6"/>
        <v>#VALUE!</v>
      </c>
      <c r="F62" s="46">
        <f ca="1">SUMIF('Журнал Закупок'!B:B,D62,'Журнал Закупок'!O:O)</f>
        <v>0</v>
      </c>
      <c r="G62" s="47">
        <f ca="1">SUMIF('Журнал Закупок'!B:B,D62,'Журнал Закупок'!G:G)</f>
        <v>0</v>
      </c>
      <c r="H62" s="46">
        <f ca="1">SUMIF('Журнал Закупок'!B:B,D62,'Журнал Закупок'!I:I)</f>
        <v>0</v>
      </c>
      <c r="I62" s="48">
        <f ca="1">SUMIF('Журнал Закупок'!B:B,D62,'Журнал Закупок'!J:J)</f>
        <v>0</v>
      </c>
      <c r="J62" s="46">
        <f t="shared" si="7"/>
        <v>0</v>
      </c>
      <c r="K62" s="49" t="e">
        <f t="shared" ca="1" si="8"/>
        <v>#NAME?</v>
      </c>
      <c r="L62" s="31"/>
      <c r="M62" s="31"/>
      <c r="N62" s="31"/>
      <c r="O62" s="31"/>
    </row>
    <row r="63" spans="1:15" ht="14.25" customHeight="1">
      <c r="A63" s="12"/>
      <c r="B63" s="54"/>
      <c r="C63" s="55"/>
      <c r="D63" s="51"/>
      <c r="E63" s="39" t="e">
        <f t="shared" si="6"/>
        <v>#VALUE!</v>
      </c>
      <c r="F63" s="46">
        <f ca="1">SUMIF('Журнал Закупок'!B:B,D63,'Журнал Закупок'!O:O)</f>
        <v>0</v>
      </c>
      <c r="G63" s="47" t="str">
        <f ca="1">IF(D63="","",SUMIF(#REF!,D63,#REF!))</f>
        <v/>
      </c>
      <c r="H63" s="46">
        <f ca="1">SUMIF('Журнал Закупок'!B:B,D63,'Журнал Закупок'!I:I)</f>
        <v>0</v>
      </c>
      <c r="I63" s="48">
        <f ca="1">SUMIF('Журнал Закупок'!B:B,D63,'Журнал Закупок'!J:J)</f>
        <v>0</v>
      </c>
      <c r="J63" s="46">
        <f t="shared" si="7"/>
        <v>0</v>
      </c>
      <c r="K63" s="49" t="e">
        <f t="shared" ca="1" si="8"/>
        <v>#NAME?</v>
      </c>
      <c r="L63" s="31"/>
      <c r="M63" s="31"/>
      <c r="N63" s="31"/>
      <c r="O63" s="31"/>
    </row>
    <row r="64" spans="1:15" ht="14.25" customHeight="1">
      <c r="A64" s="12"/>
      <c r="B64" s="44"/>
      <c r="C64" s="50"/>
      <c r="D64" s="51"/>
      <c r="E64" s="39" t="e">
        <f t="shared" si="6"/>
        <v>#VALUE!</v>
      </c>
      <c r="F64" s="46">
        <f ca="1">SUMIF('Журнал Закупок'!B:B,D64,'Журнал Закупок'!O:O)</f>
        <v>0</v>
      </c>
      <c r="G64" s="47">
        <f ca="1">SUMIF('Журнал Закупок'!B:B,D64,'Журнал Закупок'!G:G)</f>
        <v>0</v>
      </c>
      <c r="H64" s="46">
        <f ca="1">SUMIF('Журнал Закупок'!B:B,D64,'Журнал Закупок'!I:I)</f>
        <v>0</v>
      </c>
      <c r="I64" s="48">
        <f ca="1">SUMIF('Журнал Закупок'!B:B,D64,'Журнал Закупок'!J:J)</f>
        <v>0</v>
      </c>
      <c r="J64" s="46">
        <f t="shared" si="7"/>
        <v>0</v>
      </c>
      <c r="K64" s="49" t="e">
        <f t="shared" ca="1" si="8"/>
        <v>#NAME?</v>
      </c>
      <c r="L64" s="31"/>
      <c r="M64" s="31"/>
      <c r="N64" s="31"/>
      <c r="O64" s="31"/>
    </row>
  </sheetData>
  <sheetCalcPr fullCalcOnLoad="1"/>
  <mergeCells count="2">
    <mergeCell ref="B1:C1"/>
    <mergeCell ref="D1:N1"/>
  </mergeCells>
  <phoneticPr fontId="0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97"/>
  <sheetViews>
    <sheetView showGridLines="0" zoomScale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14.42578125" defaultRowHeight="15" customHeight="1"/>
  <cols>
    <col min="1" max="1" width="12.140625" customWidth="1"/>
    <col min="2" max="2" width="18.5703125" customWidth="1"/>
    <col min="3" max="3" width="16.5703125" customWidth="1"/>
    <col min="4" max="4" width="8.140625" customWidth="1"/>
    <col min="5" max="5" width="15.140625" customWidth="1"/>
    <col min="6" max="6" width="19.85546875" customWidth="1"/>
    <col min="7" max="7" width="9.140625" customWidth="1"/>
    <col min="8" max="8" width="14.5703125" customWidth="1"/>
    <col min="9" max="9" width="12.85546875" customWidth="1"/>
    <col min="10" max="10" width="20" customWidth="1"/>
    <col min="11" max="11" width="19.5703125" hidden="1" customWidth="1"/>
    <col min="12" max="12" width="16.5703125" hidden="1" customWidth="1"/>
    <col min="13" max="13" width="19.7109375" hidden="1" customWidth="1"/>
    <col min="14" max="14" width="15.28515625" customWidth="1"/>
    <col min="15" max="15" width="13.7109375" customWidth="1"/>
    <col min="16" max="16" width="13.28515625" customWidth="1"/>
    <col min="17" max="18" width="12.42578125" customWidth="1"/>
  </cols>
  <sheetData>
    <row r="1" spans="1:18" ht="51.75" customHeight="1">
      <c r="A1" s="62" t="s">
        <v>12889</v>
      </c>
      <c r="B1" s="63" t="s">
        <v>12921</v>
      </c>
      <c r="C1" s="63" t="s">
        <v>12922</v>
      </c>
      <c r="D1" s="63" t="s">
        <v>12923</v>
      </c>
      <c r="E1" s="63" t="s">
        <v>12924</v>
      </c>
      <c r="F1" s="63" t="s">
        <v>12925</v>
      </c>
      <c r="G1" s="64" t="s">
        <v>12926</v>
      </c>
      <c r="H1" s="64" t="s">
        <v>12927</v>
      </c>
      <c r="I1" s="64" t="s">
        <v>12928</v>
      </c>
      <c r="J1" s="64" t="s">
        <v>12929</v>
      </c>
      <c r="K1" s="63" t="s">
        <v>12887</v>
      </c>
      <c r="L1" s="64" t="s">
        <v>12930</v>
      </c>
      <c r="M1" s="64" t="s">
        <v>12931</v>
      </c>
      <c r="N1" s="64" t="s">
        <v>12932</v>
      </c>
      <c r="O1" s="64" t="s">
        <v>12933</v>
      </c>
      <c r="P1" s="64" t="s">
        <v>12909</v>
      </c>
      <c r="Q1" s="65" t="s">
        <v>12910</v>
      </c>
      <c r="R1" s="66"/>
    </row>
    <row r="2" spans="1:18" ht="14.25" customHeight="1">
      <c r="A2" s="67"/>
      <c r="B2" s="68"/>
      <c r="C2" s="69"/>
      <c r="D2" s="69" t="str">
        <f ca="1">IF(B2="","",VLOOKUP('Журнал Закупок'!$B2,'СТ Криптовалюта'!B:C,2,0))</f>
        <v/>
      </c>
      <c r="E2" s="68" t="str">
        <f>IF(D2="","",CONCATENATE(D2,"USDT"))</f>
        <v/>
      </c>
      <c r="F2" s="70"/>
      <c r="G2" s="71"/>
      <c r="H2" s="72"/>
      <c r="I2" s="71" t="str">
        <f t="shared" ref="I2:I20" si="0">IF(H2="","",ROUND(G2*H2,5))</f>
        <v/>
      </c>
      <c r="J2" s="71" t="e">
        <f ca="1">IFERROR(__xludf.DUMMYFUNCTION("IF(I2="""","""",IMPORTXML(""http://www.cbr.ru/scripts/XML_daily.asp?date_req=""&amp;TEXT(A2,""DD/MM/YYYY""), ""//ValCurs/Valute[CharCode=""""USD""""]/Value"")*I2)"),"")</f>
        <v>#NAME?</v>
      </c>
      <c r="K2" s="71"/>
      <c r="L2" s="71"/>
      <c r="M2" s="71"/>
      <c r="N2" s="73"/>
      <c r="O2" s="74">
        <f t="shared" ref="O2:O20" si="1">G2*N2</f>
        <v>0</v>
      </c>
      <c r="P2" s="71" t="str">
        <f t="shared" ref="P2:P20" si="2">IF(N2="","",IF(N2="! укажите биржу","",ROUND(O2-I2,2)))</f>
        <v/>
      </c>
      <c r="Q2" s="75" t="str">
        <f t="shared" ref="Q2:Q20" si="3">IF(P2="","",ROUND(IFERROR((O2-I2)/I2,2),5))</f>
        <v/>
      </c>
      <c r="R2" s="76"/>
    </row>
    <row r="3" spans="1:18" ht="14.25" customHeight="1">
      <c r="A3" s="67"/>
      <c r="B3" s="68"/>
      <c r="C3" s="69"/>
      <c r="D3" s="69" t="str">
        <f ca="1">IF(B3="","",VLOOKUP('Журнал Закупок'!$B3,'СТ Криптовалюта'!B:C,2,0))</f>
        <v/>
      </c>
      <c r="E3" s="68" t="str">
        <f>IF(D3="","",CONCATENATE(D3,"USDT"))</f>
        <v/>
      </c>
      <c r="F3" s="68"/>
      <c r="G3" s="71"/>
      <c r="H3" s="77"/>
      <c r="I3" s="71" t="str">
        <f t="shared" si="0"/>
        <v/>
      </c>
      <c r="J3" s="71" t="e">
        <f ca="1">IFERROR(__xludf.DUMMYFUNCTION("IF(I3="""","""",IMPORTXML(""http://www.cbr.ru/scripts/XML_daily.asp?date_req=""&amp;TEXT(A3,""DD/MM/YYYY""), ""//ValCurs/Valute[CharCode=""""USD""""]/Value"")*I3)"),"")</f>
        <v>#NAME?</v>
      </c>
      <c r="K3" s="72"/>
      <c r="L3" s="72"/>
      <c r="M3" s="72"/>
      <c r="N3" s="71"/>
      <c r="O3" s="74">
        <f t="shared" si="1"/>
        <v>0</v>
      </c>
      <c r="P3" s="71" t="str">
        <f t="shared" si="2"/>
        <v/>
      </c>
      <c r="Q3" s="75" t="str">
        <f t="shared" si="3"/>
        <v/>
      </c>
      <c r="R3" s="76"/>
    </row>
    <row r="4" spans="1:18" ht="14.25" customHeight="1">
      <c r="A4" s="67"/>
      <c r="B4" s="68"/>
      <c r="C4" s="69"/>
      <c r="D4" s="69"/>
      <c r="E4" s="68"/>
      <c r="F4" s="68"/>
      <c r="G4" s="71"/>
      <c r="H4" s="72"/>
      <c r="I4" s="71" t="str">
        <f t="shared" si="0"/>
        <v/>
      </c>
      <c r="J4" s="71" t="e">
        <f ca="1">IFERROR(__xludf.DUMMYFUNCTION("IF(I4="""","""",IMPORTXML(""http://www.cbr.ru/scripts/XML_daily.asp?date_req=""&amp;TEXT(A4,""DD/MM/YYYY""), ""//ValCurs/Valute[CharCode=""""USD""""]/Value"")*I4)"),"")</f>
        <v>#NAME?</v>
      </c>
      <c r="K4" s="71"/>
      <c r="L4" s="71"/>
      <c r="M4" s="71"/>
      <c r="N4" s="71"/>
      <c r="O4" s="74">
        <f t="shared" si="1"/>
        <v>0</v>
      </c>
      <c r="P4" s="71" t="str">
        <f t="shared" si="2"/>
        <v/>
      </c>
      <c r="Q4" s="75" t="str">
        <f t="shared" si="3"/>
        <v/>
      </c>
      <c r="R4" s="76"/>
    </row>
    <row r="5" spans="1:18" ht="14.25" customHeight="1">
      <c r="A5" s="67"/>
      <c r="B5" s="68"/>
      <c r="C5" s="69"/>
      <c r="D5" s="69"/>
      <c r="E5" s="68"/>
      <c r="F5" s="68"/>
      <c r="G5" s="71"/>
      <c r="H5" s="71"/>
      <c r="I5" s="71" t="str">
        <f t="shared" si="0"/>
        <v/>
      </c>
      <c r="J5" s="71" t="e">
        <f ca="1">IFERROR(__xludf.DUMMYFUNCTION("IF(I5="""","""",IMPORTXML(""http://www.cbr.ru/scripts/XML_daily.asp?date_req=""&amp;TEXT(A5,""DD/MM/YYYY""), ""//ValCurs/Valute[CharCode=""""USD""""]/Value"")*I5)"),"")</f>
        <v>#NAME?</v>
      </c>
      <c r="K5" s="71"/>
      <c r="L5" s="71"/>
      <c r="M5" s="71"/>
      <c r="N5" s="71"/>
      <c r="O5" s="74">
        <f t="shared" si="1"/>
        <v>0</v>
      </c>
      <c r="P5" s="71" t="str">
        <f t="shared" si="2"/>
        <v/>
      </c>
      <c r="Q5" s="75" t="str">
        <f t="shared" si="3"/>
        <v/>
      </c>
      <c r="R5" s="76"/>
    </row>
    <row r="6" spans="1:18" ht="14.25" customHeight="1">
      <c r="A6" s="67"/>
      <c r="B6" s="68"/>
      <c r="C6" s="69"/>
      <c r="D6" s="69"/>
      <c r="E6" s="68"/>
      <c r="F6" s="68"/>
      <c r="G6" s="71"/>
      <c r="H6" s="72"/>
      <c r="I6" s="71" t="str">
        <f t="shared" si="0"/>
        <v/>
      </c>
      <c r="J6" s="71" t="e">
        <f ca="1">IFERROR(__xludf.DUMMYFUNCTION("IF(I6="""","""",IMPORTXML(""http://www.cbr.ru/scripts/XML_daily.asp?date_req=""&amp;TEXT(A6,""DD/MM/YYYY""), ""//ValCurs/Valute[CharCode=""""USD""""]/Value"")*I6)"),"")</f>
        <v>#NAME?</v>
      </c>
      <c r="K6" s="71"/>
      <c r="L6" s="71"/>
      <c r="M6" s="71"/>
      <c r="N6" s="71"/>
      <c r="O6" s="74">
        <f t="shared" si="1"/>
        <v>0</v>
      </c>
      <c r="P6" s="71" t="str">
        <f t="shared" si="2"/>
        <v/>
      </c>
      <c r="Q6" s="75" t="str">
        <f t="shared" si="3"/>
        <v/>
      </c>
      <c r="R6" s="76"/>
    </row>
    <row r="7" spans="1:18" ht="14.25" customHeight="1">
      <c r="A7" s="67"/>
      <c r="B7" s="68"/>
      <c r="C7" s="69"/>
      <c r="D7" s="69"/>
      <c r="E7" s="68"/>
      <c r="F7" s="70"/>
      <c r="G7" s="71"/>
      <c r="H7" s="72"/>
      <c r="I7" s="71" t="str">
        <f t="shared" si="0"/>
        <v/>
      </c>
      <c r="J7" s="71" t="e">
        <f ca="1">IFERROR(__xludf.DUMMYFUNCTION("IF(I7="""","""",IMPORTXML(""http://www.cbr.ru/scripts/XML_daily.asp?date_req=""&amp;TEXT(A7,""DD/MM/YYYY""), ""//ValCurs/Valute[CharCode=""""USD""""]/Value"")*I7)"),"")</f>
        <v>#NAME?</v>
      </c>
      <c r="K7" s="72"/>
      <c r="L7" s="72"/>
      <c r="M7" s="72"/>
      <c r="N7" s="71"/>
      <c r="O7" s="74">
        <f t="shared" si="1"/>
        <v>0</v>
      </c>
      <c r="P7" s="71" t="str">
        <f t="shared" si="2"/>
        <v/>
      </c>
      <c r="Q7" s="75" t="str">
        <f t="shared" si="3"/>
        <v/>
      </c>
      <c r="R7" s="76"/>
    </row>
    <row r="8" spans="1:18" ht="14.25" customHeight="1">
      <c r="A8" s="67"/>
      <c r="B8" s="68"/>
      <c r="C8" s="69"/>
      <c r="D8" s="69"/>
      <c r="E8" s="68"/>
      <c r="F8" s="70"/>
      <c r="G8" s="71"/>
      <c r="H8" s="72"/>
      <c r="I8" s="71" t="str">
        <f t="shared" si="0"/>
        <v/>
      </c>
      <c r="J8" s="71" t="e">
        <f ca="1">IFERROR(__xludf.DUMMYFUNCTION("IF(I8="""","""",IMPORTXML(""http://www.cbr.ru/scripts/XML_daily.asp?date_req=""&amp;TEXT(A8,""DD/MM/YYYY""), ""//ValCurs/Valute[CharCode=""""USD""""]/Value"")*I8)"),"")</f>
        <v>#NAME?</v>
      </c>
      <c r="K8" s="72"/>
      <c r="L8" s="72"/>
      <c r="M8" s="72"/>
      <c r="N8" s="71"/>
      <c r="O8" s="74">
        <f t="shared" si="1"/>
        <v>0</v>
      </c>
      <c r="P8" s="71" t="str">
        <f t="shared" si="2"/>
        <v/>
      </c>
      <c r="Q8" s="75" t="str">
        <f t="shared" si="3"/>
        <v/>
      </c>
      <c r="R8" s="76"/>
    </row>
    <row r="9" spans="1:18" ht="14.25" customHeight="1">
      <c r="A9" s="67"/>
      <c r="B9" s="68"/>
      <c r="C9" s="69"/>
      <c r="D9" s="69"/>
      <c r="E9" s="68"/>
      <c r="F9" s="70"/>
      <c r="G9" s="78"/>
      <c r="H9" s="72"/>
      <c r="I9" s="71" t="str">
        <f t="shared" si="0"/>
        <v/>
      </c>
      <c r="J9" s="71" t="e">
        <f ca="1">IFERROR(__xludf.DUMMYFUNCTION("IF(I9="""","""",IMPORTXML(""http://www.cbr.ru/scripts/XML_daily.asp?date_req=""&amp;TEXT(A9,""DD/MM/YYYY""), ""//ValCurs/Valute[CharCode=""""USD""""]/Value"")*I9)"),"")</f>
        <v>#NAME?</v>
      </c>
      <c r="K9" s="72"/>
      <c r="L9" s="72"/>
      <c r="M9" s="72"/>
      <c r="N9" s="71"/>
      <c r="O9" s="74">
        <f t="shared" si="1"/>
        <v>0</v>
      </c>
      <c r="P9" s="71" t="str">
        <f t="shared" si="2"/>
        <v/>
      </c>
      <c r="Q9" s="75" t="str">
        <f t="shared" si="3"/>
        <v/>
      </c>
      <c r="R9" s="76"/>
    </row>
    <row r="10" spans="1:18" ht="14.25" customHeight="1">
      <c r="A10" s="67"/>
      <c r="B10" s="68"/>
      <c r="C10" s="69"/>
      <c r="D10" s="69"/>
      <c r="E10" s="68"/>
      <c r="F10" s="70"/>
      <c r="G10" s="78"/>
      <c r="H10" s="72"/>
      <c r="I10" s="71" t="str">
        <f t="shared" si="0"/>
        <v/>
      </c>
      <c r="J10" s="71" t="e">
        <f ca="1">IFERROR(__xludf.DUMMYFUNCTION("IF(I10="""","""",IMPORTXML(""http://www.cbr.ru/scripts/XML_daily.asp?date_req=""&amp;TEXT(A10,""DD/MM/YYYY""), ""//ValCurs/Valute[CharCode=""""USD""""]/Value"")*I10)"),"")</f>
        <v>#NAME?</v>
      </c>
      <c r="K10" s="72"/>
      <c r="L10" s="72"/>
      <c r="M10" s="72"/>
      <c r="N10" s="71"/>
      <c r="O10" s="74">
        <f t="shared" si="1"/>
        <v>0</v>
      </c>
      <c r="P10" s="71" t="str">
        <f t="shared" si="2"/>
        <v/>
      </c>
      <c r="Q10" s="75" t="str">
        <f t="shared" si="3"/>
        <v/>
      </c>
      <c r="R10" s="76"/>
    </row>
    <row r="11" spans="1:18" ht="14.25" customHeight="1">
      <c r="A11" s="67"/>
      <c r="B11" s="68"/>
      <c r="C11" s="69"/>
      <c r="D11" s="69"/>
      <c r="E11" s="68"/>
      <c r="F11" s="70"/>
      <c r="G11" s="71"/>
      <c r="H11" s="72"/>
      <c r="I11" s="71" t="str">
        <f t="shared" si="0"/>
        <v/>
      </c>
      <c r="J11" s="71" t="e">
        <f ca="1">IFERROR(__xludf.DUMMYFUNCTION("IF(I11="""","""",IMPORTXML(""http://www.cbr.ru/scripts/XML_daily.asp?date_req=""&amp;TEXT(A11,""DD/MM/YYYY""), ""//ValCurs/Valute[CharCode=""""USD""""]/Value"")*I11)"),"")</f>
        <v>#NAME?</v>
      </c>
      <c r="K11" s="72"/>
      <c r="L11" s="72"/>
      <c r="M11" s="72"/>
      <c r="N11" s="71"/>
      <c r="O11" s="74">
        <f t="shared" si="1"/>
        <v>0</v>
      </c>
      <c r="P11" s="71" t="str">
        <f t="shared" si="2"/>
        <v/>
      </c>
      <c r="Q11" s="75" t="str">
        <f t="shared" si="3"/>
        <v/>
      </c>
      <c r="R11" s="76"/>
    </row>
    <row r="12" spans="1:18" ht="14.25" customHeight="1">
      <c r="A12" s="67"/>
      <c r="B12" s="68"/>
      <c r="C12" s="69"/>
      <c r="D12" s="69"/>
      <c r="E12" s="68"/>
      <c r="F12" s="70"/>
      <c r="G12" s="78"/>
      <c r="H12" s="72"/>
      <c r="I12" s="71" t="str">
        <f t="shared" si="0"/>
        <v/>
      </c>
      <c r="J12" s="71" t="e">
        <f ca="1">IFERROR(__xludf.DUMMYFUNCTION("IF(I12="""","""",IMPORTXML(""http://www.cbr.ru/scripts/XML_daily.asp?date_req=""&amp;TEXT(A12,""DD/MM/YYYY""), ""//ValCurs/Valute[CharCode=""""USD""""]/Value"")*I12)"),"")</f>
        <v>#NAME?</v>
      </c>
      <c r="K12" s="72"/>
      <c r="L12" s="72"/>
      <c r="M12" s="72"/>
      <c r="N12" s="71"/>
      <c r="O12" s="74">
        <f t="shared" si="1"/>
        <v>0</v>
      </c>
      <c r="P12" s="71" t="str">
        <f t="shared" si="2"/>
        <v/>
      </c>
      <c r="Q12" s="75" t="str">
        <f t="shared" si="3"/>
        <v/>
      </c>
      <c r="R12" s="76"/>
    </row>
    <row r="13" spans="1:18" ht="14.25" customHeight="1">
      <c r="A13" s="67"/>
      <c r="B13" s="68"/>
      <c r="C13" s="69"/>
      <c r="D13" s="69"/>
      <c r="E13" s="68"/>
      <c r="F13" s="70"/>
      <c r="G13" s="78"/>
      <c r="H13" s="72"/>
      <c r="I13" s="71" t="str">
        <f t="shared" si="0"/>
        <v/>
      </c>
      <c r="J13" s="71" t="e">
        <f ca="1">IFERROR(__xludf.DUMMYFUNCTION("IF(I13="""","""",IMPORTXML(""http://www.cbr.ru/scripts/XML_daily.asp?date_req=""&amp;TEXT(A13,""DD/MM/YYYY""), ""//ValCurs/Valute[CharCode=""""USD""""]/Value"")*I13)"),"")</f>
        <v>#NAME?</v>
      </c>
      <c r="K13" s="72"/>
      <c r="L13" s="72"/>
      <c r="M13" s="72"/>
      <c r="N13" s="71"/>
      <c r="O13" s="74">
        <f t="shared" si="1"/>
        <v>0</v>
      </c>
      <c r="P13" s="71" t="str">
        <f t="shared" si="2"/>
        <v/>
      </c>
      <c r="Q13" s="75" t="str">
        <f t="shared" si="3"/>
        <v/>
      </c>
      <c r="R13" s="76"/>
    </row>
    <row r="14" spans="1:18" ht="14.25" customHeight="1">
      <c r="A14" s="67"/>
      <c r="B14" s="68"/>
      <c r="C14" s="69"/>
      <c r="D14" s="69" t="str">
        <f ca="1">IF(B14="","",VLOOKUP('Журнал Закупок'!$B14,'СТ Криптовалюта'!B:C,2,0))</f>
        <v/>
      </c>
      <c r="E14" s="68" t="str">
        <f t="shared" ref="E14:E20" si="4">IF(D14="","",CONCATENATE(D14,"USDT"))</f>
        <v/>
      </c>
      <c r="F14" s="70"/>
      <c r="G14" s="78"/>
      <c r="H14" s="72"/>
      <c r="I14" s="71" t="str">
        <f t="shared" si="0"/>
        <v/>
      </c>
      <c r="J14" s="71" t="e">
        <f ca="1">IFERROR(__xludf.DUMMYFUNCTION("IF(I14="""","""",IMPORTXML(""http://www.cbr.ru/scripts/XML_daily.asp?date_req=""&amp;TEXT(A14,""DD/MM/YYYY""), ""//ValCurs/Valute[CharCode=""""USD""""]/Value"")*I14)"),"")</f>
        <v>#NAME?</v>
      </c>
      <c r="K14" s="72"/>
      <c r="L14" s="72"/>
      <c r="M14" s="72"/>
      <c r="N14" s="71" t="str">
        <f ca="1">IF(H14="","",IF(D14="usdt",H14,VLOOKUP(E14,'Курсы Бинанса'!B:C,2,FALSE)))</f>
        <v/>
      </c>
      <c r="O14" s="74" t="e">
        <f t="shared" si="1"/>
        <v>#VALUE!</v>
      </c>
      <c r="P14" s="71" t="str">
        <f t="shared" si="2"/>
        <v/>
      </c>
      <c r="Q14" s="75" t="str">
        <f t="shared" si="3"/>
        <v/>
      </c>
      <c r="R14" s="76"/>
    </row>
    <row r="15" spans="1:18" ht="14.25" customHeight="1">
      <c r="A15" s="67"/>
      <c r="B15" s="68"/>
      <c r="C15" s="69"/>
      <c r="D15" s="69" t="str">
        <f ca="1">IF(B15="","",VLOOKUP('Журнал Закупок'!$B15,'СТ Криптовалюта'!B:C,2,0))</f>
        <v/>
      </c>
      <c r="E15" s="68" t="str">
        <f t="shared" si="4"/>
        <v/>
      </c>
      <c r="F15" s="70"/>
      <c r="G15" s="71"/>
      <c r="H15" s="71"/>
      <c r="I15" s="71" t="str">
        <f t="shared" si="0"/>
        <v/>
      </c>
      <c r="J15" s="71" t="e">
        <f ca="1">IFERROR(__xludf.DUMMYFUNCTION("IF(I15="""","""",IMPORTXML(""http://www.cbr.ru/scripts/XML_daily.asp?date_req=""&amp;TEXT(A15,""DD/MM/YYYY""), ""//ValCurs/Valute[CharCode=""""USD""""]/Value"")*I15)"),"")</f>
        <v>#NAME?</v>
      </c>
      <c r="K15" s="71"/>
      <c r="L15" s="71"/>
      <c r="M15" s="71"/>
      <c r="N15" s="71" t="str">
        <f ca="1">IF(H15="","",IF(D15="usdt",H15,IF(C15="Binance",VLOOKUP(E15,'Курсы Бинанса'!B:C,2,FALSE),IF(C15="bybit",VLOOKUP(E15,'Курсы Bybit'!B:C,2,FALSE),IF(C15="OKX",VLOOKUP(E15,'Курсы OKX'!A:D,4,FALSE),IF(C15="huobi",VLOOKUP(E15,'Курсы Huobi'!B:C,2,FALSE),"! укажите биржу"))))))</f>
        <v/>
      </c>
      <c r="O15" s="74" t="e">
        <f t="shared" si="1"/>
        <v>#VALUE!</v>
      </c>
      <c r="P15" s="71" t="str">
        <f t="shared" si="2"/>
        <v/>
      </c>
      <c r="Q15" s="75" t="str">
        <f t="shared" si="3"/>
        <v/>
      </c>
      <c r="R15" s="76"/>
    </row>
    <row r="16" spans="1:18" ht="14.25" customHeight="1">
      <c r="A16" s="67"/>
      <c r="B16" s="68"/>
      <c r="C16" s="69"/>
      <c r="D16" s="69" t="str">
        <f ca="1">IF(B16="","",VLOOKUP('Журнал Закупок'!$B16,'СТ Криптовалюта'!B:C,2,0))</f>
        <v/>
      </c>
      <c r="E16" s="68" t="str">
        <f t="shared" si="4"/>
        <v/>
      </c>
      <c r="F16" s="70"/>
      <c r="G16" s="71"/>
      <c r="H16" s="72"/>
      <c r="I16" s="71" t="str">
        <f t="shared" si="0"/>
        <v/>
      </c>
      <c r="J16" s="71" t="e">
        <f ca="1">IFERROR(__xludf.DUMMYFUNCTION("IF(I16="""","""",IMPORTXML(""http://www.cbr.ru/scripts/XML_daily.asp?date_req=""&amp;TEXT(A16,""DD/MM/YYYY""), ""//ValCurs/Valute[CharCode=""""USD""""]/Value"")*I16)"),"")</f>
        <v>#NAME?</v>
      </c>
      <c r="K16" s="72"/>
      <c r="L16" s="72"/>
      <c r="M16" s="72"/>
      <c r="N16" s="71" t="str">
        <f ca="1">IF(H16="","",IF(D16="usdt",H16,IF(C16="Binance",VLOOKUP(E16,'Курсы Бинанса'!C:D,2,FALSE),IF(C16="bybit",VLOOKUP(E16,'Курсы Bybit'!C:D,2,FALSE),IF(C16="OKX",VLOOKUP(E16,'Курсы OKX'!B:E,4,FALSE),IF(C16="huobi",VLOOKUP(E16,'Курсы Huobi'!C:D,2,FALSE),"! укажите биржу"))))))</f>
        <v/>
      </c>
      <c r="O16" s="74" t="e">
        <f t="shared" si="1"/>
        <v>#VALUE!</v>
      </c>
      <c r="P16" s="71" t="str">
        <f t="shared" si="2"/>
        <v/>
      </c>
      <c r="Q16" s="75" t="str">
        <f t="shared" si="3"/>
        <v/>
      </c>
      <c r="R16" s="76"/>
    </row>
    <row r="17" spans="1:18" ht="14.25" customHeight="1">
      <c r="A17" s="67"/>
      <c r="B17" s="68"/>
      <c r="C17" s="69"/>
      <c r="D17" s="69" t="str">
        <f ca="1">IF(B17="","",VLOOKUP('Журнал Закупок'!$B17,'СТ Криптовалюта'!B:C,2,0))</f>
        <v/>
      </c>
      <c r="E17" s="68" t="str">
        <f t="shared" si="4"/>
        <v/>
      </c>
      <c r="F17" s="70"/>
      <c r="G17" s="71"/>
      <c r="H17" s="71"/>
      <c r="I17" s="71" t="str">
        <f t="shared" si="0"/>
        <v/>
      </c>
      <c r="J17" s="71" t="e">
        <f ca="1">IFERROR(__xludf.DUMMYFUNCTION("IF(I17="""","""",IMPORTXML(""http://www.cbr.ru/scripts/XML_daily.asp?date_req=""&amp;TEXT(A17,""DD/MM/YYYY""), ""//ValCurs/Valute[CharCode=""""USD""""]/Value"")*I17)"),"")</f>
        <v>#NAME?</v>
      </c>
      <c r="K17" s="71"/>
      <c r="L17" s="71"/>
      <c r="M17" s="71"/>
      <c r="N17" s="71" t="str">
        <f ca="1">IF(H17="","",IF(D17="usdt",H17,IF(C17="Binance",VLOOKUP(E17,'Курсы Бинанса'!B:C,2,FALSE),IF(C17="bybit",VLOOKUP(E17,'Курсы Bybit'!B:C,2,FALSE),IF(C17="OKX",VLOOKUP(E17,'Курсы OKX'!A:D,4,FALSE),IF(C17="huobi",VLOOKUP(E17,'Курсы Huobi'!B:C,2,FALSE),"! укажите биржу"))))))</f>
        <v/>
      </c>
      <c r="O17" s="74" t="e">
        <f t="shared" si="1"/>
        <v>#VALUE!</v>
      </c>
      <c r="P17" s="71" t="str">
        <f t="shared" si="2"/>
        <v/>
      </c>
      <c r="Q17" s="75" t="str">
        <f t="shared" si="3"/>
        <v/>
      </c>
      <c r="R17" s="76"/>
    </row>
    <row r="18" spans="1:18" ht="14.25" customHeight="1">
      <c r="A18" s="67"/>
      <c r="B18" s="68"/>
      <c r="C18" s="69"/>
      <c r="D18" s="69" t="str">
        <f ca="1">IF(B18="","",VLOOKUP('Журнал Закупок'!$B18,'СТ Криптовалюта'!B:C,2,0))</f>
        <v/>
      </c>
      <c r="E18" s="68" t="str">
        <f t="shared" si="4"/>
        <v/>
      </c>
      <c r="F18" s="70"/>
      <c r="G18" s="71"/>
      <c r="H18" s="72"/>
      <c r="I18" s="71" t="str">
        <f t="shared" si="0"/>
        <v/>
      </c>
      <c r="J18" s="71" t="e">
        <f ca="1">IFERROR(__xludf.DUMMYFUNCTION("IF(I18="""","""",IMPORTXML(""http://www.cbr.ru/scripts/XML_daily.asp?date_req=""&amp;TEXT(A18,""DD/MM/YYYY""), ""//ValCurs/Valute[CharCode=""""USD""""]/Value"")*I18)"),"")</f>
        <v>#NAME?</v>
      </c>
      <c r="K18" s="72"/>
      <c r="L18" s="72"/>
      <c r="M18" s="72"/>
      <c r="N18" s="71" t="str">
        <f ca="1">IF(H18="","",IF(D18="usdt",H18,IF(C18="Binance",VLOOKUP(E18,'Курсы Бинанса'!B:C,2,FALSE),IF(C18="bybit",VLOOKUP(E18,'Курсы Bybit'!B:C,2,FALSE),IF(C18="OKX",VLOOKUP(E18,'Курсы OKX'!A:D,4,FALSE),IF(C18="huobi",VLOOKUP(E18,'Курсы Huobi'!B:C,2,FALSE),"! укажите биржу"))))))</f>
        <v/>
      </c>
      <c r="O18" s="74" t="e">
        <f t="shared" si="1"/>
        <v>#VALUE!</v>
      </c>
      <c r="P18" s="71" t="str">
        <f t="shared" si="2"/>
        <v/>
      </c>
      <c r="Q18" s="75" t="str">
        <f t="shared" si="3"/>
        <v/>
      </c>
      <c r="R18" s="76"/>
    </row>
    <row r="19" spans="1:18" ht="14.25" customHeight="1">
      <c r="A19" s="67"/>
      <c r="B19" s="68"/>
      <c r="C19" s="69"/>
      <c r="D19" s="69" t="str">
        <f ca="1">IF(B19="","",VLOOKUP('Журнал Закупок'!$B19,'СТ Криптовалюта'!B:C,2,0))</f>
        <v/>
      </c>
      <c r="E19" s="68" t="str">
        <f t="shared" si="4"/>
        <v/>
      </c>
      <c r="F19" s="70"/>
      <c r="G19" s="71"/>
      <c r="H19" s="71"/>
      <c r="I19" s="71" t="str">
        <f t="shared" si="0"/>
        <v/>
      </c>
      <c r="J19" s="71" t="e">
        <f ca="1">IFERROR(__xludf.DUMMYFUNCTION("IF(I19="""","""",IMPORTXML(""http://www.cbr.ru/scripts/XML_daily.asp?date_req=""&amp;TEXT(A19,""DD/MM/YYYY""), ""//ValCurs/Valute[CharCode=""""USD""""]/Value"")*I19)"),"")</f>
        <v>#NAME?</v>
      </c>
      <c r="K19" s="71"/>
      <c r="L19" s="71"/>
      <c r="M19" s="71"/>
      <c r="N19" s="71" t="str">
        <f ca="1">IF(H19="","",IF(D19="usdt",H19,IF(C19="Binance",VLOOKUP(E19,'Курсы Бинанса'!B:C,2,FALSE),IF(C19="bybit",VLOOKUP(E19,'Курсы Bybit'!B:C,2,FALSE),IF(C19="OKX",VLOOKUP(E19,'Курсы OKX'!A:D,4,FALSE),IF(C19="huobi",VLOOKUP(E19,'Курсы Huobi'!B:C,2,FALSE),"! укажите биржу"))))))</f>
        <v/>
      </c>
      <c r="O19" s="74" t="e">
        <f t="shared" si="1"/>
        <v>#VALUE!</v>
      </c>
      <c r="P19" s="71" t="str">
        <f t="shared" si="2"/>
        <v/>
      </c>
      <c r="Q19" s="75" t="str">
        <f t="shared" si="3"/>
        <v/>
      </c>
      <c r="R19" s="76"/>
    </row>
    <row r="20" spans="1:18" ht="14.25" customHeight="1">
      <c r="A20" s="67"/>
      <c r="B20" s="68"/>
      <c r="C20" s="69"/>
      <c r="D20" s="69" t="str">
        <f ca="1">IF(B20="","",VLOOKUP('Журнал Закупок'!$B20,'СТ Криптовалюта'!B:C,2,0))</f>
        <v/>
      </c>
      <c r="E20" s="68" t="str">
        <f t="shared" si="4"/>
        <v/>
      </c>
      <c r="F20" s="70"/>
      <c r="G20" s="71"/>
      <c r="H20" s="71"/>
      <c r="I20" s="71" t="str">
        <f t="shared" si="0"/>
        <v/>
      </c>
      <c r="J20" s="71" t="e">
        <f ca="1">IFERROR(__xludf.DUMMYFUNCTION("IF(I20="""","""",IMPORTXML(""http://www.cbr.ru/scripts/XML_daily.asp?date_req=""&amp;TEXT(A20,""DD/MM/YYYY""), ""//ValCurs/Valute[CharCode=""""USD""""]/Value"")*I20)"),"")</f>
        <v>#NAME?</v>
      </c>
      <c r="K20" s="71"/>
      <c r="L20" s="71"/>
      <c r="M20" s="71"/>
      <c r="N20" s="71" t="str">
        <f ca="1">IF(H20="","",IF(D20="usdt",H20,IF(C20="Binance",VLOOKUP(E20,'Курсы Бинанса'!B:C,2,FALSE),IF(C20="bybit",VLOOKUP(E20,'Курсы Bybit'!B:C,2,FALSE),IF(C20="OKX",VLOOKUP(E20,'Курсы OKX'!A:D,4,FALSE),IF(C20="huobi",VLOOKUP(E20,'Курсы Huobi'!B:C,2,FALSE),"! укажите биржу"))))))</f>
        <v/>
      </c>
      <c r="O20" s="74" t="e">
        <f t="shared" si="1"/>
        <v>#VALUE!</v>
      </c>
      <c r="P20" s="71" t="str">
        <f t="shared" si="2"/>
        <v/>
      </c>
      <c r="Q20" s="75" t="str">
        <f t="shared" si="3"/>
        <v/>
      </c>
      <c r="R20" s="76"/>
    </row>
    <row r="21" spans="1:18" ht="14.25" customHeight="1">
      <c r="A21" s="67"/>
      <c r="B21" s="68"/>
      <c r="C21" s="69"/>
      <c r="D21" s="69"/>
      <c r="E21" s="68"/>
      <c r="F21" s="70"/>
      <c r="G21" s="79"/>
      <c r="H21" s="72"/>
      <c r="I21" s="71"/>
      <c r="J21" s="71"/>
      <c r="K21" s="71"/>
      <c r="L21" s="71"/>
      <c r="M21" s="71"/>
      <c r="N21" s="71"/>
      <c r="O21" s="74"/>
      <c r="P21" s="71"/>
      <c r="Q21" s="75"/>
      <c r="R21" s="76"/>
    </row>
    <row r="22" spans="1:18" ht="14.25" customHeight="1">
      <c r="A22" s="67"/>
      <c r="B22" s="68"/>
      <c r="C22" s="69"/>
      <c r="D22" s="69"/>
      <c r="E22" s="68"/>
      <c r="F22" s="70"/>
      <c r="G22" s="71"/>
      <c r="H22" s="71"/>
      <c r="I22" s="71"/>
      <c r="J22" s="71"/>
      <c r="K22" s="71"/>
      <c r="L22" s="71"/>
      <c r="M22" s="71"/>
      <c r="N22" s="71"/>
      <c r="O22" s="74"/>
      <c r="P22" s="71"/>
      <c r="Q22" s="75"/>
      <c r="R22" s="76"/>
    </row>
    <row r="23" spans="1:18" ht="14.25" customHeight="1">
      <c r="A23" s="67"/>
      <c r="B23" s="68"/>
      <c r="C23" s="69"/>
      <c r="D23" s="69"/>
      <c r="E23" s="68"/>
      <c r="F23" s="70"/>
      <c r="G23" s="71"/>
      <c r="H23" s="71"/>
      <c r="I23" s="71"/>
      <c r="J23" s="71"/>
      <c r="K23" s="71"/>
      <c r="L23" s="71"/>
      <c r="M23" s="71"/>
      <c r="N23" s="71"/>
      <c r="O23" s="74"/>
      <c r="P23" s="71"/>
      <c r="Q23" s="75"/>
      <c r="R23" s="76"/>
    </row>
    <row r="24" spans="1:18" ht="14.25" customHeight="1">
      <c r="A24" s="67"/>
      <c r="B24" s="68"/>
      <c r="C24" s="69"/>
      <c r="D24" s="69"/>
      <c r="E24" s="68"/>
      <c r="F24" s="70"/>
      <c r="G24" s="71"/>
      <c r="H24" s="71"/>
      <c r="I24" s="71"/>
      <c r="J24" s="71"/>
      <c r="K24" s="71"/>
      <c r="L24" s="71"/>
      <c r="M24" s="71"/>
      <c r="N24" s="71"/>
      <c r="O24" s="74"/>
      <c r="P24" s="71"/>
      <c r="Q24" s="75"/>
      <c r="R24" s="76"/>
    </row>
    <row r="25" spans="1:18" ht="14.25" customHeight="1">
      <c r="A25" s="67"/>
      <c r="B25" s="68"/>
      <c r="C25" s="69"/>
      <c r="D25" s="69"/>
      <c r="E25" s="68"/>
      <c r="F25" s="70"/>
      <c r="G25" s="71"/>
      <c r="H25" s="71"/>
      <c r="I25" s="71"/>
      <c r="J25" s="71"/>
      <c r="K25" s="71"/>
      <c r="L25" s="71"/>
      <c r="M25" s="71"/>
      <c r="N25" s="71"/>
      <c r="O25" s="74"/>
      <c r="P25" s="71"/>
      <c r="Q25" s="75"/>
      <c r="R25" s="76"/>
    </row>
    <row r="26" spans="1:18" ht="14.25" customHeight="1">
      <c r="A26" s="67"/>
      <c r="B26" s="68"/>
      <c r="C26" s="69"/>
      <c r="D26" s="69"/>
      <c r="E26" s="68"/>
      <c r="F26" s="70"/>
      <c r="G26" s="71"/>
      <c r="H26" s="71"/>
      <c r="I26" s="71"/>
      <c r="J26" s="71"/>
      <c r="K26" s="71"/>
      <c r="L26" s="71"/>
      <c r="M26" s="71"/>
      <c r="N26" s="71"/>
      <c r="O26" s="74"/>
      <c r="P26" s="71"/>
      <c r="Q26" s="75"/>
      <c r="R26" s="76"/>
    </row>
    <row r="27" spans="1:18" ht="14.25" customHeight="1">
      <c r="A27" s="67"/>
      <c r="B27" s="68"/>
      <c r="C27" s="69"/>
      <c r="D27" s="69"/>
      <c r="E27" s="68"/>
      <c r="F27" s="70"/>
      <c r="G27" s="71"/>
      <c r="H27" s="71"/>
      <c r="I27" s="71"/>
      <c r="J27" s="71"/>
      <c r="K27" s="71"/>
      <c r="L27" s="71"/>
      <c r="M27" s="71"/>
      <c r="N27" s="71"/>
      <c r="O27" s="74"/>
      <c r="P27" s="71"/>
      <c r="Q27" s="75"/>
      <c r="R27" s="76"/>
    </row>
    <row r="28" spans="1:18" ht="14.25" customHeight="1">
      <c r="A28" s="67"/>
      <c r="B28" s="68"/>
      <c r="C28" s="69"/>
      <c r="D28" s="69"/>
      <c r="E28" s="68"/>
      <c r="F28" s="70"/>
      <c r="G28" s="71"/>
      <c r="H28" s="71"/>
      <c r="I28" s="71"/>
      <c r="J28" s="71"/>
      <c r="K28" s="71"/>
      <c r="L28" s="71"/>
      <c r="M28" s="71"/>
      <c r="N28" s="71"/>
      <c r="O28" s="74"/>
      <c r="P28" s="71"/>
      <c r="Q28" s="75"/>
      <c r="R28" s="76"/>
    </row>
    <row r="29" spans="1:18" ht="14.25" customHeight="1">
      <c r="A29" s="67"/>
      <c r="B29" s="68"/>
      <c r="C29" s="69"/>
      <c r="D29" s="69"/>
      <c r="E29" s="68"/>
      <c r="F29" s="70"/>
      <c r="G29" s="71"/>
      <c r="H29" s="71"/>
      <c r="I29" s="71"/>
      <c r="J29" s="71"/>
      <c r="K29" s="71"/>
      <c r="L29" s="71"/>
      <c r="M29" s="71"/>
      <c r="N29" s="71"/>
      <c r="O29" s="74"/>
      <c r="P29" s="71"/>
      <c r="Q29" s="75"/>
      <c r="R29" s="76"/>
    </row>
    <row r="30" spans="1:18" ht="14.25" customHeight="1">
      <c r="A30" s="67"/>
      <c r="B30" s="68"/>
      <c r="C30" s="69"/>
      <c r="D30" s="69"/>
      <c r="E30" s="68"/>
      <c r="F30" s="70"/>
      <c r="G30" s="71"/>
      <c r="H30" s="71"/>
      <c r="I30" s="71"/>
      <c r="J30" s="71"/>
      <c r="K30" s="71"/>
      <c r="L30" s="71"/>
      <c r="M30" s="71"/>
      <c r="N30" s="71"/>
      <c r="O30" s="74"/>
      <c r="P30" s="71"/>
      <c r="Q30" s="75"/>
      <c r="R30" s="76"/>
    </row>
    <row r="31" spans="1:18" ht="14.25" customHeight="1">
      <c r="A31" s="67"/>
      <c r="B31" s="68"/>
      <c r="C31" s="69"/>
      <c r="D31" s="69"/>
      <c r="E31" s="68"/>
      <c r="F31" s="70"/>
      <c r="G31" s="71"/>
      <c r="H31" s="71"/>
      <c r="I31" s="71"/>
      <c r="J31" s="71"/>
      <c r="K31" s="71"/>
      <c r="L31" s="71"/>
      <c r="M31" s="71"/>
      <c r="N31" s="71"/>
      <c r="O31" s="74"/>
      <c r="P31" s="71"/>
      <c r="Q31" s="75"/>
      <c r="R31" s="76"/>
    </row>
    <row r="32" spans="1:18" ht="14.25" customHeight="1">
      <c r="A32" s="67"/>
      <c r="B32" s="68"/>
      <c r="C32" s="69"/>
      <c r="D32" s="69"/>
      <c r="E32" s="68"/>
      <c r="F32" s="70"/>
      <c r="G32" s="71"/>
      <c r="H32" s="71"/>
      <c r="I32" s="71"/>
      <c r="J32" s="71"/>
      <c r="K32" s="71"/>
      <c r="L32" s="71"/>
      <c r="M32" s="71"/>
      <c r="N32" s="71"/>
      <c r="O32" s="74"/>
      <c r="P32" s="71"/>
      <c r="Q32" s="75"/>
      <c r="R32" s="76"/>
    </row>
    <row r="33" spans="1:18" ht="14.25" customHeight="1">
      <c r="A33" s="67"/>
      <c r="B33" s="68"/>
      <c r="C33" s="69"/>
      <c r="D33" s="69"/>
      <c r="E33" s="68"/>
      <c r="F33" s="70"/>
      <c r="G33" s="71"/>
      <c r="H33" s="71"/>
      <c r="I33" s="71"/>
      <c r="J33" s="71"/>
      <c r="K33" s="71"/>
      <c r="L33" s="71"/>
      <c r="M33" s="71"/>
      <c r="N33" s="71"/>
      <c r="O33" s="74"/>
      <c r="P33" s="71"/>
      <c r="Q33" s="75"/>
      <c r="R33" s="76"/>
    </row>
    <row r="34" spans="1:18" ht="14.25" customHeight="1">
      <c r="A34" s="67"/>
      <c r="B34" s="68"/>
      <c r="C34" s="69"/>
      <c r="D34" s="69"/>
      <c r="E34" s="68"/>
      <c r="F34" s="70"/>
      <c r="G34" s="71"/>
      <c r="H34" s="71"/>
      <c r="I34" s="71"/>
      <c r="J34" s="71"/>
      <c r="K34" s="71"/>
      <c r="L34" s="71"/>
      <c r="M34" s="71"/>
      <c r="N34" s="71"/>
      <c r="O34" s="74"/>
      <c r="P34" s="71"/>
      <c r="Q34" s="75"/>
      <c r="R34" s="76"/>
    </row>
    <row r="35" spans="1:18" ht="14.25" customHeight="1">
      <c r="A35" s="67"/>
      <c r="B35" s="68"/>
      <c r="C35" s="69"/>
      <c r="D35" s="69"/>
      <c r="E35" s="68"/>
      <c r="F35" s="70"/>
      <c r="G35" s="71"/>
      <c r="H35" s="71"/>
      <c r="I35" s="71"/>
      <c r="J35" s="71"/>
      <c r="K35" s="71"/>
      <c r="L35" s="71"/>
      <c r="M35" s="71"/>
      <c r="N35" s="71"/>
      <c r="O35" s="74"/>
      <c r="P35" s="71"/>
      <c r="Q35" s="75"/>
      <c r="R35" s="76"/>
    </row>
    <row r="36" spans="1:18" ht="14.25" customHeight="1">
      <c r="A36" s="67"/>
      <c r="B36" s="68"/>
      <c r="C36" s="69"/>
      <c r="D36" s="69"/>
      <c r="E36" s="68"/>
      <c r="F36" s="70"/>
      <c r="G36" s="71"/>
      <c r="H36" s="71"/>
      <c r="I36" s="71"/>
      <c r="J36" s="71"/>
      <c r="K36" s="71"/>
      <c r="L36" s="71"/>
      <c r="M36" s="71"/>
      <c r="N36" s="71"/>
      <c r="O36" s="74"/>
      <c r="P36" s="71"/>
      <c r="Q36" s="75"/>
      <c r="R36" s="76"/>
    </row>
    <row r="37" spans="1:18" ht="14.25" customHeight="1">
      <c r="A37" s="80"/>
      <c r="B37" s="81"/>
      <c r="C37" s="82"/>
      <c r="D37" s="82"/>
      <c r="E37" s="81"/>
      <c r="F37" s="83"/>
      <c r="G37" s="74"/>
      <c r="H37" s="84"/>
      <c r="I37" s="74"/>
      <c r="J37" s="74"/>
      <c r="K37" s="85"/>
      <c r="L37" s="85"/>
      <c r="M37" s="85"/>
      <c r="N37" s="74"/>
      <c r="O37" s="74"/>
      <c r="P37" s="86"/>
      <c r="Q37" s="87"/>
      <c r="R37" s="88"/>
    </row>
    <row r="38" spans="1:18" ht="14.25" customHeight="1">
      <c r="A38" s="89"/>
      <c r="B38" s="81"/>
      <c r="C38" s="82"/>
      <c r="D38" s="82"/>
      <c r="E38" s="81"/>
      <c r="F38" s="81"/>
      <c r="G38" s="74"/>
      <c r="H38" s="84"/>
      <c r="I38" s="74"/>
      <c r="J38" s="74"/>
      <c r="K38" s="85"/>
      <c r="L38" s="85"/>
      <c r="M38" s="85"/>
      <c r="N38" s="74"/>
      <c r="O38" s="74"/>
      <c r="P38" s="86"/>
      <c r="Q38" s="87"/>
      <c r="R38" s="88"/>
    </row>
    <row r="39" spans="1:18" ht="14.25" customHeight="1">
      <c r="A39" s="89"/>
      <c r="B39" s="81"/>
      <c r="C39" s="82"/>
      <c r="D39" s="82"/>
      <c r="E39" s="81"/>
      <c r="F39" s="81"/>
      <c r="G39" s="74"/>
      <c r="H39" s="84"/>
      <c r="I39" s="74"/>
      <c r="J39" s="74"/>
      <c r="K39" s="85"/>
      <c r="L39" s="85"/>
      <c r="M39" s="85"/>
      <c r="N39" s="74"/>
      <c r="O39" s="74"/>
      <c r="P39" s="86"/>
      <c r="Q39" s="87"/>
      <c r="R39" s="88"/>
    </row>
    <row r="40" spans="1:18" ht="14.25" customHeight="1">
      <c r="A40" s="67"/>
      <c r="B40" s="68"/>
      <c r="C40" s="69"/>
      <c r="D40" s="69"/>
      <c r="E40" s="68"/>
      <c r="F40" s="70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5"/>
      <c r="R40" s="76"/>
    </row>
    <row r="41" spans="1:18" ht="14.25" customHeight="1">
      <c r="A41" s="67"/>
      <c r="B41" s="68"/>
      <c r="C41" s="69"/>
      <c r="D41" s="69" t="str">
        <f ca="1">IF(B41="","",VLOOKUP('Журнал Закупок'!$B41,'СТ Криптовалюта'!B:C,2,0))</f>
        <v/>
      </c>
      <c r="E41" s="68" t="str">
        <f>IF(D41="","",CONCATENATE(D41,"USDT"))</f>
        <v/>
      </c>
      <c r="F41" s="70"/>
      <c r="G41" s="71"/>
      <c r="H41" s="71"/>
      <c r="I41" s="71" t="str">
        <f>IF(H41="","",ROUND(G41*H41,5))</f>
        <v/>
      </c>
      <c r="J41" s="71" t="e">
        <f ca="1">IFERROR(__xludf.DUMMYFUNCTION("IF(I41="""","""",IMPORTXML(""http://www.cbr.ru/scripts/XML_daily.asp?date_req=""&amp;TEXT(A41,""DD/MM/YYYY""), ""//ValCurs/Valute[CharCode=""""USD""""]/Value"")*I41)"),"")</f>
        <v>#NAME?</v>
      </c>
      <c r="K41" s="71"/>
      <c r="L41" s="71"/>
      <c r="M41" s="71"/>
      <c r="N41" s="71" t="str">
        <f ca="1">IF(H41="","",IF(D41="usdt",H41,IF(C41="Binance",VLOOKUP(E41,'Курсы Бинанса'!B:C,2,FALSE),IF(C41="bybit",VLOOKUP(E41,'Курсы Bybit'!B:C,2,FALSE),IF(C41="OKX",VLOOKUP(E41,'Курсы OKX'!A:D,4,FALSE),IF(C41="huobi",VLOOKUP(E41,'Курсы Huobi'!B:C,2,FALSE),"! укажите биржу"))))))</f>
        <v/>
      </c>
      <c r="O41" s="71" t="str">
        <f>IF(N41="! укажите биржу","",IF(N41="","",N41*G41))</f>
        <v/>
      </c>
      <c r="P41" s="71" t="str">
        <f>IF(N41="","",IF(N41="! укажите биржу","",ROUND(O41-I41,2)))</f>
        <v/>
      </c>
      <c r="Q41" s="75" t="str">
        <f>IF(P41="","",ROUND(IFERROR((O41-I41)/I41,2),5))</f>
        <v/>
      </c>
      <c r="R41" s="76"/>
    </row>
    <row r="42" spans="1:18" ht="14.25" customHeight="1">
      <c r="A42" s="67"/>
      <c r="B42" s="68"/>
      <c r="C42" s="69"/>
      <c r="D42" s="69" t="str">
        <f ca="1">IF(B42="","",VLOOKUP('Журнал Закупок'!$B42,'СТ Криптовалюта'!B:C,2,0))</f>
        <v/>
      </c>
      <c r="E42" s="68" t="str">
        <f>IF(D42="","",CONCATENATE(D42,"USDT"))</f>
        <v/>
      </c>
      <c r="F42" s="70"/>
      <c r="G42" s="71"/>
      <c r="H42" s="71"/>
      <c r="I42" s="71" t="str">
        <f>IF(H42="","",ROUND(G42*H42,5))</f>
        <v/>
      </c>
      <c r="J42" s="71" t="e">
        <f ca="1">IFERROR(__xludf.DUMMYFUNCTION("IF(I42="""","""",IMPORTXML(""http://www.cbr.ru/scripts/XML_daily.asp?date_req=""&amp;TEXT(A42,""DD/MM/YYYY""), ""//ValCurs/Valute[CharCode=""""USD""""]/Value"")*I42)"),"")</f>
        <v>#NAME?</v>
      </c>
      <c r="K42" s="71"/>
      <c r="L42" s="71"/>
      <c r="M42" s="71"/>
      <c r="N42" s="71" t="str">
        <f ca="1">IF(H42="","",IF(D42="usdt",H42,IF(C42="Binance",VLOOKUP(E42,'Курсы Бинанса'!B:C,2,FALSE),IF(C42="bybit",VLOOKUP(E42,'Курсы Bybit'!B:C,2,FALSE),IF(C42="OKX",VLOOKUP(E42,'Курсы OKX'!A:D,4,FALSE),IF(C42="huobi",VLOOKUP(E42,'Курсы Huobi'!B:C,2,FALSE),"! укажите биржу"))))))</f>
        <v/>
      </c>
      <c r="O42" s="71" t="str">
        <f>IF(N42="! укажите биржу","",IF(N42="","",N42*G42))</f>
        <v/>
      </c>
      <c r="P42" s="71" t="str">
        <f>IF(N42="","",IF(N42="! укажите биржу","",ROUND(O42-I42,2)))</f>
        <v/>
      </c>
      <c r="Q42" s="75" t="str">
        <f>IF(P42="","",ROUND(IFERROR((O42-I42)/I42,2),5))</f>
        <v/>
      </c>
      <c r="R42" s="76"/>
    </row>
    <row r="43" spans="1:18" ht="14.25" customHeight="1">
      <c r="A43" s="67"/>
      <c r="B43" s="68"/>
      <c r="C43" s="69"/>
      <c r="D43" s="69" t="str">
        <f ca="1">IF(B43="","",VLOOKUP('Журнал Закупок'!$B43,'СТ Криптовалюта'!B:C,2,0))</f>
        <v/>
      </c>
      <c r="E43" s="68" t="str">
        <f>IF(D43="","",CONCATENATE(D43,"USDT"))</f>
        <v/>
      </c>
      <c r="F43" s="70"/>
      <c r="G43" s="71"/>
      <c r="H43" s="71"/>
      <c r="I43" s="71" t="str">
        <f>IF(H43="","",ROUND(G43*H43,5))</f>
        <v/>
      </c>
      <c r="J43" s="71" t="e">
        <f ca="1">IFERROR(__xludf.DUMMYFUNCTION("IF(I43="""","""",IMPORTXML(""http://www.cbr.ru/scripts/XML_daily.asp?date_req=""&amp;TEXT(A43,""DD/MM/YYYY""), ""//ValCurs/Valute[CharCode=""""USD""""]/Value"")*I43)"),"")</f>
        <v>#NAME?</v>
      </c>
      <c r="K43" s="71"/>
      <c r="L43" s="71"/>
      <c r="M43" s="71"/>
      <c r="N43" s="71" t="str">
        <f ca="1">IF(H43="","",IF(D43="usdt",H43,IF(C43="Binance",VLOOKUP(E43,'Курсы Бинанса'!B:C,2,FALSE),IF(C43="bybit",VLOOKUP(E43,'Курсы Bybit'!B:C,2,FALSE),IF(C43="OKX",VLOOKUP(E43,'Курсы OKX'!A:D,4,FALSE),IF(C43="huobi",VLOOKUP(E43,'Курсы Huobi'!B:C,2,FALSE),"! укажите биржу"))))))</f>
        <v/>
      </c>
      <c r="O43" s="71" t="str">
        <f>IF(N43="! укажите биржу","",IF(N43="","",N43*G43))</f>
        <v/>
      </c>
      <c r="P43" s="71" t="str">
        <f>IF(N43="","",IF(N43="! укажите биржу","",ROUND(O43-I43,2)))</f>
        <v/>
      </c>
      <c r="Q43" s="75" t="str">
        <f>IF(P43="","",ROUND(IFERROR((O43-I43)/I43,2),5))</f>
        <v/>
      </c>
      <c r="R43" s="76"/>
    </row>
    <row r="44" spans="1:18" ht="14.25" customHeight="1">
      <c r="A44" s="67"/>
      <c r="B44" s="68"/>
      <c r="C44" s="69"/>
      <c r="D44" s="69" t="str">
        <f ca="1">IF(B44="","",VLOOKUP('Журнал Закупок'!$B44,'СТ Криптовалюта'!B:C,2,0))</f>
        <v/>
      </c>
      <c r="E44" s="68" t="str">
        <f>IF(D44="","",CONCATENATE(D44,"USDT"))</f>
        <v/>
      </c>
      <c r="F44" s="70"/>
      <c r="G44" s="71"/>
      <c r="H44" s="71"/>
      <c r="I44" s="71" t="str">
        <f>IF(H44="","",ROUND(G44*H44,5))</f>
        <v/>
      </c>
      <c r="J44" s="71" t="e">
        <f ca="1">IFERROR(__xludf.DUMMYFUNCTION("IF(I44="""","""",IMPORTXML(""http://www.cbr.ru/scripts/XML_daily.asp?date_req=""&amp;TEXT(A44,""DD/MM/YYYY""), ""//ValCurs/Valute[CharCode=""""USD""""]/Value"")*I44)"),"")</f>
        <v>#NAME?</v>
      </c>
      <c r="K44" s="71"/>
      <c r="L44" s="71"/>
      <c r="M44" s="71"/>
      <c r="N44" s="71" t="str">
        <f ca="1">IF(H44="","",IF(D44="usdt",H44,IF(C44="Binance",VLOOKUP(E44,'Курсы Бинанса'!B:C,2,FALSE),IF(C44="bybit",VLOOKUP(E44,'Курсы Bybit'!B:C,2,FALSE),IF(C44="OKX",VLOOKUP(E44,'Курсы OKX'!A:D,4,FALSE),IF(C44="huobi",VLOOKUP(E44,'Курсы Huobi'!B:C,2,FALSE),"! укажите биржу"))))))</f>
        <v/>
      </c>
      <c r="O44" s="71" t="str">
        <f>IF(N44="! укажите биржу","",IF(N44="","",N44*G44))</f>
        <v/>
      </c>
      <c r="P44" s="71" t="str">
        <f>IF(N44="","",IF(N44="! укажите биржу","",ROUND(O44-I44,2)))</f>
        <v/>
      </c>
      <c r="Q44" s="75" t="str">
        <f>IF(P44="","",ROUND(IFERROR((O44-I44)/I44,2),5))</f>
        <v/>
      </c>
      <c r="R44" s="76"/>
    </row>
    <row r="45" spans="1:18" ht="14.25" customHeight="1">
      <c r="A45" s="67"/>
      <c r="B45" s="68"/>
      <c r="C45" s="69"/>
      <c r="D45" s="69"/>
      <c r="E45" s="68"/>
      <c r="F45" s="70"/>
      <c r="G45" s="79"/>
      <c r="H45" s="72"/>
      <c r="I45" s="71"/>
      <c r="J45" s="71"/>
      <c r="K45" s="71"/>
      <c r="L45" s="71"/>
      <c r="M45" s="71"/>
      <c r="N45" s="71"/>
      <c r="O45" s="71"/>
      <c r="P45" s="71"/>
      <c r="Q45" s="75"/>
      <c r="R45" s="76"/>
    </row>
    <row r="46" spans="1:18" ht="14.25" customHeight="1">
      <c r="A46" s="67"/>
      <c r="B46" s="68"/>
      <c r="C46" s="69"/>
      <c r="D46" s="69" t="str">
        <f ca="1">IF(B46="","",VLOOKUP('Журнал Закупок'!$B46,'СТ Криптовалюта'!B:C,2,0))</f>
        <v/>
      </c>
      <c r="E46" s="68" t="str">
        <f t="shared" ref="E46:E109" si="5">IF(D46="","",CONCATENATE(D46,"USDT"))</f>
        <v/>
      </c>
      <c r="F46" s="70"/>
      <c r="G46" s="71"/>
      <c r="H46" s="71"/>
      <c r="I46" s="71" t="str">
        <f t="shared" ref="I46:I109" si="6">IF(H46="","",ROUND(G46*H46,5))</f>
        <v/>
      </c>
      <c r="J46" s="71" t="e">
        <f ca="1">IFERROR(__xludf.DUMMYFUNCTION("IF(I46="""","""",IMPORTXML(""http://www.cbr.ru/scripts/XML_daily.asp?date_req=""&amp;TEXT(A46,""DD/MM/YYYY""), ""//ValCurs/Valute[CharCode=""""USD""""]/Value"")*I46)"),"")</f>
        <v>#NAME?</v>
      </c>
      <c r="K46" s="71"/>
      <c r="L46" s="71"/>
      <c r="M46" s="71"/>
      <c r="N46" s="71" t="str">
        <f ca="1">IF(H46="","",IF(D46="usdt",H46,IF(C46="Binance",VLOOKUP(E46,'Курсы Бинанса'!B:C,2,FALSE),IF(C46="bybit",VLOOKUP(E46,'Курсы Bybit'!B:C,2,FALSE),IF(C46="OKX",VLOOKUP(E46,'Курсы OKX'!A:D,4,FALSE),IF(C46="huobi",VLOOKUP(E46,'Курсы Huobi'!B:C,2,FALSE),"! укажите биржу"))))))</f>
        <v/>
      </c>
      <c r="O46" s="71" t="str">
        <f t="shared" ref="O46:O109" si="7">IF(N46="! укажите биржу","",IF(N46="","",N46*G46))</f>
        <v/>
      </c>
      <c r="P46" s="71" t="str">
        <f t="shared" ref="P46:P109" si="8">IF(N46="","",IF(N46="! укажите биржу","",ROUND(O46-I46,2)))</f>
        <v/>
      </c>
      <c r="Q46" s="75" t="str">
        <f t="shared" ref="Q46:Q109" si="9">IF(P46="","",ROUND(IFERROR((O46-I46)/I46,2),5))</f>
        <v/>
      </c>
      <c r="R46" s="76"/>
    </row>
    <row r="47" spans="1:18" ht="14.25" customHeight="1">
      <c r="A47" s="67"/>
      <c r="B47" s="68"/>
      <c r="C47" s="69"/>
      <c r="D47" s="69" t="str">
        <f ca="1">IF(B47="","",VLOOKUP('Журнал Закупок'!$B47,'СТ Криптовалюта'!B:C,2,0))</f>
        <v/>
      </c>
      <c r="E47" s="68" t="str">
        <f t="shared" si="5"/>
        <v/>
      </c>
      <c r="F47" s="70"/>
      <c r="G47" s="71"/>
      <c r="H47" s="71"/>
      <c r="I47" s="71" t="str">
        <f t="shared" si="6"/>
        <v/>
      </c>
      <c r="J47" s="71" t="e">
        <f ca="1">IFERROR(__xludf.DUMMYFUNCTION("IF(I47="""","""",IMPORTXML(""http://www.cbr.ru/scripts/XML_daily.asp?date_req=""&amp;TEXT(A47,""DD/MM/YYYY""), ""//ValCurs/Valute[CharCode=""""USD""""]/Value"")*I47)"),"")</f>
        <v>#NAME?</v>
      </c>
      <c r="K47" s="71"/>
      <c r="L47" s="71"/>
      <c r="M47" s="71"/>
      <c r="N47" s="71" t="str">
        <f ca="1">IF(H47="","",IF(D47="usdt",H47,IF(C47="Binance",VLOOKUP(E47,'Курсы Бинанса'!B:C,2,FALSE),IF(C47="bybit",VLOOKUP(E47,'Курсы Bybit'!B:C,2,FALSE),IF(C47="OKX",VLOOKUP(E47,'Курсы OKX'!A:D,4,FALSE),IF(C47="huobi",VLOOKUP(E47,'Курсы Huobi'!B:C,2,FALSE),"! укажите биржу"))))))</f>
        <v/>
      </c>
      <c r="O47" s="71" t="str">
        <f t="shared" si="7"/>
        <v/>
      </c>
      <c r="P47" s="71" t="str">
        <f t="shared" si="8"/>
        <v/>
      </c>
      <c r="Q47" s="75" t="str">
        <f t="shared" si="9"/>
        <v/>
      </c>
      <c r="R47" s="76"/>
    </row>
    <row r="48" spans="1:18" ht="14.25" customHeight="1">
      <c r="A48" s="67"/>
      <c r="B48" s="68"/>
      <c r="C48" s="69"/>
      <c r="D48" s="69" t="str">
        <f ca="1">IF(B48="","",VLOOKUP('Журнал Закупок'!$B48,'СТ Криптовалюта'!B:C,2,0))</f>
        <v/>
      </c>
      <c r="E48" s="68" t="str">
        <f t="shared" si="5"/>
        <v/>
      </c>
      <c r="F48" s="70"/>
      <c r="G48" s="71"/>
      <c r="H48" s="71"/>
      <c r="I48" s="71" t="str">
        <f t="shared" si="6"/>
        <v/>
      </c>
      <c r="J48" s="71" t="e">
        <f ca="1">IFERROR(__xludf.DUMMYFUNCTION("IF(I48="""","""",IMPORTXML(""http://www.cbr.ru/scripts/XML_daily.asp?date_req=""&amp;TEXT(A48,""DD/MM/YYYY""), ""//ValCurs/Valute[CharCode=""""USD""""]/Value"")*I48)"),"")</f>
        <v>#NAME?</v>
      </c>
      <c r="K48" s="71"/>
      <c r="L48" s="71"/>
      <c r="M48" s="71"/>
      <c r="N48" s="71" t="str">
        <f ca="1">IF(H48="","",IF(D48="usdt",H48,IF(C48="Binance",VLOOKUP(E48,'Курсы Бинанса'!B:C,2,FALSE),IF(C48="bybit",VLOOKUP(E48,'Курсы Bybit'!B:C,2,FALSE),IF(C48="OKX",VLOOKUP(E48,'Курсы OKX'!A:D,4,FALSE),IF(C48="huobi",VLOOKUP(E48,'Курсы Huobi'!B:C,2,FALSE),"! укажите биржу"))))))</f>
        <v/>
      </c>
      <c r="O48" s="71" t="str">
        <f t="shared" si="7"/>
        <v/>
      </c>
      <c r="P48" s="71" t="str">
        <f t="shared" si="8"/>
        <v/>
      </c>
      <c r="Q48" s="75" t="str">
        <f t="shared" si="9"/>
        <v/>
      </c>
      <c r="R48" s="76"/>
    </row>
    <row r="49" spans="1:18" ht="14.25" customHeight="1">
      <c r="A49" s="67"/>
      <c r="B49" s="68"/>
      <c r="C49" s="69"/>
      <c r="D49" s="69" t="str">
        <f ca="1">IF(B49="","",VLOOKUP('Журнал Закупок'!$B49,'СТ Криптовалюта'!B:C,2,0))</f>
        <v/>
      </c>
      <c r="E49" s="68" t="str">
        <f t="shared" si="5"/>
        <v/>
      </c>
      <c r="F49" s="70"/>
      <c r="G49" s="71"/>
      <c r="H49" s="71"/>
      <c r="I49" s="71" t="str">
        <f t="shared" si="6"/>
        <v/>
      </c>
      <c r="J49" s="71" t="e">
        <f ca="1">IFERROR(__xludf.DUMMYFUNCTION("IF(I49="""","""",IMPORTXML(""http://www.cbr.ru/scripts/XML_daily.asp?date_req=""&amp;TEXT(A49,""DD/MM/YYYY""), ""//ValCurs/Valute[CharCode=""""USD""""]/Value"")*I49)"),"")</f>
        <v>#NAME?</v>
      </c>
      <c r="K49" s="71"/>
      <c r="L49" s="71"/>
      <c r="M49" s="71"/>
      <c r="N49" s="71" t="str">
        <f ca="1">IF(H49="","",IF(D49="usdt",H49,IF(C49="Binance",VLOOKUP(E49,'Курсы Бинанса'!B:C,2,FALSE),IF(C49="bybit",VLOOKUP(E49,'Курсы Bybit'!B:C,2,FALSE),IF(C49="OKX",VLOOKUP(E49,'Курсы OKX'!A:D,4,FALSE),IF(C49="huobi",VLOOKUP(E49,'Курсы Huobi'!B:C,2,FALSE),"! укажите биржу"))))))</f>
        <v/>
      </c>
      <c r="O49" s="71" t="str">
        <f t="shared" si="7"/>
        <v/>
      </c>
      <c r="P49" s="71" t="str">
        <f t="shared" si="8"/>
        <v/>
      </c>
      <c r="Q49" s="75" t="str">
        <f t="shared" si="9"/>
        <v/>
      </c>
      <c r="R49" s="76"/>
    </row>
    <row r="50" spans="1:18" ht="14.25" customHeight="1">
      <c r="A50" s="67"/>
      <c r="B50" s="68"/>
      <c r="C50" s="69"/>
      <c r="D50" s="69" t="str">
        <f ca="1">IF(B50="","",VLOOKUP('Журнал Закупок'!$B50,'СТ Криптовалюта'!B:C,2,0))</f>
        <v/>
      </c>
      <c r="E50" s="68" t="str">
        <f t="shared" si="5"/>
        <v/>
      </c>
      <c r="F50" s="70"/>
      <c r="G50" s="71"/>
      <c r="H50" s="71"/>
      <c r="I50" s="71" t="str">
        <f t="shared" si="6"/>
        <v/>
      </c>
      <c r="J50" s="71" t="e">
        <f ca="1">IFERROR(__xludf.DUMMYFUNCTION("IF(I50="""","""",IMPORTXML(""http://www.cbr.ru/scripts/XML_daily.asp?date_req=""&amp;TEXT(A50,""DD/MM/YYYY""), ""//ValCurs/Valute[CharCode=""""USD""""]/Value"")*I50)"),"")</f>
        <v>#NAME?</v>
      </c>
      <c r="K50" s="71"/>
      <c r="L50" s="71"/>
      <c r="M50" s="71"/>
      <c r="N50" s="71" t="str">
        <f ca="1">IF(H50="","",IF(D50="usdt",H50,IF(C50="Binance",VLOOKUP(E50,'Курсы Бинанса'!B:C,2,FALSE),IF(C50="bybit",VLOOKUP(E50,'Курсы Bybit'!B:C,2,FALSE),IF(C50="OKX",VLOOKUP(E50,'Курсы OKX'!A:D,4,FALSE),IF(C50="huobi",VLOOKUP(E50,'Курсы Huobi'!B:C,2,FALSE),"! укажите биржу"))))))</f>
        <v/>
      </c>
      <c r="O50" s="71" t="str">
        <f t="shared" si="7"/>
        <v/>
      </c>
      <c r="P50" s="71" t="str">
        <f t="shared" si="8"/>
        <v/>
      </c>
      <c r="Q50" s="75" t="str">
        <f t="shared" si="9"/>
        <v/>
      </c>
      <c r="R50" s="76"/>
    </row>
    <row r="51" spans="1:18" ht="14.25" customHeight="1">
      <c r="A51" s="67"/>
      <c r="B51" s="68"/>
      <c r="C51" s="69"/>
      <c r="D51" s="69" t="str">
        <f ca="1">IF(B51="","",VLOOKUP('Журнал Закупок'!$B51,'СТ Криптовалюта'!B:C,2,0))</f>
        <v/>
      </c>
      <c r="E51" s="68" t="str">
        <f t="shared" si="5"/>
        <v/>
      </c>
      <c r="F51" s="70"/>
      <c r="G51" s="71"/>
      <c r="H51" s="71"/>
      <c r="I51" s="71" t="str">
        <f t="shared" si="6"/>
        <v/>
      </c>
      <c r="J51" s="71" t="e">
        <f ca="1">IFERROR(__xludf.DUMMYFUNCTION("IF(I51="""","""",IMPORTXML(""http://www.cbr.ru/scripts/XML_daily.asp?date_req=""&amp;TEXT(A51,""DD/MM/YYYY""), ""//ValCurs/Valute[CharCode=""""USD""""]/Value"")*I51)"),"")</f>
        <v>#NAME?</v>
      </c>
      <c r="K51" s="71"/>
      <c r="L51" s="71"/>
      <c r="M51" s="71"/>
      <c r="N51" s="71" t="str">
        <f ca="1">IF(H51="","",IF(D51="usdt",H51,IF(C51="Binance",VLOOKUP(E51,'Курсы Бинанса'!B:C,2,FALSE),IF(C51="bybit",VLOOKUP(E51,'Курсы Bybit'!B:C,2,FALSE),IF(C51="OKX",VLOOKUP(E51,'Курсы OKX'!A:D,4,FALSE),IF(C51="huobi",VLOOKUP(E51,'Курсы Huobi'!B:C,2,FALSE),"! укажите биржу"))))))</f>
        <v/>
      </c>
      <c r="O51" s="71" t="str">
        <f t="shared" si="7"/>
        <v/>
      </c>
      <c r="P51" s="71" t="str">
        <f t="shared" si="8"/>
        <v/>
      </c>
      <c r="Q51" s="75" t="str">
        <f t="shared" si="9"/>
        <v/>
      </c>
      <c r="R51" s="76"/>
    </row>
    <row r="52" spans="1:18" ht="14.25" customHeight="1">
      <c r="A52" s="67"/>
      <c r="B52" s="68"/>
      <c r="C52" s="69"/>
      <c r="D52" s="69" t="str">
        <f ca="1">IF(B52="","",VLOOKUP('Журнал Закупок'!$B52,'СТ Криптовалюта'!B:C,2,0))</f>
        <v/>
      </c>
      <c r="E52" s="68" t="str">
        <f t="shared" si="5"/>
        <v/>
      </c>
      <c r="F52" s="70"/>
      <c r="G52" s="71"/>
      <c r="H52" s="71"/>
      <c r="I52" s="71" t="str">
        <f t="shared" si="6"/>
        <v/>
      </c>
      <c r="J52" s="71" t="e">
        <f ca="1">IFERROR(__xludf.DUMMYFUNCTION("IF(I52="""","""",IMPORTXML(""http://www.cbr.ru/scripts/XML_daily.asp?date_req=""&amp;TEXT(A52,""DD/MM/YYYY""), ""//ValCurs/Valute[CharCode=""""USD""""]/Value"")*I52)"),"")</f>
        <v>#NAME?</v>
      </c>
      <c r="K52" s="71"/>
      <c r="L52" s="71"/>
      <c r="M52" s="71"/>
      <c r="N52" s="71" t="str">
        <f ca="1">IF(H52="","",IF(D52="usdt",H52,IF(C52="Binance",VLOOKUP(E52,'Курсы Бинанса'!B:C,2,FALSE),IF(C52="bybit",VLOOKUP(E52,'Курсы Bybit'!B:C,2,FALSE),IF(C52="OKX",VLOOKUP(E52,'Курсы OKX'!A:D,4,FALSE),IF(C52="huobi",VLOOKUP(E52,'Курсы Huobi'!B:C,2,FALSE),"! укажите биржу"))))))</f>
        <v/>
      </c>
      <c r="O52" s="71" t="str">
        <f t="shared" si="7"/>
        <v/>
      </c>
      <c r="P52" s="71" t="str">
        <f t="shared" si="8"/>
        <v/>
      </c>
      <c r="Q52" s="75" t="str">
        <f t="shared" si="9"/>
        <v/>
      </c>
      <c r="R52" s="76"/>
    </row>
    <row r="53" spans="1:18" ht="14.25" customHeight="1">
      <c r="A53" s="67"/>
      <c r="B53" s="68"/>
      <c r="C53" s="69"/>
      <c r="D53" s="69" t="str">
        <f ca="1">IF(B53="","",VLOOKUP('Журнал Закупок'!$B53,'СТ Криптовалюта'!B:C,2,0))</f>
        <v/>
      </c>
      <c r="E53" s="68" t="str">
        <f t="shared" si="5"/>
        <v/>
      </c>
      <c r="F53" s="70"/>
      <c r="G53" s="71"/>
      <c r="H53" s="71"/>
      <c r="I53" s="71" t="str">
        <f t="shared" si="6"/>
        <v/>
      </c>
      <c r="J53" s="71" t="e">
        <f ca="1">IFERROR(__xludf.DUMMYFUNCTION("IF(I53="""","""",IMPORTXML(""http://www.cbr.ru/scripts/XML_daily.asp?date_req=""&amp;TEXT(A53,""DD/MM/YYYY""), ""//ValCurs/Valute[CharCode=""""USD""""]/Value"")*I53)"),"")</f>
        <v>#NAME?</v>
      </c>
      <c r="K53" s="71"/>
      <c r="L53" s="71"/>
      <c r="M53" s="71"/>
      <c r="N53" s="71" t="str">
        <f ca="1">IF(H53="","",IF(D53="usdt",H53,IF(C53="Binance",VLOOKUP(E53,'Курсы Бинанса'!B:C,2,FALSE),IF(C53="bybit",VLOOKUP(E53,'Курсы Bybit'!B:C,2,FALSE),IF(C53="OKX",VLOOKUP(E53,'Курсы OKX'!A:D,4,FALSE),IF(C53="huobi",VLOOKUP(E53,'Курсы Huobi'!B:C,2,FALSE),"! укажите биржу"))))))</f>
        <v/>
      </c>
      <c r="O53" s="71" t="str">
        <f t="shared" si="7"/>
        <v/>
      </c>
      <c r="P53" s="71" t="str">
        <f t="shared" si="8"/>
        <v/>
      </c>
      <c r="Q53" s="75" t="str">
        <f t="shared" si="9"/>
        <v/>
      </c>
      <c r="R53" s="76"/>
    </row>
    <row r="54" spans="1:18" ht="14.25" customHeight="1">
      <c r="A54" s="67"/>
      <c r="B54" s="68"/>
      <c r="C54" s="69"/>
      <c r="D54" s="69" t="str">
        <f ca="1">IF(B54="","",VLOOKUP('Журнал Закупок'!$B54,'СТ Криптовалюта'!B:C,2,0))</f>
        <v/>
      </c>
      <c r="E54" s="68" t="str">
        <f t="shared" si="5"/>
        <v/>
      </c>
      <c r="F54" s="70"/>
      <c r="G54" s="71"/>
      <c r="H54" s="71"/>
      <c r="I54" s="71" t="str">
        <f t="shared" si="6"/>
        <v/>
      </c>
      <c r="J54" s="71" t="e">
        <f ca="1">IFERROR(__xludf.DUMMYFUNCTION("IF(I54="""","""",IMPORTXML(""http://www.cbr.ru/scripts/XML_daily.asp?date_req=""&amp;TEXT(A54,""DD/MM/YYYY""), ""//ValCurs/Valute[CharCode=""""USD""""]/Value"")*I54)"),"")</f>
        <v>#NAME?</v>
      </c>
      <c r="K54" s="71"/>
      <c r="L54" s="71"/>
      <c r="M54" s="71"/>
      <c r="N54" s="71" t="str">
        <f ca="1">IF(H54="","",IF(D54="usdt",H54,IF(C54="Binance",VLOOKUP(E54,'Курсы Бинанса'!B:C,2,FALSE),IF(C54="bybit",VLOOKUP(E54,'Курсы Bybit'!B:C,2,FALSE),IF(C54="OKX",VLOOKUP(E54,'Курсы OKX'!A:D,4,FALSE),IF(C54="huobi",VLOOKUP(E54,'Курсы Huobi'!B:C,2,FALSE),"! укажите биржу"))))))</f>
        <v/>
      </c>
      <c r="O54" s="71" t="str">
        <f t="shared" si="7"/>
        <v/>
      </c>
      <c r="P54" s="71" t="str">
        <f t="shared" si="8"/>
        <v/>
      </c>
      <c r="Q54" s="75" t="str">
        <f t="shared" si="9"/>
        <v/>
      </c>
      <c r="R54" s="76"/>
    </row>
    <row r="55" spans="1:18" ht="14.25" customHeight="1">
      <c r="A55" s="67"/>
      <c r="B55" s="68"/>
      <c r="C55" s="69"/>
      <c r="D55" s="69" t="str">
        <f ca="1">IF(B55="","",VLOOKUP('Журнал Закупок'!$B55,'СТ Криптовалюта'!B:C,2,0))</f>
        <v/>
      </c>
      <c r="E55" s="68" t="str">
        <f t="shared" si="5"/>
        <v/>
      </c>
      <c r="F55" s="70"/>
      <c r="G55" s="71"/>
      <c r="H55" s="71"/>
      <c r="I55" s="71" t="str">
        <f t="shared" si="6"/>
        <v/>
      </c>
      <c r="J55" s="71" t="e">
        <f ca="1">IFERROR(__xludf.DUMMYFUNCTION("IF(I55="""","""",IMPORTXML(""http://www.cbr.ru/scripts/XML_daily.asp?date_req=""&amp;TEXT(A55,""DD/MM/YYYY""), ""//ValCurs/Valute[CharCode=""""USD""""]/Value"")*I55)"),"")</f>
        <v>#NAME?</v>
      </c>
      <c r="K55" s="71"/>
      <c r="L55" s="71"/>
      <c r="M55" s="71"/>
      <c r="N55" s="71" t="str">
        <f ca="1">IF(H55="","",IF(D55="usdt",H55,IF(C55="Binance",VLOOKUP(E55,'Курсы Бинанса'!B:C,2,FALSE),IF(C55="bybit",VLOOKUP(E55,'Курсы Bybit'!B:C,2,FALSE),IF(C55="OKX",VLOOKUP(E55,'Курсы OKX'!A:D,4,FALSE),IF(C55="huobi",VLOOKUP(E55,'Курсы Huobi'!B:C,2,FALSE),"! укажите биржу"))))))</f>
        <v/>
      </c>
      <c r="O55" s="71" t="str">
        <f t="shared" si="7"/>
        <v/>
      </c>
      <c r="P55" s="71" t="str">
        <f t="shared" si="8"/>
        <v/>
      </c>
      <c r="Q55" s="75" t="str">
        <f t="shared" si="9"/>
        <v/>
      </c>
      <c r="R55" s="76"/>
    </row>
    <row r="56" spans="1:18" ht="14.25" customHeight="1">
      <c r="A56" s="67"/>
      <c r="B56" s="68"/>
      <c r="C56" s="69"/>
      <c r="D56" s="69" t="str">
        <f ca="1">IF(B56="","",VLOOKUP('Журнал Закупок'!$B56,'СТ Криптовалюта'!B:C,2,0))</f>
        <v/>
      </c>
      <c r="E56" s="68" t="str">
        <f t="shared" si="5"/>
        <v/>
      </c>
      <c r="F56" s="70"/>
      <c r="G56" s="71"/>
      <c r="H56" s="71"/>
      <c r="I56" s="71" t="str">
        <f t="shared" si="6"/>
        <v/>
      </c>
      <c r="J56" s="71" t="e">
        <f ca="1">IFERROR(__xludf.DUMMYFUNCTION("IF(I56="""","""",IMPORTXML(""http://www.cbr.ru/scripts/XML_daily.asp?date_req=""&amp;TEXT(A56,""DD/MM/YYYY""), ""//ValCurs/Valute[CharCode=""""USD""""]/Value"")*I56)"),"")</f>
        <v>#NAME?</v>
      </c>
      <c r="K56" s="71"/>
      <c r="L56" s="71"/>
      <c r="M56" s="71"/>
      <c r="N56" s="71" t="str">
        <f ca="1">IF(H56="","",IF(D56="usdt",H56,IF(C56="Binance",VLOOKUP(E56,'Курсы Бинанса'!B:C,2,FALSE),IF(C56="bybit",VLOOKUP(E56,'Курсы Bybit'!B:C,2,FALSE),IF(C56="OKX",VLOOKUP(E56,'Курсы OKX'!A:D,4,FALSE),IF(C56="huobi",VLOOKUP(E56,'Курсы Huobi'!B:C,2,FALSE),"! укажите биржу"))))))</f>
        <v/>
      </c>
      <c r="O56" s="71" t="str">
        <f t="shared" si="7"/>
        <v/>
      </c>
      <c r="P56" s="71" t="str">
        <f t="shared" si="8"/>
        <v/>
      </c>
      <c r="Q56" s="75" t="str">
        <f t="shared" si="9"/>
        <v/>
      </c>
      <c r="R56" s="76"/>
    </row>
    <row r="57" spans="1:18" ht="14.25" customHeight="1">
      <c r="A57" s="67"/>
      <c r="B57" s="68"/>
      <c r="C57" s="69"/>
      <c r="D57" s="69" t="str">
        <f ca="1">IF(B57="","",VLOOKUP('Журнал Закупок'!$B57,'СТ Криптовалюта'!B:C,2,0))</f>
        <v/>
      </c>
      <c r="E57" s="68" t="str">
        <f t="shared" si="5"/>
        <v/>
      </c>
      <c r="F57" s="70"/>
      <c r="G57" s="71"/>
      <c r="H57" s="71"/>
      <c r="I57" s="71" t="str">
        <f t="shared" si="6"/>
        <v/>
      </c>
      <c r="J57" s="71" t="e">
        <f ca="1">IFERROR(__xludf.DUMMYFUNCTION("IF(I57="""","""",IMPORTXML(""http://www.cbr.ru/scripts/XML_daily.asp?date_req=""&amp;TEXT(A57,""DD/MM/YYYY""), ""//ValCurs/Valute[CharCode=""""USD""""]/Value"")*I57)"),"")</f>
        <v>#NAME?</v>
      </c>
      <c r="K57" s="71"/>
      <c r="L57" s="71"/>
      <c r="M57" s="71"/>
      <c r="N57" s="71" t="str">
        <f ca="1">IF(H57="","",IF(D57="usdt",H57,IF(C57="Binance",VLOOKUP(E57,'Курсы Бинанса'!B:C,2,FALSE),IF(C57="bybit",VLOOKUP(E57,'Курсы Bybit'!B:C,2,FALSE),IF(C57="OKX",VLOOKUP(E57,'Курсы OKX'!A:D,4,FALSE),IF(C57="huobi",VLOOKUP(E57,'Курсы Huobi'!B:C,2,FALSE),"! укажите биржу"))))))</f>
        <v/>
      </c>
      <c r="O57" s="71" t="str">
        <f t="shared" si="7"/>
        <v/>
      </c>
      <c r="P57" s="71" t="str">
        <f t="shared" si="8"/>
        <v/>
      </c>
      <c r="Q57" s="75" t="str">
        <f t="shared" si="9"/>
        <v/>
      </c>
      <c r="R57" s="76"/>
    </row>
    <row r="58" spans="1:18" ht="14.25" customHeight="1">
      <c r="A58" s="67"/>
      <c r="B58" s="68"/>
      <c r="C58" s="69"/>
      <c r="D58" s="69" t="str">
        <f ca="1">IF(B58="","",VLOOKUP('Журнал Закупок'!$B58,'СТ Криптовалюта'!B:C,2,0))</f>
        <v/>
      </c>
      <c r="E58" s="68" t="str">
        <f t="shared" si="5"/>
        <v/>
      </c>
      <c r="F58" s="70"/>
      <c r="G58" s="71"/>
      <c r="H58" s="71"/>
      <c r="I58" s="71" t="str">
        <f t="shared" si="6"/>
        <v/>
      </c>
      <c r="J58" s="71" t="e">
        <f ca="1">IFERROR(__xludf.DUMMYFUNCTION("IF(I58="""","""",IMPORTXML(""http://www.cbr.ru/scripts/XML_daily.asp?date_req=""&amp;TEXT(A58,""DD/MM/YYYY""), ""//ValCurs/Valute[CharCode=""""USD""""]/Value"")*I58)"),"")</f>
        <v>#NAME?</v>
      </c>
      <c r="K58" s="71"/>
      <c r="L58" s="71"/>
      <c r="M58" s="71"/>
      <c r="N58" s="71" t="str">
        <f ca="1">IF(H58="","",IF(D58="usdt",H58,IF(C58="Binance",VLOOKUP(E58,'Курсы Бинанса'!B:C,2,FALSE),IF(C58="bybit",VLOOKUP(E58,'Курсы Bybit'!B:C,2,FALSE),IF(C58="OKX",VLOOKUP(E58,'Курсы OKX'!A:D,4,FALSE),IF(C58="huobi",VLOOKUP(E58,'Курсы Huobi'!B:C,2,FALSE),"! укажите биржу"))))))</f>
        <v/>
      </c>
      <c r="O58" s="71" t="str">
        <f t="shared" si="7"/>
        <v/>
      </c>
      <c r="P58" s="71" t="str">
        <f t="shared" si="8"/>
        <v/>
      </c>
      <c r="Q58" s="75" t="str">
        <f t="shared" si="9"/>
        <v/>
      </c>
      <c r="R58" s="76"/>
    </row>
    <row r="59" spans="1:18" ht="14.25" customHeight="1">
      <c r="A59" s="67"/>
      <c r="B59" s="68"/>
      <c r="C59" s="69"/>
      <c r="D59" s="69" t="str">
        <f ca="1">IF(B59="","",VLOOKUP('Журнал Закупок'!$B59,'СТ Криптовалюта'!B:C,2,0))</f>
        <v/>
      </c>
      <c r="E59" s="68" t="str">
        <f t="shared" si="5"/>
        <v/>
      </c>
      <c r="F59" s="70"/>
      <c r="G59" s="71"/>
      <c r="H59" s="71"/>
      <c r="I59" s="71" t="str">
        <f t="shared" si="6"/>
        <v/>
      </c>
      <c r="J59" s="71" t="e">
        <f ca="1">IFERROR(__xludf.DUMMYFUNCTION("IF(I59="""","""",IMPORTXML(""http://www.cbr.ru/scripts/XML_daily.asp?date_req=""&amp;TEXT(A59,""DD/MM/YYYY""), ""//ValCurs/Valute[CharCode=""""USD""""]/Value"")*I59)"),"")</f>
        <v>#NAME?</v>
      </c>
      <c r="K59" s="71"/>
      <c r="L59" s="71"/>
      <c r="M59" s="71"/>
      <c r="N59" s="71" t="str">
        <f ca="1">IF(H59="","",IF(D59="usdt",H59,IF(C59="Binance",VLOOKUP(E59,'Курсы Бинанса'!B:C,2,FALSE),IF(C59="bybit",VLOOKUP(E59,'Курсы Bybit'!B:C,2,FALSE),IF(C59="OKX",VLOOKUP(E59,'Курсы OKX'!A:D,4,FALSE),IF(C59="huobi",VLOOKUP(E59,'Курсы Huobi'!B:C,2,FALSE),"! укажите биржу"))))))</f>
        <v/>
      </c>
      <c r="O59" s="71" t="str">
        <f t="shared" si="7"/>
        <v/>
      </c>
      <c r="P59" s="71" t="str">
        <f t="shared" si="8"/>
        <v/>
      </c>
      <c r="Q59" s="75" t="str">
        <f t="shared" si="9"/>
        <v/>
      </c>
      <c r="R59" s="76"/>
    </row>
    <row r="60" spans="1:18" ht="14.25" customHeight="1">
      <c r="A60" s="67"/>
      <c r="B60" s="68"/>
      <c r="C60" s="69"/>
      <c r="D60" s="69" t="str">
        <f ca="1">IF(B60="","",VLOOKUP('Журнал Закупок'!$B60,'СТ Криптовалюта'!B:C,2,0))</f>
        <v/>
      </c>
      <c r="E60" s="68" t="str">
        <f t="shared" si="5"/>
        <v/>
      </c>
      <c r="F60" s="70"/>
      <c r="G60" s="71"/>
      <c r="H60" s="71"/>
      <c r="I60" s="71" t="str">
        <f t="shared" si="6"/>
        <v/>
      </c>
      <c r="J60" s="71" t="e">
        <f ca="1">IFERROR(__xludf.DUMMYFUNCTION("IF(I60="""","""",IMPORTXML(""http://www.cbr.ru/scripts/XML_daily.asp?date_req=""&amp;TEXT(A60,""DD/MM/YYYY""), ""//ValCurs/Valute[CharCode=""""USD""""]/Value"")*I60)"),"")</f>
        <v>#NAME?</v>
      </c>
      <c r="K60" s="71"/>
      <c r="L60" s="71"/>
      <c r="M60" s="71"/>
      <c r="N60" s="71" t="str">
        <f ca="1">IF(H60="","",IF(D60="usdt",H60,IF(C60="Binance",VLOOKUP(E60,'Курсы Бинанса'!B:C,2,FALSE),IF(C60="bybit",VLOOKUP(E60,'Курсы Bybit'!B:C,2,FALSE),IF(C60="OKX",VLOOKUP(E60,'Курсы OKX'!A:D,4,FALSE),IF(C60="huobi",VLOOKUP(E60,'Курсы Huobi'!B:C,2,FALSE),"! укажите биржу"))))))</f>
        <v/>
      </c>
      <c r="O60" s="71" t="str">
        <f t="shared" si="7"/>
        <v/>
      </c>
      <c r="P60" s="71" t="str">
        <f t="shared" si="8"/>
        <v/>
      </c>
      <c r="Q60" s="75" t="str">
        <f t="shared" si="9"/>
        <v/>
      </c>
      <c r="R60" s="76"/>
    </row>
    <row r="61" spans="1:18" ht="14.25" customHeight="1">
      <c r="A61" s="67"/>
      <c r="B61" s="68"/>
      <c r="C61" s="69"/>
      <c r="D61" s="69" t="str">
        <f ca="1">IF(B61="","",VLOOKUP('Журнал Закупок'!$B61,'СТ Криптовалюта'!B:C,2,0))</f>
        <v/>
      </c>
      <c r="E61" s="68" t="str">
        <f t="shared" si="5"/>
        <v/>
      </c>
      <c r="F61" s="70"/>
      <c r="G61" s="71"/>
      <c r="H61" s="71"/>
      <c r="I61" s="71" t="str">
        <f t="shared" si="6"/>
        <v/>
      </c>
      <c r="J61" s="71" t="e">
        <f ca="1">IFERROR(__xludf.DUMMYFUNCTION("IF(I61="""","""",IMPORTXML(""http://www.cbr.ru/scripts/XML_daily.asp?date_req=""&amp;TEXT(A61,""DD/MM/YYYY""), ""//ValCurs/Valute[CharCode=""""USD""""]/Value"")*I61)"),"")</f>
        <v>#NAME?</v>
      </c>
      <c r="K61" s="71"/>
      <c r="L61" s="71"/>
      <c r="M61" s="71"/>
      <c r="N61" s="71" t="str">
        <f ca="1">IF(H61="","",IF(D61="usdt",H61,IF(C61="Binance",VLOOKUP(E61,'Курсы Бинанса'!B:C,2,FALSE),IF(C61="bybit",VLOOKUP(E61,'Курсы Bybit'!B:C,2,FALSE),IF(C61="OKX",VLOOKUP(E61,'Курсы OKX'!A:D,4,FALSE),IF(C61="huobi",VLOOKUP(E61,'Курсы Huobi'!B:C,2,FALSE),"! укажите биржу"))))))</f>
        <v/>
      </c>
      <c r="O61" s="71" t="str">
        <f t="shared" si="7"/>
        <v/>
      </c>
      <c r="P61" s="71" t="str">
        <f t="shared" si="8"/>
        <v/>
      </c>
      <c r="Q61" s="75" t="str">
        <f t="shared" si="9"/>
        <v/>
      </c>
      <c r="R61" s="76"/>
    </row>
    <row r="62" spans="1:18" ht="14.25" customHeight="1">
      <c r="A62" s="67"/>
      <c r="B62" s="68"/>
      <c r="C62" s="69"/>
      <c r="D62" s="69" t="str">
        <f ca="1">IF(B62="","",VLOOKUP('Журнал Закупок'!$B62,'СТ Криптовалюта'!B:C,2,0))</f>
        <v/>
      </c>
      <c r="E62" s="68" t="str">
        <f t="shared" si="5"/>
        <v/>
      </c>
      <c r="F62" s="70"/>
      <c r="G62" s="71"/>
      <c r="H62" s="71"/>
      <c r="I62" s="71" t="str">
        <f t="shared" si="6"/>
        <v/>
      </c>
      <c r="J62" s="71" t="e">
        <f ca="1">IFERROR(__xludf.DUMMYFUNCTION("IF(I62="""","""",IMPORTXML(""http://www.cbr.ru/scripts/XML_daily.asp?date_req=""&amp;TEXT(A62,""DD/MM/YYYY""), ""//ValCurs/Valute[CharCode=""""USD""""]/Value"")*I62)"),"")</f>
        <v>#NAME?</v>
      </c>
      <c r="K62" s="71"/>
      <c r="L62" s="71"/>
      <c r="M62" s="71"/>
      <c r="N62" s="71" t="str">
        <f ca="1">IF(H62="","",IF(D62="usdt",H62,IF(C62="Binance",VLOOKUP(E62,'Курсы Бинанса'!B:C,2,FALSE),IF(C62="bybit",VLOOKUP(E62,'Курсы Bybit'!B:C,2,FALSE),IF(C62="OKX",VLOOKUP(E62,'Курсы OKX'!A:D,4,FALSE),IF(C62="huobi",VLOOKUP(E62,'Курсы Huobi'!B:C,2,FALSE),"! укажите биржу"))))))</f>
        <v/>
      </c>
      <c r="O62" s="71" t="str">
        <f t="shared" si="7"/>
        <v/>
      </c>
      <c r="P62" s="71" t="str">
        <f t="shared" si="8"/>
        <v/>
      </c>
      <c r="Q62" s="75" t="str">
        <f t="shared" si="9"/>
        <v/>
      </c>
      <c r="R62" s="76"/>
    </row>
    <row r="63" spans="1:18" ht="14.25" customHeight="1">
      <c r="A63" s="67"/>
      <c r="B63" s="68"/>
      <c r="C63" s="69"/>
      <c r="D63" s="69" t="str">
        <f ca="1">IF(B63="","",VLOOKUP('Журнал Закупок'!$B63,'СТ Криптовалюта'!B:C,2,0))</f>
        <v/>
      </c>
      <c r="E63" s="68" t="str">
        <f t="shared" si="5"/>
        <v/>
      </c>
      <c r="F63" s="70"/>
      <c r="G63" s="71"/>
      <c r="H63" s="71"/>
      <c r="I63" s="71" t="str">
        <f t="shared" si="6"/>
        <v/>
      </c>
      <c r="J63" s="71" t="e">
        <f ca="1">IFERROR(__xludf.DUMMYFUNCTION("IF(I63="""","""",IMPORTXML(""http://www.cbr.ru/scripts/XML_daily.asp?date_req=""&amp;TEXT(A63,""DD/MM/YYYY""), ""//ValCurs/Valute[CharCode=""""USD""""]/Value"")*I63)"),"")</f>
        <v>#NAME?</v>
      </c>
      <c r="K63" s="71"/>
      <c r="L63" s="71"/>
      <c r="M63" s="71"/>
      <c r="N63" s="71" t="str">
        <f ca="1">IF(H63="","",IF(D63="usdt",H63,IF(C63="Binance",VLOOKUP(E63,'Курсы Бинанса'!B:C,2,FALSE),IF(C63="bybit",VLOOKUP(E63,'Курсы Bybit'!B:C,2,FALSE),IF(C63="OKX",VLOOKUP(E63,'Курсы OKX'!A:D,4,FALSE),IF(C63="huobi",VLOOKUP(E63,'Курсы Huobi'!B:C,2,FALSE),"! укажите биржу"))))))</f>
        <v/>
      </c>
      <c r="O63" s="71" t="str">
        <f t="shared" si="7"/>
        <v/>
      </c>
      <c r="P63" s="71" t="str">
        <f t="shared" si="8"/>
        <v/>
      </c>
      <c r="Q63" s="75" t="str">
        <f t="shared" si="9"/>
        <v/>
      </c>
      <c r="R63" s="76"/>
    </row>
    <row r="64" spans="1:18" ht="14.25" customHeight="1">
      <c r="A64" s="67"/>
      <c r="B64" s="68"/>
      <c r="C64" s="69"/>
      <c r="D64" s="69" t="str">
        <f ca="1">IF(B64="","",VLOOKUP('Журнал Закупок'!$B64,'СТ Криптовалюта'!B:C,2,0))</f>
        <v/>
      </c>
      <c r="E64" s="68" t="str">
        <f t="shared" si="5"/>
        <v/>
      </c>
      <c r="F64" s="70"/>
      <c r="G64" s="71"/>
      <c r="H64" s="71"/>
      <c r="I64" s="71" t="str">
        <f t="shared" si="6"/>
        <v/>
      </c>
      <c r="J64" s="71" t="e">
        <f ca="1">IFERROR(__xludf.DUMMYFUNCTION("IF(I64="""","""",IMPORTXML(""http://www.cbr.ru/scripts/XML_daily.asp?date_req=""&amp;TEXT(A64,""DD/MM/YYYY""), ""//ValCurs/Valute[CharCode=""""USD""""]/Value"")*I64)"),"")</f>
        <v>#NAME?</v>
      </c>
      <c r="K64" s="71"/>
      <c r="L64" s="71"/>
      <c r="M64" s="71"/>
      <c r="N64" s="71" t="str">
        <f ca="1">IF(H64="","",IF(D64="usdt",H64,IF(C64="Binance",VLOOKUP(E64,'Курсы Бинанса'!B:C,2,FALSE),IF(C64="bybit",VLOOKUP(E64,'Курсы Bybit'!B:C,2,FALSE),IF(C64="OKX",VLOOKUP(E64,'Курсы OKX'!A:D,4,FALSE),IF(C64="huobi",VLOOKUP(E64,'Курсы Huobi'!B:C,2,FALSE),"! укажите биржу"))))))</f>
        <v/>
      </c>
      <c r="O64" s="71" t="str">
        <f t="shared" si="7"/>
        <v/>
      </c>
      <c r="P64" s="71" t="str">
        <f t="shared" si="8"/>
        <v/>
      </c>
      <c r="Q64" s="75" t="str">
        <f t="shared" si="9"/>
        <v/>
      </c>
      <c r="R64" s="76"/>
    </row>
    <row r="65" spans="1:18" ht="14.25" customHeight="1">
      <c r="A65" s="67"/>
      <c r="B65" s="68"/>
      <c r="C65" s="69"/>
      <c r="D65" s="69" t="str">
        <f ca="1">IF(B65="","",VLOOKUP('Журнал Закупок'!$B65,'СТ Криптовалюта'!B:C,2,0))</f>
        <v/>
      </c>
      <c r="E65" s="68" t="str">
        <f t="shared" si="5"/>
        <v/>
      </c>
      <c r="F65" s="70"/>
      <c r="G65" s="71"/>
      <c r="H65" s="71"/>
      <c r="I65" s="71" t="str">
        <f t="shared" si="6"/>
        <v/>
      </c>
      <c r="J65" s="71" t="e">
        <f ca="1">IFERROR(__xludf.DUMMYFUNCTION("IF(I65="""","""",IMPORTXML(""http://www.cbr.ru/scripts/XML_daily.asp?date_req=""&amp;TEXT(A65,""DD/MM/YYYY""), ""//ValCurs/Valute[CharCode=""""USD""""]/Value"")*I65)"),"")</f>
        <v>#NAME?</v>
      </c>
      <c r="K65" s="71"/>
      <c r="L65" s="71"/>
      <c r="M65" s="71"/>
      <c r="N65" s="71" t="str">
        <f ca="1">IF(H65="","",IF(D65="usdt",H65,IF(C65="Binance",VLOOKUP(E65,'Курсы Бинанса'!B:C,2,FALSE),IF(C65="bybit",VLOOKUP(E65,'Курсы Bybit'!B:C,2,FALSE),IF(C65="OKX",VLOOKUP(E65,'Курсы OKX'!A:D,4,FALSE),IF(C65="huobi",VLOOKUP(E65,'Курсы Huobi'!B:C,2,FALSE),"! укажите биржу"))))))</f>
        <v/>
      </c>
      <c r="O65" s="71" t="str">
        <f t="shared" si="7"/>
        <v/>
      </c>
      <c r="P65" s="71" t="str">
        <f t="shared" si="8"/>
        <v/>
      </c>
      <c r="Q65" s="75" t="str">
        <f t="shared" si="9"/>
        <v/>
      </c>
      <c r="R65" s="76"/>
    </row>
    <row r="66" spans="1:18" ht="14.25" customHeight="1">
      <c r="A66" s="67"/>
      <c r="B66" s="68"/>
      <c r="C66" s="69"/>
      <c r="D66" s="69" t="str">
        <f ca="1">IF(B66="","",VLOOKUP('Журнал Закупок'!$B66,'СТ Криптовалюта'!B:C,2,0))</f>
        <v/>
      </c>
      <c r="E66" s="68" t="str">
        <f t="shared" si="5"/>
        <v/>
      </c>
      <c r="F66" s="70"/>
      <c r="G66" s="71"/>
      <c r="H66" s="71"/>
      <c r="I66" s="71" t="str">
        <f t="shared" si="6"/>
        <v/>
      </c>
      <c r="J66" s="71" t="e">
        <f ca="1">IFERROR(__xludf.DUMMYFUNCTION("IF(I66="""","""",IMPORTXML(""http://www.cbr.ru/scripts/XML_daily.asp?date_req=""&amp;TEXT(A66,""DD/MM/YYYY""), ""//ValCurs/Valute[CharCode=""""USD""""]/Value"")*I66)"),"")</f>
        <v>#NAME?</v>
      </c>
      <c r="K66" s="71"/>
      <c r="L66" s="71"/>
      <c r="M66" s="71"/>
      <c r="N66" s="71" t="str">
        <f ca="1">IF(H66="","",IF(D66="usdt",H66,IF(C66="Binance",VLOOKUP(E66,'Курсы Бинанса'!B:C,2,FALSE),IF(C66="bybit",VLOOKUP(E66,'Курсы Bybit'!B:C,2,FALSE),IF(C66="OKX",VLOOKUP(E66,'Курсы OKX'!A:D,4,FALSE),IF(C66="huobi",VLOOKUP(E66,'Курсы Huobi'!B:C,2,FALSE),"! укажите биржу"))))))</f>
        <v/>
      </c>
      <c r="O66" s="71" t="str">
        <f t="shared" si="7"/>
        <v/>
      </c>
      <c r="P66" s="71" t="str">
        <f t="shared" si="8"/>
        <v/>
      </c>
      <c r="Q66" s="75" t="str">
        <f t="shared" si="9"/>
        <v/>
      </c>
      <c r="R66" s="76"/>
    </row>
    <row r="67" spans="1:18" ht="14.25" customHeight="1">
      <c r="A67" s="67"/>
      <c r="B67" s="68"/>
      <c r="C67" s="69"/>
      <c r="D67" s="69" t="str">
        <f ca="1">IF(B67="","",VLOOKUP('Журнал Закупок'!$B67,'СТ Криптовалюта'!B:C,2,0))</f>
        <v/>
      </c>
      <c r="E67" s="68" t="str">
        <f t="shared" si="5"/>
        <v/>
      </c>
      <c r="F67" s="70"/>
      <c r="G67" s="71"/>
      <c r="H67" s="71"/>
      <c r="I67" s="71" t="str">
        <f t="shared" si="6"/>
        <v/>
      </c>
      <c r="J67" s="71" t="e">
        <f ca="1">IFERROR(__xludf.DUMMYFUNCTION("IF(I67="""","""",IMPORTXML(""http://www.cbr.ru/scripts/XML_daily.asp?date_req=""&amp;TEXT(A67,""DD/MM/YYYY""), ""//ValCurs/Valute[CharCode=""""USD""""]/Value"")*I67)"),"")</f>
        <v>#NAME?</v>
      </c>
      <c r="K67" s="71"/>
      <c r="L67" s="71"/>
      <c r="M67" s="71"/>
      <c r="N67" s="71" t="str">
        <f ca="1">IF(H67="","",IF(D67="usdt",H67,IF(C67="Binance",VLOOKUP(E67,'Курсы Бинанса'!B:C,2,FALSE),IF(C67="bybit",VLOOKUP(E67,'Курсы Bybit'!B:C,2,FALSE),IF(C67="OKX",VLOOKUP(E67,'Курсы OKX'!A:D,4,FALSE),IF(C67="huobi",VLOOKUP(E67,'Курсы Huobi'!B:C,2,FALSE),"! укажите биржу"))))))</f>
        <v/>
      </c>
      <c r="O67" s="71" t="str">
        <f t="shared" si="7"/>
        <v/>
      </c>
      <c r="P67" s="71" t="str">
        <f t="shared" si="8"/>
        <v/>
      </c>
      <c r="Q67" s="75" t="str">
        <f t="shared" si="9"/>
        <v/>
      </c>
      <c r="R67" s="76"/>
    </row>
    <row r="68" spans="1:18" ht="14.25" customHeight="1">
      <c r="A68" s="67"/>
      <c r="B68" s="68"/>
      <c r="C68" s="69"/>
      <c r="D68" s="69" t="str">
        <f ca="1">IF(B68="","",VLOOKUP('Журнал Закупок'!$B68,'СТ Криптовалюта'!B:C,2,0))</f>
        <v/>
      </c>
      <c r="E68" s="68" t="str">
        <f t="shared" si="5"/>
        <v/>
      </c>
      <c r="F68" s="70"/>
      <c r="G68" s="71"/>
      <c r="H68" s="71"/>
      <c r="I68" s="71" t="str">
        <f t="shared" si="6"/>
        <v/>
      </c>
      <c r="J68" s="71" t="e">
        <f ca="1">IFERROR(__xludf.DUMMYFUNCTION("IF(I68="""","""",IMPORTXML(""http://www.cbr.ru/scripts/XML_daily.asp?date_req=""&amp;TEXT(A68,""DD/MM/YYYY""), ""//ValCurs/Valute[CharCode=""""USD""""]/Value"")*I68)"),"")</f>
        <v>#NAME?</v>
      </c>
      <c r="K68" s="71"/>
      <c r="L68" s="71"/>
      <c r="M68" s="71"/>
      <c r="N68" s="71" t="str">
        <f ca="1">IF(H68="","",IF(D68="usdt",H68,IF(C68="Binance",VLOOKUP(E68,'Курсы Бинанса'!B:C,2,FALSE),IF(C68="bybit",VLOOKUP(E68,'Курсы Bybit'!B:C,2,FALSE),IF(C68="OKX",VLOOKUP(E68,'Курсы OKX'!A:D,4,FALSE),IF(C68="huobi",VLOOKUP(E68,'Курсы Huobi'!B:C,2,FALSE),"! укажите биржу"))))))</f>
        <v/>
      </c>
      <c r="O68" s="71" t="str">
        <f t="shared" si="7"/>
        <v/>
      </c>
      <c r="P68" s="71" t="str">
        <f t="shared" si="8"/>
        <v/>
      </c>
      <c r="Q68" s="75" t="str">
        <f t="shared" si="9"/>
        <v/>
      </c>
      <c r="R68" s="76"/>
    </row>
    <row r="69" spans="1:18" ht="14.25" customHeight="1">
      <c r="A69" s="67"/>
      <c r="B69" s="68"/>
      <c r="C69" s="69"/>
      <c r="D69" s="69" t="str">
        <f ca="1">IF(B69="","",VLOOKUP('Журнал Закупок'!$B69,'СТ Криптовалюта'!B:C,2,0))</f>
        <v/>
      </c>
      <c r="E69" s="68" t="str">
        <f t="shared" si="5"/>
        <v/>
      </c>
      <c r="F69" s="70"/>
      <c r="G69" s="71"/>
      <c r="H69" s="71"/>
      <c r="I69" s="71" t="str">
        <f t="shared" si="6"/>
        <v/>
      </c>
      <c r="J69" s="71" t="e">
        <f ca="1">IFERROR(__xludf.DUMMYFUNCTION("IF(I69="""","""",IMPORTXML(""http://www.cbr.ru/scripts/XML_daily.asp?date_req=""&amp;TEXT(A69,""DD/MM/YYYY""), ""//ValCurs/Valute[CharCode=""""USD""""]/Value"")*I69)"),"")</f>
        <v>#NAME?</v>
      </c>
      <c r="K69" s="71"/>
      <c r="L69" s="71"/>
      <c r="M69" s="71"/>
      <c r="N69" s="71" t="str">
        <f ca="1">IF(H69="","",IF(D69="usdt",H69,IF(C69="Binance",VLOOKUP(E69,'Курсы Бинанса'!B:C,2,FALSE),IF(C69="bybit",VLOOKUP(E69,'Курсы Bybit'!B:C,2,FALSE),IF(C69="OKX",VLOOKUP(E69,'Курсы OKX'!A:D,4,FALSE),IF(C69="huobi",VLOOKUP(E69,'Курсы Huobi'!B:C,2,FALSE),"! укажите биржу"))))))</f>
        <v/>
      </c>
      <c r="O69" s="71" t="str">
        <f t="shared" si="7"/>
        <v/>
      </c>
      <c r="P69" s="71" t="str">
        <f t="shared" si="8"/>
        <v/>
      </c>
      <c r="Q69" s="75" t="str">
        <f t="shared" si="9"/>
        <v/>
      </c>
      <c r="R69" s="76"/>
    </row>
    <row r="70" spans="1:18" ht="14.25" customHeight="1">
      <c r="A70" s="67"/>
      <c r="B70" s="68"/>
      <c r="C70" s="69"/>
      <c r="D70" s="69" t="str">
        <f ca="1">IF(B70="","",VLOOKUP('Журнал Закупок'!$B70,'СТ Криптовалюта'!B:C,2,0))</f>
        <v/>
      </c>
      <c r="E70" s="68" t="str">
        <f t="shared" si="5"/>
        <v/>
      </c>
      <c r="F70" s="70"/>
      <c r="G70" s="71"/>
      <c r="H70" s="71"/>
      <c r="I70" s="71" t="str">
        <f t="shared" si="6"/>
        <v/>
      </c>
      <c r="J70" s="71" t="e">
        <f ca="1">IFERROR(__xludf.DUMMYFUNCTION("IF(I70="""","""",IMPORTXML(""http://www.cbr.ru/scripts/XML_daily.asp?date_req=""&amp;TEXT(A70,""DD/MM/YYYY""), ""//ValCurs/Valute[CharCode=""""USD""""]/Value"")*I70)"),"")</f>
        <v>#NAME?</v>
      </c>
      <c r="K70" s="71"/>
      <c r="L70" s="71"/>
      <c r="M70" s="71"/>
      <c r="N70" s="71" t="str">
        <f ca="1">IF(H70="","",IF(D70="usdt",H70,IF(C70="Binance",VLOOKUP(E70,'Курсы Бинанса'!B:C,2,FALSE),IF(C70="bybit",VLOOKUP(E70,'Курсы Bybit'!B:C,2,FALSE),IF(C70="OKX",VLOOKUP(E70,'Курсы OKX'!A:D,4,FALSE),IF(C70="huobi",VLOOKUP(E70,'Курсы Huobi'!B:C,2,FALSE),"! укажите биржу"))))))</f>
        <v/>
      </c>
      <c r="O70" s="71" t="str">
        <f t="shared" si="7"/>
        <v/>
      </c>
      <c r="P70" s="71" t="str">
        <f t="shared" si="8"/>
        <v/>
      </c>
      <c r="Q70" s="75" t="str">
        <f t="shared" si="9"/>
        <v/>
      </c>
      <c r="R70" s="76"/>
    </row>
    <row r="71" spans="1:18" ht="14.25" customHeight="1">
      <c r="A71" s="67"/>
      <c r="B71" s="68"/>
      <c r="C71" s="69"/>
      <c r="D71" s="69" t="str">
        <f ca="1">IF(B71="","",VLOOKUP('Журнал Закупок'!$B71,'СТ Криптовалюта'!B:C,2,0))</f>
        <v/>
      </c>
      <c r="E71" s="68" t="str">
        <f t="shared" si="5"/>
        <v/>
      </c>
      <c r="F71" s="70"/>
      <c r="G71" s="71"/>
      <c r="H71" s="71"/>
      <c r="I71" s="71" t="str">
        <f t="shared" si="6"/>
        <v/>
      </c>
      <c r="J71" s="71" t="e">
        <f ca="1">IFERROR(__xludf.DUMMYFUNCTION("IF(I71="""","""",IMPORTXML(""http://www.cbr.ru/scripts/XML_daily.asp?date_req=""&amp;TEXT(A71,""DD/MM/YYYY""), ""//ValCurs/Valute[CharCode=""""USD""""]/Value"")*I71)"),"")</f>
        <v>#NAME?</v>
      </c>
      <c r="K71" s="71"/>
      <c r="L71" s="71"/>
      <c r="M71" s="71"/>
      <c r="N71" s="71" t="str">
        <f ca="1">IF(H71="","",IF(D71="usdt",H71,IF(C71="Binance",VLOOKUP(E71,'Курсы Бинанса'!B:C,2,FALSE),IF(C71="bybit",VLOOKUP(E71,'Курсы Bybit'!B:C,2,FALSE),IF(C71="OKX",VLOOKUP(E71,'Курсы OKX'!A:D,4,FALSE),IF(C71="huobi",VLOOKUP(E71,'Курсы Huobi'!B:C,2,FALSE),"! укажите биржу"))))))</f>
        <v/>
      </c>
      <c r="O71" s="71" t="str">
        <f t="shared" si="7"/>
        <v/>
      </c>
      <c r="P71" s="71" t="str">
        <f t="shared" si="8"/>
        <v/>
      </c>
      <c r="Q71" s="75" t="str">
        <f t="shared" si="9"/>
        <v/>
      </c>
      <c r="R71" s="76"/>
    </row>
    <row r="72" spans="1:18" ht="14.25" customHeight="1">
      <c r="A72" s="67"/>
      <c r="B72" s="68"/>
      <c r="C72" s="69"/>
      <c r="D72" s="69" t="str">
        <f ca="1">IF(B72="","",VLOOKUP('Журнал Закупок'!$B72,'СТ Криптовалюта'!B:C,2,0))</f>
        <v/>
      </c>
      <c r="E72" s="68" t="str">
        <f t="shared" si="5"/>
        <v/>
      </c>
      <c r="F72" s="70"/>
      <c r="G72" s="71"/>
      <c r="H72" s="71"/>
      <c r="I72" s="71" t="str">
        <f t="shared" si="6"/>
        <v/>
      </c>
      <c r="J72" s="71" t="e">
        <f ca="1">IFERROR(__xludf.DUMMYFUNCTION("IF(I72="""","""",IMPORTXML(""http://www.cbr.ru/scripts/XML_daily.asp?date_req=""&amp;TEXT(A72,""DD/MM/YYYY""), ""//ValCurs/Valute[CharCode=""""USD""""]/Value"")*I72)"),"")</f>
        <v>#NAME?</v>
      </c>
      <c r="K72" s="71"/>
      <c r="L72" s="71"/>
      <c r="M72" s="71"/>
      <c r="N72" s="71" t="str">
        <f ca="1">IF(H72="","",IF(D72="usdt",H72,IF(C72="Binance",VLOOKUP(E72,'Курсы Бинанса'!B:C,2,FALSE),IF(C72="bybit",VLOOKUP(E72,'Курсы Bybit'!B:C,2,FALSE),IF(C72="OKX",VLOOKUP(E72,'Курсы OKX'!A:D,4,FALSE),IF(C72="huobi",VLOOKUP(E72,'Курсы Huobi'!B:C,2,FALSE),"! укажите биржу"))))))</f>
        <v/>
      </c>
      <c r="O72" s="71" t="str">
        <f t="shared" si="7"/>
        <v/>
      </c>
      <c r="P72" s="71" t="str">
        <f t="shared" si="8"/>
        <v/>
      </c>
      <c r="Q72" s="75" t="str">
        <f t="shared" si="9"/>
        <v/>
      </c>
      <c r="R72" s="76"/>
    </row>
    <row r="73" spans="1:18" ht="14.25" customHeight="1">
      <c r="A73" s="67"/>
      <c r="B73" s="68"/>
      <c r="C73" s="69"/>
      <c r="D73" s="69" t="str">
        <f ca="1">IF(B73="","",VLOOKUP('Журнал Закупок'!$B73,'СТ Криптовалюта'!B:C,2,0))</f>
        <v/>
      </c>
      <c r="E73" s="68" t="str">
        <f t="shared" si="5"/>
        <v/>
      </c>
      <c r="F73" s="70"/>
      <c r="G73" s="71"/>
      <c r="H73" s="71"/>
      <c r="I73" s="71" t="str">
        <f t="shared" si="6"/>
        <v/>
      </c>
      <c r="J73" s="71" t="e">
        <f ca="1">IFERROR(__xludf.DUMMYFUNCTION("IF(I73="""","""",IMPORTXML(""http://www.cbr.ru/scripts/XML_daily.asp?date_req=""&amp;TEXT(A73,""DD/MM/YYYY""), ""//ValCurs/Valute[CharCode=""""USD""""]/Value"")*I73)"),"")</f>
        <v>#NAME?</v>
      </c>
      <c r="K73" s="71"/>
      <c r="L73" s="71"/>
      <c r="M73" s="71"/>
      <c r="N73" s="71" t="str">
        <f ca="1">IF(H73="","",IF(D73="usdt",H73,IF(C73="Binance",VLOOKUP(E73,'Курсы Бинанса'!B:C,2,FALSE),IF(C73="bybit",VLOOKUP(E73,'Курсы Bybit'!B:C,2,FALSE),IF(C73="OKX",VLOOKUP(E73,'Курсы OKX'!A:D,4,FALSE),IF(C73="huobi",VLOOKUP(E73,'Курсы Huobi'!B:C,2,FALSE),"! укажите биржу"))))))</f>
        <v/>
      </c>
      <c r="O73" s="71" t="str">
        <f t="shared" si="7"/>
        <v/>
      </c>
      <c r="P73" s="71" t="str">
        <f t="shared" si="8"/>
        <v/>
      </c>
      <c r="Q73" s="75" t="str">
        <f t="shared" si="9"/>
        <v/>
      </c>
      <c r="R73" s="76"/>
    </row>
    <row r="74" spans="1:18" ht="14.25" customHeight="1">
      <c r="A74" s="67"/>
      <c r="B74" s="68"/>
      <c r="C74" s="69"/>
      <c r="D74" s="69" t="str">
        <f ca="1">IF(B74="","",VLOOKUP('Журнал Закупок'!$B74,'СТ Криптовалюта'!B:C,2,0))</f>
        <v/>
      </c>
      <c r="E74" s="68" t="str">
        <f t="shared" si="5"/>
        <v/>
      </c>
      <c r="F74" s="70"/>
      <c r="G74" s="71"/>
      <c r="H74" s="71"/>
      <c r="I74" s="71" t="str">
        <f t="shared" si="6"/>
        <v/>
      </c>
      <c r="J74" s="71" t="e">
        <f ca="1">IFERROR(__xludf.DUMMYFUNCTION("IF(I74="""","""",IMPORTXML(""http://www.cbr.ru/scripts/XML_daily.asp?date_req=""&amp;TEXT(A74,""DD/MM/YYYY""), ""//ValCurs/Valute[CharCode=""""USD""""]/Value"")*I74)"),"")</f>
        <v>#NAME?</v>
      </c>
      <c r="K74" s="71"/>
      <c r="L74" s="71"/>
      <c r="M74" s="71"/>
      <c r="N74" s="71" t="str">
        <f ca="1">IF(H74="","",IF(D74="usdt",H74,IF(C74="Binance",VLOOKUP(E74,'Курсы Бинанса'!B:C,2,FALSE),IF(C74="bybit",VLOOKUP(E74,'Курсы Bybit'!B:C,2,FALSE),IF(C74="OKX",VLOOKUP(E74,'Курсы OKX'!A:D,4,FALSE),IF(C74="huobi",VLOOKUP(E74,'Курсы Huobi'!B:C,2,FALSE),"! укажите биржу"))))))</f>
        <v/>
      </c>
      <c r="O74" s="71" t="str">
        <f t="shared" si="7"/>
        <v/>
      </c>
      <c r="P74" s="71" t="str">
        <f t="shared" si="8"/>
        <v/>
      </c>
      <c r="Q74" s="75" t="str">
        <f t="shared" si="9"/>
        <v/>
      </c>
      <c r="R74" s="76"/>
    </row>
    <row r="75" spans="1:18" ht="14.25" customHeight="1">
      <c r="A75" s="67"/>
      <c r="B75" s="68"/>
      <c r="C75" s="69"/>
      <c r="D75" s="69" t="str">
        <f ca="1">IF(B75="","",VLOOKUP('Журнал Закупок'!$B75,'СТ Криптовалюта'!B:C,2,0))</f>
        <v/>
      </c>
      <c r="E75" s="68" t="str">
        <f t="shared" si="5"/>
        <v/>
      </c>
      <c r="F75" s="70"/>
      <c r="G75" s="71"/>
      <c r="H75" s="71"/>
      <c r="I75" s="71" t="str">
        <f t="shared" si="6"/>
        <v/>
      </c>
      <c r="J75" s="71" t="e">
        <f ca="1">IFERROR(__xludf.DUMMYFUNCTION("IF(I75="""","""",IMPORTXML(""http://www.cbr.ru/scripts/XML_daily.asp?date_req=""&amp;TEXT(A75,""DD/MM/YYYY""), ""//ValCurs/Valute[CharCode=""""USD""""]/Value"")*I75)"),"")</f>
        <v>#NAME?</v>
      </c>
      <c r="K75" s="71"/>
      <c r="L75" s="71"/>
      <c r="M75" s="71"/>
      <c r="N75" s="71" t="str">
        <f ca="1">IF(H75="","",IF(D75="usdt",H75,IF(C75="Binance",VLOOKUP(E75,'Курсы Бинанса'!B:C,2,FALSE),IF(C75="bybit",VLOOKUP(E75,'Курсы Bybit'!B:C,2,FALSE),IF(C75="OKX",VLOOKUP(E75,'Курсы OKX'!A:D,4,FALSE),IF(C75="huobi",VLOOKUP(E75,'Курсы Huobi'!B:C,2,FALSE),"! укажите биржу"))))))</f>
        <v/>
      </c>
      <c r="O75" s="71" t="str">
        <f t="shared" si="7"/>
        <v/>
      </c>
      <c r="P75" s="71" t="str">
        <f t="shared" si="8"/>
        <v/>
      </c>
      <c r="Q75" s="75" t="str">
        <f t="shared" si="9"/>
        <v/>
      </c>
      <c r="R75" s="76"/>
    </row>
    <row r="76" spans="1:18" ht="14.25" customHeight="1">
      <c r="A76" s="67"/>
      <c r="B76" s="68"/>
      <c r="C76" s="69"/>
      <c r="D76" s="69" t="str">
        <f ca="1">IF(B76="","",VLOOKUP('Журнал Закупок'!$B76,'СТ Криптовалюта'!B:C,2,0))</f>
        <v/>
      </c>
      <c r="E76" s="68" t="str">
        <f t="shared" si="5"/>
        <v/>
      </c>
      <c r="F76" s="70"/>
      <c r="G76" s="71"/>
      <c r="H76" s="71"/>
      <c r="I76" s="71" t="str">
        <f t="shared" si="6"/>
        <v/>
      </c>
      <c r="J76" s="71" t="e">
        <f ca="1">IFERROR(__xludf.DUMMYFUNCTION("IF(I76="""","""",IMPORTXML(""http://www.cbr.ru/scripts/XML_daily.asp?date_req=""&amp;TEXT(A76,""DD/MM/YYYY""), ""//ValCurs/Valute[CharCode=""""USD""""]/Value"")*I76)"),"")</f>
        <v>#NAME?</v>
      </c>
      <c r="K76" s="71"/>
      <c r="L76" s="71"/>
      <c r="M76" s="71"/>
      <c r="N76" s="71" t="str">
        <f ca="1">IF(H76="","",IF(D76="usdt",H76,IF(C76="Binance",VLOOKUP(E76,'Курсы Бинанса'!B:C,2,FALSE),IF(C76="bybit",VLOOKUP(E76,'Курсы Bybit'!B:C,2,FALSE),IF(C76="OKX",VLOOKUP(E76,'Курсы OKX'!A:D,4,FALSE),IF(C76="huobi",VLOOKUP(E76,'Курсы Huobi'!B:C,2,FALSE),"! укажите биржу"))))))</f>
        <v/>
      </c>
      <c r="O76" s="71" t="str">
        <f t="shared" si="7"/>
        <v/>
      </c>
      <c r="P76" s="71" t="str">
        <f t="shared" si="8"/>
        <v/>
      </c>
      <c r="Q76" s="75" t="str">
        <f t="shared" si="9"/>
        <v/>
      </c>
      <c r="R76" s="76"/>
    </row>
    <row r="77" spans="1:18" ht="14.25" customHeight="1">
      <c r="A77" s="67"/>
      <c r="B77" s="68"/>
      <c r="C77" s="69"/>
      <c r="D77" s="69" t="str">
        <f ca="1">IF(B77="","",VLOOKUP('Журнал Закупок'!$B77,'СТ Криптовалюта'!B:C,2,0))</f>
        <v/>
      </c>
      <c r="E77" s="68" t="str">
        <f t="shared" si="5"/>
        <v/>
      </c>
      <c r="F77" s="70"/>
      <c r="G77" s="71"/>
      <c r="H77" s="71"/>
      <c r="I77" s="71" t="str">
        <f t="shared" si="6"/>
        <v/>
      </c>
      <c r="J77" s="71" t="e">
        <f ca="1">IFERROR(__xludf.DUMMYFUNCTION("IF(I77="""","""",IMPORTXML(""http://www.cbr.ru/scripts/XML_daily.asp?date_req=""&amp;TEXT(A77,""DD/MM/YYYY""), ""//ValCurs/Valute[CharCode=""""USD""""]/Value"")*I77)"),"")</f>
        <v>#NAME?</v>
      </c>
      <c r="K77" s="71"/>
      <c r="L77" s="71"/>
      <c r="M77" s="71"/>
      <c r="N77" s="71" t="str">
        <f ca="1">IF(H77="","",IF(D77="usdt",H77,IF(C77="Binance",VLOOKUP(E77,'Курсы Бинанса'!B:C,2,FALSE),IF(C77="bybit",VLOOKUP(E77,'Курсы Bybit'!B:C,2,FALSE),IF(C77="OKX",VLOOKUP(E77,'Курсы OKX'!A:D,4,FALSE),IF(C77="huobi",VLOOKUP(E77,'Курсы Huobi'!B:C,2,FALSE),"! укажите биржу"))))))</f>
        <v/>
      </c>
      <c r="O77" s="71" t="str">
        <f t="shared" si="7"/>
        <v/>
      </c>
      <c r="P77" s="71" t="str">
        <f t="shared" si="8"/>
        <v/>
      </c>
      <c r="Q77" s="75" t="str">
        <f t="shared" si="9"/>
        <v/>
      </c>
      <c r="R77" s="76"/>
    </row>
    <row r="78" spans="1:18" ht="14.25" customHeight="1">
      <c r="A78" s="67"/>
      <c r="B78" s="68"/>
      <c r="C78" s="69"/>
      <c r="D78" s="69" t="str">
        <f ca="1">IF(B78="","",VLOOKUP('Журнал Закупок'!$B78,'СТ Криптовалюта'!B:C,2,0))</f>
        <v/>
      </c>
      <c r="E78" s="68" t="str">
        <f t="shared" si="5"/>
        <v/>
      </c>
      <c r="F78" s="70"/>
      <c r="G78" s="71"/>
      <c r="H78" s="71"/>
      <c r="I78" s="71" t="str">
        <f t="shared" si="6"/>
        <v/>
      </c>
      <c r="J78" s="71" t="e">
        <f ca="1">IFERROR(__xludf.DUMMYFUNCTION("IF(I78="""","""",IMPORTXML(""http://www.cbr.ru/scripts/XML_daily.asp?date_req=""&amp;TEXT(A78,""DD/MM/YYYY""), ""//ValCurs/Valute[CharCode=""""USD""""]/Value"")*I78)"),"")</f>
        <v>#NAME?</v>
      </c>
      <c r="K78" s="71"/>
      <c r="L78" s="71"/>
      <c r="M78" s="71"/>
      <c r="N78" s="71" t="str">
        <f ca="1">IF(H78="","",IF(D78="usdt",H78,IF(C78="Binance",VLOOKUP(E78,'Курсы Бинанса'!B:C,2,FALSE),IF(C78="bybit",VLOOKUP(E78,'Курсы Bybit'!B:C,2,FALSE),IF(C78="OKX",VLOOKUP(E78,'Курсы OKX'!A:D,4,FALSE),IF(C78="huobi",VLOOKUP(E78,'Курсы Huobi'!B:C,2,FALSE),"! укажите биржу"))))))</f>
        <v/>
      </c>
      <c r="O78" s="71" t="str">
        <f t="shared" si="7"/>
        <v/>
      </c>
      <c r="P78" s="71" t="str">
        <f t="shared" si="8"/>
        <v/>
      </c>
      <c r="Q78" s="75" t="str">
        <f t="shared" si="9"/>
        <v/>
      </c>
      <c r="R78" s="76"/>
    </row>
    <row r="79" spans="1:18" ht="14.25" customHeight="1">
      <c r="A79" s="67"/>
      <c r="B79" s="68"/>
      <c r="C79" s="69"/>
      <c r="D79" s="69" t="str">
        <f ca="1">IF(B79="","",VLOOKUP('Журнал Закупок'!$B79,'СТ Криптовалюта'!B:C,2,0))</f>
        <v/>
      </c>
      <c r="E79" s="68" t="str">
        <f t="shared" si="5"/>
        <v/>
      </c>
      <c r="F79" s="70"/>
      <c r="G79" s="71"/>
      <c r="H79" s="71"/>
      <c r="I79" s="71" t="str">
        <f t="shared" si="6"/>
        <v/>
      </c>
      <c r="J79" s="71" t="e">
        <f ca="1">IFERROR(__xludf.DUMMYFUNCTION("IF(I79="""","""",IMPORTXML(""http://www.cbr.ru/scripts/XML_daily.asp?date_req=""&amp;TEXT(A79,""DD/MM/YYYY""), ""//ValCurs/Valute[CharCode=""""USD""""]/Value"")*I79)"),"")</f>
        <v>#NAME?</v>
      </c>
      <c r="K79" s="71"/>
      <c r="L79" s="71"/>
      <c r="M79" s="71"/>
      <c r="N79" s="71" t="str">
        <f ca="1">IF(H79="","",IF(D79="usdt",H79,IF(C79="Binance",VLOOKUP(E79,'Курсы Бинанса'!B:C,2,FALSE),IF(C79="bybit",VLOOKUP(E79,'Курсы Bybit'!B:C,2,FALSE),IF(C79="OKX",VLOOKUP(E79,'Курсы OKX'!A:D,4,FALSE),IF(C79="huobi",VLOOKUP(E79,'Курсы Huobi'!B:C,2,FALSE),"! укажите биржу"))))))</f>
        <v/>
      </c>
      <c r="O79" s="71" t="str">
        <f t="shared" si="7"/>
        <v/>
      </c>
      <c r="P79" s="71" t="str">
        <f t="shared" si="8"/>
        <v/>
      </c>
      <c r="Q79" s="75" t="str">
        <f t="shared" si="9"/>
        <v/>
      </c>
      <c r="R79" s="76"/>
    </row>
    <row r="80" spans="1:18" ht="14.25" customHeight="1">
      <c r="A80" s="67"/>
      <c r="B80" s="68"/>
      <c r="C80" s="69"/>
      <c r="D80" s="69" t="str">
        <f ca="1">IF(B80="","",VLOOKUP('Журнал Закупок'!$B80,'СТ Криптовалюта'!B:C,2,0))</f>
        <v/>
      </c>
      <c r="E80" s="68" t="str">
        <f t="shared" si="5"/>
        <v/>
      </c>
      <c r="F80" s="70"/>
      <c r="G80" s="71"/>
      <c r="H80" s="71"/>
      <c r="I80" s="71" t="str">
        <f t="shared" si="6"/>
        <v/>
      </c>
      <c r="J80" s="71" t="e">
        <f ca="1">IFERROR(__xludf.DUMMYFUNCTION("IF(I80="""","""",IMPORTXML(""http://www.cbr.ru/scripts/XML_daily.asp?date_req=""&amp;TEXT(A80,""DD/MM/YYYY""), ""//ValCurs/Valute[CharCode=""""USD""""]/Value"")*I80)"),"")</f>
        <v>#NAME?</v>
      </c>
      <c r="K80" s="71"/>
      <c r="L80" s="71"/>
      <c r="M80" s="71"/>
      <c r="N80" s="71" t="str">
        <f ca="1">IF(H80="","",IF(D80="usdt",H80,IF(C80="Binance",VLOOKUP(E80,'Курсы Бинанса'!B:C,2,FALSE),IF(C80="bybit",VLOOKUP(E80,'Курсы Bybit'!B:C,2,FALSE),IF(C80="OKX",VLOOKUP(E80,'Курсы OKX'!A:D,4,FALSE),IF(C80="huobi",VLOOKUP(E80,'Курсы Huobi'!B:C,2,FALSE),"! укажите биржу"))))))</f>
        <v/>
      </c>
      <c r="O80" s="71" t="str">
        <f t="shared" si="7"/>
        <v/>
      </c>
      <c r="P80" s="71" t="str">
        <f t="shared" si="8"/>
        <v/>
      </c>
      <c r="Q80" s="75" t="str">
        <f t="shared" si="9"/>
        <v/>
      </c>
      <c r="R80" s="76"/>
    </row>
    <row r="81" spans="1:18" ht="14.25" customHeight="1">
      <c r="A81" s="67"/>
      <c r="B81" s="68"/>
      <c r="C81" s="69"/>
      <c r="D81" s="69" t="str">
        <f ca="1">IF(B81="","",VLOOKUP('Журнал Закупок'!$B81,'СТ Криптовалюта'!B:C,2,0))</f>
        <v/>
      </c>
      <c r="E81" s="68" t="str">
        <f t="shared" si="5"/>
        <v/>
      </c>
      <c r="F81" s="70"/>
      <c r="G81" s="71"/>
      <c r="H81" s="71"/>
      <c r="I81" s="71" t="str">
        <f t="shared" si="6"/>
        <v/>
      </c>
      <c r="J81" s="71" t="e">
        <f ca="1">IFERROR(__xludf.DUMMYFUNCTION("IF(I81="""","""",IMPORTXML(""http://www.cbr.ru/scripts/XML_daily.asp?date_req=""&amp;TEXT(A81,""DD/MM/YYYY""), ""//ValCurs/Valute[CharCode=""""USD""""]/Value"")*I81)"),"")</f>
        <v>#NAME?</v>
      </c>
      <c r="K81" s="71"/>
      <c r="L81" s="71"/>
      <c r="M81" s="71"/>
      <c r="N81" s="71" t="str">
        <f ca="1">IF(H81="","",IF(D81="usdt",H81,IF(C81="Binance",VLOOKUP(E81,'Курсы Бинанса'!B:C,2,FALSE),IF(C81="bybit",VLOOKUP(E81,'Курсы Bybit'!B:C,2,FALSE),IF(C81="OKX",VLOOKUP(E81,'Курсы OKX'!A:D,4,FALSE),IF(C81="huobi",VLOOKUP(E81,'Курсы Huobi'!B:C,2,FALSE),"! укажите биржу"))))))</f>
        <v/>
      </c>
      <c r="O81" s="71" t="str">
        <f t="shared" si="7"/>
        <v/>
      </c>
      <c r="P81" s="71" t="str">
        <f t="shared" si="8"/>
        <v/>
      </c>
      <c r="Q81" s="75" t="str">
        <f t="shared" si="9"/>
        <v/>
      </c>
      <c r="R81" s="76"/>
    </row>
    <row r="82" spans="1:18" ht="14.25" customHeight="1">
      <c r="A82" s="67"/>
      <c r="B82" s="68"/>
      <c r="C82" s="69"/>
      <c r="D82" s="69" t="str">
        <f ca="1">IF(B82="","",VLOOKUP('Журнал Закупок'!$B82,'СТ Криптовалюта'!B:C,2,0))</f>
        <v/>
      </c>
      <c r="E82" s="68" t="str">
        <f t="shared" si="5"/>
        <v/>
      </c>
      <c r="F82" s="70"/>
      <c r="G82" s="71"/>
      <c r="H82" s="71"/>
      <c r="I82" s="71" t="str">
        <f t="shared" si="6"/>
        <v/>
      </c>
      <c r="J82" s="71" t="e">
        <f ca="1">IFERROR(__xludf.DUMMYFUNCTION("IF(I82="""","""",IMPORTXML(""http://www.cbr.ru/scripts/XML_daily.asp?date_req=""&amp;TEXT(A82,""DD/MM/YYYY""), ""//ValCurs/Valute[CharCode=""""USD""""]/Value"")*I82)"),"")</f>
        <v>#NAME?</v>
      </c>
      <c r="K82" s="71"/>
      <c r="L82" s="71"/>
      <c r="M82" s="71"/>
      <c r="N82" s="71" t="str">
        <f ca="1">IF(H82="","",IF(D82="usdt",H82,IF(C82="Binance",VLOOKUP(E82,'Курсы Бинанса'!B:C,2,FALSE),IF(C82="bybit",VLOOKUP(E82,'Курсы Bybit'!B:C,2,FALSE),IF(C82="OKX",VLOOKUP(E82,'Курсы OKX'!A:D,4,FALSE),IF(C82="huobi",VLOOKUP(E82,'Курсы Huobi'!B:C,2,FALSE),"! укажите биржу"))))))</f>
        <v/>
      </c>
      <c r="O82" s="71" t="str">
        <f t="shared" si="7"/>
        <v/>
      </c>
      <c r="P82" s="71" t="str">
        <f t="shared" si="8"/>
        <v/>
      </c>
      <c r="Q82" s="75" t="str">
        <f t="shared" si="9"/>
        <v/>
      </c>
      <c r="R82" s="76"/>
    </row>
    <row r="83" spans="1:18" ht="14.25" customHeight="1">
      <c r="A83" s="67"/>
      <c r="B83" s="68"/>
      <c r="C83" s="69"/>
      <c r="D83" s="69" t="str">
        <f ca="1">IF(B83="","",VLOOKUP('Журнал Закупок'!$B83,'СТ Криптовалюта'!B:C,2,0))</f>
        <v/>
      </c>
      <c r="E83" s="68" t="str">
        <f t="shared" si="5"/>
        <v/>
      </c>
      <c r="F83" s="70"/>
      <c r="G83" s="71"/>
      <c r="H83" s="71"/>
      <c r="I83" s="71" t="str">
        <f t="shared" si="6"/>
        <v/>
      </c>
      <c r="J83" s="71" t="e">
        <f ca="1">IFERROR(__xludf.DUMMYFUNCTION("IF(I83="""","""",IMPORTXML(""http://www.cbr.ru/scripts/XML_daily.asp?date_req=""&amp;TEXT(A83,""DD/MM/YYYY""), ""//ValCurs/Valute[CharCode=""""USD""""]/Value"")*I83)"),"")</f>
        <v>#NAME?</v>
      </c>
      <c r="K83" s="71"/>
      <c r="L83" s="71"/>
      <c r="M83" s="71"/>
      <c r="N83" s="71" t="str">
        <f ca="1">IF(H83="","",IF(D83="usdt",H83,IF(C83="Binance",VLOOKUP(E83,'Курсы Бинанса'!B:C,2,FALSE),IF(C83="bybit",VLOOKUP(E83,'Курсы Bybit'!B:C,2,FALSE),IF(C83="OKX",VLOOKUP(E83,'Курсы OKX'!A:D,4,FALSE),IF(C83="huobi",VLOOKUP(E83,'Курсы Huobi'!B:C,2,FALSE),"! укажите биржу"))))))</f>
        <v/>
      </c>
      <c r="O83" s="71" t="str">
        <f t="shared" si="7"/>
        <v/>
      </c>
      <c r="P83" s="71" t="str">
        <f t="shared" si="8"/>
        <v/>
      </c>
      <c r="Q83" s="75" t="str">
        <f t="shared" si="9"/>
        <v/>
      </c>
      <c r="R83" s="76"/>
    </row>
    <row r="84" spans="1:18" ht="14.25" customHeight="1">
      <c r="A84" s="67"/>
      <c r="B84" s="68"/>
      <c r="C84" s="69"/>
      <c r="D84" s="69" t="str">
        <f ca="1">IF(B84="","",VLOOKUP('Журнал Закупок'!$B84,'СТ Криптовалюта'!B:C,2,0))</f>
        <v/>
      </c>
      <c r="E84" s="68" t="str">
        <f t="shared" si="5"/>
        <v/>
      </c>
      <c r="F84" s="70"/>
      <c r="G84" s="71"/>
      <c r="H84" s="71"/>
      <c r="I84" s="71" t="str">
        <f t="shared" si="6"/>
        <v/>
      </c>
      <c r="J84" s="71" t="e">
        <f ca="1">IFERROR(__xludf.DUMMYFUNCTION("IF(I84="""","""",IMPORTXML(""http://www.cbr.ru/scripts/XML_daily.asp?date_req=""&amp;TEXT(A84,""DD/MM/YYYY""), ""//ValCurs/Valute[CharCode=""""USD""""]/Value"")*I84)"),"")</f>
        <v>#NAME?</v>
      </c>
      <c r="K84" s="71"/>
      <c r="L84" s="71"/>
      <c r="M84" s="71"/>
      <c r="N84" s="71" t="str">
        <f ca="1">IF(H84="","",IF(D84="usdt",H84,IF(C84="Binance",VLOOKUP(E84,'Курсы Бинанса'!B:C,2,FALSE),IF(C84="bybit",VLOOKUP(E84,'Курсы Bybit'!B:C,2,FALSE),IF(C84="OKX",VLOOKUP(E84,'Курсы OKX'!A:D,4,FALSE),IF(C84="huobi",VLOOKUP(E84,'Курсы Huobi'!B:C,2,FALSE),"! укажите биржу"))))))</f>
        <v/>
      </c>
      <c r="O84" s="71" t="str">
        <f t="shared" si="7"/>
        <v/>
      </c>
      <c r="P84" s="71" t="str">
        <f t="shared" si="8"/>
        <v/>
      </c>
      <c r="Q84" s="75" t="str">
        <f t="shared" si="9"/>
        <v/>
      </c>
      <c r="R84" s="76"/>
    </row>
    <row r="85" spans="1:18" ht="14.25" customHeight="1">
      <c r="A85" s="67"/>
      <c r="B85" s="68"/>
      <c r="C85" s="69"/>
      <c r="D85" s="69" t="str">
        <f ca="1">IF(B85="","",VLOOKUP('Журнал Закупок'!$B85,'СТ Криптовалюта'!B:C,2,0))</f>
        <v/>
      </c>
      <c r="E85" s="68" t="str">
        <f t="shared" si="5"/>
        <v/>
      </c>
      <c r="F85" s="70"/>
      <c r="G85" s="71"/>
      <c r="H85" s="71"/>
      <c r="I85" s="71" t="str">
        <f t="shared" si="6"/>
        <v/>
      </c>
      <c r="J85" s="71" t="e">
        <f ca="1">IFERROR(__xludf.DUMMYFUNCTION("IF(I85="""","""",IMPORTXML(""http://www.cbr.ru/scripts/XML_daily.asp?date_req=""&amp;TEXT(A85,""DD/MM/YYYY""), ""//ValCurs/Valute[CharCode=""""USD""""]/Value"")*I85)"),"")</f>
        <v>#NAME?</v>
      </c>
      <c r="K85" s="71"/>
      <c r="L85" s="71"/>
      <c r="M85" s="71"/>
      <c r="N85" s="71" t="str">
        <f ca="1">IF(H85="","",IF(D85="usdt",H85,IF(C85="Binance",VLOOKUP(E85,'Курсы Бинанса'!B:C,2,FALSE),IF(C85="bybit",VLOOKUP(E85,'Курсы Bybit'!B:C,2,FALSE),IF(C85="OKX",VLOOKUP(E85,'Курсы OKX'!A:D,4,FALSE),IF(C85="huobi",VLOOKUP(E85,'Курсы Huobi'!B:C,2,FALSE),"! укажите биржу"))))))</f>
        <v/>
      </c>
      <c r="O85" s="71" t="str">
        <f t="shared" si="7"/>
        <v/>
      </c>
      <c r="P85" s="71" t="str">
        <f t="shared" si="8"/>
        <v/>
      </c>
      <c r="Q85" s="75" t="str">
        <f t="shared" si="9"/>
        <v/>
      </c>
      <c r="R85" s="76"/>
    </row>
    <row r="86" spans="1:18" ht="14.25" customHeight="1">
      <c r="A86" s="67"/>
      <c r="B86" s="68"/>
      <c r="C86" s="69"/>
      <c r="D86" s="69" t="str">
        <f ca="1">IF(B86="","",VLOOKUP('Журнал Закупок'!$B86,'СТ Криптовалюта'!B:C,2,0))</f>
        <v/>
      </c>
      <c r="E86" s="68" t="str">
        <f t="shared" si="5"/>
        <v/>
      </c>
      <c r="F86" s="70"/>
      <c r="G86" s="71"/>
      <c r="H86" s="71"/>
      <c r="I86" s="71" t="str">
        <f t="shared" si="6"/>
        <v/>
      </c>
      <c r="J86" s="71" t="e">
        <f ca="1">IFERROR(__xludf.DUMMYFUNCTION("IF(I86="""","""",IMPORTXML(""http://www.cbr.ru/scripts/XML_daily.asp?date_req=""&amp;TEXT(A86,""DD/MM/YYYY""), ""//ValCurs/Valute[CharCode=""""USD""""]/Value"")*I86)"),"")</f>
        <v>#NAME?</v>
      </c>
      <c r="K86" s="71"/>
      <c r="L86" s="71"/>
      <c r="M86" s="71"/>
      <c r="N86" s="71" t="str">
        <f ca="1">IF(H86="","",IF(D86="usdt",H86,IF(C86="Binance",VLOOKUP(E86,'Курсы Бинанса'!B:C,2,FALSE),IF(C86="bybit",VLOOKUP(E86,'Курсы Bybit'!B:C,2,FALSE),IF(C86="OKX",VLOOKUP(E86,'Курсы OKX'!A:D,4,FALSE),IF(C86="huobi",VLOOKUP(E86,'Курсы Huobi'!B:C,2,FALSE),"! укажите биржу"))))))</f>
        <v/>
      </c>
      <c r="O86" s="71" t="str">
        <f t="shared" si="7"/>
        <v/>
      </c>
      <c r="P86" s="71" t="str">
        <f t="shared" si="8"/>
        <v/>
      </c>
      <c r="Q86" s="75" t="str">
        <f t="shared" si="9"/>
        <v/>
      </c>
      <c r="R86" s="76"/>
    </row>
    <row r="87" spans="1:18" ht="14.25" customHeight="1">
      <c r="A87" s="67"/>
      <c r="B87" s="68"/>
      <c r="C87" s="69"/>
      <c r="D87" s="69" t="str">
        <f ca="1">IF(B87="","",VLOOKUP('Журнал Закупок'!$B87,'СТ Криптовалюта'!B:C,2,0))</f>
        <v/>
      </c>
      <c r="E87" s="68" t="str">
        <f t="shared" si="5"/>
        <v/>
      </c>
      <c r="F87" s="70"/>
      <c r="G87" s="71"/>
      <c r="H87" s="71"/>
      <c r="I87" s="71" t="str">
        <f t="shared" si="6"/>
        <v/>
      </c>
      <c r="J87" s="71" t="e">
        <f ca="1">IFERROR(__xludf.DUMMYFUNCTION("IF(I87="""","""",IMPORTXML(""http://www.cbr.ru/scripts/XML_daily.asp?date_req=""&amp;TEXT(A87,""DD/MM/YYYY""), ""//ValCurs/Valute[CharCode=""""USD""""]/Value"")*I87)"),"")</f>
        <v>#NAME?</v>
      </c>
      <c r="K87" s="71"/>
      <c r="L87" s="71"/>
      <c r="M87" s="71"/>
      <c r="N87" s="71" t="str">
        <f ca="1">IF(H87="","",IF(D87="usdt",H87,IF(C87="Binance",VLOOKUP(E87,'Курсы Бинанса'!B:C,2,FALSE),IF(C87="bybit",VLOOKUP(E87,'Курсы Bybit'!B:C,2,FALSE),IF(C87="OKX",VLOOKUP(E87,'Курсы OKX'!A:D,4,FALSE),IF(C87="huobi",VLOOKUP(E87,'Курсы Huobi'!B:C,2,FALSE),"! укажите биржу"))))))</f>
        <v/>
      </c>
      <c r="O87" s="71" t="str">
        <f t="shared" si="7"/>
        <v/>
      </c>
      <c r="P87" s="71" t="str">
        <f t="shared" si="8"/>
        <v/>
      </c>
      <c r="Q87" s="75" t="str">
        <f t="shared" si="9"/>
        <v/>
      </c>
      <c r="R87" s="76"/>
    </row>
    <row r="88" spans="1:18" ht="14.25" customHeight="1">
      <c r="A88" s="67"/>
      <c r="B88" s="68"/>
      <c r="C88" s="69"/>
      <c r="D88" s="69" t="str">
        <f ca="1">IF(B88="","",VLOOKUP('Журнал Закупок'!$B88,'СТ Криптовалюта'!B:C,2,0))</f>
        <v/>
      </c>
      <c r="E88" s="68" t="str">
        <f t="shared" si="5"/>
        <v/>
      </c>
      <c r="F88" s="70"/>
      <c r="G88" s="71"/>
      <c r="H88" s="71"/>
      <c r="I88" s="71" t="str">
        <f t="shared" si="6"/>
        <v/>
      </c>
      <c r="J88" s="71" t="e">
        <f ca="1">IFERROR(__xludf.DUMMYFUNCTION("IF(I88="""","""",IMPORTXML(""http://www.cbr.ru/scripts/XML_daily.asp?date_req=""&amp;TEXT(A88,""DD/MM/YYYY""), ""//ValCurs/Valute[CharCode=""""USD""""]/Value"")*I88)"),"")</f>
        <v>#NAME?</v>
      </c>
      <c r="K88" s="71"/>
      <c r="L88" s="71"/>
      <c r="M88" s="71"/>
      <c r="N88" s="71" t="str">
        <f ca="1">IF(H88="","",IF(D88="usdt",H88,IF(C88="Binance",VLOOKUP(E88,'Курсы Бинанса'!B:C,2,FALSE),IF(C88="bybit",VLOOKUP(E88,'Курсы Bybit'!B:C,2,FALSE),IF(C88="OKX",VLOOKUP(E88,'Курсы OKX'!A:D,4,FALSE),IF(C88="huobi",VLOOKUP(E88,'Курсы Huobi'!B:C,2,FALSE),"! укажите биржу"))))))</f>
        <v/>
      </c>
      <c r="O88" s="71" t="str">
        <f t="shared" si="7"/>
        <v/>
      </c>
      <c r="P88" s="71" t="str">
        <f t="shared" si="8"/>
        <v/>
      </c>
      <c r="Q88" s="75" t="str">
        <f t="shared" si="9"/>
        <v/>
      </c>
      <c r="R88" s="76"/>
    </row>
    <row r="89" spans="1:18" ht="14.25" customHeight="1">
      <c r="A89" s="67"/>
      <c r="B89" s="68"/>
      <c r="C89" s="69"/>
      <c r="D89" s="69" t="str">
        <f ca="1">IF(B89="","",VLOOKUP('Журнал Закупок'!$B89,'СТ Криптовалюта'!B:C,2,0))</f>
        <v/>
      </c>
      <c r="E89" s="68" t="str">
        <f t="shared" si="5"/>
        <v/>
      </c>
      <c r="F89" s="70"/>
      <c r="G89" s="71"/>
      <c r="H89" s="71"/>
      <c r="I89" s="71" t="str">
        <f t="shared" si="6"/>
        <v/>
      </c>
      <c r="J89" s="71" t="e">
        <f ca="1">IFERROR(__xludf.DUMMYFUNCTION("IF(I89="""","""",IMPORTXML(""http://www.cbr.ru/scripts/XML_daily.asp?date_req=""&amp;TEXT(A89,""DD/MM/YYYY""), ""//ValCurs/Valute[CharCode=""""USD""""]/Value"")*I89)"),"")</f>
        <v>#NAME?</v>
      </c>
      <c r="K89" s="71"/>
      <c r="L89" s="71"/>
      <c r="M89" s="71"/>
      <c r="N89" s="71" t="str">
        <f ca="1">IF(H89="","",IF(D89="usdt",H89,IF(C89="Binance",VLOOKUP(E89,'Курсы Бинанса'!B:C,2,FALSE),IF(C89="bybit",VLOOKUP(E89,'Курсы Bybit'!B:C,2,FALSE),IF(C89="OKX",VLOOKUP(E89,'Курсы OKX'!A:D,4,FALSE),IF(C89="huobi",VLOOKUP(E89,'Курсы Huobi'!B:C,2,FALSE),"! укажите биржу"))))))</f>
        <v/>
      </c>
      <c r="O89" s="71" t="str">
        <f t="shared" si="7"/>
        <v/>
      </c>
      <c r="P89" s="71" t="str">
        <f t="shared" si="8"/>
        <v/>
      </c>
      <c r="Q89" s="75" t="str">
        <f t="shared" si="9"/>
        <v/>
      </c>
      <c r="R89" s="76"/>
    </row>
    <row r="90" spans="1:18" ht="14.25" customHeight="1">
      <c r="A90" s="67"/>
      <c r="B90" s="68"/>
      <c r="C90" s="69"/>
      <c r="D90" s="69" t="str">
        <f ca="1">IF(B90="","",VLOOKUP('Журнал Закупок'!$B90,'СТ Криптовалюта'!B:C,2,0))</f>
        <v/>
      </c>
      <c r="E90" s="68" t="str">
        <f t="shared" si="5"/>
        <v/>
      </c>
      <c r="F90" s="70"/>
      <c r="G90" s="71"/>
      <c r="H90" s="71"/>
      <c r="I90" s="71" t="str">
        <f t="shared" si="6"/>
        <v/>
      </c>
      <c r="J90" s="71" t="e">
        <f ca="1">IFERROR(__xludf.DUMMYFUNCTION("IF(I90="""","""",IMPORTXML(""http://www.cbr.ru/scripts/XML_daily.asp?date_req=""&amp;TEXT(A90,""DD/MM/YYYY""), ""//ValCurs/Valute[CharCode=""""USD""""]/Value"")*I90)"),"")</f>
        <v>#NAME?</v>
      </c>
      <c r="K90" s="71"/>
      <c r="L90" s="71"/>
      <c r="M90" s="71"/>
      <c r="N90" s="71" t="str">
        <f ca="1">IF(H90="","",IF(D90="usdt",H90,IF(C90="Binance",VLOOKUP(E90,'Курсы Бинанса'!B:C,2,FALSE),IF(C90="bybit",VLOOKUP(E90,'Курсы Bybit'!B:C,2,FALSE),IF(C90="OKX",VLOOKUP(E90,'Курсы OKX'!A:D,4,FALSE),IF(C90="huobi",VLOOKUP(E90,'Курсы Huobi'!B:C,2,FALSE),"! укажите биржу"))))))</f>
        <v/>
      </c>
      <c r="O90" s="71" t="str">
        <f t="shared" si="7"/>
        <v/>
      </c>
      <c r="P90" s="71" t="str">
        <f t="shared" si="8"/>
        <v/>
      </c>
      <c r="Q90" s="75" t="str">
        <f t="shared" si="9"/>
        <v/>
      </c>
      <c r="R90" s="76"/>
    </row>
    <row r="91" spans="1:18" ht="14.25" customHeight="1">
      <c r="A91" s="67"/>
      <c r="B91" s="68"/>
      <c r="C91" s="69"/>
      <c r="D91" s="69" t="str">
        <f ca="1">IF(B91="","",VLOOKUP('Журнал Закупок'!$B91,'СТ Криптовалюта'!B:C,2,0))</f>
        <v/>
      </c>
      <c r="E91" s="68" t="str">
        <f t="shared" si="5"/>
        <v/>
      </c>
      <c r="F91" s="70"/>
      <c r="G91" s="71"/>
      <c r="H91" s="71"/>
      <c r="I91" s="71" t="str">
        <f t="shared" si="6"/>
        <v/>
      </c>
      <c r="J91" s="71" t="e">
        <f ca="1">IFERROR(__xludf.DUMMYFUNCTION("IF(I91="""","""",IMPORTXML(""http://www.cbr.ru/scripts/XML_daily.asp?date_req=""&amp;TEXT(A91,""DD/MM/YYYY""), ""//ValCurs/Valute[CharCode=""""USD""""]/Value"")*I91)"),"")</f>
        <v>#NAME?</v>
      </c>
      <c r="K91" s="71"/>
      <c r="L91" s="71"/>
      <c r="M91" s="71"/>
      <c r="N91" s="71" t="str">
        <f ca="1">IF(H91="","",IF(D91="usdt",H91,IF(C91="Binance",VLOOKUP(E91,'Курсы Бинанса'!B:C,2,FALSE),IF(C91="bybit",VLOOKUP(E91,'Курсы Bybit'!B:C,2,FALSE),IF(C91="OKX",VLOOKUP(E91,'Курсы OKX'!A:D,4,FALSE),IF(C91="huobi",VLOOKUP(E91,'Курсы Huobi'!B:C,2,FALSE),"! укажите биржу"))))))</f>
        <v/>
      </c>
      <c r="O91" s="71" t="str">
        <f t="shared" si="7"/>
        <v/>
      </c>
      <c r="P91" s="71" t="str">
        <f t="shared" si="8"/>
        <v/>
      </c>
      <c r="Q91" s="75" t="str">
        <f t="shared" si="9"/>
        <v/>
      </c>
      <c r="R91" s="76"/>
    </row>
    <row r="92" spans="1:18" ht="14.25" customHeight="1">
      <c r="A92" s="67"/>
      <c r="B92" s="68"/>
      <c r="C92" s="69"/>
      <c r="D92" s="69" t="str">
        <f ca="1">IF(B92="","",VLOOKUP('Журнал Закупок'!$B92,'СТ Криптовалюта'!B:C,2,0))</f>
        <v/>
      </c>
      <c r="E92" s="68" t="str">
        <f t="shared" si="5"/>
        <v/>
      </c>
      <c r="F92" s="70"/>
      <c r="G92" s="71"/>
      <c r="H92" s="71"/>
      <c r="I92" s="71" t="str">
        <f t="shared" si="6"/>
        <v/>
      </c>
      <c r="J92" s="71" t="e">
        <f ca="1">IFERROR(__xludf.DUMMYFUNCTION("IF(I92="""","""",IMPORTXML(""http://www.cbr.ru/scripts/XML_daily.asp?date_req=""&amp;TEXT(A92,""DD/MM/YYYY""), ""//ValCurs/Valute[CharCode=""""USD""""]/Value"")*I92)"),"")</f>
        <v>#NAME?</v>
      </c>
      <c r="K92" s="71"/>
      <c r="L92" s="71"/>
      <c r="M92" s="71"/>
      <c r="N92" s="71" t="str">
        <f ca="1">IF(H92="","",IF(D92="usdt",H92,IF(C92="Binance",VLOOKUP(E92,'Курсы Бинанса'!B:C,2,FALSE),IF(C92="bybit",VLOOKUP(E92,'Курсы Bybit'!B:C,2,FALSE),IF(C92="OKX",VLOOKUP(E92,'Курсы OKX'!A:D,4,FALSE),IF(C92="huobi",VLOOKUP(E92,'Курсы Huobi'!B:C,2,FALSE),"! укажите биржу"))))))</f>
        <v/>
      </c>
      <c r="O92" s="71" t="str">
        <f t="shared" si="7"/>
        <v/>
      </c>
      <c r="P92" s="71" t="str">
        <f t="shared" si="8"/>
        <v/>
      </c>
      <c r="Q92" s="75" t="str">
        <f t="shared" si="9"/>
        <v/>
      </c>
      <c r="R92" s="76"/>
    </row>
    <row r="93" spans="1:18" ht="14.25" customHeight="1">
      <c r="A93" s="67"/>
      <c r="B93" s="68"/>
      <c r="C93" s="69"/>
      <c r="D93" s="69" t="str">
        <f ca="1">IF(B93="","",VLOOKUP('Журнал Закупок'!$B93,'СТ Криптовалюта'!B:C,2,0))</f>
        <v/>
      </c>
      <c r="E93" s="68" t="str">
        <f t="shared" si="5"/>
        <v/>
      </c>
      <c r="F93" s="70"/>
      <c r="G93" s="71"/>
      <c r="H93" s="71"/>
      <c r="I93" s="71" t="str">
        <f t="shared" si="6"/>
        <v/>
      </c>
      <c r="J93" s="71" t="e">
        <f ca="1">IFERROR(__xludf.DUMMYFUNCTION("IF(I93="""","""",IMPORTXML(""http://www.cbr.ru/scripts/XML_daily.asp?date_req=""&amp;TEXT(A93,""DD/MM/YYYY""), ""//ValCurs/Valute[CharCode=""""USD""""]/Value"")*I93)"),"")</f>
        <v>#NAME?</v>
      </c>
      <c r="K93" s="71"/>
      <c r="L93" s="71"/>
      <c r="M93" s="71"/>
      <c r="N93" s="71" t="str">
        <f ca="1">IF(H93="","",IF(D93="usdt",H93,IF(C93="Binance",VLOOKUP(E93,'Курсы Бинанса'!B:C,2,FALSE),IF(C93="bybit",VLOOKUP(E93,'Курсы Bybit'!B:C,2,FALSE),IF(C93="OKX",VLOOKUP(E93,'Курсы OKX'!A:D,4,FALSE),IF(C93="huobi",VLOOKUP(E93,'Курсы Huobi'!B:C,2,FALSE),"! укажите биржу"))))))</f>
        <v/>
      </c>
      <c r="O93" s="71" t="str">
        <f t="shared" si="7"/>
        <v/>
      </c>
      <c r="P93" s="71" t="str">
        <f t="shared" si="8"/>
        <v/>
      </c>
      <c r="Q93" s="75" t="str">
        <f t="shared" si="9"/>
        <v/>
      </c>
      <c r="R93" s="76"/>
    </row>
    <row r="94" spans="1:18" ht="14.25" customHeight="1">
      <c r="A94" s="67"/>
      <c r="B94" s="68"/>
      <c r="C94" s="69"/>
      <c r="D94" s="69" t="str">
        <f ca="1">IF(B94="","",VLOOKUP('Журнал Закупок'!$B94,'СТ Криптовалюта'!B:C,2,0))</f>
        <v/>
      </c>
      <c r="E94" s="68" t="str">
        <f t="shared" si="5"/>
        <v/>
      </c>
      <c r="F94" s="70"/>
      <c r="G94" s="71"/>
      <c r="H94" s="71"/>
      <c r="I94" s="71" t="str">
        <f t="shared" si="6"/>
        <v/>
      </c>
      <c r="J94" s="71" t="e">
        <f ca="1">IFERROR(__xludf.DUMMYFUNCTION("IF(I94="""","""",IMPORTXML(""http://www.cbr.ru/scripts/XML_daily.asp?date_req=""&amp;TEXT(A94,""DD/MM/YYYY""), ""//ValCurs/Valute[CharCode=""""USD""""]/Value"")*I94)"),"")</f>
        <v>#NAME?</v>
      </c>
      <c r="K94" s="71"/>
      <c r="L94" s="71"/>
      <c r="M94" s="71"/>
      <c r="N94" s="71" t="str">
        <f ca="1">IF(H94="","",IF(D94="usdt",H94,IF(C94="Binance",VLOOKUP(E94,'Курсы Бинанса'!B:C,2,FALSE),IF(C94="bybit",VLOOKUP(E94,'Курсы Bybit'!B:C,2,FALSE),IF(C94="OKX",VLOOKUP(E94,'Курсы OKX'!A:D,4,FALSE),IF(C94="huobi",VLOOKUP(E94,'Курсы Huobi'!B:C,2,FALSE),"! укажите биржу"))))))</f>
        <v/>
      </c>
      <c r="O94" s="71" t="str">
        <f t="shared" si="7"/>
        <v/>
      </c>
      <c r="P94" s="71" t="str">
        <f t="shared" si="8"/>
        <v/>
      </c>
      <c r="Q94" s="75" t="str">
        <f t="shared" si="9"/>
        <v/>
      </c>
      <c r="R94" s="76"/>
    </row>
    <row r="95" spans="1:18" ht="14.25" customHeight="1">
      <c r="A95" s="67"/>
      <c r="B95" s="68"/>
      <c r="C95" s="69"/>
      <c r="D95" s="69" t="str">
        <f ca="1">IF(B95="","",VLOOKUP('Журнал Закупок'!$B95,'СТ Криптовалюта'!B:C,2,0))</f>
        <v/>
      </c>
      <c r="E95" s="68" t="str">
        <f t="shared" si="5"/>
        <v/>
      </c>
      <c r="F95" s="70"/>
      <c r="G95" s="71"/>
      <c r="H95" s="71"/>
      <c r="I95" s="71" t="str">
        <f t="shared" si="6"/>
        <v/>
      </c>
      <c r="J95" s="71" t="e">
        <f ca="1">IFERROR(__xludf.DUMMYFUNCTION("IF(I95="""","""",IMPORTXML(""http://www.cbr.ru/scripts/XML_daily.asp?date_req=""&amp;TEXT(A95,""DD/MM/YYYY""), ""//ValCurs/Valute[CharCode=""""USD""""]/Value"")*I95)"),"")</f>
        <v>#NAME?</v>
      </c>
      <c r="K95" s="71"/>
      <c r="L95" s="71"/>
      <c r="M95" s="71"/>
      <c r="N95" s="71" t="str">
        <f ca="1">IF(H95="","",IF(D95="usdt",H95,IF(C95="Binance",VLOOKUP(E95,'Курсы Бинанса'!B:C,2,FALSE),IF(C95="bybit",VLOOKUP(E95,'Курсы Bybit'!B:C,2,FALSE),IF(C95="OKX",VLOOKUP(E95,'Курсы OKX'!A:D,4,FALSE),IF(C95="huobi",VLOOKUP(E95,'Курсы Huobi'!B:C,2,FALSE),"! укажите биржу"))))))</f>
        <v/>
      </c>
      <c r="O95" s="71" t="str">
        <f t="shared" si="7"/>
        <v/>
      </c>
      <c r="P95" s="71" t="str">
        <f t="shared" si="8"/>
        <v/>
      </c>
      <c r="Q95" s="75" t="str">
        <f t="shared" si="9"/>
        <v/>
      </c>
      <c r="R95" s="76"/>
    </row>
    <row r="96" spans="1:18" ht="14.25" customHeight="1">
      <c r="A96" s="67"/>
      <c r="B96" s="68"/>
      <c r="C96" s="69"/>
      <c r="D96" s="69" t="str">
        <f ca="1">IF(B96="","",VLOOKUP('Журнал Закупок'!$B96,'СТ Криптовалюта'!B:C,2,0))</f>
        <v/>
      </c>
      <c r="E96" s="68" t="str">
        <f t="shared" si="5"/>
        <v/>
      </c>
      <c r="F96" s="70"/>
      <c r="G96" s="71"/>
      <c r="H96" s="71"/>
      <c r="I96" s="71" t="str">
        <f t="shared" si="6"/>
        <v/>
      </c>
      <c r="J96" s="71" t="e">
        <f ca="1">IFERROR(__xludf.DUMMYFUNCTION("IF(I96="""","""",IMPORTXML(""http://www.cbr.ru/scripts/XML_daily.asp?date_req=""&amp;TEXT(A96,""DD/MM/YYYY""), ""//ValCurs/Valute[CharCode=""""USD""""]/Value"")*I96)"),"")</f>
        <v>#NAME?</v>
      </c>
      <c r="K96" s="71"/>
      <c r="L96" s="71"/>
      <c r="M96" s="71"/>
      <c r="N96" s="71" t="str">
        <f ca="1">IF(H96="","",IF(D96="usdt",H96,IF(C96="Binance",VLOOKUP(E96,'Курсы Бинанса'!B:C,2,FALSE),IF(C96="bybit",VLOOKUP(E96,'Курсы Bybit'!B:C,2,FALSE),IF(C96="OKX",VLOOKUP(E96,'Курсы OKX'!A:D,4,FALSE),IF(C96="huobi",VLOOKUP(E96,'Курсы Huobi'!B:C,2,FALSE),"! укажите биржу"))))))</f>
        <v/>
      </c>
      <c r="O96" s="71" t="str">
        <f t="shared" si="7"/>
        <v/>
      </c>
      <c r="P96" s="71" t="str">
        <f t="shared" si="8"/>
        <v/>
      </c>
      <c r="Q96" s="75" t="str">
        <f t="shared" si="9"/>
        <v/>
      </c>
      <c r="R96" s="76"/>
    </row>
    <row r="97" spans="1:18" ht="14.25" customHeight="1">
      <c r="A97" s="67"/>
      <c r="B97" s="68"/>
      <c r="C97" s="69"/>
      <c r="D97" s="69" t="str">
        <f ca="1">IF(B97="","",VLOOKUP('Журнал Закупок'!$B97,'СТ Криптовалюта'!B:C,2,0))</f>
        <v/>
      </c>
      <c r="E97" s="68" t="str">
        <f t="shared" si="5"/>
        <v/>
      </c>
      <c r="F97" s="70"/>
      <c r="G97" s="71"/>
      <c r="H97" s="71"/>
      <c r="I97" s="71" t="str">
        <f t="shared" si="6"/>
        <v/>
      </c>
      <c r="J97" s="71" t="e">
        <f ca="1">IFERROR(__xludf.DUMMYFUNCTION("IF(I97="""","""",IMPORTXML(""http://www.cbr.ru/scripts/XML_daily.asp?date_req=""&amp;TEXT(A97,""DD/MM/YYYY""), ""//ValCurs/Valute[CharCode=""""USD""""]/Value"")*I97)"),"")</f>
        <v>#NAME?</v>
      </c>
      <c r="K97" s="71"/>
      <c r="L97" s="71"/>
      <c r="M97" s="71"/>
      <c r="N97" s="71" t="str">
        <f ca="1">IF(H97="","",IF(D97="usdt",H97,IF(C97="Binance",VLOOKUP(E97,'Курсы Бинанса'!B:C,2,FALSE),IF(C97="bybit",VLOOKUP(E97,'Курсы Bybit'!B:C,2,FALSE),IF(C97="OKX",VLOOKUP(E97,'Курсы OKX'!A:D,4,FALSE),IF(C97="huobi",VLOOKUP(E97,'Курсы Huobi'!B:C,2,FALSE),"! укажите биржу"))))))</f>
        <v/>
      </c>
      <c r="O97" s="71" t="str">
        <f t="shared" si="7"/>
        <v/>
      </c>
      <c r="P97" s="71" t="str">
        <f t="shared" si="8"/>
        <v/>
      </c>
      <c r="Q97" s="75" t="str">
        <f t="shared" si="9"/>
        <v/>
      </c>
      <c r="R97" s="76"/>
    </row>
    <row r="98" spans="1:18" ht="14.25" customHeight="1">
      <c r="A98" s="67"/>
      <c r="B98" s="68"/>
      <c r="C98" s="69"/>
      <c r="D98" s="69" t="str">
        <f ca="1">IF(B98="","",VLOOKUP('Журнал Закупок'!$B98,'СТ Криптовалюта'!B:C,2,0))</f>
        <v/>
      </c>
      <c r="E98" s="68" t="str">
        <f t="shared" si="5"/>
        <v/>
      </c>
      <c r="F98" s="70"/>
      <c r="G98" s="71"/>
      <c r="H98" s="71"/>
      <c r="I98" s="71" t="str">
        <f t="shared" si="6"/>
        <v/>
      </c>
      <c r="J98" s="71" t="e">
        <f ca="1">IFERROR(__xludf.DUMMYFUNCTION("IF(I98="""","""",IMPORTXML(""http://www.cbr.ru/scripts/XML_daily.asp?date_req=""&amp;TEXT(A98,""DD/MM/YYYY""), ""//ValCurs/Valute[CharCode=""""USD""""]/Value"")*I98)"),"")</f>
        <v>#NAME?</v>
      </c>
      <c r="K98" s="71"/>
      <c r="L98" s="71"/>
      <c r="M98" s="71"/>
      <c r="N98" s="71" t="str">
        <f ca="1">IF(H98="","",IF(D98="usdt",H98,IF(C98="Binance",VLOOKUP(E98,'Курсы Бинанса'!B:C,2,FALSE),IF(C98="bybit",VLOOKUP(E98,'Курсы Bybit'!B:C,2,FALSE),IF(C98="OKX",VLOOKUP(E98,'Курсы OKX'!A:D,4,FALSE),IF(C98="huobi",VLOOKUP(E98,'Курсы Huobi'!B:C,2,FALSE),"! укажите биржу"))))))</f>
        <v/>
      </c>
      <c r="O98" s="71" t="str">
        <f t="shared" si="7"/>
        <v/>
      </c>
      <c r="P98" s="71" t="str">
        <f t="shared" si="8"/>
        <v/>
      </c>
      <c r="Q98" s="75" t="str">
        <f t="shared" si="9"/>
        <v/>
      </c>
      <c r="R98" s="76"/>
    </row>
    <row r="99" spans="1:18" ht="14.25" customHeight="1">
      <c r="A99" s="67"/>
      <c r="B99" s="68"/>
      <c r="C99" s="69"/>
      <c r="D99" s="69" t="str">
        <f ca="1">IF(B99="","",VLOOKUP('Журнал Закупок'!$B99,'СТ Криптовалюта'!B:C,2,0))</f>
        <v/>
      </c>
      <c r="E99" s="68" t="str">
        <f t="shared" si="5"/>
        <v/>
      </c>
      <c r="F99" s="70"/>
      <c r="G99" s="71"/>
      <c r="H99" s="71"/>
      <c r="I99" s="71" t="str">
        <f t="shared" si="6"/>
        <v/>
      </c>
      <c r="J99" s="71" t="e">
        <f ca="1">IFERROR(__xludf.DUMMYFUNCTION("IF(I99="""","""",IMPORTXML(""http://www.cbr.ru/scripts/XML_daily.asp?date_req=""&amp;TEXT(A99,""DD/MM/YYYY""), ""//ValCurs/Valute[CharCode=""""USD""""]/Value"")*I99)"),"")</f>
        <v>#NAME?</v>
      </c>
      <c r="K99" s="71"/>
      <c r="L99" s="71"/>
      <c r="M99" s="71"/>
      <c r="N99" s="71" t="str">
        <f ca="1">IF(H99="","",IF(D99="usdt",H99,IF(C99="Binance",VLOOKUP(E99,'Курсы Бинанса'!B:C,2,FALSE),IF(C99="bybit",VLOOKUP(E99,'Курсы Bybit'!B:C,2,FALSE),IF(C99="OKX",VLOOKUP(E99,'Курсы OKX'!A:D,4,FALSE),IF(C99="huobi",VLOOKUP(E99,'Курсы Huobi'!B:C,2,FALSE),"! укажите биржу"))))))</f>
        <v/>
      </c>
      <c r="O99" s="71" t="str">
        <f t="shared" si="7"/>
        <v/>
      </c>
      <c r="P99" s="71" t="str">
        <f t="shared" si="8"/>
        <v/>
      </c>
      <c r="Q99" s="75" t="str">
        <f t="shared" si="9"/>
        <v/>
      </c>
      <c r="R99" s="76"/>
    </row>
    <row r="100" spans="1:18" ht="14.25" customHeight="1">
      <c r="A100" s="67"/>
      <c r="B100" s="68"/>
      <c r="C100" s="69"/>
      <c r="D100" s="69" t="str">
        <f ca="1">IF(B100="","",VLOOKUP('Журнал Закупок'!$B100,'СТ Криптовалюта'!B:C,2,0))</f>
        <v/>
      </c>
      <c r="E100" s="68" t="str">
        <f t="shared" si="5"/>
        <v/>
      </c>
      <c r="F100" s="70"/>
      <c r="G100" s="71"/>
      <c r="H100" s="71"/>
      <c r="I100" s="71" t="str">
        <f t="shared" si="6"/>
        <v/>
      </c>
      <c r="J100" s="71" t="e">
        <f ca="1">IFERROR(__xludf.DUMMYFUNCTION("IF(I100="""","""",IMPORTXML(""http://www.cbr.ru/scripts/XML_daily.asp?date_req=""&amp;TEXT(A100,""DD/MM/YYYY""), ""//ValCurs/Valute[CharCode=""""USD""""]/Value"")*I100)"),"")</f>
        <v>#NAME?</v>
      </c>
      <c r="K100" s="71"/>
      <c r="L100" s="71"/>
      <c r="M100" s="71"/>
      <c r="N100" s="71" t="str">
        <f ca="1">IF(H100="","",IF(D100="usdt",H100,IF(C100="Binance",VLOOKUP(E100,'Курсы Бинанса'!B:C,2,FALSE),IF(C100="bybit",VLOOKUP(E100,'Курсы Bybit'!B:C,2,FALSE),IF(C100="OKX",VLOOKUP(E100,'Курсы OKX'!A:D,4,FALSE),IF(C100="huobi",VLOOKUP(E100,'Курсы Huobi'!B:C,2,FALSE),"! укажите биржу"))))))</f>
        <v/>
      </c>
      <c r="O100" s="71" t="str">
        <f t="shared" si="7"/>
        <v/>
      </c>
      <c r="P100" s="71" t="str">
        <f t="shared" si="8"/>
        <v/>
      </c>
      <c r="Q100" s="75" t="str">
        <f t="shared" si="9"/>
        <v/>
      </c>
      <c r="R100" s="76"/>
    </row>
    <row r="101" spans="1:18" ht="14.25" customHeight="1">
      <c r="A101" s="67"/>
      <c r="B101" s="68"/>
      <c r="C101" s="69"/>
      <c r="D101" s="69" t="str">
        <f ca="1">IF(B101="","",VLOOKUP('Журнал Закупок'!$B101,'СТ Криптовалюта'!B:C,2,0))</f>
        <v/>
      </c>
      <c r="E101" s="68" t="str">
        <f t="shared" si="5"/>
        <v/>
      </c>
      <c r="F101" s="70"/>
      <c r="G101" s="71"/>
      <c r="H101" s="71"/>
      <c r="I101" s="71" t="str">
        <f t="shared" si="6"/>
        <v/>
      </c>
      <c r="J101" s="71" t="e">
        <f ca="1">IFERROR(__xludf.DUMMYFUNCTION("IF(I101="""","""",IMPORTXML(""http://www.cbr.ru/scripts/XML_daily.asp?date_req=""&amp;TEXT(A101,""DD/MM/YYYY""), ""//ValCurs/Valute[CharCode=""""USD""""]/Value"")*I101)"),"")</f>
        <v>#NAME?</v>
      </c>
      <c r="K101" s="71"/>
      <c r="L101" s="71"/>
      <c r="M101" s="71"/>
      <c r="N101" s="71" t="str">
        <f ca="1">IF(H101="","",IF(D101="usdt",H101,IF(C101="Binance",VLOOKUP(E101,'Курсы Бинанса'!B:C,2,FALSE),IF(C101="bybit",VLOOKUP(E101,'Курсы Bybit'!B:C,2,FALSE),IF(C101="OKX",VLOOKUP(E101,'Курсы OKX'!A:D,4,FALSE),IF(C101="huobi",VLOOKUP(E101,'Курсы Huobi'!B:C,2,FALSE),"! укажите биржу"))))))</f>
        <v/>
      </c>
      <c r="O101" s="71" t="str">
        <f t="shared" si="7"/>
        <v/>
      </c>
      <c r="P101" s="71" t="str">
        <f t="shared" si="8"/>
        <v/>
      </c>
      <c r="Q101" s="75" t="str">
        <f t="shared" si="9"/>
        <v/>
      </c>
      <c r="R101" s="76"/>
    </row>
    <row r="102" spans="1:18" ht="14.25" customHeight="1">
      <c r="A102" s="67"/>
      <c r="B102" s="68"/>
      <c r="C102" s="69"/>
      <c r="D102" s="69" t="str">
        <f ca="1">IF(B102="","",VLOOKUP('Журнал Закупок'!$B102,'СТ Криптовалюта'!B:C,2,0))</f>
        <v/>
      </c>
      <c r="E102" s="68" t="str">
        <f t="shared" si="5"/>
        <v/>
      </c>
      <c r="F102" s="70"/>
      <c r="G102" s="71"/>
      <c r="H102" s="71"/>
      <c r="I102" s="71" t="str">
        <f t="shared" si="6"/>
        <v/>
      </c>
      <c r="J102" s="71" t="e">
        <f ca="1">IFERROR(__xludf.DUMMYFUNCTION("IF(I102="""","""",IMPORTXML(""http://www.cbr.ru/scripts/XML_daily.asp?date_req=""&amp;TEXT(A102,""DD/MM/YYYY""), ""//ValCurs/Valute[CharCode=""""USD""""]/Value"")*I102)"),"")</f>
        <v>#NAME?</v>
      </c>
      <c r="K102" s="71"/>
      <c r="L102" s="71"/>
      <c r="M102" s="71"/>
      <c r="N102" s="71" t="str">
        <f ca="1">IF(H102="","",IF(D102="usdt",H102,IF(C102="Binance",VLOOKUP(E102,'Курсы Бинанса'!B:C,2,FALSE),IF(C102="bybit",VLOOKUP(E102,'Курсы Bybit'!B:C,2,FALSE),IF(C102="OKX",VLOOKUP(E102,'Курсы OKX'!A:D,4,FALSE),IF(C102="huobi",VLOOKUP(E102,'Курсы Huobi'!B:C,2,FALSE),"! укажите биржу"))))))</f>
        <v/>
      </c>
      <c r="O102" s="71" t="str">
        <f t="shared" si="7"/>
        <v/>
      </c>
      <c r="P102" s="71" t="str">
        <f t="shared" si="8"/>
        <v/>
      </c>
      <c r="Q102" s="75" t="str">
        <f t="shared" si="9"/>
        <v/>
      </c>
      <c r="R102" s="76"/>
    </row>
    <row r="103" spans="1:18" ht="14.25" customHeight="1">
      <c r="A103" s="67"/>
      <c r="B103" s="68"/>
      <c r="C103" s="69"/>
      <c r="D103" s="69" t="str">
        <f ca="1">IF(B103="","",VLOOKUP('Журнал Закупок'!$B103,'СТ Криптовалюта'!B:C,2,0))</f>
        <v/>
      </c>
      <c r="E103" s="68" t="str">
        <f t="shared" si="5"/>
        <v/>
      </c>
      <c r="F103" s="70"/>
      <c r="G103" s="71"/>
      <c r="H103" s="71"/>
      <c r="I103" s="71" t="str">
        <f t="shared" si="6"/>
        <v/>
      </c>
      <c r="J103" s="71" t="e">
        <f ca="1">IFERROR(__xludf.DUMMYFUNCTION("IF(I103="""","""",IMPORTXML(""http://www.cbr.ru/scripts/XML_daily.asp?date_req=""&amp;TEXT(A103,""DD/MM/YYYY""), ""//ValCurs/Valute[CharCode=""""USD""""]/Value"")*I103)"),"")</f>
        <v>#NAME?</v>
      </c>
      <c r="K103" s="71"/>
      <c r="L103" s="71"/>
      <c r="M103" s="71"/>
      <c r="N103" s="71" t="str">
        <f ca="1">IF(H103="","",IF(D103="usdt",H103,IF(C103="Binance",VLOOKUP(E103,'Курсы Бинанса'!B:C,2,FALSE),IF(C103="bybit",VLOOKUP(E103,'Курсы Bybit'!B:C,2,FALSE),IF(C103="OKX",VLOOKUP(E103,'Курсы OKX'!A:D,4,FALSE),IF(C103="huobi",VLOOKUP(E103,'Курсы Huobi'!B:C,2,FALSE),"! укажите биржу"))))))</f>
        <v/>
      </c>
      <c r="O103" s="71" t="str">
        <f t="shared" si="7"/>
        <v/>
      </c>
      <c r="P103" s="71" t="str">
        <f t="shared" si="8"/>
        <v/>
      </c>
      <c r="Q103" s="75" t="str">
        <f t="shared" si="9"/>
        <v/>
      </c>
      <c r="R103" s="76"/>
    </row>
    <row r="104" spans="1:18" ht="14.25" customHeight="1">
      <c r="A104" s="67"/>
      <c r="B104" s="68"/>
      <c r="C104" s="69"/>
      <c r="D104" s="69" t="str">
        <f ca="1">IF(B104="","",VLOOKUP('Журнал Закупок'!$B104,'СТ Криптовалюта'!B:C,2,0))</f>
        <v/>
      </c>
      <c r="E104" s="68" t="str">
        <f t="shared" si="5"/>
        <v/>
      </c>
      <c r="F104" s="70"/>
      <c r="G104" s="71"/>
      <c r="H104" s="71"/>
      <c r="I104" s="71" t="str">
        <f t="shared" si="6"/>
        <v/>
      </c>
      <c r="J104" s="71" t="e">
        <f ca="1">IFERROR(__xludf.DUMMYFUNCTION("IF(I104="""","""",IMPORTXML(""http://www.cbr.ru/scripts/XML_daily.asp?date_req=""&amp;TEXT(A104,""DD/MM/YYYY""), ""//ValCurs/Valute[CharCode=""""USD""""]/Value"")*I104)"),"")</f>
        <v>#NAME?</v>
      </c>
      <c r="K104" s="71"/>
      <c r="L104" s="71"/>
      <c r="M104" s="71"/>
      <c r="N104" s="71" t="str">
        <f ca="1">IF(H104="","",IF(D104="usdt",H104,IF(C104="Binance",VLOOKUP(E104,'Курсы Бинанса'!B:C,2,FALSE),IF(C104="bybit",VLOOKUP(E104,'Курсы Bybit'!B:C,2,FALSE),IF(C104="OKX",VLOOKUP(E104,'Курсы OKX'!A:D,4,FALSE),IF(C104="huobi",VLOOKUP(E104,'Курсы Huobi'!B:C,2,FALSE),"! укажите биржу"))))))</f>
        <v/>
      </c>
      <c r="O104" s="71" t="str">
        <f t="shared" si="7"/>
        <v/>
      </c>
      <c r="P104" s="71" t="str">
        <f t="shared" si="8"/>
        <v/>
      </c>
      <c r="Q104" s="75" t="str">
        <f t="shared" si="9"/>
        <v/>
      </c>
      <c r="R104" s="76"/>
    </row>
    <row r="105" spans="1:18" ht="14.25" customHeight="1">
      <c r="A105" s="67"/>
      <c r="B105" s="68"/>
      <c r="C105" s="69"/>
      <c r="D105" s="69" t="str">
        <f ca="1">IF(B105="","",VLOOKUP('Журнал Закупок'!$B105,'СТ Криптовалюта'!B:C,2,0))</f>
        <v/>
      </c>
      <c r="E105" s="68" t="str">
        <f t="shared" si="5"/>
        <v/>
      </c>
      <c r="F105" s="70"/>
      <c r="G105" s="71"/>
      <c r="H105" s="71"/>
      <c r="I105" s="71" t="str">
        <f t="shared" si="6"/>
        <v/>
      </c>
      <c r="J105" s="71" t="e">
        <f ca="1">IFERROR(__xludf.DUMMYFUNCTION("IF(I105="""","""",IMPORTXML(""http://www.cbr.ru/scripts/XML_daily.asp?date_req=""&amp;TEXT(A105,""DD/MM/YYYY""), ""//ValCurs/Valute[CharCode=""""USD""""]/Value"")*I105)"),"")</f>
        <v>#NAME?</v>
      </c>
      <c r="K105" s="71"/>
      <c r="L105" s="71"/>
      <c r="M105" s="71"/>
      <c r="N105" s="71" t="str">
        <f ca="1">IF(H105="","",IF(D105="usdt",H105,IF(C105="Binance",VLOOKUP(E105,'Курсы Бинанса'!B:C,2,FALSE),IF(C105="bybit",VLOOKUP(E105,'Курсы Bybit'!B:C,2,FALSE),IF(C105="OKX",VLOOKUP(E105,'Курсы OKX'!A:D,4,FALSE),IF(C105="huobi",VLOOKUP(E105,'Курсы Huobi'!B:C,2,FALSE),"! укажите биржу"))))))</f>
        <v/>
      </c>
      <c r="O105" s="71" t="str">
        <f t="shared" si="7"/>
        <v/>
      </c>
      <c r="P105" s="71" t="str">
        <f t="shared" si="8"/>
        <v/>
      </c>
      <c r="Q105" s="75" t="str">
        <f t="shared" si="9"/>
        <v/>
      </c>
      <c r="R105" s="76"/>
    </row>
    <row r="106" spans="1:18" ht="14.25" customHeight="1">
      <c r="A106" s="67"/>
      <c r="B106" s="68"/>
      <c r="C106" s="69"/>
      <c r="D106" s="69" t="str">
        <f ca="1">IF(B106="","",VLOOKUP('Журнал Закупок'!$B106,'СТ Криптовалюта'!B:C,2,0))</f>
        <v/>
      </c>
      <c r="E106" s="68" t="str">
        <f t="shared" si="5"/>
        <v/>
      </c>
      <c r="F106" s="70"/>
      <c r="G106" s="71"/>
      <c r="H106" s="71"/>
      <c r="I106" s="71" t="str">
        <f t="shared" si="6"/>
        <v/>
      </c>
      <c r="J106" s="71" t="e">
        <f ca="1">IFERROR(__xludf.DUMMYFUNCTION("IF(I106="""","""",IMPORTXML(""http://www.cbr.ru/scripts/XML_daily.asp?date_req=""&amp;TEXT(A106,""DD/MM/YYYY""), ""//ValCurs/Valute[CharCode=""""USD""""]/Value"")*I106)"),"")</f>
        <v>#NAME?</v>
      </c>
      <c r="K106" s="71"/>
      <c r="L106" s="71"/>
      <c r="M106" s="71"/>
      <c r="N106" s="71" t="str">
        <f ca="1">IF(H106="","",IF(D106="usdt",H106,IF(C106="Binance",VLOOKUP(E106,'Курсы Бинанса'!B:C,2,FALSE),IF(C106="bybit",VLOOKUP(E106,'Курсы Bybit'!B:C,2,FALSE),IF(C106="OKX",VLOOKUP(E106,'Курсы OKX'!A:D,4,FALSE),IF(C106="huobi",VLOOKUP(E106,'Курсы Huobi'!B:C,2,FALSE),"! укажите биржу"))))))</f>
        <v/>
      </c>
      <c r="O106" s="71" t="str">
        <f t="shared" si="7"/>
        <v/>
      </c>
      <c r="P106" s="71" t="str">
        <f t="shared" si="8"/>
        <v/>
      </c>
      <c r="Q106" s="75" t="str">
        <f t="shared" si="9"/>
        <v/>
      </c>
      <c r="R106" s="76"/>
    </row>
    <row r="107" spans="1:18" ht="14.25" customHeight="1">
      <c r="A107" s="67"/>
      <c r="B107" s="68"/>
      <c r="C107" s="69"/>
      <c r="D107" s="69" t="str">
        <f ca="1">IF(B107="","",VLOOKUP('Журнал Закупок'!$B107,'СТ Криптовалюта'!B:C,2,0))</f>
        <v/>
      </c>
      <c r="E107" s="68" t="str">
        <f t="shared" si="5"/>
        <v/>
      </c>
      <c r="F107" s="70"/>
      <c r="G107" s="71"/>
      <c r="H107" s="71"/>
      <c r="I107" s="71" t="str">
        <f t="shared" si="6"/>
        <v/>
      </c>
      <c r="J107" s="71" t="e">
        <f ca="1">IFERROR(__xludf.DUMMYFUNCTION("IF(I107="""","""",IMPORTXML(""http://www.cbr.ru/scripts/XML_daily.asp?date_req=""&amp;TEXT(A107,""DD/MM/YYYY""), ""//ValCurs/Valute[CharCode=""""USD""""]/Value"")*I107)"),"")</f>
        <v>#NAME?</v>
      </c>
      <c r="K107" s="71"/>
      <c r="L107" s="71"/>
      <c r="M107" s="71"/>
      <c r="N107" s="71" t="str">
        <f ca="1">IF(H107="","",IF(D107="usdt",H107,IF(C107="Binance",VLOOKUP(E107,'Курсы Бинанса'!B:C,2,FALSE),IF(C107="bybit",VLOOKUP(E107,'Курсы Bybit'!B:C,2,FALSE),IF(C107="OKX",VLOOKUP(E107,'Курсы OKX'!A:D,4,FALSE),IF(C107="huobi",VLOOKUP(E107,'Курсы Huobi'!B:C,2,FALSE),"! укажите биржу"))))))</f>
        <v/>
      </c>
      <c r="O107" s="71" t="str">
        <f t="shared" si="7"/>
        <v/>
      </c>
      <c r="P107" s="71" t="str">
        <f t="shared" si="8"/>
        <v/>
      </c>
      <c r="Q107" s="75" t="str">
        <f t="shared" si="9"/>
        <v/>
      </c>
      <c r="R107" s="76"/>
    </row>
    <row r="108" spans="1:18" ht="14.25" customHeight="1">
      <c r="A108" s="67"/>
      <c r="B108" s="68"/>
      <c r="C108" s="69"/>
      <c r="D108" s="69" t="str">
        <f ca="1">IF(B108="","",VLOOKUP('Журнал Закупок'!$B108,'СТ Криптовалюта'!B:C,2,0))</f>
        <v/>
      </c>
      <c r="E108" s="68" t="str">
        <f t="shared" si="5"/>
        <v/>
      </c>
      <c r="F108" s="70"/>
      <c r="G108" s="71"/>
      <c r="H108" s="71"/>
      <c r="I108" s="71" t="str">
        <f t="shared" si="6"/>
        <v/>
      </c>
      <c r="J108" s="71" t="e">
        <f ca="1">IFERROR(__xludf.DUMMYFUNCTION("IF(I108="""","""",IMPORTXML(""http://www.cbr.ru/scripts/XML_daily.asp?date_req=""&amp;TEXT(A108,""DD/MM/YYYY""), ""//ValCurs/Valute[CharCode=""""USD""""]/Value"")*I108)"),"")</f>
        <v>#NAME?</v>
      </c>
      <c r="K108" s="71"/>
      <c r="L108" s="71"/>
      <c r="M108" s="71"/>
      <c r="N108" s="71" t="str">
        <f ca="1">IF(H108="","",IF(D108="usdt",H108,IF(C108="Binance",VLOOKUP(E108,'Курсы Бинанса'!B:C,2,FALSE),IF(C108="bybit",VLOOKUP(E108,'Курсы Bybit'!B:C,2,FALSE),IF(C108="OKX",VLOOKUP(E108,'Курсы OKX'!A:D,4,FALSE),IF(C108="huobi",VLOOKUP(E108,'Курсы Huobi'!B:C,2,FALSE),"! укажите биржу"))))))</f>
        <v/>
      </c>
      <c r="O108" s="71" t="str">
        <f t="shared" si="7"/>
        <v/>
      </c>
      <c r="P108" s="71" t="str">
        <f t="shared" si="8"/>
        <v/>
      </c>
      <c r="Q108" s="75" t="str">
        <f t="shared" si="9"/>
        <v/>
      </c>
      <c r="R108" s="76"/>
    </row>
    <row r="109" spans="1:18" ht="14.25" customHeight="1">
      <c r="A109" s="67"/>
      <c r="B109" s="68"/>
      <c r="C109" s="69"/>
      <c r="D109" s="69" t="str">
        <f ca="1">IF(B109="","",VLOOKUP('Журнал Закупок'!$B109,'СТ Криптовалюта'!B:C,2,0))</f>
        <v/>
      </c>
      <c r="E109" s="68" t="str">
        <f t="shared" si="5"/>
        <v/>
      </c>
      <c r="F109" s="70"/>
      <c r="G109" s="71"/>
      <c r="H109" s="71"/>
      <c r="I109" s="71" t="str">
        <f t="shared" si="6"/>
        <v/>
      </c>
      <c r="J109" s="71" t="e">
        <f ca="1">IFERROR(__xludf.DUMMYFUNCTION("IF(I109="""","""",IMPORTXML(""http://www.cbr.ru/scripts/XML_daily.asp?date_req=""&amp;TEXT(A109,""DD/MM/YYYY""), ""//ValCurs/Valute[CharCode=""""USD""""]/Value"")*I109)"),"")</f>
        <v>#NAME?</v>
      </c>
      <c r="K109" s="71"/>
      <c r="L109" s="71"/>
      <c r="M109" s="71"/>
      <c r="N109" s="71" t="str">
        <f ca="1">IF(H109="","",IF(D109="usdt",H109,IF(C109="Binance",VLOOKUP(E109,'Курсы Бинанса'!B:C,2,FALSE),IF(C109="bybit",VLOOKUP(E109,'Курсы Bybit'!B:C,2,FALSE),IF(C109="OKX",VLOOKUP(E109,'Курсы OKX'!A:D,4,FALSE),IF(C109="huobi",VLOOKUP(E109,'Курсы Huobi'!B:C,2,FALSE),"! укажите биржу"))))))</f>
        <v/>
      </c>
      <c r="O109" s="71" t="str">
        <f t="shared" si="7"/>
        <v/>
      </c>
      <c r="P109" s="71" t="str">
        <f t="shared" si="8"/>
        <v/>
      </c>
      <c r="Q109" s="75" t="str">
        <f t="shared" si="9"/>
        <v/>
      </c>
      <c r="R109" s="76"/>
    </row>
    <row r="110" spans="1:18" ht="14.25" customHeight="1">
      <c r="A110" s="67"/>
      <c r="B110" s="68"/>
      <c r="C110" s="69"/>
      <c r="D110" s="69" t="str">
        <f ca="1">IF(B110="","",VLOOKUP('Журнал Закупок'!$B110,'СТ Криптовалюта'!B:C,2,0))</f>
        <v/>
      </c>
      <c r="E110" s="68" t="str">
        <f t="shared" ref="E110:E173" si="10">IF(D110="","",CONCATENATE(D110,"USDT"))</f>
        <v/>
      </c>
      <c r="F110" s="70"/>
      <c r="G110" s="71"/>
      <c r="H110" s="71"/>
      <c r="I110" s="71" t="str">
        <f t="shared" ref="I110:I173" si="11">IF(H110="","",ROUND(G110*H110,5))</f>
        <v/>
      </c>
      <c r="J110" s="71" t="e">
        <f ca="1">IFERROR(__xludf.DUMMYFUNCTION("IF(I110="""","""",IMPORTXML(""http://www.cbr.ru/scripts/XML_daily.asp?date_req=""&amp;TEXT(A110,""DD/MM/YYYY""), ""//ValCurs/Valute[CharCode=""""USD""""]/Value"")*I110)"),"")</f>
        <v>#NAME?</v>
      </c>
      <c r="K110" s="71"/>
      <c r="L110" s="71"/>
      <c r="M110" s="71"/>
      <c r="N110" s="71" t="str">
        <f ca="1">IF(H110="","",IF(D110="usdt",H110,IF(C110="Binance",VLOOKUP(E110,'Курсы Бинанса'!B:C,2,FALSE),IF(C110="bybit",VLOOKUP(E110,'Курсы Bybit'!B:C,2,FALSE),IF(C110="OKX",VLOOKUP(E110,'Курсы OKX'!A:D,4,FALSE),IF(C110="huobi",VLOOKUP(E110,'Курсы Huobi'!B:C,2,FALSE),"! укажите биржу"))))))</f>
        <v/>
      </c>
      <c r="O110" s="71" t="str">
        <f t="shared" ref="O110:O173" si="12">IF(N110="! укажите биржу","",IF(N110="","",N110*G110))</f>
        <v/>
      </c>
      <c r="P110" s="71" t="str">
        <f t="shared" ref="P110:P173" si="13">IF(N110="","",IF(N110="! укажите биржу","",ROUND(O110-I110,2)))</f>
        <v/>
      </c>
      <c r="Q110" s="75" t="str">
        <f t="shared" ref="Q110:Q173" si="14">IF(P110="","",ROUND(IFERROR((O110-I110)/I110,2),5))</f>
        <v/>
      </c>
      <c r="R110" s="76"/>
    </row>
    <row r="111" spans="1:18" ht="14.25" customHeight="1">
      <c r="A111" s="67"/>
      <c r="B111" s="68"/>
      <c r="C111" s="69"/>
      <c r="D111" s="69" t="str">
        <f ca="1">IF(B111="","",VLOOKUP('Журнал Закупок'!$B111,'СТ Криптовалюта'!B:C,2,0))</f>
        <v/>
      </c>
      <c r="E111" s="68" t="str">
        <f t="shared" si="10"/>
        <v/>
      </c>
      <c r="F111" s="70"/>
      <c r="G111" s="71"/>
      <c r="H111" s="71"/>
      <c r="I111" s="71" t="str">
        <f t="shared" si="11"/>
        <v/>
      </c>
      <c r="J111" s="71" t="e">
        <f ca="1">IFERROR(__xludf.DUMMYFUNCTION("IF(I111="""","""",IMPORTXML(""http://www.cbr.ru/scripts/XML_daily.asp?date_req=""&amp;TEXT(A111,""DD/MM/YYYY""), ""//ValCurs/Valute[CharCode=""""USD""""]/Value"")*I111)"),"")</f>
        <v>#NAME?</v>
      </c>
      <c r="K111" s="71"/>
      <c r="L111" s="71"/>
      <c r="M111" s="71"/>
      <c r="N111" s="71" t="str">
        <f ca="1">IF(H111="","",IF(D111="usdt",H111,IF(C111="Binance",VLOOKUP(E111,'Курсы Бинанса'!B:C,2,FALSE),IF(C111="bybit",VLOOKUP(E111,'Курсы Bybit'!B:C,2,FALSE),IF(C111="OKX",VLOOKUP(E111,'Курсы OKX'!A:D,4,FALSE),IF(C111="huobi",VLOOKUP(E111,'Курсы Huobi'!B:C,2,FALSE),"! укажите биржу"))))))</f>
        <v/>
      </c>
      <c r="O111" s="71" t="str">
        <f t="shared" si="12"/>
        <v/>
      </c>
      <c r="P111" s="71" t="str">
        <f t="shared" si="13"/>
        <v/>
      </c>
      <c r="Q111" s="75" t="str">
        <f t="shared" si="14"/>
        <v/>
      </c>
      <c r="R111" s="76"/>
    </row>
    <row r="112" spans="1:18" ht="14.25" customHeight="1">
      <c r="A112" s="67"/>
      <c r="B112" s="68"/>
      <c r="C112" s="69"/>
      <c r="D112" s="69" t="str">
        <f ca="1">IF(B112="","",VLOOKUP('Журнал Закупок'!$B112,'СТ Криптовалюта'!B:C,2,0))</f>
        <v/>
      </c>
      <c r="E112" s="68" t="str">
        <f t="shared" si="10"/>
        <v/>
      </c>
      <c r="F112" s="70"/>
      <c r="G112" s="71"/>
      <c r="H112" s="71"/>
      <c r="I112" s="71" t="str">
        <f t="shared" si="11"/>
        <v/>
      </c>
      <c r="J112" s="71" t="e">
        <f ca="1">IFERROR(__xludf.DUMMYFUNCTION("IF(I112="""","""",IMPORTXML(""http://www.cbr.ru/scripts/XML_daily.asp?date_req=""&amp;TEXT(A112,""DD/MM/YYYY""), ""//ValCurs/Valute[CharCode=""""USD""""]/Value"")*I112)"),"")</f>
        <v>#NAME?</v>
      </c>
      <c r="K112" s="71"/>
      <c r="L112" s="71"/>
      <c r="M112" s="71"/>
      <c r="N112" s="71" t="str">
        <f ca="1">IF(H112="","",IF(D112="usdt",H112,IF(C112="Binance",VLOOKUP(E112,'Курсы Бинанса'!B:C,2,FALSE),IF(C112="bybit",VLOOKUP(E112,'Курсы Bybit'!B:C,2,FALSE),IF(C112="OKX",VLOOKUP(E112,'Курсы OKX'!A:D,4,FALSE),IF(C112="huobi",VLOOKUP(E112,'Курсы Huobi'!B:C,2,FALSE),"! укажите биржу"))))))</f>
        <v/>
      </c>
      <c r="O112" s="71" t="str">
        <f t="shared" si="12"/>
        <v/>
      </c>
      <c r="P112" s="71" t="str">
        <f t="shared" si="13"/>
        <v/>
      </c>
      <c r="Q112" s="75" t="str">
        <f t="shared" si="14"/>
        <v/>
      </c>
      <c r="R112" s="76"/>
    </row>
    <row r="113" spans="1:18" ht="14.25" customHeight="1">
      <c r="A113" s="67"/>
      <c r="B113" s="68"/>
      <c r="C113" s="69"/>
      <c r="D113" s="69" t="str">
        <f ca="1">IF(B113="","",VLOOKUP('Журнал Закупок'!$B113,'СТ Криптовалюта'!B:C,2,0))</f>
        <v/>
      </c>
      <c r="E113" s="68" t="str">
        <f t="shared" si="10"/>
        <v/>
      </c>
      <c r="F113" s="70"/>
      <c r="G113" s="71"/>
      <c r="H113" s="71"/>
      <c r="I113" s="71" t="str">
        <f t="shared" si="11"/>
        <v/>
      </c>
      <c r="J113" s="71" t="e">
        <f ca="1">IFERROR(__xludf.DUMMYFUNCTION("IF(I113="""","""",IMPORTXML(""http://www.cbr.ru/scripts/XML_daily.asp?date_req=""&amp;TEXT(A113,""DD/MM/YYYY""), ""//ValCurs/Valute[CharCode=""""USD""""]/Value"")*I113)"),"")</f>
        <v>#NAME?</v>
      </c>
      <c r="K113" s="71"/>
      <c r="L113" s="71"/>
      <c r="M113" s="71"/>
      <c r="N113" s="71" t="str">
        <f ca="1">IF(H113="","",IF(D113="usdt",H113,IF(C113="Binance",VLOOKUP(E113,'Курсы Бинанса'!B:C,2,FALSE),IF(C113="bybit",VLOOKUP(E113,'Курсы Bybit'!B:C,2,FALSE),IF(C113="OKX",VLOOKUP(E113,'Курсы OKX'!A:D,4,FALSE),IF(C113="huobi",VLOOKUP(E113,'Курсы Huobi'!B:C,2,FALSE),"! укажите биржу"))))))</f>
        <v/>
      </c>
      <c r="O113" s="71" t="str">
        <f t="shared" si="12"/>
        <v/>
      </c>
      <c r="P113" s="71" t="str">
        <f t="shared" si="13"/>
        <v/>
      </c>
      <c r="Q113" s="75" t="str">
        <f t="shared" si="14"/>
        <v/>
      </c>
      <c r="R113" s="76"/>
    </row>
    <row r="114" spans="1:18" ht="14.25" customHeight="1">
      <c r="A114" s="67"/>
      <c r="B114" s="68"/>
      <c r="C114" s="69"/>
      <c r="D114" s="69" t="str">
        <f ca="1">IF(B114="","",VLOOKUP('Журнал Закупок'!$B114,'СТ Криптовалюта'!B:C,2,0))</f>
        <v/>
      </c>
      <c r="E114" s="68" t="str">
        <f t="shared" si="10"/>
        <v/>
      </c>
      <c r="F114" s="70"/>
      <c r="G114" s="71"/>
      <c r="H114" s="71"/>
      <c r="I114" s="71" t="str">
        <f t="shared" si="11"/>
        <v/>
      </c>
      <c r="J114" s="71" t="e">
        <f ca="1">IFERROR(__xludf.DUMMYFUNCTION("IF(I114="""","""",IMPORTXML(""http://www.cbr.ru/scripts/XML_daily.asp?date_req=""&amp;TEXT(A114,""DD/MM/YYYY""), ""//ValCurs/Valute[CharCode=""""USD""""]/Value"")*I114)"),"")</f>
        <v>#NAME?</v>
      </c>
      <c r="K114" s="71"/>
      <c r="L114" s="71"/>
      <c r="M114" s="71"/>
      <c r="N114" s="71" t="str">
        <f ca="1">IF(H114="","",IF(D114="usdt",H114,IF(C114="Binance",VLOOKUP(E114,'Курсы Бинанса'!B:C,2,FALSE),IF(C114="bybit",VLOOKUP(E114,'Курсы Bybit'!B:C,2,FALSE),IF(C114="OKX",VLOOKUP(E114,'Курсы OKX'!A:D,4,FALSE),IF(C114="huobi",VLOOKUP(E114,'Курсы Huobi'!B:C,2,FALSE),"! укажите биржу"))))))</f>
        <v/>
      </c>
      <c r="O114" s="71" t="str">
        <f t="shared" si="12"/>
        <v/>
      </c>
      <c r="P114" s="71" t="str">
        <f t="shared" si="13"/>
        <v/>
      </c>
      <c r="Q114" s="75" t="str">
        <f t="shared" si="14"/>
        <v/>
      </c>
      <c r="R114" s="76"/>
    </row>
    <row r="115" spans="1:18" ht="14.25" customHeight="1">
      <c r="A115" s="67"/>
      <c r="B115" s="68"/>
      <c r="C115" s="69"/>
      <c r="D115" s="69" t="str">
        <f ca="1">IF(B115="","",VLOOKUP('Журнал Закупок'!$B115,'СТ Криптовалюта'!B:C,2,0))</f>
        <v/>
      </c>
      <c r="E115" s="68" t="str">
        <f t="shared" si="10"/>
        <v/>
      </c>
      <c r="F115" s="70"/>
      <c r="G115" s="71"/>
      <c r="H115" s="71"/>
      <c r="I115" s="71" t="str">
        <f t="shared" si="11"/>
        <v/>
      </c>
      <c r="J115" s="71" t="e">
        <f ca="1">IFERROR(__xludf.DUMMYFUNCTION("IF(I115="""","""",IMPORTXML(""http://www.cbr.ru/scripts/XML_daily.asp?date_req=""&amp;TEXT(A115,""DD/MM/YYYY""), ""//ValCurs/Valute[CharCode=""""USD""""]/Value"")*I115)"),"")</f>
        <v>#NAME?</v>
      </c>
      <c r="K115" s="71"/>
      <c r="L115" s="71"/>
      <c r="M115" s="71"/>
      <c r="N115" s="71" t="str">
        <f ca="1">IF(H115="","",IF(D115="usdt",H115,IF(C115="Binance",VLOOKUP(E115,'Курсы Бинанса'!B:C,2,FALSE),IF(C115="bybit",VLOOKUP(E115,'Курсы Bybit'!B:C,2,FALSE),IF(C115="OKX",VLOOKUP(E115,'Курсы OKX'!A:D,4,FALSE),IF(C115="huobi",VLOOKUP(E115,'Курсы Huobi'!B:C,2,FALSE),"! укажите биржу"))))))</f>
        <v/>
      </c>
      <c r="O115" s="71" t="str">
        <f t="shared" si="12"/>
        <v/>
      </c>
      <c r="P115" s="71" t="str">
        <f t="shared" si="13"/>
        <v/>
      </c>
      <c r="Q115" s="75" t="str">
        <f t="shared" si="14"/>
        <v/>
      </c>
      <c r="R115" s="76"/>
    </row>
    <row r="116" spans="1:18" ht="14.25" customHeight="1">
      <c r="A116" s="67"/>
      <c r="B116" s="68"/>
      <c r="C116" s="69"/>
      <c r="D116" s="69" t="str">
        <f ca="1">IF(B116="","",VLOOKUP('Журнал Закупок'!$B116,'СТ Криптовалюта'!B:C,2,0))</f>
        <v/>
      </c>
      <c r="E116" s="68" t="str">
        <f t="shared" si="10"/>
        <v/>
      </c>
      <c r="F116" s="70"/>
      <c r="G116" s="71"/>
      <c r="H116" s="71"/>
      <c r="I116" s="71" t="str">
        <f t="shared" si="11"/>
        <v/>
      </c>
      <c r="J116" s="71" t="e">
        <f ca="1">IFERROR(__xludf.DUMMYFUNCTION("IF(I116="""","""",IMPORTXML(""http://www.cbr.ru/scripts/XML_daily.asp?date_req=""&amp;TEXT(A116,""DD/MM/YYYY""), ""//ValCurs/Valute[CharCode=""""USD""""]/Value"")*I116)"),"")</f>
        <v>#NAME?</v>
      </c>
      <c r="K116" s="71"/>
      <c r="L116" s="71"/>
      <c r="M116" s="71"/>
      <c r="N116" s="71" t="str">
        <f ca="1">IF(H116="","",IF(D116="usdt",H116,IF(C116="Binance",VLOOKUP(E116,'Курсы Бинанса'!B:C,2,FALSE),IF(C116="bybit",VLOOKUP(E116,'Курсы Bybit'!B:C,2,FALSE),IF(C116="OKX",VLOOKUP(E116,'Курсы OKX'!A:D,4,FALSE),IF(C116="huobi",VLOOKUP(E116,'Курсы Huobi'!B:C,2,FALSE),"! укажите биржу"))))))</f>
        <v/>
      </c>
      <c r="O116" s="71" t="str">
        <f t="shared" si="12"/>
        <v/>
      </c>
      <c r="P116" s="71" t="str">
        <f t="shared" si="13"/>
        <v/>
      </c>
      <c r="Q116" s="75" t="str">
        <f t="shared" si="14"/>
        <v/>
      </c>
      <c r="R116" s="76"/>
    </row>
    <row r="117" spans="1:18" ht="14.25" customHeight="1">
      <c r="A117" s="67"/>
      <c r="B117" s="68"/>
      <c r="C117" s="69"/>
      <c r="D117" s="69" t="str">
        <f ca="1">IF(B117="","",VLOOKUP('Журнал Закупок'!$B117,'СТ Криптовалюта'!B:C,2,0))</f>
        <v/>
      </c>
      <c r="E117" s="68" t="str">
        <f t="shared" si="10"/>
        <v/>
      </c>
      <c r="F117" s="70"/>
      <c r="G117" s="71"/>
      <c r="H117" s="71"/>
      <c r="I117" s="71" t="str">
        <f t="shared" si="11"/>
        <v/>
      </c>
      <c r="J117" s="71" t="e">
        <f ca="1">IFERROR(__xludf.DUMMYFUNCTION("IF(I117="""","""",IMPORTXML(""http://www.cbr.ru/scripts/XML_daily.asp?date_req=""&amp;TEXT(A117,""DD/MM/YYYY""), ""//ValCurs/Valute[CharCode=""""USD""""]/Value"")*I117)"),"")</f>
        <v>#NAME?</v>
      </c>
      <c r="K117" s="71"/>
      <c r="L117" s="71"/>
      <c r="M117" s="71"/>
      <c r="N117" s="71" t="str">
        <f ca="1">IF(H117="","",IF(D117="usdt",H117,IF(C117="Binance",VLOOKUP(E117,'Курсы Бинанса'!B:C,2,FALSE),IF(C117="bybit",VLOOKUP(E117,'Курсы Bybit'!B:C,2,FALSE),IF(C117="OKX",VLOOKUP(E117,'Курсы OKX'!A:D,4,FALSE),IF(C117="huobi",VLOOKUP(E117,'Курсы Huobi'!B:C,2,FALSE),"! укажите биржу"))))))</f>
        <v/>
      </c>
      <c r="O117" s="71" t="str">
        <f t="shared" si="12"/>
        <v/>
      </c>
      <c r="P117" s="71" t="str">
        <f t="shared" si="13"/>
        <v/>
      </c>
      <c r="Q117" s="75" t="str">
        <f t="shared" si="14"/>
        <v/>
      </c>
      <c r="R117" s="76"/>
    </row>
    <row r="118" spans="1:18" ht="14.25" customHeight="1">
      <c r="A118" s="67"/>
      <c r="B118" s="68"/>
      <c r="C118" s="69"/>
      <c r="D118" s="69" t="str">
        <f ca="1">IF(B118="","",VLOOKUP('Журнал Закупок'!$B118,'СТ Криптовалюта'!B:C,2,0))</f>
        <v/>
      </c>
      <c r="E118" s="68" t="str">
        <f t="shared" si="10"/>
        <v/>
      </c>
      <c r="F118" s="70"/>
      <c r="G118" s="71"/>
      <c r="H118" s="71"/>
      <c r="I118" s="71" t="str">
        <f t="shared" si="11"/>
        <v/>
      </c>
      <c r="J118" s="71" t="e">
        <f ca="1">IFERROR(__xludf.DUMMYFUNCTION("IF(I118="""","""",IMPORTXML(""http://www.cbr.ru/scripts/XML_daily.asp?date_req=""&amp;TEXT(A118,""DD/MM/YYYY""), ""//ValCurs/Valute[CharCode=""""USD""""]/Value"")*I118)"),"")</f>
        <v>#NAME?</v>
      </c>
      <c r="K118" s="71"/>
      <c r="L118" s="71"/>
      <c r="M118" s="71"/>
      <c r="N118" s="71" t="str">
        <f ca="1">IF(H118="","",IF(D118="usdt",H118,IF(C118="Binance",VLOOKUP(E118,'Курсы Бинанса'!B:C,2,FALSE),IF(C118="bybit",VLOOKUP(E118,'Курсы Bybit'!B:C,2,FALSE),IF(C118="OKX",VLOOKUP(E118,'Курсы OKX'!A:D,4,FALSE),IF(C118="huobi",VLOOKUP(E118,'Курсы Huobi'!B:C,2,FALSE),"! укажите биржу"))))))</f>
        <v/>
      </c>
      <c r="O118" s="71" t="str">
        <f t="shared" si="12"/>
        <v/>
      </c>
      <c r="P118" s="71" t="str">
        <f t="shared" si="13"/>
        <v/>
      </c>
      <c r="Q118" s="75" t="str">
        <f t="shared" si="14"/>
        <v/>
      </c>
      <c r="R118" s="76"/>
    </row>
    <row r="119" spans="1:18" ht="14.25" customHeight="1">
      <c r="A119" s="67"/>
      <c r="B119" s="68"/>
      <c r="C119" s="69"/>
      <c r="D119" s="69" t="str">
        <f ca="1">IF(B119="","",VLOOKUP('Журнал Закупок'!$B119,'СТ Криптовалюта'!B:C,2,0))</f>
        <v/>
      </c>
      <c r="E119" s="68" t="str">
        <f t="shared" si="10"/>
        <v/>
      </c>
      <c r="F119" s="70"/>
      <c r="G119" s="71"/>
      <c r="H119" s="71"/>
      <c r="I119" s="71" t="str">
        <f t="shared" si="11"/>
        <v/>
      </c>
      <c r="J119" s="71" t="e">
        <f ca="1">IFERROR(__xludf.DUMMYFUNCTION("IF(I119="""","""",IMPORTXML(""http://www.cbr.ru/scripts/XML_daily.asp?date_req=""&amp;TEXT(A119,""DD/MM/YYYY""), ""//ValCurs/Valute[CharCode=""""USD""""]/Value"")*I119)"),"")</f>
        <v>#NAME?</v>
      </c>
      <c r="K119" s="71"/>
      <c r="L119" s="71"/>
      <c r="M119" s="71"/>
      <c r="N119" s="71" t="str">
        <f ca="1">IF(H119="","",IF(D119="usdt",H119,IF(C119="Binance",VLOOKUP(E119,'Курсы Бинанса'!B:C,2,FALSE),IF(C119="bybit",VLOOKUP(E119,'Курсы Bybit'!B:C,2,FALSE),IF(C119="OKX",VLOOKUP(E119,'Курсы OKX'!A:D,4,FALSE),IF(C119="huobi",VLOOKUP(E119,'Курсы Huobi'!B:C,2,FALSE),"! укажите биржу"))))))</f>
        <v/>
      </c>
      <c r="O119" s="71" t="str">
        <f t="shared" si="12"/>
        <v/>
      </c>
      <c r="P119" s="71" t="str">
        <f t="shared" si="13"/>
        <v/>
      </c>
      <c r="Q119" s="75" t="str">
        <f t="shared" si="14"/>
        <v/>
      </c>
      <c r="R119" s="76"/>
    </row>
    <row r="120" spans="1:18" ht="14.25" customHeight="1">
      <c r="A120" s="67"/>
      <c r="B120" s="68"/>
      <c r="C120" s="69"/>
      <c r="D120" s="69" t="str">
        <f ca="1">IF(B120="","",VLOOKUP('Журнал Закупок'!$B120,'СТ Криптовалюта'!B:C,2,0))</f>
        <v/>
      </c>
      <c r="E120" s="68" t="str">
        <f t="shared" si="10"/>
        <v/>
      </c>
      <c r="F120" s="70"/>
      <c r="G120" s="71"/>
      <c r="H120" s="71"/>
      <c r="I120" s="71" t="str">
        <f t="shared" si="11"/>
        <v/>
      </c>
      <c r="J120" s="71" t="e">
        <f ca="1">IFERROR(__xludf.DUMMYFUNCTION("IF(I120="""","""",IMPORTXML(""http://www.cbr.ru/scripts/XML_daily.asp?date_req=""&amp;TEXT(A120,""DD/MM/YYYY""), ""//ValCurs/Valute[CharCode=""""USD""""]/Value"")*I120)"),"")</f>
        <v>#NAME?</v>
      </c>
      <c r="K120" s="71"/>
      <c r="L120" s="71"/>
      <c r="M120" s="71"/>
      <c r="N120" s="71" t="str">
        <f ca="1">IF(H120="","",IF(D120="usdt",H120,IF(C120="Binance",VLOOKUP(E120,'Курсы Бинанса'!B:C,2,FALSE),IF(C120="bybit",VLOOKUP(E120,'Курсы Bybit'!B:C,2,FALSE),IF(C120="OKX",VLOOKUP(E120,'Курсы OKX'!A:D,4,FALSE),IF(C120="huobi",VLOOKUP(E120,'Курсы Huobi'!B:C,2,FALSE),"! укажите биржу"))))))</f>
        <v/>
      </c>
      <c r="O120" s="71" t="str">
        <f t="shared" si="12"/>
        <v/>
      </c>
      <c r="P120" s="71" t="str">
        <f t="shared" si="13"/>
        <v/>
      </c>
      <c r="Q120" s="75" t="str">
        <f t="shared" si="14"/>
        <v/>
      </c>
      <c r="R120" s="76"/>
    </row>
    <row r="121" spans="1:18" ht="14.25" customHeight="1">
      <c r="A121" s="67"/>
      <c r="B121" s="68"/>
      <c r="C121" s="69"/>
      <c r="D121" s="69" t="str">
        <f ca="1">IF(B121="","",VLOOKUP('Журнал Закупок'!$B121,'СТ Криптовалюта'!B:C,2,0))</f>
        <v/>
      </c>
      <c r="E121" s="68" t="str">
        <f t="shared" si="10"/>
        <v/>
      </c>
      <c r="F121" s="70"/>
      <c r="G121" s="71"/>
      <c r="H121" s="71"/>
      <c r="I121" s="71" t="str">
        <f t="shared" si="11"/>
        <v/>
      </c>
      <c r="J121" s="71" t="e">
        <f ca="1">IFERROR(__xludf.DUMMYFUNCTION("IF(I121="""","""",IMPORTXML(""http://www.cbr.ru/scripts/XML_daily.asp?date_req=""&amp;TEXT(A121,""DD/MM/YYYY""), ""//ValCurs/Valute[CharCode=""""USD""""]/Value"")*I121)"),"")</f>
        <v>#NAME?</v>
      </c>
      <c r="K121" s="71"/>
      <c r="L121" s="71"/>
      <c r="M121" s="71"/>
      <c r="N121" s="71" t="str">
        <f ca="1">IF(H121="","",IF(D121="usdt",H121,IF(C121="Binance",VLOOKUP(E121,'Курсы Бинанса'!B:C,2,FALSE),IF(C121="bybit",VLOOKUP(E121,'Курсы Bybit'!B:C,2,FALSE),IF(C121="OKX",VLOOKUP(E121,'Курсы OKX'!A:D,4,FALSE),IF(C121="huobi",VLOOKUP(E121,'Курсы Huobi'!B:C,2,FALSE),"! укажите биржу"))))))</f>
        <v/>
      </c>
      <c r="O121" s="71" t="str">
        <f t="shared" si="12"/>
        <v/>
      </c>
      <c r="P121" s="71" t="str">
        <f t="shared" si="13"/>
        <v/>
      </c>
      <c r="Q121" s="75" t="str">
        <f t="shared" si="14"/>
        <v/>
      </c>
      <c r="R121" s="76"/>
    </row>
    <row r="122" spans="1:18" ht="14.25" customHeight="1">
      <c r="A122" s="67"/>
      <c r="B122" s="68"/>
      <c r="C122" s="69"/>
      <c r="D122" s="69" t="str">
        <f ca="1">IF(B122="","",VLOOKUP('Журнал Закупок'!$B122,'СТ Криптовалюта'!B:C,2,0))</f>
        <v/>
      </c>
      <c r="E122" s="68" t="str">
        <f t="shared" si="10"/>
        <v/>
      </c>
      <c r="F122" s="70"/>
      <c r="G122" s="71"/>
      <c r="H122" s="71"/>
      <c r="I122" s="71" t="str">
        <f t="shared" si="11"/>
        <v/>
      </c>
      <c r="J122" s="71" t="e">
        <f ca="1">IFERROR(__xludf.DUMMYFUNCTION("IF(I122="""","""",IMPORTXML(""http://www.cbr.ru/scripts/XML_daily.asp?date_req=""&amp;TEXT(A122,""DD/MM/YYYY""), ""//ValCurs/Valute[CharCode=""""USD""""]/Value"")*I122)"),"")</f>
        <v>#NAME?</v>
      </c>
      <c r="K122" s="71"/>
      <c r="L122" s="71"/>
      <c r="M122" s="71"/>
      <c r="N122" s="71" t="str">
        <f ca="1">IF(H122="","",IF(D122="usdt",H122,IF(C122="Binance",VLOOKUP(E122,'Курсы Бинанса'!B:C,2,FALSE),IF(C122="bybit",VLOOKUP(E122,'Курсы Bybit'!B:C,2,FALSE),IF(C122="OKX",VLOOKUP(E122,'Курсы OKX'!A:D,4,FALSE),IF(C122="huobi",VLOOKUP(E122,'Курсы Huobi'!B:C,2,FALSE),"! укажите биржу"))))))</f>
        <v/>
      </c>
      <c r="O122" s="71" t="str">
        <f t="shared" si="12"/>
        <v/>
      </c>
      <c r="P122" s="71" t="str">
        <f t="shared" si="13"/>
        <v/>
      </c>
      <c r="Q122" s="75" t="str">
        <f t="shared" si="14"/>
        <v/>
      </c>
      <c r="R122" s="76"/>
    </row>
    <row r="123" spans="1:18" ht="14.25" customHeight="1">
      <c r="A123" s="67"/>
      <c r="B123" s="68"/>
      <c r="C123" s="69"/>
      <c r="D123" s="69" t="str">
        <f ca="1">IF(B123="","",VLOOKUP('Журнал Закупок'!$B123,'СТ Криптовалюта'!B:C,2,0))</f>
        <v/>
      </c>
      <c r="E123" s="68" t="str">
        <f t="shared" si="10"/>
        <v/>
      </c>
      <c r="F123" s="70"/>
      <c r="G123" s="71"/>
      <c r="H123" s="71"/>
      <c r="I123" s="71" t="str">
        <f t="shared" si="11"/>
        <v/>
      </c>
      <c r="J123" s="71" t="e">
        <f ca="1">IFERROR(__xludf.DUMMYFUNCTION("IF(I123="""","""",IMPORTXML(""http://www.cbr.ru/scripts/XML_daily.asp?date_req=""&amp;TEXT(A123,""DD/MM/YYYY""), ""//ValCurs/Valute[CharCode=""""USD""""]/Value"")*I123)"),"")</f>
        <v>#NAME?</v>
      </c>
      <c r="K123" s="71"/>
      <c r="L123" s="71"/>
      <c r="M123" s="71"/>
      <c r="N123" s="71" t="str">
        <f ca="1">IF(H123="","",IF(D123="usdt",H123,IF(C123="Binance",VLOOKUP(E123,'Курсы Бинанса'!B:C,2,FALSE),IF(C123="bybit",VLOOKUP(E123,'Курсы Bybit'!B:C,2,FALSE),IF(C123="OKX",VLOOKUP(E123,'Курсы OKX'!A:D,4,FALSE),IF(C123="huobi",VLOOKUP(E123,'Курсы Huobi'!B:C,2,FALSE),"! укажите биржу"))))))</f>
        <v/>
      </c>
      <c r="O123" s="71" t="str">
        <f t="shared" si="12"/>
        <v/>
      </c>
      <c r="P123" s="71" t="str">
        <f t="shared" si="13"/>
        <v/>
      </c>
      <c r="Q123" s="75" t="str">
        <f t="shared" si="14"/>
        <v/>
      </c>
      <c r="R123" s="76"/>
    </row>
    <row r="124" spans="1:18" ht="14.25" customHeight="1">
      <c r="A124" s="67"/>
      <c r="B124" s="68"/>
      <c r="C124" s="69"/>
      <c r="D124" s="69" t="str">
        <f ca="1">IF(B124="","",VLOOKUP('Журнал Закупок'!$B124,'СТ Криптовалюта'!B:C,2,0))</f>
        <v/>
      </c>
      <c r="E124" s="68" t="str">
        <f t="shared" si="10"/>
        <v/>
      </c>
      <c r="F124" s="70"/>
      <c r="G124" s="71"/>
      <c r="H124" s="71"/>
      <c r="I124" s="71" t="str">
        <f t="shared" si="11"/>
        <v/>
      </c>
      <c r="J124" s="71" t="e">
        <f ca="1">IFERROR(__xludf.DUMMYFUNCTION("IF(I124="""","""",IMPORTXML(""http://www.cbr.ru/scripts/XML_daily.asp?date_req=""&amp;TEXT(A124,""DD/MM/YYYY""), ""//ValCurs/Valute[CharCode=""""USD""""]/Value"")*I124)"),"")</f>
        <v>#NAME?</v>
      </c>
      <c r="K124" s="71"/>
      <c r="L124" s="71"/>
      <c r="M124" s="71"/>
      <c r="N124" s="71" t="str">
        <f ca="1">IF(H124="","",IF(D124="usdt",H124,IF(C124="Binance",VLOOKUP(E124,'Курсы Бинанса'!B:C,2,FALSE),IF(C124="bybit",VLOOKUP(E124,'Курсы Bybit'!B:C,2,FALSE),IF(C124="OKX",VLOOKUP(E124,'Курсы OKX'!A:D,4,FALSE),IF(C124="huobi",VLOOKUP(E124,'Курсы Huobi'!B:C,2,FALSE),"! укажите биржу"))))))</f>
        <v/>
      </c>
      <c r="O124" s="71" t="str">
        <f t="shared" si="12"/>
        <v/>
      </c>
      <c r="P124" s="71" t="str">
        <f t="shared" si="13"/>
        <v/>
      </c>
      <c r="Q124" s="75" t="str">
        <f t="shared" si="14"/>
        <v/>
      </c>
      <c r="R124" s="76"/>
    </row>
    <row r="125" spans="1:18" ht="14.25" customHeight="1">
      <c r="A125" s="67"/>
      <c r="B125" s="68"/>
      <c r="C125" s="69"/>
      <c r="D125" s="69" t="str">
        <f ca="1">IF(B125="","",VLOOKUP('Журнал Закупок'!$B125,'СТ Криптовалюта'!B:C,2,0))</f>
        <v/>
      </c>
      <c r="E125" s="68" t="str">
        <f t="shared" si="10"/>
        <v/>
      </c>
      <c r="F125" s="70"/>
      <c r="G125" s="71"/>
      <c r="H125" s="71"/>
      <c r="I125" s="71" t="str">
        <f t="shared" si="11"/>
        <v/>
      </c>
      <c r="J125" s="71" t="e">
        <f ca="1">IFERROR(__xludf.DUMMYFUNCTION("IF(I125="""","""",IMPORTXML(""http://www.cbr.ru/scripts/XML_daily.asp?date_req=""&amp;TEXT(A125,""DD/MM/YYYY""), ""//ValCurs/Valute[CharCode=""""USD""""]/Value"")*I125)"),"")</f>
        <v>#NAME?</v>
      </c>
      <c r="K125" s="71"/>
      <c r="L125" s="71"/>
      <c r="M125" s="71"/>
      <c r="N125" s="71" t="str">
        <f ca="1">IF(H125="","",IF(D125="usdt",H125,IF(C125="Binance",VLOOKUP(E125,'Курсы Бинанса'!B:C,2,FALSE),IF(C125="bybit",VLOOKUP(E125,'Курсы Bybit'!B:C,2,FALSE),IF(C125="OKX",VLOOKUP(E125,'Курсы OKX'!A:D,4,FALSE),IF(C125="huobi",VLOOKUP(E125,'Курсы Huobi'!B:C,2,FALSE),"! укажите биржу"))))))</f>
        <v/>
      </c>
      <c r="O125" s="71" t="str">
        <f t="shared" si="12"/>
        <v/>
      </c>
      <c r="P125" s="71" t="str">
        <f t="shared" si="13"/>
        <v/>
      </c>
      <c r="Q125" s="75" t="str">
        <f t="shared" si="14"/>
        <v/>
      </c>
      <c r="R125" s="76"/>
    </row>
    <row r="126" spans="1:18" ht="14.25" customHeight="1">
      <c r="A126" s="67"/>
      <c r="B126" s="68"/>
      <c r="C126" s="69"/>
      <c r="D126" s="69" t="str">
        <f ca="1">IF(B126="","",VLOOKUP('Журнал Закупок'!$B126,'СТ Криптовалюта'!B:C,2,0))</f>
        <v/>
      </c>
      <c r="E126" s="68" t="str">
        <f t="shared" si="10"/>
        <v/>
      </c>
      <c r="F126" s="70"/>
      <c r="G126" s="71"/>
      <c r="H126" s="71"/>
      <c r="I126" s="71" t="str">
        <f t="shared" si="11"/>
        <v/>
      </c>
      <c r="J126" s="71" t="e">
        <f ca="1">IFERROR(__xludf.DUMMYFUNCTION("IF(I126="""","""",IMPORTXML(""http://www.cbr.ru/scripts/XML_daily.asp?date_req=""&amp;TEXT(A126,""DD/MM/YYYY""), ""//ValCurs/Valute[CharCode=""""USD""""]/Value"")*I126)"),"")</f>
        <v>#NAME?</v>
      </c>
      <c r="K126" s="71"/>
      <c r="L126" s="71"/>
      <c r="M126" s="71"/>
      <c r="N126" s="71" t="str">
        <f ca="1">IF(H126="","",IF(D126="usdt",H126,IF(C126="Binance",VLOOKUP(E126,'Курсы Бинанса'!B:C,2,FALSE),IF(C126="bybit",VLOOKUP(E126,'Курсы Bybit'!B:C,2,FALSE),IF(C126="OKX",VLOOKUP(E126,'Курсы OKX'!A:D,4,FALSE),IF(C126="huobi",VLOOKUP(E126,'Курсы Huobi'!B:C,2,FALSE),"! укажите биржу"))))))</f>
        <v/>
      </c>
      <c r="O126" s="71" t="str">
        <f t="shared" si="12"/>
        <v/>
      </c>
      <c r="P126" s="71" t="str">
        <f t="shared" si="13"/>
        <v/>
      </c>
      <c r="Q126" s="75" t="str">
        <f t="shared" si="14"/>
        <v/>
      </c>
      <c r="R126" s="76"/>
    </row>
    <row r="127" spans="1:18" ht="14.25" customHeight="1">
      <c r="A127" s="67"/>
      <c r="B127" s="68"/>
      <c r="C127" s="69"/>
      <c r="D127" s="69" t="str">
        <f ca="1">IF(B127="","",VLOOKUP('Журнал Закупок'!$B127,'СТ Криптовалюта'!B:C,2,0))</f>
        <v/>
      </c>
      <c r="E127" s="68" t="str">
        <f t="shared" si="10"/>
        <v/>
      </c>
      <c r="F127" s="70"/>
      <c r="G127" s="71"/>
      <c r="H127" s="71"/>
      <c r="I127" s="71" t="str">
        <f t="shared" si="11"/>
        <v/>
      </c>
      <c r="J127" s="71" t="e">
        <f ca="1">IFERROR(__xludf.DUMMYFUNCTION("IF(I127="""","""",IMPORTXML(""http://www.cbr.ru/scripts/XML_daily.asp?date_req=""&amp;TEXT(A127,""DD/MM/YYYY""), ""//ValCurs/Valute[CharCode=""""USD""""]/Value"")*I127)"),"")</f>
        <v>#NAME?</v>
      </c>
      <c r="K127" s="71"/>
      <c r="L127" s="71"/>
      <c r="M127" s="71"/>
      <c r="N127" s="71" t="str">
        <f ca="1">IF(H127="","",IF(D127="usdt",H127,IF(C127="Binance",VLOOKUP(E127,'Курсы Бинанса'!B:C,2,FALSE),IF(C127="bybit",VLOOKUP(E127,'Курсы Bybit'!B:C,2,FALSE),IF(C127="OKX",VLOOKUP(E127,'Курсы OKX'!A:D,4,FALSE),IF(C127="huobi",VLOOKUP(E127,'Курсы Huobi'!B:C,2,FALSE),"! укажите биржу"))))))</f>
        <v/>
      </c>
      <c r="O127" s="71" t="str">
        <f t="shared" si="12"/>
        <v/>
      </c>
      <c r="P127" s="71" t="str">
        <f t="shared" si="13"/>
        <v/>
      </c>
      <c r="Q127" s="75" t="str">
        <f t="shared" si="14"/>
        <v/>
      </c>
      <c r="R127" s="76"/>
    </row>
    <row r="128" spans="1:18" ht="14.25" customHeight="1">
      <c r="A128" s="67"/>
      <c r="B128" s="68"/>
      <c r="C128" s="69"/>
      <c r="D128" s="69" t="str">
        <f ca="1">IF(B128="","",VLOOKUP('Журнал Закупок'!$B128,'СТ Криптовалюта'!B:C,2,0))</f>
        <v/>
      </c>
      <c r="E128" s="68" t="str">
        <f t="shared" si="10"/>
        <v/>
      </c>
      <c r="F128" s="70"/>
      <c r="G128" s="71"/>
      <c r="H128" s="71"/>
      <c r="I128" s="71" t="str">
        <f t="shared" si="11"/>
        <v/>
      </c>
      <c r="J128" s="71" t="e">
        <f ca="1">IFERROR(__xludf.DUMMYFUNCTION("IF(I128="""","""",IMPORTXML(""http://www.cbr.ru/scripts/XML_daily.asp?date_req=""&amp;TEXT(A128,""DD/MM/YYYY""), ""//ValCurs/Valute[CharCode=""""USD""""]/Value"")*I128)"),"")</f>
        <v>#NAME?</v>
      </c>
      <c r="K128" s="71"/>
      <c r="L128" s="71"/>
      <c r="M128" s="71"/>
      <c r="N128" s="71" t="str">
        <f ca="1">IF(H128="","",IF(D128="usdt",H128,IF(C128="Binance",VLOOKUP(E128,'Курсы Бинанса'!B:C,2,FALSE),IF(C128="bybit",VLOOKUP(E128,'Курсы Bybit'!B:C,2,FALSE),IF(C128="OKX",VLOOKUP(E128,'Курсы OKX'!A:D,4,FALSE),IF(C128="huobi",VLOOKUP(E128,'Курсы Huobi'!B:C,2,FALSE),"! укажите биржу"))))))</f>
        <v/>
      </c>
      <c r="O128" s="71" t="str">
        <f t="shared" si="12"/>
        <v/>
      </c>
      <c r="P128" s="71" t="str">
        <f t="shared" si="13"/>
        <v/>
      </c>
      <c r="Q128" s="75" t="str">
        <f t="shared" si="14"/>
        <v/>
      </c>
      <c r="R128" s="76"/>
    </row>
    <row r="129" spans="1:18" ht="14.25" customHeight="1">
      <c r="A129" s="67"/>
      <c r="B129" s="68"/>
      <c r="C129" s="69"/>
      <c r="D129" s="69" t="str">
        <f ca="1">IF(B129="","",VLOOKUP('Журнал Закупок'!$B129,'СТ Криптовалюта'!B:C,2,0))</f>
        <v/>
      </c>
      <c r="E129" s="68" t="str">
        <f t="shared" si="10"/>
        <v/>
      </c>
      <c r="F129" s="70"/>
      <c r="G129" s="71"/>
      <c r="H129" s="71"/>
      <c r="I129" s="71" t="str">
        <f t="shared" si="11"/>
        <v/>
      </c>
      <c r="J129" s="71" t="e">
        <f ca="1">IFERROR(__xludf.DUMMYFUNCTION("IF(I129="""","""",IMPORTXML(""http://www.cbr.ru/scripts/XML_daily.asp?date_req=""&amp;TEXT(A129,""DD/MM/YYYY""), ""//ValCurs/Valute[CharCode=""""USD""""]/Value"")*I129)"),"")</f>
        <v>#NAME?</v>
      </c>
      <c r="K129" s="71"/>
      <c r="L129" s="71"/>
      <c r="M129" s="71"/>
      <c r="N129" s="71" t="str">
        <f ca="1">IF(H129="","",IF(D129="usdt",H129,IF(C129="Binance",VLOOKUP(E129,'Курсы Бинанса'!B:C,2,FALSE),IF(C129="bybit",VLOOKUP(E129,'Курсы Bybit'!B:C,2,FALSE),IF(C129="OKX",VLOOKUP(E129,'Курсы OKX'!A:D,4,FALSE),IF(C129="huobi",VLOOKUP(E129,'Курсы Huobi'!B:C,2,FALSE),"! укажите биржу"))))))</f>
        <v/>
      </c>
      <c r="O129" s="71" t="str">
        <f t="shared" si="12"/>
        <v/>
      </c>
      <c r="P129" s="71" t="str">
        <f t="shared" si="13"/>
        <v/>
      </c>
      <c r="Q129" s="75" t="str">
        <f t="shared" si="14"/>
        <v/>
      </c>
      <c r="R129" s="76"/>
    </row>
    <row r="130" spans="1:18" ht="14.25" customHeight="1">
      <c r="A130" s="67"/>
      <c r="B130" s="68"/>
      <c r="C130" s="69"/>
      <c r="D130" s="69" t="str">
        <f ca="1">IF(B130="","",VLOOKUP('Журнал Закупок'!$B130,'СТ Криптовалюта'!B:C,2,0))</f>
        <v/>
      </c>
      <c r="E130" s="68" t="str">
        <f t="shared" si="10"/>
        <v/>
      </c>
      <c r="F130" s="70"/>
      <c r="G130" s="71"/>
      <c r="H130" s="71"/>
      <c r="I130" s="71" t="str">
        <f t="shared" si="11"/>
        <v/>
      </c>
      <c r="J130" s="71" t="e">
        <f ca="1">IFERROR(__xludf.DUMMYFUNCTION("IF(I130="""","""",IMPORTXML(""http://www.cbr.ru/scripts/XML_daily.asp?date_req=""&amp;TEXT(A130,""DD/MM/YYYY""), ""//ValCurs/Valute[CharCode=""""USD""""]/Value"")*I130)"),"")</f>
        <v>#NAME?</v>
      </c>
      <c r="K130" s="71"/>
      <c r="L130" s="71"/>
      <c r="M130" s="71"/>
      <c r="N130" s="71" t="str">
        <f ca="1">IF(H130="","",IF(D130="usdt",H130,IF(C130="Binance",VLOOKUP(E130,'Курсы Бинанса'!B:C,2,FALSE),IF(C130="bybit",VLOOKUP(E130,'Курсы Bybit'!B:C,2,FALSE),IF(C130="OKX",VLOOKUP(E130,'Курсы OKX'!A:D,4,FALSE),IF(C130="huobi",VLOOKUP(E130,'Курсы Huobi'!B:C,2,FALSE),"! укажите биржу"))))))</f>
        <v/>
      </c>
      <c r="O130" s="71" t="str">
        <f t="shared" si="12"/>
        <v/>
      </c>
      <c r="P130" s="71" t="str">
        <f t="shared" si="13"/>
        <v/>
      </c>
      <c r="Q130" s="75" t="str">
        <f t="shared" si="14"/>
        <v/>
      </c>
      <c r="R130" s="76"/>
    </row>
    <row r="131" spans="1:18" ht="14.25" customHeight="1">
      <c r="A131" s="67"/>
      <c r="B131" s="68"/>
      <c r="C131" s="69"/>
      <c r="D131" s="69" t="str">
        <f ca="1">IF(B131="","",VLOOKUP('Журнал Закупок'!$B131,'СТ Криптовалюта'!B:C,2,0))</f>
        <v/>
      </c>
      <c r="E131" s="68" t="str">
        <f t="shared" si="10"/>
        <v/>
      </c>
      <c r="F131" s="70"/>
      <c r="G131" s="71"/>
      <c r="H131" s="71"/>
      <c r="I131" s="71" t="str">
        <f t="shared" si="11"/>
        <v/>
      </c>
      <c r="J131" s="71" t="e">
        <f ca="1">IFERROR(__xludf.DUMMYFUNCTION("IF(I131="""","""",IMPORTXML(""http://www.cbr.ru/scripts/XML_daily.asp?date_req=""&amp;TEXT(A131,""DD/MM/YYYY""), ""//ValCurs/Valute[CharCode=""""USD""""]/Value"")*I131)"),"")</f>
        <v>#NAME?</v>
      </c>
      <c r="K131" s="71"/>
      <c r="L131" s="71"/>
      <c r="M131" s="71"/>
      <c r="N131" s="71" t="str">
        <f ca="1">IF(H131="","",IF(D131="usdt",H131,IF(C131="Binance",VLOOKUP(E131,'Курсы Бинанса'!B:C,2,FALSE),IF(C131="bybit",VLOOKUP(E131,'Курсы Bybit'!B:C,2,FALSE),IF(C131="OKX",VLOOKUP(E131,'Курсы OKX'!A:D,4,FALSE),IF(C131="huobi",VLOOKUP(E131,'Курсы Huobi'!B:C,2,FALSE),"! укажите биржу"))))))</f>
        <v/>
      </c>
      <c r="O131" s="71" t="str">
        <f t="shared" si="12"/>
        <v/>
      </c>
      <c r="P131" s="71" t="str">
        <f t="shared" si="13"/>
        <v/>
      </c>
      <c r="Q131" s="75" t="str">
        <f t="shared" si="14"/>
        <v/>
      </c>
      <c r="R131" s="76"/>
    </row>
    <row r="132" spans="1:18" ht="14.25" customHeight="1">
      <c r="A132" s="67"/>
      <c r="B132" s="68"/>
      <c r="C132" s="69"/>
      <c r="D132" s="69" t="str">
        <f ca="1">IF(B132="","",VLOOKUP('Журнал Закупок'!$B132,'СТ Криптовалюта'!B:C,2,0))</f>
        <v/>
      </c>
      <c r="E132" s="68" t="str">
        <f t="shared" si="10"/>
        <v/>
      </c>
      <c r="F132" s="70"/>
      <c r="G132" s="71"/>
      <c r="H132" s="71"/>
      <c r="I132" s="71" t="str">
        <f t="shared" si="11"/>
        <v/>
      </c>
      <c r="J132" s="71" t="e">
        <f ca="1">IFERROR(__xludf.DUMMYFUNCTION("IF(I132="""","""",IMPORTXML(""http://www.cbr.ru/scripts/XML_daily.asp?date_req=""&amp;TEXT(A132,""DD/MM/YYYY""), ""//ValCurs/Valute[CharCode=""""USD""""]/Value"")*I132)"),"")</f>
        <v>#NAME?</v>
      </c>
      <c r="K132" s="71"/>
      <c r="L132" s="71"/>
      <c r="M132" s="71"/>
      <c r="N132" s="71" t="str">
        <f ca="1">IF(H132="","",IF(D132="usdt",H132,IF(C132="Binance",VLOOKUP(E132,'Курсы Бинанса'!B:C,2,FALSE),IF(C132="bybit",VLOOKUP(E132,'Курсы Bybit'!B:C,2,FALSE),IF(C132="OKX",VLOOKUP(E132,'Курсы OKX'!A:D,4,FALSE),IF(C132="huobi",VLOOKUP(E132,'Курсы Huobi'!B:C,2,FALSE),"! укажите биржу"))))))</f>
        <v/>
      </c>
      <c r="O132" s="71" t="str">
        <f t="shared" si="12"/>
        <v/>
      </c>
      <c r="P132" s="71" t="str">
        <f t="shared" si="13"/>
        <v/>
      </c>
      <c r="Q132" s="75" t="str">
        <f t="shared" si="14"/>
        <v/>
      </c>
      <c r="R132" s="76"/>
    </row>
    <row r="133" spans="1:18" ht="14.25" customHeight="1">
      <c r="A133" s="67"/>
      <c r="B133" s="68"/>
      <c r="C133" s="69"/>
      <c r="D133" s="69" t="str">
        <f ca="1">IF(B133="","",VLOOKUP('Журнал Закупок'!$B133,'СТ Криптовалюта'!B:C,2,0))</f>
        <v/>
      </c>
      <c r="E133" s="68" t="str">
        <f t="shared" si="10"/>
        <v/>
      </c>
      <c r="F133" s="70"/>
      <c r="G133" s="71"/>
      <c r="H133" s="71"/>
      <c r="I133" s="71" t="str">
        <f t="shared" si="11"/>
        <v/>
      </c>
      <c r="J133" s="71" t="e">
        <f ca="1">IFERROR(__xludf.DUMMYFUNCTION("IF(I133="""","""",IMPORTXML(""http://www.cbr.ru/scripts/XML_daily.asp?date_req=""&amp;TEXT(A133,""DD/MM/YYYY""), ""//ValCurs/Valute[CharCode=""""USD""""]/Value"")*I133)"),"")</f>
        <v>#NAME?</v>
      </c>
      <c r="K133" s="71"/>
      <c r="L133" s="71"/>
      <c r="M133" s="71"/>
      <c r="N133" s="71" t="str">
        <f ca="1">IF(H133="","",IF(D133="usdt",H133,IF(C133="Binance",VLOOKUP(E133,'Курсы Бинанса'!B:C,2,FALSE),IF(C133="bybit",VLOOKUP(E133,'Курсы Bybit'!B:C,2,FALSE),IF(C133="OKX",VLOOKUP(E133,'Курсы OKX'!A:D,4,FALSE),IF(C133="huobi",VLOOKUP(E133,'Курсы Huobi'!B:C,2,FALSE),"! укажите биржу"))))))</f>
        <v/>
      </c>
      <c r="O133" s="71" t="str">
        <f t="shared" si="12"/>
        <v/>
      </c>
      <c r="P133" s="71" t="str">
        <f t="shared" si="13"/>
        <v/>
      </c>
      <c r="Q133" s="75" t="str">
        <f t="shared" si="14"/>
        <v/>
      </c>
      <c r="R133" s="76"/>
    </row>
    <row r="134" spans="1:18" ht="14.25" customHeight="1">
      <c r="A134" s="67"/>
      <c r="B134" s="68"/>
      <c r="C134" s="69"/>
      <c r="D134" s="69" t="str">
        <f ca="1">IF(B134="","",VLOOKUP('Журнал Закупок'!$B134,'СТ Криптовалюта'!B:C,2,0))</f>
        <v/>
      </c>
      <c r="E134" s="68" t="str">
        <f t="shared" si="10"/>
        <v/>
      </c>
      <c r="F134" s="70"/>
      <c r="G134" s="71"/>
      <c r="H134" s="71"/>
      <c r="I134" s="71" t="str">
        <f t="shared" si="11"/>
        <v/>
      </c>
      <c r="J134" s="71" t="e">
        <f ca="1">IFERROR(__xludf.DUMMYFUNCTION("IF(I134="""","""",IMPORTXML(""http://www.cbr.ru/scripts/XML_daily.asp?date_req=""&amp;TEXT(A134,""DD/MM/YYYY""), ""//ValCurs/Valute[CharCode=""""USD""""]/Value"")*I134)"),"")</f>
        <v>#NAME?</v>
      </c>
      <c r="K134" s="71"/>
      <c r="L134" s="71"/>
      <c r="M134" s="71"/>
      <c r="N134" s="71" t="str">
        <f ca="1">IF(H134="","",IF(D134="usdt",H134,IF(C134="Binance",VLOOKUP(E134,'Курсы Бинанса'!B:C,2,FALSE),IF(C134="bybit",VLOOKUP(E134,'Курсы Bybit'!B:C,2,FALSE),IF(C134="OKX",VLOOKUP(E134,'Курсы OKX'!A:D,4,FALSE),IF(C134="huobi",VLOOKUP(E134,'Курсы Huobi'!B:C,2,FALSE),"! укажите биржу"))))))</f>
        <v/>
      </c>
      <c r="O134" s="71" t="str">
        <f t="shared" si="12"/>
        <v/>
      </c>
      <c r="P134" s="71" t="str">
        <f t="shared" si="13"/>
        <v/>
      </c>
      <c r="Q134" s="75" t="str">
        <f t="shared" si="14"/>
        <v/>
      </c>
      <c r="R134" s="76"/>
    </row>
    <row r="135" spans="1:18" ht="14.25" customHeight="1">
      <c r="A135" s="67"/>
      <c r="B135" s="68"/>
      <c r="C135" s="69"/>
      <c r="D135" s="69" t="str">
        <f ca="1">IF(B135="","",VLOOKUP('Журнал Закупок'!$B135,'СТ Криптовалюта'!B:C,2,0))</f>
        <v/>
      </c>
      <c r="E135" s="68" t="str">
        <f t="shared" si="10"/>
        <v/>
      </c>
      <c r="F135" s="70"/>
      <c r="G135" s="71"/>
      <c r="H135" s="71"/>
      <c r="I135" s="71" t="str">
        <f t="shared" si="11"/>
        <v/>
      </c>
      <c r="J135" s="71" t="e">
        <f ca="1">IFERROR(__xludf.DUMMYFUNCTION("IF(I135="""","""",IMPORTXML(""http://www.cbr.ru/scripts/XML_daily.asp?date_req=""&amp;TEXT(A135,""DD/MM/YYYY""), ""//ValCurs/Valute[CharCode=""""USD""""]/Value"")*I135)"),"")</f>
        <v>#NAME?</v>
      </c>
      <c r="K135" s="71"/>
      <c r="L135" s="71"/>
      <c r="M135" s="71"/>
      <c r="N135" s="71" t="str">
        <f ca="1">IF(H135="","",IF(D135="usdt",H135,IF(C135="Binance",VLOOKUP(E135,'Курсы Бинанса'!B:C,2,FALSE),IF(C135="bybit",VLOOKUP(E135,'Курсы Bybit'!B:C,2,FALSE),IF(C135="OKX",VLOOKUP(E135,'Курсы OKX'!A:D,4,FALSE),IF(C135="huobi",VLOOKUP(E135,'Курсы Huobi'!B:C,2,FALSE),"! укажите биржу"))))))</f>
        <v/>
      </c>
      <c r="O135" s="71" t="str">
        <f t="shared" si="12"/>
        <v/>
      </c>
      <c r="P135" s="71" t="str">
        <f t="shared" si="13"/>
        <v/>
      </c>
      <c r="Q135" s="75" t="str">
        <f t="shared" si="14"/>
        <v/>
      </c>
      <c r="R135" s="76"/>
    </row>
    <row r="136" spans="1:18" ht="14.25" customHeight="1">
      <c r="A136" s="67"/>
      <c r="B136" s="68"/>
      <c r="C136" s="69"/>
      <c r="D136" s="69" t="str">
        <f ca="1">IF(B136="","",VLOOKUP('Журнал Закупок'!$B136,'СТ Криптовалюта'!B:C,2,0))</f>
        <v/>
      </c>
      <c r="E136" s="68" t="str">
        <f t="shared" si="10"/>
        <v/>
      </c>
      <c r="F136" s="70"/>
      <c r="G136" s="71"/>
      <c r="H136" s="71"/>
      <c r="I136" s="71" t="str">
        <f t="shared" si="11"/>
        <v/>
      </c>
      <c r="J136" s="71" t="e">
        <f ca="1">IFERROR(__xludf.DUMMYFUNCTION("IF(I136="""","""",IMPORTXML(""http://www.cbr.ru/scripts/XML_daily.asp?date_req=""&amp;TEXT(A136,""DD/MM/YYYY""), ""//ValCurs/Valute[CharCode=""""USD""""]/Value"")*I136)"),"")</f>
        <v>#NAME?</v>
      </c>
      <c r="K136" s="71"/>
      <c r="L136" s="71"/>
      <c r="M136" s="71"/>
      <c r="N136" s="71" t="str">
        <f ca="1">IF(H136="","",IF(D136="usdt",H136,IF(C136="Binance",VLOOKUP(E136,'Курсы Бинанса'!B:C,2,FALSE),IF(C136="bybit",VLOOKUP(E136,'Курсы Bybit'!B:C,2,FALSE),IF(C136="OKX",VLOOKUP(E136,'Курсы OKX'!A:D,4,FALSE),IF(C136="huobi",VLOOKUP(E136,'Курсы Huobi'!B:C,2,FALSE),"! укажите биржу"))))))</f>
        <v/>
      </c>
      <c r="O136" s="71" t="str">
        <f t="shared" si="12"/>
        <v/>
      </c>
      <c r="P136" s="71" t="str">
        <f t="shared" si="13"/>
        <v/>
      </c>
      <c r="Q136" s="75" t="str">
        <f t="shared" si="14"/>
        <v/>
      </c>
      <c r="R136" s="76"/>
    </row>
    <row r="137" spans="1:18" ht="14.25" customHeight="1">
      <c r="A137" s="67"/>
      <c r="B137" s="68"/>
      <c r="C137" s="69"/>
      <c r="D137" s="69" t="str">
        <f ca="1">IF(B137="","",VLOOKUP('Журнал Закупок'!$B137,'СТ Криптовалюта'!B:C,2,0))</f>
        <v/>
      </c>
      <c r="E137" s="68" t="str">
        <f t="shared" si="10"/>
        <v/>
      </c>
      <c r="F137" s="70"/>
      <c r="G137" s="71"/>
      <c r="H137" s="71"/>
      <c r="I137" s="71" t="str">
        <f t="shared" si="11"/>
        <v/>
      </c>
      <c r="J137" s="71" t="e">
        <f ca="1">IFERROR(__xludf.DUMMYFUNCTION("IF(I137="""","""",IMPORTXML(""http://www.cbr.ru/scripts/XML_daily.asp?date_req=""&amp;TEXT(A137,""DD/MM/YYYY""), ""//ValCurs/Valute[CharCode=""""USD""""]/Value"")*I137)"),"")</f>
        <v>#NAME?</v>
      </c>
      <c r="K137" s="71"/>
      <c r="L137" s="71"/>
      <c r="M137" s="71"/>
      <c r="N137" s="71" t="str">
        <f ca="1">IF(H137="","",IF(D137="usdt",H137,IF(C137="Binance",VLOOKUP(E137,'Курсы Бинанса'!B:C,2,FALSE),IF(C137="bybit",VLOOKUP(E137,'Курсы Bybit'!B:C,2,FALSE),IF(C137="OKX",VLOOKUP(E137,'Курсы OKX'!A:D,4,FALSE),IF(C137="huobi",VLOOKUP(E137,'Курсы Huobi'!B:C,2,FALSE),"! укажите биржу"))))))</f>
        <v/>
      </c>
      <c r="O137" s="71" t="str">
        <f t="shared" si="12"/>
        <v/>
      </c>
      <c r="P137" s="71" t="str">
        <f t="shared" si="13"/>
        <v/>
      </c>
      <c r="Q137" s="75" t="str">
        <f t="shared" si="14"/>
        <v/>
      </c>
      <c r="R137" s="76"/>
    </row>
    <row r="138" spans="1:18" ht="14.25" customHeight="1">
      <c r="A138" s="67"/>
      <c r="B138" s="68"/>
      <c r="C138" s="69"/>
      <c r="D138" s="69" t="str">
        <f ca="1">IF(B138="","",VLOOKUP('Журнал Закупок'!$B138,'СТ Криптовалюта'!B:C,2,0))</f>
        <v/>
      </c>
      <c r="E138" s="68" t="str">
        <f t="shared" si="10"/>
        <v/>
      </c>
      <c r="F138" s="70"/>
      <c r="G138" s="71"/>
      <c r="H138" s="71"/>
      <c r="I138" s="71" t="str">
        <f t="shared" si="11"/>
        <v/>
      </c>
      <c r="J138" s="71" t="e">
        <f ca="1">IFERROR(__xludf.DUMMYFUNCTION("IF(I138="""","""",IMPORTXML(""http://www.cbr.ru/scripts/XML_daily.asp?date_req=""&amp;TEXT(A138,""DD/MM/YYYY""), ""//ValCurs/Valute[CharCode=""""USD""""]/Value"")*I138)"),"")</f>
        <v>#NAME?</v>
      </c>
      <c r="K138" s="71"/>
      <c r="L138" s="71"/>
      <c r="M138" s="71"/>
      <c r="N138" s="71" t="str">
        <f ca="1">IF(H138="","",IF(D138="usdt",H138,IF(C138="Binance",VLOOKUP(E138,'Курсы Бинанса'!B:C,2,FALSE),IF(C138="bybit",VLOOKUP(E138,'Курсы Bybit'!B:C,2,FALSE),IF(C138="OKX",VLOOKUP(E138,'Курсы OKX'!A:D,4,FALSE),IF(C138="huobi",VLOOKUP(E138,'Курсы Huobi'!B:C,2,FALSE),"! укажите биржу"))))))</f>
        <v/>
      </c>
      <c r="O138" s="71" t="str">
        <f t="shared" si="12"/>
        <v/>
      </c>
      <c r="P138" s="71" t="str">
        <f t="shared" si="13"/>
        <v/>
      </c>
      <c r="Q138" s="75" t="str">
        <f t="shared" si="14"/>
        <v/>
      </c>
      <c r="R138" s="76"/>
    </row>
    <row r="139" spans="1:18" ht="14.25" customHeight="1">
      <c r="A139" s="67"/>
      <c r="B139" s="68"/>
      <c r="C139" s="69"/>
      <c r="D139" s="69" t="str">
        <f ca="1">IF(B139="","",VLOOKUP('Журнал Закупок'!$B139,'СТ Криптовалюта'!B:C,2,0))</f>
        <v/>
      </c>
      <c r="E139" s="68" t="str">
        <f t="shared" si="10"/>
        <v/>
      </c>
      <c r="F139" s="70"/>
      <c r="G139" s="71"/>
      <c r="H139" s="71"/>
      <c r="I139" s="71" t="str">
        <f t="shared" si="11"/>
        <v/>
      </c>
      <c r="J139" s="71" t="e">
        <f ca="1">IFERROR(__xludf.DUMMYFUNCTION("IF(I139="""","""",IMPORTXML(""http://www.cbr.ru/scripts/XML_daily.asp?date_req=""&amp;TEXT(A139,""DD/MM/YYYY""), ""//ValCurs/Valute[CharCode=""""USD""""]/Value"")*I139)"),"")</f>
        <v>#NAME?</v>
      </c>
      <c r="K139" s="71"/>
      <c r="L139" s="71"/>
      <c r="M139" s="71"/>
      <c r="N139" s="71" t="str">
        <f ca="1">IF(H139="","",IF(D139="usdt",H139,IF(C139="Binance",VLOOKUP(E139,'Курсы Бинанса'!B:C,2,FALSE),IF(C139="bybit",VLOOKUP(E139,'Курсы Bybit'!B:C,2,FALSE),IF(C139="OKX",VLOOKUP(E139,'Курсы OKX'!A:D,4,FALSE),IF(C139="huobi",VLOOKUP(E139,'Курсы Huobi'!B:C,2,FALSE),"! укажите биржу"))))))</f>
        <v/>
      </c>
      <c r="O139" s="71" t="str">
        <f t="shared" si="12"/>
        <v/>
      </c>
      <c r="P139" s="71" t="str">
        <f t="shared" si="13"/>
        <v/>
      </c>
      <c r="Q139" s="75" t="str">
        <f t="shared" si="14"/>
        <v/>
      </c>
      <c r="R139" s="76"/>
    </row>
    <row r="140" spans="1:18" ht="14.25" customHeight="1">
      <c r="A140" s="67"/>
      <c r="B140" s="68"/>
      <c r="C140" s="69"/>
      <c r="D140" s="69" t="str">
        <f ca="1">IF(B140="","",VLOOKUP('Журнал Закупок'!$B140,'СТ Криптовалюта'!B:C,2,0))</f>
        <v/>
      </c>
      <c r="E140" s="68" t="str">
        <f t="shared" si="10"/>
        <v/>
      </c>
      <c r="F140" s="70"/>
      <c r="G140" s="71"/>
      <c r="H140" s="71"/>
      <c r="I140" s="71" t="str">
        <f t="shared" si="11"/>
        <v/>
      </c>
      <c r="J140" s="71" t="e">
        <f ca="1">IFERROR(__xludf.DUMMYFUNCTION("IF(I140="""","""",IMPORTXML(""http://www.cbr.ru/scripts/XML_daily.asp?date_req=""&amp;TEXT(A140,""DD/MM/YYYY""), ""//ValCurs/Valute[CharCode=""""USD""""]/Value"")*I140)"),"")</f>
        <v>#NAME?</v>
      </c>
      <c r="K140" s="71"/>
      <c r="L140" s="71"/>
      <c r="M140" s="71"/>
      <c r="N140" s="71" t="str">
        <f ca="1">IF(H140="","",IF(D140="usdt",H140,IF(C140="Binance",VLOOKUP(E140,'Курсы Бинанса'!B:C,2,FALSE),IF(C140="bybit",VLOOKUP(E140,'Курсы Bybit'!B:C,2,FALSE),IF(C140="OKX",VLOOKUP(E140,'Курсы OKX'!A:D,4,FALSE),IF(C140="huobi",VLOOKUP(E140,'Курсы Huobi'!B:C,2,FALSE),"! укажите биржу"))))))</f>
        <v/>
      </c>
      <c r="O140" s="71" t="str">
        <f t="shared" si="12"/>
        <v/>
      </c>
      <c r="P140" s="71" t="str">
        <f t="shared" si="13"/>
        <v/>
      </c>
      <c r="Q140" s="75" t="str">
        <f t="shared" si="14"/>
        <v/>
      </c>
      <c r="R140" s="76"/>
    </row>
    <row r="141" spans="1:18" ht="14.25" customHeight="1">
      <c r="A141" s="67"/>
      <c r="B141" s="68"/>
      <c r="C141" s="69"/>
      <c r="D141" s="69" t="str">
        <f ca="1">IF(B141="","",VLOOKUP('Журнал Закупок'!$B141,'СТ Криптовалюта'!B:C,2,0))</f>
        <v/>
      </c>
      <c r="E141" s="68" t="str">
        <f t="shared" si="10"/>
        <v/>
      </c>
      <c r="F141" s="70"/>
      <c r="G141" s="71"/>
      <c r="H141" s="71"/>
      <c r="I141" s="71" t="str">
        <f t="shared" si="11"/>
        <v/>
      </c>
      <c r="J141" s="71" t="e">
        <f ca="1">IFERROR(__xludf.DUMMYFUNCTION("IF(I141="""","""",IMPORTXML(""http://www.cbr.ru/scripts/XML_daily.asp?date_req=""&amp;TEXT(A141,""DD/MM/YYYY""), ""//ValCurs/Valute[CharCode=""""USD""""]/Value"")*I141)"),"")</f>
        <v>#NAME?</v>
      </c>
      <c r="K141" s="71"/>
      <c r="L141" s="71"/>
      <c r="M141" s="71"/>
      <c r="N141" s="71" t="str">
        <f ca="1">IF(H141="","",IF(D141="usdt",H141,IF(C141="Binance",VLOOKUP(E141,'Курсы Бинанса'!B:C,2,FALSE),IF(C141="bybit",VLOOKUP(E141,'Курсы Bybit'!B:C,2,FALSE),IF(C141="OKX",VLOOKUP(E141,'Курсы OKX'!A:D,4,FALSE),IF(C141="huobi",VLOOKUP(E141,'Курсы Huobi'!B:C,2,FALSE),"! укажите биржу"))))))</f>
        <v/>
      </c>
      <c r="O141" s="71" t="str">
        <f t="shared" si="12"/>
        <v/>
      </c>
      <c r="P141" s="71" t="str">
        <f t="shared" si="13"/>
        <v/>
      </c>
      <c r="Q141" s="75" t="str">
        <f t="shared" si="14"/>
        <v/>
      </c>
      <c r="R141" s="76"/>
    </row>
    <row r="142" spans="1:18" ht="14.25" customHeight="1">
      <c r="A142" s="67"/>
      <c r="B142" s="68"/>
      <c r="C142" s="69"/>
      <c r="D142" s="69" t="str">
        <f ca="1">IF(B142="","",VLOOKUP('Журнал Закупок'!$B142,'СТ Криптовалюта'!B:C,2,0))</f>
        <v/>
      </c>
      <c r="E142" s="68" t="str">
        <f t="shared" si="10"/>
        <v/>
      </c>
      <c r="F142" s="70"/>
      <c r="G142" s="71"/>
      <c r="H142" s="71"/>
      <c r="I142" s="71" t="str">
        <f t="shared" si="11"/>
        <v/>
      </c>
      <c r="J142" s="71" t="e">
        <f ca="1">IFERROR(__xludf.DUMMYFUNCTION("IF(I142="""","""",IMPORTXML(""http://www.cbr.ru/scripts/XML_daily.asp?date_req=""&amp;TEXT(A142,""DD/MM/YYYY""), ""//ValCurs/Valute[CharCode=""""USD""""]/Value"")*I142)"),"")</f>
        <v>#NAME?</v>
      </c>
      <c r="K142" s="71"/>
      <c r="L142" s="71"/>
      <c r="M142" s="71"/>
      <c r="N142" s="71" t="str">
        <f ca="1">IF(H142="","",IF(D142="usdt",H142,IF(C142="Binance",VLOOKUP(E142,'Курсы Бинанса'!B:C,2,FALSE),IF(C142="bybit",VLOOKUP(E142,'Курсы Bybit'!B:C,2,FALSE),IF(C142="OKX",VLOOKUP(E142,'Курсы OKX'!A:D,4,FALSE),IF(C142="huobi",VLOOKUP(E142,'Курсы Huobi'!B:C,2,FALSE),"! укажите биржу"))))))</f>
        <v/>
      </c>
      <c r="O142" s="71" t="str">
        <f t="shared" si="12"/>
        <v/>
      </c>
      <c r="P142" s="71" t="str">
        <f t="shared" si="13"/>
        <v/>
      </c>
      <c r="Q142" s="75" t="str">
        <f t="shared" si="14"/>
        <v/>
      </c>
      <c r="R142" s="76"/>
    </row>
    <row r="143" spans="1:18" ht="14.25" customHeight="1">
      <c r="A143" s="67"/>
      <c r="B143" s="68"/>
      <c r="C143" s="69"/>
      <c r="D143" s="69" t="str">
        <f ca="1">IF(B143="","",VLOOKUP('Журнал Закупок'!$B143,'СТ Криптовалюта'!B:C,2,0))</f>
        <v/>
      </c>
      <c r="E143" s="68" t="str">
        <f t="shared" si="10"/>
        <v/>
      </c>
      <c r="F143" s="70"/>
      <c r="G143" s="71"/>
      <c r="H143" s="71"/>
      <c r="I143" s="71" t="str">
        <f t="shared" si="11"/>
        <v/>
      </c>
      <c r="J143" s="71" t="e">
        <f ca="1">IFERROR(__xludf.DUMMYFUNCTION("IF(I143="""","""",IMPORTXML(""http://www.cbr.ru/scripts/XML_daily.asp?date_req=""&amp;TEXT(A143,""DD/MM/YYYY""), ""//ValCurs/Valute[CharCode=""""USD""""]/Value"")*I143)"),"")</f>
        <v>#NAME?</v>
      </c>
      <c r="K143" s="71"/>
      <c r="L143" s="71"/>
      <c r="M143" s="71"/>
      <c r="N143" s="71" t="str">
        <f ca="1">IF(H143="","",IF(D143="usdt",H143,IF(C143="Binance",VLOOKUP(E143,'Курсы Бинанса'!B:C,2,FALSE),IF(C143="bybit",VLOOKUP(E143,'Курсы Bybit'!B:C,2,FALSE),IF(C143="OKX",VLOOKUP(E143,'Курсы OKX'!A:D,4,FALSE),IF(C143="huobi",VLOOKUP(E143,'Курсы Huobi'!B:C,2,FALSE),"! укажите биржу"))))))</f>
        <v/>
      </c>
      <c r="O143" s="71" t="str">
        <f t="shared" si="12"/>
        <v/>
      </c>
      <c r="P143" s="71" t="str">
        <f t="shared" si="13"/>
        <v/>
      </c>
      <c r="Q143" s="75" t="str">
        <f t="shared" si="14"/>
        <v/>
      </c>
      <c r="R143" s="76"/>
    </row>
    <row r="144" spans="1:18" ht="14.25" customHeight="1">
      <c r="A144" s="67"/>
      <c r="B144" s="68"/>
      <c r="C144" s="69"/>
      <c r="D144" s="69" t="str">
        <f ca="1">IF(B144="","",VLOOKUP('Журнал Закупок'!$B144,'СТ Криптовалюта'!B:C,2,0))</f>
        <v/>
      </c>
      <c r="E144" s="68" t="str">
        <f t="shared" si="10"/>
        <v/>
      </c>
      <c r="F144" s="70"/>
      <c r="G144" s="71"/>
      <c r="H144" s="71"/>
      <c r="I144" s="71" t="str">
        <f t="shared" si="11"/>
        <v/>
      </c>
      <c r="J144" s="71" t="e">
        <f ca="1">IFERROR(__xludf.DUMMYFUNCTION("IF(I144="""","""",IMPORTXML(""http://www.cbr.ru/scripts/XML_daily.asp?date_req=""&amp;TEXT(A144,""DD/MM/YYYY""), ""//ValCurs/Valute[CharCode=""""USD""""]/Value"")*I144)"),"")</f>
        <v>#NAME?</v>
      </c>
      <c r="K144" s="71"/>
      <c r="L144" s="71"/>
      <c r="M144" s="71"/>
      <c r="N144" s="71" t="str">
        <f ca="1">IF(H144="","",IF(D144="usdt",H144,IF(C144="Binance",VLOOKUP(E144,'Курсы Бинанса'!B:C,2,FALSE),IF(C144="bybit",VLOOKUP(E144,'Курсы Bybit'!B:C,2,FALSE),IF(C144="OKX",VLOOKUP(E144,'Курсы OKX'!A:D,4,FALSE),IF(C144="huobi",VLOOKUP(E144,'Курсы Huobi'!B:C,2,FALSE),"! укажите биржу"))))))</f>
        <v/>
      </c>
      <c r="O144" s="71" t="str">
        <f t="shared" si="12"/>
        <v/>
      </c>
      <c r="P144" s="71" t="str">
        <f t="shared" si="13"/>
        <v/>
      </c>
      <c r="Q144" s="75" t="str">
        <f t="shared" si="14"/>
        <v/>
      </c>
      <c r="R144" s="76"/>
    </row>
    <row r="145" spans="1:18" ht="14.25" customHeight="1">
      <c r="A145" s="67"/>
      <c r="B145" s="68"/>
      <c r="C145" s="69"/>
      <c r="D145" s="69" t="str">
        <f ca="1">IF(B145="","",VLOOKUP('Журнал Закупок'!$B145,'СТ Криптовалюта'!B:C,2,0))</f>
        <v/>
      </c>
      <c r="E145" s="68" t="str">
        <f t="shared" si="10"/>
        <v/>
      </c>
      <c r="F145" s="70"/>
      <c r="G145" s="71"/>
      <c r="H145" s="71"/>
      <c r="I145" s="71" t="str">
        <f t="shared" si="11"/>
        <v/>
      </c>
      <c r="J145" s="71" t="e">
        <f ca="1">IFERROR(__xludf.DUMMYFUNCTION("IF(I145="""","""",IMPORTXML(""http://www.cbr.ru/scripts/XML_daily.asp?date_req=""&amp;TEXT(A145,""DD/MM/YYYY""), ""//ValCurs/Valute[CharCode=""""USD""""]/Value"")*I145)"),"")</f>
        <v>#NAME?</v>
      </c>
      <c r="K145" s="71"/>
      <c r="L145" s="71"/>
      <c r="M145" s="71"/>
      <c r="N145" s="71" t="str">
        <f ca="1">IF(H145="","",IF(D145="usdt",H145,IF(C145="Binance",VLOOKUP(E145,'Курсы Бинанса'!B:C,2,FALSE),IF(C145="bybit",VLOOKUP(E145,'Курсы Bybit'!B:C,2,FALSE),IF(C145="OKX",VLOOKUP(E145,'Курсы OKX'!A:D,4,FALSE),IF(C145="huobi",VLOOKUP(E145,'Курсы Huobi'!B:C,2,FALSE),"! укажите биржу"))))))</f>
        <v/>
      </c>
      <c r="O145" s="71" t="str">
        <f t="shared" si="12"/>
        <v/>
      </c>
      <c r="P145" s="71" t="str">
        <f t="shared" si="13"/>
        <v/>
      </c>
      <c r="Q145" s="75" t="str">
        <f t="shared" si="14"/>
        <v/>
      </c>
      <c r="R145" s="76"/>
    </row>
    <row r="146" spans="1:18" ht="14.25" customHeight="1">
      <c r="A146" s="67"/>
      <c r="B146" s="68"/>
      <c r="C146" s="69"/>
      <c r="D146" s="69" t="str">
        <f ca="1">IF(B146="","",VLOOKUP('Журнал Закупок'!$B146,'СТ Криптовалюта'!B:C,2,0))</f>
        <v/>
      </c>
      <c r="E146" s="68" t="str">
        <f t="shared" si="10"/>
        <v/>
      </c>
      <c r="F146" s="70"/>
      <c r="G146" s="71"/>
      <c r="H146" s="71"/>
      <c r="I146" s="71" t="str">
        <f t="shared" si="11"/>
        <v/>
      </c>
      <c r="J146" s="71" t="e">
        <f ca="1">IFERROR(__xludf.DUMMYFUNCTION("IF(I146="""","""",IMPORTXML(""http://www.cbr.ru/scripts/XML_daily.asp?date_req=""&amp;TEXT(A146,""DD/MM/YYYY""), ""//ValCurs/Valute[CharCode=""""USD""""]/Value"")*I146)"),"")</f>
        <v>#NAME?</v>
      </c>
      <c r="K146" s="71"/>
      <c r="L146" s="71"/>
      <c r="M146" s="71"/>
      <c r="N146" s="71" t="str">
        <f ca="1">IF(H146="","",IF(D146="usdt",H146,IF(C146="Binance",VLOOKUP(E146,'Курсы Бинанса'!B:C,2,FALSE),IF(C146="bybit",VLOOKUP(E146,'Курсы Bybit'!B:C,2,FALSE),IF(C146="OKX",VLOOKUP(E146,'Курсы OKX'!A:D,4,FALSE),IF(C146="huobi",VLOOKUP(E146,'Курсы Huobi'!B:C,2,FALSE),"! укажите биржу"))))))</f>
        <v/>
      </c>
      <c r="O146" s="71" t="str">
        <f t="shared" si="12"/>
        <v/>
      </c>
      <c r="P146" s="71" t="str">
        <f t="shared" si="13"/>
        <v/>
      </c>
      <c r="Q146" s="75" t="str">
        <f t="shared" si="14"/>
        <v/>
      </c>
      <c r="R146" s="76"/>
    </row>
    <row r="147" spans="1:18" ht="14.25" customHeight="1">
      <c r="A147" s="67"/>
      <c r="B147" s="68"/>
      <c r="C147" s="69"/>
      <c r="D147" s="69" t="str">
        <f ca="1">IF(B147="","",VLOOKUP('Журнал Закупок'!$B147,'СТ Криптовалюта'!B:C,2,0))</f>
        <v/>
      </c>
      <c r="E147" s="68" t="str">
        <f t="shared" si="10"/>
        <v/>
      </c>
      <c r="F147" s="70"/>
      <c r="G147" s="71"/>
      <c r="H147" s="71"/>
      <c r="I147" s="71" t="str">
        <f t="shared" si="11"/>
        <v/>
      </c>
      <c r="J147" s="71" t="e">
        <f ca="1">IFERROR(__xludf.DUMMYFUNCTION("IF(I147="""","""",IMPORTXML(""http://www.cbr.ru/scripts/XML_daily.asp?date_req=""&amp;TEXT(A147,""DD/MM/YYYY""), ""//ValCurs/Valute[CharCode=""""USD""""]/Value"")*I147)"),"")</f>
        <v>#NAME?</v>
      </c>
      <c r="K147" s="71"/>
      <c r="L147" s="71"/>
      <c r="M147" s="71"/>
      <c r="N147" s="71" t="str">
        <f ca="1">IF(H147="","",IF(D147="usdt",H147,IF(C147="Binance",VLOOKUP(E147,'Курсы Бинанса'!B:C,2,FALSE),IF(C147="bybit",VLOOKUP(E147,'Курсы Bybit'!B:C,2,FALSE),IF(C147="OKX",VLOOKUP(E147,'Курсы OKX'!A:D,4,FALSE),IF(C147="huobi",VLOOKUP(E147,'Курсы Huobi'!B:C,2,FALSE),"! укажите биржу"))))))</f>
        <v/>
      </c>
      <c r="O147" s="71" t="str">
        <f t="shared" si="12"/>
        <v/>
      </c>
      <c r="P147" s="71" t="str">
        <f t="shared" si="13"/>
        <v/>
      </c>
      <c r="Q147" s="75" t="str">
        <f t="shared" si="14"/>
        <v/>
      </c>
      <c r="R147" s="76"/>
    </row>
    <row r="148" spans="1:18" ht="14.25" customHeight="1">
      <c r="A148" s="67"/>
      <c r="B148" s="68"/>
      <c r="C148" s="69"/>
      <c r="D148" s="69" t="str">
        <f ca="1">IF(B148="","",VLOOKUP('Журнал Закупок'!$B148,'СТ Криптовалюта'!B:C,2,0))</f>
        <v/>
      </c>
      <c r="E148" s="68" t="str">
        <f t="shared" si="10"/>
        <v/>
      </c>
      <c r="F148" s="70"/>
      <c r="G148" s="71"/>
      <c r="H148" s="71"/>
      <c r="I148" s="71" t="str">
        <f t="shared" si="11"/>
        <v/>
      </c>
      <c r="J148" s="71" t="e">
        <f ca="1">IFERROR(__xludf.DUMMYFUNCTION("IF(I148="""","""",IMPORTXML(""http://www.cbr.ru/scripts/XML_daily.asp?date_req=""&amp;TEXT(A148,""DD/MM/YYYY""), ""//ValCurs/Valute[CharCode=""""USD""""]/Value"")*I148)"),"")</f>
        <v>#NAME?</v>
      </c>
      <c r="K148" s="71"/>
      <c r="L148" s="71"/>
      <c r="M148" s="71"/>
      <c r="N148" s="71" t="str">
        <f ca="1">IF(H148="","",IF(D148="usdt",H148,IF(C148="Binance",VLOOKUP(E148,'Курсы Бинанса'!B:C,2,FALSE),IF(C148="bybit",VLOOKUP(E148,'Курсы Bybit'!B:C,2,FALSE),IF(C148="OKX",VLOOKUP(E148,'Курсы OKX'!A:D,4,FALSE),IF(C148="huobi",VLOOKUP(E148,'Курсы Huobi'!B:C,2,FALSE),"! укажите биржу"))))))</f>
        <v/>
      </c>
      <c r="O148" s="71" t="str">
        <f t="shared" si="12"/>
        <v/>
      </c>
      <c r="P148" s="71" t="str">
        <f t="shared" si="13"/>
        <v/>
      </c>
      <c r="Q148" s="75" t="str">
        <f t="shared" si="14"/>
        <v/>
      </c>
      <c r="R148" s="76"/>
    </row>
    <row r="149" spans="1:18" ht="14.25" customHeight="1">
      <c r="A149" s="67"/>
      <c r="B149" s="68"/>
      <c r="C149" s="69"/>
      <c r="D149" s="69" t="str">
        <f ca="1">IF(B149="","",VLOOKUP('Журнал Закупок'!$B149,'СТ Криптовалюта'!B:C,2,0))</f>
        <v/>
      </c>
      <c r="E149" s="68" t="str">
        <f t="shared" si="10"/>
        <v/>
      </c>
      <c r="F149" s="70"/>
      <c r="G149" s="71"/>
      <c r="H149" s="71"/>
      <c r="I149" s="71" t="str">
        <f t="shared" si="11"/>
        <v/>
      </c>
      <c r="J149" s="71" t="e">
        <f ca="1">IFERROR(__xludf.DUMMYFUNCTION("IF(I149="""","""",IMPORTXML(""http://www.cbr.ru/scripts/XML_daily.asp?date_req=""&amp;TEXT(A149,""DD/MM/YYYY""), ""//ValCurs/Valute[CharCode=""""USD""""]/Value"")*I149)"),"")</f>
        <v>#NAME?</v>
      </c>
      <c r="K149" s="71"/>
      <c r="L149" s="71"/>
      <c r="M149" s="71"/>
      <c r="N149" s="71" t="str">
        <f ca="1">IF(H149="","",IF(D149="usdt",H149,IF(C149="Binance",VLOOKUP(E149,'Курсы Бинанса'!B:C,2,FALSE),IF(C149="bybit",VLOOKUP(E149,'Курсы Bybit'!B:C,2,FALSE),IF(C149="OKX",VLOOKUP(E149,'Курсы OKX'!A:D,4,FALSE),IF(C149="huobi",VLOOKUP(E149,'Курсы Huobi'!B:C,2,FALSE),"! укажите биржу"))))))</f>
        <v/>
      </c>
      <c r="O149" s="71" t="str">
        <f t="shared" si="12"/>
        <v/>
      </c>
      <c r="P149" s="71" t="str">
        <f t="shared" si="13"/>
        <v/>
      </c>
      <c r="Q149" s="75" t="str">
        <f t="shared" si="14"/>
        <v/>
      </c>
      <c r="R149" s="76"/>
    </row>
    <row r="150" spans="1:18" ht="14.25" customHeight="1">
      <c r="A150" s="67"/>
      <c r="B150" s="68"/>
      <c r="C150" s="69"/>
      <c r="D150" s="69" t="str">
        <f ca="1">IF(B150="","",VLOOKUP('Журнал Закупок'!$B150,'СТ Криптовалюта'!B:C,2,0))</f>
        <v/>
      </c>
      <c r="E150" s="68" t="str">
        <f t="shared" si="10"/>
        <v/>
      </c>
      <c r="F150" s="70"/>
      <c r="G150" s="71"/>
      <c r="H150" s="71"/>
      <c r="I150" s="71" t="str">
        <f t="shared" si="11"/>
        <v/>
      </c>
      <c r="J150" s="71" t="e">
        <f ca="1">IFERROR(__xludf.DUMMYFUNCTION("IF(I150="""","""",IMPORTXML(""http://www.cbr.ru/scripts/XML_daily.asp?date_req=""&amp;TEXT(A150,""DD/MM/YYYY""), ""//ValCurs/Valute[CharCode=""""USD""""]/Value"")*I150)"),"")</f>
        <v>#NAME?</v>
      </c>
      <c r="K150" s="71"/>
      <c r="L150" s="71"/>
      <c r="M150" s="71"/>
      <c r="N150" s="71" t="str">
        <f ca="1">IF(H150="","",IF(D150="usdt",H150,IF(C150="Binance",VLOOKUP(E150,'Курсы Бинанса'!B:C,2,FALSE),IF(C150="bybit",VLOOKUP(E150,'Курсы Bybit'!B:C,2,FALSE),IF(C150="OKX",VLOOKUP(E150,'Курсы OKX'!A:D,4,FALSE),IF(C150="huobi",VLOOKUP(E150,'Курсы Huobi'!B:C,2,FALSE),"! укажите биржу"))))))</f>
        <v/>
      </c>
      <c r="O150" s="71" t="str">
        <f t="shared" si="12"/>
        <v/>
      </c>
      <c r="P150" s="71" t="str">
        <f t="shared" si="13"/>
        <v/>
      </c>
      <c r="Q150" s="75" t="str">
        <f t="shared" si="14"/>
        <v/>
      </c>
      <c r="R150" s="76"/>
    </row>
    <row r="151" spans="1:18" ht="14.25" customHeight="1">
      <c r="A151" s="67"/>
      <c r="B151" s="68"/>
      <c r="C151" s="69"/>
      <c r="D151" s="69" t="str">
        <f ca="1">IF(B151="","",VLOOKUP('Журнал Закупок'!$B151,'СТ Криптовалюта'!B:C,2,0))</f>
        <v/>
      </c>
      <c r="E151" s="68" t="str">
        <f t="shared" si="10"/>
        <v/>
      </c>
      <c r="F151" s="70"/>
      <c r="G151" s="71"/>
      <c r="H151" s="71"/>
      <c r="I151" s="71" t="str">
        <f t="shared" si="11"/>
        <v/>
      </c>
      <c r="J151" s="71" t="e">
        <f ca="1">IFERROR(__xludf.DUMMYFUNCTION("IF(I151="""","""",IMPORTXML(""http://www.cbr.ru/scripts/XML_daily.asp?date_req=""&amp;TEXT(A151,""DD/MM/YYYY""), ""//ValCurs/Valute[CharCode=""""USD""""]/Value"")*I151)"),"")</f>
        <v>#NAME?</v>
      </c>
      <c r="K151" s="71"/>
      <c r="L151" s="71"/>
      <c r="M151" s="71"/>
      <c r="N151" s="71" t="str">
        <f ca="1">IF(H151="","",IF(D151="usdt",H151,IF(C151="Binance",VLOOKUP(E151,'Курсы Бинанса'!B:C,2,FALSE),IF(C151="bybit",VLOOKUP(E151,'Курсы Bybit'!B:C,2,FALSE),IF(C151="OKX",VLOOKUP(E151,'Курсы OKX'!A:D,4,FALSE),IF(C151="huobi",VLOOKUP(E151,'Курсы Huobi'!B:C,2,FALSE),"! укажите биржу"))))))</f>
        <v/>
      </c>
      <c r="O151" s="71" t="str">
        <f t="shared" si="12"/>
        <v/>
      </c>
      <c r="P151" s="71" t="str">
        <f t="shared" si="13"/>
        <v/>
      </c>
      <c r="Q151" s="75" t="str">
        <f t="shared" si="14"/>
        <v/>
      </c>
      <c r="R151" s="76"/>
    </row>
    <row r="152" spans="1:18" ht="14.25" customHeight="1">
      <c r="A152" s="67"/>
      <c r="B152" s="68"/>
      <c r="C152" s="69"/>
      <c r="D152" s="69" t="str">
        <f ca="1">IF(B152="","",VLOOKUP('Журнал Закупок'!$B152,'СТ Криптовалюта'!B:C,2,0))</f>
        <v/>
      </c>
      <c r="E152" s="68" t="str">
        <f t="shared" si="10"/>
        <v/>
      </c>
      <c r="F152" s="70"/>
      <c r="G152" s="71"/>
      <c r="H152" s="71"/>
      <c r="I152" s="71" t="str">
        <f t="shared" si="11"/>
        <v/>
      </c>
      <c r="J152" s="71" t="e">
        <f ca="1">IFERROR(__xludf.DUMMYFUNCTION("IF(I152="""","""",IMPORTXML(""http://www.cbr.ru/scripts/XML_daily.asp?date_req=""&amp;TEXT(A152,""DD/MM/YYYY""), ""//ValCurs/Valute[CharCode=""""USD""""]/Value"")*I152)"),"")</f>
        <v>#NAME?</v>
      </c>
      <c r="K152" s="71"/>
      <c r="L152" s="71"/>
      <c r="M152" s="71"/>
      <c r="N152" s="71" t="str">
        <f ca="1">IF(H152="","",IF(D152="usdt",H152,IF(C152="Binance",VLOOKUP(E152,'Курсы Бинанса'!B:C,2,FALSE),IF(C152="bybit",VLOOKUP(E152,'Курсы Bybit'!B:C,2,FALSE),IF(C152="OKX",VLOOKUP(E152,'Курсы OKX'!A:D,4,FALSE),IF(C152="huobi",VLOOKUP(E152,'Курсы Huobi'!B:C,2,FALSE),"! укажите биржу"))))))</f>
        <v/>
      </c>
      <c r="O152" s="71" t="str">
        <f t="shared" si="12"/>
        <v/>
      </c>
      <c r="P152" s="71" t="str">
        <f t="shared" si="13"/>
        <v/>
      </c>
      <c r="Q152" s="75" t="str">
        <f t="shared" si="14"/>
        <v/>
      </c>
      <c r="R152" s="76"/>
    </row>
    <row r="153" spans="1:18" ht="14.25" customHeight="1">
      <c r="A153" s="67"/>
      <c r="B153" s="68"/>
      <c r="C153" s="69"/>
      <c r="D153" s="69" t="str">
        <f ca="1">IF(B153="","",VLOOKUP('Журнал Закупок'!$B153,'СТ Криптовалюта'!B:C,2,0))</f>
        <v/>
      </c>
      <c r="E153" s="68" t="str">
        <f t="shared" si="10"/>
        <v/>
      </c>
      <c r="F153" s="70"/>
      <c r="G153" s="71"/>
      <c r="H153" s="71"/>
      <c r="I153" s="71" t="str">
        <f t="shared" si="11"/>
        <v/>
      </c>
      <c r="J153" s="71" t="e">
        <f ca="1">IFERROR(__xludf.DUMMYFUNCTION("IF(I153="""","""",IMPORTXML(""http://www.cbr.ru/scripts/XML_daily.asp?date_req=""&amp;TEXT(A153,""DD/MM/YYYY""), ""//ValCurs/Valute[CharCode=""""USD""""]/Value"")*I153)"),"")</f>
        <v>#NAME?</v>
      </c>
      <c r="K153" s="71"/>
      <c r="L153" s="71"/>
      <c r="M153" s="71"/>
      <c r="N153" s="71" t="str">
        <f ca="1">IF(H153="","",IF(D153="usdt",H153,IF(C153="Binance",VLOOKUP(E153,'Курсы Бинанса'!B:C,2,FALSE),IF(C153="bybit",VLOOKUP(E153,'Курсы Bybit'!B:C,2,FALSE),IF(C153="OKX",VLOOKUP(E153,'Курсы OKX'!A:D,4,FALSE),IF(C153="huobi",VLOOKUP(E153,'Курсы Huobi'!B:C,2,FALSE),"! укажите биржу"))))))</f>
        <v/>
      </c>
      <c r="O153" s="71" t="str">
        <f t="shared" si="12"/>
        <v/>
      </c>
      <c r="P153" s="71" t="str">
        <f t="shared" si="13"/>
        <v/>
      </c>
      <c r="Q153" s="75" t="str">
        <f t="shared" si="14"/>
        <v/>
      </c>
      <c r="R153" s="76"/>
    </row>
    <row r="154" spans="1:18" ht="14.25" customHeight="1">
      <c r="A154" s="67"/>
      <c r="B154" s="68"/>
      <c r="C154" s="69"/>
      <c r="D154" s="69" t="str">
        <f ca="1">IF(B154="","",VLOOKUP('Журнал Закупок'!$B154,'СТ Криптовалюта'!B:C,2,0))</f>
        <v/>
      </c>
      <c r="E154" s="68" t="str">
        <f t="shared" si="10"/>
        <v/>
      </c>
      <c r="F154" s="70"/>
      <c r="G154" s="71"/>
      <c r="H154" s="71"/>
      <c r="I154" s="71" t="str">
        <f t="shared" si="11"/>
        <v/>
      </c>
      <c r="J154" s="71" t="e">
        <f ca="1">IFERROR(__xludf.DUMMYFUNCTION("IF(I154="""","""",IMPORTXML(""http://www.cbr.ru/scripts/XML_daily.asp?date_req=""&amp;TEXT(A154,""DD/MM/YYYY""), ""//ValCurs/Valute[CharCode=""""USD""""]/Value"")*I154)"),"")</f>
        <v>#NAME?</v>
      </c>
      <c r="K154" s="71"/>
      <c r="L154" s="71"/>
      <c r="M154" s="71"/>
      <c r="N154" s="71" t="str">
        <f ca="1">IF(H154="","",IF(D154="usdt",H154,IF(C154="Binance",VLOOKUP(E154,'Курсы Бинанса'!B:C,2,FALSE),IF(C154="bybit",VLOOKUP(E154,'Курсы Bybit'!B:C,2,FALSE),IF(C154="OKX",VLOOKUP(E154,'Курсы OKX'!A:D,4,FALSE),IF(C154="huobi",VLOOKUP(E154,'Курсы Huobi'!B:C,2,FALSE),"! укажите биржу"))))))</f>
        <v/>
      </c>
      <c r="O154" s="71" t="str">
        <f t="shared" si="12"/>
        <v/>
      </c>
      <c r="P154" s="71" t="str">
        <f t="shared" si="13"/>
        <v/>
      </c>
      <c r="Q154" s="75" t="str">
        <f t="shared" si="14"/>
        <v/>
      </c>
      <c r="R154" s="76"/>
    </row>
    <row r="155" spans="1:18" ht="14.25" customHeight="1">
      <c r="A155" s="67"/>
      <c r="B155" s="68"/>
      <c r="C155" s="69"/>
      <c r="D155" s="69" t="str">
        <f ca="1">IF(B155="","",VLOOKUP('Журнал Закупок'!$B155,'СТ Криптовалюта'!B:C,2,0))</f>
        <v/>
      </c>
      <c r="E155" s="68" t="str">
        <f t="shared" si="10"/>
        <v/>
      </c>
      <c r="F155" s="70"/>
      <c r="G155" s="71"/>
      <c r="H155" s="71"/>
      <c r="I155" s="71" t="str">
        <f t="shared" si="11"/>
        <v/>
      </c>
      <c r="J155" s="71" t="e">
        <f ca="1">IFERROR(__xludf.DUMMYFUNCTION("IF(I155="""","""",IMPORTXML(""http://www.cbr.ru/scripts/XML_daily.asp?date_req=""&amp;TEXT(A155,""DD/MM/YYYY""), ""//ValCurs/Valute[CharCode=""""USD""""]/Value"")*I155)"),"")</f>
        <v>#NAME?</v>
      </c>
      <c r="K155" s="71"/>
      <c r="L155" s="71"/>
      <c r="M155" s="71"/>
      <c r="N155" s="71" t="str">
        <f ca="1">IF(H155="","",IF(D155="usdt",H155,IF(C155="Binance",VLOOKUP(E155,'Курсы Бинанса'!B:C,2,FALSE),IF(C155="bybit",VLOOKUP(E155,'Курсы Bybit'!B:C,2,FALSE),IF(C155="OKX",VLOOKUP(E155,'Курсы OKX'!A:D,4,FALSE),IF(C155="huobi",VLOOKUP(E155,'Курсы Huobi'!B:C,2,FALSE),"! укажите биржу"))))))</f>
        <v/>
      </c>
      <c r="O155" s="71" t="str">
        <f t="shared" si="12"/>
        <v/>
      </c>
      <c r="P155" s="71" t="str">
        <f t="shared" si="13"/>
        <v/>
      </c>
      <c r="Q155" s="75" t="str">
        <f t="shared" si="14"/>
        <v/>
      </c>
      <c r="R155" s="76"/>
    </row>
    <row r="156" spans="1:18" ht="14.25" customHeight="1">
      <c r="A156" s="67"/>
      <c r="B156" s="68"/>
      <c r="C156" s="69"/>
      <c r="D156" s="69" t="str">
        <f ca="1">IF(B156="","",VLOOKUP('Журнал Закупок'!$B156,'СТ Криптовалюта'!B:C,2,0))</f>
        <v/>
      </c>
      <c r="E156" s="68" t="str">
        <f t="shared" si="10"/>
        <v/>
      </c>
      <c r="F156" s="70"/>
      <c r="G156" s="71"/>
      <c r="H156" s="71"/>
      <c r="I156" s="71" t="str">
        <f t="shared" si="11"/>
        <v/>
      </c>
      <c r="J156" s="71" t="e">
        <f ca="1">IFERROR(__xludf.DUMMYFUNCTION("IF(I156="""","""",IMPORTXML(""http://www.cbr.ru/scripts/XML_daily.asp?date_req=""&amp;TEXT(A156,""DD/MM/YYYY""), ""//ValCurs/Valute[CharCode=""""USD""""]/Value"")*I156)"),"")</f>
        <v>#NAME?</v>
      </c>
      <c r="K156" s="71"/>
      <c r="L156" s="71"/>
      <c r="M156" s="71"/>
      <c r="N156" s="71" t="str">
        <f ca="1">IF(H156="","",IF(D156="usdt",H156,IF(C156="Binance",VLOOKUP(E156,'Курсы Бинанса'!B:C,2,FALSE),IF(C156="bybit",VLOOKUP(E156,'Курсы Bybit'!B:C,2,FALSE),IF(C156="OKX",VLOOKUP(E156,'Курсы OKX'!A:D,4,FALSE),IF(C156="huobi",VLOOKUP(E156,'Курсы Huobi'!B:C,2,FALSE),"! укажите биржу"))))))</f>
        <v/>
      </c>
      <c r="O156" s="71" t="str">
        <f t="shared" si="12"/>
        <v/>
      </c>
      <c r="P156" s="71" t="str">
        <f t="shared" si="13"/>
        <v/>
      </c>
      <c r="Q156" s="75" t="str">
        <f t="shared" si="14"/>
        <v/>
      </c>
      <c r="R156" s="76"/>
    </row>
    <row r="157" spans="1:18" ht="14.25" customHeight="1">
      <c r="A157" s="67"/>
      <c r="B157" s="68"/>
      <c r="C157" s="69"/>
      <c r="D157" s="69" t="str">
        <f ca="1">IF(B157="","",VLOOKUP('Журнал Закупок'!$B157,'СТ Криптовалюта'!B:C,2,0))</f>
        <v/>
      </c>
      <c r="E157" s="68" t="str">
        <f t="shared" si="10"/>
        <v/>
      </c>
      <c r="F157" s="70"/>
      <c r="G157" s="71"/>
      <c r="H157" s="71"/>
      <c r="I157" s="71" t="str">
        <f t="shared" si="11"/>
        <v/>
      </c>
      <c r="J157" s="71" t="e">
        <f ca="1">IFERROR(__xludf.DUMMYFUNCTION("IF(I157="""","""",IMPORTXML(""http://www.cbr.ru/scripts/XML_daily.asp?date_req=""&amp;TEXT(A157,""DD/MM/YYYY""), ""//ValCurs/Valute[CharCode=""""USD""""]/Value"")*I157)"),"")</f>
        <v>#NAME?</v>
      </c>
      <c r="K157" s="71"/>
      <c r="L157" s="71"/>
      <c r="M157" s="71"/>
      <c r="N157" s="71" t="str">
        <f ca="1">IF(H157="","",IF(D157="usdt",H157,IF(C157="Binance",VLOOKUP(E157,'Курсы Бинанса'!B:C,2,FALSE),IF(C157="bybit",VLOOKUP(E157,'Курсы Bybit'!B:C,2,FALSE),IF(C157="OKX",VLOOKUP(E157,'Курсы OKX'!A:D,4,FALSE),IF(C157="huobi",VLOOKUP(E157,'Курсы Huobi'!B:C,2,FALSE),"! укажите биржу"))))))</f>
        <v/>
      </c>
      <c r="O157" s="71" t="str">
        <f t="shared" si="12"/>
        <v/>
      </c>
      <c r="P157" s="71" t="str">
        <f t="shared" si="13"/>
        <v/>
      </c>
      <c r="Q157" s="75" t="str">
        <f t="shared" si="14"/>
        <v/>
      </c>
      <c r="R157" s="76"/>
    </row>
    <row r="158" spans="1:18" ht="14.25" customHeight="1">
      <c r="A158" s="67"/>
      <c r="B158" s="68"/>
      <c r="C158" s="69"/>
      <c r="D158" s="69" t="str">
        <f ca="1">IF(B158="","",VLOOKUP('Журнал Закупок'!$B158,'СТ Криптовалюта'!B:C,2,0))</f>
        <v/>
      </c>
      <c r="E158" s="68" t="str">
        <f t="shared" si="10"/>
        <v/>
      </c>
      <c r="F158" s="70"/>
      <c r="G158" s="71"/>
      <c r="H158" s="71"/>
      <c r="I158" s="71" t="str">
        <f t="shared" si="11"/>
        <v/>
      </c>
      <c r="J158" s="71" t="e">
        <f ca="1">IFERROR(__xludf.DUMMYFUNCTION("IF(I158="""","""",IMPORTXML(""http://www.cbr.ru/scripts/XML_daily.asp?date_req=""&amp;TEXT(A158,""DD/MM/YYYY""), ""//ValCurs/Valute[CharCode=""""USD""""]/Value"")*I158)"),"")</f>
        <v>#NAME?</v>
      </c>
      <c r="K158" s="71"/>
      <c r="L158" s="71"/>
      <c r="M158" s="71"/>
      <c r="N158" s="71" t="str">
        <f ca="1">IF(H158="","",IF(D158="usdt",H158,IF(C158="Binance",VLOOKUP(E158,'Курсы Бинанса'!B:C,2,FALSE),IF(C158="bybit",VLOOKUP(E158,'Курсы Bybit'!B:C,2,FALSE),IF(C158="OKX",VLOOKUP(E158,'Курсы OKX'!A:D,4,FALSE),IF(C158="huobi",VLOOKUP(E158,'Курсы Huobi'!B:C,2,FALSE),"! укажите биржу"))))))</f>
        <v/>
      </c>
      <c r="O158" s="71" t="str">
        <f t="shared" si="12"/>
        <v/>
      </c>
      <c r="P158" s="71" t="str">
        <f t="shared" si="13"/>
        <v/>
      </c>
      <c r="Q158" s="75" t="str">
        <f t="shared" si="14"/>
        <v/>
      </c>
      <c r="R158" s="76"/>
    </row>
    <row r="159" spans="1:18" ht="14.25" customHeight="1">
      <c r="A159" s="67"/>
      <c r="B159" s="68"/>
      <c r="C159" s="69"/>
      <c r="D159" s="69" t="str">
        <f ca="1">IF(B159="","",VLOOKUP('Журнал Закупок'!$B159,'СТ Криптовалюта'!B:C,2,0))</f>
        <v/>
      </c>
      <c r="E159" s="68" t="str">
        <f t="shared" si="10"/>
        <v/>
      </c>
      <c r="F159" s="70"/>
      <c r="G159" s="71"/>
      <c r="H159" s="71"/>
      <c r="I159" s="71" t="str">
        <f t="shared" si="11"/>
        <v/>
      </c>
      <c r="J159" s="71" t="e">
        <f ca="1">IFERROR(__xludf.DUMMYFUNCTION("IF(I159="""","""",IMPORTXML(""http://www.cbr.ru/scripts/XML_daily.asp?date_req=""&amp;TEXT(A159,""DD/MM/YYYY""), ""//ValCurs/Valute[CharCode=""""USD""""]/Value"")*I159)"),"")</f>
        <v>#NAME?</v>
      </c>
      <c r="K159" s="71"/>
      <c r="L159" s="71"/>
      <c r="M159" s="71"/>
      <c r="N159" s="71" t="str">
        <f ca="1">IF(H159="","",IF(D159="usdt",H159,IF(C159="Binance",VLOOKUP(E159,'Курсы Бинанса'!B:C,2,FALSE),IF(C159="bybit",VLOOKUP(E159,'Курсы Bybit'!B:C,2,FALSE),IF(C159="OKX",VLOOKUP(E159,'Курсы OKX'!A:D,4,FALSE),IF(C159="huobi",VLOOKUP(E159,'Курсы Huobi'!B:C,2,FALSE),"! укажите биржу"))))))</f>
        <v/>
      </c>
      <c r="O159" s="71" t="str">
        <f t="shared" si="12"/>
        <v/>
      </c>
      <c r="P159" s="71" t="str">
        <f t="shared" si="13"/>
        <v/>
      </c>
      <c r="Q159" s="75" t="str">
        <f t="shared" si="14"/>
        <v/>
      </c>
      <c r="R159" s="76"/>
    </row>
    <row r="160" spans="1:18" ht="14.25" customHeight="1">
      <c r="A160" s="67"/>
      <c r="B160" s="68"/>
      <c r="C160" s="69"/>
      <c r="D160" s="69" t="str">
        <f ca="1">IF(B160="","",VLOOKUP('Журнал Закупок'!$B160,'СТ Криптовалюта'!B:C,2,0))</f>
        <v/>
      </c>
      <c r="E160" s="68" t="str">
        <f t="shared" si="10"/>
        <v/>
      </c>
      <c r="F160" s="70"/>
      <c r="G160" s="71"/>
      <c r="H160" s="71"/>
      <c r="I160" s="71" t="str">
        <f t="shared" si="11"/>
        <v/>
      </c>
      <c r="J160" s="71" t="e">
        <f ca="1">IFERROR(__xludf.DUMMYFUNCTION("IF(I160="""","""",IMPORTXML(""http://www.cbr.ru/scripts/XML_daily.asp?date_req=""&amp;TEXT(A160,""DD/MM/YYYY""), ""//ValCurs/Valute[CharCode=""""USD""""]/Value"")*I160)"),"")</f>
        <v>#NAME?</v>
      </c>
      <c r="K160" s="71"/>
      <c r="L160" s="71"/>
      <c r="M160" s="71"/>
      <c r="N160" s="71" t="str">
        <f ca="1">IF(H160="","",IF(D160="usdt",H160,IF(C160="Binance",VLOOKUP(E160,'Курсы Бинанса'!B:C,2,FALSE),IF(C160="bybit",VLOOKUP(E160,'Курсы Bybit'!B:C,2,FALSE),IF(C160="OKX",VLOOKUP(E160,'Курсы OKX'!A:D,4,FALSE),IF(C160="huobi",VLOOKUP(E160,'Курсы Huobi'!B:C,2,FALSE),"! укажите биржу"))))))</f>
        <v/>
      </c>
      <c r="O160" s="71" t="str">
        <f t="shared" si="12"/>
        <v/>
      </c>
      <c r="P160" s="71" t="str">
        <f t="shared" si="13"/>
        <v/>
      </c>
      <c r="Q160" s="75" t="str">
        <f t="shared" si="14"/>
        <v/>
      </c>
      <c r="R160" s="76"/>
    </row>
    <row r="161" spans="1:18" ht="14.25" customHeight="1">
      <c r="A161" s="67"/>
      <c r="B161" s="68"/>
      <c r="C161" s="69"/>
      <c r="D161" s="69" t="str">
        <f ca="1">IF(B161="","",VLOOKUP('Журнал Закупок'!$B161,'СТ Криптовалюта'!B:C,2,0))</f>
        <v/>
      </c>
      <c r="E161" s="68" t="str">
        <f t="shared" si="10"/>
        <v/>
      </c>
      <c r="F161" s="70"/>
      <c r="G161" s="71"/>
      <c r="H161" s="71"/>
      <c r="I161" s="71" t="str">
        <f t="shared" si="11"/>
        <v/>
      </c>
      <c r="J161" s="71" t="e">
        <f ca="1">IFERROR(__xludf.DUMMYFUNCTION("IF(I161="""","""",IMPORTXML(""http://www.cbr.ru/scripts/XML_daily.asp?date_req=""&amp;TEXT(A161,""DD/MM/YYYY""), ""//ValCurs/Valute[CharCode=""""USD""""]/Value"")*I161)"),"")</f>
        <v>#NAME?</v>
      </c>
      <c r="K161" s="71"/>
      <c r="L161" s="71"/>
      <c r="M161" s="71"/>
      <c r="N161" s="71" t="str">
        <f ca="1">IF(H161="","",IF(D161="usdt",H161,IF(C161="Binance",VLOOKUP(E161,'Курсы Бинанса'!B:C,2,FALSE),IF(C161="bybit",VLOOKUP(E161,'Курсы Bybit'!B:C,2,FALSE),IF(C161="OKX",VLOOKUP(E161,'Курсы OKX'!A:D,4,FALSE),IF(C161="huobi",VLOOKUP(E161,'Курсы Huobi'!B:C,2,FALSE),"! укажите биржу"))))))</f>
        <v/>
      </c>
      <c r="O161" s="71" t="str">
        <f t="shared" si="12"/>
        <v/>
      </c>
      <c r="P161" s="71" t="str">
        <f t="shared" si="13"/>
        <v/>
      </c>
      <c r="Q161" s="75" t="str">
        <f t="shared" si="14"/>
        <v/>
      </c>
      <c r="R161" s="76"/>
    </row>
    <row r="162" spans="1:18" ht="14.25" customHeight="1">
      <c r="A162" s="67"/>
      <c r="B162" s="68"/>
      <c r="C162" s="69"/>
      <c r="D162" s="69" t="str">
        <f ca="1">IF(B162="","",VLOOKUP('Журнал Закупок'!$B162,'СТ Криптовалюта'!B:C,2,0))</f>
        <v/>
      </c>
      <c r="E162" s="68" t="str">
        <f t="shared" si="10"/>
        <v/>
      </c>
      <c r="F162" s="70"/>
      <c r="G162" s="71"/>
      <c r="H162" s="71"/>
      <c r="I162" s="71" t="str">
        <f t="shared" si="11"/>
        <v/>
      </c>
      <c r="J162" s="71" t="e">
        <f ca="1">IFERROR(__xludf.DUMMYFUNCTION("IF(I162="""","""",IMPORTXML(""http://www.cbr.ru/scripts/XML_daily.asp?date_req=""&amp;TEXT(A162,""DD/MM/YYYY""), ""//ValCurs/Valute[CharCode=""""USD""""]/Value"")*I162)"),"")</f>
        <v>#NAME?</v>
      </c>
      <c r="K162" s="71"/>
      <c r="L162" s="71"/>
      <c r="M162" s="71"/>
      <c r="N162" s="71" t="str">
        <f ca="1">IF(H162="","",IF(D162="usdt",H162,IF(C162="Binance",VLOOKUP(E162,'Курсы Бинанса'!B:C,2,FALSE),IF(C162="bybit",VLOOKUP(E162,'Курсы Bybit'!B:C,2,FALSE),IF(C162="OKX",VLOOKUP(E162,'Курсы OKX'!A:D,4,FALSE),IF(C162="huobi",VLOOKUP(E162,'Курсы Huobi'!B:C,2,FALSE),"! укажите биржу"))))))</f>
        <v/>
      </c>
      <c r="O162" s="71" t="str">
        <f t="shared" si="12"/>
        <v/>
      </c>
      <c r="P162" s="71" t="str">
        <f t="shared" si="13"/>
        <v/>
      </c>
      <c r="Q162" s="75" t="str">
        <f t="shared" si="14"/>
        <v/>
      </c>
      <c r="R162" s="76"/>
    </row>
    <row r="163" spans="1:18" ht="14.25" customHeight="1">
      <c r="A163" s="67"/>
      <c r="B163" s="68"/>
      <c r="C163" s="69"/>
      <c r="D163" s="69" t="str">
        <f ca="1">IF(B163="","",VLOOKUP('Журнал Закупок'!$B163,'СТ Криптовалюта'!B:C,2,0))</f>
        <v/>
      </c>
      <c r="E163" s="68" t="str">
        <f t="shared" si="10"/>
        <v/>
      </c>
      <c r="F163" s="70"/>
      <c r="G163" s="71"/>
      <c r="H163" s="71"/>
      <c r="I163" s="71" t="str">
        <f t="shared" si="11"/>
        <v/>
      </c>
      <c r="J163" s="71" t="e">
        <f ca="1">IFERROR(__xludf.DUMMYFUNCTION("IF(I163="""","""",IMPORTXML(""http://www.cbr.ru/scripts/XML_daily.asp?date_req=""&amp;TEXT(A163,""DD/MM/YYYY""), ""//ValCurs/Valute[CharCode=""""USD""""]/Value"")*I163)"),"")</f>
        <v>#NAME?</v>
      </c>
      <c r="K163" s="71"/>
      <c r="L163" s="71"/>
      <c r="M163" s="71"/>
      <c r="N163" s="71" t="str">
        <f ca="1">IF(H163="","",IF(D163="usdt",H163,IF(C163="Binance",VLOOKUP(E163,'Курсы Бинанса'!B:C,2,FALSE),IF(C163="bybit",VLOOKUP(E163,'Курсы Bybit'!B:C,2,FALSE),IF(C163="OKX",VLOOKUP(E163,'Курсы OKX'!A:D,4,FALSE),IF(C163="huobi",VLOOKUP(E163,'Курсы Huobi'!B:C,2,FALSE),"! укажите биржу"))))))</f>
        <v/>
      </c>
      <c r="O163" s="71" t="str">
        <f t="shared" si="12"/>
        <v/>
      </c>
      <c r="P163" s="71" t="str">
        <f t="shared" si="13"/>
        <v/>
      </c>
      <c r="Q163" s="75" t="str">
        <f t="shared" si="14"/>
        <v/>
      </c>
      <c r="R163" s="76"/>
    </row>
    <row r="164" spans="1:18" ht="14.25" customHeight="1">
      <c r="A164" s="67"/>
      <c r="B164" s="68"/>
      <c r="C164" s="69"/>
      <c r="D164" s="69" t="str">
        <f ca="1">IF(B164="","",VLOOKUP('Журнал Закупок'!$B164,'СТ Криптовалюта'!B:C,2,0))</f>
        <v/>
      </c>
      <c r="E164" s="68" t="str">
        <f t="shared" si="10"/>
        <v/>
      </c>
      <c r="F164" s="70"/>
      <c r="G164" s="71"/>
      <c r="H164" s="71"/>
      <c r="I164" s="71" t="str">
        <f t="shared" si="11"/>
        <v/>
      </c>
      <c r="J164" s="71" t="e">
        <f ca="1">IFERROR(__xludf.DUMMYFUNCTION("IF(I164="""","""",IMPORTXML(""http://www.cbr.ru/scripts/XML_daily.asp?date_req=""&amp;TEXT(A164,""DD/MM/YYYY""), ""//ValCurs/Valute[CharCode=""""USD""""]/Value"")*I164)"),"")</f>
        <v>#NAME?</v>
      </c>
      <c r="K164" s="71"/>
      <c r="L164" s="71"/>
      <c r="M164" s="71"/>
      <c r="N164" s="71" t="str">
        <f ca="1">IF(H164="","",IF(D164="usdt",H164,IF(C164="Binance",VLOOKUP(E164,'Курсы Бинанса'!B:C,2,FALSE),IF(C164="bybit",VLOOKUP(E164,'Курсы Bybit'!B:C,2,FALSE),IF(C164="OKX",VLOOKUP(E164,'Курсы OKX'!A:D,4,FALSE),IF(C164="huobi",VLOOKUP(E164,'Курсы Huobi'!B:C,2,FALSE),"! укажите биржу"))))))</f>
        <v/>
      </c>
      <c r="O164" s="71" t="str">
        <f t="shared" si="12"/>
        <v/>
      </c>
      <c r="P164" s="71" t="str">
        <f t="shared" si="13"/>
        <v/>
      </c>
      <c r="Q164" s="75" t="str">
        <f t="shared" si="14"/>
        <v/>
      </c>
      <c r="R164" s="76"/>
    </row>
    <row r="165" spans="1:18" ht="14.25" customHeight="1">
      <c r="A165" s="67"/>
      <c r="B165" s="68"/>
      <c r="C165" s="69"/>
      <c r="D165" s="69" t="str">
        <f ca="1">IF(B165="","",VLOOKUP('Журнал Закупок'!$B165,'СТ Криптовалюта'!B:C,2,0))</f>
        <v/>
      </c>
      <c r="E165" s="68" t="str">
        <f t="shared" si="10"/>
        <v/>
      </c>
      <c r="F165" s="70"/>
      <c r="G165" s="71"/>
      <c r="H165" s="71"/>
      <c r="I165" s="71" t="str">
        <f t="shared" si="11"/>
        <v/>
      </c>
      <c r="J165" s="71" t="e">
        <f ca="1">IFERROR(__xludf.DUMMYFUNCTION("IF(I165="""","""",IMPORTXML(""http://www.cbr.ru/scripts/XML_daily.asp?date_req=""&amp;TEXT(A165,""DD/MM/YYYY""), ""//ValCurs/Valute[CharCode=""""USD""""]/Value"")*I165)"),"")</f>
        <v>#NAME?</v>
      </c>
      <c r="K165" s="71"/>
      <c r="L165" s="71"/>
      <c r="M165" s="71"/>
      <c r="N165" s="71" t="str">
        <f ca="1">IF(H165="","",IF(D165="usdt",H165,IF(C165="Binance",VLOOKUP(E165,'Курсы Бинанса'!B:C,2,FALSE),IF(C165="bybit",VLOOKUP(E165,'Курсы Bybit'!B:C,2,FALSE),IF(C165="OKX",VLOOKUP(E165,'Курсы OKX'!A:D,4,FALSE),IF(C165="huobi",VLOOKUP(E165,'Курсы Huobi'!B:C,2,FALSE),"! укажите биржу"))))))</f>
        <v/>
      </c>
      <c r="O165" s="71" t="str">
        <f t="shared" si="12"/>
        <v/>
      </c>
      <c r="P165" s="71" t="str">
        <f t="shared" si="13"/>
        <v/>
      </c>
      <c r="Q165" s="75" t="str">
        <f t="shared" si="14"/>
        <v/>
      </c>
      <c r="R165" s="76"/>
    </row>
    <row r="166" spans="1:18" ht="14.25" customHeight="1">
      <c r="A166" s="67"/>
      <c r="B166" s="68"/>
      <c r="C166" s="69"/>
      <c r="D166" s="69" t="str">
        <f ca="1">IF(B166="","",VLOOKUP('Журнал Закупок'!$B166,'СТ Криптовалюта'!B:C,2,0))</f>
        <v/>
      </c>
      <c r="E166" s="68" t="str">
        <f t="shared" si="10"/>
        <v/>
      </c>
      <c r="F166" s="70"/>
      <c r="G166" s="71"/>
      <c r="H166" s="71"/>
      <c r="I166" s="71" t="str">
        <f t="shared" si="11"/>
        <v/>
      </c>
      <c r="J166" s="71" t="e">
        <f ca="1">IFERROR(__xludf.DUMMYFUNCTION("IF(I166="""","""",IMPORTXML(""http://www.cbr.ru/scripts/XML_daily.asp?date_req=""&amp;TEXT(A166,""DD/MM/YYYY""), ""//ValCurs/Valute[CharCode=""""USD""""]/Value"")*I166)"),"")</f>
        <v>#NAME?</v>
      </c>
      <c r="K166" s="71"/>
      <c r="L166" s="71"/>
      <c r="M166" s="71"/>
      <c r="N166" s="71" t="str">
        <f ca="1">IF(H166="","",IF(D166="usdt",H166,IF(C166="Binance",VLOOKUP(E166,'Курсы Бинанса'!B:C,2,FALSE),IF(C166="bybit",VLOOKUP(E166,'Курсы Bybit'!B:C,2,FALSE),IF(C166="OKX",VLOOKUP(E166,'Курсы OKX'!A:D,4,FALSE),IF(C166="huobi",VLOOKUP(E166,'Курсы Huobi'!B:C,2,FALSE),"! укажите биржу"))))))</f>
        <v/>
      </c>
      <c r="O166" s="71" t="str">
        <f t="shared" si="12"/>
        <v/>
      </c>
      <c r="P166" s="71" t="str">
        <f t="shared" si="13"/>
        <v/>
      </c>
      <c r="Q166" s="75" t="str">
        <f t="shared" si="14"/>
        <v/>
      </c>
      <c r="R166" s="76"/>
    </row>
    <row r="167" spans="1:18" ht="14.25" customHeight="1">
      <c r="A167" s="67"/>
      <c r="B167" s="68"/>
      <c r="C167" s="69"/>
      <c r="D167" s="69" t="str">
        <f ca="1">IF(B167="","",VLOOKUP('Журнал Закупок'!$B167,'СТ Криптовалюта'!B:C,2,0))</f>
        <v/>
      </c>
      <c r="E167" s="68" t="str">
        <f t="shared" si="10"/>
        <v/>
      </c>
      <c r="F167" s="70"/>
      <c r="G167" s="71"/>
      <c r="H167" s="71"/>
      <c r="I167" s="71" t="str">
        <f t="shared" si="11"/>
        <v/>
      </c>
      <c r="J167" s="71" t="e">
        <f ca="1">IFERROR(__xludf.DUMMYFUNCTION("IF(I167="""","""",IMPORTXML(""http://www.cbr.ru/scripts/XML_daily.asp?date_req=""&amp;TEXT(A167,""DD/MM/YYYY""), ""//ValCurs/Valute[CharCode=""""USD""""]/Value"")*I167)"),"")</f>
        <v>#NAME?</v>
      </c>
      <c r="K167" s="71"/>
      <c r="L167" s="71"/>
      <c r="M167" s="71"/>
      <c r="N167" s="71" t="str">
        <f ca="1">IF(H167="","",IF(D167="usdt",H167,IF(C167="Binance",VLOOKUP(E167,'Курсы Бинанса'!B:C,2,FALSE),IF(C167="bybit",VLOOKUP(E167,'Курсы Bybit'!B:C,2,FALSE),IF(C167="OKX",VLOOKUP(E167,'Курсы OKX'!A:D,4,FALSE),IF(C167="huobi",VLOOKUP(E167,'Курсы Huobi'!B:C,2,FALSE),"! укажите биржу"))))))</f>
        <v/>
      </c>
      <c r="O167" s="71" t="str">
        <f t="shared" si="12"/>
        <v/>
      </c>
      <c r="P167" s="71" t="str">
        <f t="shared" si="13"/>
        <v/>
      </c>
      <c r="Q167" s="75" t="str">
        <f t="shared" si="14"/>
        <v/>
      </c>
      <c r="R167" s="76"/>
    </row>
    <row r="168" spans="1:18" ht="14.25" customHeight="1">
      <c r="A168" s="67"/>
      <c r="B168" s="68"/>
      <c r="C168" s="69"/>
      <c r="D168" s="69" t="str">
        <f ca="1">IF(B168="","",VLOOKUP('Журнал Закупок'!$B168,'СТ Криптовалюта'!B:C,2,0))</f>
        <v/>
      </c>
      <c r="E168" s="68" t="str">
        <f t="shared" si="10"/>
        <v/>
      </c>
      <c r="F168" s="70"/>
      <c r="G168" s="71"/>
      <c r="H168" s="71"/>
      <c r="I168" s="71" t="str">
        <f t="shared" si="11"/>
        <v/>
      </c>
      <c r="J168" s="71" t="e">
        <f ca="1">IFERROR(__xludf.DUMMYFUNCTION("IF(I168="""","""",IMPORTXML(""http://www.cbr.ru/scripts/XML_daily.asp?date_req=""&amp;TEXT(A168,""DD/MM/YYYY""), ""//ValCurs/Valute[CharCode=""""USD""""]/Value"")*I168)"),"")</f>
        <v>#NAME?</v>
      </c>
      <c r="K168" s="71"/>
      <c r="L168" s="71"/>
      <c r="M168" s="71"/>
      <c r="N168" s="71" t="str">
        <f ca="1">IF(H168="","",IF(D168="usdt",H168,IF(C168="Binance",VLOOKUP(E168,'Курсы Бинанса'!B:C,2,FALSE),IF(C168="bybit",VLOOKUP(E168,'Курсы Bybit'!B:C,2,FALSE),IF(C168="OKX",VLOOKUP(E168,'Курсы OKX'!A:D,4,FALSE),IF(C168="huobi",VLOOKUP(E168,'Курсы Huobi'!B:C,2,FALSE),"! укажите биржу"))))))</f>
        <v/>
      </c>
      <c r="O168" s="71" t="str">
        <f t="shared" si="12"/>
        <v/>
      </c>
      <c r="P168" s="71" t="str">
        <f t="shared" si="13"/>
        <v/>
      </c>
      <c r="Q168" s="75" t="str">
        <f t="shared" si="14"/>
        <v/>
      </c>
      <c r="R168" s="76"/>
    </row>
    <row r="169" spans="1:18" ht="14.25" customHeight="1">
      <c r="A169" s="67"/>
      <c r="B169" s="68"/>
      <c r="C169" s="69"/>
      <c r="D169" s="69" t="str">
        <f ca="1">IF(B169="","",VLOOKUP('Журнал Закупок'!$B169,'СТ Криптовалюта'!B:C,2,0))</f>
        <v/>
      </c>
      <c r="E169" s="68" t="str">
        <f t="shared" si="10"/>
        <v/>
      </c>
      <c r="F169" s="70"/>
      <c r="G169" s="71"/>
      <c r="H169" s="71"/>
      <c r="I169" s="71" t="str">
        <f t="shared" si="11"/>
        <v/>
      </c>
      <c r="J169" s="71" t="e">
        <f ca="1">IFERROR(__xludf.DUMMYFUNCTION("IF(I169="""","""",IMPORTXML(""http://www.cbr.ru/scripts/XML_daily.asp?date_req=""&amp;TEXT(A169,""DD/MM/YYYY""), ""//ValCurs/Valute[CharCode=""""USD""""]/Value"")*I169)"),"")</f>
        <v>#NAME?</v>
      </c>
      <c r="K169" s="71"/>
      <c r="L169" s="71"/>
      <c r="M169" s="71"/>
      <c r="N169" s="71" t="str">
        <f ca="1">IF(H169="","",IF(D169="usdt",H169,IF(C169="Binance",VLOOKUP(E169,'Курсы Бинанса'!B:C,2,FALSE),IF(C169="bybit",VLOOKUP(E169,'Курсы Bybit'!B:C,2,FALSE),IF(C169="OKX",VLOOKUP(E169,'Курсы OKX'!A:D,4,FALSE),IF(C169="huobi",VLOOKUP(E169,'Курсы Huobi'!B:C,2,FALSE),"! укажите биржу"))))))</f>
        <v/>
      </c>
      <c r="O169" s="71" t="str">
        <f t="shared" si="12"/>
        <v/>
      </c>
      <c r="P169" s="71" t="str">
        <f t="shared" si="13"/>
        <v/>
      </c>
      <c r="Q169" s="75" t="str">
        <f t="shared" si="14"/>
        <v/>
      </c>
      <c r="R169" s="76"/>
    </row>
    <row r="170" spans="1:18" ht="14.25" customHeight="1">
      <c r="A170" s="67"/>
      <c r="B170" s="68"/>
      <c r="C170" s="69"/>
      <c r="D170" s="69" t="str">
        <f ca="1">IF(B170="","",VLOOKUP('Журнал Закупок'!$B170,'СТ Криптовалюта'!B:C,2,0))</f>
        <v/>
      </c>
      <c r="E170" s="68" t="str">
        <f t="shared" si="10"/>
        <v/>
      </c>
      <c r="F170" s="70"/>
      <c r="G170" s="71"/>
      <c r="H170" s="71"/>
      <c r="I170" s="71" t="str">
        <f t="shared" si="11"/>
        <v/>
      </c>
      <c r="J170" s="71" t="e">
        <f ca="1">IFERROR(__xludf.DUMMYFUNCTION("IF(I170="""","""",IMPORTXML(""http://www.cbr.ru/scripts/XML_daily.asp?date_req=""&amp;TEXT(A170,""DD/MM/YYYY""), ""//ValCurs/Valute[CharCode=""""USD""""]/Value"")*I170)"),"")</f>
        <v>#NAME?</v>
      </c>
      <c r="K170" s="71"/>
      <c r="L170" s="71"/>
      <c r="M170" s="71"/>
      <c r="N170" s="71" t="str">
        <f ca="1">IF(H170="","",IF(D170="usdt",H170,IF(C170="Binance",VLOOKUP(E170,'Курсы Бинанса'!B:C,2,FALSE),IF(C170="bybit",VLOOKUP(E170,'Курсы Bybit'!B:C,2,FALSE),IF(C170="OKX",VLOOKUP(E170,'Курсы OKX'!A:D,4,FALSE),IF(C170="huobi",VLOOKUP(E170,'Курсы Huobi'!B:C,2,FALSE),"! укажите биржу"))))))</f>
        <v/>
      </c>
      <c r="O170" s="71" t="str">
        <f t="shared" si="12"/>
        <v/>
      </c>
      <c r="P170" s="71" t="str">
        <f t="shared" si="13"/>
        <v/>
      </c>
      <c r="Q170" s="75" t="str">
        <f t="shared" si="14"/>
        <v/>
      </c>
      <c r="R170" s="76"/>
    </row>
    <row r="171" spans="1:18" ht="14.25" customHeight="1">
      <c r="A171" s="67"/>
      <c r="B171" s="68"/>
      <c r="C171" s="69"/>
      <c r="D171" s="69" t="str">
        <f ca="1">IF(B171="","",VLOOKUP('Журнал Закупок'!$B171,'СТ Криптовалюта'!B:C,2,0))</f>
        <v/>
      </c>
      <c r="E171" s="68" t="str">
        <f t="shared" si="10"/>
        <v/>
      </c>
      <c r="F171" s="70"/>
      <c r="G171" s="71"/>
      <c r="H171" s="71"/>
      <c r="I171" s="71" t="str">
        <f t="shared" si="11"/>
        <v/>
      </c>
      <c r="J171" s="71" t="e">
        <f ca="1">IFERROR(__xludf.DUMMYFUNCTION("IF(I171="""","""",IMPORTXML(""http://www.cbr.ru/scripts/XML_daily.asp?date_req=""&amp;TEXT(A171,""DD/MM/YYYY""), ""//ValCurs/Valute[CharCode=""""USD""""]/Value"")*I171)"),"")</f>
        <v>#NAME?</v>
      </c>
      <c r="K171" s="71"/>
      <c r="L171" s="71"/>
      <c r="M171" s="71"/>
      <c r="N171" s="71" t="str">
        <f ca="1">IF(H171="","",IF(D171="usdt",H171,IF(C171="Binance",VLOOKUP(E171,'Курсы Бинанса'!B:C,2,FALSE),IF(C171="bybit",VLOOKUP(E171,'Курсы Bybit'!B:C,2,FALSE),IF(C171="OKX",VLOOKUP(E171,'Курсы OKX'!A:D,4,FALSE),IF(C171="huobi",VLOOKUP(E171,'Курсы Huobi'!B:C,2,FALSE),"! укажите биржу"))))))</f>
        <v/>
      </c>
      <c r="O171" s="71" t="str">
        <f t="shared" si="12"/>
        <v/>
      </c>
      <c r="P171" s="71" t="str">
        <f t="shared" si="13"/>
        <v/>
      </c>
      <c r="Q171" s="75" t="str">
        <f t="shared" si="14"/>
        <v/>
      </c>
      <c r="R171" s="76"/>
    </row>
    <row r="172" spans="1:18" ht="14.25" customHeight="1">
      <c r="A172" s="67"/>
      <c r="B172" s="68"/>
      <c r="C172" s="69"/>
      <c r="D172" s="69" t="str">
        <f ca="1">IF(B172="","",VLOOKUP('Журнал Закупок'!$B172,'СТ Криптовалюта'!B:C,2,0))</f>
        <v/>
      </c>
      <c r="E172" s="68" t="str">
        <f t="shared" si="10"/>
        <v/>
      </c>
      <c r="F172" s="70"/>
      <c r="G172" s="71"/>
      <c r="H172" s="71"/>
      <c r="I172" s="71" t="str">
        <f t="shared" si="11"/>
        <v/>
      </c>
      <c r="J172" s="71" t="e">
        <f ca="1">IFERROR(__xludf.DUMMYFUNCTION("IF(I172="""","""",IMPORTXML(""http://www.cbr.ru/scripts/XML_daily.asp?date_req=""&amp;TEXT(A172,""DD/MM/YYYY""), ""//ValCurs/Valute[CharCode=""""USD""""]/Value"")*I172)"),"")</f>
        <v>#NAME?</v>
      </c>
      <c r="K172" s="71"/>
      <c r="L172" s="71"/>
      <c r="M172" s="71"/>
      <c r="N172" s="71" t="str">
        <f ca="1">IF(H172="","",IF(D172="usdt",H172,IF(C172="Binance",VLOOKUP(E172,'Курсы Бинанса'!B:C,2,FALSE),IF(C172="bybit",VLOOKUP(E172,'Курсы Bybit'!B:C,2,FALSE),IF(C172="OKX",VLOOKUP(E172,'Курсы OKX'!A:D,4,FALSE),IF(C172="huobi",VLOOKUP(E172,'Курсы Huobi'!B:C,2,FALSE),"! укажите биржу"))))))</f>
        <v/>
      </c>
      <c r="O172" s="71" t="str">
        <f t="shared" si="12"/>
        <v/>
      </c>
      <c r="P172" s="71" t="str">
        <f t="shared" si="13"/>
        <v/>
      </c>
      <c r="Q172" s="75" t="str">
        <f t="shared" si="14"/>
        <v/>
      </c>
      <c r="R172" s="76"/>
    </row>
    <row r="173" spans="1:18" ht="14.25" customHeight="1">
      <c r="A173" s="67"/>
      <c r="B173" s="68"/>
      <c r="C173" s="69"/>
      <c r="D173" s="69" t="str">
        <f ca="1">IF(B173="","",VLOOKUP('Журнал Закупок'!$B173,'СТ Криптовалюта'!B:C,2,0))</f>
        <v/>
      </c>
      <c r="E173" s="68" t="str">
        <f t="shared" si="10"/>
        <v/>
      </c>
      <c r="F173" s="70"/>
      <c r="G173" s="71"/>
      <c r="H173" s="71"/>
      <c r="I173" s="71" t="str">
        <f t="shared" si="11"/>
        <v/>
      </c>
      <c r="J173" s="71" t="e">
        <f ca="1">IFERROR(__xludf.DUMMYFUNCTION("IF(I173="""","""",IMPORTXML(""http://www.cbr.ru/scripts/XML_daily.asp?date_req=""&amp;TEXT(A173,""DD/MM/YYYY""), ""//ValCurs/Valute[CharCode=""""USD""""]/Value"")*I173)"),"")</f>
        <v>#NAME?</v>
      </c>
      <c r="K173" s="71"/>
      <c r="L173" s="71"/>
      <c r="M173" s="71"/>
      <c r="N173" s="71" t="str">
        <f ca="1">IF(H173="","",IF(D173="usdt",H173,IF(C173="Binance",VLOOKUP(E173,'Курсы Бинанса'!B:C,2,FALSE),IF(C173="bybit",VLOOKUP(E173,'Курсы Bybit'!B:C,2,FALSE),IF(C173="OKX",VLOOKUP(E173,'Курсы OKX'!A:D,4,FALSE),IF(C173="huobi",VLOOKUP(E173,'Курсы Huobi'!B:C,2,FALSE),"! укажите биржу"))))))</f>
        <v/>
      </c>
      <c r="O173" s="71" t="str">
        <f t="shared" si="12"/>
        <v/>
      </c>
      <c r="P173" s="71" t="str">
        <f t="shared" si="13"/>
        <v/>
      </c>
      <c r="Q173" s="75" t="str">
        <f t="shared" si="14"/>
        <v/>
      </c>
      <c r="R173" s="76"/>
    </row>
    <row r="174" spans="1:18" ht="14.25" customHeight="1">
      <c r="A174" s="67"/>
      <c r="B174" s="68"/>
      <c r="C174" s="69"/>
      <c r="D174" s="69" t="str">
        <f ca="1">IF(B174="","",VLOOKUP('Журнал Закупок'!$B174,'СТ Криптовалюта'!B:C,2,0))</f>
        <v/>
      </c>
      <c r="E174" s="68" t="str">
        <f t="shared" ref="E174:E237" si="15">IF(D174="","",CONCATENATE(D174,"USDT"))</f>
        <v/>
      </c>
      <c r="F174" s="70"/>
      <c r="G174" s="71"/>
      <c r="H174" s="71"/>
      <c r="I174" s="71" t="str">
        <f t="shared" ref="I174:I237" si="16">IF(H174="","",ROUND(G174*H174,5))</f>
        <v/>
      </c>
      <c r="J174" s="71" t="e">
        <f ca="1">IFERROR(__xludf.DUMMYFUNCTION("IF(I174="""","""",IMPORTXML(""http://www.cbr.ru/scripts/XML_daily.asp?date_req=""&amp;TEXT(A174,""DD/MM/YYYY""), ""//ValCurs/Valute[CharCode=""""USD""""]/Value"")*I174)"),"")</f>
        <v>#NAME?</v>
      </c>
      <c r="K174" s="71"/>
      <c r="L174" s="71"/>
      <c r="M174" s="71"/>
      <c r="N174" s="71" t="str">
        <f ca="1">IF(H174="","",IF(D174="usdt",H174,IF(C174="Binance",VLOOKUP(E174,'Курсы Бинанса'!B:C,2,FALSE),IF(C174="bybit",VLOOKUP(E174,'Курсы Bybit'!B:C,2,FALSE),IF(C174="OKX",VLOOKUP(E174,'Курсы OKX'!A:D,4,FALSE),IF(C174="huobi",VLOOKUP(E174,'Курсы Huobi'!B:C,2,FALSE),"! укажите биржу"))))))</f>
        <v/>
      </c>
      <c r="O174" s="71" t="str">
        <f t="shared" ref="O174:O237" si="17">IF(N174="! укажите биржу","",IF(N174="","",N174*G174))</f>
        <v/>
      </c>
      <c r="P174" s="71" t="str">
        <f t="shared" ref="P174:P237" si="18">IF(N174="","",IF(N174="! укажите биржу","",ROUND(O174-I174,2)))</f>
        <v/>
      </c>
      <c r="Q174" s="75" t="str">
        <f t="shared" ref="Q174:Q237" si="19">IF(P174="","",ROUND(IFERROR((O174-I174)/I174,2),5))</f>
        <v/>
      </c>
      <c r="R174" s="76"/>
    </row>
    <row r="175" spans="1:18" ht="14.25" customHeight="1">
      <c r="A175" s="67"/>
      <c r="B175" s="68"/>
      <c r="C175" s="69"/>
      <c r="D175" s="69" t="str">
        <f ca="1">IF(B175="","",VLOOKUP('Журнал Закупок'!$B175,'СТ Криптовалюта'!B:C,2,0))</f>
        <v/>
      </c>
      <c r="E175" s="68" t="str">
        <f t="shared" si="15"/>
        <v/>
      </c>
      <c r="F175" s="70"/>
      <c r="G175" s="71"/>
      <c r="H175" s="71"/>
      <c r="I175" s="71" t="str">
        <f t="shared" si="16"/>
        <v/>
      </c>
      <c r="J175" s="71" t="e">
        <f ca="1">IFERROR(__xludf.DUMMYFUNCTION("IF(I175="""","""",IMPORTXML(""http://www.cbr.ru/scripts/XML_daily.asp?date_req=""&amp;TEXT(A175,""DD/MM/YYYY""), ""//ValCurs/Valute[CharCode=""""USD""""]/Value"")*I175)"),"")</f>
        <v>#NAME?</v>
      </c>
      <c r="K175" s="71"/>
      <c r="L175" s="71"/>
      <c r="M175" s="71"/>
      <c r="N175" s="71" t="str">
        <f ca="1">IF(H175="","",IF(D175="usdt",H175,IF(C175="Binance",VLOOKUP(E175,'Курсы Бинанса'!B:C,2,FALSE),IF(C175="bybit",VLOOKUP(E175,'Курсы Bybit'!B:C,2,FALSE),IF(C175="OKX",VLOOKUP(E175,'Курсы OKX'!A:D,4,FALSE),IF(C175="huobi",VLOOKUP(E175,'Курсы Huobi'!B:C,2,FALSE),"! укажите биржу"))))))</f>
        <v/>
      </c>
      <c r="O175" s="71" t="str">
        <f t="shared" si="17"/>
        <v/>
      </c>
      <c r="P175" s="71" t="str">
        <f t="shared" si="18"/>
        <v/>
      </c>
      <c r="Q175" s="75" t="str">
        <f t="shared" si="19"/>
        <v/>
      </c>
      <c r="R175" s="76"/>
    </row>
    <row r="176" spans="1:18" ht="14.25" customHeight="1">
      <c r="A176" s="67"/>
      <c r="B176" s="68"/>
      <c r="C176" s="69"/>
      <c r="D176" s="69" t="str">
        <f ca="1">IF(B176="","",VLOOKUP('Журнал Закупок'!$B176,'СТ Криптовалюта'!B:C,2,0))</f>
        <v/>
      </c>
      <c r="E176" s="68" t="str">
        <f t="shared" si="15"/>
        <v/>
      </c>
      <c r="F176" s="70"/>
      <c r="G176" s="71"/>
      <c r="H176" s="71"/>
      <c r="I176" s="71" t="str">
        <f t="shared" si="16"/>
        <v/>
      </c>
      <c r="J176" s="71" t="e">
        <f ca="1">IFERROR(__xludf.DUMMYFUNCTION("IF(I176="""","""",IMPORTXML(""http://www.cbr.ru/scripts/XML_daily.asp?date_req=""&amp;TEXT(A176,""DD/MM/YYYY""), ""//ValCurs/Valute[CharCode=""""USD""""]/Value"")*I176)"),"")</f>
        <v>#NAME?</v>
      </c>
      <c r="K176" s="71"/>
      <c r="L176" s="71"/>
      <c r="M176" s="71"/>
      <c r="N176" s="71" t="str">
        <f ca="1">IF(H176="","",IF(D176="usdt",H176,IF(C176="Binance",VLOOKUP(E176,'Курсы Бинанса'!B:C,2,FALSE),IF(C176="bybit",VLOOKUP(E176,'Курсы Bybit'!B:C,2,FALSE),IF(C176="OKX",VLOOKUP(E176,'Курсы OKX'!A:D,4,FALSE),IF(C176="huobi",VLOOKUP(E176,'Курсы Huobi'!B:C,2,FALSE),"! укажите биржу"))))))</f>
        <v/>
      </c>
      <c r="O176" s="71" t="str">
        <f t="shared" si="17"/>
        <v/>
      </c>
      <c r="P176" s="71" t="str">
        <f t="shared" si="18"/>
        <v/>
      </c>
      <c r="Q176" s="75" t="str">
        <f t="shared" si="19"/>
        <v/>
      </c>
      <c r="R176" s="76"/>
    </row>
    <row r="177" spans="1:18" ht="14.25" customHeight="1">
      <c r="A177" s="67"/>
      <c r="B177" s="68"/>
      <c r="C177" s="69"/>
      <c r="D177" s="69" t="str">
        <f ca="1">IF(B177="","",VLOOKUP('Журнал Закупок'!$B177,'СТ Криптовалюта'!B:C,2,0))</f>
        <v/>
      </c>
      <c r="E177" s="68" t="str">
        <f t="shared" si="15"/>
        <v/>
      </c>
      <c r="F177" s="70"/>
      <c r="G177" s="71"/>
      <c r="H177" s="71"/>
      <c r="I177" s="71" t="str">
        <f t="shared" si="16"/>
        <v/>
      </c>
      <c r="J177" s="71" t="e">
        <f ca="1">IFERROR(__xludf.DUMMYFUNCTION("IF(I177="""","""",IMPORTXML(""http://www.cbr.ru/scripts/XML_daily.asp?date_req=""&amp;TEXT(A177,""DD/MM/YYYY""), ""//ValCurs/Valute[CharCode=""""USD""""]/Value"")*I177)"),"")</f>
        <v>#NAME?</v>
      </c>
      <c r="K177" s="71"/>
      <c r="L177" s="71"/>
      <c r="M177" s="71"/>
      <c r="N177" s="71" t="str">
        <f ca="1">IF(H177="","",IF(D177="usdt",H177,IF(C177="Binance",VLOOKUP(E177,'Курсы Бинанса'!B:C,2,FALSE),IF(C177="bybit",VLOOKUP(E177,'Курсы Bybit'!B:C,2,FALSE),IF(C177="OKX",VLOOKUP(E177,'Курсы OKX'!A:D,4,FALSE),IF(C177="huobi",VLOOKUP(E177,'Курсы Huobi'!B:C,2,FALSE),"! укажите биржу"))))))</f>
        <v/>
      </c>
      <c r="O177" s="71" t="str">
        <f t="shared" si="17"/>
        <v/>
      </c>
      <c r="P177" s="71" t="str">
        <f t="shared" si="18"/>
        <v/>
      </c>
      <c r="Q177" s="75" t="str">
        <f t="shared" si="19"/>
        <v/>
      </c>
      <c r="R177" s="76"/>
    </row>
    <row r="178" spans="1:18" ht="14.25" customHeight="1">
      <c r="A178" s="67"/>
      <c r="B178" s="68"/>
      <c r="C178" s="69"/>
      <c r="D178" s="69" t="str">
        <f ca="1">IF(B178="","",VLOOKUP('Журнал Закупок'!$B178,'СТ Криптовалюта'!B:C,2,0))</f>
        <v/>
      </c>
      <c r="E178" s="68" t="str">
        <f t="shared" si="15"/>
        <v/>
      </c>
      <c r="F178" s="70"/>
      <c r="G178" s="71"/>
      <c r="H178" s="71"/>
      <c r="I178" s="71" t="str">
        <f t="shared" si="16"/>
        <v/>
      </c>
      <c r="J178" s="71" t="e">
        <f ca="1">IFERROR(__xludf.DUMMYFUNCTION("IF(I178="""","""",IMPORTXML(""http://www.cbr.ru/scripts/XML_daily.asp?date_req=""&amp;TEXT(A178,""DD/MM/YYYY""), ""//ValCurs/Valute[CharCode=""""USD""""]/Value"")*I178)"),"")</f>
        <v>#NAME?</v>
      </c>
      <c r="K178" s="71"/>
      <c r="L178" s="71"/>
      <c r="M178" s="71"/>
      <c r="N178" s="71" t="str">
        <f ca="1">IF(H178="","",IF(D178="usdt",H178,IF(C178="Binance",VLOOKUP(E178,'Курсы Бинанса'!B:C,2,FALSE),IF(C178="bybit",VLOOKUP(E178,'Курсы Bybit'!B:C,2,FALSE),IF(C178="OKX",VLOOKUP(E178,'Курсы OKX'!A:D,4,FALSE),IF(C178="huobi",VLOOKUP(E178,'Курсы Huobi'!B:C,2,FALSE),"! укажите биржу"))))))</f>
        <v/>
      </c>
      <c r="O178" s="71" t="str">
        <f t="shared" si="17"/>
        <v/>
      </c>
      <c r="P178" s="71" t="str">
        <f t="shared" si="18"/>
        <v/>
      </c>
      <c r="Q178" s="75" t="str">
        <f t="shared" si="19"/>
        <v/>
      </c>
      <c r="R178" s="76"/>
    </row>
    <row r="179" spans="1:18" ht="14.25" customHeight="1">
      <c r="A179" s="67"/>
      <c r="B179" s="68"/>
      <c r="C179" s="69"/>
      <c r="D179" s="69" t="str">
        <f ca="1">IF(B179="","",VLOOKUP('Журнал Закупок'!$B179,'СТ Криптовалюта'!B:C,2,0))</f>
        <v/>
      </c>
      <c r="E179" s="68" t="str">
        <f t="shared" si="15"/>
        <v/>
      </c>
      <c r="F179" s="70"/>
      <c r="G179" s="71"/>
      <c r="H179" s="71"/>
      <c r="I179" s="71" t="str">
        <f t="shared" si="16"/>
        <v/>
      </c>
      <c r="J179" s="71" t="e">
        <f ca="1">IFERROR(__xludf.DUMMYFUNCTION("IF(I179="""","""",IMPORTXML(""http://www.cbr.ru/scripts/XML_daily.asp?date_req=""&amp;TEXT(A179,""DD/MM/YYYY""), ""//ValCurs/Valute[CharCode=""""USD""""]/Value"")*I179)"),"")</f>
        <v>#NAME?</v>
      </c>
      <c r="K179" s="71"/>
      <c r="L179" s="71"/>
      <c r="M179" s="71"/>
      <c r="N179" s="71" t="str">
        <f ca="1">IF(H179="","",IF(D179="usdt",H179,IF(C179="Binance",VLOOKUP(E179,'Курсы Бинанса'!B:C,2,FALSE),IF(C179="bybit",VLOOKUP(E179,'Курсы Bybit'!B:C,2,FALSE),IF(C179="OKX",VLOOKUP(E179,'Курсы OKX'!A:D,4,FALSE),IF(C179="huobi",VLOOKUP(E179,'Курсы Huobi'!B:C,2,FALSE),"! укажите биржу"))))))</f>
        <v/>
      </c>
      <c r="O179" s="71" t="str">
        <f t="shared" si="17"/>
        <v/>
      </c>
      <c r="P179" s="71" t="str">
        <f t="shared" si="18"/>
        <v/>
      </c>
      <c r="Q179" s="75" t="str">
        <f t="shared" si="19"/>
        <v/>
      </c>
      <c r="R179" s="76"/>
    </row>
    <row r="180" spans="1:18" ht="14.25" customHeight="1">
      <c r="A180" s="67"/>
      <c r="B180" s="68"/>
      <c r="C180" s="69"/>
      <c r="D180" s="69" t="str">
        <f ca="1">IF(B180="","",VLOOKUP('Журнал Закупок'!$B180,'СТ Криптовалюта'!B:C,2,0))</f>
        <v/>
      </c>
      <c r="E180" s="68" t="str">
        <f t="shared" si="15"/>
        <v/>
      </c>
      <c r="F180" s="70"/>
      <c r="G180" s="71"/>
      <c r="H180" s="71"/>
      <c r="I180" s="71" t="str">
        <f t="shared" si="16"/>
        <v/>
      </c>
      <c r="J180" s="71" t="e">
        <f ca="1">IFERROR(__xludf.DUMMYFUNCTION("IF(I180="""","""",IMPORTXML(""http://www.cbr.ru/scripts/XML_daily.asp?date_req=""&amp;TEXT(A180,""DD/MM/YYYY""), ""//ValCurs/Valute[CharCode=""""USD""""]/Value"")*I180)"),"")</f>
        <v>#NAME?</v>
      </c>
      <c r="K180" s="71"/>
      <c r="L180" s="71"/>
      <c r="M180" s="71"/>
      <c r="N180" s="71" t="str">
        <f ca="1">IF(H180="","",IF(D180="usdt",H180,IF(C180="Binance",VLOOKUP(E180,'Курсы Бинанса'!B:C,2,FALSE),IF(C180="bybit",VLOOKUP(E180,'Курсы Bybit'!B:C,2,FALSE),IF(C180="OKX",VLOOKUP(E180,'Курсы OKX'!A:D,4,FALSE),IF(C180="huobi",VLOOKUP(E180,'Курсы Huobi'!B:C,2,FALSE),"! укажите биржу"))))))</f>
        <v/>
      </c>
      <c r="O180" s="71" t="str">
        <f t="shared" si="17"/>
        <v/>
      </c>
      <c r="P180" s="71" t="str">
        <f t="shared" si="18"/>
        <v/>
      </c>
      <c r="Q180" s="75" t="str">
        <f t="shared" si="19"/>
        <v/>
      </c>
      <c r="R180" s="76"/>
    </row>
    <row r="181" spans="1:18" ht="14.25" customHeight="1">
      <c r="A181" s="67"/>
      <c r="B181" s="68"/>
      <c r="C181" s="69"/>
      <c r="D181" s="69" t="str">
        <f ca="1">IF(B181="","",VLOOKUP('Журнал Закупок'!$B181,'СТ Криптовалюта'!B:C,2,0))</f>
        <v/>
      </c>
      <c r="E181" s="68" t="str">
        <f t="shared" si="15"/>
        <v/>
      </c>
      <c r="F181" s="70"/>
      <c r="G181" s="71"/>
      <c r="H181" s="71"/>
      <c r="I181" s="71" t="str">
        <f t="shared" si="16"/>
        <v/>
      </c>
      <c r="J181" s="71" t="e">
        <f ca="1">IFERROR(__xludf.DUMMYFUNCTION("IF(I181="""","""",IMPORTXML(""http://www.cbr.ru/scripts/XML_daily.asp?date_req=""&amp;TEXT(A181,""DD/MM/YYYY""), ""//ValCurs/Valute[CharCode=""""USD""""]/Value"")*I181)"),"")</f>
        <v>#NAME?</v>
      </c>
      <c r="K181" s="71"/>
      <c r="L181" s="71"/>
      <c r="M181" s="71"/>
      <c r="N181" s="71" t="str">
        <f ca="1">IF(H181="","",IF(D181="usdt",H181,IF(C181="Binance",VLOOKUP(E181,'Курсы Бинанса'!B:C,2,FALSE),IF(C181="bybit",VLOOKUP(E181,'Курсы Bybit'!B:C,2,FALSE),IF(C181="OKX",VLOOKUP(E181,'Курсы OKX'!A:D,4,FALSE),IF(C181="huobi",VLOOKUP(E181,'Курсы Huobi'!B:C,2,FALSE),"! укажите биржу"))))))</f>
        <v/>
      </c>
      <c r="O181" s="71" t="str">
        <f t="shared" si="17"/>
        <v/>
      </c>
      <c r="P181" s="71" t="str">
        <f t="shared" si="18"/>
        <v/>
      </c>
      <c r="Q181" s="75" t="str">
        <f t="shared" si="19"/>
        <v/>
      </c>
      <c r="R181" s="76"/>
    </row>
    <row r="182" spans="1:18" ht="14.25" customHeight="1">
      <c r="A182" s="67"/>
      <c r="B182" s="68"/>
      <c r="C182" s="69"/>
      <c r="D182" s="69" t="str">
        <f ca="1">IF(B182="","",VLOOKUP('Журнал Закупок'!$B182,'СТ Криптовалюта'!B:C,2,0))</f>
        <v/>
      </c>
      <c r="E182" s="68" t="str">
        <f t="shared" si="15"/>
        <v/>
      </c>
      <c r="F182" s="70"/>
      <c r="G182" s="71"/>
      <c r="H182" s="71"/>
      <c r="I182" s="71" t="str">
        <f t="shared" si="16"/>
        <v/>
      </c>
      <c r="J182" s="71" t="e">
        <f ca="1">IFERROR(__xludf.DUMMYFUNCTION("IF(I182="""","""",IMPORTXML(""http://www.cbr.ru/scripts/XML_daily.asp?date_req=""&amp;TEXT(A182,""DD/MM/YYYY""), ""//ValCurs/Valute[CharCode=""""USD""""]/Value"")*I182)"),"")</f>
        <v>#NAME?</v>
      </c>
      <c r="K182" s="71"/>
      <c r="L182" s="71"/>
      <c r="M182" s="71"/>
      <c r="N182" s="71" t="str">
        <f ca="1">IF(H182="","",IF(D182="usdt",H182,IF(C182="Binance",VLOOKUP(E182,'Курсы Бинанса'!B:C,2,FALSE),IF(C182="bybit",VLOOKUP(E182,'Курсы Bybit'!B:C,2,FALSE),IF(C182="OKX",VLOOKUP(E182,'Курсы OKX'!A:D,4,FALSE),IF(C182="huobi",VLOOKUP(E182,'Курсы Huobi'!B:C,2,FALSE),"! укажите биржу"))))))</f>
        <v/>
      </c>
      <c r="O182" s="71" t="str">
        <f t="shared" si="17"/>
        <v/>
      </c>
      <c r="P182" s="71" t="str">
        <f t="shared" si="18"/>
        <v/>
      </c>
      <c r="Q182" s="75" t="str">
        <f t="shared" si="19"/>
        <v/>
      </c>
      <c r="R182" s="76"/>
    </row>
    <row r="183" spans="1:18" ht="14.25" customHeight="1">
      <c r="A183" s="67"/>
      <c r="B183" s="68"/>
      <c r="C183" s="69"/>
      <c r="D183" s="69" t="str">
        <f ca="1">IF(B183="","",VLOOKUP('Журнал Закупок'!$B183,'СТ Криптовалюта'!B:C,2,0))</f>
        <v/>
      </c>
      <c r="E183" s="68" t="str">
        <f t="shared" si="15"/>
        <v/>
      </c>
      <c r="F183" s="70"/>
      <c r="G183" s="71"/>
      <c r="H183" s="71"/>
      <c r="I183" s="71" t="str">
        <f t="shared" si="16"/>
        <v/>
      </c>
      <c r="J183" s="71" t="e">
        <f ca="1">IFERROR(__xludf.DUMMYFUNCTION("IF(I183="""","""",IMPORTXML(""http://www.cbr.ru/scripts/XML_daily.asp?date_req=""&amp;TEXT(A183,""DD/MM/YYYY""), ""//ValCurs/Valute[CharCode=""""USD""""]/Value"")*I183)"),"")</f>
        <v>#NAME?</v>
      </c>
      <c r="K183" s="71"/>
      <c r="L183" s="71"/>
      <c r="M183" s="71"/>
      <c r="N183" s="71" t="str">
        <f ca="1">IF(H183="","",IF(D183="usdt",H183,IF(C183="Binance",VLOOKUP(E183,'Курсы Бинанса'!B:C,2,FALSE),IF(C183="bybit",VLOOKUP(E183,'Курсы Bybit'!B:C,2,FALSE),IF(C183="OKX",VLOOKUP(E183,'Курсы OKX'!A:D,4,FALSE),IF(C183="huobi",VLOOKUP(E183,'Курсы Huobi'!B:C,2,FALSE),"! укажите биржу"))))))</f>
        <v/>
      </c>
      <c r="O183" s="71" t="str">
        <f t="shared" si="17"/>
        <v/>
      </c>
      <c r="P183" s="71" t="str">
        <f t="shared" si="18"/>
        <v/>
      </c>
      <c r="Q183" s="75" t="str">
        <f t="shared" si="19"/>
        <v/>
      </c>
      <c r="R183" s="76"/>
    </row>
    <row r="184" spans="1:18" ht="14.25" customHeight="1">
      <c r="A184" s="67"/>
      <c r="B184" s="68"/>
      <c r="C184" s="69"/>
      <c r="D184" s="69" t="str">
        <f ca="1">IF(B184="","",VLOOKUP('Журнал Закупок'!$B184,'СТ Криптовалюта'!B:C,2,0))</f>
        <v/>
      </c>
      <c r="E184" s="68" t="str">
        <f t="shared" si="15"/>
        <v/>
      </c>
      <c r="F184" s="70"/>
      <c r="G184" s="71"/>
      <c r="H184" s="71"/>
      <c r="I184" s="71" t="str">
        <f t="shared" si="16"/>
        <v/>
      </c>
      <c r="J184" s="71" t="e">
        <f ca="1">IFERROR(__xludf.DUMMYFUNCTION("IF(I184="""","""",IMPORTXML(""http://www.cbr.ru/scripts/XML_daily.asp?date_req=""&amp;TEXT(A184,""DD/MM/YYYY""), ""//ValCurs/Valute[CharCode=""""USD""""]/Value"")*I184)"),"")</f>
        <v>#NAME?</v>
      </c>
      <c r="K184" s="71"/>
      <c r="L184" s="71"/>
      <c r="M184" s="71"/>
      <c r="N184" s="71" t="str">
        <f ca="1">IF(H184="","",IF(D184="usdt",H184,IF(C184="Binance",VLOOKUP(E184,'Курсы Бинанса'!B:C,2,FALSE),IF(C184="bybit",VLOOKUP(E184,'Курсы Bybit'!B:C,2,FALSE),IF(C184="OKX",VLOOKUP(E184,'Курсы OKX'!A:D,4,FALSE),IF(C184="huobi",VLOOKUP(E184,'Курсы Huobi'!B:C,2,FALSE),"! укажите биржу"))))))</f>
        <v/>
      </c>
      <c r="O184" s="71" t="str">
        <f t="shared" si="17"/>
        <v/>
      </c>
      <c r="P184" s="71" t="str">
        <f t="shared" si="18"/>
        <v/>
      </c>
      <c r="Q184" s="75" t="str">
        <f t="shared" si="19"/>
        <v/>
      </c>
      <c r="R184" s="76"/>
    </row>
    <row r="185" spans="1:18" ht="14.25" customHeight="1">
      <c r="A185" s="67"/>
      <c r="B185" s="68"/>
      <c r="C185" s="69"/>
      <c r="D185" s="69" t="str">
        <f ca="1">IF(B185="","",VLOOKUP('Журнал Закупок'!$B185,'СТ Криптовалюта'!B:C,2,0))</f>
        <v/>
      </c>
      <c r="E185" s="68" t="str">
        <f t="shared" si="15"/>
        <v/>
      </c>
      <c r="F185" s="70"/>
      <c r="G185" s="71"/>
      <c r="H185" s="71"/>
      <c r="I185" s="71" t="str">
        <f t="shared" si="16"/>
        <v/>
      </c>
      <c r="J185" s="71" t="e">
        <f ca="1">IFERROR(__xludf.DUMMYFUNCTION("IF(I185="""","""",IMPORTXML(""http://www.cbr.ru/scripts/XML_daily.asp?date_req=""&amp;TEXT(A185,""DD/MM/YYYY""), ""//ValCurs/Valute[CharCode=""""USD""""]/Value"")*I185)"),"")</f>
        <v>#NAME?</v>
      </c>
      <c r="K185" s="71"/>
      <c r="L185" s="71"/>
      <c r="M185" s="71"/>
      <c r="N185" s="71" t="str">
        <f ca="1">IF(H185="","",IF(D185="usdt",H185,IF(C185="Binance",VLOOKUP(E185,'Курсы Бинанса'!B:C,2,FALSE),IF(C185="bybit",VLOOKUP(E185,'Курсы Bybit'!B:C,2,FALSE),IF(C185="OKX",VLOOKUP(E185,'Курсы OKX'!A:D,4,FALSE),IF(C185="huobi",VLOOKUP(E185,'Курсы Huobi'!B:C,2,FALSE),"! укажите биржу"))))))</f>
        <v/>
      </c>
      <c r="O185" s="71" t="str">
        <f t="shared" si="17"/>
        <v/>
      </c>
      <c r="P185" s="71" t="str">
        <f t="shared" si="18"/>
        <v/>
      </c>
      <c r="Q185" s="75" t="str">
        <f t="shared" si="19"/>
        <v/>
      </c>
      <c r="R185" s="76"/>
    </row>
    <row r="186" spans="1:18" ht="14.25" customHeight="1">
      <c r="A186" s="67"/>
      <c r="B186" s="68"/>
      <c r="C186" s="69"/>
      <c r="D186" s="69" t="str">
        <f ca="1">IF(B186="","",VLOOKUP('Журнал Закупок'!$B186,'СТ Криптовалюта'!B:C,2,0))</f>
        <v/>
      </c>
      <c r="E186" s="68" t="str">
        <f t="shared" si="15"/>
        <v/>
      </c>
      <c r="F186" s="70"/>
      <c r="G186" s="71"/>
      <c r="H186" s="71"/>
      <c r="I186" s="71" t="str">
        <f t="shared" si="16"/>
        <v/>
      </c>
      <c r="J186" s="71" t="e">
        <f ca="1">IFERROR(__xludf.DUMMYFUNCTION("IF(I186="""","""",IMPORTXML(""http://www.cbr.ru/scripts/XML_daily.asp?date_req=""&amp;TEXT(A186,""DD/MM/YYYY""), ""//ValCurs/Valute[CharCode=""""USD""""]/Value"")*I186)"),"")</f>
        <v>#NAME?</v>
      </c>
      <c r="K186" s="71"/>
      <c r="L186" s="71"/>
      <c r="M186" s="71"/>
      <c r="N186" s="71" t="str">
        <f ca="1">IF(H186="","",IF(D186="usdt",H186,IF(C186="Binance",VLOOKUP(E186,'Курсы Бинанса'!B:C,2,FALSE),IF(C186="bybit",VLOOKUP(E186,'Курсы Bybit'!B:C,2,FALSE),IF(C186="OKX",VLOOKUP(E186,'Курсы OKX'!A:D,4,FALSE),IF(C186="huobi",VLOOKUP(E186,'Курсы Huobi'!B:C,2,FALSE),"! укажите биржу"))))))</f>
        <v/>
      </c>
      <c r="O186" s="71" t="str">
        <f t="shared" si="17"/>
        <v/>
      </c>
      <c r="P186" s="71" t="str">
        <f t="shared" si="18"/>
        <v/>
      </c>
      <c r="Q186" s="75" t="str">
        <f t="shared" si="19"/>
        <v/>
      </c>
      <c r="R186" s="76"/>
    </row>
    <row r="187" spans="1:18" ht="14.25" customHeight="1">
      <c r="A187" s="67"/>
      <c r="B187" s="68"/>
      <c r="C187" s="69"/>
      <c r="D187" s="69" t="str">
        <f ca="1">IF(B187="","",VLOOKUP('Журнал Закупок'!$B187,'СТ Криптовалюта'!B:C,2,0))</f>
        <v/>
      </c>
      <c r="E187" s="68" t="str">
        <f t="shared" si="15"/>
        <v/>
      </c>
      <c r="F187" s="70"/>
      <c r="G187" s="71"/>
      <c r="H187" s="71"/>
      <c r="I187" s="71" t="str">
        <f t="shared" si="16"/>
        <v/>
      </c>
      <c r="J187" s="71" t="e">
        <f ca="1">IFERROR(__xludf.DUMMYFUNCTION("IF(I187="""","""",IMPORTXML(""http://www.cbr.ru/scripts/XML_daily.asp?date_req=""&amp;TEXT(A187,""DD/MM/YYYY""), ""//ValCurs/Valute[CharCode=""""USD""""]/Value"")*I187)"),"")</f>
        <v>#NAME?</v>
      </c>
      <c r="K187" s="71"/>
      <c r="L187" s="71"/>
      <c r="M187" s="71"/>
      <c r="N187" s="71" t="str">
        <f ca="1">IF(H187="","",IF(D187="usdt",H187,IF(C187="Binance",VLOOKUP(E187,'Курсы Бинанса'!B:C,2,FALSE),IF(C187="bybit",VLOOKUP(E187,'Курсы Bybit'!B:C,2,FALSE),IF(C187="OKX",VLOOKUP(E187,'Курсы OKX'!A:D,4,FALSE),IF(C187="huobi",VLOOKUP(E187,'Курсы Huobi'!B:C,2,FALSE),"! укажите биржу"))))))</f>
        <v/>
      </c>
      <c r="O187" s="71" t="str">
        <f t="shared" si="17"/>
        <v/>
      </c>
      <c r="P187" s="71" t="str">
        <f t="shared" si="18"/>
        <v/>
      </c>
      <c r="Q187" s="75" t="str">
        <f t="shared" si="19"/>
        <v/>
      </c>
      <c r="R187" s="76"/>
    </row>
    <row r="188" spans="1:18" ht="14.25" customHeight="1">
      <c r="A188" s="67"/>
      <c r="B188" s="68"/>
      <c r="C188" s="69"/>
      <c r="D188" s="69" t="str">
        <f ca="1">IF(B188="","",VLOOKUP('Журнал Закупок'!$B188,'СТ Криптовалюта'!B:C,2,0))</f>
        <v/>
      </c>
      <c r="E188" s="68" t="str">
        <f t="shared" si="15"/>
        <v/>
      </c>
      <c r="F188" s="70"/>
      <c r="G188" s="71"/>
      <c r="H188" s="71"/>
      <c r="I188" s="71" t="str">
        <f t="shared" si="16"/>
        <v/>
      </c>
      <c r="J188" s="71" t="e">
        <f ca="1">IFERROR(__xludf.DUMMYFUNCTION("IF(I188="""","""",IMPORTXML(""http://www.cbr.ru/scripts/XML_daily.asp?date_req=""&amp;TEXT(A188,""DD/MM/YYYY""), ""//ValCurs/Valute[CharCode=""""USD""""]/Value"")*I188)"),"")</f>
        <v>#NAME?</v>
      </c>
      <c r="K188" s="71"/>
      <c r="L188" s="71"/>
      <c r="M188" s="71"/>
      <c r="N188" s="71" t="str">
        <f ca="1">IF(H188="","",IF(D188="usdt",H188,IF(C188="Binance",VLOOKUP(E188,'Курсы Бинанса'!B:C,2,FALSE),IF(C188="bybit",VLOOKUP(E188,'Курсы Bybit'!B:C,2,FALSE),IF(C188="OKX",VLOOKUP(E188,'Курсы OKX'!A:D,4,FALSE),IF(C188="huobi",VLOOKUP(E188,'Курсы Huobi'!B:C,2,FALSE),"! укажите биржу"))))))</f>
        <v/>
      </c>
      <c r="O188" s="71" t="str">
        <f t="shared" si="17"/>
        <v/>
      </c>
      <c r="P188" s="71" t="str">
        <f t="shared" si="18"/>
        <v/>
      </c>
      <c r="Q188" s="75" t="str">
        <f t="shared" si="19"/>
        <v/>
      </c>
      <c r="R188" s="76"/>
    </row>
    <row r="189" spans="1:18" ht="14.25" customHeight="1">
      <c r="A189" s="67"/>
      <c r="B189" s="68"/>
      <c r="C189" s="69"/>
      <c r="D189" s="69" t="str">
        <f ca="1">IF(B189="","",VLOOKUP('Журнал Закупок'!$B189,'СТ Криптовалюта'!B:C,2,0))</f>
        <v/>
      </c>
      <c r="E189" s="68" t="str">
        <f t="shared" si="15"/>
        <v/>
      </c>
      <c r="F189" s="70"/>
      <c r="G189" s="71"/>
      <c r="H189" s="71"/>
      <c r="I189" s="71" t="str">
        <f t="shared" si="16"/>
        <v/>
      </c>
      <c r="J189" s="71" t="e">
        <f ca="1">IFERROR(__xludf.DUMMYFUNCTION("IF(I189="""","""",IMPORTXML(""http://www.cbr.ru/scripts/XML_daily.asp?date_req=""&amp;TEXT(A189,""DD/MM/YYYY""), ""//ValCurs/Valute[CharCode=""""USD""""]/Value"")*I189)"),"")</f>
        <v>#NAME?</v>
      </c>
      <c r="K189" s="71"/>
      <c r="L189" s="71"/>
      <c r="M189" s="71"/>
      <c r="N189" s="71" t="str">
        <f ca="1">IF(H189="","",IF(D189="usdt",H189,IF(C189="Binance",VLOOKUP(E189,'Курсы Бинанса'!B:C,2,FALSE),IF(C189="bybit",VLOOKUP(E189,'Курсы Bybit'!B:C,2,FALSE),IF(C189="OKX",VLOOKUP(E189,'Курсы OKX'!A:D,4,FALSE),IF(C189="huobi",VLOOKUP(E189,'Курсы Huobi'!B:C,2,FALSE),"! укажите биржу"))))))</f>
        <v/>
      </c>
      <c r="O189" s="71" t="str">
        <f t="shared" si="17"/>
        <v/>
      </c>
      <c r="P189" s="71" t="str">
        <f t="shared" si="18"/>
        <v/>
      </c>
      <c r="Q189" s="75" t="str">
        <f t="shared" si="19"/>
        <v/>
      </c>
      <c r="R189" s="76"/>
    </row>
    <row r="190" spans="1:18" ht="14.25" customHeight="1">
      <c r="A190" s="67"/>
      <c r="B190" s="68"/>
      <c r="C190" s="69"/>
      <c r="D190" s="69" t="str">
        <f ca="1">IF(B190="","",VLOOKUP('Журнал Закупок'!$B190,'СТ Криптовалюта'!B:C,2,0))</f>
        <v/>
      </c>
      <c r="E190" s="68" t="str">
        <f t="shared" si="15"/>
        <v/>
      </c>
      <c r="F190" s="70"/>
      <c r="G190" s="71"/>
      <c r="H190" s="71"/>
      <c r="I190" s="71" t="str">
        <f t="shared" si="16"/>
        <v/>
      </c>
      <c r="J190" s="71" t="e">
        <f ca="1">IFERROR(__xludf.DUMMYFUNCTION("IF(I190="""","""",IMPORTXML(""http://www.cbr.ru/scripts/XML_daily.asp?date_req=""&amp;TEXT(A190,""DD/MM/YYYY""), ""//ValCurs/Valute[CharCode=""""USD""""]/Value"")*I190)"),"")</f>
        <v>#NAME?</v>
      </c>
      <c r="K190" s="71"/>
      <c r="L190" s="71"/>
      <c r="M190" s="71"/>
      <c r="N190" s="71" t="str">
        <f ca="1">IF(H190="","",IF(D190="usdt",H190,IF(C190="Binance",VLOOKUP(E190,'Курсы Бинанса'!B:C,2,FALSE),IF(C190="bybit",VLOOKUP(E190,'Курсы Bybit'!B:C,2,FALSE),IF(C190="OKX",VLOOKUP(E190,'Курсы OKX'!A:D,4,FALSE),IF(C190="huobi",VLOOKUP(E190,'Курсы Huobi'!B:C,2,FALSE),"! укажите биржу"))))))</f>
        <v/>
      </c>
      <c r="O190" s="71" t="str">
        <f t="shared" si="17"/>
        <v/>
      </c>
      <c r="P190" s="71" t="str">
        <f t="shared" si="18"/>
        <v/>
      </c>
      <c r="Q190" s="75" t="str">
        <f t="shared" si="19"/>
        <v/>
      </c>
      <c r="R190" s="76"/>
    </row>
    <row r="191" spans="1:18" ht="14.25" customHeight="1">
      <c r="A191" s="67"/>
      <c r="B191" s="68"/>
      <c r="C191" s="69"/>
      <c r="D191" s="69" t="str">
        <f ca="1">IF(B191="","",VLOOKUP('Журнал Закупок'!$B191,'СТ Криптовалюта'!B:C,2,0))</f>
        <v/>
      </c>
      <c r="E191" s="68" t="str">
        <f t="shared" si="15"/>
        <v/>
      </c>
      <c r="F191" s="70"/>
      <c r="G191" s="71"/>
      <c r="H191" s="71"/>
      <c r="I191" s="71" t="str">
        <f t="shared" si="16"/>
        <v/>
      </c>
      <c r="J191" s="71" t="e">
        <f ca="1">IFERROR(__xludf.DUMMYFUNCTION("IF(I191="""","""",IMPORTXML(""http://www.cbr.ru/scripts/XML_daily.asp?date_req=""&amp;TEXT(A191,""DD/MM/YYYY""), ""//ValCurs/Valute[CharCode=""""USD""""]/Value"")*I191)"),"")</f>
        <v>#NAME?</v>
      </c>
      <c r="K191" s="71"/>
      <c r="L191" s="71"/>
      <c r="M191" s="71"/>
      <c r="N191" s="71" t="str">
        <f ca="1">IF(H191="","",IF(D191="usdt",H191,IF(C191="Binance",VLOOKUP(E191,'Курсы Бинанса'!B:C,2,FALSE),IF(C191="bybit",VLOOKUP(E191,'Курсы Bybit'!B:C,2,FALSE),IF(C191="OKX",VLOOKUP(E191,'Курсы OKX'!A:D,4,FALSE),IF(C191="huobi",VLOOKUP(E191,'Курсы Huobi'!B:C,2,FALSE),"! укажите биржу"))))))</f>
        <v/>
      </c>
      <c r="O191" s="71" t="str">
        <f t="shared" si="17"/>
        <v/>
      </c>
      <c r="P191" s="71" t="str">
        <f t="shared" si="18"/>
        <v/>
      </c>
      <c r="Q191" s="75" t="str">
        <f t="shared" si="19"/>
        <v/>
      </c>
      <c r="R191" s="76"/>
    </row>
    <row r="192" spans="1:18" ht="14.25" customHeight="1">
      <c r="A192" s="67"/>
      <c r="B192" s="68"/>
      <c r="C192" s="69"/>
      <c r="D192" s="69" t="str">
        <f ca="1">IF(B192="","",VLOOKUP('Журнал Закупок'!$B192,'СТ Криптовалюта'!B:C,2,0))</f>
        <v/>
      </c>
      <c r="E192" s="68" t="str">
        <f t="shared" si="15"/>
        <v/>
      </c>
      <c r="F192" s="70"/>
      <c r="G192" s="71"/>
      <c r="H192" s="71"/>
      <c r="I192" s="71" t="str">
        <f t="shared" si="16"/>
        <v/>
      </c>
      <c r="J192" s="71" t="e">
        <f ca="1">IFERROR(__xludf.DUMMYFUNCTION("IF(I192="""","""",IMPORTXML(""http://www.cbr.ru/scripts/XML_daily.asp?date_req=""&amp;TEXT(A192,""DD/MM/YYYY""), ""//ValCurs/Valute[CharCode=""""USD""""]/Value"")*I192)"),"")</f>
        <v>#NAME?</v>
      </c>
      <c r="K192" s="71"/>
      <c r="L192" s="71"/>
      <c r="M192" s="71"/>
      <c r="N192" s="71" t="str">
        <f ca="1">IF(H192="","",IF(D192="usdt",H192,IF(C192="Binance",VLOOKUP(E192,'Курсы Бинанса'!B:C,2,FALSE),IF(C192="bybit",VLOOKUP(E192,'Курсы Bybit'!B:C,2,FALSE),IF(C192="OKX",VLOOKUP(E192,'Курсы OKX'!A:D,4,FALSE),IF(C192="huobi",VLOOKUP(E192,'Курсы Huobi'!B:C,2,FALSE),"! укажите биржу"))))))</f>
        <v/>
      </c>
      <c r="O192" s="71" t="str">
        <f t="shared" si="17"/>
        <v/>
      </c>
      <c r="P192" s="71" t="str">
        <f t="shared" si="18"/>
        <v/>
      </c>
      <c r="Q192" s="75" t="str">
        <f t="shared" si="19"/>
        <v/>
      </c>
      <c r="R192" s="76"/>
    </row>
    <row r="193" spans="1:18" ht="14.25" customHeight="1">
      <c r="A193" s="67"/>
      <c r="B193" s="68"/>
      <c r="C193" s="69"/>
      <c r="D193" s="69" t="str">
        <f ca="1">IF(B193="","",VLOOKUP('Журнал Закупок'!$B193,'СТ Криптовалюта'!B:C,2,0))</f>
        <v/>
      </c>
      <c r="E193" s="68" t="str">
        <f t="shared" si="15"/>
        <v/>
      </c>
      <c r="F193" s="70"/>
      <c r="G193" s="71"/>
      <c r="H193" s="71"/>
      <c r="I193" s="71" t="str">
        <f t="shared" si="16"/>
        <v/>
      </c>
      <c r="J193" s="71" t="e">
        <f ca="1">IFERROR(__xludf.DUMMYFUNCTION("IF(I193="""","""",IMPORTXML(""http://www.cbr.ru/scripts/XML_daily.asp?date_req=""&amp;TEXT(A193,""DD/MM/YYYY""), ""//ValCurs/Valute[CharCode=""""USD""""]/Value"")*I193)"),"")</f>
        <v>#NAME?</v>
      </c>
      <c r="K193" s="71"/>
      <c r="L193" s="71"/>
      <c r="M193" s="71"/>
      <c r="N193" s="71" t="str">
        <f ca="1">IF(H193="","",IF(D193="usdt",H193,IF(C193="Binance",VLOOKUP(E193,'Курсы Бинанса'!B:C,2,FALSE),IF(C193="bybit",VLOOKUP(E193,'Курсы Bybit'!B:C,2,FALSE),IF(C193="OKX",VLOOKUP(E193,'Курсы OKX'!A:D,4,FALSE),IF(C193="huobi",VLOOKUP(E193,'Курсы Huobi'!B:C,2,FALSE),"! укажите биржу"))))))</f>
        <v/>
      </c>
      <c r="O193" s="71" t="str">
        <f t="shared" si="17"/>
        <v/>
      </c>
      <c r="P193" s="71" t="str">
        <f t="shared" si="18"/>
        <v/>
      </c>
      <c r="Q193" s="75" t="str">
        <f t="shared" si="19"/>
        <v/>
      </c>
      <c r="R193" s="76"/>
    </row>
    <row r="194" spans="1:18" ht="14.25" customHeight="1">
      <c r="A194" s="67"/>
      <c r="B194" s="68"/>
      <c r="C194" s="69"/>
      <c r="D194" s="69" t="str">
        <f ca="1">IF(B194="","",VLOOKUP('Журнал Закупок'!$B194,'СТ Криптовалюта'!B:C,2,0))</f>
        <v/>
      </c>
      <c r="E194" s="68" t="str">
        <f t="shared" si="15"/>
        <v/>
      </c>
      <c r="F194" s="70"/>
      <c r="G194" s="71"/>
      <c r="H194" s="71"/>
      <c r="I194" s="71" t="str">
        <f t="shared" si="16"/>
        <v/>
      </c>
      <c r="J194" s="71" t="e">
        <f ca="1">IFERROR(__xludf.DUMMYFUNCTION("IF(I194="""","""",IMPORTXML(""http://www.cbr.ru/scripts/XML_daily.asp?date_req=""&amp;TEXT(A194,""DD/MM/YYYY""), ""//ValCurs/Valute[CharCode=""""USD""""]/Value"")*I194)"),"")</f>
        <v>#NAME?</v>
      </c>
      <c r="K194" s="71"/>
      <c r="L194" s="71"/>
      <c r="M194" s="71"/>
      <c r="N194" s="71" t="str">
        <f ca="1">IF(H194="","",IF(D194="usdt",H194,IF(C194="Binance",VLOOKUP(E194,'Курсы Бинанса'!B:C,2,FALSE),IF(C194="bybit",VLOOKUP(E194,'Курсы Bybit'!B:C,2,FALSE),IF(C194="OKX",VLOOKUP(E194,'Курсы OKX'!A:D,4,FALSE),IF(C194="huobi",VLOOKUP(E194,'Курсы Huobi'!B:C,2,FALSE),"! укажите биржу"))))))</f>
        <v/>
      </c>
      <c r="O194" s="71" t="str">
        <f t="shared" si="17"/>
        <v/>
      </c>
      <c r="P194" s="71" t="str">
        <f t="shared" si="18"/>
        <v/>
      </c>
      <c r="Q194" s="75" t="str">
        <f t="shared" si="19"/>
        <v/>
      </c>
      <c r="R194" s="76"/>
    </row>
    <row r="195" spans="1:18" ht="14.25" customHeight="1">
      <c r="A195" s="67"/>
      <c r="B195" s="68"/>
      <c r="C195" s="69"/>
      <c r="D195" s="69" t="str">
        <f ca="1">IF(B195="","",VLOOKUP('Журнал Закупок'!$B195,'СТ Криптовалюта'!B:C,2,0))</f>
        <v/>
      </c>
      <c r="E195" s="68" t="str">
        <f t="shared" si="15"/>
        <v/>
      </c>
      <c r="F195" s="70"/>
      <c r="G195" s="71"/>
      <c r="H195" s="71"/>
      <c r="I195" s="71" t="str">
        <f t="shared" si="16"/>
        <v/>
      </c>
      <c r="J195" s="71" t="e">
        <f ca="1">IFERROR(__xludf.DUMMYFUNCTION("IF(I195="""","""",IMPORTXML(""http://www.cbr.ru/scripts/XML_daily.asp?date_req=""&amp;TEXT(A195,""DD/MM/YYYY""), ""//ValCurs/Valute[CharCode=""""USD""""]/Value"")*I195)"),"")</f>
        <v>#NAME?</v>
      </c>
      <c r="K195" s="71"/>
      <c r="L195" s="71"/>
      <c r="M195" s="71"/>
      <c r="N195" s="71" t="str">
        <f ca="1">IF(H195="","",IF(D195="usdt",H195,IF(C195="Binance",VLOOKUP(E195,'Курсы Бинанса'!B:C,2,FALSE),IF(C195="bybit",VLOOKUP(E195,'Курсы Bybit'!B:C,2,FALSE),IF(C195="OKX",VLOOKUP(E195,'Курсы OKX'!A:D,4,FALSE),IF(C195="huobi",VLOOKUP(E195,'Курсы Huobi'!B:C,2,FALSE),"! укажите биржу"))))))</f>
        <v/>
      </c>
      <c r="O195" s="71" t="str">
        <f t="shared" si="17"/>
        <v/>
      </c>
      <c r="P195" s="71" t="str">
        <f t="shared" si="18"/>
        <v/>
      </c>
      <c r="Q195" s="75" t="str">
        <f t="shared" si="19"/>
        <v/>
      </c>
      <c r="R195" s="76"/>
    </row>
    <row r="196" spans="1:18" ht="14.25" customHeight="1">
      <c r="A196" s="67"/>
      <c r="B196" s="68"/>
      <c r="C196" s="69"/>
      <c r="D196" s="69" t="str">
        <f ca="1">IF(B196="","",VLOOKUP('Журнал Закупок'!$B196,'СТ Криптовалюта'!B:C,2,0))</f>
        <v/>
      </c>
      <c r="E196" s="68" t="str">
        <f t="shared" si="15"/>
        <v/>
      </c>
      <c r="F196" s="70"/>
      <c r="G196" s="71"/>
      <c r="H196" s="71"/>
      <c r="I196" s="71" t="str">
        <f t="shared" si="16"/>
        <v/>
      </c>
      <c r="J196" s="71" t="e">
        <f ca="1">IFERROR(__xludf.DUMMYFUNCTION("IF(I196="""","""",IMPORTXML(""http://www.cbr.ru/scripts/XML_daily.asp?date_req=""&amp;TEXT(A196,""DD/MM/YYYY""), ""//ValCurs/Valute[CharCode=""""USD""""]/Value"")*I196)"),"")</f>
        <v>#NAME?</v>
      </c>
      <c r="K196" s="71"/>
      <c r="L196" s="71"/>
      <c r="M196" s="71"/>
      <c r="N196" s="71" t="str">
        <f ca="1">IF(H196="","",IF(D196="usdt",H196,IF(C196="Binance",VLOOKUP(E196,'Курсы Бинанса'!B:C,2,FALSE),IF(C196="bybit",VLOOKUP(E196,'Курсы Bybit'!B:C,2,FALSE),IF(C196="OKX",VLOOKUP(E196,'Курсы OKX'!A:D,4,FALSE),IF(C196="huobi",VLOOKUP(E196,'Курсы Huobi'!B:C,2,FALSE),"! укажите биржу"))))))</f>
        <v/>
      </c>
      <c r="O196" s="71" t="str">
        <f t="shared" si="17"/>
        <v/>
      </c>
      <c r="P196" s="71" t="str">
        <f t="shared" si="18"/>
        <v/>
      </c>
      <c r="Q196" s="75" t="str">
        <f t="shared" si="19"/>
        <v/>
      </c>
      <c r="R196" s="76"/>
    </row>
    <row r="197" spans="1:18" ht="14.25" customHeight="1">
      <c r="A197" s="67"/>
      <c r="B197" s="68"/>
      <c r="C197" s="69"/>
      <c r="D197" s="69" t="str">
        <f ca="1">IF(B197="","",VLOOKUP('Журнал Закупок'!$B197,'СТ Криптовалюта'!B:C,2,0))</f>
        <v/>
      </c>
      <c r="E197" s="68" t="str">
        <f t="shared" si="15"/>
        <v/>
      </c>
      <c r="F197" s="70"/>
      <c r="G197" s="71"/>
      <c r="H197" s="71"/>
      <c r="I197" s="71" t="str">
        <f t="shared" si="16"/>
        <v/>
      </c>
      <c r="J197" s="71" t="e">
        <f ca="1">IFERROR(__xludf.DUMMYFUNCTION("IF(I197="""","""",IMPORTXML(""http://www.cbr.ru/scripts/XML_daily.asp?date_req=""&amp;TEXT(A197,""DD/MM/YYYY""), ""//ValCurs/Valute[CharCode=""""USD""""]/Value"")*I197)"),"")</f>
        <v>#NAME?</v>
      </c>
      <c r="K197" s="71"/>
      <c r="L197" s="71"/>
      <c r="M197" s="71"/>
      <c r="N197" s="71" t="str">
        <f ca="1">IF(H197="","",IF(D197="usdt",H197,IF(C197="Binance",VLOOKUP(E197,'Курсы Бинанса'!B:C,2,FALSE),IF(C197="bybit",VLOOKUP(E197,'Курсы Bybit'!B:C,2,FALSE),IF(C197="OKX",VLOOKUP(E197,'Курсы OKX'!A:D,4,FALSE),IF(C197="huobi",VLOOKUP(E197,'Курсы Huobi'!B:C,2,FALSE),"! укажите биржу"))))))</f>
        <v/>
      </c>
      <c r="O197" s="71" t="str">
        <f t="shared" si="17"/>
        <v/>
      </c>
      <c r="P197" s="71" t="str">
        <f t="shared" si="18"/>
        <v/>
      </c>
      <c r="Q197" s="75" t="str">
        <f t="shared" si="19"/>
        <v/>
      </c>
      <c r="R197" s="76"/>
    </row>
    <row r="198" spans="1:18" ht="14.25" customHeight="1">
      <c r="A198" s="67"/>
      <c r="B198" s="68"/>
      <c r="C198" s="69"/>
      <c r="D198" s="69" t="str">
        <f ca="1">IF(B198="","",VLOOKUP('Журнал Закупок'!$B198,'СТ Криптовалюта'!B:C,2,0))</f>
        <v/>
      </c>
      <c r="E198" s="68" t="str">
        <f t="shared" si="15"/>
        <v/>
      </c>
      <c r="F198" s="70"/>
      <c r="G198" s="71"/>
      <c r="H198" s="71"/>
      <c r="I198" s="71" t="str">
        <f t="shared" si="16"/>
        <v/>
      </c>
      <c r="J198" s="71" t="e">
        <f ca="1">IFERROR(__xludf.DUMMYFUNCTION("IF(I198="""","""",IMPORTXML(""http://www.cbr.ru/scripts/XML_daily.asp?date_req=""&amp;TEXT(A198,""DD/MM/YYYY""), ""//ValCurs/Valute[CharCode=""""USD""""]/Value"")*I198)"),"")</f>
        <v>#NAME?</v>
      </c>
      <c r="K198" s="71"/>
      <c r="L198" s="71"/>
      <c r="M198" s="71"/>
      <c r="N198" s="71" t="str">
        <f ca="1">IF(H198="","",IF(D198="usdt",H198,IF(C198="Binance",VLOOKUP(E198,'Курсы Бинанса'!B:C,2,FALSE),IF(C198="bybit",VLOOKUP(E198,'Курсы Bybit'!B:C,2,FALSE),IF(C198="OKX",VLOOKUP(E198,'Курсы OKX'!A:D,4,FALSE),IF(C198="huobi",VLOOKUP(E198,'Курсы Huobi'!B:C,2,FALSE),"! укажите биржу"))))))</f>
        <v/>
      </c>
      <c r="O198" s="71" t="str">
        <f t="shared" si="17"/>
        <v/>
      </c>
      <c r="P198" s="71" t="str">
        <f t="shared" si="18"/>
        <v/>
      </c>
      <c r="Q198" s="75" t="str">
        <f t="shared" si="19"/>
        <v/>
      </c>
      <c r="R198" s="76"/>
    </row>
    <row r="199" spans="1:18" ht="14.25" customHeight="1">
      <c r="A199" s="67"/>
      <c r="B199" s="68"/>
      <c r="C199" s="69"/>
      <c r="D199" s="69" t="str">
        <f ca="1">IF(B199="","",VLOOKUP('Журнал Закупок'!$B199,'СТ Криптовалюта'!B:C,2,0))</f>
        <v/>
      </c>
      <c r="E199" s="68" t="str">
        <f t="shared" si="15"/>
        <v/>
      </c>
      <c r="F199" s="70"/>
      <c r="G199" s="71"/>
      <c r="H199" s="71"/>
      <c r="I199" s="71" t="str">
        <f t="shared" si="16"/>
        <v/>
      </c>
      <c r="J199" s="71" t="e">
        <f ca="1">IFERROR(__xludf.DUMMYFUNCTION("IF(I199="""","""",IMPORTXML(""http://www.cbr.ru/scripts/XML_daily.asp?date_req=""&amp;TEXT(A199,""DD/MM/YYYY""), ""//ValCurs/Valute[CharCode=""""USD""""]/Value"")*I199)"),"")</f>
        <v>#NAME?</v>
      </c>
      <c r="K199" s="71"/>
      <c r="L199" s="71"/>
      <c r="M199" s="71"/>
      <c r="N199" s="71" t="str">
        <f ca="1">IF(H199="","",IF(D199="usdt",H199,IF(C199="Binance",VLOOKUP(E199,'Курсы Бинанса'!B:C,2,FALSE),IF(C199="bybit",VLOOKUP(E199,'Курсы Bybit'!B:C,2,FALSE),IF(C199="OKX",VLOOKUP(E199,'Курсы OKX'!A:D,4,FALSE),IF(C199="huobi",VLOOKUP(E199,'Курсы Huobi'!B:C,2,FALSE),"! укажите биржу"))))))</f>
        <v/>
      </c>
      <c r="O199" s="71" t="str">
        <f t="shared" si="17"/>
        <v/>
      </c>
      <c r="P199" s="71" t="str">
        <f t="shared" si="18"/>
        <v/>
      </c>
      <c r="Q199" s="75" t="str">
        <f t="shared" si="19"/>
        <v/>
      </c>
      <c r="R199" s="76"/>
    </row>
    <row r="200" spans="1:18" ht="14.25" customHeight="1">
      <c r="A200" s="67"/>
      <c r="B200" s="68"/>
      <c r="C200" s="69"/>
      <c r="D200" s="69" t="str">
        <f ca="1">IF(B200="","",VLOOKUP('Журнал Закупок'!$B200,'СТ Криптовалюта'!B:C,2,0))</f>
        <v/>
      </c>
      <c r="E200" s="68" t="str">
        <f t="shared" si="15"/>
        <v/>
      </c>
      <c r="F200" s="70"/>
      <c r="G200" s="71"/>
      <c r="H200" s="71"/>
      <c r="I200" s="71" t="str">
        <f t="shared" si="16"/>
        <v/>
      </c>
      <c r="J200" s="71" t="e">
        <f ca="1">IFERROR(__xludf.DUMMYFUNCTION("IF(I200="""","""",IMPORTXML(""http://www.cbr.ru/scripts/XML_daily.asp?date_req=""&amp;TEXT(A200,""DD/MM/YYYY""), ""//ValCurs/Valute[CharCode=""""USD""""]/Value"")*I200)"),"")</f>
        <v>#NAME?</v>
      </c>
      <c r="K200" s="71"/>
      <c r="L200" s="71"/>
      <c r="M200" s="71"/>
      <c r="N200" s="71" t="str">
        <f ca="1">IF(H200="","",IF(D200="usdt",H200,IF(C200="Binance",VLOOKUP(E200,'Курсы Бинанса'!B:C,2,FALSE),IF(C200="bybit",VLOOKUP(E200,'Курсы Bybit'!B:C,2,FALSE),IF(C200="OKX",VLOOKUP(E200,'Курсы OKX'!A:D,4,FALSE),IF(C200="huobi",VLOOKUP(E200,'Курсы Huobi'!B:C,2,FALSE),"! укажите биржу"))))))</f>
        <v/>
      </c>
      <c r="O200" s="71" t="str">
        <f t="shared" si="17"/>
        <v/>
      </c>
      <c r="P200" s="71" t="str">
        <f t="shared" si="18"/>
        <v/>
      </c>
      <c r="Q200" s="75" t="str">
        <f t="shared" si="19"/>
        <v/>
      </c>
      <c r="R200" s="76"/>
    </row>
    <row r="201" spans="1:18" ht="14.25" customHeight="1">
      <c r="A201" s="67"/>
      <c r="B201" s="68"/>
      <c r="C201" s="69"/>
      <c r="D201" s="69" t="str">
        <f ca="1">IF(B201="","",VLOOKUP('Журнал Закупок'!$B201,'СТ Криптовалюта'!B:C,2,0))</f>
        <v/>
      </c>
      <c r="E201" s="68" t="str">
        <f t="shared" si="15"/>
        <v/>
      </c>
      <c r="F201" s="70"/>
      <c r="G201" s="71"/>
      <c r="H201" s="71"/>
      <c r="I201" s="71" t="str">
        <f t="shared" si="16"/>
        <v/>
      </c>
      <c r="J201" s="71" t="e">
        <f ca="1">IFERROR(__xludf.DUMMYFUNCTION("IF(I201="""","""",IMPORTXML(""http://www.cbr.ru/scripts/XML_daily.asp?date_req=""&amp;TEXT(A201,""DD/MM/YYYY""), ""//ValCurs/Valute[CharCode=""""USD""""]/Value"")*I201)"),"")</f>
        <v>#NAME?</v>
      </c>
      <c r="K201" s="71"/>
      <c r="L201" s="71"/>
      <c r="M201" s="71"/>
      <c r="N201" s="71" t="str">
        <f ca="1">IF(H201="","",IF(D201="usdt",H201,IF(C201="Binance",VLOOKUP(E201,'Курсы Бинанса'!B:C,2,FALSE),IF(C201="bybit",VLOOKUP(E201,'Курсы Bybit'!B:C,2,FALSE),IF(C201="OKX",VLOOKUP(E201,'Курсы OKX'!A:D,4,FALSE),IF(C201="huobi",VLOOKUP(E201,'Курсы Huobi'!B:C,2,FALSE),"! укажите биржу"))))))</f>
        <v/>
      </c>
      <c r="O201" s="71" t="str">
        <f t="shared" si="17"/>
        <v/>
      </c>
      <c r="P201" s="71" t="str">
        <f t="shared" si="18"/>
        <v/>
      </c>
      <c r="Q201" s="75" t="str">
        <f t="shared" si="19"/>
        <v/>
      </c>
      <c r="R201" s="76"/>
    </row>
    <row r="202" spans="1:18" ht="14.25" customHeight="1">
      <c r="A202" s="67"/>
      <c r="B202" s="68"/>
      <c r="C202" s="69"/>
      <c r="D202" s="69" t="str">
        <f ca="1">IF(B202="","",VLOOKUP('Журнал Закупок'!$B202,'СТ Криптовалюта'!B:C,2,0))</f>
        <v/>
      </c>
      <c r="E202" s="68" t="str">
        <f t="shared" si="15"/>
        <v/>
      </c>
      <c r="F202" s="70"/>
      <c r="G202" s="71"/>
      <c r="H202" s="71"/>
      <c r="I202" s="71" t="str">
        <f t="shared" si="16"/>
        <v/>
      </c>
      <c r="J202" s="71" t="e">
        <f ca="1">IFERROR(__xludf.DUMMYFUNCTION("IF(I202="""","""",IMPORTXML(""http://www.cbr.ru/scripts/XML_daily.asp?date_req=""&amp;TEXT(A202,""DD/MM/YYYY""), ""//ValCurs/Valute[CharCode=""""USD""""]/Value"")*I202)"),"")</f>
        <v>#NAME?</v>
      </c>
      <c r="K202" s="71"/>
      <c r="L202" s="71"/>
      <c r="M202" s="71"/>
      <c r="N202" s="71" t="str">
        <f ca="1">IF(H202="","",IF(D202="usdt",H202,IF(C202="Binance",VLOOKUP(E202,'Курсы Бинанса'!B:C,2,FALSE),IF(C202="bybit",VLOOKUP(E202,'Курсы Bybit'!B:C,2,FALSE),IF(C202="OKX",VLOOKUP(E202,'Курсы OKX'!A:D,4,FALSE),IF(C202="huobi",VLOOKUP(E202,'Курсы Huobi'!B:C,2,FALSE),"! укажите биржу"))))))</f>
        <v/>
      </c>
      <c r="O202" s="71" t="str">
        <f t="shared" si="17"/>
        <v/>
      </c>
      <c r="P202" s="71" t="str">
        <f t="shared" si="18"/>
        <v/>
      </c>
      <c r="Q202" s="75" t="str">
        <f t="shared" si="19"/>
        <v/>
      </c>
      <c r="R202" s="76"/>
    </row>
    <row r="203" spans="1:18" ht="14.25" customHeight="1">
      <c r="A203" s="67"/>
      <c r="B203" s="68"/>
      <c r="C203" s="69"/>
      <c r="D203" s="69" t="str">
        <f ca="1">IF(B203="","",VLOOKUP('Журнал Закупок'!$B203,'СТ Криптовалюта'!B:C,2,0))</f>
        <v/>
      </c>
      <c r="E203" s="68" t="str">
        <f t="shared" si="15"/>
        <v/>
      </c>
      <c r="F203" s="70"/>
      <c r="G203" s="71"/>
      <c r="H203" s="71"/>
      <c r="I203" s="71" t="str">
        <f t="shared" si="16"/>
        <v/>
      </c>
      <c r="J203" s="71" t="e">
        <f ca="1">IFERROR(__xludf.DUMMYFUNCTION("IF(I203="""","""",IMPORTXML(""http://www.cbr.ru/scripts/XML_daily.asp?date_req=""&amp;TEXT(A203,""DD/MM/YYYY""), ""//ValCurs/Valute[CharCode=""""USD""""]/Value"")*I203)"),"")</f>
        <v>#NAME?</v>
      </c>
      <c r="K203" s="71"/>
      <c r="L203" s="71"/>
      <c r="M203" s="71"/>
      <c r="N203" s="71" t="str">
        <f ca="1">IF(H203="","",IF(D203="usdt",H203,IF(C203="Binance",VLOOKUP(E203,'Курсы Бинанса'!B:C,2,FALSE),IF(C203="bybit",VLOOKUP(E203,'Курсы Bybit'!B:C,2,FALSE),IF(C203="OKX",VLOOKUP(E203,'Курсы OKX'!A:D,4,FALSE),IF(C203="huobi",VLOOKUP(E203,'Курсы Huobi'!B:C,2,FALSE),"! укажите биржу"))))))</f>
        <v/>
      </c>
      <c r="O203" s="71" t="str">
        <f t="shared" si="17"/>
        <v/>
      </c>
      <c r="P203" s="71" t="str">
        <f t="shared" si="18"/>
        <v/>
      </c>
      <c r="Q203" s="75" t="str">
        <f t="shared" si="19"/>
        <v/>
      </c>
      <c r="R203" s="76"/>
    </row>
    <row r="204" spans="1:18" ht="14.25" customHeight="1">
      <c r="A204" s="67"/>
      <c r="B204" s="68"/>
      <c r="C204" s="69"/>
      <c r="D204" s="69" t="str">
        <f ca="1">IF(B204="","",VLOOKUP('Журнал Закупок'!$B204,'СТ Криптовалюта'!B:C,2,0))</f>
        <v/>
      </c>
      <c r="E204" s="68" t="str">
        <f t="shared" si="15"/>
        <v/>
      </c>
      <c r="F204" s="70"/>
      <c r="G204" s="71"/>
      <c r="H204" s="71"/>
      <c r="I204" s="71" t="str">
        <f t="shared" si="16"/>
        <v/>
      </c>
      <c r="J204" s="71" t="e">
        <f ca="1">IFERROR(__xludf.DUMMYFUNCTION("IF(I204="""","""",IMPORTXML(""http://www.cbr.ru/scripts/XML_daily.asp?date_req=""&amp;TEXT(A204,""DD/MM/YYYY""), ""//ValCurs/Valute[CharCode=""""USD""""]/Value"")*I204)"),"")</f>
        <v>#NAME?</v>
      </c>
      <c r="K204" s="71"/>
      <c r="L204" s="71"/>
      <c r="M204" s="71"/>
      <c r="N204" s="71" t="str">
        <f ca="1">IF(H204="","",IF(D204="usdt",H204,IF(C204="Binance",VLOOKUP(E204,'Курсы Бинанса'!B:C,2,FALSE),IF(C204="bybit",VLOOKUP(E204,'Курсы Bybit'!B:C,2,FALSE),IF(C204="OKX",VLOOKUP(E204,'Курсы OKX'!A:D,4,FALSE),IF(C204="huobi",VLOOKUP(E204,'Курсы Huobi'!B:C,2,FALSE),"! укажите биржу"))))))</f>
        <v/>
      </c>
      <c r="O204" s="71" t="str">
        <f t="shared" si="17"/>
        <v/>
      </c>
      <c r="P204" s="71" t="str">
        <f t="shared" si="18"/>
        <v/>
      </c>
      <c r="Q204" s="75" t="str">
        <f t="shared" si="19"/>
        <v/>
      </c>
      <c r="R204" s="76"/>
    </row>
    <row r="205" spans="1:18" ht="14.25" customHeight="1">
      <c r="A205" s="67"/>
      <c r="B205" s="68"/>
      <c r="C205" s="69"/>
      <c r="D205" s="69" t="str">
        <f ca="1">IF(B205="","",VLOOKUP('Журнал Закупок'!$B205,'СТ Криптовалюта'!B:C,2,0))</f>
        <v/>
      </c>
      <c r="E205" s="68" t="str">
        <f t="shared" si="15"/>
        <v/>
      </c>
      <c r="F205" s="70"/>
      <c r="G205" s="71"/>
      <c r="H205" s="71"/>
      <c r="I205" s="71" t="str">
        <f t="shared" si="16"/>
        <v/>
      </c>
      <c r="J205" s="71" t="e">
        <f ca="1">IFERROR(__xludf.DUMMYFUNCTION("IF(I205="""","""",IMPORTXML(""http://www.cbr.ru/scripts/XML_daily.asp?date_req=""&amp;TEXT(A205,""DD/MM/YYYY""), ""//ValCurs/Valute[CharCode=""""USD""""]/Value"")*I205)"),"")</f>
        <v>#NAME?</v>
      </c>
      <c r="K205" s="71"/>
      <c r="L205" s="71"/>
      <c r="M205" s="71"/>
      <c r="N205" s="71" t="str">
        <f ca="1">IF(H205="","",IF(D205="usdt",H205,IF(C205="Binance",VLOOKUP(E205,'Курсы Бинанса'!B:C,2,FALSE),IF(C205="bybit",VLOOKUP(E205,'Курсы Bybit'!B:C,2,FALSE),IF(C205="OKX",VLOOKUP(E205,'Курсы OKX'!A:D,4,FALSE),IF(C205="huobi",VLOOKUP(E205,'Курсы Huobi'!B:C,2,FALSE),"! укажите биржу"))))))</f>
        <v/>
      </c>
      <c r="O205" s="71" t="str">
        <f t="shared" si="17"/>
        <v/>
      </c>
      <c r="P205" s="71" t="str">
        <f t="shared" si="18"/>
        <v/>
      </c>
      <c r="Q205" s="75" t="str">
        <f t="shared" si="19"/>
        <v/>
      </c>
      <c r="R205" s="76"/>
    </row>
    <row r="206" spans="1:18" ht="14.25" customHeight="1">
      <c r="A206" s="67"/>
      <c r="B206" s="68"/>
      <c r="C206" s="69"/>
      <c r="D206" s="69" t="str">
        <f ca="1">IF(B206="","",VLOOKUP('Журнал Закупок'!$B206,'СТ Криптовалюта'!B:C,2,0))</f>
        <v/>
      </c>
      <c r="E206" s="68" t="str">
        <f t="shared" si="15"/>
        <v/>
      </c>
      <c r="F206" s="70"/>
      <c r="G206" s="71"/>
      <c r="H206" s="71"/>
      <c r="I206" s="71" t="str">
        <f t="shared" si="16"/>
        <v/>
      </c>
      <c r="J206" s="71" t="e">
        <f ca="1">IFERROR(__xludf.DUMMYFUNCTION("IF(I206="""","""",IMPORTXML(""http://www.cbr.ru/scripts/XML_daily.asp?date_req=""&amp;TEXT(A206,""DD/MM/YYYY""), ""//ValCurs/Valute[CharCode=""""USD""""]/Value"")*I206)"),"")</f>
        <v>#NAME?</v>
      </c>
      <c r="K206" s="71"/>
      <c r="L206" s="71"/>
      <c r="M206" s="71"/>
      <c r="N206" s="71" t="str">
        <f ca="1">IF(H206="","",IF(D206="usdt",H206,IF(C206="Binance",VLOOKUP(E206,'Курсы Бинанса'!B:C,2,FALSE),IF(C206="bybit",VLOOKUP(E206,'Курсы Bybit'!B:C,2,FALSE),IF(C206="OKX",VLOOKUP(E206,'Курсы OKX'!A:D,4,FALSE),IF(C206="huobi",VLOOKUP(E206,'Курсы Huobi'!B:C,2,FALSE),"! укажите биржу"))))))</f>
        <v/>
      </c>
      <c r="O206" s="71" t="str">
        <f t="shared" si="17"/>
        <v/>
      </c>
      <c r="P206" s="71" t="str">
        <f t="shared" si="18"/>
        <v/>
      </c>
      <c r="Q206" s="75" t="str">
        <f t="shared" si="19"/>
        <v/>
      </c>
      <c r="R206" s="76"/>
    </row>
    <row r="207" spans="1:18" ht="14.25" customHeight="1">
      <c r="A207" s="67"/>
      <c r="B207" s="68"/>
      <c r="C207" s="69"/>
      <c r="D207" s="69" t="str">
        <f ca="1">IF(B207="","",VLOOKUP('Журнал Закупок'!$B207,'СТ Криптовалюта'!B:C,2,0))</f>
        <v/>
      </c>
      <c r="E207" s="68" t="str">
        <f t="shared" si="15"/>
        <v/>
      </c>
      <c r="F207" s="70"/>
      <c r="G207" s="71"/>
      <c r="H207" s="71"/>
      <c r="I207" s="71" t="str">
        <f t="shared" si="16"/>
        <v/>
      </c>
      <c r="J207" s="71" t="e">
        <f ca="1">IFERROR(__xludf.DUMMYFUNCTION("IF(I207="""","""",IMPORTXML(""http://www.cbr.ru/scripts/XML_daily.asp?date_req=""&amp;TEXT(A207,""DD/MM/YYYY""), ""//ValCurs/Valute[CharCode=""""USD""""]/Value"")*I207)"),"")</f>
        <v>#NAME?</v>
      </c>
      <c r="K207" s="71"/>
      <c r="L207" s="71"/>
      <c r="M207" s="71"/>
      <c r="N207" s="71" t="str">
        <f ca="1">IF(H207="","",IF(D207="usdt",H207,IF(C207="Binance",VLOOKUP(E207,'Курсы Бинанса'!B:C,2,FALSE),IF(C207="bybit",VLOOKUP(E207,'Курсы Bybit'!B:C,2,FALSE),IF(C207="OKX",VLOOKUP(E207,'Курсы OKX'!A:D,4,FALSE),IF(C207="huobi",VLOOKUP(E207,'Курсы Huobi'!B:C,2,FALSE),"! укажите биржу"))))))</f>
        <v/>
      </c>
      <c r="O207" s="71" t="str">
        <f t="shared" si="17"/>
        <v/>
      </c>
      <c r="P207" s="71" t="str">
        <f t="shared" si="18"/>
        <v/>
      </c>
      <c r="Q207" s="75" t="str">
        <f t="shared" si="19"/>
        <v/>
      </c>
      <c r="R207" s="76"/>
    </row>
    <row r="208" spans="1:18" ht="14.25" customHeight="1">
      <c r="A208" s="67"/>
      <c r="B208" s="68"/>
      <c r="C208" s="69"/>
      <c r="D208" s="69" t="str">
        <f ca="1">IF(B208="","",VLOOKUP('Журнал Закупок'!$B208,'СТ Криптовалюта'!B:C,2,0))</f>
        <v/>
      </c>
      <c r="E208" s="68" t="str">
        <f t="shared" si="15"/>
        <v/>
      </c>
      <c r="F208" s="70"/>
      <c r="G208" s="71"/>
      <c r="H208" s="71"/>
      <c r="I208" s="71" t="str">
        <f t="shared" si="16"/>
        <v/>
      </c>
      <c r="J208" s="71" t="e">
        <f ca="1">IFERROR(__xludf.DUMMYFUNCTION("IF(I208="""","""",IMPORTXML(""http://www.cbr.ru/scripts/XML_daily.asp?date_req=""&amp;TEXT(A208,""DD/MM/YYYY""), ""//ValCurs/Valute[CharCode=""""USD""""]/Value"")*I208)"),"")</f>
        <v>#NAME?</v>
      </c>
      <c r="K208" s="71"/>
      <c r="L208" s="71"/>
      <c r="M208" s="71"/>
      <c r="N208" s="71" t="str">
        <f ca="1">IF(H208="","",IF(D208="usdt",H208,IF(C208="Binance",VLOOKUP(E208,'Курсы Бинанса'!B:C,2,FALSE),IF(C208="bybit",VLOOKUP(E208,'Курсы Bybit'!B:C,2,FALSE),IF(C208="OKX",VLOOKUP(E208,'Курсы OKX'!A:D,4,FALSE),IF(C208="huobi",VLOOKUP(E208,'Курсы Huobi'!B:C,2,FALSE),"! укажите биржу"))))))</f>
        <v/>
      </c>
      <c r="O208" s="71" t="str">
        <f t="shared" si="17"/>
        <v/>
      </c>
      <c r="P208" s="71" t="str">
        <f t="shared" si="18"/>
        <v/>
      </c>
      <c r="Q208" s="75" t="str">
        <f t="shared" si="19"/>
        <v/>
      </c>
      <c r="R208" s="76"/>
    </row>
    <row r="209" spans="1:18" ht="14.25" customHeight="1">
      <c r="A209" s="67"/>
      <c r="B209" s="68"/>
      <c r="C209" s="69"/>
      <c r="D209" s="69" t="str">
        <f ca="1">IF(B209="","",VLOOKUP('Журнал Закупок'!$B209,'СТ Криптовалюта'!B:C,2,0))</f>
        <v/>
      </c>
      <c r="E209" s="68" t="str">
        <f t="shared" si="15"/>
        <v/>
      </c>
      <c r="F209" s="70"/>
      <c r="G209" s="71"/>
      <c r="H209" s="71"/>
      <c r="I209" s="71" t="str">
        <f t="shared" si="16"/>
        <v/>
      </c>
      <c r="J209" s="71" t="e">
        <f ca="1">IFERROR(__xludf.DUMMYFUNCTION("IF(I209="""","""",IMPORTXML(""http://www.cbr.ru/scripts/XML_daily.asp?date_req=""&amp;TEXT(A209,""DD/MM/YYYY""), ""//ValCurs/Valute[CharCode=""""USD""""]/Value"")*I209)"),"")</f>
        <v>#NAME?</v>
      </c>
      <c r="K209" s="71"/>
      <c r="L209" s="71"/>
      <c r="M209" s="71"/>
      <c r="N209" s="71" t="str">
        <f ca="1">IF(H209="","",IF(D209="usdt",H209,IF(C209="Binance",VLOOKUP(E209,'Курсы Бинанса'!B:C,2,FALSE),IF(C209="bybit",VLOOKUP(E209,'Курсы Bybit'!B:C,2,FALSE),IF(C209="OKX",VLOOKUP(E209,'Курсы OKX'!A:D,4,FALSE),IF(C209="huobi",VLOOKUP(E209,'Курсы Huobi'!B:C,2,FALSE),"! укажите биржу"))))))</f>
        <v/>
      </c>
      <c r="O209" s="71" t="str">
        <f t="shared" si="17"/>
        <v/>
      </c>
      <c r="P209" s="71" t="str">
        <f t="shared" si="18"/>
        <v/>
      </c>
      <c r="Q209" s="75" t="str">
        <f t="shared" si="19"/>
        <v/>
      </c>
      <c r="R209" s="76"/>
    </row>
    <row r="210" spans="1:18" ht="14.25" customHeight="1">
      <c r="A210" s="67"/>
      <c r="B210" s="68"/>
      <c r="C210" s="69"/>
      <c r="D210" s="69" t="str">
        <f ca="1">IF(B210="","",VLOOKUP('Журнал Закупок'!$B210,'СТ Криптовалюта'!B:C,2,0))</f>
        <v/>
      </c>
      <c r="E210" s="68" t="str">
        <f t="shared" si="15"/>
        <v/>
      </c>
      <c r="F210" s="70"/>
      <c r="G210" s="71"/>
      <c r="H210" s="71"/>
      <c r="I210" s="71" t="str">
        <f t="shared" si="16"/>
        <v/>
      </c>
      <c r="J210" s="71" t="e">
        <f ca="1">IFERROR(__xludf.DUMMYFUNCTION("IF(I210="""","""",IMPORTXML(""http://www.cbr.ru/scripts/XML_daily.asp?date_req=""&amp;TEXT(A210,""DD/MM/YYYY""), ""//ValCurs/Valute[CharCode=""""USD""""]/Value"")*I210)"),"")</f>
        <v>#NAME?</v>
      </c>
      <c r="K210" s="71"/>
      <c r="L210" s="71"/>
      <c r="M210" s="71"/>
      <c r="N210" s="71" t="str">
        <f ca="1">IF(H210="","",IF(D210="usdt",H210,IF(C210="Binance",VLOOKUP(E210,'Курсы Бинанса'!B:C,2,FALSE),IF(C210="bybit",VLOOKUP(E210,'Курсы Bybit'!B:C,2,FALSE),IF(C210="OKX",VLOOKUP(E210,'Курсы OKX'!A:D,4,FALSE),IF(C210="huobi",VLOOKUP(E210,'Курсы Huobi'!B:C,2,FALSE),"! укажите биржу"))))))</f>
        <v/>
      </c>
      <c r="O210" s="71" t="str">
        <f t="shared" si="17"/>
        <v/>
      </c>
      <c r="P210" s="71" t="str">
        <f t="shared" si="18"/>
        <v/>
      </c>
      <c r="Q210" s="75" t="str">
        <f t="shared" si="19"/>
        <v/>
      </c>
      <c r="R210" s="76"/>
    </row>
    <row r="211" spans="1:18" ht="14.25" customHeight="1">
      <c r="A211" s="67"/>
      <c r="B211" s="68"/>
      <c r="C211" s="69"/>
      <c r="D211" s="69" t="str">
        <f ca="1">IF(B211="","",VLOOKUP('Журнал Закупок'!$B211,'СТ Криптовалюта'!B:C,2,0))</f>
        <v/>
      </c>
      <c r="E211" s="68" t="str">
        <f t="shared" si="15"/>
        <v/>
      </c>
      <c r="F211" s="70"/>
      <c r="G211" s="71"/>
      <c r="H211" s="71"/>
      <c r="I211" s="71" t="str">
        <f t="shared" si="16"/>
        <v/>
      </c>
      <c r="J211" s="71" t="e">
        <f ca="1">IFERROR(__xludf.DUMMYFUNCTION("IF(I211="""","""",IMPORTXML(""http://www.cbr.ru/scripts/XML_daily.asp?date_req=""&amp;TEXT(A211,""DD/MM/YYYY""), ""//ValCurs/Valute[CharCode=""""USD""""]/Value"")*I211)"),"")</f>
        <v>#NAME?</v>
      </c>
      <c r="K211" s="71"/>
      <c r="L211" s="71"/>
      <c r="M211" s="71"/>
      <c r="N211" s="71" t="str">
        <f ca="1">IF(H211="","",IF(D211="usdt",H211,IF(C211="Binance",VLOOKUP(E211,'Курсы Бинанса'!B:C,2,FALSE),IF(C211="bybit",VLOOKUP(E211,'Курсы Bybit'!B:C,2,FALSE),IF(C211="OKX",VLOOKUP(E211,'Курсы OKX'!A:D,4,FALSE),IF(C211="huobi",VLOOKUP(E211,'Курсы Huobi'!B:C,2,FALSE),"! укажите биржу"))))))</f>
        <v/>
      </c>
      <c r="O211" s="71" t="str">
        <f t="shared" si="17"/>
        <v/>
      </c>
      <c r="P211" s="71" t="str">
        <f t="shared" si="18"/>
        <v/>
      </c>
      <c r="Q211" s="75" t="str">
        <f t="shared" si="19"/>
        <v/>
      </c>
      <c r="R211" s="76"/>
    </row>
    <row r="212" spans="1:18" ht="14.25" customHeight="1">
      <c r="A212" s="67"/>
      <c r="B212" s="68"/>
      <c r="C212" s="69"/>
      <c r="D212" s="69" t="str">
        <f ca="1">IF(B212="","",VLOOKUP('Журнал Закупок'!$B212,'СТ Криптовалюта'!B:C,2,0))</f>
        <v/>
      </c>
      <c r="E212" s="68" t="str">
        <f t="shared" si="15"/>
        <v/>
      </c>
      <c r="F212" s="70"/>
      <c r="G212" s="71"/>
      <c r="H212" s="71"/>
      <c r="I212" s="71" t="str">
        <f t="shared" si="16"/>
        <v/>
      </c>
      <c r="J212" s="71" t="e">
        <f ca="1">IFERROR(__xludf.DUMMYFUNCTION("IF(I212="""","""",IMPORTXML(""http://www.cbr.ru/scripts/XML_daily.asp?date_req=""&amp;TEXT(A212,""DD/MM/YYYY""), ""//ValCurs/Valute[CharCode=""""USD""""]/Value"")*I212)"),"")</f>
        <v>#NAME?</v>
      </c>
      <c r="K212" s="71"/>
      <c r="L212" s="71"/>
      <c r="M212" s="71"/>
      <c r="N212" s="71" t="str">
        <f ca="1">IF(H212="","",IF(D212="usdt",H212,IF(C212="Binance",VLOOKUP(E212,'Курсы Бинанса'!B:C,2,FALSE),IF(C212="bybit",VLOOKUP(E212,'Курсы Bybit'!B:C,2,FALSE),IF(C212="OKX",VLOOKUP(E212,'Курсы OKX'!A:D,4,FALSE),IF(C212="huobi",VLOOKUP(E212,'Курсы Huobi'!B:C,2,FALSE),"! укажите биржу"))))))</f>
        <v/>
      </c>
      <c r="O212" s="71" t="str">
        <f t="shared" si="17"/>
        <v/>
      </c>
      <c r="P212" s="71" t="str">
        <f t="shared" si="18"/>
        <v/>
      </c>
      <c r="Q212" s="75" t="str">
        <f t="shared" si="19"/>
        <v/>
      </c>
      <c r="R212" s="76"/>
    </row>
    <row r="213" spans="1:18" ht="14.25" customHeight="1">
      <c r="A213" s="67"/>
      <c r="B213" s="68"/>
      <c r="C213" s="69"/>
      <c r="D213" s="69" t="str">
        <f ca="1">IF(B213="","",VLOOKUP('Журнал Закупок'!$B213,'СТ Криптовалюта'!B:C,2,0))</f>
        <v/>
      </c>
      <c r="E213" s="68" t="str">
        <f t="shared" si="15"/>
        <v/>
      </c>
      <c r="F213" s="70"/>
      <c r="G213" s="71"/>
      <c r="H213" s="71"/>
      <c r="I213" s="71" t="str">
        <f t="shared" si="16"/>
        <v/>
      </c>
      <c r="J213" s="71" t="e">
        <f ca="1">IFERROR(__xludf.DUMMYFUNCTION("IF(I213="""","""",IMPORTXML(""http://www.cbr.ru/scripts/XML_daily.asp?date_req=""&amp;TEXT(A213,""DD/MM/YYYY""), ""//ValCurs/Valute[CharCode=""""USD""""]/Value"")*I213)"),"")</f>
        <v>#NAME?</v>
      </c>
      <c r="K213" s="71"/>
      <c r="L213" s="71"/>
      <c r="M213" s="71"/>
      <c r="N213" s="71" t="str">
        <f ca="1">IF(H213="","",IF(D213="usdt",H213,IF(C213="Binance",VLOOKUP(E213,'Курсы Бинанса'!B:C,2,FALSE),IF(C213="bybit",VLOOKUP(E213,'Курсы Bybit'!B:C,2,FALSE),IF(C213="OKX",VLOOKUP(E213,'Курсы OKX'!A:D,4,FALSE),IF(C213="huobi",VLOOKUP(E213,'Курсы Huobi'!B:C,2,FALSE),"! укажите биржу"))))))</f>
        <v/>
      </c>
      <c r="O213" s="71" t="str">
        <f t="shared" si="17"/>
        <v/>
      </c>
      <c r="P213" s="71" t="str">
        <f t="shared" si="18"/>
        <v/>
      </c>
      <c r="Q213" s="75" t="str">
        <f t="shared" si="19"/>
        <v/>
      </c>
      <c r="R213" s="76"/>
    </row>
    <row r="214" spans="1:18" ht="14.25" customHeight="1">
      <c r="A214" s="67"/>
      <c r="B214" s="68"/>
      <c r="C214" s="69"/>
      <c r="D214" s="69" t="str">
        <f ca="1">IF(B214="","",VLOOKUP('Журнал Закупок'!$B214,'СТ Криптовалюта'!B:C,2,0))</f>
        <v/>
      </c>
      <c r="E214" s="68" t="str">
        <f t="shared" si="15"/>
        <v/>
      </c>
      <c r="F214" s="70"/>
      <c r="G214" s="71"/>
      <c r="H214" s="71"/>
      <c r="I214" s="71" t="str">
        <f t="shared" si="16"/>
        <v/>
      </c>
      <c r="J214" s="71" t="e">
        <f ca="1">IFERROR(__xludf.DUMMYFUNCTION("IF(I214="""","""",IMPORTXML(""http://www.cbr.ru/scripts/XML_daily.asp?date_req=""&amp;TEXT(A214,""DD/MM/YYYY""), ""//ValCurs/Valute[CharCode=""""USD""""]/Value"")*I214)"),"")</f>
        <v>#NAME?</v>
      </c>
      <c r="K214" s="71"/>
      <c r="L214" s="71"/>
      <c r="M214" s="71"/>
      <c r="N214" s="71" t="str">
        <f ca="1">IF(H214="","",IF(D214="usdt",H214,IF(C214="Binance",VLOOKUP(E214,'Курсы Бинанса'!B:C,2,FALSE),IF(C214="bybit",VLOOKUP(E214,'Курсы Bybit'!B:C,2,FALSE),IF(C214="OKX",VLOOKUP(E214,'Курсы OKX'!A:D,4,FALSE),IF(C214="huobi",VLOOKUP(E214,'Курсы Huobi'!B:C,2,FALSE),"! укажите биржу"))))))</f>
        <v/>
      </c>
      <c r="O214" s="71" t="str">
        <f t="shared" si="17"/>
        <v/>
      </c>
      <c r="P214" s="71" t="str">
        <f t="shared" si="18"/>
        <v/>
      </c>
      <c r="Q214" s="75" t="str">
        <f t="shared" si="19"/>
        <v/>
      </c>
      <c r="R214" s="76"/>
    </row>
    <row r="215" spans="1:18" ht="14.25" customHeight="1">
      <c r="A215" s="67"/>
      <c r="B215" s="68"/>
      <c r="C215" s="69"/>
      <c r="D215" s="69" t="str">
        <f ca="1">IF(B215="","",VLOOKUP('Журнал Закупок'!$B215,'СТ Криптовалюта'!B:C,2,0))</f>
        <v/>
      </c>
      <c r="E215" s="68" t="str">
        <f t="shared" si="15"/>
        <v/>
      </c>
      <c r="F215" s="70"/>
      <c r="G215" s="71"/>
      <c r="H215" s="71"/>
      <c r="I215" s="71" t="str">
        <f t="shared" si="16"/>
        <v/>
      </c>
      <c r="J215" s="71" t="e">
        <f ca="1">IFERROR(__xludf.DUMMYFUNCTION("IF(I215="""","""",IMPORTXML(""http://www.cbr.ru/scripts/XML_daily.asp?date_req=""&amp;TEXT(A215,""DD/MM/YYYY""), ""//ValCurs/Valute[CharCode=""""USD""""]/Value"")*I215)"),"")</f>
        <v>#NAME?</v>
      </c>
      <c r="K215" s="71"/>
      <c r="L215" s="71"/>
      <c r="M215" s="71"/>
      <c r="N215" s="71" t="str">
        <f ca="1">IF(H215="","",IF(D215="usdt",H215,IF(C215="Binance",VLOOKUP(E215,'Курсы Бинанса'!B:C,2,FALSE),IF(C215="bybit",VLOOKUP(E215,'Курсы Bybit'!B:C,2,FALSE),IF(C215="OKX",VLOOKUP(E215,'Курсы OKX'!A:D,4,FALSE),IF(C215="huobi",VLOOKUP(E215,'Курсы Huobi'!B:C,2,FALSE),"! укажите биржу"))))))</f>
        <v/>
      </c>
      <c r="O215" s="71" t="str">
        <f t="shared" si="17"/>
        <v/>
      </c>
      <c r="P215" s="71" t="str">
        <f t="shared" si="18"/>
        <v/>
      </c>
      <c r="Q215" s="75" t="str">
        <f t="shared" si="19"/>
        <v/>
      </c>
      <c r="R215" s="76"/>
    </row>
    <row r="216" spans="1:18" ht="14.25" customHeight="1">
      <c r="A216" s="67"/>
      <c r="B216" s="68"/>
      <c r="C216" s="69"/>
      <c r="D216" s="69" t="str">
        <f ca="1">IF(B216="","",VLOOKUP('Журнал Закупок'!$B216,'СТ Криптовалюта'!B:C,2,0))</f>
        <v/>
      </c>
      <c r="E216" s="68" t="str">
        <f t="shared" si="15"/>
        <v/>
      </c>
      <c r="F216" s="70"/>
      <c r="G216" s="71"/>
      <c r="H216" s="71"/>
      <c r="I216" s="71" t="str">
        <f t="shared" si="16"/>
        <v/>
      </c>
      <c r="J216" s="71" t="e">
        <f ca="1">IFERROR(__xludf.DUMMYFUNCTION("IF(I216="""","""",IMPORTXML(""http://www.cbr.ru/scripts/XML_daily.asp?date_req=""&amp;TEXT(A216,""DD/MM/YYYY""), ""//ValCurs/Valute[CharCode=""""USD""""]/Value"")*I216)"),"")</f>
        <v>#NAME?</v>
      </c>
      <c r="K216" s="71"/>
      <c r="L216" s="71"/>
      <c r="M216" s="71"/>
      <c r="N216" s="71" t="str">
        <f ca="1">IF(H216="","",IF(D216="usdt",H216,IF(C216="Binance",VLOOKUP(E216,'Курсы Бинанса'!B:C,2,FALSE),IF(C216="bybit",VLOOKUP(E216,'Курсы Bybit'!B:C,2,FALSE),IF(C216="OKX",VLOOKUP(E216,'Курсы OKX'!A:D,4,FALSE),IF(C216="huobi",VLOOKUP(E216,'Курсы Huobi'!B:C,2,FALSE),"! укажите биржу"))))))</f>
        <v/>
      </c>
      <c r="O216" s="71" t="str">
        <f t="shared" si="17"/>
        <v/>
      </c>
      <c r="P216" s="71" t="str">
        <f t="shared" si="18"/>
        <v/>
      </c>
      <c r="Q216" s="75" t="str">
        <f t="shared" si="19"/>
        <v/>
      </c>
      <c r="R216" s="76"/>
    </row>
    <row r="217" spans="1:18" ht="14.25" customHeight="1">
      <c r="A217" s="67"/>
      <c r="B217" s="68"/>
      <c r="C217" s="69"/>
      <c r="D217" s="69" t="str">
        <f ca="1">IF(B217="","",VLOOKUP('Журнал Закупок'!$B217,'СТ Криптовалюта'!B:C,2,0))</f>
        <v/>
      </c>
      <c r="E217" s="68" t="str">
        <f t="shared" si="15"/>
        <v/>
      </c>
      <c r="F217" s="70"/>
      <c r="G217" s="71"/>
      <c r="H217" s="71"/>
      <c r="I217" s="71" t="str">
        <f t="shared" si="16"/>
        <v/>
      </c>
      <c r="J217" s="71" t="e">
        <f ca="1">IFERROR(__xludf.DUMMYFUNCTION("IF(I217="""","""",IMPORTXML(""http://www.cbr.ru/scripts/XML_daily.asp?date_req=""&amp;TEXT(A217,""DD/MM/YYYY""), ""//ValCurs/Valute[CharCode=""""USD""""]/Value"")*I217)"),"")</f>
        <v>#NAME?</v>
      </c>
      <c r="K217" s="71"/>
      <c r="L217" s="71"/>
      <c r="M217" s="71"/>
      <c r="N217" s="71" t="str">
        <f ca="1">IF(H217="","",IF(D217="usdt",H217,IF(C217="Binance",VLOOKUP(E217,'Курсы Бинанса'!B:C,2,FALSE),IF(C217="bybit",VLOOKUP(E217,'Курсы Bybit'!B:C,2,FALSE),IF(C217="OKX",VLOOKUP(E217,'Курсы OKX'!A:D,4,FALSE),IF(C217="huobi",VLOOKUP(E217,'Курсы Huobi'!B:C,2,FALSE),"! укажите биржу"))))))</f>
        <v/>
      </c>
      <c r="O217" s="71" t="str">
        <f t="shared" si="17"/>
        <v/>
      </c>
      <c r="P217" s="71" t="str">
        <f t="shared" si="18"/>
        <v/>
      </c>
      <c r="Q217" s="75" t="str">
        <f t="shared" si="19"/>
        <v/>
      </c>
      <c r="R217" s="76"/>
    </row>
    <row r="218" spans="1:18" ht="14.25" customHeight="1">
      <c r="A218" s="67"/>
      <c r="B218" s="68"/>
      <c r="C218" s="69"/>
      <c r="D218" s="69" t="str">
        <f ca="1">IF(B218="","",VLOOKUP('Журнал Закупок'!$B218,'СТ Криптовалюта'!B:C,2,0))</f>
        <v/>
      </c>
      <c r="E218" s="68" t="str">
        <f t="shared" si="15"/>
        <v/>
      </c>
      <c r="F218" s="70"/>
      <c r="G218" s="71"/>
      <c r="H218" s="71"/>
      <c r="I218" s="71" t="str">
        <f t="shared" si="16"/>
        <v/>
      </c>
      <c r="J218" s="71" t="e">
        <f ca="1">IFERROR(__xludf.DUMMYFUNCTION("IF(I218="""","""",IMPORTXML(""http://www.cbr.ru/scripts/XML_daily.asp?date_req=""&amp;TEXT(A218,""DD/MM/YYYY""), ""//ValCurs/Valute[CharCode=""""USD""""]/Value"")*I218)"),"")</f>
        <v>#NAME?</v>
      </c>
      <c r="K218" s="71"/>
      <c r="L218" s="71"/>
      <c r="M218" s="71"/>
      <c r="N218" s="71" t="str">
        <f ca="1">IF(H218="","",IF(D218="usdt",H218,IF(C218="Binance",VLOOKUP(E218,'Курсы Бинанса'!B:C,2,FALSE),IF(C218="bybit",VLOOKUP(E218,'Курсы Bybit'!B:C,2,FALSE),IF(C218="OKX",VLOOKUP(E218,'Курсы OKX'!A:D,4,FALSE),IF(C218="huobi",VLOOKUP(E218,'Курсы Huobi'!B:C,2,FALSE),"! укажите биржу"))))))</f>
        <v/>
      </c>
      <c r="O218" s="71" t="str">
        <f t="shared" si="17"/>
        <v/>
      </c>
      <c r="P218" s="71" t="str">
        <f t="shared" si="18"/>
        <v/>
      </c>
      <c r="Q218" s="75" t="str">
        <f t="shared" si="19"/>
        <v/>
      </c>
      <c r="R218" s="76"/>
    </row>
    <row r="219" spans="1:18" ht="14.25" customHeight="1">
      <c r="A219" s="67"/>
      <c r="B219" s="68"/>
      <c r="C219" s="69"/>
      <c r="D219" s="69" t="str">
        <f ca="1">IF(B219="","",VLOOKUP('Журнал Закупок'!$B219,'СТ Криптовалюта'!B:C,2,0))</f>
        <v/>
      </c>
      <c r="E219" s="68" t="str">
        <f t="shared" si="15"/>
        <v/>
      </c>
      <c r="F219" s="70"/>
      <c r="G219" s="71"/>
      <c r="H219" s="71"/>
      <c r="I219" s="71" t="str">
        <f t="shared" si="16"/>
        <v/>
      </c>
      <c r="J219" s="71" t="e">
        <f ca="1">IFERROR(__xludf.DUMMYFUNCTION("IF(I219="""","""",IMPORTXML(""http://www.cbr.ru/scripts/XML_daily.asp?date_req=""&amp;TEXT(A219,""DD/MM/YYYY""), ""//ValCurs/Valute[CharCode=""""USD""""]/Value"")*I219)"),"")</f>
        <v>#NAME?</v>
      </c>
      <c r="K219" s="71"/>
      <c r="L219" s="71"/>
      <c r="M219" s="71"/>
      <c r="N219" s="71" t="str">
        <f ca="1">IF(H219="","",IF(D219="usdt",H219,IF(C219="Binance",VLOOKUP(E219,'Курсы Бинанса'!B:C,2,FALSE),IF(C219="bybit",VLOOKUP(E219,'Курсы Bybit'!B:C,2,FALSE),IF(C219="OKX",VLOOKUP(E219,'Курсы OKX'!A:D,4,FALSE),IF(C219="huobi",VLOOKUP(E219,'Курсы Huobi'!B:C,2,FALSE),"! укажите биржу"))))))</f>
        <v/>
      </c>
      <c r="O219" s="71" t="str">
        <f t="shared" si="17"/>
        <v/>
      </c>
      <c r="P219" s="71" t="str">
        <f t="shared" si="18"/>
        <v/>
      </c>
      <c r="Q219" s="75" t="str">
        <f t="shared" si="19"/>
        <v/>
      </c>
      <c r="R219" s="76"/>
    </row>
    <row r="220" spans="1:18" ht="14.25" customHeight="1">
      <c r="A220" s="67"/>
      <c r="B220" s="68"/>
      <c r="C220" s="69"/>
      <c r="D220" s="69" t="str">
        <f ca="1">IF(B220="","",VLOOKUP('Журнал Закупок'!$B220,'СТ Криптовалюта'!B:C,2,0))</f>
        <v/>
      </c>
      <c r="E220" s="68" t="str">
        <f t="shared" si="15"/>
        <v/>
      </c>
      <c r="F220" s="70"/>
      <c r="G220" s="71"/>
      <c r="H220" s="71"/>
      <c r="I220" s="71" t="str">
        <f t="shared" si="16"/>
        <v/>
      </c>
      <c r="J220" s="71" t="e">
        <f ca="1">IFERROR(__xludf.DUMMYFUNCTION("IF(I220="""","""",IMPORTXML(""http://www.cbr.ru/scripts/XML_daily.asp?date_req=""&amp;TEXT(A220,""DD/MM/YYYY""), ""//ValCurs/Valute[CharCode=""""USD""""]/Value"")*I220)"),"")</f>
        <v>#NAME?</v>
      </c>
      <c r="K220" s="71"/>
      <c r="L220" s="71"/>
      <c r="M220" s="71"/>
      <c r="N220" s="71" t="str">
        <f ca="1">IF(H220="","",IF(D220="usdt",H220,IF(C220="Binance",VLOOKUP(E220,'Курсы Бинанса'!B:C,2,FALSE),IF(C220="bybit",VLOOKUP(E220,'Курсы Bybit'!B:C,2,FALSE),IF(C220="OKX",VLOOKUP(E220,'Курсы OKX'!A:D,4,FALSE),IF(C220="huobi",VLOOKUP(E220,'Курсы Huobi'!B:C,2,FALSE),"! укажите биржу"))))))</f>
        <v/>
      </c>
      <c r="O220" s="71" t="str">
        <f t="shared" si="17"/>
        <v/>
      </c>
      <c r="P220" s="71" t="str">
        <f t="shared" si="18"/>
        <v/>
      </c>
      <c r="Q220" s="75" t="str">
        <f t="shared" si="19"/>
        <v/>
      </c>
      <c r="R220" s="76"/>
    </row>
    <row r="221" spans="1:18" ht="14.25" customHeight="1">
      <c r="A221" s="67"/>
      <c r="B221" s="68"/>
      <c r="C221" s="69"/>
      <c r="D221" s="69" t="str">
        <f ca="1">IF(B221="","",VLOOKUP('Журнал Закупок'!$B221,'СТ Криптовалюта'!B:C,2,0))</f>
        <v/>
      </c>
      <c r="E221" s="68" t="str">
        <f t="shared" si="15"/>
        <v/>
      </c>
      <c r="F221" s="70"/>
      <c r="G221" s="71"/>
      <c r="H221" s="71"/>
      <c r="I221" s="71" t="str">
        <f t="shared" si="16"/>
        <v/>
      </c>
      <c r="J221" s="71" t="e">
        <f ca="1">IFERROR(__xludf.DUMMYFUNCTION("IF(I221="""","""",IMPORTXML(""http://www.cbr.ru/scripts/XML_daily.asp?date_req=""&amp;TEXT(A221,""DD/MM/YYYY""), ""//ValCurs/Valute[CharCode=""""USD""""]/Value"")*I221)"),"")</f>
        <v>#NAME?</v>
      </c>
      <c r="K221" s="71"/>
      <c r="L221" s="71"/>
      <c r="M221" s="71"/>
      <c r="N221" s="71" t="str">
        <f ca="1">IF(H221="","",IF(D221="usdt",H221,IF(C221="Binance",VLOOKUP(E221,'Курсы Бинанса'!B:C,2,FALSE),IF(C221="bybit",VLOOKUP(E221,'Курсы Bybit'!B:C,2,FALSE),IF(C221="OKX",VLOOKUP(E221,'Курсы OKX'!A:D,4,FALSE),IF(C221="huobi",VLOOKUP(E221,'Курсы Huobi'!B:C,2,FALSE),"! укажите биржу"))))))</f>
        <v/>
      </c>
      <c r="O221" s="71" t="str">
        <f t="shared" si="17"/>
        <v/>
      </c>
      <c r="P221" s="71" t="str">
        <f t="shared" si="18"/>
        <v/>
      </c>
      <c r="Q221" s="75" t="str">
        <f t="shared" si="19"/>
        <v/>
      </c>
      <c r="R221" s="76"/>
    </row>
    <row r="222" spans="1:18" ht="14.25" customHeight="1">
      <c r="A222" s="67"/>
      <c r="B222" s="68"/>
      <c r="C222" s="69"/>
      <c r="D222" s="69" t="str">
        <f ca="1">IF(B222="","",VLOOKUP('Журнал Закупок'!$B222,'СТ Криптовалюта'!B:C,2,0))</f>
        <v/>
      </c>
      <c r="E222" s="68" t="str">
        <f t="shared" si="15"/>
        <v/>
      </c>
      <c r="F222" s="70"/>
      <c r="G222" s="71"/>
      <c r="H222" s="71"/>
      <c r="I222" s="71" t="str">
        <f t="shared" si="16"/>
        <v/>
      </c>
      <c r="J222" s="71" t="e">
        <f ca="1">IFERROR(__xludf.DUMMYFUNCTION("IF(I222="""","""",IMPORTXML(""http://www.cbr.ru/scripts/XML_daily.asp?date_req=""&amp;TEXT(A222,""DD/MM/YYYY""), ""//ValCurs/Valute[CharCode=""""USD""""]/Value"")*I222)"),"")</f>
        <v>#NAME?</v>
      </c>
      <c r="K222" s="71"/>
      <c r="L222" s="71"/>
      <c r="M222" s="71"/>
      <c r="N222" s="71" t="str">
        <f ca="1">IF(H222="","",IF(D222="usdt",H222,IF(C222="Binance",VLOOKUP(E222,'Курсы Бинанса'!B:C,2,FALSE),IF(C222="bybit",VLOOKUP(E222,'Курсы Bybit'!B:C,2,FALSE),IF(C222="OKX",VLOOKUP(E222,'Курсы OKX'!A:D,4,FALSE),IF(C222="huobi",VLOOKUP(E222,'Курсы Huobi'!B:C,2,FALSE),"! укажите биржу"))))))</f>
        <v/>
      </c>
      <c r="O222" s="71" t="str">
        <f t="shared" si="17"/>
        <v/>
      </c>
      <c r="P222" s="71" t="str">
        <f t="shared" si="18"/>
        <v/>
      </c>
      <c r="Q222" s="75" t="str">
        <f t="shared" si="19"/>
        <v/>
      </c>
      <c r="R222" s="76"/>
    </row>
    <row r="223" spans="1:18" ht="14.25" customHeight="1">
      <c r="A223" s="67"/>
      <c r="B223" s="68"/>
      <c r="C223" s="69"/>
      <c r="D223" s="69" t="str">
        <f ca="1">IF(B223="","",VLOOKUP('Журнал Закупок'!$B223,'СТ Криптовалюта'!B:C,2,0))</f>
        <v/>
      </c>
      <c r="E223" s="68" t="str">
        <f t="shared" si="15"/>
        <v/>
      </c>
      <c r="F223" s="70"/>
      <c r="G223" s="71"/>
      <c r="H223" s="71"/>
      <c r="I223" s="71" t="str">
        <f t="shared" si="16"/>
        <v/>
      </c>
      <c r="J223" s="71" t="e">
        <f ca="1">IFERROR(__xludf.DUMMYFUNCTION("IF(I223="""","""",IMPORTXML(""http://www.cbr.ru/scripts/XML_daily.asp?date_req=""&amp;TEXT(A223,""DD/MM/YYYY""), ""//ValCurs/Valute[CharCode=""""USD""""]/Value"")*I223)"),"")</f>
        <v>#NAME?</v>
      </c>
      <c r="K223" s="71"/>
      <c r="L223" s="71"/>
      <c r="M223" s="71"/>
      <c r="N223" s="71" t="str">
        <f ca="1">IF(H223="","",IF(D223="usdt",H223,IF(C223="Binance",VLOOKUP(E223,'Курсы Бинанса'!B:C,2,FALSE),IF(C223="bybit",VLOOKUP(E223,'Курсы Bybit'!B:C,2,FALSE),IF(C223="OKX",VLOOKUP(E223,'Курсы OKX'!A:D,4,FALSE),IF(C223="huobi",VLOOKUP(E223,'Курсы Huobi'!B:C,2,FALSE),"! укажите биржу"))))))</f>
        <v/>
      </c>
      <c r="O223" s="71" t="str">
        <f t="shared" si="17"/>
        <v/>
      </c>
      <c r="P223" s="71" t="str">
        <f t="shared" si="18"/>
        <v/>
      </c>
      <c r="Q223" s="75" t="str">
        <f t="shared" si="19"/>
        <v/>
      </c>
      <c r="R223" s="76"/>
    </row>
    <row r="224" spans="1:18" ht="14.25" customHeight="1">
      <c r="A224" s="67"/>
      <c r="B224" s="68"/>
      <c r="C224" s="69"/>
      <c r="D224" s="69" t="str">
        <f ca="1">IF(B224="","",VLOOKUP('Журнал Закупок'!$B224,'СТ Криптовалюта'!B:C,2,0))</f>
        <v/>
      </c>
      <c r="E224" s="68" t="str">
        <f t="shared" si="15"/>
        <v/>
      </c>
      <c r="F224" s="70"/>
      <c r="G224" s="71"/>
      <c r="H224" s="71"/>
      <c r="I224" s="71" t="str">
        <f t="shared" si="16"/>
        <v/>
      </c>
      <c r="J224" s="71" t="e">
        <f ca="1">IFERROR(__xludf.DUMMYFUNCTION("IF(I224="""","""",IMPORTXML(""http://www.cbr.ru/scripts/XML_daily.asp?date_req=""&amp;TEXT(A224,""DD/MM/YYYY""), ""//ValCurs/Valute[CharCode=""""USD""""]/Value"")*I224)"),"")</f>
        <v>#NAME?</v>
      </c>
      <c r="K224" s="71"/>
      <c r="L224" s="71"/>
      <c r="M224" s="71"/>
      <c r="N224" s="71" t="str">
        <f ca="1">IF(H224="","",IF(D224="usdt",H224,IF(C224="Binance",VLOOKUP(E224,'Курсы Бинанса'!B:C,2,FALSE),IF(C224="bybit",VLOOKUP(E224,'Курсы Bybit'!B:C,2,FALSE),IF(C224="OKX",VLOOKUP(E224,'Курсы OKX'!A:D,4,FALSE),IF(C224="huobi",VLOOKUP(E224,'Курсы Huobi'!B:C,2,FALSE),"! укажите биржу"))))))</f>
        <v/>
      </c>
      <c r="O224" s="71" t="str">
        <f t="shared" si="17"/>
        <v/>
      </c>
      <c r="P224" s="71" t="str">
        <f t="shared" si="18"/>
        <v/>
      </c>
      <c r="Q224" s="75" t="str">
        <f t="shared" si="19"/>
        <v/>
      </c>
      <c r="R224" s="76"/>
    </row>
    <row r="225" spans="1:18" ht="14.25" customHeight="1">
      <c r="A225" s="67"/>
      <c r="B225" s="68"/>
      <c r="C225" s="69"/>
      <c r="D225" s="69" t="str">
        <f ca="1">IF(B225="","",VLOOKUP('Журнал Закупок'!$B225,'СТ Криптовалюта'!B:C,2,0))</f>
        <v/>
      </c>
      <c r="E225" s="68" t="str">
        <f t="shared" si="15"/>
        <v/>
      </c>
      <c r="F225" s="70"/>
      <c r="G225" s="71"/>
      <c r="H225" s="71"/>
      <c r="I225" s="71" t="str">
        <f t="shared" si="16"/>
        <v/>
      </c>
      <c r="J225" s="71" t="e">
        <f ca="1">IFERROR(__xludf.DUMMYFUNCTION("IF(I225="""","""",IMPORTXML(""http://www.cbr.ru/scripts/XML_daily.asp?date_req=""&amp;TEXT(A225,""DD/MM/YYYY""), ""//ValCurs/Valute[CharCode=""""USD""""]/Value"")*I225)"),"")</f>
        <v>#NAME?</v>
      </c>
      <c r="K225" s="71"/>
      <c r="L225" s="71"/>
      <c r="M225" s="71"/>
      <c r="N225" s="71" t="str">
        <f ca="1">IF(H225="","",IF(D225="usdt",H225,IF(C225="Binance",VLOOKUP(E225,'Курсы Бинанса'!B:C,2,FALSE),IF(C225="bybit",VLOOKUP(E225,'Курсы Bybit'!B:C,2,FALSE),IF(C225="OKX",VLOOKUP(E225,'Курсы OKX'!A:D,4,FALSE),IF(C225="huobi",VLOOKUP(E225,'Курсы Huobi'!B:C,2,FALSE),"! укажите биржу"))))))</f>
        <v/>
      </c>
      <c r="O225" s="71" t="str">
        <f t="shared" si="17"/>
        <v/>
      </c>
      <c r="P225" s="71" t="str">
        <f t="shared" si="18"/>
        <v/>
      </c>
      <c r="Q225" s="75" t="str">
        <f t="shared" si="19"/>
        <v/>
      </c>
      <c r="R225" s="76"/>
    </row>
    <row r="226" spans="1:18" ht="14.25" customHeight="1">
      <c r="A226" s="67"/>
      <c r="B226" s="68"/>
      <c r="C226" s="69"/>
      <c r="D226" s="69" t="str">
        <f ca="1">IF(B226="","",VLOOKUP('Журнал Закупок'!$B226,'СТ Криптовалюта'!B:C,2,0))</f>
        <v/>
      </c>
      <c r="E226" s="68" t="str">
        <f t="shared" si="15"/>
        <v/>
      </c>
      <c r="F226" s="70"/>
      <c r="G226" s="71"/>
      <c r="H226" s="71"/>
      <c r="I226" s="71" t="str">
        <f t="shared" si="16"/>
        <v/>
      </c>
      <c r="J226" s="71" t="e">
        <f ca="1">IFERROR(__xludf.DUMMYFUNCTION("IF(I226="""","""",IMPORTXML(""http://www.cbr.ru/scripts/XML_daily.asp?date_req=""&amp;TEXT(A226,""DD/MM/YYYY""), ""//ValCurs/Valute[CharCode=""""USD""""]/Value"")*I226)"),"")</f>
        <v>#NAME?</v>
      </c>
      <c r="K226" s="71"/>
      <c r="L226" s="71"/>
      <c r="M226" s="71"/>
      <c r="N226" s="71" t="str">
        <f ca="1">IF(H226="","",IF(D226="usdt",H226,IF(C226="Binance",VLOOKUP(E226,'Курсы Бинанса'!B:C,2,FALSE),IF(C226="bybit",VLOOKUP(E226,'Курсы Bybit'!B:C,2,FALSE),IF(C226="OKX",VLOOKUP(E226,'Курсы OKX'!A:D,4,FALSE),IF(C226="huobi",VLOOKUP(E226,'Курсы Huobi'!B:C,2,FALSE),"! укажите биржу"))))))</f>
        <v/>
      </c>
      <c r="O226" s="71" t="str">
        <f t="shared" si="17"/>
        <v/>
      </c>
      <c r="P226" s="71" t="str">
        <f t="shared" si="18"/>
        <v/>
      </c>
      <c r="Q226" s="75" t="str">
        <f t="shared" si="19"/>
        <v/>
      </c>
      <c r="R226" s="76"/>
    </row>
    <row r="227" spans="1:18" ht="14.25" customHeight="1">
      <c r="A227" s="67"/>
      <c r="B227" s="68"/>
      <c r="C227" s="69"/>
      <c r="D227" s="69" t="str">
        <f ca="1">IF(B227="","",VLOOKUP('Журнал Закупок'!$B227,'СТ Криптовалюта'!B:C,2,0))</f>
        <v/>
      </c>
      <c r="E227" s="68" t="str">
        <f t="shared" si="15"/>
        <v/>
      </c>
      <c r="F227" s="70"/>
      <c r="G227" s="71"/>
      <c r="H227" s="71"/>
      <c r="I227" s="71" t="str">
        <f t="shared" si="16"/>
        <v/>
      </c>
      <c r="J227" s="71" t="e">
        <f ca="1">IFERROR(__xludf.DUMMYFUNCTION("IF(I227="""","""",IMPORTXML(""http://www.cbr.ru/scripts/XML_daily.asp?date_req=""&amp;TEXT(A227,""DD/MM/YYYY""), ""//ValCurs/Valute[CharCode=""""USD""""]/Value"")*I227)"),"")</f>
        <v>#NAME?</v>
      </c>
      <c r="K227" s="71"/>
      <c r="L227" s="71"/>
      <c r="M227" s="71"/>
      <c r="N227" s="71" t="str">
        <f ca="1">IF(H227="","",IF(D227="usdt",H227,IF(C227="Binance",VLOOKUP(E227,'Курсы Бинанса'!B:C,2,FALSE),IF(C227="bybit",VLOOKUP(E227,'Курсы Bybit'!B:C,2,FALSE),IF(C227="OKX",VLOOKUP(E227,'Курсы OKX'!A:D,4,FALSE),IF(C227="huobi",VLOOKUP(E227,'Курсы Huobi'!B:C,2,FALSE),"! укажите биржу"))))))</f>
        <v/>
      </c>
      <c r="O227" s="71" t="str">
        <f t="shared" si="17"/>
        <v/>
      </c>
      <c r="P227" s="71" t="str">
        <f t="shared" si="18"/>
        <v/>
      </c>
      <c r="Q227" s="75" t="str">
        <f t="shared" si="19"/>
        <v/>
      </c>
      <c r="R227" s="76"/>
    </row>
    <row r="228" spans="1:18" ht="14.25" customHeight="1">
      <c r="A228" s="67"/>
      <c r="B228" s="68"/>
      <c r="C228" s="69"/>
      <c r="D228" s="69" t="str">
        <f ca="1">IF(B228="","",VLOOKUP('Журнал Закупок'!$B228,'СТ Криптовалюта'!B:C,2,0))</f>
        <v/>
      </c>
      <c r="E228" s="68" t="str">
        <f t="shared" si="15"/>
        <v/>
      </c>
      <c r="F228" s="70"/>
      <c r="G228" s="71"/>
      <c r="H228" s="71"/>
      <c r="I228" s="71" t="str">
        <f t="shared" si="16"/>
        <v/>
      </c>
      <c r="J228" s="71" t="e">
        <f ca="1">IFERROR(__xludf.DUMMYFUNCTION("IF(I228="""","""",IMPORTXML(""http://www.cbr.ru/scripts/XML_daily.asp?date_req=""&amp;TEXT(A228,""DD/MM/YYYY""), ""//ValCurs/Valute[CharCode=""""USD""""]/Value"")*I228)"),"")</f>
        <v>#NAME?</v>
      </c>
      <c r="K228" s="71"/>
      <c r="L228" s="71"/>
      <c r="M228" s="71"/>
      <c r="N228" s="71" t="str">
        <f ca="1">IF(H228="","",IF(D228="usdt",H228,IF(C228="Binance",VLOOKUP(E228,'Курсы Бинанса'!B:C,2,FALSE),IF(C228="bybit",VLOOKUP(E228,'Курсы Bybit'!B:C,2,FALSE),IF(C228="OKX",VLOOKUP(E228,'Курсы OKX'!A:D,4,FALSE),IF(C228="huobi",VLOOKUP(E228,'Курсы Huobi'!B:C,2,FALSE),"! укажите биржу"))))))</f>
        <v/>
      </c>
      <c r="O228" s="71" t="str">
        <f t="shared" si="17"/>
        <v/>
      </c>
      <c r="P228" s="71" t="str">
        <f t="shared" si="18"/>
        <v/>
      </c>
      <c r="Q228" s="75" t="str">
        <f t="shared" si="19"/>
        <v/>
      </c>
      <c r="R228" s="76"/>
    </row>
    <row r="229" spans="1:18" ht="14.25" customHeight="1">
      <c r="A229" s="67"/>
      <c r="B229" s="68"/>
      <c r="C229" s="69"/>
      <c r="D229" s="69" t="str">
        <f ca="1">IF(B229="","",VLOOKUP('Журнал Закупок'!$B229,'СТ Криптовалюта'!B:C,2,0))</f>
        <v/>
      </c>
      <c r="E229" s="68" t="str">
        <f t="shared" si="15"/>
        <v/>
      </c>
      <c r="F229" s="70"/>
      <c r="G229" s="71"/>
      <c r="H229" s="71"/>
      <c r="I229" s="71" t="str">
        <f t="shared" si="16"/>
        <v/>
      </c>
      <c r="J229" s="71" t="e">
        <f ca="1">IFERROR(__xludf.DUMMYFUNCTION("IF(I229="""","""",IMPORTXML(""http://www.cbr.ru/scripts/XML_daily.asp?date_req=""&amp;TEXT(A229,""DD/MM/YYYY""), ""//ValCurs/Valute[CharCode=""""USD""""]/Value"")*I229)"),"")</f>
        <v>#NAME?</v>
      </c>
      <c r="K229" s="71"/>
      <c r="L229" s="71"/>
      <c r="M229" s="71"/>
      <c r="N229" s="71" t="str">
        <f ca="1">IF(H229="","",IF(D229="usdt",H229,IF(C229="Binance",VLOOKUP(E229,'Курсы Бинанса'!B:C,2,FALSE),IF(C229="bybit",VLOOKUP(E229,'Курсы Bybit'!B:C,2,FALSE),IF(C229="OKX",VLOOKUP(E229,'Курсы OKX'!A:D,4,FALSE),IF(C229="huobi",VLOOKUP(E229,'Курсы Huobi'!B:C,2,FALSE),"! укажите биржу"))))))</f>
        <v/>
      </c>
      <c r="O229" s="71" t="str">
        <f t="shared" si="17"/>
        <v/>
      </c>
      <c r="P229" s="71" t="str">
        <f t="shared" si="18"/>
        <v/>
      </c>
      <c r="Q229" s="75" t="str">
        <f t="shared" si="19"/>
        <v/>
      </c>
      <c r="R229" s="76"/>
    </row>
    <row r="230" spans="1:18" ht="14.25" customHeight="1">
      <c r="A230" s="67"/>
      <c r="B230" s="68"/>
      <c r="C230" s="69"/>
      <c r="D230" s="69" t="str">
        <f ca="1">IF(B230="","",VLOOKUP('Журнал Закупок'!$B230,'СТ Криптовалюта'!B:C,2,0))</f>
        <v/>
      </c>
      <c r="E230" s="68" t="str">
        <f t="shared" si="15"/>
        <v/>
      </c>
      <c r="F230" s="70"/>
      <c r="G230" s="71"/>
      <c r="H230" s="71"/>
      <c r="I230" s="71" t="str">
        <f t="shared" si="16"/>
        <v/>
      </c>
      <c r="J230" s="71" t="e">
        <f ca="1">IFERROR(__xludf.DUMMYFUNCTION("IF(I230="""","""",IMPORTXML(""http://www.cbr.ru/scripts/XML_daily.asp?date_req=""&amp;TEXT(A230,""DD/MM/YYYY""), ""//ValCurs/Valute[CharCode=""""USD""""]/Value"")*I230)"),"")</f>
        <v>#NAME?</v>
      </c>
      <c r="K230" s="71"/>
      <c r="L230" s="71"/>
      <c r="M230" s="71"/>
      <c r="N230" s="71" t="str">
        <f ca="1">IF(H230="","",IF(D230="usdt",H230,IF(C230="Binance",VLOOKUP(E230,'Курсы Бинанса'!B:C,2,FALSE),IF(C230="bybit",VLOOKUP(E230,'Курсы Bybit'!B:C,2,FALSE),IF(C230="OKX",VLOOKUP(E230,'Курсы OKX'!A:D,4,FALSE),IF(C230="huobi",VLOOKUP(E230,'Курсы Huobi'!B:C,2,FALSE),"! укажите биржу"))))))</f>
        <v/>
      </c>
      <c r="O230" s="71" t="str">
        <f t="shared" si="17"/>
        <v/>
      </c>
      <c r="P230" s="71" t="str">
        <f t="shared" si="18"/>
        <v/>
      </c>
      <c r="Q230" s="75" t="str">
        <f t="shared" si="19"/>
        <v/>
      </c>
      <c r="R230" s="76"/>
    </row>
    <row r="231" spans="1:18" ht="14.25" customHeight="1">
      <c r="A231" s="67"/>
      <c r="B231" s="68"/>
      <c r="C231" s="69"/>
      <c r="D231" s="69" t="str">
        <f ca="1">IF(B231="","",VLOOKUP('Журнал Закупок'!$B231,'СТ Криптовалюта'!B:C,2,0))</f>
        <v/>
      </c>
      <c r="E231" s="68" t="str">
        <f t="shared" si="15"/>
        <v/>
      </c>
      <c r="F231" s="70"/>
      <c r="G231" s="71"/>
      <c r="H231" s="71"/>
      <c r="I231" s="71" t="str">
        <f t="shared" si="16"/>
        <v/>
      </c>
      <c r="J231" s="71" t="e">
        <f ca="1">IFERROR(__xludf.DUMMYFUNCTION("IF(I231="""","""",IMPORTXML(""http://www.cbr.ru/scripts/XML_daily.asp?date_req=""&amp;TEXT(A231,""DD/MM/YYYY""), ""//ValCurs/Valute[CharCode=""""USD""""]/Value"")*I231)"),"")</f>
        <v>#NAME?</v>
      </c>
      <c r="K231" s="71"/>
      <c r="L231" s="71"/>
      <c r="M231" s="71"/>
      <c r="N231" s="71" t="str">
        <f ca="1">IF(H231="","",IF(D231="usdt",H231,IF(C231="Binance",VLOOKUP(E231,'Курсы Бинанса'!B:C,2,FALSE),IF(C231="bybit",VLOOKUP(E231,'Курсы Bybit'!B:C,2,FALSE),IF(C231="OKX",VLOOKUP(E231,'Курсы OKX'!A:D,4,FALSE),IF(C231="huobi",VLOOKUP(E231,'Курсы Huobi'!B:C,2,FALSE),"! укажите биржу"))))))</f>
        <v/>
      </c>
      <c r="O231" s="71" t="str">
        <f t="shared" si="17"/>
        <v/>
      </c>
      <c r="P231" s="71" t="str">
        <f t="shared" si="18"/>
        <v/>
      </c>
      <c r="Q231" s="75" t="str">
        <f t="shared" si="19"/>
        <v/>
      </c>
      <c r="R231" s="76"/>
    </row>
    <row r="232" spans="1:18" ht="14.25" customHeight="1">
      <c r="A232" s="67"/>
      <c r="B232" s="68"/>
      <c r="C232" s="69"/>
      <c r="D232" s="69" t="str">
        <f ca="1">IF(B232="","",VLOOKUP('Журнал Закупок'!$B232,'СТ Криптовалюта'!B:C,2,0))</f>
        <v/>
      </c>
      <c r="E232" s="68" t="str">
        <f t="shared" si="15"/>
        <v/>
      </c>
      <c r="F232" s="70"/>
      <c r="G232" s="71"/>
      <c r="H232" s="71"/>
      <c r="I232" s="71" t="str">
        <f t="shared" si="16"/>
        <v/>
      </c>
      <c r="J232" s="71" t="e">
        <f ca="1">IFERROR(__xludf.DUMMYFUNCTION("IF(I232="""","""",IMPORTXML(""http://www.cbr.ru/scripts/XML_daily.asp?date_req=""&amp;TEXT(A232,""DD/MM/YYYY""), ""//ValCurs/Valute[CharCode=""""USD""""]/Value"")*I232)"),"")</f>
        <v>#NAME?</v>
      </c>
      <c r="K232" s="71"/>
      <c r="L232" s="71"/>
      <c r="M232" s="71"/>
      <c r="N232" s="71" t="str">
        <f ca="1">IF(H232="","",IF(D232="usdt",H232,IF(C232="Binance",VLOOKUP(E232,'Курсы Бинанса'!B:C,2,FALSE),IF(C232="bybit",VLOOKUP(E232,'Курсы Bybit'!B:C,2,FALSE),IF(C232="OKX",VLOOKUP(E232,'Курсы OKX'!A:D,4,FALSE),IF(C232="huobi",VLOOKUP(E232,'Курсы Huobi'!B:C,2,FALSE),"! укажите биржу"))))))</f>
        <v/>
      </c>
      <c r="O232" s="71" t="str">
        <f t="shared" si="17"/>
        <v/>
      </c>
      <c r="P232" s="71" t="str">
        <f t="shared" si="18"/>
        <v/>
      </c>
      <c r="Q232" s="75" t="str">
        <f t="shared" si="19"/>
        <v/>
      </c>
      <c r="R232" s="76"/>
    </row>
    <row r="233" spans="1:18" ht="14.25" customHeight="1">
      <c r="A233" s="67"/>
      <c r="B233" s="68"/>
      <c r="C233" s="69"/>
      <c r="D233" s="69" t="str">
        <f ca="1">IF(B233="","",VLOOKUP('Журнал Закупок'!$B233,'СТ Криптовалюта'!B:C,2,0))</f>
        <v/>
      </c>
      <c r="E233" s="68" t="str">
        <f t="shared" si="15"/>
        <v/>
      </c>
      <c r="F233" s="70"/>
      <c r="G233" s="71"/>
      <c r="H233" s="71"/>
      <c r="I233" s="71" t="str">
        <f t="shared" si="16"/>
        <v/>
      </c>
      <c r="J233" s="71" t="e">
        <f ca="1">IFERROR(__xludf.DUMMYFUNCTION("IF(I233="""","""",IMPORTXML(""http://www.cbr.ru/scripts/XML_daily.asp?date_req=""&amp;TEXT(A233,""DD/MM/YYYY""), ""//ValCurs/Valute[CharCode=""""USD""""]/Value"")*I233)"),"")</f>
        <v>#NAME?</v>
      </c>
      <c r="K233" s="71"/>
      <c r="L233" s="71"/>
      <c r="M233" s="71"/>
      <c r="N233" s="71" t="str">
        <f ca="1">IF(H233="","",IF(D233="usdt",H233,IF(C233="Binance",VLOOKUP(E233,'Курсы Бинанса'!B:C,2,FALSE),IF(C233="bybit",VLOOKUP(E233,'Курсы Bybit'!B:C,2,FALSE),IF(C233="OKX",VLOOKUP(E233,'Курсы OKX'!A:D,4,FALSE),IF(C233="huobi",VLOOKUP(E233,'Курсы Huobi'!B:C,2,FALSE),"! укажите биржу"))))))</f>
        <v/>
      </c>
      <c r="O233" s="71" t="str">
        <f t="shared" si="17"/>
        <v/>
      </c>
      <c r="P233" s="71" t="str">
        <f t="shared" si="18"/>
        <v/>
      </c>
      <c r="Q233" s="75" t="str">
        <f t="shared" si="19"/>
        <v/>
      </c>
      <c r="R233" s="76"/>
    </row>
    <row r="234" spans="1:18" ht="14.25" customHeight="1">
      <c r="A234" s="67"/>
      <c r="B234" s="68"/>
      <c r="C234" s="69"/>
      <c r="D234" s="69" t="str">
        <f ca="1">IF(B234="","",VLOOKUP('Журнал Закупок'!$B234,'СТ Криптовалюта'!B:C,2,0))</f>
        <v/>
      </c>
      <c r="E234" s="68" t="str">
        <f t="shared" si="15"/>
        <v/>
      </c>
      <c r="F234" s="70"/>
      <c r="G234" s="71"/>
      <c r="H234" s="71"/>
      <c r="I234" s="71" t="str">
        <f t="shared" si="16"/>
        <v/>
      </c>
      <c r="J234" s="71" t="e">
        <f ca="1">IFERROR(__xludf.DUMMYFUNCTION("IF(I234="""","""",IMPORTXML(""http://www.cbr.ru/scripts/XML_daily.asp?date_req=""&amp;TEXT(A234,""DD/MM/YYYY""), ""//ValCurs/Valute[CharCode=""""USD""""]/Value"")*I234)"),"")</f>
        <v>#NAME?</v>
      </c>
      <c r="K234" s="71"/>
      <c r="L234" s="71"/>
      <c r="M234" s="71"/>
      <c r="N234" s="71" t="str">
        <f ca="1">IF(H234="","",IF(D234="usdt",H234,IF(C234="Binance",VLOOKUP(E234,'Курсы Бинанса'!B:C,2,FALSE),IF(C234="bybit",VLOOKUP(E234,'Курсы Bybit'!B:C,2,FALSE),IF(C234="OKX",VLOOKUP(E234,'Курсы OKX'!A:D,4,FALSE),IF(C234="huobi",VLOOKUP(E234,'Курсы Huobi'!B:C,2,FALSE),"! укажите биржу"))))))</f>
        <v/>
      </c>
      <c r="O234" s="71" t="str">
        <f t="shared" si="17"/>
        <v/>
      </c>
      <c r="P234" s="71" t="str">
        <f t="shared" si="18"/>
        <v/>
      </c>
      <c r="Q234" s="75" t="str">
        <f t="shared" si="19"/>
        <v/>
      </c>
      <c r="R234" s="76"/>
    </row>
    <row r="235" spans="1:18" ht="14.25" customHeight="1">
      <c r="A235" s="67"/>
      <c r="B235" s="68"/>
      <c r="C235" s="69"/>
      <c r="D235" s="69" t="str">
        <f ca="1">IF(B235="","",VLOOKUP('Журнал Закупок'!$B235,'СТ Криптовалюта'!B:C,2,0))</f>
        <v/>
      </c>
      <c r="E235" s="68" t="str">
        <f t="shared" si="15"/>
        <v/>
      </c>
      <c r="F235" s="70"/>
      <c r="G235" s="71"/>
      <c r="H235" s="71"/>
      <c r="I235" s="71" t="str">
        <f t="shared" si="16"/>
        <v/>
      </c>
      <c r="J235" s="71" t="e">
        <f ca="1">IFERROR(__xludf.DUMMYFUNCTION("IF(I235="""","""",IMPORTXML(""http://www.cbr.ru/scripts/XML_daily.asp?date_req=""&amp;TEXT(A235,""DD/MM/YYYY""), ""//ValCurs/Valute[CharCode=""""USD""""]/Value"")*I235)"),"")</f>
        <v>#NAME?</v>
      </c>
      <c r="K235" s="71"/>
      <c r="L235" s="71"/>
      <c r="M235" s="71"/>
      <c r="N235" s="71" t="str">
        <f ca="1">IF(H235="","",IF(D235="usdt",H235,IF(C235="Binance",VLOOKUP(E235,'Курсы Бинанса'!B:C,2,FALSE),IF(C235="bybit",VLOOKUP(E235,'Курсы Bybit'!B:C,2,FALSE),IF(C235="OKX",VLOOKUP(E235,'Курсы OKX'!A:D,4,FALSE),IF(C235="huobi",VLOOKUP(E235,'Курсы Huobi'!B:C,2,FALSE),"! укажите биржу"))))))</f>
        <v/>
      </c>
      <c r="O235" s="71" t="str">
        <f t="shared" si="17"/>
        <v/>
      </c>
      <c r="P235" s="71" t="str">
        <f t="shared" si="18"/>
        <v/>
      </c>
      <c r="Q235" s="75" t="str">
        <f t="shared" si="19"/>
        <v/>
      </c>
      <c r="R235" s="76"/>
    </row>
    <row r="236" spans="1:18" ht="14.25" customHeight="1">
      <c r="A236" s="67"/>
      <c r="B236" s="68"/>
      <c r="C236" s="69"/>
      <c r="D236" s="69" t="str">
        <f ca="1">IF(B236="","",VLOOKUP('Журнал Закупок'!$B236,'СТ Криптовалюта'!B:C,2,0))</f>
        <v/>
      </c>
      <c r="E236" s="68" t="str">
        <f t="shared" si="15"/>
        <v/>
      </c>
      <c r="F236" s="70"/>
      <c r="G236" s="71"/>
      <c r="H236" s="71"/>
      <c r="I236" s="71" t="str">
        <f t="shared" si="16"/>
        <v/>
      </c>
      <c r="J236" s="71" t="e">
        <f ca="1">IFERROR(__xludf.DUMMYFUNCTION("IF(I236="""","""",IMPORTXML(""http://www.cbr.ru/scripts/XML_daily.asp?date_req=""&amp;TEXT(A236,""DD/MM/YYYY""), ""//ValCurs/Valute[CharCode=""""USD""""]/Value"")*I236)"),"")</f>
        <v>#NAME?</v>
      </c>
      <c r="K236" s="71"/>
      <c r="L236" s="71"/>
      <c r="M236" s="71"/>
      <c r="N236" s="71" t="str">
        <f ca="1">IF(H236="","",IF(D236="usdt",H236,IF(C236="Binance",VLOOKUP(E236,'Курсы Бинанса'!B:C,2,FALSE),IF(C236="bybit",VLOOKUP(E236,'Курсы Bybit'!B:C,2,FALSE),IF(C236="OKX",VLOOKUP(E236,'Курсы OKX'!A:D,4,FALSE),IF(C236="huobi",VLOOKUP(E236,'Курсы Huobi'!B:C,2,FALSE),"! укажите биржу"))))))</f>
        <v/>
      </c>
      <c r="O236" s="71" t="str">
        <f t="shared" si="17"/>
        <v/>
      </c>
      <c r="P236" s="71" t="str">
        <f t="shared" si="18"/>
        <v/>
      </c>
      <c r="Q236" s="75" t="str">
        <f t="shared" si="19"/>
        <v/>
      </c>
      <c r="R236" s="76"/>
    </row>
    <row r="237" spans="1:18" ht="14.25" customHeight="1">
      <c r="A237" s="67"/>
      <c r="B237" s="68"/>
      <c r="C237" s="69"/>
      <c r="D237" s="69" t="str">
        <f ca="1">IF(B237="","",VLOOKUP('Журнал Закупок'!$B237,'СТ Криптовалюта'!B:C,2,0))</f>
        <v/>
      </c>
      <c r="E237" s="68" t="str">
        <f t="shared" si="15"/>
        <v/>
      </c>
      <c r="F237" s="70"/>
      <c r="G237" s="71"/>
      <c r="H237" s="71"/>
      <c r="I237" s="71" t="str">
        <f t="shared" si="16"/>
        <v/>
      </c>
      <c r="J237" s="71" t="e">
        <f ca="1">IFERROR(__xludf.DUMMYFUNCTION("IF(I237="""","""",IMPORTXML(""http://www.cbr.ru/scripts/XML_daily.asp?date_req=""&amp;TEXT(A237,""DD/MM/YYYY""), ""//ValCurs/Valute[CharCode=""""USD""""]/Value"")*I237)"),"")</f>
        <v>#NAME?</v>
      </c>
      <c r="K237" s="71"/>
      <c r="L237" s="71"/>
      <c r="M237" s="71"/>
      <c r="N237" s="71" t="str">
        <f ca="1">IF(H237="","",IF(D237="usdt",H237,IF(C237="Binance",VLOOKUP(E237,'Курсы Бинанса'!B:C,2,FALSE),IF(C237="bybit",VLOOKUP(E237,'Курсы Bybit'!B:C,2,FALSE),IF(C237="OKX",VLOOKUP(E237,'Курсы OKX'!A:D,4,FALSE),IF(C237="huobi",VLOOKUP(E237,'Курсы Huobi'!B:C,2,FALSE),"! укажите биржу"))))))</f>
        <v/>
      </c>
      <c r="O237" s="71" t="str">
        <f t="shared" si="17"/>
        <v/>
      </c>
      <c r="P237" s="71" t="str">
        <f t="shared" si="18"/>
        <v/>
      </c>
      <c r="Q237" s="75" t="str">
        <f t="shared" si="19"/>
        <v/>
      </c>
      <c r="R237" s="76"/>
    </row>
    <row r="238" spans="1:18" ht="14.25" customHeight="1">
      <c r="A238" s="67"/>
      <c r="B238" s="68"/>
      <c r="C238" s="69"/>
      <c r="D238" s="69" t="str">
        <f ca="1">IF(B238="","",VLOOKUP('Журнал Закупок'!$B238,'СТ Криптовалюта'!B:C,2,0))</f>
        <v/>
      </c>
      <c r="E238" s="68" t="str">
        <f t="shared" ref="E238:E301" si="20">IF(D238="","",CONCATENATE(D238,"USDT"))</f>
        <v/>
      </c>
      <c r="F238" s="70"/>
      <c r="G238" s="71"/>
      <c r="H238" s="71"/>
      <c r="I238" s="71" t="str">
        <f t="shared" ref="I238:I301" si="21">IF(H238="","",ROUND(G238*H238,5))</f>
        <v/>
      </c>
      <c r="J238" s="71" t="e">
        <f ca="1">IFERROR(__xludf.DUMMYFUNCTION("IF(I238="""","""",IMPORTXML(""http://www.cbr.ru/scripts/XML_daily.asp?date_req=""&amp;TEXT(A238,""DD/MM/YYYY""), ""//ValCurs/Valute[CharCode=""""USD""""]/Value"")*I238)"),"")</f>
        <v>#NAME?</v>
      </c>
      <c r="K238" s="71"/>
      <c r="L238" s="71"/>
      <c r="M238" s="71"/>
      <c r="N238" s="71" t="str">
        <f ca="1">IF(H238="","",IF(D238="usdt",H238,IF(C238="Binance",VLOOKUP(E238,'Курсы Бинанса'!B:C,2,FALSE),IF(C238="bybit",VLOOKUP(E238,'Курсы Bybit'!B:C,2,FALSE),IF(C238="OKX",VLOOKUP(E238,'Курсы OKX'!A:D,4,FALSE),IF(C238="huobi",VLOOKUP(E238,'Курсы Huobi'!B:C,2,FALSE),"! укажите биржу"))))))</f>
        <v/>
      </c>
      <c r="O238" s="71" t="str">
        <f t="shared" ref="O238:O301" si="22">IF(N238="! укажите биржу","",IF(N238="","",N238*G238))</f>
        <v/>
      </c>
      <c r="P238" s="71" t="str">
        <f t="shared" ref="P238:P301" si="23">IF(N238="","",IF(N238="! укажите биржу","",ROUND(O238-I238,2)))</f>
        <v/>
      </c>
      <c r="Q238" s="75" t="str">
        <f t="shared" ref="Q238:Q301" si="24">IF(P238="","",ROUND(IFERROR((O238-I238)/I238,2),5))</f>
        <v/>
      </c>
      <c r="R238" s="76"/>
    </row>
    <row r="239" spans="1:18" ht="14.25" customHeight="1">
      <c r="A239" s="67"/>
      <c r="B239" s="68"/>
      <c r="C239" s="69"/>
      <c r="D239" s="69" t="str">
        <f ca="1">IF(B239="","",VLOOKUP('Журнал Закупок'!$B239,'СТ Криптовалюта'!B:C,2,0))</f>
        <v/>
      </c>
      <c r="E239" s="68" t="str">
        <f t="shared" si="20"/>
        <v/>
      </c>
      <c r="F239" s="70"/>
      <c r="G239" s="71"/>
      <c r="H239" s="71"/>
      <c r="I239" s="71" t="str">
        <f t="shared" si="21"/>
        <v/>
      </c>
      <c r="J239" s="71" t="e">
        <f ca="1">IFERROR(__xludf.DUMMYFUNCTION("IF(I239="""","""",IMPORTXML(""http://www.cbr.ru/scripts/XML_daily.asp?date_req=""&amp;TEXT(A239,""DD/MM/YYYY""), ""//ValCurs/Valute[CharCode=""""USD""""]/Value"")*I239)"),"")</f>
        <v>#NAME?</v>
      </c>
      <c r="K239" s="71"/>
      <c r="L239" s="71"/>
      <c r="M239" s="71"/>
      <c r="N239" s="71" t="str">
        <f ca="1">IF(H239="","",IF(D239="usdt",H239,IF(C239="Binance",VLOOKUP(E239,'Курсы Бинанса'!B:C,2,FALSE),IF(C239="bybit",VLOOKUP(E239,'Курсы Bybit'!B:C,2,FALSE),IF(C239="OKX",VLOOKUP(E239,'Курсы OKX'!A:D,4,FALSE),IF(C239="huobi",VLOOKUP(E239,'Курсы Huobi'!B:C,2,FALSE),"! укажите биржу"))))))</f>
        <v/>
      </c>
      <c r="O239" s="71" t="str">
        <f t="shared" si="22"/>
        <v/>
      </c>
      <c r="P239" s="71" t="str">
        <f t="shared" si="23"/>
        <v/>
      </c>
      <c r="Q239" s="75" t="str">
        <f t="shared" si="24"/>
        <v/>
      </c>
      <c r="R239" s="76"/>
    </row>
    <row r="240" spans="1:18" ht="14.25" customHeight="1">
      <c r="A240" s="67"/>
      <c r="B240" s="68"/>
      <c r="C240" s="69"/>
      <c r="D240" s="69" t="str">
        <f ca="1">IF(B240="","",VLOOKUP('Журнал Закупок'!$B240,'СТ Криптовалюта'!B:C,2,0))</f>
        <v/>
      </c>
      <c r="E240" s="68" t="str">
        <f t="shared" si="20"/>
        <v/>
      </c>
      <c r="F240" s="70"/>
      <c r="G240" s="71"/>
      <c r="H240" s="71"/>
      <c r="I240" s="71" t="str">
        <f t="shared" si="21"/>
        <v/>
      </c>
      <c r="J240" s="71" t="e">
        <f ca="1">IFERROR(__xludf.DUMMYFUNCTION("IF(I240="""","""",IMPORTXML(""http://www.cbr.ru/scripts/XML_daily.asp?date_req=""&amp;TEXT(A240,""DD/MM/YYYY""), ""//ValCurs/Valute[CharCode=""""USD""""]/Value"")*I240)"),"")</f>
        <v>#NAME?</v>
      </c>
      <c r="K240" s="71"/>
      <c r="L240" s="71"/>
      <c r="M240" s="71"/>
      <c r="N240" s="71" t="str">
        <f ca="1">IF(H240="","",IF(D240="usdt",H240,IF(C240="Binance",VLOOKUP(E240,'Курсы Бинанса'!B:C,2,FALSE),IF(C240="bybit",VLOOKUP(E240,'Курсы Bybit'!B:C,2,FALSE),IF(C240="OKX",VLOOKUP(E240,'Курсы OKX'!A:D,4,FALSE),IF(C240="huobi",VLOOKUP(E240,'Курсы Huobi'!B:C,2,FALSE),"! укажите биржу"))))))</f>
        <v/>
      </c>
      <c r="O240" s="71" t="str">
        <f t="shared" si="22"/>
        <v/>
      </c>
      <c r="P240" s="71" t="str">
        <f t="shared" si="23"/>
        <v/>
      </c>
      <c r="Q240" s="75" t="str">
        <f t="shared" si="24"/>
        <v/>
      </c>
      <c r="R240" s="76"/>
    </row>
    <row r="241" spans="1:18" ht="14.25" customHeight="1">
      <c r="A241" s="67"/>
      <c r="B241" s="68"/>
      <c r="C241" s="69"/>
      <c r="D241" s="69" t="str">
        <f ca="1">IF(B241="","",VLOOKUP('Журнал Закупок'!$B241,'СТ Криптовалюта'!B:C,2,0))</f>
        <v/>
      </c>
      <c r="E241" s="68" t="str">
        <f t="shared" si="20"/>
        <v/>
      </c>
      <c r="F241" s="70"/>
      <c r="G241" s="71"/>
      <c r="H241" s="71"/>
      <c r="I241" s="71" t="str">
        <f t="shared" si="21"/>
        <v/>
      </c>
      <c r="J241" s="71" t="e">
        <f ca="1">IFERROR(__xludf.DUMMYFUNCTION("IF(I241="""","""",IMPORTXML(""http://www.cbr.ru/scripts/XML_daily.asp?date_req=""&amp;TEXT(A241,""DD/MM/YYYY""), ""//ValCurs/Valute[CharCode=""""USD""""]/Value"")*I241)"),"")</f>
        <v>#NAME?</v>
      </c>
      <c r="K241" s="71"/>
      <c r="L241" s="71"/>
      <c r="M241" s="71"/>
      <c r="N241" s="71" t="str">
        <f ca="1">IF(H241="","",IF(D241="usdt",H241,IF(C241="Binance",VLOOKUP(E241,'Курсы Бинанса'!B:C,2,FALSE),IF(C241="bybit",VLOOKUP(E241,'Курсы Bybit'!B:C,2,FALSE),IF(C241="OKX",VLOOKUP(E241,'Курсы OKX'!A:D,4,FALSE),IF(C241="huobi",VLOOKUP(E241,'Курсы Huobi'!B:C,2,FALSE),"! укажите биржу"))))))</f>
        <v/>
      </c>
      <c r="O241" s="71" t="str">
        <f t="shared" si="22"/>
        <v/>
      </c>
      <c r="P241" s="71" t="str">
        <f t="shared" si="23"/>
        <v/>
      </c>
      <c r="Q241" s="75" t="str">
        <f t="shared" si="24"/>
        <v/>
      </c>
      <c r="R241" s="76"/>
    </row>
    <row r="242" spans="1:18" ht="14.25" customHeight="1">
      <c r="A242" s="67"/>
      <c r="B242" s="68"/>
      <c r="C242" s="69"/>
      <c r="D242" s="69" t="str">
        <f ca="1">IF(B242="","",VLOOKUP('Журнал Закупок'!$B242,'СТ Криптовалюта'!B:C,2,0))</f>
        <v/>
      </c>
      <c r="E242" s="68" t="str">
        <f t="shared" si="20"/>
        <v/>
      </c>
      <c r="F242" s="70"/>
      <c r="G242" s="71"/>
      <c r="H242" s="71"/>
      <c r="I242" s="71" t="str">
        <f t="shared" si="21"/>
        <v/>
      </c>
      <c r="J242" s="71" t="e">
        <f ca="1">IFERROR(__xludf.DUMMYFUNCTION("IF(I242="""","""",IMPORTXML(""http://www.cbr.ru/scripts/XML_daily.asp?date_req=""&amp;TEXT(A242,""DD/MM/YYYY""), ""//ValCurs/Valute[CharCode=""""USD""""]/Value"")*I242)"),"")</f>
        <v>#NAME?</v>
      </c>
      <c r="K242" s="71"/>
      <c r="L242" s="71"/>
      <c r="M242" s="71"/>
      <c r="N242" s="71" t="str">
        <f ca="1">IF(H242="","",IF(D242="usdt",H242,IF(C242="Binance",VLOOKUP(E242,'Курсы Бинанса'!B:C,2,FALSE),IF(C242="bybit",VLOOKUP(E242,'Курсы Bybit'!B:C,2,FALSE),IF(C242="OKX",VLOOKUP(E242,'Курсы OKX'!A:D,4,FALSE),IF(C242="huobi",VLOOKUP(E242,'Курсы Huobi'!B:C,2,FALSE),"! укажите биржу"))))))</f>
        <v/>
      </c>
      <c r="O242" s="71" t="str">
        <f t="shared" si="22"/>
        <v/>
      </c>
      <c r="P242" s="71" t="str">
        <f t="shared" si="23"/>
        <v/>
      </c>
      <c r="Q242" s="75" t="str">
        <f t="shared" si="24"/>
        <v/>
      </c>
      <c r="R242" s="76"/>
    </row>
    <row r="243" spans="1:18" ht="14.25" customHeight="1">
      <c r="A243" s="67"/>
      <c r="B243" s="68"/>
      <c r="C243" s="69"/>
      <c r="D243" s="69" t="str">
        <f ca="1">IF(B243="","",VLOOKUP('Журнал Закупок'!$B243,'СТ Криптовалюта'!B:C,2,0))</f>
        <v/>
      </c>
      <c r="E243" s="68" t="str">
        <f t="shared" si="20"/>
        <v/>
      </c>
      <c r="F243" s="70"/>
      <c r="G243" s="71"/>
      <c r="H243" s="71"/>
      <c r="I243" s="71" t="str">
        <f t="shared" si="21"/>
        <v/>
      </c>
      <c r="J243" s="71" t="e">
        <f ca="1">IFERROR(__xludf.DUMMYFUNCTION("IF(I243="""","""",IMPORTXML(""http://www.cbr.ru/scripts/XML_daily.asp?date_req=""&amp;TEXT(A243,""DD/MM/YYYY""), ""//ValCurs/Valute[CharCode=""""USD""""]/Value"")*I243)"),"")</f>
        <v>#NAME?</v>
      </c>
      <c r="K243" s="71"/>
      <c r="L243" s="71"/>
      <c r="M243" s="71"/>
      <c r="N243" s="71" t="str">
        <f ca="1">IF(H243="","",IF(D243="usdt",H243,IF(C243="Binance",VLOOKUP(E243,'Курсы Бинанса'!B:C,2,FALSE),IF(C243="bybit",VLOOKUP(E243,'Курсы Bybit'!B:C,2,FALSE),IF(C243="OKX",VLOOKUP(E243,'Курсы OKX'!A:D,4,FALSE),IF(C243="huobi",VLOOKUP(E243,'Курсы Huobi'!B:C,2,FALSE),"! укажите биржу"))))))</f>
        <v/>
      </c>
      <c r="O243" s="71" t="str">
        <f t="shared" si="22"/>
        <v/>
      </c>
      <c r="P243" s="71" t="str">
        <f t="shared" si="23"/>
        <v/>
      </c>
      <c r="Q243" s="75" t="str">
        <f t="shared" si="24"/>
        <v/>
      </c>
      <c r="R243" s="76"/>
    </row>
    <row r="244" spans="1:18" ht="14.25" customHeight="1">
      <c r="A244" s="67"/>
      <c r="B244" s="68"/>
      <c r="C244" s="69"/>
      <c r="D244" s="69" t="str">
        <f ca="1">IF(B244="","",VLOOKUP('Журнал Закупок'!$B244,'СТ Криптовалюта'!B:C,2,0))</f>
        <v/>
      </c>
      <c r="E244" s="68" t="str">
        <f t="shared" si="20"/>
        <v/>
      </c>
      <c r="F244" s="70"/>
      <c r="G244" s="71"/>
      <c r="H244" s="71"/>
      <c r="I244" s="71" t="str">
        <f t="shared" si="21"/>
        <v/>
      </c>
      <c r="J244" s="71" t="e">
        <f ca="1">IFERROR(__xludf.DUMMYFUNCTION("IF(I244="""","""",IMPORTXML(""http://www.cbr.ru/scripts/XML_daily.asp?date_req=""&amp;TEXT(A244,""DD/MM/YYYY""), ""//ValCurs/Valute[CharCode=""""USD""""]/Value"")*I244)"),"")</f>
        <v>#NAME?</v>
      </c>
      <c r="K244" s="71"/>
      <c r="L244" s="71"/>
      <c r="M244" s="71"/>
      <c r="N244" s="71" t="str">
        <f ca="1">IF(H244="","",IF(D244="usdt",H244,IF(C244="Binance",VLOOKUP(E244,'Курсы Бинанса'!B:C,2,FALSE),IF(C244="bybit",VLOOKUP(E244,'Курсы Bybit'!B:C,2,FALSE),IF(C244="OKX",VLOOKUP(E244,'Курсы OKX'!A:D,4,FALSE),IF(C244="huobi",VLOOKUP(E244,'Курсы Huobi'!B:C,2,FALSE),"! укажите биржу"))))))</f>
        <v/>
      </c>
      <c r="O244" s="71" t="str">
        <f t="shared" si="22"/>
        <v/>
      </c>
      <c r="P244" s="71" t="str">
        <f t="shared" si="23"/>
        <v/>
      </c>
      <c r="Q244" s="75" t="str">
        <f t="shared" si="24"/>
        <v/>
      </c>
      <c r="R244" s="76"/>
    </row>
    <row r="245" spans="1:18" ht="14.25" customHeight="1">
      <c r="A245" s="67"/>
      <c r="B245" s="68"/>
      <c r="C245" s="69"/>
      <c r="D245" s="69" t="str">
        <f ca="1">IF(B245="","",VLOOKUP('Журнал Закупок'!$B245,'СТ Криптовалюта'!B:C,2,0))</f>
        <v/>
      </c>
      <c r="E245" s="68" t="str">
        <f t="shared" si="20"/>
        <v/>
      </c>
      <c r="F245" s="70"/>
      <c r="G245" s="71"/>
      <c r="H245" s="71"/>
      <c r="I245" s="71" t="str">
        <f t="shared" si="21"/>
        <v/>
      </c>
      <c r="J245" s="71" t="e">
        <f ca="1">IFERROR(__xludf.DUMMYFUNCTION("IF(I245="""","""",IMPORTXML(""http://www.cbr.ru/scripts/XML_daily.asp?date_req=""&amp;TEXT(A245,""DD/MM/YYYY""), ""//ValCurs/Valute[CharCode=""""USD""""]/Value"")*I245)"),"")</f>
        <v>#NAME?</v>
      </c>
      <c r="K245" s="71"/>
      <c r="L245" s="71"/>
      <c r="M245" s="71"/>
      <c r="N245" s="71" t="str">
        <f ca="1">IF(H245="","",IF(D245="usdt",H245,IF(C245="Binance",VLOOKUP(E245,'Курсы Бинанса'!B:C,2,FALSE),IF(C245="bybit",VLOOKUP(E245,'Курсы Bybit'!B:C,2,FALSE),IF(C245="OKX",VLOOKUP(E245,'Курсы OKX'!A:D,4,FALSE),IF(C245="huobi",VLOOKUP(E245,'Курсы Huobi'!B:C,2,FALSE),"! укажите биржу"))))))</f>
        <v/>
      </c>
      <c r="O245" s="71" t="str">
        <f t="shared" si="22"/>
        <v/>
      </c>
      <c r="P245" s="71" t="str">
        <f t="shared" si="23"/>
        <v/>
      </c>
      <c r="Q245" s="75" t="str">
        <f t="shared" si="24"/>
        <v/>
      </c>
      <c r="R245" s="76"/>
    </row>
    <row r="246" spans="1:18" ht="14.25" customHeight="1">
      <c r="A246" s="67"/>
      <c r="B246" s="68"/>
      <c r="C246" s="69"/>
      <c r="D246" s="69" t="str">
        <f ca="1">IF(B246="","",VLOOKUP('Журнал Закупок'!$B246,'СТ Криптовалюта'!B:C,2,0))</f>
        <v/>
      </c>
      <c r="E246" s="68" t="str">
        <f t="shared" si="20"/>
        <v/>
      </c>
      <c r="F246" s="70"/>
      <c r="G246" s="71"/>
      <c r="H246" s="71"/>
      <c r="I246" s="71" t="str">
        <f t="shared" si="21"/>
        <v/>
      </c>
      <c r="J246" s="71" t="e">
        <f ca="1">IFERROR(__xludf.DUMMYFUNCTION("IF(I246="""","""",IMPORTXML(""http://www.cbr.ru/scripts/XML_daily.asp?date_req=""&amp;TEXT(A246,""DD/MM/YYYY""), ""//ValCurs/Valute[CharCode=""""USD""""]/Value"")*I246)"),"")</f>
        <v>#NAME?</v>
      </c>
      <c r="K246" s="71"/>
      <c r="L246" s="71"/>
      <c r="M246" s="71"/>
      <c r="N246" s="71" t="str">
        <f ca="1">IF(H246="","",IF(D246="usdt",H246,IF(C246="Binance",VLOOKUP(E246,'Курсы Бинанса'!B:C,2,FALSE),IF(C246="bybit",VLOOKUP(E246,'Курсы Bybit'!B:C,2,FALSE),IF(C246="OKX",VLOOKUP(E246,'Курсы OKX'!A:D,4,FALSE),IF(C246="huobi",VLOOKUP(E246,'Курсы Huobi'!B:C,2,FALSE),"! укажите биржу"))))))</f>
        <v/>
      </c>
      <c r="O246" s="71" t="str">
        <f t="shared" si="22"/>
        <v/>
      </c>
      <c r="P246" s="71" t="str">
        <f t="shared" si="23"/>
        <v/>
      </c>
      <c r="Q246" s="75" t="str">
        <f t="shared" si="24"/>
        <v/>
      </c>
      <c r="R246" s="76"/>
    </row>
    <row r="247" spans="1:18" ht="14.25" customHeight="1">
      <c r="A247" s="67"/>
      <c r="B247" s="68"/>
      <c r="C247" s="69"/>
      <c r="D247" s="69" t="str">
        <f ca="1">IF(B247="","",VLOOKUP('Журнал Закупок'!$B247,'СТ Криптовалюта'!B:C,2,0))</f>
        <v/>
      </c>
      <c r="E247" s="68" t="str">
        <f t="shared" si="20"/>
        <v/>
      </c>
      <c r="F247" s="70"/>
      <c r="G247" s="71"/>
      <c r="H247" s="71"/>
      <c r="I247" s="71" t="str">
        <f t="shared" si="21"/>
        <v/>
      </c>
      <c r="J247" s="71" t="e">
        <f ca="1">IFERROR(__xludf.DUMMYFUNCTION("IF(I247="""","""",IMPORTXML(""http://www.cbr.ru/scripts/XML_daily.asp?date_req=""&amp;TEXT(A247,""DD/MM/YYYY""), ""//ValCurs/Valute[CharCode=""""USD""""]/Value"")*I247)"),"")</f>
        <v>#NAME?</v>
      </c>
      <c r="K247" s="71"/>
      <c r="L247" s="71"/>
      <c r="M247" s="71"/>
      <c r="N247" s="71" t="str">
        <f ca="1">IF(H247="","",IF(D247="usdt",H247,IF(C247="Binance",VLOOKUP(E247,'Курсы Бинанса'!B:C,2,FALSE),IF(C247="bybit",VLOOKUP(E247,'Курсы Bybit'!B:C,2,FALSE),IF(C247="OKX",VLOOKUP(E247,'Курсы OKX'!A:D,4,FALSE),IF(C247="huobi",VLOOKUP(E247,'Курсы Huobi'!B:C,2,FALSE),"! укажите биржу"))))))</f>
        <v/>
      </c>
      <c r="O247" s="71" t="str">
        <f t="shared" si="22"/>
        <v/>
      </c>
      <c r="P247" s="71" t="str">
        <f t="shared" si="23"/>
        <v/>
      </c>
      <c r="Q247" s="75" t="str">
        <f t="shared" si="24"/>
        <v/>
      </c>
      <c r="R247" s="76"/>
    </row>
    <row r="248" spans="1:18" ht="14.25" customHeight="1">
      <c r="A248" s="67"/>
      <c r="B248" s="68"/>
      <c r="C248" s="69"/>
      <c r="D248" s="69" t="str">
        <f ca="1">IF(B248="","",VLOOKUP('Журнал Закупок'!$B248,'СТ Криптовалюта'!B:C,2,0))</f>
        <v/>
      </c>
      <c r="E248" s="68" t="str">
        <f t="shared" si="20"/>
        <v/>
      </c>
      <c r="F248" s="70"/>
      <c r="G248" s="71"/>
      <c r="H248" s="71"/>
      <c r="I248" s="71" t="str">
        <f t="shared" si="21"/>
        <v/>
      </c>
      <c r="J248" s="71" t="e">
        <f ca="1">IFERROR(__xludf.DUMMYFUNCTION("IF(I248="""","""",IMPORTXML(""http://www.cbr.ru/scripts/XML_daily.asp?date_req=""&amp;TEXT(A248,""DD/MM/YYYY""), ""//ValCurs/Valute[CharCode=""""USD""""]/Value"")*I248)"),"")</f>
        <v>#NAME?</v>
      </c>
      <c r="K248" s="71"/>
      <c r="L248" s="71"/>
      <c r="M248" s="71"/>
      <c r="N248" s="71" t="str">
        <f ca="1">IF(H248="","",IF(D248="usdt",H248,IF(C248="Binance",VLOOKUP(E248,'Курсы Бинанса'!B:C,2,FALSE),IF(C248="bybit",VLOOKUP(E248,'Курсы Bybit'!B:C,2,FALSE),IF(C248="OKX",VLOOKUP(E248,'Курсы OKX'!A:D,4,FALSE),IF(C248="huobi",VLOOKUP(E248,'Курсы Huobi'!B:C,2,FALSE),"! укажите биржу"))))))</f>
        <v/>
      </c>
      <c r="O248" s="71" t="str">
        <f t="shared" si="22"/>
        <v/>
      </c>
      <c r="P248" s="71" t="str">
        <f t="shared" si="23"/>
        <v/>
      </c>
      <c r="Q248" s="75" t="str">
        <f t="shared" si="24"/>
        <v/>
      </c>
      <c r="R248" s="76"/>
    </row>
    <row r="249" spans="1:18" ht="14.25" customHeight="1">
      <c r="A249" s="67"/>
      <c r="B249" s="68"/>
      <c r="C249" s="69"/>
      <c r="D249" s="69" t="str">
        <f ca="1">IF(B249="","",VLOOKUP('Журнал Закупок'!$B249,'СТ Криптовалюта'!B:C,2,0))</f>
        <v/>
      </c>
      <c r="E249" s="68" t="str">
        <f t="shared" si="20"/>
        <v/>
      </c>
      <c r="F249" s="70"/>
      <c r="G249" s="71"/>
      <c r="H249" s="71"/>
      <c r="I249" s="71" t="str">
        <f t="shared" si="21"/>
        <v/>
      </c>
      <c r="J249" s="71" t="e">
        <f ca="1">IFERROR(__xludf.DUMMYFUNCTION("IF(I249="""","""",IMPORTXML(""http://www.cbr.ru/scripts/XML_daily.asp?date_req=""&amp;TEXT(A249,""DD/MM/YYYY""), ""//ValCurs/Valute[CharCode=""""USD""""]/Value"")*I249)"),"")</f>
        <v>#NAME?</v>
      </c>
      <c r="K249" s="71"/>
      <c r="L249" s="71"/>
      <c r="M249" s="71"/>
      <c r="N249" s="71" t="str">
        <f ca="1">IF(H249="","",IF(D249="usdt",H249,IF(C249="Binance",VLOOKUP(E249,'Курсы Бинанса'!B:C,2,FALSE),IF(C249="bybit",VLOOKUP(E249,'Курсы Bybit'!B:C,2,FALSE),IF(C249="OKX",VLOOKUP(E249,'Курсы OKX'!A:D,4,FALSE),IF(C249="huobi",VLOOKUP(E249,'Курсы Huobi'!B:C,2,FALSE),"! укажите биржу"))))))</f>
        <v/>
      </c>
      <c r="O249" s="71" t="str">
        <f t="shared" si="22"/>
        <v/>
      </c>
      <c r="P249" s="71" t="str">
        <f t="shared" si="23"/>
        <v/>
      </c>
      <c r="Q249" s="75" t="str">
        <f t="shared" si="24"/>
        <v/>
      </c>
      <c r="R249" s="76"/>
    </row>
    <row r="250" spans="1:18" ht="14.25" customHeight="1">
      <c r="A250" s="67"/>
      <c r="B250" s="68"/>
      <c r="C250" s="69"/>
      <c r="D250" s="69" t="str">
        <f ca="1">IF(B250="","",VLOOKUP('Журнал Закупок'!$B250,'СТ Криптовалюта'!B:C,2,0))</f>
        <v/>
      </c>
      <c r="E250" s="68" t="str">
        <f t="shared" si="20"/>
        <v/>
      </c>
      <c r="F250" s="70"/>
      <c r="G250" s="71"/>
      <c r="H250" s="71"/>
      <c r="I250" s="71" t="str">
        <f t="shared" si="21"/>
        <v/>
      </c>
      <c r="J250" s="71" t="e">
        <f ca="1">IFERROR(__xludf.DUMMYFUNCTION("IF(I250="""","""",IMPORTXML(""http://www.cbr.ru/scripts/XML_daily.asp?date_req=""&amp;TEXT(A250,""DD/MM/YYYY""), ""//ValCurs/Valute[CharCode=""""USD""""]/Value"")*I250)"),"")</f>
        <v>#NAME?</v>
      </c>
      <c r="K250" s="71"/>
      <c r="L250" s="71"/>
      <c r="M250" s="71"/>
      <c r="N250" s="71" t="str">
        <f ca="1">IF(H250="","",IF(D250="usdt",H250,IF(C250="Binance",VLOOKUP(E250,'Курсы Бинанса'!B:C,2,FALSE),IF(C250="bybit",VLOOKUP(E250,'Курсы Bybit'!B:C,2,FALSE),IF(C250="OKX",VLOOKUP(E250,'Курсы OKX'!A:D,4,FALSE),IF(C250="huobi",VLOOKUP(E250,'Курсы Huobi'!B:C,2,FALSE),"! укажите биржу"))))))</f>
        <v/>
      </c>
      <c r="O250" s="71" t="str">
        <f t="shared" si="22"/>
        <v/>
      </c>
      <c r="P250" s="71" t="str">
        <f t="shared" si="23"/>
        <v/>
      </c>
      <c r="Q250" s="75" t="str">
        <f t="shared" si="24"/>
        <v/>
      </c>
      <c r="R250" s="76"/>
    </row>
    <row r="251" spans="1:18" ht="14.25" customHeight="1">
      <c r="A251" s="67"/>
      <c r="B251" s="68"/>
      <c r="C251" s="69"/>
      <c r="D251" s="69" t="str">
        <f ca="1">IF(B251="","",VLOOKUP('Журнал Закупок'!$B251,'СТ Криптовалюта'!B:C,2,0))</f>
        <v/>
      </c>
      <c r="E251" s="68" t="str">
        <f t="shared" si="20"/>
        <v/>
      </c>
      <c r="F251" s="70"/>
      <c r="G251" s="71"/>
      <c r="H251" s="71"/>
      <c r="I251" s="71" t="str">
        <f t="shared" si="21"/>
        <v/>
      </c>
      <c r="J251" s="71" t="e">
        <f ca="1">IFERROR(__xludf.DUMMYFUNCTION("IF(I251="""","""",IMPORTXML(""http://www.cbr.ru/scripts/XML_daily.asp?date_req=""&amp;TEXT(A251,""DD/MM/YYYY""), ""//ValCurs/Valute[CharCode=""""USD""""]/Value"")*I251)"),"")</f>
        <v>#NAME?</v>
      </c>
      <c r="K251" s="71"/>
      <c r="L251" s="71"/>
      <c r="M251" s="71"/>
      <c r="N251" s="71" t="str">
        <f ca="1">IF(H251="","",IF(D251="usdt",H251,IF(C251="Binance",VLOOKUP(E251,'Курсы Бинанса'!B:C,2,FALSE),IF(C251="bybit",VLOOKUP(E251,'Курсы Bybit'!B:C,2,FALSE),IF(C251="OKX",VLOOKUP(E251,'Курсы OKX'!A:D,4,FALSE),IF(C251="huobi",VLOOKUP(E251,'Курсы Huobi'!B:C,2,FALSE),"! укажите биржу"))))))</f>
        <v/>
      </c>
      <c r="O251" s="71" t="str">
        <f t="shared" si="22"/>
        <v/>
      </c>
      <c r="P251" s="71" t="str">
        <f t="shared" si="23"/>
        <v/>
      </c>
      <c r="Q251" s="75" t="str">
        <f t="shared" si="24"/>
        <v/>
      </c>
      <c r="R251" s="76"/>
    </row>
    <row r="252" spans="1:18" ht="14.25" customHeight="1">
      <c r="A252" s="67"/>
      <c r="B252" s="68"/>
      <c r="C252" s="69"/>
      <c r="D252" s="69" t="str">
        <f ca="1">IF(B252="","",VLOOKUP('Журнал Закупок'!$B252,'СТ Криптовалюта'!B:C,2,0))</f>
        <v/>
      </c>
      <c r="E252" s="68" t="str">
        <f t="shared" si="20"/>
        <v/>
      </c>
      <c r="F252" s="70"/>
      <c r="G252" s="71"/>
      <c r="H252" s="71"/>
      <c r="I252" s="71" t="str">
        <f t="shared" si="21"/>
        <v/>
      </c>
      <c r="J252" s="71" t="e">
        <f ca="1">IFERROR(__xludf.DUMMYFUNCTION("IF(I252="""","""",IMPORTXML(""http://www.cbr.ru/scripts/XML_daily.asp?date_req=""&amp;TEXT(A252,""DD/MM/YYYY""), ""//ValCurs/Valute[CharCode=""""USD""""]/Value"")*I252)"),"")</f>
        <v>#NAME?</v>
      </c>
      <c r="K252" s="71"/>
      <c r="L252" s="71"/>
      <c r="M252" s="71"/>
      <c r="N252" s="71" t="str">
        <f ca="1">IF(H252="","",IF(D252="usdt",H252,IF(C252="Binance",VLOOKUP(E252,'Курсы Бинанса'!B:C,2,FALSE),IF(C252="bybit",VLOOKUP(E252,'Курсы Bybit'!B:C,2,FALSE),IF(C252="OKX",VLOOKUP(E252,'Курсы OKX'!A:D,4,FALSE),IF(C252="huobi",VLOOKUP(E252,'Курсы Huobi'!B:C,2,FALSE),"! укажите биржу"))))))</f>
        <v/>
      </c>
      <c r="O252" s="71" t="str">
        <f t="shared" si="22"/>
        <v/>
      </c>
      <c r="P252" s="71" t="str">
        <f t="shared" si="23"/>
        <v/>
      </c>
      <c r="Q252" s="75" t="str">
        <f t="shared" si="24"/>
        <v/>
      </c>
      <c r="R252" s="76"/>
    </row>
    <row r="253" spans="1:18" ht="14.25" customHeight="1">
      <c r="A253" s="67"/>
      <c r="B253" s="68"/>
      <c r="C253" s="69"/>
      <c r="D253" s="69" t="str">
        <f ca="1">IF(B253="","",VLOOKUP('Журнал Закупок'!$B253,'СТ Криптовалюта'!B:C,2,0))</f>
        <v/>
      </c>
      <c r="E253" s="68" t="str">
        <f t="shared" si="20"/>
        <v/>
      </c>
      <c r="F253" s="70"/>
      <c r="G253" s="71"/>
      <c r="H253" s="71"/>
      <c r="I253" s="71" t="str">
        <f t="shared" si="21"/>
        <v/>
      </c>
      <c r="J253" s="71" t="e">
        <f ca="1">IFERROR(__xludf.DUMMYFUNCTION("IF(I253="""","""",IMPORTXML(""http://www.cbr.ru/scripts/XML_daily.asp?date_req=""&amp;TEXT(A253,""DD/MM/YYYY""), ""//ValCurs/Valute[CharCode=""""USD""""]/Value"")*I253)"),"")</f>
        <v>#NAME?</v>
      </c>
      <c r="K253" s="71"/>
      <c r="L253" s="71"/>
      <c r="M253" s="71"/>
      <c r="N253" s="71" t="str">
        <f ca="1">IF(H253="","",IF(D253="usdt",H253,IF(C253="Binance",VLOOKUP(E253,'Курсы Бинанса'!B:C,2,FALSE),IF(C253="bybit",VLOOKUP(E253,'Курсы Bybit'!B:C,2,FALSE),IF(C253="OKX",VLOOKUP(E253,'Курсы OKX'!A:D,4,FALSE),IF(C253="huobi",VLOOKUP(E253,'Курсы Huobi'!B:C,2,FALSE),"! укажите биржу"))))))</f>
        <v/>
      </c>
      <c r="O253" s="71" t="str">
        <f t="shared" si="22"/>
        <v/>
      </c>
      <c r="P253" s="71" t="str">
        <f t="shared" si="23"/>
        <v/>
      </c>
      <c r="Q253" s="75" t="str">
        <f t="shared" si="24"/>
        <v/>
      </c>
      <c r="R253" s="76"/>
    </row>
    <row r="254" spans="1:18" ht="14.25" customHeight="1">
      <c r="A254" s="67"/>
      <c r="B254" s="68"/>
      <c r="C254" s="69"/>
      <c r="D254" s="69" t="str">
        <f ca="1">IF(B254="","",VLOOKUP('Журнал Закупок'!$B254,'СТ Криптовалюта'!B:C,2,0))</f>
        <v/>
      </c>
      <c r="E254" s="68" t="str">
        <f t="shared" si="20"/>
        <v/>
      </c>
      <c r="F254" s="70"/>
      <c r="G254" s="71"/>
      <c r="H254" s="71"/>
      <c r="I254" s="71" t="str">
        <f t="shared" si="21"/>
        <v/>
      </c>
      <c r="J254" s="71" t="e">
        <f ca="1">IFERROR(__xludf.DUMMYFUNCTION("IF(I254="""","""",IMPORTXML(""http://www.cbr.ru/scripts/XML_daily.asp?date_req=""&amp;TEXT(A254,""DD/MM/YYYY""), ""//ValCurs/Valute[CharCode=""""USD""""]/Value"")*I254)"),"")</f>
        <v>#NAME?</v>
      </c>
      <c r="K254" s="71"/>
      <c r="L254" s="71"/>
      <c r="M254" s="71"/>
      <c r="N254" s="71" t="str">
        <f ca="1">IF(H254="","",IF(D254="usdt",H254,IF(C254="Binance",VLOOKUP(E254,'Курсы Бинанса'!B:C,2,FALSE),IF(C254="bybit",VLOOKUP(E254,'Курсы Bybit'!B:C,2,FALSE),IF(C254="OKX",VLOOKUP(E254,'Курсы OKX'!A:D,4,FALSE),IF(C254="huobi",VLOOKUP(E254,'Курсы Huobi'!B:C,2,FALSE),"! укажите биржу"))))))</f>
        <v/>
      </c>
      <c r="O254" s="71" t="str">
        <f t="shared" si="22"/>
        <v/>
      </c>
      <c r="P254" s="71" t="str">
        <f t="shared" si="23"/>
        <v/>
      </c>
      <c r="Q254" s="75" t="str">
        <f t="shared" si="24"/>
        <v/>
      </c>
      <c r="R254" s="76"/>
    </row>
    <row r="255" spans="1:18" ht="14.25" customHeight="1">
      <c r="A255" s="67"/>
      <c r="B255" s="68"/>
      <c r="C255" s="69"/>
      <c r="D255" s="69" t="str">
        <f ca="1">IF(B255="","",VLOOKUP('Журнал Закупок'!$B255,'СТ Криптовалюта'!B:C,2,0))</f>
        <v/>
      </c>
      <c r="E255" s="68" t="str">
        <f t="shared" si="20"/>
        <v/>
      </c>
      <c r="F255" s="70"/>
      <c r="G255" s="71"/>
      <c r="H255" s="71"/>
      <c r="I255" s="71" t="str">
        <f t="shared" si="21"/>
        <v/>
      </c>
      <c r="J255" s="71" t="e">
        <f ca="1">IFERROR(__xludf.DUMMYFUNCTION("IF(I255="""","""",IMPORTXML(""http://www.cbr.ru/scripts/XML_daily.asp?date_req=""&amp;TEXT(A255,""DD/MM/YYYY""), ""//ValCurs/Valute[CharCode=""""USD""""]/Value"")*I255)"),"")</f>
        <v>#NAME?</v>
      </c>
      <c r="K255" s="71"/>
      <c r="L255" s="71"/>
      <c r="M255" s="71"/>
      <c r="N255" s="71" t="str">
        <f ca="1">IF(H255="","",IF(D255="usdt",H255,IF(C255="Binance",VLOOKUP(E255,'Курсы Бинанса'!B:C,2,FALSE),IF(C255="bybit",VLOOKUP(E255,'Курсы Bybit'!B:C,2,FALSE),IF(C255="OKX",VLOOKUP(E255,'Курсы OKX'!A:D,4,FALSE),IF(C255="huobi",VLOOKUP(E255,'Курсы Huobi'!B:C,2,FALSE),"! укажите биржу"))))))</f>
        <v/>
      </c>
      <c r="O255" s="71" t="str">
        <f t="shared" si="22"/>
        <v/>
      </c>
      <c r="P255" s="71" t="str">
        <f t="shared" si="23"/>
        <v/>
      </c>
      <c r="Q255" s="75" t="str">
        <f t="shared" si="24"/>
        <v/>
      </c>
      <c r="R255" s="76"/>
    </row>
    <row r="256" spans="1:18" ht="14.25" customHeight="1">
      <c r="A256" s="67"/>
      <c r="B256" s="68"/>
      <c r="C256" s="69"/>
      <c r="D256" s="69" t="str">
        <f ca="1">IF(B256="","",VLOOKUP('Журнал Закупок'!$B256,'СТ Криптовалюта'!B:C,2,0))</f>
        <v/>
      </c>
      <c r="E256" s="68" t="str">
        <f t="shared" si="20"/>
        <v/>
      </c>
      <c r="F256" s="70"/>
      <c r="G256" s="71"/>
      <c r="H256" s="71"/>
      <c r="I256" s="71" t="str">
        <f t="shared" si="21"/>
        <v/>
      </c>
      <c r="J256" s="71" t="e">
        <f ca="1">IFERROR(__xludf.DUMMYFUNCTION("IF(I256="""","""",IMPORTXML(""http://www.cbr.ru/scripts/XML_daily.asp?date_req=""&amp;TEXT(A256,""DD/MM/YYYY""), ""//ValCurs/Valute[CharCode=""""USD""""]/Value"")*I256)"),"")</f>
        <v>#NAME?</v>
      </c>
      <c r="K256" s="71"/>
      <c r="L256" s="71"/>
      <c r="M256" s="71"/>
      <c r="N256" s="71" t="str">
        <f ca="1">IF(H256="","",IF(D256="usdt",H256,IF(C256="Binance",VLOOKUP(E256,'Курсы Бинанса'!B:C,2,FALSE),IF(C256="bybit",VLOOKUP(E256,'Курсы Bybit'!B:C,2,FALSE),IF(C256="OKX",VLOOKUP(E256,'Курсы OKX'!A:D,4,FALSE),IF(C256="huobi",VLOOKUP(E256,'Курсы Huobi'!B:C,2,FALSE),"! укажите биржу"))))))</f>
        <v/>
      </c>
      <c r="O256" s="71" t="str">
        <f t="shared" si="22"/>
        <v/>
      </c>
      <c r="P256" s="71" t="str">
        <f t="shared" si="23"/>
        <v/>
      </c>
      <c r="Q256" s="75" t="str">
        <f t="shared" si="24"/>
        <v/>
      </c>
      <c r="R256" s="76"/>
    </row>
    <row r="257" spans="1:18" ht="14.25" customHeight="1">
      <c r="A257" s="67"/>
      <c r="B257" s="68"/>
      <c r="C257" s="69"/>
      <c r="D257" s="69" t="str">
        <f ca="1">IF(B257="","",VLOOKUP('Журнал Закупок'!$B257,'СТ Криптовалюта'!B:C,2,0))</f>
        <v/>
      </c>
      <c r="E257" s="68" t="str">
        <f t="shared" si="20"/>
        <v/>
      </c>
      <c r="F257" s="70"/>
      <c r="G257" s="71"/>
      <c r="H257" s="71"/>
      <c r="I257" s="71" t="str">
        <f t="shared" si="21"/>
        <v/>
      </c>
      <c r="J257" s="71" t="e">
        <f ca="1">IFERROR(__xludf.DUMMYFUNCTION("IF(I257="""","""",IMPORTXML(""http://www.cbr.ru/scripts/XML_daily.asp?date_req=""&amp;TEXT(A257,""DD/MM/YYYY""), ""//ValCurs/Valute[CharCode=""""USD""""]/Value"")*I257)"),"")</f>
        <v>#NAME?</v>
      </c>
      <c r="K257" s="71"/>
      <c r="L257" s="71"/>
      <c r="M257" s="71"/>
      <c r="N257" s="71" t="str">
        <f ca="1">IF(H257="","",IF(D257="usdt",H257,IF(C257="Binance",VLOOKUP(E257,'Курсы Бинанса'!B:C,2,FALSE),IF(C257="bybit",VLOOKUP(E257,'Курсы Bybit'!B:C,2,FALSE),IF(C257="OKX",VLOOKUP(E257,'Курсы OKX'!A:D,4,FALSE),IF(C257="huobi",VLOOKUP(E257,'Курсы Huobi'!B:C,2,FALSE),"! укажите биржу"))))))</f>
        <v/>
      </c>
      <c r="O257" s="71" t="str">
        <f t="shared" si="22"/>
        <v/>
      </c>
      <c r="P257" s="71" t="str">
        <f t="shared" si="23"/>
        <v/>
      </c>
      <c r="Q257" s="75" t="str">
        <f t="shared" si="24"/>
        <v/>
      </c>
      <c r="R257" s="76"/>
    </row>
    <row r="258" spans="1:18" ht="14.25" customHeight="1">
      <c r="A258" s="67"/>
      <c r="B258" s="68"/>
      <c r="C258" s="69"/>
      <c r="D258" s="69" t="str">
        <f ca="1">IF(B258="","",VLOOKUP('Журнал Закупок'!$B258,'СТ Криптовалюта'!B:C,2,0))</f>
        <v/>
      </c>
      <c r="E258" s="68" t="str">
        <f t="shared" si="20"/>
        <v/>
      </c>
      <c r="F258" s="70"/>
      <c r="G258" s="71"/>
      <c r="H258" s="71"/>
      <c r="I258" s="71" t="str">
        <f t="shared" si="21"/>
        <v/>
      </c>
      <c r="J258" s="71" t="e">
        <f ca="1">IFERROR(__xludf.DUMMYFUNCTION("IF(I258="""","""",IMPORTXML(""http://www.cbr.ru/scripts/XML_daily.asp?date_req=""&amp;TEXT(A258,""DD/MM/YYYY""), ""//ValCurs/Valute[CharCode=""""USD""""]/Value"")*I258)"),"")</f>
        <v>#NAME?</v>
      </c>
      <c r="K258" s="71"/>
      <c r="L258" s="71"/>
      <c r="M258" s="71"/>
      <c r="N258" s="71" t="str">
        <f ca="1">IF(H258="","",IF(D258="usdt",H258,IF(C258="Binance",VLOOKUP(E258,'Курсы Бинанса'!B:C,2,FALSE),IF(C258="bybit",VLOOKUP(E258,'Курсы Bybit'!B:C,2,FALSE),IF(C258="OKX",VLOOKUP(E258,'Курсы OKX'!A:D,4,FALSE),IF(C258="huobi",VLOOKUP(E258,'Курсы Huobi'!B:C,2,FALSE),"! укажите биржу"))))))</f>
        <v/>
      </c>
      <c r="O258" s="71" t="str">
        <f t="shared" si="22"/>
        <v/>
      </c>
      <c r="P258" s="71" t="str">
        <f t="shared" si="23"/>
        <v/>
      </c>
      <c r="Q258" s="75" t="str">
        <f t="shared" si="24"/>
        <v/>
      </c>
      <c r="R258" s="76"/>
    </row>
    <row r="259" spans="1:18" ht="14.25" customHeight="1">
      <c r="A259" s="67"/>
      <c r="B259" s="68"/>
      <c r="C259" s="69"/>
      <c r="D259" s="69" t="str">
        <f ca="1">IF(B259="","",VLOOKUP('Журнал Закупок'!$B259,'СТ Криптовалюта'!B:C,2,0))</f>
        <v/>
      </c>
      <c r="E259" s="68" t="str">
        <f t="shared" si="20"/>
        <v/>
      </c>
      <c r="F259" s="70"/>
      <c r="G259" s="71"/>
      <c r="H259" s="71"/>
      <c r="I259" s="71" t="str">
        <f t="shared" si="21"/>
        <v/>
      </c>
      <c r="J259" s="71" t="e">
        <f ca="1">IFERROR(__xludf.DUMMYFUNCTION("IF(I259="""","""",IMPORTXML(""http://www.cbr.ru/scripts/XML_daily.asp?date_req=""&amp;TEXT(A259,""DD/MM/YYYY""), ""//ValCurs/Valute[CharCode=""""USD""""]/Value"")*I259)"),"")</f>
        <v>#NAME?</v>
      </c>
      <c r="K259" s="71"/>
      <c r="L259" s="71"/>
      <c r="M259" s="71"/>
      <c r="N259" s="71" t="str">
        <f ca="1">IF(H259="","",IF(D259="usdt",H259,IF(C259="Binance",VLOOKUP(E259,'Курсы Бинанса'!B:C,2,FALSE),IF(C259="bybit",VLOOKUP(E259,'Курсы Bybit'!B:C,2,FALSE),IF(C259="OKX",VLOOKUP(E259,'Курсы OKX'!A:D,4,FALSE),IF(C259="huobi",VLOOKUP(E259,'Курсы Huobi'!B:C,2,FALSE),"! укажите биржу"))))))</f>
        <v/>
      </c>
      <c r="O259" s="71" t="str">
        <f t="shared" si="22"/>
        <v/>
      </c>
      <c r="P259" s="71" t="str">
        <f t="shared" si="23"/>
        <v/>
      </c>
      <c r="Q259" s="75" t="str">
        <f t="shared" si="24"/>
        <v/>
      </c>
      <c r="R259" s="76"/>
    </row>
    <row r="260" spans="1:18" ht="14.25" customHeight="1">
      <c r="A260" s="67"/>
      <c r="B260" s="68"/>
      <c r="C260" s="69"/>
      <c r="D260" s="69" t="str">
        <f ca="1">IF(B260="","",VLOOKUP('Журнал Закупок'!$B260,'СТ Криптовалюта'!B:C,2,0))</f>
        <v/>
      </c>
      <c r="E260" s="68" t="str">
        <f t="shared" si="20"/>
        <v/>
      </c>
      <c r="F260" s="70"/>
      <c r="G260" s="71"/>
      <c r="H260" s="71"/>
      <c r="I260" s="71" t="str">
        <f t="shared" si="21"/>
        <v/>
      </c>
      <c r="J260" s="71" t="e">
        <f ca="1">IFERROR(__xludf.DUMMYFUNCTION("IF(I260="""","""",IMPORTXML(""http://www.cbr.ru/scripts/XML_daily.asp?date_req=""&amp;TEXT(A260,""DD/MM/YYYY""), ""//ValCurs/Valute[CharCode=""""USD""""]/Value"")*I260)"),"")</f>
        <v>#NAME?</v>
      </c>
      <c r="K260" s="71"/>
      <c r="L260" s="71"/>
      <c r="M260" s="71"/>
      <c r="N260" s="71" t="str">
        <f ca="1">IF(H260="","",IF(D260="usdt",H260,IF(C260="Binance",VLOOKUP(E260,'Курсы Бинанса'!B:C,2,FALSE),IF(C260="bybit",VLOOKUP(E260,'Курсы Bybit'!B:C,2,FALSE),IF(C260="OKX",VLOOKUP(E260,'Курсы OKX'!A:D,4,FALSE),IF(C260="huobi",VLOOKUP(E260,'Курсы Huobi'!B:C,2,FALSE),"! укажите биржу"))))))</f>
        <v/>
      </c>
      <c r="O260" s="71" t="str">
        <f t="shared" si="22"/>
        <v/>
      </c>
      <c r="P260" s="71" t="str">
        <f t="shared" si="23"/>
        <v/>
      </c>
      <c r="Q260" s="75" t="str">
        <f t="shared" si="24"/>
        <v/>
      </c>
      <c r="R260" s="76"/>
    </row>
    <row r="261" spans="1:18" ht="14.25" customHeight="1">
      <c r="A261" s="67"/>
      <c r="B261" s="68"/>
      <c r="C261" s="69"/>
      <c r="D261" s="69" t="str">
        <f ca="1">IF(B261="","",VLOOKUP('Журнал Закупок'!$B261,'СТ Криптовалюта'!B:C,2,0))</f>
        <v/>
      </c>
      <c r="E261" s="68" t="str">
        <f t="shared" si="20"/>
        <v/>
      </c>
      <c r="F261" s="70"/>
      <c r="G261" s="71"/>
      <c r="H261" s="71"/>
      <c r="I261" s="71" t="str">
        <f t="shared" si="21"/>
        <v/>
      </c>
      <c r="J261" s="71" t="e">
        <f ca="1">IFERROR(__xludf.DUMMYFUNCTION("IF(I261="""","""",IMPORTXML(""http://www.cbr.ru/scripts/XML_daily.asp?date_req=""&amp;TEXT(A261,""DD/MM/YYYY""), ""//ValCurs/Valute[CharCode=""""USD""""]/Value"")*I261)"),"")</f>
        <v>#NAME?</v>
      </c>
      <c r="K261" s="71"/>
      <c r="L261" s="71"/>
      <c r="M261" s="71"/>
      <c r="N261" s="71" t="str">
        <f ca="1">IF(H261="","",IF(D261="usdt",H261,IF(C261="Binance",VLOOKUP(E261,'Курсы Бинанса'!B:C,2,FALSE),IF(C261="bybit",VLOOKUP(E261,'Курсы Bybit'!B:C,2,FALSE),IF(C261="OKX",VLOOKUP(E261,'Курсы OKX'!A:D,4,FALSE),IF(C261="huobi",VLOOKUP(E261,'Курсы Huobi'!B:C,2,FALSE),"! укажите биржу"))))))</f>
        <v/>
      </c>
      <c r="O261" s="71" t="str">
        <f t="shared" si="22"/>
        <v/>
      </c>
      <c r="P261" s="71" t="str">
        <f t="shared" si="23"/>
        <v/>
      </c>
      <c r="Q261" s="75" t="str">
        <f t="shared" si="24"/>
        <v/>
      </c>
      <c r="R261" s="76"/>
    </row>
    <row r="262" spans="1:18" ht="14.25" customHeight="1">
      <c r="A262" s="67"/>
      <c r="B262" s="68"/>
      <c r="C262" s="69"/>
      <c r="D262" s="69" t="str">
        <f ca="1">IF(B262="","",VLOOKUP('Журнал Закупок'!$B262,'СТ Криптовалюта'!B:C,2,0))</f>
        <v/>
      </c>
      <c r="E262" s="68" t="str">
        <f t="shared" si="20"/>
        <v/>
      </c>
      <c r="F262" s="70"/>
      <c r="G262" s="71"/>
      <c r="H262" s="71"/>
      <c r="I262" s="71" t="str">
        <f t="shared" si="21"/>
        <v/>
      </c>
      <c r="J262" s="71" t="e">
        <f ca="1">IFERROR(__xludf.DUMMYFUNCTION("IF(I262="""","""",IMPORTXML(""http://www.cbr.ru/scripts/XML_daily.asp?date_req=""&amp;TEXT(A262,""DD/MM/YYYY""), ""//ValCurs/Valute[CharCode=""""USD""""]/Value"")*I262)"),"")</f>
        <v>#NAME?</v>
      </c>
      <c r="K262" s="71"/>
      <c r="L262" s="71"/>
      <c r="M262" s="71"/>
      <c r="N262" s="71" t="str">
        <f ca="1">IF(H262="","",IF(D262="usdt",H262,IF(C262="Binance",VLOOKUP(E262,'Курсы Бинанса'!B:C,2,FALSE),IF(C262="bybit",VLOOKUP(E262,'Курсы Bybit'!B:C,2,FALSE),IF(C262="OKX",VLOOKUP(E262,'Курсы OKX'!A:D,4,FALSE),IF(C262="huobi",VLOOKUP(E262,'Курсы Huobi'!B:C,2,FALSE),"! укажите биржу"))))))</f>
        <v/>
      </c>
      <c r="O262" s="71" t="str">
        <f t="shared" si="22"/>
        <v/>
      </c>
      <c r="P262" s="71" t="str">
        <f t="shared" si="23"/>
        <v/>
      </c>
      <c r="Q262" s="75" t="str">
        <f t="shared" si="24"/>
        <v/>
      </c>
      <c r="R262" s="76"/>
    </row>
    <row r="263" spans="1:18" ht="14.25" customHeight="1">
      <c r="A263" s="67"/>
      <c r="B263" s="68"/>
      <c r="C263" s="69"/>
      <c r="D263" s="69" t="str">
        <f ca="1">IF(B263="","",VLOOKUP('Журнал Закупок'!$B263,'СТ Криптовалюта'!B:C,2,0))</f>
        <v/>
      </c>
      <c r="E263" s="68" t="str">
        <f t="shared" si="20"/>
        <v/>
      </c>
      <c r="F263" s="70"/>
      <c r="G263" s="71"/>
      <c r="H263" s="71"/>
      <c r="I263" s="71" t="str">
        <f t="shared" si="21"/>
        <v/>
      </c>
      <c r="J263" s="71" t="e">
        <f ca="1">IFERROR(__xludf.DUMMYFUNCTION("IF(I263="""","""",IMPORTXML(""http://www.cbr.ru/scripts/XML_daily.asp?date_req=""&amp;TEXT(A263,""DD/MM/YYYY""), ""//ValCurs/Valute[CharCode=""""USD""""]/Value"")*I263)"),"")</f>
        <v>#NAME?</v>
      </c>
      <c r="K263" s="71"/>
      <c r="L263" s="71"/>
      <c r="M263" s="71"/>
      <c r="N263" s="71" t="str">
        <f ca="1">IF(H263="","",IF(D263="usdt",H263,IF(C263="Binance",VLOOKUP(E263,'Курсы Бинанса'!B:C,2,FALSE),IF(C263="bybit",VLOOKUP(E263,'Курсы Bybit'!B:C,2,FALSE),IF(C263="OKX",VLOOKUP(E263,'Курсы OKX'!A:D,4,FALSE),IF(C263="huobi",VLOOKUP(E263,'Курсы Huobi'!B:C,2,FALSE),"! укажите биржу"))))))</f>
        <v/>
      </c>
      <c r="O263" s="71" t="str">
        <f t="shared" si="22"/>
        <v/>
      </c>
      <c r="P263" s="71" t="str">
        <f t="shared" si="23"/>
        <v/>
      </c>
      <c r="Q263" s="75" t="str">
        <f t="shared" si="24"/>
        <v/>
      </c>
      <c r="R263" s="76"/>
    </row>
    <row r="264" spans="1:18" ht="14.25" customHeight="1">
      <c r="A264" s="67"/>
      <c r="B264" s="68"/>
      <c r="C264" s="69"/>
      <c r="D264" s="69" t="str">
        <f ca="1">IF(B264="","",VLOOKUP('Журнал Закупок'!$B264,'СТ Криптовалюта'!B:C,2,0))</f>
        <v/>
      </c>
      <c r="E264" s="68" t="str">
        <f t="shared" si="20"/>
        <v/>
      </c>
      <c r="F264" s="70"/>
      <c r="G264" s="71"/>
      <c r="H264" s="71"/>
      <c r="I264" s="71" t="str">
        <f t="shared" si="21"/>
        <v/>
      </c>
      <c r="J264" s="71" t="e">
        <f ca="1">IFERROR(__xludf.DUMMYFUNCTION("IF(I264="""","""",IMPORTXML(""http://www.cbr.ru/scripts/XML_daily.asp?date_req=""&amp;TEXT(A264,""DD/MM/YYYY""), ""//ValCurs/Valute[CharCode=""""USD""""]/Value"")*I264)"),"")</f>
        <v>#NAME?</v>
      </c>
      <c r="K264" s="71"/>
      <c r="L264" s="71"/>
      <c r="M264" s="71"/>
      <c r="N264" s="71" t="str">
        <f ca="1">IF(H264="","",IF(D264="usdt",H264,IF(C264="Binance",VLOOKUP(E264,'Курсы Бинанса'!B:C,2,FALSE),IF(C264="bybit",VLOOKUP(E264,'Курсы Bybit'!B:C,2,FALSE),IF(C264="OKX",VLOOKUP(E264,'Курсы OKX'!A:D,4,FALSE),IF(C264="huobi",VLOOKUP(E264,'Курсы Huobi'!B:C,2,FALSE),"! укажите биржу"))))))</f>
        <v/>
      </c>
      <c r="O264" s="71" t="str">
        <f t="shared" si="22"/>
        <v/>
      </c>
      <c r="P264" s="71" t="str">
        <f t="shared" si="23"/>
        <v/>
      </c>
      <c r="Q264" s="75" t="str">
        <f t="shared" si="24"/>
        <v/>
      </c>
      <c r="R264" s="76"/>
    </row>
    <row r="265" spans="1:18" ht="14.25" customHeight="1">
      <c r="A265" s="67"/>
      <c r="B265" s="68"/>
      <c r="C265" s="69"/>
      <c r="D265" s="69" t="str">
        <f ca="1">IF(B265="","",VLOOKUP('Журнал Закупок'!$B265,'СТ Криптовалюта'!B:C,2,0))</f>
        <v/>
      </c>
      <c r="E265" s="68" t="str">
        <f t="shared" si="20"/>
        <v/>
      </c>
      <c r="F265" s="70"/>
      <c r="G265" s="71"/>
      <c r="H265" s="71"/>
      <c r="I265" s="71" t="str">
        <f t="shared" si="21"/>
        <v/>
      </c>
      <c r="J265" s="71" t="e">
        <f ca="1">IFERROR(__xludf.DUMMYFUNCTION("IF(I265="""","""",IMPORTXML(""http://www.cbr.ru/scripts/XML_daily.asp?date_req=""&amp;TEXT(A265,""DD/MM/YYYY""), ""//ValCurs/Valute[CharCode=""""USD""""]/Value"")*I265)"),"")</f>
        <v>#NAME?</v>
      </c>
      <c r="K265" s="71"/>
      <c r="L265" s="71"/>
      <c r="M265" s="71"/>
      <c r="N265" s="71" t="str">
        <f ca="1">IF(H265="","",IF(D265="usdt",H265,IF(C265="Binance",VLOOKUP(E265,'Курсы Бинанса'!B:C,2,FALSE),IF(C265="bybit",VLOOKUP(E265,'Курсы Bybit'!B:C,2,FALSE),IF(C265="OKX",VLOOKUP(E265,'Курсы OKX'!A:D,4,FALSE),IF(C265="huobi",VLOOKUP(E265,'Курсы Huobi'!B:C,2,FALSE),"! укажите биржу"))))))</f>
        <v/>
      </c>
      <c r="O265" s="71" t="str">
        <f t="shared" si="22"/>
        <v/>
      </c>
      <c r="P265" s="71" t="str">
        <f t="shared" si="23"/>
        <v/>
      </c>
      <c r="Q265" s="75" t="str">
        <f t="shared" si="24"/>
        <v/>
      </c>
      <c r="R265" s="76"/>
    </row>
    <row r="266" spans="1:18" ht="14.25" customHeight="1">
      <c r="A266" s="67"/>
      <c r="B266" s="68"/>
      <c r="C266" s="69"/>
      <c r="D266" s="69" t="str">
        <f ca="1">IF(B266="","",VLOOKUP('Журнал Закупок'!$B266,'СТ Криптовалюта'!B:C,2,0))</f>
        <v/>
      </c>
      <c r="E266" s="68" t="str">
        <f t="shared" si="20"/>
        <v/>
      </c>
      <c r="F266" s="70"/>
      <c r="G266" s="71"/>
      <c r="H266" s="71"/>
      <c r="I266" s="71" t="str">
        <f t="shared" si="21"/>
        <v/>
      </c>
      <c r="J266" s="71" t="e">
        <f ca="1">IFERROR(__xludf.DUMMYFUNCTION("IF(I266="""","""",IMPORTXML(""http://www.cbr.ru/scripts/XML_daily.asp?date_req=""&amp;TEXT(A266,""DD/MM/YYYY""), ""//ValCurs/Valute[CharCode=""""USD""""]/Value"")*I266)"),"")</f>
        <v>#NAME?</v>
      </c>
      <c r="K266" s="71"/>
      <c r="L266" s="71"/>
      <c r="M266" s="71"/>
      <c r="N266" s="71" t="str">
        <f ca="1">IF(H266="","",IF(D266="usdt",H266,IF(C266="Binance",VLOOKUP(E266,'Курсы Бинанса'!B:C,2,FALSE),IF(C266="bybit",VLOOKUP(E266,'Курсы Bybit'!B:C,2,FALSE),IF(C266="OKX",VLOOKUP(E266,'Курсы OKX'!A:D,4,FALSE),IF(C266="huobi",VLOOKUP(E266,'Курсы Huobi'!B:C,2,FALSE),"! укажите биржу"))))))</f>
        <v/>
      </c>
      <c r="O266" s="71" t="str">
        <f t="shared" si="22"/>
        <v/>
      </c>
      <c r="P266" s="71" t="str">
        <f t="shared" si="23"/>
        <v/>
      </c>
      <c r="Q266" s="75" t="str">
        <f t="shared" si="24"/>
        <v/>
      </c>
      <c r="R266" s="76"/>
    </row>
    <row r="267" spans="1:18" ht="14.25" customHeight="1">
      <c r="A267" s="67"/>
      <c r="B267" s="68"/>
      <c r="C267" s="69"/>
      <c r="D267" s="69" t="str">
        <f ca="1">IF(B267="","",VLOOKUP('Журнал Закупок'!$B267,'СТ Криптовалюта'!B:C,2,0))</f>
        <v/>
      </c>
      <c r="E267" s="68" t="str">
        <f t="shared" si="20"/>
        <v/>
      </c>
      <c r="F267" s="70"/>
      <c r="G267" s="71"/>
      <c r="H267" s="71"/>
      <c r="I267" s="71" t="str">
        <f t="shared" si="21"/>
        <v/>
      </c>
      <c r="J267" s="71" t="e">
        <f ca="1">IFERROR(__xludf.DUMMYFUNCTION("IF(I267="""","""",IMPORTXML(""http://www.cbr.ru/scripts/XML_daily.asp?date_req=""&amp;TEXT(A267,""DD/MM/YYYY""), ""//ValCurs/Valute[CharCode=""""USD""""]/Value"")*I267)"),"")</f>
        <v>#NAME?</v>
      </c>
      <c r="K267" s="71"/>
      <c r="L267" s="71"/>
      <c r="M267" s="71"/>
      <c r="N267" s="71" t="str">
        <f ca="1">IF(H267="","",IF(D267="usdt",H267,IF(C267="Binance",VLOOKUP(E267,'Курсы Бинанса'!B:C,2,FALSE),IF(C267="bybit",VLOOKUP(E267,'Курсы Bybit'!B:C,2,FALSE),IF(C267="OKX",VLOOKUP(E267,'Курсы OKX'!A:D,4,FALSE),IF(C267="huobi",VLOOKUP(E267,'Курсы Huobi'!B:C,2,FALSE),"! укажите биржу"))))))</f>
        <v/>
      </c>
      <c r="O267" s="71" t="str">
        <f t="shared" si="22"/>
        <v/>
      </c>
      <c r="P267" s="71" t="str">
        <f t="shared" si="23"/>
        <v/>
      </c>
      <c r="Q267" s="75" t="str">
        <f t="shared" si="24"/>
        <v/>
      </c>
      <c r="R267" s="76"/>
    </row>
    <row r="268" spans="1:18" ht="14.25" customHeight="1">
      <c r="A268" s="67"/>
      <c r="B268" s="68"/>
      <c r="C268" s="69"/>
      <c r="D268" s="69" t="str">
        <f ca="1">IF(B268="","",VLOOKUP('Журнал Закупок'!$B268,'СТ Криптовалюта'!B:C,2,0))</f>
        <v/>
      </c>
      <c r="E268" s="68" t="str">
        <f t="shared" si="20"/>
        <v/>
      </c>
      <c r="F268" s="70"/>
      <c r="G268" s="71"/>
      <c r="H268" s="71"/>
      <c r="I268" s="71" t="str">
        <f t="shared" si="21"/>
        <v/>
      </c>
      <c r="J268" s="71" t="e">
        <f ca="1">IFERROR(__xludf.DUMMYFUNCTION("IF(I268="""","""",IMPORTXML(""http://www.cbr.ru/scripts/XML_daily.asp?date_req=""&amp;TEXT(A268,""DD/MM/YYYY""), ""//ValCurs/Valute[CharCode=""""USD""""]/Value"")*I268)"),"")</f>
        <v>#NAME?</v>
      </c>
      <c r="K268" s="71"/>
      <c r="L268" s="71"/>
      <c r="M268" s="71"/>
      <c r="N268" s="71" t="str">
        <f ca="1">IF(H268="","",IF(D268="usdt",H268,IF(C268="Binance",VLOOKUP(E268,'Курсы Бинанса'!B:C,2,FALSE),IF(C268="bybit",VLOOKUP(E268,'Курсы Bybit'!B:C,2,FALSE),IF(C268="OKX",VLOOKUP(E268,'Курсы OKX'!A:D,4,FALSE),IF(C268="huobi",VLOOKUP(E268,'Курсы Huobi'!B:C,2,FALSE),"! укажите биржу"))))))</f>
        <v/>
      </c>
      <c r="O268" s="71" t="str">
        <f t="shared" si="22"/>
        <v/>
      </c>
      <c r="P268" s="71" t="str">
        <f t="shared" si="23"/>
        <v/>
      </c>
      <c r="Q268" s="75" t="str">
        <f t="shared" si="24"/>
        <v/>
      </c>
      <c r="R268" s="76"/>
    </row>
    <row r="269" spans="1:18" ht="14.25" customHeight="1">
      <c r="A269" s="67"/>
      <c r="B269" s="68"/>
      <c r="C269" s="69"/>
      <c r="D269" s="69" t="str">
        <f ca="1">IF(B269="","",VLOOKUP('Журнал Закупок'!$B269,'СТ Криптовалюта'!B:C,2,0))</f>
        <v/>
      </c>
      <c r="E269" s="68" t="str">
        <f t="shared" si="20"/>
        <v/>
      </c>
      <c r="F269" s="70"/>
      <c r="G269" s="71"/>
      <c r="H269" s="71"/>
      <c r="I269" s="71" t="str">
        <f t="shared" si="21"/>
        <v/>
      </c>
      <c r="J269" s="71" t="e">
        <f ca="1">IFERROR(__xludf.DUMMYFUNCTION("IF(I269="""","""",IMPORTXML(""http://www.cbr.ru/scripts/XML_daily.asp?date_req=""&amp;TEXT(A269,""DD/MM/YYYY""), ""//ValCurs/Valute[CharCode=""""USD""""]/Value"")*I269)"),"")</f>
        <v>#NAME?</v>
      </c>
      <c r="K269" s="71"/>
      <c r="L269" s="71"/>
      <c r="M269" s="71"/>
      <c r="N269" s="71" t="str">
        <f ca="1">IF(H269="","",IF(D269="usdt",H269,IF(C269="Binance",VLOOKUP(E269,'Курсы Бинанса'!B:C,2,FALSE),IF(C269="bybit",VLOOKUP(E269,'Курсы Bybit'!B:C,2,FALSE),IF(C269="OKX",VLOOKUP(E269,'Курсы OKX'!A:D,4,FALSE),IF(C269="huobi",VLOOKUP(E269,'Курсы Huobi'!B:C,2,FALSE),"! укажите биржу"))))))</f>
        <v/>
      </c>
      <c r="O269" s="71" t="str">
        <f t="shared" si="22"/>
        <v/>
      </c>
      <c r="P269" s="71" t="str">
        <f t="shared" si="23"/>
        <v/>
      </c>
      <c r="Q269" s="75" t="str">
        <f t="shared" si="24"/>
        <v/>
      </c>
      <c r="R269" s="76"/>
    </row>
    <row r="270" spans="1:18" ht="14.25" customHeight="1">
      <c r="A270" s="67"/>
      <c r="B270" s="68"/>
      <c r="C270" s="69"/>
      <c r="D270" s="69" t="str">
        <f ca="1">IF(B270="","",VLOOKUP('Журнал Закупок'!$B270,'СТ Криптовалюта'!B:C,2,0))</f>
        <v/>
      </c>
      <c r="E270" s="68" t="str">
        <f t="shared" si="20"/>
        <v/>
      </c>
      <c r="F270" s="70"/>
      <c r="G270" s="71"/>
      <c r="H270" s="71"/>
      <c r="I270" s="71" t="str">
        <f t="shared" si="21"/>
        <v/>
      </c>
      <c r="J270" s="71" t="e">
        <f ca="1">IFERROR(__xludf.DUMMYFUNCTION("IF(I270="""","""",IMPORTXML(""http://www.cbr.ru/scripts/XML_daily.asp?date_req=""&amp;TEXT(A270,""DD/MM/YYYY""), ""//ValCurs/Valute[CharCode=""""USD""""]/Value"")*I270)"),"")</f>
        <v>#NAME?</v>
      </c>
      <c r="K270" s="71"/>
      <c r="L270" s="71"/>
      <c r="M270" s="71"/>
      <c r="N270" s="71" t="str">
        <f ca="1">IF(H270="","",IF(D270="usdt",H270,IF(C270="Binance",VLOOKUP(E270,'Курсы Бинанса'!B:C,2,FALSE),IF(C270="bybit",VLOOKUP(E270,'Курсы Bybit'!B:C,2,FALSE),IF(C270="OKX",VLOOKUP(E270,'Курсы OKX'!A:D,4,FALSE),IF(C270="huobi",VLOOKUP(E270,'Курсы Huobi'!B:C,2,FALSE),"! укажите биржу"))))))</f>
        <v/>
      </c>
      <c r="O270" s="71" t="str">
        <f t="shared" si="22"/>
        <v/>
      </c>
      <c r="P270" s="71" t="str">
        <f t="shared" si="23"/>
        <v/>
      </c>
      <c r="Q270" s="75" t="str">
        <f t="shared" si="24"/>
        <v/>
      </c>
      <c r="R270" s="76"/>
    </row>
    <row r="271" spans="1:18" ht="14.25" customHeight="1">
      <c r="A271" s="67"/>
      <c r="B271" s="68"/>
      <c r="C271" s="69"/>
      <c r="D271" s="69" t="str">
        <f ca="1">IF(B271="","",VLOOKUP('Журнал Закупок'!$B271,'СТ Криптовалюта'!B:C,2,0))</f>
        <v/>
      </c>
      <c r="E271" s="68" t="str">
        <f t="shared" si="20"/>
        <v/>
      </c>
      <c r="F271" s="70"/>
      <c r="G271" s="71"/>
      <c r="H271" s="71"/>
      <c r="I271" s="71" t="str">
        <f t="shared" si="21"/>
        <v/>
      </c>
      <c r="J271" s="71" t="e">
        <f ca="1">IFERROR(__xludf.DUMMYFUNCTION("IF(I271="""","""",IMPORTXML(""http://www.cbr.ru/scripts/XML_daily.asp?date_req=""&amp;TEXT(A271,""DD/MM/YYYY""), ""//ValCurs/Valute[CharCode=""""USD""""]/Value"")*I271)"),"")</f>
        <v>#NAME?</v>
      </c>
      <c r="K271" s="71"/>
      <c r="L271" s="71"/>
      <c r="M271" s="71"/>
      <c r="N271" s="71" t="str">
        <f ca="1">IF(H271="","",IF(D271="usdt",H271,IF(C271="Binance",VLOOKUP(E271,'Курсы Бинанса'!B:C,2,FALSE),IF(C271="bybit",VLOOKUP(E271,'Курсы Bybit'!B:C,2,FALSE),IF(C271="OKX",VLOOKUP(E271,'Курсы OKX'!A:D,4,FALSE),IF(C271="huobi",VLOOKUP(E271,'Курсы Huobi'!B:C,2,FALSE),"! укажите биржу"))))))</f>
        <v/>
      </c>
      <c r="O271" s="71" t="str">
        <f t="shared" si="22"/>
        <v/>
      </c>
      <c r="P271" s="71" t="str">
        <f t="shared" si="23"/>
        <v/>
      </c>
      <c r="Q271" s="75" t="str">
        <f t="shared" si="24"/>
        <v/>
      </c>
      <c r="R271" s="76"/>
    </row>
    <row r="272" spans="1:18" ht="14.25" customHeight="1">
      <c r="A272" s="67"/>
      <c r="B272" s="68"/>
      <c r="C272" s="69"/>
      <c r="D272" s="69" t="str">
        <f ca="1">IF(B272="","",VLOOKUP('Журнал Закупок'!$B272,'СТ Криптовалюта'!B:C,2,0))</f>
        <v/>
      </c>
      <c r="E272" s="68" t="str">
        <f t="shared" si="20"/>
        <v/>
      </c>
      <c r="F272" s="70"/>
      <c r="G272" s="71"/>
      <c r="H272" s="71"/>
      <c r="I272" s="71" t="str">
        <f t="shared" si="21"/>
        <v/>
      </c>
      <c r="J272" s="71" t="e">
        <f ca="1">IFERROR(__xludf.DUMMYFUNCTION("IF(I272="""","""",IMPORTXML(""http://www.cbr.ru/scripts/XML_daily.asp?date_req=""&amp;TEXT(A272,""DD/MM/YYYY""), ""//ValCurs/Valute[CharCode=""""USD""""]/Value"")*I272)"),"")</f>
        <v>#NAME?</v>
      </c>
      <c r="K272" s="71"/>
      <c r="L272" s="71"/>
      <c r="M272" s="71"/>
      <c r="N272" s="71" t="str">
        <f ca="1">IF(H272="","",IF(D272="usdt",H272,IF(C272="Binance",VLOOKUP(E272,'Курсы Бинанса'!B:C,2,FALSE),IF(C272="bybit",VLOOKUP(E272,'Курсы Bybit'!B:C,2,FALSE),IF(C272="OKX",VLOOKUP(E272,'Курсы OKX'!A:D,4,FALSE),IF(C272="huobi",VLOOKUP(E272,'Курсы Huobi'!B:C,2,FALSE),"! укажите биржу"))))))</f>
        <v/>
      </c>
      <c r="O272" s="71" t="str">
        <f t="shared" si="22"/>
        <v/>
      </c>
      <c r="P272" s="71" t="str">
        <f t="shared" si="23"/>
        <v/>
      </c>
      <c r="Q272" s="75" t="str">
        <f t="shared" si="24"/>
        <v/>
      </c>
      <c r="R272" s="76"/>
    </row>
    <row r="273" spans="1:18" ht="14.25" customHeight="1">
      <c r="A273" s="67"/>
      <c r="B273" s="68"/>
      <c r="C273" s="69"/>
      <c r="D273" s="69" t="str">
        <f ca="1">IF(B273="","",VLOOKUP('Журнал Закупок'!$B273,'СТ Криптовалюта'!B:C,2,0))</f>
        <v/>
      </c>
      <c r="E273" s="68" t="str">
        <f t="shared" si="20"/>
        <v/>
      </c>
      <c r="F273" s="70"/>
      <c r="G273" s="71"/>
      <c r="H273" s="71"/>
      <c r="I273" s="71" t="str">
        <f t="shared" si="21"/>
        <v/>
      </c>
      <c r="J273" s="71" t="e">
        <f ca="1">IFERROR(__xludf.DUMMYFUNCTION("IF(I273="""","""",IMPORTXML(""http://www.cbr.ru/scripts/XML_daily.asp?date_req=""&amp;TEXT(A273,""DD/MM/YYYY""), ""//ValCurs/Valute[CharCode=""""USD""""]/Value"")*I273)"),"")</f>
        <v>#NAME?</v>
      </c>
      <c r="K273" s="71"/>
      <c r="L273" s="71"/>
      <c r="M273" s="71"/>
      <c r="N273" s="71" t="str">
        <f ca="1">IF(H273="","",IF(D273="usdt",H273,IF(C273="Binance",VLOOKUP(E273,'Курсы Бинанса'!B:C,2,FALSE),IF(C273="bybit",VLOOKUP(E273,'Курсы Bybit'!B:C,2,FALSE),IF(C273="OKX",VLOOKUP(E273,'Курсы OKX'!A:D,4,FALSE),IF(C273="huobi",VLOOKUP(E273,'Курсы Huobi'!B:C,2,FALSE),"! укажите биржу"))))))</f>
        <v/>
      </c>
      <c r="O273" s="71" t="str">
        <f t="shared" si="22"/>
        <v/>
      </c>
      <c r="P273" s="71" t="str">
        <f t="shared" si="23"/>
        <v/>
      </c>
      <c r="Q273" s="75" t="str">
        <f t="shared" si="24"/>
        <v/>
      </c>
      <c r="R273" s="76"/>
    </row>
    <row r="274" spans="1:18" ht="14.25" customHeight="1">
      <c r="A274" s="67"/>
      <c r="B274" s="68"/>
      <c r="C274" s="69"/>
      <c r="D274" s="69" t="str">
        <f ca="1">IF(B274="","",VLOOKUP('Журнал Закупок'!$B274,'СТ Криптовалюта'!B:C,2,0))</f>
        <v/>
      </c>
      <c r="E274" s="68" t="str">
        <f t="shared" si="20"/>
        <v/>
      </c>
      <c r="F274" s="70"/>
      <c r="G274" s="71"/>
      <c r="H274" s="71"/>
      <c r="I274" s="71" t="str">
        <f t="shared" si="21"/>
        <v/>
      </c>
      <c r="J274" s="71" t="e">
        <f ca="1">IFERROR(__xludf.DUMMYFUNCTION("IF(I274="""","""",IMPORTXML(""http://www.cbr.ru/scripts/XML_daily.asp?date_req=""&amp;TEXT(A274,""DD/MM/YYYY""), ""//ValCurs/Valute[CharCode=""""USD""""]/Value"")*I274)"),"")</f>
        <v>#NAME?</v>
      </c>
      <c r="K274" s="71"/>
      <c r="L274" s="71"/>
      <c r="M274" s="71"/>
      <c r="N274" s="71" t="str">
        <f ca="1">IF(H274="","",IF(D274="usdt",H274,IF(C274="Binance",VLOOKUP(E274,'Курсы Бинанса'!B:C,2,FALSE),IF(C274="bybit",VLOOKUP(E274,'Курсы Bybit'!B:C,2,FALSE),IF(C274="OKX",VLOOKUP(E274,'Курсы OKX'!A:D,4,FALSE),IF(C274="huobi",VLOOKUP(E274,'Курсы Huobi'!B:C,2,FALSE),"! укажите биржу"))))))</f>
        <v/>
      </c>
      <c r="O274" s="71" t="str">
        <f t="shared" si="22"/>
        <v/>
      </c>
      <c r="P274" s="71" t="str">
        <f t="shared" si="23"/>
        <v/>
      </c>
      <c r="Q274" s="75" t="str">
        <f t="shared" si="24"/>
        <v/>
      </c>
      <c r="R274" s="76"/>
    </row>
    <row r="275" spans="1:18" ht="14.25" customHeight="1">
      <c r="A275" s="67"/>
      <c r="B275" s="68"/>
      <c r="C275" s="69"/>
      <c r="D275" s="69" t="str">
        <f ca="1">IF(B275="","",VLOOKUP('Журнал Закупок'!$B275,'СТ Криптовалюта'!B:C,2,0))</f>
        <v/>
      </c>
      <c r="E275" s="68" t="str">
        <f t="shared" si="20"/>
        <v/>
      </c>
      <c r="F275" s="70"/>
      <c r="G275" s="71"/>
      <c r="H275" s="71"/>
      <c r="I275" s="71" t="str">
        <f t="shared" si="21"/>
        <v/>
      </c>
      <c r="J275" s="71" t="e">
        <f ca="1">IFERROR(__xludf.DUMMYFUNCTION("IF(I275="""","""",IMPORTXML(""http://www.cbr.ru/scripts/XML_daily.asp?date_req=""&amp;TEXT(A275,""DD/MM/YYYY""), ""//ValCurs/Valute[CharCode=""""USD""""]/Value"")*I275)"),"")</f>
        <v>#NAME?</v>
      </c>
      <c r="K275" s="71"/>
      <c r="L275" s="71"/>
      <c r="M275" s="71"/>
      <c r="N275" s="71" t="str">
        <f ca="1">IF(H275="","",IF(D275="usdt",H275,IF(C275="Binance",VLOOKUP(E275,'Курсы Бинанса'!B:C,2,FALSE),IF(C275="bybit",VLOOKUP(E275,'Курсы Bybit'!B:C,2,FALSE),IF(C275="OKX",VLOOKUP(E275,'Курсы OKX'!A:D,4,FALSE),IF(C275="huobi",VLOOKUP(E275,'Курсы Huobi'!B:C,2,FALSE),"! укажите биржу"))))))</f>
        <v/>
      </c>
      <c r="O275" s="71" t="str">
        <f t="shared" si="22"/>
        <v/>
      </c>
      <c r="P275" s="71" t="str">
        <f t="shared" si="23"/>
        <v/>
      </c>
      <c r="Q275" s="75" t="str">
        <f t="shared" si="24"/>
        <v/>
      </c>
      <c r="R275" s="76"/>
    </row>
    <row r="276" spans="1:18" ht="14.25" customHeight="1">
      <c r="A276" s="67"/>
      <c r="B276" s="68"/>
      <c r="C276" s="69"/>
      <c r="D276" s="69" t="str">
        <f ca="1">IF(B276="","",VLOOKUP('Журнал Закупок'!$B276,'СТ Криптовалюта'!B:C,2,0))</f>
        <v/>
      </c>
      <c r="E276" s="68" t="str">
        <f t="shared" si="20"/>
        <v/>
      </c>
      <c r="F276" s="70"/>
      <c r="G276" s="71"/>
      <c r="H276" s="71"/>
      <c r="I276" s="71" t="str">
        <f t="shared" si="21"/>
        <v/>
      </c>
      <c r="J276" s="71" t="e">
        <f ca="1">IFERROR(__xludf.DUMMYFUNCTION("IF(I276="""","""",IMPORTXML(""http://www.cbr.ru/scripts/XML_daily.asp?date_req=""&amp;TEXT(A276,""DD/MM/YYYY""), ""//ValCurs/Valute[CharCode=""""USD""""]/Value"")*I276)"),"")</f>
        <v>#NAME?</v>
      </c>
      <c r="K276" s="71"/>
      <c r="L276" s="71"/>
      <c r="M276" s="71"/>
      <c r="N276" s="71" t="str">
        <f ca="1">IF(H276="","",IF(D276="usdt",H276,IF(C276="Binance",VLOOKUP(E276,'Курсы Бинанса'!B:C,2,FALSE),IF(C276="bybit",VLOOKUP(E276,'Курсы Bybit'!B:C,2,FALSE),IF(C276="OKX",VLOOKUP(E276,'Курсы OKX'!A:D,4,FALSE),IF(C276="huobi",VLOOKUP(E276,'Курсы Huobi'!B:C,2,FALSE),"! укажите биржу"))))))</f>
        <v/>
      </c>
      <c r="O276" s="71" t="str">
        <f t="shared" si="22"/>
        <v/>
      </c>
      <c r="P276" s="71" t="str">
        <f t="shared" si="23"/>
        <v/>
      </c>
      <c r="Q276" s="75" t="str">
        <f t="shared" si="24"/>
        <v/>
      </c>
      <c r="R276" s="76"/>
    </row>
    <row r="277" spans="1:18" ht="14.25" customHeight="1">
      <c r="A277" s="67"/>
      <c r="B277" s="68"/>
      <c r="C277" s="69"/>
      <c r="D277" s="69" t="str">
        <f ca="1">IF(B277="","",VLOOKUP('Журнал Закупок'!$B277,'СТ Криптовалюта'!B:C,2,0))</f>
        <v/>
      </c>
      <c r="E277" s="68" t="str">
        <f t="shared" si="20"/>
        <v/>
      </c>
      <c r="F277" s="70"/>
      <c r="G277" s="71"/>
      <c r="H277" s="71"/>
      <c r="I277" s="71" t="str">
        <f t="shared" si="21"/>
        <v/>
      </c>
      <c r="J277" s="71" t="e">
        <f ca="1">IFERROR(__xludf.DUMMYFUNCTION("IF(I277="""","""",IMPORTXML(""http://www.cbr.ru/scripts/XML_daily.asp?date_req=""&amp;TEXT(A277,""DD/MM/YYYY""), ""//ValCurs/Valute[CharCode=""""USD""""]/Value"")*I277)"),"")</f>
        <v>#NAME?</v>
      </c>
      <c r="K277" s="71"/>
      <c r="L277" s="71"/>
      <c r="M277" s="71"/>
      <c r="N277" s="71" t="str">
        <f ca="1">IF(H277="","",IF(D277="usdt",H277,IF(C277="Binance",VLOOKUP(E277,'Курсы Бинанса'!B:C,2,FALSE),IF(C277="bybit",VLOOKUP(E277,'Курсы Bybit'!B:C,2,FALSE),IF(C277="OKX",VLOOKUP(E277,'Курсы OKX'!A:D,4,FALSE),IF(C277="huobi",VLOOKUP(E277,'Курсы Huobi'!B:C,2,FALSE),"! укажите биржу"))))))</f>
        <v/>
      </c>
      <c r="O277" s="71" t="str">
        <f t="shared" si="22"/>
        <v/>
      </c>
      <c r="P277" s="71" t="str">
        <f t="shared" si="23"/>
        <v/>
      </c>
      <c r="Q277" s="75" t="str">
        <f t="shared" si="24"/>
        <v/>
      </c>
      <c r="R277" s="76"/>
    </row>
    <row r="278" spans="1:18" ht="14.25" customHeight="1">
      <c r="A278" s="67"/>
      <c r="B278" s="68"/>
      <c r="C278" s="69"/>
      <c r="D278" s="69" t="str">
        <f ca="1">IF(B278="","",VLOOKUP('Журнал Закупок'!$B278,'СТ Криптовалюта'!B:C,2,0))</f>
        <v/>
      </c>
      <c r="E278" s="68" t="str">
        <f t="shared" si="20"/>
        <v/>
      </c>
      <c r="F278" s="70"/>
      <c r="G278" s="71"/>
      <c r="H278" s="71"/>
      <c r="I278" s="71" t="str">
        <f t="shared" si="21"/>
        <v/>
      </c>
      <c r="J278" s="71" t="e">
        <f ca="1">IFERROR(__xludf.DUMMYFUNCTION("IF(I278="""","""",IMPORTXML(""http://www.cbr.ru/scripts/XML_daily.asp?date_req=""&amp;TEXT(A278,""DD/MM/YYYY""), ""//ValCurs/Valute[CharCode=""""USD""""]/Value"")*I278)"),"")</f>
        <v>#NAME?</v>
      </c>
      <c r="K278" s="71"/>
      <c r="L278" s="71"/>
      <c r="M278" s="71"/>
      <c r="N278" s="71" t="str">
        <f ca="1">IF(H278="","",IF(D278="usdt",H278,IF(C278="Binance",VLOOKUP(E278,'Курсы Бинанса'!B:C,2,FALSE),IF(C278="bybit",VLOOKUP(E278,'Курсы Bybit'!B:C,2,FALSE),IF(C278="OKX",VLOOKUP(E278,'Курсы OKX'!A:D,4,FALSE),IF(C278="huobi",VLOOKUP(E278,'Курсы Huobi'!B:C,2,FALSE),"! укажите биржу"))))))</f>
        <v/>
      </c>
      <c r="O278" s="71" t="str">
        <f t="shared" si="22"/>
        <v/>
      </c>
      <c r="P278" s="71" t="str">
        <f t="shared" si="23"/>
        <v/>
      </c>
      <c r="Q278" s="75" t="str">
        <f t="shared" si="24"/>
        <v/>
      </c>
      <c r="R278" s="76"/>
    </row>
    <row r="279" spans="1:18" ht="14.25" customHeight="1">
      <c r="A279" s="67"/>
      <c r="B279" s="68"/>
      <c r="C279" s="69"/>
      <c r="D279" s="69" t="str">
        <f ca="1">IF(B279="","",VLOOKUP('Журнал Закупок'!$B279,'СТ Криптовалюта'!B:C,2,0))</f>
        <v/>
      </c>
      <c r="E279" s="68" t="str">
        <f t="shared" si="20"/>
        <v/>
      </c>
      <c r="F279" s="70"/>
      <c r="G279" s="71"/>
      <c r="H279" s="71"/>
      <c r="I279" s="71" t="str">
        <f t="shared" si="21"/>
        <v/>
      </c>
      <c r="J279" s="71" t="e">
        <f ca="1">IFERROR(__xludf.DUMMYFUNCTION("IF(I279="""","""",IMPORTXML(""http://www.cbr.ru/scripts/XML_daily.asp?date_req=""&amp;TEXT(A279,""DD/MM/YYYY""), ""//ValCurs/Valute[CharCode=""""USD""""]/Value"")*I279)"),"")</f>
        <v>#NAME?</v>
      </c>
      <c r="K279" s="71"/>
      <c r="L279" s="71"/>
      <c r="M279" s="71"/>
      <c r="N279" s="71" t="str">
        <f ca="1">IF(H279="","",IF(D279="usdt",H279,IF(C279="Binance",VLOOKUP(E279,'Курсы Бинанса'!B:C,2,FALSE),IF(C279="bybit",VLOOKUP(E279,'Курсы Bybit'!B:C,2,FALSE),IF(C279="OKX",VLOOKUP(E279,'Курсы OKX'!A:D,4,FALSE),IF(C279="huobi",VLOOKUP(E279,'Курсы Huobi'!B:C,2,FALSE),"! укажите биржу"))))))</f>
        <v/>
      </c>
      <c r="O279" s="71" t="str">
        <f t="shared" si="22"/>
        <v/>
      </c>
      <c r="P279" s="71" t="str">
        <f t="shared" si="23"/>
        <v/>
      </c>
      <c r="Q279" s="75" t="str">
        <f t="shared" si="24"/>
        <v/>
      </c>
      <c r="R279" s="76"/>
    </row>
    <row r="280" spans="1:18" ht="14.25" customHeight="1">
      <c r="A280" s="67"/>
      <c r="B280" s="68"/>
      <c r="C280" s="69"/>
      <c r="D280" s="69" t="str">
        <f ca="1">IF(B280="","",VLOOKUP('Журнал Закупок'!$B280,'СТ Криптовалюта'!B:C,2,0))</f>
        <v/>
      </c>
      <c r="E280" s="68" t="str">
        <f t="shared" si="20"/>
        <v/>
      </c>
      <c r="F280" s="70"/>
      <c r="G280" s="71"/>
      <c r="H280" s="71"/>
      <c r="I280" s="71" t="str">
        <f t="shared" si="21"/>
        <v/>
      </c>
      <c r="J280" s="71" t="e">
        <f ca="1">IFERROR(__xludf.DUMMYFUNCTION("IF(I280="""","""",IMPORTXML(""http://www.cbr.ru/scripts/XML_daily.asp?date_req=""&amp;TEXT(A280,""DD/MM/YYYY""), ""//ValCurs/Valute[CharCode=""""USD""""]/Value"")*I280)"),"")</f>
        <v>#NAME?</v>
      </c>
      <c r="K280" s="71"/>
      <c r="L280" s="71"/>
      <c r="M280" s="71"/>
      <c r="N280" s="71" t="str">
        <f ca="1">IF(H280="","",IF(D280="usdt",H280,IF(C280="Binance",VLOOKUP(E280,'Курсы Бинанса'!B:C,2,FALSE),IF(C280="bybit",VLOOKUP(E280,'Курсы Bybit'!B:C,2,FALSE),IF(C280="OKX",VLOOKUP(E280,'Курсы OKX'!A:D,4,FALSE),IF(C280="huobi",VLOOKUP(E280,'Курсы Huobi'!B:C,2,FALSE),"! укажите биржу"))))))</f>
        <v/>
      </c>
      <c r="O280" s="71" t="str">
        <f t="shared" si="22"/>
        <v/>
      </c>
      <c r="P280" s="71" t="str">
        <f t="shared" si="23"/>
        <v/>
      </c>
      <c r="Q280" s="75" t="str">
        <f t="shared" si="24"/>
        <v/>
      </c>
      <c r="R280" s="76"/>
    </row>
    <row r="281" spans="1:18" ht="14.25" customHeight="1">
      <c r="A281" s="67"/>
      <c r="B281" s="68"/>
      <c r="C281" s="69"/>
      <c r="D281" s="69" t="str">
        <f ca="1">IF(B281="","",VLOOKUP('Журнал Закупок'!$B281,'СТ Криптовалюта'!B:C,2,0))</f>
        <v/>
      </c>
      <c r="E281" s="68" t="str">
        <f t="shared" si="20"/>
        <v/>
      </c>
      <c r="F281" s="70"/>
      <c r="G281" s="71"/>
      <c r="H281" s="71"/>
      <c r="I281" s="71" t="str">
        <f t="shared" si="21"/>
        <v/>
      </c>
      <c r="J281" s="71" t="e">
        <f ca="1">IFERROR(__xludf.DUMMYFUNCTION("IF(I281="""","""",IMPORTXML(""http://www.cbr.ru/scripts/XML_daily.asp?date_req=""&amp;TEXT(A281,""DD/MM/YYYY""), ""//ValCurs/Valute[CharCode=""""USD""""]/Value"")*I281)"),"")</f>
        <v>#NAME?</v>
      </c>
      <c r="K281" s="71"/>
      <c r="L281" s="71"/>
      <c r="M281" s="71"/>
      <c r="N281" s="71" t="str">
        <f ca="1">IF(H281="","",IF(D281="usdt",H281,IF(C281="Binance",VLOOKUP(E281,'Курсы Бинанса'!B:C,2,FALSE),IF(C281="bybit",VLOOKUP(E281,'Курсы Bybit'!B:C,2,FALSE),IF(C281="OKX",VLOOKUP(E281,'Курсы OKX'!A:D,4,FALSE),IF(C281="huobi",VLOOKUP(E281,'Курсы Huobi'!B:C,2,FALSE),"! укажите биржу"))))))</f>
        <v/>
      </c>
      <c r="O281" s="71" t="str">
        <f t="shared" si="22"/>
        <v/>
      </c>
      <c r="P281" s="71" t="str">
        <f t="shared" si="23"/>
        <v/>
      </c>
      <c r="Q281" s="75" t="str">
        <f t="shared" si="24"/>
        <v/>
      </c>
      <c r="R281" s="76"/>
    </row>
    <row r="282" spans="1:18" ht="14.25" customHeight="1">
      <c r="A282" s="67"/>
      <c r="B282" s="68"/>
      <c r="C282" s="69"/>
      <c r="D282" s="69" t="str">
        <f ca="1">IF(B282="","",VLOOKUP('Журнал Закупок'!$B282,'СТ Криптовалюта'!B:C,2,0))</f>
        <v/>
      </c>
      <c r="E282" s="68" t="str">
        <f t="shared" si="20"/>
        <v/>
      </c>
      <c r="F282" s="70"/>
      <c r="G282" s="71"/>
      <c r="H282" s="71"/>
      <c r="I282" s="71" t="str">
        <f t="shared" si="21"/>
        <v/>
      </c>
      <c r="J282" s="71" t="e">
        <f ca="1">IFERROR(__xludf.DUMMYFUNCTION("IF(I282="""","""",IMPORTXML(""http://www.cbr.ru/scripts/XML_daily.asp?date_req=""&amp;TEXT(A282,""DD/MM/YYYY""), ""//ValCurs/Valute[CharCode=""""USD""""]/Value"")*I282)"),"")</f>
        <v>#NAME?</v>
      </c>
      <c r="K282" s="71"/>
      <c r="L282" s="71"/>
      <c r="M282" s="71"/>
      <c r="N282" s="71" t="str">
        <f ca="1">IF(H282="","",IF(D282="usdt",H282,IF(C282="Binance",VLOOKUP(E282,'Курсы Бинанса'!B:C,2,FALSE),IF(C282="bybit",VLOOKUP(E282,'Курсы Bybit'!B:C,2,FALSE),IF(C282="OKX",VLOOKUP(E282,'Курсы OKX'!A:D,4,FALSE),IF(C282="huobi",VLOOKUP(E282,'Курсы Huobi'!B:C,2,FALSE),"! укажите биржу"))))))</f>
        <v/>
      </c>
      <c r="O282" s="71" t="str">
        <f t="shared" si="22"/>
        <v/>
      </c>
      <c r="P282" s="71" t="str">
        <f t="shared" si="23"/>
        <v/>
      </c>
      <c r="Q282" s="75" t="str">
        <f t="shared" si="24"/>
        <v/>
      </c>
      <c r="R282" s="76"/>
    </row>
    <row r="283" spans="1:18" ht="14.25" customHeight="1">
      <c r="A283" s="67"/>
      <c r="B283" s="68"/>
      <c r="C283" s="69"/>
      <c r="D283" s="69" t="str">
        <f ca="1">IF(B283="","",VLOOKUP('Журнал Закупок'!$B283,'СТ Криптовалюта'!B:C,2,0))</f>
        <v/>
      </c>
      <c r="E283" s="68" t="str">
        <f t="shared" si="20"/>
        <v/>
      </c>
      <c r="F283" s="70"/>
      <c r="G283" s="71"/>
      <c r="H283" s="71"/>
      <c r="I283" s="71" t="str">
        <f t="shared" si="21"/>
        <v/>
      </c>
      <c r="J283" s="71" t="e">
        <f ca="1">IFERROR(__xludf.DUMMYFUNCTION("IF(I283="""","""",IMPORTXML(""http://www.cbr.ru/scripts/XML_daily.asp?date_req=""&amp;TEXT(A283,""DD/MM/YYYY""), ""//ValCurs/Valute[CharCode=""""USD""""]/Value"")*I283)"),"")</f>
        <v>#NAME?</v>
      </c>
      <c r="K283" s="71"/>
      <c r="L283" s="71"/>
      <c r="M283" s="71"/>
      <c r="N283" s="71" t="str">
        <f ca="1">IF(H283="","",IF(D283="usdt",H283,IF(C283="Binance",VLOOKUP(E283,'Курсы Бинанса'!B:C,2,FALSE),IF(C283="bybit",VLOOKUP(E283,'Курсы Bybit'!B:C,2,FALSE),IF(C283="OKX",VLOOKUP(E283,'Курсы OKX'!A:D,4,FALSE),IF(C283="huobi",VLOOKUP(E283,'Курсы Huobi'!B:C,2,FALSE),"! укажите биржу"))))))</f>
        <v/>
      </c>
      <c r="O283" s="71" t="str">
        <f t="shared" si="22"/>
        <v/>
      </c>
      <c r="P283" s="71" t="str">
        <f t="shared" si="23"/>
        <v/>
      </c>
      <c r="Q283" s="75" t="str">
        <f t="shared" si="24"/>
        <v/>
      </c>
      <c r="R283" s="76"/>
    </row>
    <row r="284" spans="1:18" ht="14.25" customHeight="1">
      <c r="A284" s="67"/>
      <c r="B284" s="68"/>
      <c r="C284" s="69"/>
      <c r="D284" s="69" t="str">
        <f ca="1">IF(B284="","",VLOOKUP('Журнал Закупок'!$B284,'СТ Криптовалюта'!B:C,2,0))</f>
        <v/>
      </c>
      <c r="E284" s="68" t="str">
        <f t="shared" si="20"/>
        <v/>
      </c>
      <c r="F284" s="70"/>
      <c r="G284" s="71"/>
      <c r="H284" s="71"/>
      <c r="I284" s="71" t="str">
        <f t="shared" si="21"/>
        <v/>
      </c>
      <c r="J284" s="71" t="e">
        <f ca="1">IFERROR(__xludf.DUMMYFUNCTION("IF(I284="""","""",IMPORTXML(""http://www.cbr.ru/scripts/XML_daily.asp?date_req=""&amp;TEXT(A284,""DD/MM/YYYY""), ""//ValCurs/Valute[CharCode=""""USD""""]/Value"")*I284)"),"")</f>
        <v>#NAME?</v>
      </c>
      <c r="K284" s="71"/>
      <c r="L284" s="71"/>
      <c r="M284" s="71"/>
      <c r="N284" s="71" t="str">
        <f ca="1">IF(H284="","",IF(D284="usdt",H284,IF(C284="Binance",VLOOKUP(E284,'Курсы Бинанса'!B:C,2,FALSE),IF(C284="bybit",VLOOKUP(E284,'Курсы Bybit'!B:C,2,FALSE),IF(C284="OKX",VLOOKUP(E284,'Курсы OKX'!A:D,4,FALSE),IF(C284="huobi",VLOOKUP(E284,'Курсы Huobi'!B:C,2,FALSE),"! укажите биржу"))))))</f>
        <v/>
      </c>
      <c r="O284" s="71" t="str">
        <f t="shared" si="22"/>
        <v/>
      </c>
      <c r="P284" s="71" t="str">
        <f t="shared" si="23"/>
        <v/>
      </c>
      <c r="Q284" s="75" t="str">
        <f t="shared" si="24"/>
        <v/>
      </c>
      <c r="R284" s="76"/>
    </row>
    <row r="285" spans="1:18" ht="14.25" customHeight="1">
      <c r="A285" s="67"/>
      <c r="B285" s="68"/>
      <c r="C285" s="69"/>
      <c r="D285" s="69" t="str">
        <f ca="1">IF(B285="","",VLOOKUP('Журнал Закупок'!$B285,'СТ Криптовалюта'!B:C,2,0))</f>
        <v/>
      </c>
      <c r="E285" s="68" t="str">
        <f t="shared" si="20"/>
        <v/>
      </c>
      <c r="F285" s="70"/>
      <c r="G285" s="71"/>
      <c r="H285" s="71"/>
      <c r="I285" s="71" t="str">
        <f t="shared" si="21"/>
        <v/>
      </c>
      <c r="J285" s="71" t="e">
        <f ca="1">IFERROR(__xludf.DUMMYFUNCTION("IF(I285="""","""",IMPORTXML(""http://www.cbr.ru/scripts/XML_daily.asp?date_req=""&amp;TEXT(A285,""DD/MM/YYYY""), ""//ValCurs/Valute[CharCode=""""USD""""]/Value"")*I285)"),"")</f>
        <v>#NAME?</v>
      </c>
      <c r="K285" s="71"/>
      <c r="L285" s="71"/>
      <c r="M285" s="71"/>
      <c r="N285" s="71" t="str">
        <f ca="1">IF(H285="","",IF(D285="usdt",H285,IF(C285="Binance",VLOOKUP(E285,'Курсы Бинанса'!B:C,2,FALSE),IF(C285="bybit",VLOOKUP(E285,'Курсы Bybit'!B:C,2,FALSE),IF(C285="OKX",VLOOKUP(E285,'Курсы OKX'!A:D,4,FALSE),IF(C285="huobi",VLOOKUP(E285,'Курсы Huobi'!B:C,2,FALSE),"! укажите биржу"))))))</f>
        <v/>
      </c>
      <c r="O285" s="71" t="str">
        <f t="shared" si="22"/>
        <v/>
      </c>
      <c r="P285" s="71" t="str">
        <f t="shared" si="23"/>
        <v/>
      </c>
      <c r="Q285" s="75" t="str">
        <f t="shared" si="24"/>
        <v/>
      </c>
      <c r="R285" s="76"/>
    </row>
    <row r="286" spans="1:18" ht="14.25" customHeight="1">
      <c r="A286" s="67"/>
      <c r="B286" s="68"/>
      <c r="C286" s="69"/>
      <c r="D286" s="69" t="str">
        <f ca="1">IF(B286="","",VLOOKUP('Журнал Закупок'!$B286,'СТ Криптовалюта'!B:C,2,0))</f>
        <v/>
      </c>
      <c r="E286" s="68" t="str">
        <f t="shared" si="20"/>
        <v/>
      </c>
      <c r="F286" s="70"/>
      <c r="G286" s="71"/>
      <c r="H286" s="71"/>
      <c r="I286" s="71" t="str">
        <f t="shared" si="21"/>
        <v/>
      </c>
      <c r="J286" s="71" t="e">
        <f ca="1">IFERROR(__xludf.DUMMYFUNCTION("IF(I286="""","""",IMPORTXML(""http://www.cbr.ru/scripts/XML_daily.asp?date_req=""&amp;TEXT(A286,""DD/MM/YYYY""), ""//ValCurs/Valute[CharCode=""""USD""""]/Value"")*I286)"),"")</f>
        <v>#NAME?</v>
      </c>
      <c r="K286" s="71"/>
      <c r="L286" s="71"/>
      <c r="M286" s="71"/>
      <c r="N286" s="71" t="str">
        <f ca="1">IF(H286="","",IF(D286="usdt",H286,IF(C286="Binance",VLOOKUP(E286,'Курсы Бинанса'!B:C,2,FALSE),IF(C286="bybit",VLOOKUP(E286,'Курсы Bybit'!B:C,2,FALSE),IF(C286="OKX",VLOOKUP(E286,'Курсы OKX'!A:D,4,FALSE),IF(C286="huobi",VLOOKUP(E286,'Курсы Huobi'!B:C,2,FALSE),"! укажите биржу"))))))</f>
        <v/>
      </c>
      <c r="O286" s="71" t="str">
        <f t="shared" si="22"/>
        <v/>
      </c>
      <c r="P286" s="71" t="str">
        <f t="shared" si="23"/>
        <v/>
      </c>
      <c r="Q286" s="75" t="str">
        <f t="shared" si="24"/>
        <v/>
      </c>
      <c r="R286" s="76"/>
    </row>
    <row r="287" spans="1:18" ht="14.25" customHeight="1">
      <c r="A287" s="67"/>
      <c r="B287" s="68"/>
      <c r="C287" s="69"/>
      <c r="D287" s="69" t="str">
        <f ca="1">IF(B287="","",VLOOKUP('Журнал Закупок'!$B287,'СТ Криптовалюта'!B:C,2,0))</f>
        <v/>
      </c>
      <c r="E287" s="68" t="str">
        <f t="shared" si="20"/>
        <v/>
      </c>
      <c r="F287" s="70"/>
      <c r="G287" s="71"/>
      <c r="H287" s="71"/>
      <c r="I287" s="71" t="str">
        <f t="shared" si="21"/>
        <v/>
      </c>
      <c r="J287" s="71" t="e">
        <f ca="1">IFERROR(__xludf.DUMMYFUNCTION("IF(I287="""","""",IMPORTXML(""http://www.cbr.ru/scripts/XML_daily.asp?date_req=""&amp;TEXT(A287,""DD/MM/YYYY""), ""//ValCurs/Valute[CharCode=""""USD""""]/Value"")*I287)"),"")</f>
        <v>#NAME?</v>
      </c>
      <c r="K287" s="71"/>
      <c r="L287" s="71"/>
      <c r="M287" s="71"/>
      <c r="N287" s="71" t="str">
        <f ca="1">IF(H287="","",IF(D287="usdt",H287,IF(C287="Binance",VLOOKUP(E287,'Курсы Бинанса'!B:C,2,FALSE),IF(C287="bybit",VLOOKUP(E287,'Курсы Bybit'!B:C,2,FALSE),IF(C287="OKX",VLOOKUP(E287,'Курсы OKX'!A:D,4,FALSE),IF(C287="huobi",VLOOKUP(E287,'Курсы Huobi'!B:C,2,FALSE),"! укажите биржу"))))))</f>
        <v/>
      </c>
      <c r="O287" s="71" t="str">
        <f t="shared" si="22"/>
        <v/>
      </c>
      <c r="P287" s="71" t="str">
        <f t="shared" si="23"/>
        <v/>
      </c>
      <c r="Q287" s="75" t="str">
        <f t="shared" si="24"/>
        <v/>
      </c>
      <c r="R287" s="76"/>
    </row>
    <row r="288" spans="1:18" ht="14.25" customHeight="1">
      <c r="A288" s="67"/>
      <c r="B288" s="68"/>
      <c r="C288" s="69"/>
      <c r="D288" s="69" t="str">
        <f ca="1">IF(B288="","",VLOOKUP('Журнал Закупок'!$B288,'СТ Криптовалюта'!B:C,2,0))</f>
        <v/>
      </c>
      <c r="E288" s="68" t="str">
        <f t="shared" si="20"/>
        <v/>
      </c>
      <c r="F288" s="70"/>
      <c r="G288" s="71"/>
      <c r="H288" s="71"/>
      <c r="I288" s="71" t="str">
        <f t="shared" si="21"/>
        <v/>
      </c>
      <c r="J288" s="71" t="e">
        <f ca="1">IFERROR(__xludf.DUMMYFUNCTION("IF(I288="""","""",IMPORTXML(""http://www.cbr.ru/scripts/XML_daily.asp?date_req=""&amp;TEXT(A288,""DD/MM/YYYY""), ""//ValCurs/Valute[CharCode=""""USD""""]/Value"")*I288)"),"")</f>
        <v>#NAME?</v>
      </c>
      <c r="K288" s="71"/>
      <c r="L288" s="71"/>
      <c r="M288" s="71"/>
      <c r="N288" s="71" t="str">
        <f ca="1">IF(H288="","",IF(D288="usdt",H288,IF(C288="Binance",VLOOKUP(E288,'Курсы Бинанса'!B:C,2,FALSE),IF(C288="bybit",VLOOKUP(E288,'Курсы Bybit'!B:C,2,FALSE),IF(C288="OKX",VLOOKUP(E288,'Курсы OKX'!A:D,4,FALSE),IF(C288="huobi",VLOOKUP(E288,'Курсы Huobi'!B:C,2,FALSE),"! укажите биржу"))))))</f>
        <v/>
      </c>
      <c r="O288" s="71" t="str">
        <f t="shared" si="22"/>
        <v/>
      </c>
      <c r="P288" s="71" t="str">
        <f t="shared" si="23"/>
        <v/>
      </c>
      <c r="Q288" s="75" t="str">
        <f t="shared" si="24"/>
        <v/>
      </c>
      <c r="R288" s="76"/>
    </row>
    <row r="289" spans="1:18" ht="14.25" customHeight="1">
      <c r="A289" s="67"/>
      <c r="B289" s="68"/>
      <c r="C289" s="69"/>
      <c r="D289" s="69" t="str">
        <f ca="1">IF(B289="","",VLOOKUP('Журнал Закупок'!$B289,'СТ Криптовалюта'!B:C,2,0))</f>
        <v/>
      </c>
      <c r="E289" s="68" t="str">
        <f t="shared" si="20"/>
        <v/>
      </c>
      <c r="F289" s="70"/>
      <c r="G289" s="71"/>
      <c r="H289" s="71"/>
      <c r="I289" s="71" t="str">
        <f t="shared" si="21"/>
        <v/>
      </c>
      <c r="J289" s="71" t="e">
        <f ca="1">IFERROR(__xludf.DUMMYFUNCTION("IF(I289="""","""",IMPORTXML(""http://www.cbr.ru/scripts/XML_daily.asp?date_req=""&amp;TEXT(A289,""DD/MM/YYYY""), ""//ValCurs/Valute[CharCode=""""USD""""]/Value"")*I289)"),"")</f>
        <v>#NAME?</v>
      </c>
      <c r="K289" s="71"/>
      <c r="L289" s="71"/>
      <c r="M289" s="71"/>
      <c r="N289" s="71" t="str">
        <f ca="1">IF(H289="","",IF(D289="usdt",H289,IF(C289="Binance",VLOOKUP(E289,'Курсы Бинанса'!B:C,2,FALSE),IF(C289="bybit",VLOOKUP(E289,'Курсы Bybit'!B:C,2,FALSE),IF(C289="OKX",VLOOKUP(E289,'Курсы OKX'!A:D,4,FALSE),IF(C289="huobi",VLOOKUP(E289,'Курсы Huobi'!B:C,2,FALSE),"! укажите биржу"))))))</f>
        <v/>
      </c>
      <c r="O289" s="71" t="str">
        <f t="shared" si="22"/>
        <v/>
      </c>
      <c r="P289" s="71" t="str">
        <f t="shared" si="23"/>
        <v/>
      </c>
      <c r="Q289" s="75" t="str">
        <f t="shared" si="24"/>
        <v/>
      </c>
      <c r="R289" s="76"/>
    </row>
    <row r="290" spans="1:18" ht="14.25" customHeight="1">
      <c r="A290" s="67"/>
      <c r="B290" s="68"/>
      <c r="C290" s="69"/>
      <c r="D290" s="69" t="str">
        <f ca="1">IF(B290="","",VLOOKUP('Журнал Закупок'!$B290,'СТ Криптовалюта'!B:C,2,0))</f>
        <v/>
      </c>
      <c r="E290" s="68" t="str">
        <f t="shared" si="20"/>
        <v/>
      </c>
      <c r="F290" s="70"/>
      <c r="G290" s="71"/>
      <c r="H290" s="71"/>
      <c r="I290" s="71" t="str">
        <f t="shared" si="21"/>
        <v/>
      </c>
      <c r="J290" s="71" t="e">
        <f ca="1">IFERROR(__xludf.DUMMYFUNCTION("IF(I290="""","""",IMPORTXML(""http://www.cbr.ru/scripts/XML_daily.asp?date_req=""&amp;TEXT(A290,""DD/MM/YYYY""), ""//ValCurs/Valute[CharCode=""""USD""""]/Value"")*I290)"),"")</f>
        <v>#NAME?</v>
      </c>
      <c r="K290" s="71"/>
      <c r="L290" s="71"/>
      <c r="M290" s="71"/>
      <c r="N290" s="71" t="str">
        <f ca="1">IF(H290="","",IF(D290="usdt",H290,IF(C290="Binance",VLOOKUP(E290,'Курсы Бинанса'!B:C,2,FALSE),IF(C290="bybit",VLOOKUP(E290,'Курсы Bybit'!B:C,2,FALSE),IF(C290="OKX",VLOOKUP(E290,'Курсы OKX'!A:D,4,FALSE),IF(C290="huobi",VLOOKUP(E290,'Курсы Huobi'!B:C,2,FALSE),"! укажите биржу"))))))</f>
        <v/>
      </c>
      <c r="O290" s="71" t="str">
        <f t="shared" si="22"/>
        <v/>
      </c>
      <c r="P290" s="71" t="str">
        <f t="shared" si="23"/>
        <v/>
      </c>
      <c r="Q290" s="75" t="str">
        <f t="shared" si="24"/>
        <v/>
      </c>
      <c r="R290" s="76"/>
    </row>
    <row r="291" spans="1:18" ht="14.25" customHeight="1">
      <c r="A291" s="67"/>
      <c r="B291" s="68"/>
      <c r="C291" s="69"/>
      <c r="D291" s="69" t="str">
        <f ca="1">IF(B291="","",VLOOKUP('Журнал Закупок'!$B291,'СТ Криптовалюта'!B:C,2,0))</f>
        <v/>
      </c>
      <c r="E291" s="68" t="str">
        <f t="shared" si="20"/>
        <v/>
      </c>
      <c r="F291" s="70"/>
      <c r="G291" s="71"/>
      <c r="H291" s="71"/>
      <c r="I291" s="71" t="str">
        <f t="shared" si="21"/>
        <v/>
      </c>
      <c r="J291" s="71" t="e">
        <f ca="1">IFERROR(__xludf.DUMMYFUNCTION("IF(I291="""","""",IMPORTXML(""http://www.cbr.ru/scripts/XML_daily.asp?date_req=""&amp;TEXT(A291,""DD/MM/YYYY""), ""//ValCurs/Valute[CharCode=""""USD""""]/Value"")*I291)"),"")</f>
        <v>#NAME?</v>
      </c>
      <c r="K291" s="71"/>
      <c r="L291" s="71"/>
      <c r="M291" s="71"/>
      <c r="N291" s="71" t="str">
        <f ca="1">IF(H291="","",IF(D291="usdt",H291,IF(C291="Binance",VLOOKUP(E291,'Курсы Бинанса'!B:C,2,FALSE),IF(C291="bybit",VLOOKUP(E291,'Курсы Bybit'!B:C,2,FALSE),IF(C291="OKX",VLOOKUP(E291,'Курсы OKX'!A:D,4,FALSE),IF(C291="huobi",VLOOKUP(E291,'Курсы Huobi'!B:C,2,FALSE),"! укажите биржу"))))))</f>
        <v/>
      </c>
      <c r="O291" s="71" t="str">
        <f t="shared" si="22"/>
        <v/>
      </c>
      <c r="P291" s="71" t="str">
        <f t="shared" si="23"/>
        <v/>
      </c>
      <c r="Q291" s="75" t="str">
        <f t="shared" si="24"/>
        <v/>
      </c>
      <c r="R291" s="76"/>
    </row>
    <row r="292" spans="1:18" ht="14.25" customHeight="1">
      <c r="A292" s="67"/>
      <c r="B292" s="68"/>
      <c r="C292" s="69"/>
      <c r="D292" s="69" t="str">
        <f ca="1">IF(B292="","",VLOOKUP('Журнал Закупок'!$B292,'СТ Криптовалюта'!B:C,2,0))</f>
        <v/>
      </c>
      <c r="E292" s="68" t="str">
        <f t="shared" si="20"/>
        <v/>
      </c>
      <c r="F292" s="70"/>
      <c r="G292" s="71"/>
      <c r="H292" s="71"/>
      <c r="I292" s="71" t="str">
        <f t="shared" si="21"/>
        <v/>
      </c>
      <c r="J292" s="71" t="e">
        <f ca="1">IFERROR(__xludf.DUMMYFUNCTION("IF(I292="""","""",IMPORTXML(""http://www.cbr.ru/scripts/XML_daily.asp?date_req=""&amp;TEXT(A292,""DD/MM/YYYY""), ""//ValCurs/Valute[CharCode=""""USD""""]/Value"")*I292)"),"")</f>
        <v>#NAME?</v>
      </c>
      <c r="K292" s="71"/>
      <c r="L292" s="71"/>
      <c r="M292" s="71"/>
      <c r="N292" s="71" t="str">
        <f ca="1">IF(H292="","",IF(D292="usdt",H292,IF(C292="Binance",VLOOKUP(E292,'Курсы Бинанса'!B:C,2,FALSE),IF(C292="bybit",VLOOKUP(E292,'Курсы Bybit'!B:C,2,FALSE),IF(C292="OKX",VLOOKUP(E292,'Курсы OKX'!A:D,4,FALSE),IF(C292="huobi",VLOOKUP(E292,'Курсы Huobi'!B:C,2,FALSE),"! укажите биржу"))))))</f>
        <v/>
      </c>
      <c r="O292" s="71" t="str">
        <f t="shared" si="22"/>
        <v/>
      </c>
      <c r="P292" s="71" t="str">
        <f t="shared" si="23"/>
        <v/>
      </c>
      <c r="Q292" s="75" t="str">
        <f t="shared" si="24"/>
        <v/>
      </c>
      <c r="R292" s="76"/>
    </row>
    <row r="293" spans="1:18" ht="14.25" customHeight="1">
      <c r="A293" s="67"/>
      <c r="B293" s="68"/>
      <c r="C293" s="69"/>
      <c r="D293" s="69" t="str">
        <f ca="1">IF(B293="","",VLOOKUP('Журнал Закупок'!$B293,'СТ Криптовалюта'!B:C,2,0))</f>
        <v/>
      </c>
      <c r="E293" s="68" t="str">
        <f t="shared" si="20"/>
        <v/>
      </c>
      <c r="F293" s="70"/>
      <c r="G293" s="71"/>
      <c r="H293" s="71"/>
      <c r="I293" s="71" t="str">
        <f t="shared" si="21"/>
        <v/>
      </c>
      <c r="J293" s="71" t="e">
        <f ca="1">IFERROR(__xludf.DUMMYFUNCTION("IF(I293="""","""",IMPORTXML(""http://www.cbr.ru/scripts/XML_daily.asp?date_req=""&amp;TEXT(A293,""DD/MM/YYYY""), ""//ValCurs/Valute[CharCode=""""USD""""]/Value"")*I293)"),"")</f>
        <v>#NAME?</v>
      </c>
      <c r="K293" s="71"/>
      <c r="L293" s="71"/>
      <c r="M293" s="71"/>
      <c r="N293" s="71" t="str">
        <f ca="1">IF(H293="","",IF(D293="usdt",H293,IF(C293="Binance",VLOOKUP(E293,'Курсы Бинанса'!B:C,2,FALSE),IF(C293="bybit",VLOOKUP(E293,'Курсы Bybit'!B:C,2,FALSE),IF(C293="OKX",VLOOKUP(E293,'Курсы OKX'!A:D,4,FALSE),IF(C293="huobi",VLOOKUP(E293,'Курсы Huobi'!B:C,2,FALSE),"! укажите биржу"))))))</f>
        <v/>
      </c>
      <c r="O293" s="71" t="str">
        <f t="shared" si="22"/>
        <v/>
      </c>
      <c r="P293" s="71" t="str">
        <f t="shared" si="23"/>
        <v/>
      </c>
      <c r="Q293" s="75" t="str">
        <f t="shared" si="24"/>
        <v/>
      </c>
      <c r="R293" s="76"/>
    </row>
    <row r="294" spans="1:18" ht="14.25" customHeight="1">
      <c r="A294" s="67"/>
      <c r="B294" s="68"/>
      <c r="C294" s="69"/>
      <c r="D294" s="69" t="str">
        <f ca="1">IF(B294="","",VLOOKUP('Журнал Закупок'!$B294,'СТ Криптовалюта'!B:C,2,0))</f>
        <v/>
      </c>
      <c r="E294" s="68" t="str">
        <f t="shared" si="20"/>
        <v/>
      </c>
      <c r="F294" s="70"/>
      <c r="G294" s="71"/>
      <c r="H294" s="71"/>
      <c r="I294" s="71" t="str">
        <f t="shared" si="21"/>
        <v/>
      </c>
      <c r="J294" s="71" t="e">
        <f ca="1">IFERROR(__xludf.DUMMYFUNCTION("IF(I294="""","""",IMPORTXML(""http://www.cbr.ru/scripts/XML_daily.asp?date_req=""&amp;TEXT(A294,""DD/MM/YYYY""), ""//ValCurs/Valute[CharCode=""""USD""""]/Value"")*I294)"),"")</f>
        <v>#NAME?</v>
      </c>
      <c r="K294" s="71"/>
      <c r="L294" s="71"/>
      <c r="M294" s="71"/>
      <c r="N294" s="71" t="str">
        <f ca="1">IF(H294="","",IF(D294="usdt",H294,IF(C294="Binance",VLOOKUP(E294,'Курсы Бинанса'!B:C,2,FALSE),IF(C294="bybit",VLOOKUP(E294,'Курсы Bybit'!B:C,2,FALSE),IF(C294="OKX",VLOOKUP(E294,'Курсы OKX'!A:D,4,FALSE),IF(C294="huobi",VLOOKUP(E294,'Курсы Huobi'!B:C,2,FALSE),"! укажите биржу"))))))</f>
        <v/>
      </c>
      <c r="O294" s="71" t="str">
        <f t="shared" si="22"/>
        <v/>
      </c>
      <c r="P294" s="71" t="str">
        <f t="shared" si="23"/>
        <v/>
      </c>
      <c r="Q294" s="75" t="str">
        <f t="shared" si="24"/>
        <v/>
      </c>
      <c r="R294" s="76"/>
    </row>
    <row r="295" spans="1:18" ht="14.25" customHeight="1">
      <c r="A295" s="67"/>
      <c r="B295" s="68"/>
      <c r="C295" s="69"/>
      <c r="D295" s="69" t="str">
        <f ca="1">IF(B295="","",VLOOKUP('Журнал Закупок'!$B295,'СТ Криптовалюта'!B:C,2,0))</f>
        <v/>
      </c>
      <c r="E295" s="68" t="str">
        <f t="shared" si="20"/>
        <v/>
      </c>
      <c r="F295" s="70"/>
      <c r="G295" s="71"/>
      <c r="H295" s="71"/>
      <c r="I295" s="71" t="str">
        <f t="shared" si="21"/>
        <v/>
      </c>
      <c r="J295" s="71" t="e">
        <f ca="1">IFERROR(__xludf.DUMMYFUNCTION("IF(I295="""","""",IMPORTXML(""http://www.cbr.ru/scripts/XML_daily.asp?date_req=""&amp;TEXT(A295,""DD/MM/YYYY""), ""//ValCurs/Valute[CharCode=""""USD""""]/Value"")*I295)"),"")</f>
        <v>#NAME?</v>
      </c>
      <c r="K295" s="71"/>
      <c r="L295" s="71"/>
      <c r="M295" s="71"/>
      <c r="N295" s="71" t="str">
        <f ca="1">IF(H295="","",IF(D295="usdt",H295,IF(C295="Binance",VLOOKUP(E295,'Курсы Бинанса'!B:C,2,FALSE),IF(C295="bybit",VLOOKUP(E295,'Курсы Bybit'!B:C,2,FALSE),IF(C295="OKX",VLOOKUP(E295,'Курсы OKX'!A:D,4,FALSE),IF(C295="huobi",VLOOKUP(E295,'Курсы Huobi'!B:C,2,FALSE),"! укажите биржу"))))))</f>
        <v/>
      </c>
      <c r="O295" s="71" t="str">
        <f t="shared" si="22"/>
        <v/>
      </c>
      <c r="P295" s="71" t="str">
        <f t="shared" si="23"/>
        <v/>
      </c>
      <c r="Q295" s="75" t="str">
        <f t="shared" si="24"/>
        <v/>
      </c>
      <c r="R295" s="76"/>
    </row>
    <row r="296" spans="1:18" ht="14.25" customHeight="1">
      <c r="A296" s="67"/>
      <c r="B296" s="68"/>
      <c r="C296" s="69"/>
      <c r="D296" s="69" t="str">
        <f ca="1">IF(B296="","",VLOOKUP('Журнал Закупок'!$B296,'СТ Криптовалюта'!B:C,2,0))</f>
        <v/>
      </c>
      <c r="E296" s="68" t="str">
        <f t="shared" si="20"/>
        <v/>
      </c>
      <c r="F296" s="70"/>
      <c r="G296" s="71"/>
      <c r="H296" s="71"/>
      <c r="I296" s="71" t="str">
        <f t="shared" si="21"/>
        <v/>
      </c>
      <c r="J296" s="71" t="e">
        <f ca="1">IFERROR(__xludf.DUMMYFUNCTION("IF(I296="""","""",IMPORTXML(""http://www.cbr.ru/scripts/XML_daily.asp?date_req=""&amp;TEXT(A296,""DD/MM/YYYY""), ""//ValCurs/Valute[CharCode=""""USD""""]/Value"")*I296)"),"")</f>
        <v>#NAME?</v>
      </c>
      <c r="K296" s="71"/>
      <c r="L296" s="71"/>
      <c r="M296" s="71"/>
      <c r="N296" s="71" t="str">
        <f ca="1">IF(H296="","",IF(D296="usdt",H296,IF(C296="Binance",VLOOKUP(E296,'Курсы Бинанса'!B:C,2,FALSE),IF(C296="bybit",VLOOKUP(E296,'Курсы Bybit'!B:C,2,FALSE),IF(C296="OKX",VLOOKUP(E296,'Курсы OKX'!A:D,4,FALSE),IF(C296="huobi",VLOOKUP(E296,'Курсы Huobi'!B:C,2,FALSE),"! укажите биржу"))))))</f>
        <v/>
      </c>
      <c r="O296" s="71" t="str">
        <f t="shared" si="22"/>
        <v/>
      </c>
      <c r="P296" s="71" t="str">
        <f t="shared" si="23"/>
        <v/>
      </c>
      <c r="Q296" s="75" t="str">
        <f t="shared" si="24"/>
        <v/>
      </c>
      <c r="R296" s="76"/>
    </row>
    <row r="297" spans="1:18" ht="14.25" customHeight="1">
      <c r="A297" s="67"/>
      <c r="B297" s="68"/>
      <c r="C297" s="69"/>
      <c r="D297" s="69" t="str">
        <f ca="1">IF(B297="","",VLOOKUP('Журнал Закупок'!$B297,'СТ Криптовалюта'!B:C,2,0))</f>
        <v/>
      </c>
      <c r="E297" s="68" t="str">
        <f t="shared" si="20"/>
        <v/>
      </c>
      <c r="F297" s="70"/>
      <c r="G297" s="71"/>
      <c r="H297" s="71"/>
      <c r="I297" s="71" t="str">
        <f t="shared" si="21"/>
        <v/>
      </c>
      <c r="J297" s="71" t="e">
        <f ca="1">IFERROR(__xludf.DUMMYFUNCTION("IF(I297="""","""",IMPORTXML(""http://www.cbr.ru/scripts/XML_daily.asp?date_req=""&amp;TEXT(A297,""DD/MM/YYYY""), ""//ValCurs/Valute[CharCode=""""USD""""]/Value"")*I297)"),"")</f>
        <v>#NAME?</v>
      </c>
      <c r="K297" s="71"/>
      <c r="L297" s="71"/>
      <c r="M297" s="71"/>
      <c r="N297" s="71" t="str">
        <f ca="1">IF(H297="","",IF(D297="usdt",H297,IF(C297="Binance",VLOOKUP(E297,'Курсы Бинанса'!B:C,2,FALSE),IF(C297="bybit",VLOOKUP(E297,'Курсы Bybit'!B:C,2,FALSE),IF(C297="OKX",VLOOKUP(E297,'Курсы OKX'!A:D,4,FALSE),IF(C297="huobi",VLOOKUP(E297,'Курсы Huobi'!B:C,2,FALSE),"! укажите биржу"))))))</f>
        <v/>
      </c>
      <c r="O297" s="71" t="str">
        <f t="shared" si="22"/>
        <v/>
      </c>
      <c r="P297" s="71" t="str">
        <f t="shared" si="23"/>
        <v/>
      </c>
      <c r="Q297" s="75" t="str">
        <f t="shared" si="24"/>
        <v/>
      </c>
      <c r="R297" s="76"/>
    </row>
    <row r="298" spans="1:18" ht="14.25" customHeight="1">
      <c r="A298" s="67"/>
      <c r="B298" s="68"/>
      <c r="C298" s="69"/>
      <c r="D298" s="69" t="str">
        <f ca="1">IF(B298="","",VLOOKUP('Журнал Закупок'!$B298,'СТ Криптовалюта'!B:C,2,0))</f>
        <v/>
      </c>
      <c r="E298" s="68" t="str">
        <f t="shared" si="20"/>
        <v/>
      </c>
      <c r="F298" s="70"/>
      <c r="G298" s="71"/>
      <c r="H298" s="71"/>
      <c r="I298" s="71" t="str">
        <f t="shared" si="21"/>
        <v/>
      </c>
      <c r="J298" s="71" t="e">
        <f ca="1">IFERROR(__xludf.DUMMYFUNCTION("IF(I298="""","""",IMPORTXML(""http://www.cbr.ru/scripts/XML_daily.asp?date_req=""&amp;TEXT(A298,""DD/MM/YYYY""), ""//ValCurs/Valute[CharCode=""""USD""""]/Value"")*I298)"),"")</f>
        <v>#NAME?</v>
      </c>
      <c r="K298" s="71"/>
      <c r="L298" s="71"/>
      <c r="M298" s="71"/>
      <c r="N298" s="71" t="str">
        <f ca="1">IF(H298="","",IF(D298="usdt",H298,IF(C298="Binance",VLOOKUP(E298,'Курсы Бинанса'!B:C,2,FALSE),IF(C298="bybit",VLOOKUP(E298,'Курсы Bybit'!B:C,2,FALSE),IF(C298="OKX",VLOOKUP(E298,'Курсы OKX'!A:D,4,FALSE),IF(C298="huobi",VLOOKUP(E298,'Курсы Huobi'!B:C,2,FALSE),"! укажите биржу"))))))</f>
        <v/>
      </c>
      <c r="O298" s="71" t="str">
        <f t="shared" si="22"/>
        <v/>
      </c>
      <c r="P298" s="71" t="str">
        <f t="shared" si="23"/>
        <v/>
      </c>
      <c r="Q298" s="75" t="str">
        <f t="shared" si="24"/>
        <v/>
      </c>
      <c r="R298" s="76"/>
    </row>
    <row r="299" spans="1:18" ht="14.25" customHeight="1">
      <c r="A299" s="67"/>
      <c r="B299" s="68"/>
      <c r="C299" s="69"/>
      <c r="D299" s="69" t="str">
        <f ca="1">IF(B299="","",VLOOKUP('Журнал Закупок'!$B299,'СТ Криптовалюта'!B:C,2,0))</f>
        <v/>
      </c>
      <c r="E299" s="68" t="str">
        <f t="shared" si="20"/>
        <v/>
      </c>
      <c r="F299" s="70"/>
      <c r="G299" s="71"/>
      <c r="H299" s="71"/>
      <c r="I299" s="71" t="str">
        <f t="shared" si="21"/>
        <v/>
      </c>
      <c r="J299" s="71" t="e">
        <f ca="1">IFERROR(__xludf.DUMMYFUNCTION("IF(I299="""","""",IMPORTXML(""http://www.cbr.ru/scripts/XML_daily.asp?date_req=""&amp;TEXT(A299,""DD/MM/YYYY""), ""//ValCurs/Valute[CharCode=""""USD""""]/Value"")*I299)"),"")</f>
        <v>#NAME?</v>
      </c>
      <c r="K299" s="71"/>
      <c r="L299" s="71"/>
      <c r="M299" s="71"/>
      <c r="N299" s="71" t="str">
        <f ca="1">IF(H299="","",IF(D299="usdt",H299,IF(C299="Binance",VLOOKUP(E299,'Курсы Бинанса'!B:C,2,FALSE),IF(C299="bybit",VLOOKUP(E299,'Курсы Bybit'!B:C,2,FALSE),IF(C299="OKX",VLOOKUP(E299,'Курсы OKX'!A:D,4,FALSE),IF(C299="huobi",VLOOKUP(E299,'Курсы Huobi'!B:C,2,FALSE),"! укажите биржу"))))))</f>
        <v/>
      </c>
      <c r="O299" s="71" t="str">
        <f t="shared" si="22"/>
        <v/>
      </c>
      <c r="P299" s="71" t="str">
        <f t="shared" si="23"/>
        <v/>
      </c>
      <c r="Q299" s="75" t="str">
        <f t="shared" si="24"/>
        <v/>
      </c>
      <c r="R299" s="76"/>
    </row>
    <row r="300" spans="1:18" ht="14.25" customHeight="1">
      <c r="A300" s="67"/>
      <c r="B300" s="68"/>
      <c r="C300" s="69"/>
      <c r="D300" s="69" t="str">
        <f ca="1">IF(B300="","",VLOOKUP('Журнал Закупок'!$B300,'СТ Криптовалюта'!B:C,2,0))</f>
        <v/>
      </c>
      <c r="E300" s="68" t="str">
        <f t="shared" si="20"/>
        <v/>
      </c>
      <c r="F300" s="70"/>
      <c r="G300" s="71"/>
      <c r="H300" s="71"/>
      <c r="I300" s="71" t="str">
        <f t="shared" si="21"/>
        <v/>
      </c>
      <c r="J300" s="71" t="e">
        <f ca="1">IFERROR(__xludf.DUMMYFUNCTION("IF(I300="""","""",IMPORTXML(""http://www.cbr.ru/scripts/XML_daily.asp?date_req=""&amp;TEXT(A300,""DD/MM/YYYY""), ""//ValCurs/Valute[CharCode=""""USD""""]/Value"")*I300)"),"")</f>
        <v>#NAME?</v>
      </c>
      <c r="K300" s="71"/>
      <c r="L300" s="71"/>
      <c r="M300" s="71"/>
      <c r="N300" s="71" t="str">
        <f ca="1">IF(H300="","",IF(D300="usdt",H300,IF(C300="Binance",VLOOKUP(E300,'Курсы Бинанса'!B:C,2,FALSE),IF(C300="bybit",VLOOKUP(E300,'Курсы Bybit'!B:C,2,FALSE),IF(C300="OKX",VLOOKUP(E300,'Курсы OKX'!A:D,4,FALSE),IF(C300="huobi",VLOOKUP(E300,'Курсы Huobi'!B:C,2,FALSE),"! укажите биржу"))))))</f>
        <v/>
      </c>
      <c r="O300" s="71" t="str">
        <f t="shared" si="22"/>
        <v/>
      </c>
      <c r="P300" s="71" t="str">
        <f t="shared" si="23"/>
        <v/>
      </c>
      <c r="Q300" s="75" t="str">
        <f t="shared" si="24"/>
        <v/>
      </c>
      <c r="R300" s="76"/>
    </row>
    <row r="301" spans="1:18" ht="14.25" customHeight="1">
      <c r="A301" s="67"/>
      <c r="B301" s="68"/>
      <c r="C301" s="69"/>
      <c r="D301" s="69" t="str">
        <f ca="1">IF(B301="","",VLOOKUP('Журнал Закупок'!$B301,'СТ Криптовалюта'!B:C,2,0))</f>
        <v/>
      </c>
      <c r="E301" s="68" t="str">
        <f t="shared" si="20"/>
        <v/>
      </c>
      <c r="F301" s="70"/>
      <c r="G301" s="71"/>
      <c r="H301" s="71"/>
      <c r="I301" s="71" t="str">
        <f t="shared" si="21"/>
        <v/>
      </c>
      <c r="J301" s="71" t="e">
        <f ca="1">IFERROR(__xludf.DUMMYFUNCTION("IF(I301="""","""",IMPORTXML(""http://www.cbr.ru/scripts/XML_daily.asp?date_req=""&amp;TEXT(A301,""DD/MM/YYYY""), ""//ValCurs/Valute[CharCode=""""USD""""]/Value"")*I301)"),"")</f>
        <v>#NAME?</v>
      </c>
      <c r="K301" s="71"/>
      <c r="L301" s="71"/>
      <c r="M301" s="71"/>
      <c r="N301" s="71" t="str">
        <f ca="1">IF(H301="","",IF(D301="usdt",H301,IF(C301="Binance",VLOOKUP(E301,'Курсы Бинанса'!B:C,2,FALSE),IF(C301="bybit",VLOOKUP(E301,'Курсы Bybit'!B:C,2,FALSE),IF(C301="OKX",VLOOKUP(E301,'Курсы OKX'!A:D,4,FALSE),IF(C301="huobi",VLOOKUP(E301,'Курсы Huobi'!B:C,2,FALSE),"! укажите биржу"))))))</f>
        <v/>
      </c>
      <c r="O301" s="71" t="str">
        <f t="shared" si="22"/>
        <v/>
      </c>
      <c r="P301" s="71" t="str">
        <f t="shared" si="23"/>
        <v/>
      </c>
      <c r="Q301" s="75" t="str">
        <f t="shared" si="24"/>
        <v/>
      </c>
      <c r="R301" s="76"/>
    </row>
    <row r="302" spans="1:18" ht="14.25" customHeight="1">
      <c r="A302" s="67"/>
      <c r="B302" s="68"/>
      <c r="C302" s="69"/>
      <c r="D302" s="69" t="str">
        <f ca="1">IF(B302="","",VLOOKUP('Журнал Закупок'!$B302,'СТ Криптовалюта'!B:C,2,0))</f>
        <v/>
      </c>
      <c r="E302" s="68" t="str">
        <f t="shared" ref="E302:E365" si="25">IF(D302="","",CONCATENATE(D302,"USDT"))</f>
        <v/>
      </c>
      <c r="F302" s="70"/>
      <c r="G302" s="71"/>
      <c r="H302" s="71"/>
      <c r="I302" s="71" t="str">
        <f t="shared" ref="I302:I365" si="26">IF(H302="","",ROUND(G302*H302,5))</f>
        <v/>
      </c>
      <c r="J302" s="71" t="e">
        <f ca="1">IFERROR(__xludf.DUMMYFUNCTION("IF(I302="""","""",IMPORTXML(""http://www.cbr.ru/scripts/XML_daily.asp?date_req=""&amp;TEXT(A302,""DD/MM/YYYY""), ""//ValCurs/Valute[CharCode=""""USD""""]/Value"")*I302)"),"")</f>
        <v>#NAME?</v>
      </c>
      <c r="K302" s="71"/>
      <c r="L302" s="71"/>
      <c r="M302" s="71"/>
      <c r="N302" s="71" t="str">
        <f ca="1">IF(H302="","",IF(D302="usdt",H302,IF(C302="Binance",VLOOKUP(E302,'Курсы Бинанса'!B:C,2,FALSE),IF(C302="bybit",VLOOKUP(E302,'Курсы Bybit'!B:C,2,FALSE),IF(C302="OKX",VLOOKUP(E302,'Курсы OKX'!A:D,4,FALSE),IF(C302="huobi",VLOOKUP(E302,'Курсы Huobi'!B:C,2,FALSE),"! укажите биржу"))))))</f>
        <v/>
      </c>
      <c r="O302" s="71" t="str">
        <f t="shared" ref="O302:O365" si="27">IF(N302="! укажите биржу","",IF(N302="","",N302*G302))</f>
        <v/>
      </c>
      <c r="P302" s="71" t="str">
        <f t="shared" ref="P302:P365" si="28">IF(N302="","",IF(N302="! укажите биржу","",ROUND(O302-I302,2)))</f>
        <v/>
      </c>
      <c r="Q302" s="75" t="str">
        <f t="shared" ref="Q302:Q365" si="29">IF(P302="","",ROUND(IFERROR((O302-I302)/I302,2),5))</f>
        <v/>
      </c>
      <c r="R302" s="76"/>
    </row>
    <row r="303" spans="1:18" ht="14.25" customHeight="1">
      <c r="A303" s="67"/>
      <c r="B303" s="68"/>
      <c r="C303" s="69"/>
      <c r="D303" s="69" t="str">
        <f ca="1">IF(B303="","",VLOOKUP('Журнал Закупок'!$B303,'СТ Криптовалюта'!B:C,2,0))</f>
        <v/>
      </c>
      <c r="E303" s="68" t="str">
        <f t="shared" si="25"/>
        <v/>
      </c>
      <c r="F303" s="70"/>
      <c r="G303" s="71"/>
      <c r="H303" s="71"/>
      <c r="I303" s="71" t="str">
        <f t="shared" si="26"/>
        <v/>
      </c>
      <c r="J303" s="71" t="e">
        <f ca="1">IFERROR(__xludf.DUMMYFUNCTION("IF(I303="""","""",IMPORTXML(""http://www.cbr.ru/scripts/XML_daily.asp?date_req=""&amp;TEXT(A303,""DD/MM/YYYY""), ""//ValCurs/Valute[CharCode=""""USD""""]/Value"")*I303)"),"")</f>
        <v>#NAME?</v>
      </c>
      <c r="K303" s="71"/>
      <c r="L303" s="71"/>
      <c r="M303" s="71"/>
      <c r="N303" s="71" t="str">
        <f ca="1">IF(H303="","",IF(D303="usdt",H303,IF(C303="Binance",VLOOKUP(E303,'Курсы Бинанса'!B:C,2,FALSE),IF(C303="bybit",VLOOKUP(E303,'Курсы Bybit'!B:C,2,FALSE),IF(C303="OKX",VLOOKUP(E303,'Курсы OKX'!A:D,4,FALSE),IF(C303="huobi",VLOOKUP(E303,'Курсы Huobi'!B:C,2,FALSE),"! укажите биржу"))))))</f>
        <v/>
      </c>
      <c r="O303" s="71" t="str">
        <f t="shared" si="27"/>
        <v/>
      </c>
      <c r="P303" s="71" t="str">
        <f t="shared" si="28"/>
        <v/>
      </c>
      <c r="Q303" s="75" t="str">
        <f t="shared" si="29"/>
        <v/>
      </c>
      <c r="R303" s="76"/>
    </row>
    <row r="304" spans="1:18" ht="14.25" customHeight="1">
      <c r="A304" s="67"/>
      <c r="B304" s="68"/>
      <c r="C304" s="69"/>
      <c r="D304" s="69" t="str">
        <f ca="1">IF(B304="","",VLOOKUP('Журнал Закупок'!$B304,'СТ Криптовалюта'!B:C,2,0))</f>
        <v/>
      </c>
      <c r="E304" s="68" t="str">
        <f t="shared" si="25"/>
        <v/>
      </c>
      <c r="F304" s="70"/>
      <c r="G304" s="71"/>
      <c r="H304" s="71"/>
      <c r="I304" s="71" t="str">
        <f t="shared" si="26"/>
        <v/>
      </c>
      <c r="J304" s="71" t="e">
        <f ca="1">IFERROR(__xludf.DUMMYFUNCTION("IF(I304="""","""",IMPORTXML(""http://www.cbr.ru/scripts/XML_daily.asp?date_req=""&amp;TEXT(A304,""DD/MM/YYYY""), ""//ValCurs/Valute[CharCode=""""USD""""]/Value"")*I304)"),"")</f>
        <v>#NAME?</v>
      </c>
      <c r="K304" s="71"/>
      <c r="L304" s="71"/>
      <c r="M304" s="71"/>
      <c r="N304" s="71" t="str">
        <f ca="1">IF(H304="","",IF(D304="usdt",H304,IF(C304="Binance",VLOOKUP(E304,'Курсы Бинанса'!B:C,2,FALSE),IF(C304="bybit",VLOOKUP(E304,'Курсы Bybit'!B:C,2,FALSE),IF(C304="OKX",VLOOKUP(E304,'Курсы OKX'!A:D,4,FALSE),IF(C304="huobi",VLOOKUP(E304,'Курсы Huobi'!B:C,2,FALSE),"! укажите биржу"))))))</f>
        <v/>
      </c>
      <c r="O304" s="71" t="str">
        <f t="shared" si="27"/>
        <v/>
      </c>
      <c r="P304" s="71" t="str">
        <f t="shared" si="28"/>
        <v/>
      </c>
      <c r="Q304" s="75" t="str">
        <f t="shared" si="29"/>
        <v/>
      </c>
      <c r="R304" s="76"/>
    </row>
    <row r="305" spans="1:18" ht="14.25" customHeight="1">
      <c r="A305" s="67"/>
      <c r="B305" s="68"/>
      <c r="C305" s="69"/>
      <c r="D305" s="69" t="str">
        <f ca="1">IF(B305="","",VLOOKUP('Журнал Закупок'!$B305,'СТ Криптовалюта'!B:C,2,0))</f>
        <v/>
      </c>
      <c r="E305" s="68" t="str">
        <f t="shared" si="25"/>
        <v/>
      </c>
      <c r="F305" s="70"/>
      <c r="G305" s="71"/>
      <c r="H305" s="71"/>
      <c r="I305" s="71" t="str">
        <f t="shared" si="26"/>
        <v/>
      </c>
      <c r="J305" s="71" t="e">
        <f ca="1">IFERROR(__xludf.DUMMYFUNCTION("IF(I305="""","""",IMPORTXML(""http://www.cbr.ru/scripts/XML_daily.asp?date_req=""&amp;TEXT(A305,""DD/MM/YYYY""), ""//ValCurs/Valute[CharCode=""""USD""""]/Value"")*I305)"),"")</f>
        <v>#NAME?</v>
      </c>
      <c r="K305" s="71"/>
      <c r="L305" s="71"/>
      <c r="M305" s="71"/>
      <c r="N305" s="71" t="str">
        <f ca="1">IF(H305="","",IF(D305="usdt",H305,IF(C305="Binance",VLOOKUP(E305,'Курсы Бинанса'!B:C,2,FALSE),IF(C305="bybit",VLOOKUP(E305,'Курсы Bybit'!B:C,2,FALSE),IF(C305="OKX",VLOOKUP(E305,'Курсы OKX'!A:D,4,FALSE),IF(C305="huobi",VLOOKUP(E305,'Курсы Huobi'!B:C,2,FALSE),"! укажите биржу"))))))</f>
        <v/>
      </c>
      <c r="O305" s="71" t="str">
        <f t="shared" si="27"/>
        <v/>
      </c>
      <c r="P305" s="71" t="str">
        <f t="shared" si="28"/>
        <v/>
      </c>
      <c r="Q305" s="75" t="str">
        <f t="shared" si="29"/>
        <v/>
      </c>
      <c r="R305" s="76"/>
    </row>
    <row r="306" spans="1:18" ht="14.25" customHeight="1">
      <c r="A306" s="67"/>
      <c r="B306" s="68"/>
      <c r="C306" s="69"/>
      <c r="D306" s="69" t="str">
        <f ca="1">IF(B306="","",VLOOKUP('Журнал Закупок'!$B306,'СТ Криптовалюта'!B:C,2,0))</f>
        <v/>
      </c>
      <c r="E306" s="68" t="str">
        <f t="shared" si="25"/>
        <v/>
      </c>
      <c r="F306" s="70"/>
      <c r="G306" s="71"/>
      <c r="H306" s="71"/>
      <c r="I306" s="71" t="str">
        <f t="shared" si="26"/>
        <v/>
      </c>
      <c r="J306" s="71" t="e">
        <f ca="1">IFERROR(__xludf.DUMMYFUNCTION("IF(I306="""","""",IMPORTXML(""http://www.cbr.ru/scripts/XML_daily.asp?date_req=""&amp;TEXT(A306,""DD/MM/YYYY""), ""//ValCurs/Valute[CharCode=""""USD""""]/Value"")*I306)"),"")</f>
        <v>#NAME?</v>
      </c>
      <c r="K306" s="71"/>
      <c r="L306" s="71"/>
      <c r="M306" s="71"/>
      <c r="N306" s="71" t="str">
        <f ca="1">IF(H306="","",IF(D306="usdt",H306,IF(C306="Binance",VLOOKUP(E306,'Курсы Бинанса'!B:C,2,FALSE),IF(C306="bybit",VLOOKUP(E306,'Курсы Bybit'!B:C,2,FALSE),IF(C306="OKX",VLOOKUP(E306,'Курсы OKX'!A:D,4,FALSE),IF(C306="huobi",VLOOKUP(E306,'Курсы Huobi'!B:C,2,FALSE),"! укажите биржу"))))))</f>
        <v/>
      </c>
      <c r="O306" s="71" t="str">
        <f t="shared" si="27"/>
        <v/>
      </c>
      <c r="P306" s="71" t="str">
        <f t="shared" si="28"/>
        <v/>
      </c>
      <c r="Q306" s="75" t="str">
        <f t="shared" si="29"/>
        <v/>
      </c>
      <c r="R306" s="76"/>
    </row>
    <row r="307" spans="1:18" ht="14.25" customHeight="1">
      <c r="A307" s="67"/>
      <c r="B307" s="68"/>
      <c r="C307" s="69"/>
      <c r="D307" s="69" t="str">
        <f ca="1">IF(B307="","",VLOOKUP('Журнал Закупок'!$B307,'СТ Криптовалюта'!B:C,2,0))</f>
        <v/>
      </c>
      <c r="E307" s="68" t="str">
        <f t="shared" si="25"/>
        <v/>
      </c>
      <c r="F307" s="70"/>
      <c r="G307" s="71"/>
      <c r="H307" s="71"/>
      <c r="I307" s="71" t="str">
        <f t="shared" si="26"/>
        <v/>
      </c>
      <c r="J307" s="71" t="e">
        <f ca="1">IFERROR(__xludf.DUMMYFUNCTION("IF(I307="""","""",IMPORTXML(""http://www.cbr.ru/scripts/XML_daily.asp?date_req=""&amp;TEXT(A307,""DD/MM/YYYY""), ""//ValCurs/Valute[CharCode=""""USD""""]/Value"")*I307)"),"")</f>
        <v>#NAME?</v>
      </c>
      <c r="K307" s="71"/>
      <c r="L307" s="71"/>
      <c r="M307" s="71"/>
      <c r="N307" s="71" t="str">
        <f ca="1">IF(H307="","",IF(D307="usdt",H307,IF(C307="Binance",VLOOKUP(E307,'Курсы Бинанса'!B:C,2,FALSE),IF(C307="bybit",VLOOKUP(E307,'Курсы Bybit'!B:C,2,FALSE),IF(C307="OKX",VLOOKUP(E307,'Курсы OKX'!A:D,4,FALSE),IF(C307="huobi",VLOOKUP(E307,'Курсы Huobi'!B:C,2,FALSE),"! укажите биржу"))))))</f>
        <v/>
      </c>
      <c r="O307" s="71" t="str">
        <f t="shared" si="27"/>
        <v/>
      </c>
      <c r="P307" s="71" t="str">
        <f t="shared" si="28"/>
        <v/>
      </c>
      <c r="Q307" s="75" t="str">
        <f t="shared" si="29"/>
        <v/>
      </c>
      <c r="R307" s="76"/>
    </row>
    <row r="308" spans="1:18" ht="14.25" customHeight="1">
      <c r="A308" s="67"/>
      <c r="B308" s="68"/>
      <c r="C308" s="69"/>
      <c r="D308" s="69" t="str">
        <f ca="1">IF(B308="","",VLOOKUP('Журнал Закупок'!$B308,'СТ Криптовалюта'!B:C,2,0))</f>
        <v/>
      </c>
      <c r="E308" s="68" t="str">
        <f t="shared" si="25"/>
        <v/>
      </c>
      <c r="F308" s="70"/>
      <c r="G308" s="71"/>
      <c r="H308" s="71"/>
      <c r="I308" s="71" t="str">
        <f t="shared" si="26"/>
        <v/>
      </c>
      <c r="J308" s="71" t="e">
        <f ca="1">IFERROR(__xludf.DUMMYFUNCTION("IF(I308="""","""",IMPORTXML(""http://www.cbr.ru/scripts/XML_daily.asp?date_req=""&amp;TEXT(A308,""DD/MM/YYYY""), ""//ValCurs/Valute[CharCode=""""USD""""]/Value"")*I308)"),"")</f>
        <v>#NAME?</v>
      </c>
      <c r="K308" s="71"/>
      <c r="L308" s="71"/>
      <c r="M308" s="71"/>
      <c r="N308" s="71" t="str">
        <f ca="1">IF(H308="","",IF(D308="usdt",H308,IF(C308="Binance",VLOOKUP(E308,'Курсы Бинанса'!B:C,2,FALSE),IF(C308="bybit",VLOOKUP(E308,'Курсы Bybit'!B:C,2,FALSE),IF(C308="OKX",VLOOKUP(E308,'Курсы OKX'!A:D,4,FALSE),IF(C308="huobi",VLOOKUP(E308,'Курсы Huobi'!B:C,2,FALSE),"! укажите биржу"))))))</f>
        <v/>
      </c>
      <c r="O308" s="71" t="str">
        <f t="shared" si="27"/>
        <v/>
      </c>
      <c r="P308" s="71" t="str">
        <f t="shared" si="28"/>
        <v/>
      </c>
      <c r="Q308" s="75" t="str">
        <f t="shared" si="29"/>
        <v/>
      </c>
      <c r="R308" s="76"/>
    </row>
    <row r="309" spans="1:18" ht="14.25" customHeight="1">
      <c r="A309" s="67"/>
      <c r="B309" s="68"/>
      <c r="C309" s="69"/>
      <c r="D309" s="69" t="str">
        <f ca="1">IF(B309="","",VLOOKUP('Журнал Закупок'!$B309,'СТ Криптовалюта'!B:C,2,0))</f>
        <v/>
      </c>
      <c r="E309" s="68" t="str">
        <f t="shared" si="25"/>
        <v/>
      </c>
      <c r="F309" s="70"/>
      <c r="G309" s="71"/>
      <c r="H309" s="71"/>
      <c r="I309" s="71" t="str">
        <f t="shared" si="26"/>
        <v/>
      </c>
      <c r="J309" s="71" t="e">
        <f ca="1">IFERROR(__xludf.DUMMYFUNCTION("IF(I309="""","""",IMPORTXML(""http://www.cbr.ru/scripts/XML_daily.asp?date_req=""&amp;TEXT(A309,""DD/MM/YYYY""), ""//ValCurs/Valute[CharCode=""""USD""""]/Value"")*I309)"),"")</f>
        <v>#NAME?</v>
      </c>
      <c r="K309" s="71"/>
      <c r="L309" s="71"/>
      <c r="M309" s="71"/>
      <c r="N309" s="71" t="str">
        <f ca="1">IF(H309="","",IF(D309="usdt",H309,IF(C309="Binance",VLOOKUP(E309,'Курсы Бинанса'!B:C,2,FALSE),IF(C309="bybit",VLOOKUP(E309,'Курсы Bybit'!B:C,2,FALSE),IF(C309="OKX",VLOOKUP(E309,'Курсы OKX'!A:D,4,FALSE),IF(C309="huobi",VLOOKUP(E309,'Курсы Huobi'!B:C,2,FALSE),"! укажите биржу"))))))</f>
        <v/>
      </c>
      <c r="O309" s="71" t="str">
        <f t="shared" si="27"/>
        <v/>
      </c>
      <c r="P309" s="71" t="str">
        <f t="shared" si="28"/>
        <v/>
      </c>
      <c r="Q309" s="75" t="str">
        <f t="shared" si="29"/>
        <v/>
      </c>
      <c r="R309" s="76"/>
    </row>
    <row r="310" spans="1:18" ht="14.25" customHeight="1">
      <c r="A310" s="67"/>
      <c r="B310" s="68"/>
      <c r="C310" s="69"/>
      <c r="D310" s="69" t="str">
        <f ca="1">IF(B310="","",VLOOKUP('Журнал Закупок'!$B310,'СТ Криптовалюта'!B:C,2,0))</f>
        <v/>
      </c>
      <c r="E310" s="68" t="str">
        <f t="shared" si="25"/>
        <v/>
      </c>
      <c r="F310" s="70"/>
      <c r="G310" s="71"/>
      <c r="H310" s="71"/>
      <c r="I310" s="71" t="str">
        <f t="shared" si="26"/>
        <v/>
      </c>
      <c r="J310" s="71" t="e">
        <f ca="1">IFERROR(__xludf.DUMMYFUNCTION("IF(I310="""","""",IMPORTXML(""http://www.cbr.ru/scripts/XML_daily.asp?date_req=""&amp;TEXT(A310,""DD/MM/YYYY""), ""//ValCurs/Valute[CharCode=""""USD""""]/Value"")*I310)"),"")</f>
        <v>#NAME?</v>
      </c>
      <c r="K310" s="71"/>
      <c r="L310" s="71"/>
      <c r="M310" s="71"/>
      <c r="N310" s="71" t="str">
        <f ca="1">IF(H310="","",IF(D310="usdt",H310,IF(C310="Binance",VLOOKUP(E310,'Курсы Бинанса'!B:C,2,FALSE),IF(C310="bybit",VLOOKUP(E310,'Курсы Bybit'!B:C,2,FALSE),IF(C310="OKX",VLOOKUP(E310,'Курсы OKX'!A:D,4,FALSE),IF(C310="huobi",VLOOKUP(E310,'Курсы Huobi'!B:C,2,FALSE),"! укажите биржу"))))))</f>
        <v/>
      </c>
      <c r="O310" s="71" t="str">
        <f t="shared" si="27"/>
        <v/>
      </c>
      <c r="P310" s="71" t="str">
        <f t="shared" si="28"/>
        <v/>
      </c>
      <c r="Q310" s="75" t="str">
        <f t="shared" si="29"/>
        <v/>
      </c>
      <c r="R310" s="76"/>
    </row>
    <row r="311" spans="1:18" ht="14.25" customHeight="1">
      <c r="A311" s="67"/>
      <c r="B311" s="68"/>
      <c r="C311" s="69"/>
      <c r="D311" s="69" t="str">
        <f ca="1">IF(B311="","",VLOOKUP('Журнал Закупок'!$B311,'СТ Криптовалюта'!B:C,2,0))</f>
        <v/>
      </c>
      <c r="E311" s="68" t="str">
        <f t="shared" si="25"/>
        <v/>
      </c>
      <c r="F311" s="70"/>
      <c r="G311" s="71"/>
      <c r="H311" s="71"/>
      <c r="I311" s="71" t="str">
        <f t="shared" si="26"/>
        <v/>
      </c>
      <c r="J311" s="71" t="e">
        <f ca="1">IFERROR(__xludf.DUMMYFUNCTION("IF(I311="""","""",IMPORTXML(""http://www.cbr.ru/scripts/XML_daily.asp?date_req=""&amp;TEXT(A311,""DD/MM/YYYY""), ""//ValCurs/Valute[CharCode=""""USD""""]/Value"")*I311)"),"")</f>
        <v>#NAME?</v>
      </c>
      <c r="K311" s="71"/>
      <c r="L311" s="71"/>
      <c r="M311" s="71"/>
      <c r="N311" s="71" t="str">
        <f ca="1">IF(H311="","",IF(D311="usdt",H311,IF(C311="Binance",VLOOKUP(E311,'Курсы Бинанса'!B:C,2,FALSE),IF(C311="bybit",VLOOKUP(E311,'Курсы Bybit'!B:C,2,FALSE),IF(C311="OKX",VLOOKUP(E311,'Курсы OKX'!A:D,4,FALSE),IF(C311="huobi",VLOOKUP(E311,'Курсы Huobi'!B:C,2,FALSE),"! укажите биржу"))))))</f>
        <v/>
      </c>
      <c r="O311" s="71" t="str">
        <f t="shared" si="27"/>
        <v/>
      </c>
      <c r="P311" s="71" t="str">
        <f t="shared" si="28"/>
        <v/>
      </c>
      <c r="Q311" s="75" t="str">
        <f t="shared" si="29"/>
        <v/>
      </c>
      <c r="R311" s="76"/>
    </row>
    <row r="312" spans="1:18" ht="14.25" customHeight="1">
      <c r="A312" s="67"/>
      <c r="B312" s="68"/>
      <c r="C312" s="69"/>
      <c r="D312" s="69" t="str">
        <f ca="1">IF(B312="","",VLOOKUP('Журнал Закупок'!$B312,'СТ Криптовалюта'!B:C,2,0))</f>
        <v/>
      </c>
      <c r="E312" s="68" t="str">
        <f t="shared" si="25"/>
        <v/>
      </c>
      <c r="F312" s="70"/>
      <c r="G312" s="71"/>
      <c r="H312" s="71"/>
      <c r="I312" s="71" t="str">
        <f t="shared" si="26"/>
        <v/>
      </c>
      <c r="J312" s="71" t="e">
        <f ca="1">IFERROR(__xludf.DUMMYFUNCTION("IF(I312="""","""",IMPORTXML(""http://www.cbr.ru/scripts/XML_daily.asp?date_req=""&amp;TEXT(A312,""DD/MM/YYYY""), ""//ValCurs/Valute[CharCode=""""USD""""]/Value"")*I312)"),"")</f>
        <v>#NAME?</v>
      </c>
      <c r="K312" s="71"/>
      <c r="L312" s="71"/>
      <c r="M312" s="71"/>
      <c r="N312" s="71" t="str">
        <f ca="1">IF(H312="","",IF(D312="usdt",H312,IF(C312="Binance",VLOOKUP(E312,'Курсы Бинанса'!B:C,2,FALSE),IF(C312="bybit",VLOOKUP(E312,'Курсы Bybit'!B:C,2,FALSE),IF(C312="OKX",VLOOKUP(E312,'Курсы OKX'!A:D,4,FALSE),IF(C312="huobi",VLOOKUP(E312,'Курсы Huobi'!B:C,2,FALSE),"! укажите биржу"))))))</f>
        <v/>
      </c>
      <c r="O312" s="71" t="str">
        <f t="shared" si="27"/>
        <v/>
      </c>
      <c r="P312" s="71" t="str">
        <f t="shared" si="28"/>
        <v/>
      </c>
      <c r="Q312" s="75" t="str">
        <f t="shared" si="29"/>
        <v/>
      </c>
      <c r="R312" s="76"/>
    </row>
    <row r="313" spans="1:18" ht="14.25" customHeight="1">
      <c r="A313" s="67"/>
      <c r="B313" s="68"/>
      <c r="C313" s="69"/>
      <c r="D313" s="69" t="str">
        <f ca="1">IF(B313="","",VLOOKUP('Журнал Закупок'!$B313,'СТ Криптовалюта'!B:C,2,0))</f>
        <v/>
      </c>
      <c r="E313" s="68" t="str">
        <f t="shared" si="25"/>
        <v/>
      </c>
      <c r="F313" s="70"/>
      <c r="G313" s="71"/>
      <c r="H313" s="71"/>
      <c r="I313" s="71" t="str">
        <f t="shared" si="26"/>
        <v/>
      </c>
      <c r="J313" s="71" t="e">
        <f ca="1">IFERROR(__xludf.DUMMYFUNCTION("IF(I313="""","""",IMPORTXML(""http://www.cbr.ru/scripts/XML_daily.asp?date_req=""&amp;TEXT(A313,""DD/MM/YYYY""), ""//ValCurs/Valute[CharCode=""""USD""""]/Value"")*I313)"),"")</f>
        <v>#NAME?</v>
      </c>
      <c r="K313" s="71"/>
      <c r="L313" s="71"/>
      <c r="M313" s="71"/>
      <c r="N313" s="71" t="str">
        <f ca="1">IF(H313="","",IF(D313="usdt",H313,IF(C313="Binance",VLOOKUP(E313,'Курсы Бинанса'!B:C,2,FALSE),IF(C313="bybit",VLOOKUP(E313,'Курсы Bybit'!B:C,2,FALSE),IF(C313="OKX",VLOOKUP(E313,'Курсы OKX'!A:D,4,FALSE),IF(C313="huobi",VLOOKUP(E313,'Курсы Huobi'!B:C,2,FALSE),"! укажите биржу"))))))</f>
        <v/>
      </c>
      <c r="O313" s="71" t="str">
        <f t="shared" si="27"/>
        <v/>
      </c>
      <c r="P313" s="71" t="str">
        <f t="shared" si="28"/>
        <v/>
      </c>
      <c r="Q313" s="75" t="str">
        <f t="shared" si="29"/>
        <v/>
      </c>
      <c r="R313" s="76"/>
    </row>
    <row r="314" spans="1:18" ht="14.25" customHeight="1">
      <c r="A314" s="67"/>
      <c r="B314" s="68"/>
      <c r="C314" s="69"/>
      <c r="D314" s="69" t="str">
        <f ca="1">IF(B314="","",VLOOKUP('Журнал Закупок'!$B314,'СТ Криптовалюта'!B:C,2,0))</f>
        <v/>
      </c>
      <c r="E314" s="68" t="str">
        <f t="shared" si="25"/>
        <v/>
      </c>
      <c r="F314" s="70"/>
      <c r="G314" s="71"/>
      <c r="H314" s="71"/>
      <c r="I314" s="71" t="str">
        <f t="shared" si="26"/>
        <v/>
      </c>
      <c r="J314" s="71" t="e">
        <f ca="1">IFERROR(__xludf.DUMMYFUNCTION("IF(I314="""","""",IMPORTXML(""http://www.cbr.ru/scripts/XML_daily.asp?date_req=""&amp;TEXT(A314,""DD/MM/YYYY""), ""//ValCurs/Valute[CharCode=""""USD""""]/Value"")*I314)"),"")</f>
        <v>#NAME?</v>
      </c>
      <c r="K314" s="71"/>
      <c r="L314" s="71"/>
      <c r="M314" s="71"/>
      <c r="N314" s="71" t="str">
        <f ca="1">IF(H314="","",IF(D314="usdt",H314,IF(C314="Binance",VLOOKUP(E314,'Курсы Бинанса'!B:C,2,FALSE),IF(C314="bybit",VLOOKUP(E314,'Курсы Bybit'!B:C,2,FALSE),IF(C314="OKX",VLOOKUP(E314,'Курсы OKX'!A:D,4,FALSE),IF(C314="huobi",VLOOKUP(E314,'Курсы Huobi'!B:C,2,FALSE),"! укажите биржу"))))))</f>
        <v/>
      </c>
      <c r="O314" s="71" t="str">
        <f t="shared" si="27"/>
        <v/>
      </c>
      <c r="P314" s="71" t="str">
        <f t="shared" si="28"/>
        <v/>
      </c>
      <c r="Q314" s="75" t="str">
        <f t="shared" si="29"/>
        <v/>
      </c>
      <c r="R314" s="76"/>
    </row>
    <row r="315" spans="1:18" ht="14.25" customHeight="1">
      <c r="A315" s="67"/>
      <c r="B315" s="68"/>
      <c r="C315" s="69"/>
      <c r="D315" s="69" t="str">
        <f ca="1">IF(B315="","",VLOOKUP('Журнал Закупок'!$B315,'СТ Криптовалюта'!B:C,2,0))</f>
        <v/>
      </c>
      <c r="E315" s="68" t="str">
        <f t="shared" si="25"/>
        <v/>
      </c>
      <c r="F315" s="70"/>
      <c r="G315" s="71"/>
      <c r="H315" s="71"/>
      <c r="I315" s="71" t="str">
        <f t="shared" si="26"/>
        <v/>
      </c>
      <c r="J315" s="71" t="e">
        <f ca="1">IFERROR(__xludf.DUMMYFUNCTION("IF(I315="""","""",IMPORTXML(""http://www.cbr.ru/scripts/XML_daily.asp?date_req=""&amp;TEXT(A315,""DD/MM/YYYY""), ""//ValCurs/Valute[CharCode=""""USD""""]/Value"")*I315)"),"")</f>
        <v>#NAME?</v>
      </c>
      <c r="K315" s="71"/>
      <c r="L315" s="71"/>
      <c r="M315" s="71"/>
      <c r="N315" s="71" t="str">
        <f ca="1">IF(H315="","",IF(D315="usdt",H315,IF(C315="Binance",VLOOKUP(E315,'Курсы Бинанса'!B:C,2,FALSE),IF(C315="bybit",VLOOKUP(E315,'Курсы Bybit'!B:C,2,FALSE),IF(C315="OKX",VLOOKUP(E315,'Курсы OKX'!A:D,4,FALSE),IF(C315="huobi",VLOOKUP(E315,'Курсы Huobi'!B:C,2,FALSE),"! укажите биржу"))))))</f>
        <v/>
      </c>
      <c r="O315" s="71" t="str">
        <f t="shared" si="27"/>
        <v/>
      </c>
      <c r="P315" s="71" t="str">
        <f t="shared" si="28"/>
        <v/>
      </c>
      <c r="Q315" s="75" t="str">
        <f t="shared" si="29"/>
        <v/>
      </c>
      <c r="R315" s="76"/>
    </row>
    <row r="316" spans="1:18" ht="14.25" customHeight="1">
      <c r="A316" s="67"/>
      <c r="B316" s="68"/>
      <c r="C316" s="69"/>
      <c r="D316" s="69" t="str">
        <f ca="1">IF(B316="","",VLOOKUP('Журнал Закупок'!$B316,'СТ Криптовалюта'!B:C,2,0))</f>
        <v/>
      </c>
      <c r="E316" s="68" t="str">
        <f t="shared" si="25"/>
        <v/>
      </c>
      <c r="F316" s="70"/>
      <c r="G316" s="71"/>
      <c r="H316" s="71"/>
      <c r="I316" s="71" t="str">
        <f t="shared" si="26"/>
        <v/>
      </c>
      <c r="J316" s="71" t="e">
        <f ca="1">IFERROR(__xludf.DUMMYFUNCTION("IF(I316="""","""",IMPORTXML(""http://www.cbr.ru/scripts/XML_daily.asp?date_req=""&amp;TEXT(A316,""DD/MM/YYYY""), ""//ValCurs/Valute[CharCode=""""USD""""]/Value"")*I316)"),"")</f>
        <v>#NAME?</v>
      </c>
      <c r="K316" s="71"/>
      <c r="L316" s="71"/>
      <c r="M316" s="71"/>
      <c r="N316" s="71" t="str">
        <f ca="1">IF(H316="","",IF(D316="usdt",H316,IF(C316="Binance",VLOOKUP(E316,'Курсы Бинанса'!B:C,2,FALSE),IF(C316="bybit",VLOOKUP(E316,'Курсы Bybit'!B:C,2,FALSE),IF(C316="OKX",VLOOKUP(E316,'Курсы OKX'!A:D,4,FALSE),IF(C316="huobi",VLOOKUP(E316,'Курсы Huobi'!B:C,2,FALSE),"! укажите биржу"))))))</f>
        <v/>
      </c>
      <c r="O316" s="71" t="str">
        <f t="shared" si="27"/>
        <v/>
      </c>
      <c r="P316" s="71" t="str">
        <f t="shared" si="28"/>
        <v/>
      </c>
      <c r="Q316" s="75" t="str">
        <f t="shared" si="29"/>
        <v/>
      </c>
      <c r="R316" s="76"/>
    </row>
    <row r="317" spans="1:18" ht="14.25" customHeight="1">
      <c r="A317" s="67"/>
      <c r="B317" s="68"/>
      <c r="C317" s="69"/>
      <c r="D317" s="69" t="str">
        <f ca="1">IF(B317="","",VLOOKUP('Журнал Закупок'!$B317,'СТ Криптовалюта'!B:C,2,0))</f>
        <v/>
      </c>
      <c r="E317" s="68" t="str">
        <f t="shared" si="25"/>
        <v/>
      </c>
      <c r="F317" s="70"/>
      <c r="G317" s="71"/>
      <c r="H317" s="71"/>
      <c r="I317" s="71" t="str">
        <f t="shared" si="26"/>
        <v/>
      </c>
      <c r="J317" s="71" t="e">
        <f ca="1">IFERROR(__xludf.DUMMYFUNCTION("IF(I317="""","""",IMPORTXML(""http://www.cbr.ru/scripts/XML_daily.asp?date_req=""&amp;TEXT(A317,""DD/MM/YYYY""), ""//ValCurs/Valute[CharCode=""""USD""""]/Value"")*I317)"),"")</f>
        <v>#NAME?</v>
      </c>
      <c r="K317" s="71"/>
      <c r="L317" s="71"/>
      <c r="M317" s="71"/>
      <c r="N317" s="71" t="str">
        <f ca="1">IF(H317="","",IF(D317="usdt",H317,IF(C317="Binance",VLOOKUP(E317,'Курсы Бинанса'!B:C,2,FALSE),IF(C317="bybit",VLOOKUP(E317,'Курсы Bybit'!B:C,2,FALSE),IF(C317="OKX",VLOOKUP(E317,'Курсы OKX'!A:D,4,FALSE),IF(C317="huobi",VLOOKUP(E317,'Курсы Huobi'!B:C,2,FALSE),"! укажите биржу"))))))</f>
        <v/>
      </c>
      <c r="O317" s="71" t="str">
        <f t="shared" si="27"/>
        <v/>
      </c>
      <c r="P317" s="71" t="str">
        <f t="shared" si="28"/>
        <v/>
      </c>
      <c r="Q317" s="75" t="str">
        <f t="shared" si="29"/>
        <v/>
      </c>
      <c r="R317" s="76"/>
    </row>
    <row r="318" spans="1:18" ht="14.25" customHeight="1">
      <c r="A318" s="67"/>
      <c r="B318" s="68"/>
      <c r="C318" s="69"/>
      <c r="D318" s="69" t="str">
        <f ca="1">IF(B318="","",VLOOKUP('Журнал Закупок'!$B318,'СТ Криптовалюта'!B:C,2,0))</f>
        <v/>
      </c>
      <c r="E318" s="68" t="str">
        <f t="shared" si="25"/>
        <v/>
      </c>
      <c r="F318" s="70"/>
      <c r="G318" s="71"/>
      <c r="H318" s="71"/>
      <c r="I318" s="71" t="str">
        <f t="shared" si="26"/>
        <v/>
      </c>
      <c r="J318" s="71" t="e">
        <f ca="1">IFERROR(__xludf.DUMMYFUNCTION("IF(I318="""","""",IMPORTXML(""http://www.cbr.ru/scripts/XML_daily.asp?date_req=""&amp;TEXT(A318,""DD/MM/YYYY""), ""//ValCurs/Valute[CharCode=""""USD""""]/Value"")*I318)"),"")</f>
        <v>#NAME?</v>
      </c>
      <c r="K318" s="71"/>
      <c r="L318" s="71"/>
      <c r="M318" s="71"/>
      <c r="N318" s="71" t="str">
        <f ca="1">IF(H318="","",IF(D318="usdt",H318,IF(C318="Binance",VLOOKUP(E318,'Курсы Бинанса'!B:C,2,FALSE),IF(C318="bybit",VLOOKUP(E318,'Курсы Bybit'!B:C,2,FALSE),IF(C318="OKX",VLOOKUP(E318,'Курсы OKX'!A:D,4,FALSE),IF(C318="huobi",VLOOKUP(E318,'Курсы Huobi'!B:C,2,FALSE),"! укажите биржу"))))))</f>
        <v/>
      </c>
      <c r="O318" s="71" t="str">
        <f t="shared" si="27"/>
        <v/>
      </c>
      <c r="P318" s="71" t="str">
        <f t="shared" si="28"/>
        <v/>
      </c>
      <c r="Q318" s="75" t="str">
        <f t="shared" si="29"/>
        <v/>
      </c>
      <c r="R318" s="76"/>
    </row>
    <row r="319" spans="1:18" ht="14.25" customHeight="1">
      <c r="A319" s="67"/>
      <c r="B319" s="68"/>
      <c r="C319" s="69"/>
      <c r="D319" s="69" t="str">
        <f ca="1">IF(B319="","",VLOOKUP('Журнал Закупок'!$B319,'СТ Криптовалюта'!B:C,2,0))</f>
        <v/>
      </c>
      <c r="E319" s="68" t="str">
        <f t="shared" si="25"/>
        <v/>
      </c>
      <c r="F319" s="70"/>
      <c r="G319" s="71"/>
      <c r="H319" s="71"/>
      <c r="I319" s="71" t="str">
        <f t="shared" si="26"/>
        <v/>
      </c>
      <c r="J319" s="71" t="e">
        <f ca="1">IFERROR(__xludf.DUMMYFUNCTION("IF(I319="""","""",IMPORTXML(""http://www.cbr.ru/scripts/XML_daily.asp?date_req=""&amp;TEXT(A319,""DD/MM/YYYY""), ""//ValCurs/Valute[CharCode=""""USD""""]/Value"")*I319)"),"")</f>
        <v>#NAME?</v>
      </c>
      <c r="K319" s="71"/>
      <c r="L319" s="71"/>
      <c r="M319" s="71"/>
      <c r="N319" s="71" t="str">
        <f ca="1">IF(H319="","",IF(D319="usdt",H319,IF(C319="Binance",VLOOKUP(E319,'Курсы Бинанса'!B:C,2,FALSE),IF(C319="bybit",VLOOKUP(E319,'Курсы Bybit'!B:C,2,FALSE),IF(C319="OKX",VLOOKUP(E319,'Курсы OKX'!A:D,4,FALSE),IF(C319="huobi",VLOOKUP(E319,'Курсы Huobi'!B:C,2,FALSE),"! укажите биржу"))))))</f>
        <v/>
      </c>
      <c r="O319" s="71" t="str">
        <f t="shared" si="27"/>
        <v/>
      </c>
      <c r="P319" s="71" t="str">
        <f t="shared" si="28"/>
        <v/>
      </c>
      <c r="Q319" s="75" t="str">
        <f t="shared" si="29"/>
        <v/>
      </c>
      <c r="R319" s="76"/>
    </row>
    <row r="320" spans="1:18" ht="14.25" customHeight="1">
      <c r="A320" s="67"/>
      <c r="B320" s="68"/>
      <c r="C320" s="69"/>
      <c r="D320" s="69" t="str">
        <f ca="1">IF(B320="","",VLOOKUP('Журнал Закупок'!$B320,'СТ Криптовалюта'!B:C,2,0))</f>
        <v/>
      </c>
      <c r="E320" s="68" t="str">
        <f t="shared" si="25"/>
        <v/>
      </c>
      <c r="F320" s="70"/>
      <c r="G320" s="71"/>
      <c r="H320" s="71"/>
      <c r="I320" s="71" t="str">
        <f t="shared" si="26"/>
        <v/>
      </c>
      <c r="J320" s="71" t="e">
        <f ca="1">IFERROR(__xludf.DUMMYFUNCTION("IF(I320="""","""",IMPORTXML(""http://www.cbr.ru/scripts/XML_daily.asp?date_req=""&amp;TEXT(A320,""DD/MM/YYYY""), ""//ValCurs/Valute[CharCode=""""USD""""]/Value"")*I320)"),"")</f>
        <v>#NAME?</v>
      </c>
      <c r="K320" s="71"/>
      <c r="L320" s="71"/>
      <c r="M320" s="71"/>
      <c r="N320" s="71" t="str">
        <f ca="1">IF(H320="","",IF(D320="usdt",H320,IF(C320="Binance",VLOOKUP(E320,'Курсы Бинанса'!B:C,2,FALSE),IF(C320="bybit",VLOOKUP(E320,'Курсы Bybit'!B:C,2,FALSE),IF(C320="OKX",VLOOKUP(E320,'Курсы OKX'!A:D,4,FALSE),IF(C320="huobi",VLOOKUP(E320,'Курсы Huobi'!B:C,2,FALSE),"! укажите биржу"))))))</f>
        <v/>
      </c>
      <c r="O320" s="71" t="str">
        <f t="shared" si="27"/>
        <v/>
      </c>
      <c r="P320" s="71" t="str">
        <f t="shared" si="28"/>
        <v/>
      </c>
      <c r="Q320" s="75" t="str">
        <f t="shared" si="29"/>
        <v/>
      </c>
      <c r="R320" s="76"/>
    </row>
    <row r="321" spans="1:18" ht="14.25" customHeight="1">
      <c r="A321" s="67"/>
      <c r="B321" s="68"/>
      <c r="C321" s="69"/>
      <c r="D321" s="69" t="str">
        <f ca="1">IF(B321="","",VLOOKUP('Журнал Закупок'!$B321,'СТ Криптовалюта'!B:C,2,0))</f>
        <v/>
      </c>
      <c r="E321" s="68" t="str">
        <f t="shared" si="25"/>
        <v/>
      </c>
      <c r="F321" s="70"/>
      <c r="G321" s="71"/>
      <c r="H321" s="71"/>
      <c r="I321" s="71" t="str">
        <f t="shared" si="26"/>
        <v/>
      </c>
      <c r="J321" s="71" t="e">
        <f ca="1">IFERROR(__xludf.DUMMYFUNCTION("IF(I321="""","""",IMPORTXML(""http://www.cbr.ru/scripts/XML_daily.asp?date_req=""&amp;TEXT(A321,""DD/MM/YYYY""), ""//ValCurs/Valute[CharCode=""""USD""""]/Value"")*I321)"),"")</f>
        <v>#NAME?</v>
      </c>
      <c r="K321" s="71"/>
      <c r="L321" s="71"/>
      <c r="M321" s="71"/>
      <c r="N321" s="71" t="str">
        <f ca="1">IF(H321="","",IF(D321="usdt",H321,IF(C321="Binance",VLOOKUP(E321,'Курсы Бинанса'!B:C,2,FALSE),IF(C321="bybit",VLOOKUP(E321,'Курсы Bybit'!B:C,2,FALSE),IF(C321="OKX",VLOOKUP(E321,'Курсы OKX'!A:D,4,FALSE),IF(C321="huobi",VLOOKUP(E321,'Курсы Huobi'!B:C,2,FALSE),"! укажите биржу"))))))</f>
        <v/>
      </c>
      <c r="O321" s="71" t="str">
        <f t="shared" si="27"/>
        <v/>
      </c>
      <c r="P321" s="71" t="str">
        <f t="shared" si="28"/>
        <v/>
      </c>
      <c r="Q321" s="75" t="str">
        <f t="shared" si="29"/>
        <v/>
      </c>
      <c r="R321" s="76"/>
    </row>
    <row r="322" spans="1:18" ht="14.25" customHeight="1">
      <c r="A322" s="67"/>
      <c r="B322" s="68"/>
      <c r="C322" s="69"/>
      <c r="D322" s="69" t="str">
        <f ca="1">IF(B322="","",VLOOKUP('Журнал Закупок'!$B322,'СТ Криптовалюта'!B:C,2,0))</f>
        <v/>
      </c>
      <c r="E322" s="68" t="str">
        <f t="shared" si="25"/>
        <v/>
      </c>
      <c r="F322" s="70"/>
      <c r="G322" s="71"/>
      <c r="H322" s="71"/>
      <c r="I322" s="71" t="str">
        <f t="shared" si="26"/>
        <v/>
      </c>
      <c r="J322" s="71" t="e">
        <f ca="1">IFERROR(__xludf.DUMMYFUNCTION("IF(I322="""","""",IMPORTXML(""http://www.cbr.ru/scripts/XML_daily.asp?date_req=""&amp;TEXT(A322,""DD/MM/YYYY""), ""//ValCurs/Valute[CharCode=""""USD""""]/Value"")*I322)"),"")</f>
        <v>#NAME?</v>
      </c>
      <c r="K322" s="71"/>
      <c r="L322" s="71"/>
      <c r="M322" s="71"/>
      <c r="N322" s="71" t="str">
        <f ca="1">IF(H322="","",IF(D322="usdt",H322,IF(C322="Binance",VLOOKUP(E322,'Курсы Бинанса'!B:C,2,FALSE),IF(C322="bybit",VLOOKUP(E322,'Курсы Bybit'!B:C,2,FALSE),IF(C322="OKX",VLOOKUP(E322,'Курсы OKX'!A:D,4,FALSE),IF(C322="huobi",VLOOKUP(E322,'Курсы Huobi'!B:C,2,FALSE),"! укажите биржу"))))))</f>
        <v/>
      </c>
      <c r="O322" s="71" t="str">
        <f t="shared" si="27"/>
        <v/>
      </c>
      <c r="P322" s="71" t="str">
        <f t="shared" si="28"/>
        <v/>
      </c>
      <c r="Q322" s="75" t="str">
        <f t="shared" si="29"/>
        <v/>
      </c>
      <c r="R322" s="76"/>
    </row>
    <row r="323" spans="1:18" ht="14.25" customHeight="1">
      <c r="A323" s="67"/>
      <c r="B323" s="68"/>
      <c r="C323" s="69"/>
      <c r="D323" s="69" t="str">
        <f ca="1">IF(B323="","",VLOOKUP('Журнал Закупок'!$B323,'СТ Криптовалюта'!B:C,2,0))</f>
        <v/>
      </c>
      <c r="E323" s="68" t="str">
        <f t="shared" si="25"/>
        <v/>
      </c>
      <c r="F323" s="70"/>
      <c r="G323" s="71"/>
      <c r="H323" s="71"/>
      <c r="I323" s="71" t="str">
        <f t="shared" si="26"/>
        <v/>
      </c>
      <c r="J323" s="71" t="e">
        <f ca="1">IFERROR(__xludf.DUMMYFUNCTION("IF(I323="""","""",IMPORTXML(""http://www.cbr.ru/scripts/XML_daily.asp?date_req=""&amp;TEXT(A323,""DD/MM/YYYY""), ""//ValCurs/Valute[CharCode=""""USD""""]/Value"")*I323)"),"")</f>
        <v>#NAME?</v>
      </c>
      <c r="K323" s="71"/>
      <c r="L323" s="71"/>
      <c r="M323" s="71"/>
      <c r="N323" s="71" t="str">
        <f ca="1">IF(H323="","",IF(D323="usdt",H323,IF(C323="Binance",VLOOKUP(E323,'Курсы Бинанса'!B:C,2,FALSE),IF(C323="bybit",VLOOKUP(E323,'Курсы Bybit'!B:C,2,FALSE),IF(C323="OKX",VLOOKUP(E323,'Курсы OKX'!A:D,4,FALSE),IF(C323="huobi",VLOOKUP(E323,'Курсы Huobi'!B:C,2,FALSE),"! укажите биржу"))))))</f>
        <v/>
      </c>
      <c r="O323" s="71" t="str">
        <f t="shared" si="27"/>
        <v/>
      </c>
      <c r="P323" s="71" t="str">
        <f t="shared" si="28"/>
        <v/>
      </c>
      <c r="Q323" s="75" t="str">
        <f t="shared" si="29"/>
        <v/>
      </c>
      <c r="R323" s="76"/>
    </row>
    <row r="324" spans="1:18" ht="14.25" customHeight="1">
      <c r="A324" s="67"/>
      <c r="B324" s="68"/>
      <c r="C324" s="69"/>
      <c r="D324" s="69" t="str">
        <f ca="1">IF(B324="","",VLOOKUP('Журнал Закупок'!$B324,'СТ Криптовалюта'!B:C,2,0))</f>
        <v/>
      </c>
      <c r="E324" s="68" t="str">
        <f t="shared" si="25"/>
        <v/>
      </c>
      <c r="F324" s="70"/>
      <c r="G324" s="71"/>
      <c r="H324" s="71"/>
      <c r="I324" s="71" t="str">
        <f t="shared" si="26"/>
        <v/>
      </c>
      <c r="J324" s="71" t="e">
        <f ca="1">IFERROR(__xludf.DUMMYFUNCTION("IF(I324="""","""",IMPORTXML(""http://www.cbr.ru/scripts/XML_daily.asp?date_req=""&amp;TEXT(A324,""DD/MM/YYYY""), ""//ValCurs/Valute[CharCode=""""USD""""]/Value"")*I324)"),"")</f>
        <v>#NAME?</v>
      </c>
      <c r="K324" s="71"/>
      <c r="L324" s="71"/>
      <c r="M324" s="71"/>
      <c r="N324" s="71" t="str">
        <f ca="1">IF(H324="","",IF(D324="usdt",H324,IF(C324="Binance",VLOOKUP(E324,'Курсы Бинанса'!B:C,2,FALSE),IF(C324="bybit",VLOOKUP(E324,'Курсы Bybit'!B:C,2,FALSE),IF(C324="OKX",VLOOKUP(E324,'Курсы OKX'!A:D,4,FALSE),IF(C324="huobi",VLOOKUP(E324,'Курсы Huobi'!B:C,2,FALSE),"! укажите биржу"))))))</f>
        <v/>
      </c>
      <c r="O324" s="71" t="str">
        <f t="shared" si="27"/>
        <v/>
      </c>
      <c r="P324" s="71" t="str">
        <f t="shared" si="28"/>
        <v/>
      </c>
      <c r="Q324" s="75" t="str">
        <f t="shared" si="29"/>
        <v/>
      </c>
      <c r="R324" s="76"/>
    </row>
    <row r="325" spans="1:18" ht="14.25" customHeight="1">
      <c r="A325" s="67"/>
      <c r="B325" s="68"/>
      <c r="C325" s="69"/>
      <c r="D325" s="69" t="str">
        <f ca="1">IF(B325="","",VLOOKUP('Журнал Закупок'!$B325,'СТ Криптовалюта'!B:C,2,0))</f>
        <v/>
      </c>
      <c r="E325" s="68" t="str">
        <f t="shared" si="25"/>
        <v/>
      </c>
      <c r="F325" s="70"/>
      <c r="G325" s="71"/>
      <c r="H325" s="71"/>
      <c r="I325" s="71" t="str">
        <f t="shared" si="26"/>
        <v/>
      </c>
      <c r="J325" s="71" t="e">
        <f ca="1">IFERROR(__xludf.DUMMYFUNCTION("IF(I325="""","""",IMPORTXML(""http://www.cbr.ru/scripts/XML_daily.asp?date_req=""&amp;TEXT(A325,""DD/MM/YYYY""), ""//ValCurs/Valute[CharCode=""""USD""""]/Value"")*I325)"),"")</f>
        <v>#NAME?</v>
      </c>
      <c r="K325" s="71"/>
      <c r="L325" s="71"/>
      <c r="M325" s="71"/>
      <c r="N325" s="71" t="str">
        <f ca="1">IF(H325="","",IF(D325="usdt",H325,IF(C325="Binance",VLOOKUP(E325,'Курсы Бинанса'!B:C,2,FALSE),IF(C325="bybit",VLOOKUP(E325,'Курсы Bybit'!B:C,2,FALSE),IF(C325="OKX",VLOOKUP(E325,'Курсы OKX'!A:D,4,FALSE),IF(C325="huobi",VLOOKUP(E325,'Курсы Huobi'!B:C,2,FALSE),"! укажите биржу"))))))</f>
        <v/>
      </c>
      <c r="O325" s="71" t="str">
        <f t="shared" si="27"/>
        <v/>
      </c>
      <c r="P325" s="71" t="str">
        <f t="shared" si="28"/>
        <v/>
      </c>
      <c r="Q325" s="75" t="str">
        <f t="shared" si="29"/>
        <v/>
      </c>
      <c r="R325" s="76"/>
    </row>
    <row r="326" spans="1:18" ht="14.25" customHeight="1">
      <c r="A326" s="67"/>
      <c r="B326" s="68"/>
      <c r="C326" s="69"/>
      <c r="D326" s="69" t="str">
        <f ca="1">IF(B326="","",VLOOKUP('Журнал Закупок'!$B326,'СТ Криптовалюта'!B:C,2,0))</f>
        <v/>
      </c>
      <c r="E326" s="68" t="str">
        <f t="shared" si="25"/>
        <v/>
      </c>
      <c r="F326" s="70"/>
      <c r="G326" s="71"/>
      <c r="H326" s="71"/>
      <c r="I326" s="71" t="str">
        <f t="shared" si="26"/>
        <v/>
      </c>
      <c r="J326" s="71" t="e">
        <f ca="1">IFERROR(__xludf.DUMMYFUNCTION("IF(I326="""","""",IMPORTXML(""http://www.cbr.ru/scripts/XML_daily.asp?date_req=""&amp;TEXT(A326,""DD/MM/YYYY""), ""//ValCurs/Valute[CharCode=""""USD""""]/Value"")*I326)"),"")</f>
        <v>#NAME?</v>
      </c>
      <c r="K326" s="71"/>
      <c r="L326" s="71"/>
      <c r="M326" s="71"/>
      <c r="N326" s="71" t="str">
        <f ca="1">IF(H326="","",IF(D326="usdt",H326,IF(C326="Binance",VLOOKUP(E326,'Курсы Бинанса'!B:C,2,FALSE),IF(C326="bybit",VLOOKUP(E326,'Курсы Bybit'!B:C,2,FALSE),IF(C326="OKX",VLOOKUP(E326,'Курсы OKX'!A:D,4,FALSE),IF(C326="huobi",VLOOKUP(E326,'Курсы Huobi'!B:C,2,FALSE),"! укажите биржу"))))))</f>
        <v/>
      </c>
      <c r="O326" s="71" t="str">
        <f t="shared" si="27"/>
        <v/>
      </c>
      <c r="P326" s="71" t="str">
        <f t="shared" si="28"/>
        <v/>
      </c>
      <c r="Q326" s="75" t="str">
        <f t="shared" si="29"/>
        <v/>
      </c>
      <c r="R326" s="76"/>
    </row>
    <row r="327" spans="1:18" ht="14.25" customHeight="1">
      <c r="A327" s="67"/>
      <c r="B327" s="68"/>
      <c r="C327" s="69"/>
      <c r="D327" s="69" t="str">
        <f ca="1">IF(B327="","",VLOOKUP('Журнал Закупок'!$B327,'СТ Криптовалюта'!B:C,2,0))</f>
        <v/>
      </c>
      <c r="E327" s="68" t="str">
        <f t="shared" si="25"/>
        <v/>
      </c>
      <c r="F327" s="70"/>
      <c r="G327" s="71"/>
      <c r="H327" s="71"/>
      <c r="I327" s="71" t="str">
        <f t="shared" si="26"/>
        <v/>
      </c>
      <c r="J327" s="71" t="e">
        <f ca="1">IFERROR(__xludf.DUMMYFUNCTION("IF(I327="""","""",IMPORTXML(""http://www.cbr.ru/scripts/XML_daily.asp?date_req=""&amp;TEXT(A327,""DD/MM/YYYY""), ""//ValCurs/Valute[CharCode=""""USD""""]/Value"")*I327)"),"")</f>
        <v>#NAME?</v>
      </c>
      <c r="K327" s="71"/>
      <c r="L327" s="71"/>
      <c r="M327" s="71"/>
      <c r="N327" s="71" t="str">
        <f ca="1">IF(H327="","",IF(D327="usdt",H327,IF(C327="Binance",VLOOKUP(E327,'Курсы Бинанса'!B:C,2,FALSE),IF(C327="bybit",VLOOKUP(E327,'Курсы Bybit'!B:C,2,FALSE),IF(C327="OKX",VLOOKUP(E327,'Курсы OKX'!A:D,4,FALSE),IF(C327="huobi",VLOOKUP(E327,'Курсы Huobi'!B:C,2,FALSE),"! укажите биржу"))))))</f>
        <v/>
      </c>
      <c r="O327" s="71" t="str">
        <f t="shared" si="27"/>
        <v/>
      </c>
      <c r="P327" s="71" t="str">
        <f t="shared" si="28"/>
        <v/>
      </c>
      <c r="Q327" s="75" t="str">
        <f t="shared" si="29"/>
        <v/>
      </c>
      <c r="R327" s="76"/>
    </row>
    <row r="328" spans="1:18" ht="14.25" customHeight="1">
      <c r="A328" s="67"/>
      <c r="B328" s="68"/>
      <c r="C328" s="69"/>
      <c r="D328" s="69" t="str">
        <f ca="1">IF(B328="","",VLOOKUP('Журнал Закупок'!$B328,'СТ Криптовалюта'!B:C,2,0))</f>
        <v/>
      </c>
      <c r="E328" s="68" t="str">
        <f t="shared" si="25"/>
        <v/>
      </c>
      <c r="F328" s="70"/>
      <c r="G328" s="71"/>
      <c r="H328" s="71"/>
      <c r="I328" s="71" t="str">
        <f t="shared" si="26"/>
        <v/>
      </c>
      <c r="J328" s="71" t="e">
        <f ca="1">IFERROR(__xludf.DUMMYFUNCTION("IF(I328="""","""",IMPORTXML(""http://www.cbr.ru/scripts/XML_daily.asp?date_req=""&amp;TEXT(A328,""DD/MM/YYYY""), ""//ValCurs/Valute[CharCode=""""USD""""]/Value"")*I328)"),"")</f>
        <v>#NAME?</v>
      </c>
      <c r="K328" s="71"/>
      <c r="L328" s="71"/>
      <c r="M328" s="71"/>
      <c r="N328" s="71" t="str">
        <f ca="1">IF(H328="","",IF(D328="usdt",H328,IF(C328="Binance",VLOOKUP(E328,'Курсы Бинанса'!B:C,2,FALSE),IF(C328="bybit",VLOOKUP(E328,'Курсы Bybit'!B:C,2,FALSE),IF(C328="OKX",VLOOKUP(E328,'Курсы OKX'!A:D,4,FALSE),IF(C328="huobi",VLOOKUP(E328,'Курсы Huobi'!B:C,2,FALSE),"! укажите биржу"))))))</f>
        <v/>
      </c>
      <c r="O328" s="71" t="str">
        <f t="shared" si="27"/>
        <v/>
      </c>
      <c r="P328" s="71" t="str">
        <f t="shared" si="28"/>
        <v/>
      </c>
      <c r="Q328" s="75" t="str">
        <f t="shared" si="29"/>
        <v/>
      </c>
      <c r="R328" s="76"/>
    </row>
    <row r="329" spans="1:18" ht="14.25" customHeight="1">
      <c r="A329" s="67"/>
      <c r="B329" s="68"/>
      <c r="C329" s="69"/>
      <c r="D329" s="69" t="str">
        <f ca="1">IF(B329="","",VLOOKUP('Журнал Закупок'!$B329,'СТ Криптовалюта'!B:C,2,0))</f>
        <v/>
      </c>
      <c r="E329" s="68" t="str">
        <f t="shared" si="25"/>
        <v/>
      </c>
      <c r="F329" s="70"/>
      <c r="G329" s="71"/>
      <c r="H329" s="71"/>
      <c r="I329" s="71" t="str">
        <f t="shared" si="26"/>
        <v/>
      </c>
      <c r="J329" s="71" t="e">
        <f ca="1">IFERROR(__xludf.DUMMYFUNCTION("IF(I329="""","""",IMPORTXML(""http://www.cbr.ru/scripts/XML_daily.asp?date_req=""&amp;TEXT(A329,""DD/MM/YYYY""), ""//ValCurs/Valute[CharCode=""""USD""""]/Value"")*I329)"),"")</f>
        <v>#NAME?</v>
      </c>
      <c r="K329" s="71"/>
      <c r="L329" s="71"/>
      <c r="M329" s="71"/>
      <c r="N329" s="71" t="str">
        <f ca="1">IF(H329="","",IF(D329="usdt",H329,IF(C329="Binance",VLOOKUP(E329,'Курсы Бинанса'!B:C,2,FALSE),IF(C329="bybit",VLOOKUP(E329,'Курсы Bybit'!B:C,2,FALSE),IF(C329="OKX",VLOOKUP(E329,'Курсы OKX'!A:D,4,FALSE),IF(C329="huobi",VLOOKUP(E329,'Курсы Huobi'!B:C,2,FALSE),"! укажите биржу"))))))</f>
        <v/>
      </c>
      <c r="O329" s="71" t="str">
        <f t="shared" si="27"/>
        <v/>
      </c>
      <c r="P329" s="71" t="str">
        <f t="shared" si="28"/>
        <v/>
      </c>
      <c r="Q329" s="75" t="str">
        <f t="shared" si="29"/>
        <v/>
      </c>
      <c r="R329" s="76"/>
    </row>
    <row r="330" spans="1:18" ht="14.25" customHeight="1">
      <c r="A330" s="67"/>
      <c r="B330" s="68"/>
      <c r="C330" s="69"/>
      <c r="D330" s="69" t="str">
        <f ca="1">IF(B330="","",VLOOKUP('Журнал Закупок'!$B330,'СТ Криптовалюта'!B:C,2,0))</f>
        <v/>
      </c>
      <c r="E330" s="68" t="str">
        <f t="shared" si="25"/>
        <v/>
      </c>
      <c r="F330" s="70"/>
      <c r="G330" s="71"/>
      <c r="H330" s="71"/>
      <c r="I330" s="71" t="str">
        <f t="shared" si="26"/>
        <v/>
      </c>
      <c r="J330" s="71" t="e">
        <f ca="1">IFERROR(__xludf.DUMMYFUNCTION("IF(I330="""","""",IMPORTXML(""http://www.cbr.ru/scripts/XML_daily.asp?date_req=""&amp;TEXT(A330,""DD/MM/YYYY""), ""//ValCurs/Valute[CharCode=""""USD""""]/Value"")*I330)"),"")</f>
        <v>#NAME?</v>
      </c>
      <c r="K330" s="71"/>
      <c r="L330" s="71"/>
      <c r="M330" s="71"/>
      <c r="N330" s="71" t="str">
        <f ca="1">IF(H330="","",IF(D330="usdt",H330,IF(C330="Binance",VLOOKUP(E330,'Курсы Бинанса'!B:C,2,FALSE),IF(C330="bybit",VLOOKUP(E330,'Курсы Bybit'!B:C,2,FALSE),IF(C330="OKX",VLOOKUP(E330,'Курсы OKX'!A:D,4,FALSE),IF(C330="huobi",VLOOKUP(E330,'Курсы Huobi'!B:C,2,FALSE),"! укажите биржу"))))))</f>
        <v/>
      </c>
      <c r="O330" s="71" t="str">
        <f t="shared" si="27"/>
        <v/>
      </c>
      <c r="P330" s="71" t="str">
        <f t="shared" si="28"/>
        <v/>
      </c>
      <c r="Q330" s="75" t="str">
        <f t="shared" si="29"/>
        <v/>
      </c>
      <c r="R330" s="76"/>
    </row>
    <row r="331" spans="1:18" ht="14.25" customHeight="1">
      <c r="A331" s="67"/>
      <c r="B331" s="68"/>
      <c r="C331" s="69"/>
      <c r="D331" s="69" t="str">
        <f ca="1">IF(B331="","",VLOOKUP('Журнал Закупок'!$B331,'СТ Криптовалюта'!B:C,2,0))</f>
        <v/>
      </c>
      <c r="E331" s="68" t="str">
        <f t="shared" si="25"/>
        <v/>
      </c>
      <c r="F331" s="70"/>
      <c r="G331" s="71"/>
      <c r="H331" s="71"/>
      <c r="I331" s="71" t="str">
        <f t="shared" si="26"/>
        <v/>
      </c>
      <c r="J331" s="71" t="e">
        <f ca="1">IFERROR(__xludf.DUMMYFUNCTION("IF(I331="""","""",IMPORTXML(""http://www.cbr.ru/scripts/XML_daily.asp?date_req=""&amp;TEXT(A331,""DD/MM/YYYY""), ""//ValCurs/Valute[CharCode=""""USD""""]/Value"")*I331)"),"")</f>
        <v>#NAME?</v>
      </c>
      <c r="K331" s="71"/>
      <c r="L331" s="71"/>
      <c r="M331" s="71"/>
      <c r="N331" s="71" t="str">
        <f ca="1">IF(H331="","",IF(D331="usdt",H331,IF(C331="Binance",VLOOKUP(E331,'Курсы Бинанса'!B:C,2,FALSE),IF(C331="bybit",VLOOKUP(E331,'Курсы Bybit'!B:C,2,FALSE),IF(C331="OKX",VLOOKUP(E331,'Курсы OKX'!A:D,4,FALSE),IF(C331="huobi",VLOOKUP(E331,'Курсы Huobi'!B:C,2,FALSE),"! укажите биржу"))))))</f>
        <v/>
      </c>
      <c r="O331" s="71" t="str">
        <f t="shared" si="27"/>
        <v/>
      </c>
      <c r="P331" s="71" t="str">
        <f t="shared" si="28"/>
        <v/>
      </c>
      <c r="Q331" s="75" t="str">
        <f t="shared" si="29"/>
        <v/>
      </c>
      <c r="R331" s="76"/>
    </row>
    <row r="332" spans="1:18" ht="14.25" customHeight="1">
      <c r="A332" s="67"/>
      <c r="B332" s="68"/>
      <c r="C332" s="69"/>
      <c r="D332" s="69" t="str">
        <f ca="1">IF(B332="","",VLOOKUP('Журнал Закупок'!$B332,'СТ Криптовалюта'!B:C,2,0))</f>
        <v/>
      </c>
      <c r="E332" s="68" t="str">
        <f t="shared" si="25"/>
        <v/>
      </c>
      <c r="F332" s="70"/>
      <c r="G332" s="71"/>
      <c r="H332" s="71"/>
      <c r="I332" s="71" t="str">
        <f t="shared" si="26"/>
        <v/>
      </c>
      <c r="J332" s="71" t="e">
        <f ca="1">IFERROR(__xludf.DUMMYFUNCTION("IF(I332="""","""",IMPORTXML(""http://www.cbr.ru/scripts/XML_daily.asp?date_req=""&amp;TEXT(A332,""DD/MM/YYYY""), ""//ValCurs/Valute[CharCode=""""USD""""]/Value"")*I332)"),"")</f>
        <v>#NAME?</v>
      </c>
      <c r="K332" s="71"/>
      <c r="L332" s="71"/>
      <c r="M332" s="71"/>
      <c r="N332" s="71" t="str">
        <f ca="1">IF(H332="","",IF(D332="usdt",H332,IF(C332="Binance",VLOOKUP(E332,'Курсы Бинанса'!B:C,2,FALSE),IF(C332="bybit",VLOOKUP(E332,'Курсы Bybit'!B:C,2,FALSE),IF(C332="OKX",VLOOKUP(E332,'Курсы OKX'!A:D,4,FALSE),IF(C332="huobi",VLOOKUP(E332,'Курсы Huobi'!B:C,2,FALSE),"! укажите биржу"))))))</f>
        <v/>
      </c>
      <c r="O332" s="71" t="str">
        <f t="shared" si="27"/>
        <v/>
      </c>
      <c r="P332" s="71" t="str">
        <f t="shared" si="28"/>
        <v/>
      </c>
      <c r="Q332" s="75" t="str">
        <f t="shared" si="29"/>
        <v/>
      </c>
      <c r="R332" s="76"/>
    </row>
    <row r="333" spans="1:18" ht="14.25" customHeight="1">
      <c r="A333" s="67"/>
      <c r="B333" s="68"/>
      <c r="C333" s="69"/>
      <c r="D333" s="69" t="str">
        <f ca="1">IF(B333="","",VLOOKUP('Журнал Закупок'!$B333,'СТ Криптовалюта'!B:C,2,0))</f>
        <v/>
      </c>
      <c r="E333" s="68" t="str">
        <f t="shared" si="25"/>
        <v/>
      </c>
      <c r="F333" s="70"/>
      <c r="G333" s="71"/>
      <c r="H333" s="71"/>
      <c r="I333" s="71" t="str">
        <f t="shared" si="26"/>
        <v/>
      </c>
      <c r="J333" s="71" t="e">
        <f ca="1">IFERROR(__xludf.DUMMYFUNCTION("IF(I333="""","""",IMPORTXML(""http://www.cbr.ru/scripts/XML_daily.asp?date_req=""&amp;TEXT(A333,""DD/MM/YYYY""), ""//ValCurs/Valute[CharCode=""""USD""""]/Value"")*I333)"),"")</f>
        <v>#NAME?</v>
      </c>
      <c r="K333" s="71"/>
      <c r="L333" s="71"/>
      <c r="M333" s="71"/>
      <c r="N333" s="71" t="str">
        <f ca="1">IF(H333="","",IF(D333="usdt",H333,IF(C333="Binance",VLOOKUP(E333,'Курсы Бинанса'!B:C,2,FALSE),IF(C333="bybit",VLOOKUP(E333,'Курсы Bybit'!B:C,2,FALSE),IF(C333="OKX",VLOOKUP(E333,'Курсы OKX'!A:D,4,FALSE),IF(C333="huobi",VLOOKUP(E333,'Курсы Huobi'!B:C,2,FALSE),"! укажите биржу"))))))</f>
        <v/>
      </c>
      <c r="O333" s="71" t="str">
        <f t="shared" si="27"/>
        <v/>
      </c>
      <c r="P333" s="71" t="str">
        <f t="shared" si="28"/>
        <v/>
      </c>
      <c r="Q333" s="75" t="str">
        <f t="shared" si="29"/>
        <v/>
      </c>
      <c r="R333" s="76"/>
    </row>
    <row r="334" spans="1:18" ht="14.25" customHeight="1">
      <c r="A334" s="67"/>
      <c r="B334" s="68"/>
      <c r="C334" s="69"/>
      <c r="D334" s="69" t="str">
        <f ca="1">IF(B334="","",VLOOKUP('Журнал Закупок'!$B334,'СТ Криптовалюта'!B:C,2,0))</f>
        <v/>
      </c>
      <c r="E334" s="68" t="str">
        <f t="shared" si="25"/>
        <v/>
      </c>
      <c r="F334" s="70"/>
      <c r="G334" s="71"/>
      <c r="H334" s="71"/>
      <c r="I334" s="71" t="str">
        <f t="shared" si="26"/>
        <v/>
      </c>
      <c r="J334" s="71" t="e">
        <f ca="1">IFERROR(__xludf.DUMMYFUNCTION("IF(I334="""","""",IMPORTXML(""http://www.cbr.ru/scripts/XML_daily.asp?date_req=""&amp;TEXT(A334,""DD/MM/YYYY""), ""//ValCurs/Valute[CharCode=""""USD""""]/Value"")*I334)"),"")</f>
        <v>#NAME?</v>
      </c>
      <c r="K334" s="71"/>
      <c r="L334" s="71"/>
      <c r="M334" s="71"/>
      <c r="N334" s="71" t="str">
        <f ca="1">IF(H334="","",IF(D334="usdt",H334,IF(C334="Binance",VLOOKUP(E334,'Курсы Бинанса'!B:C,2,FALSE),IF(C334="bybit",VLOOKUP(E334,'Курсы Bybit'!B:C,2,FALSE),IF(C334="OKX",VLOOKUP(E334,'Курсы OKX'!A:D,4,FALSE),IF(C334="huobi",VLOOKUP(E334,'Курсы Huobi'!B:C,2,FALSE),"! укажите биржу"))))))</f>
        <v/>
      </c>
      <c r="O334" s="71" t="str">
        <f t="shared" si="27"/>
        <v/>
      </c>
      <c r="P334" s="71" t="str">
        <f t="shared" si="28"/>
        <v/>
      </c>
      <c r="Q334" s="75" t="str">
        <f t="shared" si="29"/>
        <v/>
      </c>
      <c r="R334" s="76"/>
    </row>
    <row r="335" spans="1:18" ht="14.25" customHeight="1">
      <c r="A335" s="67"/>
      <c r="B335" s="68"/>
      <c r="C335" s="69"/>
      <c r="D335" s="69" t="str">
        <f ca="1">IF(B335="","",VLOOKUP('Журнал Закупок'!$B335,'СТ Криптовалюта'!B:C,2,0))</f>
        <v/>
      </c>
      <c r="E335" s="68" t="str">
        <f t="shared" si="25"/>
        <v/>
      </c>
      <c r="F335" s="70"/>
      <c r="G335" s="71"/>
      <c r="H335" s="71"/>
      <c r="I335" s="71" t="str">
        <f t="shared" si="26"/>
        <v/>
      </c>
      <c r="J335" s="71" t="e">
        <f ca="1">IFERROR(__xludf.DUMMYFUNCTION("IF(I335="""","""",IMPORTXML(""http://www.cbr.ru/scripts/XML_daily.asp?date_req=""&amp;TEXT(A335,""DD/MM/YYYY""), ""//ValCurs/Valute[CharCode=""""USD""""]/Value"")*I335)"),"")</f>
        <v>#NAME?</v>
      </c>
      <c r="K335" s="71"/>
      <c r="L335" s="71"/>
      <c r="M335" s="71"/>
      <c r="N335" s="71" t="str">
        <f ca="1">IF(H335="","",IF(D335="usdt",H335,IF(C335="Binance",VLOOKUP(E335,'Курсы Бинанса'!B:C,2,FALSE),IF(C335="bybit",VLOOKUP(E335,'Курсы Bybit'!B:C,2,FALSE),IF(C335="OKX",VLOOKUP(E335,'Курсы OKX'!A:D,4,FALSE),IF(C335="huobi",VLOOKUP(E335,'Курсы Huobi'!B:C,2,FALSE),"! укажите биржу"))))))</f>
        <v/>
      </c>
      <c r="O335" s="71" t="str">
        <f t="shared" si="27"/>
        <v/>
      </c>
      <c r="P335" s="71" t="str">
        <f t="shared" si="28"/>
        <v/>
      </c>
      <c r="Q335" s="75" t="str">
        <f t="shared" si="29"/>
        <v/>
      </c>
      <c r="R335" s="76"/>
    </row>
    <row r="336" spans="1:18" ht="14.25" customHeight="1">
      <c r="A336" s="67"/>
      <c r="B336" s="68"/>
      <c r="C336" s="69"/>
      <c r="D336" s="69" t="str">
        <f ca="1">IF(B336="","",VLOOKUP('Журнал Закупок'!$B336,'СТ Криптовалюта'!B:C,2,0))</f>
        <v/>
      </c>
      <c r="E336" s="68" t="str">
        <f t="shared" si="25"/>
        <v/>
      </c>
      <c r="F336" s="70"/>
      <c r="G336" s="71"/>
      <c r="H336" s="71"/>
      <c r="I336" s="71" t="str">
        <f t="shared" si="26"/>
        <v/>
      </c>
      <c r="J336" s="71" t="e">
        <f ca="1">IFERROR(__xludf.DUMMYFUNCTION("IF(I336="""","""",IMPORTXML(""http://www.cbr.ru/scripts/XML_daily.asp?date_req=""&amp;TEXT(A336,""DD/MM/YYYY""), ""//ValCurs/Valute[CharCode=""""USD""""]/Value"")*I336)"),"")</f>
        <v>#NAME?</v>
      </c>
      <c r="K336" s="71"/>
      <c r="L336" s="71"/>
      <c r="M336" s="71"/>
      <c r="N336" s="71" t="str">
        <f ca="1">IF(H336="","",IF(D336="usdt",H336,IF(C336="Binance",VLOOKUP(E336,'Курсы Бинанса'!B:C,2,FALSE),IF(C336="bybit",VLOOKUP(E336,'Курсы Bybit'!B:C,2,FALSE),IF(C336="OKX",VLOOKUP(E336,'Курсы OKX'!A:D,4,FALSE),IF(C336="huobi",VLOOKUP(E336,'Курсы Huobi'!B:C,2,FALSE),"! укажите биржу"))))))</f>
        <v/>
      </c>
      <c r="O336" s="71" t="str">
        <f t="shared" si="27"/>
        <v/>
      </c>
      <c r="P336" s="71" t="str">
        <f t="shared" si="28"/>
        <v/>
      </c>
      <c r="Q336" s="75" t="str">
        <f t="shared" si="29"/>
        <v/>
      </c>
      <c r="R336" s="76"/>
    </row>
    <row r="337" spans="1:18" ht="14.25" customHeight="1">
      <c r="A337" s="67"/>
      <c r="B337" s="68"/>
      <c r="C337" s="69"/>
      <c r="D337" s="69" t="str">
        <f ca="1">IF(B337="","",VLOOKUP('Журнал Закупок'!$B337,'СТ Криптовалюта'!B:C,2,0))</f>
        <v/>
      </c>
      <c r="E337" s="68" t="str">
        <f t="shared" si="25"/>
        <v/>
      </c>
      <c r="F337" s="70"/>
      <c r="G337" s="71"/>
      <c r="H337" s="71"/>
      <c r="I337" s="71" t="str">
        <f t="shared" si="26"/>
        <v/>
      </c>
      <c r="J337" s="71" t="e">
        <f ca="1">IFERROR(__xludf.DUMMYFUNCTION("IF(I337="""","""",IMPORTXML(""http://www.cbr.ru/scripts/XML_daily.asp?date_req=""&amp;TEXT(A337,""DD/MM/YYYY""), ""//ValCurs/Valute[CharCode=""""USD""""]/Value"")*I337)"),"")</f>
        <v>#NAME?</v>
      </c>
      <c r="K337" s="71"/>
      <c r="L337" s="71"/>
      <c r="M337" s="71"/>
      <c r="N337" s="71" t="str">
        <f ca="1">IF(H337="","",IF(D337="usdt",H337,IF(C337="Binance",VLOOKUP(E337,'Курсы Бинанса'!B:C,2,FALSE),IF(C337="bybit",VLOOKUP(E337,'Курсы Bybit'!B:C,2,FALSE),IF(C337="OKX",VLOOKUP(E337,'Курсы OKX'!A:D,4,FALSE),IF(C337="huobi",VLOOKUP(E337,'Курсы Huobi'!B:C,2,FALSE),"! укажите биржу"))))))</f>
        <v/>
      </c>
      <c r="O337" s="71" t="str">
        <f t="shared" si="27"/>
        <v/>
      </c>
      <c r="P337" s="71" t="str">
        <f t="shared" si="28"/>
        <v/>
      </c>
      <c r="Q337" s="75" t="str">
        <f t="shared" si="29"/>
        <v/>
      </c>
      <c r="R337" s="76"/>
    </row>
    <row r="338" spans="1:18" ht="14.25" customHeight="1">
      <c r="A338" s="67"/>
      <c r="B338" s="68"/>
      <c r="C338" s="69"/>
      <c r="D338" s="69" t="str">
        <f ca="1">IF(B338="","",VLOOKUP('Журнал Закупок'!$B338,'СТ Криптовалюта'!B:C,2,0))</f>
        <v/>
      </c>
      <c r="E338" s="68" t="str">
        <f t="shared" si="25"/>
        <v/>
      </c>
      <c r="F338" s="70"/>
      <c r="G338" s="71"/>
      <c r="H338" s="71"/>
      <c r="I338" s="71" t="str">
        <f t="shared" si="26"/>
        <v/>
      </c>
      <c r="J338" s="71" t="e">
        <f ca="1">IFERROR(__xludf.DUMMYFUNCTION("IF(I338="""","""",IMPORTXML(""http://www.cbr.ru/scripts/XML_daily.asp?date_req=""&amp;TEXT(A338,""DD/MM/YYYY""), ""//ValCurs/Valute[CharCode=""""USD""""]/Value"")*I338)"),"")</f>
        <v>#NAME?</v>
      </c>
      <c r="K338" s="71"/>
      <c r="L338" s="71"/>
      <c r="M338" s="71"/>
      <c r="N338" s="71" t="str">
        <f ca="1">IF(H338="","",IF(D338="usdt",H338,IF(C338="Binance",VLOOKUP(E338,'Курсы Бинанса'!B:C,2,FALSE),IF(C338="bybit",VLOOKUP(E338,'Курсы Bybit'!B:C,2,FALSE),IF(C338="OKX",VLOOKUP(E338,'Курсы OKX'!A:D,4,FALSE),IF(C338="huobi",VLOOKUP(E338,'Курсы Huobi'!B:C,2,FALSE),"! укажите биржу"))))))</f>
        <v/>
      </c>
      <c r="O338" s="71" t="str">
        <f t="shared" si="27"/>
        <v/>
      </c>
      <c r="P338" s="71" t="str">
        <f t="shared" si="28"/>
        <v/>
      </c>
      <c r="Q338" s="75" t="str">
        <f t="shared" si="29"/>
        <v/>
      </c>
      <c r="R338" s="76"/>
    </row>
    <row r="339" spans="1:18" ht="14.25" customHeight="1">
      <c r="A339" s="67"/>
      <c r="B339" s="68"/>
      <c r="C339" s="69"/>
      <c r="D339" s="69" t="str">
        <f ca="1">IF(B339="","",VLOOKUP('Журнал Закупок'!$B339,'СТ Криптовалюта'!B:C,2,0))</f>
        <v/>
      </c>
      <c r="E339" s="68" t="str">
        <f t="shared" si="25"/>
        <v/>
      </c>
      <c r="F339" s="70"/>
      <c r="G339" s="71"/>
      <c r="H339" s="71"/>
      <c r="I339" s="71" t="str">
        <f t="shared" si="26"/>
        <v/>
      </c>
      <c r="J339" s="71" t="e">
        <f ca="1">IFERROR(__xludf.DUMMYFUNCTION("IF(I339="""","""",IMPORTXML(""http://www.cbr.ru/scripts/XML_daily.asp?date_req=""&amp;TEXT(A339,""DD/MM/YYYY""), ""//ValCurs/Valute[CharCode=""""USD""""]/Value"")*I339)"),"")</f>
        <v>#NAME?</v>
      </c>
      <c r="K339" s="71"/>
      <c r="L339" s="71"/>
      <c r="M339" s="71"/>
      <c r="N339" s="71" t="str">
        <f ca="1">IF(H339="","",IF(D339="usdt",H339,IF(C339="Binance",VLOOKUP(E339,'Курсы Бинанса'!B:C,2,FALSE),IF(C339="bybit",VLOOKUP(E339,'Курсы Bybit'!B:C,2,FALSE),IF(C339="OKX",VLOOKUP(E339,'Курсы OKX'!A:D,4,FALSE),IF(C339="huobi",VLOOKUP(E339,'Курсы Huobi'!B:C,2,FALSE),"! укажите биржу"))))))</f>
        <v/>
      </c>
      <c r="O339" s="71" t="str">
        <f t="shared" si="27"/>
        <v/>
      </c>
      <c r="P339" s="71" t="str">
        <f t="shared" si="28"/>
        <v/>
      </c>
      <c r="Q339" s="75" t="str">
        <f t="shared" si="29"/>
        <v/>
      </c>
      <c r="R339" s="76"/>
    </row>
    <row r="340" spans="1:18" ht="14.25" customHeight="1">
      <c r="A340" s="67"/>
      <c r="B340" s="68"/>
      <c r="C340" s="69"/>
      <c r="D340" s="69" t="str">
        <f ca="1">IF(B340="","",VLOOKUP('Журнал Закупок'!$B340,'СТ Криптовалюта'!B:C,2,0))</f>
        <v/>
      </c>
      <c r="E340" s="68" t="str">
        <f t="shared" si="25"/>
        <v/>
      </c>
      <c r="F340" s="70"/>
      <c r="G340" s="71"/>
      <c r="H340" s="71"/>
      <c r="I340" s="71" t="str">
        <f t="shared" si="26"/>
        <v/>
      </c>
      <c r="J340" s="71" t="e">
        <f ca="1">IFERROR(__xludf.DUMMYFUNCTION("IF(I340="""","""",IMPORTXML(""http://www.cbr.ru/scripts/XML_daily.asp?date_req=""&amp;TEXT(A340,""DD/MM/YYYY""), ""//ValCurs/Valute[CharCode=""""USD""""]/Value"")*I340)"),"")</f>
        <v>#NAME?</v>
      </c>
      <c r="K340" s="71"/>
      <c r="L340" s="71"/>
      <c r="M340" s="71"/>
      <c r="N340" s="71" t="str">
        <f ca="1">IF(H340="","",IF(D340="usdt",H340,IF(C340="Binance",VLOOKUP(E340,'Курсы Бинанса'!B:C,2,FALSE),IF(C340="bybit",VLOOKUP(E340,'Курсы Bybit'!B:C,2,FALSE),IF(C340="OKX",VLOOKUP(E340,'Курсы OKX'!A:D,4,FALSE),IF(C340="huobi",VLOOKUP(E340,'Курсы Huobi'!B:C,2,FALSE),"! укажите биржу"))))))</f>
        <v/>
      </c>
      <c r="O340" s="71" t="str">
        <f t="shared" si="27"/>
        <v/>
      </c>
      <c r="P340" s="71" t="str">
        <f t="shared" si="28"/>
        <v/>
      </c>
      <c r="Q340" s="75" t="str">
        <f t="shared" si="29"/>
        <v/>
      </c>
      <c r="R340" s="76"/>
    </row>
    <row r="341" spans="1:18" ht="14.25" customHeight="1">
      <c r="A341" s="67"/>
      <c r="B341" s="68"/>
      <c r="C341" s="69"/>
      <c r="D341" s="69" t="str">
        <f ca="1">IF(B341="","",VLOOKUP('Журнал Закупок'!$B341,'СТ Криптовалюта'!B:C,2,0))</f>
        <v/>
      </c>
      <c r="E341" s="68" t="str">
        <f t="shared" si="25"/>
        <v/>
      </c>
      <c r="F341" s="70"/>
      <c r="G341" s="71"/>
      <c r="H341" s="71"/>
      <c r="I341" s="71" t="str">
        <f t="shared" si="26"/>
        <v/>
      </c>
      <c r="J341" s="71" t="e">
        <f ca="1">IFERROR(__xludf.DUMMYFUNCTION("IF(I341="""","""",IMPORTXML(""http://www.cbr.ru/scripts/XML_daily.asp?date_req=""&amp;TEXT(A341,""DD/MM/YYYY""), ""//ValCurs/Valute[CharCode=""""USD""""]/Value"")*I341)"),"")</f>
        <v>#NAME?</v>
      </c>
      <c r="K341" s="71"/>
      <c r="L341" s="71"/>
      <c r="M341" s="71"/>
      <c r="N341" s="71" t="str">
        <f ca="1">IF(H341="","",IF(D341="usdt",H341,IF(C341="Binance",VLOOKUP(E341,'Курсы Бинанса'!B:C,2,FALSE),IF(C341="bybit",VLOOKUP(E341,'Курсы Bybit'!B:C,2,FALSE),IF(C341="OKX",VLOOKUP(E341,'Курсы OKX'!A:D,4,FALSE),IF(C341="huobi",VLOOKUP(E341,'Курсы Huobi'!B:C,2,FALSE),"! укажите биржу"))))))</f>
        <v/>
      </c>
      <c r="O341" s="71" t="str">
        <f t="shared" si="27"/>
        <v/>
      </c>
      <c r="P341" s="71" t="str">
        <f t="shared" si="28"/>
        <v/>
      </c>
      <c r="Q341" s="75" t="str">
        <f t="shared" si="29"/>
        <v/>
      </c>
      <c r="R341" s="76"/>
    </row>
    <row r="342" spans="1:18" ht="14.25" customHeight="1">
      <c r="A342" s="67"/>
      <c r="B342" s="68"/>
      <c r="C342" s="69"/>
      <c r="D342" s="69" t="str">
        <f ca="1">IF(B342="","",VLOOKUP('Журнал Закупок'!$B342,'СТ Криптовалюта'!B:C,2,0))</f>
        <v/>
      </c>
      <c r="E342" s="68" t="str">
        <f t="shared" si="25"/>
        <v/>
      </c>
      <c r="F342" s="70"/>
      <c r="G342" s="71"/>
      <c r="H342" s="71"/>
      <c r="I342" s="71" t="str">
        <f t="shared" si="26"/>
        <v/>
      </c>
      <c r="J342" s="71" t="e">
        <f ca="1">IFERROR(__xludf.DUMMYFUNCTION("IF(I342="""","""",IMPORTXML(""http://www.cbr.ru/scripts/XML_daily.asp?date_req=""&amp;TEXT(A342,""DD/MM/YYYY""), ""//ValCurs/Valute[CharCode=""""USD""""]/Value"")*I342)"),"")</f>
        <v>#NAME?</v>
      </c>
      <c r="K342" s="71"/>
      <c r="L342" s="71"/>
      <c r="M342" s="71"/>
      <c r="N342" s="71" t="str">
        <f ca="1">IF(H342="","",IF(D342="usdt",H342,IF(C342="Binance",VLOOKUP(E342,'Курсы Бинанса'!B:C,2,FALSE),IF(C342="bybit",VLOOKUP(E342,'Курсы Bybit'!B:C,2,FALSE),IF(C342="OKX",VLOOKUP(E342,'Курсы OKX'!A:D,4,FALSE),IF(C342="huobi",VLOOKUP(E342,'Курсы Huobi'!B:C,2,FALSE),"! укажите биржу"))))))</f>
        <v/>
      </c>
      <c r="O342" s="71" t="str">
        <f t="shared" si="27"/>
        <v/>
      </c>
      <c r="P342" s="71" t="str">
        <f t="shared" si="28"/>
        <v/>
      </c>
      <c r="Q342" s="75" t="str">
        <f t="shared" si="29"/>
        <v/>
      </c>
      <c r="R342" s="76"/>
    </row>
    <row r="343" spans="1:18" ht="14.25" customHeight="1">
      <c r="A343" s="67"/>
      <c r="B343" s="68"/>
      <c r="C343" s="69"/>
      <c r="D343" s="69" t="str">
        <f ca="1">IF(B343="","",VLOOKUP('Журнал Закупок'!$B343,'СТ Криптовалюта'!B:C,2,0))</f>
        <v/>
      </c>
      <c r="E343" s="68" t="str">
        <f t="shared" si="25"/>
        <v/>
      </c>
      <c r="F343" s="70"/>
      <c r="G343" s="71"/>
      <c r="H343" s="71"/>
      <c r="I343" s="71" t="str">
        <f t="shared" si="26"/>
        <v/>
      </c>
      <c r="J343" s="71" t="e">
        <f ca="1">IFERROR(__xludf.DUMMYFUNCTION("IF(I343="""","""",IMPORTXML(""http://www.cbr.ru/scripts/XML_daily.asp?date_req=""&amp;TEXT(A343,""DD/MM/YYYY""), ""//ValCurs/Valute[CharCode=""""USD""""]/Value"")*I343)"),"")</f>
        <v>#NAME?</v>
      </c>
      <c r="K343" s="71"/>
      <c r="L343" s="71"/>
      <c r="M343" s="71"/>
      <c r="N343" s="71" t="str">
        <f ca="1">IF(H343="","",IF(D343="usdt",H343,IF(C343="Binance",VLOOKUP(E343,'Курсы Бинанса'!B:C,2,FALSE),IF(C343="bybit",VLOOKUP(E343,'Курсы Bybit'!B:C,2,FALSE),IF(C343="OKX",VLOOKUP(E343,'Курсы OKX'!A:D,4,FALSE),IF(C343="huobi",VLOOKUP(E343,'Курсы Huobi'!B:C,2,FALSE),"! укажите биржу"))))))</f>
        <v/>
      </c>
      <c r="O343" s="71" t="str">
        <f t="shared" si="27"/>
        <v/>
      </c>
      <c r="P343" s="71" t="str">
        <f t="shared" si="28"/>
        <v/>
      </c>
      <c r="Q343" s="75" t="str">
        <f t="shared" si="29"/>
        <v/>
      </c>
      <c r="R343" s="76"/>
    </row>
    <row r="344" spans="1:18" ht="14.25" customHeight="1">
      <c r="A344" s="67"/>
      <c r="B344" s="68"/>
      <c r="C344" s="69"/>
      <c r="D344" s="69" t="str">
        <f ca="1">IF(B344="","",VLOOKUP('Журнал Закупок'!$B344,'СТ Криптовалюта'!B:C,2,0))</f>
        <v/>
      </c>
      <c r="E344" s="68" t="str">
        <f t="shared" si="25"/>
        <v/>
      </c>
      <c r="F344" s="70"/>
      <c r="G344" s="71"/>
      <c r="H344" s="71"/>
      <c r="I344" s="71" t="str">
        <f t="shared" si="26"/>
        <v/>
      </c>
      <c r="J344" s="71" t="e">
        <f ca="1">IFERROR(__xludf.DUMMYFUNCTION("IF(I344="""","""",IMPORTXML(""http://www.cbr.ru/scripts/XML_daily.asp?date_req=""&amp;TEXT(A344,""DD/MM/YYYY""), ""//ValCurs/Valute[CharCode=""""USD""""]/Value"")*I344)"),"")</f>
        <v>#NAME?</v>
      </c>
      <c r="K344" s="71"/>
      <c r="L344" s="71"/>
      <c r="M344" s="71"/>
      <c r="N344" s="71" t="str">
        <f ca="1">IF(H344="","",IF(D344="usdt",H344,IF(C344="Binance",VLOOKUP(E344,'Курсы Бинанса'!B:C,2,FALSE),IF(C344="bybit",VLOOKUP(E344,'Курсы Bybit'!B:C,2,FALSE),IF(C344="OKX",VLOOKUP(E344,'Курсы OKX'!A:D,4,FALSE),IF(C344="huobi",VLOOKUP(E344,'Курсы Huobi'!B:C,2,FALSE),"! укажите биржу"))))))</f>
        <v/>
      </c>
      <c r="O344" s="71" t="str">
        <f t="shared" si="27"/>
        <v/>
      </c>
      <c r="P344" s="71" t="str">
        <f t="shared" si="28"/>
        <v/>
      </c>
      <c r="Q344" s="75" t="str">
        <f t="shared" si="29"/>
        <v/>
      </c>
      <c r="R344" s="76"/>
    </row>
    <row r="345" spans="1:18" ht="14.25" customHeight="1">
      <c r="A345" s="67"/>
      <c r="B345" s="68"/>
      <c r="C345" s="69"/>
      <c r="D345" s="69" t="str">
        <f ca="1">IF(B345="","",VLOOKUP('Журнал Закупок'!$B345,'СТ Криптовалюта'!B:C,2,0))</f>
        <v/>
      </c>
      <c r="E345" s="68" t="str">
        <f t="shared" si="25"/>
        <v/>
      </c>
      <c r="F345" s="70"/>
      <c r="G345" s="71"/>
      <c r="H345" s="71"/>
      <c r="I345" s="71" t="str">
        <f t="shared" si="26"/>
        <v/>
      </c>
      <c r="J345" s="71" t="e">
        <f ca="1">IFERROR(__xludf.DUMMYFUNCTION("IF(I345="""","""",IMPORTXML(""http://www.cbr.ru/scripts/XML_daily.asp?date_req=""&amp;TEXT(A345,""DD/MM/YYYY""), ""//ValCurs/Valute[CharCode=""""USD""""]/Value"")*I345)"),"")</f>
        <v>#NAME?</v>
      </c>
      <c r="K345" s="71"/>
      <c r="L345" s="71"/>
      <c r="M345" s="71"/>
      <c r="N345" s="71" t="str">
        <f ca="1">IF(H345="","",IF(D345="usdt",H345,IF(C345="Binance",VLOOKUP(E345,'Курсы Бинанса'!B:C,2,FALSE),IF(C345="bybit",VLOOKUP(E345,'Курсы Bybit'!B:C,2,FALSE),IF(C345="OKX",VLOOKUP(E345,'Курсы OKX'!A:D,4,FALSE),IF(C345="huobi",VLOOKUP(E345,'Курсы Huobi'!B:C,2,FALSE),"! укажите биржу"))))))</f>
        <v/>
      </c>
      <c r="O345" s="71" t="str">
        <f t="shared" si="27"/>
        <v/>
      </c>
      <c r="P345" s="71" t="str">
        <f t="shared" si="28"/>
        <v/>
      </c>
      <c r="Q345" s="75" t="str">
        <f t="shared" si="29"/>
        <v/>
      </c>
      <c r="R345" s="76"/>
    </row>
    <row r="346" spans="1:18" ht="14.25" customHeight="1">
      <c r="A346" s="67"/>
      <c r="B346" s="68"/>
      <c r="C346" s="69"/>
      <c r="D346" s="69" t="str">
        <f ca="1">IF(B346="","",VLOOKUP('Журнал Закупок'!$B346,'СТ Криптовалюта'!B:C,2,0))</f>
        <v/>
      </c>
      <c r="E346" s="68" t="str">
        <f t="shared" si="25"/>
        <v/>
      </c>
      <c r="F346" s="70"/>
      <c r="G346" s="71"/>
      <c r="H346" s="71"/>
      <c r="I346" s="71" t="str">
        <f t="shared" si="26"/>
        <v/>
      </c>
      <c r="J346" s="71" t="e">
        <f ca="1">IFERROR(__xludf.DUMMYFUNCTION("IF(I346="""","""",IMPORTXML(""http://www.cbr.ru/scripts/XML_daily.asp?date_req=""&amp;TEXT(A346,""DD/MM/YYYY""), ""//ValCurs/Valute[CharCode=""""USD""""]/Value"")*I346)"),"")</f>
        <v>#NAME?</v>
      </c>
      <c r="K346" s="71"/>
      <c r="L346" s="71"/>
      <c r="M346" s="71"/>
      <c r="N346" s="71" t="str">
        <f ca="1">IF(H346="","",IF(D346="usdt",H346,IF(C346="Binance",VLOOKUP(E346,'Курсы Бинанса'!B:C,2,FALSE),IF(C346="bybit",VLOOKUP(E346,'Курсы Bybit'!B:C,2,FALSE),IF(C346="OKX",VLOOKUP(E346,'Курсы OKX'!A:D,4,FALSE),IF(C346="huobi",VLOOKUP(E346,'Курсы Huobi'!B:C,2,FALSE),"! укажите биржу"))))))</f>
        <v/>
      </c>
      <c r="O346" s="71" t="str">
        <f t="shared" si="27"/>
        <v/>
      </c>
      <c r="P346" s="71" t="str">
        <f t="shared" si="28"/>
        <v/>
      </c>
      <c r="Q346" s="75" t="str">
        <f t="shared" si="29"/>
        <v/>
      </c>
      <c r="R346" s="76"/>
    </row>
    <row r="347" spans="1:18" ht="14.25" customHeight="1">
      <c r="A347" s="67"/>
      <c r="B347" s="68"/>
      <c r="C347" s="69"/>
      <c r="D347" s="69" t="str">
        <f ca="1">IF(B347="","",VLOOKUP('Журнал Закупок'!$B347,'СТ Криптовалюта'!B:C,2,0))</f>
        <v/>
      </c>
      <c r="E347" s="68" t="str">
        <f t="shared" si="25"/>
        <v/>
      </c>
      <c r="F347" s="70"/>
      <c r="G347" s="71"/>
      <c r="H347" s="71"/>
      <c r="I347" s="71" t="str">
        <f t="shared" si="26"/>
        <v/>
      </c>
      <c r="J347" s="71" t="e">
        <f ca="1">IFERROR(__xludf.DUMMYFUNCTION("IF(I347="""","""",IMPORTXML(""http://www.cbr.ru/scripts/XML_daily.asp?date_req=""&amp;TEXT(A347,""DD/MM/YYYY""), ""//ValCurs/Valute[CharCode=""""USD""""]/Value"")*I347)"),"")</f>
        <v>#NAME?</v>
      </c>
      <c r="K347" s="71"/>
      <c r="L347" s="71"/>
      <c r="M347" s="71"/>
      <c r="N347" s="71" t="str">
        <f ca="1">IF(H347="","",IF(D347="usdt",H347,IF(C347="Binance",VLOOKUP(E347,'Курсы Бинанса'!B:C,2,FALSE),IF(C347="bybit",VLOOKUP(E347,'Курсы Bybit'!B:C,2,FALSE),IF(C347="OKX",VLOOKUP(E347,'Курсы OKX'!A:D,4,FALSE),IF(C347="huobi",VLOOKUP(E347,'Курсы Huobi'!B:C,2,FALSE),"! укажите биржу"))))))</f>
        <v/>
      </c>
      <c r="O347" s="71" t="str">
        <f t="shared" si="27"/>
        <v/>
      </c>
      <c r="P347" s="71" t="str">
        <f t="shared" si="28"/>
        <v/>
      </c>
      <c r="Q347" s="75" t="str">
        <f t="shared" si="29"/>
        <v/>
      </c>
      <c r="R347" s="76"/>
    </row>
    <row r="348" spans="1:18" ht="14.25" customHeight="1">
      <c r="A348" s="67"/>
      <c r="B348" s="68"/>
      <c r="C348" s="69"/>
      <c r="D348" s="69" t="str">
        <f ca="1">IF(B348="","",VLOOKUP('Журнал Закупок'!$B348,'СТ Криптовалюта'!B:C,2,0))</f>
        <v/>
      </c>
      <c r="E348" s="68" t="str">
        <f t="shared" si="25"/>
        <v/>
      </c>
      <c r="F348" s="70"/>
      <c r="G348" s="71"/>
      <c r="H348" s="71"/>
      <c r="I348" s="71" t="str">
        <f t="shared" si="26"/>
        <v/>
      </c>
      <c r="J348" s="71" t="e">
        <f ca="1">IFERROR(__xludf.DUMMYFUNCTION("IF(I348="""","""",IMPORTXML(""http://www.cbr.ru/scripts/XML_daily.asp?date_req=""&amp;TEXT(A348,""DD/MM/YYYY""), ""//ValCurs/Valute[CharCode=""""USD""""]/Value"")*I348)"),"")</f>
        <v>#NAME?</v>
      </c>
      <c r="K348" s="71"/>
      <c r="L348" s="71"/>
      <c r="M348" s="71"/>
      <c r="N348" s="71" t="str">
        <f ca="1">IF(H348="","",IF(D348="usdt",H348,IF(C348="Binance",VLOOKUP(E348,'Курсы Бинанса'!B:C,2,FALSE),IF(C348="bybit",VLOOKUP(E348,'Курсы Bybit'!B:C,2,FALSE),IF(C348="OKX",VLOOKUP(E348,'Курсы OKX'!A:D,4,FALSE),IF(C348="huobi",VLOOKUP(E348,'Курсы Huobi'!B:C,2,FALSE),"! укажите биржу"))))))</f>
        <v/>
      </c>
      <c r="O348" s="71" t="str">
        <f t="shared" si="27"/>
        <v/>
      </c>
      <c r="P348" s="71" t="str">
        <f t="shared" si="28"/>
        <v/>
      </c>
      <c r="Q348" s="75" t="str">
        <f t="shared" si="29"/>
        <v/>
      </c>
      <c r="R348" s="76"/>
    </row>
    <row r="349" spans="1:18" ht="14.25" customHeight="1">
      <c r="A349" s="67"/>
      <c r="B349" s="68"/>
      <c r="C349" s="69"/>
      <c r="D349" s="69" t="str">
        <f ca="1">IF(B349="","",VLOOKUP('Журнал Закупок'!$B349,'СТ Криптовалюта'!B:C,2,0))</f>
        <v/>
      </c>
      <c r="E349" s="68" t="str">
        <f t="shared" si="25"/>
        <v/>
      </c>
      <c r="F349" s="70"/>
      <c r="G349" s="71"/>
      <c r="H349" s="71"/>
      <c r="I349" s="71" t="str">
        <f t="shared" si="26"/>
        <v/>
      </c>
      <c r="J349" s="71" t="e">
        <f ca="1">IFERROR(__xludf.DUMMYFUNCTION("IF(I349="""","""",IMPORTXML(""http://www.cbr.ru/scripts/XML_daily.asp?date_req=""&amp;TEXT(A349,""DD/MM/YYYY""), ""//ValCurs/Valute[CharCode=""""USD""""]/Value"")*I349)"),"")</f>
        <v>#NAME?</v>
      </c>
      <c r="K349" s="71"/>
      <c r="L349" s="71"/>
      <c r="M349" s="71"/>
      <c r="N349" s="71" t="str">
        <f ca="1">IF(H349="","",IF(D349="usdt",H349,IF(C349="Binance",VLOOKUP(E349,'Курсы Бинанса'!B:C,2,FALSE),IF(C349="bybit",VLOOKUP(E349,'Курсы Bybit'!B:C,2,FALSE),IF(C349="OKX",VLOOKUP(E349,'Курсы OKX'!A:D,4,FALSE),IF(C349="huobi",VLOOKUP(E349,'Курсы Huobi'!B:C,2,FALSE),"! укажите биржу"))))))</f>
        <v/>
      </c>
      <c r="O349" s="71" t="str">
        <f t="shared" si="27"/>
        <v/>
      </c>
      <c r="P349" s="71" t="str">
        <f t="shared" si="28"/>
        <v/>
      </c>
      <c r="Q349" s="75" t="str">
        <f t="shared" si="29"/>
        <v/>
      </c>
      <c r="R349" s="76"/>
    </row>
    <row r="350" spans="1:18" ht="14.25" customHeight="1">
      <c r="A350" s="67"/>
      <c r="B350" s="68"/>
      <c r="C350" s="69"/>
      <c r="D350" s="69" t="str">
        <f ca="1">IF(B350="","",VLOOKUP('Журнал Закупок'!$B350,'СТ Криптовалюта'!B:C,2,0))</f>
        <v/>
      </c>
      <c r="E350" s="68" t="str">
        <f t="shared" si="25"/>
        <v/>
      </c>
      <c r="F350" s="70"/>
      <c r="G350" s="71"/>
      <c r="H350" s="71"/>
      <c r="I350" s="71" t="str">
        <f t="shared" si="26"/>
        <v/>
      </c>
      <c r="J350" s="71" t="e">
        <f ca="1">IFERROR(__xludf.DUMMYFUNCTION("IF(I350="""","""",IMPORTXML(""http://www.cbr.ru/scripts/XML_daily.asp?date_req=""&amp;TEXT(A350,""DD/MM/YYYY""), ""//ValCurs/Valute[CharCode=""""USD""""]/Value"")*I350)"),"")</f>
        <v>#NAME?</v>
      </c>
      <c r="K350" s="71"/>
      <c r="L350" s="71"/>
      <c r="M350" s="71"/>
      <c r="N350" s="71" t="str">
        <f ca="1">IF(H350="","",IF(D350="usdt",H350,IF(C350="Binance",VLOOKUP(E350,'Курсы Бинанса'!B:C,2,FALSE),IF(C350="bybit",VLOOKUP(E350,'Курсы Bybit'!B:C,2,FALSE),IF(C350="OKX",VLOOKUP(E350,'Курсы OKX'!A:D,4,FALSE),IF(C350="huobi",VLOOKUP(E350,'Курсы Huobi'!B:C,2,FALSE),"! укажите биржу"))))))</f>
        <v/>
      </c>
      <c r="O350" s="71" t="str">
        <f t="shared" si="27"/>
        <v/>
      </c>
      <c r="P350" s="71" t="str">
        <f t="shared" si="28"/>
        <v/>
      </c>
      <c r="Q350" s="75" t="str">
        <f t="shared" si="29"/>
        <v/>
      </c>
      <c r="R350" s="76"/>
    </row>
    <row r="351" spans="1:18" ht="14.25" customHeight="1">
      <c r="A351" s="67"/>
      <c r="B351" s="68"/>
      <c r="C351" s="69"/>
      <c r="D351" s="69" t="str">
        <f ca="1">IF(B351="","",VLOOKUP('Журнал Закупок'!$B351,'СТ Криптовалюта'!B:C,2,0))</f>
        <v/>
      </c>
      <c r="E351" s="68" t="str">
        <f t="shared" si="25"/>
        <v/>
      </c>
      <c r="F351" s="70"/>
      <c r="G351" s="71"/>
      <c r="H351" s="71"/>
      <c r="I351" s="71" t="str">
        <f t="shared" si="26"/>
        <v/>
      </c>
      <c r="J351" s="71" t="e">
        <f ca="1">IFERROR(__xludf.DUMMYFUNCTION("IF(I351="""","""",IMPORTXML(""http://www.cbr.ru/scripts/XML_daily.asp?date_req=""&amp;TEXT(A351,""DD/MM/YYYY""), ""//ValCurs/Valute[CharCode=""""USD""""]/Value"")*I351)"),"")</f>
        <v>#NAME?</v>
      </c>
      <c r="K351" s="71"/>
      <c r="L351" s="71"/>
      <c r="M351" s="71"/>
      <c r="N351" s="71" t="str">
        <f ca="1">IF(H351="","",IF(D351="usdt",H351,IF(C351="Binance",VLOOKUP(E351,'Курсы Бинанса'!B:C,2,FALSE),IF(C351="bybit",VLOOKUP(E351,'Курсы Bybit'!B:C,2,FALSE),IF(C351="OKX",VLOOKUP(E351,'Курсы OKX'!A:D,4,FALSE),IF(C351="huobi",VLOOKUP(E351,'Курсы Huobi'!B:C,2,FALSE),"! укажите биржу"))))))</f>
        <v/>
      </c>
      <c r="O351" s="71" t="str">
        <f t="shared" si="27"/>
        <v/>
      </c>
      <c r="P351" s="71" t="str">
        <f t="shared" si="28"/>
        <v/>
      </c>
      <c r="Q351" s="75" t="str">
        <f t="shared" si="29"/>
        <v/>
      </c>
      <c r="R351" s="76"/>
    </row>
    <row r="352" spans="1:18" ht="14.25" customHeight="1">
      <c r="A352" s="67"/>
      <c r="B352" s="68"/>
      <c r="C352" s="69"/>
      <c r="D352" s="69" t="str">
        <f ca="1">IF(B352="","",VLOOKUP('Журнал Закупок'!$B352,'СТ Криптовалюта'!B:C,2,0))</f>
        <v/>
      </c>
      <c r="E352" s="68" t="str">
        <f t="shared" si="25"/>
        <v/>
      </c>
      <c r="F352" s="70"/>
      <c r="G352" s="71"/>
      <c r="H352" s="71"/>
      <c r="I352" s="71" t="str">
        <f t="shared" si="26"/>
        <v/>
      </c>
      <c r="J352" s="71" t="e">
        <f ca="1">IFERROR(__xludf.DUMMYFUNCTION("IF(I352="""","""",IMPORTXML(""http://www.cbr.ru/scripts/XML_daily.asp?date_req=""&amp;TEXT(A352,""DD/MM/YYYY""), ""//ValCurs/Valute[CharCode=""""USD""""]/Value"")*I352)"),"")</f>
        <v>#NAME?</v>
      </c>
      <c r="K352" s="71"/>
      <c r="L352" s="71"/>
      <c r="M352" s="71"/>
      <c r="N352" s="71" t="str">
        <f ca="1">IF(H352="","",IF(D352="usdt",H352,IF(C352="Binance",VLOOKUP(E352,'Курсы Бинанса'!B:C,2,FALSE),IF(C352="bybit",VLOOKUP(E352,'Курсы Bybit'!B:C,2,FALSE),IF(C352="OKX",VLOOKUP(E352,'Курсы OKX'!A:D,4,FALSE),IF(C352="huobi",VLOOKUP(E352,'Курсы Huobi'!B:C,2,FALSE),"! укажите биржу"))))))</f>
        <v/>
      </c>
      <c r="O352" s="71" t="str">
        <f t="shared" si="27"/>
        <v/>
      </c>
      <c r="P352" s="71" t="str">
        <f t="shared" si="28"/>
        <v/>
      </c>
      <c r="Q352" s="75" t="str">
        <f t="shared" si="29"/>
        <v/>
      </c>
      <c r="R352" s="76"/>
    </row>
    <row r="353" spans="1:18" ht="14.25" customHeight="1">
      <c r="A353" s="67"/>
      <c r="B353" s="68"/>
      <c r="C353" s="69"/>
      <c r="D353" s="69" t="str">
        <f ca="1">IF(B353="","",VLOOKUP('Журнал Закупок'!$B353,'СТ Криптовалюта'!B:C,2,0))</f>
        <v/>
      </c>
      <c r="E353" s="68" t="str">
        <f t="shared" si="25"/>
        <v/>
      </c>
      <c r="F353" s="70"/>
      <c r="G353" s="71"/>
      <c r="H353" s="71"/>
      <c r="I353" s="71" t="str">
        <f t="shared" si="26"/>
        <v/>
      </c>
      <c r="J353" s="71" t="e">
        <f ca="1">IFERROR(__xludf.DUMMYFUNCTION("IF(I353="""","""",IMPORTXML(""http://www.cbr.ru/scripts/XML_daily.asp?date_req=""&amp;TEXT(A353,""DD/MM/YYYY""), ""//ValCurs/Valute[CharCode=""""USD""""]/Value"")*I353)"),"")</f>
        <v>#NAME?</v>
      </c>
      <c r="K353" s="71"/>
      <c r="L353" s="71"/>
      <c r="M353" s="71"/>
      <c r="N353" s="71" t="str">
        <f ca="1">IF(H353="","",IF(D353="usdt",H353,IF(C353="Binance",VLOOKUP(E353,'Курсы Бинанса'!B:C,2,FALSE),IF(C353="bybit",VLOOKUP(E353,'Курсы Bybit'!B:C,2,FALSE),IF(C353="OKX",VLOOKUP(E353,'Курсы OKX'!A:D,4,FALSE),IF(C353="huobi",VLOOKUP(E353,'Курсы Huobi'!B:C,2,FALSE),"! укажите биржу"))))))</f>
        <v/>
      </c>
      <c r="O353" s="71" t="str">
        <f t="shared" si="27"/>
        <v/>
      </c>
      <c r="P353" s="71" t="str">
        <f t="shared" si="28"/>
        <v/>
      </c>
      <c r="Q353" s="75" t="str">
        <f t="shared" si="29"/>
        <v/>
      </c>
      <c r="R353" s="76"/>
    </row>
    <row r="354" spans="1:18" ht="14.25" customHeight="1">
      <c r="A354" s="67"/>
      <c r="B354" s="68"/>
      <c r="C354" s="69"/>
      <c r="D354" s="69" t="str">
        <f ca="1">IF(B354="","",VLOOKUP('Журнал Закупок'!$B354,'СТ Криптовалюта'!B:C,2,0))</f>
        <v/>
      </c>
      <c r="E354" s="68" t="str">
        <f t="shared" si="25"/>
        <v/>
      </c>
      <c r="F354" s="70"/>
      <c r="G354" s="71"/>
      <c r="H354" s="71"/>
      <c r="I354" s="71" t="str">
        <f t="shared" si="26"/>
        <v/>
      </c>
      <c r="J354" s="71" t="e">
        <f ca="1">IFERROR(__xludf.DUMMYFUNCTION("IF(I354="""","""",IMPORTXML(""http://www.cbr.ru/scripts/XML_daily.asp?date_req=""&amp;TEXT(A354,""DD/MM/YYYY""), ""//ValCurs/Valute[CharCode=""""USD""""]/Value"")*I354)"),"")</f>
        <v>#NAME?</v>
      </c>
      <c r="K354" s="71"/>
      <c r="L354" s="71"/>
      <c r="M354" s="71"/>
      <c r="N354" s="71" t="str">
        <f ca="1">IF(H354="","",IF(D354="usdt",H354,IF(C354="Binance",VLOOKUP(E354,'Курсы Бинанса'!B:C,2,FALSE),IF(C354="bybit",VLOOKUP(E354,'Курсы Bybit'!B:C,2,FALSE),IF(C354="OKX",VLOOKUP(E354,'Курсы OKX'!A:D,4,FALSE),IF(C354="huobi",VLOOKUP(E354,'Курсы Huobi'!B:C,2,FALSE),"! укажите биржу"))))))</f>
        <v/>
      </c>
      <c r="O354" s="71" t="str">
        <f t="shared" si="27"/>
        <v/>
      </c>
      <c r="P354" s="71" t="str">
        <f t="shared" si="28"/>
        <v/>
      </c>
      <c r="Q354" s="75" t="str">
        <f t="shared" si="29"/>
        <v/>
      </c>
      <c r="R354" s="76"/>
    </row>
    <row r="355" spans="1:18" ht="14.25" customHeight="1">
      <c r="A355" s="67"/>
      <c r="B355" s="68"/>
      <c r="C355" s="69"/>
      <c r="D355" s="69" t="str">
        <f ca="1">IF(B355="","",VLOOKUP('Журнал Закупок'!$B355,'СТ Криптовалюта'!B:C,2,0))</f>
        <v/>
      </c>
      <c r="E355" s="68" t="str">
        <f t="shared" si="25"/>
        <v/>
      </c>
      <c r="F355" s="70"/>
      <c r="G355" s="71"/>
      <c r="H355" s="71"/>
      <c r="I355" s="71" t="str">
        <f t="shared" si="26"/>
        <v/>
      </c>
      <c r="J355" s="71" t="e">
        <f ca="1">IFERROR(__xludf.DUMMYFUNCTION("IF(I355="""","""",IMPORTXML(""http://www.cbr.ru/scripts/XML_daily.asp?date_req=""&amp;TEXT(A355,""DD/MM/YYYY""), ""//ValCurs/Valute[CharCode=""""USD""""]/Value"")*I355)"),"")</f>
        <v>#NAME?</v>
      </c>
      <c r="K355" s="71"/>
      <c r="L355" s="71"/>
      <c r="M355" s="71"/>
      <c r="N355" s="71" t="str">
        <f ca="1">IF(H355="","",IF(D355="usdt",H355,IF(C355="Binance",VLOOKUP(E355,'Курсы Бинанса'!B:C,2,FALSE),IF(C355="bybit",VLOOKUP(E355,'Курсы Bybit'!B:C,2,FALSE),IF(C355="OKX",VLOOKUP(E355,'Курсы OKX'!A:D,4,FALSE),IF(C355="huobi",VLOOKUP(E355,'Курсы Huobi'!B:C,2,FALSE),"! укажите биржу"))))))</f>
        <v/>
      </c>
      <c r="O355" s="71" t="str">
        <f t="shared" si="27"/>
        <v/>
      </c>
      <c r="P355" s="71" t="str">
        <f t="shared" si="28"/>
        <v/>
      </c>
      <c r="Q355" s="75" t="str">
        <f t="shared" si="29"/>
        <v/>
      </c>
      <c r="R355" s="76"/>
    </row>
    <row r="356" spans="1:18" ht="14.25" customHeight="1">
      <c r="A356" s="67"/>
      <c r="B356" s="68"/>
      <c r="C356" s="69"/>
      <c r="D356" s="69" t="str">
        <f ca="1">IF(B356="","",VLOOKUP('Журнал Закупок'!$B356,'СТ Криптовалюта'!B:C,2,0))</f>
        <v/>
      </c>
      <c r="E356" s="68" t="str">
        <f t="shared" si="25"/>
        <v/>
      </c>
      <c r="F356" s="70"/>
      <c r="G356" s="71"/>
      <c r="H356" s="71"/>
      <c r="I356" s="71" t="str">
        <f t="shared" si="26"/>
        <v/>
      </c>
      <c r="J356" s="71" t="e">
        <f ca="1">IFERROR(__xludf.DUMMYFUNCTION("IF(I356="""","""",IMPORTXML(""http://www.cbr.ru/scripts/XML_daily.asp?date_req=""&amp;TEXT(A356,""DD/MM/YYYY""), ""//ValCurs/Valute[CharCode=""""USD""""]/Value"")*I356)"),"")</f>
        <v>#NAME?</v>
      </c>
      <c r="K356" s="71"/>
      <c r="L356" s="71"/>
      <c r="M356" s="71"/>
      <c r="N356" s="71" t="str">
        <f ca="1">IF(H356="","",IF(D356="usdt",H356,IF(C356="Binance",VLOOKUP(E356,'Курсы Бинанса'!B:C,2,FALSE),IF(C356="bybit",VLOOKUP(E356,'Курсы Bybit'!B:C,2,FALSE),IF(C356="OKX",VLOOKUP(E356,'Курсы OKX'!A:D,4,FALSE),IF(C356="huobi",VLOOKUP(E356,'Курсы Huobi'!B:C,2,FALSE),"! укажите биржу"))))))</f>
        <v/>
      </c>
      <c r="O356" s="71" t="str">
        <f t="shared" si="27"/>
        <v/>
      </c>
      <c r="P356" s="71" t="str">
        <f t="shared" si="28"/>
        <v/>
      </c>
      <c r="Q356" s="75" t="str">
        <f t="shared" si="29"/>
        <v/>
      </c>
      <c r="R356" s="76"/>
    </row>
    <row r="357" spans="1:18" ht="14.25" customHeight="1">
      <c r="A357" s="67"/>
      <c r="B357" s="68"/>
      <c r="C357" s="69"/>
      <c r="D357" s="69" t="str">
        <f ca="1">IF(B357="","",VLOOKUP('Журнал Закупок'!$B357,'СТ Криптовалюта'!B:C,2,0))</f>
        <v/>
      </c>
      <c r="E357" s="68" t="str">
        <f t="shared" si="25"/>
        <v/>
      </c>
      <c r="F357" s="70"/>
      <c r="G357" s="71"/>
      <c r="H357" s="71"/>
      <c r="I357" s="71" t="str">
        <f t="shared" si="26"/>
        <v/>
      </c>
      <c r="J357" s="71" t="e">
        <f ca="1">IFERROR(__xludf.DUMMYFUNCTION("IF(I357="""","""",IMPORTXML(""http://www.cbr.ru/scripts/XML_daily.asp?date_req=""&amp;TEXT(A357,""DD/MM/YYYY""), ""//ValCurs/Valute[CharCode=""""USD""""]/Value"")*I357)"),"")</f>
        <v>#NAME?</v>
      </c>
      <c r="K357" s="71"/>
      <c r="L357" s="71"/>
      <c r="M357" s="71"/>
      <c r="N357" s="71" t="str">
        <f ca="1">IF(H357="","",IF(D357="usdt",H357,IF(C357="Binance",VLOOKUP(E357,'Курсы Бинанса'!B:C,2,FALSE),IF(C357="bybit",VLOOKUP(E357,'Курсы Bybit'!B:C,2,FALSE),IF(C357="OKX",VLOOKUP(E357,'Курсы OKX'!A:D,4,FALSE),IF(C357="huobi",VLOOKUP(E357,'Курсы Huobi'!B:C,2,FALSE),"! укажите биржу"))))))</f>
        <v/>
      </c>
      <c r="O357" s="71" t="str">
        <f t="shared" si="27"/>
        <v/>
      </c>
      <c r="P357" s="71" t="str">
        <f t="shared" si="28"/>
        <v/>
      </c>
      <c r="Q357" s="75" t="str">
        <f t="shared" si="29"/>
        <v/>
      </c>
      <c r="R357" s="76"/>
    </row>
    <row r="358" spans="1:18" ht="14.25" customHeight="1">
      <c r="A358" s="67"/>
      <c r="B358" s="68"/>
      <c r="C358" s="69"/>
      <c r="D358" s="69" t="str">
        <f ca="1">IF(B358="","",VLOOKUP('Журнал Закупок'!$B358,'СТ Криптовалюта'!B:C,2,0))</f>
        <v/>
      </c>
      <c r="E358" s="68" t="str">
        <f t="shared" si="25"/>
        <v/>
      </c>
      <c r="F358" s="70"/>
      <c r="G358" s="71"/>
      <c r="H358" s="71"/>
      <c r="I358" s="71" t="str">
        <f t="shared" si="26"/>
        <v/>
      </c>
      <c r="J358" s="71" t="e">
        <f ca="1">IFERROR(__xludf.DUMMYFUNCTION("IF(I358="""","""",IMPORTXML(""http://www.cbr.ru/scripts/XML_daily.asp?date_req=""&amp;TEXT(A358,""DD/MM/YYYY""), ""//ValCurs/Valute[CharCode=""""USD""""]/Value"")*I358)"),"")</f>
        <v>#NAME?</v>
      </c>
      <c r="K358" s="71"/>
      <c r="L358" s="71"/>
      <c r="M358" s="71"/>
      <c r="N358" s="71" t="str">
        <f ca="1">IF(H358="","",IF(D358="usdt",H358,IF(C358="Binance",VLOOKUP(E358,'Курсы Бинанса'!B:C,2,FALSE),IF(C358="bybit",VLOOKUP(E358,'Курсы Bybit'!B:C,2,FALSE),IF(C358="OKX",VLOOKUP(E358,'Курсы OKX'!A:D,4,FALSE),IF(C358="huobi",VLOOKUP(E358,'Курсы Huobi'!B:C,2,FALSE),"! укажите биржу"))))))</f>
        <v/>
      </c>
      <c r="O358" s="71" t="str">
        <f t="shared" si="27"/>
        <v/>
      </c>
      <c r="P358" s="71" t="str">
        <f t="shared" si="28"/>
        <v/>
      </c>
      <c r="Q358" s="75" t="str">
        <f t="shared" si="29"/>
        <v/>
      </c>
      <c r="R358" s="76"/>
    </row>
    <row r="359" spans="1:18" ht="14.25" customHeight="1">
      <c r="A359" s="67"/>
      <c r="B359" s="68"/>
      <c r="C359" s="69"/>
      <c r="D359" s="69" t="str">
        <f ca="1">IF(B359="","",VLOOKUP('Журнал Закупок'!$B359,'СТ Криптовалюта'!B:C,2,0))</f>
        <v/>
      </c>
      <c r="E359" s="68" t="str">
        <f t="shared" si="25"/>
        <v/>
      </c>
      <c r="F359" s="70"/>
      <c r="G359" s="71"/>
      <c r="H359" s="71"/>
      <c r="I359" s="71" t="str">
        <f t="shared" si="26"/>
        <v/>
      </c>
      <c r="J359" s="71" t="e">
        <f ca="1">IFERROR(__xludf.DUMMYFUNCTION("IF(I359="""","""",IMPORTXML(""http://www.cbr.ru/scripts/XML_daily.asp?date_req=""&amp;TEXT(A359,""DD/MM/YYYY""), ""//ValCurs/Valute[CharCode=""""USD""""]/Value"")*I359)"),"")</f>
        <v>#NAME?</v>
      </c>
      <c r="K359" s="71"/>
      <c r="L359" s="71"/>
      <c r="M359" s="71"/>
      <c r="N359" s="71" t="str">
        <f ca="1">IF(H359="","",IF(D359="usdt",H359,IF(C359="Binance",VLOOKUP(E359,'Курсы Бинанса'!B:C,2,FALSE),IF(C359="bybit",VLOOKUP(E359,'Курсы Bybit'!B:C,2,FALSE),IF(C359="OKX",VLOOKUP(E359,'Курсы OKX'!A:D,4,FALSE),IF(C359="huobi",VLOOKUP(E359,'Курсы Huobi'!B:C,2,FALSE),"! укажите биржу"))))))</f>
        <v/>
      </c>
      <c r="O359" s="71" t="str">
        <f t="shared" si="27"/>
        <v/>
      </c>
      <c r="P359" s="71" t="str">
        <f t="shared" si="28"/>
        <v/>
      </c>
      <c r="Q359" s="75" t="str">
        <f t="shared" si="29"/>
        <v/>
      </c>
      <c r="R359" s="76"/>
    </row>
    <row r="360" spans="1:18" ht="14.25" customHeight="1">
      <c r="A360" s="67"/>
      <c r="B360" s="68"/>
      <c r="C360" s="69"/>
      <c r="D360" s="69" t="str">
        <f ca="1">IF(B360="","",VLOOKUP('Журнал Закупок'!$B360,'СТ Криптовалюта'!B:C,2,0))</f>
        <v/>
      </c>
      <c r="E360" s="68" t="str">
        <f t="shared" si="25"/>
        <v/>
      </c>
      <c r="F360" s="70"/>
      <c r="G360" s="71"/>
      <c r="H360" s="71"/>
      <c r="I360" s="71" t="str">
        <f t="shared" si="26"/>
        <v/>
      </c>
      <c r="J360" s="71" t="e">
        <f ca="1">IFERROR(__xludf.DUMMYFUNCTION("IF(I360="""","""",IMPORTXML(""http://www.cbr.ru/scripts/XML_daily.asp?date_req=""&amp;TEXT(A360,""DD/MM/YYYY""), ""//ValCurs/Valute[CharCode=""""USD""""]/Value"")*I360)"),"")</f>
        <v>#NAME?</v>
      </c>
      <c r="K360" s="71"/>
      <c r="L360" s="71"/>
      <c r="M360" s="71"/>
      <c r="N360" s="71" t="str">
        <f ca="1">IF(H360="","",IF(D360="usdt",H360,IF(C360="Binance",VLOOKUP(E360,'Курсы Бинанса'!B:C,2,FALSE),IF(C360="bybit",VLOOKUP(E360,'Курсы Bybit'!B:C,2,FALSE),IF(C360="OKX",VLOOKUP(E360,'Курсы OKX'!A:D,4,FALSE),IF(C360="huobi",VLOOKUP(E360,'Курсы Huobi'!B:C,2,FALSE),"! укажите биржу"))))))</f>
        <v/>
      </c>
      <c r="O360" s="71" t="str">
        <f t="shared" si="27"/>
        <v/>
      </c>
      <c r="P360" s="71" t="str">
        <f t="shared" si="28"/>
        <v/>
      </c>
      <c r="Q360" s="75" t="str">
        <f t="shared" si="29"/>
        <v/>
      </c>
      <c r="R360" s="76"/>
    </row>
    <row r="361" spans="1:18" ht="14.25" customHeight="1">
      <c r="A361" s="67"/>
      <c r="B361" s="68"/>
      <c r="C361" s="69"/>
      <c r="D361" s="69" t="str">
        <f ca="1">IF(B361="","",VLOOKUP('Журнал Закупок'!$B361,'СТ Криптовалюта'!B:C,2,0))</f>
        <v/>
      </c>
      <c r="E361" s="68" t="str">
        <f t="shared" si="25"/>
        <v/>
      </c>
      <c r="F361" s="70"/>
      <c r="G361" s="71"/>
      <c r="H361" s="71"/>
      <c r="I361" s="71" t="str">
        <f t="shared" si="26"/>
        <v/>
      </c>
      <c r="J361" s="71" t="e">
        <f ca="1">IFERROR(__xludf.DUMMYFUNCTION("IF(I361="""","""",IMPORTXML(""http://www.cbr.ru/scripts/XML_daily.asp?date_req=""&amp;TEXT(A361,""DD/MM/YYYY""), ""//ValCurs/Valute[CharCode=""""USD""""]/Value"")*I361)"),"")</f>
        <v>#NAME?</v>
      </c>
      <c r="K361" s="71"/>
      <c r="L361" s="71"/>
      <c r="M361" s="71"/>
      <c r="N361" s="71" t="str">
        <f ca="1">IF(H361="","",IF(D361="usdt",H361,IF(C361="Binance",VLOOKUP(E361,'Курсы Бинанса'!B:C,2,FALSE),IF(C361="bybit",VLOOKUP(E361,'Курсы Bybit'!B:C,2,FALSE),IF(C361="OKX",VLOOKUP(E361,'Курсы OKX'!A:D,4,FALSE),IF(C361="huobi",VLOOKUP(E361,'Курсы Huobi'!B:C,2,FALSE),"! укажите биржу"))))))</f>
        <v/>
      </c>
      <c r="O361" s="71" t="str">
        <f t="shared" si="27"/>
        <v/>
      </c>
      <c r="P361" s="71" t="str">
        <f t="shared" si="28"/>
        <v/>
      </c>
      <c r="Q361" s="75" t="str">
        <f t="shared" si="29"/>
        <v/>
      </c>
      <c r="R361" s="76"/>
    </row>
    <row r="362" spans="1:18" ht="14.25" customHeight="1">
      <c r="A362" s="67"/>
      <c r="B362" s="68"/>
      <c r="C362" s="69"/>
      <c r="D362" s="69" t="str">
        <f ca="1">IF(B362="","",VLOOKUP('Журнал Закупок'!$B362,'СТ Криптовалюта'!B:C,2,0))</f>
        <v/>
      </c>
      <c r="E362" s="68" t="str">
        <f t="shared" si="25"/>
        <v/>
      </c>
      <c r="F362" s="70"/>
      <c r="G362" s="71"/>
      <c r="H362" s="71"/>
      <c r="I362" s="71" t="str">
        <f t="shared" si="26"/>
        <v/>
      </c>
      <c r="J362" s="71" t="e">
        <f ca="1">IFERROR(__xludf.DUMMYFUNCTION("IF(I362="""","""",IMPORTXML(""http://www.cbr.ru/scripts/XML_daily.asp?date_req=""&amp;TEXT(A362,""DD/MM/YYYY""), ""//ValCurs/Valute[CharCode=""""USD""""]/Value"")*I362)"),"")</f>
        <v>#NAME?</v>
      </c>
      <c r="K362" s="71"/>
      <c r="L362" s="71"/>
      <c r="M362" s="71"/>
      <c r="N362" s="71" t="str">
        <f ca="1">IF(H362="","",IF(D362="usdt",H362,IF(C362="Binance",VLOOKUP(E362,'Курсы Бинанса'!B:C,2,FALSE),IF(C362="bybit",VLOOKUP(E362,'Курсы Bybit'!B:C,2,FALSE),IF(C362="OKX",VLOOKUP(E362,'Курсы OKX'!A:D,4,FALSE),IF(C362="huobi",VLOOKUP(E362,'Курсы Huobi'!B:C,2,FALSE),"! укажите биржу"))))))</f>
        <v/>
      </c>
      <c r="O362" s="71" t="str">
        <f t="shared" si="27"/>
        <v/>
      </c>
      <c r="P362" s="71" t="str">
        <f t="shared" si="28"/>
        <v/>
      </c>
      <c r="Q362" s="75" t="str">
        <f t="shared" si="29"/>
        <v/>
      </c>
      <c r="R362" s="76"/>
    </row>
    <row r="363" spans="1:18" ht="14.25" customHeight="1">
      <c r="A363" s="67"/>
      <c r="B363" s="68"/>
      <c r="C363" s="69"/>
      <c r="D363" s="69" t="str">
        <f ca="1">IF(B363="","",VLOOKUP('Журнал Закупок'!$B363,'СТ Криптовалюта'!B:C,2,0))</f>
        <v/>
      </c>
      <c r="E363" s="68" t="str">
        <f t="shared" si="25"/>
        <v/>
      </c>
      <c r="F363" s="70"/>
      <c r="G363" s="71"/>
      <c r="H363" s="71"/>
      <c r="I363" s="71" t="str">
        <f t="shared" si="26"/>
        <v/>
      </c>
      <c r="J363" s="71" t="e">
        <f ca="1">IFERROR(__xludf.DUMMYFUNCTION("IF(I363="""","""",IMPORTXML(""http://www.cbr.ru/scripts/XML_daily.asp?date_req=""&amp;TEXT(A363,""DD/MM/YYYY""), ""//ValCurs/Valute[CharCode=""""USD""""]/Value"")*I363)"),"")</f>
        <v>#NAME?</v>
      </c>
      <c r="K363" s="71"/>
      <c r="L363" s="71"/>
      <c r="M363" s="71"/>
      <c r="N363" s="71" t="str">
        <f ca="1">IF(H363="","",IF(D363="usdt",H363,IF(C363="Binance",VLOOKUP(E363,'Курсы Бинанса'!B:C,2,FALSE),IF(C363="bybit",VLOOKUP(E363,'Курсы Bybit'!B:C,2,FALSE),IF(C363="OKX",VLOOKUP(E363,'Курсы OKX'!A:D,4,FALSE),IF(C363="huobi",VLOOKUP(E363,'Курсы Huobi'!B:C,2,FALSE),"! укажите биржу"))))))</f>
        <v/>
      </c>
      <c r="O363" s="71" t="str">
        <f t="shared" si="27"/>
        <v/>
      </c>
      <c r="P363" s="71" t="str">
        <f t="shared" si="28"/>
        <v/>
      </c>
      <c r="Q363" s="75" t="str">
        <f t="shared" si="29"/>
        <v/>
      </c>
      <c r="R363" s="76"/>
    </row>
    <row r="364" spans="1:18" ht="14.25" customHeight="1">
      <c r="A364" s="67"/>
      <c r="B364" s="68"/>
      <c r="C364" s="69"/>
      <c r="D364" s="69" t="str">
        <f ca="1">IF(B364="","",VLOOKUP('Журнал Закупок'!$B364,'СТ Криптовалюта'!B:C,2,0))</f>
        <v/>
      </c>
      <c r="E364" s="68" t="str">
        <f t="shared" si="25"/>
        <v/>
      </c>
      <c r="F364" s="70"/>
      <c r="G364" s="71"/>
      <c r="H364" s="71"/>
      <c r="I364" s="71" t="str">
        <f t="shared" si="26"/>
        <v/>
      </c>
      <c r="J364" s="71" t="e">
        <f ca="1">IFERROR(__xludf.DUMMYFUNCTION("IF(I364="""","""",IMPORTXML(""http://www.cbr.ru/scripts/XML_daily.asp?date_req=""&amp;TEXT(A364,""DD/MM/YYYY""), ""//ValCurs/Valute[CharCode=""""USD""""]/Value"")*I364)"),"")</f>
        <v>#NAME?</v>
      </c>
      <c r="K364" s="71"/>
      <c r="L364" s="71"/>
      <c r="M364" s="71"/>
      <c r="N364" s="71" t="str">
        <f ca="1">IF(H364="","",IF(D364="usdt",H364,IF(C364="Binance",VLOOKUP(E364,'Курсы Бинанса'!B:C,2,FALSE),IF(C364="bybit",VLOOKUP(E364,'Курсы Bybit'!B:C,2,FALSE),IF(C364="OKX",VLOOKUP(E364,'Курсы OKX'!A:D,4,FALSE),IF(C364="huobi",VLOOKUP(E364,'Курсы Huobi'!B:C,2,FALSE),"! укажите биржу"))))))</f>
        <v/>
      </c>
      <c r="O364" s="71" t="str">
        <f t="shared" si="27"/>
        <v/>
      </c>
      <c r="P364" s="71" t="str">
        <f t="shared" si="28"/>
        <v/>
      </c>
      <c r="Q364" s="75" t="str">
        <f t="shared" si="29"/>
        <v/>
      </c>
      <c r="R364" s="76"/>
    </row>
    <row r="365" spans="1:18" ht="14.25" customHeight="1">
      <c r="A365" s="67"/>
      <c r="B365" s="68"/>
      <c r="C365" s="69"/>
      <c r="D365" s="69" t="str">
        <f ca="1">IF(B365="","",VLOOKUP('Журнал Закупок'!$B365,'СТ Криптовалюта'!B:C,2,0))</f>
        <v/>
      </c>
      <c r="E365" s="68" t="str">
        <f t="shared" si="25"/>
        <v/>
      </c>
      <c r="F365" s="70"/>
      <c r="G365" s="71"/>
      <c r="H365" s="71"/>
      <c r="I365" s="71" t="str">
        <f t="shared" si="26"/>
        <v/>
      </c>
      <c r="J365" s="71" t="e">
        <f ca="1">IFERROR(__xludf.DUMMYFUNCTION("IF(I365="""","""",IMPORTXML(""http://www.cbr.ru/scripts/XML_daily.asp?date_req=""&amp;TEXT(A365,""DD/MM/YYYY""), ""//ValCurs/Valute[CharCode=""""USD""""]/Value"")*I365)"),"")</f>
        <v>#NAME?</v>
      </c>
      <c r="K365" s="71"/>
      <c r="L365" s="71"/>
      <c r="M365" s="71"/>
      <c r="N365" s="71" t="str">
        <f ca="1">IF(H365="","",IF(D365="usdt",H365,IF(C365="Binance",VLOOKUP(E365,'Курсы Бинанса'!B:C,2,FALSE),IF(C365="bybit",VLOOKUP(E365,'Курсы Bybit'!B:C,2,FALSE),IF(C365="OKX",VLOOKUP(E365,'Курсы OKX'!A:D,4,FALSE),IF(C365="huobi",VLOOKUP(E365,'Курсы Huobi'!B:C,2,FALSE),"! укажите биржу"))))))</f>
        <v/>
      </c>
      <c r="O365" s="71" t="str">
        <f t="shared" si="27"/>
        <v/>
      </c>
      <c r="P365" s="71" t="str">
        <f t="shared" si="28"/>
        <v/>
      </c>
      <c r="Q365" s="75" t="str">
        <f t="shared" si="29"/>
        <v/>
      </c>
      <c r="R365" s="76"/>
    </row>
    <row r="366" spans="1:18" ht="14.25" customHeight="1">
      <c r="A366" s="67"/>
      <c r="B366" s="68"/>
      <c r="C366" s="69"/>
      <c r="D366" s="69" t="str">
        <f ca="1">IF(B366="","",VLOOKUP('Журнал Закупок'!$B366,'СТ Криптовалюта'!B:C,2,0))</f>
        <v/>
      </c>
      <c r="E366" s="68" t="str">
        <f t="shared" ref="E366:E429" si="30">IF(D366="","",CONCATENATE(D366,"USDT"))</f>
        <v/>
      </c>
      <c r="F366" s="70"/>
      <c r="G366" s="71"/>
      <c r="H366" s="71"/>
      <c r="I366" s="71" t="str">
        <f t="shared" ref="I366:I429" si="31">IF(H366="","",ROUND(G366*H366,5))</f>
        <v/>
      </c>
      <c r="J366" s="71" t="e">
        <f ca="1">IFERROR(__xludf.DUMMYFUNCTION("IF(I366="""","""",IMPORTXML(""http://www.cbr.ru/scripts/XML_daily.asp?date_req=""&amp;TEXT(A366,""DD/MM/YYYY""), ""//ValCurs/Valute[CharCode=""""USD""""]/Value"")*I366)"),"")</f>
        <v>#NAME?</v>
      </c>
      <c r="K366" s="71"/>
      <c r="L366" s="71"/>
      <c r="M366" s="71"/>
      <c r="N366" s="71" t="str">
        <f ca="1">IF(H366="","",IF(D366="usdt",H366,IF(C366="Binance",VLOOKUP(E366,'Курсы Бинанса'!B:C,2,FALSE),IF(C366="bybit",VLOOKUP(E366,'Курсы Bybit'!B:C,2,FALSE),IF(C366="OKX",VLOOKUP(E366,'Курсы OKX'!A:D,4,FALSE),IF(C366="huobi",VLOOKUP(E366,'Курсы Huobi'!B:C,2,FALSE),"! укажите биржу"))))))</f>
        <v/>
      </c>
      <c r="O366" s="71" t="str">
        <f t="shared" ref="O366:O429" si="32">IF(N366="! укажите биржу","",IF(N366="","",N366*G366))</f>
        <v/>
      </c>
      <c r="P366" s="71" t="str">
        <f t="shared" ref="P366:P429" si="33">IF(N366="","",IF(N366="! укажите биржу","",ROUND(O366-I366,2)))</f>
        <v/>
      </c>
      <c r="Q366" s="75" t="str">
        <f t="shared" ref="Q366:Q429" si="34">IF(P366="","",ROUND(IFERROR((O366-I366)/I366,2),5))</f>
        <v/>
      </c>
      <c r="R366" s="76"/>
    </row>
    <row r="367" spans="1:18" ht="14.25" customHeight="1">
      <c r="A367" s="67"/>
      <c r="B367" s="68"/>
      <c r="C367" s="69"/>
      <c r="D367" s="69" t="str">
        <f ca="1">IF(B367="","",VLOOKUP('Журнал Закупок'!$B367,'СТ Криптовалюта'!B:C,2,0))</f>
        <v/>
      </c>
      <c r="E367" s="68" t="str">
        <f t="shared" si="30"/>
        <v/>
      </c>
      <c r="F367" s="70"/>
      <c r="G367" s="71"/>
      <c r="H367" s="71"/>
      <c r="I367" s="71" t="str">
        <f t="shared" si="31"/>
        <v/>
      </c>
      <c r="J367" s="71" t="e">
        <f ca="1">IFERROR(__xludf.DUMMYFUNCTION("IF(I367="""","""",IMPORTXML(""http://www.cbr.ru/scripts/XML_daily.asp?date_req=""&amp;TEXT(A367,""DD/MM/YYYY""), ""//ValCurs/Valute[CharCode=""""USD""""]/Value"")*I367)"),"")</f>
        <v>#NAME?</v>
      </c>
      <c r="K367" s="71"/>
      <c r="L367" s="71"/>
      <c r="M367" s="71"/>
      <c r="N367" s="71" t="str">
        <f ca="1">IF(H367="","",IF(D367="usdt",H367,IF(C367="Binance",VLOOKUP(E367,'Курсы Бинанса'!B:C,2,FALSE),IF(C367="bybit",VLOOKUP(E367,'Курсы Bybit'!B:C,2,FALSE),IF(C367="OKX",VLOOKUP(E367,'Курсы OKX'!A:D,4,FALSE),IF(C367="huobi",VLOOKUP(E367,'Курсы Huobi'!B:C,2,FALSE),"! укажите биржу"))))))</f>
        <v/>
      </c>
      <c r="O367" s="71" t="str">
        <f t="shared" si="32"/>
        <v/>
      </c>
      <c r="P367" s="71" t="str">
        <f t="shared" si="33"/>
        <v/>
      </c>
      <c r="Q367" s="75" t="str">
        <f t="shared" si="34"/>
        <v/>
      </c>
      <c r="R367" s="76"/>
    </row>
    <row r="368" spans="1:18" ht="14.25" customHeight="1">
      <c r="A368" s="67"/>
      <c r="B368" s="68"/>
      <c r="C368" s="69"/>
      <c r="D368" s="69" t="str">
        <f ca="1">IF(B368="","",VLOOKUP('Журнал Закупок'!$B368,'СТ Криптовалюта'!B:C,2,0))</f>
        <v/>
      </c>
      <c r="E368" s="68" t="str">
        <f t="shared" si="30"/>
        <v/>
      </c>
      <c r="F368" s="70"/>
      <c r="G368" s="71"/>
      <c r="H368" s="71"/>
      <c r="I368" s="71" t="str">
        <f t="shared" si="31"/>
        <v/>
      </c>
      <c r="J368" s="71" t="e">
        <f ca="1">IFERROR(__xludf.DUMMYFUNCTION("IF(I368="""","""",IMPORTXML(""http://www.cbr.ru/scripts/XML_daily.asp?date_req=""&amp;TEXT(A368,""DD/MM/YYYY""), ""//ValCurs/Valute[CharCode=""""USD""""]/Value"")*I368)"),"")</f>
        <v>#NAME?</v>
      </c>
      <c r="K368" s="71"/>
      <c r="L368" s="71"/>
      <c r="M368" s="71"/>
      <c r="N368" s="71" t="str">
        <f ca="1">IF(H368="","",IF(D368="usdt",H368,IF(C368="Binance",VLOOKUP(E368,'Курсы Бинанса'!B:C,2,FALSE),IF(C368="bybit",VLOOKUP(E368,'Курсы Bybit'!B:C,2,FALSE),IF(C368="OKX",VLOOKUP(E368,'Курсы OKX'!A:D,4,FALSE),IF(C368="huobi",VLOOKUP(E368,'Курсы Huobi'!B:C,2,FALSE),"! укажите биржу"))))))</f>
        <v/>
      </c>
      <c r="O368" s="71" t="str">
        <f t="shared" si="32"/>
        <v/>
      </c>
      <c r="P368" s="71" t="str">
        <f t="shared" si="33"/>
        <v/>
      </c>
      <c r="Q368" s="75" t="str">
        <f t="shared" si="34"/>
        <v/>
      </c>
      <c r="R368" s="76"/>
    </row>
    <row r="369" spans="1:18" ht="14.25" customHeight="1">
      <c r="A369" s="67"/>
      <c r="B369" s="68"/>
      <c r="C369" s="69"/>
      <c r="D369" s="69" t="str">
        <f ca="1">IF(B369="","",VLOOKUP('Журнал Закупок'!$B369,'СТ Криптовалюта'!B:C,2,0))</f>
        <v/>
      </c>
      <c r="E369" s="68" t="str">
        <f t="shared" si="30"/>
        <v/>
      </c>
      <c r="F369" s="70"/>
      <c r="G369" s="71"/>
      <c r="H369" s="71"/>
      <c r="I369" s="71" t="str">
        <f t="shared" si="31"/>
        <v/>
      </c>
      <c r="J369" s="71" t="e">
        <f ca="1">IFERROR(__xludf.DUMMYFUNCTION("IF(I369="""","""",IMPORTXML(""http://www.cbr.ru/scripts/XML_daily.asp?date_req=""&amp;TEXT(A369,""DD/MM/YYYY""), ""//ValCurs/Valute[CharCode=""""USD""""]/Value"")*I369)"),"")</f>
        <v>#NAME?</v>
      </c>
      <c r="K369" s="71"/>
      <c r="L369" s="71"/>
      <c r="M369" s="71"/>
      <c r="N369" s="71" t="str">
        <f ca="1">IF(H369="","",IF(D369="usdt",H369,IF(C369="Binance",VLOOKUP(E369,'Курсы Бинанса'!B:C,2,FALSE),IF(C369="bybit",VLOOKUP(E369,'Курсы Bybit'!B:C,2,FALSE),IF(C369="OKX",VLOOKUP(E369,'Курсы OKX'!A:D,4,FALSE),IF(C369="huobi",VLOOKUP(E369,'Курсы Huobi'!B:C,2,FALSE),"! укажите биржу"))))))</f>
        <v/>
      </c>
      <c r="O369" s="71" t="str">
        <f t="shared" si="32"/>
        <v/>
      </c>
      <c r="P369" s="71" t="str">
        <f t="shared" si="33"/>
        <v/>
      </c>
      <c r="Q369" s="75" t="str">
        <f t="shared" si="34"/>
        <v/>
      </c>
      <c r="R369" s="76"/>
    </row>
    <row r="370" spans="1:18" ht="14.25" customHeight="1">
      <c r="A370" s="67"/>
      <c r="B370" s="68"/>
      <c r="C370" s="69"/>
      <c r="D370" s="69" t="str">
        <f ca="1">IF(B370="","",VLOOKUP('Журнал Закупок'!$B370,'СТ Криптовалюта'!B:C,2,0))</f>
        <v/>
      </c>
      <c r="E370" s="68" t="str">
        <f t="shared" si="30"/>
        <v/>
      </c>
      <c r="F370" s="70"/>
      <c r="G370" s="71"/>
      <c r="H370" s="71"/>
      <c r="I370" s="71" t="str">
        <f t="shared" si="31"/>
        <v/>
      </c>
      <c r="J370" s="71" t="e">
        <f ca="1">IFERROR(__xludf.DUMMYFUNCTION("IF(I370="""","""",IMPORTXML(""http://www.cbr.ru/scripts/XML_daily.asp?date_req=""&amp;TEXT(A370,""DD/MM/YYYY""), ""//ValCurs/Valute[CharCode=""""USD""""]/Value"")*I370)"),"")</f>
        <v>#NAME?</v>
      </c>
      <c r="K370" s="71"/>
      <c r="L370" s="71"/>
      <c r="M370" s="71"/>
      <c r="N370" s="71" t="str">
        <f ca="1">IF(H370="","",IF(D370="usdt",H370,IF(C370="Binance",VLOOKUP(E370,'Курсы Бинанса'!B:C,2,FALSE),IF(C370="bybit",VLOOKUP(E370,'Курсы Bybit'!B:C,2,FALSE),IF(C370="OKX",VLOOKUP(E370,'Курсы OKX'!A:D,4,FALSE),IF(C370="huobi",VLOOKUP(E370,'Курсы Huobi'!B:C,2,FALSE),"! укажите биржу"))))))</f>
        <v/>
      </c>
      <c r="O370" s="71" t="str">
        <f t="shared" si="32"/>
        <v/>
      </c>
      <c r="P370" s="71" t="str">
        <f t="shared" si="33"/>
        <v/>
      </c>
      <c r="Q370" s="75" t="str">
        <f t="shared" si="34"/>
        <v/>
      </c>
      <c r="R370" s="76"/>
    </row>
    <row r="371" spans="1:18" ht="14.25" customHeight="1">
      <c r="A371" s="67"/>
      <c r="B371" s="68"/>
      <c r="C371" s="69"/>
      <c r="D371" s="69" t="str">
        <f ca="1">IF(B371="","",VLOOKUP('Журнал Закупок'!$B371,'СТ Криптовалюта'!B:C,2,0))</f>
        <v/>
      </c>
      <c r="E371" s="68" t="str">
        <f t="shared" si="30"/>
        <v/>
      </c>
      <c r="F371" s="70"/>
      <c r="G371" s="71"/>
      <c r="H371" s="71"/>
      <c r="I371" s="71" t="str">
        <f t="shared" si="31"/>
        <v/>
      </c>
      <c r="J371" s="71" t="e">
        <f ca="1">IFERROR(__xludf.DUMMYFUNCTION("IF(I371="""","""",IMPORTXML(""http://www.cbr.ru/scripts/XML_daily.asp?date_req=""&amp;TEXT(A371,""DD/MM/YYYY""), ""//ValCurs/Valute[CharCode=""""USD""""]/Value"")*I371)"),"")</f>
        <v>#NAME?</v>
      </c>
      <c r="K371" s="71"/>
      <c r="L371" s="71"/>
      <c r="M371" s="71"/>
      <c r="N371" s="71" t="str">
        <f ca="1">IF(H371="","",IF(D371="usdt",H371,IF(C371="Binance",VLOOKUP(E371,'Курсы Бинанса'!B:C,2,FALSE),IF(C371="bybit",VLOOKUP(E371,'Курсы Bybit'!B:C,2,FALSE),IF(C371="OKX",VLOOKUP(E371,'Курсы OKX'!A:D,4,FALSE),IF(C371="huobi",VLOOKUP(E371,'Курсы Huobi'!B:C,2,FALSE),"! укажите биржу"))))))</f>
        <v/>
      </c>
      <c r="O371" s="71" t="str">
        <f t="shared" si="32"/>
        <v/>
      </c>
      <c r="P371" s="71" t="str">
        <f t="shared" si="33"/>
        <v/>
      </c>
      <c r="Q371" s="75" t="str">
        <f t="shared" si="34"/>
        <v/>
      </c>
      <c r="R371" s="76"/>
    </row>
    <row r="372" spans="1:18" ht="14.25" customHeight="1">
      <c r="A372" s="67"/>
      <c r="B372" s="68"/>
      <c r="C372" s="69"/>
      <c r="D372" s="69" t="str">
        <f ca="1">IF(B372="","",VLOOKUP('Журнал Закупок'!$B372,'СТ Криптовалюта'!B:C,2,0))</f>
        <v/>
      </c>
      <c r="E372" s="68" t="str">
        <f t="shared" si="30"/>
        <v/>
      </c>
      <c r="F372" s="70"/>
      <c r="G372" s="71"/>
      <c r="H372" s="71"/>
      <c r="I372" s="71" t="str">
        <f t="shared" si="31"/>
        <v/>
      </c>
      <c r="J372" s="71" t="e">
        <f ca="1">IFERROR(__xludf.DUMMYFUNCTION("IF(I372="""","""",IMPORTXML(""http://www.cbr.ru/scripts/XML_daily.asp?date_req=""&amp;TEXT(A372,""DD/MM/YYYY""), ""//ValCurs/Valute[CharCode=""""USD""""]/Value"")*I372)"),"")</f>
        <v>#NAME?</v>
      </c>
      <c r="K372" s="71"/>
      <c r="L372" s="71"/>
      <c r="M372" s="71"/>
      <c r="N372" s="71" t="str">
        <f ca="1">IF(H372="","",IF(D372="usdt",H372,IF(C372="Binance",VLOOKUP(E372,'Курсы Бинанса'!B:C,2,FALSE),IF(C372="bybit",VLOOKUP(E372,'Курсы Bybit'!B:C,2,FALSE),IF(C372="OKX",VLOOKUP(E372,'Курсы OKX'!A:D,4,FALSE),IF(C372="huobi",VLOOKUP(E372,'Курсы Huobi'!B:C,2,FALSE),"! укажите биржу"))))))</f>
        <v/>
      </c>
      <c r="O372" s="71" t="str">
        <f t="shared" si="32"/>
        <v/>
      </c>
      <c r="P372" s="71" t="str">
        <f t="shared" si="33"/>
        <v/>
      </c>
      <c r="Q372" s="75" t="str">
        <f t="shared" si="34"/>
        <v/>
      </c>
      <c r="R372" s="76"/>
    </row>
    <row r="373" spans="1:18" ht="14.25" customHeight="1">
      <c r="A373" s="67"/>
      <c r="B373" s="68"/>
      <c r="C373" s="69"/>
      <c r="D373" s="69" t="str">
        <f ca="1">IF(B373="","",VLOOKUP('Журнал Закупок'!$B373,'СТ Криптовалюта'!B:C,2,0))</f>
        <v/>
      </c>
      <c r="E373" s="68" t="str">
        <f t="shared" si="30"/>
        <v/>
      </c>
      <c r="F373" s="70"/>
      <c r="G373" s="71"/>
      <c r="H373" s="71"/>
      <c r="I373" s="71" t="str">
        <f t="shared" si="31"/>
        <v/>
      </c>
      <c r="J373" s="71" t="e">
        <f ca="1">IFERROR(__xludf.DUMMYFUNCTION("IF(I373="""","""",IMPORTXML(""http://www.cbr.ru/scripts/XML_daily.asp?date_req=""&amp;TEXT(A373,""DD/MM/YYYY""), ""//ValCurs/Valute[CharCode=""""USD""""]/Value"")*I373)"),"")</f>
        <v>#NAME?</v>
      </c>
      <c r="K373" s="71"/>
      <c r="L373" s="71"/>
      <c r="M373" s="71"/>
      <c r="N373" s="71" t="str">
        <f ca="1">IF(H373="","",IF(D373="usdt",H373,IF(C373="Binance",VLOOKUP(E373,'Курсы Бинанса'!B:C,2,FALSE),IF(C373="bybit",VLOOKUP(E373,'Курсы Bybit'!B:C,2,FALSE),IF(C373="OKX",VLOOKUP(E373,'Курсы OKX'!A:D,4,FALSE),IF(C373="huobi",VLOOKUP(E373,'Курсы Huobi'!B:C,2,FALSE),"! укажите биржу"))))))</f>
        <v/>
      </c>
      <c r="O373" s="71" t="str">
        <f t="shared" si="32"/>
        <v/>
      </c>
      <c r="P373" s="71" t="str">
        <f t="shared" si="33"/>
        <v/>
      </c>
      <c r="Q373" s="75" t="str">
        <f t="shared" si="34"/>
        <v/>
      </c>
      <c r="R373" s="76"/>
    </row>
    <row r="374" spans="1:18" ht="14.25" customHeight="1">
      <c r="A374" s="67"/>
      <c r="B374" s="68"/>
      <c r="C374" s="69"/>
      <c r="D374" s="69" t="str">
        <f ca="1">IF(B374="","",VLOOKUP('Журнал Закупок'!$B374,'СТ Криптовалюта'!B:C,2,0))</f>
        <v/>
      </c>
      <c r="E374" s="68" t="str">
        <f t="shared" si="30"/>
        <v/>
      </c>
      <c r="F374" s="70"/>
      <c r="G374" s="71"/>
      <c r="H374" s="71"/>
      <c r="I374" s="71" t="str">
        <f t="shared" si="31"/>
        <v/>
      </c>
      <c r="J374" s="71" t="e">
        <f ca="1">IFERROR(__xludf.DUMMYFUNCTION("IF(I374="""","""",IMPORTXML(""http://www.cbr.ru/scripts/XML_daily.asp?date_req=""&amp;TEXT(A374,""DD/MM/YYYY""), ""//ValCurs/Valute[CharCode=""""USD""""]/Value"")*I374)"),"")</f>
        <v>#NAME?</v>
      </c>
      <c r="K374" s="71"/>
      <c r="L374" s="71"/>
      <c r="M374" s="71"/>
      <c r="N374" s="71" t="str">
        <f ca="1">IF(H374="","",IF(D374="usdt",H374,IF(C374="Binance",VLOOKUP(E374,'Курсы Бинанса'!B:C,2,FALSE),IF(C374="bybit",VLOOKUP(E374,'Курсы Bybit'!B:C,2,FALSE),IF(C374="OKX",VLOOKUP(E374,'Курсы OKX'!A:D,4,FALSE),IF(C374="huobi",VLOOKUP(E374,'Курсы Huobi'!B:C,2,FALSE),"! укажите биржу"))))))</f>
        <v/>
      </c>
      <c r="O374" s="71" t="str">
        <f t="shared" si="32"/>
        <v/>
      </c>
      <c r="P374" s="71" t="str">
        <f t="shared" si="33"/>
        <v/>
      </c>
      <c r="Q374" s="75" t="str">
        <f t="shared" si="34"/>
        <v/>
      </c>
      <c r="R374" s="76"/>
    </row>
    <row r="375" spans="1:18" ht="14.25" customHeight="1">
      <c r="A375" s="67"/>
      <c r="B375" s="68"/>
      <c r="C375" s="69"/>
      <c r="D375" s="69" t="str">
        <f ca="1">IF(B375="","",VLOOKUP('Журнал Закупок'!$B375,'СТ Криптовалюта'!B:C,2,0))</f>
        <v/>
      </c>
      <c r="E375" s="68" t="str">
        <f t="shared" si="30"/>
        <v/>
      </c>
      <c r="F375" s="70"/>
      <c r="G375" s="71"/>
      <c r="H375" s="71"/>
      <c r="I375" s="71" t="str">
        <f t="shared" si="31"/>
        <v/>
      </c>
      <c r="J375" s="71" t="e">
        <f ca="1">IFERROR(__xludf.DUMMYFUNCTION("IF(I375="""","""",IMPORTXML(""http://www.cbr.ru/scripts/XML_daily.asp?date_req=""&amp;TEXT(A375,""DD/MM/YYYY""), ""//ValCurs/Valute[CharCode=""""USD""""]/Value"")*I375)"),"")</f>
        <v>#NAME?</v>
      </c>
      <c r="K375" s="71"/>
      <c r="L375" s="71"/>
      <c r="M375" s="71"/>
      <c r="N375" s="71" t="str">
        <f ca="1">IF(H375="","",IF(D375="usdt",H375,IF(C375="Binance",VLOOKUP(E375,'Курсы Бинанса'!B:C,2,FALSE),IF(C375="bybit",VLOOKUP(E375,'Курсы Bybit'!B:C,2,FALSE),IF(C375="OKX",VLOOKUP(E375,'Курсы OKX'!A:D,4,FALSE),IF(C375="huobi",VLOOKUP(E375,'Курсы Huobi'!B:C,2,FALSE),"! укажите биржу"))))))</f>
        <v/>
      </c>
      <c r="O375" s="71" t="str">
        <f t="shared" si="32"/>
        <v/>
      </c>
      <c r="P375" s="71" t="str">
        <f t="shared" si="33"/>
        <v/>
      </c>
      <c r="Q375" s="75" t="str">
        <f t="shared" si="34"/>
        <v/>
      </c>
      <c r="R375" s="76"/>
    </row>
    <row r="376" spans="1:18" ht="14.25" customHeight="1">
      <c r="A376" s="67"/>
      <c r="B376" s="68"/>
      <c r="C376" s="69"/>
      <c r="D376" s="69" t="str">
        <f ca="1">IF(B376="","",VLOOKUP('Журнал Закупок'!$B376,'СТ Криптовалюта'!B:C,2,0))</f>
        <v/>
      </c>
      <c r="E376" s="68" t="str">
        <f t="shared" si="30"/>
        <v/>
      </c>
      <c r="F376" s="70"/>
      <c r="G376" s="71"/>
      <c r="H376" s="71"/>
      <c r="I376" s="71" t="str">
        <f t="shared" si="31"/>
        <v/>
      </c>
      <c r="J376" s="71" t="e">
        <f ca="1">IFERROR(__xludf.DUMMYFUNCTION("IF(I376="""","""",IMPORTXML(""http://www.cbr.ru/scripts/XML_daily.asp?date_req=""&amp;TEXT(A376,""DD/MM/YYYY""), ""//ValCurs/Valute[CharCode=""""USD""""]/Value"")*I376)"),"")</f>
        <v>#NAME?</v>
      </c>
      <c r="K376" s="71"/>
      <c r="L376" s="71"/>
      <c r="M376" s="71"/>
      <c r="N376" s="71" t="str">
        <f ca="1">IF(H376="","",IF(D376="usdt",H376,IF(C376="Binance",VLOOKUP(E376,'Курсы Бинанса'!B:C,2,FALSE),IF(C376="bybit",VLOOKUP(E376,'Курсы Bybit'!B:C,2,FALSE),IF(C376="OKX",VLOOKUP(E376,'Курсы OKX'!A:D,4,FALSE),IF(C376="huobi",VLOOKUP(E376,'Курсы Huobi'!B:C,2,FALSE),"! укажите биржу"))))))</f>
        <v/>
      </c>
      <c r="O376" s="71" t="str">
        <f t="shared" si="32"/>
        <v/>
      </c>
      <c r="P376" s="71" t="str">
        <f t="shared" si="33"/>
        <v/>
      </c>
      <c r="Q376" s="75" t="str">
        <f t="shared" si="34"/>
        <v/>
      </c>
      <c r="R376" s="76"/>
    </row>
    <row r="377" spans="1:18" ht="14.25" customHeight="1">
      <c r="A377" s="67"/>
      <c r="B377" s="68"/>
      <c r="C377" s="69"/>
      <c r="D377" s="69" t="str">
        <f ca="1">IF(B377="","",VLOOKUP('Журнал Закупок'!$B377,'СТ Криптовалюта'!B:C,2,0))</f>
        <v/>
      </c>
      <c r="E377" s="68" t="str">
        <f t="shared" si="30"/>
        <v/>
      </c>
      <c r="F377" s="70"/>
      <c r="G377" s="71"/>
      <c r="H377" s="71"/>
      <c r="I377" s="71" t="str">
        <f t="shared" si="31"/>
        <v/>
      </c>
      <c r="J377" s="71" t="e">
        <f ca="1">IFERROR(__xludf.DUMMYFUNCTION("IF(I377="""","""",IMPORTXML(""http://www.cbr.ru/scripts/XML_daily.asp?date_req=""&amp;TEXT(A377,""DD/MM/YYYY""), ""//ValCurs/Valute[CharCode=""""USD""""]/Value"")*I377)"),"")</f>
        <v>#NAME?</v>
      </c>
      <c r="K377" s="71"/>
      <c r="L377" s="71"/>
      <c r="M377" s="71"/>
      <c r="N377" s="71" t="str">
        <f ca="1">IF(H377="","",IF(D377="usdt",H377,IF(C377="Binance",VLOOKUP(E377,'Курсы Бинанса'!B:C,2,FALSE),IF(C377="bybit",VLOOKUP(E377,'Курсы Bybit'!B:C,2,FALSE),IF(C377="OKX",VLOOKUP(E377,'Курсы OKX'!A:D,4,FALSE),IF(C377="huobi",VLOOKUP(E377,'Курсы Huobi'!B:C,2,FALSE),"! укажите биржу"))))))</f>
        <v/>
      </c>
      <c r="O377" s="71" t="str">
        <f t="shared" si="32"/>
        <v/>
      </c>
      <c r="P377" s="71" t="str">
        <f t="shared" si="33"/>
        <v/>
      </c>
      <c r="Q377" s="75" t="str">
        <f t="shared" si="34"/>
        <v/>
      </c>
      <c r="R377" s="76"/>
    </row>
    <row r="378" spans="1:18" ht="14.25" customHeight="1">
      <c r="A378" s="67"/>
      <c r="B378" s="68"/>
      <c r="C378" s="69"/>
      <c r="D378" s="69" t="str">
        <f ca="1">IF(B378="","",VLOOKUP('Журнал Закупок'!$B378,'СТ Криптовалюта'!B:C,2,0))</f>
        <v/>
      </c>
      <c r="E378" s="68" t="str">
        <f t="shared" si="30"/>
        <v/>
      </c>
      <c r="F378" s="70"/>
      <c r="G378" s="71"/>
      <c r="H378" s="71"/>
      <c r="I378" s="71" t="str">
        <f t="shared" si="31"/>
        <v/>
      </c>
      <c r="J378" s="71" t="e">
        <f ca="1">IFERROR(__xludf.DUMMYFUNCTION("IF(I378="""","""",IMPORTXML(""http://www.cbr.ru/scripts/XML_daily.asp?date_req=""&amp;TEXT(A378,""DD/MM/YYYY""), ""//ValCurs/Valute[CharCode=""""USD""""]/Value"")*I378)"),"")</f>
        <v>#NAME?</v>
      </c>
      <c r="K378" s="71"/>
      <c r="L378" s="71"/>
      <c r="M378" s="71"/>
      <c r="N378" s="71" t="str">
        <f ca="1">IF(H378="","",IF(D378="usdt",H378,IF(C378="Binance",VLOOKUP(E378,'Курсы Бинанса'!B:C,2,FALSE),IF(C378="bybit",VLOOKUP(E378,'Курсы Bybit'!B:C,2,FALSE),IF(C378="OKX",VLOOKUP(E378,'Курсы OKX'!A:D,4,FALSE),IF(C378="huobi",VLOOKUP(E378,'Курсы Huobi'!B:C,2,FALSE),"! укажите биржу"))))))</f>
        <v/>
      </c>
      <c r="O378" s="71" t="str">
        <f t="shared" si="32"/>
        <v/>
      </c>
      <c r="P378" s="71" t="str">
        <f t="shared" si="33"/>
        <v/>
      </c>
      <c r="Q378" s="75" t="str">
        <f t="shared" si="34"/>
        <v/>
      </c>
      <c r="R378" s="76"/>
    </row>
    <row r="379" spans="1:18" ht="14.25" customHeight="1">
      <c r="A379" s="67"/>
      <c r="B379" s="68"/>
      <c r="C379" s="69"/>
      <c r="D379" s="69" t="str">
        <f ca="1">IF(B379="","",VLOOKUP('Журнал Закупок'!$B379,'СТ Криптовалюта'!B:C,2,0))</f>
        <v/>
      </c>
      <c r="E379" s="68" t="str">
        <f t="shared" si="30"/>
        <v/>
      </c>
      <c r="F379" s="70"/>
      <c r="G379" s="71"/>
      <c r="H379" s="71"/>
      <c r="I379" s="71" t="str">
        <f t="shared" si="31"/>
        <v/>
      </c>
      <c r="J379" s="71" t="e">
        <f ca="1">IFERROR(__xludf.DUMMYFUNCTION("IF(I379="""","""",IMPORTXML(""http://www.cbr.ru/scripts/XML_daily.asp?date_req=""&amp;TEXT(A379,""DD/MM/YYYY""), ""//ValCurs/Valute[CharCode=""""USD""""]/Value"")*I379)"),"")</f>
        <v>#NAME?</v>
      </c>
      <c r="K379" s="71"/>
      <c r="L379" s="71"/>
      <c r="M379" s="71"/>
      <c r="N379" s="71" t="str">
        <f ca="1">IF(H379="","",IF(D379="usdt",H379,IF(C379="Binance",VLOOKUP(E379,'Курсы Бинанса'!B:C,2,FALSE),IF(C379="bybit",VLOOKUP(E379,'Курсы Bybit'!B:C,2,FALSE),IF(C379="OKX",VLOOKUP(E379,'Курсы OKX'!A:D,4,FALSE),IF(C379="huobi",VLOOKUP(E379,'Курсы Huobi'!B:C,2,FALSE),"! укажите биржу"))))))</f>
        <v/>
      </c>
      <c r="O379" s="71" t="str">
        <f t="shared" si="32"/>
        <v/>
      </c>
      <c r="P379" s="71" t="str">
        <f t="shared" si="33"/>
        <v/>
      </c>
      <c r="Q379" s="75" t="str">
        <f t="shared" si="34"/>
        <v/>
      </c>
      <c r="R379" s="76"/>
    </row>
    <row r="380" spans="1:18" ht="14.25" customHeight="1">
      <c r="A380" s="67"/>
      <c r="B380" s="68"/>
      <c r="C380" s="69"/>
      <c r="D380" s="69" t="str">
        <f ca="1">IF(B380="","",VLOOKUP('Журнал Закупок'!$B380,'СТ Криптовалюта'!B:C,2,0))</f>
        <v/>
      </c>
      <c r="E380" s="68" t="str">
        <f t="shared" si="30"/>
        <v/>
      </c>
      <c r="F380" s="70"/>
      <c r="G380" s="71"/>
      <c r="H380" s="71"/>
      <c r="I380" s="71" t="str">
        <f t="shared" si="31"/>
        <v/>
      </c>
      <c r="J380" s="71" t="e">
        <f ca="1">IFERROR(__xludf.DUMMYFUNCTION("IF(I380="""","""",IMPORTXML(""http://www.cbr.ru/scripts/XML_daily.asp?date_req=""&amp;TEXT(A380,""DD/MM/YYYY""), ""//ValCurs/Valute[CharCode=""""USD""""]/Value"")*I380)"),"")</f>
        <v>#NAME?</v>
      </c>
      <c r="K380" s="71"/>
      <c r="L380" s="71"/>
      <c r="M380" s="71"/>
      <c r="N380" s="71" t="str">
        <f ca="1">IF(H380="","",IF(D380="usdt",H380,IF(C380="Binance",VLOOKUP(E380,'Курсы Бинанса'!B:C,2,FALSE),IF(C380="bybit",VLOOKUP(E380,'Курсы Bybit'!B:C,2,FALSE),IF(C380="OKX",VLOOKUP(E380,'Курсы OKX'!A:D,4,FALSE),IF(C380="huobi",VLOOKUP(E380,'Курсы Huobi'!B:C,2,FALSE),"! укажите биржу"))))))</f>
        <v/>
      </c>
      <c r="O380" s="71" t="str">
        <f t="shared" si="32"/>
        <v/>
      </c>
      <c r="P380" s="71" t="str">
        <f t="shared" si="33"/>
        <v/>
      </c>
      <c r="Q380" s="75" t="str">
        <f t="shared" si="34"/>
        <v/>
      </c>
      <c r="R380" s="76"/>
    </row>
    <row r="381" spans="1:18" ht="14.25" customHeight="1">
      <c r="A381" s="67"/>
      <c r="B381" s="68"/>
      <c r="C381" s="69"/>
      <c r="D381" s="69" t="str">
        <f ca="1">IF(B381="","",VLOOKUP('Журнал Закупок'!$B381,'СТ Криптовалюта'!B:C,2,0))</f>
        <v/>
      </c>
      <c r="E381" s="68" t="str">
        <f t="shared" si="30"/>
        <v/>
      </c>
      <c r="F381" s="70"/>
      <c r="G381" s="71"/>
      <c r="H381" s="71"/>
      <c r="I381" s="71" t="str">
        <f t="shared" si="31"/>
        <v/>
      </c>
      <c r="J381" s="71" t="e">
        <f ca="1">IFERROR(__xludf.DUMMYFUNCTION("IF(I381="""","""",IMPORTXML(""http://www.cbr.ru/scripts/XML_daily.asp?date_req=""&amp;TEXT(A381,""DD/MM/YYYY""), ""//ValCurs/Valute[CharCode=""""USD""""]/Value"")*I381)"),"")</f>
        <v>#NAME?</v>
      </c>
      <c r="K381" s="71"/>
      <c r="L381" s="71"/>
      <c r="M381" s="71"/>
      <c r="N381" s="71" t="str">
        <f ca="1">IF(H381="","",IF(D381="usdt",H381,IF(C381="Binance",VLOOKUP(E381,'Курсы Бинанса'!B:C,2,FALSE),IF(C381="bybit",VLOOKUP(E381,'Курсы Bybit'!B:C,2,FALSE),IF(C381="OKX",VLOOKUP(E381,'Курсы OKX'!A:D,4,FALSE),IF(C381="huobi",VLOOKUP(E381,'Курсы Huobi'!B:C,2,FALSE),"! укажите биржу"))))))</f>
        <v/>
      </c>
      <c r="O381" s="71" t="str">
        <f t="shared" si="32"/>
        <v/>
      </c>
      <c r="P381" s="71" t="str">
        <f t="shared" si="33"/>
        <v/>
      </c>
      <c r="Q381" s="75" t="str">
        <f t="shared" si="34"/>
        <v/>
      </c>
      <c r="R381" s="76"/>
    </row>
    <row r="382" spans="1:18" ht="14.25" customHeight="1">
      <c r="A382" s="67"/>
      <c r="B382" s="68"/>
      <c r="C382" s="69"/>
      <c r="D382" s="69" t="str">
        <f ca="1">IF(B382="","",VLOOKUP('Журнал Закупок'!$B382,'СТ Криптовалюта'!B:C,2,0))</f>
        <v/>
      </c>
      <c r="E382" s="68" t="str">
        <f t="shared" si="30"/>
        <v/>
      </c>
      <c r="F382" s="70"/>
      <c r="G382" s="71"/>
      <c r="H382" s="71"/>
      <c r="I382" s="71" t="str">
        <f t="shared" si="31"/>
        <v/>
      </c>
      <c r="J382" s="71" t="e">
        <f ca="1">IFERROR(__xludf.DUMMYFUNCTION("IF(I382="""","""",IMPORTXML(""http://www.cbr.ru/scripts/XML_daily.asp?date_req=""&amp;TEXT(A382,""DD/MM/YYYY""), ""//ValCurs/Valute[CharCode=""""USD""""]/Value"")*I382)"),"")</f>
        <v>#NAME?</v>
      </c>
      <c r="K382" s="71"/>
      <c r="L382" s="71"/>
      <c r="M382" s="71"/>
      <c r="N382" s="71" t="str">
        <f ca="1">IF(H382="","",IF(D382="usdt",H382,IF(C382="Binance",VLOOKUP(E382,'Курсы Бинанса'!B:C,2,FALSE),IF(C382="bybit",VLOOKUP(E382,'Курсы Bybit'!B:C,2,FALSE),IF(C382="OKX",VLOOKUP(E382,'Курсы OKX'!A:D,4,FALSE),IF(C382="huobi",VLOOKUP(E382,'Курсы Huobi'!B:C,2,FALSE),"! укажите биржу"))))))</f>
        <v/>
      </c>
      <c r="O382" s="71" t="str">
        <f t="shared" si="32"/>
        <v/>
      </c>
      <c r="P382" s="71" t="str">
        <f t="shared" si="33"/>
        <v/>
      </c>
      <c r="Q382" s="75" t="str">
        <f t="shared" si="34"/>
        <v/>
      </c>
      <c r="R382" s="76"/>
    </row>
    <row r="383" spans="1:18" ht="14.25" customHeight="1">
      <c r="A383" s="67"/>
      <c r="B383" s="68"/>
      <c r="C383" s="69"/>
      <c r="D383" s="69" t="str">
        <f ca="1">IF(B383="","",VLOOKUP('Журнал Закупок'!$B383,'СТ Криптовалюта'!B:C,2,0))</f>
        <v/>
      </c>
      <c r="E383" s="68" t="str">
        <f t="shared" si="30"/>
        <v/>
      </c>
      <c r="F383" s="70"/>
      <c r="G383" s="71"/>
      <c r="H383" s="71"/>
      <c r="I383" s="71" t="str">
        <f t="shared" si="31"/>
        <v/>
      </c>
      <c r="J383" s="71" t="e">
        <f ca="1">IFERROR(__xludf.DUMMYFUNCTION("IF(I383="""","""",IMPORTXML(""http://www.cbr.ru/scripts/XML_daily.asp?date_req=""&amp;TEXT(A383,""DD/MM/YYYY""), ""//ValCurs/Valute[CharCode=""""USD""""]/Value"")*I383)"),"")</f>
        <v>#NAME?</v>
      </c>
      <c r="K383" s="71"/>
      <c r="L383" s="71"/>
      <c r="M383" s="71"/>
      <c r="N383" s="71" t="str">
        <f ca="1">IF(H383="","",IF(D383="usdt",H383,IF(C383="Binance",VLOOKUP(E383,'Курсы Бинанса'!B:C,2,FALSE),IF(C383="bybit",VLOOKUP(E383,'Курсы Bybit'!B:C,2,FALSE),IF(C383="OKX",VLOOKUP(E383,'Курсы OKX'!A:D,4,FALSE),IF(C383="huobi",VLOOKUP(E383,'Курсы Huobi'!B:C,2,FALSE),"! укажите биржу"))))))</f>
        <v/>
      </c>
      <c r="O383" s="71" t="str">
        <f t="shared" si="32"/>
        <v/>
      </c>
      <c r="P383" s="71" t="str">
        <f t="shared" si="33"/>
        <v/>
      </c>
      <c r="Q383" s="75" t="str">
        <f t="shared" si="34"/>
        <v/>
      </c>
      <c r="R383" s="76"/>
    </row>
    <row r="384" spans="1:18" ht="14.25" customHeight="1">
      <c r="A384" s="67"/>
      <c r="B384" s="68"/>
      <c r="C384" s="69"/>
      <c r="D384" s="69" t="str">
        <f ca="1">IF(B384="","",VLOOKUP('Журнал Закупок'!$B384,'СТ Криптовалюта'!B:C,2,0))</f>
        <v/>
      </c>
      <c r="E384" s="68" t="str">
        <f t="shared" si="30"/>
        <v/>
      </c>
      <c r="F384" s="70"/>
      <c r="G384" s="71"/>
      <c r="H384" s="71"/>
      <c r="I384" s="71" t="str">
        <f t="shared" si="31"/>
        <v/>
      </c>
      <c r="J384" s="71" t="e">
        <f ca="1">IFERROR(__xludf.DUMMYFUNCTION("IF(I384="""","""",IMPORTXML(""http://www.cbr.ru/scripts/XML_daily.asp?date_req=""&amp;TEXT(A384,""DD/MM/YYYY""), ""//ValCurs/Valute[CharCode=""""USD""""]/Value"")*I384)"),"")</f>
        <v>#NAME?</v>
      </c>
      <c r="K384" s="71"/>
      <c r="L384" s="71"/>
      <c r="M384" s="71"/>
      <c r="N384" s="71" t="str">
        <f ca="1">IF(H384="","",IF(D384="usdt",H384,IF(C384="Binance",VLOOKUP(E384,'Курсы Бинанса'!B:C,2,FALSE),IF(C384="bybit",VLOOKUP(E384,'Курсы Bybit'!B:C,2,FALSE),IF(C384="OKX",VLOOKUP(E384,'Курсы OKX'!A:D,4,FALSE),IF(C384="huobi",VLOOKUP(E384,'Курсы Huobi'!B:C,2,FALSE),"! укажите биржу"))))))</f>
        <v/>
      </c>
      <c r="O384" s="71" t="str">
        <f t="shared" si="32"/>
        <v/>
      </c>
      <c r="P384" s="71" t="str">
        <f t="shared" si="33"/>
        <v/>
      </c>
      <c r="Q384" s="75" t="str">
        <f t="shared" si="34"/>
        <v/>
      </c>
      <c r="R384" s="76"/>
    </row>
    <row r="385" spans="1:18" ht="14.25" customHeight="1">
      <c r="A385" s="67"/>
      <c r="B385" s="68"/>
      <c r="C385" s="69"/>
      <c r="D385" s="69" t="str">
        <f ca="1">IF(B385="","",VLOOKUP('Журнал Закупок'!$B385,'СТ Криптовалюта'!B:C,2,0))</f>
        <v/>
      </c>
      <c r="E385" s="68" t="str">
        <f t="shared" si="30"/>
        <v/>
      </c>
      <c r="F385" s="70"/>
      <c r="G385" s="71"/>
      <c r="H385" s="71"/>
      <c r="I385" s="71" t="str">
        <f t="shared" si="31"/>
        <v/>
      </c>
      <c r="J385" s="71" t="e">
        <f ca="1">IFERROR(__xludf.DUMMYFUNCTION("IF(I385="""","""",IMPORTXML(""http://www.cbr.ru/scripts/XML_daily.asp?date_req=""&amp;TEXT(A385,""DD/MM/YYYY""), ""//ValCurs/Valute[CharCode=""""USD""""]/Value"")*I385)"),"")</f>
        <v>#NAME?</v>
      </c>
      <c r="K385" s="71"/>
      <c r="L385" s="71"/>
      <c r="M385" s="71"/>
      <c r="N385" s="71" t="str">
        <f ca="1">IF(H385="","",IF(D385="usdt",H385,IF(C385="Binance",VLOOKUP(E385,'Курсы Бинанса'!B:C,2,FALSE),IF(C385="bybit",VLOOKUP(E385,'Курсы Bybit'!B:C,2,FALSE),IF(C385="OKX",VLOOKUP(E385,'Курсы OKX'!A:D,4,FALSE),IF(C385="huobi",VLOOKUP(E385,'Курсы Huobi'!B:C,2,FALSE),"! укажите биржу"))))))</f>
        <v/>
      </c>
      <c r="O385" s="71" t="str">
        <f t="shared" si="32"/>
        <v/>
      </c>
      <c r="P385" s="71" t="str">
        <f t="shared" si="33"/>
        <v/>
      </c>
      <c r="Q385" s="75" t="str">
        <f t="shared" si="34"/>
        <v/>
      </c>
      <c r="R385" s="76"/>
    </row>
    <row r="386" spans="1:18" ht="14.25" customHeight="1">
      <c r="A386" s="67"/>
      <c r="B386" s="68"/>
      <c r="C386" s="69"/>
      <c r="D386" s="69" t="str">
        <f ca="1">IF(B386="","",VLOOKUP('Журнал Закупок'!$B386,'СТ Криптовалюта'!B:C,2,0))</f>
        <v/>
      </c>
      <c r="E386" s="68" t="str">
        <f t="shared" si="30"/>
        <v/>
      </c>
      <c r="F386" s="70"/>
      <c r="G386" s="71"/>
      <c r="H386" s="71"/>
      <c r="I386" s="71" t="str">
        <f t="shared" si="31"/>
        <v/>
      </c>
      <c r="J386" s="71" t="e">
        <f ca="1">IFERROR(__xludf.DUMMYFUNCTION("IF(I386="""","""",IMPORTXML(""http://www.cbr.ru/scripts/XML_daily.asp?date_req=""&amp;TEXT(A386,""DD/MM/YYYY""), ""//ValCurs/Valute[CharCode=""""USD""""]/Value"")*I386)"),"")</f>
        <v>#NAME?</v>
      </c>
      <c r="K386" s="71"/>
      <c r="L386" s="71"/>
      <c r="M386" s="71"/>
      <c r="N386" s="71" t="str">
        <f ca="1">IF(H386="","",IF(D386="usdt",H386,IF(C386="Binance",VLOOKUP(E386,'Курсы Бинанса'!B:C,2,FALSE),IF(C386="bybit",VLOOKUP(E386,'Курсы Bybit'!B:C,2,FALSE),IF(C386="OKX",VLOOKUP(E386,'Курсы OKX'!A:D,4,FALSE),IF(C386="huobi",VLOOKUP(E386,'Курсы Huobi'!B:C,2,FALSE),"! укажите биржу"))))))</f>
        <v/>
      </c>
      <c r="O386" s="71" t="str">
        <f t="shared" si="32"/>
        <v/>
      </c>
      <c r="P386" s="71" t="str">
        <f t="shared" si="33"/>
        <v/>
      </c>
      <c r="Q386" s="75" t="str">
        <f t="shared" si="34"/>
        <v/>
      </c>
      <c r="R386" s="76"/>
    </row>
    <row r="387" spans="1:18" ht="14.25" customHeight="1">
      <c r="A387" s="67"/>
      <c r="B387" s="68"/>
      <c r="C387" s="69"/>
      <c r="D387" s="69" t="str">
        <f ca="1">IF(B387="","",VLOOKUP('Журнал Закупок'!$B387,'СТ Криптовалюта'!B:C,2,0))</f>
        <v/>
      </c>
      <c r="E387" s="68" t="str">
        <f t="shared" si="30"/>
        <v/>
      </c>
      <c r="F387" s="70"/>
      <c r="G387" s="71"/>
      <c r="H387" s="71"/>
      <c r="I387" s="71" t="str">
        <f t="shared" si="31"/>
        <v/>
      </c>
      <c r="J387" s="71" t="e">
        <f ca="1">IFERROR(__xludf.DUMMYFUNCTION("IF(I387="""","""",IMPORTXML(""http://www.cbr.ru/scripts/XML_daily.asp?date_req=""&amp;TEXT(A387,""DD/MM/YYYY""), ""//ValCurs/Valute[CharCode=""""USD""""]/Value"")*I387)"),"")</f>
        <v>#NAME?</v>
      </c>
      <c r="K387" s="71"/>
      <c r="L387" s="71"/>
      <c r="M387" s="71"/>
      <c r="N387" s="71" t="str">
        <f ca="1">IF(H387="","",IF(D387="usdt",H387,IF(C387="Binance",VLOOKUP(E387,'Курсы Бинанса'!B:C,2,FALSE),IF(C387="bybit",VLOOKUP(E387,'Курсы Bybit'!B:C,2,FALSE),IF(C387="OKX",VLOOKUP(E387,'Курсы OKX'!A:D,4,FALSE),IF(C387="huobi",VLOOKUP(E387,'Курсы Huobi'!B:C,2,FALSE),"! укажите биржу"))))))</f>
        <v/>
      </c>
      <c r="O387" s="71" t="str">
        <f t="shared" si="32"/>
        <v/>
      </c>
      <c r="P387" s="71" t="str">
        <f t="shared" si="33"/>
        <v/>
      </c>
      <c r="Q387" s="75" t="str">
        <f t="shared" si="34"/>
        <v/>
      </c>
      <c r="R387" s="76"/>
    </row>
    <row r="388" spans="1:18" ht="14.25" customHeight="1">
      <c r="A388" s="67"/>
      <c r="B388" s="68"/>
      <c r="C388" s="69"/>
      <c r="D388" s="69" t="str">
        <f ca="1">IF(B388="","",VLOOKUP('Журнал Закупок'!$B388,'СТ Криптовалюта'!B:C,2,0))</f>
        <v/>
      </c>
      <c r="E388" s="68" t="str">
        <f t="shared" si="30"/>
        <v/>
      </c>
      <c r="F388" s="70"/>
      <c r="G388" s="71"/>
      <c r="H388" s="71"/>
      <c r="I388" s="71" t="str">
        <f t="shared" si="31"/>
        <v/>
      </c>
      <c r="J388" s="71" t="e">
        <f ca="1">IFERROR(__xludf.DUMMYFUNCTION("IF(I388="""","""",IMPORTXML(""http://www.cbr.ru/scripts/XML_daily.asp?date_req=""&amp;TEXT(A388,""DD/MM/YYYY""), ""//ValCurs/Valute[CharCode=""""USD""""]/Value"")*I388)"),"")</f>
        <v>#NAME?</v>
      </c>
      <c r="K388" s="71"/>
      <c r="L388" s="71"/>
      <c r="M388" s="71"/>
      <c r="N388" s="71" t="str">
        <f ca="1">IF(H388="","",IF(D388="usdt",H388,IF(C388="Binance",VLOOKUP(E388,'Курсы Бинанса'!B:C,2,FALSE),IF(C388="bybit",VLOOKUP(E388,'Курсы Bybit'!B:C,2,FALSE),IF(C388="OKX",VLOOKUP(E388,'Курсы OKX'!A:D,4,FALSE),IF(C388="huobi",VLOOKUP(E388,'Курсы Huobi'!B:C,2,FALSE),"! укажите биржу"))))))</f>
        <v/>
      </c>
      <c r="O388" s="71" t="str">
        <f t="shared" si="32"/>
        <v/>
      </c>
      <c r="P388" s="71" t="str">
        <f t="shared" si="33"/>
        <v/>
      </c>
      <c r="Q388" s="75" t="str">
        <f t="shared" si="34"/>
        <v/>
      </c>
      <c r="R388" s="76"/>
    </row>
    <row r="389" spans="1:18" ht="14.25" customHeight="1">
      <c r="A389" s="67"/>
      <c r="B389" s="68"/>
      <c r="C389" s="69"/>
      <c r="D389" s="69" t="str">
        <f ca="1">IF(B389="","",VLOOKUP('Журнал Закупок'!$B389,'СТ Криптовалюта'!B:C,2,0))</f>
        <v/>
      </c>
      <c r="E389" s="68" t="str">
        <f t="shared" si="30"/>
        <v/>
      </c>
      <c r="F389" s="70"/>
      <c r="G389" s="71"/>
      <c r="H389" s="71"/>
      <c r="I389" s="71" t="str">
        <f t="shared" si="31"/>
        <v/>
      </c>
      <c r="J389" s="71" t="e">
        <f ca="1">IFERROR(__xludf.DUMMYFUNCTION("IF(I389="""","""",IMPORTXML(""http://www.cbr.ru/scripts/XML_daily.asp?date_req=""&amp;TEXT(A389,""DD/MM/YYYY""), ""//ValCurs/Valute[CharCode=""""USD""""]/Value"")*I389)"),"")</f>
        <v>#NAME?</v>
      </c>
      <c r="K389" s="71"/>
      <c r="L389" s="71"/>
      <c r="M389" s="71"/>
      <c r="N389" s="71" t="str">
        <f ca="1">IF(H389="","",IF(D389="usdt",H389,IF(C389="Binance",VLOOKUP(E389,'Курсы Бинанса'!B:C,2,FALSE),IF(C389="bybit",VLOOKUP(E389,'Курсы Bybit'!B:C,2,FALSE),IF(C389="OKX",VLOOKUP(E389,'Курсы OKX'!A:D,4,FALSE),IF(C389="huobi",VLOOKUP(E389,'Курсы Huobi'!B:C,2,FALSE),"! укажите биржу"))))))</f>
        <v/>
      </c>
      <c r="O389" s="71" t="str">
        <f t="shared" si="32"/>
        <v/>
      </c>
      <c r="P389" s="71" t="str">
        <f t="shared" si="33"/>
        <v/>
      </c>
      <c r="Q389" s="75" t="str">
        <f t="shared" si="34"/>
        <v/>
      </c>
      <c r="R389" s="76"/>
    </row>
    <row r="390" spans="1:18" ht="14.25" customHeight="1">
      <c r="A390" s="67"/>
      <c r="B390" s="68"/>
      <c r="C390" s="69"/>
      <c r="D390" s="69" t="str">
        <f ca="1">IF(B390="","",VLOOKUP('Журнал Закупок'!$B390,'СТ Криптовалюта'!B:C,2,0))</f>
        <v/>
      </c>
      <c r="E390" s="68" t="str">
        <f t="shared" si="30"/>
        <v/>
      </c>
      <c r="F390" s="70"/>
      <c r="G390" s="71"/>
      <c r="H390" s="71"/>
      <c r="I390" s="71" t="str">
        <f t="shared" si="31"/>
        <v/>
      </c>
      <c r="J390" s="71" t="e">
        <f ca="1">IFERROR(__xludf.DUMMYFUNCTION("IF(I390="""","""",IMPORTXML(""http://www.cbr.ru/scripts/XML_daily.asp?date_req=""&amp;TEXT(A390,""DD/MM/YYYY""), ""//ValCurs/Valute[CharCode=""""USD""""]/Value"")*I390)"),"")</f>
        <v>#NAME?</v>
      </c>
      <c r="K390" s="71"/>
      <c r="L390" s="71"/>
      <c r="M390" s="71"/>
      <c r="N390" s="71" t="str">
        <f ca="1">IF(H390="","",IF(D390="usdt",H390,IF(C390="Binance",VLOOKUP(E390,'Курсы Бинанса'!B:C,2,FALSE),IF(C390="bybit",VLOOKUP(E390,'Курсы Bybit'!B:C,2,FALSE),IF(C390="OKX",VLOOKUP(E390,'Курсы OKX'!A:D,4,FALSE),IF(C390="huobi",VLOOKUP(E390,'Курсы Huobi'!B:C,2,FALSE),"! укажите биржу"))))))</f>
        <v/>
      </c>
      <c r="O390" s="71" t="str">
        <f t="shared" si="32"/>
        <v/>
      </c>
      <c r="P390" s="71" t="str">
        <f t="shared" si="33"/>
        <v/>
      </c>
      <c r="Q390" s="75" t="str">
        <f t="shared" si="34"/>
        <v/>
      </c>
      <c r="R390" s="76"/>
    </row>
    <row r="391" spans="1:18" ht="14.25" customHeight="1">
      <c r="A391" s="67"/>
      <c r="B391" s="68"/>
      <c r="C391" s="69"/>
      <c r="D391" s="69" t="str">
        <f ca="1">IF(B391="","",VLOOKUP('Журнал Закупок'!$B391,'СТ Криптовалюта'!B:C,2,0))</f>
        <v/>
      </c>
      <c r="E391" s="68" t="str">
        <f t="shared" si="30"/>
        <v/>
      </c>
      <c r="F391" s="70"/>
      <c r="G391" s="71"/>
      <c r="H391" s="71"/>
      <c r="I391" s="71" t="str">
        <f t="shared" si="31"/>
        <v/>
      </c>
      <c r="J391" s="71" t="e">
        <f ca="1">IFERROR(__xludf.DUMMYFUNCTION("IF(I391="""","""",IMPORTXML(""http://www.cbr.ru/scripts/XML_daily.asp?date_req=""&amp;TEXT(A391,""DD/MM/YYYY""), ""//ValCurs/Valute[CharCode=""""USD""""]/Value"")*I391)"),"")</f>
        <v>#NAME?</v>
      </c>
      <c r="K391" s="71"/>
      <c r="L391" s="71"/>
      <c r="M391" s="71"/>
      <c r="N391" s="71" t="str">
        <f ca="1">IF(H391="","",IF(D391="usdt",H391,IF(C391="Binance",VLOOKUP(E391,'Курсы Бинанса'!B:C,2,FALSE),IF(C391="bybit",VLOOKUP(E391,'Курсы Bybit'!B:C,2,FALSE),IF(C391="OKX",VLOOKUP(E391,'Курсы OKX'!A:D,4,FALSE),IF(C391="huobi",VLOOKUP(E391,'Курсы Huobi'!B:C,2,FALSE),"! укажите биржу"))))))</f>
        <v/>
      </c>
      <c r="O391" s="71" t="str">
        <f t="shared" si="32"/>
        <v/>
      </c>
      <c r="P391" s="71" t="str">
        <f t="shared" si="33"/>
        <v/>
      </c>
      <c r="Q391" s="75" t="str">
        <f t="shared" si="34"/>
        <v/>
      </c>
      <c r="R391" s="76"/>
    </row>
    <row r="392" spans="1:18" ht="14.25" customHeight="1">
      <c r="A392" s="67"/>
      <c r="B392" s="68"/>
      <c r="C392" s="69"/>
      <c r="D392" s="69" t="str">
        <f ca="1">IF(B392="","",VLOOKUP('Журнал Закупок'!$B392,'СТ Криптовалюта'!B:C,2,0))</f>
        <v/>
      </c>
      <c r="E392" s="68" t="str">
        <f t="shared" si="30"/>
        <v/>
      </c>
      <c r="F392" s="70"/>
      <c r="G392" s="71"/>
      <c r="H392" s="71"/>
      <c r="I392" s="71" t="str">
        <f t="shared" si="31"/>
        <v/>
      </c>
      <c r="J392" s="71" t="e">
        <f ca="1">IFERROR(__xludf.DUMMYFUNCTION("IF(I392="""","""",IMPORTXML(""http://www.cbr.ru/scripts/XML_daily.asp?date_req=""&amp;TEXT(A392,""DD/MM/YYYY""), ""//ValCurs/Valute[CharCode=""""USD""""]/Value"")*I392)"),"")</f>
        <v>#NAME?</v>
      </c>
      <c r="K392" s="71"/>
      <c r="L392" s="71"/>
      <c r="M392" s="71"/>
      <c r="N392" s="71" t="str">
        <f ca="1">IF(H392="","",IF(D392="usdt",H392,IF(C392="Binance",VLOOKUP(E392,'Курсы Бинанса'!B:C,2,FALSE),IF(C392="bybit",VLOOKUP(E392,'Курсы Bybit'!B:C,2,FALSE),IF(C392="OKX",VLOOKUP(E392,'Курсы OKX'!A:D,4,FALSE),IF(C392="huobi",VLOOKUP(E392,'Курсы Huobi'!B:C,2,FALSE),"! укажите биржу"))))))</f>
        <v/>
      </c>
      <c r="O392" s="71" t="str">
        <f t="shared" si="32"/>
        <v/>
      </c>
      <c r="P392" s="71" t="str">
        <f t="shared" si="33"/>
        <v/>
      </c>
      <c r="Q392" s="75" t="str">
        <f t="shared" si="34"/>
        <v/>
      </c>
      <c r="R392" s="76"/>
    </row>
    <row r="393" spans="1:18" ht="14.25" customHeight="1">
      <c r="A393" s="67"/>
      <c r="B393" s="68"/>
      <c r="C393" s="69"/>
      <c r="D393" s="69" t="str">
        <f ca="1">IF(B393="","",VLOOKUP('Журнал Закупок'!$B393,'СТ Криптовалюта'!B:C,2,0))</f>
        <v/>
      </c>
      <c r="E393" s="68" t="str">
        <f t="shared" si="30"/>
        <v/>
      </c>
      <c r="F393" s="70"/>
      <c r="G393" s="71"/>
      <c r="H393" s="71"/>
      <c r="I393" s="71" t="str">
        <f t="shared" si="31"/>
        <v/>
      </c>
      <c r="J393" s="71" t="e">
        <f ca="1">IFERROR(__xludf.DUMMYFUNCTION("IF(I393="""","""",IMPORTXML(""http://www.cbr.ru/scripts/XML_daily.asp?date_req=""&amp;TEXT(A393,""DD/MM/YYYY""), ""//ValCurs/Valute[CharCode=""""USD""""]/Value"")*I393)"),"")</f>
        <v>#NAME?</v>
      </c>
      <c r="K393" s="71"/>
      <c r="L393" s="71"/>
      <c r="M393" s="71"/>
      <c r="N393" s="71" t="str">
        <f ca="1">IF(H393="","",IF(D393="usdt",H393,IF(C393="Binance",VLOOKUP(E393,'Курсы Бинанса'!B:C,2,FALSE),IF(C393="bybit",VLOOKUP(E393,'Курсы Bybit'!B:C,2,FALSE),IF(C393="OKX",VLOOKUP(E393,'Курсы OKX'!A:D,4,FALSE),IF(C393="huobi",VLOOKUP(E393,'Курсы Huobi'!B:C,2,FALSE),"! укажите биржу"))))))</f>
        <v/>
      </c>
      <c r="O393" s="71" t="str">
        <f t="shared" si="32"/>
        <v/>
      </c>
      <c r="P393" s="71" t="str">
        <f t="shared" si="33"/>
        <v/>
      </c>
      <c r="Q393" s="75" t="str">
        <f t="shared" si="34"/>
        <v/>
      </c>
      <c r="R393" s="76"/>
    </row>
    <row r="394" spans="1:18" ht="14.25" customHeight="1">
      <c r="A394" s="67"/>
      <c r="B394" s="68"/>
      <c r="C394" s="69"/>
      <c r="D394" s="69" t="str">
        <f ca="1">IF(B394="","",VLOOKUP('Журнал Закупок'!$B394,'СТ Криптовалюта'!B:C,2,0))</f>
        <v/>
      </c>
      <c r="E394" s="68" t="str">
        <f t="shared" si="30"/>
        <v/>
      </c>
      <c r="F394" s="70"/>
      <c r="G394" s="71"/>
      <c r="H394" s="71"/>
      <c r="I394" s="71" t="str">
        <f t="shared" si="31"/>
        <v/>
      </c>
      <c r="J394" s="71" t="e">
        <f ca="1">IFERROR(__xludf.DUMMYFUNCTION("IF(I394="""","""",IMPORTXML(""http://www.cbr.ru/scripts/XML_daily.asp?date_req=""&amp;TEXT(A394,""DD/MM/YYYY""), ""//ValCurs/Valute[CharCode=""""USD""""]/Value"")*I394)"),"")</f>
        <v>#NAME?</v>
      </c>
      <c r="K394" s="71"/>
      <c r="L394" s="71"/>
      <c r="M394" s="71"/>
      <c r="N394" s="71" t="str">
        <f ca="1">IF(H394="","",IF(D394="usdt",H394,IF(C394="Binance",VLOOKUP(E394,'Курсы Бинанса'!B:C,2,FALSE),IF(C394="bybit",VLOOKUP(E394,'Курсы Bybit'!B:C,2,FALSE),IF(C394="OKX",VLOOKUP(E394,'Курсы OKX'!A:D,4,FALSE),IF(C394="huobi",VLOOKUP(E394,'Курсы Huobi'!B:C,2,FALSE),"! укажите биржу"))))))</f>
        <v/>
      </c>
      <c r="O394" s="71" t="str">
        <f t="shared" si="32"/>
        <v/>
      </c>
      <c r="P394" s="71" t="str">
        <f t="shared" si="33"/>
        <v/>
      </c>
      <c r="Q394" s="75" t="str">
        <f t="shared" si="34"/>
        <v/>
      </c>
      <c r="R394" s="76"/>
    </row>
    <row r="395" spans="1:18" ht="14.25" customHeight="1">
      <c r="A395" s="67"/>
      <c r="B395" s="68"/>
      <c r="C395" s="69"/>
      <c r="D395" s="69" t="str">
        <f ca="1">IF(B395="","",VLOOKUP('Журнал Закупок'!$B395,'СТ Криптовалюта'!B:C,2,0))</f>
        <v/>
      </c>
      <c r="E395" s="68" t="str">
        <f t="shared" si="30"/>
        <v/>
      </c>
      <c r="F395" s="70"/>
      <c r="G395" s="71"/>
      <c r="H395" s="71"/>
      <c r="I395" s="71" t="str">
        <f t="shared" si="31"/>
        <v/>
      </c>
      <c r="J395" s="71" t="e">
        <f ca="1">IFERROR(__xludf.DUMMYFUNCTION("IF(I395="""","""",IMPORTXML(""http://www.cbr.ru/scripts/XML_daily.asp?date_req=""&amp;TEXT(A395,""DD/MM/YYYY""), ""//ValCurs/Valute[CharCode=""""USD""""]/Value"")*I395)"),"")</f>
        <v>#NAME?</v>
      </c>
      <c r="K395" s="71"/>
      <c r="L395" s="71"/>
      <c r="M395" s="71"/>
      <c r="N395" s="71" t="str">
        <f ca="1">IF(H395="","",IF(D395="usdt",H395,IF(C395="Binance",VLOOKUP(E395,'Курсы Бинанса'!B:C,2,FALSE),IF(C395="bybit",VLOOKUP(E395,'Курсы Bybit'!B:C,2,FALSE),IF(C395="OKX",VLOOKUP(E395,'Курсы OKX'!A:D,4,FALSE),IF(C395="huobi",VLOOKUP(E395,'Курсы Huobi'!B:C,2,FALSE),"! укажите биржу"))))))</f>
        <v/>
      </c>
      <c r="O395" s="71" t="str">
        <f t="shared" si="32"/>
        <v/>
      </c>
      <c r="P395" s="71" t="str">
        <f t="shared" si="33"/>
        <v/>
      </c>
      <c r="Q395" s="75" t="str">
        <f t="shared" si="34"/>
        <v/>
      </c>
      <c r="R395" s="76"/>
    </row>
    <row r="396" spans="1:18" ht="14.25" customHeight="1">
      <c r="A396" s="67"/>
      <c r="B396" s="68"/>
      <c r="C396" s="69"/>
      <c r="D396" s="69" t="str">
        <f ca="1">IF(B396="","",VLOOKUP('Журнал Закупок'!$B396,'СТ Криптовалюта'!B:C,2,0))</f>
        <v/>
      </c>
      <c r="E396" s="68" t="str">
        <f t="shared" si="30"/>
        <v/>
      </c>
      <c r="F396" s="70"/>
      <c r="G396" s="71"/>
      <c r="H396" s="71"/>
      <c r="I396" s="71" t="str">
        <f t="shared" si="31"/>
        <v/>
      </c>
      <c r="J396" s="71" t="e">
        <f ca="1">IFERROR(__xludf.DUMMYFUNCTION("IF(I396="""","""",IMPORTXML(""http://www.cbr.ru/scripts/XML_daily.asp?date_req=""&amp;TEXT(A396,""DD/MM/YYYY""), ""//ValCurs/Valute[CharCode=""""USD""""]/Value"")*I396)"),"")</f>
        <v>#NAME?</v>
      </c>
      <c r="K396" s="71"/>
      <c r="L396" s="71"/>
      <c r="M396" s="71"/>
      <c r="N396" s="71" t="str">
        <f ca="1">IF(H396="","",IF(D396="usdt",H396,IF(C396="Binance",VLOOKUP(E396,'Курсы Бинанса'!B:C,2,FALSE),IF(C396="bybit",VLOOKUP(E396,'Курсы Bybit'!B:C,2,FALSE),IF(C396="OKX",VLOOKUP(E396,'Курсы OKX'!A:D,4,FALSE),IF(C396="huobi",VLOOKUP(E396,'Курсы Huobi'!B:C,2,FALSE),"! укажите биржу"))))))</f>
        <v/>
      </c>
      <c r="O396" s="71" t="str">
        <f t="shared" si="32"/>
        <v/>
      </c>
      <c r="P396" s="71" t="str">
        <f t="shared" si="33"/>
        <v/>
      </c>
      <c r="Q396" s="75" t="str">
        <f t="shared" si="34"/>
        <v/>
      </c>
      <c r="R396" s="76"/>
    </row>
    <row r="397" spans="1:18" ht="14.25" customHeight="1">
      <c r="A397" s="67"/>
      <c r="B397" s="68"/>
      <c r="C397" s="69"/>
      <c r="D397" s="69" t="str">
        <f ca="1">IF(B397="","",VLOOKUP('Журнал Закупок'!$B397,'СТ Криптовалюта'!B:C,2,0))</f>
        <v/>
      </c>
      <c r="E397" s="68" t="str">
        <f t="shared" si="30"/>
        <v/>
      </c>
      <c r="F397" s="70"/>
      <c r="G397" s="71"/>
      <c r="H397" s="71"/>
      <c r="I397" s="71" t="str">
        <f t="shared" si="31"/>
        <v/>
      </c>
      <c r="J397" s="71" t="e">
        <f ca="1">IFERROR(__xludf.DUMMYFUNCTION("IF(I397="""","""",IMPORTXML(""http://www.cbr.ru/scripts/XML_daily.asp?date_req=""&amp;TEXT(A397,""DD/MM/YYYY""), ""//ValCurs/Valute[CharCode=""""USD""""]/Value"")*I397)"),"")</f>
        <v>#NAME?</v>
      </c>
      <c r="K397" s="71"/>
      <c r="L397" s="71"/>
      <c r="M397" s="71"/>
      <c r="N397" s="71" t="str">
        <f ca="1">IF(H397="","",IF(D397="usdt",H397,IF(C397="Binance",VLOOKUP(E397,'Курсы Бинанса'!B:C,2,FALSE),IF(C397="bybit",VLOOKUP(E397,'Курсы Bybit'!B:C,2,FALSE),IF(C397="OKX",VLOOKUP(E397,'Курсы OKX'!A:D,4,FALSE),IF(C397="huobi",VLOOKUP(E397,'Курсы Huobi'!B:C,2,FALSE),"! укажите биржу"))))))</f>
        <v/>
      </c>
      <c r="O397" s="71" t="str">
        <f t="shared" si="32"/>
        <v/>
      </c>
      <c r="P397" s="71" t="str">
        <f t="shared" si="33"/>
        <v/>
      </c>
      <c r="Q397" s="75" t="str">
        <f t="shared" si="34"/>
        <v/>
      </c>
      <c r="R397" s="76"/>
    </row>
    <row r="398" spans="1:18" ht="14.25" customHeight="1">
      <c r="A398" s="67"/>
      <c r="B398" s="68"/>
      <c r="C398" s="69"/>
      <c r="D398" s="69" t="str">
        <f ca="1">IF(B398="","",VLOOKUP('Журнал Закупок'!$B398,'СТ Криптовалюта'!B:C,2,0))</f>
        <v/>
      </c>
      <c r="E398" s="68" t="str">
        <f t="shared" si="30"/>
        <v/>
      </c>
      <c r="F398" s="70"/>
      <c r="G398" s="71"/>
      <c r="H398" s="71"/>
      <c r="I398" s="71" t="str">
        <f t="shared" si="31"/>
        <v/>
      </c>
      <c r="J398" s="71" t="e">
        <f ca="1">IFERROR(__xludf.DUMMYFUNCTION("IF(I398="""","""",IMPORTXML(""http://www.cbr.ru/scripts/XML_daily.asp?date_req=""&amp;TEXT(A398,""DD/MM/YYYY""), ""//ValCurs/Valute[CharCode=""""USD""""]/Value"")*I398)"),"")</f>
        <v>#NAME?</v>
      </c>
      <c r="K398" s="71"/>
      <c r="L398" s="71"/>
      <c r="M398" s="71"/>
      <c r="N398" s="71" t="str">
        <f ca="1">IF(H398="","",IF(D398="usdt",H398,IF(C398="Binance",VLOOKUP(E398,'Курсы Бинанса'!B:C,2,FALSE),IF(C398="bybit",VLOOKUP(E398,'Курсы Bybit'!B:C,2,FALSE),IF(C398="OKX",VLOOKUP(E398,'Курсы OKX'!A:D,4,FALSE),IF(C398="huobi",VLOOKUP(E398,'Курсы Huobi'!B:C,2,FALSE),"! укажите биржу"))))))</f>
        <v/>
      </c>
      <c r="O398" s="71" t="str">
        <f t="shared" si="32"/>
        <v/>
      </c>
      <c r="P398" s="71" t="str">
        <f t="shared" si="33"/>
        <v/>
      </c>
      <c r="Q398" s="75" t="str">
        <f t="shared" si="34"/>
        <v/>
      </c>
      <c r="R398" s="76"/>
    </row>
    <row r="399" spans="1:18" ht="14.25" customHeight="1">
      <c r="A399" s="67"/>
      <c r="B399" s="68"/>
      <c r="C399" s="69"/>
      <c r="D399" s="69" t="str">
        <f ca="1">IF(B399="","",VLOOKUP('Журнал Закупок'!$B399,'СТ Криптовалюта'!B:C,2,0))</f>
        <v/>
      </c>
      <c r="E399" s="68" t="str">
        <f t="shared" si="30"/>
        <v/>
      </c>
      <c r="F399" s="70"/>
      <c r="G399" s="71"/>
      <c r="H399" s="71"/>
      <c r="I399" s="71" t="str">
        <f t="shared" si="31"/>
        <v/>
      </c>
      <c r="J399" s="71" t="e">
        <f ca="1">IFERROR(__xludf.DUMMYFUNCTION("IF(I399="""","""",IMPORTXML(""http://www.cbr.ru/scripts/XML_daily.asp?date_req=""&amp;TEXT(A399,""DD/MM/YYYY""), ""//ValCurs/Valute[CharCode=""""USD""""]/Value"")*I399)"),"")</f>
        <v>#NAME?</v>
      </c>
      <c r="K399" s="71"/>
      <c r="L399" s="71"/>
      <c r="M399" s="71"/>
      <c r="N399" s="71" t="str">
        <f ca="1">IF(H399="","",IF(D399="usdt",H399,IF(C399="Binance",VLOOKUP(E399,'Курсы Бинанса'!B:C,2,FALSE),IF(C399="bybit",VLOOKUP(E399,'Курсы Bybit'!B:C,2,FALSE),IF(C399="OKX",VLOOKUP(E399,'Курсы OKX'!A:D,4,FALSE),IF(C399="huobi",VLOOKUP(E399,'Курсы Huobi'!B:C,2,FALSE),"! укажите биржу"))))))</f>
        <v/>
      </c>
      <c r="O399" s="71" t="str">
        <f t="shared" si="32"/>
        <v/>
      </c>
      <c r="P399" s="71" t="str">
        <f t="shared" si="33"/>
        <v/>
      </c>
      <c r="Q399" s="75" t="str">
        <f t="shared" si="34"/>
        <v/>
      </c>
      <c r="R399" s="76"/>
    </row>
    <row r="400" spans="1:18" ht="14.25" customHeight="1">
      <c r="A400" s="67"/>
      <c r="B400" s="68"/>
      <c r="C400" s="69"/>
      <c r="D400" s="69" t="str">
        <f ca="1">IF(B400="","",VLOOKUP('Журнал Закупок'!$B400,'СТ Криптовалюта'!B:C,2,0))</f>
        <v/>
      </c>
      <c r="E400" s="68" t="str">
        <f t="shared" si="30"/>
        <v/>
      </c>
      <c r="F400" s="70"/>
      <c r="G400" s="71"/>
      <c r="H400" s="71"/>
      <c r="I400" s="71" t="str">
        <f t="shared" si="31"/>
        <v/>
      </c>
      <c r="J400" s="71" t="e">
        <f ca="1">IFERROR(__xludf.DUMMYFUNCTION("IF(I400="""","""",IMPORTXML(""http://www.cbr.ru/scripts/XML_daily.asp?date_req=""&amp;TEXT(A400,""DD/MM/YYYY""), ""//ValCurs/Valute[CharCode=""""USD""""]/Value"")*I400)"),"")</f>
        <v>#NAME?</v>
      </c>
      <c r="K400" s="71"/>
      <c r="L400" s="71"/>
      <c r="M400" s="71"/>
      <c r="N400" s="71" t="str">
        <f ca="1">IF(H400="","",IF(D400="usdt",H400,IF(C400="Binance",VLOOKUP(E400,'Курсы Бинанса'!B:C,2,FALSE),IF(C400="bybit",VLOOKUP(E400,'Курсы Bybit'!B:C,2,FALSE),IF(C400="OKX",VLOOKUP(E400,'Курсы OKX'!A:D,4,FALSE),IF(C400="huobi",VLOOKUP(E400,'Курсы Huobi'!B:C,2,FALSE),"! укажите биржу"))))))</f>
        <v/>
      </c>
      <c r="O400" s="71" t="str">
        <f t="shared" si="32"/>
        <v/>
      </c>
      <c r="P400" s="71" t="str">
        <f t="shared" si="33"/>
        <v/>
      </c>
      <c r="Q400" s="75" t="str">
        <f t="shared" si="34"/>
        <v/>
      </c>
      <c r="R400" s="76"/>
    </row>
    <row r="401" spans="1:18" ht="14.25" customHeight="1">
      <c r="A401" s="67"/>
      <c r="B401" s="68"/>
      <c r="C401" s="69"/>
      <c r="D401" s="69" t="str">
        <f ca="1">IF(B401="","",VLOOKUP('Журнал Закупок'!$B401,'СТ Криптовалюта'!B:C,2,0))</f>
        <v/>
      </c>
      <c r="E401" s="68" t="str">
        <f t="shared" si="30"/>
        <v/>
      </c>
      <c r="F401" s="70"/>
      <c r="G401" s="71"/>
      <c r="H401" s="71"/>
      <c r="I401" s="71" t="str">
        <f t="shared" si="31"/>
        <v/>
      </c>
      <c r="J401" s="71" t="e">
        <f ca="1">IFERROR(__xludf.DUMMYFUNCTION("IF(I401="""","""",IMPORTXML(""http://www.cbr.ru/scripts/XML_daily.asp?date_req=""&amp;TEXT(A401,""DD/MM/YYYY""), ""//ValCurs/Valute[CharCode=""""USD""""]/Value"")*I401)"),"")</f>
        <v>#NAME?</v>
      </c>
      <c r="K401" s="71"/>
      <c r="L401" s="71"/>
      <c r="M401" s="71"/>
      <c r="N401" s="71" t="str">
        <f ca="1">IF(H401="","",IF(D401="usdt",H401,IF(C401="Binance",VLOOKUP(E401,'Курсы Бинанса'!B:C,2,FALSE),IF(C401="bybit",VLOOKUP(E401,'Курсы Bybit'!B:C,2,FALSE),IF(C401="OKX",VLOOKUP(E401,'Курсы OKX'!A:D,4,FALSE),IF(C401="huobi",VLOOKUP(E401,'Курсы Huobi'!B:C,2,FALSE),"! укажите биржу"))))))</f>
        <v/>
      </c>
      <c r="O401" s="71" t="str">
        <f t="shared" si="32"/>
        <v/>
      </c>
      <c r="P401" s="71" t="str">
        <f t="shared" si="33"/>
        <v/>
      </c>
      <c r="Q401" s="75" t="str">
        <f t="shared" si="34"/>
        <v/>
      </c>
      <c r="R401" s="76"/>
    </row>
    <row r="402" spans="1:18" ht="14.25" customHeight="1">
      <c r="A402" s="67"/>
      <c r="B402" s="68"/>
      <c r="C402" s="69"/>
      <c r="D402" s="69" t="str">
        <f ca="1">IF(B402="","",VLOOKUP('Журнал Закупок'!$B402,'СТ Криптовалюта'!B:C,2,0))</f>
        <v/>
      </c>
      <c r="E402" s="68" t="str">
        <f t="shared" si="30"/>
        <v/>
      </c>
      <c r="F402" s="70"/>
      <c r="G402" s="71"/>
      <c r="H402" s="71"/>
      <c r="I402" s="71" t="str">
        <f t="shared" si="31"/>
        <v/>
      </c>
      <c r="J402" s="71" t="e">
        <f ca="1">IFERROR(__xludf.DUMMYFUNCTION("IF(I402="""","""",IMPORTXML(""http://www.cbr.ru/scripts/XML_daily.asp?date_req=""&amp;TEXT(A402,""DD/MM/YYYY""), ""//ValCurs/Valute[CharCode=""""USD""""]/Value"")*I402)"),"")</f>
        <v>#NAME?</v>
      </c>
      <c r="K402" s="71"/>
      <c r="L402" s="71"/>
      <c r="M402" s="71"/>
      <c r="N402" s="71" t="str">
        <f ca="1">IF(H402="","",IF(D402="usdt",H402,IF(C402="Binance",VLOOKUP(E402,'Курсы Бинанса'!B:C,2,FALSE),IF(C402="bybit",VLOOKUP(E402,'Курсы Bybit'!B:C,2,FALSE),IF(C402="OKX",VLOOKUP(E402,'Курсы OKX'!A:D,4,FALSE),IF(C402="huobi",VLOOKUP(E402,'Курсы Huobi'!B:C,2,FALSE),"! укажите биржу"))))))</f>
        <v/>
      </c>
      <c r="O402" s="71" t="str">
        <f t="shared" si="32"/>
        <v/>
      </c>
      <c r="P402" s="71" t="str">
        <f t="shared" si="33"/>
        <v/>
      </c>
      <c r="Q402" s="75" t="str">
        <f t="shared" si="34"/>
        <v/>
      </c>
      <c r="R402" s="76"/>
    </row>
    <row r="403" spans="1:18" ht="14.25" customHeight="1">
      <c r="A403" s="67"/>
      <c r="B403" s="68"/>
      <c r="C403" s="69"/>
      <c r="D403" s="69" t="str">
        <f ca="1">IF(B403="","",VLOOKUP('Журнал Закупок'!$B403,'СТ Криптовалюта'!B:C,2,0))</f>
        <v/>
      </c>
      <c r="E403" s="68" t="str">
        <f t="shared" si="30"/>
        <v/>
      </c>
      <c r="F403" s="70"/>
      <c r="G403" s="71"/>
      <c r="H403" s="71"/>
      <c r="I403" s="71" t="str">
        <f t="shared" si="31"/>
        <v/>
      </c>
      <c r="J403" s="71" t="e">
        <f ca="1">IFERROR(__xludf.DUMMYFUNCTION("IF(I403="""","""",IMPORTXML(""http://www.cbr.ru/scripts/XML_daily.asp?date_req=""&amp;TEXT(A403,""DD/MM/YYYY""), ""//ValCurs/Valute[CharCode=""""USD""""]/Value"")*I403)"),"")</f>
        <v>#NAME?</v>
      </c>
      <c r="K403" s="71"/>
      <c r="L403" s="71"/>
      <c r="M403" s="71"/>
      <c r="N403" s="71" t="str">
        <f ca="1">IF(H403="","",IF(D403="usdt",H403,IF(C403="Binance",VLOOKUP(E403,'Курсы Бинанса'!B:C,2,FALSE),IF(C403="bybit",VLOOKUP(E403,'Курсы Bybit'!B:C,2,FALSE),IF(C403="OKX",VLOOKUP(E403,'Курсы OKX'!A:D,4,FALSE),IF(C403="huobi",VLOOKUP(E403,'Курсы Huobi'!B:C,2,FALSE),"! укажите биржу"))))))</f>
        <v/>
      </c>
      <c r="O403" s="71" t="str">
        <f t="shared" si="32"/>
        <v/>
      </c>
      <c r="P403" s="71" t="str">
        <f t="shared" si="33"/>
        <v/>
      </c>
      <c r="Q403" s="75" t="str">
        <f t="shared" si="34"/>
        <v/>
      </c>
      <c r="R403" s="76"/>
    </row>
    <row r="404" spans="1:18" ht="14.25" customHeight="1">
      <c r="A404" s="67"/>
      <c r="B404" s="68"/>
      <c r="C404" s="69"/>
      <c r="D404" s="69" t="str">
        <f ca="1">IF(B404="","",VLOOKUP('Журнал Закупок'!$B404,'СТ Криптовалюта'!B:C,2,0))</f>
        <v/>
      </c>
      <c r="E404" s="68" t="str">
        <f t="shared" si="30"/>
        <v/>
      </c>
      <c r="F404" s="70"/>
      <c r="G404" s="71"/>
      <c r="H404" s="71"/>
      <c r="I404" s="71" t="str">
        <f t="shared" si="31"/>
        <v/>
      </c>
      <c r="J404" s="71" t="e">
        <f ca="1">IFERROR(__xludf.DUMMYFUNCTION("IF(I404="""","""",IMPORTXML(""http://www.cbr.ru/scripts/XML_daily.asp?date_req=""&amp;TEXT(A404,""DD/MM/YYYY""), ""//ValCurs/Valute[CharCode=""""USD""""]/Value"")*I404)"),"")</f>
        <v>#NAME?</v>
      </c>
      <c r="K404" s="71"/>
      <c r="L404" s="71"/>
      <c r="M404" s="71"/>
      <c r="N404" s="71" t="str">
        <f ca="1">IF(H404="","",IF(D404="usdt",H404,IF(C404="Binance",VLOOKUP(E404,'Курсы Бинанса'!B:C,2,FALSE),IF(C404="bybit",VLOOKUP(E404,'Курсы Bybit'!B:C,2,FALSE),IF(C404="OKX",VLOOKUP(E404,'Курсы OKX'!A:D,4,FALSE),IF(C404="huobi",VLOOKUP(E404,'Курсы Huobi'!B:C,2,FALSE),"! укажите биржу"))))))</f>
        <v/>
      </c>
      <c r="O404" s="71" t="str">
        <f t="shared" si="32"/>
        <v/>
      </c>
      <c r="P404" s="71" t="str">
        <f t="shared" si="33"/>
        <v/>
      </c>
      <c r="Q404" s="75" t="str">
        <f t="shared" si="34"/>
        <v/>
      </c>
      <c r="R404" s="76"/>
    </row>
    <row r="405" spans="1:18" ht="14.25" customHeight="1">
      <c r="A405" s="67"/>
      <c r="B405" s="68"/>
      <c r="C405" s="69"/>
      <c r="D405" s="69" t="str">
        <f ca="1">IF(B405="","",VLOOKUP('Журнал Закупок'!$B405,'СТ Криптовалюта'!B:C,2,0))</f>
        <v/>
      </c>
      <c r="E405" s="68" t="str">
        <f t="shared" si="30"/>
        <v/>
      </c>
      <c r="F405" s="70"/>
      <c r="G405" s="71"/>
      <c r="H405" s="71"/>
      <c r="I405" s="71" t="str">
        <f t="shared" si="31"/>
        <v/>
      </c>
      <c r="J405" s="71" t="e">
        <f ca="1">IFERROR(__xludf.DUMMYFUNCTION("IF(I405="""","""",IMPORTXML(""http://www.cbr.ru/scripts/XML_daily.asp?date_req=""&amp;TEXT(A405,""DD/MM/YYYY""), ""//ValCurs/Valute[CharCode=""""USD""""]/Value"")*I405)"),"")</f>
        <v>#NAME?</v>
      </c>
      <c r="K405" s="71"/>
      <c r="L405" s="71"/>
      <c r="M405" s="71"/>
      <c r="N405" s="71" t="str">
        <f ca="1">IF(H405="","",IF(D405="usdt",H405,IF(C405="Binance",VLOOKUP(E405,'Курсы Бинанса'!B:C,2,FALSE),IF(C405="bybit",VLOOKUP(E405,'Курсы Bybit'!B:C,2,FALSE),IF(C405="OKX",VLOOKUP(E405,'Курсы OKX'!A:D,4,FALSE),IF(C405="huobi",VLOOKUP(E405,'Курсы Huobi'!B:C,2,FALSE),"! укажите биржу"))))))</f>
        <v/>
      </c>
      <c r="O405" s="71" t="str">
        <f t="shared" si="32"/>
        <v/>
      </c>
      <c r="P405" s="71" t="str">
        <f t="shared" si="33"/>
        <v/>
      </c>
      <c r="Q405" s="75" t="str">
        <f t="shared" si="34"/>
        <v/>
      </c>
      <c r="R405" s="76"/>
    </row>
    <row r="406" spans="1:18" ht="14.25" customHeight="1">
      <c r="A406" s="67"/>
      <c r="B406" s="68"/>
      <c r="C406" s="69"/>
      <c r="D406" s="69" t="str">
        <f ca="1">IF(B406="","",VLOOKUP('Журнал Закупок'!$B406,'СТ Криптовалюта'!B:C,2,0))</f>
        <v/>
      </c>
      <c r="E406" s="68" t="str">
        <f t="shared" si="30"/>
        <v/>
      </c>
      <c r="F406" s="70"/>
      <c r="G406" s="71"/>
      <c r="H406" s="71"/>
      <c r="I406" s="71" t="str">
        <f t="shared" si="31"/>
        <v/>
      </c>
      <c r="J406" s="71" t="e">
        <f ca="1">IFERROR(__xludf.DUMMYFUNCTION("IF(I406="""","""",IMPORTXML(""http://www.cbr.ru/scripts/XML_daily.asp?date_req=""&amp;TEXT(A406,""DD/MM/YYYY""), ""//ValCurs/Valute[CharCode=""""USD""""]/Value"")*I406)"),"")</f>
        <v>#NAME?</v>
      </c>
      <c r="K406" s="71"/>
      <c r="L406" s="71"/>
      <c r="M406" s="71"/>
      <c r="N406" s="71" t="str">
        <f ca="1">IF(H406="","",IF(D406="usdt",H406,IF(C406="Binance",VLOOKUP(E406,'Курсы Бинанса'!B:C,2,FALSE),IF(C406="bybit",VLOOKUP(E406,'Курсы Bybit'!B:C,2,FALSE),IF(C406="OKX",VLOOKUP(E406,'Курсы OKX'!A:D,4,FALSE),IF(C406="huobi",VLOOKUP(E406,'Курсы Huobi'!B:C,2,FALSE),"! укажите биржу"))))))</f>
        <v/>
      </c>
      <c r="O406" s="71" t="str">
        <f t="shared" si="32"/>
        <v/>
      </c>
      <c r="P406" s="71" t="str">
        <f t="shared" si="33"/>
        <v/>
      </c>
      <c r="Q406" s="75" t="str">
        <f t="shared" si="34"/>
        <v/>
      </c>
      <c r="R406" s="76"/>
    </row>
    <row r="407" spans="1:18" ht="14.25" customHeight="1">
      <c r="A407" s="67"/>
      <c r="B407" s="68"/>
      <c r="C407" s="69"/>
      <c r="D407" s="69" t="str">
        <f ca="1">IF(B407="","",VLOOKUP('Журнал Закупок'!$B407,'СТ Криптовалюта'!B:C,2,0))</f>
        <v/>
      </c>
      <c r="E407" s="68" t="str">
        <f t="shared" si="30"/>
        <v/>
      </c>
      <c r="F407" s="70"/>
      <c r="G407" s="71"/>
      <c r="H407" s="71"/>
      <c r="I407" s="71" t="str">
        <f t="shared" si="31"/>
        <v/>
      </c>
      <c r="J407" s="71" t="e">
        <f ca="1">IFERROR(__xludf.DUMMYFUNCTION("IF(I407="""","""",IMPORTXML(""http://www.cbr.ru/scripts/XML_daily.asp?date_req=""&amp;TEXT(A407,""DD/MM/YYYY""), ""//ValCurs/Valute[CharCode=""""USD""""]/Value"")*I407)"),"")</f>
        <v>#NAME?</v>
      </c>
      <c r="K407" s="71"/>
      <c r="L407" s="71"/>
      <c r="M407" s="71"/>
      <c r="N407" s="71" t="str">
        <f ca="1">IF(H407="","",IF(D407="usdt",H407,IF(C407="Binance",VLOOKUP(E407,'Курсы Бинанса'!B:C,2,FALSE),IF(C407="bybit",VLOOKUP(E407,'Курсы Bybit'!B:C,2,FALSE),IF(C407="OKX",VLOOKUP(E407,'Курсы OKX'!A:D,4,FALSE),IF(C407="huobi",VLOOKUP(E407,'Курсы Huobi'!B:C,2,FALSE),"! укажите биржу"))))))</f>
        <v/>
      </c>
      <c r="O407" s="71" t="str">
        <f t="shared" si="32"/>
        <v/>
      </c>
      <c r="P407" s="71" t="str">
        <f t="shared" si="33"/>
        <v/>
      </c>
      <c r="Q407" s="75" t="str">
        <f t="shared" si="34"/>
        <v/>
      </c>
      <c r="R407" s="76"/>
    </row>
    <row r="408" spans="1:18" ht="14.25" customHeight="1">
      <c r="A408" s="67"/>
      <c r="B408" s="68"/>
      <c r="C408" s="69"/>
      <c r="D408" s="69" t="str">
        <f ca="1">IF(B408="","",VLOOKUP('Журнал Закупок'!$B408,'СТ Криптовалюта'!B:C,2,0))</f>
        <v/>
      </c>
      <c r="E408" s="68" t="str">
        <f t="shared" si="30"/>
        <v/>
      </c>
      <c r="F408" s="70"/>
      <c r="G408" s="71"/>
      <c r="H408" s="71"/>
      <c r="I408" s="71" t="str">
        <f t="shared" si="31"/>
        <v/>
      </c>
      <c r="J408" s="71" t="e">
        <f ca="1">IFERROR(__xludf.DUMMYFUNCTION("IF(I408="""","""",IMPORTXML(""http://www.cbr.ru/scripts/XML_daily.asp?date_req=""&amp;TEXT(A408,""DD/MM/YYYY""), ""//ValCurs/Valute[CharCode=""""USD""""]/Value"")*I408)"),"")</f>
        <v>#NAME?</v>
      </c>
      <c r="K408" s="71"/>
      <c r="L408" s="71"/>
      <c r="M408" s="71"/>
      <c r="N408" s="71" t="str">
        <f ca="1">IF(H408="","",IF(D408="usdt",H408,IF(C408="Binance",VLOOKUP(E408,'Курсы Бинанса'!B:C,2,FALSE),IF(C408="bybit",VLOOKUP(E408,'Курсы Bybit'!B:C,2,FALSE),IF(C408="OKX",VLOOKUP(E408,'Курсы OKX'!A:D,4,FALSE),IF(C408="huobi",VLOOKUP(E408,'Курсы Huobi'!B:C,2,FALSE),"! укажите биржу"))))))</f>
        <v/>
      </c>
      <c r="O408" s="71" t="str">
        <f t="shared" si="32"/>
        <v/>
      </c>
      <c r="P408" s="71" t="str">
        <f t="shared" si="33"/>
        <v/>
      </c>
      <c r="Q408" s="75" t="str">
        <f t="shared" si="34"/>
        <v/>
      </c>
      <c r="R408" s="76"/>
    </row>
    <row r="409" spans="1:18" ht="14.25" customHeight="1">
      <c r="A409" s="67"/>
      <c r="B409" s="68"/>
      <c r="C409" s="69"/>
      <c r="D409" s="69" t="str">
        <f ca="1">IF(B409="","",VLOOKUP('Журнал Закупок'!$B409,'СТ Криптовалюта'!B:C,2,0))</f>
        <v/>
      </c>
      <c r="E409" s="68" t="str">
        <f t="shared" si="30"/>
        <v/>
      </c>
      <c r="F409" s="70"/>
      <c r="G409" s="71"/>
      <c r="H409" s="71"/>
      <c r="I409" s="71" t="str">
        <f t="shared" si="31"/>
        <v/>
      </c>
      <c r="J409" s="71" t="e">
        <f ca="1">IFERROR(__xludf.DUMMYFUNCTION("IF(I409="""","""",IMPORTXML(""http://www.cbr.ru/scripts/XML_daily.asp?date_req=""&amp;TEXT(A409,""DD/MM/YYYY""), ""//ValCurs/Valute[CharCode=""""USD""""]/Value"")*I409)"),"")</f>
        <v>#NAME?</v>
      </c>
      <c r="K409" s="71"/>
      <c r="L409" s="71"/>
      <c r="M409" s="71"/>
      <c r="N409" s="71" t="str">
        <f ca="1">IF(H409="","",IF(D409="usdt",H409,IF(C409="Binance",VLOOKUP(E409,'Курсы Бинанса'!B:C,2,FALSE),IF(C409="bybit",VLOOKUP(E409,'Курсы Bybit'!B:C,2,FALSE),IF(C409="OKX",VLOOKUP(E409,'Курсы OKX'!A:D,4,FALSE),IF(C409="huobi",VLOOKUP(E409,'Курсы Huobi'!B:C,2,FALSE),"! укажите биржу"))))))</f>
        <v/>
      </c>
      <c r="O409" s="71" t="str">
        <f t="shared" si="32"/>
        <v/>
      </c>
      <c r="P409" s="71" t="str">
        <f t="shared" si="33"/>
        <v/>
      </c>
      <c r="Q409" s="75" t="str">
        <f t="shared" si="34"/>
        <v/>
      </c>
      <c r="R409" s="76"/>
    </row>
    <row r="410" spans="1:18" ht="14.25" customHeight="1">
      <c r="A410" s="67"/>
      <c r="B410" s="68"/>
      <c r="C410" s="69"/>
      <c r="D410" s="69" t="str">
        <f ca="1">IF(B410="","",VLOOKUP('Журнал Закупок'!$B410,'СТ Криптовалюта'!B:C,2,0))</f>
        <v/>
      </c>
      <c r="E410" s="68" t="str">
        <f t="shared" si="30"/>
        <v/>
      </c>
      <c r="F410" s="70"/>
      <c r="G410" s="71"/>
      <c r="H410" s="71"/>
      <c r="I410" s="71" t="str">
        <f t="shared" si="31"/>
        <v/>
      </c>
      <c r="J410" s="71" t="e">
        <f ca="1">IFERROR(__xludf.DUMMYFUNCTION("IF(I410="""","""",IMPORTXML(""http://www.cbr.ru/scripts/XML_daily.asp?date_req=""&amp;TEXT(A410,""DD/MM/YYYY""), ""//ValCurs/Valute[CharCode=""""USD""""]/Value"")*I410)"),"")</f>
        <v>#NAME?</v>
      </c>
      <c r="K410" s="71"/>
      <c r="L410" s="71"/>
      <c r="M410" s="71"/>
      <c r="N410" s="71" t="str">
        <f ca="1">IF(H410="","",IF(D410="usdt",H410,IF(C410="Binance",VLOOKUP(E410,'Курсы Бинанса'!B:C,2,FALSE),IF(C410="bybit",VLOOKUP(E410,'Курсы Bybit'!B:C,2,FALSE),IF(C410="OKX",VLOOKUP(E410,'Курсы OKX'!A:D,4,FALSE),IF(C410="huobi",VLOOKUP(E410,'Курсы Huobi'!B:C,2,FALSE),"! укажите биржу"))))))</f>
        <v/>
      </c>
      <c r="O410" s="71" t="str">
        <f t="shared" si="32"/>
        <v/>
      </c>
      <c r="P410" s="71" t="str">
        <f t="shared" si="33"/>
        <v/>
      </c>
      <c r="Q410" s="75" t="str">
        <f t="shared" si="34"/>
        <v/>
      </c>
      <c r="R410" s="76"/>
    </row>
    <row r="411" spans="1:18" ht="14.25" customHeight="1">
      <c r="A411" s="67"/>
      <c r="B411" s="68"/>
      <c r="C411" s="69"/>
      <c r="D411" s="69" t="str">
        <f ca="1">IF(B411="","",VLOOKUP('Журнал Закупок'!$B411,'СТ Криптовалюта'!B:C,2,0))</f>
        <v/>
      </c>
      <c r="E411" s="68" t="str">
        <f t="shared" si="30"/>
        <v/>
      </c>
      <c r="F411" s="70"/>
      <c r="G411" s="71"/>
      <c r="H411" s="71"/>
      <c r="I411" s="71" t="str">
        <f t="shared" si="31"/>
        <v/>
      </c>
      <c r="J411" s="71" t="e">
        <f ca="1">IFERROR(__xludf.DUMMYFUNCTION("IF(I411="""","""",IMPORTXML(""http://www.cbr.ru/scripts/XML_daily.asp?date_req=""&amp;TEXT(A411,""DD/MM/YYYY""), ""//ValCurs/Valute[CharCode=""""USD""""]/Value"")*I411)"),"")</f>
        <v>#NAME?</v>
      </c>
      <c r="K411" s="71"/>
      <c r="L411" s="71"/>
      <c r="M411" s="71"/>
      <c r="N411" s="71" t="str">
        <f ca="1">IF(H411="","",IF(D411="usdt",H411,IF(C411="Binance",VLOOKUP(E411,'Курсы Бинанса'!B:C,2,FALSE),IF(C411="bybit",VLOOKUP(E411,'Курсы Bybit'!B:C,2,FALSE),IF(C411="OKX",VLOOKUP(E411,'Курсы OKX'!A:D,4,FALSE),IF(C411="huobi",VLOOKUP(E411,'Курсы Huobi'!B:C,2,FALSE),"! укажите биржу"))))))</f>
        <v/>
      </c>
      <c r="O411" s="71" t="str">
        <f t="shared" si="32"/>
        <v/>
      </c>
      <c r="P411" s="71" t="str">
        <f t="shared" si="33"/>
        <v/>
      </c>
      <c r="Q411" s="75" t="str">
        <f t="shared" si="34"/>
        <v/>
      </c>
      <c r="R411" s="76"/>
    </row>
    <row r="412" spans="1:18" ht="14.25" customHeight="1">
      <c r="A412" s="67"/>
      <c r="B412" s="68"/>
      <c r="C412" s="69"/>
      <c r="D412" s="69" t="str">
        <f ca="1">IF(B412="","",VLOOKUP('Журнал Закупок'!$B412,'СТ Криптовалюта'!B:C,2,0))</f>
        <v/>
      </c>
      <c r="E412" s="68" t="str">
        <f t="shared" si="30"/>
        <v/>
      </c>
      <c r="F412" s="70"/>
      <c r="G412" s="71"/>
      <c r="H412" s="71"/>
      <c r="I412" s="71" t="str">
        <f t="shared" si="31"/>
        <v/>
      </c>
      <c r="J412" s="71" t="e">
        <f ca="1">IFERROR(__xludf.DUMMYFUNCTION("IF(I412="""","""",IMPORTXML(""http://www.cbr.ru/scripts/XML_daily.asp?date_req=""&amp;TEXT(A412,""DD/MM/YYYY""), ""//ValCurs/Valute[CharCode=""""USD""""]/Value"")*I412)"),"")</f>
        <v>#NAME?</v>
      </c>
      <c r="K412" s="71"/>
      <c r="L412" s="71"/>
      <c r="M412" s="71"/>
      <c r="N412" s="71" t="str">
        <f ca="1">IF(H412="","",IF(D412="usdt",H412,IF(C412="Binance",VLOOKUP(E412,'Курсы Бинанса'!B:C,2,FALSE),IF(C412="bybit",VLOOKUP(E412,'Курсы Bybit'!B:C,2,FALSE),IF(C412="OKX",VLOOKUP(E412,'Курсы OKX'!A:D,4,FALSE),IF(C412="huobi",VLOOKUP(E412,'Курсы Huobi'!B:C,2,FALSE),"! укажите биржу"))))))</f>
        <v/>
      </c>
      <c r="O412" s="71" t="str">
        <f t="shared" si="32"/>
        <v/>
      </c>
      <c r="P412" s="71" t="str">
        <f t="shared" si="33"/>
        <v/>
      </c>
      <c r="Q412" s="75" t="str">
        <f t="shared" si="34"/>
        <v/>
      </c>
      <c r="R412" s="76"/>
    </row>
    <row r="413" spans="1:18" ht="14.25" customHeight="1">
      <c r="A413" s="67"/>
      <c r="B413" s="68"/>
      <c r="C413" s="69"/>
      <c r="D413" s="69" t="str">
        <f ca="1">IF(B413="","",VLOOKUP('Журнал Закупок'!$B413,'СТ Криптовалюта'!B:C,2,0))</f>
        <v/>
      </c>
      <c r="E413" s="68" t="str">
        <f t="shared" si="30"/>
        <v/>
      </c>
      <c r="F413" s="70"/>
      <c r="G413" s="71"/>
      <c r="H413" s="71"/>
      <c r="I413" s="71" t="str">
        <f t="shared" si="31"/>
        <v/>
      </c>
      <c r="J413" s="71" t="e">
        <f ca="1">IFERROR(__xludf.DUMMYFUNCTION("IF(I413="""","""",IMPORTXML(""http://www.cbr.ru/scripts/XML_daily.asp?date_req=""&amp;TEXT(A413,""DD/MM/YYYY""), ""//ValCurs/Valute[CharCode=""""USD""""]/Value"")*I413)"),"")</f>
        <v>#NAME?</v>
      </c>
      <c r="K413" s="71"/>
      <c r="L413" s="71"/>
      <c r="M413" s="71"/>
      <c r="N413" s="71" t="str">
        <f ca="1">IF(H413="","",IF(D413="usdt",H413,IF(C413="Binance",VLOOKUP(E413,'Курсы Бинанса'!B:C,2,FALSE),IF(C413="bybit",VLOOKUP(E413,'Курсы Bybit'!B:C,2,FALSE),IF(C413="OKX",VLOOKUP(E413,'Курсы OKX'!A:D,4,FALSE),IF(C413="huobi",VLOOKUP(E413,'Курсы Huobi'!B:C,2,FALSE),"! укажите биржу"))))))</f>
        <v/>
      </c>
      <c r="O413" s="71" t="str">
        <f t="shared" si="32"/>
        <v/>
      </c>
      <c r="P413" s="71" t="str">
        <f t="shared" si="33"/>
        <v/>
      </c>
      <c r="Q413" s="75" t="str">
        <f t="shared" si="34"/>
        <v/>
      </c>
      <c r="R413" s="76"/>
    </row>
    <row r="414" spans="1:18" ht="14.25" customHeight="1">
      <c r="A414" s="67"/>
      <c r="B414" s="68"/>
      <c r="C414" s="69"/>
      <c r="D414" s="69" t="str">
        <f ca="1">IF(B414="","",VLOOKUP('Журнал Закупок'!$B414,'СТ Криптовалюта'!B:C,2,0))</f>
        <v/>
      </c>
      <c r="E414" s="68" t="str">
        <f t="shared" si="30"/>
        <v/>
      </c>
      <c r="F414" s="70"/>
      <c r="G414" s="71"/>
      <c r="H414" s="71"/>
      <c r="I414" s="71" t="str">
        <f t="shared" si="31"/>
        <v/>
      </c>
      <c r="J414" s="71" t="e">
        <f ca="1">IFERROR(__xludf.DUMMYFUNCTION("IF(I414="""","""",IMPORTXML(""http://www.cbr.ru/scripts/XML_daily.asp?date_req=""&amp;TEXT(A414,""DD/MM/YYYY""), ""//ValCurs/Valute[CharCode=""""USD""""]/Value"")*I414)"),"")</f>
        <v>#NAME?</v>
      </c>
      <c r="K414" s="71"/>
      <c r="L414" s="71"/>
      <c r="M414" s="71"/>
      <c r="N414" s="71" t="str">
        <f ca="1">IF(H414="","",IF(D414="usdt",H414,IF(C414="Binance",VLOOKUP(E414,'Курсы Бинанса'!B:C,2,FALSE),IF(C414="bybit",VLOOKUP(E414,'Курсы Bybit'!B:C,2,FALSE),IF(C414="OKX",VLOOKUP(E414,'Курсы OKX'!A:D,4,FALSE),IF(C414="huobi",VLOOKUP(E414,'Курсы Huobi'!B:C,2,FALSE),"! укажите биржу"))))))</f>
        <v/>
      </c>
      <c r="O414" s="71" t="str">
        <f t="shared" si="32"/>
        <v/>
      </c>
      <c r="P414" s="71" t="str">
        <f t="shared" si="33"/>
        <v/>
      </c>
      <c r="Q414" s="75" t="str">
        <f t="shared" si="34"/>
        <v/>
      </c>
      <c r="R414" s="76"/>
    </row>
    <row r="415" spans="1:18" ht="14.25" customHeight="1">
      <c r="A415" s="67"/>
      <c r="B415" s="68"/>
      <c r="C415" s="69"/>
      <c r="D415" s="69" t="str">
        <f ca="1">IF(B415="","",VLOOKUP('Журнал Закупок'!$B415,'СТ Криптовалюта'!B:C,2,0))</f>
        <v/>
      </c>
      <c r="E415" s="68" t="str">
        <f t="shared" si="30"/>
        <v/>
      </c>
      <c r="F415" s="70"/>
      <c r="G415" s="71"/>
      <c r="H415" s="71"/>
      <c r="I415" s="71" t="str">
        <f t="shared" si="31"/>
        <v/>
      </c>
      <c r="J415" s="71" t="e">
        <f ca="1">IFERROR(__xludf.DUMMYFUNCTION("IF(I415="""","""",IMPORTXML(""http://www.cbr.ru/scripts/XML_daily.asp?date_req=""&amp;TEXT(A415,""DD/MM/YYYY""), ""//ValCurs/Valute[CharCode=""""USD""""]/Value"")*I415)"),"")</f>
        <v>#NAME?</v>
      </c>
      <c r="K415" s="71"/>
      <c r="L415" s="71"/>
      <c r="M415" s="71"/>
      <c r="N415" s="71" t="str">
        <f ca="1">IF(H415="","",IF(D415="usdt",H415,IF(C415="Binance",VLOOKUP(E415,'Курсы Бинанса'!B:C,2,FALSE),IF(C415="bybit",VLOOKUP(E415,'Курсы Bybit'!B:C,2,FALSE),IF(C415="OKX",VLOOKUP(E415,'Курсы OKX'!A:D,4,FALSE),IF(C415="huobi",VLOOKUP(E415,'Курсы Huobi'!B:C,2,FALSE),"! укажите биржу"))))))</f>
        <v/>
      </c>
      <c r="O415" s="71" t="str">
        <f t="shared" si="32"/>
        <v/>
      </c>
      <c r="P415" s="71" t="str">
        <f t="shared" si="33"/>
        <v/>
      </c>
      <c r="Q415" s="75" t="str">
        <f t="shared" si="34"/>
        <v/>
      </c>
      <c r="R415" s="76"/>
    </row>
    <row r="416" spans="1:18" ht="14.25" customHeight="1">
      <c r="A416" s="67"/>
      <c r="B416" s="68"/>
      <c r="C416" s="69"/>
      <c r="D416" s="69" t="str">
        <f ca="1">IF(B416="","",VLOOKUP('Журнал Закупок'!$B416,'СТ Криптовалюта'!B:C,2,0))</f>
        <v/>
      </c>
      <c r="E416" s="68" t="str">
        <f t="shared" si="30"/>
        <v/>
      </c>
      <c r="F416" s="70"/>
      <c r="G416" s="71"/>
      <c r="H416" s="71"/>
      <c r="I416" s="71" t="str">
        <f t="shared" si="31"/>
        <v/>
      </c>
      <c r="J416" s="71" t="e">
        <f ca="1">IFERROR(__xludf.DUMMYFUNCTION("IF(I416="""","""",IMPORTXML(""http://www.cbr.ru/scripts/XML_daily.asp?date_req=""&amp;TEXT(A416,""DD/MM/YYYY""), ""//ValCurs/Valute[CharCode=""""USD""""]/Value"")*I416)"),"")</f>
        <v>#NAME?</v>
      </c>
      <c r="K416" s="71"/>
      <c r="L416" s="71"/>
      <c r="M416" s="71"/>
      <c r="N416" s="71" t="str">
        <f ca="1">IF(H416="","",IF(D416="usdt",H416,IF(C416="Binance",VLOOKUP(E416,'Курсы Бинанса'!B:C,2,FALSE),IF(C416="bybit",VLOOKUP(E416,'Курсы Bybit'!B:C,2,FALSE),IF(C416="OKX",VLOOKUP(E416,'Курсы OKX'!A:D,4,FALSE),IF(C416="huobi",VLOOKUP(E416,'Курсы Huobi'!B:C,2,FALSE),"! укажите биржу"))))))</f>
        <v/>
      </c>
      <c r="O416" s="71" t="str">
        <f t="shared" si="32"/>
        <v/>
      </c>
      <c r="P416" s="71" t="str">
        <f t="shared" si="33"/>
        <v/>
      </c>
      <c r="Q416" s="75" t="str">
        <f t="shared" si="34"/>
        <v/>
      </c>
      <c r="R416" s="76"/>
    </row>
    <row r="417" spans="1:18" ht="14.25" customHeight="1">
      <c r="A417" s="67"/>
      <c r="B417" s="68"/>
      <c r="C417" s="69"/>
      <c r="D417" s="69" t="str">
        <f ca="1">IF(B417="","",VLOOKUP('Журнал Закупок'!$B417,'СТ Криптовалюта'!B:C,2,0))</f>
        <v/>
      </c>
      <c r="E417" s="68" t="str">
        <f t="shared" si="30"/>
        <v/>
      </c>
      <c r="F417" s="70"/>
      <c r="G417" s="71"/>
      <c r="H417" s="71"/>
      <c r="I417" s="71" t="str">
        <f t="shared" si="31"/>
        <v/>
      </c>
      <c r="J417" s="71" t="e">
        <f ca="1">IFERROR(__xludf.DUMMYFUNCTION("IF(I417="""","""",IMPORTXML(""http://www.cbr.ru/scripts/XML_daily.asp?date_req=""&amp;TEXT(A417,""DD/MM/YYYY""), ""//ValCurs/Valute[CharCode=""""USD""""]/Value"")*I417)"),"")</f>
        <v>#NAME?</v>
      </c>
      <c r="K417" s="71"/>
      <c r="L417" s="71"/>
      <c r="M417" s="71"/>
      <c r="N417" s="71" t="str">
        <f ca="1">IF(H417="","",IF(D417="usdt",H417,IF(C417="Binance",VLOOKUP(E417,'Курсы Бинанса'!B:C,2,FALSE),IF(C417="bybit",VLOOKUP(E417,'Курсы Bybit'!B:C,2,FALSE),IF(C417="OKX",VLOOKUP(E417,'Курсы OKX'!A:D,4,FALSE),IF(C417="huobi",VLOOKUP(E417,'Курсы Huobi'!B:C,2,FALSE),"! укажите биржу"))))))</f>
        <v/>
      </c>
      <c r="O417" s="71" t="str">
        <f t="shared" si="32"/>
        <v/>
      </c>
      <c r="P417" s="71" t="str">
        <f t="shared" si="33"/>
        <v/>
      </c>
      <c r="Q417" s="75" t="str">
        <f t="shared" si="34"/>
        <v/>
      </c>
      <c r="R417" s="76"/>
    </row>
    <row r="418" spans="1:18" ht="14.25" customHeight="1">
      <c r="A418" s="67"/>
      <c r="B418" s="68"/>
      <c r="C418" s="69"/>
      <c r="D418" s="69" t="str">
        <f ca="1">IF(B418="","",VLOOKUP('Журнал Закупок'!$B418,'СТ Криптовалюта'!B:C,2,0))</f>
        <v/>
      </c>
      <c r="E418" s="68" t="str">
        <f t="shared" si="30"/>
        <v/>
      </c>
      <c r="F418" s="70"/>
      <c r="G418" s="71"/>
      <c r="H418" s="71"/>
      <c r="I418" s="71" t="str">
        <f t="shared" si="31"/>
        <v/>
      </c>
      <c r="J418" s="71" t="e">
        <f ca="1">IFERROR(__xludf.DUMMYFUNCTION("IF(I418="""","""",IMPORTXML(""http://www.cbr.ru/scripts/XML_daily.asp?date_req=""&amp;TEXT(A418,""DD/MM/YYYY""), ""//ValCurs/Valute[CharCode=""""USD""""]/Value"")*I418)"),"")</f>
        <v>#NAME?</v>
      </c>
      <c r="K418" s="71"/>
      <c r="L418" s="71"/>
      <c r="M418" s="71"/>
      <c r="N418" s="71" t="str">
        <f ca="1">IF(H418="","",IF(D418="usdt",H418,IF(C418="Binance",VLOOKUP(E418,'Курсы Бинанса'!B:C,2,FALSE),IF(C418="bybit",VLOOKUP(E418,'Курсы Bybit'!B:C,2,FALSE),IF(C418="OKX",VLOOKUP(E418,'Курсы OKX'!A:D,4,FALSE),IF(C418="huobi",VLOOKUP(E418,'Курсы Huobi'!B:C,2,FALSE),"! укажите биржу"))))))</f>
        <v/>
      </c>
      <c r="O418" s="71" t="str">
        <f t="shared" si="32"/>
        <v/>
      </c>
      <c r="P418" s="71" t="str">
        <f t="shared" si="33"/>
        <v/>
      </c>
      <c r="Q418" s="75" t="str">
        <f t="shared" si="34"/>
        <v/>
      </c>
      <c r="R418" s="76"/>
    </row>
    <row r="419" spans="1:18" ht="14.25" customHeight="1">
      <c r="A419" s="67"/>
      <c r="B419" s="68"/>
      <c r="C419" s="69"/>
      <c r="D419" s="69" t="str">
        <f ca="1">IF(B419="","",VLOOKUP('Журнал Закупок'!$B419,'СТ Криптовалюта'!B:C,2,0))</f>
        <v/>
      </c>
      <c r="E419" s="68" t="str">
        <f t="shared" si="30"/>
        <v/>
      </c>
      <c r="F419" s="70"/>
      <c r="G419" s="71"/>
      <c r="H419" s="71"/>
      <c r="I419" s="71" t="str">
        <f t="shared" si="31"/>
        <v/>
      </c>
      <c r="J419" s="71" t="e">
        <f ca="1">IFERROR(__xludf.DUMMYFUNCTION("IF(I419="""","""",IMPORTXML(""http://www.cbr.ru/scripts/XML_daily.asp?date_req=""&amp;TEXT(A419,""DD/MM/YYYY""), ""//ValCurs/Valute[CharCode=""""USD""""]/Value"")*I419)"),"")</f>
        <v>#NAME?</v>
      </c>
      <c r="K419" s="71"/>
      <c r="L419" s="71"/>
      <c r="M419" s="71"/>
      <c r="N419" s="71" t="str">
        <f ca="1">IF(H419="","",IF(D419="usdt",H419,IF(C419="Binance",VLOOKUP(E419,'Курсы Бинанса'!B:C,2,FALSE),IF(C419="bybit",VLOOKUP(E419,'Курсы Bybit'!B:C,2,FALSE),IF(C419="OKX",VLOOKUP(E419,'Курсы OKX'!A:D,4,FALSE),IF(C419="huobi",VLOOKUP(E419,'Курсы Huobi'!B:C,2,FALSE),"! укажите биржу"))))))</f>
        <v/>
      </c>
      <c r="O419" s="71" t="str">
        <f t="shared" si="32"/>
        <v/>
      </c>
      <c r="P419" s="71" t="str">
        <f t="shared" si="33"/>
        <v/>
      </c>
      <c r="Q419" s="75" t="str">
        <f t="shared" si="34"/>
        <v/>
      </c>
      <c r="R419" s="76"/>
    </row>
    <row r="420" spans="1:18" ht="14.25" customHeight="1">
      <c r="A420" s="67"/>
      <c r="B420" s="68"/>
      <c r="C420" s="69"/>
      <c r="D420" s="69" t="str">
        <f ca="1">IF(B420="","",VLOOKUP('Журнал Закупок'!$B420,'СТ Криптовалюта'!B:C,2,0))</f>
        <v/>
      </c>
      <c r="E420" s="68" t="str">
        <f t="shared" si="30"/>
        <v/>
      </c>
      <c r="F420" s="70"/>
      <c r="G420" s="71"/>
      <c r="H420" s="71"/>
      <c r="I420" s="71" t="str">
        <f t="shared" si="31"/>
        <v/>
      </c>
      <c r="J420" s="71" t="e">
        <f ca="1">IFERROR(__xludf.DUMMYFUNCTION("IF(I420="""","""",IMPORTXML(""http://www.cbr.ru/scripts/XML_daily.asp?date_req=""&amp;TEXT(A420,""DD/MM/YYYY""), ""//ValCurs/Valute[CharCode=""""USD""""]/Value"")*I420)"),"")</f>
        <v>#NAME?</v>
      </c>
      <c r="K420" s="71"/>
      <c r="L420" s="71"/>
      <c r="M420" s="71"/>
      <c r="N420" s="71" t="str">
        <f ca="1">IF(H420="","",IF(D420="usdt",H420,IF(C420="Binance",VLOOKUP(E420,'Курсы Бинанса'!B:C,2,FALSE),IF(C420="bybit",VLOOKUP(E420,'Курсы Bybit'!B:C,2,FALSE),IF(C420="OKX",VLOOKUP(E420,'Курсы OKX'!A:D,4,FALSE),IF(C420="huobi",VLOOKUP(E420,'Курсы Huobi'!B:C,2,FALSE),"! укажите биржу"))))))</f>
        <v/>
      </c>
      <c r="O420" s="71" t="str">
        <f t="shared" si="32"/>
        <v/>
      </c>
      <c r="P420" s="71" t="str">
        <f t="shared" si="33"/>
        <v/>
      </c>
      <c r="Q420" s="75" t="str">
        <f t="shared" si="34"/>
        <v/>
      </c>
      <c r="R420" s="76"/>
    </row>
    <row r="421" spans="1:18" ht="14.25" customHeight="1">
      <c r="A421" s="67"/>
      <c r="B421" s="68"/>
      <c r="C421" s="69"/>
      <c r="D421" s="69" t="str">
        <f ca="1">IF(B421="","",VLOOKUP('Журнал Закупок'!$B421,'СТ Криптовалюта'!B:C,2,0))</f>
        <v/>
      </c>
      <c r="E421" s="68" t="str">
        <f t="shared" si="30"/>
        <v/>
      </c>
      <c r="F421" s="70"/>
      <c r="G421" s="71"/>
      <c r="H421" s="71"/>
      <c r="I421" s="71" t="str">
        <f t="shared" si="31"/>
        <v/>
      </c>
      <c r="J421" s="71" t="e">
        <f ca="1">IFERROR(__xludf.DUMMYFUNCTION("IF(I421="""","""",IMPORTXML(""http://www.cbr.ru/scripts/XML_daily.asp?date_req=""&amp;TEXT(A421,""DD/MM/YYYY""), ""//ValCurs/Valute[CharCode=""""USD""""]/Value"")*I421)"),"")</f>
        <v>#NAME?</v>
      </c>
      <c r="K421" s="71"/>
      <c r="L421" s="71"/>
      <c r="M421" s="71"/>
      <c r="N421" s="71" t="str">
        <f ca="1">IF(H421="","",IF(D421="usdt",H421,IF(C421="Binance",VLOOKUP(E421,'Курсы Бинанса'!B:C,2,FALSE),IF(C421="bybit",VLOOKUP(E421,'Курсы Bybit'!B:C,2,FALSE),IF(C421="OKX",VLOOKUP(E421,'Курсы OKX'!A:D,4,FALSE),IF(C421="huobi",VLOOKUP(E421,'Курсы Huobi'!B:C,2,FALSE),"! укажите биржу"))))))</f>
        <v/>
      </c>
      <c r="O421" s="71" t="str">
        <f t="shared" si="32"/>
        <v/>
      </c>
      <c r="P421" s="71" t="str">
        <f t="shared" si="33"/>
        <v/>
      </c>
      <c r="Q421" s="75" t="str">
        <f t="shared" si="34"/>
        <v/>
      </c>
      <c r="R421" s="76"/>
    </row>
    <row r="422" spans="1:18" ht="14.25" customHeight="1">
      <c r="A422" s="67"/>
      <c r="B422" s="68"/>
      <c r="C422" s="69"/>
      <c r="D422" s="69" t="str">
        <f ca="1">IF(B422="","",VLOOKUP('Журнал Закупок'!$B422,'СТ Криптовалюта'!B:C,2,0))</f>
        <v/>
      </c>
      <c r="E422" s="68" t="str">
        <f t="shared" si="30"/>
        <v/>
      </c>
      <c r="F422" s="70"/>
      <c r="G422" s="71"/>
      <c r="H422" s="71"/>
      <c r="I422" s="71" t="str">
        <f t="shared" si="31"/>
        <v/>
      </c>
      <c r="J422" s="71" t="e">
        <f ca="1">IFERROR(__xludf.DUMMYFUNCTION("IF(I422="""","""",IMPORTXML(""http://www.cbr.ru/scripts/XML_daily.asp?date_req=""&amp;TEXT(A422,""DD/MM/YYYY""), ""//ValCurs/Valute[CharCode=""""USD""""]/Value"")*I422)"),"")</f>
        <v>#NAME?</v>
      </c>
      <c r="K422" s="71"/>
      <c r="L422" s="71"/>
      <c r="M422" s="71"/>
      <c r="N422" s="71" t="str">
        <f ca="1">IF(H422="","",IF(D422="usdt",H422,IF(C422="Binance",VLOOKUP(E422,'Курсы Бинанса'!B:C,2,FALSE),IF(C422="bybit",VLOOKUP(E422,'Курсы Bybit'!B:C,2,FALSE),IF(C422="OKX",VLOOKUP(E422,'Курсы OKX'!A:D,4,FALSE),IF(C422="huobi",VLOOKUP(E422,'Курсы Huobi'!B:C,2,FALSE),"! укажите биржу"))))))</f>
        <v/>
      </c>
      <c r="O422" s="71" t="str">
        <f t="shared" si="32"/>
        <v/>
      </c>
      <c r="P422" s="71" t="str">
        <f t="shared" si="33"/>
        <v/>
      </c>
      <c r="Q422" s="75" t="str">
        <f t="shared" si="34"/>
        <v/>
      </c>
      <c r="R422" s="76"/>
    </row>
    <row r="423" spans="1:18" ht="14.25" customHeight="1">
      <c r="A423" s="67"/>
      <c r="B423" s="68"/>
      <c r="C423" s="69"/>
      <c r="D423" s="69" t="str">
        <f ca="1">IF(B423="","",VLOOKUP('Журнал Закупок'!$B423,'СТ Криптовалюта'!B:C,2,0))</f>
        <v/>
      </c>
      <c r="E423" s="68" t="str">
        <f t="shared" si="30"/>
        <v/>
      </c>
      <c r="F423" s="70"/>
      <c r="G423" s="71"/>
      <c r="H423" s="71"/>
      <c r="I423" s="71" t="str">
        <f t="shared" si="31"/>
        <v/>
      </c>
      <c r="J423" s="71" t="e">
        <f ca="1">IFERROR(__xludf.DUMMYFUNCTION("IF(I423="""","""",IMPORTXML(""http://www.cbr.ru/scripts/XML_daily.asp?date_req=""&amp;TEXT(A423,""DD/MM/YYYY""), ""//ValCurs/Valute[CharCode=""""USD""""]/Value"")*I423)"),"")</f>
        <v>#NAME?</v>
      </c>
      <c r="K423" s="71"/>
      <c r="L423" s="71"/>
      <c r="M423" s="71"/>
      <c r="N423" s="71" t="str">
        <f ca="1">IF(H423="","",IF(D423="usdt",H423,IF(C423="Binance",VLOOKUP(E423,'Курсы Бинанса'!B:C,2,FALSE),IF(C423="bybit",VLOOKUP(E423,'Курсы Bybit'!B:C,2,FALSE),IF(C423="OKX",VLOOKUP(E423,'Курсы OKX'!A:D,4,FALSE),IF(C423="huobi",VLOOKUP(E423,'Курсы Huobi'!B:C,2,FALSE),"! укажите биржу"))))))</f>
        <v/>
      </c>
      <c r="O423" s="71" t="str">
        <f t="shared" si="32"/>
        <v/>
      </c>
      <c r="P423" s="71" t="str">
        <f t="shared" si="33"/>
        <v/>
      </c>
      <c r="Q423" s="75" t="str">
        <f t="shared" si="34"/>
        <v/>
      </c>
      <c r="R423" s="76"/>
    </row>
    <row r="424" spans="1:18" ht="14.25" customHeight="1">
      <c r="A424" s="67"/>
      <c r="B424" s="68"/>
      <c r="C424" s="69"/>
      <c r="D424" s="69" t="str">
        <f ca="1">IF(B424="","",VLOOKUP('Журнал Закупок'!$B424,'СТ Криптовалюта'!B:C,2,0))</f>
        <v/>
      </c>
      <c r="E424" s="68" t="str">
        <f t="shared" si="30"/>
        <v/>
      </c>
      <c r="F424" s="70"/>
      <c r="G424" s="71"/>
      <c r="H424" s="71"/>
      <c r="I424" s="71" t="str">
        <f t="shared" si="31"/>
        <v/>
      </c>
      <c r="J424" s="71" t="e">
        <f ca="1">IFERROR(__xludf.DUMMYFUNCTION("IF(I424="""","""",IMPORTXML(""http://www.cbr.ru/scripts/XML_daily.asp?date_req=""&amp;TEXT(A424,""DD/MM/YYYY""), ""//ValCurs/Valute[CharCode=""""USD""""]/Value"")*I424)"),"")</f>
        <v>#NAME?</v>
      </c>
      <c r="K424" s="71"/>
      <c r="L424" s="71"/>
      <c r="M424" s="71"/>
      <c r="N424" s="71" t="str">
        <f ca="1">IF(H424="","",IF(D424="usdt",H424,IF(C424="Binance",VLOOKUP(E424,'Курсы Бинанса'!B:C,2,FALSE),IF(C424="bybit",VLOOKUP(E424,'Курсы Bybit'!B:C,2,FALSE),IF(C424="OKX",VLOOKUP(E424,'Курсы OKX'!A:D,4,FALSE),IF(C424="huobi",VLOOKUP(E424,'Курсы Huobi'!B:C,2,FALSE),"! укажите биржу"))))))</f>
        <v/>
      </c>
      <c r="O424" s="71" t="str">
        <f t="shared" si="32"/>
        <v/>
      </c>
      <c r="P424" s="71" t="str">
        <f t="shared" si="33"/>
        <v/>
      </c>
      <c r="Q424" s="75" t="str">
        <f t="shared" si="34"/>
        <v/>
      </c>
      <c r="R424" s="76"/>
    </row>
    <row r="425" spans="1:18" ht="14.25" customHeight="1">
      <c r="A425" s="67"/>
      <c r="B425" s="68"/>
      <c r="C425" s="69"/>
      <c r="D425" s="69" t="str">
        <f ca="1">IF(B425="","",VLOOKUP('Журнал Закупок'!$B425,'СТ Криптовалюта'!B:C,2,0))</f>
        <v/>
      </c>
      <c r="E425" s="68" t="str">
        <f t="shared" si="30"/>
        <v/>
      </c>
      <c r="F425" s="70"/>
      <c r="G425" s="71"/>
      <c r="H425" s="71"/>
      <c r="I425" s="71" t="str">
        <f t="shared" si="31"/>
        <v/>
      </c>
      <c r="J425" s="71" t="e">
        <f ca="1">IFERROR(__xludf.DUMMYFUNCTION("IF(I425="""","""",IMPORTXML(""http://www.cbr.ru/scripts/XML_daily.asp?date_req=""&amp;TEXT(A425,""DD/MM/YYYY""), ""//ValCurs/Valute[CharCode=""""USD""""]/Value"")*I425)"),"")</f>
        <v>#NAME?</v>
      </c>
      <c r="K425" s="71"/>
      <c r="L425" s="71"/>
      <c r="M425" s="71"/>
      <c r="N425" s="71" t="str">
        <f ca="1">IF(H425="","",IF(D425="usdt",H425,IF(C425="Binance",VLOOKUP(E425,'Курсы Бинанса'!B:C,2,FALSE),IF(C425="bybit",VLOOKUP(E425,'Курсы Bybit'!B:C,2,FALSE),IF(C425="OKX",VLOOKUP(E425,'Курсы OKX'!A:D,4,FALSE),IF(C425="huobi",VLOOKUP(E425,'Курсы Huobi'!B:C,2,FALSE),"! укажите биржу"))))))</f>
        <v/>
      </c>
      <c r="O425" s="71" t="str">
        <f t="shared" si="32"/>
        <v/>
      </c>
      <c r="P425" s="71" t="str">
        <f t="shared" si="33"/>
        <v/>
      </c>
      <c r="Q425" s="75" t="str">
        <f t="shared" si="34"/>
        <v/>
      </c>
      <c r="R425" s="76"/>
    </row>
    <row r="426" spans="1:18" ht="14.25" customHeight="1">
      <c r="A426" s="67"/>
      <c r="B426" s="68"/>
      <c r="C426" s="69"/>
      <c r="D426" s="69" t="str">
        <f ca="1">IF(B426="","",VLOOKUP('Журнал Закупок'!$B426,'СТ Криптовалюта'!B:C,2,0))</f>
        <v/>
      </c>
      <c r="E426" s="68" t="str">
        <f t="shared" si="30"/>
        <v/>
      </c>
      <c r="F426" s="70"/>
      <c r="G426" s="71"/>
      <c r="H426" s="71"/>
      <c r="I426" s="71" t="str">
        <f t="shared" si="31"/>
        <v/>
      </c>
      <c r="J426" s="71" t="e">
        <f ca="1">IFERROR(__xludf.DUMMYFUNCTION("IF(I426="""","""",IMPORTXML(""http://www.cbr.ru/scripts/XML_daily.asp?date_req=""&amp;TEXT(A426,""DD/MM/YYYY""), ""//ValCurs/Valute[CharCode=""""USD""""]/Value"")*I426)"),"")</f>
        <v>#NAME?</v>
      </c>
      <c r="K426" s="71"/>
      <c r="L426" s="71"/>
      <c r="M426" s="71"/>
      <c r="N426" s="71" t="str">
        <f ca="1">IF(H426="","",IF(D426="usdt",H426,IF(C426="Binance",VLOOKUP(E426,'Курсы Бинанса'!B:C,2,FALSE),IF(C426="bybit",VLOOKUP(E426,'Курсы Bybit'!B:C,2,FALSE),IF(C426="OKX",VLOOKUP(E426,'Курсы OKX'!A:D,4,FALSE),IF(C426="huobi",VLOOKUP(E426,'Курсы Huobi'!B:C,2,FALSE),"! укажите биржу"))))))</f>
        <v/>
      </c>
      <c r="O426" s="71" t="str">
        <f t="shared" si="32"/>
        <v/>
      </c>
      <c r="P426" s="71" t="str">
        <f t="shared" si="33"/>
        <v/>
      </c>
      <c r="Q426" s="75" t="str">
        <f t="shared" si="34"/>
        <v/>
      </c>
      <c r="R426" s="76"/>
    </row>
    <row r="427" spans="1:18" ht="14.25" customHeight="1">
      <c r="A427" s="67"/>
      <c r="B427" s="68"/>
      <c r="C427" s="69"/>
      <c r="D427" s="69" t="str">
        <f ca="1">IF(B427="","",VLOOKUP('Журнал Закупок'!$B427,'СТ Криптовалюта'!B:C,2,0))</f>
        <v/>
      </c>
      <c r="E427" s="68" t="str">
        <f t="shared" si="30"/>
        <v/>
      </c>
      <c r="F427" s="70"/>
      <c r="G427" s="71"/>
      <c r="H427" s="71"/>
      <c r="I427" s="71" t="str">
        <f t="shared" si="31"/>
        <v/>
      </c>
      <c r="J427" s="71" t="e">
        <f ca="1">IFERROR(__xludf.DUMMYFUNCTION("IF(I427="""","""",IMPORTXML(""http://www.cbr.ru/scripts/XML_daily.asp?date_req=""&amp;TEXT(A427,""DD/MM/YYYY""), ""//ValCurs/Valute[CharCode=""""USD""""]/Value"")*I427)"),"")</f>
        <v>#NAME?</v>
      </c>
      <c r="K427" s="71"/>
      <c r="L427" s="71"/>
      <c r="M427" s="71"/>
      <c r="N427" s="71" t="str">
        <f ca="1">IF(H427="","",IF(D427="usdt",H427,IF(C427="Binance",VLOOKUP(E427,'Курсы Бинанса'!B:C,2,FALSE),IF(C427="bybit",VLOOKUP(E427,'Курсы Bybit'!B:C,2,FALSE),IF(C427="OKX",VLOOKUP(E427,'Курсы OKX'!A:D,4,FALSE),IF(C427="huobi",VLOOKUP(E427,'Курсы Huobi'!B:C,2,FALSE),"! укажите биржу"))))))</f>
        <v/>
      </c>
      <c r="O427" s="71" t="str">
        <f t="shared" si="32"/>
        <v/>
      </c>
      <c r="P427" s="71" t="str">
        <f t="shared" si="33"/>
        <v/>
      </c>
      <c r="Q427" s="75" t="str">
        <f t="shared" si="34"/>
        <v/>
      </c>
      <c r="R427" s="76"/>
    </row>
    <row r="428" spans="1:18" ht="14.25" customHeight="1">
      <c r="A428" s="67"/>
      <c r="B428" s="68"/>
      <c r="C428" s="69"/>
      <c r="D428" s="69" t="str">
        <f ca="1">IF(B428="","",VLOOKUP('Журнал Закупок'!$B428,'СТ Криптовалюта'!B:C,2,0))</f>
        <v/>
      </c>
      <c r="E428" s="68" t="str">
        <f t="shared" si="30"/>
        <v/>
      </c>
      <c r="F428" s="70"/>
      <c r="G428" s="71"/>
      <c r="H428" s="71"/>
      <c r="I428" s="71" t="str">
        <f t="shared" si="31"/>
        <v/>
      </c>
      <c r="J428" s="71" t="e">
        <f ca="1">IFERROR(__xludf.DUMMYFUNCTION("IF(I428="""","""",IMPORTXML(""http://www.cbr.ru/scripts/XML_daily.asp?date_req=""&amp;TEXT(A428,""DD/MM/YYYY""), ""//ValCurs/Valute[CharCode=""""USD""""]/Value"")*I428)"),"")</f>
        <v>#NAME?</v>
      </c>
      <c r="K428" s="71"/>
      <c r="L428" s="71"/>
      <c r="M428" s="71"/>
      <c r="N428" s="71" t="str">
        <f ca="1">IF(H428="","",IF(D428="usdt",H428,IF(C428="Binance",VLOOKUP(E428,'Курсы Бинанса'!B:C,2,FALSE),IF(C428="bybit",VLOOKUP(E428,'Курсы Bybit'!B:C,2,FALSE),IF(C428="OKX",VLOOKUP(E428,'Курсы OKX'!A:D,4,FALSE),IF(C428="huobi",VLOOKUP(E428,'Курсы Huobi'!B:C,2,FALSE),"! укажите биржу"))))))</f>
        <v/>
      </c>
      <c r="O428" s="71" t="str">
        <f t="shared" si="32"/>
        <v/>
      </c>
      <c r="P428" s="71" t="str">
        <f t="shared" si="33"/>
        <v/>
      </c>
      <c r="Q428" s="75" t="str">
        <f t="shared" si="34"/>
        <v/>
      </c>
      <c r="R428" s="76"/>
    </row>
    <row r="429" spans="1:18" ht="14.25" customHeight="1">
      <c r="A429" s="67"/>
      <c r="B429" s="68"/>
      <c r="C429" s="69"/>
      <c r="D429" s="69" t="str">
        <f ca="1">IF(B429="","",VLOOKUP('Журнал Закупок'!$B429,'СТ Криптовалюта'!B:C,2,0))</f>
        <v/>
      </c>
      <c r="E429" s="68" t="str">
        <f t="shared" si="30"/>
        <v/>
      </c>
      <c r="F429" s="70"/>
      <c r="G429" s="71"/>
      <c r="H429" s="71"/>
      <c r="I429" s="71" t="str">
        <f t="shared" si="31"/>
        <v/>
      </c>
      <c r="J429" s="71" t="e">
        <f ca="1">IFERROR(__xludf.DUMMYFUNCTION("IF(I429="""","""",IMPORTXML(""http://www.cbr.ru/scripts/XML_daily.asp?date_req=""&amp;TEXT(A429,""DD/MM/YYYY""), ""//ValCurs/Valute[CharCode=""""USD""""]/Value"")*I429)"),"")</f>
        <v>#NAME?</v>
      </c>
      <c r="K429" s="71"/>
      <c r="L429" s="71"/>
      <c r="M429" s="71"/>
      <c r="N429" s="71" t="str">
        <f ca="1">IF(H429="","",IF(D429="usdt",H429,IF(C429="Binance",VLOOKUP(E429,'Курсы Бинанса'!B:C,2,FALSE),IF(C429="bybit",VLOOKUP(E429,'Курсы Bybit'!B:C,2,FALSE),IF(C429="OKX",VLOOKUP(E429,'Курсы OKX'!A:D,4,FALSE),IF(C429="huobi",VLOOKUP(E429,'Курсы Huobi'!B:C,2,FALSE),"! укажите биржу"))))))</f>
        <v/>
      </c>
      <c r="O429" s="71" t="str">
        <f t="shared" si="32"/>
        <v/>
      </c>
      <c r="P429" s="71" t="str">
        <f t="shared" si="33"/>
        <v/>
      </c>
      <c r="Q429" s="75" t="str">
        <f t="shared" si="34"/>
        <v/>
      </c>
      <c r="R429" s="76"/>
    </row>
    <row r="430" spans="1:18" ht="14.25" customHeight="1">
      <c r="A430" s="67"/>
      <c r="B430" s="68"/>
      <c r="C430" s="69"/>
      <c r="D430" s="69" t="str">
        <f ca="1">IF(B430="","",VLOOKUP('Журнал Закупок'!$B430,'СТ Криптовалюта'!B:C,2,0))</f>
        <v/>
      </c>
      <c r="E430" s="68" t="str">
        <f t="shared" ref="E430:E493" si="35">IF(D430="","",CONCATENATE(D430,"USDT"))</f>
        <v/>
      </c>
      <c r="F430" s="70"/>
      <c r="G430" s="71"/>
      <c r="H430" s="71"/>
      <c r="I430" s="71" t="str">
        <f t="shared" ref="I430:I493" si="36">IF(H430="","",ROUND(G430*H430,5))</f>
        <v/>
      </c>
      <c r="J430" s="71" t="e">
        <f ca="1">IFERROR(__xludf.DUMMYFUNCTION("IF(I430="""","""",IMPORTXML(""http://www.cbr.ru/scripts/XML_daily.asp?date_req=""&amp;TEXT(A430,""DD/MM/YYYY""), ""//ValCurs/Valute[CharCode=""""USD""""]/Value"")*I430)"),"")</f>
        <v>#NAME?</v>
      </c>
      <c r="K430" s="71"/>
      <c r="L430" s="71"/>
      <c r="M430" s="71"/>
      <c r="N430" s="71" t="str">
        <f ca="1">IF(H430="","",IF(D430="usdt",H430,IF(C430="Binance",VLOOKUP(E430,'Курсы Бинанса'!B:C,2,FALSE),IF(C430="bybit",VLOOKUP(E430,'Курсы Bybit'!B:C,2,FALSE),IF(C430="OKX",VLOOKUP(E430,'Курсы OKX'!A:D,4,FALSE),IF(C430="huobi",VLOOKUP(E430,'Курсы Huobi'!B:C,2,FALSE),"! укажите биржу"))))))</f>
        <v/>
      </c>
      <c r="O430" s="71" t="str">
        <f t="shared" ref="O430:O493" si="37">IF(N430="! укажите биржу","",IF(N430="","",N430*G430))</f>
        <v/>
      </c>
      <c r="P430" s="71" t="str">
        <f t="shared" ref="P430:P493" si="38">IF(N430="","",IF(N430="! укажите биржу","",ROUND(O430-I430,2)))</f>
        <v/>
      </c>
      <c r="Q430" s="75" t="str">
        <f t="shared" ref="Q430:Q493" si="39">IF(P430="","",ROUND(IFERROR((O430-I430)/I430,2),5))</f>
        <v/>
      </c>
      <c r="R430" s="76"/>
    </row>
    <row r="431" spans="1:18" ht="14.25" customHeight="1">
      <c r="A431" s="67"/>
      <c r="B431" s="68"/>
      <c r="C431" s="69"/>
      <c r="D431" s="69" t="str">
        <f ca="1">IF(B431="","",VLOOKUP('Журнал Закупок'!$B431,'СТ Криптовалюта'!B:C,2,0))</f>
        <v/>
      </c>
      <c r="E431" s="68" t="str">
        <f t="shared" si="35"/>
        <v/>
      </c>
      <c r="F431" s="70"/>
      <c r="G431" s="71"/>
      <c r="H431" s="71"/>
      <c r="I431" s="71" t="str">
        <f t="shared" si="36"/>
        <v/>
      </c>
      <c r="J431" s="71" t="e">
        <f ca="1">IFERROR(__xludf.DUMMYFUNCTION("IF(I431="""","""",IMPORTXML(""http://www.cbr.ru/scripts/XML_daily.asp?date_req=""&amp;TEXT(A431,""DD/MM/YYYY""), ""//ValCurs/Valute[CharCode=""""USD""""]/Value"")*I431)"),"")</f>
        <v>#NAME?</v>
      </c>
      <c r="K431" s="71"/>
      <c r="L431" s="71"/>
      <c r="M431" s="71"/>
      <c r="N431" s="71" t="str">
        <f ca="1">IF(H431="","",IF(D431="usdt",H431,IF(C431="Binance",VLOOKUP(E431,'Курсы Бинанса'!B:C,2,FALSE),IF(C431="bybit",VLOOKUP(E431,'Курсы Bybit'!B:C,2,FALSE),IF(C431="OKX",VLOOKUP(E431,'Курсы OKX'!A:D,4,FALSE),IF(C431="huobi",VLOOKUP(E431,'Курсы Huobi'!B:C,2,FALSE),"! укажите биржу"))))))</f>
        <v/>
      </c>
      <c r="O431" s="71" t="str">
        <f t="shared" si="37"/>
        <v/>
      </c>
      <c r="P431" s="71" t="str">
        <f t="shared" si="38"/>
        <v/>
      </c>
      <c r="Q431" s="75" t="str">
        <f t="shared" si="39"/>
        <v/>
      </c>
      <c r="R431" s="76"/>
    </row>
    <row r="432" spans="1:18" ht="14.25" customHeight="1">
      <c r="A432" s="67"/>
      <c r="B432" s="68"/>
      <c r="C432" s="69"/>
      <c r="D432" s="69" t="str">
        <f ca="1">IF(B432="","",VLOOKUP('Журнал Закупок'!$B432,'СТ Криптовалюта'!B:C,2,0))</f>
        <v/>
      </c>
      <c r="E432" s="68" t="str">
        <f t="shared" si="35"/>
        <v/>
      </c>
      <c r="F432" s="70"/>
      <c r="G432" s="71"/>
      <c r="H432" s="71"/>
      <c r="I432" s="71" t="str">
        <f t="shared" si="36"/>
        <v/>
      </c>
      <c r="J432" s="71" t="e">
        <f ca="1">IFERROR(__xludf.DUMMYFUNCTION("IF(I432="""","""",IMPORTXML(""http://www.cbr.ru/scripts/XML_daily.asp?date_req=""&amp;TEXT(A432,""DD/MM/YYYY""), ""//ValCurs/Valute[CharCode=""""USD""""]/Value"")*I432)"),"")</f>
        <v>#NAME?</v>
      </c>
      <c r="K432" s="71"/>
      <c r="L432" s="71"/>
      <c r="M432" s="71"/>
      <c r="N432" s="71" t="str">
        <f ca="1">IF(H432="","",IF(D432="usdt",H432,IF(C432="Binance",VLOOKUP(E432,'Курсы Бинанса'!B:C,2,FALSE),IF(C432="bybit",VLOOKUP(E432,'Курсы Bybit'!B:C,2,FALSE),IF(C432="OKX",VLOOKUP(E432,'Курсы OKX'!A:D,4,FALSE),IF(C432="huobi",VLOOKUP(E432,'Курсы Huobi'!B:C,2,FALSE),"! укажите биржу"))))))</f>
        <v/>
      </c>
      <c r="O432" s="71" t="str">
        <f t="shared" si="37"/>
        <v/>
      </c>
      <c r="P432" s="71" t="str">
        <f t="shared" si="38"/>
        <v/>
      </c>
      <c r="Q432" s="75" t="str">
        <f t="shared" si="39"/>
        <v/>
      </c>
      <c r="R432" s="76"/>
    </row>
    <row r="433" spans="1:18" ht="14.25" customHeight="1">
      <c r="A433" s="67"/>
      <c r="B433" s="68"/>
      <c r="C433" s="69"/>
      <c r="D433" s="69" t="str">
        <f ca="1">IF(B433="","",VLOOKUP('Журнал Закупок'!$B433,'СТ Криптовалюта'!B:C,2,0))</f>
        <v/>
      </c>
      <c r="E433" s="68" t="str">
        <f t="shared" si="35"/>
        <v/>
      </c>
      <c r="F433" s="70"/>
      <c r="G433" s="71"/>
      <c r="H433" s="71"/>
      <c r="I433" s="71" t="str">
        <f t="shared" si="36"/>
        <v/>
      </c>
      <c r="J433" s="71" t="e">
        <f ca="1">IFERROR(__xludf.DUMMYFUNCTION("IF(I433="""","""",IMPORTXML(""http://www.cbr.ru/scripts/XML_daily.asp?date_req=""&amp;TEXT(A433,""DD/MM/YYYY""), ""//ValCurs/Valute[CharCode=""""USD""""]/Value"")*I433)"),"")</f>
        <v>#NAME?</v>
      </c>
      <c r="K433" s="71"/>
      <c r="L433" s="71"/>
      <c r="M433" s="71"/>
      <c r="N433" s="71" t="str">
        <f ca="1">IF(H433="","",IF(D433="usdt",H433,IF(C433="Binance",VLOOKUP(E433,'Курсы Бинанса'!B:C,2,FALSE),IF(C433="bybit",VLOOKUP(E433,'Курсы Bybit'!B:C,2,FALSE),IF(C433="OKX",VLOOKUP(E433,'Курсы OKX'!A:D,4,FALSE),IF(C433="huobi",VLOOKUP(E433,'Курсы Huobi'!B:C,2,FALSE),"! укажите биржу"))))))</f>
        <v/>
      </c>
      <c r="O433" s="71" t="str">
        <f t="shared" si="37"/>
        <v/>
      </c>
      <c r="P433" s="71" t="str">
        <f t="shared" si="38"/>
        <v/>
      </c>
      <c r="Q433" s="75" t="str">
        <f t="shared" si="39"/>
        <v/>
      </c>
      <c r="R433" s="76"/>
    </row>
    <row r="434" spans="1:18" ht="14.25" customHeight="1">
      <c r="A434" s="67"/>
      <c r="B434" s="68"/>
      <c r="C434" s="69"/>
      <c r="D434" s="69" t="str">
        <f ca="1">IF(B434="","",VLOOKUP('Журнал Закупок'!$B434,'СТ Криптовалюта'!B:C,2,0))</f>
        <v/>
      </c>
      <c r="E434" s="68" t="str">
        <f t="shared" si="35"/>
        <v/>
      </c>
      <c r="F434" s="70"/>
      <c r="G434" s="71"/>
      <c r="H434" s="71"/>
      <c r="I434" s="71" t="str">
        <f t="shared" si="36"/>
        <v/>
      </c>
      <c r="J434" s="71" t="e">
        <f ca="1">IFERROR(__xludf.DUMMYFUNCTION("IF(I434="""","""",IMPORTXML(""http://www.cbr.ru/scripts/XML_daily.asp?date_req=""&amp;TEXT(A434,""DD/MM/YYYY""), ""//ValCurs/Valute[CharCode=""""USD""""]/Value"")*I434)"),"")</f>
        <v>#NAME?</v>
      </c>
      <c r="K434" s="71"/>
      <c r="L434" s="71"/>
      <c r="M434" s="71"/>
      <c r="N434" s="71" t="str">
        <f ca="1">IF(H434="","",IF(D434="usdt",H434,IF(C434="Binance",VLOOKUP(E434,'Курсы Бинанса'!B:C,2,FALSE),IF(C434="bybit",VLOOKUP(E434,'Курсы Bybit'!B:C,2,FALSE),IF(C434="OKX",VLOOKUP(E434,'Курсы OKX'!A:D,4,FALSE),IF(C434="huobi",VLOOKUP(E434,'Курсы Huobi'!B:C,2,FALSE),"! укажите биржу"))))))</f>
        <v/>
      </c>
      <c r="O434" s="71" t="str">
        <f t="shared" si="37"/>
        <v/>
      </c>
      <c r="P434" s="71" t="str">
        <f t="shared" si="38"/>
        <v/>
      </c>
      <c r="Q434" s="75" t="str">
        <f t="shared" si="39"/>
        <v/>
      </c>
      <c r="R434" s="76"/>
    </row>
    <row r="435" spans="1:18" ht="14.25" customHeight="1">
      <c r="A435" s="67"/>
      <c r="B435" s="68"/>
      <c r="C435" s="69"/>
      <c r="D435" s="69" t="str">
        <f ca="1">IF(B435="","",VLOOKUP('Журнал Закупок'!$B435,'СТ Криптовалюта'!B:C,2,0))</f>
        <v/>
      </c>
      <c r="E435" s="68" t="str">
        <f t="shared" si="35"/>
        <v/>
      </c>
      <c r="F435" s="70"/>
      <c r="G435" s="71"/>
      <c r="H435" s="71"/>
      <c r="I435" s="71" t="str">
        <f t="shared" si="36"/>
        <v/>
      </c>
      <c r="J435" s="71" t="e">
        <f ca="1">IFERROR(__xludf.DUMMYFUNCTION("IF(I435="""","""",IMPORTXML(""http://www.cbr.ru/scripts/XML_daily.asp?date_req=""&amp;TEXT(A435,""DD/MM/YYYY""), ""//ValCurs/Valute[CharCode=""""USD""""]/Value"")*I435)"),"")</f>
        <v>#NAME?</v>
      </c>
      <c r="K435" s="71"/>
      <c r="L435" s="71"/>
      <c r="M435" s="71"/>
      <c r="N435" s="71" t="str">
        <f ca="1">IF(H435="","",IF(D435="usdt",H435,IF(C435="Binance",VLOOKUP(E435,'Курсы Бинанса'!B:C,2,FALSE),IF(C435="bybit",VLOOKUP(E435,'Курсы Bybit'!B:C,2,FALSE),IF(C435="OKX",VLOOKUP(E435,'Курсы OKX'!A:D,4,FALSE),IF(C435="huobi",VLOOKUP(E435,'Курсы Huobi'!B:C,2,FALSE),"! укажите биржу"))))))</f>
        <v/>
      </c>
      <c r="O435" s="71" t="str">
        <f t="shared" si="37"/>
        <v/>
      </c>
      <c r="P435" s="71" t="str">
        <f t="shared" si="38"/>
        <v/>
      </c>
      <c r="Q435" s="75" t="str">
        <f t="shared" si="39"/>
        <v/>
      </c>
      <c r="R435" s="76"/>
    </row>
    <row r="436" spans="1:18" ht="14.25" customHeight="1">
      <c r="A436" s="67"/>
      <c r="B436" s="68"/>
      <c r="C436" s="69"/>
      <c r="D436" s="69" t="str">
        <f ca="1">IF(B436="","",VLOOKUP('Журнал Закупок'!$B436,'СТ Криптовалюта'!B:C,2,0))</f>
        <v/>
      </c>
      <c r="E436" s="68" t="str">
        <f t="shared" si="35"/>
        <v/>
      </c>
      <c r="F436" s="70"/>
      <c r="G436" s="71"/>
      <c r="H436" s="71"/>
      <c r="I436" s="71" t="str">
        <f t="shared" si="36"/>
        <v/>
      </c>
      <c r="J436" s="71" t="e">
        <f ca="1">IFERROR(__xludf.DUMMYFUNCTION("IF(I436="""","""",IMPORTXML(""http://www.cbr.ru/scripts/XML_daily.asp?date_req=""&amp;TEXT(A436,""DD/MM/YYYY""), ""//ValCurs/Valute[CharCode=""""USD""""]/Value"")*I436)"),"")</f>
        <v>#NAME?</v>
      </c>
      <c r="K436" s="71"/>
      <c r="L436" s="71"/>
      <c r="M436" s="71"/>
      <c r="N436" s="71" t="str">
        <f ca="1">IF(H436="","",IF(D436="usdt",H436,IF(C436="Binance",VLOOKUP(E436,'Курсы Бинанса'!B:C,2,FALSE),IF(C436="bybit",VLOOKUP(E436,'Курсы Bybit'!B:C,2,FALSE),IF(C436="OKX",VLOOKUP(E436,'Курсы OKX'!A:D,4,FALSE),IF(C436="huobi",VLOOKUP(E436,'Курсы Huobi'!B:C,2,FALSE),"! укажите биржу"))))))</f>
        <v/>
      </c>
      <c r="O436" s="71" t="str">
        <f t="shared" si="37"/>
        <v/>
      </c>
      <c r="P436" s="71" t="str">
        <f t="shared" si="38"/>
        <v/>
      </c>
      <c r="Q436" s="75" t="str">
        <f t="shared" si="39"/>
        <v/>
      </c>
      <c r="R436" s="76"/>
    </row>
    <row r="437" spans="1:18" ht="14.25" customHeight="1">
      <c r="A437" s="67"/>
      <c r="B437" s="68"/>
      <c r="C437" s="69"/>
      <c r="D437" s="69" t="str">
        <f ca="1">IF(B437="","",VLOOKUP('Журнал Закупок'!$B437,'СТ Криптовалюта'!B:C,2,0))</f>
        <v/>
      </c>
      <c r="E437" s="68" t="str">
        <f t="shared" si="35"/>
        <v/>
      </c>
      <c r="F437" s="70"/>
      <c r="G437" s="71"/>
      <c r="H437" s="71"/>
      <c r="I437" s="71" t="str">
        <f t="shared" si="36"/>
        <v/>
      </c>
      <c r="J437" s="71" t="e">
        <f ca="1">IFERROR(__xludf.DUMMYFUNCTION("IF(I437="""","""",IMPORTXML(""http://www.cbr.ru/scripts/XML_daily.asp?date_req=""&amp;TEXT(A437,""DD/MM/YYYY""), ""//ValCurs/Valute[CharCode=""""USD""""]/Value"")*I437)"),"")</f>
        <v>#NAME?</v>
      </c>
      <c r="K437" s="71"/>
      <c r="L437" s="71"/>
      <c r="M437" s="71"/>
      <c r="N437" s="71" t="str">
        <f ca="1">IF(H437="","",IF(D437="usdt",H437,IF(C437="Binance",VLOOKUP(E437,'Курсы Бинанса'!B:C,2,FALSE),IF(C437="bybit",VLOOKUP(E437,'Курсы Bybit'!B:C,2,FALSE),IF(C437="OKX",VLOOKUP(E437,'Курсы OKX'!A:D,4,FALSE),IF(C437="huobi",VLOOKUP(E437,'Курсы Huobi'!B:C,2,FALSE),"! укажите биржу"))))))</f>
        <v/>
      </c>
      <c r="O437" s="71" t="str">
        <f t="shared" si="37"/>
        <v/>
      </c>
      <c r="P437" s="71" t="str">
        <f t="shared" si="38"/>
        <v/>
      </c>
      <c r="Q437" s="75" t="str">
        <f t="shared" si="39"/>
        <v/>
      </c>
      <c r="R437" s="76"/>
    </row>
    <row r="438" spans="1:18" ht="14.25" customHeight="1">
      <c r="A438" s="67"/>
      <c r="B438" s="68"/>
      <c r="C438" s="69"/>
      <c r="D438" s="69" t="str">
        <f ca="1">IF(B438="","",VLOOKUP('Журнал Закупок'!$B438,'СТ Криптовалюта'!B:C,2,0))</f>
        <v/>
      </c>
      <c r="E438" s="68" t="str">
        <f t="shared" si="35"/>
        <v/>
      </c>
      <c r="F438" s="70"/>
      <c r="G438" s="71"/>
      <c r="H438" s="71"/>
      <c r="I438" s="71" t="str">
        <f t="shared" si="36"/>
        <v/>
      </c>
      <c r="J438" s="71" t="e">
        <f ca="1">IFERROR(__xludf.DUMMYFUNCTION("IF(I438="""","""",IMPORTXML(""http://www.cbr.ru/scripts/XML_daily.asp?date_req=""&amp;TEXT(A438,""DD/MM/YYYY""), ""//ValCurs/Valute[CharCode=""""USD""""]/Value"")*I438)"),"")</f>
        <v>#NAME?</v>
      </c>
      <c r="K438" s="71"/>
      <c r="L438" s="71"/>
      <c r="M438" s="71"/>
      <c r="N438" s="71" t="str">
        <f ca="1">IF(H438="","",IF(D438="usdt",H438,IF(C438="Binance",VLOOKUP(E438,'Курсы Бинанса'!B:C,2,FALSE),IF(C438="bybit",VLOOKUP(E438,'Курсы Bybit'!B:C,2,FALSE),IF(C438="OKX",VLOOKUP(E438,'Курсы OKX'!A:D,4,FALSE),IF(C438="huobi",VLOOKUP(E438,'Курсы Huobi'!B:C,2,FALSE),"! укажите биржу"))))))</f>
        <v/>
      </c>
      <c r="O438" s="71" t="str">
        <f t="shared" si="37"/>
        <v/>
      </c>
      <c r="P438" s="71" t="str">
        <f t="shared" si="38"/>
        <v/>
      </c>
      <c r="Q438" s="75" t="str">
        <f t="shared" si="39"/>
        <v/>
      </c>
      <c r="R438" s="76"/>
    </row>
    <row r="439" spans="1:18" ht="14.25" customHeight="1">
      <c r="A439" s="67"/>
      <c r="B439" s="68"/>
      <c r="C439" s="69"/>
      <c r="D439" s="69" t="str">
        <f ca="1">IF(B439="","",VLOOKUP('Журнал Закупок'!$B439,'СТ Криптовалюта'!B:C,2,0))</f>
        <v/>
      </c>
      <c r="E439" s="68" t="str">
        <f t="shared" si="35"/>
        <v/>
      </c>
      <c r="F439" s="70"/>
      <c r="G439" s="71"/>
      <c r="H439" s="71"/>
      <c r="I439" s="71" t="str">
        <f t="shared" si="36"/>
        <v/>
      </c>
      <c r="J439" s="71" t="e">
        <f ca="1">IFERROR(__xludf.DUMMYFUNCTION("IF(I439="""","""",IMPORTXML(""http://www.cbr.ru/scripts/XML_daily.asp?date_req=""&amp;TEXT(A439,""DD/MM/YYYY""), ""//ValCurs/Valute[CharCode=""""USD""""]/Value"")*I439)"),"")</f>
        <v>#NAME?</v>
      </c>
      <c r="K439" s="71"/>
      <c r="L439" s="71"/>
      <c r="M439" s="71"/>
      <c r="N439" s="71" t="str">
        <f ca="1">IF(H439="","",IF(D439="usdt",H439,IF(C439="Binance",VLOOKUP(E439,'Курсы Бинанса'!B:C,2,FALSE),IF(C439="bybit",VLOOKUP(E439,'Курсы Bybit'!B:C,2,FALSE),IF(C439="OKX",VLOOKUP(E439,'Курсы OKX'!A:D,4,FALSE),IF(C439="huobi",VLOOKUP(E439,'Курсы Huobi'!B:C,2,FALSE),"! укажите биржу"))))))</f>
        <v/>
      </c>
      <c r="O439" s="71" t="str">
        <f t="shared" si="37"/>
        <v/>
      </c>
      <c r="P439" s="71" t="str">
        <f t="shared" si="38"/>
        <v/>
      </c>
      <c r="Q439" s="75" t="str">
        <f t="shared" si="39"/>
        <v/>
      </c>
      <c r="R439" s="76"/>
    </row>
    <row r="440" spans="1:18" ht="14.25" customHeight="1">
      <c r="A440" s="67"/>
      <c r="B440" s="68"/>
      <c r="C440" s="69"/>
      <c r="D440" s="69" t="str">
        <f ca="1">IF(B440="","",VLOOKUP('Журнал Закупок'!$B440,'СТ Криптовалюта'!B:C,2,0))</f>
        <v/>
      </c>
      <c r="E440" s="68" t="str">
        <f t="shared" si="35"/>
        <v/>
      </c>
      <c r="F440" s="70"/>
      <c r="G440" s="71"/>
      <c r="H440" s="71"/>
      <c r="I440" s="71" t="str">
        <f t="shared" si="36"/>
        <v/>
      </c>
      <c r="J440" s="71" t="e">
        <f ca="1">IFERROR(__xludf.DUMMYFUNCTION("IF(I440="""","""",IMPORTXML(""http://www.cbr.ru/scripts/XML_daily.asp?date_req=""&amp;TEXT(A440,""DD/MM/YYYY""), ""//ValCurs/Valute[CharCode=""""USD""""]/Value"")*I440)"),"")</f>
        <v>#NAME?</v>
      </c>
      <c r="K440" s="71"/>
      <c r="L440" s="71"/>
      <c r="M440" s="71"/>
      <c r="N440" s="71" t="str">
        <f ca="1">IF(H440="","",IF(D440="usdt",H440,IF(C440="Binance",VLOOKUP(E440,'Курсы Бинанса'!B:C,2,FALSE),IF(C440="bybit",VLOOKUP(E440,'Курсы Bybit'!B:C,2,FALSE),IF(C440="OKX",VLOOKUP(E440,'Курсы OKX'!A:D,4,FALSE),IF(C440="huobi",VLOOKUP(E440,'Курсы Huobi'!B:C,2,FALSE),"! укажите биржу"))))))</f>
        <v/>
      </c>
      <c r="O440" s="71" t="str">
        <f t="shared" si="37"/>
        <v/>
      </c>
      <c r="P440" s="71" t="str">
        <f t="shared" si="38"/>
        <v/>
      </c>
      <c r="Q440" s="75" t="str">
        <f t="shared" si="39"/>
        <v/>
      </c>
      <c r="R440" s="76"/>
    </row>
    <row r="441" spans="1:18" ht="14.25" customHeight="1">
      <c r="A441" s="67"/>
      <c r="B441" s="68"/>
      <c r="C441" s="69"/>
      <c r="D441" s="69" t="str">
        <f ca="1">IF(B441="","",VLOOKUP('Журнал Закупок'!$B441,'СТ Криптовалюта'!B:C,2,0))</f>
        <v/>
      </c>
      <c r="E441" s="68" t="str">
        <f t="shared" si="35"/>
        <v/>
      </c>
      <c r="F441" s="70"/>
      <c r="G441" s="71"/>
      <c r="H441" s="71"/>
      <c r="I441" s="71" t="str">
        <f t="shared" si="36"/>
        <v/>
      </c>
      <c r="J441" s="71" t="e">
        <f ca="1">IFERROR(__xludf.DUMMYFUNCTION("IF(I441="""","""",IMPORTXML(""http://www.cbr.ru/scripts/XML_daily.asp?date_req=""&amp;TEXT(A441,""DD/MM/YYYY""), ""//ValCurs/Valute[CharCode=""""USD""""]/Value"")*I441)"),"")</f>
        <v>#NAME?</v>
      </c>
      <c r="K441" s="71"/>
      <c r="L441" s="71"/>
      <c r="M441" s="71"/>
      <c r="N441" s="71" t="str">
        <f ca="1">IF(H441="","",IF(D441="usdt",H441,IF(C441="Binance",VLOOKUP(E441,'Курсы Бинанса'!B:C,2,FALSE),IF(C441="bybit",VLOOKUP(E441,'Курсы Bybit'!B:C,2,FALSE),IF(C441="OKX",VLOOKUP(E441,'Курсы OKX'!A:D,4,FALSE),IF(C441="huobi",VLOOKUP(E441,'Курсы Huobi'!B:C,2,FALSE),"! укажите биржу"))))))</f>
        <v/>
      </c>
      <c r="O441" s="71" t="str">
        <f t="shared" si="37"/>
        <v/>
      </c>
      <c r="P441" s="71" t="str">
        <f t="shared" si="38"/>
        <v/>
      </c>
      <c r="Q441" s="75" t="str">
        <f t="shared" si="39"/>
        <v/>
      </c>
      <c r="R441" s="76"/>
    </row>
    <row r="442" spans="1:18" ht="14.25" customHeight="1">
      <c r="A442" s="67"/>
      <c r="B442" s="68"/>
      <c r="C442" s="69"/>
      <c r="D442" s="69" t="str">
        <f ca="1">IF(B442="","",VLOOKUP('Журнал Закупок'!$B442,'СТ Криптовалюта'!B:C,2,0))</f>
        <v/>
      </c>
      <c r="E442" s="68" t="str">
        <f t="shared" si="35"/>
        <v/>
      </c>
      <c r="F442" s="70"/>
      <c r="G442" s="71"/>
      <c r="H442" s="71"/>
      <c r="I442" s="71" t="str">
        <f t="shared" si="36"/>
        <v/>
      </c>
      <c r="J442" s="71" t="e">
        <f ca="1">IFERROR(__xludf.DUMMYFUNCTION("IF(I442="""","""",IMPORTXML(""http://www.cbr.ru/scripts/XML_daily.asp?date_req=""&amp;TEXT(A442,""DD/MM/YYYY""), ""//ValCurs/Valute[CharCode=""""USD""""]/Value"")*I442)"),"")</f>
        <v>#NAME?</v>
      </c>
      <c r="K442" s="71"/>
      <c r="L442" s="71"/>
      <c r="M442" s="71"/>
      <c r="N442" s="71" t="str">
        <f ca="1">IF(H442="","",IF(D442="usdt",H442,IF(C442="Binance",VLOOKUP(E442,'Курсы Бинанса'!B:C,2,FALSE),IF(C442="bybit",VLOOKUP(E442,'Курсы Bybit'!B:C,2,FALSE),IF(C442="OKX",VLOOKUP(E442,'Курсы OKX'!A:D,4,FALSE),IF(C442="huobi",VLOOKUP(E442,'Курсы Huobi'!B:C,2,FALSE),"! укажите биржу"))))))</f>
        <v/>
      </c>
      <c r="O442" s="71" t="str">
        <f t="shared" si="37"/>
        <v/>
      </c>
      <c r="P442" s="71" t="str">
        <f t="shared" si="38"/>
        <v/>
      </c>
      <c r="Q442" s="75" t="str">
        <f t="shared" si="39"/>
        <v/>
      </c>
      <c r="R442" s="76"/>
    </row>
    <row r="443" spans="1:18" ht="14.25" customHeight="1">
      <c r="A443" s="67"/>
      <c r="B443" s="68"/>
      <c r="C443" s="69"/>
      <c r="D443" s="69" t="str">
        <f ca="1">IF(B443="","",VLOOKUP('Журнал Закупок'!$B443,'СТ Криптовалюта'!B:C,2,0))</f>
        <v/>
      </c>
      <c r="E443" s="68" t="str">
        <f t="shared" si="35"/>
        <v/>
      </c>
      <c r="F443" s="70"/>
      <c r="G443" s="71"/>
      <c r="H443" s="71"/>
      <c r="I443" s="71" t="str">
        <f t="shared" si="36"/>
        <v/>
      </c>
      <c r="J443" s="71" t="e">
        <f ca="1">IFERROR(__xludf.DUMMYFUNCTION("IF(I443="""","""",IMPORTXML(""http://www.cbr.ru/scripts/XML_daily.asp?date_req=""&amp;TEXT(A443,""DD/MM/YYYY""), ""//ValCurs/Valute[CharCode=""""USD""""]/Value"")*I443)"),"")</f>
        <v>#NAME?</v>
      </c>
      <c r="K443" s="71"/>
      <c r="L443" s="71"/>
      <c r="M443" s="71"/>
      <c r="N443" s="71" t="str">
        <f ca="1">IF(H443="","",IF(D443="usdt",H443,IF(C443="Binance",VLOOKUP(E443,'Курсы Бинанса'!B:C,2,FALSE),IF(C443="bybit",VLOOKUP(E443,'Курсы Bybit'!B:C,2,FALSE),IF(C443="OKX",VLOOKUP(E443,'Курсы OKX'!A:D,4,FALSE),IF(C443="huobi",VLOOKUP(E443,'Курсы Huobi'!B:C,2,FALSE),"! укажите биржу"))))))</f>
        <v/>
      </c>
      <c r="O443" s="71" t="str">
        <f t="shared" si="37"/>
        <v/>
      </c>
      <c r="P443" s="71" t="str">
        <f t="shared" si="38"/>
        <v/>
      </c>
      <c r="Q443" s="75" t="str">
        <f t="shared" si="39"/>
        <v/>
      </c>
      <c r="R443" s="76"/>
    </row>
    <row r="444" spans="1:18" ht="14.25" customHeight="1">
      <c r="A444" s="67"/>
      <c r="B444" s="68"/>
      <c r="C444" s="69"/>
      <c r="D444" s="69" t="str">
        <f ca="1">IF(B444="","",VLOOKUP('Журнал Закупок'!$B444,'СТ Криптовалюта'!B:C,2,0))</f>
        <v/>
      </c>
      <c r="E444" s="68" t="str">
        <f t="shared" si="35"/>
        <v/>
      </c>
      <c r="F444" s="70"/>
      <c r="G444" s="71"/>
      <c r="H444" s="71"/>
      <c r="I444" s="71" t="str">
        <f t="shared" si="36"/>
        <v/>
      </c>
      <c r="J444" s="71" t="e">
        <f ca="1">IFERROR(__xludf.DUMMYFUNCTION("IF(I444="""","""",IMPORTXML(""http://www.cbr.ru/scripts/XML_daily.asp?date_req=""&amp;TEXT(A444,""DD/MM/YYYY""), ""//ValCurs/Valute[CharCode=""""USD""""]/Value"")*I444)"),"")</f>
        <v>#NAME?</v>
      </c>
      <c r="K444" s="71"/>
      <c r="L444" s="71"/>
      <c r="M444" s="71"/>
      <c r="N444" s="71" t="str">
        <f ca="1">IF(H444="","",IF(D444="usdt",H444,IF(C444="Binance",VLOOKUP(E444,'Курсы Бинанса'!B:C,2,FALSE),IF(C444="bybit",VLOOKUP(E444,'Курсы Bybit'!B:C,2,FALSE),IF(C444="OKX",VLOOKUP(E444,'Курсы OKX'!A:D,4,FALSE),IF(C444="huobi",VLOOKUP(E444,'Курсы Huobi'!B:C,2,FALSE),"! укажите биржу"))))))</f>
        <v/>
      </c>
      <c r="O444" s="71" t="str">
        <f t="shared" si="37"/>
        <v/>
      </c>
      <c r="P444" s="71" t="str">
        <f t="shared" si="38"/>
        <v/>
      </c>
      <c r="Q444" s="75" t="str">
        <f t="shared" si="39"/>
        <v/>
      </c>
      <c r="R444" s="76"/>
    </row>
    <row r="445" spans="1:18" ht="14.25" customHeight="1">
      <c r="A445" s="67"/>
      <c r="B445" s="68"/>
      <c r="C445" s="69"/>
      <c r="D445" s="69" t="str">
        <f ca="1">IF(B445="","",VLOOKUP('Журнал Закупок'!$B445,'СТ Криптовалюта'!B:C,2,0))</f>
        <v/>
      </c>
      <c r="E445" s="68" t="str">
        <f t="shared" si="35"/>
        <v/>
      </c>
      <c r="F445" s="70"/>
      <c r="G445" s="71"/>
      <c r="H445" s="71"/>
      <c r="I445" s="71" t="str">
        <f t="shared" si="36"/>
        <v/>
      </c>
      <c r="J445" s="71" t="e">
        <f ca="1">IFERROR(__xludf.DUMMYFUNCTION("IF(I445="""","""",IMPORTXML(""http://www.cbr.ru/scripts/XML_daily.asp?date_req=""&amp;TEXT(A445,""DD/MM/YYYY""), ""//ValCurs/Valute[CharCode=""""USD""""]/Value"")*I445)"),"")</f>
        <v>#NAME?</v>
      </c>
      <c r="K445" s="71"/>
      <c r="L445" s="71"/>
      <c r="M445" s="71"/>
      <c r="N445" s="71" t="str">
        <f ca="1">IF(H445="","",IF(D445="usdt",H445,IF(C445="Binance",VLOOKUP(E445,'Курсы Бинанса'!B:C,2,FALSE),IF(C445="bybit",VLOOKUP(E445,'Курсы Bybit'!B:C,2,FALSE),IF(C445="OKX",VLOOKUP(E445,'Курсы OKX'!A:D,4,FALSE),IF(C445="huobi",VLOOKUP(E445,'Курсы Huobi'!B:C,2,FALSE),"! укажите биржу"))))))</f>
        <v/>
      </c>
      <c r="O445" s="71" t="str">
        <f t="shared" si="37"/>
        <v/>
      </c>
      <c r="P445" s="71" t="str">
        <f t="shared" si="38"/>
        <v/>
      </c>
      <c r="Q445" s="75" t="str">
        <f t="shared" si="39"/>
        <v/>
      </c>
      <c r="R445" s="76"/>
    </row>
    <row r="446" spans="1:18" ht="14.25" customHeight="1">
      <c r="A446" s="67"/>
      <c r="B446" s="68"/>
      <c r="C446" s="69"/>
      <c r="D446" s="69" t="str">
        <f ca="1">IF(B446="","",VLOOKUP('Журнал Закупок'!$B446,'СТ Криптовалюта'!B:C,2,0))</f>
        <v/>
      </c>
      <c r="E446" s="68" t="str">
        <f t="shared" si="35"/>
        <v/>
      </c>
      <c r="F446" s="70"/>
      <c r="G446" s="71"/>
      <c r="H446" s="71"/>
      <c r="I446" s="71" t="str">
        <f t="shared" si="36"/>
        <v/>
      </c>
      <c r="J446" s="71" t="e">
        <f ca="1">IFERROR(__xludf.DUMMYFUNCTION("IF(I446="""","""",IMPORTXML(""http://www.cbr.ru/scripts/XML_daily.asp?date_req=""&amp;TEXT(A446,""DD/MM/YYYY""), ""//ValCurs/Valute[CharCode=""""USD""""]/Value"")*I446)"),"")</f>
        <v>#NAME?</v>
      </c>
      <c r="K446" s="71"/>
      <c r="L446" s="71"/>
      <c r="M446" s="71"/>
      <c r="N446" s="71" t="str">
        <f ca="1">IF(H446="","",IF(D446="usdt",H446,IF(C446="Binance",VLOOKUP(E446,'Курсы Бинанса'!B:C,2,FALSE),IF(C446="bybit",VLOOKUP(E446,'Курсы Bybit'!B:C,2,FALSE),IF(C446="OKX",VLOOKUP(E446,'Курсы OKX'!A:D,4,FALSE),IF(C446="huobi",VLOOKUP(E446,'Курсы Huobi'!B:C,2,FALSE),"! укажите биржу"))))))</f>
        <v/>
      </c>
      <c r="O446" s="71" t="str">
        <f t="shared" si="37"/>
        <v/>
      </c>
      <c r="P446" s="71" t="str">
        <f t="shared" si="38"/>
        <v/>
      </c>
      <c r="Q446" s="75" t="str">
        <f t="shared" si="39"/>
        <v/>
      </c>
      <c r="R446" s="76"/>
    </row>
    <row r="447" spans="1:18" ht="14.25" customHeight="1">
      <c r="A447" s="67"/>
      <c r="B447" s="68"/>
      <c r="C447" s="69"/>
      <c r="D447" s="69" t="str">
        <f ca="1">IF(B447="","",VLOOKUP('Журнал Закупок'!$B447,'СТ Криптовалюта'!B:C,2,0))</f>
        <v/>
      </c>
      <c r="E447" s="68" t="str">
        <f t="shared" si="35"/>
        <v/>
      </c>
      <c r="F447" s="70"/>
      <c r="G447" s="71"/>
      <c r="H447" s="71"/>
      <c r="I447" s="71" t="str">
        <f t="shared" si="36"/>
        <v/>
      </c>
      <c r="J447" s="71" t="e">
        <f ca="1">IFERROR(__xludf.DUMMYFUNCTION("IF(I447="""","""",IMPORTXML(""http://www.cbr.ru/scripts/XML_daily.asp?date_req=""&amp;TEXT(A447,""DD/MM/YYYY""), ""//ValCurs/Valute[CharCode=""""USD""""]/Value"")*I447)"),"")</f>
        <v>#NAME?</v>
      </c>
      <c r="K447" s="71"/>
      <c r="L447" s="71"/>
      <c r="M447" s="71"/>
      <c r="N447" s="71" t="str">
        <f ca="1">IF(H447="","",IF(D447="usdt",H447,IF(C447="Binance",VLOOKUP(E447,'Курсы Бинанса'!B:C,2,FALSE),IF(C447="bybit",VLOOKUP(E447,'Курсы Bybit'!B:C,2,FALSE),IF(C447="OKX",VLOOKUP(E447,'Курсы OKX'!A:D,4,FALSE),IF(C447="huobi",VLOOKUP(E447,'Курсы Huobi'!B:C,2,FALSE),"! укажите биржу"))))))</f>
        <v/>
      </c>
      <c r="O447" s="71" t="str">
        <f t="shared" si="37"/>
        <v/>
      </c>
      <c r="P447" s="71" t="str">
        <f t="shared" si="38"/>
        <v/>
      </c>
      <c r="Q447" s="75" t="str">
        <f t="shared" si="39"/>
        <v/>
      </c>
      <c r="R447" s="76"/>
    </row>
    <row r="448" spans="1:18" ht="14.25" customHeight="1">
      <c r="A448" s="67"/>
      <c r="B448" s="68"/>
      <c r="C448" s="69"/>
      <c r="D448" s="69" t="str">
        <f ca="1">IF(B448="","",VLOOKUP('Журнал Закупок'!$B448,'СТ Криптовалюта'!B:C,2,0))</f>
        <v/>
      </c>
      <c r="E448" s="68" t="str">
        <f t="shared" si="35"/>
        <v/>
      </c>
      <c r="F448" s="70"/>
      <c r="G448" s="71"/>
      <c r="H448" s="71"/>
      <c r="I448" s="71" t="str">
        <f t="shared" si="36"/>
        <v/>
      </c>
      <c r="J448" s="71" t="e">
        <f ca="1">IFERROR(__xludf.DUMMYFUNCTION("IF(I448="""","""",IMPORTXML(""http://www.cbr.ru/scripts/XML_daily.asp?date_req=""&amp;TEXT(A448,""DD/MM/YYYY""), ""//ValCurs/Valute[CharCode=""""USD""""]/Value"")*I448)"),"")</f>
        <v>#NAME?</v>
      </c>
      <c r="K448" s="71"/>
      <c r="L448" s="71"/>
      <c r="M448" s="71"/>
      <c r="N448" s="71" t="str">
        <f ca="1">IF(H448="","",IF(D448="usdt",H448,IF(C448="Binance",VLOOKUP(E448,'Курсы Бинанса'!B:C,2,FALSE),IF(C448="bybit",VLOOKUP(E448,'Курсы Bybit'!B:C,2,FALSE),IF(C448="OKX",VLOOKUP(E448,'Курсы OKX'!A:D,4,FALSE),IF(C448="huobi",VLOOKUP(E448,'Курсы Huobi'!B:C,2,FALSE),"! укажите биржу"))))))</f>
        <v/>
      </c>
      <c r="O448" s="71" t="str">
        <f t="shared" si="37"/>
        <v/>
      </c>
      <c r="P448" s="71" t="str">
        <f t="shared" si="38"/>
        <v/>
      </c>
      <c r="Q448" s="75" t="str">
        <f t="shared" si="39"/>
        <v/>
      </c>
      <c r="R448" s="76"/>
    </row>
    <row r="449" spans="1:18" ht="14.25" customHeight="1">
      <c r="A449" s="67"/>
      <c r="B449" s="68"/>
      <c r="C449" s="69"/>
      <c r="D449" s="69" t="str">
        <f ca="1">IF(B449="","",VLOOKUP('Журнал Закупок'!$B449,'СТ Криптовалюта'!B:C,2,0))</f>
        <v/>
      </c>
      <c r="E449" s="68" t="str">
        <f t="shared" si="35"/>
        <v/>
      </c>
      <c r="F449" s="70"/>
      <c r="G449" s="71"/>
      <c r="H449" s="71"/>
      <c r="I449" s="71" t="str">
        <f t="shared" si="36"/>
        <v/>
      </c>
      <c r="J449" s="71" t="e">
        <f ca="1">IFERROR(__xludf.DUMMYFUNCTION("IF(I449="""","""",IMPORTXML(""http://www.cbr.ru/scripts/XML_daily.asp?date_req=""&amp;TEXT(A449,""DD/MM/YYYY""), ""//ValCurs/Valute[CharCode=""""USD""""]/Value"")*I449)"),"")</f>
        <v>#NAME?</v>
      </c>
      <c r="K449" s="71"/>
      <c r="L449" s="71"/>
      <c r="M449" s="71"/>
      <c r="N449" s="71" t="str">
        <f ca="1">IF(H449="","",IF(D449="usdt",H449,IF(C449="Binance",VLOOKUP(E449,'Курсы Бинанса'!B:C,2,FALSE),IF(C449="bybit",VLOOKUP(E449,'Курсы Bybit'!B:C,2,FALSE),IF(C449="OKX",VLOOKUP(E449,'Курсы OKX'!A:D,4,FALSE),IF(C449="huobi",VLOOKUP(E449,'Курсы Huobi'!B:C,2,FALSE),"! укажите биржу"))))))</f>
        <v/>
      </c>
      <c r="O449" s="71" t="str">
        <f t="shared" si="37"/>
        <v/>
      </c>
      <c r="P449" s="71" t="str">
        <f t="shared" si="38"/>
        <v/>
      </c>
      <c r="Q449" s="75" t="str">
        <f t="shared" si="39"/>
        <v/>
      </c>
      <c r="R449" s="76"/>
    </row>
    <row r="450" spans="1:18" ht="14.25" customHeight="1">
      <c r="A450" s="67"/>
      <c r="B450" s="68"/>
      <c r="C450" s="69"/>
      <c r="D450" s="69" t="str">
        <f ca="1">IF(B450="","",VLOOKUP('Журнал Закупок'!$B450,'СТ Криптовалюта'!B:C,2,0))</f>
        <v/>
      </c>
      <c r="E450" s="68" t="str">
        <f t="shared" si="35"/>
        <v/>
      </c>
      <c r="F450" s="70"/>
      <c r="G450" s="71"/>
      <c r="H450" s="71"/>
      <c r="I450" s="71" t="str">
        <f t="shared" si="36"/>
        <v/>
      </c>
      <c r="J450" s="71" t="e">
        <f ca="1">IFERROR(__xludf.DUMMYFUNCTION("IF(I450="""","""",IMPORTXML(""http://www.cbr.ru/scripts/XML_daily.asp?date_req=""&amp;TEXT(A450,""DD/MM/YYYY""), ""//ValCurs/Valute[CharCode=""""USD""""]/Value"")*I450)"),"")</f>
        <v>#NAME?</v>
      </c>
      <c r="K450" s="71"/>
      <c r="L450" s="71"/>
      <c r="M450" s="71"/>
      <c r="N450" s="71" t="str">
        <f ca="1">IF(H450="","",IF(D450="usdt",H450,IF(C450="Binance",VLOOKUP(E450,'Курсы Бинанса'!B:C,2,FALSE),IF(C450="bybit",VLOOKUP(E450,'Курсы Bybit'!B:C,2,FALSE),IF(C450="OKX",VLOOKUP(E450,'Курсы OKX'!A:D,4,FALSE),IF(C450="huobi",VLOOKUP(E450,'Курсы Huobi'!B:C,2,FALSE),"! укажите биржу"))))))</f>
        <v/>
      </c>
      <c r="O450" s="71" t="str">
        <f t="shared" si="37"/>
        <v/>
      </c>
      <c r="P450" s="71" t="str">
        <f t="shared" si="38"/>
        <v/>
      </c>
      <c r="Q450" s="75" t="str">
        <f t="shared" si="39"/>
        <v/>
      </c>
      <c r="R450" s="76"/>
    </row>
    <row r="451" spans="1:18" ht="14.25" customHeight="1">
      <c r="A451" s="67"/>
      <c r="B451" s="68"/>
      <c r="C451" s="69"/>
      <c r="D451" s="69" t="str">
        <f ca="1">IF(B451="","",VLOOKUP('Журнал Закупок'!$B451,'СТ Криптовалюта'!B:C,2,0))</f>
        <v/>
      </c>
      <c r="E451" s="68" t="str">
        <f t="shared" si="35"/>
        <v/>
      </c>
      <c r="F451" s="70"/>
      <c r="G451" s="71"/>
      <c r="H451" s="71"/>
      <c r="I451" s="71" t="str">
        <f t="shared" si="36"/>
        <v/>
      </c>
      <c r="J451" s="71" t="e">
        <f ca="1">IFERROR(__xludf.DUMMYFUNCTION("IF(I451="""","""",IMPORTXML(""http://www.cbr.ru/scripts/XML_daily.asp?date_req=""&amp;TEXT(A451,""DD/MM/YYYY""), ""//ValCurs/Valute[CharCode=""""USD""""]/Value"")*I451)"),"")</f>
        <v>#NAME?</v>
      </c>
      <c r="K451" s="71"/>
      <c r="L451" s="71"/>
      <c r="M451" s="71"/>
      <c r="N451" s="71" t="str">
        <f ca="1">IF(H451="","",IF(D451="usdt",H451,IF(C451="Binance",VLOOKUP(E451,'Курсы Бинанса'!B:C,2,FALSE),IF(C451="bybit",VLOOKUP(E451,'Курсы Bybit'!B:C,2,FALSE),IF(C451="OKX",VLOOKUP(E451,'Курсы OKX'!A:D,4,FALSE),IF(C451="huobi",VLOOKUP(E451,'Курсы Huobi'!B:C,2,FALSE),"! укажите биржу"))))))</f>
        <v/>
      </c>
      <c r="O451" s="71" t="str">
        <f t="shared" si="37"/>
        <v/>
      </c>
      <c r="P451" s="71" t="str">
        <f t="shared" si="38"/>
        <v/>
      </c>
      <c r="Q451" s="75" t="str">
        <f t="shared" si="39"/>
        <v/>
      </c>
      <c r="R451" s="76"/>
    </row>
    <row r="452" spans="1:18" ht="14.25" customHeight="1">
      <c r="A452" s="67"/>
      <c r="B452" s="68"/>
      <c r="C452" s="69"/>
      <c r="D452" s="69" t="str">
        <f ca="1">IF(B452="","",VLOOKUP('Журнал Закупок'!$B452,'СТ Криптовалюта'!B:C,2,0))</f>
        <v/>
      </c>
      <c r="E452" s="68" t="str">
        <f t="shared" si="35"/>
        <v/>
      </c>
      <c r="F452" s="70"/>
      <c r="G452" s="71"/>
      <c r="H452" s="71"/>
      <c r="I452" s="71" t="str">
        <f t="shared" si="36"/>
        <v/>
      </c>
      <c r="J452" s="71" t="e">
        <f ca="1">IFERROR(__xludf.DUMMYFUNCTION("IF(I452="""","""",IMPORTXML(""http://www.cbr.ru/scripts/XML_daily.asp?date_req=""&amp;TEXT(A452,""DD/MM/YYYY""), ""//ValCurs/Valute[CharCode=""""USD""""]/Value"")*I452)"),"")</f>
        <v>#NAME?</v>
      </c>
      <c r="K452" s="71"/>
      <c r="L452" s="71"/>
      <c r="M452" s="71"/>
      <c r="N452" s="71" t="str">
        <f ca="1">IF(H452="","",IF(D452="usdt",H452,IF(C452="Binance",VLOOKUP(E452,'Курсы Бинанса'!B:C,2,FALSE),IF(C452="bybit",VLOOKUP(E452,'Курсы Bybit'!B:C,2,FALSE),IF(C452="OKX",VLOOKUP(E452,'Курсы OKX'!A:D,4,FALSE),IF(C452="huobi",VLOOKUP(E452,'Курсы Huobi'!B:C,2,FALSE),"! укажите биржу"))))))</f>
        <v/>
      </c>
      <c r="O452" s="71" t="str">
        <f t="shared" si="37"/>
        <v/>
      </c>
      <c r="P452" s="71" t="str">
        <f t="shared" si="38"/>
        <v/>
      </c>
      <c r="Q452" s="75" t="str">
        <f t="shared" si="39"/>
        <v/>
      </c>
      <c r="R452" s="76"/>
    </row>
    <row r="453" spans="1:18" ht="14.25" customHeight="1">
      <c r="A453" s="67"/>
      <c r="B453" s="68"/>
      <c r="C453" s="69"/>
      <c r="D453" s="69" t="str">
        <f ca="1">IF(B453="","",VLOOKUP('Журнал Закупок'!$B453,'СТ Криптовалюта'!B:C,2,0))</f>
        <v/>
      </c>
      <c r="E453" s="68" t="str">
        <f t="shared" si="35"/>
        <v/>
      </c>
      <c r="F453" s="70"/>
      <c r="G453" s="71"/>
      <c r="H453" s="71"/>
      <c r="I453" s="71" t="str">
        <f t="shared" si="36"/>
        <v/>
      </c>
      <c r="J453" s="71" t="e">
        <f ca="1">IFERROR(__xludf.DUMMYFUNCTION("IF(I453="""","""",IMPORTXML(""http://www.cbr.ru/scripts/XML_daily.asp?date_req=""&amp;TEXT(A453,""DD/MM/YYYY""), ""//ValCurs/Valute[CharCode=""""USD""""]/Value"")*I453)"),"")</f>
        <v>#NAME?</v>
      </c>
      <c r="K453" s="71"/>
      <c r="L453" s="71"/>
      <c r="M453" s="71"/>
      <c r="N453" s="71" t="str">
        <f ca="1">IF(H453="","",IF(D453="usdt",H453,IF(C453="Binance",VLOOKUP(E453,'Курсы Бинанса'!B:C,2,FALSE),IF(C453="bybit",VLOOKUP(E453,'Курсы Bybit'!B:C,2,FALSE),IF(C453="OKX",VLOOKUP(E453,'Курсы OKX'!A:D,4,FALSE),IF(C453="huobi",VLOOKUP(E453,'Курсы Huobi'!B:C,2,FALSE),"! укажите биржу"))))))</f>
        <v/>
      </c>
      <c r="O453" s="71" t="str">
        <f t="shared" si="37"/>
        <v/>
      </c>
      <c r="P453" s="71" t="str">
        <f t="shared" si="38"/>
        <v/>
      </c>
      <c r="Q453" s="75" t="str">
        <f t="shared" si="39"/>
        <v/>
      </c>
      <c r="R453" s="76"/>
    </row>
    <row r="454" spans="1:18" ht="14.25" customHeight="1">
      <c r="A454" s="67"/>
      <c r="B454" s="68"/>
      <c r="C454" s="69"/>
      <c r="D454" s="69" t="str">
        <f ca="1">IF(B454="","",VLOOKUP('Журнал Закупок'!$B454,'СТ Криптовалюта'!B:C,2,0))</f>
        <v/>
      </c>
      <c r="E454" s="68" t="str">
        <f t="shared" si="35"/>
        <v/>
      </c>
      <c r="F454" s="70"/>
      <c r="G454" s="71"/>
      <c r="H454" s="71"/>
      <c r="I454" s="71" t="str">
        <f t="shared" si="36"/>
        <v/>
      </c>
      <c r="J454" s="71" t="e">
        <f ca="1">IFERROR(__xludf.DUMMYFUNCTION("IF(I454="""","""",IMPORTXML(""http://www.cbr.ru/scripts/XML_daily.asp?date_req=""&amp;TEXT(A454,""DD/MM/YYYY""), ""//ValCurs/Valute[CharCode=""""USD""""]/Value"")*I454)"),"")</f>
        <v>#NAME?</v>
      </c>
      <c r="K454" s="71"/>
      <c r="L454" s="71"/>
      <c r="M454" s="71"/>
      <c r="N454" s="71" t="str">
        <f ca="1">IF(H454="","",IF(D454="usdt",H454,IF(C454="Binance",VLOOKUP(E454,'Курсы Бинанса'!B:C,2,FALSE),IF(C454="bybit",VLOOKUP(E454,'Курсы Bybit'!B:C,2,FALSE),IF(C454="OKX",VLOOKUP(E454,'Курсы OKX'!A:D,4,FALSE),IF(C454="huobi",VLOOKUP(E454,'Курсы Huobi'!B:C,2,FALSE),"! укажите биржу"))))))</f>
        <v/>
      </c>
      <c r="O454" s="71" t="str">
        <f t="shared" si="37"/>
        <v/>
      </c>
      <c r="P454" s="71" t="str">
        <f t="shared" si="38"/>
        <v/>
      </c>
      <c r="Q454" s="75" t="str">
        <f t="shared" si="39"/>
        <v/>
      </c>
      <c r="R454" s="76"/>
    </row>
    <row r="455" spans="1:18" ht="14.25" customHeight="1">
      <c r="A455" s="67"/>
      <c r="B455" s="68"/>
      <c r="C455" s="69"/>
      <c r="D455" s="69" t="str">
        <f ca="1">IF(B455="","",VLOOKUP('Журнал Закупок'!$B455,'СТ Криптовалюта'!B:C,2,0))</f>
        <v/>
      </c>
      <c r="E455" s="68" t="str">
        <f t="shared" si="35"/>
        <v/>
      </c>
      <c r="F455" s="70"/>
      <c r="G455" s="71"/>
      <c r="H455" s="71"/>
      <c r="I455" s="71" t="str">
        <f t="shared" si="36"/>
        <v/>
      </c>
      <c r="J455" s="71" t="e">
        <f ca="1">IFERROR(__xludf.DUMMYFUNCTION("IF(I455="""","""",IMPORTXML(""http://www.cbr.ru/scripts/XML_daily.asp?date_req=""&amp;TEXT(A455,""DD/MM/YYYY""), ""//ValCurs/Valute[CharCode=""""USD""""]/Value"")*I455)"),"")</f>
        <v>#NAME?</v>
      </c>
      <c r="K455" s="71"/>
      <c r="L455" s="71"/>
      <c r="M455" s="71"/>
      <c r="N455" s="71" t="str">
        <f ca="1">IF(H455="","",IF(D455="usdt",H455,IF(C455="Binance",VLOOKUP(E455,'Курсы Бинанса'!B:C,2,FALSE),IF(C455="bybit",VLOOKUP(E455,'Курсы Bybit'!B:C,2,FALSE),IF(C455="OKX",VLOOKUP(E455,'Курсы OKX'!A:D,4,FALSE),IF(C455="huobi",VLOOKUP(E455,'Курсы Huobi'!B:C,2,FALSE),"! укажите биржу"))))))</f>
        <v/>
      </c>
      <c r="O455" s="71" t="str">
        <f t="shared" si="37"/>
        <v/>
      </c>
      <c r="P455" s="71" t="str">
        <f t="shared" si="38"/>
        <v/>
      </c>
      <c r="Q455" s="75" t="str">
        <f t="shared" si="39"/>
        <v/>
      </c>
      <c r="R455" s="76"/>
    </row>
    <row r="456" spans="1:18" ht="14.25" customHeight="1">
      <c r="A456" s="67"/>
      <c r="B456" s="68"/>
      <c r="C456" s="69"/>
      <c r="D456" s="69" t="str">
        <f ca="1">IF(B456="","",VLOOKUP('Журнал Закупок'!$B456,'СТ Криптовалюта'!B:C,2,0))</f>
        <v/>
      </c>
      <c r="E456" s="68" t="str">
        <f t="shared" si="35"/>
        <v/>
      </c>
      <c r="F456" s="70"/>
      <c r="G456" s="71"/>
      <c r="H456" s="71"/>
      <c r="I456" s="71" t="str">
        <f t="shared" si="36"/>
        <v/>
      </c>
      <c r="J456" s="71" t="e">
        <f ca="1">IFERROR(__xludf.DUMMYFUNCTION("IF(I456="""","""",IMPORTXML(""http://www.cbr.ru/scripts/XML_daily.asp?date_req=""&amp;TEXT(A456,""DD/MM/YYYY""), ""//ValCurs/Valute[CharCode=""""USD""""]/Value"")*I456)"),"")</f>
        <v>#NAME?</v>
      </c>
      <c r="K456" s="71"/>
      <c r="L456" s="71"/>
      <c r="M456" s="71"/>
      <c r="N456" s="71" t="str">
        <f ca="1">IF(H456="","",IF(D456="usdt",H456,IF(C456="Binance",VLOOKUP(E456,'Курсы Бинанса'!B:C,2,FALSE),IF(C456="bybit",VLOOKUP(E456,'Курсы Bybit'!B:C,2,FALSE),IF(C456="OKX",VLOOKUP(E456,'Курсы OKX'!A:D,4,FALSE),IF(C456="huobi",VLOOKUP(E456,'Курсы Huobi'!B:C,2,FALSE),"! укажите биржу"))))))</f>
        <v/>
      </c>
      <c r="O456" s="71" t="str">
        <f t="shared" si="37"/>
        <v/>
      </c>
      <c r="P456" s="71" t="str">
        <f t="shared" si="38"/>
        <v/>
      </c>
      <c r="Q456" s="75" t="str">
        <f t="shared" si="39"/>
        <v/>
      </c>
      <c r="R456" s="76"/>
    </row>
    <row r="457" spans="1:18" ht="14.25" customHeight="1">
      <c r="A457" s="67"/>
      <c r="B457" s="68"/>
      <c r="C457" s="69"/>
      <c r="D457" s="69" t="str">
        <f ca="1">IF(B457="","",VLOOKUP('Журнал Закупок'!$B457,'СТ Криптовалюта'!B:C,2,0))</f>
        <v/>
      </c>
      <c r="E457" s="68" t="str">
        <f t="shared" si="35"/>
        <v/>
      </c>
      <c r="F457" s="70"/>
      <c r="G457" s="71"/>
      <c r="H457" s="71"/>
      <c r="I457" s="71" t="str">
        <f t="shared" si="36"/>
        <v/>
      </c>
      <c r="J457" s="71" t="e">
        <f ca="1">IFERROR(__xludf.DUMMYFUNCTION("IF(I457="""","""",IMPORTXML(""http://www.cbr.ru/scripts/XML_daily.asp?date_req=""&amp;TEXT(A457,""DD/MM/YYYY""), ""//ValCurs/Valute[CharCode=""""USD""""]/Value"")*I457)"),"")</f>
        <v>#NAME?</v>
      </c>
      <c r="K457" s="71"/>
      <c r="L457" s="71"/>
      <c r="M457" s="71"/>
      <c r="N457" s="71" t="str">
        <f ca="1">IF(H457="","",IF(D457="usdt",H457,IF(C457="Binance",VLOOKUP(E457,'Курсы Бинанса'!B:C,2,FALSE),IF(C457="bybit",VLOOKUP(E457,'Курсы Bybit'!B:C,2,FALSE),IF(C457="OKX",VLOOKUP(E457,'Курсы OKX'!A:D,4,FALSE),IF(C457="huobi",VLOOKUP(E457,'Курсы Huobi'!B:C,2,FALSE),"! укажите биржу"))))))</f>
        <v/>
      </c>
      <c r="O457" s="71" t="str">
        <f t="shared" si="37"/>
        <v/>
      </c>
      <c r="P457" s="71" t="str">
        <f t="shared" si="38"/>
        <v/>
      </c>
      <c r="Q457" s="75" t="str">
        <f t="shared" si="39"/>
        <v/>
      </c>
      <c r="R457" s="76"/>
    </row>
    <row r="458" spans="1:18" ht="14.25" customHeight="1">
      <c r="A458" s="67"/>
      <c r="B458" s="68"/>
      <c r="C458" s="69"/>
      <c r="D458" s="69" t="str">
        <f ca="1">IF(B458="","",VLOOKUP('Журнал Закупок'!$B458,'СТ Криптовалюта'!B:C,2,0))</f>
        <v/>
      </c>
      <c r="E458" s="68" t="str">
        <f t="shared" si="35"/>
        <v/>
      </c>
      <c r="F458" s="70"/>
      <c r="G458" s="71"/>
      <c r="H458" s="71"/>
      <c r="I458" s="71" t="str">
        <f t="shared" si="36"/>
        <v/>
      </c>
      <c r="J458" s="71" t="e">
        <f ca="1">IFERROR(__xludf.DUMMYFUNCTION("IF(I458="""","""",IMPORTXML(""http://www.cbr.ru/scripts/XML_daily.asp?date_req=""&amp;TEXT(A458,""DD/MM/YYYY""), ""//ValCurs/Valute[CharCode=""""USD""""]/Value"")*I458)"),"")</f>
        <v>#NAME?</v>
      </c>
      <c r="K458" s="71"/>
      <c r="L458" s="71"/>
      <c r="M458" s="71"/>
      <c r="N458" s="71" t="str">
        <f ca="1">IF(H458="","",IF(D458="usdt",H458,IF(C458="Binance",VLOOKUP(E458,'Курсы Бинанса'!B:C,2,FALSE),IF(C458="bybit",VLOOKUP(E458,'Курсы Bybit'!B:C,2,FALSE),IF(C458="OKX",VLOOKUP(E458,'Курсы OKX'!A:D,4,FALSE),IF(C458="huobi",VLOOKUP(E458,'Курсы Huobi'!B:C,2,FALSE),"! укажите биржу"))))))</f>
        <v/>
      </c>
      <c r="O458" s="71" t="str">
        <f t="shared" si="37"/>
        <v/>
      </c>
      <c r="P458" s="71" t="str">
        <f t="shared" si="38"/>
        <v/>
      </c>
      <c r="Q458" s="75" t="str">
        <f t="shared" si="39"/>
        <v/>
      </c>
      <c r="R458" s="76"/>
    </row>
    <row r="459" spans="1:18" ht="14.25" customHeight="1">
      <c r="A459" s="67"/>
      <c r="B459" s="68"/>
      <c r="C459" s="69"/>
      <c r="D459" s="69" t="str">
        <f ca="1">IF(B459="","",VLOOKUP('Журнал Закупок'!$B459,'СТ Криптовалюта'!B:C,2,0))</f>
        <v/>
      </c>
      <c r="E459" s="68" t="str">
        <f t="shared" si="35"/>
        <v/>
      </c>
      <c r="F459" s="70"/>
      <c r="G459" s="71"/>
      <c r="H459" s="71"/>
      <c r="I459" s="71" t="str">
        <f t="shared" si="36"/>
        <v/>
      </c>
      <c r="J459" s="71" t="e">
        <f ca="1">IFERROR(__xludf.DUMMYFUNCTION("IF(I459="""","""",IMPORTXML(""http://www.cbr.ru/scripts/XML_daily.asp?date_req=""&amp;TEXT(A459,""DD/MM/YYYY""), ""//ValCurs/Valute[CharCode=""""USD""""]/Value"")*I459)"),"")</f>
        <v>#NAME?</v>
      </c>
      <c r="K459" s="71"/>
      <c r="L459" s="71"/>
      <c r="M459" s="71"/>
      <c r="N459" s="71" t="str">
        <f ca="1">IF(H459="","",IF(D459="usdt",H459,IF(C459="Binance",VLOOKUP(E459,'Курсы Бинанса'!B:C,2,FALSE),IF(C459="bybit",VLOOKUP(E459,'Курсы Bybit'!B:C,2,FALSE),IF(C459="OKX",VLOOKUP(E459,'Курсы OKX'!A:D,4,FALSE),IF(C459="huobi",VLOOKUP(E459,'Курсы Huobi'!B:C,2,FALSE),"! укажите биржу"))))))</f>
        <v/>
      </c>
      <c r="O459" s="71" t="str">
        <f t="shared" si="37"/>
        <v/>
      </c>
      <c r="P459" s="71" t="str">
        <f t="shared" si="38"/>
        <v/>
      </c>
      <c r="Q459" s="75" t="str">
        <f t="shared" si="39"/>
        <v/>
      </c>
      <c r="R459" s="76"/>
    </row>
    <row r="460" spans="1:18" ht="14.25" customHeight="1">
      <c r="A460" s="67"/>
      <c r="B460" s="68"/>
      <c r="C460" s="69"/>
      <c r="D460" s="69" t="str">
        <f ca="1">IF(B460="","",VLOOKUP('Журнал Закупок'!$B460,'СТ Криптовалюта'!B:C,2,0))</f>
        <v/>
      </c>
      <c r="E460" s="68" t="str">
        <f t="shared" si="35"/>
        <v/>
      </c>
      <c r="F460" s="70"/>
      <c r="G460" s="71"/>
      <c r="H460" s="71"/>
      <c r="I460" s="71" t="str">
        <f t="shared" si="36"/>
        <v/>
      </c>
      <c r="J460" s="71" t="e">
        <f ca="1">IFERROR(__xludf.DUMMYFUNCTION("IF(I460="""","""",IMPORTXML(""http://www.cbr.ru/scripts/XML_daily.asp?date_req=""&amp;TEXT(A460,""DD/MM/YYYY""), ""//ValCurs/Valute[CharCode=""""USD""""]/Value"")*I460)"),"")</f>
        <v>#NAME?</v>
      </c>
      <c r="K460" s="71"/>
      <c r="L460" s="71"/>
      <c r="M460" s="71"/>
      <c r="N460" s="71" t="str">
        <f ca="1">IF(H460="","",IF(D460="usdt",H460,IF(C460="Binance",VLOOKUP(E460,'Курсы Бинанса'!B:C,2,FALSE),IF(C460="bybit",VLOOKUP(E460,'Курсы Bybit'!B:C,2,FALSE),IF(C460="OKX",VLOOKUP(E460,'Курсы OKX'!A:D,4,FALSE),IF(C460="huobi",VLOOKUP(E460,'Курсы Huobi'!B:C,2,FALSE),"! укажите биржу"))))))</f>
        <v/>
      </c>
      <c r="O460" s="71" t="str">
        <f t="shared" si="37"/>
        <v/>
      </c>
      <c r="P460" s="71" t="str">
        <f t="shared" si="38"/>
        <v/>
      </c>
      <c r="Q460" s="75" t="str">
        <f t="shared" si="39"/>
        <v/>
      </c>
      <c r="R460" s="76"/>
    </row>
    <row r="461" spans="1:18" ht="14.25" customHeight="1">
      <c r="A461" s="67"/>
      <c r="B461" s="68"/>
      <c r="C461" s="69"/>
      <c r="D461" s="69" t="str">
        <f ca="1">IF(B461="","",VLOOKUP('Журнал Закупок'!$B461,'СТ Криптовалюта'!B:C,2,0))</f>
        <v/>
      </c>
      <c r="E461" s="68" t="str">
        <f t="shared" si="35"/>
        <v/>
      </c>
      <c r="F461" s="70"/>
      <c r="G461" s="71"/>
      <c r="H461" s="71"/>
      <c r="I461" s="71" t="str">
        <f t="shared" si="36"/>
        <v/>
      </c>
      <c r="J461" s="71" t="e">
        <f ca="1">IFERROR(__xludf.DUMMYFUNCTION("IF(I461="""","""",IMPORTXML(""http://www.cbr.ru/scripts/XML_daily.asp?date_req=""&amp;TEXT(A461,""DD/MM/YYYY""), ""//ValCurs/Valute[CharCode=""""USD""""]/Value"")*I461)"),"")</f>
        <v>#NAME?</v>
      </c>
      <c r="K461" s="71"/>
      <c r="L461" s="71"/>
      <c r="M461" s="71"/>
      <c r="N461" s="71" t="str">
        <f ca="1">IF(H461="","",IF(D461="usdt",H461,IF(C461="Binance",VLOOKUP(E461,'Курсы Бинанса'!B:C,2,FALSE),IF(C461="bybit",VLOOKUP(E461,'Курсы Bybit'!B:C,2,FALSE),IF(C461="OKX",VLOOKUP(E461,'Курсы OKX'!A:D,4,FALSE),IF(C461="huobi",VLOOKUP(E461,'Курсы Huobi'!B:C,2,FALSE),"! укажите биржу"))))))</f>
        <v/>
      </c>
      <c r="O461" s="71" t="str">
        <f t="shared" si="37"/>
        <v/>
      </c>
      <c r="P461" s="71" t="str">
        <f t="shared" si="38"/>
        <v/>
      </c>
      <c r="Q461" s="75" t="str">
        <f t="shared" si="39"/>
        <v/>
      </c>
      <c r="R461" s="76"/>
    </row>
    <row r="462" spans="1:18" ht="14.25" customHeight="1">
      <c r="A462" s="67"/>
      <c r="B462" s="68"/>
      <c r="C462" s="69"/>
      <c r="D462" s="69" t="str">
        <f ca="1">IF(B462="","",VLOOKUP('Журнал Закупок'!$B462,'СТ Криптовалюта'!B:C,2,0))</f>
        <v/>
      </c>
      <c r="E462" s="68" t="str">
        <f t="shared" si="35"/>
        <v/>
      </c>
      <c r="F462" s="70"/>
      <c r="G462" s="71"/>
      <c r="H462" s="71"/>
      <c r="I462" s="71" t="str">
        <f t="shared" si="36"/>
        <v/>
      </c>
      <c r="J462" s="71" t="e">
        <f ca="1">IFERROR(__xludf.DUMMYFUNCTION("IF(I462="""","""",IMPORTXML(""http://www.cbr.ru/scripts/XML_daily.asp?date_req=""&amp;TEXT(A462,""DD/MM/YYYY""), ""//ValCurs/Valute[CharCode=""""USD""""]/Value"")*I462)"),"")</f>
        <v>#NAME?</v>
      </c>
      <c r="K462" s="71"/>
      <c r="L462" s="71"/>
      <c r="M462" s="71"/>
      <c r="N462" s="71" t="str">
        <f ca="1">IF(H462="","",IF(D462="usdt",H462,IF(C462="Binance",VLOOKUP(E462,'Курсы Бинанса'!B:C,2,FALSE),IF(C462="bybit",VLOOKUP(E462,'Курсы Bybit'!B:C,2,FALSE),IF(C462="OKX",VLOOKUP(E462,'Курсы OKX'!A:D,4,FALSE),IF(C462="huobi",VLOOKUP(E462,'Курсы Huobi'!B:C,2,FALSE),"! укажите биржу"))))))</f>
        <v/>
      </c>
      <c r="O462" s="71" t="str">
        <f t="shared" si="37"/>
        <v/>
      </c>
      <c r="P462" s="71" t="str">
        <f t="shared" si="38"/>
        <v/>
      </c>
      <c r="Q462" s="75" t="str">
        <f t="shared" si="39"/>
        <v/>
      </c>
      <c r="R462" s="76"/>
    </row>
    <row r="463" spans="1:18" ht="14.25" customHeight="1">
      <c r="A463" s="67"/>
      <c r="B463" s="68"/>
      <c r="C463" s="69"/>
      <c r="D463" s="69" t="str">
        <f ca="1">IF(B463="","",VLOOKUP('Журнал Закупок'!$B463,'СТ Криптовалюта'!B:C,2,0))</f>
        <v/>
      </c>
      <c r="E463" s="68" t="str">
        <f t="shared" si="35"/>
        <v/>
      </c>
      <c r="F463" s="70"/>
      <c r="G463" s="71"/>
      <c r="H463" s="71"/>
      <c r="I463" s="71" t="str">
        <f t="shared" si="36"/>
        <v/>
      </c>
      <c r="J463" s="71" t="e">
        <f ca="1">IFERROR(__xludf.DUMMYFUNCTION("IF(I463="""","""",IMPORTXML(""http://www.cbr.ru/scripts/XML_daily.asp?date_req=""&amp;TEXT(A463,""DD/MM/YYYY""), ""//ValCurs/Valute[CharCode=""""USD""""]/Value"")*I463)"),"")</f>
        <v>#NAME?</v>
      </c>
      <c r="K463" s="71"/>
      <c r="L463" s="71"/>
      <c r="M463" s="71"/>
      <c r="N463" s="71" t="str">
        <f ca="1">IF(H463="","",IF(D463="usdt",H463,IF(C463="Binance",VLOOKUP(E463,'Курсы Бинанса'!B:C,2,FALSE),IF(C463="bybit",VLOOKUP(E463,'Курсы Bybit'!B:C,2,FALSE),IF(C463="OKX",VLOOKUP(E463,'Курсы OKX'!A:D,4,FALSE),IF(C463="huobi",VLOOKUP(E463,'Курсы Huobi'!B:C,2,FALSE),"! укажите биржу"))))))</f>
        <v/>
      </c>
      <c r="O463" s="71" t="str">
        <f t="shared" si="37"/>
        <v/>
      </c>
      <c r="P463" s="71" t="str">
        <f t="shared" si="38"/>
        <v/>
      </c>
      <c r="Q463" s="75" t="str">
        <f t="shared" si="39"/>
        <v/>
      </c>
      <c r="R463" s="76"/>
    </row>
    <row r="464" spans="1:18" ht="14.25" customHeight="1">
      <c r="A464" s="67"/>
      <c r="B464" s="68"/>
      <c r="C464" s="69"/>
      <c r="D464" s="69" t="str">
        <f ca="1">IF(B464="","",VLOOKUP('Журнал Закупок'!$B464,'СТ Криптовалюта'!B:C,2,0))</f>
        <v/>
      </c>
      <c r="E464" s="68" t="str">
        <f t="shared" si="35"/>
        <v/>
      </c>
      <c r="F464" s="70"/>
      <c r="G464" s="71"/>
      <c r="H464" s="71"/>
      <c r="I464" s="71" t="str">
        <f t="shared" si="36"/>
        <v/>
      </c>
      <c r="J464" s="71" t="e">
        <f ca="1">IFERROR(__xludf.DUMMYFUNCTION("IF(I464="""","""",IMPORTXML(""http://www.cbr.ru/scripts/XML_daily.asp?date_req=""&amp;TEXT(A464,""DD/MM/YYYY""), ""//ValCurs/Valute[CharCode=""""USD""""]/Value"")*I464)"),"")</f>
        <v>#NAME?</v>
      </c>
      <c r="K464" s="71"/>
      <c r="L464" s="71"/>
      <c r="M464" s="71"/>
      <c r="N464" s="71" t="str">
        <f ca="1">IF(H464="","",IF(D464="usdt",H464,IF(C464="Binance",VLOOKUP(E464,'Курсы Бинанса'!B:C,2,FALSE),IF(C464="bybit",VLOOKUP(E464,'Курсы Bybit'!B:C,2,FALSE),IF(C464="OKX",VLOOKUP(E464,'Курсы OKX'!A:D,4,FALSE),IF(C464="huobi",VLOOKUP(E464,'Курсы Huobi'!B:C,2,FALSE),"! укажите биржу"))))))</f>
        <v/>
      </c>
      <c r="O464" s="71" t="str">
        <f t="shared" si="37"/>
        <v/>
      </c>
      <c r="P464" s="71" t="str">
        <f t="shared" si="38"/>
        <v/>
      </c>
      <c r="Q464" s="75" t="str">
        <f t="shared" si="39"/>
        <v/>
      </c>
      <c r="R464" s="76"/>
    </row>
    <row r="465" spans="1:18" ht="14.25" customHeight="1">
      <c r="A465" s="67"/>
      <c r="B465" s="68"/>
      <c r="C465" s="69"/>
      <c r="D465" s="69" t="str">
        <f ca="1">IF(B465="","",VLOOKUP('Журнал Закупок'!$B465,'СТ Криптовалюта'!B:C,2,0))</f>
        <v/>
      </c>
      <c r="E465" s="68" t="str">
        <f t="shared" si="35"/>
        <v/>
      </c>
      <c r="F465" s="70"/>
      <c r="G465" s="71"/>
      <c r="H465" s="71"/>
      <c r="I465" s="71" t="str">
        <f t="shared" si="36"/>
        <v/>
      </c>
      <c r="J465" s="71" t="e">
        <f ca="1">IFERROR(__xludf.DUMMYFUNCTION("IF(I465="""","""",IMPORTXML(""http://www.cbr.ru/scripts/XML_daily.asp?date_req=""&amp;TEXT(A465,""DD/MM/YYYY""), ""//ValCurs/Valute[CharCode=""""USD""""]/Value"")*I465)"),"")</f>
        <v>#NAME?</v>
      </c>
      <c r="K465" s="71"/>
      <c r="L465" s="71"/>
      <c r="M465" s="71"/>
      <c r="N465" s="71" t="str">
        <f ca="1">IF(H465="","",IF(D465="usdt",H465,IF(C465="Binance",VLOOKUP(E465,'Курсы Бинанса'!B:C,2,FALSE),IF(C465="bybit",VLOOKUP(E465,'Курсы Bybit'!B:C,2,FALSE),IF(C465="OKX",VLOOKUP(E465,'Курсы OKX'!A:D,4,FALSE),IF(C465="huobi",VLOOKUP(E465,'Курсы Huobi'!B:C,2,FALSE),"! укажите биржу"))))))</f>
        <v/>
      </c>
      <c r="O465" s="71" t="str">
        <f t="shared" si="37"/>
        <v/>
      </c>
      <c r="P465" s="71" t="str">
        <f t="shared" si="38"/>
        <v/>
      </c>
      <c r="Q465" s="75" t="str">
        <f t="shared" si="39"/>
        <v/>
      </c>
      <c r="R465" s="76"/>
    </row>
    <row r="466" spans="1:18" ht="14.25" customHeight="1">
      <c r="A466" s="67"/>
      <c r="B466" s="68"/>
      <c r="C466" s="69"/>
      <c r="D466" s="69" t="str">
        <f ca="1">IF(B466="","",VLOOKUP('Журнал Закупок'!$B466,'СТ Криптовалюта'!B:C,2,0))</f>
        <v/>
      </c>
      <c r="E466" s="68" t="str">
        <f t="shared" si="35"/>
        <v/>
      </c>
      <c r="F466" s="70"/>
      <c r="G466" s="71"/>
      <c r="H466" s="71"/>
      <c r="I466" s="71" t="str">
        <f t="shared" si="36"/>
        <v/>
      </c>
      <c r="J466" s="71" t="e">
        <f ca="1">IFERROR(__xludf.DUMMYFUNCTION("IF(I466="""","""",IMPORTXML(""http://www.cbr.ru/scripts/XML_daily.asp?date_req=""&amp;TEXT(A466,""DD/MM/YYYY""), ""//ValCurs/Valute[CharCode=""""USD""""]/Value"")*I466)"),"")</f>
        <v>#NAME?</v>
      </c>
      <c r="K466" s="71"/>
      <c r="L466" s="71"/>
      <c r="M466" s="71"/>
      <c r="N466" s="71" t="str">
        <f ca="1">IF(H466="","",IF(D466="usdt",H466,IF(C466="Binance",VLOOKUP(E466,'Курсы Бинанса'!B:C,2,FALSE),IF(C466="bybit",VLOOKUP(E466,'Курсы Bybit'!B:C,2,FALSE),IF(C466="OKX",VLOOKUP(E466,'Курсы OKX'!A:D,4,FALSE),IF(C466="huobi",VLOOKUP(E466,'Курсы Huobi'!B:C,2,FALSE),"! укажите биржу"))))))</f>
        <v/>
      </c>
      <c r="O466" s="71" t="str">
        <f t="shared" si="37"/>
        <v/>
      </c>
      <c r="P466" s="71" t="str">
        <f t="shared" si="38"/>
        <v/>
      </c>
      <c r="Q466" s="75" t="str">
        <f t="shared" si="39"/>
        <v/>
      </c>
      <c r="R466" s="76"/>
    </row>
    <row r="467" spans="1:18" ht="14.25" customHeight="1">
      <c r="A467" s="67"/>
      <c r="B467" s="68"/>
      <c r="C467" s="69"/>
      <c r="D467" s="69" t="str">
        <f ca="1">IF(B467="","",VLOOKUP('Журнал Закупок'!$B467,'СТ Криптовалюта'!B:C,2,0))</f>
        <v/>
      </c>
      <c r="E467" s="68" t="str">
        <f t="shared" si="35"/>
        <v/>
      </c>
      <c r="F467" s="70"/>
      <c r="G467" s="71"/>
      <c r="H467" s="71"/>
      <c r="I467" s="71" t="str">
        <f t="shared" si="36"/>
        <v/>
      </c>
      <c r="J467" s="71" t="e">
        <f ca="1">IFERROR(__xludf.DUMMYFUNCTION("IF(I467="""","""",IMPORTXML(""http://www.cbr.ru/scripts/XML_daily.asp?date_req=""&amp;TEXT(A467,""DD/MM/YYYY""), ""//ValCurs/Valute[CharCode=""""USD""""]/Value"")*I467)"),"")</f>
        <v>#NAME?</v>
      </c>
      <c r="K467" s="71"/>
      <c r="L467" s="71"/>
      <c r="M467" s="71"/>
      <c r="N467" s="71" t="str">
        <f ca="1">IF(H467="","",IF(D467="usdt",H467,IF(C467="Binance",VLOOKUP(E467,'Курсы Бинанса'!B:C,2,FALSE),IF(C467="bybit",VLOOKUP(E467,'Курсы Bybit'!B:C,2,FALSE),IF(C467="OKX",VLOOKUP(E467,'Курсы OKX'!A:D,4,FALSE),IF(C467="huobi",VLOOKUP(E467,'Курсы Huobi'!B:C,2,FALSE),"! укажите биржу"))))))</f>
        <v/>
      </c>
      <c r="O467" s="71" t="str">
        <f t="shared" si="37"/>
        <v/>
      </c>
      <c r="P467" s="71" t="str">
        <f t="shared" si="38"/>
        <v/>
      </c>
      <c r="Q467" s="75" t="str">
        <f t="shared" si="39"/>
        <v/>
      </c>
      <c r="R467" s="76"/>
    </row>
    <row r="468" spans="1:18" ht="14.25" customHeight="1">
      <c r="A468" s="67"/>
      <c r="B468" s="68"/>
      <c r="C468" s="69"/>
      <c r="D468" s="69" t="str">
        <f ca="1">IF(B468="","",VLOOKUP('Журнал Закупок'!$B468,'СТ Криптовалюта'!B:C,2,0))</f>
        <v/>
      </c>
      <c r="E468" s="68" t="str">
        <f t="shared" si="35"/>
        <v/>
      </c>
      <c r="F468" s="70"/>
      <c r="G468" s="71"/>
      <c r="H468" s="71"/>
      <c r="I468" s="71" t="str">
        <f t="shared" si="36"/>
        <v/>
      </c>
      <c r="J468" s="71" t="e">
        <f ca="1">IFERROR(__xludf.DUMMYFUNCTION("IF(I468="""","""",IMPORTXML(""http://www.cbr.ru/scripts/XML_daily.asp?date_req=""&amp;TEXT(A468,""DD/MM/YYYY""), ""//ValCurs/Valute[CharCode=""""USD""""]/Value"")*I468)"),"")</f>
        <v>#NAME?</v>
      </c>
      <c r="K468" s="71"/>
      <c r="L468" s="71"/>
      <c r="M468" s="71"/>
      <c r="N468" s="71" t="str">
        <f ca="1">IF(H468="","",IF(D468="usdt",H468,IF(C468="Binance",VLOOKUP(E468,'Курсы Бинанса'!B:C,2,FALSE),IF(C468="bybit",VLOOKUP(E468,'Курсы Bybit'!B:C,2,FALSE),IF(C468="OKX",VLOOKUP(E468,'Курсы OKX'!A:D,4,FALSE),IF(C468="huobi",VLOOKUP(E468,'Курсы Huobi'!B:C,2,FALSE),"! укажите биржу"))))))</f>
        <v/>
      </c>
      <c r="O468" s="71" t="str">
        <f t="shared" si="37"/>
        <v/>
      </c>
      <c r="P468" s="71" t="str">
        <f t="shared" si="38"/>
        <v/>
      </c>
      <c r="Q468" s="75" t="str">
        <f t="shared" si="39"/>
        <v/>
      </c>
      <c r="R468" s="76"/>
    </row>
    <row r="469" spans="1:18" ht="14.25" customHeight="1">
      <c r="A469" s="67"/>
      <c r="B469" s="68"/>
      <c r="C469" s="69"/>
      <c r="D469" s="69" t="str">
        <f ca="1">IF(B469="","",VLOOKUP('Журнал Закупок'!$B469,'СТ Криптовалюта'!B:C,2,0))</f>
        <v/>
      </c>
      <c r="E469" s="68" t="str">
        <f t="shared" si="35"/>
        <v/>
      </c>
      <c r="F469" s="70"/>
      <c r="G469" s="71"/>
      <c r="H469" s="71"/>
      <c r="I469" s="71" t="str">
        <f t="shared" si="36"/>
        <v/>
      </c>
      <c r="J469" s="71" t="e">
        <f ca="1">IFERROR(__xludf.DUMMYFUNCTION("IF(I469="""","""",IMPORTXML(""http://www.cbr.ru/scripts/XML_daily.asp?date_req=""&amp;TEXT(A469,""DD/MM/YYYY""), ""//ValCurs/Valute[CharCode=""""USD""""]/Value"")*I469)"),"")</f>
        <v>#NAME?</v>
      </c>
      <c r="K469" s="71"/>
      <c r="L469" s="71"/>
      <c r="M469" s="71"/>
      <c r="N469" s="71" t="str">
        <f ca="1">IF(H469="","",IF(D469="usdt",H469,IF(C469="Binance",VLOOKUP(E469,'Курсы Бинанса'!B:C,2,FALSE),IF(C469="bybit",VLOOKUP(E469,'Курсы Bybit'!B:C,2,FALSE),IF(C469="OKX",VLOOKUP(E469,'Курсы OKX'!A:D,4,FALSE),IF(C469="huobi",VLOOKUP(E469,'Курсы Huobi'!B:C,2,FALSE),"! укажите биржу"))))))</f>
        <v/>
      </c>
      <c r="O469" s="71" t="str">
        <f t="shared" si="37"/>
        <v/>
      </c>
      <c r="P469" s="71" t="str">
        <f t="shared" si="38"/>
        <v/>
      </c>
      <c r="Q469" s="75" t="str">
        <f t="shared" si="39"/>
        <v/>
      </c>
      <c r="R469" s="76"/>
    </row>
    <row r="470" spans="1:18" ht="14.25" customHeight="1">
      <c r="A470" s="67"/>
      <c r="B470" s="68"/>
      <c r="C470" s="69"/>
      <c r="D470" s="69" t="str">
        <f ca="1">IF(B470="","",VLOOKUP('Журнал Закупок'!$B470,'СТ Криптовалюта'!B:C,2,0))</f>
        <v/>
      </c>
      <c r="E470" s="68" t="str">
        <f t="shared" si="35"/>
        <v/>
      </c>
      <c r="F470" s="70"/>
      <c r="G470" s="71"/>
      <c r="H470" s="71"/>
      <c r="I470" s="71" t="str">
        <f t="shared" si="36"/>
        <v/>
      </c>
      <c r="J470" s="71" t="e">
        <f ca="1">IFERROR(__xludf.DUMMYFUNCTION("IF(I470="""","""",IMPORTXML(""http://www.cbr.ru/scripts/XML_daily.asp?date_req=""&amp;TEXT(A470,""DD/MM/YYYY""), ""//ValCurs/Valute[CharCode=""""USD""""]/Value"")*I470)"),"")</f>
        <v>#NAME?</v>
      </c>
      <c r="K470" s="71"/>
      <c r="L470" s="71"/>
      <c r="M470" s="71"/>
      <c r="N470" s="71" t="str">
        <f ca="1">IF(H470="","",IF(D470="usdt",H470,IF(C470="Binance",VLOOKUP(E470,'Курсы Бинанса'!B:C,2,FALSE),IF(C470="bybit",VLOOKUP(E470,'Курсы Bybit'!B:C,2,FALSE),IF(C470="OKX",VLOOKUP(E470,'Курсы OKX'!A:D,4,FALSE),IF(C470="huobi",VLOOKUP(E470,'Курсы Huobi'!B:C,2,FALSE),"! укажите биржу"))))))</f>
        <v/>
      </c>
      <c r="O470" s="71" t="str">
        <f t="shared" si="37"/>
        <v/>
      </c>
      <c r="P470" s="71" t="str">
        <f t="shared" si="38"/>
        <v/>
      </c>
      <c r="Q470" s="75" t="str">
        <f t="shared" si="39"/>
        <v/>
      </c>
      <c r="R470" s="76"/>
    </row>
    <row r="471" spans="1:18" ht="14.25" customHeight="1">
      <c r="A471" s="67"/>
      <c r="B471" s="68"/>
      <c r="C471" s="69"/>
      <c r="D471" s="69" t="str">
        <f ca="1">IF(B471="","",VLOOKUP('Журнал Закупок'!$B471,'СТ Криптовалюта'!B:C,2,0))</f>
        <v/>
      </c>
      <c r="E471" s="68" t="str">
        <f t="shared" si="35"/>
        <v/>
      </c>
      <c r="F471" s="70"/>
      <c r="G471" s="71"/>
      <c r="H471" s="71"/>
      <c r="I471" s="71" t="str">
        <f t="shared" si="36"/>
        <v/>
      </c>
      <c r="J471" s="71" t="e">
        <f ca="1">IFERROR(__xludf.DUMMYFUNCTION("IF(I471="""","""",IMPORTXML(""http://www.cbr.ru/scripts/XML_daily.asp?date_req=""&amp;TEXT(A471,""DD/MM/YYYY""), ""//ValCurs/Valute[CharCode=""""USD""""]/Value"")*I471)"),"")</f>
        <v>#NAME?</v>
      </c>
      <c r="K471" s="71"/>
      <c r="L471" s="71"/>
      <c r="M471" s="71"/>
      <c r="N471" s="71" t="str">
        <f ca="1">IF(H471="","",IF(D471="usdt",H471,IF(C471="Binance",VLOOKUP(E471,'Курсы Бинанса'!B:C,2,FALSE),IF(C471="bybit",VLOOKUP(E471,'Курсы Bybit'!B:C,2,FALSE),IF(C471="OKX",VLOOKUP(E471,'Курсы OKX'!A:D,4,FALSE),IF(C471="huobi",VLOOKUP(E471,'Курсы Huobi'!B:C,2,FALSE),"! укажите биржу"))))))</f>
        <v/>
      </c>
      <c r="O471" s="71" t="str">
        <f t="shared" si="37"/>
        <v/>
      </c>
      <c r="P471" s="71" t="str">
        <f t="shared" si="38"/>
        <v/>
      </c>
      <c r="Q471" s="75" t="str">
        <f t="shared" si="39"/>
        <v/>
      </c>
      <c r="R471" s="76"/>
    </row>
    <row r="472" spans="1:18" ht="14.25" customHeight="1">
      <c r="A472" s="67"/>
      <c r="B472" s="68"/>
      <c r="C472" s="69"/>
      <c r="D472" s="69" t="str">
        <f ca="1">IF(B472="","",VLOOKUP('Журнал Закупок'!$B472,'СТ Криптовалюта'!B:C,2,0))</f>
        <v/>
      </c>
      <c r="E472" s="68" t="str">
        <f t="shared" si="35"/>
        <v/>
      </c>
      <c r="F472" s="70"/>
      <c r="G472" s="71"/>
      <c r="H472" s="71"/>
      <c r="I472" s="71" t="str">
        <f t="shared" si="36"/>
        <v/>
      </c>
      <c r="J472" s="71" t="e">
        <f ca="1">IFERROR(__xludf.DUMMYFUNCTION("IF(I472="""","""",IMPORTXML(""http://www.cbr.ru/scripts/XML_daily.asp?date_req=""&amp;TEXT(A472,""DD/MM/YYYY""), ""//ValCurs/Valute[CharCode=""""USD""""]/Value"")*I472)"),"")</f>
        <v>#NAME?</v>
      </c>
      <c r="K472" s="71"/>
      <c r="L472" s="71"/>
      <c r="M472" s="71"/>
      <c r="N472" s="71" t="str">
        <f ca="1">IF(H472="","",IF(D472="usdt",H472,IF(C472="Binance",VLOOKUP(E472,'Курсы Бинанса'!B:C,2,FALSE),IF(C472="bybit",VLOOKUP(E472,'Курсы Bybit'!B:C,2,FALSE),IF(C472="OKX",VLOOKUP(E472,'Курсы OKX'!A:D,4,FALSE),IF(C472="huobi",VLOOKUP(E472,'Курсы Huobi'!B:C,2,FALSE),"! укажите биржу"))))))</f>
        <v/>
      </c>
      <c r="O472" s="71" t="str">
        <f t="shared" si="37"/>
        <v/>
      </c>
      <c r="P472" s="71" t="str">
        <f t="shared" si="38"/>
        <v/>
      </c>
      <c r="Q472" s="75" t="str">
        <f t="shared" si="39"/>
        <v/>
      </c>
      <c r="R472" s="76"/>
    </row>
    <row r="473" spans="1:18" ht="14.25" customHeight="1">
      <c r="A473" s="67"/>
      <c r="B473" s="68"/>
      <c r="C473" s="69"/>
      <c r="D473" s="69" t="str">
        <f ca="1">IF(B473="","",VLOOKUP('Журнал Закупок'!$B473,'СТ Криптовалюта'!B:C,2,0))</f>
        <v/>
      </c>
      <c r="E473" s="68" t="str">
        <f t="shared" si="35"/>
        <v/>
      </c>
      <c r="F473" s="70"/>
      <c r="G473" s="71"/>
      <c r="H473" s="71"/>
      <c r="I473" s="71" t="str">
        <f t="shared" si="36"/>
        <v/>
      </c>
      <c r="J473" s="71" t="e">
        <f ca="1">IFERROR(__xludf.DUMMYFUNCTION("IF(I473="""","""",IMPORTXML(""http://www.cbr.ru/scripts/XML_daily.asp?date_req=""&amp;TEXT(A473,""DD/MM/YYYY""), ""//ValCurs/Valute[CharCode=""""USD""""]/Value"")*I473)"),"")</f>
        <v>#NAME?</v>
      </c>
      <c r="K473" s="71"/>
      <c r="L473" s="71"/>
      <c r="M473" s="71"/>
      <c r="N473" s="71" t="str">
        <f ca="1">IF(H473="","",IF(D473="usdt",H473,IF(C473="Binance",VLOOKUP(E473,'Курсы Бинанса'!B:C,2,FALSE),IF(C473="bybit",VLOOKUP(E473,'Курсы Bybit'!B:C,2,FALSE),IF(C473="OKX",VLOOKUP(E473,'Курсы OKX'!A:D,4,FALSE),IF(C473="huobi",VLOOKUP(E473,'Курсы Huobi'!B:C,2,FALSE),"! укажите биржу"))))))</f>
        <v/>
      </c>
      <c r="O473" s="71" t="str">
        <f t="shared" si="37"/>
        <v/>
      </c>
      <c r="P473" s="71" t="str">
        <f t="shared" si="38"/>
        <v/>
      </c>
      <c r="Q473" s="75" t="str">
        <f t="shared" si="39"/>
        <v/>
      </c>
      <c r="R473" s="76"/>
    </row>
    <row r="474" spans="1:18" ht="14.25" customHeight="1">
      <c r="A474" s="67"/>
      <c r="B474" s="68"/>
      <c r="C474" s="69"/>
      <c r="D474" s="69" t="str">
        <f ca="1">IF(B474="","",VLOOKUP('Журнал Закупок'!$B474,'СТ Криптовалюта'!B:C,2,0))</f>
        <v/>
      </c>
      <c r="E474" s="68" t="str">
        <f t="shared" si="35"/>
        <v/>
      </c>
      <c r="F474" s="70"/>
      <c r="G474" s="71"/>
      <c r="H474" s="71"/>
      <c r="I474" s="71" t="str">
        <f t="shared" si="36"/>
        <v/>
      </c>
      <c r="J474" s="71" t="e">
        <f ca="1">IFERROR(__xludf.DUMMYFUNCTION("IF(I474="""","""",IMPORTXML(""http://www.cbr.ru/scripts/XML_daily.asp?date_req=""&amp;TEXT(A474,""DD/MM/YYYY""), ""//ValCurs/Valute[CharCode=""""USD""""]/Value"")*I474)"),"")</f>
        <v>#NAME?</v>
      </c>
      <c r="K474" s="71"/>
      <c r="L474" s="71"/>
      <c r="M474" s="71"/>
      <c r="N474" s="71" t="str">
        <f ca="1">IF(H474="","",IF(D474="usdt",H474,IF(C474="Binance",VLOOKUP(E474,'Курсы Бинанса'!B:C,2,FALSE),IF(C474="bybit",VLOOKUP(E474,'Курсы Bybit'!B:C,2,FALSE),IF(C474="OKX",VLOOKUP(E474,'Курсы OKX'!A:D,4,FALSE),IF(C474="huobi",VLOOKUP(E474,'Курсы Huobi'!B:C,2,FALSE),"! укажите биржу"))))))</f>
        <v/>
      </c>
      <c r="O474" s="71" t="str">
        <f t="shared" si="37"/>
        <v/>
      </c>
      <c r="P474" s="71" t="str">
        <f t="shared" si="38"/>
        <v/>
      </c>
      <c r="Q474" s="75" t="str">
        <f t="shared" si="39"/>
        <v/>
      </c>
      <c r="R474" s="76"/>
    </row>
    <row r="475" spans="1:18" ht="14.25" customHeight="1">
      <c r="A475" s="67"/>
      <c r="B475" s="68"/>
      <c r="C475" s="69"/>
      <c r="D475" s="69" t="str">
        <f ca="1">IF(B475="","",VLOOKUP('Журнал Закупок'!$B475,'СТ Криптовалюта'!B:C,2,0))</f>
        <v/>
      </c>
      <c r="E475" s="68" t="str">
        <f t="shared" si="35"/>
        <v/>
      </c>
      <c r="F475" s="70"/>
      <c r="G475" s="71"/>
      <c r="H475" s="71"/>
      <c r="I475" s="71" t="str">
        <f t="shared" si="36"/>
        <v/>
      </c>
      <c r="J475" s="71" t="e">
        <f ca="1">IFERROR(__xludf.DUMMYFUNCTION("IF(I475="""","""",IMPORTXML(""http://www.cbr.ru/scripts/XML_daily.asp?date_req=""&amp;TEXT(A475,""DD/MM/YYYY""), ""//ValCurs/Valute[CharCode=""""USD""""]/Value"")*I475)"),"")</f>
        <v>#NAME?</v>
      </c>
      <c r="K475" s="71"/>
      <c r="L475" s="71"/>
      <c r="M475" s="71"/>
      <c r="N475" s="71" t="str">
        <f ca="1">IF(H475="","",IF(D475="usdt",H475,IF(C475="Binance",VLOOKUP(E475,'Курсы Бинанса'!B:C,2,FALSE),IF(C475="bybit",VLOOKUP(E475,'Курсы Bybit'!B:C,2,FALSE),IF(C475="OKX",VLOOKUP(E475,'Курсы OKX'!A:D,4,FALSE),IF(C475="huobi",VLOOKUP(E475,'Курсы Huobi'!B:C,2,FALSE),"! укажите биржу"))))))</f>
        <v/>
      </c>
      <c r="O475" s="71" t="str">
        <f t="shared" si="37"/>
        <v/>
      </c>
      <c r="P475" s="71" t="str">
        <f t="shared" si="38"/>
        <v/>
      </c>
      <c r="Q475" s="75" t="str">
        <f t="shared" si="39"/>
        <v/>
      </c>
      <c r="R475" s="76"/>
    </row>
    <row r="476" spans="1:18" ht="14.25" customHeight="1">
      <c r="A476" s="67"/>
      <c r="B476" s="68"/>
      <c r="C476" s="69"/>
      <c r="D476" s="69" t="str">
        <f ca="1">IF(B476="","",VLOOKUP('Журнал Закупок'!$B476,'СТ Криптовалюта'!B:C,2,0))</f>
        <v/>
      </c>
      <c r="E476" s="68" t="str">
        <f t="shared" si="35"/>
        <v/>
      </c>
      <c r="F476" s="70"/>
      <c r="G476" s="71"/>
      <c r="H476" s="71"/>
      <c r="I476" s="71" t="str">
        <f t="shared" si="36"/>
        <v/>
      </c>
      <c r="J476" s="71" t="e">
        <f ca="1">IFERROR(__xludf.DUMMYFUNCTION("IF(I476="""","""",IMPORTXML(""http://www.cbr.ru/scripts/XML_daily.asp?date_req=""&amp;TEXT(A476,""DD/MM/YYYY""), ""//ValCurs/Valute[CharCode=""""USD""""]/Value"")*I476)"),"")</f>
        <v>#NAME?</v>
      </c>
      <c r="K476" s="71"/>
      <c r="L476" s="71"/>
      <c r="M476" s="71"/>
      <c r="N476" s="71" t="str">
        <f ca="1">IF(H476="","",IF(D476="usdt",H476,IF(C476="Binance",VLOOKUP(E476,'Курсы Бинанса'!B:C,2,FALSE),IF(C476="bybit",VLOOKUP(E476,'Курсы Bybit'!B:C,2,FALSE),IF(C476="OKX",VLOOKUP(E476,'Курсы OKX'!A:D,4,FALSE),IF(C476="huobi",VLOOKUP(E476,'Курсы Huobi'!B:C,2,FALSE),"! укажите биржу"))))))</f>
        <v/>
      </c>
      <c r="O476" s="71" t="str">
        <f t="shared" si="37"/>
        <v/>
      </c>
      <c r="P476" s="71" t="str">
        <f t="shared" si="38"/>
        <v/>
      </c>
      <c r="Q476" s="75" t="str">
        <f t="shared" si="39"/>
        <v/>
      </c>
      <c r="R476" s="76"/>
    </row>
    <row r="477" spans="1:18" ht="14.25" customHeight="1">
      <c r="A477" s="67"/>
      <c r="B477" s="68"/>
      <c r="C477" s="69"/>
      <c r="D477" s="69" t="str">
        <f ca="1">IF(B477="","",VLOOKUP('Журнал Закупок'!$B477,'СТ Криптовалюта'!B:C,2,0))</f>
        <v/>
      </c>
      <c r="E477" s="68" t="str">
        <f t="shared" si="35"/>
        <v/>
      </c>
      <c r="F477" s="70"/>
      <c r="G477" s="71"/>
      <c r="H477" s="71"/>
      <c r="I477" s="71" t="str">
        <f t="shared" si="36"/>
        <v/>
      </c>
      <c r="J477" s="71" t="e">
        <f ca="1">IFERROR(__xludf.DUMMYFUNCTION("IF(I477="""","""",IMPORTXML(""http://www.cbr.ru/scripts/XML_daily.asp?date_req=""&amp;TEXT(A477,""DD/MM/YYYY""), ""//ValCurs/Valute[CharCode=""""USD""""]/Value"")*I477)"),"")</f>
        <v>#NAME?</v>
      </c>
      <c r="K477" s="71"/>
      <c r="L477" s="71"/>
      <c r="M477" s="71"/>
      <c r="N477" s="71" t="str">
        <f ca="1">IF(H477="","",IF(D477="usdt",H477,IF(C477="Binance",VLOOKUP(E477,'Курсы Бинанса'!B:C,2,FALSE),IF(C477="bybit",VLOOKUP(E477,'Курсы Bybit'!B:C,2,FALSE),IF(C477="OKX",VLOOKUP(E477,'Курсы OKX'!A:D,4,FALSE),IF(C477="huobi",VLOOKUP(E477,'Курсы Huobi'!B:C,2,FALSE),"! укажите биржу"))))))</f>
        <v/>
      </c>
      <c r="O477" s="71" t="str">
        <f t="shared" si="37"/>
        <v/>
      </c>
      <c r="P477" s="71" t="str">
        <f t="shared" si="38"/>
        <v/>
      </c>
      <c r="Q477" s="75" t="str">
        <f t="shared" si="39"/>
        <v/>
      </c>
      <c r="R477" s="76"/>
    </row>
    <row r="478" spans="1:18" ht="14.25" customHeight="1">
      <c r="A478" s="67"/>
      <c r="B478" s="68"/>
      <c r="C478" s="69"/>
      <c r="D478" s="69" t="str">
        <f ca="1">IF(B478="","",VLOOKUP('Журнал Закупок'!$B478,'СТ Криптовалюта'!B:C,2,0))</f>
        <v/>
      </c>
      <c r="E478" s="68" t="str">
        <f t="shared" si="35"/>
        <v/>
      </c>
      <c r="F478" s="70"/>
      <c r="G478" s="71"/>
      <c r="H478" s="71"/>
      <c r="I478" s="71" t="str">
        <f t="shared" si="36"/>
        <v/>
      </c>
      <c r="J478" s="71" t="e">
        <f ca="1">IFERROR(__xludf.DUMMYFUNCTION("IF(I478="""","""",IMPORTXML(""http://www.cbr.ru/scripts/XML_daily.asp?date_req=""&amp;TEXT(A478,""DD/MM/YYYY""), ""//ValCurs/Valute[CharCode=""""USD""""]/Value"")*I478)"),"")</f>
        <v>#NAME?</v>
      </c>
      <c r="K478" s="71"/>
      <c r="L478" s="71"/>
      <c r="M478" s="71"/>
      <c r="N478" s="71" t="str">
        <f ca="1">IF(H478="","",IF(D478="usdt",H478,IF(C478="Binance",VLOOKUP(E478,'Курсы Бинанса'!B:C,2,FALSE),IF(C478="bybit",VLOOKUP(E478,'Курсы Bybit'!B:C,2,FALSE),IF(C478="OKX",VLOOKUP(E478,'Курсы OKX'!A:D,4,FALSE),IF(C478="huobi",VLOOKUP(E478,'Курсы Huobi'!B:C,2,FALSE),"! укажите биржу"))))))</f>
        <v/>
      </c>
      <c r="O478" s="71" t="str">
        <f t="shared" si="37"/>
        <v/>
      </c>
      <c r="P478" s="71" t="str">
        <f t="shared" si="38"/>
        <v/>
      </c>
      <c r="Q478" s="75" t="str">
        <f t="shared" si="39"/>
        <v/>
      </c>
      <c r="R478" s="76"/>
    </row>
    <row r="479" spans="1:18" ht="14.25" customHeight="1">
      <c r="A479" s="67"/>
      <c r="B479" s="68"/>
      <c r="C479" s="69"/>
      <c r="D479" s="69" t="str">
        <f ca="1">IF(B479="","",VLOOKUP('Журнал Закупок'!$B479,'СТ Криптовалюта'!B:C,2,0))</f>
        <v/>
      </c>
      <c r="E479" s="68" t="str">
        <f t="shared" si="35"/>
        <v/>
      </c>
      <c r="F479" s="70"/>
      <c r="G479" s="71"/>
      <c r="H479" s="71"/>
      <c r="I479" s="71" t="str">
        <f t="shared" si="36"/>
        <v/>
      </c>
      <c r="J479" s="71" t="e">
        <f ca="1">IFERROR(__xludf.DUMMYFUNCTION("IF(I479="""","""",IMPORTXML(""http://www.cbr.ru/scripts/XML_daily.asp?date_req=""&amp;TEXT(A479,""DD/MM/YYYY""), ""//ValCurs/Valute[CharCode=""""USD""""]/Value"")*I479)"),"")</f>
        <v>#NAME?</v>
      </c>
      <c r="K479" s="71"/>
      <c r="L479" s="71"/>
      <c r="M479" s="71"/>
      <c r="N479" s="71" t="str">
        <f ca="1">IF(H479="","",IF(D479="usdt",H479,IF(C479="Binance",VLOOKUP(E479,'Курсы Бинанса'!B:C,2,FALSE),IF(C479="bybit",VLOOKUP(E479,'Курсы Bybit'!B:C,2,FALSE),IF(C479="OKX",VLOOKUP(E479,'Курсы OKX'!A:D,4,FALSE),IF(C479="huobi",VLOOKUP(E479,'Курсы Huobi'!B:C,2,FALSE),"! укажите биржу"))))))</f>
        <v/>
      </c>
      <c r="O479" s="71" t="str">
        <f t="shared" si="37"/>
        <v/>
      </c>
      <c r="P479" s="71" t="str">
        <f t="shared" si="38"/>
        <v/>
      </c>
      <c r="Q479" s="75" t="str">
        <f t="shared" si="39"/>
        <v/>
      </c>
      <c r="R479" s="76"/>
    </row>
    <row r="480" spans="1:18" ht="14.25" customHeight="1">
      <c r="A480" s="67"/>
      <c r="B480" s="68"/>
      <c r="C480" s="69"/>
      <c r="D480" s="69" t="str">
        <f ca="1">IF(B480="","",VLOOKUP('Журнал Закупок'!$B480,'СТ Криптовалюта'!B:C,2,0))</f>
        <v/>
      </c>
      <c r="E480" s="68" t="str">
        <f t="shared" si="35"/>
        <v/>
      </c>
      <c r="F480" s="70"/>
      <c r="G480" s="71"/>
      <c r="H480" s="71"/>
      <c r="I480" s="71" t="str">
        <f t="shared" si="36"/>
        <v/>
      </c>
      <c r="J480" s="71" t="e">
        <f ca="1">IFERROR(__xludf.DUMMYFUNCTION("IF(I480="""","""",IMPORTXML(""http://www.cbr.ru/scripts/XML_daily.asp?date_req=""&amp;TEXT(A480,""DD/MM/YYYY""), ""//ValCurs/Valute[CharCode=""""USD""""]/Value"")*I480)"),"")</f>
        <v>#NAME?</v>
      </c>
      <c r="K480" s="71"/>
      <c r="L480" s="71"/>
      <c r="M480" s="71"/>
      <c r="N480" s="71" t="str">
        <f ca="1">IF(H480="","",IF(D480="usdt",H480,IF(C480="Binance",VLOOKUP(E480,'Курсы Бинанса'!B:C,2,FALSE),IF(C480="bybit",VLOOKUP(E480,'Курсы Bybit'!B:C,2,FALSE),IF(C480="OKX",VLOOKUP(E480,'Курсы OKX'!A:D,4,FALSE),IF(C480="huobi",VLOOKUP(E480,'Курсы Huobi'!B:C,2,FALSE),"! укажите биржу"))))))</f>
        <v/>
      </c>
      <c r="O480" s="71" t="str">
        <f t="shared" si="37"/>
        <v/>
      </c>
      <c r="P480" s="71" t="str">
        <f t="shared" si="38"/>
        <v/>
      </c>
      <c r="Q480" s="75" t="str">
        <f t="shared" si="39"/>
        <v/>
      </c>
      <c r="R480" s="76"/>
    </row>
    <row r="481" spans="1:18" ht="14.25" customHeight="1">
      <c r="A481" s="67"/>
      <c r="B481" s="68"/>
      <c r="C481" s="69"/>
      <c r="D481" s="69" t="str">
        <f ca="1">IF(B481="","",VLOOKUP('Журнал Закупок'!$B481,'СТ Криптовалюта'!B:C,2,0))</f>
        <v/>
      </c>
      <c r="E481" s="68" t="str">
        <f t="shared" si="35"/>
        <v/>
      </c>
      <c r="F481" s="70"/>
      <c r="G481" s="71"/>
      <c r="H481" s="71"/>
      <c r="I481" s="71" t="str">
        <f t="shared" si="36"/>
        <v/>
      </c>
      <c r="J481" s="71" t="e">
        <f ca="1">IFERROR(__xludf.DUMMYFUNCTION("IF(I481="""","""",IMPORTXML(""http://www.cbr.ru/scripts/XML_daily.asp?date_req=""&amp;TEXT(A481,""DD/MM/YYYY""), ""//ValCurs/Valute[CharCode=""""USD""""]/Value"")*I481)"),"")</f>
        <v>#NAME?</v>
      </c>
      <c r="K481" s="71"/>
      <c r="L481" s="71"/>
      <c r="M481" s="71"/>
      <c r="N481" s="71" t="str">
        <f ca="1">IF(H481="","",IF(D481="usdt",H481,IF(C481="Binance",VLOOKUP(E481,'Курсы Бинанса'!B:C,2,FALSE),IF(C481="bybit",VLOOKUP(E481,'Курсы Bybit'!B:C,2,FALSE),IF(C481="OKX",VLOOKUP(E481,'Курсы OKX'!A:D,4,FALSE),IF(C481="huobi",VLOOKUP(E481,'Курсы Huobi'!B:C,2,FALSE),"! укажите биржу"))))))</f>
        <v/>
      </c>
      <c r="O481" s="71" t="str">
        <f t="shared" si="37"/>
        <v/>
      </c>
      <c r="P481" s="71" t="str">
        <f t="shared" si="38"/>
        <v/>
      </c>
      <c r="Q481" s="75" t="str">
        <f t="shared" si="39"/>
        <v/>
      </c>
      <c r="R481" s="76"/>
    </row>
    <row r="482" spans="1:18" ht="14.25" customHeight="1">
      <c r="A482" s="67"/>
      <c r="B482" s="68"/>
      <c r="C482" s="69"/>
      <c r="D482" s="69" t="str">
        <f ca="1">IF(B482="","",VLOOKUP('Журнал Закупок'!$B482,'СТ Криптовалюта'!B:C,2,0))</f>
        <v/>
      </c>
      <c r="E482" s="68" t="str">
        <f t="shared" si="35"/>
        <v/>
      </c>
      <c r="F482" s="70"/>
      <c r="G482" s="71"/>
      <c r="H482" s="71"/>
      <c r="I482" s="71" t="str">
        <f t="shared" si="36"/>
        <v/>
      </c>
      <c r="J482" s="71" t="e">
        <f ca="1">IFERROR(__xludf.DUMMYFUNCTION("IF(I482="""","""",IMPORTXML(""http://www.cbr.ru/scripts/XML_daily.asp?date_req=""&amp;TEXT(A482,""DD/MM/YYYY""), ""//ValCurs/Valute[CharCode=""""USD""""]/Value"")*I482)"),"")</f>
        <v>#NAME?</v>
      </c>
      <c r="K482" s="71"/>
      <c r="L482" s="71"/>
      <c r="M482" s="71"/>
      <c r="N482" s="71" t="str">
        <f ca="1">IF(H482="","",IF(D482="usdt",H482,IF(C482="Binance",VLOOKUP(E482,'Курсы Бинанса'!B:C,2,FALSE),IF(C482="bybit",VLOOKUP(E482,'Курсы Bybit'!B:C,2,FALSE),IF(C482="OKX",VLOOKUP(E482,'Курсы OKX'!A:D,4,FALSE),IF(C482="huobi",VLOOKUP(E482,'Курсы Huobi'!B:C,2,FALSE),"! укажите биржу"))))))</f>
        <v/>
      </c>
      <c r="O482" s="71" t="str">
        <f t="shared" si="37"/>
        <v/>
      </c>
      <c r="P482" s="71" t="str">
        <f t="shared" si="38"/>
        <v/>
      </c>
      <c r="Q482" s="75" t="str">
        <f t="shared" si="39"/>
        <v/>
      </c>
      <c r="R482" s="76"/>
    </row>
    <row r="483" spans="1:18" ht="14.25" customHeight="1">
      <c r="A483" s="67"/>
      <c r="B483" s="68"/>
      <c r="C483" s="69"/>
      <c r="D483" s="69" t="str">
        <f ca="1">IF(B483="","",VLOOKUP('Журнал Закупок'!$B483,'СТ Криптовалюта'!B:C,2,0))</f>
        <v/>
      </c>
      <c r="E483" s="68" t="str">
        <f t="shared" si="35"/>
        <v/>
      </c>
      <c r="F483" s="70"/>
      <c r="G483" s="71"/>
      <c r="H483" s="71"/>
      <c r="I483" s="71" t="str">
        <f t="shared" si="36"/>
        <v/>
      </c>
      <c r="J483" s="71" t="e">
        <f ca="1">IFERROR(__xludf.DUMMYFUNCTION("IF(I483="""","""",IMPORTXML(""http://www.cbr.ru/scripts/XML_daily.asp?date_req=""&amp;TEXT(A483,""DD/MM/YYYY""), ""//ValCurs/Valute[CharCode=""""USD""""]/Value"")*I483)"),"")</f>
        <v>#NAME?</v>
      </c>
      <c r="K483" s="71"/>
      <c r="L483" s="71"/>
      <c r="M483" s="71"/>
      <c r="N483" s="71" t="str">
        <f ca="1">IF(H483="","",IF(D483="usdt",H483,IF(C483="Binance",VLOOKUP(E483,'Курсы Бинанса'!B:C,2,FALSE),IF(C483="bybit",VLOOKUP(E483,'Курсы Bybit'!B:C,2,FALSE),IF(C483="OKX",VLOOKUP(E483,'Курсы OKX'!A:D,4,FALSE),IF(C483="huobi",VLOOKUP(E483,'Курсы Huobi'!B:C,2,FALSE),"! укажите биржу"))))))</f>
        <v/>
      </c>
      <c r="O483" s="71" t="str">
        <f t="shared" si="37"/>
        <v/>
      </c>
      <c r="P483" s="71" t="str">
        <f t="shared" si="38"/>
        <v/>
      </c>
      <c r="Q483" s="75" t="str">
        <f t="shared" si="39"/>
        <v/>
      </c>
      <c r="R483" s="76"/>
    </row>
    <row r="484" spans="1:18" ht="14.25" customHeight="1">
      <c r="A484" s="67"/>
      <c r="B484" s="68"/>
      <c r="C484" s="69"/>
      <c r="D484" s="69" t="str">
        <f ca="1">IF(B484="","",VLOOKUP('Журнал Закупок'!$B484,'СТ Криптовалюта'!B:C,2,0))</f>
        <v/>
      </c>
      <c r="E484" s="68" t="str">
        <f t="shared" si="35"/>
        <v/>
      </c>
      <c r="F484" s="70"/>
      <c r="G484" s="71"/>
      <c r="H484" s="71"/>
      <c r="I484" s="71" t="str">
        <f t="shared" si="36"/>
        <v/>
      </c>
      <c r="J484" s="71" t="e">
        <f ca="1">IFERROR(__xludf.DUMMYFUNCTION("IF(I484="""","""",IMPORTXML(""http://www.cbr.ru/scripts/XML_daily.asp?date_req=""&amp;TEXT(A484,""DD/MM/YYYY""), ""//ValCurs/Valute[CharCode=""""USD""""]/Value"")*I484)"),"")</f>
        <v>#NAME?</v>
      </c>
      <c r="K484" s="71"/>
      <c r="L484" s="71"/>
      <c r="M484" s="71"/>
      <c r="N484" s="71" t="str">
        <f ca="1">IF(H484="","",IF(D484="usdt",H484,IF(C484="Binance",VLOOKUP(E484,'Курсы Бинанса'!B:C,2,FALSE),IF(C484="bybit",VLOOKUP(E484,'Курсы Bybit'!B:C,2,FALSE),IF(C484="OKX",VLOOKUP(E484,'Курсы OKX'!A:D,4,FALSE),IF(C484="huobi",VLOOKUP(E484,'Курсы Huobi'!B:C,2,FALSE),"! укажите биржу"))))))</f>
        <v/>
      </c>
      <c r="O484" s="71" t="str">
        <f t="shared" si="37"/>
        <v/>
      </c>
      <c r="P484" s="71" t="str">
        <f t="shared" si="38"/>
        <v/>
      </c>
      <c r="Q484" s="75" t="str">
        <f t="shared" si="39"/>
        <v/>
      </c>
      <c r="R484" s="76"/>
    </row>
    <row r="485" spans="1:18" ht="14.25" customHeight="1">
      <c r="A485" s="67"/>
      <c r="B485" s="68"/>
      <c r="C485" s="69"/>
      <c r="D485" s="69" t="str">
        <f ca="1">IF(B485="","",VLOOKUP('Журнал Закупок'!$B485,'СТ Криптовалюта'!B:C,2,0))</f>
        <v/>
      </c>
      <c r="E485" s="68" t="str">
        <f t="shared" si="35"/>
        <v/>
      </c>
      <c r="F485" s="70"/>
      <c r="G485" s="71"/>
      <c r="H485" s="71"/>
      <c r="I485" s="71" t="str">
        <f t="shared" si="36"/>
        <v/>
      </c>
      <c r="J485" s="71" t="e">
        <f ca="1">IFERROR(__xludf.DUMMYFUNCTION("IF(I485="""","""",IMPORTXML(""http://www.cbr.ru/scripts/XML_daily.asp?date_req=""&amp;TEXT(A485,""DD/MM/YYYY""), ""//ValCurs/Valute[CharCode=""""USD""""]/Value"")*I485)"),"")</f>
        <v>#NAME?</v>
      </c>
      <c r="K485" s="71"/>
      <c r="L485" s="71"/>
      <c r="M485" s="71"/>
      <c r="N485" s="71" t="str">
        <f ca="1">IF(H485="","",IF(D485="usdt",H485,IF(C485="Binance",VLOOKUP(E485,'Курсы Бинанса'!B:C,2,FALSE),IF(C485="bybit",VLOOKUP(E485,'Курсы Bybit'!B:C,2,FALSE),IF(C485="OKX",VLOOKUP(E485,'Курсы OKX'!A:D,4,FALSE),IF(C485="huobi",VLOOKUP(E485,'Курсы Huobi'!B:C,2,FALSE),"! укажите биржу"))))))</f>
        <v/>
      </c>
      <c r="O485" s="71" t="str">
        <f t="shared" si="37"/>
        <v/>
      </c>
      <c r="P485" s="71" t="str">
        <f t="shared" si="38"/>
        <v/>
      </c>
      <c r="Q485" s="75" t="str">
        <f t="shared" si="39"/>
        <v/>
      </c>
      <c r="R485" s="76"/>
    </row>
    <row r="486" spans="1:18" ht="14.25" customHeight="1">
      <c r="A486" s="67"/>
      <c r="B486" s="68"/>
      <c r="C486" s="69"/>
      <c r="D486" s="69" t="str">
        <f ca="1">IF(B486="","",VLOOKUP('Журнал Закупок'!$B486,'СТ Криптовалюта'!B:C,2,0))</f>
        <v/>
      </c>
      <c r="E486" s="68" t="str">
        <f t="shared" si="35"/>
        <v/>
      </c>
      <c r="F486" s="70"/>
      <c r="G486" s="71"/>
      <c r="H486" s="71"/>
      <c r="I486" s="71" t="str">
        <f t="shared" si="36"/>
        <v/>
      </c>
      <c r="J486" s="71" t="e">
        <f ca="1">IFERROR(__xludf.DUMMYFUNCTION("IF(I486="""","""",IMPORTXML(""http://www.cbr.ru/scripts/XML_daily.asp?date_req=""&amp;TEXT(A486,""DD/MM/YYYY""), ""//ValCurs/Valute[CharCode=""""USD""""]/Value"")*I486)"),"")</f>
        <v>#NAME?</v>
      </c>
      <c r="K486" s="71"/>
      <c r="L486" s="71"/>
      <c r="M486" s="71"/>
      <c r="N486" s="71" t="str">
        <f ca="1">IF(H486="","",IF(D486="usdt",H486,IF(C486="Binance",VLOOKUP(E486,'Курсы Бинанса'!B:C,2,FALSE),IF(C486="bybit",VLOOKUP(E486,'Курсы Bybit'!B:C,2,FALSE),IF(C486="OKX",VLOOKUP(E486,'Курсы OKX'!A:D,4,FALSE),IF(C486="huobi",VLOOKUP(E486,'Курсы Huobi'!B:C,2,FALSE),"! укажите биржу"))))))</f>
        <v/>
      </c>
      <c r="O486" s="71" t="str">
        <f t="shared" si="37"/>
        <v/>
      </c>
      <c r="P486" s="71" t="str">
        <f t="shared" si="38"/>
        <v/>
      </c>
      <c r="Q486" s="75" t="str">
        <f t="shared" si="39"/>
        <v/>
      </c>
      <c r="R486" s="76"/>
    </row>
    <row r="487" spans="1:18" ht="14.25" customHeight="1">
      <c r="A487" s="67"/>
      <c r="B487" s="68"/>
      <c r="C487" s="69"/>
      <c r="D487" s="69" t="str">
        <f ca="1">IF(B487="","",VLOOKUP('Журнал Закупок'!$B487,'СТ Криптовалюта'!B:C,2,0))</f>
        <v/>
      </c>
      <c r="E487" s="68" t="str">
        <f t="shared" si="35"/>
        <v/>
      </c>
      <c r="F487" s="70"/>
      <c r="G487" s="71"/>
      <c r="H487" s="71"/>
      <c r="I487" s="71" t="str">
        <f t="shared" si="36"/>
        <v/>
      </c>
      <c r="J487" s="71" t="e">
        <f ca="1">IFERROR(__xludf.DUMMYFUNCTION("IF(I487="""","""",IMPORTXML(""http://www.cbr.ru/scripts/XML_daily.asp?date_req=""&amp;TEXT(A487,""DD/MM/YYYY""), ""//ValCurs/Valute[CharCode=""""USD""""]/Value"")*I487)"),"")</f>
        <v>#NAME?</v>
      </c>
      <c r="K487" s="71"/>
      <c r="L487" s="71"/>
      <c r="M487" s="71"/>
      <c r="N487" s="71" t="str">
        <f ca="1">IF(H487="","",IF(D487="usdt",H487,IF(C487="Binance",VLOOKUP(E487,'Курсы Бинанса'!B:C,2,FALSE),IF(C487="bybit",VLOOKUP(E487,'Курсы Bybit'!B:C,2,FALSE),IF(C487="OKX",VLOOKUP(E487,'Курсы OKX'!A:D,4,FALSE),IF(C487="huobi",VLOOKUP(E487,'Курсы Huobi'!B:C,2,FALSE),"! укажите биржу"))))))</f>
        <v/>
      </c>
      <c r="O487" s="71" t="str">
        <f t="shared" si="37"/>
        <v/>
      </c>
      <c r="P487" s="71" t="str">
        <f t="shared" si="38"/>
        <v/>
      </c>
      <c r="Q487" s="75" t="str">
        <f t="shared" si="39"/>
        <v/>
      </c>
      <c r="R487" s="76"/>
    </row>
    <row r="488" spans="1:18" ht="14.25" customHeight="1">
      <c r="A488" s="67"/>
      <c r="B488" s="68"/>
      <c r="C488" s="69"/>
      <c r="D488" s="69" t="str">
        <f ca="1">IF(B488="","",VLOOKUP('Журнал Закупок'!$B488,'СТ Криптовалюта'!B:C,2,0))</f>
        <v/>
      </c>
      <c r="E488" s="68" t="str">
        <f t="shared" si="35"/>
        <v/>
      </c>
      <c r="F488" s="70"/>
      <c r="G488" s="71"/>
      <c r="H488" s="71"/>
      <c r="I488" s="71" t="str">
        <f t="shared" si="36"/>
        <v/>
      </c>
      <c r="J488" s="71" t="e">
        <f ca="1">IFERROR(__xludf.DUMMYFUNCTION("IF(I488="""","""",IMPORTXML(""http://www.cbr.ru/scripts/XML_daily.asp?date_req=""&amp;TEXT(A488,""DD/MM/YYYY""), ""//ValCurs/Valute[CharCode=""""USD""""]/Value"")*I488)"),"")</f>
        <v>#NAME?</v>
      </c>
      <c r="K488" s="71"/>
      <c r="L488" s="71"/>
      <c r="M488" s="71"/>
      <c r="N488" s="71" t="str">
        <f ca="1">IF(H488="","",IF(D488="usdt",H488,IF(C488="Binance",VLOOKUP(E488,'Курсы Бинанса'!B:C,2,FALSE),IF(C488="bybit",VLOOKUP(E488,'Курсы Bybit'!B:C,2,FALSE),IF(C488="OKX",VLOOKUP(E488,'Курсы OKX'!A:D,4,FALSE),IF(C488="huobi",VLOOKUP(E488,'Курсы Huobi'!B:C,2,FALSE),"! укажите биржу"))))))</f>
        <v/>
      </c>
      <c r="O488" s="71" t="str">
        <f t="shared" si="37"/>
        <v/>
      </c>
      <c r="P488" s="71" t="str">
        <f t="shared" si="38"/>
        <v/>
      </c>
      <c r="Q488" s="75" t="str">
        <f t="shared" si="39"/>
        <v/>
      </c>
      <c r="R488" s="76"/>
    </row>
    <row r="489" spans="1:18" ht="14.25" customHeight="1">
      <c r="A489" s="67"/>
      <c r="B489" s="68"/>
      <c r="C489" s="69"/>
      <c r="D489" s="69" t="str">
        <f ca="1">IF(B489="","",VLOOKUP('Журнал Закупок'!$B489,'СТ Криптовалюта'!B:C,2,0))</f>
        <v/>
      </c>
      <c r="E489" s="68" t="str">
        <f t="shared" si="35"/>
        <v/>
      </c>
      <c r="F489" s="70"/>
      <c r="G489" s="71"/>
      <c r="H489" s="71"/>
      <c r="I489" s="71" t="str">
        <f t="shared" si="36"/>
        <v/>
      </c>
      <c r="J489" s="71" t="e">
        <f ca="1">IFERROR(__xludf.DUMMYFUNCTION("IF(I489="""","""",IMPORTXML(""http://www.cbr.ru/scripts/XML_daily.asp?date_req=""&amp;TEXT(A489,""DD/MM/YYYY""), ""//ValCurs/Valute[CharCode=""""USD""""]/Value"")*I489)"),"")</f>
        <v>#NAME?</v>
      </c>
      <c r="K489" s="71"/>
      <c r="L489" s="71"/>
      <c r="M489" s="71"/>
      <c r="N489" s="71" t="str">
        <f ca="1">IF(H489="","",IF(D489="usdt",H489,IF(C489="Binance",VLOOKUP(E489,'Курсы Бинанса'!B:C,2,FALSE),IF(C489="bybit",VLOOKUP(E489,'Курсы Bybit'!B:C,2,FALSE),IF(C489="OKX",VLOOKUP(E489,'Курсы OKX'!A:D,4,FALSE),IF(C489="huobi",VLOOKUP(E489,'Курсы Huobi'!B:C,2,FALSE),"! укажите биржу"))))))</f>
        <v/>
      </c>
      <c r="O489" s="71" t="str">
        <f t="shared" si="37"/>
        <v/>
      </c>
      <c r="P489" s="71" t="str">
        <f t="shared" si="38"/>
        <v/>
      </c>
      <c r="Q489" s="75" t="str">
        <f t="shared" si="39"/>
        <v/>
      </c>
      <c r="R489" s="76"/>
    </row>
    <row r="490" spans="1:18" ht="14.25" customHeight="1">
      <c r="A490" s="67"/>
      <c r="B490" s="68"/>
      <c r="C490" s="69"/>
      <c r="D490" s="69" t="str">
        <f ca="1">IF(B490="","",VLOOKUP('Журнал Закупок'!$B490,'СТ Криптовалюта'!B:C,2,0))</f>
        <v/>
      </c>
      <c r="E490" s="68" t="str">
        <f t="shared" si="35"/>
        <v/>
      </c>
      <c r="F490" s="70"/>
      <c r="G490" s="71"/>
      <c r="H490" s="71"/>
      <c r="I490" s="71" t="str">
        <f t="shared" si="36"/>
        <v/>
      </c>
      <c r="J490" s="71" t="e">
        <f ca="1">IFERROR(__xludf.DUMMYFUNCTION("IF(I490="""","""",IMPORTXML(""http://www.cbr.ru/scripts/XML_daily.asp?date_req=""&amp;TEXT(A490,""DD/MM/YYYY""), ""//ValCurs/Valute[CharCode=""""USD""""]/Value"")*I490)"),"")</f>
        <v>#NAME?</v>
      </c>
      <c r="K490" s="71"/>
      <c r="L490" s="71"/>
      <c r="M490" s="71"/>
      <c r="N490" s="71" t="str">
        <f ca="1">IF(H490="","",IF(D490="usdt",H490,IF(C490="Binance",VLOOKUP(E490,'Курсы Бинанса'!B:C,2,FALSE),IF(C490="bybit",VLOOKUP(E490,'Курсы Bybit'!B:C,2,FALSE),IF(C490="OKX",VLOOKUP(E490,'Курсы OKX'!A:D,4,FALSE),IF(C490="huobi",VLOOKUP(E490,'Курсы Huobi'!B:C,2,FALSE),"! укажите биржу"))))))</f>
        <v/>
      </c>
      <c r="O490" s="71" t="str">
        <f t="shared" si="37"/>
        <v/>
      </c>
      <c r="P490" s="71" t="str">
        <f t="shared" si="38"/>
        <v/>
      </c>
      <c r="Q490" s="75" t="str">
        <f t="shared" si="39"/>
        <v/>
      </c>
      <c r="R490" s="76"/>
    </row>
    <row r="491" spans="1:18" ht="14.25" customHeight="1">
      <c r="A491" s="67"/>
      <c r="B491" s="68"/>
      <c r="C491" s="69"/>
      <c r="D491" s="69" t="str">
        <f ca="1">IF(B491="","",VLOOKUP('Журнал Закупок'!$B491,'СТ Криптовалюта'!B:C,2,0))</f>
        <v/>
      </c>
      <c r="E491" s="68" t="str">
        <f t="shared" si="35"/>
        <v/>
      </c>
      <c r="F491" s="70"/>
      <c r="G491" s="71"/>
      <c r="H491" s="71"/>
      <c r="I491" s="71" t="str">
        <f t="shared" si="36"/>
        <v/>
      </c>
      <c r="J491" s="71" t="e">
        <f ca="1">IFERROR(__xludf.DUMMYFUNCTION("IF(I491="""","""",IMPORTXML(""http://www.cbr.ru/scripts/XML_daily.asp?date_req=""&amp;TEXT(A491,""DD/MM/YYYY""), ""//ValCurs/Valute[CharCode=""""USD""""]/Value"")*I491)"),"")</f>
        <v>#NAME?</v>
      </c>
      <c r="K491" s="71"/>
      <c r="L491" s="71"/>
      <c r="M491" s="71"/>
      <c r="N491" s="71" t="str">
        <f ca="1">IF(H491="","",IF(D491="usdt",H491,IF(C491="Binance",VLOOKUP(E491,'Курсы Бинанса'!B:C,2,FALSE),IF(C491="bybit",VLOOKUP(E491,'Курсы Bybit'!B:C,2,FALSE),IF(C491="OKX",VLOOKUP(E491,'Курсы OKX'!A:D,4,FALSE),IF(C491="huobi",VLOOKUP(E491,'Курсы Huobi'!B:C,2,FALSE),"! укажите биржу"))))))</f>
        <v/>
      </c>
      <c r="O491" s="71" t="str">
        <f t="shared" si="37"/>
        <v/>
      </c>
      <c r="P491" s="71" t="str">
        <f t="shared" si="38"/>
        <v/>
      </c>
      <c r="Q491" s="75" t="str">
        <f t="shared" si="39"/>
        <v/>
      </c>
      <c r="R491" s="76"/>
    </row>
    <row r="492" spans="1:18" ht="14.25" customHeight="1">
      <c r="A492" s="67"/>
      <c r="B492" s="68"/>
      <c r="C492" s="69"/>
      <c r="D492" s="69" t="str">
        <f ca="1">IF(B492="","",VLOOKUP('Журнал Закупок'!$B492,'СТ Криптовалюта'!B:C,2,0))</f>
        <v/>
      </c>
      <c r="E492" s="68" t="str">
        <f t="shared" si="35"/>
        <v/>
      </c>
      <c r="F492" s="70"/>
      <c r="G492" s="71"/>
      <c r="H492" s="71"/>
      <c r="I492" s="71" t="str">
        <f t="shared" si="36"/>
        <v/>
      </c>
      <c r="J492" s="71" t="e">
        <f ca="1">IFERROR(__xludf.DUMMYFUNCTION("IF(I492="""","""",IMPORTXML(""http://www.cbr.ru/scripts/XML_daily.asp?date_req=""&amp;TEXT(A492,""DD/MM/YYYY""), ""//ValCurs/Valute[CharCode=""""USD""""]/Value"")*I492)"),"")</f>
        <v>#NAME?</v>
      </c>
      <c r="K492" s="71"/>
      <c r="L492" s="71"/>
      <c r="M492" s="71"/>
      <c r="N492" s="71" t="str">
        <f ca="1">IF(H492="","",IF(D492="usdt",H492,IF(C492="Binance",VLOOKUP(E492,'Курсы Бинанса'!B:C,2,FALSE),IF(C492="bybit",VLOOKUP(E492,'Курсы Bybit'!B:C,2,FALSE),IF(C492="OKX",VLOOKUP(E492,'Курсы OKX'!A:D,4,FALSE),IF(C492="huobi",VLOOKUP(E492,'Курсы Huobi'!B:C,2,FALSE),"! укажите биржу"))))))</f>
        <v/>
      </c>
      <c r="O492" s="71" t="str">
        <f t="shared" si="37"/>
        <v/>
      </c>
      <c r="P492" s="71" t="str">
        <f t="shared" si="38"/>
        <v/>
      </c>
      <c r="Q492" s="75" t="str">
        <f t="shared" si="39"/>
        <v/>
      </c>
      <c r="R492" s="76"/>
    </row>
    <row r="493" spans="1:18" ht="14.25" customHeight="1">
      <c r="A493" s="67"/>
      <c r="B493" s="68"/>
      <c r="C493" s="69"/>
      <c r="D493" s="69" t="str">
        <f ca="1">IF(B493="","",VLOOKUP('Журнал Закупок'!$B493,'СТ Криптовалюта'!B:C,2,0))</f>
        <v/>
      </c>
      <c r="E493" s="68" t="str">
        <f t="shared" si="35"/>
        <v/>
      </c>
      <c r="F493" s="70"/>
      <c r="G493" s="71"/>
      <c r="H493" s="71"/>
      <c r="I493" s="71" t="str">
        <f t="shared" si="36"/>
        <v/>
      </c>
      <c r="J493" s="71" t="e">
        <f ca="1">IFERROR(__xludf.DUMMYFUNCTION("IF(I493="""","""",IMPORTXML(""http://www.cbr.ru/scripts/XML_daily.asp?date_req=""&amp;TEXT(A493,""DD/MM/YYYY""), ""//ValCurs/Valute[CharCode=""""USD""""]/Value"")*I493)"),"")</f>
        <v>#NAME?</v>
      </c>
      <c r="K493" s="71"/>
      <c r="L493" s="71"/>
      <c r="M493" s="71"/>
      <c r="N493" s="71" t="str">
        <f ca="1">IF(H493="","",IF(D493="usdt",H493,IF(C493="Binance",VLOOKUP(E493,'Курсы Бинанса'!B:C,2,FALSE),IF(C493="bybit",VLOOKUP(E493,'Курсы Bybit'!B:C,2,FALSE),IF(C493="OKX",VLOOKUP(E493,'Курсы OKX'!A:D,4,FALSE),IF(C493="huobi",VLOOKUP(E493,'Курсы Huobi'!B:C,2,FALSE),"! укажите биржу"))))))</f>
        <v/>
      </c>
      <c r="O493" s="71" t="str">
        <f t="shared" si="37"/>
        <v/>
      </c>
      <c r="P493" s="71" t="str">
        <f t="shared" si="38"/>
        <v/>
      </c>
      <c r="Q493" s="75" t="str">
        <f t="shared" si="39"/>
        <v/>
      </c>
      <c r="R493" s="76"/>
    </row>
    <row r="494" spans="1:18" ht="14.25" customHeight="1">
      <c r="A494" s="67"/>
      <c r="B494" s="68"/>
      <c r="C494" s="69"/>
      <c r="D494" s="69" t="str">
        <f ca="1">IF(B494="","",VLOOKUP('Журнал Закупок'!$B494,'СТ Криптовалюта'!B:C,2,0))</f>
        <v/>
      </c>
      <c r="E494" s="68" t="str">
        <f t="shared" ref="E494:E519" si="40">IF(D494="","",CONCATENATE(D494,"USDT"))</f>
        <v/>
      </c>
      <c r="F494" s="70"/>
      <c r="G494" s="71"/>
      <c r="H494" s="71"/>
      <c r="I494" s="71" t="str">
        <f t="shared" ref="I494:I557" si="41">IF(H494="","",ROUND(G494*H494,5))</f>
        <v/>
      </c>
      <c r="J494" s="71" t="e">
        <f ca="1">IFERROR(__xludf.DUMMYFUNCTION("IF(I494="""","""",IMPORTXML(""http://www.cbr.ru/scripts/XML_daily.asp?date_req=""&amp;TEXT(A494,""DD/MM/YYYY""), ""//ValCurs/Valute[CharCode=""""USD""""]/Value"")*I494)"),"")</f>
        <v>#NAME?</v>
      </c>
      <c r="K494" s="71"/>
      <c r="L494" s="71"/>
      <c r="M494" s="71"/>
      <c r="N494" s="71" t="str">
        <f ca="1">IF(H494="","",IF(D494="usdt",H494,IF(C494="Binance",VLOOKUP(E494,'Курсы Бинанса'!B:C,2,FALSE),IF(C494="bybit",VLOOKUP(E494,'Курсы Bybit'!B:C,2,FALSE),IF(C494="OKX",VLOOKUP(E494,'Курсы OKX'!A:D,4,FALSE),IF(C494="huobi",VLOOKUP(E494,'Курсы Huobi'!B:C,2,FALSE),"! укажите биржу"))))))</f>
        <v/>
      </c>
      <c r="O494" s="71" t="str">
        <f t="shared" ref="O494:O554" si="42">IF(N494="! укажите биржу","",IF(N494="","",N494*G494))</f>
        <v/>
      </c>
      <c r="P494" s="71" t="str">
        <f t="shared" ref="P494:P554" si="43">IF(N494="","",IF(N494="! укажите биржу","",ROUND(O494-I494,2)))</f>
        <v/>
      </c>
      <c r="Q494" s="75" t="str">
        <f t="shared" ref="Q494:Q554" si="44">IF(P494="","",ROUND(IFERROR((O494-I494)/I494,2),5))</f>
        <v/>
      </c>
      <c r="R494" s="76"/>
    </row>
    <row r="495" spans="1:18" ht="14.25" customHeight="1">
      <c r="A495" s="67"/>
      <c r="B495" s="68"/>
      <c r="C495" s="69"/>
      <c r="D495" s="69" t="str">
        <f ca="1">IF(B495="","",VLOOKUP('Журнал Закупок'!$B495,'СТ Криптовалюта'!B:C,2,0))</f>
        <v/>
      </c>
      <c r="E495" s="68" t="str">
        <f t="shared" si="40"/>
        <v/>
      </c>
      <c r="F495" s="70"/>
      <c r="G495" s="71"/>
      <c r="H495" s="71"/>
      <c r="I495" s="71" t="str">
        <f t="shared" si="41"/>
        <v/>
      </c>
      <c r="J495" s="71" t="e">
        <f ca="1">IFERROR(__xludf.DUMMYFUNCTION("IF(I495="""","""",IMPORTXML(""http://www.cbr.ru/scripts/XML_daily.asp?date_req=""&amp;TEXT(A495,""DD/MM/YYYY""), ""//ValCurs/Valute[CharCode=""""USD""""]/Value"")*I495)"),"")</f>
        <v>#NAME?</v>
      </c>
      <c r="K495" s="71"/>
      <c r="L495" s="71"/>
      <c r="M495" s="71"/>
      <c r="N495" s="71" t="str">
        <f ca="1">IF(H495="","",IF(D495="usdt",H495,IF(C495="Binance",VLOOKUP(E495,'Курсы Бинанса'!B:C,2,FALSE),IF(C495="bybit",VLOOKUP(E495,'Курсы Bybit'!B:C,2,FALSE),IF(C495="OKX",VLOOKUP(E495,'Курсы OKX'!A:D,4,FALSE),IF(C495="huobi",VLOOKUP(E495,'Курсы Huobi'!B:C,2,FALSE),"! укажите биржу"))))))</f>
        <v/>
      </c>
      <c r="O495" s="71" t="str">
        <f t="shared" si="42"/>
        <v/>
      </c>
      <c r="P495" s="71" t="str">
        <f t="shared" si="43"/>
        <v/>
      </c>
      <c r="Q495" s="75" t="str">
        <f t="shared" si="44"/>
        <v/>
      </c>
      <c r="R495" s="76"/>
    </row>
    <row r="496" spans="1:18" ht="14.25" customHeight="1">
      <c r="A496" s="67"/>
      <c r="B496" s="68"/>
      <c r="C496" s="69"/>
      <c r="D496" s="69" t="str">
        <f ca="1">IF(B496="","",VLOOKUP('Журнал Закупок'!$B496,'СТ Криптовалюта'!B:C,2,0))</f>
        <v/>
      </c>
      <c r="E496" s="68" t="str">
        <f t="shared" si="40"/>
        <v/>
      </c>
      <c r="F496" s="70"/>
      <c r="G496" s="71"/>
      <c r="H496" s="71"/>
      <c r="I496" s="71" t="str">
        <f t="shared" si="41"/>
        <v/>
      </c>
      <c r="J496" s="71" t="e">
        <f ca="1">IFERROR(__xludf.DUMMYFUNCTION("IF(I496="""","""",IMPORTXML(""http://www.cbr.ru/scripts/XML_daily.asp?date_req=""&amp;TEXT(A496,""DD/MM/YYYY""), ""//ValCurs/Valute[CharCode=""""USD""""]/Value"")*I496)"),"")</f>
        <v>#NAME?</v>
      </c>
      <c r="K496" s="71"/>
      <c r="L496" s="71"/>
      <c r="M496" s="71"/>
      <c r="N496" s="71" t="str">
        <f ca="1">IF(H496="","",IF(D496="usdt",H496,IF(C496="Binance",VLOOKUP(E496,'Курсы Бинанса'!B:C,2,FALSE),IF(C496="bybit",VLOOKUP(E496,'Курсы Bybit'!B:C,2,FALSE),IF(C496="OKX",VLOOKUP(E496,'Курсы OKX'!A:D,4,FALSE),IF(C496="huobi",VLOOKUP(E496,'Курсы Huobi'!B:C,2,FALSE),"! укажите биржу"))))))</f>
        <v/>
      </c>
      <c r="O496" s="71" t="str">
        <f t="shared" si="42"/>
        <v/>
      </c>
      <c r="P496" s="71" t="str">
        <f t="shared" si="43"/>
        <v/>
      </c>
      <c r="Q496" s="75" t="str">
        <f t="shared" si="44"/>
        <v/>
      </c>
      <c r="R496" s="76"/>
    </row>
    <row r="497" spans="1:18" ht="14.25" customHeight="1">
      <c r="A497" s="67"/>
      <c r="B497" s="68"/>
      <c r="C497" s="69"/>
      <c r="D497" s="69" t="str">
        <f ca="1">IF(B497="","",VLOOKUP('Журнал Закупок'!$B497,'СТ Криптовалюта'!B:C,2,0))</f>
        <v/>
      </c>
      <c r="E497" s="68" t="str">
        <f t="shared" si="40"/>
        <v/>
      </c>
      <c r="F497" s="70"/>
      <c r="G497" s="71"/>
      <c r="H497" s="71"/>
      <c r="I497" s="71" t="str">
        <f t="shared" si="41"/>
        <v/>
      </c>
      <c r="J497" s="71" t="e">
        <f ca="1">IFERROR(__xludf.DUMMYFUNCTION("IF(I497="""","""",IMPORTXML(""http://www.cbr.ru/scripts/XML_daily.asp?date_req=""&amp;TEXT(A497,""DD/MM/YYYY""), ""//ValCurs/Valute[CharCode=""""USD""""]/Value"")*I497)"),"")</f>
        <v>#NAME?</v>
      </c>
      <c r="K497" s="71"/>
      <c r="L497" s="71"/>
      <c r="M497" s="71"/>
      <c r="N497" s="71" t="str">
        <f ca="1">IF(H497="","",IF(D497="usdt",H497,IF(C497="Binance",VLOOKUP(E497,'Курсы Бинанса'!B:C,2,FALSE),IF(C497="bybit",VLOOKUP(E497,'Курсы Bybit'!B:C,2,FALSE),IF(C497="OKX",VLOOKUP(E497,'Курсы OKX'!A:D,4,FALSE),IF(C497="huobi",VLOOKUP(E497,'Курсы Huobi'!B:C,2,FALSE),"! укажите биржу"))))))</f>
        <v/>
      </c>
      <c r="O497" s="71" t="str">
        <f t="shared" si="42"/>
        <v/>
      </c>
      <c r="P497" s="71" t="str">
        <f t="shared" si="43"/>
        <v/>
      </c>
      <c r="Q497" s="75" t="str">
        <f t="shared" si="44"/>
        <v/>
      </c>
      <c r="R497" s="76"/>
    </row>
    <row r="498" spans="1:18" ht="14.25" customHeight="1">
      <c r="A498" s="67"/>
      <c r="B498" s="68"/>
      <c r="C498" s="69"/>
      <c r="D498" s="69" t="str">
        <f ca="1">IF(B498="","",VLOOKUP('Журнал Закупок'!$B498,'СТ Криптовалюта'!B:C,2,0))</f>
        <v/>
      </c>
      <c r="E498" s="68" t="str">
        <f t="shared" si="40"/>
        <v/>
      </c>
      <c r="F498" s="70"/>
      <c r="G498" s="71"/>
      <c r="H498" s="71"/>
      <c r="I498" s="71" t="str">
        <f t="shared" si="41"/>
        <v/>
      </c>
      <c r="J498" s="71" t="e">
        <f ca="1">IFERROR(__xludf.DUMMYFUNCTION("IF(I498="""","""",IMPORTXML(""http://www.cbr.ru/scripts/XML_daily.asp?date_req=""&amp;TEXT(A498,""DD/MM/YYYY""), ""//ValCurs/Valute[CharCode=""""USD""""]/Value"")*I498)"),"")</f>
        <v>#NAME?</v>
      </c>
      <c r="K498" s="71"/>
      <c r="L498" s="71"/>
      <c r="M498" s="71"/>
      <c r="N498" s="71" t="str">
        <f ca="1">IF(H498="","",IF(D498="usdt",H498,IF(C498="Binance",VLOOKUP(E498,'Курсы Бинанса'!B:C,2,FALSE),IF(C498="bybit",VLOOKUP(E498,'Курсы Bybit'!B:C,2,FALSE),IF(C498="OKX",VLOOKUP(E498,'Курсы OKX'!A:D,4,FALSE),IF(C498="huobi",VLOOKUP(E498,'Курсы Huobi'!B:C,2,FALSE),"! укажите биржу"))))))</f>
        <v/>
      </c>
      <c r="O498" s="71" t="str">
        <f t="shared" si="42"/>
        <v/>
      </c>
      <c r="P498" s="71" t="str">
        <f t="shared" si="43"/>
        <v/>
      </c>
      <c r="Q498" s="75" t="str">
        <f t="shared" si="44"/>
        <v/>
      </c>
      <c r="R498" s="76"/>
    </row>
    <row r="499" spans="1:18" ht="14.25" customHeight="1">
      <c r="A499" s="67"/>
      <c r="B499" s="68"/>
      <c r="C499" s="69"/>
      <c r="D499" s="69" t="str">
        <f ca="1">IF(B499="","",VLOOKUP('Журнал Закупок'!$B499,'СТ Криптовалюта'!B:C,2,0))</f>
        <v/>
      </c>
      <c r="E499" s="68" t="str">
        <f t="shared" si="40"/>
        <v/>
      </c>
      <c r="F499" s="70"/>
      <c r="G499" s="71"/>
      <c r="H499" s="71"/>
      <c r="I499" s="71" t="str">
        <f t="shared" si="41"/>
        <v/>
      </c>
      <c r="J499" s="71" t="e">
        <f ca="1">IFERROR(__xludf.DUMMYFUNCTION("IF(I499="""","""",IMPORTXML(""http://www.cbr.ru/scripts/XML_daily.asp?date_req=""&amp;TEXT(A499,""DD/MM/YYYY""), ""//ValCurs/Valute[CharCode=""""USD""""]/Value"")*I499)"),"")</f>
        <v>#NAME?</v>
      </c>
      <c r="K499" s="71"/>
      <c r="L499" s="71"/>
      <c r="M499" s="71"/>
      <c r="N499" s="71" t="str">
        <f ca="1">IF(H499="","",IF(D499="usdt",H499,IF(C499="Binance",VLOOKUP(E499,'Курсы Бинанса'!B:C,2,FALSE),IF(C499="bybit",VLOOKUP(E499,'Курсы Bybit'!B:C,2,FALSE),IF(C499="OKX",VLOOKUP(E499,'Курсы OKX'!A:D,4,FALSE),IF(C499="huobi",VLOOKUP(E499,'Курсы Huobi'!B:C,2,FALSE),"! укажите биржу"))))))</f>
        <v/>
      </c>
      <c r="O499" s="71" t="str">
        <f t="shared" si="42"/>
        <v/>
      </c>
      <c r="P499" s="71" t="str">
        <f t="shared" si="43"/>
        <v/>
      </c>
      <c r="Q499" s="75" t="str">
        <f t="shared" si="44"/>
        <v/>
      </c>
      <c r="R499" s="76"/>
    </row>
    <row r="500" spans="1:18" ht="14.25" customHeight="1">
      <c r="A500" s="67"/>
      <c r="B500" s="68"/>
      <c r="C500" s="69"/>
      <c r="D500" s="69" t="str">
        <f ca="1">IF(B500="","",VLOOKUP('Журнал Закупок'!$B500,'СТ Криптовалюта'!B:C,2,0))</f>
        <v/>
      </c>
      <c r="E500" s="68" t="str">
        <f t="shared" si="40"/>
        <v/>
      </c>
      <c r="F500" s="70"/>
      <c r="G500" s="71"/>
      <c r="H500" s="71"/>
      <c r="I500" s="71" t="str">
        <f t="shared" si="41"/>
        <v/>
      </c>
      <c r="J500" s="71" t="e">
        <f ca="1">IFERROR(__xludf.DUMMYFUNCTION("IF(I500="""","""",IMPORTXML(""http://www.cbr.ru/scripts/XML_daily.asp?date_req=""&amp;TEXT(A500,""DD/MM/YYYY""), ""//ValCurs/Valute[CharCode=""""USD""""]/Value"")*I500)"),"")</f>
        <v>#NAME?</v>
      </c>
      <c r="K500" s="71"/>
      <c r="L500" s="71"/>
      <c r="M500" s="71"/>
      <c r="N500" s="71" t="str">
        <f ca="1">IF(H500="","",IF(D500="usdt",H500,IF(C500="Binance",VLOOKUP(E500,'Курсы Бинанса'!B:C,2,FALSE),IF(C500="bybit",VLOOKUP(E500,'Курсы Bybit'!B:C,2,FALSE),IF(C500="OKX",VLOOKUP(E500,'Курсы OKX'!A:D,4,FALSE),IF(C500="huobi",VLOOKUP(E500,'Курсы Huobi'!B:C,2,FALSE),"! укажите биржу"))))))</f>
        <v/>
      </c>
      <c r="O500" s="71" t="str">
        <f t="shared" si="42"/>
        <v/>
      </c>
      <c r="P500" s="71" t="str">
        <f t="shared" si="43"/>
        <v/>
      </c>
      <c r="Q500" s="75" t="str">
        <f t="shared" si="44"/>
        <v/>
      </c>
      <c r="R500" s="76"/>
    </row>
    <row r="501" spans="1:18" ht="14.25" customHeight="1">
      <c r="A501" s="67"/>
      <c r="B501" s="68"/>
      <c r="C501" s="69"/>
      <c r="D501" s="69" t="str">
        <f ca="1">IF(B501="","",VLOOKUP('Журнал Закупок'!$B501,'СТ Криптовалюта'!B:C,2,0))</f>
        <v/>
      </c>
      <c r="E501" s="68" t="str">
        <f t="shared" si="40"/>
        <v/>
      </c>
      <c r="F501" s="70"/>
      <c r="G501" s="71"/>
      <c r="H501" s="71"/>
      <c r="I501" s="71" t="str">
        <f t="shared" si="41"/>
        <v/>
      </c>
      <c r="J501" s="71" t="e">
        <f ca="1">IFERROR(__xludf.DUMMYFUNCTION("IF(I501="""","""",IMPORTXML(""http://www.cbr.ru/scripts/XML_daily.asp?date_req=""&amp;TEXT(A501,""DD/MM/YYYY""), ""//ValCurs/Valute[CharCode=""""USD""""]/Value"")*I501)"),"")</f>
        <v>#NAME?</v>
      </c>
      <c r="K501" s="71"/>
      <c r="L501" s="71"/>
      <c r="M501" s="71"/>
      <c r="N501" s="71" t="str">
        <f ca="1">IF(H501="","",IF(D501="usdt",H501,IF(C501="Binance",VLOOKUP(E501,'Курсы Бинанса'!B:C,2,FALSE),IF(C501="bybit",VLOOKUP(E501,'Курсы Bybit'!B:C,2,FALSE),IF(C501="OKX",VLOOKUP(E501,'Курсы OKX'!A:D,4,FALSE),IF(C501="huobi",VLOOKUP(E501,'Курсы Huobi'!B:C,2,FALSE),"! укажите биржу"))))))</f>
        <v/>
      </c>
      <c r="O501" s="71" t="str">
        <f t="shared" si="42"/>
        <v/>
      </c>
      <c r="P501" s="71" t="str">
        <f t="shared" si="43"/>
        <v/>
      </c>
      <c r="Q501" s="75" t="str">
        <f t="shared" si="44"/>
        <v/>
      </c>
      <c r="R501" s="76"/>
    </row>
    <row r="502" spans="1:18" ht="14.25" customHeight="1">
      <c r="A502" s="67"/>
      <c r="B502" s="68"/>
      <c r="C502" s="69"/>
      <c r="D502" s="69" t="str">
        <f ca="1">IF(B502="","",VLOOKUP('Журнал Закупок'!$B502,'СТ Криптовалюта'!B:C,2,0))</f>
        <v/>
      </c>
      <c r="E502" s="68" t="str">
        <f t="shared" si="40"/>
        <v/>
      </c>
      <c r="F502" s="70"/>
      <c r="G502" s="71"/>
      <c r="H502" s="71"/>
      <c r="I502" s="71" t="str">
        <f t="shared" si="41"/>
        <v/>
      </c>
      <c r="J502" s="71" t="e">
        <f ca="1">IFERROR(__xludf.DUMMYFUNCTION("IF(I502="""","""",IMPORTXML(""http://www.cbr.ru/scripts/XML_daily.asp?date_req=""&amp;TEXT(A502,""DD/MM/YYYY""), ""//ValCurs/Valute[CharCode=""""USD""""]/Value"")*I502)"),"")</f>
        <v>#NAME?</v>
      </c>
      <c r="K502" s="71"/>
      <c r="L502" s="71"/>
      <c r="M502" s="71"/>
      <c r="N502" s="71" t="str">
        <f ca="1">IF(H502="","",IF(D502="usdt",H502,IF(C502="Binance",VLOOKUP(E502,'Курсы Бинанса'!B:C,2,FALSE),IF(C502="bybit",VLOOKUP(E502,'Курсы Bybit'!B:C,2,FALSE),IF(C502="OKX",VLOOKUP(E502,'Курсы OKX'!A:D,4,FALSE),IF(C502="huobi",VLOOKUP(E502,'Курсы Huobi'!B:C,2,FALSE),"! укажите биржу"))))))</f>
        <v/>
      </c>
      <c r="O502" s="71" t="str">
        <f t="shared" si="42"/>
        <v/>
      </c>
      <c r="P502" s="71" t="str">
        <f t="shared" si="43"/>
        <v/>
      </c>
      <c r="Q502" s="75" t="str">
        <f t="shared" si="44"/>
        <v/>
      </c>
      <c r="R502" s="76"/>
    </row>
    <row r="503" spans="1:18" ht="14.25" customHeight="1">
      <c r="A503" s="67"/>
      <c r="B503" s="68"/>
      <c r="C503" s="69"/>
      <c r="D503" s="69" t="str">
        <f ca="1">IF(B503="","",VLOOKUP('Журнал Закупок'!$B503,'СТ Криптовалюта'!B:C,2,0))</f>
        <v/>
      </c>
      <c r="E503" s="68" t="str">
        <f t="shared" si="40"/>
        <v/>
      </c>
      <c r="F503" s="70"/>
      <c r="G503" s="71"/>
      <c r="H503" s="71"/>
      <c r="I503" s="71" t="str">
        <f t="shared" si="41"/>
        <v/>
      </c>
      <c r="J503" s="71" t="e">
        <f ca="1">IFERROR(__xludf.DUMMYFUNCTION("IF(I503="""","""",IMPORTXML(""http://www.cbr.ru/scripts/XML_daily.asp?date_req=""&amp;TEXT(A503,""DD/MM/YYYY""), ""//ValCurs/Valute[CharCode=""""USD""""]/Value"")*I503)"),"")</f>
        <v>#NAME?</v>
      </c>
      <c r="K503" s="71"/>
      <c r="L503" s="71"/>
      <c r="M503" s="71"/>
      <c r="N503" s="71" t="str">
        <f ca="1">IF(H503="","",IF(D503="usdt",H503,IF(C503="Binance",VLOOKUP(E503,'Курсы Бинанса'!B:C,2,FALSE),IF(C503="bybit",VLOOKUP(E503,'Курсы Bybit'!B:C,2,FALSE),IF(C503="OKX",VLOOKUP(E503,'Курсы OKX'!A:D,4,FALSE),IF(C503="huobi",VLOOKUP(E503,'Курсы Huobi'!B:C,2,FALSE),"! укажите биржу"))))))</f>
        <v/>
      </c>
      <c r="O503" s="71" t="str">
        <f t="shared" si="42"/>
        <v/>
      </c>
      <c r="P503" s="71" t="str">
        <f t="shared" si="43"/>
        <v/>
      </c>
      <c r="Q503" s="75" t="str">
        <f t="shared" si="44"/>
        <v/>
      </c>
      <c r="R503" s="76"/>
    </row>
    <row r="504" spans="1:18" ht="14.25" customHeight="1">
      <c r="A504" s="67"/>
      <c r="B504" s="68"/>
      <c r="C504" s="69"/>
      <c r="D504" s="69" t="str">
        <f ca="1">IF(B504="","",VLOOKUP('Журнал Закупок'!$B504,'СТ Криптовалюта'!B:C,2,0))</f>
        <v/>
      </c>
      <c r="E504" s="68" t="str">
        <f t="shared" si="40"/>
        <v/>
      </c>
      <c r="F504" s="70"/>
      <c r="G504" s="71"/>
      <c r="H504" s="71"/>
      <c r="I504" s="71" t="str">
        <f t="shared" si="41"/>
        <v/>
      </c>
      <c r="J504" s="71" t="e">
        <f ca="1">IFERROR(__xludf.DUMMYFUNCTION("IF(I504="""","""",IMPORTXML(""http://www.cbr.ru/scripts/XML_daily.asp?date_req=""&amp;TEXT(A504,""DD/MM/YYYY""), ""//ValCurs/Valute[CharCode=""""USD""""]/Value"")*I504)"),"")</f>
        <v>#NAME?</v>
      </c>
      <c r="K504" s="71"/>
      <c r="L504" s="71"/>
      <c r="M504" s="71"/>
      <c r="N504" s="71" t="str">
        <f ca="1">IF(H504="","",IF(D504="usdt",H504,IF(C504="Binance",VLOOKUP(E504,'Курсы Бинанса'!B:C,2,FALSE),IF(C504="bybit",VLOOKUP(E504,'Курсы Bybit'!B:C,2,FALSE),IF(C504="OKX",VLOOKUP(E504,'Курсы OKX'!A:D,4,FALSE),IF(C504="huobi",VLOOKUP(E504,'Курсы Huobi'!B:C,2,FALSE),"! укажите биржу"))))))</f>
        <v/>
      </c>
      <c r="O504" s="71" t="str">
        <f t="shared" si="42"/>
        <v/>
      </c>
      <c r="P504" s="71" t="str">
        <f t="shared" si="43"/>
        <v/>
      </c>
      <c r="Q504" s="75" t="str">
        <f t="shared" si="44"/>
        <v/>
      </c>
      <c r="R504" s="76"/>
    </row>
    <row r="505" spans="1:18" ht="14.25" customHeight="1">
      <c r="A505" s="67"/>
      <c r="B505" s="68"/>
      <c r="C505" s="69"/>
      <c r="D505" s="69" t="str">
        <f ca="1">IF(B505="","",VLOOKUP('Журнал Закупок'!$B505,'СТ Криптовалюта'!B:C,2,0))</f>
        <v/>
      </c>
      <c r="E505" s="68" t="str">
        <f t="shared" si="40"/>
        <v/>
      </c>
      <c r="F505" s="70"/>
      <c r="G505" s="71"/>
      <c r="H505" s="71"/>
      <c r="I505" s="71" t="str">
        <f t="shared" si="41"/>
        <v/>
      </c>
      <c r="J505" s="71" t="e">
        <f ca="1">IFERROR(__xludf.DUMMYFUNCTION("IF(I505="""","""",IMPORTXML(""http://www.cbr.ru/scripts/XML_daily.asp?date_req=""&amp;TEXT(A505,""DD/MM/YYYY""), ""//ValCurs/Valute[CharCode=""""USD""""]/Value"")*I505)"),"")</f>
        <v>#NAME?</v>
      </c>
      <c r="K505" s="71"/>
      <c r="L505" s="71"/>
      <c r="M505" s="71"/>
      <c r="N505" s="71" t="str">
        <f ca="1">IF(H505="","",IF(D505="usdt",H505,IF(C505="Binance",VLOOKUP(E505,'Курсы Бинанса'!B:C,2,FALSE),IF(C505="bybit",VLOOKUP(E505,'Курсы Bybit'!B:C,2,FALSE),IF(C505="OKX",VLOOKUP(E505,'Курсы OKX'!A:D,4,FALSE),IF(C505="huobi",VLOOKUP(E505,'Курсы Huobi'!B:C,2,FALSE),"! укажите биржу"))))))</f>
        <v/>
      </c>
      <c r="O505" s="71" t="str">
        <f t="shared" si="42"/>
        <v/>
      </c>
      <c r="P505" s="71" t="str">
        <f t="shared" si="43"/>
        <v/>
      </c>
      <c r="Q505" s="75" t="str">
        <f t="shared" si="44"/>
        <v/>
      </c>
      <c r="R505" s="76"/>
    </row>
    <row r="506" spans="1:18" ht="14.25" customHeight="1">
      <c r="A506" s="67"/>
      <c r="B506" s="68"/>
      <c r="C506" s="69"/>
      <c r="D506" s="69" t="str">
        <f ca="1">IF(B506="","",VLOOKUP('Журнал Закупок'!$B506,'СТ Криптовалюта'!B:C,2,0))</f>
        <v/>
      </c>
      <c r="E506" s="68" t="str">
        <f t="shared" si="40"/>
        <v/>
      </c>
      <c r="F506" s="70"/>
      <c r="G506" s="71"/>
      <c r="H506" s="71"/>
      <c r="I506" s="71" t="str">
        <f t="shared" si="41"/>
        <v/>
      </c>
      <c r="J506" s="71" t="e">
        <f ca="1">IFERROR(__xludf.DUMMYFUNCTION("IF(I506="""","""",IMPORTXML(""http://www.cbr.ru/scripts/XML_daily.asp?date_req=""&amp;TEXT(A506,""DD/MM/YYYY""), ""//ValCurs/Valute[CharCode=""""USD""""]/Value"")*I506)"),"")</f>
        <v>#NAME?</v>
      </c>
      <c r="K506" s="71"/>
      <c r="L506" s="71"/>
      <c r="M506" s="71"/>
      <c r="N506" s="71" t="str">
        <f ca="1">IF(H506="","",IF(D506="usdt",H506,IF(C506="Binance",VLOOKUP(E506,'Курсы Бинанса'!B:C,2,FALSE),IF(C506="bybit",VLOOKUP(E506,'Курсы Bybit'!B:C,2,FALSE),IF(C506="OKX",VLOOKUP(E506,'Курсы OKX'!A:D,4,FALSE),IF(C506="huobi",VLOOKUP(E506,'Курсы Huobi'!B:C,2,FALSE),"! укажите биржу"))))))</f>
        <v/>
      </c>
      <c r="O506" s="71" t="str">
        <f t="shared" si="42"/>
        <v/>
      </c>
      <c r="P506" s="71" t="str">
        <f t="shared" si="43"/>
        <v/>
      </c>
      <c r="Q506" s="75" t="str">
        <f t="shared" si="44"/>
        <v/>
      </c>
      <c r="R506" s="76"/>
    </row>
    <row r="507" spans="1:18" ht="14.25" customHeight="1">
      <c r="A507" s="67"/>
      <c r="B507" s="68"/>
      <c r="C507" s="69"/>
      <c r="D507" s="69" t="str">
        <f ca="1">IF(B507="","",VLOOKUP('Журнал Закупок'!$B507,'СТ Криптовалюта'!B:C,2,0))</f>
        <v/>
      </c>
      <c r="E507" s="68" t="str">
        <f t="shared" si="40"/>
        <v/>
      </c>
      <c r="F507" s="70"/>
      <c r="G507" s="71"/>
      <c r="H507" s="71"/>
      <c r="I507" s="71" t="str">
        <f t="shared" si="41"/>
        <v/>
      </c>
      <c r="J507" s="71" t="e">
        <f ca="1">IFERROR(__xludf.DUMMYFUNCTION("IF(I507="""","""",IMPORTXML(""http://www.cbr.ru/scripts/XML_daily.asp?date_req=""&amp;TEXT(A507,""DD/MM/YYYY""), ""//ValCurs/Valute[CharCode=""""USD""""]/Value"")*I507)"),"")</f>
        <v>#NAME?</v>
      </c>
      <c r="K507" s="71"/>
      <c r="L507" s="71"/>
      <c r="M507" s="71"/>
      <c r="N507" s="71" t="str">
        <f ca="1">IF(H507="","",IF(D507="usdt",H507,IF(C507="Binance",VLOOKUP(E507,'Курсы Бинанса'!B:C,2,FALSE),IF(C507="bybit",VLOOKUP(E507,'Курсы Bybit'!B:C,2,FALSE),IF(C507="OKX",VLOOKUP(E507,'Курсы OKX'!A:D,4,FALSE),IF(C507="huobi",VLOOKUP(E507,'Курсы Huobi'!B:C,2,FALSE),"! укажите биржу"))))))</f>
        <v/>
      </c>
      <c r="O507" s="71" t="str">
        <f t="shared" si="42"/>
        <v/>
      </c>
      <c r="P507" s="71" t="str">
        <f t="shared" si="43"/>
        <v/>
      </c>
      <c r="Q507" s="75" t="str">
        <f t="shared" si="44"/>
        <v/>
      </c>
      <c r="R507" s="76"/>
    </row>
    <row r="508" spans="1:18" ht="14.25" customHeight="1">
      <c r="A508" s="67"/>
      <c r="B508" s="68"/>
      <c r="C508" s="69"/>
      <c r="D508" s="69" t="str">
        <f ca="1">IF(B508="","",VLOOKUP('Журнал Закупок'!$B508,'СТ Криптовалюта'!B:C,2,0))</f>
        <v/>
      </c>
      <c r="E508" s="68" t="str">
        <f t="shared" si="40"/>
        <v/>
      </c>
      <c r="F508" s="70"/>
      <c r="G508" s="71"/>
      <c r="H508" s="71"/>
      <c r="I508" s="71" t="str">
        <f t="shared" si="41"/>
        <v/>
      </c>
      <c r="J508" s="71" t="e">
        <f ca="1">IFERROR(__xludf.DUMMYFUNCTION("IF(I508="""","""",IMPORTXML(""http://www.cbr.ru/scripts/XML_daily.asp?date_req=""&amp;TEXT(A508,""DD/MM/YYYY""), ""//ValCurs/Valute[CharCode=""""USD""""]/Value"")*I508)"),"")</f>
        <v>#NAME?</v>
      </c>
      <c r="K508" s="71"/>
      <c r="L508" s="71"/>
      <c r="M508" s="71"/>
      <c r="N508" s="71" t="str">
        <f ca="1">IF(H508="","",IF(D508="usdt",H508,IF(C508="Binance",VLOOKUP(E508,'Курсы Бинанса'!B:C,2,FALSE),IF(C508="bybit",VLOOKUP(E508,'Курсы Bybit'!B:C,2,FALSE),IF(C508="OKX",VLOOKUP(E508,'Курсы OKX'!A:D,4,FALSE),IF(C508="huobi",VLOOKUP(E508,'Курсы Huobi'!B:C,2,FALSE),"! укажите биржу"))))))</f>
        <v/>
      </c>
      <c r="O508" s="71" t="str">
        <f t="shared" si="42"/>
        <v/>
      </c>
      <c r="P508" s="71" t="str">
        <f t="shared" si="43"/>
        <v/>
      </c>
      <c r="Q508" s="75" t="str">
        <f t="shared" si="44"/>
        <v/>
      </c>
      <c r="R508" s="76"/>
    </row>
    <row r="509" spans="1:18" ht="14.25" customHeight="1">
      <c r="A509" s="67"/>
      <c r="B509" s="68"/>
      <c r="C509" s="69"/>
      <c r="D509" s="69" t="str">
        <f ca="1">IF(B509="","",VLOOKUP('Журнал Закупок'!$B509,'СТ Криптовалюта'!B:C,2,0))</f>
        <v/>
      </c>
      <c r="E509" s="68" t="str">
        <f t="shared" si="40"/>
        <v/>
      </c>
      <c r="F509" s="70"/>
      <c r="G509" s="71"/>
      <c r="H509" s="71"/>
      <c r="I509" s="71" t="str">
        <f t="shared" si="41"/>
        <v/>
      </c>
      <c r="J509" s="71" t="e">
        <f ca="1">IFERROR(__xludf.DUMMYFUNCTION("IF(I509="""","""",IMPORTXML(""http://www.cbr.ru/scripts/XML_daily.asp?date_req=""&amp;TEXT(A509,""DD/MM/YYYY""), ""//ValCurs/Valute[CharCode=""""USD""""]/Value"")*I509)"),"")</f>
        <v>#NAME?</v>
      </c>
      <c r="K509" s="71"/>
      <c r="L509" s="71"/>
      <c r="M509" s="71"/>
      <c r="N509" s="71" t="str">
        <f ca="1">IF(H509="","",IF(D509="usdt",H509,IF(C509="Binance",VLOOKUP(E509,'Курсы Бинанса'!B:C,2,FALSE),IF(C509="bybit",VLOOKUP(E509,'Курсы Bybit'!B:C,2,FALSE),IF(C509="OKX",VLOOKUP(E509,'Курсы OKX'!A:D,4,FALSE),IF(C509="huobi",VLOOKUP(E509,'Курсы Huobi'!B:C,2,FALSE),"! укажите биржу"))))))</f>
        <v/>
      </c>
      <c r="O509" s="71" t="str">
        <f t="shared" si="42"/>
        <v/>
      </c>
      <c r="P509" s="71" t="str">
        <f t="shared" si="43"/>
        <v/>
      </c>
      <c r="Q509" s="75" t="str">
        <f t="shared" si="44"/>
        <v/>
      </c>
      <c r="R509" s="76"/>
    </row>
    <row r="510" spans="1:18" ht="14.25" customHeight="1">
      <c r="A510" s="67"/>
      <c r="B510" s="68"/>
      <c r="C510" s="69"/>
      <c r="D510" s="69" t="str">
        <f ca="1">IF(B510="","",VLOOKUP('Журнал Закупок'!$B510,'СТ Криптовалюта'!B:C,2,0))</f>
        <v/>
      </c>
      <c r="E510" s="68" t="str">
        <f t="shared" si="40"/>
        <v/>
      </c>
      <c r="F510" s="70"/>
      <c r="G510" s="71"/>
      <c r="H510" s="71"/>
      <c r="I510" s="71" t="str">
        <f t="shared" si="41"/>
        <v/>
      </c>
      <c r="J510" s="71" t="e">
        <f ca="1">IFERROR(__xludf.DUMMYFUNCTION("IF(I510="""","""",IMPORTXML(""http://www.cbr.ru/scripts/XML_daily.asp?date_req=""&amp;TEXT(A510,""DD/MM/YYYY""), ""//ValCurs/Valute[CharCode=""""USD""""]/Value"")*I510)"),"")</f>
        <v>#NAME?</v>
      </c>
      <c r="K510" s="71"/>
      <c r="L510" s="71"/>
      <c r="M510" s="71"/>
      <c r="N510" s="71" t="str">
        <f ca="1">IF(H510="","",IF(D510="usdt",H510,IF(C510="Binance",VLOOKUP(E510,'Курсы Бинанса'!B:C,2,FALSE),IF(C510="bybit",VLOOKUP(E510,'Курсы Bybit'!B:C,2,FALSE),IF(C510="OKX",VLOOKUP(E510,'Курсы OKX'!A:D,4,FALSE),IF(C510="huobi",VLOOKUP(E510,'Курсы Huobi'!B:C,2,FALSE),"! укажите биржу"))))))</f>
        <v/>
      </c>
      <c r="O510" s="71" t="str">
        <f t="shared" si="42"/>
        <v/>
      </c>
      <c r="P510" s="71" t="str">
        <f t="shared" si="43"/>
        <v/>
      </c>
      <c r="Q510" s="75" t="str">
        <f t="shared" si="44"/>
        <v/>
      </c>
      <c r="R510" s="76"/>
    </row>
    <row r="511" spans="1:18" ht="14.25" customHeight="1">
      <c r="A511" s="67"/>
      <c r="B511" s="68"/>
      <c r="C511" s="69"/>
      <c r="D511" s="69" t="str">
        <f ca="1">IF(B511="","",VLOOKUP('Журнал Закупок'!$B511,'СТ Криптовалюта'!B:C,2,0))</f>
        <v/>
      </c>
      <c r="E511" s="68" t="str">
        <f t="shared" si="40"/>
        <v/>
      </c>
      <c r="F511" s="70"/>
      <c r="G511" s="71"/>
      <c r="H511" s="71"/>
      <c r="I511" s="71" t="str">
        <f t="shared" si="41"/>
        <v/>
      </c>
      <c r="J511" s="71"/>
      <c r="K511" s="71"/>
      <c r="L511" s="71"/>
      <c r="M511" s="71"/>
      <c r="N511" s="71" t="str">
        <f ca="1">IF(H511="","",IF(D511="usdt",H511,IF(C511="Binance",VLOOKUP(E511,'Курсы Бинанса'!B:C,2,FALSE),IF(C511="bybit",VLOOKUP(E511,'Курсы Bybit'!B:C,2,FALSE),IF(C511="OKX",VLOOKUP(E511,'Курсы OKX'!A:D,4,FALSE),IF(C511="huobi",VLOOKUP(E511,'Курсы Huobi'!B:C,2,FALSE),"! укажите биржу"))))))</f>
        <v/>
      </c>
      <c r="O511" s="71" t="str">
        <f t="shared" si="42"/>
        <v/>
      </c>
      <c r="P511" s="71" t="str">
        <f t="shared" si="43"/>
        <v/>
      </c>
      <c r="Q511" s="75" t="str">
        <f t="shared" si="44"/>
        <v/>
      </c>
      <c r="R511" s="76"/>
    </row>
    <row r="512" spans="1:18" ht="14.25" customHeight="1">
      <c r="A512" s="67"/>
      <c r="B512" s="68"/>
      <c r="C512" s="69"/>
      <c r="D512" s="69" t="str">
        <f ca="1">IF(B512="","",VLOOKUP('Журнал Закупок'!$B512,'СТ Криптовалюта'!B:C,2,0))</f>
        <v/>
      </c>
      <c r="E512" s="68" t="str">
        <f t="shared" si="40"/>
        <v/>
      </c>
      <c r="F512" s="70"/>
      <c r="G512" s="71"/>
      <c r="H512" s="71"/>
      <c r="I512" s="71" t="str">
        <f t="shared" si="41"/>
        <v/>
      </c>
      <c r="J512" s="71"/>
      <c r="K512" s="71"/>
      <c r="L512" s="71"/>
      <c r="M512" s="71"/>
      <c r="N512" s="71" t="str">
        <f ca="1">IF(H512="","",IF(D512="usdt",H512,IF(C512="Binance",VLOOKUP(E512,'Курсы Бинанса'!B:C,2,FALSE),IF(C512="bybit",VLOOKUP(E512,'Курсы Bybit'!B:C,2,FALSE),IF(C512="OKX",VLOOKUP(E512,'Курсы OKX'!A:D,4,FALSE),IF(C512="huobi",VLOOKUP(E512,'Курсы Huobi'!B:C,2,FALSE),"! укажите биржу"))))))</f>
        <v/>
      </c>
      <c r="O512" s="71" t="str">
        <f t="shared" si="42"/>
        <v/>
      </c>
      <c r="P512" s="71" t="str">
        <f t="shared" si="43"/>
        <v/>
      </c>
      <c r="Q512" s="75" t="str">
        <f t="shared" si="44"/>
        <v/>
      </c>
      <c r="R512" s="76"/>
    </row>
    <row r="513" spans="1:18" ht="14.25" customHeight="1">
      <c r="A513" s="67"/>
      <c r="B513" s="68"/>
      <c r="C513" s="69"/>
      <c r="D513" s="69" t="str">
        <f ca="1">IF(B513="","",VLOOKUP('Журнал Закупок'!$B513,'СТ Криптовалюта'!B:C,2,0))</f>
        <v/>
      </c>
      <c r="E513" s="68" t="str">
        <f t="shared" si="40"/>
        <v/>
      </c>
      <c r="F513" s="70"/>
      <c r="G513" s="71"/>
      <c r="H513" s="71"/>
      <c r="I513" s="71" t="str">
        <f t="shared" si="41"/>
        <v/>
      </c>
      <c r="J513" s="71"/>
      <c r="K513" s="71"/>
      <c r="L513" s="71"/>
      <c r="M513" s="71"/>
      <c r="N513" s="71" t="str">
        <f ca="1">IF(H513="","",IF(D513="usdt",H513,IF(C513="Binance",VLOOKUP(E513,'Курсы Бинанса'!B:C,2,FALSE),IF(C513="bybit",VLOOKUP(E513,'Курсы Bybit'!B:C,2,FALSE),IF(C513="OKX",VLOOKUP(E513,'Курсы OKX'!A:D,4,FALSE),IF(C513="huobi",VLOOKUP(E513,'Курсы Huobi'!B:C,2,FALSE),"! укажите биржу"))))))</f>
        <v/>
      </c>
      <c r="O513" s="71" t="str">
        <f t="shared" si="42"/>
        <v/>
      </c>
      <c r="P513" s="71" t="str">
        <f t="shared" si="43"/>
        <v/>
      </c>
      <c r="Q513" s="75" t="str">
        <f t="shared" si="44"/>
        <v/>
      </c>
      <c r="R513" s="76"/>
    </row>
    <row r="514" spans="1:18" ht="14.25" customHeight="1">
      <c r="A514" s="67"/>
      <c r="B514" s="68"/>
      <c r="C514" s="69"/>
      <c r="D514" s="69" t="str">
        <f ca="1">IF(B514="","",VLOOKUP('Журнал Закупок'!$B514,'СТ Криптовалюта'!B:C,2,0))</f>
        <v/>
      </c>
      <c r="E514" s="68" t="str">
        <f t="shared" si="40"/>
        <v/>
      </c>
      <c r="F514" s="70"/>
      <c r="G514" s="71"/>
      <c r="H514" s="71"/>
      <c r="I514" s="71" t="str">
        <f t="shared" si="41"/>
        <v/>
      </c>
      <c r="J514" s="71"/>
      <c r="K514" s="71"/>
      <c r="L514" s="71"/>
      <c r="M514" s="71"/>
      <c r="N514" s="71" t="str">
        <f ca="1">IF(H514="","",IF(D514="usdt",H514,IF(C514="Binance",VLOOKUP(E514,'Курсы Бинанса'!B:C,2,FALSE),IF(C514="bybit",VLOOKUP(E514,'Курсы Bybit'!B:C,2,FALSE),IF(C514="OKX",VLOOKUP(E514,'Курсы OKX'!A:D,4,FALSE),IF(C514="huobi",VLOOKUP(E514,'Курсы Huobi'!B:C,2,FALSE),"! укажите биржу"))))))</f>
        <v/>
      </c>
      <c r="O514" s="71" t="str">
        <f t="shared" si="42"/>
        <v/>
      </c>
      <c r="P514" s="71" t="str">
        <f t="shared" si="43"/>
        <v/>
      </c>
      <c r="Q514" s="75" t="str">
        <f t="shared" si="44"/>
        <v/>
      </c>
      <c r="R514" s="76"/>
    </row>
    <row r="515" spans="1:18" ht="14.25" customHeight="1">
      <c r="A515" s="67"/>
      <c r="B515" s="68"/>
      <c r="C515" s="69"/>
      <c r="D515" s="69" t="str">
        <f ca="1">IF(B515="","",VLOOKUP('Журнал Закупок'!$B515,'СТ Криптовалюта'!B:C,2,0))</f>
        <v/>
      </c>
      <c r="E515" s="68" t="str">
        <f t="shared" si="40"/>
        <v/>
      </c>
      <c r="F515" s="70"/>
      <c r="G515" s="71"/>
      <c r="H515" s="71"/>
      <c r="I515" s="71" t="str">
        <f t="shared" si="41"/>
        <v/>
      </c>
      <c r="J515" s="71"/>
      <c r="K515" s="71"/>
      <c r="L515" s="71"/>
      <c r="M515" s="71"/>
      <c r="N515" s="71" t="str">
        <f ca="1">IF(H515="","",IF(D515="usdt",H515,IF(C515="Binance",VLOOKUP(E515,'Курсы Бинанса'!B:C,2,FALSE),IF(C515="bybit",VLOOKUP(E515,'Курсы Bybit'!B:C,2,FALSE),IF(C515="OKX",VLOOKUP(E515,'Курсы OKX'!A:D,4,FALSE),IF(C515="huobi",VLOOKUP(E515,'Курсы Huobi'!B:C,2,FALSE),"! укажите биржу"))))))</f>
        <v/>
      </c>
      <c r="O515" s="71" t="str">
        <f t="shared" si="42"/>
        <v/>
      </c>
      <c r="P515" s="71" t="str">
        <f t="shared" si="43"/>
        <v/>
      </c>
      <c r="Q515" s="75" t="str">
        <f t="shared" si="44"/>
        <v/>
      </c>
      <c r="R515" s="76"/>
    </row>
    <row r="516" spans="1:18" ht="14.25" customHeight="1">
      <c r="A516" s="67"/>
      <c r="B516" s="68"/>
      <c r="C516" s="69"/>
      <c r="D516" s="69" t="str">
        <f ca="1">IF(B516="","",VLOOKUP('Журнал Закупок'!$B516,'СТ Криптовалюта'!B:C,2,0))</f>
        <v/>
      </c>
      <c r="E516" s="68" t="str">
        <f t="shared" si="40"/>
        <v/>
      </c>
      <c r="F516" s="70"/>
      <c r="G516" s="71"/>
      <c r="H516" s="71"/>
      <c r="I516" s="71" t="str">
        <f t="shared" si="41"/>
        <v/>
      </c>
      <c r="J516" s="71"/>
      <c r="K516" s="71"/>
      <c r="L516" s="71"/>
      <c r="M516" s="71"/>
      <c r="N516" s="71" t="str">
        <f ca="1">IF(H516="","",IF(D516="usdt",H516,IF(C516="Binance",VLOOKUP(E516,'Курсы Бинанса'!B:C,2,FALSE),IF(C516="bybit",VLOOKUP(E516,'Курсы Bybit'!B:C,2,FALSE),IF(C516="OKX",VLOOKUP(E516,'Курсы OKX'!A:D,4,FALSE),IF(C516="huobi",VLOOKUP(E516,'Курсы Huobi'!B:C,2,FALSE),"! укажите биржу"))))))</f>
        <v/>
      </c>
      <c r="O516" s="71" t="str">
        <f t="shared" si="42"/>
        <v/>
      </c>
      <c r="P516" s="71" t="str">
        <f t="shared" si="43"/>
        <v/>
      </c>
      <c r="Q516" s="75" t="str">
        <f t="shared" si="44"/>
        <v/>
      </c>
      <c r="R516" s="76"/>
    </row>
    <row r="517" spans="1:18" ht="14.25" customHeight="1">
      <c r="A517" s="67"/>
      <c r="B517" s="68"/>
      <c r="C517" s="69"/>
      <c r="D517" s="69" t="str">
        <f ca="1">IF(B517="","",VLOOKUP('Журнал Закупок'!$B517,'СТ Криптовалюта'!B:C,2,0))</f>
        <v/>
      </c>
      <c r="E517" s="68" t="str">
        <f t="shared" si="40"/>
        <v/>
      </c>
      <c r="F517" s="70"/>
      <c r="G517" s="71"/>
      <c r="H517" s="71"/>
      <c r="I517" s="71" t="str">
        <f t="shared" si="41"/>
        <v/>
      </c>
      <c r="J517" s="71"/>
      <c r="K517" s="71"/>
      <c r="L517" s="71"/>
      <c r="M517" s="71"/>
      <c r="N517" s="71" t="str">
        <f ca="1">IF(H517="","",IF(D517="usdt",H517,IF(C517="Binance",VLOOKUP(E517,'Курсы Бинанса'!B:C,2,FALSE),IF(C517="bybit",VLOOKUP(E517,'Курсы Bybit'!B:C,2,FALSE),IF(C517="OKX",VLOOKUP(E517,'Курсы OKX'!A:D,4,FALSE),IF(C517="huobi",VLOOKUP(E517,'Курсы Huobi'!B:C,2,FALSE),"! укажите биржу"))))))</f>
        <v/>
      </c>
      <c r="O517" s="71" t="str">
        <f t="shared" si="42"/>
        <v/>
      </c>
      <c r="P517" s="71" t="str">
        <f t="shared" si="43"/>
        <v/>
      </c>
      <c r="Q517" s="75" t="str">
        <f t="shared" si="44"/>
        <v/>
      </c>
      <c r="R517" s="76"/>
    </row>
    <row r="518" spans="1:18" ht="14.25" customHeight="1">
      <c r="A518" s="67"/>
      <c r="B518" s="68"/>
      <c r="C518" s="69"/>
      <c r="D518" s="69" t="str">
        <f ca="1">IF(B518="","",VLOOKUP('Журнал Закупок'!$B518,'СТ Криптовалюта'!B:C,2,0))</f>
        <v/>
      </c>
      <c r="E518" s="68" t="str">
        <f t="shared" si="40"/>
        <v/>
      </c>
      <c r="F518" s="70"/>
      <c r="G518" s="71"/>
      <c r="H518" s="71"/>
      <c r="I518" s="71" t="str">
        <f t="shared" si="41"/>
        <v/>
      </c>
      <c r="J518" s="71"/>
      <c r="K518" s="71"/>
      <c r="L518" s="71"/>
      <c r="M518" s="71"/>
      <c r="N518" s="71" t="str">
        <f ca="1">IF(H518="","",IF(D518="usdt",H518,IF(C518="Binance",VLOOKUP(E518,'Курсы Бинанса'!B:C,2,FALSE),IF(C518="bybit",VLOOKUP(E518,'Курсы Bybit'!B:C,2,FALSE),IF(C518="OKX",VLOOKUP(E518,'Курсы OKX'!A:D,4,FALSE),IF(C518="huobi",VLOOKUP(E518,'Курсы Huobi'!B:C,2,FALSE),"! укажите биржу"))))))</f>
        <v/>
      </c>
      <c r="O518" s="71" t="str">
        <f t="shared" si="42"/>
        <v/>
      </c>
      <c r="P518" s="71" t="str">
        <f t="shared" si="43"/>
        <v/>
      </c>
      <c r="Q518" s="75" t="str">
        <f t="shared" si="44"/>
        <v/>
      </c>
      <c r="R518" s="76"/>
    </row>
    <row r="519" spans="1:18" ht="14.25" customHeight="1">
      <c r="A519" s="67"/>
      <c r="B519" s="68"/>
      <c r="C519" s="69"/>
      <c r="D519" s="69" t="str">
        <f ca="1">IF(B519="","",VLOOKUP('Журнал Закупок'!$B519,'СТ Криптовалюта'!B:C,2,0))</f>
        <v/>
      </c>
      <c r="E519" s="68" t="str">
        <f t="shared" si="40"/>
        <v/>
      </c>
      <c r="F519" s="70"/>
      <c r="G519" s="71"/>
      <c r="H519" s="71"/>
      <c r="I519" s="71" t="str">
        <f t="shared" si="41"/>
        <v/>
      </c>
      <c r="J519" s="71"/>
      <c r="K519" s="71"/>
      <c r="L519" s="71"/>
      <c r="M519" s="71"/>
      <c r="N519" s="71" t="str">
        <f ca="1">IF(H519="","",IF(D519="usdt",H519,IF(C519="Binance",VLOOKUP(E519,'Курсы Бинанса'!B:C,2,FALSE),IF(C519="bybit",VLOOKUP(E519,'Курсы Bybit'!B:C,2,FALSE),IF(C519="OKX",VLOOKUP(E519,'Курсы OKX'!A:D,4,FALSE),IF(C519="huobi",VLOOKUP(E519,'Курсы Huobi'!B:C,2,FALSE),"! укажите биржу"))))))</f>
        <v/>
      </c>
      <c r="O519" s="71" t="str">
        <f t="shared" si="42"/>
        <v/>
      </c>
      <c r="P519" s="71" t="str">
        <f t="shared" si="43"/>
        <v/>
      </c>
      <c r="Q519" s="75" t="str">
        <f t="shared" si="44"/>
        <v/>
      </c>
      <c r="R519" s="76"/>
    </row>
    <row r="520" spans="1:18" ht="14.25" customHeight="1">
      <c r="A520" s="67"/>
      <c r="B520" s="68"/>
      <c r="C520" s="69"/>
      <c r="D520" s="69" t="str">
        <f ca="1">IF(B520="","",VLOOKUP('Журнал Закупок'!$B520,'СТ Криптовалюта'!B:C,2,0))</f>
        <v/>
      </c>
      <c r="E520" s="68"/>
      <c r="F520" s="70"/>
      <c r="G520" s="71"/>
      <c r="H520" s="71"/>
      <c r="I520" s="71" t="str">
        <f t="shared" si="41"/>
        <v/>
      </c>
      <c r="J520" s="71"/>
      <c r="K520" s="71"/>
      <c r="L520" s="71"/>
      <c r="M520" s="71"/>
      <c r="N520" s="71" t="str">
        <f ca="1">IF(H520="","",IF(D520="usdt",H520,IF(C520="Binance",VLOOKUP(E520,'Курсы Бинанса'!B:C,2,FALSE),IF(C520="bybit",VLOOKUP(E520,'Курсы Bybit'!B:C,2,FALSE),IF(C520="OKX",VLOOKUP(E520,'Курсы OKX'!A:D,4,FALSE),IF(C520="huobi",VLOOKUP(E520,'Курсы Huobi'!B:C,2,FALSE),"! укажите биржу"))))))</f>
        <v/>
      </c>
      <c r="O520" s="71" t="str">
        <f t="shared" si="42"/>
        <v/>
      </c>
      <c r="P520" s="71" t="str">
        <f t="shared" si="43"/>
        <v/>
      </c>
      <c r="Q520" s="75" t="str">
        <f t="shared" si="44"/>
        <v/>
      </c>
      <c r="R520" s="76"/>
    </row>
    <row r="521" spans="1:18" ht="14.25" customHeight="1">
      <c r="A521" s="67"/>
      <c r="B521" s="68"/>
      <c r="C521" s="69"/>
      <c r="D521" s="69" t="str">
        <f ca="1">IF(B521="","",VLOOKUP('Журнал Закупок'!$B521,'СТ Криптовалюта'!B:C,2,0))</f>
        <v/>
      </c>
      <c r="E521" s="68"/>
      <c r="F521" s="70"/>
      <c r="G521" s="71"/>
      <c r="H521" s="71"/>
      <c r="I521" s="71" t="str">
        <f t="shared" si="41"/>
        <v/>
      </c>
      <c r="J521" s="71"/>
      <c r="K521" s="71"/>
      <c r="L521" s="71"/>
      <c r="M521" s="71"/>
      <c r="N521" s="71" t="str">
        <f ca="1">IF(H521="","",IF(D521="usdt",H521,IF(C521="Binance",VLOOKUP(E521,'Курсы Бинанса'!B:C,2,FALSE),IF(C521="bybit",VLOOKUP(E521,'Курсы Bybit'!B:C,2,FALSE),IF(C521="OKX",VLOOKUP(E521,'Курсы OKX'!A:D,4,FALSE),IF(C521="huobi",VLOOKUP(E521,'Курсы Huobi'!B:C,2,FALSE),"! укажите биржу"))))))</f>
        <v/>
      </c>
      <c r="O521" s="71" t="str">
        <f t="shared" si="42"/>
        <v/>
      </c>
      <c r="P521" s="71" t="str">
        <f t="shared" si="43"/>
        <v/>
      </c>
      <c r="Q521" s="75" t="str">
        <f t="shared" si="44"/>
        <v/>
      </c>
      <c r="R521" s="76"/>
    </row>
    <row r="522" spans="1:18" ht="14.25" customHeight="1">
      <c r="A522" s="67"/>
      <c r="B522" s="68"/>
      <c r="C522" s="69"/>
      <c r="D522" s="69" t="str">
        <f ca="1">IF(B522="","",VLOOKUP('Журнал Закупок'!$B522,'СТ Криптовалюта'!B:C,2,0))</f>
        <v/>
      </c>
      <c r="E522" s="68"/>
      <c r="F522" s="70"/>
      <c r="G522" s="71"/>
      <c r="H522" s="71"/>
      <c r="I522" s="71" t="str">
        <f t="shared" si="41"/>
        <v/>
      </c>
      <c r="J522" s="71"/>
      <c r="K522" s="71"/>
      <c r="L522" s="71"/>
      <c r="M522" s="71"/>
      <c r="N522" s="71" t="str">
        <f ca="1">IF(H522="","",IF(D522="usdt",H522,IF(C522="Binance",VLOOKUP(E522,'Курсы Бинанса'!B:C,2,FALSE),IF(C522="bybit",VLOOKUP(E522,'Курсы Bybit'!B:C,2,FALSE),IF(C522="OKX",VLOOKUP(E522,'Курсы OKX'!A:D,4,FALSE),IF(C522="huobi",VLOOKUP(E522,'Курсы Huobi'!B:C,2,FALSE),"! укажите биржу"))))))</f>
        <v/>
      </c>
      <c r="O522" s="71" t="str">
        <f t="shared" si="42"/>
        <v/>
      </c>
      <c r="P522" s="71" t="str">
        <f t="shared" si="43"/>
        <v/>
      </c>
      <c r="Q522" s="75" t="str">
        <f t="shared" si="44"/>
        <v/>
      </c>
      <c r="R522" s="76"/>
    </row>
    <row r="523" spans="1:18" ht="14.25" customHeight="1">
      <c r="A523" s="67"/>
      <c r="B523" s="68"/>
      <c r="C523" s="69"/>
      <c r="D523" s="69" t="str">
        <f ca="1">IF(B523="","",VLOOKUP('Журнал Закупок'!$B523,'СТ Криптовалюта'!B:C,2,0))</f>
        <v/>
      </c>
      <c r="E523" s="68"/>
      <c r="F523" s="70"/>
      <c r="G523" s="71"/>
      <c r="H523" s="71"/>
      <c r="I523" s="71" t="str">
        <f t="shared" si="41"/>
        <v/>
      </c>
      <c r="J523" s="71"/>
      <c r="K523" s="71"/>
      <c r="L523" s="71"/>
      <c r="M523" s="71"/>
      <c r="N523" s="71" t="str">
        <f ca="1">IF(H523="","",IF(D523="usdt",H523,IF(C523="Binance",VLOOKUP(E523,'Курсы Бинанса'!B:C,2,FALSE),IF(C523="bybit",VLOOKUP(E523,'Курсы Bybit'!B:C,2,FALSE),IF(C523="OKX",VLOOKUP(E523,'Курсы OKX'!A:D,4,FALSE),IF(C523="huobi",VLOOKUP(E523,'Курсы Huobi'!B:C,2,FALSE),"! укажите биржу"))))))</f>
        <v/>
      </c>
      <c r="O523" s="71" t="str">
        <f t="shared" si="42"/>
        <v/>
      </c>
      <c r="P523" s="71" t="str">
        <f t="shared" si="43"/>
        <v/>
      </c>
      <c r="Q523" s="75" t="str">
        <f t="shared" si="44"/>
        <v/>
      </c>
      <c r="R523" s="76"/>
    </row>
    <row r="524" spans="1:18" ht="14.25" customHeight="1">
      <c r="A524" s="67"/>
      <c r="B524" s="68"/>
      <c r="C524" s="69"/>
      <c r="D524" s="69" t="str">
        <f ca="1">IF(B524="","",VLOOKUP('Журнал Закупок'!$B524,'СТ Криптовалюта'!B:C,2,0))</f>
        <v/>
      </c>
      <c r="E524" s="68"/>
      <c r="F524" s="70"/>
      <c r="G524" s="71"/>
      <c r="H524" s="71"/>
      <c r="I524" s="71" t="str">
        <f t="shared" si="41"/>
        <v/>
      </c>
      <c r="J524" s="71"/>
      <c r="K524" s="71"/>
      <c r="L524" s="71"/>
      <c r="M524" s="71"/>
      <c r="N524" s="71" t="str">
        <f ca="1">IF(H524="","",IF(D524="usdt",H524,IF(C524="Binance",VLOOKUP(E524,'Курсы Бинанса'!B:C,2,FALSE),IF(C524="bybit",VLOOKUP(E524,'Курсы Bybit'!B:C,2,FALSE),IF(C524="OKX",VLOOKUP(E524,'Курсы OKX'!A:D,4,FALSE),IF(C524="huobi",VLOOKUP(E524,'Курсы Huobi'!B:C,2,FALSE),"! укажите биржу"))))))</f>
        <v/>
      </c>
      <c r="O524" s="71" t="str">
        <f t="shared" si="42"/>
        <v/>
      </c>
      <c r="P524" s="71" t="str">
        <f t="shared" si="43"/>
        <v/>
      </c>
      <c r="Q524" s="75" t="str">
        <f t="shared" si="44"/>
        <v/>
      </c>
      <c r="R524" s="76"/>
    </row>
    <row r="525" spans="1:18" ht="14.25" customHeight="1">
      <c r="A525" s="67"/>
      <c r="B525" s="68"/>
      <c r="C525" s="69"/>
      <c r="D525" s="69" t="str">
        <f ca="1">IF(B525="","",VLOOKUP('Журнал Закупок'!$B525,'СТ Криптовалюта'!B:C,2,0))</f>
        <v/>
      </c>
      <c r="E525" s="68"/>
      <c r="F525" s="70"/>
      <c r="G525" s="71"/>
      <c r="H525" s="71"/>
      <c r="I525" s="71" t="str">
        <f t="shared" si="41"/>
        <v/>
      </c>
      <c r="J525" s="71"/>
      <c r="K525" s="71"/>
      <c r="L525" s="71"/>
      <c r="M525" s="71"/>
      <c r="N525" s="71" t="str">
        <f ca="1">IF(H525="","",IF(D525="usdt",H525,IF(C525="Binance",VLOOKUP(E525,'Курсы Бинанса'!B:C,2,FALSE),IF(C525="bybit",VLOOKUP(E525,'Курсы Bybit'!B:C,2,FALSE),IF(C525="OKX",VLOOKUP(E525,'Курсы OKX'!A:D,4,FALSE),IF(C525="huobi",VLOOKUP(E525,'Курсы Huobi'!B:C,2,FALSE),"! укажите биржу"))))))</f>
        <v/>
      </c>
      <c r="O525" s="71" t="str">
        <f t="shared" si="42"/>
        <v/>
      </c>
      <c r="P525" s="71" t="str">
        <f t="shared" si="43"/>
        <v/>
      </c>
      <c r="Q525" s="75" t="str">
        <f t="shared" si="44"/>
        <v/>
      </c>
      <c r="R525" s="76"/>
    </row>
    <row r="526" spans="1:18" ht="14.25" customHeight="1">
      <c r="A526" s="67"/>
      <c r="B526" s="68"/>
      <c r="C526" s="69"/>
      <c r="D526" s="69" t="str">
        <f ca="1">IF(B526="","",VLOOKUP('Журнал Закупок'!$B526,'СТ Криптовалюта'!B:C,2,0))</f>
        <v/>
      </c>
      <c r="E526" s="68"/>
      <c r="F526" s="70"/>
      <c r="G526" s="71"/>
      <c r="H526" s="71"/>
      <c r="I526" s="71" t="str">
        <f t="shared" si="41"/>
        <v/>
      </c>
      <c r="J526" s="71"/>
      <c r="K526" s="71"/>
      <c r="L526" s="71"/>
      <c r="M526" s="71"/>
      <c r="N526" s="71" t="str">
        <f ca="1">IF(H526="","",IF(D526="usdt",H526,IF(C526="Binance",VLOOKUP(E526,'Курсы Бинанса'!B:C,2,FALSE),IF(C526="bybit",VLOOKUP(E526,'Курсы Bybit'!B:C,2,FALSE),IF(C526="OKX",VLOOKUP(E526,'Курсы OKX'!A:D,4,FALSE),IF(C526="huobi",VLOOKUP(E526,'Курсы Huobi'!B:C,2,FALSE),"! укажите биржу"))))))</f>
        <v/>
      </c>
      <c r="O526" s="71" t="str">
        <f t="shared" si="42"/>
        <v/>
      </c>
      <c r="P526" s="71" t="str">
        <f t="shared" si="43"/>
        <v/>
      </c>
      <c r="Q526" s="75" t="str">
        <f t="shared" si="44"/>
        <v/>
      </c>
      <c r="R526" s="76"/>
    </row>
    <row r="527" spans="1:18" ht="14.25" customHeight="1">
      <c r="A527" s="67"/>
      <c r="B527" s="68"/>
      <c r="C527" s="69"/>
      <c r="D527" s="69" t="str">
        <f ca="1">IF(B527="","",VLOOKUP('Журнал Закупок'!$B527,'СТ Криптовалюта'!B:C,2,0))</f>
        <v/>
      </c>
      <c r="E527" s="68"/>
      <c r="F527" s="70"/>
      <c r="G527" s="71"/>
      <c r="H527" s="71"/>
      <c r="I527" s="71" t="str">
        <f t="shared" si="41"/>
        <v/>
      </c>
      <c r="J527" s="71"/>
      <c r="K527" s="71"/>
      <c r="L527" s="71"/>
      <c r="M527" s="71"/>
      <c r="N527" s="71" t="str">
        <f ca="1">IF(H527="","",IF(D527="usdt",H527,IF(C527="Binance",VLOOKUP(E527,'Курсы Бинанса'!B:C,2,FALSE),IF(C527="bybit",VLOOKUP(E527,'Курсы Bybit'!B:C,2,FALSE),IF(C527="OKX",VLOOKUP(E527,'Курсы OKX'!A:D,4,FALSE),IF(C527="huobi",VLOOKUP(E527,'Курсы Huobi'!B:C,2,FALSE),"! укажите биржу"))))))</f>
        <v/>
      </c>
      <c r="O527" s="71" t="str">
        <f t="shared" si="42"/>
        <v/>
      </c>
      <c r="P527" s="71" t="str">
        <f t="shared" si="43"/>
        <v/>
      </c>
      <c r="Q527" s="75" t="str">
        <f t="shared" si="44"/>
        <v/>
      </c>
      <c r="R527" s="76"/>
    </row>
    <row r="528" spans="1:18" ht="14.25" customHeight="1">
      <c r="A528" s="67"/>
      <c r="B528" s="68"/>
      <c r="C528" s="69"/>
      <c r="D528" s="69" t="str">
        <f ca="1">IF(B528="","",VLOOKUP('Журнал Закупок'!$B528,'СТ Криптовалюта'!B:C,2,0))</f>
        <v/>
      </c>
      <c r="E528" s="68"/>
      <c r="F528" s="70"/>
      <c r="G528" s="71"/>
      <c r="H528" s="71"/>
      <c r="I528" s="71" t="str">
        <f t="shared" si="41"/>
        <v/>
      </c>
      <c r="J528" s="71"/>
      <c r="K528" s="71"/>
      <c r="L528" s="71"/>
      <c r="M528" s="71"/>
      <c r="N528" s="71" t="str">
        <f ca="1">IF(H528="","",IF(D528="usdt",H528,IF(C528="Binance",VLOOKUP(E528,'Курсы Бинанса'!B:C,2,FALSE),IF(C528="bybit",VLOOKUP(E528,'Курсы Bybit'!B:C,2,FALSE),IF(C528="OKX",VLOOKUP(E528,'Курсы OKX'!A:D,4,FALSE),IF(C528="huobi",VLOOKUP(E528,'Курсы Huobi'!B:C,2,FALSE),"! укажите биржу"))))))</f>
        <v/>
      </c>
      <c r="O528" s="71" t="str">
        <f t="shared" si="42"/>
        <v/>
      </c>
      <c r="P528" s="71" t="str">
        <f t="shared" si="43"/>
        <v/>
      </c>
      <c r="Q528" s="75" t="str">
        <f t="shared" si="44"/>
        <v/>
      </c>
      <c r="R528" s="76"/>
    </row>
    <row r="529" spans="1:18" ht="14.25" customHeight="1">
      <c r="A529" s="67"/>
      <c r="B529" s="68"/>
      <c r="C529" s="69"/>
      <c r="D529" s="69" t="str">
        <f ca="1">IF(B529="","",VLOOKUP('Журнал Закупок'!$B529,'СТ Криптовалюта'!B:C,2,0))</f>
        <v/>
      </c>
      <c r="E529" s="68"/>
      <c r="F529" s="70"/>
      <c r="G529" s="71"/>
      <c r="H529" s="71"/>
      <c r="I529" s="71" t="str">
        <f t="shared" si="41"/>
        <v/>
      </c>
      <c r="J529" s="71"/>
      <c r="K529" s="71"/>
      <c r="L529" s="71"/>
      <c r="M529" s="71"/>
      <c r="N529" s="71" t="str">
        <f ca="1">IF(H529="","",IF(D529="usdt",H529,IF(C529="Binance",VLOOKUP(E529,'Курсы Бинанса'!B:C,2,FALSE),IF(C529="bybit",VLOOKUP(E529,'Курсы Bybit'!B:C,2,FALSE),IF(C529="OKX",VLOOKUP(E529,'Курсы OKX'!A:D,4,FALSE),IF(C529="huobi",VLOOKUP(E529,'Курсы Huobi'!B:C,2,FALSE),"! укажите биржу"))))))</f>
        <v/>
      </c>
      <c r="O529" s="71" t="str">
        <f t="shared" si="42"/>
        <v/>
      </c>
      <c r="P529" s="71" t="str">
        <f t="shared" si="43"/>
        <v/>
      </c>
      <c r="Q529" s="75" t="str">
        <f t="shared" si="44"/>
        <v/>
      </c>
      <c r="R529" s="76"/>
    </row>
    <row r="530" spans="1:18" ht="14.25" customHeight="1">
      <c r="A530" s="67"/>
      <c r="B530" s="68"/>
      <c r="C530" s="69"/>
      <c r="D530" s="69" t="str">
        <f ca="1">IF(B530="","",VLOOKUP('Журнал Закупок'!$B530,'СТ Криптовалюта'!B:C,2,0))</f>
        <v/>
      </c>
      <c r="E530" s="68"/>
      <c r="F530" s="70"/>
      <c r="G530" s="71"/>
      <c r="H530" s="71"/>
      <c r="I530" s="71" t="str">
        <f t="shared" si="41"/>
        <v/>
      </c>
      <c r="J530" s="71"/>
      <c r="K530" s="71"/>
      <c r="L530" s="71"/>
      <c r="M530" s="71"/>
      <c r="N530" s="71" t="str">
        <f ca="1">IF(H530="","",IF(D530="usdt",H530,IF(C530="Binance",VLOOKUP(E530,'Курсы Бинанса'!B:C,2,FALSE),IF(C530="bybit",VLOOKUP(E530,'Курсы Bybit'!B:C,2,FALSE),IF(C530="OKX",VLOOKUP(E530,'Курсы OKX'!A:D,4,FALSE),IF(C530="huobi",VLOOKUP(E530,'Курсы Huobi'!B:C,2,FALSE),"! укажите биржу"))))))</f>
        <v/>
      </c>
      <c r="O530" s="71" t="str">
        <f t="shared" si="42"/>
        <v/>
      </c>
      <c r="P530" s="71" t="str">
        <f t="shared" si="43"/>
        <v/>
      </c>
      <c r="Q530" s="75" t="str">
        <f t="shared" si="44"/>
        <v/>
      </c>
      <c r="R530" s="76"/>
    </row>
    <row r="531" spans="1:18" ht="14.25" customHeight="1">
      <c r="A531" s="67"/>
      <c r="B531" s="68"/>
      <c r="C531" s="69"/>
      <c r="D531" s="69" t="str">
        <f ca="1">IF(B531="","",VLOOKUP('Журнал Закупок'!$B531,'СТ Криптовалюта'!B:C,2,0))</f>
        <v/>
      </c>
      <c r="E531" s="68"/>
      <c r="F531" s="70"/>
      <c r="G531" s="71"/>
      <c r="H531" s="71"/>
      <c r="I531" s="71" t="str">
        <f t="shared" si="41"/>
        <v/>
      </c>
      <c r="J531" s="71"/>
      <c r="K531" s="71"/>
      <c r="L531" s="71"/>
      <c r="M531" s="71"/>
      <c r="N531" s="71" t="str">
        <f ca="1">IF(H531="","",IF(D531="usdt",H531,IF(C531="Binance",VLOOKUP(E531,'Курсы Бинанса'!B:C,2,FALSE),IF(C531="bybit",VLOOKUP(E531,'Курсы Bybit'!B:C,2,FALSE),IF(C531="OKX",VLOOKUP(E531,'Курсы OKX'!A:D,4,FALSE),IF(C531="huobi",VLOOKUP(E531,'Курсы Huobi'!B:C,2,FALSE),"! укажите биржу"))))))</f>
        <v/>
      </c>
      <c r="O531" s="71" t="str">
        <f t="shared" si="42"/>
        <v/>
      </c>
      <c r="P531" s="71" t="str">
        <f t="shared" si="43"/>
        <v/>
      </c>
      <c r="Q531" s="75" t="str">
        <f t="shared" si="44"/>
        <v/>
      </c>
      <c r="R531" s="76"/>
    </row>
    <row r="532" spans="1:18" ht="14.25" customHeight="1">
      <c r="A532" s="67"/>
      <c r="B532" s="68"/>
      <c r="C532" s="69"/>
      <c r="D532" s="69" t="str">
        <f ca="1">IF(B532="","",VLOOKUP('Журнал Закупок'!$B532,'СТ Криптовалюта'!B:C,2,0))</f>
        <v/>
      </c>
      <c r="E532" s="68"/>
      <c r="F532" s="70"/>
      <c r="G532" s="71"/>
      <c r="H532" s="71"/>
      <c r="I532" s="71" t="str">
        <f t="shared" si="41"/>
        <v/>
      </c>
      <c r="J532" s="71"/>
      <c r="K532" s="71"/>
      <c r="L532" s="71"/>
      <c r="M532" s="71"/>
      <c r="N532" s="71" t="str">
        <f ca="1">IF(H532="","",IF(D532="usdt",H532,IF(C532="Binance",VLOOKUP(E532,'Курсы Бинанса'!B:C,2,FALSE),IF(C532="bybit",VLOOKUP(E532,'Курсы Bybit'!B:C,2,FALSE),IF(C532="OKX",VLOOKUP(E532,'Курсы OKX'!A:D,4,FALSE),IF(C532="huobi",VLOOKUP(E532,'Курсы Huobi'!B:C,2,FALSE),"! укажите биржу"))))))</f>
        <v/>
      </c>
      <c r="O532" s="71" t="str">
        <f t="shared" si="42"/>
        <v/>
      </c>
      <c r="P532" s="71" t="str">
        <f t="shared" si="43"/>
        <v/>
      </c>
      <c r="Q532" s="75" t="str">
        <f t="shared" si="44"/>
        <v/>
      </c>
      <c r="R532" s="76"/>
    </row>
    <row r="533" spans="1:18" ht="14.25" customHeight="1">
      <c r="A533" s="67"/>
      <c r="B533" s="68"/>
      <c r="C533" s="69"/>
      <c r="D533" s="69" t="str">
        <f ca="1">IF(B533="","",VLOOKUP('Журнал Закупок'!$B533,'СТ Криптовалюта'!B:C,2,0))</f>
        <v/>
      </c>
      <c r="E533" s="68"/>
      <c r="F533" s="70"/>
      <c r="G533" s="71"/>
      <c r="H533" s="71"/>
      <c r="I533" s="71" t="str">
        <f t="shared" si="41"/>
        <v/>
      </c>
      <c r="J533" s="71"/>
      <c r="K533" s="71"/>
      <c r="L533" s="71"/>
      <c r="M533" s="71"/>
      <c r="N533" s="71" t="str">
        <f ca="1">IF(H533="","",IF(D533="usdt",H533,IF(C533="Binance",VLOOKUP(E533,'Курсы Бинанса'!B:C,2,FALSE),IF(C533="bybit",VLOOKUP(E533,'Курсы Bybit'!B:C,2,FALSE),IF(C533="OKX",VLOOKUP(E533,'Курсы OKX'!A:D,4,FALSE),IF(C533="huobi",VLOOKUP(E533,'Курсы Huobi'!B:C,2,FALSE),"! укажите биржу"))))))</f>
        <v/>
      </c>
      <c r="O533" s="71" t="str">
        <f t="shared" si="42"/>
        <v/>
      </c>
      <c r="P533" s="71" t="str">
        <f t="shared" si="43"/>
        <v/>
      </c>
      <c r="Q533" s="75" t="str">
        <f t="shared" si="44"/>
        <v/>
      </c>
      <c r="R533" s="76"/>
    </row>
    <row r="534" spans="1:18" ht="14.25" customHeight="1">
      <c r="A534" s="67"/>
      <c r="B534" s="68"/>
      <c r="C534" s="69"/>
      <c r="D534" s="69" t="str">
        <f ca="1">IF(B534="","",VLOOKUP('Журнал Закупок'!$B534,'СТ Криптовалюта'!B:C,2,0))</f>
        <v/>
      </c>
      <c r="E534" s="68"/>
      <c r="F534" s="70"/>
      <c r="G534" s="71"/>
      <c r="H534" s="71"/>
      <c r="I534" s="71" t="str">
        <f t="shared" si="41"/>
        <v/>
      </c>
      <c r="J534" s="71"/>
      <c r="K534" s="71"/>
      <c r="L534" s="71"/>
      <c r="M534" s="71"/>
      <c r="N534" s="71" t="str">
        <f ca="1">IF(H534="","",IF(D534="usdt",H534,IF(C534="Binance",VLOOKUP(E534,'Курсы Бинанса'!B:C,2,FALSE),IF(C534="bybit",VLOOKUP(E534,'Курсы Bybit'!B:C,2,FALSE),IF(C534="OKX",VLOOKUP(E534,'Курсы OKX'!A:D,4,FALSE),IF(C534="huobi",VLOOKUP(E534,'Курсы Huobi'!B:C,2,FALSE),"! укажите биржу"))))))</f>
        <v/>
      </c>
      <c r="O534" s="71" t="str">
        <f t="shared" si="42"/>
        <v/>
      </c>
      <c r="P534" s="71" t="str">
        <f t="shared" si="43"/>
        <v/>
      </c>
      <c r="Q534" s="75" t="str">
        <f t="shared" si="44"/>
        <v/>
      </c>
      <c r="R534" s="76"/>
    </row>
    <row r="535" spans="1:18" ht="14.25" customHeight="1">
      <c r="A535" s="67"/>
      <c r="B535" s="68"/>
      <c r="C535" s="69"/>
      <c r="D535" s="69" t="str">
        <f ca="1">IF(B535="","",VLOOKUP('Журнал Закупок'!$B535,'СТ Криптовалюта'!B:C,2,0))</f>
        <v/>
      </c>
      <c r="E535" s="68"/>
      <c r="F535" s="70"/>
      <c r="G535" s="71"/>
      <c r="H535" s="71"/>
      <c r="I535" s="71" t="str">
        <f t="shared" si="41"/>
        <v/>
      </c>
      <c r="J535" s="71"/>
      <c r="K535" s="71"/>
      <c r="L535" s="71"/>
      <c r="M535" s="71"/>
      <c r="N535" s="71" t="str">
        <f ca="1">IF(H535="","",IF(D535="usdt",H535,IF(C535="Binance",VLOOKUP(E535,'Курсы Бинанса'!B:C,2,FALSE),IF(C535="bybit",VLOOKUP(E535,'Курсы Bybit'!B:C,2,FALSE),IF(C535="OKX",VLOOKUP(E535,'Курсы OKX'!A:D,4,FALSE),IF(C535="huobi",VLOOKUP(E535,'Курсы Huobi'!B:C,2,FALSE),"! укажите биржу"))))))</f>
        <v/>
      </c>
      <c r="O535" s="71" t="str">
        <f t="shared" si="42"/>
        <v/>
      </c>
      <c r="P535" s="71" t="str">
        <f t="shared" si="43"/>
        <v/>
      </c>
      <c r="Q535" s="75" t="str">
        <f t="shared" si="44"/>
        <v/>
      </c>
      <c r="R535" s="76"/>
    </row>
    <row r="536" spans="1:18" ht="14.25" customHeight="1">
      <c r="A536" s="67"/>
      <c r="B536" s="68"/>
      <c r="C536" s="69"/>
      <c r="D536" s="69" t="str">
        <f ca="1">IF(B536="","",VLOOKUP('Журнал Закупок'!$B536,'СТ Криптовалюта'!B:C,2,0))</f>
        <v/>
      </c>
      <c r="E536" s="68"/>
      <c r="F536" s="70"/>
      <c r="G536" s="71"/>
      <c r="H536" s="71"/>
      <c r="I536" s="71" t="str">
        <f t="shared" si="41"/>
        <v/>
      </c>
      <c r="J536" s="71"/>
      <c r="K536" s="71"/>
      <c r="L536" s="71"/>
      <c r="M536" s="71"/>
      <c r="N536" s="71" t="str">
        <f ca="1">IF(H536="","",IF(D536="usdt",H536,IF(C536="Binance",VLOOKUP(E536,'Курсы Бинанса'!B:C,2,FALSE),IF(C536="bybit",VLOOKUP(E536,'Курсы Bybit'!B:C,2,FALSE),IF(C536="OKX",VLOOKUP(E536,'Курсы OKX'!A:D,4,FALSE),IF(C536="huobi",VLOOKUP(E536,'Курсы Huobi'!B:C,2,FALSE),"! укажите биржу"))))))</f>
        <v/>
      </c>
      <c r="O536" s="71" t="str">
        <f t="shared" si="42"/>
        <v/>
      </c>
      <c r="P536" s="71" t="str">
        <f t="shared" si="43"/>
        <v/>
      </c>
      <c r="Q536" s="75" t="str">
        <f t="shared" si="44"/>
        <v/>
      </c>
      <c r="R536" s="76"/>
    </row>
    <row r="537" spans="1:18" ht="14.25" customHeight="1">
      <c r="A537" s="67"/>
      <c r="B537" s="68"/>
      <c r="C537" s="69"/>
      <c r="D537" s="69" t="str">
        <f ca="1">IF(B537="","",VLOOKUP('Журнал Закупок'!$B537,'СТ Криптовалюта'!B:C,2,0))</f>
        <v/>
      </c>
      <c r="E537" s="68"/>
      <c r="F537" s="70"/>
      <c r="G537" s="71"/>
      <c r="H537" s="71"/>
      <c r="I537" s="71" t="str">
        <f t="shared" si="41"/>
        <v/>
      </c>
      <c r="J537" s="71"/>
      <c r="K537" s="71"/>
      <c r="L537" s="71"/>
      <c r="M537" s="71"/>
      <c r="N537" s="71" t="str">
        <f ca="1">IF(H537="","",IF(D537="usdt",H537,IF(C537="Binance",VLOOKUP(E537,'Курсы Бинанса'!B:C,2,FALSE),IF(C537="bybit",VLOOKUP(E537,'Курсы Bybit'!B:C,2,FALSE),IF(C537="OKX",VLOOKUP(E537,'Курсы OKX'!A:D,4,FALSE),IF(C537="huobi",VLOOKUP(E537,'Курсы Huobi'!B:C,2,FALSE),"! укажите биржу"))))))</f>
        <v/>
      </c>
      <c r="O537" s="71" t="str">
        <f t="shared" si="42"/>
        <v/>
      </c>
      <c r="P537" s="71" t="str">
        <f t="shared" si="43"/>
        <v/>
      </c>
      <c r="Q537" s="75" t="str">
        <f t="shared" si="44"/>
        <v/>
      </c>
      <c r="R537" s="76"/>
    </row>
    <row r="538" spans="1:18" ht="14.25" customHeight="1">
      <c r="A538" s="67"/>
      <c r="B538" s="68"/>
      <c r="C538" s="69"/>
      <c r="D538" s="69" t="str">
        <f ca="1">IF(B538="","",VLOOKUP('Журнал Закупок'!$B538,'СТ Криптовалюта'!B:C,2,0))</f>
        <v/>
      </c>
      <c r="E538" s="68"/>
      <c r="F538" s="70"/>
      <c r="G538" s="71"/>
      <c r="H538" s="71"/>
      <c r="I538" s="71" t="str">
        <f t="shared" si="41"/>
        <v/>
      </c>
      <c r="J538" s="71"/>
      <c r="K538" s="71"/>
      <c r="L538" s="71"/>
      <c r="M538" s="71"/>
      <c r="N538" s="71" t="str">
        <f ca="1">IF(H538="","",IF(D538="usdt",H538,IF(C538="Binance",VLOOKUP(E538,'Курсы Бинанса'!B:C,2,FALSE),IF(C538="bybit",VLOOKUP(E538,'Курсы Bybit'!B:C,2,FALSE),IF(C538="OKX",VLOOKUP(E538,'Курсы OKX'!A:D,4,FALSE),IF(C538="huobi",VLOOKUP(E538,'Курсы Huobi'!B:C,2,FALSE),"! укажите биржу"))))))</f>
        <v/>
      </c>
      <c r="O538" s="71" t="str">
        <f t="shared" si="42"/>
        <v/>
      </c>
      <c r="P538" s="71" t="str">
        <f t="shared" si="43"/>
        <v/>
      </c>
      <c r="Q538" s="75" t="str">
        <f t="shared" si="44"/>
        <v/>
      </c>
      <c r="R538" s="76"/>
    </row>
    <row r="539" spans="1:18" ht="14.25" customHeight="1">
      <c r="A539" s="67"/>
      <c r="B539" s="68"/>
      <c r="C539" s="69"/>
      <c r="D539" s="69" t="str">
        <f ca="1">IF(B539="","",VLOOKUP('Журнал Закупок'!$B539,'СТ Криптовалюта'!B:C,2,0))</f>
        <v/>
      </c>
      <c r="E539" s="68"/>
      <c r="F539" s="70"/>
      <c r="G539" s="71"/>
      <c r="H539" s="71"/>
      <c r="I539" s="71" t="str">
        <f t="shared" si="41"/>
        <v/>
      </c>
      <c r="J539" s="71"/>
      <c r="K539" s="71"/>
      <c r="L539" s="71"/>
      <c r="M539" s="71"/>
      <c r="N539" s="71" t="str">
        <f ca="1">IF(H539="","",IF(D539="usdt",H539,IF(C539="Binance",VLOOKUP(E539,'Курсы Бинанса'!B:C,2,FALSE),IF(C539="bybit",VLOOKUP(E539,'Курсы Bybit'!B:C,2,FALSE),IF(C539="OKX",VLOOKUP(E539,'Курсы OKX'!A:D,4,FALSE),IF(C539="huobi",VLOOKUP(E539,'Курсы Huobi'!B:C,2,FALSE),"! укажите биржу"))))))</f>
        <v/>
      </c>
      <c r="O539" s="71" t="str">
        <f t="shared" si="42"/>
        <v/>
      </c>
      <c r="P539" s="71" t="str">
        <f t="shared" si="43"/>
        <v/>
      </c>
      <c r="Q539" s="75" t="str">
        <f t="shared" si="44"/>
        <v/>
      </c>
      <c r="R539" s="76"/>
    </row>
    <row r="540" spans="1:18" ht="14.25" customHeight="1">
      <c r="A540" s="67"/>
      <c r="B540" s="68"/>
      <c r="C540" s="69"/>
      <c r="D540" s="69" t="str">
        <f ca="1">IF(B540="","",VLOOKUP('Журнал Закупок'!$B540,'СТ Криптовалюта'!B:C,2,0))</f>
        <v/>
      </c>
      <c r="E540" s="68"/>
      <c r="F540" s="70"/>
      <c r="G540" s="71"/>
      <c r="H540" s="71"/>
      <c r="I540" s="71" t="str">
        <f t="shared" si="41"/>
        <v/>
      </c>
      <c r="J540" s="71"/>
      <c r="K540" s="71"/>
      <c r="L540" s="71"/>
      <c r="M540" s="71"/>
      <c r="N540" s="71" t="str">
        <f ca="1">IF(H540="","",IF(D540="usdt",H540,IF(C540="Binance",VLOOKUP(E540,'Курсы Бинанса'!B:C,2,FALSE),IF(C540="bybit",VLOOKUP(E540,'Курсы Bybit'!B:C,2,FALSE),IF(C540="OKX",VLOOKUP(E540,'Курсы OKX'!A:D,4,FALSE),IF(C540="huobi",VLOOKUP(E540,'Курсы Huobi'!B:C,2,FALSE),"! укажите биржу"))))))</f>
        <v/>
      </c>
      <c r="O540" s="71" t="str">
        <f t="shared" si="42"/>
        <v/>
      </c>
      <c r="P540" s="71" t="str">
        <f t="shared" si="43"/>
        <v/>
      </c>
      <c r="Q540" s="75" t="str">
        <f t="shared" si="44"/>
        <v/>
      </c>
      <c r="R540" s="76"/>
    </row>
    <row r="541" spans="1:18" ht="14.25" customHeight="1">
      <c r="A541" s="67"/>
      <c r="B541" s="68"/>
      <c r="C541" s="69"/>
      <c r="D541" s="69" t="str">
        <f ca="1">IF(B541="","",VLOOKUP('Журнал Закупок'!$B541,'СТ Криптовалюта'!B:C,2,0))</f>
        <v/>
      </c>
      <c r="E541" s="68"/>
      <c r="F541" s="70"/>
      <c r="G541" s="71"/>
      <c r="H541" s="71"/>
      <c r="I541" s="71" t="str">
        <f t="shared" si="41"/>
        <v/>
      </c>
      <c r="J541" s="71"/>
      <c r="K541" s="71"/>
      <c r="L541" s="71"/>
      <c r="M541" s="71"/>
      <c r="N541" s="71" t="str">
        <f ca="1">IF(H541="","",IF(D541="usdt",H541,IF(C541="Binance",VLOOKUP(E541,'Курсы Бинанса'!B:C,2,FALSE),IF(C541="bybit",VLOOKUP(E541,'Курсы Bybit'!B:C,2,FALSE),IF(C541="OKX",VLOOKUP(E541,'Курсы OKX'!A:D,4,FALSE),IF(C541="huobi",VLOOKUP(E541,'Курсы Huobi'!B:C,2,FALSE),"! укажите биржу"))))))</f>
        <v/>
      </c>
      <c r="O541" s="71" t="str">
        <f t="shared" si="42"/>
        <v/>
      </c>
      <c r="P541" s="71" t="str">
        <f t="shared" si="43"/>
        <v/>
      </c>
      <c r="Q541" s="75" t="str">
        <f t="shared" si="44"/>
        <v/>
      </c>
      <c r="R541" s="76"/>
    </row>
    <row r="542" spans="1:18" ht="14.25" customHeight="1">
      <c r="A542" s="67"/>
      <c r="B542" s="68"/>
      <c r="C542" s="69"/>
      <c r="D542" s="69" t="str">
        <f ca="1">IF(B542="","",VLOOKUP('Журнал Закупок'!$B542,'СТ Криптовалюта'!B:C,2,0))</f>
        <v/>
      </c>
      <c r="E542" s="68"/>
      <c r="F542" s="70"/>
      <c r="G542" s="71"/>
      <c r="H542" s="71"/>
      <c r="I542" s="71" t="str">
        <f t="shared" si="41"/>
        <v/>
      </c>
      <c r="J542" s="71"/>
      <c r="K542" s="71"/>
      <c r="L542" s="71"/>
      <c r="M542" s="71"/>
      <c r="N542" s="71" t="str">
        <f ca="1">IF(H542="","",IF(D542="usdt",H542,IF(C542="Binance",VLOOKUP(E542,'Курсы Бинанса'!B:C,2,FALSE),IF(C542="bybit",VLOOKUP(E542,'Курсы Bybit'!B:C,2,FALSE),IF(C542="OKX",VLOOKUP(E542,'Курсы OKX'!A:D,4,FALSE),IF(C542="huobi",VLOOKUP(E542,'Курсы Huobi'!B:C,2,FALSE),"! укажите биржу"))))))</f>
        <v/>
      </c>
      <c r="O542" s="71" t="str">
        <f t="shared" si="42"/>
        <v/>
      </c>
      <c r="P542" s="71" t="str">
        <f t="shared" si="43"/>
        <v/>
      </c>
      <c r="Q542" s="75" t="str">
        <f t="shared" si="44"/>
        <v/>
      </c>
      <c r="R542" s="76"/>
    </row>
    <row r="543" spans="1:18" ht="14.25" customHeight="1">
      <c r="A543" s="67"/>
      <c r="B543" s="68"/>
      <c r="C543" s="69"/>
      <c r="D543" s="69" t="str">
        <f ca="1">IF(B543="","",VLOOKUP('Журнал Закупок'!$B543,'СТ Криптовалюта'!B:C,2,0))</f>
        <v/>
      </c>
      <c r="E543" s="68"/>
      <c r="F543" s="70"/>
      <c r="G543" s="71"/>
      <c r="H543" s="71"/>
      <c r="I543" s="71" t="str">
        <f t="shared" si="41"/>
        <v/>
      </c>
      <c r="J543" s="71"/>
      <c r="K543" s="71"/>
      <c r="L543" s="71"/>
      <c r="M543" s="71"/>
      <c r="N543" s="71" t="str">
        <f ca="1">IF(H543="","",IF(D543="usdt",H543,IF(C543="Binance",VLOOKUP(E543,'Курсы Бинанса'!B:C,2,FALSE),IF(C543="bybit",VLOOKUP(E543,'Курсы Bybit'!B:C,2,FALSE),IF(C543="OKX",VLOOKUP(E543,'Курсы OKX'!A:D,4,FALSE),IF(C543="huobi",VLOOKUP(E543,'Курсы Huobi'!B:C,2,FALSE),"! укажите биржу"))))))</f>
        <v/>
      </c>
      <c r="O543" s="71" t="str">
        <f t="shared" si="42"/>
        <v/>
      </c>
      <c r="P543" s="71" t="str">
        <f t="shared" si="43"/>
        <v/>
      </c>
      <c r="Q543" s="75" t="str">
        <f t="shared" si="44"/>
        <v/>
      </c>
      <c r="R543" s="76"/>
    </row>
    <row r="544" spans="1:18" ht="14.25" customHeight="1">
      <c r="A544" s="67"/>
      <c r="B544" s="68"/>
      <c r="C544" s="69"/>
      <c r="D544" s="69" t="str">
        <f ca="1">IF(B544="","",VLOOKUP('Журнал Закупок'!$B544,'СТ Криптовалюта'!B:C,2,0))</f>
        <v/>
      </c>
      <c r="E544" s="68"/>
      <c r="F544" s="70"/>
      <c r="G544" s="71"/>
      <c r="H544" s="71"/>
      <c r="I544" s="71" t="str">
        <f t="shared" si="41"/>
        <v/>
      </c>
      <c r="J544" s="71"/>
      <c r="K544" s="71"/>
      <c r="L544" s="71"/>
      <c r="M544" s="71"/>
      <c r="N544" s="71" t="str">
        <f ca="1">IF(H544="","",IF(D544="usdt",H544,IF(C544="Binance",VLOOKUP(E544,'Курсы Бинанса'!B:C,2,FALSE),IF(C544="bybit",VLOOKUP(E544,'Курсы Bybit'!B:C,2,FALSE),IF(C544="OKX",VLOOKUP(E544,'Курсы OKX'!A:D,4,FALSE),IF(C544="huobi",VLOOKUP(E544,'Курсы Huobi'!B:C,2,FALSE),"! укажите биржу"))))))</f>
        <v/>
      </c>
      <c r="O544" s="71" t="str">
        <f t="shared" si="42"/>
        <v/>
      </c>
      <c r="P544" s="71" t="str">
        <f t="shared" si="43"/>
        <v/>
      </c>
      <c r="Q544" s="75" t="str">
        <f t="shared" si="44"/>
        <v/>
      </c>
      <c r="R544" s="76"/>
    </row>
    <row r="545" spans="1:18" ht="14.25" customHeight="1">
      <c r="A545" s="67"/>
      <c r="B545" s="68"/>
      <c r="C545" s="69"/>
      <c r="D545" s="69" t="str">
        <f ca="1">IF(B545="","",VLOOKUP('Журнал Закупок'!$B545,'СТ Криптовалюта'!B:C,2,0))</f>
        <v/>
      </c>
      <c r="E545" s="68"/>
      <c r="F545" s="70"/>
      <c r="G545" s="71"/>
      <c r="H545" s="71"/>
      <c r="I545" s="71" t="str">
        <f t="shared" si="41"/>
        <v/>
      </c>
      <c r="J545" s="71"/>
      <c r="K545" s="71"/>
      <c r="L545" s="71"/>
      <c r="M545" s="71"/>
      <c r="N545" s="71" t="str">
        <f ca="1">IF(H545="","",IF(D545="usdt",H545,IF(C545="Binance",VLOOKUP(E545,'Курсы Бинанса'!B:C,2,FALSE),IF(C545="bybit",VLOOKUP(E545,'Курсы Bybit'!B:C,2,FALSE),IF(C545="OKX",VLOOKUP(E545,'Курсы OKX'!A:D,4,FALSE),IF(C545="huobi",VLOOKUP(E545,'Курсы Huobi'!B:C,2,FALSE),"! укажите биржу"))))))</f>
        <v/>
      </c>
      <c r="O545" s="71" t="str">
        <f t="shared" si="42"/>
        <v/>
      </c>
      <c r="P545" s="71" t="str">
        <f t="shared" si="43"/>
        <v/>
      </c>
      <c r="Q545" s="75" t="str">
        <f t="shared" si="44"/>
        <v/>
      </c>
      <c r="R545" s="76"/>
    </row>
    <row r="546" spans="1:18" ht="14.25" customHeight="1">
      <c r="A546" s="67"/>
      <c r="B546" s="68"/>
      <c r="C546" s="69"/>
      <c r="D546" s="69" t="str">
        <f ca="1">IF(B546="","",VLOOKUP('Журнал Закупок'!$B546,'СТ Криптовалюта'!B:C,2,0))</f>
        <v/>
      </c>
      <c r="E546" s="68"/>
      <c r="F546" s="70"/>
      <c r="G546" s="71"/>
      <c r="H546" s="71"/>
      <c r="I546" s="71" t="str">
        <f t="shared" si="41"/>
        <v/>
      </c>
      <c r="J546" s="71"/>
      <c r="K546" s="71"/>
      <c r="L546" s="71"/>
      <c r="M546" s="71"/>
      <c r="N546" s="71" t="str">
        <f ca="1">IF(H546="","",IF(D546="usdt",H546,IF(C546="Binance",VLOOKUP(E546,'Курсы Бинанса'!B:C,2,FALSE),IF(C546="bybit",VLOOKUP(E546,'Курсы Bybit'!B:C,2,FALSE),IF(C546="OKX",VLOOKUP(E546,'Курсы OKX'!A:D,4,FALSE),IF(C546="huobi",VLOOKUP(E546,'Курсы Huobi'!B:C,2,FALSE),"! укажите биржу"))))))</f>
        <v/>
      </c>
      <c r="O546" s="71" t="str">
        <f t="shared" si="42"/>
        <v/>
      </c>
      <c r="P546" s="71" t="str">
        <f t="shared" si="43"/>
        <v/>
      </c>
      <c r="Q546" s="75" t="str">
        <f t="shared" si="44"/>
        <v/>
      </c>
      <c r="R546" s="76"/>
    </row>
    <row r="547" spans="1:18" ht="14.25" customHeight="1">
      <c r="A547" s="67"/>
      <c r="B547" s="68"/>
      <c r="C547" s="69"/>
      <c r="D547" s="69" t="str">
        <f ca="1">IF(B547="","",VLOOKUP('Журнал Закупок'!$B547,'СТ Криптовалюта'!B:C,2,0))</f>
        <v/>
      </c>
      <c r="E547" s="68"/>
      <c r="F547" s="70"/>
      <c r="G547" s="71"/>
      <c r="H547" s="71"/>
      <c r="I547" s="71" t="str">
        <f t="shared" si="41"/>
        <v/>
      </c>
      <c r="J547" s="71"/>
      <c r="K547" s="71"/>
      <c r="L547" s="71"/>
      <c r="M547" s="71"/>
      <c r="N547" s="71" t="str">
        <f ca="1">IF(H547="","",IF(D547="usdt",H547,IF(C547="Binance",VLOOKUP(E547,'Курсы Бинанса'!B:C,2,FALSE),IF(C547="bybit",VLOOKUP(E547,'Курсы Bybit'!B:C,2,FALSE),IF(C547="OKX",VLOOKUP(E547,'Курсы OKX'!A:D,4,FALSE),IF(C547="huobi",VLOOKUP(E547,'Курсы Huobi'!B:C,2,FALSE),"! укажите биржу"))))))</f>
        <v/>
      </c>
      <c r="O547" s="71" t="str">
        <f t="shared" si="42"/>
        <v/>
      </c>
      <c r="P547" s="71" t="str">
        <f t="shared" si="43"/>
        <v/>
      </c>
      <c r="Q547" s="75" t="str">
        <f t="shared" si="44"/>
        <v/>
      </c>
      <c r="R547" s="76"/>
    </row>
    <row r="548" spans="1:18" ht="14.25" customHeight="1">
      <c r="A548" s="67"/>
      <c r="B548" s="68"/>
      <c r="C548" s="69"/>
      <c r="D548" s="69" t="str">
        <f ca="1">IF(B548="","",VLOOKUP('Журнал Закупок'!$B548,'СТ Криптовалюта'!B:C,2,0))</f>
        <v/>
      </c>
      <c r="E548" s="68"/>
      <c r="F548" s="70"/>
      <c r="G548" s="71"/>
      <c r="H548" s="71"/>
      <c r="I548" s="71" t="str">
        <f t="shared" si="41"/>
        <v/>
      </c>
      <c r="J548" s="71"/>
      <c r="K548" s="71"/>
      <c r="L548" s="71"/>
      <c r="M548" s="71"/>
      <c r="N548" s="71" t="str">
        <f ca="1">IF(H548="","",IF(D548="usdt",H548,IF(C548="Binance",VLOOKUP(E548,'Курсы Бинанса'!B:C,2,FALSE),IF(C548="bybit",VLOOKUP(E548,'Курсы Bybit'!B:C,2,FALSE),IF(C548="OKX",VLOOKUP(E548,'Курсы OKX'!A:D,4,FALSE),IF(C548="huobi",VLOOKUP(E548,'Курсы Huobi'!B:C,2,FALSE),"! укажите биржу"))))))</f>
        <v/>
      </c>
      <c r="O548" s="71" t="str">
        <f t="shared" si="42"/>
        <v/>
      </c>
      <c r="P548" s="71" t="str">
        <f t="shared" si="43"/>
        <v/>
      </c>
      <c r="Q548" s="75" t="str">
        <f t="shared" si="44"/>
        <v/>
      </c>
      <c r="R548" s="76"/>
    </row>
    <row r="549" spans="1:18" ht="14.25" customHeight="1">
      <c r="A549" s="67"/>
      <c r="B549" s="68"/>
      <c r="C549" s="69"/>
      <c r="D549" s="69" t="str">
        <f ca="1">IF(B549="","",VLOOKUP('Журнал Закупок'!$B549,'СТ Криптовалюта'!B:C,2,0))</f>
        <v/>
      </c>
      <c r="E549" s="68"/>
      <c r="F549" s="70"/>
      <c r="G549" s="71"/>
      <c r="H549" s="71"/>
      <c r="I549" s="71" t="str">
        <f t="shared" si="41"/>
        <v/>
      </c>
      <c r="J549" s="71"/>
      <c r="K549" s="71"/>
      <c r="L549" s="71"/>
      <c r="M549" s="71"/>
      <c r="N549" s="71" t="str">
        <f ca="1">IF(H549="","",IF(D549="usdt",H549,IF(C549="Binance",VLOOKUP(E549,'Курсы Бинанса'!B:C,2,FALSE),IF(C549="bybit",VLOOKUP(E549,'Курсы Bybit'!B:C,2,FALSE),IF(C549="OKX",VLOOKUP(E549,'Курсы OKX'!A:D,4,FALSE),IF(C549="huobi",VLOOKUP(E549,'Курсы Huobi'!B:C,2,FALSE),"! укажите биржу"))))))</f>
        <v/>
      </c>
      <c r="O549" s="71" t="str">
        <f t="shared" si="42"/>
        <v/>
      </c>
      <c r="P549" s="71" t="str">
        <f t="shared" si="43"/>
        <v/>
      </c>
      <c r="Q549" s="75" t="str">
        <f t="shared" si="44"/>
        <v/>
      </c>
      <c r="R549" s="76"/>
    </row>
    <row r="550" spans="1:18" ht="14.25" customHeight="1">
      <c r="A550" s="67"/>
      <c r="B550" s="68"/>
      <c r="C550" s="69"/>
      <c r="D550" s="69" t="str">
        <f ca="1">IF(B550="","",VLOOKUP('Журнал Закупок'!$B550,'СТ Криптовалюта'!B:C,2,0))</f>
        <v/>
      </c>
      <c r="E550" s="68"/>
      <c r="F550" s="70"/>
      <c r="G550" s="71"/>
      <c r="H550" s="71"/>
      <c r="I550" s="71" t="str">
        <f t="shared" si="41"/>
        <v/>
      </c>
      <c r="J550" s="71"/>
      <c r="K550" s="71"/>
      <c r="L550" s="71"/>
      <c r="M550" s="71"/>
      <c r="N550" s="71" t="str">
        <f ca="1">IF(H550="","",IF(D550="usdt",H550,IF(C550="Binance",VLOOKUP(E550,'Курсы Бинанса'!B:C,2,FALSE),IF(C550="bybit",VLOOKUP(E550,'Курсы Bybit'!B:C,2,FALSE),IF(C550="OKX",VLOOKUP(E550,'Курсы OKX'!A:D,4,FALSE),IF(C550="huobi",VLOOKUP(E550,'Курсы Huobi'!B:C,2,FALSE),"! укажите биржу"))))))</f>
        <v/>
      </c>
      <c r="O550" s="71" t="str">
        <f t="shared" si="42"/>
        <v/>
      </c>
      <c r="P550" s="71" t="str">
        <f t="shared" si="43"/>
        <v/>
      </c>
      <c r="Q550" s="75" t="str">
        <f t="shared" si="44"/>
        <v/>
      </c>
      <c r="R550" s="76"/>
    </row>
    <row r="551" spans="1:18" ht="14.25" customHeight="1">
      <c r="A551" s="67"/>
      <c r="B551" s="68"/>
      <c r="C551" s="69"/>
      <c r="D551" s="69" t="str">
        <f ca="1">IF(B551="","",VLOOKUP('Журнал Закупок'!$B551,'СТ Криптовалюта'!B:C,2,0))</f>
        <v/>
      </c>
      <c r="E551" s="68"/>
      <c r="F551" s="70"/>
      <c r="G551" s="71"/>
      <c r="H551" s="71"/>
      <c r="I551" s="71" t="str">
        <f t="shared" si="41"/>
        <v/>
      </c>
      <c r="J551" s="71"/>
      <c r="K551" s="71"/>
      <c r="L551" s="71"/>
      <c r="M551" s="71"/>
      <c r="N551" s="71" t="str">
        <f ca="1">IF(H551="","",IF(D551="usdt",H551,IF(C551="Binance",VLOOKUP(E551,'Курсы Бинанса'!B:C,2,FALSE),IF(C551="bybit",VLOOKUP(E551,'Курсы Bybit'!B:C,2,FALSE),IF(C551="OKX",VLOOKUP(E551,'Курсы OKX'!A:D,4,FALSE),IF(C551="huobi",VLOOKUP(E551,'Курсы Huobi'!B:C,2,FALSE),"! укажите биржу"))))))</f>
        <v/>
      </c>
      <c r="O551" s="71" t="str">
        <f t="shared" si="42"/>
        <v/>
      </c>
      <c r="P551" s="71" t="str">
        <f t="shared" si="43"/>
        <v/>
      </c>
      <c r="Q551" s="75" t="str">
        <f t="shared" si="44"/>
        <v/>
      </c>
      <c r="R551" s="76"/>
    </row>
    <row r="552" spans="1:18" ht="14.25" customHeight="1">
      <c r="A552" s="67"/>
      <c r="B552" s="68"/>
      <c r="C552" s="69"/>
      <c r="D552" s="69" t="str">
        <f ca="1">IF(B552="","",VLOOKUP('Журнал Закупок'!$B552,'СТ Криптовалюта'!B:C,2,0))</f>
        <v/>
      </c>
      <c r="E552" s="68"/>
      <c r="F552" s="70"/>
      <c r="G552" s="71"/>
      <c r="H552" s="71"/>
      <c r="I552" s="71" t="str">
        <f t="shared" si="41"/>
        <v/>
      </c>
      <c r="J552" s="71"/>
      <c r="K552" s="71"/>
      <c r="L552" s="71"/>
      <c r="M552" s="71"/>
      <c r="N552" s="71" t="str">
        <f ca="1">IF(H552="","",IF(D552="usdt",H552,IF(C552="Binance",VLOOKUP(E552,'Курсы Бинанса'!B:C,2,FALSE),IF(C552="bybit",VLOOKUP(E552,'Курсы Bybit'!B:C,2,FALSE),IF(C552="OKX",VLOOKUP(E552,'Курсы OKX'!A:D,4,FALSE),IF(C552="huobi",VLOOKUP(E552,'Курсы Huobi'!B:C,2,FALSE),"! укажите биржу"))))))</f>
        <v/>
      </c>
      <c r="O552" s="71" t="str">
        <f t="shared" si="42"/>
        <v/>
      </c>
      <c r="P552" s="71" t="str">
        <f t="shared" si="43"/>
        <v/>
      </c>
      <c r="Q552" s="75" t="str">
        <f t="shared" si="44"/>
        <v/>
      </c>
      <c r="R552" s="76"/>
    </row>
    <row r="553" spans="1:18" ht="14.25" customHeight="1">
      <c r="A553" s="67"/>
      <c r="B553" s="68"/>
      <c r="C553" s="69"/>
      <c r="D553" s="69" t="str">
        <f ca="1">IF(B553="","",VLOOKUP('Журнал Закупок'!$B553,'СТ Криптовалюта'!B:C,2,0))</f>
        <v/>
      </c>
      <c r="E553" s="68"/>
      <c r="F553" s="70"/>
      <c r="G553" s="71"/>
      <c r="H553" s="71"/>
      <c r="I553" s="71" t="str">
        <f t="shared" si="41"/>
        <v/>
      </c>
      <c r="J553" s="71"/>
      <c r="K553" s="71"/>
      <c r="L553" s="71"/>
      <c r="M553" s="71"/>
      <c r="N553" s="71" t="str">
        <f ca="1">IF(H553="","",IF(D553="usdt",H553,IF(C553="Binance",VLOOKUP(E553,'Курсы Бинанса'!B:C,2,FALSE),IF(C553="bybit",VLOOKUP(E553,'Курсы Bybit'!B:C,2,FALSE),IF(C553="OKX",VLOOKUP(E553,'Курсы OKX'!A:D,4,FALSE),IF(C553="huobi",VLOOKUP(E553,'Курсы Huobi'!B:C,2,FALSE),"! укажите биржу"))))))</f>
        <v/>
      </c>
      <c r="O553" s="71" t="str">
        <f t="shared" si="42"/>
        <v/>
      </c>
      <c r="P553" s="71" t="str">
        <f t="shared" si="43"/>
        <v/>
      </c>
      <c r="Q553" s="75" t="str">
        <f t="shared" si="44"/>
        <v/>
      </c>
      <c r="R553" s="76"/>
    </row>
    <row r="554" spans="1:18" ht="14.25" customHeight="1">
      <c r="A554" s="67"/>
      <c r="B554" s="68"/>
      <c r="C554" s="69"/>
      <c r="D554" s="69" t="str">
        <f ca="1">IF(B554="","",VLOOKUP('Журнал Закупок'!$B554,'СТ Криптовалюта'!B:C,2,0))</f>
        <v/>
      </c>
      <c r="E554" s="68"/>
      <c r="F554" s="70"/>
      <c r="G554" s="71"/>
      <c r="H554" s="71"/>
      <c r="I554" s="71" t="str">
        <f t="shared" si="41"/>
        <v/>
      </c>
      <c r="J554" s="71"/>
      <c r="K554" s="71"/>
      <c r="L554" s="71"/>
      <c r="M554" s="71"/>
      <c r="N554" s="71" t="str">
        <f ca="1">IF(H554="","",IF(D554="usdt",H554,IF(C554="Binance",VLOOKUP(E554,'Курсы Бинанса'!B:C,2,FALSE),IF(C554="bybit",VLOOKUP(E554,'Курсы Bybit'!B:C,2,FALSE),IF(C554="OKX",VLOOKUP(E554,'Курсы OKX'!A:D,4,FALSE),IF(C554="huobi",VLOOKUP(E554,'Курсы Huobi'!B:C,2,FALSE),"! укажите биржу"))))))</f>
        <v/>
      </c>
      <c r="O554" s="71" t="str">
        <f t="shared" si="42"/>
        <v/>
      </c>
      <c r="P554" s="71" t="str">
        <f t="shared" si="43"/>
        <v/>
      </c>
      <c r="Q554" s="75" t="str">
        <f t="shared" si="44"/>
        <v/>
      </c>
      <c r="R554" s="76"/>
    </row>
    <row r="555" spans="1:18" ht="14.25" customHeight="1">
      <c r="A555" s="67"/>
      <c r="B555" s="68"/>
      <c r="C555" s="69"/>
      <c r="D555" s="69" t="str">
        <f ca="1">IF(B555="","",VLOOKUP('Журнал Закупок'!$B555,'СТ Криптовалюта'!B:C,2,0))</f>
        <v/>
      </c>
      <c r="E555" s="68"/>
      <c r="F555" s="70"/>
      <c r="G555" s="71"/>
      <c r="H555" s="71"/>
      <c r="I555" s="71" t="str">
        <f t="shared" si="41"/>
        <v/>
      </c>
      <c r="J555" s="71"/>
      <c r="K555" s="71"/>
      <c r="L555" s="71"/>
      <c r="M555" s="71"/>
      <c r="N555" s="71" t="str">
        <f ca="1">IF(I555="","",ROUND(VLOOKUP('Журнал Закупок'!D555,'СТ Криптовалюта'!$C$3:$E$1788,2,0)*'Журнал Закупок'!G555,5))</f>
        <v/>
      </c>
      <c r="O555" s="71"/>
      <c r="P555" s="71" t="str">
        <f t="shared" ref="P555:P618" si="45">IF(N555="","",ROUND(N555-I555,2))</f>
        <v/>
      </c>
      <c r="Q555" s="75" t="str">
        <f t="shared" ref="Q555:Q618" si="46">IF(P555="","",ROUND(IFERROR((N555-I555)/I555,2),5))</f>
        <v/>
      </c>
      <c r="R555" s="76"/>
    </row>
    <row r="556" spans="1:18" ht="14.25" customHeight="1">
      <c r="A556" s="67"/>
      <c r="B556" s="68"/>
      <c r="C556" s="69"/>
      <c r="D556" s="69" t="str">
        <f ca="1">IF(B556="","",VLOOKUP('Журнал Закупок'!$B556,'СТ Криптовалюта'!B:C,2,0))</f>
        <v/>
      </c>
      <c r="E556" s="68"/>
      <c r="F556" s="70"/>
      <c r="G556" s="71"/>
      <c r="H556" s="71"/>
      <c r="I556" s="71" t="str">
        <f t="shared" si="41"/>
        <v/>
      </c>
      <c r="J556" s="71"/>
      <c r="K556" s="71"/>
      <c r="L556" s="71"/>
      <c r="M556" s="71"/>
      <c r="N556" s="71" t="str">
        <f ca="1">IF(I556="","",ROUND(VLOOKUP('Журнал Закупок'!D556,'СТ Криптовалюта'!$C$3:$E$1788,2,0)*'Журнал Закупок'!G556,5))</f>
        <v/>
      </c>
      <c r="O556" s="71"/>
      <c r="P556" s="71" t="str">
        <f t="shared" si="45"/>
        <v/>
      </c>
      <c r="Q556" s="75" t="str">
        <f t="shared" si="46"/>
        <v/>
      </c>
      <c r="R556" s="76"/>
    </row>
    <row r="557" spans="1:18" ht="14.25" customHeight="1">
      <c r="A557" s="67"/>
      <c r="B557" s="68"/>
      <c r="C557" s="69"/>
      <c r="D557" s="69" t="str">
        <f ca="1">IF(B557="","",VLOOKUP('Журнал Закупок'!$B557,'СТ Криптовалюта'!B:C,2,0))</f>
        <v/>
      </c>
      <c r="E557" s="68"/>
      <c r="F557" s="70"/>
      <c r="G557" s="71"/>
      <c r="H557" s="71"/>
      <c r="I557" s="71" t="str">
        <f t="shared" si="41"/>
        <v/>
      </c>
      <c r="J557" s="71"/>
      <c r="K557" s="71"/>
      <c r="L557" s="71"/>
      <c r="M557" s="71"/>
      <c r="N557" s="71" t="str">
        <f ca="1">IF(I557="","",ROUND(VLOOKUP('Журнал Закупок'!D557,'СТ Криптовалюта'!$C$3:$E$1788,2,0)*'Журнал Закупок'!G557,5))</f>
        <v/>
      </c>
      <c r="O557" s="71"/>
      <c r="P557" s="71" t="str">
        <f t="shared" si="45"/>
        <v/>
      </c>
      <c r="Q557" s="75" t="str">
        <f t="shared" si="46"/>
        <v/>
      </c>
      <c r="R557" s="76"/>
    </row>
    <row r="558" spans="1:18" ht="14.25" customHeight="1">
      <c r="A558" s="67"/>
      <c r="B558" s="68"/>
      <c r="C558" s="69"/>
      <c r="D558" s="69" t="str">
        <f ca="1">IF(B558="","",VLOOKUP('Журнал Закупок'!$B558,'СТ Криптовалюта'!B:C,2,0))</f>
        <v/>
      </c>
      <c r="E558" s="68"/>
      <c r="F558" s="70"/>
      <c r="G558" s="71"/>
      <c r="H558" s="71"/>
      <c r="I558" s="71" t="str">
        <f t="shared" ref="I558:I621" si="47">IF(H558="","",ROUND(G558*H558,5))</f>
        <v/>
      </c>
      <c r="J558" s="71"/>
      <c r="K558" s="71"/>
      <c r="L558" s="71"/>
      <c r="M558" s="71"/>
      <c r="N558" s="71" t="str">
        <f ca="1">IF(I558="","",ROUND(VLOOKUP('Журнал Закупок'!D558,'СТ Криптовалюта'!$C$3:$E$1788,2,0)*'Журнал Закупок'!G558,5))</f>
        <v/>
      </c>
      <c r="O558" s="71"/>
      <c r="P558" s="71" t="str">
        <f t="shared" si="45"/>
        <v/>
      </c>
      <c r="Q558" s="75" t="str">
        <f t="shared" si="46"/>
        <v/>
      </c>
      <c r="R558" s="76"/>
    </row>
    <row r="559" spans="1:18" ht="14.25" customHeight="1">
      <c r="A559" s="67"/>
      <c r="B559" s="68"/>
      <c r="C559" s="69"/>
      <c r="D559" s="69" t="str">
        <f ca="1">IF(B559="","",VLOOKUP('Журнал Закупок'!$B559,'СТ Криптовалюта'!B:C,2,0))</f>
        <v/>
      </c>
      <c r="E559" s="68"/>
      <c r="F559" s="70"/>
      <c r="G559" s="71"/>
      <c r="H559" s="71"/>
      <c r="I559" s="71" t="str">
        <f t="shared" si="47"/>
        <v/>
      </c>
      <c r="J559" s="71"/>
      <c r="K559" s="71"/>
      <c r="L559" s="71"/>
      <c r="M559" s="71"/>
      <c r="N559" s="71" t="str">
        <f ca="1">IF(I559="","",ROUND(VLOOKUP('Журнал Закупок'!D559,'СТ Криптовалюта'!$C$3:$E$1788,2,0)*'Журнал Закупок'!G559,5))</f>
        <v/>
      </c>
      <c r="O559" s="71"/>
      <c r="P559" s="71" t="str">
        <f t="shared" si="45"/>
        <v/>
      </c>
      <c r="Q559" s="75" t="str">
        <f t="shared" si="46"/>
        <v/>
      </c>
      <c r="R559" s="76"/>
    </row>
    <row r="560" spans="1:18" ht="14.25" customHeight="1">
      <c r="A560" s="67"/>
      <c r="B560" s="68"/>
      <c r="C560" s="69"/>
      <c r="D560" s="69" t="str">
        <f ca="1">IF(B560="","",VLOOKUP('Журнал Закупок'!$B560,'СТ Криптовалюта'!B:C,2,0))</f>
        <v/>
      </c>
      <c r="E560" s="68"/>
      <c r="F560" s="70"/>
      <c r="G560" s="71"/>
      <c r="H560" s="71"/>
      <c r="I560" s="71" t="str">
        <f t="shared" si="47"/>
        <v/>
      </c>
      <c r="J560" s="71"/>
      <c r="K560" s="71"/>
      <c r="L560" s="71"/>
      <c r="M560" s="71"/>
      <c r="N560" s="71" t="str">
        <f ca="1">IF(I560="","",ROUND(VLOOKUP('Журнал Закупок'!D560,'СТ Криптовалюта'!$C$3:$E$1788,2,0)*'Журнал Закупок'!G560,5))</f>
        <v/>
      </c>
      <c r="O560" s="71"/>
      <c r="P560" s="71" t="str">
        <f t="shared" si="45"/>
        <v/>
      </c>
      <c r="Q560" s="75" t="str">
        <f t="shared" si="46"/>
        <v/>
      </c>
      <c r="R560" s="76"/>
    </row>
    <row r="561" spans="1:18" ht="14.25" customHeight="1">
      <c r="A561" s="67"/>
      <c r="B561" s="68"/>
      <c r="C561" s="69"/>
      <c r="D561" s="69" t="str">
        <f ca="1">IF(B561="","",VLOOKUP('Журнал Закупок'!$B561,'СТ Криптовалюта'!B:C,2,0))</f>
        <v/>
      </c>
      <c r="E561" s="68"/>
      <c r="F561" s="70"/>
      <c r="G561" s="71"/>
      <c r="H561" s="71"/>
      <c r="I561" s="71" t="str">
        <f t="shared" si="47"/>
        <v/>
      </c>
      <c r="J561" s="71"/>
      <c r="K561" s="71"/>
      <c r="L561" s="71"/>
      <c r="M561" s="71"/>
      <c r="N561" s="71" t="str">
        <f ca="1">IF(I561="","",ROUND(VLOOKUP('Журнал Закупок'!D561,'СТ Криптовалюта'!$C$3:$E$1788,2,0)*'Журнал Закупок'!G561,5))</f>
        <v/>
      </c>
      <c r="O561" s="71"/>
      <c r="P561" s="71" t="str">
        <f t="shared" si="45"/>
        <v/>
      </c>
      <c r="Q561" s="75" t="str">
        <f t="shared" si="46"/>
        <v/>
      </c>
      <c r="R561" s="76"/>
    </row>
    <row r="562" spans="1:18" ht="14.25" customHeight="1">
      <c r="A562" s="67"/>
      <c r="B562" s="68"/>
      <c r="C562" s="69"/>
      <c r="D562" s="69" t="str">
        <f ca="1">IF(B562="","",VLOOKUP('Журнал Закупок'!$B562,'СТ Криптовалюта'!B:C,2,0))</f>
        <v/>
      </c>
      <c r="E562" s="68"/>
      <c r="F562" s="70"/>
      <c r="G562" s="71"/>
      <c r="H562" s="71"/>
      <c r="I562" s="71" t="str">
        <f t="shared" si="47"/>
        <v/>
      </c>
      <c r="J562" s="71"/>
      <c r="K562" s="71"/>
      <c r="L562" s="71"/>
      <c r="M562" s="71"/>
      <c r="N562" s="71" t="str">
        <f ca="1">IF(I562="","",ROUND(VLOOKUP('Журнал Закупок'!D562,'СТ Криптовалюта'!$C$3:$E$1788,2,0)*'Журнал Закупок'!G562,5))</f>
        <v/>
      </c>
      <c r="O562" s="71"/>
      <c r="P562" s="71" t="str">
        <f t="shared" si="45"/>
        <v/>
      </c>
      <c r="Q562" s="75" t="str">
        <f t="shared" si="46"/>
        <v/>
      </c>
      <c r="R562" s="76"/>
    </row>
    <row r="563" spans="1:18" ht="14.25" customHeight="1">
      <c r="A563" s="67"/>
      <c r="B563" s="68"/>
      <c r="C563" s="69"/>
      <c r="D563" s="69" t="str">
        <f ca="1">IF(B563="","",VLOOKUP('Журнал Закупок'!$B563,'СТ Криптовалюта'!B:C,2,0))</f>
        <v/>
      </c>
      <c r="E563" s="68"/>
      <c r="F563" s="70"/>
      <c r="G563" s="71"/>
      <c r="H563" s="71"/>
      <c r="I563" s="71" t="str">
        <f t="shared" si="47"/>
        <v/>
      </c>
      <c r="J563" s="71"/>
      <c r="K563" s="71"/>
      <c r="L563" s="71"/>
      <c r="M563" s="71"/>
      <c r="N563" s="71" t="str">
        <f ca="1">IF(I563="","",ROUND(VLOOKUP('Журнал Закупок'!D563,'СТ Криптовалюта'!$C$3:$E$1788,2,0)*'Журнал Закупок'!G563,5))</f>
        <v/>
      </c>
      <c r="O563" s="71"/>
      <c r="P563" s="71" t="str">
        <f t="shared" si="45"/>
        <v/>
      </c>
      <c r="Q563" s="75" t="str">
        <f t="shared" si="46"/>
        <v/>
      </c>
      <c r="R563" s="76"/>
    </row>
    <row r="564" spans="1:18" ht="14.25" customHeight="1">
      <c r="A564" s="67"/>
      <c r="B564" s="68"/>
      <c r="C564" s="69"/>
      <c r="D564" s="69" t="str">
        <f ca="1">IF(B564="","",VLOOKUP('Журнал Закупок'!$B564,'СТ Криптовалюта'!B:C,2,0))</f>
        <v/>
      </c>
      <c r="E564" s="68"/>
      <c r="F564" s="70"/>
      <c r="G564" s="71"/>
      <c r="H564" s="71"/>
      <c r="I564" s="71" t="str">
        <f t="shared" si="47"/>
        <v/>
      </c>
      <c r="J564" s="71"/>
      <c r="K564" s="71"/>
      <c r="L564" s="71"/>
      <c r="M564" s="71"/>
      <c r="N564" s="71" t="str">
        <f ca="1">IF(I564="","",ROUND(VLOOKUP('Журнал Закупок'!D564,'СТ Криптовалюта'!$C$3:$E$1788,2,0)*'Журнал Закупок'!G564,5))</f>
        <v/>
      </c>
      <c r="O564" s="71"/>
      <c r="P564" s="71" t="str">
        <f t="shared" si="45"/>
        <v/>
      </c>
      <c r="Q564" s="75" t="str">
        <f t="shared" si="46"/>
        <v/>
      </c>
      <c r="R564" s="76"/>
    </row>
    <row r="565" spans="1:18" ht="14.25" customHeight="1">
      <c r="A565" s="67"/>
      <c r="B565" s="68"/>
      <c r="C565" s="69"/>
      <c r="D565" s="69" t="str">
        <f ca="1">IF(B565="","",VLOOKUP('Журнал Закупок'!$B565,'СТ Криптовалюта'!B:C,2,0))</f>
        <v/>
      </c>
      <c r="E565" s="68"/>
      <c r="F565" s="70"/>
      <c r="G565" s="71"/>
      <c r="H565" s="71"/>
      <c r="I565" s="71" t="str">
        <f t="shared" si="47"/>
        <v/>
      </c>
      <c r="J565" s="71"/>
      <c r="K565" s="71"/>
      <c r="L565" s="71"/>
      <c r="M565" s="71"/>
      <c r="N565" s="71" t="str">
        <f ca="1">IF(I565="","",ROUND(VLOOKUP('Журнал Закупок'!D565,'СТ Криптовалюта'!$C$3:$E$1788,2,0)*'Журнал Закупок'!G565,5))</f>
        <v/>
      </c>
      <c r="O565" s="71"/>
      <c r="P565" s="71" t="str">
        <f t="shared" si="45"/>
        <v/>
      </c>
      <c r="Q565" s="75" t="str">
        <f t="shared" si="46"/>
        <v/>
      </c>
      <c r="R565" s="76"/>
    </row>
    <row r="566" spans="1:18" ht="14.25" customHeight="1">
      <c r="A566" s="67"/>
      <c r="B566" s="68"/>
      <c r="C566" s="69"/>
      <c r="D566" s="69" t="str">
        <f ca="1">IF(B566="","",VLOOKUP('Журнал Закупок'!$B566,'СТ Криптовалюта'!B:C,2,0))</f>
        <v/>
      </c>
      <c r="E566" s="68"/>
      <c r="F566" s="70"/>
      <c r="G566" s="71"/>
      <c r="H566" s="71"/>
      <c r="I566" s="71" t="str">
        <f t="shared" si="47"/>
        <v/>
      </c>
      <c r="J566" s="71"/>
      <c r="K566" s="71"/>
      <c r="L566" s="71"/>
      <c r="M566" s="71"/>
      <c r="N566" s="71" t="str">
        <f ca="1">IF(I566="","",ROUND(VLOOKUP('Журнал Закупок'!D566,'СТ Криптовалюта'!$C$3:$E$1788,2,0)*'Журнал Закупок'!G566,5))</f>
        <v/>
      </c>
      <c r="O566" s="71"/>
      <c r="P566" s="71" t="str">
        <f t="shared" si="45"/>
        <v/>
      </c>
      <c r="Q566" s="75" t="str">
        <f t="shared" si="46"/>
        <v/>
      </c>
      <c r="R566" s="76"/>
    </row>
    <row r="567" spans="1:18" ht="14.25" customHeight="1">
      <c r="A567" s="67"/>
      <c r="B567" s="68"/>
      <c r="C567" s="69"/>
      <c r="D567" s="69" t="str">
        <f ca="1">IF(B567="","",VLOOKUP('Журнал Закупок'!$B567,'СТ Криптовалюта'!B:C,2,0))</f>
        <v/>
      </c>
      <c r="E567" s="68"/>
      <c r="F567" s="70"/>
      <c r="G567" s="71"/>
      <c r="H567" s="71"/>
      <c r="I567" s="71" t="str">
        <f t="shared" si="47"/>
        <v/>
      </c>
      <c r="J567" s="71"/>
      <c r="K567" s="71"/>
      <c r="L567" s="71"/>
      <c r="M567" s="71"/>
      <c r="N567" s="71" t="str">
        <f ca="1">IF(I567="","",ROUND(VLOOKUP('Журнал Закупок'!D567,'СТ Криптовалюта'!$C$3:$E$1788,2,0)*'Журнал Закупок'!G567,5))</f>
        <v/>
      </c>
      <c r="O567" s="71"/>
      <c r="P567" s="71" t="str">
        <f t="shared" si="45"/>
        <v/>
      </c>
      <c r="Q567" s="75" t="str">
        <f t="shared" si="46"/>
        <v/>
      </c>
      <c r="R567" s="76"/>
    </row>
    <row r="568" spans="1:18" ht="14.25" customHeight="1">
      <c r="A568" s="67"/>
      <c r="B568" s="68"/>
      <c r="C568" s="69"/>
      <c r="D568" s="69" t="str">
        <f ca="1">IF(B568="","",VLOOKUP('Журнал Закупок'!$B568,'СТ Криптовалюта'!B:C,2,0))</f>
        <v/>
      </c>
      <c r="E568" s="68"/>
      <c r="F568" s="70"/>
      <c r="G568" s="71"/>
      <c r="H568" s="71"/>
      <c r="I568" s="71" t="str">
        <f t="shared" si="47"/>
        <v/>
      </c>
      <c r="J568" s="71"/>
      <c r="K568" s="71"/>
      <c r="L568" s="71"/>
      <c r="M568" s="71"/>
      <c r="N568" s="71" t="str">
        <f ca="1">IF(I568="","",ROUND(VLOOKUP('Журнал Закупок'!D568,'СТ Криптовалюта'!$C$3:$E$1788,2,0)*'Журнал Закупок'!G568,5))</f>
        <v/>
      </c>
      <c r="O568" s="71"/>
      <c r="P568" s="71" t="str">
        <f t="shared" si="45"/>
        <v/>
      </c>
      <c r="Q568" s="75" t="str">
        <f t="shared" si="46"/>
        <v/>
      </c>
      <c r="R568" s="76"/>
    </row>
    <row r="569" spans="1:18" ht="14.25" customHeight="1">
      <c r="A569" s="67"/>
      <c r="B569" s="68"/>
      <c r="C569" s="69"/>
      <c r="D569" s="69" t="str">
        <f ca="1">IF(B569="","",VLOOKUP('Журнал Закупок'!$B569,'СТ Криптовалюта'!B:C,2,0))</f>
        <v/>
      </c>
      <c r="E569" s="68"/>
      <c r="F569" s="70"/>
      <c r="G569" s="71"/>
      <c r="H569" s="71"/>
      <c r="I569" s="71" t="str">
        <f t="shared" si="47"/>
        <v/>
      </c>
      <c r="J569" s="71"/>
      <c r="K569" s="71"/>
      <c r="L569" s="71"/>
      <c r="M569" s="71"/>
      <c r="N569" s="71" t="str">
        <f ca="1">IF(I569="","",ROUND(VLOOKUP('Журнал Закупок'!D569,'СТ Криптовалюта'!$C$3:$E$1788,2,0)*'Журнал Закупок'!G569,5))</f>
        <v/>
      </c>
      <c r="O569" s="71"/>
      <c r="P569" s="71" t="str">
        <f t="shared" si="45"/>
        <v/>
      </c>
      <c r="Q569" s="75" t="str">
        <f t="shared" si="46"/>
        <v/>
      </c>
      <c r="R569" s="76"/>
    </row>
    <row r="570" spans="1:18" ht="14.25" customHeight="1">
      <c r="A570" s="67"/>
      <c r="B570" s="68"/>
      <c r="C570" s="69"/>
      <c r="D570" s="69" t="str">
        <f ca="1">IF(B570="","",VLOOKUP('Журнал Закупок'!$B570,'СТ Криптовалюта'!B:C,2,0))</f>
        <v/>
      </c>
      <c r="E570" s="68"/>
      <c r="F570" s="70"/>
      <c r="G570" s="71"/>
      <c r="H570" s="71"/>
      <c r="I570" s="71" t="str">
        <f t="shared" si="47"/>
        <v/>
      </c>
      <c r="J570" s="71"/>
      <c r="K570" s="71"/>
      <c r="L570" s="71"/>
      <c r="M570" s="71"/>
      <c r="N570" s="71" t="str">
        <f ca="1">IF(I570="","",ROUND(VLOOKUP('Журнал Закупок'!D570,'СТ Криптовалюта'!$C$3:$E$1788,2,0)*'Журнал Закупок'!G570,5))</f>
        <v/>
      </c>
      <c r="O570" s="71"/>
      <c r="P570" s="71" t="str">
        <f t="shared" si="45"/>
        <v/>
      </c>
      <c r="Q570" s="75" t="str">
        <f t="shared" si="46"/>
        <v/>
      </c>
      <c r="R570" s="76"/>
    </row>
    <row r="571" spans="1:18" ht="14.25" customHeight="1">
      <c r="A571" s="67"/>
      <c r="B571" s="68"/>
      <c r="C571" s="69"/>
      <c r="D571" s="69" t="str">
        <f ca="1">IF(B571="","",VLOOKUP('Журнал Закупок'!$B571,'СТ Криптовалюта'!B:C,2,0))</f>
        <v/>
      </c>
      <c r="E571" s="68"/>
      <c r="F571" s="70"/>
      <c r="G571" s="71"/>
      <c r="H571" s="71"/>
      <c r="I571" s="71" t="str">
        <f t="shared" si="47"/>
        <v/>
      </c>
      <c r="J571" s="71"/>
      <c r="K571" s="71"/>
      <c r="L571" s="71"/>
      <c r="M571" s="71"/>
      <c r="N571" s="71" t="str">
        <f ca="1">IF(I571="","",ROUND(VLOOKUP('Журнал Закупок'!D571,'СТ Криптовалюта'!$C$3:$E$1788,2,0)*'Журнал Закупок'!G571,5))</f>
        <v/>
      </c>
      <c r="O571" s="71"/>
      <c r="P571" s="71" t="str">
        <f t="shared" si="45"/>
        <v/>
      </c>
      <c r="Q571" s="75" t="str">
        <f t="shared" si="46"/>
        <v/>
      </c>
      <c r="R571" s="76"/>
    </row>
    <row r="572" spans="1:18" ht="14.25" customHeight="1">
      <c r="A572" s="67"/>
      <c r="B572" s="68"/>
      <c r="C572" s="69"/>
      <c r="D572" s="69" t="str">
        <f ca="1">IF(B572="","",VLOOKUP('Журнал Закупок'!$B572,'СТ Криптовалюта'!B:C,2,0))</f>
        <v/>
      </c>
      <c r="E572" s="68"/>
      <c r="F572" s="70"/>
      <c r="G572" s="71"/>
      <c r="H572" s="71"/>
      <c r="I572" s="71" t="str">
        <f t="shared" si="47"/>
        <v/>
      </c>
      <c r="J572" s="71"/>
      <c r="K572" s="71"/>
      <c r="L572" s="71"/>
      <c r="M572" s="71"/>
      <c r="N572" s="71" t="str">
        <f ca="1">IF(I572="","",ROUND(VLOOKUP('Журнал Закупок'!D572,'СТ Криптовалюта'!$C$3:$E$1788,2,0)*'Журнал Закупок'!G572,5))</f>
        <v/>
      </c>
      <c r="O572" s="71"/>
      <c r="P572" s="71" t="str">
        <f t="shared" si="45"/>
        <v/>
      </c>
      <c r="Q572" s="75" t="str">
        <f t="shared" si="46"/>
        <v/>
      </c>
      <c r="R572" s="76"/>
    </row>
    <row r="573" spans="1:18" ht="14.25" customHeight="1">
      <c r="A573" s="67"/>
      <c r="B573" s="68"/>
      <c r="C573" s="69"/>
      <c r="D573" s="69" t="str">
        <f ca="1">IF(B573="","",VLOOKUP('Журнал Закупок'!$B573,'СТ Криптовалюта'!B:C,2,0))</f>
        <v/>
      </c>
      <c r="E573" s="68"/>
      <c r="F573" s="70"/>
      <c r="G573" s="71"/>
      <c r="H573" s="71"/>
      <c r="I573" s="71" t="str">
        <f t="shared" si="47"/>
        <v/>
      </c>
      <c r="J573" s="71"/>
      <c r="K573" s="71"/>
      <c r="L573" s="71"/>
      <c r="M573" s="71"/>
      <c r="N573" s="71" t="str">
        <f ca="1">IF(I573="","",ROUND(VLOOKUP('Журнал Закупок'!D573,'СТ Криптовалюта'!$C$3:$E$1788,2,0)*'Журнал Закупок'!G573,5))</f>
        <v/>
      </c>
      <c r="O573" s="71"/>
      <c r="P573" s="71" t="str">
        <f t="shared" si="45"/>
        <v/>
      </c>
      <c r="Q573" s="75" t="str">
        <f t="shared" si="46"/>
        <v/>
      </c>
      <c r="R573" s="76"/>
    </row>
    <row r="574" spans="1:18" ht="14.25" customHeight="1">
      <c r="A574" s="67"/>
      <c r="B574" s="68"/>
      <c r="C574" s="69"/>
      <c r="D574" s="69" t="str">
        <f ca="1">IF(B574="","",VLOOKUP('Журнал Закупок'!$B574,'СТ Криптовалюта'!B:C,2,0))</f>
        <v/>
      </c>
      <c r="E574" s="68"/>
      <c r="F574" s="70"/>
      <c r="G574" s="71"/>
      <c r="H574" s="71"/>
      <c r="I574" s="71" t="str">
        <f t="shared" si="47"/>
        <v/>
      </c>
      <c r="J574" s="71"/>
      <c r="K574" s="71"/>
      <c r="L574" s="71"/>
      <c r="M574" s="71"/>
      <c r="N574" s="71" t="str">
        <f ca="1">IF(I574="","",ROUND(VLOOKUP('Журнал Закупок'!D574,'СТ Криптовалюта'!$C$3:$E$1788,2,0)*'Журнал Закупок'!G574,5))</f>
        <v/>
      </c>
      <c r="O574" s="71"/>
      <c r="P574" s="71" t="str">
        <f t="shared" si="45"/>
        <v/>
      </c>
      <c r="Q574" s="75" t="str">
        <f t="shared" si="46"/>
        <v/>
      </c>
      <c r="R574" s="76"/>
    </row>
    <row r="575" spans="1:18" ht="14.25" customHeight="1">
      <c r="A575" s="67"/>
      <c r="B575" s="68"/>
      <c r="C575" s="69"/>
      <c r="D575" s="69" t="str">
        <f ca="1">IF(B575="","",VLOOKUP('Журнал Закупок'!$B575,'СТ Криптовалюта'!B:C,2,0))</f>
        <v/>
      </c>
      <c r="E575" s="68"/>
      <c r="F575" s="70"/>
      <c r="G575" s="71"/>
      <c r="H575" s="71"/>
      <c r="I575" s="71" t="str">
        <f t="shared" si="47"/>
        <v/>
      </c>
      <c r="J575" s="71"/>
      <c r="K575" s="71"/>
      <c r="L575" s="71"/>
      <c r="M575" s="71"/>
      <c r="N575" s="71" t="str">
        <f ca="1">IF(I575="","",ROUND(VLOOKUP('Журнал Закупок'!D575,'СТ Криптовалюта'!$C$3:$E$1788,2,0)*'Журнал Закупок'!G575,5))</f>
        <v/>
      </c>
      <c r="O575" s="71"/>
      <c r="P575" s="71" t="str">
        <f t="shared" si="45"/>
        <v/>
      </c>
      <c r="Q575" s="75" t="str">
        <f t="shared" si="46"/>
        <v/>
      </c>
      <c r="R575" s="76"/>
    </row>
    <row r="576" spans="1:18" ht="14.25" customHeight="1">
      <c r="A576" s="67"/>
      <c r="B576" s="68"/>
      <c r="C576" s="69"/>
      <c r="D576" s="69" t="str">
        <f ca="1">IF(B576="","",VLOOKUP('Журнал Закупок'!$B576,'СТ Криптовалюта'!B:C,2,0))</f>
        <v/>
      </c>
      <c r="E576" s="68"/>
      <c r="F576" s="70"/>
      <c r="G576" s="71"/>
      <c r="H576" s="71"/>
      <c r="I576" s="71" t="str">
        <f t="shared" si="47"/>
        <v/>
      </c>
      <c r="J576" s="71"/>
      <c r="K576" s="71"/>
      <c r="L576" s="71"/>
      <c r="M576" s="71"/>
      <c r="N576" s="71" t="str">
        <f ca="1">IF(I576="","",ROUND(VLOOKUP('Журнал Закупок'!D576,'СТ Криптовалюта'!$C$3:$E$1788,2,0)*'Журнал Закупок'!G576,5))</f>
        <v/>
      </c>
      <c r="O576" s="71"/>
      <c r="P576" s="71" t="str">
        <f t="shared" si="45"/>
        <v/>
      </c>
      <c r="Q576" s="75" t="str">
        <f t="shared" si="46"/>
        <v/>
      </c>
      <c r="R576" s="76"/>
    </row>
    <row r="577" spans="1:18" ht="14.25" customHeight="1">
      <c r="A577" s="67"/>
      <c r="B577" s="68"/>
      <c r="C577" s="69"/>
      <c r="D577" s="69" t="str">
        <f ca="1">IF(B577="","",VLOOKUP('Журнал Закупок'!$B577,'СТ Криптовалюта'!B:C,2,0))</f>
        <v/>
      </c>
      <c r="E577" s="68"/>
      <c r="F577" s="70"/>
      <c r="G577" s="71"/>
      <c r="H577" s="71"/>
      <c r="I577" s="71" t="str">
        <f t="shared" si="47"/>
        <v/>
      </c>
      <c r="J577" s="71"/>
      <c r="K577" s="71"/>
      <c r="L577" s="71"/>
      <c r="M577" s="71"/>
      <c r="N577" s="71" t="str">
        <f ca="1">IF(I577="","",ROUND(VLOOKUP('Журнал Закупок'!D577,'СТ Криптовалюта'!$C$3:$E$1788,2,0)*'Журнал Закупок'!G577,5))</f>
        <v/>
      </c>
      <c r="O577" s="71"/>
      <c r="P577" s="71" t="str">
        <f t="shared" si="45"/>
        <v/>
      </c>
      <c r="Q577" s="75" t="str">
        <f t="shared" si="46"/>
        <v/>
      </c>
      <c r="R577" s="76"/>
    </row>
    <row r="578" spans="1:18" ht="14.25" customHeight="1">
      <c r="A578" s="67"/>
      <c r="B578" s="68"/>
      <c r="C578" s="69"/>
      <c r="D578" s="69" t="str">
        <f ca="1">IF(B578="","",VLOOKUP('Журнал Закупок'!$B578,'СТ Криптовалюта'!B:C,2,0))</f>
        <v/>
      </c>
      <c r="E578" s="68"/>
      <c r="F578" s="70"/>
      <c r="G578" s="71"/>
      <c r="H578" s="71"/>
      <c r="I578" s="71" t="str">
        <f t="shared" si="47"/>
        <v/>
      </c>
      <c r="J578" s="71"/>
      <c r="K578" s="71"/>
      <c r="L578" s="71"/>
      <c r="M578" s="71"/>
      <c r="N578" s="71" t="str">
        <f ca="1">IF(I578="","",ROUND(VLOOKUP('Журнал Закупок'!D578,'СТ Криптовалюта'!$C$3:$E$1788,2,0)*'Журнал Закупок'!G578,5))</f>
        <v/>
      </c>
      <c r="O578" s="71"/>
      <c r="P578" s="71" t="str">
        <f t="shared" si="45"/>
        <v/>
      </c>
      <c r="Q578" s="75" t="str">
        <f t="shared" si="46"/>
        <v/>
      </c>
      <c r="R578" s="76"/>
    </row>
    <row r="579" spans="1:18" ht="14.25" customHeight="1">
      <c r="A579" s="67"/>
      <c r="B579" s="68"/>
      <c r="C579" s="69"/>
      <c r="D579" s="69" t="str">
        <f ca="1">IF(B579="","",VLOOKUP('Журнал Закупок'!$B579,'СТ Криптовалюта'!B:C,2,0))</f>
        <v/>
      </c>
      <c r="E579" s="68"/>
      <c r="F579" s="70"/>
      <c r="G579" s="71"/>
      <c r="H579" s="71"/>
      <c r="I579" s="71" t="str">
        <f t="shared" si="47"/>
        <v/>
      </c>
      <c r="J579" s="71"/>
      <c r="K579" s="71"/>
      <c r="L579" s="71"/>
      <c r="M579" s="71"/>
      <c r="N579" s="71" t="str">
        <f ca="1">IF(I579="","",ROUND(VLOOKUP('Журнал Закупок'!D579,'СТ Криптовалюта'!$C$3:$E$1788,2,0)*'Журнал Закупок'!G579,5))</f>
        <v/>
      </c>
      <c r="O579" s="71"/>
      <c r="P579" s="71" t="str">
        <f t="shared" si="45"/>
        <v/>
      </c>
      <c r="Q579" s="75" t="str">
        <f t="shared" si="46"/>
        <v/>
      </c>
      <c r="R579" s="76"/>
    </row>
    <row r="580" spans="1:18" ht="14.25" customHeight="1">
      <c r="A580" s="67"/>
      <c r="B580" s="68"/>
      <c r="C580" s="69"/>
      <c r="D580" s="69" t="str">
        <f ca="1">IF(B580="","",VLOOKUP('Журнал Закупок'!$B580,'СТ Криптовалюта'!B:C,2,0))</f>
        <v/>
      </c>
      <c r="E580" s="68"/>
      <c r="F580" s="70"/>
      <c r="G580" s="71"/>
      <c r="H580" s="71"/>
      <c r="I580" s="71" t="str">
        <f t="shared" si="47"/>
        <v/>
      </c>
      <c r="J580" s="71"/>
      <c r="K580" s="71"/>
      <c r="L580" s="71"/>
      <c r="M580" s="71"/>
      <c r="N580" s="71" t="str">
        <f ca="1">IF(I580="","",ROUND(VLOOKUP('Журнал Закупок'!D580,'СТ Криптовалюта'!$C$3:$E$1788,2,0)*'Журнал Закупок'!G580,5))</f>
        <v/>
      </c>
      <c r="O580" s="71"/>
      <c r="P580" s="71" t="str">
        <f t="shared" si="45"/>
        <v/>
      </c>
      <c r="Q580" s="75" t="str">
        <f t="shared" si="46"/>
        <v/>
      </c>
      <c r="R580" s="76"/>
    </row>
    <row r="581" spans="1:18" ht="14.25" customHeight="1">
      <c r="A581" s="67"/>
      <c r="B581" s="68"/>
      <c r="C581" s="69"/>
      <c r="D581" s="69" t="str">
        <f ca="1">IF(B581="","",VLOOKUP('Журнал Закупок'!$B581,'СТ Криптовалюта'!B:C,2,0))</f>
        <v/>
      </c>
      <c r="E581" s="68"/>
      <c r="F581" s="70"/>
      <c r="G581" s="71"/>
      <c r="H581" s="71"/>
      <c r="I581" s="71" t="str">
        <f t="shared" si="47"/>
        <v/>
      </c>
      <c r="J581" s="71"/>
      <c r="K581" s="71"/>
      <c r="L581" s="71"/>
      <c r="M581" s="71"/>
      <c r="N581" s="71" t="str">
        <f ca="1">IF(I581="","",ROUND(VLOOKUP('Журнал Закупок'!D581,'СТ Криптовалюта'!$C$3:$E$1788,2,0)*'Журнал Закупок'!G581,5))</f>
        <v/>
      </c>
      <c r="O581" s="71"/>
      <c r="P581" s="71" t="str">
        <f t="shared" si="45"/>
        <v/>
      </c>
      <c r="Q581" s="75" t="str">
        <f t="shared" si="46"/>
        <v/>
      </c>
      <c r="R581" s="76"/>
    </row>
    <row r="582" spans="1:18" ht="14.25" customHeight="1">
      <c r="A582" s="67"/>
      <c r="B582" s="68"/>
      <c r="C582" s="69"/>
      <c r="D582" s="69" t="str">
        <f ca="1">IF(B582="","",VLOOKUP('Журнал Закупок'!$B582,'СТ Криптовалюта'!B:C,2,0))</f>
        <v/>
      </c>
      <c r="E582" s="68"/>
      <c r="F582" s="70"/>
      <c r="G582" s="71"/>
      <c r="H582" s="71"/>
      <c r="I582" s="71" t="str">
        <f t="shared" si="47"/>
        <v/>
      </c>
      <c r="J582" s="71"/>
      <c r="K582" s="71"/>
      <c r="L582" s="71"/>
      <c r="M582" s="71"/>
      <c r="N582" s="71" t="str">
        <f ca="1">IF(I582="","",ROUND(VLOOKUP('Журнал Закупок'!D582,'СТ Криптовалюта'!$C$3:$E$1788,2,0)*'Журнал Закупок'!G582,5))</f>
        <v/>
      </c>
      <c r="O582" s="71"/>
      <c r="P582" s="71" t="str">
        <f t="shared" si="45"/>
        <v/>
      </c>
      <c r="Q582" s="75" t="str">
        <f t="shared" si="46"/>
        <v/>
      </c>
      <c r="R582" s="76"/>
    </row>
    <row r="583" spans="1:18" ht="14.25" customHeight="1">
      <c r="A583" s="67"/>
      <c r="B583" s="68"/>
      <c r="C583" s="69"/>
      <c r="D583" s="69" t="str">
        <f ca="1">IF(B583="","",VLOOKUP('Журнал Закупок'!$B583,'СТ Криптовалюта'!B:C,2,0))</f>
        <v/>
      </c>
      <c r="E583" s="68"/>
      <c r="F583" s="70"/>
      <c r="G583" s="71"/>
      <c r="H583" s="71"/>
      <c r="I583" s="71" t="str">
        <f t="shared" si="47"/>
        <v/>
      </c>
      <c r="J583" s="71"/>
      <c r="K583" s="71"/>
      <c r="L583" s="71"/>
      <c r="M583" s="71"/>
      <c r="N583" s="71" t="str">
        <f ca="1">IF(I583="","",ROUND(VLOOKUP('Журнал Закупок'!D583,'СТ Криптовалюта'!$C$3:$E$1788,2,0)*'Журнал Закупок'!G583,5))</f>
        <v/>
      </c>
      <c r="O583" s="71"/>
      <c r="P583" s="71" t="str">
        <f t="shared" si="45"/>
        <v/>
      </c>
      <c r="Q583" s="75" t="str">
        <f t="shared" si="46"/>
        <v/>
      </c>
      <c r="R583" s="76"/>
    </row>
    <row r="584" spans="1:18" ht="14.25" customHeight="1">
      <c r="A584" s="67"/>
      <c r="B584" s="68"/>
      <c r="C584" s="69"/>
      <c r="D584" s="69" t="str">
        <f ca="1">IF(B584="","",VLOOKUP('Журнал Закупок'!$B584,'СТ Криптовалюта'!B:C,2,0))</f>
        <v/>
      </c>
      <c r="E584" s="68"/>
      <c r="F584" s="70"/>
      <c r="G584" s="71"/>
      <c r="H584" s="71"/>
      <c r="I584" s="71" t="str">
        <f t="shared" si="47"/>
        <v/>
      </c>
      <c r="J584" s="71"/>
      <c r="K584" s="71"/>
      <c r="L584" s="71"/>
      <c r="M584" s="71"/>
      <c r="N584" s="71" t="str">
        <f ca="1">IF(I584="","",ROUND(VLOOKUP('Журнал Закупок'!D584,'СТ Криптовалюта'!$C$3:$E$1788,2,0)*'Журнал Закупок'!G584,5))</f>
        <v/>
      </c>
      <c r="O584" s="71"/>
      <c r="P584" s="71" t="str">
        <f t="shared" si="45"/>
        <v/>
      </c>
      <c r="Q584" s="75" t="str">
        <f t="shared" si="46"/>
        <v/>
      </c>
      <c r="R584" s="76"/>
    </row>
    <row r="585" spans="1:18" ht="14.25" customHeight="1">
      <c r="A585" s="67"/>
      <c r="B585" s="68"/>
      <c r="C585" s="69"/>
      <c r="D585" s="69" t="str">
        <f ca="1">IF(B585="","",VLOOKUP('Журнал Закупок'!$B585,'СТ Криптовалюта'!B:C,2,0))</f>
        <v/>
      </c>
      <c r="E585" s="68"/>
      <c r="F585" s="70"/>
      <c r="G585" s="71"/>
      <c r="H585" s="71"/>
      <c r="I585" s="71" t="str">
        <f t="shared" si="47"/>
        <v/>
      </c>
      <c r="J585" s="71"/>
      <c r="K585" s="71"/>
      <c r="L585" s="71"/>
      <c r="M585" s="71"/>
      <c r="N585" s="71" t="str">
        <f ca="1">IF(I585="","",ROUND(VLOOKUP('Журнал Закупок'!D585,'СТ Криптовалюта'!$C$3:$E$1788,2,0)*'Журнал Закупок'!G585,5))</f>
        <v/>
      </c>
      <c r="O585" s="71"/>
      <c r="P585" s="71" t="str">
        <f t="shared" si="45"/>
        <v/>
      </c>
      <c r="Q585" s="75" t="str">
        <f t="shared" si="46"/>
        <v/>
      </c>
      <c r="R585" s="76"/>
    </row>
    <row r="586" spans="1:18" ht="14.25" customHeight="1">
      <c r="A586" s="67"/>
      <c r="B586" s="68"/>
      <c r="C586" s="69"/>
      <c r="D586" s="69" t="str">
        <f ca="1">IF(B586="","",VLOOKUP('Журнал Закупок'!$B586,'СТ Криптовалюта'!B:C,2,0))</f>
        <v/>
      </c>
      <c r="E586" s="68"/>
      <c r="F586" s="70"/>
      <c r="G586" s="71"/>
      <c r="H586" s="71"/>
      <c r="I586" s="71" t="str">
        <f t="shared" si="47"/>
        <v/>
      </c>
      <c r="J586" s="71"/>
      <c r="K586" s="71"/>
      <c r="L586" s="71"/>
      <c r="M586" s="71"/>
      <c r="N586" s="71" t="str">
        <f ca="1">IF(I586="","",ROUND(VLOOKUP('Журнал Закупок'!D586,'СТ Криптовалюта'!$C$3:$E$1788,2,0)*'Журнал Закупок'!G586,5))</f>
        <v/>
      </c>
      <c r="O586" s="71"/>
      <c r="P586" s="71" t="str">
        <f t="shared" si="45"/>
        <v/>
      </c>
      <c r="Q586" s="75" t="str">
        <f t="shared" si="46"/>
        <v/>
      </c>
      <c r="R586" s="76"/>
    </row>
    <row r="587" spans="1:18" ht="14.25" customHeight="1">
      <c r="A587" s="67"/>
      <c r="B587" s="68"/>
      <c r="C587" s="69"/>
      <c r="D587" s="69" t="str">
        <f ca="1">IF(B587="","",VLOOKUP('Журнал Закупок'!$B587,'СТ Криптовалюта'!B:C,2,0))</f>
        <v/>
      </c>
      <c r="E587" s="68"/>
      <c r="F587" s="70"/>
      <c r="G587" s="71"/>
      <c r="H587" s="71"/>
      <c r="I587" s="71" t="str">
        <f t="shared" si="47"/>
        <v/>
      </c>
      <c r="J587" s="71"/>
      <c r="K587" s="71"/>
      <c r="L587" s="71"/>
      <c r="M587" s="71"/>
      <c r="N587" s="71" t="str">
        <f ca="1">IF(I587="","",ROUND(VLOOKUP('Журнал Закупок'!D587,'СТ Криптовалюта'!$C$3:$E$1788,2,0)*'Журнал Закупок'!G587,5))</f>
        <v/>
      </c>
      <c r="O587" s="71"/>
      <c r="P587" s="71" t="str">
        <f t="shared" si="45"/>
        <v/>
      </c>
      <c r="Q587" s="75" t="str">
        <f t="shared" si="46"/>
        <v/>
      </c>
      <c r="R587" s="76"/>
    </row>
    <row r="588" spans="1:18" ht="14.25" customHeight="1">
      <c r="A588" s="67"/>
      <c r="B588" s="68"/>
      <c r="C588" s="69"/>
      <c r="D588" s="69" t="str">
        <f ca="1">IF(B588="","",VLOOKUP('Журнал Закупок'!$B588,'СТ Криптовалюта'!B:C,2,0))</f>
        <v/>
      </c>
      <c r="E588" s="68"/>
      <c r="F588" s="70"/>
      <c r="G588" s="71"/>
      <c r="H588" s="71"/>
      <c r="I588" s="71" t="str">
        <f t="shared" si="47"/>
        <v/>
      </c>
      <c r="J588" s="71"/>
      <c r="K588" s="71"/>
      <c r="L588" s="71"/>
      <c r="M588" s="71"/>
      <c r="N588" s="71" t="str">
        <f ca="1">IF(I588="","",ROUND(VLOOKUP('Журнал Закупок'!D588,'СТ Криптовалюта'!$C$3:$E$1788,2,0)*'Журнал Закупок'!G588,5))</f>
        <v/>
      </c>
      <c r="O588" s="71"/>
      <c r="P588" s="71" t="str">
        <f t="shared" si="45"/>
        <v/>
      </c>
      <c r="Q588" s="75" t="str">
        <f t="shared" si="46"/>
        <v/>
      </c>
      <c r="R588" s="76"/>
    </row>
    <row r="589" spans="1:18" ht="14.25" customHeight="1">
      <c r="A589" s="67"/>
      <c r="B589" s="68"/>
      <c r="C589" s="69"/>
      <c r="D589" s="69" t="str">
        <f ca="1">IF(B589="","",VLOOKUP('Журнал Закупок'!$B589,'СТ Криптовалюта'!B:C,2,0))</f>
        <v/>
      </c>
      <c r="E589" s="68"/>
      <c r="F589" s="70"/>
      <c r="G589" s="71"/>
      <c r="H589" s="71"/>
      <c r="I589" s="71" t="str">
        <f t="shared" si="47"/>
        <v/>
      </c>
      <c r="J589" s="71"/>
      <c r="K589" s="71"/>
      <c r="L589" s="71"/>
      <c r="M589" s="71"/>
      <c r="N589" s="71" t="str">
        <f ca="1">IF(I589="","",ROUND(VLOOKUP('Журнал Закупок'!D589,'СТ Криптовалюта'!$C$3:$E$1788,2,0)*'Журнал Закупок'!G589,5))</f>
        <v/>
      </c>
      <c r="O589" s="71"/>
      <c r="P589" s="71" t="str">
        <f t="shared" si="45"/>
        <v/>
      </c>
      <c r="Q589" s="75" t="str">
        <f t="shared" si="46"/>
        <v/>
      </c>
      <c r="R589" s="76"/>
    </row>
    <row r="590" spans="1:18" ht="14.25" customHeight="1">
      <c r="A590" s="67"/>
      <c r="B590" s="68"/>
      <c r="C590" s="69"/>
      <c r="D590" s="69" t="str">
        <f ca="1">IF(B590="","",VLOOKUP('Журнал Закупок'!$B590,'СТ Криптовалюта'!B:C,2,0))</f>
        <v/>
      </c>
      <c r="E590" s="68"/>
      <c r="F590" s="70"/>
      <c r="G590" s="71"/>
      <c r="H590" s="71"/>
      <c r="I590" s="71" t="str">
        <f t="shared" si="47"/>
        <v/>
      </c>
      <c r="J590" s="71"/>
      <c r="K590" s="71"/>
      <c r="L590" s="71"/>
      <c r="M590" s="71"/>
      <c r="N590" s="71" t="str">
        <f ca="1">IF(I590="","",ROUND(VLOOKUP('Журнал Закупок'!D590,'СТ Криптовалюта'!$C$3:$E$1788,2,0)*'Журнал Закупок'!G590,5))</f>
        <v/>
      </c>
      <c r="O590" s="71"/>
      <c r="P590" s="71" t="str">
        <f t="shared" si="45"/>
        <v/>
      </c>
      <c r="Q590" s="75" t="str">
        <f t="shared" si="46"/>
        <v/>
      </c>
      <c r="R590" s="76"/>
    </row>
    <row r="591" spans="1:18" ht="14.25" customHeight="1">
      <c r="A591" s="67"/>
      <c r="B591" s="68"/>
      <c r="C591" s="69"/>
      <c r="D591" s="69" t="str">
        <f ca="1">IF(B591="","",VLOOKUP('Журнал Закупок'!$B591,'СТ Криптовалюта'!B:C,2,0))</f>
        <v/>
      </c>
      <c r="E591" s="68"/>
      <c r="F591" s="70"/>
      <c r="G591" s="71"/>
      <c r="H591" s="71"/>
      <c r="I591" s="71" t="str">
        <f t="shared" si="47"/>
        <v/>
      </c>
      <c r="J591" s="71"/>
      <c r="K591" s="71"/>
      <c r="L591" s="71"/>
      <c r="M591" s="71"/>
      <c r="N591" s="71" t="str">
        <f ca="1">IF(I591="","",ROUND(VLOOKUP('Журнал Закупок'!D591,'СТ Криптовалюта'!$C$3:$E$1788,2,0)*'Журнал Закупок'!G591,5))</f>
        <v/>
      </c>
      <c r="O591" s="71"/>
      <c r="P591" s="71" t="str">
        <f t="shared" si="45"/>
        <v/>
      </c>
      <c r="Q591" s="75" t="str">
        <f t="shared" si="46"/>
        <v/>
      </c>
      <c r="R591" s="76"/>
    </row>
    <row r="592" spans="1:18" ht="14.25" customHeight="1">
      <c r="A592" s="67"/>
      <c r="B592" s="68"/>
      <c r="C592" s="69"/>
      <c r="D592" s="69" t="str">
        <f ca="1">IF(B592="","",VLOOKUP('Журнал Закупок'!$B592,'СТ Криптовалюта'!B:C,2,0))</f>
        <v/>
      </c>
      <c r="E592" s="68"/>
      <c r="F592" s="70"/>
      <c r="G592" s="71"/>
      <c r="H592" s="71"/>
      <c r="I592" s="71" t="str">
        <f t="shared" si="47"/>
        <v/>
      </c>
      <c r="J592" s="71"/>
      <c r="K592" s="71"/>
      <c r="L592" s="71"/>
      <c r="M592" s="71"/>
      <c r="N592" s="71" t="str">
        <f ca="1">IF(I592="","",ROUND(VLOOKUP('Журнал Закупок'!D592,'СТ Криптовалюта'!$C$3:$E$1788,2,0)*'Журнал Закупок'!G592,5))</f>
        <v/>
      </c>
      <c r="O592" s="71"/>
      <c r="P592" s="71" t="str">
        <f t="shared" si="45"/>
        <v/>
      </c>
      <c r="Q592" s="75" t="str">
        <f t="shared" si="46"/>
        <v/>
      </c>
      <c r="R592" s="76"/>
    </row>
    <row r="593" spans="1:18" ht="14.25" customHeight="1">
      <c r="A593" s="67"/>
      <c r="B593" s="68"/>
      <c r="C593" s="69"/>
      <c r="D593" s="69" t="str">
        <f ca="1">IF(B593="","",VLOOKUP('Журнал Закупок'!$B593,'СТ Криптовалюта'!B:C,2,0))</f>
        <v/>
      </c>
      <c r="E593" s="68"/>
      <c r="F593" s="70"/>
      <c r="G593" s="71"/>
      <c r="H593" s="71"/>
      <c r="I593" s="71" t="str">
        <f t="shared" si="47"/>
        <v/>
      </c>
      <c r="J593" s="71"/>
      <c r="K593" s="71"/>
      <c r="L593" s="71"/>
      <c r="M593" s="71"/>
      <c r="N593" s="71" t="str">
        <f ca="1">IF(I593="","",ROUND(VLOOKUP('Журнал Закупок'!D593,'СТ Криптовалюта'!$C$3:$E$1788,2,0)*'Журнал Закупок'!G593,5))</f>
        <v/>
      </c>
      <c r="O593" s="71"/>
      <c r="P593" s="71" t="str">
        <f t="shared" si="45"/>
        <v/>
      </c>
      <c r="Q593" s="75" t="str">
        <f t="shared" si="46"/>
        <v/>
      </c>
      <c r="R593" s="76"/>
    </row>
    <row r="594" spans="1:18" ht="14.25" customHeight="1">
      <c r="A594" s="67"/>
      <c r="B594" s="68"/>
      <c r="C594" s="69"/>
      <c r="D594" s="69" t="str">
        <f ca="1">IF(B594="","",VLOOKUP('Журнал Закупок'!$B594,'СТ Криптовалюта'!B:C,2,0))</f>
        <v/>
      </c>
      <c r="E594" s="68"/>
      <c r="F594" s="70"/>
      <c r="G594" s="71"/>
      <c r="H594" s="71"/>
      <c r="I594" s="71" t="str">
        <f t="shared" si="47"/>
        <v/>
      </c>
      <c r="J594" s="71"/>
      <c r="K594" s="71"/>
      <c r="L594" s="71"/>
      <c r="M594" s="71"/>
      <c r="N594" s="71" t="str">
        <f ca="1">IF(I594="","",ROUND(VLOOKUP('Журнал Закупок'!D594,'СТ Криптовалюта'!$C$3:$E$1788,2,0)*'Журнал Закупок'!G594,5))</f>
        <v/>
      </c>
      <c r="O594" s="71"/>
      <c r="P594" s="71" t="str">
        <f t="shared" si="45"/>
        <v/>
      </c>
      <c r="Q594" s="75" t="str">
        <f t="shared" si="46"/>
        <v/>
      </c>
      <c r="R594" s="76"/>
    </row>
    <row r="595" spans="1:18" ht="14.25" customHeight="1">
      <c r="A595" s="67"/>
      <c r="B595" s="68"/>
      <c r="C595" s="69"/>
      <c r="D595" s="69" t="str">
        <f ca="1">IF(B595="","",VLOOKUP('Журнал Закупок'!$B595,'СТ Криптовалюта'!B:C,2,0))</f>
        <v/>
      </c>
      <c r="E595" s="68"/>
      <c r="F595" s="70"/>
      <c r="G595" s="71"/>
      <c r="H595" s="71"/>
      <c r="I595" s="71" t="str">
        <f t="shared" si="47"/>
        <v/>
      </c>
      <c r="J595" s="71"/>
      <c r="K595" s="71"/>
      <c r="L595" s="71"/>
      <c r="M595" s="71"/>
      <c r="N595" s="71" t="str">
        <f ca="1">IF(I595="","",ROUND(VLOOKUP('Журнал Закупок'!D595,'СТ Криптовалюта'!$C$3:$E$1788,2,0)*'Журнал Закупок'!G595,5))</f>
        <v/>
      </c>
      <c r="O595" s="71"/>
      <c r="P595" s="71" t="str">
        <f t="shared" si="45"/>
        <v/>
      </c>
      <c r="Q595" s="75" t="str">
        <f t="shared" si="46"/>
        <v/>
      </c>
      <c r="R595" s="76"/>
    </row>
    <row r="596" spans="1:18" ht="14.25" customHeight="1">
      <c r="A596" s="67"/>
      <c r="B596" s="68"/>
      <c r="C596" s="69"/>
      <c r="D596" s="69" t="str">
        <f ca="1">IF(B596="","",VLOOKUP('Журнал Закупок'!$B596,'СТ Криптовалюта'!B:C,2,0))</f>
        <v/>
      </c>
      <c r="E596" s="68"/>
      <c r="F596" s="70"/>
      <c r="G596" s="71"/>
      <c r="H596" s="71"/>
      <c r="I596" s="71" t="str">
        <f t="shared" si="47"/>
        <v/>
      </c>
      <c r="J596" s="71"/>
      <c r="K596" s="71"/>
      <c r="L596" s="71"/>
      <c r="M596" s="71"/>
      <c r="N596" s="71" t="str">
        <f ca="1">IF(I596="","",ROUND(VLOOKUP('Журнал Закупок'!D596,'СТ Криптовалюта'!$C$3:$E$1788,2,0)*'Журнал Закупок'!G596,5))</f>
        <v/>
      </c>
      <c r="O596" s="71"/>
      <c r="P596" s="71" t="str">
        <f t="shared" si="45"/>
        <v/>
      </c>
      <c r="Q596" s="75" t="str">
        <f t="shared" si="46"/>
        <v/>
      </c>
      <c r="R596" s="76"/>
    </row>
    <row r="597" spans="1:18" ht="14.25" customHeight="1">
      <c r="A597" s="67"/>
      <c r="B597" s="68"/>
      <c r="C597" s="69"/>
      <c r="D597" s="69" t="str">
        <f ca="1">IF(B597="","",VLOOKUP('Журнал Закупок'!$B597,'СТ Криптовалюта'!B:C,2,0))</f>
        <v/>
      </c>
      <c r="E597" s="68"/>
      <c r="F597" s="70"/>
      <c r="G597" s="71"/>
      <c r="H597" s="71"/>
      <c r="I597" s="71" t="str">
        <f t="shared" si="47"/>
        <v/>
      </c>
      <c r="J597" s="71"/>
      <c r="K597" s="71"/>
      <c r="L597" s="71"/>
      <c r="M597" s="71"/>
      <c r="N597" s="71" t="str">
        <f ca="1">IF(I597="","",ROUND(VLOOKUP('Журнал Закупок'!D597,'СТ Криптовалюта'!$C$3:$E$1788,2,0)*'Журнал Закупок'!G597,5))</f>
        <v/>
      </c>
      <c r="O597" s="71"/>
      <c r="P597" s="71" t="str">
        <f t="shared" si="45"/>
        <v/>
      </c>
      <c r="Q597" s="75" t="str">
        <f t="shared" si="46"/>
        <v/>
      </c>
      <c r="R597" s="76"/>
    </row>
    <row r="598" spans="1:18" ht="14.25" customHeight="1">
      <c r="A598" s="67"/>
      <c r="B598" s="68"/>
      <c r="C598" s="69"/>
      <c r="D598" s="69" t="str">
        <f ca="1">IF(B598="","",VLOOKUP('Журнал Закупок'!$B598,'СТ Криптовалюта'!B:C,2,0))</f>
        <v/>
      </c>
      <c r="E598" s="68"/>
      <c r="F598" s="70"/>
      <c r="G598" s="71"/>
      <c r="H598" s="71"/>
      <c r="I598" s="71" t="str">
        <f t="shared" si="47"/>
        <v/>
      </c>
      <c r="J598" s="71"/>
      <c r="K598" s="71"/>
      <c r="L598" s="71"/>
      <c r="M598" s="71"/>
      <c r="N598" s="71" t="str">
        <f ca="1">IF(I598="","",ROUND(VLOOKUP('Журнал Закупок'!D598,'СТ Криптовалюта'!$C$3:$E$1788,2,0)*'Журнал Закупок'!G598,5))</f>
        <v/>
      </c>
      <c r="O598" s="71"/>
      <c r="P598" s="71" t="str">
        <f t="shared" si="45"/>
        <v/>
      </c>
      <c r="Q598" s="75" t="str">
        <f t="shared" si="46"/>
        <v/>
      </c>
      <c r="R598" s="76"/>
    </row>
    <row r="599" spans="1:18" ht="14.25" customHeight="1">
      <c r="A599" s="67"/>
      <c r="B599" s="68"/>
      <c r="C599" s="69"/>
      <c r="D599" s="69" t="str">
        <f ca="1">IF(B599="","",VLOOKUP('Журнал Закупок'!$B599,'СТ Криптовалюта'!B:C,2,0))</f>
        <v/>
      </c>
      <c r="E599" s="68"/>
      <c r="F599" s="70"/>
      <c r="G599" s="71"/>
      <c r="H599" s="71"/>
      <c r="I599" s="71" t="str">
        <f t="shared" si="47"/>
        <v/>
      </c>
      <c r="J599" s="71"/>
      <c r="K599" s="71"/>
      <c r="L599" s="71"/>
      <c r="M599" s="71"/>
      <c r="N599" s="71" t="str">
        <f ca="1">IF(I599="","",ROUND(VLOOKUP('Журнал Закупок'!D599,'СТ Криптовалюта'!$C$3:$E$1788,2,0)*'Журнал Закупок'!G599,5))</f>
        <v/>
      </c>
      <c r="O599" s="71"/>
      <c r="P599" s="71" t="str">
        <f t="shared" si="45"/>
        <v/>
      </c>
      <c r="Q599" s="75" t="str">
        <f t="shared" si="46"/>
        <v/>
      </c>
      <c r="R599" s="76"/>
    </row>
    <row r="600" spans="1:18" ht="14.25" customHeight="1">
      <c r="A600" s="67"/>
      <c r="B600" s="68"/>
      <c r="C600" s="69"/>
      <c r="D600" s="69" t="str">
        <f ca="1">IF(B600="","",VLOOKUP('Журнал Закупок'!$B600,'СТ Криптовалюта'!B:C,2,0))</f>
        <v/>
      </c>
      <c r="E600" s="68"/>
      <c r="F600" s="70"/>
      <c r="G600" s="71"/>
      <c r="H600" s="71"/>
      <c r="I600" s="71" t="str">
        <f t="shared" si="47"/>
        <v/>
      </c>
      <c r="J600" s="71"/>
      <c r="K600" s="71"/>
      <c r="L600" s="71"/>
      <c r="M600" s="71"/>
      <c r="N600" s="71" t="str">
        <f ca="1">IF(I600="","",ROUND(VLOOKUP('Журнал Закупок'!D600,'СТ Криптовалюта'!$C$3:$E$1788,2,0)*'Журнал Закупок'!G600,5))</f>
        <v/>
      </c>
      <c r="O600" s="71"/>
      <c r="P600" s="71" t="str">
        <f t="shared" si="45"/>
        <v/>
      </c>
      <c r="Q600" s="75" t="str">
        <f t="shared" si="46"/>
        <v/>
      </c>
      <c r="R600" s="76"/>
    </row>
    <row r="601" spans="1:18" ht="14.25" customHeight="1">
      <c r="A601" s="67"/>
      <c r="B601" s="68"/>
      <c r="C601" s="69"/>
      <c r="D601" s="69" t="str">
        <f ca="1">IF(B601="","",VLOOKUP('Журнал Закупок'!$B601,'СТ Криптовалюта'!B:C,2,0))</f>
        <v/>
      </c>
      <c r="E601" s="68"/>
      <c r="F601" s="70"/>
      <c r="G601" s="71"/>
      <c r="H601" s="71"/>
      <c r="I601" s="71" t="str">
        <f t="shared" si="47"/>
        <v/>
      </c>
      <c r="J601" s="71"/>
      <c r="K601" s="71"/>
      <c r="L601" s="71"/>
      <c r="M601" s="71"/>
      <c r="N601" s="71" t="str">
        <f ca="1">IF(I601="","",ROUND(VLOOKUP('Журнал Закупок'!D601,'СТ Криптовалюта'!$C$3:$E$1788,2,0)*'Журнал Закупок'!G601,5))</f>
        <v/>
      </c>
      <c r="O601" s="71"/>
      <c r="P601" s="71" t="str">
        <f t="shared" si="45"/>
        <v/>
      </c>
      <c r="Q601" s="75" t="str">
        <f t="shared" si="46"/>
        <v/>
      </c>
      <c r="R601" s="76"/>
    </row>
    <row r="602" spans="1:18" ht="14.25" customHeight="1">
      <c r="A602" s="67"/>
      <c r="B602" s="68"/>
      <c r="C602" s="69"/>
      <c r="D602" s="69" t="str">
        <f ca="1">IF(B602="","",VLOOKUP('Журнал Закупок'!$B602,'СТ Криптовалюта'!B:C,2,0))</f>
        <v/>
      </c>
      <c r="E602" s="68"/>
      <c r="F602" s="70"/>
      <c r="G602" s="71"/>
      <c r="H602" s="71"/>
      <c r="I602" s="71" t="str">
        <f t="shared" si="47"/>
        <v/>
      </c>
      <c r="J602" s="71"/>
      <c r="K602" s="71"/>
      <c r="L602" s="71"/>
      <c r="M602" s="71"/>
      <c r="N602" s="71" t="str">
        <f ca="1">IF(I602="","",ROUND(VLOOKUP('Журнал Закупок'!D602,'СТ Криптовалюта'!$C$3:$E$1788,2,0)*'Журнал Закупок'!G602,5))</f>
        <v/>
      </c>
      <c r="O602" s="71"/>
      <c r="P602" s="71" t="str">
        <f t="shared" si="45"/>
        <v/>
      </c>
      <c r="Q602" s="75" t="str">
        <f t="shared" si="46"/>
        <v/>
      </c>
      <c r="R602" s="76"/>
    </row>
    <row r="603" spans="1:18" ht="14.25" customHeight="1">
      <c r="A603" s="67"/>
      <c r="B603" s="68"/>
      <c r="C603" s="69"/>
      <c r="D603" s="69" t="str">
        <f ca="1">IF(B603="","",VLOOKUP('Журнал Закупок'!$B603,'СТ Криптовалюта'!B:C,2,0))</f>
        <v/>
      </c>
      <c r="E603" s="68"/>
      <c r="F603" s="70"/>
      <c r="G603" s="71"/>
      <c r="H603" s="71"/>
      <c r="I603" s="71" t="str">
        <f t="shared" si="47"/>
        <v/>
      </c>
      <c r="J603" s="71"/>
      <c r="K603" s="71"/>
      <c r="L603" s="71"/>
      <c r="M603" s="71"/>
      <c r="N603" s="71" t="str">
        <f ca="1">IF(I603="","",ROUND(VLOOKUP('Журнал Закупок'!D603,'СТ Криптовалюта'!$C$3:$E$1788,2,0)*'Журнал Закупок'!G603,5))</f>
        <v/>
      </c>
      <c r="O603" s="71"/>
      <c r="P603" s="71" t="str">
        <f t="shared" si="45"/>
        <v/>
      </c>
      <c r="Q603" s="75" t="str">
        <f t="shared" si="46"/>
        <v/>
      </c>
      <c r="R603" s="76"/>
    </row>
    <row r="604" spans="1:18" ht="14.25" customHeight="1">
      <c r="A604" s="67"/>
      <c r="B604" s="68"/>
      <c r="C604" s="69"/>
      <c r="D604" s="69" t="str">
        <f ca="1">IF(B604="","",VLOOKUP('Журнал Закупок'!$B604,'СТ Криптовалюта'!B:C,2,0))</f>
        <v/>
      </c>
      <c r="E604" s="68"/>
      <c r="F604" s="70"/>
      <c r="G604" s="71"/>
      <c r="H604" s="71"/>
      <c r="I604" s="71" t="str">
        <f t="shared" si="47"/>
        <v/>
      </c>
      <c r="J604" s="71"/>
      <c r="K604" s="71"/>
      <c r="L604" s="71"/>
      <c r="M604" s="71"/>
      <c r="N604" s="71" t="str">
        <f ca="1">IF(I604="","",ROUND(VLOOKUP('Журнал Закупок'!D604,'СТ Криптовалюта'!$C$3:$E$1788,2,0)*'Журнал Закупок'!G604,5))</f>
        <v/>
      </c>
      <c r="O604" s="71"/>
      <c r="P604" s="71" t="str">
        <f t="shared" si="45"/>
        <v/>
      </c>
      <c r="Q604" s="75" t="str">
        <f t="shared" si="46"/>
        <v/>
      </c>
      <c r="R604" s="76"/>
    </row>
    <row r="605" spans="1:18" ht="14.25" customHeight="1">
      <c r="A605" s="67"/>
      <c r="B605" s="68"/>
      <c r="C605" s="69"/>
      <c r="D605" s="69" t="str">
        <f ca="1">IF(B605="","",VLOOKUP('Журнал Закупок'!$B605,'СТ Криптовалюта'!B:C,2,0))</f>
        <v/>
      </c>
      <c r="E605" s="68"/>
      <c r="F605" s="70"/>
      <c r="G605" s="71"/>
      <c r="H605" s="71"/>
      <c r="I605" s="71" t="str">
        <f t="shared" si="47"/>
        <v/>
      </c>
      <c r="J605" s="71"/>
      <c r="K605" s="71"/>
      <c r="L605" s="71"/>
      <c r="M605" s="71"/>
      <c r="N605" s="71" t="str">
        <f ca="1">IF(I605="","",ROUND(VLOOKUP('Журнал Закупок'!D605,'СТ Криптовалюта'!$C$3:$E$1788,2,0)*'Журнал Закупок'!G605,5))</f>
        <v/>
      </c>
      <c r="O605" s="71"/>
      <c r="P605" s="71" t="str">
        <f t="shared" si="45"/>
        <v/>
      </c>
      <c r="Q605" s="75" t="str">
        <f t="shared" si="46"/>
        <v/>
      </c>
      <c r="R605" s="76"/>
    </row>
    <row r="606" spans="1:18" ht="14.25" customHeight="1">
      <c r="A606" s="67"/>
      <c r="B606" s="68"/>
      <c r="C606" s="69"/>
      <c r="D606" s="69" t="str">
        <f ca="1">IF(B606="","",VLOOKUP('Журнал Закупок'!$B606,'СТ Криптовалюта'!B:C,2,0))</f>
        <v/>
      </c>
      <c r="E606" s="68"/>
      <c r="F606" s="70"/>
      <c r="G606" s="71"/>
      <c r="H606" s="71"/>
      <c r="I606" s="71" t="str">
        <f t="shared" si="47"/>
        <v/>
      </c>
      <c r="J606" s="71"/>
      <c r="K606" s="71"/>
      <c r="L606" s="71"/>
      <c r="M606" s="71"/>
      <c r="N606" s="71" t="str">
        <f ca="1">IF(I606="","",ROUND(VLOOKUP('Журнал Закупок'!D606,'СТ Криптовалюта'!$C$3:$E$1788,2,0)*'Журнал Закупок'!G606,5))</f>
        <v/>
      </c>
      <c r="O606" s="71"/>
      <c r="P606" s="71" t="str">
        <f t="shared" si="45"/>
        <v/>
      </c>
      <c r="Q606" s="75" t="str">
        <f t="shared" si="46"/>
        <v/>
      </c>
      <c r="R606" s="76"/>
    </row>
    <row r="607" spans="1:18" ht="14.25" customHeight="1">
      <c r="A607" s="67"/>
      <c r="B607" s="68"/>
      <c r="C607" s="69"/>
      <c r="D607" s="69" t="str">
        <f ca="1">IF(B607="","",VLOOKUP('Журнал Закупок'!$B607,'СТ Криптовалюта'!B:C,2,0))</f>
        <v/>
      </c>
      <c r="E607" s="68"/>
      <c r="F607" s="70"/>
      <c r="G607" s="71"/>
      <c r="H607" s="71"/>
      <c r="I607" s="71" t="str">
        <f t="shared" si="47"/>
        <v/>
      </c>
      <c r="J607" s="71"/>
      <c r="K607" s="71"/>
      <c r="L607" s="71"/>
      <c r="M607" s="71"/>
      <c r="N607" s="71" t="str">
        <f ca="1">IF(I607="","",ROUND(VLOOKUP('Журнал Закупок'!D607,'СТ Криптовалюта'!$C$3:$E$1788,2,0)*'Журнал Закупок'!G607,5))</f>
        <v/>
      </c>
      <c r="O607" s="71"/>
      <c r="P607" s="71" t="str">
        <f t="shared" si="45"/>
        <v/>
      </c>
      <c r="Q607" s="75" t="str">
        <f t="shared" si="46"/>
        <v/>
      </c>
      <c r="R607" s="76"/>
    </row>
    <row r="608" spans="1:18" ht="14.25" customHeight="1">
      <c r="A608" s="67"/>
      <c r="B608" s="68"/>
      <c r="C608" s="69"/>
      <c r="D608" s="69" t="str">
        <f ca="1">IF(B608="","",VLOOKUP('Журнал Закупок'!$B608,'СТ Криптовалюта'!B:C,2,0))</f>
        <v/>
      </c>
      <c r="E608" s="68"/>
      <c r="F608" s="70"/>
      <c r="G608" s="71"/>
      <c r="H608" s="71"/>
      <c r="I608" s="71" t="str">
        <f t="shared" si="47"/>
        <v/>
      </c>
      <c r="J608" s="71"/>
      <c r="K608" s="71"/>
      <c r="L608" s="71"/>
      <c r="M608" s="71"/>
      <c r="N608" s="71" t="str">
        <f ca="1">IF(I608="","",ROUND(VLOOKUP('Журнал Закупок'!D608,'СТ Криптовалюта'!$C$3:$E$1788,2,0)*'Журнал Закупок'!G608,5))</f>
        <v/>
      </c>
      <c r="O608" s="71"/>
      <c r="P608" s="71" t="str">
        <f t="shared" si="45"/>
        <v/>
      </c>
      <c r="Q608" s="75" t="str">
        <f t="shared" si="46"/>
        <v/>
      </c>
      <c r="R608" s="76"/>
    </row>
    <row r="609" spans="1:18" ht="14.25" customHeight="1">
      <c r="A609" s="67"/>
      <c r="B609" s="68"/>
      <c r="C609" s="69"/>
      <c r="D609" s="69" t="str">
        <f ca="1">IF(B609="","",VLOOKUP('Журнал Закупок'!$B609,'СТ Криптовалюта'!B:C,2,0))</f>
        <v/>
      </c>
      <c r="E609" s="68"/>
      <c r="F609" s="70"/>
      <c r="G609" s="71"/>
      <c r="H609" s="71"/>
      <c r="I609" s="71" t="str">
        <f t="shared" si="47"/>
        <v/>
      </c>
      <c r="J609" s="71"/>
      <c r="K609" s="71"/>
      <c r="L609" s="71"/>
      <c r="M609" s="71"/>
      <c r="N609" s="71" t="str">
        <f ca="1">IF(I609="","",ROUND(VLOOKUP('Журнал Закупок'!D609,'СТ Криптовалюта'!$C$3:$E$1788,2,0)*'Журнал Закупок'!G609,5))</f>
        <v/>
      </c>
      <c r="O609" s="71"/>
      <c r="P609" s="71" t="str">
        <f t="shared" si="45"/>
        <v/>
      </c>
      <c r="Q609" s="75" t="str">
        <f t="shared" si="46"/>
        <v/>
      </c>
      <c r="R609" s="76"/>
    </row>
    <row r="610" spans="1:18" ht="14.25" customHeight="1">
      <c r="A610" s="67"/>
      <c r="B610" s="68"/>
      <c r="C610" s="69"/>
      <c r="D610" s="69" t="str">
        <f ca="1">IF(B610="","",VLOOKUP('Журнал Закупок'!$B610,'СТ Криптовалюта'!B:C,2,0))</f>
        <v/>
      </c>
      <c r="E610" s="68"/>
      <c r="F610" s="70"/>
      <c r="G610" s="71"/>
      <c r="H610" s="71"/>
      <c r="I610" s="71" t="str">
        <f t="shared" si="47"/>
        <v/>
      </c>
      <c r="J610" s="71"/>
      <c r="K610" s="71"/>
      <c r="L610" s="71"/>
      <c r="M610" s="71"/>
      <c r="N610" s="71" t="str">
        <f ca="1">IF(I610="","",ROUND(VLOOKUP('Журнал Закупок'!D610,'СТ Криптовалюта'!$C$3:$E$1788,2,0)*'Журнал Закупок'!G610,5))</f>
        <v/>
      </c>
      <c r="O610" s="71"/>
      <c r="P610" s="71" t="str">
        <f t="shared" si="45"/>
        <v/>
      </c>
      <c r="Q610" s="75" t="str">
        <f t="shared" si="46"/>
        <v/>
      </c>
      <c r="R610" s="76"/>
    </row>
    <row r="611" spans="1:18" ht="14.25" customHeight="1">
      <c r="A611" s="67"/>
      <c r="B611" s="68"/>
      <c r="C611" s="69"/>
      <c r="D611" s="69" t="str">
        <f ca="1">IF(B611="","",VLOOKUP('Журнал Закупок'!$B611,'СТ Криптовалюта'!B:C,2,0))</f>
        <v/>
      </c>
      <c r="E611" s="68"/>
      <c r="F611" s="70"/>
      <c r="G611" s="71"/>
      <c r="H611" s="71"/>
      <c r="I611" s="71" t="str">
        <f t="shared" si="47"/>
        <v/>
      </c>
      <c r="J611" s="71"/>
      <c r="K611" s="71"/>
      <c r="L611" s="71"/>
      <c r="M611" s="71"/>
      <c r="N611" s="71" t="str">
        <f ca="1">IF(I611="","",ROUND(VLOOKUP('Журнал Закупок'!D611,'СТ Криптовалюта'!$C$3:$E$1788,2,0)*'Журнал Закупок'!G611,5))</f>
        <v/>
      </c>
      <c r="O611" s="71"/>
      <c r="P611" s="71" t="str">
        <f t="shared" si="45"/>
        <v/>
      </c>
      <c r="Q611" s="75" t="str">
        <f t="shared" si="46"/>
        <v/>
      </c>
      <c r="R611" s="76"/>
    </row>
    <row r="612" spans="1:18" ht="14.25" customHeight="1">
      <c r="A612" s="67"/>
      <c r="B612" s="68"/>
      <c r="C612" s="69"/>
      <c r="D612" s="69" t="str">
        <f ca="1">IF(B612="","",VLOOKUP('Журнал Закупок'!$B612,'СТ Криптовалюта'!B:C,2,0))</f>
        <v/>
      </c>
      <c r="E612" s="68"/>
      <c r="F612" s="70"/>
      <c r="G612" s="71"/>
      <c r="H612" s="71"/>
      <c r="I612" s="71" t="str">
        <f t="shared" si="47"/>
        <v/>
      </c>
      <c r="J612" s="71"/>
      <c r="K612" s="71"/>
      <c r="L612" s="71"/>
      <c r="M612" s="71"/>
      <c r="N612" s="71" t="str">
        <f ca="1">IF(I612="","",ROUND(VLOOKUP('Журнал Закупок'!D612,'СТ Криптовалюта'!$C$3:$E$1788,2,0)*'Журнал Закупок'!G612,5))</f>
        <v/>
      </c>
      <c r="O612" s="71"/>
      <c r="P612" s="71" t="str">
        <f t="shared" si="45"/>
        <v/>
      </c>
      <c r="Q612" s="75" t="str">
        <f t="shared" si="46"/>
        <v/>
      </c>
      <c r="R612" s="76"/>
    </row>
    <row r="613" spans="1:18" ht="14.25" customHeight="1">
      <c r="A613" s="67"/>
      <c r="B613" s="68"/>
      <c r="C613" s="69"/>
      <c r="D613" s="69" t="str">
        <f ca="1">IF(B613="","",VLOOKUP('Журнал Закупок'!$B613,'СТ Криптовалюта'!B:C,2,0))</f>
        <v/>
      </c>
      <c r="E613" s="68"/>
      <c r="F613" s="70"/>
      <c r="G613" s="71"/>
      <c r="H613" s="71"/>
      <c r="I613" s="71" t="str">
        <f t="shared" si="47"/>
        <v/>
      </c>
      <c r="J613" s="71"/>
      <c r="K613" s="71"/>
      <c r="L613" s="71"/>
      <c r="M613" s="71"/>
      <c r="N613" s="71" t="str">
        <f ca="1">IF(I613="","",ROUND(VLOOKUP('Журнал Закупок'!D613,'СТ Криптовалюта'!$C$3:$E$1788,2,0)*'Журнал Закупок'!G613,5))</f>
        <v/>
      </c>
      <c r="O613" s="71"/>
      <c r="P613" s="71" t="str">
        <f t="shared" si="45"/>
        <v/>
      </c>
      <c r="Q613" s="75" t="str">
        <f t="shared" si="46"/>
        <v/>
      </c>
      <c r="R613" s="76"/>
    </row>
    <row r="614" spans="1:18" ht="14.25" customHeight="1">
      <c r="A614" s="67"/>
      <c r="B614" s="68"/>
      <c r="C614" s="69"/>
      <c r="D614" s="69" t="str">
        <f ca="1">IF(B614="","",VLOOKUP('Журнал Закупок'!$B614,'СТ Криптовалюта'!B:C,2,0))</f>
        <v/>
      </c>
      <c r="E614" s="68"/>
      <c r="F614" s="70"/>
      <c r="G614" s="71"/>
      <c r="H614" s="71"/>
      <c r="I614" s="71" t="str">
        <f t="shared" si="47"/>
        <v/>
      </c>
      <c r="J614" s="71"/>
      <c r="K614" s="71"/>
      <c r="L614" s="71"/>
      <c r="M614" s="71"/>
      <c r="N614" s="71" t="str">
        <f ca="1">IF(I614="","",ROUND(VLOOKUP('Журнал Закупок'!D614,'СТ Криптовалюта'!$C$3:$E$1788,2,0)*'Журнал Закупок'!G614,5))</f>
        <v/>
      </c>
      <c r="O614" s="71"/>
      <c r="P614" s="71" t="str">
        <f t="shared" si="45"/>
        <v/>
      </c>
      <c r="Q614" s="75" t="str">
        <f t="shared" si="46"/>
        <v/>
      </c>
      <c r="R614" s="76"/>
    </row>
    <row r="615" spans="1:18" ht="14.25" customHeight="1">
      <c r="A615" s="67"/>
      <c r="B615" s="68"/>
      <c r="C615" s="69"/>
      <c r="D615" s="69" t="str">
        <f ca="1">IF(B615="","",VLOOKUP('Журнал Закупок'!$B615,'СТ Криптовалюта'!B:C,2,0))</f>
        <v/>
      </c>
      <c r="E615" s="68"/>
      <c r="F615" s="70"/>
      <c r="G615" s="71"/>
      <c r="H615" s="71"/>
      <c r="I615" s="71" t="str">
        <f t="shared" si="47"/>
        <v/>
      </c>
      <c r="J615" s="71"/>
      <c r="K615" s="71"/>
      <c r="L615" s="71"/>
      <c r="M615" s="71"/>
      <c r="N615" s="71" t="str">
        <f ca="1">IF(I615="","",ROUND(VLOOKUP('Журнал Закупок'!D615,'СТ Криптовалюта'!$C$3:$E$1788,2,0)*'Журнал Закупок'!G615,5))</f>
        <v/>
      </c>
      <c r="O615" s="71"/>
      <c r="P615" s="71" t="str">
        <f t="shared" si="45"/>
        <v/>
      </c>
      <c r="Q615" s="75" t="str">
        <f t="shared" si="46"/>
        <v/>
      </c>
      <c r="R615" s="76"/>
    </row>
    <row r="616" spans="1:18" ht="14.25" customHeight="1">
      <c r="A616" s="67"/>
      <c r="B616" s="68"/>
      <c r="C616" s="69"/>
      <c r="D616" s="69" t="str">
        <f ca="1">IF(B616="","",VLOOKUP('Журнал Закупок'!$B616,'СТ Криптовалюта'!B:C,2,0))</f>
        <v/>
      </c>
      <c r="E616" s="68"/>
      <c r="F616" s="70"/>
      <c r="G616" s="71"/>
      <c r="H616" s="71"/>
      <c r="I616" s="71" t="str">
        <f t="shared" si="47"/>
        <v/>
      </c>
      <c r="J616" s="71"/>
      <c r="K616" s="71"/>
      <c r="L616" s="71"/>
      <c r="M616" s="71"/>
      <c r="N616" s="71" t="str">
        <f ca="1">IF(I616="","",ROUND(VLOOKUP('Журнал Закупок'!D616,'СТ Криптовалюта'!$C$3:$E$1788,2,0)*'Журнал Закупок'!G616,5))</f>
        <v/>
      </c>
      <c r="O616" s="71"/>
      <c r="P616" s="71" t="str">
        <f t="shared" si="45"/>
        <v/>
      </c>
      <c r="Q616" s="75" t="str">
        <f t="shared" si="46"/>
        <v/>
      </c>
      <c r="R616" s="76"/>
    </row>
    <row r="617" spans="1:18" ht="14.25" customHeight="1">
      <c r="A617" s="67"/>
      <c r="B617" s="68"/>
      <c r="C617" s="69"/>
      <c r="D617" s="69" t="str">
        <f ca="1">IF(B617="","",VLOOKUP('Журнал Закупок'!$B617,'СТ Криптовалюта'!B:C,2,0))</f>
        <v/>
      </c>
      <c r="E617" s="68"/>
      <c r="F617" s="70"/>
      <c r="G617" s="71"/>
      <c r="H617" s="71"/>
      <c r="I617" s="71" t="str">
        <f t="shared" si="47"/>
        <v/>
      </c>
      <c r="J617" s="71"/>
      <c r="K617" s="71"/>
      <c r="L617" s="71"/>
      <c r="M617" s="71"/>
      <c r="N617" s="71" t="str">
        <f ca="1">IF(I617="","",ROUND(VLOOKUP('Журнал Закупок'!D617,'СТ Криптовалюта'!$C$3:$E$1788,2,0)*'Журнал Закупок'!G617,5))</f>
        <v/>
      </c>
      <c r="O617" s="71"/>
      <c r="P617" s="71" t="str">
        <f t="shared" si="45"/>
        <v/>
      </c>
      <c r="Q617" s="75" t="str">
        <f t="shared" si="46"/>
        <v/>
      </c>
      <c r="R617" s="76"/>
    </row>
    <row r="618" spans="1:18" ht="14.25" customHeight="1">
      <c r="A618" s="67"/>
      <c r="B618" s="68"/>
      <c r="C618" s="69"/>
      <c r="D618" s="69" t="str">
        <f ca="1">IF(B618="","",VLOOKUP('Журнал Закупок'!$B618,'СТ Криптовалюта'!B:C,2,0))</f>
        <v/>
      </c>
      <c r="E618" s="68"/>
      <c r="F618" s="70"/>
      <c r="G618" s="71"/>
      <c r="H618" s="71"/>
      <c r="I618" s="71" t="str">
        <f t="shared" si="47"/>
        <v/>
      </c>
      <c r="J618" s="71"/>
      <c r="K618" s="71"/>
      <c r="L618" s="71"/>
      <c r="M618" s="71"/>
      <c r="N618" s="71" t="str">
        <f ca="1">IF(I618="","",ROUND(VLOOKUP('Журнал Закупок'!D618,'СТ Криптовалюта'!$C$3:$E$1788,2,0)*'Журнал Закупок'!G618,5))</f>
        <v/>
      </c>
      <c r="O618" s="71"/>
      <c r="P618" s="71" t="str">
        <f t="shared" si="45"/>
        <v/>
      </c>
      <c r="Q618" s="75" t="str">
        <f t="shared" si="46"/>
        <v/>
      </c>
      <c r="R618" s="76"/>
    </row>
    <row r="619" spans="1:18" ht="14.25" customHeight="1">
      <c r="A619" s="67"/>
      <c r="B619" s="68"/>
      <c r="C619" s="69"/>
      <c r="D619" s="69" t="str">
        <f ca="1">IF(B619="","",VLOOKUP('Журнал Закупок'!$B619,'СТ Криптовалюта'!B:C,2,0))</f>
        <v/>
      </c>
      <c r="E619" s="68"/>
      <c r="F619" s="70"/>
      <c r="G619" s="71"/>
      <c r="H619" s="71"/>
      <c r="I619" s="71" t="str">
        <f t="shared" si="47"/>
        <v/>
      </c>
      <c r="J619" s="71"/>
      <c r="K619" s="71"/>
      <c r="L619" s="71"/>
      <c r="M619" s="71"/>
      <c r="N619" s="71" t="str">
        <f ca="1">IF(I619="","",ROUND(VLOOKUP('Журнал Закупок'!D619,'СТ Криптовалюта'!$C$3:$E$1788,2,0)*'Журнал Закупок'!G619,5))</f>
        <v/>
      </c>
      <c r="O619" s="71"/>
      <c r="P619" s="71" t="str">
        <f t="shared" ref="P619:P682" si="48">IF(N619="","",ROUND(N619-I619,2))</f>
        <v/>
      </c>
      <c r="Q619" s="75" t="str">
        <f t="shared" ref="Q619:Q682" si="49">IF(P619="","",ROUND(IFERROR((N619-I619)/I619,2),5))</f>
        <v/>
      </c>
      <c r="R619" s="76"/>
    </row>
    <row r="620" spans="1:18" ht="14.25" customHeight="1">
      <c r="A620" s="67"/>
      <c r="B620" s="68"/>
      <c r="C620" s="69"/>
      <c r="D620" s="69" t="str">
        <f ca="1">IF(B620="","",VLOOKUP('Журнал Закупок'!$B620,'СТ Криптовалюта'!B:C,2,0))</f>
        <v/>
      </c>
      <c r="E620" s="68"/>
      <c r="F620" s="70"/>
      <c r="G620" s="71"/>
      <c r="H620" s="71"/>
      <c r="I620" s="71" t="str">
        <f t="shared" si="47"/>
        <v/>
      </c>
      <c r="J620" s="71"/>
      <c r="K620" s="71"/>
      <c r="L620" s="71"/>
      <c r="M620" s="71"/>
      <c r="N620" s="71" t="str">
        <f ca="1">IF(I620="","",ROUND(VLOOKUP('Журнал Закупок'!D620,'СТ Криптовалюта'!$C$3:$E$1788,2,0)*'Журнал Закупок'!G620,5))</f>
        <v/>
      </c>
      <c r="O620" s="71"/>
      <c r="P620" s="71" t="str">
        <f t="shared" si="48"/>
        <v/>
      </c>
      <c r="Q620" s="75" t="str">
        <f t="shared" si="49"/>
        <v/>
      </c>
      <c r="R620" s="76"/>
    </row>
    <row r="621" spans="1:18" ht="14.25" customHeight="1">
      <c r="A621" s="67"/>
      <c r="B621" s="68"/>
      <c r="C621" s="69"/>
      <c r="D621" s="69" t="str">
        <f ca="1">IF(B621="","",VLOOKUP('Журнал Закупок'!$B621,'СТ Криптовалюта'!B:C,2,0))</f>
        <v/>
      </c>
      <c r="E621" s="68"/>
      <c r="F621" s="70"/>
      <c r="G621" s="71"/>
      <c r="H621" s="71"/>
      <c r="I621" s="71" t="str">
        <f t="shared" si="47"/>
        <v/>
      </c>
      <c r="J621" s="71"/>
      <c r="K621" s="71"/>
      <c r="L621" s="71"/>
      <c r="M621" s="71"/>
      <c r="N621" s="71" t="str">
        <f ca="1">IF(I621="","",ROUND(VLOOKUP('Журнал Закупок'!D621,'СТ Криптовалюта'!$C$3:$E$1788,2,0)*'Журнал Закупок'!G621,5))</f>
        <v/>
      </c>
      <c r="O621" s="71"/>
      <c r="P621" s="71" t="str">
        <f t="shared" si="48"/>
        <v/>
      </c>
      <c r="Q621" s="75" t="str">
        <f t="shared" si="49"/>
        <v/>
      </c>
      <c r="R621" s="76"/>
    </row>
    <row r="622" spans="1:18" ht="14.25" customHeight="1">
      <c r="A622" s="67"/>
      <c r="B622" s="68"/>
      <c r="C622" s="69"/>
      <c r="D622" s="69" t="str">
        <f ca="1">IF(B622="","",VLOOKUP('Журнал Закупок'!$B622,'СТ Криптовалюта'!B:C,2,0))</f>
        <v/>
      </c>
      <c r="E622" s="68"/>
      <c r="F622" s="70"/>
      <c r="G622" s="71"/>
      <c r="H622" s="71"/>
      <c r="I622" s="71" t="str">
        <f t="shared" ref="I622:I685" si="50">IF(H622="","",ROUND(G622*H622,5))</f>
        <v/>
      </c>
      <c r="J622" s="71"/>
      <c r="K622" s="71"/>
      <c r="L622" s="71"/>
      <c r="M622" s="71"/>
      <c r="N622" s="71" t="str">
        <f ca="1">IF(I622="","",ROUND(VLOOKUP('Журнал Закупок'!D622,'СТ Криптовалюта'!$C$3:$E$1788,2,0)*'Журнал Закупок'!G622,5))</f>
        <v/>
      </c>
      <c r="O622" s="71"/>
      <c r="P622" s="71" t="str">
        <f t="shared" si="48"/>
        <v/>
      </c>
      <c r="Q622" s="75" t="str">
        <f t="shared" si="49"/>
        <v/>
      </c>
      <c r="R622" s="76"/>
    </row>
    <row r="623" spans="1:18" ht="14.25" customHeight="1">
      <c r="A623" s="67"/>
      <c r="B623" s="68"/>
      <c r="C623" s="69"/>
      <c r="D623" s="69" t="str">
        <f ca="1">IF(B623="","",VLOOKUP('Журнал Закупок'!$B623,'СТ Криптовалюта'!B:C,2,0))</f>
        <v/>
      </c>
      <c r="E623" s="68"/>
      <c r="F623" s="70"/>
      <c r="G623" s="71"/>
      <c r="H623" s="71"/>
      <c r="I623" s="71" t="str">
        <f t="shared" si="50"/>
        <v/>
      </c>
      <c r="J623" s="71"/>
      <c r="K623" s="71"/>
      <c r="L623" s="71"/>
      <c r="M623" s="71"/>
      <c r="N623" s="71" t="str">
        <f ca="1">IF(I623="","",ROUND(VLOOKUP('Журнал Закупок'!D623,'СТ Криптовалюта'!$C$3:$E$1788,2,0)*'Журнал Закупок'!G623,5))</f>
        <v/>
      </c>
      <c r="O623" s="71"/>
      <c r="P623" s="71" t="str">
        <f t="shared" si="48"/>
        <v/>
      </c>
      <c r="Q623" s="75" t="str">
        <f t="shared" si="49"/>
        <v/>
      </c>
      <c r="R623" s="76"/>
    </row>
    <row r="624" spans="1:18" ht="14.25" customHeight="1">
      <c r="A624" s="67"/>
      <c r="B624" s="68"/>
      <c r="C624" s="69"/>
      <c r="D624" s="69" t="str">
        <f ca="1">IF(B624="","",VLOOKUP('Журнал Закупок'!$B624,'СТ Криптовалюта'!B:C,2,0))</f>
        <v/>
      </c>
      <c r="E624" s="68"/>
      <c r="F624" s="70"/>
      <c r="G624" s="71"/>
      <c r="H624" s="71"/>
      <c r="I624" s="71" t="str">
        <f t="shared" si="50"/>
        <v/>
      </c>
      <c r="J624" s="71"/>
      <c r="K624" s="71"/>
      <c r="L624" s="71"/>
      <c r="M624" s="71"/>
      <c r="N624" s="71" t="str">
        <f ca="1">IF(I624="","",ROUND(VLOOKUP('Журнал Закупок'!D624,'СТ Криптовалюта'!$C$3:$E$1788,2,0)*'Журнал Закупок'!G624,5))</f>
        <v/>
      </c>
      <c r="O624" s="71"/>
      <c r="P624" s="71" t="str">
        <f t="shared" si="48"/>
        <v/>
      </c>
      <c r="Q624" s="75" t="str">
        <f t="shared" si="49"/>
        <v/>
      </c>
      <c r="R624" s="76"/>
    </row>
    <row r="625" spans="1:18" ht="14.25" customHeight="1">
      <c r="A625" s="67"/>
      <c r="B625" s="68"/>
      <c r="C625" s="69"/>
      <c r="D625" s="69" t="str">
        <f ca="1">IF(B625="","",VLOOKUP('Журнал Закупок'!$B625,'СТ Криптовалюта'!B:C,2,0))</f>
        <v/>
      </c>
      <c r="E625" s="68"/>
      <c r="F625" s="70"/>
      <c r="G625" s="71"/>
      <c r="H625" s="71"/>
      <c r="I625" s="71" t="str">
        <f t="shared" si="50"/>
        <v/>
      </c>
      <c r="J625" s="71"/>
      <c r="K625" s="71"/>
      <c r="L625" s="71"/>
      <c r="M625" s="71"/>
      <c r="N625" s="71" t="str">
        <f ca="1">IF(I625="","",ROUND(VLOOKUP('Журнал Закупок'!D625,'СТ Криптовалюта'!$C$3:$E$1788,2,0)*'Журнал Закупок'!G625,5))</f>
        <v/>
      </c>
      <c r="O625" s="71"/>
      <c r="P625" s="71" t="str">
        <f t="shared" si="48"/>
        <v/>
      </c>
      <c r="Q625" s="75" t="str">
        <f t="shared" si="49"/>
        <v/>
      </c>
      <c r="R625" s="76"/>
    </row>
    <row r="626" spans="1:18" ht="14.25" customHeight="1">
      <c r="A626" s="67"/>
      <c r="B626" s="68"/>
      <c r="C626" s="69"/>
      <c r="D626" s="69" t="str">
        <f ca="1">IF(B626="","",VLOOKUP('Журнал Закупок'!$B626,'СТ Криптовалюта'!B:C,2,0))</f>
        <v/>
      </c>
      <c r="E626" s="68"/>
      <c r="F626" s="70"/>
      <c r="G626" s="71"/>
      <c r="H626" s="71"/>
      <c r="I626" s="71" t="str">
        <f t="shared" si="50"/>
        <v/>
      </c>
      <c r="J626" s="71"/>
      <c r="K626" s="71"/>
      <c r="L626" s="71"/>
      <c r="M626" s="71"/>
      <c r="N626" s="71" t="str">
        <f ca="1">IF(I626="","",ROUND(VLOOKUP('Журнал Закупок'!D626,'СТ Криптовалюта'!$C$3:$E$1788,2,0)*'Журнал Закупок'!G626,5))</f>
        <v/>
      </c>
      <c r="O626" s="71"/>
      <c r="P626" s="71" t="str">
        <f t="shared" si="48"/>
        <v/>
      </c>
      <c r="Q626" s="75" t="str">
        <f t="shared" si="49"/>
        <v/>
      </c>
      <c r="R626" s="76"/>
    </row>
    <row r="627" spans="1:18" ht="14.25" customHeight="1">
      <c r="A627" s="67"/>
      <c r="B627" s="68"/>
      <c r="C627" s="69"/>
      <c r="D627" s="69" t="str">
        <f ca="1">IF(B627="","",VLOOKUP('Журнал Закупок'!$B627,'СТ Криптовалюта'!B:C,2,0))</f>
        <v/>
      </c>
      <c r="E627" s="68"/>
      <c r="F627" s="70"/>
      <c r="G627" s="71"/>
      <c r="H627" s="71"/>
      <c r="I627" s="71" t="str">
        <f t="shared" si="50"/>
        <v/>
      </c>
      <c r="J627" s="71"/>
      <c r="K627" s="71"/>
      <c r="L627" s="71"/>
      <c r="M627" s="71"/>
      <c r="N627" s="71" t="str">
        <f ca="1">IF(I627="","",ROUND(VLOOKUP('Журнал Закупок'!D627,'СТ Криптовалюта'!$C$3:$E$1788,2,0)*'Журнал Закупок'!G627,5))</f>
        <v/>
      </c>
      <c r="O627" s="71"/>
      <c r="P627" s="71" t="str">
        <f t="shared" si="48"/>
        <v/>
      </c>
      <c r="Q627" s="75" t="str">
        <f t="shared" si="49"/>
        <v/>
      </c>
      <c r="R627" s="76"/>
    </row>
    <row r="628" spans="1:18" ht="14.25" customHeight="1">
      <c r="A628" s="67"/>
      <c r="B628" s="68"/>
      <c r="C628" s="69"/>
      <c r="D628" s="69" t="str">
        <f ca="1">IF(B628="","",VLOOKUP('Журнал Закупок'!$B628,'СТ Криптовалюта'!B:C,2,0))</f>
        <v/>
      </c>
      <c r="E628" s="68"/>
      <c r="F628" s="70"/>
      <c r="G628" s="71"/>
      <c r="H628" s="71"/>
      <c r="I628" s="71" t="str">
        <f t="shared" si="50"/>
        <v/>
      </c>
      <c r="J628" s="71"/>
      <c r="K628" s="71"/>
      <c r="L628" s="71"/>
      <c r="M628" s="71"/>
      <c r="N628" s="71" t="str">
        <f ca="1">IF(I628="","",ROUND(VLOOKUP('Журнал Закупок'!D628,'СТ Криптовалюта'!$C$3:$E$1788,2,0)*'Журнал Закупок'!G628,5))</f>
        <v/>
      </c>
      <c r="O628" s="71"/>
      <c r="P628" s="71" t="str">
        <f t="shared" si="48"/>
        <v/>
      </c>
      <c r="Q628" s="75" t="str">
        <f t="shared" si="49"/>
        <v/>
      </c>
      <c r="R628" s="76"/>
    </row>
    <row r="629" spans="1:18" ht="14.25" customHeight="1">
      <c r="A629" s="67"/>
      <c r="B629" s="68"/>
      <c r="C629" s="69"/>
      <c r="D629" s="69" t="str">
        <f ca="1">IF(B629="","",VLOOKUP('Журнал Закупок'!$B629,'СТ Криптовалюта'!B:C,2,0))</f>
        <v/>
      </c>
      <c r="E629" s="68"/>
      <c r="F629" s="70"/>
      <c r="G629" s="71"/>
      <c r="H629" s="71"/>
      <c r="I629" s="71" t="str">
        <f t="shared" si="50"/>
        <v/>
      </c>
      <c r="J629" s="71"/>
      <c r="K629" s="71"/>
      <c r="L629" s="71"/>
      <c r="M629" s="71"/>
      <c r="N629" s="71" t="str">
        <f ca="1">IF(I629="","",ROUND(VLOOKUP('Журнал Закупок'!D629,'СТ Криптовалюта'!$C$3:$E$1788,2,0)*'Журнал Закупок'!G629,5))</f>
        <v/>
      </c>
      <c r="O629" s="71"/>
      <c r="P629" s="71" t="str">
        <f t="shared" si="48"/>
        <v/>
      </c>
      <c r="Q629" s="75" t="str">
        <f t="shared" si="49"/>
        <v/>
      </c>
      <c r="R629" s="76"/>
    </row>
    <row r="630" spans="1:18" ht="14.25" customHeight="1">
      <c r="A630" s="67"/>
      <c r="B630" s="68"/>
      <c r="C630" s="69"/>
      <c r="D630" s="69" t="str">
        <f ca="1">IF(B630="","",VLOOKUP('Журнал Закупок'!$B630,'СТ Криптовалюта'!B:C,2,0))</f>
        <v/>
      </c>
      <c r="E630" s="68"/>
      <c r="F630" s="70"/>
      <c r="G630" s="71"/>
      <c r="H630" s="71"/>
      <c r="I630" s="71" t="str">
        <f t="shared" si="50"/>
        <v/>
      </c>
      <c r="J630" s="71"/>
      <c r="K630" s="71"/>
      <c r="L630" s="71"/>
      <c r="M630" s="71"/>
      <c r="N630" s="71" t="str">
        <f ca="1">IF(I630="","",ROUND(VLOOKUP('Журнал Закупок'!D630,'СТ Криптовалюта'!$C$3:$E$1788,2,0)*'Журнал Закупок'!G630,5))</f>
        <v/>
      </c>
      <c r="O630" s="71"/>
      <c r="P630" s="71" t="str">
        <f t="shared" si="48"/>
        <v/>
      </c>
      <c r="Q630" s="75" t="str">
        <f t="shared" si="49"/>
        <v/>
      </c>
      <c r="R630" s="76"/>
    </row>
    <row r="631" spans="1:18" ht="14.25" customHeight="1">
      <c r="A631" s="67"/>
      <c r="B631" s="68"/>
      <c r="C631" s="69"/>
      <c r="D631" s="69" t="str">
        <f ca="1">IF(B631="","",VLOOKUP('Журнал Закупок'!$B631,'СТ Криптовалюта'!B:C,2,0))</f>
        <v/>
      </c>
      <c r="E631" s="68"/>
      <c r="F631" s="70"/>
      <c r="G631" s="71"/>
      <c r="H631" s="71"/>
      <c r="I631" s="71" t="str">
        <f t="shared" si="50"/>
        <v/>
      </c>
      <c r="J631" s="71"/>
      <c r="K631" s="71"/>
      <c r="L631" s="71"/>
      <c r="M631" s="71"/>
      <c r="N631" s="71" t="str">
        <f ca="1">IF(I631="","",ROUND(VLOOKUP('Журнал Закупок'!D631,'СТ Криптовалюта'!$C$3:$E$1788,2,0)*'Журнал Закупок'!G631,5))</f>
        <v/>
      </c>
      <c r="O631" s="71"/>
      <c r="P631" s="71" t="str">
        <f t="shared" si="48"/>
        <v/>
      </c>
      <c r="Q631" s="75" t="str">
        <f t="shared" si="49"/>
        <v/>
      </c>
      <c r="R631" s="76"/>
    </row>
    <row r="632" spans="1:18" ht="14.25" customHeight="1">
      <c r="A632" s="67"/>
      <c r="B632" s="68"/>
      <c r="C632" s="69"/>
      <c r="D632" s="69" t="str">
        <f ca="1">IF(B632="","",VLOOKUP('Журнал Закупок'!$B632,'СТ Криптовалюта'!B:C,2,0))</f>
        <v/>
      </c>
      <c r="E632" s="68"/>
      <c r="F632" s="70"/>
      <c r="G632" s="71"/>
      <c r="H632" s="71"/>
      <c r="I632" s="71" t="str">
        <f t="shared" si="50"/>
        <v/>
      </c>
      <c r="J632" s="71"/>
      <c r="K632" s="71"/>
      <c r="L632" s="71"/>
      <c r="M632" s="71"/>
      <c r="N632" s="71" t="str">
        <f ca="1">IF(I632="","",ROUND(VLOOKUP('Журнал Закупок'!D632,'СТ Криптовалюта'!$C$3:$E$1788,2,0)*'Журнал Закупок'!G632,5))</f>
        <v/>
      </c>
      <c r="O632" s="71"/>
      <c r="P632" s="71" t="str">
        <f t="shared" si="48"/>
        <v/>
      </c>
      <c r="Q632" s="75" t="str">
        <f t="shared" si="49"/>
        <v/>
      </c>
      <c r="R632" s="76"/>
    </row>
    <row r="633" spans="1:18" ht="14.25" customHeight="1">
      <c r="A633" s="67"/>
      <c r="B633" s="68"/>
      <c r="C633" s="69"/>
      <c r="D633" s="69" t="str">
        <f ca="1">IF(B633="","",VLOOKUP('Журнал Закупок'!$B633,'СТ Криптовалюта'!B:C,2,0))</f>
        <v/>
      </c>
      <c r="E633" s="68"/>
      <c r="F633" s="70"/>
      <c r="G633" s="71"/>
      <c r="H633" s="71"/>
      <c r="I633" s="71" t="str">
        <f t="shared" si="50"/>
        <v/>
      </c>
      <c r="J633" s="71"/>
      <c r="K633" s="71"/>
      <c r="L633" s="71"/>
      <c r="M633" s="71"/>
      <c r="N633" s="71" t="str">
        <f ca="1">IF(I633="","",ROUND(VLOOKUP('Журнал Закупок'!D633,'СТ Криптовалюта'!$C$3:$E$1788,2,0)*'Журнал Закупок'!G633,5))</f>
        <v/>
      </c>
      <c r="O633" s="71"/>
      <c r="P633" s="71" t="str">
        <f t="shared" si="48"/>
        <v/>
      </c>
      <c r="Q633" s="75" t="str">
        <f t="shared" si="49"/>
        <v/>
      </c>
      <c r="R633" s="76"/>
    </row>
    <row r="634" spans="1:18" ht="14.25" customHeight="1">
      <c r="A634" s="67"/>
      <c r="B634" s="68"/>
      <c r="C634" s="69"/>
      <c r="D634" s="69" t="str">
        <f ca="1">IF(B634="","",VLOOKUP('Журнал Закупок'!$B634,'СТ Криптовалюта'!B:C,2,0))</f>
        <v/>
      </c>
      <c r="E634" s="68"/>
      <c r="F634" s="70"/>
      <c r="G634" s="71"/>
      <c r="H634" s="71"/>
      <c r="I634" s="71" t="str">
        <f t="shared" si="50"/>
        <v/>
      </c>
      <c r="J634" s="71"/>
      <c r="K634" s="71"/>
      <c r="L634" s="71"/>
      <c r="M634" s="71"/>
      <c r="N634" s="71" t="str">
        <f ca="1">IF(I634="","",ROUND(VLOOKUP('Журнал Закупок'!D634,'СТ Криптовалюта'!$C$3:$E$1788,2,0)*'Журнал Закупок'!G634,5))</f>
        <v/>
      </c>
      <c r="O634" s="71"/>
      <c r="P634" s="71" t="str">
        <f t="shared" si="48"/>
        <v/>
      </c>
      <c r="Q634" s="75" t="str">
        <f t="shared" si="49"/>
        <v/>
      </c>
      <c r="R634" s="76"/>
    </row>
    <row r="635" spans="1:18" ht="14.25" customHeight="1">
      <c r="A635" s="67"/>
      <c r="B635" s="68"/>
      <c r="C635" s="69"/>
      <c r="D635" s="69" t="str">
        <f ca="1">IF(B635="","",VLOOKUP('Журнал Закупок'!$B635,'СТ Криптовалюта'!B:C,2,0))</f>
        <v/>
      </c>
      <c r="E635" s="68"/>
      <c r="F635" s="70"/>
      <c r="G635" s="71"/>
      <c r="H635" s="71"/>
      <c r="I635" s="71" t="str">
        <f t="shared" si="50"/>
        <v/>
      </c>
      <c r="J635" s="71"/>
      <c r="K635" s="71"/>
      <c r="L635" s="71"/>
      <c r="M635" s="71"/>
      <c r="N635" s="71" t="str">
        <f ca="1">IF(I635="","",ROUND(VLOOKUP('Журнал Закупок'!D635,'СТ Криптовалюта'!$C$3:$E$1788,2,0)*'Журнал Закупок'!G635,5))</f>
        <v/>
      </c>
      <c r="O635" s="71"/>
      <c r="P635" s="71" t="str">
        <f t="shared" si="48"/>
        <v/>
      </c>
      <c r="Q635" s="75" t="str">
        <f t="shared" si="49"/>
        <v/>
      </c>
      <c r="R635" s="76"/>
    </row>
    <row r="636" spans="1:18" ht="14.25" customHeight="1">
      <c r="A636" s="67"/>
      <c r="B636" s="68"/>
      <c r="C636" s="69"/>
      <c r="D636" s="69" t="str">
        <f ca="1">IF(B636="","",VLOOKUP('Журнал Закупок'!$B636,'СТ Криптовалюта'!B:C,2,0))</f>
        <v/>
      </c>
      <c r="E636" s="68"/>
      <c r="F636" s="70"/>
      <c r="G636" s="71"/>
      <c r="H636" s="71"/>
      <c r="I636" s="71" t="str">
        <f t="shared" si="50"/>
        <v/>
      </c>
      <c r="J636" s="71"/>
      <c r="K636" s="71"/>
      <c r="L636" s="71"/>
      <c r="M636" s="71"/>
      <c r="N636" s="71" t="str">
        <f ca="1">IF(I636="","",ROUND(VLOOKUP('Журнал Закупок'!D636,'СТ Криптовалюта'!$C$3:$E$1788,2,0)*'Журнал Закупок'!G636,5))</f>
        <v/>
      </c>
      <c r="O636" s="71"/>
      <c r="P636" s="71" t="str">
        <f t="shared" si="48"/>
        <v/>
      </c>
      <c r="Q636" s="75" t="str">
        <f t="shared" si="49"/>
        <v/>
      </c>
      <c r="R636" s="76"/>
    </row>
    <row r="637" spans="1:18" ht="14.25" customHeight="1">
      <c r="A637" s="67"/>
      <c r="B637" s="68"/>
      <c r="C637" s="69"/>
      <c r="D637" s="69" t="str">
        <f ca="1">IF(B637="","",VLOOKUP('Журнал Закупок'!$B637,'СТ Криптовалюта'!B:C,2,0))</f>
        <v/>
      </c>
      <c r="E637" s="68"/>
      <c r="F637" s="70"/>
      <c r="G637" s="71"/>
      <c r="H637" s="71"/>
      <c r="I637" s="71" t="str">
        <f t="shared" si="50"/>
        <v/>
      </c>
      <c r="J637" s="71"/>
      <c r="K637" s="71"/>
      <c r="L637" s="71"/>
      <c r="M637" s="71"/>
      <c r="N637" s="71" t="str">
        <f ca="1">IF(I637="","",ROUND(VLOOKUP('Журнал Закупок'!D637,'СТ Криптовалюта'!$C$3:$E$1788,2,0)*'Журнал Закупок'!G637,5))</f>
        <v/>
      </c>
      <c r="O637" s="71"/>
      <c r="P637" s="71" t="str">
        <f t="shared" si="48"/>
        <v/>
      </c>
      <c r="Q637" s="75" t="str">
        <f t="shared" si="49"/>
        <v/>
      </c>
      <c r="R637" s="76"/>
    </row>
    <row r="638" spans="1:18" ht="14.25" customHeight="1">
      <c r="A638" s="67"/>
      <c r="B638" s="68"/>
      <c r="C638" s="69"/>
      <c r="D638" s="69" t="str">
        <f ca="1">IF(B638="","",VLOOKUP('Журнал Закупок'!$B638,'СТ Криптовалюта'!B:C,2,0))</f>
        <v/>
      </c>
      <c r="E638" s="68"/>
      <c r="F638" s="70"/>
      <c r="G638" s="71"/>
      <c r="H638" s="71"/>
      <c r="I638" s="71" t="str">
        <f t="shared" si="50"/>
        <v/>
      </c>
      <c r="J638" s="71"/>
      <c r="K638" s="71"/>
      <c r="L638" s="71"/>
      <c r="M638" s="71"/>
      <c r="N638" s="71" t="str">
        <f ca="1">IF(I638="","",ROUND(VLOOKUP('Журнал Закупок'!D638,'СТ Криптовалюта'!$C$3:$E$1788,2,0)*'Журнал Закупок'!G638,5))</f>
        <v/>
      </c>
      <c r="O638" s="71"/>
      <c r="P638" s="71" t="str">
        <f t="shared" si="48"/>
        <v/>
      </c>
      <c r="Q638" s="75" t="str">
        <f t="shared" si="49"/>
        <v/>
      </c>
      <c r="R638" s="76"/>
    </row>
    <row r="639" spans="1:18" ht="14.25" customHeight="1">
      <c r="A639" s="67"/>
      <c r="B639" s="68"/>
      <c r="C639" s="69"/>
      <c r="D639" s="69" t="str">
        <f ca="1">IF(B639="","",VLOOKUP('Журнал Закупок'!$B639,'СТ Криптовалюта'!B:C,2,0))</f>
        <v/>
      </c>
      <c r="E639" s="68"/>
      <c r="F639" s="70"/>
      <c r="G639" s="71"/>
      <c r="H639" s="71"/>
      <c r="I639" s="71" t="str">
        <f t="shared" si="50"/>
        <v/>
      </c>
      <c r="J639" s="71"/>
      <c r="K639" s="71"/>
      <c r="L639" s="71"/>
      <c r="M639" s="71"/>
      <c r="N639" s="71" t="str">
        <f ca="1">IF(I639="","",ROUND(VLOOKUP('Журнал Закупок'!D639,'СТ Криптовалюта'!$C$3:$E$1788,2,0)*'Журнал Закупок'!G639,5))</f>
        <v/>
      </c>
      <c r="O639" s="71"/>
      <c r="P639" s="71" t="str">
        <f t="shared" si="48"/>
        <v/>
      </c>
      <c r="Q639" s="75" t="str">
        <f t="shared" si="49"/>
        <v/>
      </c>
      <c r="R639" s="76"/>
    </row>
    <row r="640" spans="1:18" ht="14.25" customHeight="1">
      <c r="A640" s="67"/>
      <c r="B640" s="68"/>
      <c r="C640" s="69"/>
      <c r="D640" s="69" t="str">
        <f ca="1">IF(B640="","",VLOOKUP('Журнал Закупок'!$B640,'СТ Криптовалюта'!B:C,2,0))</f>
        <v/>
      </c>
      <c r="E640" s="68"/>
      <c r="F640" s="70"/>
      <c r="G640" s="71"/>
      <c r="H640" s="71"/>
      <c r="I640" s="71" t="str">
        <f t="shared" si="50"/>
        <v/>
      </c>
      <c r="J640" s="71"/>
      <c r="K640" s="71"/>
      <c r="L640" s="71"/>
      <c r="M640" s="71"/>
      <c r="N640" s="71" t="str">
        <f ca="1">IF(I640="","",ROUND(VLOOKUP('Журнал Закупок'!D640,'СТ Криптовалюта'!$C$3:$E$1788,2,0)*'Журнал Закупок'!G640,5))</f>
        <v/>
      </c>
      <c r="O640" s="71"/>
      <c r="P640" s="71" t="str">
        <f t="shared" si="48"/>
        <v/>
      </c>
      <c r="Q640" s="75" t="str">
        <f t="shared" si="49"/>
        <v/>
      </c>
      <c r="R640" s="76"/>
    </row>
    <row r="641" spans="1:18" ht="14.25" customHeight="1">
      <c r="A641" s="67"/>
      <c r="B641" s="68"/>
      <c r="C641" s="69"/>
      <c r="D641" s="69" t="str">
        <f ca="1">IF(B641="","",VLOOKUP('Журнал Закупок'!$B641,'СТ Криптовалюта'!B:C,2,0))</f>
        <v/>
      </c>
      <c r="E641" s="68"/>
      <c r="F641" s="70"/>
      <c r="G641" s="71"/>
      <c r="H641" s="71"/>
      <c r="I641" s="71" t="str">
        <f t="shared" si="50"/>
        <v/>
      </c>
      <c r="J641" s="71"/>
      <c r="K641" s="71"/>
      <c r="L641" s="71"/>
      <c r="M641" s="71"/>
      <c r="N641" s="71" t="str">
        <f ca="1">IF(I641="","",ROUND(VLOOKUP('Журнал Закупок'!D641,'СТ Криптовалюта'!$C$3:$E$1788,2,0)*'Журнал Закупок'!G641,5))</f>
        <v/>
      </c>
      <c r="O641" s="71"/>
      <c r="P641" s="71" t="str">
        <f t="shared" si="48"/>
        <v/>
      </c>
      <c r="Q641" s="75" t="str">
        <f t="shared" si="49"/>
        <v/>
      </c>
      <c r="R641" s="76"/>
    </row>
    <row r="642" spans="1:18" ht="14.25" customHeight="1">
      <c r="A642" s="67"/>
      <c r="B642" s="68"/>
      <c r="C642" s="69"/>
      <c r="D642" s="69" t="str">
        <f ca="1">IF(B642="","",VLOOKUP('Журнал Закупок'!$B642,'СТ Криптовалюта'!B:C,2,0))</f>
        <v/>
      </c>
      <c r="E642" s="68"/>
      <c r="F642" s="70"/>
      <c r="G642" s="71"/>
      <c r="H642" s="71"/>
      <c r="I642" s="71" t="str">
        <f t="shared" si="50"/>
        <v/>
      </c>
      <c r="J642" s="71"/>
      <c r="K642" s="71"/>
      <c r="L642" s="71"/>
      <c r="M642" s="71"/>
      <c r="N642" s="71" t="str">
        <f ca="1">IF(I642="","",ROUND(VLOOKUP('Журнал Закупок'!D642,'СТ Криптовалюта'!$C$3:$E$1788,2,0)*'Журнал Закупок'!G642,5))</f>
        <v/>
      </c>
      <c r="O642" s="71"/>
      <c r="P642" s="71" t="str">
        <f t="shared" si="48"/>
        <v/>
      </c>
      <c r="Q642" s="75" t="str">
        <f t="shared" si="49"/>
        <v/>
      </c>
      <c r="R642" s="76"/>
    </row>
    <row r="643" spans="1:18" ht="14.25" customHeight="1">
      <c r="A643" s="67"/>
      <c r="B643" s="68"/>
      <c r="C643" s="69"/>
      <c r="D643" s="69" t="str">
        <f ca="1">IF(B643="","",VLOOKUP('Журнал Закупок'!$B643,'СТ Криптовалюта'!B:C,2,0))</f>
        <v/>
      </c>
      <c r="E643" s="68"/>
      <c r="F643" s="70"/>
      <c r="G643" s="71"/>
      <c r="H643" s="71"/>
      <c r="I643" s="71" t="str">
        <f t="shared" si="50"/>
        <v/>
      </c>
      <c r="J643" s="71"/>
      <c r="K643" s="71"/>
      <c r="L643" s="71"/>
      <c r="M643" s="71"/>
      <c r="N643" s="71" t="str">
        <f ca="1">IF(I643="","",ROUND(VLOOKUP('Журнал Закупок'!D643,'СТ Криптовалюта'!$C$3:$E$1788,2,0)*'Журнал Закупок'!G643,5))</f>
        <v/>
      </c>
      <c r="O643" s="71"/>
      <c r="P643" s="71" t="str">
        <f t="shared" si="48"/>
        <v/>
      </c>
      <c r="Q643" s="75" t="str">
        <f t="shared" si="49"/>
        <v/>
      </c>
      <c r="R643" s="76"/>
    </row>
    <row r="644" spans="1:18" ht="14.25" customHeight="1">
      <c r="A644" s="67"/>
      <c r="B644" s="68"/>
      <c r="C644" s="69"/>
      <c r="D644" s="69" t="str">
        <f ca="1">IF(B644="","",VLOOKUP('Журнал Закупок'!$B644,'СТ Криптовалюта'!B:C,2,0))</f>
        <v/>
      </c>
      <c r="E644" s="68"/>
      <c r="F644" s="70"/>
      <c r="G644" s="71"/>
      <c r="H644" s="71"/>
      <c r="I644" s="71" t="str">
        <f t="shared" si="50"/>
        <v/>
      </c>
      <c r="J644" s="71"/>
      <c r="K644" s="71"/>
      <c r="L644" s="71"/>
      <c r="M644" s="71"/>
      <c r="N644" s="71" t="str">
        <f ca="1">IF(I644="","",ROUND(VLOOKUP('Журнал Закупок'!D644,'СТ Криптовалюта'!$C$3:$E$1788,2,0)*'Журнал Закупок'!G644,5))</f>
        <v/>
      </c>
      <c r="O644" s="71"/>
      <c r="P644" s="71" t="str">
        <f t="shared" si="48"/>
        <v/>
      </c>
      <c r="Q644" s="75" t="str">
        <f t="shared" si="49"/>
        <v/>
      </c>
      <c r="R644" s="76"/>
    </row>
    <row r="645" spans="1:18" ht="14.25" customHeight="1">
      <c r="A645" s="67"/>
      <c r="B645" s="68"/>
      <c r="C645" s="69"/>
      <c r="D645" s="69" t="str">
        <f ca="1">IF(B645="","",VLOOKUP('Журнал Закупок'!$B645,'СТ Криптовалюта'!B:C,2,0))</f>
        <v/>
      </c>
      <c r="E645" s="68"/>
      <c r="F645" s="70"/>
      <c r="G645" s="71"/>
      <c r="H645" s="71"/>
      <c r="I645" s="71" t="str">
        <f t="shared" si="50"/>
        <v/>
      </c>
      <c r="J645" s="71"/>
      <c r="K645" s="71"/>
      <c r="L645" s="71"/>
      <c r="M645" s="71"/>
      <c r="N645" s="71" t="str">
        <f ca="1">IF(I645="","",ROUND(VLOOKUP('Журнал Закупок'!D645,'СТ Криптовалюта'!$C$3:$E$1788,2,0)*'Журнал Закупок'!G645,5))</f>
        <v/>
      </c>
      <c r="O645" s="71"/>
      <c r="P645" s="71" t="str">
        <f t="shared" si="48"/>
        <v/>
      </c>
      <c r="Q645" s="75" t="str">
        <f t="shared" si="49"/>
        <v/>
      </c>
      <c r="R645" s="76"/>
    </row>
    <row r="646" spans="1:18" ht="14.25" customHeight="1">
      <c r="A646" s="67"/>
      <c r="B646" s="68"/>
      <c r="C646" s="69"/>
      <c r="D646" s="69" t="str">
        <f ca="1">IF(B646="","",VLOOKUP('Журнал Закупок'!$B646,'СТ Криптовалюта'!B:C,2,0))</f>
        <v/>
      </c>
      <c r="E646" s="68"/>
      <c r="F646" s="70"/>
      <c r="G646" s="71"/>
      <c r="H646" s="71"/>
      <c r="I646" s="71" t="str">
        <f t="shared" si="50"/>
        <v/>
      </c>
      <c r="J646" s="71"/>
      <c r="K646" s="71"/>
      <c r="L646" s="71"/>
      <c r="M646" s="71"/>
      <c r="N646" s="71" t="str">
        <f ca="1">IF(I646="","",ROUND(VLOOKUP('Журнал Закупок'!D646,'СТ Криптовалюта'!$C$3:$E$1788,2,0)*'Журнал Закупок'!G646,5))</f>
        <v/>
      </c>
      <c r="O646" s="71"/>
      <c r="P646" s="71" t="str">
        <f t="shared" si="48"/>
        <v/>
      </c>
      <c r="Q646" s="75" t="str">
        <f t="shared" si="49"/>
        <v/>
      </c>
      <c r="R646" s="76"/>
    </row>
    <row r="647" spans="1:18" ht="14.25" customHeight="1">
      <c r="A647" s="67"/>
      <c r="B647" s="68"/>
      <c r="C647" s="69"/>
      <c r="D647" s="69" t="str">
        <f ca="1">IF(B647="","",VLOOKUP('Журнал Закупок'!$B647,'СТ Криптовалюта'!B:C,2,0))</f>
        <v/>
      </c>
      <c r="E647" s="68"/>
      <c r="F647" s="70"/>
      <c r="G647" s="71"/>
      <c r="H647" s="71"/>
      <c r="I647" s="71" t="str">
        <f t="shared" si="50"/>
        <v/>
      </c>
      <c r="J647" s="71"/>
      <c r="K647" s="71"/>
      <c r="L647" s="71"/>
      <c r="M647" s="71"/>
      <c r="N647" s="71" t="str">
        <f ca="1">IF(I647="","",ROUND(VLOOKUP('Журнал Закупок'!D647,'СТ Криптовалюта'!$C$3:$E$1788,2,0)*'Журнал Закупок'!G647,5))</f>
        <v/>
      </c>
      <c r="O647" s="71"/>
      <c r="P647" s="71" t="str">
        <f t="shared" si="48"/>
        <v/>
      </c>
      <c r="Q647" s="75" t="str">
        <f t="shared" si="49"/>
        <v/>
      </c>
      <c r="R647" s="76"/>
    </row>
    <row r="648" spans="1:18" ht="14.25" customHeight="1">
      <c r="A648" s="67"/>
      <c r="B648" s="68"/>
      <c r="C648" s="69"/>
      <c r="D648" s="69" t="str">
        <f ca="1">IF(B648="","",VLOOKUP('Журнал Закупок'!$B648,'СТ Криптовалюта'!B:C,2,0))</f>
        <v/>
      </c>
      <c r="E648" s="68"/>
      <c r="F648" s="70"/>
      <c r="G648" s="71"/>
      <c r="H648" s="71"/>
      <c r="I648" s="71" t="str">
        <f t="shared" si="50"/>
        <v/>
      </c>
      <c r="J648" s="71"/>
      <c r="K648" s="71"/>
      <c r="L648" s="71"/>
      <c r="M648" s="71"/>
      <c r="N648" s="71" t="str">
        <f ca="1">IF(I648="","",ROUND(VLOOKUP('Журнал Закупок'!D648,'СТ Криптовалюта'!$C$3:$E$1788,2,0)*'Журнал Закупок'!G648,5))</f>
        <v/>
      </c>
      <c r="O648" s="71"/>
      <c r="P648" s="71" t="str">
        <f t="shared" si="48"/>
        <v/>
      </c>
      <c r="Q648" s="75" t="str">
        <f t="shared" si="49"/>
        <v/>
      </c>
      <c r="R648" s="76"/>
    </row>
    <row r="649" spans="1:18" ht="14.25" customHeight="1">
      <c r="A649" s="67"/>
      <c r="B649" s="68"/>
      <c r="C649" s="69"/>
      <c r="D649" s="69" t="str">
        <f ca="1">IF(B649="","",VLOOKUP('Журнал Закупок'!$B649,'СТ Криптовалюта'!B:C,2,0))</f>
        <v/>
      </c>
      <c r="E649" s="68"/>
      <c r="F649" s="70"/>
      <c r="G649" s="71"/>
      <c r="H649" s="71"/>
      <c r="I649" s="71" t="str">
        <f t="shared" si="50"/>
        <v/>
      </c>
      <c r="J649" s="71"/>
      <c r="K649" s="71"/>
      <c r="L649" s="71"/>
      <c r="M649" s="71"/>
      <c r="N649" s="71" t="str">
        <f ca="1">IF(I649="","",ROUND(VLOOKUP('Журнал Закупок'!D649,'СТ Криптовалюта'!$C$3:$E$1788,2,0)*'Журнал Закупок'!G649,5))</f>
        <v/>
      </c>
      <c r="O649" s="71"/>
      <c r="P649" s="71" t="str">
        <f t="shared" si="48"/>
        <v/>
      </c>
      <c r="Q649" s="75" t="str">
        <f t="shared" si="49"/>
        <v/>
      </c>
      <c r="R649" s="76"/>
    </row>
    <row r="650" spans="1:18" ht="14.25" customHeight="1">
      <c r="A650" s="67"/>
      <c r="B650" s="68"/>
      <c r="C650" s="69"/>
      <c r="D650" s="69" t="str">
        <f ca="1">IF(B650="","",VLOOKUP('Журнал Закупок'!$B650,'СТ Криптовалюта'!B:C,2,0))</f>
        <v/>
      </c>
      <c r="E650" s="68"/>
      <c r="F650" s="70"/>
      <c r="G650" s="71"/>
      <c r="H650" s="71"/>
      <c r="I650" s="71" t="str">
        <f t="shared" si="50"/>
        <v/>
      </c>
      <c r="J650" s="71"/>
      <c r="K650" s="71"/>
      <c r="L650" s="71"/>
      <c r="M650" s="71"/>
      <c r="N650" s="71" t="str">
        <f ca="1">IF(I650="","",ROUND(VLOOKUP('Журнал Закупок'!D650,'СТ Криптовалюта'!$C$3:$E$1788,2,0)*'Журнал Закупок'!G650,5))</f>
        <v/>
      </c>
      <c r="O650" s="71"/>
      <c r="P650" s="71" t="str">
        <f t="shared" si="48"/>
        <v/>
      </c>
      <c r="Q650" s="75" t="str">
        <f t="shared" si="49"/>
        <v/>
      </c>
      <c r="R650" s="76"/>
    </row>
    <row r="651" spans="1:18" ht="14.25" customHeight="1">
      <c r="A651" s="67"/>
      <c r="B651" s="68"/>
      <c r="C651" s="69"/>
      <c r="D651" s="69" t="str">
        <f ca="1">IF(B651="","",VLOOKUP('Журнал Закупок'!$B651,'СТ Криптовалюта'!B:C,2,0))</f>
        <v/>
      </c>
      <c r="E651" s="68"/>
      <c r="F651" s="70"/>
      <c r="G651" s="71"/>
      <c r="H651" s="71"/>
      <c r="I651" s="71" t="str">
        <f t="shared" si="50"/>
        <v/>
      </c>
      <c r="J651" s="71"/>
      <c r="K651" s="71"/>
      <c r="L651" s="71"/>
      <c r="M651" s="71"/>
      <c r="N651" s="71" t="str">
        <f ca="1">IF(I651="","",ROUND(VLOOKUP('Журнал Закупок'!D651,'СТ Криптовалюта'!$C$3:$E$1788,2,0)*'Журнал Закупок'!G651,5))</f>
        <v/>
      </c>
      <c r="O651" s="71"/>
      <c r="P651" s="71" t="str">
        <f t="shared" si="48"/>
        <v/>
      </c>
      <c r="Q651" s="75" t="str">
        <f t="shared" si="49"/>
        <v/>
      </c>
      <c r="R651" s="76"/>
    </row>
    <row r="652" spans="1:18" ht="14.25" customHeight="1">
      <c r="A652" s="67"/>
      <c r="B652" s="68"/>
      <c r="C652" s="69"/>
      <c r="D652" s="69" t="str">
        <f ca="1">IF(B652="","",VLOOKUP('Журнал Закупок'!$B652,'СТ Криптовалюта'!B:C,2,0))</f>
        <v/>
      </c>
      <c r="E652" s="68"/>
      <c r="F652" s="70"/>
      <c r="G652" s="71"/>
      <c r="H652" s="71"/>
      <c r="I652" s="71" t="str">
        <f t="shared" si="50"/>
        <v/>
      </c>
      <c r="J652" s="71"/>
      <c r="K652" s="71"/>
      <c r="L652" s="71"/>
      <c r="M652" s="71"/>
      <c r="N652" s="71" t="str">
        <f ca="1">IF(I652="","",ROUND(VLOOKUP('Журнал Закупок'!D652,'СТ Криптовалюта'!$C$3:$E$1788,2,0)*'Журнал Закупок'!G652,5))</f>
        <v/>
      </c>
      <c r="O652" s="71"/>
      <c r="P652" s="71" t="str">
        <f t="shared" si="48"/>
        <v/>
      </c>
      <c r="Q652" s="75" t="str">
        <f t="shared" si="49"/>
        <v/>
      </c>
      <c r="R652" s="76"/>
    </row>
    <row r="653" spans="1:18" ht="14.25" customHeight="1">
      <c r="A653" s="67"/>
      <c r="B653" s="68"/>
      <c r="C653" s="69"/>
      <c r="D653" s="69" t="str">
        <f ca="1">IF(B653="","",VLOOKUP('Журнал Закупок'!$B653,'СТ Криптовалюта'!B:C,2,0))</f>
        <v/>
      </c>
      <c r="E653" s="68"/>
      <c r="F653" s="70"/>
      <c r="G653" s="71"/>
      <c r="H653" s="71"/>
      <c r="I653" s="71" t="str">
        <f t="shared" si="50"/>
        <v/>
      </c>
      <c r="J653" s="71"/>
      <c r="K653" s="71"/>
      <c r="L653" s="71"/>
      <c r="M653" s="71"/>
      <c r="N653" s="71" t="str">
        <f ca="1">IF(I653="","",ROUND(VLOOKUP('Журнал Закупок'!D653,'СТ Криптовалюта'!$C$3:$E$1788,2,0)*'Журнал Закупок'!G653,5))</f>
        <v/>
      </c>
      <c r="O653" s="71"/>
      <c r="P653" s="71" t="str">
        <f t="shared" si="48"/>
        <v/>
      </c>
      <c r="Q653" s="75" t="str">
        <f t="shared" si="49"/>
        <v/>
      </c>
      <c r="R653" s="76"/>
    </row>
    <row r="654" spans="1:18" ht="14.25" customHeight="1">
      <c r="A654" s="67"/>
      <c r="B654" s="68"/>
      <c r="C654" s="69"/>
      <c r="D654" s="69" t="str">
        <f ca="1">IF(B654="","",VLOOKUP('Журнал Закупок'!$B654,'СТ Криптовалюта'!B:C,2,0))</f>
        <v/>
      </c>
      <c r="E654" s="68"/>
      <c r="F654" s="70"/>
      <c r="G654" s="71"/>
      <c r="H654" s="71"/>
      <c r="I654" s="71" t="str">
        <f t="shared" si="50"/>
        <v/>
      </c>
      <c r="J654" s="71"/>
      <c r="K654" s="71"/>
      <c r="L654" s="71"/>
      <c r="M654" s="71"/>
      <c r="N654" s="71" t="str">
        <f ca="1">IF(I654="","",ROUND(VLOOKUP('Журнал Закупок'!D654,'СТ Криптовалюта'!$C$3:$E$1788,2,0)*'Журнал Закупок'!G654,5))</f>
        <v/>
      </c>
      <c r="O654" s="71"/>
      <c r="P654" s="71" t="str">
        <f t="shared" si="48"/>
        <v/>
      </c>
      <c r="Q654" s="75" t="str">
        <f t="shared" si="49"/>
        <v/>
      </c>
      <c r="R654" s="76"/>
    </row>
    <row r="655" spans="1:18" ht="14.25" customHeight="1">
      <c r="A655" s="67"/>
      <c r="B655" s="68"/>
      <c r="C655" s="69"/>
      <c r="D655" s="69" t="str">
        <f ca="1">IF(B655="","",VLOOKUP('Журнал Закупок'!$B655,'СТ Криптовалюта'!B:C,2,0))</f>
        <v/>
      </c>
      <c r="E655" s="68"/>
      <c r="F655" s="70"/>
      <c r="G655" s="71"/>
      <c r="H655" s="71"/>
      <c r="I655" s="71" t="str">
        <f t="shared" si="50"/>
        <v/>
      </c>
      <c r="J655" s="71"/>
      <c r="K655" s="71"/>
      <c r="L655" s="71"/>
      <c r="M655" s="71"/>
      <c r="N655" s="71" t="str">
        <f ca="1">IF(I655="","",ROUND(VLOOKUP('Журнал Закупок'!D655,'СТ Криптовалюта'!$C$3:$E$1788,2,0)*'Журнал Закупок'!G655,5))</f>
        <v/>
      </c>
      <c r="O655" s="71"/>
      <c r="P655" s="71" t="str">
        <f t="shared" si="48"/>
        <v/>
      </c>
      <c r="Q655" s="75" t="str">
        <f t="shared" si="49"/>
        <v/>
      </c>
      <c r="R655" s="76"/>
    </row>
    <row r="656" spans="1:18" ht="14.25" customHeight="1">
      <c r="A656" s="67"/>
      <c r="B656" s="68"/>
      <c r="C656" s="69"/>
      <c r="D656" s="69" t="str">
        <f ca="1">IF(B656="","",VLOOKUP('Журнал Закупок'!$B656,'СТ Криптовалюта'!B:C,2,0))</f>
        <v/>
      </c>
      <c r="E656" s="68"/>
      <c r="F656" s="70"/>
      <c r="G656" s="71"/>
      <c r="H656" s="71"/>
      <c r="I656" s="71" t="str">
        <f t="shared" si="50"/>
        <v/>
      </c>
      <c r="J656" s="71"/>
      <c r="K656" s="71"/>
      <c r="L656" s="71"/>
      <c r="M656" s="71"/>
      <c r="N656" s="71" t="str">
        <f ca="1">IF(I656="","",ROUND(VLOOKUP('Журнал Закупок'!D656,'СТ Криптовалюта'!$C$3:$E$1788,2,0)*'Журнал Закупок'!G656,5))</f>
        <v/>
      </c>
      <c r="O656" s="71"/>
      <c r="P656" s="71" t="str">
        <f t="shared" si="48"/>
        <v/>
      </c>
      <c r="Q656" s="75" t="str">
        <f t="shared" si="49"/>
        <v/>
      </c>
      <c r="R656" s="76"/>
    </row>
    <row r="657" spans="1:18" ht="14.25" customHeight="1">
      <c r="A657" s="67"/>
      <c r="B657" s="68"/>
      <c r="C657" s="69"/>
      <c r="D657" s="69" t="str">
        <f ca="1">IF(B657="","",VLOOKUP('Журнал Закупок'!$B657,'СТ Криптовалюта'!B:C,2,0))</f>
        <v/>
      </c>
      <c r="E657" s="68"/>
      <c r="F657" s="70"/>
      <c r="G657" s="71"/>
      <c r="H657" s="71"/>
      <c r="I657" s="71" t="str">
        <f t="shared" si="50"/>
        <v/>
      </c>
      <c r="J657" s="71"/>
      <c r="K657" s="71"/>
      <c r="L657" s="71"/>
      <c r="M657" s="71"/>
      <c r="N657" s="71" t="str">
        <f ca="1">IF(I657="","",ROUND(VLOOKUP('Журнал Закупок'!D657,'СТ Криптовалюта'!$C$3:$E$1788,2,0)*'Журнал Закупок'!G657,5))</f>
        <v/>
      </c>
      <c r="O657" s="71"/>
      <c r="P657" s="71" t="str">
        <f t="shared" si="48"/>
        <v/>
      </c>
      <c r="Q657" s="75" t="str">
        <f t="shared" si="49"/>
        <v/>
      </c>
      <c r="R657" s="76"/>
    </row>
    <row r="658" spans="1:18" ht="14.25" customHeight="1">
      <c r="A658" s="67"/>
      <c r="B658" s="68"/>
      <c r="C658" s="69"/>
      <c r="D658" s="69" t="str">
        <f ca="1">IF(B658="","",VLOOKUP('Журнал Закупок'!$B658,'СТ Криптовалюта'!B:C,2,0))</f>
        <v/>
      </c>
      <c r="E658" s="68"/>
      <c r="F658" s="70"/>
      <c r="G658" s="71"/>
      <c r="H658" s="71"/>
      <c r="I658" s="71" t="str">
        <f t="shared" si="50"/>
        <v/>
      </c>
      <c r="J658" s="71"/>
      <c r="K658" s="71"/>
      <c r="L658" s="71"/>
      <c r="M658" s="71"/>
      <c r="N658" s="71" t="str">
        <f ca="1">IF(I658="","",ROUND(VLOOKUP('Журнал Закупок'!D658,'СТ Криптовалюта'!$C$3:$E$1788,2,0)*'Журнал Закупок'!G658,5))</f>
        <v/>
      </c>
      <c r="O658" s="71"/>
      <c r="P658" s="71" t="str">
        <f t="shared" si="48"/>
        <v/>
      </c>
      <c r="Q658" s="75" t="str">
        <f t="shared" si="49"/>
        <v/>
      </c>
      <c r="R658" s="76"/>
    </row>
    <row r="659" spans="1:18" ht="14.25" customHeight="1">
      <c r="A659" s="67"/>
      <c r="B659" s="68"/>
      <c r="C659" s="69"/>
      <c r="D659" s="69" t="str">
        <f ca="1">IF(B659="","",VLOOKUP('Журнал Закупок'!$B659,'СТ Криптовалюта'!B:C,2,0))</f>
        <v/>
      </c>
      <c r="E659" s="68"/>
      <c r="F659" s="70"/>
      <c r="G659" s="71"/>
      <c r="H659" s="71"/>
      <c r="I659" s="71" t="str">
        <f t="shared" si="50"/>
        <v/>
      </c>
      <c r="J659" s="71"/>
      <c r="K659" s="71"/>
      <c r="L659" s="71"/>
      <c r="M659" s="71"/>
      <c r="N659" s="71" t="str">
        <f ca="1">IF(I659="","",ROUND(VLOOKUP('Журнал Закупок'!D659,'СТ Криптовалюта'!$C$3:$E$1788,2,0)*'Журнал Закупок'!G659,5))</f>
        <v/>
      </c>
      <c r="O659" s="71"/>
      <c r="P659" s="71" t="str">
        <f t="shared" si="48"/>
        <v/>
      </c>
      <c r="Q659" s="75" t="str">
        <f t="shared" si="49"/>
        <v/>
      </c>
      <c r="R659" s="76"/>
    </row>
    <row r="660" spans="1:18" ht="14.25" customHeight="1">
      <c r="A660" s="67"/>
      <c r="B660" s="68"/>
      <c r="C660" s="69"/>
      <c r="D660" s="69" t="str">
        <f ca="1">IF(B660="","",VLOOKUP('Журнал Закупок'!$B660,'СТ Криптовалюта'!B:C,2,0))</f>
        <v/>
      </c>
      <c r="E660" s="68"/>
      <c r="F660" s="70"/>
      <c r="G660" s="71"/>
      <c r="H660" s="71"/>
      <c r="I660" s="71" t="str">
        <f t="shared" si="50"/>
        <v/>
      </c>
      <c r="J660" s="71"/>
      <c r="K660" s="71"/>
      <c r="L660" s="71"/>
      <c r="M660" s="71"/>
      <c r="N660" s="71" t="str">
        <f ca="1">IF(I660="","",ROUND(VLOOKUP('Журнал Закупок'!D660,'СТ Криптовалюта'!$C$3:$E$1788,2,0)*'Журнал Закупок'!G660,5))</f>
        <v/>
      </c>
      <c r="O660" s="71"/>
      <c r="P660" s="71" t="str">
        <f t="shared" si="48"/>
        <v/>
      </c>
      <c r="Q660" s="75" t="str">
        <f t="shared" si="49"/>
        <v/>
      </c>
      <c r="R660" s="76"/>
    </row>
    <row r="661" spans="1:18" ht="14.25" customHeight="1">
      <c r="A661" s="67"/>
      <c r="B661" s="68"/>
      <c r="C661" s="69"/>
      <c r="D661" s="69" t="str">
        <f ca="1">IF(B661="","",VLOOKUP('Журнал Закупок'!$B661,'СТ Криптовалюта'!B:C,2,0))</f>
        <v/>
      </c>
      <c r="E661" s="68"/>
      <c r="F661" s="70"/>
      <c r="G661" s="71"/>
      <c r="H661" s="71"/>
      <c r="I661" s="71" t="str">
        <f t="shared" si="50"/>
        <v/>
      </c>
      <c r="J661" s="71"/>
      <c r="K661" s="71"/>
      <c r="L661" s="71"/>
      <c r="M661" s="71"/>
      <c r="N661" s="71" t="str">
        <f ca="1">IF(I661="","",ROUND(VLOOKUP('Журнал Закупок'!D661,'СТ Криптовалюта'!$C$3:$E$1788,2,0)*'Журнал Закупок'!G661,5))</f>
        <v/>
      </c>
      <c r="O661" s="71"/>
      <c r="P661" s="71" t="str">
        <f t="shared" si="48"/>
        <v/>
      </c>
      <c r="Q661" s="75" t="str">
        <f t="shared" si="49"/>
        <v/>
      </c>
      <c r="R661" s="76"/>
    </row>
    <row r="662" spans="1:18" ht="14.25" customHeight="1">
      <c r="A662" s="67"/>
      <c r="B662" s="68"/>
      <c r="C662" s="69"/>
      <c r="D662" s="69" t="str">
        <f ca="1">IF(B662="","",VLOOKUP('Журнал Закупок'!$B662,'СТ Криптовалюта'!B:C,2,0))</f>
        <v/>
      </c>
      <c r="E662" s="68"/>
      <c r="F662" s="70"/>
      <c r="G662" s="71"/>
      <c r="H662" s="71"/>
      <c r="I662" s="71" t="str">
        <f t="shared" si="50"/>
        <v/>
      </c>
      <c r="J662" s="71"/>
      <c r="K662" s="71"/>
      <c r="L662" s="71"/>
      <c r="M662" s="71"/>
      <c r="N662" s="71" t="str">
        <f ca="1">IF(I662="","",ROUND(VLOOKUP('Журнал Закупок'!D662,'СТ Криптовалюта'!$C$3:$E$1788,2,0)*'Журнал Закупок'!G662,5))</f>
        <v/>
      </c>
      <c r="O662" s="71"/>
      <c r="P662" s="71" t="str">
        <f t="shared" si="48"/>
        <v/>
      </c>
      <c r="Q662" s="75" t="str">
        <f t="shared" si="49"/>
        <v/>
      </c>
      <c r="R662" s="76"/>
    </row>
    <row r="663" spans="1:18" ht="14.25" customHeight="1">
      <c r="A663" s="67"/>
      <c r="B663" s="68"/>
      <c r="C663" s="69"/>
      <c r="D663" s="69" t="str">
        <f ca="1">IF(B663="","",VLOOKUP('Журнал Закупок'!$B663,'СТ Криптовалюта'!B:C,2,0))</f>
        <v/>
      </c>
      <c r="E663" s="68"/>
      <c r="F663" s="70"/>
      <c r="G663" s="71"/>
      <c r="H663" s="71"/>
      <c r="I663" s="71" t="str">
        <f t="shared" si="50"/>
        <v/>
      </c>
      <c r="J663" s="71"/>
      <c r="K663" s="71"/>
      <c r="L663" s="71"/>
      <c r="M663" s="71"/>
      <c r="N663" s="71" t="str">
        <f ca="1">IF(I663="","",ROUND(VLOOKUP('Журнал Закупок'!D663,'СТ Криптовалюта'!$C$3:$E$1788,2,0)*'Журнал Закупок'!G663,5))</f>
        <v/>
      </c>
      <c r="O663" s="71"/>
      <c r="P663" s="71" t="str">
        <f t="shared" si="48"/>
        <v/>
      </c>
      <c r="Q663" s="75" t="str">
        <f t="shared" si="49"/>
        <v/>
      </c>
      <c r="R663" s="76"/>
    </row>
    <row r="664" spans="1:18" ht="14.25" customHeight="1">
      <c r="A664" s="67"/>
      <c r="B664" s="68"/>
      <c r="C664" s="69"/>
      <c r="D664" s="69" t="str">
        <f ca="1">IF(B664="","",VLOOKUP('Журнал Закупок'!$B664,'СТ Криптовалюта'!B:C,2,0))</f>
        <v/>
      </c>
      <c r="E664" s="68"/>
      <c r="F664" s="70"/>
      <c r="G664" s="71"/>
      <c r="H664" s="71"/>
      <c r="I664" s="71" t="str">
        <f t="shared" si="50"/>
        <v/>
      </c>
      <c r="J664" s="71"/>
      <c r="K664" s="71"/>
      <c r="L664" s="71"/>
      <c r="M664" s="71"/>
      <c r="N664" s="71" t="str">
        <f ca="1">IF(I664="","",ROUND(VLOOKUP('Журнал Закупок'!D664,'СТ Криптовалюта'!$C$3:$E$1788,2,0)*'Журнал Закупок'!G664,5))</f>
        <v/>
      </c>
      <c r="O664" s="71"/>
      <c r="P664" s="71" t="str">
        <f t="shared" si="48"/>
        <v/>
      </c>
      <c r="Q664" s="75" t="str">
        <f t="shared" si="49"/>
        <v/>
      </c>
      <c r="R664" s="76"/>
    </row>
    <row r="665" spans="1:18" ht="14.25" customHeight="1">
      <c r="A665" s="67"/>
      <c r="B665" s="68"/>
      <c r="C665" s="69"/>
      <c r="D665" s="69" t="str">
        <f ca="1">IF(B665="","",VLOOKUP('Журнал Закупок'!$B665,'СТ Криптовалюта'!B:C,2,0))</f>
        <v/>
      </c>
      <c r="E665" s="68"/>
      <c r="F665" s="70"/>
      <c r="G665" s="71"/>
      <c r="H665" s="71"/>
      <c r="I665" s="71" t="str">
        <f t="shared" si="50"/>
        <v/>
      </c>
      <c r="J665" s="71"/>
      <c r="K665" s="71"/>
      <c r="L665" s="71"/>
      <c r="M665" s="71"/>
      <c r="N665" s="71" t="str">
        <f ca="1">IF(I665="","",ROUND(VLOOKUP('Журнал Закупок'!D665,'СТ Криптовалюта'!$C$3:$E$1788,2,0)*'Журнал Закупок'!G665,5))</f>
        <v/>
      </c>
      <c r="O665" s="71"/>
      <c r="P665" s="71" t="str">
        <f t="shared" si="48"/>
        <v/>
      </c>
      <c r="Q665" s="75" t="str">
        <f t="shared" si="49"/>
        <v/>
      </c>
      <c r="R665" s="76"/>
    </row>
    <row r="666" spans="1:18" ht="14.25" customHeight="1">
      <c r="A666" s="67"/>
      <c r="B666" s="68"/>
      <c r="C666" s="69"/>
      <c r="D666" s="69" t="str">
        <f ca="1">IF(B666="","",VLOOKUP('Журнал Закупок'!$B666,'СТ Криптовалюта'!B:C,2,0))</f>
        <v/>
      </c>
      <c r="E666" s="68"/>
      <c r="F666" s="70"/>
      <c r="G666" s="71"/>
      <c r="H666" s="71"/>
      <c r="I666" s="71" t="str">
        <f t="shared" si="50"/>
        <v/>
      </c>
      <c r="J666" s="71"/>
      <c r="K666" s="71"/>
      <c r="L666" s="71"/>
      <c r="M666" s="71"/>
      <c r="N666" s="71" t="str">
        <f ca="1">IF(I666="","",ROUND(VLOOKUP('Журнал Закупок'!D666,'СТ Криптовалюта'!$C$3:$E$1788,2,0)*'Журнал Закупок'!G666,5))</f>
        <v/>
      </c>
      <c r="O666" s="71"/>
      <c r="P666" s="71" t="str">
        <f t="shared" si="48"/>
        <v/>
      </c>
      <c r="Q666" s="75" t="str">
        <f t="shared" si="49"/>
        <v/>
      </c>
      <c r="R666" s="76"/>
    </row>
    <row r="667" spans="1:18" ht="14.25" customHeight="1">
      <c r="A667" s="67"/>
      <c r="B667" s="68"/>
      <c r="C667" s="69"/>
      <c r="D667" s="69" t="str">
        <f ca="1">IF(B667="","",VLOOKUP('Журнал Закупок'!$B667,'СТ Криптовалюта'!B:C,2,0))</f>
        <v/>
      </c>
      <c r="E667" s="68"/>
      <c r="F667" s="70"/>
      <c r="G667" s="71"/>
      <c r="H667" s="71"/>
      <c r="I667" s="71" t="str">
        <f t="shared" si="50"/>
        <v/>
      </c>
      <c r="J667" s="71"/>
      <c r="K667" s="71"/>
      <c r="L667" s="71"/>
      <c r="M667" s="71"/>
      <c r="N667" s="71" t="str">
        <f ca="1">IF(I667="","",ROUND(VLOOKUP('Журнал Закупок'!D667,'СТ Криптовалюта'!$C$3:$E$1788,2,0)*'Журнал Закупок'!G667,5))</f>
        <v/>
      </c>
      <c r="O667" s="71"/>
      <c r="P667" s="71" t="str">
        <f t="shared" si="48"/>
        <v/>
      </c>
      <c r="Q667" s="75" t="str">
        <f t="shared" si="49"/>
        <v/>
      </c>
      <c r="R667" s="76"/>
    </row>
    <row r="668" spans="1:18" ht="14.25" customHeight="1">
      <c r="A668" s="67"/>
      <c r="B668" s="68"/>
      <c r="C668" s="69"/>
      <c r="D668" s="69" t="str">
        <f ca="1">IF(B668="","",VLOOKUP('Журнал Закупок'!$B668,'СТ Криптовалюта'!B:C,2,0))</f>
        <v/>
      </c>
      <c r="E668" s="68"/>
      <c r="F668" s="70"/>
      <c r="G668" s="71"/>
      <c r="H668" s="71"/>
      <c r="I668" s="71" t="str">
        <f t="shared" si="50"/>
        <v/>
      </c>
      <c r="J668" s="71"/>
      <c r="K668" s="71"/>
      <c r="L668" s="71"/>
      <c r="M668" s="71"/>
      <c r="N668" s="71" t="str">
        <f ca="1">IF(I668="","",ROUND(VLOOKUP('Журнал Закупок'!D668,'СТ Криптовалюта'!$C$3:$E$1788,2,0)*'Журнал Закупок'!G668,5))</f>
        <v/>
      </c>
      <c r="O668" s="71"/>
      <c r="P668" s="71" t="str">
        <f t="shared" si="48"/>
        <v/>
      </c>
      <c r="Q668" s="75" t="str">
        <f t="shared" si="49"/>
        <v/>
      </c>
      <c r="R668" s="76"/>
    </row>
    <row r="669" spans="1:18" ht="14.25" customHeight="1">
      <c r="A669" s="67"/>
      <c r="B669" s="68"/>
      <c r="C669" s="69"/>
      <c r="D669" s="69" t="str">
        <f ca="1">IF(B669="","",VLOOKUP('Журнал Закупок'!$B669,'СТ Криптовалюта'!B:C,2,0))</f>
        <v/>
      </c>
      <c r="E669" s="68"/>
      <c r="F669" s="70"/>
      <c r="G669" s="71"/>
      <c r="H669" s="71"/>
      <c r="I669" s="71" t="str">
        <f t="shared" si="50"/>
        <v/>
      </c>
      <c r="J669" s="71"/>
      <c r="K669" s="71"/>
      <c r="L669" s="71"/>
      <c r="M669" s="71"/>
      <c r="N669" s="71" t="str">
        <f ca="1">IF(I669="","",ROUND(VLOOKUP('Журнал Закупок'!D669,'СТ Криптовалюта'!$C$3:$E$1788,2,0)*'Журнал Закупок'!G669,5))</f>
        <v/>
      </c>
      <c r="O669" s="71"/>
      <c r="P669" s="71" t="str">
        <f t="shared" si="48"/>
        <v/>
      </c>
      <c r="Q669" s="75" t="str">
        <f t="shared" si="49"/>
        <v/>
      </c>
      <c r="R669" s="76"/>
    </row>
    <row r="670" spans="1:18" ht="14.25" customHeight="1">
      <c r="A670" s="67"/>
      <c r="B670" s="68"/>
      <c r="C670" s="69"/>
      <c r="D670" s="69" t="str">
        <f ca="1">IF(B670="","",VLOOKUP('Журнал Закупок'!$B670,'СТ Криптовалюта'!B:C,2,0))</f>
        <v/>
      </c>
      <c r="E670" s="68"/>
      <c r="F670" s="70"/>
      <c r="G670" s="71"/>
      <c r="H670" s="71"/>
      <c r="I670" s="71" t="str">
        <f t="shared" si="50"/>
        <v/>
      </c>
      <c r="J670" s="71"/>
      <c r="K670" s="71"/>
      <c r="L670" s="71"/>
      <c r="M670" s="71"/>
      <c r="N670" s="71" t="str">
        <f ca="1">IF(I670="","",ROUND(VLOOKUP('Журнал Закупок'!D670,'СТ Криптовалюта'!$C$3:$E$1788,2,0)*'Журнал Закупок'!G670,5))</f>
        <v/>
      </c>
      <c r="O670" s="71"/>
      <c r="P670" s="71" t="str">
        <f t="shared" si="48"/>
        <v/>
      </c>
      <c r="Q670" s="75" t="str">
        <f t="shared" si="49"/>
        <v/>
      </c>
      <c r="R670" s="76"/>
    </row>
    <row r="671" spans="1:18" ht="14.25" customHeight="1">
      <c r="A671" s="67"/>
      <c r="B671" s="68"/>
      <c r="C671" s="69"/>
      <c r="D671" s="69" t="str">
        <f ca="1">IF(B671="","",VLOOKUP('Журнал Закупок'!$B671,'СТ Криптовалюта'!B:C,2,0))</f>
        <v/>
      </c>
      <c r="E671" s="68"/>
      <c r="F671" s="70"/>
      <c r="G671" s="71"/>
      <c r="H671" s="71"/>
      <c r="I671" s="71" t="str">
        <f t="shared" si="50"/>
        <v/>
      </c>
      <c r="J671" s="71"/>
      <c r="K671" s="71"/>
      <c r="L671" s="71"/>
      <c r="M671" s="71"/>
      <c r="N671" s="71" t="str">
        <f ca="1">IF(I671="","",ROUND(VLOOKUP('Журнал Закупок'!D671,'СТ Криптовалюта'!$C$3:$E$1788,2,0)*'Журнал Закупок'!G671,5))</f>
        <v/>
      </c>
      <c r="O671" s="71"/>
      <c r="P671" s="71" t="str">
        <f t="shared" si="48"/>
        <v/>
      </c>
      <c r="Q671" s="75" t="str">
        <f t="shared" si="49"/>
        <v/>
      </c>
      <c r="R671" s="76"/>
    </row>
    <row r="672" spans="1:18" ht="14.25" customHeight="1">
      <c r="A672" s="67"/>
      <c r="B672" s="68"/>
      <c r="C672" s="69"/>
      <c r="D672" s="69" t="str">
        <f ca="1">IF(B672="","",VLOOKUP('Журнал Закупок'!$B672,'СТ Криптовалюта'!B:C,2,0))</f>
        <v/>
      </c>
      <c r="E672" s="68"/>
      <c r="F672" s="70"/>
      <c r="G672" s="71"/>
      <c r="H672" s="71"/>
      <c r="I672" s="71" t="str">
        <f t="shared" si="50"/>
        <v/>
      </c>
      <c r="J672" s="71"/>
      <c r="K672" s="71"/>
      <c r="L672" s="71"/>
      <c r="M672" s="71"/>
      <c r="N672" s="71" t="str">
        <f ca="1">IF(I672="","",ROUND(VLOOKUP('Журнал Закупок'!D672,'СТ Криптовалюта'!$C$3:$E$1788,2,0)*'Журнал Закупок'!G672,5))</f>
        <v/>
      </c>
      <c r="O672" s="71"/>
      <c r="P672" s="71" t="str">
        <f t="shared" si="48"/>
        <v/>
      </c>
      <c r="Q672" s="75" t="str">
        <f t="shared" si="49"/>
        <v/>
      </c>
      <c r="R672" s="76"/>
    </row>
    <row r="673" spans="1:18" ht="14.25" customHeight="1">
      <c r="A673" s="67"/>
      <c r="B673" s="68"/>
      <c r="C673" s="69"/>
      <c r="D673" s="69" t="str">
        <f ca="1">IF(B673="","",VLOOKUP('Журнал Закупок'!$B673,'СТ Криптовалюта'!B:C,2,0))</f>
        <v/>
      </c>
      <c r="E673" s="68"/>
      <c r="F673" s="70"/>
      <c r="G673" s="71"/>
      <c r="H673" s="71"/>
      <c r="I673" s="71" t="str">
        <f t="shared" si="50"/>
        <v/>
      </c>
      <c r="J673" s="71"/>
      <c r="K673" s="71"/>
      <c r="L673" s="71"/>
      <c r="M673" s="71"/>
      <c r="N673" s="71" t="str">
        <f ca="1">IF(I673="","",ROUND(VLOOKUP('Журнал Закупок'!D673,'СТ Криптовалюта'!$C$3:$E$1788,2,0)*'Журнал Закупок'!G673,5))</f>
        <v/>
      </c>
      <c r="O673" s="71"/>
      <c r="P673" s="71" t="str">
        <f t="shared" si="48"/>
        <v/>
      </c>
      <c r="Q673" s="75" t="str">
        <f t="shared" si="49"/>
        <v/>
      </c>
      <c r="R673" s="76"/>
    </row>
    <row r="674" spans="1:18" ht="14.25" customHeight="1">
      <c r="A674" s="67"/>
      <c r="B674" s="68"/>
      <c r="C674" s="69"/>
      <c r="D674" s="69" t="str">
        <f ca="1">IF(B674="","",VLOOKUP('Журнал Закупок'!$B674,'СТ Криптовалюта'!B:C,2,0))</f>
        <v/>
      </c>
      <c r="E674" s="68"/>
      <c r="F674" s="70"/>
      <c r="G674" s="71"/>
      <c r="H674" s="71"/>
      <c r="I674" s="71" t="str">
        <f t="shared" si="50"/>
        <v/>
      </c>
      <c r="J674" s="71"/>
      <c r="K674" s="71"/>
      <c r="L674" s="71"/>
      <c r="M674" s="71"/>
      <c r="N674" s="71" t="str">
        <f ca="1">IF(I674="","",ROUND(VLOOKUP('Журнал Закупок'!D674,'СТ Криптовалюта'!$C$3:$E$1788,2,0)*'Журнал Закупок'!G674,5))</f>
        <v/>
      </c>
      <c r="O674" s="71"/>
      <c r="P674" s="71" t="str">
        <f t="shared" si="48"/>
        <v/>
      </c>
      <c r="Q674" s="75" t="str">
        <f t="shared" si="49"/>
        <v/>
      </c>
      <c r="R674" s="76"/>
    </row>
    <row r="675" spans="1:18" ht="14.25" customHeight="1">
      <c r="A675" s="67"/>
      <c r="B675" s="68"/>
      <c r="C675" s="69"/>
      <c r="D675" s="69" t="str">
        <f ca="1">IF(B675="","",VLOOKUP('Журнал Закупок'!$B675,'СТ Криптовалюта'!B:C,2,0))</f>
        <v/>
      </c>
      <c r="E675" s="68"/>
      <c r="F675" s="70"/>
      <c r="G675" s="71"/>
      <c r="H675" s="71"/>
      <c r="I675" s="71" t="str">
        <f t="shared" si="50"/>
        <v/>
      </c>
      <c r="J675" s="71"/>
      <c r="K675" s="71"/>
      <c r="L675" s="71"/>
      <c r="M675" s="71"/>
      <c r="N675" s="71" t="str">
        <f ca="1">IF(I675="","",ROUND(VLOOKUP('Журнал Закупок'!D675,'СТ Криптовалюта'!$C$3:$E$1788,2,0)*'Журнал Закупок'!G675,5))</f>
        <v/>
      </c>
      <c r="O675" s="71"/>
      <c r="P675" s="71" t="str">
        <f t="shared" si="48"/>
        <v/>
      </c>
      <c r="Q675" s="75" t="str">
        <f t="shared" si="49"/>
        <v/>
      </c>
      <c r="R675" s="76"/>
    </row>
    <row r="676" spans="1:18" ht="14.25" customHeight="1">
      <c r="A676" s="67"/>
      <c r="B676" s="68"/>
      <c r="C676" s="69"/>
      <c r="D676" s="69" t="str">
        <f ca="1">IF(B676="","",VLOOKUP('Журнал Закупок'!$B676,'СТ Криптовалюта'!B:C,2,0))</f>
        <v/>
      </c>
      <c r="E676" s="68"/>
      <c r="F676" s="70"/>
      <c r="G676" s="71"/>
      <c r="H676" s="71"/>
      <c r="I676" s="71" t="str">
        <f t="shared" si="50"/>
        <v/>
      </c>
      <c r="J676" s="71"/>
      <c r="K676" s="71"/>
      <c r="L676" s="71"/>
      <c r="M676" s="71"/>
      <c r="N676" s="71" t="str">
        <f ca="1">IF(I676="","",ROUND(VLOOKUP('Журнал Закупок'!D676,'СТ Криптовалюта'!$C$3:$E$1788,2,0)*'Журнал Закупок'!G676,5))</f>
        <v/>
      </c>
      <c r="O676" s="71"/>
      <c r="P676" s="71" t="str">
        <f t="shared" si="48"/>
        <v/>
      </c>
      <c r="Q676" s="75" t="str">
        <f t="shared" si="49"/>
        <v/>
      </c>
      <c r="R676" s="76"/>
    </row>
    <row r="677" spans="1:18" ht="14.25" customHeight="1">
      <c r="A677" s="67"/>
      <c r="B677" s="68"/>
      <c r="C677" s="69"/>
      <c r="D677" s="69" t="str">
        <f ca="1">IF(B677="","",VLOOKUP('Журнал Закупок'!$B677,'СТ Криптовалюта'!B:C,2,0))</f>
        <v/>
      </c>
      <c r="E677" s="68"/>
      <c r="F677" s="70"/>
      <c r="G677" s="71"/>
      <c r="H677" s="71"/>
      <c r="I677" s="71" t="str">
        <f t="shared" si="50"/>
        <v/>
      </c>
      <c r="J677" s="71"/>
      <c r="K677" s="71"/>
      <c r="L677" s="71"/>
      <c r="M677" s="71"/>
      <c r="N677" s="71" t="str">
        <f ca="1">IF(I677="","",ROUND(VLOOKUP('Журнал Закупок'!D677,'СТ Криптовалюта'!$C$3:$E$1788,2,0)*'Журнал Закупок'!G677,5))</f>
        <v/>
      </c>
      <c r="O677" s="71"/>
      <c r="P677" s="71" t="str">
        <f t="shared" si="48"/>
        <v/>
      </c>
      <c r="Q677" s="75" t="str">
        <f t="shared" si="49"/>
        <v/>
      </c>
      <c r="R677" s="76"/>
    </row>
    <row r="678" spans="1:18" ht="14.25" customHeight="1">
      <c r="A678" s="67"/>
      <c r="B678" s="68"/>
      <c r="C678" s="69"/>
      <c r="D678" s="69" t="str">
        <f ca="1">IF(B678="","",VLOOKUP('Журнал Закупок'!$B678,'СТ Криптовалюта'!B:C,2,0))</f>
        <v/>
      </c>
      <c r="E678" s="68"/>
      <c r="F678" s="70"/>
      <c r="G678" s="71"/>
      <c r="H678" s="71"/>
      <c r="I678" s="71" t="str">
        <f t="shared" si="50"/>
        <v/>
      </c>
      <c r="J678" s="71"/>
      <c r="K678" s="71"/>
      <c r="L678" s="71"/>
      <c r="M678" s="71"/>
      <c r="N678" s="71" t="str">
        <f ca="1">IF(I678="","",ROUND(VLOOKUP('Журнал Закупок'!D678,'СТ Криптовалюта'!$C$3:$E$1788,2,0)*'Журнал Закупок'!G678,5))</f>
        <v/>
      </c>
      <c r="O678" s="71"/>
      <c r="P678" s="71" t="str">
        <f t="shared" si="48"/>
        <v/>
      </c>
      <c r="Q678" s="75" t="str">
        <f t="shared" si="49"/>
        <v/>
      </c>
      <c r="R678" s="76"/>
    </row>
    <row r="679" spans="1:18" ht="14.25" customHeight="1">
      <c r="A679" s="67"/>
      <c r="B679" s="68"/>
      <c r="C679" s="69"/>
      <c r="D679" s="69" t="str">
        <f ca="1">IF(B679="","",VLOOKUP('Журнал Закупок'!$B679,'СТ Криптовалюта'!B:C,2,0))</f>
        <v/>
      </c>
      <c r="E679" s="68"/>
      <c r="F679" s="70"/>
      <c r="G679" s="71"/>
      <c r="H679" s="71"/>
      <c r="I679" s="71" t="str">
        <f t="shared" si="50"/>
        <v/>
      </c>
      <c r="J679" s="71"/>
      <c r="K679" s="71"/>
      <c r="L679" s="71"/>
      <c r="M679" s="71"/>
      <c r="N679" s="71" t="str">
        <f ca="1">IF(I679="","",ROUND(VLOOKUP('Журнал Закупок'!D679,'СТ Криптовалюта'!$C$3:$E$1788,2,0)*'Журнал Закупок'!G679,5))</f>
        <v/>
      </c>
      <c r="O679" s="71"/>
      <c r="P679" s="71" t="str">
        <f t="shared" si="48"/>
        <v/>
      </c>
      <c r="Q679" s="75" t="str">
        <f t="shared" si="49"/>
        <v/>
      </c>
      <c r="R679" s="76"/>
    </row>
    <row r="680" spans="1:18" ht="14.25" customHeight="1">
      <c r="A680" s="67"/>
      <c r="B680" s="68"/>
      <c r="C680" s="69"/>
      <c r="D680" s="69" t="str">
        <f ca="1">IF(B680="","",VLOOKUP('Журнал Закупок'!$B680,'СТ Криптовалюта'!B:C,2,0))</f>
        <v/>
      </c>
      <c r="E680" s="68"/>
      <c r="F680" s="70"/>
      <c r="G680" s="71"/>
      <c r="H680" s="71"/>
      <c r="I680" s="71" t="str">
        <f t="shared" si="50"/>
        <v/>
      </c>
      <c r="J680" s="71"/>
      <c r="K680" s="71"/>
      <c r="L680" s="71"/>
      <c r="M680" s="71"/>
      <c r="N680" s="71" t="str">
        <f ca="1">IF(I680="","",ROUND(VLOOKUP('Журнал Закупок'!D680,'СТ Криптовалюта'!$C$3:$E$1788,2,0)*'Журнал Закупок'!G680,5))</f>
        <v/>
      </c>
      <c r="O680" s="71"/>
      <c r="P680" s="71" t="str">
        <f t="shared" si="48"/>
        <v/>
      </c>
      <c r="Q680" s="75" t="str">
        <f t="shared" si="49"/>
        <v/>
      </c>
      <c r="R680" s="76"/>
    </row>
    <row r="681" spans="1:18" ht="14.25" customHeight="1">
      <c r="A681" s="67"/>
      <c r="B681" s="68"/>
      <c r="C681" s="69"/>
      <c r="D681" s="69" t="str">
        <f ca="1">IF(B681="","",VLOOKUP('Журнал Закупок'!$B681,'СТ Криптовалюта'!B:C,2,0))</f>
        <v/>
      </c>
      <c r="E681" s="68"/>
      <c r="F681" s="70"/>
      <c r="G681" s="71"/>
      <c r="H681" s="71"/>
      <c r="I681" s="71" t="str">
        <f t="shared" si="50"/>
        <v/>
      </c>
      <c r="J681" s="71"/>
      <c r="K681" s="71"/>
      <c r="L681" s="71"/>
      <c r="M681" s="71"/>
      <c r="N681" s="71" t="str">
        <f ca="1">IF(I681="","",ROUND(VLOOKUP('Журнал Закупок'!D681,'СТ Криптовалюта'!$C$3:$E$1788,2,0)*'Журнал Закупок'!G681,5))</f>
        <v/>
      </c>
      <c r="O681" s="71"/>
      <c r="P681" s="71" t="str">
        <f t="shared" si="48"/>
        <v/>
      </c>
      <c r="Q681" s="75" t="str">
        <f t="shared" si="49"/>
        <v/>
      </c>
      <c r="R681" s="76"/>
    </row>
    <row r="682" spans="1:18" ht="14.25" customHeight="1">
      <c r="A682" s="67"/>
      <c r="B682" s="68"/>
      <c r="C682" s="69"/>
      <c r="D682" s="69" t="str">
        <f ca="1">IF(B682="","",VLOOKUP('Журнал Закупок'!$B682,'СТ Криптовалюта'!B:C,2,0))</f>
        <v/>
      </c>
      <c r="E682" s="68"/>
      <c r="F682" s="70"/>
      <c r="G682" s="71"/>
      <c r="H682" s="71"/>
      <c r="I682" s="71" t="str">
        <f t="shared" si="50"/>
        <v/>
      </c>
      <c r="J682" s="71"/>
      <c r="K682" s="71"/>
      <c r="L682" s="71"/>
      <c r="M682" s="71"/>
      <c r="N682" s="71" t="str">
        <f ca="1">IF(I682="","",ROUND(VLOOKUP('Журнал Закупок'!D682,'СТ Криптовалюта'!$C$3:$E$1788,2,0)*'Журнал Закупок'!G682,5))</f>
        <v/>
      </c>
      <c r="O682" s="71"/>
      <c r="P682" s="71" t="str">
        <f t="shared" si="48"/>
        <v/>
      </c>
      <c r="Q682" s="75" t="str">
        <f t="shared" si="49"/>
        <v/>
      </c>
      <c r="R682" s="76"/>
    </row>
    <row r="683" spans="1:18" ht="14.25" customHeight="1">
      <c r="A683" s="67"/>
      <c r="B683" s="68"/>
      <c r="C683" s="69"/>
      <c r="D683" s="69" t="str">
        <f ca="1">IF(B683="","",VLOOKUP('Журнал Закупок'!$B683,'СТ Криптовалюта'!B:C,2,0))</f>
        <v/>
      </c>
      <c r="E683" s="68"/>
      <c r="F683" s="70"/>
      <c r="G683" s="71"/>
      <c r="H683" s="71"/>
      <c r="I683" s="71" t="str">
        <f t="shared" si="50"/>
        <v/>
      </c>
      <c r="J683" s="71"/>
      <c r="K683" s="71"/>
      <c r="L683" s="71"/>
      <c r="M683" s="71"/>
      <c r="N683" s="71" t="str">
        <f ca="1">IF(I683="","",ROUND(VLOOKUP('Журнал Закупок'!D683,'СТ Криптовалюта'!$C$3:$E$1788,2,0)*'Журнал Закупок'!G683,5))</f>
        <v/>
      </c>
      <c r="O683" s="71"/>
      <c r="P683" s="71" t="str">
        <f t="shared" ref="P683:P746" si="51">IF(N683="","",ROUND(N683-I683,2))</f>
        <v/>
      </c>
      <c r="Q683" s="75" t="str">
        <f t="shared" ref="Q683:Q746" si="52">IF(P683="","",ROUND(IFERROR((N683-I683)/I683,2),5))</f>
        <v/>
      </c>
      <c r="R683" s="76"/>
    </row>
    <row r="684" spans="1:18" ht="14.25" customHeight="1">
      <c r="A684" s="67"/>
      <c r="B684" s="68"/>
      <c r="C684" s="69"/>
      <c r="D684" s="69" t="str">
        <f ca="1">IF(B684="","",VLOOKUP('Журнал Закупок'!$B684,'СТ Криптовалюта'!B:C,2,0))</f>
        <v/>
      </c>
      <c r="E684" s="68"/>
      <c r="F684" s="70"/>
      <c r="G684" s="71"/>
      <c r="H684" s="71"/>
      <c r="I684" s="71" t="str">
        <f t="shared" si="50"/>
        <v/>
      </c>
      <c r="J684" s="71"/>
      <c r="K684" s="71"/>
      <c r="L684" s="71"/>
      <c r="M684" s="71"/>
      <c r="N684" s="71" t="str">
        <f ca="1">IF(I684="","",ROUND(VLOOKUP('Журнал Закупок'!D684,'СТ Криптовалюта'!$C$3:$E$1788,2,0)*'Журнал Закупок'!G684,5))</f>
        <v/>
      </c>
      <c r="O684" s="71"/>
      <c r="P684" s="71" t="str">
        <f t="shared" si="51"/>
        <v/>
      </c>
      <c r="Q684" s="75" t="str">
        <f t="shared" si="52"/>
        <v/>
      </c>
      <c r="R684" s="76"/>
    </row>
    <row r="685" spans="1:18" ht="14.25" customHeight="1">
      <c r="A685" s="67"/>
      <c r="B685" s="68"/>
      <c r="C685" s="69"/>
      <c r="D685" s="69" t="str">
        <f ca="1">IF(B685="","",VLOOKUP('Журнал Закупок'!$B685,'СТ Криптовалюта'!B:C,2,0))</f>
        <v/>
      </c>
      <c r="E685" s="68"/>
      <c r="F685" s="70"/>
      <c r="G685" s="71"/>
      <c r="H685" s="71"/>
      <c r="I685" s="71" t="str">
        <f t="shared" si="50"/>
        <v/>
      </c>
      <c r="J685" s="71"/>
      <c r="K685" s="71"/>
      <c r="L685" s="71"/>
      <c r="M685" s="71"/>
      <c r="N685" s="71" t="str">
        <f ca="1">IF(I685="","",ROUND(VLOOKUP('Журнал Закупок'!D685,'СТ Криптовалюта'!$C$3:$E$1788,2,0)*'Журнал Закупок'!G685,5))</f>
        <v/>
      </c>
      <c r="O685" s="71"/>
      <c r="P685" s="71" t="str">
        <f t="shared" si="51"/>
        <v/>
      </c>
      <c r="Q685" s="75" t="str">
        <f t="shared" si="52"/>
        <v/>
      </c>
      <c r="R685" s="76"/>
    </row>
    <row r="686" spans="1:18" ht="14.25" customHeight="1">
      <c r="A686" s="67"/>
      <c r="B686" s="68"/>
      <c r="C686" s="69"/>
      <c r="D686" s="69" t="str">
        <f ca="1">IF(B686="","",VLOOKUP('Журнал Закупок'!$B686,'СТ Криптовалюта'!B:C,2,0))</f>
        <v/>
      </c>
      <c r="E686" s="68"/>
      <c r="F686" s="70"/>
      <c r="G686" s="71"/>
      <c r="H686" s="71"/>
      <c r="I686" s="71" t="str">
        <f t="shared" ref="I686:I749" si="53">IF(H686="","",ROUND(G686*H686,5))</f>
        <v/>
      </c>
      <c r="J686" s="71"/>
      <c r="K686" s="71"/>
      <c r="L686" s="71"/>
      <c r="M686" s="71"/>
      <c r="N686" s="71" t="str">
        <f ca="1">IF(I686="","",ROUND(VLOOKUP('Журнал Закупок'!D686,'СТ Криптовалюта'!$C$3:$E$1788,2,0)*'Журнал Закупок'!G686,5))</f>
        <v/>
      </c>
      <c r="O686" s="71"/>
      <c r="P686" s="71" t="str">
        <f t="shared" si="51"/>
        <v/>
      </c>
      <c r="Q686" s="75" t="str">
        <f t="shared" si="52"/>
        <v/>
      </c>
      <c r="R686" s="76"/>
    </row>
    <row r="687" spans="1:18" ht="14.25" customHeight="1">
      <c r="A687" s="67"/>
      <c r="B687" s="68"/>
      <c r="C687" s="69"/>
      <c r="D687" s="69" t="str">
        <f ca="1">IF(B687="","",VLOOKUP('Журнал Закупок'!$B687,'СТ Криптовалюта'!B:C,2,0))</f>
        <v/>
      </c>
      <c r="E687" s="68"/>
      <c r="F687" s="70"/>
      <c r="G687" s="71"/>
      <c r="H687" s="71"/>
      <c r="I687" s="71" t="str">
        <f t="shared" si="53"/>
        <v/>
      </c>
      <c r="J687" s="71"/>
      <c r="K687" s="71"/>
      <c r="L687" s="71"/>
      <c r="M687" s="71"/>
      <c r="N687" s="71" t="str">
        <f ca="1">IF(I687="","",ROUND(VLOOKUP('Журнал Закупок'!D687,'СТ Криптовалюта'!$C$3:$E$1788,2,0)*'Журнал Закупок'!G687,5))</f>
        <v/>
      </c>
      <c r="O687" s="71"/>
      <c r="P687" s="71" t="str">
        <f t="shared" si="51"/>
        <v/>
      </c>
      <c r="Q687" s="75" t="str">
        <f t="shared" si="52"/>
        <v/>
      </c>
      <c r="R687" s="76"/>
    </row>
    <row r="688" spans="1:18" ht="14.25" customHeight="1">
      <c r="A688" s="67"/>
      <c r="B688" s="68"/>
      <c r="C688" s="69"/>
      <c r="D688" s="69" t="str">
        <f ca="1">IF(B688="","",VLOOKUP('Журнал Закупок'!$B688,'СТ Криптовалюта'!B:C,2,0))</f>
        <v/>
      </c>
      <c r="E688" s="68"/>
      <c r="F688" s="70"/>
      <c r="G688" s="71"/>
      <c r="H688" s="71"/>
      <c r="I688" s="71" t="str">
        <f t="shared" si="53"/>
        <v/>
      </c>
      <c r="J688" s="71"/>
      <c r="K688" s="71"/>
      <c r="L688" s="71"/>
      <c r="M688" s="71"/>
      <c r="N688" s="71" t="str">
        <f ca="1">IF(I688="","",ROUND(VLOOKUP('Журнал Закупок'!D688,'СТ Криптовалюта'!$C$3:$E$1788,2,0)*'Журнал Закупок'!G688,5))</f>
        <v/>
      </c>
      <c r="O688" s="71"/>
      <c r="P688" s="71" t="str">
        <f t="shared" si="51"/>
        <v/>
      </c>
      <c r="Q688" s="75" t="str">
        <f t="shared" si="52"/>
        <v/>
      </c>
      <c r="R688" s="76"/>
    </row>
    <row r="689" spans="1:18" ht="14.25" customHeight="1">
      <c r="A689" s="67"/>
      <c r="B689" s="68"/>
      <c r="C689" s="69"/>
      <c r="D689" s="69" t="str">
        <f ca="1">IF(B689="","",VLOOKUP('Журнал Закупок'!$B689,'СТ Криптовалюта'!B:C,2,0))</f>
        <v/>
      </c>
      <c r="E689" s="68"/>
      <c r="F689" s="70"/>
      <c r="G689" s="71"/>
      <c r="H689" s="71"/>
      <c r="I689" s="71" t="str">
        <f t="shared" si="53"/>
        <v/>
      </c>
      <c r="J689" s="71"/>
      <c r="K689" s="71"/>
      <c r="L689" s="71"/>
      <c r="M689" s="71"/>
      <c r="N689" s="71" t="str">
        <f ca="1">IF(I689="","",ROUND(VLOOKUP('Журнал Закупок'!D689,'СТ Криптовалюта'!$C$3:$E$1788,2,0)*'Журнал Закупок'!G689,5))</f>
        <v/>
      </c>
      <c r="O689" s="71"/>
      <c r="P689" s="71" t="str">
        <f t="shared" si="51"/>
        <v/>
      </c>
      <c r="Q689" s="75" t="str">
        <f t="shared" si="52"/>
        <v/>
      </c>
      <c r="R689" s="76"/>
    </row>
    <row r="690" spans="1:18" ht="14.25" customHeight="1">
      <c r="A690" s="67"/>
      <c r="B690" s="68"/>
      <c r="C690" s="69"/>
      <c r="D690" s="69" t="str">
        <f ca="1">IF(B690="","",VLOOKUP('Журнал Закупок'!$B690,'СТ Криптовалюта'!B:C,2,0))</f>
        <v/>
      </c>
      <c r="E690" s="68"/>
      <c r="F690" s="70"/>
      <c r="G690" s="71"/>
      <c r="H690" s="71"/>
      <c r="I690" s="71" t="str">
        <f t="shared" si="53"/>
        <v/>
      </c>
      <c r="J690" s="71"/>
      <c r="K690" s="71"/>
      <c r="L690" s="71"/>
      <c r="M690" s="71"/>
      <c r="N690" s="71" t="str">
        <f ca="1">IF(I690="","",ROUND(VLOOKUP('Журнал Закупок'!D690,'СТ Криптовалюта'!$C$3:$E$1788,2,0)*'Журнал Закупок'!G690,5))</f>
        <v/>
      </c>
      <c r="O690" s="71"/>
      <c r="P690" s="71" t="str">
        <f t="shared" si="51"/>
        <v/>
      </c>
      <c r="Q690" s="75" t="str">
        <f t="shared" si="52"/>
        <v/>
      </c>
      <c r="R690" s="76"/>
    </row>
    <row r="691" spans="1:18" ht="14.25" customHeight="1">
      <c r="A691" s="67"/>
      <c r="B691" s="68"/>
      <c r="C691" s="69"/>
      <c r="D691" s="69" t="str">
        <f ca="1">IF(B691="","",VLOOKUP('Журнал Закупок'!$B691,'СТ Криптовалюта'!B:C,2,0))</f>
        <v/>
      </c>
      <c r="E691" s="68"/>
      <c r="F691" s="70"/>
      <c r="G691" s="71"/>
      <c r="H691" s="71"/>
      <c r="I691" s="71" t="str">
        <f t="shared" si="53"/>
        <v/>
      </c>
      <c r="J691" s="71"/>
      <c r="K691" s="71"/>
      <c r="L691" s="71"/>
      <c r="M691" s="71"/>
      <c r="N691" s="71" t="str">
        <f ca="1">IF(I691="","",ROUND(VLOOKUP('Журнал Закупок'!D691,'СТ Криптовалюта'!$C$3:$E$1788,2,0)*'Журнал Закупок'!G691,5))</f>
        <v/>
      </c>
      <c r="O691" s="71"/>
      <c r="P691" s="71" t="str">
        <f t="shared" si="51"/>
        <v/>
      </c>
      <c r="Q691" s="75" t="str">
        <f t="shared" si="52"/>
        <v/>
      </c>
      <c r="R691" s="76"/>
    </row>
    <row r="692" spans="1:18" ht="14.25" customHeight="1">
      <c r="A692" s="67"/>
      <c r="B692" s="68"/>
      <c r="C692" s="69"/>
      <c r="D692" s="69" t="str">
        <f ca="1">IF(B692="","",VLOOKUP('Журнал Закупок'!$B692,'СТ Криптовалюта'!B:C,2,0))</f>
        <v/>
      </c>
      <c r="E692" s="68"/>
      <c r="F692" s="70"/>
      <c r="G692" s="71"/>
      <c r="H692" s="71"/>
      <c r="I692" s="71" t="str">
        <f t="shared" si="53"/>
        <v/>
      </c>
      <c r="J692" s="71"/>
      <c r="K692" s="71"/>
      <c r="L692" s="71"/>
      <c r="M692" s="71"/>
      <c r="N692" s="71" t="str">
        <f ca="1">IF(I692="","",ROUND(VLOOKUP('Журнал Закупок'!D692,'СТ Криптовалюта'!$C$3:$E$1788,2,0)*'Журнал Закупок'!G692,5))</f>
        <v/>
      </c>
      <c r="O692" s="71"/>
      <c r="P692" s="71" t="str">
        <f t="shared" si="51"/>
        <v/>
      </c>
      <c r="Q692" s="75" t="str">
        <f t="shared" si="52"/>
        <v/>
      </c>
      <c r="R692" s="76"/>
    </row>
    <row r="693" spans="1:18" ht="14.25" customHeight="1">
      <c r="A693" s="67"/>
      <c r="B693" s="68"/>
      <c r="C693" s="69"/>
      <c r="D693" s="69" t="str">
        <f ca="1">IF(B693="","",VLOOKUP('Журнал Закупок'!$B693,'СТ Криптовалюта'!B:C,2,0))</f>
        <v/>
      </c>
      <c r="E693" s="68"/>
      <c r="F693" s="70"/>
      <c r="G693" s="71"/>
      <c r="H693" s="71"/>
      <c r="I693" s="71" t="str">
        <f t="shared" si="53"/>
        <v/>
      </c>
      <c r="J693" s="71"/>
      <c r="K693" s="71"/>
      <c r="L693" s="71"/>
      <c r="M693" s="71"/>
      <c r="N693" s="71" t="str">
        <f ca="1">IF(I693="","",ROUND(VLOOKUP('Журнал Закупок'!D693,'СТ Криптовалюта'!$C$3:$E$1788,2,0)*'Журнал Закупок'!G693,5))</f>
        <v/>
      </c>
      <c r="O693" s="71"/>
      <c r="P693" s="71" t="str">
        <f t="shared" si="51"/>
        <v/>
      </c>
      <c r="Q693" s="75" t="str">
        <f t="shared" si="52"/>
        <v/>
      </c>
      <c r="R693" s="76"/>
    </row>
    <row r="694" spans="1:18" ht="14.25" customHeight="1">
      <c r="A694" s="67"/>
      <c r="B694" s="68"/>
      <c r="C694" s="69"/>
      <c r="D694" s="69" t="str">
        <f ca="1">IF(B694="","",VLOOKUP('Журнал Закупок'!$B694,'СТ Криптовалюта'!B:C,2,0))</f>
        <v/>
      </c>
      <c r="E694" s="68"/>
      <c r="F694" s="70"/>
      <c r="G694" s="71"/>
      <c r="H694" s="71"/>
      <c r="I694" s="71" t="str">
        <f t="shared" si="53"/>
        <v/>
      </c>
      <c r="J694" s="71"/>
      <c r="K694" s="71"/>
      <c r="L694" s="71"/>
      <c r="M694" s="71"/>
      <c r="N694" s="71" t="str">
        <f ca="1">IF(I694="","",ROUND(VLOOKUP('Журнал Закупок'!D694,'СТ Криптовалюта'!$C$3:$E$1788,2,0)*'Журнал Закупок'!G694,5))</f>
        <v/>
      </c>
      <c r="O694" s="71"/>
      <c r="P694" s="71" t="str">
        <f t="shared" si="51"/>
        <v/>
      </c>
      <c r="Q694" s="75" t="str">
        <f t="shared" si="52"/>
        <v/>
      </c>
      <c r="R694" s="76"/>
    </row>
    <row r="695" spans="1:18" ht="14.25" customHeight="1">
      <c r="A695" s="67"/>
      <c r="B695" s="68"/>
      <c r="C695" s="69"/>
      <c r="D695" s="69" t="str">
        <f ca="1">IF(B695="","",VLOOKUP('Журнал Закупок'!$B695,'СТ Криптовалюта'!B:C,2,0))</f>
        <v/>
      </c>
      <c r="E695" s="68"/>
      <c r="F695" s="70"/>
      <c r="G695" s="71"/>
      <c r="H695" s="71"/>
      <c r="I695" s="71" t="str">
        <f t="shared" si="53"/>
        <v/>
      </c>
      <c r="J695" s="71"/>
      <c r="K695" s="71"/>
      <c r="L695" s="71"/>
      <c r="M695" s="71"/>
      <c r="N695" s="71" t="str">
        <f ca="1">IF(I695="","",ROUND(VLOOKUP('Журнал Закупок'!D695,'СТ Криптовалюта'!$C$3:$E$1788,2,0)*'Журнал Закупок'!G695,5))</f>
        <v/>
      </c>
      <c r="O695" s="71"/>
      <c r="P695" s="71" t="str">
        <f t="shared" si="51"/>
        <v/>
      </c>
      <c r="Q695" s="75" t="str">
        <f t="shared" si="52"/>
        <v/>
      </c>
      <c r="R695" s="76"/>
    </row>
    <row r="696" spans="1:18" ht="14.25" customHeight="1">
      <c r="A696" s="67"/>
      <c r="B696" s="68"/>
      <c r="C696" s="69"/>
      <c r="D696" s="69" t="str">
        <f ca="1">IF(B696="","",VLOOKUP('Журнал Закупок'!$B696,'СТ Криптовалюта'!B:C,2,0))</f>
        <v/>
      </c>
      <c r="E696" s="68"/>
      <c r="F696" s="70"/>
      <c r="G696" s="71"/>
      <c r="H696" s="71"/>
      <c r="I696" s="71" t="str">
        <f t="shared" si="53"/>
        <v/>
      </c>
      <c r="J696" s="71"/>
      <c r="K696" s="71"/>
      <c r="L696" s="71"/>
      <c r="M696" s="71"/>
      <c r="N696" s="71" t="str">
        <f ca="1">IF(I696="","",ROUND(VLOOKUP('Журнал Закупок'!D696,'СТ Криптовалюта'!$C$3:$E$1788,2,0)*'Журнал Закупок'!G696,5))</f>
        <v/>
      </c>
      <c r="O696" s="71"/>
      <c r="P696" s="71" t="str">
        <f t="shared" si="51"/>
        <v/>
      </c>
      <c r="Q696" s="75" t="str">
        <f t="shared" si="52"/>
        <v/>
      </c>
      <c r="R696" s="76"/>
    </row>
    <row r="697" spans="1:18" ht="14.25" customHeight="1">
      <c r="A697" s="67"/>
      <c r="B697" s="68"/>
      <c r="C697" s="69"/>
      <c r="D697" s="69" t="str">
        <f ca="1">IF(B697="","",VLOOKUP('Журнал Закупок'!$B697,'СТ Криптовалюта'!B:C,2,0))</f>
        <v/>
      </c>
      <c r="E697" s="68"/>
      <c r="F697" s="70"/>
      <c r="G697" s="71"/>
      <c r="H697" s="71"/>
      <c r="I697" s="71" t="str">
        <f t="shared" si="53"/>
        <v/>
      </c>
      <c r="J697" s="71"/>
      <c r="K697" s="71"/>
      <c r="L697" s="71"/>
      <c r="M697" s="71"/>
      <c r="N697" s="71" t="str">
        <f ca="1">IF(I697="","",ROUND(VLOOKUP('Журнал Закупок'!D697,'СТ Криптовалюта'!$C$3:$E$1788,2,0)*'Журнал Закупок'!G697,5))</f>
        <v/>
      </c>
      <c r="O697" s="71"/>
      <c r="P697" s="71" t="str">
        <f t="shared" si="51"/>
        <v/>
      </c>
      <c r="Q697" s="75" t="str">
        <f t="shared" si="52"/>
        <v/>
      </c>
      <c r="R697" s="76"/>
    </row>
    <row r="698" spans="1:18" ht="14.25" customHeight="1">
      <c r="A698" s="67"/>
      <c r="B698" s="68"/>
      <c r="C698" s="69"/>
      <c r="D698" s="69" t="str">
        <f ca="1">IF(B698="","",VLOOKUP('Журнал Закупок'!$B698,'СТ Криптовалюта'!B:C,2,0))</f>
        <v/>
      </c>
      <c r="E698" s="68"/>
      <c r="F698" s="70"/>
      <c r="G698" s="71"/>
      <c r="H698" s="71"/>
      <c r="I698" s="71" t="str">
        <f t="shared" si="53"/>
        <v/>
      </c>
      <c r="J698" s="71"/>
      <c r="K698" s="71"/>
      <c r="L698" s="71"/>
      <c r="M698" s="71"/>
      <c r="N698" s="71" t="str">
        <f ca="1">IF(I698="","",ROUND(VLOOKUP('Журнал Закупок'!D698,'СТ Криптовалюта'!$C$3:$E$1788,2,0)*'Журнал Закупок'!G698,5))</f>
        <v/>
      </c>
      <c r="O698" s="71"/>
      <c r="P698" s="71" t="str">
        <f t="shared" si="51"/>
        <v/>
      </c>
      <c r="Q698" s="75" t="str">
        <f t="shared" si="52"/>
        <v/>
      </c>
      <c r="R698" s="76"/>
    </row>
    <row r="699" spans="1:18" ht="14.25" customHeight="1">
      <c r="A699" s="67"/>
      <c r="B699" s="68"/>
      <c r="C699" s="69"/>
      <c r="D699" s="69" t="str">
        <f ca="1">IF(B699="","",VLOOKUP('Журнал Закупок'!$B699,'СТ Криптовалюта'!B:C,2,0))</f>
        <v/>
      </c>
      <c r="E699" s="68"/>
      <c r="F699" s="70"/>
      <c r="G699" s="71"/>
      <c r="H699" s="71"/>
      <c r="I699" s="71" t="str">
        <f t="shared" si="53"/>
        <v/>
      </c>
      <c r="J699" s="71"/>
      <c r="K699" s="71"/>
      <c r="L699" s="71"/>
      <c r="M699" s="71"/>
      <c r="N699" s="71" t="str">
        <f ca="1">IF(I699="","",ROUND(VLOOKUP('Журнал Закупок'!D699,'СТ Криптовалюта'!$C$3:$E$1788,2,0)*'Журнал Закупок'!G699,5))</f>
        <v/>
      </c>
      <c r="O699" s="71"/>
      <c r="P699" s="71" t="str">
        <f t="shared" si="51"/>
        <v/>
      </c>
      <c r="Q699" s="75" t="str">
        <f t="shared" si="52"/>
        <v/>
      </c>
      <c r="R699" s="76"/>
    </row>
    <row r="700" spans="1:18" ht="14.25" customHeight="1">
      <c r="A700" s="67"/>
      <c r="B700" s="68"/>
      <c r="C700" s="69"/>
      <c r="D700" s="69" t="str">
        <f ca="1">IF(B700="","",VLOOKUP('Журнал Закупок'!$B700,'СТ Криптовалюта'!B:C,2,0))</f>
        <v/>
      </c>
      <c r="E700" s="68"/>
      <c r="F700" s="70"/>
      <c r="G700" s="71"/>
      <c r="H700" s="71"/>
      <c r="I700" s="71" t="str">
        <f t="shared" si="53"/>
        <v/>
      </c>
      <c r="J700" s="71"/>
      <c r="K700" s="71"/>
      <c r="L700" s="71"/>
      <c r="M700" s="71"/>
      <c r="N700" s="71" t="str">
        <f ca="1">IF(I700="","",ROUND(VLOOKUP('Журнал Закупок'!D700,'СТ Криптовалюта'!$C$3:$E$1788,2,0)*'Журнал Закупок'!G700,5))</f>
        <v/>
      </c>
      <c r="O700" s="71"/>
      <c r="P700" s="71" t="str">
        <f t="shared" si="51"/>
        <v/>
      </c>
      <c r="Q700" s="75" t="str">
        <f t="shared" si="52"/>
        <v/>
      </c>
      <c r="R700" s="76"/>
    </row>
    <row r="701" spans="1:18" ht="14.25" customHeight="1">
      <c r="A701" s="67"/>
      <c r="B701" s="68"/>
      <c r="C701" s="69"/>
      <c r="D701" s="69" t="str">
        <f ca="1">IF(B701="","",VLOOKUP('Журнал Закупок'!$B701,'СТ Криптовалюта'!B:C,2,0))</f>
        <v/>
      </c>
      <c r="E701" s="68"/>
      <c r="F701" s="70"/>
      <c r="G701" s="71"/>
      <c r="H701" s="71"/>
      <c r="I701" s="71" t="str">
        <f t="shared" si="53"/>
        <v/>
      </c>
      <c r="J701" s="71"/>
      <c r="K701" s="71"/>
      <c r="L701" s="71"/>
      <c r="M701" s="71"/>
      <c r="N701" s="71" t="str">
        <f ca="1">IF(I701="","",ROUND(VLOOKUP('Журнал Закупок'!D701,'СТ Криптовалюта'!$C$3:$E$1788,2,0)*'Журнал Закупок'!G701,5))</f>
        <v/>
      </c>
      <c r="O701" s="71"/>
      <c r="P701" s="71" t="str">
        <f t="shared" si="51"/>
        <v/>
      </c>
      <c r="Q701" s="75" t="str">
        <f t="shared" si="52"/>
        <v/>
      </c>
      <c r="R701" s="76"/>
    </row>
    <row r="702" spans="1:18" ht="14.25" customHeight="1">
      <c r="A702" s="67"/>
      <c r="B702" s="68"/>
      <c r="C702" s="69"/>
      <c r="D702" s="69" t="str">
        <f ca="1">IF(B702="","",VLOOKUP('Журнал Закупок'!$B702,'СТ Криптовалюта'!B:C,2,0))</f>
        <v/>
      </c>
      <c r="E702" s="68"/>
      <c r="F702" s="70"/>
      <c r="G702" s="71"/>
      <c r="H702" s="71"/>
      <c r="I702" s="71" t="str">
        <f t="shared" si="53"/>
        <v/>
      </c>
      <c r="J702" s="71"/>
      <c r="K702" s="71"/>
      <c r="L702" s="71"/>
      <c r="M702" s="71"/>
      <c r="N702" s="71" t="str">
        <f ca="1">IF(I702="","",ROUND(VLOOKUP('Журнал Закупок'!D702,'СТ Криптовалюта'!$C$3:$E$1788,2,0)*'Журнал Закупок'!G702,5))</f>
        <v/>
      </c>
      <c r="O702" s="71"/>
      <c r="P702" s="71" t="str">
        <f t="shared" si="51"/>
        <v/>
      </c>
      <c r="Q702" s="75" t="str">
        <f t="shared" si="52"/>
        <v/>
      </c>
      <c r="R702" s="76"/>
    </row>
    <row r="703" spans="1:18" ht="14.25" customHeight="1">
      <c r="A703" s="67"/>
      <c r="B703" s="68"/>
      <c r="C703" s="69"/>
      <c r="D703" s="69" t="str">
        <f ca="1">IF(B703="","",VLOOKUP('Журнал Закупок'!$B703,'СТ Криптовалюта'!B:C,2,0))</f>
        <v/>
      </c>
      <c r="E703" s="68"/>
      <c r="F703" s="70"/>
      <c r="G703" s="71"/>
      <c r="H703" s="71"/>
      <c r="I703" s="71" t="str">
        <f t="shared" si="53"/>
        <v/>
      </c>
      <c r="J703" s="71"/>
      <c r="K703" s="71"/>
      <c r="L703" s="71"/>
      <c r="M703" s="71"/>
      <c r="N703" s="71" t="str">
        <f ca="1">IF(I703="","",ROUND(VLOOKUP('Журнал Закупок'!D703,'СТ Криптовалюта'!$C$3:$E$1788,2,0)*'Журнал Закупок'!G703,5))</f>
        <v/>
      </c>
      <c r="O703" s="71"/>
      <c r="P703" s="71" t="str">
        <f t="shared" si="51"/>
        <v/>
      </c>
      <c r="Q703" s="75" t="str">
        <f t="shared" si="52"/>
        <v/>
      </c>
      <c r="R703" s="76"/>
    </row>
    <row r="704" spans="1:18" ht="14.25" customHeight="1">
      <c r="A704" s="67"/>
      <c r="B704" s="68"/>
      <c r="C704" s="69"/>
      <c r="D704" s="69" t="str">
        <f ca="1">IF(B704="","",VLOOKUP('Журнал Закупок'!$B704,'СТ Криптовалюта'!B:C,2,0))</f>
        <v/>
      </c>
      <c r="E704" s="68"/>
      <c r="F704" s="70"/>
      <c r="G704" s="71"/>
      <c r="H704" s="71"/>
      <c r="I704" s="71" t="str">
        <f t="shared" si="53"/>
        <v/>
      </c>
      <c r="J704" s="71"/>
      <c r="K704" s="71"/>
      <c r="L704" s="71"/>
      <c r="M704" s="71"/>
      <c r="N704" s="71" t="str">
        <f ca="1">IF(I704="","",ROUND(VLOOKUP('Журнал Закупок'!D704,'СТ Криптовалюта'!$C$3:$E$1788,2,0)*'Журнал Закупок'!G704,5))</f>
        <v/>
      </c>
      <c r="O704" s="71"/>
      <c r="P704" s="71" t="str">
        <f t="shared" si="51"/>
        <v/>
      </c>
      <c r="Q704" s="75" t="str">
        <f t="shared" si="52"/>
        <v/>
      </c>
      <c r="R704" s="76"/>
    </row>
    <row r="705" spans="1:18" ht="14.25" customHeight="1">
      <c r="A705" s="67"/>
      <c r="B705" s="68"/>
      <c r="C705" s="69"/>
      <c r="D705" s="69" t="str">
        <f ca="1">IF(B705="","",VLOOKUP('Журнал Закупок'!$B705,'СТ Криптовалюта'!B:C,2,0))</f>
        <v/>
      </c>
      <c r="E705" s="68"/>
      <c r="F705" s="70" t="str">
        <f>IF(D705="","",IF(B705=#REF!,"Основная",IF(B705=#REF!,"Основная",IF(B705=#REF!,"Основная","Экспериментальная"))))</f>
        <v/>
      </c>
      <c r="G705" s="71"/>
      <c r="H705" s="71"/>
      <c r="I705" s="71" t="str">
        <f t="shared" si="53"/>
        <v/>
      </c>
      <c r="J705" s="71"/>
      <c r="K705" s="71"/>
      <c r="L705" s="71"/>
      <c r="M705" s="71"/>
      <c r="N705" s="71" t="str">
        <f ca="1">IF(I705="","",ROUND(VLOOKUP('Журнал Закупок'!D705,'СТ Криптовалюта'!$C$3:$E$1788,2,0)*'Журнал Закупок'!G705,5))</f>
        <v/>
      </c>
      <c r="O705" s="71"/>
      <c r="P705" s="71" t="str">
        <f t="shared" si="51"/>
        <v/>
      </c>
      <c r="Q705" s="75" t="str">
        <f t="shared" si="52"/>
        <v/>
      </c>
      <c r="R705" s="76"/>
    </row>
    <row r="706" spans="1:18" ht="14.25" customHeight="1">
      <c r="A706" s="67"/>
      <c r="B706" s="68"/>
      <c r="C706" s="69"/>
      <c r="D706" s="69" t="str">
        <f ca="1">IF(B706="","",VLOOKUP('Журнал Закупок'!$B706,'СТ Криптовалюта'!B:C,2,0))</f>
        <v/>
      </c>
      <c r="E706" s="68"/>
      <c r="F706" s="70" t="str">
        <f>IF(D706="","",IF(B706=#REF!,"Основная",IF(B706=#REF!,"Основная",IF(B706=#REF!,"Основная","Экспериментальная"))))</f>
        <v/>
      </c>
      <c r="G706" s="71"/>
      <c r="H706" s="71"/>
      <c r="I706" s="71" t="str">
        <f t="shared" si="53"/>
        <v/>
      </c>
      <c r="J706" s="71"/>
      <c r="K706" s="71"/>
      <c r="L706" s="71"/>
      <c r="M706" s="71"/>
      <c r="N706" s="71" t="str">
        <f ca="1">IF(I706="","",ROUND(VLOOKUP('Журнал Закупок'!D706,'СТ Криптовалюта'!$C$3:$E$1788,2,0)*'Журнал Закупок'!G706,5))</f>
        <v/>
      </c>
      <c r="O706" s="71"/>
      <c r="P706" s="71" t="str">
        <f t="shared" si="51"/>
        <v/>
      </c>
      <c r="Q706" s="75" t="str">
        <f t="shared" si="52"/>
        <v/>
      </c>
      <c r="R706" s="76"/>
    </row>
    <row r="707" spans="1:18" ht="14.25" customHeight="1">
      <c r="A707" s="67"/>
      <c r="B707" s="68"/>
      <c r="C707" s="69"/>
      <c r="D707" s="69" t="str">
        <f ca="1">IF(B707="","",VLOOKUP('Журнал Закупок'!$B707,'СТ Криптовалюта'!B:C,2,0))</f>
        <v/>
      </c>
      <c r="E707" s="68"/>
      <c r="F707" s="70" t="str">
        <f>IF(D707="","",IF(B707=#REF!,"Основная",IF(B707=#REF!,"Основная",IF(B707=#REF!,"Основная","Экспериментальная"))))</f>
        <v/>
      </c>
      <c r="G707" s="71"/>
      <c r="H707" s="71"/>
      <c r="I707" s="71" t="str">
        <f t="shared" si="53"/>
        <v/>
      </c>
      <c r="J707" s="71"/>
      <c r="K707" s="71"/>
      <c r="L707" s="71"/>
      <c r="M707" s="71"/>
      <c r="N707" s="71" t="str">
        <f ca="1">IF(I707="","",ROUND(VLOOKUP('Журнал Закупок'!D707,'СТ Криптовалюта'!$C$3:$E$1788,2,0)*'Журнал Закупок'!G707,5))</f>
        <v/>
      </c>
      <c r="O707" s="71"/>
      <c r="P707" s="71" t="str">
        <f t="shared" si="51"/>
        <v/>
      </c>
      <c r="Q707" s="75" t="str">
        <f t="shared" si="52"/>
        <v/>
      </c>
      <c r="R707" s="76"/>
    </row>
    <row r="708" spans="1:18" ht="14.25" customHeight="1">
      <c r="A708" s="67"/>
      <c r="B708" s="68"/>
      <c r="C708" s="69"/>
      <c r="D708" s="69" t="str">
        <f ca="1">IF(B708="","",VLOOKUP('Журнал Закупок'!$B708,'СТ Криптовалюта'!B:C,2,0))</f>
        <v/>
      </c>
      <c r="E708" s="68"/>
      <c r="F708" s="70" t="str">
        <f>IF(D708="","",IF(B708=#REF!,"Основная",IF(B708=#REF!,"Основная",IF(B708=#REF!,"Основная","Экспериментальная"))))</f>
        <v/>
      </c>
      <c r="G708" s="71"/>
      <c r="H708" s="71"/>
      <c r="I708" s="71" t="str">
        <f t="shared" si="53"/>
        <v/>
      </c>
      <c r="J708" s="71"/>
      <c r="K708" s="71"/>
      <c r="L708" s="71"/>
      <c r="M708" s="71"/>
      <c r="N708" s="71" t="str">
        <f ca="1">IF(I708="","",ROUND(VLOOKUP('Журнал Закупок'!D708,'СТ Криптовалюта'!$C$3:$E$1788,2,0)*'Журнал Закупок'!G708,5))</f>
        <v/>
      </c>
      <c r="O708" s="71"/>
      <c r="P708" s="71" t="str">
        <f t="shared" si="51"/>
        <v/>
      </c>
      <c r="Q708" s="75" t="str">
        <f t="shared" si="52"/>
        <v/>
      </c>
      <c r="R708" s="76"/>
    </row>
    <row r="709" spans="1:18" ht="14.25" customHeight="1">
      <c r="A709" s="67"/>
      <c r="B709" s="68"/>
      <c r="C709" s="69"/>
      <c r="D709" s="69" t="str">
        <f ca="1">IF(B709="","",VLOOKUP('Журнал Закупок'!$B709,'СТ Криптовалюта'!B:C,2,0))</f>
        <v/>
      </c>
      <c r="E709" s="68"/>
      <c r="F709" s="70" t="str">
        <f>IF(D709="","",IF(B709=#REF!,"Основная",IF(B709=#REF!,"Основная",IF(B709=#REF!,"Основная","Экспериментальная"))))</f>
        <v/>
      </c>
      <c r="G709" s="71"/>
      <c r="H709" s="71"/>
      <c r="I709" s="71" t="str">
        <f t="shared" si="53"/>
        <v/>
      </c>
      <c r="J709" s="71"/>
      <c r="K709" s="71"/>
      <c r="L709" s="71"/>
      <c r="M709" s="71"/>
      <c r="N709" s="71" t="str">
        <f ca="1">IF(I709="","",ROUND(VLOOKUP('Журнал Закупок'!D709,'СТ Криптовалюта'!$C$3:$E$1788,2,0)*'Журнал Закупок'!G709,5))</f>
        <v/>
      </c>
      <c r="O709" s="71"/>
      <c r="P709" s="71" t="str">
        <f t="shared" si="51"/>
        <v/>
      </c>
      <c r="Q709" s="75" t="str">
        <f t="shared" si="52"/>
        <v/>
      </c>
      <c r="R709" s="76"/>
    </row>
    <row r="710" spans="1:18" ht="14.25" customHeight="1">
      <c r="A710" s="67"/>
      <c r="B710" s="68"/>
      <c r="C710" s="69"/>
      <c r="D710" s="69" t="str">
        <f ca="1">IF(B710="","",VLOOKUP('Журнал Закупок'!$B710,'СТ Криптовалюта'!B:C,2,0))</f>
        <v/>
      </c>
      <c r="E710" s="68"/>
      <c r="F710" s="70" t="str">
        <f>IF(D710="","",IF(B710=#REF!,"Основная",IF(B710=#REF!,"Основная",IF(B710=#REF!,"Основная","Экспериментальная"))))</f>
        <v/>
      </c>
      <c r="G710" s="71"/>
      <c r="H710" s="71"/>
      <c r="I710" s="71" t="str">
        <f t="shared" si="53"/>
        <v/>
      </c>
      <c r="J710" s="71"/>
      <c r="K710" s="71"/>
      <c r="L710" s="71"/>
      <c r="M710" s="71"/>
      <c r="N710" s="71" t="str">
        <f ca="1">IF(I710="","",ROUND(VLOOKUP('Журнал Закупок'!D710,'СТ Криптовалюта'!$C$3:$E$1788,2,0)*'Журнал Закупок'!G710,5))</f>
        <v/>
      </c>
      <c r="O710" s="71"/>
      <c r="P710" s="71" t="str">
        <f t="shared" si="51"/>
        <v/>
      </c>
      <c r="Q710" s="75" t="str">
        <f t="shared" si="52"/>
        <v/>
      </c>
      <c r="R710" s="76"/>
    </row>
    <row r="711" spans="1:18" ht="14.25" customHeight="1">
      <c r="A711" s="67"/>
      <c r="B711" s="68"/>
      <c r="C711" s="69"/>
      <c r="D711" s="69" t="str">
        <f ca="1">IF(B711="","",VLOOKUP('Журнал Закупок'!$B711,'СТ Криптовалюта'!B:C,2,0))</f>
        <v/>
      </c>
      <c r="E711" s="68"/>
      <c r="F711" s="70" t="str">
        <f>IF(D711="","",IF(B711=#REF!,"Основная",IF(B711=#REF!,"Основная",IF(B711=#REF!,"Основная","Экспериментальная"))))</f>
        <v/>
      </c>
      <c r="G711" s="71"/>
      <c r="H711" s="71"/>
      <c r="I711" s="71" t="str">
        <f t="shared" si="53"/>
        <v/>
      </c>
      <c r="J711" s="71"/>
      <c r="K711" s="71"/>
      <c r="L711" s="71"/>
      <c r="M711" s="71"/>
      <c r="N711" s="71" t="str">
        <f ca="1">IF(I711="","",ROUND(VLOOKUP('Журнал Закупок'!D711,'СТ Криптовалюта'!$C$3:$E$1788,2,0)*'Журнал Закупок'!G711,5))</f>
        <v/>
      </c>
      <c r="O711" s="71"/>
      <c r="P711" s="71" t="str">
        <f t="shared" si="51"/>
        <v/>
      </c>
      <c r="Q711" s="75" t="str">
        <f t="shared" si="52"/>
        <v/>
      </c>
      <c r="R711" s="76"/>
    </row>
    <row r="712" spans="1:18" ht="14.25" customHeight="1">
      <c r="A712" s="67"/>
      <c r="B712" s="68"/>
      <c r="C712" s="69"/>
      <c r="D712" s="69" t="str">
        <f ca="1">IF(B712="","",VLOOKUP('Журнал Закупок'!$B712,'СТ Криптовалюта'!B:C,2,0))</f>
        <v/>
      </c>
      <c r="E712" s="68"/>
      <c r="F712" s="70" t="str">
        <f>IF(D712="","",IF(B712=#REF!,"Основная",IF(B712=#REF!,"Основная",IF(B712=#REF!,"Основная","Экспериментальная"))))</f>
        <v/>
      </c>
      <c r="G712" s="71"/>
      <c r="H712" s="71"/>
      <c r="I712" s="71" t="str">
        <f t="shared" si="53"/>
        <v/>
      </c>
      <c r="J712" s="71"/>
      <c r="K712" s="71"/>
      <c r="L712" s="71"/>
      <c r="M712" s="71"/>
      <c r="N712" s="71" t="str">
        <f ca="1">IF(I712="","",ROUND(VLOOKUP('Журнал Закупок'!D712,'СТ Криптовалюта'!$C$3:$E$1788,2,0)*'Журнал Закупок'!G712,5))</f>
        <v/>
      </c>
      <c r="O712" s="71"/>
      <c r="P712" s="71" t="str">
        <f t="shared" si="51"/>
        <v/>
      </c>
      <c r="Q712" s="75" t="str">
        <f t="shared" si="52"/>
        <v/>
      </c>
      <c r="R712" s="76"/>
    </row>
    <row r="713" spans="1:18" ht="14.25" customHeight="1">
      <c r="A713" s="67"/>
      <c r="B713" s="68"/>
      <c r="C713" s="69"/>
      <c r="D713" s="69" t="str">
        <f ca="1">IF(B713="","",VLOOKUP('Журнал Закупок'!$B713,'СТ Криптовалюта'!B:C,2,0))</f>
        <v/>
      </c>
      <c r="E713" s="68"/>
      <c r="F713" s="70" t="str">
        <f>IF(D713="","",IF(B713=#REF!,"Основная",IF(B713=#REF!,"Основная",IF(B713=#REF!,"Основная","Экспериментальная"))))</f>
        <v/>
      </c>
      <c r="G713" s="71"/>
      <c r="H713" s="71"/>
      <c r="I713" s="71" t="str">
        <f t="shared" si="53"/>
        <v/>
      </c>
      <c r="J713" s="71"/>
      <c r="K713" s="71"/>
      <c r="L713" s="71"/>
      <c r="M713" s="71"/>
      <c r="N713" s="71" t="str">
        <f ca="1">IF(I713="","",ROUND(VLOOKUP('Журнал Закупок'!D713,'СТ Криптовалюта'!$C$3:$E$1788,2,0)*'Журнал Закупок'!G713,5))</f>
        <v/>
      </c>
      <c r="O713" s="71"/>
      <c r="P713" s="71" t="str">
        <f t="shared" si="51"/>
        <v/>
      </c>
      <c r="Q713" s="75" t="str">
        <f t="shared" si="52"/>
        <v/>
      </c>
      <c r="R713" s="76"/>
    </row>
    <row r="714" spans="1:18" ht="14.25" customHeight="1">
      <c r="A714" s="67"/>
      <c r="B714" s="68"/>
      <c r="C714" s="69"/>
      <c r="D714" s="69" t="str">
        <f ca="1">IF(B714="","",VLOOKUP('Журнал Закупок'!$B714,'СТ Криптовалюта'!B:C,2,0))</f>
        <v/>
      </c>
      <c r="E714" s="68"/>
      <c r="F714" s="70" t="str">
        <f>IF(D714="","",IF(B714=#REF!,"Основная",IF(B714=#REF!,"Основная",IF(B714=#REF!,"Основная","Экспериментальная"))))</f>
        <v/>
      </c>
      <c r="G714" s="71"/>
      <c r="H714" s="71"/>
      <c r="I714" s="71" t="str">
        <f t="shared" si="53"/>
        <v/>
      </c>
      <c r="J714" s="71"/>
      <c r="K714" s="71"/>
      <c r="L714" s="71"/>
      <c r="M714" s="71"/>
      <c r="N714" s="71" t="str">
        <f ca="1">IF(I714="","",ROUND(VLOOKUP('Журнал Закупок'!D714,'СТ Криптовалюта'!$C$3:$E$1788,2,0)*'Журнал Закупок'!G714,5))</f>
        <v/>
      </c>
      <c r="O714" s="71"/>
      <c r="P714" s="71" t="str">
        <f t="shared" si="51"/>
        <v/>
      </c>
      <c r="Q714" s="75" t="str">
        <f t="shared" si="52"/>
        <v/>
      </c>
      <c r="R714" s="76"/>
    </row>
    <row r="715" spans="1:18" ht="14.25" customHeight="1">
      <c r="A715" s="67"/>
      <c r="B715" s="68"/>
      <c r="C715" s="69"/>
      <c r="D715" s="69" t="str">
        <f ca="1">IF(B715="","",VLOOKUP('Журнал Закупок'!$B715,'СТ Криптовалюта'!B:C,2,0))</f>
        <v/>
      </c>
      <c r="E715" s="68"/>
      <c r="F715" s="70" t="str">
        <f>IF(D715="","",IF(B715=#REF!,"Основная",IF(B715=#REF!,"Основная",IF(B715=#REF!,"Основная","Экспериментальная"))))</f>
        <v/>
      </c>
      <c r="G715" s="71"/>
      <c r="H715" s="71"/>
      <c r="I715" s="71" t="str">
        <f t="shared" si="53"/>
        <v/>
      </c>
      <c r="J715" s="71"/>
      <c r="K715" s="71"/>
      <c r="L715" s="71"/>
      <c r="M715" s="71"/>
      <c r="N715" s="71" t="str">
        <f ca="1">IF(I715="","",ROUND(VLOOKUP('Журнал Закупок'!D715,'СТ Криптовалюта'!$C$3:$E$1788,2,0)*'Журнал Закупок'!G715,5))</f>
        <v/>
      </c>
      <c r="O715" s="71"/>
      <c r="P715" s="71" t="str">
        <f t="shared" si="51"/>
        <v/>
      </c>
      <c r="Q715" s="75" t="str">
        <f t="shared" si="52"/>
        <v/>
      </c>
      <c r="R715" s="76"/>
    </row>
    <row r="716" spans="1:18" ht="14.25" customHeight="1">
      <c r="A716" s="67"/>
      <c r="B716" s="68"/>
      <c r="C716" s="69"/>
      <c r="D716" s="69" t="str">
        <f ca="1">IF(B716="","",VLOOKUP('Журнал Закупок'!$B716,'СТ Криптовалюта'!B:C,2,0))</f>
        <v/>
      </c>
      <c r="E716" s="68"/>
      <c r="F716" s="70" t="str">
        <f>IF(D716="","",IF(B716=#REF!,"Основная",IF(B716=#REF!,"Основная",IF(B716=#REF!,"Основная","Экспериментальная"))))</f>
        <v/>
      </c>
      <c r="G716" s="71"/>
      <c r="H716" s="71"/>
      <c r="I716" s="71" t="str">
        <f t="shared" si="53"/>
        <v/>
      </c>
      <c r="J716" s="71"/>
      <c r="K716" s="71"/>
      <c r="L716" s="71"/>
      <c r="M716" s="71"/>
      <c r="N716" s="71" t="str">
        <f ca="1">IF(I716="","",ROUND(VLOOKUP('Журнал Закупок'!D716,'СТ Криптовалюта'!$C$3:$E$1788,2,0)*'Журнал Закупок'!G716,5))</f>
        <v/>
      </c>
      <c r="O716" s="71"/>
      <c r="P716" s="71" t="str">
        <f t="shared" si="51"/>
        <v/>
      </c>
      <c r="Q716" s="75" t="str">
        <f t="shared" si="52"/>
        <v/>
      </c>
      <c r="R716" s="76"/>
    </row>
    <row r="717" spans="1:18" ht="14.25" customHeight="1">
      <c r="A717" s="67"/>
      <c r="B717" s="68"/>
      <c r="C717" s="69"/>
      <c r="D717" s="69" t="str">
        <f ca="1">IF(B717="","",VLOOKUP('Журнал Закупок'!$B717,'СТ Криптовалюта'!B:C,2,0))</f>
        <v/>
      </c>
      <c r="E717" s="68"/>
      <c r="F717" s="70" t="str">
        <f>IF(D717="","",IF(B717=#REF!,"Основная",IF(B717=#REF!,"Основная",IF(B717=#REF!,"Основная","Экспериментальная"))))</f>
        <v/>
      </c>
      <c r="G717" s="71"/>
      <c r="H717" s="71"/>
      <c r="I717" s="71" t="str">
        <f t="shared" si="53"/>
        <v/>
      </c>
      <c r="J717" s="71"/>
      <c r="K717" s="71"/>
      <c r="L717" s="71"/>
      <c r="M717" s="71"/>
      <c r="N717" s="71" t="str">
        <f ca="1">IF(I717="","",ROUND(VLOOKUP('Журнал Закупок'!D717,'СТ Криптовалюта'!$C$3:$E$1788,2,0)*'Журнал Закупок'!G717,5))</f>
        <v/>
      </c>
      <c r="O717" s="71"/>
      <c r="P717" s="71" t="str">
        <f t="shared" si="51"/>
        <v/>
      </c>
      <c r="Q717" s="75" t="str">
        <f t="shared" si="52"/>
        <v/>
      </c>
      <c r="R717" s="76"/>
    </row>
    <row r="718" spans="1:18" ht="14.25" customHeight="1">
      <c r="A718" s="67"/>
      <c r="B718" s="68"/>
      <c r="C718" s="69"/>
      <c r="D718" s="69" t="str">
        <f ca="1">IF(B718="","",VLOOKUP('Журнал Закупок'!$B718,'СТ Криптовалюта'!B:C,2,0))</f>
        <v/>
      </c>
      <c r="E718" s="68"/>
      <c r="F718" s="70" t="str">
        <f>IF(D718="","",IF(B718=#REF!,"Основная",IF(B718=#REF!,"Основная",IF(B718=#REF!,"Основная","Экспериментальная"))))</f>
        <v/>
      </c>
      <c r="G718" s="71"/>
      <c r="H718" s="71"/>
      <c r="I718" s="71" t="str">
        <f t="shared" si="53"/>
        <v/>
      </c>
      <c r="J718" s="71"/>
      <c r="K718" s="71"/>
      <c r="L718" s="71"/>
      <c r="M718" s="71"/>
      <c r="N718" s="71" t="str">
        <f ca="1">IF(I718="","",ROUND(VLOOKUP('Журнал Закупок'!D718,'СТ Криптовалюта'!$C$3:$E$1788,2,0)*'Журнал Закупок'!G718,5))</f>
        <v/>
      </c>
      <c r="O718" s="71"/>
      <c r="P718" s="71" t="str">
        <f t="shared" si="51"/>
        <v/>
      </c>
      <c r="Q718" s="75" t="str">
        <f t="shared" si="52"/>
        <v/>
      </c>
      <c r="R718" s="76"/>
    </row>
    <row r="719" spans="1:18" ht="14.25" customHeight="1">
      <c r="A719" s="67"/>
      <c r="B719" s="68"/>
      <c r="C719" s="69"/>
      <c r="D719" s="69" t="str">
        <f ca="1">IF(B719="","",VLOOKUP('Журнал Закупок'!$B719,'СТ Криптовалюта'!B:C,2,0))</f>
        <v/>
      </c>
      <c r="E719" s="68"/>
      <c r="F719" s="70" t="str">
        <f>IF(D719="","",IF(B719=#REF!,"Основная",IF(B719=#REF!,"Основная",IF(B719=#REF!,"Основная","Экспериментальная"))))</f>
        <v/>
      </c>
      <c r="G719" s="71"/>
      <c r="H719" s="71"/>
      <c r="I719" s="71" t="str">
        <f t="shared" si="53"/>
        <v/>
      </c>
      <c r="J719" s="71"/>
      <c r="K719" s="71"/>
      <c r="L719" s="71"/>
      <c r="M719" s="71"/>
      <c r="N719" s="71" t="str">
        <f ca="1">IF(I719="","",ROUND(VLOOKUP('Журнал Закупок'!D719,'СТ Криптовалюта'!$C$3:$E$1788,2,0)*'Журнал Закупок'!G719,5))</f>
        <v/>
      </c>
      <c r="O719" s="71"/>
      <c r="P719" s="71" t="str">
        <f t="shared" si="51"/>
        <v/>
      </c>
      <c r="Q719" s="75" t="str">
        <f t="shared" si="52"/>
        <v/>
      </c>
      <c r="R719" s="76"/>
    </row>
    <row r="720" spans="1:18" ht="14.25" customHeight="1">
      <c r="A720" s="67"/>
      <c r="B720" s="68"/>
      <c r="C720" s="69"/>
      <c r="D720" s="69" t="str">
        <f ca="1">IF(B720="","",VLOOKUP('Журнал Закупок'!$B720,'СТ Криптовалюта'!B:C,2,0))</f>
        <v/>
      </c>
      <c r="E720" s="68"/>
      <c r="F720" s="70" t="str">
        <f>IF(D720="","",IF(B720=#REF!,"Основная",IF(B720=#REF!,"Основная",IF(B720=#REF!,"Основная","Экспериментальная"))))</f>
        <v/>
      </c>
      <c r="G720" s="71"/>
      <c r="H720" s="71"/>
      <c r="I720" s="71" t="str">
        <f t="shared" si="53"/>
        <v/>
      </c>
      <c r="J720" s="71"/>
      <c r="K720" s="71"/>
      <c r="L720" s="71"/>
      <c r="M720" s="71"/>
      <c r="N720" s="71" t="str">
        <f ca="1">IF(I720="","",ROUND(VLOOKUP('Журнал Закупок'!D720,'СТ Криптовалюта'!$C$3:$E$1788,2,0)*'Журнал Закупок'!G720,5))</f>
        <v/>
      </c>
      <c r="O720" s="71"/>
      <c r="P720" s="71" t="str">
        <f t="shared" si="51"/>
        <v/>
      </c>
      <c r="Q720" s="75" t="str">
        <f t="shared" si="52"/>
        <v/>
      </c>
      <c r="R720" s="76"/>
    </row>
    <row r="721" spans="1:18" ht="14.25" customHeight="1">
      <c r="A721" s="67"/>
      <c r="B721" s="68"/>
      <c r="C721" s="69"/>
      <c r="D721" s="69" t="str">
        <f ca="1">IF(B721="","",VLOOKUP('Журнал Закупок'!$B721,'СТ Криптовалюта'!B:C,2,0))</f>
        <v/>
      </c>
      <c r="E721" s="68"/>
      <c r="F721" s="70" t="str">
        <f>IF(D721="","",IF(B721=#REF!,"Основная",IF(B721=#REF!,"Основная",IF(B721=#REF!,"Основная","Экспериментальная"))))</f>
        <v/>
      </c>
      <c r="G721" s="71"/>
      <c r="H721" s="71"/>
      <c r="I721" s="71" t="str">
        <f t="shared" si="53"/>
        <v/>
      </c>
      <c r="J721" s="71"/>
      <c r="K721" s="71"/>
      <c r="L721" s="71"/>
      <c r="M721" s="71"/>
      <c r="N721" s="71" t="str">
        <f ca="1">IF(I721="","",ROUND(VLOOKUP('Журнал Закупок'!D721,'СТ Криптовалюта'!$C$3:$E$1788,2,0)*'Журнал Закупок'!G721,5))</f>
        <v/>
      </c>
      <c r="O721" s="71"/>
      <c r="P721" s="71" t="str">
        <f t="shared" si="51"/>
        <v/>
      </c>
      <c r="Q721" s="75" t="str">
        <f t="shared" si="52"/>
        <v/>
      </c>
      <c r="R721" s="76"/>
    </row>
    <row r="722" spans="1:18" ht="14.25" customHeight="1">
      <c r="A722" s="67"/>
      <c r="B722" s="68"/>
      <c r="C722" s="69"/>
      <c r="D722" s="69" t="str">
        <f ca="1">IF(B722="","",VLOOKUP('Журнал Закупок'!$B722,'СТ Криптовалюта'!B:C,2,0))</f>
        <v/>
      </c>
      <c r="E722" s="68"/>
      <c r="F722" s="70" t="str">
        <f>IF(D722="","",IF(B722=#REF!,"Основная",IF(B722=#REF!,"Основная",IF(B722=#REF!,"Основная","Экспериментальная"))))</f>
        <v/>
      </c>
      <c r="G722" s="71"/>
      <c r="H722" s="71"/>
      <c r="I722" s="71" t="str">
        <f t="shared" si="53"/>
        <v/>
      </c>
      <c r="J722" s="71"/>
      <c r="K722" s="71"/>
      <c r="L722" s="71"/>
      <c r="M722" s="71"/>
      <c r="N722" s="71" t="str">
        <f ca="1">IF(I722="","",ROUND(VLOOKUP('Журнал Закупок'!D722,'СТ Криптовалюта'!$C$3:$E$1788,2,0)*'Журнал Закупок'!G722,5))</f>
        <v/>
      </c>
      <c r="O722" s="71"/>
      <c r="P722" s="71" t="str">
        <f t="shared" si="51"/>
        <v/>
      </c>
      <c r="Q722" s="75" t="str">
        <f t="shared" si="52"/>
        <v/>
      </c>
      <c r="R722" s="76"/>
    </row>
    <row r="723" spans="1:18" ht="14.25" customHeight="1">
      <c r="A723" s="67"/>
      <c r="B723" s="68"/>
      <c r="C723" s="69"/>
      <c r="D723" s="69" t="str">
        <f ca="1">IF(B723="","",VLOOKUP('Журнал Закупок'!$B723,'СТ Криптовалюта'!B:C,2,0))</f>
        <v/>
      </c>
      <c r="E723" s="68"/>
      <c r="F723" s="70" t="str">
        <f>IF(D723="","",IF(B723=#REF!,"Основная",IF(B723=#REF!,"Основная",IF(B723=#REF!,"Основная","Экспериментальная"))))</f>
        <v/>
      </c>
      <c r="G723" s="71"/>
      <c r="H723" s="71"/>
      <c r="I723" s="71" t="str">
        <f t="shared" si="53"/>
        <v/>
      </c>
      <c r="J723" s="71"/>
      <c r="K723" s="71"/>
      <c r="L723" s="71"/>
      <c r="M723" s="71"/>
      <c r="N723" s="71" t="str">
        <f ca="1">IF(I723="","",ROUND(VLOOKUP('Журнал Закупок'!D723,'СТ Криптовалюта'!$C$3:$E$1788,2,0)*'Журнал Закупок'!G723,5))</f>
        <v/>
      </c>
      <c r="O723" s="71"/>
      <c r="P723" s="71" t="str">
        <f t="shared" si="51"/>
        <v/>
      </c>
      <c r="Q723" s="75" t="str">
        <f t="shared" si="52"/>
        <v/>
      </c>
      <c r="R723" s="76"/>
    </row>
    <row r="724" spans="1:18" ht="14.25" customHeight="1">
      <c r="A724" s="67"/>
      <c r="B724" s="68"/>
      <c r="C724" s="69"/>
      <c r="D724" s="69" t="str">
        <f ca="1">IF(B724="","",VLOOKUP('Журнал Закупок'!$B724,'СТ Криптовалюта'!B:C,2,0))</f>
        <v/>
      </c>
      <c r="E724" s="68"/>
      <c r="F724" s="70" t="str">
        <f>IF(D724="","",IF(B724=#REF!,"Основная",IF(B724=#REF!,"Основная",IF(B724=#REF!,"Основная","Экспериментальная"))))</f>
        <v/>
      </c>
      <c r="G724" s="71"/>
      <c r="H724" s="71"/>
      <c r="I724" s="71" t="str">
        <f t="shared" si="53"/>
        <v/>
      </c>
      <c r="J724" s="71"/>
      <c r="K724" s="71"/>
      <c r="L724" s="71"/>
      <c r="M724" s="71"/>
      <c r="N724" s="71" t="str">
        <f ca="1">IF(I724="","",ROUND(VLOOKUP('Журнал Закупок'!D724,'СТ Криптовалюта'!$C$3:$E$1788,2,0)*'Журнал Закупок'!G724,5))</f>
        <v/>
      </c>
      <c r="O724" s="71"/>
      <c r="P724" s="71" t="str">
        <f t="shared" si="51"/>
        <v/>
      </c>
      <c r="Q724" s="75" t="str">
        <f t="shared" si="52"/>
        <v/>
      </c>
      <c r="R724" s="76"/>
    </row>
    <row r="725" spans="1:18" ht="14.25" customHeight="1">
      <c r="A725" s="67"/>
      <c r="B725" s="68"/>
      <c r="C725" s="69"/>
      <c r="D725" s="69" t="str">
        <f ca="1">IF(B725="","",VLOOKUP('Журнал Закупок'!$B725,'СТ Криптовалюта'!B:C,2,0))</f>
        <v/>
      </c>
      <c r="E725" s="68"/>
      <c r="F725" s="70" t="str">
        <f>IF(D725="","",IF(B725=#REF!,"Основная",IF(B725=#REF!,"Основная",IF(B725=#REF!,"Основная","Экспериментальная"))))</f>
        <v/>
      </c>
      <c r="G725" s="71"/>
      <c r="H725" s="71"/>
      <c r="I725" s="71" t="str">
        <f t="shared" si="53"/>
        <v/>
      </c>
      <c r="J725" s="71"/>
      <c r="K725" s="71"/>
      <c r="L725" s="71"/>
      <c r="M725" s="71"/>
      <c r="N725" s="71" t="str">
        <f ca="1">IF(I725="","",ROUND(VLOOKUP('Журнал Закупок'!D725,'СТ Криптовалюта'!$C$3:$E$1788,2,0)*'Журнал Закупок'!G725,5))</f>
        <v/>
      </c>
      <c r="O725" s="71"/>
      <c r="P725" s="71" t="str">
        <f t="shared" si="51"/>
        <v/>
      </c>
      <c r="Q725" s="75" t="str">
        <f t="shared" si="52"/>
        <v/>
      </c>
      <c r="R725" s="76"/>
    </row>
    <row r="726" spans="1:18" ht="14.25" customHeight="1">
      <c r="A726" s="67"/>
      <c r="B726" s="68"/>
      <c r="C726" s="69"/>
      <c r="D726" s="69" t="str">
        <f ca="1">IF(B726="","",VLOOKUP('Журнал Закупок'!$B726,'СТ Криптовалюта'!B:C,2,0))</f>
        <v/>
      </c>
      <c r="E726" s="68"/>
      <c r="F726" s="70" t="str">
        <f>IF(D726="","",IF(B726=#REF!,"Основная",IF(B726=#REF!,"Основная",IF(B726=#REF!,"Основная","Экспериментальная"))))</f>
        <v/>
      </c>
      <c r="G726" s="71"/>
      <c r="H726" s="71"/>
      <c r="I726" s="71" t="str">
        <f t="shared" si="53"/>
        <v/>
      </c>
      <c r="J726" s="71"/>
      <c r="K726" s="71"/>
      <c r="L726" s="71"/>
      <c r="M726" s="71"/>
      <c r="N726" s="71" t="str">
        <f ca="1">IF(I726="","",ROUND(VLOOKUP('Журнал Закупок'!D726,'СТ Криптовалюта'!$C$3:$E$1788,2,0)*'Журнал Закупок'!G726,5))</f>
        <v/>
      </c>
      <c r="O726" s="71"/>
      <c r="P726" s="71" t="str">
        <f t="shared" si="51"/>
        <v/>
      </c>
      <c r="Q726" s="75" t="str">
        <f t="shared" si="52"/>
        <v/>
      </c>
      <c r="R726" s="76"/>
    </row>
    <row r="727" spans="1:18" ht="14.25" customHeight="1">
      <c r="A727" s="67"/>
      <c r="B727" s="68"/>
      <c r="C727" s="69"/>
      <c r="D727" s="69" t="str">
        <f ca="1">IF(B727="","",VLOOKUP('Журнал Закупок'!$B727,'СТ Криптовалюта'!B:C,2,0))</f>
        <v/>
      </c>
      <c r="E727" s="68"/>
      <c r="F727" s="70" t="str">
        <f>IF(D727="","",IF(B727=#REF!,"Основная",IF(B727=#REF!,"Основная",IF(B727=#REF!,"Основная","Экспериментальная"))))</f>
        <v/>
      </c>
      <c r="G727" s="71"/>
      <c r="H727" s="71"/>
      <c r="I727" s="71" t="str">
        <f t="shared" si="53"/>
        <v/>
      </c>
      <c r="J727" s="71"/>
      <c r="K727" s="71"/>
      <c r="L727" s="71"/>
      <c r="M727" s="71"/>
      <c r="N727" s="71" t="str">
        <f ca="1">IF(I727="","",ROUND(VLOOKUP('Журнал Закупок'!D727,'СТ Криптовалюта'!$C$3:$E$1788,2,0)*'Журнал Закупок'!G727,5))</f>
        <v/>
      </c>
      <c r="O727" s="71"/>
      <c r="P727" s="71" t="str">
        <f t="shared" si="51"/>
        <v/>
      </c>
      <c r="Q727" s="75" t="str">
        <f t="shared" si="52"/>
        <v/>
      </c>
      <c r="R727" s="76"/>
    </row>
    <row r="728" spans="1:18" ht="14.25" customHeight="1">
      <c r="A728" s="67"/>
      <c r="B728" s="68"/>
      <c r="C728" s="69"/>
      <c r="D728" s="69" t="str">
        <f ca="1">IF(B728="","",VLOOKUP('Журнал Закупок'!$B728,'СТ Криптовалюта'!B:C,2,0))</f>
        <v/>
      </c>
      <c r="E728" s="68"/>
      <c r="F728" s="70" t="str">
        <f>IF(D728="","",IF(B728=#REF!,"Основная",IF(B728=#REF!,"Основная",IF(B728=#REF!,"Основная","Экспериментальная"))))</f>
        <v/>
      </c>
      <c r="G728" s="71"/>
      <c r="H728" s="71"/>
      <c r="I728" s="71" t="str">
        <f t="shared" si="53"/>
        <v/>
      </c>
      <c r="J728" s="71"/>
      <c r="K728" s="71"/>
      <c r="L728" s="71"/>
      <c r="M728" s="71"/>
      <c r="N728" s="71" t="str">
        <f ca="1">IF(I728="","",ROUND(VLOOKUP('Журнал Закупок'!D728,'СТ Криптовалюта'!$C$3:$E$1788,2,0)*'Журнал Закупок'!G728,5))</f>
        <v/>
      </c>
      <c r="O728" s="71"/>
      <c r="P728" s="71" t="str">
        <f t="shared" si="51"/>
        <v/>
      </c>
      <c r="Q728" s="75" t="str">
        <f t="shared" si="52"/>
        <v/>
      </c>
      <c r="R728" s="76"/>
    </row>
    <row r="729" spans="1:18" ht="14.25" customHeight="1">
      <c r="A729" s="67"/>
      <c r="B729" s="68"/>
      <c r="C729" s="69"/>
      <c r="D729" s="69" t="str">
        <f ca="1">IF(B729="","",VLOOKUP('Журнал Закупок'!$B729,'СТ Криптовалюта'!B:C,2,0))</f>
        <v/>
      </c>
      <c r="E729" s="68"/>
      <c r="F729" s="70" t="str">
        <f>IF(D729="","",IF(B729=#REF!,"Основная",IF(B729=#REF!,"Основная",IF(B729=#REF!,"Основная","Экспериментальная"))))</f>
        <v/>
      </c>
      <c r="G729" s="71"/>
      <c r="H729" s="71"/>
      <c r="I729" s="71" t="str">
        <f t="shared" si="53"/>
        <v/>
      </c>
      <c r="J729" s="71"/>
      <c r="K729" s="71"/>
      <c r="L729" s="71"/>
      <c r="M729" s="71"/>
      <c r="N729" s="71" t="str">
        <f ca="1">IF(I729="","",ROUND(VLOOKUP('Журнал Закупок'!D729,'СТ Криптовалюта'!$C$3:$E$1788,2,0)*'Журнал Закупок'!G729,5))</f>
        <v/>
      </c>
      <c r="O729" s="71"/>
      <c r="P729" s="71" t="str">
        <f t="shared" si="51"/>
        <v/>
      </c>
      <c r="Q729" s="75" t="str">
        <f t="shared" si="52"/>
        <v/>
      </c>
      <c r="R729" s="76"/>
    </row>
    <row r="730" spans="1:18" ht="14.25" customHeight="1">
      <c r="A730" s="67"/>
      <c r="B730" s="68"/>
      <c r="C730" s="69"/>
      <c r="D730" s="69" t="str">
        <f ca="1">IF(B730="","",VLOOKUP('Журнал Закупок'!$B730,'СТ Криптовалюта'!B:C,2,0))</f>
        <v/>
      </c>
      <c r="E730" s="68"/>
      <c r="F730" s="70" t="str">
        <f>IF(D730="","",IF(B730=#REF!,"Основная",IF(B730=#REF!,"Основная",IF(B730=#REF!,"Основная","Экспериментальная"))))</f>
        <v/>
      </c>
      <c r="G730" s="71"/>
      <c r="H730" s="71"/>
      <c r="I730" s="71" t="str">
        <f t="shared" si="53"/>
        <v/>
      </c>
      <c r="J730" s="71"/>
      <c r="K730" s="71"/>
      <c r="L730" s="71"/>
      <c r="M730" s="71"/>
      <c r="N730" s="71" t="str">
        <f ca="1">IF(I730="","",ROUND(VLOOKUP('Журнал Закупок'!D730,'СТ Криптовалюта'!$C$3:$E$1788,2,0)*'Журнал Закупок'!G730,5))</f>
        <v/>
      </c>
      <c r="O730" s="71"/>
      <c r="P730" s="71" t="str">
        <f t="shared" si="51"/>
        <v/>
      </c>
      <c r="Q730" s="75" t="str">
        <f t="shared" si="52"/>
        <v/>
      </c>
      <c r="R730" s="76"/>
    </row>
    <row r="731" spans="1:18" ht="14.25" customHeight="1">
      <c r="A731" s="67"/>
      <c r="B731" s="68"/>
      <c r="C731" s="69"/>
      <c r="D731" s="69" t="str">
        <f ca="1">IF(B731="","",VLOOKUP('Журнал Закупок'!$B731,'СТ Криптовалюта'!B:C,2,0))</f>
        <v/>
      </c>
      <c r="E731" s="68"/>
      <c r="F731" s="70" t="str">
        <f>IF(D731="","",IF(B731=#REF!,"Основная",IF(B731=#REF!,"Основная",IF(B731=#REF!,"Основная","Экспериментальная"))))</f>
        <v/>
      </c>
      <c r="G731" s="71"/>
      <c r="H731" s="71"/>
      <c r="I731" s="71" t="str">
        <f t="shared" si="53"/>
        <v/>
      </c>
      <c r="J731" s="71"/>
      <c r="K731" s="71"/>
      <c r="L731" s="71"/>
      <c r="M731" s="71"/>
      <c r="N731" s="71" t="str">
        <f ca="1">IF(I731="","",ROUND(VLOOKUP('Журнал Закупок'!D731,'СТ Криптовалюта'!$C$3:$E$1788,2,0)*'Журнал Закупок'!G731,5))</f>
        <v/>
      </c>
      <c r="O731" s="71"/>
      <c r="P731" s="71" t="str">
        <f t="shared" si="51"/>
        <v/>
      </c>
      <c r="Q731" s="75" t="str">
        <f t="shared" si="52"/>
        <v/>
      </c>
      <c r="R731" s="76"/>
    </row>
    <row r="732" spans="1:18" ht="14.25" customHeight="1">
      <c r="A732" s="67"/>
      <c r="B732" s="68"/>
      <c r="C732" s="69"/>
      <c r="D732" s="69" t="str">
        <f ca="1">IF(B732="","",VLOOKUP('Журнал Закупок'!$B732,'СТ Криптовалюта'!B:C,2,0))</f>
        <v/>
      </c>
      <c r="E732" s="68"/>
      <c r="F732" s="70" t="str">
        <f>IF(D732="","",IF(B732=#REF!,"Основная",IF(B732=#REF!,"Основная",IF(B732=#REF!,"Основная","Экспериментальная"))))</f>
        <v/>
      </c>
      <c r="G732" s="71"/>
      <c r="H732" s="71"/>
      <c r="I732" s="71" t="str">
        <f t="shared" si="53"/>
        <v/>
      </c>
      <c r="J732" s="71"/>
      <c r="K732" s="71"/>
      <c r="L732" s="71"/>
      <c r="M732" s="71"/>
      <c r="N732" s="71" t="str">
        <f ca="1">IF(I732="","",ROUND(VLOOKUP('Журнал Закупок'!D732,'СТ Криптовалюта'!$C$3:$E$1788,2,0)*'Журнал Закупок'!G732,5))</f>
        <v/>
      </c>
      <c r="O732" s="71"/>
      <c r="P732" s="71" t="str">
        <f t="shared" si="51"/>
        <v/>
      </c>
      <c r="Q732" s="75" t="str">
        <f t="shared" si="52"/>
        <v/>
      </c>
      <c r="R732" s="76"/>
    </row>
    <row r="733" spans="1:18" ht="14.25" customHeight="1">
      <c r="A733" s="67"/>
      <c r="B733" s="68"/>
      <c r="C733" s="69"/>
      <c r="D733" s="69" t="str">
        <f ca="1">IF(B733="","",VLOOKUP('Журнал Закупок'!$B733,'СТ Криптовалюта'!B:C,2,0))</f>
        <v/>
      </c>
      <c r="E733" s="68"/>
      <c r="F733" s="70" t="str">
        <f>IF(D733="","",IF(B733=#REF!,"Основная",IF(B733=#REF!,"Основная",IF(B733=#REF!,"Основная","Экспериментальная"))))</f>
        <v/>
      </c>
      <c r="G733" s="71"/>
      <c r="H733" s="71"/>
      <c r="I733" s="71" t="str">
        <f t="shared" si="53"/>
        <v/>
      </c>
      <c r="J733" s="71"/>
      <c r="K733" s="71"/>
      <c r="L733" s="71"/>
      <c r="M733" s="71"/>
      <c r="N733" s="71" t="str">
        <f ca="1">IF(I733="","",ROUND(VLOOKUP('Журнал Закупок'!D733,'СТ Криптовалюта'!$C$3:$E$1788,2,0)*'Журнал Закупок'!G733,5))</f>
        <v/>
      </c>
      <c r="O733" s="71"/>
      <c r="P733" s="71" t="str">
        <f t="shared" si="51"/>
        <v/>
      </c>
      <c r="Q733" s="75" t="str">
        <f t="shared" si="52"/>
        <v/>
      </c>
      <c r="R733" s="76"/>
    </row>
    <row r="734" spans="1:18" ht="14.25" customHeight="1">
      <c r="A734" s="67"/>
      <c r="B734" s="68"/>
      <c r="C734" s="69"/>
      <c r="D734" s="69" t="str">
        <f ca="1">IF(B734="","",VLOOKUP('Журнал Закупок'!$B734,'СТ Криптовалюта'!B:C,2,0))</f>
        <v/>
      </c>
      <c r="E734" s="68"/>
      <c r="F734" s="70" t="str">
        <f>IF(D734="","",IF(B734=#REF!,"Основная",IF(B734=#REF!,"Основная",IF(B734=#REF!,"Основная","Экспериментальная"))))</f>
        <v/>
      </c>
      <c r="G734" s="71"/>
      <c r="H734" s="71"/>
      <c r="I734" s="71" t="str">
        <f t="shared" si="53"/>
        <v/>
      </c>
      <c r="J734" s="71"/>
      <c r="K734" s="71"/>
      <c r="L734" s="71"/>
      <c r="M734" s="71"/>
      <c r="N734" s="71" t="str">
        <f ca="1">IF(I734="","",ROUND(VLOOKUP('Журнал Закупок'!D734,'СТ Криптовалюта'!$C$3:$E$1788,2,0)*'Журнал Закупок'!G734,5))</f>
        <v/>
      </c>
      <c r="O734" s="71"/>
      <c r="P734" s="71" t="str">
        <f t="shared" si="51"/>
        <v/>
      </c>
      <c r="Q734" s="75" t="str">
        <f t="shared" si="52"/>
        <v/>
      </c>
      <c r="R734" s="76"/>
    </row>
    <row r="735" spans="1:18" ht="14.25" customHeight="1">
      <c r="A735" s="67"/>
      <c r="B735" s="68"/>
      <c r="C735" s="69"/>
      <c r="D735" s="69" t="str">
        <f ca="1">IF(B735="","",VLOOKUP('Журнал Закупок'!$B735,'СТ Криптовалюта'!B:C,2,0))</f>
        <v/>
      </c>
      <c r="E735" s="68"/>
      <c r="F735" s="70" t="str">
        <f>IF(D735="","",IF(B735=#REF!,"Основная",IF(B735=#REF!,"Основная",IF(B735=#REF!,"Основная","Экспериментальная"))))</f>
        <v/>
      </c>
      <c r="G735" s="71"/>
      <c r="H735" s="71"/>
      <c r="I735" s="71" t="str">
        <f t="shared" si="53"/>
        <v/>
      </c>
      <c r="J735" s="71"/>
      <c r="K735" s="71"/>
      <c r="L735" s="71"/>
      <c r="M735" s="71"/>
      <c r="N735" s="71" t="str">
        <f ca="1">IF(I735="","",ROUND(VLOOKUP('Журнал Закупок'!D735,'СТ Криптовалюта'!$C$3:$E$1788,2,0)*'Журнал Закупок'!G735,5))</f>
        <v/>
      </c>
      <c r="O735" s="71"/>
      <c r="P735" s="71" t="str">
        <f t="shared" si="51"/>
        <v/>
      </c>
      <c r="Q735" s="75" t="str">
        <f t="shared" si="52"/>
        <v/>
      </c>
      <c r="R735" s="76"/>
    </row>
    <row r="736" spans="1:18" ht="14.25" customHeight="1">
      <c r="A736" s="67"/>
      <c r="B736" s="68"/>
      <c r="C736" s="69"/>
      <c r="D736" s="69" t="str">
        <f ca="1">IF(B736="","",VLOOKUP('Журнал Закупок'!$B736,'СТ Криптовалюта'!B:C,2,0))</f>
        <v/>
      </c>
      <c r="E736" s="68"/>
      <c r="F736" s="70" t="str">
        <f>IF(D736="","",IF(B736=#REF!,"Основная",IF(B736=#REF!,"Основная",IF(B736=#REF!,"Основная","Экспериментальная"))))</f>
        <v/>
      </c>
      <c r="G736" s="71"/>
      <c r="H736" s="71"/>
      <c r="I736" s="71" t="str">
        <f t="shared" si="53"/>
        <v/>
      </c>
      <c r="J736" s="71"/>
      <c r="K736" s="71"/>
      <c r="L736" s="71"/>
      <c r="M736" s="71"/>
      <c r="N736" s="71" t="str">
        <f ca="1">IF(I736="","",ROUND(VLOOKUP('Журнал Закупок'!D736,'СТ Криптовалюта'!$C$3:$E$1788,2,0)*'Журнал Закупок'!G736,5))</f>
        <v/>
      </c>
      <c r="O736" s="71"/>
      <c r="P736" s="71" t="str">
        <f t="shared" si="51"/>
        <v/>
      </c>
      <c r="Q736" s="75" t="str">
        <f t="shared" si="52"/>
        <v/>
      </c>
      <c r="R736" s="76"/>
    </row>
    <row r="737" spans="1:18" ht="14.25" customHeight="1">
      <c r="A737" s="67"/>
      <c r="B737" s="68"/>
      <c r="C737" s="69"/>
      <c r="D737" s="69" t="str">
        <f ca="1">IF(B737="","",VLOOKUP('Журнал Закупок'!$B737,'СТ Криптовалюта'!B:C,2,0))</f>
        <v/>
      </c>
      <c r="E737" s="68"/>
      <c r="F737" s="70" t="str">
        <f>IF(D737="","",IF(B737=#REF!,"Основная",IF(B737=#REF!,"Основная",IF(B737=#REF!,"Основная","Экспериментальная"))))</f>
        <v/>
      </c>
      <c r="G737" s="71"/>
      <c r="H737" s="71"/>
      <c r="I737" s="71" t="str">
        <f t="shared" si="53"/>
        <v/>
      </c>
      <c r="J737" s="71"/>
      <c r="K737" s="71"/>
      <c r="L737" s="71"/>
      <c r="M737" s="71"/>
      <c r="N737" s="71" t="str">
        <f ca="1">IF(I737="","",ROUND(VLOOKUP('Журнал Закупок'!D737,'СТ Криптовалюта'!$C$3:$E$1788,2,0)*'Журнал Закупок'!G737,5))</f>
        <v/>
      </c>
      <c r="O737" s="71"/>
      <c r="P737" s="71" t="str">
        <f t="shared" si="51"/>
        <v/>
      </c>
      <c r="Q737" s="75" t="str">
        <f t="shared" si="52"/>
        <v/>
      </c>
      <c r="R737" s="76"/>
    </row>
    <row r="738" spans="1:18" ht="14.25" customHeight="1">
      <c r="A738" s="67"/>
      <c r="B738" s="68"/>
      <c r="C738" s="69"/>
      <c r="D738" s="69" t="str">
        <f ca="1">IF(B738="","",VLOOKUP('Журнал Закупок'!$B738,'СТ Криптовалюта'!B:C,2,0))</f>
        <v/>
      </c>
      <c r="E738" s="68"/>
      <c r="F738" s="70" t="str">
        <f>IF(D738="","",IF(B738=#REF!,"Основная",IF(B738=#REF!,"Основная",IF(B738=#REF!,"Основная","Экспериментальная"))))</f>
        <v/>
      </c>
      <c r="G738" s="71"/>
      <c r="H738" s="71"/>
      <c r="I738" s="71" t="str">
        <f t="shared" si="53"/>
        <v/>
      </c>
      <c r="J738" s="71"/>
      <c r="K738" s="71"/>
      <c r="L738" s="71"/>
      <c r="M738" s="71"/>
      <c r="N738" s="71" t="str">
        <f ca="1">IF(I738="","",ROUND(VLOOKUP('Журнал Закупок'!D738,'СТ Криптовалюта'!$C$3:$E$1788,2,0)*'Журнал Закупок'!G738,5))</f>
        <v/>
      </c>
      <c r="O738" s="71"/>
      <c r="P738" s="71" t="str">
        <f t="shared" si="51"/>
        <v/>
      </c>
      <c r="Q738" s="75" t="str">
        <f t="shared" si="52"/>
        <v/>
      </c>
      <c r="R738" s="76"/>
    </row>
    <row r="739" spans="1:18" ht="14.25" customHeight="1">
      <c r="A739" s="67"/>
      <c r="B739" s="68"/>
      <c r="C739" s="69"/>
      <c r="D739" s="69" t="str">
        <f ca="1">IF(B739="","",VLOOKUP('Журнал Закупок'!$B739,'СТ Криптовалюта'!B:C,2,0))</f>
        <v/>
      </c>
      <c r="E739" s="68"/>
      <c r="F739" s="70" t="str">
        <f>IF(D739="","",IF(B739=#REF!,"Основная",IF(B739=#REF!,"Основная",IF(B739=#REF!,"Основная","Экспериментальная"))))</f>
        <v/>
      </c>
      <c r="G739" s="71"/>
      <c r="H739" s="71"/>
      <c r="I739" s="71" t="str">
        <f t="shared" si="53"/>
        <v/>
      </c>
      <c r="J739" s="71"/>
      <c r="K739" s="71"/>
      <c r="L739" s="71"/>
      <c r="M739" s="71"/>
      <c r="N739" s="71" t="str">
        <f ca="1">IF(I739="","",ROUND(VLOOKUP('Журнал Закупок'!D739,'СТ Криптовалюта'!$C$3:$E$1788,2,0)*'Журнал Закупок'!G739,5))</f>
        <v/>
      </c>
      <c r="O739" s="71"/>
      <c r="P739" s="71" t="str">
        <f t="shared" si="51"/>
        <v/>
      </c>
      <c r="Q739" s="75" t="str">
        <f t="shared" si="52"/>
        <v/>
      </c>
      <c r="R739" s="76"/>
    </row>
    <row r="740" spans="1:18" ht="14.25" customHeight="1">
      <c r="A740" s="67"/>
      <c r="B740" s="68"/>
      <c r="C740" s="69"/>
      <c r="D740" s="69" t="str">
        <f ca="1">IF(B740="","",VLOOKUP('Журнал Закупок'!$B740,'СТ Криптовалюта'!B:C,2,0))</f>
        <v/>
      </c>
      <c r="E740" s="68"/>
      <c r="F740" s="70" t="str">
        <f>IF(D740="","",IF(B740=#REF!,"Основная",IF(B740=#REF!,"Основная",IF(B740=#REF!,"Основная","Экспериментальная"))))</f>
        <v/>
      </c>
      <c r="G740" s="71"/>
      <c r="H740" s="71"/>
      <c r="I740" s="71" t="str">
        <f t="shared" si="53"/>
        <v/>
      </c>
      <c r="J740" s="71"/>
      <c r="K740" s="71"/>
      <c r="L740" s="71"/>
      <c r="M740" s="71"/>
      <c r="N740" s="71" t="str">
        <f ca="1">IF(I740="","",ROUND(VLOOKUP('Журнал Закупок'!D740,'СТ Криптовалюта'!$C$3:$E$1788,2,0)*'Журнал Закупок'!G740,5))</f>
        <v/>
      </c>
      <c r="O740" s="71"/>
      <c r="P740" s="71" t="str">
        <f t="shared" si="51"/>
        <v/>
      </c>
      <c r="Q740" s="75" t="str">
        <f t="shared" si="52"/>
        <v/>
      </c>
      <c r="R740" s="76"/>
    </row>
    <row r="741" spans="1:18" ht="14.25" customHeight="1">
      <c r="A741" s="67"/>
      <c r="B741" s="68"/>
      <c r="C741" s="69"/>
      <c r="D741" s="69" t="str">
        <f ca="1">IF(B741="","",VLOOKUP('Журнал Закупок'!$B741,'СТ Криптовалюта'!B:C,2,0))</f>
        <v/>
      </c>
      <c r="E741" s="68"/>
      <c r="F741" s="70" t="str">
        <f>IF(D741="","",IF(B741=#REF!,"Основная",IF(B741=#REF!,"Основная",IF(B741=#REF!,"Основная","Экспериментальная"))))</f>
        <v/>
      </c>
      <c r="G741" s="71"/>
      <c r="H741" s="71"/>
      <c r="I741" s="71" t="str">
        <f t="shared" si="53"/>
        <v/>
      </c>
      <c r="J741" s="71"/>
      <c r="K741" s="71"/>
      <c r="L741" s="71"/>
      <c r="M741" s="71"/>
      <c r="N741" s="71" t="str">
        <f ca="1">IF(I741="","",ROUND(VLOOKUP('Журнал Закупок'!D741,'СТ Криптовалюта'!$C$3:$E$1788,2,0)*'Журнал Закупок'!G741,5))</f>
        <v/>
      </c>
      <c r="O741" s="71"/>
      <c r="P741" s="71" t="str">
        <f t="shared" si="51"/>
        <v/>
      </c>
      <c r="Q741" s="75" t="str">
        <f t="shared" si="52"/>
        <v/>
      </c>
      <c r="R741" s="76"/>
    </row>
    <row r="742" spans="1:18" ht="14.25" customHeight="1">
      <c r="A742" s="67"/>
      <c r="B742" s="68"/>
      <c r="C742" s="69"/>
      <c r="D742" s="69" t="str">
        <f ca="1">IF(B742="","",VLOOKUP('Журнал Закупок'!$B742,'СТ Криптовалюта'!B:C,2,0))</f>
        <v/>
      </c>
      <c r="E742" s="68"/>
      <c r="F742" s="70" t="str">
        <f>IF(D742="","",IF(B742=#REF!,"Основная",IF(B742=#REF!,"Основная",IF(B742=#REF!,"Основная","Экспериментальная"))))</f>
        <v/>
      </c>
      <c r="G742" s="71"/>
      <c r="H742" s="71"/>
      <c r="I742" s="71" t="str">
        <f t="shared" si="53"/>
        <v/>
      </c>
      <c r="J742" s="71"/>
      <c r="K742" s="71"/>
      <c r="L742" s="71"/>
      <c r="M742" s="71"/>
      <c r="N742" s="71" t="str">
        <f ca="1">IF(I742="","",ROUND(VLOOKUP('Журнал Закупок'!D742,'СТ Криптовалюта'!$C$3:$E$1788,2,0)*'Журнал Закупок'!G742,5))</f>
        <v/>
      </c>
      <c r="O742" s="71"/>
      <c r="P742" s="71" t="str">
        <f t="shared" si="51"/>
        <v/>
      </c>
      <c r="Q742" s="75" t="str">
        <f t="shared" si="52"/>
        <v/>
      </c>
      <c r="R742" s="76"/>
    </row>
    <row r="743" spans="1:18" ht="14.25" customHeight="1">
      <c r="A743" s="67"/>
      <c r="B743" s="68"/>
      <c r="C743" s="69"/>
      <c r="D743" s="69" t="str">
        <f ca="1">IF(B743="","",VLOOKUP('Журнал Закупок'!$B743,'СТ Криптовалюта'!B:C,2,0))</f>
        <v/>
      </c>
      <c r="E743" s="68"/>
      <c r="F743" s="70" t="str">
        <f>IF(D743="","",IF(B743=#REF!,"Основная",IF(B743=#REF!,"Основная",IF(B743=#REF!,"Основная","Экспериментальная"))))</f>
        <v/>
      </c>
      <c r="G743" s="71"/>
      <c r="H743" s="71"/>
      <c r="I743" s="71" t="str">
        <f t="shared" si="53"/>
        <v/>
      </c>
      <c r="J743" s="71"/>
      <c r="K743" s="71"/>
      <c r="L743" s="71"/>
      <c r="M743" s="71"/>
      <c r="N743" s="71" t="str">
        <f ca="1">IF(I743="","",ROUND(VLOOKUP('Журнал Закупок'!D743,'СТ Криптовалюта'!$C$3:$E$1788,2,0)*'Журнал Закупок'!G743,5))</f>
        <v/>
      </c>
      <c r="O743" s="71"/>
      <c r="P743" s="71" t="str">
        <f t="shared" si="51"/>
        <v/>
      </c>
      <c r="Q743" s="75" t="str">
        <f t="shared" si="52"/>
        <v/>
      </c>
      <c r="R743" s="76"/>
    </row>
    <row r="744" spans="1:18" ht="14.25" customHeight="1">
      <c r="A744" s="67"/>
      <c r="B744" s="68"/>
      <c r="C744" s="69"/>
      <c r="D744" s="69" t="str">
        <f ca="1">IF(B744="","",VLOOKUP('Журнал Закупок'!$B744,'СТ Криптовалюта'!B:C,2,0))</f>
        <v/>
      </c>
      <c r="E744" s="68"/>
      <c r="F744" s="70" t="str">
        <f>IF(D744="","",IF(B744=#REF!,"Основная",IF(B744=#REF!,"Основная",IF(B744=#REF!,"Основная","Экспериментальная"))))</f>
        <v/>
      </c>
      <c r="G744" s="71"/>
      <c r="H744" s="71"/>
      <c r="I744" s="71" t="str">
        <f t="shared" si="53"/>
        <v/>
      </c>
      <c r="J744" s="71"/>
      <c r="K744" s="71"/>
      <c r="L744" s="71"/>
      <c r="M744" s="71"/>
      <c r="N744" s="71" t="str">
        <f ca="1">IF(I744="","",ROUND(VLOOKUP('Журнал Закупок'!D744,'СТ Криптовалюта'!$C$3:$E$1788,2,0)*'Журнал Закупок'!G744,5))</f>
        <v/>
      </c>
      <c r="O744" s="71"/>
      <c r="P744" s="71" t="str">
        <f t="shared" si="51"/>
        <v/>
      </c>
      <c r="Q744" s="75" t="str">
        <f t="shared" si="52"/>
        <v/>
      </c>
      <c r="R744" s="76"/>
    </row>
    <row r="745" spans="1:18" ht="14.25" customHeight="1">
      <c r="A745" s="67"/>
      <c r="B745" s="68"/>
      <c r="C745" s="69"/>
      <c r="D745" s="69" t="str">
        <f ca="1">IF(B745="","",VLOOKUP('Журнал Закупок'!$B745,'СТ Криптовалюта'!B:C,2,0))</f>
        <v/>
      </c>
      <c r="E745" s="68"/>
      <c r="F745" s="70" t="str">
        <f>IF(D745="","",IF(B745=#REF!,"Основная",IF(B745=#REF!,"Основная",IF(B745=#REF!,"Основная","Экспериментальная"))))</f>
        <v/>
      </c>
      <c r="G745" s="71"/>
      <c r="H745" s="71"/>
      <c r="I745" s="71" t="str">
        <f t="shared" si="53"/>
        <v/>
      </c>
      <c r="J745" s="71"/>
      <c r="K745" s="71"/>
      <c r="L745" s="71"/>
      <c r="M745" s="71"/>
      <c r="N745" s="71" t="str">
        <f ca="1">IF(I745="","",ROUND(VLOOKUP('Журнал Закупок'!D745,'СТ Криптовалюта'!$C$3:$E$1788,2,0)*'Журнал Закупок'!G745,5))</f>
        <v/>
      </c>
      <c r="O745" s="71"/>
      <c r="P745" s="71" t="str">
        <f t="shared" si="51"/>
        <v/>
      </c>
      <c r="Q745" s="75" t="str">
        <f t="shared" si="52"/>
        <v/>
      </c>
      <c r="R745" s="76"/>
    </row>
    <row r="746" spans="1:18" ht="14.25" customHeight="1">
      <c r="A746" s="67"/>
      <c r="B746" s="68"/>
      <c r="C746" s="69"/>
      <c r="D746" s="69" t="str">
        <f ca="1">IF(B746="","",VLOOKUP('Журнал Закупок'!$B746,'СТ Криптовалюта'!B:C,2,0))</f>
        <v/>
      </c>
      <c r="E746" s="68"/>
      <c r="F746" s="70" t="str">
        <f>IF(D746="","",IF(B746=#REF!,"Основная",IF(B746=#REF!,"Основная",IF(B746=#REF!,"Основная","Экспериментальная"))))</f>
        <v/>
      </c>
      <c r="G746" s="71"/>
      <c r="H746" s="71"/>
      <c r="I746" s="71" t="str">
        <f t="shared" si="53"/>
        <v/>
      </c>
      <c r="J746" s="71"/>
      <c r="K746" s="71"/>
      <c r="L746" s="71"/>
      <c r="M746" s="71"/>
      <c r="N746" s="71" t="str">
        <f ca="1">IF(I746="","",ROUND(VLOOKUP('Журнал Закупок'!D746,'СТ Криптовалюта'!$C$3:$E$1788,2,0)*'Журнал Закупок'!G746,5))</f>
        <v/>
      </c>
      <c r="O746" s="71"/>
      <c r="P746" s="71" t="str">
        <f t="shared" si="51"/>
        <v/>
      </c>
      <c r="Q746" s="75" t="str">
        <f t="shared" si="52"/>
        <v/>
      </c>
      <c r="R746" s="76"/>
    </row>
    <row r="747" spans="1:18" ht="14.25" customHeight="1">
      <c r="A747" s="67"/>
      <c r="B747" s="68"/>
      <c r="C747" s="69"/>
      <c r="D747" s="69" t="str">
        <f ca="1">IF(B747="","",VLOOKUP('Журнал Закупок'!$B747,'СТ Криптовалюта'!B:C,2,0))</f>
        <v/>
      </c>
      <c r="E747" s="68"/>
      <c r="F747" s="70" t="str">
        <f>IF(D747="","",IF(B747=#REF!,"Основная",IF(B747=#REF!,"Основная",IF(B747=#REF!,"Основная","Экспериментальная"))))</f>
        <v/>
      </c>
      <c r="G747" s="71"/>
      <c r="H747" s="71"/>
      <c r="I747" s="71" t="str">
        <f t="shared" si="53"/>
        <v/>
      </c>
      <c r="J747" s="71"/>
      <c r="K747" s="71"/>
      <c r="L747" s="71"/>
      <c r="M747" s="71"/>
      <c r="N747" s="71" t="str">
        <f ca="1">IF(I747="","",ROUND(VLOOKUP('Журнал Закупок'!D747,'СТ Криптовалюта'!$C$3:$E$1788,2,0)*'Журнал Закупок'!G747,5))</f>
        <v/>
      </c>
      <c r="O747" s="71"/>
      <c r="P747" s="71" t="str">
        <f t="shared" ref="P747:P810" si="54">IF(N747="","",ROUND(N747-I747,2))</f>
        <v/>
      </c>
      <c r="Q747" s="75" t="str">
        <f t="shared" ref="Q747:Q810" si="55">IF(P747="","",ROUND(IFERROR((N747-I747)/I747,2),5))</f>
        <v/>
      </c>
      <c r="R747" s="76"/>
    </row>
    <row r="748" spans="1:18" ht="14.25" customHeight="1">
      <c r="A748" s="67"/>
      <c r="B748" s="68"/>
      <c r="C748" s="69"/>
      <c r="D748" s="69" t="str">
        <f ca="1">IF(B748="","",VLOOKUP('Журнал Закупок'!$B748,'СТ Криптовалюта'!B:C,2,0))</f>
        <v/>
      </c>
      <c r="E748" s="68"/>
      <c r="F748" s="70" t="str">
        <f>IF(D748="","",IF(B748=#REF!,"Основная",IF(B748=#REF!,"Основная",IF(B748=#REF!,"Основная","Экспериментальная"))))</f>
        <v/>
      </c>
      <c r="G748" s="71"/>
      <c r="H748" s="71"/>
      <c r="I748" s="71" t="str">
        <f t="shared" si="53"/>
        <v/>
      </c>
      <c r="J748" s="71"/>
      <c r="K748" s="71"/>
      <c r="L748" s="71"/>
      <c r="M748" s="71"/>
      <c r="N748" s="71" t="str">
        <f ca="1">IF(I748="","",ROUND(VLOOKUP('Журнал Закупок'!D748,'СТ Криптовалюта'!$C$3:$E$1788,2,0)*'Журнал Закупок'!G748,5))</f>
        <v/>
      </c>
      <c r="O748" s="71"/>
      <c r="P748" s="71" t="str">
        <f t="shared" si="54"/>
        <v/>
      </c>
      <c r="Q748" s="75" t="str">
        <f t="shared" si="55"/>
        <v/>
      </c>
      <c r="R748" s="76"/>
    </row>
    <row r="749" spans="1:18" ht="14.25" customHeight="1">
      <c r="A749" s="67"/>
      <c r="B749" s="68"/>
      <c r="C749" s="69"/>
      <c r="D749" s="69" t="str">
        <f ca="1">IF(B749="","",VLOOKUP('Журнал Закупок'!$B749,'СТ Криптовалюта'!B:C,2,0))</f>
        <v/>
      </c>
      <c r="E749" s="68"/>
      <c r="F749" s="70" t="str">
        <f>IF(D749="","",IF(B749=#REF!,"Основная",IF(B749=#REF!,"Основная",IF(B749=#REF!,"Основная","Экспериментальная"))))</f>
        <v/>
      </c>
      <c r="G749" s="71"/>
      <c r="H749" s="71"/>
      <c r="I749" s="71" t="str">
        <f t="shared" si="53"/>
        <v/>
      </c>
      <c r="J749" s="71"/>
      <c r="K749" s="71"/>
      <c r="L749" s="71"/>
      <c r="M749" s="71"/>
      <c r="N749" s="71" t="str">
        <f ca="1">IF(I749="","",ROUND(VLOOKUP('Журнал Закупок'!D749,'СТ Криптовалюта'!$C$3:$E$1788,2,0)*'Журнал Закупок'!G749,5))</f>
        <v/>
      </c>
      <c r="O749" s="71"/>
      <c r="P749" s="71" t="str">
        <f t="shared" si="54"/>
        <v/>
      </c>
      <c r="Q749" s="75" t="str">
        <f t="shared" si="55"/>
        <v/>
      </c>
      <c r="R749" s="76"/>
    </row>
    <row r="750" spans="1:18" ht="14.25" customHeight="1">
      <c r="A750" s="67"/>
      <c r="B750" s="68"/>
      <c r="C750" s="69"/>
      <c r="D750" s="69" t="str">
        <f ca="1">IF(B750="","",VLOOKUP('Журнал Закупок'!$B750,'СТ Криптовалюта'!B:C,2,0))</f>
        <v/>
      </c>
      <c r="E750" s="68"/>
      <c r="F750" s="70" t="str">
        <f>IF(D750="","",IF(B750=#REF!,"Основная",IF(B750=#REF!,"Основная",IF(B750=#REF!,"Основная","Экспериментальная"))))</f>
        <v/>
      </c>
      <c r="G750" s="71"/>
      <c r="H750" s="71"/>
      <c r="I750" s="71" t="str">
        <f t="shared" ref="I750:I813" si="56">IF(H750="","",ROUND(G750*H750,5))</f>
        <v/>
      </c>
      <c r="J750" s="71"/>
      <c r="K750" s="71"/>
      <c r="L750" s="71"/>
      <c r="M750" s="71"/>
      <c r="N750" s="71" t="str">
        <f ca="1">IF(I750="","",ROUND(VLOOKUP('Журнал Закупок'!D750,'СТ Криптовалюта'!$C$3:$E$1788,2,0)*'Журнал Закупок'!G750,5))</f>
        <v/>
      </c>
      <c r="O750" s="71"/>
      <c r="P750" s="71" t="str">
        <f t="shared" si="54"/>
        <v/>
      </c>
      <c r="Q750" s="75" t="str">
        <f t="shared" si="55"/>
        <v/>
      </c>
      <c r="R750" s="76"/>
    </row>
    <row r="751" spans="1:18" ht="14.25" customHeight="1">
      <c r="A751" s="67"/>
      <c r="B751" s="68"/>
      <c r="C751" s="69"/>
      <c r="D751" s="69" t="str">
        <f ca="1">IF(B751="","",VLOOKUP('Журнал Закупок'!$B751,'СТ Криптовалюта'!B:C,2,0))</f>
        <v/>
      </c>
      <c r="E751" s="68"/>
      <c r="F751" s="70" t="str">
        <f>IF(D751="","",IF(B751=#REF!,"Основная",IF(B751=#REF!,"Основная",IF(B751=#REF!,"Основная","Экспериментальная"))))</f>
        <v/>
      </c>
      <c r="G751" s="71"/>
      <c r="H751" s="71"/>
      <c r="I751" s="71" t="str">
        <f t="shared" si="56"/>
        <v/>
      </c>
      <c r="J751" s="71"/>
      <c r="K751" s="71"/>
      <c r="L751" s="71"/>
      <c r="M751" s="71"/>
      <c r="N751" s="71" t="str">
        <f ca="1">IF(I751="","",ROUND(VLOOKUP('Журнал Закупок'!D751,'СТ Криптовалюта'!$C$3:$E$1788,2,0)*'Журнал Закупок'!G751,5))</f>
        <v/>
      </c>
      <c r="O751" s="71"/>
      <c r="P751" s="71" t="str">
        <f t="shared" si="54"/>
        <v/>
      </c>
      <c r="Q751" s="75" t="str">
        <f t="shared" si="55"/>
        <v/>
      </c>
      <c r="R751" s="76"/>
    </row>
    <row r="752" spans="1:18" ht="14.25" customHeight="1">
      <c r="A752" s="67"/>
      <c r="B752" s="68"/>
      <c r="C752" s="69"/>
      <c r="D752" s="69" t="str">
        <f ca="1">IF(B752="","",VLOOKUP('Журнал Закупок'!$B752,'СТ Криптовалюта'!B:C,2,0))</f>
        <v/>
      </c>
      <c r="E752" s="68"/>
      <c r="F752" s="70" t="str">
        <f>IF(D752="","",IF(B752=#REF!,"Основная",IF(B752=#REF!,"Основная",IF(B752=#REF!,"Основная","Экспериментальная"))))</f>
        <v/>
      </c>
      <c r="G752" s="71"/>
      <c r="H752" s="71"/>
      <c r="I752" s="71" t="str">
        <f t="shared" si="56"/>
        <v/>
      </c>
      <c r="J752" s="71"/>
      <c r="K752" s="71"/>
      <c r="L752" s="71"/>
      <c r="M752" s="71"/>
      <c r="N752" s="71" t="str">
        <f ca="1">IF(I752="","",ROUND(VLOOKUP('Журнал Закупок'!D752,'СТ Криптовалюта'!$C$3:$E$1788,2,0)*'Журнал Закупок'!G752,5))</f>
        <v/>
      </c>
      <c r="O752" s="71"/>
      <c r="P752" s="71" t="str">
        <f t="shared" si="54"/>
        <v/>
      </c>
      <c r="Q752" s="75" t="str">
        <f t="shared" si="55"/>
        <v/>
      </c>
      <c r="R752" s="76"/>
    </row>
    <row r="753" spans="1:18" ht="14.25" customHeight="1">
      <c r="A753" s="67"/>
      <c r="B753" s="68"/>
      <c r="C753" s="69"/>
      <c r="D753" s="69" t="str">
        <f ca="1">IF(B753="","",VLOOKUP('Журнал Закупок'!$B753,'СТ Криптовалюта'!B:C,2,0))</f>
        <v/>
      </c>
      <c r="E753" s="68"/>
      <c r="F753" s="70" t="str">
        <f>IF(D753="","",IF(B753=#REF!,"Основная",IF(B753=#REF!,"Основная",IF(B753=#REF!,"Основная","Экспериментальная"))))</f>
        <v/>
      </c>
      <c r="G753" s="71"/>
      <c r="H753" s="71"/>
      <c r="I753" s="71" t="str">
        <f t="shared" si="56"/>
        <v/>
      </c>
      <c r="J753" s="71"/>
      <c r="K753" s="71"/>
      <c r="L753" s="71"/>
      <c r="M753" s="71"/>
      <c r="N753" s="71" t="str">
        <f ca="1">IF(I753="","",ROUND(VLOOKUP('Журнал Закупок'!D753,'СТ Криптовалюта'!$C$3:$E$1788,2,0)*'Журнал Закупок'!G753,5))</f>
        <v/>
      </c>
      <c r="O753" s="71"/>
      <c r="P753" s="71" t="str">
        <f t="shared" si="54"/>
        <v/>
      </c>
      <c r="Q753" s="75" t="str">
        <f t="shared" si="55"/>
        <v/>
      </c>
      <c r="R753" s="76"/>
    </row>
    <row r="754" spans="1:18" ht="14.25" customHeight="1">
      <c r="A754" s="67"/>
      <c r="B754" s="68"/>
      <c r="C754" s="69"/>
      <c r="D754" s="69" t="str">
        <f ca="1">IF(B754="","",VLOOKUP('Журнал Закупок'!$B754,'СТ Криптовалюта'!B:C,2,0))</f>
        <v/>
      </c>
      <c r="E754" s="68"/>
      <c r="F754" s="70" t="str">
        <f>IF(D754="","",IF(B754=#REF!,"Основная",IF(B754=#REF!,"Основная",IF(B754=#REF!,"Основная","Экспериментальная"))))</f>
        <v/>
      </c>
      <c r="G754" s="71"/>
      <c r="H754" s="71"/>
      <c r="I754" s="71" t="str">
        <f t="shared" si="56"/>
        <v/>
      </c>
      <c r="J754" s="71"/>
      <c r="K754" s="71"/>
      <c r="L754" s="71"/>
      <c r="M754" s="71"/>
      <c r="N754" s="71" t="str">
        <f ca="1">IF(I754="","",ROUND(VLOOKUP('Журнал Закупок'!D754,'СТ Криптовалюта'!$C$3:$E$1788,2,0)*'Журнал Закупок'!G754,5))</f>
        <v/>
      </c>
      <c r="O754" s="71"/>
      <c r="P754" s="71" t="str">
        <f t="shared" si="54"/>
        <v/>
      </c>
      <c r="Q754" s="75" t="str">
        <f t="shared" si="55"/>
        <v/>
      </c>
      <c r="R754" s="76"/>
    </row>
    <row r="755" spans="1:18" ht="14.25" customHeight="1">
      <c r="A755" s="67"/>
      <c r="B755" s="68"/>
      <c r="C755" s="69"/>
      <c r="D755" s="69" t="str">
        <f ca="1">IF(B755="","",VLOOKUP('Журнал Закупок'!$B755,'СТ Криптовалюта'!B:C,2,0))</f>
        <v/>
      </c>
      <c r="E755" s="68"/>
      <c r="F755" s="70" t="str">
        <f>IF(D755="","",IF(B755=#REF!,"Основная",IF(B755=#REF!,"Основная",IF(B755=#REF!,"Основная","Экспериментальная"))))</f>
        <v/>
      </c>
      <c r="G755" s="71"/>
      <c r="H755" s="71"/>
      <c r="I755" s="71" t="str">
        <f t="shared" si="56"/>
        <v/>
      </c>
      <c r="J755" s="71"/>
      <c r="K755" s="71"/>
      <c r="L755" s="71"/>
      <c r="M755" s="71"/>
      <c r="N755" s="71" t="str">
        <f ca="1">IF(I755="","",ROUND(VLOOKUP('Журнал Закупок'!D755,'СТ Криптовалюта'!$C$3:$E$1788,2,0)*'Журнал Закупок'!G755,5))</f>
        <v/>
      </c>
      <c r="O755" s="71"/>
      <c r="P755" s="71" t="str">
        <f t="shared" si="54"/>
        <v/>
      </c>
      <c r="Q755" s="75" t="str">
        <f t="shared" si="55"/>
        <v/>
      </c>
      <c r="R755" s="76"/>
    </row>
    <row r="756" spans="1:18" ht="14.25" customHeight="1">
      <c r="A756" s="67"/>
      <c r="B756" s="68"/>
      <c r="C756" s="69"/>
      <c r="D756" s="69" t="str">
        <f ca="1">IF(B756="","",VLOOKUP('Журнал Закупок'!$B756,'СТ Криптовалюта'!B:C,2,0))</f>
        <v/>
      </c>
      <c r="E756" s="68"/>
      <c r="F756" s="70" t="str">
        <f>IF(D756="","",IF(B756=#REF!,"Основная",IF(B756=#REF!,"Основная",IF(B756=#REF!,"Основная","Экспериментальная"))))</f>
        <v/>
      </c>
      <c r="G756" s="71"/>
      <c r="H756" s="71"/>
      <c r="I756" s="71" t="str">
        <f t="shared" si="56"/>
        <v/>
      </c>
      <c r="J756" s="71"/>
      <c r="K756" s="71"/>
      <c r="L756" s="71"/>
      <c r="M756" s="71"/>
      <c r="N756" s="71" t="str">
        <f ca="1">IF(I756="","",ROUND(VLOOKUP('Журнал Закупок'!D756,'СТ Криптовалюта'!$C$3:$E$1788,2,0)*'Журнал Закупок'!G756,5))</f>
        <v/>
      </c>
      <c r="O756" s="71"/>
      <c r="P756" s="71" t="str">
        <f t="shared" si="54"/>
        <v/>
      </c>
      <c r="Q756" s="75" t="str">
        <f t="shared" si="55"/>
        <v/>
      </c>
      <c r="R756" s="76"/>
    </row>
    <row r="757" spans="1:18" ht="14.25" customHeight="1">
      <c r="A757" s="67"/>
      <c r="B757" s="68"/>
      <c r="C757" s="69"/>
      <c r="D757" s="69" t="str">
        <f ca="1">IF(B757="","",VLOOKUP('Журнал Закупок'!$B757,'СТ Криптовалюта'!B:C,2,0))</f>
        <v/>
      </c>
      <c r="E757" s="68"/>
      <c r="F757" s="70" t="str">
        <f>IF(D757="","",IF(B757=#REF!,"Основная",IF(B757=#REF!,"Основная",IF(B757=#REF!,"Основная","Экспериментальная"))))</f>
        <v/>
      </c>
      <c r="G757" s="71"/>
      <c r="H757" s="71"/>
      <c r="I757" s="71" t="str">
        <f t="shared" si="56"/>
        <v/>
      </c>
      <c r="J757" s="71"/>
      <c r="K757" s="71"/>
      <c r="L757" s="71"/>
      <c r="M757" s="71"/>
      <c r="N757" s="71" t="str">
        <f ca="1">IF(I757="","",ROUND(VLOOKUP('Журнал Закупок'!D757,'СТ Криптовалюта'!$C$3:$E$1788,2,0)*'Журнал Закупок'!G757,5))</f>
        <v/>
      </c>
      <c r="O757" s="71"/>
      <c r="P757" s="71" t="str">
        <f t="shared" si="54"/>
        <v/>
      </c>
      <c r="Q757" s="75" t="str">
        <f t="shared" si="55"/>
        <v/>
      </c>
      <c r="R757" s="76"/>
    </row>
    <row r="758" spans="1:18" ht="14.25" customHeight="1">
      <c r="A758" s="67"/>
      <c r="B758" s="68"/>
      <c r="C758" s="69"/>
      <c r="D758" s="69" t="str">
        <f ca="1">IF(B758="","",VLOOKUP('Журнал Закупок'!$B758,'СТ Криптовалюта'!B:C,2,0))</f>
        <v/>
      </c>
      <c r="E758" s="68"/>
      <c r="F758" s="70" t="str">
        <f>IF(D758="","",IF(B758=#REF!,"Основная",IF(B758=#REF!,"Основная",IF(B758=#REF!,"Основная","Экспериментальная"))))</f>
        <v/>
      </c>
      <c r="G758" s="71"/>
      <c r="H758" s="71"/>
      <c r="I758" s="71" t="str">
        <f t="shared" si="56"/>
        <v/>
      </c>
      <c r="J758" s="71"/>
      <c r="K758" s="71"/>
      <c r="L758" s="71"/>
      <c r="M758" s="71"/>
      <c r="N758" s="71" t="str">
        <f ca="1">IF(I758="","",ROUND(VLOOKUP('Журнал Закупок'!D758,'СТ Криптовалюта'!$C$3:$E$1788,2,0)*'Журнал Закупок'!G758,5))</f>
        <v/>
      </c>
      <c r="O758" s="71"/>
      <c r="P758" s="71" t="str">
        <f t="shared" si="54"/>
        <v/>
      </c>
      <c r="Q758" s="75" t="str">
        <f t="shared" si="55"/>
        <v/>
      </c>
      <c r="R758" s="76"/>
    </row>
    <row r="759" spans="1:18" ht="14.25" customHeight="1">
      <c r="A759" s="67"/>
      <c r="B759" s="68"/>
      <c r="C759" s="69"/>
      <c r="D759" s="69" t="str">
        <f ca="1">IF(B759="","",VLOOKUP('Журнал Закупок'!$B759,'СТ Криптовалюта'!B:C,2,0))</f>
        <v/>
      </c>
      <c r="E759" s="68"/>
      <c r="F759" s="70" t="str">
        <f>IF(D759="","",IF(B759=#REF!,"Основная",IF(B759=#REF!,"Основная",IF(B759=#REF!,"Основная","Экспериментальная"))))</f>
        <v/>
      </c>
      <c r="G759" s="71"/>
      <c r="H759" s="71"/>
      <c r="I759" s="71" t="str">
        <f t="shared" si="56"/>
        <v/>
      </c>
      <c r="J759" s="71"/>
      <c r="K759" s="71"/>
      <c r="L759" s="71"/>
      <c r="M759" s="71"/>
      <c r="N759" s="71" t="str">
        <f ca="1">IF(I759="","",ROUND(VLOOKUP('Журнал Закупок'!D759,'СТ Криптовалюта'!$C$3:$E$1788,2,0)*'Журнал Закупок'!G759,5))</f>
        <v/>
      </c>
      <c r="O759" s="71"/>
      <c r="P759" s="71" t="str">
        <f t="shared" si="54"/>
        <v/>
      </c>
      <c r="Q759" s="75" t="str">
        <f t="shared" si="55"/>
        <v/>
      </c>
      <c r="R759" s="76"/>
    </row>
    <row r="760" spans="1:18" ht="14.25" customHeight="1">
      <c r="A760" s="67"/>
      <c r="B760" s="68"/>
      <c r="C760" s="69"/>
      <c r="D760" s="69" t="str">
        <f ca="1">IF(B760="","",VLOOKUP('Журнал Закупок'!$B760,'СТ Криптовалюта'!B:C,2,0))</f>
        <v/>
      </c>
      <c r="E760" s="68"/>
      <c r="F760" s="70" t="str">
        <f>IF(D760="","",IF(B760=#REF!,"Основная",IF(B760=#REF!,"Основная",IF(B760=#REF!,"Основная","Экспериментальная"))))</f>
        <v/>
      </c>
      <c r="G760" s="71"/>
      <c r="H760" s="71"/>
      <c r="I760" s="71" t="str">
        <f t="shared" si="56"/>
        <v/>
      </c>
      <c r="J760" s="71"/>
      <c r="K760" s="71"/>
      <c r="L760" s="71"/>
      <c r="M760" s="71"/>
      <c r="N760" s="71" t="str">
        <f ca="1">IF(I760="","",ROUND(VLOOKUP('Журнал Закупок'!D760,'СТ Криптовалюта'!$C$3:$E$1788,2,0)*'Журнал Закупок'!G760,5))</f>
        <v/>
      </c>
      <c r="O760" s="71"/>
      <c r="P760" s="71" t="str">
        <f t="shared" si="54"/>
        <v/>
      </c>
      <c r="Q760" s="75" t="str">
        <f t="shared" si="55"/>
        <v/>
      </c>
      <c r="R760" s="76"/>
    </row>
    <row r="761" spans="1:18" ht="14.25" customHeight="1">
      <c r="A761" s="67"/>
      <c r="B761" s="68"/>
      <c r="C761" s="69"/>
      <c r="D761" s="69" t="str">
        <f ca="1">IF(B761="","",VLOOKUP('Журнал Закупок'!$B761,'СТ Криптовалюта'!B:C,2,0))</f>
        <v/>
      </c>
      <c r="E761" s="68"/>
      <c r="F761" s="70" t="str">
        <f>IF(D761="","",IF(B761=#REF!,"Основная",IF(B761=#REF!,"Основная",IF(B761=#REF!,"Основная","Экспериментальная"))))</f>
        <v/>
      </c>
      <c r="G761" s="71"/>
      <c r="H761" s="71"/>
      <c r="I761" s="71" t="str">
        <f t="shared" si="56"/>
        <v/>
      </c>
      <c r="J761" s="71"/>
      <c r="K761" s="71"/>
      <c r="L761" s="71"/>
      <c r="M761" s="71"/>
      <c r="N761" s="71" t="str">
        <f ca="1">IF(I761="","",ROUND(VLOOKUP('Журнал Закупок'!D761,'СТ Криптовалюта'!$C$3:$E$1788,2,0)*'Журнал Закупок'!G761,5))</f>
        <v/>
      </c>
      <c r="O761" s="71"/>
      <c r="P761" s="71" t="str">
        <f t="shared" si="54"/>
        <v/>
      </c>
      <c r="Q761" s="75" t="str">
        <f t="shared" si="55"/>
        <v/>
      </c>
      <c r="R761" s="76"/>
    </row>
    <row r="762" spans="1:18" ht="14.25" customHeight="1">
      <c r="A762" s="67"/>
      <c r="B762" s="68"/>
      <c r="C762" s="69"/>
      <c r="D762" s="69" t="str">
        <f ca="1">IF(B762="","",VLOOKUP('Журнал Закупок'!$B762,'СТ Криптовалюта'!B:C,2,0))</f>
        <v/>
      </c>
      <c r="E762" s="68"/>
      <c r="F762" s="70" t="str">
        <f>IF(D762="","",IF(B762=#REF!,"Основная",IF(B762=#REF!,"Основная",IF(B762=#REF!,"Основная","Экспериментальная"))))</f>
        <v/>
      </c>
      <c r="G762" s="71"/>
      <c r="H762" s="71"/>
      <c r="I762" s="71" t="str">
        <f t="shared" si="56"/>
        <v/>
      </c>
      <c r="J762" s="71"/>
      <c r="K762" s="71"/>
      <c r="L762" s="71"/>
      <c r="M762" s="71"/>
      <c r="N762" s="71" t="str">
        <f ca="1">IF(I762="","",ROUND(VLOOKUP('Журнал Закупок'!D762,'СТ Криптовалюта'!$C$3:$E$1788,2,0)*'Журнал Закупок'!G762,5))</f>
        <v/>
      </c>
      <c r="O762" s="71"/>
      <c r="P762" s="71" t="str">
        <f t="shared" si="54"/>
        <v/>
      </c>
      <c r="Q762" s="75" t="str">
        <f t="shared" si="55"/>
        <v/>
      </c>
      <c r="R762" s="76"/>
    </row>
    <row r="763" spans="1:18" ht="14.25" customHeight="1">
      <c r="A763" s="67"/>
      <c r="B763" s="68"/>
      <c r="C763" s="69"/>
      <c r="D763" s="69" t="str">
        <f ca="1">IF(B763="","",VLOOKUP('Журнал Закупок'!$B763,'СТ Криптовалюта'!B:C,2,0))</f>
        <v/>
      </c>
      <c r="E763" s="68"/>
      <c r="F763" s="70" t="str">
        <f>IF(D763="","",IF(B763=#REF!,"Основная",IF(B763=#REF!,"Основная",IF(B763=#REF!,"Основная","Экспериментальная"))))</f>
        <v/>
      </c>
      <c r="G763" s="71"/>
      <c r="H763" s="71"/>
      <c r="I763" s="71" t="str">
        <f t="shared" si="56"/>
        <v/>
      </c>
      <c r="J763" s="71"/>
      <c r="K763" s="71"/>
      <c r="L763" s="71"/>
      <c r="M763" s="71"/>
      <c r="N763" s="71" t="str">
        <f ca="1">IF(I763="","",ROUND(VLOOKUP('Журнал Закупок'!D763,'СТ Криптовалюта'!$C$3:$E$1788,2,0)*'Журнал Закупок'!G763,5))</f>
        <v/>
      </c>
      <c r="O763" s="71"/>
      <c r="P763" s="71" t="str">
        <f t="shared" si="54"/>
        <v/>
      </c>
      <c r="Q763" s="75" t="str">
        <f t="shared" si="55"/>
        <v/>
      </c>
      <c r="R763" s="76"/>
    </row>
    <row r="764" spans="1:18" ht="14.25" customHeight="1">
      <c r="A764" s="67"/>
      <c r="B764" s="68"/>
      <c r="C764" s="69"/>
      <c r="D764" s="69" t="str">
        <f ca="1">IF(B764="","",VLOOKUP('Журнал Закупок'!$B764,'СТ Криптовалюта'!B:C,2,0))</f>
        <v/>
      </c>
      <c r="E764" s="68"/>
      <c r="F764" s="70" t="str">
        <f>IF(D764="","",IF(B764=#REF!,"Основная",IF(B764=#REF!,"Основная",IF(B764=#REF!,"Основная","Экспериментальная"))))</f>
        <v/>
      </c>
      <c r="G764" s="71"/>
      <c r="H764" s="71"/>
      <c r="I764" s="71" t="str">
        <f t="shared" si="56"/>
        <v/>
      </c>
      <c r="J764" s="71"/>
      <c r="K764" s="71"/>
      <c r="L764" s="71"/>
      <c r="M764" s="71"/>
      <c r="N764" s="71" t="str">
        <f ca="1">IF(I764="","",ROUND(VLOOKUP('Журнал Закупок'!D764,'СТ Криптовалюта'!$C$3:$E$1788,2,0)*'Журнал Закупок'!G764,5))</f>
        <v/>
      </c>
      <c r="O764" s="71"/>
      <c r="P764" s="71" t="str">
        <f t="shared" si="54"/>
        <v/>
      </c>
      <c r="Q764" s="75" t="str">
        <f t="shared" si="55"/>
        <v/>
      </c>
      <c r="R764" s="76"/>
    </row>
    <row r="765" spans="1:18" ht="14.25" customHeight="1">
      <c r="A765" s="67"/>
      <c r="B765" s="68"/>
      <c r="C765" s="69"/>
      <c r="D765" s="69" t="str">
        <f ca="1">IF(B765="","",VLOOKUP('Журнал Закупок'!$B765,'СТ Криптовалюта'!B:C,2,0))</f>
        <v/>
      </c>
      <c r="E765" s="68"/>
      <c r="F765" s="70" t="str">
        <f>IF(D765="","",IF(B765=#REF!,"Основная",IF(B765=#REF!,"Основная",IF(B765=#REF!,"Основная","Экспериментальная"))))</f>
        <v/>
      </c>
      <c r="G765" s="71"/>
      <c r="H765" s="71"/>
      <c r="I765" s="71" t="str">
        <f t="shared" si="56"/>
        <v/>
      </c>
      <c r="J765" s="71"/>
      <c r="K765" s="71"/>
      <c r="L765" s="71"/>
      <c r="M765" s="71"/>
      <c r="N765" s="71" t="str">
        <f ca="1">IF(I765="","",ROUND(VLOOKUP('Журнал Закупок'!D765,'СТ Криптовалюта'!$C$3:$E$1788,2,0)*'Журнал Закупок'!G765,5))</f>
        <v/>
      </c>
      <c r="O765" s="71"/>
      <c r="P765" s="71" t="str">
        <f t="shared" si="54"/>
        <v/>
      </c>
      <c r="Q765" s="75" t="str">
        <f t="shared" si="55"/>
        <v/>
      </c>
      <c r="R765" s="76"/>
    </row>
    <row r="766" spans="1:18" ht="14.25" customHeight="1">
      <c r="A766" s="67"/>
      <c r="B766" s="68"/>
      <c r="C766" s="69"/>
      <c r="D766" s="69" t="str">
        <f ca="1">IF(B766="","",VLOOKUP('Журнал Закупок'!$B766,'СТ Криптовалюта'!B:C,2,0))</f>
        <v/>
      </c>
      <c r="E766" s="68"/>
      <c r="F766" s="70" t="str">
        <f>IF(D766="","",IF(B766=#REF!,"Основная",IF(B766=#REF!,"Основная",IF(B766=#REF!,"Основная","Экспериментальная"))))</f>
        <v/>
      </c>
      <c r="G766" s="71"/>
      <c r="H766" s="71"/>
      <c r="I766" s="71" t="str">
        <f t="shared" si="56"/>
        <v/>
      </c>
      <c r="J766" s="71"/>
      <c r="K766" s="71"/>
      <c r="L766" s="71"/>
      <c r="M766" s="71"/>
      <c r="N766" s="71" t="str">
        <f ca="1">IF(I766="","",ROUND(VLOOKUP('Журнал Закупок'!D766,'СТ Криптовалюта'!$C$3:$E$1788,2,0)*'Журнал Закупок'!G766,5))</f>
        <v/>
      </c>
      <c r="O766" s="71"/>
      <c r="P766" s="71" t="str">
        <f t="shared" si="54"/>
        <v/>
      </c>
      <c r="Q766" s="75" t="str">
        <f t="shared" si="55"/>
        <v/>
      </c>
      <c r="R766" s="76"/>
    </row>
    <row r="767" spans="1:18" ht="14.25" customHeight="1">
      <c r="A767" s="67"/>
      <c r="B767" s="68"/>
      <c r="C767" s="69"/>
      <c r="D767" s="69" t="str">
        <f ca="1">IF(B767="","",VLOOKUP('Журнал Закупок'!$B767,'СТ Криптовалюта'!B:C,2,0))</f>
        <v/>
      </c>
      <c r="E767" s="68"/>
      <c r="F767" s="70" t="str">
        <f>IF(D767="","",IF(B767=#REF!,"Основная",IF(B767=#REF!,"Основная",IF(B767=#REF!,"Основная","Экспериментальная"))))</f>
        <v/>
      </c>
      <c r="G767" s="71"/>
      <c r="H767" s="71"/>
      <c r="I767" s="71" t="str">
        <f t="shared" si="56"/>
        <v/>
      </c>
      <c r="J767" s="71"/>
      <c r="K767" s="71"/>
      <c r="L767" s="71"/>
      <c r="M767" s="71"/>
      <c r="N767" s="71" t="str">
        <f ca="1">IF(I767="","",ROUND(VLOOKUP('Журнал Закупок'!D767,'СТ Криптовалюта'!$C$3:$E$1788,2,0)*'Журнал Закупок'!G767,5))</f>
        <v/>
      </c>
      <c r="O767" s="71"/>
      <c r="P767" s="71" t="str">
        <f t="shared" si="54"/>
        <v/>
      </c>
      <c r="Q767" s="75" t="str">
        <f t="shared" si="55"/>
        <v/>
      </c>
      <c r="R767" s="76"/>
    </row>
    <row r="768" spans="1:18" ht="14.25" customHeight="1">
      <c r="A768" s="67"/>
      <c r="B768" s="68"/>
      <c r="C768" s="69"/>
      <c r="D768" s="69" t="str">
        <f ca="1">IF(B768="","",VLOOKUP('Журнал Закупок'!$B768,'СТ Криптовалюта'!B:C,2,0))</f>
        <v/>
      </c>
      <c r="E768" s="68"/>
      <c r="F768" s="70" t="str">
        <f>IF(D768="","",IF(B768=#REF!,"Основная",IF(B768=#REF!,"Основная",IF(B768=#REF!,"Основная","Экспериментальная"))))</f>
        <v/>
      </c>
      <c r="G768" s="71"/>
      <c r="H768" s="71"/>
      <c r="I768" s="71" t="str">
        <f t="shared" si="56"/>
        <v/>
      </c>
      <c r="J768" s="71"/>
      <c r="K768" s="71"/>
      <c r="L768" s="71"/>
      <c r="M768" s="71"/>
      <c r="N768" s="71" t="str">
        <f ca="1">IF(I768="","",ROUND(VLOOKUP('Журнал Закупок'!D768,'СТ Криптовалюта'!$C$3:$E$1788,2,0)*'Журнал Закупок'!G768,5))</f>
        <v/>
      </c>
      <c r="O768" s="71"/>
      <c r="P768" s="71" t="str">
        <f t="shared" si="54"/>
        <v/>
      </c>
      <c r="Q768" s="75" t="str">
        <f t="shared" si="55"/>
        <v/>
      </c>
      <c r="R768" s="76"/>
    </row>
    <row r="769" spans="1:18" ht="14.25" customHeight="1">
      <c r="A769" s="67"/>
      <c r="B769" s="68"/>
      <c r="C769" s="69"/>
      <c r="D769" s="69" t="str">
        <f ca="1">IF(B769="","",VLOOKUP('Журнал Закупок'!$B769,'СТ Криптовалюта'!B:C,2,0))</f>
        <v/>
      </c>
      <c r="E769" s="68"/>
      <c r="F769" s="70" t="str">
        <f>IF(D769="","",IF(B769=#REF!,"Основная",IF(B769=#REF!,"Основная",IF(B769=#REF!,"Основная","Экспериментальная"))))</f>
        <v/>
      </c>
      <c r="G769" s="71"/>
      <c r="H769" s="71"/>
      <c r="I769" s="71" t="str">
        <f t="shared" si="56"/>
        <v/>
      </c>
      <c r="J769" s="71"/>
      <c r="K769" s="71"/>
      <c r="L769" s="71"/>
      <c r="M769" s="71"/>
      <c r="N769" s="71" t="str">
        <f ca="1">IF(I769="","",ROUND(VLOOKUP('Журнал Закупок'!D769,'СТ Криптовалюта'!$C$3:$E$1788,2,0)*'Журнал Закупок'!G769,5))</f>
        <v/>
      </c>
      <c r="O769" s="71"/>
      <c r="P769" s="71" t="str">
        <f t="shared" si="54"/>
        <v/>
      </c>
      <c r="Q769" s="75" t="str">
        <f t="shared" si="55"/>
        <v/>
      </c>
      <c r="R769" s="76"/>
    </row>
    <row r="770" spans="1:18" ht="14.25" customHeight="1">
      <c r="A770" s="67"/>
      <c r="B770" s="68"/>
      <c r="C770" s="69"/>
      <c r="D770" s="69" t="str">
        <f ca="1">IF(B770="","",VLOOKUP('Журнал Закупок'!$B770,'СТ Криптовалюта'!B:C,2,0))</f>
        <v/>
      </c>
      <c r="E770" s="68"/>
      <c r="F770" s="70" t="str">
        <f>IF(D770="","",IF(B770=#REF!,"Основная",IF(B770=#REF!,"Основная",IF(B770=#REF!,"Основная","Экспериментальная"))))</f>
        <v/>
      </c>
      <c r="G770" s="71"/>
      <c r="H770" s="71"/>
      <c r="I770" s="71" t="str">
        <f t="shared" si="56"/>
        <v/>
      </c>
      <c r="J770" s="71"/>
      <c r="K770" s="71"/>
      <c r="L770" s="71"/>
      <c r="M770" s="71"/>
      <c r="N770" s="71" t="str">
        <f ca="1">IF(I770="","",ROUND(VLOOKUP('Журнал Закупок'!D770,'СТ Криптовалюта'!$C$3:$E$1788,2,0)*'Журнал Закупок'!G770,5))</f>
        <v/>
      </c>
      <c r="O770" s="71"/>
      <c r="P770" s="71" t="str">
        <f t="shared" si="54"/>
        <v/>
      </c>
      <c r="Q770" s="75" t="str">
        <f t="shared" si="55"/>
        <v/>
      </c>
      <c r="R770" s="76"/>
    </row>
    <row r="771" spans="1:18" ht="14.25" customHeight="1">
      <c r="A771" s="67"/>
      <c r="B771" s="68"/>
      <c r="C771" s="69"/>
      <c r="D771" s="69" t="str">
        <f ca="1">IF(B771="","",VLOOKUP('Журнал Закупок'!$B771,'СТ Криптовалюта'!B:C,2,0))</f>
        <v/>
      </c>
      <c r="E771" s="68"/>
      <c r="F771" s="70" t="str">
        <f>IF(D771="","",IF(B771=#REF!,"Основная",IF(B771=#REF!,"Основная",IF(B771=#REF!,"Основная","Экспериментальная"))))</f>
        <v/>
      </c>
      <c r="G771" s="71"/>
      <c r="H771" s="71"/>
      <c r="I771" s="71" t="str">
        <f t="shared" si="56"/>
        <v/>
      </c>
      <c r="J771" s="71"/>
      <c r="K771" s="71"/>
      <c r="L771" s="71"/>
      <c r="M771" s="71"/>
      <c r="N771" s="71" t="str">
        <f ca="1">IF(I771="","",ROUND(VLOOKUP('Журнал Закупок'!D771,'СТ Криптовалюта'!$C$3:$E$1788,2,0)*'Журнал Закупок'!G771,5))</f>
        <v/>
      </c>
      <c r="O771" s="71"/>
      <c r="P771" s="71" t="str">
        <f t="shared" si="54"/>
        <v/>
      </c>
      <c r="Q771" s="75" t="str">
        <f t="shared" si="55"/>
        <v/>
      </c>
      <c r="R771" s="76"/>
    </row>
    <row r="772" spans="1:18" ht="14.25" customHeight="1">
      <c r="A772" s="67"/>
      <c r="B772" s="68"/>
      <c r="C772" s="69"/>
      <c r="D772" s="69" t="str">
        <f ca="1">IF(B772="","",VLOOKUP('Журнал Закупок'!$B772,'СТ Криптовалюта'!B:C,2,0))</f>
        <v/>
      </c>
      <c r="E772" s="68"/>
      <c r="F772" s="70" t="str">
        <f>IF(D772="","",IF(B772=#REF!,"Основная",IF(B772=#REF!,"Основная",IF(B772=#REF!,"Основная","Экспериментальная"))))</f>
        <v/>
      </c>
      <c r="G772" s="71"/>
      <c r="H772" s="71"/>
      <c r="I772" s="71" t="str">
        <f t="shared" si="56"/>
        <v/>
      </c>
      <c r="J772" s="71"/>
      <c r="K772" s="71"/>
      <c r="L772" s="71"/>
      <c r="M772" s="71"/>
      <c r="N772" s="71" t="str">
        <f ca="1">IF(I772="","",ROUND(VLOOKUP('Журнал Закупок'!D772,'СТ Криптовалюта'!$C$3:$E$1788,2,0)*'Журнал Закупок'!G772,5))</f>
        <v/>
      </c>
      <c r="O772" s="71"/>
      <c r="P772" s="71" t="str">
        <f t="shared" si="54"/>
        <v/>
      </c>
      <c r="Q772" s="75" t="str">
        <f t="shared" si="55"/>
        <v/>
      </c>
      <c r="R772" s="76"/>
    </row>
    <row r="773" spans="1:18" ht="14.25" customHeight="1">
      <c r="A773" s="67"/>
      <c r="B773" s="68"/>
      <c r="C773" s="69"/>
      <c r="D773" s="69" t="str">
        <f ca="1">IF(B773="","",VLOOKUP('Журнал Закупок'!$B773,'СТ Криптовалюта'!B:C,2,0))</f>
        <v/>
      </c>
      <c r="E773" s="68"/>
      <c r="F773" s="70" t="str">
        <f>IF(D773="","",IF(B773=#REF!,"Основная",IF(B773=#REF!,"Основная",IF(B773=#REF!,"Основная","Экспериментальная"))))</f>
        <v/>
      </c>
      <c r="G773" s="71"/>
      <c r="H773" s="71"/>
      <c r="I773" s="71" t="str">
        <f t="shared" si="56"/>
        <v/>
      </c>
      <c r="J773" s="71"/>
      <c r="K773" s="71"/>
      <c r="L773" s="71"/>
      <c r="M773" s="71"/>
      <c r="N773" s="71" t="str">
        <f ca="1">IF(I773="","",ROUND(VLOOKUP('Журнал Закупок'!D773,'СТ Криптовалюта'!$C$3:$E$1788,2,0)*'Журнал Закупок'!G773,5))</f>
        <v/>
      </c>
      <c r="O773" s="71"/>
      <c r="P773" s="71" t="str">
        <f t="shared" si="54"/>
        <v/>
      </c>
      <c r="Q773" s="75" t="str">
        <f t="shared" si="55"/>
        <v/>
      </c>
      <c r="R773" s="76"/>
    </row>
    <row r="774" spans="1:18" ht="14.25" customHeight="1">
      <c r="A774" s="67"/>
      <c r="B774" s="68"/>
      <c r="C774" s="69"/>
      <c r="D774" s="69" t="str">
        <f ca="1">IF(B774="","",VLOOKUP('Журнал Закупок'!$B774,'СТ Криптовалюта'!B:C,2,0))</f>
        <v/>
      </c>
      <c r="E774" s="68"/>
      <c r="F774" s="70" t="str">
        <f>IF(D774="","",IF(B774=#REF!,"Основная",IF(B774=#REF!,"Основная",IF(B774=#REF!,"Основная","Экспериментальная"))))</f>
        <v/>
      </c>
      <c r="G774" s="71"/>
      <c r="H774" s="71"/>
      <c r="I774" s="71" t="str">
        <f t="shared" si="56"/>
        <v/>
      </c>
      <c r="J774" s="71"/>
      <c r="K774" s="71"/>
      <c r="L774" s="71"/>
      <c r="M774" s="71"/>
      <c r="N774" s="71" t="str">
        <f ca="1">IF(I774="","",ROUND(VLOOKUP('Журнал Закупок'!D774,'СТ Криптовалюта'!$C$3:$E$1788,2,0)*'Журнал Закупок'!G774,5))</f>
        <v/>
      </c>
      <c r="O774" s="71"/>
      <c r="P774" s="71" t="str">
        <f t="shared" si="54"/>
        <v/>
      </c>
      <c r="Q774" s="75" t="str">
        <f t="shared" si="55"/>
        <v/>
      </c>
      <c r="R774" s="76"/>
    </row>
    <row r="775" spans="1:18" ht="14.25" customHeight="1">
      <c r="A775" s="67"/>
      <c r="B775" s="68"/>
      <c r="C775" s="69"/>
      <c r="D775" s="69" t="str">
        <f ca="1">IF(B775="","",VLOOKUP('Журнал Закупок'!$B775,'СТ Криптовалюта'!B:C,2,0))</f>
        <v/>
      </c>
      <c r="E775" s="68"/>
      <c r="F775" s="70" t="str">
        <f>IF(D775="","",IF(B775=#REF!,"Основная",IF(B775=#REF!,"Основная",IF(B775=#REF!,"Основная","Экспериментальная"))))</f>
        <v/>
      </c>
      <c r="G775" s="71"/>
      <c r="H775" s="71"/>
      <c r="I775" s="71" t="str">
        <f t="shared" si="56"/>
        <v/>
      </c>
      <c r="J775" s="71"/>
      <c r="K775" s="71"/>
      <c r="L775" s="71"/>
      <c r="M775" s="71"/>
      <c r="N775" s="71" t="str">
        <f ca="1">IF(I775="","",ROUND(VLOOKUP('Журнал Закупок'!D775,'СТ Криптовалюта'!$C$3:$E$1788,2,0)*'Журнал Закупок'!G775,5))</f>
        <v/>
      </c>
      <c r="O775" s="71"/>
      <c r="P775" s="71" t="str">
        <f t="shared" si="54"/>
        <v/>
      </c>
      <c r="Q775" s="75" t="str">
        <f t="shared" si="55"/>
        <v/>
      </c>
      <c r="R775" s="76"/>
    </row>
    <row r="776" spans="1:18" ht="14.25" customHeight="1">
      <c r="A776" s="67"/>
      <c r="B776" s="68"/>
      <c r="C776" s="69"/>
      <c r="D776" s="69" t="str">
        <f ca="1">IF(B776="","",VLOOKUP('Журнал Закупок'!$B776,'СТ Криптовалюта'!B:C,2,0))</f>
        <v/>
      </c>
      <c r="E776" s="68"/>
      <c r="F776" s="70" t="str">
        <f>IF(D776="","",IF(B776=#REF!,"Основная",IF(B776=#REF!,"Основная",IF(B776=#REF!,"Основная","Экспериментальная"))))</f>
        <v/>
      </c>
      <c r="G776" s="71"/>
      <c r="H776" s="71"/>
      <c r="I776" s="71" t="str">
        <f t="shared" si="56"/>
        <v/>
      </c>
      <c r="J776" s="71"/>
      <c r="K776" s="71"/>
      <c r="L776" s="71"/>
      <c r="M776" s="71"/>
      <c r="N776" s="71" t="str">
        <f ca="1">IF(I776="","",ROUND(VLOOKUP('Журнал Закупок'!D776,'СТ Криптовалюта'!$C$3:$E$1788,2,0)*'Журнал Закупок'!G776,5))</f>
        <v/>
      </c>
      <c r="O776" s="71"/>
      <c r="P776" s="71" t="str">
        <f t="shared" si="54"/>
        <v/>
      </c>
      <c r="Q776" s="75" t="str">
        <f t="shared" si="55"/>
        <v/>
      </c>
      <c r="R776" s="76"/>
    </row>
    <row r="777" spans="1:18" ht="14.25" customHeight="1">
      <c r="A777" s="67"/>
      <c r="B777" s="68"/>
      <c r="C777" s="69"/>
      <c r="D777" s="69" t="str">
        <f ca="1">IF(B777="","",VLOOKUP('Журнал Закупок'!$B777,'СТ Криптовалюта'!B:C,2,0))</f>
        <v/>
      </c>
      <c r="E777" s="68"/>
      <c r="F777" s="70" t="str">
        <f>IF(D777="","",IF(B777=#REF!,"Основная",IF(B777=#REF!,"Основная",IF(B777=#REF!,"Основная","Экспериментальная"))))</f>
        <v/>
      </c>
      <c r="G777" s="71"/>
      <c r="H777" s="71"/>
      <c r="I777" s="71" t="str">
        <f t="shared" si="56"/>
        <v/>
      </c>
      <c r="J777" s="71"/>
      <c r="K777" s="71"/>
      <c r="L777" s="71"/>
      <c r="M777" s="71"/>
      <c r="N777" s="71" t="str">
        <f ca="1">IF(I777="","",ROUND(VLOOKUP('Журнал Закупок'!D777,'СТ Криптовалюта'!$C$3:$E$1788,2,0)*'Журнал Закупок'!G777,5))</f>
        <v/>
      </c>
      <c r="O777" s="71"/>
      <c r="P777" s="71" t="str">
        <f t="shared" si="54"/>
        <v/>
      </c>
      <c r="Q777" s="75" t="str">
        <f t="shared" si="55"/>
        <v/>
      </c>
      <c r="R777" s="76"/>
    </row>
    <row r="778" spans="1:18" ht="14.25" customHeight="1">
      <c r="A778" s="67"/>
      <c r="B778" s="68"/>
      <c r="C778" s="69"/>
      <c r="D778" s="69" t="str">
        <f ca="1">IF(B778="","",VLOOKUP('Журнал Закупок'!$B778,'СТ Криптовалюта'!B:C,2,0))</f>
        <v/>
      </c>
      <c r="E778" s="68"/>
      <c r="F778" s="70" t="str">
        <f>IF(D778="","",IF(B778=#REF!,"Основная",IF(B778=#REF!,"Основная",IF(B778=#REF!,"Основная","Экспериментальная"))))</f>
        <v/>
      </c>
      <c r="G778" s="71"/>
      <c r="H778" s="71"/>
      <c r="I778" s="71" t="str">
        <f t="shared" si="56"/>
        <v/>
      </c>
      <c r="J778" s="71"/>
      <c r="K778" s="71"/>
      <c r="L778" s="71"/>
      <c r="M778" s="71"/>
      <c r="N778" s="71" t="str">
        <f ca="1">IF(I778="","",ROUND(VLOOKUP('Журнал Закупок'!D778,'СТ Криптовалюта'!$C$3:$E$1788,2,0)*'Журнал Закупок'!G778,5))</f>
        <v/>
      </c>
      <c r="O778" s="71"/>
      <c r="P778" s="71" t="str">
        <f t="shared" si="54"/>
        <v/>
      </c>
      <c r="Q778" s="75" t="str">
        <f t="shared" si="55"/>
        <v/>
      </c>
      <c r="R778" s="76"/>
    </row>
    <row r="779" spans="1:18" ht="14.25" customHeight="1">
      <c r="A779" s="67"/>
      <c r="B779" s="68"/>
      <c r="C779" s="69"/>
      <c r="D779" s="69" t="str">
        <f ca="1">IF(B779="","",VLOOKUP('Журнал Закупок'!$B779,'СТ Криптовалюта'!B:C,2,0))</f>
        <v/>
      </c>
      <c r="E779" s="68"/>
      <c r="F779" s="70" t="str">
        <f>IF(D779="","",IF(B779=#REF!,"Основная",IF(B779=#REF!,"Основная",IF(B779=#REF!,"Основная","Экспериментальная"))))</f>
        <v/>
      </c>
      <c r="G779" s="71"/>
      <c r="H779" s="71"/>
      <c r="I779" s="71" t="str">
        <f t="shared" si="56"/>
        <v/>
      </c>
      <c r="J779" s="71"/>
      <c r="K779" s="71"/>
      <c r="L779" s="71"/>
      <c r="M779" s="71"/>
      <c r="N779" s="71" t="str">
        <f ca="1">IF(I779="","",ROUND(VLOOKUP('Журнал Закупок'!D779,'СТ Криптовалюта'!$C$3:$E$1788,2,0)*'Журнал Закупок'!G779,5))</f>
        <v/>
      </c>
      <c r="O779" s="71"/>
      <c r="P779" s="71" t="str">
        <f t="shared" si="54"/>
        <v/>
      </c>
      <c r="Q779" s="75" t="str">
        <f t="shared" si="55"/>
        <v/>
      </c>
      <c r="R779" s="76"/>
    </row>
    <row r="780" spans="1:18" ht="14.25" customHeight="1">
      <c r="A780" s="67"/>
      <c r="B780" s="68"/>
      <c r="C780" s="69"/>
      <c r="D780" s="69" t="str">
        <f ca="1">IF(B780="","",VLOOKUP('Журнал Закупок'!$B780,'СТ Криптовалюта'!B:C,2,0))</f>
        <v/>
      </c>
      <c r="E780" s="68"/>
      <c r="F780" s="70" t="str">
        <f>IF(D780="","",IF(B780=#REF!,"Основная",IF(B780=#REF!,"Основная",IF(B780=#REF!,"Основная","Экспериментальная"))))</f>
        <v/>
      </c>
      <c r="G780" s="71"/>
      <c r="H780" s="71"/>
      <c r="I780" s="71" t="str">
        <f t="shared" si="56"/>
        <v/>
      </c>
      <c r="J780" s="71"/>
      <c r="K780" s="71"/>
      <c r="L780" s="71"/>
      <c r="M780" s="71"/>
      <c r="N780" s="71" t="str">
        <f ca="1">IF(I780="","",ROUND(VLOOKUP('Журнал Закупок'!D780,'СТ Криптовалюта'!$C$3:$E$1788,2,0)*'Журнал Закупок'!G780,5))</f>
        <v/>
      </c>
      <c r="O780" s="71"/>
      <c r="P780" s="71" t="str">
        <f t="shared" si="54"/>
        <v/>
      </c>
      <c r="Q780" s="75" t="str">
        <f t="shared" si="55"/>
        <v/>
      </c>
      <c r="R780" s="76"/>
    </row>
    <row r="781" spans="1:18" ht="14.25" customHeight="1">
      <c r="A781" s="67"/>
      <c r="B781" s="68"/>
      <c r="C781" s="69"/>
      <c r="D781" s="69" t="str">
        <f ca="1">IF(B781="","",VLOOKUP('Журнал Закупок'!$B781,'СТ Криптовалюта'!B:C,2,0))</f>
        <v/>
      </c>
      <c r="E781" s="68"/>
      <c r="F781" s="70" t="str">
        <f>IF(D781="","",IF(B781=#REF!,"Основная",IF(B781=#REF!,"Основная",IF(B781=#REF!,"Основная","Экспериментальная"))))</f>
        <v/>
      </c>
      <c r="G781" s="71"/>
      <c r="H781" s="71"/>
      <c r="I781" s="71" t="str">
        <f t="shared" si="56"/>
        <v/>
      </c>
      <c r="J781" s="71"/>
      <c r="K781" s="71"/>
      <c r="L781" s="71"/>
      <c r="M781" s="71"/>
      <c r="N781" s="71" t="str">
        <f ca="1">IF(I781="","",ROUND(VLOOKUP('Журнал Закупок'!D781,'СТ Криптовалюта'!$C$3:$E$1788,2,0)*'Журнал Закупок'!G781,5))</f>
        <v/>
      </c>
      <c r="O781" s="71"/>
      <c r="P781" s="71" t="str">
        <f t="shared" si="54"/>
        <v/>
      </c>
      <c r="Q781" s="75" t="str">
        <f t="shared" si="55"/>
        <v/>
      </c>
      <c r="R781" s="76"/>
    </row>
    <row r="782" spans="1:18" ht="14.25" customHeight="1">
      <c r="A782" s="67"/>
      <c r="B782" s="68"/>
      <c r="C782" s="69"/>
      <c r="D782" s="69" t="str">
        <f ca="1">IF(B782="","",VLOOKUP('Журнал Закупок'!$B782,'СТ Криптовалюта'!B:C,2,0))</f>
        <v/>
      </c>
      <c r="E782" s="68"/>
      <c r="F782" s="70" t="str">
        <f>IF(D782="","",IF(B782=#REF!,"Основная",IF(B782=#REF!,"Основная",IF(B782=#REF!,"Основная","Экспериментальная"))))</f>
        <v/>
      </c>
      <c r="G782" s="71"/>
      <c r="H782" s="71"/>
      <c r="I782" s="71" t="str">
        <f t="shared" si="56"/>
        <v/>
      </c>
      <c r="J782" s="71"/>
      <c r="K782" s="71"/>
      <c r="L782" s="71"/>
      <c r="M782" s="71"/>
      <c r="N782" s="71" t="str">
        <f ca="1">IF(I782="","",ROUND(VLOOKUP('Журнал Закупок'!D782,'СТ Криптовалюта'!$C$3:$E$1788,2,0)*'Журнал Закупок'!G782,5))</f>
        <v/>
      </c>
      <c r="O782" s="71"/>
      <c r="P782" s="71" t="str">
        <f t="shared" si="54"/>
        <v/>
      </c>
      <c r="Q782" s="75" t="str">
        <f t="shared" si="55"/>
        <v/>
      </c>
      <c r="R782" s="76"/>
    </row>
    <row r="783" spans="1:18" ht="14.25" customHeight="1">
      <c r="A783" s="67"/>
      <c r="B783" s="68"/>
      <c r="C783" s="69"/>
      <c r="D783" s="69" t="str">
        <f ca="1">IF(B783="","",VLOOKUP('Журнал Закупок'!$B783,'СТ Криптовалюта'!B:C,2,0))</f>
        <v/>
      </c>
      <c r="E783" s="68"/>
      <c r="F783" s="70" t="str">
        <f>IF(D783="","",IF(B783=#REF!,"Основная",IF(B783=#REF!,"Основная",IF(B783=#REF!,"Основная","Экспериментальная"))))</f>
        <v/>
      </c>
      <c r="G783" s="71"/>
      <c r="H783" s="71"/>
      <c r="I783" s="71" t="str">
        <f t="shared" si="56"/>
        <v/>
      </c>
      <c r="J783" s="71"/>
      <c r="K783" s="71"/>
      <c r="L783" s="71"/>
      <c r="M783" s="71"/>
      <c r="N783" s="71" t="str">
        <f ca="1">IF(I783="","",ROUND(VLOOKUP('Журнал Закупок'!D783,'СТ Криптовалюта'!$C$3:$E$1788,2,0)*'Журнал Закупок'!G783,5))</f>
        <v/>
      </c>
      <c r="O783" s="71"/>
      <c r="P783" s="71" t="str">
        <f t="shared" si="54"/>
        <v/>
      </c>
      <c r="Q783" s="75" t="str">
        <f t="shared" si="55"/>
        <v/>
      </c>
      <c r="R783" s="76"/>
    </row>
    <row r="784" spans="1:18" ht="14.25" customHeight="1">
      <c r="A784" s="67"/>
      <c r="B784" s="68"/>
      <c r="C784" s="69"/>
      <c r="D784" s="69" t="str">
        <f ca="1">IF(B784="","",VLOOKUP('Журнал Закупок'!$B784,'СТ Криптовалюта'!B:C,2,0))</f>
        <v/>
      </c>
      <c r="E784" s="68"/>
      <c r="F784" s="70" t="str">
        <f>IF(D784="","",IF(B784=#REF!,"Основная",IF(B784=#REF!,"Основная",IF(B784=#REF!,"Основная","Экспериментальная"))))</f>
        <v/>
      </c>
      <c r="G784" s="71"/>
      <c r="H784" s="71"/>
      <c r="I784" s="71" t="str">
        <f t="shared" si="56"/>
        <v/>
      </c>
      <c r="J784" s="71"/>
      <c r="K784" s="71"/>
      <c r="L784" s="71"/>
      <c r="M784" s="71"/>
      <c r="N784" s="71" t="str">
        <f ca="1">IF(I784="","",ROUND(VLOOKUP('Журнал Закупок'!D784,'СТ Криптовалюта'!$C$3:$E$1788,2,0)*'Журнал Закупок'!G784,5))</f>
        <v/>
      </c>
      <c r="O784" s="71"/>
      <c r="P784" s="71" t="str">
        <f t="shared" si="54"/>
        <v/>
      </c>
      <c r="Q784" s="75" t="str">
        <f t="shared" si="55"/>
        <v/>
      </c>
      <c r="R784" s="76"/>
    </row>
    <row r="785" spans="1:18" ht="14.25" customHeight="1">
      <c r="A785" s="67"/>
      <c r="B785" s="68"/>
      <c r="C785" s="69"/>
      <c r="D785" s="69" t="str">
        <f ca="1">IF(B785="","",VLOOKUP('Журнал Закупок'!$B785,'СТ Криптовалюта'!B:C,2,0))</f>
        <v/>
      </c>
      <c r="E785" s="68"/>
      <c r="F785" s="70" t="str">
        <f>IF(D785="","",IF(B785=#REF!,"Основная",IF(B785=#REF!,"Основная",IF(B785=#REF!,"Основная","Экспериментальная"))))</f>
        <v/>
      </c>
      <c r="G785" s="71"/>
      <c r="H785" s="71"/>
      <c r="I785" s="71" t="str">
        <f t="shared" si="56"/>
        <v/>
      </c>
      <c r="J785" s="71"/>
      <c r="K785" s="71"/>
      <c r="L785" s="71"/>
      <c r="M785" s="71"/>
      <c r="N785" s="71" t="str">
        <f ca="1">IF(I785="","",ROUND(VLOOKUP('Журнал Закупок'!D785,'СТ Криптовалюта'!$C$3:$E$1788,2,0)*'Журнал Закупок'!G785,5))</f>
        <v/>
      </c>
      <c r="O785" s="71"/>
      <c r="P785" s="71" t="str">
        <f t="shared" si="54"/>
        <v/>
      </c>
      <c r="Q785" s="75" t="str">
        <f t="shared" si="55"/>
        <v/>
      </c>
      <c r="R785" s="76"/>
    </row>
    <row r="786" spans="1:18" ht="14.25" customHeight="1">
      <c r="A786" s="67"/>
      <c r="B786" s="68"/>
      <c r="C786" s="69"/>
      <c r="D786" s="69" t="str">
        <f ca="1">IF(B786="","",VLOOKUP('Журнал Закупок'!$B786,'СТ Криптовалюта'!B:C,2,0))</f>
        <v/>
      </c>
      <c r="E786" s="68"/>
      <c r="F786" s="70" t="str">
        <f>IF(D786="","",IF(B786=#REF!,"Основная",IF(B786=#REF!,"Основная",IF(B786=#REF!,"Основная","Экспериментальная"))))</f>
        <v/>
      </c>
      <c r="G786" s="71"/>
      <c r="H786" s="71"/>
      <c r="I786" s="71" t="str">
        <f t="shared" si="56"/>
        <v/>
      </c>
      <c r="J786" s="71"/>
      <c r="K786" s="71"/>
      <c r="L786" s="71"/>
      <c r="M786" s="71"/>
      <c r="N786" s="71" t="str">
        <f ca="1">IF(I786="","",ROUND(VLOOKUP('Журнал Закупок'!D786,'СТ Криптовалюта'!$C$3:$E$1788,2,0)*'Журнал Закупок'!G786,5))</f>
        <v/>
      </c>
      <c r="O786" s="71"/>
      <c r="P786" s="71" t="str">
        <f t="shared" si="54"/>
        <v/>
      </c>
      <c r="Q786" s="75" t="str">
        <f t="shared" si="55"/>
        <v/>
      </c>
      <c r="R786" s="76"/>
    </row>
    <row r="787" spans="1:18" ht="14.25" customHeight="1">
      <c r="A787" s="67"/>
      <c r="B787" s="68"/>
      <c r="C787" s="69"/>
      <c r="D787" s="69" t="str">
        <f ca="1">IF(B787="","",VLOOKUP('Журнал Закупок'!$B787,'СТ Криптовалюта'!B:C,2,0))</f>
        <v/>
      </c>
      <c r="E787" s="68"/>
      <c r="F787" s="70" t="str">
        <f>IF(D787="","",IF(B787=#REF!,"Основная",IF(B787=#REF!,"Основная",IF(B787=#REF!,"Основная","Экспериментальная"))))</f>
        <v/>
      </c>
      <c r="G787" s="71"/>
      <c r="H787" s="71"/>
      <c r="I787" s="71" t="str">
        <f t="shared" si="56"/>
        <v/>
      </c>
      <c r="J787" s="71"/>
      <c r="K787" s="71"/>
      <c r="L787" s="71"/>
      <c r="M787" s="71"/>
      <c r="N787" s="71" t="str">
        <f ca="1">IF(I787="","",ROUND(VLOOKUP('Журнал Закупок'!D787,'СТ Криптовалюта'!$C$3:$E$1788,2,0)*'Журнал Закупок'!G787,5))</f>
        <v/>
      </c>
      <c r="O787" s="71"/>
      <c r="P787" s="71" t="str">
        <f t="shared" si="54"/>
        <v/>
      </c>
      <c r="Q787" s="75" t="str">
        <f t="shared" si="55"/>
        <v/>
      </c>
      <c r="R787" s="76"/>
    </row>
    <row r="788" spans="1:18" ht="14.25" customHeight="1">
      <c r="A788" s="67"/>
      <c r="B788" s="68"/>
      <c r="C788" s="69"/>
      <c r="D788" s="69" t="str">
        <f ca="1">IF(B788="","",VLOOKUP('Журнал Закупок'!$B788,'СТ Криптовалюта'!B:C,2,0))</f>
        <v/>
      </c>
      <c r="E788" s="68"/>
      <c r="F788" s="70" t="str">
        <f>IF(D788="","",IF(B788=#REF!,"Основная",IF(B788=#REF!,"Основная",IF(B788=#REF!,"Основная","Экспериментальная"))))</f>
        <v/>
      </c>
      <c r="G788" s="71"/>
      <c r="H788" s="71"/>
      <c r="I788" s="71" t="str">
        <f t="shared" si="56"/>
        <v/>
      </c>
      <c r="J788" s="71"/>
      <c r="K788" s="71"/>
      <c r="L788" s="71"/>
      <c r="M788" s="71"/>
      <c r="N788" s="71" t="str">
        <f ca="1">IF(I788="","",ROUND(VLOOKUP('Журнал Закупок'!D788,'СТ Криптовалюта'!$C$3:$E$1788,2,0)*'Журнал Закупок'!G788,5))</f>
        <v/>
      </c>
      <c r="O788" s="71"/>
      <c r="P788" s="71" t="str">
        <f t="shared" si="54"/>
        <v/>
      </c>
      <c r="Q788" s="75" t="str">
        <f t="shared" si="55"/>
        <v/>
      </c>
      <c r="R788" s="76"/>
    </row>
    <row r="789" spans="1:18" ht="14.25" customHeight="1">
      <c r="A789" s="67"/>
      <c r="B789" s="68"/>
      <c r="C789" s="69"/>
      <c r="D789" s="69" t="str">
        <f ca="1">IF(B789="","",VLOOKUP('Журнал Закупок'!$B789,'СТ Криптовалюта'!B:C,2,0))</f>
        <v/>
      </c>
      <c r="E789" s="68"/>
      <c r="F789" s="70" t="str">
        <f>IF(D789="","",IF(B789=#REF!,"Основная",IF(B789=#REF!,"Основная",IF(B789=#REF!,"Основная","Экспериментальная"))))</f>
        <v/>
      </c>
      <c r="G789" s="71"/>
      <c r="H789" s="71"/>
      <c r="I789" s="71" t="str">
        <f t="shared" si="56"/>
        <v/>
      </c>
      <c r="J789" s="71"/>
      <c r="K789" s="71"/>
      <c r="L789" s="71"/>
      <c r="M789" s="71"/>
      <c r="N789" s="71" t="str">
        <f ca="1">IF(I789="","",ROUND(VLOOKUP('Журнал Закупок'!D789,'СТ Криптовалюта'!$C$3:$E$1788,2,0)*'Журнал Закупок'!G789,5))</f>
        <v/>
      </c>
      <c r="O789" s="71"/>
      <c r="P789" s="71" t="str">
        <f t="shared" si="54"/>
        <v/>
      </c>
      <c r="Q789" s="75" t="str">
        <f t="shared" si="55"/>
        <v/>
      </c>
      <c r="R789" s="76"/>
    </row>
    <row r="790" spans="1:18" ht="14.25" customHeight="1">
      <c r="A790" s="67"/>
      <c r="B790" s="68"/>
      <c r="C790" s="69"/>
      <c r="D790" s="69" t="str">
        <f ca="1">IF(B790="","",VLOOKUP('Журнал Закупок'!$B790,'СТ Криптовалюта'!B:C,2,0))</f>
        <v/>
      </c>
      <c r="E790" s="68"/>
      <c r="F790" s="70" t="str">
        <f>IF(D790="","",IF(B790=#REF!,"Основная",IF(B790=#REF!,"Основная",IF(B790=#REF!,"Основная","Экспериментальная"))))</f>
        <v/>
      </c>
      <c r="G790" s="71"/>
      <c r="H790" s="71"/>
      <c r="I790" s="71" t="str">
        <f t="shared" si="56"/>
        <v/>
      </c>
      <c r="J790" s="71"/>
      <c r="K790" s="71"/>
      <c r="L790" s="71"/>
      <c r="M790" s="71"/>
      <c r="N790" s="71" t="str">
        <f ca="1">IF(I790="","",ROUND(VLOOKUP('Журнал Закупок'!D790,'СТ Криптовалюта'!$C$3:$E$1788,2,0)*'Журнал Закупок'!G790,5))</f>
        <v/>
      </c>
      <c r="O790" s="71"/>
      <c r="P790" s="71" t="str">
        <f t="shared" si="54"/>
        <v/>
      </c>
      <c r="Q790" s="75" t="str">
        <f t="shared" si="55"/>
        <v/>
      </c>
      <c r="R790" s="76"/>
    </row>
    <row r="791" spans="1:18" ht="14.25" customHeight="1">
      <c r="A791" s="67"/>
      <c r="B791" s="68"/>
      <c r="C791" s="69"/>
      <c r="D791" s="69" t="str">
        <f ca="1">IF(B791="","",VLOOKUP('Журнал Закупок'!$B791,'СТ Криптовалюта'!B:C,2,0))</f>
        <v/>
      </c>
      <c r="E791" s="68"/>
      <c r="F791" s="70" t="str">
        <f>IF(D791="","",IF(B791=#REF!,"Основная",IF(B791=#REF!,"Основная",IF(B791=#REF!,"Основная","Экспериментальная"))))</f>
        <v/>
      </c>
      <c r="G791" s="71"/>
      <c r="H791" s="71"/>
      <c r="I791" s="71" t="str">
        <f t="shared" si="56"/>
        <v/>
      </c>
      <c r="J791" s="71"/>
      <c r="K791" s="71"/>
      <c r="L791" s="71"/>
      <c r="M791" s="71"/>
      <c r="N791" s="71" t="str">
        <f ca="1">IF(I791="","",ROUND(VLOOKUP('Журнал Закупок'!D791,'СТ Криптовалюта'!$C$3:$E$1788,2,0)*'Журнал Закупок'!G791,5))</f>
        <v/>
      </c>
      <c r="O791" s="71"/>
      <c r="P791" s="71" t="str">
        <f t="shared" si="54"/>
        <v/>
      </c>
      <c r="Q791" s="75" t="str">
        <f t="shared" si="55"/>
        <v/>
      </c>
      <c r="R791" s="76"/>
    </row>
    <row r="792" spans="1:18" ht="14.25" customHeight="1">
      <c r="A792" s="67"/>
      <c r="B792" s="68"/>
      <c r="C792" s="69"/>
      <c r="D792" s="69" t="str">
        <f ca="1">IF(B792="","",VLOOKUP('Журнал Закупок'!$B792,'СТ Криптовалюта'!B:C,2,0))</f>
        <v/>
      </c>
      <c r="E792" s="68"/>
      <c r="F792" s="70" t="str">
        <f>IF(D792="","",IF(B792=#REF!,"Основная",IF(B792=#REF!,"Основная",IF(B792=#REF!,"Основная","Экспериментальная"))))</f>
        <v/>
      </c>
      <c r="G792" s="71"/>
      <c r="H792" s="71"/>
      <c r="I792" s="71" t="str">
        <f t="shared" si="56"/>
        <v/>
      </c>
      <c r="J792" s="71"/>
      <c r="K792" s="71"/>
      <c r="L792" s="71"/>
      <c r="M792" s="71"/>
      <c r="N792" s="71" t="str">
        <f ca="1">IF(I792="","",ROUND(VLOOKUP('Журнал Закупок'!D792,'СТ Криптовалюта'!$C$3:$E$1788,2,0)*'Журнал Закупок'!G792,5))</f>
        <v/>
      </c>
      <c r="O792" s="71"/>
      <c r="P792" s="71" t="str">
        <f t="shared" si="54"/>
        <v/>
      </c>
      <c r="Q792" s="75" t="str">
        <f t="shared" si="55"/>
        <v/>
      </c>
      <c r="R792" s="76"/>
    </row>
    <row r="793" spans="1:18" ht="14.25" customHeight="1">
      <c r="A793" s="67"/>
      <c r="B793" s="68"/>
      <c r="C793" s="69"/>
      <c r="D793" s="69" t="str">
        <f ca="1">IF(B793="","",VLOOKUP('Журнал Закупок'!$B793,'СТ Криптовалюта'!B:C,2,0))</f>
        <v/>
      </c>
      <c r="E793" s="68"/>
      <c r="F793" s="70" t="str">
        <f>IF(D793="","",IF(B793=#REF!,"Основная",IF(B793=#REF!,"Основная",IF(B793=#REF!,"Основная","Экспериментальная"))))</f>
        <v/>
      </c>
      <c r="G793" s="71"/>
      <c r="H793" s="71"/>
      <c r="I793" s="71" t="str">
        <f t="shared" si="56"/>
        <v/>
      </c>
      <c r="J793" s="71"/>
      <c r="K793" s="71"/>
      <c r="L793" s="71"/>
      <c r="M793" s="71"/>
      <c r="N793" s="71" t="str">
        <f ca="1">IF(I793="","",ROUND(VLOOKUP('Журнал Закупок'!D793,'СТ Криптовалюта'!$C$3:$E$1788,2,0)*'Журнал Закупок'!G793,5))</f>
        <v/>
      </c>
      <c r="O793" s="71"/>
      <c r="P793" s="71" t="str">
        <f t="shared" si="54"/>
        <v/>
      </c>
      <c r="Q793" s="75" t="str">
        <f t="shared" si="55"/>
        <v/>
      </c>
      <c r="R793" s="76"/>
    </row>
    <row r="794" spans="1:18" ht="14.25" customHeight="1">
      <c r="A794" s="67"/>
      <c r="B794" s="68"/>
      <c r="C794" s="69"/>
      <c r="D794" s="69" t="str">
        <f ca="1">IF(B794="","",VLOOKUP('Журнал Закупок'!$B794,'СТ Криптовалюта'!B:C,2,0))</f>
        <v/>
      </c>
      <c r="E794" s="68"/>
      <c r="F794" s="70" t="str">
        <f>IF(D794="","",IF(B794=#REF!,"Основная",IF(B794=#REF!,"Основная",IF(B794=#REF!,"Основная","Экспериментальная"))))</f>
        <v/>
      </c>
      <c r="G794" s="71"/>
      <c r="H794" s="71"/>
      <c r="I794" s="71" t="str">
        <f t="shared" si="56"/>
        <v/>
      </c>
      <c r="J794" s="71"/>
      <c r="K794" s="71"/>
      <c r="L794" s="71"/>
      <c r="M794" s="71"/>
      <c r="N794" s="71" t="str">
        <f ca="1">IF(I794="","",ROUND(VLOOKUP('Журнал Закупок'!D794,'СТ Криптовалюта'!$C$3:$E$1788,2,0)*'Журнал Закупок'!G794,5))</f>
        <v/>
      </c>
      <c r="O794" s="71"/>
      <c r="P794" s="71" t="str">
        <f t="shared" si="54"/>
        <v/>
      </c>
      <c r="Q794" s="75" t="str">
        <f t="shared" si="55"/>
        <v/>
      </c>
      <c r="R794" s="76"/>
    </row>
    <row r="795" spans="1:18" ht="14.25" customHeight="1">
      <c r="A795" s="67"/>
      <c r="B795" s="68"/>
      <c r="C795" s="69"/>
      <c r="D795" s="69" t="str">
        <f ca="1">IF(B795="","",VLOOKUP('Журнал Закупок'!$B795,'СТ Криптовалюта'!B:C,2,0))</f>
        <v/>
      </c>
      <c r="E795" s="68"/>
      <c r="F795" s="70" t="str">
        <f>IF(D795="","",IF(B795=#REF!,"Основная",IF(B795=#REF!,"Основная",IF(B795=#REF!,"Основная","Экспериментальная"))))</f>
        <v/>
      </c>
      <c r="G795" s="71"/>
      <c r="H795" s="71"/>
      <c r="I795" s="71" t="str">
        <f t="shared" si="56"/>
        <v/>
      </c>
      <c r="J795" s="71"/>
      <c r="K795" s="71"/>
      <c r="L795" s="71"/>
      <c r="M795" s="71"/>
      <c r="N795" s="71" t="str">
        <f ca="1">IF(I795="","",ROUND(VLOOKUP('Журнал Закупок'!D795,'СТ Криптовалюта'!$C$3:$E$1788,2,0)*'Журнал Закупок'!G795,5))</f>
        <v/>
      </c>
      <c r="O795" s="71"/>
      <c r="P795" s="71" t="str">
        <f t="shared" si="54"/>
        <v/>
      </c>
      <c r="Q795" s="75" t="str">
        <f t="shared" si="55"/>
        <v/>
      </c>
      <c r="R795" s="76"/>
    </row>
    <row r="796" spans="1:18" ht="14.25" customHeight="1">
      <c r="A796" s="67"/>
      <c r="B796" s="68"/>
      <c r="C796" s="69"/>
      <c r="D796" s="69" t="str">
        <f ca="1">IF(B796="","",VLOOKUP('Журнал Закупок'!$B796,'СТ Криптовалюта'!B:C,2,0))</f>
        <v/>
      </c>
      <c r="E796" s="68"/>
      <c r="F796" s="70" t="str">
        <f>IF(D796="","",IF(B796=#REF!,"Основная",IF(B796=#REF!,"Основная",IF(B796=#REF!,"Основная","Экспериментальная"))))</f>
        <v/>
      </c>
      <c r="G796" s="71"/>
      <c r="H796" s="71"/>
      <c r="I796" s="71" t="str">
        <f t="shared" si="56"/>
        <v/>
      </c>
      <c r="J796" s="71"/>
      <c r="K796" s="71"/>
      <c r="L796" s="71"/>
      <c r="M796" s="71"/>
      <c r="N796" s="71" t="str">
        <f ca="1">IF(I796="","",ROUND(VLOOKUP('Журнал Закупок'!D796,'СТ Криптовалюта'!$C$3:$E$1788,2,0)*'Журнал Закупок'!G796,5))</f>
        <v/>
      </c>
      <c r="O796" s="71"/>
      <c r="P796" s="71" t="str">
        <f t="shared" si="54"/>
        <v/>
      </c>
      <c r="Q796" s="75" t="str">
        <f t="shared" si="55"/>
        <v/>
      </c>
      <c r="R796" s="76"/>
    </row>
    <row r="797" spans="1:18" ht="14.25" customHeight="1">
      <c r="A797" s="67"/>
      <c r="B797" s="68"/>
      <c r="C797" s="69"/>
      <c r="D797" s="69" t="str">
        <f ca="1">IF(B797="","",VLOOKUP('Журнал Закупок'!$B797,'СТ Криптовалюта'!B:C,2,0))</f>
        <v/>
      </c>
      <c r="E797" s="68"/>
      <c r="F797" s="70" t="str">
        <f>IF(D797="","",IF(B797=#REF!,"Основная",IF(B797=#REF!,"Основная",IF(B797=#REF!,"Основная","Экспериментальная"))))</f>
        <v/>
      </c>
      <c r="G797" s="71"/>
      <c r="H797" s="71"/>
      <c r="I797" s="71" t="str">
        <f t="shared" si="56"/>
        <v/>
      </c>
      <c r="J797" s="71"/>
      <c r="K797" s="71"/>
      <c r="L797" s="71"/>
      <c r="M797" s="71"/>
      <c r="N797" s="71" t="str">
        <f ca="1">IF(I797="","",ROUND(VLOOKUP('Журнал Закупок'!D797,'СТ Криптовалюта'!$C$3:$E$1788,2,0)*'Журнал Закупок'!G797,5))</f>
        <v/>
      </c>
      <c r="O797" s="71"/>
      <c r="P797" s="71" t="str">
        <f t="shared" si="54"/>
        <v/>
      </c>
      <c r="Q797" s="75" t="str">
        <f t="shared" si="55"/>
        <v/>
      </c>
      <c r="R797" s="76"/>
    </row>
    <row r="798" spans="1:18" ht="14.25" customHeight="1">
      <c r="A798" s="67"/>
      <c r="B798" s="68"/>
      <c r="C798" s="69"/>
      <c r="D798" s="69" t="str">
        <f ca="1">IF(B798="","",VLOOKUP('Журнал Закупок'!$B798,'СТ Криптовалюта'!B:C,2,0))</f>
        <v/>
      </c>
      <c r="E798" s="68"/>
      <c r="F798" s="70" t="str">
        <f>IF(D798="","",IF(B798=#REF!,"Основная",IF(B798=#REF!,"Основная",IF(B798=#REF!,"Основная","Экспериментальная"))))</f>
        <v/>
      </c>
      <c r="G798" s="71"/>
      <c r="H798" s="71"/>
      <c r="I798" s="71" t="str">
        <f t="shared" si="56"/>
        <v/>
      </c>
      <c r="J798" s="71"/>
      <c r="K798" s="71"/>
      <c r="L798" s="71"/>
      <c r="M798" s="71"/>
      <c r="N798" s="71" t="str">
        <f ca="1">IF(I798="","",ROUND(VLOOKUP('Журнал Закупок'!D798,'СТ Криптовалюта'!$C$3:$E$1788,2,0)*'Журнал Закупок'!G798,5))</f>
        <v/>
      </c>
      <c r="O798" s="71"/>
      <c r="P798" s="71" t="str">
        <f t="shared" si="54"/>
        <v/>
      </c>
      <c r="Q798" s="75" t="str">
        <f t="shared" si="55"/>
        <v/>
      </c>
      <c r="R798" s="76"/>
    </row>
    <row r="799" spans="1:18" ht="14.25" customHeight="1">
      <c r="A799" s="67"/>
      <c r="B799" s="68"/>
      <c r="C799" s="69"/>
      <c r="D799" s="69" t="str">
        <f ca="1">IF(B799="","",VLOOKUP('Журнал Закупок'!$B799,'СТ Криптовалюта'!B:C,2,0))</f>
        <v/>
      </c>
      <c r="E799" s="68"/>
      <c r="F799" s="70" t="str">
        <f>IF(D799="","",IF(B799=#REF!,"Основная",IF(B799=#REF!,"Основная",IF(B799=#REF!,"Основная","Экспериментальная"))))</f>
        <v/>
      </c>
      <c r="G799" s="71"/>
      <c r="H799" s="71"/>
      <c r="I799" s="71" t="str">
        <f t="shared" si="56"/>
        <v/>
      </c>
      <c r="J799" s="71"/>
      <c r="K799" s="71"/>
      <c r="L799" s="71"/>
      <c r="M799" s="71"/>
      <c r="N799" s="71" t="str">
        <f ca="1">IF(I799="","",ROUND(VLOOKUP('Журнал Закупок'!D799,'СТ Криптовалюта'!$C$3:$E$1788,2,0)*'Журнал Закупок'!G799,5))</f>
        <v/>
      </c>
      <c r="O799" s="71"/>
      <c r="P799" s="71" t="str">
        <f t="shared" si="54"/>
        <v/>
      </c>
      <c r="Q799" s="75" t="str">
        <f t="shared" si="55"/>
        <v/>
      </c>
      <c r="R799" s="76"/>
    </row>
    <row r="800" spans="1:18" ht="14.25" customHeight="1">
      <c r="A800" s="67"/>
      <c r="B800" s="68"/>
      <c r="C800" s="69"/>
      <c r="D800" s="69" t="str">
        <f ca="1">IF(B800="","",VLOOKUP('Журнал Закупок'!$B800,'СТ Криптовалюта'!B:C,2,0))</f>
        <v/>
      </c>
      <c r="E800" s="68"/>
      <c r="F800" s="70" t="str">
        <f>IF(D800="","",IF(B800=#REF!,"Основная",IF(B800=#REF!,"Основная",IF(B800=#REF!,"Основная","Экспериментальная"))))</f>
        <v/>
      </c>
      <c r="G800" s="71"/>
      <c r="H800" s="71"/>
      <c r="I800" s="71" t="str">
        <f t="shared" si="56"/>
        <v/>
      </c>
      <c r="J800" s="71"/>
      <c r="K800" s="71"/>
      <c r="L800" s="71"/>
      <c r="M800" s="71"/>
      <c r="N800" s="71" t="str">
        <f ca="1">IF(I800="","",ROUND(VLOOKUP('Журнал Закупок'!D800,'СТ Криптовалюта'!$C$3:$E$1788,2,0)*'Журнал Закупок'!G800,5))</f>
        <v/>
      </c>
      <c r="O800" s="71"/>
      <c r="P800" s="71" t="str">
        <f t="shared" si="54"/>
        <v/>
      </c>
      <c r="Q800" s="75" t="str">
        <f t="shared" si="55"/>
        <v/>
      </c>
      <c r="R800" s="76"/>
    </row>
    <row r="801" spans="1:18" ht="14.25" customHeight="1">
      <c r="A801" s="67"/>
      <c r="B801" s="68"/>
      <c r="C801" s="69"/>
      <c r="D801" s="69" t="str">
        <f ca="1">IF(B801="","",VLOOKUP('Журнал Закупок'!$B801,'СТ Криптовалюта'!B:C,2,0))</f>
        <v/>
      </c>
      <c r="E801" s="68"/>
      <c r="F801" s="70" t="str">
        <f>IF(D801="","",IF(B801=#REF!,"Основная",IF(B801=#REF!,"Основная",IF(B801=#REF!,"Основная","Экспериментальная"))))</f>
        <v/>
      </c>
      <c r="G801" s="71"/>
      <c r="H801" s="71"/>
      <c r="I801" s="71" t="str">
        <f t="shared" si="56"/>
        <v/>
      </c>
      <c r="J801" s="71"/>
      <c r="K801" s="71"/>
      <c r="L801" s="71"/>
      <c r="M801" s="71"/>
      <c r="N801" s="71" t="str">
        <f ca="1">IF(I801="","",ROUND(VLOOKUP('Журнал Закупок'!D801,'СТ Криптовалюта'!$C$3:$E$1788,2,0)*'Журнал Закупок'!G801,5))</f>
        <v/>
      </c>
      <c r="O801" s="71"/>
      <c r="P801" s="71" t="str">
        <f t="shared" si="54"/>
        <v/>
      </c>
      <c r="Q801" s="75" t="str">
        <f t="shared" si="55"/>
        <v/>
      </c>
      <c r="R801" s="76"/>
    </row>
    <row r="802" spans="1:18" ht="14.25" customHeight="1">
      <c r="A802" s="67"/>
      <c r="B802" s="68"/>
      <c r="C802" s="69"/>
      <c r="D802" s="69" t="str">
        <f ca="1">IF(B802="","",VLOOKUP('Журнал Закупок'!$B802,'СТ Криптовалюта'!B:C,2,0))</f>
        <v/>
      </c>
      <c r="E802" s="68"/>
      <c r="F802" s="70" t="str">
        <f>IF(D802="","",IF(B802=#REF!,"Основная",IF(B802=#REF!,"Основная",IF(B802=#REF!,"Основная","Экспериментальная"))))</f>
        <v/>
      </c>
      <c r="G802" s="71"/>
      <c r="H802" s="71"/>
      <c r="I802" s="71" t="str">
        <f t="shared" si="56"/>
        <v/>
      </c>
      <c r="J802" s="71"/>
      <c r="K802" s="71"/>
      <c r="L802" s="71"/>
      <c r="M802" s="71"/>
      <c r="N802" s="71" t="str">
        <f ca="1">IF(I802="","",ROUND(VLOOKUP('Журнал Закупок'!D802,'СТ Криптовалюта'!$C$3:$E$1788,2,0)*'Журнал Закупок'!G802,5))</f>
        <v/>
      </c>
      <c r="O802" s="71"/>
      <c r="P802" s="71" t="str">
        <f t="shared" si="54"/>
        <v/>
      </c>
      <c r="Q802" s="75" t="str">
        <f t="shared" si="55"/>
        <v/>
      </c>
      <c r="R802" s="76"/>
    </row>
    <row r="803" spans="1:18" ht="14.25" customHeight="1">
      <c r="A803" s="67"/>
      <c r="B803" s="68"/>
      <c r="C803" s="69"/>
      <c r="D803" s="69" t="str">
        <f ca="1">IF(B803="","",VLOOKUP('Журнал Закупок'!$B803,'СТ Криптовалюта'!B:C,2,0))</f>
        <v/>
      </c>
      <c r="E803" s="68"/>
      <c r="F803" s="70" t="str">
        <f>IF(D803="","",IF(B803=#REF!,"Основная",IF(B803=#REF!,"Основная",IF(B803=#REF!,"Основная","Экспериментальная"))))</f>
        <v/>
      </c>
      <c r="G803" s="71"/>
      <c r="H803" s="71"/>
      <c r="I803" s="71" t="str">
        <f t="shared" si="56"/>
        <v/>
      </c>
      <c r="J803" s="71"/>
      <c r="K803" s="71"/>
      <c r="L803" s="71"/>
      <c r="M803" s="71"/>
      <c r="N803" s="71" t="str">
        <f ca="1">IF(I803="","",ROUND(VLOOKUP('Журнал Закупок'!D803,'СТ Криптовалюта'!$C$3:$E$1788,2,0)*'Журнал Закупок'!G803,5))</f>
        <v/>
      </c>
      <c r="O803" s="71"/>
      <c r="P803" s="71" t="str">
        <f t="shared" si="54"/>
        <v/>
      </c>
      <c r="Q803" s="75" t="str">
        <f t="shared" si="55"/>
        <v/>
      </c>
      <c r="R803" s="76"/>
    </row>
    <row r="804" spans="1:18" ht="14.25" customHeight="1">
      <c r="A804" s="67"/>
      <c r="B804" s="68"/>
      <c r="C804" s="69"/>
      <c r="D804" s="69" t="str">
        <f ca="1">IF(B804="","",VLOOKUP('Журнал Закупок'!$B804,'СТ Криптовалюта'!B:C,2,0))</f>
        <v/>
      </c>
      <c r="E804" s="68"/>
      <c r="F804" s="70" t="str">
        <f>IF(D804="","",IF(B804=#REF!,"Основная",IF(B804=#REF!,"Основная",IF(B804=#REF!,"Основная","Экспериментальная"))))</f>
        <v/>
      </c>
      <c r="G804" s="71"/>
      <c r="H804" s="71"/>
      <c r="I804" s="71" t="str">
        <f t="shared" si="56"/>
        <v/>
      </c>
      <c r="J804" s="71"/>
      <c r="K804" s="71"/>
      <c r="L804" s="71"/>
      <c r="M804" s="71"/>
      <c r="N804" s="71" t="str">
        <f ca="1">IF(I804="","",ROUND(VLOOKUP('Журнал Закупок'!D804,'СТ Криптовалюта'!$C$3:$E$1788,2,0)*'Журнал Закупок'!G804,5))</f>
        <v/>
      </c>
      <c r="O804" s="71"/>
      <c r="P804" s="71" t="str">
        <f t="shared" si="54"/>
        <v/>
      </c>
      <c r="Q804" s="75" t="str">
        <f t="shared" si="55"/>
        <v/>
      </c>
      <c r="R804" s="76"/>
    </row>
    <row r="805" spans="1:18" ht="14.25" customHeight="1">
      <c r="A805" s="67"/>
      <c r="B805" s="68"/>
      <c r="C805" s="69"/>
      <c r="D805" s="69" t="str">
        <f ca="1">IF(B805="","",VLOOKUP('Журнал Закупок'!$B805,'СТ Криптовалюта'!B:C,2,0))</f>
        <v/>
      </c>
      <c r="E805" s="68"/>
      <c r="F805" s="70" t="str">
        <f>IF(D805="","",IF(B805=#REF!,"Основная",IF(B805=#REF!,"Основная",IF(B805=#REF!,"Основная","Экспериментальная"))))</f>
        <v/>
      </c>
      <c r="G805" s="71"/>
      <c r="H805" s="71"/>
      <c r="I805" s="71" t="str">
        <f t="shared" si="56"/>
        <v/>
      </c>
      <c r="J805" s="71"/>
      <c r="K805" s="71"/>
      <c r="L805" s="71"/>
      <c r="M805" s="71"/>
      <c r="N805" s="71" t="str">
        <f ca="1">IF(I805="","",ROUND(VLOOKUP('Журнал Закупок'!D805,'СТ Криптовалюта'!$C$3:$E$1788,2,0)*'Журнал Закупок'!G805,5))</f>
        <v/>
      </c>
      <c r="O805" s="71"/>
      <c r="P805" s="71" t="str">
        <f t="shared" si="54"/>
        <v/>
      </c>
      <c r="Q805" s="75" t="str">
        <f t="shared" si="55"/>
        <v/>
      </c>
      <c r="R805" s="76"/>
    </row>
    <row r="806" spans="1:18" ht="14.25" customHeight="1">
      <c r="A806" s="67"/>
      <c r="B806" s="68"/>
      <c r="C806" s="69"/>
      <c r="D806" s="69" t="str">
        <f ca="1">IF(B806="","",VLOOKUP('Журнал Закупок'!$B806,'СТ Криптовалюта'!B:C,2,0))</f>
        <v/>
      </c>
      <c r="E806" s="68"/>
      <c r="F806" s="70" t="str">
        <f>IF(D806="","",IF(B806=#REF!,"Основная",IF(B806=#REF!,"Основная",IF(B806=#REF!,"Основная","Экспериментальная"))))</f>
        <v/>
      </c>
      <c r="G806" s="71"/>
      <c r="H806" s="71"/>
      <c r="I806" s="71" t="str">
        <f t="shared" si="56"/>
        <v/>
      </c>
      <c r="J806" s="71"/>
      <c r="K806" s="71"/>
      <c r="L806" s="71"/>
      <c r="M806" s="71"/>
      <c r="N806" s="71" t="str">
        <f ca="1">IF(I806="","",ROUND(VLOOKUP('Журнал Закупок'!D806,'СТ Криптовалюта'!$C$3:$E$1788,2,0)*'Журнал Закупок'!G806,5))</f>
        <v/>
      </c>
      <c r="O806" s="71"/>
      <c r="P806" s="71" t="str">
        <f t="shared" si="54"/>
        <v/>
      </c>
      <c r="Q806" s="75" t="str">
        <f t="shared" si="55"/>
        <v/>
      </c>
      <c r="R806" s="76"/>
    </row>
    <row r="807" spans="1:18" ht="14.25" customHeight="1">
      <c r="A807" s="67"/>
      <c r="B807" s="68"/>
      <c r="C807" s="69"/>
      <c r="D807" s="69" t="str">
        <f ca="1">IF(B807="","",VLOOKUP('Журнал Закупок'!$B807,'СТ Криптовалюта'!B:C,2,0))</f>
        <v/>
      </c>
      <c r="E807" s="68"/>
      <c r="F807" s="70" t="str">
        <f>IF(D807="","",IF(B807=#REF!,"Основная",IF(B807=#REF!,"Основная",IF(B807=#REF!,"Основная","Экспериментальная"))))</f>
        <v/>
      </c>
      <c r="G807" s="71"/>
      <c r="H807" s="71"/>
      <c r="I807" s="71" t="str">
        <f t="shared" si="56"/>
        <v/>
      </c>
      <c r="J807" s="71"/>
      <c r="K807" s="71"/>
      <c r="L807" s="71"/>
      <c r="M807" s="71"/>
      <c r="N807" s="71" t="str">
        <f ca="1">IF(I807="","",ROUND(VLOOKUP('Журнал Закупок'!D807,'СТ Криптовалюта'!$C$3:$E$1788,2,0)*'Журнал Закупок'!G807,5))</f>
        <v/>
      </c>
      <c r="O807" s="71"/>
      <c r="P807" s="71" t="str">
        <f t="shared" si="54"/>
        <v/>
      </c>
      <c r="Q807" s="75" t="str">
        <f t="shared" si="55"/>
        <v/>
      </c>
      <c r="R807" s="76"/>
    </row>
    <row r="808" spans="1:18" ht="14.25" customHeight="1">
      <c r="A808" s="67"/>
      <c r="B808" s="68"/>
      <c r="C808" s="69"/>
      <c r="D808" s="69" t="str">
        <f ca="1">IF(B808="","",VLOOKUP('Журнал Закупок'!$B808,'СТ Криптовалюта'!B:C,2,0))</f>
        <v/>
      </c>
      <c r="E808" s="68"/>
      <c r="F808" s="70" t="str">
        <f>IF(D808="","",IF(B808=#REF!,"Основная",IF(B808=#REF!,"Основная",IF(B808=#REF!,"Основная","Экспериментальная"))))</f>
        <v/>
      </c>
      <c r="G808" s="71"/>
      <c r="H808" s="71"/>
      <c r="I808" s="71" t="str">
        <f t="shared" si="56"/>
        <v/>
      </c>
      <c r="J808" s="71"/>
      <c r="K808" s="71"/>
      <c r="L808" s="71"/>
      <c r="M808" s="71"/>
      <c r="N808" s="71" t="str">
        <f ca="1">IF(I808="","",ROUND(VLOOKUP('Журнал Закупок'!D808,'СТ Криптовалюта'!$C$3:$E$1788,2,0)*'Журнал Закупок'!G808,5))</f>
        <v/>
      </c>
      <c r="O808" s="71"/>
      <c r="P808" s="71" t="str">
        <f t="shared" si="54"/>
        <v/>
      </c>
      <c r="Q808" s="75" t="str">
        <f t="shared" si="55"/>
        <v/>
      </c>
      <c r="R808" s="76"/>
    </row>
    <row r="809" spans="1:18" ht="14.25" customHeight="1">
      <c r="A809" s="67"/>
      <c r="B809" s="68"/>
      <c r="C809" s="69"/>
      <c r="D809" s="69" t="str">
        <f ca="1">IF(B809="","",VLOOKUP('Журнал Закупок'!$B809,'СТ Криптовалюта'!B:C,2,0))</f>
        <v/>
      </c>
      <c r="E809" s="68"/>
      <c r="F809" s="70" t="str">
        <f>IF(D809="","",IF(B809=#REF!,"Основная",IF(B809=#REF!,"Основная",IF(B809=#REF!,"Основная","Экспериментальная"))))</f>
        <v/>
      </c>
      <c r="G809" s="71"/>
      <c r="H809" s="71"/>
      <c r="I809" s="71" t="str">
        <f t="shared" si="56"/>
        <v/>
      </c>
      <c r="J809" s="71"/>
      <c r="K809" s="71"/>
      <c r="L809" s="71"/>
      <c r="M809" s="71"/>
      <c r="N809" s="71" t="str">
        <f ca="1">IF(I809="","",ROUND(VLOOKUP('Журнал Закупок'!D809,'СТ Криптовалюта'!$C$3:$E$1788,2,0)*'Журнал Закупок'!G809,5))</f>
        <v/>
      </c>
      <c r="O809" s="71"/>
      <c r="P809" s="71" t="str">
        <f t="shared" si="54"/>
        <v/>
      </c>
      <c r="Q809" s="75" t="str">
        <f t="shared" si="55"/>
        <v/>
      </c>
      <c r="R809" s="76"/>
    </row>
    <row r="810" spans="1:18" ht="14.25" customHeight="1">
      <c r="A810" s="67"/>
      <c r="B810" s="68"/>
      <c r="C810" s="69"/>
      <c r="D810" s="69" t="str">
        <f ca="1">IF(B810="","",VLOOKUP('Журнал Закупок'!$B810,'СТ Криптовалюта'!B:C,2,0))</f>
        <v/>
      </c>
      <c r="E810" s="68"/>
      <c r="F810" s="70" t="str">
        <f>IF(D810="","",IF(B810=#REF!,"Основная",IF(B810=#REF!,"Основная",IF(B810=#REF!,"Основная","Экспериментальная"))))</f>
        <v/>
      </c>
      <c r="G810" s="71"/>
      <c r="H810" s="71"/>
      <c r="I810" s="71" t="str">
        <f t="shared" si="56"/>
        <v/>
      </c>
      <c r="J810" s="71"/>
      <c r="K810" s="71"/>
      <c r="L810" s="71"/>
      <c r="M810" s="71"/>
      <c r="N810" s="71" t="str">
        <f ca="1">IF(I810="","",ROUND(VLOOKUP('Журнал Закупок'!D810,'СТ Криптовалюта'!$C$3:$E$1788,2,0)*'Журнал Закупок'!G810,5))</f>
        <v/>
      </c>
      <c r="O810" s="71"/>
      <c r="P810" s="71" t="str">
        <f t="shared" si="54"/>
        <v/>
      </c>
      <c r="Q810" s="75" t="str">
        <f t="shared" si="55"/>
        <v/>
      </c>
      <c r="R810" s="76"/>
    </row>
    <row r="811" spans="1:18" ht="14.25" customHeight="1">
      <c r="A811" s="67"/>
      <c r="B811" s="68"/>
      <c r="C811" s="69"/>
      <c r="D811" s="69" t="str">
        <f ca="1">IF(B811="","",VLOOKUP('Журнал Закупок'!$B811,'СТ Криптовалюта'!B:C,2,0))</f>
        <v/>
      </c>
      <c r="E811" s="68"/>
      <c r="F811" s="70" t="str">
        <f>IF(D811="","",IF(B811=#REF!,"Основная",IF(B811=#REF!,"Основная",IF(B811=#REF!,"Основная","Экспериментальная"))))</f>
        <v/>
      </c>
      <c r="G811" s="71"/>
      <c r="H811" s="71"/>
      <c r="I811" s="71" t="str">
        <f t="shared" si="56"/>
        <v/>
      </c>
      <c r="J811" s="71"/>
      <c r="K811" s="71"/>
      <c r="L811" s="71"/>
      <c r="M811" s="71"/>
      <c r="N811" s="71" t="str">
        <f ca="1">IF(I811="","",ROUND(VLOOKUP('Журнал Закупок'!D811,'СТ Криптовалюта'!$C$3:$E$1788,2,0)*'Журнал Закупок'!G811,5))</f>
        <v/>
      </c>
      <c r="O811" s="71"/>
      <c r="P811" s="71" t="str">
        <f t="shared" ref="P811:P874" si="57">IF(N811="","",ROUND(N811-I811,2))</f>
        <v/>
      </c>
      <c r="Q811" s="75" t="str">
        <f t="shared" ref="Q811:Q874" si="58">IF(P811="","",ROUND(IFERROR((N811-I811)/I811,2),5))</f>
        <v/>
      </c>
      <c r="R811" s="76"/>
    </row>
    <row r="812" spans="1:18" ht="14.25" customHeight="1">
      <c r="A812" s="67"/>
      <c r="B812" s="68"/>
      <c r="C812" s="69"/>
      <c r="D812" s="69" t="str">
        <f ca="1">IF(B812="","",VLOOKUP('Журнал Закупок'!$B812,'СТ Криптовалюта'!B:C,2,0))</f>
        <v/>
      </c>
      <c r="E812" s="68"/>
      <c r="F812" s="70" t="str">
        <f>IF(D812="","",IF(B812=#REF!,"Основная",IF(B812=#REF!,"Основная",IF(B812=#REF!,"Основная","Экспериментальная"))))</f>
        <v/>
      </c>
      <c r="G812" s="71"/>
      <c r="H812" s="71"/>
      <c r="I812" s="71" t="str">
        <f t="shared" si="56"/>
        <v/>
      </c>
      <c r="J812" s="71"/>
      <c r="K812" s="71"/>
      <c r="L812" s="71"/>
      <c r="M812" s="71"/>
      <c r="N812" s="71" t="str">
        <f ca="1">IF(I812="","",ROUND(VLOOKUP('Журнал Закупок'!D812,'СТ Криптовалюта'!$C$3:$E$1788,2,0)*'Журнал Закупок'!G812,5))</f>
        <v/>
      </c>
      <c r="O812" s="71"/>
      <c r="P812" s="71" t="str">
        <f t="shared" si="57"/>
        <v/>
      </c>
      <c r="Q812" s="75" t="str">
        <f t="shared" si="58"/>
        <v/>
      </c>
      <c r="R812" s="76"/>
    </row>
    <row r="813" spans="1:18" ht="14.25" customHeight="1">
      <c r="A813" s="67"/>
      <c r="B813" s="68"/>
      <c r="C813" s="69"/>
      <c r="D813" s="69" t="str">
        <f ca="1">IF(B813="","",VLOOKUP('Журнал Закупок'!$B813,'СТ Криптовалюта'!B:C,2,0))</f>
        <v/>
      </c>
      <c r="E813" s="68"/>
      <c r="F813" s="70" t="str">
        <f>IF(D813="","",IF(B813=#REF!,"Основная",IF(B813=#REF!,"Основная",IF(B813=#REF!,"Основная","Экспериментальная"))))</f>
        <v/>
      </c>
      <c r="G813" s="71"/>
      <c r="H813" s="71"/>
      <c r="I813" s="71" t="str">
        <f t="shared" si="56"/>
        <v/>
      </c>
      <c r="J813" s="71"/>
      <c r="K813" s="71"/>
      <c r="L813" s="71"/>
      <c r="M813" s="71"/>
      <c r="N813" s="71" t="str">
        <f ca="1">IF(I813="","",ROUND(VLOOKUP('Журнал Закупок'!D813,'СТ Криптовалюта'!$C$3:$E$1788,2,0)*'Журнал Закупок'!G813,5))</f>
        <v/>
      </c>
      <c r="O813" s="71"/>
      <c r="P813" s="71" t="str">
        <f t="shared" si="57"/>
        <v/>
      </c>
      <c r="Q813" s="75" t="str">
        <f t="shared" si="58"/>
        <v/>
      </c>
      <c r="R813" s="76"/>
    </row>
    <row r="814" spans="1:18" ht="14.25" customHeight="1">
      <c r="A814" s="67"/>
      <c r="B814" s="68"/>
      <c r="C814" s="69"/>
      <c r="D814" s="69" t="str">
        <f ca="1">IF(B814="","",VLOOKUP('Журнал Закупок'!$B814,'СТ Криптовалюта'!B:C,2,0))</f>
        <v/>
      </c>
      <c r="E814" s="68"/>
      <c r="F814" s="70" t="str">
        <f>IF(D814="","",IF(B814=#REF!,"Основная",IF(B814=#REF!,"Основная",IF(B814=#REF!,"Основная","Экспериментальная"))))</f>
        <v/>
      </c>
      <c r="G814" s="71"/>
      <c r="H814" s="71"/>
      <c r="I814" s="71" t="str">
        <f t="shared" ref="I814:I877" si="59">IF(H814="","",ROUND(G814*H814,5))</f>
        <v/>
      </c>
      <c r="J814" s="71"/>
      <c r="K814" s="71"/>
      <c r="L814" s="71"/>
      <c r="M814" s="71"/>
      <c r="N814" s="71" t="str">
        <f ca="1">IF(I814="","",ROUND(VLOOKUP('Журнал Закупок'!D814,'СТ Криптовалюта'!$C$3:$E$1788,2,0)*'Журнал Закупок'!G814,5))</f>
        <v/>
      </c>
      <c r="O814" s="71"/>
      <c r="P814" s="71" t="str">
        <f t="shared" si="57"/>
        <v/>
      </c>
      <c r="Q814" s="75" t="str">
        <f t="shared" si="58"/>
        <v/>
      </c>
      <c r="R814" s="76"/>
    </row>
    <row r="815" spans="1:18" ht="14.25" customHeight="1">
      <c r="A815" s="67"/>
      <c r="B815" s="68"/>
      <c r="C815" s="69"/>
      <c r="D815" s="69" t="str">
        <f ca="1">IF(B815="","",VLOOKUP('Журнал Закупок'!$B815,'СТ Криптовалюта'!B:C,2,0))</f>
        <v/>
      </c>
      <c r="E815" s="68"/>
      <c r="F815" s="70" t="str">
        <f>IF(D815="","",IF(B815=#REF!,"Основная",IF(B815=#REF!,"Основная",IF(B815=#REF!,"Основная","Экспериментальная"))))</f>
        <v/>
      </c>
      <c r="G815" s="71"/>
      <c r="H815" s="71"/>
      <c r="I815" s="71" t="str">
        <f t="shared" si="59"/>
        <v/>
      </c>
      <c r="J815" s="71"/>
      <c r="K815" s="71"/>
      <c r="L815" s="71"/>
      <c r="M815" s="71"/>
      <c r="N815" s="71" t="str">
        <f ca="1">IF(I815="","",ROUND(VLOOKUP('Журнал Закупок'!D815,'СТ Криптовалюта'!$C$3:$E$1788,2,0)*'Журнал Закупок'!G815,5))</f>
        <v/>
      </c>
      <c r="O815" s="71"/>
      <c r="P815" s="71" t="str">
        <f t="shared" si="57"/>
        <v/>
      </c>
      <c r="Q815" s="75" t="str">
        <f t="shared" si="58"/>
        <v/>
      </c>
      <c r="R815" s="76"/>
    </row>
    <row r="816" spans="1:18" ht="14.25" customHeight="1">
      <c r="A816" s="67"/>
      <c r="B816" s="68"/>
      <c r="C816" s="69"/>
      <c r="D816" s="69" t="str">
        <f ca="1">IF(B816="","",VLOOKUP('Журнал Закупок'!$B816,'СТ Криптовалюта'!B:C,2,0))</f>
        <v/>
      </c>
      <c r="E816" s="68"/>
      <c r="F816" s="70" t="str">
        <f>IF(D816="","",IF(B816=#REF!,"Основная",IF(B816=#REF!,"Основная",IF(B816=#REF!,"Основная","Экспериментальная"))))</f>
        <v/>
      </c>
      <c r="G816" s="71"/>
      <c r="H816" s="71"/>
      <c r="I816" s="71" t="str">
        <f t="shared" si="59"/>
        <v/>
      </c>
      <c r="J816" s="71"/>
      <c r="K816" s="71"/>
      <c r="L816" s="71"/>
      <c r="M816" s="71"/>
      <c r="N816" s="71" t="str">
        <f ca="1">IF(I816="","",ROUND(VLOOKUP('Журнал Закупок'!D816,'СТ Криптовалюта'!$C$3:$E$1788,2,0)*'Журнал Закупок'!G816,5))</f>
        <v/>
      </c>
      <c r="O816" s="71"/>
      <c r="P816" s="71" t="str">
        <f t="shared" si="57"/>
        <v/>
      </c>
      <c r="Q816" s="75" t="str">
        <f t="shared" si="58"/>
        <v/>
      </c>
      <c r="R816" s="76"/>
    </row>
    <row r="817" spans="1:18" ht="14.25" customHeight="1">
      <c r="A817" s="67"/>
      <c r="B817" s="68"/>
      <c r="C817" s="69"/>
      <c r="D817" s="69" t="str">
        <f ca="1">IF(B817="","",VLOOKUP('Журнал Закупок'!$B817,'СТ Криптовалюта'!B:C,2,0))</f>
        <v/>
      </c>
      <c r="E817" s="68"/>
      <c r="F817" s="70" t="str">
        <f>IF(D817="","",IF(B817=#REF!,"Основная",IF(B817=#REF!,"Основная",IF(B817=#REF!,"Основная","Экспериментальная"))))</f>
        <v/>
      </c>
      <c r="G817" s="71"/>
      <c r="H817" s="71"/>
      <c r="I817" s="71" t="str">
        <f t="shared" si="59"/>
        <v/>
      </c>
      <c r="J817" s="71"/>
      <c r="K817" s="71"/>
      <c r="L817" s="71"/>
      <c r="M817" s="71"/>
      <c r="N817" s="71" t="str">
        <f ca="1">IF(I817="","",ROUND(VLOOKUP('Журнал Закупок'!D817,'СТ Криптовалюта'!$C$3:$E$1788,2,0)*'Журнал Закупок'!G817,5))</f>
        <v/>
      </c>
      <c r="O817" s="71"/>
      <c r="P817" s="71" t="str">
        <f t="shared" si="57"/>
        <v/>
      </c>
      <c r="Q817" s="75" t="str">
        <f t="shared" si="58"/>
        <v/>
      </c>
      <c r="R817" s="76"/>
    </row>
    <row r="818" spans="1:18" ht="14.25" customHeight="1">
      <c r="A818" s="67"/>
      <c r="B818" s="68"/>
      <c r="C818" s="69"/>
      <c r="D818" s="69" t="str">
        <f ca="1">IF(B818="","",VLOOKUP('Журнал Закупок'!$B818,'СТ Криптовалюта'!B:C,2,0))</f>
        <v/>
      </c>
      <c r="E818" s="68"/>
      <c r="F818" s="70" t="str">
        <f>IF(D818="","",IF(B818=#REF!,"Основная",IF(B818=#REF!,"Основная",IF(B818=#REF!,"Основная","Экспериментальная"))))</f>
        <v/>
      </c>
      <c r="G818" s="71"/>
      <c r="H818" s="71"/>
      <c r="I818" s="71" t="str">
        <f t="shared" si="59"/>
        <v/>
      </c>
      <c r="J818" s="71"/>
      <c r="K818" s="71"/>
      <c r="L818" s="71"/>
      <c r="M818" s="71"/>
      <c r="N818" s="71" t="str">
        <f ca="1">IF(I818="","",ROUND(VLOOKUP('Журнал Закупок'!D818,'СТ Криптовалюта'!$C$3:$E$1788,2,0)*'Журнал Закупок'!G818,5))</f>
        <v/>
      </c>
      <c r="O818" s="71"/>
      <c r="P818" s="71" t="str">
        <f t="shared" si="57"/>
        <v/>
      </c>
      <c r="Q818" s="75" t="str">
        <f t="shared" si="58"/>
        <v/>
      </c>
      <c r="R818" s="76"/>
    </row>
    <row r="819" spans="1:18" ht="14.25" customHeight="1">
      <c r="A819" s="67"/>
      <c r="B819" s="68"/>
      <c r="C819" s="69"/>
      <c r="D819" s="69" t="str">
        <f ca="1">IF(B819="","",VLOOKUP('Журнал Закупок'!$B819,'СТ Криптовалюта'!B:C,2,0))</f>
        <v/>
      </c>
      <c r="E819" s="68"/>
      <c r="F819" s="70" t="str">
        <f>IF(D819="","",IF(B819=#REF!,"Основная",IF(B819=#REF!,"Основная",IF(B819=#REF!,"Основная","Экспериментальная"))))</f>
        <v/>
      </c>
      <c r="G819" s="71"/>
      <c r="H819" s="71"/>
      <c r="I819" s="71" t="str">
        <f t="shared" si="59"/>
        <v/>
      </c>
      <c r="J819" s="71"/>
      <c r="K819" s="71"/>
      <c r="L819" s="71"/>
      <c r="M819" s="71"/>
      <c r="N819" s="71" t="str">
        <f ca="1">IF(I819="","",ROUND(VLOOKUP('Журнал Закупок'!D819,'СТ Криптовалюта'!$C$3:$E$1788,2,0)*'Журнал Закупок'!G819,5))</f>
        <v/>
      </c>
      <c r="O819" s="71"/>
      <c r="P819" s="71" t="str">
        <f t="shared" si="57"/>
        <v/>
      </c>
      <c r="Q819" s="75" t="str">
        <f t="shared" si="58"/>
        <v/>
      </c>
      <c r="R819" s="76"/>
    </row>
    <row r="820" spans="1:18" ht="14.25" customHeight="1">
      <c r="A820" s="67"/>
      <c r="B820" s="68"/>
      <c r="C820" s="69"/>
      <c r="D820" s="69" t="str">
        <f ca="1">IF(B820="","",VLOOKUP('Журнал Закупок'!$B820,'СТ Криптовалюта'!B:C,2,0))</f>
        <v/>
      </c>
      <c r="E820" s="68"/>
      <c r="F820" s="70" t="str">
        <f>IF(D820="","",IF(B820=#REF!,"Основная",IF(B820=#REF!,"Основная",IF(B820=#REF!,"Основная","Экспериментальная"))))</f>
        <v/>
      </c>
      <c r="G820" s="71"/>
      <c r="H820" s="71"/>
      <c r="I820" s="71" t="str">
        <f t="shared" si="59"/>
        <v/>
      </c>
      <c r="J820" s="71"/>
      <c r="K820" s="71"/>
      <c r="L820" s="71"/>
      <c r="M820" s="71"/>
      <c r="N820" s="71" t="str">
        <f ca="1">IF(I820="","",ROUND(VLOOKUP('Журнал Закупок'!D820,'СТ Криптовалюта'!$C$3:$E$1788,2,0)*'Журнал Закупок'!G820,5))</f>
        <v/>
      </c>
      <c r="O820" s="71"/>
      <c r="P820" s="71" t="str">
        <f t="shared" si="57"/>
        <v/>
      </c>
      <c r="Q820" s="75" t="str">
        <f t="shared" si="58"/>
        <v/>
      </c>
      <c r="R820" s="76"/>
    </row>
    <row r="821" spans="1:18" ht="14.25" customHeight="1">
      <c r="A821" s="67"/>
      <c r="B821" s="68"/>
      <c r="C821" s="69"/>
      <c r="D821" s="69" t="str">
        <f ca="1">IF(B821="","",VLOOKUP('Журнал Закупок'!$B821,'СТ Криптовалюта'!B:C,2,0))</f>
        <v/>
      </c>
      <c r="E821" s="68"/>
      <c r="F821" s="70" t="str">
        <f>IF(D821="","",IF(B821=#REF!,"Основная",IF(B821=#REF!,"Основная",IF(B821=#REF!,"Основная","Экспериментальная"))))</f>
        <v/>
      </c>
      <c r="G821" s="71"/>
      <c r="H821" s="71"/>
      <c r="I821" s="71" t="str">
        <f t="shared" si="59"/>
        <v/>
      </c>
      <c r="J821" s="71"/>
      <c r="K821" s="71"/>
      <c r="L821" s="71"/>
      <c r="M821" s="71"/>
      <c r="N821" s="71" t="str">
        <f ca="1">IF(I821="","",ROUND(VLOOKUP('Журнал Закупок'!D821,'СТ Криптовалюта'!$C$3:$E$1788,2,0)*'Журнал Закупок'!G821,5))</f>
        <v/>
      </c>
      <c r="O821" s="71"/>
      <c r="P821" s="71" t="str">
        <f t="shared" si="57"/>
        <v/>
      </c>
      <c r="Q821" s="75" t="str">
        <f t="shared" si="58"/>
        <v/>
      </c>
      <c r="R821" s="76"/>
    </row>
    <row r="822" spans="1:18" ht="14.25" customHeight="1">
      <c r="A822" s="67"/>
      <c r="B822" s="68"/>
      <c r="C822" s="69"/>
      <c r="D822" s="69" t="str">
        <f ca="1">IF(B822="","",VLOOKUP('Журнал Закупок'!$B822,'СТ Криптовалюта'!B:C,2,0))</f>
        <v/>
      </c>
      <c r="E822" s="68"/>
      <c r="F822" s="70" t="str">
        <f>IF(D822="","",IF(B822=#REF!,"Основная",IF(B822=#REF!,"Основная",IF(B822=#REF!,"Основная","Экспериментальная"))))</f>
        <v/>
      </c>
      <c r="G822" s="71"/>
      <c r="H822" s="71"/>
      <c r="I822" s="71" t="str">
        <f t="shared" si="59"/>
        <v/>
      </c>
      <c r="J822" s="71"/>
      <c r="K822" s="71"/>
      <c r="L822" s="71"/>
      <c r="M822" s="71"/>
      <c r="N822" s="71" t="str">
        <f ca="1">IF(I822="","",ROUND(VLOOKUP('Журнал Закупок'!D822,'СТ Криптовалюта'!$C$3:$E$1788,2,0)*'Журнал Закупок'!G822,5))</f>
        <v/>
      </c>
      <c r="O822" s="71"/>
      <c r="P822" s="71" t="str">
        <f t="shared" si="57"/>
        <v/>
      </c>
      <c r="Q822" s="75" t="str">
        <f t="shared" si="58"/>
        <v/>
      </c>
      <c r="R822" s="76"/>
    </row>
    <row r="823" spans="1:18" ht="14.25" customHeight="1">
      <c r="A823" s="67"/>
      <c r="B823" s="68"/>
      <c r="C823" s="69"/>
      <c r="D823" s="69" t="str">
        <f ca="1">IF(B823="","",VLOOKUP('Журнал Закупок'!$B823,'СТ Криптовалюта'!B:C,2,0))</f>
        <v/>
      </c>
      <c r="E823" s="68"/>
      <c r="F823" s="70" t="str">
        <f>IF(D823="","",IF(B823=#REF!,"Основная",IF(B823=#REF!,"Основная",IF(B823=#REF!,"Основная","Экспериментальная"))))</f>
        <v/>
      </c>
      <c r="G823" s="71"/>
      <c r="H823" s="71"/>
      <c r="I823" s="71" t="str">
        <f t="shared" si="59"/>
        <v/>
      </c>
      <c r="J823" s="71"/>
      <c r="K823" s="71"/>
      <c r="L823" s="71"/>
      <c r="M823" s="71"/>
      <c r="N823" s="71" t="str">
        <f ca="1">IF(I823="","",ROUND(VLOOKUP('Журнал Закупок'!D823,'СТ Криптовалюта'!$C$3:$E$1788,2,0)*'Журнал Закупок'!G823,5))</f>
        <v/>
      </c>
      <c r="O823" s="71"/>
      <c r="P823" s="71" t="str">
        <f t="shared" si="57"/>
        <v/>
      </c>
      <c r="Q823" s="75" t="str">
        <f t="shared" si="58"/>
        <v/>
      </c>
      <c r="R823" s="76"/>
    </row>
    <row r="824" spans="1:18" ht="14.25" customHeight="1">
      <c r="A824" s="67"/>
      <c r="B824" s="68"/>
      <c r="C824" s="69"/>
      <c r="D824" s="69" t="str">
        <f ca="1">IF(B824="","",VLOOKUP('Журнал Закупок'!$B824,'СТ Криптовалюта'!B:C,2,0))</f>
        <v/>
      </c>
      <c r="E824" s="68"/>
      <c r="F824" s="70" t="str">
        <f>IF(D824="","",IF(B824=#REF!,"Основная",IF(B824=#REF!,"Основная",IF(B824=#REF!,"Основная","Экспериментальная"))))</f>
        <v/>
      </c>
      <c r="G824" s="71"/>
      <c r="H824" s="71"/>
      <c r="I824" s="71" t="str">
        <f t="shared" si="59"/>
        <v/>
      </c>
      <c r="J824" s="71"/>
      <c r="K824" s="71"/>
      <c r="L824" s="71"/>
      <c r="M824" s="71"/>
      <c r="N824" s="71" t="str">
        <f ca="1">IF(I824="","",ROUND(VLOOKUP('Журнал Закупок'!D824,'СТ Криптовалюта'!$C$3:$E$1788,2,0)*'Журнал Закупок'!G824,5))</f>
        <v/>
      </c>
      <c r="O824" s="71"/>
      <c r="P824" s="71" t="str">
        <f t="shared" si="57"/>
        <v/>
      </c>
      <c r="Q824" s="75" t="str">
        <f t="shared" si="58"/>
        <v/>
      </c>
      <c r="R824" s="76"/>
    </row>
    <row r="825" spans="1:18" ht="14.25" customHeight="1">
      <c r="A825" s="67"/>
      <c r="B825" s="68"/>
      <c r="C825" s="69"/>
      <c r="D825" s="69" t="str">
        <f ca="1">IF(B825="","",VLOOKUP('Журнал Закупок'!$B825,'СТ Криптовалюта'!B:C,2,0))</f>
        <v/>
      </c>
      <c r="E825" s="68"/>
      <c r="F825" s="70" t="str">
        <f>IF(D825="","",IF(B825=#REF!,"Основная",IF(B825=#REF!,"Основная",IF(B825=#REF!,"Основная","Экспериментальная"))))</f>
        <v/>
      </c>
      <c r="G825" s="71"/>
      <c r="H825" s="71"/>
      <c r="I825" s="71" t="str">
        <f t="shared" si="59"/>
        <v/>
      </c>
      <c r="J825" s="71"/>
      <c r="K825" s="71"/>
      <c r="L825" s="71"/>
      <c r="M825" s="71"/>
      <c r="N825" s="71" t="str">
        <f ca="1">IF(I825="","",ROUND(VLOOKUP('Журнал Закупок'!D825,'СТ Криптовалюта'!$C$3:$E$1788,2,0)*'Журнал Закупок'!G825,5))</f>
        <v/>
      </c>
      <c r="O825" s="71"/>
      <c r="P825" s="71" t="str">
        <f t="shared" si="57"/>
        <v/>
      </c>
      <c r="Q825" s="75" t="str">
        <f t="shared" si="58"/>
        <v/>
      </c>
      <c r="R825" s="76"/>
    </row>
    <row r="826" spans="1:18" ht="14.25" customHeight="1">
      <c r="A826" s="67"/>
      <c r="B826" s="68"/>
      <c r="C826" s="69"/>
      <c r="D826" s="69" t="str">
        <f ca="1">IF(B826="","",VLOOKUP('Журнал Закупок'!$B826,'СТ Криптовалюта'!B:C,2,0))</f>
        <v/>
      </c>
      <c r="E826" s="68"/>
      <c r="F826" s="70" t="str">
        <f>IF(D826="","",IF(B826=#REF!,"Основная",IF(B826=#REF!,"Основная",IF(B826=#REF!,"Основная","Экспериментальная"))))</f>
        <v/>
      </c>
      <c r="G826" s="71"/>
      <c r="H826" s="71"/>
      <c r="I826" s="71" t="str">
        <f t="shared" si="59"/>
        <v/>
      </c>
      <c r="J826" s="71"/>
      <c r="K826" s="71"/>
      <c r="L826" s="71"/>
      <c r="M826" s="71"/>
      <c r="N826" s="71" t="str">
        <f ca="1">IF(I826="","",ROUND(VLOOKUP('Журнал Закупок'!D826,'СТ Криптовалюта'!$C$3:$E$1788,2,0)*'Журнал Закупок'!G826,5))</f>
        <v/>
      </c>
      <c r="O826" s="71"/>
      <c r="P826" s="71" t="str">
        <f t="shared" si="57"/>
        <v/>
      </c>
      <c r="Q826" s="75" t="str">
        <f t="shared" si="58"/>
        <v/>
      </c>
      <c r="R826" s="76"/>
    </row>
    <row r="827" spans="1:18" ht="14.25" customHeight="1">
      <c r="A827" s="67"/>
      <c r="B827" s="68"/>
      <c r="C827" s="69"/>
      <c r="D827" s="69" t="str">
        <f ca="1">IF(B827="","",VLOOKUP('Журнал Закупок'!$B827,'СТ Криптовалюта'!B:C,2,0))</f>
        <v/>
      </c>
      <c r="E827" s="68"/>
      <c r="F827" s="70" t="str">
        <f>IF(D827="","",IF(B827=#REF!,"Основная",IF(B827=#REF!,"Основная",IF(B827=#REF!,"Основная","Экспериментальная"))))</f>
        <v/>
      </c>
      <c r="G827" s="71"/>
      <c r="H827" s="71"/>
      <c r="I827" s="71" t="str">
        <f t="shared" si="59"/>
        <v/>
      </c>
      <c r="J827" s="71"/>
      <c r="K827" s="71"/>
      <c r="L827" s="71"/>
      <c r="M827" s="71"/>
      <c r="N827" s="71" t="str">
        <f ca="1">IF(I827="","",ROUND(VLOOKUP('Журнал Закупок'!D827,'СТ Криптовалюта'!$C$3:$E$1788,2,0)*'Журнал Закупок'!G827,5))</f>
        <v/>
      </c>
      <c r="O827" s="71"/>
      <c r="P827" s="71" t="str">
        <f t="shared" si="57"/>
        <v/>
      </c>
      <c r="Q827" s="75" t="str">
        <f t="shared" si="58"/>
        <v/>
      </c>
      <c r="R827" s="76"/>
    </row>
    <row r="828" spans="1:18" ht="14.25" customHeight="1">
      <c r="A828" s="67"/>
      <c r="B828" s="68"/>
      <c r="C828" s="69"/>
      <c r="D828" s="69" t="str">
        <f ca="1">IF(B828="","",VLOOKUP('Журнал Закупок'!$B828,'СТ Криптовалюта'!B:C,2,0))</f>
        <v/>
      </c>
      <c r="E828" s="68"/>
      <c r="F828" s="70" t="str">
        <f>IF(D828="","",IF(B828=#REF!,"Основная",IF(B828=#REF!,"Основная",IF(B828=#REF!,"Основная","Экспериментальная"))))</f>
        <v/>
      </c>
      <c r="G828" s="71"/>
      <c r="H828" s="71"/>
      <c r="I828" s="71" t="str">
        <f t="shared" si="59"/>
        <v/>
      </c>
      <c r="J828" s="71"/>
      <c r="K828" s="71"/>
      <c r="L828" s="71"/>
      <c r="M828" s="71"/>
      <c r="N828" s="71" t="str">
        <f ca="1">IF(I828="","",ROUND(VLOOKUP('Журнал Закупок'!D828,'СТ Криптовалюта'!$C$3:$E$1788,2,0)*'Журнал Закупок'!G828,5))</f>
        <v/>
      </c>
      <c r="O828" s="71"/>
      <c r="P828" s="71" t="str">
        <f t="shared" si="57"/>
        <v/>
      </c>
      <c r="Q828" s="75" t="str">
        <f t="shared" si="58"/>
        <v/>
      </c>
      <c r="R828" s="76"/>
    </row>
    <row r="829" spans="1:18" ht="14.25" customHeight="1">
      <c r="A829" s="67"/>
      <c r="B829" s="68"/>
      <c r="C829" s="69"/>
      <c r="D829" s="69" t="str">
        <f ca="1">IF(B829="","",VLOOKUP('Журнал Закупок'!$B829,'СТ Криптовалюта'!B:C,2,0))</f>
        <v/>
      </c>
      <c r="E829" s="68"/>
      <c r="F829" s="70" t="str">
        <f>IF(D829="","",IF(B829=#REF!,"Основная",IF(B829=#REF!,"Основная",IF(B829=#REF!,"Основная","Экспериментальная"))))</f>
        <v/>
      </c>
      <c r="G829" s="71"/>
      <c r="H829" s="71"/>
      <c r="I829" s="71" t="str">
        <f t="shared" si="59"/>
        <v/>
      </c>
      <c r="J829" s="71"/>
      <c r="K829" s="71"/>
      <c r="L829" s="71"/>
      <c r="M829" s="71"/>
      <c r="N829" s="71" t="str">
        <f ca="1">IF(I829="","",ROUND(VLOOKUP('Журнал Закупок'!D829,'СТ Криптовалюта'!$C$3:$E$1788,2,0)*'Журнал Закупок'!G829,5))</f>
        <v/>
      </c>
      <c r="O829" s="71"/>
      <c r="P829" s="71" t="str">
        <f t="shared" si="57"/>
        <v/>
      </c>
      <c r="Q829" s="75" t="str">
        <f t="shared" si="58"/>
        <v/>
      </c>
      <c r="R829" s="76"/>
    </row>
    <row r="830" spans="1:18" ht="14.25" customHeight="1">
      <c r="A830" s="67"/>
      <c r="B830" s="68"/>
      <c r="C830" s="69"/>
      <c r="D830" s="69" t="str">
        <f ca="1">IF(B830="","",VLOOKUP('Журнал Закупок'!$B830,'СТ Криптовалюта'!B:C,2,0))</f>
        <v/>
      </c>
      <c r="E830" s="68"/>
      <c r="F830" s="70" t="str">
        <f>IF(D830="","",IF(B830=#REF!,"Основная",IF(B830=#REF!,"Основная",IF(B830=#REF!,"Основная","Экспериментальная"))))</f>
        <v/>
      </c>
      <c r="G830" s="71"/>
      <c r="H830" s="71"/>
      <c r="I830" s="71" t="str">
        <f t="shared" si="59"/>
        <v/>
      </c>
      <c r="J830" s="71"/>
      <c r="K830" s="71"/>
      <c r="L830" s="71"/>
      <c r="M830" s="71"/>
      <c r="N830" s="71" t="str">
        <f ca="1">IF(I830="","",ROUND(VLOOKUP('Журнал Закупок'!D830,'СТ Криптовалюта'!$C$3:$E$1788,2,0)*'Журнал Закупок'!G830,5))</f>
        <v/>
      </c>
      <c r="O830" s="71"/>
      <c r="P830" s="71" t="str">
        <f t="shared" si="57"/>
        <v/>
      </c>
      <c r="Q830" s="75" t="str">
        <f t="shared" si="58"/>
        <v/>
      </c>
      <c r="R830" s="76"/>
    </row>
    <row r="831" spans="1:18" ht="14.25" customHeight="1">
      <c r="A831" s="67"/>
      <c r="B831" s="68"/>
      <c r="C831" s="69"/>
      <c r="D831" s="69" t="str">
        <f ca="1">IF(B831="","",VLOOKUP('Журнал Закупок'!$B831,'СТ Криптовалюта'!B:C,2,0))</f>
        <v/>
      </c>
      <c r="E831" s="68"/>
      <c r="F831" s="70" t="str">
        <f>IF(D831="","",IF(B831=#REF!,"Основная",IF(B831=#REF!,"Основная",IF(B831=#REF!,"Основная","Экспериментальная"))))</f>
        <v/>
      </c>
      <c r="G831" s="71"/>
      <c r="H831" s="71"/>
      <c r="I831" s="71" t="str">
        <f t="shared" si="59"/>
        <v/>
      </c>
      <c r="J831" s="71"/>
      <c r="K831" s="71"/>
      <c r="L831" s="71"/>
      <c r="M831" s="71"/>
      <c r="N831" s="71" t="str">
        <f ca="1">IF(I831="","",ROUND(VLOOKUP('Журнал Закупок'!D831,'СТ Криптовалюта'!$C$3:$E$1788,2,0)*'Журнал Закупок'!G831,5))</f>
        <v/>
      </c>
      <c r="O831" s="71"/>
      <c r="P831" s="71" t="str">
        <f t="shared" si="57"/>
        <v/>
      </c>
      <c r="Q831" s="75" t="str">
        <f t="shared" si="58"/>
        <v/>
      </c>
      <c r="R831" s="76"/>
    </row>
    <row r="832" spans="1:18" ht="14.25" customHeight="1">
      <c r="A832" s="67"/>
      <c r="B832" s="68"/>
      <c r="C832" s="69"/>
      <c r="D832" s="69" t="str">
        <f ca="1">IF(B832="","",VLOOKUP('Журнал Закупок'!$B832,'СТ Криптовалюта'!B:C,2,0))</f>
        <v/>
      </c>
      <c r="E832" s="68"/>
      <c r="F832" s="70" t="str">
        <f>IF(D832="","",IF(B832=#REF!,"Основная",IF(B832=#REF!,"Основная",IF(B832=#REF!,"Основная","Экспериментальная"))))</f>
        <v/>
      </c>
      <c r="G832" s="71"/>
      <c r="H832" s="71"/>
      <c r="I832" s="71" t="str">
        <f t="shared" si="59"/>
        <v/>
      </c>
      <c r="J832" s="71"/>
      <c r="K832" s="71"/>
      <c r="L832" s="71"/>
      <c r="M832" s="71"/>
      <c r="N832" s="71" t="str">
        <f ca="1">IF(I832="","",ROUND(VLOOKUP('Журнал Закупок'!D832,'СТ Криптовалюта'!$C$3:$E$1788,2,0)*'Журнал Закупок'!G832,5))</f>
        <v/>
      </c>
      <c r="O832" s="71"/>
      <c r="P832" s="71" t="str">
        <f t="shared" si="57"/>
        <v/>
      </c>
      <c r="Q832" s="75" t="str">
        <f t="shared" si="58"/>
        <v/>
      </c>
      <c r="R832" s="76"/>
    </row>
    <row r="833" spans="1:18" ht="14.25" customHeight="1">
      <c r="A833" s="67"/>
      <c r="B833" s="68"/>
      <c r="C833" s="69"/>
      <c r="D833" s="69" t="str">
        <f ca="1">IF(B833="","",VLOOKUP('Журнал Закупок'!$B833,'СТ Криптовалюта'!B:C,2,0))</f>
        <v/>
      </c>
      <c r="E833" s="68"/>
      <c r="F833" s="70" t="str">
        <f>IF(D833="","",IF(B833=#REF!,"Основная",IF(B833=#REF!,"Основная",IF(B833=#REF!,"Основная","Экспериментальная"))))</f>
        <v/>
      </c>
      <c r="G833" s="71"/>
      <c r="H833" s="71"/>
      <c r="I833" s="71" t="str">
        <f t="shared" si="59"/>
        <v/>
      </c>
      <c r="J833" s="71"/>
      <c r="K833" s="71"/>
      <c r="L833" s="71"/>
      <c r="M833" s="71"/>
      <c r="N833" s="71" t="str">
        <f ca="1">IF(I833="","",ROUND(VLOOKUP('Журнал Закупок'!D833,'СТ Криптовалюта'!$C$3:$E$1788,2,0)*'Журнал Закупок'!G833,5))</f>
        <v/>
      </c>
      <c r="O833" s="71"/>
      <c r="P833" s="71" t="str">
        <f t="shared" si="57"/>
        <v/>
      </c>
      <c r="Q833" s="75" t="str">
        <f t="shared" si="58"/>
        <v/>
      </c>
      <c r="R833" s="76"/>
    </row>
    <row r="834" spans="1:18" ht="14.25" customHeight="1">
      <c r="A834" s="67"/>
      <c r="B834" s="68"/>
      <c r="C834" s="69"/>
      <c r="D834" s="69" t="str">
        <f ca="1">IF(B834="","",VLOOKUP('Журнал Закупок'!$B834,'СТ Криптовалюта'!B:C,2,0))</f>
        <v/>
      </c>
      <c r="E834" s="68"/>
      <c r="F834" s="70" t="str">
        <f>IF(D834="","",IF(B834=#REF!,"Основная",IF(B834=#REF!,"Основная",IF(B834=#REF!,"Основная","Экспериментальная"))))</f>
        <v/>
      </c>
      <c r="G834" s="71"/>
      <c r="H834" s="71"/>
      <c r="I834" s="71" t="str">
        <f t="shared" si="59"/>
        <v/>
      </c>
      <c r="J834" s="71"/>
      <c r="K834" s="71"/>
      <c r="L834" s="71"/>
      <c r="M834" s="71"/>
      <c r="N834" s="71" t="str">
        <f ca="1">IF(I834="","",ROUND(VLOOKUP('Журнал Закупок'!D834,'СТ Криптовалюта'!$C$3:$E$1788,2,0)*'Журнал Закупок'!G834,5))</f>
        <v/>
      </c>
      <c r="O834" s="71"/>
      <c r="P834" s="71" t="str">
        <f t="shared" si="57"/>
        <v/>
      </c>
      <c r="Q834" s="75" t="str">
        <f t="shared" si="58"/>
        <v/>
      </c>
      <c r="R834" s="76"/>
    </row>
    <row r="835" spans="1:18" ht="14.25" customHeight="1">
      <c r="A835" s="67"/>
      <c r="B835" s="68"/>
      <c r="C835" s="69"/>
      <c r="D835" s="69" t="str">
        <f ca="1">IF(B835="","",VLOOKUP('Журнал Закупок'!$B835,'СТ Криптовалюта'!B:C,2,0))</f>
        <v/>
      </c>
      <c r="E835" s="68"/>
      <c r="F835" s="70" t="str">
        <f>IF(D835="","",IF(B835=#REF!,"Основная",IF(B835=#REF!,"Основная",IF(B835=#REF!,"Основная","Экспериментальная"))))</f>
        <v/>
      </c>
      <c r="G835" s="71"/>
      <c r="H835" s="71"/>
      <c r="I835" s="71" t="str">
        <f t="shared" si="59"/>
        <v/>
      </c>
      <c r="J835" s="71"/>
      <c r="K835" s="71"/>
      <c r="L835" s="71"/>
      <c r="M835" s="71"/>
      <c r="N835" s="71" t="str">
        <f ca="1">IF(I835="","",ROUND(VLOOKUP('Журнал Закупок'!D835,'СТ Криптовалюта'!$C$3:$E$1788,2,0)*'Журнал Закупок'!G835,5))</f>
        <v/>
      </c>
      <c r="O835" s="71"/>
      <c r="P835" s="71" t="str">
        <f t="shared" si="57"/>
        <v/>
      </c>
      <c r="Q835" s="75" t="str">
        <f t="shared" si="58"/>
        <v/>
      </c>
      <c r="R835" s="76"/>
    </row>
    <row r="836" spans="1:18" ht="14.25" customHeight="1">
      <c r="A836" s="67"/>
      <c r="B836" s="68"/>
      <c r="C836" s="69"/>
      <c r="D836" s="69" t="str">
        <f ca="1">IF(B836="","",VLOOKUP('Журнал Закупок'!$B836,'СТ Криптовалюта'!B:C,2,0))</f>
        <v/>
      </c>
      <c r="E836" s="68"/>
      <c r="F836" s="70" t="str">
        <f>IF(D836="","",IF(B836=#REF!,"Основная",IF(B836=#REF!,"Основная",IF(B836=#REF!,"Основная","Экспериментальная"))))</f>
        <v/>
      </c>
      <c r="G836" s="71"/>
      <c r="H836" s="71"/>
      <c r="I836" s="71" t="str">
        <f t="shared" si="59"/>
        <v/>
      </c>
      <c r="J836" s="71"/>
      <c r="K836" s="71"/>
      <c r="L836" s="71"/>
      <c r="M836" s="71"/>
      <c r="N836" s="71" t="str">
        <f ca="1">IF(I836="","",ROUND(VLOOKUP('Журнал Закупок'!D836,'СТ Криптовалюта'!$C$3:$E$1788,2,0)*'Журнал Закупок'!G836,5))</f>
        <v/>
      </c>
      <c r="O836" s="71"/>
      <c r="P836" s="71" t="str">
        <f t="shared" si="57"/>
        <v/>
      </c>
      <c r="Q836" s="75" t="str">
        <f t="shared" si="58"/>
        <v/>
      </c>
      <c r="R836" s="76"/>
    </row>
    <row r="837" spans="1:18" ht="14.25" customHeight="1">
      <c r="A837" s="67"/>
      <c r="B837" s="68"/>
      <c r="C837" s="69"/>
      <c r="D837" s="69" t="str">
        <f ca="1">IF(B837="","",VLOOKUP('Журнал Закупок'!$B837,'СТ Криптовалюта'!B:C,2,0))</f>
        <v/>
      </c>
      <c r="E837" s="68"/>
      <c r="F837" s="70" t="str">
        <f>IF(D837="","",IF(B837=#REF!,"Основная",IF(B837=#REF!,"Основная",IF(B837=#REF!,"Основная","Экспериментальная"))))</f>
        <v/>
      </c>
      <c r="G837" s="71"/>
      <c r="H837" s="71"/>
      <c r="I837" s="71" t="str">
        <f t="shared" si="59"/>
        <v/>
      </c>
      <c r="J837" s="71"/>
      <c r="K837" s="71"/>
      <c r="L837" s="71"/>
      <c r="M837" s="71"/>
      <c r="N837" s="71" t="str">
        <f ca="1">IF(I837="","",ROUND(VLOOKUP('Журнал Закупок'!D837,'СТ Криптовалюта'!$C$3:$E$1788,2,0)*'Журнал Закупок'!G837,5))</f>
        <v/>
      </c>
      <c r="O837" s="71"/>
      <c r="P837" s="71" t="str">
        <f t="shared" si="57"/>
        <v/>
      </c>
      <c r="Q837" s="75" t="str">
        <f t="shared" si="58"/>
        <v/>
      </c>
      <c r="R837" s="76"/>
    </row>
    <row r="838" spans="1:18" ht="14.25" customHeight="1">
      <c r="A838" s="67"/>
      <c r="B838" s="68"/>
      <c r="C838" s="69"/>
      <c r="D838" s="69" t="str">
        <f ca="1">IF(B838="","",VLOOKUP('Журнал Закупок'!$B838,'СТ Криптовалюта'!B:C,2,0))</f>
        <v/>
      </c>
      <c r="E838" s="68"/>
      <c r="F838" s="70" t="str">
        <f>IF(D838="","",IF(B838=#REF!,"Основная",IF(B838=#REF!,"Основная",IF(B838=#REF!,"Основная","Экспериментальная"))))</f>
        <v/>
      </c>
      <c r="G838" s="71"/>
      <c r="H838" s="71"/>
      <c r="I838" s="71" t="str">
        <f t="shared" si="59"/>
        <v/>
      </c>
      <c r="J838" s="71"/>
      <c r="K838" s="71"/>
      <c r="L838" s="71"/>
      <c r="M838" s="71"/>
      <c r="N838" s="71" t="str">
        <f ca="1">IF(I838="","",ROUND(VLOOKUP('Журнал Закупок'!D838,'СТ Криптовалюта'!$C$3:$E$1788,2,0)*'Журнал Закупок'!G838,5))</f>
        <v/>
      </c>
      <c r="O838" s="71"/>
      <c r="P838" s="71" t="str">
        <f t="shared" si="57"/>
        <v/>
      </c>
      <c r="Q838" s="75" t="str">
        <f t="shared" si="58"/>
        <v/>
      </c>
      <c r="R838" s="76"/>
    </row>
    <row r="839" spans="1:18" ht="14.25" customHeight="1">
      <c r="A839" s="67"/>
      <c r="B839" s="68"/>
      <c r="C839" s="69"/>
      <c r="D839" s="69" t="str">
        <f ca="1">IF(B839="","",VLOOKUP('Журнал Закупок'!$B839,'СТ Криптовалюта'!B:C,2,0))</f>
        <v/>
      </c>
      <c r="E839" s="68"/>
      <c r="F839" s="70" t="str">
        <f>IF(D839="","",IF(B839=#REF!,"Основная",IF(B839=#REF!,"Основная",IF(B839=#REF!,"Основная","Экспериментальная"))))</f>
        <v/>
      </c>
      <c r="G839" s="71"/>
      <c r="H839" s="71"/>
      <c r="I839" s="71" t="str">
        <f t="shared" si="59"/>
        <v/>
      </c>
      <c r="J839" s="71"/>
      <c r="K839" s="71"/>
      <c r="L839" s="71"/>
      <c r="M839" s="71"/>
      <c r="N839" s="71" t="str">
        <f ca="1">IF(I839="","",ROUND(VLOOKUP('Журнал Закупок'!D839,'СТ Криптовалюта'!$C$3:$E$1788,2,0)*'Журнал Закупок'!G839,5))</f>
        <v/>
      </c>
      <c r="O839" s="71"/>
      <c r="P839" s="71" t="str">
        <f t="shared" si="57"/>
        <v/>
      </c>
      <c r="Q839" s="75" t="str">
        <f t="shared" si="58"/>
        <v/>
      </c>
      <c r="R839" s="76"/>
    </row>
    <row r="840" spans="1:18" ht="14.25" customHeight="1">
      <c r="A840" s="67"/>
      <c r="B840" s="68"/>
      <c r="C840" s="69"/>
      <c r="D840" s="69" t="str">
        <f ca="1">IF(B840="","",VLOOKUP('Журнал Закупок'!$B840,'СТ Криптовалюта'!B:C,2,0))</f>
        <v/>
      </c>
      <c r="E840" s="68"/>
      <c r="F840" s="70" t="str">
        <f>IF(D840="","",IF(B840=#REF!,"Основная",IF(B840=#REF!,"Основная",IF(B840=#REF!,"Основная","Экспериментальная"))))</f>
        <v/>
      </c>
      <c r="G840" s="71"/>
      <c r="H840" s="71"/>
      <c r="I840" s="71" t="str">
        <f t="shared" si="59"/>
        <v/>
      </c>
      <c r="J840" s="71"/>
      <c r="K840" s="71"/>
      <c r="L840" s="71"/>
      <c r="M840" s="71"/>
      <c r="N840" s="71" t="str">
        <f ca="1">IF(I840="","",ROUND(VLOOKUP('Журнал Закупок'!D840,'СТ Криптовалюта'!$C$3:$E$1788,2,0)*'Журнал Закупок'!G840,5))</f>
        <v/>
      </c>
      <c r="O840" s="71"/>
      <c r="P840" s="71" t="str">
        <f t="shared" si="57"/>
        <v/>
      </c>
      <c r="Q840" s="75" t="str">
        <f t="shared" si="58"/>
        <v/>
      </c>
      <c r="R840" s="76"/>
    </row>
    <row r="841" spans="1:18" ht="14.25" customHeight="1">
      <c r="A841" s="67"/>
      <c r="B841" s="68"/>
      <c r="C841" s="69"/>
      <c r="D841" s="69" t="str">
        <f ca="1">IF(B841="","",VLOOKUP('Журнал Закупок'!$B841,'СТ Криптовалюта'!B:C,2,0))</f>
        <v/>
      </c>
      <c r="E841" s="68"/>
      <c r="F841" s="70" t="str">
        <f>IF(D841="","",IF(B841=#REF!,"Основная",IF(B841=#REF!,"Основная",IF(B841=#REF!,"Основная","Экспериментальная"))))</f>
        <v/>
      </c>
      <c r="G841" s="71"/>
      <c r="H841" s="71"/>
      <c r="I841" s="71" t="str">
        <f t="shared" si="59"/>
        <v/>
      </c>
      <c r="J841" s="71"/>
      <c r="K841" s="71"/>
      <c r="L841" s="71"/>
      <c r="M841" s="71"/>
      <c r="N841" s="71" t="str">
        <f ca="1">IF(I841="","",ROUND(VLOOKUP('Журнал Закупок'!D841,'СТ Криптовалюта'!$C$3:$E$1788,2,0)*'Журнал Закупок'!G841,5))</f>
        <v/>
      </c>
      <c r="O841" s="71"/>
      <c r="P841" s="71" t="str">
        <f t="shared" si="57"/>
        <v/>
      </c>
      <c r="Q841" s="75" t="str">
        <f t="shared" si="58"/>
        <v/>
      </c>
      <c r="R841" s="76"/>
    </row>
    <row r="842" spans="1:18" ht="14.25" customHeight="1">
      <c r="A842" s="67"/>
      <c r="B842" s="68"/>
      <c r="C842" s="69"/>
      <c r="D842" s="69" t="str">
        <f ca="1">IF(B842="","",VLOOKUP('Журнал Закупок'!$B842,'СТ Криптовалюта'!B:C,2,0))</f>
        <v/>
      </c>
      <c r="E842" s="68"/>
      <c r="F842" s="70" t="str">
        <f>IF(D842="","",IF(B842=#REF!,"Основная",IF(B842=#REF!,"Основная",IF(B842=#REF!,"Основная","Экспериментальная"))))</f>
        <v/>
      </c>
      <c r="G842" s="71"/>
      <c r="H842" s="71"/>
      <c r="I842" s="71" t="str">
        <f t="shared" si="59"/>
        <v/>
      </c>
      <c r="J842" s="71"/>
      <c r="K842" s="71"/>
      <c r="L842" s="71"/>
      <c r="M842" s="71"/>
      <c r="N842" s="71" t="str">
        <f ca="1">IF(I842="","",ROUND(VLOOKUP('Журнал Закупок'!D842,'СТ Криптовалюта'!$C$3:$E$1788,2,0)*'Журнал Закупок'!G842,5))</f>
        <v/>
      </c>
      <c r="O842" s="71"/>
      <c r="P842" s="71" t="str">
        <f t="shared" si="57"/>
        <v/>
      </c>
      <c r="Q842" s="75" t="str">
        <f t="shared" si="58"/>
        <v/>
      </c>
      <c r="R842" s="76"/>
    </row>
    <row r="843" spans="1:18" ht="14.25" customHeight="1">
      <c r="A843" s="67"/>
      <c r="B843" s="68"/>
      <c r="C843" s="69"/>
      <c r="D843" s="69" t="str">
        <f ca="1">IF(B843="","",VLOOKUP('Журнал Закупок'!$B843,'СТ Криптовалюта'!B:C,2,0))</f>
        <v/>
      </c>
      <c r="E843" s="68"/>
      <c r="F843" s="70" t="str">
        <f>IF(D843="","",IF(B843=#REF!,"Основная",IF(B843=#REF!,"Основная",IF(B843=#REF!,"Основная","Экспериментальная"))))</f>
        <v/>
      </c>
      <c r="G843" s="71"/>
      <c r="H843" s="71"/>
      <c r="I843" s="71" t="str">
        <f t="shared" si="59"/>
        <v/>
      </c>
      <c r="J843" s="71"/>
      <c r="K843" s="71"/>
      <c r="L843" s="71"/>
      <c r="M843" s="71"/>
      <c r="N843" s="71" t="str">
        <f ca="1">IF(I843="","",ROUND(VLOOKUP('Журнал Закупок'!D843,'СТ Криптовалюта'!$C$3:$E$1788,2,0)*'Журнал Закупок'!G843,5))</f>
        <v/>
      </c>
      <c r="O843" s="71"/>
      <c r="P843" s="71" t="str">
        <f t="shared" si="57"/>
        <v/>
      </c>
      <c r="Q843" s="75" t="str">
        <f t="shared" si="58"/>
        <v/>
      </c>
      <c r="R843" s="76"/>
    </row>
    <row r="844" spans="1:18" ht="14.25" customHeight="1">
      <c r="A844" s="67"/>
      <c r="B844" s="68"/>
      <c r="C844" s="69"/>
      <c r="D844" s="69" t="str">
        <f ca="1">IF(B844="","",VLOOKUP('Журнал Закупок'!$B844,'СТ Криптовалюта'!B:C,2,0))</f>
        <v/>
      </c>
      <c r="E844" s="68"/>
      <c r="F844" s="70" t="str">
        <f>IF(D844="","",IF(B844=#REF!,"Основная",IF(B844=#REF!,"Основная",IF(B844=#REF!,"Основная","Экспериментальная"))))</f>
        <v/>
      </c>
      <c r="G844" s="71"/>
      <c r="H844" s="71"/>
      <c r="I844" s="71" t="str">
        <f t="shared" si="59"/>
        <v/>
      </c>
      <c r="J844" s="71"/>
      <c r="K844" s="71"/>
      <c r="L844" s="71"/>
      <c r="M844" s="71"/>
      <c r="N844" s="71" t="str">
        <f ca="1">IF(I844="","",ROUND(VLOOKUP('Журнал Закупок'!D844,'СТ Криптовалюта'!$C$3:$E$1788,2,0)*'Журнал Закупок'!G844,5))</f>
        <v/>
      </c>
      <c r="O844" s="71"/>
      <c r="P844" s="71" t="str">
        <f t="shared" si="57"/>
        <v/>
      </c>
      <c r="Q844" s="75" t="str">
        <f t="shared" si="58"/>
        <v/>
      </c>
      <c r="R844" s="76"/>
    </row>
    <row r="845" spans="1:18" ht="14.25" customHeight="1">
      <c r="A845" s="67"/>
      <c r="B845" s="68"/>
      <c r="C845" s="69"/>
      <c r="D845" s="69" t="str">
        <f ca="1">IF(B845="","",VLOOKUP('Журнал Закупок'!$B845,'СТ Криптовалюта'!B:C,2,0))</f>
        <v/>
      </c>
      <c r="E845" s="68"/>
      <c r="F845" s="70" t="str">
        <f>IF(D845="","",IF(B845=#REF!,"Основная",IF(B845=#REF!,"Основная",IF(B845=#REF!,"Основная","Экспериментальная"))))</f>
        <v/>
      </c>
      <c r="G845" s="71"/>
      <c r="H845" s="71"/>
      <c r="I845" s="71" t="str">
        <f t="shared" si="59"/>
        <v/>
      </c>
      <c r="J845" s="71"/>
      <c r="K845" s="71"/>
      <c r="L845" s="71"/>
      <c r="M845" s="71"/>
      <c r="N845" s="71" t="str">
        <f ca="1">IF(I845="","",ROUND(VLOOKUP('Журнал Закупок'!D845,'СТ Криптовалюта'!$C$3:$E$1788,2,0)*'Журнал Закупок'!G845,5))</f>
        <v/>
      </c>
      <c r="O845" s="71"/>
      <c r="P845" s="71" t="str">
        <f t="shared" si="57"/>
        <v/>
      </c>
      <c r="Q845" s="75" t="str">
        <f t="shared" si="58"/>
        <v/>
      </c>
      <c r="R845" s="76"/>
    </row>
    <row r="846" spans="1:18" ht="14.25" customHeight="1">
      <c r="A846" s="67"/>
      <c r="B846" s="68"/>
      <c r="C846" s="69"/>
      <c r="D846" s="69" t="str">
        <f ca="1">IF(B846="","",VLOOKUP('Журнал Закупок'!$B846,'СТ Криптовалюта'!B:C,2,0))</f>
        <v/>
      </c>
      <c r="E846" s="68"/>
      <c r="F846" s="70" t="str">
        <f>IF(D846="","",IF(B846=#REF!,"Основная",IF(B846=#REF!,"Основная",IF(B846=#REF!,"Основная","Экспериментальная"))))</f>
        <v/>
      </c>
      <c r="G846" s="71"/>
      <c r="H846" s="71"/>
      <c r="I846" s="71" t="str">
        <f t="shared" si="59"/>
        <v/>
      </c>
      <c r="J846" s="71"/>
      <c r="K846" s="71"/>
      <c r="L846" s="71"/>
      <c r="M846" s="71"/>
      <c r="N846" s="71" t="str">
        <f ca="1">IF(I846="","",ROUND(VLOOKUP('Журнал Закупок'!D846,'СТ Криптовалюта'!$C$3:$E$1788,2,0)*'Журнал Закупок'!G846,5))</f>
        <v/>
      </c>
      <c r="O846" s="71"/>
      <c r="P846" s="71" t="str">
        <f t="shared" si="57"/>
        <v/>
      </c>
      <c r="Q846" s="75" t="str">
        <f t="shared" si="58"/>
        <v/>
      </c>
      <c r="R846" s="76"/>
    </row>
    <row r="847" spans="1:18" ht="14.25" customHeight="1">
      <c r="A847" s="67"/>
      <c r="B847" s="68"/>
      <c r="C847" s="69"/>
      <c r="D847" s="69" t="str">
        <f ca="1">IF(B847="","",VLOOKUP('Журнал Закупок'!$B847,'СТ Криптовалюта'!B:C,2,0))</f>
        <v/>
      </c>
      <c r="E847" s="68"/>
      <c r="F847" s="70" t="str">
        <f>IF(D847="","",IF(B847=#REF!,"Основная",IF(B847=#REF!,"Основная",IF(B847=#REF!,"Основная","Экспериментальная"))))</f>
        <v/>
      </c>
      <c r="G847" s="71"/>
      <c r="H847" s="71"/>
      <c r="I847" s="71" t="str">
        <f t="shared" si="59"/>
        <v/>
      </c>
      <c r="J847" s="71"/>
      <c r="K847" s="71"/>
      <c r="L847" s="71"/>
      <c r="M847" s="71"/>
      <c r="N847" s="71" t="str">
        <f ca="1">IF(I847="","",ROUND(VLOOKUP('Журнал Закупок'!D847,'СТ Криптовалюта'!$C$3:$E$1788,2,0)*'Журнал Закупок'!G847,5))</f>
        <v/>
      </c>
      <c r="O847" s="71"/>
      <c r="P847" s="71" t="str">
        <f t="shared" si="57"/>
        <v/>
      </c>
      <c r="Q847" s="75" t="str">
        <f t="shared" si="58"/>
        <v/>
      </c>
      <c r="R847" s="76"/>
    </row>
    <row r="848" spans="1:18" ht="14.25" customHeight="1">
      <c r="A848" s="67"/>
      <c r="B848" s="68"/>
      <c r="C848" s="69"/>
      <c r="D848" s="69" t="str">
        <f ca="1">IF(B848="","",VLOOKUP('Журнал Закупок'!$B848,'СТ Криптовалюта'!B:C,2,0))</f>
        <v/>
      </c>
      <c r="E848" s="68"/>
      <c r="F848" s="70" t="str">
        <f>IF(D848="","",IF(B848=#REF!,"Основная",IF(B848=#REF!,"Основная",IF(B848=#REF!,"Основная","Экспериментальная"))))</f>
        <v/>
      </c>
      <c r="G848" s="71"/>
      <c r="H848" s="71"/>
      <c r="I848" s="71" t="str">
        <f t="shared" si="59"/>
        <v/>
      </c>
      <c r="J848" s="71"/>
      <c r="K848" s="71"/>
      <c r="L848" s="71"/>
      <c r="M848" s="71"/>
      <c r="N848" s="71" t="str">
        <f ca="1">IF(I848="","",ROUND(VLOOKUP('Журнал Закупок'!D848,'СТ Криптовалюта'!$C$3:$E$1788,2,0)*'Журнал Закупок'!G848,5))</f>
        <v/>
      </c>
      <c r="O848" s="71"/>
      <c r="P848" s="71" t="str">
        <f t="shared" si="57"/>
        <v/>
      </c>
      <c r="Q848" s="75" t="str">
        <f t="shared" si="58"/>
        <v/>
      </c>
      <c r="R848" s="76"/>
    </row>
    <row r="849" spans="1:18" ht="14.25" customHeight="1">
      <c r="A849" s="67"/>
      <c r="B849" s="68"/>
      <c r="C849" s="69"/>
      <c r="D849" s="69" t="str">
        <f ca="1">IF(B849="","",VLOOKUP('Журнал Закупок'!$B849,'СТ Криптовалюта'!B:C,2,0))</f>
        <v/>
      </c>
      <c r="E849" s="68"/>
      <c r="F849" s="70" t="str">
        <f>IF(D849="","",IF(B849=#REF!,"Основная",IF(B849=#REF!,"Основная",IF(B849=#REF!,"Основная","Экспериментальная"))))</f>
        <v/>
      </c>
      <c r="G849" s="71"/>
      <c r="H849" s="71"/>
      <c r="I849" s="71" t="str">
        <f t="shared" si="59"/>
        <v/>
      </c>
      <c r="J849" s="71"/>
      <c r="K849" s="71"/>
      <c r="L849" s="71"/>
      <c r="M849" s="71"/>
      <c r="N849" s="71" t="str">
        <f ca="1">IF(I849="","",ROUND(VLOOKUP('Журнал Закупок'!D849,'СТ Криптовалюта'!$C$3:$E$1788,2,0)*'Журнал Закупок'!G849,5))</f>
        <v/>
      </c>
      <c r="O849" s="71"/>
      <c r="P849" s="71" t="str">
        <f t="shared" si="57"/>
        <v/>
      </c>
      <c r="Q849" s="75" t="str">
        <f t="shared" si="58"/>
        <v/>
      </c>
      <c r="R849" s="76"/>
    </row>
    <row r="850" spans="1:18" ht="14.25" customHeight="1">
      <c r="A850" s="67"/>
      <c r="B850" s="68"/>
      <c r="C850" s="69"/>
      <c r="D850" s="69" t="str">
        <f ca="1">IF(B850="","",VLOOKUP('Журнал Закупок'!$B850,'СТ Криптовалюта'!B:C,2,0))</f>
        <v/>
      </c>
      <c r="E850" s="68"/>
      <c r="F850" s="70" t="str">
        <f>IF(D850="","",IF(B850=#REF!,"Основная",IF(B850=#REF!,"Основная",IF(B850=#REF!,"Основная","Экспериментальная"))))</f>
        <v/>
      </c>
      <c r="G850" s="71"/>
      <c r="H850" s="71"/>
      <c r="I850" s="71" t="str">
        <f t="shared" si="59"/>
        <v/>
      </c>
      <c r="J850" s="71"/>
      <c r="K850" s="71"/>
      <c r="L850" s="71"/>
      <c r="M850" s="71"/>
      <c r="N850" s="71" t="str">
        <f ca="1">IF(I850="","",ROUND(VLOOKUP('Журнал Закупок'!D850,'СТ Криптовалюта'!$C$3:$E$1788,2,0)*'Журнал Закупок'!G850,5))</f>
        <v/>
      </c>
      <c r="O850" s="71"/>
      <c r="P850" s="71" t="str">
        <f t="shared" si="57"/>
        <v/>
      </c>
      <c r="Q850" s="75" t="str">
        <f t="shared" si="58"/>
        <v/>
      </c>
      <c r="R850" s="76"/>
    </row>
    <row r="851" spans="1:18" ht="14.25" customHeight="1">
      <c r="A851" s="67"/>
      <c r="B851" s="68"/>
      <c r="C851" s="69"/>
      <c r="D851" s="69" t="str">
        <f ca="1">IF(B851="","",VLOOKUP('Журнал Закупок'!$B851,'СТ Криптовалюта'!B:C,2,0))</f>
        <v/>
      </c>
      <c r="E851" s="68"/>
      <c r="F851" s="70" t="str">
        <f>IF(D851="","",IF(B851=#REF!,"Основная",IF(B851=#REF!,"Основная",IF(B851=#REF!,"Основная","Экспериментальная"))))</f>
        <v/>
      </c>
      <c r="G851" s="71"/>
      <c r="H851" s="71"/>
      <c r="I851" s="71" t="str">
        <f t="shared" si="59"/>
        <v/>
      </c>
      <c r="J851" s="71"/>
      <c r="K851" s="71"/>
      <c r="L851" s="71"/>
      <c r="M851" s="71"/>
      <c r="N851" s="71" t="str">
        <f ca="1">IF(I851="","",ROUND(VLOOKUP('Журнал Закупок'!D851,'СТ Криптовалюта'!$C$3:$E$1788,2,0)*'Журнал Закупок'!G851,5))</f>
        <v/>
      </c>
      <c r="O851" s="71"/>
      <c r="P851" s="71" t="str">
        <f t="shared" si="57"/>
        <v/>
      </c>
      <c r="Q851" s="75" t="str">
        <f t="shared" si="58"/>
        <v/>
      </c>
      <c r="R851" s="76"/>
    </row>
    <row r="852" spans="1:18" ht="14.25" customHeight="1">
      <c r="A852" s="67"/>
      <c r="B852" s="68"/>
      <c r="C852" s="69"/>
      <c r="D852" s="69" t="str">
        <f ca="1">IF(B852="","",VLOOKUP('Журнал Закупок'!$B852,'СТ Криптовалюта'!B:C,2,0))</f>
        <v/>
      </c>
      <c r="E852" s="68"/>
      <c r="F852" s="70" t="str">
        <f>IF(D852="","",IF(B852=#REF!,"Основная",IF(B852=#REF!,"Основная",IF(B852=#REF!,"Основная","Экспериментальная"))))</f>
        <v/>
      </c>
      <c r="G852" s="71"/>
      <c r="H852" s="71"/>
      <c r="I852" s="71" t="str">
        <f t="shared" si="59"/>
        <v/>
      </c>
      <c r="J852" s="71"/>
      <c r="K852" s="71"/>
      <c r="L852" s="71"/>
      <c r="M852" s="71"/>
      <c r="N852" s="71" t="str">
        <f ca="1">IF(I852="","",ROUND(VLOOKUP('Журнал Закупок'!D852,'СТ Криптовалюта'!$C$3:$E$1788,2,0)*'Журнал Закупок'!G852,5))</f>
        <v/>
      </c>
      <c r="O852" s="71"/>
      <c r="P852" s="71" t="str">
        <f t="shared" si="57"/>
        <v/>
      </c>
      <c r="Q852" s="75" t="str">
        <f t="shared" si="58"/>
        <v/>
      </c>
      <c r="R852" s="76"/>
    </row>
    <row r="853" spans="1:18" ht="14.25" customHeight="1">
      <c r="A853" s="67"/>
      <c r="B853" s="68"/>
      <c r="C853" s="69"/>
      <c r="D853" s="69" t="str">
        <f ca="1">IF(B853="","",VLOOKUP('Журнал Закупок'!$B853,'СТ Криптовалюта'!B:C,2,0))</f>
        <v/>
      </c>
      <c r="E853" s="68"/>
      <c r="F853" s="70" t="str">
        <f>IF(D853="","",IF(B853=#REF!,"Основная",IF(B853=#REF!,"Основная",IF(B853=#REF!,"Основная","Экспериментальная"))))</f>
        <v/>
      </c>
      <c r="G853" s="71"/>
      <c r="H853" s="71"/>
      <c r="I853" s="71" t="str">
        <f t="shared" si="59"/>
        <v/>
      </c>
      <c r="J853" s="71"/>
      <c r="K853" s="71"/>
      <c r="L853" s="71"/>
      <c r="M853" s="71"/>
      <c r="N853" s="71" t="str">
        <f ca="1">IF(I853="","",ROUND(VLOOKUP('Журнал Закупок'!D853,'СТ Криптовалюта'!$C$3:$E$1788,2,0)*'Журнал Закупок'!G853,5))</f>
        <v/>
      </c>
      <c r="O853" s="71"/>
      <c r="P853" s="71" t="str">
        <f t="shared" si="57"/>
        <v/>
      </c>
      <c r="Q853" s="75" t="str">
        <f t="shared" si="58"/>
        <v/>
      </c>
      <c r="R853" s="76"/>
    </row>
    <row r="854" spans="1:18" ht="14.25" customHeight="1">
      <c r="A854" s="67"/>
      <c r="B854" s="68"/>
      <c r="C854" s="69"/>
      <c r="D854" s="69" t="str">
        <f ca="1">IF(B854="","",VLOOKUP('Журнал Закупок'!$B854,'СТ Криптовалюта'!B:C,2,0))</f>
        <v/>
      </c>
      <c r="E854" s="68"/>
      <c r="F854" s="70" t="str">
        <f>IF(D854="","",IF(B854=#REF!,"Основная",IF(B854=#REF!,"Основная",IF(B854=#REF!,"Основная","Экспериментальная"))))</f>
        <v/>
      </c>
      <c r="G854" s="71"/>
      <c r="H854" s="71"/>
      <c r="I854" s="71" t="str">
        <f t="shared" si="59"/>
        <v/>
      </c>
      <c r="J854" s="71"/>
      <c r="K854" s="71"/>
      <c r="L854" s="71"/>
      <c r="M854" s="71"/>
      <c r="N854" s="71" t="str">
        <f ca="1">IF(I854="","",ROUND(VLOOKUP('Журнал Закупок'!D854,'СТ Криптовалюта'!$C$3:$E$1788,2,0)*'Журнал Закупок'!G854,5))</f>
        <v/>
      </c>
      <c r="O854" s="71"/>
      <c r="P854" s="71" t="str">
        <f t="shared" si="57"/>
        <v/>
      </c>
      <c r="Q854" s="75" t="str">
        <f t="shared" si="58"/>
        <v/>
      </c>
      <c r="R854" s="76"/>
    </row>
    <row r="855" spans="1:18" ht="14.25" customHeight="1">
      <c r="A855" s="67"/>
      <c r="B855" s="68"/>
      <c r="C855" s="69"/>
      <c r="D855" s="69" t="str">
        <f ca="1">IF(B855="","",VLOOKUP('Журнал Закупок'!$B855,'СТ Криптовалюта'!B:C,2,0))</f>
        <v/>
      </c>
      <c r="E855" s="68"/>
      <c r="F855" s="70" t="str">
        <f>IF(D855="","",IF(B855=#REF!,"Основная",IF(B855=#REF!,"Основная",IF(B855=#REF!,"Основная","Экспериментальная"))))</f>
        <v/>
      </c>
      <c r="G855" s="71"/>
      <c r="H855" s="71"/>
      <c r="I855" s="71" t="str">
        <f t="shared" si="59"/>
        <v/>
      </c>
      <c r="J855" s="71"/>
      <c r="K855" s="71"/>
      <c r="L855" s="71"/>
      <c r="M855" s="71"/>
      <c r="N855" s="71" t="str">
        <f ca="1">IF(I855="","",ROUND(VLOOKUP('Журнал Закупок'!D855,'СТ Криптовалюта'!$C$3:$E$1788,2,0)*'Журнал Закупок'!G855,5))</f>
        <v/>
      </c>
      <c r="O855" s="71"/>
      <c r="P855" s="71" t="str">
        <f t="shared" si="57"/>
        <v/>
      </c>
      <c r="Q855" s="75" t="str">
        <f t="shared" si="58"/>
        <v/>
      </c>
      <c r="R855" s="76"/>
    </row>
    <row r="856" spans="1:18" ht="14.25" customHeight="1">
      <c r="A856" s="67"/>
      <c r="B856" s="68"/>
      <c r="C856" s="69"/>
      <c r="D856" s="69" t="str">
        <f ca="1">IF(B856="","",VLOOKUP('Журнал Закупок'!$B856,'СТ Криптовалюта'!B:C,2,0))</f>
        <v/>
      </c>
      <c r="E856" s="68"/>
      <c r="F856" s="70" t="str">
        <f>IF(D856="","",IF(B856=#REF!,"Основная",IF(B856=#REF!,"Основная",IF(B856=#REF!,"Основная","Экспериментальная"))))</f>
        <v/>
      </c>
      <c r="G856" s="71"/>
      <c r="H856" s="71"/>
      <c r="I856" s="71" t="str">
        <f t="shared" si="59"/>
        <v/>
      </c>
      <c r="J856" s="71"/>
      <c r="K856" s="71"/>
      <c r="L856" s="71"/>
      <c r="M856" s="71"/>
      <c r="N856" s="71" t="str">
        <f ca="1">IF(I856="","",ROUND(VLOOKUP('Журнал Закупок'!D856,'СТ Криптовалюта'!$C$3:$E$1788,2,0)*'Журнал Закупок'!G856,5))</f>
        <v/>
      </c>
      <c r="O856" s="71"/>
      <c r="P856" s="71" t="str">
        <f t="shared" si="57"/>
        <v/>
      </c>
      <c r="Q856" s="75" t="str">
        <f t="shared" si="58"/>
        <v/>
      </c>
      <c r="R856" s="76"/>
    </row>
    <row r="857" spans="1:18" ht="14.25" customHeight="1">
      <c r="A857" s="67"/>
      <c r="B857" s="68"/>
      <c r="C857" s="69"/>
      <c r="D857" s="69" t="str">
        <f ca="1">IF(B857="","",VLOOKUP('Журнал Закупок'!$B857,'СТ Криптовалюта'!B:C,2,0))</f>
        <v/>
      </c>
      <c r="E857" s="68"/>
      <c r="F857" s="70" t="str">
        <f>IF(D857="","",IF(B857=#REF!,"Основная",IF(B857=#REF!,"Основная",IF(B857=#REF!,"Основная","Экспериментальная"))))</f>
        <v/>
      </c>
      <c r="G857" s="71"/>
      <c r="H857" s="71"/>
      <c r="I857" s="71" t="str">
        <f t="shared" si="59"/>
        <v/>
      </c>
      <c r="J857" s="71"/>
      <c r="K857" s="71"/>
      <c r="L857" s="71"/>
      <c r="M857" s="71"/>
      <c r="N857" s="71" t="str">
        <f ca="1">IF(I857="","",ROUND(VLOOKUP('Журнал Закупок'!D857,'СТ Криптовалюта'!$C$3:$E$1788,2,0)*'Журнал Закупок'!G857,5))</f>
        <v/>
      </c>
      <c r="O857" s="71"/>
      <c r="P857" s="71" t="str">
        <f t="shared" si="57"/>
        <v/>
      </c>
      <c r="Q857" s="75" t="str">
        <f t="shared" si="58"/>
        <v/>
      </c>
      <c r="R857" s="76"/>
    </row>
    <row r="858" spans="1:18" ht="14.25" customHeight="1">
      <c r="A858" s="67"/>
      <c r="B858" s="68"/>
      <c r="C858" s="69"/>
      <c r="D858" s="69" t="str">
        <f ca="1">IF(B858="","",VLOOKUP('Журнал Закупок'!$B858,'СТ Криптовалюта'!B:C,2,0))</f>
        <v/>
      </c>
      <c r="E858" s="68"/>
      <c r="F858" s="70" t="str">
        <f>IF(D858="","",IF(B858=#REF!,"Основная",IF(B858=#REF!,"Основная",IF(B858=#REF!,"Основная","Экспериментальная"))))</f>
        <v/>
      </c>
      <c r="G858" s="71"/>
      <c r="H858" s="71"/>
      <c r="I858" s="71" t="str">
        <f t="shared" si="59"/>
        <v/>
      </c>
      <c r="J858" s="71"/>
      <c r="K858" s="71"/>
      <c r="L858" s="71"/>
      <c r="M858" s="71"/>
      <c r="N858" s="71" t="str">
        <f ca="1">IF(I858="","",ROUND(VLOOKUP('Журнал Закупок'!D858,'СТ Криптовалюта'!$C$3:$E$1788,2,0)*'Журнал Закупок'!G858,5))</f>
        <v/>
      </c>
      <c r="O858" s="71"/>
      <c r="P858" s="71" t="str">
        <f t="shared" si="57"/>
        <v/>
      </c>
      <c r="Q858" s="75" t="str">
        <f t="shared" si="58"/>
        <v/>
      </c>
      <c r="R858" s="76"/>
    </row>
    <row r="859" spans="1:18" ht="14.25" customHeight="1">
      <c r="A859" s="67"/>
      <c r="B859" s="68"/>
      <c r="C859" s="69"/>
      <c r="D859" s="69" t="str">
        <f ca="1">IF(B859="","",VLOOKUP('Журнал Закупок'!$B859,'СТ Криптовалюта'!B:C,2,0))</f>
        <v/>
      </c>
      <c r="E859" s="68"/>
      <c r="F859" s="70" t="str">
        <f>IF(D859="","",IF(B859=#REF!,"Основная",IF(B859=#REF!,"Основная",IF(B859=#REF!,"Основная","Экспериментальная"))))</f>
        <v/>
      </c>
      <c r="G859" s="71"/>
      <c r="H859" s="71"/>
      <c r="I859" s="71" t="str">
        <f t="shared" si="59"/>
        <v/>
      </c>
      <c r="J859" s="71"/>
      <c r="K859" s="71"/>
      <c r="L859" s="71"/>
      <c r="M859" s="71"/>
      <c r="N859" s="71" t="str">
        <f ca="1">IF(I859="","",ROUND(VLOOKUP('Журнал Закупок'!D859,'СТ Криптовалюта'!$C$3:$E$1788,2,0)*'Журнал Закупок'!G859,5))</f>
        <v/>
      </c>
      <c r="O859" s="71"/>
      <c r="P859" s="71" t="str">
        <f t="shared" si="57"/>
        <v/>
      </c>
      <c r="Q859" s="75" t="str">
        <f t="shared" si="58"/>
        <v/>
      </c>
      <c r="R859" s="76"/>
    </row>
    <row r="860" spans="1:18" ht="14.25" customHeight="1">
      <c r="A860" s="67"/>
      <c r="B860" s="68"/>
      <c r="C860" s="69"/>
      <c r="D860" s="69" t="str">
        <f ca="1">IF(B860="","",VLOOKUP('Журнал Закупок'!$B860,'СТ Криптовалюта'!B:C,2,0))</f>
        <v/>
      </c>
      <c r="E860" s="68"/>
      <c r="F860" s="70" t="str">
        <f>IF(D860="","",IF(B860=#REF!,"Основная",IF(B860=#REF!,"Основная",IF(B860=#REF!,"Основная","Экспериментальная"))))</f>
        <v/>
      </c>
      <c r="G860" s="71"/>
      <c r="H860" s="71"/>
      <c r="I860" s="71" t="str">
        <f t="shared" si="59"/>
        <v/>
      </c>
      <c r="J860" s="71"/>
      <c r="K860" s="71"/>
      <c r="L860" s="71"/>
      <c r="M860" s="71"/>
      <c r="N860" s="71" t="str">
        <f ca="1">IF(I860="","",ROUND(VLOOKUP('Журнал Закупок'!D860,'СТ Криптовалюта'!$C$3:$E$1788,2,0)*'Журнал Закупок'!G860,5))</f>
        <v/>
      </c>
      <c r="O860" s="71"/>
      <c r="P860" s="71" t="str">
        <f t="shared" si="57"/>
        <v/>
      </c>
      <c r="Q860" s="75" t="str">
        <f t="shared" si="58"/>
        <v/>
      </c>
      <c r="R860" s="76"/>
    </row>
    <row r="861" spans="1:18" ht="14.25" customHeight="1">
      <c r="A861" s="67"/>
      <c r="B861" s="68"/>
      <c r="C861" s="69"/>
      <c r="D861" s="69" t="str">
        <f ca="1">IF(B861="","",VLOOKUP('Журнал Закупок'!$B861,'СТ Криптовалюта'!B:C,2,0))</f>
        <v/>
      </c>
      <c r="E861" s="68"/>
      <c r="F861" s="70" t="str">
        <f>IF(D861="","",IF(B861=#REF!,"Основная",IF(B861=#REF!,"Основная",IF(B861=#REF!,"Основная","Экспериментальная"))))</f>
        <v/>
      </c>
      <c r="G861" s="71"/>
      <c r="H861" s="71"/>
      <c r="I861" s="71" t="str">
        <f t="shared" si="59"/>
        <v/>
      </c>
      <c r="J861" s="71"/>
      <c r="K861" s="71"/>
      <c r="L861" s="71"/>
      <c r="M861" s="71"/>
      <c r="N861" s="71" t="str">
        <f ca="1">IF(I861="","",ROUND(VLOOKUP('Журнал Закупок'!D861,'СТ Криптовалюта'!$C$3:$E$1788,2,0)*'Журнал Закупок'!G861,5))</f>
        <v/>
      </c>
      <c r="O861" s="71"/>
      <c r="P861" s="71" t="str">
        <f t="shared" si="57"/>
        <v/>
      </c>
      <c r="Q861" s="75" t="str">
        <f t="shared" si="58"/>
        <v/>
      </c>
      <c r="R861" s="76"/>
    </row>
    <row r="862" spans="1:18" ht="14.25" customHeight="1">
      <c r="A862" s="67"/>
      <c r="B862" s="68"/>
      <c r="C862" s="69"/>
      <c r="D862" s="69" t="str">
        <f ca="1">IF(B862="","",VLOOKUP('Журнал Закупок'!$B862,'СТ Криптовалюта'!B:C,2,0))</f>
        <v/>
      </c>
      <c r="E862" s="68"/>
      <c r="F862" s="70" t="str">
        <f>IF(D862="","",IF(B862=#REF!,"Основная",IF(B862=#REF!,"Основная",IF(B862=#REF!,"Основная","Экспериментальная"))))</f>
        <v/>
      </c>
      <c r="G862" s="71"/>
      <c r="H862" s="71"/>
      <c r="I862" s="71" t="str">
        <f t="shared" si="59"/>
        <v/>
      </c>
      <c r="J862" s="71"/>
      <c r="K862" s="71"/>
      <c r="L862" s="71"/>
      <c r="M862" s="71"/>
      <c r="N862" s="71" t="str">
        <f ca="1">IF(I862="","",ROUND(VLOOKUP('Журнал Закупок'!D862,'СТ Криптовалюта'!$C$3:$E$1788,2,0)*'Журнал Закупок'!G862,5))</f>
        <v/>
      </c>
      <c r="O862" s="71"/>
      <c r="P862" s="71" t="str">
        <f t="shared" si="57"/>
        <v/>
      </c>
      <c r="Q862" s="75" t="str">
        <f t="shared" si="58"/>
        <v/>
      </c>
      <c r="R862" s="76"/>
    </row>
    <row r="863" spans="1:18" ht="14.25" customHeight="1">
      <c r="A863" s="67"/>
      <c r="B863" s="68"/>
      <c r="C863" s="69"/>
      <c r="D863" s="69" t="str">
        <f ca="1">IF(B863="","",VLOOKUP('Журнал Закупок'!$B863,'СТ Криптовалюта'!B:C,2,0))</f>
        <v/>
      </c>
      <c r="E863" s="68"/>
      <c r="F863" s="70" t="str">
        <f>IF(D863="","",IF(B863=#REF!,"Основная",IF(B863=#REF!,"Основная",IF(B863=#REF!,"Основная","Экспериментальная"))))</f>
        <v/>
      </c>
      <c r="G863" s="71"/>
      <c r="H863" s="71"/>
      <c r="I863" s="71" t="str">
        <f t="shared" si="59"/>
        <v/>
      </c>
      <c r="J863" s="71"/>
      <c r="K863" s="71"/>
      <c r="L863" s="71"/>
      <c r="M863" s="71"/>
      <c r="N863" s="71" t="str">
        <f ca="1">IF(I863="","",ROUND(VLOOKUP('Журнал Закупок'!D863,'СТ Криптовалюта'!$C$3:$E$1788,2,0)*'Журнал Закупок'!G863,5))</f>
        <v/>
      </c>
      <c r="O863" s="71"/>
      <c r="P863" s="71" t="str">
        <f t="shared" si="57"/>
        <v/>
      </c>
      <c r="Q863" s="75" t="str">
        <f t="shared" si="58"/>
        <v/>
      </c>
      <c r="R863" s="76"/>
    </row>
    <row r="864" spans="1:18" ht="14.25" customHeight="1">
      <c r="A864" s="67"/>
      <c r="B864" s="68"/>
      <c r="C864" s="69"/>
      <c r="D864" s="69" t="str">
        <f ca="1">IF(B864="","",VLOOKUP('Журнал Закупок'!$B864,'СТ Криптовалюта'!B:C,2,0))</f>
        <v/>
      </c>
      <c r="E864" s="68"/>
      <c r="F864" s="70" t="str">
        <f>IF(D864="","",IF(B864=#REF!,"Основная",IF(B864=#REF!,"Основная",IF(B864=#REF!,"Основная","Экспериментальная"))))</f>
        <v/>
      </c>
      <c r="G864" s="71"/>
      <c r="H864" s="71"/>
      <c r="I864" s="71" t="str">
        <f t="shared" si="59"/>
        <v/>
      </c>
      <c r="J864" s="71"/>
      <c r="K864" s="71"/>
      <c r="L864" s="71"/>
      <c r="M864" s="71"/>
      <c r="N864" s="71" t="str">
        <f ca="1">IF(I864="","",ROUND(VLOOKUP('Журнал Закупок'!D864,'СТ Криптовалюта'!$C$3:$E$1788,2,0)*'Журнал Закупок'!G864,5))</f>
        <v/>
      </c>
      <c r="O864" s="71"/>
      <c r="P864" s="71" t="str">
        <f t="shared" si="57"/>
        <v/>
      </c>
      <c r="Q864" s="75" t="str">
        <f t="shared" si="58"/>
        <v/>
      </c>
      <c r="R864" s="76"/>
    </row>
    <row r="865" spans="1:18" ht="14.25" customHeight="1">
      <c r="A865" s="67"/>
      <c r="B865" s="68"/>
      <c r="C865" s="69"/>
      <c r="D865" s="69" t="str">
        <f ca="1">IF(B865="","",VLOOKUP('Журнал Закупок'!$B865,'СТ Криптовалюта'!B:C,2,0))</f>
        <v/>
      </c>
      <c r="E865" s="68"/>
      <c r="F865" s="70" t="str">
        <f>IF(D865="","",IF(B865=#REF!,"Основная",IF(B865=#REF!,"Основная",IF(B865=#REF!,"Основная","Экспериментальная"))))</f>
        <v/>
      </c>
      <c r="G865" s="71"/>
      <c r="H865" s="71"/>
      <c r="I865" s="71" t="str">
        <f t="shared" si="59"/>
        <v/>
      </c>
      <c r="J865" s="71"/>
      <c r="K865" s="71"/>
      <c r="L865" s="71"/>
      <c r="M865" s="71"/>
      <c r="N865" s="71" t="str">
        <f ca="1">IF(I865="","",ROUND(VLOOKUP('Журнал Закупок'!D865,'СТ Криптовалюта'!$C$3:$E$1788,2,0)*'Журнал Закупок'!G865,5))</f>
        <v/>
      </c>
      <c r="O865" s="71"/>
      <c r="P865" s="71" t="str">
        <f t="shared" si="57"/>
        <v/>
      </c>
      <c r="Q865" s="75" t="str">
        <f t="shared" si="58"/>
        <v/>
      </c>
      <c r="R865" s="76"/>
    </row>
    <row r="866" spans="1:18" ht="14.25" customHeight="1">
      <c r="A866" s="67"/>
      <c r="B866" s="68"/>
      <c r="C866" s="69"/>
      <c r="D866" s="69" t="str">
        <f ca="1">IF(B866="","",VLOOKUP('Журнал Закупок'!$B866,'СТ Криптовалюта'!B:C,2,0))</f>
        <v/>
      </c>
      <c r="E866" s="68"/>
      <c r="F866" s="70" t="str">
        <f>IF(D866="","",IF(B866=#REF!,"Основная",IF(B866=#REF!,"Основная",IF(B866=#REF!,"Основная","Экспериментальная"))))</f>
        <v/>
      </c>
      <c r="G866" s="71"/>
      <c r="H866" s="71"/>
      <c r="I866" s="71" t="str">
        <f t="shared" si="59"/>
        <v/>
      </c>
      <c r="J866" s="71"/>
      <c r="K866" s="71"/>
      <c r="L866" s="71"/>
      <c r="M866" s="71"/>
      <c r="N866" s="71" t="str">
        <f ca="1">IF(I866="","",ROUND(VLOOKUP('Журнал Закупок'!D866,'СТ Криптовалюта'!$C$3:$E$1788,2,0)*'Журнал Закупок'!G866,5))</f>
        <v/>
      </c>
      <c r="O866" s="71"/>
      <c r="P866" s="71" t="str">
        <f t="shared" si="57"/>
        <v/>
      </c>
      <c r="Q866" s="75" t="str">
        <f t="shared" si="58"/>
        <v/>
      </c>
      <c r="R866" s="76"/>
    </row>
    <row r="867" spans="1:18" ht="14.25" customHeight="1">
      <c r="A867" s="67"/>
      <c r="B867" s="68"/>
      <c r="C867" s="69"/>
      <c r="D867" s="69" t="str">
        <f ca="1">IF(B867="","",VLOOKUP('Журнал Закупок'!$B867,'СТ Криптовалюта'!B:C,2,0))</f>
        <v/>
      </c>
      <c r="E867" s="68"/>
      <c r="F867" s="70" t="str">
        <f>IF(D867="","",IF(B867=#REF!,"Основная",IF(B867=#REF!,"Основная",IF(B867=#REF!,"Основная","Экспериментальная"))))</f>
        <v/>
      </c>
      <c r="G867" s="71"/>
      <c r="H867" s="71"/>
      <c r="I867" s="71" t="str">
        <f t="shared" si="59"/>
        <v/>
      </c>
      <c r="J867" s="71"/>
      <c r="K867" s="71"/>
      <c r="L867" s="71"/>
      <c r="M867" s="71"/>
      <c r="N867" s="71" t="str">
        <f ca="1">IF(I867="","",ROUND(VLOOKUP('Журнал Закупок'!D867,'СТ Криптовалюта'!$C$3:$E$1788,2,0)*'Журнал Закупок'!G867,5))</f>
        <v/>
      </c>
      <c r="O867" s="71"/>
      <c r="P867" s="71" t="str">
        <f t="shared" si="57"/>
        <v/>
      </c>
      <c r="Q867" s="75" t="str">
        <f t="shared" si="58"/>
        <v/>
      </c>
      <c r="R867" s="76"/>
    </row>
    <row r="868" spans="1:18" ht="14.25" customHeight="1">
      <c r="A868" s="67"/>
      <c r="B868" s="68"/>
      <c r="C868" s="69"/>
      <c r="D868" s="69" t="str">
        <f ca="1">IF(B868="","",VLOOKUP('Журнал Закупок'!$B868,'СТ Криптовалюта'!B:C,2,0))</f>
        <v/>
      </c>
      <c r="E868" s="68"/>
      <c r="F868" s="70" t="str">
        <f>IF(D868="","",IF(B868=#REF!,"Основная",IF(B868=#REF!,"Основная",IF(B868=#REF!,"Основная","Экспериментальная"))))</f>
        <v/>
      </c>
      <c r="G868" s="71"/>
      <c r="H868" s="71"/>
      <c r="I868" s="71" t="str">
        <f t="shared" si="59"/>
        <v/>
      </c>
      <c r="J868" s="71"/>
      <c r="K868" s="71"/>
      <c r="L868" s="71"/>
      <c r="M868" s="71"/>
      <c r="N868" s="71" t="str">
        <f ca="1">IF(I868="","",ROUND(VLOOKUP('Журнал Закупок'!D868,'СТ Криптовалюта'!$C$3:$E$1788,2,0)*'Журнал Закупок'!G868,5))</f>
        <v/>
      </c>
      <c r="O868" s="71"/>
      <c r="P868" s="71" t="str">
        <f t="shared" si="57"/>
        <v/>
      </c>
      <c r="Q868" s="75" t="str">
        <f t="shared" si="58"/>
        <v/>
      </c>
      <c r="R868" s="76"/>
    </row>
    <row r="869" spans="1:18" ht="14.25" customHeight="1">
      <c r="A869" s="67"/>
      <c r="B869" s="68"/>
      <c r="C869" s="69"/>
      <c r="D869" s="69" t="str">
        <f ca="1">IF(B869="","",VLOOKUP('Журнал Закупок'!$B869,'СТ Криптовалюта'!B:C,2,0))</f>
        <v/>
      </c>
      <c r="E869" s="68"/>
      <c r="F869" s="70" t="str">
        <f>IF(D869="","",IF(B869=#REF!,"Основная",IF(B869=#REF!,"Основная",IF(B869=#REF!,"Основная","Экспериментальная"))))</f>
        <v/>
      </c>
      <c r="G869" s="71"/>
      <c r="H869" s="71"/>
      <c r="I869" s="71" t="str">
        <f t="shared" si="59"/>
        <v/>
      </c>
      <c r="J869" s="71"/>
      <c r="K869" s="71"/>
      <c r="L869" s="71"/>
      <c r="M869" s="71"/>
      <c r="N869" s="71" t="str">
        <f ca="1">IF(I869="","",ROUND(VLOOKUP('Журнал Закупок'!D869,'СТ Криптовалюта'!$C$3:$E$1788,2,0)*'Журнал Закупок'!G869,5))</f>
        <v/>
      </c>
      <c r="O869" s="71"/>
      <c r="P869" s="71" t="str">
        <f t="shared" si="57"/>
        <v/>
      </c>
      <c r="Q869" s="75" t="str">
        <f t="shared" si="58"/>
        <v/>
      </c>
      <c r="R869" s="76"/>
    </row>
    <row r="870" spans="1:18" ht="14.25" customHeight="1">
      <c r="A870" s="67"/>
      <c r="B870" s="68"/>
      <c r="C870" s="69"/>
      <c r="D870" s="69" t="str">
        <f ca="1">IF(B870="","",VLOOKUP('Журнал Закупок'!$B870,'СТ Криптовалюта'!B:C,2,0))</f>
        <v/>
      </c>
      <c r="E870" s="68"/>
      <c r="F870" s="70" t="str">
        <f>IF(D870="","",IF(B870=#REF!,"Основная",IF(B870=#REF!,"Основная",IF(B870=#REF!,"Основная","Экспериментальная"))))</f>
        <v/>
      </c>
      <c r="G870" s="71"/>
      <c r="H870" s="71"/>
      <c r="I870" s="71" t="str">
        <f t="shared" si="59"/>
        <v/>
      </c>
      <c r="J870" s="71"/>
      <c r="K870" s="71"/>
      <c r="L870" s="71"/>
      <c r="M870" s="71"/>
      <c r="N870" s="71" t="str">
        <f ca="1">IF(I870="","",ROUND(VLOOKUP('Журнал Закупок'!D870,'СТ Криптовалюта'!$C$3:$E$1788,2,0)*'Журнал Закупок'!G870,5))</f>
        <v/>
      </c>
      <c r="O870" s="71"/>
      <c r="P870" s="71" t="str">
        <f t="shared" si="57"/>
        <v/>
      </c>
      <c r="Q870" s="75" t="str">
        <f t="shared" si="58"/>
        <v/>
      </c>
      <c r="R870" s="76"/>
    </row>
    <row r="871" spans="1:18" ht="14.25" customHeight="1">
      <c r="A871" s="67"/>
      <c r="B871" s="68"/>
      <c r="C871" s="69"/>
      <c r="D871" s="69" t="str">
        <f ca="1">IF(B871="","",VLOOKUP('Журнал Закупок'!$B871,'СТ Криптовалюта'!B:C,2,0))</f>
        <v/>
      </c>
      <c r="E871" s="68"/>
      <c r="F871" s="70" t="str">
        <f>IF(D871="","",IF(B871=#REF!,"Основная",IF(B871=#REF!,"Основная",IF(B871=#REF!,"Основная","Экспериментальная"))))</f>
        <v/>
      </c>
      <c r="G871" s="71"/>
      <c r="H871" s="71"/>
      <c r="I871" s="71" t="str">
        <f t="shared" si="59"/>
        <v/>
      </c>
      <c r="J871" s="71"/>
      <c r="K871" s="71"/>
      <c r="L871" s="71"/>
      <c r="M871" s="71"/>
      <c r="N871" s="71" t="str">
        <f ca="1">IF(I871="","",ROUND(VLOOKUP('Журнал Закупок'!D871,'СТ Криптовалюта'!$C$3:$E$1788,2,0)*'Журнал Закупок'!G871,5))</f>
        <v/>
      </c>
      <c r="O871" s="71"/>
      <c r="P871" s="71" t="str">
        <f t="shared" si="57"/>
        <v/>
      </c>
      <c r="Q871" s="75" t="str">
        <f t="shared" si="58"/>
        <v/>
      </c>
      <c r="R871" s="76"/>
    </row>
    <row r="872" spans="1:18" ht="14.25" customHeight="1">
      <c r="A872" s="67"/>
      <c r="B872" s="68"/>
      <c r="C872" s="69"/>
      <c r="D872" s="69" t="str">
        <f ca="1">IF(B872="","",VLOOKUP('Журнал Закупок'!$B872,'СТ Криптовалюта'!B:C,2,0))</f>
        <v/>
      </c>
      <c r="E872" s="68"/>
      <c r="F872" s="70" t="str">
        <f>IF(D872="","",IF(B872=#REF!,"Основная",IF(B872=#REF!,"Основная",IF(B872=#REF!,"Основная","Экспериментальная"))))</f>
        <v/>
      </c>
      <c r="G872" s="71"/>
      <c r="H872" s="71"/>
      <c r="I872" s="71" t="str">
        <f t="shared" si="59"/>
        <v/>
      </c>
      <c r="J872" s="71"/>
      <c r="K872" s="71"/>
      <c r="L872" s="71"/>
      <c r="M872" s="71"/>
      <c r="N872" s="71" t="str">
        <f ca="1">IF(I872="","",ROUND(VLOOKUP('Журнал Закупок'!D872,'СТ Криптовалюта'!$C$3:$E$1788,2,0)*'Журнал Закупок'!G872,5))</f>
        <v/>
      </c>
      <c r="O872" s="71"/>
      <c r="P872" s="71" t="str">
        <f t="shared" si="57"/>
        <v/>
      </c>
      <c r="Q872" s="75" t="str">
        <f t="shared" si="58"/>
        <v/>
      </c>
      <c r="R872" s="76"/>
    </row>
    <row r="873" spans="1:18" ht="14.25" customHeight="1">
      <c r="A873" s="67"/>
      <c r="B873" s="68"/>
      <c r="C873" s="69"/>
      <c r="D873" s="69" t="str">
        <f ca="1">IF(B873="","",VLOOKUP('Журнал Закупок'!$B873,'СТ Криптовалюта'!B:C,2,0))</f>
        <v/>
      </c>
      <c r="E873" s="68"/>
      <c r="F873" s="70" t="str">
        <f>IF(D873="","",IF(B873=#REF!,"Основная",IF(B873=#REF!,"Основная",IF(B873=#REF!,"Основная","Экспериментальная"))))</f>
        <v/>
      </c>
      <c r="G873" s="71"/>
      <c r="H873" s="71"/>
      <c r="I873" s="71" t="str">
        <f t="shared" si="59"/>
        <v/>
      </c>
      <c r="J873" s="71"/>
      <c r="K873" s="71"/>
      <c r="L873" s="71"/>
      <c r="M873" s="71"/>
      <c r="N873" s="71" t="str">
        <f ca="1">IF(I873="","",ROUND(VLOOKUP('Журнал Закупок'!D873,'СТ Криптовалюта'!$C$3:$E$1788,2,0)*'Журнал Закупок'!G873,5))</f>
        <v/>
      </c>
      <c r="O873" s="71"/>
      <c r="P873" s="71" t="str">
        <f t="shared" si="57"/>
        <v/>
      </c>
      <c r="Q873" s="75" t="str">
        <f t="shared" si="58"/>
        <v/>
      </c>
      <c r="R873" s="76"/>
    </row>
    <row r="874" spans="1:18" ht="14.25" customHeight="1">
      <c r="A874" s="67"/>
      <c r="B874" s="68"/>
      <c r="C874" s="69"/>
      <c r="D874" s="69" t="str">
        <f ca="1">IF(B874="","",VLOOKUP('Журнал Закупок'!$B874,'СТ Криптовалюта'!B:C,2,0))</f>
        <v/>
      </c>
      <c r="E874" s="68"/>
      <c r="F874" s="70" t="str">
        <f>IF(D874="","",IF(B874=#REF!,"Основная",IF(B874=#REF!,"Основная",IF(B874=#REF!,"Основная","Экспериментальная"))))</f>
        <v/>
      </c>
      <c r="G874" s="71"/>
      <c r="H874" s="71"/>
      <c r="I874" s="71" t="str">
        <f t="shared" si="59"/>
        <v/>
      </c>
      <c r="J874" s="71"/>
      <c r="K874" s="71"/>
      <c r="L874" s="71"/>
      <c r="M874" s="71"/>
      <c r="N874" s="71" t="str">
        <f ca="1">IF(I874="","",ROUND(VLOOKUP('Журнал Закупок'!D874,'СТ Криптовалюта'!$C$3:$E$1788,2,0)*'Журнал Закупок'!G874,5))</f>
        <v/>
      </c>
      <c r="O874" s="71"/>
      <c r="P874" s="71" t="str">
        <f t="shared" si="57"/>
        <v/>
      </c>
      <c r="Q874" s="75" t="str">
        <f t="shared" si="58"/>
        <v/>
      </c>
      <c r="R874" s="76"/>
    </row>
    <row r="875" spans="1:18" ht="14.25" customHeight="1">
      <c r="A875" s="67"/>
      <c r="B875" s="68"/>
      <c r="C875" s="69"/>
      <c r="D875" s="69" t="str">
        <f ca="1">IF(B875="","",VLOOKUP('Журнал Закупок'!$B875,'СТ Криптовалюта'!B:C,2,0))</f>
        <v/>
      </c>
      <c r="E875" s="68"/>
      <c r="F875" s="70" t="str">
        <f>IF(D875="","",IF(B875=#REF!,"Основная",IF(B875=#REF!,"Основная",IF(B875=#REF!,"Основная","Экспериментальная"))))</f>
        <v/>
      </c>
      <c r="G875" s="71"/>
      <c r="H875" s="71"/>
      <c r="I875" s="71" t="str">
        <f t="shared" si="59"/>
        <v/>
      </c>
      <c r="J875" s="71"/>
      <c r="K875" s="71"/>
      <c r="L875" s="71"/>
      <c r="M875" s="71"/>
      <c r="N875" s="71" t="str">
        <f ca="1">IF(I875="","",ROUND(VLOOKUP('Журнал Закупок'!D875,'СТ Криптовалюта'!$C$3:$E$1788,2,0)*'Журнал Закупок'!G875,5))</f>
        <v/>
      </c>
      <c r="O875" s="71"/>
      <c r="P875" s="71" t="str">
        <f t="shared" ref="P875:P938" si="60">IF(N875="","",ROUND(N875-I875,2))</f>
        <v/>
      </c>
      <c r="Q875" s="75" t="str">
        <f t="shared" ref="Q875:Q938" si="61">IF(P875="","",ROUND(IFERROR((N875-I875)/I875,2),5))</f>
        <v/>
      </c>
      <c r="R875" s="76"/>
    </row>
    <row r="876" spans="1:18" ht="14.25" customHeight="1">
      <c r="A876" s="67"/>
      <c r="B876" s="68"/>
      <c r="C876" s="69"/>
      <c r="D876" s="69" t="str">
        <f ca="1">IF(B876="","",VLOOKUP('Журнал Закупок'!$B876,'СТ Криптовалюта'!B:C,2,0))</f>
        <v/>
      </c>
      <c r="E876" s="68"/>
      <c r="F876" s="70" t="str">
        <f>IF(D876="","",IF(B876=#REF!,"Основная",IF(B876=#REF!,"Основная",IF(B876=#REF!,"Основная","Экспериментальная"))))</f>
        <v/>
      </c>
      <c r="G876" s="71"/>
      <c r="H876" s="71"/>
      <c r="I876" s="71" t="str">
        <f t="shared" si="59"/>
        <v/>
      </c>
      <c r="J876" s="71"/>
      <c r="K876" s="71"/>
      <c r="L876" s="71"/>
      <c r="M876" s="71"/>
      <c r="N876" s="71" t="str">
        <f ca="1">IF(I876="","",ROUND(VLOOKUP('Журнал Закупок'!D876,'СТ Криптовалюта'!$C$3:$E$1788,2,0)*'Журнал Закупок'!G876,5))</f>
        <v/>
      </c>
      <c r="O876" s="71"/>
      <c r="P876" s="71" t="str">
        <f t="shared" si="60"/>
        <v/>
      </c>
      <c r="Q876" s="75" t="str">
        <f t="shared" si="61"/>
        <v/>
      </c>
      <c r="R876" s="76"/>
    </row>
    <row r="877" spans="1:18" ht="14.25" customHeight="1">
      <c r="A877" s="67"/>
      <c r="B877" s="68"/>
      <c r="C877" s="69"/>
      <c r="D877" s="69" t="str">
        <f ca="1">IF(B877="","",VLOOKUP('Журнал Закупок'!$B877,'СТ Криптовалюта'!B:C,2,0))</f>
        <v/>
      </c>
      <c r="E877" s="68"/>
      <c r="F877" s="70" t="str">
        <f>IF(D877="","",IF(B877=#REF!,"Основная",IF(B877=#REF!,"Основная",IF(B877=#REF!,"Основная","Экспериментальная"))))</f>
        <v/>
      </c>
      <c r="G877" s="71"/>
      <c r="H877" s="71"/>
      <c r="I877" s="71" t="str">
        <f t="shared" si="59"/>
        <v/>
      </c>
      <c r="J877" s="71"/>
      <c r="K877" s="71"/>
      <c r="L877" s="71"/>
      <c r="M877" s="71"/>
      <c r="N877" s="71" t="str">
        <f ca="1">IF(I877="","",ROUND(VLOOKUP('Журнал Закупок'!D877,'СТ Криптовалюта'!$C$3:$E$1788,2,0)*'Журнал Закупок'!G877,5))</f>
        <v/>
      </c>
      <c r="O877" s="71"/>
      <c r="P877" s="71" t="str">
        <f t="shared" si="60"/>
        <v/>
      </c>
      <c r="Q877" s="75" t="str">
        <f t="shared" si="61"/>
        <v/>
      </c>
      <c r="R877" s="76"/>
    </row>
    <row r="878" spans="1:18" ht="14.25" customHeight="1">
      <c r="A878" s="67"/>
      <c r="B878" s="68"/>
      <c r="C878" s="69"/>
      <c r="D878" s="69" t="str">
        <f ca="1">IF(B878="","",VLOOKUP('Журнал Закупок'!$B878,'СТ Криптовалюта'!B:C,2,0))</f>
        <v/>
      </c>
      <c r="E878" s="68"/>
      <c r="F878" s="70" t="str">
        <f>IF(D878="","",IF(B878=#REF!,"Основная",IF(B878=#REF!,"Основная",IF(B878=#REF!,"Основная","Экспериментальная"))))</f>
        <v/>
      </c>
      <c r="G878" s="71"/>
      <c r="H878" s="71"/>
      <c r="I878" s="71" t="str">
        <f t="shared" ref="I878:I941" si="62">IF(H878="","",ROUND(G878*H878,5))</f>
        <v/>
      </c>
      <c r="J878" s="71"/>
      <c r="K878" s="71"/>
      <c r="L878" s="71"/>
      <c r="M878" s="71"/>
      <c r="N878" s="71" t="str">
        <f ca="1">IF(I878="","",ROUND(VLOOKUP('Журнал Закупок'!D878,'СТ Криптовалюта'!$C$3:$E$1788,2,0)*'Журнал Закупок'!G878,5))</f>
        <v/>
      </c>
      <c r="O878" s="71"/>
      <c r="P878" s="71" t="str">
        <f t="shared" si="60"/>
        <v/>
      </c>
      <c r="Q878" s="75" t="str">
        <f t="shared" si="61"/>
        <v/>
      </c>
      <c r="R878" s="76"/>
    </row>
    <row r="879" spans="1:18" ht="14.25" customHeight="1">
      <c r="A879" s="67"/>
      <c r="B879" s="68"/>
      <c r="C879" s="69"/>
      <c r="D879" s="69" t="str">
        <f ca="1">IF(B879="","",VLOOKUP('Журнал Закупок'!$B879,'СТ Криптовалюта'!B:C,2,0))</f>
        <v/>
      </c>
      <c r="E879" s="68"/>
      <c r="F879" s="70" t="str">
        <f>IF(D879="","",IF(B879=#REF!,"Основная",IF(B879=#REF!,"Основная",IF(B879=#REF!,"Основная","Экспериментальная"))))</f>
        <v/>
      </c>
      <c r="G879" s="71"/>
      <c r="H879" s="71"/>
      <c r="I879" s="71" t="str">
        <f t="shared" si="62"/>
        <v/>
      </c>
      <c r="J879" s="71"/>
      <c r="K879" s="71"/>
      <c r="L879" s="71"/>
      <c r="M879" s="71"/>
      <c r="N879" s="71" t="str">
        <f ca="1">IF(I879="","",ROUND(VLOOKUP('Журнал Закупок'!D879,'СТ Криптовалюта'!$C$3:$E$1788,2,0)*'Журнал Закупок'!G879,5))</f>
        <v/>
      </c>
      <c r="O879" s="71"/>
      <c r="P879" s="71" t="str">
        <f t="shared" si="60"/>
        <v/>
      </c>
      <c r="Q879" s="75" t="str">
        <f t="shared" si="61"/>
        <v/>
      </c>
      <c r="R879" s="76"/>
    </row>
    <row r="880" spans="1:18" ht="14.25" customHeight="1">
      <c r="A880" s="67"/>
      <c r="B880" s="68"/>
      <c r="C880" s="69"/>
      <c r="D880" s="69" t="str">
        <f ca="1">IF(B880="","",VLOOKUP('Журнал Закупок'!$B880,'СТ Криптовалюта'!B:C,2,0))</f>
        <v/>
      </c>
      <c r="E880" s="68"/>
      <c r="F880" s="70" t="str">
        <f>IF(D880="","",IF(B880=#REF!,"Основная",IF(B880=#REF!,"Основная",IF(B880=#REF!,"Основная","Экспериментальная"))))</f>
        <v/>
      </c>
      <c r="G880" s="71"/>
      <c r="H880" s="71"/>
      <c r="I880" s="71" t="str">
        <f t="shared" si="62"/>
        <v/>
      </c>
      <c r="J880" s="71"/>
      <c r="K880" s="71"/>
      <c r="L880" s="71"/>
      <c r="M880" s="71"/>
      <c r="N880" s="71" t="str">
        <f ca="1">IF(I880="","",ROUND(VLOOKUP('Журнал Закупок'!D880,'СТ Криптовалюта'!$C$3:$E$1788,2,0)*'Журнал Закупок'!G880,5))</f>
        <v/>
      </c>
      <c r="O880" s="71"/>
      <c r="P880" s="71" t="str">
        <f t="shared" si="60"/>
        <v/>
      </c>
      <c r="Q880" s="75" t="str">
        <f t="shared" si="61"/>
        <v/>
      </c>
      <c r="R880" s="76"/>
    </row>
    <row r="881" spans="1:18" ht="14.25" customHeight="1">
      <c r="A881" s="67"/>
      <c r="B881" s="68"/>
      <c r="C881" s="69"/>
      <c r="D881" s="69" t="str">
        <f ca="1">IF(B881="","",VLOOKUP('Журнал Закупок'!$B881,'СТ Криптовалюта'!B:C,2,0))</f>
        <v/>
      </c>
      <c r="E881" s="68"/>
      <c r="F881" s="70" t="str">
        <f>IF(D881="","",IF(B881=#REF!,"Основная",IF(B881=#REF!,"Основная",IF(B881=#REF!,"Основная","Экспериментальная"))))</f>
        <v/>
      </c>
      <c r="G881" s="71"/>
      <c r="H881" s="71"/>
      <c r="I881" s="71" t="str">
        <f t="shared" si="62"/>
        <v/>
      </c>
      <c r="J881" s="71"/>
      <c r="K881" s="71"/>
      <c r="L881" s="71"/>
      <c r="M881" s="71"/>
      <c r="N881" s="71" t="str">
        <f ca="1">IF(I881="","",ROUND(VLOOKUP('Журнал Закупок'!D881,'СТ Криптовалюта'!$C$3:$E$1788,2,0)*'Журнал Закупок'!G881,5))</f>
        <v/>
      </c>
      <c r="O881" s="71"/>
      <c r="P881" s="71" t="str">
        <f t="shared" si="60"/>
        <v/>
      </c>
      <c r="Q881" s="75" t="str">
        <f t="shared" si="61"/>
        <v/>
      </c>
      <c r="R881" s="76"/>
    </row>
    <row r="882" spans="1:18" ht="14.25" customHeight="1">
      <c r="A882" s="67"/>
      <c r="B882" s="68"/>
      <c r="C882" s="69"/>
      <c r="D882" s="69" t="str">
        <f ca="1">IF(B882="","",VLOOKUP('Журнал Закупок'!$B882,'СТ Криптовалюта'!B:C,2,0))</f>
        <v/>
      </c>
      <c r="E882" s="68"/>
      <c r="F882" s="70" t="str">
        <f>IF(D882="","",IF(B882=#REF!,"Основная",IF(B882=#REF!,"Основная",IF(B882=#REF!,"Основная","Экспериментальная"))))</f>
        <v/>
      </c>
      <c r="G882" s="71"/>
      <c r="H882" s="71"/>
      <c r="I882" s="71" t="str">
        <f t="shared" si="62"/>
        <v/>
      </c>
      <c r="J882" s="71"/>
      <c r="K882" s="71"/>
      <c r="L882" s="71"/>
      <c r="M882" s="71"/>
      <c r="N882" s="71" t="str">
        <f ca="1">IF(I882="","",ROUND(VLOOKUP('Журнал Закупок'!D882,'СТ Криптовалюта'!$C$3:$E$1788,2,0)*'Журнал Закупок'!G882,5))</f>
        <v/>
      </c>
      <c r="O882" s="71"/>
      <c r="P882" s="71" t="str">
        <f t="shared" si="60"/>
        <v/>
      </c>
      <c r="Q882" s="75" t="str">
        <f t="shared" si="61"/>
        <v/>
      </c>
      <c r="R882" s="76"/>
    </row>
    <row r="883" spans="1:18" ht="14.25" customHeight="1">
      <c r="A883" s="67"/>
      <c r="B883" s="68"/>
      <c r="C883" s="69"/>
      <c r="D883" s="69" t="str">
        <f ca="1">IF(B883="","",VLOOKUP('Журнал Закупок'!$B883,'СТ Криптовалюта'!B:C,2,0))</f>
        <v/>
      </c>
      <c r="E883" s="68"/>
      <c r="F883" s="70" t="str">
        <f>IF(D883="","",IF(B883=#REF!,"Основная",IF(B883=#REF!,"Основная",IF(B883=#REF!,"Основная","Экспериментальная"))))</f>
        <v/>
      </c>
      <c r="G883" s="71"/>
      <c r="H883" s="71"/>
      <c r="I883" s="71" t="str">
        <f t="shared" si="62"/>
        <v/>
      </c>
      <c r="J883" s="71"/>
      <c r="K883" s="71"/>
      <c r="L883" s="71"/>
      <c r="M883" s="71"/>
      <c r="N883" s="71" t="str">
        <f ca="1">IF(I883="","",ROUND(VLOOKUP('Журнал Закупок'!D883,'СТ Криптовалюта'!$C$3:$E$1788,2,0)*'Журнал Закупок'!G883,5))</f>
        <v/>
      </c>
      <c r="O883" s="71"/>
      <c r="P883" s="71" t="str">
        <f t="shared" si="60"/>
        <v/>
      </c>
      <c r="Q883" s="75" t="str">
        <f t="shared" si="61"/>
        <v/>
      </c>
      <c r="R883" s="76"/>
    </row>
    <row r="884" spans="1:18" ht="14.25" customHeight="1">
      <c r="A884" s="67"/>
      <c r="B884" s="68"/>
      <c r="C884" s="69"/>
      <c r="D884" s="69" t="str">
        <f ca="1">IF(B884="","",VLOOKUP('Журнал Закупок'!$B884,'СТ Криптовалюта'!B:C,2,0))</f>
        <v/>
      </c>
      <c r="E884" s="68"/>
      <c r="F884" s="70" t="str">
        <f>IF(D884="","",IF(B884=#REF!,"Основная",IF(B884=#REF!,"Основная",IF(B884=#REF!,"Основная","Экспериментальная"))))</f>
        <v/>
      </c>
      <c r="G884" s="71"/>
      <c r="H884" s="71"/>
      <c r="I884" s="71" t="str">
        <f t="shared" si="62"/>
        <v/>
      </c>
      <c r="J884" s="71"/>
      <c r="K884" s="71"/>
      <c r="L884" s="71"/>
      <c r="M884" s="71"/>
      <c r="N884" s="71" t="str">
        <f ca="1">IF(I884="","",ROUND(VLOOKUP('Журнал Закупок'!D884,'СТ Криптовалюта'!$C$3:$E$1788,2,0)*'Журнал Закупок'!G884,5))</f>
        <v/>
      </c>
      <c r="O884" s="71"/>
      <c r="P884" s="71" t="str">
        <f t="shared" si="60"/>
        <v/>
      </c>
      <c r="Q884" s="75" t="str">
        <f t="shared" si="61"/>
        <v/>
      </c>
      <c r="R884" s="76"/>
    </row>
    <row r="885" spans="1:18" ht="14.25" customHeight="1">
      <c r="A885" s="67"/>
      <c r="B885" s="68"/>
      <c r="C885" s="69"/>
      <c r="D885" s="69" t="str">
        <f ca="1">IF(B885="","",VLOOKUP('Журнал Закупок'!$B885,'СТ Криптовалюта'!B:C,2,0))</f>
        <v/>
      </c>
      <c r="E885" s="68"/>
      <c r="F885" s="70" t="str">
        <f>IF(D885="","",IF(B885=#REF!,"Основная",IF(B885=#REF!,"Основная",IF(B885=#REF!,"Основная","Экспериментальная"))))</f>
        <v/>
      </c>
      <c r="G885" s="71"/>
      <c r="H885" s="71"/>
      <c r="I885" s="71" t="str">
        <f t="shared" si="62"/>
        <v/>
      </c>
      <c r="J885" s="71"/>
      <c r="K885" s="71"/>
      <c r="L885" s="71"/>
      <c r="M885" s="71"/>
      <c r="N885" s="71" t="str">
        <f ca="1">IF(I885="","",ROUND(VLOOKUP('Журнал Закупок'!D885,'СТ Криптовалюта'!$C$3:$E$1788,2,0)*'Журнал Закупок'!G885,5))</f>
        <v/>
      </c>
      <c r="O885" s="71"/>
      <c r="P885" s="71" t="str">
        <f t="shared" si="60"/>
        <v/>
      </c>
      <c r="Q885" s="75" t="str">
        <f t="shared" si="61"/>
        <v/>
      </c>
      <c r="R885" s="76"/>
    </row>
    <row r="886" spans="1:18" ht="14.25" customHeight="1">
      <c r="A886" s="67"/>
      <c r="B886" s="68"/>
      <c r="C886" s="69"/>
      <c r="D886" s="69" t="str">
        <f ca="1">IF(B886="","",VLOOKUP('Журнал Закупок'!$B886,'СТ Криптовалюта'!B:C,2,0))</f>
        <v/>
      </c>
      <c r="E886" s="68"/>
      <c r="F886" s="70" t="str">
        <f>IF(D886="","",IF(B886=#REF!,"Основная",IF(B886=#REF!,"Основная",IF(B886=#REF!,"Основная","Экспериментальная"))))</f>
        <v/>
      </c>
      <c r="G886" s="71"/>
      <c r="H886" s="71"/>
      <c r="I886" s="71" t="str">
        <f t="shared" si="62"/>
        <v/>
      </c>
      <c r="J886" s="71"/>
      <c r="K886" s="71"/>
      <c r="L886" s="71"/>
      <c r="M886" s="71"/>
      <c r="N886" s="71" t="str">
        <f ca="1">IF(I886="","",ROUND(VLOOKUP('Журнал Закупок'!D886,'СТ Криптовалюта'!$C$3:$E$1788,2,0)*'Журнал Закупок'!G886,5))</f>
        <v/>
      </c>
      <c r="O886" s="71"/>
      <c r="P886" s="71" t="str">
        <f t="shared" si="60"/>
        <v/>
      </c>
      <c r="Q886" s="75" t="str">
        <f t="shared" si="61"/>
        <v/>
      </c>
      <c r="R886" s="76"/>
    </row>
    <row r="887" spans="1:18" ht="14.25" customHeight="1">
      <c r="A887" s="67"/>
      <c r="B887" s="68"/>
      <c r="C887" s="69"/>
      <c r="D887" s="69" t="str">
        <f ca="1">IF(B887="","",VLOOKUP('Журнал Закупок'!$B887,'СТ Криптовалюта'!B:C,2,0))</f>
        <v/>
      </c>
      <c r="E887" s="68"/>
      <c r="F887" s="70" t="str">
        <f>IF(D887="","",IF(B887=#REF!,"Основная",IF(B887=#REF!,"Основная",IF(B887=#REF!,"Основная","Экспериментальная"))))</f>
        <v/>
      </c>
      <c r="G887" s="71"/>
      <c r="H887" s="71"/>
      <c r="I887" s="71" t="str">
        <f t="shared" si="62"/>
        <v/>
      </c>
      <c r="J887" s="71"/>
      <c r="K887" s="71"/>
      <c r="L887" s="71"/>
      <c r="M887" s="71"/>
      <c r="N887" s="71" t="str">
        <f ca="1">IF(I887="","",ROUND(VLOOKUP('Журнал Закупок'!D887,'СТ Криптовалюта'!$C$3:$E$1788,2,0)*'Журнал Закупок'!G887,5))</f>
        <v/>
      </c>
      <c r="O887" s="71"/>
      <c r="P887" s="71" t="str">
        <f t="shared" si="60"/>
        <v/>
      </c>
      <c r="Q887" s="75" t="str">
        <f t="shared" si="61"/>
        <v/>
      </c>
      <c r="R887" s="76"/>
    </row>
    <row r="888" spans="1:18" ht="14.25" customHeight="1">
      <c r="A888" s="67"/>
      <c r="B888" s="68"/>
      <c r="C888" s="69"/>
      <c r="D888" s="69" t="str">
        <f ca="1">IF(B888="","",VLOOKUP('Журнал Закупок'!$B888,'СТ Криптовалюта'!B:C,2,0))</f>
        <v/>
      </c>
      <c r="E888" s="68"/>
      <c r="F888" s="70" t="str">
        <f>IF(D888="","",IF(B888=#REF!,"Основная",IF(B888=#REF!,"Основная",IF(B888=#REF!,"Основная","Экспериментальная"))))</f>
        <v/>
      </c>
      <c r="G888" s="71"/>
      <c r="H888" s="71"/>
      <c r="I888" s="71" t="str">
        <f t="shared" si="62"/>
        <v/>
      </c>
      <c r="J888" s="71"/>
      <c r="K888" s="71"/>
      <c r="L888" s="71"/>
      <c r="M888" s="71"/>
      <c r="N888" s="71" t="str">
        <f ca="1">IF(I888="","",ROUND(VLOOKUP('Журнал Закупок'!D888,'СТ Криптовалюта'!$C$3:$E$1788,2,0)*'Журнал Закупок'!G888,5))</f>
        <v/>
      </c>
      <c r="O888" s="71"/>
      <c r="P888" s="71" t="str">
        <f t="shared" si="60"/>
        <v/>
      </c>
      <c r="Q888" s="75" t="str">
        <f t="shared" si="61"/>
        <v/>
      </c>
      <c r="R888" s="76"/>
    </row>
    <row r="889" spans="1:18" ht="14.25" customHeight="1">
      <c r="A889" s="67"/>
      <c r="B889" s="68"/>
      <c r="C889" s="69"/>
      <c r="D889" s="69" t="str">
        <f ca="1">IF(B889="","",VLOOKUP('Журнал Закупок'!$B889,'СТ Криптовалюта'!B:C,2,0))</f>
        <v/>
      </c>
      <c r="E889" s="68"/>
      <c r="F889" s="70" t="str">
        <f>IF(D889="","",IF(B889=#REF!,"Основная",IF(B889=#REF!,"Основная",IF(B889=#REF!,"Основная","Экспериментальная"))))</f>
        <v/>
      </c>
      <c r="G889" s="71"/>
      <c r="H889" s="71"/>
      <c r="I889" s="71" t="str">
        <f t="shared" si="62"/>
        <v/>
      </c>
      <c r="J889" s="71"/>
      <c r="K889" s="71"/>
      <c r="L889" s="71"/>
      <c r="M889" s="71"/>
      <c r="N889" s="71" t="str">
        <f ca="1">IF(I889="","",ROUND(VLOOKUP('Журнал Закупок'!D889,'СТ Криптовалюта'!$C$3:$E$1788,2,0)*'Журнал Закупок'!G889,5))</f>
        <v/>
      </c>
      <c r="O889" s="71"/>
      <c r="P889" s="71" t="str">
        <f t="shared" si="60"/>
        <v/>
      </c>
      <c r="Q889" s="75" t="str">
        <f t="shared" si="61"/>
        <v/>
      </c>
      <c r="R889" s="76"/>
    </row>
    <row r="890" spans="1:18" ht="14.25" customHeight="1">
      <c r="A890" s="67"/>
      <c r="B890" s="68"/>
      <c r="C890" s="69"/>
      <c r="D890" s="69" t="str">
        <f ca="1">IF(B890="","",VLOOKUP('Журнал Закупок'!$B890,'СТ Криптовалюта'!B:C,2,0))</f>
        <v/>
      </c>
      <c r="E890" s="68"/>
      <c r="F890" s="70" t="str">
        <f>IF(D890="","",IF(B890=#REF!,"Основная",IF(B890=#REF!,"Основная",IF(B890=#REF!,"Основная","Экспериментальная"))))</f>
        <v/>
      </c>
      <c r="G890" s="71"/>
      <c r="H890" s="71"/>
      <c r="I890" s="71" t="str">
        <f t="shared" si="62"/>
        <v/>
      </c>
      <c r="J890" s="71"/>
      <c r="K890" s="71"/>
      <c r="L890" s="71"/>
      <c r="M890" s="71"/>
      <c r="N890" s="71" t="str">
        <f ca="1">IF(I890="","",ROUND(VLOOKUP('Журнал Закупок'!D890,'СТ Криптовалюта'!$C$3:$E$1788,2,0)*'Журнал Закупок'!G890,5))</f>
        <v/>
      </c>
      <c r="O890" s="71"/>
      <c r="P890" s="71" t="str">
        <f t="shared" si="60"/>
        <v/>
      </c>
      <c r="Q890" s="75" t="str">
        <f t="shared" si="61"/>
        <v/>
      </c>
      <c r="R890" s="76"/>
    </row>
    <row r="891" spans="1:18" ht="14.25" customHeight="1">
      <c r="A891" s="67"/>
      <c r="B891" s="68"/>
      <c r="C891" s="69"/>
      <c r="D891" s="69" t="str">
        <f ca="1">IF(B891="","",VLOOKUP('Журнал Закупок'!$B891,'СТ Криптовалюта'!B:C,2,0))</f>
        <v/>
      </c>
      <c r="E891" s="68"/>
      <c r="F891" s="70" t="str">
        <f>IF(D891="","",IF(B891=#REF!,"Основная",IF(B891=#REF!,"Основная",IF(B891=#REF!,"Основная","Экспериментальная"))))</f>
        <v/>
      </c>
      <c r="G891" s="71"/>
      <c r="H891" s="71"/>
      <c r="I891" s="71" t="str">
        <f t="shared" si="62"/>
        <v/>
      </c>
      <c r="J891" s="71"/>
      <c r="K891" s="71"/>
      <c r="L891" s="71"/>
      <c r="M891" s="71"/>
      <c r="N891" s="71" t="str">
        <f ca="1">IF(I891="","",ROUND(VLOOKUP('Журнал Закупок'!D891,'СТ Криптовалюта'!$C$3:$E$1788,2,0)*'Журнал Закупок'!G891,5))</f>
        <v/>
      </c>
      <c r="O891" s="71"/>
      <c r="P891" s="71" t="str">
        <f t="shared" si="60"/>
        <v/>
      </c>
      <c r="Q891" s="75" t="str">
        <f t="shared" si="61"/>
        <v/>
      </c>
      <c r="R891" s="76"/>
    </row>
    <row r="892" spans="1:18" ht="14.25" customHeight="1">
      <c r="A892" s="67"/>
      <c r="B892" s="68"/>
      <c r="C892" s="69"/>
      <c r="D892" s="69" t="str">
        <f ca="1">IF(B892="","",VLOOKUP('Журнал Закупок'!$B892,'СТ Криптовалюта'!B:C,2,0))</f>
        <v/>
      </c>
      <c r="E892" s="68"/>
      <c r="F892" s="70" t="str">
        <f>IF(D892="","",IF(B892=#REF!,"Основная",IF(B892=#REF!,"Основная",IF(B892=#REF!,"Основная","Экспериментальная"))))</f>
        <v/>
      </c>
      <c r="G892" s="71"/>
      <c r="H892" s="71"/>
      <c r="I892" s="71" t="str">
        <f t="shared" si="62"/>
        <v/>
      </c>
      <c r="J892" s="71"/>
      <c r="K892" s="71"/>
      <c r="L892" s="71"/>
      <c r="M892" s="71"/>
      <c r="N892" s="71" t="str">
        <f ca="1">IF(I892="","",ROUND(VLOOKUP('Журнал Закупок'!D892,'СТ Криптовалюта'!$C$3:$E$1788,2,0)*'Журнал Закупок'!G892,5))</f>
        <v/>
      </c>
      <c r="O892" s="71"/>
      <c r="P892" s="71" t="str">
        <f t="shared" si="60"/>
        <v/>
      </c>
      <c r="Q892" s="75" t="str">
        <f t="shared" si="61"/>
        <v/>
      </c>
      <c r="R892" s="76"/>
    </row>
    <row r="893" spans="1:18" ht="14.25" customHeight="1">
      <c r="A893" s="67"/>
      <c r="B893" s="68"/>
      <c r="C893" s="69"/>
      <c r="D893" s="69" t="str">
        <f ca="1">IF(B893="","",VLOOKUP('Журнал Закупок'!$B893,'СТ Криптовалюта'!B:C,2,0))</f>
        <v/>
      </c>
      <c r="E893" s="68"/>
      <c r="F893" s="70" t="str">
        <f>IF(D893="","",IF(B893=#REF!,"Основная",IF(B893=#REF!,"Основная",IF(B893=#REF!,"Основная","Экспериментальная"))))</f>
        <v/>
      </c>
      <c r="G893" s="71"/>
      <c r="H893" s="71"/>
      <c r="I893" s="71" t="str">
        <f t="shared" si="62"/>
        <v/>
      </c>
      <c r="J893" s="71"/>
      <c r="K893" s="71"/>
      <c r="L893" s="71"/>
      <c r="M893" s="71"/>
      <c r="N893" s="71" t="str">
        <f ca="1">IF(I893="","",ROUND(VLOOKUP('Журнал Закупок'!D893,'СТ Криптовалюта'!$C$3:$E$1788,2,0)*'Журнал Закупок'!G893,5))</f>
        <v/>
      </c>
      <c r="O893" s="71"/>
      <c r="P893" s="71" t="str">
        <f t="shared" si="60"/>
        <v/>
      </c>
      <c r="Q893" s="75" t="str">
        <f t="shared" si="61"/>
        <v/>
      </c>
      <c r="R893" s="76"/>
    </row>
    <row r="894" spans="1:18" ht="14.25" customHeight="1">
      <c r="A894" s="67"/>
      <c r="B894" s="68"/>
      <c r="C894" s="69"/>
      <c r="D894" s="69" t="str">
        <f ca="1">IF(B894="","",VLOOKUP('Журнал Закупок'!$B894,'СТ Криптовалюта'!B:C,2,0))</f>
        <v/>
      </c>
      <c r="E894" s="68"/>
      <c r="F894" s="70" t="str">
        <f>IF(D894="","",IF(B894=#REF!,"Основная",IF(B894=#REF!,"Основная",IF(B894=#REF!,"Основная","Экспериментальная"))))</f>
        <v/>
      </c>
      <c r="G894" s="71"/>
      <c r="H894" s="71"/>
      <c r="I894" s="71" t="str">
        <f t="shared" si="62"/>
        <v/>
      </c>
      <c r="J894" s="71"/>
      <c r="K894" s="71"/>
      <c r="L894" s="71"/>
      <c r="M894" s="71"/>
      <c r="N894" s="71" t="str">
        <f ca="1">IF(I894="","",ROUND(VLOOKUP('Журнал Закупок'!D894,'СТ Криптовалюта'!$C$3:$E$1788,2,0)*'Журнал Закупок'!G894,5))</f>
        <v/>
      </c>
      <c r="O894" s="71"/>
      <c r="P894" s="71" t="str">
        <f t="shared" si="60"/>
        <v/>
      </c>
      <c r="Q894" s="75" t="str">
        <f t="shared" si="61"/>
        <v/>
      </c>
      <c r="R894" s="76"/>
    </row>
    <row r="895" spans="1:18" ht="14.25" customHeight="1">
      <c r="A895" s="67"/>
      <c r="B895" s="68"/>
      <c r="C895" s="69"/>
      <c r="D895" s="69" t="str">
        <f ca="1">IF(B895="","",VLOOKUP('Журнал Закупок'!$B895,'СТ Криптовалюта'!B:C,2,0))</f>
        <v/>
      </c>
      <c r="E895" s="68"/>
      <c r="F895" s="70" t="str">
        <f>IF(D895="","",IF(B895=#REF!,"Основная",IF(B895=#REF!,"Основная",IF(B895=#REF!,"Основная","Экспериментальная"))))</f>
        <v/>
      </c>
      <c r="G895" s="71"/>
      <c r="H895" s="71"/>
      <c r="I895" s="71" t="str">
        <f t="shared" si="62"/>
        <v/>
      </c>
      <c r="J895" s="71"/>
      <c r="K895" s="71"/>
      <c r="L895" s="71"/>
      <c r="M895" s="71"/>
      <c r="N895" s="71" t="str">
        <f ca="1">IF(I895="","",ROUND(VLOOKUP('Журнал Закупок'!D895,'СТ Криптовалюта'!$C$3:$E$1788,2,0)*'Журнал Закупок'!G895,5))</f>
        <v/>
      </c>
      <c r="O895" s="71"/>
      <c r="P895" s="71" t="str">
        <f t="shared" si="60"/>
        <v/>
      </c>
      <c r="Q895" s="75" t="str">
        <f t="shared" si="61"/>
        <v/>
      </c>
      <c r="R895" s="76"/>
    </row>
    <row r="896" spans="1:18" ht="14.25" customHeight="1">
      <c r="A896" s="67"/>
      <c r="B896" s="68"/>
      <c r="C896" s="69"/>
      <c r="D896" s="69" t="str">
        <f ca="1">IF(B896="","",VLOOKUP('Журнал Закупок'!$B896,'СТ Криптовалюта'!B:C,2,0))</f>
        <v/>
      </c>
      <c r="E896" s="68"/>
      <c r="F896" s="70" t="str">
        <f>IF(D896="","",IF(B896=#REF!,"Основная",IF(B896=#REF!,"Основная",IF(B896=#REF!,"Основная","Экспериментальная"))))</f>
        <v/>
      </c>
      <c r="G896" s="71"/>
      <c r="H896" s="71"/>
      <c r="I896" s="71" t="str">
        <f t="shared" si="62"/>
        <v/>
      </c>
      <c r="J896" s="71"/>
      <c r="K896" s="71"/>
      <c r="L896" s="71"/>
      <c r="M896" s="71"/>
      <c r="N896" s="71" t="str">
        <f ca="1">IF(I896="","",ROUND(VLOOKUP('Журнал Закупок'!D896,'СТ Криптовалюта'!$C$3:$E$1788,2,0)*'Журнал Закупок'!G896,5))</f>
        <v/>
      </c>
      <c r="O896" s="71"/>
      <c r="P896" s="71" t="str">
        <f t="shared" si="60"/>
        <v/>
      </c>
      <c r="Q896" s="75" t="str">
        <f t="shared" si="61"/>
        <v/>
      </c>
      <c r="R896" s="76"/>
    </row>
    <row r="897" spans="1:18" ht="14.25" customHeight="1">
      <c r="A897" s="67"/>
      <c r="B897" s="68"/>
      <c r="C897" s="69"/>
      <c r="D897" s="69" t="str">
        <f ca="1">IF(B897="","",VLOOKUP('Журнал Закупок'!$B897,'СТ Криптовалюта'!B:C,2,0))</f>
        <v/>
      </c>
      <c r="E897" s="68"/>
      <c r="F897" s="70" t="str">
        <f>IF(D897="","",IF(B897=#REF!,"Основная",IF(B897=#REF!,"Основная",IF(B897=#REF!,"Основная","Экспериментальная"))))</f>
        <v/>
      </c>
      <c r="G897" s="71"/>
      <c r="H897" s="71"/>
      <c r="I897" s="71" t="str">
        <f t="shared" si="62"/>
        <v/>
      </c>
      <c r="J897" s="71"/>
      <c r="K897" s="71"/>
      <c r="L897" s="71"/>
      <c r="M897" s="71"/>
      <c r="N897" s="71" t="str">
        <f ca="1">IF(I897="","",ROUND(VLOOKUP('Журнал Закупок'!D897,'СТ Криптовалюта'!$C$3:$E$1788,2,0)*'Журнал Закупок'!G897,5))</f>
        <v/>
      </c>
      <c r="O897" s="71"/>
      <c r="P897" s="71" t="str">
        <f t="shared" si="60"/>
        <v/>
      </c>
      <c r="Q897" s="75" t="str">
        <f t="shared" si="61"/>
        <v/>
      </c>
      <c r="R897" s="76"/>
    </row>
    <row r="898" spans="1:18" ht="14.25" customHeight="1">
      <c r="A898" s="67"/>
      <c r="B898" s="68"/>
      <c r="C898" s="69"/>
      <c r="D898" s="69" t="str">
        <f ca="1">IF(B898="","",VLOOKUP('Журнал Закупок'!$B898,'СТ Криптовалюта'!B:C,2,0))</f>
        <v/>
      </c>
      <c r="E898" s="68"/>
      <c r="F898" s="70" t="str">
        <f>IF(D898="","",IF(B898=#REF!,"Основная",IF(B898=#REF!,"Основная",IF(B898=#REF!,"Основная","Экспериментальная"))))</f>
        <v/>
      </c>
      <c r="G898" s="71"/>
      <c r="H898" s="71"/>
      <c r="I898" s="71" t="str">
        <f t="shared" si="62"/>
        <v/>
      </c>
      <c r="J898" s="71"/>
      <c r="K898" s="71"/>
      <c r="L898" s="71"/>
      <c r="M898" s="71"/>
      <c r="N898" s="71" t="str">
        <f ca="1">IF(I898="","",ROUND(VLOOKUP('Журнал Закупок'!D898,'СТ Криптовалюта'!$C$3:$E$1788,2,0)*'Журнал Закупок'!G898,5))</f>
        <v/>
      </c>
      <c r="O898" s="71"/>
      <c r="P898" s="71" t="str">
        <f t="shared" si="60"/>
        <v/>
      </c>
      <c r="Q898" s="75" t="str">
        <f t="shared" si="61"/>
        <v/>
      </c>
      <c r="R898" s="76"/>
    </row>
    <row r="899" spans="1:18" ht="14.25" customHeight="1">
      <c r="A899" s="67"/>
      <c r="B899" s="68"/>
      <c r="C899" s="69"/>
      <c r="D899" s="69" t="str">
        <f ca="1">IF(B899="","",VLOOKUP('Журнал Закупок'!$B899,'СТ Криптовалюта'!B:C,2,0))</f>
        <v/>
      </c>
      <c r="E899" s="68"/>
      <c r="F899" s="70" t="str">
        <f>IF(D899="","",IF(B899=#REF!,"Основная",IF(B899=#REF!,"Основная",IF(B899=#REF!,"Основная","Экспериментальная"))))</f>
        <v/>
      </c>
      <c r="G899" s="71"/>
      <c r="H899" s="71"/>
      <c r="I899" s="71" t="str">
        <f t="shared" si="62"/>
        <v/>
      </c>
      <c r="J899" s="71"/>
      <c r="K899" s="71"/>
      <c r="L899" s="71"/>
      <c r="M899" s="71"/>
      <c r="N899" s="71" t="str">
        <f ca="1">IF(I899="","",ROUND(VLOOKUP('Журнал Закупок'!D899,'СТ Криптовалюта'!$C$3:$E$1788,2,0)*'Журнал Закупок'!G899,5))</f>
        <v/>
      </c>
      <c r="O899" s="71"/>
      <c r="P899" s="71" t="str">
        <f t="shared" si="60"/>
        <v/>
      </c>
      <c r="Q899" s="75" t="str">
        <f t="shared" si="61"/>
        <v/>
      </c>
      <c r="R899" s="76"/>
    </row>
    <row r="900" spans="1:18" ht="14.25" customHeight="1">
      <c r="A900" s="67"/>
      <c r="B900" s="68"/>
      <c r="C900" s="69"/>
      <c r="D900" s="69" t="str">
        <f ca="1">IF(B900="","",VLOOKUP('Журнал Закупок'!$B900,'СТ Криптовалюта'!B:C,2,0))</f>
        <v/>
      </c>
      <c r="E900" s="68"/>
      <c r="F900" s="70" t="str">
        <f>IF(D900="","",IF(B900=#REF!,"Основная",IF(B900=#REF!,"Основная",IF(B900=#REF!,"Основная","Экспериментальная"))))</f>
        <v/>
      </c>
      <c r="G900" s="71"/>
      <c r="H900" s="71"/>
      <c r="I900" s="71" t="str">
        <f t="shared" si="62"/>
        <v/>
      </c>
      <c r="J900" s="71"/>
      <c r="K900" s="71"/>
      <c r="L900" s="71"/>
      <c r="M900" s="71"/>
      <c r="N900" s="71" t="str">
        <f ca="1">IF(I900="","",ROUND(VLOOKUP('Журнал Закупок'!D900,'СТ Криптовалюта'!$C$3:$E$1788,2,0)*'Журнал Закупок'!G900,5))</f>
        <v/>
      </c>
      <c r="O900" s="71"/>
      <c r="P900" s="71" t="str">
        <f t="shared" si="60"/>
        <v/>
      </c>
      <c r="Q900" s="75" t="str">
        <f t="shared" si="61"/>
        <v/>
      </c>
      <c r="R900" s="76"/>
    </row>
    <row r="901" spans="1:18" ht="14.25" customHeight="1">
      <c r="A901" s="67"/>
      <c r="B901" s="68"/>
      <c r="C901" s="69"/>
      <c r="D901" s="69" t="str">
        <f ca="1">IF(B901="","",VLOOKUP('Журнал Закупок'!$B901,'СТ Криптовалюта'!B:C,2,0))</f>
        <v/>
      </c>
      <c r="E901" s="68"/>
      <c r="F901" s="70" t="str">
        <f>IF(D901="","",IF(B901=#REF!,"Основная",IF(B901=#REF!,"Основная",IF(B901=#REF!,"Основная","Экспериментальная"))))</f>
        <v/>
      </c>
      <c r="G901" s="71"/>
      <c r="H901" s="71"/>
      <c r="I901" s="71" t="str">
        <f t="shared" si="62"/>
        <v/>
      </c>
      <c r="J901" s="71"/>
      <c r="K901" s="71"/>
      <c r="L901" s="71"/>
      <c r="M901" s="71"/>
      <c r="N901" s="71" t="str">
        <f ca="1">IF(I901="","",ROUND(VLOOKUP('Журнал Закупок'!D901,'СТ Криптовалюта'!$C$3:$E$1788,2,0)*'Журнал Закупок'!G901,5))</f>
        <v/>
      </c>
      <c r="O901" s="71"/>
      <c r="P901" s="71" t="str">
        <f t="shared" si="60"/>
        <v/>
      </c>
      <c r="Q901" s="75" t="str">
        <f t="shared" si="61"/>
        <v/>
      </c>
      <c r="R901" s="76"/>
    </row>
    <row r="902" spans="1:18" ht="14.25" customHeight="1">
      <c r="A902" s="67"/>
      <c r="B902" s="68"/>
      <c r="C902" s="69"/>
      <c r="D902" s="69" t="str">
        <f ca="1">IF(B902="","",VLOOKUP('Журнал Закупок'!$B902,'СТ Криптовалюта'!B:C,2,0))</f>
        <v/>
      </c>
      <c r="E902" s="68"/>
      <c r="F902" s="70" t="str">
        <f>IF(D902="","",IF(B902=#REF!,"Основная",IF(B902=#REF!,"Основная",IF(B902=#REF!,"Основная","Экспериментальная"))))</f>
        <v/>
      </c>
      <c r="G902" s="71"/>
      <c r="H902" s="71"/>
      <c r="I902" s="71" t="str">
        <f t="shared" si="62"/>
        <v/>
      </c>
      <c r="J902" s="71"/>
      <c r="K902" s="71"/>
      <c r="L902" s="71"/>
      <c r="M902" s="71"/>
      <c r="N902" s="71" t="str">
        <f ca="1">IF(I902="","",ROUND(VLOOKUP('Журнал Закупок'!D902,'СТ Криптовалюта'!$C$3:$E$1788,2,0)*'Журнал Закупок'!G902,5))</f>
        <v/>
      </c>
      <c r="O902" s="71"/>
      <c r="P902" s="71" t="str">
        <f t="shared" si="60"/>
        <v/>
      </c>
      <c r="Q902" s="75" t="str">
        <f t="shared" si="61"/>
        <v/>
      </c>
      <c r="R902" s="76"/>
    </row>
    <row r="903" spans="1:18" ht="14.25" customHeight="1">
      <c r="A903" s="67"/>
      <c r="B903" s="68"/>
      <c r="C903" s="69"/>
      <c r="D903" s="69" t="str">
        <f ca="1">IF(B903="","",VLOOKUP('Журнал Закупок'!$B903,'СТ Криптовалюта'!B:C,2,0))</f>
        <v/>
      </c>
      <c r="E903" s="68"/>
      <c r="F903" s="70" t="str">
        <f>IF(D903="","",IF(B903=#REF!,"Основная",IF(B903=#REF!,"Основная",IF(B903=#REF!,"Основная","Экспериментальная"))))</f>
        <v/>
      </c>
      <c r="G903" s="71"/>
      <c r="H903" s="71"/>
      <c r="I903" s="71" t="str">
        <f t="shared" si="62"/>
        <v/>
      </c>
      <c r="J903" s="71"/>
      <c r="K903" s="71"/>
      <c r="L903" s="71"/>
      <c r="M903" s="71"/>
      <c r="N903" s="71" t="str">
        <f ca="1">IF(I903="","",ROUND(VLOOKUP('Журнал Закупок'!D903,'СТ Криптовалюта'!$C$3:$E$1788,2,0)*'Журнал Закупок'!G903,5))</f>
        <v/>
      </c>
      <c r="O903" s="71"/>
      <c r="P903" s="71" t="str">
        <f t="shared" si="60"/>
        <v/>
      </c>
      <c r="Q903" s="75" t="str">
        <f t="shared" si="61"/>
        <v/>
      </c>
      <c r="R903" s="76"/>
    </row>
    <row r="904" spans="1:18" ht="14.25" customHeight="1">
      <c r="A904" s="67"/>
      <c r="B904" s="68"/>
      <c r="C904" s="69"/>
      <c r="D904" s="69" t="str">
        <f ca="1">IF(B904="","",VLOOKUP('Журнал Закупок'!$B904,'СТ Криптовалюта'!B:C,2,0))</f>
        <v/>
      </c>
      <c r="E904" s="68"/>
      <c r="F904" s="70" t="str">
        <f>IF(D904="","",IF(B904=#REF!,"Основная",IF(B904=#REF!,"Основная",IF(B904=#REF!,"Основная","Экспериментальная"))))</f>
        <v/>
      </c>
      <c r="G904" s="71"/>
      <c r="H904" s="71"/>
      <c r="I904" s="71" t="str">
        <f t="shared" si="62"/>
        <v/>
      </c>
      <c r="J904" s="71"/>
      <c r="K904" s="71"/>
      <c r="L904" s="71"/>
      <c r="M904" s="71"/>
      <c r="N904" s="71" t="str">
        <f ca="1">IF(I904="","",ROUND(VLOOKUP('Журнал Закупок'!D904,'СТ Криптовалюта'!$C$3:$E$1788,2,0)*'Журнал Закупок'!G904,5))</f>
        <v/>
      </c>
      <c r="O904" s="71"/>
      <c r="P904" s="71" t="str">
        <f t="shared" si="60"/>
        <v/>
      </c>
      <c r="Q904" s="75" t="str">
        <f t="shared" si="61"/>
        <v/>
      </c>
      <c r="R904" s="76"/>
    </row>
    <row r="905" spans="1:18" ht="14.25" customHeight="1">
      <c r="A905" s="67"/>
      <c r="B905" s="68"/>
      <c r="C905" s="69"/>
      <c r="D905" s="69" t="str">
        <f ca="1">IF(B905="","",VLOOKUP('Журнал Закупок'!$B905,'СТ Криптовалюта'!B:C,2,0))</f>
        <v/>
      </c>
      <c r="E905" s="68"/>
      <c r="F905" s="70" t="str">
        <f>IF(D905="","",IF(B905=#REF!,"Основная",IF(B905=#REF!,"Основная",IF(B905=#REF!,"Основная","Экспериментальная"))))</f>
        <v/>
      </c>
      <c r="G905" s="71"/>
      <c r="H905" s="71"/>
      <c r="I905" s="71" t="str">
        <f t="shared" si="62"/>
        <v/>
      </c>
      <c r="J905" s="71"/>
      <c r="K905" s="71"/>
      <c r="L905" s="71"/>
      <c r="M905" s="71"/>
      <c r="N905" s="71" t="str">
        <f ca="1">IF(I905="","",ROUND(VLOOKUP('Журнал Закупок'!D905,'СТ Криптовалюта'!$C$3:$E$1788,2,0)*'Журнал Закупок'!G905,5))</f>
        <v/>
      </c>
      <c r="O905" s="71"/>
      <c r="P905" s="71" t="str">
        <f t="shared" si="60"/>
        <v/>
      </c>
      <c r="Q905" s="75" t="str">
        <f t="shared" si="61"/>
        <v/>
      </c>
      <c r="R905" s="76"/>
    </row>
    <row r="906" spans="1:18" ht="14.25" customHeight="1">
      <c r="A906" s="67"/>
      <c r="B906" s="68"/>
      <c r="C906" s="69"/>
      <c r="D906" s="69" t="str">
        <f ca="1">IF(B906="","",VLOOKUP('Журнал Закупок'!$B906,'СТ Криптовалюта'!B:C,2,0))</f>
        <v/>
      </c>
      <c r="E906" s="68"/>
      <c r="F906" s="70" t="str">
        <f>IF(D906="","",IF(B906=#REF!,"Основная",IF(B906=#REF!,"Основная",IF(B906=#REF!,"Основная","Экспериментальная"))))</f>
        <v/>
      </c>
      <c r="G906" s="71"/>
      <c r="H906" s="71"/>
      <c r="I906" s="71" t="str">
        <f t="shared" si="62"/>
        <v/>
      </c>
      <c r="J906" s="71"/>
      <c r="K906" s="71"/>
      <c r="L906" s="71"/>
      <c r="M906" s="71"/>
      <c r="N906" s="71" t="str">
        <f ca="1">IF(I906="","",ROUND(VLOOKUP('Журнал Закупок'!D906,'СТ Криптовалюта'!$C$3:$E$1788,2,0)*'Журнал Закупок'!G906,5))</f>
        <v/>
      </c>
      <c r="O906" s="71"/>
      <c r="P906" s="71" t="str">
        <f t="shared" si="60"/>
        <v/>
      </c>
      <c r="Q906" s="75" t="str">
        <f t="shared" si="61"/>
        <v/>
      </c>
      <c r="R906" s="76"/>
    </row>
    <row r="907" spans="1:18" ht="14.25" customHeight="1">
      <c r="A907" s="67"/>
      <c r="B907" s="68"/>
      <c r="C907" s="69"/>
      <c r="D907" s="69" t="str">
        <f ca="1">IF(B907="","",VLOOKUP('Журнал Закупок'!$B907,'СТ Криптовалюта'!B:C,2,0))</f>
        <v/>
      </c>
      <c r="E907" s="68"/>
      <c r="F907" s="70" t="str">
        <f>IF(D907="","",IF(B907=#REF!,"Основная",IF(B907=#REF!,"Основная",IF(B907=#REF!,"Основная","Экспериментальная"))))</f>
        <v/>
      </c>
      <c r="G907" s="71"/>
      <c r="H907" s="71"/>
      <c r="I907" s="71" t="str">
        <f t="shared" si="62"/>
        <v/>
      </c>
      <c r="J907" s="71"/>
      <c r="K907" s="71"/>
      <c r="L907" s="71"/>
      <c r="M907" s="71"/>
      <c r="N907" s="71" t="str">
        <f ca="1">IF(I907="","",ROUND(VLOOKUP('Журнал Закупок'!D907,'СТ Криптовалюта'!$C$3:$E$1788,2,0)*'Журнал Закупок'!G907,5))</f>
        <v/>
      </c>
      <c r="O907" s="71"/>
      <c r="P907" s="71" t="str">
        <f t="shared" si="60"/>
        <v/>
      </c>
      <c r="Q907" s="75" t="str">
        <f t="shared" si="61"/>
        <v/>
      </c>
      <c r="R907" s="76"/>
    </row>
    <row r="908" spans="1:18" ht="14.25" customHeight="1">
      <c r="A908" s="67"/>
      <c r="B908" s="68"/>
      <c r="C908" s="69"/>
      <c r="D908" s="69" t="str">
        <f ca="1">IF(B908="","",VLOOKUP('Журнал Закупок'!$B908,'СТ Криптовалюта'!B:C,2,0))</f>
        <v/>
      </c>
      <c r="E908" s="68"/>
      <c r="F908" s="70" t="str">
        <f>IF(D908="","",IF(B908=#REF!,"Основная",IF(B908=#REF!,"Основная",IF(B908=#REF!,"Основная","Экспериментальная"))))</f>
        <v/>
      </c>
      <c r="G908" s="71"/>
      <c r="H908" s="71"/>
      <c r="I908" s="71" t="str">
        <f t="shared" si="62"/>
        <v/>
      </c>
      <c r="J908" s="71"/>
      <c r="K908" s="71"/>
      <c r="L908" s="71"/>
      <c r="M908" s="71"/>
      <c r="N908" s="71" t="str">
        <f ca="1">IF(I908="","",ROUND(VLOOKUP('Журнал Закупок'!D908,'СТ Криптовалюта'!$C$3:$E$1788,2,0)*'Журнал Закупок'!G908,5))</f>
        <v/>
      </c>
      <c r="O908" s="71"/>
      <c r="P908" s="71" t="str">
        <f t="shared" si="60"/>
        <v/>
      </c>
      <c r="Q908" s="75" t="str">
        <f t="shared" si="61"/>
        <v/>
      </c>
      <c r="R908" s="76"/>
    </row>
    <row r="909" spans="1:18" ht="14.25" customHeight="1">
      <c r="A909" s="67"/>
      <c r="B909" s="68"/>
      <c r="C909" s="69"/>
      <c r="D909" s="69" t="str">
        <f ca="1">IF(B909="","",VLOOKUP('Журнал Закупок'!$B909,'СТ Криптовалюта'!B:C,2,0))</f>
        <v/>
      </c>
      <c r="E909" s="68"/>
      <c r="F909" s="70" t="str">
        <f>IF(D909="","",IF(B909=#REF!,"Основная",IF(B909=#REF!,"Основная",IF(B909=#REF!,"Основная","Экспериментальная"))))</f>
        <v/>
      </c>
      <c r="G909" s="71"/>
      <c r="H909" s="71"/>
      <c r="I909" s="71" t="str">
        <f t="shared" si="62"/>
        <v/>
      </c>
      <c r="J909" s="71"/>
      <c r="K909" s="71"/>
      <c r="L909" s="71"/>
      <c r="M909" s="71"/>
      <c r="N909" s="71" t="str">
        <f ca="1">IF(I909="","",ROUND(VLOOKUP('Журнал Закупок'!D909,'СТ Криптовалюта'!$C$3:$E$1788,2,0)*'Журнал Закупок'!G909,5))</f>
        <v/>
      </c>
      <c r="O909" s="71"/>
      <c r="P909" s="71" t="str">
        <f t="shared" si="60"/>
        <v/>
      </c>
      <c r="Q909" s="75" t="str">
        <f t="shared" si="61"/>
        <v/>
      </c>
      <c r="R909" s="76"/>
    </row>
    <row r="910" spans="1:18" ht="14.25" customHeight="1">
      <c r="A910" s="67"/>
      <c r="B910" s="68"/>
      <c r="C910" s="69"/>
      <c r="D910" s="69" t="str">
        <f ca="1">IF(B910="","",VLOOKUP('Журнал Закупок'!$B910,'СТ Криптовалюта'!B:C,2,0))</f>
        <v/>
      </c>
      <c r="E910" s="68"/>
      <c r="F910" s="70" t="str">
        <f>IF(D910="","",IF(B910=#REF!,"Основная",IF(B910=#REF!,"Основная",IF(B910=#REF!,"Основная","Экспериментальная"))))</f>
        <v/>
      </c>
      <c r="G910" s="71"/>
      <c r="H910" s="71"/>
      <c r="I910" s="71" t="str">
        <f t="shared" si="62"/>
        <v/>
      </c>
      <c r="J910" s="71"/>
      <c r="K910" s="71"/>
      <c r="L910" s="71"/>
      <c r="M910" s="71"/>
      <c r="N910" s="71" t="str">
        <f ca="1">IF(I910="","",ROUND(VLOOKUP('Журнал Закупок'!D910,'СТ Криптовалюта'!$C$3:$E$1788,2,0)*'Журнал Закупок'!G910,5))</f>
        <v/>
      </c>
      <c r="O910" s="71"/>
      <c r="P910" s="71" t="str">
        <f t="shared" si="60"/>
        <v/>
      </c>
      <c r="Q910" s="75" t="str">
        <f t="shared" si="61"/>
        <v/>
      </c>
      <c r="R910" s="76"/>
    </row>
    <row r="911" spans="1:18" ht="14.25" customHeight="1">
      <c r="A911" s="67"/>
      <c r="B911" s="68"/>
      <c r="C911" s="69"/>
      <c r="D911" s="69" t="str">
        <f ca="1">IF(B911="","",VLOOKUP('Журнал Закупок'!$B911,'СТ Криптовалюта'!B:C,2,0))</f>
        <v/>
      </c>
      <c r="E911" s="68"/>
      <c r="F911" s="70" t="str">
        <f>IF(D911="","",IF(B911=#REF!,"Основная",IF(B911=#REF!,"Основная",IF(B911=#REF!,"Основная","Экспериментальная"))))</f>
        <v/>
      </c>
      <c r="G911" s="71"/>
      <c r="H911" s="71"/>
      <c r="I911" s="71" t="str">
        <f t="shared" si="62"/>
        <v/>
      </c>
      <c r="J911" s="71"/>
      <c r="K911" s="71"/>
      <c r="L911" s="71"/>
      <c r="M911" s="71"/>
      <c r="N911" s="71" t="str">
        <f ca="1">IF(I911="","",ROUND(VLOOKUP('Журнал Закупок'!D911,'СТ Криптовалюта'!$C$3:$E$1788,2,0)*'Журнал Закупок'!G911,5))</f>
        <v/>
      </c>
      <c r="O911" s="71"/>
      <c r="P911" s="71" t="str">
        <f t="shared" si="60"/>
        <v/>
      </c>
      <c r="Q911" s="75" t="str">
        <f t="shared" si="61"/>
        <v/>
      </c>
      <c r="R911" s="76"/>
    </row>
    <row r="912" spans="1:18" ht="14.25" customHeight="1">
      <c r="A912" s="67"/>
      <c r="B912" s="68"/>
      <c r="C912" s="69"/>
      <c r="D912" s="69" t="str">
        <f ca="1">IF(B912="","",VLOOKUP('Журнал Закупок'!$B912,'СТ Криптовалюта'!B:C,2,0))</f>
        <v/>
      </c>
      <c r="E912" s="68"/>
      <c r="F912" s="70" t="str">
        <f>IF(D912="","",IF(B912=#REF!,"Основная",IF(B912=#REF!,"Основная",IF(B912=#REF!,"Основная","Экспериментальная"))))</f>
        <v/>
      </c>
      <c r="G912" s="71"/>
      <c r="H912" s="71"/>
      <c r="I912" s="71" t="str">
        <f t="shared" si="62"/>
        <v/>
      </c>
      <c r="J912" s="71"/>
      <c r="K912" s="71"/>
      <c r="L912" s="71"/>
      <c r="M912" s="71"/>
      <c r="N912" s="71" t="str">
        <f ca="1">IF(I912="","",ROUND(VLOOKUP('Журнал Закупок'!D912,'СТ Криптовалюта'!$C$3:$E$1788,2,0)*'Журнал Закупок'!G912,5))</f>
        <v/>
      </c>
      <c r="O912" s="71"/>
      <c r="P912" s="71" t="str">
        <f t="shared" si="60"/>
        <v/>
      </c>
      <c r="Q912" s="75" t="str">
        <f t="shared" si="61"/>
        <v/>
      </c>
      <c r="R912" s="76"/>
    </row>
    <row r="913" spans="1:18" ht="14.25" customHeight="1">
      <c r="A913" s="67"/>
      <c r="B913" s="68"/>
      <c r="C913" s="69"/>
      <c r="D913" s="69" t="str">
        <f ca="1">IF(B913="","",VLOOKUP('Журнал Закупок'!$B913,'СТ Криптовалюта'!B:C,2,0))</f>
        <v/>
      </c>
      <c r="E913" s="68"/>
      <c r="F913" s="70" t="str">
        <f>IF(D913="","",IF(B913=#REF!,"Основная",IF(B913=#REF!,"Основная",IF(B913=#REF!,"Основная","Экспериментальная"))))</f>
        <v/>
      </c>
      <c r="G913" s="71"/>
      <c r="H913" s="71"/>
      <c r="I913" s="71" t="str">
        <f t="shared" si="62"/>
        <v/>
      </c>
      <c r="J913" s="71"/>
      <c r="K913" s="71"/>
      <c r="L913" s="71"/>
      <c r="M913" s="71"/>
      <c r="N913" s="71" t="str">
        <f ca="1">IF(I913="","",ROUND(VLOOKUP('Журнал Закупок'!D913,'СТ Криптовалюта'!$C$3:$E$1788,2,0)*'Журнал Закупок'!G913,5))</f>
        <v/>
      </c>
      <c r="O913" s="71"/>
      <c r="P913" s="71" t="str">
        <f t="shared" si="60"/>
        <v/>
      </c>
      <c r="Q913" s="75" t="str">
        <f t="shared" si="61"/>
        <v/>
      </c>
      <c r="R913" s="76"/>
    </row>
    <row r="914" spans="1:18" ht="14.25" customHeight="1">
      <c r="A914" s="67"/>
      <c r="B914" s="68"/>
      <c r="C914" s="69"/>
      <c r="D914" s="69" t="str">
        <f ca="1">IF(B914="","",VLOOKUP('Журнал Закупок'!$B914,'СТ Криптовалюта'!B:C,2,0))</f>
        <v/>
      </c>
      <c r="E914" s="68"/>
      <c r="F914" s="70" t="str">
        <f>IF(D914="","",IF(B914=#REF!,"Основная",IF(B914=#REF!,"Основная",IF(B914=#REF!,"Основная","Экспериментальная"))))</f>
        <v/>
      </c>
      <c r="G914" s="71"/>
      <c r="H914" s="71"/>
      <c r="I914" s="71" t="str">
        <f t="shared" si="62"/>
        <v/>
      </c>
      <c r="J914" s="71"/>
      <c r="K914" s="71"/>
      <c r="L914" s="71"/>
      <c r="M914" s="71"/>
      <c r="N914" s="71" t="str">
        <f ca="1">IF(I914="","",ROUND(VLOOKUP('Журнал Закупок'!D914,'СТ Криптовалюта'!$C$3:$E$1788,2,0)*'Журнал Закупок'!G914,5))</f>
        <v/>
      </c>
      <c r="O914" s="71"/>
      <c r="P914" s="71" t="str">
        <f t="shared" si="60"/>
        <v/>
      </c>
      <c r="Q914" s="75" t="str">
        <f t="shared" si="61"/>
        <v/>
      </c>
      <c r="R914" s="76"/>
    </row>
    <row r="915" spans="1:18" ht="14.25" customHeight="1">
      <c r="A915" s="67"/>
      <c r="B915" s="68"/>
      <c r="C915" s="69"/>
      <c r="D915" s="69" t="str">
        <f ca="1">IF(B915="","",VLOOKUP('Журнал Закупок'!$B915,'СТ Криптовалюта'!B:C,2,0))</f>
        <v/>
      </c>
      <c r="E915" s="68"/>
      <c r="F915" s="70" t="str">
        <f>IF(D915="","",IF(B915=#REF!,"Основная",IF(B915=#REF!,"Основная",IF(B915=#REF!,"Основная","Экспериментальная"))))</f>
        <v/>
      </c>
      <c r="G915" s="71"/>
      <c r="H915" s="71"/>
      <c r="I915" s="71" t="str">
        <f t="shared" si="62"/>
        <v/>
      </c>
      <c r="J915" s="71"/>
      <c r="K915" s="71"/>
      <c r="L915" s="71"/>
      <c r="M915" s="71"/>
      <c r="N915" s="71" t="str">
        <f ca="1">IF(I915="","",ROUND(VLOOKUP('Журнал Закупок'!D915,'СТ Криптовалюта'!$C$3:$E$1788,2,0)*'Журнал Закупок'!G915,5))</f>
        <v/>
      </c>
      <c r="O915" s="71"/>
      <c r="P915" s="71" t="str">
        <f t="shared" si="60"/>
        <v/>
      </c>
      <c r="Q915" s="75" t="str">
        <f t="shared" si="61"/>
        <v/>
      </c>
      <c r="R915" s="76"/>
    </row>
    <row r="916" spans="1:18" ht="14.25" customHeight="1">
      <c r="A916" s="67"/>
      <c r="B916" s="68"/>
      <c r="C916" s="69"/>
      <c r="D916" s="69" t="str">
        <f ca="1">IF(B916="","",VLOOKUP('Журнал Закупок'!$B916,'СТ Криптовалюта'!B:C,2,0))</f>
        <v/>
      </c>
      <c r="E916" s="68"/>
      <c r="F916" s="70" t="str">
        <f>IF(D916="","",IF(B916=#REF!,"Основная",IF(B916=#REF!,"Основная",IF(B916=#REF!,"Основная","Экспериментальная"))))</f>
        <v/>
      </c>
      <c r="G916" s="71"/>
      <c r="H916" s="71"/>
      <c r="I916" s="71" t="str">
        <f t="shared" si="62"/>
        <v/>
      </c>
      <c r="J916" s="71"/>
      <c r="K916" s="71"/>
      <c r="L916" s="71"/>
      <c r="M916" s="71"/>
      <c r="N916" s="71" t="str">
        <f ca="1">IF(I916="","",ROUND(VLOOKUP('Журнал Закупок'!D916,'СТ Криптовалюта'!$C$3:$E$1788,2,0)*'Журнал Закупок'!G916,5))</f>
        <v/>
      </c>
      <c r="O916" s="71"/>
      <c r="P916" s="71" t="str">
        <f t="shared" si="60"/>
        <v/>
      </c>
      <c r="Q916" s="75" t="str">
        <f t="shared" si="61"/>
        <v/>
      </c>
      <c r="R916" s="76"/>
    </row>
    <row r="917" spans="1:18" ht="14.25" customHeight="1">
      <c r="A917" s="67"/>
      <c r="B917" s="68"/>
      <c r="C917" s="69"/>
      <c r="D917" s="69" t="str">
        <f ca="1">IF(B917="","",VLOOKUP('Журнал Закупок'!$B917,'СТ Криптовалюта'!B:C,2,0))</f>
        <v/>
      </c>
      <c r="E917" s="68"/>
      <c r="F917" s="70" t="str">
        <f>IF(D917="","",IF(B917=#REF!,"Основная",IF(B917=#REF!,"Основная",IF(B917=#REF!,"Основная","Экспериментальная"))))</f>
        <v/>
      </c>
      <c r="G917" s="71"/>
      <c r="H917" s="71"/>
      <c r="I917" s="71" t="str">
        <f t="shared" si="62"/>
        <v/>
      </c>
      <c r="J917" s="71"/>
      <c r="K917" s="71"/>
      <c r="L917" s="71"/>
      <c r="M917" s="71"/>
      <c r="N917" s="71" t="str">
        <f ca="1">IF(I917="","",ROUND(VLOOKUP('Журнал Закупок'!D917,'СТ Криптовалюта'!$C$3:$E$1788,2,0)*'Журнал Закупок'!G917,5))</f>
        <v/>
      </c>
      <c r="O917" s="71"/>
      <c r="P917" s="71" t="str">
        <f t="shared" si="60"/>
        <v/>
      </c>
      <c r="Q917" s="75" t="str">
        <f t="shared" si="61"/>
        <v/>
      </c>
      <c r="R917" s="76"/>
    </row>
    <row r="918" spans="1:18" ht="14.25" customHeight="1">
      <c r="A918" s="67"/>
      <c r="B918" s="68"/>
      <c r="C918" s="69"/>
      <c r="D918" s="69" t="str">
        <f ca="1">IF(B918="","",VLOOKUP('Журнал Закупок'!$B918,'СТ Криптовалюта'!B:C,2,0))</f>
        <v/>
      </c>
      <c r="E918" s="68"/>
      <c r="F918" s="70" t="str">
        <f>IF(D918="","",IF(B918=#REF!,"Основная",IF(B918=#REF!,"Основная",IF(B918=#REF!,"Основная","Экспериментальная"))))</f>
        <v/>
      </c>
      <c r="G918" s="71"/>
      <c r="H918" s="71"/>
      <c r="I918" s="71" t="str">
        <f t="shared" si="62"/>
        <v/>
      </c>
      <c r="J918" s="71"/>
      <c r="K918" s="71"/>
      <c r="L918" s="71"/>
      <c r="M918" s="71"/>
      <c r="N918" s="71" t="str">
        <f ca="1">IF(I918="","",ROUND(VLOOKUP('Журнал Закупок'!D918,'СТ Криптовалюта'!$C$3:$E$1788,2,0)*'Журнал Закупок'!G918,5))</f>
        <v/>
      </c>
      <c r="O918" s="71"/>
      <c r="P918" s="71" t="str">
        <f t="shared" si="60"/>
        <v/>
      </c>
      <c r="Q918" s="75" t="str">
        <f t="shared" si="61"/>
        <v/>
      </c>
      <c r="R918" s="76"/>
    </row>
    <row r="919" spans="1:18" ht="14.25" customHeight="1">
      <c r="A919" s="67"/>
      <c r="B919" s="68"/>
      <c r="C919" s="69"/>
      <c r="D919" s="69" t="str">
        <f ca="1">IF(B919="","",VLOOKUP('Журнал Закупок'!$B919,'СТ Криптовалюта'!B:C,2,0))</f>
        <v/>
      </c>
      <c r="E919" s="68"/>
      <c r="F919" s="70" t="str">
        <f>IF(D919="","",IF(B919=#REF!,"Основная",IF(B919=#REF!,"Основная",IF(B919=#REF!,"Основная","Экспериментальная"))))</f>
        <v/>
      </c>
      <c r="G919" s="71"/>
      <c r="H919" s="71"/>
      <c r="I919" s="71" t="str">
        <f t="shared" si="62"/>
        <v/>
      </c>
      <c r="J919" s="71"/>
      <c r="K919" s="71"/>
      <c r="L919" s="71"/>
      <c r="M919" s="71"/>
      <c r="N919" s="71" t="str">
        <f ca="1">IF(I919="","",ROUND(VLOOKUP('Журнал Закупок'!D919,'СТ Криптовалюта'!$C$3:$E$1788,2,0)*'Журнал Закупок'!G919,5))</f>
        <v/>
      </c>
      <c r="O919" s="71"/>
      <c r="P919" s="71" t="str">
        <f t="shared" si="60"/>
        <v/>
      </c>
      <c r="Q919" s="75" t="str">
        <f t="shared" si="61"/>
        <v/>
      </c>
      <c r="R919" s="76"/>
    </row>
    <row r="920" spans="1:18" ht="14.25" customHeight="1">
      <c r="A920" s="67"/>
      <c r="B920" s="68"/>
      <c r="C920" s="69"/>
      <c r="D920" s="69" t="str">
        <f ca="1">IF(B920="","",VLOOKUP('Журнал Закупок'!$B920,'СТ Криптовалюта'!B:C,2,0))</f>
        <v/>
      </c>
      <c r="E920" s="68"/>
      <c r="F920" s="70" t="str">
        <f>IF(D920="","",IF(B920=#REF!,"Основная",IF(B920=#REF!,"Основная",IF(B920=#REF!,"Основная","Экспериментальная"))))</f>
        <v/>
      </c>
      <c r="G920" s="71"/>
      <c r="H920" s="71"/>
      <c r="I920" s="71" t="str">
        <f t="shared" si="62"/>
        <v/>
      </c>
      <c r="J920" s="71"/>
      <c r="K920" s="71"/>
      <c r="L920" s="71"/>
      <c r="M920" s="71"/>
      <c r="N920" s="71" t="str">
        <f ca="1">IF(I920="","",ROUND(VLOOKUP('Журнал Закупок'!D920,'СТ Криптовалюта'!$C$3:$E$1788,2,0)*'Журнал Закупок'!G920,5))</f>
        <v/>
      </c>
      <c r="O920" s="71"/>
      <c r="P920" s="71" t="str">
        <f t="shared" si="60"/>
        <v/>
      </c>
      <c r="Q920" s="75" t="str">
        <f t="shared" si="61"/>
        <v/>
      </c>
      <c r="R920" s="76"/>
    </row>
    <row r="921" spans="1:18" ht="14.25" customHeight="1">
      <c r="A921" s="67"/>
      <c r="B921" s="68"/>
      <c r="C921" s="69"/>
      <c r="D921" s="69" t="str">
        <f ca="1">IF(B921="","",VLOOKUP('Журнал Закупок'!$B921,'СТ Криптовалюта'!B:C,2,0))</f>
        <v/>
      </c>
      <c r="E921" s="68"/>
      <c r="F921" s="70" t="str">
        <f>IF(D921="","",IF(B921=#REF!,"Основная",IF(B921=#REF!,"Основная",IF(B921=#REF!,"Основная","Экспериментальная"))))</f>
        <v/>
      </c>
      <c r="G921" s="71"/>
      <c r="H921" s="71"/>
      <c r="I921" s="71" t="str">
        <f t="shared" si="62"/>
        <v/>
      </c>
      <c r="J921" s="71"/>
      <c r="K921" s="71"/>
      <c r="L921" s="71"/>
      <c r="M921" s="71"/>
      <c r="N921" s="71" t="str">
        <f ca="1">IF(I921="","",ROUND(VLOOKUP('Журнал Закупок'!D921,'СТ Криптовалюта'!$C$3:$E$1788,2,0)*'Журнал Закупок'!G921,5))</f>
        <v/>
      </c>
      <c r="O921" s="71"/>
      <c r="P921" s="71" t="str">
        <f t="shared" si="60"/>
        <v/>
      </c>
      <c r="Q921" s="75" t="str">
        <f t="shared" si="61"/>
        <v/>
      </c>
      <c r="R921" s="76"/>
    </row>
    <row r="922" spans="1:18" ht="14.25" customHeight="1">
      <c r="A922" s="67"/>
      <c r="B922" s="68"/>
      <c r="C922" s="69"/>
      <c r="D922" s="69" t="str">
        <f ca="1">IF(B922="","",VLOOKUP('Журнал Закупок'!$B922,'СТ Криптовалюта'!B:C,2,0))</f>
        <v/>
      </c>
      <c r="E922" s="68"/>
      <c r="F922" s="70" t="str">
        <f>IF(D922="","",IF(B922=#REF!,"Основная",IF(B922=#REF!,"Основная",IF(B922=#REF!,"Основная","Экспериментальная"))))</f>
        <v/>
      </c>
      <c r="G922" s="71"/>
      <c r="H922" s="71"/>
      <c r="I922" s="71" t="str">
        <f t="shared" si="62"/>
        <v/>
      </c>
      <c r="J922" s="71"/>
      <c r="K922" s="71"/>
      <c r="L922" s="71"/>
      <c r="M922" s="71"/>
      <c r="N922" s="71" t="str">
        <f ca="1">IF(I922="","",ROUND(VLOOKUP('Журнал Закупок'!D922,'СТ Криптовалюта'!$C$3:$E$1788,2,0)*'Журнал Закупок'!G922,5))</f>
        <v/>
      </c>
      <c r="O922" s="71"/>
      <c r="P922" s="71" t="str">
        <f t="shared" si="60"/>
        <v/>
      </c>
      <c r="Q922" s="75" t="str">
        <f t="shared" si="61"/>
        <v/>
      </c>
      <c r="R922" s="76"/>
    </row>
    <row r="923" spans="1:18" ht="14.25" customHeight="1">
      <c r="A923" s="67"/>
      <c r="B923" s="68"/>
      <c r="C923" s="69"/>
      <c r="D923" s="69" t="str">
        <f ca="1">IF(B923="","",VLOOKUP('Журнал Закупок'!$B923,'СТ Криптовалюта'!B:C,2,0))</f>
        <v/>
      </c>
      <c r="E923" s="68"/>
      <c r="F923" s="70" t="str">
        <f>IF(D923="","",IF(B923=#REF!,"Основная",IF(B923=#REF!,"Основная",IF(B923=#REF!,"Основная","Экспериментальная"))))</f>
        <v/>
      </c>
      <c r="G923" s="71"/>
      <c r="H923" s="71"/>
      <c r="I923" s="71" t="str">
        <f t="shared" si="62"/>
        <v/>
      </c>
      <c r="J923" s="71"/>
      <c r="K923" s="71"/>
      <c r="L923" s="71"/>
      <c r="M923" s="71"/>
      <c r="N923" s="71" t="str">
        <f ca="1">IF(I923="","",ROUND(VLOOKUP('Журнал Закупок'!D923,'СТ Криптовалюта'!$C$3:$E$1788,2,0)*'Журнал Закупок'!G923,5))</f>
        <v/>
      </c>
      <c r="O923" s="71"/>
      <c r="P923" s="71" t="str">
        <f t="shared" si="60"/>
        <v/>
      </c>
      <c r="Q923" s="75" t="str">
        <f t="shared" si="61"/>
        <v/>
      </c>
      <c r="R923" s="76"/>
    </row>
    <row r="924" spans="1:18" ht="14.25" customHeight="1">
      <c r="A924" s="67"/>
      <c r="B924" s="68"/>
      <c r="C924" s="69"/>
      <c r="D924" s="69" t="str">
        <f ca="1">IF(B924="","",VLOOKUP('Журнал Закупок'!$B924,'СТ Криптовалюта'!B:C,2,0))</f>
        <v/>
      </c>
      <c r="E924" s="68"/>
      <c r="F924" s="70" t="str">
        <f>IF(D924="","",IF(B924=#REF!,"Основная",IF(B924=#REF!,"Основная",IF(B924=#REF!,"Основная","Экспериментальная"))))</f>
        <v/>
      </c>
      <c r="G924" s="71"/>
      <c r="H924" s="71"/>
      <c r="I924" s="71" t="str">
        <f t="shared" si="62"/>
        <v/>
      </c>
      <c r="J924" s="71"/>
      <c r="K924" s="71"/>
      <c r="L924" s="71"/>
      <c r="M924" s="71"/>
      <c r="N924" s="71" t="str">
        <f ca="1">IF(I924="","",ROUND(VLOOKUP('Журнал Закупок'!D924,'СТ Криптовалюта'!$C$3:$E$1788,2,0)*'Журнал Закупок'!G924,5))</f>
        <v/>
      </c>
      <c r="O924" s="71"/>
      <c r="P924" s="71" t="str">
        <f t="shared" si="60"/>
        <v/>
      </c>
      <c r="Q924" s="75" t="str">
        <f t="shared" si="61"/>
        <v/>
      </c>
      <c r="R924" s="76"/>
    </row>
    <row r="925" spans="1:18" ht="14.25" customHeight="1">
      <c r="A925" s="67"/>
      <c r="B925" s="68"/>
      <c r="C925" s="69"/>
      <c r="D925" s="69" t="str">
        <f ca="1">IF(B925="","",VLOOKUP('Журнал Закупок'!$B925,'СТ Криптовалюта'!B:C,2,0))</f>
        <v/>
      </c>
      <c r="E925" s="68"/>
      <c r="F925" s="70" t="str">
        <f>IF(D925="","",IF(B925=#REF!,"Основная",IF(B925=#REF!,"Основная",IF(B925=#REF!,"Основная","Экспериментальная"))))</f>
        <v/>
      </c>
      <c r="G925" s="71"/>
      <c r="H925" s="71"/>
      <c r="I925" s="71" t="str">
        <f t="shared" si="62"/>
        <v/>
      </c>
      <c r="J925" s="71"/>
      <c r="K925" s="71"/>
      <c r="L925" s="71"/>
      <c r="M925" s="71"/>
      <c r="N925" s="71" t="str">
        <f ca="1">IF(I925="","",ROUND(VLOOKUP('Журнал Закупок'!D925,'СТ Криптовалюта'!$C$3:$E$1788,2,0)*'Журнал Закупок'!G925,5))</f>
        <v/>
      </c>
      <c r="O925" s="71"/>
      <c r="P925" s="71" t="str">
        <f t="shared" si="60"/>
        <v/>
      </c>
      <c r="Q925" s="75" t="str">
        <f t="shared" si="61"/>
        <v/>
      </c>
      <c r="R925" s="76"/>
    </row>
    <row r="926" spans="1:18" ht="14.25" customHeight="1">
      <c r="A926" s="67"/>
      <c r="B926" s="68"/>
      <c r="C926" s="69"/>
      <c r="D926" s="69" t="str">
        <f ca="1">IF(B926="","",VLOOKUP('Журнал Закупок'!$B926,'СТ Криптовалюта'!B:C,2,0))</f>
        <v/>
      </c>
      <c r="E926" s="68"/>
      <c r="F926" s="70" t="str">
        <f>IF(D926="","",IF(B926=#REF!,"Основная",IF(B926=#REF!,"Основная",IF(B926=#REF!,"Основная","Экспериментальная"))))</f>
        <v/>
      </c>
      <c r="G926" s="71"/>
      <c r="H926" s="71"/>
      <c r="I926" s="71" t="str">
        <f t="shared" si="62"/>
        <v/>
      </c>
      <c r="J926" s="71"/>
      <c r="K926" s="71"/>
      <c r="L926" s="71"/>
      <c r="M926" s="71"/>
      <c r="N926" s="71" t="str">
        <f ca="1">IF(I926="","",ROUND(VLOOKUP('Журнал Закупок'!D926,'СТ Криптовалюта'!$C$3:$E$1788,2,0)*'Журнал Закупок'!G926,5))</f>
        <v/>
      </c>
      <c r="O926" s="71"/>
      <c r="P926" s="71" t="str">
        <f t="shared" si="60"/>
        <v/>
      </c>
      <c r="Q926" s="75" t="str">
        <f t="shared" si="61"/>
        <v/>
      </c>
      <c r="R926" s="76"/>
    </row>
    <row r="927" spans="1:18" ht="14.25" customHeight="1">
      <c r="A927" s="67"/>
      <c r="B927" s="68"/>
      <c r="C927" s="69"/>
      <c r="D927" s="69" t="str">
        <f ca="1">IF(B927="","",VLOOKUP('Журнал Закупок'!$B927,'СТ Криптовалюта'!B:C,2,0))</f>
        <v/>
      </c>
      <c r="E927" s="68"/>
      <c r="F927" s="70" t="str">
        <f>IF(D927="","",IF(B927=#REF!,"Основная",IF(B927=#REF!,"Основная",IF(B927=#REF!,"Основная","Экспериментальная"))))</f>
        <v/>
      </c>
      <c r="G927" s="71"/>
      <c r="H927" s="71"/>
      <c r="I927" s="71" t="str">
        <f t="shared" si="62"/>
        <v/>
      </c>
      <c r="J927" s="71"/>
      <c r="K927" s="71"/>
      <c r="L927" s="71"/>
      <c r="M927" s="71"/>
      <c r="N927" s="71" t="str">
        <f ca="1">IF(I927="","",ROUND(VLOOKUP('Журнал Закупок'!D927,'СТ Криптовалюта'!$C$3:$E$1788,2,0)*'Журнал Закупок'!G927,5))</f>
        <v/>
      </c>
      <c r="O927" s="71"/>
      <c r="P927" s="71" t="str">
        <f t="shared" si="60"/>
        <v/>
      </c>
      <c r="Q927" s="75" t="str">
        <f t="shared" si="61"/>
        <v/>
      </c>
      <c r="R927" s="76"/>
    </row>
    <row r="928" spans="1:18" ht="14.25" customHeight="1">
      <c r="A928" s="67"/>
      <c r="B928" s="68"/>
      <c r="C928" s="69"/>
      <c r="D928" s="69" t="str">
        <f ca="1">IF(B928="","",VLOOKUP('Журнал Закупок'!$B928,'СТ Криптовалюта'!B:C,2,0))</f>
        <v/>
      </c>
      <c r="E928" s="68"/>
      <c r="F928" s="70" t="str">
        <f>IF(D928="","",IF(B928=#REF!,"Основная",IF(B928=#REF!,"Основная",IF(B928=#REF!,"Основная","Экспериментальная"))))</f>
        <v/>
      </c>
      <c r="G928" s="71"/>
      <c r="H928" s="71"/>
      <c r="I928" s="71" t="str">
        <f t="shared" si="62"/>
        <v/>
      </c>
      <c r="J928" s="71"/>
      <c r="K928" s="71"/>
      <c r="L928" s="71"/>
      <c r="M928" s="71"/>
      <c r="N928" s="71" t="str">
        <f ca="1">IF(I928="","",ROUND(VLOOKUP('Журнал Закупок'!D928,'СТ Криптовалюта'!$C$3:$E$1788,2,0)*'Журнал Закупок'!G928,5))</f>
        <v/>
      </c>
      <c r="O928" s="71"/>
      <c r="P928" s="71" t="str">
        <f t="shared" si="60"/>
        <v/>
      </c>
      <c r="Q928" s="75" t="str">
        <f t="shared" si="61"/>
        <v/>
      </c>
      <c r="R928" s="76"/>
    </row>
    <row r="929" spans="1:18" ht="14.25" customHeight="1">
      <c r="A929" s="67"/>
      <c r="B929" s="68"/>
      <c r="C929" s="69"/>
      <c r="D929" s="69" t="str">
        <f ca="1">IF(B929="","",VLOOKUP('Журнал Закупок'!$B929,'СТ Криптовалюта'!B:C,2,0))</f>
        <v/>
      </c>
      <c r="E929" s="68"/>
      <c r="F929" s="70" t="str">
        <f>IF(D929="","",IF(B929=#REF!,"Основная",IF(B929=#REF!,"Основная",IF(B929=#REF!,"Основная","Экспериментальная"))))</f>
        <v/>
      </c>
      <c r="G929" s="71"/>
      <c r="H929" s="71"/>
      <c r="I929" s="71" t="str">
        <f t="shared" si="62"/>
        <v/>
      </c>
      <c r="J929" s="71"/>
      <c r="K929" s="71"/>
      <c r="L929" s="71"/>
      <c r="M929" s="71"/>
      <c r="N929" s="71" t="str">
        <f ca="1">IF(I929="","",ROUND(VLOOKUP('Журнал Закупок'!D929,'СТ Криптовалюта'!$C$3:$E$1788,2,0)*'Журнал Закупок'!G929,5))</f>
        <v/>
      </c>
      <c r="O929" s="71"/>
      <c r="P929" s="71" t="str">
        <f t="shared" si="60"/>
        <v/>
      </c>
      <c r="Q929" s="75" t="str">
        <f t="shared" si="61"/>
        <v/>
      </c>
      <c r="R929" s="76"/>
    </row>
    <row r="930" spans="1:18" ht="14.25" customHeight="1">
      <c r="A930" s="67"/>
      <c r="B930" s="68"/>
      <c r="C930" s="69"/>
      <c r="D930" s="69" t="str">
        <f ca="1">IF(B930="","",VLOOKUP('Журнал Закупок'!$B930,'СТ Криптовалюта'!B:C,2,0))</f>
        <v/>
      </c>
      <c r="E930" s="68"/>
      <c r="F930" s="70" t="str">
        <f>IF(D930="","",IF(B930=#REF!,"Основная",IF(B930=#REF!,"Основная",IF(B930=#REF!,"Основная","Экспериментальная"))))</f>
        <v/>
      </c>
      <c r="G930" s="71"/>
      <c r="H930" s="71"/>
      <c r="I930" s="71" t="str">
        <f t="shared" si="62"/>
        <v/>
      </c>
      <c r="J930" s="71"/>
      <c r="K930" s="71"/>
      <c r="L930" s="71"/>
      <c r="M930" s="71"/>
      <c r="N930" s="71" t="str">
        <f ca="1">IF(I930="","",ROUND(VLOOKUP('Журнал Закупок'!D930,'СТ Криптовалюта'!$C$3:$E$1788,2,0)*'Журнал Закупок'!G930,5))</f>
        <v/>
      </c>
      <c r="O930" s="71"/>
      <c r="P930" s="71" t="str">
        <f t="shared" si="60"/>
        <v/>
      </c>
      <c r="Q930" s="75" t="str">
        <f t="shared" si="61"/>
        <v/>
      </c>
      <c r="R930" s="76"/>
    </row>
    <row r="931" spans="1:18" ht="14.25" customHeight="1">
      <c r="A931" s="67"/>
      <c r="B931" s="68"/>
      <c r="C931" s="69"/>
      <c r="D931" s="69" t="str">
        <f ca="1">IF(B931="","",VLOOKUP('Журнал Закупок'!$B931,'СТ Криптовалюта'!B:C,2,0))</f>
        <v/>
      </c>
      <c r="E931" s="68"/>
      <c r="F931" s="70" t="str">
        <f>IF(D931="","",IF(B931=#REF!,"Основная",IF(B931=#REF!,"Основная",IF(B931=#REF!,"Основная","Экспериментальная"))))</f>
        <v/>
      </c>
      <c r="G931" s="71"/>
      <c r="H931" s="71"/>
      <c r="I931" s="71" t="str">
        <f t="shared" si="62"/>
        <v/>
      </c>
      <c r="J931" s="71"/>
      <c r="K931" s="71"/>
      <c r="L931" s="71"/>
      <c r="M931" s="71"/>
      <c r="N931" s="71" t="str">
        <f ca="1">IF(I931="","",ROUND(VLOOKUP('Журнал Закупок'!D931,'СТ Криптовалюта'!$C$3:$E$1788,2,0)*'Журнал Закупок'!G931,5))</f>
        <v/>
      </c>
      <c r="O931" s="71"/>
      <c r="P931" s="71" t="str">
        <f t="shared" si="60"/>
        <v/>
      </c>
      <c r="Q931" s="75" t="str">
        <f t="shared" si="61"/>
        <v/>
      </c>
      <c r="R931" s="76"/>
    </row>
    <row r="932" spans="1:18" ht="14.25" customHeight="1">
      <c r="A932" s="67"/>
      <c r="B932" s="68"/>
      <c r="C932" s="69"/>
      <c r="D932" s="69" t="str">
        <f ca="1">IF(B932="","",VLOOKUP('Журнал Закупок'!$B932,'СТ Криптовалюта'!B:C,2,0))</f>
        <v/>
      </c>
      <c r="E932" s="68"/>
      <c r="F932" s="70" t="str">
        <f>IF(D932="","",IF(B932=#REF!,"Основная",IF(B932=#REF!,"Основная",IF(B932=#REF!,"Основная","Экспериментальная"))))</f>
        <v/>
      </c>
      <c r="G932" s="71"/>
      <c r="H932" s="71"/>
      <c r="I932" s="71" t="str">
        <f t="shared" si="62"/>
        <v/>
      </c>
      <c r="J932" s="71"/>
      <c r="K932" s="71"/>
      <c r="L932" s="71"/>
      <c r="M932" s="71"/>
      <c r="N932" s="71" t="str">
        <f ca="1">IF(I932="","",ROUND(VLOOKUP('Журнал Закупок'!D932,'СТ Криптовалюта'!$C$3:$E$1788,2,0)*'Журнал Закупок'!G932,5))</f>
        <v/>
      </c>
      <c r="O932" s="71"/>
      <c r="P932" s="71" t="str">
        <f t="shared" si="60"/>
        <v/>
      </c>
      <c r="Q932" s="75" t="str">
        <f t="shared" si="61"/>
        <v/>
      </c>
      <c r="R932" s="76"/>
    </row>
    <row r="933" spans="1:18" ht="14.25" customHeight="1">
      <c r="A933" s="67"/>
      <c r="B933" s="68"/>
      <c r="C933" s="69"/>
      <c r="D933" s="69" t="str">
        <f ca="1">IF(B933="","",VLOOKUP('Журнал Закупок'!$B933,'СТ Криптовалюта'!B:C,2,0))</f>
        <v/>
      </c>
      <c r="E933" s="68"/>
      <c r="F933" s="70" t="str">
        <f>IF(D933="","",IF(B933=#REF!,"Основная",IF(B933=#REF!,"Основная",IF(B933=#REF!,"Основная","Экспериментальная"))))</f>
        <v/>
      </c>
      <c r="G933" s="71"/>
      <c r="H933" s="71"/>
      <c r="I933" s="71" t="str">
        <f t="shared" si="62"/>
        <v/>
      </c>
      <c r="J933" s="71"/>
      <c r="K933" s="71"/>
      <c r="L933" s="71"/>
      <c r="M933" s="71"/>
      <c r="N933" s="71" t="str">
        <f ca="1">IF(I933="","",ROUND(VLOOKUP('Журнал Закупок'!D933,'СТ Криптовалюта'!$C$3:$E$1788,2,0)*'Журнал Закупок'!G933,5))</f>
        <v/>
      </c>
      <c r="O933" s="71"/>
      <c r="P933" s="71" t="str">
        <f t="shared" si="60"/>
        <v/>
      </c>
      <c r="Q933" s="75" t="str">
        <f t="shared" si="61"/>
        <v/>
      </c>
      <c r="R933" s="76"/>
    </row>
    <row r="934" spans="1:18" ht="14.25" customHeight="1">
      <c r="A934" s="67"/>
      <c r="B934" s="68"/>
      <c r="C934" s="69"/>
      <c r="D934" s="69" t="str">
        <f ca="1">IF(B934="","",VLOOKUP('Журнал Закупок'!$B934,'СТ Криптовалюта'!B:C,2,0))</f>
        <v/>
      </c>
      <c r="E934" s="68"/>
      <c r="F934" s="70" t="str">
        <f>IF(D934="","",IF(B934=#REF!,"Основная",IF(B934=#REF!,"Основная",IF(B934=#REF!,"Основная","Экспериментальная"))))</f>
        <v/>
      </c>
      <c r="G934" s="71"/>
      <c r="H934" s="71"/>
      <c r="I934" s="71" t="str">
        <f t="shared" si="62"/>
        <v/>
      </c>
      <c r="J934" s="71"/>
      <c r="K934" s="71"/>
      <c r="L934" s="71"/>
      <c r="M934" s="71"/>
      <c r="N934" s="71" t="str">
        <f ca="1">IF(I934="","",ROUND(VLOOKUP('Журнал Закупок'!D934,'СТ Криптовалюта'!$C$3:$E$1788,2,0)*'Журнал Закупок'!G934,5))</f>
        <v/>
      </c>
      <c r="O934" s="71"/>
      <c r="P934" s="71" t="str">
        <f t="shared" si="60"/>
        <v/>
      </c>
      <c r="Q934" s="75" t="str">
        <f t="shared" si="61"/>
        <v/>
      </c>
      <c r="R934" s="76"/>
    </row>
    <row r="935" spans="1:18" ht="14.25" customHeight="1">
      <c r="A935" s="67"/>
      <c r="B935" s="68"/>
      <c r="C935" s="69"/>
      <c r="D935" s="69" t="str">
        <f ca="1">IF(B935="","",VLOOKUP('Журнал Закупок'!$B935,'СТ Криптовалюта'!B:C,2,0))</f>
        <v/>
      </c>
      <c r="E935" s="68"/>
      <c r="F935" s="70" t="str">
        <f>IF(D935="","",IF(B935=#REF!,"Основная",IF(B935=#REF!,"Основная",IF(B935=#REF!,"Основная","Экспериментальная"))))</f>
        <v/>
      </c>
      <c r="G935" s="71"/>
      <c r="H935" s="71"/>
      <c r="I935" s="71" t="str">
        <f t="shared" si="62"/>
        <v/>
      </c>
      <c r="J935" s="71"/>
      <c r="K935" s="71"/>
      <c r="L935" s="71"/>
      <c r="M935" s="71"/>
      <c r="N935" s="71" t="str">
        <f ca="1">IF(I935="","",ROUND(VLOOKUP('Журнал Закупок'!D935,'СТ Криптовалюта'!$C$3:$E$1788,2,0)*'Журнал Закупок'!G935,5))</f>
        <v/>
      </c>
      <c r="O935" s="71"/>
      <c r="P935" s="71" t="str">
        <f t="shared" si="60"/>
        <v/>
      </c>
      <c r="Q935" s="75" t="str">
        <f t="shared" si="61"/>
        <v/>
      </c>
      <c r="R935" s="76"/>
    </row>
    <row r="936" spans="1:18" ht="14.25" customHeight="1">
      <c r="A936" s="67"/>
      <c r="B936" s="68"/>
      <c r="C936" s="69"/>
      <c r="D936" s="69" t="str">
        <f ca="1">IF(B936="","",VLOOKUP('Журнал Закупок'!$B936,'СТ Криптовалюта'!B:C,2,0))</f>
        <v/>
      </c>
      <c r="E936" s="68"/>
      <c r="F936" s="70" t="str">
        <f>IF(D936="","",IF(B936=#REF!,"Основная",IF(B936=#REF!,"Основная",IF(B936=#REF!,"Основная","Экспериментальная"))))</f>
        <v/>
      </c>
      <c r="G936" s="71"/>
      <c r="H936" s="71"/>
      <c r="I936" s="71" t="str">
        <f t="shared" si="62"/>
        <v/>
      </c>
      <c r="J936" s="71"/>
      <c r="K936" s="71"/>
      <c r="L936" s="71"/>
      <c r="M936" s="71"/>
      <c r="N936" s="71" t="str">
        <f ca="1">IF(I936="","",ROUND(VLOOKUP('Журнал Закупок'!D936,'СТ Криптовалюта'!$C$3:$E$1788,2,0)*'Журнал Закупок'!G936,5))</f>
        <v/>
      </c>
      <c r="O936" s="71"/>
      <c r="P936" s="71" t="str">
        <f t="shared" si="60"/>
        <v/>
      </c>
      <c r="Q936" s="75" t="str">
        <f t="shared" si="61"/>
        <v/>
      </c>
      <c r="R936" s="76"/>
    </row>
    <row r="937" spans="1:18" ht="14.25" customHeight="1">
      <c r="A937" s="67"/>
      <c r="B937" s="68"/>
      <c r="C937" s="69"/>
      <c r="D937" s="69" t="str">
        <f ca="1">IF(B937="","",VLOOKUP('Журнал Закупок'!$B937,'СТ Криптовалюта'!B:C,2,0))</f>
        <v/>
      </c>
      <c r="E937" s="68"/>
      <c r="F937" s="70" t="str">
        <f>IF(D937="","",IF(B937=#REF!,"Основная",IF(B937=#REF!,"Основная",IF(B937=#REF!,"Основная","Экспериментальная"))))</f>
        <v/>
      </c>
      <c r="G937" s="71"/>
      <c r="H937" s="71"/>
      <c r="I937" s="71" t="str">
        <f t="shared" si="62"/>
        <v/>
      </c>
      <c r="J937" s="71"/>
      <c r="K937" s="71"/>
      <c r="L937" s="71"/>
      <c r="M937" s="71"/>
      <c r="N937" s="71" t="str">
        <f ca="1">IF(I937="","",ROUND(VLOOKUP('Журнал Закупок'!D937,'СТ Криптовалюта'!$C$3:$E$1788,2,0)*'Журнал Закупок'!G937,5))</f>
        <v/>
      </c>
      <c r="O937" s="71"/>
      <c r="P937" s="71" t="str">
        <f t="shared" si="60"/>
        <v/>
      </c>
      <c r="Q937" s="75" t="str">
        <f t="shared" si="61"/>
        <v/>
      </c>
      <c r="R937" s="76"/>
    </row>
    <row r="938" spans="1:18" ht="14.25" customHeight="1">
      <c r="A938" s="67"/>
      <c r="B938" s="68"/>
      <c r="C938" s="69"/>
      <c r="D938" s="69" t="str">
        <f ca="1">IF(B938="","",VLOOKUP('Журнал Закупок'!$B938,'СТ Криптовалюта'!B:C,2,0))</f>
        <v/>
      </c>
      <c r="E938" s="68"/>
      <c r="F938" s="70" t="str">
        <f>IF(D938="","",IF(B938=#REF!,"Основная",IF(B938=#REF!,"Основная",IF(B938=#REF!,"Основная","Экспериментальная"))))</f>
        <v/>
      </c>
      <c r="G938" s="71"/>
      <c r="H938" s="71"/>
      <c r="I938" s="71" t="str">
        <f t="shared" si="62"/>
        <v/>
      </c>
      <c r="J938" s="71"/>
      <c r="K938" s="71"/>
      <c r="L938" s="71"/>
      <c r="M938" s="71"/>
      <c r="N938" s="71" t="str">
        <f ca="1">IF(I938="","",ROUND(VLOOKUP('Журнал Закупок'!D938,'СТ Криптовалюта'!$C$3:$E$1788,2,0)*'Журнал Закупок'!G938,5))</f>
        <v/>
      </c>
      <c r="O938" s="71"/>
      <c r="P938" s="71" t="str">
        <f t="shared" si="60"/>
        <v/>
      </c>
      <c r="Q938" s="75" t="str">
        <f t="shared" si="61"/>
        <v/>
      </c>
      <c r="R938" s="76"/>
    </row>
    <row r="939" spans="1:18" ht="14.25" customHeight="1">
      <c r="A939" s="67"/>
      <c r="B939" s="68"/>
      <c r="C939" s="69"/>
      <c r="D939" s="69" t="str">
        <f ca="1">IF(B939="","",VLOOKUP('Журнал Закупок'!$B939,'СТ Криптовалюта'!B:C,2,0))</f>
        <v/>
      </c>
      <c r="E939" s="68"/>
      <c r="F939" s="70" t="str">
        <f>IF(D939="","",IF(B939=#REF!,"Основная",IF(B939=#REF!,"Основная",IF(B939=#REF!,"Основная","Экспериментальная"))))</f>
        <v/>
      </c>
      <c r="G939" s="71"/>
      <c r="H939" s="71"/>
      <c r="I939" s="71" t="str">
        <f t="shared" si="62"/>
        <v/>
      </c>
      <c r="J939" s="71"/>
      <c r="K939" s="71"/>
      <c r="L939" s="71"/>
      <c r="M939" s="71"/>
      <c r="N939" s="71" t="str">
        <f ca="1">IF(I939="","",ROUND(VLOOKUP('Журнал Закупок'!D939,'СТ Криптовалюта'!$C$3:$E$1788,2,0)*'Журнал Закупок'!G939,5))</f>
        <v/>
      </c>
      <c r="O939" s="71"/>
      <c r="P939" s="71" t="str">
        <f t="shared" ref="P939:P997" si="63">IF(N939="","",ROUND(N939-I939,2))</f>
        <v/>
      </c>
      <c r="Q939" s="75" t="str">
        <f t="shared" ref="Q939:Q997" si="64">IF(P939="","",ROUND(IFERROR((N939-I939)/I939,2),5))</f>
        <v/>
      </c>
      <c r="R939" s="76"/>
    </row>
    <row r="940" spans="1:18" ht="14.25" customHeight="1">
      <c r="A940" s="67"/>
      <c r="B940" s="68"/>
      <c r="C940" s="69"/>
      <c r="D940" s="69" t="str">
        <f ca="1">IF(B940="","",VLOOKUP('Журнал Закупок'!$B940,'СТ Криптовалюта'!B:C,2,0))</f>
        <v/>
      </c>
      <c r="E940" s="68"/>
      <c r="F940" s="70" t="str">
        <f>IF(D940="","",IF(B940=#REF!,"Основная",IF(B940=#REF!,"Основная",IF(B940=#REF!,"Основная","Экспериментальная"))))</f>
        <v/>
      </c>
      <c r="G940" s="71"/>
      <c r="H940" s="71"/>
      <c r="I940" s="71" t="str">
        <f t="shared" si="62"/>
        <v/>
      </c>
      <c r="J940" s="71"/>
      <c r="K940" s="71"/>
      <c r="L940" s="71"/>
      <c r="M940" s="71"/>
      <c r="N940" s="71" t="str">
        <f ca="1">IF(I940="","",ROUND(VLOOKUP('Журнал Закупок'!D940,'СТ Криптовалюта'!$C$3:$E$1788,2,0)*'Журнал Закупок'!G940,5))</f>
        <v/>
      </c>
      <c r="O940" s="71"/>
      <c r="P940" s="71" t="str">
        <f t="shared" si="63"/>
        <v/>
      </c>
      <c r="Q940" s="75" t="str">
        <f t="shared" si="64"/>
        <v/>
      </c>
      <c r="R940" s="76"/>
    </row>
    <row r="941" spans="1:18" ht="14.25" customHeight="1">
      <c r="A941" s="67"/>
      <c r="B941" s="68"/>
      <c r="C941" s="69"/>
      <c r="D941" s="69" t="str">
        <f ca="1">IF(B941="","",VLOOKUP('Журнал Закупок'!$B941,'СТ Криптовалюта'!B:C,2,0))</f>
        <v/>
      </c>
      <c r="E941" s="68"/>
      <c r="F941" s="70" t="str">
        <f>IF(D941="","",IF(B941=#REF!,"Основная",IF(B941=#REF!,"Основная",IF(B941=#REF!,"Основная","Экспериментальная"))))</f>
        <v/>
      </c>
      <c r="G941" s="71"/>
      <c r="H941" s="71"/>
      <c r="I941" s="71" t="str">
        <f t="shared" si="62"/>
        <v/>
      </c>
      <c r="J941" s="71"/>
      <c r="K941" s="71"/>
      <c r="L941" s="71"/>
      <c r="M941" s="71"/>
      <c r="N941" s="71" t="str">
        <f ca="1">IF(I941="","",ROUND(VLOOKUP('Журнал Закупок'!D941,'СТ Криптовалюта'!$C$3:$E$1788,2,0)*'Журнал Закупок'!G941,5))</f>
        <v/>
      </c>
      <c r="O941" s="71"/>
      <c r="P941" s="71" t="str">
        <f t="shared" si="63"/>
        <v/>
      </c>
      <c r="Q941" s="75" t="str">
        <f t="shared" si="64"/>
        <v/>
      </c>
      <c r="R941" s="76"/>
    </row>
    <row r="942" spans="1:18" ht="14.25" customHeight="1">
      <c r="A942" s="67"/>
      <c r="B942" s="68"/>
      <c r="C942" s="69"/>
      <c r="D942" s="69" t="str">
        <f ca="1">IF(B942="","",VLOOKUP('Журнал Закупок'!$B942,'СТ Криптовалюта'!B:C,2,0))</f>
        <v/>
      </c>
      <c r="E942" s="68"/>
      <c r="F942" s="70" t="str">
        <f>IF(D942="","",IF(B942=#REF!,"Основная",IF(B942=#REF!,"Основная",IF(B942=#REF!,"Основная","Экспериментальная"))))</f>
        <v/>
      </c>
      <c r="G942" s="71"/>
      <c r="H942" s="71"/>
      <c r="I942" s="71" t="str">
        <f t="shared" ref="I942:I997" si="65">IF(H942="","",ROUND(G942*H942,5))</f>
        <v/>
      </c>
      <c r="J942" s="71"/>
      <c r="K942" s="71"/>
      <c r="L942" s="71"/>
      <c r="M942" s="71"/>
      <c r="N942" s="71" t="str">
        <f ca="1">IF(I942="","",ROUND(VLOOKUP('Журнал Закупок'!D942,'СТ Криптовалюта'!$C$3:$E$1788,2,0)*'Журнал Закупок'!G942,5))</f>
        <v/>
      </c>
      <c r="O942" s="71"/>
      <c r="P942" s="71" t="str">
        <f t="shared" si="63"/>
        <v/>
      </c>
      <c r="Q942" s="75" t="str">
        <f t="shared" si="64"/>
        <v/>
      </c>
      <c r="R942" s="76"/>
    </row>
    <row r="943" spans="1:18" ht="14.25" customHeight="1">
      <c r="A943" s="67"/>
      <c r="B943" s="68"/>
      <c r="C943" s="69"/>
      <c r="D943" s="69" t="str">
        <f ca="1">IF(B943="","",VLOOKUP('Журнал Закупок'!$B943,'СТ Криптовалюта'!B:C,2,0))</f>
        <v/>
      </c>
      <c r="E943" s="68"/>
      <c r="F943" s="70" t="str">
        <f>IF(D943="","",IF(B943=#REF!,"Основная",IF(B943=#REF!,"Основная",IF(B943=#REF!,"Основная","Экспериментальная"))))</f>
        <v/>
      </c>
      <c r="G943" s="71"/>
      <c r="H943" s="71"/>
      <c r="I943" s="71" t="str">
        <f t="shared" si="65"/>
        <v/>
      </c>
      <c r="J943" s="71"/>
      <c r="K943" s="71"/>
      <c r="L943" s="71"/>
      <c r="M943" s="71"/>
      <c r="N943" s="71" t="str">
        <f ca="1">IF(I943="","",ROUND(VLOOKUP('Журнал Закупок'!D943,'СТ Криптовалюта'!$C$3:$E$1788,2,0)*'Журнал Закупок'!G943,5))</f>
        <v/>
      </c>
      <c r="O943" s="71"/>
      <c r="P943" s="71" t="str">
        <f t="shared" si="63"/>
        <v/>
      </c>
      <c r="Q943" s="75" t="str">
        <f t="shared" si="64"/>
        <v/>
      </c>
      <c r="R943" s="76"/>
    </row>
    <row r="944" spans="1:18" ht="14.25" customHeight="1">
      <c r="A944" s="67"/>
      <c r="B944" s="68"/>
      <c r="C944" s="69"/>
      <c r="D944" s="69" t="str">
        <f ca="1">IF(B944="","",VLOOKUP('Журнал Закупок'!$B944,'СТ Криптовалюта'!B:C,2,0))</f>
        <v/>
      </c>
      <c r="E944" s="68"/>
      <c r="F944" s="70" t="str">
        <f>IF(D944="","",IF(B944=#REF!,"Основная",IF(B944=#REF!,"Основная",IF(B944=#REF!,"Основная","Экспериментальная"))))</f>
        <v/>
      </c>
      <c r="G944" s="71"/>
      <c r="H944" s="71"/>
      <c r="I944" s="71" t="str">
        <f t="shared" si="65"/>
        <v/>
      </c>
      <c r="J944" s="71"/>
      <c r="K944" s="71"/>
      <c r="L944" s="71"/>
      <c r="M944" s="71"/>
      <c r="N944" s="71" t="str">
        <f ca="1">IF(I944="","",ROUND(VLOOKUP('Журнал Закупок'!D944,'СТ Криптовалюта'!$C$3:$E$1788,2,0)*'Журнал Закупок'!G944,5))</f>
        <v/>
      </c>
      <c r="O944" s="71"/>
      <c r="P944" s="71" t="str">
        <f t="shared" si="63"/>
        <v/>
      </c>
      <c r="Q944" s="75" t="str">
        <f t="shared" si="64"/>
        <v/>
      </c>
      <c r="R944" s="76"/>
    </row>
    <row r="945" spans="1:18" ht="14.25" customHeight="1">
      <c r="A945" s="67"/>
      <c r="B945" s="68"/>
      <c r="C945" s="69"/>
      <c r="D945" s="69" t="str">
        <f ca="1">IF(B945="","",VLOOKUP('Журнал Закупок'!$B945,'СТ Криптовалюта'!B:C,2,0))</f>
        <v/>
      </c>
      <c r="E945" s="68"/>
      <c r="F945" s="70" t="str">
        <f>IF(D945="","",IF(B945=#REF!,"Основная",IF(B945=#REF!,"Основная",IF(B945=#REF!,"Основная","Экспериментальная"))))</f>
        <v/>
      </c>
      <c r="G945" s="71"/>
      <c r="H945" s="71"/>
      <c r="I945" s="71" t="str">
        <f t="shared" si="65"/>
        <v/>
      </c>
      <c r="J945" s="71"/>
      <c r="K945" s="71"/>
      <c r="L945" s="71"/>
      <c r="M945" s="71"/>
      <c r="N945" s="71" t="str">
        <f ca="1">IF(I945="","",ROUND(VLOOKUP('Журнал Закупок'!D945,'СТ Криптовалюта'!$C$3:$E$1788,2,0)*'Журнал Закупок'!G945,5))</f>
        <v/>
      </c>
      <c r="O945" s="71"/>
      <c r="P945" s="71" t="str">
        <f t="shared" si="63"/>
        <v/>
      </c>
      <c r="Q945" s="75" t="str">
        <f t="shared" si="64"/>
        <v/>
      </c>
      <c r="R945" s="76"/>
    </row>
    <row r="946" spans="1:18" ht="14.25" customHeight="1">
      <c r="A946" s="67"/>
      <c r="B946" s="68"/>
      <c r="C946" s="69"/>
      <c r="D946" s="69" t="str">
        <f ca="1">IF(B946="","",VLOOKUP('Журнал Закупок'!$B946,'СТ Криптовалюта'!B:C,2,0))</f>
        <v/>
      </c>
      <c r="E946" s="68"/>
      <c r="F946" s="70" t="str">
        <f>IF(D946="","",IF(B946=#REF!,"Основная",IF(B946=#REF!,"Основная",IF(B946=#REF!,"Основная","Экспериментальная"))))</f>
        <v/>
      </c>
      <c r="G946" s="71"/>
      <c r="H946" s="71"/>
      <c r="I946" s="71" t="str">
        <f t="shared" si="65"/>
        <v/>
      </c>
      <c r="J946" s="71"/>
      <c r="K946" s="71"/>
      <c r="L946" s="71"/>
      <c r="M946" s="71"/>
      <c r="N946" s="71" t="str">
        <f ca="1">IF(I946="","",ROUND(VLOOKUP('Журнал Закупок'!D946,'СТ Криптовалюта'!$C$3:$E$1788,2,0)*'Журнал Закупок'!G946,5))</f>
        <v/>
      </c>
      <c r="O946" s="71"/>
      <c r="P946" s="71" t="str">
        <f t="shared" si="63"/>
        <v/>
      </c>
      <c r="Q946" s="75" t="str">
        <f t="shared" si="64"/>
        <v/>
      </c>
      <c r="R946" s="76"/>
    </row>
    <row r="947" spans="1:18" ht="14.25" customHeight="1">
      <c r="A947" s="67"/>
      <c r="B947" s="68"/>
      <c r="C947" s="69"/>
      <c r="D947" s="69" t="str">
        <f ca="1">IF(B947="","",VLOOKUP('Журнал Закупок'!$B947,'СТ Криптовалюта'!B:C,2,0))</f>
        <v/>
      </c>
      <c r="E947" s="68"/>
      <c r="F947" s="70" t="str">
        <f>IF(D947="","",IF(B947=#REF!,"Основная",IF(B947=#REF!,"Основная",IF(B947=#REF!,"Основная","Экспериментальная"))))</f>
        <v/>
      </c>
      <c r="G947" s="71"/>
      <c r="H947" s="71"/>
      <c r="I947" s="71" t="str">
        <f t="shared" si="65"/>
        <v/>
      </c>
      <c r="J947" s="71"/>
      <c r="K947" s="71"/>
      <c r="L947" s="71"/>
      <c r="M947" s="71"/>
      <c r="N947" s="71" t="str">
        <f ca="1">IF(I947="","",ROUND(VLOOKUP('Журнал Закупок'!D947,'СТ Криптовалюта'!$C$3:$E$1788,2,0)*'Журнал Закупок'!G947,5))</f>
        <v/>
      </c>
      <c r="O947" s="71"/>
      <c r="P947" s="71" t="str">
        <f t="shared" si="63"/>
        <v/>
      </c>
      <c r="Q947" s="75" t="str">
        <f t="shared" si="64"/>
        <v/>
      </c>
      <c r="R947" s="76"/>
    </row>
    <row r="948" spans="1:18" ht="14.25" customHeight="1">
      <c r="A948" s="67"/>
      <c r="B948" s="68"/>
      <c r="C948" s="69"/>
      <c r="D948" s="69" t="str">
        <f ca="1">IF(B948="","",VLOOKUP('Журнал Закупок'!$B948,'СТ Криптовалюта'!B:C,2,0))</f>
        <v/>
      </c>
      <c r="E948" s="68"/>
      <c r="F948" s="70" t="str">
        <f>IF(D948="","",IF(B948=#REF!,"Основная",IF(B948=#REF!,"Основная",IF(B948=#REF!,"Основная","Экспериментальная"))))</f>
        <v/>
      </c>
      <c r="G948" s="71"/>
      <c r="H948" s="71"/>
      <c r="I948" s="71" t="str">
        <f t="shared" si="65"/>
        <v/>
      </c>
      <c r="J948" s="71"/>
      <c r="K948" s="71"/>
      <c r="L948" s="71"/>
      <c r="M948" s="71"/>
      <c r="N948" s="71" t="str">
        <f ca="1">IF(I948="","",ROUND(VLOOKUP('Журнал Закупок'!D948,'СТ Криптовалюта'!$C$3:$E$1788,2,0)*'Журнал Закупок'!G948,5))</f>
        <v/>
      </c>
      <c r="O948" s="71"/>
      <c r="P948" s="71" t="str">
        <f t="shared" si="63"/>
        <v/>
      </c>
      <c r="Q948" s="75" t="str">
        <f t="shared" si="64"/>
        <v/>
      </c>
      <c r="R948" s="76"/>
    </row>
    <row r="949" spans="1:18" ht="14.25" customHeight="1">
      <c r="A949" s="67"/>
      <c r="B949" s="68"/>
      <c r="C949" s="69"/>
      <c r="D949" s="69" t="str">
        <f ca="1">IF(B949="","",VLOOKUP('Журнал Закупок'!$B949,'СТ Криптовалюта'!B:C,2,0))</f>
        <v/>
      </c>
      <c r="E949" s="68"/>
      <c r="F949" s="70" t="str">
        <f>IF(D949="","",IF(B949=#REF!,"Основная",IF(B949=#REF!,"Основная",IF(B949=#REF!,"Основная","Экспериментальная"))))</f>
        <v/>
      </c>
      <c r="G949" s="71"/>
      <c r="H949" s="71"/>
      <c r="I949" s="71" t="str">
        <f t="shared" si="65"/>
        <v/>
      </c>
      <c r="J949" s="71"/>
      <c r="K949" s="71"/>
      <c r="L949" s="71"/>
      <c r="M949" s="71"/>
      <c r="N949" s="71" t="str">
        <f ca="1">IF(I949="","",ROUND(VLOOKUP('Журнал Закупок'!D949,'СТ Криптовалюта'!$C$3:$E$1788,2,0)*'Журнал Закупок'!G949,5))</f>
        <v/>
      </c>
      <c r="O949" s="71"/>
      <c r="P949" s="71" t="str">
        <f t="shared" si="63"/>
        <v/>
      </c>
      <c r="Q949" s="75" t="str">
        <f t="shared" si="64"/>
        <v/>
      </c>
      <c r="R949" s="76"/>
    </row>
    <row r="950" spans="1:18" ht="14.25" customHeight="1">
      <c r="A950" s="67"/>
      <c r="B950" s="68"/>
      <c r="C950" s="69"/>
      <c r="D950" s="69" t="str">
        <f ca="1">IF(B950="","",VLOOKUP('Журнал Закупок'!$B950,'СТ Криптовалюта'!B:C,2,0))</f>
        <v/>
      </c>
      <c r="E950" s="68"/>
      <c r="F950" s="70" t="str">
        <f>IF(D950="","",IF(B950=#REF!,"Основная",IF(B950=#REF!,"Основная",IF(B950=#REF!,"Основная","Экспериментальная"))))</f>
        <v/>
      </c>
      <c r="G950" s="71"/>
      <c r="H950" s="71"/>
      <c r="I950" s="71" t="str">
        <f t="shared" si="65"/>
        <v/>
      </c>
      <c r="J950" s="71"/>
      <c r="K950" s="71"/>
      <c r="L950" s="71"/>
      <c r="M950" s="71"/>
      <c r="N950" s="71" t="str">
        <f ca="1">IF(I950="","",ROUND(VLOOKUP('Журнал Закупок'!D950,'СТ Криптовалюта'!$C$3:$E$1788,2,0)*'Журнал Закупок'!G950,5))</f>
        <v/>
      </c>
      <c r="O950" s="71"/>
      <c r="P950" s="71" t="str">
        <f t="shared" si="63"/>
        <v/>
      </c>
      <c r="Q950" s="75" t="str">
        <f t="shared" si="64"/>
        <v/>
      </c>
      <c r="R950" s="76"/>
    </row>
    <row r="951" spans="1:18" ht="14.25" customHeight="1">
      <c r="A951" s="67"/>
      <c r="B951" s="68"/>
      <c r="C951" s="69"/>
      <c r="D951" s="69" t="str">
        <f ca="1">IF(B951="","",VLOOKUP('Журнал Закупок'!$B951,'СТ Криптовалюта'!B:C,2,0))</f>
        <v/>
      </c>
      <c r="E951" s="68"/>
      <c r="F951" s="70" t="str">
        <f>IF(D951="","",IF(B951=#REF!,"Основная",IF(B951=#REF!,"Основная",IF(B951=#REF!,"Основная","Экспериментальная"))))</f>
        <v/>
      </c>
      <c r="G951" s="71"/>
      <c r="H951" s="71"/>
      <c r="I951" s="71" t="str">
        <f t="shared" si="65"/>
        <v/>
      </c>
      <c r="J951" s="71"/>
      <c r="K951" s="71"/>
      <c r="L951" s="71"/>
      <c r="M951" s="71"/>
      <c r="N951" s="71" t="str">
        <f ca="1">IF(I951="","",ROUND(VLOOKUP('Журнал Закупок'!D951,'СТ Криптовалюта'!$C$3:$E$1788,2,0)*'Журнал Закупок'!G951,5))</f>
        <v/>
      </c>
      <c r="O951" s="71"/>
      <c r="P951" s="71" t="str">
        <f t="shared" si="63"/>
        <v/>
      </c>
      <c r="Q951" s="75" t="str">
        <f t="shared" si="64"/>
        <v/>
      </c>
      <c r="R951" s="76"/>
    </row>
    <row r="952" spans="1:18" ht="14.25" customHeight="1">
      <c r="A952" s="67"/>
      <c r="B952" s="68"/>
      <c r="C952" s="69"/>
      <c r="D952" s="69" t="str">
        <f ca="1">IF(B952="","",VLOOKUP('Журнал Закупок'!$B952,'СТ Криптовалюта'!B:C,2,0))</f>
        <v/>
      </c>
      <c r="E952" s="68"/>
      <c r="F952" s="70" t="str">
        <f>IF(D952="","",IF(B952=#REF!,"Основная",IF(B952=#REF!,"Основная",IF(B952=#REF!,"Основная","Экспериментальная"))))</f>
        <v/>
      </c>
      <c r="G952" s="71"/>
      <c r="H952" s="71"/>
      <c r="I952" s="71" t="str">
        <f t="shared" si="65"/>
        <v/>
      </c>
      <c r="J952" s="71"/>
      <c r="K952" s="71"/>
      <c r="L952" s="71"/>
      <c r="M952" s="71"/>
      <c r="N952" s="71" t="str">
        <f ca="1">IF(I952="","",ROUND(VLOOKUP('Журнал Закупок'!D952,'СТ Криптовалюта'!$C$3:$E$1788,2,0)*'Журнал Закупок'!G952,5))</f>
        <v/>
      </c>
      <c r="O952" s="71"/>
      <c r="P952" s="71" t="str">
        <f t="shared" si="63"/>
        <v/>
      </c>
      <c r="Q952" s="75" t="str">
        <f t="shared" si="64"/>
        <v/>
      </c>
      <c r="R952" s="76"/>
    </row>
    <row r="953" spans="1:18" ht="14.25" customHeight="1">
      <c r="A953" s="67"/>
      <c r="B953" s="68"/>
      <c r="C953" s="69"/>
      <c r="D953" s="69" t="str">
        <f ca="1">IF(B953="","",VLOOKUP('Журнал Закупок'!$B953,'СТ Криптовалюта'!B:C,2,0))</f>
        <v/>
      </c>
      <c r="E953" s="68"/>
      <c r="F953" s="70" t="str">
        <f>IF(D953="","",IF(B953=#REF!,"Основная",IF(B953=#REF!,"Основная",IF(B953=#REF!,"Основная","Экспериментальная"))))</f>
        <v/>
      </c>
      <c r="G953" s="71"/>
      <c r="H953" s="71"/>
      <c r="I953" s="71" t="str">
        <f t="shared" si="65"/>
        <v/>
      </c>
      <c r="J953" s="71"/>
      <c r="K953" s="71"/>
      <c r="L953" s="71"/>
      <c r="M953" s="71"/>
      <c r="N953" s="71" t="str">
        <f ca="1">IF(I953="","",ROUND(VLOOKUP('Журнал Закупок'!D953,'СТ Криптовалюта'!$C$3:$E$1788,2,0)*'Журнал Закупок'!G953,5))</f>
        <v/>
      </c>
      <c r="O953" s="71"/>
      <c r="P953" s="71" t="str">
        <f t="shared" si="63"/>
        <v/>
      </c>
      <c r="Q953" s="75" t="str">
        <f t="shared" si="64"/>
        <v/>
      </c>
      <c r="R953" s="76"/>
    </row>
    <row r="954" spans="1:18" ht="14.25" customHeight="1">
      <c r="A954" s="67"/>
      <c r="B954" s="68"/>
      <c r="C954" s="69"/>
      <c r="D954" s="69" t="str">
        <f ca="1">IF(B954="","",VLOOKUP('Журнал Закупок'!$B954,'СТ Криптовалюта'!B:C,2,0))</f>
        <v/>
      </c>
      <c r="E954" s="68"/>
      <c r="F954" s="70" t="str">
        <f>IF(D954="","",IF(B954=#REF!,"Основная",IF(B954=#REF!,"Основная",IF(B954=#REF!,"Основная","Экспериментальная"))))</f>
        <v/>
      </c>
      <c r="G954" s="71"/>
      <c r="H954" s="71"/>
      <c r="I954" s="71" t="str">
        <f t="shared" si="65"/>
        <v/>
      </c>
      <c r="J954" s="71"/>
      <c r="K954" s="71"/>
      <c r="L954" s="71"/>
      <c r="M954" s="71"/>
      <c r="N954" s="71" t="str">
        <f ca="1">IF(I954="","",ROUND(VLOOKUP('Журнал Закупок'!D954,'СТ Криптовалюта'!$C$3:$E$1788,2,0)*'Журнал Закупок'!G954,5))</f>
        <v/>
      </c>
      <c r="O954" s="71"/>
      <c r="P954" s="71" t="str">
        <f t="shared" si="63"/>
        <v/>
      </c>
      <c r="Q954" s="75" t="str">
        <f t="shared" si="64"/>
        <v/>
      </c>
      <c r="R954" s="76"/>
    </row>
    <row r="955" spans="1:18" ht="14.25" customHeight="1">
      <c r="A955" s="67"/>
      <c r="B955" s="68"/>
      <c r="C955" s="69"/>
      <c r="D955" s="69" t="str">
        <f ca="1">IF(B955="","",VLOOKUP('Журнал Закупок'!$B955,'СТ Криптовалюта'!B:C,2,0))</f>
        <v/>
      </c>
      <c r="E955" s="68"/>
      <c r="F955" s="70" t="str">
        <f>IF(D955="","",IF(B955=#REF!,"Основная",IF(B955=#REF!,"Основная",IF(B955=#REF!,"Основная","Экспериментальная"))))</f>
        <v/>
      </c>
      <c r="G955" s="71"/>
      <c r="H955" s="71"/>
      <c r="I955" s="71" t="str">
        <f t="shared" si="65"/>
        <v/>
      </c>
      <c r="J955" s="71"/>
      <c r="K955" s="71"/>
      <c r="L955" s="71"/>
      <c r="M955" s="71"/>
      <c r="N955" s="71" t="str">
        <f ca="1">IF(I955="","",ROUND(VLOOKUP('Журнал Закупок'!D955,'СТ Криптовалюта'!$C$3:$E$1788,2,0)*'Журнал Закупок'!G955,5))</f>
        <v/>
      </c>
      <c r="O955" s="71"/>
      <c r="P955" s="71" t="str">
        <f t="shared" si="63"/>
        <v/>
      </c>
      <c r="Q955" s="75" t="str">
        <f t="shared" si="64"/>
        <v/>
      </c>
      <c r="R955" s="76"/>
    </row>
    <row r="956" spans="1:18" ht="14.25" customHeight="1">
      <c r="A956" s="67"/>
      <c r="B956" s="68"/>
      <c r="C956" s="69"/>
      <c r="D956" s="69" t="str">
        <f ca="1">IF(B956="","",VLOOKUP('Журнал Закупок'!$B956,'СТ Криптовалюта'!B:C,2,0))</f>
        <v/>
      </c>
      <c r="E956" s="68"/>
      <c r="F956" s="70" t="str">
        <f>IF(D956="","",IF(B956=#REF!,"Основная",IF(B956=#REF!,"Основная",IF(B956=#REF!,"Основная","Экспериментальная"))))</f>
        <v/>
      </c>
      <c r="G956" s="71"/>
      <c r="H956" s="71"/>
      <c r="I956" s="71" t="str">
        <f t="shared" si="65"/>
        <v/>
      </c>
      <c r="J956" s="71"/>
      <c r="K956" s="71"/>
      <c r="L956" s="71"/>
      <c r="M956" s="71"/>
      <c r="N956" s="71" t="str">
        <f ca="1">IF(I956="","",ROUND(VLOOKUP('Журнал Закупок'!D956,'СТ Криптовалюта'!$C$3:$E$1788,2,0)*'Журнал Закупок'!G956,5))</f>
        <v/>
      </c>
      <c r="O956" s="71"/>
      <c r="P956" s="71" t="str">
        <f t="shared" si="63"/>
        <v/>
      </c>
      <c r="Q956" s="75" t="str">
        <f t="shared" si="64"/>
        <v/>
      </c>
      <c r="R956" s="76"/>
    </row>
    <row r="957" spans="1:18" ht="14.25" customHeight="1">
      <c r="A957" s="67"/>
      <c r="B957" s="68"/>
      <c r="C957" s="69"/>
      <c r="D957" s="69" t="str">
        <f ca="1">IF(B957="","",VLOOKUP('Журнал Закупок'!$B957,'СТ Криптовалюта'!B:C,2,0))</f>
        <v/>
      </c>
      <c r="E957" s="68"/>
      <c r="F957" s="70" t="str">
        <f>IF(D957="","",IF(B957=#REF!,"Основная",IF(B957=#REF!,"Основная",IF(B957=#REF!,"Основная","Экспериментальная"))))</f>
        <v/>
      </c>
      <c r="G957" s="71"/>
      <c r="H957" s="71"/>
      <c r="I957" s="71" t="str">
        <f t="shared" si="65"/>
        <v/>
      </c>
      <c r="J957" s="71"/>
      <c r="K957" s="71"/>
      <c r="L957" s="71"/>
      <c r="M957" s="71"/>
      <c r="N957" s="71" t="str">
        <f ca="1">IF(I957="","",ROUND(VLOOKUP('Журнал Закупок'!D957,'СТ Криптовалюта'!$C$3:$E$1788,2,0)*'Журнал Закупок'!G957,5))</f>
        <v/>
      </c>
      <c r="O957" s="71"/>
      <c r="P957" s="71" t="str">
        <f t="shared" si="63"/>
        <v/>
      </c>
      <c r="Q957" s="75" t="str">
        <f t="shared" si="64"/>
        <v/>
      </c>
      <c r="R957" s="76"/>
    </row>
    <row r="958" spans="1:18" ht="14.25" customHeight="1">
      <c r="A958" s="67"/>
      <c r="B958" s="68"/>
      <c r="C958" s="69"/>
      <c r="D958" s="69" t="str">
        <f ca="1">IF(B958="","",VLOOKUP('Журнал Закупок'!$B958,'СТ Криптовалюта'!B:C,2,0))</f>
        <v/>
      </c>
      <c r="E958" s="68"/>
      <c r="F958" s="70" t="str">
        <f>IF(D958="","",IF(B958=#REF!,"Основная",IF(B958=#REF!,"Основная",IF(B958=#REF!,"Основная","Экспериментальная"))))</f>
        <v/>
      </c>
      <c r="G958" s="71"/>
      <c r="H958" s="71"/>
      <c r="I958" s="71" t="str">
        <f t="shared" si="65"/>
        <v/>
      </c>
      <c r="J958" s="71"/>
      <c r="K958" s="71"/>
      <c r="L958" s="71"/>
      <c r="M958" s="71"/>
      <c r="N958" s="71" t="str">
        <f ca="1">IF(I958="","",ROUND(VLOOKUP('Журнал Закупок'!D958,'СТ Криптовалюта'!$C$3:$E$1788,2,0)*'Журнал Закупок'!G958,5))</f>
        <v/>
      </c>
      <c r="O958" s="71"/>
      <c r="P958" s="71" t="str">
        <f t="shared" si="63"/>
        <v/>
      </c>
      <c r="Q958" s="75" t="str">
        <f t="shared" si="64"/>
        <v/>
      </c>
      <c r="R958" s="76"/>
    </row>
    <row r="959" spans="1:18" ht="14.25" customHeight="1">
      <c r="A959" s="67"/>
      <c r="B959" s="68"/>
      <c r="C959" s="69"/>
      <c r="D959" s="69" t="str">
        <f ca="1">IF(B959="","",VLOOKUP('Журнал Закупок'!$B959,'СТ Криптовалюта'!B:C,2,0))</f>
        <v/>
      </c>
      <c r="E959" s="68"/>
      <c r="F959" s="70" t="str">
        <f>IF(D959="","",IF(B959=#REF!,"Основная",IF(B959=#REF!,"Основная",IF(B959=#REF!,"Основная","Экспериментальная"))))</f>
        <v/>
      </c>
      <c r="G959" s="71"/>
      <c r="H959" s="71"/>
      <c r="I959" s="71" t="str">
        <f t="shared" si="65"/>
        <v/>
      </c>
      <c r="J959" s="71"/>
      <c r="K959" s="71"/>
      <c r="L959" s="71"/>
      <c r="M959" s="71"/>
      <c r="N959" s="71" t="str">
        <f ca="1">IF(I959="","",ROUND(VLOOKUP('Журнал Закупок'!D959,'СТ Криптовалюта'!$C$3:$E$1788,2,0)*'Журнал Закупок'!G959,5))</f>
        <v/>
      </c>
      <c r="O959" s="71"/>
      <c r="P959" s="71" t="str">
        <f t="shared" si="63"/>
        <v/>
      </c>
      <c r="Q959" s="75" t="str">
        <f t="shared" si="64"/>
        <v/>
      </c>
      <c r="R959" s="76"/>
    </row>
    <row r="960" spans="1:18" ht="14.25" customHeight="1">
      <c r="A960" s="67"/>
      <c r="B960" s="68"/>
      <c r="C960" s="69"/>
      <c r="D960" s="69" t="str">
        <f ca="1">IF(B960="","",VLOOKUP('Журнал Закупок'!$B960,'СТ Криптовалюта'!B:C,2,0))</f>
        <v/>
      </c>
      <c r="E960" s="68"/>
      <c r="F960" s="70" t="str">
        <f>IF(D960="","",IF(B960=#REF!,"Основная",IF(B960=#REF!,"Основная",IF(B960=#REF!,"Основная","Экспериментальная"))))</f>
        <v/>
      </c>
      <c r="G960" s="71"/>
      <c r="H960" s="71"/>
      <c r="I960" s="71" t="str">
        <f t="shared" si="65"/>
        <v/>
      </c>
      <c r="J960" s="71"/>
      <c r="K960" s="71"/>
      <c r="L960" s="71"/>
      <c r="M960" s="71"/>
      <c r="N960" s="71" t="str">
        <f ca="1">IF(I960="","",ROUND(VLOOKUP('Журнал Закупок'!D960,'СТ Криптовалюта'!$C$3:$E$1788,2,0)*'Журнал Закупок'!G960,5))</f>
        <v/>
      </c>
      <c r="O960" s="71"/>
      <c r="P960" s="71" t="str">
        <f t="shared" si="63"/>
        <v/>
      </c>
      <c r="Q960" s="75" t="str">
        <f t="shared" si="64"/>
        <v/>
      </c>
      <c r="R960" s="76"/>
    </row>
    <row r="961" spans="1:18" ht="14.25" customHeight="1">
      <c r="A961" s="67"/>
      <c r="B961" s="68"/>
      <c r="C961" s="69"/>
      <c r="D961" s="69" t="str">
        <f ca="1">IF(B961="","",VLOOKUP('Журнал Закупок'!$B961,'СТ Криптовалюта'!B:C,2,0))</f>
        <v/>
      </c>
      <c r="E961" s="68"/>
      <c r="F961" s="70" t="str">
        <f>IF(D961="","",IF(B961=#REF!,"Основная",IF(B961=#REF!,"Основная",IF(B961=#REF!,"Основная","Экспериментальная"))))</f>
        <v/>
      </c>
      <c r="G961" s="71"/>
      <c r="H961" s="71"/>
      <c r="I961" s="71" t="str">
        <f t="shared" si="65"/>
        <v/>
      </c>
      <c r="J961" s="71"/>
      <c r="K961" s="71"/>
      <c r="L961" s="71"/>
      <c r="M961" s="71"/>
      <c r="N961" s="71" t="str">
        <f ca="1">IF(I961="","",ROUND(VLOOKUP('Журнал Закупок'!D961,'СТ Криптовалюта'!$C$3:$E$1788,2,0)*'Журнал Закупок'!G961,5))</f>
        <v/>
      </c>
      <c r="O961" s="71"/>
      <c r="P961" s="71" t="str">
        <f t="shared" si="63"/>
        <v/>
      </c>
      <c r="Q961" s="75" t="str">
        <f t="shared" si="64"/>
        <v/>
      </c>
      <c r="R961" s="76"/>
    </row>
    <row r="962" spans="1:18" ht="14.25" customHeight="1">
      <c r="A962" s="67"/>
      <c r="B962" s="68"/>
      <c r="C962" s="69"/>
      <c r="D962" s="69" t="str">
        <f ca="1">IF(B962="","",VLOOKUP('Журнал Закупок'!$B962,'СТ Криптовалюта'!B:C,2,0))</f>
        <v/>
      </c>
      <c r="E962" s="68"/>
      <c r="F962" s="70" t="str">
        <f>IF(D962="","",IF(B962=#REF!,"Основная",IF(B962=#REF!,"Основная",IF(B962=#REF!,"Основная","Экспериментальная"))))</f>
        <v/>
      </c>
      <c r="G962" s="71"/>
      <c r="H962" s="71"/>
      <c r="I962" s="71" t="str">
        <f t="shared" si="65"/>
        <v/>
      </c>
      <c r="J962" s="71"/>
      <c r="K962" s="71"/>
      <c r="L962" s="71"/>
      <c r="M962" s="71"/>
      <c r="N962" s="71" t="str">
        <f ca="1">IF(I962="","",ROUND(VLOOKUP('Журнал Закупок'!D962,'СТ Криптовалюта'!$C$3:$E$1788,2,0)*'Журнал Закупок'!G962,5))</f>
        <v/>
      </c>
      <c r="O962" s="71"/>
      <c r="P962" s="71" t="str">
        <f t="shared" si="63"/>
        <v/>
      </c>
      <c r="Q962" s="75" t="str">
        <f t="shared" si="64"/>
        <v/>
      </c>
      <c r="R962" s="76"/>
    </row>
    <row r="963" spans="1:18" ht="14.25" customHeight="1">
      <c r="A963" s="67"/>
      <c r="B963" s="68"/>
      <c r="C963" s="69"/>
      <c r="D963" s="69" t="str">
        <f ca="1">IF(B963="","",VLOOKUP('Журнал Закупок'!$B963,'СТ Криптовалюта'!B:C,2,0))</f>
        <v/>
      </c>
      <c r="E963" s="68"/>
      <c r="F963" s="70" t="str">
        <f>IF(D963="","",IF(B963=#REF!,"Основная",IF(B963=#REF!,"Основная",IF(B963=#REF!,"Основная","Экспериментальная"))))</f>
        <v/>
      </c>
      <c r="G963" s="71"/>
      <c r="H963" s="71"/>
      <c r="I963" s="71" t="str">
        <f t="shared" si="65"/>
        <v/>
      </c>
      <c r="J963" s="71"/>
      <c r="K963" s="71"/>
      <c r="L963" s="71"/>
      <c r="M963" s="71"/>
      <c r="N963" s="71" t="str">
        <f ca="1">IF(I963="","",ROUND(VLOOKUP('Журнал Закупок'!D963,'СТ Криптовалюта'!$C$3:$E$1788,2,0)*'Журнал Закупок'!G963,5))</f>
        <v/>
      </c>
      <c r="O963" s="71"/>
      <c r="P963" s="71" t="str">
        <f t="shared" si="63"/>
        <v/>
      </c>
      <c r="Q963" s="75" t="str">
        <f t="shared" si="64"/>
        <v/>
      </c>
      <c r="R963" s="76"/>
    </row>
    <row r="964" spans="1:18" ht="14.25" customHeight="1">
      <c r="A964" s="67"/>
      <c r="B964" s="68"/>
      <c r="C964" s="69"/>
      <c r="D964" s="69" t="str">
        <f ca="1">IF(B964="","",VLOOKUP('Журнал Закупок'!$B964,'СТ Криптовалюта'!B:C,2,0))</f>
        <v/>
      </c>
      <c r="E964" s="68"/>
      <c r="F964" s="70" t="str">
        <f>IF(D964="","",IF(B964=#REF!,"Основная",IF(B964=#REF!,"Основная",IF(B964=#REF!,"Основная","Экспериментальная"))))</f>
        <v/>
      </c>
      <c r="G964" s="71"/>
      <c r="H964" s="71"/>
      <c r="I964" s="71" t="str">
        <f t="shared" si="65"/>
        <v/>
      </c>
      <c r="J964" s="71"/>
      <c r="K964" s="71"/>
      <c r="L964" s="71"/>
      <c r="M964" s="71"/>
      <c r="N964" s="71" t="str">
        <f ca="1">IF(I964="","",ROUND(VLOOKUP('Журнал Закупок'!D964,'СТ Криптовалюта'!$C$3:$E$1788,2,0)*'Журнал Закупок'!G964,5))</f>
        <v/>
      </c>
      <c r="O964" s="71"/>
      <c r="P964" s="71" t="str">
        <f t="shared" si="63"/>
        <v/>
      </c>
      <c r="Q964" s="75" t="str">
        <f t="shared" si="64"/>
        <v/>
      </c>
      <c r="R964" s="76"/>
    </row>
    <row r="965" spans="1:18" ht="14.25" customHeight="1">
      <c r="A965" s="67"/>
      <c r="B965" s="68"/>
      <c r="C965" s="69"/>
      <c r="D965" s="69" t="str">
        <f ca="1">IF(B965="","",VLOOKUP('Журнал Закупок'!$B965,'СТ Криптовалюта'!B:C,2,0))</f>
        <v/>
      </c>
      <c r="E965" s="68"/>
      <c r="F965" s="70" t="str">
        <f>IF(D965="","",IF(B965=#REF!,"Основная",IF(B965=#REF!,"Основная",IF(B965=#REF!,"Основная","Экспериментальная"))))</f>
        <v/>
      </c>
      <c r="G965" s="71"/>
      <c r="H965" s="71"/>
      <c r="I965" s="71" t="str">
        <f t="shared" si="65"/>
        <v/>
      </c>
      <c r="J965" s="71"/>
      <c r="K965" s="71"/>
      <c r="L965" s="71"/>
      <c r="M965" s="71"/>
      <c r="N965" s="71" t="str">
        <f ca="1">IF(I965="","",ROUND(VLOOKUP('Журнал Закупок'!D965,'СТ Криптовалюта'!$C$3:$E$1788,2,0)*'Журнал Закупок'!G965,5))</f>
        <v/>
      </c>
      <c r="O965" s="71"/>
      <c r="P965" s="71" t="str">
        <f t="shared" si="63"/>
        <v/>
      </c>
      <c r="Q965" s="75" t="str">
        <f t="shared" si="64"/>
        <v/>
      </c>
      <c r="R965" s="76"/>
    </row>
    <row r="966" spans="1:18" ht="14.25" customHeight="1">
      <c r="A966" s="67"/>
      <c r="B966" s="68"/>
      <c r="C966" s="69"/>
      <c r="D966" s="69" t="str">
        <f ca="1">IF(B966="","",VLOOKUP('Журнал Закупок'!$B966,'СТ Криптовалюта'!B:C,2,0))</f>
        <v/>
      </c>
      <c r="E966" s="68"/>
      <c r="F966" s="70" t="str">
        <f>IF(D966="","",IF(B966=#REF!,"Основная",IF(B966=#REF!,"Основная",IF(B966=#REF!,"Основная","Экспериментальная"))))</f>
        <v/>
      </c>
      <c r="G966" s="71"/>
      <c r="H966" s="71"/>
      <c r="I966" s="71" t="str">
        <f t="shared" si="65"/>
        <v/>
      </c>
      <c r="J966" s="71"/>
      <c r="K966" s="71"/>
      <c r="L966" s="71"/>
      <c r="M966" s="71"/>
      <c r="N966" s="71" t="str">
        <f ca="1">IF(I966="","",ROUND(VLOOKUP('Журнал Закупок'!D966,'СТ Криптовалюта'!$C$3:$E$1788,2,0)*'Журнал Закупок'!G966,5))</f>
        <v/>
      </c>
      <c r="O966" s="71"/>
      <c r="P966" s="71" t="str">
        <f t="shared" si="63"/>
        <v/>
      </c>
      <c r="Q966" s="75" t="str">
        <f t="shared" si="64"/>
        <v/>
      </c>
      <c r="R966" s="76"/>
    </row>
    <row r="967" spans="1:18" ht="14.25" customHeight="1">
      <c r="A967" s="67"/>
      <c r="B967" s="68"/>
      <c r="C967" s="69"/>
      <c r="D967" s="69" t="str">
        <f ca="1">IF(B967="","",VLOOKUP('Журнал Закупок'!$B967,'СТ Криптовалюта'!B:C,2,0))</f>
        <v/>
      </c>
      <c r="E967" s="68"/>
      <c r="F967" s="70" t="str">
        <f>IF(D967="","",IF(B967=#REF!,"Основная",IF(B967=#REF!,"Основная",IF(B967=#REF!,"Основная","Экспериментальная"))))</f>
        <v/>
      </c>
      <c r="G967" s="71"/>
      <c r="H967" s="71"/>
      <c r="I967" s="71" t="str">
        <f t="shared" si="65"/>
        <v/>
      </c>
      <c r="J967" s="71"/>
      <c r="K967" s="71"/>
      <c r="L967" s="71"/>
      <c r="M967" s="71"/>
      <c r="N967" s="71" t="str">
        <f ca="1">IF(I967="","",ROUND(VLOOKUP('Журнал Закупок'!D967,'СТ Криптовалюта'!$C$3:$E$1788,2,0)*'Журнал Закупок'!G967,5))</f>
        <v/>
      </c>
      <c r="O967" s="71"/>
      <c r="P967" s="71" t="str">
        <f t="shared" si="63"/>
        <v/>
      </c>
      <c r="Q967" s="75" t="str">
        <f t="shared" si="64"/>
        <v/>
      </c>
      <c r="R967" s="76"/>
    </row>
    <row r="968" spans="1:18" ht="14.25" customHeight="1">
      <c r="A968" s="67"/>
      <c r="B968" s="68"/>
      <c r="C968" s="69"/>
      <c r="D968" s="69" t="str">
        <f ca="1">IF(B968="","",VLOOKUP('Журнал Закупок'!$B968,'СТ Криптовалюта'!B:C,2,0))</f>
        <v/>
      </c>
      <c r="E968" s="68"/>
      <c r="F968" s="70" t="str">
        <f>IF(D968="","",IF(B968=#REF!,"Основная",IF(B968=#REF!,"Основная",IF(B968=#REF!,"Основная","Экспериментальная"))))</f>
        <v/>
      </c>
      <c r="G968" s="71"/>
      <c r="H968" s="71"/>
      <c r="I968" s="71" t="str">
        <f t="shared" si="65"/>
        <v/>
      </c>
      <c r="J968" s="71"/>
      <c r="K968" s="71"/>
      <c r="L968" s="71"/>
      <c r="M968" s="71"/>
      <c r="N968" s="71" t="str">
        <f ca="1">IF(I968="","",ROUND(VLOOKUP('Журнал Закупок'!D968,'СТ Криптовалюта'!$C$3:$E$1788,2,0)*'Журнал Закупок'!G968,5))</f>
        <v/>
      </c>
      <c r="O968" s="71"/>
      <c r="P968" s="71" t="str">
        <f t="shared" si="63"/>
        <v/>
      </c>
      <c r="Q968" s="75" t="str">
        <f t="shared" si="64"/>
        <v/>
      </c>
      <c r="R968" s="76"/>
    </row>
    <row r="969" spans="1:18" ht="14.25" customHeight="1">
      <c r="A969" s="67"/>
      <c r="B969" s="68"/>
      <c r="C969" s="69"/>
      <c r="D969" s="69" t="str">
        <f ca="1">IF(B969="","",VLOOKUP('Журнал Закупок'!$B969,'СТ Криптовалюта'!B:C,2,0))</f>
        <v/>
      </c>
      <c r="E969" s="68"/>
      <c r="F969" s="70" t="str">
        <f>IF(D969="","",IF(B969=#REF!,"Основная",IF(B969=#REF!,"Основная",IF(B969=#REF!,"Основная","Экспериментальная"))))</f>
        <v/>
      </c>
      <c r="G969" s="71"/>
      <c r="H969" s="71"/>
      <c r="I969" s="71" t="str">
        <f t="shared" si="65"/>
        <v/>
      </c>
      <c r="J969" s="71"/>
      <c r="K969" s="71"/>
      <c r="L969" s="71"/>
      <c r="M969" s="71"/>
      <c r="N969" s="71" t="str">
        <f ca="1">IF(I969="","",ROUND(VLOOKUP('Журнал Закупок'!D969,'СТ Криптовалюта'!$C$3:$E$1788,2,0)*'Журнал Закупок'!G969,5))</f>
        <v/>
      </c>
      <c r="O969" s="71"/>
      <c r="P969" s="71" t="str">
        <f t="shared" si="63"/>
        <v/>
      </c>
      <c r="Q969" s="75" t="str">
        <f t="shared" si="64"/>
        <v/>
      </c>
      <c r="R969" s="76"/>
    </row>
    <row r="970" spans="1:18" ht="14.25" customHeight="1">
      <c r="A970" s="67"/>
      <c r="B970" s="68"/>
      <c r="C970" s="69"/>
      <c r="D970" s="69" t="str">
        <f ca="1">IF(B970="","",VLOOKUP('Журнал Закупок'!$B970,'СТ Криптовалюта'!B:C,2,0))</f>
        <v/>
      </c>
      <c r="E970" s="68"/>
      <c r="F970" s="70" t="str">
        <f>IF(D970="","",IF(B970=#REF!,"Основная",IF(B970=#REF!,"Основная",IF(B970=#REF!,"Основная","Экспериментальная"))))</f>
        <v/>
      </c>
      <c r="G970" s="71"/>
      <c r="H970" s="71"/>
      <c r="I970" s="71" t="str">
        <f t="shared" si="65"/>
        <v/>
      </c>
      <c r="J970" s="71"/>
      <c r="K970" s="71"/>
      <c r="L970" s="71"/>
      <c r="M970" s="71"/>
      <c r="N970" s="71" t="str">
        <f ca="1">IF(I970="","",ROUND(VLOOKUP('Журнал Закупок'!D970,'СТ Криптовалюта'!$C$3:$E$1788,2,0)*'Журнал Закупок'!G970,5))</f>
        <v/>
      </c>
      <c r="O970" s="71"/>
      <c r="P970" s="71" t="str">
        <f t="shared" si="63"/>
        <v/>
      </c>
      <c r="Q970" s="75" t="str">
        <f t="shared" si="64"/>
        <v/>
      </c>
      <c r="R970" s="76"/>
    </row>
    <row r="971" spans="1:18" ht="14.25" customHeight="1">
      <c r="A971" s="67"/>
      <c r="B971" s="68"/>
      <c r="C971" s="69"/>
      <c r="D971" s="69" t="str">
        <f ca="1">IF(B971="","",VLOOKUP('Журнал Закупок'!$B971,'СТ Криптовалюта'!B:C,2,0))</f>
        <v/>
      </c>
      <c r="E971" s="68"/>
      <c r="F971" s="70" t="str">
        <f>IF(D971="","",IF(B971=#REF!,"Основная",IF(B971=#REF!,"Основная",IF(B971=#REF!,"Основная","Экспериментальная"))))</f>
        <v/>
      </c>
      <c r="G971" s="71"/>
      <c r="H971" s="71"/>
      <c r="I971" s="71" t="str">
        <f t="shared" si="65"/>
        <v/>
      </c>
      <c r="J971" s="71"/>
      <c r="K971" s="71"/>
      <c r="L971" s="71"/>
      <c r="M971" s="71"/>
      <c r="N971" s="71" t="str">
        <f ca="1">IF(I971="","",ROUND(VLOOKUP('Журнал Закупок'!D971,'СТ Криптовалюта'!$C$3:$E$1788,2,0)*'Журнал Закупок'!G971,5))</f>
        <v/>
      </c>
      <c r="O971" s="71"/>
      <c r="P971" s="71" t="str">
        <f t="shared" si="63"/>
        <v/>
      </c>
      <c r="Q971" s="75" t="str">
        <f t="shared" si="64"/>
        <v/>
      </c>
      <c r="R971" s="76"/>
    </row>
    <row r="972" spans="1:18" ht="14.25" customHeight="1">
      <c r="A972" s="67"/>
      <c r="B972" s="68"/>
      <c r="C972" s="69"/>
      <c r="D972" s="69" t="str">
        <f ca="1">IF(B972="","",VLOOKUP('Журнал Закупок'!$B972,'СТ Криптовалюта'!B:C,2,0))</f>
        <v/>
      </c>
      <c r="E972" s="68"/>
      <c r="F972" s="70" t="str">
        <f>IF(D972="","",IF(B972=#REF!,"Основная",IF(B972=#REF!,"Основная",IF(B972=#REF!,"Основная","Экспериментальная"))))</f>
        <v/>
      </c>
      <c r="G972" s="71"/>
      <c r="H972" s="71"/>
      <c r="I972" s="71" t="str">
        <f t="shared" si="65"/>
        <v/>
      </c>
      <c r="J972" s="71"/>
      <c r="K972" s="71"/>
      <c r="L972" s="71"/>
      <c r="M972" s="71"/>
      <c r="N972" s="71" t="str">
        <f ca="1">IF(I972="","",ROUND(VLOOKUP('Журнал Закупок'!D972,'СТ Криптовалюта'!$C$3:$E$1788,2,0)*'Журнал Закупок'!G972,5))</f>
        <v/>
      </c>
      <c r="O972" s="71"/>
      <c r="P972" s="71" t="str">
        <f t="shared" si="63"/>
        <v/>
      </c>
      <c r="Q972" s="75" t="str">
        <f t="shared" si="64"/>
        <v/>
      </c>
      <c r="R972" s="76"/>
    </row>
    <row r="973" spans="1:18" ht="14.25" customHeight="1">
      <c r="A973" s="67"/>
      <c r="B973" s="68"/>
      <c r="C973" s="69"/>
      <c r="D973" s="69" t="str">
        <f ca="1">IF(B973="","",VLOOKUP('Журнал Закупок'!$B973,'СТ Криптовалюта'!B:C,2,0))</f>
        <v/>
      </c>
      <c r="E973" s="68"/>
      <c r="F973" s="70" t="str">
        <f>IF(D973="","",IF(B973=#REF!,"Основная",IF(B973=#REF!,"Основная",IF(B973=#REF!,"Основная","Экспериментальная"))))</f>
        <v/>
      </c>
      <c r="G973" s="71"/>
      <c r="H973" s="71"/>
      <c r="I973" s="71" t="str">
        <f t="shared" si="65"/>
        <v/>
      </c>
      <c r="J973" s="71"/>
      <c r="K973" s="71"/>
      <c r="L973" s="71"/>
      <c r="M973" s="71"/>
      <c r="N973" s="71" t="str">
        <f ca="1">IF(I973="","",ROUND(VLOOKUP('Журнал Закупок'!D973,'СТ Криптовалюта'!$C$3:$E$1788,2,0)*'Журнал Закупок'!G973,5))</f>
        <v/>
      </c>
      <c r="O973" s="71"/>
      <c r="P973" s="71" t="str">
        <f t="shared" si="63"/>
        <v/>
      </c>
      <c r="Q973" s="75" t="str">
        <f t="shared" si="64"/>
        <v/>
      </c>
      <c r="R973" s="76"/>
    </row>
    <row r="974" spans="1:18" ht="14.25" customHeight="1">
      <c r="A974" s="67"/>
      <c r="B974" s="68"/>
      <c r="C974" s="69"/>
      <c r="D974" s="69" t="str">
        <f ca="1">IF(B974="","",VLOOKUP('Журнал Закупок'!$B974,'СТ Криптовалюта'!B:C,2,0))</f>
        <v/>
      </c>
      <c r="E974" s="68"/>
      <c r="F974" s="70" t="str">
        <f>IF(D974="","",IF(B974=#REF!,"Основная",IF(B974=#REF!,"Основная",IF(B974=#REF!,"Основная","Экспериментальная"))))</f>
        <v/>
      </c>
      <c r="G974" s="71"/>
      <c r="H974" s="71"/>
      <c r="I974" s="71" t="str">
        <f t="shared" si="65"/>
        <v/>
      </c>
      <c r="J974" s="71"/>
      <c r="K974" s="71"/>
      <c r="L974" s="71"/>
      <c r="M974" s="71"/>
      <c r="N974" s="71" t="str">
        <f ca="1">IF(I974="","",ROUND(VLOOKUP('Журнал Закупок'!D974,'СТ Криптовалюта'!$C$3:$E$1788,2,0)*'Журнал Закупок'!G974,5))</f>
        <v/>
      </c>
      <c r="O974" s="71"/>
      <c r="P974" s="71" t="str">
        <f t="shared" si="63"/>
        <v/>
      </c>
      <c r="Q974" s="75" t="str">
        <f t="shared" si="64"/>
        <v/>
      </c>
      <c r="R974" s="76"/>
    </row>
    <row r="975" spans="1:18" ht="14.25" customHeight="1">
      <c r="A975" s="67"/>
      <c r="B975" s="68"/>
      <c r="C975" s="69"/>
      <c r="D975" s="69" t="str">
        <f ca="1">IF(B975="","",VLOOKUP('Журнал Закупок'!$B975,'СТ Криптовалюта'!B:C,2,0))</f>
        <v/>
      </c>
      <c r="E975" s="68"/>
      <c r="F975" s="70" t="str">
        <f>IF(D975="","",IF(B975=#REF!,"Основная",IF(B975=#REF!,"Основная",IF(B975=#REF!,"Основная","Экспериментальная"))))</f>
        <v/>
      </c>
      <c r="G975" s="71"/>
      <c r="H975" s="71"/>
      <c r="I975" s="71" t="str">
        <f t="shared" si="65"/>
        <v/>
      </c>
      <c r="J975" s="71"/>
      <c r="K975" s="71"/>
      <c r="L975" s="71"/>
      <c r="M975" s="71"/>
      <c r="N975" s="71" t="str">
        <f ca="1">IF(I975="","",ROUND(VLOOKUP('Журнал Закупок'!D975,'СТ Криптовалюта'!$C$3:$E$1788,2,0)*'Журнал Закупок'!G975,5))</f>
        <v/>
      </c>
      <c r="O975" s="71"/>
      <c r="P975" s="71" t="str">
        <f t="shared" si="63"/>
        <v/>
      </c>
      <c r="Q975" s="75" t="str">
        <f t="shared" si="64"/>
        <v/>
      </c>
      <c r="R975" s="76"/>
    </row>
    <row r="976" spans="1:18" ht="14.25" customHeight="1">
      <c r="A976" s="67"/>
      <c r="B976" s="68"/>
      <c r="C976" s="69"/>
      <c r="D976" s="69" t="str">
        <f ca="1">IF(B976="","",VLOOKUP('Журнал Закупок'!$B976,'СТ Криптовалюта'!B:C,2,0))</f>
        <v/>
      </c>
      <c r="E976" s="68"/>
      <c r="F976" s="70" t="str">
        <f>IF(D976="","",IF(B976=#REF!,"Основная",IF(B976=#REF!,"Основная",IF(B976=#REF!,"Основная","Экспериментальная"))))</f>
        <v/>
      </c>
      <c r="G976" s="71"/>
      <c r="H976" s="71"/>
      <c r="I976" s="71" t="str">
        <f t="shared" si="65"/>
        <v/>
      </c>
      <c r="J976" s="71"/>
      <c r="K976" s="71"/>
      <c r="L976" s="71"/>
      <c r="M976" s="71"/>
      <c r="N976" s="71" t="str">
        <f ca="1">IF(I976="","",ROUND(VLOOKUP('Журнал Закупок'!D976,'СТ Криптовалюта'!$C$3:$E$1788,2,0)*'Журнал Закупок'!G976,5))</f>
        <v/>
      </c>
      <c r="O976" s="71"/>
      <c r="P976" s="71" t="str">
        <f t="shared" si="63"/>
        <v/>
      </c>
      <c r="Q976" s="75" t="str">
        <f t="shared" si="64"/>
        <v/>
      </c>
      <c r="R976" s="76"/>
    </row>
    <row r="977" spans="1:18" ht="14.25" customHeight="1">
      <c r="A977" s="67"/>
      <c r="B977" s="68"/>
      <c r="C977" s="69"/>
      <c r="D977" s="69" t="str">
        <f ca="1">IF(B977="","",VLOOKUP('Журнал Закупок'!$B977,'СТ Криптовалюта'!B:C,2,0))</f>
        <v/>
      </c>
      <c r="E977" s="68"/>
      <c r="F977" s="70" t="str">
        <f>IF(D977="","",IF(B977=#REF!,"Основная",IF(B977=#REF!,"Основная",IF(B977=#REF!,"Основная","Экспериментальная"))))</f>
        <v/>
      </c>
      <c r="G977" s="71"/>
      <c r="H977" s="71"/>
      <c r="I977" s="71" t="str">
        <f t="shared" si="65"/>
        <v/>
      </c>
      <c r="J977" s="71"/>
      <c r="K977" s="71"/>
      <c r="L977" s="71"/>
      <c r="M977" s="71"/>
      <c r="N977" s="71" t="str">
        <f ca="1">IF(I977="","",ROUND(VLOOKUP('Журнал Закупок'!D977,'СТ Криптовалюта'!$C$3:$E$1788,2,0)*'Журнал Закупок'!G977,5))</f>
        <v/>
      </c>
      <c r="O977" s="71"/>
      <c r="P977" s="71" t="str">
        <f t="shared" si="63"/>
        <v/>
      </c>
      <c r="Q977" s="75" t="str">
        <f t="shared" si="64"/>
        <v/>
      </c>
      <c r="R977" s="76"/>
    </row>
    <row r="978" spans="1:18" ht="14.25" customHeight="1">
      <c r="A978" s="67"/>
      <c r="B978" s="68"/>
      <c r="C978" s="69"/>
      <c r="D978" s="69" t="str">
        <f ca="1">IF(B978="","",VLOOKUP('Журнал Закупок'!$B978,'СТ Криптовалюта'!B:C,2,0))</f>
        <v/>
      </c>
      <c r="E978" s="68"/>
      <c r="F978" s="70" t="str">
        <f>IF(D978="","",IF(B978=#REF!,"Основная",IF(B978=#REF!,"Основная",IF(B978=#REF!,"Основная","Экспериментальная"))))</f>
        <v/>
      </c>
      <c r="G978" s="71"/>
      <c r="H978" s="71"/>
      <c r="I978" s="71" t="str">
        <f t="shared" si="65"/>
        <v/>
      </c>
      <c r="J978" s="71"/>
      <c r="K978" s="71"/>
      <c r="L978" s="71"/>
      <c r="M978" s="71"/>
      <c r="N978" s="71" t="str">
        <f ca="1">IF(I978="","",ROUND(VLOOKUP('Журнал Закупок'!D978,'СТ Криптовалюта'!$C$3:$E$1788,2,0)*'Журнал Закупок'!G978,5))</f>
        <v/>
      </c>
      <c r="O978" s="71"/>
      <c r="P978" s="71" t="str">
        <f t="shared" si="63"/>
        <v/>
      </c>
      <c r="Q978" s="75" t="str">
        <f t="shared" si="64"/>
        <v/>
      </c>
      <c r="R978" s="76"/>
    </row>
    <row r="979" spans="1:18" ht="14.25" customHeight="1">
      <c r="A979" s="67"/>
      <c r="B979" s="68"/>
      <c r="C979" s="69"/>
      <c r="D979" s="69" t="str">
        <f ca="1">IF(B979="","",VLOOKUP('Журнал Закупок'!$B979,'СТ Криптовалюта'!B:C,2,0))</f>
        <v/>
      </c>
      <c r="E979" s="68"/>
      <c r="F979" s="70" t="str">
        <f>IF(D979="","",IF(B979=#REF!,"Основная",IF(B979=#REF!,"Основная",IF(B979=#REF!,"Основная","Экспериментальная"))))</f>
        <v/>
      </c>
      <c r="G979" s="71"/>
      <c r="H979" s="71"/>
      <c r="I979" s="71" t="str">
        <f t="shared" si="65"/>
        <v/>
      </c>
      <c r="J979" s="71"/>
      <c r="K979" s="71"/>
      <c r="L979" s="71"/>
      <c r="M979" s="71"/>
      <c r="N979" s="71" t="str">
        <f ca="1">IF(I979="","",ROUND(VLOOKUP('Журнал Закупок'!D979,'СТ Криптовалюта'!$C$3:$E$1788,2,0)*'Журнал Закупок'!G979,5))</f>
        <v/>
      </c>
      <c r="O979" s="71"/>
      <c r="P979" s="71" t="str">
        <f t="shared" si="63"/>
        <v/>
      </c>
      <c r="Q979" s="75" t="str">
        <f t="shared" si="64"/>
        <v/>
      </c>
      <c r="R979" s="76"/>
    </row>
    <row r="980" spans="1:18" ht="14.25" customHeight="1">
      <c r="A980" s="67"/>
      <c r="B980" s="68"/>
      <c r="C980" s="69"/>
      <c r="D980" s="69" t="str">
        <f ca="1">IF(B980="","",VLOOKUP('Журнал Закупок'!$B980,'СТ Криптовалюта'!B:C,2,0))</f>
        <v/>
      </c>
      <c r="E980" s="68"/>
      <c r="F980" s="70" t="str">
        <f>IF(D980="","",IF(B980=#REF!,"Основная",IF(B980=#REF!,"Основная",IF(B980=#REF!,"Основная","Экспериментальная"))))</f>
        <v/>
      </c>
      <c r="G980" s="71"/>
      <c r="H980" s="71"/>
      <c r="I980" s="71" t="str">
        <f t="shared" si="65"/>
        <v/>
      </c>
      <c r="J980" s="71"/>
      <c r="K980" s="71"/>
      <c r="L980" s="71"/>
      <c r="M980" s="71"/>
      <c r="N980" s="71" t="str">
        <f ca="1">IF(I980="","",ROUND(VLOOKUP('Журнал Закупок'!D980,'СТ Криптовалюта'!$C$3:$E$1788,2,0)*'Журнал Закупок'!G980,5))</f>
        <v/>
      </c>
      <c r="O980" s="71"/>
      <c r="P980" s="71" t="str">
        <f t="shared" si="63"/>
        <v/>
      </c>
      <c r="Q980" s="75" t="str">
        <f t="shared" si="64"/>
        <v/>
      </c>
      <c r="R980" s="76"/>
    </row>
    <row r="981" spans="1:18" ht="14.25" customHeight="1">
      <c r="A981" s="67"/>
      <c r="B981" s="68"/>
      <c r="C981" s="69"/>
      <c r="D981" s="69" t="str">
        <f ca="1">IF(B981="","",VLOOKUP('Журнал Закупок'!$B981,'СТ Криптовалюта'!B:C,2,0))</f>
        <v/>
      </c>
      <c r="E981" s="68"/>
      <c r="F981" s="70" t="str">
        <f>IF(D981="","",IF(B981=#REF!,"Основная",IF(B981=#REF!,"Основная",IF(B981=#REF!,"Основная","Экспериментальная"))))</f>
        <v/>
      </c>
      <c r="G981" s="71"/>
      <c r="H981" s="71"/>
      <c r="I981" s="71" t="str">
        <f t="shared" si="65"/>
        <v/>
      </c>
      <c r="J981" s="71"/>
      <c r="K981" s="71"/>
      <c r="L981" s="71"/>
      <c r="M981" s="71"/>
      <c r="N981" s="71" t="str">
        <f ca="1">IF(I981="","",ROUND(VLOOKUP('Журнал Закупок'!D981,'СТ Криптовалюта'!$C$3:$E$1788,2,0)*'Журнал Закупок'!G981,5))</f>
        <v/>
      </c>
      <c r="O981" s="71"/>
      <c r="P981" s="71" t="str">
        <f t="shared" si="63"/>
        <v/>
      </c>
      <c r="Q981" s="75" t="str">
        <f t="shared" si="64"/>
        <v/>
      </c>
      <c r="R981" s="76"/>
    </row>
    <row r="982" spans="1:18" ht="14.25" customHeight="1">
      <c r="A982" s="67"/>
      <c r="B982" s="68"/>
      <c r="C982" s="69"/>
      <c r="D982" s="69" t="str">
        <f ca="1">IF(B982="","",VLOOKUP('Журнал Закупок'!$B982,'СТ Криптовалюта'!B:C,2,0))</f>
        <v/>
      </c>
      <c r="E982" s="68"/>
      <c r="F982" s="70" t="str">
        <f>IF(D982="","",IF(B982=#REF!,"Основная",IF(B982=#REF!,"Основная",IF(B982=#REF!,"Основная","Экспериментальная"))))</f>
        <v/>
      </c>
      <c r="G982" s="71"/>
      <c r="H982" s="71"/>
      <c r="I982" s="71" t="str">
        <f t="shared" si="65"/>
        <v/>
      </c>
      <c r="J982" s="71"/>
      <c r="K982" s="71"/>
      <c r="L982" s="71"/>
      <c r="M982" s="71"/>
      <c r="N982" s="71" t="str">
        <f ca="1">IF(I982="","",ROUND(VLOOKUP('Журнал Закупок'!D982,'СТ Криптовалюта'!$C$3:$E$1788,2,0)*'Журнал Закупок'!G982,5))</f>
        <v/>
      </c>
      <c r="O982" s="71"/>
      <c r="P982" s="71" t="str">
        <f t="shared" si="63"/>
        <v/>
      </c>
      <c r="Q982" s="75" t="str">
        <f t="shared" si="64"/>
        <v/>
      </c>
      <c r="R982" s="76"/>
    </row>
    <row r="983" spans="1:18" ht="14.25" customHeight="1">
      <c r="A983" s="67"/>
      <c r="B983" s="68"/>
      <c r="C983" s="69"/>
      <c r="D983" s="69" t="str">
        <f ca="1">IF(B983="","",VLOOKUP('Журнал Закупок'!$B983,'СТ Криптовалюта'!B:C,2,0))</f>
        <v/>
      </c>
      <c r="E983" s="68"/>
      <c r="F983" s="70" t="str">
        <f>IF(D983="","",IF(B983=#REF!,"Основная",IF(B983=#REF!,"Основная",IF(B983=#REF!,"Основная","Экспериментальная"))))</f>
        <v/>
      </c>
      <c r="G983" s="71"/>
      <c r="H983" s="71"/>
      <c r="I983" s="71" t="str">
        <f t="shared" si="65"/>
        <v/>
      </c>
      <c r="J983" s="71"/>
      <c r="K983" s="71"/>
      <c r="L983" s="71"/>
      <c r="M983" s="71"/>
      <c r="N983" s="71" t="str">
        <f ca="1">IF(I983="","",ROUND(VLOOKUP('Журнал Закупок'!D983,'СТ Криптовалюта'!$C$3:$E$1788,2,0)*'Журнал Закупок'!G983,5))</f>
        <v/>
      </c>
      <c r="O983" s="71"/>
      <c r="P983" s="71" t="str">
        <f t="shared" si="63"/>
        <v/>
      </c>
      <c r="Q983" s="75" t="str">
        <f t="shared" si="64"/>
        <v/>
      </c>
      <c r="R983" s="76"/>
    </row>
    <row r="984" spans="1:18" ht="14.25" customHeight="1">
      <c r="A984" s="67"/>
      <c r="B984" s="68"/>
      <c r="C984" s="69"/>
      <c r="D984" s="69" t="str">
        <f ca="1">IF(B984="","",VLOOKUP('Журнал Закупок'!$B984,'СТ Криптовалюта'!B:C,2,0))</f>
        <v/>
      </c>
      <c r="E984" s="68"/>
      <c r="F984" s="70" t="str">
        <f>IF(D984="","",IF(B984=#REF!,"Основная",IF(B984=#REF!,"Основная",IF(B984=#REF!,"Основная","Экспериментальная"))))</f>
        <v/>
      </c>
      <c r="G984" s="71"/>
      <c r="H984" s="71"/>
      <c r="I984" s="71" t="str">
        <f t="shared" si="65"/>
        <v/>
      </c>
      <c r="J984" s="71"/>
      <c r="K984" s="71"/>
      <c r="L984" s="71"/>
      <c r="M984" s="71"/>
      <c r="N984" s="71" t="str">
        <f ca="1">IF(I984="","",ROUND(VLOOKUP('Журнал Закупок'!D984,'СТ Криптовалюта'!$C$3:$E$1788,2,0)*'Журнал Закупок'!G984,5))</f>
        <v/>
      </c>
      <c r="O984" s="71"/>
      <c r="P984" s="71" t="str">
        <f t="shared" si="63"/>
        <v/>
      </c>
      <c r="Q984" s="75" t="str">
        <f t="shared" si="64"/>
        <v/>
      </c>
      <c r="R984" s="76"/>
    </row>
    <row r="985" spans="1:18" ht="14.25" customHeight="1">
      <c r="A985" s="67"/>
      <c r="B985" s="68"/>
      <c r="C985" s="69"/>
      <c r="D985" s="69" t="str">
        <f ca="1">IF(B985="","",VLOOKUP('Журнал Закупок'!$B985,'СТ Криптовалюта'!B:C,2,0))</f>
        <v/>
      </c>
      <c r="E985" s="68"/>
      <c r="F985" s="70" t="str">
        <f>IF(D985="","",IF(B985=#REF!,"Основная",IF(B985=#REF!,"Основная",IF(B985=#REF!,"Основная","Экспериментальная"))))</f>
        <v/>
      </c>
      <c r="G985" s="71"/>
      <c r="H985" s="71"/>
      <c r="I985" s="71" t="str">
        <f t="shared" si="65"/>
        <v/>
      </c>
      <c r="J985" s="71"/>
      <c r="K985" s="71"/>
      <c r="L985" s="71"/>
      <c r="M985" s="71"/>
      <c r="N985" s="71" t="str">
        <f ca="1">IF(I985="","",ROUND(VLOOKUP('Журнал Закупок'!D985,'СТ Криптовалюта'!$C$3:$E$1788,2,0)*'Журнал Закупок'!G985,5))</f>
        <v/>
      </c>
      <c r="O985" s="71"/>
      <c r="P985" s="71" t="str">
        <f t="shared" si="63"/>
        <v/>
      </c>
      <c r="Q985" s="75" t="str">
        <f t="shared" si="64"/>
        <v/>
      </c>
      <c r="R985" s="76"/>
    </row>
    <row r="986" spans="1:18" ht="14.25" customHeight="1">
      <c r="A986" s="67"/>
      <c r="B986" s="68"/>
      <c r="C986" s="69"/>
      <c r="D986" s="69" t="str">
        <f ca="1">IF(B986="","",VLOOKUP('Журнал Закупок'!$B986,'СТ Криптовалюта'!B:C,2,0))</f>
        <v/>
      </c>
      <c r="E986" s="68"/>
      <c r="F986" s="70" t="str">
        <f>IF(D986="","",IF(B986=#REF!,"Основная",IF(B986=#REF!,"Основная",IF(B986=#REF!,"Основная","Экспериментальная"))))</f>
        <v/>
      </c>
      <c r="G986" s="71"/>
      <c r="H986" s="71"/>
      <c r="I986" s="71" t="str">
        <f t="shared" si="65"/>
        <v/>
      </c>
      <c r="J986" s="71"/>
      <c r="K986" s="71"/>
      <c r="L986" s="71"/>
      <c r="M986" s="71"/>
      <c r="N986" s="71" t="str">
        <f ca="1">IF(I986="","",ROUND(VLOOKUP('Журнал Закупок'!D986,'СТ Криптовалюта'!$C$3:$E$1788,2,0)*'Журнал Закупок'!G986,5))</f>
        <v/>
      </c>
      <c r="O986" s="71"/>
      <c r="P986" s="71" t="str">
        <f t="shared" si="63"/>
        <v/>
      </c>
      <c r="Q986" s="75" t="str">
        <f t="shared" si="64"/>
        <v/>
      </c>
      <c r="R986" s="76"/>
    </row>
    <row r="987" spans="1:18" ht="14.25" customHeight="1">
      <c r="A987" s="67"/>
      <c r="B987" s="68"/>
      <c r="C987" s="69"/>
      <c r="D987" s="69" t="str">
        <f ca="1">IF(B987="","",VLOOKUP('Журнал Закупок'!$B987,'СТ Криптовалюта'!B:C,2,0))</f>
        <v/>
      </c>
      <c r="E987" s="68"/>
      <c r="F987" s="70" t="str">
        <f>IF(D987="","",IF(B987=#REF!,"Основная",IF(B987=#REF!,"Основная",IF(B987=#REF!,"Основная","Экспериментальная"))))</f>
        <v/>
      </c>
      <c r="G987" s="71"/>
      <c r="H987" s="71"/>
      <c r="I987" s="71" t="str">
        <f t="shared" si="65"/>
        <v/>
      </c>
      <c r="J987" s="71"/>
      <c r="K987" s="71"/>
      <c r="L987" s="71"/>
      <c r="M987" s="71"/>
      <c r="N987" s="71" t="str">
        <f ca="1">IF(I987="","",ROUND(VLOOKUP('Журнал Закупок'!D987,'СТ Криптовалюта'!$C$3:$E$1788,2,0)*'Журнал Закупок'!G987,5))</f>
        <v/>
      </c>
      <c r="O987" s="71"/>
      <c r="P987" s="71" t="str">
        <f t="shared" si="63"/>
        <v/>
      </c>
      <c r="Q987" s="75" t="str">
        <f t="shared" si="64"/>
        <v/>
      </c>
      <c r="R987" s="76"/>
    </row>
    <row r="988" spans="1:18" ht="14.25" customHeight="1">
      <c r="A988" s="67"/>
      <c r="B988" s="68"/>
      <c r="C988" s="69"/>
      <c r="D988" s="69" t="str">
        <f ca="1">IF(B988="","",VLOOKUP('Журнал Закупок'!$B988,'СТ Криптовалюта'!B:C,2,0))</f>
        <v/>
      </c>
      <c r="E988" s="68"/>
      <c r="F988" s="70" t="str">
        <f>IF(D988="","",IF(B988=#REF!,"Основная",IF(B988=#REF!,"Основная",IF(B988=#REF!,"Основная","Экспериментальная"))))</f>
        <v/>
      </c>
      <c r="G988" s="71"/>
      <c r="H988" s="71"/>
      <c r="I988" s="71" t="str">
        <f t="shared" si="65"/>
        <v/>
      </c>
      <c r="J988" s="71"/>
      <c r="K988" s="71"/>
      <c r="L988" s="71"/>
      <c r="M988" s="71"/>
      <c r="N988" s="71" t="str">
        <f ca="1">IF(I988="","",ROUND(VLOOKUP('Журнал Закупок'!D988,'СТ Криптовалюта'!$C$3:$E$1788,2,0)*'Журнал Закупок'!G988,5))</f>
        <v/>
      </c>
      <c r="O988" s="71"/>
      <c r="P988" s="71" t="str">
        <f t="shared" si="63"/>
        <v/>
      </c>
      <c r="Q988" s="75" t="str">
        <f t="shared" si="64"/>
        <v/>
      </c>
      <c r="R988" s="76"/>
    </row>
    <row r="989" spans="1:18" ht="14.25" customHeight="1">
      <c r="A989" s="67"/>
      <c r="B989" s="68"/>
      <c r="C989" s="69"/>
      <c r="D989" s="69" t="str">
        <f ca="1">IF(B989="","",VLOOKUP('Журнал Закупок'!$B989,'СТ Криптовалюта'!B:C,2,0))</f>
        <v/>
      </c>
      <c r="E989" s="68"/>
      <c r="F989" s="70" t="str">
        <f>IF(D989="","",IF(B989=#REF!,"Основная",IF(B989=#REF!,"Основная",IF(B989=#REF!,"Основная","Экспериментальная"))))</f>
        <v/>
      </c>
      <c r="G989" s="71"/>
      <c r="H989" s="71"/>
      <c r="I989" s="71" t="str">
        <f t="shared" si="65"/>
        <v/>
      </c>
      <c r="J989" s="71"/>
      <c r="K989" s="71"/>
      <c r="L989" s="71"/>
      <c r="M989" s="71"/>
      <c r="N989" s="71" t="str">
        <f ca="1">IF(I989="","",ROUND(VLOOKUP('Журнал Закупок'!D989,'СТ Криптовалюта'!$C$3:$E$1788,2,0)*'Журнал Закупок'!G989,5))</f>
        <v/>
      </c>
      <c r="O989" s="71"/>
      <c r="P989" s="71" t="str">
        <f t="shared" si="63"/>
        <v/>
      </c>
      <c r="Q989" s="75" t="str">
        <f t="shared" si="64"/>
        <v/>
      </c>
      <c r="R989" s="76"/>
    </row>
    <row r="990" spans="1:18" ht="14.25" customHeight="1">
      <c r="A990" s="67"/>
      <c r="B990" s="68"/>
      <c r="C990" s="69"/>
      <c r="D990" s="69" t="str">
        <f ca="1">IF(B990="","",VLOOKUP('Журнал Закупок'!$B990,'СТ Криптовалюта'!B:C,2,0))</f>
        <v/>
      </c>
      <c r="E990" s="68"/>
      <c r="F990" s="70" t="str">
        <f>IF(D990="","",IF(B990=#REF!,"Основная",IF(B990=#REF!,"Основная",IF(B990=#REF!,"Основная","Экспериментальная"))))</f>
        <v/>
      </c>
      <c r="G990" s="71"/>
      <c r="H990" s="71"/>
      <c r="I990" s="71" t="str">
        <f t="shared" si="65"/>
        <v/>
      </c>
      <c r="J990" s="71"/>
      <c r="K990" s="71"/>
      <c r="L990" s="71"/>
      <c r="M990" s="71"/>
      <c r="N990" s="71" t="str">
        <f ca="1">IF(I990="","",ROUND(VLOOKUP('Журнал Закупок'!D990,'СТ Криптовалюта'!$C$3:$E$1788,2,0)*'Журнал Закупок'!G990,5))</f>
        <v/>
      </c>
      <c r="O990" s="71"/>
      <c r="P990" s="71" t="str">
        <f t="shared" si="63"/>
        <v/>
      </c>
      <c r="Q990" s="75" t="str">
        <f t="shared" si="64"/>
        <v/>
      </c>
      <c r="R990" s="76"/>
    </row>
    <row r="991" spans="1:18" ht="14.25" customHeight="1">
      <c r="A991" s="67"/>
      <c r="B991" s="68"/>
      <c r="C991" s="69"/>
      <c r="D991" s="69" t="str">
        <f ca="1">IF(B991="","",VLOOKUP('Журнал Закупок'!$B991,'СТ Криптовалюта'!B:C,2,0))</f>
        <v/>
      </c>
      <c r="E991" s="68"/>
      <c r="F991" s="70" t="str">
        <f>IF(D991="","",IF(B991=#REF!,"Основная",IF(B991=#REF!,"Основная",IF(B991=#REF!,"Основная","Экспериментальная"))))</f>
        <v/>
      </c>
      <c r="G991" s="71"/>
      <c r="H991" s="71"/>
      <c r="I991" s="71" t="str">
        <f t="shared" si="65"/>
        <v/>
      </c>
      <c r="J991" s="71"/>
      <c r="K991" s="71"/>
      <c r="L991" s="71"/>
      <c r="M991" s="71"/>
      <c r="N991" s="71" t="str">
        <f ca="1">IF(I991="","",ROUND(VLOOKUP('Журнал Закупок'!D991,'СТ Криптовалюта'!$C$3:$E$1788,2,0)*'Журнал Закупок'!G991,5))</f>
        <v/>
      </c>
      <c r="O991" s="71"/>
      <c r="P991" s="71" t="str">
        <f t="shared" si="63"/>
        <v/>
      </c>
      <c r="Q991" s="75" t="str">
        <f t="shared" si="64"/>
        <v/>
      </c>
      <c r="R991" s="76"/>
    </row>
    <row r="992" spans="1:18" ht="14.25" customHeight="1">
      <c r="A992" s="67"/>
      <c r="B992" s="68"/>
      <c r="C992" s="69"/>
      <c r="D992" s="69" t="str">
        <f ca="1">IF(B992="","",VLOOKUP('Журнал Закупок'!$B992,'СТ Криптовалюта'!B:C,2,0))</f>
        <v/>
      </c>
      <c r="E992" s="68"/>
      <c r="F992" s="70" t="str">
        <f>IF(D992="","",IF(B992=#REF!,"Основная",IF(B992=#REF!,"Основная",IF(B992=#REF!,"Основная","Экспериментальная"))))</f>
        <v/>
      </c>
      <c r="G992" s="71"/>
      <c r="H992" s="71"/>
      <c r="I992" s="71" t="str">
        <f t="shared" si="65"/>
        <v/>
      </c>
      <c r="J992" s="71"/>
      <c r="K992" s="71"/>
      <c r="L992" s="71"/>
      <c r="M992" s="71"/>
      <c r="N992" s="71" t="str">
        <f ca="1">IF(I992="","",ROUND(VLOOKUP('Журнал Закупок'!D992,'СТ Криптовалюта'!$C$3:$E$1788,2,0)*'Журнал Закупок'!G992,5))</f>
        <v/>
      </c>
      <c r="O992" s="71"/>
      <c r="P992" s="71" t="str">
        <f t="shared" si="63"/>
        <v/>
      </c>
      <c r="Q992" s="75" t="str">
        <f t="shared" si="64"/>
        <v/>
      </c>
      <c r="R992" s="76"/>
    </row>
    <row r="993" spans="1:18" ht="14.25" customHeight="1">
      <c r="A993" s="67"/>
      <c r="B993" s="68"/>
      <c r="C993" s="69"/>
      <c r="D993" s="69" t="str">
        <f ca="1">IF(B993="","",VLOOKUP('Журнал Закупок'!$B993,'СТ Криптовалюта'!B:C,2,0))</f>
        <v/>
      </c>
      <c r="E993" s="68"/>
      <c r="F993" s="70" t="str">
        <f>IF(D993="","",IF(B993=#REF!,"Основная",IF(B993=#REF!,"Основная",IF(B993=#REF!,"Основная","Экспериментальная"))))</f>
        <v/>
      </c>
      <c r="G993" s="71"/>
      <c r="H993" s="71"/>
      <c r="I993" s="71" t="str">
        <f t="shared" si="65"/>
        <v/>
      </c>
      <c r="J993" s="71"/>
      <c r="K993" s="71"/>
      <c r="L993" s="71"/>
      <c r="M993" s="71"/>
      <c r="N993" s="71" t="str">
        <f ca="1">IF(I993="","",ROUND(VLOOKUP('Журнал Закупок'!D993,'СТ Криптовалюта'!$C$3:$E$1788,2,0)*'Журнал Закупок'!G993,5))</f>
        <v/>
      </c>
      <c r="O993" s="71"/>
      <c r="P993" s="71" t="str">
        <f t="shared" si="63"/>
        <v/>
      </c>
      <c r="Q993" s="75" t="str">
        <f t="shared" si="64"/>
        <v/>
      </c>
      <c r="R993" s="76"/>
    </row>
    <row r="994" spans="1:18" ht="14.25" customHeight="1">
      <c r="A994" s="67"/>
      <c r="B994" s="68"/>
      <c r="C994" s="69"/>
      <c r="D994" s="69" t="str">
        <f ca="1">IF(B994="","",VLOOKUP('Журнал Закупок'!$B994,'СТ Криптовалюта'!B:C,2,0))</f>
        <v/>
      </c>
      <c r="E994" s="68"/>
      <c r="F994" s="70" t="str">
        <f>IF(D994="","",IF(B994=#REF!,"Основная",IF(B994=#REF!,"Основная",IF(B994=#REF!,"Основная","Экспериментальная"))))</f>
        <v/>
      </c>
      <c r="G994" s="71"/>
      <c r="H994" s="71"/>
      <c r="I994" s="71" t="str">
        <f t="shared" si="65"/>
        <v/>
      </c>
      <c r="J994" s="71"/>
      <c r="K994" s="71"/>
      <c r="L994" s="71"/>
      <c r="M994" s="71"/>
      <c r="N994" s="71" t="str">
        <f ca="1">IF(I994="","",ROUND(VLOOKUP('Журнал Закупок'!D994,'СТ Криптовалюта'!$C$3:$E$1788,2,0)*'Журнал Закупок'!G994,5))</f>
        <v/>
      </c>
      <c r="O994" s="71"/>
      <c r="P994" s="71" t="str">
        <f t="shared" si="63"/>
        <v/>
      </c>
      <c r="Q994" s="75" t="str">
        <f t="shared" si="64"/>
        <v/>
      </c>
      <c r="R994" s="76"/>
    </row>
    <row r="995" spans="1:18" ht="14.25" customHeight="1">
      <c r="A995" s="67"/>
      <c r="B995" s="68"/>
      <c r="C995" s="69"/>
      <c r="D995" s="69" t="str">
        <f ca="1">IF(B995="","",VLOOKUP('Журнал Закупок'!$B995,'СТ Криптовалюта'!B:C,2,0))</f>
        <v/>
      </c>
      <c r="E995" s="68"/>
      <c r="F995" s="70" t="str">
        <f>IF(D995="","",IF(B995=#REF!,"Основная",IF(B995=#REF!,"Основная",IF(B995=#REF!,"Основная","Экспериментальная"))))</f>
        <v/>
      </c>
      <c r="G995" s="71"/>
      <c r="H995" s="71"/>
      <c r="I995" s="71" t="str">
        <f t="shared" si="65"/>
        <v/>
      </c>
      <c r="J995" s="71"/>
      <c r="K995" s="71"/>
      <c r="L995" s="71"/>
      <c r="M995" s="71"/>
      <c r="N995" s="71" t="str">
        <f ca="1">IF(I995="","",ROUND(VLOOKUP('Журнал Закупок'!D995,'СТ Криптовалюта'!$C$3:$E$1788,2,0)*'Журнал Закупок'!G995,5))</f>
        <v/>
      </c>
      <c r="O995" s="71"/>
      <c r="P995" s="71" t="str">
        <f t="shared" si="63"/>
        <v/>
      </c>
      <c r="Q995" s="75" t="str">
        <f t="shared" si="64"/>
        <v/>
      </c>
      <c r="R995" s="76"/>
    </row>
    <row r="996" spans="1:18" ht="14.25" customHeight="1">
      <c r="A996" s="67"/>
      <c r="B996" s="68"/>
      <c r="C996" s="69"/>
      <c r="D996" s="69" t="str">
        <f ca="1">IF(B996="","",VLOOKUP('Журнал Закупок'!$B996,'СТ Криптовалюта'!B:C,2,0))</f>
        <v/>
      </c>
      <c r="E996" s="68"/>
      <c r="F996" s="70" t="str">
        <f>IF(D996="","",IF(B996=#REF!,"Основная",IF(B996=#REF!,"Основная",IF(B996=#REF!,"Основная","Экспериментальная"))))</f>
        <v/>
      </c>
      <c r="G996" s="71"/>
      <c r="H996" s="71"/>
      <c r="I996" s="71" t="str">
        <f t="shared" si="65"/>
        <v/>
      </c>
      <c r="J996" s="71"/>
      <c r="K996" s="71"/>
      <c r="L996" s="71"/>
      <c r="M996" s="71"/>
      <c r="N996" s="71" t="str">
        <f ca="1">IF(I996="","",ROUND(VLOOKUP('Журнал Закупок'!D996,'СТ Криптовалюта'!$C$3:$E$1788,2,0)*'Журнал Закупок'!G996,5))</f>
        <v/>
      </c>
      <c r="O996" s="71"/>
      <c r="P996" s="71" t="str">
        <f t="shared" si="63"/>
        <v/>
      </c>
      <c r="Q996" s="75" t="str">
        <f t="shared" si="64"/>
        <v/>
      </c>
      <c r="R996" s="76"/>
    </row>
    <row r="997" spans="1:18" ht="14.25" customHeight="1">
      <c r="A997" s="67"/>
      <c r="B997" s="68"/>
      <c r="C997" s="69"/>
      <c r="D997" s="69" t="str">
        <f ca="1">IF(B997="","",VLOOKUP('Журнал Закупок'!$B997,'СТ Криптовалюта'!B:C,2,0))</f>
        <v/>
      </c>
      <c r="E997" s="68"/>
      <c r="F997" s="70" t="str">
        <f>IF(D997="","",IF(B997=#REF!,"Основная",IF(B997=#REF!,"Основная",IF(B997=#REF!,"Основная","Экспериментальная"))))</f>
        <v/>
      </c>
      <c r="G997" s="71"/>
      <c r="H997" s="71"/>
      <c r="I997" s="71" t="str">
        <f t="shared" si="65"/>
        <v/>
      </c>
      <c r="J997" s="71"/>
      <c r="K997" s="71"/>
      <c r="L997" s="71"/>
      <c r="M997" s="71"/>
      <c r="N997" s="71" t="str">
        <f ca="1">IF(I997="","",ROUND(VLOOKUP('Журнал Закупок'!D997,'СТ Криптовалюта'!$C$3:$E$1788,2,0)*'Журнал Закупок'!G997,5))</f>
        <v/>
      </c>
      <c r="O997" s="71"/>
      <c r="P997" s="71" t="str">
        <f t="shared" si="63"/>
        <v/>
      </c>
      <c r="Q997" s="75" t="str">
        <f t="shared" si="64"/>
        <v/>
      </c>
      <c r="R997" s="76"/>
    </row>
  </sheetData>
  <sheetCalcPr fullCalcOnLoad="1"/>
  <phoneticPr fontId="0" type="noConversion"/>
  <conditionalFormatting sqref="P2:R825">
    <cfRule type="cellIs" dxfId="1" priority="1" operator="greaterThan">
      <formula>0</formula>
    </cfRule>
  </conditionalFormatting>
  <conditionalFormatting sqref="P2:R825">
    <cfRule type="cellIs" dxfId="0" priority="2" operator="lessThan">
      <formula>0</formula>
    </cfRule>
  </conditionalFormatting>
  <dataValidations count="10">
    <dataValidation type="list" allowBlank="1" sqref="F2:F997">
      <formula1>"Ядро,Активная часть,Резерв"</formula1>
    </dataValidation>
    <dataValidation type="list" allowBlank="1" showErrorMessage="1" sqref="B8">
      <formula1>'СТ Криптовалюта'!$B$3:$B$1788</formula1>
    </dataValidation>
    <dataValidation type="list" allowBlank="1" showErrorMessage="1" sqref="B12">
      <formula1>"Arb,Вариант 2"</formula1>
    </dataValidation>
    <dataValidation type="list" allowBlank="1" showErrorMessage="1" sqref="B9">
      <formula1>"Move,Вариант 2"</formula1>
    </dataValidation>
    <dataValidation type="list" allowBlank="1" sqref="C2:C845">
      <formula1>"Binance,Bybit,OKX,Huobi,Nominex,PancakeSwap,Uniswap,Biswap,Bittrex,Bitfinex,Coinbase,BitMex,Poloniex"</formula1>
    </dataValidation>
    <dataValidation type="list" allowBlank="1" showErrorMessage="1" sqref="B4">
      <formula1>"Sui,Вариант 2"</formula1>
    </dataValidation>
    <dataValidation type="list" allowBlank="1" showErrorMessage="1" sqref="B13">
      <formula1>"Dogecoin"</formula1>
    </dataValidation>
    <dataValidation type="list" allowBlank="1" showErrorMessage="1" sqref="B5">
      <formula1>"Axl,Вариант 2"</formula1>
    </dataValidation>
    <dataValidation type="list" allowBlank="1" sqref="C846:C997">
      <formula1>"Binance,Bybit,OKX,Huobi"</formula1>
    </dataValidation>
    <dataValidation type="list" allowBlank="1" showErrorMessage="1" sqref="B2:B3 B6:B7 B10:B11 B14:B997">
      <formula1>'СТ Криптовалюта'!$B$3:$B$1788</formula1>
    </dataValidation>
  </dataValidation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201"/>
  <sheetViews>
    <sheetView workbookViewId="0"/>
  </sheetViews>
  <sheetFormatPr defaultColWidth="14.42578125" defaultRowHeight="15" customHeight="1"/>
  <cols>
    <col min="1" max="1" width="19" customWidth="1"/>
    <col min="2" max="2" width="14" customWidth="1"/>
    <col min="3" max="3" width="14.140625" customWidth="1"/>
    <col min="4" max="4" width="13.85546875" customWidth="1"/>
    <col min="5" max="5" width="11.28515625" customWidth="1"/>
    <col min="6" max="6" width="6.85546875" customWidth="1"/>
    <col min="7" max="7" width="4.7109375" customWidth="1"/>
    <col min="8" max="8" width="6.85546875" customWidth="1"/>
    <col min="9" max="9" width="9.85546875" customWidth="1"/>
    <col min="10" max="10" width="6.85546875" customWidth="1"/>
    <col min="11" max="11" width="8.7109375" customWidth="1"/>
    <col min="12" max="12" width="7.7109375" customWidth="1"/>
    <col min="13" max="13" width="9.7109375" customWidth="1"/>
    <col min="14" max="14" width="8.7109375" customWidth="1"/>
    <col min="15" max="15" width="7.42578125" customWidth="1"/>
    <col min="16" max="16" width="9.42578125" customWidth="1"/>
  </cols>
  <sheetData>
    <row r="1" spans="1:16" ht="14.25" customHeight="1">
      <c r="A1" s="90" t="s">
        <v>12903</v>
      </c>
      <c r="B1" s="91" t="s">
        <v>12913</v>
      </c>
      <c r="C1" s="92" t="s">
        <v>12914</v>
      </c>
      <c r="D1" s="92" t="s">
        <v>12915</v>
      </c>
      <c r="E1" s="93" t="s">
        <v>12934</v>
      </c>
      <c r="F1" s="94"/>
      <c r="G1" s="94"/>
      <c r="H1" s="94"/>
      <c r="I1" s="95" t="s">
        <v>12935</v>
      </c>
      <c r="J1" s="96" t="s">
        <v>12936</v>
      </c>
      <c r="K1" s="94"/>
      <c r="L1" s="96" t="s">
        <v>12903</v>
      </c>
      <c r="M1" s="96" t="s">
        <v>12936</v>
      </c>
      <c r="N1" s="94"/>
      <c r="O1" s="97" t="s">
        <v>12937</v>
      </c>
      <c r="P1" s="97" t="s">
        <v>12938</v>
      </c>
    </row>
    <row r="2" spans="1:16" ht="14.25" customHeight="1">
      <c r="A2" s="98" t="s">
        <v>12906</v>
      </c>
      <c r="B2" s="99" t="e">
        <f>#REF!</f>
        <v>#REF!</v>
      </c>
      <c r="C2" s="99" t="e">
        <f>#REF!</f>
        <v>#REF!</v>
      </c>
      <c r="D2" s="99" t="e">
        <f>#REF!</f>
        <v>#REF!</v>
      </c>
      <c r="E2" s="99" t="e">
        <f>SUM(B2:D2)</f>
        <v>#REF!</v>
      </c>
      <c r="F2" s="94"/>
      <c r="G2" s="100" t="e">
        <f>[1]Дашборд!H6</f>
        <v>#REF!</v>
      </c>
      <c r="H2" s="94"/>
      <c r="I2" s="101" t="s">
        <v>12939</v>
      </c>
      <c r="J2" s="102" t="e">
        <f ca="1">IFERROR(__xludf.DUMMYFUNCTION("GOOGLEFINANCE(I2)"),81.3619999)</f>
        <v>#NAME?</v>
      </c>
      <c r="K2" s="94"/>
      <c r="L2" s="101" t="s">
        <v>12940</v>
      </c>
      <c r="M2" s="103" t="e">
        <f ca="1">'СТ Криптовалюта'!E3</f>
        <v>#N/A</v>
      </c>
      <c r="N2" s="94"/>
      <c r="O2" s="104">
        <v>1</v>
      </c>
      <c r="P2" s="104" t="s">
        <v>12941</v>
      </c>
    </row>
    <row r="3" spans="1:16" ht="14.25" customHeight="1">
      <c r="A3" s="98" t="s">
        <v>12942</v>
      </c>
      <c r="B3" s="105" t="e">
        <f>IF(G2="RUB",#REF!,IF(G2="EUR",#REF!*J4,#REF!))</f>
        <v>#REF!</v>
      </c>
      <c r="C3" s="105" t="e">
        <f>IF(G2="RUB",#REF!,IF(G2="EUR",#REF!*J4,#REF!))</f>
        <v>#REF!</v>
      </c>
      <c r="D3" s="105" t="e">
        <f>IF(G2="RUB",#REF!,IF(G2="EUR",#REF!*J4,#REF!))</f>
        <v>#REF!</v>
      </c>
      <c r="E3" s="105" t="e">
        <f>SUM(B3:D3)</f>
        <v>#REF!</v>
      </c>
      <c r="F3" s="94"/>
      <c r="G3" s="94"/>
      <c r="H3" s="94"/>
      <c r="I3" s="101" t="s">
        <v>12943</v>
      </c>
      <c r="J3" s="102" t="e">
        <f ca="1">IFERROR(__xludf.DUMMYFUNCTION("GOOGLEFINANCE(I3)"),93.4891)</f>
        <v>#NAME?</v>
      </c>
      <c r="K3" s="94"/>
      <c r="L3" s="101" t="s">
        <v>12944</v>
      </c>
      <c r="M3" s="103" t="e">
        <f ca="1">'СТ Криптовалюта'!E4</f>
        <v>#N/A</v>
      </c>
      <c r="N3" s="94"/>
      <c r="O3" s="104">
        <v>2</v>
      </c>
      <c r="P3" s="104" t="s">
        <v>12945</v>
      </c>
    </row>
    <row r="4" spans="1:16" ht="14.25" customHeight="1">
      <c r="A4" s="98" t="s">
        <v>12946</v>
      </c>
      <c r="B4" s="105" t="e">
        <f>IF(G2="RUB",#REF!*J2,IF(G2="EUR",#REF!*J4,#REF!))</f>
        <v>#REF!</v>
      </c>
      <c r="C4" s="105" t="e">
        <f>IF(G2="RUB",#REF!*J2,IF(G2="EUR",#REF!*J4,#REF!))</f>
        <v>#REF!</v>
      </c>
      <c r="D4" s="105" t="e">
        <f>IF(G2="RUB",#REF!*J2,IF(G2="EUR",#REF!*J4,#REF!))</f>
        <v>#REF!</v>
      </c>
      <c r="E4" s="105" t="e">
        <f>SUM(B4:D4)</f>
        <v>#REF!</v>
      </c>
      <c r="F4" s="94"/>
      <c r="G4" s="94"/>
      <c r="H4" s="94"/>
      <c r="I4" s="101" t="s">
        <v>12947</v>
      </c>
      <c r="J4" s="102" t="e">
        <f ca="1">IFERROR(__xludf.DUMMYFUNCTION("GOOGLEFINANCE(I4)"),0.870189999999999)</f>
        <v>#NAME?</v>
      </c>
      <c r="K4" s="94"/>
      <c r="L4" s="101" t="s">
        <v>12948</v>
      </c>
      <c r="M4" s="103" t="e">
        <f ca="1">'СТ Криптовалюта'!E5</f>
        <v>#N/A</v>
      </c>
      <c r="N4" s="94"/>
      <c r="O4" s="104">
        <v>3</v>
      </c>
      <c r="P4" s="104" t="s">
        <v>12949</v>
      </c>
    </row>
    <row r="5" spans="1:16" ht="14.25" customHeight="1">
      <c r="A5" s="98" t="s">
        <v>12950</v>
      </c>
      <c r="B5" s="105" t="e">
        <f>B4-B3</f>
        <v>#REF!</v>
      </c>
      <c r="C5" s="105" t="e">
        <f>C4-C3</f>
        <v>#REF!</v>
      </c>
      <c r="D5" s="105" t="e">
        <f>D4-D3</f>
        <v>#REF!</v>
      </c>
      <c r="E5" s="105" t="e">
        <f>SUM(B5:D5)</f>
        <v>#REF!</v>
      </c>
      <c r="F5" s="94"/>
      <c r="G5" s="94"/>
      <c r="H5" s="94"/>
      <c r="I5" s="106" t="s">
        <v>12951</v>
      </c>
      <c r="J5" s="102" t="e">
        <f ca="1">'СТ Криптовалюта'!E353</f>
        <v>#N/A</v>
      </c>
      <c r="K5" s="94"/>
      <c r="L5" s="94"/>
      <c r="M5" s="94"/>
      <c r="N5" s="94"/>
      <c r="O5" s="104">
        <v>4</v>
      </c>
      <c r="P5" s="104" t="s">
        <v>12952</v>
      </c>
    </row>
    <row r="6" spans="1:16" ht="14.25" customHeight="1">
      <c r="A6" s="98" t="s">
        <v>12910</v>
      </c>
      <c r="B6" s="107" t="e">
        <f>#REF!</f>
        <v>#REF!</v>
      </c>
      <c r="C6" s="107" t="e">
        <f>#REF!</f>
        <v>#REF!</v>
      </c>
      <c r="D6" s="107" t="e">
        <f>#REF!</f>
        <v>#REF!</v>
      </c>
      <c r="E6" s="108" t="e">
        <f>(E4-E3)/E3</f>
        <v>#REF!</v>
      </c>
      <c r="F6" s="107"/>
      <c r="G6" s="107"/>
      <c r="H6" s="107"/>
      <c r="I6" s="94"/>
      <c r="J6" s="94"/>
      <c r="K6" s="94"/>
      <c r="L6" s="94"/>
      <c r="M6" s="94"/>
      <c r="N6" s="94"/>
      <c r="O6" s="104">
        <v>5</v>
      </c>
      <c r="P6" s="104" t="s">
        <v>12953</v>
      </c>
    </row>
    <row r="7" spans="1:16" ht="14.25" customHeight="1">
      <c r="A7" s="98"/>
      <c r="B7" s="94"/>
      <c r="C7" s="94"/>
      <c r="D7" s="94"/>
      <c r="E7" s="94"/>
      <c r="F7" s="94"/>
      <c r="G7" s="94"/>
      <c r="H7" s="94"/>
      <c r="I7" s="101"/>
      <c r="J7" s="102"/>
      <c r="K7" s="94"/>
      <c r="L7" s="94"/>
      <c r="M7" s="94"/>
      <c r="N7" s="94"/>
      <c r="O7" s="104">
        <v>6</v>
      </c>
      <c r="P7" s="104" t="s">
        <v>12954</v>
      </c>
    </row>
    <row r="8" spans="1:16" ht="14.25" customHeight="1">
      <c r="K8" s="94"/>
      <c r="L8" s="94"/>
      <c r="M8" s="94"/>
      <c r="N8" s="94"/>
      <c r="O8" s="104">
        <v>7</v>
      </c>
      <c r="P8" s="104" t="s">
        <v>12955</v>
      </c>
    </row>
    <row r="9" spans="1:16" ht="14.25" customHeight="1">
      <c r="K9" s="94"/>
      <c r="L9" s="94"/>
      <c r="M9" s="94"/>
      <c r="N9" s="94"/>
      <c r="O9" s="104">
        <v>8</v>
      </c>
      <c r="P9" s="104" t="s">
        <v>12956</v>
      </c>
    </row>
    <row r="10" spans="1:16" ht="14.25" customHeight="1">
      <c r="A10" s="90" t="s">
        <v>12903</v>
      </c>
      <c r="B10" s="91" t="s">
        <v>12957</v>
      </c>
      <c r="C10" s="68" t="s">
        <v>12917</v>
      </c>
      <c r="D10" s="92" t="s">
        <v>12958</v>
      </c>
      <c r="K10" s="94"/>
      <c r="L10" s="94"/>
      <c r="M10" s="94"/>
      <c r="N10" s="94"/>
      <c r="O10" s="104">
        <v>9</v>
      </c>
      <c r="P10" s="104" t="s">
        <v>12959</v>
      </c>
    </row>
    <row r="11" spans="1:16" ht="14.25" customHeight="1">
      <c r="A11" s="98" t="s">
        <v>12906</v>
      </c>
      <c r="B11" s="99">
        <f ca="1">SUMIF('Журнал Закупок'!B:B,B10,'Журнал Закупок'!G:G)</f>
        <v>0</v>
      </c>
      <c r="C11" s="99">
        <f ca="1">SUMIF('Журнал Закупок'!B:B,C10,'Журнал Закупок'!G:G)</f>
        <v>0</v>
      </c>
      <c r="D11" s="99">
        <f ca="1">SUMIF('Журнал Закупок'!B:B,D10,'Журнал Закупок'!G:G)</f>
        <v>0</v>
      </c>
      <c r="K11" s="94"/>
      <c r="L11" s="94"/>
      <c r="M11" s="94"/>
      <c r="N11" s="94"/>
      <c r="O11" s="104">
        <v>10</v>
      </c>
      <c r="P11" s="104" t="s">
        <v>12960</v>
      </c>
    </row>
    <row r="12" spans="1:16" ht="14.25" customHeight="1">
      <c r="A12" s="98" t="s">
        <v>12942</v>
      </c>
      <c r="B12" s="99">
        <f ca="1">SUMIF('Журнал Закупок'!B:B,B10,'Журнал Закупок'!I:I)</f>
        <v>0</v>
      </c>
      <c r="C12" s="105">
        <f ca="1">SUMIF('Журнал Закупок'!B:B,C10,'Журнал Закупок'!I:I)</f>
        <v>0</v>
      </c>
      <c r="D12" s="105">
        <f ca="1">SUMIF('Журнал Закупок'!B:B,D10,'Журнал Закупок'!I:I)</f>
        <v>0</v>
      </c>
      <c r="K12" s="94"/>
      <c r="L12" s="94"/>
      <c r="M12" s="94"/>
      <c r="N12" s="94"/>
      <c r="O12" s="104">
        <v>11</v>
      </c>
      <c r="P12" s="104" t="s">
        <v>12961</v>
      </c>
    </row>
    <row r="13" spans="1:16" ht="14.25" customHeight="1">
      <c r="A13" s="98" t="s">
        <v>12946</v>
      </c>
      <c r="B13" s="99">
        <f ca="1">SUMIF('Журнал Закупок'!B:B,B10,'Журнал Закупок'!O:O)</f>
        <v>0</v>
      </c>
      <c r="C13" s="105">
        <f ca="1">SUMIF('Журнал Закупок'!B:B,C10,'Журнал Закупок'!O:O)</f>
        <v>0</v>
      </c>
      <c r="D13" s="105">
        <f ca="1">SUMIF('Журнал Закупок'!B:B,D10,'Журнал Закупок'!O:O)</f>
        <v>0</v>
      </c>
      <c r="K13" s="94"/>
      <c r="L13" s="94"/>
      <c r="M13" s="94"/>
      <c r="N13" s="94"/>
      <c r="O13" s="104">
        <v>12</v>
      </c>
      <c r="P13" s="104" t="s">
        <v>12962</v>
      </c>
    </row>
    <row r="14" spans="1:16" ht="14.25" customHeight="1">
      <c r="A14" s="98" t="s">
        <v>12950</v>
      </c>
      <c r="B14" s="105">
        <f>B13-B12</f>
        <v>0</v>
      </c>
      <c r="C14" s="105">
        <f>C13-C12</f>
        <v>0</v>
      </c>
      <c r="D14" s="105">
        <f>D13-D12</f>
        <v>0</v>
      </c>
      <c r="K14" s="94"/>
      <c r="L14" s="94"/>
      <c r="M14" s="94"/>
      <c r="N14" s="94"/>
      <c r="O14" s="109"/>
      <c r="P14" s="104"/>
    </row>
    <row r="15" spans="1:16" ht="14.25" customHeight="1">
      <c r="A15" s="98" t="s">
        <v>12910</v>
      </c>
      <c r="B15" s="107" t="e">
        <f>#REF!</f>
        <v>#REF!</v>
      </c>
      <c r="C15" s="107" t="e">
        <f>#REF!</f>
        <v>#REF!</v>
      </c>
      <c r="D15" s="107" t="e">
        <f>#REF!</f>
        <v>#REF!</v>
      </c>
      <c r="K15" s="94"/>
      <c r="L15" s="94"/>
      <c r="M15" s="94"/>
      <c r="N15" s="94"/>
      <c r="O15" s="109"/>
      <c r="P15" s="104"/>
    </row>
    <row r="16" spans="1:16" ht="14.25" customHeight="1">
      <c r="K16" s="94"/>
      <c r="L16" s="94"/>
      <c r="M16" s="94"/>
      <c r="N16" s="94"/>
    </row>
    <row r="17" spans="1:14" ht="14.25" customHeight="1">
      <c r="K17" s="94"/>
      <c r="L17" s="94"/>
      <c r="M17" s="94"/>
      <c r="N17" s="94"/>
    </row>
    <row r="18" spans="1:14" ht="14.25" customHeight="1">
      <c r="K18" s="94"/>
      <c r="L18" s="94"/>
      <c r="M18" s="94"/>
      <c r="N18" s="94"/>
    </row>
    <row r="19" spans="1:14" ht="14.25" customHeight="1">
      <c r="K19" s="94"/>
      <c r="L19" s="94"/>
      <c r="M19" s="94"/>
      <c r="N19" s="94"/>
    </row>
    <row r="20" spans="1:14" ht="14.25" customHeight="1">
      <c r="K20" s="94"/>
      <c r="L20" s="94"/>
      <c r="M20" s="94"/>
      <c r="N20" s="94"/>
    </row>
    <row r="21" spans="1:14" ht="14.25" customHeight="1">
      <c r="K21" s="94"/>
      <c r="L21" s="94"/>
      <c r="M21" s="94"/>
      <c r="N21" s="94"/>
    </row>
    <row r="22" spans="1:14" ht="14.25" customHeight="1">
      <c r="K22" s="94"/>
      <c r="L22" s="94"/>
      <c r="M22" s="94"/>
      <c r="N22" s="94"/>
    </row>
    <row r="23" spans="1:14" ht="14.25" customHeight="1">
      <c r="J23" s="109"/>
      <c r="K23" s="94"/>
      <c r="L23" s="94"/>
      <c r="M23" s="94"/>
      <c r="N23" s="94"/>
    </row>
    <row r="24" spans="1:14" ht="14.25" customHeight="1">
      <c r="J24" s="109"/>
      <c r="K24" s="94"/>
      <c r="L24" s="94"/>
      <c r="M24" s="94"/>
      <c r="N24" s="94"/>
    </row>
    <row r="25" spans="1:14" ht="14.25" customHeight="1">
      <c r="A25" s="98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</row>
    <row r="26" spans="1:14" ht="14.25" customHeight="1">
      <c r="A26" s="98"/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</row>
    <row r="27" spans="1:14" ht="14.25" customHeight="1">
      <c r="A27" s="98"/>
      <c r="B27" s="94"/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</row>
    <row r="28" spans="1:14" ht="14.25" customHeight="1">
      <c r="A28" s="98"/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</row>
    <row r="29" spans="1:14" ht="14.25" customHeight="1">
      <c r="A29" s="98"/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</row>
    <row r="30" spans="1:14" ht="14.25" customHeight="1">
      <c r="A30" s="98"/>
      <c r="B30" s="94"/>
      <c r="C30" s="94"/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</row>
    <row r="31" spans="1:14" ht="14.25" customHeight="1">
      <c r="A31" s="98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</row>
    <row r="32" spans="1:14" ht="14.25" customHeight="1">
      <c r="A32" s="98"/>
      <c r="B32" s="94"/>
      <c r="C32" s="94"/>
      <c r="D32" s="94"/>
      <c r="E32" s="94"/>
      <c r="F32" s="94"/>
      <c r="G32" s="94"/>
      <c r="H32" s="94"/>
      <c r="I32" s="94"/>
      <c r="J32" s="94"/>
      <c r="K32" s="94"/>
      <c r="L32" s="94"/>
      <c r="M32" s="94"/>
      <c r="N32" s="94"/>
    </row>
    <row r="33" spans="1:14" ht="14.25" customHeight="1">
      <c r="A33" s="98"/>
      <c r="B33" s="94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</row>
    <row r="34" spans="1:14" ht="14.25" customHeight="1">
      <c r="A34" s="98"/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</row>
    <row r="35" spans="1:14" ht="14.25" customHeight="1">
      <c r="A35" s="98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</row>
    <row r="36" spans="1:14" ht="14.25" customHeight="1">
      <c r="A36" s="98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</row>
    <row r="37" spans="1:14" ht="14.25" customHeight="1">
      <c r="A37" s="98"/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</row>
    <row r="38" spans="1:14" ht="14.25" customHeight="1">
      <c r="A38" s="98"/>
      <c r="B38" s="94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</row>
    <row r="39" spans="1:14" ht="14.25" customHeight="1">
      <c r="A39" s="98"/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94"/>
      <c r="N39" s="94"/>
    </row>
    <row r="40" spans="1:14" ht="14.25" customHeight="1">
      <c r="A40" s="98"/>
      <c r="B40" s="94"/>
      <c r="C40" s="94"/>
      <c r="D40" s="94"/>
      <c r="E40" s="94"/>
      <c r="F40" s="94"/>
      <c r="G40" s="94"/>
      <c r="H40" s="94"/>
      <c r="I40" s="94"/>
      <c r="J40" s="94"/>
      <c r="K40" s="94"/>
      <c r="L40" s="94"/>
      <c r="M40" s="94"/>
      <c r="N40" s="94"/>
    </row>
    <row r="41" spans="1:14" ht="14.25" customHeight="1">
      <c r="A41" s="98"/>
      <c r="B41" s="94"/>
      <c r="C41" s="94"/>
      <c r="D41" s="94"/>
      <c r="E41" s="94"/>
      <c r="F41" s="94"/>
      <c r="G41" s="94"/>
      <c r="H41" s="94"/>
      <c r="I41" s="94"/>
      <c r="J41" s="94"/>
      <c r="K41" s="94"/>
      <c r="L41" s="94"/>
      <c r="M41" s="94"/>
      <c r="N41" s="94"/>
    </row>
    <row r="42" spans="1:14" ht="14.25" customHeight="1">
      <c r="A42" s="98"/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</row>
    <row r="43" spans="1:14" ht="14.25" customHeight="1">
      <c r="A43" s="98"/>
      <c r="B43" s="94"/>
      <c r="C43" s="94"/>
      <c r="D43" s="94"/>
      <c r="E43" s="94"/>
      <c r="F43" s="94"/>
      <c r="G43" s="94"/>
      <c r="H43" s="94"/>
      <c r="I43" s="94"/>
      <c r="J43" s="94"/>
      <c r="K43" s="94"/>
      <c r="L43" s="94"/>
      <c r="M43" s="94"/>
      <c r="N43" s="94"/>
    </row>
    <row r="44" spans="1:14" ht="14.25" customHeight="1">
      <c r="A44" s="98"/>
      <c r="B44" s="94"/>
      <c r="C44" s="94"/>
      <c r="D44" s="94"/>
      <c r="E44" s="94"/>
      <c r="F44" s="94"/>
      <c r="G44" s="94"/>
      <c r="H44" s="94"/>
      <c r="I44" s="94"/>
      <c r="J44" s="94"/>
      <c r="K44" s="94"/>
      <c r="L44" s="94"/>
      <c r="M44" s="94"/>
      <c r="N44" s="94"/>
    </row>
    <row r="45" spans="1:14" ht="14.25" customHeight="1">
      <c r="A45" s="98"/>
      <c r="B45" s="94"/>
      <c r="C45" s="94"/>
      <c r="D45" s="94"/>
      <c r="E45" s="94"/>
      <c r="F45" s="94"/>
      <c r="G45" s="94"/>
      <c r="H45" s="94"/>
      <c r="I45" s="94"/>
      <c r="J45" s="94"/>
      <c r="K45" s="94"/>
      <c r="L45" s="94"/>
      <c r="M45" s="94"/>
      <c r="N45" s="94"/>
    </row>
    <row r="46" spans="1:14" ht="14.25" customHeight="1">
      <c r="A46" s="98"/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94"/>
    </row>
    <row r="47" spans="1:14" ht="14.25" customHeight="1">
      <c r="A47" s="98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</row>
    <row r="48" spans="1:14" ht="14.25" customHeight="1">
      <c r="A48" s="98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</row>
    <row r="49" spans="1:14" ht="14.25" customHeight="1">
      <c r="A49" s="98"/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</row>
    <row r="50" spans="1:14" ht="14.25" customHeight="1">
      <c r="A50" s="98"/>
      <c r="B50" s="94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</row>
    <row r="51" spans="1:14" ht="14.25" customHeight="1">
      <c r="A51" s="98"/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</row>
    <row r="52" spans="1:14" ht="14.25" customHeight="1">
      <c r="A52" s="98"/>
      <c r="B52" s="94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</row>
    <row r="53" spans="1:14" ht="14.25" customHeight="1">
      <c r="A53" s="98"/>
      <c r="B53" s="94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</row>
    <row r="54" spans="1:14" ht="14.25" customHeight="1">
      <c r="A54" s="98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</row>
    <row r="55" spans="1:14" ht="14.25" customHeight="1">
      <c r="A55" s="98"/>
      <c r="B55" s="94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</row>
    <row r="56" spans="1:14" ht="14.25" customHeight="1">
      <c r="A56" s="98"/>
      <c r="B56" s="94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</row>
    <row r="57" spans="1:14" ht="14.25" customHeight="1">
      <c r="A57" s="98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</row>
    <row r="58" spans="1:14" ht="14.25" customHeight="1">
      <c r="A58" s="98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</row>
    <row r="59" spans="1:14" ht="14.25" customHeight="1">
      <c r="A59" s="98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</row>
    <row r="60" spans="1:14" ht="14.25" customHeight="1">
      <c r="A60" s="98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</row>
    <row r="61" spans="1:14" ht="14.25" customHeight="1">
      <c r="A61" s="98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</row>
    <row r="62" spans="1:14" ht="14.25" customHeight="1">
      <c r="A62" s="98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</row>
    <row r="63" spans="1:14" ht="14.25" customHeight="1">
      <c r="A63" s="98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</row>
    <row r="64" spans="1:14" ht="14.25" customHeight="1">
      <c r="A64" s="98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</row>
    <row r="65" spans="1:14" ht="14.25" customHeight="1">
      <c r="A65" s="98"/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</row>
    <row r="66" spans="1:14" ht="14.25" customHeight="1">
      <c r="A66" s="98"/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</row>
    <row r="67" spans="1:14" ht="14.25" customHeight="1">
      <c r="A67" s="98"/>
      <c r="B67" s="94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</row>
    <row r="68" spans="1:14" ht="14.25" customHeight="1">
      <c r="A68" s="98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</row>
    <row r="69" spans="1:14" ht="14.25" customHeight="1">
      <c r="A69" s="98"/>
      <c r="B69" s="94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</row>
    <row r="70" spans="1:14" ht="14.25" customHeight="1">
      <c r="A70" s="98"/>
      <c r="B70" s="94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</row>
    <row r="71" spans="1:14" ht="14.25" customHeight="1">
      <c r="A71" s="98"/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</row>
    <row r="72" spans="1:14" ht="14.25" customHeight="1">
      <c r="A72" s="98"/>
      <c r="B72" s="94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</row>
    <row r="73" spans="1:14" ht="14.25" customHeight="1">
      <c r="A73" s="98"/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</row>
    <row r="74" spans="1:14" ht="14.25" customHeight="1">
      <c r="A74" s="98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</row>
    <row r="75" spans="1:14" ht="14.25" customHeight="1">
      <c r="A75" s="98"/>
      <c r="B75" s="94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</row>
    <row r="76" spans="1:14" ht="14.25" customHeight="1">
      <c r="A76" s="98"/>
      <c r="B76" s="94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</row>
    <row r="77" spans="1:14" ht="14.25" customHeight="1">
      <c r="A77" s="98"/>
      <c r="B77" s="94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</row>
    <row r="78" spans="1:14" ht="14.25" customHeight="1">
      <c r="A78" s="98"/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</row>
    <row r="79" spans="1:14" ht="14.25" customHeight="1">
      <c r="A79" s="98"/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</row>
    <row r="80" spans="1:14" ht="14.25" customHeight="1">
      <c r="A80" s="98"/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</row>
    <row r="81" spans="1:14" ht="14.25" customHeight="1">
      <c r="A81" s="98"/>
      <c r="B81" s="94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</row>
    <row r="82" spans="1:14" ht="14.25" customHeight="1">
      <c r="A82" s="98"/>
      <c r="B82" s="94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</row>
    <row r="83" spans="1:14" ht="14.25" customHeight="1">
      <c r="A83" s="98"/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94"/>
      <c r="N83" s="94"/>
    </row>
    <row r="84" spans="1:14" ht="14.25" customHeight="1">
      <c r="A84" s="98"/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ht="14.25" customHeight="1">
      <c r="A85" s="98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</row>
    <row r="86" spans="1:14" ht="14.25" customHeight="1">
      <c r="A86" s="98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  <c r="M86" s="94"/>
      <c r="N86" s="94"/>
    </row>
    <row r="87" spans="1:14" ht="14.25" customHeight="1">
      <c r="A87" s="98"/>
      <c r="B87" s="94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</row>
    <row r="88" spans="1:14" ht="14.25" customHeight="1">
      <c r="A88" s="98"/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</row>
    <row r="89" spans="1:14" ht="14.25" customHeight="1">
      <c r="A89" s="98"/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94"/>
      <c r="M89" s="94"/>
      <c r="N89" s="94"/>
    </row>
    <row r="90" spans="1:14" ht="14.25" customHeight="1">
      <c r="A90" s="98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</row>
    <row r="91" spans="1:14" ht="14.25" customHeight="1">
      <c r="A91" s="98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  <c r="M91" s="94"/>
      <c r="N91" s="94"/>
    </row>
    <row r="92" spans="1:14" ht="14.25" customHeight="1">
      <c r="A92" s="98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  <c r="M92" s="94"/>
      <c r="N92" s="94"/>
    </row>
    <row r="93" spans="1:14" ht="14.25" customHeight="1">
      <c r="A93" s="98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</row>
    <row r="94" spans="1:14" ht="14.25" customHeight="1">
      <c r="A94" s="98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</row>
    <row r="95" spans="1:14" ht="14.25" customHeight="1">
      <c r="A95" s="98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  <c r="M95" s="94"/>
      <c r="N95" s="94"/>
    </row>
    <row r="96" spans="1:14" ht="14.25" customHeight="1">
      <c r="A96" s="98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  <c r="M96" s="94"/>
      <c r="N96" s="94"/>
    </row>
    <row r="97" spans="1:14" ht="14.25" customHeight="1">
      <c r="A97" s="98"/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</row>
    <row r="98" spans="1:14" ht="14.25" customHeight="1">
      <c r="A98" s="98"/>
      <c r="B98" s="94"/>
      <c r="C98" s="94"/>
      <c r="D98" s="94"/>
      <c r="E98" s="94"/>
      <c r="F98" s="94"/>
      <c r="G98" s="94"/>
      <c r="H98" s="94"/>
      <c r="I98" s="94"/>
      <c r="J98" s="94"/>
      <c r="K98" s="94"/>
      <c r="L98" s="94"/>
      <c r="M98" s="94"/>
      <c r="N98" s="94"/>
    </row>
    <row r="99" spans="1:14" ht="14.25" customHeight="1">
      <c r="A99" s="98"/>
      <c r="B99" s="94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</row>
    <row r="100" spans="1:14" ht="14.25" customHeight="1">
      <c r="A100" s="98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</row>
    <row r="101" spans="1:14" ht="14.25" customHeight="1">
      <c r="A101" s="98"/>
      <c r="B101" s="94"/>
      <c r="C101" s="94"/>
      <c r="D101" s="94"/>
      <c r="E101" s="94"/>
      <c r="F101" s="94"/>
      <c r="G101" s="94"/>
      <c r="H101" s="94"/>
      <c r="I101" s="94"/>
      <c r="J101" s="94"/>
      <c r="K101" s="94"/>
      <c r="L101" s="94"/>
      <c r="M101" s="94"/>
      <c r="N101" s="94"/>
    </row>
    <row r="102" spans="1:14" ht="14.25" customHeight="1">
      <c r="A102" s="98"/>
      <c r="B102" s="94"/>
      <c r="C102" s="94"/>
      <c r="D102" s="94"/>
      <c r="E102" s="94"/>
      <c r="F102" s="94"/>
      <c r="G102" s="94"/>
      <c r="H102" s="94"/>
      <c r="I102" s="94"/>
      <c r="J102" s="94"/>
      <c r="K102" s="94"/>
      <c r="L102" s="94"/>
      <c r="M102" s="94"/>
      <c r="N102" s="94"/>
    </row>
    <row r="103" spans="1:14" ht="14.25" customHeight="1">
      <c r="A103" s="98"/>
      <c r="B103" s="94"/>
      <c r="C103" s="94"/>
      <c r="D103" s="94"/>
      <c r="E103" s="94"/>
      <c r="F103" s="94"/>
      <c r="G103" s="94"/>
      <c r="H103" s="94"/>
      <c r="I103" s="94"/>
      <c r="J103" s="94"/>
      <c r="K103" s="94"/>
      <c r="L103" s="94"/>
      <c r="M103" s="94"/>
      <c r="N103" s="94"/>
    </row>
    <row r="104" spans="1:14" ht="14.25" customHeight="1">
      <c r="A104" s="98"/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</row>
    <row r="105" spans="1:14" ht="14.25" customHeight="1">
      <c r="A105" s="98"/>
      <c r="B105" s="94"/>
      <c r="C105" s="94"/>
      <c r="D105" s="94"/>
      <c r="E105" s="94"/>
      <c r="F105" s="94"/>
      <c r="G105" s="94"/>
      <c r="H105" s="94"/>
      <c r="I105" s="94"/>
      <c r="J105" s="94"/>
      <c r="K105" s="94"/>
      <c r="L105" s="94"/>
      <c r="M105" s="94"/>
      <c r="N105" s="94"/>
    </row>
    <row r="106" spans="1:14" ht="14.25" customHeight="1">
      <c r="A106" s="98"/>
      <c r="B106" s="94"/>
      <c r="C106" s="94"/>
      <c r="D106" s="94"/>
      <c r="E106" s="94"/>
      <c r="F106" s="94"/>
      <c r="G106" s="94"/>
      <c r="H106" s="94"/>
      <c r="I106" s="94"/>
      <c r="J106" s="94"/>
      <c r="K106" s="94"/>
      <c r="L106" s="94"/>
      <c r="M106" s="94"/>
      <c r="N106" s="94"/>
    </row>
    <row r="107" spans="1:14" ht="14.25" customHeight="1">
      <c r="A107" s="98"/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</row>
    <row r="108" spans="1:14" ht="14.25" customHeight="1">
      <c r="A108" s="98"/>
      <c r="B108" s="94"/>
      <c r="C108" s="94"/>
      <c r="D108" s="94"/>
      <c r="E108" s="94"/>
      <c r="F108" s="94"/>
      <c r="G108" s="94"/>
      <c r="H108" s="94"/>
      <c r="I108" s="94"/>
      <c r="J108" s="94"/>
      <c r="K108" s="94"/>
      <c r="L108" s="94"/>
      <c r="M108" s="94"/>
      <c r="N108" s="94"/>
    </row>
    <row r="109" spans="1:14" ht="14.25" customHeight="1">
      <c r="A109" s="98"/>
      <c r="B109" s="94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</row>
    <row r="110" spans="1:14" ht="14.25" customHeight="1">
      <c r="A110" s="98"/>
      <c r="B110" s="94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</row>
    <row r="111" spans="1:14" ht="14.25" customHeight="1">
      <c r="A111" s="98"/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</row>
    <row r="112" spans="1:14" ht="14.25" customHeight="1">
      <c r="A112" s="98"/>
      <c r="B112" s="94"/>
      <c r="C112" s="94"/>
      <c r="D112" s="94"/>
      <c r="E112" s="94"/>
      <c r="F112" s="94"/>
      <c r="G112" s="94"/>
      <c r="H112" s="94"/>
      <c r="I112" s="94"/>
      <c r="J112" s="94"/>
      <c r="K112" s="94"/>
      <c r="L112" s="94"/>
      <c r="M112" s="94"/>
      <c r="N112" s="94"/>
    </row>
    <row r="113" spans="1:14" ht="14.25" customHeight="1">
      <c r="A113" s="98"/>
      <c r="B113" s="94"/>
      <c r="C113" s="94"/>
      <c r="D113" s="94"/>
      <c r="E113" s="94"/>
      <c r="F113" s="94"/>
      <c r="G113" s="94"/>
      <c r="H113" s="94"/>
      <c r="I113" s="94"/>
      <c r="J113" s="94"/>
      <c r="K113" s="94"/>
      <c r="L113" s="94"/>
      <c r="M113" s="94"/>
      <c r="N113" s="94"/>
    </row>
    <row r="114" spans="1:14" ht="14.25" customHeight="1">
      <c r="A114" s="98"/>
      <c r="B114" s="94"/>
      <c r="C114" s="94"/>
      <c r="D114" s="94"/>
      <c r="E114" s="94"/>
      <c r="F114" s="94"/>
      <c r="G114" s="94"/>
      <c r="H114" s="94"/>
      <c r="I114" s="94"/>
      <c r="J114" s="94"/>
      <c r="K114" s="94"/>
      <c r="L114" s="94"/>
      <c r="M114" s="94"/>
      <c r="N114" s="94"/>
    </row>
    <row r="115" spans="1:14" ht="14.25" customHeight="1">
      <c r="A115" s="98"/>
      <c r="B115" s="94"/>
      <c r="C115" s="94"/>
      <c r="D115" s="94"/>
      <c r="E115" s="94"/>
      <c r="F115" s="94"/>
      <c r="G115" s="94"/>
      <c r="H115" s="94"/>
      <c r="I115" s="94"/>
      <c r="J115" s="94"/>
      <c r="K115" s="94"/>
      <c r="L115" s="94"/>
      <c r="M115" s="94"/>
      <c r="N115" s="94"/>
    </row>
    <row r="116" spans="1:14" ht="14.25" customHeight="1">
      <c r="A116" s="98"/>
      <c r="B116" s="94"/>
      <c r="C116" s="94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</row>
    <row r="117" spans="1:14" ht="14.25" customHeight="1">
      <c r="A117" s="98"/>
      <c r="B117" s="94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</row>
    <row r="118" spans="1:14" ht="14.25" customHeight="1">
      <c r="A118" s="98"/>
      <c r="B118" s="94"/>
      <c r="C118" s="94"/>
      <c r="D118" s="94"/>
      <c r="E118" s="94"/>
      <c r="F118" s="94"/>
      <c r="G118" s="94"/>
      <c r="H118" s="94"/>
      <c r="I118" s="94"/>
      <c r="J118" s="94"/>
      <c r="K118" s="94"/>
      <c r="L118" s="94"/>
      <c r="M118" s="94"/>
      <c r="N118" s="94"/>
    </row>
    <row r="119" spans="1:14" ht="14.25" customHeight="1">
      <c r="A119" s="98"/>
      <c r="B119" s="94"/>
      <c r="C119" s="94"/>
      <c r="D119" s="94"/>
      <c r="E119" s="94"/>
      <c r="F119" s="94"/>
      <c r="G119" s="94"/>
      <c r="H119" s="94"/>
      <c r="I119" s="94"/>
      <c r="J119" s="94"/>
      <c r="K119" s="94"/>
      <c r="L119" s="94"/>
      <c r="M119" s="94"/>
      <c r="N119" s="94"/>
    </row>
    <row r="120" spans="1:14" ht="14.25" customHeight="1">
      <c r="A120" s="98"/>
      <c r="B120" s="94"/>
      <c r="C120" s="94"/>
      <c r="D120" s="94"/>
      <c r="E120" s="94"/>
      <c r="F120" s="94"/>
      <c r="G120" s="94"/>
      <c r="H120" s="94"/>
      <c r="I120" s="94"/>
      <c r="J120" s="94"/>
      <c r="K120" s="94"/>
      <c r="L120" s="94"/>
      <c r="M120" s="94"/>
      <c r="N120" s="94"/>
    </row>
    <row r="121" spans="1:14" ht="14.25" customHeight="1">
      <c r="A121" s="98"/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  <c r="M121" s="94"/>
      <c r="N121" s="94"/>
    </row>
    <row r="122" spans="1:14" ht="14.25" customHeight="1">
      <c r="A122" s="98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  <c r="M122" s="94"/>
      <c r="N122" s="94"/>
    </row>
    <row r="123" spans="1:14" ht="14.25" customHeight="1">
      <c r="A123" s="98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  <c r="M123" s="94"/>
      <c r="N123" s="94"/>
    </row>
    <row r="124" spans="1:14" ht="14.25" customHeight="1">
      <c r="A124" s="98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  <c r="M124" s="94"/>
      <c r="N124" s="94"/>
    </row>
    <row r="125" spans="1:14" ht="14.25" customHeight="1">
      <c r="A125" s="98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  <c r="M125" s="94"/>
      <c r="N125" s="94"/>
    </row>
    <row r="126" spans="1:14" ht="14.25" customHeight="1">
      <c r="A126" s="98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</row>
    <row r="127" spans="1:14" ht="14.25" customHeight="1">
      <c r="A127" s="98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  <c r="M127" s="94"/>
      <c r="N127" s="94"/>
    </row>
    <row r="128" spans="1:14" ht="14.25" customHeight="1">
      <c r="A128" s="98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</row>
    <row r="129" spans="1:14" ht="14.25" customHeight="1">
      <c r="A129" s="98"/>
      <c r="B129" s="94"/>
      <c r="C129" s="94"/>
      <c r="D129" s="94"/>
      <c r="E129" s="94"/>
      <c r="F129" s="94"/>
      <c r="G129" s="94"/>
      <c r="H129" s="94"/>
      <c r="I129" s="94"/>
      <c r="J129" s="94"/>
      <c r="K129" s="94"/>
      <c r="L129" s="94"/>
      <c r="M129" s="94"/>
      <c r="N129" s="94"/>
    </row>
    <row r="130" spans="1:14" ht="14.25" customHeight="1">
      <c r="A130" s="98"/>
      <c r="B130" s="94"/>
      <c r="C130" s="94"/>
      <c r="D130" s="94"/>
      <c r="E130" s="94"/>
      <c r="F130" s="94"/>
      <c r="G130" s="94"/>
      <c r="H130" s="94"/>
      <c r="I130" s="94"/>
      <c r="J130" s="94"/>
      <c r="K130" s="94"/>
      <c r="L130" s="94"/>
      <c r="M130" s="94"/>
      <c r="N130" s="94"/>
    </row>
    <row r="131" spans="1:14" ht="14.25" customHeight="1">
      <c r="A131" s="98"/>
      <c r="B131" s="94"/>
      <c r="C131" s="94"/>
      <c r="D131" s="94"/>
      <c r="E131" s="94"/>
      <c r="F131" s="94"/>
      <c r="G131" s="94"/>
      <c r="H131" s="94"/>
      <c r="I131" s="94"/>
      <c r="J131" s="94"/>
      <c r="K131" s="94"/>
      <c r="L131" s="94"/>
      <c r="M131" s="94"/>
      <c r="N131" s="94"/>
    </row>
    <row r="132" spans="1:14" ht="14.25" customHeight="1">
      <c r="A132" s="98"/>
      <c r="B132" s="94"/>
      <c r="C132" s="94"/>
      <c r="D132" s="94"/>
      <c r="E132" s="94"/>
      <c r="F132" s="94"/>
      <c r="G132" s="94"/>
      <c r="H132" s="94"/>
      <c r="I132" s="94"/>
      <c r="J132" s="94"/>
      <c r="K132" s="94"/>
      <c r="L132" s="94"/>
      <c r="M132" s="94"/>
      <c r="N132" s="94"/>
    </row>
    <row r="133" spans="1:14" ht="14.25" customHeight="1">
      <c r="A133" s="98"/>
      <c r="B133" s="94"/>
      <c r="C133" s="94"/>
      <c r="D133" s="94"/>
      <c r="E133" s="94"/>
      <c r="F133" s="94"/>
      <c r="G133" s="94"/>
      <c r="H133" s="94"/>
      <c r="I133" s="94"/>
      <c r="J133" s="94"/>
      <c r="K133" s="94"/>
      <c r="L133" s="94"/>
      <c r="M133" s="94"/>
      <c r="N133" s="94"/>
    </row>
    <row r="134" spans="1:14" ht="14.25" customHeight="1">
      <c r="A134" s="98"/>
      <c r="B134" s="94"/>
      <c r="C134" s="94"/>
      <c r="D134" s="94"/>
      <c r="E134" s="94"/>
      <c r="F134" s="94"/>
      <c r="G134" s="94"/>
      <c r="H134" s="94"/>
      <c r="I134" s="94"/>
      <c r="J134" s="94"/>
      <c r="K134" s="94"/>
      <c r="L134" s="94"/>
      <c r="M134" s="94"/>
      <c r="N134" s="94"/>
    </row>
    <row r="135" spans="1:14" ht="14.25" customHeight="1">
      <c r="A135" s="98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</row>
    <row r="136" spans="1:14" ht="14.25" customHeight="1">
      <c r="A136" s="98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N136" s="94"/>
    </row>
    <row r="137" spans="1:14" ht="14.25" customHeight="1">
      <c r="A137" s="98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</row>
    <row r="138" spans="1:14" ht="14.25" customHeight="1">
      <c r="A138" s="98"/>
      <c r="B138" s="94"/>
      <c r="C138" s="94"/>
      <c r="D138" s="94"/>
      <c r="E138" s="94"/>
      <c r="F138" s="94"/>
      <c r="G138" s="94"/>
      <c r="H138" s="94"/>
      <c r="I138" s="94"/>
      <c r="J138" s="94"/>
      <c r="K138" s="94"/>
      <c r="L138" s="94"/>
      <c r="M138" s="94"/>
      <c r="N138" s="94"/>
    </row>
    <row r="139" spans="1:14" ht="14.25" customHeight="1">
      <c r="A139" s="98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</row>
    <row r="140" spans="1:14" ht="14.25" customHeight="1">
      <c r="A140" s="98"/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  <c r="M140" s="94"/>
      <c r="N140" s="94"/>
    </row>
    <row r="141" spans="1:14" ht="14.25" customHeight="1">
      <c r="A141" s="98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</row>
    <row r="142" spans="1:14" ht="14.25" customHeight="1">
      <c r="A142" s="98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</row>
    <row r="143" spans="1:14" ht="14.25" customHeight="1">
      <c r="A143" s="98"/>
      <c r="B143" s="94"/>
      <c r="C143" s="94"/>
      <c r="D143" s="94"/>
      <c r="E143" s="94"/>
      <c r="F143" s="94"/>
      <c r="G143" s="94"/>
      <c r="H143" s="94"/>
      <c r="I143" s="94"/>
      <c r="J143" s="94"/>
      <c r="K143" s="94"/>
      <c r="L143" s="94"/>
      <c r="M143" s="94"/>
      <c r="N143" s="94"/>
    </row>
    <row r="144" spans="1:14" ht="14.25" customHeight="1">
      <c r="A144" s="98"/>
      <c r="B144" s="94"/>
      <c r="C144" s="94"/>
      <c r="D144" s="94"/>
      <c r="E144" s="94"/>
      <c r="F144" s="94"/>
      <c r="G144" s="94"/>
      <c r="H144" s="94"/>
      <c r="I144" s="94"/>
      <c r="J144" s="94"/>
      <c r="K144" s="94"/>
      <c r="L144" s="94"/>
      <c r="M144" s="94"/>
      <c r="N144" s="94"/>
    </row>
    <row r="145" spans="1:14" ht="14.25" customHeight="1">
      <c r="A145" s="98"/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</row>
    <row r="146" spans="1:14" ht="14.25" customHeight="1">
      <c r="A146" s="98"/>
      <c r="B146" s="94"/>
      <c r="C146" s="94"/>
      <c r="D146" s="94"/>
      <c r="E146" s="94"/>
      <c r="F146" s="94"/>
      <c r="G146" s="94"/>
      <c r="H146" s="94"/>
      <c r="I146" s="94"/>
      <c r="J146" s="94"/>
      <c r="K146" s="94"/>
      <c r="L146" s="94"/>
      <c r="M146" s="94"/>
      <c r="N146" s="94"/>
    </row>
    <row r="147" spans="1:14" ht="14.25" customHeight="1">
      <c r="A147" s="98"/>
      <c r="B147" s="94"/>
      <c r="C147" s="94"/>
      <c r="D147" s="94"/>
      <c r="E147" s="94"/>
      <c r="F147" s="94"/>
      <c r="G147" s="94"/>
      <c r="H147" s="94"/>
      <c r="I147" s="94"/>
      <c r="J147" s="94"/>
      <c r="K147" s="94"/>
      <c r="L147" s="94"/>
      <c r="M147" s="94"/>
      <c r="N147" s="94"/>
    </row>
    <row r="148" spans="1:14" ht="14.25" customHeight="1">
      <c r="A148" s="98"/>
      <c r="B148" s="94"/>
      <c r="C148" s="94"/>
      <c r="D148" s="94"/>
      <c r="E148" s="94"/>
      <c r="F148" s="94"/>
      <c r="G148" s="94"/>
      <c r="H148" s="94"/>
      <c r="I148" s="94"/>
      <c r="J148" s="94"/>
      <c r="K148" s="94"/>
      <c r="L148" s="94"/>
      <c r="M148" s="94"/>
      <c r="N148" s="94"/>
    </row>
    <row r="149" spans="1:14" ht="14.25" customHeight="1">
      <c r="A149" s="98"/>
      <c r="B149" s="94"/>
      <c r="C149" s="94"/>
      <c r="D149" s="94"/>
      <c r="E149" s="94"/>
      <c r="F149" s="94"/>
      <c r="G149" s="94"/>
      <c r="H149" s="94"/>
      <c r="I149" s="94"/>
      <c r="J149" s="94"/>
      <c r="K149" s="94"/>
      <c r="L149" s="94"/>
      <c r="M149" s="94"/>
      <c r="N149" s="94"/>
    </row>
    <row r="150" spans="1:14" ht="14.25" customHeight="1">
      <c r="A150" s="98"/>
      <c r="B150" s="94"/>
      <c r="C150" s="94"/>
      <c r="D150" s="94"/>
      <c r="E150" s="94"/>
      <c r="F150" s="94"/>
      <c r="G150" s="94"/>
      <c r="H150" s="94"/>
      <c r="I150" s="94"/>
      <c r="J150" s="94"/>
      <c r="K150" s="94"/>
      <c r="L150" s="94"/>
      <c r="M150" s="94"/>
      <c r="N150" s="94"/>
    </row>
    <row r="151" spans="1:14" ht="14.25" customHeight="1">
      <c r="A151" s="98"/>
      <c r="B151" s="94"/>
      <c r="C151" s="94"/>
      <c r="D151" s="94"/>
      <c r="E151" s="94"/>
      <c r="F151" s="94"/>
      <c r="G151" s="94"/>
      <c r="H151" s="94"/>
      <c r="I151" s="94"/>
      <c r="J151" s="94"/>
      <c r="K151" s="94"/>
      <c r="L151" s="94"/>
      <c r="M151" s="94"/>
      <c r="N151" s="94"/>
    </row>
    <row r="152" spans="1:14" ht="14.25" customHeight="1">
      <c r="A152" s="98"/>
      <c r="B152" s="94"/>
      <c r="C152" s="94"/>
      <c r="D152" s="94"/>
      <c r="E152" s="94"/>
      <c r="F152" s="94"/>
      <c r="G152" s="94"/>
      <c r="H152" s="94"/>
      <c r="I152" s="94"/>
      <c r="J152" s="94"/>
      <c r="K152" s="94"/>
      <c r="L152" s="94"/>
      <c r="M152" s="94"/>
      <c r="N152" s="94"/>
    </row>
    <row r="153" spans="1:14" ht="14.25" customHeight="1">
      <c r="A153" s="98"/>
      <c r="B153" s="94"/>
      <c r="C153" s="94"/>
      <c r="D153" s="94"/>
      <c r="E153" s="94"/>
      <c r="F153" s="94"/>
      <c r="G153" s="94"/>
      <c r="H153" s="94"/>
      <c r="I153" s="94"/>
      <c r="J153" s="94"/>
      <c r="K153" s="94"/>
      <c r="L153" s="94"/>
      <c r="M153" s="94"/>
      <c r="N153" s="94"/>
    </row>
    <row r="154" spans="1:14" ht="14.25" customHeight="1">
      <c r="A154" s="98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  <c r="M154" s="94"/>
      <c r="N154" s="94"/>
    </row>
    <row r="155" spans="1:14" ht="14.25" customHeight="1">
      <c r="A155" s="98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  <c r="M155" s="94"/>
      <c r="N155" s="94"/>
    </row>
    <row r="156" spans="1:14" ht="14.25" customHeight="1">
      <c r="A156" s="98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  <c r="M156" s="94"/>
      <c r="N156" s="94"/>
    </row>
    <row r="157" spans="1:14" ht="14.25" customHeight="1">
      <c r="A157" s="98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  <c r="M157" s="94"/>
      <c r="N157" s="94"/>
    </row>
    <row r="158" spans="1:14" ht="14.25" customHeight="1">
      <c r="A158" s="98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  <c r="M158" s="94"/>
      <c r="N158" s="94"/>
    </row>
    <row r="159" spans="1:14" ht="14.25" customHeight="1">
      <c r="A159" s="98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  <c r="M159" s="94"/>
      <c r="N159" s="94"/>
    </row>
    <row r="160" spans="1:14" ht="14.25" customHeight="1">
      <c r="A160" s="98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  <c r="M160" s="94"/>
      <c r="N160" s="94"/>
    </row>
    <row r="161" spans="1:14" ht="14.25" customHeight="1">
      <c r="A161" s="98"/>
      <c r="B161" s="94"/>
      <c r="C161" s="94"/>
      <c r="D161" s="94"/>
      <c r="E161" s="94"/>
      <c r="F161" s="94"/>
      <c r="G161" s="94"/>
      <c r="H161" s="94"/>
      <c r="I161" s="94"/>
      <c r="J161" s="94"/>
      <c r="K161" s="94"/>
      <c r="L161" s="94"/>
      <c r="M161" s="94"/>
      <c r="N161" s="94"/>
    </row>
    <row r="162" spans="1:14" ht="14.25" customHeight="1">
      <c r="A162" s="98"/>
      <c r="B162" s="94"/>
      <c r="C162" s="94"/>
      <c r="D162" s="94"/>
      <c r="E162" s="94"/>
      <c r="F162" s="94"/>
      <c r="G162" s="94"/>
      <c r="H162" s="94"/>
      <c r="I162" s="94"/>
      <c r="J162" s="94"/>
      <c r="K162" s="94"/>
      <c r="L162" s="94"/>
      <c r="M162" s="94"/>
      <c r="N162" s="94"/>
    </row>
    <row r="163" spans="1:14" ht="14.25" customHeight="1">
      <c r="A163" s="98"/>
      <c r="B163" s="94"/>
      <c r="C163" s="94"/>
      <c r="D163" s="94"/>
      <c r="E163" s="94"/>
      <c r="F163" s="94"/>
      <c r="G163" s="94"/>
      <c r="H163" s="94"/>
      <c r="I163" s="94"/>
      <c r="J163" s="94"/>
      <c r="K163" s="94"/>
      <c r="L163" s="94"/>
      <c r="M163" s="94"/>
      <c r="N163" s="94"/>
    </row>
    <row r="164" spans="1:14" ht="14.25" customHeight="1">
      <c r="A164" s="98"/>
      <c r="B164" s="94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</row>
    <row r="165" spans="1:14" ht="14.25" customHeight="1">
      <c r="A165" s="98"/>
      <c r="B165" s="94"/>
      <c r="C165" s="94"/>
      <c r="D165" s="94"/>
      <c r="E165" s="94"/>
      <c r="F165" s="94"/>
      <c r="G165" s="94"/>
      <c r="H165" s="94"/>
      <c r="I165" s="94"/>
      <c r="J165" s="94"/>
      <c r="K165" s="94"/>
      <c r="L165" s="94"/>
      <c r="M165" s="94"/>
      <c r="N165" s="94"/>
    </row>
    <row r="166" spans="1:14" ht="14.25" customHeight="1">
      <c r="A166" s="98"/>
      <c r="B166" s="94"/>
      <c r="C166" s="94"/>
      <c r="D166" s="94"/>
      <c r="E166" s="94"/>
      <c r="F166" s="94"/>
      <c r="G166" s="94"/>
      <c r="H166" s="94"/>
      <c r="I166" s="94"/>
      <c r="J166" s="94"/>
      <c r="K166" s="94"/>
      <c r="L166" s="94"/>
      <c r="M166" s="94"/>
      <c r="N166" s="94"/>
    </row>
    <row r="167" spans="1:14" ht="14.25" customHeight="1">
      <c r="A167" s="98"/>
      <c r="B167" s="94"/>
      <c r="C167" s="94"/>
      <c r="D167" s="94"/>
      <c r="E167" s="94"/>
      <c r="F167" s="94"/>
      <c r="G167" s="94"/>
      <c r="H167" s="94"/>
      <c r="I167" s="94"/>
      <c r="J167" s="94"/>
      <c r="K167" s="94"/>
      <c r="L167" s="94"/>
      <c r="M167" s="94"/>
      <c r="N167" s="94"/>
    </row>
    <row r="168" spans="1:14" ht="14.25" customHeight="1">
      <c r="A168" s="98"/>
      <c r="B168" s="94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</row>
    <row r="169" spans="1:14" ht="14.25" customHeight="1">
      <c r="A169" s="98"/>
      <c r="B169" s="94"/>
      <c r="C169" s="94"/>
      <c r="D169" s="94"/>
      <c r="E169" s="94"/>
      <c r="F169" s="94"/>
      <c r="G169" s="94"/>
      <c r="H169" s="94"/>
      <c r="I169" s="94"/>
      <c r="J169" s="94"/>
      <c r="K169" s="94"/>
      <c r="L169" s="94"/>
      <c r="M169" s="94"/>
      <c r="N169" s="94"/>
    </row>
    <row r="170" spans="1:14" ht="14.25" customHeight="1">
      <c r="A170" s="98"/>
      <c r="B170" s="94"/>
      <c r="C170" s="94"/>
      <c r="D170" s="94"/>
      <c r="E170" s="94"/>
      <c r="F170" s="94"/>
      <c r="G170" s="94"/>
      <c r="H170" s="94"/>
      <c r="I170" s="94"/>
      <c r="J170" s="94"/>
      <c r="K170" s="94"/>
      <c r="L170" s="94"/>
      <c r="M170" s="94"/>
      <c r="N170" s="94"/>
    </row>
    <row r="171" spans="1:14" ht="14.25" customHeight="1">
      <c r="A171" s="98"/>
      <c r="B171" s="94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</row>
    <row r="172" spans="1:14" ht="14.25" customHeight="1">
      <c r="A172" s="98"/>
      <c r="B172" s="94"/>
      <c r="C172" s="94"/>
      <c r="D172" s="94"/>
      <c r="E172" s="94"/>
      <c r="F172" s="94"/>
      <c r="G172" s="94"/>
      <c r="H172" s="94"/>
      <c r="I172" s="94"/>
      <c r="J172" s="94"/>
      <c r="K172" s="94"/>
      <c r="L172" s="94"/>
      <c r="M172" s="94"/>
      <c r="N172" s="94"/>
    </row>
    <row r="173" spans="1:14" ht="14.25" customHeight="1">
      <c r="A173" s="98"/>
      <c r="B173" s="94"/>
      <c r="C173" s="94"/>
      <c r="D173" s="94"/>
      <c r="E173" s="94"/>
      <c r="F173" s="94"/>
      <c r="G173" s="94"/>
      <c r="H173" s="94"/>
      <c r="I173" s="94"/>
      <c r="J173" s="94"/>
      <c r="K173" s="94"/>
      <c r="L173" s="94"/>
      <c r="M173" s="94"/>
      <c r="N173" s="94"/>
    </row>
    <row r="174" spans="1:14" ht="14.25" customHeight="1">
      <c r="A174" s="98"/>
      <c r="B174" s="94"/>
      <c r="C174" s="94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</row>
    <row r="175" spans="1:14" ht="14.25" customHeight="1">
      <c r="A175" s="98"/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</row>
    <row r="176" spans="1:14" ht="14.25" customHeight="1">
      <c r="A176" s="98"/>
      <c r="B176" s="94"/>
      <c r="C176" s="94"/>
      <c r="D176" s="94"/>
      <c r="E176" s="94"/>
      <c r="F176" s="94"/>
      <c r="G176" s="94"/>
      <c r="H176" s="94"/>
      <c r="I176" s="94"/>
      <c r="J176" s="94"/>
      <c r="K176" s="94"/>
      <c r="L176" s="94"/>
      <c r="M176" s="94"/>
      <c r="N176" s="94"/>
    </row>
    <row r="177" spans="1:14" ht="14.25" customHeight="1">
      <c r="A177" s="98"/>
      <c r="B177" s="94"/>
      <c r="C177" s="94"/>
      <c r="D177" s="94"/>
      <c r="E177" s="94"/>
      <c r="F177" s="94"/>
      <c r="G177" s="94"/>
      <c r="H177" s="94"/>
      <c r="I177" s="94"/>
      <c r="J177" s="94"/>
      <c r="K177" s="94"/>
      <c r="L177" s="94"/>
      <c r="M177" s="94"/>
      <c r="N177" s="94"/>
    </row>
    <row r="178" spans="1:14" ht="14.25" customHeight="1">
      <c r="A178" s="98"/>
      <c r="B178" s="94"/>
      <c r="C178" s="94"/>
      <c r="D178" s="94"/>
      <c r="E178" s="94"/>
      <c r="F178" s="94"/>
      <c r="G178" s="94"/>
      <c r="H178" s="94"/>
      <c r="I178" s="94"/>
      <c r="J178" s="94"/>
      <c r="K178" s="94"/>
      <c r="L178" s="94"/>
      <c r="M178" s="94"/>
      <c r="N178" s="94"/>
    </row>
    <row r="179" spans="1:14" ht="14.25" customHeight="1">
      <c r="A179" s="98"/>
      <c r="B179" s="94"/>
      <c r="C179" s="94"/>
      <c r="D179" s="94"/>
      <c r="E179" s="94"/>
      <c r="F179" s="94"/>
      <c r="G179" s="94"/>
      <c r="H179" s="94"/>
      <c r="I179" s="94"/>
      <c r="J179" s="94"/>
      <c r="K179" s="94"/>
      <c r="L179" s="94"/>
      <c r="M179" s="94"/>
      <c r="N179" s="94"/>
    </row>
    <row r="180" spans="1:14" ht="14.25" customHeight="1">
      <c r="A180" s="98"/>
      <c r="B180" s="94"/>
      <c r="C180" s="94"/>
      <c r="D180" s="94"/>
      <c r="E180" s="94"/>
      <c r="F180" s="94"/>
      <c r="G180" s="94"/>
      <c r="H180" s="94"/>
      <c r="I180" s="94"/>
      <c r="J180" s="94"/>
      <c r="K180" s="94"/>
      <c r="L180" s="94"/>
      <c r="M180" s="94"/>
      <c r="N180" s="94"/>
    </row>
    <row r="181" spans="1:14" ht="14.25" customHeight="1">
      <c r="A181" s="98"/>
      <c r="B181" s="94"/>
      <c r="C181" s="94"/>
      <c r="D181" s="94"/>
      <c r="E181" s="94"/>
      <c r="F181" s="94"/>
      <c r="G181" s="94"/>
      <c r="H181" s="94"/>
      <c r="I181" s="94"/>
      <c r="J181" s="94"/>
      <c r="K181" s="94"/>
      <c r="L181" s="94"/>
      <c r="M181" s="94"/>
      <c r="N181" s="94"/>
    </row>
    <row r="182" spans="1:14" ht="14.25" customHeight="1">
      <c r="A182" s="98"/>
      <c r="B182" s="94"/>
      <c r="C182" s="94"/>
      <c r="D182" s="94"/>
      <c r="E182" s="94"/>
      <c r="F182" s="94"/>
      <c r="G182" s="94"/>
      <c r="H182" s="94"/>
      <c r="I182" s="94"/>
      <c r="J182" s="94"/>
      <c r="K182" s="94"/>
      <c r="L182" s="94"/>
      <c r="M182" s="94"/>
      <c r="N182" s="94"/>
    </row>
    <row r="183" spans="1:14" ht="14.25" customHeight="1">
      <c r="A183" s="98"/>
      <c r="B183" s="94"/>
      <c r="C183" s="94"/>
      <c r="D183" s="94"/>
      <c r="E183" s="94"/>
      <c r="F183" s="94"/>
      <c r="G183" s="94"/>
      <c r="H183" s="94"/>
      <c r="I183" s="94"/>
      <c r="J183" s="94"/>
      <c r="K183" s="94"/>
      <c r="L183" s="94"/>
      <c r="M183" s="94"/>
      <c r="N183" s="94"/>
    </row>
    <row r="184" spans="1:14" ht="14.25" customHeight="1">
      <c r="A184" s="98"/>
      <c r="B184" s="94"/>
      <c r="C184" s="94"/>
      <c r="D184" s="94"/>
      <c r="E184" s="94"/>
      <c r="F184" s="94"/>
      <c r="G184" s="94"/>
      <c r="H184" s="94"/>
      <c r="I184" s="94"/>
      <c r="J184" s="94"/>
      <c r="K184" s="94"/>
      <c r="L184" s="94"/>
      <c r="M184" s="94"/>
      <c r="N184" s="94"/>
    </row>
    <row r="185" spans="1:14" ht="14.25" customHeight="1">
      <c r="A185" s="98"/>
      <c r="B185" s="94"/>
      <c r="C185" s="94"/>
      <c r="D185" s="94"/>
      <c r="E185" s="94"/>
      <c r="F185" s="94"/>
      <c r="G185" s="94"/>
      <c r="H185" s="94"/>
      <c r="I185" s="94"/>
      <c r="J185" s="94"/>
      <c r="K185" s="94"/>
      <c r="L185" s="94"/>
      <c r="M185" s="94"/>
      <c r="N185" s="94"/>
    </row>
    <row r="186" spans="1:14" ht="14.25" customHeight="1">
      <c r="A186" s="98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  <c r="M186" s="94"/>
      <c r="N186" s="94"/>
    </row>
    <row r="187" spans="1:14" ht="14.25" customHeight="1">
      <c r="A187" s="98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  <c r="M187" s="94"/>
      <c r="N187" s="94"/>
    </row>
    <row r="188" spans="1:14" ht="14.25" customHeight="1">
      <c r="A188" s="98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  <c r="M188" s="94"/>
      <c r="N188" s="94"/>
    </row>
    <row r="189" spans="1:14" ht="14.25" customHeight="1">
      <c r="A189" s="98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  <c r="M189" s="94"/>
      <c r="N189" s="94"/>
    </row>
    <row r="190" spans="1:14" ht="14.25" customHeight="1">
      <c r="A190" s="98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  <c r="M190" s="94"/>
      <c r="N190" s="94"/>
    </row>
    <row r="191" spans="1:14" ht="14.25" customHeight="1">
      <c r="A191" s="98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  <c r="M191" s="94"/>
      <c r="N191" s="94"/>
    </row>
    <row r="192" spans="1:14" ht="14.25" customHeight="1">
      <c r="A192" s="98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  <c r="M192" s="94"/>
      <c r="N192" s="94"/>
    </row>
    <row r="193" spans="1:14" ht="14.25" customHeight="1">
      <c r="A193" s="98"/>
      <c r="B193" s="94"/>
      <c r="C193" s="94"/>
      <c r="D193" s="94"/>
      <c r="E193" s="94"/>
      <c r="F193" s="94"/>
      <c r="G193" s="94"/>
      <c r="H193" s="94"/>
      <c r="I193" s="94"/>
      <c r="J193" s="94"/>
      <c r="K193" s="94"/>
      <c r="L193" s="94"/>
      <c r="M193" s="94"/>
      <c r="N193" s="94"/>
    </row>
    <row r="194" spans="1:14" ht="14.25" customHeight="1">
      <c r="A194" s="98"/>
      <c r="B194" s="94"/>
      <c r="C194" s="94"/>
      <c r="D194" s="94"/>
      <c r="E194" s="94"/>
      <c r="F194" s="94"/>
      <c r="G194" s="94"/>
      <c r="H194" s="94"/>
      <c r="I194" s="94"/>
      <c r="J194" s="94"/>
      <c r="K194" s="94"/>
      <c r="L194" s="94"/>
      <c r="M194" s="94"/>
      <c r="N194" s="94"/>
    </row>
    <row r="195" spans="1:14" ht="14.25" customHeight="1">
      <c r="A195" s="98"/>
      <c r="B195" s="94"/>
      <c r="C195" s="94"/>
      <c r="D195" s="94"/>
      <c r="E195" s="94"/>
      <c r="F195" s="94"/>
      <c r="G195" s="94"/>
      <c r="H195" s="94"/>
      <c r="I195" s="94"/>
      <c r="J195" s="94"/>
      <c r="K195" s="94"/>
      <c r="L195" s="94"/>
      <c r="M195" s="94"/>
      <c r="N195" s="94"/>
    </row>
    <row r="196" spans="1:14" ht="14.25" customHeight="1">
      <c r="A196" s="98"/>
      <c r="B196" s="94"/>
      <c r="C196" s="94"/>
      <c r="D196" s="94"/>
      <c r="E196" s="94"/>
      <c r="F196" s="94"/>
      <c r="G196" s="94"/>
      <c r="H196" s="94"/>
      <c r="I196" s="94"/>
      <c r="J196" s="94"/>
      <c r="K196" s="94"/>
      <c r="L196" s="94"/>
      <c r="M196" s="94"/>
      <c r="N196" s="94"/>
    </row>
    <row r="197" spans="1:14" ht="14.25" customHeight="1">
      <c r="A197" s="98"/>
      <c r="B197" s="94"/>
      <c r="C197" s="94"/>
      <c r="D197" s="94"/>
      <c r="E197" s="94"/>
      <c r="F197" s="94"/>
      <c r="G197" s="94"/>
      <c r="H197" s="94"/>
      <c r="I197" s="94"/>
      <c r="J197" s="94"/>
      <c r="K197" s="94"/>
      <c r="L197" s="94"/>
      <c r="M197" s="94"/>
      <c r="N197" s="94"/>
    </row>
    <row r="198" spans="1:14" ht="14.25" customHeight="1">
      <c r="A198" s="98"/>
      <c r="B198" s="94"/>
      <c r="C198" s="94"/>
      <c r="D198" s="94"/>
      <c r="E198" s="94"/>
      <c r="F198" s="94"/>
      <c r="G198" s="94"/>
      <c r="H198" s="94"/>
      <c r="I198" s="94"/>
      <c r="J198" s="94"/>
      <c r="K198" s="94"/>
      <c r="L198" s="94"/>
      <c r="M198" s="94"/>
      <c r="N198" s="94"/>
    </row>
    <row r="199" spans="1:14" ht="14.25" customHeight="1">
      <c r="A199" s="98"/>
      <c r="B199" s="94"/>
      <c r="C199" s="94"/>
      <c r="D199" s="94"/>
      <c r="E199" s="94"/>
      <c r="F199" s="94"/>
      <c r="G199" s="94"/>
      <c r="H199" s="94"/>
      <c r="I199" s="94"/>
      <c r="J199" s="94"/>
      <c r="K199" s="94"/>
      <c r="L199" s="94"/>
      <c r="M199" s="94"/>
      <c r="N199" s="94"/>
    </row>
    <row r="200" spans="1:14" ht="14.25" customHeight="1">
      <c r="A200" s="98"/>
      <c r="B200" s="94"/>
      <c r="C200" s="94"/>
      <c r="D200" s="94"/>
      <c r="E200" s="94"/>
      <c r="F200" s="94"/>
      <c r="G200" s="94"/>
      <c r="H200" s="94"/>
      <c r="I200" s="94"/>
      <c r="J200" s="94"/>
      <c r="K200" s="94"/>
      <c r="L200" s="94"/>
      <c r="M200" s="94"/>
      <c r="N200" s="94"/>
    </row>
    <row r="201" spans="1:14" ht="14.25" customHeight="1">
      <c r="A201" s="98"/>
      <c r="B201" s="94"/>
      <c r="C201" s="94"/>
      <c r="D201" s="94"/>
      <c r="E201" s="94"/>
      <c r="F201" s="94"/>
      <c r="G201" s="94"/>
      <c r="H201" s="94"/>
      <c r="I201" s="94"/>
      <c r="J201" s="94"/>
      <c r="K201" s="94"/>
      <c r="L201" s="94"/>
      <c r="M201" s="94"/>
      <c r="N201" s="94"/>
    </row>
    <row r="202" spans="1:14" ht="14.25" customHeight="1">
      <c r="A202" s="98"/>
      <c r="B202" s="94"/>
      <c r="C202" s="94"/>
      <c r="D202" s="94"/>
      <c r="E202" s="94"/>
      <c r="F202" s="94"/>
      <c r="G202" s="94"/>
      <c r="H202" s="94"/>
      <c r="I202" s="94"/>
      <c r="J202" s="94"/>
      <c r="K202" s="94"/>
      <c r="L202" s="94"/>
      <c r="M202" s="94"/>
      <c r="N202" s="94"/>
    </row>
    <row r="203" spans="1:14" ht="14.25" customHeight="1">
      <c r="A203" s="98"/>
      <c r="B203" s="94"/>
      <c r="C203" s="94"/>
      <c r="D203" s="94"/>
      <c r="E203" s="94"/>
      <c r="F203" s="94"/>
      <c r="G203" s="94"/>
      <c r="H203" s="94"/>
      <c r="I203" s="94"/>
      <c r="J203" s="94"/>
      <c r="K203" s="94"/>
      <c r="L203" s="94"/>
      <c r="M203" s="94"/>
      <c r="N203" s="94"/>
    </row>
    <row r="204" spans="1:14" ht="14.25" customHeight="1">
      <c r="A204" s="98"/>
      <c r="B204" s="94"/>
      <c r="C204" s="94"/>
      <c r="D204" s="94"/>
      <c r="E204" s="94"/>
      <c r="F204" s="94"/>
      <c r="G204" s="94"/>
      <c r="H204" s="94"/>
      <c r="I204" s="94"/>
      <c r="J204" s="94"/>
      <c r="K204" s="94"/>
      <c r="L204" s="94"/>
      <c r="M204" s="94"/>
      <c r="N204" s="94"/>
    </row>
    <row r="205" spans="1:14" ht="14.25" customHeight="1">
      <c r="A205" s="98"/>
      <c r="B205" s="94"/>
      <c r="C205" s="94"/>
      <c r="D205" s="94"/>
      <c r="E205" s="94"/>
      <c r="F205" s="94"/>
      <c r="G205" s="94"/>
      <c r="H205" s="94"/>
      <c r="I205" s="94"/>
      <c r="J205" s="94"/>
      <c r="K205" s="94"/>
      <c r="L205" s="94"/>
      <c r="M205" s="94"/>
      <c r="N205" s="94"/>
    </row>
    <row r="206" spans="1:14" ht="14.25" customHeight="1">
      <c r="A206" s="98"/>
      <c r="B206" s="94"/>
      <c r="C206" s="94"/>
      <c r="D206" s="94"/>
      <c r="E206" s="94"/>
      <c r="F206" s="94"/>
      <c r="G206" s="94"/>
      <c r="H206" s="94"/>
      <c r="I206" s="94"/>
      <c r="J206" s="94"/>
      <c r="K206" s="94"/>
      <c r="L206" s="94"/>
      <c r="M206" s="94"/>
      <c r="N206" s="94"/>
    </row>
    <row r="207" spans="1:14" ht="14.25" customHeight="1">
      <c r="A207" s="98"/>
      <c r="B207" s="94"/>
      <c r="C207" s="94"/>
      <c r="D207" s="94"/>
      <c r="E207" s="94"/>
      <c r="F207" s="94"/>
      <c r="G207" s="94"/>
      <c r="H207" s="94"/>
      <c r="I207" s="94"/>
      <c r="J207" s="94"/>
      <c r="K207" s="94"/>
      <c r="L207" s="94"/>
      <c r="M207" s="94"/>
      <c r="N207" s="94"/>
    </row>
    <row r="208" spans="1:14" ht="14.25" customHeight="1">
      <c r="A208" s="98"/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  <c r="M208" s="94"/>
      <c r="N208" s="94"/>
    </row>
    <row r="209" spans="1:14" ht="14.25" customHeight="1">
      <c r="A209" s="98"/>
      <c r="B209" s="94"/>
      <c r="C209" s="94"/>
      <c r="D209" s="94"/>
      <c r="E209" s="94"/>
      <c r="F209" s="94"/>
      <c r="G209" s="94"/>
      <c r="H209" s="94"/>
      <c r="I209" s="94"/>
      <c r="J209" s="94"/>
      <c r="K209" s="94"/>
      <c r="L209" s="94"/>
      <c r="M209" s="94"/>
      <c r="N209" s="94"/>
    </row>
    <row r="210" spans="1:14" ht="14.25" customHeight="1">
      <c r="A210" s="98"/>
      <c r="B210" s="94"/>
      <c r="C210" s="94"/>
      <c r="D210" s="94"/>
      <c r="E210" s="94"/>
      <c r="F210" s="94"/>
      <c r="G210" s="94"/>
      <c r="H210" s="94"/>
      <c r="I210" s="94"/>
      <c r="J210" s="94"/>
      <c r="K210" s="94"/>
      <c r="L210" s="94"/>
      <c r="M210" s="94"/>
      <c r="N210" s="94"/>
    </row>
    <row r="211" spans="1:14" ht="14.25" customHeight="1">
      <c r="A211" s="98"/>
      <c r="B211" s="94"/>
      <c r="C211" s="94"/>
      <c r="D211" s="94"/>
      <c r="E211" s="94"/>
      <c r="F211" s="94"/>
      <c r="G211" s="94"/>
      <c r="H211" s="94"/>
      <c r="I211" s="94"/>
      <c r="J211" s="94"/>
      <c r="K211" s="94"/>
      <c r="L211" s="94"/>
      <c r="M211" s="94"/>
      <c r="N211" s="94"/>
    </row>
    <row r="212" spans="1:14" ht="14.25" customHeight="1">
      <c r="A212" s="98"/>
      <c r="B212" s="94"/>
      <c r="C212" s="94"/>
      <c r="D212" s="94"/>
      <c r="E212" s="94"/>
      <c r="F212" s="94"/>
      <c r="G212" s="94"/>
      <c r="H212" s="94"/>
      <c r="I212" s="94"/>
      <c r="J212" s="94"/>
      <c r="K212" s="94"/>
      <c r="L212" s="94"/>
      <c r="M212" s="94"/>
      <c r="N212" s="94"/>
    </row>
    <row r="213" spans="1:14" ht="14.25" customHeight="1">
      <c r="A213" s="98"/>
      <c r="B213" s="94"/>
      <c r="C213" s="94"/>
      <c r="D213" s="94"/>
      <c r="E213" s="94"/>
      <c r="F213" s="94"/>
      <c r="G213" s="94"/>
      <c r="H213" s="94"/>
      <c r="I213" s="94"/>
      <c r="J213" s="94"/>
      <c r="K213" s="94"/>
      <c r="L213" s="94"/>
      <c r="M213" s="94"/>
      <c r="N213" s="94"/>
    </row>
    <row r="214" spans="1:14" ht="14.25" customHeight="1">
      <c r="A214" s="98"/>
      <c r="B214" s="94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</row>
    <row r="215" spans="1:14" ht="14.25" customHeight="1">
      <c r="A215" s="98"/>
      <c r="B215" s="94"/>
      <c r="C215" s="94"/>
      <c r="D215" s="94"/>
      <c r="E215" s="94"/>
      <c r="F215" s="94"/>
      <c r="G215" s="94"/>
      <c r="H215" s="94"/>
      <c r="I215" s="94"/>
      <c r="J215" s="94"/>
      <c r="K215" s="94"/>
      <c r="L215" s="94"/>
      <c r="M215" s="94"/>
      <c r="N215" s="94"/>
    </row>
    <row r="216" spans="1:14" ht="14.25" customHeight="1">
      <c r="A216" s="98"/>
      <c r="B216" s="94"/>
      <c r="C216" s="94"/>
      <c r="D216" s="94"/>
      <c r="E216" s="94"/>
      <c r="F216" s="94"/>
      <c r="G216" s="94"/>
      <c r="H216" s="94"/>
      <c r="I216" s="94"/>
      <c r="J216" s="94"/>
      <c r="K216" s="94"/>
      <c r="L216" s="94"/>
      <c r="M216" s="94"/>
      <c r="N216" s="94"/>
    </row>
    <row r="217" spans="1:14" ht="14.25" customHeight="1">
      <c r="A217" s="98"/>
      <c r="B217" s="94"/>
      <c r="C217" s="94"/>
      <c r="D217" s="94"/>
      <c r="E217" s="94"/>
      <c r="F217" s="94"/>
      <c r="G217" s="94"/>
      <c r="H217" s="94"/>
      <c r="I217" s="94"/>
      <c r="J217" s="94"/>
      <c r="K217" s="94"/>
      <c r="L217" s="94"/>
      <c r="M217" s="94"/>
      <c r="N217" s="94"/>
    </row>
    <row r="218" spans="1:14" ht="14.25" customHeight="1">
      <c r="A218" s="98"/>
      <c r="B218" s="94"/>
      <c r="C218" s="94"/>
      <c r="D218" s="94"/>
      <c r="E218" s="94"/>
      <c r="F218" s="94"/>
      <c r="G218" s="94"/>
      <c r="H218" s="94"/>
      <c r="I218" s="94"/>
      <c r="J218" s="94"/>
      <c r="K218" s="94"/>
      <c r="L218" s="94"/>
      <c r="M218" s="94"/>
      <c r="N218" s="94"/>
    </row>
    <row r="219" spans="1:14" ht="14.25" customHeight="1">
      <c r="A219" s="98"/>
      <c r="B219" s="94"/>
      <c r="C219" s="94"/>
      <c r="D219" s="94"/>
      <c r="E219" s="94"/>
      <c r="F219" s="94"/>
      <c r="G219" s="94"/>
      <c r="H219" s="94"/>
      <c r="I219" s="94"/>
      <c r="J219" s="94"/>
      <c r="K219" s="94"/>
      <c r="L219" s="94"/>
      <c r="M219" s="94"/>
      <c r="N219" s="94"/>
    </row>
    <row r="220" spans="1:14" ht="14.25" customHeight="1">
      <c r="A220" s="98"/>
      <c r="B220" s="94"/>
      <c r="C220" s="94"/>
      <c r="D220" s="94"/>
      <c r="E220" s="94"/>
      <c r="F220" s="94"/>
      <c r="G220" s="94"/>
      <c r="H220" s="94"/>
      <c r="I220" s="94"/>
      <c r="J220" s="94"/>
      <c r="K220" s="94"/>
      <c r="L220" s="94"/>
      <c r="M220" s="94"/>
      <c r="N220" s="94"/>
    </row>
    <row r="221" spans="1:14" ht="14.25" customHeight="1">
      <c r="A221" s="98"/>
      <c r="B221" s="94"/>
      <c r="C221" s="94"/>
      <c r="D221" s="94"/>
      <c r="E221" s="94"/>
      <c r="F221" s="94"/>
      <c r="G221" s="94"/>
      <c r="H221" s="94"/>
      <c r="I221" s="94"/>
      <c r="J221" s="94"/>
      <c r="K221" s="94"/>
      <c r="L221" s="94"/>
      <c r="M221" s="94"/>
      <c r="N221" s="94"/>
    </row>
    <row r="222" spans="1:14" ht="14.25" customHeight="1">
      <c r="A222" s="98"/>
      <c r="B222" s="94"/>
      <c r="C222" s="94"/>
      <c r="D222" s="94"/>
      <c r="E222" s="94"/>
      <c r="F222" s="94"/>
      <c r="G222" s="94"/>
      <c r="H222" s="94"/>
      <c r="I222" s="94"/>
      <c r="J222" s="94"/>
      <c r="K222" s="94"/>
      <c r="L222" s="94"/>
      <c r="M222" s="94"/>
      <c r="N222" s="94"/>
    </row>
    <row r="223" spans="1:14" ht="14.25" customHeight="1">
      <c r="A223" s="98"/>
      <c r="B223" s="94"/>
      <c r="C223" s="94"/>
      <c r="D223" s="94"/>
      <c r="E223" s="94"/>
      <c r="F223" s="94"/>
      <c r="G223" s="94"/>
      <c r="H223" s="94"/>
      <c r="I223" s="94"/>
      <c r="J223" s="94"/>
      <c r="K223" s="94"/>
      <c r="L223" s="94"/>
      <c r="M223" s="94"/>
      <c r="N223" s="94"/>
    </row>
    <row r="224" spans="1:14" ht="14.25" customHeight="1">
      <c r="A224" s="98"/>
      <c r="B224" s="94"/>
      <c r="C224" s="94"/>
      <c r="D224" s="94"/>
      <c r="E224" s="94"/>
      <c r="F224" s="94"/>
      <c r="G224" s="94"/>
      <c r="H224" s="94"/>
      <c r="I224" s="94"/>
      <c r="J224" s="94"/>
      <c r="K224" s="94"/>
      <c r="L224" s="94"/>
      <c r="M224" s="94"/>
      <c r="N224" s="94"/>
    </row>
    <row r="225" spans="1:14" ht="14.25" customHeight="1">
      <c r="A225" s="98"/>
      <c r="B225" s="94"/>
      <c r="C225" s="94"/>
      <c r="D225" s="94"/>
      <c r="E225" s="94"/>
      <c r="F225" s="94"/>
      <c r="G225" s="94"/>
      <c r="H225" s="94"/>
      <c r="I225" s="94"/>
      <c r="J225" s="94"/>
      <c r="K225" s="94"/>
      <c r="L225" s="94"/>
      <c r="M225" s="94"/>
      <c r="N225" s="94"/>
    </row>
    <row r="226" spans="1:14" ht="14.25" customHeight="1">
      <c r="A226" s="98"/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  <c r="M226" s="94"/>
      <c r="N226" s="94"/>
    </row>
    <row r="227" spans="1:14" ht="14.25" customHeight="1">
      <c r="A227" s="98"/>
      <c r="B227" s="94"/>
      <c r="C227" s="94"/>
      <c r="D227" s="94"/>
      <c r="E227" s="94"/>
      <c r="F227" s="94"/>
      <c r="G227" s="94"/>
      <c r="H227" s="94"/>
      <c r="I227" s="94"/>
      <c r="J227" s="94"/>
      <c r="K227" s="94"/>
      <c r="L227" s="94"/>
      <c r="M227" s="94"/>
      <c r="N227" s="94"/>
    </row>
    <row r="228" spans="1:14" ht="14.25" customHeight="1">
      <c r="A228" s="98"/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</row>
    <row r="229" spans="1:14" ht="14.25" customHeight="1">
      <c r="A229" s="98"/>
      <c r="B229" s="94"/>
      <c r="C229" s="94"/>
      <c r="D229" s="94"/>
      <c r="E229" s="94"/>
      <c r="F229" s="94"/>
      <c r="G229" s="94"/>
      <c r="H229" s="94"/>
      <c r="I229" s="94"/>
      <c r="J229" s="94"/>
      <c r="K229" s="94"/>
      <c r="L229" s="94"/>
      <c r="M229" s="94"/>
      <c r="N229" s="94"/>
    </row>
    <row r="230" spans="1:14" ht="14.25" customHeight="1">
      <c r="A230" s="98"/>
      <c r="B230" s="94"/>
      <c r="C230" s="94"/>
      <c r="D230" s="94"/>
      <c r="E230" s="94"/>
      <c r="F230" s="94"/>
      <c r="G230" s="94"/>
      <c r="H230" s="94"/>
      <c r="I230" s="94"/>
      <c r="J230" s="94"/>
      <c r="K230" s="94"/>
      <c r="L230" s="94"/>
      <c r="M230" s="94"/>
      <c r="N230" s="94"/>
    </row>
    <row r="231" spans="1:14" ht="14.25" customHeight="1">
      <c r="A231" s="98"/>
      <c r="B231" s="94"/>
      <c r="C231" s="94"/>
      <c r="D231" s="94"/>
      <c r="E231" s="94"/>
      <c r="F231" s="94"/>
      <c r="G231" s="94"/>
      <c r="H231" s="94"/>
      <c r="I231" s="94"/>
      <c r="J231" s="94"/>
      <c r="K231" s="94"/>
      <c r="L231" s="94"/>
      <c r="M231" s="94"/>
      <c r="N231" s="94"/>
    </row>
    <row r="232" spans="1:14" ht="14.25" customHeight="1">
      <c r="A232" s="98"/>
      <c r="B232" s="94"/>
      <c r="C232" s="94"/>
      <c r="D232" s="94"/>
      <c r="E232" s="94"/>
      <c r="F232" s="94"/>
      <c r="G232" s="94"/>
      <c r="H232" s="94"/>
      <c r="I232" s="94"/>
      <c r="J232" s="94"/>
      <c r="K232" s="94"/>
      <c r="L232" s="94"/>
      <c r="M232" s="94"/>
      <c r="N232" s="94"/>
    </row>
    <row r="233" spans="1:14" ht="14.25" customHeight="1">
      <c r="A233" s="98"/>
      <c r="B233" s="94"/>
      <c r="C233" s="94"/>
      <c r="D233" s="94"/>
      <c r="E233" s="94"/>
      <c r="F233" s="94"/>
      <c r="G233" s="94"/>
      <c r="H233" s="94"/>
      <c r="I233" s="94"/>
      <c r="J233" s="94"/>
      <c r="K233" s="94"/>
      <c r="L233" s="94"/>
      <c r="M233" s="94"/>
      <c r="N233" s="94"/>
    </row>
    <row r="234" spans="1:14" ht="14.25" customHeight="1">
      <c r="A234" s="98"/>
      <c r="B234" s="94"/>
      <c r="C234" s="94"/>
      <c r="D234" s="94"/>
      <c r="E234" s="94"/>
      <c r="F234" s="94"/>
      <c r="G234" s="94"/>
      <c r="H234" s="94"/>
      <c r="I234" s="94"/>
      <c r="J234" s="94"/>
      <c r="K234" s="94"/>
      <c r="L234" s="94"/>
      <c r="M234" s="94"/>
      <c r="N234" s="94"/>
    </row>
    <row r="235" spans="1:14" ht="14.25" customHeight="1">
      <c r="A235" s="98"/>
      <c r="B235" s="94"/>
      <c r="C235" s="94"/>
      <c r="D235" s="94"/>
      <c r="E235" s="94"/>
      <c r="F235" s="94"/>
      <c r="G235" s="94"/>
      <c r="H235" s="94"/>
      <c r="I235" s="94"/>
      <c r="J235" s="94"/>
      <c r="K235" s="94"/>
      <c r="L235" s="94"/>
      <c r="M235" s="94"/>
      <c r="N235" s="94"/>
    </row>
    <row r="236" spans="1:14" ht="14.25" customHeight="1">
      <c r="A236" s="98"/>
      <c r="B236" s="94"/>
      <c r="C236" s="94"/>
      <c r="D236" s="94"/>
      <c r="E236" s="94"/>
      <c r="F236" s="94"/>
      <c r="G236" s="94"/>
      <c r="H236" s="94"/>
      <c r="I236" s="94"/>
      <c r="J236" s="94"/>
      <c r="K236" s="94"/>
      <c r="L236" s="94"/>
      <c r="M236" s="94"/>
      <c r="N236" s="94"/>
    </row>
    <row r="237" spans="1:14" ht="14.25" customHeight="1">
      <c r="A237" s="98"/>
      <c r="B237" s="94"/>
      <c r="C237" s="94"/>
      <c r="D237" s="94"/>
      <c r="E237" s="94"/>
      <c r="F237" s="94"/>
      <c r="G237" s="94"/>
      <c r="H237" s="94"/>
      <c r="I237" s="94"/>
      <c r="J237" s="94"/>
      <c r="K237" s="94"/>
      <c r="L237" s="94"/>
      <c r="M237" s="94"/>
      <c r="N237" s="94"/>
    </row>
    <row r="238" spans="1:14" ht="14.25" customHeight="1">
      <c r="A238" s="98"/>
      <c r="B238" s="94"/>
      <c r="C238" s="94"/>
      <c r="D238" s="94"/>
      <c r="E238" s="94"/>
      <c r="F238" s="94"/>
      <c r="G238" s="94"/>
      <c r="H238" s="94"/>
      <c r="I238" s="94"/>
      <c r="J238" s="94"/>
      <c r="K238" s="94"/>
      <c r="L238" s="94"/>
      <c r="M238" s="94"/>
      <c r="N238" s="94"/>
    </row>
    <row r="239" spans="1:14" ht="14.25" customHeight="1">
      <c r="A239" s="98"/>
      <c r="B239" s="94"/>
      <c r="C239" s="94"/>
      <c r="D239" s="94"/>
      <c r="E239" s="94"/>
      <c r="F239" s="94"/>
      <c r="G239" s="94"/>
      <c r="H239" s="94"/>
      <c r="I239" s="94"/>
      <c r="J239" s="94"/>
      <c r="K239" s="94"/>
      <c r="L239" s="94"/>
      <c r="M239" s="94"/>
      <c r="N239" s="94"/>
    </row>
    <row r="240" spans="1:14" ht="14.25" customHeight="1">
      <c r="A240" s="98"/>
      <c r="B240" s="94"/>
      <c r="C240" s="94"/>
      <c r="D240" s="94"/>
      <c r="E240" s="94"/>
      <c r="F240" s="94"/>
      <c r="G240" s="94"/>
      <c r="H240" s="94"/>
      <c r="I240" s="94"/>
      <c r="J240" s="94"/>
      <c r="K240" s="94"/>
      <c r="L240" s="94"/>
      <c r="M240" s="94"/>
      <c r="N240" s="94"/>
    </row>
    <row r="241" spans="1:14" ht="14.25" customHeight="1">
      <c r="A241" s="98"/>
      <c r="B241" s="94"/>
      <c r="C241" s="94"/>
      <c r="D241" s="94"/>
      <c r="E241" s="94"/>
      <c r="F241" s="94"/>
      <c r="G241" s="94"/>
      <c r="H241" s="94"/>
      <c r="I241" s="94"/>
      <c r="J241" s="94"/>
      <c r="K241" s="94"/>
      <c r="L241" s="94"/>
      <c r="M241" s="94"/>
      <c r="N241" s="94"/>
    </row>
    <row r="242" spans="1:14" ht="14.25" customHeight="1">
      <c r="A242" s="98"/>
      <c r="B242" s="94"/>
      <c r="C242" s="94"/>
      <c r="D242" s="94"/>
      <c r="E242" s="94"/>
      <c r="F242" s="94"/>
      <c r="G242" s="94"/>
      <c r="H242" s="94"/>
      <c r="I242" s="94"/>
      <c r="J242" s="94"/>
      <c r="K242" s="94"/>
      <c r="L242" s="94"/>
      <c r="M242" s="94"/>
      <c r="N242" s="94"/>
    </row>
    <row r="243" spans="1:14" ht="14.25" customHeight="1">
      <c r="A243" s="98"/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  <c r="M243" s="94"/>
      <c r="N243" s="94"/>
    </row>
    <row r="244" spans="1:14" ht="14.25" customHeight="1">
      <c r="A244" s="98"/>
      <c r="B244" s="94"/>
      <c r="C244" s="94"/>
      <c r="D244" s="94"/>
      <c r="E244" s="94"/>
      <c r="F244" s="94"/>
      <c r="G244" s="94"/>
      <c r="H244" s="94"/>
      <c r="I244" s="94"/>
      <c r="J244" s="94"/>
      <c r="K244" s="94"/>
      <c r="L244" s="94"/>
      <c r="M244" s="94"/>
      <c r="N244" s="94"/>
    </row>
    <row r="245" spans="1:14" ht="14.25" customHeight="1">
      <c r="A245" s="98"/>
      <c r="B245" s="94"/>
      <c r="C245" s="94"/>
      <c r="D245" s="94"/>
      <c r="E245" s="94"/>
      <c r="F245" s="94"/>
      <c r="G245" s="94"/>
      <c r="H245" s="94"/>
      <c r="I245" s="94"/>
      <c r="J245" s="94"/>
      <c r="K245" s="94"/>
      <c r="L245" s="94"/>
      <c r="M245" s="94"/>
      <c r="N245" s="94"/>
    </row>
    <row r="246" spans="1:14" ht="14.25" customHeight="1">
      <c r="A246" s="98"/>
      <c r="B246" s="94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</row>
    <row r="247" spans="1:14" ht="14.25" customHeight="1">
      <c r="A247" s="98"/>
      <c r="B247" s="94"/>
      <c r="C247" s="94"/>
      <c r="D247" s="94"/>
      <c r="E247" s="94"/>
      <c r="F247" s="94"/>
      <c r="G247" s="94"/>
      <c r="H247" s="94"/>
      <c r="I247" s="94"/>
      <c r="J247" s="94"/>
      <c r="K247" s="94"/>
      <c r="L247" s="94"/>
      <c r="M247" s="94"/>
      <c r="N247" s="94"/>
    </row>
    <row r="248" spans="1:14" ht="14.25" customHeight="1">
      <c r="A248" s="98"/>
      <c r="B248" s="94"/>
      <c r="C248" s="94"/>
      <c r="D248" s="94"/>
      <c r="E248" s="94"/>
      <c r="F248" s="94"/>
      <c r="G248" s="94"/>
      <c r="H248" s="94"/>
      <c r="I248" s="94"/>
      <c r="J248" s="94"/>
      <c r="K248" s="94"/>
      <c r="L248" s="94"/>
      <c r="M248" s="94"/>
      <c r="N248" s="94"/>
    </row>
    <row r="249" spans="1:14" ht="14.25" customHeight="1">
      <c r="A249" s="98"/>
      <c r="B249" s="94"/>
      <c r="C249" s="94"/>
      <c r="D249" s="94"/>
      <c r="E249" s="94"/>
      <c r="F249" s="94"/>
      <c r="G249" s="94"/>
      <c r="H249" s="94"/>
      <c r="I249" s="94"/>
      <c r="J249" s="94"/>
      <c r="K249" s="94"/>
      <c r="L249" s="94"/>
      <c r="M249" s="94"/>
      <c r="N249" s="94"/>
    </row>
    <row r="250" spans="1:14" ht="14.25" customHeight="1">
      <c r="A250" s="98"/>
      <c r="B250" s="94"/>
      <c r="C250" s="94"/>
      <c r="D250" s="94"/>
      <c r="E250" s="94"/>
      <c r="F250" s="94"/>
      <c r="G250" s="94"/>
      <c r="H250" s="94"/>
      <c r="I250" s="94"/>
      <c r="J250" s="94"/>
      <c r="K250" s="94"/>
      <c r="L250" s="94"/>
      <c r="M250" s="94"/>
      <c r="N250" s="94"/>
    </row>
    <row r="251" spans="1:14" ht="14.25" customHeight="1">
      <c r="A251" s="98"/>
      <c r="B251" s="94"/>
      <c r="C251" s="94"/>
      <c r="D251" s="94"/>
      <c r="E251" s="94"/>
      <c r="F251" s="94"/>
      <c r="G251" s="94"/>
      <c r="H251" s="94"/>
      <c r="I251" s="94"/>
      <c r="J251" s="94"/>
      <c r="K251" s="94"/>
      <c r="L251" s="94"/>
      <c r="M251" s="94"/>
      <c r="N251" s="94"/>
    </row>
    <row r="252" spans="1:14" ht="14.25" customHeight="1">
      <c r="A252" s="98"/>
      <c r="B252" s="94"/>
      <c r="C252" s="94"/>
      <c r="D252" s="94"/>
      <c r="E252" s="94"/>
      <c r="F252" s="94"/>
      <c r="G252" s="94"/>
      <c r="H252" s="94"/>
      <c r="I252" s="94"/>
      <c r="J252" s="94"/>
      <c r="K252" s="94"/>
      <c r="L252" s="94"/>
      <c r="M252" s="94"/>
      <c r="N252" s="94"/>
    </row>
    <row r="253" spans="1:14" ht="14.25" customHeight="1">
      <c r="A253" s="98"/>
      <c r="B253" s="94"/>
      <c r="C253" s="94"/>
      <c r="D253" s="94"/>
      <c r="E253" s="94"/>
      <c r="F253" s="94"/>
      <c r="G253" s="94"/>
      <c r="H253" s="94"/>
      <c r="I253" s="94"/>
      <c r="J253" s="94"/>
      <c r="K253" s="94"/>
      <c r="L253" s="94"/>
      <c r="M253" s="94"/>
      <c r="N253" s="94"/>
    </row>
    <row r="254" spans="1:14" ht="14.25" customHeight="1">
      <c r="A254" s="98"/>
      <c r="B254" s="94"/>
      <c r="C254" s="94"/>
      <c r="D254" s="94"/>
      <c r="E254" s="94"/>
      <c r="F254" s="94"/>
      <c r="G254" s="94"/>
      <c r="H254" s="94"/>
      <c r="I254" s="94"/>
      <c r="J254" s="94"/>
      <c r="K254" s="94"/>
      <c r="L254" s="94"/>
      <c r="M254" s="94"/>
      <c r="N254" s="94"/>
    </row>
    <row r="255" spans="1:14" ht="14.25" customHeight="1">
      <c r="A255" s="98"/>
      <c r="B255" s="94"/>
      <c r="C255" s="94"/>
      <c r="D255" s="94"/>
      <c r="E255" s="94"/>
      <c r="F255" s="94"/>
      <c r="G255" s="94"/>
      <c r="H255" s="94"/>
      <c r="I255" s="94"/>
      <c r="J255" s="94"/>
      <c r="K255" s="94"/>
      <c r="L255" s="94"/>
      <c r="M255" s="94"/>
      <c r="N255" s="94"/>
    </row>
    <row r="256" spans="1:14" ht="14.25" customHeight="1">
      <c r="A256" s="98"/>
      <c r="B256" s="94"/>
      <c r="C256" s="94"/>
      <c r="D256" s="94"/>
      <c r="E256" s="94"/>
      <c r="F256" s="94"/>
      <c r="G256" s="94"/>
      <c r="H256" s="94"/>
      <c r="I256" s="94"/>
      <c r="J256" s="94"/>
      <c r="K256" s="94"/>
      <c r="L256" s="94"/>
      <c r="M256" s="94"/>
      <c r="N256" s="94"/>
    </row>
    <row r="257" spans="1:14" ht="14.25" customHeight="1">
      <c r="A257" s="98"/>
      <c r="B257" s="94"/>
      <c r="C257" s="94"/>
      <c r="D257" s="94"/>
      <c r="E257" s="94"/>
      <c r="F257" s="94"/>
      <c r="G257" s="94"/>
      <c r="H257" s="94"/>
      <c r="I257" s="94"/>
      <c r="J257" s="94"/>
      <c r="K257" s="94"/>
      <c r="L257" s="94"/>
      <c r="M257" s="94"/>
      <c r="N257" s="94"/>
    </row>
    <row r="258" spans="1:14" ht="14.25" customHeight="1">
      <c r="A258" s="98"/>
      <c r="B258" s="94"/>
      <c r="C258" s="94"/>
      <c r="D258" s="94"/>
      <c r="E258" s="94"/>
      <c r="F258" s="94"/>
      <c r="G258" s="94"/>
      <c r="H258" s="94"/>
      <c r="I258" s="94"/>
      <c r="J258" s="94"/>
      <c r="K258" s="94"/>
      <c r="L258" s="94"/>
      <c r="M258" s="94"/>
      <c r="N258" s="94"/>
    </row>
    <row r="259" spans="1:14" ht="14.25" customHeight="1">
      <c r="A259" s="98"/>
      <c r="B259" s="94"/>
      <c r="C259" s="94"/>
      <c r="D259" s="94"/>
      <c r="E259" s="94"/>
      <c r="F259" s="94"/>
      <c r="G259" s="94"/>
      <c r="H259" s="94"/>
      <c r="I259" s="94"/>
      <c r="J259" s="94"/>
      <c r="K259" s="94"/>
      <c r="L259" s="94"/>
      <c r="M259" s="94"/>
      <c r="N259" s="94"/>
    </row>
    <row r="260" spans="1:14" ht="14.25" customHeight="1">
      <c r="A260" s="98"/>
      <c r="B260" s="94"/>
      <c r="C260" s="94"/>
      <c r="D260" s="94"/>
      <c r="E260" s="94"/>
      <c r="F260" s="94"/>
      <c r="G260" s="94"/>
      <c r="H260" s="94"/>
      <c r="I260" s="94"/>
      <c r="J260" s="94"/>
      <c r="K260" s="94"/>
      <c r="L260" s="94"/>
      <c r="M260" s="94"/>
      <c r="N260" s="94"/>
    </row>
    <row r="261" spans="1:14" ht="14.25" customHeight="1">
      <c r="A261" s="98"/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  <c r="M261" s="94"/>
      <c r="N261" s="94"/>
    </row>
    <row r="262" spans="1:14" ht="14.25" customHeight="1">
      <c r="A262" s="98"/>
      <c r="B262" s="94"/>
      <c r="C262" s="94"/>
      <c r="D262" s="94"/>
      <c r="E262" s="94"/>
      <c r="F262" s="94"/>
      <c r="G262" s="94"/>
      <c r="H262" s="94"/>
      <c r="I262" s="94"/>
      <c r="J262" s="94"/>
      <c r="K262" s="94"/>
      <c r="L262" s="94"/>
      <c r="M262" s="94"/>
      <c r="N262" s="94"/>
    </row>
    <row r="263" spans="1:14" ht="14.25" customHeight="1">
      <c r="A263" s="98"/>
      <c r="B263" s="94"/>
      <c r="C263" s="94"/>
      <c r="D263" s="94"/>
      <c r="E263" s="94"/>
      <c r="F263" s="94"/>
      <c r="G263" s="94"/>
      <c r="H263" s="94"/>
      <c r="I263" s="94"/>
      <c r="J263" s="94"/>
      <c r="K263" s="94"/>
      <c r="L263" s="94"/>
      <c r="M263" s="94"/>
      <c r="N263" s="94"/>
    </row>
    <row r="264" spans="1:14" ht="14.25" customHeight="1">
      <c r="A264" s="98"/>
      <c r="B264" s="94"/>
      <c r="C264" s="94"/>
      <c r="D264" s="94"/>
      <c r="E264" s="94"/>
      <c r="F264" s="94"/>
      <c r="G264" s="94"/>
      <c r="H264" s="94"/>
      <c r="I264" s="94"/>
      <c r="J264" s="94"/>
      <c r="K264" s="94"/>
      <c r="L264" s="94"/>
      <c r="M264" s="94"/>
      <c r="N264" s="94"/>
    </row>
    <row r="265" spans="1:14" ht="14.25" customHeight="1">
      <c r="A265" s="98"/>
      <c r="B265" s="94"/>
      <c r="C265" s="94"/>
      <c r="D265" s="94"/>
      <c r="E265" s="94"/>
      <c r="F265" s="94"/>
      <c r="G265" s="94"/>
      <c r="H265" s="94"/>
      <c r="I265" s="94"/>
      <c r="J265" s="94"/>
      <c r="K265" s="94"/>
      <c r="L265" s="94"/>
      <c r="M265" s="94"/>
      <c r="N265" s="94"/>
    </row>
    <row r="266" spans="1:14" ht="14.25" customHeight="1">
      <c r="A266" s="98"/>
      <c r="B266" s="94"/>
      <c r="C266" s="94"/>
      <c r="D266" s="94"/>
      <c r="E266" s="94"/>
      <c r="F266" s="94"/>
      <c r="G266" s="94"/>
      <c r="H266" s="94"/>
      <c r="I266" s="94"/>
      <c r="J266" s="94"/>
      <c r="K266" s="94"/>
      <c r="L266" s="94"/>
      <c r="M266" s="94"/>
      <c r="N266" s="94"/>
    </row>
    <row r="267" spans="1:14" ht="14.25" customHeight="1">
      <c r="A267" s="98"/>
      <c r="B267" s="94"/>
      <c r="C267" s="94"/>
      <c r="D267" s="94"/>
      <c r="E267" s="94"/>
      <c r="F267" s="94"/>
      <c r="G267" s="94"/>
      <c r="H267" s="94"/>
      <c r="I267" s="94"/>
      <c r="J267" s="94"/>
      <c r="K267" s="94"/>
      <c r="L267" s="94"/>
      <c r="M267" s="94"/>
      <c r="N267" s="94"/>
    </row>
    <row r="268" spans="1:14" ht="14.25" customHeight="1">
      <c r="A268" s="98"/>
      <c r="B268" s="94"/>
      <c r="C268" s="94"/>
      <c r="D268" s="94"/>
      <c r="E268" s="94"/>
      <c r="F268" s="94"/>
      <c r="G268" s="94"/>
      <c r="H268" s="94"/>
      <c r="I268" s="94"/>
      <c r="J268" s="94"/>
      <c r="K268" s="94"/>
      <c r="L268" s="94"/>
      <c r="M268" s="94"/>
      <c r="N268" s="94"/>
    </row>
    <row r="269" spans="1:14" ht="14.25" customHeight="1">
      <c r="A269" s="98"/>
      <c r="B269" s="94"/>
      <c r="C269" s="94"/>
      <c r="D269" s="94"/>
      <c r="E269" s="94"/>
      <c r="F269" s="94"/>
      <c r="G269" s="94"/>
      <c r="H269" s="94"/>
      <c r="I269" s="94"/>
      <c r="J269" s="94"/>
      <c r="K269" s="94"/>
      <c r="L269" s="94"/>
      <c r="M269" s="94"/>
      <c r="N269" s="94"/>
    </row>
    <row r="270" spans="1:14" ht="14.25" customHeight="1">
      <c r="A270" s="98"/>
      <c r="B270" s="94"/>
      <c r="C270" s="94"/>
      <c r="D270" s="94"/>
      <c r="E270" s="94"/>
      <c r="F270" s="94"/>
      <c r="G270" s="94"/>
      <c r="H270" s="94"/>
      <c r="I270" s="94"/>
      <c r="J270" s="94"/>
      <c r="K270" s="94"/>
      <c r="L270" s="94"/>
      <c r="M270" s="94"/>
      <c r="N270" s="94"/>
    </row>
    <row r="271" spans="1:14" ht="14.25" customHeight="1">
      <c r="A271" s="98"/>
      <c r="B271" s="94"/>
      <c r="C271" s="94"/>
      <c r="D271" s="94"/>
      <c r="E271" s="94"/>
      <c r="F271" s="94"/>
      <c r="G271" s="94"/>
      <c r="H271" s="94"/>
      <c r="I271" s="94"/>
      <c r="J271" s="94"/>
      <c r="K271" s="94"/>
      <c r="L271" s="94"/>
      <c r="M271" s="94"/>
      <c r="N271" s="94"/>
    </row>
    <row r="272" spans="1:14" ht="14.25" customHeight="1">
      <c r="A272" s="98"/>
      <c r="B272" s="94"/>
      <c r="C272" s="94"/>
      <c r="D272" s="94"/>
      <c r="E272" s="94"/>
      <c r="F272" s="94"/>
      <c r="G272" s="94"/>
      <c r="H272" s="94"/>
      <c r="I272" s="94"/>
      <c r="J272" s="94"/>
      <c r="K272" s="94"/>
      <c r="L272" s="94"/>
      <c r="M272" s="94"/>
      <c r="N272" s="94"/>
    </row>
    <row r="273" spans="1:14" ht="14.25" customHeight="1">
      <c r="A273" s="98"/>
      <c r="B273" s="94"/>
      <c r="C273" s="94"/>
      <c r="D273" s="94"/>
      <c r="E273" s="94"/>
      <c r="F273" s="94"/>
      <c r="G273" s="94"/>
      <c r="H273" s="94"/>
      <c r="I273" s="94"/>
      <c r="J273" s="94"/>
      <c r="K273" s="94"/>
      <c r="L273" s="94"/>
      <c r="M273" s="94"/>
      <c r="N273" s="94"/>
    </row>
    <row r="274" spans="1:14" ht="14.25" customHeight="1">
      <c r="A274" s="98"/>
      <c r="B274" s="94"/>
      <c r="C274" s="94"/>
      <c r="D274" s="94"/>
      <c r="E274" s="94"/>
      <c r="F274" s="94"/>
      <c r="G274" s="94"/>
      <c r="H274" s="94"/>
      <c r="I274" s="94"/>
      <c r="J274" s="94"/>
      <c r="K274" s="94"/>
      <c r="L274" s="94"/>
      <c r="M274" s="94"/>
      <c r="N274" s="94"/>
    </row>
    <row r="275" spans="1:14" ht="14.25" customHeight="1">
      <c r="A275" s="98"/>
      <c r="B275" s="94"/>
      <c r="C275" s="94"/>
      <c r="D275" s="94"/>
      <c r="E275" s="94"/>
      <c r="F275" s="94"/>
      <c r="G275" s="94"/>
      <c r="H275" s="94"/>
      <c r="I275" s="94"/>
      <c r="J275" s="94"/>
      <c r="K275" s="94"/>
      <c r="L275" s="94"/>
      <c r="M275" s="94"/>
      <c r="N275" s="94"/>
    </row>
    <row r="276" spans="1:14" ht="14.25" customHeight="1">
      <c r="A276" s="98"/>
      <c r="B276" s="94"/>
      <c r="C276" s="94"/>
      <c r="D276" s="94"/>
      <c r="E276" s="94"/>
      <c r="F276" s="94"/>
      <c r="G276" s="94"/>
      <c r="H276" s="94"/>
      <c r="I276" s="94"/>
      <c r="J276" s="94"/>
      <c r="K276" s="94"/>
      <c r="L276" s="94"/>
      <c r="M276" s="94"/>
      <c r="N276" s="94"/>
    </row>
    <row r="277" spans="1:14" ht="14.25" customHeight="1">
      <c r="A277" s="98"/>
      <c r="B277" s="94"/>
      <c r="C277" s="94"/>
      <c r="D277" s="94"/>
      <c r="E277" s="94"/>
      <c r="F277" s="94"/>
      <c r="G277" s="94"/>
      <c r="H277" s="94"/>
      <c r="I277" s="94"/>
      <c r="J277" s="94"/>
      <c r="K277" s="94"/>
      <c r="L277" s="94"/>
      <c r="M277" s="94"/>
      <c r="N277" s="94"/>
    </row>
    <row r="278" spans="1:14" ht="14.25" customHeight="1">
      <c r="A278" s="98"/>
      <c r="B278" s="94"/>
      <c r="C278" s="94"/>
      <c r="D278" s="94"/>
      <c r="E278" s="94"/>
      <c r="F278" s="94"/>
      <c r="G278" s="94"/>
      <c r="H278" s="94"/>
      <c r="I278" s="94"/>
      <c r="J278" s="94"/>
      <c r="K278" s="94"/>
      <c r="L278" s="94"/>
      <c r="M278" s="94"/>
      <c r="N278" s="94"/>
    </row>
    <row r="279" spans="1:14" ht="14.25" customHeight="1">
      <c r="A279" s="98"/>
      <c r="B279" s="94"/>
      <c r="C279" s="94"/>
      <c r="D279" s="94"/>
      <c r="E279" s="94"/>
      <c r="F279" s="94"/>
      <c r="G279" s="94"/>
      <c r="H279" s="94"/>
      <c r="I279" s="94"/>
      <c r="J279" s="94"/>
      <c r="K279" s="94"/>
      <c r="L279" s="94"/>
      <c r="M279" s="94"/>
      <c r="N279" s="94"/>
    </row>
    <row r="280" spans="1:14" ht="14.25" customHeight="1">
      <c r="A280" s="98"/>
      <c r="B280" s="94"/>
      <c r="C280" s="94"/>
      <c r="D280" s="94"/>
      <c r="E280" s="94"/>
      <c r="F280" s="94"/>
      <c r="G280" s="94"/>
      <c r="H280" s="94"/>
      <c r="I280" s="94"/>
      <c r="J280" s="94"/>
      <c r="K280" s="94"/>
      <c r="L280" s="94"/>
      <c r="M280" s="94"/>
      <c r="N280" s="94"/>
    </row>
    <row r="281" spans="1:14" ht="14.25" customHeight="1">
      <c r="A281" s="98"/>
      <c r="B281" s="94"/>
      <c r="C281" s="94"/>
      <c r="D281" s="94"/>
      <c r="E281" s="94"/>
      <c r="F281" s="94"/>
      <c r="G281" s="94"/>
      <c r="H281" s="94"/>
      <c r="I281" s="94"/>
      <c r="J281" s="94"/>
      <c r="K281" s="94"/>
      <c r="L281" s="94"/>
      <c r="M281" s="94"/>
      <c r="N281" s="94"/>
    </row>
    <row r="282" spans="1:14" ht="14.25" customHeight="1">
      <c r="A282" s="98"/>
      <c r="B282" s="94"/>
      <c r="C282" s="94"/>
      <c r="D282" s="94"/>
      <c r="E282" s="94"/>
      <c r="F282" s="94"/>
      <c r="G282" s="94"/>
      <c r="H282" s="94"/>
      <c r="I282" s="94"/>
      <c r="J282" s="94"/>
      <c r="K282" s="94"/>
      <c r="L282" s="94"/>
      <c r="M282" s="94"/>
      <c r="N282" s="94"/>
    </row>
    <row r="283" spans="1:14" ht="14.25" customHeight="1">
      <c r="A283" s="98"/>
      <c r="B283" s="94"/>
      <c r="C283" s="94"/>
      <c r="D283" s="94"/>
      <c r="E283" s="94"/>
      <c r="F283" s="94"/>
      <c r="G283" s="94"/>
      <c r="H283" s="94"/>
      <c r="I283" s="94"/>
      <c r="J283" s="94"/>
      <c r="K283" s="94"/>
      <c r="L283" s="94"/>
      <c r="M283" s="94"/>
      <c r="N283" s="94"/>
    </row>
    <row r="284" spans="1:14" ht="14.25" customHeight="1">
      <c r="A284" s="98"/>
      <c r="B284" s="94"/>
      <c r="C284" s="94"/>
      <c r="D284" s="94"/>
      <c r="E284" s="94"/>
      <c r="F284" s="94"/>
      <c r="G284" s="94"/>
      <c r="H284" s="94"/>
      <c r="I284" s="94"/>
      <c r="J284" s="94"/>
      <c r="K284" s="94"/>
      <c r="L284" s="94"/>
      <c r="M284" s="94"/>
      <c r="N284" s="94"/>
    </row>
    <row r="285" spans="1:14" ht="14.25" customHeight="1">
      <c r="A285" s="98"/>
      <c r="B285" s="94"/>
      <c r="C285" s="94"/>
      <c r="D285" s="94"/>
      <c r="E285" s="94"/>
      <c r="F285" s="94"/>
      <c r="G285" s="94"/>
      <c r="H285" s="94"/>
      <c r="I285" s="94"/>
      <c r="J285" s="94"/>
      <c r="K285" s="94"/>
      <c r="L285" s="94"/>
      <c r="M285" s="94"/>
      <c r="N285" s="94"/>
    </row>
    <row r="286" spans="1:14" ht="14.25" customHeight="1">
      <c r="A286" s="98"/>
      <c r="B286" s="94"/>
      <c r="C286" s="94"/>
      <c r="D286" s="94"/>
      <c r="E286" s="94"/>
      <c r="F286" s="94"/>
      <c r="G286" s="94"/>
      <c r="H286" s="94"/>
      <c r="I286" s="94"/>
      <c r="J286" s="94"/>
      <c r="K286" s="94"/>
      <c r="L286" s="94"/>
      <c r="M286" s="94"/>
      <c r="N286" s="94"/>
    </row>
    <row r="287" spans="1:14" ht="14.25" customHeight="1">
      <c r="A287" s="98"/>
      <c r="B287" s="94"/>
      <c r="C287" s="94"/>
      <c r="D287" s="94"/>
      <c r="E287" s="94"/>
      <c r="F287" s="94"/>
      <c r="G287" s="94"/>
      <c r="H287" s="94"/>
      <c r="I287" s="94"/>
      <c r="J287" s="94"/>
      <c r="K287" s="94"/>
      <c r="L287" s="94"/>
      <c r="M287" s="94"/>
      <c r="N287" s="94"/>
    </row>
    <row r="288" spans="1:14" ht="14.25" customHeight="1">
      <c r="A288" s="98"/>
      <c r="B288" s="94"/>
      <c r="C288" s="94"/>
      <c r="D288" s="94"/>
      <c r="E288" s="94"/>
      <c r="F288" s="94"/>
      <c r="G288" s="94"/>
      <c r="H288" s="94"/>
      <c r="I288" s="94"/>
      <c r="J288" s="94"/>
      <c r="K288" s="94"/>
      <c r="L288" s="94"/>
      <c r="M288" s="94"/>
      <c r="N288" s="94"/>
    </row>
    <row r="289" spans="1:14" ht="14.25" customHeight="1">
      <c r="A289" s="98"/>
      <c r="B289" s="94"/>
      <c r="C289" s="94"/>
      <c r="D289" s="94"/>
      <c r="E289" s="94"/>
      <c r="F289" s="94"/>
      <c r="G289" s="94"/>
      <c r="H289" s="94"/>
      <c r="I289" s="94"/>
      <c r="J289" s="94"/>
      <c r="K289" s="94"/>
      <c r="L289" s="94"/>
      <c r="M289" s="94"/>
      <c r="N289" s="94"/>
    </row>
    <row r="290" spans="1:14" ht="14.25" customHeight="1">
      <c r="A290" s="98"/>
      <c r="B290" s="94"/>
      <c r="C290" s="94"/>
      <c r="D290" s="94"/>
      <c r="E290" s="94"/>
      <c r="F290" s="94"/>
      <c r="G290" s="94"/>
      <c r="H290" s="94"/>
      <c r="I290" s="94"/>
      <c r="J290" s="94"/>
      <c r="K290" s="94"/>
      <c r="L290" s="94"/>
      <c r="M290" s="94"/>
      <c r="N290" s="94"/>
    </row>
    <row r="291" spans="1:14" ht="14.25" customHeight="1">
      <c r="A291" s="98"/>
      <c r="B291" s="94"/>
      <c r="C291" s="94"/>
      <c r="D291" s="94"/>
      <c r="E291" s="94"/>
      <c r="F291" s="94"/>
      <c r="G291" s="94"/>
      <c r="H291" s="94"/>
      <c r="I291" s="94"/>
      <c r="J291" s="94"/>
      <c r="K291" s="94"/>
      <c r="L291" s="94"/>
      <c r="M291" s="94"/>
      <c r="N291" s="94"/>
    </row>
    <row r="292" spans="1:14" ht="14.25" customHeight="1">
      <c r="A292" s="98"/>
      <c r="B292" s="94"/>
      <c r="C292" s="94"/>
      <c r="D292" s="94"/>
      <c r="E292" s="94"/>
      <c r="F292" s="94"/>
      <c r="G292" s="94"/>
      <c r="H292" s="94"/>
      <c r="I292" s="94"/>
      <c r="J292" s="94"/>
      <c r="K292" s="94"/>
      <c r="L292" s="94"/>
      <c r="M292" s="94"/>
      <c r="N292" s="94"/>
    </row>
    <row r="293" spans="1:14" ht="14.25" customHeight="1">
      <c r="A293" s="98"/>
      <c r="B293" s="94"/>
      <c r="C293" s="94"/>
      <c r="D293" s="94"/>
      <c r="E293" s="94"/>
      <c r="F293" s="94"/>
      <c r="G293" s="94"/>
      <c r="H293" s="94"/>
      <c r="I293" s="94"/>
      <c r="J293" s="94"/>
      <c r="K293" s="94"/>
      <c r="L293" s="94"/>
      <c r="M293" s="94"/>
      <c r="N293" s="94"/>
    </row>
    <row r="294" spans="1:14" ht="14.25" customHeight="1">
      <c r="A294" s="98"/>
      <c r="B294" s="94"/>
      <c r="C294" s="94"/>
      <c r="D294" s="94"/>
      <c r="E294" s="94"/>
      <c r="F294" s="94"/>
      <c r="G294" s="94"/>
      <c r="H294" s="94"/>
      <c r="I294" s="94"/>
      <c r="J294" s="94"/>
      <c r="K294" s="94"/>
      <c r="L294" s="94"/>
      <c r="M294" s="94"/>
      <c r="N294" s="94"/>
    </row>
    <row r="295" spans="1:14" ht="14.25" customHeight="1">
      <c r="A295" s="98"/>
      <c r="B295" s="94"/>
      <c r="C295" s="94"/>
      <c r="D295" s="94"/>
      <c r="E295" s="94"/>
      <c r="F295" s="94"/>
      <c r="G295" s="94"/>
      <c r="H295" s="94"/>
      <c r="I295" s="94"/>
      <c r="J295" s="94"/>
      <c r="K295" s="94"/>
      <c r="L295" s="94"/>
      <c r="M295" s="94"/>
      <c r="N295" s="94"/>
    </row>
    <row r="296" spans="1:14" ht="14.25" customHeight="1">
      <c r="A296" s="98"/>
      <c r="B296" s="94"/>
      <c r="C296" s="94"/>
      <c r="D296" s="94"/>
      <c r="E296" s="94"/>
      <c r="F296" s="94"/>
      <c r="G296" s="94"/>
      <c r="H296" s="94"/>
      <c r="I296" s="94"/>
      <c r="J296" s="94"/>
      <c r="K296" s="94"/>
      <c r="L296" s="94"/>
      <c r="M296" s="94"/>
      <c r="N296" s="94"/>
    </row>
    <row r="297" spans="1:14" ht="14.25" customHeight="1">
      <c r="A297" s="98"/>
      <c r="B297" s="94"/>
      <c r="C297" s="94"/>
      <c r="D297" s="94"/>
      <c r="E297" s="94"/>
      <c r="F297" s="94"/>
      <c r="G297" s="94"/>
      <c r="H297" s="94"/>
      <c r="I297" s="94"/>
      <c r="J297" s="94"/>
      <c r="K297" s="94"/>
      <c r="L297" s="94"/>
      <c r="M297" s="94"/>
      <c r="N297" s="94"/>
    </row>
    <row r="298" spans="1:14" ht="14.25" customHeight="1">
      <c r="A298" s="98"/>
      <c r="B298" s="94"/>
      <c r="C298" s="94"/>
      <c r="D298" s="94"/>
      <c r="E298" s="94"/>
      <c r="F298" s="94"/>
      <c r="G298" s="94"/>
      <c r="H298" s="94"/>
      <c r="I298" s="94"/>
      <c r="J298" s="94"/>
      <c r="K298" s="94"/>
      <c r="L298" s="94"/>
      <c r="M298" s="94"/>
      <c r="N298" s="94"/>
    </row>
    <row r="299" spans="1:14" ht="14.25" customHeight="1">
      <c r="A299" s="98"/>
      <c r="B299" s="94"/>
      <c r="C299" s="94"/>
      <c r="D299" s="94"/>
      <c r="E299" s="94"/>
      <c r="F299" s="94"/>
      <c r="G299" s="94"/>
      <c r="H299" s="94"/>
      <c r="I299" s="94"/>
      <c r="J299" s="94"/>
      <c r="K299" s="94"/>
      <c r="L299" s="94"/>
      <c r="M299" s="94"/>
      <c r="N299" s="94"/>
    </row>
    <row r="300" spans="1:14" ht="14.25" customHeight="1">
      <c r="A300" s="98"/>
      <c r="B300" s="94"/>
      <c r="C300" s="94"/>
      <c r="D300" s="94"/>
      <c r="E300" s="94"/>
      <c r="F300" s="94"/>
      <c r="G300" s="94"/>
      <c r="H300" s="94"/>
      <c r="I300" s="94"/>
      <c r="J300" s="94"/>
      <c r="K300" s="94"/>
      <c r="L300" s="94"/>
      <c r="M300" s="94"/>
      <c r="N300" s="94"/>
    </row>
    <row r="301" spans="1:14" ht="14.25" customHeight="1">
      <c r="A301" s="98"/>
      <c r="B301" s="94"/>
      <c r="C301" s="94"/>
      <c r="D301" s="94"/>
      <c r="E301" s="94"/>
      <c r="F301" s="94"/>
      <c r="G301" s="94"/>
      <c r="H301" s="94"/>
      <c r="I301" s="94"/>
      <c r="J301" s="94"/>
      <c r="K301" s="94"/>
      <c r="L301" s="94"/>
      <c r="M301" s="94"/>
      <c r="N301" s="94"/>
    </row>
    <row r="302" spans="1:14" ht="14.25" customHeight="1">
      <c r="A302" s="98"/>
      <c r="B302" s="94"/>
      <c r="C302" s="94"/>
      <c r="D302" s="94"/>
      <c r="E302" s="94"/>
      <c r="F302" s="94"/>
      <c r="G302" s="94"/>
      <c r="H302" s="94"/>
      <c r="I302" s="94"/>
      <c r="J302" s="94"/>
      <c r="K302" s="94"/>
      <c r="L302" s="94"/>
      <c r="M302" s="94"/>
      <c r="N302" s="94"/>
    </row>
    <row r="303" spans="1:14" ht="14.25" customHeight="1">
      <c r="A303" s="98"/>
      <c r="B303" s="94"/>
      <c r="C303" s="94"/>
      <c r="D303" s="94"/>
      <c r="E303" s="94"/>
      <c r="F303" s="94"/>
      <c r="G303" s="94"/>
      <c r="H303" s="94"/>
      <c r="I303" s="94"/>
      <c r="J303" s="94"/>
      <c r="K303" s="94"/>
      <c r="L303" s="94"/>
      <c r="M303" s="94"/>
      <c r="N303" s="94"/>
    </row>
    <row r="304" spans="1:14" ht="14.25" customHeight="1">
      <c r="A304" s="98"/>
      <c r="B304" s="94"/>
      <c r="C304" s="94"/>
      <c r="D304" s="94"/>
      <c r="E304" s="94"/>
      <c r="F304" s="94"/>
      <c r="G304" s="94"/>
      <c r="H304" s="94"/>
      <c r="I304" s="94"/>
      <c r="J304" s="94"/>
      <c r="K304" s="94"/>
      <c r="L304" s="94"/>
      <c r="M304" s="94"/>
      <c r="N304" s="94"/>
    </row>
    <row r="305" spans="1:14" ht="14.25" customHeight="1">
      <c r="A305" s="98"/>
      <c r="B305" s="94"/>
      <c r="C305" s="94"/>
      <c r="D305" s="94"/>
      <c r="E305" s="94"/>
      <c r="F305" s="94"/>
      <c r="G305" s="94"/>
      <c r="H305" s="94"/>
      <c r="I305" s="94"/>
      <c r="J305" s="94"/>
      <c r="K305" s="94"/>
      <c r="L305" s="94"/>
      <c r="M305" s="94"/>
      <c r="N305" s="94"/>
    </row>
    <row r="306" spans="1:14" ht="14.25" customHeight="1">
      <c r="A306" s="98"/>
      <c r="B306" s="94"/>
      <c r="C306" s="94"/>
      <c r="D306" s="94"/>
      <c r="E306" s="94"/>
      <c r="F306" s="94"/>
      <c r="G306" s="94"/>
      <c r="H306" s="94"/>
      <c r="I306" s="94"/>
      <c r="J306" s="94"/>
      <c r="K306" s="94"/>
      <c r="L306" s="94"/>
      <c r="M306" s="94"/>
      <c r="N306" s="94"/>
    </row>
    <row r="307" spans="1:14" ht="14.25" customHeight="1">
      <c r="A307" s="98"/>
      <c r="B307" s="94"/>
      <c r="C307" s="94"/>
      <c r="D307" s="94"/>
      <c r="E307" s="94"/>
      <c r="F307" s="94"/>
      <c r="G307" s="94"/>
      <c r="H307" s="94"/>
      <c r="I307" s="94"/>
      <c r="J307" s="94"/>
      <c r="K307" s="94"/>
      <c r="L307" s="94"/>
      <c r="M307" s="94"/>
      <c r="N307" s="94"/>
    </row>
    <row r="308" spans="1:14" ht="14.25" customHeight="1">
      <c r="A308" s="98"/>
      <c r="B308" s="94"/>
      <c r="C308" s="94"/>
      <c r="D308" s="94"/>
      <c r="E308" s="94"/>
      <c r="F308" s="94"/>
      <c r="G308" s="94"/>
      <c r="H308" s="94"/>
      <c r="I308" s="94"/>
      <c r="J308" s="94"/>
      <c r="K308" s="94"/>
      <c r="L308" s="94"/>
      <c r="M308" s="94"/>
      <c r="N308" s="94"/>
    </row>
    <row r="309" spans="1:14" ht="14.25" customHeight="1">
      <c r="A309" s="98"/>
      <c r="B309" s="94"/>
      <c r="C309" s="94"/>
      <c r="D309" s="94"/>
      <c r="E309" s="94"/>
      <c r="F309" s="94"/>
      <c r="G309" s="94"/>
      <c r="H309" s="94"/>
      <c r="I309" s="94"/>
      <c r="J309" s="94"/>
      <c r="K309" s="94"/>
      <c r="L309" s="94"/>
      <c r="M309" s="94"/>
      <c r="N309" s="94"/>
    </row>
    <row r="310" spans="1:14" ht="14.25" customHeight="1">
      <c r="A310" s="98"/>
      <c r="B310" s="94"/>
      <c r="C310" s="94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</row>
    <row r="311" spans="1:14" ht="14.25" customHeight="1">
      <c r="A311" s="98"/>
      <c r="B311" s="94"/>
      <c r="C311" s="94"/>
      <c r="D311" s="94"/>
      <c r="E311" s="94"/>
      <c r="F311" s="94"/>
      <c r="G311" s="94"/>
      <c r="H311" s="94"/>
      <c r="I311" s="94"/>
      <c r="J311" s="94"/>
      <c r="K311" s="94"/>
      <c r="L311" s="94"/>
      <c r="M311" s="94"/>
      <c r="N311" s="94"/>
    </row>
    <row r="312" spans="1:14" ht="14.25" customHeight="1">
      <c r="A312" s="98"/>
      <c r="B312" s="94"/>
      <c r="C312" s="94"/>
      <c r="D312" s="94"/>
      <c r="E312" s="94"/>
      <c r="F312" s="94"/>
      <c r="G312" s="94"/>
      <c r="H312" s="94"/>
      <c r="I312" s="94"/>
      <c r="J312" s="94"/>
      <c r="K312" s="94"/>
      <c r="L312" s="94"/>
      <c r="M312" s="94"/>
      <c r="N312" s="94"/>
    </row>
    <row r="313" spans="1:14" ht="14.25" customHeight="1">
      <c r="A313" s="98"/>
      <c r="B313" s="94"/>
      <c r="C313" s="94"/>
      <c r="D313" s="94"/>
      <c r="E313" s="94"/>
      <c r="F313" s="94"/>
      <c r="G313" s="94"/>
      <c r="H313" s="94"/>
      <c r="I313" s="94"/>
      <c r="J313" s="94"/>
      <c r="K313" s="94"/>
      <c r="L313" s="94"/>
      <c r="M313" s="94"/>
      <c r="N313" s="94"/>
    </row>
    <row r="314" spans="1:14" ht="14.25" customHeight="1">
      <c r="A314" s="98"/>
      <c r="B314" s="94"/>
      <c r="C314" s="94"/>
      <c r="D314" s="94"/>
      <c r="E314" s="94"/>
      <c r="F314" s="94"/>
      <c r="G314" s="94"/>
      <c r="H314" s="94"/>
      <c r="I314" s="94"/>
      <c r="J314" s="94"/>
      <c r="K314" s="94"/>
      <c r="L314" s="94"/>
      <c r="M314" s="94"/>
      <c r="N314" s="94"/>
    </row>
    <row r="315" spans="1:14" ht="14.25" customHeight="1">
      <c r="A315" s="98"/>
      <c r="B315" s="94"/>
      <c r="C315" s="94"/>
      <c r="D315" s="94"/>
      <c r="E315" s="94"/>
      <c r="F315" s="94"/>
      <c r="G315" s="94"/>
      <c r="H315" s="94"/>
      <c r="I315" s="94"/>
      <c r="J315" s="94"/>
      <c r="K315" s="94"/>
      <c r="L315" s="94"/>
      <c r="M315" s="94"/>
      <c r="N315" s="94"/>
    </row>
    <row r="316" spans="1:14" ht="14.25" customHeight="1">
      <c r="A316" s="98"/>
      <c r="B316" s="94"/>
      <c r="C316" s="94"/>
      <c r="D316" s="94"/>
      <c r="E316" s="94"/>
      <c r="F316" s="94"/>
      <c r="G316" s="94"/>
      <c r="H316" s="94"/>
      <c r="I316" s="94"/>
      <c r="J316" s="94"/>
      <c r="K316" s="94"/>
      <c r="L316" s="94"/>
      <c r="M316" s="94"/>
      <c r="N316" s="94"/>
    </row>
    <row r="317" spans="1:14" ht="14.25" customHeight="1">
      <c r="A317" s="98"/>
      <c r="B317" s="94"/>
      <c r="C317" s="94"/>
      <c r="D317" s="94"/>
      <c r="E317" s="94"/>
      <c r="F317" s="94"/>
      <c r="G317" s="94"/>
      <c r="H317" s="94"/>
      <c r="I317" s="94"/>
      <c r="J317" s="94"/>
      <c r="K317" s="94"/>
      <c r="L317" s="94"/>
      <c r="M317" s="94"/>
      <c r="N317" s="94"/>
    </row>
    <row r="318" spans="1:14" ht="14.25" customHeight="1">
      <c r="A318" s="98"/>
      <c r="B318" s="94"/>
      <c r="C318" s="94"/>
      <c r="D318" s="94"/>
      <c r="E318" s="94"/>
      <c r="F318" s="94"/>
      <c r="G318" s="94"/>
      <c r="H318" s="94"/>
      <c r="I318" s="94"/>
      <c r="J318" s="94"/>
      <c r="K318" s="94"/>
      <c r="L318" s="94"/>
      <c r="M318" s="94"/>
      <c r="N318" s="94"/>
    </row>
    <row r="319" spans="1:14" ht="14.25" customHeight="1">
      <c r="A319" s="98"/>
      <c r="B319" s="94"/>
      <c r="C319" s="94"/>
      <c r="D319" s="94"/>
      <c r="E319" s="94"/>
      <c r="F319" s="94"/>
      <c r="G319" s="94"/>
      <c r="H319" s="94"/>
      <c r="I319" s="94"/>
      <c r="J319" s="94"/>
      <c r="K319" s="94"/>
      <c r="L319" s="94"/>
      <c r="M319" s="94"/>
      <c r="N319" s="94"/>
    </row>
    <row r="320" spans="1:14" ht="14.25" customHeight="1">
      <c r="A320" s="98"/>
      <c r="B320" s="94"/>
      <c r="C320" s="94"/>
      <c r="D320" s="94"/>
      <c r="E320" s="94"/>
      <c r="F320" s="94"/>
      <c r="G320" s="94"/>
      <c r="H320" s="94"/>
      <c r="I320" s="94"/>
      <c r="J320" s="94"/>
      <c r="K320" s="94"/>
      <c r="L320" s="94"/>
      <c r="M320" s="94"/>
      <c r="N320" s="94"/>
    </row>
    <row r="321" spans="1:14" ht="14.25" customHeight="1">
      <c r="A321" s="98"/>
      <c r="B321" s="94"/>
      <c r="C321" s="94"/>
      <c r="D321" s="94"/>
      <c r="E321" s="94"/>
      <c r="F321" s="94"/>
      <c r="G321" s="94"/>
      <c r="H321" s="94"/>
      <c r="I321" s="94"/>
      <c r="J321" s="94"/>
      <c r="K321" s="94"/>
      <c r="L321" s="94"/>
      <c r="M321" s="94"/>
      <c r="N321" s="94"/>
    </row>
    <row r="322" spans="1:14" ht="14.25" customHeight="1">
      <c r="A322" s="98"/>
      <c r="B322" s="94"/>
      <c r="C322" s="94"/>
      <c r="D322" s="94"/>
      <c r="E322" s="94"/>
      <c r="F322" s="94"/>
      <c r="G322" s="94"/>
      <c r="H322" s="94"/>
      <c r="I322" s="94"/>
      <c r="J322" s="94"/>
      <c r="K322" s="94"/>
      <c r="L322" s="94"/>
      <c r="M322" s="94"/>
      <c r="N322" s="94"/>
    </row>
    <row r="323" spans="1:14" ht="14.25" customHeight="1">
      <c r="A323" s="98"/>
      <c r="B323" s="94"/>
      <c r="C323" s="94"/>
      <c r="D323" s="94"/>
      <c r="E323" s="94"/>
      <c r="F323" s="94"/>
      <c r="G323" s="94"/>
      <c r="H323" s="94"/>
      <c r="I323" s="94"/>
      <c r="J323" s="94"/>
      <c r="K323" s="94"/>
      <c r="L323" s="94"/>
      <c r="M323" s="94"/>
      <c r="N323" s="94"/>
    </row>
    <row r="324" spans="1:14" ht="14.25" customHeight="1">
      <c r="A324" s="98"/>
      <c r="B324" s="94"/>
      <c r="C324" s="94"/>
      <c r="D324" s="94"/>
      <c r="E324" s="94"/>
      <c r="F324" s="94"/>
      <c r="G324" s="94"/>
      <c r="H324" s="94"/>
      <c r="I324" s="94"/>
      <c r="J324" s="94"/>
      <c r="K324" s="94"/>
      <c r="L324" s="94"/>
      <c r="M324" s="94"/>
      <c r="N324" s="94"/>
    </row>
    <row r="325" spans="1:14" ht="14.25" customHeight="1">
      <c r="A325" s="98"/>
      <c r="B325" s="94"/>
      <c r="C325" s="94"/>
      <c r="D325" s="94"/>
      <c r="E325" s="94"/>
      <c r="F325" s="94"/>
      <c r="G325" s="94"/>
      <c r="H325" s="94"/>
      <c r="I325" s="94"/>
      <c r="J325" s="94"/>
      <c r="K325" s="94"/>
      <c r="L325" s="94"/>
      <c r="M325" s="94"/>
      <c r="N325" s="94"/>
    </row>
    <row r="326" spans="1:14" ht="14.25" customHeight="1">
      <c r="A326" s="98"/>
      <c r="B326" s="94"/>
      <c r="C326" s="94"/>
      <c r="D326" s="94"/>
      <c r="E326" s="94"/>
      <c r="F326" s="94"/>
      <c r="G326" s="94"/>
      <c r="H326" s="94"/>
      <c r="I326" s="94"/>
      <c r="J326" s="94"/>
      <c r="K326" s="94"/>
      <c r="L326" s="94"/>
      <c r="M326" s="94"/>
      <c r="N326" s="94"/>
    </row>
    <row r="327" spans="1:14" ht="14.25" customHeight="1">
      <c r="A327" s="98"/>
      <c r="B327" s="94"/>
      <c r="C327" s="94"/>
      <c r="D327" s="94"/>
      <c r="E327" s="94"/>
      <c r="F327" s="94"/>
      <c r="G327" s="94"/>
      <c r="H327" s="94"/>
      <c r="I327" s="94"/>
      <c r="J327" s="94"/>
      <c r="K327" s="94"/>
      <c r="L327" s="94"/>
      <c r="M327" s="94"/>
      <c r="N327" s="94"/>
    </row>
    <row r="328" spans="1:14" ht="14.25" customHeight="1">
      <c r="A328" s="98"/>
      <c r="B328" s="94"/>
      <c r="C328" s="94"/>
      <c r="D328" s="94"/>
      <c r="E328" s="94"/>
      <c r="F328" s="94"/>
      <c r="G328" s="94"/>
      <c r="H328" s="94"/>
      <c r="I328" s="94"/>
      <c r="J328" s="94"/>
      <c r="K328" s="94"/>
      <c r="L328" s="94"/>
      <c r="M328" s="94"/>
      <c r="N328" s="94"/>
    </row>
    <row r="329" spans="1:14" ht="14.25" customHeight="1">
      <c r="A329" s="98"/>
      <c r="B329" s="94"/>
      <c r="C329" s="94"/>
      <c r="D329" s="94"/>
      <c r="E329" s="94"/>
      <c r="F329" s="94"/>
      <c r="G329" s="94"/>
      <c r="H329" s="94"/>
      <c r="I329" s="94"/>
      <c r="J329" s="94"/>
      <c r="K329" s="94"/>
      <c r="L329" s="94"/>
      <c r="M329" s="94"/>
      <c r="N329" s="94"/>
    </row>
    <row r="330" spans="1:14" ht="14.25" customHeight="1">
      <c r="A330" s="98"/>
      <c r="B330" s="94"/>
      <c r="C330" s="94"/>
      <c r="D330" s="94"/>
      <c r="E330" s="94"/>
      <c r="F330" s="94"/>
      <c r="G330" s="94"/>
      <c r="H330" s="94"/>
      <c r="I330" s="94"/>
      <c r="J330" s="94"/>
      <c r="K330" s="94"/>
      <c r="L330" s="94"/>
      <c r="M330" s="94"/>
      <c r="N330" s="94"/>
    </row>
    <row r="331" spans="1:14" ht="14.25" customHeight="1">
      <c r="A331" s="98"/>
      <c r="B331" s="94"/>
      <c r="C331" s="94"/>
      <c r="D331" s="94"/>
      <c r="E331" s="94"/>
      <c r="F331" s="94"/>
      <c r="G331" s="94"/>
      <c r="H331" s="94"/>
      <c r="I331" s="94"/>
      <c r="J331" s="94"/>
      <c r="K331" s="94"/>
      <c r="L331" s="94"/>
      <c r="M331" s="94"/>
      <c r="N331" s="94"/>
    </row>
    <row r="332" spans="1:14" ht="14.25" customHeight="1">
      <c r="A332" s="98"/>
      <c r="B332" s="94"/>
      <c r="C332" s="94"/>
      <c r="D332" s="94"/>
      <c r="E332" s="94"/>
      <c r="F332" s="94"/>
      <c r="G332" s="94"/>
      <c r="H332" s="94"/>
      <c r="I332" s="94"/>
      <c r="J332" s="94"/>
      <c r="K332" s="94"/>
      <c r="L332" s="94"/>
      <c r="M332" s="94"/>
      <c r="N332" s="94"/>
    </row>
    <row r="333" spans="1:14" ht="14.25" customHeight="1">
      <c r="A333" s="98"/>
      <c r="B333" s="94"/>
      <c r="C333" s="94"/>
      <c r="D333" s="94"/>
      <c r="E333" s="94"/>
      <c r="F333" s="94"/>
      <c r="G333" s="94"/>
      <c r="H333" s="94"/>
      <c r="I333" s="94"/>
      <c r="J333" s="94"/>
      <c r="K333" s="94"/>
      <c r="L333" s="94"/>
      <c r="M333" s="94"/>
      <c r="N333" s="94"/>
    </row>
    <row r="334" spans="1:14" ht="14.25" customHeight="1">
      <c r="A334" s="98"/>
      <c r="B334" s="94"/>
      <c r="C334" s="94"/>
      <c r="D334" s="94"/>
      <c r="E334" s="94"/>
      <c r="F334" s="94"/>
      <c r="G334" s="94"/>
      <c r="H334" s="94"/>
      <c r="I334" s="94"/>
      <c r="J334" s="94"/>
      <c r="K334" s="94"/>
      <c r="L334" s="94"/>
      <c r="M334" s="94"/>
      <c r="N334" s="94"/>
    </row>
    <row r="335" spans="1:14" ht="14.25" customHeight="1">
      <c r="A335" s="98"/>
      <c r="B335" s="94"/>
      <c r="C335" s="94"/>
      <c r="D335" s="94"/>
      <c r="E335" s="94"/>
      <c r="F335" s="94"/>
      <c r="G335" s="94"/>
      <c r="H335" s="94"/>
      <c r="I335" s="94"/>
      <c r="J335" s="94"/>
      <c r="K335" s="94"/>
      <c r="L335" s="94"/>
      <c r="M335" s="94"/>
      <c r="N335" s="94"/>
    </row>
    <row r="336" spans="1:14" ht="14.25" customHeight="1">
      <c r="A336" s="98"/>
      <c r="B336" s="94"/>
      <c r="C336" s="94"/>
      <c r="D336" s="94"/>
      <c r="E336" s="94"/>
      <c r="F336" s="94"/>
      <c r="G336" s="94"/>
      <c r="H336" s="94"/>
      <c r="I336" s="94"/>
      <c r="J336" s="94"/>
      <c r="K336" s="94"/>
      <c r="L336" s="94"/>
      <c r="M336" s="94"/>
      <c r="N336" s="94"/>
    </row>
    <row r="337" spans="1:14" ht="14.25" customHeight="1">
      <c r="A337" s="98"/>
      <c r="B337" s="94"/>
      <c r="C337" s="94"/>
      <c r="D337" s="94"/>
      <c r="E337" s="94"/>
      <c r="F337" s="94"/>
      <c r="G337" s="94"/>
      <c r="H337" s="94"/>
      <c r="I337" s="94"/>
      <c r="J337" s="94"/>
      <c r="K337" s="94"/>
      <c r="L337" s="94"/>
      <c r="M337" s="94"/>
      <c r="N337" s="94"/>
    </row>
    <row r="338" spans="1:14" ht="14.25" customHeight="1">
      <c r="A338" s="98"/>
      <c r="B338" s="94"/>
      <c r="C338" s="94"/>
      <c r="D338" s="94"/>
      <c r="E338" s="94"/>
      <c r="F338" s="94"/>
      <c r="G338" s="94"/>
      <c r="H338" s="94"/>
      <c r="I338" s="94"/>
      <c r="J338" s="94"/>
      <c r="K338" s="94"/>
      <c r="L338" s="94"/>
      <c r="M338" s="94"/>
      <c r="N338" s="94"/>
    </row>
    <row r="339" spans="1:14" ht="14.25" customHeight="1">
      <c r="A339" s="98"/>
      <c r="B339" s="94"/>
      <c r="C339" s="94"/>
      <c r="D339" s="94"/>
      <c r="E339" s="94"/>
      <c r="F339" s="94"/>
      <c r="G339" s="94"/>
      <c r="H339" s="94"/>
      <c r="I339" s="94"/>
      <c r="J339" s="94"/>
      <c r="K339" s="94"/>
      <c r="L339" s="94"/>
      <c r="M339" s="94"/>
      <c r="N339" s="94"/>
    </row>
    <row r="340" spans="1:14" ht="14.25" customHeight="1">
      <c r="A340" s="98"/>
      <c r="B340" s="94"/>
      <c r="C340" s="94"/>
      <c r="D340" s="94"/>
      <c r="E340" s="94"/>
      <c r="F340" s="94"/>
      <c r="G340" s="94"/>
      <c r="H340" s="94"/>
      <c r="I340" s="94"/>
      <c r="J340" s="94"/>
      <c r="K340" s="94"/>
      <c r="L340" s="94"/>
      <c r="M340" s="94"/>
      <c r="N340" s="94"/>
    </row>
    <row r="341" spans="1:14" ht="14.25" customHeight="1">
      <c r="A341" s="98"/>
      <c r="B341" s="94"/>
      <c r="C341" s="94"/>
      <c r="D341" s="94"/>
      <c r="E341" s="94"/>
      <c r="F341" s="94"/>
      <c r="G341" s="94"/>
      <c r="H341" s="94"/>
      <c r="I341" s="94"/>
      <c r="J341" s="94"/>
      <c r="K341" s="94"/>
      <c r="L341" s="94"/>
      <c r="M341" s="94"/>
      <c r="N341" s="94"/>
    </row>
    <row r="342" spans="1:14" ht="14.25" customHeight="1">
      <c r="A342" s="98"/>
      <c r="B342" s="94"/>
      <c r="C342" s="94"/>
      <c r="D342" s="94"/>
      <c r="E342" s="94"/>
      <c r="F342" s="94"/>
      <c r="G342" s="94"/>
      <c r="H342" s="94"/>
      <c r="I342" s="94"/>
      <c r="J342" s="94"/>
      <c r="K342" s="94"/>
      <c r="L342" s="94"/>
      <c r="M342" s="94"/>
      <c r="N342" s="94"/>
    </row>
    <row r="343" spans="1:14" ht="14.25" customHeight="1">
      <c r="A343" s="98"/>
      <c r="B343" s="94"/>
      <c r="C343" s="94"/>
      <c r="D343" s="94"/>
      <c r="E343" s="94"/>
      <c r="F343" s="94"/>
      <c r="G343" s="94"/>
      <c r="H343" s="94"/>
      <c r="I343" s="94"/>
      <c r="J343" s="94"/>
      <c r="K343" s="94"/>
      <c r="L343" s="94"/>
      <c r="M343" s="94"/>
      <c r="N343" s="94"/>
    </row>
    <row r="344" spans="1:14" ht="14.25" customHeight="1">
      <c r="A344" s="98"/>
      <c r="B344" s="94"/>
      <c r="C344" s="94"/>
      <c r="D344" s="94"/>
      <c r="E344" s="94"/>
      <c r="F344" s="94"/>
      <c r="G344" s="94"/>
      <c r="H344" s="94"/>
      <c r="I344" s="94"/>
      <c r="J344" s="94"/>
      <c r="K344" s="94"/>
      <c r="L344" s="94"/>
      <c r="M344" s="94"/>
      <c r="N344" s="94"/>
    </row>
    <row r="345" spans="1:14" ht="14.25" customHeight="1">
      <c r="A345" s="98"/>
      <c r="B345" s="94"/>
      <c r="C345" s="94"/>
      <c r="D345" s="94"/>
      <c r="E345" s="94"/>
      <c r="F345" s="94"/>
      <c r="G345" s="94"/>
      <c r="H345" s="94"/>
      <c r="I345" s="94"/>
      <c r="J345" s="94"/>
      <c r="K345" s="94"/>
      <c r="L345" s="94"/>
      <c r="M345" s="94"/>
      <c r="N345" s="94"/>
    </row>
    <row r="346" spans="1:14" ht="14.25" customHeight="1">
      <c r="A346" s="98"/>
      <c r="B346" s="94"/>
      <c r="C346" s="94"/>
      <c r="D346" s="94"/>
      <c r="E346" s="94"/>
      <c r="F346" s="94"/>
      <c r="G346" s="94"/>
      <c r="H346" s="94"/>
      <c r="I346" s="94"/>
      <c r="J346" s="94"/>
      <c r="K346" s="94"/>
      <c r="L346" s="94"/>
      <c r="M346" s="94"/>
      <c r="N346" s="94"/>
    </row>
    <row r="347" spans="1:14" ht="14.25" customHeight="1">
      <c r="A347" s="98"/>
      <c r="B347" s="94"/>
      <c r="C347" s="94"/>
      <c r="D347" s="94"/>
      <c r="E347" s="94"/>
      <c r="F347" s="94"/>
      <c r="G347" s="94"/>
      <c r="H347" s="94"/>
      <c r="I347" s="94"/>
      <c r="J347" s="94"/>
      <c r="K347" s="94"/>
      <c r="L347" s="94"/>
      <c r="M347" s="94"/>
      <c r="N347" s="94"/>
    </row>
    <row r="348" spans="1:14" ht="14.25" customHeight="1">
      <c r="A348" s="98"/>
      <c r="B348" s="94"/>
      <c r="C348" s="94"/>
      <c r="D348" s="94"/>
      <c r="E348" s="94"/>
      <c r="F348" s="94"/>
      <c r="G348" s="94"/>
      <c r="H348" s="94"/>
      <c r="I348" s="94"/>
      <c r="J348" s="94"/>
      <c r="K348" s="94"/>
      <c r="L348" s="94"/>
      <c r="M348" s="94"/>
      <c r="N348" s="94"/>
    </row>
    <row r="349" spans="1:14" ht="14.25" customHeight="1">
      <c r="A349" s="98"/>
      <c r="B349" s="94"/>
      <c r="C349" s="94"/>
      <c r="D349" s="94"/>
      <c r="E349" s="94"/>
      <c r="F349" s="94"/>
      <c r="G349" s="94"/>
      <c r="H349" s="94"/>
      <c r="I349" s="94"/>
      <c r="J349" s="94"/>
      <c r="K349" s="94"/>
      <c r="L349" s="94"/>
      <c r="M349" s="94"/>
      <c r="N349" s="94"/>
    </row>
    <row r="350" spans="1:14" ht="14.25" customHeight="1">
      <c r="A350" s="98"/>
      <c r="B350" s="94"/>
      <c r="C350" s="94"/>
      <c r="D350" s="94"/>
      <c r="E350" s="94"/>
      <c r="F350" s="94"/>
      <c r="G350" s="94"/>
      <c r="H350" s="94"/>
      <c r="I350" s="94"/>
      <c r="J350" s="94"/>
      <c r="K350" s="94"/>
      <c r="L350" s="94"/>
      <c r="M350" s="94"/>
      <c r="N350" s="94"/>
    </row>
    <row r="351" spans="1:14" ht="14.25" customHeight="1">
      <c r="A351" s="98"/>
      <c r="B351" s="94"/>
      <c r="C351" s="94"/>
      <c r="D351" s="94"/>
      <c r="E351" s="94"/>
      <c r="F351" s="94"/>
      <c r="G351" s="94"/>
      <c r="H351" s="94"/>
      <c r="I351" s="94"/>
      <c r="J351" s="94"/>
      <c r="K351" s="94"/>
      <c r="L351" s="94"/>
      <c r="M351" s="94"/>
      <c r="N351" s="94"/>
    </row>
    <row r="352" spans="1:14" ht="14.25" customHeight="1">
      <c r="A352" s="98"/>
      <c r="B352" s="94"/>
      <c r="C352" s="94"/>
      <c r="D352" s="94"/>
      <c r="E352" s="94"/>
      <c r="F352" s="94"/>
      <c r="G352" s="94"/>
      <c r="H352" s="94"/>
      <c r="I352" s="94"/>
      <c r="J352" s="94"/>
      <c r="K352" s="94"/>
      <c r="L352" s="94"/>
      <c r="M352" s="94"/>
      <c r="N352" s="94"/>
    </row>
    <row r="353" spans="1:14" ht="14.25" customHeight="1">
      <c r="A353" s="98"/>
      <c r="B353" s="94"/>
      <c r="C353" s="94"/>
      <c r="D353" s="94"/>
      <c r="E353" s="94"/>
      <c r="F353" s="94"/>
      <c r="G353" s="94"/>
      <c r="H353" s="94"/>
      <c r="I353" s="94"/>
      <c r="J353" s="94"/>
      <c r="K353" s="94"/>
      <c r="L353" s="94"/>
      <c r="M353" s="94"/>
      <c r="N353" s="94"/>
    </row>
    <row r="354" spans="1:14" ht="14.25" customHeight="1">
      <c r="A354" s="98"/>
      <c r="B354" s="94"/>
      <c r="C354" s="94"/>
      <c r="D354" s="94"/>
      <c r="E354" s="94"/>
      <c r="F354" s="94"/>
      <c r="G354" s="94"/>
      <c r="H354" s="94"/>
      <c r="I354" s="94"/>
      <c r="J354" s="94"/>
      <c r="K354" s="94"/>
      <c r="L354" s="94"/>
      <c r="M354" s="94"/>
      <c r="N354" s="94"/>
    </row>
    <row r="355" spans="1:14" ht="14.25" customHeight="1">
      <c r="A355" s="98"/>
      <c r="B355" s="94"/>
      <c r="C355" s="94"/>
      <c r="D355" s="94"/>
      <c r="E355" s="94"/>
      <c r="F355" s="94"/>
      <c r="G355" s="94"/>
      <c r="H355" s="94"/>
      <c r="I355" s="94"/>
      <c r="J355" s="94"/>
      <c r="K355" s="94"/>
      <c r="L355" s="94"/>
      <c r="M355" s="94"/>
      <c r="N355" s="94"/>
    </row>
    <row r="356" spans="1:14" ht="14.25" customHeight="1">
      <c r="A356" s="98"/>
      <c r="B356" s="94"/>
      <c r="C356" s="94"/>
      <c r="D356" s="94"/>
      <c r="E356" s="94"/>
      <c r="F356" s="94"/>
      <c r="G356" s="94"/>
      <c r="H356" s="94"/>
      <c r="I356" s="94"/>
      <c r="J356" s="94"/>
      <c r="K356" s="94"/>
      <c r="L356" s="94"/>
      <c r="M356" s="94"/>
      <c r="N356" s="94"/>
    </row>
    <row r="357" spans="1:14" ht="14.25" customHeight="1">
      <c r="A357" s="98"/>
      <c r="B357" s="94"/>
      <c r="C357" s="94"/>
      <c r="D357" s="94"/>
      <c r="E357" s="94"/>
      <c r="F357" s="94"/>
      <c r="G357" s="94"/>
      <c r="H357" s="94"/>
      <c r="I357" s="94"/>
      <c r="J357" s="94"/>
      <c r="K357" s="94"/>
      <c r="L357" s="94"/>
      <c r="M357" s="94"/>
      <c r="N357" s="94"/>
    </row>
    <row r="358" spans="1:14" ht="14.25" customHeight="1">
      <c r="A358" s="98"/>
      <c r="B358" s="94"/>
      <c r="C358" s="94"/>
      <c r="D358" s="94"/>
      <c r="E358" s="94"/>
      <c r="F358" s="94"/>
      <c r="G358" s="94"/>
      <c r="H358" s="94"/>
      <c r="I358" s="94"/>
      <c r="J358" s="94"/>
      <c r="K358" s="94"/>
      <c r="L358" s="94"/>
      <c r="M358" s="94"/>
      <c r="N358" s="94"/>
    </row>
    <row r="359" spans="1:14" ht="14.25" customHeight="1">
      <c r="A359" s="98"/>
      <c r="B359" s="94"/>
      <c r="C359" s="94"/>
      <c r="D359" s="94"/>
      <c r="E359" s="94"/>
      <c r="F359" s="94"/>
      <c r="G359" s="94"/>
      <c r="H359" s="94"/>
      <c r="I359" s="94"/>
      <c r="J359" s="94"/>
      <c r="K359" s="94"/>
      <c r="L359" s="94"/>
      <c r="M359" s="94"/>
      <c r="N359" s="94"/>
    </row>
    <row r="360" spans="1:14" ht="14.25" customHeight="1">
      <c r="A360" s="98"/>
      <c r="B360" s="94"/>
      <c r="C360" s="94"/>
      <c r="D360" s="94"/>
      <c r="E360" s="94"/>
      <c r="F360" s="94"/>
      <c r="G360" s="94"/>
      <c r="H360" s="94"/>
      <c r="I360" s="94"/>
      <c r="J360" s="94"/>
      <c r="K360" s="94"/>
      <c r="L360" s="94"/>
      <c r="M360" s="94"/>
      <c r="N360" s="94"/>
    </row>
    <row r="361" spans="1:14" ht="14.25" customHeight="1">
      <c r="A361" s="98"/>
      <c r="B361" s="94"/>
      <c r="C361" s="94"/>
      <c r="D361" s="94"/>
      <c r="E361" s="94"/>
      <c r="F361" s="94"/>
      <c r="G361" s="94"/>
      <c r="H361" s="94"/>
      <c r="I361" s="94"/>
      <c r="J361" s="94"/>
      <c r="K361" s="94"/>
      <c r="L361" s="94"/>
      <c r="M361" s="94"/>
      <c r="N361" s="94"/>
    </row>
    <row r="362" spans="1:14" ht="14.25" customHeight="1">
      <c r="A362" s="98"/>
      <c r="B362" s="94"/>
      <c r="C362" s="94"/>
      <c r="D362" s="94"/>
      <c r="E362" s="94"/>
      <c r="F362" s="94"/>
      <c r="G362" s="94"/>
      <c r="H362" s="94"/>
      <c r="I362" s="94"/>
      <c r="J362" s="94"/>
      <c r="K362" s="94"/>
      <c r="L362" s="94"/>
      <c r="M362" s="94"/>
      <c r="N362" s="94"/>
    </row>
    <row r="363" spans="1:14" ht="14.25" customHeight="1">
      <c r="A363" s="98"/>
      <c r="B363" s="94"/>
      <c r="C363" s="94"/>
      <c r="D363" s="94"/>
      <c r="E363" s="94"/>
      <c r="F363" s="94"/>
      <c r="G363" s="94"/>
      <c r="H363" s="94"/>
      <c r="I363" s="94"/>
      <c r="J363" s="94"/>
      <c r="K363" s="94"/>
      <c r="L363" s="94"/>
      <c r="M363" s="94"/>
      <c r="N363" s="94"/>
    </row>
    <row r="364" spans="1:14" ht="14.25" customHeight="1">
      <c r="A364" s="98"/>
      <c r="B364" s="94"/>
      <c r="C364" s="94"/>
      <c r="D364" s="94"/>
      <c r="E364" s="94"/>
      <c r="F364" s="94"/>
      <c r="G364" s="94"/>
      <c r="H364" s="94"/>
      <c r="I364" s="94"/>
      <c r="J364" s="94"/>
      <c r="K364" s="94"/>
      <c r="L364" s="94"/>
      <c r="M364" s="94"/>
      <c r="N364" s="94"/>
    </row>
    <row r="365" spans="1:14" ht="14.25" customHeight="1">
      <c r="A365" s="98"/>
      <c r="B365" s="94"/>
      <c r="C365" s="94"/>
      <c r="D365" s="94"/>
      <c r="E365" s="94"/>
      <c r="F365" s="94"/>
      <c r="G365" s="94"/>
      <c r="H365" s="94"/>
      <c r="I365" s="94"/>
      <c r="J365" s="94"/>
      <c r="K365" s="94"/>
      <c r="L365" s="94"/>
      <c r="M365" s="94"/>
      <c r="N365" s="94"/>
    </row>
    <row r="366" spans="1:14" ht="14.25" customHeight="1">
      <c r="A366" s="98"/>
      <c r="B366" s="94"/>
      <c r="C366" s="94"/>
      <c r="D366" s="94"/>
      <c r="E366" s="94"/>
      <c r="F366" s="94"/>
      <c r="G366" s="94"/>
      <c r="H366" s="94"/>
      <c r="I366" s="94"/>
      <c r="J366" s="94"/>
      <c r="K366" s="94"/>
      <c r="L366" s="94"/>
      <c r="M366" s="94"/>
      <c r="N366" s="94"/>
    </row>
    <row r="367" spans="1:14" ht="14.25" customHeight="1">
      <c r="A367" s="98"/>
      <c r="B367" s="94"/>
      <c r="C367" s="94"/>
      <c r="D367" s="94"/>
      <c r="E367" s="94"/>
      <c r="F367" s="94"/>
      <c r="G367" s="94"/>
      <c r="H367" s="94"/>
      <c r="I367" s="94"/>
      <c r="J367" s="94"/>
      <c r="K367" s="94"/>
      <c r="L367" s="94"/>
      <c r="M367" s="94"/>
      <c r="N367" s="94"/>
    </row>
    <row r="368" spans="1:14" ht="14.25" customHeight="1">
      <c r="A368" s="98"/>
      <c r="B368" s="94"/>
      <c r="C368" s="94"/>
      <c r="D368" s="94"/>
      <c r="E368" s="94"/>
      <c r="F368" s="94"/>
      <c r="G368" s="94"/>
      <c r="H368" s="94"/>
      <c r="I368" s="94"/>
      <c r="J368" s="94"/>
      <c r="K368" s="94"/>
      <c r="L368" s="94"/>
      <c r="M368" s="94"/>
      <c r="N368" s="94"/>
    </row>
    <row r="369" spans="1:14" ht="14.25" customHeight="1">
      <c r="A369" s="98"/>
      <c r="B369" s="94"/>
      <c r="C369" s="94"/>
      <c r="D369" s="94"/>
      <c r="E369" s="94"/>
      <c r="F369" s="94"/>
      <c r="G369" s="94"/>
      <c r="H369" s="94"/>
      <c r="I369" s="94"/>
      <c r="J369" s="94"/>
      <c r="K369" s="94"/>
      <c r="L369" s="94"/>
      <c r="M369" s="94"/>
      <c r="N369" s="94"/>
    </row>
    <row r="370" spans="1:14" ht="14.25" customHeight="1">
      <c r="A370" s="98"/>
      <c r="B370" s="94"/>
      <c r="C370" s="94"/>
      <c r="D370" s="94"/>
      <c r="E370" s="94"/>
      <c r="F370" s="94"/>
      <c r="G370" s="94"/>
      <c r="H370" s="94"/>
      <c r="I370" s="94"/>
      <c r="J370" s="94"/>
      <c r="K370" s="94"/>
      <c r="L370" s="94"/>
      <c r="M370" s="94"/>
      <c r="N370" s="94"/>
    </row>
    <row r="371" spans="1:14" ht="14.25" customHeight="1">
      <c r="A371" s="98"/>
      <c r="B371" s="94"/>
      <c r="C371" s="94"/>
      <c r="D371" s="94"/>
      <c r="E371" s="94"/>
      <c r="F371" s="94"/>
      <c r="G371" s="94"/>
      <c r="H371" s="94"/>
      <c r="I371" s="94"/>
      <c r="J371" s="94"/>
      <c r="K371" s="94"/>
      <c r="L371" s="94"/>
      <c r="M371" s="94"/>
      <c r="N371" s="94"/>
    </row>
    <row r="372" spans="1:14" ht="14.25" customHeight="1">
      <c r="A372" s="98"/>
      <c r="B372" s="94"/>
      <c r="C372" s="94"/>
      <c r="D372" s="94"/>
      <c r="E372" s="94"/>
      <c r="F372" s="94"/>
      <c r="G372" s="94"/>
      <c r="H372" s="94"/>
      <c r="I372" s="94"/>
      <c r="J372" s="94"/>
      <c r="K372" s="94"/>
      <c r="L372" s="94"/>
      <c r="M372" s="94"/>
      <c r="N372" s="94"/>
    </row>
    <row r="373" spans="1:14" ht="14.25" customHeight="1">
      <c r="A373" s="98"/>
      <c r="B373" s="94"/>
      <c r="C373" s="94"/>
      <c r="D373" s="94"/>
      <c r="E373" s="94"/>
      <c r="F373" s="94"/>
      <c r="G373" s="94"/>
      <c r="H373" s="94"/>
      <c r="I373" s="94"/>
      <c r="J373" s="94"/>
      <c r="K373" s="94"/>
      <c r="L373" s="94"/>
      <c r="M373" s="94"/>
      <c r="N373" s="94"/>
    </row>
    <row r="374" spans="1:14" ht="14.25" customHeight="1">
      <c r="A374" s="98"/>
      <c r="B374" s="94"/>
      <c r="C374" s="94"/>
      <c r="D374" s="94"/>
      <c r="E374" s="94"/>
      <c r="F374" s="94"/>
      <c r="G374" s="94"/>
      <c r="H374" s="94"/>
      <c r="I374" s="94"/>
      <c r="J374" s="94"/>
      <c r="K374" s="94"/>
      <c r="L374" s="94"/>
      <c r="M374" s="94"/>
      <c r="N374" s="94"/>
    </row>
    <row r="375" spans="1:14" ht="14.25" customHeight="1">
      <c r="A375" s="98"/>
      <c r="B375" s="94"/>
      <c r="C375" s="94"/>
      <c r="D375" s="94"/>
      <c r="E375" s="94"/>
      <c r="F375" s="94"/>
      <c r="G375" s="94"/>
      <c r="H375" s="94"/>
      <c r="I375" s="94"/>
      <c r="J375" s="94"/>
      <c r="K375" s="94"/>
      <c r="L375" s="94"/>
      <c r="M375" s="94"/>
      <c r="N375" s="94"/>
    </row>
    <row r="376" spans="1:14" ht="14.25" customHeight="1">
      <c r="A376" s="98"/>
      <c r="B376" s="94"/>
      <c r="C376" s="94"/>
      <c r="D376" s="94"/>
      <c r="E376" s="94"/>
      <c r="F376" s="94"/>
      <c r="G376" s="94"/>
      <c r="H376" s="94"/>
      <c r="I376" s="94"/>
      <c r="J376" s="94"/>
      <c r="K376" s="94"/>
      <c r="L376" s="94"/>
      <c r="M376" s="94"/>
      <c r="N376" s="94"/>
    </row>
    <row r="377" spans="1:14" ht="14.25" customHeight="1">
      <c r="A377" s="98"/>
      <c r="B377" s="94"/>
      <c r="C377" s="94"/>
      <c r="D377" s="94"/>
      <c r="E377" s="94"/>
      <c r="F377" s="94"/>
      <c r="G377" s="94"/>
      <c r="H377" s="94"/>
      <c r="I377" s="94"/>
      <c r="J377" s="94"/>
      <c r="K377" s="94"/>
      <c r="L377" s="94"/>
      <c r="M377" s="94"/>
      <c r="N377" s="94"/>
    </row>
    <row r="378" spans="1:14" ht="14.25" customHeight="1">
      <c r="A378" s="98"/>
      <c r="B378" s="94"/>
      <c r="C378" s="94"/>
      <c r="D378" s="94"/>
      <c r="E378" s="94"/>
      <c r="F378" s="94"/>
      <c r="G378" s="94"/>
      <c r="H378" s="94"/>
      <c r="I378" s="94"/>
      <c r="J378" s="94"/>
      <c r="K378" s="94"/>
      <c r="L378" s="94"/>
      <c r="M378" s="94"/>
      <c r="N378" s="94"/>
    </row>
    <row r="379" spans="1:14" ht="14.25" customHeight="1">
      <c r="A379" s="98"/>
      <c r="B379" s="94"/>
      <c r="C379" s="94"/>
      <c r="D379" s="94"/>
      <c r="E379" s="94"/>
      <c r="F379" s="94"/>
      <c r="G379" s="94"/>
      <c r="H379" s="94"/>
      <c r="I379" s="94"/>
      <c r="J379" s="94"/>
      <c r="K379" s="94"/>
      <c r="L379" s="94"/>
      <c r="M379" s="94"/>
      <c r="N379" s="94"/>
    </row>
    <row r="380" spans="1:14" ht="14.25" customHeight="1">
      <c r="A380" s="98"/>
      <c r="B380" s="94"/>
      <c r="C380" s="94"/>
      <c r="D380" s="94"/>
      <c r="E380" s="94"/>
      <c r="F380" s="94"/>
      <c r="G380" s="94"/>
      <c r="H380" s="94"/>
      <c r="I380" s="94"/>
      <c r="J380" s="94"/>
      <c r="K380" s="94"/>
      <c r="L380" s="94"/>
      <c r="M380" s="94"/>
      <c r="N380" s="94"/>
    </row>
    <row r="381" spans="1:14" ht="14.25" customHeight="1">
      <c r="A381" s="98"/>
      <c r="B381" s="94"/>
      <c r="C381" s="94"/>
      <c r="D381" s="94"/>
      <c r="E381" s="94"/>
      <c r="F381" s="94"/>
      <c r="G381" s="94"/>
      <c r="H381" s="94"/>
      <c r="I381" s="94"/>
      <c r="J381" s="94"/>
      <c r="K381" s="94"/>
      <c r="L381" s="94"/>
      <c r="M381" s="94"/>
      <c r="N381" s="94"/>
    </row>
    <row r="382" spans="1:14" ht="14.25" customHeight="1">
      <c r="A382" s="98"/>
      <c r="B382" s="94"/>
      <c r="C382" s="94"/>
      <c r="D382" s="94"/>
      <c r="E382" s="94"/>
      <c r="F382" s="94"/>
      <c r="G382" s="94"/>
      <c r="H382" s="94"/>
      <c r="I382" s="94"/>
      <c r="J382" s="94"/>
      <c r="K382" s="94"/>
      <c r="L382" s="94"/>
      <c r="M382" s="94"/>
      <c r="N382" s="94"/>
    </row>
    <row r="383" spans="1:14" ht="14.25" customHeight="1">
      <c r="A383" s="98"/>
      <c r="B383" s="94"/>
      <c r="C383" s="94"/>
      <c r="D383" s="94"/>
      <c r="E383" s="94"/>
      <c r="F383" s="94"/>
      <c r="G383" s="94"/>
      <c r="H383" s="94"/>
      <c r="I383" s="94"/>
      <c r="J383" s="94"/>
      <c r="K383" s="94"/>
      <c r="L383" s="94"/>
      <c r="M383" s="94"/>
      <c r="N383" s="94"/>
    </row>
    <row r="384" spans="1:14" ht="14.25" customHeight="1">
      <c r="A384" s="98"/>
      <c r="B384" s="94"/>
      <c r="C384" s="94"/>
      <c r="D384" s="94"/>
      <c r="E384" s="94"/>
      <c r="F384" s="94"/>
      <c r="G384" s="94"/>
      <c r="H384" s="94"/>
      <c r="I384" s="94"/>
      <c r="J384" s="94"/>
      <c r="K384" s="94"/>
      <c r="L384" s="94"/>
      <c r="M384" s="94"/>
      <c r="N384" s="94"/>
    </row>
    <row r="385" spans="1:14" ht="14.25" customHeight="1">
      <c r="A385" s="98"/>
      <c r="B385" s="94"/>
      <c r="C385" s="94"/>
      <c r="D385" s="94"/>
      <c r="E385" s="94"/>
      <c r="F385" s="94"/>
      <c r="G385" s="94"/>
      <c r="H385" s="94"/>
      <c r="I385" s="94"/>
      <c r="J385" s="94"/>
      <c r="K385" s="94"/>
      <c r="L385" s="94"/>
      <c r="M385" s="94"/>
      <c r="N385" s="94"/>
    </row>
    <row r="386" spans="1:14" ht="14.25" customHeight="1">
      <c r="A386" s="98"/>
      <c r="B386" s="94"/>
      <c r="C386" s="94"/>
      <c r="D386" s="94"/>
      <c r="E386" s="94"/>
      <c r="F386" s="94"/>
      <c r="G386" s="94"/>
      <c r="H386" s="94"/>
      <c r="I386" s="94"/>
      <c r="J386" s="94"/>
      <c r="K386" s="94"/>
      <c r="L386" s="94"/>
      <c r="M386" s="94"/>
      <c r="N386" s="94"/>
    </row>
    <row r="387" spans="1:14" ht="14.25" customHeight="1">
      <c r="A387" s="98"/>
      <c r="B387" s="94"/>
      <c r="C387" s="94"/>
      <c r="D387" s="94"/>
      <c r="E387" s="94"/>
      <c r="F387" s="94"/>
      <c r="G387" s="94"/>
      <c r="H387" s="94"/>
      <c r="I387" s="94"/>
      <c r="J387" s="94"/>
      <c r="K387" s="94"/>
      <c r="L387" s="94"/>
      <c r="M387" s="94"/>
      <c r="N387" s="94"/>
    </row>
    <row r="388" spans="1:14" ht="14.25" customHeight="1">
      <c r="A388" s="98"/>
      <c r="B388" s="94"/>
      <c r="C388" s="94"/>
      <c r="D388" s="94"/>
      <c r="E388" s="94"/>
      <c r="F388" s="94"/>
      <c r="G388" s="94"/>
      <c r="H388" s="94"/>
      <c r="I388" s="94"/>
      <c r="J388" s="94"/>
      <c r="K388" s="94"/>
      <c r="L388" s="94"/>
      <c r="M388" s="94"/>
      <c r="N388" s="94"/>
    </row>
    <row r="389" spans="1:14" ht="14.25" customHeight="1">
      <c r="A389" s="98"/>
      <c r="B389" s="94"/>
      <c r="C389" s="94"/>
      <c r="D389" s="94"/>
      <c r="E389" s="94"/>
      <c r="F389" s="94"/>
      <c r="G389" s="94"/>
      <c r="H389" s="94"/>
      <c r="I389" s="94"/>
      <c r="J389" s="94"/>
      <c r="K389" s="94"/>
      <c r="L389" s="94"/>
      <c r="M389" s="94"/>
      <c r="N389" s="94"/>
    </row>
    <row r="390" spans="1:14" ht="14.25" customHeight="1">
      <c r="A390" s="98"/>
      <c r="B390" s="94"/>
      <c r="C390" s="94"/>
      <c r="D390" s="94"/>
      <c r="E390" s="94"/>
      <c r="F390" s="94"/>
      <c r="G390" s="94"/>
      <c r="H390" s="94"/>
      <c r="I390" s="94"/>
      <c r="J390" s="94"/>
      <c r="K390" s="94"/>
      <c r="L390" s="94"/>
      <c r="M390" s="94"/>
      <c r="N390" s="94"/>
    </row>
    <row r="391" spans="1:14" ht="14.25" customHeight="1">
      <c r="A391" s="98"/>
      <c r="B391" s="94"/>
      <c r="C391" s="94"/>
      <c r="D391" s="94"/>
      <c r="E391" s="94"/>
      <c r="F391" s="94"/>
      <c r="G391" s="94"/>
      <c r="H391" s="94"/>
      <c r="I391" s="94"/>
      <c r="J391" s="94"/>
      <c r="K391" s="94"/>
      <c r="L391" s="94"/>
      <c r="M391" s="94"/>
      <c r="N391" s="94"/>
    </row>
    <row r="392" spans="1:14" ht="14.25" customHeight="1">
      <c r="A392" s="98"/>
      <c r="B392" s="94"/>
      <c r="C392" s="94"/>
      <c r="D392" s="94"/>
      <c r="E392" s="94"/>
      <c r="F392" s="94"/>
      <c r="G392" s="94"/>
      <c r="H392" s="94"/>
      <c r="I392" s="94"/>
      <c r="J392" s="94"/>
      <c r="K392" s="94"/>
      <c r="L392" s="94"/>
      <c r="M392" s="94"/>
      <c r="N392" s="94"/>
    </row>
    <row r="393" spans="1:14" ht="14.25" customHeight="1">
      <c r="A393" s="98"/>
      <c r="B393" s="94"/>
      <c r="C393" s="94"/>
      <c r="D393" s="94"/>
      <c r="E393" s="94"/>
      <c r="F393" s="94"/>
      <c r="G393" s="94"/>
      <c r="H393" s="94"/>
      <c r="I393" s="94"/>
      <c r="J393" s="94"/>
      <c r="K393" s="94"/>
      <c r="L393" s="94"/>
      <c r="M393" s="94"/>
      <c r="N393" s="94"/>
    </row>
    <row r="394" spans="1:14" ht="14.25" customHeight="1">
      <c r="A394" s="98"/>
      <c r="B394" s="94"/>
      <c r="C394" s="94"/>
      <c r="D394" s="94"/>
      <c r="E394" s="94"/>
      <c r="F394" s="94"/>
      <c r="G394" s="94"/>
      <c r="H394" s="94"/>
      <c r="I394" s="94"/>
      <c r="J394" s="94"/>
      <c r="K394" s="94"/>
      <c r="L394" s="94"/>
      <c r="M394" s="94"/>
      <c r="N394" s="94"/>
    </row>
    <row r="395" spans="1:14" ht="14.25" customHeight="1">
      <c r="A395" s="98"/>
      <c r="B395" s="94"/>
      <c r="C395" s="94"/>
      <c r="D395" s="94"/>
      <c r="E395" s="94"/>
      <c r="F395" s="94"/>
      <c r="G395" s="94"/>
      <c r="H395" s="94"/>
      <c r="I395" s="94"/>
      <c r="J395" s="94"/>
      <c r="K395" s="94"/>
      <c r="L395" s="94"/>
      <c r="M395" s="94"/>
      <c r="N395" s="94"/>
    </row>
    <row r="396" spans="1:14" ht="14.25" customHeight="1">
      <c r="A396" s="98"/>
      <c r="B396" s="94"/>
      <c r="C396" s="94"/>
      <c r="D396" s="94"/>
      <c r="E396" s="94"/>
      <c r="F396" s="94"/>
      <c r="G396" s="94"/>
      <c r="H396" s="94"/>
      <c r="I396" s="94"/>
      <c r="J396" s="94"/>
      <c r="K396" s="94"/>
      <c r="L396" s="94"/>
      <c r="M396" s="94"/>
      <c r="N396" s="94"/>
    </row>
    <row r="397" spans="1:14" ht="14.25" customHeight="1">
      <c r="A397" s="98"/>
      <c r="B397" s="94"/>
      <c r="C397" s="94"/>
      <c r="D397" s="94"/>
      <c r="E397" s="94"/>
      <c r="F397" s="94"/>
      <c r="G397" s="94"/>
      <c r="H397" s="94"/>
      <c r="I397" s="94"/>
      <c r="J397" s="94"/>
      <c r="K397" s="94"/>
      <c r="L397" s="94"/>
      <c r="M397" s="94"/>
      <c r="N397" s="94"/>
    </row>
    <row r="398" spans="1:14" ht="14.25" customHeight="1">
      <c r="A398" s="98"/>
      <c r="B398" s="94"/>
      <c r="C398" s="94"/>
      <c r="D398" s="94"/>
      <c r="E398" s="94"/>
      <c r="F398" s="94"/>
      <c r="G398" s="94"/>
      <c r="H398" s="94"/>
      <c r="I398" s="94"/>
      <c r="J398" s="94"/>
      <c r="K398" s="94"/>
      <c r="L398" s="94"/>
      <c r="M398" s="94"/>
      <c r="N398" s="94"/>
    </row>
    <row r="399" spans="1:14" ht="14.25" customHeight="1">
      <c r="A399" s="98"/>
      <c r="B399" s="94"/>
      <c r="C399" s="94"/>
      <c r="D399" s="94"/>
      <c r="E399" s="94"/>
      <c r="F399" s="94"/>
      <c r="G399" s="94"/>
      <c r="H399" s="94"/>
      <c r="I399" s="94"/>
      <c r="J399" s="94"/>
      <c r="K399" s="94"/>
      <c r="L399" s="94"/>
      <c r="M399" s="94"/>
      <c r="N399" s="94"/>
    </row>
    <row r="400" spans="1:14" ht="14.25" customHeight="1">
      <c r="A400" s="98"/>
      <c r="B400" s="94"/>
      <c r="C400" s="94"/>
      <c r="D400" s="94"/>
      <c r="E400" s="94"/>
      <c r="F400" s="94"/>
      <c r="G400" s="94"/>
      <c r="H400" s="94"/>
      <c r="I400" s="94"/>
      <c r="J400" s="94"/>
      <c r="K400" s="94"/>
      <c r="L400" s="94"/>
      <c r="M400" s="94"/>
      <c r="N400" s="94"/>
    </row>
    <row r="401" spans="1:14" ht="14.25" customHeight="1">
      <c r="A401" s="98"/>
      <c r="B401" s="94"/>
      <c r="C401" s="94"/>
      <c r="D401" s="94"/>
      <c r="E401" s="94"/>
      <c r="F401" s="94"/>
      <c r="G401" s="94"/>
      <c r="H401" s="94"/>
      <c r="I401" s="94"/>
      <c r="J401" s="94"/>
      <c r="K401" s="94"/>
      <c r="L401" s="94"/>
      <c r="M401" s="94"/>
      <c r="N401" s="94"/>
    </row>
    <row r="402" spans="1:14" ht="14.25" customHeight="1">
      <c r="A402" s="98"/>
      <c r="B402" s="94"/>
      <c r="C402" s="94"/>
      <c r="D402" s="94"/>
      <c r="E402" s="94"/>
      <c r="F402" s="94"/>
      <c r="G402" s="94"/>
      <c r="H402" s="94"/>
      <c r="I402" s="94"/>
      <c r="J402" s="94"/>
      <c r="K402" s="94"/>
      <c r="L402" s="94"/>
      <c r="M402" s="94"/>
      <c r="N402" s="94"/>
    </row>
    <row r="403" spans="1:14" ht="14.25" customHeight="1">
      <c r="A403" s="98"/>
      <c r="B403" s="94"/>
      <c r="C403" s="94"/>
      <c r="D403" s="94"/>
      <c r="E403" s="94"/>
      <c r="F403" s="94"/>
      <c r="G403" s="94"/>
      <c r="H403" s="94"/>
      <c r="I403" s="94"/>
      <c r="J403" s="94"/>
      <c r="K403" s="94"/>
      <c r="L403" s="94"/>
      <c r="M403" s="94"/>
      <c r="N403" s="94"/>
    </row>
    <row r="404" spans="1:14" ht="14.25" customHeight="1">
      <c r="A404" s="98"/>
      <c r="B404" s="94"/>
      <c r="C404" s="94"/>
      <c r="D404" s="94"/>
      <c r="E404" s="94"/>
      <c r="F404" s="94"/>
      <c r="G404" s="94"/>
      <c r="H404" s="94"/>
      <c r="I404" s="94"/>
      <c r="J404" s="94"/>
      <c r="K404" s="94"/>
      <c r="L404" s="94"/>
      <c r="M404" s="94"/>
      <c r="N404" s="94"/>
    </row>
    <row r="405" spans="1:14" ht="14.25" customHeight="1">
      <c r="A405" s="98"/>
      <c r="B405" s="94"/>
      <c r="C405" s="94"/>
      <c r="D405" s="94"/>
      <c r="E405" s="94"/>
      <c r="F405" s="94"/>
      <c r="G405" s="94"/>
      <c r="H405" s="94"/>
      <c r="I405" s="94"/>
      <c r="J405" s="94"/>
      <c r="K405" s="94"/>
      <c r="L405" s="94"/>
      <c r="M405" s="94"/>
      <c r="N405" s="94"/>
    </row>
    <row r="406" spans="1:14" ht="14.25" customHeight="1">
      <c r="A406" s="98"/>
      <c r="B406" s="94"/>
      <c r="C406" s="94"/>
      <c r="D406" s="94"/>
      <c r="E406" s="94"/>
      <c r="F406" s="94"/>
      <c r="G406" s="94"/>
      <c r="H406" s="94"/>
      <c r="I406" s="94"/>
      <c r="J406" s="94"/>
      <c r="K406" s="94"/>
      <c r="L406" s="94"/>
      <c r="M406" s="94"/>
      <c r="N406" s="94"/>
    </row>
    <row r="407" spans="1:14" ht="14.25" customHeight="1">
      <c r="A407" s="98"/>
      <c r="B407" s="94"/>
      <c r="C407" s="94"/>
      <c r="D407" s="94"/>
      <c r="E407" s="94"/>
      <c r="F407" s="94"/>
      <c r="G407" s="94"/>
      <c r="H407" s="94"/>
      <c r="I407" s="94"/>
      <c r="J407" s="94"/>
      <c r="K407" s="94"/>
      <c r="L407" s="94"/>
      <c r="M407" s="94"/>
      <c r="N407" s="94"/>
    </row>
    <row r="408" spans="1:14" ht="14.25" customHeight="1">
      <c r="A408" s="98"/>
      <c r="B408" s="94"/>
      <c r="C408" s="94"/>
      <c r="D408" s="94"/>
      <c r="E408" s="94"/>
      <c r="F408" s="94"/>
      <c r="G408" s="94"/>
      <c r="H408" s="94"/>
      <c r="I408" s="94"/>
      <c r="J408" s="94"/>
      <c r="K408" s="94"/>
      <c r="L408" s="94"/>
      <c r="M408" s="94"/>
      <c r="N408" s="94"/>
    </row>
    <row r="409" spans="1:14" ht="14.25" customHeight="1">
      <c r="A409" s="98"/>
      <c r="B409" s="94"/>
      <c r="C409" s="94"/>
      <c r="D409" s="94"/>
      <c r="E409" s="94"/>
      <c r="F409" s="94"/>
      <c r="G409" s="94"/>
      <c r="H409" s="94"/>
      <c r="I409" s="94"/>
      <c r="J409" s="94"/>
      <c r="K409" s="94"/>
      <c r="L409" s="94"/>
      <c r="M409" s="94"/>
      <c r="N409" s="94"/>
    </row>
    <row r="410" spans="1:14" ht="14.25" customHeight="1">
      <c r="A410" s="98"/>
      <c r="B410" s="94"/>
      <c r="C410" s="94"/>
      <c r="D410" s="94"/>
      <c r="E410" s="94"/>
      <c r="F410" s="94"/>
      <c r="G410" s="94"/>
      <c r="H410" s="94"/>
      <c r="I410" s="94"/>
      <c r="J410" s="94"/>
      <c r="K410" s="94"/>
      <c r="L410" s="94"/>
      <c r="M410" s="94"/>
      <c r="N410" s="94"/>
    </row>
    <row r="411" spans="1:14" ht="14.25" customHeight="1">
      <c r="A411" s="98"/>
      <c r="B411" s="94"/>
      <c r="C411" s="94"/>
      <c r="D411" s="94"/>
      <c r="E411" s="94"/>
      <c r="F411" s="94"/>
      <c r="G411" s="94"/>
      <c r="H411" s="94"/>
      <c r="I411" s="94"/>
      <c r="J411" s="94"/>
      <c r="K411" s="94"/>
      <c r="L411" s="94"/>
      <c r="M411" s="94"/>
      <c r="N411" s="94"/>
    </row>
    <row r="412" spans="1:14" ht="14.25" customHeight="1">
      <c r="A412" s="98"/>
      <c r="B412" s="94"/>
      <c r="C412" s="94"/>
      <c r="D412" s="94"/>
      <c r="E412" s="94"/>
      <c r="F412" s="94"/>
      <c r="G412" s="94"/>
      <c r="H412" s="94"/>
      <c r="I412" s="94"/>
      <c r="J412" s="94"/>
      <c r="K412" s="94"/>
      <c r="L412" s="94"/>
      <c r="M412" s="94"/>
      <c r="N412" s="94"/>
    </row>
    <row r="413" spans="1:14" ht="14.25" customHeight="1">
      <c r="A413" s="98"/>
      <c r="B413" s="94"/>
      <c r="C413" s="94"/>
      <c r="D413" s="94"/>
      <c r="E413" s="94"/>
      <c r="F413" s="94"/>
      <c r="G413" s="94"/>
      <c r="H413" s="94"/>
      <c r="I413" s="94"/>
      <c r="J413" s="94"/>
      <c r="K413" s="94"/>
      <c r="L413" s="94"/>
      <c r="M413" s="94"/>
      <c r="N413" s="94"/>
    </row>
    <row r="414" spans="1:14" ht="14.25" customHeight="1">
      <c r="A414" s="98"/>
      <c r="B414" s="94"/>
      <c r="C414" s="94"/>
      <c r="D414" s="94"/>
      <c r="E414" s="94"/>
      <c r="F414" s="94"/>
      <c r="G414" s="94"/>
      <c r="H414" s="94"/>
      <c r="I414" s="94"/>
      <c r="J414" s="94"/>
      <c r="K414" s="94"/>
      <c r="L414" s="94"/>
      <c r="M414" s="94"/>
      <c r="N414" s="94"/>
    </row>
    <row r="415" spans="1:14" ht="14.25" customHeight="1">
      <c r="A415" s="98"/>
      <c r="B415" s="94"/>
      <c r="C415" s="94"/>
      <c r="D415" s="94"/>
      <c r="E415" s="94"/>
      <c r="F415" s="94"/>
      <c r="G415" s="94"/>
      <c r="H415" s="94"/>
      <c r="I415" s="94"/>
      <c r="J415" s="94"/>
      <c r="K415" s="94"/>
      <c r="L415" s="94"/>
      <c r="M415" s="94"/>
      <c r="N415" s="94"/>
    </row>
    <row r="416" spans="1:14" ht="14.25" customHeight="1">
      <c r="A416" s="98"/>
      <c r="B416" s="94"/>
      <c r="C416" s="94"/>
      <c r="D416" s="94"/>
      <c r="E416" s="94"/>
      <c r="F416" s="94"/>
      <c r="G416" s="94"/>
      <c r="H416" s="94"/>
      <c r="I416" s="94"/>
      <c r="J416" s="94"/>
      <c r="K416" s="94"/>
      <c r="L416" s="94"/>
      <c r="M416" s="94"/>
      <c r="N416" s="94"/>
    </row>
    <row r="417" spans="1:14" ht="14.25" customHeight="1">
      <c r="A417" s="98"/>
      <c r="B417" s="94"/>
      <c r="C417" s="94"/>
      <c r="D417" s="94"/>
      <c r="E417" s="94"/>
      <c r="F417" s="94"/>
      <c r="G417" s="94"/>
      <c r="H417" s="94"/>
      <c r="I417" s="94"/>
      <c r="J417" s="94"/>
      <c r="K417" s="94"/>
      <c r="L417" s="94"/>
      <c r="M417" s="94"/>
      <c r="N417" s="94"/>
    </row>
    <row r="418" spans="1:14" ht="14.25" customHeight="1">
      <c r="A418" s="98"/>
      <c r="B418" s="94"/>
      <c r="C418" s="94"/>
      <c r="D418" s="94"/>
      <c r="E418" s="94"/>
      <c r="F418" s="94"/>
      <c r="G418" s="94"/>
      <c r="H418" s="94"/>
      <c r="I418" s="94"/>
      <c r="J418" s="94"/>
      <c r="K418" s="94"/>
      <c r="L418" s="94"/>
      <c r="M418" s="94"/>
      <c r="N418" s="94"/>
    </row>
    <row r="419" spans="1:14" ht="14.25" customHeight="1">
      <c r="A419" s="98"/>
      <c r="B419" s="94"/>
      <c r="C419" s="94"/>
      <c r="D419" s="94"/>
      <c r="E419" s="94"/>
      <c r="F419" s="94"/>
      <c r="G419" s="94"/>
      <c r="H419" s="94"/>
      <c r="I419" s="94"/>
      <c r="J419" s="94"/>
      <c r="K419" s="94"/>
      <c r="L419" s="94"/>
      <c r="M419" s="94"/>
      <c r="N419" s="94"/>
    </row>
    <row r="420" spans="1:14" ht="14.25" customHeight="1">
      <c r="A420" s="98"/>
      <c r="B420" s="94"/>
      <c r="C420" s="94"/>
      <c r="D420" s="94"/>
      <c r="E420" s="94"/>
      <c r="F420" s="94"/>
      <c r="G420" s="94"/>
      <c r="H420" s="94"/>
      <c r="I420" s="94"/>
      <c r="J420" s="94"/>
      <c r="K420" s="94"/>
      <c r="L420" s="94"/>
      <c r="M420" s="94"/>
      <c r="N420" s="94"/>
    </row>
    <row r="421" spans="1:14" ht="14.25" customHeight="1">
      <c r="A421" s="98"/>
      <c r="B421" s="94"/>
      <c r="C421" s="94"/>
      <c r="D421" s="94"/>
      <c r="E421" s="94"/>
      <c r="F421" s="94"/>
      <c r="G421" s="94"/>
      <c r="H421" s="94"/>
      <c r="I421" s="94"/>
      <c r="J421" s="94"/>
      <c r="K421" s="94"/>
      <c r="L421" s="94"/>
      <c r="M421" s="94"/>
      <c r="N421" s="94"/>
    </row>
    <row r="422" spans="1:14" ht="14.25" customHeight="1">
      <c r="A422" s="98"/>
      <c r="B422" s="94"/>
      <c r="C422" s="94"/>
      <c r="D422" s="94"/>
      <c r="E422" s="94"/>
      <c r="F422" s="94"/>
      <c r="G422" s="94"/>
      <c r="H422" s="94"/>
      <c r="I422" s="94"/>
      <c r="J422" s="94"/>
      <c r="K422" s="94"/>
      <c r="L422" s="94"/>
      <c r="M422" s="94"/>
      <c r="N422" s="94"/>
    </row>
    <row r="423" spans="1:14" ht="14.25" customHeight="1">
      <c r="A423" s="98"/>
      <c r="B423" s="94"/>
      <c r="C423" s="94"/>
      <c r="D423" s="94"/>
      <c r="E423" s="94"/>
      <c r="F423" s="94"/>
      <c r="G423" s="94"/>
      <c r="H423" s="94"/>
      <c r="I423" s="94"/>
      <c r="J423" s="94"/>
      <c r="K423" s="94"/>
      <c r="L423" s="94"/>
      <c r="M423" s="94"/>
      <c r="N423" s="94"/>
    </row>
    <row r="424" spans="1:14" ht="14.25" customHeight="1">
      <c r="A424" s="98"/>
      <c r="B424" s="94"/>
      <c r="C424" s="94"/>
      <c r="D424" s="94"/>
      <c r="E424" s="94"/>
      <c r="F424" s="94"/>
      <c r="G424" s="94"/>
      <c r="H424" s="94"/>
      <c r="I424" s="94"/>
      <c r="J424" s="94"/>
      <c r="K424" s="94"/>
      <c r="L424" s="94"/>
      <c r="M424" s="94"/>
      <c r="N424" s="94"/>
    </row>
    <row r="425" spans="1:14" ht="14.25" customHeight="1">
      <c r="A425" s="98"/>
      <c r="B425" s="94"/>
      <c r="C425" s="94"/>
      <c r="D425" s="94"/>
      <c r="E425" s="94"/>
      <c r="F425" s="94"/>
      <c r="G425" s="94"/>
      <c r="H425" s="94"/>
      <c r="I425" s="94"/>
      <c r="J425" s="94"/>
      <c r="K425" s="94"/>
      <c r="L425" s="94"/>
      <c r="M425" s="94"/>
      <c r="N425" s="94"/>
    </row>
    <row r="426" spans="1:14" ht="14.25" customHeight="1">
      <c r="A426" s="98"/>
      <c r="B426" s="94"/>
      <c r="C426" s="94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</row>
    <row r="427" spans="1:14" ht="14.25" customHeight="1">
      <c r="A427" s="98"/>
      <c r="B427" s="94"/>
      <c r="C427" s="94"/>
      <c r="D427" s="94"/>
      <c r="E427" s="94"/>
      <c r="F427" s="94"/>
      <c r="G427" s="94"/>
      <c r="H427" s="94"/>
      <c r="I427" s="94"/>
      <c r="J427" s="94"/>
      <c r="K427" s="94"/>
      <c r="L427" s="94"/>
      <c r="M427" s="94"/>
      <c r="N427" s="94"/>
    </row>
    <row r="428" spans="1:14" ht="14.25" customHeight="1">
      <c r="A428" s="98"/>
      <c r="B428" s="94"/>
      <c r="C428" s="94"/>
      <c r="D428" s="94"/>
      <c r="E428" s="94"/>
      <c r="F428" s="94"/>
      <c r="G428" s="94"/>
      <c r="H428" s="94"/>
      <c r="I428" s="94"/>
      <c r="J428" s="94"/>
      <c r="K428" s="94"/>
      <c r="L428" s="94"/>
      <c r="M428" s="94"/>
      <c r="N428" s="94"/>
    </row>
    <row r="429" spans="1:14" ht="14.25" customHeight="1">
      <c r="A429" s="98"/>
      <c r="B429" s="94"/>
      <c r="C429" s="94"/>
      <c r="D429" s="94"/>
      <c r="E429" s="94"/>
      <c r="F429" s="94"/>
      <c r="G429" s="94"/>
      <c r="H429" s="94"/>
      <c r="I429" s="94"/>
      <c r="J429" s="94"/>
      <c r="K429" s="94"/>
      <c r="L429" s="94"/>
      <c r="M429" s="94"/>
      <c r="N429" s="94"/>
    </row>
    <row r="430" spans="1:14" ht="14.25" customHeight="1">
      <c r="A430" s="98"/>
      <c r="B430" s="94"/>
      <c r="C430" s="94"/>
      <c r="D430" s="94"/>
      <c r="E430" s="94"/>
      <c r="F430" s="94"/>
      <c r="G430" s="94"/>
      <c r="H430" s="94"/>
      <c r="I430" s="94"/>
      <c r="J430" s="94"/>
      <c r="K430" s="94"/>
      <c r="L430" s="94"/>
      <c r="M430" s="94"/>
      <c r="N430" s="94"/>
    </row>
    <row r="431" spans="1:14" ht="14.25" customHeight="1">
      <c r="A431" s="98"/>
      <c r="B431" s="94"/>
      <c r="C431" s="94"/>
      <c r="D431" s="94"/>
      <c r="E431" s="94"/>
      <c r="F431" s="94"/>
      <c r="G431" s="94"/>
      <c r="H431" s="94"/>
      <c r="I431" s="94"/>
      <c r="J431" s="94"/>
      <c r="K431" s="94"/>
      <c r="L431" s="94"/>
      <c r="M431" s="94"/>
      <c r="N431" s="94"/>
    </row>
    <row r="432" spans="1:14" ht="14.25" customHeight="1">
      <c r="A432" s="98"/>
      <c r="B432" s="94"/>
      <c r="C432" s="94"/>
      <c r="D432" s="94"/>
      <c r="E432" s="94"/>
      <c r="F432" s="94"/>
      <c r="G432" s="94"/>
      <c r="H432" s="94"/>
      <c r="I432" s="94"/>
      <c r="J432" s="94"/>
      <c r="K432" s="94"/>
      <c r="L432" s="94"/>
      <c r="M432" s="94"/>
      <c r="N432" s="94"/>
    </row>
    <row r="433" spans="1:14" ht="14.25" customHeight="1">
      <c r="A433" s="98"/>
      <c r="B433" s="94"/>
      <c r="C433" s="94"/>
      <c r="D433" s="94"/>
      <c r="E433" s="94"/>
      <c r="F433" s="94"/>
      <c r="G433" s="94"/>
      <c r="H433" s="94"/>
      <c r="I433" s="94"/>
      <c r="J433" s="94"/>
      <c r="K433" s="94"/>
      <c r="L433" s="94"/>
      <c r="M433" s="94"/>
      <c r="N433" s="94"/>
    </row>
    <row r="434" spans="1:14" ht="14.25" customHeight="1">
      <c r="A434" s="98"/>
      <c r="B434" s="94"/>
      <c r="C434" s="94"/>
      <c r="D434" s="94"/>
      <c r="E434" s="94"/>
      <c r="F434" s="94"/>
      <c r="G434" s="94"/>
      <c r="H434" s="94"/>
      <c r="I434" s="94"/>
      <c r="J434" s="94"/>
      <c r="K434" s="94"/>
      <c r="L434" s="94"/>
      <c r="M434" s="94"/>
      <c r="N434" s="94"/>
    </row>
    <row r="435" spans="1:14" ht="14.25" customHeight="1">
      <c r="A435" s="98"/>
      <c r="B435" s="94"/>
      <c r="C435" s="94"/>
      <c r="D435" s="94"/>
      <c r="E435" s="94"/>
      <c r="F435" s="94"/>
      <c r="G435" s="94"/>
      <c r="H435" s="94"/>
      <c r="I435" s="94"/>
      <c r="J435" s="94"/>
      <c r="K435" s="94"/>
      <c r="L435" s="94"/>
      <c r="M435" s="94"/>
      <c r="N435" s="94"/>
    </row>
    <row r="436" spans="1:14" ht="14.25" customHeight="1">
      <c r="A436" s="98"/>
      <c r="B436" s="94"/>
      <c r="C436" s="94"/>
      <c r="D436" s="94"/>
      <c r="E436" s="94"/>
      <c r="F436" s="94"/>
      <c r="G436" s="94"/>
      <c r="H436" s="94"/>
      <c r="I436" s="94"/>
      <c r="J436" s="94"/>
      <c r="K436" s="94"/>
      <c r="L436" s="94"/>
      <c r="M436" s="94"/>
      <c r="N436" s="94"/>
    </row>
    <row r="437" spans="1:14" ht="14.25" customHeight="1">
      <c r="A437" s="98"/>
      <c r="B437" s="94"/>
      <c r="C437" s="94"/>
      <c r="D437" s="94"/>
      <c r="E437" s="94"/>
      <c r="F437" s="94"/>
      <c r="G437" s="94"/>
      <c r="H437" s="94"/>
      <c r="I437" s="94"/>
      <c r="J437" s="94"/>
      <c r="K437" s="94"/>
      <c r="L437" s="94"/>
      <c r="M437" s="94"/>
      <c r="N437" s="94"/>
    </row>
    <row r="438" spans="1:14" ht="14.25" customHeight="1">
      <c r="A438" s="98"/>
      <c r="B438" s="94"/>
      <c r="C438" s="94"/>
      <c r="D438" s="94"/>
      <c r="E438" s="94"/>
      <c r="F438" s="94"/>
      <c r="G438" s="94"/>
      <c r="H438" s="94"/>
      <c r="I438" s="94"/>
      <c r="J438" s="94"/>
      <c r="K438" s="94"/>
      <c r="L438" s="94"/>
      <c r="M438" s="94"/>
      <c r="N438" s="94"/>
    </row>
    <row r="439" spans="1:14" ht="14.25" customHeight="1">
      <c r="A439" s="98"/>
      <c r="B439" s="94"/>
      <c r="C439" s="94"/>
      <c r="D439" s="94"/>
      <c r="E439" s="94"/>
      <c r="F439" s="94"/>
      <c r="G439" s="94"/>
      <c r="H439" s="94"/>
      <c r="I439" s="94"/>
      <c r="J439" s="94"/>
      <c r="K439" s="94"/>
      <c r="L439" s="94"/>
      <c r="M439" s="94"/>
      <c r="N439" s="94"/>
    </row>
    <row r="440" spans="1:14" ht="14.25" customHeight="1">
      <c r="A440" s="98"/>
      <c r="B440" s="94"/>
      <c r="C440" s="94"/>
      <c r="D440" s="94"/>
      <c r="E440" s="94"/>
      <c r="F440" s="94"/>
      <c r="G440" s="94"/>
      <c r="H440" s="94"/>
      <c r="I440" s="94"/>
      <c r="J440" s="94"/>
      <c r="K440" s="94"/>
      <c r="L440" s="94"/>
      <c r="M440" s="94"/>
      <c r="N440" s="94"/>
    </row>
    <row r="441" spans="1:14" ht="14.25" customHeight="1">
      <c r="A441" s="98"/>
      <c r="B441" s="94"/>
      <c r="C441" s="94"/>
      <c r="D441" s="94"/>
      <c r="E441" s="94"/>
      <c r="F441" s="94"/>
      <c r="G441" s="94"/>
      <c r="H441" s="94"/>
      <c r="I441" s="94"/>
      <c r="J441" s="94"/>
      <c r="K441" s="94"/>
      <c r="L441" s="94"/>
      <c r="M441" s="94"/>
      <c r="N441" s="94"/>
    </row>
    <row r="442" spans="1:14" ht="14.25" customHeight="1">
      <c r="A442" s="98"/>
      <c r="B442" s="94"/>
      <c r="C442" s="94"/>
      <c r="D442" s="94"/>
      <c r="E442" s="94"/>
      <c r="F442" s="94"/>
      <c r="G442" s="94"/>
      <c r="H442" s="94"/>
      <c r="I442" s="94"/>
      <c r="J442" s="94"/>
      <c r="K442" s="94"/>
      <c r="L442" s="94"/>
      <c r="M442" s="94"/>
      <c r="N442" s="94"/>
    </row>
    <row r="443" spans="1:14" ht="14.25" customHeight="1">
      <c r="A443" s="98"/>
      <c r="B443" s="94"/>
      <c r="C443" s="94"/>
      <c r="D443" s="94"/>
      <c r="E443" s="94"/>
      <c r="F443" s="94"/>
      <c r="G443" s="94"/>
      <c r="H443" s="94"/>
      <c r="I443" s="94"/>
      <c r="J443" s="94"/>
      <c r="K443" s="94"/>
      <c r="L443" s="94"/>
      <c r="M443" s="94"/>
      <c r="N443" s="94"/>
    </row>
    <row r="444" spans="1:14" ht="14.25" customHeight="1">
      <c r="A444" s="98"/>
      <c r="B444" s="94"/>
      <c r="C444" s="94"/>
      <c r="D444" s="94"/>
      <c r="E444" s="94"/>
      <c r="F444" s="94"/>
      <c r="G444" s="94"/>
      <c r="H444" s="94"/>
      <c r="I444" s="94"/>
      <c r="J444" s="94"/>
      <c r="K444" s="94"/>
      <c r="L444" s="94"/>
      <c r="M444" s="94"/>
      <c r="N444" s="94"/>
    </row>
    <row r="445" spans="1:14" ht="14.25" customHeight="1">
      <c r="A445" s="98"/>
      <c r="B445" s="94"/>
      <c r="C445" s="94"/>
      <c r="D445" s="94"/>
      <c r="E445" s="94"/>
      <c r="F445" s="94"/>
      <c r="G445" s="94"/>
      <c r="H445" s="94"/>
      <c r="I445" s="94"/>
      <c r="J445" s="94"/>
      <c r="K445" s="94"/>
      <c r="L445" s="94"/>
      <c r="M445" s="94"/>
      <c r="N445" s="94"/>
    </row>
    <row r="446" spans="1:14" ht="14.25" customHeight="1">
      <c r="A446" s="98"/>
      <c r="B446" s="94"/>
      <c r="C446" s="94"/>
      <c r="D446" s="94"/>
      <c r="E446" s="94"/>
      <c r="F446" s="94"/>
      <c r="G446" s="94"/>
      <c r="H446" s="94"/>
      <c r="I446" s="94"/>
      <c r="J446" s="94"/>
      <c r="K446" s="94"/>
      <c r="L446" s="94"/>
      <c r="M446" s="94"/>
      <c r="N446" s="94"/>
    </row>
    <row r="447" spans="1:14" ht="14.25" customHeight="1">
      <c r="A447" s="98"/>
      <c r="B447" s="94"/>
      <c r="C447" s="94"/>
      <c r="D447" s="94"/>
      <c r="E447" s="94"/>
      <c r="F447" s="94"/>
      <c r="G447" s="94"/>
      <c r="H447" s="94"/>
      <c r="I447" s="94"/>
      <c r="J447" s="94"/>
      <c r="K447" s="94"/>
      <c r="L447" s="94"/>
      <c r="M447" s="94"/>
      <c r="N447" s="94"/>
    </row>
    <row r="448" spans="1:14" ht="14.25" customHeight="1">
      <c r="A448" s="98"/>
      <c r="B448" s="94"/>
      <c r="C448" s="94"/>
      <c r="D448" s="94"/>
      <c r="E448" s="94"/>
      <c r="F448" s="94"/>
      <c r="G448" s="94"/>
      <c r="H448" s="94"/>
      <c r="I448" s="94"/>
      <c r="J448" s="94"/>
      <c r="K448" s="94"/>
      <c r="L448" s="94"/>
      <c r="M448" s="94"/>
      <c r="N448" s="94"/>
    </row>
    <row r="449" spans="1:14" ht="14.25" customHeight="1">
      <c r="A449" s="98"/>
      <c r="B449" s="94"/>
      <c r="C449" s="94"/>
      <c r="D449" s="94"/>
      <c r="E449" s="94"/>
      <c r="F449" s="94"/>
      <c r="G449" s="94"/>
      <c r="H449" s="94"/>
      <c r="I449" s="94"/>
      <c r="J449" s="94"/>
      <c r="K449" s="94"/>
      <c r="L449" s="94"/>
      <c r="M449" s="94"/>
      <c r="N449" s="94"/>
    </row>
    <row r="450" spans="1:14" ht="14.25" customHeight="1">
      <c r="A450" s="98"/>
      <c r="B450" s="94"/>
      <c r="C450" s="94"/>
      <c r="D450" s="94"/>
      <c r="E450" s="94"/>
      <c r="F450" s="94"/>
      <c r="G450" s="94"/>
      <c r="H450" s="94"/>
      <c r="I450" s="94"/>
      <c r="J450" s="94"/>
      <c r="K450" s="94"/>
      <c r="L450" s="94"/>
      <c r="M450" s="94"/>
      <c r="N450" s="94"/>
    </row>
    <row r="451" spans="1:14" ht="14.25" customHeight="1">
      <c r="A451" s="98"/>
      <c r="B451" s="94"/>
      <c r="C451" s="94"/>
      <c r="D451" s="94"/>
      <c r="E451" s="94"/>
      <c r="F451" s="94"/>
      <c r="G451" s="94"/>
      <c r="H451" s="94"/>
      <c r="I451" s="94"/>
      <c r="J451" s="94"/>
      <c r="K451" s="94"/>
      <c r="L451" s="94"/>
      <c r="M451" s="94"/>
      <c r="N451" s="94"/>
    </row>
    <row r="452" spans="1:14" ht="14.25" customHeight="1">
      <c r="A452" s="98"/>
      <c r="B452" s="94"/>
      <c r="C452" s="94"/>
      <c r="D452" s="94"/>
      <c r="E452" s="94"/>
      <c r="F452" s="94"/>
      <c r="G452" s="94"/>
      <c r="H452" s="94"/>
      <c r="I452" s="94"/>
      <c r="J452" s="94"/>
      <c r="K452" s="94"/>
      <c r="L452" s="94"/>
      <c r="M452" s="94"/>
      <c r="N452" s="94"/>
    </row>
    <row r="453" spans="1:14" ht="14.25" customHeight="1">
      <c r="A453" s="98"/>
      <c r="B453" s="94"/>
      <c r="C453" s="94"/>
      <c r="D453" s="94"/>
      <c r="E453" s="94"/>
      <c r="F453" s="94"/>
      <c r="G453" s="94"/>
      <c r="H453" s="94"/>
      <c r="I453" s="94"/>
      <c r="J453" s="94"/>
      <c r="K453" s="94"/>
      <c r="L453" s="94"/>
      <c r="M453" s="94"/>
      <c r="N453" s="94"/>
    </row>
    <row r="454" spans="1:14" ht="14.25" customHeight="1">
      <c r="A454" s="98"/>
      <c r="B454" s="94"/>
      <c r="C454" s="94"/>
      <c r="D454" s="94"/>
      <c r="E454" s="94"/>
      <c r="F454" s="94"/>
      <c r="G454" s="94"/>
      <c r="H454" s="94"/>
      <c r="I454" s="94"/>
      <c r="J454" s="94"/>
      <c r="K454" s="94"/>
      <c r="L454" s="94"/>
      <c r="M454" s="94"/>
      <c r="N454" s="94"/>
    </row>
    <row r="455" spans="1:14" ht="14.25" customHeight="1">
      <c r="A455" s="98"/>
      <c r="B455" s="94"/>
      <c r="C455" s="94"/>
      <c r="D455" s="94"/>
      <c r="E455" s="94"/>
      <c r="F455" s="94"/>
      <c r="G455" s="94"/>
      <c r="H455" s="94"/>
      <c r="I455" s="94"/>
      <c r="J455" s="94"/>
      <c r="K455" s="94"/>
      <c r="L455" s="94"/>
      <c r="M455" s="94"/>
      <c r="N455" s="94"/>
    </row>
    <row r="456" spans="1:14" ht="14.25" customHeight="1">
      <c r="A456" s="98"/>
      <c r="B456" s="94"/>
      <c r="C456" s="94"/>
      <c r="D456" s="94"/>
      <c r="E456" s="94"/>
      <c r="F456" s="94"/>
      <c r="G456" s="94"/>
      <c r="H456" s="94"/>
      <c r="I456" s="94"/>
      <c r="J456" s="94"/>
      <c r="K456" s="94"/>
      <c r="L456" s="94"/>
      <c r="M456" s="94"/>
      <c r="N456" s="94"/>
    </row>
    <row r="457" spans="1:14" ht="14.25" customHeight="1">
      <c r="A457" s="98"/>
      <c r="B457" s="94"/>
      <c r="C457" s="94"/>
      <c r="D457" s="94"/>
      <c r="E457" s="94"/>
      <c r="F457" s="94"/>
      <c r="G457" s="94"/>
      <c r="H457" s="94"/>
      <c r="I457" s="94"/>
      <c r="J457" s="94"/>
      <c r="K457" s="94"/>
      <c r="L457" s="94"/>
      <c r="M457" s="94"/>
      <c r="N457" s="94"/>
    </row>
    <row r="458" spans="1:14" ht="14.25" customHeight="1">
      <c r="A458" s="98"/>
      <c r="B458" s="94"/>
      <c r="C458" s="94"/>
      <c r="D458" s="94"/>
      <c r="E458" s="94"/>
      <c r="F458" s="94"/>
      <c r="G458" s="94"/>
      <c r="H458" s="94"/>
      <c r="I458" s="94"/>
      <c r="J458" s="94"/>
      <c r="K458" s="94"/>
      <c r="L458" s="94"/>
      <c r="M458" s="94"/>
      <c r="N458" s="94"/>
    </row>
    <row r="459" spans="1:14" ht="14.25" customHeight="1">
      <c r="A459" s="98"/>
      <c r="B459" s="94"/>
      <c r="C459" s="94"/>
      <c r="D459" s="94"/>
      <c r="E459" s="94"/>
      <c r="F459" s="94"/>
      <c r="G459" s="94"/>
      <c r="H459" s="94"/>
      <c r="I459" s="94"/>
      <c r="J459" s="94"/>
      <c r="K459" s="94"/>
      <c r="L459" s="94"/>
      <c r="M459" s="94"/>
      <c r="N459" s="94"/>
    </row>
    <row r="460" spans="1:14" ht="14.25" customHeight="1">
      <c r="A460" s="98"/>
      <c r="B460" s="94"/>
      <c r="C460" s="94"/>
      <c r="D460" s="94"/>
      <c r="E460" s="94"/>
      <c r="F460" s="94"/>
      <c r="G460" s="94"/>
      <c r="H460" s="94"/>
      <c r="I460" s="94"/>
      <c r="J460" s="94"/>
      <c r="K460" s="94"/>
      <c r="L460" s="94"/>
      <c r="M460" s="94"/>
      <c r="N460" s="94"/>
    </row>
    <row r="461" spans="1:14" ht="14.25" customHeight="1">
      <c r="A461" s="98"/>
      <c r="B461" s="94"/>
      <c r="C461" s="94"/>
      <c r="D461" s="94"/>
      <c r="E461" s="94"/>
      <c r="F461" s="94"/>
      <c r="G461" s="94"/>
      <c r="H461" s="94"/>
      <c r="I461" s="94"/>
      <c r="J461" s="94"/>
      <c r="K461" s="94"/>
      <c r="L461" s="94"/>
      <c r="M461" s="94"/>
      <c r="N461" s="94"/>
    </row>
    <row r="462" spans="1:14" ht="14.25" customHeight="1">
      <c r="A462" s="98"/>
      <c r="B462" s="94"/>
      <c r="C462" s="94"/>
      <c r="D462" s="94"/>
      <c r="E462" s="94"/>
      <c r="F462" s="94"/>
      <c r="G462" s="94"/>
      <c r="H462" s="94"/>
      <c r="I462" s="94"/>
      <c r="J462" s="94"/>
      <c r="K462" s="94"/>
      <c r="L462" s="94"/>
      <c r="M462" s="94"/>
      <c r="N462" s="94"/>
    </row>
    <row r="463" spans="1:14" ht="14.25" customHeight="1">
      <c r="A463" s="98"/>
      <c r="B463" s="94"/>
      <c r="C463" s="94"/>
      <c r="D463" s="94"/>
      <c r="E463" s="94"/>
      <c r="F463" s="94"/>
      <c r="G463" s="94"/>
      <c r="H463" s="94"/>
      <c r="I463" s="94"/>
      <c r="J463" s="94"/>
      <c r="K463" s="94"/>
      <c r="L463" s="94"/>
      <c r="M463" s="94"/>
      <c r="N463" s="94"/>
    </row>
    <row r="464" spans="1:14" ht="14.25" customHeight="1">
      <c r="A464" s="98"/>
      <c r="B464" s="94"/>
      <c r="C464" s="94"/>
      <c r="D464" s="94"/>
      <c r="E464" s="94"/>
      <c r="F464" s="94"/>
      <c r="G464" s="94"/>
      <c r="H464" s="94"/>
      <c r="I464" s="94"/>
      <c r="J464" s="94"/>
      <c r="K464" s="94"/>
      <c r="L464" s="94"/>
      <c r="M464" s="94"/>
      <c r="N464" s="94"/>
    </row>
    <row r="465" spans="1:14" ht="14.25" customHeight="1">
      <c r="A465" s="98"/>
      <c r="B465" s="94"/>
      <c r="C465" s="94"/>
      <c r="D465" s="94"/>
      <c r="E465" s="94"/>
      <c r="F465" s="94"/>
      <c r="G465" s="94"/>
      <c r="H465" s="94"/>
      <c r="I465" s="94"/>
      <c r="J465" s="94"/>
      <c r="K465" s="94"/>
      <c r="L465" s="94"/>
      <c r="M465" s="94"/>
      <c r="N465" s="94"/>
    </row>
    <row r="466" spans="1:14" ht="14.25" customHeight="1">
      <c r="A466" s="98"/>
      <c r="B466" s="94"/>
      <c r="C466" s="94"/>
      <c r="D466" s="94"/>
      <c r="E466" s="94"/>
      <c r="F466" s="94"/>
      <c r="G466" s="94"/>
      <c r="H466" s="94"/>
      <c r="I466" s="94"/>
      <c r="J466" s="94"/>
      <c r="K466" s="94"/>
      <c r="L466" s="94"/>
      <c r="M466" s="94"/>
      <c r="N466" s="94"/>
    </row>
    <row r="467" spans="1:14" ht="14.25" customHeight="1">
      <c r="A467" s="98"/>
      <c r="B467" s="94"/>
      <c r="C467" s="94"/>
      <c r="D467" s="94"/>
      <c r="E467" s="94"/>
      <c r="F467" s="94"/>
      <c r="G467" s="94"/>
      <c r="H467" s="94"/>
      <c r="I467" s="94"/>
      <c r="J467" s="94"/>
      <c r="K467" s="94"/>
      <c r="L467" s="94"/>
      <c r="M467" s="94"/>
      <c r="N467" s="94"/>
    </row>
    <row r="468" spans="1:14" ht="14.25" customHeight="1">
      <c r="A468" s="98"/>
      <c r="B468" s="94"/>
      <c r="C468" s="94"/>
      <c r="D468" s="94"/>
      <c r="E468" s="94"/>
      <c r="F468" s="94"/>
      <c r="G468" s="94"/>
      <c r="H468" s="94"/>
      <c r="I468" s="94"/>
      <c r="J468" s="94"/>
      <c r="K468" s="94"/>
      <c r="L468" s="94"/>
      <c r="M468" s="94"/>
      <c r="N468" s="94"/>
    </row>
    <row r="469" spans="1:14" ht="14.25" customHeight="1">
      <c r="A469" s="98"/>
      <c r="B469" s="94"/>
      <c r="C469" s="94"/>
      <c r="D469" s="94"/>
      <c r="E469" s="94"/>
      <c r="F469" s="94"/>
      <c r="G469" s="94"/>
      <c r="H469" s="94"/>
      <c r="I469" s="94"/>
      <c r="J469" s="94"/>
      <c r="K469" s="94"/>
      <c r="L469" s="94"/>
      <c r="M469" s="94"/>
      <c r="N469" s="94"/>
    </row>
    <row r="470" spans="1:14" ht="14.25" customHeight="1">
      <c r="A470" s="98"/>
      <c r="B470" s="94"/>
      <c r="C470" s="94"/>
      <c r="D470" s="94"/>
      <c r="E470" s="94"/>
      <c r="F470" s="94"/>
      <c r="G470" s="94"/>
      <c r="H470" s="94"/>
      <c r="I470" s="94"/>
      <c r="J470" s="94"/>
      <c r="K470" s="94"/>
      <c r="L470" s="94"/>
      <c r="M470" s="94"/>
      <c r="N470" s="94"/>
    </row>
    <row r="471" spans="1:14" ht="14.25" customHeight="1">
      <c r="A471" s="98"/>
      <c r="B471" s="94"/>
      <c r="C471" s="94"/>
      <c r="D471" s="94"/>
      <c r="E471" s="94"/>
      <c r="F471" s="94"/>
      <c r="G471" s="94"/>
      <c r="H471" s="94"/>
      <c r="I471" s="94"/>
      <c r="J471" s="94"/>
      <c r="K471" s="94"/>
      <c r="L471" s="94"/>
      <c r="M471" s="94"/>
      <c r="N471" s="94"/>
    </row>
    <row r="472" spans="1:14" ht="14.25" customHeight="1">
      <c r="A472" s="98"/>
      <c r="B472" s="94"/>
      <c r="C472" s="94"/>
      <c r="D472" s="94"/>
      <c r="E472" s="94"/>
      <c r="F472" s="94"/>
      <c r="G472" s="94"/>
      <c r="H472" s="94"/>
      <c r="I472" s="94"/>
      <c r="J472" s="94"/>
      <c r="K472" s="94"/>
      <c r="L472" s="94"/>
      <c r="M472" s="94"/>
      <c r="N472" s="94"/>
    </row>
    <row r="473" spans="1:14" ht="14.25" customHeight="1">
      <c r="A473" s="98"/>
      <c r="B473" s="94"/>
      <c r="C473" s="94"/>
      <c r="D473" s="94"/>
      <c r="E473" s="94"/>
      <c r="F473" s="94"/>
      <c r="G473" s="94"/>
      <c r="H473" s="94"/>
      <c r="I473" s="94"/>
      <c r="J473" s="94"/>
      <c r="K473" s="94"/>
      <c r="L473" s="94"/>
      <c r="M473" s="94"/>
      <c r="N473" s="94"/>
    </row>
    <row r="474" spans="1:14" ht="14.25" customHeight="1">
      <c r="A474" s="98"/>
      <c r="B474" s="94"/>
      <c r="C474" s="94"/>
      <c r="D474" s="94"/>
      <c r="E474" s="94"/>
      <c r="F474" s="94"/>
      <c r="G474" s="94"/>
      <c r="H474" s="94"/>
      <c r="I474" s="94"/>
      <c r="J474" s="94"/>
      <c r="K474" s="94"/>
      <c r="L474" s="94"/>
      <c r="M474" s="94"/>
      <c r="N474" s="94"/>
    </row>
    <row r="475" spans="1:14" ht="14.25" customHeight="1">
      <c r="A475" s="98"/>
      <c r="B475" s="94"/>
      <c r="C475" s="94"/>
      <c r="D475" s="94"/>
      <c r="E475" s="94"/>
      <c r="F475" s="94"/>
      <c r="G475" s="94"/>
      <c r="H475" s="94"/>
      <c r="I475" s="94"/>
      <c r="J475" s="94"/>
      <c r="K475" s="94"/>
      <c r="L475" s="94"/>
      <c r="M475" s="94"/>
      <c r="N475" s="94"/>
    </row>
    <row r="476" spans="1:14" ht="14.25" customHeight="1">
      <c r="A476" s="98"/>
      <c r="B476" s="94"/>
      <c r="C476" s="94"/>
      <c r="D476" s="94"/>
      <c r="E476" s="94"/>
      <c r="F476" s="94"/>
      <c r="G476" s="94"/>
      <c r="H476" s="94"/>
      <c r="I476" s="94"/>
      <c r="J476" s="94"/>
      <c r="K476" s="94"/>
      <c r="L476" s="94"/>
      <c r="M476" s="94"/>
      <c r="N476" s="94"/>
    </row>
    <row r="477" spans="1:14" ht="14.25" customHeight="1">
      <c r="A477" s="98"/>
      <c r="B477" s="94"/>
      <c r="C477" s="94"/>
      <c r="D477" s="94"/>
      <c r="E477" s="94"/>
      <c r="F477" s="94"/>
      <c r="G477" s="94"/>
      <c r="H477" s="94"/>
      <c r="I477" s="94"/>
      <c r="J477" s="94"/>
      <c r="K477" s="94"/>
      <c r="L477" s="94"/>
      <c r="M477" s="94"/>
      <c r="N477" s="94"/>
    </row>
    <row r="478" spans="1:14" ht="14.25" customHeight="1">
      <c r="A478" s="98"/>
      <c r="B478" s="94"/>
      <c r="C478" s="94"/>
      <c r="D478" s="94"/>
      <c r="E478" s="94"/>
      <c r="F478" s="94"/>
      <c r="G478" s="94"/>
      <c r="H478" s="94"/>
      <c r="I478" s="94"/>
      <c r="J478" s="94"/>
      <c r="K478" s="94"/>
      <c r="L478" s="94"/>
      <c r="M478" s="94"/>
      <c r="N478" s="94"/>
    </row>
    <row r="479" spans="1:14" ht="14.25" customHeight="1">
      <c r="A479" s="98"/>
      <c r="B479" s="94"/>
      <c r="C479" s="94"/>
      <c r="D479" s="94"/>
      <c r="E479" s="94"/>
      <c r="F479" s="94"/>
      <c r="G479" s="94"/>
      <c r="H479" s="94"/>
      <c r="I479" s="94"/>
      <c r="J479" s="94"/>
      <c r="K479" s="94"/>
      <c r="L479" s="94"/>
      <c r="M479" s="94"/>
      <c r="N479" s="94"/>
    </row>
    <row r="480" spans="1:14" ht="14.25" customHeight="1">
      <c r="A480" s="98"/>
      <c r="B480" s="94"/>
      <c r="C480" s="94"/>
      <c r="D480" s="94"/>
      <c r="E480" s="94"/>
      <c r="F480" s="94"/>
      <c r="G480" s="94"/>
      <c r="H480" s="94"/>
      <c r="I480" s="94"/>
      <c r="J480" s="94"/>
      <c r="K480" s="94"/>
      <c r="L480" s="94"/>
      <c r="M480" s="94"/>
      <c r="N480" s="94"/>
    </row>
    <row r="481" spans="1:14" ht="14.25" customHeight="1">
      <c r="A481" s="98"/>
      <c r="B481" s="94"/>
      <c r="C481" s="94"/>
      <c r="D481" s="94"/>
      <c r="E481" s="94"/>
      <c r="F481" s="94"/>
      <c r="G481" s="94"/>
      <c r="H481" s="94"/>
      <c r="I481" s="94"/>
      <c r="J481" s="94"/>
      <c r="K481" s="94"/>
      <c r="L481" s="94"/>
      <c r="M481" s="94"/>
      <c r="N481" s="94"/>
    </row>
    <row r="482" spans="1:14" ht="14.25" customHeight="1">
      <c r="A482" s="98"/>
      <c r="B482" s="94"/>
      <c r="C482" s="94"/>
      <c r="D482" s="94"/>
      <c r="E482" s="94"/>
      <c r="F482" s="94"/>
      <c r="G482" s="94"/>
      <c r="H482" s="94"/>
      <c r="I482" s="94"/>
      <c r="J482" s="94"/>
      <c r="K482" s="94"/>
      <c r="L482" s="94"/>
      <c r="M482" s="94"/>
      <c r="N482" s="94"/>
    </row>
    <row r="483" spans="1:14" ht="14.25" customHeight="1">
      <c r="A483" s="98"/>
      <c r="B483" s="94"/>
      <c r="C483" s="94"/>
      <c r="D483" s="94"/>
      <c r="E483" s="94"/>
      <c r="F483" s="94"/>
      <c r="G483" s="94"/>
      <c r="H483" s="94"/>
      <c r="I483" s="94"/>
      <c r="J483" s="94"/>
      <c r="K483" s="94"/>
      <c r="L483" s="94"/>
      <c r="M483" s="94"/>
      <c r="N483" s="94"/>
    </row>
    <row r="484" spans="1:14" ht="14.25" customHeight="1">
      <c r="A484" s="98"/>
      <c r="B484" s="94"/>
      <c r="C484" s="94"/>
      <c r="D484" s="94"/>
      <c r="E484" s="94"/>
      <c r="F484" s="94"/>
      <c r="G484" s="94"/>
      <c r="H484" s="94"/>
      <c r="I484" s="94"/>
      <c r="J484" s="94"/>
      <c r="K484" s="94"/>
      <c r="L484" s="94"/>
      <c r="M484" s="94"/>
      <c r="N484" s="94"/>
    </row>
    <row r="485" spans="1:14" ht="14.25" customHeight="1">
      <c r="A485" s="98"/>
      <c r="B485" s="94"/>
      <c r="C485" s="94"/>
      <c r="D485" s="94"/>
      <c r="E485" s="94"/>
      <c r="F485" s="94"/>
      <c r="G485" s="94"/>
      <c r="H485" s="94"/>
      <c r="I485" s="94"/>
      <c r="J485" s="94"/>
      <c r="K485" s="94"/>
      <c r="L485" s="94"/>
      <c r="M485" s="94"/>
      <c r="N485" s="94"/>
    </row>
    <row r="486" spans="1:14" ht="14.25" customHeight="1">
      <c r="A486" s="98"/>
      <c r="B486" s="94"/>
      <c r="C486" s="94"/>
      <c r="D486" s="94"/>
      <c r="E486" s="94"/>
      <c r="F486" s="94"/>
      <c r="G486" s="94"/>
      <c r="H486" s="94"/>
      <c r="I486" s="94"/>
      <c r="J486" s="94"/>
      <c r="K486" s="94"/>
      <c r="L486" s="94"/>
      <c r="M486" s="94"/>
      <c r="N486" s="94"/>
    </row>
    <row r="487" spans="1:14" ht="14.25" customHeight="1">
      <c r="A487" s="98"/>
      <c r="B487" s="94"/>
      <c r="C487" s="94"/>
      <c r="D487" s="94"/>
      <c r="E487" s="94"/>
      <c r="F487" s="94"/>
      <c r="G487" s="94"/>
      <c r="H487" s="94"/>
      <c r="I487" s="94"/>
      <c r="J487" s="94"/>
      <c r="K487" s="94"/>
      <c r="L487" s="94"/>
      <c r="M487" s="94"/>
      <c r="N487" s="94"/>
    </row>
    <row r="488" spans="1:14" ht="14.25" customHeight="1">
      <c r="A488" s="98"/>
      <c r="B488" s="94"/>
      <c r="C488" s="94"/>
      <c r="D488" s="94"/>
      <c r="E488" s="94"/>
      <c r="F488" s="94"/>
      <c r="G488" s="94"/>
      <c r="H488" s="94"/>
      <c r="I488" s="94"/>
      <c r="J488" s="94"/>
      <c r="K488" s="94"/>
      <c r="L488" s="94"/>
      <c r="M488" s="94"/>
      <c r="N488" s="94"/>
    </row>
    <row r="489" spans="1:14" ht="14.25" customHeight="1">
      <c r="A489" s="98"/>
      <c r="B489" s="94"/>
      <c r="C489" s="94"/>
      <c r="D489" s="94"/>
      <c r="E489" s="94"/>
      <c r="F489" s="94"/>
      <c r="G489" s="94"/>
      <c r="H489" s="94"/>
      <c r="I489" s="94"/>
      <c r="J489" s="94"/>
      <c r="K489" s="94"/>
      <c r="L489" s="94"/>
      <c r="M489" s="94"/>
      <c r="N489" s="94"/>
    </row>
    <row r="490" spans="1:14" ht="14.25" customHeight="1">
      <c r="A490" s="98"/>
      <c r="B490" s="94"/>
      <c r="C490" s="94"/>
      <c r="D490" s="94"/>
      <c r="E490" s="94"/>
      <c r="F490" s="94"/>
      <c r="G490" s="94"/>
      <c r="H490" s="94"/>
      <c r="I490" s="94"/>
      <c r="J490" s="94"/>
      <c r="K490" s="94"/>
      <c r="L490" s="94"/>
      <c r="M490" s="94"/>
      <c r="N490" s="94"/>
    </row>
    <row r="491" spans="1:14" ht="14.25" customHeight="1">
      <c r="A491" s="98"/>
      <c r="B491" s="94"/>
      <c r="C491" s="94"/>
      <c r="D491" s="94"/>
      <c r="E491" s="94"/>
      <c r="F491" s="94"/>
      <c r="G491" s="94"/>
      <c r="H491" s="94"/>
      <c r="I491" s="94"/>
      <c r="J491" s="94"/>
      <c r="K491" s="94"/>
      <c r="L491" s="94"/>
      <c r="M491" s="94"/>
      <c r="N491" s="94"/>
    </row>
    <row r="492" spans="1:14" ht="14.25" customHeight="1">
      <c r="A492" s="98"/>
      <c r="B492" s="94"/>
      <c r="C492" s="94"/>
      <c r="D492" s="94"/>
      <c r="E492" s="94"/>
      <c r="F492" s="94"/>
      <c r="G492" s="94"/>
      <c r="H492" s="94"/>
      <c r="I492" s="94"/>
      <c r="J492" s="94"/>
      <c r="K492" s="94"/>
      <c r="L492" s="94"/>
      <c r="M492" s="94"/>
      <c r="N492" s="94"/>
    </row>
    <row r="493" spans="1:14" ht="14.25" customHeight="1">
      <c r="A493" s="98"/>
      <c r="B493" s="94"/>
      <c r="C493" s="94"/>
      <c r="D493" s="94"/>
      <c r="E493" s="94"/>
      <c r="F493" s="94"/>
      <c r="G493" s="94"/>
      <c r="H493" s="94"/>
      <c r="I493" s="94"/>
      <c r="J493" s="94"/>
      <c r="K493" s="94"/>
      <c r="L493" s="94"/>
      <c r="M493" s="94"/>
      <c r="N493" s="94"/>
    </row>
    <row r="494" spans="1:14" ht="14.25" customHeight="1">
      <c r="A494" s="98"/>
      <c r="B494" s="94"/>
      <c r="C494" s="94"/>
      <c r="D494" s="94"/>
      <c r="E494" s="94"/>
      <c r="F494" s="94"/>
      <c r="G494" s="94"/>
      <c r="H494" s="94"/>
      <c r="I494" s="94"/>
      <c r="J494" s="94"/>
      <c r="K494" s="94"/>
      <c r="L494" s="94"/>
      <c r="M494" s="94"/>
      <c r="N494" s="94"/>
    </row>
    <row r="495" spans="1:14" ht="14.25" customHeight="1">
      <c r="A495" s="98"/>
      <c r="B495" s="94"/>
      <c r="C495" s="94"/>
      <c r="D495" s="94"/>
      <c r="E495" s="94"/>
      <c r="F495" s="94"/>
      <c r="G495" s="94"/>
      <c r="H495" s="94"/>
      <c r="I495" s="94"/>
      <c r="J495" s="94"/>
      <c r="K495" s="94"/>
      <c r="L495" s="94"/>
      <c r="M495" s="94"/>
      <c r="N495" s="94"/>
    </row>
    <row r="496" spans="1:14" ht="14.25" customHeight="1">
      <c r="A496" s="98"/>
      <c r="B496" s="94"/>
      <c r="C496" s="94"/>
      <c r="D496" s="94"/>
      <c r="E496" s="94"/>
      <c r="F496" s="94"/>
      <c r="G496" s="94"/>
      <c r="H496" s="94"/>
      <c r="I496" s="94"/>
      <c r="J496" s="94"/>
      <c r="K496" s="94"/>
      <c r="L496" s="94"/>
      <c r="M496" s="94"/>
      <c r="N496" s="94"/>
    </row>
    <row r="497" spans="1:14" ht="14.25" customHeight="1">
      <c r="A497" s="98"/>
      <c r="B497" s="94"/>
      <c r="C497" s="94"/>
      <c r="D497" s="94"/>
      <c r="E497" s="94"/>
      <c r="F497" s="94"/>
      <c r="G497" s="94"/>
      <c r="H497" s="94"/>
      <c r="I497" s="94"/>
      <c r="J497" s="94"/>
      <c r="K497" s="94"/>
      <c r="L497" s="94"/>
      <c r="M497" s="94"/>
      <c r="N497" s="94"/>
    </row>
    <row r="498" spans="1:14" ht="14.25" customHeight="1">
      <c r="A498" s="98"/>
      <c r="B498" s="94"/>
      <c r="C498" s="94"/>
      <c r="D498" s="94"/>
      <c r="E498" s="94"/>
      <c r="F498" s="94"/>
      <c r="G498" s="94"/>
      <c r="H498" s="94"/>
      <c r="I498" s="94"/>
      <c r="J498" s="94"/>
      <c r="K498" s="94"/>
      <c r="L498" s="94"/>
      <c r="M498" s="94"/>
      <c r="N498" s="94"/>
    </row>
    <row r="499" spans="1:14" ht="14.25" customHeight="1">
      <c r="A499" s="98"/>
      <c r="B499" s="94"/>
      <c r="C499" s="94"/>
      <c r="D499" s="94"/>
      <c r="E499" s="94"/>
      <c r="F499" s="94"/>
      <c r="G499" s="94"/>
      <c r="H499" s="94"/>
      <c r="I499" s="94"/>
      <c r="J499" s="94"/>
      <c r="K499" s="94"/>
      <c r="L499" s="94"/>
      <c r="M499" s="94"/>
      <c r="N499" s="94"/>
    </row>
    <row r="500" spans="1:14" ht="14.25" customHeight="1">
      <c r="A500" s="98"/>
      <c r="B500" s="94"/>
      <c r="C500" s="94"/>
      <c r="D500" s="94"/>
      <c r="E500" s="94"/>
      <c r="F500" s="94"/>
      <c r="G500" s="94"/>
      <c r="H500" s="94"/>
      <c r="I500" s="94"/>
      <c r="J500" s="94"/>
      <c r="K500" s="94"/>
      <c r="L500" s="94"/>
      <c r="M500" s="94"/>
      <c r="N500" s="94"/>
    </row>
    <row r="501" spans="1:14" ht="14.25" customHeight="1">
      <c r="A501" s="98"/>
      <c r="B501" s="94"/>
      <c r="C501" s="94"/>
      <c r="D501" s="94"/>
      <c r="E501" s="94"/>
      <c r="F501" s="94"/>
      <c r="G501" s="94"/>
      <c r="H501" s="94"/>
      <c r="I501" s="94"/>
      <c r="J501" s="94"/>
      <c r="K501" s="94"/>
      <c r="L501" s="94"/>
      <c r="M501" s="94"/>
      <c r="N501" s="94"/>
    </row>
    <row r="502" spans="1:14" ht="14.25" customHeight="1">
      <c r="A502" s="98"/>
      <c r="B502" s="94"/>
      <c r="C502" s="94"/>
      <c r="D502" s="94"/>
      <c r="E502" s="94"/>
      <c r="F502" s="94"/>
      <c r="G502" s="94"/>
      <c r="H502" s="94"/>
      <c r="I502" s="94"/>
      <c r="J502" s="94"/>
      <c r="K502" s="94"/>
      <c r="L502" s="94"/>
      <c r="M502" s="94"/>
      <c r="N502" s="94"/>
    </row>
    <row r="503" spans="1:14" ht="14.25" customHeight="1">
      <c r="A503" s="98"/>
      <c r="B503" s="94"/>
      <c r="C503" s="94"/>
      <c r="D503" s="94"/>
      <c r="E503" s="94"/>
      <c r="F503" s="94"/>
      <c r="G503" s="94"/>
      <c r="H503" s="94"/>
      <c r="I503" s="94"/>
      <c r="J503" s="94"/>
      <c r="K503" s="94"/>
      <c r="L503" s="94"/>
      <c r="M503" s="94"/>
      <c r="N503" s="94"/>
    </row>
    <row r="504" spans="1:14" ht="14.25" customHeight="1">
      <c r="A504" s="98"/>
      <c r="B504" s="94"/>
      <c r="C504" s="94"/>
      <c r="D504" s="94"/>
      <c r="E504" s="94"/>
      <c r="F504" s="94"/>
      <c r="G504" s="94"/>
      <c r="H504" s="94"/>
      <c r="I504" s="94"/>
      <c r="J504" s="94"/>
      <c r="K504" s="94"/>
      <c r="L504" s="94"/>
      <c r="M504" s="94"/>
      <c r="N504" s="94"/>
    </row>
    <row r="505" spans="1:14" ht="14.25" customHeight="1">
      <c r="A505" s="98"/>
      <c r="B505" s="94"/>
      <c r="C505" s="94"/>
      <c r="D505" s="94"/>
      <c r="E505" s="94"/>
      <c r="F505" s="94"/>
      <c r="G505" s="94"/>
      <c r="H505" s="94"/>
      <c r="I505" s="94"/>
      <c r="J505" s="94"/>
      <c r="K505" s="94"/>
      <c r="L505" s="94"/>
      <c r="M505" s="94"/>
      <c r="N505" s="94"/>
    </row>
    <row r="506" spans="1:14" ht="14.25" customHeight="1">
      <c r="A506" s="98"/>
      <c r="B506" s="94"/>
      <c r="C506" s="94"/>
      <c r="D506" s="94"/>
      <c r="E506" s="94"/>
      <c r="F506" s="94"/>
      <c r="G506" s="94"/>
      <c r="H506" s="94"/>
      <c r="I506" s="94"/>
      <c r="J506" s="94"/>
      <c r="K506" s="94"/>
      <c r="L506" s="94"/>
      <c r="M506" s="94"/>
      <c r="N506" s="94"/>
    </row>
    <row r="507" spans="1:14" ht="14.25" customHeight="1">
      <c r="A507" s="98"/>
      <c r="B507" s="94"/>
      <c r="C507" s="94"/>
      <c r="D507" s="94"/>
      <c r="E507" s="94"/>
      <c r="F507" s="94"/>
      <c r="G507" s="94"/>
      <c r="H507" s="94"/>
      <c r="I507" s="94"/>
      <c r="J507" s="94"/>
      <c r="K507" s="94"/>
      <c r="L507" s="94"/>
      <c r="M507" s="94"/>
      <c r="N507" s="94"/>
    </row>
    <row r="508" spans="1:14" ht="14.25" customHeight="1">
      <c r="A508" s="98"/>
      <c r="B508" s="94"/>
      <c r="C508" s="94"/>
      <c r="D508" s="94"/>
      <c r="E508" s="94"/>
      <c r="F508" s="94"/>
      <c r="G508" s="94"/>
      <c r="H508" s="94"/>
      <c r="I508" s="94"/>
      <c r="J508" s="94"/>
      <c r="K508" s="94"/>
      <c r="L508" s="94"/>
      <c r="M508" s="94"/>
      <c r="N508" s="94"/>
    </row>
    <row r="509" spans="1:14" ht="14.25" customHeight="1">
      <c r="A509" s="98"/>
      <c r="B509" s="94"/>
      <c r="C509" s="94"/>
      <c r="D509" s="94"/>
      <c r="E509" s="94"/>
      <c r="F509" s="94"/>
      <c r="G509" s="94"/>
      <c r="H509" s="94"/>
      <c r="I509" s="94"/>
      <c r="J509" s="94"/>
      <c r="K509" s="94"/>
      <c r="L509" s="94"/>
      <c r="M509" s="94"/>
      <c r="N509" s="94"/>
    </row>
    <row r="510" spans="1:14" ht="14.25" customHeight="1">
      <c r="A510" s="98"/>
      <c r="B510" s="94"/>
      <c r="C510" s="94"/>
      <c r="D510" s="94"/>
      <c r="E510" s="94"/>
      <c r="F510" s="94"/>
      <c r="G510" s="94"/>
      <c r="H510" s="94"/>
      <c r="I510" s="94"/>
      <c r="J510" s="94"/>
      <c r="K510" s="94"/>
      <c r="L510" s="94"/>
      <c r="M510" s="94"/>
      <c r="N510" s="94"/>
    </row>
    <row r="511" spans="1:14" ht="14.25" customHeight="1">
      <c r="A511" s="98"/>
      <c r="B511" s="94"/>
      <c r="C511" s="94"/>
      <c r="D511" s="94"/>
      <c r="E511" s="94"/>
      <c r="F511" s="94"/>
      <c r="G511" s="94"/>
      <c r="H511" s="94"/>
      <c r="I511" s="94"/>
      <c r="J511" s="94"/>
      <c r="K511" s="94"/>
      <c r="L511" s="94"/>
      <c r="M511" s="94"/>
      <c r="N511" s="94"/>
    </row>
    <row r="512" spans="1:14" ht="14.25" customHeight="1">
      <c r="A512" s="98"/>
      <c r="B512" s="94"/>
      <c r="C512" s="94"/>
      <c r="D512" s="94"/>
      <c r="E512" s="94"/>
      <c r="F512" s="94"/>
      <c r="G512" s="94"/>
      <c r="H512" s="94"/>
      <c r="I512" s="94"/>
      <c r="J512" s="94"/>
      <c r="K512" s="94"/>
      <c r="L512" s="94"/>
      <c r="M512" s="94"/>
      <c r="N512" s="94"/>
    </row>
    <row r="513" spans="1:14" ht="14.25" customHeight="1">
      <c r="A513" s="98"/>
      <c r="B513" s="94"/>
      <c r="C513" s="94"/>
      <c r="D513" s="94"/>
      <c r="E513" s="94"/>
      <c r="F513" s="94"/>
      <c r="G513" s="94"/>
      <c r="H513" s="94"/>
      <c r="I513" s="94"/>
      <c r="J513" s="94"/>
      <c r="K513" s="94"/>
      <c r="L513" s="94"/>
      <c r="M513" s="94"/>
      <c r="N513" s="94"/>
    </row>
    <row r="514" spans="1:14" ht="14.25" customHeight="1">
      <c r="A514" s="98"/>
      <c r="B514" s="94"/>
      <c r="C514" s="94"/>
      <c r="D514" s="94"/>
      <c r="E514" s="94"/>
      <c r="F514" s="94"/>
      <c r="G514" s="94"/>
      <c r="H514" s="94"/>
      <c r="I514" s="94"/>
      <c r="J514" s="94"/>
      <c r="K514" s="94"/>
      <c r="L514" s="94"/>
      <c r="M514" s="94"/>
      <c r="N514" s="94"/>
    </row>
    <row r="515" spans="1:14" ht="14.25" customHeight="1">
      <c r="A515" s="98"/>
      <c r="B515" s="94"/>
      <c r="C515" s="94"/>
      <c r="D515" s="94"/>
      <c r="E515" s="94"/>
      <c r="F515" s="94"/>
      <c r="G515" s="94"/>
      <c r="H515" s="94"/>
      <c r="I515" s="94"/>
      <c r="J515" s="94"/>
      <c r="K515" s="94"/>
      <c r="L515" s="94"/>
      <c r="M515" s="94"/>
      <c r="N515" s="94"/>
    </row>
    <row r="516" spans="1:14" ht="14.25" customHeight="1">
      <c r="A516" s="98"/>
      <c r="B516" s="94"/>
      <c r="C516" s="94"/>
      <c r="D516" s="94"/>
      <c r="E516" s="94"/>
      <c r="F516" s="94"/>
      <c r="G516" s="94"/>
      <c r="H516" s="94"/>
      <c r="I516" s="94"/>
      <c r="J516" s="94"/>
      <c r="K516" s="94"/>
      <c r="L516" s="94"/>
      <c r="M516" s="94"/>
      <c r="N516" s="94"/>
    </row>
    <row r="517" spans="1:14" ht="14.25" customHeight="1">
      <c r="A517" s="98"/>
      <c r="B517" s="94"/>
      <c r="C517" s="94"/>
      <c r="D517" s="94"/>
      <c r="E517" s="94"/>
      <c r="F517" s="94"/>
      <c r="G517" s="94"/>
      <c r="H517" s="94"/>
      <c r="I517" s="94"/>
      <c r="J517" s="94"/>
      <c r="K517" s="94"/>
      <c r="L517" s="94"/>
      <c r="M517" s="94"/>
      <c r="N517" s="94"/>
    </row>
    <row r="518" spans="1:14" ht="14.25" customHeight="1">
      <c r="A518" s="98"/>
      <c r="B518" s="94"/>
      <c r="C518" s="94"/>
      <c r="D518" s="94"/>
      <c r="E518" s="94"/>
      <c r="F518" s="94"/>
      <c r="G518" s="94"/>
      <c r="H518" s="94"/>
      <c r="I518" s="94"/>
      <c r="J518" s="94"/>
      <c r="K518" s="94"/>
      <c r="L518" s="94"/>
      <c r="M518" s="94"/>
      <c r="N518" s="94"/>
    </row>
    <row r="519" spans="1:14" ht="14.25" customHeight="1">
      <c r="A519" s="98"/>
      <c r="B519" s="94"/>
      <c r="C519" s="94"/>
      <c r="D519" s="94"/>
      <c r="E519" s="94"/>
      <c r="F519" s="94"/>
      <c r="G519" s="94"/>
      <c r="H519" s="94"/>
      <c r="I519" s="94"/>
      <c r="J519" s="94"/>
      <c r="K519" s="94"/>
      <c r="L519" s="94"/>
      <c r="M519" s="94"/>
      <c r="N519" s="94"/>
    </row>
    <row r="520" spans="1:14" ht="14.25" customHeight="1">
      <c r="A520" s="98"/>
      <c r="B520" s="94"/>
      <c r="C520" s="94"/>
      <c r="D520" s="94"/>
      <c r="E520" s="94"/>
      <c r="F520" s="94"/>
      <c r="G520" s="94"/>
      <c r="H520" s="94"/>
      <c r="I520" s="94"/>
      <c r="J520" s="94"/>
      <c r="K520" s="94"/>
      <c r="L520" s="94"/>
      <c r="M520" s="94"/>
      <c r="N520" s="94"/>
    </row>
    <row r="521" spans="1:14" ht="14.25" customHeight="1">
      <c r="A521" s="98"/>
      <c r="B521" s="94"/>
      <c r="C521" s="94"/>
      <c r="D521" s="94"/>
      <c r="E521" s="94"/>
      <c r="F521" s="94"/>
      <c r="G521" s="94"/>
      <c r="H521" s="94"/>
      <c r="I521" s="94"/>
      <c r="J521" s="94"/>
      <c r="K521" s="94"/>
      <c r="L521" s="94"/>
      <c r="M521" s="94"/>
      <c r="N521" s="94"/>
    </row>
    <row r="522" spans="1:14" ht="14.25" customHeight="1">
      <c r="A522" s="98"/>
      <c r="B522" s="94"/>
      <c r="C522" s="94"/>
      <c r="D522" s="94"/>
      <c r="E522" s="94"/>
      <c r="F522" s="94"/>
      <c r="G522" s="94"/>
      <c r="H522" s="94"/>
      <c r="I522" s="94"/>
      <c r="J522" s="94"/>
      <c r="K522" s="94"/>
      <c r="L522" s="94"/>
      <c r="M522" s="94"/>
      <c r="N522" s="94"/>
    </row>
    <row r="523" spans="1:14" ht="14.25" customHeight="1">
      <c r="A523" s="98"/>
      <c r="B523" s="94"/>
      <c r="C523" s="94"/>
      <c r="D523" s="94"/>
      <c r="E523" s="94"/>
      <c r="F523" s="94"/>
      <c r="G523" s="94"/>
      <c r="H523" s="94"/>
      <c r="I523" s="94"/>
      <c r="J523" s="94"/>
      <c r="K523" s="94"/>
      <c r="L523" s="94"/>
      <c r="M523" s="94"/>
      <c r="N523" s="94"/>
    </row>
    <row r="524" spans="1:14" ht="14.25" customHeight="1">
      <c r="A524" s="98"/>
      <c r="B524" s="94"/>
      <c r="C524" s="94"/>
      <c r="D524" s="94"/>
      <c r="E524" s="94"/>
      <c r="F524" s="94"/>
      <c r="G524" s="94"/>
      <c r="H524" s="94"/>
      <c r="I524" s="94"/>
      <c r="J524" s="94"/>
      <c r="K524" s="94"/>
      <c r="L524" s="94"/>
      <c r="M524" s="94"/>
      <c r="N524" s="94"/>
    </row>
    <row r="525" spans="1:14" ht="14.25" customHeight="1">
      <c r="A525" s="98"/>
      <c r="B525" s="94"/>
      <c r="C525" s="94"/>
      <c r="D525" s="94"/>
      <c r="E525" s="94"/>
      <c r="F525" s="94"/>
      <c r="G525" s="94"/>
      <c r="H525" s="94"/>
      <c r="I525" s="94"/>
      <c r="J525" s="94"/>
      <c r="K525" s="94"/>
      <c r="L525" s="94"/>
      <c r="M525" s="94"/>
      <c r="N525" s="94"/>
    </row>
    <row r="526" spans="1:14" ht="14.25" customHeight="1">
      <c r="A526" s="98"/>
      <c r="B526" s="94"/>
      <c r="C526" s="94"/>
      <c r="D526" s="94"/>
      <c r="E526" s="94"/>
      <c r="F526" s="94"/>
      <c r="G526" s="94"/>
      <c r="H526" s="94"/>
      <c r="I526" s="94"/>
      <c r="J526" s="94"/>
      <c r="K526" s="94"/>
      <c r="L526" s="94"/>
      <c r="M526" s="94"/>
      <c r="N526" s="94"/>
    </row>
    <row r="527" spans="1:14" ht="14.25" customHeight="1">
      <c r="A527" s="98"/>
      <c r="B527" s="94"/>
      <c r="C527" s="94"/>
      <c r="D527" s="94"/>
      <c r="E527" s="94"/>
      <c r="F527" s="94"/>
      <c r="G527" s="94"/>
      <c r="H527" s="94"/>
      <c r="I527" s="94"/>
      <c r="J527" s="94"/>
      <c r="K527" s="94"/>
      <c r="L527" s="94"/>
      <c r="M527" s="94"/>
      <c r="N527" s="94"/>
    </row>
    <row r="528" spans="1:14" ht="14.25" customHeight="1">
      <c r="A528" s="98"/>
      <c r="B528" s="94"/>
      <c r="C528" s="94"/>
      <c r="D528" s="94"/>
      <c r="E528" s="94"/>
      <c r="F528" s="94"/>
      <c r="G528" s="94"/>
      <c r="H528" s="94"/>
      <c r="I528" s="94"/>
      <c r="J528" s="94"/>
      <c r="K528" s="94"/>
      <c r="L528" s="94"/>
      <c r="M528" s="94"/>
      <c r="N528" s="94"/>
    </row>
    <row r="529" spans="1:14" ht="14.25" customHeight="1">
      <c r="A529" s="98"/>
      <c r="B529" s="94"/>
      <c r="C529" s="94"/>
      <c r="D529" s="94"/>
      <c r="E529" s="94"/>
      <c r="F529" s="94"/>
      <c r="G529" s="94"/>
      <c r="H529" s="94"/>
      <c r="I529" s="94"/>
      <c r="J529" s="94"/>
      <c r="K529" s="94"/>
      <c r="L529" s="94"/>
      <c r="M529" s="94"/>
      <c r="N529" s="94"/>
    </row>
    <row r="530" spans="1:14" ht="14.25" customHeight="1">
      <c r="A530" s="98"/>
      <c r="B530" s="94"/>
      <c r="C530" s="94"/>
      <c r="D530" s="94"/>
      <c r="E530" s="94"/>
      <c r="F530" s="94"/>
      <c r="G530" s="94"/>
      <c r="H530" s="94"/>
      <c r="I530" s="94"/>
      <c r="J530" s="94"/>
      <c r="K530" s="94"/>
      <c r="L530" s="94"/>
      <c r="M530" s="94"/>
      <c r="N530" s="94"/>
    </row>
    <row r="531" spans="1:14" ht="14.25" customHeight="1">
      <c r="A531" s="98"/>
      <c r="B531" s="94"/>
      <c r="C531" s="94"/>
      <c r="D531" s="94"/>
      <c r="E531" s="94"/>
      <c r="F531" s="94"/>
      <c r="G531" s="94"/>
      <c r="H531" s="94"/>
      <c r="I531" s="94"/>
      <c r="J531" s="94"/>
      <c r="K531" s="94"/>
      <c r="L531" s="94"/>
      <c r="M531" s="94"/>
      <c r="N531" s="94"/>
    </row>
    <row r="532" spans="1:14" ht="14.25" customHeight="1">
      <c r="A532" s="98"/>
      <c r="B532" s="94"/>
      <c r="C532" s="94"/>
      <c r="D532" s="94"/>
      <c r="E532" s="94"/>
      <c r="F532" s="94"/>
      <c r="G532" s="94"/>
      <c r="H532" s="94"/>
      <c r="I532" s="94"/>
      <c r="J532" s="94"/>
      <c r="K532" s="94"/>
      <c r="L532" s="94"/>
      <c r="M532" s="94"/>
      <c r="N532" s="94"/>
    </row>
    <row r="533" spans="1:14" ht="14.25" customHeight="1">
      <c r="A533" s="98"/>
      <c r="B533" s="94"/>
      <c r="C533" s="94"/>
      <c r="D533" s="94"/>
      <c r="E533" s="94"/>
      <c r="F533" s="94"/>
      <c r="G533" s="94"/>
      <c r="H533" s="94"/>
      <c r="I533" s="94"/>
      <c r="J533" s="94"/>
      <c r="K533" s="94"/>
      <c r="L533" s="94"/>
      <c r="M533" s="94"/>
      <c r="N533" s="94"/>
    </row>
    <row r="534" spans="1:14" ht="14.25" customHeight="1">
      <c r="A534" s="98"/>
      <c r="B534" s="94"/>
      <c r="C534" s="94"/>
      <c r="D534" s="94"/>
      <c r="E534" s="94"/>
      <c r="F534" s="94"/>
      <c r="G534" s="94"/>
      <c r="H534" s="94"/>
      <c r="I534" s="94"/>
      <c r="J534" s="94"/>
      <c r="K534" s="94"/>
      <c r="L534" s="94"/>
      <c r="M534" s="94"/>
      <c r="N534" s="94"/>
    </row>
    <row r="535" spans="1:14" ht="14.25" customHeight="1">
      <c r="A535" s="98"/>
      <c r="B535" s="94"/>
      <c r="C535" s="94"/>
      <c r="D535" s="94"/>
      <c r="E535" s="94"/>
      <c r="F535" s="94"/>
      <c r="G535" s="94"/>
      <c r="H535" s="94"/>
      <c r="I535" s="94"/>
      <c r="J535" s="94"/>
      <c r="K535" s="94"/>
      <c r="L535" s="94"/>
      <c r="M535" s="94"/>
      <c r="N535" s="94"/>
    </row>
    <row r="536" spans="1:14" ht="14.25" customHeight="1">
      <c r="A536" s="98"/>
      <c r="B536" s="94"/>
      <c r="C536" s="94"/>
      <c r="D536" s="94"/>
      <c r="E536" s="94"/>
      <c r="F536" s="94"/>
      <c r="G536" s="94"/>
      <c r="H536" s="94"/>
      <c r="I536" s="94"/>
      <c r="J536" s="94"/>
      <c r="K536" s="94"/>
      <c r="L536" s="94"/>
      <c r="M536" s="94"/>
      <c r="N536" s="94"/>
    </row>
    <row r="537" spans="1:14" ht="14.25" customHeight="1">
      <c r="A537" s="98"/>
      <c r="B537" s="94"/>
      <c r="C537" s="94"/>
      <c r="D537" s="94"/>
      <c r="E537" s="94"/>
      <c r="F537" s="94"/>
      <c r="G537" s="94"/>
      <c r="H537" s="94"/>
      <c r="I537" s="94"/>
      <c r="J537" s="94"/>
      <c r="K537" s="94"/>
      <c r="L537" s="94"/>
      <c r="M537" s="94"/>
      <c r="N537" s="94"/>
    </row>
    <row r="538" spans="1:14" ht="14.25" customHeight="1">
      <c r="A538" s="98"/>
      <c r="B538" s="94"/>
      <c r="C538" s="94"/>
      <c r="D538" s="94"/>
      <c r="E538" s="94"/>
      <c r="F538" s="94"/>
      <c r="G538" s="94"/>
      <c r="H538" s="94"/>
      <c r="I538" s="94"/>
      <c r="J538" s="94"/>
      <c r="K538" s="94"/>
      <c r="L538" s="94"/>
      <c r="M538" s="94"/>
      <c r="N538" s="94"/>
    </row>
    <row r="539" spans="1:14" ht="14.25" customHeight="1">
      <c r="A539" s="98"/>
      <c r="B539" s="94"/>
      <c r="C539" s="94"/>
      <c r="D539" s="94"/>
      <c r="E539" s="94"/>
      <c r="F539" s="94"/>
      <c r="G539" s="94"/>
      <c r="H539" s="94"/>
      <c r="I539" s="94"/>
      <c r="J539" s="94"/>
      <c r="K539" s="94"/>
      <c r="L539" s="94"/>
      <c r="M539" s="94"/>
      <c r="N539" s="94"/>
    </row>
    <row r="540" spans="1:14" ht="14.25" customHeight="1">
      <c r="A540" s="98"/>
      <c r="B540" s="94"/>
      <c r="C540" s="94"/>
      <c r="D540" s="94"/>
      <c r="E540" s="94"/>
      <c r="F540" s="94"/>
      <c r="G540" s="94"/>
      <c r="H540" s="94"/>
      <c r="I540" s="94"/>
      <c r="J540" s="94"/>
      <c r="K540" s="94"/>
      <c r="L540" s="94"/>
      <c r="M540" s="94"/>
      <c r="N540" s="94"/>
    </row>
    <row r="541" spans="1:14" ht="14.25" customHeight="1">
      <c r="A541" s="98"/>
      <c r="B541" s="94"/>
      <c r="C541" s="94"/>
      <c r="D541" s="94"/>
      <c r="E541" s="94"/>
      <c r="F541" s="94"/>
      <c r="G541" s="94"/>
      <c r="H541" s="94"/>
      <c r="I541" s="94"/>
      <c r="J541" s="94"/>
      <c r="K541" s="94"/>
      <c r="L541" s="94"/>
      <c r="M541" s="94"/>
      <c r="N541" s="94"/>
    </row>
    <row r="542" spans="1:14" ht="14.25" customHeight="1">
      <c r="A542" s="98"/>
      <c r="B542" s="94"/>
      <c r="C542" s="94"/>
      <c r="D542" s="94"/>
      <c r="E542" s="94"/>
      <c r="F542" s="94"/>
      <c r="G542" s="94"/>
      <c r="H542" s="94"/>
      <c r="I542" s="94"/>
      <c r="J542" s="94"/>
      <c r="K542" s="94"/>
      <c r="L542" s="94"/>
      <c r="M542" s="94"/>
      <c r="N542" s="94"/>
    </row>
    <row r="543" spans="1:14" ht="14.25" customHeight="1">
      <c r="A543" s="98"/>
      <c r="B543" s="94"/>
      <c r="C543" s="94"/>
      <c r="D543" s="94"/>
      <c r="E543" s="94"/>
      <c r="F543" s="94"/>
      <c r="G543" s="94"/>
      <c r="H543" s="94"/>
      <c r="I543" s="94"/>
      <c r="J543" s="94"/>
      <c r="K543" s="94"/>
      <c r="L543" s="94"/>
      <c r="M543" s="94"/>
      <c r="N543" s="94"/>
    </row>
    <row r="544" spans="1:14" ht="14.25" customHeight="1">
      <c r="A544" s="98"/>
      <c r="B544" s="94"/>
      <c r="C544" s="94"/>
      <c r="D544" s="94"/>
      <c r="E544" s="94"/>
      <c r="F544" s="94"/>
      <c r="G544" s="94"/>
      <c r="H544" s="94"/>
      <c r="I544" s="94"/>
      <c r="J544" s="94"/>
      <c r="K544" s="94"/>
      <c r="L544" s="94"/>
      <c r="M544" s="94"/>
      <c r="N544" s="94"/>
    </row>
    <row r="545" spans="1:14" ht="14.25" customHeight="1">
      <c r="A545" s="98"/>
      <c r="B545" s="94"/>
      <c r="C545" s="94"/>
      <c r="D545" s="94"/>
      <c r="E545" s="94"/>
      <c r="F545" s="94"/>
      <c r="G545" s="94"/>
      <c r="H545" s="94"/>
      <c r="I545" s="94"/>
      <c r="J545" s="94"/>
      <c r="K545" s="94"/>
      <c r="L545" s="94"/>
      <c r="M545" s="94"/>
      <c r="N545" s="94"/>
    </row>
    <row r="546" spans="1:14" ht="14.25" customHeight="1">
      <c r="A546" s="98"/>
      <c r="B546" s="94"/>
      <c r="C546" s="94"/>
      <c r="D546" s="94"/>
      <c r="E546" s="94"/>
      <c r="F546" s="94"/>
      <c r="G546" s="94"/>
      <c r="H546" s="94"/>
      <c r="I546" s="94"/>
      <c r="J546" s="94"/>
      <c r="K546" s="94"/>
      <c r="L546" s="94"/>
      <c r="M546" s="94"/>
      <c r="N546" s="94"/>
    </row>
    <row r="547" spans="1:14" ht="14.25" customHeight="1">
      <c r="A547" s="98"/>
      <c r="B547" s="94"/>
      <c r="C547" s="94"/>
      <c r="D547" s="94"/>
      <c r="E547" s="94"/>
      <c r="F547" s="94"/>
      <c r="G547" s="94"/>
      <c r="H547" s="94"/>
      <c r="I547" s="94"/>
      <c r="J547" s="94"/>
      <c r="K547" s="94"/>
      <c r="L547" s="94"/>
      <c r="M547" s="94"/>
      <c r="N547" s="94"/>
    </row>
    <row r="548" spans="1:14" ht="14.25" customHeight="1">
      <c r="A548" s="98"/>
      <c r="B548" s="94"/>
      <c r="C548" s="94"/>
      <c r="D548" s="94"/>
      <c r="E548" s="94"/>
      <c r="F548" s="94"/>
      <c r="G548" s="94"/>
      <c r="H548" s="94"/>
      <c r="I548" s="94"/>
      <c r="J548" s="94"/>
      <c r="K548" s="94"/>
      <c r="L548" s="94"/>
      <c r="M548" s="94"/>
      <c r="N548" s="94"/>
    </row>
    <row r="549" spans="1:14" ht="14.25" customHeight="1">
      <c r="A549" s="98"/>
      <c r="B549" s="94"/>
      <c r="C549" s="94"/>
      <c r="D549" s="94"/>
      <c r="E549" s="94"/>
      <c r="F549" s="94"/>
      <c r="G549" s="94"/>
      <c r="H549" s="94"/>
      <c r="I549" s="94"/>
      <c r="J549" s="94"/>
      <c r="K549" s="94"/>
      <c r="L549" s="94"/>
      <c r="M549" s="94"/>
      <c r="N549" s="94"/>
    </row>
    <row r="550" spans="1:14" ht="14.25" customHeight="1">
      <c r="A550" s="98"/>
      <c r="B550" s="94"/>
      <c r="C550" s="94"/>
      <c r="D550" s="94"/>
      <c r="E550" s="94"/>
      <c r="F550" s="94"/>
      <c r="G550" s="94"/>
      <c r="H550" s="94"/>
      <c r="I550" s="94"/>
      <c r="J550" s="94"/>
      <c r="K550" s="94"/>
      <c r="L550" s="94"/>
      <c r="M550" s="94"/>
      <c r="N550" s="94"/>
    </row>
    <row r="551" spans="1:14" ht="14.25" customHeight="1">
      <c r="A551" s="98"/>
      <c r="B551" s="94"/>
      <c r="C551" s="94"/>
      <c r="D551" s="94"/>
      <c r="E551" s="94"/>
      <c r="F551" s="94"/>
      <c r="G551" s="94"/>
      <c r="H551" s="94"/>
      <c r="I551" s="94"/>
      <c r="J551" s="94"/>
      <c r="K551" s="94"/>
      <c r="L551" s="94"/>
      <c r="M551" s="94"/>
      <c r="N551" s="94"/>
    </row>
    <row r="552" spans="1:14" ht="14.25" customHeight="1">
      <c r="A552" s="98"/>
      <c r="B552" s="94"/>
      <c r="C552" s="94"/>
      <c r="D552" s="94"/>
      <c r="E552" s="94"/>
      <c r="F552" s="94"/>
      <c r="G552" s="94"/>
      <c r="H552" s="94"/>
      <c r="I552" s="94"/>
      <c r="J552" s="94"/>
      <c r="K552" s="94"/>
      <c r="L552" s="94"/>
      <c r="M552" s="94"/>
      <c r="N552" s="94"/>
    </row>
    <row r="553" spans="1:14" ht="14.25" customHeight="1">
      <c r="A553" s="98"/>
      <c r="B553" s="94"/>
      <c r="C553" s="94"/>
      <c r="D553" s="94"/>
      <c r="E553" s="94"/>
      <c r="F553" s="94"/>
      <c r="G553" s="94"/>
      <c r="H553" s="94"/>
      <c r="I553" s="94"/>
      <c r="J553" s="94"/>
      <c r="K553" s="94"/>
      <c r="L553" s="94"/>
      <c r="M553" s="94"/>
      <c r="N553" s="94"/>
    </row>
    <row r="554" spans="1:14" ht="14.25" customHeight="1">
      <c r="A554" s="98"/>
      <c r="B554" s="94"/>
      <c r="C554" s="94"/>
      <c r="D554" s="94"/>
      <c r="E554" s="94"/>
      <c r="F554" s="94"/>
      <c r="G554" s="94"/>
      <c r="H554" s="94"/>
      <c r="I554" s="94"/>
      <c r="J554" s="94"/>
      <c r="K554" s="94"/>
      <c r="L554" s="94"/>
      <c r="M554" s="94"/>
      <c r="N554" s="94"/>
    </row>
    <row r="555" spans="1:14" ht="14.25" customHeight="1">
      <c r="A555" s="98"/>
      <c r="B555" s="94"/>
      <c r="C555" s="94"/>
      <c r="D555" s="94"/>
      <c r="E555" s="94"/>
      <c r="F555" s="94"/>
      <c r="G555" s="94"/>
      <c r="H555" s="94"/>
      <c r="I555" s="94"/>
      <c r="J555" s="94"/>
      <c r="K555" s="94"/>
      <c r="L555" s="94"/>
      <c r="M555" s="94"/>
      <c r="N555" s="94"/>
    </row>
    <row r="556" spans="1:14" ht="14.25" customHeight="1">
      <c r="A556" s="98"/>
      <c r="B556" s="94"/>
      <c r="C556" s="94"/>
      <c r="D556" s="94"/>
      <c r="E556" s="94"/>
      <c r="F556" s="94"/>
      <c r="G556" s="94"/>
      <c r="H556" s="94"/>
      <c r="I556" s="94"/>
      <c r="J556" s="94"/>
      <c r="K556" s="94"/>
      <c r="L556" s="94"/>
      <c r="M556" s="94"/>
      <c r="N556" s="94"/>
    </row>
    <row r="557" spans="1:14" ht="14.25" customHeight="1">
      <c r="A557" s="98"/>
      <c r="B557" s="94"/>
      <c r="C557" s="94"/>
      <c r="D557" s="94"/>
      <c r="E557" s="94"/>
      <c r="F557" s="94"/>
      <c r="G557" s="94"/>
      <c r="H557" s="94"/>
      <c r="I557" s="94"/>
      <c r="J557" s="94"/>
      <c r="K557" s="94"/>
      <c r="L557" s="94"/>
      <c r="M557" s="94"/>
      <c r="N557" s="94"/>
    </row>
    <row r="558" spans="1:14" ht="14.25" customHeight="1">
      <c r="A558" s="98"/>
      <c r="B558" s="94"/>
      <c r="C558" s="94"/>
      <c r="D558" s="94"/>
      <c r="E558" s="94"/>
      <c r="F558" s="94"/>
      <c r="G558" s="94"/>
      <c r="H558" s="94"/>
      <c r="I558" s="94"/>
      <c r="J558" s="94"/>
      <c r="K558" s="94"/>
      <c r="L558" s="94"/>
      <c r="M558" s="94"/>
      <c r="N558" s="94"/>
    </row>
    <row r="559" spans="1:14" ht="14.25" customHeight="1">
      <c r="A559" s="98"/>
      <c r="B559" s="94"/>
      <c r="C559" s="94"/>
      <c r="D559" s="94"/>
      <c r="E559" s="94"/>
      <c r="F559" s="94"/>
      <c r="G559" s="94"/>
      <c r="H559" s="94"/>
      <c r="I559" s="94"/>
      <c r="J559" s="94"/>
      <c r="K559" s="94"/>
      <c r="L559" s="94"/>
      <c r="M559" s="94"/>
      <c r="N559" s="94"/>
    </row>
    <row r="560" spans="1:14" ht="14.25" customHeight="1">
      <c r="A560" s="98"/>
      <c r="B560" s="94"/>
      <c r="C560" s="94"/>
      <c r="D560" s="94"/>
      <c r="E560" s="94"/>
      <c r="F560" s="94"/>
      <c r="G560" s="94"/>
      <c r="H560" s="94"/>
      <c r="I560" s="94"/>
      <c r="J560" s="94"/>
      <c r="K560" s="94"/>
      <c r="L560" s="94"/>
      <c r="M560" s="94"/>
      <c r="N560" s="94"/>
    </row>
    <row r="561" spans="1:14" ht="14.25" customHeight="1">
      <c r="A561" s="98"/>
      <c r="B561" s="94"/>
      <c r="C561" s="94"/>
      <c r="D561" s="94"/>
      <c r="E561" s="94"/>
      <c r="F561" s="94"/>
      <c r="G561" s="94"/>
      <c r="H561" s="94"/>
      <c r="I561" s="94"/>
      <c r="J561" s="94"/>
      <c r="K561" s="94"/>
      <c r="L561" s="94"/>
      <c r="M561" s="94"/>
      <c r="N561" s="94"/>
    </row>
    <row r="562" spans="1:14" ht="14.25" customHeight="1">
      <c r="A562" s="98"/>
      <c r="B562" s="94"/>
      <c r="C562" s="94"/>
      <c r="D562" s="94"/>
      <c r="E562" s="94"/>
      <c r="F562" s="94"/>
      <c r="G562" s="94"/>
      <c r="H562" s="94"/>
      <c r="I562" s="94"/>
      <c r="J562" s="94"/>
      <c r="K562" s="94"/>
      <c r="L562" s="94"/>
      <c r="M562" s="94"/>
      <c r="N562" s="94"/>
    </row>
    <row r="563" spans="1:14" ht="14.25" customHeight="1">
      <c r="A563" s="98"/>
      <c r="B563" s="94"/>
      <c r="C563" s="94"/>
      <c r="D563" s="94"/>
      <c r="E563" s="94"/>
      <c r="F563" s="94"/>
      <c r="G563" s="94"/>
      <c r="H563" s="94"/>
      <c r="I563" s="94"/>
      <c r="J563" s="94"/>
      <c r="K563" s="94"/>
      <c r="L563" s="94"/>
      <c r="M563" s="94"/>
      <c r="N563" s="94"/>
    </row>
    <row r="564" spans="1:14" ht="14.25" customHeight="1">
      <c r="A564" s="98"/>
      <c r="B564" s="94"/>
      <c r="C564" s="94"/>
      <c r="D564" s="94"/>
      <c r="E564" s="94"/>
      <c r="F564" s="94"/>
      <c r="G564" s="94"/>
      <c r="H564" s="94"/>
      <c r="I564" s="94"/>
      <c r="J564" s="94"/>
      <c r="K564" s="94"/>
      <c r="L564" s="94"/>
      <c r="M564" s="94"/>
      <c r="N564" s="94"/>
    </row>
    <row r="565" spans="1:14" ht="14.25" customHeight="1">
      <c r="A565" s="98"/>
      <c r="B565" s="94"/>
      <c r="C565" s="94"/>
      <c r="D565" s="94"/>
      <c r="E565" s="94"/>
      <c r="F565" s="94"/>
      <c r="G565" s="94"/>
      <c r="H565" s="94"/>
      <c r="I565" s="94"/>
      <c r="J565" s="94"/>
      <c r="K565" s="94"/>
      <c r="L565" s="94"/>
      <c r="M565" s="94"/>
      <c r="N565" s="94"/>
    </row>
    <row r="566" spans="1:14" ht="14.25" customHeight="1">
      <c r="A566" s="98"/>
      <c r="B566" s="94"/>
      <c r="C566" s="94"/>
      <c r="D566" s="94"/>
      <c r="E566" s="94"/>
      <c r="F566" s="94"/>
      <c r="G566" s="94"/>
      <c r="H566" s="94"/>
      <c r="I566" s="94"/>
      <c r="J566" s="94"/>
      <c r="K566" s="94"/>
      <c r="L566" s="94"/>
      <c r="M566" s="94"/>
      <c r="N566" s="94"/>
    </row>
    <row r="567" spans="1:14" ht="14.25" customHeight="1">
      <c r="A567" s="98"/>
      <c r="B567" s="94"/>
      <c r="C567" s="94"/>
      <c r="D567" s="94"/>
      <c r="E567" s="94"/>
      <c r="F567" s="94"/>
      <c r="G567" s="94"/>
      <c r="H567" s="94"/>
      <c r="I567" s="94"/>
      <c r="J567" s="94"/>
      <c r="K567" s="94"/>
      <c r="L567" s="94"/>
      <c r="M567" s="94"/>
      <c r="N567" s="94"/>
    </row>
    <row r="568" spans="1:14" ht="14.25" customHeight="1">
      <c r="A568" s="98"/>
      <c r="B568" s="94"/>
      <c r="C568" s="94"/>
      <c r="D568" s="94"/>
      <c r="E568" s="94"/>
      <c r="F568" s="94"/>
      <c r="G568" s="94"/>
      <c r="H568" s="94"/>
      <c r="I568" s="94"/>
      <c r="J568" s="94"/>
      <c r="K568" s="94"/>
      <c r="L568" s="94"/>
      <c r="M568" s="94"/>
      <c r="N568" s="94"/>
    </row>
    <row r="569" spans="1:14" ht="14.25" customHeight="1">
      <c r="A569" s="98"/>
      <c r="B569" s="94"/>
      <c r="C569" s="94"/>
      <c r="D569" s="94"/>
      <c r="E569" s="94"/>
      <c r="F569" s="94"/>
      <c r="G569" s="94"/>
      <c r="H569" s="94"/>
      <c r="I569" s="94"/>
      <c r="J569" s="94"/>
      <c r="K569" s="94"/>
      <c r="L569" s="94"/>
      <c r="M569" s="94"/>
      <c r="N569" s="94"/>
    </row>
    <row r="570" spans="1:14" ht="14.25" customHeight="1">
      <c r="A570" s="98"/>
      <c r="B570" s="94"/>
      <c r="C570" s="94"/>
      <c r="D570" s="94"/>
      <c r="E570" s="94"/>
      <c r="F570" s="94"/>
      <c r="G570" s="94"/>
      <c r="H570" s="94"/>
      <c r="I570" s="94"/>
      <c r="J570" s="94"/>
      <c r="K570" s="94"/>
      <c r="L570" s="94"/>
      <c r="M570" s="94"/>
      <c r="N570" s="94"/>
    </row>
    <row r="571" spans="1:14" ht="14.25" customHeight="1">
      <c r="A571" s="98"/>
      <c r="B571" s="94"/>
      <c r="C571" s="94"/>
      <c r="D571" s="94"/>
      <c r="E571" s="94"/>
      <c r="F571" s="94"/>
      <c r="G571" s="94"/>
      <c r="H571" s="94"/>
      <c r="I571" s="94"/>
      <c r="J571" s="94"/>
      <c r="K571" s="94"/>
      <c r="L571" s="94"/>
      <c r="M571" s="94"/>
      <c r="N571" s="94"/>
    </row>
    <row r="572" spans="1:14" ht="14.25" customHeight="1">
      <c r="A572" s="98"/>
      <c r="B572" s="94"/>
      <c r="C572" s="94"/>
      <c r="D572" s="94"/>
      <c r="E572" s="94"/>
      <c r="F572" s="94"/>
      <c r="G572" s="94"/>
      <c r="H572" s="94"/>
      <c r="I572" s="94"/>
      <c r="J572" s="94"/>
      <c r="K572" s="94"/>
      <c r="L572" s="94"/>
      <c r="M572" s="94"/>
      <c r="N572" s="94"/>
    </row>
    <row r="573" spans="1:14" ht="14.25" customHeight="1">
      <c r="A573" s="98"/>
      <c r="B573" s="94"/>
      <c r="C573" s="94"/>
      <c r="D573" s="94"/>
      <c r="E573" s="94"/>
      <c r="F573" s="94"/>
      <c r="G573" s="94"/>
      <c r="H573" s="94"/>
      <c r="I573" s="94"/>
      <c r="J573" s="94"/>
      <c r="K573" s="94"/>
      <c r="L573" s="94"/>
      <c r="M573" s="94"/>
      <c r="N573" s="94"/>
    </row>
    <row r="574" spans="1:14" ht="14.25" customHeight="1">
      <c r="A574" s="98"/>
      <c r="B574" s="94"/>
      <c r="C574" s="94"/>
      <c r="D574" s="94"/>
      <c r="E574" s="94"/>
      <c r="F574" s="94"/>
      <c r="G574" s="94"/>
      <c r="H574" s="94"/>
      <c r="I574" s="94"/>
      <c r="J574" s="94"/>
      <c r="K574" s="94"/>
      <c r="L574" s="94"/>
      <c r="M574" s="94"/>
      <c r="N574" s="94"/>
    </row>
    <row r="575" spans="1:14" ht="14.25" customHeight="1">
      <c r="A575" s="98"/>
      <c r="B575" s="94"/>
      <c r="C575" s="94"/>
      <c r="D575" s="94"/>
      <c r="E575" s="94"/>
      <c r="F575" s="94"/>
      <c r="G575" s="94"/>
      <c r="H575" s="94"/>
      <c r="I575" s="94"/>
      <c r="J575" s="94"/>
      <c r="K575" s="94"/>
      <c r="L575" s="94"/>
      <c r="M575" s="94"/>
      <c r="N575" s="94"/>
    </row>
    <row r="576" spans="1:14" ht="14.25" customHeight="1">
      <c r="A576" s="98"/>
      <c r="B576" s="94"/>
      <c r="C576" s="94"/>
      <c r="D576" s="94"/>
      <c r="E576" s="94"/>
      <c r="F576" s="94"/>
      <c r="G576" s="94"/>
      <c r="H576" s="94"/>
      <c r="I576" s="94"/>
      <c r="J576" s="94"/>
      <c r="K576" s="94"/>
      <c r="L576" s="94"/>
      <c r="M576" s="94"/>
      <c r="N576" s="94"/>
    </row>
    <row r="577" spans="1:14" ht="14.25" customHeight="1">
      <c r="A577" s="98"/>
      <c r="B577" s="94"/>
      <c r="C577" s="94"/>
      <c r="D577" s="94"/>
      <c r="E577" s="94"/>
      <c r="F577" s="94"/>
      <c r="G577" s="94"/>
      <c r="H577" s="94"/>
      <c r="I577" s="94"/>
      <c r="J577" s="94"/>
      <c r="K577" s="94"/>
      <c r="L577" s="94"/>
      <c r="M577" s="94"/>
      <c r="N577" s="94"/>
    </row>
    <row r="578" spans="1:14" ht="14.25" customHeight="1">
      <c r="A578" s="98"/>
      <c r="B578" s="94"/>
      <c r="C578" s="94"/>
      <c r="D578" s="94"/>
      <c r="E578" s="94"/>
      <c r="F578" s="94"/>
      <c r="G578" s="94"/>
      <c r="H578" s="94"/>
      <c r="I578" s="94"/>
      <c r="J578" s="94"/>
      <c r="K578" s="94"/>
      <c r="L578" s="94"/>
      <c r="M578" s="94"/>
      <c r="N578" s="94"/>
    </row>
    <row r="579" spans="1:14" ht="14.25" customHeight="1">
      <c r="A579" s="98"/>
      <c r="B579" s="94"/>
      <c r="C579" s="94"/>
      <c r="D579" s="94"/>
      <c r="E579" s="94"/>
      <c r="F579" s="94"/>
      <c r="G579" s="94"/>
      <c r="H579" s="94"/>
      <c r="I579" s="94"/>
      <c r="J579" s="94"/>
      <c r="K579" s="94"/>
      <c r="L579" s="94"/>
      <c r="M579" s="94"/>
      <c r="N579" s="94"/>
    </row>
    <row r="580" spans="1:14" ht="14.25" customHeight="1">
      <c r="A580" s="98"/>
      <c r="B580" s="94"/>
      <c r="C580" s="94"/>
      <c r="D580" s="94"/>
      <c r="E580" s="94"/>
      <c r="F580" s="94"/>
      <c r="G580" s="94"/>
      <c r="H580" s="94"/>
      <c r="I580" s="94"/>
      <c r="J580" s="94"/>
      <c r="K580" s="94"/>
      <c r="L580" s="94"/>
      <c r="M580" s="94"/>
      <c r="N580" s="94"/>
    </row>
    <row r="581" spans="1:14" ht="14.25" customHeight="1">
      <c r="A581" s="98"/>
      <c r="B581" s="94"/>
      <c r="C581" s="94"/>
      <c r="D581" s="94"/>
      <c r="E581" s="94"/>
      <c r="F581" s="94"/>
      <c r="G581" s="94"/>
      <c r="H581" s="94"/>
      <c r="I581" s="94"/>
      <c r="J581" s="94"/>
      <c r="K581" s="94"/>
      <c r="L581" s="94"/>
      <c r="M581" s="94"/>
      <c r="N581" s="94"/>
    </row>
    <row r="582" spans="1:14" ht="14.25" customHeight="1">
      <c r="A582" s="98"/>
      <c r="B582" s="94"/>
      <c r="C582" s="94"/>
      <c r="D582" s="94"/>
      <c r="E582" s="94"/>
      <c r="F582" s="94"/>
      <c r="G582" s="94"/>
      <c r="H582" s="94"/>
      <c r="I582" s="94"/>
      <c r="J582" s="94"/>
      <c r="K582" s="94"/>
      <c r="L582" s="94"/>
      <c r="M582" s="94"/>
      <c r="N582" s="94"/>
    </row>
    <row r="583" spans="1:14" ht="14.25" customHeight="1">
      <c r="A583" s="98"/>
      <c r="B583" s="94"/>
      <c r="C583" s="94"/>
      <c r="D583" s="94"/>
      <c r="E583" s="94"/>
      <c r="F583" s="94"/>
      <c r="G583" s="94"/>
      <c r="H583" s="94"/>
      <c r="I583" s="94"/>
      <c r="J583" s="94"/>
      <c r="K583" s="94"/>
      <c r="L583" s="94"/>
      <c r="M583" s="94"/>
      <c r="N583" s="94"/>
    </row>
    <row r="584" spans="1:14" ht="14.25" customHeight="1">
      <c r="A584" s="98"/>
      <c r="B584" s="94"/>
      <c r="C584" s="94"/>
      <c r="D584" s="94"/>
      <c r="E584" s="94"/>
      <c r="F584" s="94"/>
      <c r="G584" s="94"/>
      <c r="H584" s="94"/>
      <c r="I584" s="94"/>
      <c r="J584" s="94"/>
      <c r="K584" s="94"/>
      <c r="L584" s="94"/>
      <c r="M584" s="94"/>
      <c r="N584" s="94"/>
    </row>
    <row r="585" spans="1:14" ht="14.25" customHeight="1">
      <c r="A585" s="98"/>
      <c r="B585" s="94"/>
      <c r="C585" s="94"/>
      <c r="D585" s="94"/>
      <c r="E585" s="94"/>
      <c r="F585" s="94"/>
      <c r="G585" s="94"/>
      <c r="H585" s="94"/>
      <c r="I585" s="94"/>
      <c r="J585" s="94"/>
      <c r="K585" s="94"/>
      <c r="L585" s="94"/>
      <c r="M585" s="94"/>
      <c r="N585" s="94"/>
    </row>
    <row r="586" spans="1:14" ht="14.25" customHeight="1">
      <c r="A586" s="98"/>
      <c r="B586" s="94"/>
      <c r="C586" s="94"/>
      <c r="D586" s="94"/>
      <c r="E586" s="94"/>
      <c r="F586" s="94"/>
      <c r="G586" s="94"/>
      <c r="H586" s="94"/>
      <c r="I586" s="94"/>
      <c r="J586" s="94"/>
      <c r="K586" s="94"/>
      <c r="L586" s="94"/>
      <c r="M586" s="94"/>
      <c r="N586" s="94"/>
    </row>
    <row r="587" spans="1:14" ht="14.25" customHeight="1">
      <c r="A587" s="98"/>
      <c r="B587" s="94"/>
      <c r="C587" s="94"/>
      <c r="D587" s="94"/>
      <c r="E587" s="94"/>
      <c r="F587" s="94"/>
      <c r="G587" s="94"/>
      <c r="H587" s="94"/>
      <c r="I587" s="94"/>
      <c r="J587" s="94"/>
      <c r="K587" s="94"/>
      <c r="L587" s="94"/>
      <c r="M587" s="94"/>
      <c r="N587" s="94"/>
    </row>
    <row r="588" spans="1:14" ht="14.25" customHeight="1">
      <c r="A588" s="98"/>
      <c r="B588" s="94"/>
      <c r="C588" s="94"/>
      <c r="D588" s="94"/>
      <c r="E588" s="94"/>
      <c r="F588" s="94"/>
      <c r="G588" s="94"/>
      <c r="H588" s="94"/>
      <c r="I588" s="94"/>
      <c r="J588" s="94"/>
      <c r="K588" s="94"/>
      <c r="L588" s="94"/>
      <c r="M588" s="94"/>
      <c r="N588" s="94"/>
    </row>
    <row r="589" spans="1:14" ht="14.25" customHeight="1">
      <c r="A589" s="98"/>
      <c r="B589" s="94"/>
      <c r="C589" s="94"/>
      <c r="D589" s="94"/>
      <c r="E589" s="94"/>
      <c r="F589" s="94"/>
      <c r="G589" s="94"/>
      <c r="H589" s="94"/>
      <c r="I589" s="94"/>
      <c r="J589" s="94"/>
      <c r="K589" s="94"/>
      <c r="L589" s="94"/>
      <c r="M589" s="94"/>
      <c r="N589" s="94"/>
    </row>
    <row r="590" spans="1:14" ht="14.25" customHeight="1">
      <c r="A590" s="98"/>
      <c r="B590" s="94"/>
      <c r="C590" s="94"/>
      <c r="D590" s="94"/>
      <c r="E590" s="94"/>
      <c r="F590" s="94"/>
      <c r="G590" s="94"/>
      <c r="H590" s="94"/>
      <c r="I590" s="94"/>
      <c r="J590" s="94"/>
      <c r="K590" s="94"/>
      <c r="L590" s="94"/>
      <c r="M590" s="94"/>
      <c r="N590" s="94"/>
    </row>
    <row r="591" spans="1:14" ht="14.25" customHeight="1">
      <c r="A591" s="98"/>
      <c r="B591" s="94"/>
      <c r="C591" s="94"/>
      <c r="D591" s="94"/>
      <c r="E591" s="94"/>
      <c r="F591" s="94"/>
      <c r="G591" s="94"/>
      <c r="H591" s="94"/>
      <c r="I591" s="94"/>
      <c r="J591" s="94"/>
      <c r="K591" s="94"/>
      <c r="L591" s="94"/>
      <c r="M591" s="94"/>
      <c r="N591" s="94"/>
    </row>
    <row r="592" spans="1:14" ht="14.25" customHeight="1">
      <c r="A592" s="98"/>
      <c r="B592" s="94"/>
      <c r="C592" s="94"/>
      <c r="D592" s="94"/>
      <c r="E592" s="94"/>
      <c r="F592" s="94"/>
      <c r="G592" s="94"/>
      <c r="H592" s="94"/>
      <c r="I592" s="94"/>
      <c r="J592" s="94"/>
      <c r="K592" s="94"/>
      <c r="L592" s="94"/>
      <c r="M592" s="94"/>
      <c r="N592" s="94"/>
    </row>
    <row r="593" spans="1:14" ht="14.25" customHeight="1">
      <c r="A593" s="98"/>
      <c r="B593" s="94"/>
      <c r="C593" s="94"/>
      <c r="D593" s="94"/>
      <c r="E593" s="94"/>
      <c r="F593" s="94"/>
      <c r="G593" s="94"/>
      <c r="H593" s="94"/>
      <c r="I593" s="94"/>
      <c r="J593" s="94"/>
      <c r="K593" s="94"/>
      <c r="L593" s="94"/>
      <c r="M593" s="94"/>
      <c r="N593" s="94"/>
    </row>
    <row r="594" spans="1:14" ht="14.25" customHeight="1">
      <c r="A594" s="98"/>
      <c r="B594" s="94"/>
      <c r="C594" s="94"/>
      <c r="D594" s="94"/>
      <c r="E594" s="94"/>
      <c r="F594" s="94"/>
      <c r="G594" s="94"/>
      <c r="H594" s="94"/>
      <c r="I594" s="94"/>
      <c r="J594" s="94"/>
      <c r="K594" s="94"/>
      <c r="L594" s="94"/>
      <c r="M594" s="94"/>
      <c r="N594" s="94"/>
    </row>
    <row r="595" spans="1:14" ht="14.25" customHeight="1">
      <c r="A595" s="98"/>
      <c r="B595" s="94"/>
      <c r="C595" s="94"/>
      <c r="D595" s="94"/>
      <c r="E595" s="94"/>
      <c r="F595" s="94"/>
      <c r="G595" s="94"/>
      <c r="H595" s="94"/>
      <c r="I595" s="94"/>
      <c r="J595" s="94"/>
      <c r="K595" s="94"/>
      <c r="L595" s="94"/>
      <c r="M595" s="94"/>
      <c r="N595" s="94"/>
    </row>
    <row r="596" spans="1:14" ht="14.25" customHeight="1">
      <c r="A596" s="98"/>
      <c r="B596" s="94"/>
      <c r="C596" s="94"/>
      <c r="D596" s="94"/>
      <c r="E596" s="94"/>
      <c r="F596" s="94"/>
      <c r="G596" s="94"/>
      <c r="H596" s="94"/>
      <c r="I596" s="94"/>
      <c r="J596" s="94"/>
      <c r="K596" s="94"/>
      <c r="L596" s="94"/>
      <c r="M596" s="94"/>
      <c r="N596" s="94"/>
    </row>
    <row r="597" spans="1:14" ht="14.25" customHeight="1">
      <c r="A597" s="98"/>
      <c r="B597" s="94"/>
      <c r="C597" s="94"/>
      <c r="D597" s="94"/>
      <c r="E597" s="94"/>
      <c r="F597" s="94"/>
      <c r="G597" s="94"/>
      <c r="H597" s="94"/>
      <c r="I597" s="94"/>
      <c r="J597" s="94"/>
      <c r="K597" s="94"/>
      <c r="L597" s="94"/>
      <c r="M597" s="94"/>
      <c r="N597" s="94"/>
    </row>
    <row r="598" spans="1:14" ht="14.25" customHeight="1">
      <c r="A598" s="98"/>
      <c r="B598" s="94"/>
      <c r="C598" s="94"/>
      <c r="D598" s="94"/>
      <c r="E598" s="94"/>
      <c r="F598" s="94"/>
      <c r="G598" s="94"/>
      <c r="H598" s="94"/>
      <c r="I598" s="94"/>
      <c r="J598" s="94"/>
      <c r="K598" s="94"/>
      <c r="L598" s="94"/>
      <c r="M598" s="94"/>
      <c r="N598" s="94"/>
    </row>
    <row r="599" spans="1:14" ht="14.25" customHeight="1">
      <c r="A599" s="98"/>
      <c r="B599" s="94"/>
      <c r="C599" s="94"/>
      <c r="D599" s="94"/>
      <c r="E599" s="94"/>
      <c r="F599" s="94"/>
      <c r="G599" s="94"/>
      <c r="H599" s="94"/>
      <c r="I599" s="94"/>
      <c r="J599" s="94"/>
      <c r="K599" s="94"/>
      <c r="L599" s="94"/>
      <c r="M599" s="94"/>
      <c r="N599" s="94"/>
    </row>
    <row r="600" spans="1:14" ht="14.25" customHeight="1">
      <c r="A600" s="98"/>
      <c r="B600" s="94"/>
      <c r="C600" s="94"/>
      <c r="D600" s="94"/>
      <c r="E600" s="94"/>
      <c r="F600" s="94"/>
      <c r="G600" s="94"/>
      <c r="H600" s="94"/>
      <c r="I600" s="94"/>
      <c r="J600" s="94"/>
      <c r="K600" s="94"/>
      <c r="L600" s="94"/>
      <c r="M600" s="94"/>
      <c r="N600" s="94"/>
    </row>
    <row r="601" spans="1:14" ht="14.25" customHeight="1">
      <c r="A601" s="98"/>
      <c r="B601" s="94"/>
      <c r="C601" s="94"/>
      <c r="D601" s="94"/>
      <c r="E601" s="94"/>
      <c r="F601" s="94"/>
      <c r="G601" s="94"/>
      <c r="H601" s="94"/>
      <c r="I601" s="94"/>
      <c r="J601" s="94"/>
      <c r="K601" s="94"/>
      <c r="L601" s="94"/>
      <c r="M601" s="94"/>
      <c r="N601" s="94"/>
    </row>
    <row r="602" spans="1:14" ht="14.25" customHeight="1">
      <c r="A602" s="98"/>
      <c r="B602" s="94"/>
      <c r="C602" s="94"/>
      <c r="D602" s="94"/>
      <c r="E602" s="94"/>
      <c r="F602" s="94"/>
      <c r="G602" s="94"/>
      <c r="H602" s="94"/>
      <c r="I602" s="94"/>
      <c r="J602" s="94"/>
      <c r="K602" s="94"/>
      <c r="L602" s="94"/>
      <c r="M602" s="94"/>
      <c r="N602" s="94"/>
    </row>
    <row r="603" spans="1:14" ht="14.25" customHeight="1">
      <c r="A603" s="98"/>
      <c r="B603" s="94"/>
      <c r="C603" s="94"/>
      <c r="D603" s="94"/>
      <c r="E603" s="94"/>
      <c r="F603" s="94"/>
      <c r="G603" s="94"/>
      <c r="H603" s="94"/>
      <c r="I603" s="94"/>
      <c r="J603" s="94"/>
      <c r="K603" s="94"/>
      <c r="L603" s="94"/>
      <c r="M603" s="94"/>
      <c r="N603" s="94"/>
    </row>
    <row r="604" spans="1:14" ht="14.25" customHeight="1">
      <c r="A604" s="98"/>
      <c r="B604" s="94"/>
      <c r="C604" s="94"/>
      <c r="D604" s="94"/>
      <c r="E604" s="94"/>
      <c r="F604" s="94"/>
      <c r="G604" s="94"/>
      <c r="H604" s="94"/>
      <c r="I604" s="94"/>
      <c r="J604" s="94"/>
      <c r="K604" s="94"/>
      <c r="L604" s="94"/>
      <c r="M604" s="94"/>
      <c r="N604" s="94"/>
    </row>
    <row r="605" spans="1:14" ht="14.25" customHeight="1">
      <c r="A605" s="98"/>
      <c r="B605" s="94"/>
      <c r="C605" s="94"/>
      <c r="D605" s="94"/>
      <c r="E605" s="94"/>
      <c r="F605" s="94"/>
      <c r="G605" s="94"/>
      <c r="H605" s="94"/>
      <c r="I605" s="94"/>
      <c r="J605" s="94"/>
      <c r="K605" s="94"/>
      <c r="L605" s="94"/>
      <c r="M605" s="94"/>
      <c r="N605" s="94"/>
    </row>
    <row r="606" spans="1:14" ht="14.25" customHeight="1">
      <c r="A606" s="98"/>
      <c r="B606" s="94"/>
      <c r="C606" s="94"/>
      <c r="D606" s="94"/>
      <c r="E606" s="94"/>
      <c r="F606" s="94"/>
      <c r="G606" s="94"/>
      <c r="H606" s="94"/>
      <c r="I606" s="94"/>
      <c r="J606" s="94"/>
      <c r="K606" s="94"/>
      <c r="L606" s="94"/>
      <c r="M606" s="94"/>
      <c r="N606" s="94"/>
    </row>
    <row r="607" spans="1:14" ht="14.25" customHeight="1">
      <c r="A607" s="98"/>
      <c r="B607" s="94"/>
      <c r="C607" s="94"/>
      <c r="D607" s="94"/>
      <c r="E607" s="94"/>
      <c r="F607" s="94"/>
      <c r="G607" s="94"/>
      <c r="H607" s="94"/>
      <c r="I607" s="94"/>
      <c r="J607" s="94"/>
      <c r="K607" s="94"/>
      <c r="L607" s="94"/>
      <c r="M607" s="94"/>
      <c r="N607" s="94"/>
    </row>
    <row r="608" spans="1:14" ht="14.25" customHeight="1">
      <c r="A608" s="98"/>
      <c r="B608" s="94"/>
      <c r="C608" s="94"/>
      <c r="D608" s="94"/>
      <c r="E608" s="94"/>
      <c r="F608" s="94"/>
      <c r="G608" s="94"/>
      <c r="H608" s="94"/>
      <c r="I608" s="94"/>
      <c r="J608" s="94"/>
      <c r="K608" s="94"/>
      <c r="L608" s="94"/>
      <c r="M608" s="94"/>
      <c r="N608" s="94"/>
    </row>
    <row r="609" spans="1:14" ht="14.25" customHeight="1">
      <c r="A609" s="98"/>
      <c r="B609" s="94"/>
      <c r="C609" s="94"/>
      <c r="D609" s="94"/>
      <c r="E609" s="94"/>
      <c r="F609" s="94"/>
      <c r="G609" s="94"/>
      <c r="H609" s="94"/>
      <c r="I609" s="94"/>
      <c r="J609" s="94"/>
      <c r="K609" s="94"/>
      <c r="L609" s="94"/>
      <c r="M609" s="94"/>
      <c r="N609" s="94"/>
    </row>
    <row r="610" spans="1:14" ht="14.25" customHeight="1">
      <c r="A610" s="98"/>
      <c r="B610" s="94"/>
      <c r="C610" s="94"/>
      <c r="D610" s="94"/>
      <c r="E610" s="94"/>
      <c r="F610" s="94"/>
      <c r="G610" s="94"/>
      <c r="H610" s="94"/>
      <c r="I610" s="94"/>
      <c r="J610" s="94"/>
      <c r="K610" s="94"/>
      <c r="L610" s="94"/>
      <c r="M610" s="94"/>
      <c r="N610" s="94"/>
    </row>
    <row r="611" spans="1:14" ht="14.25" customHeight="1">
      <c r="A611" s="98"/>
      <c r="B611" s="94"/>
      <c r="C611" s="94"/>
      <c r="D611" s="94"/>
      <c r="E611" s="94"/>
      <c r="F611" s="94"/>
      <c r="G611" s="94"/>
      <c r="H611" s="94"/>
      <c r="I611" s="94"/>
      <c r="J611" s="94"/>
      <c r="K611" s="94"/>
      <c r="L611" s="94"/>
      <c r="M611" s="94"/>
      <c r="N611" s="94"/>
    </row>
    <row r="612" spans="1:14" ht="14.25" customHeight="1">
      <c r="A612" s="98"/>
      <c r="B612" s="94"/>
      <c r="C612" s="94"/>
      <c r="D612" s="94"/>
      <c r="E612" s="94"/>
      <c r="F612" s="94"/>
      <c r="G612" s="94"/>
      <c r="H612" s="94"/>
      <c r="I612" s="94"/>
      <c r="J612" s="94"/>
      <c r="K612" s="94"/>
      <c r="L612" s="94"/>
      <c r="M612" s="94"/>
      <c r="N612" s="94"/>
    </row>
    <row r="613" spans="1:14" ht="14.25" customHeight="1">
      <c r="A613" s="98"/>
      <c r="B613" s="94"/>
      <c r="C613" s="94"/>
      <c r="D613" s="94"/>
      <c r="E613" s="94"/>
      <c r="F613" s="94"/>
      <c r="G613" s="94"/>
      <c r="H613" s="94"/>
      <c r="I613" s="94"/>
      <c r="J613" s="94"/>
      <c r="K613" s="94"/>
      <c r="L613" s="94"/>
      <c r="M613" s="94"/>
      <c r="N613" s="94"/>
    </row>
    <row r="614" spans="1:14" ht="14.25" customHeight="1">
      <c r="A614" s="98"/>
      <c r="B614" s="94"/>
      <c r="C614" s="94"/>
      <c r="D614" s="94"/>
      <c r="E614" s="94"/>
      <c r="F614" s="94"/>
      <c r="G614" s="94"/>
      <c r="H614" s="94"/>
      <c r="I614" s="94"/>
      <c r="J614" s="94"/>
      <c r="K614" s="94"/>
      <c r="L614" s="94"/>
      <c r="M614" s="94"/>
      <c r="N614" s="94"/>
    </row>
    <row r="615" spans="1:14" ht="14.25" customHeight="1">
      <c r="A615" s="98"/>
      <c r="B615" s="94"/>
      <c r="C615" s="94"/>
      <c r="D615" s="94"/>
      <c r="E615" s="94"/>
      <c r="F615" s="94"/>
      <c r="G615" s="94"/>
      <c r="H615" s="94"/>
      <c r="I615" s="94"/>
      <c r="J615" s="94"/>
      <c r="K615" s="94"/>
      <c r="L615" s="94"/>
      <c r="M615" s="94"/>
      <c r="N615" s="94"/>
    </row>
    <row r="616" spans="1:14" ht="14.25" customHeight="1">
      <c r="A616" s="98"/>
      <c r="B616" s="94"/>
      <c r="C616" s="94"/>
      <c r="D616" s="94"/>
      <c r="E616" s="94"/>
      <c r="F616" s="94"/>
      <c r="G616" s="94"/>
      <c r="H616" s="94"/>
      <c r="I616" s="94"/>
      <c r="J616" s="94"/>
      <c r="K616" s="94"/>
      <c r="L616" s="94"/>
      <c r="M616" s="94"/>
      <c r="N616" s="94"/>
    </row>
    <row r="617" spans="1:14" ht="14.25" customHeight="1">
      <c r="A617" s="98"/>
      <c r="B617" s="94"/>
      <c r="C617" s="94"/>
      <c r="D617" s="94"/>
      <c r="E617" s="94"/>
      <c r="F617" s="94"/>
      <c r="G617" s="94"/>
      <c r="H617" s="94"/>
      <c r="I617" s="94"/>
      <c r="J617" s="94"/>
      <c r="K617" s="94"/>
      <c r="L617" s="94"/>
      <c r="M617" s="94"/>
      <c r="N617" s="94"/>
    </row>
    <row r="618" spans="1:14" ht="14.25" customHeight="1">
      <c r="A618" s="98"/>
      <c r="B618" s="94"/>
      <c r="C618" s="94"/>
      <c r="D618" s="94"/>
      <c r="E618" s="94"/>
      <c r="F618" s="94"/>
      <c r="G618" s="94"/>
      <c r="H618" s="94"/>
      <c r="I618" s="94"/>
      <c r="J618" s="94"/>
      <c r="K618" s="94"/>
      <c r="L618" s="94"/>
      <c r="M618" s="94"/>
      <c r="N618" s="94"/>
    </row>
    <row r="619" spans="1:14" ht="14.25" customHeight="1">
      <c r="A619" s="98"/>
      <c r="B619" s="94"/>
      <c r="C619" s="94"/>
      <c r="D619" s="94"/>
      <c r="E619" s="94"/>
      <c r="F619" s="94"/>
      <c r="G619" s="94"/>
      <c r="H619" s="94"/>
      <c r="I619" s="94"/>
      <c r="J619" s="94"/>
      <c r="K619" s="94"/>
      <c r="L619" s="94"/>
      <c r="M619" s="94"/>
      <c r="N619" s="94"/>
    </row>
    <row r="620" spans="1:14" ht="14.25" customHeight="1">
      <c r="A620" s="98"/>
      <c r="B620" s="94"/>
      <c r="C620" s="94"/>
      <c r="D620" s="94"/>
      <c r="E620" s="94"/>
      <c r="F620" s="94"/>
      <c r="G620" s="94"/>
      <c r="H620" s="94"/>
      <c r="I620" s="94"/>
      <c r="J620" s="94"/>
      <c r="K620" s="94"/>
      <c r="L620" s="94"/>
      <c r="M620" s="94"/>
      <c r="N620" s="94"/>
    </row>
    <row r="621" spans="1:14" ht="14.25" customHeight="1">
      <c r="A621" s="98"/>
      <c r="B621" s="94"/>
      <c r="C621" s="94"/>
      <c r="D621" s="94"/>
      <c r="E621" s="94"/>
      <c r="F621" s="94"/>
      <c r="G621" s="94"/>
      <c r="H621" s="94"/>
      <c r="I621" s="94"/>
      <c r="J621" s="94"/>
      <c r="K621" s="94"/>
      <c r="L621" s="94"/>
      <c r="M621" s="94"/>
      <c r="N621" s="94"/>
    </row>
    <row r="622" spans="1:14" ht="14.25" customHeight="1">
      <c r="A622" s="98"/>
      <c r="B622" s="94"/>
      <c r="C622" s="94"/>
      <c r="D622" s="94"/>
      <c r="E622" s="94"/>
      <c r="F622" s="94"/>
      <c r="G622" s="94"/>
      <c r="H622" s="94"/>
      <c r="I622" s="94"/>
      <c r="J622" s="94"/>
      <c r="K622" s="94"/>
      <c r="L622" s="94"/>
      <c r="M622" s="94"/>
      <c r="N622" s="94"/>
    </row>
    <row r="623" spans="1:14" ht="14.25" customHeight="1">
      <c r="A623" s="98"/>
      <c r="B623" s="94"/>
      <c r="C623" s="94"/>
      <c r="D623" s="94"/>
      <c r="E623" s="94"/>
      <c r="F623" s="94"/>
      <c r="G623" s="94"/>
      <c r="H623" s="94"/>
      <c r="I623" s="94"/>
      <c r="J623" s="94"/>
      <c r="K623" s="94"/>
      <c r="L623" s="94"/>
      <c r="M623" s="94"/>
      <c r="N623" s="94"/>
    </row>
    <row r="624" spans="1:14" ht="14.25" customHeight="1">
      <c r="A624" s="98"/>
      <c r="B624" s="94"/>
      <c r="C624" s="94"/>
      <c r="D624" s="94"/>
      <c r="E624" s="94"/>
      <c r="F624" s="94"/>
      <c r="G624" s="94"/>
      <c r="H624" s="94"/>
      <c r="I624" s="94"/>
      <c r="J624" s="94"/>
      <c r="K624" s="94"/>
      <c r="L624" s="94"/>
      <c r="M624" s="94"/>
      <c r="N624" s="94"/>
    </row>
    <row r="625" spans="1:14" ht="14.25" customHeight="1">
      <c r="A625" s="98"/>
      <c r="B625" s="94"/>
      <c r="C625" s="94"/>
      <c r="D625" s="94"/>
      <c r="E625" s="94"/>
      <c r="F625" s="94"/>
      <c r="G625" s="94"/>
      <c r="H625" s="94"/>
      <c r="I625" s="94"/>
      <c r="J625" s="94"/>
      <c r="K625" s="94"/>
      <c r="L625" s="94"/>
      <c r="M625" s="94"/>
      <c r="N625" s="94"/>
    </row>
    <row r="626" spans="1:14" ht="14.25" customHeight="1">
      <c r="A626" s="98"/>
      <c r="B626" s="94"/>
      <c r="C626" s="94"/>
      <c r="D626" s="94"/>
      <c r="E626" s="94"/>
      <c r="F626" s="94"/>
      <c r="G626" s="94"/>
      <c r="H626" s="94"/>
      <c r="I626" s="94"/>
      <c r="J626" s="94"/>
      <c r="K626" s="94"/>
      <c r="L626" s="94"/>
      <c r="M626" s="94"/>
      <c r="N626" s="94"/>
    </row>
    <row r="627" spans="1:14" ht="14.25" customHeight="1">
      <c r="A627" s="98"/>
      <c r="B627" s="94"/>
      <c r="C627" s="94"/>
      <c r="D627" s="94"/>
      <c r="E627" s="94"/>
      <c r="F627" s="94"/>
      <c r="G627" s="94"/>
      <c r="H627" s="94"/>
      <c r="I627" s="94"/>
      <c r="J627" s="94"/>
      <c r="K627" s="94"/>
      <c r="L627" s="94"/>
      <c r="M627" s="94"/>
      <c r="N627" s="94"/>
    </row>
    <row r="628" spans="1:14" ht="14.25" customHeight="1">
      <c r="A628" s="98"/>
      <c r="B628" s="94"/>
      <c r="C628" s="94"/>
      <c r="D628" s="94"/>
      <c r="E628" s="94"/>
      <c r="F628" s="94"/>
      <c r="G628" s="94"/>
      <c r="H628" s="94"/>
      <c r="I628" s="94"/>
      <c r="J628" s="94"/>
      <c r="K628" s="94"/>
      <c r="L628" s="94"/>
      <c r="M628" s="94"/>
      <c r="N628" s="94"/>
    </row>
    <row r="629" spans="1:14" ht="14.25" customHeight="1">
      <c r="A629" s="98"/>
      <c r="B629" s="94"/>
      <c r="C629" s="94"/>
      <c r="D629" s="94"/>
      <c r="E629" s="94"/>
      <c r="F629" s="94"/>
      <c r="G629" s="94"/>
      <c r="H629" s="94"/>
      <c r="I629" s="94"/>
      <c r="J629" s="94"/>
      <c r="K629" s="94"/>
      <c r="L629" s="94"/>
      <c r="M629" s="94"/>
      <c r="N629" s="94"/>
    </row>
    <row r="630" spans="1:14" ht="14.25" customHeight="1">
      <c r="A630" s="98"/>
      <c r="B630" s="94"/>
      <c r="C630" s="94"/>
      <c r="D630" s="94"/>
      <c r="E630" s="94"/>
      <c r="F630" s="94"/>
      <c r="G630" s="94"/>
      <c r="H630" s="94"/>
      <c r="I630" s="94"/>
      <c r="J630" s="94"/>
      <c r="K630" s="94"/>
      <c r="L630" s="94"/>
      <c r="M630" s="94"/>
      <c r="N630" s="94"/>
    </row>
    <row r="631" spans="1:14" ht="14.25" customHeight="1">
      <c r="A631" s="98"/>
      <c r="B631" s="94"/>
      <c r="C631" s="94"/>
      <c r="D631" s="94"/>
      <c r="E631" s="94"/>
      <c r="F631" s="94"/>
      <c r="G631" s="94"/>
      <c r="H631" s="94"/>
      <c r="I631" s="94"/>
      <c r="J631" s="94"/>
      <c r="K631" s="94"/>
      <c r="L631" s="94"/>
      <c r="M631" s="94"/>
      <c r="N631" s="94"/>
    </row>
    <row r="632" spans="1:14" ht="14.25" customHeight="1">
      <c r="A632" s="98"/>
      <c r="B632" s="94"/>
      <c r="C632" s="94"/>
      <c r="D632" s="94"/>
      <c r="E632" s="94"/>
      <c r="F632" s="94"/>
      <c r="G632" s="94"/>
      <c r="H632" s="94"/>
      <c r="I632" s="94"/>
      <c r="J632" s="94"/>
      <c r="K632" s="94"/>
      <c r="L632" s="94"/>
      <c r="M632" s="94"/>
      <c r="N632" s="94"/>
    </row>
    <row r="633" spans="1:14" ht="14.25" customHeight="1">
      <c r="A633" s="98"/>
      <c r="B633" s="94"/>
      <c r="C633" s="94"/>
      <c r="D633" s="94"/>
      <c r="E633" s="94"/>
      <c r="F633" s="94"/>
      <c r="G633" s="94"/>
      <c r="H633" s="94"/>
      <c r="I633" s="94"/>
      <c r="J633" s="94"/>
      <c r="K633" s="94"/>
      <c r="L633" s="94"/>
      <c r="M633" s="94"/>
      <c r="N633" s="94"/>
    </row>
    <row r="634" spans="1:14" ht="14.25" customHeight="1">
      <c r="A634" s="98"/>
      <c r="B634" s="94"/>
      <c r="C634" s="94"/>
      <c r="D634" s="94"/>
      <c r="E634" s="94"/>
      <c r="F634" s="94"/>
      <c r="G634" s="94"/>
      <c r="H634" s="94"/>
      <c r="I634" s="94"/>
      <c r="J634" s="94"/>
      <c r="K634" s="94"/>
      <c r="L634" s="94"/>
      <c r="M634" s="94"/>
      <c r="N634" s="94"/>
    </row>
    <row r="635" spans="1:14" ht="14.25" customHeight="1">
      <c r="A635" s="98"/>
      <c r="B635" s="94"/>
      <c r="C635" s="94"/>
      <c r="D635" s="94"/>
      <c r="E635" s="94"/>
      <c r="F635" s="94"/>
      <c r="G635" s="94"/>
      <c r="H635" s="94"/>
      <c r="I635" s="94"/>
      <c r="J635" s="94"/>
      <c r="K635" s="94"/>
      <c r="L635" s="94"/>
      <c r="M635" s="94"/>
      <c r="N635" s="94"/>
    </row>
    <row r="636" spans="1:14" ht="14.25" customHeight="1">
      <c r="A636" s="98"/>
      <c r="B636" s="94"/>
      <c r="C636" s="94"/>
      <c r="D636" s="94"/>
      <c r="E636" s="94"/>
      <c r="F636" s="94"/>
      <c r="G636" s="94"/>
      <c r="H636" s="94"/>
      <c r="I636" s="94"/>
      <c r="J636" s="94"/>
      <c r="K636" s="94"/>
      <c r="L636" s="94"/>
      <c r="M636" s="94"/>
      <c r="N636" s="94"/>
    </row>
    <row r="637" spans="1:14" ht="14.25" customHeight="1">
      <c r="A637" s="98"/>
      <c r="B637" s="94"/>
      <c r="C637" s="94"/>
      <c r="D637" s="94"/>
      <c r="E637" s="94"/>
      <c r="F637" s="94"/>
      <c r="G637" s="94"/>
      <c r="H637" s="94"/>
      <c r="I637" s="94"/>
      <c r="J637" s="94"/>
      <c r="K637" s="94"/>
      <c r="L637" s="94"/>
      <c r="M637" s="94"/>
      <c r="N637" s="94"/>
    </row>
    <row r="638" spans="1:14" ht="14.25" customHeight="1">
      <c r="A638" s="98"/>
      <c r="B638" s="94"/>
      <c r="C638" s="94"/>
      <c r="D638" s="94"/>
      <c r="E638" s="94"/>
      <c r="F638" s="94"/>
      <c r="G638" s="94"/>
      <c r="H638" s="94"/>
      <c r="I638" s="94"/>
      <c r="J638" s="94"/>
      <c r="K638" s="94"/>
      <c r="L638" s="94"/>
      <c r="M638" s="94"/>
      <c r="N638" s="94"/>
    </row>
    <row r="639" spans="1:14" ht="14.25" customHeight="1">
      <c r="A639" s="98"/>
      <c r="B639" s="94"/>
      <c r="C639" s="94"/>
      <c r="D639" s="94"/>
      <c r="E639" s="94"/>
      <c r="F639" s="94"/>
      <c r="G639" s="94"/>
      <c r="H639" s="94"/>
      <c r="I639" s="94"/>
      <c r="J639" s="94"/>
      <c r="K639" s="94"/>
      <c r="L639" s="94"/>
      <c r="M639" s="94"/>
      <c r="N639" s="94"/>
    </row>
    <row r="640" spans="1:14" ht="14.25" customHeight="1">
      <c r="A640" s="98"/>
      <c r="B640" s="94"/>
      <c r="C640" s="94"/>
      <c r="D640" s="94"/>
      <c r="E640" s="94"/>
      <c r="F640" s="94"/>
      <c r="G640" s="94"/>
      <c r="H640" s="94"/>
      <c r="I640" s="94"/>
      <c r="J640" s="94"/>
      <c r="K640" s="94"/>
      <c r="L640" s="94"/>
      <c r="M640" s="94"/>
      <c r="N640" s="94"/>
    </row>
    <row r="641" spans="1:14" ht="14.25" customHeight="1">
      <c r="A641" s="98"/>
      <c r="B641" s="94"/>
      <c r="C641" s="94"/>
      <c r="D641" s="94"/>
      <c r="E641" s="94"/>
      <c r="F641" s="94"/>
      <c r="G641" s="94"/>
      <c r="H641" s="94"/>
      <c r="I641" s="94"/>
      <c r="J641" s="94"/>
      <c r="K641" s="94"/>
      <c r="L641" s="94"/>
      <c r="M641" s="94"/>
      <c r="N641" s="94"/>
    </row>
    <row r="642" spans="1:14" ht="14.25" customHeight="1">
      <c r="A642" s="98"/>
      <c r="B642" s="94"/>
      <c r="C642" s="94"/>
      <c r="D642" s="94"/>
      <c r="E642" s="94"/>
      <c r="F642" s="94"/>
      <c r="G642" s="94"/>
      <c r="H642" s="94"/>
      <c r="I642" s="94"/>
      <c r="J642" s="94"/>
      <c r="K642" s="94"/>
      <c r="L642" s="94"/>
      <c r="M642" s="94"/>
      <c r="N642" s="94"/>
    </row>
    <row r="643" spans="1:14" ht="14.25" customHeight="1">
      <c r="A643" s="98"/>
      <c r="B643" s="94"/>
      <c r="C643" s="94"/>
      <c r="D643" s="94"/>
      <c r="E643" s="94"/>
      <c r="F643" s="94"/>
      <c r="G643" s="94"/>
      <c r="H643" s="94"/>
      <c r="I643" s="94"/>
      <c r="J643" s="94"/>
      <c r="K643" s="94"/>
      <c r="L643" s="94"/>
      <c r="M643" s="94"/>
      <c r="N643" s="94"/>
    </row>
    <row r="644" spans="1:14" ht="14.25" customHeight="1">
      <c r="A644" s="98"/>
      <c r="B644" s="94"/>
      <c r="C644" s="94"/>
      <c r="D644" s="94"/>
      <c r="E644" s="94"/>
      <c r="F644" s="94"/>
      <c r="G644" s="94"/>
      <c r="H644" s="94"/>
      <c r="I644" s="94"/>
      <c r="J644" s="94"/>
      <c r="K644" s="94"/>
      <c r="L644" s="94"/>
      <c r="M644" s="94"/>
      <c r="N644" s="94"/>
    </row>
    <row r="645" spans="1:14" ht="14.25" customHeight="1">
      <c r="A645" s="98"/>
      <c r="B645" s="94"/>
      <c r="C645" s="94"/>
      <c r="D645" s="94"/>
      <c r="E645" s="94"/>
      <c r="F645" s="94"/>
      <c r="G645" s="94"/>
      <c r="H645" s="94"/>
      <c r="I645" s="94"/>
      <c r="J645" s="94"/>
      <c r="K645" s="94"/>
      <c r="L645" s="94"/>
      <c r="M645" s="94"/>
      <c r="N645" s="94"/>
    </row>
    <row r="646" spans="1:14" ht="14.25" customHeight="1">
      <c r="A646" s="98"/>
      <c r="B646" s="94"/>
      <c r="C646" s="94"/>
      <c r="D646" s="94"/>
      <c r="E646" s="94"/>
      <c r="F646" s="94"/>
      <c r="G646" s="94"/>
      <c r="H646" s="94"/>
      <c r="I646" s="94"/>
      <c r="J646" s="94"/>
      <c r="K646" s="94"/>
      <c r="L646" s="94"/>
      <c r="M646" s="94"/>
      <c r="N646" s="94"/>
    </row>
    <row r="647" spans="1:14" ht="14.25" customHeight="1">
      <c r="A647" s="98"/>
      <c r="B647" s="94"/>
      <c r="C647" s="94"/>
      <c r="D647" s="94"/>
      <c r="E647" s="94"/>
      <c r="F647" s="94"/>
      <c r="G647" s="94"/>
      <c r="H647" s="94"/>
      <c r="I647" s="94"/>
      <c r="J647" s="94"/>
      <c r="K647" s="94"/>
      <c r="L647" s="94"/>
      <c r="M647" s="94"/>
      <c r="N647" s="94"/>
    </row>
    <row r="648" spans="1:14" ht="14.25" customHeight="1">
      <c r="A648" s="98"/>
      <c r="B648" s="94"/>
      <c r="C648" s="94"/>
      <c r="D648" s="94"/>
      <c r="E648" s="94"/>
      <c r="F648" s="94"/>
      <c r="G648" s="94"/>
      <c r="H648" s="94"/>
      <c r="I648" s="94"/>
      <c r="J648" s="94"/>
      <c r="K648" s="94"/>
      <c r="L648" s="94"/>
      <c r="M648" s="94"/>
      <c r="N648" s="94"/>
    </row>
    <row r="649" spans="1:14" ht="14.25" customHeight="1">
      <c r="A649" s="98"/>
      <c r="B649" s="94"/>
      <c r="C649" s="94"/>
      <c r="D649" s="94"/>
      <c r="E649" s="94"/>
      <c r="F649" s="94"/>
      <c r="G649" s="94"/>
      <c r="H649" s="94"/>
      <c r="I649" s="94"/>
      <c r="J649" s="94"/>
      <c r="K649" s="94"/>
      <c r="L649" s="94"/>
      <c r="M649" s="94"/>
      <c r="N649" s="94"/>
    </row>
    <row r="650" spans="1:14" ht="14.25" customHeight="1">
      <c r="A650" s="98"/>
      <c r="B650" s="94"/>
      <c r="C650" s="94"/>
      <c r="D650" s="94"/>
      <c r="E650" s="94"/>
      <c r="F650" s="94"/>
      <c r="G650" s="94"/>
      <c r="H650" s="94"/>
      <c r="I650" s="94"/>
      <c r="J650" s="94"/>
      <c r="K650" s="94"/>
      <c r="L650" s="94"/>
      <c r="M650" s="94"/>
      <c r="N650" s="94"/>
    </row>
    <row r="651" spans="1:14" ht="14.25" customHeight="1">
      <c r="A651" s="98"/>
      <c r="B651" s="94"/>
      <c r="C651" s="94"/>
      <c r="D651" s="94"/>
      <c r="E651" s="94"/>
      <c r="F651" s="94"/>
      <c r="G651" s="94"/>
      <c r="H651" s="94"/>
      <c r="I651" s="94"/>
      <c r="J651" s="94"/>
      <c r="K651" s="94"/>
      <c r="L651" s="94"/>
      <c r="M651" s="94"/>
      <c r="N651" s="94"/>
    </row>
    <row r="652" spans="1:14" ht="14.25" customHeight="1">
      <c r="A652" s="98"/>
      <c r="B652" s="94"/>
      <c r="C652" s="94"/>
      <c r="D652" s="94"/>
      <c r="E652" s="94"/>
      <c r="F652" s="94"/>
      <c r="G652" s="94"/>
      <c r="H652" s="94"/>
      <c r="I652" s="94"/>
      <c r="J652" s="94"/>
      <c r="K652" s="94"/>
      <c r="L652" s="94"/>
      <c r="M652" s="94"/>
      <c r="N652" s="94"/>
    </row>
    <row r="653" spans="1:14" ht="14.25" customHeight="1">
      <c r="A653" s="98"/>
      <c r="B653" s="94"/>
      <c r="C653" s="94"/>
      <c r="D653" s="94"/>
      <c r="E653" s="94"/>
      <c r="F653" s="94"/>
      <c r="G653" s="94"/>
      <c r="H653" s="94"/>
      <c r="I653" s="94"/>
      <c r="J653" s="94"/>
      <c r="K653" s="94"/>
      <c r="L653" s="94"/>
      <c r="M653" s="94"/>
      <c r="N653" s="94"/>
    </row>
    <row r="654" spans="1:14" ht="14.25" customHeight="1">
      <c r="A654" s="98"/>
      <c r="B654" s="94"/>
      <c r="C654" s="94"/>
      <c r="D654" s="94"/>
      <c r="E654" s="94"/>
      <c r="F654" s="94"/>
      <c r="G654" s="94"/>
      <c r="H654" s="94"/>
      <c r="I654" s="94"/>
      <c r="J654" s="94"/>
      <c r="K654" s="94"/>
      <c r="L654" s="94"/>
      <c r="M654" s="94"/>
      <c r="N654" s="94"/>
    </row>
    <row r="655" spans="1:14" ht="14.25" customHeight="1">
      <c r="A655" s="98"/>
      <c r="B655" s="94"/>
      <c r="C655" s="94"/>
      <c r="D655" s="94"/>
      <c r="E655" s="94"/>
      <c r="F655" s="94"/>
      <c r="G655" s="94"/>
      <c r="H655" s="94"/>
      <c r="I655" s="94"/>
      <c r="J655" s="94"/>
      <c r="K655" s="94"/>
      <c r="L655" s="94"/>
      <c r="M655" s="94"/>
      <c r="N655" s="94"/>
    </row>
    <row r="656" spans="1:14" ht="14.25" customHeight="1">
      <c r="A656" s="98"/>
      <c r="B656" s="94"/>
      <c r="C656" s="94"/>
      <c r="D656" s="94"/>
      <c r="E656" s="94"/>
      <c r="F656" s="94"/>
      <c r="G656" s="94"/>
      <c r="H656" s="94"/>
      <c r="I656" s="94"/>
      <c r="J656" s="94"/>
      <c r="K656" s="94"/>
      <c r="L656" s="94"/>
      <c r="M656" s="94"/>
      <c r="N656" s="94"/>
    </row>
    <row r="657" spans="1:14" ht="14.25" customHeight="1">
      <c r="A657" s="98"/>
      <c r="B657" s="94"/>
      <c r="C657" s="94"/>
      <c r="D657" s="94"/>
      <c r="E657" s="94"/>
      <c r="F657" s="94"/>
      <c r="G657" s="94"/>
      <c r="H657" s="94"/>
      <c r="I657" s="94"/>
      <c r="J657" s="94"/>
      <c r="K657" s="94"/>
      <c r="L657" s="94"/>
      <c r="M657" s="94"/>
      <c r="N657" s="94"/>
    </row>
    <row r="658" spans="1:14" ht="14.25" customHeight="1">
      <c r="A658" s="98"/>
      <c r="B658" s="94"/>
      <c r="C658" s="94"/>
      <c r="D658" s="94"/>
      <c r="E658" s="94"/>
      <c r="F658" s="94"/>
      <c r="G658" s="94"/>
      <c r="H658" s="94"/>
      <c r="I658" s="94"/>
      <c r="J658" s="94"/>
      <c r="K658" s="94"/>
      <c r="L658" s="94"/>
      <c r="M658" s="94"/>
      <c r="N658" s="94"/>
    </row>
    <row r="659" spans="1:14" ht="14.25" customHeight="1">
      <c r="A659" s="98"/>
      <c r="B659" s="94"/>
      <c r="C659" s="94"/>
      <c r="D659" s="94"/>
      <c r="E659" s="94"/>
      <c r="F659" s="94"/>
      <c r="G659" s="94"/>
      <c r="H659" s="94"/>
      <c r="I659" s="94"/>
      <c r="J659" s="94"/>
      <c r="K659" s="94"/>
      <c r="L659" s="94"/>
      <c r="M659" s="94"/>
      <c r="N659" s="94"/>
    </row>
    <row r="660" spans="1:14" ht="14.25" customHeight="1">
      <c r="A660" s="98"/>
      <c r="B660" s="94"/>
      <c r="C660" s="94"/>
      <c r="D660" s="94"/>
      <c r="E660" s="94"/>
      <c r="F660" s="94"/>
      <c r="G660" s="94"/>
      <c r="H660" s="94"/>
      <c r="I660" s="94"/>
      <c r="J660" s="94"/>
      <c r="K660" s="94"/>
      <c r="L660" s="94"/>
      <c r="M660" s="94"/>
      <c r="N660" s="94"/>
    </row>
    <row r="661" spans="1:14" ht="14.25" customHeight="1">
      <c r="A661" s="98"/>
      <c r="B661" s="94"/>
      <c r="C661" s="94"/>
      <c r="D661" s="94"/>
      <c r="E661" s="94"/>
      <c r="F661" s="94"/>
      <c r="G661" s="94"/>
      <c r="H661" s="94"/>
      <c r="I661" s="94"/>
      <c r="J661" s="94"/>
      <c r="K661" s="94"/>
      <c r="L661" s="94"/>
      <c r="M661" s="94"/>
      <c r="N661" s="94"/>
    </row>
    <row r="662" spans="1:14" ht="14.25" customHeight="1">
      <c r="A662" s="98"/>
      <c r="B662" s="94"/>
      <c r="C662" s="94"/>
      <c r="D662" s="94"/>
      <c r="E662" s="94"/>
      <c r="F662" s="94"/>
      <c r="G662" s="94"/>
      <c r="H662" s="94"/>
      <c r="I662" s="94"/>
      <c r="J662" s="94"/>
      <c r="K662" s="94"/>
      <c r="L662" s="94"/>
      <c r="M662" s="94"/>
      <c r="N662" s="94"/>
    </row>
    <row r="663" spans="1:14" ht="14.25" customHeight="1">
      <c r="A663" s="98"/>
      <c r="B663" s="94"/>
      <c r="C663" s="94"/>
      <c r="D663" s="94"/>
      <c r="E663" s="94"/>
      <c r="F663" s="94"/>
      <c r="G663" s="94"/>
      <c r="H663" s="94"/>
      <c r="I663" s="94"/>
      <c r="J663" s="94"/>
      <c r="K663" s="94"/>
      <c r="L663" s="94"/>
      <c r="M663" s="94"/>
      <c r="N663" s="94"/>
    </row>
    <row r="664" spans="1:14" ht="14.25" customHeight="1">
      <c r="A664" s="98"/>
      <c r="B664" s="94"/>
      <c r="C664" s="94"/>
      <c r="D664" s="94"/>
      <c r="E664" s="94"/>
      <c r="F664" s="94"/>
      <c r="G664" s="94"/>
      <c r="H664" s="94"/>
      <c r="I664" s="94"/>
      <c r="J664" s="94"/>
      <c r="K664" s="94"/>
      <c r="L664" s="94"/>
      <c r="M664" s="94"/>
      <c r="N664" s="94"/>
    </row>
    <row r="665" spans="1:14" ht="14.25" customHeight="1">
      <c r="A665" s="98"/>
      <c r="B665" s="94"/>
      <c r="C665" s="94"/>
      <c r="D665" s="94"/>
      <c r="E665" s="94"/>
      <c r="F665" s="94"/>
      <c r="G665" s="94"/>
      <c r="H665" s="94"/>
      <c r="I665" s="94"/>
      <c r="J665" s="94"/>
      <c r="K665" s="94"/>
      <c r="L665" s="94"/>
      <c r="M665" s="94"/>
      <c r="N665" s="94"/>
    </row>
    <row r="666" spans="1:14" ht="14.25" customHeight="1">
      <c r="A666" s="98"/>
      <c r="B666" s="94"/>
      <c r="C666" s="94"/>
      <c r="D666" s="94"/>
      <c r="E666" s="94"/>
      <c r="F666" s="94"/>
      <c r="G666" s="94"/>
      <c r="H666" s="94"/>
      <c r="I666" s="94"/>
      <c r="J666" s="94"/>
      <c r="K666" s="94"/>
      <c r="L666" s="94"/>
      <c r="M666" s="94"/>
      <c r="N666" s="94"/>
    </row>
    <row r="667" spans="1:14" ht="14.25" customHeight="1">
      <c r="A667" s="98"/>
      <c r="B667" s="94"/>
      <c r="C667" s="94"/>
      <c r="D667" s="94"/>
      <c r="E667" s="94"/>
      <c r="F667" s="94"/>
      <c r="G667" s="94"/>
      <c r="H667" s="94"/>
      <c r="I667" s="94"/>
      <c r="J667" s="94"/>
      <c r="K667" s="94"/>
      <c r="L667" s="94"/>
      <c r="M667" s="94"/>
      <c r="N667" s="94"/>
    </row>
    <row r="668" spans="1:14" ht="14.25" customHeight="1">
      <c r="A668" s="98"/>
      <c r="B668" s="94"/>
      <c r="C668" s="94"/>
      <c r="D668" s="94"/>
      <c r="E668" s="94"/>
      <c r="F668" s="94"/>
      <c r="G668" s="94"/>
      <c r="H668" s="94"/>
      <c r="I668" s="94"/>
      <c r="J668" s="94"/>
      <c r="K668" s="94"/>
      <c r="L668" s="94"/>
      <c r="M668" s="94"/>
      <c r="N668" s="94"/>
    </row>
    <row r="669" spans="1:14" ht="14.25" customHeight="1">
      <c r="A669" s="98"/>
      <c r="B669" s="94"/>
      <c r="C669" s="94"/>
      <c r="D669" s="94"/>
      <c r="E669" s="94"/>
      <c r="F669" s="94"/>
      <c r="G669" s="94"/>
      <c r="H669" s="94"/>
      <c r="I669" s="94"/>
      <c r="J669" s="94"/>
      <c r="K669" s="94"/>
      <c r="L669" s="94"/>
      <c r="M669" s="94"/>
      <c r="N669" s="94"/>
    </row>
    <row r="670" spans="1:14" ht="14.25" customHeight="1">
      <c r="A670" s="98"/>
      <c r="B670" s="94"/>
      <c r="C670" s="94"/>
      <c r="D670" s="94"/>
      <c r="E670" s="94"/>
      <c r="F670" s="94"/>
      <c r="G670" s="94"/>
      <c r="H670" s="94"/>
      <c r="I670" s="94"/>
      <c r="J670" s="94"/>
      <c r="K670" s="94"/>
      <c r="L670" s="94"/>
      <c r="M670" s="94"/>
      <c r="N670" s="94"/>
    </row>
    <row r="671" spans="1:14" ht="14.25" customHeight="1">
      <c r="A671" s="98"/>
      <c r="B671" s="94"/>
      <c r="C671" s="94"/>
      <c r="D671" s="94"/>
      <c r="E671" s="94"/>
      <c r="F671" s="94"/>
      <c r="G671" s="94"/>
      <c r="H671" s="94"/>
      <c r="I671" s="94"/>
      <c r="J671" s="94"/>
      <c r="K671" s="94"/>
      <c r="L671" s="94"/>
      <c r="M671" s="94"/>
      <c r="N671" s="94"/>
    </row>
    <row r="672" spans="1:14" ht="14.25" customHeight="1">
      <c r="A672" s="98"/>
      <c r="B672" s="94"/>
      <c r="C672" s="94"/>
      <c r="D672" s="94"/>
      <c r="E672" s="94"/>
      <c r="F672" s="94"/>
      <c r="G672" s="94"/>
      <c r="H672" s="94"/>
      <c r="I672" s="94"/>
      <c r="J672" s="94"/>
      <c r="K672" s="94"/>
      <c r="L672" s="94"/>
      <c r="M672" s="94"/>
      <c r="N672" s="94"/>
    </row>
    <row r="673" spans="1:14" ht="14.25" customHeight="1">
      <c r="A673" s="98"/>
      <c r="B673" s="94"/>
      <c r="C673" s="94"/>
      <c r="D673" s="94"/>
      <c r="E673" s="94"/>
      <c r="F673" s="94"/>
      <c r="G673" s="94"/>
      <c r="H673" s="94"/>
      <c r="I673" s="94"/>
      <c r="J673" s="94"/>
      <c r="K673" s="94"/>
      <c r="L673" s="94"/>
      <c r="M673" s="94"/>
      <c r="N673" s="94"/>
    </row>
    <row r="674" spans="1:14" ht="14.25" customHeight="1">
      <c r="A674" s="98"/>
      <c r="B674" s="94"/>
      <c r="C674" s="94"/>
      <c r="D674" s="94"/>
      <c r="E674" s="94"/>
      <c r="F674" s="94"/>
      <c r="G674" s="94"/>
      <c r="H674" s="94"/>
      <c r="I674" s="94"/>
      <c r="J674" s="94"/>
      <c r="K674" s="94"/>
      <c r="L674" s="94"/>
      <c r="M674" s="94"/>
      <c r="N674" s="94"/>
    </row>
    <row r="675" spans="1:14" ht="14.25" customHeight="1">
      <c r="A675" s="98"/>
      <c r="B675" s="94"/>
      <c r="C675" s="94"/>
      <c r="D675" s="94"/>
      <c r="E675" s="94"/>
      <c r="F675" s="94"/>
      <c r="G675" s="94"/>
      <c r="H675" s="94"/>
      <c r="I675" s="94"/>
      <c r="J675" s="94"/>
      <c r="K675" s="94"/>
      <c r="L675" s="94"/>
      <c r="M675" s="94"/>
      <c r="N675" s="94"/>
    </row>
    <row r="676" spans="1:14" ht="14.25" customHeight="1">
      <c r="A676" s="98"/>
      <c r="B676" s="94"/>
      <c r="C676" s="94"/>
      <c r="D676" s="94"/>
      <c r="E676" s="94"/>
      <c r="F676" s="94"/>
      <c r="G676" s="94"/>
      <c r="H676" s="94"/>
      <c r="I676" s="94"/>
      <c r="J676" s="94"/>
      <c r="K676" s="94"/>
      <c r="L676" s="94"/>
      <c r="M676" s="94"/>
      <c r="N676" s="94"/>
    </row>
    <row r="677" spans="1:14" ht="14.25" customHeight="1">
      <c r="A677" s="98"/>
      <c r="B677" s="94"/>
      <c r="C677" s="94"/>
      <c r="D677" s="94"/>
      <c r="E677" s="94"/>
      <c r="F677" s="94"/>
      <c r="G677" s="94"/>
      <c r="H677" s="94"/>
      <c r="I677" s="94"/>
      <c r="J677" s="94"/>
      <c r="K677" s="94"/>
      <c r="L677" s="94"/>
      <c r="M677" s="94"/>
      <c r="N677" s="94"/>
    </row>
    <row r="678" spans="1:14" ht="14.25" customHeight="1">
      <c r="A678" s="98"/>
      <c r="B678" s="94"/>
      <c r="C678" s="94"/>
      <c r="D678" s="94"/>
      <c r="E678" s="94"/>
      <c r="F678" s="94"/>
      <c r="G678" s="94"/>
      <c r="H678" s="94"/>
      <c r="I678" s="94"/>
      <c r="J678" s="94"/>
      <c r="K678" s="94"/>
      <c r="L678" s="94"/>
      <c r="M678" s="94"/>
      <c r="N678" s="94"/>
    </row>
    <row r="679" spans="1:14" ht="14.25" customHeight="1">
      <c r="A679" s="98"/>
      <c r="B679" s="94"/>
      <c r="C679" s="94"/>
      <c r="D679" s="94"/>
      <c r="E679" s="94"/>
      <c r="F679" s="94"/>
      <c r="G679" s="94"/>
      <c r="H679" s="94"/>
      <c r="I679" s="94"/>
      <c r="J679" s="94"/>
      <c r="K679" s="94"/>
      <c r="L679" s="94"/>
      <c r="M679" s="94"/>
      <c r="N679" s="94"/>
    </row>
    <row r="680" spans="1:14" ht="14.25" customHeight="1">
      <c r="A680" s="98"/>
      <c r="B680" s="94"/>
      <c r="C680" s="94"/>
      <c r="D680" s="94"/>
      <c r="E680" s="94"/>
      <c r="F680" s="94"/>
      <c r="G680" s="94"/>
      <c r="H680" s="94"/>
      <c r="I680" s="94"/>
      <c r="J680" s="94"/>
      <c r="K680" s="94"/>
      <c r="L680" s="94"/>
      <c r="M680" s="94"/>
      <c r="N680" s="94"/>
    </row>
    <row r="681" spans="1:14" ht="14.25" customHeight="1">
      <c r="A681" s="98"/>
      <c r="B681" s="94"/>
      <c r="C681" s="94"/>
      <c r="D681" s="94"/>
      <c r="E681" s="94"/>
      <c r="F681" s="94"/>
      <c r="G681" s="94"/>
      <c r="H681" s="94"/>
      <c r="I681" s="94"/>
      <c r="J681" s="94"/>
      <c r="K681" s="94"/>
      <c r="L681" s="94"/>
      <c r="M681" s="94"/>
      <c r="N681" s="94"/>
    </row>
    <row r="682" spans="1:14" ht="14.25" customHeight="1">
      <c r="A682" s="98"/>
      <c r="B682" s="94"/>
      <c r="C682" s="94"/>
      <c r="D682" s="94"/>
      <c r="E682" s="94"/>
      <c r="F682" s="94"/>
      <c r="G682" s="94"/>
      <c r="H682" s="94"/>
      <c r="I682" s="94"/>
      <c r="J682" s="94"/>
      <c r="K682" s="94"/>
      <c r="L682" s="94"/>
      <c r="M682" s="94"/>
      <c r="N682" s="94"/>
    </row>
    <row r="683" spans="1:14" ht="14.25" customHeight="1">
      <c r="A683" s="98"/>
      <c r="B683" s="94"/>
      <c r="C683" s="94"/>
      <c r="D683" s="94"/>
      <c r="E683" s="94"/>
      <c r="F683" s="94"/>
      <c r="G683" s="94"/>
      <c r="H683" s="94"/>
      <c r="I683" s="94"/>
      <c r="J683" s="94"/>
      <c r="K683" s="94"/>
      <c r="L683" s="94"/>
      <c r="M683" s="94"/>
      <c r="N683" s="94"/>
    </row>
    <row r="684" spans="1:14" ht="14.25" customHeight="1">
      <c r="A684" s="98"/>
      <c r="B684" s="94"/>
      <c r="C684" s="94"/>
      <c r="D684" s="94"/>
      <c r="E684" s="94"/>
      <c r="F684" s="94"/>
      <c r="G684" s="94"/>
      <c r="H684" s="94"/>
      <c r="I684" s="94"/>
      <c r="J684" s="94"/>
      <c r="K684" s="94"/>
      <c r="L684" s="94"/>
      <c r="M684" s="94"/>
      <c r="N684" s="94"/>
    </row>
    <row r="685" spans="1:14" ht="14.25" customHeight="1">
      <c r="A685" s="98"/>
      <c r="B685" s="94"/>
      <c r="C685" s="94"/>
      <c r="D685" s="94"/>
      <c r="E685" s="94"/>
      <c r="F685" s="94"/>
      <c r="G685" s="94"/>
      <c r="H685" s="94"/>
      <c r="I685" s="94"/>
      <c r="J685" s="94"/>
      <c r="K685" s="94"/>
      <c r="L685" s="94"/>
      <c r="M685" s="94"/>
      <c r="N685" s="94"/>
    </row>
    <row r="686" spans="1:14" ht="14.25" customHeight="1">
      <c r="A686" s="98"/>
      <c r="B686" s="94"/>
      <c r="C686" s="94"/>
      <c r="D686" s="94"/>
      <c r="E686" s="94"/>
      <c r="F686" s="94"/>
      <c r="G686" s="94"/>
      <c r="H686" s="94"/>
      <c r="I686" s="94"/>
      <c r="J686" s="94"/>
      <c r="K686" s="94"/>
      <c r="L686" s="94"/>
      <c r="M686" s="94"/>
      <c r="N686" s="94"/>
    </row>
    <row r="687" spans="1:14" ht="14.25" customHeight="1">
      <c r="A687" s="98"/>
      <c r="B687" s="94"/>
      <c r="C687" s="94"/>
      <c r="D687" s="94"/>
      <c r="E687" s="94"/>
      <c r="F687" s="94"/>
      <c r="G687" s="94"/>
      <c r="H687" s="94"/>
      <c r="I687" s="94"/>
      <c r="J687" s="94"/>
      <c r="K687" s="94"/>
      <c r="L687" s="94"/>
      <c r="M687" s="94"/>
      <c r="N687" s="94"/>
    </row>
    <row r="688" spans="1:14" ht="14.25" customHeight="1">
      <c r="A688" s="98"/>
      <c r="B688" s="94"/>
      <c r="C688" s="94"/>
      <c r="D688" s="94"/>
      <c r="E688" s="94"/>
      <c r="F688" s="94"/>
      <c r="G688" s="94"/>
      <c r="H688" s="94"/>
      <c r="I688" s="94"/>
      <c r="J688" s="94"/>
      <c r="K688" s="94"/>
      <c r="L688" s="94"/>
      <c r="M688" s="94"/>
      <c r="N688" s="94"/>
    </row>
    <row r="689" spans="1:14" ht="14.25" customHeight="1">
      <c r="A689" s="98"/>
      <c r="B689" s="94"/>
      <c r="C689" s="94"/>
      <c r="D689" s="94"/>
      <c r="E689" s="94"/>
      <c r="F689" s="94"/>
      <c r="G689" s="94"/>
      <c r="H689" s="94"/>
      <c r="I689" s="94"/>
      <c r="J689" s="94"/>
      <c r="K689" s="94"/>
      <c r="L689" s="94"/>
      <c r="M689" s="94"/>
      <c r="N689" s="94"/>
    </row>
    <row r="690" spans="1:14" ht="14.25" customHeight="1">
      <c r="A690" s="98"/>
      <c r="B690" s="94"/>
      <c r="C690" s="94"/>
      <c r="D690" s="94"/>
      <c r="E690" s="94"/>
      <c r="F690" s="94"/>
      <c r="G690" s="94"/>
      <c r="H690" s="94"/>
      <c r="I690" s="94"/>
      <c r="J690" s="94"/>
      <c r="K690" s="94"/>
      <c r="L690" s="94"/>
      <c r="M690" s="94"/>
      <c r="N690" s="94"/>
    </row>
    <row r="691" spans="1:14" ht="14.25" customHeight="1">
      <c r="A691" s="98"/>
      <c r="B691" s="94"/>
      <c r="C691" s="94"/>
      <c r="D691" s="94"/>
      <c r="E691" s="94"/>
      <c r="F691" s="94"/>
      <c r="G691" s="94"/>
      <c r="H691" s="94"/>
      <c r="I691" s="94"/>
      <c r="J691" s="94"/>
      <c r="K691" s="94"/>
      <c r="L691" s="94"/>
      <c r="M691" s="94"/>
      <c r="N691" s="94"/>
    </row>
    <row r="692" spans="1:14" ht="14.25" customHeight="1">
      <c r="A692" s="98"/>
      <c r="B692" s="94"/>
      <c r="C692" s="94"/>
      <c r="D692" s="94"/>
      <c r="E692" s="94"/>
      <c r="F692" s="94"/>
      <c r="G692" s="94"/>
      <c r="H692" s="94"/>
      <c r="I692" s="94"/>
      <c r="J692" s="94"/>
      <c r="K692" s="94"/>
      <c r="L692" s="94"/>
      <c r="M692" s="94"/>
      <c r="N692" s="94"/>
    </row>
    <row r="693" spans="1:14" ht="14.25" customHeight="1">
      <c r="A693" s="98"/>
      <c r="B693" s="94"/>
      <c r="C693" s="94"/>
      <c r="D693" s="94"/>
      <c r="E693" s="94"/>
      <c r="F693" s="94"/>
      <c r="G693" s="94"/>
      <c r="H693" s="94"/>
      <c r="I693" s="94"/>
      <c r="J693" s="94"/>
      <c r="K693" s="94"/>
      <c r="L693" s="94"/>
      <c r="M693" s="94"/>
      <c r="N693" s="94"/>
    </row>
    <row r="694" spans="1:14" ht="14.25" customHeight="1">
      <c r="A694" s="98"/>
      <c r="B694" s="94"/>
      <c r="C694" s="94"/>
      <c r="D694" s="94"/>
      <c r="E694" s="94"/>
      <c r="F694" s="94"/>
      <c r="G694" s="94"/>
      <c r="H694" s="94"/>
      <c r="I694" s="94"/>
      <c r="J694" s="94"/>
      <c r="K694" s="94"/>
      <c r="L694" s="94"/>
      <c r="M694" s="94"/>
      <c r="N694" s="94"/>
    </row>
    <row r="695" spans="1:14" ht="14.25" customHeight="1">
      <c r="A695" s="98"/>
      <c r="B695" s="94"/>
      <c r="C695" s="94"/>
      <c r="D695" s="94"/>
      <c r="E695" s="94"/>
      <c r="F695" s="94"/>
      <c r="G695" s="94"/>
      <c r="H695" s="94"/>
      <c r="I695" s="94"/>
      <c r="J695" s="94"/>
      <c r="K695" s="94"/>
      <c r="L695" s="94"/>
      <c r="M695" s="94"/>
      <c r="N695" s="94"/>
    </row>
    <row r="696" spans="1:14" ht="14.25" customHeight="1">
      <c r="A696" s="98"/>
      <c r="B696" s="94"/>
      <c r="C696" s="94"/>
      <c r="D696" s="94"/>
      <c r="E696" s="94"/>
      <c r="F696" s="94"/>
      <c r="G696" s="94"/>
      <c r="H696" s="94"/>
      <c r="I696" s="94"/>
      <c r="J696" s="94"/>
      <c r="K696" s="94"/>
      <c r="L696" s="94"/>
      <c r="M696" s="94"/>
      <c r="N696" s="94"/>
    </row>
    <row r="697" spans="1:14" ht="14.25" customHeight="1">
      <c r="A697" s="98"/>
      <c r="B697" s="94"/>
      <c r="C697" s="94"/>
      <c r="D697" s="94"/>
      <c r="E697" s="94"/>
      <c r="F697" s="94"/>
      <c r="G697" s="94"/>
      <c r="H697" s="94"/>
      <c r="I697" s="94"/>
      <c r="J697" s="94"/>
      <c r="K697" s="94"/>
      <c r="L697" s="94"/>
      <c r="M697" s="94"/>
      <c r="N697" s="94"/>
    </row>
    <row r="698" spans="1:14" ht="14.25" customHeight="1">
      <c r="A698" s="98"/>
      <c r="B698" s="94"/>
      <c r="C698" s="94"/>
      <c r="D698" s="94"/>
      <c r="E698" s="94"/>
      <c r="F698" s="94"/>
      <c r="G698" s="94"/>
      <c r="H698" s="94"/>
      <c r="I698" s="94"/>
      <c r="J698" s="94"/>
      <c r="K698" s="94"/>
      <c r="L698" s="94"/>
      <c r="M698" s="94"/>
      <c r="N698" s="94"/>
    </row>
    <row r="699" spans="1:14" ht="14.25" customHeight="1">
      <c r="A699" s="98"/>
      <c r="B699" s="94"/>
      <c r="C699" s="94"/>
      <c r="D699" s="94"/>
      <c r="E699" s="94"/>
      <c r="F699" s="94"/>
      <c r="G699" s="94"/>
      <c r="H699" s="94"/>
      <c r="I699" s="94"/>
      <c r="J699" s="94"/>
      <c r="K699" s="94"/>
      <c r="L699" s="94"/>
      <c r="M699" s="94"/>
      <c r="N699" s="94"/>
    </row>
    <row r="700" spans="1:14" ht="14.25" customHeight="1">
      <c r="A700" s="98"/>
      <c r="B700" s="94"/>
      <c r="C700" s="94"/>
      <c r="D700" s="94"/>
      <c r="E700" s="94"/>
      <c r="F700" s="94"/>
      <c r="G700" s="94"/>
      <c r="H700" s="94"/>
      <c r="I700" s="94"/>
      <c r="J700" s="94"/>
      <c r="K700" s="94"/>
      <c r="L700" s="94"/>
      <c r="M700" s="94"/>
      <c r="N700" s="94"/>
    </row>
    <row r="701" spans="1:14" ht="14.25" customHeight="1">
      <c r="A701" s="98"/>
      <c r="B701" s="94"/>
      <c r="C701" s="94"/>
      <c r="D701" s="94"/>
      <c r="E701" s="94"/>
      <c r="F701" s="94"/>
      <c r="G701" s="94"/>
      <c r="H701" s="94"/>
      <c r="I701" s="94"/>
      <c r="J701" s="94"/>
      <c r="K701" s="94"/>
      <c r="L701" s="94"/>
      <c r="M701" s="94"/>
      <c r="N701" s="94"/>
    </row>
    <row r="702" spans="1:14" ht="14.25" customHeight="1">
      <c r="A702" s="98"/>
      <c r="B702" s="94"/>
      <c r="C702" s="94"/>
      <c r="D702" s="94"/>
      <c r="E702" s="94"/>
      <c r="F702" s="94"/>
      <c r="G702" s="94"/>
      <c r="H702" s="94"/>
      <c r="I702" s="94"/>
      <c r="J702" s="94"/>
      <c r="K702" s="94"/>
      <c r="L702" s="94"/>
      <c r="M702" s="94"/>
      <c r="N702" s="94"/>
    </row>
    <row r="703" spans="1:14" ht="14.25" customHeight="1">
      <c r="A703" s="98"/>
      <c r="B703" s="94"/>
      <c r="C703" s="94"/>
      <c r="D703" s="94"/>
      <c r="E703" s="94"/>
      <c r="F703" s="94"/>
      <c r="G703" s="94"/>
      <c r="H703" s="94"/>
      <c r="I703" s="94"/>
      <c r="J703" s="94"/>
      <c r="K703" s="94"/>
      <c r="L703" s="94"/>
      <c r="M703" s="94"/>
      <c r="N703" s="94"/>
    </row>
    <row r="704" spans="1:14" ht="14.25" customHeight="1">
      <c r="A704" s="98"/>
      <c r="B704" s="94"/>
      <c r="C704" s="94"/>
      <c r="D704" s="94"/>
      <c r="E704" s="94"/>
      <c r="F704" s="94"/>
      <c r="G704" s="94"/>
      <c r="H704" s="94"/>
      <c r="I704" s="94"/>
      <c r="J704" s="94"/>
      <c r="K704" s="94"/>
      <c r="L704" s="94"/>
      <c r="M704" s="94"/>
      <c r="N704" s="94"/>
    </row>
    <row r="705" spans="1:14" ht="14.25" customHeight="1">
      <c r="A705" s="98"/>
      <c r="B705" s="94"/>
      <c r="C705" s="94"/>
      <c r="D705" s="94"/>
      <c r="E705" s="94"/>
      <c r="F705" s="94"/>
      <c r="G705" s="94"/>
      <c r="H705" s="94"/>
      <c r="I705" s="94"/>
      <c r="J705" s="94"/>
      <c r="K705" s="94"/>
      <c r="L705" s="94"/>
      <c r="M705" s="94"/>
      <c r="N705" s="94"/>
    </row>
    <row r="706" spans="1:14" ht="14.25" customHeight="1">
      <c r="A706" s="98"/>
      <c r="B706" s="94"/>
      <c r="C706" s="94"/>
      <c r="D706" s="94"/>
      <c r="E706" s="94"/>
      <c r="F706" s="94"/>
      <c r="G706" s="94"/>
      <c r="H706" s="94"/>
      <c r="I706" s="94"/>
      <c r="J706" s="94"/>
      <c r="K706" s="94"/>
      <c r="L706" s="94"/>
      <c r="M706" s="94"/>
      <c r="N706" s="94"/>
    </row>
    <row r="707" spans="1:14" ht="14.25" customHeight="1">
      <c r="A707" s="98"/>
      <c r="B707" s="94"/>
      <c r="C707" s="94"/>
      <c r="D707" s="94"/>
      <c r="E707" s="94"/>
      <c r="F707" s="94"/>
      <c r="G707" s="94"/>
      <c r="H707" s="94"/>
      <c r="I707" s="94"/>
      <c r="J707" s="94"/>
      <c r="K707" s="94"/>
      <c r="L707" s="94"/>
      <c r="M707" s="94"/>
      <c r="N707" s="94"/>
    </row>
    <row r="708" spans="1:14" ht="14.25" customHeight="1">
      <c r="A708" s="98"/>
      <c r="B708" s="94"/>
      <c r="C708" s="94"/>
      <c r="D708" s="94"/>
      <c r="E708" s="94"/>
      <c r="F708" s="94"/>
      <c r="G708" s="94"/>
      <c r="H708" s="94"/>
      <c r="I708" s="94"/>
      <c r="J708" s="94"/>
      <c r="K708" s="94"/>
      <c r="L708" s="94"/>
      <c r="M708" s="94"/>
      <c r="N708" s="94"/>
    </row>
    <row r="709" spans="1:14" ht="14.25" customHeight="1">
      <c r="A709" s="98"/>
      <c r="B709" s="94"/>
      <c r="C709" s="94"/>
      <c r="D709" s="94"/>
      <c r="E709" s="94"/>
      <c r="F709" s="94"/>
      <c r="G709" s="94"/>
      <c r="H709" s="94"/>
      <c r="I709" s="94"/>
      <c r="J709" s="94"/>
      <c r="K709" s="94"/>
      <c r="L709" s="94"/>
      <c r="M709" s="94"/>
      <c r="N709" s="94"/>
    </row>
    <row r="710" spans="1:14" ht="14.25" customHeight="1">
      <c r="A710" s="98"/>
      <c r="B710" s="94"/>
      <c r="C710" s="94"/>
      <c r="D710" s="94"/>
      <c r="E710" s="94"/>
      <c r="F710" s="94"/>
      <c r="G710" s="94"/>
      <c r="H710" s="94"/>
      <c r="I710" s="94"/>
      <c r="J710" s="94"/>
      <c r="K710" s="94"/>
      <c r="L710" s="94"/>
      <c r="M710" s="94"/>
      <c r="N710" s="94"/>
    </row>
    <row r="711" spans="1:14" ht="14.25" customHeight="1">
      <c r="A711" s="98"/>
      <c r="B711" s="94"/>
      <c r="C711" s="94"/>
      <c r="D711" s="94"/>
      <c r="E711" s="94"/>
      <c r="F711" s="94"/>
      <c r="G711" s="94"/>
      <c r="H711" s="94"/>
      <c r="I711" s="94"/>
      <c r="J711" s="94"/>
      <c r="K711" s="94"/>
      <c r="L711" s="94"/>
      <c r="M711" s="94"/>
      <c r="N711" s="94"/>
    </row>
    <row r="712" spans="1:14" ht="14.25" customHeight="1">
      <c r="A712" s="98"/>
      <c r="B712" s="94"/>
      <c r="C712" s="94"/>
      <c r="D712" s="94"/>
      <c r="E712" s="94"/>
      <c r="F712" s="94"/>
      <c r="G712" s="94"/>
      <c r="H712" s="94"/>
      <c r="I712" s="94"/>
      <c r="J712" s="94"/>
      <c r="K712" s="94"/>
      <c r="L712" s="94"/>
      <c r="M712" s="94"/>
      <c r="N712" s="94"/>
    </row>
    <row r="713" spans="1:14" ht="14.25" customHeight="1">
      <c r="A713" s="98"/>
      <c r="B713" s="94"/>
      <c r="C713" s="94"/>
      <c r="D713" s="94"/>
      <c r="E713" s="94"/>
      <c r="F713" s="94"/>
      <c r="G713" s="94"/>
      <c r="H713" s="94"/>
      <c r="I713" s="94"/>
      <c r="J713" s="94"/>
      <c r="K713" s="94"/>
      <c r="L713" s="94"/>
      <c r="M713" s="94"/>
      <c r="N713" s="94"/>
    </row>
    <row r="714" spans="1:14" ht="14.25" customHeight="1">
      <c r="A714" s="98"/>
      <c r="B714" s="94"/>
      <c r="C714" s="94"/>
      <c r="D714" s="94"/>
      <c r="E714" s="94"/>
      <c r="F714" s="94"/>
      <c r="G714" s="94"/>
      <c r="H714" s="94"/>
      <c r="I714" s="94"/>
      <c r="J714" s="94"/>
      <c r="K714" s="94"/>
      <c r="L714" s="94"/>
      <c r="M714" s="94"/>
      <c r="N714" s="94"/>
    </row>
    <row r="715" spans="1:14" ht="14.25" customHeight="1">
      <c r="A715" s="98"/>
      <c r="B715" s="94"/>
      <c r="C715" s="94"/>
      <c r="D715" s="94"/>
      <c r="E715" s="94"/>
      <c r="F715" s="94"/>
      <c r="G715" s="94"/>
      <c r="H715" s="94"/>
      <c r="I715" s="94"/>
      <c r="J715" s="94"/>
      <c r="K715" s="94"/>
      <c r="L715" s="94"/>
      <c r="M715" s="94"/>
      <c r="N715" s="94"/>
    </row>
    <row r="716" spans="1:14" ht="14.25" customHeight="1">
      <c r="A716" s="98"/>
      <c r="B716" s="94"/>
      <c r="C716" s="94"/>
      <c r="D716" s="94"/>
      <c r="E716" s="94"/>
      <c r="F716" s="94"/>
      <c r="G716" s="94"/>
      <c r="H716" s="94"/>
      <c r="I716" s="94"/>
      <c r="J716" s="94"/>
      <c r="K716" s="94"/>
      <c r="L716" s="94"/>
      <c r="M716" s="94"/>
      <c r="N716" s="94"/>
    </row>
    <row r="717" spans="1:14" ht="14.25" customHeight="1">
      <c r="A717" s="98"/>
      <c r="B717" s="94"/>
      <c r="C717" s="94"/>
      <c r="D717" s="94"/>
      <c r="E717" s="94"/>
      <c r="F717" s="94"/>
      <c r="G717" s="94"/>
      <c r="H717" s="94"/>
      <c r="I717" s="94"/>
      <c r="J717" s="94"/>
      <c r="K717" s="94"/>
      <c r="L717" s="94"/>
      <c r="M717" s="94"/>
      <c r="N717" s="94"/>
    </row>
    <row r="718" spans="1:14" ht="14.25" customHeight="1">
      <c r="A718" s="98"/>
      <c r="B718" s="94"/>
      <c r="C718" s="94"/>
      <c r="D718" s="94"/>
      <c r="E718" s="94"/>
      <c r="F718" s="94"/>
      <c r="G718" s="94"/>
      <c r="H718" s="94"/>
      <c r="I718" s="94"/>
      <c r="J718" s="94"/>
      <c r="K718" s="94"/>
      <c r="L718" s="94"/>
      <c r="M718" s="94"/>
      <c r="N718" s="94"/>
    </row>
    <row r="719" spans="1:14" ht="14.25" customHeight="1">
      <c r="A719" s="98"/>
      <c r="B719" s="94"/>
      <c r="C719" s="94"/>
      <c r="D719" s="94"/>
      <c r="E719" s="94"/>
      <c r="F719" s="94"/>
      <c r="G719" s="94"/>
      <c r="H719" s="94"/>
      <c r="I719" s="94"/>
      <c r="J719" s="94"/>
      <c r="K719" s="94"/>
      <c r="L719" s="94"/>
      <c r="M719" s="94"/>
      <c r="N719" s="94"/>
    </row>
    <row r="720" spans="1:14" ht="14.25" customHeight="1">
      <c r="A720" s="98"/>
      <c r="B720" s="94"/>
      <c r="C720" s="94"/>
      <c r="D720" s="94"/>
      <c r="E720" s="94"/>
      <c r="F720" s="94"/>
      <c r="G720" s="94"/>
      <c r="H720" s="94"/>
      <c r="I720" s="94"/>
      <c r="J720" s="94"/>
      <c r="K720" s="94"/>
      <c r="L720" s="94"/>
      <c r="M720" s="94"/>
      <c r="N720" s="94"/>
    </row>
    <row r="721" spans="1:14" ht="14.25" customHeight="1">
      <c r="A721" s="98"/>
      <c r="B721" s="94"/>
      <c r="C721" s="94"/>
      <c r="D721" s="94"/>
      <c r="E721" s="94"/>
      <c r="F721" s="94"/>
      <c r="G721" s="94"/>
      <c r="H721" s="94"/>
      <c r="I721" s="94"/>
      <c r="J721" s="94"/>
      <c r="K721" s="94"/>
      <c r="L721" s="94"/>
      <c r="M721" s="94"/>
      <c r="N721" s="94"/>
    </row>
    <row r="722" spans="1:14" ht="14.25" customHeight="1">
      <c r="A722" s="98"/>
      <c r="B722" s="94"/>
      <c r="C722" s="94"/>
      <c r="D722" s="94"/>
      <c r="E722" s="94"/>
      <c r="F722" s="94"/>
      <c r="G722" s="94"/>
      <c r="H722" s="94"/>
      <c r="I722" s="94"/>
      <c r="J722" s="94"/>
      <c r="K722" s="94"/>
      <c r="L722" s="94"/>
      <c r="M722" s="94"/>
      <c r="N722" s="94"/>
    </row>
    <row r="723" spans="1:14" ht="14.25" customHeight="1">
      <c r="A723" s="98"/>
      <c r="B723" s="94"/>
      <c r="C723" s="94"/>
      <c r="D723" s="94"/>
      <c r="E723" s="94"/>
      <c r="F723" s="94"/>
      <c r="G723" s="94"/>
      <c r="H723" s="94"/>
      <c r="I723" s="94"/>
      <c r="J723" s="94"/>
      <c r="K723" s="94"/>
      <c r="L723" s="94"/>
      <c r="M723" s="94"/>
      <c r="N723" s="94"/>
    </row>
    <row r="724" spans="1:14" ht="14.25" customHeight="1">
      <c r="A724" s="98"/>
      <c r="B724" s="94"/>
      <c r="C724" s="94"/>
      <c r="D724" s="94"/>
      <c r="E724" s="94"/>
      <c r="F724" s="94"/>
      <c r="G724" s="94"/>
      <c r="H724" s="94"/>
      <c r="I724" s="94"/>
      <c r="J724" s="94"/>
      <c r="K724" s="94"/>
      <c r="L724" s="94"/>
      <c r="M724" s="94"/>
      <c r="N724" s="94"/>
    </row>
    <row r="725" spans="1:14" ht="14.25" customHeight="1">
      <c r="A725" s="98"/>
      <c r="B725" s="94"/>
      <c r="C725" s="94"/>
      <c r="D725" s="94"/>
      <c r="E725" s="94"/>
      <c r="F725" s="94"/>
      <c r="G725" s="94"/>
      <c r="H725" s="94"/>
      <c r="I725" s="94"/>
      <c r="J725" s="94"/>
      <c r="K725" s="94"/>
      <c r="L725" s="94"/>
      <c r="M725" s="94"/>
      <c r="N725" s="94"/>
    </row>
    <row r="726" spans="1:14" ht="14.25" customHeight="1">
      <c r="A726" s="98"/>
      <c r="B726" s="94"/>
      <c r="C726" s="94"/>
      <c r="D726" s="94"/>
      <c r="E726" s="94"/>
      <c r="F726" s="94"/>
      <c r="G726" s="94"/>
      <c r="H726" s="94"/>
      <c r="I726" s="94"/>
      <c r="J726" s="94"/>
      <c r="K726" s="94"/>
      <c r="L726" s="94"/>
      <c r="M726" s="94"/>
      <c r="N726" s="94"/>
    </row>
    <row r="727" spans="1:14" ht="14.25" customHeight="1">
      <c r="A727" s="98"/>
      <c r="B727" s="94"/>
      <c r="C727" s="94"/>
      <c r="D727" s="94"/>
      <c r="E727" s="94"/>
      <c r="F727" s="94"/>
      <c r="G727" s="94"/>
      <c r="H727" s="94"/>
      <c r="I727" s="94"/>
      <c r="J727" s="94"/>
      <c r="K727" s="94"/>
      <c r="L727" s="94"/>
      <c r="M727" s="94"/>
      <c r="N727" s="94"/>
    </row>
    <row r="728" spans="1:14" ht="14.25" customHeight="1">
      <c r="A728" s="98"/>
      <c r="B728" s="94"/>
      <c r="C728" s="94"/>
      <c r="D728" s="94"/>
      <c r="E728" s="94"/>
      <c r="F728" s="94"/>
      <c r="G728" s="94"/>
      <c r="H728" s="94"/>
      <c r="I728" s="94"/>
      <c r="J728" s="94"/>
      <c r="K728" s="94"/>
      <c r="L728" s="94"/>
      <c r="M728" s="94"/>
      <c r="N728" s="94"/>
    </row>
    <row r="729" spans="1:14" ht="14.25" customHeight="1">
      <c r="A729" s="98"/>
      <c r="B729" s="94"/>
      <c r="C729" s="94"/>
      <c r="D729" s="94"/>
      <c r="E729" s="94"/>
      <c r="F729" s="94"/>
      <c r="G729" s="94"/>
      <c r="H729" s="94"/>
      <c r="I729" s="94"/>
      <c r="J729" s="94"/>
      <c r="K729" s="94"/>
      <c r="L729" s="94"/>
      <c r="M729" s="94"/>
      <c r="N729" s="94"/>
    </row>
    <row r="730" spans="1:14" ht="14.25" customHeight="1">
      <c r="A730" s="98"/>
      <c r="B730" s="94"/>
      <c r="C730" s="94"/>
      <c r="D730" s="94"/>
      <c r="E730" s="94"/>
      <c r="F730" s="94"/>
      <c r="G730" s="94"/>
      <c r="H730" s="94"/>
      <c r="I730" s="94"/>
      <c r="J730" s="94"/>
      <c r="K730" s="94"/>
      <c r="L730" s="94"/>
      <c r="M730" s="94"/>
      <c r="N730" s="94"/>
    </row>
    <row r="731" spans="1:14" ht="14.25" customHeight="1">
      <c r="A731" s="98"/>
      <c r="B731" s="94"/>
      <c r="C731" s="94"/>
      <c r="D731" s="94"/>
      <c r="E731" s="94"/>
      <c r="F731" s="94"/>
      <c r="G731" s="94"/>
      <c r="H731" s="94"/>
      <c r="I731" s="94"/>
      <c r="J731" s="94"/>
      <c r="K731" s="94"/>
      <c r="L731" s="94"/>
      <c r="M731" s="94"/>
      <c r="N731" s="94"/>
    </row>
    <row r="732" spans="1:14" ht="14.25" customHeight="1">
      <c r="A732" s="98"/>
      <c r="B732" s="94"/>
      <c r="C732" s="94"/>
      <c r="D732" s="94"/>
      <c r="E732" s="94"/>
      <c r="F732" s="94"/>
      <c r="G732" s="94"/>
      <c r="H732" s="94"/>
      <c r="I732" s="94"/>
      <c r="J732" s="94"/>
      <c r="K732" s="94"/>
      <c r="L732" s="94"/>
      <c r="M732" s="94"/>
      <c r="N732" s="94"/>
    </row>
    <row r="733" spans="1:14" ht="14.25" customHeight="1">
      <c r="A733" s="98"/>
      <c r="B733" s="94"/>
      <c r="C733" s="94"/>
      <c r="D733" s="94"/>
      <c r="E733" s="94"/>
      <c r="F733" s="94"/>
      <c r="G733" s="94"/>
      <c r="H733" s="94"/>
      <c r="I733" s="94"/>
      <c r="J733" s="94"/>
      <c r="K733" s="94"/>
      <c r="L733" s="94"/>
      <c r="M733" s="94"/>
      <c r="N733" s="94"/>
    </row>
    <row r="734" spans="1:14" ht="14.25" customHeight="1">
      <c r="A734" s="98"/>
      <c r="B734" s="94"/>
      <c r="C734" s="94"/>
      <c r="D734" s="94"/>
      <c r="E734" s="94"/>
      <c r="F734" s="94"/>
      <c r="G734" s="94"/>
      <c r="H734" s="94"/>
      <c r="I734" s="94"/>
      <c r="J734" s="94"/>
      <c r="K734" s="94"/>
      <c r="L734" s="94"/>
      <c r="M734" s="94"/>
      <c r="N734" s="94"/>
    </row>
    <row r="735" spans="1:14" ht="14.25" customHeight="1">
      <c r="A735" s="98"/>
      <c r="B735" s="94"/>
      <c r="C735" s="94"/>
      <c r="D735" s="94"/>
      <c r="E735" s="94"/>
      <c r="F735" s="94"/>
      <c r="G735" s="94"/>
      <c r="H735" s="94"/>
      <c r="I735" s="94"/>
      <c r="J735" s="94"/>
      <c r="K735" s="94"/>
      <c r="L735" s="94"/>
      <c r="M735" s="94"/>
      <c r="N735" s="94"/>
    </row>
    <row r="736" spans="1:14" ht="14.25" customHeight="1">
      <c r="A736" s="98"/>
      <c r="B736" s="94"/>
      <c r="C736" s="94"/>
      <c r="D736" s="94"/>
      <c r="E736" s="94"/>
      <c r="F736" s="94"/>
      <c r="G736" s="94"/>
      <c r="H736" s="94"/>
      <c r="I736" s="94"/>
      <c r="J736" s="94"/>
      <c r="K736" s="94"/>
      <c r="L736" s="94"/>
      <c r="M736" s="94"/>
      <c r="N736" s="94"/>
    </row>
    <row r="737" spans="1:14" ht="14.25" customHeight="1">
      <c r="A737" s="98"/>
      <c r="B737" s="94"/>
      <c r="C737" s="94"/>
      <c r="D737" s="94"/>
      <c r="E737" s="94"/>
      <c r="F737" s="94"/>
      <c r="G737" s="94"/>
      <c r="H737" s="94"/>
      <c r="I737" s="94"/>
      <c r="J737" s="94"/>
      <c r="K737" s="94"/>
      <c r="L737" s="94"/>
      <c r="M737" s="94"/>
      <c r="N737" s="94"/>
    </row>
    <row r="738" spans="1:14" ht="14.25" customHeight="1">
      <c r="A738" s="98"/>
      <c r="B738" s="94"/>
      <c r="C738" s="94"/>
      <c r="D738" s="94"/>
      <c r="E738" s="94"/>
      <c r="F738" s="94"/>
      <c r="G738" s="94"/>
      <c r="H738" s="94"/>
      <c r="I738" s="94"/>
      <c r="J738" s="94"/>
      <c r="K738" s="94"/>
      <c r="L738" s="94"/>
      <c r="M738" s="94"/>
      <c r="N738" s="94"/>
    </row>
    <row r="739" spans="1:14" ht="14.25" customHeight="1">
      <c r="A739" s="98"/>
      <c r="B739" s="94"/>
      <c r="C739" s="94"/>
      <c r="D739" s="94"/>
      <c r="E739" s="94"/>
      <c r="F739" s="94"/>
      <c r="G739" s="94"/>
      <c r="H739" s="94"/>
      <c r="I739" s="94"/>
      <c r="J739" s="94"/>
      <c r="K739" s="94"/>
      <c r="L739" s="94"/>
      <c r="M739" s="94"/>
      <c r="N739" s="94"/>
    </row>
    <row r="740" spans="1:14" ht="14.25" customHeight="1">
      <c r="A740" s="98"/>
      <c r="B740" s="94"/>
      <c r="C740" s="94"/>
      <c r="D740" s="94"/>
      <c r="E740" s="94"/>
      <c r="F740" s="94"/>
      <c r="G740" s="94"/>
      <c r="H740" s="94"/>
      <c r="I740" s="94"/>
      <c r="J740" s="94"/>
      <c r="K740" s="94"/>
      <c r="L740" s="94"/>
      <c r="M740" s="94"/>
      <c r="N740" s="94"/>
    </row>
    <row r="741" spans="1:14" ht="14.25" customHeight="1">
      <c r="A741" s="98"/>
      <c r="B741" s="94"/>
      <c r="C741" s="94"/>
      <c r="D741" s="94"/>
      <c r="E741" s="94"/>
      <c r="F741" s="94"/>
      <c r="G741" s="94"/>
      <c r="H741" s="94"/>
      <c r="I741" s="94"/>
      <c r="J741" s="94"/>
      <c r="K741" s="94"/>
      <c r="L741" s="94"/>
      <c r="M741" s="94"/>
      <c r="N741" s="94"/>
    </row>
    <row r="742" spans="1:14" ht="14.25" customHeight="1">
      <c r="A742" s="98"/>
      <c r="B742" s="94"/>
      <c r="C742" s="94"/>
      <c r="D742" s="94"/>
      <c r="E742" s="94"/>
      <c r="F742" s="94"/>
      <c r="G742" s="94"/>
      <c r="H742" s="94"/>
      <c r="I742" s="94"/>
      <c r="J742" s="94"/>
      <c r="K742" s="94"/>
      <c r="L742" s="94"/>
      <c r="M742" s="94"/>
      <c r="N742" s="94"/>
    </row>
    <row r="743" spans="1:14" ht="14.25" customHeight="1">
      <c r="A743" s="98"/>
      <c r="B743" s="94"/>
      <c r="C743" s="94"/>
      <c r="D743" s="94"/>
      <c r="E743" s="94"/>
      <c r="F743" s="94"/>
      <c r="G743" s="94"/>
      <c r="H743" s="94"/>
      <c r="I743" s="94"/>
      <c r="J743" s="94"/>
      <c r="K743" s="94"/>
      <c r="L743" s="94"/>
      <c r="M743" s="94"/>
      <c r="N743" s="94"/>
    </row>
    <row r="744" spans="1:14" ht="14.25" customHeight="1">
      <c r="A744" s="98"/>
      <c r="B744" s="94"/>
      <c r="C744" s="94"/>
      <c r="D744" s="94"/>
      <c r="E744" s="94"/>
      <c r="F744" s="94"/>
      <c r="G744" s="94"/>
      <c r="H744" s="94"/>
      <c r="I744" s="94"/>
      <c r="J744" s="94"/>
      <c r="K744" s="94"/>
      <c r="L744" s="94"/>
      <c r="M744" s="94"/>
      <c r="N744" s="94"/>
    </row>
    <row r="745" spans="1:14" ht="14.25" customHeight="1">
      <c r="A745" s="98"/>
      <c r="B745" s="94"/>
      <c r="C745" s="94"/>
      <c r="D745" s="94"/>
      <c r="E745" s="94"/>
      <c r="F745" s="94"/>
      <c r="G745" s="94"/>
      <c r="H745" s="94"/>
      <c r="I745" s="94"/>
      <c r="J745" s="94"/>
      <c r="K745" s="94"/>
      <c r="L745" s="94"/>
      <c r="M745" s="94"/>
      <c r="N745" s="94"/>
    </row>
    <row r="746" spans="1:14" ht="14.25" customHeight="1">
      <c r="A746" s="98"/>
      <c r="B746" s="94"/>
      <c r="C746" s="94"/>
      <c r="D746" s="94"/>
      <c r="E746" s="94"/>
      <c r="F746" s="94"/>
      <c r="G746" s="94"/>
      <c r="H746" s="94"/>
      <c r="I746" s="94"/>
      <c r="J746" s="94"/>
      <c r="K746" s="94"/>
      <c r="L746" s="94"/>
      <c r="M746" s="94"/>
      <c r="N746" s="94"/>
    </row>
    <row r="747" spans="1:14" ht="14.25" customHeight="1">
      <c r="A747" s="98"/>
      <c r="B747" s="94"/>
      <c r="C747" s="94"/>
      <c r="D747" s="94"/>
      <c r="E747" s="94"/>
      <c r="F747" s="94"/>
      <c r="G747" s="94"/>
      <c r="H747" s="94"/>
      <c r="I747" s="94"/>
      <c r="J747" s="94"/>
      <c r="K747" s="94"/>
      <c r="L747" s="94"/>
      <c r="M747" s="94"/>
      <c r="N747" s="94"/>
    </row>
    <row r="748" spans="1:14" ht="14.25" customHeight="1">
      <c r="A748" s="98"/>
      <c r="B748" s="94"/>
      <c r="C748" s="94"/>
      <c r="D748" s="94"/>
      <c r="E748" s="94"/>
      <c r="F748" s="94"/>
      <c r="G748" s="94"/>
      <c r="H748" s="94"/>
      <c r="I748" s="94"/>
      <c r="J748" s="94"/>
      <c r="K748" s="94"/>
      <c r="L748" s="94"/>
      <c r="M748" s="94"/>
      <c r="N748" s="94"/>
    </row>
    <row r="749" spans="1:14" ht="14.25" customHeight="1">
      <c r="A749" s="98"/>
      <c r="B749" s="94"/>
      <c r="C749" s="94"/>
      <c r="D749" s="94"/>
      <c r="E749" s="94"/>
      <c r="F749" s="94"/>
      <c r="G749" s="94"/>
      <c r="H749" s="94"/>
      <c r="I749" s="94"/>
      <c r="J749" s="94"/>
      <c r="K749" s="94"/>
      <c r="L749" s="94"/>
      <c r="M749" s="94"/>
      <c r="N749" s="94"/>
    </row>
    <row r="750" spans="1:14" ht="14.25" customHeight="1">
      <c r="A750" s="98"/>
      <c r="B750" s="94"/>
      <c r="C750" s="94"/>
      <c r="D750" s="94"/>
      <c r="E750" s="94"/>
      <c r="F750" s="94"/>
      <c r="G750" s="94"/>
      <c r="H750" s="94"/>
      <c r="I750" s="94"/>
      <c r="J750" s="94"/>
      <c r="K750" s="94"/>
      <c r="L750" s="94"/>
      <c r="M750" s="94"/>
      <c r="N750" s="94"/>
    </row>
    <row r="751" spans="1:14" ht="14.25" customHeight="1">
      <c r="A751" s="98"/>
      <c r="B751" s="94"/>
      <c r="C751" s="94"/>
      <c r="D751" s="94"/>
      <c r="E751" s="94"/>
      <c r="F751" s="94"/>
      <c r="G751" s="94"/>
      <c r="H751" s="94"/>
      <c r="I751" s="94"/>
      <c r="J751" s="94"/>
      <c r="K751" s="94"/>
      <c r="L751" s="94"/>
      <c r="M751" s="94"/>
      <c r="N751" s="94"/>
    </row>
    <row r="752" spans="1:14" ht="14.25" customHeight="1">
      <c r="A752" s="98"/>
      <c r="B752" s="94"/>
      <c r="C752" s="94"/>
      <c r="D752" s="94"/>
      <c r="E752" s="94"/>
      <c r="F752" s="94"/>
      <c r="G752" s="94"/>
      <c r="H752" s="94"/>
      <c r="I752" s="94"/>
      <c r="J752" s="94"/>
      <c r="K752" s="94"/>
      <c r="L752" s="94"/>
      <c r="M752" s="94"/>
      <c r="N752" s="94"/>
    </row>
    <row r="753" spans="1:14" ht="14.25" customHeight="1">
      <c r="A753" s="98"/>
      <c r="B753" s="94"/>
      <c r="C753" s="94"/>
      <c r="D753" s="94"/>
      <c r="E753" s="94"/>
      <c r="F753" s="94"/>
      <c r="G753" s="94"/>
      <c r="H753" s="94"/>
      <c r="I753" s="94"/>
      <c r="J753" s="94"/>
      <c r="K753" s="94"/>
      <c r="L753" s="94"/>
      <c r="M753" s="94"/>
      <c r="N753" s="94"/>
    </row>
    <row r="754" spans="1:14" ht="14.25" customHeight="1">
      <c r="A754" s="98"/>
      <c r="B754" s="94"/>
      <c r="C754" s="94"/>
      <c r="D754" s="94"/>
      <c r="E754" s="94"/>
      <c r="F754" s="94"/>
      <c r="G754" s="94"/>
      <c r="H754" s="94"/>
      <c r="I754" s="94"/>
      <c r="J754" s="94"/>
      <c r="K754" s="94"/>
      <c r="L754" s="94"/>
      <c r="M754" s="94"/>
      <c r="N754" s="94"/>
    </row>
    <row r="755" spans="1:14" ht="14.25" customHeight="1">
      <c r="A755" s="98"/>
      <c r="B755" s="94"/>
      <c r="C755" s="94"/>
      <c r="D755" s="94"/>
      <c r="E755" s="94"/>
      <c r="F755" s="94"/>
      <c r="G755" s="94"/>
      <c r="H755" s="94"/>
      <c r="I755" s="94"/>
      <c r="J755" s="94"/>
      <c r="K755" s="94"/>
      <c r="L755" s="94"/>
      <c r="M755" s="94"/>
      <c r="N755" s="94"/>
    </row>
    <row r="756" spans="1:14" ht="14.25" customHeight="1">
      <c r="A756" s="98"/>
      <c r="B756" s="94"/>
      <c r="C756" s="94"/>
      <c r="D756" s="94"/>
      <c r="E756" s="94"/>
      <c r="F756" s="94"/>
      <c r="G756" s="94"/>
      <c r="H756" s="94"/>
      <c r="I756" s="94"/>
      <c r="J756" s="94"/>
      <c r="K756" s="94"/>
      <c r="L756" s="94"/>
      <c r="M756" s="94"/>
      <c r="N756" s="94"/>
    </row>
    <row r="757" spans="1:14" ht="14.25" customHeight="1">
      <c r="A757" s="98"/>
      <c r="B757" s="94"/>
      <c r="C757" s="94"/>
      <c r="D757" s="94"/>
      <c r="E757" s="94"/>
      <c r="F757" s="94"/>
      <c r="G757" s="94"/>
      <c r="H757" s="94"/>
      <c r="I757" s="94"/>
      <c r="J757" s="94"/>
      <c r="K757" s="94"/>
      <c r="L757" s="94"/>
      <c r="M757" s="94"/>
      <c r="N757" s="94"/>
    </row>
    <row r="758" spans="1:14" ht="14.25" customHeight="1">
      <c r="A758" s="98"/>
      <c r="B758" s="94"/>
      <c r="C758" s="94"/>
      <c r="D758" s="94"/>
      <c r="E758" s="94"/>
      <c r="F758" s="94"/>
      <c r="G758" s="94"/>
      <c r="H758" s="94"/>
      <c r="I758" s="94"/>
      <c r="J758" s="94"/>
      <c r="K758" s="94"/>
      <c r="L758" s="94"/>
      <c r="M758" s="94"/>
      <c r="N758" s="94"/>
    </row>
    <row r="759" spans="1:14" ht="14.25" customHeight="1">
      <c r="A759" s="98"/>
      <c r="B759" s="94"/>
      <c r="C759" s="94"/>
      <c r="D759" s="94"/>
      <c r="E759" s="94"/>
      <c r="F759" s="94"/>
      <c r="G759" s="94"/>
      <c r="H759" s="94"/>
      <c r="I759" s="94"/>
      <c r="J759" s="94"/>
      <c r="K759" s="94"/>
      <c r="L759" s="94"/>
      <c r="M759" s="94"/>
      <c r="N759" s="94"/>
    </row>
    <row r="760" spans="1:14" ht="14.25" customHeight="1">
      <c r="A760" s="98"/>
      <c r="B760" s="94"/>
      <c r="C760" s="94"/>
      <c r="D760" s="94"/>
      <c r="E760" s="94"/>
      <c r="F760" s="94"/>
      <c r="G760" s="94"/>
      <c r="H760" s="94"/>
      <c r="I760" s="94"/>
      <c r="J760" s="94"/>
      <c r="K760" s="94"/>
      <c r="L760" s="94"/>
      <c r="M760" s="94"/>
      <c r="N760" s="94"/>
    </row>
    <row r="761" spans="1:14" ht="14.25" customHeight="1">
      <c r="A761" s="98"/>
      <c r="B761" s="94"/>
      <c r="C761" s="94"/>
      <c r="D761" s="94"/>
      <c r="E761" s="94"/>
      <c r="F761" s="94"/>
      <c r="G761" s="94"/>
      <c r="H761" s="94"/>
      <c r="I761" s="94"/>
      <c r="J761" s="94"/>
      <c r="K761" s="94"/>
      <c r="L761" s="94"/>
      <c r="M761" s="94"/>
      <c r="N761" s="94"/>
    </row>
    <row r="762" spans="1:14" ht="14.25" customHeight="1">
      <c r="A762" s="98"/>
      <c r="B762" s="94"/>
      <c r="C762" s="94"/>
      <c r="D762" s="94"/>
      <c r="E762" s="94"/>
      <c r="F762" s="94"/>
      <c r="G762" s="94"/>
      <c r="H762" s="94"/>
      <c r="I762" s="94"/>
      <c r="J762" s="94"/>
      <c r="K762" s="94"/>
      <c r="L762" s="94"/>
      <c r="M762" s="94"/>
      <c r="N762" s="94"/>
    </row>
    <row r="763" spans="1:14" ht="14.25" customHeight="1">
      <c r="A763" s="98"/>
      <c r="B763" s="94"/>
      <c r="C763" s="94"/>
      <c r="D763" s="94"/>
      <c r="E763" s="94"/>
      <c r="F763" s="94"/>
      <c r="G763" s="94"/>
      <c r="H763" s="94"/>
      <c r="I763" s="94"/>
      <c r="J763" s="94"/>
      <c r="K763" s="94"/>
      <c r="L763" s="94"/>
      <c r="M763" s="94"/>
      <c r="N763" s="94"/>
    </row>
    <row r="764" spans="1:14" ht="14.25" customHeight="1">
      <c r="A764" s="98"/>
      <c r="B764" s="94"/>
      <c r="C764" s="94"/>
      <c r="D764" s="94"/>
      <c r="E764" s="94"/>
      <c r="F764" s="94"/>
      <c r="G764" s="94"/>
      <c r="H764" s="94"/>
      <c r="I764" s="94"/>
      <c r="J764" s="94"/>
      <c r="K764" s="94"/>
      <c r="L764" s="94"/>
      <c r="M764" s="94"/>
      <c r="N764" s="94"/>
    </row>
    <row r="765" spans="1:14" ht="14.25" customHeight="1">
      <c r="A765" s="98"/>
      <c r="B765" s="94"/>
      <c r="C765" s="94"/>
      <c r="D765" s="94"/>
      <c r="E765" s="94"/>
      <c r="F765" s="94"/>
      <c r="G765" s="94"/>
      <c r="H765" s="94"/>
      <c r="I765" s="94"/>
      <c r="J765" s="94"/>
      <c r="K765" s="94"/>
      <c r="L765" s="94"/>
      <c r="M765" s="94"/>
      <c r="N765" s="94"/>
    </row>
    <row r="766" spans="1:14" ht="14.25" customHeight="1">
      <c r="A766" s="98"/>
      <c r="B766" s="94"/>
      <c r="C766" s="94"/>
      <c r="D766" s="94"/>
      <c r="E766" s="94"/>
      <c r="F766" s="94"/>
      <c r="G766" s="94"/>
      <c r="H766" s="94"/>
      <c r="I766" s="94"/>
      <c r="J766" s="94"/>
      <c r="K766" s="94"/>
      <c r="L766" s="94"/>
      <c r="M766" s="94"/>
      <c r="N766" s="94"/>
    </row>
    <row r="767" spans="1:14" ht="14.25" customHeight="1">
      <c r="A767" s="98"/>
      <c r="B767" s="94"/>
      <c r="C767" s="94"/>
      <c r="D767" s="94"/>
      <c r="E767" s="94"/>
      <c r="F767" s="94"/>
      <c r="G767" s="94"/>
      <c r="H767" s="94"/>
      <c r="I767" s="94"/>
      <c r="J767" s="94"/>
      <c r="K767" s="94"/>
      <c r="L767" s="94"/>
      <c r="M767" s="94"/>
      <c r="N767" s="94"/>
    </row>
    <row r="768" spans="1:14" ht="14.25" customHeight="1">
      <c r="A768" s="98"/>
      <c r="B768" s="94"/>
      <c r="C768" s="94"/>
      <c r="D768" s="94"/>
      <c r="E768" s="94"/>
      <c r="F768" s="94"/>
      <c r="G768" s="94"/>
      <c r="H768" s="94"/>
      <c r="I768" s="94"/>
      <c r="J768" s="94"/>
      <c r="K768" s="94"/>
      <c r="L768" s="94"/>
      <c r="M768" s="94"/>
      <c r="N768" s="94"/>
    </row>
    <row r="769" spans="1:14" ht="14.25" customHeight="1">
      <c r="A769" s="98"/>
      <c r="B769" s="94"/>
      <c r="C769" s="94"/>
      <c r="D769" s="94"/>
      <c r="E769" s="94"/>
      <c r="F769" s="94"/>
      <c r="G769" s="94"/>
      <c r="H769" s="94"/>
      <c r="I769" s="94"/>
      <c r="J769" s="94"/>
      <c r="K769" s="94"/>
      <c r="L769" s="94"/>
      <c r="M769" s="94"/>
      <c r="N769" s="94"/>
    </row>
    <row r="770" spans="1:14" ht="14.25" customHeight="1">
      <c r="A770" s="98"/>
      <c r="B770" s="94"/>
      <c r="C770" s="94"/>
      <c r="D770" s="94"/>
      <c r="E770" s="94"/>
      <c r="F770" s="94"/>
      <c r="G770" s="94"/>
      <c r="H770" s="94"/>
      <c r="I770" s="94"/>
      <c r="J770" s="94"/>
      <c r="K770" s="94"/>
      <c r="L770" s="94"/>
      <c r="M770" s="94"/>
      <c r="N770" s="94"/>
    </row>
    <row r="771" spans="1:14" ht="14.25" customHeight="1">
      <c r="A771" s="98"/>
      <c r="B771" s="94"/>
      <c r="C771" s="94"/>
      <c r="D771" s="94"/>
      <c r="E771" s="94"/>
      <c r="F771" s="94"/>
      <c r="G771" s="94"/>
      <c r="H771" s="94"/>
      <c r="I771" s="94"/>
      <c r="J771" s="94"/>
      <c r="K771" s="94"/>
      <c r="L771" s="94"/>
      <c r="M771" s="94"/>
      <c r="N771" s="94"/>
    </row>
    <row r="772" spans="1:14" ht="14.25" customHeight="1">
      <c r="A772" s="98"/>
      <c r="B772" s="94"/>
      <c r="C772" s="94"/>
      <c r="D772" s="94"/>
      <c r="E772" s="94"/>
      <c r="F772" s="94"/>
      <c r="G772" s="94"/>
      <c r="H772" s="94"/>
      <c r="I772" s="94"/>
      <c r="J772" s="94"/>
      <c r="K772" s="94"/>
      <c r="L772" s="94"/>
      <c r="M772" s="94"/>
      <c r="N772" s="94"/>
    </row>
    <row r="773" spans="1:14" ht="14.25" customHeight="1">
      <c r="A773" s="98"/>
      <c r="B773" s="94"/>
      <c r="C773" s="94"/>
      <c r="D773" s="94"/>
      <c r="E773" s="94"/>
      <c r="F773" s="94"/>
      <c r="G773" s="94"/>
      <c r="H773" s="94"/>
      <c r="I773" s="94"/>
      <c r="J773" s="94"/>
      <c r="K773" s="94"/>
      <c r="L773" s="94"/>
      <c r="M773" s="94"/>
      <c r="N773" s="94"/>
    </row>
    <row r="774" spans="1:14" ht="14.25" customHeight="1">
      <c r="A774" s="98"/>
      <c r="B774" s="94"/>
      <c r="C774" s="94"/>
      <c r="D774" s="94"/>
      <c r="E774" s="94"/>
      <c r="F774" s="94"/>
      <c r="G774" s="94"/>
      <c r="H774" s="94"/>
      <c r="I774" s="94"/>
      <c r="J774" s="94"/>
      <c r="K774" s="94"/>
      <c r="L774" s="94"/>
      <c r="M774" s="94"/>
      <c r="N774" s="94"/>
    </row>
    <row r="775" spans="1:14" ht="14.25" customHeight="1">
      <c r="A775" s="98"/>
      <c r="B775" s="94"/>
      <c r="C775" s="94"/>
      <c r="D775" s="94"/>
      <c r="E775" s="94"/>
      <c r="F775" s="94"/>
      <c r="G775" s="94"/>
      <c r="H775" s="94"/>
      <c r="I775" s="94"/>
      <c r="J775" s="94"/>
      <c r="K775" s="94"/>
      <c r="L775" s="94"/>
      <c r="M775" s="94"/>
      <c r="N775" s="94"/>
    </row>
    <row r="776" spans="1:14" ht="14.25" customHeight="1">
      <c r="A776" s="98"/>
      <c r="B776" s="94"/>
      <c r="C776" s="94"/>
      <c r="D776" s="94"/>
      <c r="E776" s="94"/>
      <c r="F776" s="94"/>
      <c r="G776" s="94"/>
      <c r="H776" s="94"/>
      <c r="I776" s="94"/>
      <c r="J776" s="94"/>
      <c r="K776" s="94"/>
      <c r="L776" s="94"/>
      <c r="M776" s="94"/>
      <c r="N776" s="94"/>
    </row>
    <row r="777" spans="1:14" ht="14.25" customHeight="1">
      <c r="A777" s="98"/>
      <c r="B777" s="94"/>
      <c r="C777" s="94"/>
      <c r="D777" s="94"/>
      <c r="E777" s="94"/>
      <c r="F777" s="94"/>
      <c r="G777" s="94"/>
      <c r="H777" s="94"/>
      <c r="I777" s="94"/>
      <c r="J777" s="94"/>
      <c r="K777" s="94"/>
      <c r="L777" s="94"/>
      <c r="M777" s="94"/>
      <c r="N777" s="94"/>
    </row>
    <row r="778" spans="1:14" ht="14.25" customHeight="1">
      <c r="A778" s="98"/>
      <c r="B778" s="94"/>
      <c r="C778" s="94"/>
      <c r="D778" s="94"/>
      <c r="E778" s="94"/>
      <c r="F778" s="94"/>
      <c r="G778" s="94"/>
      <c r="H778" s="94"/>
      <c r="I778" s="94"/>
      <c r="J778" s="94"/>
      <c r="K778" s="94"/>
      <c r="L778" s="94"/>
      <c r="M778" s="94"/>
      <c r="N778" s="94"/>
    </row>
    <row r="779" spans="1:14" ht="14.25" customHeight="1">
      <c r="A779" s="98"/>
      <c r="B779" s="94"/>
      <c r="C779" s="94"/>
      <c r="D779" s="94"/>
      <c r="E779" s="94"/>
      <c r="F779" s="94"/>
      <c r="G779" s="94"/>
      <c r="H779" s="94"/>
      <c r="I779" s="94"/>
      <c r="J779" s="94"/>
      <c r="K779" s="94"/>
      <c r="L779" s="94"/>
      <c r="M779" s="94"/>
      <c r="N779" s="94"/>
    </row>
    <row r="780" spans="1:14" ht="14.25" customHeight="1">
      <c r="A780" s="98"/>
      <c r="B780" s="94"/>
      <c r="C780" s="94"/>
      <c r="D780" s="94"/>
      <c r="E780" s="94"/>
      <c r="F780" s="94"/>
      <c r="G780" s="94"/>
      <c r="H780" s="94"/>
      <c r="I780" s="94"/>
      <c r="J780" s="94"/>
      <c r="K780" s="94"/>
      <c r="L780" s="94"/>
      <c r="M780" s="94"/>
      <c r="N780" s="94"/>
    </row>
    <row r="781" spans="1:14" ht="14.25" customHeight="1">
      <c r="A781" s="98"/>
      <c r="B781" s="94"/>
      <c r="C781" s="94"/>
      <c r="D781" s="94"/>
      <c r="E781" s="94"/>
      <c r="F781" s="94"/>
      <c r="G781" s="94"/>
      <c r="H781" s="94"/>
      <c r="I781" s="94"/>
      <c r="J781" s="94"/>
      <c r="K781" s="94"/>
      <c r="L781" s="94"/>
      <c r="M781" s="94"/>
      <c r="N781" s="94"/>
    </row>
    <row r="782" spans="1:14" ht="14.25" customHeight="1">
      <c r="A782" s="98"/>
      <c r="B782" s="94"/>
      <c r="C782" s="94"/>
      <c r="D782" s="94"/>
      <c r="E782" s="94"/>
      <c r="F782" s="94"/>
      <c r="G782" s="94"/>
      <c r="H782" s="94"/>
      <c r="I782" s="94"/>
      <c r="J782" s="94"/>
      <c r="K782" s="94"/>
      <c r="L782" s="94"/>
      <c r="M782" s="94"/>
      <c r="N782" s="94"/>
    </row>
    <row r="783" spans="1:14" ht="14.25" customHeight="1">
      <c r="A783" s="98"/>
      <c r="B783" s="94"/>
      <c r="C783" s="94"/>
      <c r="D783" s="94"/>
      <c r="E783" s="94"/>
      <c r="F783" s="94"/>
      <c r="G783" s="94"/>
      <c r="H783" s="94"/>
      <c r="I783" s="94"/>
      <c r="J783" s="94"/>
      <c r="K783" s="94"/>
      <c r="L783" s="94"/>
      <c r="M783" s="94"/>
      <c r="N783" s="94"/>
    </row>
    <row r="784" spans="1:14" ht="14.25" customHeight="1">
      <c r="A784" s="98"/>
      <c r="B784" s="94"/>
      <c r="C784" s="94"/>
      <c r="D784" s="94"/>
      <c r="E784" s="94"/>
      <c r="F784" s="94"/>
      <c r="G784" s="94"/>
      <c r="H784" s="94"/>
      <c r="I784" s="94"/>
      <c r="J784" s="94"/>
      <c r="K784" s="94"/>
      <c r="L784" s="94"/>
      <c r="M784" s="94"/>
      <c r="N784" s="94"/>
    </row>
    <row r="785" spans="1:14" ht="14.25" customHeight="1">
      <c r="A785" s="98"/>
      <c r="B785" s="94"/>
      <c r="C785" s="94"/>
      <c r="D785" s="94"/>
      <c r="E785" s="94"/>
      <c r="F785" s="94"/>
      <c r="G785" s="94"/>
      <c r="H785" s="94"/>
      <c r="I785" s="94"/>
      <c r="J785" s="94"/>
      <c r="K785" s="94"/>
      <c r="L785" s="94"/>
      <c r="M785" s="94"/>
      <c r="N785" s="94"/>
    </row>
    <row r="786" spans="1:14" ht="14.25" customHeight="1">
      <c r="A786" s="98"/>
      <c r="B786" s="94"/>
      <c r="C786" s="94"/>
      <c r="D786" s="94"/>
      <c r="E786" s="94"/>
      <c r="F786" s="94"/>
      <c r="G786" s="94"/>
      <c r="H786" s="94"/>
      <c r="I786" s="94"/>
      <c r="J786" s="94"/>
      <c r="K786" s="94"/>
      <c r="L786" s="94"/>
      <c r="M786" s="94"/>
      <c r="N786" s="94"/>
    </row>
    <row r="787" spans="1:14" ht="14.25" customHeight="1">
      <c r="A787" s="98"/>
      <c r="B787" s="94"/>
      <c r="C787" s="94"/>
      <c r="D787" s="94"/>
      <c r="E787" s="94"/>
      <c r="F787" s="94"/>
      <c r="G787" s="94"/>
      <c r="H787" s="94"/>
      <c r="I787" s="94"/>
      <c r="J787" s="94"/>
      <c r="K787" s="94"/>
      <c r="L787" s="94"/>
      <c r="M787" s="94"/>
      <c r="N787" s="94"/>
    </row>
    <row r="788" spans="1:14" ht="14.25" customHeight="1">
      <c r="A788" s="98"/>
      <c r="B788" s="94"/>
      <c r="C788" s="94"/>
      <c r="D788" s="94"/>
      <c r="E788" s="94"/>
      <c r="F788" s="94"/>
      <c r="G788" s="94"/>
      <c r="H788" s="94"/>
      <c r="I788" s="94"/>
      <c r="J788" s="94"/>
      <c r="K788" s="94"/>
      <c r="L788" s="94"/>
      <c r="M788" s="94"/>
      <c r="N788" s="94"/>
    </row>
    <row r="789" spans="1:14" ht="14.25" customHeight="1">
      <c r="A789" s="98"/>
      <c r="B789" s="94"/>
      <c r="C789" s="94"/>
      <c r="D789" s="94"/>
      <c r="E789" s="94"/>
      <c r="F789" s="94"/>
      <c r="G789" s="94"/>
      <c r="H789" s="94"/>
      <c r="I789" s="94"/>
      <c r="J789" s="94"/>
      <c r="K789" s="94"/>
      <c r="L789" s="94"/>
      <c r="M789" s="94"/>
      <c r="N789" s="94"/>
    </row>
    <row r="790" spans="1:14" ht="14.25" customHeight="1">
      <c r="A790" s="98"/>
      <c r="B790" s="94"/>
      <c r="C790" s="94"/>
      <c r="D790" s="94"/>
      <c r="E790" s="94"/>
      <c r="F790" s="94"/>
      <c r="G790" s="94"/>
      <c r="H790" s="94"/>
      <c r="I790" s="94"/>
      <c r="J790" s="94"/>
      <c r="K790" s="94"/>
      <c r="L790" s="94"/>
      <c r="M790" s="94"/>
      <c r="N790" s="94"/>
    </row>
    <row r="791" spans="1:14" ht="14.25" customHeight="1">
      <c r="A791" s="98"/>
      <c r="B791" s="94"/>
      <c r="C791" s="94"/>
      <c r="D791" s="94"/>
      <c r="E791" s="94"/>
      <c r="F791" s="94"/>
      <c r="G791" s="94"/>
      <c r="H791" s="94"/>
      <c r="I791" s="94"/>
      <c r="J791" s="94"/>
      <c r="K791" s="94"/>
      <c r="L791" s="94"/>
      <c r="M791" s="94"/>
      <c r="N791" s="94"/>
    </row>
    <row r="792" spans="1:14" ht="14.25" customHeight="1">
      <c r="A792" s="98"/>
      <c r="B792" s="94"/>
      <c r="C792" s="94"/>
      <c r="D792" s="94"/>
      <c r="E792" s="94"/>
      <c r="F792" s="94"/>
      <c r="G792" s="94"/>
      <c r="H792" s="94"/>
      <c r="I792" s="94"/>
      <c r="J792" s="94"/>
      <c r="K792" s="94"/>
      <c r="L792" s="94"/>
      <c r="M792" s="94"/>
      <c r="N792" s="94"/>
    </row>
    <row r="793" spans="1:14" ht="14.25" customHeight="1">
      <c r="A793" s="98"/>
      <c r="B793" s="94"/>
      <c r="C793" s="94"/>
      <c r="D793" s="94"/>
      <c r="E793" s="94"/>
      <c r="F793" s="94"/>
      <c r="G793" s="94"/>
      <c r="H793" s="94"/>
      <c r="I793" s="94"/>
      <c r="J793" s="94"/>
      <c r="K793" s="94"/>
      <c r="L793" s="94"/>
      <c r="M793" s="94"/>
      <c r="N793" s="94"/>
    </row>
    <row r="794" spans="1:14" ht="14.25" customHeight="1">
      <c r="A794" s="98"/>
      <c r="B794" s="94"/>
      <c r="C794" s="94"/>
      <c r="D794" s="94"/>
      <c r="E794" s="94"/>
      <c r="F794" s="94"/>
      <c r="G794" s="94"/>
      <c r="H794" s="94"/>
      <c r="I794" s="94"/>
      <c r="J794" s="94"/>
      <c r="K794" s="94"/>
      <c r="L794" s="94"/>
      <c r="M794" s="94"/>
      <c r="N794" s="94"/>
    </row>
    <row r="795" spans="1:14" ht="14.25" customHeight="1">
      <c r="A795" s="98"/>
      <c r="B795" s="94"/>
      <c r="C795" s="94"/>
      <c r="D795" s="94"/>
      <c r="E795" s="94"/>
      <c r="F795" s="94"/>
      <c r="G795" s="94"/>
      <c r="H795" s="94"/>
      <c r="I795" s="94"/>
      <c r="J795" s="94"/>
      <c r="K795" s="94"/>
      <c r="L795" s="94"/>
      <c r="M795" s="94"/>
      <c r="N795" s="94"/>
    </row>
    <row r="796" spans="1:14" ht="14.25" customHeight="1">
      <c r="A796" s="98"/>
      <c r="B796" s="94"/>
      <c r="C796" s="94"/>
      <c r="D796" s="94"/>
      <c r="E796" s="94"/>
      <c r="F796" s="94"/>
      <c r="G796" s="94"/>
      <c r="H796" s="94"/>
      <c r="I796" s="94"/>
      <c r="J796" s="94"/>
      <c r="K796" s="94"/>
      <c r="L796" s="94"/>
      <c r="M796" s="94"/>
      <c r="N796" s="94"/>
    </row>
    <row r="797" spans="1:14" ht="14.25" customHeight="1">
      <c r="A797" s="98"/>
      <c r="B797" s="94"/>
      <c r="C797" s="94"/>
      <c r="D797" s="94"/>
      <c r="E797" s="94"/>
      <c r="F797" s="94"/>
      <c r="G797" s="94"/>
      <c r="H797" s="94"/>
      <c r="I797" s="94"/>
      <c r="J797" s="94"/>
      <c r="K797" s="94"/>
      <c r="L797" s="94"/>
      <c r="M797" s="94"/>
      <c r="N797" s="94"/>
    </row>
    <row r="798" spans="1:14" ht="14.25" customHeight="1">
      <c r="A798" s="98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</row>
    <row r="799" spans="1:14" ht="14.25" customHeight="1">
      <c r="A799" s="98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</row>
    <row r="800" spans="1:14" ht="14.25" customHeight="1">
      <c r="A800" s="98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</row>
    <row r="801" spans="1:14" ht="14.25" customHeight="1">
      <c r="A801" s="98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</row>
    <row r="802" spans="1:14" ht="14.25" customHeight="1">
      <c r="A802" s="98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</row>
    <row r="803" spans="1:14" ht="14.25" customHeight="1">
      <c r="A803" s="98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</row>
    <row r="804" spans="1:14" ht="14.25" customHeight="1">
      <c r="A804" s="98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</row>
    <row r="805" spans="1:14" ht="14.25" customHeight="1">
      <c r="A805" s="98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</row>
    <row r="806" spans="1:14" ht="14.25" customHeight="1">
      <c r="A806" s="98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</row>
    <row r="807" spans="1:14" ht="14.25" customHeight="1">
      <c r="A807" s="98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</row>
    <row r="808" spans="1:14" ht="14.25" customHeight="1">
      <c r="A808" s="98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</row>
    <row r="809" spans="1:14" ht="14.25" customHeight="1">
      <c r="A809" s="98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</row>
    <row r="810" spans="1:14" ht="14.25" customHeight="1">
      <c r="A810" s="98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</row>
    <row r="811" spans="1:14" ht="14.25" customHeight="1">
      <c r="A811" s="98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</row>
    <row r="812" spans="1:14" ht="14.25" customHeight="1">
      <c r="A812" s="98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</row>
    <row r="813" spans="1:14" ht="14.25" customHeight="1">
      <c r="A813" s="98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</row>
    <row r="814" spans="1:14" ht="14.25" customHeight="1">
      <c r="A814" s="98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</row>
    <row r="815" spans="1:14" ht="14.25" customHeight="1">
      <c r="A815" s="98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</row>
    <row r="816" spans="1:14" ht="14.25" customHeight="1">
      <c r="A816" s="98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</row>
    <row r="817" spans="1:14" ht="14.25" customHeight="1">
      <c r="A817" s="98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</row>
    <row r="818" spans="1:14" ht="14.25" customHeight="1">
      <c r="A818" s="98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</row>
    <row r="819" spans="1:14" ht="14.25" customHeight="1">
      <c r="A819" s="98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</row>
    <row r="820" spans="1:14" ht="14.25" customHeight="1">
      <c r="A820" s="98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</row>
    <row r="821" spans="1:14" ht="14.25" customHeight="1">
      <c r="A821" s="98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</row>
    <row r="822" spans="1:14" ht="14.25" customHeight="1">
      <c r="A822" s="98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</row>
    <row r="823" spans="1:14" ht="14.25" customHeight="1">
      <c r="A823" s="98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</row>
    <row r="824" spans="1:14" ht="14.25" customHeight="1">
      <c r="A824" s="98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</row>
    <row r="825" spans="1:14" ht="14.25" customHeight="1">
      <c r="A825" s="98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</row>
    <row r="826" spans="1:14" ht="14.25" customHeight="1">
      <c r="A826" s="98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</row>
    <row r="827" spans="1:14" ht="14.25" customHeight="1">
      <c r="A827" s="98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</row>
    <row r="828" spans="1:14" ht="14.25" customHeight="1">
      <c r="A828" s="98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</row>
    <row r="829" spans="1:14" ht="14.25" customHeight="1">
      <c r="A829" s="98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</row>
    <row r="830" spans="1:14" ht="14.25" customHeight="1">
      <c r="A830" s="98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</row>
    <row r="831" spans="1:14" ht="14.25" customHeight="1">
      <c r="A831" s="98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</row>
    <row r="832" spans="1:14" ht="14.25" customHeight="1">
      <c r="A832" s="98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</row>
    <row r="833" spans="1:14" ht="14.25" customHeight="1">
      <c r="A833" s="98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</row>
    <row r="834" spans="1:14" ht="14.25" customHeight="1">
      <c r="A834" s="98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</row>
    <row r="835" spans="1:14" ht="14.25" customHeight="1">
      <c r="A835" s="98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</row>
    <row r="836" spans="1:14" ht="14.25" customHeight="1">
      <c r="A836" s="98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</row>
    <row r="837" spans="1:14" ht="14.25" customHeight="1">
      <c r="A837" s="98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</row>
    <row r="838" spans="1:14" ht="14.25" customHeight="1">
      <c r="A838" s="98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</row>
    <row r="839" spans="1:14" ht="14.25" customHeight="1">
      <c r="A839" s="98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</row>
    <row r="840" spans="1:14" ht="14.25" customHeight="1">
      <c r="A840" s="98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</row>
    <row r="841" spans="1:14" ht="14.25" customHeight="1">
      <c r="A841" s="98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</row>
    <row r="842" spans="1:14" ht="14.25" customHeight="1">
      <c r="A842" s="98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</row>
    <row r="843" spans="1:14" ht="14.25" customHeight="1">
      <c r="A843" s="98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</row>
    <row r="844" spans="1:14" ht="14.25" customHeight="1">
      <c r="A844" s="98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</row>
    <row r="845" spans="1:14" ht="14.25" customHeight="1">
      <c r="A845" s="98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</row>
    <row r="846" spans="1:14" ht="14.25" customHeight="1">
      <c r="A846" s="98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</row>
    <row r="847" spans="1:14" ht="14.25" customHeight="1">
      <c r="A847" s="98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</row>
    <row r="848" spans="1:14" ht="14.25" customHeight="1">
      <c r="A848" s="98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</row>
    <row r="849" spans="1:14" ht="14.25" customHeight="1">
      <c r="A849" s="98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</row>
    <row r="850" spans="1:14" ht="14.25" customHeight="1">
      <c r="A850" s="98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</row>
    <row r="851" spans="1:14" ht="14.25" customHeight="1">
      <c r="A851" s="98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</row>
    <row r="852" spans="1:14" ht="14.25" customHeight="1">
      <c r="A852" s="98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</row>
    <row r="853" spans="1:14" ht="14.25" customHeight="1">
      <c r="A853" s="98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</row>
    <row r="854" spans="1:14" ht="14.25" customHeight="1">
      <c r="A854" s="98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</row>
    <row r="855" spans="1:14" ht="14.25" customHeight="1">
      <c r="A855" s="98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</row>
    <row r="856" spans="1:14" ht="14.25" customHeight="1">
      <c r="A856" s="98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</row>
    <row r="857" spans="1:14" ht="14.25" customHeight="1">
      <c r="A857" s="98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</row>
    <row r="858" spans="1:14" ht="14.25" customHeight="1">
      <c r="A858" s="98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</row>
    <row r="859" spans="1:14" ht="14.25" customHeight="1">
      <c r="A859" s="98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</row>
    <row r="860" spans="1:14" ht="14.25" customHeight="1">
      <c r="A860" s="98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</row>
    <row r="861" spans="1:14" ht="14.25" customHeight="1">
      <c r="A861" s="98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</row>
    <row r="862" spans="1:14" ht="14.25" customHeight="1">
      <c r="A862" s="98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</row>
    <row r="863" spans="1:14" ht="14.25" customHeight="1">
      <c r="A863" s="98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</row>
    <row r="864" spans="1:14" ht="14.25" customHeight="1">
      <c r="A864" s="98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</row>
    <row r="865" spans="1:14" ht="14.25" customHeight="1">
      <c r="A865" s="98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</row>
    <row r="866" spans="1:14" ht="14.25" customHeight="1">
      <c r="A866" s="98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</row>
    <row r="867" spans="1:14" ht="14.25" customHeight="1">
      <c r="A867" s="98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</row>
    <row r="868" spans="1:14" ht="14.25" customHeight="1">
      <c r="A868" s="98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</row>
    <row r="869" spans="1:14" ht="14.25" customHeight="1">
      <c r="A869" s="98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</row>
    <row r="870" spans="1:14" ht="14.25" customHeight="1">
      <c r="A870" s="98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</row>
    <row r="871" spans="1:14" ht="14.25" customHeight="1">
      <c r="A871" s="98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</row>
    <row r="872" spans="1:14" ht="14.25" customHeight="1">
      <c r="A872" s="98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</row>
    <row r="873" spans="1:14" ht="14.25" customHeight="1">
      <c r="A873" s="98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</row>
    <row r="874" spans="1:14" ht="14.25" customHeight="1">
      <c r="A874" s="98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</row>
    <row r="875" spans="1:14" ht="14.25" customHeight="1">
      <c r="A875" s="98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</row>
    <row r="876" spans="1:14" ht="14.25" customHeight="1">
      <c r="A876" s="98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</row>
    <row r="877" spans="1:14" ht="14.25" customHeight="1">
      <c r="A877" s="98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</row>
    <row r="878" spans="1:14" ht="14.25" customHeight="1">
      <c r="A878" s="98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</row>
    <row r="879" spans="1:14" ht="14.25" customHeight="1">
      <c r="A879" s="98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</row>
    <row r="880" spans="1:14" ht="14.25" customHeight="1">
      <c r="A880" s="98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</row>
    <row r="881" spans="1:14" ht="14.25" customHeight="1">
      <c r="A881" s="98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</row>
    <row r="882" spans="1:14" ht="14.25" customHeight="1">
      <c r="A882" s="98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</row>
    <row r="883" spans="1:14" ht="14.25" customHeight="1">
      <c r="A883" s="98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</row>
    <row r="884" spans="1:14" ht="14.25" customHeight="1">
      <c r="A884" s="98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</row>
    <row r="885" spans="1:14" ht="14.25" customHeight="1">
      <c r="A885" s="98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</row>
    <row r="886" spans="1:14" ht="14.25" customHeight="1">
      <c r="A886" s="98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</row>
    <row r="887" spans="1:14" ht="14.25" customHeight="1">
      <c r="A887" s="98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</row>
    <row r="888" spans="1:14" ht="14.25" customHeight="1">
      <c r="A888" s="98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</row>
    <row r="889" spans="1:14" ht="14.25" customHeight="1">
      <c r="A889" s="98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</row>
    <row r="890" spans="1:14" ht="14.25" customHeight="1">
      <c r="A890" s="98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</row>
    <row r="891" spans="1:14" ht="14.25" customHeight="1">
      <c r="A891" s="98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</row>
    <row r="892" spans="1:14" ht="14.25" customHeight="1">
      <c r="A892" s="98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</row>
    <row r="893" spans="1:14" ht="14.25" customHeight="1">
      <c r="A893" s="98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</row>
    <row r="894" spans="1:14" ht="14.25" customHeight="1">
      <c r="A894" s="98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</row>
    <row r="895" spans="1:14" ht="14.25" customHeight="1">
      <c r="A895" s="98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</row>
    <row r="896" spans="1:14" ht="14.25" customHeight="1">
      <c r="A896" s="98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</row>
    <row r="897" spans="1:14" ht="14.25" customHeight="1">
      <c r="A897" s="98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</row>
    <row r="898" spans="1:14" ht="14.25" customHeight="1">
      <c r="A898" s="98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</row>
    <row r="899" spans="1:14" ht="14.25" customHeight="1">
      <c r="A899" s="98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</row>
    <row r="900" spans="1:14" ht="14.25" customHeight="1">
      <c r="A900" s="98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</row>
    <row r="901" spans="1:14" ht="14.25" customHeight="1">
      <c r="A901" s="98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</row>
    <row r="902" spans="1:14" ht="14.25" customHeight="1">
      <c r="A902" s="98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</row>
    <row r="903" spans="1:14" ht="14.25" customHeight="1">
      <c r="A903" s="98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</row>
    <row r="904" spans="1:14" ht="14.25" customHeight="1">
      <c r="A904" s="98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</row>
    <row r="905" spans="1:14" ht="14.25" customHeight="1">
      <c r="A905" s="98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</row>
    <row r="906" spans="1:14" ht="14.25" customHeight="1">
      <c r="A906" s="98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</row>
    <row r="907" spans="1:14" ht="14.25" customHeight="1">
      <c r="A907" s="98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</row>
    <row r="908" spans="1:14" ht="14.25" customHeight="1">
      <c r="A908" s="98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</row>
    <row r="909" spans="1:14" ht="14.25" customHeight="1">
      <c r="A909" s="98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</row>
    <row r="910" spans="1:14" ht="14.25" customHeight="1">
      <c r="A910" s="98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</row>
    <row r="911" spans="1:14" ht="14.25" customHeight="1">
      <c r="A911" s="98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</row>
    <row r="912" spans="1:14" ht="14.25" customHeight="1">
      <c r="A912" s="98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</row>
    <row r="913" spans="1:14" ht="14.25" customHeight="1">
      <c r="A913" s="98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</row>
    <row r="914" spans="1:14" ht="14.25" customHeight="1">
      <c r="A914" s="98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</row>
    <row r="915" spans="1:14" ht="14.25" customHeight="1">
      <c r="A915" s="98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</row>
    <row r="916" spans="1:14" ht="14.25" customHeight="1">
      <c r="A916" s="98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</row>
    <row r="917" spans="1:14" ht="14.25" customHeight="1">
      <c r="A917" s="98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</row>
    <row r="918" spans="1:14" ht="14.25" customHeight="1">
      <c r="A918" s="98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</row>
    <row r="919" spans="1:14" ht="14.25" customHeight="1">
      <c r="A919" s="98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</row>
    <row r="920" spans="1:14" ht="14.25" customHeight="1">
      <c r="A920" s="98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</row>
    <row r="921" spans="1:14" ht="14.25" customHeight="1">
      <c r="A921" s="98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</row>
    <row r="922" spans="1:14" ht="14.25" customHeight="1">
      <c r="A922" s="98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</row>
    <row r="923" spans="1:14" ht="14.25" customHeight="1">
      <c r="A923" s="98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</row>
    <row r="924" spans="1:14" ht="14.25" customHeight="1">
      <c r="A924" s="98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</row>
    <row r="925" spans="1:14" ht="14.25" customHeight="1">
      <c r="A925" s="98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</row>
    <row r="926" spans="1:14" ht="14.25" customHeight="1">
      <c r="A926" s="98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</row>
    <row r="927" spans="1:14" ht="14.25" customHeight="1">
      <c r="A927" s="98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</row>
    <row r="928" spans="1:14" ht="14.25" customHeight="1">
      <c r="A928" s="98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</row>
    <row r="929" spans="1:14" ht="14.25" customHeight="1">
      <c r="A929" s="98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</row>
    <row r="930" spans="1:14" ht="14.25" customHeight="1">
      <c r="A930" s="98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</row>
    <row r="931" spans="1:14" ht="14.25" customHeight="1">
      <c r="A931" s="98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</row>
    <row r="932" spans="1:14" ht="14.25" customHeight="1">
      <c r="A932" s="98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</row>
    <row r="933" spans="1:14" ht="14.25" customHeight="1">
      <c r="A933" s="98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</row>
    <row r="934" spans="1:14" ht="14.25" customHeight="1">
      <c r="A934" s="98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</row>
    <row r="935" spans="1:14" ht="14.25" customHeight="1">
      <c r="A935" s="98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</row>
    <row r="936" spans="1:14" ht="14.25" customHeight="1">
      <c r="A936" s="98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</row>
    <row r="937" spans="1:14" ht="14.25" customHeight="1">
      <c r="A937" s="98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</row>
    <row r="938" spans="1:14" ht="14.25" customHeight="1">
      <c r="A938" s="98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</row>
    <row r="939" spans="1:14" ht="14.25" customHeight="1">
      <c r="A939" s="98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</row>
    <row r="940" spans="1:14" ht="14.25" customHeight="1">
      <c r="A940" s="98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</row>
    <row r="941" spans="1:14" ht="14.25" customHeight="1">
      <c r="A941" s="98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</row>
    <row r="942" spans="1:14" ht="14.25" customHeight="1">
      <c r="A942" s="98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</row>
    <row r="943" spans="1:14" ht="14.25" customHeight="1">
      <c r="A943" s="98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</row>
    <row r="944" spans="1:14" ht="14.25" customHeight="1">
      <c r="A944" s="98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</row>
    <row r="945" spans="1:14" ht="14.25" customHeight="1">
      <c r="A945" s="98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</row>
    <row r="946" spans="1:14" ht="14.25" customHeight="1">
      <c r="A946" s="98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</row>
    <row r="947" spans="1:14" ht="14.25" customHeight="1">
      <c r="A947" s="98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</row>
    <row r="948" spans="1:14" ht="14.25" customHeight="1">
      <c r="A948" s="98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</row>
    <row r="949" spans="1:14" ht="14.25" customHeight="1">
      <c r="A949" s="98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</row>
    <row r="950" spans="1:14" ht="14.25" customHeight="1">
      <c r="A950" s="98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</row>
    <row r="951" spans="1:14" ht="14.25" customHeight="1">
      <c r="A951" s="98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</row>
    <row r="952" spans="1:14" ht="14.25" customHeight="1">
      <c r="A952" s="98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</row>
    <row r="953" spans="1:14" ht="14.25" customHeight="1">
      <c r="A953" s="98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</row>
    <row r="954" spans="1:14" ht="14.25" customHeight="1">
      <c r="A954" s="98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</row>
    <row r="955" spans="1:14" ht="14.25" customHeight="1">
      <c r="A955" s="98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</row>
    <row r="956" spans="1:14" ht="14.25" customHeight="1">
      <c r="A956" s="98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</row>
    <row r="957" spans="1:14" ht="14.25" customHeight="1">
      <c r="A957" s="98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</row>
    <row r="958" spans="1:14" ht="14.25" customHeight="1">
      <c r="A958" s="98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</row>
    <row r="959" spans="1:14" ht="14.25" customHeight="1">
      <c r="A959" s="98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</row>
    <row r="960" spans="1:14" ht="14.25" customHeight="1">
      <c r="A960" s="98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</row>
    <row r="961" spans="1:14" ht="14.25" customHeight="1">
      <c r="A961" s="98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</row>
    <row r="962" spans="1:14" ht="14.25" customHeight="1">
      <c r="A962" s="98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</row>
    <row r="963" spans="1:14" ht="14.25" customHeight="1">
      <c r="A963" s="98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</row>
    <row r="964" spans="1:14" ht="14.25" customHeight="1">
      <c r="A964" s="98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</row>
    <row r="965" spans="1:14" ht="14.25" customHeight="1">
      <c r="A965" s="98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</row>
    <row r="966" spans="1:14" ht="14.25" customHeight="1">
      <c r="A966" s="98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</row>
    <row r="967" spans="1:14" ht="14.25" customHeight="1">
      <c r="A967" s="98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</row>
    <row r="968" spans="1:14" ht="14.25" customHeight="1">
      <c r="A968" s="98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</row>
    <row r="969" spans="1:14" ht="14.25" customHeight="1">
      <c r="A969" s="98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</row>
    <row r="970" spans="1:14" ht="14.25" customHeight="1">
      <c r="A970" s="98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</row>
    <row r="971" spans="1:14" ht="14.25" customHeight="1">
      <c r="A971" s="98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</row>
    <row r="972" spans="1:14" ht="14.25" customHeight="1">
      <c r="A972" s="98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</row>
    <row r="973" spans="1:14" ht="14.25" customHeight="1">
      <c r="A973" s="98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</row>
    <row r="974" spans="1:14" ht="14.25" customHeight="1">
      <c r="A974" s="98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</row>
    <row r="975" spans="1:14" ht="14.25" customHeight="1">
      <c r="A975" s="98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</row>
    <row r="976" spans="1:14" ht="14.25" customHeight="1">
      <c r="A976" s="98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</row>
    <row r="977" spans="1:14" ht="14.25" customHeight="1">
      <c r="A977" s="98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</row>
    <row r="978" spans="1:14" ht="14.25" customHeight="1">
      <c r="A978" s="98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</row>
    <row r="979" spans="1:14" ht="14.25" customHeight="1">
      <c r="A979" s="98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</row>
    <row r="980" spans="1:14" ht="14.25" customHeight="1">
      <c r="A980" s="98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</row>
    <row r="981" spans="1:14" ht="14.25" customHeight="1">
      <c r="A981" s="98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</row>
    <row r="982" spans="1:14" ht="14.25" customHeight="1">
      <c r="A982" s="98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</row>
    <row r="983" spans="1:14" ht="14.25" customHeight="1">
      <c r="A983" s="98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</row>
    <row r="984" spans="1:14" ht="14.25" customHeight="1">
      <c r="A984" s="98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</row>
    <row r="985" spans="1:14" ht="14.25" customHeight="1">
      <c r="A985" s="98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</row>
    <row r="986" spans="1:14" ht="14.25" customHeight="1">
      <c r="A986" s="98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</row>
    <row r="987" spans="1:14" ht="14.25" customHeight="1">
      <c r="A987" s="98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</row>
    <row r="988" spans="1:14" ht="14.25" customHeight="1">
      <c r="A988" s="98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</row>
    <row r="989" spans="1:14" ht="14.25" customHeight="1">
      <c r="A989" s="98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</row>
    <row r="990" spans="1:14" ht="14.25" customHeight="1">
      <c r="A990" s="98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</row>
    <row r="991" spans="1:14" ht="14.25" customHeight="1">
      <c r="A991" s="98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</row>
    <row r="992" spans="1:14" ht="14.25" customHeight="1">
      <c r="A992" s="98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</row>
    <row r="993" spans="1:14" ht="14.25" customHeight="1">
      <c r="A993" s="98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</row>
    <row r="994" spans="1:14" ht="14.25" customHeight="1">
      <c r="A994" s="98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</row>
    <row r="995" spans="1:14" ht="14.25" customHeight="1">
      <c r="A995" s="98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</row>
    <row r="996" spans="1:14" ht="14.25" customHeight="1">
      <c r="A996" s="98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</row>
    <row r="997" spans="1:14" ht="14.25" customHeight="1">
      <c r="A997" s="98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</row>
    <row r="998" spans="1:14" ht="14.25" customHeight="1">
      <c r="A998" s="98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</row>
    <row r="999" spans="1:14" ht="14.25" customHeight="1">
      <c r="A999" s="98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</row>
    <row r="1000" spans="1:14" ht="14.25" customHeight="1">
      <c r="A1000" s="98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</row>
    <row r="1001" spans="1:14" ht="14.25" customHeight="1">
      <c r="A1001" s="98"/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</row>
    <row r="1002" spans="1:14" ht="14.25" customHeight="1">
      <c r="A1002" s="98"/>
      <c r="B1002" s="94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</row>
    <row r="1003" spans="1:14" ht="14.25" customHeight="1">
      <c r="A1003" s="98"/>
      <c r="B1003" s="94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</row>
    <row r="1004" spans="1:14" ht="14.25" customHeight="1">
      <c r="A1004" s="98"/>
      <c r="B1004" s="94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</row>
    <row r="1005" spans="1:14" ht="14.25" customHeight="1">
      <c r="A1005" s="98"/>
      <c r="B1005" s="94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</row>
    <row r="1006" spans="1:14" ht="14.25" customHeight="1">
      <c r="A1006" s="98"/>
      <c r="B1006" s="94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</row>
    <row r="1007" spans="1:14" ht="14.25" customHeight="1">
      <c r="A1007" s="98"/>
      <c r="B1007" s="94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</row>
    <row r="1008" spans="1:14" ht="14.25" customHeight="1">
      <c r="A1008" s="98"/>
      <c r="B1008" s="94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</row>
    <row r="1009" spans="1:14" ht="14.25" customHeight="1">
      <c r="A1009" s="98"/>
      <c r="B1009" s="94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</row>
    <row r="1010" spans="1:14" ht="14.25" customHeight="1">
      <c r="A1010" s="98"/>
      <c r="B1010" s="94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</row>
    <row r="1011" spans="1:14" ht="14.25" customHeight="1">
      <c r="A1011" s="98"/>
      <c r="B1011" s="94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</row>
    <row r="1012" spans="1:14" ht="14.25" customHeight="1">
      <c r="A1012" s="98"/>
      <c r="B1012" s="94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</row>
    <row r="1013" spans="1:14" ht="14.25" customHeight="1">
      <c r="A1013" s="98"/>
      <c r="B1013" s="94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</row>
    <row r="1014" spans="1:14" ht="14.25" customHeight="1">
      <c r="A1014" s="98"/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</row>
    <row r="1015" spans="1:14" ht="14.25" customHeight="1">
      <c r="A1015" s="98"/>
      <c r="B1015" s="94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</row>
    <row r="1016" spans="1:14" ht="14.25" customHeight="1">
      <c r="A1016" s="98"/>
      <c r="B1016" s="94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</row>
    <row r="1017" spans="1:14" ht="14.25" customHeight="1">
      <c r="A1017" s="98"/>
      <c r="B1017" s="94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</row>
    <row r="1018" spans="1:14" ht="14.25" customHeight="1">
      <c r="A1018" s="98"/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</row>
    <row r="1019" spans="1:14" ht="14.25" customHeight="1">
      <c r="A1019" s="98"/>
      <c r="B1019" s="94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</row>
    <row r="1020" spans="1:14" ht="14.25" customHeight="1">
      <c r="A1020" s="98"/>
      <c r="B1020" s="94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</row>
    <row r="1021" spans="1:14" ht="14.25" customHeight="1">
      <c r="A1021" s="98"/>
      <c r="B1021" s="94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</row>
    <row r="1022" spans="1:14" ht="14.25" customHeight="1">
      <c r="A1022" s="98"/>
      <c r="B1022" s="94"/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</row>
    <row r="1023" spans="1:14" ht="14.25" customHeight="1">
      <c r="A1023" s="98"/>
      <c r="B1023" s="94"/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</row>
    <row r="1024" spans="1:14" ht="14.25" customHeight="1">
      <c r="A1024" s="98"/>
      <c r="B1024" s="94"/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</row>
    <row r="1025" spans="1:14" ht="14.25" customHeight="1">
      <c r="A1025" s="98"/>
      <c r="B1025" s="94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</row>
    <row r="1026" spans="1:14" ht="14.25" customHeight="1">
      <c r="A1026" s="98"/>
      <c r="B1026" s="94"/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</row>
    <row r="1027" spans="1:14" ht="14.25" customHeight="1">
      <c r="A1027" s="98"/>
      <c r="B1027" s="94"/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</row>
    <row r="1028" spans="1:14" ht="14.25" customHeight="1">
      <c r="A1028" s="98"/>
      <c r="B1028" s="94"/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</row>
    <row r="1029" spans="1:14" ht="14.25" customHeight="1">
      <c r="A1029" s="98"/>
      <c r="B1029" s="94"/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</row>
    <row r="1030" spans="1:14" ht="14.25" customHeight="1">
      <c r="A1030" s="98"/>
      <c r="B1030" s="94"/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</row>
    <row r="1031" spans="1:14" ht="14.25" customHeight="1">
      <c r="A1031" s="98"/>
      <c r="B1031" s="94"/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</row>
    <row r="1032" spans="1:14" ht="14.25" customHeight="1">
      <c r="A1032" s="98"/>
      <c r="B1032" s="94"/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</row>
    <row r="1033" spans="1:14" ht="14.25" customHeight="1">
      <c r="A1033" s="98"/>
      <c r="B1033" s="94"/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</row>
    <row r="1034" spans="1:14" ht="14.25" customHeight="1">
      <c r="A1034" s="98"/>
      <c r="B1034" s="94"/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</row>
    <row r="1035" spans="1:14" ht="14.25" customHeight="1">
      <c r="A1035" s="98"/>
      <c r="B1035" s="94"/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</row>
    <row r="1036" spans="1:14" ht="14.25" customHeight="1">
      <c r="A1036" s="98"/>
      <c r="B1036" s="94"/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</row>
    <row r="1037" spans="1:14" ht="14.25" customHeight="1">
      <c r="A1037" s="98"/>
      <c r="B1037" s="94"/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</row>
    <row r="1038" spans="1:14" ht="14.25" customHeight="1">
      <c r="A1038" s="98"/>
      <c r="B1038" s="94"/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</row>
    <row r="1039" spans="1:14" ht="14.25" customHeight="1">
      <c r="A1039" s="98"/>
      <c r="B1039" s="94"/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</row>
    <row r="1040" spans="1:14" ht="14.25" customHeight="1">
      <c r="A1040" s="98"/>
      <c r="B1040" s="94"/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</row>
    <row r="1041" spans="1:14" ht="14.25" customHeight="1">
      <c r="A1041" s="98"/>
      <c r="B1041" s="94"/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</row>
    <row r="1042" spans="1:14" ht="14.25" customHeight="1">
      <c r="A1042" s="98"/>
      <c r="B1042" s="94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</row>
    <row r="1043" spans="1:14" ht="14.25" customHeight="1">
      <c r="A1043" s="98"/>
      <c r="B1043" s="94"/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</row>
    <row r="1044" spans="1:14" ht="14.25" customHeight="1">
      <c r="A1044" s="98"/>
      <c r="B1044" s="94"/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</row>
    <row r="1045" spans="1:14" ht="14.25" customHeight="1">
      <c r="A1045" s="98"/>
      <c r="B1045" s="94"/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</row>
    <row r="1046" spans="1:14" ht="14.25" customHeight="1">
      <c r="A1046" s="98"/>
      <c r="B1046" s="94"/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</row>
    <row r="1047" spans="1:14" ht="14.25" customHeight="1">
      <c r="A1047" s="98"/>
      <c r="B1047" s="94"/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</row>
    <row r="1048" spans="1:14" ht="14.25" customHeight="1">
      <c r="A1048" s="98"/>
      <c r="B1048" s="94"/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</row>
    <row r="1049" spans="1:14" ht="14.25" customHeight="1">
      <c r="A1049" s="98"/>
      <c r="B1049" s="94"/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</row>
    <row r="1050" spans="1:14" ht="14.25" customHeight="1">
      <c r="A1050" s="98"/>
      <c r="B1050" s="94"/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</row>
    <row r="1051" spans="1:14" ht="14.25" customHeight="1">
      <c r="A1051" s="98"/>
      <c r="B1051" s="94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</row>
    <row r="1052" spans="1:14" ht="14.25" customHeight="1">
      <c r="A1052" s="98"/>
      <c r="B1052" s="94"/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</row>
    <row r="1053" spans="1:14" ht="14.25" customHeight="1">
      <c r="A1053" s="98"/>
      <c r="B1053" s="94"/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</row>
    <row r="1054" spans="1:14" ht="14.25" customHeight="1">
      <c r="A1054" s="98"/>
      <c r="B1054" s="94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</row>
    <row r="1055" spans="1:14" ht="14.25" customHeight="1">
      <c r="A1055" s="98"/>
      <c r="B1055" s="94"/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</row>
    <row r="1056" spans="1:14" ht="14.25" customHeight="1">
      <c r="A1056" s="98"/>
      <c r="B1056" s="94"/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</row>
    <row r="1057" spans="1:14" ht="14.25" customHeight="1">
      <c r="A1057" s="98"/>
      <c r="B1057" s="94"/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</row>
    <row r="1058" spans="1:14" ht="14.25" customHeight="1">
      <c r="A1058" s="98"/>
      <c r="B1058" s="94"/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</row>
    <row r="1059" spans="1:14" ht="14.25" customHeight="1">
      <c r="A1059" s="98"/>
      <c r="B1059" s="94"/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</row>
    <row r="1060" spans="1:14" ht="14.25" customHeight="1">
      <c r="A1060" s="98"/>
      <c r="B1060" s="94"/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</row>
    <row r="1061" spans="1:14" ht="14.25" customHeight="1">
      <c r="A1061" s="98"/>
      <c r="B1061" s="94"/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</row>
    <row r="1062" spans="1:14" ht="14.25" customHeight="1">
      <c r="A1062" s="98"/>
      <c r="B1062" s="94"/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</row>
    <row r="1063" spans="1:14" ht="14.25" customHeight="1">
      <c r="A1063" s="98"/>
      <c r="B1063" s="94"/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</row>
    <row r="1064" spans="1:14" ht="14.25" customHeight="1">
      <c r="A1064" s="98"/>
      <c r="B1064" s="94"/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</row>
    <row r="1065" spans="1:14" ht="14.25" customHeight="1">
      <c r="A1065" s="98"/>
      <c r="B1065" s="94"/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</row>
    <row r="1066" spans="1:14" ht="14.25" customHeight="1">
      <c r="A1066" s="98"/>
      <c r="B1066" s="94"/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</row>
    <row r="1067" spans="1:14" ht="14.25" customHeight="1">
      <c r="A1067" s="98"/>
      <c r="B1067" s="94"/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</row>
    <row r="1068" spans="1:14" ht="14.25" customHeight="1">
      <c r="A1068" s="98"/>
      <c r="B1068" s="94"/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</row>
    <row r="1069" spans="1:14" ht="14.25" customHeight="1">
      <c r="A1069" s="98"/>
      <c r="B1069" s="94"/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</row>
    <row r="1070" spans="1:14" ht="14.25" customHeight="1">
      <c r="A1070" s="98"/>
      <c r="B1070" s="94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</row>
    <row r="1071" spans="1:14" ht="14.25" customHeight="1">
      <c r="A1071" s="98"/>
      <c r="B1071" s="94"/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</row>
    <row r="1072" spans="1:14" ht="14.25" customHeight="1">
      <c r="A1072" s="98"/>
      <c r="B1072" s="94"/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</row>
    <row r="1073" spans="1:14" ht="14.25" customHeight="1">
      <c r="A1073" s="98"/>
      <c r="B1073" s="94"/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</row>
    <row r="1074" spans="1:14" ht="14.25" customHeight="1">
      <c r="A1074" s="98"/>
      <c r="B1074" s="94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</row>
    <row r="1075" spans="1:14" ht="14.25" customHeight="1">
      <c r="A1075" s="98"/>
      <c r="B1075" s="94"/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</row>
    <row r="1076" spans="1:14" ht="14.25" customHeight="1">
      <c r="A1076" s="98"/>
      <c r="B1076" s="94"/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</row>
    <row r="1077" spans="1:14" ht="14.25" customHeight="1">
      <c r="A1077" s="98"/>
      <c r="B1077" s="94"/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</row>
    <row r="1078" spans="1:14" ht="14.25" customHeight="1">
      <c r="A1078" s="98"/>
      <c r="B1078" s="94"/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</row>
    <row r="1079" spans="1:14" ht="14.25" customHeight="1">
      <c r="A1079" s="98"/>
      <c r="B1079" s="94"/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</row>
    <row r="1080" spans="1:14" ht="14.25" customHeight="1">
      <c r="A1080" s="98"/>
      <c r="B1080" s="94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</row>
    <row r="1081" spans="1:14" ht="14.25" customHeight="1">
      <c r="A1081" s="98"/>
      <c r="B1081" s="94"/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</row>
    <row r="1082" spans="1:14" ht="14.25" customHeight="1">
      <c r="A1082" s="98"/>
      <c r="B1082" s="94"/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</row>
    <row r="1083" spans="1:14" ht="14.25" customHeight="1">
      <c r="A1083" s="98"/>
      <c r="B1083" s="94"/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</row>
    <row r="1084" spans="1:14" ht="14.25" customHeight="1">
      <c r="A1084" s="98"/>
      <c r="B1084" s="94"/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</row>
    <row r="1085" spans="1:14" ht="14.25" customHeight="1">
      <c r="A1085" s="98"/>
      <c r="B1085" s="94"/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</row>
    <row r="1086" spans="1:14" ht="14.25" customHeight="1">
      <c r="A1086" s="98"/>
      <c r="B1086" s="94"/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</row>
    <row r="1087" spans="1:14" ht="14.25" customHeight="1">
      <c r="A1087" s="98"/>
      <c r="B1087" s="94"/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</row>
    <row r="1088" spans="1:14" ht="14.25" customHeight="1">
      <c r="A1088" s="98"/>
      <c r="B1088" s="94"/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</row>
    <row r="1089" spans="1:14" ht="14.25" customHeight="1">
      <c r="A1089" s="98"/>
      <c r="B1089" s="94"/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</row>
    <row r="1090" spans="1:14" ht="14.25" customHeight="1">
      <c r="A1090" s="98"/>
      <c r="B1090" s="94"/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</row>
    <row r="1091" spans="1:14" ht="14.25" customHeight="1">
      <c r="A1091" s="98"/>
      <c r="B1091" s="94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</row>
    <row r="1092" spans="1:14" ht="14.25" customHeight="1">
      <c r="A1092" s="98"/>
      <c r="B1092" s="94"/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</row>
    <row r="1093" spans="1:14" ht="14.25" customHeight="1">
      <c r="A1093" s="98"/>
      <c r="B1093" s="94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</row>
    <row r="1094" spans="1:14" ht="14.25" customHeight="1">
      <c r="A1094" s="98"/>
      <c r="B1094" s="94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</row>
    <row r="1095" spans="1:14" ht="14.25" customHeight="1">
      <c r="A1095" s="98"/>
      <c r="B1095" s="94"/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</row>
    <row r="1096" spans="1:14" ht="14.25" customHeight="1">
      <c r="A1096" s="98"/>
      <c r="B1096" s="94"/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</row>
    <row r="1097" spans="1:14" ht="14.25" customHeight="1">
      <c r="A1097" s="98"/>
      <c r="B1097" s="94"/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</row>
    <row r="1098" spans="1:14" ht="14.25" customHeight="1">
      <c r="A1098" s="98"/>
      <c r="B1098" s="94"/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</row>
    <row r="1099" spans="1:14" ht="14.25" customHeight="1">
      <c r="A1099" s="98"/>
      <c r="B1099" s="94"/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</row>
    <row r="1100" spans="1:14" ht="14.25" customHeight="1">
      <c r="A1100" s="98"/>
      <c r="B1100" s="94"/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</row>
    <row r="1101" spans="1:14" ht="14.25" customHeight="1">
      <c r="A1101" s="98"/>
      <c r="B1101" s="94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</row>
    <row r="1102" spans="1:14" ht="14.25" customHeight="1">
      <c r="A1102" s="98"/>
      <c r="B1102" s="94"/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</row>
    <row r="1103" spans="1:14" ht="14.25" customHeight="1">
      <c r="A1103" s="98"/>
      <c r="B1103" s="94"/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</row>
    <row r="1104" spans="1:14" ht="14.25" customHeight="1">
      <c r="A1104" s="98"/>
      <c r="B1104" s="94"/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</row>
    <row r="1105" spans="1:14" ht="14.25" customHeight="1">
      <c r="A1105" s="98"/>
      <c r="B1105" s="94"/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</row>
    <row r="1106" spans="1:14" ht="14.25" customHeight="1">
      <c r="A1106" s="98"/>
      <c r="B1106" s="94"/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</row>
    <row r="1107" spans="1:14" ht="14.25" customHeight="1">
      <c r="A1107" s="98"/>
      <c r="B1107" s="94"/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</row>
    <row r="1108" spans="1:14" ht="14.25" customHeight="1">
      <c r="A1108" s="98"/>
      <c r="B1108" s="94"/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</row>
    <row r="1109" spans="1:14" ht="14.25" customHeight="1">
      <c r="A1109" s="98"/>
      <c r="B1109" s="94"/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</row>
    <row r="1110" spans="1:14" ht="14.25" customHeight="1">
      <c r="A1110" s="98"/>
      <c r="B1110" s="94"/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</row>
    <row r="1111" spans="1:14" ht="14.25" customHeight="1">
      <c r="A1111" s="98"/>
      <c r="B1111" s="94"/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</row>
    <row r="1112" spans="1:14" ht="14.25" customHeight="1">
      <c r="A1112" s="98"/>
      <c r="B1112" s="94"/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</row>
    <row r="1113" spans="1:14" ht="14.25" customHeight="1">
      <c r="A1113" s="98"/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</row>
    <row r="1114" spans="1:14" ht="14.25" customHeight="1">
      <c r="A1114" s="98"/>
      <c r="B1114" s="94"/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</row>
    <row r="1115" spans="1:14" ht="14.25" customHeight="1">
      <c r="A1115" s="98"/>
      <c r="B1115" s="94"/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</row>
    <row r="1116" spans="1:14" ht="14.25" customHeight="1">
      <c r="A1116" s="98"/>
      <c r="B1116" s="94"/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</row>
    <row r="1117" spans="1:14" ht="14.25" customHeight="1">
      <c r="A1117" s="98"/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</row>
    <row r="1118" spans="1:14" ht="14.25" customHeight="1">
      <c r="A1118" s="98"/>
      <c r="B1118" s="94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</row>
    <row r="1119" spans="1:14" ht="14.25" customHeight="1">
      <c r="A1119" s="98"/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</row>
    <row r="1120" spans="1:14" ht="14.25" customHeight="1">
      <c r="A1120" s="98"/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</row>
    <row r="1121" spans="1:14" ht="14.25" customHeight="1">
      <c r="A1121" s="98"/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</row>
    <row r="1122" spans="1:14" ht="14.25" customHeight="1">
      <c r="A1122" s="98"/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</row>
    <row r="1123" spans="1:14" ht="14.25" customHeight="1">
      <c r="A1123" s="98"/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</row>
    <row r="1124" spans="1:14" ht="14.25" customHeight="1">
      <c r="A1124" s="98"/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</row>
    <row r="1125" spans="1:14" ht="14.25" customHeight="1">
      <c r="A1125" s="98"/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</row>
    <row r="1126" spans="1:14" ht="14.25" customHeight="1">
      <c r="A1126" s="98"/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</row>
    <row r="1127" spans="1:14" ht="14.25" customHeight="1">
      <c r="A1127" s="98"/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</row>
    <row r="1128" spans="1:14" ht="14.25" customHeight="1">
      <c r="A1128" s="98"/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</row>
    <row r="1129" spans="1:14" ht="14.25" customHeight="1">
      <c r="A1129" s="98"/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</row>
    <row r="1130" spans="1:14" ht="14.25" customHeight="1">
      <c r="A1130" s="98"/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</row>
    <row r="1131" spans="1:14" ht="14.25" customHeight="1">
      <c r="A1131" s="98"/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</row>
    <row r="1132" spans="1:14" ht="14.25" customHeight="1">
      <c r="A1132" s="98"/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</row>
    <row r="1133" spans="1:14" ht="14.25" customHeight="1">
      <c r="A1133" s="98"/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</row>
    <row r="1134" spans="1:14" ht="14.25" customHeight="1">
      <c r="A1134" s="98"/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</row>
    <row r="1135" spans="1:14" ht="14.25" customHeight="1">
      <c r="A1135" s="98"/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</row>
    <row r="1136" spans="1:14" ht="14.25" customHeight="1">
      <c r="A1136" s="98"/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</row>
    <row r="1137" spans="1:14" ht="14.25" customHeight="1">
      <c r="A1137" s="98"/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</row>
    <row r="1138" spans="1:14" ht="14.25" customHeight="1">
      <c r="A1138" s="98"/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</row>
    <row r="1139" spans="1:14" ht="14.25" customHeight="1">
      <c r="A1139" s="98"/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</row>
    <row r="1140" spans="1:14" ht="14.25" customHeight="1">
      <c r="A1140" s="98"/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</row>
    <row r="1141" spans="1:14" ht="14.25" customHeight="1">
      <c r="A1141" s="98"/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</row>
    <row r="1142" spans="1:14" ht="14.25" customHeight="1">
      <c r="A1142" s="98"/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</row>
    <row r="1143" spans="1:14" ht="14.25" customHeight="1">
      <c r="A1143" s="98"/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</row>
    <row r="1144" spans="1:14" ht="14.25" customHeight="1">
      <c r="A1144" s="98"/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</row>
    <row r="1145" spans="1:14" ht="14.25" customHeight="1">
      <c r="A1145" s="98"/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</row>
    <row r="1146" spans="1:14" ht="14.25" customHeight="1">
      <c r="A1146" s="98"/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</row>
    <row r="1147" spans="1:14" ht="14.25" customHeight="1">
      <c r="A1147" s="98"/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</row>
    <row r="1148" spans="1:14" ht="14.25" customHeight="1">
      <c r="A1148" s="98"/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</row>
    <row r="1149" spans="1:14" ht="14.25" customHeight="1">
      <c r="A1149" s="98"/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</row>
    <row r="1150" spans="1:14" ht="14.25" customHeight="1">
      <c r="A1150" s="98"/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</row>
    <row r="1151" spans="1:14" ht="14.25" customHeight="1">
      <c r="A1151" s="98"/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</row>
    <row r="1152" spans="1:14" ht="14.25" customHeight="1">
      <c r="A1152" s="98"/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</row>
    <row r="1153" spans="1:14" ht="14.25" customHeight="1">
      <c r="A1153" s="98"/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</row>
    <row r="1154" spans="1:14" ht="14.25" customHeight="1">
      <c r="A1154" s="98"/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</row>
    <row r="1155" spans="1:14" ht="14.25" customHeight="1">
      <c r="A1155" s="98"/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</row>
    <row r="1156" spans="1:14" ht="14.25" customHeight="1">
      <c r="A1156" s="98"/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</row>
    <row r="1157" spans="1:14" ht="14.25" customHeight="1">
      <c r="A1157" s="98"/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</row>
    <row r="1158" spans="1:14" ht="14.25" customHeight="1">
      <c r="A1158" s="98"/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</row>
    <row r="1159" spans="1:14" ht="14.25" customHeight="1">
      <c r="A1159" s="98"/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</row>
    <row r="1160" spans="1:14" ht="14.25" customHeight="1">
      <c r="A1160" s="98"/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</row>
    <row r="1161" spans="1:14" ht="14.25" customHeight="1">
      <c r="A1161" s="98"/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</row>
    <row r="1162" spans="1:14" ht="14.25" customHeight="1">
      <c r="A1162" s="98"/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</row>
    <row r="1163" spans="1:14" ht="14.25" customHeight="1">
      <c r="A1163" s="98"/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</row>
    <row r="1164" spans="1:14" ht="14.25" customHeight="1">
      <c r="A1164" s="98"/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</row>
    <row r="1165" spans="1:14" ht="14.25" customHeight="1">
      <c r="A1165" s="98"/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</row>
    <row r="1166" spans="1:14" ht="14.25" customHeight="1">
      <c r="A1166" s="98"/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</row>
    <row r="1167" spans="1:14" ht="14.25" customHeight="1">
      <c r="A1167" s="98"/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</row>
    <row r="1168" spans="1:14" ht="14.25" customHeight="1">
      <c r="A1168" s="98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</row>
    <row r="1169" spans="1:14" ht="14.25" customHeight="1">
      <c r="A1169" s="98"/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</row>
    <row r="1170" spans="1:14" ht="14.25" customHeight="1">
      <c r="A1170" s="98"/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</row>
    <row r="1171" spans="1:14" ht="14.25" customHeight="1">
      <c r="A1171" s="98"/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</row>
    <row r="1172" spans="1:14" ht="14.25" customHeight="1">
      <c r="A1172" s="98"/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</row>
    <row r="1173" spans="1:14" ht="14.25" customHeight="1">
      <c r="A1173" s="98"/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</row>
    <row r="1174" spans="1:14" ht="14.25" customHeight="1">
      <c r="A1174" s="98"/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</row>
    <row r="1175" spans="1:14" ht="14.25" customHeight="1">
      <c r="A1175" s="98"/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</row>
    <row r="1176" spans="1:14" ht="14.25" customHeight="1">
      <c r="A1176" s="98"/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</row>
    <row r="1177" spans="1:14" ht="14.25" customHeight="1">
      <c r="A1177" s="98"/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</row>
    <row r="1178" spans="1:14" ht="14.25" customHeight="1">
      <c r="A1178" s="98"/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</row>
    <row r="1179" spans="1:14" ht="14.25" customHeight="1">
      <c r="A1179" s="98"/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</row>
    <row r="1180" spans="1:14" ht="14.25" customHeight="1">
      <c r="A1180" s="98"/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</row>
    <row r="1181" spans="1:14" ht="14.25" customHeight="1">
      <c r="A1181" s="98"/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</row>
    <row r="1182" spans="1:14" ht="14.25" customHeight="1">
      <c r="A1182" s="98"/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</row>
    <row r="1183" spans="1:14" ht="14.25" customHeight="1">
      <c r="A1183" s="98"/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</row>
    <row r="1184" spans="1:14" ht="14.25" customHeight="1">
      <c r="A1184" s="98"/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</row>
    <row r="1185" spans="1:14" ht="14.25" customHeight="1">
      <c r="A1185" s="98"/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</row>
    <row r="1186" spans="1:14" ht="14.25" customHeight="1">
      <c r="A1186" s="98"/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</row>
    <row r="1187" spans="1:14" ht="14.25" customHeight="1">
      <c r="A1187" s="98"/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</row>
    <row r="1188" spans="1:14" ht="14.25" customHeight="1">
      <c r="A1188" s="98"/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</row>
    <row r="1189" spans="1:14" ht="14.25" customHeight="1">
      <c r="A1189" s="98"/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</row>
    <row r="1190" spans="1:14" ht="14.25" customHeight="1">
      <c r="A1190" s="98"/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</row>
    <row r="1191" spans="1:14" ht="14.25" customHeight="1">
      <c r="A1191" s="98"/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</row>
    <row r="1192" spans="1:14" ht="14.25" customHeight="1">
      <c r="A1192" s="98"/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</row>
    <row r="1193" spans="1:14" ht="14.25" customHeight="1">
      <c r="A1193" s="98"/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</row>
    <row r="1194" spans="1:14" ht="14.25" customHeight="1">
      <c r="A1194" s="98"/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</row>
    <row r="1195" spans="1:14" ht="14.25" customHeight="1">
      <c r="A1195" s="98"/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</row>
    <row r="1196" spans="1:14" ht="14.25" customHeight="1">
      <c r="A1196" s="98"/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</row>
    <row r="1197" spans="1:14" ht="14.25" customHeight="1">
      <c r="A1197" s="98"/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</row>
    <row r="1198" spans="1:14" ht="14.25" customHeight="1">
      <c r="A1198" s="98"/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</row>
    <row r="1199" spans="1:14" ht="14.25" customHeight="1">
      <c r="A1199" s="98"/>
      <c r="B1199" s="94"/>
      <c r="C1199" s="94"/>
      <c r="D1199" s="94"/>
      <c r="E1199" s="94"/>
      <c r="F1199" s="94"/>
      <c r="G1199" s="94"/>
      <c r="H1199" s="94"/>
      <c r="K1199" s="94"/>
      <c r="N1199" s="94"/>
    </row>
    <row r="1200" spans="1:14" ht="14.25" customHeight="1">
      <c r="A1200" s="98"/>
      <c r="B1200" s="94"/>
      <c r="C1200" s="94"/>
      <c r="D1200" s="94"/>
      <c r="E1200" s="94"/>
      <c r="F1200" s="94"/>
      <c r="G1200" s="94"/>
      <c r="H1200" s="94"/>
      <c r="K1200" s="94"/>
      <c r="N1200" s="94"/>
    </row>
    <row r="1201" spans="1:14" ht="14.25" customHeight="1">
      <c r="A1201" s="98"/>
      <c r="B1201" s="94"/>
      <c r="C1201" s="94"/>
      <c r="D1201" s="94"/>
      <c r="E1201" s="94"/>
      <c r="F1201" s="94"/>
      <c r="G1201" s="94"/>
      <c r="H1201" s="94"/>
      <c r="K1201" s="94"/>
      <c r="N1201" s="94"/>
    </row>
  </sheetData>
  <sheetCalcPr fullCalcOnLoad="1"/>
  <phoneticPr fontId="0" type="noConversion"/>
  <dataValidations count="1">
    <dataValidation type="list" allowBlank="1" showErrorMessage="1" sqref="C10">
      <formula1>'СТ Криптовалюта'!$B$3:$B$1788</formula1>
    </dataValidation>
  </dataValidation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S143"/>
  <sheetViews>
    <sheetView workbookViewId="0"/>
  </sheetViews>
  <sheetFormatPr defaultColWidth="14.42578125" defaultRowHeight="15" customHeight="1"/>
  <cols>
    <col min="1" max="1" width="10.7109375" customWidth="1"/>
    <col min="2" max="2" width="15.5703125" customWidth="1"/>
    <col min="3" max="4" width="5.7109375" customWidth="1"/>
    <col min="5" max="5" width="10.5703125" customWidth="1"/>
    <col min="6" max="6" width="12" customWidth="1"/>
    <col min="7" max="7" width="13.28515625" customWidth="1"/>
    <col min="8" max="8" width="18.140625" customWidth="1"/>
    <col min="9" max="9" width="26.28515625" customWidth="1"/>
    <col min="10" max="10" width="19.85546875" customWidth="1"/>
    <col min="11" max="17" width="12.7109375" customWidth="1"/>
    <col min="18" max="18" width="8.85546875" customWidth="1"/>
    <col min="19" max="19" width="5.28515625" customWidth="1"/>
  </cols>
  <sheetData>
    <row r="1" spans="1:19">
      <c r="A1" s="110" t="s">
        <v>12889</v>
      </c>
      <c r="B1" s="110" t="s">
        <v>12921</v>
      </c>
      <c r="C1" s="111" t="s">
        <v>12922</v>
      </c>
      <c r="D1" s="110" t="s">
        <v>12923</v>
      </c>
      <c r="E1" s="110" t="s">
        <v>12924</v>
      </c>
      <c r="F1" s="112" t="s">
        <v>12925</v>
      </c>
      <c r="G1" s="113" t="s">
        <v>12926</v>
      </c>
      <c r="H1" s="113" t="s">
        <v>12927</v>
      </c>
      <c r="I1" s="113" t="s">
        <v>12928</v>
      </c>
      <c r="J1" s="113" t="s">
        <v>12929</v>
      </c>
      <c r="K1" s="114" t="s">
        <v>12887</v>
      </c>
      <c r="L1" s="114" t="s">
        <v>12930</v>
      </c>
      <c r="M1" s="114" t="s">
        <v>12931</v>
      </c>
      <c r="N1" s="114" t="s">
        <v>12932</v>
      </c>
      <c r="O1" s="114" t="s">
        <v>12933</v>
      </c>
      <c r="P1" s="114" t="s">
        <v>12909</v>
      </c>
      <c r="Q1" s="114" t="s">
        <v>12910</v>
      </c>
      <c r="R1" s="97" t="s">
        <v>12938</v>
      </c>
      <c r="S1" s="114" t="s">
        <v>12963</v>
      </c>
    </row>
    <row r="2" spans="1:19">
      <c r="A2" s="100" t="e">
        <f ca="1">IFERROR(__xludf.DUMMYFUNCTION("FILTER('Журнал Закупок'!A:Q,'Журнал Закупок'!B:B=""Bitcoin"")"),"#N/A")</f>
        <v>#NAME?</v>
      </c>
      <c r="R2" s="109" t="e">
        <f ca="1">IF(A2="","",VLOOKUP(MONTH(A2),Расчеты!$O$2:$P$13,2))</f>
        <v>#NAME?</v>
      </c>
      <c r="S2" s="115" t="e">
        <f t="shared" ref="S2:S143" ca="1" si="0">IF(A2="","",YEAR(A2))</f>
        <v>#NAME?</v>
      </c>
    </row>
    <row r="3" spans="1:19">
      <c r="R3" s="109" t="str">
        <f ca="1">IF(A3="","",VLOOKUP(MONTH(A3),Расчеты!$O$2:$P$13,2))</f>
        <v/>
      </c>
      <c r="S3" s="115" t="str">
        <f t="shared" si="0"/>
        <v/>
      </c>
    </row>
    <row r="4" spans="1:19">
      <c r="R4" s="109" t="str">
        <f ca="1">IF(A4="","",VLOOKUP(MONTH(A4),Расчеты!$O$2:$P$13,2))</f>
        <v/>
      </c>
      <c r="S4" s="115" t="str">
        <f t="shared" si="0"/>
        <v/>
      </c>
    </row>
    <row r="5" spans="1:19">
      <c r="R5" s="109" t="str">
        <f ca="1">IF(A5="","",VLOOKUP(MONTH(A5),Расчеты!$O$2:$P$13,2))</f>
        <v/>
      </c>
      <c r="S5" s="115" t="str">
        <f t="shared" si="0"/>
        <v/>
      </c>
    </row>
    <row r="6" spans="1:19">
      <c r="R6" s="109" t="str">
        <f ca="1">IF(A6="","",VLOOKUP(MONTH(A6),Расчеты!$O$2:$P$13,2))</f>
        <v/>
      </c>
      <c r="S6" s="115" t="str">
        <f t="shared" si="0"/>
        <v/>
      </c>
    </row>
    <row r="7" spans="1:19">
      <c r="R7" s="109" t="str">
        <f ca="1">IF(A7="","",VLOOKUP(MONTH(A7),Расчеты!$O$2:$P$13,2))</f>
        <v/>
      </c>
      <c r="S7" s="115" t="str">
        <f t="shared" si="0"/>
        <v/>
      </c>
    </row>
    <row r="8" spans="1:19">
      <c r="R8" s="109" t="str">
        <f ca="1">IF(A8="","",VLOOKUP(MONTH(A8),Расчеты!$O$2:$P$13,2))</f>
        <v/>
      </c>
      <c r="S8" s="115" t="str">
        <f t="shared" si="0"/>
        <v/>
      </c>
    </row>
    <row r="9" spans="1:19">
      <c r="R9" s="109" t="str">
        <f ca="1">IF(A9="","",VLOOKUP(MONTH(A9),Расчеты!$O$2:$P$13,2))</f>
        <v/>
      </c>
      <c r="S9" s="115" t="str">
        <f t="shared" si="0"/>
        <v/>
      </c>
    </row>
    <row r="10" spans="1:19">
      <c r="R10" s="109" t="str">
        <f ca="1">IF(A10="","",VLOOKUP(MONTH(A10),Расчеты!$O$2:$P$13,2))</f>
        <v/>
      </c>
      <c r="S10" s="115" t="str">
        <f t="shared" si="0"/>
        <v/>
      </c>
    </row>
    <row r="11" spans="1:19">
      <c r="R11" s="109" t="str">
        <f ca="1">IF(A11="","",VLOOKUP(MONTH(A11),Расчеты!$O$2:$P$13,2))</f>
        <v/>
      </c>
      <c r="S11" s="115" t="str">
        <f t="shared" si="0"/>
        <v/>
      </c>
    </row>
    <row r="12" spans="1:19">
      <c r="R12" s="109" t="str">
        <f ca="1">IF(A12="","",VLOOKUP(MONTH(A12),Расчеты!$O$2:$P$13,2))</f>
        <v/>
      </c>
      <c r="S12" s="115" t="str">
        <f t="shared" si="0"/>
        <v/>
      </c>
    </row>
    <row r="13" spans="1:19">
      <c r="R13" s="109" t="str">
        <f ca="1">IF(A13="","",VLOOKUP(MONTH(A13),Расчеты!$O$2:$P$13,2))</f>
        <v/>
      </c>
      <c r="S13" s="115" t="str">
        <f t="shared" si="0"/>
        <v/>
      </c>
    </row>
    <row r="14" spans="1:19">
      <c r="R14" s="109" t="str">
        <f ca="1">IF(A14="","",VLOOKUP(MONTH(A14),Расчеты!$O$2:$P$13,2))</f>
        <v/>
      </c>
      <c r="S14" s="115" t="str">
        <f t="shared" si="0"/>
        <v/>
      </c>
    </row>
    <row r="15" spans="1:19">
      <c r="R15" s="109" t="str">
        <f ca="1">IF(A15="","",VLOOKUP(MONTH(A15),Расчеты!$O$2:$P$13,2))</f>
        <v/>
      </c>
      <c r="S15" s="115" t="str">
        <f t="shared" si="0"/>
        <v/>
      </c>
    </row>
    <row r="16" spans="1:19">
      <c r="R16" s="109" t="str">
        <f ca="1">IF(A16="","",VLOOKUP(MONTH(A16),Расчеты!$O$2:$P$13,2))</f>
        <v/>
      </c>
      <c r="S16" s="115" t="str">
        <f t="shared" si="0"/>
        <v/>
      </c>
    </row>
    <row r="17" spans="18:19">
      <c r="R17" s="109" t="str">
        <f ca="1">IF(A17="","",VLOOKUP(MONTH(A17),Расчеты!$O$2:$P$13,2))</f>
        <v/>
      </c>
      <c r="S17" s="115" t="str">
        <f t="shared" si="0"/>
        <v/>
      </c>
    </row>
    <row r="18" spans="18:19">
      <c r="R18" s="109" t="str">
        <f ca="1">IF(A18="","",VLOOKUP(MONTH(A18),Расчеты!$O$2:$P$13,2))</f>
        <v/>
      </c>
      <c r="S18" s="115" t="str">
        <f t="shared" si="0"/>
        <v/>
      </c>
    </row>
    <row r="19" spans="18:19">
      <c r="R19" s="109" t="str">
        <f ca="1">IF(A19="","",VLOOKUP(MONTH(A19),Расчеты!$O$2:$P$13,2))</f>
        <v/>
      </c>
      <c r="S19" s="115" t="str">
        <f t="shared" si="0"/>
        <v/>
      </c>
    </row>
    <row r="20" spans="18:19">
      <c r="R20" s="109" t="str">
        <f ca="1">IF(A20="","",VLOOKUP(MONTH(A20),Расчеты!$O$2:$P$13,2))</f>
        <v/>
      </c>
      <c r="S20" s="115" t="str">
        <f t="shared" si="0"/>
        <v/>
      </c>
    </row>
    <row r="21" spans="18:19">
      <c r="R21" s="109" t="str">
        <f ca="1">IF(A21="","",VLOOKUP(MONTH(A21),Расчеты!$O$2:$P$13,2))</f>
        <v/>
      </c>
      <c r="S21" s="115" t="str">
        <f t="shared" si="0"/>
        <v/>
      </c>
    </row>
    <row r="22" spans="18:19">
      <c r="R22" s="109" t="str">
        <f ca="1">IF(A22="","",VLOOKUP(MONTH(A22),Расчеты!$O$2:$P$13,2))</f>
        <v/>
      </c>
      <c r="S22" s="115" t="str">
        <f t="shared" si="0"/>
        <v/>
      </c>
    </row>
    <row r="23" spans="18:19">
      <c r="R23" s="109" t="str">
        <f ca="1">IF(A23="","",VLOOKUP(MONTH(A23),Расчеты!$O$2:$P$13,2))</f>
        <v/>
      </c>
      <c r="S23" s="115" t="str">
        <f t="shared" si="0"/>
        <v/>
      </c>
    </row>
    <row r="24" spans="18:19">
      <c r="R24" s="109" t="str">
        <f ca="1">IF(A24="","",VLOOKUP(MONTH(A24),Расчеты!$O$2:$P$13,2))</f>
        <v/>
      </c>
      <c r="S24" s="115" t="str">
        <f t="shared" si="0"/>
        <v/>
      </c>
    </row>
    <row r="25" spans="18:19">
      <c r="R25" s="109" t="str">
        <f ca="1">IF(A25="","",VLOOKUP(MONTH(A25),Расчеты!$O$2:$P$13,2))</f>
        <v/>
      </c>
      <c r="S25" s="115" t="str">
        <f t="shared" si="0"/>
        <v/>
      </c>
    </row>
    <row r="26" spans="18:19">
      <c r="R26" s="109" t="str">
        <f ca="1">IF(A26="","",VLOOKUP(MONTH(A26),Расчеты!$O$2:$P$13,2))</f>
        <v/>
      </c>
      <c r="S26" s="115" t="str">
        <f t="shared" si="0"/>
        <v/>
      </c>
    </row>
    <row r="27" spans="18:19">
      <c r="R27" s="109" t="str">
        <f ca="1">IF(A27="","",VLOOKUP(MONTH(A27),Расчеты!$O$2:$P$13,2))</f>
        <v/>
      </c>
      <c r="S27" s="115" t="str">
        <f t="shared" si="0"/>
        <v/>
      </c>
    </row>
    <row r="28" spans="18:19">
      <c r="R28" s="109" t="str">
        <f ca="1">IF(A28="","",VLOOKUP(MONTH(A28),Расчеты!$O$2:$P$13,2))</f>
        <v/>
      </c>
      <c r="S28" s="115" t="str">
        <f t="shared" si="0"/>
        <v/>
      </c>
    </row>
    <row r="29" spans="18:19">
      <c r="R29" s="109" t="str">
        <f ca="1">IF(A29="","",VLOOKUP(MONTH(A29),Расчеты!$O$2:$P$13,2))</f>
        <v/>
      </c>
      <c r="S29" s="115" t="str">
        <f t="shared" si="0"/>
        <v/>
      </c>
    </row>
    <row r="30" spans="18:19">
      <c r="R30" s="109" t="str">
        <f ca="1">IF(A30="","",VLOOKUP(MONTH(A30),Расчеты!$O$2:$P$13,2))</f>
        <v/>
      </c>
      <c r="S30" s="115" t="str">
        <f t="shared" si="0"/>
        <v/>
      </c>
    </row>
    <row r="31" spans="18:19">
      <c r="R31" s="109" t="str">
        <f ca="1">IF(A31="","",VLOOKUP(MONTH(A31),Расчеты!$O$2:$P$13,2))</f>
        <v/>
      </c>
      <c r="S31" s="115" t="str">
        <f t="shared" si="0"/>
        <v/>
      </c>
    </row>
    <row r="32" spans="18:19">
      <c r="R32" s="109" t="str">
        <f ca="1">IF(A32="","",VLOOKUP(MONTH(A32),Расчеты!$O$2:$P$13,2))</f>
        <v/>
      </c>
      <c r="S32" s="115" t="str">
        <f t="shared" si="0"/>
        <v/>
      </c>
    </row>
    <row r="33" spans="18:19">
      <c r="R33" s="109" t="str">
        <f ca="1">IF(A33="","",VLOOKUP(MONTH(A33),Расчеты!$O$2:$P$13,2))</f>
        <v/>
      </c>
      <c r="S33" s="115" t="str">
        <f t="shared" si="0"/>
        <v/>
      </c>
    </row>
    <row r="34" spans="18:19">
      <c r="R34" s="109" t="str">
        <f ca="1">IF(A34="","",VLOOKUP(MONTH(A34),Расчеты!$O$2:$P$13,2))</f>
        <v/>
      </c>
      <c r="S34" s="115" t="str">
        <f t="shared" si="0"/>
        <v/>
      </c>
    </row>
    <row r="35" spans="18:19">
      <c r="R35" s="109" t="str">
        <f ca="1">IF(A35="","",VLOOKUP(MONTH(A35),Расчеты!$O$2:$P$13,2))</f>
        <v/>
      </c>
      <c r="S35" s="115" t="str">
        <f t="shared" si="0"/>
        <v/>
      </c>
    </row>
    <row r="36" spans="18:19">
      <c r="R36" s="109" t="str">
        <f ca="1">IF(A36="","",VLOOKUP(MONTH(A36),Расчеты!$O$2:$P$13,2))</f>
        <v/>
      </c>
      <c r="S36" s="115" t="str">
        <f t="shared" si="0"/>
        <v/>
      </c>
    </row>
    <row r="37" spans="18:19">
      <c r="R37" s="109" t="str">
        <f ca="1">IF(A37="","",VLOOKUP(MONTH(A37),Расчеты!$O$2:$P$13,2))</f>
        <v/>
      </c>
      <c r="S37" s="115" t="str">
        <f t="shared" si="0"/>
        <v/>
      </c>
    </row>
    <row r="38" spans="18:19">
      <c r="R38" s="109" t="str">
        <f ca="1">IF(A38="","",VLOOKUP(MONTH(A38),Расчеты!$O$2:$P$13,2))</f>
        <v/>
      </c>
      <c r="S38" s="115" t="str">
        <f t="shared" si="0"/>
        <v/>
      </c>
    </row>
    <row r="39" spans="18:19">
      <c r="R39" s="109" t="str">
        <f ca="1">IF(A39="","",VLOOKUP(MONTH(A39),Расчеты!$O$2:$P$13,2))</f>
        <v/>
      </c>
      <c r="S39" s="115" t="str">
        <f t="shared" si="0"/>
        <v/>
      </c>
    </row>
    <row r="40" spans="18:19">
      <c r="R40" s="109" t="str">
        <f ca="1">IF(A40="","",VLOOKUP(MONTH(A40),Расчеты!$O$2:$P$13,2))</f>
        <v/>
      </c>
      <c r="S40" s="115" t="str">
        <f t="shared" si="0"/>
        <v/>
      </c>
    </row>
    <row r="41" spans="18:19">
      <c r="R41" s="109" t="str">
        <f ca="1">IF(A41="","",VLOOKUP(MONTH(A41),Расчеты!$O$2:$P$13,2))</f>
        <v/>
      </c>
      <c r="S41" s="115" t="str">
        <f t="shared" si="0"/>
        <v/>
      </c>
    </row>
    <row r="42" spans="18:19">
      <c r="R42" s="109" t="str">
        <f ca="1">IF(A42="","",VLOOKUP(MONTH(A42),Расчеты!$O$2:$P$13,2))</f>
        <v/>
      </c>
      <c r="S42" s="115" t="str">
        <f t="shared" si="0"/>
        <v/>
      </c>
    </row>
    <row r="43" spans="18:19">
      <c r="R43" s="109" t="str">
        <f ca="1">IF(A43="","",VLOOKUP(MONTH(A43),Расчеты!$O$2:$P$13,2))</f>
        <v/>
      </c>
      <c r="S43" s="115" t="str">
        <f t="shared" si="0"/>
        <v/>
      </c>
    </row>
    <row r="44" spans="18:19">
      <c r="R44" s="109" t="str">
        <f ca="1">IF(A44="","",VLOOKUP(MONTH(A44),Расчеты!$O$2:$P$13,2))</f>
        <v/>
      </c>
      <c r="S44" s="115" t="str">
        <f t="shared" si="0"/>
        <v/>
      </c>
    </row>
    <row r="45" spans="18:19">
      <c r="R45" s="109" t="str">
        <f ca="1">IF(A45="","",VLOOKUP(MONTH(A45),Расчеты!$O$2:$P$13,2))</f>
        <v/>
      </c>
      <c r="S45" s="115" t="str">
        <f t="shared" si="0"/>
        <v/>
      </c>
    </row>
    <row r="46" spans="18:19">
      <c r="R46" s="109" t="str">
        <f ca="1">IF(A46="","",VLOOKUP(MONTH(A46),Расчеты!$O$2:$P$13,2))</f>
        <v/>
      </c>
      <c r="S46" s="115" t="str">
        <f t="shared" si="0"/>
        <v/>
      </c>
    </row>
    <row r="47" spans="18:19">
      <c r="R47" s="109" t="str">
        <f ca="1">IF(A47="","",VLOOKUP(MONTH(A47),Расчеты!$O$2:$P$13,2))</f>
        <v/>
      </c>
      <c r="S47" s="115" t="str">
        <f t="shared" si="0"/>
        <v/>
      </c>
    </row>
    <row r="48" spans="18:19">
      <c r="R48" s="109" t="str">
        <f ca="1">IF(A48="","",VLOOKUP(MONTH(A48),Расчеты!$O$2:$P$13,2))</f>
        <v/>
      </c>
      <c r="S48" s="115" t="str">
        <f t="shared" si="0"/>
        <v/>
      </c>
    </row>
    <row r="49" spans="18:19">
      <c r="R49" s="109" t="str">
        <f ca="1">IF(A49="","",VLOOKUP(MONTH(A49),Расчеты!$O$2:$P$13,2))</f>
        <v/>
      </c>
      <c r="S49" s="115" t="str">
        <f t="shared" si="0"/>
        <v/>
      </c>
    </row>
    <row r="50" spans="18:19">
      <c r="R50" s="109" t="str">
        <f ca="1">IF(A50="","",VLOOKUP(MONTH(A50),Расчеты!$O$2:$P$13,2))</f>
        <v/>
      </c>
      <c r="S50" s="115" t="str">
        <f t="shared" si="0"/>
        <v/>
      </c>
    </row>
    <row r="51" spans="18:19">
      <c r="R51" s="109" t="str">
        <f ca="1">IF(A51="","",VLOOKUP(MONTH(A51),Расчеты!$O$2:$P$13,2))</f>
        <v/>
      </c>
      <c r="S51" s="115" t="str">
        <f t="shared" si="0"/>
        <v/>
      </c>
    </row>
    <row r="52" spans="18:19">
      <c r="R52" s="109" t="str">
        <f ca="1">IF(A52="","",VLOOKUP(MONTH(A52),Расчеты!$O$2:$P$13,2))</f>
        <v/>
      </c>
      <c r="S52" s="115" t="str">
        <f t="shared" si="0"/>
        <v/>
      </c>
    </row>
    <row r="53" spans="18:19">
      <c r="R53" s="109" t="str">
        <f ca="1">IF(A53="","",VLOOKUP(MONTH(A53),Расчеты!$O$2:$P$13,2))</f>
        <v/>
      </c>
      <c r="S53" s="115" t="str">
        <f t="shared" si="0"/>
        <v/>
      </c>
    </row>
    <row r="54" spans="18:19">
      <c r="R54" s="109" t="str">
        <f ca="1">IF(A54="","",VLOOKUP(MONTH(A54),Расчеты!$O$2:$P$13,2))</f>
        <v/>
      </c>
      <c r="S54" s="115" t="str">
        <f t="shared" si="0"/>
        <v/>
      </c>
    </row>
    <row r="55" spans="18:19">
      <c r="R55" s="109" t="str">
        <f ca="1">IF(A55="","",VLOOKUP(MONTH(A55),Расчеты!$O$2:$P$13,2))</f>
        <v/>
      </c>
      <c r="S55" s="115" t="str">
        <f t="shared" si="0"/>
        <v/>
      </c>
    </row>
    <row r="56" spans="18:19">
      <c r="R56" s="109" t="str">
        <f ca="1">IF(A56="","",VLOOKUP(MONTH(A56),Расчеты!$O$2:$P$13,2))</f>
        <v/>
      </c>
      <c r="S56" s="115" t="str">
        <f t="shared" si="0"/>
        <v/>
      </c>
    </row>
    <row r="57" spans="18:19">
      <c r="R57" s="109" t="str">
        <f ca="1">IF(A57="","",VLOOKUP(MONTH(A57),Расчеты!$O$2:$P$13,2))</f>
        <v/>
      </c>
      <c r="S57" s="115" t="str">
        <f t="shared" si="0"/>
        <v/>
      </c>
    </row>
    <row r="58" spans="18:19">
      <c r="R58" s="109" t="str">
        <f ca="1">IF(A58="","",VLOOKUP(MONTH(A58),Расчеты!$O$2:$P$13,2))</f>
        <v/>
      </c>
      <c r="S58" s="115" t="str">
        <f t="shared" si="0"/>
        <v/>
      </c>
    </row>
    <row r="59" spans="18:19">
      <c r="R59" s="109" t="str">
        <f ca="1">IF(A59="","",VLOOKUP(MONTH(A59),Расчеты!$O$2:$P$13,2))</f>
        <v/>
      </c>
      <c r="S59" s="115" t="str">
        <f t="shared" si="0"/>
        <v/>
      </c>
    </row>
    <row r="60" spans="18:19">
      <c r="R60" s="109" t="str">
        <f ca="1">IF(A60="","",VLOOKUP(MONTH(A60),Расчеты!$O$2:$P$13,2))</f>
        <v/>
      </c>
      <c r="S60" s="115" t="str">
        <f t="shared" si="0"/>
        <v/>
      </c>
    </row>
    <row r="61" spans="18:19">
      <c r="R61" s="109" t="str">
        <f ca="1">IF(A61="","",VLOOKUP(MONTH(A61),Расчеты!$O$2:$P$13,2))</f>
        <v/>
      </c>
      <c r="S61" s="115" t="str">
        <f t="shared" si="0"/>
        <v/>
      </c>
    </row>
    <row r="62" spans="18:19">
      <c r="R62" s="109" t="str">
        <f ca="1">IF(A62="","",VLOOKUP(MONTH(A62),Расчеты!$O$2:$P$13,2))</f>
        <v/>
      </c>
      <c r="S62" s="115" t="str">
        <f t="shared" si="0"/>
        <v/>
      </c>
    </row>
    <row r="63" spans="18:19">
      <c r="R63" s="109" t="str">
        <f ca="1">IF(A63="","",VLOOKUP(MONTH(A63),Расчеты!$O$2:$P$13,2))</f>
        <v/>
      </c>
      <c r="S63" s="115" t="str">
        <f t="shared" si="0"/>
        <v/>
      </c>
    </row>
    <row r="64" spans="18:19">
      <c r="R64" s="109" t="str">
        <f ca="1">IF(A64="","",VLOOKUP(MONTH(A64),Расчеты!$O$2:$P$13,2))</f>
        <v/>
      </c>
      <c r="S64" s="115" t="str">
        <f t="shared" si="0"/>
        <v/>
      </c>
    </row>
    <row r="65" spans="18:19">
      <c r="R65" s="109" t="str">
        <f ca="1">IF(A65="","",VLOOKUP(MONTH(A65),Расчеты!$O$2:$P$13,2))</f>
        <v/>
      </c>
      <c r="S65" s="115" t="str">
        <f t="shared" si="0"/>
        <v/>
      </c>
    </row>
    <row r="66" spans="18:19">
      <c r="R66" s="109" t="str">
        <f ca="1">IF(A66="","",VLOOKUP(MONTH(A66),Расчеты!$O$2:$P$13,2))</f>
        <v/>
      </c>
      <c r="S66" s="115" t="str">
        <f t="shared" si="0"/>
        <v/>
      </c>
    </row>
    <row r="67" spans="18:19">
      <c r="R67" s="109" t="str">
        <f ca="1">IF(A67="","",VLOOKUP(MONTH(A67),Расчеты!$O$2:$P$13,2))</f>
        <v/>
      </c>
      <c r="S67" s="115" t="str">
        <f t="shared" si="0"/>
        <v/>
      </c>
    </row>
    <row r="68" spans="18:19">
      <c r="R68" s="109" t="str">
        <f ca="1">IF(A68="","",VLOOKUP(MONTH(A68),Расчеты!$O$2:$P$13,2))</f>
        <v/>
      </c>
      <c r="S68" s="115" t="str">
        <f t="shared" si="0"/>
        <v/>
      </c>
    </row>
    <row r="69" spans="18:19">
      <c r="R69" s="109" t="str">
        <f ca="1">IF(A69="","",VLOOKUP(MONTH(A69),Расчеты!$O$2:$P$13,2))</f>
        <v/>
      </c>
      <c r="S69" s="115" t="str">
        <f t="shared" si="0"/>
        <v/>
      </c>
    </row>
    <row r="70" spans="18:19">
      <c r="R70" s="109" t="str">
        <f ca="1">IF(A70="","",VLOOKUP(MONTH(A70),Расчеты!$O$2:$P$13,2))</f>
        <v/>
      </c>
      <c r="S70" s="115" t="str">
        <f t="shared" si="0"/>
        <v/>
      </c>
    </row>
    <row r="71" spans="18:19">
      <c r="R71" s="109" t="str">
        <f ca="1">IF(A71="","",VLOOKUP(MONTH(A71),Расчеты!$O$2:$P$13,2))</f>
        <v/>
      </c>
      <c r="S71" s="115" t="str">
        <f t="shared" si="0"/>
        <v/>
      </c>
    </row>
    <row r="72" spans="18:19">
      <c r="R72" s="109" t="str">
        <f ca="1">IF(A72="","",VLOOKUP(MONTH(A72),Расчеты!$O$2:$P$13,2))</f>
        <v/>
      </c>
      <c r="S72" s="115" t="str">
        <f t="shared" si="0"/>
        <v/>
      </c>
    </row>
    <row r="73" spans="18:19">
      <c r="R73" s="109" t="str">
        <f ca="1">IF(A73="","",VLOOKUP(MONTH(A73),Расчеты!$O$2:$P$13,2))</f>
        <v/>
      </c>
      <c r="S73" s="115" t="str">
        <f t="shared" si="0"/>
        <v/>
      </c>
    </row>
    <row r="74" spans="18:19">
      <c r="R74" s="109" t="str">
        <f ca="1">IF(A74="","",VLOOKUP(MONTH(A74),Расчеты!$O$2:$P$13,2))</f>
        <v/>
      </c>
      <c r="S74" s="115" t="str">
        <f t="shared" si="0"/>
        <v/>
      </c>
    </row>
    <row r="75" spans="18:19">
      <c r="R75" s="109" t="str">
        <f ca="1">IF(A75="","",VLOOKUP(MONTH(A75),Расчеты!$O$2:$P$13,2))</f>
        <v/>
      </c>
      <c r="S75" s="115" t="str">
        <f t="shared" si="0"/>
        <v/>
      </c>
    </row>
    <row r="76" spans="18:19">
      <c r="R76" s="109" t="str">
        <f ca="1">IF(A76="","",VLOOKUP(MONTH(A76),Расчеты!$O$2:$P$13,2))</f>
        <v/>
      </c>
      <c r="S76" s="115" t="str">
        <f t="shared" si="0"/>
        <v/>
      </c>
    </row>
    <row r="77" spans="18:19">
      <c r="R77" s="109" t="str">
        <f ca="1">IF(A77="","",VLOOKUP(MONTH(A77),Расчеты!$O$2:$P$13,2))</f>
        <v/>
      </c>
      <c r="S77" s="115" t="str">
        <f t="shared" si="0"/>
        <v/>
      </c>
    </row>
    <row r="78" spans="18:19">
      <c r="R78" s="109" t="str">
        <f ca="1">IF(A78="","",VLOOKUP(MONTH(A78),Расчеты!$O$2:$P$13,2))</f>
        <v/>
      </c>
      <c r="S78" s="115" t="str">
        <f t="shared" si="0"/>
        <v/>
      </c>
    </row>
    <row r="79" spans="18:19">
      <c r="R79" s="109" t="str">
        <f ca="1">IF(A79="","",VLOOKUP(MONTH(A79),Расчеты!$O$2:$P$13,2))</f>
        <v/>
      </c>
      <c r="S79" s="115" t="str">
        <f t="shared" si="0"/>
        <v/>
      </c>
    </row>
    <row r="80" spans="18:19">
      <c r="R80" s="109" t="str">
        <f ca="1">IF(A80="","",VLOOKUP(MONTH(A80),Расчеты!$O$2:$P$13,2))</f>
        <v/>
      </c>
      <c r="S80" s="115" t="str">
        <f t="shared" si="0"/>
        <v/>
      </c>
    </row>
    <row r="81" spans="18:19">
      <c r="R81" s="109" t="str">
        <f ca="1">IF(A81="","",VLOOKUP(MONTH(A81),Расчеты!$O$2:$P$13,2))</f>
        <v/>
      </c>
      <c r="S81" s="115" t="str">
        <f t="shared" si="0"/>
        <v/>
      </c>
    </row>
    <row r="82" spans="18:19">
      <c r="R82" s="109" t="str">
        <f ca="1">IF(A82="","",VLOOKUP(MONTH(A82),Расчеты!$O$2:$P$13,2))</f>
        <v/>
      </c>
      <c r="S82" s="115" t="str">
        <f t="shared" si="0"/>
        <v/>
      </c>
    </row>
    <row r="83" spans="18:19">
      <c r="R83" s="109" t="str">
        <f ca="1">IF(A83="","",VLOOKUP(MONTH(A83),Расчеты!$O$2:$P$13,2))</f>
        <v/>
      </c>
      <c r="S83" s="115" t="str">
        <f t="shared" si="0"/>
        <v/>
      </c>
    </row>
    <row r="84" spans="18:19">
      <c r="R84" s="109" t="str">
        <f ca="1">IF(A84="","",VLOOKUP(MONTH(A84),Расчеты!$O$2:$P$13,2))</f>
        <v/>
      </c>
      <c r="S84" s="115" t="str">
        <f t="shared" si="0"/>
        <v/>
      </c>
    </row>
    <row r="85" spans="18:19">
      <c r="R85" s="109" t="str">
        <f ca="1">IF(A85="","",VLOOKUP(MONTH(A85),Расчеты!$O$2:$P$13,2))</f>
        <v/>
      </c>
      <c r="S85" s="115" t="str">
        <f t="shared" si="0"/>
        <v/>
      </c>
    </row>
    <row r="86" spans="18:19">
      <c r="R86" s="109" t="str">
        <f ca="1">IF(A86="","",VLOOKUP(MONTH(A86),Расчеты!$O$2:$P$13,2))</f>
        <v/>
      </c>
      <c r="S86" s="115" t="str">
        <f t="shared" si="0"/>
        <v/>
      </c>
    </row>
    <row r="87" spans="18:19">
      <c r="R87" s="109" t="str">
        <f ca="1">IF(A87="","",VLOOKUP(MONTH(A87),Расчеты!$O$2:$P$13,2))</f>
        <v/>
      </c>
      <c r="S87" s="115" t="str">
        <f t="shared" si="0"/>
        <v/>
      </c>
    </row>
    <row r="88" spans="18:19">
      <c r="R88" s="109" t="str">
        <f ca="1">IF(A88="","",VLOOKUP(MONTH(A88),Расчеты!$O$2:$P$13,2))</f>
        <v/>
      </c>
      <c r="S88" s="115" t="str">
        <f t="shared" si="0"/>
        <v/>
      </c>
    </row>
    <row r="89" spans="18:19">
      <c r="R89" s="109" t="str">
        <f ca="1">IF(A89="","",VLOOKUP(MONTH(A89),Расчеты!$O$2:$P$13,2))</f>
        <v/>
      </c>
      <c r="S89" s="115" t="str">
        <f t="shared" si="0"/>
        <v/>
      </c>
    </row>
    <row r="90" spans="18:19">
      <c r="R90" s="109" t="str">
        <f ca="1">IF(A90="","",VLOOKUP(MONTH(A90),Расчеты!$O$2:$P$13,2))</f>
        <v/>
      </c>
      <c r="S90" s="115" t="str">
        <f t="shared" si="0"/>
        <v/>
      </c>
    </row>
    <row r="91" spans="18:19">
      <c r="R91" s="109" t="str">
        <f ca="1">IF(A91="","",VLOOKUP(MONTH(A91),Расчеты!$O$2:$P$13,2))</f>
        <v/>
      </c>
      <c r="S91" s="115" t="str">
        <f t="shared" si="0"/>
        <v/>
      </c>
    </row>
    <row r="92" spans="18:19">
      <c r="R92" s="109" t="str">
        <f ca="1">IF(A92="","",VLOOKUP(MONTH(A92),Расчеты!$O$2:$P$13,2))</f>
        <v/>
      </c>
      <c r="S92" s="115" t="str">
        <f t="shared" si="0"/>
        <v/>
      </c>
    </row>
    <row r="93" spans="18:19">
      <c r="R93" s="109" t="str">
        <f ca="1">IF(A93="","",VLOOKUP(MONTH(A93),Расчеты!$O$2:$P$13,2))</f>
        <v/>
      </c>
      <c r="S93" s="115" t="str">
        <f t="shared" si="0"/>
        <v/>
      </c>
    </row>
    <row r="94" spans="18:19">
      <c r="R94" s="109" t="str">
        <f ca="1">IF(A94="","",VLOOKUP(MONTH(A94),Расчеты!$O$2:$P$13,2))</f>
        <v/>
      </c>
      <c r="S94" s="115" t="str">
        <f t="shared" si="0"/>
        <v/>
      </c>
    </row>
    <row r="95" spans="18:19">
      <c r="R95" s="109" t="str">
        <f ca="1">IF(A95="","",VLOOKUP(MONTH(A95),Расчеты!$O$2:$P$13,2))</f>
        <v/>
      </c>
      <c r="S95" s="115" t="str">
        <f t="shared" si="0"/>
        <v/>
      </c>
    </row>
    <row r="96" spans="18:19">
      <c r="R96" s="109" t="str">
        <f ca="1">IF(A96="","",VLOOKUP(MONTH(A96),Расчеты!$O$2:$P$13,2))</f>
        <v/>
      </c>
      <c r="S96" s="115" t="str">
        <f t="shared" si="0"/>
        <v/>
      </c>
    </row>
    <row r="97" spans="18:19">
      <c r="R97" s="109" t="str">
        <f ca="1">IF(A97="","",VLOOKUP(MONTH(A97),Расчеты!$O$2:$P$13,2))</f>
        <v/>
      </c>
      <c r="S97" s="115" t="str">
        <f t="shared" si="0"/>
        <v/>
      </c>
    </row>
    <row r="98" spans="18:19">
      <c r="R98" s="109" t="str">
        <f ca="1">IF(A98="","",VLOOKUP(MONTH(A98),Расчеты!$O$2:$P$13,2))</f>
        <v/>
      </c>
      <c r="S98" s="115" t="str">
        <f t="shared" si="0"/>
        <v/>
      </c>
    </row>
    <row r="99" spans="18:19">
      <c r="R99" s="109" t="str">
        <f ca="1">IF(A99="","",VLOOKUP(MONTH(A99),Расчеты!$O$2:$P$13,2))</f>
        <v/>
      </c>
      <c r="S99" s="115" t="str">
        <f t="shared" si="0"/>
        <v/>
      </c>
    </row>
    <row r="100" spans="18:19">
      <c r="R100" s="109" t="str">
        <f ca="1">IF(A100="","",VLOOKUP(MONTH(A100),Расчеты!$O$2:$P$13,2))</f>
        <v/>
      </c>
      <c r="S100" s="115" t="str">
        <f t="shared" si="0"/>
        <v/>
      </c>
    </row>
    <row r="101" spans="18:19">
      <c r="R101" s="109" t="str">
        <f ca="1">IF(A101="","",VLOOKUP(MONTH(A101),Расчеты!$O$2:$P$13,2))</f>
        <v/>
      </c>
      <c r="S101" s="115" t="str">
        <f t="shared" si="0"/>
        <v/>
      </c>
    </row>
    <row r="102" spans="18:19">
      <c r="R102" s="109" t="str">
        <f ca="1">IF(A102="","",VLOOKUP(MONTH(A102),Расчеты!$O$2:$P$13,2))</f>
        <v/>
      </c>
      <c r="S102" s="115" t="str">
        <f t="shared" si="0"/>
        <v/>
      </c>
    </row>
    <row r="103" spans="18:19">
      <c r="R103" s="109" t="str">
        <f ca="1">IF(A103="","",VLOOKUP(MONTH(A103),Расчеты!$O$2:$P$13,2))</f>
        <v/>
      </c>
      <c r="S103" s="115" t="str">
        <f t="shared" si="0"/>
        <v/>
      </c>
    </row>
    <row r="104" spans="18:19">
      <c r="R104" s="109" t="str">
        <f ca="1">IF(A104="","",VLOOKUP(MONTH(A104),Расчеты!$O$2:$P$13,2))</f>
        <v/>
      </c>
      <c r="S104" s="115" t="str">
        <f t="shared" si="0"/>
        <v/>
      </c>
    </row>
    <row r="105" spans="18:19">
      <c r="R105" s="109" t="str">
        <f ca="1">IF(A105="","",VLOOKUP(MONTH(A105),Расчеты!$O$2:$P$13,2))</f>
        <v/>
      </c>
      <c r="S105" s="115" t="str">
        <f t="shared" si="0"/>
        <v/>
      </c>
    </row>
    <row r="106" spans="18:19">
      <c r="R106" s="109" t="str">
        <f ca="1">IF(A106="","",VLOOKUP(MONTH(A106),Расчеты!$O$2:$P$13,2))</f>
        <v/>
      </c>
      <c r="S106" s="115" t="str">
        <f t="shared" si="0"/>
        <v/>
      </c>
    </row>
    <row r="107" spans="18:19">
      <c r="R107" s="109" t="str">
        <f ca="1">IF(A107="","",VLOOKUP(MONTH(A107),Расчеты!$O$2:$P$13,2))</f>
        <v/>
      </c>
      <c r="S107" s="115" t="str">
        <f t="shared" si="0"/>
        <v/>
      </c>
    </row>
    <row r="108" spans="18:19">
      <c r="R108" s="109" t="str">
        <f ca="1">IF(A108="","",VLOOKUP(MONTH(A108),Расчеты!$O$2:$P$13,2))</f>
        <v/>
      </c>
      <c r="S108" s="115" t="str">
        <f t="shared" si="0"/>
        <v/>
      </c>
    </row>
    <row r="109" spans="18:19">
      <c r="R109" s="109" t="str">
        <f ca="1">IF(A109="","",VLOOKUP(MONTH(A109),Расчеты!$O$2:$P$13,2))</f>
        <v/>
      </c>
      <c r="S109" s="115" t="str">
        <f t="shared" si="0"/>
        <v/>
      </c>
    </row>
    <row r="110" spans="18:19">
      <c r="R110" s="109" t="str">
        <f ca="1">IF(A110="","",VLOOKUP(MONTH(A110),Расчеты!$O$2:$P$13,2))</f>
        <v/>
      </c>
      <c r="S110" s="115" t="str">
        <f t="shared" si="0"/>
        <v/>
      </c>
    </row>
    <row r="111" spans="18:19">
      <c r="R111" s="109" t="str">
        <f ca="1">IF(A111="","",VLOOKUP(MONTH(A111),Расчеты!$O$2:$P$13,2))</f>
        <v/>
      </c>
      <c r="S111" s="115" t="str">
        <f t="shared" si="0"/>
        <v/>
      </c>
    </row>
    <row r="112" spans="18:19">
      <c r="R112" s="109" t="str">
        <f ca="1">IF(A112="","",VLOOKUP(MONTH(A112),Расчеты!$O$2:$P$13,2))</f>
        <v/>
      </c>
      <c r="S112" s="115" t="str">
        <f t="shared" si="0"/>
        <v/>
      </c>
    </row>
    <row r="113" spans="18:19">
      <c r="R113" s="109" t="str">
        <f ca="1">IF(A113="","",VLOOKUP(MONTH(A113),Расчеты!$O$2:$P$13,2))</f>
        <v/>
      </c>
      <c r="S113" s="115" t="str">
        <f t="shared" si="0"/>
        <v/>
      </c>
    </row>
    <row r="114" spans="18:19">
      <c r="R114" s="109" t="str">
        <f ca="1">IF(A114="","",VLOOKUP(MONTH(A114),Расчеты!$O$2:$P$13,2))</f>
        <v/>
      </c>
      <c r="S114" s="115" t="str">
        <f t="shared" si="0"/>
        <v/>
      </c>
    </row>
    <row r="115" spans="18:19">
      <c r="R115" s="109" t="str">
        <f ca="1">IF(A115="","",VLOOKUP(MONTH(A115),Расчеты!$O$2:$P$13,2))</f>
        <v/>
      </c>
      <c r="S115" s="115" t="str">
        <f t="shared" si="0"/>
        <v/>
      </c>
    </row>
    <row r="116" spans="18:19">
      <c r="R116" s="109" t="str">
        <f ca="1">IF(A116="","",VLOOKUP(MONTH(A116),Расчеты!$O$2:$P$13,2))</f>
        <v/>
      </c>
      <c r="S116" s="115" t="str">
        <f t="shared" si="0"/>
        <v/>
      </c>
    </row>
    <row r="117" spans="18:19">
      <c r="R117" s="109" t="str">
        <f ca="1">IF(A117="","",VLOOKUP(MONTH(A117),Расчеты!$O$2:$P$13,2))</f>
        <v/>
      </c>
      <c r="S117" s="115" t="str">
        <f t="shared" si="0"/>
        <v/>
      </c>
    </row>
    <row r="118" spans="18:19">
      <c r="R118" s="109" t="str">
        <f ca="1">IF(A118="","",VLOOKUP(MONTH(A118),Расчеты!$O$2:$P$13,2))</f>
        <v/>
      </c>
      <c r="S118" s="115" t="str">
        <f t="shared" si="0"/>
        <v/>
      </c>
    </row>
    <row r="119" spans="18:19">
      <c r="R119" s="109" t="str">
        <f ca="1">IF(A119="","",VLOOKUP(MONTH(A119),Расчеты!$O$2:$P$13,2))</f>
        <v/>
      </c>
      <c r="S119" s="115" t="str">
        <f t="shared" si="0"/>
        <v/>
      </c>
    </row>
    <row r="120" spans="18:19">
      <c r="R120" s="109" t="str">
        <f ca="1">IF(A120="","",VLOOKUP(MONTH(A120),Расчеты!$O$2:$P$13,2))</f>
        <v/>
      </c>
      <c r="S120" s="115" t="str">
        <f t="shared" si="0"/>
        <v/>
      </c>
    </row>
    <row r="121" spans="18:19">
      <c r="R121" s="109" t="str">
        <f ca="1">IF(A121="","",VLOOKUP(MONTH(A121),Расчеты!$O$2:$P$13,2))</f>
        <v/>
      </c>
      <c r="S121" s="115" t="str">
        <f t="shared" si="0"/>
        <v/>
      </c>
    </row>
    <row r="122" spans="18:19">
      <c r="R122" s="109" t="str">
        <f ca="1">IF(A122="","",VLOOKUP(MONTH(A122),Расчеты!$O$2:$P$13,2))</f>
        <v/>
      </c>
      <c r="S122" s="115" t="str">
        <f t="shared" si="0"/>
        <v/>
      </c>
    </row>
    <row r="123" spans="18:19">
      <c r="R123" s="109" t="str">
        <f ca="1">IF(A123="","",VLOOKUP(MONTH(A123),Расчеты!$O$2:$P$13,2))</f>
        <v/>
      </c>
      <c r="S123" s="115" t="str">
        <f t="shared" si="0"/>
        <v/>
      </c>
    </row>
    <row r="124" spans="18:19">
      <c r="R124" s="109" t="str">
        <f ca="1">IF(A124="","",VLOOKUP(MONTH(A124),Расчеты!$O$2:$P$13,2))</f>
        <v/>
      </c>
      <c r="S124" s="115" t="str">
        <f t="shared" si="0"/>
        <v/>
      </c>
    </row>
    <row r="125" spans="18:19">
      <c r="R125" s="109" t="str">
        <f ca="1">IF(A125="","",VLOOKUP(MONTH(A125),Расчеты!$O$2:$P$13,2))</f>
        <v/>
      </c>
      <c r="S125" s="115" t="str">
        <f t="shared" si="0"/>
        <v/>
      </c>
    </row>
    <row r="126" spans="18:19">
      <c r="R126" s="109" t="str">
        <f ca="1">IF(A126="","",VLOOKUP(MONTH(A126),Расчеты!$O$2:$P$13,2))</f>
        <v/>
      </c>
      <c r="S126" s="115" t="str">
        <f t="shared" si="0"/>
        <v/>
      </c>
    </row>
    <row r="127" spans="18:19">
      <c r="R127" s="109" t="str">
        <f ca="1">IF(A127="","",VLOOKUP(MONTH(A127),Расчеты!$O$2:$P$13,2))</f>
        <v/>
      </c>
      <c r="S127" s="115" t="str">
        <f t="shared" si="0"/>
        <v/>
      </c>
    </row>
    <row r="128" spans="18:19">
      <c r="R128" s="109" t="str">
        <f ca="1">IF(A128="","",VLOOKUP(MONTH(A128),Расчеты!$O$2:$P$13,2))</f>
        <v/>
      </c>
      <c r="S128" s="115" t="str">
        <f t="shared" si="0"/>
        <v/>
      </c>
    </row>
    <row r="129" spans="18:19">
      <c r="R129" s="109" t="str">
        <f ca="1">IF(A129="","",VLOOKUP(MONTH(A129),Расчеты!$O$2:$P$13,2))</f>
        <v/>
      </c>
      <c r="S129" s="115" t="str">
        <f t="shared" si="0"/>
        <v/>
      </c>
    </row>
    <row r="130" spans="18:19">
      <c r="R130" s="109" t="str">
        <f ca="1">IF(A130="","",VLOOKUP(MONTH(A130),Расчеты!$O$2:$P$13,2))</f>
        <v/>
      </c>
      <c r="S130" s="115" t="str">
        <f t="shared" si="0"/>
        <v/>
      </c>
    </row>
    <row r="131" spans="18:19">
      <c r="R131" s="109" t="str">
        <f ca="1">IF(A131="","",VLOOKUP(MONTH(A131),Расчеты!$O$2:$P$13,2))</f>
        <v/>
      </c>
      <c r="S131" s="115" t="str">
        <f t="shared" si="0"/>
        <v/>
      </c>
    </row>
    <row r="132" spans="18:19">
      <c r="R132" s="109" t="str">
        <f ca="1">IF(A132="","",VLOOKUP(MONTH(A132),Расчеты!$O$2:$P$13,2))</f>
        <v/>
      </c>
      <c r="S132" s="115" t="str">
        <f t="shared" si="0"/>
        <v/>
      </c>
    </row>
    <row r="133" spans="18:19">
      <c r="R133" s="109" t="str">
        <f ca="1">IF(A133="","",VLOOKUP(MONTH(A133),Расчеты!$O$2:$P$13,2))</f>
        <v/>
      </c>
      <c r="S133" s="115" t="str">
        <f t="shared" si="0"/>
        <v/>
      </c>
    </row>
    <row r="134" spans="18:19">
      <c r="R134" s="109" t="str">
        <f ca="1">IF(A134="","",VLOOKUP(MONTH(A134),Расчеты!$O$2:$P$13,2))</f>
        <v/>
      </c>
      <c r="S134" s="115" t="str">
        <f t="shared" si="0"/>
        <v/>
      </c>
    </row>
    <row r="135" spans="18:19">
      <c r="R135" s="109" t="str">
        <f ca="1">IF(A135="","",VLOOKUP(MONTH(A135),Расчеты!$O$2:$P$13,2))</f>
        <v/>
      </c>
      <c r="S135" s="115" t="str">
        <f t="shared" si="0"/>
        <v/>
      </c>
    </row>
    <row r="136" spans="18:19">
      <c r="R136" s="109" t="str">
        <f ca="1">IF(A136="","",VLOOKUP(MONTH(A136),Расчеты!$O$2:$P$13,2))</f>
        <v/>
      </c>
      <c r="S136" s="115" t="str">
        <f t="shared" si="0"/>
        <v/>
      </c>
    </row>
    <row r="137" spans="18:19">
      <c r="R137" s="109" t="str">
        <f ca="1">IF(A137="","",VLOOKUP(MONTH(A137),Расчеты!$O$2:$P$13,2))</f>
        <v/>
      </c>
      <c r="S137" s="115" t="str">
        <f t="shared" si="0"/>
        <v/>
      </c>
    </row>
    <row r="138" spans="18:19">
      <c r="R138" s="109" t="str">
        <f ca="1">IF(A138="","",VLOOKUP(MONTH(A138),Расчеты!$O$2:$P$13,2))</f>
        <v/>
      </c>
      <c r="S138" s="115" t="str">
        <f t="shared" si="0"/>
        <v/>
      </c>
    </row>
    <row r="139" spans="18:19">
      <c r="R139" s="109" t="str">
        <f ca="1">IF(A139="","",VLOOKUP(MONTH(A139),Расчеты!$O$2:$P$13,2))</f>
        <v/>
      </c>
      <c r="S139" s="115" t="str">
        <f t="shared" si="0"/>
        <v/>
      </c>
    </row>
    <row r="140" spans="18:19">
      <c r="R140" s="109" t="str">
        <f ca="1">IF(A140="","",VLOOKUP(MONTH(A140),Расчеты!$O$2:$P$13,2))</f>
        <v/>
      </c>
      <c r="S140" s="115" t="str">
        <f t="shared" si="0"/>
        <v/>
      </c>
    </row>
    <row r="141" spans="18:19">
      <c r="R141" s="109" t="str">
        <f ca="1">IF(A141="","",VLOOKUP(MONTH(A141),Расчеты!$O$2:$P$13,2))</f>
        <v/>
      </c>
      <c r="S141" s="115" t="str">
        <f t="shared" si="0"/>
        <v/>
      </c>
    </row>
    <row r="142" spans="18:19">
      <c r="R142" s="109" t="str">
        <f ca="1">IF(A142="","",VLOOKUP(MONTH(A142),Расчеты!$O$2:$P$13,2))</f>
        <v/>
      </c>
      <c r="S142" s="115" t="str">
        <f t="shared" si="0"/>
        <v/>
      </c>
    </row>
    <row r="143" spans="18:19">
      <c r="R143" s="109" t="str">
        <f ca="1">IF(A143="","",VLOOKUP(MONTH(A143),Расчеты!$O$2:$P$13,2))</f>
        <v/>
      </c>
      <c r="S143" s="115" t="str">
        <f t="shared" si="0"/>
        <v/>
      </c>
    </row>
  </sheetData>
  <customSheetViews>
    <customSheetView guid="{D930F80A-27B5-46CB-971C-1CFCBAC2999A}" filter="1" showAutoFilter="1">
      <pageMargins left="0.7" right="0.7" top="0.75" bottom="0.75" header="0.3" footer="0.3"/>
      <autoFilter ref="B1:T1"/>
    </customSheetView>
  </customSheetViews>
  <phoneticPr fontId="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S100"/>
  <sheetViews>
    <sheetView workbookViewId="0"/>
  </sheetViews>
  <sheetFormatPr defaultColWidth="14.42578125" defaultRowHeight="15" customHeight="1"/>
  <cols>
    <col min="1" max="1" width="10.7109375" customWidth="1"/>
    <col min="2" max="2" width="15.5703125" customWidth="1"/>
    <col min="3" max="4" width="5.7109375" customWidth="1"/>
    <col min="5" max="5" width="10.5703125" customWidth="1"/>
    <col min="6" max="6" width="12" customWidth="1"/>
    <col min="7" max="7" width="13.28515625" customWidth="1"/>
    <col min="8" max="8" width="18.140625" customWidth="1"/>
    <col min="9" max="9" width="26.28515625" customWidth="1"/>
    <col min="10" max="12" width="19.85546875" customWidth="1"/>
    <col min="13" max="14" width="15" customWidth="1"/>
    <col min="15" max="15" width="10.5703125" customWidth="1"/>
    <col min="16" max="16" width="10.140625" customWidth="1"/>
    <col min="17" max="17" width="11" customWidth="1"/>
    <col min="18" max="18" width="14.85546875" customWidth="1"/>
    <col min="19" max="19" width="5.28515625" customWidth="1"/>
  </cols>
  <sheetData>
    <row r="1" spans="1:19">
      <c r="A1" s="116" t="s">
        <v>12889</v>
      </c>
      <c r="B1" s="117" t="s">
        <v>12921</v>
      </c>
      <c r="C1" s="117" t="s">
        <v>12922</v>
      </c>
      <c r="D1" s="117" t="s">
        <v>12923</v>
      </c>
      <c r="E1" s="117" t="s">
        <v>12924</v>
      </c>
      <c r="F1" s="117" t="s">
        <v>12925</v>
      </c>
      <c r="G1" s="118" t="s">
        <v>12926</v>
      </c>
      <c r="H1" s="118" t="s">
        <v>12927</v>
      </c>
      <c r="I1" s="118" t="s">
        <v>12928</v>
      </c>
      <c r="J1" s="118" t="s">
        <v>12929</v>
      </c>
      <c r="K1" s="117" t="s">
        <v>12887</v>
      </c>
      <c r="L1" s="118" t="s">
        <v>12930</v>
      </c>
      <c r="M1" s="119" t="s">
        <v>12931</v>
      </c>
      <c r="N1" s="118" t="s">
        <v>12932</v>
      </c>
      <c r="O1" s="118" t="s">
        <v>12933</v>
      </c>
      <c r="P1" s="118" t="s">
        <v>12909</v>
      </c>
      <c r="Q1" s="120" t="s">
        <v>12910</v>
      </c>
      <c r="R1" s="97" t="s">
        <v>12938</v>
      </c>
      <c r="S1" s="114" t="s">
        <v>12963</v>
      </c>
    </row>
    <row r="2" spans="1:19">
      <c r="A2" s="100" t="e">
        <f ca="1">IFERROR(__xludf.DUMMYFUNCTION("FILTER('Журнал Закупок'!A:Q,'Журнал Закупок'!B:B=""Ethereum"")"),"#N/A")</f>
        <v>#NAME?</v>
      </c>
      <c r="R2" s="109" t="e">
        <f ca="1">IF(A2="","",VLOOKUP(MONTH(A2),Расчеты!$O$2:$P$13,2))</f>
        <v>#NAME?</v>
      </c>
      <c r="S2" s="115" t="e">
        <f t="shared" ref="S2:S100" ca="1" si="0">IF(A2="","",YEAR(A2))</f>
        <v>#NAME?</v>
      </c>
    </row>
    <row r="3" spans="1:19">
      <c r="R3" s="109" t="str">
        <f ca="1">IF(A3="","",VLOOKUP(MONTH(A3),Расчеты!$O$2:$P$13,2))</f>
        <v/>
      </c>
      <c r="S3" s="115" t="str">
        <f t="shared" si="0"/>
        <v/>
      </c>
    </row>
    <row r="4" spans="1:19">
      <c r="R4" s="109" t="str">
        <f ca="1">IF(A4="","",VLOOKUP(MONTH(A4),Расчеты!$O$2:$P$13,2))</f>
        <v/>
      </c>
      <c r="S4" s="115" t="str">
        <f t="shared" si="0"/>
        <v/>
      </c>
    </row>
    <row r="5" spans="1:19">
      <c r="R5" s="109" t="str">
        <f ca="1">IF(A5="","",VLOOKUP(MONTH(A5),Расчеты!$O$2:$P$13,2))</f>
        <v/>
      </c>
      <c r="S5" s="115" t="str">
        <f t="shared" si="0"/>
        <v/>
      </c>
    </row>
    <row r="6" spans="1:19">
      <c r="R6" s="109" t="str">
        <f ca="1">IF(A6="","",VLOOKUP(MONTH(A6),Расчеты!$O$2:$P$13,2))</f>
        <v/>
      </c>
      <c r="S6" s="115" t="str">
        <f t="shared" si="0"/>
        <v/>
      </c>
    </row>
    <row r="7" spans="1:19">
      <c r="R7" s="109" t="str">
        <f ca="1">IF(A7="","",VLOOKUP(MONTH(A7),Расчеты!$O$2:$P$13,2))</f>
        <v/>
      </c>
      <c r="S7" s="115" t="str">
        <f t="shared" si="0"/>
        <v/>
      </c>
    </row>
    <row r="8" spans="1:19">
      <c r="R8" s="109" t="str">
        <f ca="1">IF(A8="","",VLOOKUP(MONTH(A8),Расчеты!$O$2:$P$13,2))</f>
        <v/>
      </c>
      <c r="S8" s="115" t="str">
        <f t="shared" si="0"/>
        <v/>
      </c>
    </row>
    <row r="9" spans="1:19">
      <c r="R9" s="109" t="str">
        <f ca="1">IF(A9="","",VLOOKUP(MONTH(A9),Расчеты!$O$2:$P$13,2))</f>
        <v/>
      </c>
      <c r="S9" s="115" t="str">
        <f t="shared" si="0"/>
        <v/>
      </c>
    </row>
    <row r="10" spans="1:19">
      <c r="R10" s="109" t="str">
        <f ca="1">IF(A10="","",VLOOKUP(MONTH(A10),Расчеты!$O$2:$P$13,2))</f>
        <v/>
      </c>
      <c r="S10" s="115" t="str">
        <f t="shared" si="0"/>
        <v/>
      </c>
    </row>
    <row r="11" spans="1:19">
      <c r="R11" s="109" t="str">
        <f ca="1">IF(A11="","",VLOOKUP(MONTH(A11),Расчеты!$O$2:$P$13,2))</f>
        <v/>
      </c>
      <c r="S11" s="115" t="str">
        <f t="shared" si="0"/>
        <v/>
      </c>
    </row>
    <row r="12" spans="1:19">
      <c r="R12" s="109" t="str">
        <f ca="1">IF(A12="","",VLOOKUP(MONTH(A12),Расчеты!$O$2:$P$13,2))</f>
        <v/>
      </c>
      <c r="S12" s="115" t="str">
        <f t="shared" si="0"/>
        <v/>
      </c>
    </row>
    <row r="13" spans="1:19">
      <c r="R13" s="109" t="str">
        <f ca="1">IF(A13="","",VLOOKUP(MONTH(A13),Расчеты!$O$2:$P$13,2))</f>
        <v/>
      </c>
      <c r="S13" s="115" t="str">
        <f t="shared" si="0"/>
        <v/>
      </c>
    </row>
    <row r="14" spans="1:19">
      <c r="R14" s="109" t="str">
        <f ca="1">IF(A14="","",VLOOKUP(MONTH(A14),Расчеты!$O$2:$P$13,2))</f>
        <v/>
      </c>
      <c r="S14" s="115" t="str">
        <f t="shared" si="0"/>
        <v/>
      </c>
    </row>
    <row r="15" spans="1:19">
      <c r="R15" s="109" t="str">
        <f ca="1">IF(A15="","",VLOOKUP(MONTH(A15),Расчеты!$O$2:$P$13,2))</f>
        <v/>
      </c>
      <c r="S15" s="115" t="str">
        <f t="shared" si="0"/>
        <v/>
      </c>
    </row>
    <row r="16" spans="1:19">
      <c r="R16" s="109" t="str">
        <f ca="1">IF(A16="","",VLOOKUP(MONTH(A16),Расчеты!$O$2:$P$13,2))</f>
        <v/>
      </c>
      <c r="S16" s="115" t="str">
        <f t="shared" si="0"/>
        <v/>
      </c>
    </row>
    <row r="17" spans="18:19">
      <c r="R17" s="109" t="str">
        <f ca="1">IF(A17="","",VLOOKUP(MONTH(A17),Расчеты!$O$2:$P$13,2))</f>
        <v/>
      </c>
      <c r="S17" s="115" t="str">
        <f t="shared" si="0"/>
        <v/>
      </c>
    </row>
    <row r="18" spans="18:19">
      <c r="R18" s="109" t="str">
        <f ca="1">IF(A18="","",VLOOKUP(MONTH(A18),Расчеты!$O$2:$P$13,2))</f>
        <v/>
      </c>
      <c r="S18" s="115" t="str">
        <f t="shared" si="0"/>
        <v/>
      </c>
    </row>
    <row r="19" spans="18:19">
      <c r="R19" s="109" t="str">
        <f ca="1">IF(A19="","",VLOOKUP(MONTH(A19),Расчеты!$O$2:$P$13,2))</f>
        <v/>
      </c>
      <c r="S19" s="115" t="str">
        <f t="shared" si="0"/>
        <v/>
      </c>
    </row>
    <row r="20" spans="18:19">
      <c r="R20" s="109" t="str">
        <f ca="1">IF(A20="","",VLOOKUP(MONTH(A20),Расчеты!$O$2:$P$13,2))</f>
        <v/>
      </c>
      <c r="S20" s="115" t="str">
        <f t="shared" si="0"/>
        <v/>
      </c>
    </row>
    <row r="21" spans="18:19">
      <c r="R21" s="109" t="str">
        <f ca="1">IF(A21="","",VLOOKUP(MONTH(A21),Расчеты!$O$2:$P$13,2))</f>
        <v/>
      </c>
      <c r="S21" s="115" t="str">
        <f t="shared" si="0"/>
        <v/>
      </c>
    </row>
    <row r="22" spans="18:19">
      <c r="R22" s="109" t="str">
        <f ca="1">IF(A22="","",VLOOKUP(MONTH(A22),Расчеты!$O$2:$P$13,2))</f>
        <v/>
      </c>
      <c r="S22" s="115" t="str">
        <f t="shared" si="0"/>
        <v/>
      </c>
    </row>
    <row r="23" spans="18:19">
      <c r="R23" s="109" t="str">
        <f ca="1">IF(A23="","",VLOOKUP(MONTH(A23),Расчеты!$O$2:$P$13,2))</f>
        <v/>
      </c>
      <c r="S23" s="115" t="str">
        <f t="shared" si="0"/>
        <v/>
      </c>
    </row>
    <row r="24" spans="18:19">
      <c r="R24" s="109" t="str">
        <f ca="1">IF(A24="","",VLOOKUP(MONTH(A24),Расчеты!$O$2:$P$13,2))</f>
        <v/>
      </c>
      <c r="S24" s="115" t="str">
        <f t="shared" si="0"/>
        <v/>
      </c>
    </row>
    <row r="25" spans="18:19">
      <c r="R25" s="109" t="str">
        <f ca="1">IF(A25="","",VLOOKUP(MONTH(A25),Расчеты!$O$2:$P$13,2))</f>
        <v/>
      </c>
      <c r="S25" s="115" t="str">
        <f t="shared" si="0"/>
        <v/>
      </c>
    </row>
    <row r="26" spans="18:19">
      <c r="R26" s="109" t="str">
        <f ca="1">IF(A26="","",VLOOKUP(MONTH(A26),Расчеты!$O$2:$P$13,2))</f>
        <v/>
      </c>
      <c r="S26" s="115" t="str">
        <f t="shared" si="0"/>
        <v/>
      </c>
    </row>
    <row r="27" spans="18:19">
      <c r="R27" s="109" t="str">
        <f ca="1">IF(A27="","",VLOOKUP(MONTH(A27),Расчеты!$O$2:$P$13,2))</f>
        <v/>
      </c>
      <c r="S27" s="115" t="str">
        <f t="shared" si="0"/>
        <v/>
      </c>
    </row>
    <row r="28" spans="18:19">
      <c r="R28" s="109" t="str">
        <f ca="1">IF(A28="","",VLOOKUP(MONTH(A28),Расчеты!$O$2:$P$13,2))</f>
        <v/>
      </c>
      <c r="S28" s="115" t="str">
        <f t="shared" si="0"/>
        <v/>
      </c>
    </row>
    <row r="29" spans="18:19">
      <c r="R29" s="109" t="str">
        <f ca="1">IF(A29="","",VLOOKUP(MONTH(A29),Расчеты!$O$2:$P$13,2))</f>
        <v/>
      </c>
      <c r="S29" s="115" t="str">
        <f t="shared" si="0"/>
        <v/>
      </c>
    </row>
    <row r="30" spans="18:19">
      <c r="R30" s="109" t="str">
        <f ca="1">IF(A30="","",VLOOKUP(MONTH(A30),Расчеты!$O$2:$P$13,2))</f>
        <v/>
      </c>
      <c r="S30" s="115" t="str">
        <f t="shared" si="0"/>
        <v/>
      </c>
    </row>
    <row r="31" spans="18:19">
      <c r="R31" s="109" t="str">
        <f ca="1">IF(A31="","",VLOOKUP(MONTH(A31),Расчеты!$O$2:$P$13,2))</f>
        <v/>
      </c>
      <c r="S31" s="115" t="str">
        <f t="shared" si="0"/>
        <v/>
      </c>
    </row>
    <row r="32" spans="18:19">
      <c r="R32" s="109" t="str">
        <f ca="1">IF(A32="","",VLOOKUP(MONTH(A32),Расчеты!$O$2:$P$13,2))</f>
        <v/>
      </c>
      <c r="S32" s="115" t="str">
        <f t="shared" si="0"/>
        <v/>
      </c>
    </row>
    <row r="33" spans="18:19">
      <c r="R33" s="109" t="str">
        <f ca="1">IF(A33="","",VLOOKUP(MONTH(A33),Расчеты!$O$2:$P$13,2))</f>
        <v/>
      </c>
      <c r="S33" s="115" t="str">
        <f t="shared" si="0"/>
        <v/>
      </c>
    </row>
    <row r="34" spans="18:19">
      <c r="R34" s="109" t="str">
        <f ca="1">IF(A34="","",VLOOKUP(MONTH(A34),Расчеты!$O$2:$P$13,2))</f>
        <v/>
      </c>
      <c r="S34" s="115" t="str">
        <f t="shared" si="0"/>
        <v/>
      </c>
    </row>
    <row r="35" spans="18:19">
      <c r="R35" s="109" t="str">
        <f ca="1">IF(A35="","",VLOOKUP(MONTH(A35),Расчеты!$O$2:$P$13,2))</f>
        <v/>
      </c>
      <c r="S35" s="115" t="str">
        <f t="shared" si="0"/>
        <v/>
      </c>
    </row>
    <row r="36" spans="18:19">
      <c r="R36" s="109" t="str">
        <f ca="1">IF(A36="","",VLOOKUP(MONTH(A36),Расчеты!$O$2:$P$13,2))</f>
        <v/>
      </c>
      <c r="S36" s="115" t="str">
        <f t="shared" si="0"/>
        <v/>
      </c>
    </row>
    <row r="37" spans="18:19">
      <c r="R37" s="109" t="str">
        <f ca="1">IF(A37="","",VLOOKUP(MONTH(A37),Расчеты!$O$2:$P$13,2))</f>
        <v/>
      </c>
      <c r="S37" s="115" t="str">
        <f t="shared" si="0"/>
        <v/>
      </c>
    </row>
    <row r="38" spans="18:19">
      <c r="R38" s="109" t="str">
        <f ca="1">IF(A38="","",VLOOKUP(MONTH(A38),Расчеты!$O$2:$P$13,2))</f>
        <v/>
      </c>
      <c r="S38" s="115" t="str">
        <f t="shared" si="0"/>
        <v/>
      </c>
    </row>
    <row r="39" spans="18:19">
      <c r="R39" s="109" t="str">
        <f ca="1">IF(A39="","",VLOOKUP(MONTH(A39),Расчеты!$O$2:$P$13,2))</f>
        <v/>
      </c>
      <c r="S39" s="115" t="str">
        <f t="shared" si="0"/>
        <v/>
      </c>
    </row>
    <row r="40" spans="18:19">
      <c r="R40" s="109" t="str">
        <f ca="1">IF(A40="","",VLOOKUP(MONTH(A40),Расчеты!$O$2:$P$13,2))</f>
        <v/>
      </c>
      <c r="S40" s="115" t="str">
        <f t="shared" si="0"/>
        <v/>
      </c>
    </row>
    <row r="41" spans="18:19">
      <c r="R41" s="109" t="str">
        <f ca="1">IF(A41="","",VLOOKUP(MONTH(A41),Расчеты!$O$2:$P$13,2))</f>
        <v/>
      </c>
      <c r="S41" s="115" t="str">
        <f t="shared" si="0"/>
        <v/>
      </c>
    </row>
    <row r="42" spans="18:19">
      <c r="R42" s="109" t="str">
        <f ca="1">IF(A42="","",VLOOKUP(MONTH(A42),Расчеты!$O$2:$P$13,2))</f>
        <v/>
      </c>
      <c r="S42" s="115" t="str">
        <f t="shared" si="0"/>
        <v/>
      </c>
    </row>
    <row r="43" spans="18:19">
      <c r="R43" s="109" t="str">
        <f ca="1">IF(A43="","",VLOOKUP(MONTH(A43),Расчеты!$O$2:$P$13,2))</f>
        <v/>
      </c>
      <c r="S43" s="115" t="str">
        <f t="shared" si="0"/>
        <v/>
      </c>
    </row>
    <row r="44" spans="18:19">
      <c r="R44" s="109" t="str">
        <f ca="1">IF(A44="","",VLOOKUP(MONTH(A44),Расчеты!$O$2:$P$13,2))</f>
        <v/>
      </c>
      <c r="S44" s="115" t="str">
        <f t="shared" si="0"/>
        <v/>
      </c>
    </row>
    <row r="45" spans="18:19">
      <c r="R45" s="109" t="str">
        <f ca="1">IF(A45="","",VLOOKUP(MONTH(A45),Расчеты!$O$2:$P$13,2))</f>
        <v/>
      </c>
      <c r="S45" s="115" t="str">
        <f t="shared" si="0"/>
        <v/>
      </c>
    </row>
    <row r="46" spans="18:19">
      <c r="R46" s="109" t="str">
        <f ca="1">IF(A46="","",VLOOKUP(MONTH(A46),Расчеты!$O$2:$P$13,2))</f>
        <v/>
      </c>
      <c r="S46" s="115" t="str">
        <f t="shared" si="0"/>
        <v/>
      </c>
    </row>
    <row r="47" spans="18:19">
      <c r="R47" s="109" t="str">
        <f ca="1">IF(A47="","",VLOOKUP(MONTH(A47),Расчеты!$O$2:$P$13,2))</f>
        <v/>
      </c>
      <c r="S47" s="115" t="str">
        <f t="shared" si="0"/>
        <v/>
      </c>
    </row>
    <row r="48" spans="18:19">
      <c r="R48" s="109" t="str">
        <f ca="1">IF(A48="","",VLOOKUP(MONTH(A48),Расчеты!$O$2:$P$13,2))</f>
        <v/>
      </c>
      <c r="S48" s="115" t="str">
        <f t="shared" si="0"/>
        <v/>
      </c>
    </row>
    <row r="49" spans="18:19">
      <c r="R49" s="109" t="str">
        <f ca="1">IF(A49="","",VLOOKUP(MONTH(A49),Расчеты!$O$2:$P$13,2))</f>
        <v/>
      </c>
      <c r="S49" s="115" t="str">
        <f t="shared" si="0"/>
        <v/>
      </c>
    </row>
    <row r="50" spans="18:19">
      <c r="R50" s="109" t="str">
        <f ca="1">IF(A50="","",VLOOKUP(MONTH(A50),Расчеты!$O$2:$P$13,2))</f>
        <v/>
      </c>
      <c r="S50" s="115" t="str">
        <f t="shared" si="0"/>
        <v/>
      </c>
    </row>
    <row r="51" spans="18:19">
      <c r="R51" s="109" t="str">
        <f ca="1">IF(A51="","",VLOOKUP(MONTH(A51),Расчеты!$O$2:$P$13,2))</f>
        <v/>
      </c>
      <c r="S51" s="115" t="str">
        <f t="shared" si="0"/>
        <v/>
      </c>
    </row>
    <row r="52" spans="18:19">
      <c r="R52" s="109" t="str">
        <f ca="1">IF(A52="","",VLOOKUP(MONTH(A52),Расчеты!$O$2:$P$13,2))</f>
        <v/>
      </c>
      <c r="S52" s="115" t="str">
        <f t="shared" si="0"/>
        <v/>
      </c>
    </row>
    <row r="53" spans="18:19">
      <c r="R53" s="109" t="str">
        <f ca="1">IF(A53="","",VLOOKUP(MONTH(A53),Расчеты!$O$2:$P$13,2))</f>
        <v/>
      </c>
      <c r="S53" s="115" t="str">
        <f t="shared" si="0"/>
        <v/>
      </c>
    </row>
    <row r="54" spans="18:19">
      <c r="R54" s="109" t="str">
        <f ca="1">IF(A54="","",VLOOKUP(MONTH(A54),Расчеты!$O$2:$P$13,2))</f>
        <v/>
      </c>
      <c r="S54" s="115" t="str">
        <f t="shared" si="0"/>
        <v/>
      </c>
    </row>
    <row r="55" spans="18:19">
      <c r="R55" s="109" t="str">
        <f ca="1">IF(A55="","",VLOOKUP(MONTH(A55),Расчеты!$O$2:$P$13,2))</f>
        <v/>
      </c>
      <c r="S55" s="115" t="str">
        <f t="shared" si="0"/>
        <v/>
      </c>
    </row>
    <row r="56" spans="18:19">
      <c r="R56" s="109" t="str">
        <f ca="1">IF(A56="","",VLOOKUP(MONTH(A56),Расчеты!$O$2:$P$13,2))</f>
        <v/>
      </c>
      <c r="S56" s="115" t="str">
        <f t="shared" si="0"/>
        <v/>
      </c>
    </row>
    <row r="57" spans="18:19">
      <c r="R57" s="109" t="str">
        <f ca="1">IF(A57="","",VLOOKUP(MONTH(A57),Расчеты!$O$2:$P$13,2))</f>
        <v/>
      </c>
      <c r="S57" s="115" t="str">
        <f t="shared" si="0"/>
        <v/>
      </c>
    </row>
    <row r="58" spans="18:19">
      <c r="R58" s="109" t="str">
        <f ca="1">IF(A58="","",VLOOKUP(MONTH(A58),Расчеты!$O$2:$P$13,2))</f>
        <v/>
      </c>
      <c r="S58" s="115" t="str">
        <f t="shared" si="0"/>
        <v/>
      </c>
    </row>
    <row r="59" spans="18:19">
      <c r="R59" s="109" t="str">
        <f ca="1">IF(A59="","",VLOOKUP(MONTH(A59),Расчеты!$O$2:$P$13,2))</f>
        <v/>
      </c>
      <c r="S59" s="115" t="str">
        <f t="shared" si="0"/>
        <v/>
      </c>
    </row>
    <row r="60" spans="18:19">
      <c r="R60" s="109" t="str">
        <f ca="1">IF(A60="","",VLOOKUP(MONTH(A60),Расчеты!$O$2:$P$13,2))</f>
        <v/>
      </c>
      <c r="S60" s="115" t="str">
        <f t="shared" si="0"/>
        <v/>
      </c>
    </row>
    <row r="61" spans="18:19">
      <c r="R61" s="109" t="str">
        <f ca="1">IF(A61="","",VLOOKUP(MONTH(A61),Расчеты!$O$2:$P$13,2))</f>
        <v/>
      </c>
      <c r="S61" s="115" t="str">
        <f t="shared" si="0"/>
        <v/>
      </c>
    </row>
    <row r="62" spans="18:19">
      <c r="R62" s="109" t="str">
        <f ca="1">IF(A62="","",VLOOKUP(MONTH(A62),Расчеты!$O$2:$P$13,2))</f>
        <v/>
      </c>
      <c r="S62" s="115" t="str">
        <f t="shared" si="0"/>
        <v/>
      </c>
    </row>
    <row r="63" spans="18:19">
      <c r="R63" s="109" t="str">
        <f ca="1">IF(A63="","",VLOOKUP(MONTH(A63),Расчеты!$O$2:$P$13,2))</f>
        <v/>
      </c>
      <c r="S63" s="115" t="str">
        <f t="shared" si="0"/>
        <v/>
      </c>
    </row>
    <row r="64" spans="18:19">
      <c r="R64" s="109" t="str">
        <f ca="1">IF(A64="","",VLOOKUP(MONTH(A64),Расчеты!$O$2:$P$13,2))</f>
        <v/>
      </c>
      <c r="S64" s="115" t="str">
        <f t="shared" si="0"/>
        <v/>
      </c>
    </row>
    <row r="65" spans="18:19">
      <c r="R65" s="109" t="str">
        <f ca="1">IF(A65="","",VLOOKUP(MONTH(A65),Расчеты!$O$2:$P$13,2))</f>
        <v/>
      </c>
      <c r="S65" s="115" t="str">
        <f t="shared" si="0"/>
        <v/>
      </c>
    </row>
    <row r="66" spans="18:19">
      <c r="R66" s="109" t="str">
        <f ca="1">IF(A66="","",VLOOKUP(MONTH(A66),Расчеты!$O$2:$P$13,2))</f>
        <v/>
      </c>
      <c r="S66" s="115" t="str">
        <f t="shared" si="0"/>
        <v/>
      </c>
    </row>
    <row r="67" spans="18:19">
      <c r="R67" s="109" t="str">
        <f ca="1">IF(A67="","",VLOOKUP(MONTH(A67),Расчеты!$O$2:$P$13,2))</f>
        <v/>
      </c>
      <c r="S67" s="115" t="str">
        <f t="shared" si="0"/>
        <v/>
      </c>
    </row>
    <row r="68" spans="18:19">
      <c r="R68" s="109" t="str">
        <f ca="1">IF(A68="","",VLOOKUP(MONTH(A68),Расчеты!$O$2:$P$13,2))</f>
        <v/>
      </c>
      <c r="S68" s="115" t="str">
        <f t="shared" si="0"/>
        <v/>
      </c>
    </row>
    <row r="69" spans="18:19">
      <c r="R69" s="109" t="str">
        <f ca="1">IF(A69="","",VLOOKUP(MONTH(A69),Расчеты!$O$2:$P$13,2))</f>
        <v/>
      </c>
      <c r="S69" s="115" t="str">
        <f t="shared" si="0"/>
        <v/>
      </c>
    </row>
    <row r="70" spans="18:19">
      <c r="R70" s="109" t="str">
        <f ca="1">IF(A70="","",VLOOKUP(MONTH(A70),Расчеты!$O$2:$P$13,2))</f>
        <v/>
      </c>
      <c r="S70" s="115" t="str">
        <f t="shared" si="0"/>
        <v/>
      </c>
    </row>
    <row r="71" spans="18:19">
      <c r="R71" s="109" t="str">
        <f ca="1">IF(A71="","",VLOOKUP(MONTH(A71),Расчеты!$O$2:$P$13,2))</f>
        <v/>
      </c>
      <c r="S71" s="115" t="str">
        <f t="shared" si="0"/>
        <v/>
      </c>
    </row>
    <row r="72" spans="18:19">
      <c r="R72" s="109" t="str">
        <f ca="1">IF(A72="","",VLOOKUP(MONTH(A72),Расчеты!$O$2:$P$13,2))</f>
        <v/>
      </c>
      <c r="S72" s="115" t="str">
        <f t="shared" si="0"/>
        <v/>
      </c>
    </row>
    <row r="73" spans="18:19">
      <c r="R73" s="109" t="str">
        <f ca="1">IF(A73="","",VLOOKUP(MONTH(A73),Расчеты!$O$2:$P$13,2))</f>
        <v/>
      </c>
      <c r="S73" s="115" t="str">
        <f t="shared" si="0"/>
        <v/>
      </c>
    </row>
    <row r="74" spans="18:19">
      <c r="R74" s="109" t="str">
        <f ca="1">IF(A74="","",VLOOKUP(MONTH(A74),Расчеты!$O$2:$P$13,2))</f>
        <v/>
      </c>
      <c r="S74" s="115" t="str">
        <f t="shared" si="0"/>
        <v/>
      </c>
    </row>
    <row r="75" spans="18:19">
      <c r="R75" s="109" t="str">
        <f ca="1">IF(A75="","",VLOOKUP(MONTH(A75),Расчеты!$O$2:$P$13,2))</f>
        <v/>
      </c>
      <c r="S75" s="115" t="str">
        <f t="shared" si="0"/>
        <v/>
      </c>
    </row>
    <row r="76" spans="18:19">
      <c r="R76" s="109" t="str">
        <f ca="1">IF(A76="","",VLOOKUP(MONTH(A76),Расчеты!$O$2:$P$13,2))</f>
        <v/>
      </c>
      <c r="S76" s="115" t="str">
        <f t="shared" si="0"/>
        <v/>
      </c>
    </row>
    <row r="77" spans="18:19">
      <c r="R77" s="109" t="str">
        <f ca="1">IF(A77="","",VLOOKUP(MONTH(A77),Расчеты!$O$2:$P$13,2))</f>
        <v/>
      </c>
      <c r="S77" s="115" t="str">
        <f t="shared" si="0"/>
        <v/>
      </c>
    </row>
    <row r="78" spans="18:19">
      <c r="R78" s="109" t="str">
        <f ca="1">IF(A78="","",VLOOKUP(MONTH(A78),Расчеты!$O$2:$P$13,2))</f>
        <v/>
      </c>
      <c r="S78" s="115" t="str">
        <f t="shared" si="0"/>
        <v/>
      </c>
    </row>
    <row r="79" spans="18:19">
      <c r="R79" s="109" t="str">
        <f ca="1">IF(A79="","",VLOOKUP(MONTH(A79),Расчеты!$O$2:$P$13,2))</f>
        <v/>
      </c>
      <c r="S79" s="115" t="str">
        <f t="shared" si="0"/>
        <v/>
      </c>
    </row>
    <row r="80" spans="18:19">
      <c r="R80" s="109" t="str">
        <f ca="1">IF(A80="","",VLOOKUP(MONTH(A80),Расчеты!$O$2:$P$13,2))</f>
        <v/>
      </c>
      <c r="S80" s="115" t="str">
        <f t="shared" si="0"/>
        <v/>
      </c>
    </row>
    <row r="81" spans="18:19">
      <c r="R81" s="109" t="str">
        <f ca="1">IF(A81="","",VLOOKUP(MONTH(A81),Расчеты!$O$2:$P$13,2))</f>
        <v/>
      </c>
      <c r="S81" s="115" t="str">
        <f t="shared" si="0"/>
        <v/>
      </c>
    </row>
    <row r="82" spans="18:19">
      <c r="R82" s="109" t="str">
        <f ca="1">IF(A82="","",VLOOKUP(MONTH(A82),Расчеты!$O$2:$P$13,2))</f>
        <v/>
      </c>
      <c r="S82" s="115" t="str">
        <f t="shared" si="0"/>
        <v/>
      </c>
    </row>
    <row r="83" spans="18:19">
      <c r="R83" s="109" t="str">
        <f ca="1">IF(A83="","",VLOOKUP(MONTH(A83),Расчеты!$O$2:$P$13,2))</f>
        <v/>
      </c>
      <c r="S83" s="115" t="str">
        <f t="shared" si="0"/>
        <v/>
      </c>
    </row>
    <row r="84" spans="18:19">
      <c r="R84" s="109" t="str">
        <f ca="1">IF(A84="","",VLOOKUP(MONTH(A84),Расчеты!$O$2:$P$13,2))</f>
        <v/>
      </c>
      <c r="S84" s="115" t="str">
        <f t="shared" si="0"/>
        <v/>
      </c>
    </row>
    <row r="85" spans="18:19">
      <c r="R85" s="109" t="str">
        <f ca="1">IF(A85="","",VLOOKUP(MONTH(A85),Расчеты!$O$2:$P$13,2))</f>
        <v/>
      </c>
      <c r="S85" s="115" t="str">
        <f t="shared" si="0"/>
        <v/>
      </c>
    </row>
    <row r="86" spans="18:19">
      <c r="R86" s="109" t="str">
        <f ca="1">IF(A86="","",VLOOKUP(MONTH(A86),Расчеты!$O$2:$P$13,2))</f>
        <v/>
      </c>
      <c r="S86" s="115" t="str">
        <f t="shared" si="0"/>
        <v/>
      </c>
    </row>
    <row r="87" spans="18:19">
      <c r="R87" s="109" t="str">
        <f ca="1">IF(A87="","",VLOOKUP(MONTH(A87),Расчеты!$O$2:$P$13,2))</f>
        <v/>
      </c>
      <c r="S87" s="115" t="str">
        <f t="shared" si="0"/>
        <v/>
      </c>
    </row>
    <row r="88" spans="18:19">
      <c r="R88" s="109" t="str">
        <f ca="1">IF(A88="","",VLOOKUP(MONTH(A88),Расчеты!$O$2:$P$13,2))</f>
        <v/>
      </c>
      <c r="S88" s="115" t="str">
        <f t="shared" si="0"/>
        <v/>
      </c>
    </row>
    <row r="89" spans="18:19">
      <c r="R89" s="109" t="str">
        <f ca="1">IF(A89="","",VLOOKUP(MONTH(A89),Расчеты!$O$2:$P$13,2))</f>
        <v/>
      </c>
      <c r="S89" s="115" t="str">
        <f t="shared" si="0"/>
        <v/>
      </c>
    </row>
    <row r="90" spans="18:19">
      <c r="R90" s="109" t="str">
        <f ca="1">IF(A90="","",VLOOKUP(MONTH(A90),Расчеты!$O$2:$P$13,2))</f>
        <v/>
      </c>
      <c r="S90" s="115" t="str">
        <f t="shared" si="0"/>
        <v/>
      </c>
    </row>
    <row r="91" spans="18:19">
      <c r="R91" s="109" t="str">
        <f ca="1">IF(A91="","",VLOOKUP(MONTH(A91),Расчеты!$O$2:$P$13,2))</f>
        <v/>
      </c>
      <c r="S91" s="115" t="str">
        <f t="shared" si="0"/>
        <v/>
      </c>
    </row>
    <row r="92" spans="18:19">
      <c r="R92" s="109" t="str">
        <f ca="1">IF(A92="","",VLOOKUP(MONTH(A92),Расчеты!$O$2:$P$13,2))</f>
        <v/>
      </c>
      <c r="S92" s="115" t="str">
        <f t="shared" si="0"/>
        <v/>
      </c>
    </row>
    <row r="93" spans="18:19">
      <c r="R93" s="109" t="str">
        <f ca="1">IF(A93="","",VLOOKUP(MONTH(A93),Расчеты!$O$2:$P$13,2))</f>
        <v/>
      </c>
      <c r="S93" s="115" t="str">
        <f t="shared" si="0"/>
        <v/>
      </c>
    </row>
    <row r="94" spans="18:19">
      <c r="R94" s="109" t="str">
        <f ca="1">IF(A94="","",VLOOKUP(MONTH(A94),Расчеты!$O$2:$P$13,2))</f>
        <v/>
      </c>
      <c r="S94" s="115" t="str">
        <f t="shared" si="0"/>
        <v/>
      </c>
    </row>
    <row r="95" spans="18:19">
      <c r="R95" s="109" t="str">
        <f ca="1">IF(A95="","",VLOOKUP(MONTH(A95),Расчеты!$O$2:$P$13,2))</f>
        <v/>
      </c>
      <c r="S95" s="115" t="str">
        <f t="shared" si="0"/>
        <v/>
      </c>
    </row>
    <row r="96" spans="18:19">
      <c r="R96" s="109" t="str">
        <f ca="1">IF(A96="","",VLOOKUP(MONTH(A96),Расчеты!$O$2:$P$13,2))</f>
        <v/>
      </c>
      <c r="S96" s="115" t="str">
        <f t="shared" si="0"/>
        <v/>
      </c>
    </row>
    <row r="97" spans="18:19">
      <c r="R97" s="109" t="str">
        <f ca="1">IF(A97="","",VLOOKUP(MONTH(A97),Расчеты!$O$2:$P$13,2))</f>
        <v/>
      </c>
      <c r="S97" s="115" t="str">
        <f t="shared" si="0"/>
        <v/>
      </c>
    </row>
    <row r="98" spans="18:19">
      <c r="R98" s="109" t="str">
        <f ca="1">IF(A98="","",VLOOKUP(MONTH(A98),Расчеты!$O$2:$P$13,2))</f>
        <v/>
      </c>
      <c r="S98" s="115" t="str">
        <f t="shared" si="0"/>
        <v/>
      </c>
    </row>
    <row r="99" spans="18:19">
      <c r="R99" s="109" t="str">
        <f ca="1">IF(A99="","",VLOOKUP(MONTH(A99),Расчеты!$O$2:$P$13,2))</f>
        <v/>
      </c>
      <c r="S99" s="115" t="str">
        <f t="shared" si="0"/>
        <v/>
      </c>
    </row>
    <row r="100" spans="18:19">
      <c r="R100" s="109" t="str">
        <f ca="1">IF(A100="","",VLOOKUP(MONTH(A100),Расчеты!$O$2:$P$13,2))</f>
        <v/>
      </c>
      <c r="S100" s="115" t="str">
        <f t="shared" si="0"/>
        <v/>
      </c>
    </row>
  </sheetData>
  <customSheetViews>
    <customSheetView guid="{D930F80A-27B5-46CB-971C-1CFCBAC2999A}" filter="1" showAutoFilter="1">
      <pageMargins left="0.7" right="0.7" top="0.75" bottom="0.75" header="0.3" footer="0.3"/>
      <autoFilter ref="B1:T1"/>
    </customSheetView>
  </customSheetViews>
  <phoneticPr fontId="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S100"/>
  <sheetViews>
    <sheetView workbookViewId="0"/>
  </sheetViews>
  <sheetFormatPr defaultColWidth="14.42578125" defaultRowHeight="15" customHeight="1"/>
  <cols>
    <col min="1" max="1" width="10.7109375" customWidth="1"/>
    <col min="2" max="2" width="15.5703125" customWidth="1"/>
    <col min="3" max="4" width="5.7109375" customWidth="1"/>
    <col min="5" max="5" width="10.5703125" customWidth="1"/>
    <col min="6" max="6" width="12" customWidth="1"/>
    <col min="7" max="7" width="13.28515625" customWidth="1"/>
    <col min="8" max="8" width="18.140625" customWidth="1"/>
    <col min="9" max="11" width="26.28515625" customWidth="1"/>
    <col min="12" max="12" width="19.85546875" customWidth="1"/>
    <col min="13" max="14" width="12.42578125" customWidth="1"/>
    <col min="15" max="15" width="11.42578125" customWidth="1"/>
    <col min="16" max="18" width="9.42578125" customWidth="1"/>
    <col min="19" max="19" width="5.28515625" customWidth="1"/>
  </cols>
  <sheetData>
    <row r="1" spans="1:19">
      <c r="A1" s="110" t="s">
        <v>12889</v>
      </c>
      <c r="B1" s="110" t="s">
        <v>12921</v>
      </c>
      <c r="C1" s="111" t="s">
        <v>12922</v>
      </c>
      <c r="D1" s="110" t="s">
        <v>12923</v>
      </c>
      <c r="E1" s="110" t="s">
        <v>12924</v>
      </c>
      <c r="F1" s="112" t="s">
        <v>12925</v>
      </c>
      <c r="G1" s="113" t="s">
        <v>12926</v>
      </c>
      <c r="H1" s="113" t="s">
        <v>12927</v>
      </c>
      <c r="I1" s="113" t="s">
        <v>12928</v>
      </c>
      <c r="J1" s="113" t="s">
        <v>12929</v>
      </c>
      <c r="K1" s="114" t="s">
        <v>12887</v>
      </c>
      <c r="L1" s="114" t="s">
        <v>12930</v>
      </c>
      <c r="M1" s="114" t="s">
        <v>12931</v>
      </c>
      <c r="N1" s="114" t="s">
        <v>12932</v>
      </c>
      <c r="O1" s="114" t="s">
        <v>12933</v>
      </c>
      <c r="P1" s="114" t="s">
        <v>12909</v>
      </c>
      <c r="Q1" s="114" t="s">
        <v>12910</v>
      </c>
      <c r="R1" s="97" t="s">
        <v>12938</v>
      </c>
      <c r="S1" s="114" t="s">
        <v>12963</v>
      </c>
    </row>
    <row r="2" spans="1:19">
      <c r="A2" s="100" t="e">
        <f ca="1">IFERROR(__xludf.DUMMYFUNCTION("FILTER('Журнал Закупок'!A:Q,'Журнал Закупок'!B:B=""Binance Coin"")"),"#N/A")</f>
        <v>#NAME?</v>
      </c>
      <c r="O2" s="109"/>
      <c r="P2" s="109"/>
      <c r="Q2" s="109"/>
      <c r="R2" s="109" t="e">
        <f ca="1">IF(A2="","",VLOOKUP(MONTH(A2),Расчеты!$O$2:$P$13,2))</f>
        <v>#NAME?</v>
      </c>
      <c r="S2" s="115" t="e">
        <f t="shared" ref="S2:S100" ca="1" si="0">IF(A2="","",YEAR(A2))</f>
        <v>#NAME?</v>
      </c>
    </row>
    <row r="3" spans="1:19">
      <c r="O3" s="109"/>
      <c r="P3" s="109"/>
      <c r="Q3" s="109"/>
      <c r="R3" s="109" t="str">
        <f ca="1">IF(A3="","",VLOOKUP(MONTH(A3),Расчеты!$O$2:$P$13,2))</f>
        <v/>
      </c>
      <c r="S3" s="115" t="str">
        <f t="shared" si="0"/>
        <v/>
      </c>
    </row>
    <row r="4" spans="1:19">
      <c r="O4" s="109"/>
      <c r="P4" s="109"/>
      <c r="Q4" s="109"/>
      <c r="R4" s="109" t="str">
        <f ca="1">IF(A4="","",VLOOKUP(MONTH(A4),Расчеты!$O$2:$P$13,2))</f>
        <v/>
      </c>
      <c r="S4" s="115" t="str">
        <f t="shared" si="0"/>
        <v/>
      </c>
    </row>
    <row r="5" spans="1:19">
      <c r="O5" s="109"/>
      <c r="P5" s="109"/>
      <c r="Q5" s="109"/>
      <c r="R5" s="109" t="str">
        <f ca="1">IF(A5="","",VLOOKUP(MONTH(A5),Расчеты!$O$2:$P$13,2))</f>
        <v/>
      </c>
      <c r="S5" s="115" t="str">
        <f t="shared" si="0"/>
        <v/>
      </c>
    </row>
    <row r="6" spans="1:19">
      <c r="O6" s="109"/>
      <c r="P6" s="109"/>
      <c r="Q6" s="109"/>
      <c r="R6" s="109" t="str">
        <f ca="1">IF(A6="","",VLOOKUP(MONTH(A6),Расчеты!$O$2:$P$13,2))</f>
        <v/>
      </c>
      <c r="S6" s="115" t="str">
        <f t="shared" si="0"/>
        <v/>
      </c>
    </row>
    <row r="7" spans="1:19">
      <c r="O7" s="109"/>
      <c r="P7" s="109"/>
      <c r="Q7" s="109"/>
      <c r="R7" s="109" t="str">
        <f ca="1">IF(A7="","",VLOOKUP(MONTH(A7),Расчеты!$O$2:$P$13,2))</f>
        <v/>
      </c>
      <c r="S7" s="115" t="str">
        <f t="shared" si="0"/>
        <v/>
      </c>
    </row>
    <row r="8" spans="1:19">
      <c r="O8" s="109"/>
      <c r="P8" s="109"/>
      <c r="Q8" s="109"/>
      <c r="R8" s="109" t="str">
        <f ca="1">IF(A8="","",VLOOKUP(MONTH(A8),Расчеты!$O$2:$P$13,2))</f>
        <v/>
      </c>
      <c r="S8" s="115" t="str">
        <f t="shared" si="0"/>
        <v/>
      </c>
    </row>
    <row r="9" spans="1:19">
      <c r="O9" s="109"/>
      <c r="P9" s="109"/>
      <c r="Q9" s="109"/>
      <c r="R9" s="109" t="str">
        <f ca="1">IF(A9="","",VLOOKUP(MONTH(A9),Расчеты!$O$2:$P$13,2))</f>
        <v/>
      </c>
      <c r="S9" s="115" t="str">
        <f t="shared" si="0"/>
        <v/>
      </c>
    </row>
    <row r="10" spans="1:19">
      <c r="O10" s="109"/>
      <c r="P10" s="109"/>
      <c r="Q10" s="109"/>
      <c r="R10" s="109" t="str">
        <f ca="1">IF(A10="","",VLOOKUP(MONTH(A10),Расчеты!$O$2:$P$13,2))</f>
        <v/>
      </c>
      <c r="S10" s="115" t="str">
        <f t="shared" si="0"/>
        <v/>
      </c>
    </row>
    <row r="11" spans="1:19">
      <c r="O11" s="109"/>
      <c r="P11" s="109"/>
      <c r="Q11" s="109"/>
      <c r="R11" s="109" t="str">
        <f ca="1">IF(A11="","",VLOOKUP(MONTH(A11),Расчеты!$O$2:$P$13,2))</f>
        <v/>
      </c>
      <c r="S11" s="115" t="str">
        <f t="shared" si="0"/>
        <v/>
      </c>
    </row>
    <row r="12" spans="1:19">
      <c r="O12" s="109"/>
      <c r="P12" s="109"/>
      <c r="Q12" s="109"/>
      <c r="R12" s="109" t="str">
        <f ca="1">IF(A12="","",VLOOKUP(MONTH(A12),Расчеты!$O$2:$P$13,2))</f>
        <v/>
      </c>
      <c r="S12" s="115" t="str">
        <f t="shared" si="0"/>
        <v/>
      </c>
    </row>
    <row r="13" spans="1:19">
      <c r="O13" s="109"/>
      <c r="P13" s="109"/>
      <c r="Q13" s="109"/>
      <c r="R13" s="109" t="str">
        <f ca="1">IF(A13="","",VLOOKUP(MONTH(A13),Расчеты!$O$2:$P$13,2))</f>
        <v/>
      </c>
      <c r="S13" s="115" t="str">
        <f t="shared" si="0"/>
        <v/>
      </c>
    </row>
    <row r="14" spans="1:19">
      <c r="O14" s="109"/>
      <c r="P14" s="109"/>
      <c r="Q14" s="109"/>
      <c r="R14" s="109" t="str">
        <f ca="1">IF(A14="","",VLOOKUP(MONTH(A14),Расчеты!$O$2:$P$13,2))</f>
        <v/>
      </c>
      <c r="S14" s="115" t="str">
        <f t="shared" si="0"/>
        <v/>
      </c>
    </row>
    <row r="15" spans="1:19">
      <c r="O15" s="109"/>
      <c r="P15" s="109"/>
      <c r="Q15" s="109"/>
      <c r="R15" s="109" t="str">
        <f ca="1">IF(A15="","",VLOOKUP(MONTH(A15),Расчеты!$O$2:$P$13,2))</f>
        <v/>
      </c>
      <c r="S15" s="115" t="str">
        <f t="shared" si="0"/>
        <v/>
      </c>
    </row>
    <row r="16" spans="1:19">
      <c r="O16" s="109"/>
      <c r="P16" s="109"/>
      <c r="Q16" s="109"/>
      <c r="R16" s="109" t="str">
        <f ca="1">IF(A16="","",VLOOKUP(MONTH(A16),Расчеты!$O$2:$P$13,2))</f>
        <v/>
      </c>
      <c r="S16" s="115" t="str">
        <f t="shared" si="0"/>
        <v/>
      </c>
    </row>
    <row r="17" spans="15:19">
      <c r="O17" s="109"/>
      <c r="P17" s="109"/>
      <c r="Q17" s="109"/>
      <c r="R17" s="109" t="str">
        <f ca="1">IF(A17="","",VLOOKUP(MONTH(A17),Расчеты!$O$2:$P$13,2))</f>
        <v/>
      </c>
      <c r="S17" s="115" t="str">
        <f t="shared" si="0"/>
        <v/>
      </c>
    </row>
    <row r="18" spans="15:19">
      <c r="O18" s="109"/>
      <c r="P18" s="109"/>
      <c r="Q18" s="109"/>
      <c r="R18" s="109" t="str">
        <f ca="1">IF(A18="","",VLOOKUP(MONTH(A18),Расчеты!$O$2:$P$13,2))</f>
        <v/>
      </c>
      <c r="S18" s="115" t="str">
        <f t="shared" si="0"/>
        <v/>
      </c>
    </row>
    <row r="19" spans="15:19">
      <c r="O19" s="109"/>
      <c r="P19" s="109"/>
      <c r="Q19" s="109"/>
      <c r="R19" s="109" t="str">
        <f ca="1">IF(A19="","",VLOOKUP(MONTH(A19),Расчеты!$O$2:$P$13,2))</f>
        <v/>
      </c>
      <c r="S19" s="115" t="str">
        <f t="shared" si="0"/>
        <v/>
      </c>
    </row>
    <row r="20" spans="15:19">
      <c r="O20" s="109"/>
      <c r="P20" s="109"/>
      <c r="Q20" s="109"/>
      <c r="R20" s="109" t="str">
        <f ca="1">IF(A20="","",VLOOKUP(MONTH(A20),Расчеты!$O$2:$P$13,2))</f>
        <v/>
      </c>
      <c r="S20" s="115" t="str">
        <f t="shared" si="0"/>
        <v/>
      </c>
    </row>
    <row r="21" spans="15:19">
      <c r="O21" s="109"/>
      <c r="P21" s="109"/>
      <c r="Q21" s="109"/>
      <c r="R21" s="109" t="str">
        <f ca="1">IF(A21="","",VLOOKUP(MONTH(A21),Расчеты!$O$2:$P$13,2))</f>
        <v/>
      </c>
      <c r="S21" s="115" t="str">
        <f t="shared" si="0"/>
        <v/>
      </c>
    </row>
    <row r="22" spans="15:19">
      <c r="O22" s="109"/>
      <c r="P22" s="109"/>
      <c r="Q22" s="109"/>
      <c r="R22" s="109" t="str">
        <f ca="1">IF(A22="","",VLOOKUP(MONTH(A22),Расчеты!$O$2:$P$13,2))</f>
        <v/>
      </c>
      <c r="S22" s="115" t="str">
        <f t="shared" si="0"/>
        <v/>
      </c>
    </row>
    <row r="23" spans="15:19">
      <c r="O23" s="109"/>
      <c r="P23" s="109"/>
      <c r="Q23" s="109"/>
      <c r="R23" s="109" t="str">
        <f ca="1">IF(A23="","",VLOOKUP(MONTH(A23),Расчеты!$O$2:$P$13,2))</f>
        <v/>
      </c>
      <c r="S23" s="115" t="str">
        <f t="shared" si="0"/>
        <v/>
      </c>
    </row>
    <row r="24" spans="15:19">
      <c r="O24" s="109"/>
      <c r="P24" s="109"/>
      <c r="Q24" s="109"/>
      <c r="R24" s="109" t="str">
        <f ca="1">IF(A24="","",VLOOKUP(MONTH(A24),Расчеты!$O$2:$P$13,2))</f>
        <v/>
      </c>
      <c r="S24" s="115" t="str">
        <f t="shared" si="0"/>
        <v/>
      </c>
    </row>
    <row r="25" spans="15:19">
      <c r="O25" s="109"/>
      <c r="P25" s="109"/>
      <c r="Q25" s="109"/>
      <c r="R25" s="109" t="str">
        <f ca="1">IF(A25="","",VLOOKUP(MONTH(A25),Расчеты!$O$2:$P$13,2))</f>
        <v/>
      </c>
      <c r="S25" s="115" t="str">
        <f t="shared" si="0"/>
        <v/>
      </c>
    </row>
    <row r="26" spans="15:19">
      <c r="O26" s="109"/>
      <c r="P26" s="109"/>
      <c r="Q26" s="109"/>
      <c r="R26" s="109" t="str">
        <f ca="1">IF(A26="","",VLOOKUP(MONTH(A26),Расчеты!$O$2:$P$13,2))</f>
        <v/>
      </c>
      <c r="S26" s="115" t="str">
        <f t="shared" si="0"/>
        <v/>
      </c>
    </row>
    <row r="27" spans="15:19">
      <c r="O27" s="109"/>
      <c r="P27" s="109"/>
      <c r="Q27" s="109"/>
      <c r="R27" s="109" t="str">
        <f ca="1">IF(A27="","",VLOOKUP(MONTH(A27),Расчеты!$O$2:$P$13,2))</f>
        <v/>
      </c>
      <c r="S27" s="115" t="str">
        <f t="shared" si="0"/>
        <v/>
      </c>
    </row>
    <row r="28" spans="15:19">
      <c r="O28" s="109"/>
      <c r="P28" s="109"/>
      <c r="Q28" s="109"/>
      <c r="R28" s="109" t="str">
        <f ca="1">IF(A28="","",VLOOKUP(MONTH(A28),Расчеты!$O$2:$P$13,2))</f>
        <v/>
      </c>
      <c r="S28" s="115" t="str">
        <f t="shared" si="0"/>
        <v/>
      </c>
    </row>
    <row r="29" spans="15:19">
      <c r="O29" s="109"/>
      <c r="P29" s="109"/>
      <c r="Q29" s="109"/>
      <c r="R29" s="109" t="str">
        <f ca="1">IF(A29="","",VLOOKUP(MONTH(A29),Расчеты!$O$2:$P$13,2))</f>
        <v/>
      </c>
      <c r="S29" s="115" t="str">
        <f t="shared" si="0"/>
        <v/>
      </c>
    </row>
    <row r="30" spans="15:19">
      <c r="O30" s="109"/>
      <c r="P30" s="109"/>
      <c r="Q30" s="109"/>
      <c r="R30" s="109" t="str">
        <f ca="1">IF(A30="","",VLOOKUP(MONTH(A30),Расчеты!$O$2:$P$13,2))</f>
        <v/>
      </c>
      <c r="S30" s="115" t="str">
        <f t="shared" si="0"/>
        <v/>
      </c>
    </row>
    <row r="31" spans="15:19">
      <c r="O31" s="109"/>
      <c r="P31" s="109"/>
      <c r="Q31" s="109"/>
      <c r="R31" s="109" t="str">
        <f ca="1">IF(A31="","",VLOOKUP(MONTH(A31),Расчеты!$O$2:$P$13,2))</f>
        <v/>
      </c>
      <c r="S31" s="115" t="str">
        <f t="shared" si="0"/>
        <v/>
      </c>
    </row>
    <row r="32" spans="15:19">
      <c r="O32" s="109"/>
      <c r="P32" s="109"/>
      <c r="Q32" s="109"/>
      <c r="R32" s="109" t="str">
        <f ca="1">IF(A32="","",VLOOKUP(MONTH(A32),Расчеты!$O$2:$P$13,2))</f>
        <v/>
      </c>
      <c r="S32" s="115" t="str">
        <f t="shared" si="0"/>
        <v/>
      </c>
    </row>
    <row r="33" spans="15:19">
      <c r="O33" s="109"/>
      <c r="P33" s="109"/>
      <c r="Q33" s="109"/>
      <c r="R33" s="109" t="str">
        <f ca="1">IF(A33="","",VLOOKUP(MONTH(A33),Расчеты!$O$2:$P$13,2))</f>
        <v/>
      </c>
      <c r="S33" s="115" t="str">
        <f t="shared" si="0"/>
        <v/>
      </c>
    </row>
    <row r="34" spans="15:19">
      <c r="O34" s="109"/>
      <c r="P34" s="109"/>
      <c r="Q34" s="109"/>
      <c r="R34" s="109" t="str">
        <f ca="1">IF(A34="","",VLOOKUP(MONTH(A34),Расчеты!$O$2:$P$13,2))</f>
        <v/>
      </c>
      <c r="S34" s="115" t="str">
        <f t="shared" si="0"/>
        <v/>
      </c>
    </row>
    <row r="35" spans="15:19">
      <c r="O35" s="109"/>
      <c r="P35" s="109"/>
      <c r="Q35" s="109"/>
      <c r="R35" s="109" t="str">
        <f ca="1">IF(A35="","",VLOOKUP(MONTH(A35),Расчеты!$O$2:$P$13,2))</f>
        <v/>
      </c>
      <c r="S35" s="115" t="str">
        <f t="shared" si="0"/>
        <v/>
      </c>
    </row>
    <row r="36" spans="15:19">
      <c r="O36" s="109"/>
      <c r="P36" s="109"/>
      <c r="Q36" s="109"/>
      <c r="R36" s="109" t="str">
        <f ca="1">IF(A36="","",VLOOKUP(MONTH(A36),Расчеты!$O$2:$P$13,2))</f>
        <v/>
      </c>
      <c r="S36" s="115" t="str">
        <f t="shared" si="0"/>
        <v/>
      </c>
    </row>
    <row r="37" spans="15:19">
      <c r="O37" s="109"/>
      <c r="P37" s="109"/>
      <c r="Q37" s="109"/>
      <c r="R37" s="109" t="str">
        <f ca="1">IF(A37="","",VLOOKUP(MONTH(A37),Расчеты!$O$2:$P$13,2))</f>
        <v/>
      </c>
      <c r="S37" s="115" t="str">
        <f t="shared" si="0"/>
        <v/>
      </c>
    </row>
    <row r="38" spans="15:19">
      <c r="O38" s="109"/>
      <c r="P38" s="109"/>
      <c r="Q38" s="109"/>
      <c r="R38" s="109" t="str">
        <f ca="1">IF(A38="","",VLOOKUP(MONTH(A38),Расчеты!$O$2:$P$13,2))</f>
        <v/>
      </c>
      <c r="S38" s="115" t="str">
        <f t="shared" si="0"/>
        <v/>
      </c>
    </row>
    <row r="39" spans="15:19">
      <c r="O39" s="109"/>
      <c r="P39" s="109"/>
      <c r="Q39" s="109"/>
      <c r="R39" s="109" t="str">
        <f ca="1">IF(A39="","",VLOOKUP(MONTH(A39),Расчеты!$O$2:$P$13,2))</f>
        <v/>
      </c>
      <c r="S39" s="115" t="str">
        <f t="shared" si="0"/>
        <v/>
      </c>
    </row>
    <row r="40" spans="15:19">
      <c r="O40" s="109"/>
      <c r="P40" s="109"/>
      <c r="Q40" s="109"/>
      <c r="R40" s="109" t="str">
        <f ca="1">IF(A40="","",VLOOKUP(MONTH(A40),Расчеты!$O$2:$P$13,2))</f>
        <v/>
      </c>
      <c r="S40" s="115" t="str">
        <f t="shared" si="0"/>
        <v/>
      </c>
    </row>
    <row r="41" spans="15:19">
      <c r="O41" s="109"/>
      <c r="P41" s="109"/>
      <c r="Q41" s="109"/>
      <c r="R41" s="109" t="str">
        <f ca="1">IF(A41="","",VLOOKUP(MONTH(A41),Расчеты!$O$2:$P$13,2))</f>
        <v/>
      </c>
      <c r="S41" s="115" t="str">
        <f t="shared" si="0"/>
        <v/>
      </c>
    </row>
    <row r="42" spans="15:19">
      <c r="O42" s="109"/>
      <c r="P42" s="109"/>
      <c r="Q42" s="109"/>
      <c r="R42" s="109" t="str">
        <f ca="1">IF(A42="","",VLOOKUP(MONTH(A42),Расчеты!$O$2:$P$13,2))</f>
        <v/>
      </c>
      <c r="S42" s="115" t="str">
        <f t="shared" si="0"/>
        <v/>
      </c>
    </row>
    <row r="43" spans="15:19">
      <c r="O43" s="109"/>
      <c r="P43" s="109"/>
      <c r="Q43" s="109"/>
      <c r="R43" s="109" t="str">
        <f ca="1">IF(A43="","",VLOOKUP(MONTH(A43),Расчеты!$O$2:$P$13,2))</f>
        <v/>
      </c>
      <c r="S43" s="115" t="str">
        <f t="shared" si="0"/>
        <v/>
      </c>
    </row>
    <row r="44" spans="15:19">
      <c r="O44" s="109"/>
      <c r="P44" s="109"/>
      <c r="Q44" s="109"/>
      <c r="R44" s="109" t="str">
        <f ca="1">IF(A44="","",VLOOKUP(MONTH(A44),Расчеты!$O$2:$P$13,2))</f>
        <v/>
      </c>
      <c r="S44" s="115" t="str">
        <f t="shared" si="0"/>
        <v/>
      </c>
    </row>
    <row r="45" spans="15:19">
      <c r="O45" s="109"/>
      <c r="P45" s="109"/>
      <c r="Q45" s="109"/>
      <c r="R45" s="109" t="str">
        <f ca="1">IF(A45="","",VLOOKUP(MONTH(A45),Расчеты!$O$2:$P$13,2))</f>
        <v/>
      </c>
      <c r="S45" s="115" t="str">
        <f t="shared" si="0"/>
        <v/>
      </c>
    </row>
    <row r="46" spans="15:19">
      <c r="O46" s="109"/>
      <c r="P46" s="109"/>
      <c r="Q46" s="109"/>
      <c r="R46" s="109" t="str">
        <f ca="1">IF(A46="","",VLOOKUP(MONTH(A46),Расчеты!$O$2:$P$13,2))</f>
        <v/>
      </c>
      <c r="S46" s="115" t="str">
        <f t="shared" si="0"/>
        <v/>
      </c>
    </row>
    <row r="47" spans="15:19">
      <c r="O47" s="109"/>
      <c r="P47" s="109"/>
      <c r="Q47" s="109"/>
      <c r="R47" s="109" t="str">
        <f ca="1">IF(A47="","",VLOOKUP(MONTH(A47),Расчеты!$O$2:$P$13,2))</f>
        <v/>
      </c>
      <c r="S47" s="115" t="str">
        <f t="shared" si="0"/>
        <v/>
      </c>
    </row>
    <row r="48" spans="15:19">
      <c r="O48" s="109"/>
      <c r="P48" s="109"/>
      <c r="Q48" s="109"/>
      <c r="R48" s="109" t="str">
        <f ca="1">IF(A48="","",VLOOKUP(MONTH(A48),Расчеты!$O$2:$P$13,2))</f>
        <v/>
      </c>
      <c r="S48" s="115" t="str">
        <f t="shared" si="0"/>
        <v/>
      </c>
    </row>
    <row r="49" spans="15:19">
      <c r="O49" s="109"/>
      <c r="P49" s="109"/>
      <c r="Q49" s="109"/>
      <c r="R49" s="109" t="str">
        <f ca="1">IF(A49="","",VLOOKUP(MONTH(A49),Расчеты!$O$2:$P$13,2))</f>
        <v/>
      </c>
      <c r="S49" s="115" t="str">
        <f t="shared" si="0"/>
        <v/>
      </c>
    </row>
    <row r="50" spans="15:19">
      <c r="O50" s="109"/>
      <c r="P50" s="109"/>
      <c r="Q50" s="109"/>
      <c r="R50" s="109" t="str">
        <f ca="1">IF(A50="","",VLOOKUP(MONTH(A50),Расчеты!$O$2:$P$13,2))</f>
        <v/>
      </c>
      <c r="S50" s="115" t="str">
        <f t="shared" si="0"/>
        <v/>
      </c>
    </row>
    <row r="51" spans="15:19">
      <c r="O51" s="109"/>
      <c r="P51" s="109"/>
      <c r="Q51" s="109"/>
      <c r="R51" s="109" t="str">
        <f ca="1">IF(A51="","",VLOOKUP(MONTH(A51),Расчеты!$O$2:$P$13,2))</f>
        <v/>
      </c>
      <c r="S51" s="115" t="str">
        <f t="shared" si="0"/>
        <v/>
      </c>
    </row>
    <row r="52" spans="15:19">
      <c r="O52" s="109"/>
      <c r="P52" s="109"/>
      <c r="Q52" s="109"/>
      <c r="R52" s="109" t="str">
        <f ca="1">IF(A52="","",VLOOKUP(MONTH(A52),Расчеты!$O$2:$P$13,2))</f>
        <v/>
      </c>
      <c r="S52" s="115" t="str">
        <f t="shared" si="0"/>
        <v/>
      </c>
    </row>
    <row r="53" spans="15:19">
      <c r="O53" s="109"/>
      <c r="P53" s="109"/>
      <c r="Q53" s="109"/>
      <c r="R53" s="109" t="str">
        <f ca="1">IF(A53="","",VLOOKUP(MONTH(A53),Расчеты!$O$2:$P$13,2))</f>
        <v/>
      </c>
      <c r="S53" s="115" t="str">
        <f t="shared" si="0"/>
        <v/>
      </c>
    </row>
    <row r="54" spans="15:19">
      <c r="O54" s="109"/>
      <c r="P54" s="109"/>
      <c r="Q54" s="109"/>
      <c r="R54" s="109" t="str">
        <f ca="1">IF(A54="","",VLOOKUP(MONTH(A54),Расчеты!$O$2:$P$13,2))</f>
        <v/>
      </c>
      <c r="S54" s="115" t="str">
        <f t="shared" si="0"/>
        <v/>
      </c>
    </row>
    <row r="55" spans="15:19">
      <c r="O55" s="109"/>
      <c r="P55" s="109"/>
      <c r="Q55" s="109"/>
      <c r="R55" s="109" t="str">
        <f ca="1">IF(A55="","",VLOOKUP(MONTH(A55),Расчеты!$O$2:$P$13,2))</f>
        <v/>
      </c>
      <c r="S55" s="115" t="str">
        <f t="shared" si="0"/>
        <v/>
      </c>
    </row>
    <row r="56" spans="15:19">
      <c r="O56" s="109"/>
      <c r="P56" s="109"/>
      <c r="Q56" s="109"/>
      <c r="R56" s="109" t="str">
        <f ca="1">IF(A56="","",VLOOKUP(MONTH(A56),Расчеты!$O$2:$P$13,2))</f>
        <v/>
      </c>
      <c r="S56" s="115" t="str">
        <f t="shared" si="0"/>
        <v/>
      </c>
    </row>
    <row r="57" spans="15:19">
      <c r="O57" s="109"/>
      <c r="P57" s="109"/>
      <c r="Q57" s="109"/>
      <c r="R57" s="109" t="str">
        <f ca="1">IF(A57="","",VLOOKUP(MONTH(A57),Расчеты!$O$2:$P$13,2))</f>
        <v/>
      </c>
      <c r="S57" s="115" t="str">
        <f t="shared" si="0"/>
        <v/>
      </c>
    </row>
    <row r="58" spans="15:19">
      <c r="O58" s="109"/>
      <c r="P58" s="109"/>
      <c r="Q58" s="109"/>
      <c r="R58" s="109" t="str">
        <f ca="1">IF(A58="","",VLOOKUP(MONTH(A58),Расчеты!$O$2:$P$13,2))</f>
        <v/>
      </c>
      <c r="S58" s="115" t="str">
        <f t="shared" si="0"/>
        <v/>
      </c>
    </row>
    <row r="59" spans="15:19">
      <c r="O59" s="109"/>
      <c r="P59" s="109"/>
      <c r="Q59" s="109"/>
      <c r="R59" s="109" t="str">
        <f ca="1">IF(A59="","",VLOOKUP(MONTH(A59),Расчеты!$O$2:$P$13,2))</f>
        <v/>
      </c>
      <c r="S59" s="115" t="str">
        <f t="shared" si="0"/>
        <v/>
      </c>
    </row>
    <row r="60" spans="15:19">
      <c r="O60" s="109"/>
      <c r="P60" s="109"/>
      <c r="Q60" s="109"/>
      <c r="R60" s="109" t="str">
        <f ca="1">IF(A60="","",VLOOKUP(MONTH(A60),Расчеты!$O$2:$P$13,2))</f>
        <v/>
      </c>
      <c r="S60" s="115" t="str">
        <f t="shared" si="0"/>
        <v/>
      </c>
    </row>
    <row r="61" spans="15:19">
      <c r="O61" s="109"/>
      <c r="P61" s="109"/>
      <c r="Q61" s="109"/>
      <c r="R61" s="109" t="str">
        <f ca="1">IF(A61="","",VLOOKUP(MONTH(A61),Расчеты!$O$2:$P$13,2))</f>
        <v/>
      </c>
      <c r="S61" s="115" t="str">
        <f t="shared" si="0"/>
        <v/>
      </c>
    </row>
    <row r="62" spans="15:19">
      <c r="O62" s="109"/>
      <c r="P62" s="109"/>
      <c r="Q62" s="109"/>
      <c r="R62" s="109" t="str">
        <f ca="1">IF(A62="","",VLOOKUP(MONTH(A62),Расчеты!$O$2:$P$13,2))</f>
        <v/>
      </c>
      <c r="S62" s="115" t="str">
        <f t="shared" si="0"/>
        <v/>
      </c>
    </row>
    <row r="63" spans="15:19">
      <c r="O63" s="109"/>
      <c r="P63" s="109"/>
      <c r="Q63" s="109"/>
      <c r="R63" s="109" t="str">
        <f ca="1">IF(A63="","",VLOOKUP(MONTH(A63),Расчеты!$O$2:$P$13,2))</f>
        <v/>
      </c>
      <c r="S63" s="115" t="str">
        <f t="shared" si="0"/>
        <v/>
      </c>
    </row>
    <row r="64" spans="15:19">
      <c r="O64" s="109"/>
      <c r="P64" s="109"/>
      <c r="Q64" s="109"/>
      <c r="R64" s="109" t="str">
        <f ca="1">IF(A64="","",VLOOKUP(MONTH(A64),Расчеты!$O$2:$P$13,2))</f>
        <v/>
      </c>
      <c r="S64" s="115" t="str">
        <f t="shared" si="0"/>
        <v/>
      </c>
    </row>
    <row r="65" spans="15:19">
      <c r="O65" s="109"/>
      <c r="P65" s="109"/>
      <c r="Q65" s="109"/>
      <c r="R65" s="109" t="str">
        <f ca="1">IF(A65="","",VLOOKUP(MONTH(A65),Расчеты!$O$2:$P$13,2))</f>
        <v/>
      </c>
      <c r="S65" s="115" t="str">
        <f t="shared" si="0"/>
        <v/>
      </c>
    </row>
    <row r="66" spans="15:19">
      <c r="O66" s="109"/>
      <c r="P66" s="109"/>
      <c r="Q66" s="109"/>
      <c r="R66" s="109" t="str">
        <f ca="1">IF(A66="","",VLOOKUP(MONTH(A66),Расчеты!$O$2:$P$13,2))</f>
        <v/>
      </c>
      <c r="S66" s="115" t="str">
        <f t="shared" si="0"/>
        <v/>
      </c>
    </row>
    <row r="67" spans="15:19">
      <c r="O67" s="109"/>
      <c r="P67" s="109"/>
      <c r="Q67" s="109"/>
      <c r="R67" s="109" t="str">
        <f ca="1">IF(A67="","",VLOOKUP(MONTH(A67),Расчеты!$O$2:$P$13,2))</f>
        <v/>
      </c>
      <c r="S67" s="115" t="str">
        <f t="shared" si="0"/>
        <v/>
      </c>
    </row>
    <row r="68" spans="15:19">
      <c r="O68" s="109"/>
      <c r="P68" s="109"/>
      <c r="Q68" s="109"/>
      <c r="R68" s="109" t="str">
        <f ca="1">IF(A68="","",VLOOKUP(MONTH(A68),Расчеты!$O$2:$P$13,2))</f>
        <v/>
      </c>
      <c r="S68" s="115" t="str">
        <f t="shared" si="0"/>
        <v/>
      </c>
    </row>
    <row r="69" spans="15:19">
      <c r="O69" s="109"/>
      <c r="P69" s="109"/>
      <c r="Q69" s="109"/>
      <c r="R69" s="109" t="str">
        <f ca="1">IF(A69="","",VLOOKUP(MONTH(A69),Расчеты!$O$2:$P$13,2))</f>
        <v/>
      </c>
      <c r="S69" s="115" t="str">
        <f t="shared" si="0"/>
        <v/>
      </c>
    </row>
    <row r="70" spans="15:19">
      <c r="O70" s="109"/>
      <c r="P70" s="109"/>
      <c r="Q70" s="109"/>
      <c r="R70" s="109" t="str">
        <f ca="1">IF(A70="","",VLOOKUP(MONTH(A70),Расчеты!$O$2:$P$13,2))</f>
        <v/>
      </c>
      <c r="S70" s="115" t="str">
        <f t="shared" si="0"/>
        <v/>
      </c>
    </row>
    <row r="71" spans="15:19">
      <c r="O71" s="109"/>
      <c r="P71" s="109"/>
      <c r="Q71" s="109"/>
      <c r="R71" s="109" t="str">
        <f ca="1">IF(A71="","",VLOOKUP(MONTH(A71),Расчеты!$O$2:$P$13,2))</f>
        <v/>
      </c>
      <c r="S71" s="115" t="str">
        <f t="shared" si="0"/>
        <v/>
      </c>
    </row>
    <row r="72" spans="15:19">
      <c r="O72" s="109"/>
      <c r="P72" s="109"/>
      <c r="Q72" s="109"/>
      <c r="R72" s="109" t="str">
        <f ca="1">IF(A72="","",VLOOKUP(MONTH(A72),Расчеты!$O$2:$P$13,2))</f>
        <v/>
      </c>
      <c r="S72" s="115" t="str">
        <f t="shared" si="0"/>
        <v/>
      </c>
    </row>
    <row r="73" spans="15:19">
      <c r="O73" s="109"/>
      <c r="P73" s="109"/>
      <c r="Q73" s="109"/>
      <c r="R73" s="109" t="str">
        <f ca="1">IF(A73="","",VLOOKUP(MONTH(A73),Расчеты!$O$2:$P$13,2))</f>
        <v/>
      </c>
      <c r="S73" s="115" t="str">
        <f t="shared" si="0"/>
        <v/>
      </c>
    </row>
    <row r="74" spans="15:19">
      <c r="O74" s="109"/>
      <c r="P74" s="109"/>
      <c r="Q74" s="109"/>
      <c r="R74" s="109" t="str">
        <f ca="1">IF(A74="","",VLOOKUP(MONTH(A74),Расчеты!$O$2:$P$13,2))</f>
        <v/>
      </c>
      <c r="S74" s="115" t="str">
        <f t="shared" si="0"/>
        <v/>
      </c>
    </row>
    <row r="75" spans="15:19">
      <c r="O75" s="109"/>
      <c r="P75" s="109"/>
      <c r="Q75" s="109"/>
      <c r="R75" s="109" t="str">
        <f ca="1">IF(A75="","",VLOOKUP(MONTH(A75),Расчеты!$O$2:$P$13,2))</f>
        <v/>
      </c>
      <c r="S75" s="115" t="str">
        <f t="shared" si="0"/>
        <v/>
      </c>
    </row>
    <row r="76" spans="15:19">
      <c r="O76" s="109"/>
      <c r="P76" s="109"/>
      <c r="Q76" s="109"/>
      <c r="R76" s="109" t="str">
        <f ca="1">IF(A76="","",VLOOKUP(MONTH(A76),Расчеты!$O$2:$P$13,2))</f>
        <v/>
      </c>
      <c r="S76" s="115" t="str">
        <f t="shared" si="0"/>
        <v/>
      </c>
    </row>
    <row r="77" spans="15:19">
      <c r="O77" s="109"/>
      <c r="P77" s="109"/>
      <c r="Q77" s="109"/>
      <c r="R77" s="109" t="str">
        <f ca="1">IF(A77="","",VLOOKUP(MONTH(A77),Расчеты!$O$2:$P$13,2))</f>
        <v/>
      </c>
      <c r="S77" s="115" t="str">
        <f t="shared" si="0"/>
        <v/>
      </c>
    </row>
    <row r="78" spans="15:19">
      <c r="O78" s="109"/>
      <c r="P78" s="109"/>
      <c r="Q78" s="109"/>
      <c r="R78" s="109" t="str">
        <f ca="1">IF(A78="","",VLOOKUP(MONTH(A78),Расчеты!$O$2:$P$13,2))</f>
        <v/>
      </c>
      <c r="S78" s="115" t="str">
        <f t="shared" si="0"/>
        <v/>
      </c>
    </row>
    <row r="79" spans="15:19">
      <c r="O79" s="109"/>
      <c r="P79" s="109"/>
      <c r="Q79" s="109"/>
      <c r="R79" s="109" t="str">
        <f ca="1">IF(A79="","",VLOOKUP(MONTH(A79),Расчеты!$O$2:$P$13,2))</f>
        <v/>
      </c>
      <c r="S79" s="115" t="str">
        <f t="shared" si="0"/>
        <v/>
      </c>
    </row>
    <row r="80" spans="15:19">
      <c r="O80" s="109"/>
      <c r="P80" s="109"/>
      <c r="Q80" s="109"/>
      <c r="R80" s="109" t="str">
        <f ca="1">IF(A80="","",VLOOKUP(MONTH(A80),Расчеты!$O$2:$P$13,2))</f>
        <v/>
      </c>
      <c r="S80" s="115" t="str">
        <f t="shared" si="0"/>
        <v/>
      </c>
    </row>
    <row r="81" spans="15:19">
      <c r="O81" s="109"/>
      <c r="P81" s="109"/>
      <c r="Q81" s="109"/>
      <c r="R81" s="109" t="str">
        <f ca="1">IF(A81="","",VLOOKUP(MONTH(A81),Расчеты!$O$2:$P$13,2))</f>
        <v/>
      </c>
      <c r="S81" s="115" t="str">
        <f t="shared" si="0"/>
        <v/>
      </c>
    </row>
    <row r="82" spans="15:19">
      <c r="O82" s="109"/>
      <c r="P82" s="109"/>
      <c r="Q82" s="109"/>
      <c r="R82" s="109" t="str">
        <f ca="1">IF(A82="","",VLOOKUP(MONTH(A82),Расчеты!$O$2:$P$13,2))</f>
        <v/>
      </c>
      <c r="S82" s="115" t="str">
        <f t="shared" si="0"/>
        <v/>
      </c>
    </row>
    <row r="83" spans="15:19">
      <c r="O83" s="109"/>
      <c r="P83" s="109"/>
      <c r="Q83" s="109"/>
      <c r="R83" s="109" t="str">
        <f ca="1">IF(A83="","",VLOOKUP(MONTH(A83),Расчеты!$O$2:$P$13,2))</f>
        <v/>
      </c>
      <c r="S83" s="115" t="str">
        <f t="shared" si="0"/>
        <v/>
      </c>
    </row>
    <row r="84" spans="15:19">
      <c r="O84" s="109"/>
      <c r="P84" s="109"/>
      <c r="Q84" s="109"/>
      <c r="R84" s="109" t="str">
        <f ca="1">IF(A84="","",VLOOKUP(MONTH(A84),Расчеты!$O$2:$P$13,2))</f>
        <v/>
      </c>
      <c r="S84" s="115" t="str">
        <f t="shared" si="0"/>
        <v/>
      </c>
    </row>
    <row r="85" spans="15:19">
      <c r="O85" s="109"/>
      <c r="P85" s="109"/>
      <c r="Q85" s="109"/>
      <c r="R85" s="109" t="str">
        <f ca="1">IF(A85="","",VLOOKUP(MONTH(A85),Расчеты!$O$2:$P$13,2))</f>
        <v/>
      </c>
      <c r="S85" s="115" t="str">
        <f t="shared" si="0"/>
        <v/>
      </c>
    </row>
    <row r="86" spans="15:19">
      <c r="O86" s="109"/>
      <c r="P86" s="109"/>
      <c r="Q86" s="109"/>
      <c r="R86" s="109" t="str">
        <f ca="1">IF(A86="","",VLOOKUP(MONTH(A86),Расчеты!$O$2:$P$13,2))</f>
        <v/>
      </c>
      <c r="S86" s="115" t="str">
        <f t="shared" si="0"/>
        <v/>
      </c>
    </row>
    <row r="87" spans="15:19">
      <c r="O87" s="109"/>
      <c r="P87" s="109"/>
      <c r="Q87" s="109"/>
      <c r="R87" s="109" t="str">
        <f ca="1">IF(A87="","",VLOOKUP(MONTH(A87),Расчеты!$O$2:$P$13,2))</f>
        <v/>
      </c>
      <c r="S87" s="115" t="str">
        <f t="shared" si="0"/>
        <v/>
      </c>
    </row>
    <row r="88" spans="15:19">
      <c r="O88" s="109"/>
      <c r="P88" s="109"/>
      <c r="Q88" s="109"/>
      <c r="R88" s="109" t="str">
        <f ca="1">IF(A88="","",VLOOKUP(MONTH(A88),Расчеты!$O$2:$P$13,2))</f>
        <v/>
      </c>
      <c r="S88" s="115" t="str">
        <f t="shared" si="0"/>
        <v/>
      </c>
    </row>
    <row r="89" spans="15:19">
      <c r="O89" s="109"/>
      <c r="P89" s="109"/>
      <c r="Q89" s="109"/>
      <c r="R89" s="109" t="str">
        <f ca="1">IF(A89="","",VLOOKUP(MONTH(A89),Расчеты!$O$2:$P$13,2))</f>
        <v/>
      </c>
      <c r="S89" s="115" t="str">
        <f t="shared" si="0"/>
        <v/>
      </c>
    </row>
    <row r="90" spans="15:19">
      <c r="O90" s="109"/>
      <c r="P90" s="109"/>
      <c r="Q90" s="109"/>
      <c r="R90" s="109" t="str">
        <f ca="1">IF(A90="","",VLOOKUP(MONTH(A90),Расчеты!$O$2:$P$13,2))</f>
        <v/>
      </c>
      <c r="S90" s="115" t="str">
        <f t="shared" si="0"/>
        <v/>
      </c>
    </row>
    <row r="91" spans="15:19">
      <c r="O91" s="109"/>
      <c r="P91" s="109"/>
      <c r="Q91" s="109"/>
      <c r="R91" s="109" t="str">
        <f ca="1">IF(A91="","",VLOOKUP(MONTH(A91),Расчеты!$O$2:$P$13,2))</f>
        <v/>
      </c>
      <c r="S91" s="115" t="str">
        <f t="shared" si="0"/>
        <v/>
      </c>
    </row>
    <row r="92" spans="15:19">
      <c r="O92" s="109"/>
      <c r="P92" s="109"/>
      <c r="Q92" s="109"/>
      <c r="R92" s="109" t="str">
        <f ca="1">IF(A92="","",VLOOKUP(MONTH(A92),Расчеты!$O$2:$P$13,2))</f>
        <v/>
      </c>
      <c r="S92" s="115" t="str">
        <f t="shared" si="0"/>
        <v/>
      </c>
    </row>
    <row r="93" spans="15:19">
      <c r="O93" s="109"/>
      <c r="P93" s="109"/>
      <c r="Q93" s="109"/>
      <c r="R93" s="109" t="str">
        <f ca="1">IF(A93="","",VLOOKUP(MONTH(A93),Расчеты!$O$2:$P$13,2))</f>
        <v/>
      </c>
      <c r="S93" s="115" t="str">
        <f t="shared" si="0"/>
        <v/>
      </c>
    </row>
    <row r="94" spans="15:19">
      <c r="O94" s="109"/>
      <c r="P94" s="109"/>
      <c r="Q94" s="109"/>
      <c r="R94" s="109" t="str">
        <f ca="1">IF(A94="","",VLOOKUP(MONTH(A94),Расчеты!$O$2:$P$13,2))</f>
        <v/>
      </c>
      <c r="S94" s="115" t="str">
        <f t="shared" si="0"/>
        <v/>
      </c>
    </row>
    <row r="95" spans="15:19">
      <c r="O95" s="109"/>
      <c r="P95" s="109"/>
      <c r="Q95" s="109"/>
      <c r="R95" s="109" t="str">
        <f ca="1">IF(A95="","",VLOOKUP(MONTH(A95),Расчеты!$O$2:$P$13,2))</f>
        <v/>
      </c>
      <c r="S95" s="115" t="str">
        <f t="shared" si="0"/>
        <v/>
      </c>
    </row>
    <row r="96" spans="15:19">
      <c r="O96" s="109"/>
      <c r="P96" s="109"/>
      <c r="Q96" s="109"/>
      <c r="R96" s="109" t="str">
        <f ca="1">IF(A96="","",VLOOKUP(MONTH(A96),Расчеты!$O$2:$P$13,2))</f>
        <v/>
      </c>
      <c r="S96" s="115" t="str">
        <f t="shared" si="0"/>
        <v/>
      </c>
    </row>
    <row r="97" spans="15:19">
      <c r="O97" s="109"/>
      <c r="P97" s="109"/>
      <c r="Q97" s="109"/>
      <c r="R97" s="109" t="str">
        <f ca="1">IF(A97="","",VLOOKUP(MONTH(A97),Расчеты!$O$2:$P$13,2))</f>
        <v/>
      </c>
      <c r="S97" s="115" t="str">
        <f t="shared" si="0"/>
        <v/>
      </c>
    </row>
    <row r="98" spans="15:19">
      <c r="O98" s="109"/>
      <c r="P98" s="109"/>
      <c r="Q98" s="109"/>
      <c r="R98" s="109" t="str">
        <f ca="1">IF(A98="","",VLOOKUP(MONTH(A98),Расчеты!$O$2:$P$13,2))</f>
        <v/>
      </c>
      <c r="S98" s="115" t="str">
        <f t="shared" si="0"/>
        <v/>
      </c>
    </row>
    <row r="99" spans="15:19">
      <c r="O99" s="109"/>
      <c r="P99" s="109"/>
      <c r="Q99" s="109"/>
      <c r="R99" s="109" t="str">
        <f ca="1">IF(A99="","",VLOOKUP(MONTH(A99),Расчеты!$O$2:$P$13,2))</f>
        <v/>
      </c>
      <c r="S99" s="115" t="str">
        <f t="shared" si="0"/>
        <v/>
      </c>
    </row>
    <row r="100" spans="15:19">
      <c r="O100" s="109"/>
      <c r="P100" s="109"/>
      <c r="Q100" s="109"/>
      <c r="R100" s="109" t="str">
        <f ca="1">IF(A100="","",VLOOKUP(MONTH(A100),Расчеты!$O$2:$P$13,2))</f>
        <v/>
      </c>
      <c r="S100" s="115" t="str">
        <f t="shared" si="0"/>
        <v/>
      </c>
    </row>
  </sheetData>
  <customSheetViews>
    <customSheetView guid="{D930F80A-27B5-46CB-971C-1CFCBAC2999A}" filter="1" showAutoFilter="1">
      <pageMargins left="0.7" right="0.7" top="0.75" bottom="0.75" header="0.3" footer="0.3"/>
      <autoFilter ref="B1:T1"/>
    </customSheetView>
  </customSheetViews>
  <phoneticPr fontId="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Q500"/>
  <sheetViews>
    <sheetView workbookViewId="0"/>
  </sheetViews>
  <sheetFormatPr defaultColWidth="14.42578125" defaultRowHeight="15" customHeight="1"/>
  <cols>
    <col min="1" max="1" width="10.7109375" customWidth="1"/>
    <col min="2" max="2" width="15.5703125" customWidth="1"/>
    <col min="3" max="4" width="6.140625" customWidth="1"/>
    <col min="5" max="5" width="19" customWidth="1"/>
    <col min="6" max="6" width="12" customWidth="1"/>
    <col min="7" max="7" width="13.28515625" customWidth="1"/>
    <col min="8" max="8" width="18.140625" customWidth="1"/>
    <col min="9" max="9" width="26.28515625" customWidth="1"/>
    <col min="10" max="10" width="14.42578125" customWidth="1"/>
    <col min="11" max="12" width="13.5703125" customWidth="1"/>
    <col min="13" max="13" width="11.85546875" customWidth="1"/>
    <col min="14" max="14" width="12" customWidth="1"/>
    <col min="15" max="16" width="8.85546875" customWidth="1"/>
    <col min="17" max="17" width="5.28515625" customWidth="1"/>
  </cols>
  <sheetData>
    <row r="1" spans="1:17">
      <c r="A1" s="110" t="s">
        <v>12889</v>
      </c>
      <c r="B1" s="110" t="s">
        <v>12921</v>
      </c>
      <c r="C1" s="110" t="s">
        <v>12887</v>
      </c>
      <c r="D1" s="110" t="s">
        <v>12922</v>
      </c>
      <c r="E1" s="110" t="s">
        <v>12923</v>
      </c>
      <c r="F1" s="112" t="s">
        <v>12924</v>
      </c>
      <c r="G1" s="113" t="s">
        <v>12925</v>
      </c>
      <c r="H1" s="113" t="s">
        <v>12926</v>
      </c>
      <c r="I1" s="113" t="s">
        <v>12927</v>
      </c>
      <c r="J1" s="113" t="s">
        <v>12928</v>
      </c>
      <c r="K1" s="114" t="s">
        <v>12929</v>
      </c>
      <c r="L1" s="114" t="s">
        <v>12932</v>
      </c>
      <c r="M1" s="114" t="s">
        <v>12933</v>
      </c>
      <c r="N1" s="114" t="s">
        <v>12909</v>
      </c>
      <c r="O1" s="114" t="s">
        <v>12910</v>
      </c>
      <c r="P1" s="97" t="s">
        <v>12938</v>
      </c>
      <c r="Q1" s="114" t="s">
        <v>12963</v>
      </c>
    </row>
    <row r="2" spans="1:17">
      <c r="A2" s="100" t="e">
        <f ca="1">IFERROR(__xludf.DUMMYFUNCTION("FILTER('Журнал Закупок'!A:Q,'Журнал Закупок'!F:F=#REF!)"),"#N/A")</f>
        <v>#NAME?</v>
      </c>
      <c r="M2" s="109"/>
      <c r="N2" s="109"/>
      <c r="O2" s="109"/>
      <c r="P2" s="109" t="e">
        <f ca="1">IF(A2="","",VLOOKUP(MONTH(A2),Расчеты!$O$2:$P$13,2))</f>
        <v>#NAME?</v>
      </c>
      <c r="Q2" s="115" t="e">
        <f t="shared" ref="Q2:Q65" ca="1" si="0">IF(A2="","",YEAR(A2))</f>
        <v>#NAME?</v>
      </c>
    </row>
    <row r="3" spans="1:17">
      <c r="M3" s="109"/>
      <c r="N3" s="109"/>
      <c r="O3" s="109"/>
      <c r="P3" s="109" t="str">
        <f ca="1">IF(A3="","",VLOOKUP(MONTH(A3),Расчеты!$O$2:$P$13,2))</f>
        <v/>
      </c>
      <c r="Q3" s="115" t="str">
        <f t="shared" si="0"/>
        <v/>
      </c>
    </row>
    <row r="4" spans="1:17">
      <c r="M4" s="109"/>
      <c r="N4" s="109"/>
      <c r="O4" s="109"/>
      <c r="P4" s="109" t="str">
        <f ca="1">IF(A4="","",VLOOKUP(MONTH(A4),Расчеты!$O$2:$P$13,2))</f>
        <v/>
      </c>
      <c r="Q4" s="115" t="str">
        <f t="shared" si="0"/>
        <v/>
      </c>
    </row>
    <row r="5" spans="1:17">
      <c r="M5" s="109"/>
      <c r="N5" s="109"/>
      <c r="O5" s="109"/>
      <c r="P5" s="109" t="str">
        <f ca="1">IF(A5="","",VLOOKUP(MONTH(A5),Расчеты!$O$2:$P$13,2))</f>
        <v/>
      </c>
      <c r="Q5" s="115" t="str">
        <f t="shared" si="0"/>
        <v/>
      </c>
    </row>
    <row r="6" spans="1:17">
      <c r="M6" s="109"/>
      <c r="N6" s="109"/>
      <c r="O6" s="109"/>
      <c r="P6" s="109" t="str">
        <f ca="1">IF(A6="","",VLOOKUP(MONTH(A6),Расчеты!$O$2:$P$13,2))</f>
        <v/>
      </c>
      <c r="Q6" s="115" t="str">
        <f t="shared" si="0"/>
        <v/>
      </c>
    </row>
    <row r="7" spans="1:17">
      <c r="M7" s="109"/>
      <c r="N7" s="109"/>
      <c r="O7" s="109"/>
      <c r="P7" s="109" t="str">
        <f ca="1">IF(A7="","",VLOOKUP(MONTH(A7),Расчеты!$O$2:$P$13,2))</f>
        <v/>
      </c>
      <c r="Q7" s="115" t="str">
        <f t="shared" si="0"/>
        <v/>
      </c>
    </row>
    <row r="8" spans="1:17">
      <c r="M8" s="109"/>
      <c r="N8" s="109"/>
      <c r="O8" s="109"/>
      <c r="P8" s="109" t="str">
        <f ca="1">IF(A8="","",VLOOKUP(MONTH(A8),Расчеты!$O$2:$P$13,2))</f>
        <v/>
      </c>
      <c r="Q8" s="115" t="str">
        <f t="shared" si="0"/>
        <v/>
      </c>
    </row>
    <row r="9" spans="1:17">
      <c r="M9" s="109"/>
      <c r="N9" s="109"/>
      <c r="O9" s="109"/>
      <c r="P9" s="109" t="str">
        <f ca="1">IF(A9="","",VLOOKUP(MONTH(A9),Расчеты!$O$2:$P$13,2))</f>
        <v/>
      </c>
      <c r="Q9" s="115" t="str">
        <f t="shared" si="0"/>
        <v/>
      </c>
    </row>
    <row r="10" spans="1:17">
      <c r="M10" s="109"/>
      <c r="N10" s="109"/>
      <c r="O10" s="109"/>
      <c r="P10" s="109" t="str">
        <f ca="1">IF(A10="","",VLOOKUP(MONTH(A10),Расчеты!$O$2:$P$13,2))</f>
        <v/>
      </c>
      <c r="Q10" s="115" t="str">
        <f t="shared" si="0"/>
        <v/>
      </c>
    </row>
    <row r="11" spans="1:17">
      <c r="M11" s="109"/>
      <c r="N11" s="109"/>
      <c r="O11" s="109"/>
      <c r="P11" s="109" t="str">
        <f ca="1">IF(A11="","",VLOOKUP(MONTH(A11),Расчеты!$O$2:$P$13,2))</f>
        <v/>
      </c>
      <c r="Q11" s="115" t="str">
        <f t="shared" si="0"/>
        <v/>
      </c>
    </row>
    <row r="12" spans="1:17">
      <c r="M12" s="109"/>
      <c r="N12" s="109"/>
      <c r="O12" s="109"/>
      <c r="P12" s="109" t="str">
        <f ca="1">IF(A12="","",VLOOKUP(MONTH(A12),Расчеты!$O$2:$P$13,2))</f>
        <v/>
      </c>
      <c r="Q12" s="115" t="str">
        <f t="shared" si="0"/>
        <v/>
      </c>
    </row>
    <row r="13" spans="1:17">
      <c r="M13" s="109"/>
      <c r="N13" s="109"/>
      <c r="O13" s="109"/>
      <c r="P13" s="109" t="str">
        <f ca="1">IF(A13="","",VLOOKUP(MONTH(A13),Расчеты!$O$2:$P$13,2))</f>
        <v/>
      </c>
      <c r="Q13" s="115" t="str">
        <f t="shared" si="0"/>
        <v/>
      </c>
    </row>
    <row r="14" spans="1:17">
      <c r="M14" s="109"/>
      <c r="N14" s="109"/>
      <c r="O14" s="109"/>
      <c r="P14" s="109" t="str">
        <f ca="1">IF(A14="","",VLOOKUP(MONTH(A14),Расчеты!$O$2:$P$13,2))</f>
        <v/>
      </c>
      <c r="Q14" s="115" t="str">
        <f t="shared" si="0"/>
        <v/>
      </c>
    </row>
    <row r="15" spans="1:17">
      <c r="M15" s="109"/>
      <c r="N15" s="109"/>
      <c r="O15" s="109"/>
      <c r="P15" s="109" t="str">
        <f ca="1">IF(A15="","",VLOOKUP(MONTH(A15),Расчеты!$O$2:$P$13,2))</f>
        <v/>
      </c>
      <c r="Q15" s="115" t="str">
        <f t="shared" si="0"/>
        <v/>
      </c>
    </row>
    <row r="16" spans="1:17">
      <c r="M16" s="109"/>
      <c r="N16" s="109"/>
      <c r="O16" s="109"/>
      <c r="P16" s="109" t="str">
        <f ca="1">IF(A16="","",VLOOKUP(MONTH(A16),Расчеты!$O$2:$P$13,2))</f>
        <v/>
      </c>
      <c r="Q16" s="115" t="str">
        <f t="shared" si="0"/>
        <v/>
      </c>
    </row>
    <row r="17" spans="13:17">
      <c r="M17" s="109"/>
      <c r="N17" s="109"/>
      <c r="O17" s="109"/>
      <c r="P17" s="109" t="str">
        <f ca="1">IF(A17="","",VLOOKUP(MONTH(A17),Расчеты!$O$2:$P$13,2))</f>
        <v/>
      </c>
      <c r="Q17" s="115" t="str">
        <f t="shared" si="0"/>
        <v/>
      </c>
    </row>
    <row r="18" spans="13:17">
      <c r="M18" s="109"/>
      <c r="N18" s="109"/>
      <c r="O18" s="109"/>
      <c r="P18" s="109" t="str">
        <f ca="1">IF(A18="","",VLOOKUP(MONTH(A18),Расчеты!$O$2:$P$13,2))</f>
        <v/>
      </c>
      <c r="Q18" s="115" t="str">
        <f t="shared" si="0"/>
        <v/>
      </c>
    </row>
    <row r="19" spans="13:17">
      <c r="M19" s="109"/>
      <c r="N19" s="109"/>
      <c r="O19" s="109"/>
      <c r="P19" s="109" t="str">
        <f ca="1">IF(A19="","",VLOOKUP(MONTH(A19),Расчеты!$O$2:$P$13,2))</f>
        <v/>
      </c>
      <c r="Q19" s="115" t="str">
        <f t="shared" si="0"/>
        <v/>
      </c>
    </row>
    <row r="20" spans="13:17">
      <c r="M20" s="109"/>
      <c r="N20" s="109"/>
      <c r="O20" s="109"/>
      <c r="P20" s="109" t="str">
        <f ca="1">IF(A20="","",VLOOKUP(MONTH(A20),Расчеты!$O$2:$P$13,2))</f>
        <v/>
      </c>
      <c r="Q20" s="115" t="str">
        <f t="shared" si="0"/>
        <v/>
      </c>
    </row>
    <row r="21" spans="13:17">
      <c r="M21" s="109"/>
      <c r="N21" s="109"/>
      <c r="O21" s="109"/>
      <c r="P21" s="109" t="str">
        <f ca="1">IF(A21="","",VLOOKUP(MONTH(A21),Расчеты!$O$2:$P$13,2))</f>
        <v/>
      </c>
      <c r="Q21" s="115" t="str">
        <f t="shared" si="0"/>
        <v/>
      </c>
    </row>
    <row r="22" spans="13:17">
      <c r="M22" s="109"/>
      <c r="N22" s="109"/>
      <c r="O22" s="109"/>
      <c r="P22" s="109" t="str">
        <f ca="1">IF(A22="","",VLOOKUP(MONTH(A22),Расчеты!$O$2:$P$13,2))</f>
        <v/>
      </c>
      <c r="Q22" s="115" t="str">
        <f t="shared" si="0"/>
        <v/>
      </c>
    </row>
    <row r="23" spans="13:17">
      <c r="M23" s="109"/>
      <c r="N23" s="109"/>
      <c r="O23" s="109"/>
      <c r="P23" s="109" t="str">
        <f ca="1">IF(A23="","",VLOOKUP(MONTH(A23),Расчеты!$O$2:$P$13,2))</f>
        <v/>
      </c>
      <c r="Q23" s="115" t="str">
        <f t="shared" si="0"/>
        <v/>
      </c>
    </row>
    <row r="24" spans="13:17">
      <c r="M24" s="109"/>
      <c r="N24" s="109"/>
      <c r="O24" s="109"/>
      <c r="P24" s="109" t="str">
        <f ca="1">IF(A24="","",VLOOKUP(MONTH(A24),Расчеты!$O$2:$P$13,2))</f>
        <v/>
      </c>
      <c r="Q24" s="115" t="str">
        <f t="shared" si="0"/>
        <v/>
      </c>
    </row>
    <row r="25" spans="13:17">
      <c r="M25" s="109"/>
      <c r="N25" s="109"/>
      <c r="O25" s="109"/>
      <c r="P25" s="109" t="str">
        <f ca="1">IF(A25="","",VLOOKUP(MONTH(A25),Расчеты!$O$2:$P$13,2))</f>
        <v/>
      </c>
      <c r="Q25" s="115" t="str">
        <f t="shared" si="0"/>
        <v/>
      </c>
    </row>
    <row r="26" spans="13:17">
      <c r="M26" s="109"/>
      <c r="N26" s="109"/>
      <c r="O26" s="109"/>
      <c r="P26" s="109" t="str">
        <f ca="1">IF(A26="","",VLOOKUP(MONTH(A26),Расчеты!$O$2:$P$13,2))</f>
        <v/>
      </c>
      <c r="Q26" s="115" t="str">
        <f t="shared" si="0"/>
        <v/>
      </c>
    </row>
    <row r="27" spans="13:17">
      <c r="M27" s="109"/>
      <c r="N27" s="109"/>
      <c r="O27" s="109"/>
      <c r="P27" s="109" t="str">
        <f ca="1">IF(A27="","",VLOOKUP(MONTH(A27),Расчеты!$O$2:$P$13,2))</f>
        <v/>
      </c>
      <c r="Q27" s="115" t="str">
        <f t="shared" si="0"/>
        <v/>
      </c>
    </row>
    <row r="28" spans="13:17">
      <c r="M28" s="109"/>
      <c r="N28" s="109"/>
      <c r="O28" s="109"/>
      <c r="P28" s="109" t="str">
        <f ca="1">IF(A28="","",VLOOKUP(MONTH(A28),Расчеты!$O$2:$P$13,2))</f>
        <v/>
      </c>
      <c r="Q28" s="115" t="str">
        <f t="shared" si="0"/>
        <v/>
      </c>
    </row>
    <row r="29" spans="13:17">
      <c r="M29" s="109"/>
      <c r="N29" s="109"/>
      <c r="O29" s="109"/>
      <c r="P29" s="109" t="str">
        <f ca="1">IF(A29="","",VLOOKUP(MONTH(A29),Расчеты!$O$2:$P$13,2))</f>
        <v/>
      </c>
      <c r="Q29" s="115" t="str">
        <f t="shared" si="0"/>
        <v/>
      </c>
    </row>
    <row r="30" spans="13:17">
      <c r="M30" s="109"/>
      <c r="N30" s="109"/>
      <c r="O30" s="109"/>
      <c r="P30" s="109" t="str">
        <f ca="1">IF(A30="","",VLOOKUP(MONTH(A30),Расчеты!$O$2:$P$13,2))</f>
        <v/>
      </c>
      <c r="Q30" s="115" t="str">
        <f t="shared" si="0"/>
        <v/>
      </c>
    </row>
    <row r="31" spans="13:17">
      <c r="M31" s="109"/>
      <c r="N31" s="109"/>
      <c r="O31" s="109"/>
      <c r="P31" s="109" t="str">
        <f ca="1">IF(A31="","",VLOOKUP(MONTH(A31),Расчеты!$O$2:$P$13,2))</f>
        <v/>
      </c>
      <c r="Q31" s="115" t="str">
        <f t="shared" si="0"/>
        <v/>
      </c>
    </row>
    <row r="32" spans="13:17">
      <c r="M32" s="109"/>
      <c r="N32" s="109"/>
      <c r="O32" s="109"/>
      <c r="P32" s="109" t="str">
        <f ca="1">IF(A32="","",VLOOKUP(MONTH(A32),Расчеты!$O$2:$P$13,2))</f>
        <v/>
      </c>
      <c r="Q32" s="115" t="str">
        <f t="shared" si="0"/>
        <v/>
      </c>
    </row>
    <row r="33" spans="13:17">
      <c r="M33" s="109"/>
      <c r="N33" s="109"/>
      <c r="O33" s="109"/>
      <c r="P33" s="109" t="str">
        <f ca="1">IF(A33="","",VLOOKUP(MONTH(A33),Расчеты!$O$2:$P$13,2))</f>
        <v/>
      </c>
      <c r="Q33" s="115" t="str">
        <f t="shared" si="0"/>
        <v/>
      </c>
    </row>
    <row r="34" spans="13:17">
      <c r="M34" s="109"/>
      <c r="N34" s="109"/>
      <c r="O34" s="109"/>
      <c r="P34" s="109" t="str">
        <f ca="1">IF(A34="","",VLOOKUP(MONTH(A34),Расчеты!$O$2:$P$13,2))</f>
        <v/>
      </c>
      <c r="Q34" s="115" t="str">
        <f t="shared" si="0"/>
        <v/>
      </c>
    </row>
    <row r="35" spans="13:17">
      <c r="M35" s="109"/>
      <c r="N35" s="109"/>
      <c r="O35" s="109"/>
      <c r="P35" s="109" t="str">
        <f ca="1">IF(A35="","",VLOOKUP(MONTH(A35),Расчеты!$O$2:$P$13,2))</f>
        <v/>
      </c>
      <c r="Q35" s="115" t="str">
        <f t="shared" si="0"/>
        <v/>
      </c>
    </row>
    <row r="36" spans="13:17">
      <c r="M36" s="109"/>
      <c r="N36" s="109"/>
      <c r="O36" s="109"/>
      <c r="P36" s="109" t="str">
        <f ca="1">IF(A36="","",VLOOKUP(MONTH(A36),Расчеты!$O$2:$P$13,2))</f>
        <v/>
      </c>
      <c r="Q36" s="115" t="str">
        <f t="shared" si="0"/>
        <v/>
      </c>
    </row>
    <row r="37" spans="13:17">
      <c r="M37" s="109"/>
      <c r="N37" s="109"/>
      <c r="O37" s="109"/>
      <c r="P37" s="109" t="str">
        <f ca="1">IF(A37="","",VLOOKUP(MONTH(A37),Расчеты!$O$2:$P$13,2))</f>
        <v/>
      </c>
      <c r="Q37" s="115" t="str">
        <f t="shared" si="0"/>
        <v/>
      </c>
    </row>
    <row r="38" spans="13:17">
      <c r="M38" s="109"/>
      <c r="N38" s="109"/>
      <c r="O38" s="109"/>
      <c r="P38" s="109" t="str">
        <f ca="1">IF(A38="","",VLOOKUP(MONTH(A38),Расчеты!$O$2:$P$13,2))</f>
        <v/>
      </c>
      <c r="Q38" s="115" t="str">
        <f t="shared" si="0"/>
        <v/>
      </c>
    </row>
    <row r="39" spans="13:17">
      <c r="M39" s="109"/>
      <c r="N39" s="109"/>
      <c r="O39" s="109"/>
      <c r="P39" s="109" t="str">
        <f ca="1">IF(A39="","",VLOOKUP(MONTH(A39),Расчеты!$O$2:$P$13,2))</f>
        <v/>
      </c>
      <c r="Q39" s="115" t="str">
        <f t="shared" si="0"/>
        <v/>
      </c>
    </row>
    <row r="40" spans="13:17">
      <c r="M40" s="109"/>
      <c r="N40" s="109"/>
      <c r="O40" s="109"/>
      <c r="P40" s="109" t="str">
        <f ca="1">IF(A40="","",VLOOKUP(MONTH(A40),Расчеты!$O$2:$P$13,2))</f>
        <v/>
      </c>
      <c r="Q40" s="115" t="str">
        <f t="shared" si="0"/>
        <v/>
      </c>
    </row>
    <row r="41" spans="13:17">
      <c r="M41" s="109"/>
      <c r="N41" s="109"/>
      <c r="O41" s="109"/>
      <c r="P41" s="109" t="str">
        <f ca="1">IF(A41="","",VLOOKUP(MONTH(A41),Расчеты!$O$2:$P$13,2))</f>
        <v/>
      </c>
      <c r="Q41" s="115" t="str">
        <f t="shared" si="0"/>
        <v/>
      </c>
    </row>
    <row r="42" spans="13:17">
      <c r="M42" s="109"/>
      <c r="N42" s="109"/>
      <c r="O42" s="109"/>
      <c r="P42" s="109" t="str">
        <f ca="1">IF(A42="","",VLOOKUP(MONTH(A42),Расчеты!$O$2:$P$13,2))</f>
        <v/>
      </c>
      <c r="Q42" s="115" t="str">
        <f t="shared" si="0"/>
        <v/>
      </c>
    </row>
    <row r="43" spans="13:17">
      <c r="M43" s="109"/>
      <c r="N43" s="109"/>
      <c r="O43" s="109"/>
      <c r="P43" s="109" t="str">
        <f ca="1">IF(A43="","",VLOOKUP(MONTH(A43),Расчеты!$O$2:$P$13,2))</f>
        <v/>
      </c>
      <c r="Q43" s="115" t="str">
        <f t="shared" si="0"/>
        <v/>
      </c>
    </row>
    <row r="44" spans="13:17">
      <c r="M44" s="109"/>
      <c r="N44" s="109"/>
      <c r="O44" s="109"/>
      <c r="P44" s="109" t="str">
        <f ca="1">IF(A44="","",VLOOKUP(MONTH(A44),Расчеты!$O$2:$P$13,2))</f>
        <v/>
      </c>
      <c r="Q44" s="115" t="str">
        <f t="shared" si="0"/>
        <v/>
      </c>
    </row>
    <row r="45" spans="13:17">
      <c r="M45" s="109"/>
      <c r="N45" s="109"/>
      <c r="O45" s="109"/>
      <c r="P45" s="109" t="str">
        <f ca="1">IF(A45="","",VLOOKUP(MONTH(A45),Расчеты!$O$2:$P$13,2))</f>
        <v/>
      </c>
      <c r="Q45" s="115" t="str">
        <f t="shared" si="0"/>
        <v/>
      </c>
    </row>
    <row r="46" spans="13:17">
      <c r="M46" s="109"/>
      <c r="N46" s="109"/>
      <c r="O46" s="109"/>
      <c r="P46" s="109" t="str">
        <f ca="1">IF(A46="","",VLOOKUP(MONTH(A46),Расчеты!$O$2:$P$13,2))</f>
        <v/>
      </c>
      <c r="Q46" s="115" t="str">
        <f t="shared" si="0"/>
        <v/>
      </c>
    </row>
    <row r="47" spans="13:17">
      <c r="M47" s="109"/>
      <c r="N47" s="109"/>
      <c r="O47" s="109"/>
      <c r="P47" s="109" t="str">
        <f ca="1">IF(A47="","",VLOOKUP(MONTH(A47),Расчеты!$O$2:$P$13,2))</f>
        <v/>
      </c>
      <c r="Q47" s="115" t="str">
        <f t="shared" si="0"/>
        <v/>
      </c>
    </row>
    <row r="48" spans="13:17">
      <c r="M48" s="109"/>
      <c r="N48" s="109"/>
      <c r="O48" s="109"/>
      <c r="P48" s="109" t="str">
        <f ca="1">IF(A48="","",VLOOKUP(MONTH(A48),Расчеты!$O$2:$P$13,2))</f>
        <v/>
      </c>
      <c r="Q48" s="115" t="str">
        <f t="shared" si="0"/>
        <v/>
      </c>
    </row>
    <row r="49" spans="13:17">
      <c r="M49" s="109"/>
      <c r="N49" s="109"/>
      <c r="O49" s="109"/>
      <c r="P49" s="109" t="str">
        <f ca="1">IF(A49="","",VLOOKUP(MONTH(A49),Расчеты!$O$2:$P$13,2))</f>
        <v/>
      </c>
      <c r="Q49" s="115" t="str">
        <f t="shared" si="0"/>
        <v/>
      </c>
    </row>
    <row r="50" spans="13:17">
      <c r="M50" s="109"/>
      <c r="N50" s="109"/>
      <c r="O50" s="109"/>
      <c r="P50" s="109" t="str">
        <f ca="1">IF(A50="","",VLOOKUP(MONTH(A50),Расчеты!$O$2:$P$13,2))</f>
        <v/>
      </c>
      <c r="Q50" s="115" t="str">
        <f t="shared" si="0"/>
        <v/>
      </c>
    </row>
    <row r="51" spans="13:17">
      <c r="M51" s="109"/>
      <c r="N51" s="109"/>
      <c r="O51" s="109"/>
      <c r="P51" s="109" t="str">
        <f ca="1">IF(A51="","",VLOOKUP(MONTH(A51),Расчеты!$O$2:$P$13,2))</f>
        <v/>
      </c>
      <c r="Q51" s="115" t="str">
        <f t="shared" si="0"/>
        <v/>
      </c>
    </row>
    <row r="52" spans="13:17">
      <c r="M52" s="109"/>
      <c r="N52" s="109"/>
      <c r="O52" s="109"/>
      <c r="P52" s="109" t="str">
        <f ca="1">IF(A52="","",VLOOKUP(MONTH(A52),Расчеты!$O$2:$P$13,2))</f>
        <v/>
      </c>
      <c r="Q52" s="115" t="str">
        <f t="shared" si="0"/>
        <v/>
      </c>
    </row>
    <row r="53" spans="13:17">
      <c r="M53" s="109"/>
      <c r="N53" s="109"/>
      <c r="O53" s="109"/>
      <c r="P53" s="109" t="str">
        <f ca="1">IF(A53="","",VLOOKUP(MONTH(A53),Расчеты!$O$2:$P$13,2))</f>
        <v/>
      </c>
      <c r="Q53" s="115" t="str">
        <f t="shared" si="0"/>
        <v/>
      </c>
    </row>
    <row r="54" spans="13:17">
      <c r="M54" s="109"/>
      <c r="N54" s="109"/>
      <c r="O54" s="109"/>
      <c r="P54" s="109" t="str">
        <f ca="1">IF(A54="","",VLOOKUP(MONTH(A54),Расчеты!$O$2:$P$13,2))</f>
        <v/>
      </c>
      <c r="Q54" s="115" t="str">
        <f t="shared" si="0"/>
        <v/>
      </c>
    </row>
    <row r="55" spans="13:17">
      <c r="M55" s="109"/>
      <c r="N55" s="109"/>
      <c r="O55" s="109"/>
      <c r="P55" s="109" t="str">
        <f ca="1">IF(A55="","",VLOOKUP(MONTH(A55),Расчеты!$O$2:$P$13,2))</f>
        <v/>
      </c>
      <c r="Q55" s="115" t="str">
        <f t="shared" si="0"/>
        <v/>
      </c>
    </row>
    <row r="56" spans="13:17">
      <c r="M56" s="109"/>
      <c r="N56" s="109"/>
      <c r="O56" s="109"/>
      <c r="P56" s="109" t="str">
        <f ca="1">IF(A56="","",VLOOKUP(MONTH(A56),Расчеты!$O$2:$P$13,2))</f>
        <v/>
      </c>
      <c r="Q56" s="115" t="str">
        <f t="shared" si="0"/>
        <v/>
      </c>
    </row>
    <row r="57" spans="13:17">
      <c r="M57" s="109"/>
      <c r="N57" s="109"/>
      <c r="O57" s="109"/>
      <c r="P57" s="109" t="str">
        <f ca="1">IF(A57="","",VLOOKUP(MONTH(A57),Расчеты!$O$2:$P$13,2))</f>
        <v/>
      </c>
      <c r="Q57" s="115" t="str">
        <f t="shared" si="0"/>
        <v/>
      </c>
    </row>
    <row r="58" spans="13:17">
      <c r="M58" s="109"/>
      <c r="N58" s="109"/>
      <c r="O58" s="109"/>
      <c r="P58" s="109" t="str">
        <f ca="1">IF(A58="","",VLOOKUP(MONTH(A58),Расчеты!$O$2:$P$13,2))</f>
        <v/>
      </c>
      <c r="Q58" s="115" t="str">
        <f t="shared" si="0"/>
        <v/>
      </c>
    </row>
    <row r="59" spans="13:17">
      <c r="M59" s="109"/>
      <c r="N59" s="109"/>
      <c r="O59" s="109"/>
      <c r="P59" s="109" t="str">
        <f ca="1">IF(A59="","",VLOOKUP(MONTH(A59),Расчеты!$O$2:$P$13,2))</f>
        <v/>
      </c>
      <c r="Q59" s="115" t="str">
        <f t="shared" si="0"/>
        <v/>
      </c>
    </row>
    <row r="60" spans="13:17">
      <c r="M60" s="109"/>
      <c r="N60" s="109"/>
      <c r="O60" s="109"/>
      <c r="P60" s="109" t="str">
        <f ca="1">IF(A60="","",VLOOKUP(MONTH(A60),Расчеты!$O$2:$P$13,2))</f>
        <v/>
      </c>
      <c r="Q60" s="115" t="str">
        <f t="shared" si="0"/>
        <v/>
      </c>
    </row>
    <row r="61" spans="13:17">
      <c r="M61" s="109"/>
      <c r="N61" s="109"/>
      <c r="O61" s="109"/>
      <c r="P61" s="109" t="str">
        <f ca="1">IF(A61="","",VLOOKUP(MONTH(A61),Расчеты!$O$2:$P$13,2))</f>
        <v/>
      </c>
      <c r="Q61" s="115" t="str">
        <f t="shared" si="0"/>
        <v/>
      </c>
    </row>
    <row r="62" spans="13:17">
      <c r="M62" s="109"/>
      <c r="N62" s="109"/>
      <c r="O62" s="109"/>
      <c r="P62" s="109" t="str">
        <f ca="1">IF(A62="","",VLOOKUP(MONTH(A62),Расчеты!$O$2:$P$13,2))</f>
        <v/>
      </c>
      <c r="Q62" s="115" t="str">
        <f t="shared" si="0"/>
        <v/>
      </c>
    </row>
    <row r="63" spans="13:17">
      <c r="M63" s="109"/>
      <c r="N63" s="109"/>
      <c r="O63" s="109"/>
      <c r="P63" s="109" t="str">
        <f ca="1">IF(A63="","",VLOOKUP(MONTH(A63),Расчеты!$O$2:$P$13,2))</f>
        <v/>
      </c>
      <c r="Q63" s="115" t="str">
        <f t="shared" si="0"/>
        <v/>
      </c>
    </row>
    <row r="64" spans="13:17">
      <c r="M64" s="109"/>
      <c r="N64" s="109"/>
      <c r="O64" s="109"/>
      <c r="P64" s="109" t="str">
        <f ca="1">IF(A64="","",VLOOKUP(MONTH(A64),Расчеты!$O$2:$P$13,2))</f>
        <v/>
      </c>
      <c r="Q64" s="115" t="str">
        <f t="shared" si="0"/>
        <v/>
      </c>
    </row>
    <row r="65" spans="13:17">
      <c r="M65" s="109"/>
      <c r="N65" s="109"/>
      <c r="O65" s="109"/>
      <c r="P65" s="109" t="str">
        <f ca="1">IF(A65="","",VLOOKUP(MONTH(A65),Расчеты!$O$2:$P$13,2))</f>
        <v/>
      </c>
      <c r="Q65" s="115" t="str">
        <f t="shared" si="0"/>
        <v/>
      </c>
    </row>
    <row r="66" spans="13:17">
      <c r="M66" s="109"/>
      <c r="N66" s="109"/>
      <c r="O66" s="109"/>
      <c r="P66" s="109" t="str">
        <f ca="1">IF(A66="","",VLOOKUP(MONTH(A66),Расчеты!$O$2:$P$13,2))</f>
        <v/>
      </c>
      <c r="Q66" s="115" t="str">
        <f t="shared" ref="Q66:Q129" si="1">IF(A66="","",YEAR(A66))</f>
        <v/>
      </c>
    </row>
    <row r="67" spans="13:17">
      <c r="M67" s="109"/>
      <c r="N67" s="109"/>
      <c r="O67" s="109"/>
      <c r="P67" s="109" t="str">
        <f ca="1">IF(A67="","",VLOOKUP(MONTH(A67),Расчеты!$O$2:$P$13,2))</f>
        <v/>
      </c>
      <c r="Q67" s="115" t="str">
        <f t="shared" si="1"/>
        <v/>
      </c>
    </row>
    <row r="68" spans="13:17">
      <c r="M68" s="109"/>
      <c r="N68" s="109"/>
      <c r="O68" s="109"/>
      <c r="P68" s="109" t="str">
        <f ca="1">IF(A68="","",VLOOKUP(MONTH(A68),Расчеты!$O$2:$P$13,2))</f>
        <v/>
      </c>
      <c r="Q68" s="115" t="str">
        <f t="shared" si="1"/>
        <v/>
      </c>
    </row>
    <row r="69" spans="13:17">
      <c r="M69" s="109"/>
      <c r="N69" s="109"/>
      <c r="O69" s="109"/>
      <c r="P69" s="109" t="str">
        <f ca="1">IF(A69="","",VLOOKUP(MONTH(A69),Расчеты!$O$2:$P$13,2))</f>
        <v/>
      </c>
      <c r="Q69" s="115" t="str">
        <f t="shared" si="1"/>
        <v/>
      </c>
    </row>
    <row r="70" spans="13:17">
      <c r="M70" s="109"/>
      <c r="N70" s="109"/>
      <c r="O70" s="109"/>
      <c r="P70" s="109" t="str">
        <f ca="1">IF(A70="","",VLOOKUP(MONTH(A70),Расчеты!$O$2:$P$13,2))</f>
        <v/>
      </c>
      <c r="Q70" s="115" t="str">
        <f t="shared" si="1"/>
        <v/>
      </c>
    </row>
    <row r="71" spans="13:17">
      <c r="M71" s="109"/>
      <c r="N71" s="109"/>
      <c r="O71" s="109"/>
      <c r="P71" s="109" t="str">
        <f ca="1">IF(A71="","",VLOOKUP(MONTH(A71),Расчеты!$O$2:$P$13,2))</f>
        <v/>
      </c>
      <c r="Q71" s="115" t="str">
        <f t="shared" si="1"/>
        <v/>
      </c>
    </row>
    <row r="72" spans="13:17">
      <c r="M72" s="109"/>
      <c r="N72" s="109"/>
      <c r="O72" s="109"/>
      <c r="P72" s="109" t="str">
        <f ca="1">IF(A72="","",VLOOKUP(MONTH(A72),Расчеты!$O$2:$P$13,2))</f>
        <v/>
      </c>
      <c r="Q72" s="115" t="str">
        <f t="shared" si="1"/>
        <v/>
      </c>
    </row>
    <row r="73" spans="13:17">
      <c r="M73" s="109"/>
      <c r="N73" s="109"/>
      <c r="O73" s="109"/>
      <c r="P73" s="109" t="str">
        <f ca="1">IF(A73="","",VLOOKUP(MONTH(A73),Расчеты!$O$2:$P$13,2))</f>
        <v/>
      </c>
      <c r="Q73" s="115" t="str">
        <f t="shared" si="1"/>
        <v/>
      </c>
    </row>
    <row r="74" spans="13:17">
      <c r="M74" s="109"/>
      <c r="N74" s="109"/>
      <c r="O74" s="109"/>
      <c r="P74" s="109" t="str">
        <f ca="1">IF(A74="","",VLOOKUP(MONTH(A74),Расчеты!$O$2:$P$13,2))</f>
        <v/>
      </c>
      <c r="Q74" s="115" t="str">
        <f t="shared" si="1"/>
        <v/>
      </c>
    </row>
    <row r="75" spans="13:17">
      <c r="M75" s="109"/>
      <c r="N75" s="109"/>
      <c r="O75" s="109"/>
      <c r="P75" s="109" t="str">
        <f ca="1">IF(A75="","",VLOOKUP(MONTH(A75),Расчеты!$O$2:$P$13,2))</f>
        <v/>
      </c>
      <c r="Q75" s="115" t="str">
        <f t="shared" si="1"/>
        <v/>
      </c>
    </row>
    <row r="76" spans="13:17">
      <c r="M76" s="109"/>
      <c r="N76" s="109"/>
      <c r="O76" s="109"/>
      <c r="P76" s="109" t="str">
        <f ca="1">IF(A76="","",VLOOKUP(MONTH(A76),Расчеты!$O$2:$P$13,2))</f>
        <v/>
      </c>
      <c r="Q76" s="115" t="str">
        <f t="shared" si="1"/>
        <v/>
      </c>
    </row>
    <row r="77" spans="13:17">
      <c r="M77" s="109"/>
      <c r="N77" s="109"/>
      <c r="O77" s="109"/>
      <c r="P77" s="109" t="str">
        <f ca="1">IF(A77="","",VLOOKUP(MONTH(A77),Расчеты!$O$2:$P$13,2))</f>
        <v/>
      </c>
      <c r="Q77" s="115" t="str">
        <f t="shared" si="1"/>
        <v/>
      </c>
    </row>
    <row r="78" spans="13:17">
      <c r="M78" s="109"/>
      <c r="N78" s="109"/>
      <c r="O78" s="109"/>
      <c r="P78" s="109" t="str">
        <f ca="1">IF(A78="","",VLOOKUP(MONTH(A78),Расчеты!$O$2:$P$13,2))</f>
        <v/>
      </c>
      <c r="Q78" s="115" t="str">
        <f t="shared" si="1"/>
        <v/>
      </c>
    </row>
    <row r="79" spans="13:17">
      <c r="M79" s="109"/>
      <c r="N79" s="109"/>
      <c r="O79" s="109"/>
      <c r="P79" s="109" t="str">
        <f ca="1">IF(A79="","",VLOOKUP(MONTH(A79),Расчеты!$O$2:$P$13,2))</f>
        <v/>
      </c>
      <c r="Q79" s="115" t="str">
        <f t="shared" si="1"/>
        <v/>
      </c>
    </row>
    <row r="80" spans="13:17">
      <c r="M80" s="109"/>
      <c r="N80" s="109"/>
      <c r="O80" s="109"/>
      <c r="P80" s="109" t="str">
        <f ca="1">IF(A80="","",VLOOKUP(MONTH(A80),Расчеты!$O$2:$P$13,2))</f>
        <v/>
      </c>
      <c r="Q80" s="115" t="str">
        <f t="shared" si="1"/>
        <v/>
      </c>
    </row>
    <row r="81" spans="13:17">
      <c r="M81" s="109"/>
      <c r="N81" s="109"/>
      <c r="O81" s="109"/>
      <c r="P81" s="109" t="str">
        <f ca="1">IF(A81="","",VLOOKUP(MONTH(A81),Расчеты!$O$2:$P$13,2))</f>
        <v/>
      </c>
      <c r="Q81" s="115" t="str">
        <f t="shared" si="1"/>
        <v/>
      </c>
    </row>
    <row r="82" spans="13:17">
      <c r="M82" s="109"/>
      <c r="N82" s="109"/>
      <c r="O82" s="109"/>
      <c r="P82" s="109" t="str">
        <f ca="1">IF(A82="","",VLOOKUP(MONTH(A82),Расчеты!$O$2:$P$13,2))</f>
        <v/>
      </c>
      <c r="Q82" s="115" t="str">
        <f t="shared" si="1"/>
        <v/>
      </c>
    </row>
    <row r="83" spans="13:17">
      <c r="M83" s="109"/>
      <c r="N83" s="109"/>
      <c r="O83" s="109"/>
      <c r="P83" s="109" t="str">
        <f ca="1">IF(A83="","",VLOOKUP(MONTH(A83),Расчеты!$O$2:$P$13,2))</f>
        <v/>
      </c>
      <c r="Q83" s="115" t="str">
        <f t="shared" si="1"/>
        <v/>
      </c>
    </row>
    <row r="84" spans="13:17">
      <c r="M84" s="109"/>
      <c r="N84" s="109"/>
      <c r="O84" s="109"/>
      <c r="P84" s="109" t="str">
        <f ca="1">IF(A84="","",VLOOKUP(MONTH(A84),Расчеты!$O$2:$P$13,2))</f>
        <v/>
      </c>
      <c r="Q84" s="115" t="str">
        <f t="shared" si="1"/>
        <v/>
      </c>
    </row>
    <row r="85" spans="13:17">
      <c r="M85" s="109"/>
      <c r="N85" s="109"/>
      <c r="O85" s="109"/>
      <c r="P85" s="109" t="str">
        <f ca="1">IF(A85="","",VLOOKUP(MONTH(A85),Расчеты!$O$2:$P$13,2))</f>
        <v/>
      </c>
      <c r="Q85" s="115" t="str">
        <f t="shared" si="1"/>
        <v/>
      </c>
    </row>
    <row r="86" spans="13:17">
      <c r="M86" s="109"/>
      <c r="N86" s="109"/>
      <c r="O86" s="109"/>
      <c r="P86" s="109" t="str">
        <f ca="1">IF(A86="","",VLOOKUP(MONTH(A86),Расчеты!$O$2:$P$13,2))</f>
        <v/>
      </c>
      <c r="Q86" s="115" t="str">
        <f t="shared" si="1"/>
        <v/>
      </c>
    </row>
    <row r="87" spans="13:17">
      <c r="M87" s="109"/>
      <c r="N87" s="109"/>
      <c r="O87" s="109"/>
      <c r="P87" s="109" t="str">
        <f ca="1">IF(A87="","",VLOOKUP(MONTH(A87),Расчеты!$O$2:$P$13,2))</f>
        <v/>
      </c>
      <c r="Q87" s="115" t="str">
        <f t="shared" si="1"/>
        <v/>
      </c>
    </row>
    <row r="88" spans="13:17">
      <c r="M88" s="109"/>
      <c r="N88" s="109"/>
      <c r="O88" s="109"/>
      <c r="P88" s="109" t="str">
        <f ca="1">IF(A88="","",VLOOKUP(MONTH(A88),Расчеты!$O$2:$P$13,2))</f>
        <v/>
      </c>
      <c r="Q88" s="115" t="str">
        <f t="shared" si="1"/>
        <v/>
      </c>
    </row>
    <row r="89" spans="13:17">
      <c r="M89" s="109"/>
      <c r="N89" s="109"/>
      <c r="O89" s="109"/>
      <c r="P89" s="109" t="str">
        <f ca="1">IF(A89="","",VLOOKUP(MONTH(A89),Расчеты!$O$2:$P$13,2))</f>
        <v/>
      </c>
      <c r="Q89" s="115" t="str">
        <f t="shared" si="1"/>
        <v/>
      </c>
    </row>
    <row r="90" spans="13:17">
      <c r="M90" s="109"/>
      <c r="N90" s="109"/>
      <c r="O90" s="109"/>
      <c r="P90" s="109" t="str">
        <f ca="1">IF(A90="","",VLOOKUP(MONTH(A90),Расчеты!$O$2:$P$13,2))</f>
        <v/>
      </c>
      <c r="Q90" s="115" t="str">
        <f t="shared" si="1"/>
        <v/>
      </c>
    </row>
    <row r="91" spans="13:17">
      <c r="M91" s="109"/>
      <c r="N91" s="109"/>
      <c r="O91" s="109"/>
      <c r="P91" s="109" t="str">
        <f ca="1">IF(A91="","",VLOOKUP(MONTH(A91),Расчеты!$O$2:$P$13,2))</f>
        <v/>
      </c>
      <c r="Q91" s="115" t="str">
        <f t="shared" si="1"/>
        <v/>
      </c>
    </row>
    <row r="92" spans="13:17">
      <c r="M92" s="109"/>
      <c r="N92" s="109"/>
      <c r="O92" s="109"/>
      <c r="P92" s="109" t="str">
        <f ca="1">IF(A92="","",VLOOKUP(MONTH(A92),Расчеты!$O$2:$P$13,2))</f>
        <v/>
      </c>
      <c r="Q92" s="115" t="str">
        <f t="shared" si="1"/>
        <v/>
      </c>
    </row>
    <row r="93" spans="13:17">
      <c r="M93" s="109"/>
      <c r="N93" s="109"/>
      <c r="O93" s="109"/>
      <c r="P93" s="109" t="str">
        <f ca="1">IF(A93="","",VLOOKUP(MONTH(A93),Расчеты!$O$2:$P$13,2))</f>
        <v/>
      </c>
      <c r="Q93" s="115" t="str">
        <f t="shared" si="1"/>
        <v/>
      </c>
    </row>
    <row r="94" spans="13:17">
      <c r="M94" s="109"/>
      <c r="N94" s="109"/>
      <c r="O94" s="109"/>
      <c r="P94" s="109" t="str">
        <f ca="1">IF(A94="","",VLOOKUP(MONTH(A94),Расчеты!$O$2:$P$13,2))</f>
        <v/>
      </c>
      <c r="Q94" s="115" t="str">
        <f t="shared" si="1"/>
        <v/>
      </c>
    </row>
    <row r="95" spans="13:17">
      <c r="M95" s="109"/>
      <c r="N95" s="109"/>
      <c r="O95" s="109"/>
      <c r="P95" s="109" t="str">
        <f ca="1">IF(A95="","",VLOOKUP(MONTH(A95),Расчеты!$O$2:$P$13,2))</f>
        <v/>
      </c>
      <c r="Q95" s="115" t="str">
        <f t="shared" si="1"/>
        <v/>
      </c>
    </row>
    <row r="96" spans="13:17">
      <c r="M96" s="109"/>
      <c r="N96" s="109"/>
      <c r="O96" s="109"/>
      <c r="P96" s="109" t="str">
        <f ca="1">IF(A96="","",VLOOKUP(MONTH(A96),Расчеты!$O$2:$P$13,2))</f>
        <v/>
      </c>
      <c r="Q96" s="115" t="str">
        <f t="shared" si="1"/>
        <v/>
      </c>
    </row>
    <row r="97" spans="13:17">
      <c r="M97" s="109"/>
      <c r="N97" s="109"/>
      <c r="O97" s="109"/>
      <c r="P97" s="109" t="str">
        <f ca="1">IF(A97="","",VLOOKUP(MONTH(A97),Расчеты!$O$2:$P$13,2))</f>
        <v/>
      </c>
      <c r="Q97" s="115" t="str">
        <f t="shared" si="1"/>
        <v/>
      </c>
    </row>
    <row r="98" spans="13:17">
      <c r="M98" s="109"/>
      <c r="N98" s="109"/>
      <c r="O98" s="109"/>
      <c r="P98" s="109" t="str">
        <f ca="1">IF(A98="","",VLOOKUP(MONTH(A98),Расчеты!$O$2:$P$13,2))</f>
        <v/>
      </c>
      <c r="Q98" s="115" t="str">
        <f t="shared" si="1"/>
        <v/>
      </c>
    </row>
    <row r="99" spans="13:17">
      <c r="M99" s="109"/>
      <c r="N99" s="109"/>
      <c r="O99" s="109"/>
      <c r="P99" s="109" t="str">
        <f ca="1">IF(A99="","",VLOOKUP(MONTH(A99),Расчеты!$O$2:$P$13,2))</f>
        <v/>
      </c>
      <c r="Q99" s="115" t="str">
        <f t="shared" si="1"/>
        <v/>
      </c>
    </row>
    <row r="100" spans="13:17">
      <c r="M100" s="109"/>
      <c r="N100" s="109"/>
      <c r="O100" s="109"/>
      <c r="P100" s="109" t="str">
        <f ca="1">IF(A100="","",VLOOKUP(MONTH(A100),Расчеты!$O$2:$P$13,2))</f>
        <v/>
      </c>
      <c r="Q100" s="115" t="str">
        <f t="shared" si="1"/>
        <v/>
      </c>
    </row>
    <row r="101" spans="13:17">
      <c r="M101" s="109"/>
      <c r="N101" s="109"/>
      <c r="O101" s="109"/>
      <c r="P101" s="109" t="str">
        <f ca="1">IF(A101="","",VLOOKUP(MONTH(A101),Расчеты!$O$2:$P$13,2))</f>
        <v/>
      </c>
      <c r="Q101" s="115" t="str">
        <f t="shared" si="1"/>
        <v/>
      </c>
    </row>
    <row r="102" spans="13:17">
      <c r="M102" s="109"/>
      <c r="N102" s="109"/>
      <c r="O102" s="109"/>
      <c r="P102" s="109" t="str">
        <f ca="1">IF(A102="","",VLOOKUP(MONTH(A102),Расчеты!$O$2:$P$13,2))</f>
        <v/>
      </c>
      <c r="Q102" s="115" t="str">
        <f t="shared" si="1"/>
        <v/>
      </c>
    </row>
    <row r="103" spans="13:17">
      <c r="M103" s="109"/>
      <c r="N103" s="109"/>
      <c r="O103" s="109"/>
      <c r="P103" s="109" t="str">
        <f ca="1">IF(A103="","",VLOOKUP(MONTH(A103),Расчеты!$O$2:$P$13,2))</f>
        <v/>
      </c>
      <c r="Q103" s="115" t="str">
        <f t="shared" si="1"/>
        <v/>
      </c>
    </row>
    <row r="104" spans="13:17">
      <c r="M104" s="109"/>
      <c r="N104" s="109"/>
      <c r="O104" s="109"/>
      <c r="P104" s="109" t="str">
        <f ca="1">IF(A104="","",VLOOKUP(MONTH(A104),Расчеты!$O$2:$P$13,2))</f>
        <v/>
      </c>
      <c r="Q104" s="115" t="str">
        <f t="shared" si="1"/>
        <v/>
      </c>
    </row>
    <row r="105" spans="13:17">
      <c r="M105" s="109"/>
      <c r="N105" s="109"/>
      <c r="O105" s="109"/>
      <c r="P105" s="109" t="str">
        <f ca="1">IF(A105="","",VLOOKUP(MONTH(A105),Расчеты!$O$2:$P$13,2))</f>
        <v/>
      </c>
      <c r="Q105" s="115" t="str">
        <f t="shared" si="1"/>
        <v/>
      </c>
    </row>
    <row r="106" spans="13:17">
      <c r="M106" s="109"/>
      <c r="N106" s="109"/>
      <c r="O106" s="109"/>
      <c r="P106" s="109" t="str">
        <f ca="1">IF(A106="","",VLOOKUP(MONTH(A106),Расчеты!$O$2:$P$13,2))</f>
        <v/>
      </c>
      <c r="Q106" s="115" t="str">
        <f t="shared" si="1"/>
        <v/>
      </c>
    </row>
    <row r="107" spans="13:17">
      <c r="M107" s="109"/>
      <c r="N107" s="109"/>
      <c r="O107" s="109"/>
      <c r="P107" s="109" t="str">
        <f ca="1">IF(A107="","",VLOOKUP(MONTH(A107),Расчеты!$O$2:$P$13,2))</f>
        <v/>
      </c>
      <c r="Q107" s="115" t="str">
        <f t="shared" si="1"/>
        <v/>
      </c>
    </row>
    <row r="108" spans="13:17">
      <c r="M108" s="109"/>
      <c r="N108" s="109"/>
      <c r="O108" s="109"/>
      <c r="P108" s="109" t="str">
        <f ca="1">IF(A108="","",VLOOKUP(MONTH(A108),Расчеты!$O$2:$P$13,2))</f>
        <v/>
      </c>
      <c r="Q108" s="115" t="str">
        <f t="shared" si="1"/>
        <v/>
      </c>
    </row>
    <row r="109" spans="13:17">
      <c r="M109" s="109"/>
      <c r="N109" s="109"/>
      <c r="O109" s="109"/>
      <c r="P109" s="109" t="str">
        <f ca="1">IF(A109="","",VLOOKUP(MONTH(A109),Расчеты!$O$2:$P$13,2))</f>
        <v/>
      </c>
      <c r="Q109" s="115" t="str">
        <f t="shared" si="1"/>
        <v/>
      </c>
    </row>
    <row r="110" spans="13:17">
      <c r="M110" s="109"/>
      <c r="N110" s="109"/>
      <c r="O110" s="109"/>
      <c r="P110" s="109" t="str">
        <f ca="1">IF(A110="","",VLOOKUP(MONTH(A110),Расчеты!$O$2:$P$13,2))</f>
        <v/>
      </c>
      <c r="Q110" s="115" t="str">
        <f t="shared" si="1"/>
        <v/>
      </c>
    </row>
    <row r="111" spans="13:17">
      <c r="M111" s="109"/>
      <c r="N111" s="109"/>
      <c r="O111" s="109"/>
      <c r="P111" s="109" t="str">
        <f ca="1">IF(A111="","",VLOOKUP(MONTH(A111),Расчеты!$O$2:$P$13,2))</f>
        <v/>
      </c>
      <c r="Q111" s="115" t="str">
        <f t="shared" si="1"/>
        <v/>
      </c>
    </row>
    <row r="112" spans="13:17">
      <c r="M112" s="109"/>
      <c r="N112" s="109"/>
      <c r="O112" s="109"/>
      <c r="P112" s="109" t="str">
        <f ca="1">IF(A112="","",VLOOKUP(MONTH(A112),Расчеты!$O$2:$P$13,2))</f>
        <v/>
      </c>
      <c r="Q112" s="115" t="str">
        <f t="shared" si="1"/>
        <v/>
      </c>
    </row>
    <row r="113" spans="13:17">
      <c r="M113" s="109"/>
      <c r="N113" s="109"/>
      <c r="O113" s="109"/>
      <c r="P113" s="109" t="str">
        <f ca="1">IF(A113="","",VLOOKUP(MONTH(A113),Расчеты!$O$2:$P$13,2))</f>
        <v/>
      </c>
      <c r="Q113" s="115" t="str">
        <f t="shared" si="1"/>
        <v/>
      </c>
    </row>
    <row r="114" spans="13:17">
      <c r="M114" s="109"/>
      <c r="N114" s="109"/>
      <c r="O114" s="109"/>
      <c r="P114" s="109" t="str">
        <f ca="1">IF(A114="","",VLOOKUP(MONTH(A114),Расчеты!$O$2:$P$13,2))</f>
        <v/>
      </c>
      <c r="Q114" s="115" t="str">
        <f t="shared" si="1"/>
        <v/>
      </c>
    </row>
    <row r="115" spans="13:17">
      <c r="M115" s="109"/>
      <c r="N115" s="109"/>
      <c r="O115" s="109"/>
      <c r="P115" s="109" t="str">
        <f ca="1">IF(A115="","",VLOOKUP(MONTH(A115),Расчеты!$O$2:$P$13,2))</f>
        <v/>
      </c>
      <c r="Q115" s="115" t="str">
        <f t="shared" si="1"/>
        <v/>
      </c>
    </row>
    <row r="116" spans="13:17">
      <c r="M116" s="109"/>
      <c r="N116" s="109"/>
      <c r="O116" s="109"/>
      <c r="P116" s="109" t="str">
        <f ca="1">IF(A116="","",VLOOKUP(MONTH(A116),Расчеты!$O$2:$P$13,2))</f>
        <v/>
      </c>
      <c r="Q116" s="115" t="str">
        <f t="shared" si="1"/>
        <v/>
      </c>
    </row>
    <row r="117" spans="13:17">
      <c r="M117" s="109"/>
      <c r="N117" s="109"/>
      <c r="O117" s="109"/>
      <c r="P117" s="109" t="str">
        <f ca="1">IF(A117="","",VLOOKUP(MONTH(A117),Расчеты!$O$2:$P$13,2))</f>
        <v/>
      </c>
      <c r="Q117" s="115" t="str">
        <f t="shared" si="1"/>
        <v/>
      </c>
    </row>
    <row r="118" spans="13:17">
      <c r="M118" s="109"/>
      <c r="N118" s="109"/>
      <c r="O118" s="109"/>
      <c r="P118" s="109" t="str">
        <f ca="1">IF(A118="","",VLOOKUP(MONTH(A118),Расчеты!$O$2:$P$13,2))</f>
        <v/>
      </c>
      <c r="Q118" s="115" t="str">
        <f t="shared" si="1"/>
        <v/>
      </c>
    </row>
    <row r="119" spans="13:17">
      <c r="M119" s="109"/>
      <c r="N119" s="109"/>
      <c r="O119" s="109"/>
      <c r="P119" s="109" t="str">
        <f ca="1">IF(A119="","",VLOOKUP(MONTH(A119),Расчеты!$O$2:$P$13,2))</f>
        <v/>
      </c>
      <c r="Q119" s="115" t="str">
        <f t="shared" si="1"/>
        <v/>
      </c>
    </row>
    <row r="120" spans="13:17">
      <c r="M120" s="109"/>
      <c r="N120" s="109"/>
      <c r="O120" s="109"/>
      <c r="P120" s="109" t="str">
        <f ca="1">IF(A120="","",VLOOKUP(MONTH(A120),Расчеты!$O$2:$P$13,2))</f>
        <v/>
      </c>
      <c r="Q120" s="115" t="str">
        <f t="shared" si="1"/>
        <v/>
      </c>
    </row>
    <row r="121" spans="13:17">
      <c r="M121" s="109"/>
      <c r="N121" s="109"/>
      <c r="O121" s="109"/>
      <c r="P121" s="109" t="str">
        <f ca="1">IF(A121="","",VLOOKUP(MONTH(A121),Расчеты!$O$2:$P$13,2))</f>
        <v/>
      </c>
      <c r="Q121" s="115" t="str">
        <f t="shared" si="1"/>
        <v/>
      </c>
    </row>
    <row r="122" spans="13:17">
      <c r="M122" s="109"/>
      <c r="N122" s="109"/>
      <c r="O122" s="109"/>
      <c r="P122" s="109" t="str">
        <f ca="1">IF(A122="","",VLOOKUP(MONTH(A122),Расчеты!$O$2:$P$13,2))</f>
        <v/>
      </c>
      <c r="Q122" s="115" t="str">
        <f t="shared" si="1"/>
        <v/>
      </c>
    </row>
    <row r="123" spans="13:17">
      <c r="M123" s="109"/>
      <c r="N123" s="109"/>
      <c r="O123" s="109"/>
      <c r="P123" s="109" t="str">
        <f ca="1">IF(A123="","",VLOOKUP(MONTH(A123),Расчеты!$O$2:$P$13,2))</f>
        <v/>
      </c>
      <c r="Q123" s="115" t="str">
        <f t="shared" si="1"/>
        <v/>
      </c>
    </row>
    <row r="124" spans="13:17">
      <c r="M124" s="109"/>
      <c r="N124" s="109"/>
      <c r="O124" s="109"/>
      <c r="P124" s="109" t="str">
        <f ca="1">IF(A124="","",VLOOKUP(MONTH(A124),Расчеты!$O$2:$P$13,2))</f>
        <v/>
      </c>
      <c r="Q124" s="115" t="str">
        <f t="shared" si="1"/>
        <v/>
      </c>
    </row>
    <row r="125" spans="13:17">
      <c r="M125" s="109"/>
      <c r="N125" s="109"/>
      <c r="O125" s="109"/>
      <c r="P125" s="109" t="str">
        <f ca="1">IF(A125="","",VLOOKUP(MONTH(A125),Расчеты!$O$2:$P$13,2))</f>
        <v/>
      </c>
      <c r="Q125" s="115" t="str">
        <f t="shared" si="1"/>
        <v/>
      </c>
    </row>
    <row r="126" spans="13:17">
      <c r="M126" s="109"/>
      <c r="N126" s="109"/>
      <c r="O126" s="109"/>
      <c r="P126" s="109" t="str">
        <f ca="1">IF(A126="","",VLOOKUP(MONTH(A126),Расчеты!$O$2:$P$13,2))</f>
        <v/>
      </c>
      <c r="Q126" s="115" t="str">
        <f t="shared" si="1"/>
        <v/>
      </c>
    </row>
    <row r="127" spans="13:17">
      <c r="M127" s="109"/>
      <c r="N127" s="109"/>
      <c r="O127" s="109"/>
      <c r="P127" s="109" t="str">
        <f ca="1">IF(A127="","",VLOOKUP(MONTH(A127),Расчеты!$O$2:$P$13,2))</f>
        <v/>
      </c>
      <c r="Q127" s="115" t="str">
        <f t="shared" si="1"/>
        <v/>
      </c>
    </row>
    <row r="128" spans="13:17">
      <c r="M128" s="109"/>
      <c r="N128" s="109"/>
      <c r="O128" s="109"/>
      <c r="P128" s="109" t="str">
        <f ca="1">IF(A128="","",VLOOKUP(MONTH(A128),Расчеты!$O$2:$P$13,2))</f>
        <v/>
      </c>
      <c r="Q128" s="115" t="str">
        <f t="shared" si="1"/>
        <v/>
      </c>
    </row>
    <row r="129" spans="13:17">
      <c r="M129" s="109"/>
      <c r="N129" s="109"/>
      <c r="O129" s="109"/>
      <c r="P129" s="109" t="str">
        <f ca="1">IF(A129="","",VLOOKUP(MONTH(A129),Расчеты!$O$2:$P$13,2))</f>
        <v/>
      </c>
      <c r="Q129" s="115" t="str">
        <f t="shared" si="1"/>
        <v/>
      </c>
    </row>
    <row r="130" spans="13:17">
      <c r="M130" s="109"/>
      <c r="N130" s="109"/>
      <c r="O130" s="109"/>
      <c r="P130" s="109" t="str">
        <f ca="1">IF(A130="","",VLOOKUP(MONTH(A130),Расчеты!$O$2:$P$13,2))</f>
        <v/>
      </c>
      <c r="Q130" s="115" t="str">
        <f t="shared" ref="Q130:Q193" si="2">IF(A130="","",YEAR(A130))</f>
        <v/>
      </c>
    </row>
    <row r="131" spans="13:17">
      <c r="M131" s="109"/>
      <c r="N131" s="109"/>
      <c r="O131" s="109"/>
      <c r="P131" s="109" t="str">
        <f ca="1">IF(A131="","",VLOOKUP(MONTH(A131),Расчеты!$O$2:$P$13,2))</f>
        <v/>
      </c>
      <c r="Q131" s="115" t="str">
        <f t="shared" si="2"/>
        <v/>
      </c>
    </row>
    <row r="132" spans="13:17">
      <c r="M132" s="109"/>
      <c r="N132" s="109"/>
      <c r="O132" s="109"/>
      <c r="P132" s="109" t="str">
        <f ca="1">IF(A132="","",VLOOKUP(MONTH(A132),Расчеты!$O$2:$P$13,2))</f>
        <v/>
      </c>
      <c r="Q132" s="115" t="str">
        <f t="shared" si="2"/>
        <v/>
      </c>
    </row>
    <row r="133" spans="13:17">
      <c r="M133" s="109"/>
      <c r="N133" s="109"/>
      <c r="O133" s="109"/>
      <c r="P133" s="109" t="str">
        <f ca="1">IF(A133="","",VLOOKUP(MONTH(A133),Расчеты!$O$2:$P$13,2))</f>
        <v/>
      </c>
      <c r="Q133" s="115" t="str">
        <f t="shared" si="2"/>
        <v/>
      </c>
    </row>
    <row r="134" spans="13:17">
      <c r="M134" s="109"/>
      <c r="N134" s="109"/>
      <c r="O134" s="109"/>
      <c r="P134" s="109" t="str">
        <f ca="1">IF(A134="","",VLOOKUP(MONTH(A134),Расчеты!$O$2:$P$13,2))</f>
        <v/>
      </c>
      <c r="Q134" s="115" t="str">
        <f t="shared" si="2"/>
        <v/>
      </c>
    </row>
    <row r="135" spans="13:17">
      <c r="M135" s="109"/>
      <c r="N135" s="109"/>
      <c r="O135" s="109"/>
      <c r="P135" s="109" t="str">
        <f ca="1">IF(A135="","",VLOOKUP(MONTH(A135),Расчеты!$O$2:$P$13,2))</f>
        <v/>
      </c>
      <c r="Q135" s="115" t="str">
        <f t="shared" si="2"/>
        <v/>
      </c>
    </row>
    <row r="136" spans="13:17">
      <c r="M136" s="109"/>
      <c r="N136" s="109"/>
      <c r="O136" s="109"/>
      <c r="P136" s="109" t="str">
        <f ca="1">IF(A136="","",VLOOKUP(MONTH(A136),Расчеты!$O$2:$P$13,2))</f>
        <v/>
      </c>
      <c r="Q136" s="115" t="str">
        <f t="shared" si="2"/>
        <v/>
      </c>
    </row>
    <row r="137" spans="13:17">
      <c r="M137" s="109"/>
      <c r="N137" s="109"/>
      <c r="O137" s="109"/>
      <c r="P137" s="109" t="str">
        <f ca="1">IF(A137="","",VLOOKUP(MONTH(A137),Расчеты!$O$2:$P$13,2))</f>
        <v/>
      </c>
      <c r="Q137" s="115" t="str">
        <f t="shared" si="2"/>
        <v/>
      </c>
    </row>
    <row r="138" spans="13:17">
      <c r="M138" s="109"/>
      <c r="N138" s="109"/>
      <c r="O138" s="109"/>
      <c r="P138" s="109" t="str">
        <f ca="1">IF(A138="","",VLOOKUP(MONTH(A138),Расчеты!$O$2:$P$13,2))</f>
        <v/>
      </c>
      <c r="Q138" s="115" t="str">
        <f t="shared" si="2"/>
        <v/>
      </c>
    </row>
    <row r="139" spans="13:17">
      <c r="M139" s="109"/>
      <c r="N139" s="109"/>
      <c r="O139" s="109"/>
      <c r="P139" s="109" t="str">
        <f ca="1">IF(A139="","",VLOOKUP(MONTH(A139),Расчеты!$O$2:$P$13,2))</f>
        <v/>
      </c>
      <c r="Q139" s="115" t="str">
        <f t="shared" si="2"/>
        <v/>
      </c>
    </row>
    <row r="140" spans="13:17">
      <c r="M140" s="109"/>
      <c r="N140" s="109"/>
      <c r="O140" s="109"/>
      <c r="P140" s="109" t="str">
        <f ca="1">IF(A140="","",VLOOKUP(MONTH(A140),Расчеты!$O$2:$P$13,2))</f>
        <v/>
      </c>
      <c r="Q140" s="115" t="str">
        <f t="shared" si="2"/>
        <v/>
      </c>
    </row>
    <row r="141" spans="13:17">
      <c r="M141" s="109"/>
      <c r="N141" s="109"/>
      <c r="O141" s="109"/>
      <c r="P141" s="109" t="str">
        <f ca="1">IF(A141="","",VLOOKUP(MONTH(A141),Расчеты!$O$2:$P$13,2))</f>
        <v/>
      </c>
      <c r="Q141" s="115" t="str">
        <f t="shared" si="2"/>
        <v/>
      </c>
    </row>
    <row r="142" spans="13:17">
      <c r="M142" s="109"/>
      <c r="N142" s="109"/>
      <c r="O142" s="109"/>
      <c r="P142" s="109" t="str">
        <f ca="1">IF(A142="","",VLOOKUP(MONTH(A142),Расчеты!$O$2:$P$13,2))</f>
        <v/>
      </c>
      <c r="Q142" s="115" t="str">
        <f t="shared" si="2"/>
        <v/>
      </c>
    </row>
    <row r="143" spans="13:17">
      <c r="M143" s="109"/>
      <c r="N143" s="109"/>
      <c r="O143" s="109"/>
      <c r="P143" s="109" t="str">
        <f ca="1">IF(A143="","",VLOOKUP(MONTH(A143),Расчеты!$O$2:$P$13,2))</f>
        <v/>
      </c>
      <c r="Q143" s="115" t="str">
        <f t="shared" si="2"/>
        <v/>
      </c>
    </row>
    <row r="144" spans="13:17">
      <c r="M144" s="109"/>
      <c r="N144" s="109"/>
      <c r="O144" s="109"/>
      <c r="P144" s="109" t="str">
        <f ca="1">IF(A144="","",VLOOKUP(MONTH(A144),Расчеты!$O$2:$P$13,2))</f>
        <v/>
      </c>
      <c r="Q144" s="115" t="str">
        <f t="shared" si="2"/>
        <v/>
      </c>
    </row>
    <row r="145" spans="13:17">
      <c r="M145" s="109"/>
      <c r="N145" s="109"/>
      <c r="O145" s="109"/>
      <c r="P145" s="109" t="str">
        <f ca="1">IF(A145="","",VLOOKUP(MONTH(A145),Расчеты!$O$2:$P$13,2))</f>
        <v/>
      </c>
      <c r="Q145" s="115" t="str">
        <f t="shared" si="2"/>
        <v/>
      </c>
    </row>
    <row r="146" spans="13:17">
      <c r="M146" s="109"/>
      <c r="N146" s="109"/>
      <c r="O146" s="109"/>
      <c r="P146" s="109" t="str">
        <f ca="1">IF(A146="","",VLOOKUP(MONTH(A146),Расчеты!$O$2:$P$13,2))</f>
        <v/>
      </c>
      <c r="Q146" s="115" t="str">
        <f t="shared" si="2"/>
        <v/>
      </c>
    </row>
    <row r="147" spans="13:17">
      <c r="M147" s="109"/>
      <c r="N147" s="109"/>
      <c r="O147" s="109"/>
      <c r="P147" s="109" t="str">
        <f ca="1">IF(A147="","",VLOOKUP(MONTH(A147),Расчеты!$O$2:$P$13,2))</f>
        <v/>
      </c>
      <c r="Q147" s="115" t="str">
        <f t="shared" si="2"/>
        <v/>
      </c>
    </row>
    <row r="148" spans="13:17">
      <c r="M148" s="109"/>
      <c r="N148" s="109"/>
      <c r="O148" s="109"/>
      <c r="P148" s="109" t="str">
        <f ca="1">IF(A148="","",VLOOKUP(MONTH(A148),Расчеты!$O$2:$P$13,2))</f>
        <v/>
      </c>
      <c r="Q148" s="115" t="str">
        <f t="shared" si="2"/>
        <v/>
      </c>
    </row>
    <row r="149" spans="13:17">
      <c r="M149" s="109"/>
      <c r="N149" s="109"/>
      <c r="O149" s="109"/>
      <c r="P149" s="109" t="str">
        <f ca="1">IF(A149="","",VLOOKUP(MONTH(A149),Расчеты!$O$2:$P$13,2))</f>
        <v/>
      </c>
      <c r="Q149" s="115" t="str">
        <f t="shared" si="2"/>
        <v/>
      </c>
    </row>
    <row r="150" spans="13:17">
      <c r="M150" s="109"/>
      <c r="N150" s="109"/>
      <c r="O150" s="109"/>
      <c r="P150" s="109" t="str">
        <f ca="1">IF(A150="","",VLOOKUP(MONTH(A150),Расчеты!$O$2:$P$13,2))</f>
        <v/>
      </c>
      <c r="Q150" s="115" t="str">
        <f t="shared" si="2"/>
        <v/>
      </c>
    </row>
    <row r="151" spans="13:17">
      <c r="M151" s="109"/>
      <c r="N151" s="109"/>
      <c r="O151" s="109"/>
      <c r="P151" s="109" t="str">
        <f ca="1">IF(A151="","",VLOOKUP(MONTH(A151),Расчеты!$O$2:$P$13,2))</f>
        <v/>
      </c>
      <c r="Q151" s="115" t="str">
        <f t="shared" si="2"/>
        <v/>
      </c>
    </row>
    <row r="152" spans="13:17">
      <c r="M152" s="109"/>
      <c r="N152" s="109"/>
      <c r="O152" s="109"/>
      <c r="P152" s="109" t="str">
        <f ca="1">IF(A152="","",VLOOKUP(MONTH(A152),Расчеты!$O$2:$P$13,2))</f>
        <v/>
      </c>
      <c r="Q152" s="115" t="str">
        <f t="shared" si="2"/>
        <v/>
      </c>
    </row>
    <row r="153" spans="13:17">
      <c r="M153" s="109"/>
      <c r="N153" s="109"/>
      <c r="O153" s="109"/>
      <c r="P153" s="109" t="str">
        <f ca="1">IF(A153="","",VLOOKUP(MONTH(A153),Расчеты!$O$2:$P$13,2))</f>
        <v/>
      </c>
      <c r="Q153" s="115" t="str">
        <f t="shared" si="2"/>
        <v/>
      </c>
    </row>
    <row r="154" spans="13:17">
      <c r="M154" s="109"/>
      <c r="N154" s="109"/>
      <c r="O154" s="109"/>
      <c r="P154" s="109" t="str">
        <f ca="1">IF(A154="","",VLOOKUP(MONTH(A154),Расчеты!$O$2:$P$13,2))</f>
        <v/>
      </c>
      <c r="Q154" s="115" t="str">
        <f t="shared" si="2"/>
        <v/>
      </c>
    </row>
    <row r="155" spans="13:17">
      <c r="M155" s="109"/>
      <c r="N155" s="109"/>
      <c r="O155" s="109"/>
      <c r="P155" s="109" t="str">
        <f ca="1">IF(A155="","",VLOOKUP(MONTH(A155),Расчеты!$O$2:$P$13,2))</f>
        <v/>
      </c>
      <c r="Q155" s="115" t="str">
        <f t="shared" si="2"/>
        <v/>
      </c>
    </row>
    <row r="156" spans="13:17">
      <c r="M156" s="109"/>
      <c r="N156" s="109"/>
      <c r="O156" s="109"/>
      <c r="P156" s="109" t="str">
        <f ca="1">IF(A156="","",VLOOKUP(MONTH(A156),Расчеты!$O$2:$P$13,2))</f>
        <v/>
      </c>
      <c r="Q156" s="115" t="str">
        <f t="shared" si="2"/>
        <v/>
      </c>
    </row>
    <row r="157" spans="13:17">
      <c r="M157" s="109"/>
      <c r="N157" s="109"/>
      <c r="O157" s="109"/>
      <c r="P157" s="109" t="str">
        <f ca="1">IF(A157="","",VLOOKUP(MONTH(A157),Расчеты!$O$2:$P$13,2))</f>
        <v/>
      </c>
      <c r="Q157" s="115" t="str">
        <f t="shared" si="2"/>
        <v/>
      </c>
    </row>
    <row r="158" spans="13:17">
      <c r="M158" s="109"/>
      <c r="N158" s="109"/>
      <c r="O158" s="109"/>
      <c r="P158" s="109" t="str">
        <f ca="1">IF(A158="","",VLOOKUP(MONTH(A158),Расчеты!$O$2:$P$13,2))</f>
        <v/>
      </c>
      <c r="Q158" s="115" t="str">
        <f t="shared" si="2"/>
        <v/>
      </c>
    </row>
    <row r="159" spans="13:17">
      <c r="M159" s="109"/>
      <c r="N159" s="109"/>
      <c r="O159" s="109"/>
      <c r="P159" s="109" t="str">
        <f ca="1">IF(A159="","",VLOOKUP(MONTH(A159),Расчеты!$O$2:$P$13,2))</f>
        <v/>
      </c>
      <c r="Q159" s="115" t="str">
        <f t="shared" si="2"/>
        <v/>
      </c>
    </row>
    <row r="160" spans="13:17">
      <c r="M160" s="109"/>
      <c r="N160" s="109"/>
      <c r="O160" s="109"/>
      <c r="P160" s="109" t="str">
        <f ca="1">IF(A160="","",VLOOKUP(MONTH(A160),Расчеты!$O$2:$P$13,2))</f>
        <v/>
      </c>
      <c r="Q160" s="115" t="str">
        <f t="shared" si="2"/>
        <v/>
      </c>
    </row>
    <row r="161" spans="13:17">
      <c r="M161" s="109"/>
      <c r="N161" s="109"/>
      <c r="O161" s="109"/>
      <c r="P161" s="109" t="str">
        <f ca="1">IF(A161="","",VLOOKUP(MONTH(A161),Расчеты!$O$2:$P$13,2))</f>
        <v/>
      </c>
      <c r="Q161" s="115" t="str">
        <f t="shared" si="2"/>
        <v/>
      </c>
    </row>
    <row r="162" spans="13:17">
      <c r="M162" s="109"/>
      <c r="N162" s="109"/>
      <c r="O162" s="109"/>
      <c r="P162" s="109" t="str">
        <f ca="1">IF(A162="","",VLOOKUP(MONTH(A162),Расчеты!$O$2:$P$13,2))</f>
        <v/>
      </c>
      <c r="Q162" s="115" t="str">
        <f t="shared" si="2"/>
        <v/>
      </c>
    </row>
    <row r="163" spans="13:17">
      <c r="M163" s="109"/>
      <c r="N163" s="109"/>
      <c r="O163" s="109"/>
      <c r="P163" s="109" t="str">
        <f ca="1">IF(A163="","",VLOOKUP(MONTH(A163),Расчеты!$O$2:$P$13,2))</f>
        <v/>
      </c>
      <c r="Q163" s="115" t="str">
        <f t="shared" si="2"/>
        <v/>
      </c>
    </row>
    <row r="164" spans="13:17">
      <c r="M164" s="109"/>
      <c r="N164" s="109"/>
      <c r="O164" s="109"/>
      <c r="P164" s="109" t="str">
        <f ca="1">IF(A164="","",VLOOKUP(MONTH(A164),Расчеты!$O$2:$P$13,2))</f>
        <v/>
      </c>
      <c r="Q164" s="115" t="str">
        <f t="shared" si="2"/>
        <v/>
      </c>
    </row>
    <row r="165" spans="13:17">
      <c r="M165" s="109"/>
      <c r="N165" s="109"/>
      <c r="O165" s="109"/>
      <c r="P165" s="109" t="str">
        <f ca="1">IF(A165="","",VLOOKUP(MONTH(A165),Расчеты!$O$2:$P$13,2))</f>
        <v/>
      </c>
      <c r="Q165" s="115" t="str">
        <f t="shared" si="2"/>
        <v/>
      </c>
    </row>
    <row r="166" spans="13:17">
      <c r="M166" s="109"/>
      <c r="N166" s="109"/>
      <c r="O166" s="109"/>
      <c r="P166" s="109" t="str">
        <f ca="1">IF(A166="","",VLOOKUP(MONTH(A166),Расчеты!$O$2:$P$13,2))</f>
        <v/>
      </c>
      <c r="Q166" s="115" t="str">
        <f t="shared" si="2"/>
        <v/>
      </c>
    </row>
    <row r="167" spans="13:17">
      <c r="M167" s="109"/>
      <c r="N167" s="109"/>
      <c r="O167" s="109"/>
      <c r="P167" s="109" t="str">
        <f ca="1">IF(A167="","",VLOOKUP(MONTH(A167),Расчеты!$O$2:$P$13,2))</f>
        <v/>
      </c>
      <c r="Q167" s="115" t="str">
        <f t="shared" si="2"/>
        <v/>
      </c>
    </row>
    <row r="168" spans="13:17">
      <c r="M168" s="109"/>
      <c r="N168" s="109"/>
      <c r="O168" s="109"/>
      <c r="P168" s="109" t="str">
        <f ca="1">IF(A168="","",VLOOKUP(MONTH(A168),Расчеты!$O$2:$P$13,2))</f>
        <v/>
      </c>
      <c r="Q168" s="115" t="str">
        <f t="shared" si="2"/>
        <v/>
      </c>
    </row>
    <row r="169" spans="13:17">
      <c r="M169" s="109"/>
      <c r="N169" s="109"/>
      <c r="O169" s="109"/>
      <c r="P169" s="109" t="str">
        <f ca="1">IF(A169="","",VLOOKUP(MONTH(A169),Расчеты!$O$2:$P$13,2))</f>
        <v/>
      </c>
      <c r="Q169" s="115" t="str">
        <f t="shared" si="2"/>
        <v/>
      </c>
    </row>
    <row r="170" spans="13:17">
      <c r="M170" s="109"/>
      <c r="N170" s="109"/>
      <c r="O170" s="109"/>
      <c r="P170" s="109" t="str">
        <f ca="1">IF(A170="","",VLOOKUP(MONTH(A170),Расчеты!$O$2:$P$13,2))</f>
        <v/>
      </c>
      <c r="Q170" s="115" t="str">
        <f t="shared" si="2"/>
        <v/>
      </c>
    </row>
    <row r="171" spans="13:17">
      <c r="M171" s="109"/>
      <c r="N171" s="109"/>
      <c r="O171" s="109"/>
      <c r="P171" s="109" t="str">
        <f ca="1">IF(A171="","",VLOOKUP(MONTH(A171),Расчеты!$O$2:$P$13,2))</f>
        <v/>
      </c>
      <c r="Q171" s="115" t="str">
        <f t="shared" si="2"/>
        <v/>
      </c>
    </row>
    <row r="172" spans="13:17">
      <c r="M172" s="109"/>
      <c r="N172" s="109"/>
      <c r="O172" s="109"/>
      <c r="P172" s="109" t="str">
        <f ca="1">IF(A172="","",VLOOKUP(MONTH(A172),Расчеты!$O$2:$P$13,2))</f>
        <v/>
      </c>
      <c r="Q172" s="115" t="str">
        <f t="shared" si="2"/>
        <v/>
      </c>
    </row>
    <row r="173" spans="13:17">
      <c r="M173" s="109"/>
      <c r="N173" s="109"/>
      <c r="O173" s="109"/>
      <c r="P173" s="109" t="str">
        <f ca="1">IF(A173="","",VLOOKUP(MONTH(A173),Расчеты!$O$2:$P$13,2))</f>
        <v/>
      </c>
      <c r="Q173" s="115" t="str">
        <f t="shared" si="2"/>
        <v/>
      </c>
    </row>
    <row r="174" spans="13:17">
      <c r="M174" s="109"/>
      <c r="N174" s="109"/>
      <c r="O174" s="109"/>
      <c r="P174" s="109" t="str">
        <f ca="1">IF(A174="","",VLOOKUP(MONTH(A174),Расчеты!$O$2:$P$13,2))</f>
        <v/>
      </c>
      <c r="Q174" s="115" t="str">
        <f t="shared" si="2"/>
        <v/>
      </c>
    </row>
    <row r="175" spans="13:17">
      <c r="M175" s="109"/>
      <c r="N175" s="109"/>
      <c r="O175" s="109"/>
      <c r="P175" s="109" t="str">
        <f ca="1">IF(A175="","",VLOOKUP(MONTH(A175),Расчеты!$O$2:$P$13,2))</f>
        <v/>
      </c>
      <c r="Q175" s="115" t="str">
        <f t="shared" si="2"/>
        <v/>
      </c>
    </row>
    <row r="176" spans="13:17">
      <c r="M176" s="109"/>
      <c r="N176" s="109"/>
      <c r="O176" s="109"/>
      <c r="P176" s="109" t="str">
        <f ca="1">IF(A176="","",VLOOKUP(MONTH(A176),Расчеты!$O$2:$P$13,2))</f>
        <v/>
      </c>
      <c r="Q176" s="115" t="str">
        <f t="shared" si="2"/>
        <v/>
      </c>
    </row>
    <row r="177" spans="13:17">
      <c r="M177" s="109"/>
      <c r="N177" s="109"/>
      <c r="O177" s="109"/>
      <c r="P177" s="109" t="str">
        <f ca="1">IF(A177="","",VLOOKUP(MONTH(A177),Расчеты!$O$2:$P$13,2))</f>
        <v/>
      </c>
      <c r="Q177" s="115" t="str">
        <f t="shared" si="2"/>
        <v/>
      </c>
    </row>
    <row r="178" spans="13:17">
      <c r="M178" s="109"/>
      <c r="N178" s="109"/>
      <c r="O178" s="109"/>
      <c r="P178" s="109" t="str">
        <f ca="1">IF(A178="","",VLOOKUP(MONTH(A178),Расчеты!$O$2:$P$13,2))</f>
        <v/>
      </c>
      <c r="Q178" s="115" t="str">
        <f t="shared" si="2"/>
        <v/>
      </c>
    </row>
    <row r="179" spans="13:17">
      <c r="M179" s="109"/>
      <c r="N179" s="109"/>
      <c r="O179" s="109"/>
      <c r="P179" s="109" t="str">
        <f ca="1">IF(A179="","",VLOOKUP(MONTH(A179),Расчеты!$O$2:$P$13,2))</f>
        <v/>
      </c>
      <c r="Q179" s="115" t="str">
        <f t="shared" si="2"/>
        <v/>
      </c>
    </row>
    <row r="180" spans="13:17">
      <c r="M180" s="109"/>
      <c r="N180" s="109"/>
      <c r="O180" s="109"/>
      <c r="P180" s="109" t="str">
        <f ca="1">IF(A180="","",VLOOKUP(MONTH(A180),Расчеты!$O$2:$P$13,2))</f>
        <v/>
      </c>
      <c r="Q180" s="115" t="str">
        <f t="shared" si="2"/>
        <v/>
      </c>
    </row>
    <row r="181" spans="13:17">
      <c r="M181" s="109"/>
      <c r="N181" s="109"/>
      <c r="O181" s="109"/>
      <c r="P181" s="109" t="str">
        <f ca="1">IF(A181="","",VLOOKUP(MONTH(A181),Расчеты!$O$2:$P$13,2))</f>
        <v/>
      </c>
      <c r="Q181" s="115" t="str">
        <f t="shared" si="2"/>
        <v/>
      </c>
    </row>
    <row r="182" spans="13:17">
      <c r="M182" s="109"/>
      <c r="N182" s="109"/>
      <c r="O182" s="109"/>
      <c r="P182" s="109" t="str">
        <f ca="1">IF(A182="","",VLOOKUP(MONTH(A182),Расчеты!$O$2:$P$13,2))</f>
        <v/>
      </c>
      <c r="Q182" s="115" t="str">
        <f t="shared" si="2"/>
        <v/>
      </c>
    </row>
    <row r="183" spans="13:17">
      <c r="M183" s="109"/>
      <c r="N183" s="109"/>
      <c r="O183" s="109"/>
      <c r="P183" s="109" t="str">
        <f ca="1">IF(A183="","",VLOOKUP(MONTH(A183),Расчеты!$O$2:$P$13,2))</f>
        <v/>
      </c>
      <c r="Q183" s="115" t="str">
        <f t="shared" si="2"/>
        <v/>
      </c>
    </row>
    <row r="184" spans="13:17">
      <c r="M184" s="109"/>
      <c r="N184" s="109"/>
      <c r="O184" s="109"/>
      <c r="P184" s="109" t="str">
        <f ca="1">IF(A184="","",VLOOKUP(MONTH(A184),Расчеты!$O$2:$P$13,2))</f>
        <v/>
      </c>
      <c r="Q184" s="115" t="str">
        <f t="shared" si="2"/>
        <v/>
      </c>
    </row>
    <row r="185" spans="13:17">
      <c r="M185" s="109"/>
      <c r="N185" s="109"/>
      <c r="O185" s="109"/>
      <c r="P185" s="109" t="str">
        <f ca="1">IF(A185="","",VLOOKUP(MONTH(A185),Расчеты!$O$2:$P$13,2))</f>
        <v/>
      </c>
      <c r="Q185" s="115" t="str">
        <f t="shared" si="2"/>
        <v/>
      </c>
    </row>
    <row r="186" spans="13:17">
      <c r="M186" s="109"/>
      <c r="N186" s="109"/>
      <c r="O186" s="109"/>
      <c r="P186" s="109" t="str">
        <f ca="1">IF(A186="","",VLOOKUP(MONTH(A186),Расчеты!$O$2:$P$13,2))</f>
        <v/>
      </c>
      <c r="Q186" s="115" t="str">
        <f t="shared" si="2"/>
        <v/>
      </c>
    </row>
    <row r="187" spans="13:17">
      <c r="M187" s="109"/>
      <c r="N187" s="109"/>
      <c r="O187" s="109"/>
      <c r="P187" s="109" t="str">
        <f ca="1">IF(A187="","",VLOOKUP(MONTH(A187),Расчеты!$O$2:$P$13,2))</f>
        <v/>
      </c>
      <c r="Q187" s="115" t="str">
        <f t="shared" si="2"/>
        <v/>
      </c>
    </row>
    <row r="188" spans="13:17">
      <c r="M188" s="109"/>
      <c r="N188" s="109"/>
      <c r="O188" s="109"/>
      <c r="P188" s="109" t="str">
        <f ca="1">IF(A188="","",VLOOKUP(MONTH(A188),Расчеты!$O$2:$P$13,2))</f>
        <v/>
      </c>
      <c r="Q188" s="115" t="str">
        <f t="shared" si="2"/>
        <v/>
      </c>
    </row>
    <row r="189" spans="13:17">
      <c r="M189" s="109"/>
      <c r="N189" s="109"/>
      <c r="O189" s="109"/>
      <c r="P189" s="109" t="str">
        <f ca="1">IF(A189="","",VLOOKUP(MONTH(A189),Расчеты!$O$2:$P$13,2))</f>
        <v/>
      </c>
      <c r="Q189" s="115" t="str">
        <f t="shared" si="2"/>
        <v/>
      </c>
    </row>
    <row r="190" spans="13:17">
      <c r="M190" s="109"/>
      <c r="N190" s="109"/>
      <c r="O190" s="109"/>
      <c r="P190" s="109" t="str">
        <f ca="1">IF(A190="","",VLOOKUP(MONTH(A190),Расчеты!$O$2:$P$13,2))</f>
        <v/>
      </c>
      <c r="Q190" s="115" t="str">
        <f t="shared" si="2"/>
        <v/>
      </c>
    </row>
    <row r="191" spans="13:17">
      <c r="M191" s="109"/>
      <c r="N191" s="109"/>
      <c r="O191" s="109"/>
      <c r="P191" s="109" t="str">
        <f ca="1">IF(A191="","",VLOOKUP(MONTH(A191),Расчеты!$O$2:$P$13,2))</f>
        <v/>
      </c>
      <c r="Q191" s="115" t="str">
        <f t="shared" si="2"/>
        <v/>
      </c>
    </row>
    <row r="192" spans="13:17">
      <c r="M192" s="109"/>
      <c r="N192" s="109"/>
      <c r="O192" s="109"/>
      <c r="P192" s="109" t="str">
        <f ca="1">IF(A192="","",VLOOKUP(MONTH(A192),Расчеты!$O$2:$P$13,2))</f>
        <v/>
      </c>
      <c r="Q192" s="115" t="str">
        <f t="shared" si="2"/>
        <v/>
      </c>
    </row>
    <row r="193" spans="13:17">
      <c r="M193" s="109"/>
      <c r="N193" s="109"/>
      <c r="O193" s="109"/>
      <c r="P193" s="109" t="str">
        <f ca="1">IF(A193="","",VLOOKUP(MONTH(A193),Расчеты!$O$2:$P$13,2))</f>
        <v/>
      </c>
      <c r="Q193" s="115" t="str">
        <f t="shared" si="2"/>
        <v/>
      </c>
    </row>
    <row r="194" spans="13:17">
      <c r="M194" s="109"/>
      <c r="N194" s="109"/>
      <c r="O194" s="109"/>
      <c r="P194" s="109" t="str">
        <f ca="1">IF(A194="","",VLOOKUP(MONTH(A194),Расчеты!$O$2:$P$13,2))</f>
        <v/>
      </c>
      <c r="Q194" s="115" t="str">
        <f t="shared" ref="Q194:Q257" si="3">IF(A194="","",YEAR(A194))</f>
        <v/>
      </c>
    </row>
    <row r="195" spans="13:17">
      <c r="M195" s="109"/>
      <c r="N195" s="109"/>
      <c r="O195" s="109"/>
      <c r="P195" s="109" t="str">
        <f ca="1">IF(A195="","",VLOOKUP(MONTH(A195),Расчеты!$O$2:$P$13,2))</f>
        <v/>
      </c>
      <c r="Q195" s="115" t="str">
        <f t="shared" si="3"/>
        <v/>
      </c>
    </row>
    <row r="196" spans="13:17">
      <c r="M196" s="109"/>
      <c r="N196" s="109"/>
      <c r="O196" s="109"/>
      <c r="P196" s="109" t="str">
        <f ca="1">IF(A196="","",VLOOKUP(MONTH(A196),Расчеты!$O$2:$P$13,2))</f>
        <v/>
      </c>
      <c r="Q196" s="115" t="str">
        <f t="shared" si="3"/>
        <v/>
      </c>
    </row>
    <row r="197" spans="13:17">
      <c r="M197" s="109"/>
      <c r="N197" s="109"/>
      <c r="O197" s="109"/>
      <c r="P197" s="109" t="str">
        <f ca="1">IF(A197="","",VLOOKUP(MONTH(A197),Расчеты!$O$2:$P$13,2))</f>
        <v/>
      </c>
      <c r="Q197" s="115" t="str">
        <f t="shared" si="3"/>
        <v/>
      </c>
    </row>
    <row r="198" spans="13:17">
      <c r="M198" s="109"/>
      <c r="N198" s="109"/>
      <c r="O198" s="109"/>
      <c r="P198" s="109" t="str">
        <f ca="1">IF(A198="","",VLOOKUP(MONTH(A198),Расчеты!$O$2:$P$13,2))</f>
        <v/>
      </c>
      <c r="Q198" s="115" t="str">
        <f t="shared" si="3"/>
        <v/>
      </c>
    </row>
    <row r="199" spans="13:17">
      <c r="M199" s="109"/>
      <c r="N199" s="109"/>
      <c r="O199" s="109"/>
      <c r="P199" s="109" t="str">
        <f ca="1">IF(A199="","",VLOOKUP(MONTH(A199),Расчеты!$O$2:$P$13,2))</f>
        <v/>
      </c>
      <c r="Q199" s="115" t="str">
        <f t="shared" si="3"/>
        <v/>
      </c>
    </row>
    <row r="200" spans="13:17">
      <c r="M200" s="109"/>
      <c r="N200" s="109"/>
      <c r="O200" s="109"/>
      <c r="P200" s="109" t="str">
        <f ca="1">IF(A200="","",VLOOKUP(MONTH(A200),Расчеты!$O$2:$P$13,2))</f>
        <v/>
      </c>
      <c r="Q200" s="115" t="str">
        <f t="shared" si="3"/>
        <v/>
      </c>
    </row>
    <row r="201" spans="13:17">
      <c r="M201" s="109"/>
      <c r="N201" s="109"/>
      <c r="O201" s="109"/>
      <c r="P201" s="109" t="str">
        <f ca="1">IF(A201="","",VLOOKUP(MONTH(A201),Расчеты!$O$2:$P$13,2))</f>
        <v/>
      </c>
      <c r="Q201" s="115" t="str">
        <f t="shared" si="3"/>
        <v/>
      </c>
    </row>
    <row r="202" spans="13:17">
      <c r="M202" s="109"/>
      <c r="N202" s="109"/>
      <c r="O202" s="109"/>
      <c r="P202" s="109" t="str">
        <f ca="1">IF(A202="","",VLOOKUP(MONTH(A202),Расчеты!$O$2:$P$13,2))</f>
        <v/>
      </c>
      <c r="Q202" s="115" t="str">
        <f t="shared" si="3"/>
        <v/>
      </c>
    </row>
    <row r="203" spans="13:17">
      <c r="M203" s="109"/>
      <c r="N203" s="109"/>
      <c r="O203" s="109"/>
      <c r="P203" s="109" t="str">
        <f ca="1">IF(A203="","",VLOOKUP(MONTH(A203),Расчеты!$O$2:$P$13,2))</f>
        <v/>
      </c>
      <c r="Q203" s="115" t="str">
        <f t="shared" si="3"/>
        <v/>
      </c>
    </row>
    <row r="204" spans="13:17">
      <c r="M204" s="109"/>
      <c r="N204" s="109"/>
      <c r="O204" s="109"/>
      <c r="P204" s="109" t="str">
        <f ca="1">IF(A204="","",VLOOKUP(MONTH(A204),Расчеты!$O$2:$P$13,2))</f>
        <v/>
      </c>
      <c r="Q204" s="115" t="str">
        <f t="shared" si="3"/>
        <v/>
      </c>
    </row>
    <row r="205" spans="13:17">
      <c r="M205" s="109"/>
      <c r="N205" s="109"/>
      <c r="O205" s="109"/>
      <c r="P205" s="109" t="str">
        <f ca="1">IF(A205="","",VLOOKUP(MONTH(A205),Расчеты!$O$2:$P$13,2))</f>
        <v/>
      </c>
      <c r="Q205" s="115" t="str">
        <f t="shared" si="3"/>
        <v/>
      </c>
    </row>
    <row r="206" spans="13:17">
      <c r="M206" s="109"/>
      <c r="N206" s="109"/>
      <c r="O206" s="109"/>
      <c r="P206" s="109" t="str">
        <f ca="1">IF(A206="","",VLOOKUP(MONTH(A206),Расчеты!$O$2:$P$13,2))</f>
        <v/>
      </c>
      <c r="Q206" s="115" t="str">
        <f t="shared" si="3"/>
        <v/>
      </c>
    </row>
    <row r="207" spans="13:17">
      <c r="M207" s="109"/>
      <c r="N207" s="109"/>
      <c r="O207" s="109"/>
      <c r="P207" s="109" t="str">
        <f ca="1">IF(A207="","",VLOOKUP(MONTH(A207),Расчеты!$O$2:$P$13,2))</f>
        <v/>
      </c>
      <c r="Q207" s="115" t="str">
        <f t="shared" si="3"/>
        <v/>
      </c>
    </row>
    <row r="208" spans="13:17">
      <c r="M208" s="109"/>
      <c r="N208" s="109"/>
      <c r="O208" s="109"/>
      <c r="P208" s="109" t="str">
        <f ca="1">IF(A208="","",VLOOKUP(MONTH(A208),Расчеты!$O$2:$P$13,2))</f>
        <v/>
      </c>
      <c r="Q208" s="115" t="str">
        <f t="shared" si="3"/>
        <v/>
      </c>
    </row>
    <row r="209" spans="13:17">
      <c r="M209" s="109"/>
      <c r="N209" s="109"/>
      <c r="O209" s="109"/>
      <c r="P209" s="109" t="str">
        <f ca="1">IF(A209="","",VLOOKUP(MONTH(A209),Расчеты!$O$2:$P$13,2))</f>
        <v/>
      </c>
      <c r="Q209" s="115" t="str">
        <f t="shared" si="3"/>
        <v/>
      </c>
    </row>
    <row r="210" spans="13:17">
      <c r="M210" s="109"/>
      <c r="N210" s="109"/>
      <c r="O210" s="109"/>
      <c r="P210" s="109" t="str">
        <f ca="1">IF(A210="","",VLOOKUP(MONTH(A210),Расчеты!$O$2:$P$13,2))</f>
        <v/>
      </c>
      <c r="Q210" s="115" t="str">
        <f t="shared" si="3"/>
        <v/>
      </c>
    </row>
    <row r="211" spans="13:17">
      <c r="M211" s="109"/>
      <c r="N211" s="109"/>
      <c r="O211" s="109"/>
      <c r="P211" s="109" t="str">
        <f ca="1">IF(A211="","",VLOOKUP(MONTH(A211),Расчеты!$O$2:$P$13,2))</f>
        <v/>
      </c>
      <c r="Q211" s="115" t="str">
        <f t="shared" si="3"/>
        <v/>
      </c>
    </row>
    <row r="212" spans="13:17">
      <c r="M212" s="109"/>
      <c r="N212" s="109"/>
      <c r="O212" s="109"/>
      <c r="P212" s="109" t="str">
        <f ca="1">IF(A212="","",VLOOKUP(MONTH(A212),Расчеты!$O$2:$P$13,2))</f>
        <v/>
      </c>
      <c r="Q212" s="115" t="str">
        <f t="shared" si="3"/>
        <v/>
      </c>
    </row>
    <row r="213" spans="13:17">
      <c r="M213" s="109"/>
      <c r="N213" s="109"/>
      <c r="O213" s="109"/>
      <c r="P213" s="109" t="str">
        <f ca="1">IF(A213="","",VLOOKUP(MONTH(A213),Расчеты!$O$2:$P$13,2))</f>
        <v/>
      </c>
      <c r="Q213" s="115" t="str">
        <f t="shared" si="3"/>
        <v/>
      </c>
    </row>
    <row r="214" spans="13:17">
      <c r="M214" s="109"/>
      <c r="N214" s="109"/>
      <c r="O214" s="109"/>
      <c r="P214" s="109" t="str">
        <f ca="1">IF(A214="","",VLOOKUP(MONTH(A214),Расчеты!$O$2:$P$13,2))</f>
        <v/>
      </c>
      <c r="Q214" s="115" t="str">
        <f t="shared" si="3"/>
        <v/>
      </c>
    </row>
    <row r="215" spans="13:17">
      <c r="M215" s="109"/>
      <c r="N215" s="109"/>
      <c r="O215" s="109"/>
      <c r="P215" s="109" t="str">
        <f ca="1">IF(A215="","",VLOOKUP(MONTH(A215),Расчеты!$O$2:$P$13,2))</f>
        <v/>
      </c>
      <c r="Q215" s="115" t="str">
        <f t="shared" si="3"/>
        <v/>
      </c>
    </row>
    <row r="216" spans="13:17">
      <c r="M216" s="109"/>
      <c r="N216" s="109"/>
      <c r="O216" s="109"/>
      <c r="P216" s="109" t="str">
        <f ca="1">IF(A216="","",VLOOKUP(MONTH(A216),Расчеты!$O$2:$P$13,2))</f>
        <v/>
      </c>
      <c r="Q216" s="115" t="str">
        <f t="shared" si="3"/>
        <v/>
      </c>
    </row>
    <row r="217" spans="13:17">
      <c r="M217" s="109"/>
      <c r="N217" s="109"/>
      <c r="O217" s="109"/>
      <c r="P217" s="109" t="str">
        <f ca="1">IF(A217="","",VLOOKUP(MONTH(A217),Расчеты!$O$2:$P$13,2))</f>
        <v/>
      </c>
      <c r="Q217" s="115" t="str">
        <f t="shared" si="3"/>
        <v/>
      </c>
    </row>
    <row r="218" spans="13:17">
      <c r="M218" s="109"/>
      <c r="N218" s="109"/>
      <c r="O218" s="109"/>
      <c r="P218" s="109" t="str">
        <f ca="1">IF(A218="","",VLOOKUP(MONTH(A218),Расчеты!$O$2:$P$13,2))</f>
        <v/>
      </c>
      <c r="Q218" s="115" t="str">
        <f t="shared" si="3"/>
        <v/>
      </c>
    </row>
    <row r="219" spans="13:17">
      <c r="M219" s="109"/>
      <c r="N219" s="109"/>
      <c r="O219" s="109"/>
      <c r="P219" s="109" t="str">
        <f ca="1">IF(A219="","",VLOOKUP(MONTH(A219),Расчеты!$O$2:$P$13,2))</f>
        <v/>
      </c>
      <c r="Q219" s="115" t="str">
        <f t="shared" si="3"/>
        <v/>
      </c>
    </row>
    <row r="220" spans="13:17">
      <c r="M220" s="109"/>
      <c r="N220" s="109"/>
      <c r="O220" s="109"/>
      <c r="P220" s="109" t="str">
        <f ca="1">IF(A220="","",VLOOKUP(MONTH(A220),Расчеты!$O$2:$P$13,2))</f>
        <v/>
      </c>
      <c r="Q220" s="115" t="str">
        <f t="shared" si="3"/>
        <v/>
      </c>
    </row>
    <row r="221" spans="13:17">
      <c r="M221" s="109"/>
      <c r="N221" s="109"/>
      <c r="O221" s="109"/>
      <c r="P221" s="109" t="str">
        <f ca="1">IF(A221="","",VLOOKUP(MONTH(A221),Расчеты!$O$2:$P$13,2))</f>
        <v/>
      </c>
      <c r="Q221" s="115" t="str">
        <f t="shared" si="3"/>
        <v/>
      </c>
    </row>
    <row r="222" spans="13:17">
      <c r="M222" s="109"/>
      <c r="N222" s="109"/>
      <c r="O222" s="109"/>
      <c r="P222" s="109" t="str">
        <f ca="1">IF(A222="","",VLOOKUP(MONTH(A222),Расчеты!$O$2:$P$13,2))</f>
        <v/>
      </c>
      <c r="Q222" s="115" t="str">
        <f t="shared" si="3"/>
        <v/>
      </c>
    </row>
    <row r="223" spans="13:17">
      <c r="M223" s="109"/>
      <c r="N223" s="109"/>
      <c r="O223" s="109"/>
      <c r="P223" s="109" t="str">
        <f ca="1">IF(A223="","",VLOOKUP(MONTH(A223),Расчеты!$O$2:$P$13,2))</f>
        <v/>
      </c>
      <c r="Q223" s="115" t="str">
        <f t="shared" si="3"/>
        <v/>
      </c>
    </row>
    <row r="224" spans="13:17">
      <c r="M224" s="109"/>
      <c r="N224" s="109"/>
      <c r="O224" s="109"/>
      <c r="P224" s="109" t="str">
        <f ca="1">IF(A224="","",VLOOKUP(MONTH(A224),Расчеты!$O$2:$P$13,2))</f>
        <v/>
      </c>
      <c r="Q224" s="115" t="str">
        <f t="shared" si="3"/>
        <v/>
      </c>
    </row>
    <row r="225" spans="13:17">
      <c r="M225" s="109"/>
      <c r="N225" s="109"/>
      <c r="O225" s="109"/>
      <c r="P225" s="109" t="str">
        <f ca="1">IF(A225="","",VLOOKUP(MONTH(A225),Расчеты!$O$2:$P$13,2))</f>
        <v/>
      </c>
      <c r="Q225" s="115" t="str">
        <f t="shared" si="3"/>
        <v/>
      </c>
    </row>
    <row r="226" spans="13:17">
      <c r="M226" s="109"/>
      <c r="N226" s="109"/>
      <c r="O226" s="109"/>
      <c r="P226" s="109" t="str">
        <f ca="1">IF(A226="","",VLOOKUP(MONTH(A226),Расчеты!$O$2:$P$13,2))</f>
        <v/>
      </c>
      <c r="Q226" s="115" t="str">
        <f t="shared" si="3"/>
        <v/>
      </c>
    </row>
    <row r="227" spans="13:17">
      <c r="M227" s="109"/>
      <c r="N227" s="109"/>
      <c r="O227" s="109"/>
      <c r="P227" s="109" t="str">
        <f ca="1">IF(A227="","",VLOOKUP(MONTH(A227),Расчеты!$O$2:$P$13,2))</f>
        <v/>
      </c>
      <c r="Q227" s="115" t="str">
        <f t="shared" si="3"/>
        <v/>
      </c>
    </row>
    <row r="228" spans="13:17">
      <c r="M228" s="109"/>
      <c r="N228" s="109"/>
      <c r="O228" s="109"/>
      <c r="P228" s="109" t="str">
        <f ca="1">IF(A228="","",VLOOKUP(MONTH(A228),Расчеты!$O$2:$P$13,2))</f>
        <v/>
      </c>
      <c r="Q228" s="115" t="str">
        <f t="shared" si="3"/>
        <v/>
      </c>
    </row>
    <row r="229" spans="13:17">
      <c r="M229" s="109"/>
      <c r="N229" s="109"/>
      <c r="O229" s="109"/>
      <c r="P229" s="109" t="str">
        <f ca="1">IF(A229="","",VLOOKUP(MONTH(A229),Расчеты!$O$2:$P$13,2))</f>
        <v/>
      </c>
      <c r="Q229" s="115" t="str">
        <f t="shared" si="3"/>
        <v/>
      </c>
    </row>
    <row r="230" spans="13:17">
      <c r="M230" s="109"/>
      <c r="N230" s="109"/>
      <c r="O230" s="109"/>
      <c r="P230" s="109" t="str">
        <f ca="1">IF(A230="","",VLOOKUP(MONTH(A230),Расчеты!$O$2:$P$13,2))</f>
        <v/>
      </c>
      <c r="Q230" s="115" t="str">
        <f t="shared" si="3"/>
        <v/>
      </c>
    </row>
    <row r="231" spans="13:17">
      <c r="M231" s="109"/>
      <c r="N231" s="109"/>
      <c r="O231" s="109"/>
      <c r="P231" s="109" t="str">
        <f ca="1">IF(A231="","",VLOOKUP(MONTH(A231),Расчеты!$O$2:$P$13,2))</f>
        <v/>
      </c>
      <c r="Q231" s="115" t="str">
        <f t="shared" si="3"/>
        <v/>
      </c>
    </row>
    <row r="232" spans="13:17">
      <c r="M232" s="109"/>
      <c r="N232" s="109"/>
      <c r="O232" s="109"/>
      <c r="P232" s="109" t="str">
        <f ca="1">IF(A232="","",VLOOKUP(MONTH(A232),Расчеты!$O$2:$P$13,2))</f>
        <v/>
      </c>
      <c r="Q232" s="115" t="str">
        <f t="shared" si="3"/>
        <v/>
      </c>
    </row>
    <row r="233" spans="13:17">
      <c r="M233" s="109"/>
      <c r="N233" s="109"/>
      <c r="O233" s="109"/>
      <c r="P233" s="109" t="str">
        <f ca="1">IF(A233="","",VLOOKUP(MONTH(A233),Расчеты!$O$2:$P$13,2))</f>
        <v/>
      </c>
      <c r="Q233" s="115" t="str">
        <f t="shared" si="3"/>
        <v/>
      </c>
    </row>
    <row r="234" spans="13:17">
      <c r="M234" s="109"/>
      <c r="N234" s="109"/>
      <c r="O234" s="109"/>
      <c r="P234" s="109" t="str">
        <f ca="1">IF(A234="","",VLOOKUP(MONTH(A234),Расчеты!$O$2:$P$13,2))</f>
        <v/>
      </c>
      <c r="Q234" s="115" t="str">
        <f t="shared" si="3"/>
        <v/>
      </c>
    </row>
    <row r="235" spans="13:17">
      <c r="M235" s="109"/>
      <c r="N235" s="109"/>
      <c r="O235" s="109"/>
      <c r="P235" s="109" t="str">
        <f ca="1">IF(A235="","",VLOOKUP(MONTH(A235),Расчеты!$O$2:$P$13,2))</f>
        <v/>
      </c>
      <c r="Q235" s="115" t="str">
        <f t="shared" si="3"/>
        <v/>
      </c>
    </row>
    <row r="236" spans="13:17">
      <c r="M236" s="109"/>
      <c r="N236" s="109"/>
      <c r="O236" s="109"/>
      <c r="P236" s="109" t="str">
        <f ca="1">IF(A236="","",VLOOKUP(MONTH(A236),Расчеты!$O$2:$P$13,2))</f>
        <v/>
      </c>
      <c r="Q236" s="115" t="str">
        <f t="shared" si="3"/>
        <v/>
      </c>
    </row>
    <row r="237" spans="13:17">
      <c r="M237" s="109"/>
      <c r="N237" s="109"/>
      <c r="O237" s="109"/>
      <c r="P237" s="109" t="str">
        <f ca="1">IF(A237="","",VLOOKUP(MONTH(A237),Расчеты!$O$2:$P$13,2))</f>
        <v/>
      </c>
      <c r="Q237" s="115" t="str">
        <f t="shared" si="3"/>
        <v/>
      </c>
    </row>
    <row r="238" spans="13:17">
      <c r="M238" s="109"/>
      <c r="N238" s="109"/>
      <c r="O238" s="109"/>
      <c r="P238" s="109" t="str">
        <f ca="1">IF(A238="","",VLOOKUP(MONTH(A238),Расчеты!$O$2:$P$13,2))</f>
        <v/>
      </c>
      <c r="Q238" s="115" t="str">
        <f t="shared" si="3"/>
        <v/>
      </c>
    </row>
    <row r="239" spans="13:17">
      <c r="M239" s="109"/>
      <c r="N239" s="109"/>
      <c r="O239" s="109"/>
      <c r="P239" s="109" t="str">
        <f ca="1">IF(A239="","",VLOOKUP(MONTH(A239),Расчеты!$O$2:$P$13,2))</f>
        <v/>
      </c>
      <c r="Q239" s="115" t="str">
        <f t="shared" si="3"/>
        <v/>
      </c>
    </row>
    <row r="240" spans="13:17">
      <c r="M240" s="109"/>
      <c r="N240" s="109"/>
      <c r="O240" s="109"/>
      <c r="P240" s="109" t="str">
        <f ca="1">IF(A240="","",VLOOKUP(MONTH(A240),Расчеты!$O$2:$P$13,2))</f>
        <v/>
      </c>
      <c r="Q240" s="115" t="str">
        <f t="shared" si="3"/>
        <v/>
      </c>
    </row>
    <row r="241" spans="13:17">
      <c r="M241" s="109"/>
      <c r="N241" s="109"/>
      <c r="O241" s="109"/>
      <c r="P241" s="109" t="str">
        <f ca="1">IF(A241="","",VLOOKUP(MONTH(A241),Расчеты!$O$2:$P$13,2))</f>
        <v/>
      </c>
      <c r="Q241" s="115" t="str">
        <f t="shared" si="3"/>
        <v/>
      </c>
    </row>
    <row r="242" spans="13:17">
      <c r="M242" s="109"/>
      <c r="N242" s="109"/>
      <c r="O242" s="109"/>
      <c r="P242" s="109" t="str">
        <f ca="1">IF(A242="","",VLOOKUP(MONTH(A242),Расчеты!$O$2:$P$13,2))</f>
        <v/>
      </c>
      <c r="Q242" s="115" t="str">
        <f t="shared" si="3"/>
        <v/>
      </c>
    </row>
    <row r="243" spans="13:17">
      <c r="M243" s="109"/>
      <c r="N243" s="109"/>
      <c r="O243" s="109"/>
      <c r="P243" s="109" t="str">
        <f ca="1">IF(A243="","",VLOOKUP(MONTH(A243),Расчеты!$O$2:$P$13,2))</f>
        <v/>
      </c>
      <c r="Q243" s="115" t="str">
        <f t="shared" si="3"/>
        <v/>
      </c>
    </row>
    <row r="244" spans="13:17">
      <c r="M244" s="109"/>
      <c r="N244" s="109"/>
      <c r="O244" s="109"/>
      <c r="P244" s="109" t="str">
        <f ca="1">IF(A244="","",VLOOKUP(MONTH(A244),Расчеты!$O$2:$P$13,2))</f>
        <v/>
      </c>
      <c r="Q244" s="115" t="str">
        <f t="shared" si="3"/>
        <v/>
      </c>
    </row>
    <row r="245" spans="13:17">
      <c r="M245" s="109"/>
      <c r="N245" s="109"/>
      <c r="O245" s="109"/>
      <c r="P245" s="109" t="str">
        <f ca="1">IF(A245="","",VLOOKUP(MONTH(A245),Расчеты!$O$2:$P$13,2))</f>
        <v/>
      </c>
      <c r="Q245" s="115" t="str">
        <f t="shared" si="3"/>
        <v/>
      </c>
    </row>
    <row r="246" spans="13:17">
      <c r="M246" s="109"/>
      <c r="N246" s="109"/>
      <c r="O246" s="109"/>
      <c r="P246" s="109" t="str">
        <f ca="1">IF(A246="","",VLOOKUP(MONTH(A246),Расчеты!$O$2:$P$13,2))</f>
        <v/>
      </c>
      <c r="Q246" s="115" t="str">
        <f t="shared" si="3"/>
        <v/>
      </c>
    </row>
    <row r="247" spans="13:17">
      <c r="M247" s="109"/>
      <c r="N247" s="109"/>
      <c r="O247" s="109"/>
      <c r="P247" s="109" t="str">
        <f ca="1">IF(A247="","",VLOOKUP(MONTH(A247),Расчеты!$O$2:$P$13,2))</f>
        <v/>
      </c>
      <c r="Q247" s="115" t="str">
        <f t="shared" si="3"/>
        <v/>
      </c>
    </row>
    <row r="248" spans="13:17">
      <c r="M248" s="109"/>
      <c r="N248" s="109"/>
      <c r="O248" s="109"/>
      <c r="P248" s="109" t="str">
        <f ca="1">IF(A248="","",VLOOKUP(MONTH(A248),Расчеты!$O$2:$P$13,2))</f>
        <v/>
      </c>
      <c r="Q248" s="115" t="str">
        <f t="shared" si="3"/>
        <v/>
      </c>
    </row>
    <row r="249" spans="13:17">
      <c r="M249" s="109"/>
      <c r="N249" s="109"/>
      <c r="O249" s="109"/>
      <c r="P249" s="109" t="str">
        <f ca="1">IF(A249="","",VLOOKUP(MONTH(A249),Расчеты!$O$2:$P$13,2))</f>
        <v/>
      </c>
      <c r="Q249" s="115" t="str">
        <f t="shared" si="3"/>
        <v/>
      </c>
    </row>
    <row r="250" spans="13:17">
      <c r="M250" s="109"/>
      <c r="N250" s="109"/>
      <c r="O250" s="109"/>
      <c r="P250" s="109" t="str">
        <f ca="1">IF(A250="","",VLOOKUP(MONTH(A250),Расчеты!$O$2:$P$13,2))</f>
        <v/>
      </c>
      <c r="Q250" s="115" t="str">
        <f t="shared" si="3"/>
        <v/>
      </c>
    </row>
    <row r="251" spans="13:17">
      <c r="M251" s="109"/>
      <c r="N251" s="109"/>
      <c r="O251" s="109"/>
      <c r="P251" s="109" t="str">
        <f ca="1">IF(A251="","",VLOOKUP(MONTH(A251),Расчеты!$O$2:$P$13,2))</f>
        <v/>
      </c>
      <c r="Q251" s="115" t="str">
        <f t="shared" si="3"/>
        <v/>
      </c>
    </row>
    <row r="252" spans="13:17">
      <c r="M252" s="109"/>
      <c r="N252" s="109"/>
      <c r="O252" s="109"/>
      <c r="P252" s="109" t="str">
        <f ca="1">IF(A252="","",VLOOKUP(MONTH(A252),Расчеты!$O$2:$P$13,2))</f>
        <v/>
      </c>
      <c r="Q252" s="115" t="str">
        <f t="shared" si="3"/>
        <v/>
      </c>
    </row>
    <row r="253" spans="13:17">
      <c r="M253" s="109"/>
      <c r="N253" s="109"/>
      <c r="O253" s="109"/>
      <c r="P253" s="109" t="str">
        <f ca="1">IF(A253="","",VLOOKUP(MONTH(A253),Расчеты!$O$2:$P$13,2))</f>
        <v/>
      </c>
      <c r="Q253" s="115" t="str">
        <f t="shared" si="3"/>
        <v/>
      </c>
    </row>
    <row r="254" spans="13:17">
      <c r="M254" s="109"/>
      <c r="N254" s="109"/>
      <c r="O254" s="109"/>
      <c r="P254" s="109" t="str">
        <f ca="1">IF(A254="","",VLOOKUP(MONTH(A254),Расчеты!$O$2:$P$13,2))</f>
        <v/>
      </c>
      <c r="Q254" s="115" t="str">
        <f t="shared" si="3"/>
        <v/>
      </c>
    </row>
    <row r="255" spans="13:17">
      <c r="M255" s="109"/>
      <c r="N255" s="109"/>
      <c r="O255" s="109"/>
      <c r="P255" s="109" t="str">
        <f ca="1">IF(A255="","",VLOOKUP(MONTH(A255),Расчеты!$O$2:$P$13,2))</f>
        <v/>
      </c>
      <c r="Q255" s="115" t="str">
        <f t="shared" si="3"/>
        <v/>
      </c>
    </row>
    <row r="256" spans="13:17">
      <c r="M256" s="109"/>
      <c r="N256" s="109"/>
      <c r="O256" s="109"/>
      <c r="P256" s="109" t="str">
        <f ca="1">IF(A256="","",VLOOKUP(MONTH(A256),Расчеты!$O$2:$P$13,2))</f>
        <v/>
      </c>
      <c r="Q256" s="115" t="str">
        <f t="shared" si="3"/>
        <v/>
      </c>
    </row>
    <row r="257" spans="13:17">
      <c r="M257" s="109"/>
      <c r="N257" s="109"/>
      <c r="O257" s="109"/>
      <c r="P257" s="109" t="str">
        <f ca="1">IF(A257="","",VLOOKUP(MONTH(A257),Расчеты!$O$2:$P$13,2))</f>
        <v/>
      </c>
      <c r="Q257" s="115" t="str">
        <f t="shared" si="3"/>
        <v/>
      </c>
    </row>
    <row r="258" spans="13:17">
      <c r="M258" s="109"/>
      <c r="N258" s="109"/>
      <c r="O258" s="109"/>
      <c r="P258" s="109" t="str">
        <f ca="1">IF(A258="","",VLOOKUP(MONTH(A258),Расчеты!$O$2:$P$13,2))</f>
        <v/>
      </c>
      <c r="Q258" s="115" t="str">
        <f t="shared" ref="Q258:Q321" si="4">IF(A258="","",YEAR(A258))</f>
        <v/>
      </c>
    </row>
    <row r="259" spans="13:17">
      <c r="M259" s="109"/>
      <c r="N259" s="109"/>
      <c r="O259" s="109"/>
      <c r="P259" s="109" t="str">
        <f ca="1">IF(A259="","",VLOOKUP(MONTH(A259),Расчеты!$O$2:$P$13,2))</f>
        <v/>
      </c>
      <c r="Q259" s="115" t="str">
        <f t="shared" si="4"/>
        <v/>
      </c>
    </row>
    <row r="260" spans="13:17">
      <c r="M260" s="109"/>
      <c r="N260" s="109"/>
      <c r="O260" s="109"/>
      <c r="P260" s="109" t="str">
        <f ca="1">IF(A260="","",VLOOKUP(MONTH(A260),Расчеты!$O$2:$P$13,2))</f>
        <v/>
      </c>
      <c r="Q260" s="115" t="str">
        <f t="shared" si="4"/>
        <v/>
      </c>
    </row>
    <row r="261" spans="13:17">
      <c r="M261" s="109"/>
      <c r="N261" s="109"/>
      <c r="O261" s="109"/>
      <c r="P261" s="109" t="str">
        <f ca="1">IF(A261="","",VLOOKUP(MONTH(A261),Расчеты!$O$2:$P$13,2))</f>
        <v/>
      </c>
      <c r="Q261" s="115" t="str">
        <f t="shared" si="4"/>
        <v/>
      </c>
    </row>
    <row r="262" spans="13:17">
      <c r="M262" s="109"/>
      <c r="N262" s="109"/>
      <c r="O262" s="109"/>
      <c r="P262" s="109" t="str">
        <f ca="1">IF(A262="","",VLOOKUP(MONTH(A262),Расчеты!$O$2:$P$13,2))</f>
        <v/>
      </c>
      <c r="Q262" s="115" t="str">
        <f t="shared" si="4"/>
        <v/>
      </c>
    </row>
    <row r="263" spans="13:17">
      <c r="M263" s="109"/>
      <c r="N263" s="109"/>
      <c r="O263" s="109"/>
      <c r="P263" s="109" t="str">
        <f ca="1">IF(A263="","",VLOOKUP(MONTH(A263),Расчеты!$O$2:$P$13,2))</f>
        <v/>
      </c>
      <c r="Q263" s="115" t="str">
        <f t="shared" si="4"/>
        <v/>
      </c>
    </row>
    <row r="264" spans="13:17">
      <c r="M264" s="109"/>
      <c r="N264" s="109"/>
      <c r="O264" s="109"/>
      <c r="P264" s="109" t="str">
        <f ca="1">IF(A264="","",VLOOKUP(MONTH(A264),Расчеты!$O$2:$P$13,2))</f>
        <v/>
      </c>
      <c r="Q264" s="115" t="str">
        <f t="shared" si="4"/>
        <v/>
      </c>
    </row>
    <row r="265" spans="13:17">
      <c r="M265" s="109"/>
      <c r="N265" s="109"/>
      <c r="O265" s="109"/>
      <c r="P265" s="109" t="str">
        <f ca="1">IF(A265="","",VLOOKUP(MONTH(A265),Расчеты!$O$2:$P$13,2))</f>
        <v/>
      </c>
      <c r="Q265" s="115" t="str">
        <f t="shared" si="4"/>
        <v/>
      </c>
    </row>
    <row r="266" spans="13:17">
      <c r="M266" s="109"/>
      <c r="N266" s="109"/>
      <c r="O266" s="109"/>
      <c r="P266" s="109" t="str">
        <f ca="1">IF(A266="","",VLOOKUP(MONTH(A266),Расчеты!$O$2:$P$13,2))</f>
        <v/>
      </c>
      <c r="Q266" s="115" t="str">
        <f t="shared" si="4"/>
        <v/>
      </c>
    </row>
    <row r="267" spans="13:17">
      <c r="M267" s="109"/>
      <c r="N267" s="109"/>
      <c r="O267" s="109"/>
      <c r="P267" s="109" t="str">
        <f ca="1">IF(A267="","",VLOOKUP(MONTH(A267),Расчеты!$O$2:$P$13,2))</f>
        <v/>
      </c>
      <c r="Q267" s="115" t="str">
        <f t="shared" si="4"/>
        <v/>
      </c>
    </row>
    <row r="268" spans="13:17">
      <c r="M268" s="109"/>
      <c r="N268" s="109"/>
      <c r="O268" s="109"/>
      <c r="P268" s="109" t="str">
        <f ca="1">IF(A268="","",VLOOKUP(MONTH(A268),Расчеты!$O$2:$P$13,2))</f>
        <v/>
      </c>
      <c r="Q268" s="115" t="str">
        <f t="shared" si="4"/>
        <v/>
      </c>
    </row>
    <row r="269" spans="13:17">
      <c r="M269" s="109"/>
      <c r="N269" s="109"/>
      <c r="O269" s="109"/>
      <c r="P269" s="109" t="str">
        <f ca="1">IF(A269="","",VLOOKUP(MONTH(A269),Расчеты!$O$2:$P$13,2))</f>
        <v/>
      </c>
      <c r="Q269" s="115" t="str">
        <f t="shared" si="4"/>
        <v/>
      </c>
    </row>
    <row r="270" spans="13:17">
      <c r="M270" s="109"/>
      <c r="N270" s="109"/>
      <c r="O270" s="109"/>
      <c r="P270" s="109" t="str">
        <f ca="1">IF(A270="","",VLOOKUP(MONTH(A270),Расчеты!$O$2:$P$13,2))</f>
        <v/>
      </c>
      <c r="Q270" s="115" t="str">
        <f t="shared" si="4"/>
        <v/>
      </c>
    </row>
    <row r="271" spans="13:17">
      <c r="M271" s="109"/>
      <c r="N271" s="109"/>
      <c r="O271" s="109"/>
      <c r="P271" s="109" t="str">
        <f ca="1">IF(A271="","",VLOOKUP(MONTH(A271),Расчеты!$O$2:$P$13,2))</f>
        <v/>
      </c>
      <c r="Q271" s="115" t="str">
        <f t="shared" si="4"/>
        <v/>
      </c>
    </row>
    <row r="272" spans="13:17">
      <c r="M272" s="109"/>
      <c r="N272" s="109"/>
      <c r="O272" s="109"/>
      <c r="P272" s="109" t="str">
        <f ca="1">IF(A272="","",VLOOKUP(MONTH(A272),Расчеты!$O$2:$P$13,2))</f>
        <v/>
      </c>
      <c r="Q272" s="115" t="str">
        <f t="shared" si="4"/>
        <v/>
      </c>
    </row>
    <row r="273" spans="13:17">
      <c r="M273" s="109"/>
      <c r="N273" s="109"/>
      <c r="O273" s="109"/>
      <c r="P273" s="109" t="str">
        <f ca="1">IF(A273="","",VLOOKUP(MONTH(A273),Расчеты!$O$2:$P$13,2))</f>
        <v/>
      </c>
      <c r="Q273" s="115" t="str">
        <f t="shared" si="4"/>
        <v/>
      </c>
    </row>
    <row r="274" spans="13:17">
      <c r="M274" s="109"/>
      <c r="N274" s="109"/>
      <c r="O274" s="109"/>
      <c r="P274" s="109" t="str">
        <f ca="1">IF(A274="","",VLOOKUP(MONTH(A274),Расчеты!$O$2:$P$13,2))</f>
        <v/>
      </c>
      <c r="Q274" s="115" t="str">
        <f t="shared" si="4"/>
        <v/>
      </c>
    </row>
    <row r="275" spans="13:17">
      <c r="M275" s="109"/>
      <c r="N275" s="109"/>
      <c r="O275" s="109"/>
      <c r="P275" s="109" t="str">
        <f ca="1">IF(A275="","",VLOOKUP(MONTH(A275),Расчеты!$O$2:$P$13,2))</f>
        <v/>
      </c>
      <c r="Q275" s="115" t="str">
        <f t="shared" si="4"/>
        <v/>
      </c>
    </row>
    <row r="276" spans="13:17">
      <c r="M276" s="109"/>
      <c r="N276" s="109"/>
      <c r="O276" s="109"/>
      <c r="P276" s="109" t="str">
        <f ca="1">IF(A276="","",VLOOKUP(MONTH(A276),Расчеты!$O$2:$P$13,2))</f>
        <v/>
      </c>
      <c r="Q276" s="115" t="str">
        <f t="shared" si="4"/>
        <v/>
      </c>
    </row>
    <row r="277" spans="13:17">
      <c r="M277" s="109"/>
      <c r="N277" s="109"/>
      <c r="O277" s="109"/>
      <c r="P277" s="109" t="str">
        <f ca="1">IF(A277="","",VLOOKUP(MONTH(A277),Расчеты!$O$2:$P$13,2))</f>
        <v/>
      </c>
      <c r="Q277" s="115" t="str">
        <f t="shared" si="4"/>
        <v/>
      </c>
    </row>
    <row r="278" spans="13:17">
      <c r="M278" s="109"/>
      <c r="N278" s="109"/>
      <c r="O278" s="109"/>
      <c r="P278" s="109" t="str">
        <f ca="1">IF(A278="","",VLOOKUP(MONTH(A278),Расчеты!$O$2:$P$13,2))</f>
        <v/>
      </c>
      <c r="Q278" s="115" t="str">
        <f t="shared" si="4"/>
        <v/>
      </c>
    </row>
    <row r="279" spans="13:17">
      <c r="M279" s="109"/>
      <c r="N279" s="109"/>
      <c r="O279" s="109"/>
      <c r="P279" s="109" t="str">
        <f ca="1">IF(A279="","",VLOOKUP(MONTH(A279),Расчеты!$O$2:$P$13,2))</f>
        <v/>
      </c>
      <c r="Q279" s="115" t="str">
        <f t="shared" si="4"/>
        <v/>
      </c>
    </row>
    <row r="280" spans="13:17">
      <c r="M280" s="109"/>
      <c r="N280" s="109"/>
      <c r="O280" s="109"/>
      <c r="P280" s="109" t="str">
        <f ca="1">IF(A280="","",VLOOKUP(MONTH(A280),Расчеты!$O$2:$P$13,2))</f>
        <v/>
      </c>
      <c r="Q280" s="115" t="str">
        <f t="shared" si="4"/>
        <v/>
      </c>
    </row>
    <row r="281" spans="13:17">
      <c r="M281" s="109"/>
      <c r="N281" s="109"/>
      <c r="O281" s="109"/>
      <c r="P281" s="109" t="str">
        <f ca="1">IF(A281="","",VLOOKUP(MONTH(A281),Расчеты!$O$2:$P$13,2))</f>
        <v/>
      </c>
      <c r="Q281" s="115" t="str">
        <f t="shared" si="4"/>
        <v/>
      </c>
    </row>
    <row r="282" spans="13:17">
      <c r="M282" s="109"/>
      <c r="N282" s="109"/>
      <c r="O282" s="109"/>
      <c r="P282" s="109" t="str">
        <f ca="1">IF(A282="","",VLOOKUP(MONTH(A282),Расчеты!$O$2:$P$13,2))</f>
        <v/>
      </c>
      <c r="Q282" s="115" t="str">
        <f t="shared" si="4"/>
        <v/>
      </c>
    </row>
    <row r="283" spans="13:17">
      <c r="M283" s="109"/>
      <c r="N283" s="109"/>
      <c r="O283" s="109"/>
      <c r="P283" s="109" t="str">
        <f ca="1">IF(A283="","",VLOOKUP(MONTH(A283),Расчеты!$O$2:$P$13,2))</f>
        <v/>
      </c>
      <c r="Q283" s="115" t="str">
        <f t="shared" si="4"/>
        <v/>
      </c>
    </row>
    <row r="284" spans="13:17">
      <c r="M284" s="109"/>
      <c r="N284" s="109"/>
      <c r="O284" s="109"/>
      <c r="P284" s="109" t="str">
        <f ca="1">IF(A284="","",VLOOKUP(MONTH(A284),Расчеты!$O$2:$P$13,2))</f>
        <v/>
      </c>
      <c r="Q284" s="115" t="str">
        <f t="shared" si="4"/>
        <v/>
      </c>
    </row>
    <row r="285" spans="13:17">
      <c r="M285" s="109"/>
      <c r="N285" s="109"/>
      <c r="O285" s="109"/>
      <c r="P285" s="109" t="str">
        <f ca="1">IF(A285="","",VLOOKUP(MONTH(A285),Расчеты!$O$2:$P$13,2))</f>
        <v/>
      </c>
      <c r="Q285" s="115" t="str">
        <f t="shared" si="4"/>
        <v/>
      </c>
    </row>
    <row r="286" spans="13:17">
      <c r="M286" s="109"/>
      <c r="N286" s="109"/>
      <c r="O286" s="109"/>
      <c r="P286" s="109" t="str">
        <f ca="1">IF(A286="","",VLOOKUP(MONTH(A286),Расчеты!$O$2:$P$13,2))</f>
        <v/>
      </c>
      <c r="Q286" s="115" t="str">
        <f t="shared" si="4"/>
        <v/>
      </c>
    </row>
    <row r="287" spans="13:17">
      <c r="M287" s="109"/>
      <c r="N287" s="109"/>
      <c r="O287" s="109"/>
      <c r="P287" s="109" t="str">
        <f ca="1">IF(A287="","",VLOOKUP(MONTH(A287),Расчеты!$O$2:$P$13,2))</f>
        <v/>
      </c>
      <c r="Q287" s="115" t="str">
        <f t="shared" si="4"/>
        <v/>
      </c>
    </row>
    <row r="288" spans="13:17">
      <c r="M288" s="109"/>
      <c r="N288" s="109"/>
      <c r="O288" s="109"/>
      <c r="P288" s="109" t="str">
        <f ca="1">IF(A288="","",VLOOKUP(MONTH(A288),Расчеты!$O$2:$P$13,2))</f>
        <v/>
      </c>
      <c r="Q288" s="115" t="str">
        <f t="shared" si="4"/>
        <v/>
      </c>
    </row>
    <row r="289" spans="13:17">
      <c r="M289" s="109"/>
      <c r="N289" s="109"/>
      <c r="O289" s="109"/>
      <c r="P289" s="109" t="str">
        <f ca="1">IF(A289="","",VLOOKUP(MONTH(A289),Расчеты!$O$2:$P$13,2))</f>
        <v/>
      </c>
      <c r="Q289" s="115" t="str">
        <f t="shared" si="4"/>
        <v/>
      </c>
    </row>
    <row r="290" spans="13:17">
      <c r="M290" s="109"/>
      <c r="N290" s="109"/>
      <c r="O290" s="109"/>
      <c r="P290" s="109" t="str">
        <f ca="1">IF(A290="","",VLOOKUP(MONTH(A290),Расчеты!$O$2:$P$13,2))</f>
        <v/>
      </c>
      <c r="Q290" s="115" t="str">
        <f t="shared" si="4"/>
        <v/>
      </c>
    </row>
    <row r="291" spans="13:17">
      <c r="M291" s="109"/>
      <c r="N291" s="109"/>
      <c r="O291" s="109"/>
      <c r="P291" s="109" t="str">
        <f ca="1">IF(A291="","",VLOOKUP(MONTH(A291),Расчеты!$O$2:$P$13,2))</f>
        <v/>
      </c>
      <c r="Q291" s="115" t="str">
        <f t="shared" si="4"/>
        <v/>
      </c>
    </row>
    <row r="292" spans="13:17">
      <c r="M292" s="109"/>
      <c r="N292" s="109"/>
      <c r="O292" s="109"/>
      <c r="P292" s="109" t="str">
        <f ca="1">IF(A292="","",VLOOKUP(MONTH(A292),Расчеты!$O$2:$P$13,2))</f>
        <v/>
      </c>
      <c r="Q292" s="115" t="str">
        <f t="shared" si="4"/>
        <v/>
      </c>
    </row>
    <row r="293" spans="13:17">
      <c r="M293" s="109"/>
      <c r="N293" s="109"/>
      <c r="O293" s="109"/>
      <c r="P293" s="109" t="str">
        <f ca="1">IF(A293="","",VLOOKUP(MONTH(A293),Расчеты!$O$2:$P$13,2))</f>
        <v/>
      </c>
      <c r="Q293" s="115" t="str">
        <f t="shared" si="4"/>
        <v/>
      </c>
    </row>
    <row r="294" spans="13:17">
      <c r="M294" s="109"/>
      <c r="N294" s="109"/>
      <c r="O294" s="109"/>
      <c r="P294" s="109" t="str">
        <f ca="1">IF(A294="","",VLOOKUP(MONTH(A294),Расчеты!$O$2:$P$13,2))</f>
        <v/>
      </c>
      <c r="Q294" s="115" t="str">
        <f t="shared" si="4"/>
        <v/>
      </c>
    </row>
    <row r="295" spans="13:17">
      <c r="M295" s="109"/>
      <c r="N295" s="109"/>
      <c r="O295" s="109"/>
      <c r="P295" s="109" t="str">
        <f ca="1">IF(A295="","",VLOOKUP(MONTH(A295),Расчеты!$O$2:$P$13,2))</f>
        <v/>
      </c>
      <c r="Q295" s="115" t="str">
        <f t="shared" si="4"/>
        <v/>
      </c>
    </row>
    <row r="296" spans="13:17">
      <c r="M296" s="109"/>
      <c r="N296" s="109"/>
      <c r="O296" s="109"/>
      <c r="P296" s="109" t="str">
        <f ca="1">IF(A296="","",VLOOKUP(MONTH(A296),Расчеты!$O$2:$P$13,2))</f>
        <v/>
      </c>
      <c r="Q296" s="115" t="str">
        <f t="shared" si="4"/>
        <v/>
      </c>
    </row>
    <row r="297" spans="13:17">
      <c r="M297" s="109"/>
      <c r="N297" s="109"/>
      <c r="O297" s="109"/>
      <c r="P297" s="109" t="str">
        <f ca="1">IF(A297="","",VLOOKUP(MONTH(A297),Расчеты!$O$2:$P$13,2))</f>
        <v/>
      </c>
      <c r="Q297" s="115" t="str">
        <f t="shared" si="4"/>
        <v/>
      </c>
    </row>
    <row r="298" spans="13:17">
      <c r="M298" s="109"/>
      <c r="N298" s="109"/>
      <c r="O298" s="109"/>
      <c r="P298" s="109" t="str">
        <f ca="1">IF(A298="","",VLOOKUP(MONTH(A298),Расчеты!$O$2:$P$13,2))</f>
        <v/>
      </c>
      <c r="Q298" s="115" t="str">
        <f t="shared" si="4"/>
        <v/>
      </c>
    </row>
    <row r="299" spans="13:17">
      <c r="M299" s="109"/>
      <c r="N299" s="109"/>
      <c r="O299" s="109"/>
      <c r="P299" s="109" t="str">
        <f ca="1">IF(A299="","",VLOOKUP(MONTH(A299),Расчеты!$O$2:$P$13,2))</f>
        <v/>
      </c>
      <c r="Q299" s="115" t="str">
        <f t="shared" si="4"/>
        <v/>
      </c>
    </row>
    <row r="300" spans="13:17">
      <c r="M300" s="109"/>
      <c r="N300" s="109"/>
      <c r="O300" s="109"/>
      <c r="P300" s="109" t="str">
        <f ca="1">IF(A300="","",VLOOKUP(MONTH(A300),Расчеты!$O$2:$P$13,2))</f>
        <v/>
      </c>
      <c r="Q300" s="115" t="str">
        <f t="shared" si="4"/>
        <v/>
      </c>
    </row>
    <row r="301" spans="13:17">
      <c r="M301" s="109"/>
      <c r="N301" s="109"/>
      <c r="O301" s="109"/>
      <c r="P301" s="109" t="str">
        <f ca="1">IF(A301="","",VLOOKUP(MONTH(A301),Расчеты!$O$2:$P$13,2))</f>
        <v/>
      </c>
      <c r="Q301" s="115" t="str">
        <f t="shared" si="4"/>
        <v/>
      </c>
    </row>
    <row r="302" spans="13:17">
      <c r="M302" s="109"/>
      <c r="N302" s="109"/>
      <c r="O302" s="109"/>
      <c r="P302" s="109" t="str">
        <f ca="1">IF(A302="","",VLOOKUP(MONTH(A302),Расчеты!$O$2:$P$13,2))</f>
        <v/>
      </c>
      <c r="Q302" s="115" t="str">
        <f t="shared" si="4"/>
        <v/>
      </c>
    </row>
    <row r="303" spans="13:17">
      <c r="M303" s="109"/>
      <c r="N303" s="109"/>
      <c r="O303" s="109"/>
      <c r="P303" s="109" t="str">
        <f ca="1">IF(A303="","",VLOOKUP(MONTH(A303),Расчеты!$O$2:$P$13,2))</f>
        <v/>
      </c>
      <c r="Q303" s="115" t="str">
        <f t="shared" si="4"/>
        <v/>
      </c>
    </row>
    <row r="304" spans="13:17">
      <c r="M304" s="109"/>
      <c r="N304" s="109"/>
      <c r="O304" s="109"/>
      <c r="P304" s="109" t="str">
        <f ca="1">IF(A304="","",VLOOKUP(MONTH(A304),Расчеты!$O$2:$P$13,2))</f>
        <v/>
      </c>
      <c r="Q304" s="115" t="str">
        <f t="shared" si="4"/>
        <v/>
      </c>
    </row>
    <row r="305" spans="13:17">
      <c r="M305" s="109"/>
      <c r="N305" s="109"/>
      <c r="O305" s="109"/>
      <c r="P305" s="109" t="str">
        <f ca="1">IF(A305="","",VLOOKUP(MONTH(A305),Расчеты!$O$2:$P$13,2))</f>
        <v/>
      </c>
      <c r="Q305" s="115" t="str">
        <f t="shared" si="4"/>
        <v/>
      </c>
    </row>
    <row r="306" spans="13:17">
      <c r="M306" s="109"/>
      <c r="N306" s="109"/>
      <c r="O306" s="109"/>
      <c r="P306" s="109" t="str">
        <f ca="1">IF(A306="","",VLOOKUP(MONTH(A306),Расчеты!$O$2:$P$13,2))</f>
        <v/>
      </c>
      <c r="Q306" s="115" t="str">
        <f t="shared" si="4"/>
        <v/>
      </c>
    </row>
    <row r="307" spans="13:17">
      <c r="M307" s="109"/>
      <c r="N307" s="109"/>
      <c r="O307" s="109"/>
      <c r="P307" s="109" t="str">
        <f ca="1">IF(A307="","",VLOOKUP(MONTH(A307),Расчеты!$O$2:$P$13,2))</f>
        <v/>
      </c>
      <c r="Q307" s="115" t="str">
        <f t="shared" si="4"/>
        <v/>
      </c>
    </row>
    <row r="308" spans="13:17">
      <c r="M308" s="109"/>
      <c r="N308" s="109"/>
      <c r="O308" s="109"/>
      <c r="P308" s="109" t="str">
        <f ca="1">IF(A308="","",VLOOKUP(MONTH(A308),Расчеты!$O$2:$P$13,2))</f>
        <v/>
      </c>
      <c r="Q308" s="115" t="str">
        <f t="shared" si="4"/>
        <v/>
      </c>
    </row>
    <row r="309" spans="13:17">
      <c r="M309" s="109"/>
      <c r="N309" s="109"/>
      <c r="O309" s="109"/>
      <c r="P309" s="109" t="str">
        <f ca="1">IF(A309="","",VLOOKUP(MONTH(A309),Расчеты!$O$2:$P$13,2))</f>
        <v/>
      </c>
      <c r="Q309" s="115" t="str">
        <f t="shared" si="4"/>
        <v/>
      </c>
    </row>
    <row r="310" spans="13:17">
      <c r="M310" s="109"/>
      <c r="N310" s="109"/>
      <c r="O310" s="109"/>
      <c r="P310" s="109" t="str">
        <f ca="1">IF(A310="","",VLOOKUP(MONTH(A310),Расчеты!$O$2:$P$13,2))</f>
        <v/>
      </c>
      <c r="Q310" s="115" t="str">
        <f t="shared" si="4"/>
        <v/>
      </c>
    </row>
    <row r="311" spans="13:17">
      <c r="M311" s="109"/>
      <c r="N311" s="109"/>
      <c r="O311" s="109"/>
      <c r="P311" s="109" t="str">
        <f ca="1">IF(A311="","",VLOOKUP(MONTH(A311),Расчеты!$O$2:$P$13,2))</f>
        <v/>
      </c>
      <c r="Q311" s="115" t="str">
        <f t="shared" si="4"/>
        <v/>
      </c>
    </row>
    <row r="312" spans="13:17">
      <c r="M312" s="109"/>
      <c r="N312" s="109"/>
      <c r="O312" s="109"/>
      <c r="P312" s="109" t="str">
        <f ca="1">IF(A312="","",VLOOKUP(MONTH(A312),Расчеты!$O$2:$P$13,2))</f>
        <v/>
      </c>
      <c r="Q312" s="115" t="str">
        <f t="shared" si="4"/>
        <v/>
      </c>
    </row>
    <row r="313" spans="13:17">
      <c r="M313" s="109"/>
      <c r="N313" s="109"/>
      <c r="O313" s="109"/>
      <c r="P313" s="109" t="str">
        <f ca="1">IF(A313="","",VLOOKUP(MONTH(A313),Расчеты!$O$2:$P$13,2))</f>
        <v/>
      </c>
      <c r="Q313" s="115" t="str">
        <f t="shared" si="4"/>
        <v/>
      </c>
    </row>
    <row r="314" spans="13:17">
      <c r="M314" s="109"/>
      <c r="N314" s="109"/>
      <c r="O314" s="109"/>
      <c r="P314" s="109" t="str">
        <f ca="1">IF(A314="","",VLOOKUP(MONTH(A314),Расчеты!$O$2:$P$13,2))</f>
        <v/>
      </c>
      <c r="Q314" s="115" t="str">
        <f t="shared" si="4"/>
        <v/>
      </c>
    </row>
    <row r="315" spans="13:17">
      <c r="M315" s="109"/>
      <c r="N315" s="109"/>
      <c r="O315" s="109"/>
      <c r="P315" s="109" t="str">
        <f ca="1">IF(A315="","",VLOOKUP(MONTH(A315),Расчеты!$O$2:$P$13,2))</f>
        <v/>
      </c>
      <c r="Q315" s="115" t="str">
        <f t="shared" si="4"/>
        <v/>
      </c>
    </row>
    <row r="316" spans="13:17">
      <c r="M316" s="109"/>
      <c r="N316" s="109"/>
      <c r="O316" s="109"/>
      <c r="P316" s="109" t="str">
        <f ca="1">IF(A316="","",VLOOKUP(MONTH(A316),Расчеты!$O$2:$P$13,2))</f>
        <v/>
      </c>
      <c r="Q316" s="115" t="str">
        <f t="shared" si="4"/>
        <v/>
      </c>
    </row>
    <row r="317" spans="13:17">
      <c r="M317" s="109"/>
      <c r="N317" s="109"/>
      <c r="O317" s="109"/>
      <c r="P317" s="109" t="str">
        <f ca="1">IF(A317="","",VLOOKUP(MONTH(A317),Расчеты!$O$2:$P$13,2))</f>
        <v/>
      </c>
      <c r="Q317" s="115" t="str">
        <f t="shared" si="4"/>
        <v/>
      </c>
    </row>
    <row r="318" spans="13:17">
      <c r="M318" s="109"/>
      <c r="N318" s="109"/>
      <c r="O318" s="109"/>
      <c r="P318" s="109" t="str">
        <f ca="1">IF(A318="","",VLOOKUP(MONTH(A318),Расчеты!$O$2:$P$13,2))</f>
        <v/>
      </c>
      <c r="Q318" s="115" t="str">
        <f t="shared" si="4"/>
        <v/>
      </c>
    </row>
    <row r="319" spans="13:17">
      <c r="M319" s="109"/>
      <c r="N319" s="109"/>
      <c r="O319" s="109"/>
      <c r="P319" s="109" t="str">
        <f ca="1">IF(A319="","",VLOOKUP(MONTH(A319),Расчеты!$O$2:$P$13,2))</f>
        <v/>
      </c>
      <c r="Q319" s="115" t="str">
        <f t="shared" si="4"/>
        <v/>
      </c>
    </row>
    <row r="320" spans="13:17">
      <c r="M320" s="109"/>
      <c r="N320" s="109"/>
      <c r="O320" s="109"/>
      <c r="P320" s="109" t="str">
        <f ca="1">IF(A320="","",VLOOKUP(MONTH(A320),Расчеты!$O$2:$P$13,2))</f>
        <v/>
      </c>
      <c r="Q320" s="115" t="str">
        <f t="shared" si="4"/>
        <v/>
      </c>
    </row>
    <row r="321" spans="13:17">
      <c r="M321" s="109"/>
      <c r="N321" s="109"/>
      <c r="O321" s="109"/>
      <c r="P321" s="109" t="str">
        <f ca="1">IF(A321="","",VLOOKUP(MONTH(A321),Расчеты!$O$2:$P$13,2))</f>
        <v/>
      </c>
      <c r="Q321" s="115" t="str">
        <f t="shared" si="4"/>
        <v/>
      </c>
    </row>
    <row r="322" spans="13:17">
      <c r="M322" s="109"/>
      <c r="N322" s="109"/>
      <c r="O322" s="109"/>
      <c r="P322" s="109" t="str">
        <f ca="1">IF(A322="","",VLOOKUP(MONTH(A322),Расчеты!$O$2:$P$13,2))</f>
        <v/>
      </c>
      <c r="Q322" s="115" t="str">
        <f t="shared" ref="Q322:Q385" si="5">IF(A322="","",YEAR(A322))</f>
        <v/>
      </c>
    </row>
    <row r="323" spans="13:17">
      <c r="M323" s="109"/>
      <c r="N323" s="109"/>
      <c r="O323" s="109"/>
      <c r="P323" s="109" t="str">
        <f ca="1">IF(A323="","",VLOOKUP(MONTH(A323),Расчеты!$O$2:$P$13,2))</f>
        <v/>
      </c>
      <c r="Q323" s="115" t="str">
        <f t="shared" si="5"/>
        <v/>
      </c>
    </row>
    <row r="324" spans="13:17">
      <c r="M324" s="109"/>
      <c r="N324" s="109"/>
      <c r="O324" s="109"/>
      <c r="P324" s="109" t="str">
        <f ca="1">IF(A324="","",VLOOKUP(MONTH(A324),Расчеты!$O$2:$P$13,2))</f>
        <v/>
      </c>
      <c r="Q324" s="115" t="str">
        <f t="shared" si="5"/>
        <v/>
      </c>
    </row>
    <row r="325" spans="13:17">
      <c r="M325" s="109"/>
      <c r="N325" s="109"/>
      <c r="O325" s="109"/>
      <c r="P325" s="109" t="str">
        <f ca="1">IF(A325="","",VLOOKUP(MONTH(A325),Расчеты!$O$2:$P$13,2))</f>
        <v/>
      </c>
      <c r="Q325" s="115" t="str">
        <f t="shared" si="5"/>
        <v/>
      </c>
    </row>
    <row r="326" spans="13:17">
      <c r="M326" s="109"/>
      <c r="N326" s="109"/>
      <c r="O326" s="109"/>
      <c r="P326" s="109" t="str">
        <f ca="1">IF(A326="","",VLOOKUP(MONTH(A326),Расчеты!$O$2:$P$13,2))</f>
        <v/>
      </c>
      <c r="Q326" s="115" t="str">
        <f t="shared" si="5"/>
        <v/>
      </c>
    </row>
    <row r="327" spans="13:17">
      <c r="M327" s="109"/>
      <c r="N327" s="109"/>
      <c r="O327" s="109"/>
      <c r="P327" s="109" t="str">
        <f ca="1">IF(A327="","",VLOOKUP(MONTH(A327),Расчеты!$O$2:$P$13,2))</f>
        <v/>
      </c>
      <c r="Q327" s="115" t="str">
        <f t="shared" si="5"/>
        <v/>
      </c>
    </row>
    <row r="328" spans="13:17">
      <c r="M328" s="109"/>
      <c r="N328" s="109"/>
      <c r="O328" s="109"/>
      <c r="P328" s="109" t="str">
        <f ca="1">IF(A328="","",VLOOKUP(MONTH(A328),Расчеты!$O$2:$P$13,2))</f>
        <v/>
      </c>
      <c r="Q328" s="115" t="str">
        <f t="shared" si="5"/>
        <v/>
      </c>
    </row>
    <row r="329" spans="13:17">
      <c r="M329" s="109"/>
      <c r="N329" s="109"/>
      <c r="O329" s="109"/>
      <c r="P329" s="109" t="str">
        <f ca="1">IF(A329="","",VLOOKUP(MONTH(A329),Расчеты!$O$2:$P$13,2))</f>
        <v/>
      </c>
      <c r="Q329" s="115" t="str">
        <f t="shared" si="5"/>
        <v/>
      </c>
    </row>
    <row r="330" spans="13:17">
      <c r="M330" s="109"/>
      <c r="N330" s="109"/>
      <c r="O330" s="109"/>
      <c r="P330" s="109" t="str">
        <f ca="1">IF(A330="","",VLOOKUP(MONTH(A330),Расчеты!$O$2:$P$13,2))</f>
        <v/>
      </c>
      <c r="Q330" s="115" t="str">
        <f t="shared" si="5"/>
        <v/>
      </c>
    </row>
    <row r="331" spans="13:17">
      <c r="M331" s="109"/>
      <c r="N331" s="109"/>
      <c r="O331" s="109"/>
      <c r="P331" s="109" t="str">
        <f ca="1">IF(A331="","",VLOOKUP(MONTH(A331),Расчеты!$O$2:$P$13,2))</f>
        <v/>
      </c>
      <c r="Q331" s="115" t="str">
        <f t="shared" si="5"/>
        <v/>
      </c>
    </row>
    <row r="332" spans="13:17">
      <c r="M332" s="109"/>
      <c r="N332" s="109"/>
      <c r="O332" s="109"/>
      <c r="P332" s="109" t="str">
        <f ca="1">IF(A332="","",VLOOKUP(MONTH(A332),Расчеты!$O$2:$P$13,2))</f>
        <v/>
      </c>
      <c r="Q332" s="115" t="str">
        <f t="shared" si="5"/>
        <v/>
      </c>
    </row>
    <row r="333" spans="13:17">
      <c r="M333" s="109"/>
      <c r="N333" s="109"/>
      <c r="O333" s="109"/>
      <c r="P333" s="109" t="str">
        <f ca="1">IF(A333="","",VLOOKUP(MONTH(A333),Расчеты!$O$2:$P$13,2))</f>
        <v/>
      </c>
      <c r="Q333" s="115" t="str">
        <f t="shared" si="5"/>
        <v/>
      </c>
    </row>
    <row r="334" spans="13:17">
      <c r="M334" s="109"/>
      <c r="N334" s="109"/>
      <c r="O334" s="109"/>
      <c r="P334" s="109" t="str">
        <f ca="1">IF(A334="","",VLOOKUP(MONTH(A334),Расчеты!$O$2:$P$13,2))</f>
        <v/>
      </c>
      <c r="Q334" s="115" t="str">
        <f t="shared" si="5"/>
        <v/>
      </c>
    </row>
    <row r="335" spans="13:17">
      <c r="M335" s="109"/>
      <c r="N335" s="109"/>
      <c r="O335" s="109"/>
      <c r="P335" s="109" t="str">
        <f ca="1">IF(A335="","",VLOOKUP(MONTH(A335),Расчеты!$O$2:$P$13,2))</f>
        <v/>
      </c>
      <c r="Q335" s="115" t="str">
        <f t="shared" si="5"/>
        <v/>
      </c>
    </row>
    <row r="336" spans="13:17">
      <c r="M336" s="109"/>
      <c r="N336" s="109"/>
      <c r="O336" s="109"/>
      <c r="P336" s="109" t="str">
        <f ca="1">IF(A336="","",VLOOKUP(MONTH(A336),Расчеты!$O$2:$P$13,2))</f>
        <v/>
      </c>
      <c r="Q336" s="115" t="str">
        <f t="shared" si="5"/>
        <v/>
      </c>
    </row>
    <row r="337" spans="13:17">
      <c r="M337" s="109"/>
      <c r="N337" s="109"/>
      <c r="O337" s="109"/>
      <c r="P337" s="109" t="str">
        <f ca="1">IF(A337="","",VLOOKUP(MONTH(A337),Расчеты!$O$2:$P$13,2))</f>
        <v/>
      </c>
      <c r="Q337" s="115" t="str">
        <f t="shared" si="5"/>
        <v/>
      </c>
    </row>
    <row r="338" spans="13:17">
      <c r="M338" s="109"/>
      <c r="N338" s="109"/>
      <c r="O338" s="109"/>
      <c r="P338" s="109" t="str">
        <f ca="1">IF(A338="","",VLOOKUP(MONTH(A338),Расчеты!$O$2:$P$13,2))</f>
        <v/>
      </c>
      <c r="Q338" s="115" t="str">
        <f t="shared" si="5"/>
        <v/>
      </c>
    </row>
    <row r="339" spans="13:17">
      <c r="M339" s="109"/>
      <c r="N339" s="109"/>
      <c r="O339" s="109"/>
      <c r="P339" s="109" t="str">
        <f ca="1">IF(A339="","",VLOOKUP(MONTH(A339),Расчеты!$O$2:$P$13,2))</f>
        <v/>
      </c>
      <c r="Q339" s="115" t="str">
        <f t="shared" si="5"/>
        <v/>
      </c>
    </row>
    <row r="340" spans="13:17">
      <c r="M340" s="109"/>
      <c r="N340" s="109"/>
      <c r="O340" s="109"/>
      <c r="P340" s="109" t="str">
        <f ca="1">IF(A340="","",VLOOKUP(MONTH(A340),Расчеты!$O$2:$P$13,2))</f>
        <v/>
      </c>
      <c r="Q340" s="115" t="str">
        <f t="shared" si="5"/>
        <v/>
      </c>
    </row>
    <row r="341" spans="13:17">
      <c r="M341" s="109"/>
      <c r="N341" s="109"/>
      <c r="O341" s="109"/>
      <c r="P341" s="109" t="str">
        <f ca="1">IF(A341="","",VLOOKUP(MONTH(A341),Расчеты!$O$2:$P$13,2))</f>
        <v/>
      </c>
      <c r="Q341" s="115" t="str">
        <f t="shared" si="5"/>
        <v/>
      </c>
    </row>
    <row r="342" spans="13:17">
      <c r="M342" s="109"/>
      <c r="N342" s="109"/>
      <c r="O342" s="109"/>
      <c r="P342" s="109" t="str">
        <f ca="1">IF(A342="","",VLOOKUP(MONTH(A342),Расчеты!$O$2:$P$13,2))</f>
        <v/>
      </c>
      <c r="Q342" s="115" t="str">
        <f t="shared" si="5"/>
        <v/>
      </c>
    </row>
    <row r="343" spans="13:17">
      <c r="M343" s="109"/>
      <c r="N343" s="109"/>
      <c r="O343" s="109"/>
      <c r="P343" s="109" t="str">
        <f ca="1">IF(A343="","",VLOOKUP(MONTH(A343),Расчеты!$O$2:$P$13,2))</f>
        <v/>
      </c>
      <c r="Q343" s="115" t="str">
        <f t="shared" si="5"/>
        <v/>
      </c>
    </row>
    <row r="344" spans="13:17">
      <c r="M344" s="109"/>
      <c r="N344" s="109"/>
      <c r="O344" s="109"/>
      <c r="P344" s="109" t="str">
        <f ca="1">IF(A344="","",VLOOKUP(MONTH(A344),Расчеты!$O$2:$P$13,2))</f>
        <v/>
      </c>
      <c r="Q344" s="115" t="str">
        <f t="shared" si="5"/>
        <v/>
      </c>
    </row>
    <row r="345" spans="13:17">
      <c r="M345" s="109"/>
      <c r="N345" s="109"/>
      <c r="O345" s="109"/>
      <c r="P345" s="109" t="str">
        <f ca="1">IF(A345="","",VLOOKUP(MONTH(A345),Расчеты!$O$2:$P$13,2))</f>
        <v/>
      </c>
      <c r="Q345" s="115" t="str">
        <f t="shared" si="5"/>
        <v/>
      </c>
    </row>
    <row r="346" spans="13:17">
      <c r="M346" s="109"/>
      <c r="N346" s="109"/>
      <c r="O346" s="109"/>
      <c r="P346" s="109" t="str">
        <f ca="1">IF(A346="","",VLOOKUP(MONTH(A346),Расчеты!$O$2:$P$13,2))</f>
        <v/>
      </c>
      <c r="Q346" s="115" t="str">
        <f t="shared" si="5"/>
        <v/>
      </c>
    </row>
    <row r="347" spans="13:17">
      <c r="M347" s="109"/>
      <c r="N347" s="109"/>
      <c r="O347" s="109"/>
      <c r="P347" s="109" t="str">
        <f ca="1">IF(A347="","",VLOOKUP(MONTH(A347),Расчеты!$O$2:$P$13,2))</f>
        <v/>
      </c>
      <c r="Q347" s="115" t="str">
        <f t="shared" si="5"/>
        <v/>
      </c>
    </row>
    <row r="348" spans="13:17">
      <c r="M348" s="109"/>
      <c r="N348" s="109"/>
      <c r="O348" s="109"/>
      <c r="P348" s="109" t="str">
        <f ca="1">IF(A348="","",VLOOKUP(MONTH(A348),Расчеты!$O$2:$P$13,2))</f>
        <v/>
      </c>
      <c r="Q348" s="115" t="str">
        <f t="shared" si="5"/>
        <v/>
      </c>
    </row>
    <row r="349" spans="13:17">
      <c r="M349" s="109"/>
      <c r="N349" s="109"/>
      <c r="O349" s="109"/>
      <c r="P349" s="109" t="str">
        <f ca="1">IF(A349="","",VLOOKUP(MONTH(A349),Расчеты!$O$2:$P$13,2))</f>
        <v/>
      </c>
      <c r="Q349" s="115" t="str">
        <f t="shared" si="5"/>
        <v/>
      </c>
    </row>
    <row r="350" spans="13:17">
      <c r="M350" s="109"/>
      <c r="N350" s="109"/>
      <c r="O350" s="109"/>
      <c r="P350" s="109" t="str">
        <f ca="1">IF(A350="","",VLOOKUP(MONTH(A350),Расчеты!$O$2:$P$13,2))</f>
        <v/>
      </c>
      <c r="Q350" s="115" t="str">
        <f t="shared" si="5"/>
        <v/>
      </c>
    </row>
    <row r="351" spans="13:17">
      <c r="M351" s="109"/>
      <c r="N351" s="109"/>
      <c r="O351" s="109"/>
      <c r="P351" s="109" t="str">
        <f ca="1">IF(A351="","",VLOOKUP(MONTH(A351),Расчеты!$O$2:$P$13,2))</f>
        <v/>
      </c>
      <c r="Q351" s="115" t="str">
        <f t="shared" si="5"/>
        <v/>
      </c>
    </row>
    <row r="352" spans="13:17">
      <c r="M352" s="109"/>
      <c r="N352" s="109"/>
      <c r="O352" s="109"/>
      <c r="P352" s="109" t="str">
        <f ca="1">IF(A352="","",VLOOKUP(MONTH(A352),Расчеты!$O$2:$P$13,2))</f>
        <v/>
      </c>
      <c r="Q352" s="115" t="str">
        <f t="shared" si="5"/>
        <v/>
      </c>
    </row>
    <row r="353" spans="13:17">
      <c r="M353" s="109"/>
      <c r="N353" s="109"/>
      <c r="O353" s="109"/>
      <c r="P353" s="109" t="str">
        <f ca="1">IF(A353="","",VLOOKUP(MONTH(A353),Расчеты!$O$2:$P$13,2))</f>
        <v/>
      </c>
      <c r="Q353" s="115" t="str">
        <f t="shared" si="5"/>
        <v/>
      </c>
    </row>
    <row r="354" spans="13:17">
      <c r="M354" s="109"/>
      <c r="N354" s="109"/>
      <c r="O354" s="109"/>
      <c r="P354" s="109" t="str">
        <f ca="1">IF(A354="","",VLOOKUP(MONTH(A354),Расчеты!$O$2:$P$13,2))</f>
        <v/>
      </c>
      <c r="Q354" s="115" t="str">
        <f t="shared" si="5"/>
        <v/>
      </c>
    </row>
    <row r="355" spans="13:17">
      <c r="M355" s="109"/>
      <c r="N355" s="109"/>
      <c r="O355" s="109"/>
      <c r="P355" s="109" t="str">
        <f ca="1">IF(A355="","",VLOOKUP(MONTH(A355),Расчеты!$O$2:$P$13,2))</f>
        <v/>
      </c>
      <c r="Q355" s="115" t="str">
        <f t="shared" si="5"/>
        <v/>
      </c>
    </row>
    <row r="356" spans="13:17">
      <c r="M356" s="109"/>
      <c r="N356" s="109"/>
      <c r="O356" s="109"/>
      <c r="P356" s="109" t="str">
        <f ca="1">IF(A356="","",VLOOKUP(MONTH(A356),Расчеты!$O$2:$P$13,2))</f>
        <v/>
      </c>
      <c r="Q356" s="115" t="str">
        <f t="shared" si="5"/>
        <v/>
      </c>
    </row>
    <row r="357" spans="13:17">
      <c r="M357" s="109"/>
      <c r="N357" s="109"/>
      <c r="O357" s="109"/>
      <c r="P357" s="109" t="str">
        <f ca="1">IF(A357="","",VLOOKUP(MONTH(A357),Расчеты!$O$2:$P$13,2))</f>
        <v/>
      </c>
      <c r="Q357" s="115" t="str">
        <f t="shared" si="5"/>
        <v/>
      </c>
    </row>
    <row r="358" spans="13:17">
      <c r="M358" s="109"/>
      <c r="N358" s="109"/>
      <c r="O358" s="109"/>
      <c r="P358" s="109" t="str">
        <f ca="1">IF(A358="","",VLOOKUP(MONTH(A358),Расчеты!$O$2:$P$13,2))</f>
        <v/>
      </c>
      <c r="Q358" s="115" t="str">
        <f t="shared" si="5"/>
        <v/>
      </c>
    </row>
    <row r="359" spans="13:17">
      <c r="M359" s="109"/>
      <c r="N359" s="109"/>
      <c r="O359" s="109"/>
      <c r="P359" s="109" t="str">
        <f ca="1">IF(A359="","",VLOOKUP(MONTH(A359),Расчеты!$O$2:$P$13,2))</f>
        <v/>
      </c>
      <c r="Q359" s="115" t="str">
        <f t="shared" si="5"/>
        <v/>
      </c>
    </row>
    <row r="360" spans="13:17">
      <c r="M360" s="109"/>
      <c r="N360" s="109"/>
      <c r="O360" s="109"/>
      <c r="P360" s="109" t="str">
        <f ca="1">IF(A360="","",VLOOKUP(MONTH(A360),Расчеты!$O$2:$P$13,2))</f>
        <v/>
      </c>
      <c r="Q360" s="115" t="str">
        <f t="shared" si="5"/>
        <v/>
      </c>
    </row>
    <row r="361" spans="13:17">
      <c r="M361" s="109"/>
      <c r="N361" s="109"/>
      <c r="O361" s="109"/>
      <c r="P361" s="109" t="str">
        <f ca="1">IF(A361="","",VLOOKUP(MONTH(A361),Расчеты!$O$2:$P$13,2))</f>
        <v/>
      </c>
      <c r="Q361" s="115" t="str">
        <f t="shared" si="5"/>
        <v/>
      </c>
    </row>
    <row r="362" spans="13:17">
      <c r="M362" s="109"/>
      <c r="N362" s="109"/>
      <c r="O362" s="109"/>
      <c r="P362" s="109" t="str">
        <f ca="1">IF(A362="","",VLOOKUP(MONTH(A362),Расчеты!$O$2:$P$13,2))</f>
        <v/>
      </c>
      <c r="Q362" s="115" t="str">
        <f t="shared" si="5"/>
        <v/>
      </c>
    </row>
    <row r="363" spans="13:17">
      <c r="M363" s="109"/>
      <c r="N363" s="109"/>
      <c r="O363" s="109"/>
      <c r="P363" s="109" t="str">
        <f ca="1">IF(A363="","",VLOOKUP(MONTH(A363),Расчеты!$O$2:$P$13,2))</f>
        <v/>
      </c>
      <c r="Q363" s="115" t="str">
        <f t="shared" si="5"/>
        <v/>
      </c>
    </row>
    <row r="364" spans="13:17">
      <c r="M364" s="109"/>
      <c r="N364" s="109"/>
      <c r="O364" s="109"/>
      <c r="P364" s="109" t="str">
        <f ca="1">IF(A364="","",VLOOKUP(MONTH(A364),Расчеты!$O$2:$P$13,2))</f>
        <v/>
      </c>
      <c r="Q364" s="115" t="str">
        <f t="shared" si="5"/>
        <v/>
      </c>
    </row>
    <row r="365" spans="13:17">
      <c r="M365" s="109"/>
      <c r="N365" s="109"/>
      <c r="O365" s="109"/>
      <c r="P365" s="109" t="str">
        <f ca="1">IF(A365="","",VLOOKUP(MONTH(A365),Расчеты!$O$2:$P$13,2))</f>
        <v/>
      </c>
      <c r="Q365" s="115" t="str">
        <f t="shared" si="5"/>
        <v/>
      </c>
    </row>
    <row r="366" spans="13:17">
      <c r="M366" s="109"/>
      <c r="N366" s="109"/>
      <c r="O366" s="109"/>
      <c r="P366" s="109" t="str">
        <f ca="1">IF(A366="","",VLOOKUP(MONTH(A366),Расчеты!$O$2:$P$13,2))</f>
        <v/>
      </c>
      <c r="Q366" s="115" t="str">
        <f t="shared" si="5"/>
        <v/>
      </c>
    </row>
    <row r="367" spans="13:17">
      <c r="M367" s="109"/>
      <c r="N367" s="109"/>
      <c r="O367" s="109"/>
      <c r="P367" s="109" t="str">
        <f ca="1">IF(A367="","",VLOOKUP(MONTH(A367),Расчеты!$O$2:$P$13,2))</f>
        <v/>
      </c>
      <c r="Q367" s="115" t="str">
        <f t="shared" si="5"/>
        <v/>
      </c>
    </row>
    <row r="368" spans="13:17">
      <c r="M368" s="109"/>
      <c r="N368" s="109"/>
      <c r="O368" s="109"/>
      <c r="P368" s="109" t="str">
        <f ca="1">IF(A368="","",VLOOKUP(MONTH(A368),Расчеты!$O$2:$P$13,2))</f>
        <v/>
      </c>
      <c r="Q368" s="115" t="str">
        <f t="shared" si="5"/>
        <v/>
      </c>
    </row>
    <row r="369" spans="13:17">
      <c r="M369" s="109"/>
      <c r="N369" s="109"/>
      <c r="O369" s="109"/>
      <c r="P369" s="109" t="str">
        <f ca="1">IF(A369="","",VLOOKUP(MONTH(A369),Расчеты!$O$2:$P$13,2))</f>
        <v/>
      </c>
      <c r="Q369" s="115" t="str">
        <f t="shared" si="5"/>
        <v/>
      </c>
    </row>
    <row r="370" spans="13:17">
      <c r="M370" s="109"/>
      <c r="N370" s="109"/>
      <c r="O370" s="109"/>
      <c r="P370" s="109" t="str">
        <f ca="1">IF(A370="","",VLOOKUP(MONTH(A370),Расчеты!$O$2:$P$13,2))</f>
        <v/>
      </c>
      <c r="Q370" s="115" t="str">
        <f t="shared" si="5"/>
        <v/>
      </c>
    </row>
    <row r="371" spans="13:17">
      <c r="M371" s="109"/>
      <c r="N371" s="109"/>
      <c r="O371" s="109"/>
      <c r="P371" s="109" t="str">
        <f ca="1">IF(A371="","",VLOOKUP(MONTH(A371),Расчеты!$O$2:$P$13,2))</f>
        <v/>
      </c>
      <c r="Q371" s="115" t="str">
        <f t="shared" si="5"/>
        <v/>
      </c>
    </row>
    <row r="372" spans="13:17">
      <c r="M372" s="109"/>
      <c r="N372" s="109"/>
      <c r="O372" s="109"/>
      <c r="P372" s="109" t="str">
        <f ca="1">IF(A372="","",VLOOKUP(MONTH(A372),Расчеты!$O$2:$P$13,2))</f>
        <v/>
      </c>
      <c r="Q372" s="115" t="str">
        <f t="shared" si="5"/>
        <v/>
      </c>
    </row>
    <row r="373" spans="13:17">
      <c r="M373" s="109"/>
      <c r="N373" s="109"/>
      <c r="O373" s="109"/>
      <c r="P373" s="109" t="str">
        <f ca="1">IF(A373="","",VLOOKUP(MONTH(A373),Расчеты!$O$2:$P$13,2))</f>
        <v/>
      </c>
      <c r="Q373" s="115" t="str">
        <f t="shared" si="5"/>
        <v/>
      </c>
    </row>
    <row r="374" spans="13:17">
      <c r="M374" s="109"/>
      <c r="N374" s="109"/>
      <c r="O374" s="109"/>
      <c r="P374" s="109" t="str">
        <f ca="1">IF(A374="","",VLOOKUP(MONTH(A374),Расчеты!$O$2:$P$13,2))</f>
        <v/>
      </c>
      <c r="Q374" s="115" t="str">
        <f t="shared" si="5"/>
        <v/>
      </c>
    </row>
    <row r="375" spans="13:17">
      <c r="M375" s="109"/>
      <c r="N375" s="109"/>
      <c r="O375" s="109"/>
      <c r="P375" s="109" t="str">
        <f ca="1">IF(A375="","",VLOOKUP(MONTH(A375),Расчеты!$O$2:$P$13,2))</f>
        <v/>
      </c>
      <c r="Q375" s="115" t="str">
        <f t="shared" si="5"/>
        <v/>
      </c>
    </row>
    <row r="376" spans="13:17">
      <c r="M376" s="109"/>
      <c r="N376" s="109"/>
      <c r="O376" s="109"/>
      <c r="P376" s="109" t="str">
        <f ca="1">IF(A376="","",VLOOKUP(MONTH(A376),Расчеты!$O$2:$P$13,2))</f>
        <v/>
      </c>
      <c r="Q376" s="115" t="str">
        <f t="shared" si="5"/>
        <v/>
      </c>
    </row>
    <row r="377" spans="13:17">
      <c r="M377" s="109"/>
      <c r="N377" s="109"/>
      <c r="O377" s="109"/>
      <c r="P377" s="109" t="str">
        <f ca="1">IF(A377="","",VLOOKUP(MONTH(A377),Расчеты!$O$2:$P$13,2))</f>
        <v/>
      </c>
      <c r="Q377" s="115" t="str">
        <f t="shared" si="5"/>
        <v/>
      </c>
    </row>
    <row r="378" spans="13:17">
      <c r="M378" s="109"/>
      <c r="N378" s="109"/>
      <c r="O378" s="109"/>
      <c r="P378" s="109" t="str">
        <f ca="1">IF(A378="","",VLOOKUP(MONTH(A378),Расчеты!$O$2:$P$13,2))</f>
        <v/>
      </c>
      <c r="Q378" s="115" t="str">
        <f t="shared" si="5"/>
        <v/>
      </c>
    </row>
    <row r="379" spans="13:17">
      <c r="M379" s="109"/>
      <c r="N379" s="109"/>
      <c r="O379" s="109"/>
      <c r="P379" s="109" t="str">
        <f ca="1">IF(A379="","",VLOOKUP(MONTH(A379),Расчеты!$O$2:$P$13,2))</f>
        <v/>
      </c>
      <c r="Q379" s="115" t="str">
        <f t="shared" si="5"/>
        <v/>
      </c>
    </row>
    <row r="380" spans="13:17">
      <c r="M380" s="109"/>
      <c r="N380" s="109"/>
      <c r="O380" s="109"/>
      <c r="P380" s="109" t="str">
        <f ca="1">IF(A380="","",VLOOKUP(MONTH(A380),Расчеты!$O$2:$P$13,2))</f>
        <v/>
      </c>
      <c r="Q380" s="115" t="str">
        <f t="shared" si="5"/>
        <v/>
      </c>
    </row>
    <row r="381" spans="13:17">
      <c r="M381" s="109"/>
      <c r="N381" s="109"/>
      <c r="O381" s="109"/>
      <c r="P381" s="109" t="str">
        <f ca="1">IF(A381="","",VLOOKUP(MONTH(A381),Расчеты!$O$2:$P$13,2))</f>
        <v/>
      </c>
      <c r="Q381" s="115" t="str">
        <f t="shared" si="5"/>
        <v/>
      </c>
    </row>
    <row r="382" spans="13:17">
      <c r="M382" s="109"/>
      <c r="N382" s="109"/>
      <c r="O382" s="109"/>
      <c r="P382" s="109" t="str">
        <f ca="1">IF(A382="","",VLOOKUP(MONTH(A382),Расчеты!$O$2:$P$13,2))</f>
        <v/>
      </c>
      <c r="Q382" s="115" t="str">
        <f t="shared" si="5"/>
        <v/>
      </c>
    </row>
    <row r="383" spans="13:17">
      <c r="M383" s="109"/>
      <c r="N383" s="109"/>
      <c r="O383" s="109"/>
      <c r="P383" s="109" t="str">
        <f ca="1">IF(A383="","",VLOOKUP(MONTH(A383),Расчеты!$O$2:$P$13,2))</f>
        <v/>
      </c>
      <c r="Q383" s="115" t="str">
        <f t="shared" si="5"/>
        <v/>
      </c>
    </row>
    <row r="384" spans="13:17">
      <c r="M384" s="109"/>
      <c r="N384" s="109"/>
      <c r="O384" s="109"/>
      <c r="P384" s="109" t="str">
        <f ca="1">IF(A384="","",VLOOKUP(MONTH(A384),Расчеты!$O$2:$P$13,2))</f>
        <v/>
      </c>
      <c r="Q384" s="115" t="str">
        <f t="shared" si="5"/>
        <v/>
      </c>
    </row>
    <row r="385" spans="13:17">
      <c r="M385" s="109"/>
      <c r="N385" s="109"/>
      <c r="O385" s="109"/>
      <c r="P385" s="109" t="str">
        <f ca="1">IF(A385="","",VLOOKUP(MONTH(A385),Расчеты!$O$2:$P$13,2))</f>
        <v/>
      </c>
      <c r="Q385" s="115" t="str">
        <f t="shared" si="5"/>
        <v/>
      </c>
    </row>
    <row r="386" spans="13:17">
      <c r="M386" s="109"/>
      <c r="N386" s="109"/>
      <c r="O386" s="109"/>
      <c r="P386" s="109" t="str">
        <f ca="1">IF(A386="","",VLOOKUP(MONTH(A386),Расчеты!$O$2:$P$13,2))</f>
        <v/>
      </c>
      <c r="Q386" s="115" t="str">
        <f t="shared" ref="Q386:Q449" si="6">IF(A386="","",YEAR(A386))</f>
        <v/>
      </c>
    </row>
    <row r="387" spans="13:17">
      <c r="M387" s="109"/>
      <c r="N387" s="109"/>
      <c r="O387" s="109"/>
      <c r="P387" s="109" t="str">
        <f ca="1">IF(A387="","",VLOOKUP(MONTH(A387),Расчеты!$O$2:$P$13,2))</f>
        <v/>
      </c>
      <c r="Q387" s="115" t="str">
        <f t="shared" si="6"/>
        <v/>
      </c>
    </row>
    <row r="388" spans="13:17">
      <c r="M388" s="109"/>
      <c r="N388" s="109"/>
      <c r="O388" s="109"/>
      <c r="P388" s="109" t="str">
        <f ca="1">IF(A388="","",VLOOKUP(MONTH(A388),Расчеты!$O$2:$P$13,2))</f>
        <v/>
      </c>
      <c r="Q388" s="115" t="str">
        <f t="shared" si="6"/>
        <v/>
      </c>
    </row>
    <row r="389" spans="13:17">
      <c r="M389" s="109"/>
      <c r="N389" s="109"/>
      <c r="O389" s="109"/>
      <c r="P389" s="109" t="str">
        <f ca="1">IF(A389="","",VLOOKUP(MONTH(A389),Расчеты!$O$2:$P$13,2))</f>
        <v/>
      </c>
      <c r="Q389" s="115" t="str">
        <f t="shared" si="6"/>
        <v/>
      </c>
    </row>
    <row r="390" spans="13:17">
      <c r="M390" s="109"/>
      <c r="N390" s="109"/>
      <c r="O390" s="109"/>
      <c r="P390" s="109" t="str">
        <f ca="1">IF(A390="","",VLOOKUP(MONTH(A390),Расчеты!$O$2:$P$13,2))</f>
        <v/>
      </c>
      <c r="Q390" s="115" t="str">
        <f t="shared" si="6"/>
        <v/>
      </c>
    </row>
    <row r="391" spans="13:17">
      <c r="M391" s="109"/>
      <c r="N391" s="109"/>
      <c r="O391" s="109"/>
      <c r="P391" s="109" t="str">
        <f ca="1">IF(A391="","",VLOOKUP(MONTH(A391),Расчеты!$O$2:$P$13,2))</f>
        <v/>
      </c>
      <c r="Q391" s="115" t="str">
        <f t="shared" si="6"/>
        <v/>
      </c>
    </row>
    <row r="392" spans="13:17">
      <c r="M392" s="109"/>
      <c r="N392" s="109"/>
      <c r="O392" s="109"/>
      <c r="P392" s="109" t="str">
        <f ca="1">IF(A392="","",VLOOKUP(MONTH(A392),Расчеты!$O$2:$P$13,2))</f>
        <v/>
      </c>
      <c r="Q392" s="115" t="str">
        <f t="shared" si="6"/>
        <v/>
      </c>
    </row>
    <row r="393" spans="13:17">
      <c r="M393" s="109"/>
      <c r="N393" s="109"/>
      <c r="O393" s="109"/>
      <c r="P393" s="109" t="str">
        <f ca="1">IF(A393="","",VLOOKUP(MONTH(A393),Расчеты!$O$2:$P$13,2))</f>
        <v/>
      </c>
      <c r="Q393" s="115" t="str">
        <f t="shared" si="6"/>
        <v/>
      </c>
    </row>
    <row r="394" spans="13:17">
      <c r="M394" s="109"/>
      <c r="N394" s="109"/>
      <c r="O394" s="109"/>
      <c r="P394" s="109" t="str">
        <f ca="1">IF(A394="","",VLOOKUP(MONTH(A394),Расчеты!$O$2:$P$13,2))</f>
        <v/>
      </c>
      <c r="Q394" s="115" t="str">
        <f t="shared" si="6"/>
        <v/>
      </c>
    </row>
    <row r="395" spans="13:17">
      <c r="M395" s="109"/>
      <c r="N395" s="109"/>
      <c r="O395" s="109"/>
      <c r="P395" s="109" t="str">
        <f ca="1">IF(A395="","",VLOOKUP(MONTH(A395),Расчеты!$O$2:$P$13,2))</f>
        <v/>
      </c>
      <c r="Q395" s="115" t="str">
        <f t="shared" si="6"/>
        <v/>
      </c>
    </row>
    <row r="396" spans="13:17">
      <c r="M396" s="109"/>
      <c r="N396" s="109"/>
      <c r="O396" s="109"/>
      <c r="P396" s="109" t="str">
        <f ca="1">IF(A396="","",VLOOKUP(MONTH(A396),Расчеты!$O$2:$P$13,2))</f>
        <v/>
      </c>
      <c r="Q396" s="115" t="str">
        <f t="shared" si="6"/>
        <v/>
      </c>
    </row>
    <row r="397" spans="13:17">
      <c r="M397" s="109"/>
      <c r="N397" s="109"/>
      <c r="O397" s="109"/>
      <c r="P397" s="109" t="str">
        <f ca="1">IF(A397="","",VLOOKUP(MONTH(A397),Расчеты!$O$2:$P$13,2))</f>
        <v/>
      </c>
      <c r="Q397" s="115" t="str">
        <f t="shared" si="6"/>
        <v/>
      </c>
    </row>
    <row r="398" spans="13:17">
      <c r="M398" s="109"/>
      <c r="N398" s="109"/>
      <c r="O398" s="109"/>
      <c r="P398" s="109" t="str">
        <f ca="1">IF(A398="","",VLOOKUP(MONTH(A398),Расчеты!$O$2:$P$13,2))</f>
        <v/>
      </c>
      <c r="Q398" s="115" t="str">
        <f t="shared" si="6"/>
        <v/>
      </c>
    </row>
    <row r="399" spans="13:17">
      <c r="M399" s="109"/>
      <c r="N399" s="109"/>
      <c r="O399" s="109"/>
      <c r="P399" s="109" t="str">
        <f ca="1">IF(A399="","",VLOOKUP(MONTH(A399),Расчеты!$O$2:$P$13,2))</f>
        <v/>
      </c>
      <c r="Q399" s="115" t="str">
        <f t="shared" si="6"/>
        <v/>
      </c>
    </row>
    <row r="400" spans="13:17">
      <c r="M400" s="109"/>
      <c r="N400" s="109"/>
      <c r="O400" s="109"/>
      <c r="P400" s="109" t="str">
        <f ca="1">IF(A400="","",VLOOKUP(MONTH(A400),Расчеты!$O$2:$P$13,2))</f>
        <v/>
      </c>
      <c r="Q400" s="115" t="str">
        <f t="shared" si="6"/>
        <v/>
      </c>
    </row>
    <row r="401" spans="13:17">
      <c r="M401" s="109"/>
      <c r="N401" s="109"/>
      <c r="O401" s="109"/>
      <c r="P401" s="109" t="str">
        <f ca="1">IF(A401="","",VLOOKUP(MONTH(A401),Расчеты!$O$2:$P$13,2))</f>
        <v/>
      </c>
      <c r="Q401" s="115" t="str">
        <f t="shared" si="6"/>
        <v/>
      </c>
    </row>
    <row r="402" spans="13:17">
      <c r="M402" s="109"/>
      <c r="N402" s="109"/>
      <c r="O402" s="109"/>
      <c r="P402" s="109" t="str">
        <f ca="1">IF(A402="","",VLOOKUP(MONTH(A402),Расчеты!$O$2:$P$13,2))</f>
        <v/>
      </c>
      <c r="Q402" s="115" t="str">
        <f t="shared" si="6"/>
        <v/>
      </c>
    </row>
    <row r="403" spans="13:17">
      <c r="M403" s="109"/>
      <c r="N403" s="109"/>
      <c r="O403" s="109"/>
      <c r="P403" s="109" t="str">
        <f ca="1">IF(A403="","",VLOOKUP(MONTH(A403),Расчеты!$O$2:$P$13,2))</f>
        <v/>
      </c>
      <c r="Q403" s="115" t="str">
        <f t="shared" si="6"/>
        <v/>
      </c>
    </row>
    <row r="404" spans="13:17">
      <c r="M404" s="109"/>
      <c r="N404" s="109"/>
      <c r="O404" s="109"/>
      <c r="P404" s="109" t="str">
        <f ca="1">IF(A404="","",VLOOKUP(MONTH(A404),Расчеты!$O$2:$P$13,2))</f>
        <v/>
      </c>
      <c r="Q404" s="115" t="str">
        <f t="shared" si="6"/>
        <v/>
      </c>
    </row>
    <row r="405" spans="13:17">
      <c r="M405" s="109"/>
      <c r="N405" s="109"/>
      <c r="O405" s="109"/>
      <c r="P405" s="109" t="str">
        <f ca="1">IF(A405="","",VLOOKUP(MONTH(A405),Расчеты!$O$2:$P$13,2))</f>
        <v/>
      </c>
      <c r="Q405" s="115" t="str">
        <f t="shared" si="6"/>
        <v/>
      </c>
    </row>
    <row r="406" spans="13:17">
      <c r="M406" s="109"/>
      <c r="N406" s="109"/>
      <c r="O406" s="109"/>
      <c r="P406" s="109" t="str">
        <f ca="1">IF(A406="","",VLOOKUP(MONTH(A406),Расчеты!$O$2:$P$13,2))</f>
        <v/>
      </c>
      <c r="Q406" s="115" t="str">
        <f t="shared" si="6"/>
        <v/>
      </c>
    </row>
    <row r="407" spans="13:17">
      <c r="M407" s="109"/>
      <c r="N407" s="109"/>
      <c r="O407" s="109"/>
      <c r="P407" s="109" t="str">
        <f ca="1">IF(A407="","",VLOOKUP(MONTH(A407),Расчеты!$O$2:$P$13,2))</f>
        <v/>
      </c>
      <c r="Q407" s="115" t="str">
        <f t="shared" si="6"/>
        <v/>
      </c>
    </row>
    <row r="408" spans="13:17">
      <c r="M408" s="109"/>
      <c r="N408" s="109"/>
      <c r="O408" s="109"/>
      <c r="P408" s="109" t="str">
        <f ca="1">IF(A408="","",VLOOKUP(MONTH(A408),Расчеты!$O$2:$P$13,2))</f>
        <v/>
      </c>
      <c r="Q408" s="115" t="str">
        <f t="shared" si="6"/>
        <v/>
      </c>
    </row>
    <row r="409" spans="13:17">
      <c r="M409" s="109"/>
      <c r="N409" s="109"/>
      <c r="O409" s="109"/>
      <c r="P409" s="109" t="str">
        <f ca="1">IF(A409="","",VLOOKUP(MONTH(A409),Расчеты!$O$2:$P$13,2))</f>
        <v/>
      </c>
      <c r="Q409" s="115" t="str">
        <f t="shared" si="6"/>
        <v/>
      </c>
    </row>
    <row r="410" spans="13:17">
      <c r="M410" s="109"/>
      <c r="N410" s="109"/>
      <c r="O410" s="109"/>
      <c r="P410" s="109" t="str">
        <f ca="1">IF(A410="","",VLOOKUP(MONTH(A410),Расчеты!$O$2:$P$13,2))</f>
        <v/>
      </c>
      <c r="Q410" s="115" t="str">
        <f t="shared" si="6"/>
        <v/>
      </c>
    </row>
    <row r="411" spans="13:17">
      <c r="M411" s="109"/>
      <c r="N411" s="109"/>
      <c r="O411" s="109"/>
      <c r="P411" s="109" t="str">
        <f ca="1">IF(A411="","",VLOOKUP(MONTH(A411),Расчеты!$O$2:$P$13,2))</f>
        <v/>
      </c>
      <c r="Q411" s="115" t="str">
        <f t="shared" si="6"/>
        <v/>
      </c>
    </row>
    <row r="412" spans="13:17">
      <c r="M412" s="109"/>
      <c r="N412" s="109"/>
      <c r="O412" s="109"/>
      <c r="P412" s="109" t="str">
        <f ca="1">IF(A412="","",VLOOKUP(MONTH(A412),Расчеты!$O$2:$P$13,2))</f>
        <v/>
      </c>
      <c r="Q412" s="115" t="str">
        <f t="shared" si="6"/>
        <v/>
      </c>
    </row>
    <row r="413" spans="13:17">
      <c r="M413" s="109"/>
      <c r="N413" s="109"/>
      <c r="O413" s="109"/>
      <c r="P413" s="109" t="str">
        <f ca="1">IF(A413="","",VLOOKUP(MONTH(A413),Расчеты!$O$2:$P$13,2))</f>
        <v/>
      </c>
      <c r="Q413" s="115" t="str">
        <f t="shared" si="6"/>
        <v/>
      </c>
    </row>
    <row r="414" spans="13:17">
      <c r="M414" s="109"/>
      <c r="N414" s="109"/>
      <c r="O414" s="109"/>
      <c r="P414" s="109" t="str">
        <f ca="1">IF(A414="","",VLOOKUP(MONTH(A414),Расчеты!$O$2:$P$13,2))</f>
        <v/>
      </c>
      <c r="Q414" s="115" t="str">
        <f t="shared" si="6"/>
        <v/>
      </c>
    </row>
    <row r="415" spans="13:17">
      <c r="M415" s="109"/>
      <c r="N415" s="109"/>
      <c r="O415" s="109"/>
      <c r="P415" s="109" t="str">
        <f ca="1">IF(A415="","",VLOOKUP(MONTH(A415),Расчеты!$O$2:$P$13,2))</f>
        <v/>
      </c>
      <c r="Q415" s="115" t="str">
        <f t="shared" si="6"/>
        <v/>
      </c>
    </row>
    <row r="416" spans="13:17">
      <c r="M416" s="109"/>
      <c r="N416" s="109"/>
      <c r="O416" s="109"/>
      <c r="P416" s="109" t="str">
        <f ca="1">IF(A416="","",VLOOKUP(MONTH(A416),Расчеты!$O$2:$P$13,2))</f>
        <v/>
      </c>
      <c r="Q416" s="115" t="str">
        <f t="shared" si="6"/>
        <v/>
      </c>
    </row>
    <row r="417" spans="13:17">
      <c r="M417" s="109"/>
      <c r="N417" s="109"/>
      <c r="O417" s="109"/>
      <c r="P417" s="109" t="str">
        <f ca="1">IF(A417="","",VLOOKUP(MONTH(A417),Расчеты!$O$2:$P$13,2))</f>
        <v/>
      </c>
      <c r="Q417" s="115" t="str">
        <f t="shared" si="6"/>
        <v/>
      </c>
    </row>
    <row r="418" spans="13:17">
      <c r="M418" s="109"/>
      <c r="N418" s="109"/>
      <c r="O418" s="109"/>
      <c r="P418" s="109" t="str">
        <f ca="1">IF(A418="","",VLOOKUP(MONTH(A418),Расчеты!$O$2:$P$13,2))</f>
        <v/>
      </c>
      <c r="Q418" s="115" t="str">
        <f t="shared" si="6"/>
        <v/>
      </c>
    </row>
    <row r="419" spans="13:17">
      <c r="M419" s="109"/>
      <c r="N419" s="109"/>
      <c r="O419" s="109"/>
      <c r="P419" s="109" t="str">
        <f ca="1">IF(A419="","",VLOOKUP(MONTH(A419),Расчеты!$O$2:$P$13,2))</f>
        <v/>
      </c>
      <c r="Q419" s="115" t="str">
        <f t="shared" si="6"/>
        <v/>
      </c>
    </row>
    <row r="420" spans="13:17">
      <c r="M420" s="109"/>
      <c r="N420" s="109"/>
      <c r="O420" s="109"/>
      <c r="P420" s="109" t="str">
        <f ca="1">IF(A420="","",VLOOKUP(MONTH(A420),Расчеты!$O$2:$P$13,2))</f>
        <v/>
      </c>
      <c r="Q420" s="115" t="str">
        <f t="shared" si="6"/>
        <v/>
      </c>
    </row>
    <row r="421" spans="13:17">
      <c r="M421" s="109"/>
      <c r="N421" s="109"/>
      <c r="O421" s="109"/>
      <c r="P421" s="109" t="str">
        <f ca="1">IF(A421="","",VLOOKUP(MONTH(A421),Расчеты!$O$2:$P$13,2))</f>
        <v/>
      </c>
      <c r="Q421" s="115" t="str">
        <f t="shared" si="6"/>
        <v/>
      </c>
    </row>
    <row r="422" spans="13:17">
      <c r="M422" s="109"/>
      <c r="N422" s="109"/>
      <c r="O422" s="109"/>
      <c r="P422" s="109" t="str">
        <f ca="1">IF(A422="","",VLOOKUP(MONTH(A422),Расчеты!$O$2:$P$13,2))</f>
        <v/>
      </c>
      <c r="Q422" s="115" t="str">
        <f t="shared" si="6"/>
        <v/>
      </c>
    </row>
    <row r="423" spans="13:17">
      <c r="M423" s="109"/>
      <c r="N423" s="109"/>
      <c r="O423" s="109"/>
      <c r="P423" s="109" t="str">
        <f ca="1">IF(A423="","",VLOOKUP(MONTH(A423),Расчеты!$O$2:$P$13,2))</f>
        <v/>
      </c>
      <c r="Q423" s="115" t="str">
        <f t="shared" si="6"/>
        <v/>
      </c>
    </row>
    <row r="424" spans="13:17">
      <c r="M424" s="109"/>
      <c r="N424" s="109"/>
      <c r="O424" s="109"/>
      <c r="P424" s="109" t="str">
        <f ca="1">IF(A424="","",VLOOKUP(MONTH(A424),Расчеты!$O$2:$P$13,2))</f>
        <v/>
      </c>
      <c r="Q424" s="115" t="str">
        <f t="shared" si="6"/>
        <v/>
      </c>
    </row>
    <row r="425" spans="13:17">
      <c r="M425" s="109"/>
      <c r="N425" s="109"/>
      <c r="O425" s="109"/>
      <c r="P425" s="109" t="str">
        <f ca="1">IF(A425="","",VLOOKUP(MONTH(A425),Расчеты!$O$2:$P$13,2))</f>
        <v/>
      </c>
      <c r="Q425" s="115" t="str">
        <f t="shared" si="6"/>
        <v/>
      </c>
    </row>
    <row r="426" spans="13:17">
      <c r="M426" s="109"/>
      <c r="N426" s="109"/>
      <c r="O426" s="109"/>
      <c r="P426" s="109" t="str">
        <f ca="1">IF(A426="","",VLOOKUP(MONTH(A426),Расчеты!$O$2:$P$13,2))</f>
        <v/>
      </c>
      <c r="Q426" s="115" t="str">
        <f t="shared" si="6"/>
        <v/>
      </c>
    </row>
    <row r="427" spans="13:17">
      <c r="M427" s="109"/>
      <c r="N427" s="109"/>
      <c r="O427" s="109"/>
      <c r="P427" s="109" t="str">
        <f ca="1">IF(A427="","",VLOOKUP(MONTH(A427),Расчеты!$O$2:$P$13,2))</f>
        <v/>
      </c>
      <c r="Q427" s="115" t="str">
        <f t="shared" si="6"/>
        <v/>
      </c>
    </row>
    <row r="428" spans="13:17">
      <c r="M428" s="109"/>
      <c r="N428" s="109"/>
      <c r="O428" s="109"/>
      <c r="P428" s="109" t="str">
        <f ca="1">IF(A428="","",VLOOKUP(MONTH(A428),Расчеты!$O$2:$P$13,2))</f>
        <v/>
      </c>
      <c r="Q428" s="115" t="str">
        <f t="shared" si="6"/>
        <v/>
      </c>
    </row>
    <row r="429" spans="13:17">
      <c r="M429" s="109"/>
      <c r="N429" s="109"/>
      <c r="O429" s="109"/>
      <c r="P429" s="109" t="str">
        <f ca="1">IF(A429="","",VLOOKUP(MONTH(A429),Расчеты!$O$2:$P$13,2))</f>
        <v/>
      </c>
      <c r="Q429" s="115" t="str">
        <f t="shared" si="6"/>
        <v/>
      </c>
    </row>
    <row r="430" spans="13:17">
      <c r="M430" s="109"/>
      <c r="N430" s="109"/>
      <c r="O430" s="109"/>
      <c r="P430" s="109" t="str">
        <f ca="1">IF(A430="","",VLOOKUP(MONTH(A430),Расчеты!$O$2:$P$13,2))</f>
        <v/>
      </c>
      <c r="Q430" s="115" t="str">
        <f t="shared" si="6"/>
        <v/>
      </c>
    </row>
    <row r="431" spans="13:17">
      <c r="M431" s="109"/>
      <c r="N431" s="109"/>
      <c r="O431" s="109"/>
      <c r="P431" s="109" t="str">
        <f ca="1">IF(A431="","",VLOOKUP(MONTH(A431),Расчеты!$O$2:$P$13,2))</f>
        <v/>
      </c>
      <c r="Q431" s="115" t="str">
        <f t="shared" si="6"/>
        <v/>
      </c>
    </row>
    <row r="432" spans="13:17">
      <c r="M432" s="109"/>
      <c r="N432" s="109"/>
      <c r="O432" s="109"/>
      <c r="P432" s="109" t="str">
        <f ca="1">IF(A432="","",VLOOKUP(MONTH(A432),Расчеты!$O$2:$P$13,2))</f>
        <v/>
      </c>
      <c r="Q432" s="115" t="str">
        <f t="shared" si="6"/>
        <v/>
      </c>
    </row>
    <row r="433" spans="13:17">
      <c r="M433" s="109"/>
      <c r="N433" s="109"/>
      <c r="O433" s="109"/>
      <c r="P433" s="109" t="str">
        <f ca="1">IF(A433="","",VLOOKUP(MONTH(A433),Расчеты!$O$2:$P$13,2))</f>
        <v/>
      </c>
      <c r="Q433" s="115" t="str">
        <f t="shared" si="6"/>
        <v/>
      </c>
    </row>
    <row r="434" spans="13:17">
      <c r="M434" s="109"/>
      <c r="N434" s="109"/>
      <c r="O434" s="109"/>
      <c r="P434" s="109" t="str">
        <f ca="1">IF(A434="","",VLOOKUP(MONTH(A434),Расчеты!$O$2:$P$13,2))</f>
        <v/>
      </c>
      <c r="Q434" s="115" t="str">
        <f t="shared" si="6"/>
        <v/>
      </c>
    </row>
    <row r="435" spans="13:17">
      <c r="M435" s="109"/>
      <c r="N435" s="109"/>
      <c r="O435" s="109"/>
      <c r="P435" s="109" t="str">
        <f ca="1">IF(A435="","",VLOOKUP(MONTH(A435),Расчеты!$O$2:$P$13,2))</f>
        <v/>
      </c>
      <c r="Q435" s="115" t="str">
        <f t="shared" si="6"/>
        <v/>
      </c>
    </row>
    <row r="436" spans="13:17">
      <c r="M436" s="109"/>
      <c r="N436" s="109"/>
      <c r="O436" s="109"/>
      <c r="P436" s="109" t="str">
        <f ca="1">IF(A436="","",VLOOKUP(MONTH(A436),Расчеты!$O$2:$P$13,2))</f>
        <v/>
      </c>
      <c r="Q436" s="115" t="str">
        <f t="shared" si="6"/>
        <v/>
      </c>
    </row>
    <row r="437" spans="13:17">
      <c r="M437" s="109"/>
      <c r="N437" s="109"/>
      <c r="O437" s="109"/>
      <c r="P437" s="109" t="str">
        <f ca="1">IF(A437="","",VLOOKUP(MONTH(A437),Расчеты!$O$2:$P$13,2))</f>
        <v/>
      </c>
      <c r="Q437" s="115" t="str">
        <f t="shared" si="6"/>
        <v/>
      </c>
    </row>
    <row r="438" spans="13:17">
      <c r="M438" s="109"/>
      <c r="N438" s="109"/>
      <c r="O438" s="109"/>
      <c r="P438" s="109" t="str">
        <f ca="1">IF(A438="","",VLOOKUP(MONTH(A438),Расчеты!$O$2:$P$13,2))</f>
        <v/>
      </c>
      <c r="Q438" s="115" t="str">
        <f t="shared" si="6"/>
        <v/>
      </c>
    </row>
    <row r="439" spans="13:17">
      <c r="M439" s="109"/>
      <c r="N439" s="109"/>
      <c r="O439" s="109"/>
      <c r="P439" s="109" t="str">
        <f ca="1">IF(A439="","",VLOOKUP(MONTH(A439),Расчеты!$O$2:$P$13,2))</f>
        <v/>
      </c>
      <c r="Q439" s="115" t="str">
        <f t="shared" si="6"/>
        <v/>
      </c>
    </row>
    <row r="440" spans="13:17">
      <c r="M440" s="109"/>
      <c r="N440" s="109"/>
      <c r="O440" s="109"/>
      <c r="P440" s="109" t="str">
        <f ca="1">IF(A440="","",VLOOKUP(MONTH(A440),Расчеты!$O$2:$P$13,2))</f>
        <v/>
      </c>
      <c r="Q440" s="115" t="str">
        <f t="shared" si="6"/>
        <v/>
      </c>
    </row>
    <row r="441" spans="13:17">
      <c r="M441" s="109"/>
      <c r="N441" s="109"/>
      <c r="O441" s="109"/>
      <c r="P441" s="109" t="str">
        <f ca="1">IF(A441="","",VLOOKUP(MONTH(A441),Расчеты!$O$2:$P$13,2))</f>
        <v/>
      </c>
      <c r="Q441" s="115" t="str">
        <f t="shared" si="6"/>
        <v/>
      </c>
    </row>
    <row r="442" spans="13:17">
      <c r="M442" s="109"/>
      <c r="N442" s="109"/>
      <c r="O442" s="109"/>
      <c r="P442" s="109" t="str">
        <f ca="1">IF(A442="","",VLOOKUP(MONTH(A442),Расчеты!$O$2:$P$13,2))</f>
        <v/>
      </c>
      <c r="Q442" s="115" t="str">
        <f t="shared" si="6"/>
        <v/>
      </c>
    </row>
    <row r="443" spans="13:17">
      <c r="M443" s="109"/>
      <c r="N443" s="109"/>
      <c r="O443" s="109"/>
      <c r="P443" s="109" t="str">
        <f ca="1">IF(A443="","",VLOOKUP(MONTH(A443),Расчеты!$O$2:$P$13,2))</f>
        <v/>
      </c>
      <c r="Q443" s="115" t="str">
        <f t="shared" si="6"/>
        <v/>
      </c>
    </row>
    <row r="444" spans="13:17">
      <c r="M444" s="109"/>
      <c r="N444" s="109"/>
      <c r="O444" s="109"/>
      <c r="P444" s="109" t="str">
        <f ca="1">IF(A444="","",VLOOKUP(MONTH(A444),Расчеты!$O$2:$P$13,2))</f>
        <v/>
      </c>
      <c r="Q444" s="115" t="str">
        <f t="shared" si="6"/>
        <v/>
      </c>
    </row>
    <row r="445" spans="13:17">
      <c r="M445" s="109"/>
      <c r="N445" s="109"/>
      <c r="O445" s="109"/>
      <c r="P445" s="109" t="str">
        <f ca="1">IF(A445="","",VLOOKUP(MONTH(A445),Расчеты!$O$2:$P$13,2))</f>
        <v/>
      </c>
      <c r="Q445" s="115" t="str">
        <f t="shared" si="6"/>
        <v/>
      </c>
    </row>
    <row r="446" spans="13:17">
      <c r="M446" s="109"/>
      <c r="N446" s="109"/>
      <c r="O446" s="109"/>
      <c r="P446" s="109" t="str">
        <f ca="1">IF(A446="","",VLOOKUP(MONTH(A446),Расчеты!$O$2:$P$13,2))</f>
        <v/>
      </c>
      <c r="Q446" s="115" t="str">
        <f t="shared" si="6"/>
        <v/>
      </c>
    </row>
    <row r="447" spans="13:17">
      <c r="M447" s="109"/>
      <c r="N447" s="109"/>
      <c r="O447" s="109"/>
      <c r="P447" s="109" t="str">
        <f ca="1">IF(A447="","",VLOOKUP(MONTH(A447),Расчеты!$O$2:$P$13,2))</f>
        <v/>
      </c>
      <c r="Q447" s="115" t="str">
        <f t="shared" si="6"/>
        <v/>
      </c>
    </row>
    <row r="448" spans="13:17">
      <c r="M448" s="109"/>
      <c r="N448" s="109"/>
      <c r="O448" s="109"/>
      <c r="P448" s="109" t="str">
        <f ca="1">IF(A448="","",VLOOKUP(MONTH(A448),Расчеты!$O$2:$P$13,2))</f>
        <v/>
      </c>
      <c r="Q448" s="115" t="str">
        <f t="shared" si="6"/>
        <v/>
      </c>
    </row>
    <row r="449" spans="13:17">
      <c r="M449" s="109"/>
      <c r="N449" s="109"/>
      <c r="O449" s="109"/>
      <c r="P449" s="109" t="str">
        <f ca="1">IF(A449="","",VLOOKUP(MONTH(A449),Расчеты!$O$2:$P$13,2))</f>
        <v/>
      </c>
      <c r="Q449" s="115" t="str">
        <f t="shared" si="6"/>
        <v/>
      </c>
    </row>
    <row r="450" spans="13:17">
      <c r="M450" s="109"/>
      <c r="N450" s="109"/>
      <c r="O450" s="109"/>
      <c r="P450" s="109" t="str">
        <f ca="1">IF(A450="","",VLOOKUP(MONTH(A450),Расчеты!$O$2:$P$13,2))</f>
        <v/>
      </c>
      <c r="Q450" s="115" t="str">
        <f t="shared" ref="Q450:Q500" si="7">IF(A450="","",YEAR(A450))</f>
        <v/>
      </c>
    </row>
    <row r="451" spans="13:17">
      <c r="M451" s="109"/>
      <c r="N451" s="109"/>
      <c r="O451" s="109"/>
      <c r="P451" s="109" t="str">
        <f ca="1">IF(A451="","",VLOOKUP(MONTH(A451),Расчеты!$O$2:$P$13,2))</f>
        <v/>
      </c>
      <c r="Q451" s="115" t="str">
        <f t="shared" si="7"/>
        <v/>
      </c>
    </row>
    <row r="452" spans="13:17">
      <c r="M452" s="109"/>
      <c r="N452" s="109"/>
      <c r="O452" s="109"/>
      <c r="P452" s="109" t="str">
        <f ca="1">IF(A452="","",VLOOKUP(MONTH(A452),Расчеты!$O$2:$P$13,2))</f>
        <v/>
      </c>
      <c r="Q452" s="115" t="str">
        <f t="shared" si="7"/>
        <v/>
      </c>
    </row>
    <row r="453" spans="13:17">
      <c r="M453" s="109"/>
      <c r="N453" s="109"/>
      <c r="O453" s="109"/>
      <c r="P453" s="109" t="str">
        <f ca="1">IF(A453="","",VLOOKUP(MONTH(A453),Расчеты!$O$2:$P$13,2))</f>
        <v/>
      </c>
      <c r="Q453" s="115" t="str">
        <f t="shared" si="7"/>
        <v/>
      </c>
    </row>
    <row r="454" spans="13:17">
      <c r="M454" s="109"/>
      <c r="N454" s="109"/>
      <c r="O454" s="109"/>
      <c r="P454" s="109" t="str">
        <f ca="1">IF(A454="","",VLOOKUP(MONTH(A454),Расчеты!$O$2:$P$13,2))</f>
        <v/>
      </c>
      <c r="Q454" s="115" t="str">
        <f t="shared" si="7"/>
        <v/>
      </c>
    </row>
    <row r="455" spans="13:17">
      <c r="M455" s="109"/>
      <c r="N455" s="109"/>
      <c r="O455" s="109"/>
      <c r="P455" s="109" t="str">
        <f ca="1">IF(A455="","",VLOOKUP(MONTH(A455),Расчеты!$O$2:$P$13,2))</f>
        <v/>
      </c>
      <c r="Q455" s="115" t="str">
        <f t="shared" si="7"/>
        <v/>
      </c>
    </row>
    <row r="456" spans="13:17">
      <c r="M456" s="109"/>
      <c r="N456" s="109"/>
      <c r="O456" s="109"/>
      <c r="P456" s="109" t="str">
        <f ca="1">IF(A456="","",VLOOKUP(MONTH(A456),Расчеты!$O$2:$P$13,2))</f>
        <v/>
      </c>
      <c r="Q456" s="115" t="str">
        <f t="shared" si="7"/>
        <v/>
      </c>
    </row>
    <row r="457" spans="13:17">
      <c r="M457" s="109"/>
      <c r="N457" s="109"/>
      <c r="O457" s="109"/>
      <c r="P457" s="109" t="str">
        <f ca="1">IF(A457="","",VLOOKUP(MONTH(A457),Расчеты!$O$2:$P$13,2))</f>
        <v/>
      </c>
      <c r="Q457" s="115" t="str">
        <f t="shared" si="7"/>
        <v/>
      </c>
    </row>
    <row r="458" spans="13:17">
      <c r="M458" s="109"/>
      <c r="N458" s="109"/>
      <c r="O458" s="109"/>
      <c r="P458" s="109" t="str">
        <f ca="1">IF(A458="","",VLOOKUP(MONTH(A458),Расчеты!$O$2:$P$13,2))</f>
        <v/>
      </c>
      <c r="Q458" s="115" t="str">
        <f t="shared" si="7"/>
        <v/>
      </c>
    </row>
    <row r="459" spans="13:17">
      <c r="M459" s="109"/>
      <c r="N459" s="109"/>
      <c r="O459" s="109"/>
      <c r="P459" s="109" t="str">
        <f ca="1">IF(A459="","",VLOOKUP(MONTH(A459),Расчеты!$O$2:$P$13,2))</f>
        <v/>
      </c>
      <c r="Q459" s="115" t="str">
        <f t="shared" si="7"/>
        <v/>
      </c>
    </row>
    <row r="460" spans="13:17">
      <c r="M460" s="109"/>
      <c r="N460" s="109"/>
      <c r="O460" s="109"/>
      <c r="P460" s="109" t="str">
        <f ca="1">IF(A460="","",VLOOKUP(MONTH(A460),Расчеты!$O$2:$P$13,2))</f>
        <v/>
      </c>
      <c r="Q460" s="115" t="str">
        <f t="shared" si="7"/>
        <v/>
      </c>
    </row>
    <row r="461" spans="13:17">
      <c r="M461" s="109"/>
      <c r="N461" s="109"/>
      <c r="O461" s="109"/>
      <c r="P461" s="109" t="str">
        <f ca="1">IF(A461="","",VLOOKUP(MONTH(A461),Расчеты!$O$2:$P$13,2))</f>
        <v/>
      </c>
      <c r="Q461" s="115" t="str">
        <f t="shared" si="7"/>
        <v/>
      </c>
    </row>
    <row r="462" spans="13:17">
      <c r="M462" s="109"/>
      <c r="N462" s="109"/>
      <c r="O462" s="109"/>
      <c r="P462" s="109" t="str">
        <f ca="1">IF(A462="","",VLOOKUP(MONTH(A462),Расчеты!$O$2:$P$13,2))</f>
        <v/>
      </c>
      <c r="Q462" s="115" t="str">
        <f t="shared" si="7"/>
        <v/>
      </c>
    </row>
    <row r="463" spans="13:17">
      <c r="M463" s="109"/>
      <c r="N463" s="109"/>
      <c r="O463" s="109"/>
      <c r="P463" s="109" t="str">
        <f ca="1">IF(A463="","",VLOOKUP(MONTH(A463),Расчеты!$O$2:$P$13,2))</f>
        <v/>
      </c>
      <c r="Q463" s="115" t="str">
        <f t="shared" si="7"/>
        <v/>
      </c>
    </row>
    <row r="464" spans="13:17">
      <c r="M464" s="109"/>
      <c r="N464" s="109"/>
      <c r="O464" s="109"/>
      <c r="P464" s="109" t="str">
        <f ca="1">IF(A464="","",VLOOKUP(MONTH(A464),Расчеты!$O$2:$P$13,2))</f>
        <v/>
      </c>
      <c r="Q464" s="115" t="str">
        <f t="shared" si="7"/>
        <v/>
      </c>
    </row>
    <row r="465" spans="13:17">
      <c r="M465" s="109"/>
      <c r="N465" s="109"/>
      <c r="O465" s="109"/>
      <c r="P465" s="109" t="str">
        <f ca="1">IF(A465="","",VLOOKUP(MONTH(A465),Расчеты!$O$2:$P$13,2))</f>
        <v/>
      </c>
      <c r="Q465" s="115" t="str">
        <f t="shared" si="7"/>
        <v/>
      </c>
    </row>
    <row r="466" spans="13:17">
      <c r="M466" s="109"/>
      <c r="N466" s="109"/>
      <c r="O466" s="109"/>
      <c r="P466" s="109" t="str">
        <f ca="1">IF(A466="","",VLOOKUP(MONTH(A466),Расчеты!$O$2:$P$13,2))</f>
        <v/>
      </c>
      <c r="Q466" s="115" t="str">
        <f t="shared" si="7"/>
        <v/>
      </c>
    </row>
    <row r="467" spans="13:17">
      <c r="M467" s="109"/>
      <c r="N467" s="109"/>
      <c r="O467" s="109"/>
      <c r="P467" s="109" t="str">
        <f ca="1">IF(A467="","",VLOOKUP(MONTH(A467),Расчеты!$O$2:$P$13,2))</f>
        <v/>
      </c>
      <c r="Q467" s="115" t="str">
        <f t="shared" si="7"/>
        <v/>
      </c>
    </row>
    <row r="468" spans="13:17">
      <c r="M468" s="109"/>
      <c r="N468" s="109"/>
      <c r="O468" s="109"/>
      <c r="P468" s="109" t="str">
        <f ca="1">IF(A468="","",VLOOKUP(MONTH(A468),Расчеты!$O$2:$P$13,2))</f>
        <v/>
      </c>
      <c r="Q468" s="115" t="str">
        <f t="shared" si="7"/>
        <v/>
      </c>
    </row>
    <row r="469" spans="13:17">
      <c r="M469" s="109"/>
      <c r="N469" s="109"/>
      <c r="O469" s="109"/>
      <c r="P469" s="109" t="str">
        <f ca="1">IF(A469="","",VLOOKUP(MONTH(A469),Расчеты!$O$2:$P$13,2))</f>
        <v/>
      </c>
      <c r="Q469" s="115" t="str">
        <f t="shared" si="7"/>
        <v/>
      </c>
    </row>
    <row r="470" spans="13:17">
      <c r="M470" s="109"/>
      <c r="N470" s="109"/>
      <c r="O470" s="109"/>
      <c r="P470" s="109" t="str">
        <f ca="1">IF(A470="","",VLOOKUP(MONTH(A470),Расчеты!$O$2:$P$13,2))</f>
        <v/>
      </c>
      <c r="Q470" s="115" t="str">
        <f t="shared" si="7"/>
        <v/>
      </c>
    </row>
    <row r="471" spans="13:17">
      <c r="M471" s="109"/>
      <c r="N471" s="109"/>
      <c r="O471" s="109"/>
      <c r="P471" s="109" t="str">
        <f ca="1">IF(A471="","",VLOOKUP(MONTH(A471),Расчеты!$O$2:$P$13,2))</f>
        <v/>
      </c>
      <c r="Q471" s="115" t="str">
        <f t="shared" si="7"/>
        <v/>
      </c>
    </row>
    <row r="472" spans="13:17">
      <c r="M472" s="109"/>
      <c r="N472" s="109"/>
      <c r="O472" s="109"/>
      <c r="P472" s="109" t="str">
        <f ca="1">IF(A472="","",VLOOKUP(MONTH(A472),Расчеты!$O$2:$P$13,2))</f>
        <v/>
      </c>
      <c r="Q472" s="115" t="str">
        <f t="shared" si="7"/>
        <v/>
      </c>
    </row>
    <row r="473" spans="13:17">
      <c r="M473" s="109"/>
      <c r="N473" s="109"/>
      <c r="O473" s="109"/>
      <c r="P473" s="109" t="str">
        <f ca="1">IF(A473="","",VLOOKUP(MONTH(A473),Расчеты!$O$2:$P$13,2))</f>
        <v/>
      </c>
      <c r="Q473" s="115" t="str">
        <f t="shared" si="7"/>
        <v/>
      </c>
    </row>
    <row r="474" spans="13:17">
      <c r="M474" s="109"/>
      <c r="N474" s="109"/>
      <c r="O474" s="109"/>
      <c r="P474" s="109" t="str">
        <f ca="1">IF(A474="","",VLOOKUP(MONTH(A474),Расчеты!$O$2:$P$13,2))</f>
        <v/>
      </c>
      <c r="Q474" s="115" t="str">
        <f t="shared" si="7"/>
        <v/>
      </c>
    </row>
    <row r="475" spans="13:17">
      <c r="M475" s="109"/>
      <c r="N475" s="109"/>
      <c r="O475" s="109"/>
      <c r="P475" s="109" t="str">
        <f ca="1">IF(A475="","",VLOOKUP(MONTH(A475),Расчеты!$O$2:$P$13,2))</f>
        <v/>
      </c>
      <c r="Q475" s="115" t="str">
        <f t="shared" si="7"/>
        <v/>
      </c>
    </row>
    <row r="476" spans="13:17">
      <c r="M476" s="109"/>
      <c r="N476" s="109"/>
      <c r="O476" s="109"/>
      <c r="P476" s="109" t="str">
        <f ca="1">IF(A476="","",VLOOKUP(MONTH(A476),Расчеты!$O$2:$P$13,2))</f>
        <v/>
      </c>
      <c r="Q476" s="115" t="str">
        <f t="shared" si="7"/>
        <v/>
      </c>
    </row>
    <row r="477" spans="13:17">
      <c r="M477" s="109"/>
      <c r="N477" s="109"/>
      <c r="O477" s="109"/>
      <c r="P477" s="109" t="str">
        <f ca="1">IF(A477="","",VLOOKUP(MONTH(A477),Расчеты!$O$2:$P$13,2))</f>
        <v/>
      </c>
      <c r="Q477" s="115" t="str">
        <f t="shared" si="7"/>
        <v/>
      </c>
    </row>
    <row r="478" spans="13:17">
      <c r="M478" s="109"/>
      <c r="N478" s="109"/>
      <c r="O478" s="109"/>
      <c r="P478" s="109" t="str">
        <f ca="1">IF(A478="","",VLOOKUP(MONTH(A478),Расчеты!$O$2:$P$13,2))</f>
        <v/>
      </c>
      <c r="Q478" s="115" t="str">
        <f t="shared" si="7"/>
        <v/>
      </c>
    </row>
    <row r="479" spans="13:17">
      <c r="M479" s="109"/>
      <c r="N479" s="109"/>
      <c r="O479" s="109"/>
      <c r="P479" s="109" t="str">
        <f ca="1">IF(A479="","",VLOOKUP(MONTH(A479),Расчеты!$O$2:$P$13,2))</f>
        <v/>
      </c>
      <c r="Q479" s="115" t="str">
        <f t="shared" si="7"/>
        <v/>
      </c>
    </row>
    <row r="480" spans="13:17">
      <c r="M480" s="109"/>
      <c r="N480" s="109"/>
      <c r="O480" s="109"/>
      <c r="P480" s="109" t="str">
        <f ca="1">IF(A480="","",VLOOKUP(MONTH(A480),Расчеты!$O$2:$P$13,2))</f>
        <v/>
      </c>
      <c r="Q480" s="115" t="str">
        <f t="shared" si="7"/>
        <v/>
      </c>
    </row>
    <row r="481" spans="13:17">
      <c r="M481" s="109"/>
      <c r="N481" s="109"/>
      <c r="O481" s="109"/>
      <c r="P481" s="109" t="str">
        <f ca="1">IF(A481="","",VLOOKUP(MONTH(A481),Расчеты!$O$2:$P$13,2))</f>
        <v/>
      </c>
      <c r="Q481" s="115" t="str">
        <f t="shared" si="7"/>
        <v/>
      </c>
    </row>
    <row r="482" spans="13:17">
      <c r="M482" s="109"/>
      <c r="N482" s="109"/>
      <c r="O482" s="109"/>
      <c r="P482" s="109" t="str">
        <f ca="1">IF(A482="","",VLOOKUP(MONTH(A482),Расчеты!$O$2:$P$13,2))</f>
        <v/>
      </c>
      <c r="Q482" s="115" t="str">
        <f t="shared" si="7"/>
        <v/>
      </c>
    </row>
    <row r="483" spans="13:17">
      <c r="M483" s="109"/>
      <c r="N483" s="109"/>
      <c r="O483" s="109"/>
      <c r="P483" s="109" t="str">
        <f ca="1">IF(A483="","",VLOOKUP(MONTH(A483),Расчеты!$O$2:$P$13,2))</f>
        <v/>
      </c>
      <c r="Q483" s="115" t="str">
        <f t="shared" si="7"/>
        <v/>
      </c>
    </row>
    <row r="484" spans="13:17">
      <c r="M484" s="109"/>
      <c r="N484" s="109"/>
      <c r="O484" s="109"/>
      <c r="P484" s="109" t="str">
        <f ca="1">IF(A484="","",VLOOKUP(MONTH(A484),Расчеты!$O$2:$P$13,2))</f>
        <v/>
      </c>
      <c r="Q484" s="115" t="str">
        <f t="shared" si="7"/>
        <v/>
      </c>
    </row>
    <row r="485" spans="13:17">
      <c r="M485" s="109"/>
      <c r="N485" s="109"/>
      <c r="O485" s="109"/>
      <c r="P485" s="109" t="str">
        <f ca="1">IF(A485="","",VLOOKUP(MONTH(A485),Расчеты!$O$2:$P$13,2))</f>
        <v/>
      </c>
      <c r="Q485" s="115" t="str">
        <f t="shared" si="7"/>
        <v/>
      </c>
    </row>
    <row r="486" spans="13:17">
      <c r="M486" s="109"/>
      <c r="N486" s="109"/>
      <c r="O486" s="109"/>
      <c r="P486" s="109" t="str">
        <f ca="1">IF(A486="","",VLOOKUP(MONTH(A486),Расчеты!$O$2:$P$13,2))</f>
        <v/>
      </c>
      <c r="Q486" s="115" t="str">
        <f t="shared" si="7"/>
        <v/>
      </c>
    </row>
    <row r="487" spans="13:17">
      <c r="M487" s="109"/>
      <c r="N487" s="109"/>
      <c r="O487" s="109"/>
      <c r="P487" s="109" t="str">
        <f ca="1">IF(A487="","",VLOOKUP(MONTH(A487),Расчеты!$O$2:$P$13,2))</f>
        <v/>
      </c>
      <c r="Q487" s="115" t="str">
        <f t="shared" si="7"/>
        <v/>
      </c>
    </row>
    <row r="488" spans="13:17">
      <c r="M488" s="109"/>
      <c r="N488" s="109"/>
      <c r="O488" s="109"/>
      <c r="P488" s="109" t="str">
        <f ca="1">IF(A488="","",VLOOKUP(MONTH(A488),Расчеты!$O$2:$P$13,2))</f>
        <v/>
      </c>
      <c r="Q488" s="115" t="str">
        <f t="shared" si="7"/>
        <v/>
      </c>
    </row>
    <row r="489" spans="13:17">
      <c r="M489" s="109"/>
      <c r="N489" s="109"/>
      <c r="O489" s="109"/>
      <c r="P489" s="109" t="str">
        <f ca="1">IF(A489="","",VLOOKUP(MONTH(A489),Расчеты!$O$2:$P$13,2))</f>
        <v/>
      </c>
      <c r="Q489" s="115" t="str">
        <f t="shared" si="7"/>
        <v/>
      </c>
    </row>
    <row r="490" spans="13:17">
      <c r="M490" s="109"/>
      <c r="N490" s="109"/>
      <c r="O490" s="109"/>
      <c r="P490" s="109" t="str">
        <f ca="1">IF(A490="","",VLOOKUP(MONTH(A490),Расчеты!$O$2:$P$13,2))</f>
        <v/>
      </c>
      <c r="Q490" s="115" t="str">
        <f t="shared" si="7"/>
        <v/>
      </c>
    </row>
    <row r="491" spans="13:17">
      <c r="M491" s="109"/>
      <c r="N491" s="109"/>
      <c r="O491" s="109"/>
      <c r="P491" s="109" t="str">
        <f ca="1">IF(A491="","",VLOOKUP(MONTH(A491),Расчеты!$O$2:$P$13,2))</f>
        <v/>
      </c>
      <c r="Q491" s="115" t="str">
        <f t="shared" si="7"/>
        <v/>
      </c>
    </row>
    <row r="492" spans="13:17">
      <c r="M492" s="109"/>
      <c r="N492" s="109"/>
      <c r="O492" s="109"/>
      <c r="P492" s="109" t="str">
        <f ca="1">IF(A492="","",VLOOKUP(MONTH(A492),Расчеты!$O$2:$P$13,2))</f>
        <v/>
      </c>
      <c r="Q492" s="115" t="str">
        <f t="shared" si="7"/>
        <v/>
      </c>
    </row>
    <row r="493" spans="13:17">
      <c r="M493" s="109"/>
      <c r="N493" s="109"/>
      <c r="O493" s="109"/>
      <c r="P493" s="109" t="str">
        <f ca="1">IF(A493="","",VLOOKUP(MONTH(A493),Расчеты!$O$2:$P$13,2))</f>
        <v/>
      </c>
      <c r="Q493" s="115" t="str">
        <f t="shared" si="7"/>
        <v/>
      </c>
    </row>
    <row r="494" spans="13:17">
      <c r="M494" s="109"/>
      <c r="N494" s="109"/>
      <c r="O494" s="109"/>
      <c r="P494" s="109" t="str">
        <f ca="1">IF(A494="","",VLOOKUP(MONTH(A494),Расчеты!$O$2:$P$13,2))</f>
        <v/>
      </c>
      <c r="Q494" s="115" t="str">
        <f t="shared" si="7"/>
        <v/>
      </c>
    </row>
    <row r="495" spans="13:17">
      <c r="M495" s="109"/>
      <c r="N495" s="109"/>
      <c r="O495" s="109"/>
      <c r="P495" s="109" t="str">
        <f ca="1">IF(A495="","",VLOOKUP(MONTH(A495),Расчеты!$O$2:$P$13,2))</f>
        <v/>
      </c>
      <c r="Q495" s="115" t="str">
        <f t="shared" si="7"/>
        <v/>
      </c>
    </row>
    <row r="496" spans="13:17">
      <c r="M496" s="109"/>
      <c r="N496" s="109"/>
      <c r="O496" s="109"/>
      <c r="P496" s="109" t="str">
        <f ca="1">IF(A496="","",VLOOKUP(MONTH(A496),Расчеты!$O$2:$P$13,2))</f>
        <v/>
      </c>
      <c r="Q496" s="115" t="str">
        <f t="shared" si="7"/>
        <v/>
      </c>
    </row>
    <row r="497" spans="13:17">
      <c r="M497" s="109"/>
      <c r="N497" s="109"/>
      <c r="O497" s="109"/>
      <c r="P497" s="109" t="str">
        <f ca="1">IF(A497="","",VLOOKUP(MONTH(A497),Расчеты!$O$2:$P$13,2))</f>
        <v/>
      </c>
      <c r="Q497" s="115" t="str">
        <f t="shared" si="7"/>
        <v/>
      </c>
    </row>
    <row r="498" spans="13:17">
      <c r="M498" s="109"/>
      <c r="N498" s="109"/>
      <c r="O498" s="109"/>
      <c r="P498" s="109" t="str">
        <f ca="1">IF(A498="","",VLOOKUP(MONTH(A498),Расчеты!$O$2:$P$13,2))</f>
        <v/>
      </c>
      <c r="Q498" s="115" t="str">
        <f t="shared" si="7"/>
        <v/>
      </c>
    </row>
    <row r="499" spans="13:17">
      <c r="M499" s="109"/>
      <c r="N499" s="109"/>
      <c r="O499" s="109"/>
      <c r="P499" s="109" t="str">
        <f ca="1">IF(A499="","",VLOOKUP(MONTH(A499),Расчеты!$O$2:$P$13,2))</f>
        <v/>
      </c>
      <c r="Q499" s="115" t="str">
        <f t="shared" si="7"/>
        <v/>
      </c>
    </row>
    <row r="500" spans="13:17">
      <c r="M500" s="109"/>
      <c r="N500" s="109"/>
      <c r="O500" s="109"/>
      <c r="P500" s="109" t="str">
        <f ca="1">IF(A500="","",VLOOKUP(MONTH(A500),Расчеты!$O$2:$P$13,2))</f>
        <v/>
      </c>
      <c r="Q500" s="115" t="str">
        <f t="shared" si="7"/>
        <v/>
      </c>
    </row>
  </sheetData>
  <customSheetViews>
    <customSheetView guid="{D930F80A-27B5-46CB-971C-1CFCBAC2999A}" filter="1" showAutoFilter="1">
      <pageMargins left="0.7" right="0.7" top="0.75" bottom="0.75" header="0.3" footer="0.3"/>
      <autoFilter ref="B1:R1"/>
    </customSheetView>
  </customSheetViews>
  <phoneticPr fontId="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Q100"/>
  <sheetViews>
    <sheetView workbookViewId="0"/>
  </sheetViews>
  <sheetFormatPr defaultColWidth="14.42578125" defaultRowHeight="15" customHeight="1"/>
  <cols>
    <col min="1" max="1" width="10.7109375" customWidth="1"/>
    <col min="2" max="2" width="15.5703125" customWidth="1"/>
    <col min="3" max="4" width="6.140625" customWidth="1"/>
    <col min="5" max="5" width="19" customWidth="1"/>
    <col min="6" max="6" width="12" customWidth="1"/>
    <col min="7" max="7" width="13.28515625" customWidth="1"/>
    <col min="8" max="8" width="18.140625" customWidth="1"/>
    <col min="9" max="9" width="26.28515625" customWidth="1"/>
    <col min="10" max="10" width="19.85546875" customWidth="1"/>
    <col min="11" max="12" width="7.42578125" customWidth="1"/>
    <col min="13" max="16" width="8.85546875" customWidth="1"/>
    <col min="17" max="17" width="5.28515625" customWidth="1"/>
  </cols>
  <sheetData>
    <row r="1" spans="1:17">
      <c r="A1" s="110" t="s">
        <v>12889</v>
      </c>
      <c r="B1" s="110" t="s">
        <v>12921</v>
      </c>
      <c r="C1" s="110" t="s">
        <v>12887</v>
      </c>
      <c r="D1" s="110" t="s">
        <v>12922</v>
      </c>
      <c r="E1" s="110" t="s">
        <v>12923</v>
      </c>
      <c r="F1" s="112" t="s">
        <v>12924</v>
      </c>
      <c r="G1" s="113" t="s">
        <v>12925</v>
      </c>
      <c r="H1" s="113" t="s">
        <v>12926</v>
      </c>
      <c r="I1" s="113" t="s">
        <v>12927</v>
      </c>
      <c r="J1" s="113" t="s">
        <v>12928</v>
      </c>
      <c r="K1" s="114" t="s">
        <v>12929</v>
      </c>
      <c r="L1" s="114" t="s">
        <v>12932</v>
      </c>
      <c r="M1" s="114" t="s">
        <v>12933</v>
      </c>
      <c r="N1" s="114" t="s">
        <v>12909</v>
      </c>
      <c r="O1" s="114" t="s">
        <v>12910</v>
      </c>
      <c r="P1" s="97" t="s">
        <v>12938</v>
      </c>
      <c r="Q1" s="114" t="s">
        <v>12963</v>
      </c>
    </row>
    <row r="2" spans="1:17">
      <c r="A2" s="100" t="e">
        <f ca="1">IFERROR(__xludf.DUMMYFUNCTION("FILTER('Журнал Закупок'!A:Q,'Журнал Закупок'!F:F=#REF!)"),"#N/A")</f>
        <v>#NAME?</v>
      </c>
      <c r="M2" s="109"/>
      <c r="N2" s="109"/>
      <c r="O2" s="109"/>
      <c r="P2" s="109" t="e">
        <f ca="1">IF(A2="","",VLOOKUP(MONTH(A2),Расчеты!$O$2:$P$13,2))</f>
        <v>#NAME?</v>
      </c>
      <c r="Q2" s="115" t="e">
        <f t="shared" ref="Q2:Q100" ca="1" si="0">IF(A2="","",YEAR(A2))</f>
        <v>#NAME?</v>
      </c>
    </row>
    <row r="3" spans="1:17">
      <c r="M3" s="109"/>
      <c r="N3" s="109"/>
      <c r="O3" s="109"/>
      <c r="P3" s="109" t="str">
        <f ca="1">IF(A3="","",VLOOKUP(MONTH(A3),Расчеты!$O$2:$P$13,2))</f>
        <v/>
      </c>
      <c r="Q3" s="115" t="str">
        <f t="shared" si="0"/>
        <v/>
      </c>
    </row>
    <row r="4" spans="1:17">
      <c r="M4" s="109"/>
      <c r="N4" s="109"/>
      <c r="O4" s="109"/>
      <c r="P4" s="109" t="str">
        <f ca="1">IF(A4="","",VLOOKUP(MONTH(A4),Расчеты!$O$2:$P$13,2))</f>
        <v/>
      </c>
      <c r="Q4" s="115" t="str">
        <f t="shared" si="0"/>
        <v/>
      </c>
    </row>
    <row r="5" spans="1:17">
      <c r="M5" s="109"/>
      <c r="N5" s="109"/>
      <c r="O5" s="109"/>
      <c r="P5" s="109" t="str">
        <f ca="1">IF(A5="","",VLOOKUP(MONTH(A5),Расчеты!$O$2:$P$13,2))</f>
        <v/>
      </c>
      <c r="Q5" s="115" t="str">
        <f t="shared" si="0"/>
        <v/>
      </c>
    </row>
    <row r="6" spans="1:17">
      <c r="M6" s="109"/>
      <c r="N6" s="109"/>
      <c r="O6" s="109"/>
      <c r="P6" s="109" t="str">
        <f ca="1">IF(A6="","",VLOOKUP(MONTH(A6),Расчеты!$O$2:$P$13,2))</f>
        <v/>
      </c>
      <c r="Q6" s="115" t="str">
        <f t="shared" si="0"/>
        <v/>
      </c>
    </row>
    <row r="7" spans="1:17">
      <c r="M7" s="109"/>
      <c r="N7" s="109"/>
      <c r="O7" s="109"/>
      <c r="P7" s="109" t="str">
        <f ca="1">IF(A7="","",VLOOKUP(MONTH(A7),Расчеты!$O$2:$P$13,2))</f>
        <v/>
      </c>
      <c r="Q7" s="115" t="str">
        <f t="shared" si="0"/>
        <v/>
      </c>
    </row>
    <row r="8" spans="1:17">
      <c r="M8" s="109"/>
      <c r="N8" s="109"/>
      <c r="O8" s="109"/>
      <c r="P8" s="109" t="str">
        <f ca="1">IF(A8="","",VLOOKUP(MONTH(A8),Расчеты!$O$2:$P$13,2))</f>
        <v/>
      </c>
      <c r="Q8" s="115" t="str">
        <f t="shared" si="0"/>
        <v/>
      </c>
    </row>
    <row r="9" spans="1:17">
      <c r="M9" s="109"/>
      <c r="N9" s="109"/>
      <c r="O9" s="109"/>
      <c r="P9" s="109" t="str">
        <f ca="1">IF(A9="","",VLOOKUP(MONTH(A9),Расчеты!$O$2:$P$13,2))</f>
        <v/>
      </c>
      <c r="Q9" s="115" t="str">
        <f t="shared" si="0"/>
        <v/>
      </c>
    </row>
    <row r="10" spans="1:17">
      <c r="M10" s="109"/>
      <c r="N10" s="109"/>
      <c r="O10" s="109"/>
      <c r="P10" s="109" t="str">
        <f ca="1">IF(A10="","",VLOOKUP(MONTH(A10),Расчеты!$O$2:$P$13,2))</f>
        <v/>
      </c>
      <c r="Q10" s="115" t="str">
        <f t="shared" si="0"/>
        <v/>
      </c>
    </row>
    <row r="11" spans="1:17">
      <c r="M11" s="109"/>
      <c r="N11" s="109"/>
      <c r="O11" s="109"/>
      <c r="P11" s="109" t="str">
        <f ca="1">IF(A11="","",VLOOKUP(MONTH(A11),Расчеты!$O$2:$P$13,2))</f>
        <v/>
      </c>
      <c r="Q11" s="115" t="str">
        <f t="shared" si="0"/>
        <v/>
      </c>
    </row>
    <row r="12" spans="1:17">
      <c r="M12" s="109"/>
      <c r="N12" s="109"/>
      <c r="O12" s="109"/>
      <c r="P12" s="109" t="str">
        <f ca="1">IF(A12="","",VLOOKUP(MONTH(A12),Расчеты!$O$2:$P$13,2))</f>
        <v/>
      </c>
      <c r="Q12" s="115" t="str">
        <f t="shared" si="0"/>
        <v/>
      </c>
    </row>
    <row r="13" spans="1:17">
      <c r="M13" s="109"/>
      <c r="N13" s="109"/>
      <c r="O13" s="109"/>
      <c r="P13" s="109" t="str">
        <f ca="1">IF(A13="","",VLOOKUP(MONTH(A13),Расчеты!$O$2:$P$13,2))</f>
        <v/>
      </c>
      <c r="Q13" s="115" t="str">
        <f t="shared" si="0"/>
        <v/>
      </c>
    </row>
    <row r="14" spans="1:17">
      <c r="M14" s="109"/>
      <c r="N14" s="109"/>
      <c r="O14" s="109"/>
      <c r="P14" s="109" t="str">
        <f ca="1">IF(A14="","",VLOOKUP(MONTH(A14),Расчеты!$O$2:$P$13,2))</f>
        <v/>
      </c>
      <c r="Q14" s="115" t="str">
        <f t="shared" si="0"/>
        <v/>
      </c>
    </row>
    <row r="15" spans="1:17">
      <c r="M15" s="109"/>
      <c r="N15" s="109"/>
      <c r="O15" s="109"/>
      <c r="P15" s="109" t="str">
        <f ca="1">IF(A15="","",VLOOKUP(MONTH(A15),Расчеты!$O$2:$P$13,2))</f>
        <v/>
      </c>
      <c r="Q15" s="115" t="str">
        <f t="shared" si="0"/>
        <v/>
      </c>
    </row>
    <row r="16" spans="1:17">
      <c r="M16" s="109"/>
      <c r="N16" s="109"/>
      <c r="O16" s="109"/>
      <c r="P16" s="109" t="str">
        <f ca="1">IF(A16="","",VLOOKUP(MONTH(A16),Расчеты!$O$2:$P$13,2))</f>
        <v/>
      </c>
      <c r="Q16" s="115" t="str">
        <f t="shared" si="0"/>
        <v/>
      </c>
    </row>
    <row r="17" spans="13:17">
      <c r="M17" s="109"/>
      <c r="N17" s="109"/>
      <c r="O17" s="109"/>
      <c r="P17" s="109" t="str">
        <f ca="1">IF(A17="","",VLOOKUP(MONTH(A17),Расчеты!$O$2:$P$13,2))</f>
        <v/>
      </c>
      <c r="Q17" s="115" t="str">
        <f t="shared" si="0"/>
        <v/>
      </c>
    </row>
    <row r="18" spans="13:17">
      <c r="M18" s="109"/>
      <c r="N18" s="109"/>
      <c r="O18" s="109"/>
      <c r="P18" s="109" t="str">
        <f ca="1">IF(A18="","",VLOOKUP(MONTH(A18),Расчеты!$O$2:$P$13,2))</f>
        <v/>
      </c>
      <c r="Q18" s="115" t="str">
        <f t="shared" si="0"/>
        <v/>
      </c>
    </row>
    <row r="19" spans="13:17">
      <c r="M19" s="109"/>
      <c r="N19" s="109"/>
      <c r="O19" s="109"/>
      <c r="P19" s="109" t="str">
        <f ca="1">IF(A19="","",VLOOKUP(MONTH(A19),Расчеты!$O$2:$P$13,2))</f>
        <v/>
      </c>
      <c r="Q19" s="115" t="str">
        <f t="shared" si="0"/>
        <v/>
      </c>
    </row>
    <row r="20" spans="13:17">
      <c r="M20" s="109"/>
      <c r="N20" s="109"/>
      <c r="O20" s="109"/>
      <c r="P20" s="109" t="str">
        <f ca="1">IF(A20="","",VLOOKUP(MONTH(A20),Расчеты!$O$2:$P$13,2))</f>
        <v/>
      </c>
      <c r="Q20" s="115" t="str">
        <f t="shared" si="0"/>
        <v/>
      </c>
    </row>
    <row r="21" spans="13:17">
      <c r="M21" s="109"/>
      <c r="N21" s="109"/>
      <c r="O21" s="109"/>
      <c r="P21" s="109" t="str">
        <f ca="1">IF(A21="","",VLOOKUP(MONTH(A21),Расчеты!$O$2:$P$13,2))</f>
        <v/>
      </c>
      <c r="Q21" s="115" t="str">
        <f t="shared" si="0"/>
        <v/>
      </c>
    </row>
    <row r="22" spans="13:17">
      <c r="M22" s="109"/>
      <c r="N22" s="109"/>
      <c r="O22" s="109"/>
      <c r="P22" s="109" t="str">
        <f ca="1">IF(A22="","",VLOOKUP(MONTH(A22),Расчеты!$O$2:$P$13,2))</f>
        <v/>
      </c>
      <c r="Q22" s="115" t="str">
        <f t="shared" si="0"/>
        <v/>
      </c>
    </row>
    <row r="23" spans="13:17">
      <c r="M23" s="109"/>
      <c r="N23" s="109"/>
      <c r="O23" s="109"/>
      <c r="P23" s="109" t="str">
        <f ca="1">IF(A23="","",VLOOKUP(MONTH(A23),Расчеты!$O$2:$P$13,2))</f>
        <v/>
      </c>
      <c r="Q23" s="115" t="str">
        <f t="shared" si="0"/>
        <v/>
      </c>
    </row>
    <row r="24" spans="13:17">
      <c r="M24" s="109"/>
      <c r="N24" s="109"/>
      <c r="O24" s="109"/>
      <c r="P24" s="109" t="str">
        <f ca="1">IF(A24="","",VLOOKUP(MONTH(A24),Расчеты!$O$2:$P$13,2))</f>
        <v/>
      </c>
      <c r="Q24" s="115" t="str">
        <f t="shared" si="0"/>
        <v/>
      </c>
    </row>
    <row r="25" spans="13:17">
      <c r="M25" s="109"/>
      <c r="N25" s="109"/>
      <c r="O25" s="109"/>
      <c r="P25" s="109" t="str">
        <f ca="1">IF(A25="","",VLOOKUP(MONTH(A25),Расчеты!$O$2:$P$13,2))</f>
        <v/>
      </c>
      <c r="Q25" s="115" t="str">
        <f t="shared" si="0"/>
        <v/>
      </c>
    </row>
    <row r="26" spans="13:17">
      <c r="M26" s="109"/>
      <c r="N26" s="109"/>
      <c r="O26" s="109"/>
      <c r="P26" s="109" t="str">
        <f ca="1">IF(A26="","",VLOOKUP(MONTH(A26),Расчеты!$O$2:$P$13,2))</f>
        <v/>
      </c>
      <c r="Q26" s="115" t="str">
        <f t="shared" si="0"/>
        <v/>
      </c>
    </row>
    <row r="27" spans="13:17">
      <c r="M27" s="109"/>
      <c r="N27" s="109"/>
      <c r="O27" s="109"/>
      <c r="P27" s="109" t="str">
        <f ca="1">IF(A27="","",VLOOKUP(MONTH(A27),Расчеты!$O$2:$P$13,2))</f>
        <v/>
      </c>
      <c r="Q27" s="115" t="str">
        <f t="shared" si="0"/>
        <v/>
      </c>
    </row>
    <row r="28" spans="13:17">
      <c r="M28" s="109"/>
      <c r="N28" s="109"/>
      <c r="O28" s="109"/>
      <c r="P28" s="109" t="str">
        <f ca="1">IF(A28="","",VLOOKUP(MONTH(A28),Расчеты!$O$2:$P$13,2))</f>
        <v/>
      </c>
      <c r="Q28" s="115" t="str">
        <f t="shared" si="0"/>
        <v/>
      </c>
    </row>
    <row r="29" spans="13:17">
      <c r="M29" s="109"/>
      <c r="N29" s="109"/>
      <c r="O29" s="109"/>
      <c r="P29" s="109" t="str">
        <f ca="1">IF(A29="","",VLOOKUP(MONTH(A29),Расчеты!$O$2:$P$13,2))</f>
        <v/>
      </c>
      <c r="Q29" s="115" t="str">
        <f t="shared" si="0"/>
        <v/>
      </c>
    </row>
    <row r="30" spans="13:17">
      <c r="M30" s="109"/>
      <c r="N30" s="109"/>
      <c r="O30" s="109"/>
      <c r="P30" s="109" t="str">
        <f ca="1">IF(A30="","",VLOOKUP(MONTH(A30),Расчеты!$O$2:$P$13,2))</f>
        <v/>
      </c>
      <c r="Q30" s="115" t="str">
        <f t="shared" si="0"/>
        <v/>
      </c>
    </row>
    <row r="31" spans="13:17">
      <c r="M31" s="109"/>
      <c r="N31" s="109"/>
      <c r="O31" s="109"/>
      <c r="P31" s="109" t="str">
        <f ca="1">IF(A31="","",VLOOKUP(MONTH(A31),Расчеты!$O$2:$P$13,2))</f>
        <v/>
      </c>
      <c r="Q31" s="115" t="str">
        <f t="shared" si="0"/>
        <v/>
      </c>
    </row>
    <row r="32" spans="13:17">
      <c r="M32" s="109"/>
      <c r="N32" s="109"/>
      <c r="O32" s="109"/>
      <c r="P32" s="109" t="str">
        <f ca="1">IF(A32="","",VLOOKUP(MONTH(A32),Расчеты!$O$2:$P$13,2))</f>
        <v/>
      </c>
      <c r="Q32" s="115" t="str">
        <f t="shared" si="0"/>
        <v/>
      </c>
    </row>
    <row r="33" spans="13:17">
      <c r="M33" s="109"/>
      <c r="N33" s="109"/>
      <c r="O33" s="109"/>
      <c r="P33" s="109" t="str">
        <f ca="1">IF(A33="","",VLOOKUP(MONTH(A33),Расчеты!$O$2:$P$13,2))</f>
        <v/>
      </c>
      <c r="Q33" s="115" t="str">
        <f t="shared" si="0"/>
        <v/>
      </c>
    </row>
    <row r="34" spans="13:17">
      <c r="M34" s="109"/>
      <c r="N34" s="109"/>
      <c r="O34" s="109"/>
      <c r="P34" s="109" t="str">
        <f ca="1">IF(A34="","",VLOOKUP(MONTH(A34),Расчеты!$O$2:$P$13,2))</f>
        <v/>
      </c>
      <c r="Q34" s="115" t="str">
        <f t="shared" si="0"/>
        <v/>
      </c>
    </row>
    <row r="35" spans="13:17">
      <c r="M35" s="109"/>
      <c r="N35" s="109"/>
      <c r="O35" s="109"/>
      <c r="P35" s="109" t="str">
        <f ca="1">IF(A35="","",VLOOKUP(MONTH(A35),Расчеты!$O$2:$P$13,2))</f>
        <v/>
      </c>
      <c r="Q35" s="115" t="str">
        <f t="shared" si="0"/>
        <v/>
      </c>
    </row>
    <row r="36" spans="13:17">
      <c r="M36" s="109"/>
      <c r="N36" s="109"/>
      <c r="O36" s="109"/>
      <c r="P36" s="109" t="str">
        <f ca="1">IF(A36="","",VLOOKUP(MONTH(A36),Расчеты!$O$2:$P$13,2))</f>
        <v/>
      </c>
      <c r="Q36" s="115" t="str">
        <f t="shared" si="0"/>
        <v/>
      </c>
    </row>
    <row r="37" spans="13:17">
      <c r="M37" s="109"/>
      <c r="N37" s="109"/>
      <c r="O37" s="109"/>
      <c r="P37" s="109" t="str">
        <f ca="1">IF(A37="","",VLOOKUP(MONTH(A37),Расчеты!$O$2:$P$13,2))</f>
        <v/>
      </c>
      <c r="Q37" s="115" t="str">
        <f t="shared" si="0"/>
        <v/>
      </c>
    </row>
    <row r="38" spans="13:17">
      <c r="M38" s="109"/>
      <c r="N38" s="109"/>
      <c r="O38" s="109"/>
      <c r="P38" s="109" t="str">
        <f ca="1">IF(A38="","",VLOOKUP(MONTH(A38),Расчеты!$O$2:$P$13,2))</f>
        <v/>
      </c>
      <c r="Q38" s="115" t="str">
        <f t="shared" si="0"/>
        <v/>
      </c>
    </row>
    <row r="39" spans="13:17">
      <c r="M39" s="109"/>
      <c r="N39" s="109"/>
      <c r="O39" s="109"/>
      <c r="P39" s="109" t="str">
        <f ca="1">IF(A39="","",VLOOKUP(MONTH(A39),Расчеты!$O$2:$P$13,2))</f>
        <v/>
      </c>
      <c r="Q39" s="115" t="str">
        <f t="shared" si="0"/>
        <v/>
      </c>
    </row>
    <row r="40" spans="13:17">
      <c r="M40" s="109"/>
      <c r="N40" s="109"/>
      <c r="O40" s="109"/>
      <c r="P40" s="109" t="str">
        <f ca="1">IF(A40="","",VLOOKUP(MONTH(A40),Расчеты!$O$2:$P$13,2))</f>
        <v/>
      </c>
      <c r="Q40" s="115" t="str">
        <f t="shared" si="0"/>
        <v/>
      </c>
    </row>
    <row r="41" spans="13:17">
      <c r="M41" s="109"/>
      <c r="N41" s="109"/>
      <c r="O41" s="109"/>
      <c r="P41" s="109" t="str">
        <f ca="1">IF(A41="","",VLOOKUP(MONTH(A41),Расчеты!$O$2:$P$13,2))</f>
        <v/>
      </c>
      <c r="Q41" s="115" t="str">
        <f t="shared" si="0"/>
        <v/>
      </c>
    </row>
    <row r="42" spans="13:17">
      <c r="M42" s="109"/>
      <c r="N42" s="109"/>
      <c r="O42" s="109"/>
      <c r="P42" s="109" t="str">
        <f ca="1">IF(A42="","",VLOOKUP(MONTH(A42),Расчеты!$O$2:$P$13,2))</f>
        <v/>
      </c>
      <c r="Q42" s="115" t="str">
        <f t="shared" si="0"/>
        <v/>
      </c>
    </row>
    <row r="43" spans="13:17">
      <c r="M43" s="109"/>
      <c r="N43" s="109"/>
      <c r="O43" s="109"/>
      <c r="P43" s="109" t="str">
        <f ca="1">IF(A43="","",VLOOKUP(MONTH(A43),Расчеты!$O$2:$P$13,2))</f>
        <v/>
      </c>
      <c r="Q43" s="115" t="str">
        <f t="shared" si="0"/>
        <v/>
      </c>
    </row>
    <row r="44" spans="13:17">
      <c r="M44" s="109"/>
      <c r="N44" s="109"/>
      <c r="O44" s="109"/>
      <c r="P44" s="109" t="str">
        <f ca="1">IF(A44="","",VLOOKUP(MONTH(A44),Расчеты!$O$2:$P$13,2))</f>
        <v/>
      </c>
      <c r="Q44" s="115" t="str">
        <f t="shared" si="0"/>
        <v/>
      </c>
    </row>
    <row r="45" spans="13:17">
      <c r="M45" s="109"/>
      <c r="N45" s="109"/>
      <c r="O45" s="109"/>
      <c r="P45" s="109" t="str">
        <f ca="1">IF(A45="","",VLOOKUP(MONTH(A45),Расчеты!$O$2:$P$13,2))</f>
        <v/>
      </c>
      <c r="Q45" s="115" t="str">
        <f t="shared" si="0"/>
        <v/>
      </c>
    </row>
    <row r="46" spans="13:17">
      <c r="M46" s="109"/>
      <c r="N46" s="109"/>
      <c r="O46" s="109"/>
      <c r="P46" s="109" t="str">
        <f ca="1">IF(A46="","",VLOOKUP(MONTH(A46),Расчеты!$O$2:$P$13,2))</f>
        <v/>
      </c>
      <c r="Q46" s="115" t="str">
        <f t="shared" si="0"/>
        <v/>
      </c>
    </row>
    <row r="47" spans="13:17">
      <c r="M47" s="109"/>
      <c r="N47" s="109"/>
      <c r="O47" s="109"/>
      <c r="P47" s="109" t="str">
        <f ca="1">IF(A47="","",VLOOKUP(MONTH(A47),Расчеты!$O$2:$P$13,2))</f>
        <v/>
      </c>
      <c r="Q47" s="115" t="str">
        <f t="shared" si="0"/>
        <v/>
      </c>
    </row>
    <row r="48" spans="13:17">
      <c r="M48" s="109"/>
      <c r="N48" s="109"/>
      <c r="O48" s="109"/>
      <c r="P48" s="109" t="str">
        <f ca="1">IF(A48="","",VLOOKUP(MONTH(A48),Расчеты!$O$2:$P$13,2))</f>
        <v/>
      </c>
      <c r="Q48" s="115" t="str">
        <f t="shared" si="0"/>
        <v/>
      </c>
    </row>
    <row r="49" spans="13:17">
      <c r="M49" s="109"/>
      <c r="N49" s="109"/>
      <c r="O49" s="109"/>
      <c r="P49" s="109" t="str">
        <f ca="1">IF(A49="","",VLOOKUP(MONTH(A49),Расчеты!$O$2:$P$13,2))</f>
        <v/>
      </c>
      <c r="Q49" s="115" t="str">
        <f t="shared" si="0"/>
        <v/>
      </c>
    </row>
    <row r="50" spans="13:17">
      <c r="M50" s="109"/>
      <c r="N50" s="109"/>
      <c r="O50" s="109"/>
      <c r="P50" s="109" t="str">
        <f ca="1">IF(A50="","",VLOOKUP(MONTH(A50),Расчеты!$O$2:$P$13,2))</f>
        <v/>
      </c>
      <c r="Q50" s="115" t="str">
        <f t="shared" si="0"/>
        <v/>
      </c>
    </row>
    <row r="51" spans="13:17">
      <c r="M51" s="109"/>
      <c r="N51" s="109"/>
      <c r="O51" s="109"/>
      <c r="P51" s="109" t="str">
        <f ca="1">IF(A51="","",VLOOKUP(MONTH(A51),Расчеты!$O$2:$P$13,2))</f>
        <v/>
      </c>
      <c r="Q51" s="115" t="str">
        <f t="shared" si="0"/>
        <v/>
      </c>
    </row>
    <row r="52" spans="13:17">
      <c r="M52" s="109"/>
      <c r="N52" s="109"/>
      <c r="O52" s="109"/>
      <c r="P52" s="109" t="str">
        <f ca="1">IF(A52="","",VLOOKUP(MONTH(A52),Расчеты!$O$2:$P$13,2))</f>
        <v/>
      </c>
      <c r="Q52" s="115" t="str">
        <f t="shared" si="0"/>
        <v/>
      </c>
    </row>
    <row r="53" spans="13:17">
      <c r="M53" s="109"/>
      <c r="N53" s="109"/>
      <c r="O53" s="109"/>
      <c r="P53" s="109" t="str">
        <f ca="1">IF(A53="","",VLOOKUP(MONTH(A53),Расчеты!$O$2:$P$13,2))</f>
        <v/>
      </c>
      <c r="Q53" s="115" t="str">
        <f t="shared" si="0"/>
        <v/>
      </c>
    </row>
    <row r="54" spans="13:17">
      <c r="M54" s="109"/>
      <c r="N54" s="109"/>
      <c r="O54" s="109"/>
      <c r="P54" s="109" t="str">
        <f ca="1">IF(A54="","",VLOOKUP(MONTH(A54),Расчеты!$O$2:$P$13,2))</f>
        <v/>
      </c>
      <c r="Q54" s="115" t="str">
        <f t="shared" si="0"/>
        <v/>
      </c>
    </row>
    <row r="55" spans="13:17">
      <c r="M55" s="109"/>
      <c r="N55" s="109"/>
      <c r="O55" s="109"/>
      <c r="P55" s="109" t="str">
        <f ca="1">IF(A55="","",VLOOKUP(MONTH(A55),Расчеты!$O$2:$P$13,2))</f>
        <v/>
      </c>
      <c r="Q55" s="115" t="str">
        <f t="shared" si="0"/>
        <v/>
      </c>
    </row>
    <row r="56" spans="13:17">
      <c r="M56" s="109"/>
      <c r="N56" s="109"/>
      <c r="O56" s="109"/>
      <c r="P56" s="109" t="str">
        <f ca="1">IF(A56="","",VLOOKUP(MONTH(A56),Расчеты!$O$2:$P$13,2))</f>
        <v/>
      </c>
      <c r="Q56" s="115" t="str">
        <f t="shared" si="0"/>
        <v/>
      </c>
    </row>
    <row r="57" spans="13:17">
      <c r="M57" s="109"/>
      <c r="N57" s="109"/>
      <c r="O57" s="109"/>
      <c r="P57" s="109" t="str">
        <f ca="1">IF(A57="","",VLOOKUP(MONTH(A57),Расчеты!$O$2:$P$13,2))</f>
        <v/>
      </c>
      <c r="Q57" s="115" t="str">
        <f t="shared" si="0"/>
        <v/>
      </c>
    </row>
    <row r="58" spans="13:17">
      <c r="M58" s="109"/>
      <c r="N58" s="109"/>
      <c r="O58" s="109"/>
      <c r="P58" s="109" t="str">
        <f ca="1">IF(A58="","",VLOOKUP(MONTH(A58),Расчеты!$O$2:$P$13,2))</f>
        <v/>
      </c>
      <c r="Q58" s="115" t="str">
        <f t="shared" si="0"/>
        <v/>
      </c>
    </row>
    <row r="59" spans="13:17">
      <c r="M59" s="109"/>
      <c r="N59" s="109"/>
      <c r="O59" s="109"/>
      <c r="P59" s="109" t="str">
        <f ca="1">IF(A59="","",VLOOKUP(MONTH(A59),Расчеты!$O$2:$P$13,2))</f>
        <v/>
      </c>
      <c r="Q59" s="115" t="str">
        <f t="shared" si="0"/>
        <v/>
      </c>
    </row>
    <row r="60" spans="13:17">
      <c r="M60" s="109"/>
      <c r="N60" s="109"/>
      <c r="O60" s="109"/>
      <c r="P60" s="109" t="str">
        <f ca="1">IF(A60="","",VLOOKUP(MONTH(A60),Расчеты!$O$2:$P$13,2))</f>
        <v/>
      </c>
      <c r="Q60" s="115" t="str">
        <f t="shared" si="0"/>
        <v/>
      </c>
    </row>
    <row r="61" spans="13:17">
      <c r="M61" s="109"/>
      <c r="N61" s="109"/>
      <c r="O61" s="109"/>
      <c r="P61" s="109" t="str">
        <f ca="1">IF(A61="","",VLOOKUP(MONTH(A61),Расчеты!$O$2:$P$13,2))</f>
        <v/>
      </c>
      <c r="Q61" s="115" t="str">
        <f t="shared" si="0"/>
        <v/>
      </c>
    </row>
    <row r="62" spans="13:17">
      <c r="M62" s="109"/>
      <c r="N62" s="109"/>
      <c r="O62" s="109"/>
      <c r="P62" s="109" t="str">
        <f ca="1">IF(A62="","",VLOOKUP(MONTH(A62),Расчеты!$O$2:$P$13,2))</f>
        <v/>
      </c>
      <c r="Q62" s="115" t="str">
        <f t="shared" si="0"/>
        <v/>
      </c>
    </row>
    <row r="63" spans="13:17">
      <c r="M63" s="109"/>
      <c r="N63" s="109"/>
      <c r="O63" s="109"/>
      <c r="P63" s="109" t="str">
        <f ca="1">IF(A63="","",VLOOKUP(MONTH(A63),Расчеты!$O$2:$P$13,2))</f>
        <v/>
      </c>
      <c r="Q63" s="115" t="str">
        <f t="shared" si="0"/>
        <v/>
      </c>
    </row>
    <row r="64" spans="13:17">
      <c r="M64" s="109"/>
      <c r="N64" s="109"/>
      <c r="O64" s="109"/>
      <c r="P64" s="109" t="str">
        <f ca="1">IF(A64="","",VLOOKUP(MONTH(A64),Расчеты!$O$2:$P$13,2))</f>
        <v/>
      </c>
      <c r="Q64" s="115" t="str">
        <f t="shared" si="0"/>
        <v/>
      </c>
    </row>
    <row r="65" spans="13:17">
      <c r="M65" s="109"/>
      <c r="N65" s="109"/>
      <c r="O65" s="109"/>
      <c r="P65" s="109" t="str">
        <f ca="1">IF(A65="","",VLOOKUP(MONTH(A65),Расчеты!$O$2:$P$13,2))</f>
        <v/>
      </c>
      <c r="Q65" s="115" t="str">
        <f t="shared" si="0"/>
        <v/>
      </c>
    </row>
    <row r="66" spans="13:17">
      <c r="M66" s="109"/>
      <c r="N66" s="109"/>
      <c r="O66" s="109"/>
      <c r="P66" s="109" t="str">
        <f ca="1">IF(A66="","",VLOOKUP(MONTH(A66),Расчеты!$O$2:$P$13,2))</f>
        <v/>
      </c>
      <c r="Q66" s="115" t="str">
        <f t="shared" si="0"/>
        <v/>
      </c>
    </row>
    <row r="67" spans="13:17">
      <c r="M67" s="109"/>
      <c r="N67" s="109"/>
      <c r="O67" s="109"/>
      <c r="P67" s="109" t="str">
        <f ca="1">IF(A67="","",VLOOKUP(MONTH(A67),Расчеты!$O$2:$P$13,2))</f>
        <v/>
      </c>
      <c r="Q67" s="115" t="str">
        <f t="shared" si="0"/>
        <v/>
      </c>
    </row>
    <row r="68" spans="13:17">
      <c r="M68" s="109"/>
      <c r="N68" s="109"/>
      <c r="O68" s="109"/>
      <c r="P68" s="109" t="str">
        <f ca="1">IF(A68="","",VLOOKUP(MONTH(A68),Расчеты!$O$2:$P$13,2))</f>
        <v/>
      </c>
      <c r="Q68" s="115" t="str">
        <f t="shared" si="0"/>
        <v/>
      </c>
    </row>
    <row r="69" spans="13:17">
      <c r="M69" s="109"/>
      <c r="N69" s="109"/>
      <c r="O69" s="109"/>
      <c r="P69" s="109" t="str">
        <f ca="1">IF(A69="","",VLOOKUP(MONTH(A69),Расчеты!$O$2:$P$13,2))</f>
        <v/>
      </c>
      <c r="Q69" s="115" t="str">
        <f t="shared" si="0"/>
        <v/>
      </c>
    </row>
    <row r="70" spans="13:17">
      <c r="M70" s="109"/>
      <c r="N70" s="109"/>
      <c r="O70" s="109"/>
      <c r="P70" s="109" t="str">
        <f ca="1">IF(A70="","",VLOOKUP(MONTH(A70),Расчеты!$O$2:$P$13,2))</f>
        <v/>
      </c>
      <c r="Q70" s="115" t="str">
        <f t="shared" si="0"/>
        <v/>
      </c>
    </row>
    <row r="71" spans="13:17">
      <c r="M71" s="109"/>
      <c r="N71" s="109"/>
      <c r="O71" s="109"/>
      <c r="P71" s="109" t="str">
        <f ca="1">IF(A71="","",VLOOKUP(MONTH(A71),Расчеты!$O$2:$P$13,2))</f>
        <v/>
      </c>
      <c r="Q71" s="115" t="str">
        <f t="shared" si="0"/>
        <v/>
      </c>
    </row>
    <row r="72" spans="13:17">
      <c r="M72" s="109"/>
      <c r="N72" s="109"/>
      <c r="O72" s="109"/>
      <c r="P72" s="109" t="str">
        <f ca="1">IF(A72="","",VLOOKUP(MONTH(A72),Расчеты!$O$2:$P$13,2))</f>
        <v/>
      </c>
      <c r="Q72" s="115" t="str">
        <f t="shared" si="0"/>
        <v/>
      </c>
    </row>
    <row r="73" spans="13:17">
      <c r="M73" s="109"/>
      <c r="N73" s="109"/>
      <c r="O73" s="109"/>
      <c r="P73" s="109" t="str">
        <f ca="1">IF(A73="","",VLOOKUP(MONTH(A73),Расчеты!$O$2:$P$13,2))</f>
        <v/>
      </c>
      <c r="Q73" s="115" t="str">
        <f t="shared" si="0"/>
        <v/>
      </c>
    </row>
    <row r="74" spans="13:17">
      <c r="M74" s="109"/>
      <c r="N74" s="109"/>
      <c r="O74" s="109"/>
      <c r="P74" s="109" t="str">
        <f ca="1">IF(A74="","",VLOOKUP(MONTH(A74),Расчеты!$O$2:$P$13,2))</f>
        <v/>
      </c>
      <c r="Q74" s="115" t="str">
        <f t="shared" si="0"/>
        <v/>
      </c>
    </row>
    <row r="75" spans="13:17">
      <c r="M75" s="109"/>
      <c r="N75" s="109"/>
      <c r="O75" s="109"/>
      <c r="P75" s="109" t="str">
        <f ca="1">IF(A75="","",VLOOKUP(MONTH(A75),Расчеты!$O$2:$P$13,2))</f>
        <v/>
      </c>
      <c r="Q75" s="115" t="str">
        <f t="shared" si="0"/>
        <v/>
      </c>
    </row>
    <row r="76" spans="13:17">
      <c r="M76" s="109"/>
      <c r="N76" s="109"/>
      <c r="O76" s="109"/>
      <c r="P76" s="109" t="str">
        <f ca="1">IF(A76="","",VLOOKUP(MONTH(A76),Расчеты!$O$2:$P$13,2))</f>
        <v/>
      </c>
      <c r="Q76" s="115" t="str">
        <f t="shared" si="0"/>
        <v/>
      </c>
    </row>
    <row r="77" spans="13:17">
      <c r="M77" s="109"/>
      <c r="N77" s="109"/>
      <c r="O77" s="109"/>
      <c r="P77" s="109" t="str">
        <f ca="1">IF(A77="","",VLOOKUP(MONTH(A77),Расчеты!$O$2:$P$13,2))</f>
        <v/>
      </c>
      <c r="Q77" s="115" t="str">
        <f t="shared" si="0"/>
        <v/>
      </c>
    </row>
    <row r="78" spans="13:17">
      <c r="M78" s="109"/>
      <c r="N78" s="109"/>
      <c r="O78" s="109"/>
      <c r="P78" s="109" t="str">
        <f ca="1">IF(A78="","",VLOOKUP(MONTH(A78),Расчеты!$O$2:$P$13,2))</f>
        <v/>
      </c>
      <c r="Q78" s="115" t="str">
        <f t="shared" si="0"/>
        <v/>
      </c>
    </row>
    <row r="79" spans="13:17">
      <c r="M79" s="109"/>
      <c r="N79" s="109"/>
      <c r="O79" s="109"/>
      <c r="P79" s="109" t="str">
        <f ca="1">IF(A79="","",VLOOKUP(MONTH(A79),Расчеты!$O$2:$P$13,2))</f>
        <v/>
      </c>
      <c r="Q79" s="115" t="str">
        <f t="shared" si="0"/>
        <v/>
      </c>
    </row>
    <row r="80" spans="13:17">
      <c r="M80" s="109"/>
      <c r="N80" s="109"/>
      <c r="O80" s="109"/>
      <c r="P80" s="109" t="str">
        <f ca="1">IF(A80="","",VLOOKUP(MONTH(A80),Расчеты!$O$2:$P$13,2))</f>
        <v/>
      </c>
      <c r="Q80" s="115" t="str">
        <f t="shared" si="0"/>
        <v/>
      </c>
    </row>
    <row r="81" spans="13:17">
      <c r="M81" s="109"/>
      <c r="N81" s="109"/>
      <c r="O81" s="109"/>
      <c r="P81" s="109" t="str">
        <f ca="1">IF(A81="","",VLOOKUP(MONTH(A81),Расчеты!$O$2:$P$13,2))</f>
        <v/>
      </c>
      <c r="Q81" s="115" t="str">
        <f t="shared" si="0"/>
        <v/>
      </c>
    </row>
    <row r="82" spans="13:17">
      <c r="M82" s="109"/>
      <c r="N82" s="109"/>
      <c r="O82" s="109"/>
      <c r="P82" s="109" t="str">
        <f ca="1">IF(A82="","",VLOOKUP(MONTH(A82),Расчеты!$O$2:$P$13,2))</f>
        <v/>
      </c>
      <c r="Q82" s="115" t="str">
        <f t="shared" si="0"/>
        <v/>
      </c>
    </row>
    <row r="83" spans="13:17">
      <c r="M83" s="109"/>
      <c r="N83" s="109"/>
      <c r="O83" s="109"/>
      <c r="P83" s="109" t="str">
        <f ca="1">IF(A83="","",VLOOKUP(MONTH(A83),Расчеты!$O$2:$P$13,2))</f>
        <v/>
      </c>
      <c r="Q83" s="115" t="str">
        <f t="shared" si="0"/>
        <v/>
      </c>
    </row>
    <row r="84" spans="13:17">
      <c r="M84" s="109"/>
      <c r="N84" s="109"/>
      <c r="O84" s="109"/>
      <c r="P84" s="109" t="str">
        <f ca="1">IF(A84="","",VLOOKUP(MONTH(A84),Расчеты!$O$2:$P$13,2))</f>
        <v/>
      </c>
      <c r="Q84" s="115" t="str">
        <f t="shared" si="0"/>
        <v/>
      </c>
    </row>
    <row r="85" spans="13:17">
      <c r="M85" s="109"/>
      <c r="N85" s="109"/>
      <c r="O85" s="109"/>
      <c r="P85" s="109" t="str">
        <f ca="1">IF(A85="","",VLOOKUP(MONTH(A85),Расчеты!$O$2:$P$13,2))</f>
        <v/>
      </c>
      <c r="Q85" s="115" t="str">
        <f t="shared" si="0"/>
        <v/>
      </c>
    </row>
    <row r="86" spans="13:17">
      <c r="M86" s="109"/>
      <c r="N86" s="109"/>
      <c r="O86" s="109"/>
      <c r="P86" s="109" t="str">
        <f ca="1">IF(A86="","",VLOOKUP(MONTH(A86),Расчеты!$O$2:$P$13,2))</f>
        <v/>
      </c>
      <c r="Q86" s="115" t="str">
        <f t="shared" si="0"/>
        <v/>
      </c>
    </row>
    <row r="87" spans="13:17">
      <c r="M87" s="109"/>
      <c r="N87" s="109"/>
      <c r="O87" s="109"/>
      <c r="P87" s="109" t="str">
        <f ca="1">IF(A87="","",VLOOKUP(MONTH(A87),Расчеты!$O$2:$P$13,2))</f>
        <v/>
      </c>
      <c r="Q87" s="115" t="str">
        <f t="shared" si="0"/>
        <v/>
      </c>
    </row>
    <row r="88" spans="13:17">
      <c r="M88" s="109"/>
      <c r="N88" s="109"/>
      <c r="O88" s="109"/>
      <c r="P88" s="109" t="str">
        <f ca="1">IF(A88="","",VLOOKUP(MONTH(A88),Расчеты!$O$2:$P$13,2))</f>
        <v/>
      </c>
      <c r="Q88" s="115" t="str">
        <f t="shared" si="0"/>
        <v/>
      </c>
    </row>
    <row r="89" spans="13:17">
      <c r="M89" s="109"/>
      <c r="N89" s="109"/>
      <c r="O89" s="109"/>
      <c r="P89" s="109" t="str">
        <f ca="1">IF(A89="","",VLOOKUP(MONTH(A89),Расчеты!$O$2:$P$13,2))</f>
        <v/>
      </c>
      <c r="Q89" s="115" t="str">
        <f t="shared" si="0"/>
        <v/>
      </c>
    </row>
    <row r="90" spans="13:17">
      <c r="M90" s="109"/>
      <c r="N90" s="109"/>
      <c r="O90" s="109"/>
      <c r="P90" s="109" t="str">
        <f ca="1">IF(A90="","",VLOOKUP(MONTH(A90),Расчеты!$O$2:$P$13,2))</f>
        <v/>
      </c>
      <c r="Q90" s="115" t="str">
        <f t="shared" si="0"/>
        <v/>
      </c>
    </row>
    <row r="91" spans="13:17">
      <c r="M91" s="109"/>
      <c r="N91" s="109"/>
      <c r="O91" s="109"/>
      <c r="P91" s="109" t="str">
        <f ca="1">IF(A91="","",VLOOKUP(MONTH(A91),Расчеты!$O$2:$P$13,2))</f>
        <v/>
      </c>
      <c r="Q91" s="115" t="str">
        <f t="shared" si="0"/>
        <v/>
      </c>
    </row>
    <row r="92" spans="13:17">
      <c r="M92" s="109"/>
      <c r="N92" s="109"/>
      <c r="O92" s="109"/>
      <c r="P92" s="109" t="str">
        <f ca="1">IF(A92="","",VLOOKUP(MONTH(A92),Расчеты!$O$2:$P$13,2))</f>
        <v/>
      </c>
      <c r="Q92" s="115" t="str">
        <f t="shared" si="0"/>
        <v/>
      </c>
    </row>
    <row r="93" spans="13:17">
      <c r="M93" s="109"/>
      <c r="N93" s="109"/>
      <c r="O93" s="109"/>
      <c r="P93" s="109" t="str">
        <f ca="1">IF(A93="","",VLOOKUP(MONTH(A93),Расчеты!$O$2:$P$13,2))</f>
        <v/>
      </c>
      <c r="Q93" s="115" t="str">
        <f t="shared" si="0"/>
        <v/>
      </c>
    </row>
    <row r="94" spans="13:17">
      <c r="M94" s="109"/>
      <c r="N94" s="109"/>
      <c r="O94" s="109"/>
      <c r="P94" s="109" t="str">
        <f ca="1">IF(A94="","",VLOOKUP(MONTH(A94),Расчеты!$O$2:$P$13,2))</f>
        <v/>
      </c>
      <c r="Q94" s="115" t="str">
        <f t="shared" si="0"/>
        <v/>
      </c>
    </row>
    <row r="95" spans="13:17">
      <c r="M95" s="109"/>
      <c r="N95" s="109"/>
      <c r="O95" s="109"/>
      <c r="P95" s="109" t="str">
        <f ca="1">IF(A95="","",VLOOKUP(MONTH(A95),Расчеты!$O$2:$P$13,2))</f>
        <v/>
      </c>
      <c r="Q95" s="115" t="str">
        <f t="shared" si="0"/>
        <v/>
      </c>
    </row>
    <row r="96" spans="13:17">
      <c r="M96" s="109"/>
      <c r="N96" s="109"/>
      <c r="O96" s="109"/>
      <c r="P96" s="109" t="str">
        <f ca="1">IF(A96="","",VLOOKUP(MONTH(A96),Расчеты!$O$2:$P$13,2))</f>
        <v/>
      </c>
      <c r="Q96" s="115" t="str">
        <f t="shared" si="0"/>
        <v/>
      </c>
    </row>
    <row r="97" spans="13:17">
      <c r="M97" s="109"/>
      <c r="N97" s="109"/>
      <c r="O97" s="109"/>
      <c r="P97" s="109" t="str">
        <f ca="1">IF(A97="","",VLOOKUP(MONTH(A97),Расчеты!$O$2:$P$13,2))</f>
        <v/>
      </c>
      <c r="Q97" s="115" t="str">
        <f t="shared" si="0"/>
        <v/>
      </c>
    </row>
    <row r="98" spans="13:17">
      <c r="M98" s="109"/>
      <c r="N98" s="109"/>
      <c r="O98" s="109"/>
      <c r="P98" s="109" t="str">
        <f ca="1">IF(A98="","",VLOOKUP(MONTH(A98),Расчеты!$O$2:$P$13,2))</f>
        <v/>
      </c>
      <c r="Q98" s="115" t="str">
        <f t="shared" si="0"/>
        <v/>
      </c>
    </row>
    <row r="99" spans="13:17">
      <c r="M99" s="109"/>
      <c r="N99" s="109"/>
      <c r="O99" s="109"/>
      <c r="P99" s="109" t="str">
        <f ca="1">IF(A99="","",VLOOKUP(MONTH(A99),Расчеты!$O$2:$P$13,2))</f>
        <v/>
      </c>
      <c r="Q99" s="115" t="str">
        <f t="shared" si="0"/>
        <v/>
      </c>
    </row>
    <row r="100" spans="13:17">
      <c r="M100" s="109"/>
      <c r="N100" s="109"/>
      <c r="O100" s="109"/>
      <c r="P100" s="109" t="str">
        <f ca="1">IF(A100="","",VLOOKUP(MONTH(A100),Расчеты!$O$2:$P$13,2))</f>
        <v/>
      </c>
      <c r="Q100" s="115" t="str">
        <f t="shared" si="0"/>
        <v/>
      </c>
    </row>
  </sheetData>
  <phoneticPr fontId="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E1788"/>
  <sheetViews>
    <sheetView workbookViewId="0"/>
  </sheetViews>
  <sheetFormatPr defaultColWidth="14.42578125" defaultRowHeight="15" customHeight="1"/>
  <cols>
    <col min="1" max="1" width="13" customWidth="1"/>
    <col min="2" max="2" width="45.7109375" customWidth="1"/>
    <col min="3" max="3" width="10.5703125" customWidth="1"/>
    <col min="4" max="4" width="15.42578125" customWidth="1"/>
    <col min="5" max="5" width="11.85546875" customWidth="1"/>
  </cols>
  <sheetData>
    <row r="1" spans="1:5">
      <c r="A1" s="189" t="s">
        <v>12964</v>
      </c>
      <c r="B1" s="175"/>
      <c r="C1" s="175"/>
      <c r="D1" s="175"/>
      <c r="E1" s="175"/>
    </row>
    <row r="2" spans="1:5">
      <c r="A2" s="121" t="s">
        <v>12965</v>
      </c>
      <c r="B2" s="121" t="s">
        <v>12903</v>
      </c>
      <c r="C2" s="121" t="s">
        <v>12923</v>
      </c>
      <c r="D2" s="122" t="s">
        <v>12966</v>
      </c>
      <c r="E2" s="122" t="s">
        <v>12967</v>
      </c>
    </row>
    <row r="3" spans="1:5">
      <c r="A3" s="121">
        <v>1</v>
      </c>
      <c r="B3" s="123" t="s">
        <v>12918</v>
      </c>
      <c r="C3" s="123" t="s">
        <v>12968</v>
      </c>
      <c r="D3" s="124" t="str">
        <f>CONCATENATE(C3,"USDT")</f>
        <v>BTCUSDT</v>
      </c>
      <c r="E3" s="125" t="e">
        <f ca="1">VLOOKUP(D3,'Курсы Бинанса'!B:C,2,FALSE)</f>
        <v>#N/A</v>
      </c>
    </row>
    <row r="4" spans="1:5">
      <c r="A4" s="121">
        <v>2</v>
      </c>
      <c r="B4" s="123" t="s">
        <v>12917</v>
      </c>
      <c r="C4" s="123" t="s">
        <v>12969</v>
      </c>
      <c r="D4" s="124" t="str">
        <f>CONCATENATE(C4,"USDT")</f>
        <v>ETHUSDT</v>
      </c>
      <c r="E4" s="125" t="e">
        <f ca="1">VLOOKUP(D4,'Курсы Бинанса'!B:C,2,FALSE)</f>
        <v>#N/A</v>
      </c>
    </row>
    <row r="5" spans="1:5">
      <c r="A5" s="121">
        <v>3</v>
      </c>
      <c r="B5" s="123" t="s">
        <v>12958</v>
      </c>
      <c r="C5" s="123" t="s">
        <v>12970</v>
      </c>
      <c r="D5" s="124" t="str">
        <f>CONCATENATE(C5,"USDT")</f>
        <v>BNBUSDT</v>
      </c>
      <c r="E5" s="125" t="e">
        <f ca="1">VLOOKUP(D5,'Курсы Бинанса'!B:C,2,FALSE)</f>
        <v>#N/A</v>
      </c>
    </row>
    <row r="6" spans="1:5">
      <c r="A6" s="121">
        <v>4</v>
      </c>
      <c r="B6" s="123" t="s">
        <v>12971</v>
      </c>
      <c r="C6" s="123" t="s">
        <v>12972</v>
      </c>
      <c r="D6" s="124" t="s">
        <v>12973</v>
      </c>
      <c r="E6" s="125" t="e">
        <f ca="1">VLOOKUP(D6,'Курсы Бинанса'!B:C,2,FALSE)</f>
        <v>#N/A</v>
      </c>
    </row>
    <row r="7" spans="1:5">
      <c r="A7" s="121">
        <v>5</v>
      </c>
      <c r="B7" s="123" t="s">
        <v>12974</v>
      </c>
      <c r="C7" s="123" t="s">
        <v>12975</v>
      </c>
      <c r="D7" s="124" t="s">
        <v>12976</v>
      </c>
      <c r="E7" s="125" t="e">
        <f ca="1">VLOOKUP(D7,'Курсы Бинанса'!B:C,2,FALSE)</f>
        <v>#N/A</v>
      </c>
    </row>
    <row r="8" spans="1:5">
      <c r="A8" s="121">
        <v>6</v>
      </c>
      <c r="B8" s="123" t="s">
        <v>12977</v>
      </c>
      <c r="C8" s="123" t="s">
        <v>12978</v>
      </c>
      <c r="D8" s="124" t="s">
        <v>12979</v>
      </c>
      <c r="E8" s="125" t="e">
        <f ca="1">VLOOKUP(D8,'Курсы Бинанса'!B:C,2,FALSE)</f>
        <v>#N/A</v>
      </c>
    </row>
    <row r="9" spans="1:5">
      <c r="A9" s="121">
        <v>7</v>
      </c>
      <c r="B9" s="123" t="s">
        <v>12980</v>
      </c>
      <c r="C9" s="123" t="s">
        <v>12981</v>
      </c>
      <c r="D9" s="124" t="str">
        <f t="shared" ref="D9:D72" si="0">CONCATENATE(C9,"USDT")</f>
        <v>SOCKSUSDT</v>
      </c>
      <c r="E9" s="125" t="e">
        <f ca="1">VLOOKUP(D9,'Курсы Бинанса'!B:C,2,FALSE)</f>
        <v>#N/A</v>
      </c>
    </row>
    <row r="10" spans="1:5">
      <c r="A10" s="121">
        <v>8</v>
      </c>
      <c r="B10" s="123" t="s">
        <v>12982</v>
      </c>
      <c r="C10" s="123" t="s">
        <v>12983</v>
      </c>
      <c r="D10" s="124" t="str">
        <f t="shared" si="0"/>
        <v>WBTCUSDT</v>
      </c>
      <c r="E10" s="125" t="e">
        <f ca="1">VLOOKUP(D10,'Курсы Бинанса'!B:C,2,FALSE)</f>
        <v>#N/A</v>
      </c>
    </row>
    <row r="11" spans="1:5">
      <c r="A11" s="121">
        <v>9</v>
      </c>
      <c r="B11" s="123" t="s">
        <v>12984</v>
      </c>
      <c r="C11" s="123" t="s">
        <v>12985</v>
      </c>
      <c r="D11" s="124" t="str">
        <f t="shared" si="0"/>
        <v>BTCBUSDT</v>
      </c>
      <c r="E11" s="125" t="e">
        <f ca="1">VLOOKUP(D11,'Курсы Бинанса'!B:C,2,FALSE)</f>
        <v>#N/A</v>
      </c>
    </row>
    <row r="12" spans="1:5">
      <c r="A12" s="121">
        <v>10</v>
      </c>
      <c r="B12" s="123" t="s">
        <v>12986</v>
      </c>
      <c r="C12" s="123" t="s">
        <v>12987</v>
      </c>
      <c r="D12" s="124" t="str">
        <f t="shared" si="0"/>
        <v>RENBTCUSDT</v>
      </c>
      <c r="E12" s="125" t="e">
        <f ca="1">VLOOKUP(D12,'Курсы Бинанса'!B:C,2,FALSE)</f>
        <v>#N/A</v>
      </c>
    </row>
    <row r="13" spans="1:5">
      <c r="A13" s="121">
        <v>11</v>
      </c>
      <c r="B13" s="123" t="s">
        <v>12988</v>
      </c>
      <c r="C13" s="123" t="s">
        <v>12989</v>
      </c>
      <c r="D13" s="124" t="str">
        <f t="shared" si="0"/>
        <v>RBTCUSDT</v>
      </c>
      <c r="E13" s="125" t="e">
        <f ca="1">VLOOKUP(D13,'Курсы Бинанса'!B:C,2,FALSE)</f>
        <v>#N/A</v>
      </c>
    </row>
    <row r="14" spans="1:5">
      <c r="A14" s="121">
        <v>12</v>
      </c>
      <c r="B14" s="123" t="s">
        <v>12990</v>
      </c>
      <c r="C14" s="123" t="s">
        <v>12991</v>
      </c>
      <c r="D14" s="124" t="str">
        <f t="shared" si="0"/>
        <v>YFIUSDT</v>
      </c>
      <c r="E14" s="125" t="e">
        <f ca="1">VLOOKUP(D14,'Курсы Бинанса'!B:C,2,FALSE)</f>
        <v>#N/A</v>
      </c>
    </row>
    <row r="15" spans="1:5">
      <c r="A15" s="121">
        <v>13</v>
      </c>
      <c r="B15" s="123" t="s">
        <v>12992</v>
      </c>
      <c r="C15" s="123" t="s">
        <v>12992</v>
      </c>
      <c r="D15" s="124" t="str">
        <f t="shared" si="0"/>
        <v>DIGGUSDT</v>
      </c>
      <c r="E15" s="125" t="e">
        <f ca="1">VLOOKUP(D15,'Курсы Бинанса'!B:C,2,FALSE)</f>
        <v>#N/A</v>
      </c>
    </row>
    <row r="16" spans="1:5">
      <c r="A16" s="121">
        <v>14</v>
      </c>
      <c r="B16" s="123" t="s">
        <v>12993</v>
      </c>
      <c r="C16" s="123" t="s">
        <v>12994</v>
      </c>
      <c r="D16" s="124" t="str">
        <f t="shared" si="0"/>
        <v>BORUSDT</v>
      </c>
      <c r="E16" s="125" t="e">
        <f ca="1">VLOOKUP(D16,'Курсы Бинанса'!B:C,2,FALSE)</f>
        <v>#N/A</v>
      </c>
    </row>
    <row r="17" spans="1:5">
      <c r="A17" s="121">
        <v>15</v>
      </c>
      <c r="B17" s="123" t="s">
        <v>12995</v>
      </c>
      <c r="C17" s="123" t="s">
        <v>12996</v>
      </c>
      <c r="D17" s="124" t="str">
        <f t="shared" si="0"/>
        <v>vBTCUSDT</v>
      </c>
      <c r="E17" s="125" t="e">
        <f ca="1">VLOOKUP(D17,'Курсы Бинанса'!B:C,2,FALSE)</f>
        <v>#N/A</v>
      </c>
    </row>
    <row r="18" spans="1:5">
      <c r="A18" s="121">
        <v>16</v>
      </c>
      <c r="B18" s="123" t="s">
        <v>12997</v>
      </c>
      <c r="C18" s="123" t="s">
        <v>12998</v>
      </c>
      <c r="D18" s="124" t="str">
        <f t="shared" si="0"/>
        <v>WOAUSDT</v>
      </c>
      <c r="E18" s="125" t="e">
        <f ca="1">VLOOKUP(D18,'Курсы Бинанса'!B:C,2,FALSE)</f>
        <v>#N/A</v>
      </c>
    </row>
    <row r="19" spans="1:5">
      <c r="A19" s="121">
        <v>17</v>
      </c>
      <c r="B19" s="123" t="s">
        <v>12999</v>
      </c>
      <c r="C19" s="123" t="s">
        <v>13000</v>
      </c>
      <c r="D19" s="124" t="str">
        <f t="shared" si="0"/>
        <v>PMGTUSDT</v>
      </c>
      <c r="E19" s="125" t="e">
        <f ca="1">VLOOKUP(D19,'Курсы Бинанса'!B:C,2,FALSE)</f>
        <v>#N/A</v>
      </c>
    </row>
    <row r="20" spans="1:5">
      <c r="A20" s="121">
        <v>18</v>
      </c>
      <c r="B20" s="123" t="s">
        <v>13001</v>
      </c>
      <c r="C20" s="123" t="s">
        <v>13002</v>
      </c>
      <c r="D20" s="124" t="str">
        <f t="shared" si="0"/>
        <v>COREUSDT</v>
      </c>
      <c r="E20" s="125" t="e">
        <f ca="1">VLOOKUP(D20,'Курсы Бинанса'!B:C,2,FALSE)</f>
        <v>#N/A</v>
      </c>
    </row>
    <row r="21" spans="1:5">
      <c r="A21" s="121">
        <v>19</v>
      </c>
      <c r="B21" s="123" t="s">
        <v>13003</v>
      </c>
      <c r="C21" s="123" t="s">
        <v>13004</v>
      </c>
      <c r="D21" s="124" t="str">
        <f t="shared" si="0"/>
        <v>OOTUSDT</v>
      </c>
      <c r="E21" s="125" t="e">
        <f ca="1">VLOOKUP(D21,'Курсы Бинанса'!B:C,2,FALSE)</f>
        <v>#N/A</v>
      </c>
    </row>
    <row r="22" spans="1:5">
      <c r="A22" s="121">
        <v>20</v>
      </c>
      <c r="B22" s="123" t="s">
        <v>13005</v>
      </c>
      <c r="C22" s="123" t="s">
        <v>13006</v>
      </c>
      <c r="D22" s="124" t="str">
        <f t="shared" si="0"/>
        <v>MKRUSDT</v>
      </c>
      <c r="E22" s="125" t="e">
        <f ca="1">VLOOKUP(D22,'Курсы Бинанса'!B:C,2,FALSE)</f>
        <v>#N/A</v>
      </c>
    </row>
    <row r="23" spans="1:5">
      <c r="A23" s="121">
        <v>21</v>
      </c>
      <c r="B23" s="123" t="s">
        <v>13007</v>
      </c>
      <c r="C23" s="123" t="s">
        <v>13008</v>
      </c>
      <c r="D23" s="124" t="str">
        <f t="shared" si="0"/>
        <v>YFIIUSDT</v>
      </c>
      <c r="E23" s="125" t="e">
        <f ca="1">VLOOKUP(D23,'Курсы Бинанса'!B:C,2,FALSE)</f>
        <v>#N/A</v>
      </c>
    </row>
    <row r="24" spans="1:5">
      <c r="A24" s="121">
        <v>22</v>
      </c>
      <c r="B24" s="123" t="s">
        <v>13009</v>
      </c>
      <c r="C24" s="123" t="s">
        <v>13010</v>
      </c>
      <c r="D24" s="124" t="str">
        <f t="shared" si="0"/>
        <v>PAXGUSDT</v>
      </c>
      <c r="E24" s="125" t="e">
        <f ca="1">VLOOKUP(D24,'Курсы Бинанса'!B:C,2,FALSE)</f>
        <v>#N/A</v>
      </c>
    </row>
    <row r="25" spans="1:5">
      <c r="A25" s="121">
        <v>23</v>
      </c>
      <c r="B25" s="123" t="s">
        <v>13011</v>
      </c>
      <c r="C25" s="123" t="s">
        <v>13011</v>
      </c>
      <c r="D25" s="124" t="str">
        <f t="shared" si="0"/>
        <v>XMONUSDT</v>
      </c>
      <c r="E25" s="125" t="e">
        <f ca="1">VLOOKUP(D25,'Курсы Бинанса'!B:C,2,FALSE)</f>
        <v>#N/A</v>
      </c>
    </row>
    <row r="26" spans="1:5">
      <c r="A26" s="121">
        <v>24</v>
      </c>
      <c r="B26" s="123" t="s">
        <v>13012</v>
      </c>
      <c r="C26" s="123" t="s">
        <v>13013</v>
      </c>
      <c r="D26" s="124" t="str">
        <f t="shared" si="0"/>
        <v>COVERUSDT</v>
      </c>
      <c r="E26" s="125" t="e">
        <f ca="1">VLOOKUP(D26,'Курсы Бинанса'!B:C,2,FALSE)</f>
        <v>#N/A</v>
      </c>
    </row>
    <row r="27" spans="1:5">
      <c r="A27" s="121">
        <v>25</v>
      </c>
      <c r="B27" s="123" t="s">
        <v>13014</v>
      </c>
      <c r="C27" s="123" t="s">
        <v>13015</v>
      </c>
      <c r="D27" s="124" t="str">
        <f t="shared" si="0"/>
        <v>YF-DAIUSDT</v>
      </c>
      <c r="E27" s="125" t="e">
        <f ca="1">VLOOKUP(D27,'Курсы Бинанса'!B:C,2,FALSE)</f>
        <v>#N/A</v>
      </c>
    </row>
    <row r="28" spans="1:5">
      <c r="A28" s="121">
        <v>26</v>
      </c>
      <c r="B28" s="123" t="s">
        <v>13016</v>
      </c>
      <c r="C28" s="123" t="s">
        <v>13017</v>
      </c>
      <c r="D28" s="124" t="str">
        <f t="shared" si="0"/>
        <v>WHITEUSDT</v>
      </c>
      <c r="E28" s="125" t="e">
        <f ca="1">VLOOKUP(D28,'Курсы Бинанса'!B:C,2,FALSE)</f>
        <v>#N/A</v>
      </c>
    </row>
    <row r="29" spans="1:5">
      <c r="A29" s="121">
        <v>27</v>
      </c>
      <c r="B29" s="123" t="s">
        <v>13018</v>
      </c>
      <c r="C29" s="123" t="s">
        <v>13019</v>
      </c>
      <c r="D29" s="124" t="str">
        <f t="shared" si="0"/>
        <v>ZUTUSDT</v>
      </c>
      <c r="E29" s="125" t="e">
        <f ca="1">VLOOKUP(D29,'Курсы Бинанса'!B:C,2,FALSE)</f>
        <v>#N/A</v>
      </c>
    </row>
    <row r="30" spans="1:5">
      <c r="A30" s="121">
        <v>28</v>
      </c>
      <c r="B30" s="123" t="s">
        <v>13020</v>
      </c>
      <c r="C30" s="123" t="s">
        <v>13021</v>
      </c>
      <c r="D30" s="124" t="str">
        <f t="shared" si="0"/>
        <v>aEthUSDT</v>
      </c>
      <c r="E30" s="125" t="e">
        <f ca="1">VLOOKUP(D30,'Курсы Бинанса'!B:C,2,FALSE)</f>
        <v>#N/A</v>
      </c>
    </row>
    <row r="31" spans="1:5">
      <c r="A31" s="121">
        <v>29</v>
      </c>
      <c r="B31" s="123" t="s">
        <v>13022</v>
      </c>
      <c r="C31" s="123" t="s">
        <v>13023</v>
      </c>
      <c r="D31" s="124" t="str">
        <f t="shared" si="0"/>
        <v>BCHUSDT</v>
      </c>
      <c r="E31" s="125" t="e">
        <f ca="1">VLOOKUP(D31,'Курсы Бинанса'!B:C,2,FALSE)</f>
        <v>#N/A</v>
      </c>
    </row>
    <row r="32" spans="1:5">
      <c r="A32" s="121">
        <v>30</v>
      </c>
      <c r="B32" s="123" t="s">
        <v>13024</v>
      </c>
      <c r="C32" s="123" t="s">
        <v>13025</v>
      </c>
      <c r="D32" s="124" t="str">
        <f t="shared" si="0"/>
        <v>PBTUSDT</v>
      </c>
      <c r="E32" s="125" t="e">
        <f ca="1">VLOOKUP(D32,'Курсы Бинанса'!B:C,2,FALSE)</f>
        <v>#N/A</v>
      </c>
    </row>
    <row r="33" spans="1:5">
      <c r="A33" s="121">
        <v>31</v>
      </c>
      <c r="B33" s="123" t="s">
        <v>13026</v>
      </c>
      <c r="C33" s="123" t="s">
        <v>13027</v>
      </c>
      <c r="D33" s="124" t="str">
        <f t="shared" si="0"/>
        <v>DGDUSDT</v>
      </c>
      <c r="E33" s="125" t="e">
        <f ca="1">VLOOKUP(D33,'Курсы Бинанса'!B:C,2,FALSE)</f>
        <v>#N/A</v>
      </c>
    </row>
    <row r="34" spans="1:5">
      <c r="A34" s="121">
        <v>32</v>
      </c>
      <c r="B34" s="123" t="s">
        <v>13028</v>
      </c>
      <c r="C34" s="123" t="s">
        <v>13029</v>
      </c>
      <c r="D34" s="124" t="str">
        <f t="shared" si="0"/>
        <v>QUICKUSDT</v>
      </c>
      <c r="E34" s="125" t="e">
        <f ca="1">VLOOKUP(D34,'Курсы Бинанса'!B:C,2,FALSE)</f>
        <v>#N/A</v>
      </c>
    </row>
    <row r="35" spans="1:5">
      <c r="A35" s="121">
        <v>33</v>
      </c>
      <c r="B35" s="123" t="s">
        <v>13030</v>
      </c>
      <c r="C35" s="123" t="s">
        <v>13031</v>
      </c>
      <c r="D35" s="124" t="str">
        <f t="shared" si="0"/>
        <v>UNCXUSDT</v>
      </c>
      <c r="E35" s="125" t="e">
        <f ca="1">VLOOKUP(D35,'Курсы Бинанса'!B:C,2,FALSE)</f>
        <v>#N/A</v>
      </c>
    </row>
    <row r="36" spans="1:5">
      <c r="A36" s="121">
        <v>34</v>
      </c>
      <c r="B36" s="123" t="s">
        <v>13032</v>
      </c>
      <c r="C36" s="123" t="s">
        <v>13033</v>
      </c>
      <c r="D36" s="124" t="str">
        <f t="shared" si="0"/>
        <v>SFIUSDT</v>
      </c>
      <c r="E36" s="125" t="e">
        <f ca="1">VLOOKUP(D36,'Курсы Бинанса'!B:C,2,FALSE)</f>
        <v>#N/A</v>
      </c>
    </row>
    <row r="37" spans="1:5">
      <c r="A37" s="121">
        <v>35</v>
      </c>
      <c r="B37" s="123" t="s">
        <v>13034</v>
      </c>
      <c r="C37" s="123" t="s">
        <v>13035</v>
      </c>
      <c r="D37" s="124" t="str">
        <f t="shared" si="0"/>
        <v>ALCXUSDT</v>
      </c>
      <c r="E37" s="125" t="e">
        <f ca="1">VLOOKUP(D37,'Курсы Бинанса'!B:C,2,FALSE)</f>
        <v>#N/A</v>
      </c>
    </row>
    <row r="38" spans="1:5">
      <c r="A38" s="121">
        <v>36</v>
      </c>
      <c r="B38" s="123" t="s">
        <v>13036</v>
      </c>
      <c r="C38" s="123" t="s">
        <v>13037</v>
      </c>
      <c r="D38" s="124" t="str">
        <f t="shared" si="0"/>
        <v>DXDUSDT</v>
      </c>
      <c r="E38" s="125" t="e">
        <f ca="1">VLOOKUP(D38,'Курсы Бинанса'!B:C,2,FALSE)</f>
        <v>#N/A</v>
      </c>
    </row>
    <row r="39" spans="1:5">
      <c r="A39" s="121">
        <v>37</v>
      </c>
      <c r="B39" s="123" t="s">
        <v>13038</v>
      </c>
      <c r="C39" s="123" t="s">
        <v>13039</v>
      </c>
      <c r="D39" s="124" t="str">
        <f t="shared" si="0"/>
        <v>AAVEUSDT</v>
      </c>
      <c r="E39" s="125" t="e">
        <f ca="1">VLOOKUP(D39,'Курсы Бинанса'!B:C,2,FALSE)</f>
        <v>#N/A</v>
      </c>
    </row>
    <row r="40" spans="1:5">
      <c r="A40" s="121">
        <v>38</v>
      </c>
      <c r="B40" s="123" t="s">
        <v>13040</v>
      </c>
      <c r="C40" s="123" t="s">
        <v>13041</v>
      </c>
      <c r="D40" s="124" t="str">
        <f t="shared" si="0"/>
        <v>AGARUSDT</v>
      </c>
      <c r="E40" s="125" t="e">
        <f ca="1">VLOOKUP(D40,'Курсы Бинанса'!B:C,2,FALSE)</f>
        <v>#N/A</v>
      </c>
    </row>
    <row r="41" spans="1:5">
      <c r="A41" s="121">
        <v>39</v>
      </c>
      <c r="B41" s="123" t="s">
        <v>13042</v>
      </c>
      <c r="C41" s="123" t="s">
        <v>13043</v>
      </c>
      <c r="D41" s="124" t="str">
        <f t="shared" si="0"/>
        <v>DGUSDT</v>
      </c>
      <c r="E41" s="125" t="e">
        <f ca="1">VLOOKUP(D41,'Курсы Бинанса'!B:C,2,FALSE)</f>
        <v>#N/A</v>
      </c>
    </row>
    <row r="42" spans="1:5">
      <c r="A42" s="121">
        <v>40</v>
      </c>
      <c r="B42" s="123" t="s">
        <v>13044</v>
      </c>
      <c r="C42" s="123" t="s">
        <v>13043</v>
      </c>
      <c r="D42" s="124" t="str">
        <f t="shared" si="0"/>
        <v>DGUSDT</v>
      </c>
      <c r="E42" s="125" t="e">
        <f ca="1">VLOOKUP(D42,'Курсы Бинанса'!B:C,2,FALSE)</f>
        <v>#N/A</v>
      </c>
    </row>
    <row r="43" spans="1:5">
      <c r="A43" s="121">
        <v>41</v>
      </c>
      <c r="B43" s="123" t="s">
        <v>13045</v>
      </c>
      <c r="C43" s="123" t="s">
        <v>13046</v>
      </c>
      <c r="D43" s="124" t="str">
        <f t="shared" si="0"/>
        <v>XMRUSDT</v>
      </c>
      <c r="E43" s="125" t="e">
        <f ca="1">VLOOKUP(D43,'Курсы Бинанса'!B:C,2,FALSE)</f>
        <v>#N/A</v>
      </c>
    </row>
    <row r="44" spans="1:5">
      <c r="A44" s="121">
        <v>42</v>
      </c>
      <c r="B44" s="123" t="s">
        <v>13047</v>
      </c>
      <c r="C44" s="123" t="s">
        <v>13048</v>
      </c>
      <c r="D44" s="124" t="str">
        <f t="shared" si="0"/>
        <v>WG0USDT</v>
      </c>
      <c r="E44" s="125" t="e">
        <f ca="1">VLOOKUP(D44,'Курсы Бинанса'!B:C,2,FALSE)</f>
        <v>#N/A</v>
      </c>
    </row>
    <row r="45" spans="1:5">
      <c r="A45" s="121">
        <v>43</v>
      </c>
      <c r="B45" s="123" t="s">
        <v>13049</v>
      </c>
      <c r="C45" s="123" t="s">
        <v>13050</v>
      </c>
      <c r="D45" s="124" t="str">
        <f t="shared" si="0"/>
        <v>KSMUSDT</v>
      </c>
      <c r="E45" s="125" t="e">
        <f ca="1">VLOOKUP(D45,'Курсы Бинанса'!B:C,2,FALSE)</f>
        <v>#N/A</v>
      </c>
    </row>
    <row r="46" spans="1:5">
      <c r="A46" s="121">
        <v>44</v>
      </c>
      <c r="B46" s="123" t="s">
        <v>13051</v>
      </c>
      <c r="C46" s="123" t="s">
        <v>13052</v>
      </c>
      <c r="D46" s="124" t="str">
        <f t="shared" si="0"/>
        <v>XORUSDT</v>
      </c>
      <c r="E46" s="125" t="e">
        <f ca="1">VLOOKUP(D46,'Курсы Бинанса'!B:C,2,FALSE)</f>
        <v>#N/A</v>
      </c>
    </row>
    <row r="47" spans="1:5">
      <c r="A47" s="121">
        <v>45</v>
      </c>
      <c r="B47" s="123" t="s">
        <v>13053</v>
      </c>
      <c r="C47" s="123" t="s">
        <v>13054</v>
      </c>
      <c r="D47" s="124" t="str">
        <f t="shared" si="0"/>
        <v>GNOUSDT</v>
      </c>
      <c r="E47" s="125" t="e">
        <f ca="1">VLOOKUP(D47,'Курсы Бинанса'!B:C,2,FALSE)</f>
        <v>#N/A</v>
      </c>
    </row>
    <row r="48" spans="1:5">
      <c r="A48" s="121">
        <v>46</v>
      </c>
      <c r="B48" s="123" t="s">
        <v>13055</v>
      </c>
      <c r="C48" s="123" t="s">
        <v>13056</v>
      </c>
      <c r="D48" s="124" t="str">
        <f t="shared" si="0"/>
        <v>CREAMUSDT</v>
      </c>
      <c r="E48" s="125" t="e">
        <f ca="1">VLOOKUP(D48,'Курсы Бинанса'!B:C,2,FALSE)</f>
        <v>#N/A</v>
      </c>
    </row>
    <row r="49" spans="1:5">
      <c r="A49" s="121">
        <v>47</v>
      </c>
      <c r="B49" s="123" t="s">
        <v>13057</v>
      </c>
      <c r="C49" s="123" t="s">
        <v>13058</v>
      </c>
      <c r="D49" s="124" t="str">
        <f t="shared" si="0"/>
        <v>BSVUSDT</v>
      </c>
      <c r="E49" s="125" t="e">
        <f ca="1">VLOOKUP(D49,'Курсы Бинанса'!B:C,2,FALSE)</f>
        <v>#N/A</v>
      </c>
    </row>
    <row r="50" spans="1:5">
      <c r="A50" s="121">
        <v>48</v>
      </c>
      <c r="B50" s="123" t="s">
        <v>13059</v>
      </c>
      <c r="C50" s="123" t="s">
        <v>13060</v>
      </c>
      <c r="D50" s="124" t="str">
        <f t="shared" si="0"/>
        <v>LTCUSDT</v>
      </c>
      <c r="E50" s="125" t="e">
        <f ca="1">VLOOKUP(D50,'Курсы Бинанса'!B:C,2,FALSE)</f>
        <v>#N/A</v>
      </c>
    </row>
    <row r="51" spans="1:5">
      <c r="A51" s="121">
        <v>49</v>
      </c>
      <c r="B51" s="123" t="s">
        <v>13061</v>
      </c>
      <c r="C51" s="123" t="s">
        <v>13062</v>
      </c>
      <c r="D51" s="124" t="str">
        <f t="shared" si="0"/>
        <v>DFSOCIALUSDT</v>
      </c>
      <c r="E51" s="125" t="e">
        <f ca="1">VLOOKUP(D51,'Курсы Бинанса'!B:C,2,FALSE)</f>
        <v>#N/A</v>
      </c>
    </row>
    <row r="52" spans="1:5">
      <c r="A52" s="121">
        <v>50</v>
      </c>
      <c r="B52" s="123" t="s">
        <v>13063</v>
      </c>
      <c r="C52" s="123" t="s">
        <v>13064</v>
      </c>
      <c r="D52" s="124" t="str">
        <f t="shared" si="0"/>
        <v>DASHUSDT</v>
      </c>
      <c r="E52" s="125" t="e">
        <f ca="1">VLOOKUP(D52,'Курсы Бинанса'!B:C,2,FALSE)</f>
        <v>#N/A</v>
      </c>
    </row>
    <row r="53" spans="1:5">
      <c r="A53" s="121">
        <v>51</v>
      </c>
      <c r="B53" s="123" t="s">
        <v>13065</v>
      </c>
      <c r="C53" s="123" t="s">
        <v>13066</v>
      </c>
      <c r="D53" s="124" t="str">
        <f t="shared" si="0"/>
        <v>DCRUSDT</v>
      </c>
      <c r="E53" s="125" t="e">
        <f ca="1">VLOOKUP(D53,'Курсы Бинанса'!B:C,2,FALSE)</f>
        <v>#N/A</v>
      </c>
    </row>
    <row r="54" spans="1:5">
      <c r="A54" s="121">
        <v>52</v>
      </c>
      <c r="B54" s="123" t="s">
        <v>13067</v>
      </c>
      <c r="C54" s="123" t="s">
        <v>13068</v>
      </c>
      <c r="D54" s="124" t="str">
        <f t="shared" si="0"/>
        <v>FXSUSDT</v>
      </c>
      <c r="E54" s="125" t="e">
        <f ca="1">VLOOKUP(D54,'Курсы Бинанса'!B:C,2,FALSE)</f>
        <v>#N/A</v>
      </c>
    </row>
    <row r="55" spans="1:5">
      <c r="A55" s="121">
        <v>53</v>
      </c>
      <c r="B55" s="123" t="s">
        <v>13069</v>
      </c>
      <c r="C55" s="123" t="s">
        <v>13070</v>
      </c>
      <c r="D55" s="124" t="str">
        <f t="shared" si="0"/>
        <v>PGTUSDT</v>
      </c>
      <c r="E55" s="125" t="e">
        <f ca="1">VLOOKUP(D55,'Курсы Бинанса'!B:C,2,FALSE)</f>
        <v>#N/A</v>
      </c>
    </row>
    <row r="56" spans="1:5">
      <c r="A56" s="121">
        <v>54</v>
      </c>
      <c r="B56" s="123" t="s">
        <v>13071</v>
      </c>
      <c r="C56" s="123" t="s">
        <v>13072</v>
      </c>
      <c r="D56" s="124" t="str">
        <f t="shared" si="0"/>
        <v>FARMUSDT</v>
      </c>
      <c r="E56" s="125" t="e">
        <f ca="1">VLOOKUP(D56,'Курсы Бинанса'!B:C,2,FALSE)</f>
        <v>#N/A</v>
      </c>
    </row>
    <row r="57" spans="1:5">
      <c r="A57" s="121">
        <v>55</v>
      </c>
      <c r="B57" s="123" t="s">
        <v>13073</v>
      </c>
      <c r="C57" s="123" t="s">
        <v>13074</v>
      </c>
      <c r="D57" s="124" t="str">
        <f t="shared" si="0"/>
        <v>ILVUSDT</v>
      </c>
      <c r="E57" s="125" t="e">
        <f ca="1">VLOOKUP(D57,'Курсы Бинанса'!B:C,2,FALSE)</f>
        <v>#N/A</v>
      </c>
    </row>
    <row r="58" spans="1:5">
      <c r="A58" s="121">
        <v>56</v>
      </c>
      <c r="B58" s="123" t="s">
        <v>13075</v>
      </c>
      <c r="C58" s="123" t="s">
        <v>13076</v>
      </c>
      <c r="D58" s="124" t="str">
        <f t="shared" si="0"/>
        <v>ZECUSDT</v>
      </c>
      <c r="E58" s="125" t="e">
        <f ca="1">VLOOKUP(D58,'Курсы Бинанса'!B:C,2,FALSE)</f>
        <v>#N/A</v>
      </c>
    </row>
    <row r="59" spans="1:5">
      <c r="A59" s="121">
        <v>57</v>
      </c>
      <c r="B59" s="123" t="s">
        <v>13077</v>
      </c>
      <c r="C59" s="123" t="s">
        <v>13078</v>
      </c>
      <c r="D59" s="124" t="str">
        <f t="shared" si="0"/>
        <v>XIOTUSDT</v>
      </c>
      <c r="E59" s="125" t="e">
        <f ca="1">VLOOKUP(D59,'Курсы Бинанса'!B:C,2,FALSE)</f>
        <v>#N/A</v>
      </c>
    </row>
    <row r="60" spans="1:5">
      <c r="A60" s="121">
        <v>58</v>
      </c>
      <c r="B60" s="123" t="s">
        <v>13079</v>
      </c>
      <c r="C60" s="123" t="s">
        <v>13080</v>
      </c>
      <c r="D60" s="124" t="str">
        <f t="shared" si="0"/>
        <v>ZORAUSDT</v>
      </c>
      <c r="E60" s="125" t="e">
        <f ca="1">VLOOKUP(D60,'Курсы Бинанса'!B:C,2,FALSE)</f>
        <v>#N/A</v>
      </c>
    </row>
    <row r="61" spans="1:5">
      <c r="A61" s="121">
        <v>59</v>
      </c>
      <c r="B61" s="123" t="s">
        <v>13081</v>
      </c>
      <c r="C61" s="123" t="s">
        <v>13082</v>
      </c>
      <c r="D61" s="124" t="str">
        <f t="shared" si="0"/>
        <v>EGLDUSDT</v>
      </c>
      <c r="E61" s="125" t="e">
        <f ca="1">VLOOKUP(D61,'Курсы Бинанса'!B:C,2,FALSE)</f>
        <v>#N/A</v>
      </c>
    </row>
    <row r="62" spans="1:5">
      <c r="A62" s="121">
        <v>60</v>
      </c>
      <c r="B62" s="123" t="s">
        <v>13083</v>
      </c>
      <c r="C62" s="123" t="s">
        <v>13084</v>
      </c>
      <c r="D62" s="124" t="str">
        <f t="shared" si="0"/>
        <v>MLNUSDT</v>
      </c>
      <c r="E62" s="125" t="e">
        <f ca="1">VLOOKUP(D62,'Курсы Бинанса'!B:C,2,FALSE)</f>
        <v>#N/A</v>
      </c>
    </row>
    <row r="63" spans="1:5">
      <c r="A63" s="121">
        <v>61</v>
      </c>
      <c r="B63" s="123" t="s">
        <v>13085</v>
      </c>
      <c r="C63" s="123" t="s">
        <v>13084</v>
      </c>
      <c r="D63" s="124" t="str">
        <f t="shared" si="0"/>
        <v>MLNUSDT</v>
      </c>
      <c r="E63" s="125" t="e">
        <f ca="1">VLOOKUP(D63,'Курсы Бинанса'!B:C,2,FALSE)</f>
        <v>#N/A</v>
      </c>
    </row>
    <row r="64" spans="1:5">
      <c r="A64" s="121">
        <v>62</v>
      </c>
      <c r="B64" s="123" t="s">
        <v>13086</v>
      </c>
      <c r="C64" s="123" t="s">
        <v>13087</v>
      </c>
      <c r="D64" s="124" t="str">
        <f t="shared" si="0"/>
        <v>KP3RUSDT</v>
      </c>
      <c r="E64" s="125" t="e">
        <f ca="1">VLOOKUP(D64,'Курсы Бинанса'!B:C,2,FALSE)</f>
        <v>#N/A</v>
      </c>
    </row>
    <row r="65" spans="1:5">
      <c r="A65" s="121">
        <v>63</v>
      </c>
      <c r="B65" s="123" t="s">
        <v>13088</v>
      </c>
      <c r="C65" s="123" t="s">
        <v>13088</v>
      </c>
      <c r="D65" s="124" t="str">
        <f t="shared" si="0"/>
        <v>NXMUSDT</v>
      </c>
      <c r="E65" s="125" t="e">
        <f ca="1">VLOOKUP(D65,'Курсы Бинанса'!B:C,2,FALSE)</f>
        <v>#N/A</v>
      </c>
    </row>
    <row r="66" spans="1:5">
      <c r="A66" s="121">
        <v>64</v>
      </c>
      <c r="B66" s="123" t="s">
        <v>13089</v>
      </c>
      <c r="C66" s="123" t="s">
        <v>13090</v>
      </c>
      <c r="D66" s="124" t="str">
        <f t="shared" si="0"/>
        <v>MRKUSDT</v>
      </c>
      <c r="E66" s="125" t="e">
        <f ca="1">VLOOKUP(D66,'Курсы Бинанса'!B:C,2,FALSE)</f>
        <v>#N/A</v>
      </c>
    </row>
    <row r="67" spans="1:5">
      <c r="A67" s="121">
        <v>65</v>
      </c>
      <c r="B67" s="123" t="s">
        <v>13091</v>
      </c>
      <c r="C67" s="123" t="s">
        <v>13092</v>
      </c>
      <c r="D67" s="124" t="str">
        <f t="shared" si="0"/>
        <v>YFLUSDT</v>
      </c>
      <c r="E67" s="125" t="e">
        <f ca="1">VLOOKUP(D67,'Курсы Бинанса'!B:C,2,FALSE)</f>
        <v>#N/A</v>
      </c>
    </row>
    <row r="68" spans="1:5">
      <c r="A68" s="121">
        <v>66</v>
      </c>
      <c r="B68" s="123" t="s">
        <v>13093</v>
      </c>
      <c r="C68" s="123" t="s">
        <v>13094</v>
      </c>
      <c r="D68" s="124" t="str">
        <f t="shared" si="0"/>
        <v>QNTUSDT</v>
      </c>
      <c r="E68" s="125" t="e">
        <f ca="1">VLOOKUP(D68,'Курсы Бинанса'!B:C,2,FALSE)</f>
        <v>#N/A</v>
      </c>
    </row>
    <row r="69" spans="1:5">
      <c r="A69" s="121">
        <v>67</v>
      </c>
      <c r="B69" s="123" t="s">
        <v>13095</v>
      </c>
      <c r="C69" s="123" t="s">
        <v>13095</v>
      </c>
      <c r="D69" s="124" t="str">
        <f t="shared" si="0"/>
        <v>NFTXUSDT</v>
      </c>
      <c r="E69" s="125" t="e">
        <f ca="1">VLOOKUP(D69,'Курсы Бинанса'!B:C,2,FALSE)</f>
        <v>#N/A</v>
      </c>
    </row>
    <row r="70" spans="1:5">
      <c r="A70" s="121">
        <v>68</v>
      </c>
      <c r="B70" s="123" t="s">
        <v>13096</v>
      </c>
      <c r="C70" s="123" t="s">
        <v>13097</v>
      </c>
      <c r="D70" s="124" t="str">
        <f t="shared" si="0"/>
        <v>DGXUSDT</v>
      </c>
      <c r="E70" s="125" t="e">
        <f ca="1">VLOOKUP(D70,'Курсы Бинанса'!B:C,2,FALSE)</f>
        <v>#N/A</v>
      </c>
    </row>
    <row r="71" spans="1:5">
      <c r="A71" s="121">
        <v>69</v>
      </c>
      <c r="B71" s="123" t="s">
        <v>13098</v>
      </c>
      <c r="C71" s="123" t="s">
        <v>13099</v>
      </c>
      <c r="D71" s="124" t="str">
        <f t="shared" si="0"/>
        <v>CGTUSDT</v>
      </c>
      <c r="E71" s="125" t="e">
        <f ca="1">VLOOKUP(D71,'Курсы Бинанса'!B:C,2,FALSE)</f>
        <v>#N/A</v>
      </c>
    </row>
    <row r="72" spans="1:5">
      <c r="A72" s="121">
        <v>70</v>
      </c>
      <c r="B72" s="123" t="s">
        <v>13100</v>
      </c>
      <c r="C72" s="123" t="s">
        <v>13101</v>
      </c>
      <c r="D72" s="124" t="str">
        <f t="shared" si="0"/>
        <v>NFYUSDT</v>
      </c>
      <c r="E72" s="125" t="e">
        <f ca="1">VLOOKUP(D72,'Курсы Бинанса'!B:C,2,FALSE)</f>
        <v>#N/A</v>
      </c>
    </row>
    <row r="73" spans="1:5">
      <c r="A73" s="121">
        <v>71</v>
      </c>
      <c r="B73" s="123" t="s">
        <v>13102</v>
      </c>
      <c r="C73" s="123" t="s">
        <v>13103</v>
      </c>
      <c r="D73" s="124" t="str">
        <f t="shared" ref="D73:D136" si="1">CONCATENATE(C73,"USDT")</f>
        <v>STZENUSDT</v>
      </c>
      <c r="E73" s="125" t="e">
        <f ca="1">VLOOKUP(D73,'Курсы Бинанса'!B:C,2,FALSE)</f>
        <v>#N/A</v>
      </c>
    </row>
    <row r="74" spans="1:5">
      <c r="A74" s="121">
        <v>72</v>
      </c>
      <c r="B74" s="123" t="s">
        <v>13104</v>
      </c>
      <c r="C74" s="123" t="s">
        <v>13105</v>
      </c>
      <c r="D74" s="124" t="str">
        <f t="shared" si="1"/>
        <v>ZENUSDT</v>
      </c>
      <c r="E74" s="125" t="e">
        <f ca="1">VLOOKUP(D74,'Курсы Бинанса'!B:C,2,FALSE)</f>
        <v>#N/A</v>
      </c>
    </row>
    <row r="75" spans="1:5">
      <c r="A75" s="121">
        <v>73</v>
      </c>
      <c r="B75" s="123" t="s">
        <v>13106</v>
      </c>
      <c r="C75" s="123" t="s">
        <v>13107</v>
      </c>
      <c r="D75" s="124" t="str">
        <f t="shared" si="1"/>
        <v>FILUSDT</v>
      </c>
      <c r="E75" s="125" t="e">
        <f ca="1">VLOOKUP(D75,'Курсы Бинанса'!B:C,2,FALSE)</f>
        <v>#N/A</v>
      </c>
    </row>
    <row r="76" spans="1:5">
      <c r="A76" s="121">
        <v>74</v>
      </c>
      <c r="B76" s="123" t="s">
        <v>13108</v>
      </c>
      <c r="C76" s="123" t="s">
        <v>13109</v>
      </c>
      <c r="D76" s="124" t="str">
        <f t="shared" si="1"/>
        <v>KTONUSDT</v>
      </c>
      <c r="E76" s="125" t="e">
        <f ca="1">VLOOKUP(D76,'Курсы Бинанса'!B:C,2,FALSE)</f>
        <v>#N/A</v>
      </c>
    </row>
    <row r="77" spans="1:5">
      <c r="A77" s="121">
        <v>75</v>
      </c>
      <c r="B77" s="123" t="s">
        <v>13110</v>
      </c>
      <c r="C77" s="123" t="s">
        <v>13111</v>
      </c>
      <c r="D77" s="124" t="str">
        <f t="shared" si="1"/>
        <v>ETCUSDT</v>
      </c>
      <c r="E77" s="125" t="e">
        <f ca="1">VLOOKUP(D77,'Курсы Бинанса'!B:C,2,FALSE)</f>
        <v>#N/A</v>
      </c>
    </row>
    <row r="78" spans="1:5">
      <c r="A78" s="121">
        <v>76</v>
      </c>
      <c r="B78" s="123" t="s">
        <v>13112</v>
      </c>
      <c r="C78" s="123" t="s">
        <v>13113</v>
      </c>
      <c r="D78" s="124" t="str">
        <f t="shared" si="1"/>
        <v>BTGUSDT</v>
      </c>
      <c r="E78" s="125" t="e">
        <f ca="1">VLOOKUP(D78,'Курсы Бинанса'!B:C,2,FALSE)</f>
        <v>#N/A</v>
      </c>
    </row>
    <row r="79" spans="1:5">
      <c r="A79" s="121">
        <v>77</v>
      </c>
      <c r="B79" s="123" t="s">
        <v>13114</v>
      </c>
      <c r="C79" s="123" t="s">
        <v>13114</v>
      </c>
      <c r="D79" s="124" t="str">
        <f t="shared" si="1"/>
        <v>HAPIUSDT</v>
      </c>
      <c r="E79" s="125" t="e">
        <f ca="1">VLOOKUP(D79,'Курсы Бинанса'!B:C,2,FALSE)</f>
        <v>#N/A</v>
      </c>
    </row>
    <row r="80" spans="1:5">
      <c r="A80" s="121">
        <v>78</v>
      </c>
      <c r="B80" s="123" t="s">
        <v>13115</v>
      </c>
      <c r="C80" s="123" t="s">
        <v>13116</v>
      </c>
      <c r="D80" s="124" t="str">
        <f t="shared" si="1"/>
        <v>STRKUSDT</v>
      </c>
      <c r="E80" s="125" t="e">
        <f ca="1">VLOOKUP(D80,'Курсы Бинанса'!B:C,2,FALSE)</f>
        <v>#N/A</v>
      </c>
    </row>
    <row r="81" spans="1:5">
      <c r="A81" s="121">
        <v>79</v>
      </c>
      <c r="B81" s="123" t="s">
        <v>13117</v>
      </c>
      <c r="C81" s="123" t="s">
        <v>13118</v>
      </c>
      <c r="D81" s="124" t="str">
        <f t="shared" si="1"/>
        <v>MISTUSDT</v>
      </c>
      <c r="E81" s="125" t="e">
        <f ca="1">VLOOKUP(D81,'Курсы Бинанса'!B:C,2,FALSE)</f>
        <v>#N/A</v>
      </c>
    </row>
    <row r="82" spans="1:5">
      <c r="A82" s="121">
        <v>80</v>
      </c>
      <c r="B82" s="123" t="s">
        <v>13119</v>
      </c>
      <c r="C82" s="123" t="s">
        <v>13120</v>
      </c>
      <c r="D82" s="124" t="str">
        <f t="shared" si="1"/>
        <v>DOGESUSDT</v>
      </c>
      <c r="E82" s="125" t="e">
        <f ca="1">VLOOKUP(D82,'Курсы Бинанса'!B:C,2,FALSE)</f>
        <v>#N/A</v>
      </c>
    </row>
    <row r="83" spans="1:5">
      <c r="A83" s="121">
        <v>81</v>
      </c>
      <c r="B83" s="123" t="s">
        <v>13121</v>
      </c>
      <c r="C83" s="123" t="s">
        <v>13122</v>
      </c>
      <c r="D83" s="124" t="str">
        <f t="shared" si="1"/>
        <v>TCOREUSDT</v>
      </c>
      <c r="E83" s="125" t="e">
        <f ca="1">VLOOKUP(D83,'Курсы Бинанса'!B:C,2,FALSE)</f>
        <v>#N/A</v>
      </c>
    </row>
    <row r="84" spans="1:5">
      <c r="A84" s="121">
        <v>82</v>
      </c>
      <c r="B84" s="123" t="s">
        <v>13123</v>
      </c>
      <c r="C84" s="123" t="s">
        <v>13124</v>
      </c>
      <c r="D84" s="124" t="str">
        <f t="shared" si="1"/>
        <v>ICPUSDT</v>
      </c>
      <c r="E84" s="125" t="e">
        <f ca="1">VLOOKUP(D84,'Курсы Бинанса'!B:C,2,FALSE)</f>
        <v>#N/A</v>
      </c>
    </row>
    <row r="85" spans="1:5">
      <c r="A85" s="121">
        <v>83</v>
      </c>
      <c r="B85" s="123" t="s">
        <v>13125</v>
      </c>
      <c r="C85" s="123" t="s">
        <v>13126</v>
      </c>
      <c r="D85" s="124" t="str">
        <f t="shared" si="1"/>
        <v>RNOUSDT</v>
      </c>
      <c r="E85" s="125" t="e">
        <f ca="1">VLOOKUP(D85,'Курсы Бинанса'!B:C,2,FALSE)</f>
        <v>#N/A</v>
      </c>
    </row>
    <row r="86" spans="1:5">
      <c r="A86" s="121">
        <v>84</v>
      </c>
      <c r="B86" s="123" t="s">
        <v>13127</v>
      </c>
      <c r="C86" s="123" t="s">
        <v>13128</v>
      </c>
      <c r="D86" s="124" t="str">
        <f t="shared" si="1"/>
        <v>STMUSDT</v>
      </c>
      <c r="E86" s="125" t="e">
        <f ca="1">VLOOKUP(D86,'Курсы Бинанса'!B:C,2,FALSE)</f>
        <v>#N/A</v>
      </c>
    </row>
    <row r="87" spans="1:5">
      <c r="A87" s="121">
        <v>85</v>
      </c>
      <c r="B87" s="123" t="s">
        <v>13129</v>
      </c>
      <c r="C87" s="123" t="s">
        <v>13130</v>
      </c>
      <c r="D87" s="124" t="str">
        <f t="shared" si="1"/>
        <v>TRBUSDT</v>
      </c>
      <c r="E87" s="125" t="e">
        <f ca="1">VLOOKUP(D87,'Курсы Бинанса'!B:C,2,FALSE)</f>
        <v>#N/A</v>
      </c>
    </row>
    <row r="88" spans="1:5">
      <c r="A88" s="121">
        <v>86</v>
      </c>
      <c r="B88" s="123" t="s">
        <v>13131</v>
      </c>
      <c r="C88" s="123" t="s">
        <v>13132</v>
      </c>
      <c r="D88" s="124" t="str">
        <f t="shared" si="1"/>
        <v>BALPHAUSDT</v>
      </c>
      <c r="E88" s="125" t="e">
        <f ca="1">VLOOKUP(D88,'Курсы Бинанса'!B:C,2,FALSE)</f>
        <v>#N/A</v>
      </c>
    </row>
    <row r="89" spans="1:5">
      <c r="A89" s="121">
        <v>87</v>
      </c>
      <c r="B89" s="123" t="s">
        <v>13133</v>
      </c>
      <c r="C89" s="123" t="s">
        <v>13134</v>
      </c>
      <c r="D89" s="124" t="str">
        <f t="shared" si="1"/>
        <v>NEOUSDT</v>
      </c>
      <c r="E89" s="125" t="e">
        <f ca="1">VLOOKUP(D89,'Курсы Бинанса'!B:C,2,FALSE)</f>
        <v>#N/A</v>
      </c>
    </row>
    <row r="90" spans="1:5">
      <c r="A90" s="121">
        <v>88</v>
      </c>
      <c r="B90" s="123" t="s">
        <v>13135</v>
      </c>
      <c r="C90" s="123" t="s">
        <v>13136</v>
      </c>
      <c r="D90" s="124" t="str">
        <f t="shared" si="1"/>
        <v>SPIUSDT</v>
      </c>
      <c r="E90" s="125" t="e">
        <f ca="1">VLOOKUP(D90,'Курсы Бинанса'!B:C,2,FALSE)</f>
        <v>#N/A</v>
      </c>
    </row>
    <row r="91" spans="1:5">
      <c r="A91" s="121">
        <v>89</v>
      </c>
      <c r="B91" s="123" t="s">
        <v>13137</v>
      </c>
      <c r="C91" s="123" t="s">
        <v>13138</v>
      </c>
      <c r="D91" s="124" t="str">
        <f t="shared" si="1"/>
        <v>DOKIUSDT</v>
      </c>
      <c r="E91" s="125" t="e">
        <f ca="1">VLOOKUP(D91,'Курсы Бинанса'!B:C,2,FALSE)</f>
        <v>#N/A</v>
      </c>
    </row>
    <row r="92" spans="1:5">
      <c r="A92" s="121">
        <v>90</v>
      </c>
      <c r="B92" s="123" t="s">
        <v>13139</v>
      </c>
      <c r="C92" s="123" t="s">
        <v>13140</v>
      </c>
      <c r="D92" s="124" t="str">
        <f t="shared" si="1"/>
        <v>NMRUSDT</v>
      </c>
      <c r="E92" s="125" t="e">
        <f ca="1">VLOOKUP(D92,'Курсы Бинанса'!B:C,2,FALSE)</f>
        <v>#N/A</v>
      </c>
    </row>
    <row r="93" spans="1:5">
      <c r="A93" s="121">
        <v>91</v>
      </c>
      <c r="B93" s="123" t="s">
        <v>13141</v>
      </c>
      <c r="C93" s="123" t="s">
        <v>13142</v>
      </c>
      <c r="D93" s="124" t="str">
        <f t="shared" si="1"/>
        <v>TORNUSDT</v>
      </c>
      <c r="E93" s="125" t="e">
        <f ca="1">VLOOKUP(D93,'Курсы Бинанса'!B:C,2,FALSE)</f>
        <v>#N/A</v>
      </c>
    </row>
    <row r="94" spans="1:5">
      <c r="A94" s="121">
        <v>92</v>
      </c>
      <c r="B94" s="123" t="s">
        <v>13143</v>
      </c>
      <c r="C94" s="123" t="s">
        <v>13144</v>
      </c>
      <c r="D94" s="124" t="str">
        <f t="shared" si="1"/>
        <v>SOLUSDT</v>
      </c>
      <c r="E94" s="125" t="e">
        <f ca="1">VLOOKUP(D94,'Курсы Бинанса'!B:C,2,FALSE)</f>
        <v>#N/A</v>
      </c>
    </row>
    <row r="95" spans="1:5">
      <c r="A95" s="121">
        <v>93</v>
      </c>
      <c r="B95" s="123" t="s">
        <v>13145</v>
      </c>
      <c r="C95" s="123" t="s">
        <v>13146</v>
      </c>
      <c r="D95" s="124" t="str">
        <f t="shared" si="1"/>
        <v>MUSEUSDT</v>
      </c>
      <c r="E95" s="125" t="e">
        <f ca="1">VLOOKUP(D95,'Курсы Бинанса'!B:C,2,FALSE)</f>
        <v>#N/A</v>
      </c>
    </row>
    <row r="96" spans="1:5">
      <c r="A96" s="121">
        <v>94</v>
      </c>
      <c r="B96" s="123" t="s">
        <v>13147</v>
      </c>
      <c r="C96" s="123" t="s">
        <v>13148</v>
      </c>
      <c r="D96" s="124" t="str">
        <f t="shared" si="1"/>
        <v>FTTUSDT</v>
      </c>
      <c r="E96" s="125" t="e">
        <f ca="1">VLOOKUP(D96,'Курсы Бинанса'!B:C,2,FALSE)</f>
        <v>#N/A</v>
      </c>
    </row>
    <row r="97" spans="1:5">
      <c r="A97" s="121">
        <v>95</v>
      </c>
      <c r="B97" s="123" t="s">
        <v>13149</v>
      </c>
      <c r="C97" s="123" t="s">
        <v>13150</v>
      </c>
      <c r="D97" s="124" t="str">
        <f t="shared" si="1"/>
        <v>NIFUSDT</v>
      </c>
      <c r="E97" s="125" t="e">
        <f ca="1">VLOOKUP(D97,'Курсы Бинанса'!B:C,2,FALSE)</f>
        <v>#N/A</v>
      </c>
    </row>
    <row r="98" spans="1:5">
      <c r="A98" s="121">
        <v>96</v>
      </c>
      <c r="B98" s="123" t="s">
        <v>13151</v>
      </c>
      <c r="C98" s="123" t="s">
        <v>13152</v>
      </c>
      <c r="D98" s="124" t="str">
        <f t="shared" si="1"/>
        <v>NSBTUSDT</v>
      </c>
      <c r="E98" s="125" t="e">
        <f ca="1">VLOOKUP(D98,'Курсы Бинанса'!B:C,2,FALSE)</f>
        <v>#N/A</v>
      </c>
    </row>
    <row r="99" spans="1:5">
      <c r="A99" s="121">
        <v>97</v>
      </c>
      <c r="B99" s="123" t="s">
        <v>13153</v>
      </c>
      <c r="C99" s="123" t="s">
        <v>13154</v>
      </c>
      <c r="D99" s="124" t="str">
        <f t="shared" si="1"/>
        <v>GBYTEUSDT</v>
      </c>
      <c r="E99" s="125" t="e">
        <f ca="1">VLOOKUP(D99,'Курсы Бинанса'!B:C,2,FALSE)</f>
        <v>#N/A</v>
      </c>
    </row>
    <row r="100" spans="1:5">
      <c r="A100" s="121">
        <v>98</v>
      </c>
      <c r="B100" s="123" t="s">
        <v>13155</v>
      </c>
      <c r="C100" s="123" t="s">
        <v>13156</v>
      </c>
      <c r="D100" s="124" t="str">
        <f t="shared" si="1"/>
        <v>AXSUSDT</v>
      </c>
      <c r="E100" s="125" t="e">
        <f ca="1">VLOOKUP(D100,'Курсы Бинанса'!B:C,2,FALSE)</f>
        <v>#N/A</v>
      </c>
    </row>
    <row r="101" spans="1:5">
      <c r="A101" s="121">
        <v>99</v>
      </c>
      <c r="B101" s="123" t="s">
        <v>13157</v>
      </c>
      <c r="C101" s="123" t="s">
        <v>13158</v>
      </c>
      <c r="D101" s="124" t="str">
        <f t="shared" si="1"/>
        <v>BALUSDT</v>
      </c>
      <c r="E101" s="125" t="e">
        <f ca="1">VLOOKUP(D101,'Курсы Бинанса'!B:C,2,FALSE)</f>
        <v>#N/A</v>
      </c>
    </row>
    <row r="102" spans="1:5">
      <c r="A102" s="121">
        <v>100</v>
      </c>
      <c r="B102" s="123" t="s">
        <v>13159</v>
      </c>
      <c r="C102" s="123" t="s">
        <v>13160</v>
      </c>
      <c r="D102" s="124" t="str">
        <f t="shared" si="1"/>
        <v>AUCTIONUSDT</v>
      </c>
      <c r="E102" s="125" t="e">
        <f ca="1">VLOOKUP(D102,'Курсы Бинанса'!B:C,2,FALSE)</f>
        <v>#N/A</v>
      </c>
    </row>
    <row r="103" spans="1:5">
      <c r="A103" s="121">
        <v>101</v>
      </c>
      <c r="B103" s="123" t="s">
        <v>13161</v>
      </c>
      <c r="C103" s="123" t="s">
        <v>13162</v>
      </c>
      <c r="D103" s="124" t="str">
        <f t="shared" si="1"/>
        <v>REPUSDT</v>
      </c>
      <c r="E103" s="125" t="e">
        <f ca="1">VLOOKUP(D103,'Курсы Бинанса'!B:C,2,FALSE)</f>
        <v>#N/A</v>
      </c>
    </row>
    <row r="104" spans="1:5">
      <c r="A104" s="121">
        <v>102</v>
      </c>
      <c r="B104" s="123" t="s">
        <v>13163</v>
      </c>
      <c r="C104" s="123" t="s">
        <v>13164</v>
      </c>
      <c r="D104" s="124" t="str">
        <f t="shared" si="1"/>
        <v>KSPUSDT</v>
      </c>
      <c r="E104" s="125" t="e">
        <f ca="1">VLOOKUP(D104,'Курсы Бинанса'!B:C,2,FALSE)</f>
        <v>#N/A</v>
      </c>
    </row>
    <row r="105" spans="1:5">
      <c r="A105" s="121">
        <v>103</v>
      </c>
      <c r="B105" s="123" t="s">
        <v>13165</v>
      </c>
      <c r="C105" s="123" t="s">
        <v>13166</v>
      </c>
      <c r="D105" s="124" t="str">
        <f t="shared" si="1"/>
        <v>MOONSUSDT</v>
      </c>
      <c r="E105" s="125" t="e">
        <f ca="1">VLOOKUP(D105,'Курсы Бинанса'!B:C,2,FALSE)</f>
        <v>#N/A</v>
      </c>
    </row>
    <row r="106" spans="1:5">
      <c r="A106" s="121">
        <v>104</v>
      </c>
      <c r="B106" s="123" t="s">
        <v>13167</v>
      </c>
      <c r="C106" s="123" t="s">
        <v>13168</v>
      </c>
      <c r="D106" s="124" t="str">
        <f t="shared" si="1"/>
        <v>IFCUSDT</v>
      </c>
      <c r="E106" s="125" t="e">
        <f ca="1">VLOOKUP(D106,'Курсы Бинанса'!B:C,2,FALSE)</f>
        <v>#N/A</v>
      </c>
    </row>
    <row r="107" spans="1:5">
      <c r="A107" s="121">
        <v>105</v>
      </c>
      <c r="B107" s="123" t="s">
        <v>13169</v>
      </c>
      <c r="C107" s="123" t="s">
        <v>13170</v>
      </c>
      <c r="D107" s="124" t="str">
        <f t="shared" si="1"/>
        <v>PSGUSDT</v>
      </c>
      <c r="E107" s="125" t="e">
        <f ca="1">VLOOKUP(D107,'Курсы Бинанса'!B:C,2,FALSE)</f>
        <v>#N/A</v>
      </c>
    </row>
    <row r="108" spans="1:5">
      <c r="A108" s="121">
        <v>106</v>
      </c>
      <c r="B108" s="123" t="s">
        <v>13171</v>
      </c>
      <c r="C108" s="123" t="s">
        <v>13172</v>
      </c>
      <c r="D108" s="124" t="str">
        <f t="shared" si="1"/>
        <v>XVSUSDT</v>
      </c>
      <c r="E108" s="125" t="e">
        <f ca="1">VLOOKUP(D108,'Курсы Бинанса'!B:C,2,FALSE)</f>
        <v>#N/A</v>
      </c>
    </row>
    <row r="109" spans="1:5">
      <c r="A109" s="121">
        <v>107</v>
      </c>
      <c r="B109" s="123" t="s">
        <v>13173</v>
      </c>
      <c r="C109" s="123" t="s">
        <v>13174</v>
      </c>
      <c r="D109" s="124" t="str">
        <f t="shared" si="1"/>
        <v>UQCUSDT</v>
      </c>
      <c r="E109" s="125" t="e">
        <f ca="1">VLOOKUP(D109,'Курсы Бинанса'!B:C,2,FALSE)</f>
        <v>#N/A</v>
      </c>
    </row>
    <row r="110" spans="1:5">
      <c r="A110" s="121">
        <v>108</v>
      </c>
      <c r="B110" s="123" t="s">
        <v>13175</v>
      </c>
      <c r="C110" s="123" t="s">
        <v>13176</v>
      </c>
      <c r="D110" s="124" t="str">
        <f t="shared" si="1"/>
        <v>TIMEUSDT</v>
      </c>
      <c r="E110" s="125" t="e">
        <f ca="1">VLOOKUP(D110,'Курсы Бинанса'!B:C,2,FALSE)</f>
        <v>#N/A</v>
      </c>
    </row>
    <row r="111" spans="1:5">
      <c r="A111" s="121">
        <v>109</v>
      </c>
      <c r="B111" s="123" t="s">
        <v>13177</v>
      </c>
      <c r="C111" s="123" t="s">
        <v>13176</v>
      </c>
      <c r="D111" s="124" t="str">
        <f t="shared" si="1"/>
        <v>TIMEUSDT</v>
      </c>
      <c r="E111" s="125" t="e">
        <f ca="1">VLOOKUP(D111,'Курсы Бинанса'!B:C,2,FALSE)</f>
        <v>#N/A</v>
      </c>
    </row>
    <row r="112" spans="1:5">
      <c r="A112" s="121">
        <v>110</v>
      </c>
      <c r="B112" s="123" t="s">
        <v>13178</v>
      </c>
      <c r="C112" s="123" t="s">
        <v>13179</v>
      </c>
      <c r="D112" s="124" t="str">
        <f t="shared" si="1"/>
        <v>LINKUSDT</v>
      </c>
      <c r="E112" s="125" t="e">
        <f ca="1">VLOOKUP(D112,'Курсы Бинанса'!B:C,2,FALSE)</f>
        <v>#N/A</v>
      </c>
    </row>
    <row r="113" spans="1:5">
      <c r="A113" s="121">
        <v>111</v>
      </c>
      <c r="B113" s="123" t="s">
        <v>13180</v>
      </c>
      <c r="C113" s="123" t="s">
        <v>13181</v>
      </c>
      <c r="D113" s="124" t="str">
        <f t="shared" si="1"/>
        <v>FORTHUSDT</v>
      </c>
      <c r="E113" s="125" t="e">
        <f ca="1">VLOOKUP(D113,'Курсы Бинанса'!B:C,2,FALSE)</f>
        <v>#N/A</v>
      </c>
    </row>
    <row r="114" spans="1:5">
      <c r="A114" s="121">
        <v>112</v>
      </c>
      <c r="B114" s="123" t="s">
        <v>13182</v>
      </c>
      <c r="C114" s="123" t="s">
        <v>13183</v>
      </c>
      <c r="D114" s="124" t="str">
        <f t="shared" si="1"/>
        <v>FLOWUSDT</v>
      </c>
      <c r="E114" s="125" t="e">
        <f ca="1">VLOOKUP(D114,'Курсы Бинанса'!B:C,2,FALSE)</f>
        <v>#N/A</v>
      </c>
    </row>
    <row r="115" spans="1:5">
      <c r="A115" s="121">
        <v>113</v>
      </c>
      <c r="B115" s="123" t="s">
        <v>13184</v>
      </c>
      <c r="C115" s="123" t="s">
        <v>13185</v>
      </c>
      <c r="D115" s="124" t="str">
        <f t="shared" si="1"/>
        <v>BTCSTUSDT</v>
      </c>
      <c r="E115" s="125" t="e">
        <f ca="1">VLOOKUP(D115,'Курсы Бинанса'!B:C,2,FALSE)</f>
        <v>#N/A</v>
      </c>
    </row>
    <row r="116" spans="1:5">
      <c r="A116" s="121">
        <v>114</v>
      </c>
      <c r="B116" s="123" t="s">
        <v>13186</v>
      </c>
      <c r="C116" s="123" t="s">
        <v>13187</v>
      </c>
      <c r="D116" s="124" t="str">
        <f t="shared" si="1"/>
        <v>BARUSDT</v>
      </c>
      <c r="E116" s="125" t="e">
        <f ca="1">VLOOKUP(D116,'Курсы Бинанса'!B:C,2,FALSE)</f>
        <v>#N/A</v>
      </c>
    </row>
    <row r="117" spans="1:5">
      <c r="A117" s="121">
        <v>115</v>
      </c>
      <c r="B117" s="123" t="s">
        <v>13188</v>
      </c>
      <c r="C117" s="123" t="s">
        <v>13189</v>
      </c>
      <c r="D117" s="124" t="str">
        <f t="shared" si="1"/>
        <v>ARUSDT</v>
      </c>
      <c r="E117" s="125" t="e">
        <f ca="1">VLOOKUP(D117,'Курсы Бинанса'!B:C,2,FALSE)</f>
        <v>#N/A</v>
      </c>
    </row>
    <row r="118" spans="1:5">
      <c r="A118" s="121">
        <v>116</v>
      </c>
      <c r="B118" s="123" t="s">
        <v>13190</v>
      </c>
      <c r="C118" s="123" t="s">
        <v>13191</v>
      </c>
      <c r="D118" s="124" t="str">
        <f t="shared" si="1"/>
        <v>RADUSDT</v>
      </c>
      <c r="E118" s="125" t="e">
        <f ca="1">VLOOKUP(D118,'Курсы Бинанса'!B:C,2,FALSE)</f>
        <v>#N/A</v>
      </c>
    </row>
    <row r="119" spans="1:5">
      <c r="A119" s="121">
        <v>117</v>
      </c>
      <c r="B119" s="123" t="s">
        <v>13192</v>
      </c>
      <c r="C119" s="123" t="s">
        <v>12975</v>
      </c>
      <c r="D119" s="124" t="str">
        <f t="shared" si="1"/>
        <v>CAKEUSDT</v>
      </c>
      <c r="E119" s="125" t="e">
        <f ca="1">VLOOKUP(D119,'Курсы Бинанса'!B:C,2,FALSE)</f>
        <v>#N/A</v>
      </c>
    </row>
    <row r="120" spans="1:5">
      <c r="A120" s="121">
        <v>118</v>
      </c>
      <c r="B120" s="123" t="s">
        <v>13193</v>
      </c>
      <c r="C120" s="123" t="s">
        <v>13194</v>
      </c>
      <c r="D120" s="124" t="str">
        <f t="shared" si="1"/>
        <v>LPTUSDT</v>
      </c>
      <c r="E120" s="125" t="e">
        <f ca="1">VLOOKUP(D120,'Курсы Бинанса'!B:C,2,FALSE)</f>
        <v>#N/A</v>
      </c>
    </row>
    <row r="121" spans="1:5">
      <c r="A121" s="121">
        <v>119</v>
      </c>
      <c r="B121" s="123" t="s">
        <v>13195</v>
      </c>
      <c r="C121" s="123" t="s">
        <v>13196</v>
      </c>
      <c r="D121" s="124" t="str">
        <f t="shared" si="1"/>
        <v>DOTUSDT</v>
      </c>
      <c r="E121" s="125" t="e">
        <f ca="1">VLOOKUP(D121,'Курсы Бинанса'!B:C,2,FALSE)</f>
        <v>#N/A</v>
      </c>
    </row>
    <row r="122" spans="1:5">
      <c r="A122" s="121">
        <v>120</v>
      </c>
      <c r="B122" s="123" t="s">
        <v>13197</v>
      </c>
      <c r="C122" s="123" t="s">
        <v>13198</v>
      </c>
      <c r="D122" s="124" t="str">
        <f t="shared" si="1"/>
        <v>VERIUSDT</v>
      </c>
      <c r="E122" s="125" t="e">
        <f ca="1">VLOOKUP(D122,'Курсы Бинанса'!B:C,2,FALSE)</f>
        <v>#N/A</v>
      </c>
    </row>
    <row r="123" spans="1:5">
      <c r="A123" s="121">
        <v>121</v>
      </c>
      <c r="B123" s="123" t="s">
        <v>13199</v>
      </c>
      <c r="C123" s="123" t="s">
        <v>13200</v>
      </c>
      <c r="D123" s="124" t="str">
        <f t="shared" si="1"/>
        <v>WAVESUSDT</v>
      </c>
      <c r="E123" s="125" t="e">
        <f ca="1">VLOOKUP(D123,'Курсы Бинанса'!B:C,2,FALSE)</f>
        <v>#N/A</v>
      </c>
    </row>
    <row r="124" spans="1:5">
      <c r="A124" s="121">
        <v>122</v>
      </c>
      <c r="B124" s="123" t="s">
        <v>13201</v>
      </c>
      <c r="C124" s="123" t="s">
        <v>13202</v>
      </c>
      <c r="D124" s="124" t="str">
        <f t="shared" si="1"/>
        <v>XRTUSDT</v>
      </c>
      <c r="E124" s="125" t="e">
        <f ca="1">VLOOKUP(D124,'Курсы Бинанса'!B:C,2,FALSE)</f>
        <v>#N/A</v>
      </c>
    </row>
    <row r="125" spans="1:5">
      <c r="A125" s="121">
        <v>123</v>
      </c>
      <c r="B125" s="123" t="s">
        <v>13203</v>
      </c>
      <c r="C125" s="123" t="s">
        <v>13204</v>
      </c>
      <c r="D125" s="124" t="str">
        <f t="shared" si="1"/>
        <v>QDAOUSDT</v>
      </c>
      <c r="E125" s="125" t="e">
        <f ca="1">VLOOKUP(D125,'Курсы Бинанса'!B:C,2,FALSE)</f>
        <v>#N/A</v>
      </c>
    </row>
    <row r="126" spans="1:5">
      <c r="A126" s="121">
        <v>124</v>
      </c>
      <c r="B126" s="123" t="s">
        <v>13205</v>
      </c>
      <c r="C126" s="123" t="s">
        <v>13206</v>
      </c>
      <c r="D126" s="124" t="str">
        <f t="shared" si="1"/>
        <v>VOXUSDT</v>
      </c>
      <c r="E126" s="125" t="e">
        <f ca="1">VLOOKUP(D126,'Курсы Бинанса'!B:C,2,FALSE)</f>
        <v>#N/A</v>
      </c>
    </row>
    <row r="127" spans="1:5">
      <c r="A127" s="121">
        <v>125</v>
      </c>
      <c r="B127" s="123" t="s">
        <v>13207</v>
      </c>
      <c r="C127" s="123" t="s">
        <v>13208</v>
      </c>
      <c r="D127" s="124" t="str">
        <f t="shared" si="1"/>
        <v>PROMUSDT</v>
      </c>
      <c r="E127" s="125" t="e">
        <f ca="1">VLOOKUP(D127,'Курсы Бинанса'!B:C,2,FALSE)</f>
        <v>#N/A</v>
      </c>
    </row>
    <row r="128" spans="1:5">
      <c r="A128" s="121">
        <v>126</v>
      </c>
      <c r="B128" s="123" t="s">
        <v>13209</v>
      </c>
      <c r="C128" s="123" t="s">
        <v>13210</v>
      </c>
      <c r="D128" s="124" t="str">
        <f t="shared" si="1"/>
        <v>DUCATOUSDT</v>
      </c>
      <c r="E128" s="125" t="e">
        <f ca="1">VLOOKUP(D128,'Курсы Бинанса'!B:C,2,FALSE)</f>
        <v>#N/A</v>
      </c>
    </row>
    <row r="129" spans="1:5">
      <c r="A129" s="121">
        <v>127</v>
      </c>
      <c r="B129" s="123" t="s">
        <v>13211</v>
      </c>
      <c r="C129" s="123" t="s">
        <v>13212</v>
      </c>
      <c r="D129" s="124" t="str">
        <f t="shared" si="1"/>
        <v>ATOMUSDT</v>
      </c>
      <c r="E129" s="125" t="e">
        <f ca="1">VLOOKUP(D129,'Курсы Бинанса'!B:C,2,FALSE)</f>
        <v>#N/A</v>
      </c>
    </row>
    <row r="130" spans="1:5">
      <c r="A130" s="121">
        <v>128</v>
      </c>
      <c r="B130" s="123" t="s">
        <v>13213</v>
      </c>
      <c r="C130" s="123" t="s">
        <v>13214</v>
      </c>
      <c r="D130" s="124" t="str">
        <f t="shared" si="1"/>
        <v>AVAXUSDT</v>
      </c>
      <c r="E130" s="125" t="e">
        <f ca="1">VLOOKUP(D130,'Курсы Бинанса'!B:C,2,FALSE)</f>
        <v>#N/A</v>
      </c>
    </row>
    <row r="131" spans="1:5">
      <c r="A131" s="121">
        <v>129</v>
      </c>
      <c r="B131" s="123" t="s">
        <v>13215</v>
      </c>
      <c r="C131" s="123" t="s">
        <v>13216</v>
      </c>
      <c r="D131" s="124" t="str">
        <f t="shared" si="1"/>
        <v>BELTUSDT</v>
      </c>
      <c r="E131" s="125" t="e">
        <f ca="1">VLOOKUP(D131,'Курсы Бинанса'!B:C,2,FALSE)</f>
        <v>#N/A</v>
      </c>
    </row>
    <row r="132" spans="1:5">
      <c r="A132" s="121">
        <v>130</v>
      </c>
      <c r="B132" s="123" t="s">
        <v>13217</v>
      </c>
      <c r="C132" s="123" t="s">
        <v>13218</v>
      </c>
      <c r="D132" s="124" t="str">
        <f t="shared" si="1"/>
        <v>HNTUSDT</v>
      </c>
      <c r="E132" s="125" t="e">
        <f ca="1">VLOOKUP(D132,'Курсы Бинанса'!B:C,2,FALSE)</f>
        <v>#N/A</v>
      </c>
    </row>
    <row r="133" spans="1:5">
      <c r="A133" s="121">
        <v>131</v>
      </c>
      <c r="B133" s="123" t="s">
        <v>13219</v>
      </c>
      <c r="C133" s="123" t="s">
        <v>13220</v>
      </c>
      <c r="D133" s="124" t="str">
        <f t="shared" si="1"/>
        <v>SUNUSDT</v>
      </c>
      <c r="E133" s="125" t="e">
        <f ca="1">VLOOKUP(D133,'Курсы Бинанса'!B:C,2,FALSE)</f>
        <v>#N/A</v>
      </c>
    </row>
    <row r="134" spans="1:5">
      <c r="A134" s="121">
        <v>132</v>
      </c>
      <c r="B134" s="123" t="s">
        <v>13221</v>
      </c>
      <c r="C134" s="123" t="s">
        <v>13222</v>
      </c>
      <c r="D134" s="124" t="str">
        <f t="shared" si="1"/>
        <v>NYEUSDT</v>
      </c>
      <c r="E134" s="125" t="e">
        <f ca="1">VLOOKUP(D134,'Курсы Бинанса'!B:C,2,FALSE)</f>
        <v>#N/A</v>
      </c>
    </row>
    <row r="135" spans="1:5">
      <c r="A135" s="121">
        <v>133</v>
      </c>
      <c r="B135" s="123" t="s">
        <v>13223</v>
      </c>
      <c r="C135" s="123" t="s">
        <v>13223</v>
      </c>
      <c r="D135" s="124" t="str">
        <f t="shared" si="1"/>
        <v>OKBUSDT</v>
      </c>
      <c r="E135" s="125" t="e">
        <f ca="1">VLOOKUP(D135,'Курсы Бинанса'!B:C,2,FALSE)</f>
        <v>#N/A</v>
      </c>
    </row>
    <row r="136" spans="1:5">
      <c r="A136" s="121">
        <v>134</v>
      </c>
      <c r="B136" s="123" t="s">
        <v>13224</v>
      </c>
      <c r="C136" s="123" t="s">
        <v>13225</v>
      </c>
      <c r="D136" s="124" t="str">
        <f t="shared" si="1"/>
        <v>PBRUSDT</v>
      </c>
      <c r="E136" s="125" t="e">
        <f ca="1">VLOOKUP(D136,'Курсы Бинанса'!B:C,2,FALSE)</f>
        <v>#N/A</v>
      </c>
    </row>
    <row r="137" spans="1:5">
      <c r="A137" s="121">
        <v>135</v>
      </c>
      <c r="B137" s="123" t="s">
        <v>13226</v>
      </c>
      <c r="C137" s="123" t="s">
        <v>13227</v>
      </c>
      <c r="D137" s="124" t="str">
        <f t="shared" ref="D137:D200" si="2">CONCATENATE(C137,"USDT")</f>
        <v>NOVOUSDT</v>
      </c>
      <c r="E137" s="125" t="e">
        <f ca="1">VLOOKUP(D137,'Курсы Бинанса'!B:C,2,FALSE)</f>
        <v>#N/A</v>
      </c>
    </row>
    <row r="138" spans="1:5">
      <c r="A138" s="121">
        <v>136</v>
      </c>
      <c r="B138" s="123" t="s">
        <v>13228</v>
      </c>
      <c r="C138" s="123" t="s">
        <v>13229</v>
      </c>
      <c r="D138" s="124" t="str">
        <f t="shared" si="2"/>
        <v>RPLUSDT</v>
      </c>
      <c r="E138" s="125" t="e">
        <f ca="1">VLOOKUP(D138,'Курсы Бинанса'!B:C,2,FALSE)</f>
        <v>#N/A</v>
      </c>
    </row>
    <row r="139" spans="1:5">
      <c r="A139" s="121">
        <v>137</v>
      </c>
      <c r="B139" s="123" t="s">
        <v>13230</v>
      </c>
      <c r="C139" s="123" t="s">
        <v>13231</v>
      </c>
      <c r="D139" s="124" t="str">
        <f t="shared" si="2"/>
        <v>SNXUSDT</v>
      </c>
      <c r="E139" s="125" t="e">
        <f ca="1">VLOOKUP(D139,'Курсы Бинанса'!B:C,2,FALSE)</f>
        <v>#N/A</v>
      </c>
    </row>
    <row r="140" spans="1:5">
      <c r="A140" s="121">
        <v>138</v>
      </c>
      <c r="B140" s="123" t="s">
        <v>13232</v>
      </c>
      <c r="C140" s="123" t="s">
        <v>13233</v>
      </c>
      <c r="D140" s="124" t="str">
        <f t="shared" si="2"/>
        <v>$ROPEUSDT</v>
      </c>
      <c r="E140" s="125" t="e">
        <f ca="1">VLOOKUP(D140,'Курсы Бинанса'!B:C,2,FALSE)</f>
        <v>#N/A</v>
      </c>
    </row>
    <row r="141" spans="1:5">
      <c r="A141" s="121">
        <v>139</v>
      </c>
      <c r="B141" s="123" t="s">
        <v>13234</v>
      </c>
      <c r="C141" s="123" t="s">
        <v>13235</v>
      </c>
      <c r="D141" s="124" t="str">
        <f t="shared" si="2"/>
        <v>CORAUSDT</v>
      </c>
      <c r="E141" s="125" t="e">
        <f ca="1">VLOOKUP(D141,'Курсы Бинанса'!B:C,2,FALSE)</f>
        <v>#N/A</v>
      </c>
    </row>
    <row r="142" spans="1:5">
      <c r="A142" s="121">
        <v>140</v>
      </c>
      <c r="B142" s="123" t="s">
        <v>13236</v>
      </c>
      <c r="C142" s="123" t="s">
        <v>13236</v>
      </c>
      <c r="D142" s="124" t="str">
        <f t="shared" si="2"/>
        <v>MCOUSDT</v>
      </c>
      <c r="E142" s="125" t="e">
        <f ca="1">VLOOKUP(D142,'Курсы Бинанса'!B:C,2,FALSE)</f>
        <v>#N/A</v>
      </c>
    </row>
    <row r="143" spans="1:5">
      <c r="A143" s="121">
        <v>141</v>
      </c>
      <c r="B143" s="123" t="s">
        <v>13237</v>
      </c>
      <c r="C143" s="123" t="s">
        <v>13238</v>
      </c>
      <c r="D143" s="124" t="str">
        <f t="shared" si="2"/>
        <v>TADUSDT</v>
      </c>
      <c r="E143" s="125" t="e">
        <f ca="1">VLOOKUP(D143,'Курсы Бинанса'!B:C,2,FALSE)</f>
        <v>#N/A</v>
      </c>
    </row>
    <row r="144" spans="1:5">
      <c r="A144" s="121">
        <v>142</v>
      </c>
      <c r="B144" s="123" t="s">
        <v>13239</v>
      </c>
      <c r="C144" s="123" t="s">
        <v>13240</v>
      </c>
      <c r="D144" s="124" t="str">
        <f t="shared" si="2"/>
        <v>RARIUSDT</v>
      </c>
      <c r="E144" s="125" t="e">
        <f ca="1">VLOOKUP(D144,'Курсы Бинанса'!B:C,2,FALSE)</f>
        <v>#N/A</v>
      </c>
    </row>
    <row r="145" spans="1:5">
      <c r="A145" s="121">
        <v>143</v>
      </c>
      <c r="B145" s="123" t="s">
        <v>13241</v>
      </c>
      <c r="C145" s="123" t="s">
        <v>13242</v>
      </c>
      <c r="D145" s="124" t="str">
        <f t="shared" si="2"/>
        <v>XBCUSDT</v>
      </c>
      <c r="E145" s="125" t="e">
        <f ca="1">VLOOKUP(D145,'Курсы Бинанса'!B:C,2,FALSE)</f>
        <v>#N/A</v>
      </c>
    </row>
    <row r="146" spans="1:5">
      <c r="A146" s="121">
        <v>144</v>
      </c>
      <c r="B146" s="123" t="s">
        <v>13243</v>
      </c>
      <c r="C146" s="123" t="s">
        <v>13244</v>
      </c>
      <c r="D146" s="124" t="str">
        <f t="shared" si="2"/>
        <v>PDEXUSDT</v>
      </c>
      <c r="E146" s="125" t="e">
        <f ca="1">VLOOKUP(D146,'Курсы Бинанса'!B:C,2,FALSE)</f>
        <v>#N/A</v>
      </c>
    </row>
    <row r="147" spans="1:5">
      <c r="A147" s="121">
        <v>145</v>
      </c>
      <c r="B147" s="123" t="s">
        <v>13245</v>
      </c>
      <c r="C147" s="123" t="s">
        <v>13246</v>
      </c>
      <c r="D147" s="124" t="str">
        <f t="shared" si="2"/>
        <v>HTUSDT</v>
      </c>
      <c r="E147" s="125" t="e">
        <f ca="1">VLOOKUP(D147,'Курсы Бинанса'!B:C,2,FALSE)</f>
        <v>#N/A</v>
      </c>
    </row>
    <row r="148" spans="1:5">
      <c r="A148" s="121">
        <v>146</v>
      </c>
      <c r="B148" s="123" t="s">
        <v>13247</v>
      </c>
      <c r="C148" s="123" t="s">
        <v>13248</v>
      </c>
      <c r="D148" s="124" t="str">
        <f t="shared" si="2"/>
        <v>VNLAUSDT</v>
      </c>
      <c r="E148" s="125" t="e">
        <f ca="1">VLOOKUP(D148,'Курсы Бинанса'!B:C,2,FALSE)</f>
        <v>#N/A</v>
      </c>
    </row>
    <row r="149" spans="1:5">
      <c r="A149" s="121">
        <v>147</v>
      </c>
      <c r="B149" s="123" t="s">
        <v>13249</v>
      </c>
      <c r="C149" s="123" t="s">
        <v>13250</v>
      </c>
      <c r="D149" s="124" t="str">
        <f t="shared" si="2"/>
        <v>DDIMUSDT</v>
      </c>
      <c r="E149" s="125" t="e">
        <f ca="1">VLOOKUP(D149,'Курсы Бинанса'!B:C,2,FALSE)</f>
        <v>#N/A</v>
      </c>
    </row>
    <row r="150" spans="1:5">
      <c r="A150" s="121">
        <v>148</v>
      </c>
      <c r="B150" s="123" t="s">
        <v>13251</v>
      </c>
      <c r="C150" s="123" t="s">
        <v>13251</v>
      </c>
      <c r="D150" s="124" t="str">
        <f t="shared" si="2"/>
        <v>UMAUSDT</v>
      </c>
      <c r="E150" s="125" t="e">
        <f ca="1">VLOOKUP(D150,'Курсы Бинанса'!B:C,2,FALSE)</f>
        <v>#N/A</v>
      </c>
    </row>
    <row r="151" spans="1:5">
      <c r="A151" s="121">
        <v>149</v>
      </c>
      <c r="B151" s="123" t="s">
        <v>13252</v>
      </c>
      <c r="C151" s="123" t="s">
        <v>13253</v>
      </c>
      <c r="D151" s="124" t="str">
        <f t="shared" si="2"/>
        <v>JUVUSDT</v>
      </c>
      <c r="E151" s="125" t="e">
        <f ca="1">VLOOKUP(D151,'Курсы Бинанса'!B:C,2,FALSE)</f>
        <v>#N/A</v>
      </c>
    </row>
    <row r="152" spans="1:5">
      <c r="A152" s="121">
        <v>150</v>
      </c>
      <c r="B152" s="123" t="s">
        <v>13254</v>
      </c>
      <c r="C152" s="123" t="s">
        <v>13255</v>
      </c>
      <c r="D152" s="124" t="str">
        <f t="shared" si="2"/>
        <v>OCTOUSDT</v>
      </c>
      <c r="E152" s="125" t="e">
        <f ca="1">VLOOKUP(D152,'Курсы Бинанса'!B:C,2,FALSE)</f>
        <v>#N/A</v>
      </c>
    </row>
    <row r="153" spans="1:5">
      <c r="A153" s="121">
        <v>151</v>
      </c>
      <c r="B153" s="123" t="s">
        <v>13256</v>
      </c>
      <c r="C153" s="123" t="s">
        <v>13257</v>
      </c>
      <c r="D153" s="124" t="str">
        <f t="shared" si="2"/>
        <v>UNFIUSDT</v>
      </c>
      <c r="E153" s="125" t="e">
        <f ca="1">VLOOKUP(D153,'Курсы Бинанса'!B:C,2,FALSE)</f>
        <v>#N/A</v>
      </c>
    </row>
    <row r="154" spans="1:5">
      <c r="A154" s="121">
        <v>152</v>
      </c>
      <c r="B154" s="123" t="s">
        <v>13258</v>
      </c>
      <c r="C154" s="123" t="s">
        <v>13259</v>
      </c>
      <c r="D154" s="124" t="str">
        <f t="shared" si="2"/>
        <v>KCSUSDT</v>
      </c>
      <c r="E154" s="125" t="e">
        <f ca="1">VLOOKUP(D154,'Курсы Бинанса'!B:C,2,FALSE)</f>
        <v>#N/A</v>
      </c>
    </row>
    <row r="155" spans="1:5">
      <c r="A155" s="121">
        <v>153</v>
      </c>
      <c r="B155" s="123" t="s">
        <v>13260</v>
      </c>
      <c r="C155" s="123" t="s">
        <v>13259</v>
      </c>
      <c r="D155" s="124" t="str">
        <f t="shared" si="2"/>
        <v>KCSUSDT</v>
      </c>
      <c r="E155" s="125" t="e">
        <f ca="1">VLOOKUP(D155,'Курсы Бинанса'!B:C,2,FALSE)</f>
        <v>#N/A</v>
      </c>
    </row>
    <row r="156" spans="1:5">
      <c r="A156" s="121">
        <v>154</v>
      </c>
      <c r="B156" s="123" t="s">
        <v>13261</v>
      </c>
      <c r="C156" s="123" t="s">
        <v>13262</v>
      </c>
      <c r="D156" s="124" t="str">
        <f t="shared" si="2"/>
        <v>PERPUSDT</v>
      </c>
      <c r="E156" s="125" t="e">
        <f ca="1">VLOOKUP(D156,'Курсы Бинанса'!B:C,2,FALSE)</f>
        <v>#N/A</v>
      </c>
    </row>
    <row r="157" spans="1:5">
      <c r="A157" s="121">
        <v>155</v>
      </c>
      <c r="B157" s="123" t="s">
        <v>13263</v>
      </c>
      <c r="C157" s="123" t="s">
        <v>13264</v>
      </c>
      <c r="D157" s="124" t="str">
        <f t="shared" si="2"/>
        <v>BADGERUSDT</v>
      </c>
      <c r="E157" s="125" t="e">
        <f ca="1">VLOOKUP(D157,'Курсы Бинанса'!B:C,2,FALSE)</f>
        <v>#N/A</v>
      </c>
    </row>
    <row r="158" spans="1:5">
      <c r="A158" s="121">
        <v>156</v>
      </c>
      <c r="B158" s="123" t="s">
        <v>13265</v>
      </c>
      <c r="C158" s="123" t="s">
        <v>13266</v>
      </c>
      <c r="D158" s="124" t="str">
        <f t="shared" si="2"/>
        <v>CRONUSDT</v>
      </c>
      <c r="E158" s="125" t="e">
        <f ca="1">VLOOKUP(D158,'Курсы Бинанса'!B:C,2,FALSE)</f>
        <v>#N/A</v>
      </c>
    </row>
    <row r="159" spans="1:5">
      <c r="A159" s="121">
        <v>157</v>
      </c>
      <c r="B159" s="123" t="s">
        <v>13267</v>
      </c>
      <c r="C159" s="123" t="s">
        <v>13268</v>
      </c>
      <c r="D159" s="124" t="str">
        <f t="shared" si="2"/>
        <v>ZNNUSDT</v>
      </c>
      <c r="E159" s="125" t="e">
        <f ca="1">VLOOKUP(D159,'Курсы Бинанса'!B:C,2,FALSE)</f>
        <v>#N/A</v>
      </c>
    </row>
    <row r="160" spans="1:5">
      <c r="A160" s="121">
        <v>158</v>
      </c>
      <c r="B160" s="123" t="s">
        <v>13269</v>
      </c>
      <c r="C160" s="123" t="s">
        <v>13270</v>
      </c>
      <c r="D160" s="124" t="str">
        <f t="shared" si="2"/>
        <v>TITANUSDT</v>
      </c>
      <c r="E160" s="125" t="e">
        <f ca="1">VLOOKUP(D160,'Курсы Бинанса'!B:C,2,FALSE)</f>
        <v>#N/A</v>
      </c>
    </row>
    <row r="161" spans="1:5">
      <c r="A161" s="121">
        <v>159</v>
      </c>
      <c r="B161" s="123" t="s">
        <v>13271</v>
      </c>
      <c r="C161" s="123" t="s">
        <v>13272</v>
      </c>
      <c r="D161" s="124" t="str">
        <f t="shared" si="2"/>
        <v>URUSUSDT</v>
      </c>
      <c r="E161" s="125" t="e">
        <f ca="1">VLOOKUP(D161,'Курсы Бинанса'!B:C,2,FALSE)</f>
        <v>#N/A</v>
      </c>
    </row>
    <row r="162" spans="1:5">
      <c r="A162" s="121">
        <v>160</v>
      </c>
      <c r="B162" s="123" t="s">
        <v>13273</v>
      </c>
      <c r="C162" s="123" t="s">
        <v>13274</v>
      </c>
      <c r="D162" s="124" t="str">
        <f t="shared" si="2"/>
        <v>LDOUSDT</v>
      </c>
      <c r="E162" s="125" t="e">
        <f ca="1">VLOOKUP(D162,'Курсы Бинанса'!B:C,2,FALSE)</f>
        <v>#N/A</v>
      </c>
    </row>
    <row r="163" spans="1:5">
      <c r="A163" s="121">
        <v>161</v>
      </c>
      <c r="B163" s="123" t="s">
        <v>13275</v>
      </c>
      <c r="C163" s="123" t="s">
        <v>13276</v>
      </c>
      <c r="D163" s="124" t="str">
        <f t="shared" si="2"/>
        <v>GASUSDT</v>
      </c>
      <c r="E163" s="125" t="e">
        <f ca="1">VLOOKUP(D163,'Курсы Бинанса'!B:C,2,FALSE)</f>
        <v>#N/A</v>
      </c>
    </row>
    <row r="164" spans="1:5">
      <c r="A164" s="121">
        <v>162</v>
      </c>
      <c r="B164" s="123" t="s">
        <v>13277</v>
      </c>
      <c r="C164" s="123" t="s">
        <v>13278</v>
      </c>
      <c r="D164" s="124" t="str">
        <f t="shared" si="2"/>
        <v>STAKEUSDT</v>
      </c>
      <c r="E164" s="125" t="e">
        <f ca="1">VLOOKUP(D164,'Курсы Бинанса'!B:C,2,FALSE)</f>
        <v>#N/A</v>
      </c>
    </row>
    <row r="165" spans="1:5">
      <c r="A165" s="121">
        <v>163</v>
      </c>
      <c r="B165" s="123" t="s">
        <v>13279</v>
      </c>
      <c r="C165" s="123" t="s">
        <v>13280</v>
      </c>
      <c r="D165" s="124" t="str">
        <f t="shared" si="2"/>
        <v>CBKUSDT</v>
      </c>
      <c r="E165" s="125" t="e">
        <f ca="1">VLOOKUP(D165,'Курсы Бинанса'!B:C,2,FALSE)</f>
        <v>#N/A</v>
      </c>
    </row>
    <row r="166" spans="1:5">
      <c r="A166" s="121">
        <v>164</v>
      </c>
      <c r="B166" s="123" t="s">
        <v>13281</v>
      </c>
      <c r="C166" s="123" t="s">
        <v>13282</v>
      </c>
      <c r="D166" s="124" t="str">
        <f t="shared" si="2"/>
        <v>SUSHIUSDT</v>
      </c>
      <c r="E166" s="125" t="e">
        <f ca="1">VLOOKUP(D166,'Курсы Бинанса'!B:C,2,FALSE)</f>
        <v>#N/A</v>
      </c>
    </row>
    <row r="167" spans="1:5">
      <c r="A167" s="121">
        <v>165</v>
      </c>
      <c r="B167" s="123" t="s">
        <v>13283</v>
      </c>
      <c r="C167" s="123" t="s">
        <v>13284</v>
      </c>
      <c r="D167" s="124" t="str">
        <f t="shared" si="2"/>
        <v>DEGOUSDT</v>
      </c>
      <c r="E167" s="125" t="e">
        <f ca="1">VLOOKUP(D167,'Курсы Бинанса'!B:C,2,FALSE)</f>
        <v>#N/A</v>
      </c>
    </row>
    <row r="168" spans="1:5">
      <c r="A168" s="121">
        <v>166</v>
      </c>
      <c r="B168" s="123" t="s">
        <v>13285</v>
      </c>
      <c r="C168" s="123" t="s">
        <v>13286</v>
      </c>
      <c r="D168" s="124" t="str">
        <f t="shared" si="2"/>
        <v>DEFI++USDT</v>
      </c>
      <c r="E168" s="125" t="e">
        <f ca="1">VLOOKUP(D168,'Курсы Бинанса'!B:C,2,FALSE)</f>
        <v>#N/A</v>
      </c>
    </row>
    <row r="169" spans="1:5">
      <c r="A169" s="121">
        <v>167</v>
      </c>
      <c r="B169" s="123" t="s">
        <v>13287</v>
      </c>
      <c r="C169" s="123" t="s">
        <v>13287</v>
      </c>
      <c r="D169" s="124" t="str">
        <f t="shared" si="2"/>
        <v>WHALEUSDT</v>
      </c>
      <c r="E169" s="125" t="e">
        <f ca="1">VLOOKUP(D169,'Курсы Бинанса'!B:C,2,FALSE)</f>
        <v>#N/A</v>
      </c>
    </row>
    <row r="170" spans="1:5">
      <c r="A170" s="121">
        <v>168</v>
      </c>
      <c r="B170" s="123" t="s">
        <v>13288</v>
      </c>
      <c r="C170" s="123" t="s">
        <v>13289</v>
      </c>
      <c r="D170" s="124" t="str">
        <f t="shared" si="2"/>
        <v>DEROUSDT</v>
      </c>
      <c r="E170" s="125" t="e">
        <f ca="1">VLOOKUP(D170,'Курсы Бинанса'!B:C,2,FALSE)</f>
        <v>#N/A</v>
      </c>
    </row>
    <row r="171" spans="1:5">
      <c r="A171" s="121">
        <v>169</v>
      </c>
      <c r="B171" s="123" t="s">
        <v>13290</v>
      </c>
      <c r="C171" s="123" t="s">
        <v>13291</v>
      </c>
      <c r="D171" s="124" t="str">
        <f t="shared" si="2"/>
        <v>PICKLEUSDT</v>
      </c>
      <c r="E171" s="125" t="e">
        <f ca="1">VLOOKUP(D171,'Курсы Бинанса'!B:C,2,FALSE)</f>
        <v>#N/A</v>
      </c>
    </row>
    <row r="172" spans="1:5">
      <c r="A172" s="121">
        <v>170</v>
      </c>
      <c r="B172" s="123" t="s">
        <v>13292</v>
      </c>
      <c r="C172" s="123" t="s">
        <v>13293</v>
      </c>
      <c r="D172" s="124" t="str">
        <f t="shared" si="2"/>
        <v>INJUSDT</v>
      </c>
      <c r="E172" s="125" t="e">
        <f ca="1">VLOOKUP(D172,'Курсы Бинанса'!B:C,2,FALSE)</f>
        <v>#N/A</v>
      </c>
    </row>
    <row r="173" spans="1:5">
      <c r="A173" s="121">
        <v>171</v>
      </c>
      <c r="B173" s="123" t="s">
        <v>13294</v>
      </c>
      <c r="C173" s="123" t="s">
        <v>13295</v>
      </c>
      <c r="D173" s="124" t="str">
        <f t="shared" si="2"/>
        <v>LOCUSDT</v>
      </c>
      <c r="E173" s="125" t="e">
        <f ca="1">VLOOKUP(D173,'Курсы Бинанса'!B:C,2,FALSE)</f>
        <v>#N/A</v>
      </c>
    </row>
    <row r="174" spans="1:5">
      <c r="A174" s="121">
        <v>172</v>
      </c>
      <c r="B174" s="123" t="s">
        <v>13296</v>
      </c>
      <c r="C174" s="123" t="s">
        <v>13297</v>
      </c>
      <c r="D174" s="124" t="str">
        <f t="shared" si="2"/>
        <v>ALICEUSDT</v>
      </c>
      <c r="E174" s="125" t="e">
        <f ca="1">VLOOKUP(D174,'Курсы Бинанса'!B:C,2,FALSE)</f>
        <v>#N/A</v>
      </c>
    </row>
    <row r="175" spans="1:5">
      <c r="A175" s="121">
        <v>173</v>
      </c>
      <c r="B175" s="123" t="s">
        <v>13298</v>
      </c>
      <c r="C175" s="123" t="s">
        <v>13299</v>
      </c>
      <c r="D175" s="124" t="str">
        <f t="shared" si="2"/>
        <v>LYXeUSDT</v>
      </c>
      <c r="E175" s="125" t="e">
        <f ca="1">VLOOKUP(D175,'Курсы Бинанса'!B:C,2,FALSE)</f>
        <v>#N/A</v>
      </c>
    </row>
    <row r="176" spans="1:5">
      <c r="A176" s="121">
        <v>174</v>
      </c>
      <c r="B176" s="123" t="s">
        <v>13300</v>
      </c>
      <c r="C176" s="123" t="s">
        <v>13301</v>
      </c>
      <c r="D176" s="124" t="str">
        <f t="shared" si="2"/>
        <v>XPRTUSDT</v>
      </c>
      <c r="E176" s="125" t="e">
        <f ca="1">VLOOKUP(D176,'Курсы Бинанса'!B:C,2,FALSE)</f>
        <v>#N/A</v>
      </c>
    </row>
    <row r="177" spans="1:5">
      <c r="A177" s="121">
        <v>175</v>
      </c>
      <c r="B177" s="123" t="s">
        <v>13302</v>
      </c>
      <c r="C177" s="123" t="s">
        <v>13303</v>
      </c>
      <c r="D177" s="124" t="str">
        <f t="shared" si="2"/>
        <v>ERNUSDT</v>
      </c>
      <c r="E177" s="125" t="e">
        <f ca="1">VLOOKUP(D177,'Курсы Бинанса'!B:C,2,FALSE)</f>
        <v>#N/A</v>
      </c>
    </row>
    <row r="178" spans="1:5">
      <c r="A178" s="121">
        <v>176</v>
      </c>
      <c r="B178" s="123" t="s">
        <v>13304</v>
      </c>
      <c r="C178" s="123" t="s">
        <v>13305</v>
      </c>
      <c r="D178" s="124" t="str">
        <f t="shared" si="2"/>
        <v>QTUMUSDT</v>
      </c>
      <c r="E178" s="125" t="e">
        <f ca="1">VLOOKUP(D178,'Курсы Бинанса'!B:C,2,FALSE)</f>
        <v>#N/A</v>
      </c>
    </row>
    <row r="179" spans="1:5">
      <c r="A179" s="121">
        <v>177</v>
      </c>
      <c r="B179" s="123" t="s">
        <v>13306</v>
      </c>
      <c r="C179" s="123" t="s">
        <v>13307</v>
      </c>
      <c r="D179" s="124" t="str">
        <f t="shared" si="2"/>
        <v>BANDUSDT</v>
      </c>
      <c r="E179" s="125" t="e">
        <f ca="1">VLOOKUP(D179,'Курсы Бинанса'!B:C,2,FALSE)</f>
        <v>#N/A</v>
      </c>
    </row>
    <row r="180" spans="1:5">
      <c r="A180" s="121">
        <v>178</v>
      </c>
      <c r="B180" s="123" t="s">
        <v>13308</v>
      </c>
      <c r="C180" s="123" t="s">
        <v>13309</v>
      </c>
      <c r="D180" s="124" t="str">
        <f t="shared" si="2"/>
        <v>VSPUSDT</v>
      </c>
      <c r="E180" s="125" t="e">
        <f ca="1">VLOOKUP(D180,'Курсы Бинанса'!B:C,2,FALSE)</f>
        <v>#N/A</v>
      </c>
    </row>
    <row r="181" spans="1:5">
      <c r="A181" s="121">
        <v>179</v>
      </c>
      <c r="B181" s="123" t="s">
        <v>13310</v>
      </c>
      <c r="C181" s="123" t="s">
        <v>13311</v>
      </c>
      <c r="D181" s="124" t="str">
        <f t="shared" si="2"/>
        <v>RUNEUSDT</v>
      </c>
      <c r="E181" s="125" t="e">
        <f ca="1">VLOOKUP(D181,'Курсы Бинанса'!B:C,2,FALSE)</f>
        <v>#N/A</v>
      </c>
    </row>
    <row r="182" spans="1:5">
      <c r="A182" s="121">
        <v>180</v>
      </c>
      <c r="B182" s="123" t="s">
        <v>13312</v>
      </c>
      <c r="C182" s="123" t="s">
        <v>13312</v>
      </c>
      <c r="D182" s="124" t="str">
        <f t="shared" si="2"/>
        <v>BTSEUSDT</v>
      </c>
      <c r="E182" s="125" t="e">
        <f ca="1">VLOOKUP(D182,'Курсы Бинанса'!B:C,2,FALSE)</f>
        <v>#N/A</v>
      </c>
    </row>
    <row r="183" spans="1:5">
      <c r="A183" s="121">
        <v>181</v>
      </c>
      <c r="B183" s="123" t="s">
        <v>13313</v>
      </c>
      <c r="C183" s="123" t="s">
        <v>13314</v>
      </c>
      <c r="D183" s="124" t="str">
        <f t="shared" si="2"/>
        <v>METISUSDT</v>
      </c>
      <c r="E183" s="125" t="e">
        <f ca="1">VLOOKUP(D183,'Курсы Бинанса'!B:C,2,FALSE)</f>
        <v>#N/A</v>
      </c>
    </row>
    <row r="184" spans="1:5">
      <c r="A184" s="121">
        <v>182</v>
      </c>
      <c r="B184" s="123" t="s">
        <v>13315</v>
      </c>
      <c r="C184" s="123" t="s">
        <v>13315</v>
      </c>
      <c r="D184" s="124" t="str">
        <f t="shared" si="2"/>
        <v>TENAUSDT</v>
      </c>
      <c r="E184" s="125" t="e">
        <f ca="1">VLOOKUP(D184,'Курсы Бинанса'!B:C,2,FALSE)</f>
        <v>#N/A</v>
      </c>
    </row>
    <row r="185" spans="1:5">
      <c r="A185" s="121">
        <v>183</v>
      </c>
      <c r="B185" s="123" t="s">
        <v>13316</v>
      </c>
      <c r="C185" s="123" t="s">
        <v>13315</v>
      </c>
      <c r="D185" s="124" t="str">
        <f t="shared" si="2"/>
        <v>TENAUSDT</v>
      </c>
      <c r="E185" s="125" t="e">
        <f ca="1">VLOOKUP(D185,'Курсы Бинанса'!B:C,2,FALSE)</f>
        <v>#N/A</v>
      </c>
    </row>
    <row r="186" spans="1:5">
      <c r="A186" s="121">
        <v>184</v>
      </c>
      <c r="B186" s="123" t="s">
        <v>13317</v>
      </c>
      <c r="C186" s="123" t="s">
        <v>13318</v>
      </c>
      <c r="D186" s="124" t="str">
        <f t="shared" si="2"/>
        <v>SBDUSDT</v>
      </c>
      <c r="E186" s="125" t="e">
        <f ca="1">VLOOKUP(D186,'Курсы Бинанса'!B:C,2,FALSE)</f>
        <v>#N/A</v>
      </c>
    </row>
    <row r="187" spans="1:5">
      <c r="A187" s="121">
        <v>185</v>
      </c>
      <c r="B187" s="123" t="s">
        <v>13319</v>
      </c>
      <c r="C187" s="123" t="s">
        <v>13320</v>
      </c>
      <c r="D187" s="124" t="str">
        <f t="shared" si="2"/>
        <v>DORAUSDT</v>
      </c>
      <c r="E187" s="125" t="e">
        <f ca="1">VLOOKUP(D187,'Курсы Бинанса'!B:C,2,FALSE)</f>
        <v>#N/A</v>
      </c>
    </row>
    <row r="188" spans="1:5">
      <c r="A188" s="121">
        <v>186</v>
      </c>
      <c r="B188" s="123" t="s">
        <v>13321</v>
      </c>
      <c r="C188" s="123" t="s">
        <v>13322</v>
      </c>
      <c r="D188" s="124" t="str">
        <f t="shared" si="2"/>
        <v>ERGUSDT</v>
      </c>
      <c r="E188" s="125" t="e">
        <f ca="1">VLOOKUP(D188,'Курсы Бинанса'!B:C,2,FALSE)</f>
        <v>#N/A</v>
      </c>
    </row>
    <row r="189" spans="1:5">
      <c r="A189" s="121">
        <v>187</v>
      </c>
      <c r="B189" s="123" t="s">
        <v>13323</v>
      </c>
      <c r="C189" s="123" t="s">
        <v>13324</v>
      </c>
      <c r="D189" s="124" t="str">
        <f t="shared" si="2"/>
        <v>CELUSDT</v>
      </c>
      <c r="E189" s="125" t="e">
        <f ca="1">VLOOKUP(D189,'Курсы Бинанса'!B:C,2,FALSE)</f>
        <v>#N/A</v>
      </c>
    </row>
    <row r="190" spans="1:5">
      <c r="A190" s="121">
        <v>188</v>
      </c>
      <c r="B190" s="123" t="s">
        <v>13325</v>
      </c>
      <c r="C190" s="123" t="s">
        <v>13326</v>
      </c>
      <c r="D190" s="124" t="str">
        <f t="shared" si="2"/>
        <v>RGTUSDT</v>
      </c>
      <c r="E190" s="125" t="e">
        <f ca="1">VLOOKUP(D190,'Курсы Бинанса'!B:C,2,FALSE)</f>
        <v>#N/A</v>
      </c>
    </row>
    <row r="191" spans="1:5">
      <c r="A191" s="121">
        <v>189</v>
      </c>
      <c r="B191" s="123" t="s">
        <v>13327</v>
      </c>
      <c r="C191" s="123" t="s">
        <v>13328</v>
      </c>
      <c r="D191" s="124" t="str">
        <f t="shared" si="2"/>
        <v>EWTUSDT</v>
      </c>
      <c r="E191" s="125" t="e">
        <f ca="1">VLOOKUP(D191,'Курсы Бинанса'!B:C,2,FALSE)</f>
        <v>#N/A</v>
      </c>
    </row>
    <row r="192" spans="1:5">
      <c r="A192" s="121">
        <v>190</v>
      </c>
      <c r="B192" s="123" t="s">
        <v>13329</v>
      </c>
      <c r="C192" s="123" t="s">
        <v>13330</v>
      </c>
      <c r="D192" s="124" t="str">
        <f t="shared" si="2"/>
        <v>MASKUSDT</v>
      </c>
      <c r="E192" s="125" t="e">
        <f ca="1">VLOOKUP(D192,'Курсы Бинанса'!B:C,2,FALSE)</f>
        <v>#N/A</v>
      </c>
    </row>
    <row r="193" spans="1:5">
      <c r="A193" s="121">
        <v>191</v>
      </c>
      <c r="B193" s="123" t="s">
        <v>13331</v>
      </c>
      <c r="C193" s="123" t="s">
        <v>13330</v>
      </c>
      <c r="D193" s="124" t="str">
        <f t="shared" si="2"/>
        <v>MASKUSDT</v>
      </c>
      <c r="E193" s="125" t="e">
        <f ca="1">VLOOKUP(D193,'Курсы Бинанса'!B:C,2,FALSE)</f>
        <v>#N/A</v>
      </c>
    </row>
    <row r="194" spans="1:5">
      <c r="A194" s="121">
        <v>192</v>
      </c>
      <c r="B194" s="123" t="s">
        <v>13332</v>
      </c>
      <c r="C194" s="123" t="s">
        <v>13332</v>
      </c>
      <c r="D194" s="124" t="str">
        <f t="shared" si="2"/>
        <v>THETAUSDT</v>
      </c>
      <c r="E194" s="125" t="e">
        <f ca="1">VLOOKUP(D194,'Курсы Бинанса'!B:C,2,FALSE)</f>
        <v>#N/A</v>
      </c>
    </row>
    <row r="195" spans="1:5">
      <c r="A195" s="121">
        <v>193</v>
      </c>
      <c r="B195" s="123" t="s">
        <v>13333</v>
      </c>
      <c r="C195" s="123" t="s">
        <v>13334</v>
      </c>
      <c r="D195" s="124" t="str">
        <f t="shared" si="2"/>
        <v>ORNUSDT</v>
      </c>
      <c r="E195" s="125" t="e">
        <f ca="1">VLOOKUP(D195,'Курсы Бинанса'!B:C,2,FALSE)</f>
        <v>#N/A</v>
      </c>
    </row>
    <row r="196" spans="1:5">
      <c r="A196" s="121">
        <v>194</v>
      </c>
      <c r="B196" s="123" t="s">
        <v>13335</v>
      </c>
      <c r="C196" s="123" t="s">
        <v>13336</v>
      </c>
      <c r="D196" s="124" t="str">
        <f t="shared" si="2"/>
        <v>KNCUSDT</v>
      </c>
      <c r="E196" s="125" t="e">
        <f ca="1">VLOOKUP(D196,'Курсы Бинанса'!B:C,2,FALSE)</f>
        <v>#N/A</v>
      </c>
    </row>
    <row r="197" spans="1:5">
      <c r="A197" s="121">
        <v>195</v>
      </c>
      <c r="B197" s="123" t="s">
        <v>13337</v>
      </c>
      <c r="C197" s="123" t="s">
        <v>13336</v>
      </c>
      <c r="D197" s="124" t="str">
        <f t="shared" si="2"/>
        <v>KNCUSDT</v>
      </c>
      <c r="E197" s="125" t="e">
        <f ca="1">VLOOKUP(D197,'Курсы Бинанса'!B:C,2,FALSE)</f>
        <v>#N/A</v>
      </c>
    </row>
    <row r="198" spans="1:5">
      <c r="A198" s="121">
        <v>196</v>
      </c>
      <c r="B198" s="123" t="s">
        <v>13338</v>
      </c>
      <c r="C198" s="123" t="s">
        <v>13339</v>
      </c>
      <c r="D198" s="124" t="str">
        <f t="shared" si="2"/>
        <v>FIROUSDT</v>
      </c>
      <c r="E198" s="125" t="e">
        <f ca="1">VLOOKUP(D198,'Курсы Бинанса'!B:C,2,FALSE)</f>
        <v>#N/A</v>
      </c>
    </row>
    <row r="199" spans="1:5">
      <c r="A199" s="121">
        <v>197</v>
      </c>
      <c r="B199" s="123" t="s">
        <v>13340</v>
      </c>
      <c r="C199" s="123" t="s">
        <v>13341</v>
      </c>
      <c r="D199" s="124" t="str">
        <f t="shared" si="2"/>
        <v>ORAIUSDT</v>
      </c>
      <c r="E199" s="125" t="e">
        <f ca="1">VLOOKUP(D199,'Курсы Бинанса'!B:C,2,FALSE)</f>
        <v>#N/A</v>
      </c>
    </row>
    <row r="200" spans="1:5">
      <c r="A200" s="121">
        <v>198</v>
      </c>
      <c r="B200" s="123" t="s">
        <v>13342</v>
      </c>
      <c r="C200" s="123" t="s">
        <v>13343</v>
      </c>
      <c r="D200" s="124" t="str">
        <f t="shared" si="2"/>
        <v>LQTYUSDT</v>
      </c>
      <c r="E200" s="125" t="e">
        <f ca="1">VLOOKUP(D200,'Курсы Бинанса'!B:C,2,FALSE)</f>
        <v>#N/A</v>
      </c>
    </row>
    <row r="201" spans="1:5">
      <c r="A201" s="121">
        <v>199</v>
      </c>
      <c r="B201" s="123" t="s">
        <v>13344</v>
      </c>
      <c r="C201" s="123" t="s">
        <v>13345</v>
      </c>
      <c r="D201" s="124" t="str">
        <f t="shared" ref="D201:D264" si="3">CONCATENATE(C201,"USDT")</f>
        <v>PLCUSDT</v>
      </c>
      <c r="E201" s="125" t="e">
        <f ca="1">VLOOKUP(D201,'Курсы Бинанса'!B:C,2,FALSE)</f>
        <v>#N/A</v>
      </c>
    </row>
    <row r="202" spans="1:5">
      <c r="A202" s="121">
        <v>200</v>
      </c>
      <c r="B202" s="123" t="s">
        <v>13346</v>
      </c>
      <c r="C202" s="123" t="s">
        <v>13347</v>
      </c>
      <c r="D202" s="124" t="str">
        <f t="shared" si="3"/>
        <v>STACKUSDT</v>
      </c>
      <c r="E202" s="125" t="e">
        <f ca="1">VLOOKUP(D202,'Курсы Бинанса'!B:C,2,FALSE)</f>
        <v>#N/A</v>
      </c>
    </row>
    <row r="203" spans="1:5">
      <c r="A203" s="121">
        <v>201</v>
      </c>
      <c r="B203" s="123" t="s">
        <v>13348</v>
      </c>
      <c r="C203" s="123" t="s">
        <v>13348</v>
      </c>
      <c r="D203" s="124" t="str">
        <f t="shared" si="3"/>
        <v>YMPLUSDT</v>
      </c>
      <c r="E203" s="125" t="e">
        <f ca="1">VLOOKUP(D203,'Курсы Бинанса'!B:C,2,FALSE)</f>
        <v>#N/A</v>
      </c>
    </row>
    <row r="204" spans="1:5">
      <c r="A204" s="121">
        <v>202</v>
      </c>
      <c r="B204" s="123" t="s">
        <v>13349</v>
      </c>
      <c r="C204" s="123" t="s">
        <v>13350</v>
      </c>
      <c r="D204" s="124" t="str">
        <f t="shared" si="3"/>
        <v>MWCUSDT</v>
      </c>
      <c r="E204" s="125" t="e">
        <f ca="1">VLOOKUP(D204,'Курсы Бинанса'!B:C,2,FALSE)</f>
        <v>#N/A</v>
      </c>
    </row>
    <row r="205" spans="1:5">
      <c r="A205" s="121">
        <v>203</v>
      </c>
      <c r="B205" s="126" t="s">
        <v>13351</v>
      </c>
      <c r="C205" s="123" t="s">
        <v>13352</v>
      </c>
      <c r="D205" s="124" t="str">
        <f t="shared" si="3"/>
        <v>KAVAUSDT</v>
      </c>
      <c r="E205" s="125" t="e">
        <f ca="1">VLOOKUP(D205,'Курсы Бинанса'!B:C,2,FALSE)</f>
        <v>#N/A</v>
      </c>
    </row>
    <row r="206" spans="1:5">
      <c r="A206" s="121">
        <v>204</v>
      </c>
      <c r="B206" s="123" t="s">
        <v>13353</v>
      </c>
      <c r="C206" s="123" t="s">
        <v>13354</v>
      </c>
      <c r="D206" s="124" t="str">
        <f t="shared" si="3"/>
        <v>NANOUSDT</v>
      </c>
      <c r="E206" s="125" t="e">
        <f ca="1">VLOOKUP(D206,'Курсы Бинанса'!B:C,2,FALSE)</f>
        <v>#N/A</v>
      </c>
    </row>
    <row r="207" spans="1:5">
      <c r="A207" s="121">
        <v>205</v>
      </c>
      <c r="B207" s="123" t="s">
        <v>13355</v>
      </c>
      <c r="C207" s="123" t="s">
        <v>13356</v>
      </c>
      <c r="D207" s="124" t="str">
        <f t="shared" si="3"/>
        <v>PLUUSDT</v>
      </c>
      <c r="E207" s="125" t="e">
        <f ca="1">VLOOKUP(D207,'Курсы Бинанса'!B:C,2,FALSE)</f>
        <v>#N/A</v>
      </c>
    </row>
    <row r="208" spans="1:5">
      <c r="A208" s="121">
        <v>206</v>
      </c>
      <c r="B208" s="123" t="s">
        <v>13357</v>
      </c>
      <c r="C208" s="123" t="s">
        <v>13358</v>
      </c>
      <c r="D208" s="124" t="str">
        <f t="shared" si="3"/>
        <v>KP4RUSDT</v>
      </c>
      <c r="E208" s="125" t="e">
        <f ca="1">VLOOKUP(D208,'Курсы Бинанса'!B:C,2,FALSE)</f>
        <v>#N/A</v>
      </c>
    </row>
    <row r="209" spans="1:5">
      <c r="A209" s="121">
        <v>207</v>
      </c>
      <c r="B209" s="123" t="s">
        <v>13359</v>
      </c>
      <c r="C209" s="123" t="s">
        <v>13360</v>
      </c>
      <c r="D209" s="124" t="str">
        <f t="shared" si="3"/>
        <v>DEXEUSDT</v>
      </c>
      <c r="E209" s="125" t="e">
        <f ca="1">VLOOKUP(D209,'Курсы Бинанса'!B:C,2,FALSE)</f>
        <v>#N/A</v>
      </c>
    </row>
    <row r="210" spans="1:5">
      <c r="A210" s="121">
        <v>208</v>
      </c>
      <c r="B210" s="123" t="s">
        <v>13361</v>
      </c>
      <c r="C210" s="123" t="s">
        <v>13362</v>
      </c>
      <c r="D210" s="124" t="str">
        <f t="shared" si="3"/>
        <v>OGUSDT</v>
      </c>
      <c r="E210" s="125" t="e">
        <f ca="1">VLOOKUP(D210,'Курсы Бинанса'!B:C,2,FALSE)</f>
        <v>#N/A</v>
      </c>
    </row>
    <row r="211" spans="1:5">
      <c r="A211" s="121">
        <v>209</v>
      </c>
      <c r="B211" s="123" t="s">
        <v>13363</v>
      </c>
      <c r="C211" s="123" t="s">
        <v>13364</v>
      </c>
      <c r="D211" s="124" t="str">
        <f t="shared" si="3"/>
        <v>OMNIUSDT</v>
      </c>
      <c r="E211" s="125" t="e">
        <f ca="1">VLOOKUP(D211,'Курсы Бинанса'!B:C,2,FALSE)</f>
        <v>#N/A</v>
      </c>
    </row>
    <row r="212" spans="1:5">
      <c r="A212" s="121">
        <v>210</v>
      </c>
      <c r="B212" s="123" t="s">
        <v>13365</v>
      </c>
      <c r="C212" s="123" t="s">
        <v>13366</v>
      </c>
      <c r="D212" s="124" t="str">
        <f t="shared" si="3"/>
        <v>CWSUSDT</v>
      </c>
      <c r="E212" s="125" t="e">
        <f ca="1">VLOOKUP(D212,'Курсы Бинанса'!B:C,2,FALSE)</f>
        <v>#N/A</v>
      </c>
    </row>
    <row r="213" spans="1:5">
      <c r="A213" s="121">
        <v>211</v>
      </c>
      <c r="B213" s="123" t="s">
        <v>13367</v>
      </c>
      <c r="C213" s="123" t="s">
        <v>13367</v>
      </c>
      <c r="D213" s="124" t="str">
        <f t="shared" si="3"/>
        <v>VAULTUSDT</v>
      </c>
      <c r="E213" s="125" t="e">
        <f ca="1">VLOOKUP(D213,'Курсы Бинанса'!B:C,2,FALSE)</f>
        <v>#N/A</v>
      </c>
    </row>
    <row r="214" spans="1:5">
      <c r="A214" s="121">
        <v>212</v>
      </c>
      <c r="B214" s="123" t="s">
        <v>13368</v>
      </c>
      <c r="C214" s="123" t="s">
        <v>13368</v>
      </c>
      <c r="D214" s="124" t="str">
        <f t="shared" si="3"/>
        <v>API3USDT</v>
      </c>
      <c r="E214" s="125" t="e">
        <f ca="1">VLOOKUP(D214,'Курсы Бинанса'!B:C,2,FALSE)</f>
        <v>#N/A</v>
      </c>
    </row>
    <row r="215" spans="1:5">
      <c r="A215" s="121">
        <v>213</v>
      </c>
      <c r="B215" s="123" t="s">
        <v>13369</v>
      </c>
      <c r="C215" s="123" t="s">
        <v>13370</v>
      </c>
      <c r="D215" s="124" t="str">
        <f t="shared" si="3"/>
        <v>ROUTEUSDT</v>
      </c>
      <c r="E215" s="125" t="e">
        <f ca="1">VLOOKUP(D215,'Курсы Бинанса'!B:C,2,FALSE)</f>
        <v>#N/A</v>
      </c>
    </row>
    <row r="216" spans="1:5">
      <c r="A216" s="121">
        <v>214</v>
      </c>
      <c r="B216" s="123" t="s">
        <v>13371</v>
      </c>
      <c r="C216" s="123" t="s">
        <v>13372</v>
      </c>
      <c r="D216" s="124" t="str">
        <f t="shared" si="3"/>
        <v>OMGUSDT</v>
      </c>
      <c r="E216" s="125" t="e">
        <f ca="1">VLOOKUP(D216,'Курсы Бинанса'!B:C,2,FALSE)</f>
        <v>#N/A</v>
      </c>
    </row>
    <row r="217" spans="1:5">
      <c r="A217" s="121">
        <v>215</v>
      </c>
      <c r="B217" s="123" t="s">
        <v>13373</v>
      </c>
      <c r="C217" s="123" t="s">
        <v>13374</v>
      </c>
      <c r="D217" s="124" t="str">
        <f t="shared" si="3"/>
        <v>IDLEUSDT</v>
      </c>
      <c r="E217" s="125" t="e">
        <f ca="1">VLOOKUP(D217,'Курсы Бинанса'!B:C,2,FALSE)</f>
        <v>#N/A</v>
      </c>
    </row>
    <row r="218" spans="1:5">
      <c r="A218" s="121">
        <v>216</v>
      </c>
      <c r="B218" s="123" t="s">
        <v>13375</v>
      </c>
      <c r="C218" s="123" t="s">
        <v>13375</v>
      </c>
      <c r="D218" s="124" t="str">
        <f t="shared" si="3"/>
        <v>EOSUSDT</v>
      </c>
      <c r="E218" s="125" t="e">
        <f ca="1">VLOOKUP(D218,'Курсы Бинанса'!B:C,2,FALSE)</f>
        <v>#N/A</v>
      </c>
    </row>
    <row r="219" spans="1:5">
      <c r="A219" s="121">
        <v>217</v>
      </c>
      <c r="B219" s="123" t="s">
        <v>13376</v>
      </c>
      <c r="C219" s="123" t="s">
        <v>13377</v>
      </c>
      <c r="D219" s="124" t="str">
        <f t="shared" si="3"/>
        <v>TRIASUSDT</v>
      </c>
      <c r="E219" s="125" t="e">
        <f ca="1">VLOOKUP(D219,'Курсы Бинанса'!B:C,2,FALSE)</f>
        <v>#N/A</v>
      </c>
    </row>
    <row r="220" spans="1:5">
      <c r="A220" s="121">
        <v>218</v>
      </c>
      <c r="B220" s="123" t="s">
        <v>13378</v>
      </c>
      <c r="C220" s="123" t="s">
        <v>13379</v>
      </c>
      <c r="D220" s="124" t="str">
        <f t="shared" si="3"/>
        <v>BURGERUSDT</v>
      </c>
      <c r="E220" s="125" t="e">
        <f ca="1">VLOOKUP(D220,'Курсы Бинанса'!B:C,2,FALSE)</f>
        <v>#N/A</v>
      </c>
    </row>
    <row r="221" spans="1:5">
      <c r="A221" s="121">
        <v>219</v>
      </c>
      <c r="B221" s="123" t="s">
        <v>13380</v>
      </c>
      <c r="C221" s="123" t="s">
        <v>13381</v>
      </c>
      <c r="D221" s="124" t="str">
        <f t="shared" si="3"/>
        <v>ANTUSDT</v>
      </c>
      <c r="E221" s="125" t="e">
        <f ca="1">VLOOKUP(D221,'Курсы Бинанса'!B:C,2,FALSE)</f>
        <v>#N/A</v>
      </c>
    </row>
    <row r="222" spans="1:5">
      <c r="A222" s="121">
        <v>220</v>
      </c>
      <c r="B222" s="123" t="s">
        <v>13382</v>
      </c>
      <c r="C222" s="123" t="s">
        <v>13383</v>
      </c>
      <c r="D222" s="124" t="str">
        <f t="shared" si="3"/>
        <v>XHVUSDT</v>
      </c>
      <c r="E222" s="125" t="e">
        <f ca="1">VLOOKUP(D222,'Курсы Бинанса'!B:C,2,FALSE)</f>
        <v>#N/A</v>
      </c>
    </row>
    <row r="223" spans="1:5">
      <c r="A223" s="121">
        <v>221</v>
      </c>
      <c r="B223" s="123" t="s">
        <v>13384</v>
      </c>
      <c r="C223" s="123" t="s">
        <v>13385</v>
      </c>
      <c r="D223" s="124" t="str">
        <f t="shared" si="3"/>
        <v>YAXISUSDT</v>
      </c>
      <c r="E223" s="125" t="e">
        <f ca="1">VLOOKUP(D223,'Курсы Бинанса'!B:C,2,FALSE)</f>
        <v>#N/A</v>
      </c>
    </row>
    <row r="224" spans="1:5">
      <c r="A224" s="121">
        <v>222</v>
      </c>
      <c r="B224" s="123" t="s">
        <v>13386</v>
      </c>
      <c r="C224" s="123" t="s">
        <v>13387</v>
      </c>
      <c r="D224" s="124" t="str">
        <f t="shared" si="3"/>
        <v>MTLXUSDT</v>
      </c>
      <c r="E224" s="125" t="e">
        <f ca="1">VLOOKUP(D224,'Курсы Бинанса'!B:C,2,FALSE)</f>
        <v>#N/A</v>
      </c>
    </row>
    <row r="225" spans="1:5">
      <c r="A225" s="121">
        <v>223</v>
      </c>
      <c r="B225" s="123" t="s">
        <v>13388</v>
      </c>
      <c r="C225" s="123" t="s">
        <v>13389</v>
      </c>
      <c r="D225" s="124" t="str">
        <f t="shared" si="3"/>
        <v>HEZUSDT</v>
      </c>
      <c r="E225" s="125" t="e">
        <f ca="1">VLOOKUP(D225,'Курсы Бинанса'!B:C,2,FALSE)</f>
        <v>#N/A</v>
      </c>
    </row>
    <row r="226" spans="1:5">
      <c r="A226" s="121">
        <v>224</v>
      </c>
      <c r="B226" s="123" t="s">
        <v>14816</v>
      </c>
      <c r="C226" s="123" t="s">
        <v>14817</v>
      </c>
      <c r="D226" s="124" t="str">
        <f t="shared" si="3"/>
        <v>INXTUSDT</v>
      </c>
      <c r="E226" s="125" t="e">
        <f ca="1">VLOOKUP(D226,'Курсы Бинанса'!B:C,2,FALSE)</f>
        <v>#N/A</v>
      </c>
    </row>
    <row r="227" spans="1:5">
      <c r="A227" s="121">
        <v>225</v>
      </c>
      <c r="B227" s="123" t="s">
        <v>14818</v>
      </c>
      <c r="C227" s="123" t="s">
        <v>14819</v>
      </c>
      <c r="D227" s="124" t="str">
        <f t="shared" si="3"/>
        <v>HGETUSDT</v>
      </c>
      <c r="E227" s="125" t="e">
        <f ca="1">VLOOKUP(D227,'Курсы Бинанса'!B:C,2,FALSE)</f>
        <v>#N/A</v>
      </c>
    </row>
    <row r="228" spans="1:5">
      <c r="A228" s="121">
        <v>226</v>
      </c>
      <c r="B228" s="123" t="s">
        <v>14820</v>
      </c>
      <c r="C228" s="123" t="s">
        <v>14821</v>
      </c>
      <c r="D228" s="124" t="str">
        <f t="shared" si="3"/>
        <v>ETHYUSDT</v>
      </c>
      <c r="E228" s="125" t="e">
        <f ca="1">VLOOKUP(D228,'Курсы Бинанса'!B:C,2,FALSE)</f>
        <v>#N/A</v>
      </c>
    </row>
    <row r="229" spans="1:5">
      <c r="A229" s="121">
        <v>227</v>
      </c>
      <c r="B229" s="123" t="s">
        <v>14822</v>
      </c>
      <c r="C229" s="123" t="s">
        <v>14823</v>
      </c>
      <c r="D229" s="124" t="str">
        <f t="shared" si="3"/>
        <v>RAYUSDT</v>
      </c>
      <c r="E229" s="125" t="e">
        <f ca="1">VLOOKUP(D229,'Курсы Бинанса'!B:C,2,FALSE)</f>
        <v>#N/A</v>
      </c>
    </row>
    <row r="230" spans="1:5">
      <c r="A230" s="121">
        <v>228</v>
      </c>
      <c r="B230" s="123" t="s">
        <v>14824</v>
      </c>
      <c r="C230" s="123" t="s">
        <v>14825</v>
      </c>
      <c r="D230" s="124" t="str">
        <f t="shared" si="3"/>
        <v>GTUSDT</v>
      </c>
      <c r="E230" s="125" t="e">
        <f ca="1">VLOOKUP(D230,'Курсы Бинанса'!B:C,2,FALSE)</f>
        <v>#N/A</v>
      </c>
    </row>
    <row r="231" spans="1:5">
      <c r="A231" s="121">
        <v>229</v>
      </c>
      <c r="B231" s="123" t="s">
        <v>14826</v>
      </c>
      <c r="C231" s="123" t="s">
        <v>14827</v>
      </c>
      <c r="D231" s="124" t="str">
        <f t="shared" si="3"/>
        <v>PIPTUSDT</v>
      </c>
      <c r="E231" s="125" t="e">
        <f ca="1">VLOOKUP(D231,'Курсы Бинанса'!B:C,2,FALSE)</f>
        <v>#N/A</v>
      </c>
    </row>
    <row r="232" spans="1:5">
      <c r="A232" s="121">
        <v>230</v>
      </c>
      <c r="B232" s="123" t="s">
        <v>14828</v>
      </c>
      <c r="C232" s="123" t="s">
        <v>14829</v>
      </c>
      <c r="D232" s="124" t="str">
        <f t="shared" si="3"/>
        <v>BNTUSDT</v>
      </c>
      <c r="E232" s="125" t="e">
        <f ca="1">VLOOKUP(D232,'Курсы Бинанса'!B:C,2,FALSE)</f>
        <v>#N/A</v>
      </c>
    </row>
    <row r="233" spans="1:5">
      <c r="A233" s="121">
        <v>231</v>
      </c>
      <c r="B233" s="123" t="s">
        <v>14830</v>
      </c>
      <c r="C233" s="123" t="s">
        <v>14831</v>
      </c>
      <c r="D233" s="124" t="str">
        <f t="shared" si="3"/>
        <v>SRMUSDT</v>
      </c>
      <c r="E233" s="125" t="e">
        <f ca="1">VLOOKUP(D233,'Курсы Бинанса'!B:C,2,FALSE)</f>
        <v>#N/A</v>
      </c>
    </row>
    <row r="234" spans="1:5">
      <c r="A234" s="121">
        <v>232</v>
      </c>
      <c r="B234" s="123" t="s">
        <v>14832</v>
      </c>
      <c r="C234" s="123" t="s">
        <v>14833</v>
      </c>
      <c r="D234" s="124" t="str">
        <f t="shared" si="3"/>
        <v>HNCUSDT</v>
      </c>
      <c r="E234" s="125" t="e">
        <f ca="1">VLOOKUP(D234,'Курсы Бинанса'!B:C,2,FALSE)</f>
        <v>#N/A</v>
      </c>
    </row>
    <row r="235" spans="1:5">
      <c r="A235" s="121">
        <v>233</v>
      </c>
      <c r="B235" s="123" t="s">
        <v>14834</v>
      </c>
      <c r="C235" s="123" t="s">
        <v>14835</v>
      </c>
      <c r="D235" s="124" t="str">
        <f t="shared" si="3"/>
        <v>BTBUSDT</v>
      </c>
      <c r="E235" s="125" t="e">
        <f ca="1">VLOOKUP(D235,'Курсы Бинанса'!B:C,2,FALSE)</f>
        <v>#N/A</v>
      </c>
    </row>
    <row r="236" spans="1:5">
      <c r="A236" s="121">
        <v>234</v>
      </c>
      <c r="B236" s="123" t="s">
        <v>14836</v>
      </c>
      <c r="C236" s="123" t="s">
        <v>14837</v>
      </c>
      <c r="D236" s="124" t="str">
        <f t="shared" si="3"/>
        <v>PCXUSDT</v>
      </c>
      <c r="E236" s="125" t="e">
        <f ca="1">VLOOKUP(D236,'Курсы Бинанса'!B:C,2,FALSE)</f>
        <v>#N/A</v>
      </c>
    </row>
    <row r="237" spans="1:5">
      <c r="A237" s="121">
        <v>235</v>
      </c>
      <c r="B237" s="123" t="s">
        <v>14838</v>
      </c>
      <c r="C237" s="123" t="s">
        <v>14839</v>
      </c>
      <c r="D237" s="124" t="str">
        <f t="shared" si="3"/>
        <v>AQTUSDT</v>
      </c>
      <c r="E237" s="125" t="e">
        <f ca="1">VLOOKUP(D237,'Курсы Бинанса'!B:C,2,FALSE)</f>
        <v>#N/A</v>
      </c>
    </row>
    <row r="238" spans="1:5">
      <c r="A238" s="121">
        <v>236</v>
      </c>
      <c r="B238" s="123" t="s">
        <v>14840</v>
      </c>
      <c r="C238" s="123" t="s">
        <v>14841</v>
      </c>
      <c r="D238" s="124" t="str">
        <f t="shared" si="3"/>
        <v>LEOUSDT</v>
      </c>
      <c r="E238" s="125" t="e">
        <f ca="1">VLOOKUP(D238,'Курсы Бинанса'!B:C,2,FALSE)</f>
        <v>#N/A</v>
      </c>
    </row>
    <row r="239" spans="1:5">
      <c r="A239" s="121">
        <v>237</v>
      </c>
      <c r="B239" s="123" t="s">
        <v>14842</v>
      </c>
      <c r="C239" s="123" t="s">
        <v>14842</v>
      </c>
      <c r="D239" s="124" t="str">
        <f t="shared" si="3"/>
        <v>SEENUSDT</v>
      </c>
      <c r="E239" s="125" t="e">
        <f ca="1">VLOOKUP(D239,'Курсы Бинанса'!B:C,2,FALSE)</f>
        <v>#N/A</v>
      </c>
    </row>
    <row r="240" spans="1:5">
      <c r="A240" s="121">
        <v>238</v>
      </c>
      <c r="B240" s="123" t="s">
        <v>14843</v>
      </c>
      <c r="C240" s="123" t="s">
        <v>14844</v>
      </c>
      <c r="D240" s="124" t="str">
        <f t="shared" si="3"/>
        <v>EUMUSDT</v>
      </c>
      <c r="E240" s="125" t="e">
        <f ca="1">VLOOKUP(D240,'Курсы Бинанса'!B:C,2,FALSE)</f>
        <v>#N/A</v>
      </c>
    </row>
    <row r="241" spans="1:5">
      <c r="A241" s="121">
        <v>239</v>
      </c>
      <c r="B241" s="123" t="s">
        <v>14845</v>
      </c>
      <c r="C241" s="123" t="s">
        <v>14846</v>
      </c>
      <c r="D241" s="124" t="str">
        <f t="shared" si="3"/>
        <v>MPHUSDT</v>
      </c>
      <c r="E241" s="125" t="e">
        <f ca="1">VLOOKUP(D241,'Курсы Бинанса'!B:C,2,FALSE)</f>
        <v>#N/A</v>
      </c>
    </row>
    <row r="242" spans="1:5">
      <c r="A242" s="121">
        <v>240</v>
      </c>
      <c r="B242" s="123" t="s">
        <v>14847</v>
      </c>
      <c r="C242" s="123" t="s">
        <v>14848</v>
      </c>
      <c r="D242" s="124" t="str">
        <f t="shared" si="3"/>
        <v>RLCUSDT</v>
      </c>
      <c r="E242" s="125" t="e">
        <f ca="1">VLOOKUP(D242,'Курсы Бинанса'!B:C,2,FALSE)</f>
        <v>#N/A</v>
      </c>
    </row>
    <row r="243" spans="1:5">
      <c r="A243" s="121">
        <v>241</v>
      </c>
      <c r="B243" s="123" t="s">
        <v>14849</v>
      </c>
      <c r="C243" s="123" t="s">
        <v>14850</v>
      </c>
      <c r="D243" s="124" t="str">
        <f t="shared" si="3"/>
        <v>CELOUSDT</v>
      </c>
      <c r="E243" s="125" t="e">
        <f ca="1">VLOOKUP(D243,'Курсы Бинанса'!B:C,2,FALSE)</f>
        <v>#N/A</v>
      </c>
    </row>
    <row r="244" spans="1:5">
      <c r="A244" s="121">
        <v>242</v>
      </c>
      <c r="B244" s="123" t="s">
        <v>14851</v>
      </c>
      <c r="C244" s="123" t="s">
        <v>14852</v>
      </c>
      <c r="D244" s="124" t="str">
        <f t="shared" si="3"/>
        <v>INFSUSDT</v>
      </c>
      <c r="E244" s="125" t="e">
        <f ca="1">VLOOKUP(D244,'Курсы Бинанса'!B:C,2,FALSE)</f>
        <v>#N/A</v>
      </c>
    </row>
    <row r="245" spans="1:5">
      <c r="A245" s="121">
        <v>243</v>
      </c>
      <c r="B245" s="123" t="s">
        <v>14853</v>
      </c>
      <c r="C245" s="123" t="s">
        <v>14854</v>
      </c>
      <c r="D245" s="124" t="str">
        <f t="shared" si="3"/>
        <v>METUSDT</v>
      </c>
      <c r="E245" s="125" t="e">
        <f ca="1">VLOOKUP(D245,'Курсы Бинанса'!B:C,2,FALSE)</f>
        <v>#N/A</v>
      </c>
    </row>
    <row r="246" spans="1:5">
      <c r="A246" s="121">
        <v>244</v>
      </c>
      <c r="B246" s="123" t="s">
        <v>14855</v>
      </c>
      <c r="C246" s="123" t="s">
        <v>14856</v>
      </c>
      <c r="D246" s="124" t="str">
        <f t="shared" si="3"/>
        <v>XTZUSDT</v>
      </c>
      <c r="E246" s="125" t="e">
        <f ca="1">VLOOKUP(D246,'Курсы Бинанса'!B:C,2,FALSE)</f>
        <v>#N/A</v>
      </c>
    </row>
    <row r="247" spans="1:5">
      <c r="A247" s="121">
        <v>245</v>
      </c>
      <c r="B247" s="123" t="s">
        <v>14857</v>
      </c>
      <c r="C247" s="123" t="s">
        <v>14858</v>
      </c>
      <c r="D247" s="124" t="str">
        <f t="shared" si="3"/>
        <v>SNOWUSDT</v>
      </c>
      <c r="E247" s="125" t="e">
        <f ca="1">VLOOKUP(D247,'Курсы Бинанса'!B:C,2,FALSE)</f>
        <v>#N/A</v>
      </c>
    </row>
    <row r="248" spans="1:5">
      <c r="A248" s="121">
        <v>246</v>
      </c>
      <c r="B248" s="123" t="s">
        <v>14859</v>
      </c>
      <c r="C248" s="123" t="s">
        <v>14860</v>
      </c>
      <c r="D248" s="124" t="str">
        <f t="shared" si="3"/>
        <v>AKTUSDT</v>
      </c>
      <c r="E248" s="125" t="e">
        <f ca="1">VLOOKUP(D248,'Курсы Бинанса'!B:C,2,FALSE)</f>
        <v>#N/A</v>
      </c>
    </row>
    <row r="249" spans="1:5">
      <c r="A249" s="121">
        <v>247</v>
      </c>
      <c r="B249" s="123" t="s">
        <v>14861</v>
      </c>
      <c r="C249" s="123" t="s">
        <v>14862</v>
      </c>
      <c r="D249" s="124" t="str">
        <f t="shared" si="3"/>
        <v>SFDUSDT</v>
      </c>
      <c r="E249" s="125" t="e">
        <f ca="1">VLOOKUP(D249,'Курсы Бинанса'!B:C,2,FALSE)</f>
        <v>#N/A</v>
      </c>
    </row>
    <row r="250" spans="1:5">
      <c r="A250" s="121">
        <v>248</v>
      </c>
      <c r="B250" s="123" t="s">
        <v>14863</v>
      </c>
      <c r="C250" s="123" t="s">
        <v>14864</v>
      </c>
      <c r="D250" s="124" t="str">
        <f t="shared" si="3"/>
        <v>C20USDT</v>
      </c>
      <c r="E250" s="125" t="e">
        <f ca="1">VLOOKUP(D250,'Курсы Бинанса'!B:C,2,FALSE)</f>
        <v>#N/A</v>
      </c>
    </row>
    <row r="251" spans="1:5">
      <c r="A251" s="121">
        <v>249</v>
      </c>
      <c r="B251" s="123" t="s">
        <v>14865</v>
      </c>
      <c r="C251" s="123" t="s">
        <v>14866</v>
      </c>
      <c r="D251" s="124" t="str">
        <f t="shared" si="3"/>
        <v>LSKUSDT</v>
      </c>
      <c r="E251" s="125" t="e">
        <f ca="1">VLOOKUP(D251,'Курсы Бинанса'!B:C,2,FALSE)</f>
        <v>#N/A</v>
      </c>
    </row>
    <row r="252" spans="1:5">
      <c r="A252" s="121">
        <v>250</v>
      </c>
      <c r="B252" s="123" t="s">
        <v>14867</v>
      </c>
      <c r="C252" s="123" t="s">
        <v>14868</v>
      </c>
      <c r="D252" s="124" t="str">
        <f t="shared" si="3"/>
        <v>LONUSDT</v>
      </c>
      <c r="E252" s="125" t="e">
        <f ca="1">VLOOKUP(D252,'Курсы Бинанса'!B:C,2,FALSE)</f>
        <v>#N/A</v>
      </c>
    </row>
    <row r="253" spans="1:5">
      <c r="A253" s="121">
        <v>251</v>
      </c>
      <c r="B253" s="123" t="s">
        <v>14869</v>
      </c>
      <c r="C253" s="123" t="s">
        <v>14870</v>
      </c>
      <c r="D253" s="124" t="str">
        <f t="shared" si="3"/>
        <v>WIZUSDT</v>
      </c>
      <c r="E253" s="125" t="e">
        <f ca="1">VLOOKUP(D253,'Курсы Бинанса'!B:C,2,FALSE)</f>
        <v>#N/A</v>
      </c>
    </row>
    <row r="254" spans="1:5">
      <c r="A254" s="121">
        <v>252</v>
      </c>
      <c r="B254" s="123" t="s">
        <v>14871</v>
      </c>
      <c r="C254" s="123" t="s">
        <v>14872</v>
      </c>
      <c r="D254" s="124" t="str">
        <f t="shared" si="3"/>
        <v>1INCHUSDT</v>
      </c>
      <c r="E254" s="125" t="e">
        <f ca="1">VLOOKUP(D254,'Курсы Бинанса'!B:C,2,FALSE)</f>
        <v>#N/A</v>
      </c>
    </row>
    <row r="255" spans="1:5">
      <c r="A255" s="121">
        <v>253</v>
      </c>
      <c r="B255" s="123" t="s">
        <v>14873</v>
      </c>
      <c r="C255" s="123" t="s">
        <v>14874</v>
      </c>
      <c r="D255" s="124" t="str">
        <f t="shared" si="3"/>
        <v>TOMOUSDT</v>
      </c>
      <c r="E255" s="125" t="e">
        <f ca="1">VLOOKUP(D255,'Курсы Бинанса'!B:C,2,FALSE)</f>
        <v>#N/A</v>
      </c>
    </row>
    <row r="256" spans="1:5">
      <c r="A256" s="121">
        <v>254</v>
      </c>
      <c r="B256" s="123" t="s">
        <v>14875</v>
      </c>
      <c r="C256" s="123" t="s">
        <v>14876</v>
      </c>
      <c r="D256" s="124" t="str">
        <f t="shared" si="3"/>
        <v>GVTUSDT</v>
      </c>
      <c r="E256" s="125" t="e">
        <f ca="1">VLOOKUP(D256,'Курсы Бинанса'!B:C,2,FALSE)</f>
        <v>#N/A</v>
      </c>
    </row>
    <row r="257" spans="1:5">
      <c r="A257" s="121">
        <v>255</v>
      </c>
      <c r="B257" s="123" t="s">
        <v>14877</v>
      </c>
      <c r="C257" s="123" t="s">
        <v>14878</v>
      </c>
      <c r="D257" s="124" t="str">
        <f t="shared" si="3"/>
        <v>GETUSDT</v>
      </c>
      <c r="E257" s="125" t="e">
        <f ca="1">VLOOKUP(D257,'Курсы Бинанса'!B:C,2,FALSE)</f>
        <v>#N/A</v>
      </c>
    </row>
    <row r="258" spans="1:5">
      <c r="A258" s="121">
        <v>256</v>
      </c>
      <c r="B258" s="123" t="s">
        <v>14879</v>
      </c>
      <c r="C258" s="123" t="s">
        <v>14878</v>
      </c>
      <c r="D258" s="124" t="str">
        <f t="shared" si="3"/>
        <v>GETUSDT</v>
      </c>
      <c r="E258" s="125" t="e">
        <f ca="1">VLOOKUP(D258,'Курсы Бинанса'!B:C,2,FALSE)</f>
        <v>#N/A</v>
      </c>
    </row>
    <row r="259" spans="1:5">
      <c r="A259" s="121">
        <v>257</v>
      </c>
      <c r="B259" s="123" t="s">
        <v>14880</v>
      </c>
      <c r="C259" s="123" t="s">
        <v>14881</v>
      </c>
      <c r="D259" s="124" t="str">
        <f t="shared" si="3"/>
        <v>ELAUSDT</v>
      </c>
      <c r="E259" s="125" t="e">
        <f ca="1">VLOOKUP(D259,'Курсы Бинанса'!B:C,2,FALSE)</f>
        <v>#N/A</v>
      </c>
    </row>
    <row r="260" spans="1:5">
      <c r="A260" s="121">
        <v>258</v>
      </c>
      <c r="B260" s="123" t="s">
        <v>14882</v>
      </c>
      <c r="C260" s="123" t="s">
        <v>14883</v>
      </c>
      <c r="D260" s="124" t="str">
        <f t="shared" si="3"/>
        <v>MTRGUSDT</v>
      </c>
      <c r="E260" s="125" t="e">
        <f ca="1">VLOOKUP(D260,'Курсы Бинанса'!B:C,2,FALSE)</f>
        <v>#N/A</v>
      </c>
    </row>
    <row r="261" spans="1:5">
      <c r="A261" s="121">
        <v>259</v>
      </c>
      <c r="B261" s="126" t="s">
        <v>14884</v>
      </c>
      <c r="C261" s="123" t="s">
        <v>14885</v>
      </c>
      <c r="D261" s="124" t="str">
        <f t="shared" si="3"/>
        <v>AVAUSDT</v>
      </c>
      <c r="E261" s="125" t="e">
        <f ca="1">VLOOKUP(D261,'Курсы Бинанса'!B:C,2,FALSE)</f>
        <v>#N/A</v>
      </c>
    </row>
    <row r="262" spans="1:5">
      <c r="A262" s="121">
        <v>260</v>
      </c>
      <c r="B262" s="123" t="s">
        <v>14886</v>
      </c>
      <c r="C262" s="123" t="s">
        <v>14887</v>
      </c>
      <c r="D262" s="124" t="str">
        <f t="shared" si="3"/>
        <v>VGXUSDT</v>
      </c>
      <c r="E262" s="125" t="e">
        <f ca="1">VLOOKUP(D262,'Курсы Бинанса'!B:C,2,FALSE)</f>
        <v>#N/A</v>
      </c>
    </row>
    <row r="263" spans="1:5">
      <c r="A263" s="121">
        <v>261</v>
      </c>
      <c r="B263" s="123" t="s">
        <v>14888</v>
      </c>
      <c r="C263" s="123" t="s">
        <v>14889</v>
      </c>
      <c r="D263" s="124" t="str">
        <f t="shared" si="3"/>
        <v>BNANAUSDT</v>
      </c>
      <c r="E263" s="125" t="e">
        <f ca="1">VLOOKUP(D263,'Курсы Бинанса'!B:C,2,FALSE)</f>
        <v>#N/A</v>
      </c>
    </row>
    <row r="264" spans="1:5">
      <c r="A264" s="121">
        <v>262</v>
      </c>
      <c r="B264" s="123" t="s">
        <v>14890</v>
      </c>
      <c r="C264" s="123" t="s">
        <v>14891</v>
      </c>
      <c r="D264" s="124" t="str">
        <f t="shared" si="3"/>
        <v>NEARUSDT</v>
      </c>
      <c r="E264" s="125" t="e">
        <f ca="1">VLOOKUP(D264,'Курсы Бинанса'!B:C,2,FALSE)</f>
        <v>#N/A</v>
      </c>
    </row>
    <row r="265" spans="1:5">
      <c r="A265" s="121">
        <v>263</v>
      </c>
      <c r="B265" s="123" t="s">
        <v>14892</v>
      </c>
      <c r="C265" s="123" t="s">
        <v>14893</v>
      </c>
      <c r="D265" s="124" t="str">
        <f t="shared" ref="D265:D328" si="4">CONCATENATE(C265,"USDT")</f>
        <v>DMDUSDT</v>
      </c>
      <c r="E265" s="125" t="e">
        <f ca="1">VLOOKUP(D265,'Курсы Бинанса'!B:C,2,FALSE)</f>
        <v>#N/A</v>
      </c>
    </row>
    <row r="266" spans="1:5">
      <c r="A266" s="121">
        <v>264</v>
      </c>
      <c r="B266" s="123" t="s">
        <v>14894</v>
      </c>
      <c r="C266" s="123" t="s">
        <v>14895</v>
      </c>
      <c r="D266" s="124" t="str">
        <f t="shared" si="4"/>
        <v>BCDUSDT</v>
      </c>
      <c r="E266" s="125" t="e">
        <f ca="1">VLOOKUP(D266,'Курсы Бинанса'!B:C,2,FALSE)</f>
        <v>#N/A</v>
      </c>
    </row>
    <row r="267" spans="1:5">
      <c r="A267" s="121">
        <v>265</v>
      </c>
      <c r="B267" s="123" t="s">
        <v>14896</v>
      </c>
      <c r="C267" s="123" t="s">
        <v>14897</v>
      </c>
      <c r="D267" s="124" t="str">
        <f t="shared" si="4"/>
        <v>HYUSDT</v>
      </c>
      <c r="E267" s="125" t="e">
        <f ca="1">VLOOKUP(D267,'Курсы Бинанса'!B:C,2,FALSE)</f>
        <v>#N/A</v>
      </c>
    </row>
    <row r="268" spans="1:5">
      <c r="A268" s="121">
        <v>266</v>
      </c>
      <c r="B268" s="123" t="s">
        <v>14898</v>
      </c>
      <c r="C268" s="123" t="s">
        <v>14899</v>
      </c>
      <c r="D268" s="124" t="str">
        <f t="shared" si="4"/>
        <v>ZANOUSDT</v>
      </c>
      <c r="E268" s="125" t="e">
        <f ca="1">VLOOKUP(D268,'Курсы Бинанса'!B:C,2,FALSE)</f>
        <v>#N/A</v>
      </c>
    </row>
    <row r="269" spans="1:5">
      <c r="A269" s="121">
        <v>267</v>
      </c>
      <c r="B269" s="123" t="s">
        <v>14900</v>
      </c>
      <c r="C269" s="123" t="s">
        <v>14901</v>
      </c>
      <c r="D269" s="124" t="str">
        <f t="shared" si="4"/>
        <v>BAKEUSDT</v>
      </c>
      <c r="E269" s="125" t="e">
        <f ca="1">VLOOKUP(D269,'Курсы Бинанса'!B:C,2,FALSE)</f>
        <v>#N/A</v>
      </c>
    </row>
    <row r="270" spans="1:5">
      <c r="A270" s="121">
        <v>268</v>
      </c>
      <c r="B270" s="123" t="s">
        <v>14902</v>
      </c>
      <c r="C270" s="123" t="s">
        <v>14903</v>
      </c>
      <c r="D270" s="124" t="str">
        <f t="shared" si="4"/>
        <v>JULUSDT</v>
      </c>
      <c r="E270" s="125" t="e">
        <f ca="1">VLOOKUP(D270,'Курсы Бинанса'!B:C,2,FALSE)</f>
        <v>#N/A</v>
      </c>
    </row>
    <row r="271" spans="1:5">
      <c r="A271" s="121">
        <v>269</v>
      </c>
      <c r="B271" s="123" t="s">
        <v>14904</v>
      </c>
      <c r="C271" s="123" t="s">
        <v>14905</v>
      </c>
      <c r="D271" s="124" t="str">
        <f t="shared" si="4"/>
        <v>POOLZUSDT</v>
      </c>
      <c r="E271" s="125" t="e">
        <f ca="1">VLOOKUP(D271,'Курсы Бинанса'!B:C,2,FALSE)</f>
        <v>#N/A</v>
      </c>
    </row>
    <row r="272" spans="1:5">
      <c r="A272" s="121">
        <v>270</v>
      </c>
      <c r="B272" s="123" t="s">
        <v>14906</v>
      </c>
      <c r="C272" s="123" t="s">
        <v>14907</v>
      </c>
      <c r="D272" s="124" t="str">
        <f t="shared" si="4"/>
        <v>STAXUSDT</v>
      </c>
      <c r="E272" s="125" t="e">
        <f ca="1">VLOOKUP(D272,'Курсы Бинанса'!B:C,2,FALSE)</f>
        <v>#N/A</v>
      </c>
    </row>
    <row r="273" spans="1:5">
      <c r="A273" s="121">
        <v>271</v>
      </c>
      <c r="B273" s="123" t="s">
        <v>14908</v>
      </c>
      <c r="C273" s="123" t="s">
        <v>14909</v>
      </c>
      <c r="D273" s="124" t="str">
        <f t="shared" si="4"/>
        <v>CLSUSDT</v>
      </c>
      <c r="E273" s="125" t="e">
        <f ca="1">VLOOKUP(D273,'Курсы Бинанса'!B:C,2,FALSE)</f>
        <v>#N/A</v>
      </c>
    </row>
    <row r="274" spans="1:5">
      <c r="A274" s="121">
        <v>272</v>
      </c>
      <c r="B274" s="123" t="s">
        <v>14910</v>
      </c>
      <c r="C274" s="123" t="s">
        <v>14911</v>
      </c>
      <c r="D274" s="124" t="str">
        <f t="shared" si="4"/>
        <v>PRCYUSDT</v>
      </c>
      <c r="E274" s="125" t="e">
        <f ca="1">VLOOKUP(D274,'Курсы Бинанса'!B:C,2,FALSE)</f>
        <v>#N/A</v>
      </c>
    </row>
    <row r="275" spans="1:5">
      <c r="A275" s="121">
        <v>273</v>
      </c>
      <c r="B275" s="123" t="s">
        <v>14912</v>
      </c>
      <c r="C275" s="123" t="s">
        <v>14913</v>
      </c>
      <c r="D275" s="124" t="str">
        <f t="shared" si="4"/>
        <v>SXPUSDT</v>
      </c>
      <c r="E275" s="125" t="e">
        <f ca="1">VLOOKUP(D275,'Курсы Бинанса'!B:C,2,FALSE)</f>
        <v>#N/A</v>
      </c>
    </row>
    <row r="276" spans="1:5">
      <c r="A276" s="121">
        <v>274</v>
      </c>
      <c r="B276" s="123" t="s">
        <v>14914</v>
      </c>
      <c r="C276" s="123" t="s">
        <v>14915</v>
      </c>
      <c r="D276" s="124" t="str">
        <f t="shared" si="4"/>
        <v>IQNUSDT</v>
      </c>
      <c r="E276" s="125" t="e">
        <f ca="1">VLOOKUP(D276,'Курсы Бинанса'!B:C,2,FALSE)</f>
        <v>#N/A</v>
      </c>
    </row>
    <row r="277" spans="1:5">
      <c r="A277" s="121">
        <v>275</v>
      </c>
      <c r="B277" s="123" t="s">
        <v>14916</v>
      </c>
      <c r="C277" s="123" t="s">
        <v>14917</v>
      </c>
      <c r="D277" s="124" t="str">
        <f t="shared" si="4"/>
        <v>MAHAUSDT</v>
      </c>
      <c r="E277" s="125" t="e">
        <f ca="1">VLOOKUP(D277,'Курсы Бинанса'!B:C,2,FALSE)</f>
        <v>#N/A</v>
      </c>
    </row>
    <row r="278" spans="1:5">
      <c r="A278" s="121">
        <v>276</v>
      </c>
      <c r="B278" s="123" t="s">
        <v>14918</v>
      </c>
      <c r="C278" s="123" t="s">
        <v>14919</v>
      </c>
      <c r="D278" s="124" t="str">
        <f t="shared" si="4"/>
        <v>DAWNUSDT</v>
      </c>
      <c r="E278" s="125" t="e">
        <f ca="1">VLOOKUP(D278,'Курсы Бинанса'!B:C,2,FALSE)</f>
        <v>#N/A</v>
      </c>
    </row>
    <row r="279" spans="1:5">
      <c r="A279" s="121">
        <v>277</v>
      </c>
      <c r="B279" s="123" t="s">
        <v>14920</v>
      </c>
      <c r="C279" s="123" t="s">
        <v>14921</v>
      </c>
      <c r="D279" s="124" t="str">
        <f t="shared" si="4"/>
        <v>PPTUSDT</v>
      </c>
      <c r="E279" s="125" t="e">
        <f ca="1">VLOOKUP(D279,'Курсы Бинанса'!B:C,2,FALSE)</f>
        <v>#N/A</v>
      </c>
    </row>
    <row r="280" spans="1:5">
      <c r="A280" s="121">
        <v>278</v>
      </c>
      <c r="B280" s="123" t="s">
        <v>14922</v>
      </c>
      <c r="C280" s="123" t="s">
        <v>14923</v>
      </c>
      <c r="D280" s="124" t="str">
        <f t="shared" si="4"/>
        <v>NUTSUSDT</v>
      </c>
      <c r="E280" s="125" t="e">
        <f ca="1">VLOOKUP(D280,'Курсы Бинанса'!B:C,2,FALSE)</f>
        <v>#N/A</v>
      </c>
    </row>
    <row r="281" spans="1:5">
      <c r="A281" s="121">
        <v>279</v>
      </c>
      <c r="B281" s="123" t="s">
        <v>14924</v>
      </c>
      <c r="C281" s="123" t="s">
        <v>14925</v>
      </c>
      <c r="D281" s="124" t="str">
        <f t="shared" si="4"/>
        <v>EBRHUSDT</v>
      </c>
      <c r="E281" s="125" t="e">
        <f ca="1">VLOOKUP(D281,'Курсы Бинанса'!B:C,2,FALSE)</f>
        <v>#N/A</v>
      </c>
    </row>
    <row r="282" spans="1:5">
      <c r="A282" s="121">
        <v>280</v>
      </c>
      <c r="B282" s="123" t="s">
        <v>14926</v>
      </c>
      <c r="C282" s="123" t="s">
        <v>14927</v>
      </c>
      <c r="D282" s="124" t="str">
        <f t="shared" si="4"/>
        <v>YBOUSDT</v>
      </c>
      <c r="E282" s="125" t="e">
        <f ca="1">VLOOKUP(D282,'Курсы Бинанса'!B:C,2,FALSE)</f>
        <v>#N/A</v>
      </c>
    </row>
    <row r="283" spans="1:5">
      <c r="A283" s="121">
        <v>281</v>
      </c>
      <c r="B283" s="123" t="s">
        <v>14928</v>
      </c>
      <c r="C283" s="123" t="s">
        <v>14929</v>
      </c>
      <c r="D283" s="124" t="str">
        <f t="shared" si="4"/>
        <v>MTLUSDT</v>
      </c>
      <c r="E283" s="125" t="e">
        <f ca="1">VLOOKUP(D283,'Курсы Бинанса'!B:C,2,FALSE)</f>
        <v>#N/A</v>
      </c>
    </row>
    <row r="284" spans="1:5">
      <c r="A284" s="121">
        <v>282</v>
      </c>
      <c r="B284" s="123" t="s">
        <v>14930</v>
      </c>
      <c r="C284" s="123" t="s">
        <v>14931</v>
      </c>
      <c r="D284" s="124" t="str">
        <f t="shared" si="4"/>
        <v>BHDUSDT</v>
      </c>
      <c r="E284" s="125" t="e">
        <f ca="1">VLOOKUP(D284,'Курсы Бинанса'!B:C,2,FALSE)</f>
        <v>#N/A</v>
      </c>
    </row>
    <row r="285" spans="1:5">
      <c r="A285" s="121">
        <v>283</v>
      </c>
      <c r="B285" s="123" t="s">
        <v>14932</v>
      </c>
      <c r="C285" s="123" t="s">
        <v>14933</v>
      </c>
      <c r="D285" s="124" t="str">
        <f t="shared" si="4"/>
        <v>STRAXUSDT</v>
      </c>
      <c r="E285" s="125" t="e">
        <f ca="1">VLOOKUP(D285,'Курсы Бинанса'!B:C,2,FALSE)</f>
        <v>#N/A</v>
      </c>
    </row>
    <row r="286" spans="1:5">
      <c r="A286" s="121">
        <v>284</v>
      </c>
      <c r="B286" s="123" t="s">
        <v>14934</v>
      </c>
      <c r="C286" s="123" t="s">
        <v>14935</v>
      </c>
      <c r="D286" s="124" t="str">
        <f t="shared" si="4"/>
        <v>BLCTUSDT</v>
      </c>
      <c r="E286" s="125" t="e">
        <f ca="1">VLOOKUP(D286,'Курсы Бинанса'!B:C,2,FALSE)</f>
        <v>#N/A</v>
      </c>
    </row>
    <row r="287" spans="1:5">
      <c r="A287" s="121">
        <v>285</v>
      </c>
      <c r="B287" s="123" t="s">
        <v>14936</v>
      </c>
      <c r="C287" s="123" t="s">
        <v>14937</v>
      </c>
      <c r="D287" s="124" t="str">
        <f t="shared" si="4"/>
        <v>OPIUMUSDT</v>
      </c>
      <c r="E287" s="125" t="e">
        <f ca="1">VLOOKUP(D287,'Курсы Бинанса'!B:C,2,FALSE)</f>
        <v>#N/A</v>
      </c>
    </row>
    <row r="288" spans="1:5">
      <c r="A288" s="121">
        <v>286</v>
      </c>
      <c r="B288" s="123" t="s">
        <v>14938</v>
      </c>
      <c r="C288" s="123" t="s">
        <v>14938</v>
      </c>
      <c r="D288" s="124" t="str">
        <f t="shared" si="4"/>
        <v>BOMBUSDT</v>
      </c>
      <c r="E288" s="125" t="e">
        <f ca="1">VLOOKUP(D288,'Курсы Бинанса'!B:C,2,FALSE)</f>
        <v>#N/A</v>
      </c>
    </row>
    <row r="289" spans="1:5">
      <c r="A289" s="121">
        <v>287</v>
      </c>
      <c r="B289" s="123" t="s">
        <v>14939</v>
      </c>
      <c r="C289" s="123" t="s">
        <v>14940</v>
      </c>
      <c r="D289" s="124" t="str">
        <f t="shared" si="4"/>
        <v>PYRUSDT</v>
      </c>
      <c r="E289" s="125" t="e">
        <f ca="1">VLOOKUP(D289,'Курсы Бинанса'!B:C,2,FALSE)</f>
        <v>#N/A</v>
      </c>
    </row>
    <row r="290" spans="1:5">
      <c r="A290" s="121">
        <v>288</v>
      </c>
      <c r="B290" s="123" t="s">
        <v>14941</v>
      </c>
      <c r="C290" s="123" t="s">
        <v>14942</v>
      </c>
      <c r="D290" s="124" t="str">
        <f t="shared" si="4"/>
        <v>NEXOUSDT</v>
      </c>
      <c r="E290" s="125" t="e">
        <f ca="1">VLOOKUP(D290,'Курсы Бинанса'!B:C,2,FALSE)</f>
        <v>#N/A</v>
      </c>
    </row>
    <row r="291" spans="1:5">
      <c r="A291" s="121">
        <v>289</v>
      </c>
      <c r="B291" s="123" t="s">
        <v>14943</v>
      </c>
      <c r="C291" s="123" t="s">
        <v>14944</v>
      </c>
      <c r="D291" s="124" t="str">
        <f t="shared" si="4"/>
        <v>OXBUSDT</v>
      </c>
      <c r="E291" s="125" t="e">
        <f ca="1">VLOOKUP(D291,'Курсы Бинанса'!B:C,2,FALSE)</f>
        <v>#N/A</v>
      </c>
    </row>
    <row r="292" spans="1:5">
      <c r="A292" s="121">
        <v>290</v>
      </c>
      <c r="B292" s="123" t="s">
        <v>14945</v>
      </c>
      <c r="C292" s="123" t="s">
        <v>14946</v>
      </c>
      <c r="D292" s="124" t="str">
        <f t="shared" si="4"/>
        <v>QBITUSDT</v>
      </c>
      <c r="E292" s="125" t="e">
        <f ca="1">VLOOKUP(D292,'Курсы Бинанса'!B:C,2,FALSE)</f>
        <v>#N/A</v>
      </c>
    </row>
    <row r="293" spans="1:5">
      <c r="A293" s="121">
        <v>291</v>
      </c>
      <c r="B293" s="123" t="s">
        <v>14947</v>
      </c>
      <c r="C293" s="123" t="s">
        <v>14948</v>
      </c>
      <c r="D293" s="124" t="str">
        <f t="shared" si="4"/>
        <v>NRGUSDT</v>
      </c>
      <c r="E293" s="125" t="e">
        <f ca="1">VLOOKUP(D293,'Курсы Бинанса'!B:C,2,FALSE)</f>
        <v>#N/A</v>
      </c>
    </row>
    <row r="294" spans="1:5">
      <c r="A294" s="121">
        <v>292</v>
      </c>
      <c r="B294" s="123" t="s">
        <v>14949</v>
      </c>
      <c r="C294" s="123" t="s">
        <v>14950</v>
      </c>
      <c r="D294" s="124" t="str">
        <f t="shared" si="4"/>
        <v>AWCUSDT</v>
      </c>
      <c r="E294" s="125" t="e">
        <f ca="1">VLOOKUP(D294,'Курсы Бинанса'!B:C,2,FALSE)</f>
        <v>#N/A</v>
      </c>
    </row>
    <row r="295" spans="1:5">
      <c r="A295" s="121">
        <v>293</v>
      </c>
      <c r="B295" s="123" t="s">
        <v>14951</v>
      </c>
      <c r="C295" s="123" t="s">
        <v>14952</v>
      </c>
      <c r="D295" s="124" t="str">
        <f t="shared" si="4"/>
        <v>DAOUSDT</v>
      </c>
      <c r="E295" s="125" t="e">
        <f ca="1">VLOOKUP(D295,'Курсы Бинанса'!B:C,2,FALSE)</f>
        <v>#N/A</v>
      </c>
    </row>
    <row r="296" spans="1:5">
      <c r="A296" s="121">
        <v>294</v>
      </c>
      <c r="B296" s="123" t="s">
        <v>14953</v>
      </c>
      <c r="C296" s="123" t="s">
        <v>14954</v>
      </c>
      <c r="D296" s="124" t="str">
        <f t="shared" si="4"/>
        <v>PARTUSDT</v>
      </c>
      <c r="E296" s="125" t="e">
        <f ca="1">VLOOKUP(D296,'Курсы Бинанса'!B:C,2,FALSE)</f>
        <v>#N/A</v>
      </c>
    </row>
    <row r="297" spans="1:5">
      <c r="A297" s="121">
        <v>295</v>
      </c>
      <c r="B297" s="123" t="s">
        <v>14955</v>
      </c>
      <c r="C297" s="123" t="s">
        <v>14956</v>
      </c>
      <c r="D297" s="124" t="str">
        <f t="shared" si="4"/>
        <v>RAEUSDT</v>
      </c>
      <c r="E297" s="125" t="e">
        <f ca="1">VLOOKUP(D297,'Курсы Бинанса'!B:C,2,FALSE)</f>
        <v>#N/A</v>
      </c>
    </row>
    <row r="298" spans="1:5">
      <c r="A298" s="121">
        <v>296</v>
      </c>
      <c r="B298" s="123" t="s">
        <v>14957</v>
      </c>
      <c r="C298" s="123" t="s">
        <v>14958</v>
      </c>
      <c r="D298" s="124" t="str">
        <f t="shared" si="4"/>
        <v>TKOUSDT</v>
      </c>
      <c r="E298" s="125" t="e">
        <f ca="1">VLOOKUP(D298,'Курсы Бинанса'!B:C,2,FALSE)</f>
        <v>#N/A</v>
      </c>
    </row>
    <row r="299" spans="1:5">
      <c r="A299" s="121">
        <v>297</v>
      </c>
      <c r="B299" s="123" t="s">
        <v>14959</v>
      </c>
      <c r="C299" s="123" t="s">
        <v>14959</v>
      </c>
      <c r="D299" s="124" t="str">
        <f t="shared" si="4"/>
        <v>DIAUSDT</v>
      </c>
      <c r="E299" s="125" t="e">
        <f ca="1">VLOOKUP(D299,'Курсы Бинанса'!B:C,2,FALSE)</f>
        <v>#N/A</v>
      </c>
    </row>
    <row r="300" spans="1:5">
      <c r="A300" s="121">
        <v>298</v>
      </c>
      <c r="B300" s="123" t="s">
        <v>14960</v>
      </c>
      <c r="C300" s="123" t="s">
        <v>14961</v>
      </c>
      <c r="D300" s="124" t="str">
        <f t="shared" si="4"/>
        <v>ANYUSDT</v>
      </c>
      <c r="E300" s="125" t="e">
        <f ca="1">VLOOKUP(D300,'Курсы Бинанса'!B:C,2,FALSE)</f>
        <v>#N/A</v>
      </c>
    </row>
    <row r="301" spans="1:5">
      <c r="A301" s="121">
        <v>299</v>
      </c>
      <c r="B301" s="123" t="s">
        <v>14962</v>
      </c>
      <c r="C301" s="123" t="s">
        <v>14963</v>
      </c>
      <c r="D301" s="124" t="str">
        <f t="shared" si="4"/>
        <v>MARKUSDT</v>
      </c>
      <c r="E301" s="125" t="e">
        <f ca="1">VLOOKUP(D301,'Курсы Бинанса'!B:C,2,FALSE)</f>
        <v>#N/A</v>
      </c>
    </row>
    <row r="302" spans="1:5">
      <c r="A302" s="121">
        <v>300</v>
      </c>
      <c r="B302" s="123" t="s">
        <v>14964</v>
      </c>
      <c r="C302" s="123" t="s">
        <v>14965</v>
      </c>
      <c r="D302" s="124" t="str">
        <f t="shared" si="4"/>
        <v>CLVAUSDT</v>
      </c>
      <c r="E302" s="125" t="e">
        <f ca="1">VLOOKUP(D302,'Курсы Бинанса'!B:C,2,FALSE)</f>
        <v>#N/A</v>
      </c>
    </row>
    <row r="303" spans="1:5">
      <c r="A303" s="121">
        <v>301</v>
      </c>
      <c r="B303" s="123" t="s">
        <v>14966</v>
      </c>
      <c r="C303" s="123" t="s">
        <v>14967</v>
      </c>
      <c r="D303" s="124" t="str">
        <f t="shared" si="4"/>
        <v>EASYUSDT</v>
      </c>
      <c r="E303" s="125" t="e">
        <f ca="1">VLOOKUP(D303,'Курсы Бинанса'!B:C,2,FALSE)</f>
        <v>#N/A</v>
      </c>
    </row>
    <row r="304" spans="1:5">
      <c r="A304" s="121">
        <v>302</v>
      </c>
      <c r="B304" s="123" t="s">
        <v>14968</v>
      </c>
      <c r="C304" s="123" t="s">
        <v>14969</v>
      </c>
      <c r="D304" s="124" t="str">
        <f t="shared" si="4"/>
        <v>BASEUSDT</v>
      </c>
      <c r="E304" s="125" t="e">
        <f ca="1">VLOOKUP(D304,'Курсы Бинанса'!B:C,2,FALSE)</f>
        <v>#N/A</v>
      </c>
    </row>
    <row r="305" spans="1:5">
      <c r="A305" s="121">
        <v>303</v>
      </c>
      <c r="B305" s="123" t="s">
        <v>14970</v>
      </c>
      <c r="C305" s="123" t="s">
        <v>14971</v>
      </c>
      <c r="D305" s="124" t="str">
        <f t="shared" si="4"/>
        <v>AUDIOUSDT</v>
      </c>
      <c r="E305" s="125" t="e">
        <f ca="1">VLOOKUP(D305,'Курсы Бинанса'!B:C,2,FALSE)</f>
        <v>#N/A</v>
      </c>
    </row>
    <row r="306" spans="1:5">
      <c r="A306" s="121">
        <v>304</v>
      </c>
      <c r="B306" s="123" t="s">
        <v>14972</v>
      </c>
      <c r="C306" s="123" t="s">
        <v>14973</v>
      </c>
      <c r="D306" s="124" t="str">
        <f t="shared" si="4"/>
        <v>MATICUSDT</v>
      </c>
      <c r="E306" s="125" t="e">
        <f ca="1">VLOOKUP(D306,'Курсы Бинанса'!B:C,2,FALSE)</f>
        <v>#N/A</v>
      </c>
    </row>
    <row r="307" spans="1:5">
      <c r="A307" s="121">
        <v>305</v>
      </c>
      <c r="B307" s="123" t="s">
        <v>14974</v>
      </c>
      <c r="C307" s="123" t="s">
        <v>14975</v>
      </c>
      <c r="D307" s="124" t="str">
        <f t="shared" si="4"/>
        <v>RTHUSDT</v>
      </c>
      <c r="E307" s="125" t="e">
        <f ca="1">VLOOKUP(D307,'Курсы Бинанса'!B:C,2,FALSE)</f>
        <v>#N/A</v>
      </c>
    </row>
    <row r="308" spans="1:5">
      <c r="A308" s="121">
        <v>306</v>
      </c>
      <c r="B308" s="123" t="s">
        <v>14976</v>
      </c>
      <c r="C308" s="123" t="s">
        <v>14977</v>
      </c>
      <c r="D308" s="124" t="str">
        <f t="shared" si="4"/>
        <v>NORDUSDT</v>
      </c>
      <c r="E308" s="125" t="e">
        <f ca="1">VLOOKUP(D308,'Курсы Бинанса'!B:C,2,FALSE)</f>
        <v>#N/A</v>
      </c>
    </row>
    <row r="309" spans="1:5">
      <c r="A309" s="121">
        <v>307</v>
      </c>
      <c r="B309" s="123" t="s">
        <v>14978</v>
      </c>
      <c r="C309" s="123" t="s">
        <v>14979</v>
      </c>
      <c r="D309" s="124" t="str">
        <f t="shared" si="4"/>
        <v>SDTUSDT</v>
      </c>
      <c r="E309" s="125" t="e">
        <f ca="1">VLOOKUP(D309,'Курсы Бинанса'!B:C,2,FALSE)</f>
        <v>#N/A</v>
      </c>
    </row>
    <row r="310" spans="1:5">
      <c r="A310" s="121">
        <v>308</v>
      </c>
      <c r="B310" s="123" t="s">
        <v>14980</v>
      </c>
      <c r="C310" s="123" t="s">
        <v>14981</v>
      </c>
      <c r="D310" s="124" t="str">
        <f t="shared" si="4"/>
        <v>NMCUSDT</v>
      </c>
      <c r="E310" s="125" t="e">
        <f ca="1">VLOOKUP(D310,'Курсы Бинанса'!B:C,2,FALSE)</f>
        <v>#N/A</v>
      </c>
    </row>
    <row r="311" spans="1:5">
      <c r="A311" s="121">
        <v>309</v>
      </c>
      <c r="B311" s="123" t="s">
        <v>14982</v>
      </c>
      <c r="C311" s="123" t="s">
        <v>14983</v>
      </c>
      <c r="D311" s="124" t="str">
        <f t="shared" si="4"/>
        <v>ADAUSDT</v>
      </c>
      <c r="E311" s="125" t="e">
        <f ca="1">VLOOKUP(D311,'Курсы Бинанса'!B:C,2,FALSE)</f>
        <v>#N/A</v>
      </c>
    </row>
    <row r="312" spans="1:5">
      <c r="A312" s="121">
        <v>310</v>
      </c>
      <c r="B312" s="123" t="s">
        <v>14984</v>
      </c>
      <c r="C312" s="123" t="s">
        <v>14985</v>
      </c>
      <c r="D312" s="124" t="str">
        <f t="shared" si="4"/>
        <v>ENJUSDT</v>
      </c>
      <c r="E312" s="125" t="e">
        <f ca="1">VLOOKUP(D312,'Курсы Бинанса'!B:C,2,FALSE)</f>
        <v>#N/A</v>
      </c>
    </row>
    <row r="313" spans="1:5">
      <c r="A313" s="121">
        <v>311</v>
      </c>
      <c r="B313" s="123" t="s">
        <v>14986</v>
      </c>
      <c r="C313" s="123" t="s">
        <v>14987</v>
      </c>
      <c r="D313" s="124" t="str">
        <f t="shared" si="4"/>
        <v>MONAUSDT</v>
      </c>
      <c r="E313" s="125" t="e">
        <f ca="1">VLOOKUP(D313,'Курсы Бинанса'!B:C,2,FALSE)</f>
        <v>#N/A</v>
      </c>
    </row>
    <row r="314" spans="1:5">
      <c r="A314" s="121">
        <v>312</v>
      </c>
      <c r="B314" s="123" t="s">
        <v>14988</v>
      </c>
      <c r="C314" s="123" t="s">
        <v>14987</v>
      </c>
      <c r="D314" s="124" t="str">
        <f t="shared" si="4"/>
        <v>MONAUSDT</v>
      </c>
      <c r="E314" s="125" t="e">
        <f ca="1">VLOOKUP(D314,'Курсы Бинанса'!B:C,2,FALSE)</f>
        <v>#N/A</v>
      </c>
    </row>
    <row r="315" spans="1:5">
      <c r="A315" s="121">
        <v>313</v>
      </c>
      <c r="B315" s="123" t="s">
        <v>14989</v>
      </c>
      <c r="C315" s="123" t="s">
        <v>14990</v>
      </c>
      <c r="D315" s="124" t="str">
        <f t="shared" si="4"/>
        <v>UBTUSDT</v>
      </c>
      <c r="E315" s="125" t="e">
        <f ca="1">VLOOKUP(D315,'Курсы Бинанса'!B:C,2,FALSE)</f>
        <v>#N/A</v>
      </c>
    </row>
    <row r="316" spans="1:5">
      <c r="A316" s="121">
        <v>314</v>
      </c>
      <c r="B316" s="123" t="s">
        <v>14991</v>
      </c>
      <c r="C316" s="123" t="s">
        <v>14992</v>
      </c>
      <c r="D316" s="124" t="str">
        <f t="shared" si="4"/>
        <v>HOMIUSDT</v>
      </c>
      <c r="E316" s="125" t="e">
        <f ca="1">VLOOKUP(D316,'Курсы Бинанса'!B:C,2,FALSE)</f>
        <v>#N/A</v>
      </c>
    </row>
    <row r="317" spans="1:5">
      <c r="A317" s="121">
        <v>315</v>
      </c>
      <c r="B317" s="123" t="s">
        <v>14993</v>
      </c>
      <c r="C317" s="123" t="s">
        <v>14994</v>
      </c>
      <c r="D317" s="124" t="str">
        <f t="shared" si="4"/>
        <v>MARSHUSDT</v>
      </c>
      <c r="E317" s="125" t="e">
        <f ca="1">VLOOKUP(D317,'Курсы Бинанса'!B:C,2,FALSE)</f>
        <v>#N/A</v>
      </c>
    </row>
    <row r="318" spans="1:5">
      <c r="A318" s="121">
        <v>316</v>
      </c>
      <c r="B318" s="123" t="s">
        <v>14995</v>
      </c>
      <c r="C318" s="123" t="s">
        <v>14995</v>
      </c>
      <c r="D318" s="124" t="str">
        <f t="shared" si="4"/>
        <v>DODOUSDT</v>
      </c>
      <c r="E318" s="125" t="e">
        <f ca="1">VLOOKUP(D318,'Курсы Бинанса'!B:C,2,FALSE)</f>
        <v>#N/A</v>
      </c>
    </row>
    <row r="319" spans="1:5">
      <c r="A319" s="121">
        <v>317</v>
      </c>
      <c r="B319" s="123" t="s">
        <v>14996</v>
      </c>
      <c r="C319" s="123" t="s">
        <v>14997</v>
      </c>
      <c r="D319" s="124" t="str">
        <f t="shared" si="4"/>
        <v>MINAUSDT</v>
      </c>
      <c r="E319" s="125" t="e">
        <f ca="1">VLOOKUP(D319,'Курсы Бинанса'!B:C,2,FALSE)</f>
        <v>#N/A</v>
      </c>
    </row>
    <row r="320" spans="1:5">
      <c r="A320" s="121">
        <v>318</v>
      </c>
      <c r="B320" s="123" t="s">
        <v>14998</v>
      </c>
      <c r="C320" s="123" t="s">
        <v>14999</v>
      </c>
      <c r="D320" s="124" t="str">
        <f t="shared" si="4"/>
        <v>BELUSDT</v>
      </c>
      <c r="E320" s="125" t="e">
        <f ca="1">VLOOKUP(D320,'Курсы Бинанса'!B:C,2,FALSE)</f>
        <v>#N/A</v>
      </c>
    </row>
    <row r="321" spans="1:5">
      <c r="A321" s="121">
        <v>319</v>
      </c>
      <c r="B321" s="123" t="s">
        <v>15000</v>
      </c>
      <c r="C321" s="123" t="s">
        <v>15001</v>
      </c>
      <c r="D321" s="124" t="str">
        <f t="shared" si="4"/>
        <v>XNCUSDT</v>
      </c>
      <c r="E321" s="125" t="e">
        <f ca="1">VLOOKUP(D321,'Курсы Бинанса'!B:C,2,FALSE)</f>
        <v>#N/A</v>
      </c>
    </row>
    <row r="322" spans="1:5">
      <c r="A322" s="121">
        <v>320</v>
      </c>
      <c r="B322" s="123" t="s">
        <v>15002</v>
      </c>
      <c r="C322" s="123" t="s">
        <v>15003</v>
      </c>
      <c r="D322" s="124" t="str">
        <f t="shared" si="4"/>
        <v>FCTUSDT</v>
      </c>
      <c r="E322" s="125" t="e">
        <f ca="1">VLOOKUP(D322,'Курсы Бинанса'!B:C,2,FALSE)</f>
        <v>#N/A</v>
      </c>
    </row>
    <row r="323" spans="1:5">
      <c r="A323" s="121">
        <v>321</v>
      </c>
      <c r="B323" s="123" t="s">
        <v>15004</v>
      </c>
      <c r="C323" s="123" t="s">
        <v>15003</v>
      </c>
      <c r="D323" s="124" t="str">
        <f t="shared" si="4"/>
        <v>FCTUSDT</v>
      </c>
      <c r="E323" s="125" t="e">
        <f ca="1">VLOOKUP(D323,'Курсы Бинанса'!B:C,2,FALSE)</f>
        <v>#N/A</v>
      </c>
    </row>
    <row r="324" spans="1:5">
      <c r="A324" s="121">
        <v>322</v>
      </c>
      <c r="B324" s="123" t="s">
        <v>15005</v>
      </c>
      <c r="C324" s="123" t="s">
        <v>15006</v>
      </c>
      <c r="D324" s="124" t="str">
        <f t="shared" si="4"/>
        <v>EURSUSDT</v>
      </c>
      <c r="E324" s="125" t="e">
        <f ca="1">VLOOKUP(D324,'Курсы Бинанса'!B:C,2,FALSE)</f>
        <v>#N/A</v>
      </c>
    </row>
    <row r="325" spans="1:5">
      <c r="A325" s="121">
        <v>323</v>
      </c>
      <c r="B325" s="123" t="s">
        <v>15007</v>
      </c>
      <c r="C325" s="123" t="s">
        <v>15008</v>
      </c>
      <c r="D325" s="124" t="str">
        <f t="shared" si="4"/>
        <v>TRYUSDT</v>
      </c>
      <c r="E325" s="125" t="e">
        <f ca="1">VLOOKUP(D325,'Курсы Бинанса'!B:C,2,FALSE)</f>
        <v>#N/A</v>
      </c>
    </row>
    <row r="326" spans="1:5">
      <c r="A326" s="121">
        <v>324</v>
      </c>
      <c r="B326" s="123" t="s">
        <v>15009</v>
      </c>
      <c r="C326" s="123" t="s">
        <v>15010</v>
      </c>
      <c r="D326" s="124" t="str">
        <f t="shared" si="4"/>
        <v>RIOUSDT</v>
      </c>
      <c r="E326" s="125" t="e">
        <f ca="1">VLOOKUP(D326,'Курсы Бинанса'!B:C,2,FALSE)</f>
        <v>#N/A</v>
      </c>
    </row>
    <row r="327" spans="1:5">
      <c r="A327" s="121">
        <v>325</v>
      </c>
      <c r="B327" s="123" t="s">
        <v>15011</v>
      </c>
      <c r="C327" s="123" t="s">
        <v>15012</v>
      </c>
      <c r="D327" s="124" t="str">
        <f t="shared" si="4"/>
        <v>BHAOUSDT</v>
      </c>
      <c r="E327" s="125" t="e">
        <f ca="1">VLOOKUP(D327,'Курсы Бинанса'!B:C,2,FALSE)</f>
        <v>#N/A</v>
      </c>
    </row>
    <row r="328" spans="1:5">
      <c r="A328" s="121">
        <v>326</v>
      </c>
      <c r="B328" s="123" t="s">
        <v>15013</v>
      </c>
      <c r="C328" s="123" t="s">
        <v>15014</v>
      </c>
      <c r="D328" s="124" t="str">
        <f t="shared" si="4"/>
        <v>BECNUSDT</v>
      </c>
      <c r="E328" s="125" t="e">
        <f ca="1">VLOOKUP(D328,'Курсы Бинанса'!B:C,2,FALSE)</f>
        <v>#N/A</v>
      </c>
    </row>
    <row r="329" spans="1:5">
      <c r="A329" s="121">
        <v>327</v>
      </c>
      <c r="B329" s="123" t="s">
        <v>15015</v>
      </c>
      <c r="C329" s="123" t="s">
        <v>15016</v>
      </c>
      <c r="D329" s="124" t="str">
        <f t="shared" ref="D329:D352" si="5">CONCATENATE(C329,"USDT")</f>
        <v>ARCHUSDT</v>
      </c>
      <c r="E329" s="125" t="e">
        <f ca="1">VLOOKUP(D329,'Курсы Бинанса'!B:C,2,FALSE)</f>
        <v>#N/A</v>
      </c>
    </row>
    <row r="330" spans="1:5">
      <c r="A330" s="121">
        <v>328</v>
      </c>
      <c r="B330" s="123" t="s">
        <v>15017</v>
      </c>
      <c r="C330" s="123" t="s">
        <v>15018</v>
      </c>
      <c r="D330" s="124" t="str">
        <f t="shared" si="5"/>
        <v>PUNDIXUSDT</v>
      </c>
      <c r="E330" s="125" t="e">
        <f ca="1">VLOOKUP(D330,'Курсы Бинанса'!B:C,2,FALSE)</f>
        <v>#N/A</v>
      </c>
    </row>
    <row r="331" spans="1:5">
      <c r="A331" s="121">
        <v>329</v>
      </c>
      <c r="B331" s="123" t="s">
        <v>15019</v>
      </c>
      <c r="C331" s="123" t="s">
        <v>15020</v>
      </c>
      <c r="D331" s="124" t="str">
        <f t="shared" si="5"/>
        <v>LTXUSDT</v>
      </c>
      <c r="E331" s="125" t="e">
        <f ca="1">VLOOKUP(D331,'Курсы Бинанса'!B:C,2,FALSE)</f>
        <v>#N/A</v>
      </c>
    </row>
    <row r="332" spans="1:5">
      <c r="A332" s="121">
        <v>330</v>
      </c>
      <c r="B332" s="123" t="s">
        <v>15021</v>
      </c>
      <c r="C332" s="123" t="s">
        <v>12978</v>
      </c>
      <c r="D332" s="124" t="str">
        <f t="shared" si="5"/>
        <v>UNIUSDT</v>
      </c>
      <c r="E332" s="125" t="e">
        <f ca="1">VLOOKUP(D332,'Курсы Бинанса'!B:C,2,FALSE)</f>
        <v>#N/A</v>
      </c>
    </row>
    <row r="333" spans="1:5">
      <c r="A333" s="121">
        <v>331</v>
      </c>
      <c r="B333" s="123" t="s">
        <v>15022</v>
      </c>
      <c r="C333" s="123" t="s">
        <v>15023</v>
      </c>
      <c r="D333" s="124" t="str">
        <f t="shared" si="5"/>
        <v>PNGUSDT</v>
      </c>
      <c r="E333" s="125" t="e">
        <f ca="1">VLOOKUP(D333,'Курсы Бинанса'!B:C,2,FALSE)</f>
        <v>#N/A</v>
      </c>
    </row>
    <row r="334" spans="1:5">
      <c r="A334" s="121">
        <v>332</v>
      </c>
      <c r="B334" s="123" t="s">
        <v>15024</v>
      </c>
      <c r="C334" s="123" t="s">
        <v>15025</v>
      </c>
      <c r="D334" s="124" t="str">
        <f t="shared" si="5"/>
        <v>XCHFUSDT</v>
      </c>
      <c r="E334" s="125" t="e">
        <f ca="1">VLOOKUP(D334,'Курсы Бинанса'!B:C,2,FALSE)</f>
        <v>#N/A</v>
      </c>
    </row>
    <row r="335" spans="1:5">
      <c r="A335" s="121">
        <v>333</v>
      </c>
      <c r="B335" s="123" t="s">
        <v>15026</v>
      </c>
      <c r="C335" s="123" t="s">
        <v>15027</v>
      </c>
      <c r="D335" s="124" t="str">
        <f t="shared" si="5"/>
        <v>CTKUSDT</v>
      </c>
      <c r="E335" s="125" t="e">
        <f ca="1">VLOOKUP(D335,'Курсы Бинанса'!B:C,2,FALSE)</f>
        <v>#N/A</v>
      </c>
    </row>
    <row r="336" spans="1:5">
      <c r="A336" s="121">
        <v>334</v>
      </c>
      <c r="B336" s="123" t="s">
        <v>15028</v>
      </c>
      <c r="C336" s="123" t="s">
        <v>15029</v>
      </c>
      <c r="D336" s="124" t="str">
        <f t="shared" si="5"/>
        <v>DZIUSDT</v>
      </c>
      <c r="E336" s="125" t="e">
        <f ca="1">VLOOKUP(D336,'Курсы Бинанса'!B:C,2,FALSE)</f>
        <v>#N/A</v>
      </c>
    </row>
    <row r="337" spans="1:5">
      <c r="A337" s="121">
        <v>335</v>
      </c>
      <c r="B337" s="123" t="s">
        <v>15030</v>
      </c>
      <c r="C337" s="123" t="s">
        <v>15031</v>
      </c>
      <c r="D337" s="124" t="str">
        <f t="shared" si="5"/>
        <v>POLSUSDT</v>
      </c>
      <c r="E337" s="125" t="e">
        <f ca="1">VLOOKUP(D337,'Курсы Бинанса'!B:C,2,FALSE)</f>
        <v>#N/A</v>
      </c>
    </row>
    <row r="338" spans="1:5">
      <c r="A338" s="121">
        <v>336</v>
      </c>
      <c r="B338" s="123" t="s">
        <v>15032</v>
      </c>
      <c r="C338" s="123" t="s">
        <v>15033</v>
      </c>
      <c r="D338" s="124" t="str">
        <f t="shared" si="5"/>
        <v>WRXUSDT</v>
      </c>
      <c r="E338" s="125" t="e">
        <f ca="1">VLOOKUP(D338,'Курсы Бинанса'!B:C,2,FALSE)</f>
        <v>#N/A</v>
      </c>
    </row>
    <row r="339" spans="1:5">
      <c r="A339" s="121">
        <v>337</v>
      </c>
      <c r="B339" s="123" t="s">
        <v>15034</v>
      </c>
      <c r="C339" s="123" t="s">
        <v>15034</v>
      </c>
      <c r="D339" s="124" t="str">
        <f t="shared" si="5"/>
        <v>ZUSDUSDT</v>
      </c>
      <c r="E339" s="125" t="e">
        <f ca="1">VLOOKUP(D339,'Курсы Бинанса'!B:C,2,FALSE)</f>
        <v>#N/A</v>
      </c>
    </row>
    <row r="340" spans="1:5">
      <c r="A340" s="121">
        <v>338</v>
      </c>
      <c r="B340" s="123" t="s">
        <v>15035</v>
      </c>
      <c r="C340" s="123" t="s">
        <v>15036</v>
      </c>
      <c r="D340" s="124" t="str">
        <f t="shared" si="5"/>
        <v>NEXUSDT</v>
      </c>
      <c r="E340" s="125" t="e">
        <f ca="1">VLOOKUP(D340,'Курсы Бинанса'!B:C,2,FALSE)</f>
        <v>#N/A</v>
      </c>
    </row>
    <row r="341" spans="1:5">
      <c r="A341" s="121">
        <v>339</v>
      </c>
      <c r="B341" s="123" t="s">
        <v>15037</v>
      </c>
      <c r="C341" s="123" t="s">
        <v>15037</v>
      </c>
      <c r="D341" s="124" t="str">
        <f t="shared" si="5"/>
        <v>MATHUSDT</v>
      </c>
      <c r="E341" s="125" t="e">
        <f ca="1">VLOOKUP(D341,'Курсы Бинанса'!B:C,2,FALSE)</f>
        <v>#N/A</v>
      </c>
    </row>
    <row r="342" spans="1:5">
      <c r="A342" s="121">
        <v>340</v>
      </c>
      <c r="B342" s="123" t="s">
        <v>15038</v>
      </c>
      <c r="C342" s="123" t="s">
        <v>15039</v>
      </c>
      <c r="D342" s="124" t="str">
        <f t="shared" si="5"/>
        <v>CVCCUSDT</v>
      </c>
      <c r="E342" s="125" t="e">
        <f ca="1">VLOOKUP(D342,'Курсы Бинанса'!B:C,2,FALSE)</f>
        <v>#N/A</v>
      </c>
    </row>
    <row r="343" spans="1:5">
      <c r="A343" s="121">
        <v>341</v>
      </c>
      <c r="B343" s="123" t="s">
        <v>15040</v>
      </c>
      <c r="C343" s="123" t="s">
        <v>15041</v>
      </c>
      <c r="D343" s="124" t="str">
        <f t="shared" si="5"/>
        <v>GHSTUSDT</v>
      </c>
      <c r="E343" s="125" t="e">
        <f ca="1">VLOOKUP(D343,'Курсы Бинанса'!B:C,2,FALSE)</f>
        <v>#N/A</v>
      </c>
    </row>
    <row r="344" spans="1:5">
      <c r="A344" s="121">
        <v>342</v>
      </c>
      <c r="B344" s="123" t="s">
        <v>15042</v>
      </c>
      <c r="C344" s="123" t="s">
        <v>15043</v>
      </c>
      <c r="D344" s="124" t="str">
        <f t="shared" si="5"/>
        <v>BTCPUSDT</v>
      </c>
      <c r="E344" s="125" t="e">
        <f ca="1">VLOOKUP(D344,'Курсы Бинанса'!B:C,2,FALSE)</f>
        <v>#N/A</v>
      </c>
    </row>
    <row r="345" spans="1:5">
      <c r="A345" s="121">
        <v>343</v>
      </c>
      <c r="B345" s="123" t="s">
        <v>15044</v>
      </c>
      <c r="C345" s="123" t="s">
        <v>15045</v>
      </c>
      <c r="D345" s="124" t="str">
        <f t="shared" si="5"/>
        <v>DAIUSDT</v>
      </c>
      <c r="E345" s="125" t="e">
        <f ca="1">VLOOKUP(D345,'Курсы Бинанса'!B:C,2,FALSE)</f>
        <v>#N/A</v>
      </c>
    </row>
    <row r="346" spans="1:5">
      <c r="A346" s="121">
        <v>344</v>
      </c>
      <c r="B346" s="123" t="s">
        <v>15046</v>
      </c>
      <c r="C346" s="123" t="s">
        <v>15047</v>
      </c>
      <c r="D346" s="124" t="str">
        <f t="shared" si="5"/>
        <v>SUSDUSDT</v>
      </c>
      <c r="E346" s="125" t="e">
        <f ca="1">VLOOKUP(D346,'Курсы Бинанса'!B:C,2,FALSE)</f>
        <v>#N/A</v>
      </c>
    </row>
    <row r="347" spans="1:5">
      <c r="A347" s="121">
        <v>345</v>
      </c>
      <c r="B347" s="123" t="s">
        <v>15048</v>
      </c>
      <c r="C347" s="123" t="s">
        <v>15048</v>
      </c>
      <c r="D347" s="124" t="str">
        <f t="shared" si="5"/>
        <v>USDKUSDT</v>
      </c>
      <c r="E347" s="125" t="e">
        <f ca="1">VLOOKUP(D347,'Курсы Бинанса'!B:C,2,FALSE)</f>
        <v>#N/A</v>
      </c>
    </row>
    <row r="348" spans="1:5">
      <c r="A348" s="121">
        <v>346</v>
      </c>
      <c r="B348" s="123" t="s">
        <v>15049</v>
      </c>
      <c r="C348" s="123" t="s">
        <v>15049</v>
      </c>
      <c r="D348" s="124" t="str">
        <f t="shared" si="5"/>
        <v>HUSDUSDT</v>
      </c>
      <c r="E348" s="125" t="e">
        <f ca="1">VLOOKUP(D348,'Курсы Бинанса'!B:C,2,FALSE)</f>
        <v>#N/A</v>
      </c>
    </row>
    <row r="349" spans="1:5">
      <c r="A349" s="121">
        <v>347</v>
      </c>
      <c r="B349" s="123" t="s">
        <v>15050</v>
      </c>
      <c r="C349" s="123" t="s">
        <v>15051</v>
      </c>
      <c r="D349" s="124" t="str">
        <f t="shared" si="5"/>
        <v>BUSDUSDT</v>
      </c>
      <c r="E349" s="125" t="e">
        <f ca="1">VLOOKUP(D349,'Курсы Бинанса'!B:C,2,FALSE)</f>
        <v>#N/A</v>
      </c>
    </row>
    <row r="350" spans="1:5">
      <c r="A350" s="121">
        <v>348</v>
      </c>
      <c r="B350" s="123" t="s">
        <v>15052</v>
      </c>
      <c r="C350" s="123" t="s">
        <v>15053</v>
      </c>
      <c r="D350" s="124" t="str">
        <f t="shared" si="5"/>
        <v>TUSDUSDT</v>
      </c>
      <c r="E350" s="125" t="e">
        <f ca="1">VLOOKUP(D350,'Курсы Бинанса'!B:C,2,FALSE)</f>
        <v>#N/A</v>
      </c>
    </row>
    <row r="351" spans="1:5">
      <c r="A351" s="121">
        <v>349</v>
      </c>
      <c r="B351" s="123" t="s">
        <v>15054</v>
      </c>
      <c r="C351" s="123" t="s">
        <v>15055</v>
      </c>
      <c r="D351" s="124" t="str">
        <f t="shared" si="5"/>
        <v>USDTUSDT</v>
      </c>
      <c r="E351" s="125" t="e">
        <f ca="1">VLOOKUP(D351,'Курсы Бинанса'!B:C,2,FALSE)</f>
        <v>#N/A</v>
      </c>
    </row>
    <row r="352" spans="1:5">
      <c r="A352" s="121">
        <v>350</v>
      </c>
      <c r="B352" s="123" t="s">
        <v>15056</v>
      </c>
      <c r="C352" s="123" t="s">
        <v>15057</v>
      </c>
      <c r="D352" s="124" t="str">
        <f t="shared" si="5"/>
        <v>USDCUSDT</v>
      </c>
      <c r="E352" s="125" t="e">
        <f ca="1">VLOOKUP(D352,'Курсы Бинанса'!B:C,2,FALSE)</f>
        <v>#N/A</v>
      </c>
    </row>
    <row r="353" spans="1:5">
      <c r="A353" s="121">
        <v>351</v>
      </c>
      <c r="B353" s="123" t="s">
        <v>15058</v>
      </c>
      <c r="C353" s="123" t="s">
        <v>15055</v>
      </c>
      <c r="D353" s="124" t="str">
        <f>CONCATENATE(C353,"RUB")</f>
        <v>USDTRUB</v>
      </c>
      <c r="E353" s="125" t="e">
        <f ca="1">VLOOKUP(D353,'Курсы Бинанса'!B:C,2,FALSE)</f>
        <v>#N/A</v>
      </c>
    </row>
    <row r="354" spans="1:5">
      <c r="A354" s="121">
        <v>352</v>
      </c>
      <c r="B354" s="123" t="s">
        <v>15059</v>
      </c>
      <c r="C354" s="123" t="s">
        <v>15059</v>
      </c>
      <c r="D354" s="124" t="str">
        <f t="shared" ref="D354:D417" si="6">CONCATENATE(C354,"USDT")</f>
        <v>USDJUSDT</v>
      </c>
      <c r="E354" s="125" t="e">
        <f ca="1">VLOOKUP(D354,'Курсы Бинанса'!B:C,2,FALSE)</f>
        <v>#N/A</v>
      </c>
    </row>
    <row r="355" spans="1:5">
      <c r="A355" s="121">
        <v>353</v>
      </c>
      <c r="B355" s="123" t="s">
        <v>15060</v>
      </c>
      <c r="C355" s="123" t="s">
        <v>15061</v>
      </c>
      <c r="D355" s="124" t="str">
        <f t="shared" si="6"/>
        <v>PAXUSDT</v>
      </c>
      <c r="E355" s="125" t="e">
        <f ca="1">VLOOKUP(D355,'Курсы Бинанса'!B:C,2,FALSE)</f>
        <v>#N/A</v>
      </c>
    </row>
    <row r="356" spans="1:5">
      <c r="A356" s="121">
        <v>354</v>
      </c>
      <c r="B356" s="123" t="s">
        <v>15062</v>
      </c>
      <c r="C356" s="123" t="s">
        <v>15063</v>
      </c>
      <c r="D356" s="124" t="str">
        <f t="shared" si="6"/>
        <v>GUSDUSDT</v>
      </c>
      <c r="E356" s="125" t="e">
        <f ca="1">VLOOKUP(D356,'Курсы Бинанса'!B:C,2,FALSE)</f>
        <v>#N/A</v>
      </c>
    </row>
    <row r="357" spans="1:5">
      <c r="A357" s="121">
        <v>355</v>
      </c>
      <c r="B357" s="123" t="s">
        <v>15064</v>
      </c>
      <c r="C357" s="123" t="s">
        <v>15065</v>
      </c>
      <c r="D357" s="124" t="str">
        <f t="shared" si="6"/>
        <v>CUSDUSDT</v>
      </c>
      <c r="E357" s="125" t="e">
        <f ca="1">VLOOKUP(D357,'Курсы Бинанса'!B:C,2,FALSE)</f>
        <v>#N/A</v>
      </c>
    </row>
    <row r="358" spans="1:5">
      <c r="A358" s="121">
        <v>356</v>
      </c>
      <c r="B358" s="123" t="s">
        <v>15066</v>
      </c>
      <c r="C358" s="123" t="s">
        <v>15067</v>
      </c>
      <c r="D358" s="124" t="str">
        <f t="shared" si="6"/>
        <v>USDNUSDT</v>
      </c>
      <c r="E358" s="125" t="e">
        <f ca="1">VLOOKUP(D358,'Курсы Бинанса'!B:C,2,FALSE)</f>
        <v>#N/A</v>
      </c>
    </row>
    <row r="359" spans="1:5">
      <c r="A359" s="121">
        <v>357</v>
      </c>
      <c r="B359" s="123" t="s">
        <v>15068</v>
      </c>
      <c r="C359" s="123" t="s">
        <v>15069</v>
      </c>
      <c r="D359" s="124" t="str">
        <f t="shared" si="6"/>
        <v>FRAXUSDT</v>
      </c>
      <c r="E359" s="125" t="e">
        <f ca="1">VLOOKUP(D359,'Курсы Бинанса'!B:C,2,FALSE)</f>
        <v>#N/A</v>
      </c>
    </row>
    <row r="360" spans="1:5">
      <c r="A360" s="121">
        <v>358</v>
      </c>
      <c r="B360" s="123" t="s">
        <v>15070</v>
      </c>
      <c r="C360" s="123" t="s">
        <v>15071</v>
      </c>
      <c r="D360" s="124" t="str">
        <f t="shared" si="6"/>
        <v>USDSUSDT</v>
      </c>
      <c r="E360" s="125" t="e">
        <f ca="1">VLOOKUP(D360,'Курсы Бинанса'!B:C,2,FALSE)</f>
        <v>#N/A</v>
      </c>
    </row>
    <row r="361" spans="1:5">
      <c r="A361" s="121">
        <v>359</v>
      </c>
      <c r="B361" s="123" t="s">
        <v>15072</v>
      </c>
      <c r="C361" s="123" t="s">
        <v>15073</v>
      </c>
      <c r="D361" s="124" t="str">
        <f t="shared" si="6"/>
        <v>OUSDUSDT</v>
      </c>
      <c r="E361" s="125" t="e">
        <f ca="1">VLOOKUP(D361,'Курсы Бинанса'!B:C,2,FALSE)</f>
        <v>#N/A</v>
      </c>
    </row>
    <row r="362" spans="1:5">
      <c r="A362" s="121">
        <v>360</v>
      </c>
      <c r="B362" s="123" t="s">
        <v>15074</v>
      </c>
      <c r="C362" s="123" t="s">
        <v>15075</v>
      </c>
      <c r="D362" s="124" t="str">
        <f t="shared" si="6"/>
        <v>DEPAYUSDT</v>
      </c>
      <c r="E362" s="125" t="e">
        <f ca="1">VLOOKUP(D362,'Курсы Бинанса'!B:C,2,FALSE)</f>
        <v>#N/A</v>
      </c>
    </row>
    <row r="363" spans="1:5">
      <c r="A363" s="121">
        <v>361</v>
      </c>
      <c r="B363" s="123" t="s">
        <v>15076</v>
      </c>
      <c r="C363" s="123" t="s">
        <v>15076</v>
      </c>
      <c r="D363" s="124" t="str">
        <f t="shared" si="6"/>
        <v>EOSDTUSDT</v>
      </c>
      <c r="E363" s="125" t="e">
        <f ca="1">VLOOKUP(D363,'Курсы Бинанса'!B:C,2,FALSE)</f>
        <v>#N/A</v>
      </c>
    </row>
    <row r="364" spans="1:5">
      <c r="A364" s="121">
        <v>362</v>
      </c>
      <c r="B364" s="123" t="s">
        <v>15077</v>
      </c>
      <c r="C364" s="123" t="s">
        <v>15078</v>
      </c>
      <c r="D364" s="124" t="str">
        <f t="shared" si="6"/>
        <v>AMPLUSDT</v>
      </c>
      <c r="E364" s="125" t="e">
        <f ca="1">VLOOKUP(D364,'Курсы Бинанса'!B:C,2,FALSE)</f>
        <v>#N/A</v>
      </c>
    </row>
    <row r="365" spans="1:5">
      <c r="A365" s="121">
        <v>363</v>
      </c>
      <c r="B365" s="123" t="s">
        <v>15079</v>
      </c>
      <c r="C365" s="123" t="s">
        <v>15080</v>
      </c>
      <c r="D365" s="124" t="str">
        <f t="shared" si="6"/>
        <v>DITTOUSDT</v>
      </c>
      <c r="E365" s="125" t="e">
        <f ca="1">VLOOKUP(D365,'Курсы Бинанса'!B:C,2,FALSE)</f>
        <v>#N/A</v>
      </c>
    </row>
    <row r="366" spans="1:5">
      <c r="A366" s="121">
        <v>364</v>
      </c>
      <c r="B366" s="123" t="s">
        <v>15081</v>
      </c>
      <c r="C366" s="123" t="s">
        <v>15082</v>
      </c>
      <c r="D366" s="124" t="str">
        <f t="shared" si="6"/>
        <v>ALPHRUSDT</v>
      </c>
      <c r="E366" s="125" t="e">
        <f ca="1">VLOOKUP(D366,'Курсы Бинанса'!B:C,2,FALSE)</f>
        <v>#N/A</v>
      </c>
    </row>
    <row r="367" spans="1:5">
      <c r="A367" s="121">
        <v>365</v>
      </c>
      <c r="B367" s="123" t="s">
        <v>15083</v>
      </c>
      <c r="C367" s="123" t="s">
        <v>15084</v>
      </c>
      <c r="D367" s="124" t="str">
        <f t="shared" si="6"/>
        <v>PUSHUSDT</v>
      </c>
      <c r="E367" s="125" t="e">
        <f ca="1">VLOOKUP(D367,'Курсы Бинанса'!B:C,2,FALSE)</f>
        <v>#N/A</v>
      </c>
    </row>
    <row r="368" spans="1:5">
      <c r="A368" s="121">
        <v>366</v>
      </c>
      <c r="B368" s="123" t="s">
        <v>15085</v>
      </c>
      <c r="C368" s="123" t="s">
        <v>15086</v>
      </c>
      <c r="D368" s="124" t="str">
        <f t="shared" si="6"/>
        <v>CVPUSDT</v>
      </c>
      <c r="E368" s="125" t="e">
        <f ca="1">VLOOKUP(D368,'Курсы Бинанса'!B:C,2,FALSE)</f>
        <v>#N/A</v>
      </c>
    </row>
    <row r="369" spans="1:5">
      <c r="A369" s="121">
        <v>367</v>
      </c>
      <c r="B369" s="123" t="s">
        <v>15087</v>
      </c>
      <c r="C369" s="123" t="s">
        <v>15088</v>
      </c>
      <c r="D369" s="124" t="str">
        <f t="shared" si="6"/>
        <v>BREWUSDT</v>
      </c>
      <c r="E369" s="125" t="e">
        <f ca="1">VLOOKUP(D369,'Курсы Бинанса'!B:C,2,FALSE)</f>
        <v>#N/A</v>
      </c>
    </row>
    <row r="370" spans="1:5">
      <c r="A370" s="121">
        <v>368</v>
      </c>
      <c r="B370" s="123" t="s">
        <v>15089</v>
      </c>
      <c r="C370" s="123" t="s">
        <v>15090</v>
      </c>
      <c r="D370" s="124" t="str">
        <f t="shared" si="6"/>
        <v>STORJUSDT</v>
      </c>
      <c r="E370" s="125" t="e">
        <f ca="1">VLOOKUP(D370,'Курсы Бинанса'!B:C,2,FALSE)</f>
        <v>#N/A</v>
      </c>
    </row>
    <row r="371" spans="1:5">
      <c r="A371" s="121">
        <v>369</v>
      </c>
      <c r="B371" s="123" t="s">
        <v>15091</v>
      </c>
      <c r="C371" s="123" t="s">
        <v>15092</v>
      </c>
      <c r="D371" s="124" t="str">
        <f t="shared" si="6"/>
        <v>VRSCUSDT</v>
      </c>
      <c r="E371" s="125" t="e">
        <f ca="1">VLOOKUP(D371,'Курсы Бинанса'!B:C,2,FALSE)</f>
        <v>#N/A</v>
      </c>
    </row>
    <row r="372" spans="1:5">
      <c r="A372" s="121">
        <v>370</v>
      </c>
      <c r="B372" s="123" t="s">
        <v>15093</v>
      </c>
      <c r="C372" s="123" t="s">
        <v>15094</v>
      </c>
      <c r="D372" s="124" t="str">
        <f t="shared" si="6"/>
        <v>KLAYUSDT</v>
      </c>
      <c r="E372" s="125" t="e">
        <f ca="1">VLOOKUP(D372,'Курсы Бинанса'!B:C,2,FALSE)</f>
        <v>#N/A</v>
      </c>
    </row>
    <row r="373" spans="1:5">
      <c r="A373" s="121">
        <v>371</v>
      </c>
      <c r="B373" s="123" t="s">
        <v>15095</v>
      </c>
      <c r="C373" s="123" t="s">
        <v>15096</v>
      </c>
      <c r="D373" s="124" t="str">
        <f t="shared" si="6"/>
        <v>PPCUSDT</v>
      </c>
      <c r="E373" s="125" t="e">
        <f ca="1">VLOOKUP(D373,'Курсы Бинанса'!B:C,2,FALSE)</f>
        <v>#N/A</v>
      </c>
    </row>
    <row r="374" spans="1:5">
      <c r="A374" s="121">
        <v>372</v>
      </c>
      <c r="B374" s="123" t="s">
        <v>15097</v>
      </c>
      <c r="C374" s="123" t="s">
        <v>15098</v>
      </c>
      <c r="D374" s="124" t="str">
        <f t="shared" si="6"/>
        <v>ARKUSDT</v>
      </c>
      <c r="E374" s="125" t="e">
        <f ca="1">VLOOKUP(D374,'Курсы Бинанса'!B:C,2,FALSE)</f>
        <v>#N/A</v>
      </c>
    </row>
    <row r="375" spans="1:5">
      <c r="A375" s="121">
        <v>373</v>
      </c>
      <c r="B375" s="123" t="s">
        <v>15099</v>
      </c>
      <c r="C375" s="123" t="s">
        <v>15100</v>
      </c>
      <c r="D375" s="124" t="str">
        <f t="shared" si="6"/>
        <v>XFTUSDT</v>
      </c>
      <c r="E375" s="125" t="e">
        <f ca="1">VLOOKUP(D375,'Курсы Бинанса'!B:C,2,FALSE)</f>
        <v>#N/A</v>
      </c>
    </row>
    <row r="376" spans="1:5">
      <c r="A376" s="121">
        <v>374</v>
      </c>
      <c r="B376" s="123" t="s">
        <v>15101</v>
      </c>
      <c r="C376" s="123" t="s">
        <v>15102</v>
      </c>
      <c r="D376" s="124" t="str">
        <f t="shared" si="6"/>
        <v>AITRAUSDT</v>
      </c>
      <c r="E376" s="125" t="e">
        <f ca="1">VLOOKUP(D376,'Курсы Бинанса'!B:C,2,FALSE)</f>
        <v>#N/A</v>
      </c>
    </row>
    <row r="377" spans="1:5">
      <c r="A377" s="121">
        <v>375</v>
      </c>
      <c r="B377" s="123" t="s">
        <v>15103</v>
      </c>
      <c r="C377" s="123" t="s">
        <v>15104</v>
      </c>
      <c r="D377" s="124" t="str">
        <f t="shared" si="6"/>
        <v>CAJUSDT</v>
      </c>
      <c r="E377" s="125" t="e">
        <f ca="1">VLOOKUP(D377,'Курсы Бинанса'!B:C,2,FALSE)</f>
        <v>#N/A</v>
      </c>
    </row>
    <row r="378" spans="1:5">
      <c r="A378" s="121">
        <v>376</v>
      </c>
      <c r="B378" s="123" t="s">
        <v>15105</v>
      </c>
      <c r="C378" s="123" t="s">
        <v>15106</v>
      </c>
      <c r="D378" s="124" t="str">
        <f t="shared" si="6"/>
        <v>XCURUSDT</v>
      </c>
      <c r="E378" s="125" t="e">
        <f ca="1">VLOOKUP(D378,'Курсы Бинанса'!B:C,2,FALSE)</f>
        <v>#N/A</v>
      </c>
    </row>
    <row r="379" spans="1:5">
      <c r="A379" s="121">
        <v>377</v>
      </c>
      <c r="B379" s="123" t="s">
        <v>15107</v>
      </c>
      <c r="C379" s="123" t="s">
        <v>15108</v>
      </c>
      <c r="D379" s="124" t="str">
        <f t="shared" si="6"/>
        <v>BLOCKUSDT</v>
      </c>
      <c r="E379" s="125" t="e">
        <f ca="1">VLOOKUP(D379,'Курсы Бинанса'!B:C,2,FALSE)</f>
        <v>#N/A</v>
      </c>
    </row>
    <row r="380" spans="1:5">
      <c r="A380" s="121">
        <v>378</v>
      </c>
      <c r="B380" s="123" t="s">
        <v>15109</v>
      </c>
      <c r="C380" s="123" t="s">
        <v>15110</v>
      </c>
      <c r="D380" s="124" t="str">
        <f t="shared" si="6"/>
        <v>MBOXUSDT</v>
      </c>
      <c r="E380" s="125" t="e">
        <f ca="1">VLOOKUP(D380,'Курсы Бинанса'!B:C,2,FALSE)</f>
        <v>#N/A</v>
      </c>
    </row>
    <row r="381" spans="1:5">
      <c r="A381" s="121">
        <v>379</v>
      </c>
      <c r="B381" s="123" t="s">
        <v>15111</v>
      </c>
      <c r="C381" s="123" t="s">
        <v>15112</v>
      </c>
      <c r="D381" s="124" t="str">
        <f t="shared" si="6"/>
        <v>NEBLUSDT</v>
      </c>
      <c r="E381" s="125" t="e">
        <f ca="1">VLOOKUP(D381,'Курсы Бинанса'!B:C,2,FALSE)</f>
        <v>#N/A</v>
      </c>
    </row>
    <row r="382" spans="1:5">
      <c r="A382" s="121">
        <v>380</v>
      </c>
      <c r="B382" s="123" t="s">
        <v>15113</v>
      </c>
      <c r="C382" s="123" t="s">
        <v>15114</v>
      </c>
      <c r="D382" s="124" t="str">
        <f t="shared" si="6"/>
        <v>MLKUSDT</v>
      </c>
      <c r="E382" s="125" t="e">
        <f ca="1">VLOOKUP(D382,'Курсы Бинанса'!B:C,2,FALSE)</f>
        <v>#N/A</v>
      </c>
    </row>
    <row r="383" spans="1:5">
      <c r="A383" s="121">
        <v>381</v>
      </c>
      <c r="B383" s="123" t="s">
        <v>15115</v>
      </c>
      <c r="C383" s="123" t="s">
        <v>15116</v>
      </c>
      <c r="D383" s="124" t="str">
        <f t="shared" si="6"/>
        <v>ALGOUSDT</v>
      </c>
      <c r="E383" s="125" t="e">
        <f ca="1">VLOOKUP(D383,'Курсы Бинанса'!B:C,2,FALSE)</f>
        <v>#N/A</v>
      </c>
    </row>
    <row r="384" spans="1:5">
      <c r="A384" s="121">
        <v>382</v>
      </c>
      <c r="B384" s="123" t="s">
        <v>15117</v>
      </c>
      <c r="C384" s="123" t="s">
        <v>15118</v>
      </c>
      <c r="D384" s="124" t="str">
        <f t="shared" si="6"/>
        <v>SLICEUSDT</v>
      </c>
      <c r="E384" s="125" t="e">
        <f ca="1">VLOOKUP(D384,'Курсы Бинанса'!B:C,2,FALSE)</f>
        <v>#N/A</v>
      </c>
    </row>
    <row r="385" spans="1:5">
      <c r="A385" s="121">
        <v>383</v>
      </c>
      <c r="B385" s="123" t="s">
        <v>15119</v>
      </c>
      <c r="C385" s="123" t="s">
        <v>15120</v>
      </c>
      <c r="D385" s="124" t="str">
        <f t="shared" si="6"/>
        <v>PHAUSDT</v>
      </c>
      <c r="E385" s="125" t="e">
        <f ca="1">VLOOKUP(D385,'Курсы Бинанса'!B:C,2,FALSE)</f>
        <v>#N/A</v>
      </c>
    </row>
    <row r="386" spans="1:5">
      <c r="A386" s="121">
        <v>384</v>
      </c>
      <c r="B386" s="123" t="s">
        <v>15121</v>
      </c>
      <c r="C386" s="123" t="s">
        <v>15121</v>
      </c>
      <c r="D386" s="124" t="str">
        <f t="shared" si="6"/>
        <v>SENSOUSDT</v>
      </c>
      <c r="E386" s="125" t="e">
        <f ca="1">VLOOKUP(D386,'Курсы Бинанса'!B:C,2,FALSE)</f>
        <v>#N/A</v>
      </c>
    </row>
    <row r="387" spans="1:5">
      <c r="A387" s="121">
        <v>385</v>
      </c>
      <c r="B387" s="123" t="s">
        <v>15122</v>
      </c>
      <c r="C387" s="123" t="s">
        <v>15123</v>
      </c>
      <c r="D387" s="124" t="str">
        <f t="shared" si="6"/>
        <v>DHTUSDT</v>
      </c>
      <c r="E387" s="125" t="e">
        <f ca="1">VLOOKUP(D387,'Курсы Бинанса'!B:C,2,FALSE)</f>
        <v>#N/A</v>
      </c>
    </row>
    <row r="388" spans="1:5">
      <c r="A388" s="121">
        <v>386</v>
      </c>
      <c r="B388" s="123" t="s">
        <v>15124</v>
      </c>
      <c r="C388" s="123" t="s">
        <v>15125</v>
      </c>
      <c r="D388" s="124" t="str">
        <f t="shared" si="6"/>
        <v>SKYUSDT</v>
      </c>
      <c r="E388" s="125" t="e">
        <f ca="1">VLOOKUP(D388,'Курсы Бинанса'!B:C,2,FALSE)</f>
        <v>#N/A</v>
      </c>
    </row>
    <row r="389" spans="1:5">
      <c r="A389" s="121">
        <v>387</v>
      </c>
      <c r="B389" s="123" t="s">
        <v>15126</v>
      </c>
      <c r="C389" s="123" t="s">
        <v>15127</v>
      </c>
      <c r="D389" s="124" t="str">
        <f t="shared" si="6"/>
        <v>PROSUSDT</v>
      </c>
      <c r="E389" s="125" t="e">
        <f ca="1">VLOOKUP(D389,'Курсы Бинанса'!B:C,2,FALSE)</f>
        <v>#N/A</v>
      </c>
    </row>
    <row r="390" spans="1:5">
      <c r="A390" s="121">
        <v>388</v>
      </c>
      <c r="B390" s="123" t="s">
        <v>15128</v>
      </c>
      <c r="C390" s="123" t="s">
        <v>15129</v>
      </c>
      <c r="D390" s="124" t="str">
        <f t="shared" si="6"/>
        <v>ICXUSDT</v>
      </c>
      <c r="E390" s="125" t="e">
        <f ca="1">VLOOKUP(D390,'Курсы Бинанса'!B:C,2,FALSE)</f>
        <v>#N/A</v>
      </c>
    </row>
    <row r="391" spans="1:5">
      <c r="A391" s="121">
        <v>389</v>
      </c>
      <c r="B391" s="123" t="s">
        <v>15130</v>
      </c>
      <c r="C391" s="123" t="s">
        <v>15131</v>
      </c>
      <c r="D391" s="124" t="str">
        <f t="shared" si="6"/>
        <v>ANCTUSDT</v>
      </c>
      <c r="E391" s="125" t="e">
        <f ca="1">VLOOKUP(D391,'Курсы Бинанса'!B:C,2,FALSE)</f>
        <v>#N/A</v>
      </c>
    </row>
    <row r="392" spans="1:5">
      <c r="A392" s="121">
        <v>390</v>
      </c>
      <c r="B392" s="123" t="s">
        <v>15132</v>
      </c>
      <c r="C392" s="123" t="s">
        <v>15133</v>
      </c>
      <c r="D392" s="124" t="str">
        <f t="shared" si="6"/>
        <v>ARIA20USDT</v>
      </c>
      <c r="E392" s="125" t="e">
        <f ca="1">VLOOKUP(D392,'Курсы Бинанса'!B:C,2,FALSE)</f>
        <v>#N/A</v>
      </c>
    </row>
    <row r="393" spans="1:5">
      <c r="A393" s="121">
        <v>391</v>
      </c>
      <c r="B393" s="123" t="s">
        <v>15134</v>
      </c>
      <c r="C393" s="123" t="s">
        <v>15135</v>
      </c>
      <c r="D393" s="124" t="str">
        <f t="shared" si="6"/>
        <v>OXENUSDT</v>
      </c>
      <c r="E393" s="125" t="e">
        <f ca="1">VLOOKUP(D393,'Курсы Бинанса'!B:C,2,FALSE)</f>
        <v>#N/A</v>
      </c>
    </row>
    <row r="394" spans="1:5">
      <c r="A394" s="121">
        <v>392</v>
      </c>
      <c r="B394" s="123" t="s">
        <v>15136</v>
      </c>
      <c r="C394" s="123" t="s">
        <v>15137</v>
      </c>
      <c r="D394" s="124" t="str">
        <f t="shared" si="6"/>
        <v>MTAUSDT</v>
      </c>
      <c r="E394" s="125" t="e">
        <f ca="1">VLOOKUP(D394,'Курсы Бинанса'!B:C,2,FALSE)</f>
        <v>#N/A</v>
      </c>
    </row>
    <row r="395" spans="1:5">
      <c r="A395" s="121">
        <v>393</v>
      </c>
      <c r="B395" s="123" t="s">
        <v>15138</v>
      </c>
      <c r="C395" s="123" t="s">
        <v>15139</v>
      </c>
      <c r="D395" s="124" t="str">
        <f t="shared" si="6"/>
        <v>LOKIUSDT</v>
      </c>
      <c r="E395" s="125" t="e">
        <f ca="1">VLOOKUP(D395,'Курсы Бинанса'!B:C,2,FALSE)</f>
        <v>#N/A</v>
      </c>
    </row>
    <row r="396" spans="1:5">
      <c r="A396" s="121">
        <v>394</v>
      </c>
      <c r="B396" s="123" t="s">
        <v>15140</v>
      </c>
      <c r="C396" s="123" t="s">
        <v>15141</v>
      </c>
      <c r="D396" s="124" t="str">
        <f t="shared" si="6"/>
        <v>OGNUSDT</v>
      </c>
      <c r="E396" s="125" t="e">
        <f ca="1">VLOOKUP(D396,'Курсы Бинанса'!B:C,2,FALSE)</f>
        <v>#N/A</v>
      </c>
    </row>
    <row r="397" spans="1:5">
      <c r="A397" s="121">
        <v>395</v>
      </c>
      <c r="B397" s="123" t="s">
        <v>15142</v>
      </c>
      <c r="C397" s="123" t="s">
        <v>15143</v>
      </c>
      <c r="D397" s="124" t="str">
        <f t="shared" si="6"/>
        <v>JGNUSDT</v>
      </c>
      <c r="E397" s="125" t="e">
        <f ca="1">VLOOKUP(D397,'Курсы Бинанса'!B:C,2,FALSE)</f>
        <v>#N/A</v>
      </c>
    </row>
    <row r="398" spans="1:5">
      <c r="A398" s="121">
        <v>396</v>
      </c>
      <c r="B398" s="123" t="s">
        <v>15144</v>
      </c>
      <c r="C398" s="123" t="s">
        <v>15145</v>
      </c>
      <c r="D398" s="124" t="str">
        <f t="shared" si="6"/>
        <v>ZKSUSDT</v>
      </c>
      <c r="E398" s="125" t="e">
        <f ca="1">VLOOKUP(D398,'Курсы Бинанса'!B:C,2,FALSE)</f>
        <v>#N/A</v>
      </c>
    </row>
    <row r="399" spans="1:5">
      <c r="A399" s="121">
        <v>397</v>
      </c>
      <c r="B399" s="123" t="s">
        <v>15146</v>
      </c>
      <c r="C399" s="123" t="s">
        <v>15147</v>
      </c>
      <c r="D399" s="124" t="str">
        <f t="shared" si="6"/>
        <v>KMDUSDT</v>
      </c>
      <c r="E399" s="125" t="e">
        <f ca="1">VLOOKUP(D399,'Курсы Бинанса'!B:C,2,FALSE)</f>
        <v>#N/A</v>
      </c>
    </row>
    <row r="400" spans="1:5">
      <c r="A400" s="121">
        <v>398</v>
      </c>
      <c r="B400" s="123" t="s">
        <v>15148</v>
      </c>
      <c r="C400" s="123" t="s">
        <v>15149</v>
      </c>
      <c r="D400" s="124" t="str">
        <f t="shared" si="6"/>
        <v>MIOTAUSDT</v>
      </c>
      <c r="E400" s="125" t="e">
        <f ca="1">VLOOKUP(D400,'Курсы Бинанса'!B:C,2,FALSE)</f>
        <v>#N/A</v>
      </c>
    </row>
    <row r="401" spans="1:5">
      <c r="A401" s="121">
        <v>399</v>
      </c>
      <c r="B401" s="123" t="s">
        <v>15150</v>
      </c>
      <c r="C401" s="123" t="s">
        <v>15151</v>
      </c>
      <c r="D401" s="124" t="str">
        <f t="shared" si="6"/>
        <v>GRSUSDT</v>
      </c>
      <c r="E401" s="125" t="e">
        <f ca="1">VLOOKUP(D401,'Курсы Бинанса'!B:C,2,FALSE)</f>
        <v>#N/A</v>
      </c>
    </row>
    <row r="402" spans="1:5">
      <c r="A402" s="121">
        <v>400</v>
      </c>
      <c r="B402" s="123" t="s">
        <v>15152</v>
      </c>
      <c r="C402" s="123" t="s">
        <v>15152</v>
      </c>
      <c r="D402" s="124" t="str">
        <f t="shared" si="6"/>
        <v>XSGDUSDT</v>
      </c>
      <c r="E402" s="125" t="e">
        <f ca="1">VLOOKUP(D402,'Курсы Бинанса'!B:C,2,FALSE)</f>
        <v>#N/A</v>
      </c>
    </row>
    <row r="403" spans="1:5">
      <c r="A403" s="121">
        <v>401</v>
      </c>
      <c r="B403" s="123" t="s">
        <v>15153</v>
      </c>
      <c r="C403" s="123" t="s">
        <v>15154</v>
      </c>
      <c r="D403" s="124" t="str">
        <f t="shared" si="6"/>
        <v>YSECUSDT</v>
      </c>
      <c r="E403" s="125" t="e">
        <f ca="1">VLOOKUP(D403,'Курсы Бинанса'!B:C,2,FALSE)</f>
        <v>#N/A</v>
      </c>
    </row>
    <row r="404" spans="1:5">
      <c r="A404" s="121">
        <v>402</v>
      </c>
      <c r="B404" s="123" t="s">
        <v>15155</v>
      </c>
      <c r="C404" s="123" t="s">
        <v>15156</v>
      </c>
      <c r="D404" s="124" t="str">
        <f t="shared" si="6"/>
        <v>FISUSDT</v>
      </c>
      <c r="E404" s="125" t="e">
        <f ca="1">VLOOKUP(D404,'Курсы Бинанса'!B:C,2,FALSE)</f>
        <v>#N/A</v>
      </c>
    </row>
    <row r="405" spans="1:5">
      <c r="A405" s="121">
        <v>403</v>
      </c>
      <c r="B405" s="123" t="s">
        <v>15157</v>
      </c>
      <c r="C405" s="123" t="s">
        <v>15158</v>
      </c>
      <c r="D405" s="124" t="str">
        <f t="shared" si="6"/>
        <v>MOFUSDT</v>
      </c>
      <c r="E405" s="125" t="e">
        <f ca="1">VLOOKUP(D405,'Курсы Бинанса'!B:C,2,FALSE)</f>
        <v>#N/A</v>
      </c>
    </row>
    <row r="406" spans="1:5">
      <c r="A406" s="121">
        <v>404</v>
      </c>
      <c r="B406" s="123" t="s">
        <v>15159</v>
      </c>
      <c r="C406" s="123" t="s">
        <v>15160</v>
      </c>
      <c r="D406" s="124" t="str">
        <f t="shared" si="6"/>
        <v>SFPUSDT</v>
      </c>
      <c r="E406" s="125" t="e">
        <f ca="1">VLOOKUP(D406,'Курсы Бинанса'!B:C,2,FALSE)</f>
        <v>#N/A</v>
      </c>
    </row>
    <row r="407" spans="1:5">
      <c r="A407" s="121">
        <v>405</v>
      </c>
      <c r="B407" s="123" t="s">
        <v>15161</v>
      </c>
      <c r="C407" s="123" t="s">
        <v>15162</v>
      </c>
      <c r="D407" s="124" t="str">
        <f t="shared" si="6"/>
        <v>ZRXUSDT</v>
      </c>
      <c r="E407" s="125" t="e">
        <f ca="1">VLOOKUP(D407,'Курсы Бинанса'!B:C,2,FALSE)</f>
        <v>#N/A</v>
      </c>
    </row>
    <row r="408" spans="1:5">
      <c r="A408" s="121">
        <v>406</v>
      </c>
      <c r="B408" s="123" t="s">
        <v>15163</v>
      </c>
      <c r="C408" s="123" t="s">
        <v>15164</v>
      </c>
      <c r="D408" s="124" t="str">
        <f t="shared" si="6"/>
        <v>ADKUSDT</v>
      </c>
      <c r="E408" s="125" t="e">
        <f ca="1">VLOOKUP(D408,'Курсы Бинанса'!B:C,2,FALSE)</f>
        <v>#N/A</v>
      </c>
    </row>
    <row r="409" spans="1:5">
      <c r="A409" s="121">
        <v>407</v>
      </c>
      <c r="B409" s="123" t="s">
        <v>15165</v>
      </c>
      <c r="C409" s="123" t="s">
        <v>15166</v>
      </c>
      <c r="D409" s="124" t="str">
        <f t="shared" si="6"/>
        <v>HARDUSDT</v>
      </c>
      <c r="E409" s="125" t="e">
        <f ca="1">VLOOKUP(D409,'Курсы Бинанса'!B:C,2,FALSE)</f>
        <v>#N/A</v>
      </c>
    </row>
    <row r="410" spans="1:5">
      <c r="A410" s="121">
        <v>408</v>
      </c>
      <c r="B410" s="123" t="s">
        <v>15167</v>
      </c>
      <c r="C410" s="123" t="s">
        <v>15168</v>
      </c>
      <c r="D410" s="124" t="str">
        <f t="shared" si="6"/>
        <v>FRONTUSDT</v>
      </c>
      <c r="E410" s="125" t="e">
        <f ca="1">VLOOKUP(D410,'Курсы Бинанса'!B:C,2,FALSE)</f>
        <v>#N/A</v>
      </c>
    </row>
    <row r="411" spans="1:5">
      <c r="A411" s="121">
        <v>409</v>
      </c>
      <c r="B411" s="123" t="s">
        <v>15169</v>
      </c>
      <c r="C411" s="123" t="s">
        <v>15170</v>
      </c>
      <c r="D411" s="124" t="str">
        <f t="shared" si="6"/>
        <v>BRYUSDT</v>
      </c>
      <c r="E411" s="125" t="e">
        <f ca="1">VLOOKUP(D411,'Курсы Бинанса'!B:C,2,FALSE)</f>
        <v>#N/A</v>
      </c>
    </row>
    <row r="412" spans="1:5">
      <c r="A412" s="121">
        <v>410</v>
      </c>
      <c r="B412" s="123" t="s">
        <v>15171</v>
      </c>
      <c r="C412" s="123" t="s">
        <v>15172</v>
      </c>
      <c r="D412" s="124" t="str">
        <f t="shared" si="6"/>
        <v>ONTUSDT</v>
      </c>
      <c r="E412" s="125" t="e">
        <f ca="1">VLOOKUP(D412,'Курсы Бинанса'!B:C,2,FALSE)</f>
        <v>#N/A</v>
      </c>
    </row>
    <row r="413" spans="1:5">
      <c r="A413" s="121">
        <v>411</v>
      </c>
      <c r="B413" s="123" t="s">
        <v>15173</v>
      </c>
      <c r="C413" s="123" t="s">
        <v>15173</v>
      </c>
      <c r="D413" s="124" t="str">
        <f t="shared" si="6"/>
        <v>BSCPADUSDT</v>
      </c>
      <c r="E413" s="125" t="e">
        <f ca="1">VLOOKUP(D413,'Курсы Бинанса'!B:C,2,FALSE)</f>
        <v>#N/A</v>
      </c>
    </row>
    <row r="414" spans="1:5">
      <c r="A414" s="121">
        <v>412</v>
      </c>
      <c r="B414" s="123" t="s">
        <v>15174</v>
      </c>
      <c r="C414" s="123" t="s">
        <v>15175</v>
      </c>
      <c r="D414" s="124" t="str">
        <f t="shared" si="6"/>
        <v>ASTROUSDT</v>
      </c>
      <c r="E414" s="125" t="e">
        <f ca="1">VLOOKUP(D414,'Курсы Бинанса'!B:C,2,FALSE)</f>
        <v>#N/A</v>
      </c>
    </row>
    <row r="415" spans="1:5">
      <c r="A415" s="121">
        <v>413</v>
      </c>
      <c r="B415" s="123" t="s">
        <v>15176</v>
      </c>
      <c r="C415" s="123" t="s">
        <v>15177</v>
      </c>
      <c r="D415" s="124" t="str">
        <f t="shared" si="6"/>
        <v>KEYFIUSDT</v>
      </c>
      <c r="E415" s="125" t="e">
        <f ca="1">VLOOKUP(D415,'Курсы Бинанса'!B:C,2,FALSE)</f>
        <v>#N/A</v>
      </c>
    </row>
    <row r="416" spans="1:5">
      <c r="A416" s="121">
        <v>414</v>
      </c>
      <c r="B416" s="123" t="s">
        <v>15178</v>
      </c>
      <c r="C416" s="123" t="s">
        <v>15179</v>
      </c>
      <c r="D416" s="124" t="str">
        <f t="shared" si="6"/>
        <v>XRLUSDT</v>
      </c>
      <c r="E416" s="125" t="e">
        <f ca="1">VLOOKUP(D416,'Курсы Бинанса'!B:C,2,FALSE)</f>
        <v>#N/A</v>
      </c>
    </row>
    <row r="417" spans="1:5">
      <c r="A417" s="121">
        <v>415</v>
      </c>
      <c r="B417" s="123" t="s">
        <v>15180</v>
      </c>
      <c r="C417" s="123" t="s">
        <v>15181</v>
      </c>
      <c r="D417" s="124" t="str">
        <f t="shared" si="6"/>
        <v>COCOSUSDT</v>
      </c>
      <c r="E417" s="125" t="e">
        <f ca="1">VLOOKUP(D417,'Курсы Бинанса'!B:C,2,FALSE)</f>
        <v>#N/A</v>
      </c>
    </row>
    <row r="418" spans="1:5">
      <c r="A418" s="121">
        <v>416</v>
      </c>
      <c r="B418" s="123" t="s">
        <v>15182</v>
      </c>
      <c r="C418" s="123" t="s">
        <v>15183</v>
      </c>
      <c r="D418" s="124" t="str">
        <f t="shared" ref="D418:D481" si="7">CONCATENATE(C418,"USDT")</f>
        <v>MAIDUSDT</v>
      </c>
      <c r="E418" s="125" t="e">
        <f ca="1">VLOOKUP(D418,'Курсы Бинанса'!B:C,2,FALSE)</f>
        <v>#N/A</v>
      </c>
    </row>
    <row r="419" spans="1:5">
      <c r="A419" s="121">
        <v>417</v>
      </c>
      <c r="B419" s="123" t="s">
        <v>15184</v>
      </c>
      <c r="C419" s="123" t="s">
        <v>15185</v>
      </c>
      <c r="D419" s="124" t="str">
        <f t="shared" si="7"/>
        <v>WOZXUSDT</v>
      </c>
      <c r="E419" s="125" t="e">
        <f ca="1">VLOOKUP(D419,'Курсы Бинанса'!B:C,2,FALSE)</f>
        <v>#N/A</v>
      </c>
    </row>
    <row r="420" spans="1:5">
      <c r="A420" s="121">
        <v>418</v>
      </c>
      <c r="B420" s="123" t="s">
        <v>15186</v>
      </c>
      <c r="C420" s="123" t="s">
        <v>15187</v>
      </c>
      <c r="D420" s="124" t="str">
        <f t="shared" si="7"/>
        <v>AABUSDT</v>
      </c>
      <c r="E420" s="125" t="e">
        <f ca="1">VLOOKUP(D420,'Курсы Бинанса'!B:C,2,FALSE)</f>
        <v>#N/A</v>
      </c>
    </row>
    <row r="421" spans="1:5">
      <c r="A421" s="121">
        <v>419</v>
      </c>
      <c r="B421" s="123" t="s">
        <v>15188</v>
      </c>
      <c r="C421" s="123" t="s">
        <v>15189</v>
      </c>
      <c r="D421" s="124" t="str">
        <f t="shared" si="7"/>
        <v>HCUSDT</v>
      </c>
      <c r="E421" s="125" t="e">
        <f ca="1">VLOOKUP(D421,'Курсы Бинанса'!B:C,2,FALSE)</f>
        <v>#N/A</v>
      </c>
    </row>
    <row r="422" spans="1:5">
      <c r="A422" s="121">
        <v>420</v>
      </c>
      <c r="B422" s="123" t="s">
        <v>15190</v>
      </c>
      <c r="C422" s="123" t="s">
        <v>15190</v>
      </c>
      <c r="D422" s="124" t="str">
        <f t="shared" si="7"/>
        <v>AEONUSDT</v>
      </c>
      <c r="E422" s="125" t="e">
        <f ca="1">VLOOKUP(D422,'Курсы Бинанса'!B:C,2,FALSE)</f>
        <v>#N/A</v>
      </c>
    </row>
    <row r="423" spans="1:5">
      <c r="A423" s="121">
        <v>421</v>
      </c>
      <c r="B423" s="123" t="s">
        <v>15191</v>
      </c>
      <c r="C423" s="123" t="s">
        <v>15192</v>
      </c>
      <c r="D423" s="124" t="str">
        <f t="shared" si="7"/>
        <v>EMRXUSDT</v>
      </c>
      <c r="E423" s="125" t="e">
        <f ca="1">VLOOKUP(D423,'Курсы Бинанса'!B:C,2,FALSE)</f>
        <v>#N/A</v>
      </c>
    </row>
    <row r="424" spans="1:5">
      <c r="A424" s="121">
        <v>422</v>
      </c>
      <c r="B424" s="123" t="s">
        <v>15193</v>
      </c>
      <c r="C424" s="123" t="s">
        <v>15194</v>
      </c>
      <c r="D424" s="124" t="str">
        <f t="shared" si="7"/>
        <v>MANAUSDT</v>
      </c>
      <c r="E424" s="125" t="e">
        <f ca="1">VLOOKUP(D424,'Курсы Бинанса'!B:C,2,FALSE)</f>
        <v>#N/A</v>
      </c>
    </row>
    <row r="425" spans="1:5">
      <c r="A425" s="121">
        <v>423</v>
      </c>
      <c r="B425" s="123" t="s">
        <v>15195</v>
      </c>
      <c r="C425" s="123" t="s">
        <v>15196</v>
      </c>
      <c r="D425" s="124" t="str">
        <f t="shared" si="7"/>
        <v>ALPHAUSDT</v>
      </c>
      <c r="E425" s="125" t="e">
        <f ca="1">VLOOKUP(D425,'Курсы Бинанса'!B:C,2,FALSE)</f>
        <v>#N/A</v>
      </c>
    </row>
    <row r="426" spans="1:5">
      <c r="A426" s="121">
        <v>424</v>
      </c>
      <c r="B426" s="123" t="s">
        <v>15197</v>
      </c>
      <c r="C426" s="123" t="s">
        <v>15198</v>
      </c>
      <c r="D426" s="124" t="str">
        <f t="shared" si="7"/>
        <v>BYNUSDT</v>
      </c>
      <c r="E426" s="125" t="e">
        <f ca="1">VLOOKUP(D426,'Курсы Бинанса'!B:C,2,FALSE)</f>
        <v>#N/A</v>
      </c>
    </row>
    <row r="427" spans="1:5">
      <c r="A427" s="121">
        <v>425</v>
      </c>
      <c r="B427" s="123" t="s">
        <v>15199</v>
      </c>
      <c r="C427" s="123" t="s">
        <v>15200</v>
      </c>
      <c r="D427" s="124" t="str">
        <f t="shared" si="7"/>
        <v>SWRVUSDT</v>
      </c>
      <c r="E427" s="125" t="e">
        <f ca="1">VLOOKUP(D427,'Курсы Бинанса'!B:C,2,FALSE)</f>
        <v>#N/A</v>
      </c>
    </row>
    <row r="428" spans="1:5">
      <c r="A428" s="121">
        <v>426</v>
      </c>
      <c r="B428" s="123" t="s">
        <v>15201</v>
      </c>
      <c r="C428" s="123" t="s">
        <v>15202</v>
      </c>
      <c r="D428" s="124" t="str">
        <f t="shared" si="7"/>
        <v>GHOSTUSDT</v>
      </c>
      <c r="E428" s="125" t="e">
        <f ca="1">VLOOKUP(D428,'Курсы Бинанса'!B:C,2,FALSE)</f>
        <v>#N/A</v>
      </c>
    </row>
    <row r="429" spans="1:5">
      <c r="A429" s="121">
        <v>427</v>
      </c>
      <c r="B429" s="123" t="s">
        <v>15203</v>
      </c>
      <c r="C429" s="123" t="s">
        <v>15202</v>
      </c>
      <c r="D429" s="124" t="str">
        <f t="shared" si="7"/>
        <v>GHOSTUSDT</v>
      </c>
      <c r="E429" s="125" t="e">
        <f ca="1">VLOOKUP(D429,'Курсы Бинанса'!B:C,2,FALSE)</f>
        <v>#N/A</v>
      </c>
    </row>
    <row r="430" spans="1:5">
      <c r="A430" s="121">
        <v>428</v>
      </c>
      <c r="B430" s="123" t="s">
        <v>15204</v>
      </c>
      <c r="C430" s="123" t="s">
        <v>15205</v>
      </c>
      <c r="D430" s="124" t="str">
        <f t="shared" si="7"/>
        <v>DDKUSDT</v>
      </c>
      <c r="E430" s="125" t="e">
        <f ca="1">VLOOKUP(D430,'Курсы Бинанса'!B:C,2,FALSE)</f>
        <v>#N/A</v>
      </c>
    </row>
    <row r="431" spans="1:5">
      <c r="A431" s="121">
        <v>429</v>
      </c>
      <c r="B431" s="123" t="s">
        <v>15206</v>
      </c>
      <c r="C431" s="123" t="s">
        <v>15207</v>
      </c>
      <c r="D431" s="124" t="str">
        <f t="shared" si="7"/>
        <v>RNDRUSDT</v>
      </c>
      <c r="E431" s="125" t="e">
        <f ca="1">VLOOKUP(D431,'Курсы Бинанса'!B:C,2,FALSE)</f>
        <v>#N/A</v>
      </c>
    </row>
    <row r="432" spans="1:5">
      <c r="A432" s="121">
        <v>430</v>
      </c>
      <c r="B432" s="123" t="s">
        <v>15208</v>
      </c>
      <c r="C432" s="123" t="s">
        <v>15209</v>
      </c>
      <c r="D432" s="124" t="str">
        <f t="shared" si="7"/>
        <v>CHSBUSDT</v>
      </c>
      <c r="E432" s="125" t="e">
        <f ca="1">VLOOKUP(D432,'Курсы Бинанса'!B:C,2,FALSE)</f>
        <v>#N/A</v>
      </c>
    </row>
    <row r="433" spans="1:5">
      <c r="A433" s="121">
        <v>431</v>
      </c>
      <c r="B433" s="123" t="s">
        <v>15210</v>
      </c>
      <c r="C433" s="123" t="s">
        <v>15210</v>
      </c>
      <c r="D433" s="124" t="str">
        <f t="shared" si="7"/>
        <v>XRPUSDT</v>
      </c>
      <c r="E433" s="125" t="e">
        <f ca="1">VLOOKUP(D433,'Курсы Бинанса'!B:C,2,FALSE)</f>
        <v>#N/A</v>
      </c>
    </row>
    <row r="434" spans="1:5">
      <c r="A434" s="121">
        <v>432</v>
      </c>
      <c r="B434" s="123" t="s">
        <v>15211</v>
      </c>
      <c r="C434" s="123" t="s">
        <v>15212</v>
      </c>
      <c r="D434" s="124" t="str">
        <f t="shared" si="7"/>
        <v>NRVUSDT</v>
      </c>
      <c r="E434" s="125" t="e">
        <f ca="1">VLOOKUP(D434,'Курсы Бинанса'!B:C,2,FALSE)</f>
        <v>#N/A</v>
      </c>
    </row>
    <row r="435" spans="1:5">
      <c r="A435" s="121">
        <v>433</v>
      </c>
      <c r="B435" s="123" t="s">
        <v>15213</v>
      </c>
      <c r="C435" s="123" t="s">
        <v>15214</v>
      </c>
      <c r="D435" s="124" t="str">
        <f t="shared" si="7"/>
        <v>UFTUSDT</v>
      </c>
      <c r="E435" s="125" t="e">
        <f ca="1">VLOOKUP(D435,'Курсы Бинанса'!B:C,2,FALSE)</f>
        <v>#N/A</v>
      </c>
    </row>
    <row r="436" spans="1:5">
      <c r="A436" s="121">
        <v>434</v>
      </c>
      <c r="B436" s="123" t="s">
        <v>15215</v>
      </c>
      <c r="C436" s="123" t="s">
        <v>15216</v>
      </c>
      <c r="D436" s="124" t="str">
        <f t="shared" si="7"/>
        <v>EPICUSDT</v>
      </c>
      <c r="E436" s="125" t="e">
        <f ca="1">VLOOKUP(D436,'Курсы Бинанса'!B:C,2,FALSE)</f>
        <v>#N/A</v>
      </c>
    </row>
    <row r="437" spans="1:5">
      <c r="A437" s="121">
        <v>435</v>
      </c>
      <c r="B437" s="123" t="s">
        <v>15217</v>
      </c>
      <c r="C437" s="123" t="s">
        <v>15218</v>
      </c>
      <c r="D437" s="124" t="str">
        <f t="shared" si="7"/>
        <v>MRPHUSDT</v>
      </c>
      <c r="E437" s="125" t="e">
        <f ca="1">VLOOKUP(D437,'Курсы Бинанса'!B:C,2,FALSE)</f>
        <v>#N/A</v>
      </c>
    </row>
    <row r="438" spans="1:5">
      <c r="A438" s="121">
        <v>436</v>
      </c>
      <c r="B438" s="123" t="s">
        <v>15219</v>
      </c>
      <c r="C438" s="123" t="s">
        <v>15220</v>
      </c>
      <c r="D438" s="124" t="str">
        <f t="shared" si="7"/>
        <v>TELOSUSDT</v>
      </c>
      <c r="E438" s="125" t="e">
        <f ca="1">VLOOKUP(D438,'Курсы Бинанса'!B:C,2,FALSE)</f>
        <v>#N/A</v>
      </c>
    </row>
    <row r="439" spans="1:5">
      <c r="A439" s="121">
        <v>437</v>
      </c>
      <c r="B439" s="123" t="s">
        <v>15221</v>
      </c>
      <c r="C439" s="123" t="s">
        <v>15222</v>
      </c>
      <c r="D439" s="124" t="str">
        <f t="shared" si="7"/>
        <v>NWCUSDT</v>
      </c>
      <c r="E439" s="125" t="e">
        <f ca="1">VLOOKUP(D439,'Курсы Бинанса'!B:C,2,FALSE)</f>
        <v>#N/A</v>
      </c>
    </row>
    <row r="440" spans="1:5">
      <c r="A440" s="121">
        <v>438</v>
      </c>
      <c r="B440" s="123" t="s">
        <v>15223</v>
      </c>
      <c r="C440" s="123" t="s">
        <v>15224</v>
      </c>
      <c r="D440" s="124" t="str">
        <f t="shared" si="7"/>
        <v>AXISUSDT</v>
      </c>
      <c r="E440" s="125" t="e">
        <f ca="1">VLOOKUP(D440,'Курсы Бинанса'!B:C,2,FALSE)</f>
        <v>#N/A</v>
      </c>
    </row>
    <row r="441" spans="1:5">
      <c r="A441" s="121">
        <v>439</v>
      </c>
      <c r="B441" s="123" t="s">
        <v>15225</v>
      </c>
      <c r="C441" s="123" t="s">
        <v>15226</v>
      </c>
      <c r="D441" s="124" t="str">
        <f t="shared" si="7"/>
        <v>TRIBEUSDT</v>
      </c>
      <c r="E441" s="125" t="e">
        <f ca="1">VLOOKUP(D441,'Курсы Бинанса'!B:C,2,FALSE)</f>
        <v>#N/A</v>
      </c>
    </row>
    <row r="442" spans="1:5">
      <c r="A442" s="121">
        <v>440</v>
      </c>
      <c r="B442" s="123" t="s">
        <v>15227</v>
      </c>
      <c r="C442" s="123" t="s">
        <v>15227</v>
      </c>
      <c r="D442" s="124" t="str">
        <f t="shared" si="7"/>
        <v>K21USDT</v>
      </c>
      <c r="E442" s="125" t="e">
        <f ca="1">VLOOKUP(D442,'Курсы Бинанса'!B:C,2,FALSE)</f>
        <v>#N/A</v>
      </c>
    </row>
    <row r="443" spans="1:5">
      <c r="A443" s="121">
        <v>441</v>
      </c>
      <c r="B443" s="123" t="s">
        <v>15228</v>
      </c>
      <c r="C443" s="123" t="s">
        <v>15229</v>
      </c>
      <c r="D443" s="124" t="str">
        <f t="shared" si="7"/>
        <v>EPSUSDT</v>
      </c>
      <c r="E443" s="125" t="e">
        <f ca="1">VLOOKUP(D443,'Курсы Бинанса'!B:C,2,FALSE)</f>
        <v>#N/A</v>
      </c>
    </row>
    <row r="444" spans="1:5">
      <c r="A444" s="121">
        <v>442</v>
      </c>
      <c r="B444" s="123" t="s">
        <v>15230</v>
      </c>
      <c r="C444" s="123" t="s">
        <v>15231</v>
      </c>
      <c r="D444" s="124" t="str">
        <f t="shared" si="7"/>
        <v>BHPUSDT</v>
      </c>
      <c r="E444" s="125" t="e">
        <f ca="1">VLOOKUP(D444,'Курсы Бинанса'!B:C,2,FALSE)</f>
        <v>#N/A</v>
      </c>
    </row>
    <row r="445" spans="1:5">
      <c r="A445" s="121">
        <v>443</v>
      </c>
      <c r="B445" s="123" t="s">
        <v>15232</v>
      </c>
      <c r="C445" s="123" t="s">
        <v>15233</v>
      </c>
      <c r="D445" s="124" t="str">
        <f t="shared" si="7"/>
        <v>MDAUSDT</v>
      </c>
      <c r="E445" s="125" t="e">
        <f ca="1">VLOOKUP(D445,'Курсы Бинанса'!B:C,2,FALSE)</f>
        <v>#N/A</v>
      </c>
    </row>
    <row r="446" spans="1:5">
      <c r="A446" s="121">
        <v>444</v>
      </c>
      <c r="B446" s="123" t="s">
        <v>15234</v>
      </c>
      <c r="C446" s="123" t="s">
        <v>15235</v>
      </c>
      <c r="D446" s="124" t="str">
        <f t="shared" si="7"/>
        <v>GRGUSDT</v>
      </c>
      <c r="E446" s="125" t="e">
        <f ca="1">VLOOKUP(D446,'Курсы Бинанса'!B:C,2,FALSE)</f>
        <v>#N/A</v>
      </c>
    </row>
    <row r="447" spans="1:5">
      <c r="A447" s="121">
        <v>445</v>
      </c>
      <c r="B447" s="123" t="s">
        <v>15236</v>
      </c>
      <c r="C447" s="123" t="s">
        <v>15237</v>
      </c>
      <c r="D447" s="124" t="str">
        <f t="shared" si="7"/>
        <v>GDAOUSDT</v>
      </c>
      <c r="E447" s="125" t="e">
        <f ca="1">VLOOKUP(D447,'Курсы Бинанса'!B:C,2,FALSE)</f>
        <v>#N/A</v>
      </c>
    </row>
    <row r="448" spans="1:5">
      <c r="A448" s="121">
        <v>446</v>
      </c>
      <c r="B448" s="123" t="s">
        <v>15238</v>
      </c>
      <c r="C448" s="123" t="s">
        <v>15239</v>
      </c>
      <c r="D448" s="124" t="str">
        <f t="shared" si="7"/>
        <v>NAOSUSDT</v>
      </c>
      <c r="E448" s="125" t="e">
        <f ca="1">VLOOKUP(D448,'Курсы Бинанса'!B:C,2,FALSE)</f>
        <v>#N/A</v>
      </c>
    </row>
    <row r="449" spans="1:5">
      <c r="A449" s="121">
        <v>447</v>
      </c>
      <c r="B449" s="123" t="s">
        <v>15240</v>
      </c>
      <c r="C449" s="123" t="s">
        <v>15241</v>
      </c>
      <c r="D449" s="124" t="str">
        <f t="shared" si="7"/>
        <v>BTC2USDT</v>
      </c>
      <c r="E449" s="125" t="e">
        <f ca="1">VLOOKUP(D449,'Курсы Бинанса'!B:C,2,FALSE)</f>
        <v>#N/A</v>
      </c>
    </row>
    <row r="450" spans="1:5">
      <c r="A450" s="121">
        <v>448</v>
      </c>
      <c r="B450" s="123" t="s">
        <v>15242</v>
      </c>
      <c r="C450" s="123" t="s">
        <v>15243</v>
      </c>
      <c r="D450" s="124" t="str">
        <f t="shared" si="7"/>
        <v>ADSUSDT</v>
      </c>
      <c r="E450" s="125" t="e">
        <f ca="1">VLOOKUP(D450,'Курсы Бинанса'!B:C,2,FALSE)</f>
        <v>#N/A</v>
      </c>
    </row>
    <row r="451" spans="1:5">
      <c r="A451" s="121">
        <v>449</v>
      </c>
      <c r="B451" s="123" t="s">
        <v>15244</v>
      </c>
      <c r="C451" s="123" t="s">
        <v>15245</v>
      </c>
      <c r="D451" s="124" t="str">
        <f t="shared" si="7"/>
        <v>PYLNTUSDT</v>
      </c>
      <c r="E451" s="125" t="e">
        <f ca="1">VLOOKUP(D451,'Курсы Бинанса'!B:C,2,FALSE)</f>
        <v>#N/A</v>
      </c>
    </row>
    <row r="452" spans="1:5">
      <c r="A452" s="121">
        <v>450</v>
      </c>
      <c r="B452" s="123" t="s">
        <v>15246</v>
      </c>
      <c r="C452" s="123" t="s">
        <v>15247</v>
      </c>
      <c r="D452" s="124" t="str">
        <f t="shared" si="7"/>
        <v>BMIUSDT</v>
      </c>
      <c r="E452" s="125" t="e">
        <f ca="1">VLOOKUP(D452,'Курсы Бинанса'!B:C,2,FALSE)</f>
        <v>#N/A</v>
      </c>
    </row>
    <row r="453" spans="1:5">
      <c r="A453" s="121">
        <v>451</v>
      </c>
      <c r="B453" s="123" t="s">
        <v>15248</v>
      </c>
      <c r="C453" s="123" t="s">
        <v>15249</v>
      </c>
      <c r="D453" s="124" t="str">
        <f t="shared" si="7"/>
        <v>WOOUSDT</v>
      </c>
      <c r="E453" s="125" t="e">
        <f ca="1">VLOOKUP(D453,'Курсы Бинанса'!B:C,2,FALSE)</f>
        <v>#N/A</v>
      </c>
    </row>
    <row r="454" spans="1:5">
      <c r="A454" s="121">
        <v>452</v>
      </c>
      <c r="B454" s="123" t="s">
        <v>15250</v>
      </c>
      <c r="C454" s="123" t="s">
        <v>15251</v>
      </c>
      <c r="D454" s="124" t="str">
        <f t="shared" si="7"/>
        <v>WANUSDT</v>
      </c>
      <c r="E454" s="125" t="e">
        <f ca="1">VLOOKUP(D454,'Курсы Бинанса'!B:C,2,FALSE)</f>
        <v>#N/A</v>
      </c>
    </row>
    <row r="455" spans="1:5">
      <c r="A455" s="121">
        <v>453</v>
      </c>
      <c r="B455" s="123" t="s">
        <v>15252</v>
      </c>
      <c r="C455" s="123" t="s">
        <v>15253</v>
      </c>
      <c r="D455" s="124" t="str">
        <f t="shared" si="7"/>
        <v>UMXUSDT</v>
      </c>
      <c r="E455" s="125" t="e">
        <f ca="1">VLOOKUP(D455,'Курсы Бинанса'!B:C,2,FALSE)</f>
        <v>#N/A</v>
      </c>
    </row>
    <row r="456" spans="1:5">
      <c r="A456" s="121">
        <v>454</v>
      </c>
      <c r="B456" s="123" t="s">
        <v>15254</v>
      </c>
      <c r="C456" s="123" t="s">
        <v>15255</v>
      </c>
      <c r="D456" s="124" t="str">
        <f t="shared" si="7"/>
        <v>ALPACAUSDT</v>
      </c>
      <c r="E456" s="125" t="e">
        <f ca="1">VLOOKUP(D456,'Курсы Бинанса'!B:C,2,FALSE)</f>
        <v>#N/A</v>
      </c>
    </row>
    <row r="457" spans="1:5">
      <c r="A457" s="121">
        <v>455</v>
      </c>
      <c r="B457" s="123" t="s">
        <v>15256</v>
      </c>
      <c r="C457" s="123" t="s">
        <v>15257</v>
      </c>
      <c r="D457" s="124" t="str">
        <f t="shared" si="7"/>
        <v>WTCUSDT</v>
      </c>
      <c r="E457" s="125" t="e">
        <f ca="1">VLOOKUP(D457,'Курсы Бинанса'!B:C,2,FALSE)</f>
        <v>#N/A</v>
      </c>
    </row>
    <row r="458" spans="1:5">
      <c r="A458" s="121">
        <v>456</v>
      </c>
      <c r="B458" s="123" t="s">
        <v>15258</v>
      </c>
      <c r="C458" s="123" t="s">
        <v>15259</v>
      </c>
      <c r="D458" s="124" t="str">
        <f t="shared" si="7"/>
        <v>DCNTRUSDT</v>
      </c>
      <c r="E458" s="125" t="e">
        <f ca="1">VLOOKUP(D458,'Курсы Бинанса'!B:C,2,FALSE)</f>
        <v>#N/A</v>
      </c>
    </row>
    <row r="459" spans="1:5">
      <c r="A459" s="121">
        <v>457</v>
      </c>
      <c r="B459" s="123" t="s">
        <v>15260</v>
      </c>
      <c r="C459" s="123" t="s">
        <v>15261</v>
      </c>
      <c r="D459" s="124" t="str">
        <f t="shared" si="7"/>
        <v>SFUNDUSDT</v>
      </c>
      <c r="E459" s="125" t="e">
        <f ca="1">VLOOKUP(D459,'Курсы Бинанса'!B:C,2,FALSE)</f>
        <v>#N/A</v>
      </c>
    </row>
    <row r="460" spans="1:5">
      <c r="A460" s="121">
        <v>458</v>
      </c>
      <c r="B460" s="123" t="s">
        <v>15262</v>
      </c>
      <c r="C460" s="123" t="s">
        <v>15262</v>
      </c>
      <c r="D460" s="124" t="str">
        <f t="shared" si="7"/>
        <v>PIVXUSDT</v>
      </c>
      <c r="E460" s="125" t="e">
        <f ca="1">VLOOKUP(D460,'Курсы Бинанса'!B:C,2,FALSE)</f>
        <v>#N/A</v>
      </c>
    </row>
    <row r="461" spans="1:5">
      <c r="A461" s="121">
        <v>459</v>
      </c>
      <c r="B461" s="123" t="s">
        <v>15263</v>
      </c>
      <c r="C461" s="123" t="s">
        <v>15264</v>
      </c>
      <c r="D461" s="124" t="str">
        <f t="shared" si="7"/>
        <v>AGAUSDT</v>
      </c>
      <c r="E461" s="125" t="e">
        <f ca="1">VLOOKUP(D461,'Курсы Бинанса'!B:C,2,FALSE)</f>
        <v>#N/A</v>
      </c>
    </row>
    <row r="462" spans="1:5">
      <c r="A462" s="121">
        <v>460</v>
      </c>
      <c r="B462" s="123" t="s">
        <v>15265</v>
      </c>
      <c r="C462" s="123" t="s">
        <v>15266</v>
      </c>
      <c r="D462" s="124" t="str">
        <f t="shared" si="7"/>
        <v>BATUSDT</v>
      </c>
      <c r="E462" s="125" t="e">
        <f ca="1">VLOOKUP(D462,'Курсы Бинанса'!B:C,2,FALSE)</f>
        <v>#N/A</v>
      </c>
    </row>
    <row r="463" spans="1:5">
      <c r="A463" s="121">
        <v>461</v>
      </c>
      <c r="B463" s="123" t="s">
        <v>15267</v>
      </c>
      <c r="C463" s="123" t="s">
        <v>15268</v>
      </c>
      <c r="D463" s="124" t="str">
        <f t="shared" si="7"/>
        <v>DYNUSDT</v>
      </c>
      <c r="E463" s="125" t="e">
        <f ca="1">VLOOKUP(D463,'Курсы Бинанса'!B:C,2,FALSE)</f>
        <v>#N/A</v>
      </c>
    </row>
    <row r="464" spans="1:5">
      <c r="A464" s="121">
        <v>462</v>
      </c>
      <c r="B464" s="123" t="s">
        <v>15269</v>
      </c>
      <c r="C464" s="123" t="s">
        <v>15270</v>
      </c>
      <c r="D464" s="124" t="str">
        <f t="shared" si="7"/>
        <v>HXROUSDT</v>
      </c>
      <c r="E464" s="125" t="e">
        <f ca="1">VLOOKUP(D464,'Курсы Бинанса'!B:C,2,FALSE)</f>
        <v>#N/A</v>
      </c>
    </row>
    <row r="465" spans="1:5">
      <c r="A465" s="121">
        <v>463</v>
      </c>
      <c r="B465" s="123" t="s">
        <v>15271</v>
      </c>
      <c r="C465" s="123" t="s">
        <v>15272</v>
      </c>
      <c r="D465" s="124" t="str">
        <f t="shared" si="7"/>
        <v>BCUGUSDT</v>
      </c>
      <c r="E465" s="125" t="e">
        <f ca="1">VLOOKUP(D465,'Курсы Бинанса'!B:C,2,FALSE)</f>
        <v>#N/A</v>
      </c>
    </row>
    <row r="466" spans="1:5">
      <c r="A466" s="121">
        <v>464</v>
      </c>
      <c r="B466" s="123" t="s">
        <v>15273</v>
      </c>
      <c r="C466" s="123" t="s">
        <v>15274</v>
      </c>
      <c r="D466" s="124" t="str">
        <f t="shared" si="7"/>
        <v>MXUSDT</v>
      </c>
      <c r="E466" s="125" t="e">
        <f ca="1">VLOOKUP(D466,'Курсы Бинанса'!B:C,2,FALSE)</f>
        <v>#N/A</v>
      </c>
    </row>
    <row r="467" spans="1:5">
      <c r="A467" s="121">
        <v>465</v>
      </c>
      <c r="B467" s="123" t="s">
        <v>15275</v>
      </c>
      <c r="C467" s="123" t="s">
        <v>15276</v>
      </c>
      <c r="D467" s="124" t="str">
        <f t="shared" si="7"/>
        <v>BTUUSDT</v>
      </c>
      <c r="E467" s="125" t="e">
        <f ca="1">VLOOKUP(D467,'Курсы Бинанса'!B:C,2,FALSE)</f>
        <v>#N/A</v>
      </c>
    </row>
    <row r="468" spans="1:5">
      <c r="A468" s="121">
        <v>466</v>
      </c>
      <c r="B468" s="123" t="s">
        <v>15277</v>
      </c>
      <c r="C468" s="123" t="s">
        <v>15276</v>
      </c>
      <c r="D468" s="124" t="str">
        <f t="shared" si="7"/>
        <v>BTUUSDT</v>
      </c>
      <c r="E468" s="125" t="e">
        <f ca="1">VLOOKUP(D468,'Курсы Бинанса'!B:C,2,FALSE)</f>
        <v>#N/A</v>
      </c>
    </row>
    <row r="469" spans="1:5">
      <c r="A469" s="121">
        <v>467</v>
      </c>
      <c r="B469" s="123" t="s">
        <v>15278</v>
      </c>
      <c r="C469" s="123" t="s">
        <v>15279</v>
      </c>
      <c r="D469" s="124" t="str">
        <f t="shared" si="7"/>
        <v>UOSUSDT</v>
      </c>
      <c r="E469" s="125" t="e">
        <f ca="1">VLOOKUP(D469,'Курсы Бинанса'!B:C,2,FALSE)</f>
        <v>#N/A</v>
      </c>
    </row>
    <row r="470" spans="1:5">
      <c r="A470" s="121">
        <v>468</v>
      </c>
      <c r="B470" s="123" t="s">
        <v>15280</v>
      </c>
      <c r="C470" s="123" t="s">
        <v>15281</v>
      </c>
      <c r="D470" s="124" t="str">
        <f t="shared" si="7"/>
        <v>ISLAUSDT</v>
      </c>
      <c r="E470" s="125" t="e">
        <f ca="1">VLOOKUP(D470,'Курсы Бинанса'!B:C,2,FALSE)</f>
        <v>#N/A</v>
      </c>
    </row>
    <row r="471" spans="1:5">
      <c r="A471" s="121">
        <v>469</v>
      </c>
      <c r="B471" s="123" t="s">
        <v>15282</v>
      </c>
      <c r="C471" s="123" t="s">
        <v>15283</v>
      </c>
      <c r="D471" s="124" t="str">
        <f t="shared" si="7"/>
        <v>GOFUSDT</v>
      </c>
      <c r="E471" s="125" t="e">
        <f ca="1">VLOOKUP(D471,'Курсы Бинанса'!B:C,2,FALSE)</f>
        <v>#N/A</v>
      </c>
    </row>
    <row r="472" spans="1:5">
      <c r="A472" s="121">
        <v>470</v>
      </c>
      <c r="B472" s="123" t="s">
        <v>15284</v>
      </c>
      <c r="C472" s="123" t="s">
        <v>15285</v>
      </c>
      <c r="D472" s="124" t="str">
        <f t="shared" si="7"/>
        <v>SANDUSDT</v>
      </c>
      <c r="E472" s="125" t="e">
        <f ca="1">VLOOKUP(D472,'Курсы Бинанса'!B:C,2,FALSE)</f>
        <v>#N/A</v>
      </c>
    </row>
    <row r="473" spans="1:5">
      <c r="A473" s="121">
        <v>471</v>
      </c>
      <c r="B473" s="123" t="s">
        <v>15286</v>
      </c>
      <c r="C473" s="123" t="s">
        <v>15287</v>
      </c>
      <c r="D473" s="124" t="str">
        <f t="shared" si="7"/>
        <v>TONUSDT</v>
      </c>
      <c r="E473" s="125" t="e">
        <f ca="1">VLOOKUP(D473,'Курсы Бинанса'!B:C,2,FALSE)</f>
        <v>#N/A</v>
      </c>
    </row>
    <row r="474" spans="1:5">
      <c r="A474" s="121">
        <v>472</v>
      </c>
      <c r="B474" s="123" t="s">
        <v>15288</v>
      </c>
      <c r="C474" s="123" t="s">
        <v>15287</v>
      </c>
      <c r="D474" s="124" t="str">
        <f t="shared" si="7"/>
        <v>TONUSDT</v>
      </c>
      <c r="E474" s="125" t="e">
        <f ca="1">VLOOKUP(D474,'Курсы Бинанса'!B:C,2,FALSE)</f>
        <v>#N/A</v>
      </c>
    </row>
    <row r="475" spans="1:5">
      <c r="A475" s="121">
        <v>473</v>
      </c>
      <c r="B475" s="123" t="s">
        <v>15289</v>
      </c>
      <c r="C475" s="123" t="s">
        <v>15290</v>
      </c>
      <c r="D475" s="124" t="str">
        <f t="shared" si="7"/>
        <v>BEAMUSDT</v>
      </c>
      <c r="E475" s="125" t="e">
        <f ca="1">VLOOKUP(D475,'Курсы Бинанса'!B:C,2,FALSE)</f>
        <v>#N/A</v>
      </c>
    </row>
    <row r="476" spans="1:5">
      <c r="A476" s="121">
        <v>474</v>
      </c>
      <c r="B476" s="123" t="s">
        <v>15291</v>
      </c>
      <c r="C476" s="123" t="s">
        <v>15292</v>
      </c>
      <c r="D476" s="124" t="str">
        <f t="shared" si="7"/>
        <v>PLTCUSDT</v>
      </c>
      <c r="E476" s="125" t="e">
        <f ca="1">VLOOKUP(D476,'Курсы Бинанса'!B:C,2,FALSE)</f>
        <v>#N/A</v>
      </c>
    </row>
    <row r="477" spans="1:5">
      <c r="A477" s="121">
        <v>475</v>
      </c>
      <c r="B477" s="123" t="s">
        <v>15293</v>
      </c>
      <c r="C477" s="123" t="s">
        <v>15294</v>
      </c>
      <c r="D477" s="124" t="str">
        <f t="shared" si="7"/>
        <v>SAFEUSDT</v>
      </c>
      <c r="E477" s="125" t="e">
        <f ca="1">VLOOKUP(D477,'Курсы Бинанса'!B:C,2,FALSE)</f>
        <v>#N/A</v>
      </c>
    </row>
    <row r="478" spans="1:5">
      <c r="A478" s="121">
        <v>476</v>
      </c>
      <c r="B478" s="123" t="s">
        <v>15295</v>
      </c>
      <c r="C478" s="123" t="s">
        <v>15294</v>
      </c>
      <c r="D478" s="124" t="str">
        <f t="shared" si="7"/>
        <v>SAFEUSDT</v>
      </c>
      <c r="E478" s="125" t="e">
        <f ca="1">VLOOKUP(D478,'Курсы Бинанса'!B:C,2,FALSE)</f>
        <v>#N/A</v>
      </c>
    </row>
    <row r="479" spans="1:5">
      <c r="A479" s="121">
        <v>477</v>
      </c>
      <c r="B479" s="123" t="s">
        <v>15296</v>
      </c>
      <c r="C479" s="123" t="s">
        <v>15297</v>
      </c>
      <c r="D479" s="124" t="str">
        <f t="shared" si="7"/>
        <v>VTCUSDT</v>
      </c>
      <c r="E479" s="125" t="e">
        <f ca="1">VLOOKUP(D479,'Курсы Бинанса'!B:C,2,FALSE)</f>
        <v>#N/A</v>
      </c>
    </row>
    <row r="480" spans="1:5">
      <c r="A480" s="121">
        <v>478</v>
      </c>
      <c r="B480" s="123" t="s">
        <v>15298</v>
      </c>
      <c r="C480" s="123" t="s">
        <v>15299</v>
      </c>
      <c r="D480" s="124" t="str">
        <f t="shared" si="7"/>
        <v>HKNUSDT</v>
      </c>
      <c r="E480" s="125" t="e">
        <f ca="1">VLOOKUP(D480,'Курсы Бинанса'!B:C,2,FALSE)</f>
        <v>#N/A</v>
      </c>
    </row>
    <row r="481" spans="1:5">
      <c r="A481" s="121">
        <v>479</v>
      </c>
      <c r="B481" s="123" t="s">
        <v>15300</v>
      </c>
      <c r="C481" s="123" t="s">
        <v>15301</v>
      </c>
      <c r="D481" s="124" t="str">
        <f t="shared" si="7"/>
        <v>HTRUSDT</v>
      </c>
      <c r="E481" s="125" t="e">
        <f ca="1">VLOOKUP(D481,'Курсы Бинанса'!B:C,2,FALSE)</f>
        <v>#N/A</v>
      </c>
    </row>
    <row r="482" spans="1:5">
      <c r="A482" s="121">
        <v>480</v>
      </c>
      <c r="B482" s="123" t="s">
        <v>15302</v>
      </c>
      <c r="C482" s="123" t="s">
        <v>15303</v>
      </c>
      <c r="D482" s="124" t="str">
        <f t="shared" ref="D482:D545" si="8">CONCATENATE(C482,"USDT")</f>
        <v>GLEECUSDT</v>
      </c>
      <c r="E482" s="125" t="e">
        <f ca="1">VLOOKUP(D482,'Курсы Бинанса'!B:C,2,FALSE)</f>
        <v>#N/A</v>
      </c>
    </row>
    <row r="483" spans="1:5">
      <c r="A483" s="121">
        <v>481</v>
      </c>
      <c r="B483" s="123" t="s">
        <v>15304</v>
      </c>
      <c r="C483" s="123" t="s">
        <v>15305</v>
      </c>
      <c r="D483" s="124" t="str">
        <f t="shared" si="8"/>
        <v>NXSUSDT</v>
      </c>
      <c r="E483" s="125" t="e">
        <f ca="1">VLOOKUP(D483,'Курсы Бинанса'!B:C,2,FALSE)</f>
        <v>#N/A</v>
      </c>
    </row>
    <row r="484" spans="1:5">
      <c r="A484" s="121">
        <v>482</v>
      </c>
      <c r="B484" s="123" t="s">
        <v>15306</v>
      </c>
      <c r="C484" s="123" t="s">
        <v>15307</v>
      </c>
      <c r="D484" s="124" t="str">
        <f t="shared" si="8"/>
        <v>GXCUSDT</v>
      </c>
      <c r="E484" s="125" t="e">
        <f ca="1">VLOOKUP(D484,'Курсы Бинанса'!B:C,2,FALSE)</f>
        <v>#N/A</v>
      </c>
    </row>
    <row r="485" spans="1:5">
      <c r="A485" s="121">
        <v>483</v>
      </c>
      <c r="B485" s="123" t="s">
        <v>15308</v>
      </c>
      <c r="C485" s="123" t="s">
        <v>15309</v>
      </c>
      <c r="D485" s="124" t="str">
        <f t="shared" si="8"/>
        <v>MASSUSDT</v>
      </c>
      <c r="E485" s="125" t="e">
        <f ca="1">VLOOKUP(D485,'Курсы Бинанса'!B:C,2,FALSE)</f>
        <v>#N/A</v>
      </c>
    </row>
    <row r="486" spans="1:5">
      <c r="A486" s="121">
        <v>484</v>
      </c>
      <c r="B486" s="123" t="s">
        <v>15310</v>
      </c>
      <c r="C486" s="123" t="s">
        <v>15311</v>
      </c>
      <c r="D486" s="124" t="str">
        <f t="shared" si="8"/>
        <v>LYNCUSDT</v>
      </c>
      <c r="E486" s="125" t="e">
        <f ca="1">VLOOKUP(D486,'Курсы Бинанса'!B:C,2,FALSE)</f>
        <v>#N/A</v>
      </c>
    </row>
    <row r="487" spans="1:5">
      <c r="A487" s="121">
        <v>485</v>
      </c>
      <c r="B487" s="123" t="s">
        <v>15312</v>
      </c>
      <c r="C487" s="123" t="s">
        <v>15313</v>
      </c>
      <c r="D487" s="124" t="str">
        <f t="shared" si="8"/>
        <v>VAIUSDT</v>
      </c>
      <c r="E487" s="125" t="e">
        <f ca="1">VLOOKUP(D487,'Курсы Бинанса'!B:C,2,FALSE)</f>
        <v>#N/A</v>
      </c>
    </row>
    <row r="488" spans="1:5">
      <c r="A488" s="121">
        <v>486</v>
      </c>
      <c r="B488" s="123" t="s">
        <v>15314</v>
      </c>
      <c r="C488" s="123" t="s">
        <v>15315</v>
      </c>
      <c r="D488" s="124" t="str">
        <f t="shared" si="8"/>
        <v>WATCHUSDT</v>
      </c>
      <c r="E488" s="125" t="e">
        <f ca="1">VLOOKUP(D488,'Курсы Бинанса'!B:C,2,FALSE)</f>
        <v>#N/A</v>
      </c>
    </row>
    <row r="489" spans="1:5">
      <c r="A489" s="121">
        <v>487</v>
      </c>
      <c r="B489" s="123" t="s">
        <v>15316</v>
      </c>
      <c r="C489" s="123" t="s">
        <v>15317</v>
      </c>
      <c r="D489" s="124" t="str">
        <f t="shared" si="8"/>
        <v>PRQUSDT</v>
      </c>
      <c r="E489" s="125" t="e">
        <f ca="1">VLOOKUP(D489,'Курсы Бинанса'!B:C,2,FALSE)</f>
        <v>#N/A</v>
      </c>
    </row>
    <row r="490" spans="1:5">
      <c r="A490" s="121">
        <v>488</v>
      </c>
      <c r="B490" s="123" t="s">
        <v>15318</v>
      </c>
      <c r="C490" s="123" t="s">
        <v>15319</v>
      </c>
      <c r="D490" s="124" t="str">
        <f t="shared" si="8"/>
        <v>0xBTCUSDT</v>
      </c>
      <c r="E490" s="125" t="e">
        <f ca="1">VLOOKUP(D490,'Курсы Бинанса'!B:C,2,FALSE)</f>
        <v>#N/A</v>
      </c>
    </row>
    <row r="491" spans="1:5">
      <c r="A491" s="121">
        <v>489</v>
      </c>
      <c r="B491" s="123" t="s">
        <v>15320</v>
      </c>
      <c r="C491" s="123" t="s">
        <v>15321</v>
      </c>
      <c r="D491" s="124" t="str">
        <f t="shared" si="8"/>
        <v>DOUGHUSDT</v>
      </c>
      <c r="E491" s="125" t="e">
        <f ca="1">VLOOKUP(D491,'Курсы Бинанса'!B:C,2,FALSE)</f>
        <v>#N/A</v>
      </c>
    </row>
    <row r="492" spans="1:5">
      <c r="A492" s="121">
        <v>490</v>
      </c>
      <c r="B492" s="123" t="s">
        <v>15322</v>
      </c>
      <c r="C492" s="123" t="s">
        <v>15323</v>
      </c>
      <c r="D492" s="124" t="str">
        <f t="shared" si="8"/>
        <v>CTSIUSDT</v>
      </c>
      <c r="E492" s="125" t="e">
        <f ca="1">VLOOKUP(D492,'Курсы Бинанса'!B:C,2,FALSE)</f>
        <v>#N/A</v>
      </c>
    </row>
    <row r="493" spans="1:5">
      <c r="A493" s="121">
        <v>491</v>
      </c>
      <c r="B493" s="123" t="s">
        <v>15324</v>
      </c>
      <c r="C493" s="123" t="s">
        <v>15325</v>
      </c>
      <c r="D493" s="124" t="str">
        <f t="shared" si="8"/>
        <v>CLOAKUSDT</v>
      </c>
      <c r="E493" s="125" t="e">
        <f ca="1">VLOOKUP(D493,'Курсы Бинанса'!B:C,2,FALSE)</f>
        <v>#N/A</v>
      </c>
    </row>
    <row r="494" spans="1:5">
      <c r="A494" s="121">
        <v>492</v>
      </c>
      <c r="B494" s="123" t="s">
        <v>15326</v>
      </c>
      <c r="C494" s="123" t="s">
        <v>15327</v>
      </c>
      <c r="D494" s="124" t="str">
        <f t="shared" si="8"/>
        <v>ISIKCUSDT</v>
      </c>
      <c r="E494" s="125" t="e">
        <f ca="1">VLOOKUP(D494,'Курсы Бинанса'!B:C,2,FALSE)</f>
        <v>#N/A</v>
      </c>
    </row>
    <row r="495" spans="1:5">
      <c r="A495" s="121">
        <v>493</v>
      </c>
      <c r="B495" s="123" t="s">
        <v>15328</v>
      </c>
      <c r="C495" s="123" t="s">
        <v>15329</v>
      </c>
      <c r="D495" s="124" t="str">
        <f t="shared" si="8"/>
        <v>OCEANUSDT</v>
      </c>
      <c r="E495" s="125" t="e">
        <f ca="1">VLOOKUP(D495,'Курсы Бинанса'!B:C,2,FALSE)</f>
        <v>#N/A</v>
      </c>
    </row>
    <row r="496" spans="1:5">
      <c r="A496" s="121">
        <v>494</v>
      </c>
      <c r="B496" s="123" t="s">
        <v>15330</v>
      </c>
      <c r="C496" s="123" t="s">
        <v>15331</v>
      </c>
      <c r="D496" s="124" t="str">
        <f t="shared" si="8"/>
        <v>ZYNUSDT</v>
      </c>
      <c r="E496" s="125" t="e">
        <f ca="1">VLOOKUP(D496,'Курсы Бинанса'!B:C,2,FALSE)</f>
        <v>#N/A</v>
      </c>
    </row>
    <row r="497" spans="1:5">
      <c r="A497" s="121">
        <v>495</v>
      </c>
      <c r="B497" s="123" t="s">
        <v>15332</v>
      </c>
      <c r="C497" s="123" t="s">
        <v>15333</v>
      </c>
      <c r="D497" s="124" t="str">
        <f t="shared" si="8"/>
        <v>PNYUSDT</v>
      </c>
      <c r="E497" s="125" t="e">
        <f ca="1">VLOOKUP(D497,'Курсы Бинанса'!B:C,2,FALSE)</f>
        <v>#N/A</v>
      </c>
    </row>
    <row r="498" spans="1:5">
      <c r="A498" s="121">
        <v>496</v>
      </c>
      <c r="B498" s="123" t="s">
        <v>15334</v>
      </c>
      <c r="C498" s="123" t="s">
        <v>15335</v>
      </c>
      <c r="D498" s="124" t="str">
        <f t="shared" si="8"/>
        <v>HYPRUSDT</v>
      </c>
      <c r="E498" s="125" t="e">
        <f ca="1">VLOOKUP(D498,'Курсы Бинанса'!B:C,2,FALSE)</f>
        <v>#N/A</v>
      </c>
    </row>
    <row r="499" spans="1:5">
      <c r="A499" s="121">
        <v>497</v>
      </c>
      <c r="B499" s="123" t="s">
        <v>15336</v>
      </c>
      <c r="C499" s="123" t="s">
        <v>15336</v>
      </c>
      <c r="D499" s="124" t="str">
        <f t="shared" si="8"/>
        <v>MAPSUSDT</v>
      </c>
      <c r="E499" s="125" t="e">
        <f ca="1">VLOOKUP(D499,'Курсы Бинанса'!B:C,2,FALSE)</f>
        <v>#N/A</v>
      </c>
    </row>
    <row r="500" spans="1:5">
      <c r="A500" s="121">
        <v>498</v>
      </c>
      <c r="B500" s="123" t="s">
        <v>15337</v>
      </c>
      <c r="C500" s="123" t="s">
        <v>15338</v>
      </c>
      <c r="D500" s="124" t="str">
        <f t="shared" si="8"/>
        <v>CBXUSDT</v>
      </c>
      <c r="E500" s="125" t="e">
        <f ca="1">VLOOKUP(D500,'Курсы Бинанса'!B:C,2,FALSE)</f>
        <v>#N/A</v>
      </c>
    </row>
    <row r="501" spans="1:5">
      <c r="A501" s="121">
        <v>499</v>
      </c>
      <c r="B501" s="123" t="s">
        <v>15339</v>
      </c>
      <c r="C501" s="123" t="s">
        <v>15340</v>
      </c>
      <c r="D501" s="124" t="str">
        <f t="shared" si="8"/>
        <v>COVUSDT</v>
      </c>
      <c r="E501" s="125" t="e">
        <f ca="1">VLOOKUP(D501,'Курсы Бинанса'!B:C,2,FALSE)</f>
        <v>#N/A</v>
      </c>
    </row>
    <row r="502" spans="1:5">
      <c r="A502" s="121">
        <v>500</v>
      </c>
      <c r="B502" s="123" t="s">
        <v>15341</v>
      </c>
      <c r="C502" s="123" t="s">
        <v>15342</v>
      </c>
      <c r="D502" s="124" t="str">
        <f t="shared" si="8"/>
        <v>OWCUSDT</v>
      </c>
      <c r="E502" s="125" t="e">
        <f ca="1">VLOOKUP(D502,'Курсы Бинанса'!B:C,2,FALSE)</f>
        <v>#N/A</v>
      </c>
    </row>
    <row r="503" spans="1:5">
      <c r="A503" s="121">
        <v>501</v>
      </c>
      <c r="B503" s="123" t="s">
        <v>15343</v>
      </c>
      <c r="C503" s="123" t="s">
        <v>15344</v>
      </c>
      <c r="D503" s="124" t="str">
        <f t="shared" si="8"/>
        <v>DYTUSDT</v>
      </c>
      <c r="E503" s="125" t="e">
        <f ca="1">VLOOKUP(D503,'Курсы Бинанса'!B:C,2,FALSE)</f>
        <v>#N/A</v>
      </c>
    </row>
    <row r="504" spans="1:5">
      <c r="A504" s="121">
        <v>502</v>
      </c>
      <c r="B504" s="123" t="s">
        <v>15345</v>
      </c>
      <c r="C504" s="123" t="s">
        <v>15346</v>
      </c>
      <c r="D504" s="124" t="str">
        <f t="shared" si="8"/>
        <v>HACUSDT</v>
      </c>
      <c r="E504" s="125" t="e">
        <f ca="1">VLOOKUP(D504,'Курсы Бинанса'!B:C,2,FALSE)</f>
        <v>#N/A</v>
      </c>
    </row>
    <row r="505" spans="1:5">
      <c r="A505" s="121">
        <v>503</v>
      </c>
      <c r="B505" s="123" t="s">
        <v>15347</v>
      </c>
      <c r="C505" s="123" t="s">
        <v>15348</v>
      </c>
      <c r="D505" s="124" t="str">
        <f t="shared" si="8"/>
        <v>VIAUSDT</v>
      </c>
      <c r="E505" s="125" t="e">
        <f ca="1">VLOOKUP(D505,'Курсы Бинанса'!B:C,2,FALSE)</f>
        <v>#N/A</v>
      </c>
    </row>
    <row r="506" spans="1:5">
      <c r="A506" s="121">
        <v>504</v>
      </c>
      <c r="B506" s="123" t="s">
        <v>15349</v>
      </c>
      <c r="C506" s="123" t="s">
        <v>15350</v>
      </c>
      <c r="D506" s="124" t="str">
        <f t="shared" si="8"/>
        <v>STEEMUSDT</v>
      </c>
      <c r="E506" s="125" t="e">
        <f ca="1">VLOOKUP(D506,'Курсы Бинанса'!B:C,2,FALSE)</f>
        <v>#N/A</v>
      </c>
    </row>
    <row r="507" spans="1:5">
      <c r="A507" s="121">
        <v>505</v>
      </c>
      <c r="B507" s="123" t="s">
        <v>15351</v>
      </c>
      <c r="C507" s="123" t="s">
        <v>15351</v>
      </c>
      <c r="D507" s="124" t="str">
        <f t="shared" si="8"/>
        <v>GNYUSDT</v>
      </c>
      <c r="E507" s="125" t="e">
        <f ca="1">VLOOKUP(D507,'Курсы Бинанса'!B:C,2,FALSE)</f>
        <v>#N/A</v>
      </c>
    </row>
    <row r="508" spans="1:5">
      <c r="A508" s="121">
        <v>506</v>
      </c>
      <c r="B508" s="123" t="s">
        <v>15352</v>
      </c>
      <c r="C508" s="123" t="s">
        <v>15353</v>
      </c>
      <c r="D508" s="124" t="str">
        <f t="shared" si="8"/>
        <v>FSNUSDT</v>
      </c>
      <c r="E508" s="125" t="e">
        <f ca="1">VLOOKUP(D508,'Курсы Бинанса'!B:C,2,FALSE)</f>
        <v>#N/A</v>
      </c>
    </row>
    <row r="509" spans="1:5">
      <c r="A509" s="121">
        <v>507</v>
      </c>
      <c r="B509" s="123" t="s">
        <v>15354</v>
      </c>
      <c r="C509" s="123" t="s">
        <v>15355</v>
      </c>
      <c r="D509" s="124" t="str">
        <f t="shared" si="8"/>
        <v>BTMXUSDT</v>
      </c>
      <c r="E509" s="125" t="e">
        <f ca="1">VLOOKUP(D509,'Курсы Бинанса'!B:C,2,FALSE)</f>
        <v>#N/A</v>
      </c>
    </row>
    <row r="510" spans="1:5">
      <c r="A510" s="121">
        <v>508</v>
      </c>
      <c r="B510" s="123" t="s">
        <v>15356</v>
      </c>
      <c r="C510" s="123" t="s">
        <v>15357</v>
      </c>
      <c r="D510" s="124" t="str">
        <f t="shared" si="8"/>
        <v>CURUSDT</v>
      </c>
      <c r="E510" s="125" t="e">
        <f ca="1">VLOOKUP(D510,'Курсы Бинанса'!B:C,2,FALSE)</f>
        <v>#N/A</v>
      </c>
    </row>
    <row r="511" spans="1:5">
      <c r="A511" s="121">
        <v>509</v>
      </c>
      <c r="B511" s="123" t="s">
        <v>15358</v>
      </c>
      <c r="C511" s="123" t="s">
        <v>15359</v>
      </c>
      <c r="D511" s="124" t="str">
        <f t="shared" si="8"/>
        <v>KDAUSDT</v>
      </c>
      <c r="E511" s="125" t="e">
        <f ca="1">VLOOKUP(D511,'Курсы Бинанса'!B:C,2,FALSE)</f>
        <v>#N/A</v>
      </c>
    </row>
    <row r="512" spans="1:5">
      <c r="A512" s="121">
        <v>510</v>
      </c>
      <c r="B512" s="123" t="s">
        <v>15360</v>
      </c>
      <c r="C512" s="123" t="s">
        <v>15361</v>
      </c>
      <c r="D512" s="124" t="str">
        <f t="shared" si="8"/>
        <v>ATAUSDT</v>
      </c>
      <c r="E512" s="125" t="e">
        <f ca="1">VLOOKUP(D512,'Курсы Бинанса'!B:C,2,FALSE)</f>
        <v>#N/A</v>
      </c>
    </row>
    <row r="513" spans="1:5">
      <c r="A513" s="121">
        <v>511</v>
      </c>
      <c r="B513" s="123" t="s">
        <v>15362</v>
      </c>
      <c r="C513" s="123" t="s">
        <v>15363</v>
      </c>
      <c r="D513" s="124" t="str">
        <f t="shared" si="8"/>
        <v>NAVUSDT</v>
      </c>
      <c r="E513" s="125" t="e">
        <f ca="1">VLOOKUP(D513,'Курсы Бинанса'!B:C,2,FALSE)</f>
        <v>#N/A</v>
      </c>
    </row>
    <row r="514" spans="1:5">
      <c r="A514" s="121">
        <v>512</v>
      </c>
      <c r="B514" s="123" t="s">
        <v>15364</v>
      </c>
      <c r="C514" s="123" t="s">
        <v>15364</v>
      </c>
      <c r="D514" s="124" t="str">
        <f t="shared" si="8"/>
        <v>LCMSUSDT</v>
      </c>
      <c r="E514" s="125" t="e">
        <f ca="1">VLOOKUP(D514,'Курсы Бинанса'!B:C,2,FALSE)</f>
        <v>#N/A</v>
      </c>
    </row>
    <row r="515" spans="1:5">
      <c r="A515" s="121">
        <v>513</v>
      </c>
      <c r="B515" s="123" t="s">
        <v>15365</v>
      </c>
      <c r="C515" s="123" t="s">
        <v>15365</v>
      </c>
      <c r="D515" s="124" t="str">
        <f t="shared" si="8"/>
        <v>NULSUSDT</v>
      </c>
      <c r="E515" s="125" t="e">
        <f ca="1">VLOOKUP(D515,'Курсы Бинанса'!B:C,2,FALSE)</f>
        <v>#N/A</v>
      </c>
    </row>
    <row r="516" spans="1:5">
      <c r="A516" s="121">
        <v>514</v>
      </c>
      <c r="B516" s="123" t="s">
        <v>15366</v>
      </c>
      <c r="C516" s="123" t="s">
        <v>15367</v>
      </c>
      <c r="D516" s="124" t="str">
        <f t="shared" si="8"/>
        <v>KEXUSDT</v>
      </c>
      <c r="E516" s="125" t="e">
        <f ca="1">VLOOKUP(D516,'Курсы Бинанса'!B:C,2,FALSE)</f>
        <v>#N/A</v>
      </c>
    </row>
    <row r="517" spans="1:5">
      <c r="A517" s="121">
        <v>515</v>
      </c>
      <c r="B517" s="123" t="s">
        <v>15368</v>
      </c>
      <c r="C517" s="123" t="s">
        <v>15369</v>
      </c>
      <c r="D517" s="124" t="str">
        <f t="shared" si="8"/>
        <v>ALBTUSDT</v>
      </c>
      <c r="E517" s="125" t="e">
        <f ca="1">VLOOKUP(D517,'Курсы Бинанса'!B:C,2,FALSE)</f>
        <v>#N/A</v>
      </c>
    </row>
    <row r="518" spans="1:5">
      <c r="A518" s="121">
        <v>516</v>
      </c>
      <c r="B518" s="123" t="s">
        <v>15370</v>
      </c>
      <c r="C518" s="123" t="s">
        <v>15371</v>
      </c>
      <c r="D518" s="124" t="str">
        <f t="shared" si="8"/>
        <v>FLMUSDT</v>
      </c>
      <c r="E518" s="125" t="e">
        <f ca="1">VLOOKUP(D518,'Курсы Бинанса'!B:C,2,FALSE)</f>
        <v>#N/A</v>
      </c>
    </row>
    <row r="519" spans="1:5">
      <c r="A519" s="121">
        <v>517</v>
      </c>
      <c r="B519" s="123" t="s">
        <v>15372</v>
      </c>
      <c r="C519" s="123" t="s">
        <v>15373</v>
      </c>
      <c r="D519" s="124" t="str">
        <f t="shared" si="8"/>
        <v>ZCNUSDT</v>
      </c>
      <c r="E519" s="125" t="e">
        <f ca="1">VLOOKUP(D519,'Курсы Бинанса'!B:C,2,FALSE)</f>
        <v>#N/A</v>
      </c>
    </row>
    <row r="520" spans="1:5">
      <c r="A520" s="121">
        <v>518</v>
      </c>
      <c r="B520" s="123" t="s">
        <v>15374</v>
      </c>
      <c r="C520" s="123" t="s">
        <v>15375</v>
      </c>
      <c r="D520" s="124" t="str">
        <f t="shared" si="8"/>
        <v>WESTUSDT</v>
      </c>
      <c r="E520" s="125" t="e">
        <f ca="1">VLOOKUP(D520,'Курсы Бинанса'!B:C,2,FALSE)</f>
        <v>#N/A</v>
      </c>
    </row>
    <row r="521" spans="1:5">
      <c r="A521" s="121">
        <v>519</v>
      </c>
      <c r="B521" s="123" t="s">
        <v>15376</v>
      </c>
      <c r="C521" s="123" t="s">
        <v>15377</v>
      </c>
      <c r="D521" s="124" t="str">
        <f t="shared" si="8"/>
        <v>KTUSDT</v>
      </c>
      <c r="E521" s="125" t="e">
        <f ca="1">VLOOKUP(D521,'Курсы Бинанса'!B:C,2,FALSE)</f>
        <v>#N/A</v>
      </c>
    </row>
    <row r="522" spans="1:5">
      <c r="A522" s="121">
        <v>520</v>
      </c>
      <c r="B522" s="123" t="s">
        <v>15378</v>
      </c>
      <c r="C522" s="123" t="s">
        <v>15379</v>
      </c>
      <c r="D522" s="124" t="str">
        <f t="shared" si="8"/>
        <v>ADXUSDT</v>
      </c>
      <c r="E522" s="125" t="e">
        <f ca="1">VLOOKUP(D522,'Курсы Бинанса'!B:C,2,FALSE)</f>
        <v>#N/A</v>
      </c>
    </row>
    <row r="523" spans="1:5">
      <c r="A523" s="121">
        <v>521</v>
      </c>
      <c r="B523" s="123" t="s">
        <v>15380</v>
      </c>
      <c r="C523" s="123" t="s">
        <v>15381</v>
      </c>
      <c r="D523" s="124" t="str">
        <f t="shared" si="8"/>
        <v>VIDTUSDT</v>
      </c>
      <c r="E523" s="125" t="e">
        <f ca="1">VLOOKUP(D523,'Курсы Бинанса'!B:C,2,FALSE)</f>
        <v>#N/A</v>
      </c>
    </row>
    <row r="524" spans="1:5">
      <c r="A524" s="121">
        <v>522</v>
      </c>
      <c r="B524" s="123" t="s">
        <v>15382</v>
      </c>
      <c r="C524" s="123" t="s">
        <v>15383</v>
      </c>
      <c r="D524" s="124" t="str">
        <f t="shared" si="8"/>
        <v>SLPUSDT</v>
      </c>
      <c r="E524" s="125" t="e">
        <f ca="1">VLOOKUP(D524,'Курсы Бинанса'!B:C,2,FALSE)</f>
        <v>#N/A</v>
      </c>
    </row>
    <row r="525" spans="1:5">
      <c r="A525" s="121">
        <v>523</v>
      </c>
      <c r="B525" s="123" t="s">
        <v>15384</v>
      </c>
      <c r="C525" s="123" t="s">
        <v>15385</v>
      </c>
      <c r="D525" s="124" t="str">
        <f t="shared" si="8"/>
        <v>RENUSDT</v>
      </c>
      <c r="E525" s="125" t="e">
        <f ca="1">VLOOKUP(D525,'Курсы Бинанса'!B:C,2,FALSE)</f>
        <v>#N/A</v>
      </c>
    </row>
    <row r="526" spans="1:5">
      <c r="A526" s="121">
        <v>524</v>
      </c>
      <c r="B526" s="123" t="s">
        <v>15386</v>
      </c>
      <c r="C526" s="123" t="s">
        <v>15387</v>
      </c>
      <c r="D526" s="124" t="str">
        <f t="shared" si="8"/>
        <v>DOPUSDT</v>
      </c>
      <c r="E526" s="125" t="e">
        <f ca="1">VLOOKUP(D526,'Курсы Бинанса'!B:C,2,FALSE)</f>
        <v>#N/A</v>
      </c>
    </row>
    <row r="527" spans="1:5">
      <c r="A527" s="121">
        <v>525</v>
      </c>
      <c r="B527" s="123" t="s">
        <v>15388</v>
      </c>
      <c r="C527" s="123" t="s">
        <v>15389</v>
      </c>
      <c r="D527" s="124" t="str">
        <f t="shared" si="8"/>
        <v>STNDUSDT</v>
      </c>
      <c r="E527" s="125" t="e">
        <f ca="1">VLOOKUP(D527,'Курсы Бинанса'!B:C,2,FALSE)</f>
        <v>#N/A</v>
      </c>
    </row>
    <row r="528" spans="1:5">
      <c r="A528" s="121">
        <v>526</v>
      </c>
      <c r="B528" s="123" t="s">
        <v>15390</v>
      </c>
      <c r="C528" s="123" t="s">
        <v>15391</v>
      </c>
      <c r="D528" s="124" t="str">
        <f t="shared" si="8"/>
        <v>EVXUSDT</v>
      </c>
      <c r="E528" s="125" t="e">
        <f ca="1">VLOOKUP(D528,'Курсы Бинанса'!B:C,2,FALSE)</f>
        <v>#N/A</v>
      </c>
    </row>
    <row r="529" spans="1:5">
      <c r="A529" s="121">
        <v>527</v>
      </c>
      <c r="B529" s="123" t="s">
        <v>15392</v>
      </c>
      <c r="C529" s="123" t="s">
        <v>15393</v>
      </c>
      <c r="D529" s="124" t="str">
        <f t="shared" si="8"/>
        <v>NVCUSDT</v>
      </c>
      <c r="E529" s="125" t="e">
        <f ca="1">VLOOKUP(D529,'Курсы Бинанса'!B:C,2,FALSE)</f>
        <v>#N/A</v>
      </c>
    </row>
    <row r="530" spans="1:5">
      <c r="A530" s="121">
        <v>528</v>
      </c>
      <c r="B530" s="123" t="s">
        <v>15394</v>
      </c>
      <c r="C530" s="123" t="s">
        <v>15395</v>
      </c>
      <c r="D530" s="124" t="str">
        <f t="shared" si="8"/>
        <v>BTXUSDT</v>
      </c>
      <c r="E530" s="125" t="e">
        <f ca="1">VLOOKUP(D530,'Курсы Бинанса'!B:C,2,FALSE)</f>
        <v>#N/A</v>
      </c>
    </row>
    <row r="531" spans="1:5">
      <c r="A531" s="121">
        <v>529</v>
      </c>
      <c r="B531" s="123" t="s">
        <v>15396</v>
      </c>
      <c r="C531" s="123" t="s">
        <v>15397</v>
      </c>
      <c r="D531" s="124" t="str">
        <f t="shared" si="8"/>
        <v>TWTUSDT</v>
      </c>
      <c r="E531" s="125" t="e">
        <f ca="1">VLOOKUP(D531,'Курсы Бинанса'!B:C,2,FALSE)</f>
        <v>#N/A</v>
      </c>
    </row>
    <row r="532" spans="1:5">
      <c r="A532" s="121">
        <v>530</v>
      </c>
      <c r="B532" s="123" t="s">
        <v>15398</v>
      </c>
      <c r="C532" s="123" t="s">
        <v>15399</v>
      </c>
      <c r="D532" s="124" t="str">
        <f t="shared" si="8"/>
        <v>HIVEUSDT</v>
      </c>
      <c r="E532" s="125" t="e">
        <f ca="1">VLOOKUP(D532,'Курсы Бинанса'!B:C,2,FALSE)</f>
        <v>#N/A</v>
      </c>
    </row>
    <row r="533" spans="1:5">
      <c r="A533" s="121">
        <v>531</v>
      </c>
      <c r="B533" s="123" t="s">
        <v>15400</v>
      </c>
      <c r="C533" s="123" t="s">
        <v>15400</v>
      </c>
      <c r="D533" s="124" t="str">
        <f t="shared" si="8"/>
        <v>xBTCUSDT</v>
      </c>
      <c r="E533" s="125" t="e">
        <f ca="1">VLOOKUP(D533,'Курсы Бинанса'!B:C,2,FALSE)</f>
        <v>#N/A</v>
      </c>
    </row>
    <row r="534" spans="1:5">
      <c r="A534" s="121">
        <v>532</v>
      </c>
      <c r="B534" s="123" t="s">
        <v>15401</v>
      </c>
      <c r="C534" s="123" t="s">
        <v>15402</v>
      </c>
      <c r="D534" s="124" t="str">
        <f t="shared" si="8"/>
        <v>EQZUSDT</v>
      </c>
      <c r="E534" s="125" t="e">
        <f ca="1">VLOOKUP(D534,'Курсы Бинанса'!B:C,2,FALSE)</f>
        <v>#N/A</v>
      </c>
    </row>
    <row r="535" spans="1:5">
      <c r="A535" s="121">
        <v>533</v>
      </c>
      <c r="B535" s="123" t="s">
        <v>15403</v>
      </c>
      <c r="C535" s="123" t="s">
        <v>15404</v>
      </c>
      <c r="D535" s="124" t="str">
        <f t="shared" si="8"/>
        <v>MYSTUSDT</v>
      </c>
      <c r="E535" s="125" t="e">
        <f ca="1">VLOOKUP(D535,'Курсы Бинанса'!B:C,2,FALSE)</f>
        <v>#N/A</v>
      </c>
    </row>
    <row r="536" spans="1:5">
      <c r="A536" s="121">
        <v>534</v>
      </c>
      <c r="B536" s="123" t="s">
        <v>15405</v>
      </c>
      <c r="C536" s="123" t="s">
        <v>15406</v>
      </c>
      <c r="D536" s="124" t="str">
        <f t="shared" si="8"/>
        <v>KDAGUSDT</v>
      </c>
      <c r="E536" s="125" t="e">
        <f ca="1">VLOOKUP(D536,'Курсы Бинанса'!B:C,2,FALSE)</f>
        <v>#N/A</v>
      </c>
    </row>
    <row r="537" spans="1:5">
      <c r="A537" s="121">
        <v>535</v>
      </c>
      <c r="B537" s="123" t="s">
        <v>15407</v>
      </c>
      <c r="C537" s="123" t="s">
        <v>15408</v>
      </c>
      <c r="D537" s="124" t="str">
        <f t="shared" si="8"/>
        <v>FXFUSDT</v>
      </c>
      <c r="E537" s="125" t="e">
        <f ca="1">VLOOKUP(D537,'Курсы Бинанса'!B:C,2,FALSE)</f>
        <v>#N/A</v>
      </c>
    </row>
    <row r="538" spans="1:5">
      <c r="A538" s="121">
        <v>536</v>
      </c>
      <c r="B538" s="123" t="s">
        <v>15409</v>
      </c>
      <c r="C538" s="123" t="s">
        <v>15410</v>
      </c>
      <c r="D538" s="124" t="str">
        <f t="shared" si="8"/>
        <v>KONOUSDT</v>
      </c>
      <c r="E538" s="125" t="e">
        <f ca="1">VLOOKUP(D538,'Курсы Бинанса'!B:C,2,FALSE)</f>
        <v>#N/A</v>
      </c>
    </row>
    <row r="539" spans="1:5">
      <c r="A539" s="121">
        <v>537</v>
      </c>
      <c r="B539" s="123" t="s">
        <v>15411</v>
      </c>
      <c r="C539" s="123" t="s">
        <v>15412</v>
      </c>
      <c r="D539" s="124" t="str">
        <f t="shared" si="8"/>
        <v>XMCUSDT</v>
      </c>
      <c r="E539" s="125" t="e">
        <f ca="1">VLOOKUP(D539,'Курсы Бинанса'!B:C,2,FALSE)</f>
        <v>#N/A</v>
      </c>
    </row>
    <row r="540" spans="1:5">
      <c r="A540" s="121">
        <v>538</v>
      </c>
      <c r="B540" s="123" t="s">
        <v>15413</v>
      </c>
      <c r="C540" s="123" t="s">
        <v>15414</v>
      </c>
      <c r="D540" s="124" t="str">
        <f t="shared" si="8"/>
        <v>KEEPUSDT</v>
      </c>
      <c r="E540" s="125" t="e">
        <f ca="1">VLOOKUP(D540,'Курсы Бинанса'!B:C,2,FALSE)</f>
        <v>#N/A</v>
      </c>
    </row>
    <row r="541" spans="1:5">
      <c r="A541" s="121">
        <v>539</v>
      </c>
      <c r="B541" s="123" t="s">
        <v>15415</v>
      </c>
      <c r="C541" s="123" t="s">
        <v>15416</v>
      </c>
      <c r="D541" s="124" t="str">
        <f t="shared" si="8"/>
        <v>DREPUSDT</v>
      </c>
      <c r="E541" s="125" t="e">
        <f ca="1">VLOOKUP(D541,'Курсы Бинанса'!B:C,2,FALSE)</f>
        <v>#N/A</v>
      </c>
    </row>
    <row r="542" spans="1:5">
      <c r="A542" s="121">
        <v>540</v>
      </c>
      <c r="B542" s="123" t="s">
        <v>15417</v>
      </c>
      <c r="C542" s="123" t="s">
        <v>15418</v>
      </c>
      <c r="D542" s="124" t="str">
        <f t="shared" si="8"/>
        <v>LDFIUSDT</v>
      </c>
      <c r="E542" s="125" t="e">
        <f ca="1">VLOOKUP(D542,'Курсы Бинанса'!B:C,2,FALSE)</f>
        <v>#N/A</v>
      </c>
    </row>
    <row r="543" spans="1:5">
      <c r="A543" s="121">
        <v>541</v>
      </c>
      <c r="B543" s="123" t="s">
        <v>15419</v>
      </c>
      <c r="C543" s="123" t="s">
        <v>15420</v>
      </c>
      <c r="D543" s="124" t="str">
        <f t="shared" si="8"/>
        <v>OXTUSDT</v>
      </c>
      <c r="E543" s="125" t="e">
        <f ca="1">VLOOKUP(D543,'Курсы Бинанса'!B:C,2,FALSE)</f>
        <v>#N/A</v>
      </c>
    </row>
    <row r="544" spans="1:5">
      <c r="A544" s="121">
        <v>542</v>
      </c>
      <c r="B544" s="123" t="s">
        <v>15421</v>
      </c>
      <c r="C544" s="123" t="s">
        <v>15422</v>
      </c>
      <c r="D544" s="124" t="str">
        <f t="shared" si="8"/>
        <v>EAURICUSDT</v>
      </c>
      <c r="E544" s="125" t="e">
        <f ca="1">VLOOKUP(D544,'Курсы Бинанса'!B:C,2,FALSE)</f>
        <v>#N/A</v>
      </c>
    </row>
    <row r="545" spans="1:5">
      <c r="A545" s="121">
        <v>543</v>
      </c>
      <c r="B545" s="123" t="s">
        <v>15423</v>
      </c>
      <c r="C545" s="123" t="s">
        <v>15424</v>
      </c>
      <c r="D545" s="124" t="str">
        <f t="shared" si="8"/>
        <v>GRINUSDT</v>
      </c>
      <c r="E545" s="125" t="e">
        <f ca="1">VLOOKUP(D545,'Курсы Бинанса'!B:C,2,FALSE)</f>
        <v>#N/A</v>
      </c>
    </row>
    <row r="546" spans="1:5">
      <c r="A546" s="121">
        <v>544</v>
      </c>
      <c r="B546" s="123" t="s">
        <v>15425</v>
      </c>
      <c r="C546" s="123" t="s">
        <v>15426</v>
      </c>
      <c r="D546" s="124" t="str">
        <f t="shared" ref="D546:D609" si="9">CONCATENATE(C546,"USDT")</f>
        <v>RDNUSDT</v>
      </c>
      <c r="E546" s="125" t="e">
        <f ca="1">VLOOKUP(D546,'Курсы Бинанса'!B:C,2,FALSE)</f>
        <v>#N/A</v>
      </c>
    </row>
    <row r="547" spans="1:5">
      <c r="A547" s="121">
        <v>545</v>
      </c>
      <c r="B547" s="123" t="s">
        <v>15427</v>
      </c>
      <c r="C547" s="123" t="s">
        <v>15428</v>
      </c>
      <c r="D547" s="124" t="str">
        <f t="shared" si="9"/>
        <v>GLMUSDT</v>
      </c>
      <c r="E547" s="125" t="e">
        <f ca="1">VLOOKUP(D547,'Курсы Бинанса'!B:C,2,FALSE)</f>
        <v>#N/A</v>
      </c>
    </row>
    <row r="548" spans="1:5">
      <c r="A548" s="121">
        <v>546</v>
      </c>
      <c r="B548" s="123" t="s">
        <v>15429</v>
      </c>
      <c r="C548" s="123" t="s">
        <v>15430</v>
      </c>
      <c r="D548" s="124" t="str">
        <f t="shared" si="9"/>
        <v>LAYERUSDT</v>
      </c>
      <c r="E548" s="125" t="e">
        <f ca="1">VLOOKUP(D548,'Курсы Бинанса'!B:C,2,FALSE)</f>
        <v>#N/A</v>
      </c>
    </row>
    <row r="549" spans="1:5">
      <c r="A549" s="121">
        <v>547</v>
      </c>
      <c r="B549" s="123" t="s">
        <v>15431</v>
      </c>
      <c r="C549" s="123" t="s">
        <v>15432</v>
      </c>
      <c r="D549" s="124" t="str">
        <f t="shared" si="9"/>
        <v>DMCHUSDT</v>
      </c>
      <c r="E549" s="125" t="e">
        <f ca="1">VLOOKUP(D549,'Курсы Бинанса'!B:C,2,FALSE)</f>
        <v>#N/A</v>
      </c>
    </row>
    <row r="550" spans="1:5">
      <c r="A550" s="121">
        <v>548</v>
      </c>
      <c r="B550" s="123" t="s">
        <v>15433</v>
      </c>
      <c r="C550" s="123" t="s">
        <v>15434</v>
      </c>
      <c r="D550" s="124" t="str">
        <f t="shared" si="9"/>
        <v>PAIDUSDT</v>
      </c>
      <c r="E550" s="125" t="e">
        <f ca="1">VLOOKUP(D550,'Курсы Бинанса'!B:C,2,FALSE)</f>
        <v>#N/A</v>
      </c>
    </row>
    <row r="551" spans="1:5">
      <c r="A551" s="121">
        <v>549</v>
      </c>
      <c r="B551" s="123" t="s">
        <v>15435</v>
      </c>
      <c r="C551" s="123" t="s">
        <v>15436</v>
      </c>
      <c r="D551" s="124" t="str">
        <f t="shared" si="9"/>
        <v>NASUSDT</v>
      </c>
      <c r="E551" s="125" t="e">
        <f ca="1">VLOOKUP(D551,'Курсы Бинанса'!B:C,2,FALSE)</f>
        <v>#N/A</v>
      </c>
    </row>
    <row r="552" spans="1:5">
      <c r="A552" s="121">
        <v>550</v>
      </c>
      <c r="B552" s="123" t="s">
        <v>15437</v>
      </c>
      <c r="C552" s="123" t="s">
        <v>15438</v>
      </c>
      <c r="D552" s="124" t="str">
        <f t="shared" si="9"/>
        <v>TFUELUSDT</v>
      </c>
      <c r="E552" s="125" t="e">
        <f ca="1">VLOOKUP(D552,'Курсы Бинанса'!B:C,2,FALSE)</f>
        <v>#N/A</v>
      </c>
    </row>
    <row r="553" spans="1:5">
      <c r="A553" s="121">
        <v>551</v>
      </c>
      <c r="B553" s="123" t="s">
        <v>15439</v>
      </c>
      <c r="C553" s="123" t="s">
        <v>15440</v>
      </c>
      <c r="D553" s="124" t="str">
        <f t="shared" si="9"/>
        <v>ZBUSDT</v>
      </c>
      <c r="E553" s="125" t="e">
        <f ca="1">VLOOKUP(D553,'Курсы Бинанса'!B:C,2,FALSE)</f>
        <v>#N/A</v>
      </c>
    </row>
    <row r="554" spans="1:5">
      <c r="A554" s="121">
        <v>552</v>
      </c>
      <c r="B554" s="123" t="s">
        <v>15441</v>
      </c>
      <c r="C554" s="123" t="s">
        <v>15442</v>
      </c>
      <c r="D554" s="124" t="str">
        <f t="shared" si="9"/>
        <v>ICNQUSDT</v>
      </c>
      <c r="E554" s="125" t="e">
        <f ca="1">VLOOKUP(D554,'Курсы Бинанса'!B:C,2,FALSE)</f>
        <v>#N/A</v>
      </c>
    </row>
    <row r="555" spans="1:5">
      <c r="A555" s="121">
        <v>553</v>
      </c>
      <c r="B555" s="123" t="s">
        <v>15443</v>
      </c>
      <c r="C555" s="123" t="s">
        <v>15444</v>
      </c>
      <c r="D555" s="124" t="str">
        <f t="shared" si="9"/>
        <v>PTDUSDT</v>
      </c>
      <c r="E555" s="125" t="e">
        <f ca="1">VLOOKUP(D555,'Курсы Бинанса'!B:C,2,FALSE)</f>
        <v>#N/A</v>
      </c>
    </row>
    <row r="556" spans="1:5">
      <c r="A556" s="121">
        <v>554</v>
      </c>
      <c r="B556" s="123" t="s">
        <v>15445</v>
      </c>
      <c r="C556" s="123" t="s">
        <v>15446</v>
      </c>
      <c r="D556" s="124" t="str">
        <f t="shared" si="9"/>
        <v>SPARTAUSDT</v>
      </c>
      <c r="E556" s="125" t="e">
        <f ca="1">VLOOKUP(D556,'Курсы Бинанса'!B:C,2,FALSE)</f>
        <v>#N/A</v>
      </c>
    </row>
    <row r="557" spans="1:5">
      <c r="A557" s="121">
        <v>555</v>
      </c>
      <c r="B557" s="123" t="s">
        <v>15447</v>
      </c>
      <c r="C557" s="123" t="s">
        <v>15448</v>
      </c>
      <c r="D557" s="124" t="str">
        <f t="shared" si="9"/>
        <v>DYPUSDT</v>
      </c>
      <c r="E557" s="125" t="e">
        <f ca="1">VLOOKUP(D557,'Курсы Бинанса'!B:C,2,FALSE)</f>
        <v>#N/A</v>
      </c>
    </row>
    <row r="558" spans="1:5">
      <c r="A558" s="121">
        <v>556</v>
      </c>
      <c r="B558" s="123" t="s">
        <v>15449</v>
      </c>
      <c r="C558" s="123" t="s">
        <v>15450</v>
      </c>
      <c r="D558" s="124" t="str">
        <f t="shared" si="9"/>
        <v>NYZOUSDT</v>
      </c>
      <c r="E558" s="125" t="e">
        <f ca="1">VLOOKUP(D558,'Курсы Бинанса'!B:C,2,FALSE)</f>
        <v>#N/A</v>
      </c>
    </row>
    <row r="559" spans="1:5">
      <c r="A559" s="121">
        <v>557</v>
      </c>
      <c r="B559" s="123" t="s">
        <v>15451</v>
      </c>
      <c r="C559" s="123" t="s">
        <v>15452</v>
      </c>
      <c r="D559" s="124" t="str">
        <f t="shared" si="9"/>
        <v>AVTUSDT</v>
      </c>
      <c r="E559" s="125" t="e">
        <f ca="1">VLOOKUP(D559,'Курсы Бинанса'!B:C,2,FALSE)</f>
        <v>#N/A</v>
      </c>
    </row>
    <row r="560" spans="1:5">
      <c r="A560" s="121">
        <v>558</v>
      </c>
      <c r="B560" s="123" t="s">
        <v>15453</v>
      </c>
      <c r="C560" s="123" t="s">
        <v>15454</v>
      </c>
      <c r="D560" s="124" t="str">
        <f t="shared" si="9"/>
        <v>ONIONUSDT</v>
      </c>
      <c r="E560" s="125" t="e">
        <f ca="1">VLOOKUP(D560,'Курсы Бинанса'!B:C,2,FALSE)</f>
        <v>#N/A</v>
      </c>
    </row>
    <row r="561" spans="1:5">
      <c r="A561" s="121">
        <v>559</v>
      </c>
      <c r="B561" s="123" t="s">
        <v>15455</v>
      </c>
      <c r="C561" s="123" t="s">
        <v>15456</v>
      </c>
      <c r="D561" s="124" t="str">
        <f t="shared" si="9"/>
        <v>FXUSDT</v>
      </c>
      <c r="E561" s="125" t="e">
        <f ca="1">VLOOKUP(D561,'Курсы Бинанса'!B:C,2,FALSE)</f>
        <v>#N/A</v>
      </c>
    </row>
    <row r="562" spans="1:5">
      <c r="A562" s="121">
        <v>560</v>
      </c>
      <c r="B562" s="123" t="s">
        <v>15457</v>
      </c>
      <c r="C562" s="123" t="s">
        <v>15458</v>
      </c>
      <c r="D562" s="124" t="str">
        <f t="shared" si="9"/>
        <v>PEAKUSDT</v>
      </c>
      <c r="E562" s="125" t="e">
        <f ca="1">VLOOKUP(D562,'Курсы Бинанса'!B:C,2,FALSE)</f>
        <v>#N/A</v>
      </c>
    </row>
    <row r="563" spans="1:5">
      <c r="A563" s="121">
        <v>561</v>
      </c>
      <c r="B563" s="123" t="s">
        <v>15459</v>
      </c>
      <c r="C563" s="123" t="s">
        <v>15460</v>
      </c>
      <c r="D563" s="124" t="str">
        <f t="shared" si="9"/>
        <v>VALORUSDT</v>
      </c>
      <c r="E563" s="125" t="e">
        <f ca="1">VLOOKUP(D563,'Курсы Бинанса'!B:C,2,FALSE)</f>
        <v>#N/A</v>
      </c>
    </row>
    <row r="564" spans="1:5">
      <c r="A564" s="121">
        <v>562</v>
      </c>
      <c r="B564" s="123" t="s">
        <v>15461</v>
      </c>
      <c r="C564" s="123" t="s">
        <v>15462</v>
      </c>
      <c r="D564" s="124" t="str">
        <f t="shared" si="9"/>
        <v>YECUSDT</v>
      </c>
      <c r="E564" s="125" t="e">
        <f ca="1">VLOOKUP(D564,'Курсы Бинанса'!B:C,2,FALSE)</f>
        <v>#N/A</v>
      </c>
    </row>
    <row r="565" spans="1:5">
      <c r="A565" s="121">
        <v>563</v>
      </c>
      <c r="B565" s="123" t="s">
        <v>15463</v>
      </c>
      <c r="C565" s="123" t="s">
        <v>15464</v>
      </c>
      <c r="D565" s="124" t="str">
        <f t="shared" si="9"/>
        <v>ODDZUSDT</v>
      </c>
      <c r="E565" s="125" t="e">
        <f ca="1">VLOOKUP(D565,'Курсы Бинанса'!B:C,2,FALSE)</f>
        <v>#N/A</v>
      </c>
    </row>
    <row r="566" spans="1:5">
      <c r="A566" s="121">
        <v>564</v>
      </c>
      <c r="B566" s="123" t="s">
        <v>15465</v>
      </c>
      <c r="C566" s="123" t="s">
        <v>15466</v>
      </c>
      <c r="D566" s="124" t="str">
        <f t="shared" si="9"/>
        <v>PTFUSDT</v>
      </c>
      <c r="E566" s="125" t="e">
        <f ca="1">VLOOKUP(D566,'Курсы Бинанса'!B:C,2,FALSE)</f>
        <v>#N/A</v>
      </c>
    </row>
    <row r="567" spans="1:5">
      <c r="A567" s="121">
        <v>565</v>
      </c>
      <c r="B567" s="123" t="s">
        <v>15467</v>
      </c>
      <c r="C567" s="123" t="s">
        <v>15468</v>
      </c>
      <c r="D567" s="124" t="str">
        <f t="shared" si="9"/>
        <v>DBIXUSDT</v>
      </c>
      <c r="E567" s="125" t="e">
        <f ca="1">VLOOKUP(D567,'Курсы Бинанса'!B:C,2,FALSE)</f>
        <v>#N/A</v>
      </c>
    </row>
    <row r="568" spans="1:5">
      <c r="A568" s="121">
        <v>566</v>
      </c>
      <c r="B568" s="123" t="s">
        <v>15469</v>
      </c>
      <c r="C568" s="123" t="s">
        <v>15470</v>
      </c>
      <c r="D568" s="124" t="str">
        <f t="shared" si="9"/>
        <v>GSWAPUSDT</v>
      </c>
      <c r="E568" s="125" t="e">
        <f ca="1">VLOOKUP(D568,'Курсы Бинанса'!B:C,2,FALSE)</f>
        <v>#N/A</v>
      </c>
    </row>
    <row r="569" spans="1:5">
      <c r="A569" s="121">
        <v>567</v>
      </c>
      <c r="B569" s="123" t="s">
        <v>15471</v>
      </c>
      <c r="C569" s="123" t="s">
        <v>15472</v>
      </c>
      <c r="D569" s="124" t="str">
        <f t="shared" si="9"/>
        <v>DVIUSDT</v>
      </c>
      <c r="E569" s="125" t="e">
        <f ca="1">VLOOKUP(D569,'Курсы Бинанса'!B:C,2,FALSE)</f>
        <v>#N/A</v>
      </c>
    </row>
    <row r="570" spans="1:5">
      <c r="A570" s="121">
        <v>568</v>
      </c>
      <c r="B570" s="123" t="s">
        <v>15473</v>
      </c>
      <c r="C570" s="123" t="s">
        <v>15474</v>
      </c>
      <c r="D570" s="124" t="str">
        <f t="shared" si="9"/>
        <v>GEOUSDT</v>
      </c>
      <c r="E570" s="125" t="e">
        <f ca="1">VLOOKUP(D570,'Курсы Бинанса'!B:C,2,FALSE)</f>
        <v>#N/A</v>
      </c>
    </row>
    <row r="571" spans="1:5">
      <c r="A571" s="121">
        <v>569</v>
      </c>
      <c r="B571" s="123" t="s">
        <v>15475</v>
      </c>
      <c r="C571" s="123" t="s">
        <v>15474</v>
      </c>
      <c r="D571" s="124" t="str">
        <f t="shared" si="9"/>
        <v>GEOUSDT</v>
      </c>
      <c r="E571" s="125" t="e">
        <f ca="1">VLOOKUP(D571,'Курсы Бинанса'!B:C,2,FALSE)</f>
        <v>#N/A</v>
      </c>
    </row>
    <row r="572" spans="1:5">
      <c r="A572" s="121">
        <v>570</v>
      </c>
      <c r="B572" s="123" t="s">
        <v>15476</v>
      </c>
      <c r="C572" s="123" t="s">
        <v>15477</v>
      </c>
      <c r="D572" s="124" t="str">
        <f t="shared" si="9"/>
        <v>COINUSDT</v>
      </c>
      <c r="E572" s="125" t="e">
        <f ca="1">VLOOKUP(D572,'Курсы Бинанса'!B:C,2,FALSE)</f>
        <v>#N/A</v>
      </c>
    </row>
    <row r="573" spans="1:5">
      <c r="A573" s="121">
        <v>571</v>
      </c>
      <c r="B573" s="123" t="s">
        <v>15478</v>
      </c>
      <c r="C573" s="123" t="s">
        <v>15479</v>
      </c>
      <c r="D573" s="124" t="str">
        <f t="shared" si="9"/>
        <v>B2BUSDT</v>
      </c>
      <c r="E573" s="125" t="e">
        <f ca="1">VLOOKUP(D573,'Курсы Бинанса'!B:C,2,FALSE)</f>
        <v>#N/A</v>
      </c>
    </row>
    <row r="574" spans="1:5">
      <c r="A574" s="121">
        <v>572</v>
      </c>
      <c r="B574" s="123" t="s">
        <v>15480</v>
      </c>
      <c r="C574" s="123" t="s">
        <v>15481</v>
      </c>
      <c r="D574" s="124" t="str">
        <f t="shared" si="9"/>
        <v>FINEUSDT</v>
      </c>
      <c r="E574" s="125" t="e">
        <f ca="1">VLOOKUP(D574,'Курсы Бинанса'!B:C,2,FALSE)</f>
        <v>#N/A</v>
      </c>
    </row>
    <row r="575" spans="1:5">
      <c r="A575" s="121">
        <v>573</v>
      </c>
      <c r="B575" s="123" t="s">
        <v>15482</v>
      </c>
      <c r="C575" s="123" t="s">
        <v>15483</v>
      </c>
      <c r="D575" s="124" t="str">
        <f t="shared" si="9"/>
        <v>CXOUSDT</v>
      </c>
      <c r="E575" s="125" t="e">
        <f ca="1">VLOOKUP(D575,'Курсы Бинанса'!B:C,2,FALSE)</f>
        <v>#N/A</v>
      </c>
    </row>
    <row r="576" spans="1:5">
      <c r="A576" s="121">
        <v>574</v>
      </c>
      <c r="B576" s="123" t="s">
        <v>15484</v>
      </c>
      <c r="C576" s="123" t="s">
        <v>15485</v>
      </c>
      <c r="D576" s="124" t="str">
        <f t="shared" si="9"/>
        <v>NSUREUSDT</v>
      </c>
      <c r="E576" s="125" t="e">
        <f ca="1">VLOOKUP(D576,'Курсы Бинанса'!B:C,2,FALSE)</f>
        <v>#N/A</v>
      </c>
    </row>
    <row r="577" spans="1:5">
      <c r="A577" s="121">
        <v>575</v>
      </c>
      <c r="B577" s="123" t="s">
        <v>15486</v>
      </c>
      <c r="C577" s="123" t="s">
        <v>15487</v>
      </c>
      <c r="D577" s="124" t="str">
        <f t="shared" si="9"/>
        <v>PROBUSDT</v>
      </c>
      <c r="E577" s="125" t="e">
        <f ca="1">VLOOKUP(D577,'Курсы Бинанса'!B:C,2,FALSE)</f>
        <v>#N/A</v>
      </c>
    </row>
    <row r="578" spans="1:5">
      <c r="A578" s="121">
        <v>576</v>
      </c>
      <c r="B578" s="123" t="s">
        <v>15488</v>
      </c>
      <c r="C578" s="123" t="s">
        <v>15489</v>
      </c>
      <c r="D578" s="124" t="str">
        <f t="shared" si="9"/>
        <v>DUSDT</v>
      </c>
      <c r="E578" s="125" t="e">
        <f ca="1">VLOOKUP(D578,'Курсы Бинанса'!B:C,2,FALSE)</f>
        <v>#N/A</v>
      </c>
    </row>
    <row r="579" spans="1:5">
      <c r="A579" s="121">
        <v>577</v>
      </c>
      <c r="B579" s="123" t="s">
        <v>15490</v>
      </c>
      <c r="C579" s="123" t="s">
        <v>15491</v>
      </c>
      <c r="D579" s="124" t="str">
        <f t="shared" si="9"/>
        <v>COMBOUSDT</v>
      </c>
      <c r="E579" s="125" t="e">
        <f ca="1">VLOOKUP(D579,'Курсы Бинанса'!B:C,2,FALSE)</f>
        <v>#N/A</v>
      </c>
    </row>
    <row r="580" spans="1:5">
      <c r="A580" s="121">
        <v>578</v>
      </c>
      <c r="B580" s="123" t="s">
        <v>15492</v>
      </c>
      <c r="C580" s="123" t="s">
        <v>15493</v>
      </c>
      <c r="D580" s="124" t="str">
        <f t="shared" si="9"/>
        <v>ANJUSDT</v>
      </c>
      <c r="E580" s="125" t="e">
        <f ca="1">VLOOKUP(D580,'Курсы Бинанса'!B:C,2,FALSE)</f>
        <v>#N/A</v>
      </c>
    </row>
    <row r="581" spans="1:5">
      <c r="A581" s="121">
        <v>579</v>
      </c>
      <c r="B581" s="123" t="s">
        <v>15494</v>
      </c>
      <c r="C581" s="123" t="s">
        <v>15495</v>
      </c>
      <c r="D581" s="124" t="str">
        <f t="shared" si="9"/>
        <v>TONSUSDT</v>
      </c>
      <c r="E581" s="125" t="e">
        <f ca="1">VLOOKUP(D581,'Курсы Бинанса'!B:C,2,FALSE)</f>
        <v>#N/A</v>
      </c>
    </row>
    <row r="582" spans="1:5">
      <c r="A582" s="121">
        <v>580</v>
      </c>
      <c r="B582" s="123" t="s">
        <v>15496</v>
      </c>
      <c r="C582" s="123" t="s">
        <v>15496</v>
      </c>
      <c r="D582" s="124" t="str">
        <f t="shared" si="9"/>
        <v>HUNTUSDT</v>
      </c>
      <c r="E582" s="125" t="e">
        <f ca="1">VLOOKUP(D582,'Курсы Бинанса'!B:C,2,FALSE)</f>
        <v>#N/A</v>
      </c>
    </row>
    <row r="583" spans="1:5">
      <c r="A583" s="121">
        <v>581</v>
      </c>
      <c r="B583" s="123" t="s">
        <v>15497</v>
      </c>
      <c r="C583" s="123" t="s">
        <v>15498</v>
      </c>
      <c r="D583" s="124" t="str">
        <f t="shared" si="9"/>
        <v>RKNUSDT</v>
      </c>
      <c r="E583" s="125" t="e">
        <f ca="1">VLOOKUP(D583,'Курсы Бинанса'!B:C,2,FALSE)</f>
        <v>#N/A</v>
      </c>
    </row>
    <row r="584" spans="1:5">
      <c r="A584" s="121">
        <v>582</v>
      </c>
      <c r="B584" s="123" t="s">
        <v>15499</v>
      </c>
      <c r="C584" s="123" t="s">
        <v>15500</v>
      </c>
      <c r="D584" s="124" t="str">
        <f t="shared" si="9"/>
        <v>CVNUSDT</v>
      </c>
      <c r="E584" s="125" t="e">
        <f ca="1">VLOOKUP(D584,'Курсы Бинанса'!B:C,2,FALSE)</f>
        <v>#N/A</v>
      </c>
    </row>
    <row r="585" spans="1:5">
      <c r="A585" s="121">
        <v>583</v>
      </c>
      <c r="B585" s="123" t="s">
        <v>15501</v>
      </c>
      <c r="C585" s="123" t="s">
        <v>15502</v>
      </c>
      <c r="D585" s="124" t="str">
        <f t="shared" si="9"/>
        <v>ORBUSDT</v>
      </c>
      <c r="E585" s="125" t="e">
        <f ca="1">VLOOKUP(D585,'Курсы Бинанса'!B:C,2,FALSE)</f>
        <v>#N/A</v>
      </c>
    </row>
    <row r="586" spans="1:5">
      <c r="A586" s="121">
        <v>584</v>
      </c>
      <c r="B586" s="126" t="s">
        <v>15503</v>
      </c>
      <c r="C586" s="123" t="s">
        <v>15504</v>
      </c>
      <c r="D586" s="124" t="str">
        <f t="shared" si="9"/>
        <v>FETUSDT</v>
      </c>
      <c r="E586" s="125" t="e">
        <f ca="1">VLOOKUP(D586,'Курсы Бинанса'!B:C,2,FALSE)</f>
        <v>#N/A</v>
      </c>
    </row>
    <row r="587" spans="1:5">
      <c r="A587" s="121">
        <v>585</v>
      </c>
      <c r="B587" s="123" t="s">
        <v>15505</v>
      </c>
      <c r="C587" s="123" t="s">
        <v>15506</v>
      </c>
      <c r="D587" s="124" t="str">
        <f t="shared" si="9"/>
        <v>TRACUSDT</v>
      </c>
      <c r="E587" s="125" t="e">
        <f ca="1">VLOOKUP(D587,'Курсы Бинанса'!B:C,2,FALSE)</f>
        <v>#N/A</v>
      </c>
    </row>
    <row r="588" spans="1:5">
      <c r="A588" s="121">
        <v>586</v>
      </c>
      <c r="B588" s="123" t="s">
        <v>15507</v>
      </c>
      <c r="C588" s="123" t="s">
        <v>15508</v>
      </c>
      <c r="D588" s="124" t="str">
        <f t="shared" si="9"/>
        <v>CHZUSDT</v>
      </c>
      <c r="E588" s="125" t="e">
        <f ca="1">VLOOKUP(D588,'Курсы Бинанса'!B:C,2,FALSE)</f>
        <v>#N/A</v>
      </c>
    </row>
    <row r="589" spans="1:5">
      <c r="A589" s="121">
        <v>587</v>
      </c>
      <c r="B589" s="123" t="s">
        <v>15509</v>
      </c>
      <c r="C589" s="123" t="s">
        <v>15510</v>
      </c>
      <c r="D589" s="124" t="str">
        <f t="shared" si="9"/>
        <v>SAPPUSDT</v>
      </c>
      <c r="E589" s="125" t="e">
        <f ca="1">VLOOKUP(D589,'Курсы Бинанса'!B:C,2,FALSE)</f>
        <v>#N/A</v>
      </c>
    </row>
    <row r="590" spans="1:5">
      <c r="A590" s="121">
        <v>588</v>
      </c>
      <c r="B590" s="123" t="s">
        <v>15511</v>
      </c>
      <c r="C590" s="123" t="s">
        <v>15512</v>
      </c>
      <c r="D590" s="124" t="str">
        <f t="shared" si="9"/>
        <v>PINGUSDT</v>
      </c>
      <c r="E590" s="125" t="e">
        <f ca="1">VLOOKUP(D590,'Курсы Бинанса'!B:C,2,FALSE)</f>
        <v>#N/A</v>
      </c>
    </row>
    <row r="591" spans="1:5">
      <c r="A591" s="121">
        <v>589</v>
      </c>
      <c r="B591" s="123" t="s">
        <v>15513</v>
      </c>
      <c r="C591" s="123" t="s">
        <v>15514</v>
      </c>
      <c r="D591" s="124" t="str">
        <f t="shared" si="9"/>
        <v>XLMUSDT</v>
      </c>
      <c r="E591" s="125" t="e">
        <f ca="1">VLOOKUP(D591,'Курсы Бинанса'!B:C,2,FALSE)</f>
        <v>#N/A</v>
      </c>
    </row>
    <row r="592" spans="1:5">
      <c r="A592" s="121">
        <v>590</v>
      </c>
      <c r="B592" s="123" t="s">
        <v>15515</v>
      </c>
      <c r="C592" s="123" t="s">
        <v>15516</v>
      </c>
      <c r="D592" s="124" t="str">
        <f t="shared" si="9"/>
        <v>KRLUSDT</v>
      </c>
      <c r="E592" s="125" t="e">
        <f ca="1">VLOOKUP(D592,'Курсы Бинанса'!B:C,2,FALSE)</f>
        <v>#N/A</v>
      </c>
    </row>
    <row r="593" spans="1:5">
      <c r="A593" s="121">
        <v>591</v>
      </c>
      <c r="B593" s="123" t="s">
        <v>15517</v>
      </c>
      <c r="C593" s="123" t="s">
        <v>15518</v>
      </c>
      <c r="D593" s="124" t="str">
        <f t="shared" si="9"/>
        <v>SANUSDT</v>
      </c>
      <c r="E593" s="125" t="e">
        <f ca="1">VLOOKUP(D593,'Курсы Бинанса'!B:C,2,FALSE)</f>
        <v>#N/A</v>
      </c>
    </row>
    <row r="594" spans="1:5">
      <c r="A594" s="121">
        <v>592</v>
      </c>
      <c r="B594" s="123" t="s">
        <v>15519</v>
      </c>
      <c r="C594" s="123" t="s">
        <v>15520</v>
      </c>
      <c r="D594" s="124" t="str">
        <f t="shared" si="9"/>
        <v>GLCHUSDT</v>
      </c>
      <c r="E594" s="125" t="e">
        <f ca="1">VLOOKUP(D594,'Курсы Бинанса'!B:C,2,FALSE)</f>
        <v>#N/A</v>
      </c>
    </row>
    <row r="595" spans="1:5">
      <c r="A595" s="121">
        <v>593</v>
      </c>
      <c r="B595" s="123" t="s">
        <v>15521</v>
      </c>
      <c r="C595" s="123" t="s">
        <v>15522</v>
      </c>
      <c r="D595" s="124" t="str">
        <f t="shared" si="9"/>
        <v>CHNDUSDT</v>
      </c>
      <c r="E595" s="125" t="e">
        <f ca="1">VLOOKUP(D595,'Курсы Бинанса'!B:C,2,FALSE)</f>
        <v>#N/A</v>
      </c>
    </row>
    <row r="596" spans="1:5">
      <c r="A596" s="121">
        <v>594</v>
      </c>
      <c r="B596" s="123" t="s">
        <v>15523</v>
      </c>
      <c r="C596" s="123" t="s">
        <v>15524</v>
      </c>
      <c r="D596" s="124" t="str">
        <f t="shared" si="9"/>
        <v>CCXUSDT</v>
      </c>
      <c r="E596" s="125" t="e">
        <f ca="1">VLOOKUP(D596,'Курсы Бинанса'!B:C,2,FALSE)</f>
        <v>#N/A</v>
      </c>
    </row>
    <row r="597" spans="1:5">
      <c r="A597" s="121">
        <v>595</v>
      </c>
      <c r="B597" s="123" t="s">
        <v>15525</v>
      </c>
      <c r="C597" s="123" t="s">
        <v>15526</v>
      </c>
      <c r="D597" s="124" t="str">
        <f t="shared" si="9"/>
        <v>CVCUSDT</v>
      </c>
      <c r="E597" s="125" t="e">
        <f ca="1">VLOOKUP(D597,'Курсы Бинанса'!B:C,2,FALSE)</f>
        <v>#N/A</v>
      </c>
    </row>
    <row r="598" spans="1:5">
      <c r="A598" s="121">
        <v>596</v>
      </c>
      <c r="B598" s="123" t="s">
        <v>15527</v>
      </c>
      <c r="C598" s="123" t="s">
        <v>15528</v>
      </c>
      <c r="D598" s="124" t="str">
        <f t="shared" si="9"/>
        <v>LRCUSDT</v>
      </c>
      <c r="E598" s="125" t="e">
        <f ca="1">VLOOKUP(D598,'Курсы Бинанса'!B:C,2,FALSE)</f>
        <v>#N/A</v>
      </c>
    </row>
    <row r="599" spans="1:5">
      <c r="A599" s="121">
        <v>597</v>
      </c>
      <c r="B599" s="123" t="s">
        <v>15529</v>
      </c>
      <c r="C599" s="123" t="s">
        <v>15530</v>
      </c>
      <c r="D599" s="124" t="str">
        <f t="shared" si="9"/>
        <v>CCAKEUSDT</v>
      </c>
      <c r="E599" s="125" t="e">
        <f ca="1">VLOOKUP(D599,'Курсы Бинанса'!B:C,2,FALSE)</f>
        <v>#N/A</v>
      </c>
    </row>
    <row r="600" spans="1:5">
      <c r="A600" s="121">
        <v>598</v>
      </c>
      <c r="B600" s="123" t="s">
        <v>15531</v>
      </c>
      <c r="C600" s="123" t="s">
        <v>15532</v>
      </c>
      <c r="D600" s="124" t="str">
        <f t="shared" si="9"/>
        <v>CHRUSDT</v>
      </c>
      <c r="E600" s="125" t="e">
        <f ca="1">VLOOKUP(D600,'Курсы Бинанса'!B:C,2,FALSE)</f>
        <v>#N/A</v>
      </c>
    </row>
    <row r="601" spans="1:5">
      <c r="A601" s="121">
        <v>599</v>
      </c>
      <c r="B601" s="123" t="s">
        <v>15533</v>
      </c>
      <c r="C601" s="123" t="s">
        <v>15534</v>
      </c>
      <c r="D601" s="124" t="str">
        <f t="shared" si="9"/>
        <v>APYUSDT</v>
      </c>
      <c r="E601" s="125" t="e">
        <f ca="1">VLOOKUP(D601,'Курсы Бинанса'!B:C,2,FALSE)</f>
        <v>#N/A</v>
      </c>
    </row>
    <row r="602" spans="1:5">
      <c r="A602" s="121">
        <v>600</v>
      </c>
      <c r="B602" s="123" t="s">
        <v>15535</v>
      </c>
      <c r="C602" s="123" t="s">
        <v>15536</v>
      </c>
      <c r="D602" s="124" t="str">
        <f t="shared" si="9"/>
        <v>AGIXUSDT</v>
      </c>
      <c r="E602" s="125" t="e">
        <f ca="1">VLOOKUP(D602,'Курсы Бинанса'!B:C,2,FALSE)</f>
        <v>#N/A</v>
      </c>
    </row>
    <row r="603" spans="1:5">
      <c r="A603" s="121">
        <v>601</v>
      </c>
      <c r="B603" s="123" t="s">
        <v>15537</v>
      </c>
      <c r="C603" s="123" t="s">
        <v>15538</v>
      </c>
      <c r="D603" s="124" t="str">
        <f t="shared" si="9"/>
        <v>FTMUSDT</v>
      </c>
      <c r="E603" s="125" t="e">
        <f ca="1">VLOOKUP(D603,'Курсы Бинанса'!B:C,2,FALSE)</f>
        <v>#N/A</v>
      </c>
    </row>
    <row r="604" spans="1:5">
      <c r="A604" s="121">
        <v>602</v>
      </c>
      <c r="B604" s="123" t="s">
        <v>15539</v>
      </c>
      <c r="C604" s="123" t="s">
        <v>15540</v>
      </c>
      <c r="D604" s="124" t="str">
        <f t="shared" si="9"/>
        <v>NUUSDT</v>
      </c>
      <c r="E604" s="125" t="e">
        <f ca="1">VLOOKUP(D604,'Курсы Бинанса'!B:C,2,FALSE)</f>
        <v>#N/A</v>
      </c>
    </row>
    <row r="605" spans="1:5">
      <c r="A605" s="121">
        <v>603</v>
      </c>
      <c r="B605" s="123" t="s">
        <v>15541</v>
      </c>
      <c r="C605" s="123" t="s">
        <v>15542</v>
      </c>
      <c r="D605" s="124" t="str">
        <f t="shared" si="9"/>
        <v>SKLUSDT</v>
      </c>
      <c r="E605" s="125" t="e">
        <f ca="1">VLOOKUP(D605,'Курсы Бинанса'!B:C,2,FALSE)</f>
        <v>#N/A</v>
      </c>
    </row>
    <row r="606" spans="1:5">
      <c r="A606" s="121">
        <v>604</v>
      </c>
      <c r="B606" s="123" t="s">
        <v>15543</v>
      </c>
      <c r="C606" s="123" t="s">
        <v>15543</v>
      </c>
      <c r="D606" s="124" t="str">
        <f t="shared" si="9"/>
        <v>NKNUSDT</v>
      </c>
      <c r="E606" s="125" t="e">
        <f ca="1">VLOOKUP(D606,'Курсы Бинанса'!B:C,2,FALSE)</f>
        <v>#N/A</v>
      </c>
    </row>
    <row r="607" spans="1:5">
      <c r="A607" s="121">
        <v>605</v>
      </c>
      <c r="B607" s="123" t="s">
        <v>15544</v>
      </c>
      <c r="C607" s="123" t="s">
        <v>15545</v>
      </c>
      <c r="D607" s="124" t="str">
        <f t="shared" si="9"/>
        <v>WISHUSDT</v>
      </c>
      <c r="E607" s="125" t="e">
        <f ca="1">VLOOKUP(D607,'Курсы Бинанса'!B:C,2,FALSE)</f>
        <v>#N/A</v>
      </c>
    </row>
    <row r="608" spans="1:5">
      <c r="A608" s="121">
        <v>606</v>
      </c>
      <c r="B608" s="123" t="s">
        <v>15546</v>
      </c>
      <c r="C608" s="123" t="s">
        <v>15547</v>
      </c>
      <c r="D608" s="124" t="str">
        <f t="shared" si="9"/>
        <v>IHFUSDT</v>
      </c>
      <c r="E608" s="125" t="e">
        <f ca="1">VLOOKUP(D608,'Курсы Бинанса'!B:C,2,FALSE)</f>
        <v>#N/A</v>
      </c>
    </row>
    <row r="609" spans="1:5">
      <c r="A609" s="121">
        <v>607</v>
      </c>
      <c r="B609" s="123" t="s">
        <v>15548</v>
      </c>
      <c r="C609" s="123" t="s">
        <v>15549</v>
      </c>
      <c r="D609" s="124" t="str">
        <f t="shared" si="9"/>
        <v>N0031USDT</v>
      </c>
      <c r="E609" s="125" t="e">
        <f ca="1">VLOOKUP(D609,'Курсы Бинанса'!B:C,2,FALSE)</f>
        <v>#N/A</v>
      </c>
    </row>
    <row r="610" spans="1:5">
      <c r="A610" s="121">
        <v>608</v>
      </c>
      <c r="B610" s="123" t="s">
        <v>15550</v>
      </c>
      <c r="C610" s="123" t="s">
        <v>15551</v>
      </c>
      <c r="D610" s="124" t="str">
        <f t="shared" ref="D610:D673" si="10">CONCATENATE(C610,"USDT")</f>
        <v>AIOZUSDT</v>
      </c>
      <c r="E610" s="125" t="e">
        <f ca="1">VLOOKUP(D610,'Курсы Бинанса'!B:C,2,FALSE)</f>
        <v>#N/A</v>
      </c>
    </row>
    <row r="611" spans="1:5">
      <c r="A611" s="121">
        <v>609</v>
      </c>
      <c r="B611" s="123" t="s">
        <v>15552</v>
      </c>
      <c r="C611" s="123" t="s">
        <v>15553</v>
      </c>
      <c r="D611" s="124" t="str">
        <f t="shared" si="10"/>
        <v>ZEEUSDT</v>
      </c>
      <c r="E611" s="125" t="e">
        <f ca="1">VLOOKUP(D611,'Курсы Бинанса'!B:C,2,FALSE)</f>
        <v>#N/A</v>
      </c>
    </row>
    <row r="612" spans="1:5">
      <c r="A612" s="121">
        <v>610</v>
      </c>
      <c r="B612" s="123" t="s">
        <v>15554</v>
      </c>
      <c r="C612" s="123" t="s">
        <v>15555</v>
      </c>
      <c r="D612" s="124" t="str">
        <f t="shared" si="10"/>
        <v>NOIAUSDT</v>
      </c>
      <c r="E612" s="125" t="e">
        <f ca="1">VLOOKUP(D612,'Курсы Бинанса'!B:C,2,FALSE)</f>
        <v>#N/A</v>
      </c>
    </row>
    <row r="613" spans="1:5">
      <c r="A613" s="121">
        <v>611</v>
      </c>
      <c r="B613" s="123" t="s">
        <v>15556</v>
      </c>
      <c r="C613" s="123" t="s">
        <v>15556</v>
      </c>
      <c r="D613" s="124" t="str">
        <f t="shared" si="10"/>
        <v>SALTUSDT</v>
      </c>
      <c r="E613" s="125" t="e">
        <f ca="1">VLOOKUP(D613,'Курсы Бинанса'!B:C,2,FALSE)</f>
        <v>#N/A</v>
      </c>
    </row>
    <row r="614" spans="1:5">
      <c r="A614" s="121">
        <v>612</v>
      </c>
      <c r="B614" s="123" t="s">
        <v>15557</v>
      </c>
      <c r="C614" s="123" t="s">
        <v>15558</v>
      </c>
      <c r="D614" s="124" t="str">
        <f t="shared" si="10"/>
        <v>FYZUSDT</v>
      </c>
      <c r="E614" s="125" t="e">
        <f ca="1">VLOOKUP(D614,'Курсы Бинанса'!B:C,2,FALSE)</f>
        <v>#N/A</v>
      </c>
    </row>
    <row r="615" spans="1:5">
      <c r="A615" s="121">
        <v>613</v>
      </c>
      <c r="B615" s="123" t="s">
        <v>15559</v>
      </c>
      <c r="C615" s="123" t="s">
        <v>15560</v>
      </c>
      <c r="D615" s="124" t="str">
        <f t="shared" si="10"/>
        <v>CGGUSDT</v>
      </c>
      <c r="E615" s="125" t="e">
        <f ca="1">VLOOKUP(D615,'Курсы Бинанса'!B:C,2,FALSE)</f>
        <v>#N/A</v>
      </c>
    </row>
    <row r="616" spans="1:5">
      <c r="A616" s="121">
        <v>614</v>
      </c>
      <c r="B616" s="123" t="s">
        <v>15561</v>
      </c>
      <c r="C616" s="123" t="s">
        <v>15562</v>
      </c>
      <c r="D616" s="124" t="str">
        <f t="shared" si="10"/>
        <v>XEDUSDT</v>
      </c>
      <c r="E616" s="125" t="e">
        <f ca="1">VLOOKUP(D616,'Курсы Бинанса'!B:C,2,FALSE)</f>
        <v>#N/A</v>
      </c>
    </row>
    <row r="617" spans="1:5">
      <c r="A617" s="121">
        <v>615</v>
      </c>
      <c r="B617" s="123" t="s">
        <v>15563</v>
      </c>
      <c r="C617" s="123" t="s">
        <v>15564</v>
      </c>
      <c r="D617" s="124" t="str">
        <f t="shared" si="10"/>
        <v>DOGEUSDT</v>
      </c>
      <c r="E617" s="125" t="e">
        <f ca="1">VLOOKUP(D617,'Курсы Бинанса'!B:C,2,FALSE)</f>
        <v>#N/A</v>
      </c>
    </row>
    <row r="618" spans="1:5">
      <c r="A618" s="121">
        <v>616</v>
      </c>
      <c r="B618" s="123" t="s">
        <v>15565</v>
      </c>
      <c r="C618" s="123" t="s">
        <v>15566</v>
      </c>
      <c r="D618" s="124" t="str">
        <f t="shared" si="10"/>
        <v>UTKUSDT</v>
      </c>
      <c r="E618" s="125" t="e">
        <f ca="1">VLOOKUP(D618,'Курсы Бинанса'!B:C,2,FALSE)</f>
        <v>#N/A</v>
      </c>
    </row>
    <row r="619" spans="1:5">
      <c r="A619" s="121">
        <v>617</v>
      </c>
      <c r="B619" s="123" t="s">
        <v>15567</v>
      </c>
      <c r="C619" s="123" t="s">
        <v>15568</v>
      </c>
      <c r="D619" s="124" t="str">
        <f t="shared" si="10"/>
        <v>ELFUSDT</v>
      </c>
      <c r="E619" s="125" t="e">
        <f ca="1">VLOOKUP(D619,'Курсы Бинанса'!B:C,2,FALSE)</f>
        <v>#N/A</v>
      </c>
    </row>
    <row r="620" spans="1:5">
      <c r="A620" s="121">
        <v>618</v>
      </c>
      <c r="B620" s="123" t="s">
        <v>15569</v>
      </c>
      <c r="C620" s="123" t="s">
        <v>15570</v>
      </c>
      <c r="D620" s="124" t="str">
        <f t="shared" si="10"/>
        <v>FIOUSDT</v>
      </c>
      <c r="E620" s="125" t="e">
        <f ca="1">VLOOKUP(D620,'Курсы Бинанса'!B:C,2,FALSE)</f>
        <v>#N/A</v>
      </c>
    </row>
    <row r="621" spans="1:5">
      <c r="A621" s="121">
        <v>619</v>
      </c>
      <c r="B621" s="123" t="s">
        <v>15571</v>
      </c>
      <c r="C621" s="123" t="s">
        <v>15572</v>
      </c>
      <c r="D621" s="124" t="str">
        <f t="shared" si="10"/>
        <v>TVKUSDT</v>
      </c>
      <c r="E621" s="125" t="e">
        <f ca="1">VLOOKUP(D621,'Курсы Бинанса'!B:C,2,FALSE)</f>
        <v>#N/A</v>
      </c>
    </row>
    <row r="622" spans="1:5">
      <c r="A622" s="121">
        <v>620</v>
      </c>
      <c r="B622" s="123" t="s">
        <v>15573</v>
      </c>
      <c r="C622" s="123" t="s">
        <v>15574</v>
      </c>
      <c r="D622" s="124" t="str">
        <f t="shared" si="10"/>
        <v>UBQUSDT</v>
      </c>
      <c r="E622" s="125" t="e">
        <f ca="1">VLOOKUP(D622,'Курсы Бинанса'!B:C,2,FALSE)</f>
        <v>#N/A</v>
      </c>
    </row>
    <row r="623" spans="1:5">
      <c r="A623" s="121">
        <v>621</v>
      </c>
      <c r="B623" s="123" t="s">
        <v>15575</v>
      </c>
      <c r="C623" s="123" t="s">
        <v>9702</v>
      </c>
      <c r="D623" s="124" t="str">
        <f t="shared" si="10"/>
        <v>VIDUSDT</v>
      </c>
      <c r="E623" s="125" t="e">
        <f ca="1">VLOOKUP(D623,'Курсы Бинанса'!B:C,2,FALSE)</f>
        <v>#N/A</v>
      </c>
    </row>
    <row r="624" spans="1:5">
      <c r="A624" s="121">
        <v>622</v>
      </c>
      <c r="B624" s="123" t="s">
        <v>9703</v>
      </c>
      <c r="C624" s="123" t="s">
        <v>9703</v>
      </c>
      <c r="D624" s="124" t="str">
        <f t="shared" si="10"/>
        <v>SUKUUSDT</v>
      </c>
      <c r="E624" s="125" t="e">
        <f ca="1">VLOOKUP(D624,'Курсы Бинанса'!B:C,2,FALSE)</f>
        <v>#N/A</v>
      </c>
    </row>
    <row r="625" spans="1:5">
      <c r="A625" s="121">
        <v>623</v>
      </c>
      <c r="B625" s="123" t="s">
        <v>9704</v>
      </c>
      <c r="C625" s="123" t="s">
        <v>9705</v>
      </c>
      <c r="D625" s="124" t="str">
        <f t="shared" si="10"/>
        <v>POWRUSDT</v>
      </c>
      <c r="E625" s="125" t="e">
        <f ca="1">VLOOKUP(D625,'Курсы Бинанса'!B:C,2,FALSE)</f>
        <v>#N/A</v>
      </c>
    </row>
    <row r="626" spans="1:5">
      <c r="A626" s="121">
        <v>624</v>
      </c>
      <c r="B626" s="123" t="s">
        <v>9706</v>
      </c>
      <c r="C626" s="123" t="s">
        <v>9707</v>
      </c>
      <c r="D626" s="124" t="str">
        <f t="shared" si="10"/>
        <v>BZRXUSDT</v>
      </c>
      <c r="E626" s="125" t="e">
        <f ca="1">VLOOKUP(D626,'Курсы Бинанса'!B:C,2,FALSE)</f>
        <v>#N/A</v>
      </c>
    </row>
    <row r="627" spans="1:5">
      <c r="A627" s="121">
        <v>625</v>
      </c>
      <c r="B627" s="123" t="s">
        <v>9708</v>
      </c>
      <c r="C627" s="123" t="s">
        <v>9709</v>
      </c>
      <c r="D627" s="124" t="str">
        <f t="shared" si="10"/>
        <v>XCMUSDT</v>
      </c>
      <c r="E627" s="125" t="e">
        <f ca="1">VLOOKUP(D627,'Курсы Бинанса'!B:C,2,FALSE)</f>
        <v>#N/A</v>
      </c>
    </row>
    <row r="628" spans="1:5">
      <c r="A628" s="121">
        <v>626</v>
      </c>
      <c r="B628" s="123" t="s">
        <v>9710</v>
      </c>
      <c r="C628" s="123" t="s">
        <v>9711</v>
      </c>
      <c r="D628" s="124" t="str">
        <f t="shared" si="10"/>
        <v>QRLUSDT</v>
      </c>
      <c r="E628" s="125" t="e">
        <f ca="1">VLOOKUP(D628,'Курсы Бинанса'!B:C,2,FALSE)</f>
        <v>#N/A</v>
      </c>
    </row>
    <row r="629" spans="1:5">
      <c r="A629" s="121">
        <v>627</v>
      </c>
      <c r="B629" s="123" t="s">
        <v>9712</v>
      </c>
      <c r="C629" s="123" t="s">
        <v>9712</v>
      </c>
      <c r="D629" s="124" t="str">
        <f t="shared" si="10"/>
        <v>ARMORUSDT</v>
      </c>
      <c r="E629" s="125" t="e">
        <f ca="1">VLOOKUP(D629,'Курсы Бинанса'!B:C,2,FALSE)</f>
        <v>#N/A</v>
      </c>
    </row>
    <row r="630" spans="1:5">
      <c r="A630" s="121">
        <v>628</v>
      </c>
      <c r="B630" s="123" t="s">
        <v>9713</v>
      </c>
      <c r="C630" s="123" t="s">
        <v>9714</v>
      </c>
      <c r="D630" s="124" t="str">
        <f t="shared" si="10"/>
        <v>POLKUSDT</v>
      </c>
      <c r="E630" s="125" t="e">
        <f ca="1">VLOOKUP(D630,'Курсы Бинанса'!B:C,2,FALSE)</f>
        <v>#N/A</v>
      </c>
    </row>
    <row r="631" spans="1:5">
      <c r="A631" s="121">
        <v>629</v>
      </c>
      <c r="B631" s="123" t="s">
        <v>9715</v>
      </c>
      <c r="C631" s="123" t="s">
        <v>9716</v>
      </c>
      <c r="D631" s="124" t="str">
        <f t="shared" si="10"/>
        <v>DAGUSDT</v>
      </c>
      <c r="E631" s="125" t="e">
        <f ca="1">VLOOKUP(D631,'Курсы Бинанса'!B:C,2,FALSE)</f>
        <v>#N/A</v>
      </c>
    </row>
    <row r="632" spans="1:5">
      <c r="A632" s="121">
        <v>630</v>
      </c>
      <c r="B632" s="123" t="s">
        <v>9717</v>
      </c>
      <c r="C632" s="123" t="s">
        <v>9718</v>
      </c>
      <c r="D632" s="124" t="str">
        <f t="shared" si="10"/>
        <v>POLYUSDT</v>
      </c>
      <c r="E632" s="125" t="e">
        <f ca="1">VLOOKUP(D632,'Курсы Бинанса'!B:C,2,FALSE)</f>
        <v>#N/A</v>
      </c>
    </row>
    <row r="633" spans="1:5">
      <c r="A633" s="121">
        <v>631</v>
      </c>
      <c r="B633" s="123" t="s">
        <v>9719</v>
      </c>
      <c r="C633" s="123" t="s">
        <v>9720</v>
      </c>
      <c r="D633" s="124" t="str">
        <f t="shared" si="10"/>
        <v>ZRCUSDT</v>
      </c>
      <c r="E633" s="125" t="e">
        <f ca="1">VLOOKUP(D633,'Курсы Бинанса'!B:C,2,FALSE)</f>
        <v>#N/A</v>
      </c>
    </row>
    <row r="634" spans="1:5">
      <c r="A634" s="121">
        <v>632</v>
      </c>
      <c r="B634" s="123" t="s">
        <v>9721</v>
      </c>
      <c r="C634" s="123" t="s">
        <v>9722</v>
      </c>
      <c r="D634" s="124" t="str">
        <f t="shared" si="10"/>
        <v>SEROUSDT</v>
      </c>
      <c r="E634" s="125" t="e">
        <f ca="1">VLOOKUP(D634,'Курсы Бинанса'!B:C,2,FALSE)</f>
        <v>#N/A</v>
      </c>
    </row>
    <row r="635" spans="1:5">
      <c r="A635" s="121">
        <v>633</v>
      </c>
      <c r="B635" s="123" t="s">
        <v>9723</v>
      </c>
      <c r="C635" s="123" t="s">
        <v>9724</v>
      </c>
      <c r="D635" s="124" t="str">
        <f t="shared" si="10"/>
        <v>STEPUSDT</v>
      </c>
      <c r="E635" s="125" t="e">
        <f ca="1">VLOOKUP(D635,'Курсы Бинанса'!B:C,2,FALSE)</f>
        <v>#N/A</v>
      </c>
    </row>
    <row r="636" spans="1:5">
      <c r="A636" s="121">
        <v>634</v>
      </c>
      <c r="B636" s="123" t="s">
        <v>9725</v>
      </c>
      <c r="C636" s="123" t="s">
        <v>9726</v>
      </c>
      <c r="D636" s="124" t="str">
        <f t="shared" si="10"/>
        <v>ZCLUSDT</v>
      </c>
      <c r="E636" s="125" t="e">
        <f ca="1">VLOOKUP(D636,'Курсы Бинанса'!B:C,2,FALSE)</f>
        <v>#N/A</v>
      </c>
    </row>
    <row r="637" spans="1:5">
      <c r="A637" s="121">
        <v>635</v>
      </c>
      <c r="B637" s="123" t="s">
        <v>9727</v>
      </c>
      <c r="C637" s="123" t="s">
        <v>9728</v>
      </c>
      <c r="D637" s="124" t="str">
        <f t="shared" si="10"/>
        <v>PHRUSDT</v>
      </c>
      <c r="E637" s="125" t="e">
        <f ca="1">VLOOKUP(D637,'Курсы Бинанса'!B:C,2,FALSE)</f>
        <v>#N/A</v>
      </c>
    </row>
    <row r="638" spans="1:5">
      <c r="A638" s="121">
        <v>636</v>
      </c>
      <c r="B638" s="123" t="s">
        <v>9729</v>
      </c>
      <c r="C638" s="123" t="s">
        <v>9730</v>
      </c>
      <c r="D638" s="124" t="str">
        <f t="shared" si="10"/>
        <v>LUNUSDT</v>
      </c>
      <c r="E638" s="125" t="e">
        <f ca="1">VLOOKUP(D638,'Курсы Бинанса'!B:C,2,FALSE)</f>
        <v>#N/A</v>
      </c>
    </row>
    <row r="639" spans="1:5">
      <c r="A639" s="121">
        <v>637</v>
      </c>
      <c r="B639" s="123" t="s">
        <v>9731</v>
      </c>
      <c r="C639" s="123" t="s">
        <v>9732</v>
      </c>
      <c r="D639" s="124" t="str">
        <f t="shared" si="10"/>
        <v>PROUSDT</v>
      </c>
      <c r="E639" s="125" t="e">
        <f ca="1">VLOOKUP(D639,'Курсы Бинанса'!B:C,2,FALSE)</f>
        <v>#N/A</v>
      </c>
    </row>
    <row r="640" spans="1:5">
      <c r="A640" s="121">
        <v>638</v>
      </c>
      <c r="B640" s="123" t="s">
        <v>9733</v>
      </c>
      <c r="C640" s="123" t="s">
        <v>9734</v>
      </c>
      <c r="D640" s="124" t="str">
        <f t="shared" si="10"/>
        <v>HYVEUSDT</v>
      </c>
      <c r="E640" s="125" t="e">
        <f ca="1">VLOOKUP(D640,'Курсы Бинанса'!B:C,2,FALSE)</f>
        <v>#N/A</v>
      </c>
    </row>
    <row r="641" spans="1:5">
      <c r="A641" s="121">
        <v>639</v>
      </c>
      <c r="B641" s="123" t="s">
        <v>9735</v>
      </c>
      <c r="C641" s="123" t="s">
        <v>9736</v>
      </c>
      <c r="D641" s="124" t="str">
        <f t="shared" si="10"/>
        <v>BCDTUSDT</v>
      </c>
      <c r="E641" s="125" t="e">
        <f ca="1">VLOOKUP(D641,'Курсы Бинанса'!B:C,2,FALSE)</f>
        <v>#N/A</v>
      </c>
    </row>
    <row r="642" spans="1:5">
      <c r="A642" s="121">
        <v>640</v>
      </c>
      <c r="B642" s="123" t="s">
        <v>9737</v>
      </c>
      <c r="C642" s="123" t="s">
        <v>9736</v>
      </c>
      <c r="D642" s="124" t="str">
        <f t="shared" si="10"/>
        <v>BCDTUSDT</v>
      </c>
      <c r="E642" s="125" t="e">
        <f ca="1">VLOOKUP(D642,'Курсы Бинанса'!B:C,2,FALSE)</f>
        <v>#N/A</v>
      </c>
    </row>
    <row r="643" spans="1:5">
      <c r="A643" s="121">
        <v>641</v>
      </c>
      <c r="B643" s="123" t="s">
        <v>9738</v>
      </c>
      <c r="C643" s="123" t="s">
        <v>9739</v>
      </c>
      <c r="D643" s="124" t="str">
        <f t="shared" si="10"/>
        <v>TLMUSDT</v>
      </c>
      <c r="E643" s="125" t="e">
        <f ca="1">VLOOKUP(D643,'Курсы Бинанса'!B:C,2,FALSE)</f>
        <v>#N/A</v>
      </c>
    </row>
    <row r="644" spans="1:5">
      <c r="A644" s="121">
        <v>642</v>
      </c>
      <c r="B644" s="123" t="s">
        <v>9740</v>
      </c>
      <c r="C644" s="123" t="s">
        <v>9741</v>
      </c>
      <c r="D644" s="124" t="str">
        <f t="shared" si="10"/>
        <v>HNSUSDT</v>
      </c>
      <c r="E644" s="125" t="e">
        <f ca="1">VLOOKUP(D644,'Курсы Бинанса'!B:C,2,FALSE)</f>
        <v>#N/A</v>
      </c>
    </row>
    <row r="645" spans="1:5">
      <c r="A645" s="121">
        <v>643</v>
      </c>
      <c r="B645" s="123" t="s">
        <v>9742</v>
      </c>
      <c r="C645" s="123" t="s">
        <v>9743</v>
      </c>
      <c r="D645" s="124" t="str">
        <f t="shared" si="10"/>
        <v>XLRUSDT</v>
      </c>
      <c r="E645" s="125" t="e">
        <f ca="1">VLOOKUP(D645,'Курсы Бинанса'!B:C,2,FALSE)</f>
        <v>#N/A</v>
      </c>
    </row>
    <row r="646" spans="1:5">
      <c r="A646" s="121">
        <v>644</v>
      </c>
      <c r="B646" s="123" t="s">
        <v>9744</v>
      </c>
      <c r="C646" s="123" t="s">
        <v>9745</v>
      </c>
      <c r="D646" s="124" t="str">
        <f t="shared" si="10"/>
        <v>HBARUSDT</v>
      </c>
      <c r="E646" s="125" t="e">
        <f ca="1">VLOOKUP(D646,'Курсы Бинанса'!B:C,2,FALSE)</f>
        <v>#N/A</v>
      </c>
    </row>
    <row r="647" spans="1:5">
      <c r="A647" s="121">
        <v>645</v>
      </c>
      <c r="B647" s="123" t="s">
        <v>9746</v>
      </c>
      <c r="C647" s="123" t="s">
        <v>9747</v>
      </c>
      <c r="D647" s="124" t="str">
        <f t="shared" si="10"/>
        <v>BUXUSDT</v>
      </c>
      <c r="E647" s="125" t="e">
        <f ca="1">VLOOKUP(D647,'Курсы Бинанса'!B:C,2,FALSE)</f>
        <v>#N/A</v>
      </c>
    </row>
    <row r="648" spans="1:5">
      <c r="A648" s="121">
        <v>646</v>
      </c>
      <c r="B648" s="123" t="s">
        <v>9748</v>
      </c>
      <c r="C648" s="123" t="s">
        <v>9749</v>
      </c>
      <c r="D648" s="124" t="str">
        <f t="shared" si="10"/>
        <v>GMCUSDT</v>
      </c>
      <c r="E648" s="125" t="e">
        <f ca="1">VLOOKUP(D648,'Курсы Бинанса'!B:C,2,FALSE)</f>
        <v>#N/A</v>
      </c>
    </row>
    <row r="649" spans="1:5">
      <c r="A649" s="121">
        <v>647</v>
      </c>
      <c r="B649" s="123" t="s">
        <v>9750</v>
      </c>
      <c r="C649" s="123" t="s">
        <v>9750</v>
      </c>
      <c r="D649" s="124" t="str">
        <f t="shared" si="10"/>
        <v>AXELUSDT</v>
      </c>
      <c r="E649" s="125" t="e">
        <f ca="1">VLOOKUP(D649,'Курсы Бинанса'!B:C,2,FALSE)</f>
        <v>#N/A</v>
      </c>
    </row>
    <row r="650" spans="1:5">
      <c r="A650" s="121">
        <v>648</v>
      </c>
      <c r="B650" s="123" t="s">
        <v>9751</v>
      </c>
      <c r="C650" s="123" t="s">
        <v>9752</v>
      </c>
      <c r="D650" s="124" t="str">
        <f t="shared" si="10"/>
        <v>BMXUSDT</v>
      </c>
      <c r="E650" s="125" t="e">
        <f ca="1">VLOOKUP(D650,'Курсы Бинанса'!B:C,2,FALSE)</f>
        <v>#N/A</v>
      </c>
    </row>
    <row r="651" spans="1:5">
      <c r="A651" s="121">
        <v>649</v>
      </c>
      <c r="B651" s="123" t="s">
        <v>9753</v>
      </c>
      <c r="C651" s="123" t="s">
        <v>9754</v>
      </c>
      <c r="D651" s="124" t="str">
        <f t="shared" si="10"/>
        <v>LTOUSDT</v>
      </c>
      <c r="E651" s="125" t="e">
        <f ca="1">VLOOKUP(D651,'Курсы Бинанса'!B:C,2,FALSE)</f>
        <v>#N/A</v>
      </c>
    </row>
    <row r="652" spans="1:5">
      <c r="A652" s="121">
        <v>650</v>
      </c>
      <c r="B652" s="123" t="s">
        <v>9755</v>
      </c>
      <c r="C652" s="123" t="s">
        <v>9756</v>
      </c>
      <c r="D652" s="124" t="str">
        <f t="shared" si="10"/>
        <v>GRIDUSDT</v>
      </c>
      <c r="E652" s="125" t="e">
        <f ca="1">VLOOKUP(D652,'Курсы Бинанса'!B:C,2,FALSE)</f>
        <v>#N/A</v>
      </c>
    </row>
    <row r="653" spans="1:5">
      <c r="A653" s="121">
        <v>651</v>
      </c>
      <c r="B653" s="123" t="s">
        <v>9757</v>
      </c>
      <c r="C653" s="123" t="s">
        <v>9758</v>
      </c>
      <c r="D653" s="124" t="str">
        <f t="shared" si="10"/>
        <v>USNBTUSDT</v>
      </c>
      <c r="E653" s="125" t="e">
        <f ca="1">VLOOKUP(D653,'Курсы Бинанса'!B:C,2,FALSE)</f>
        <v>#N/A</v>
      </c>
    </row>
    <row r="654" spans="1:5">
      <c r="A654" s="121">
        <v>652</v>
      </c>
      <c r="B654" s="123" t="s">
        <v>9759</v>
      </c>
      <c r="C654" s="123" t="s">
        <v>9760</v>
      </c>
      <c r="D654" s="124" t="str">
        <f t="shared" si="10"/>
        <v>WCTUSDT</v>
      </c>
      <c r="E654" s="125" t="e">
        <f ca="1">VLOOKUP(D654,'Курсы Бинанса'!B:C,2,FALSE)</f>
        <v>#N/A</v>
      </c>
    </row>
    <row r="655" spans="1:5">
      <c r="A655" s="121">
        <v>653</v>
      </c>
      <c r="B655" s="123" t="s">
        <v>9761</v>
      </c>
      <c r="C655" s="123" t="s">
        <v>9762</v>
      </c>
      <c r="D655" s="124" t="str">
        <f t="shared" si="10"/>
        <v>BITGUSDT</v>
      </c>
      <c r="E655" s="125" t="e">
        <f ca="1">VLOOKUP(D655,'Курсы Бинанса'!B:C,2,FALSE)</f>
        <v>#N/A</v>
      </c>
    </row>
    <row r="656" spans="1:5">
      <c r="A656" s="121">
        <v>654</v>
      </c>
      <c r="B656" s="123" t="s">
        <v>9763</v>
      </c>
      <c r="C656" s="123" t="s">
        <v>9763</v>
      </c>
      <c r="D656" s="124" t="str">
        <f t="shared" si="10"/>
        <v>RAMPUSDT</v>
      </c>
      <c r="E656" s="125" t="e">
        <f ca="1">VLOOKUP(D656,'Курсы Бинанса'!B:C,2,FALSE)</f>
        <v>#N/A</v>
      </c>
    </row>
    <row r="657" spans="1:5">
      <c r="A657" s="121">
        <v>655</v>
      </c>
      <c r="B657" s="123" t="s">
        <v>9764</v>
      </c>
      <c r="C657" s="123" t="s">
        <v>9765</v>
      </c>
      <c r="D657" s="124" t="str">
        <f t="shared" si="10"/>
        <v>TXLUSDT</v>
      </c>
      <c r="E657" s="125" t="e">
        <f ca="1">VLOOKUP(D657,'Курсы Бинанса'!B:C,2,FALSE)</f>
        <v>#N/A</v>
      </c>
    </row>
    <row r="658" spans="1:5">
      <c r="A658" s="121">
        <v>656</v>
      </c>
      <c r="B658" s="123" t="s">
        <v>9766</v>
      </c>
      <c r="C658" s="123" t="s">
        <v>9767</v>
      </c>
      <c r="D658" s="124" t="str">
        <f t="shared" si="10"/>
        <v>AERGOUSDT</v>
      </c>
      <c r="E658" s="125" t="e">
        <f ca="1">VLOOKUP(D658,'Курсы Бинанса'!B:C,2,FALSE)</f>
        <v>#N/A</v>
      </c>
    </row>
    <row r="659" spans="1:5">
      <c r="A659" s="121">
        <v>657</v>
      </c>
      <c r="B659" s="123" t="s">
        <v>9768</v>
      </c>
      <c r="C659" s="123" t="s">
        <v>9769</v>
      </c>
      <c r="D659" s="124" t="str">
        <f t="shared" si="10"/>
        <v>ABBCUSDT</v>
      </c>
      <c r="E659" s="125" t="e">
        <f ca="1">VLOOKUP(D659,'Курсы Бинанса'!B:C,2,FALSE)</f>
        <v>#N/A</v>
      </c>
    </row>
    <row r="660" spans="1:5">
      <c r="A660" s="121">
        <v>658</v>
      </c>
      <c r="B660" s="123" t="s">
        <v>9770</v>
      </c>
      <c r="C660" s="123" t="s">
        <v>9771</v>
      </c>
      <c r="D660" s="124" t="str">
        <f t="shared" si="10"/>
        <v>TKNUSDT</v>
      </c>
      <c r="E660" s="125" t="e">
        <f ca="1">VLOOKUP(D660,'Курсы Бинанса'!B:C,2,FALSE)</f>
        <v>#N/A</v>
      </c>
    </row>
    <row r="661" spans="1:5">
      <c r="A661" s="121">
        <v>659</v>
      </c>
      <c r="B661" s="123" t="s">
        <v>9772</v>
      </c>
      <c r="C661" s="123" t="s">
        <v>9773</v>
      </c>
      <c r="D661" s="124" t="str">
        <f t="shared" si="10"/>
        <v>YOPUSDT</v>
      </c>
      <c r="E661" s="125" t="e">
        <f ca="1">VLOOKUP(D661,'Курсы Бинанса'!B:C,2,FALSE)</f>
        <v>#N/A</v>
      </c>
    </row>
    <row r="662" spans="1:5">
      <c r="A662" s="121">
        <v>660</v>
      </c>
      <c r="B662" s="123" t="s">
        <v>9774</v>
      </c>
      <c r="C662" s="123" t="s">
        <v>9775</v>
      </c>
      <c r="D662" s="124" t="str">
        <f t="shared" si="10"/>
        <v>RIFUSDT</v>
      </c>
      <c r="E662" s="125" t="e">
        <f ca="1">VLOOKUP(D662,'Курсы Бинанса'!B:C,2,FALSE)</f>
        <v>#N/A</v>
      </c>
    </row>
    <row r="663" spans="1:5">
      <c r="A663" s="121">
        <v>661</v>
      </c>
      <c r="B663" s="123" t="s">
        <v>9776</v>
      </c>
      <c r="C663" s="123" t="s">
        <v>9777</v>
      </c>
      <c r="D663" s="124" t="str">
        <f t="shared" si="10"/>
        <v>ARDRUSDT</v>
      </c>
      <c r="E663" s="125" t="e">
        <f ca="1">VLOOKUP(D663,'Курсы Бинанса'!B:C,2,FALSE)</f>
        <v>#N/A</v>
      </c>
    </row>
    <row r="664" spans="1:5">
      <c r="A664" s="121">
        <v>662</v>
      </c>
      <c r="B664" s="123" t="s">
        <v>9778</v>
      </c>
      <c r="C664" s="123" t="s">
        <v>9779</v>
      </c>
      <c r="D664" s="124" t="str">
        <f t="shared" si="10"/>
        <v>MCMUSDT</v>
      </c>
      <c r="E664" s="125" t="e">
        <f ca="1">VLOOKUP(D664,'Курсы Бинанса'!B:C,2,FALSE)</f>
        <v>#N/A</v>
      </c>
    </row>
    <row r="665" spans="1:5">
      <c r="A665" s="121">
        <v>663</v>
      </c>
      <c r="B665" s="123" t="s">
        <v>9780</v>
      </c>
      <c r="C665" s="123" t="s">
        <v>9781</v>
      </c>
      <c r="D665" s="124" t="str">
        <f t="shared" si="10"/>
        <v>DUCKUSDT</v>
      </c>
      <c r="E665" s="125" t="e">
        <f ca="1">VLOOKUP(D665,'Курсы Бинанса'!B:C,2,FALSE)</f>
        <v>#N/A</v>
      </c>
    </row>
    <row r="666" spans="1:5">
      <c r="A666" s="121">
        <v>664</v>
      </c>
      <c r="B666" s="123" t="s">
        <v>9782</v>
      </c>
      <c r="C666" s="123" t="s">
        <v>9783</v>
      </c>
      <c r="D666" s="124" t="str">
        <f t="shared" si="10"/>
        <v>BITCNYUSDT</v>
      </c>
      <c r="E666" s="125" t="e">
        <f ca="1">VLOOKUP(D666,'Курсы Бинанса'!B:C,2,FALSE)</f>
        <v>#N/A</v>
      </c>
    </row>
    <row r="667" spans="1:5">
      <c r="A667" s="121">
        <v>665</v>
      </c>
      <c r="B667" s="123" t="s">
        <v>9784</v>
      </c>
      <c r="C667" s="123" t="s">
        <v>9785</v>
      </c>
      <c r="D667" s="124" t="str">
        <f t="shared" si="10"/>
        <v>BZUSDT</v>
      </c>
      <c r="E667" s="125" t="e">
        <f ca="1">VLOOKUP(D667,'Курсы Бинанса'!B:C,2,FALSE)</f>
        <v>#N/A</v>
      </c>
    </row>
    <row r="668" spans="1:5">
      <c r="A668" s="121">
        <v>666</v>
      </c>
      <c r="B668" s="123" t="s">
        <v>9786</v>
      </c>
      <c r="C668" s="123" t="s">
        <v>9787</v>
      </c>
      <c r="D668" s="124" t="str">
        <f t="shared" si="10"/>
        <v>USDXUSDT</v>
      </c>
      <c r="E668" s="125" t="e">
        <f ca="1">VLOOKUP(D668,'Курсы Бинанса'!B:C,2,FALSE)</f>
        <v>#N/A</v>
      </c>
    </row>
    <row r="669" spans="1:5">
      <c r="A669" s="121">
        <v>667</v>
      </c>
      <c r="B669" s="123" t="s">
        <v>9788</v>
      </c>
      <c r="C669" s="123" t="s">
        <v>9789</v>
      </c>
      <c r="D669" s="124" t="str">
        <f t="shared" si="10"/>
        <v>CUTUSDT</v>
      </c>
      <c r="E669" s="125" t="e">
        <f ca="1">VLOOKUP(D669,'Курсы Бинанса'!B:C,2,FALSE)</f>
        <v>#N/A</v>
      </c>
    </row>
    <row r="670" spans="1:5">
      <c r="A670" s="121">
        <v>668</v>
      </c>
      <c r="B670" s="123" t="s">
        <v>9790</v>
      </c>
      <c r="C670" s="123" t="s">
        <v>9787</v>
      </c>
      <c r="D670" s="124" t="str">
        <f t="shared" si="10"/>
        <v>USDXUSDT</v>
      </c>
      <c r="E670" s="125" t="e">
        <f ca="1">VLOOKUP(D670,'Курсы Бинанса'!B:C,2,FALSE)</f>
        <v>#N/A</v>
      </c>
    </row>
    <row r="671" spans="1:5">
      <c r="A671" s="121">
        <v>669</v>
      </c>
      <c r="B671" s="123" t="s">
        <v>9791</v>
      </c>
      <c r="C671" s="123" t="s">
        <v>9787</v>
      </c>
      <c r="D671" s="124" t="str">
        <f t="shared" si="10"/>
        <v>USDXUSDT</v>
      </c>
      <c r="E671" s="125" t="e">
        <f ca="1">VLOOKUP(D671,'Курсы Бинанса'!B:C,2,FALSE)</f>
        <v>#N/A</v>
      </c>
    </row>
    <row r="672" spans="1:5">
      <c r="A672" s="121">
        <v>670</v>
      </c>
      <c r="B672" s="123" t="s">
        <v>9792</v>
      </c>
      <c r="C672" s="123" t="s">
        <v>9793</v>
      </c>
      <c r="D672" s="124" t="str">
        <f t="shared" si="10"/>
        <v>LSSUSDT</v>
      </c>
      <c r="E672" s="125" t="e">
        <f ca="1">VLOOKUP(D672,'Курсы Бинанса'!B:C,2,FALSE)</f>
        <v>#N/A</v>
      </c>
    </row>
    <row r="673" spans="1:5">
      <c r="A673" s="121">
        <v>671</v>
      </c>
      <c r="B673" s="123" t="s">
        <v>9794</v>
      </c>
      <c r="C673" s="123" t="s">
        <v>9795</v>
      </c>
      <c r="D673" s="124" t="str">
        <f t="shared" si="10"/>
        <v>CTXCUSDT</v>
      </c>
      <c r="E673" s="125" t="e">
        <f ca="1">VLOOKUP(D673,'Курсы Бинанса'!B:C,2,FALSE)</f>
        <v>#N/A</v>
      </c>
    </row>
    <row r="674" spans="1:5">
      <c r="A674" s="121">
        <v>672</v>
      </c>
      <c r="B674" s="123" t="s">
        <v>9796</v>
      </c>
      <c r="C674" s="123" t="s">
        <v>9797</v>
      </c>
      <c r="D674" s="124" t="str">
        <f t="shared" ref="D674:D737" si="11">CONCATENATE(C674,"USDT")</f>
        <v>QCUSDT</v>
      </c>
      <c r="E674" s="125" t="e">
        <f ca="1">VLOOKUP(D674,'Курсы Бинанса'!B:C,2,FALSE)</f>
        <v>#N/A</v>
      </c>
    </row>
    <row r="675" spans="1:5">
      <c r="A675" s="121">
        <v>673</v>
      </c>
      <c r="B675" s="123" t="s">
        <v>9798</v>
      </c>
      <c r="C675" s="123" t="s">
        <v>9799</v>
      </c>
      <c r="D675" s="124" t="str">
        <f t="shared" si="11"/>
        <v>WICCUSDT</v>
      </c>
      <c r="E675" s="125" t="e">
        <f ca="1">VLOOKUP(D675,'Курсы Бинанса'!B:C,2,FALSE)</f>
        <v>#N/A</v>
      </c>
    </row>
    <row r="676" spans="1:5">
      <c r="A676" s="121">
        <v>674</v>
      </c>
      <c r="B676" s="123" t="s">
        <v>9800</v>
      </c>
      <c r="C676" s="123" t="s">
        <v>9801</v>
      </c>
      <c r="D676" s="124" t="str">
        <f t="shared" si="11"/>
        <v>LGOUSDT</v>
      </c>
      <c r="E676" s="125" t="e">
        <f ca="1">VLOOKUP(D676,'Курсы Бинанса'!B:C,2,FALSE)</f>
        <v>#N/A</v>
      </c>
    </row>
    <row r="677" spans="1:5">
      <c r="A677" s="121">
        <v>675</v>
      </c>
      <c r="B677" s="123" t="s">
        <v>9802</v>
      </c>
      <c r="C677" s="123" t="s">
        <v>9803</v>
      </c>
      <c r="D677" s="124" t="str">
        <f t="shared" si="11"/>
        <v>IDEAUSDT</v>
      </c>
      <c r="E677" s="125" t="e">
        <f ca="1">VLOOKUP(D677,'Курсы Бинанса'!B:C,2,FALSE)</f>
        <v>#N/A</v>
      </c>
    </row>
    <row r="678" spans="1:5">
      <c r="A678" s="121">
        <v>676</v>
      </c>
      <c r="B678" s="123" t="s">
        <v>9804</v>
      </c>
      <c r="C678" s="123" t="s">
        <v>9805</v>
      </c>
      <c r="D678" s="124" t="str">
        <f t="shared" si="11"/>
        <v>DTEPUSDT</v>
      </c>
      <c r="E678" s="125" t="e">
        <f ca="1">VLOOKUP(D678,'Курсы Бинанса'!B:C,2,FALSE)</f>
        <v>#N/A</v>
      </c>
    </row>
    <row r="679" spans="1:5">
      <c r="A679" s="121">
        <v>677</v>
      </c>
      <c r="B679" s="123" t="s">
        <v>9806</v>
      </c>
      <c r="C679" s="123" t="s">
        <v>9807</v>
      </c>
      <c r="D679" s="124" t="str">
        <f t="shared" si="11"/>
        <v>XSNUSDT</v>
      </c>
      <c r="E679" s="125" t="e">
        <f ca="1">VLOOKUP(D679,'Курсы Бинанса'!B:C,2,FALSE)</f>
        <v>#N/A</v>
      </c>
    </row>
    <row r="680" spans="1:5">
      <c r="A680" s="121">
        <v>678</v>
      </c>
      <c r="B680" s="123" t="s">
        <v>9808</v>
      </c>
      <c r="C680" s="123" t="s">
        <v>9809</v>
      </c>
      <c r="D680" s="124" t="str">
        <f t="shared" si="11"/>
        <v>FCLUSDT</v>
      </c>
      <c r="E680" s="125" t="e">
        <f ca="1">VLOOKUP(D680,'Курсы Бинанса'!B:C,2,FALSE)</f>
        <v>#N/A</v>
      </c>
    </row>
    <row r="681" spans="1:5">
      <c r="A681" s="121">
        <v>679</v>
      </c>
      <c r="B681" s="123" t="s">
        <v>9810</v>
      </c>
      <c r="C681" s="123" t="s">
        <v>9811</v>
      </c>
      <c r="D681" s="124" t="str">
        <f t="shared" si="11"/>
        <v>ANCUSDT</v>
      </c>
      <c r="E681" s="125" t="e">
        <f ca="1">VLOOKUP(D681,'Курсы Бинанса'!B:C,2,FALSE)</f>
        <v>#N/A</v>
      </c>
    </row>
    <row r="682" spans="1:5">
      <c r="A682" s="121">
        <v>680</v>
      </c>
      <c r="B682" s="123" t="s">
        <v>9812</v>
      </c>
      <c r="C682" s="123" t="s">
        <v>9811</v>
      </c>
      <c r="D682" s="124" t="str">
        <f t="shared" si="11"/>
        <v>ANCUSDT</v>
      </c>
      <c r="E682" s="125" t="e">
        <f ca="1">VLOOKUP(D682,'Курсы Бинанса'!B:C,2,FALSE)</f>
        <v>#N/A</v>
      </c>
    </row>
    <row r="683" spans="1:5">
      <c r="A683" s="121">
        <v>681</v>
      </c>
      <c r="B683" s="123" t="s">
        <v>9813</v>
      </c>
      <c r="C683" s="123" t="s">
        <v>9814</v>
      </c>
      <c r="D683" s="124" t="str">
        <f t="shared" si="11"/>
        <v>PKFUSDT</v>
      </c>
      <c r="E683" s="125" t="e">
        <f ca="1">VLOOKUP(D683,'Курсы Бинанса'!B:C,2,FALSE)</f>
        <v>#N/A</v>
      </c>
    </row>
    <row r="684" spans="1:5">
      <c r="A684" s="121">
        <v>682</v>
      </c>
      <c r="B684" s="123" t="s">
        <v>9815</v>
      </c>
      <c r="C684" s="123" t="s">
        <v>9816</v>
      </c>
      <c r="D684" s="124" t="str">
        <f t="shared" si="11"/>
        <v>SNMUSDT</v>
      </c>
      <c r="E684" s="125" t="e">
        <f ca="1">VLOOKUP(D684,'Курсы Бинанса'!B:C,2,FALSE)</f>
        <v>#N/A</v>
      </c>
    </row>
    <row r="685" spans="1:5">
      <c r="A685" s="121">
        <v>683</v>
      </c>
      <c r="B685" s="123" t="s">
        <v>9817</v>
      </c>
      <c r="C685" s="123" t="s">
        <v>9818</v>
      </c>
      <c r="D685" s="124" t="str">
        <f t="shared" si="11"/>
        <v>WOWUSDT</v>
      </c>
      <c r="E685" s="125" t="e">
        <f ca="1">VLOOKUP(D685,'Курсы Бинанса'!B:C,2,FALSE)</f>
        <v>#N/A</v>
      </c>
    </row>
    <row r="686" spans="1:5">
      <c r="A686" s="121">
        <v>684</v>
      </c>
      <c r="B686" s="123" t="s">
        <v>9819</v>
      </c>
      <c r="C686" s="123" t="s">
        <v>9818</v>
      </c>
      <c r="D686" s="124" t="str">
        <f t="shared" si="11"/>
        <v>WOWUSDT</v>
      </c>
      <c r="E686" s="125" t="e">
        <f ca="1">VLOOKUP(D686,'Курсы Бинанса'!B:C,2,FALSE)</f>
        <v>#N/A</v>
      </c>
    </row>
    <row r="687" spans="1:5">
      <c r="A687" s="121">
        <v>685</v>
      </c>
      <c r="B687" s="123" t="s">
        <v>9820</v>
      </c>
      <c r="C687" s="123" t="s">
        <v>9821</v>
      </c>
      <c r="D687" s="124" t="str">
        <f t="shared" si="11"/>
        <v>WABIUSDT</v>
      </c>
      <c r="E687" s="125" t="e">
        <f ca="1">VLOOKUP(D687,'Курсы Бинанса'!B:C,2,FALSE)</f>
        <v>#N/A</v>
      </c>
    </row>
    <row r="688" spans="1:5">
      <c r="A688" s="121">
        <v>686</v>
      </c>
      <c r="B688" s="123" t="s">
        <v>9822</v>
      </c>
      <c r="C688" s="123" t="s">
        <v>9823</v>
      </c>
      <c r="D688" s="124" t="str">
        <f t="shared" si="11"/>
        <v>1X2USDT</v>
      </c>
      <c r="E688" s="125" t="e">
        <f ca="1">VLOOKUP(D688,'Курсы Бинанса'!B:C,2,FALSE)</f>
        <v>#N/A</v>
      </c>
    </row>
    <row r="689" spans="1:5">
      <c r="A689" s="121">
        <v>687</v>
      </c>
      <c r="B689" s="126" t="s">
        <v>9824</v>
      </c>
      <c r="C689" s="123" t="s">
        <v>9825</v>
      </c>
      <c r="D689" s="124" t="str">
        <f t="shared" si="11"/>
        <v>ALEPHUSDT</v>
      </c>
      <c r="E689" s="125" t="e">
        <f ca="1">VLOOKUP(D689,'Курсы Бинанса'!B:C,2,FALSE)</f>
        <v>#N/A</v>
      </c>
    </row>
    <row r="690" spans="1:5">
      <c r="A690" s="121">
        <v>688</v>
      </c>
      <c r="B690" s="123" t="s">
        <v>9826</v>
      </c>
      <c r="C690" s="123" t="s">
        <v>9827</v>
      </c>
      <c r="D690" s="124" t="str">
        <f t="shared" si="11"/>
        <v>SOULUSDT</v>
      </c>
      <c r="E690" s="125" t="e">
        <f ca="1">VLOOKUP(D690,'Курсы Бинанса'!B:C,2,FALSE)</f>
        <v>#N/A</v>
      </c>
    </row>
    <row r="691" spans="1:5">
      <c r="A691" s="121">
        <v>689</v>
      </c>
      <c r="B691" s="123" t="s">
        <v>9828</v>
      </c>
      <c r="C691" s="123" t="s">
        <v>9829</v>
      </c>
      <c r="D691" s="124" t="str">
        <f t="shared" si="11"/>
        <v>ETPUSDT</v>
      </c>
      <c r="E691" s="125" t="e">
        <f ca="1">VLOOKUP(D691,'Курсы Бинанса'!B:C,2,FALSE)</f>
        <v>#N/A</v>
      </c>
    </row>
    <row r="692" spans="1:5">
      <c r="A692" s="121">
        <v>690</v>
      </c>
      <c r="B692" s="123" t="s">
        <v>9830</v>
      </c>
      <c r="C692" s="123" t="s">
        <v>9831</v>
      </c>
      <c r="D692" s="124" t="str">
        <f t="shared" si="11"/>
        <v>BLZUSDT</v>
      </c>
      <c r="E692" s="125" t="e">
        <f ca="1">VLOOKUP(D692,'Курсы Бинанса'!B:C,2,FALSE)</f>
        <v>#N/A</v>
      </c>
    </row>
    <row r="693" spans="1:5">
      <c r="A693" s="121">
        <v>691</v>
      </c>
      <c r="B693" s="123" t="s">
        <v>9832</v>
      </c>
      <c r="C693" s="123" t="s">
        <v>9833</v>
      </c>
      <c r="D693" s="124" t="str">
        <f t="shared" si="11"/>
        <v>XENDUSDT</v>
      </c>
      <c r="E693" s="125" t="e">
        <f ca="1">VLOOKUP(D693,'Курсы Бинанса'!B:C,2,FALSE)</f>
        <v>#N/A</v>
      </c>
    </row>
    <row r="694" spans="1:5">
      <c r="A694" s="121">
        <v>692</v>
      </c>
      <c r="B694" s="123" t="s">
        <v>9834</v>
      </c>
      <c r="C694" s="123" t="s">
        <v>9834</v>
      </c>
      <c r="D694" s="124" t="str">
        <f t="shared" si="11"/>
        <v>DADUSDT</v>
      </c>
      <c r="E694" s="125" t="e">
        <f ca="1">VLOOKUP(D694,'Курсы Бинанса'!B:C,2,FALSE)</f>
        <v>#N/A</v>
      </c>
    </row>
    <row r="695" spans="1:5">
      <c r="A695" s="121">
        <v>693</v>
      </c>
      <c r="B695" s="123" t="s">
        <v>9835</v>
      </c>
      <c r="C695" s="123" t="s">
        <v>9836</v>
      </c>
      <c r="D695" s="124" t="str">
        <f t="shared" si="11"/>
        <v>CTCNUSDT</v>
      </c>
      <c r="E695" s="125" t="e">
        <f ca="1">VLOOKUP(D695,'Курсы Бинанса'!B:C,2,FALSE)</f>
        <v>#N/A</v>
      </c>
    </row>
    <row r="696" spans="1:5">
      <c r="A696" s="121">
        <v>694</v>
      </c>
      <c r="B696" s="123" t="s">
        <v>9837</v>
      </c>
      <c r="C696" s="123" t="s">
        <v>9838</v>
      </c>
      <c r="D696" s="124" t="str">
        <f t="shared" si="11"/>
        <v>APYSUSDT</v>
      </c>
      <c r="E696" s="125" t="e">
        <f ca="1">VLOOKUP(D696,'Курсы Бинанса'!B:C,2,FALSE)</f>
        <v>#N/A</v>
      </c>
    </row>
    <row r="697" spans="1:5">
      <c r="A697" s="121">
        <v>695</v>
      </c>
      <c r="B697" s="123" t="s">
        <v>9839</v>
      </c>
      <c r="C697" s="123" t="s">
        <v>9840</v>
      </c>
      <c r="D697" s="124" t="str">
        <f t="shared" si="11"/>
        <v>OINUSDT</v>
      </c>
      <c r="E697" s="125" t="e">
        <f ca="1">VLOOKUP(D697,'Курсы Бинанса'!B:C,2,FALSE)</f>
        <v>#N/A</v>
      </c>
    </row>
    <row r="698" spans="1:5">
      <c r="A698" s="121">
        <v>696</v>
      </c>
      <c r="B698" s="123" t="s">
        <v>9841</v>
      </c>
      <c r="C698" s="123" t="s">
        <v>9842</v>
      </c>
      <c r="D698" s="124" t="str">
        <f t="shared" si="11"/>
        <v>SACTUSDT</v>
      </c>
      <c r="E698" s="125" t="e">
        <f ca="1">VLOOKUP(D698,'Курсы Бинанса'!B:C,2,FALSE)</f>
        <v>#N/A</v>
      </c>
    </row>
    <row r="699" spans="1:5">
      <c r="A699" s="121">
        <v>697</v>
      </c>
      <c r="B699" s="123" t="s">
        <v>9843</v>
      </c>
      <c r="C699" s="123" t="s">
        <v>9844</v>
      </c>
      <c r="D699" s="124" t="str">
        <f t="shared" si="11"/>
        <v>DFUSDT</v>
      </c>
      <c r="E699" s="125" t="e">
        <f ca="1">VLOOKUP(D699,'Курсы Бинанса'!B:C,2,FALSE)</f>
        <v>#N/A</v>
      </c>
    </row>
    <row r="700" spans="1:5">
      <c r="A700" s="121">
        <v>698</v>
      </c>
      <c r="B700" s="123" t="s">
        <v>9845</v>
      </c>
      <c r="C700" s="123" t="s">
        <v>9846</v>
      </c>
      <c r="D700" s="124" t="str">
        <f t="shared" si="11"/>
        <v>UMBUSDT</v>
      </c>
      <c r="E700" s="125" t="e">
        <f ca="1">VLOOKUP(D700,'Курсы Бинанса'!B:C,2,FALSE)</f>
        <v>#N/A</v>
      </c>
    </row>
    <row r="701" spans="1:5">
      <c r="A701" s="121">
        <v>699</v>
      </c>
      <c r="B701" s="123" t="s">
        <v>9847</v>
      </c>
      <c r="C701" s="123" t="s">
        <v>9848</v>
      </c>
      <c r="D701" s="124" t="str">
        <f t="shared" si="11"/>
        <v>RFIUSDT</v>
      </c>
      <c r="E701" s="125" t="e">
        <f ca="1">VLOOKUP(D701,'Курсы Бинанса'!B:C,2,FALSE)</f>
        <v>#N/A</v>
      </c>
    </row>
    <row r="702" spans="1:5">
      <c r="A702" s="121">
        <v>700</v>
      </c>
      <c r="B702" s="123" t="s">
        <v>9849</v>
      </c>
      <c r="C702" s="123" t="s">
        <v>9850</v>
      </c>
      <c r="D702" s="124" t="str">
        <f t="shared" si="11"/>
        <v>SKEYUSDT</v>
      </c>
      <c r="E702" s="125" t="e">
        <f ca="1">VLOOKUP(D702,'Курсы Бинанса'!B:C,2,FALSE)</f>
        <v>#N/A</v>
      </c>
    </row>
    <row r="703" spans="1:5">
      <c r="A703" s="121">
        <v>701</v>
      </c>
      <c r="B703" s="123" t="s">
        <v>9851</v>
      </c>
      <c r="C703" s="123" t="s">
        <v>9852</v>
      </c>
      <c r="D703" s="124" t="str">
        <f t="shared" si="11"/>
        <v>PANUSDT</v>
      </c>
      <c r="E703" s="125" t="e">
        <f ca="1">VLOOKUP(D703,'Курсы Бинанса'!B:C,2,FALSE)</f>
        <v>#N/A</v>
      </c>
    </row>
    <row r="704" spans="1:5">
      <c r="A704" s="121">
        <v>702</v>
      </c>
      <c r="B704" s="123" t="s">
        <v>9853</v>
      </c>
      <c r="C704" s="123" t="s">
        <v>9854</v>
      </c>
      <c r="D704" s="124" t="str">
        <f t="shared" si="11"/>
        <v>WAXPUSDT</v>
      </c>
      <c r="E704" s="125" t="e">
        <f ca="1">VLOOKUP(D704,'Курсы Бинанса'!B:C,2,FALSE)</f>
        <v>#N/A</v>
      </c>
    </row>
    <row r="705" spans="1:5">
      <c r="A705" s="121">
        <v>703</v>
      </c>
      <c r="B705" s="123" t="s">
        <v>9855</v>
      </c>
      <c r="C705" s="123" t="s">
        <v>9855</v>
      </c>
      <c r="D705" s="124" t="str">
        <f t="shared" si="11"/>
        <v>COTIUSDT</v>
      </c>
      <c r="E705" s="125" t="e">
        <f ca="1">VLOOKUP(D705,'Курсы Бинанса'!B:C,2,FALSE)</f>
        <v>#N/A</v>
      </c>
    </row>
    <row r="706" spans="1:5">
      <c r="A706" s="121">
        <v>704</v>
      </c>
      <c r="B706" s="123" t="s">
        <v>9856</v>
      </c>
      <c r="C706" s="123" t="s">
        <v>9857</v>
      </c>
      <c r="D706" s="124" t="str">
        <f t="shared" si="11"/>
        <v>DAMUSDT</v>
      </c>
      <c r="E706" s="125" t="e">
        <f ca="1">VLOOKUP(D706,'Курсы Бинанса'!B:C,2,FALSE)</f>
        <v>#N/A</v>
      </c>
    </row>
    <row r="707" spans="1:5">
      <c r="A707" s="121">
        <v>705</v>
      </c>
      <c r="B707" s="123" t="s">
        <v>9858</v>
      </c>
      <c r="C707" s="123" t="s">
        <v>9859</v>
      </c>
      <c r="D707" s="124" t="str">
        <f t="shared" si="11"/>
        <v>XIOUSDT</v>
      </c>
      <c r="E707" s="125" t="e">
        <f ca="1">VLOOKUP(D707,'Курсы Бинанса'!B:C,2,FALSE)</f>
        <v>#N/A</v>
      </c>
    </row>
    <row r="708" spans="1:5">
      <c r="A708" s="121">
        <v>706</v>
      </c>
      <c r="B708" s="123" t="s">
        <v>9860</v>
      </c>
      <c r="C708" s="123" t="s">
        <v>9861</v>
      </c>
      <c r="D708" s="124" t="str">
        <f t="shared" si="11"/>
        <v>GSUSDT</v>
      </c>
      <c r="E708" s="125" t="e">
        <f ca="1">VLOOKUP(D708,'Курсы Бинанса'!B:C,2,FALSE)</f>
        <v>#N/A</v>
      </c>
    </row>
    <row r="709" spans="1:5">
      <c r="A709" s="121">
        <v>707</v>
      </c>
      <c r="B709" s="123" t="s">
        <v>9862</v>
      </c>
      <c r="C709" s="123" t="s">
        <v>9863</v>
      </c>
      <c r="D709" s="124" t="str">
        <f t="shared" si="11"/>
        <v>KYLUSDT</v>
      </c>
      <c r="E709" s="125" t="e">
        <f ca="1">VLOOKUP(D709,'Курсы Бинанса'!B:C,2,FALSE)</f>
        <v>#N/A</v>
      </c>
    </row>
    <row r="710" spans="1:5">
      <c r="A710" s="121">
        <v>708</v>
      </c>
      <c r="B710" s="123" t="s">
        <v>9864</v>
      </c>
      <c r="C710" s="123" t="s">
        <v>9865</v>
      </c>
      <c r="D710" s="124" t="str">
        <f t="shared" si="11"/>
        <v>TRUUSDT</v>
      </c>
      <c r="E710" s="125" t="e">
        <f ca="1">VLOOKUP(D710,'Курсы Бинанса'!B:C,2,FALSE)</f>
        <v>#N/A</v>
      </c>
    </row>
    <row r="711" spans="1:5">
      <c r="A711" s="121">
        <v>709</v>
      </c>
      <c r="B711" s="123" t="s">
        <v>9866</v>
      </c>
      <c r="C711" s="123" t="s">
        <v>9867</v>
      </c>
      <c r="D711" s="124" t="str">
        <f t="shared" si="11"/>
        <v>AIONUSDT</v>
      </c>
      <c r="E711" s="125" t="e">
        <f ca="1">VLOOKUP(D711,'Курсы Бинанса'!B:C,2,FALSE)</f>
        <v>#N/A</v>
      </c>
    </row>
    <row r="712" spans="1:5">
      <c r="A712" s="121">
        <v>710</v>
      </c>
      <c r="B712" s="123" t="s">
        <v>9868</v>
      </c>
      <c r="C712" s="123" t="s">
        <v>9869</v>
      </c>
      <c r="D712" s="124" t="str">
        <f t="shared" si="11"/>
        <v>CROUSDT</v>
      </c>
      <c r="E712" s="125" t="e">
        <f ca="1">VLOOKUP(D712,'Курсы Бинанса'!B:C,2,FALSE)</f>
        <v>#N/A</v>
      </c>
    </row>
    <row r="713" spans="1:5">
      <c r="A713" s="121">
        <v>711</v>
      </c>
      <c r="B713" s="123" t="s">
        <v>9870</v>
      </c>
      <c r="C713" s="123" t="s">
        <v>9871</v>
      </c>
      <c r="D713" s="124" t="str">
        <f t="shared" si="11"/>
        <v>SYSUSDT</v>
      </c>
      <c r="E713" s="125" t="e">
        <f ca="1">VLOOKUP(D713,'Курсы Бинанса'!B:C,2,FALSE)</f>
        <v>#N/A</v>
      </c>
    </row>
    <row r="714" spans="1:5">
      <c r="A714" s="121">
        <v>712</v>
      </c>
      <c r="B714" s="123" t="s">
        <v>9872</v>
      </c>
      <c r="C714" s="123" t="s">
        <v>9872</v>
      </c>
      <c r="D714" s="124" t="str">
        <f t="shared" si="11"/>
        <v>BITTOUSDT</v>
      </c>
      <c r="E714" s="125" t="e">
        <f ca="1">VLOOKUP(D714,'Курсы Бинанса'!B:C,2,FALSE)</f>
        <v>#N/A</v>
      </c>
    </row>
    <row r="715" spans="1:5">
      <c r="A715" s="121">
        <v>713</v>
      </c>
      <c r="B715" s="123" t="s">
        <v>9873</v>
      </c>
      <c r="C715" s="123" t="s">
        <v>9874</v>
      </c>
      <c r="D715" s="124" t="str">
        <f t="shared" si="11"/>
        <v>UPPUSDT</v>
      </c>
      <c r="E715" s="125" t="e">
        <f ca="1">VLOOKUP(D715,'Курсы Бинанса'!B:C,2,FALSE)</f>
        <v>#N/A</v>
      </c>
    </row>
    <row r="716" spans="1:5">
      <c r="A716" s="121">
        <v>714</v>
      </c>
      <c r="B716" s="123" t="s">
        <v>9875</v>
      </c>
      <c r="C716" s="123" t="s">
        <v>9876</v>
      </c>
      <c r="D716" s="124" t="str">
        <f t="shared" si="11"/>
        <v>REVUSDT</v>
      </c>
      <c r="E716" s="125" t="e">
        <f ca="1">VLOOKUP(D716,'Курсы Бинанса'!B:C,2,FALSE)</f>
        <v>#N/A</v>
      </c>
    </row>
    <row r="717" spans="1:5">
      <c r="A717" s="121">
        <v>715</v>
      </c>
      <c r="B717" s="123" t="s">
        <v>9877</v>
      </c>
      <c r="C717" s="123" t="s">
        <v>9876</v>
      </c>
      <c r="D717" s="124" t="str">
        <f t="shared" si="11"/>
        <v>REVUSDT</v>
      </c>
      <c r="E717" s="125" t="e">
        <f ca="1">VLOOKUP(D717,'Курсы Бинанса'!B:C,2,FALSE)</f>
        <v>#N/A</v>
      </c>
    </row>
    <row r="718" spans="1:5">
      <c r="A718" s="121">
        <v>716</v>
      </c>
      <c r="B718" s="123" t="s">
        <v>9878</v>
      </c>
      <c r="C718" s="123" t="s">
        <v>9879</v>
      </c>
      <c r="D718" s="124" t="str">
        <f t="shared" si="11"/>
        <v>CRPTUSDT</v>
      </c>
      <c r="E718" s="125" t="e">
        <f ca="1">VLOOKUP(D718,'Курсы Бинанса'!B:C,2,FALSE)</f>
        <v>#N/A</v>
      </c>
    </row>
    <row r="719" spans="1:5">
      <c r="A719" s="121">
        <v>717</v>
      </c>
      <c r="B719" s="123" t="s">
        <v>9880</v>
      </c>
      <c r="C719" s="123" t="s">
        <v>9880</v>
      </c>
      <c r="D719" s="124" t="str">
        <f t="shared" si="11"/>
        <v>REVVUSDT</v>
      </c>
      <c r="E719" s="125" t="e">
        <f ca="1">VLOOKUP(D719,'Курсы Бинанса'!B:C,2,FALSE)</f>
        <v>#N/A</v>
      </c>
    </row>
    <row r="720" spans="1:5">
      <c r="A720" s="121">
        <v>718</v>
      </c>
      <c r="B720" s="123" t="s">
        <v>9881</v>
      </c>
      <c r="C720" s="123" t="s">
        <v>9882</v>
      </c>
      <c r="D720" s="124" t="str">
        <f t="shared" si="11"/>
        <v>EXRDUSDT</v>
      </c>
      <c r="E720" s="125" t="e">
        <f ca="1">VLOOKUP(D720,'Курсы Бинанса'!B:C,2,FALSE)</f>
        <v>#N/A</v>
      </c>
    </row>
    <row r="721" spans="1:5">
      <c r="A721" s="121">
        <v>719</v>
      </c>
      <c r="B721" s="123" t="s">
        <v>9883</v>
      </c>
      <c r="C721" s="123" t="s">
        <v>9884</v>
      </c>
      <c r="D721" s="124" t="str">
        <f t="shared" si="11"/>
        <v>DNTUSDT</v>
      </c>
      <c r="E721" s="125" t="e">
        <f ca="1">VLOOKUP(D721,'Курсы Бинанса'!B:C,2,FALSE)</f>
        <v>#N/A</v>
      </c>
    </row>
    <row r="722" spans="1:5">
      <c r="A722" s="121">
        <v>720</v>
      </c>
      <c r="B722" s="123" t="s">
        <v>9885</v>
      </c>
      <c r="C722" s="123" t="s">
        <v>9886</v>
      </c>
      <c r="D722" s="124" t="str">
        <f t="shared" si="11"/>
        <v>BOAUSDT</v>
      </c>
      <c r="E722" s="125" t="e">
        <f ca="1">VLOOKUP(D722,'Курсы Бинанса'!B:C,2,FALSE)</f>
        <v>#N/A</v>
      </c>
    </row>
    <row r="723" spans="1:5">
      <c r="A723" s="121">
        <v>721</v>
      </c>
      <c r="B723" s="123" t="s">
        <v>9887</v>
      </c>
      <c r="C723" s="123" t="s">
        <v>9888</v>
      </c>
      <c r="D723" s="124" t="str">
        <f t="shared" si="11"/>
        <v>FRMUSDT</v>
      </c>
      <c r="E723" s="125" t="e">
        <f ca="1">VLOOKUP(D723,'Курсы Бинанса'!B:C,2,FALSE)</f>
        <v>#N/A</v>
      </c>
    </row>
    <row r="724" spans="1:5">
      <c r="A724" s="121">
        <v>722</v>
      </c>
      <c r="B724" s="123" t="s">
        <v>9889</v>
      </c>
      <c r="C724" s="123" t="s">
        <v>9890</v>
      </c>
      <c r="D724" s="124" t="str">
        <f t="shared" si="11"/>
        <v>SNLUSDT</v>
      </c>
      <c r="E724" s="125" t="e">
        <f ca="1">VLOOKUP(D724,'Курсы Бинанса'!B:C,2,FALSE)</f>
        <v>#N/A</v>
      </c>
    </row>
    <row r="725" spans="1:5">
      <c r="A725" s="121">
        <v>723</v>
      </c>
      <c r="B725" s="123" t="s">
        <v>9891</v>
      </c>
      <c r="C725" s="123" t="s">
        <v>9892</v>
      </c>
      <c r="D725" s="124" t="str">
        <f t="shared" si="11"/>
        <v>XEMUSDT</v>
      </c>
      <c r="E725" s="125" t="e">
        <f ca="1">VLOOKUP(D725,'Курсы Бинанса'!B:C,2,FALSE)</f>
        <v>#N/A</v>
      </c>
    </row>
    <row r="726" spans="1:5">
      <c r="A726" s="121">
        <v>724</v>
      </c>
      <c r="B726" s="123" t="s">
        <v>9893</v>
      </c>
      <c r="C726" s="123" t="s">
        <v>9894</v>
      </c>
      <c r="D726" s="124" t="str">
        <f t="shared" si="11"/>
        <v>ASTUSDT</v>
      </c>
      <c r="E726" s="125" t="e">
        <f ca="1">VLOOKUP(D726,'Курсы Бинанса'!B:C,2,FALSE)</f>
        <v>#N/A</v>
      </c>
    </row>
    <row r="727" spans="1:5">
      <c r="A727" s="121">
        <v>725</v>
      </c>
      <c r="B727" s="123" t="s">
        <v>9895</v>
      </c>
      <c r="C727" s="123" t="s">
        <v>9896</v>
      </c>
      <c r="D727" s="124" t="str">
        <f t="shared" si="11"/>
        <v>HORDUSDT</v>
      </c>
      <c r="E727" s="125" t="e">
        <f ca="1">VLOOKUP(D727,'Курсы Бинанса'!B:C,2,FALSE)</f>
        <v>#N/A</v>
      </c>
    </row>
    <row r="728" spans="1:5">
      <c r="A728" s="121">
        <v>726</v>
      </c>
      <c r="B728" s="123" t="s">
        <v>9897</v>
      </c>
      <c r="C728" s="123" t="s">
        <v>9897</v>
      </c>
      <c r="D728" s="124" t="str">
        <f t="shared" si="11"/>
        <v>OAXUSDT</v>
      </c>
      <c r="E728" s="125" t="e">
        <f ca="1">VLOOKUP(D728,'Курсы Бинанса'!B:C,2,FALSE)</f>
        <v>#N/A</v>
      </c>
    </row>
    <row r="729" spans="1:5">
      <c r="A729" s="121">
        <v>727</v>
      </c>
      <c r="B729" s="123" t="s">
        <v>9898</v>
      </c>
      <c r="C729" s="123" t="s">
        <v>9899</v>
      </c>
      <c r="D729" s="124" t="str">
        <f t="shared" si="11"/>
        <v>RAZEUSDT</v>
      </c>
      <c r="E729" s="125" t="e">
        <f ca="1">VLOOKUP(D729,'Курсы Бинанса'!B:C,2,FALSE)</f>
        <v>#N/A</v>
      </c>
    </row>
    <row r="730" spans="1:5">
      <c r="A730" s="121">
        <v>728</v>
      </c>
      <c r="B730" s="123" t="s">
        <v>9900</v>
      </c>
      <c r="C730" s="123" t="s">
        <v>9901</v>
      </c>
      <c r="D730" s="124" t="str">
        <f t="shared" si="11"/>
        <v>MALWUSDT</v>
      </c>
      <c r="E730" s="125" t="e">
        <f ca="1">VLOOKUP(D730,'Курсы Бинанса'!B:C,2,FALSE)</f>
        <v>#N/A</v>
      </c>
    </row>
    <row r="731" spans="1:5">
      <c r="A731" s="121">
        <v>729</v>
      </c>
      <c r="B731" s="123" t="s">
        <v>9902</v>
      </c>
      <c r="C731" s="123" t="s">
        <v>9903</v>
      </c>
      <c r="D731" s="124" t="str">
        <f t="shared" si="11"/>
        <v>SHROOMUSDT</v>
      </c>
      <c r="E731" s="125" t="e">
        <f ca="1">VLOOKUP(D731,'Курсы Бинанса'!B:C,2,FALSE)</f>
        <v>#N/A</v>
      </c>
    </row>
    <row r="732" spans="1:5">
      <c r="A732" s="121">
        <v>730</v>
      </c>
      <c r="B732" s="123" t="s">
        <v>9904</v>
      </c>
      <c r="C732" s="123" t="s">
        <v>9905</v>
      </c>
      <c r="D732" s="124" t="str">
        <f t="shared" si="11"/>
        <v>TDXUSDT</v>
      </c>
      <c r="E732" s="125" t="e">
        <f ca="1">VLOOKUP(D732,'Курсы Бинанса'!B:C,2,FALSE)</f>
        <v>#N/A</v>
      </c>
    </row>
    <row r="733" spans="1:5">
      <c r="A733" s="121">
        <v>731</v>
      </c>
      <c r="B733" s="123" t="s">
        <v>9906</v>
      </c>
      <c r="C733" s="123" t="s">
        <v>9907</v>
      </c>
      <c r="D733" s="124" t="str">
        <f t="shared" si="11"/>
        <v>DOWSUSDT</v>
      </c>
      <c r="E733" s="125" t="e">
        <f ca="1">VLOOKUP(D733,'Курсы Бинанса'!B:C,2,FALSE)</f>
        <v>#N/A</v>
      </c>
    </row>
    <row r="734" spans="1:5">
      <c r="A734" s="121">
        <v>732</v>
      </c>
      <c r="B734" s="123" t="s">
        <v>9908</v>
      </c>
      <c r="C734" s="123" t="s">
        <v>9909</v>
      </c>
      <c r="D734" s="124" t="str">
        <f t="shared" si="11"/>
        <v>DUSKUSDT</v>
      </c>
      <c r="E734" s="125" t="e">
        <f ca="1">VLOOKUP(D734,'Курсы Бинанса'!B:C,2,FALSE)</f>
        <v>#N/A</v>
      </c>
    </row>
    <row r="735" spans="1:5">
      <c r="A735" s="121">
        <v>733</v>
      </c>
      <c r="B735" s="123" t="s">
        <v>9910</v>
      </c>
      <c r="C735" s="123" t="s">
        <v>9911</v>
      </c>
      <c r="D735" s="124" t="str">
        <f t="shared" si="11"/>
        <v>TENDUSDT</v>
      </c>
      <c r="E735" s="125" t="e">
        <f ca="1">VLOOKUP(D735,'Курсы Бинанса'!B:C,2,FALSE)</f>
        <v>#N/A</v>
      </c>
    </row>
    <row r="736" spans="1:5">
      <c r="A736" s="121">
        <v>734</v>
      </c>
      <c r="B736" s="123" t="s">
        <v>9912</v>
      </c>
      <c r="C736" s="123" t="s">
        <v>9913</v>
      </c>
      <c r="D736" s="124" t="str">
        <f t="shared" si="11"/>
        <v>ZERUSDT</v>
      </c>
      <c r="E736" s="125" t="e">
        <f ca="1">VLOOKUP(D736,'Курсы Бинанса'!B:C,2,FALSE)</f>
        <v>#N/A</v>
      </c>
    </row>
    <row r="737" spans="1:5">
      <c r="A737" s="121">
        <v>735</v>
      </c>
      <c r="B737" s="123" t="s">
        <v>9914</v>
      </c>
      <c r="C737" s="123" t="s">
        <v>9914</v>
      </c>
      <c r="D737" s="124" t="str">
        <f t="shared" si="11"/>
        <v>BORAUSDT</v>
      </c>
      <c r="E737" s="125" t="e">
        <f ca="1">VLOOKUP(D737,'Курсы Бинанса'!B:C,2,FALSE)</f>
        <v>#N/A</v>
      </c>
    </row>
    <row r="738" spans="1:5">
      <c r="A738" s="121">
        <v>736</v>
      </c>
      <c r="B738" s="123" t="s">
        <v>9915</v>
      </c>
      <c r="C738" s="123" t="s">
        <v>9915</v>
      </c>
      <c r="D738" s="124" t="str">
        <f t="shared" ref="D738:D801" si="12">CONCATENATE(C738,"USDT")</f>
        <v>MASQUSDT</v>
      </c>
      <c r="E738" s="125" t="e">
        <f ca="1">VLOOKUP(D738,'Курсы Бинанса'!B:C,2,FALSE)</f>
        <v>#N/A</v>
      </c>
    </row>
    <row r="739" spans="1:5">
      <c r="A739" s="121">
        <v>737</v>
      </c>
      <c r="B739" s="123" t="s">
        <v>9916</v>
      </c>
      <c r="C739" s="123" t="s">
        <v>9917</v>
      </c>
      <c r="D739" s="124" t="str">
        <f t="shared" si="12"/>
        <v>METAUSDT</v>
      </c>
      <c r="E739" s="125" t="e">
        <f ca="1">VLOOKUP(D739,'Курсы Бинанса'!B:C,2,FALSE)</f>
        <v>#N/A</v>
      </c>
    </row>
    <row r="740" spans="1:5">
      <c r="A740" s="121">
        <v>738</v>
      </c>
      <c r="B740" s="123" t="s">
        <v>9918</v>
      </c>
      <c r="C740" s="123" t="s">
        <v>9919</v>
      </c>
      <c r="D740" s="124" t="str">
        <f t="shared" si="12"/>
        <v>SONOUSDT</v>
      </c>
      <c r="E740" s="125" t="e">
        <f ca="1">VLOOKUP(D740,'Курсы Бинанса'!B:C,2,FALSE)</f>
        <v>#N/A</v>
      </c>
    </row>
    <row r="741" spans="1:5">
      <c r="A741" s="121">
        <v>739</v>
      </c>
      <c r="B741" s="123" t="s">
        <v>9920</v>
      </c>
      <c r="C741" s="123" t="s">
        <v>9921</v>
      </c>
      <c r="D741" s="124" t="str">
        <f t="shared" si="12"/>
        <v>FLUXUSDT</v>
      </c>
      <c r="E741" s="125" t="e">
        <f ca="1">VLOOKUP(D741,'Курсы Бинанса'!B:C,2,FALSE)</f>
        <v>#N/A</v>
      </c>
    </row>
    <row r="742" spans="1:5">
      <c r="A742" s="121">
        <v>740</v>
      </c>
      <c r="B742" s="123" t="s">
        <v>9922</v>
      </c>
      <c r="C742" s="123" t="s">
        <v>9921</v>
      </c>
      <c r="D742" s="124" t="str">
        <f t="shared" si="12"/>
        <v>FLUXUSDT</v>
      </c>
      <c r="E742" s="125" t="e">
        <f ca="1">VLOOKUP(D742,'Курсы Бинанса'!B:C,2,FALSE)</f>
        <v>#N/A</v>
      </c>
    </row>
    <row r="743" spans="1:5">
      <c r="A743" s="121">
        <v>741</v>
      </c>
      <c r="B743" s="123" t="s">
        <v>9923</v>
      </c>
      <c r="C743" s="123" t="s">
        <v>9924</v>
      </c>
      <c r="D743" s="124" t="str">
        <f t="shared" si="12"/>
        <v>BRDUSDT</v>
      </c>
      <c r="E743" s="125" t="e">
        <f ca="1">VLOOKUP(D743,'Курсы Бинанса'!B:C,2,FALSE)</f>
        <v>#N/A</v>
      </c>
    </row>
    <row r="744" spans="1:5">
      <c r="A744" s="121">
        <v>742</v>
      </c>
      <c r="B744" s="123" t="s">
        <v>9925</v>
      </c>
      <c r="C744" s="123" t="s">
        <v>9926</v>
      </c>
      <c r="D744" s="124" t="str">
        <f t="shared" si="12"/>
        <v>HPBUSDT</v>
      </c>
      <c r="E744" s="125" t="e">
        <f ca="1">VLOOKUP(D744,'Курсы Бинанса'!B:C,2,FALSE)</f>
        <v>#N/A</v>
      </c>
    </row>
    <row r="745" spans="1:5">
      <c r="A745" s="121">
        <v>743</v>
      </c>
      <c r="B745" s="123" t="s">
        <v>9927</v>
      </c>
      <c r="C745" s="123" t="s">
        <v>9928</v>
      </c>
      <c r="D745" s="124" t="str">
        <f t="shared" si="12"/>
        <v>BTRUSDT</v>
      </c>
      <c r="E745" s="125" t="e">
        <f ca="1">VLOOKUP(D745,'Курсы Бинанса'!B:C,2,FALSE)</f>
        <v>#N/A</v>
      </c>
    </row>
    <row r="746" spans="1:5">
      <c r="A746" s="121">
        <v>744</v>
      </c>
      <c r="B746" s="123" t="s">
        <v>9929</v>
      </c>
      <c r="C746" s="123" t="s">
        <v>9930</v>
      </c>
      <c r="D746" s="124" t="str">
        <f t="shared" si="12"/>
        <v>TLOSUSDT</v>
      </c>
      <c r="E746" s="125" t="e">
        <f ca="1">VLOOKUP(D746,'Курсы Бинанса'!B:C,2,FALSE)</f>
        <v>#N/A</v>
      </c>
    </row>
    <row r="747" spans="1:5">
      <c r="A747" s="121">
        <v>745</v>
      </c>
      <c r="B747" s="123" t="s">
        <v>9931</v>
      </c>
      <c r="C747" s="123" t="s">
        <v>9932</v>
      </c>
      <c r="D747" s="124" t="str">
        <f t="shared" si="12"/>
        <v>MNEUSDT</v>
      </c>
      <c r="E747" s="125" t="e">
        <f ca="1">VLOOKUP(D747,'Курсы Бинанса'!B:C,2,FALSE)</f>
        <v>#N/A</v>
      </c>
    </row>
    <row r="748" spans="1:5">
      <c r="A748" s="121">
        <v>746</v>
      </c>
      <c r="B748" s="123" t="s">
        <v>9933</v>
      </c>
      <c r="C748" s="123" t="s">
        <v>9934</v>
      </c>
      <c r="D748" s="124" t="str">
        <f t="shared" si="12"/>
        <v>GAMEUSDT</v>
      </c>
      <c r="E748" s="125" t="e">
        <f ca="1">VLOOKUP(D748,'Курсы Бинанса'!B:C,2,FALSE)</f>
        <v>#N/A</v>
      </c>
    </row>
    <row r="749" spans="1:5">
      <c r="A749" s="121">
        <v>747</v>
      </c>
      <c r="B749" s="123" t="s">
        <v>9935</v>
      </c>
      <c r="C749" s="123" t="s">
        <v>9936</v>
      </c>
      <c r="D749" s="124" t="str">
        <f t="shared" si="12"/>
        <v>OMUSDT</v>
      </c>
      <c r="E749" s="125" t="e">
        <f ca="1">VLOOKUP(D749,'Курсы Бинанса'!B:C,2,FALSE)</f>
        <v>#N/A</v>
      </c>
    </row>
    <row r="750" spans="1:5">
      <c r="A750" s="121">
        <v>748</v>
      </c>
      <c r="B750" s="123" t="s">
        <v>9937</v>
      </c>
      <c r="C750" s="123" t="s">
        <v>9938</v>
      </c>
      <c r="D750" s="124" t="str">
        <f t="shared" si="12"/>
        <v>ABTUSDT</v>
      </c>
      <c r="E750" s="125" t="e">
        <f ca="1">VLOOKUP(D750,'Курсы Бинанса'!B:C,2,FALSE)</f>
        <v>#N/A</v>
      </c>
    </row>
    <row r="751" spans="1:5">
      <c r="A751" s="121">
        <v>749</v>
      </c>
      <c r="B751" s="123" t="s">
        <v>9939</v>
      </c>
      <c r="C751" s="123" t="s">
        <v>9940</v>
      </c>
      <c r="D751" s="124" t="str">
        <f t="shared" si="12"/>
        <v>CTIUSDT</v>
      </c>
      <c r="E751" s="125" t="e">
        <f ca="1">VLOOKUP(D751,'Курсы Бинанса'!B:C,2,FALSE)</f>
        <v>#N/A</v>
      </c>
    </row>
    <row r="752" spans="1:5">
      <c r="A752" s="121">
        <v>750</v>
      </c>
      <c r="B752" s="123" t="s">
        <v>9941</v>
      </c>
      <c r="C752" s="123" t="s">
        <v>9942</v>
      </c>
      <c r="D752" s="124" t="str">
        <f t="shared" si="12"/>
        <v>EXCLUSDT</v>
      </c>
      <c r="E752" s="125" t="e">
        <f ca="1">VLOOKUP(D752,'Курсы Бинанса'!B:C,2,FALSE)</f>
        <v>#N/A</v>
      </c>
    </row>
    <row r="753" spans="1:5">
      <c r="A753" s="121">
        <v>751</v>
      </c>
      <c r="B753" s="123" t="s">
        <v>9943</v>
      </c>
      <c r="C753" s="123" t="s">
        <v>9944</v>
      </c>
      <c r="D753" s="124" t="str">
        <f t="shared" si="12"/>
        <v>TUPUSDT</v>
      </c>
      <c r="E753" s="125" t="e">
        <f ca="1">VLOOKUP(D753,'Курсы Бинанса'!B:C,2,FALSE)</f>
        <v>#N/A</v>
      </c>
    </row>
    <row r="754" spans="1:5">
      <c r="A754" s="121">
        <v>752</v>
      </c>
      <c r="B754" s="123" t="s">
        <v>9945</v>
      </c>
      <c r="C754" s="123" t="s">
        <v>9946</v>
      </c>
      <c r="D754" s="124" t="str">
        <f t="shared" si="12"/>
        <v>PNKUSDT</v>
      </c>
      <c r="E754" s="125" t="e">
        <f ca="1">VLOOKUP(D754,'Курсы Бинанса'!B:C,2,FALSE)</f>
        <v>#N/A</v>
      </c>
    </row>
    <row r="755" spans="1:5">
      <c r="A755" s="121">
        <v>753</v>
      </c>
      <c r="B755" s="123" t="s">
        <v>9947</v>
      </c>
      <c r="C755" s="123" t="s">
        <v>9948</v>
      </c>
      <c r="D755" s="124" t="str">
        <f t="shared" si="12"/>
        <v>NCDTUSDT</v>
      </c>
      <c r="E755" s="125" t="e">
        <f ca="1">VLOOKUP(D755,'Курсы Бинанса'!B:C,2,FALSE)</f>
        <v>#N/A</v>
      </c>
    </row>
    <row r="756" spans="1:5">
      <c r="A756" s="121">
        <v>754</v>
      </c>
      <c r="B756" s="123" t="s">
        <v>9949</v>
      </c>
      <c r="C756" s="123" t="s">
        <v>9950</v>
      </c>
      <c r="D756" s="124" t="str">
        <f t="shared" si="12"/>
        <v>CVRUSDT</v>
      </c>
      <c r="E756" s="125" t="e">
        <f ca="1">VLOOKUP(D756,'Курсы Бинанса'!B:C,2,FALSE)</f>
        <v>#N/A</v>
      </c>
    </row>
    <row r="757" spans="1:5">
      <c r="A757" s="121">
        <v>755</v>
      </c>
      <c r="B757" s="123" t="s">
        <v>9951</v>
      </c>
      <c r="C757" s="123" t="s">
        <v>9952</v>
      </c>
      <c r="D757" s="124" t="str">
        <f t="shared" si="12"/>
        <v>EVEDUSDT</v>
      </c>
      <c r="E757" s="125" t="e">
        <f ca="1">VLOOKUP(D757,'Курсы Бинанса'!B:C,2,FALSE)</f>
        <v>#N/A</v>
      </c>
    </row>
    <row r="758" spans="1:5">
      <c r="A758" s="121">
        <v>756</v>
      </c>
      <c r="B758" s="123" t="s">
        <v>9953</v>
      </c>
      <c r="C758" s="123" t="s">
        <v>9954</v>
      </c>
      <c r="D758" s="124" t="str">
        <f t="shared" si="12"/>
        <v>XPMUSDT</v>
      </c>
      <c r="E758" s="125" t="e">
        <f ca="1">VLOOKUP(D758,'Курсы Бинанса'!B:C,2,FALSE)</f>
        <v>#N/A</v>
      </c>
    </row>
    <row r="759" spans="1:5">
      <c r="A759" s="121">
        <v>757</v>
      </c>
      <c r="B759" s="123" t="s">
        <v>9955</v>
      </c>
      <c r="C759" s="123" t="s">
        <v>9956</v>
      </c>
      <c r="D759" s="124" t="str">
        <f t="shared" si="12"/>
        <v>vETHUSDT</v>
      </c>
      <c r="E759" s="125" t="e">
        <f ca="1">VLOOKUP(D759,'Курсы Бинанса'!B:C,2,FALSE)</f>
        <v>#N/A</v>
      </c>
    </row>
    <row r="760" spans="1:5">
      <c r="A760" s="121">
        <v>758</v>
      </c>
      <c r="B760" s="123" t="s">
        <v>9957</v>
      </c>
      <c r="C760" s="123" t="s">
        <v>9958</v>
      </c>
      <c r="D760" s="124" t="str">
        <f t="shared" si="12"/>
        <v>CSPNUSDT</v>
      </c>
      <c r="E760" s="125" t="e">
        <f ca="1">VLOOKUP(D760,'Курсы Бинанса'!B:C,2,FALSE)</f>
        <v>#N/A</v>
      </c>
    </row>
    <row r="761" spans="1:5">
      <c r="A761" s="121">
        <v>759</v>
      </c>
      <c r="B761" s="123" t="s">
        <v>9959</v>
      </c>
      <c r="C761" s="123" t="s">
        <v>9960</v>
      </c>
      <c r="D761" s="124" t="str">
        <f t="shared" si="12"/>
        <v>HAIUSDT</v>
      </c>
      <c r="E761" s="125" t="e">
        <f ca="1">VLOOKUP(D761,'Курсы Бинанса'!B:C,2,FALSE)</f>
        <v>#N/A</v>
      </c>
    </row>
    <row r="762" spans="1:5">
      <c r="A762" s="121">
        <v>760</v>
      </c>
      <c r="B762" s="123" t="s">
        <v>9961</v>
      </c>
      <c r="C762" s="123" t="s">
        <v>9962</v>
      </c>
      <c r="D762" s="124" t="str">
        <f t="shared" si="12"/>
        <v>KRBUSDT</v>
      </c>
      <c r="E762" s="125" t="e">
        <f ca="1">VLOOKUP(D762,'Курсы Бинанса'!B:C,2,FALSE)</f>
        <v>#N/A</v>
      </c>
    </row>
    <row r="763" spans="1:5">
      <c r="A763" s="121">
        <v>761</v>
      </c>
      <c r="B763" s="123" t="s">
        <v>9963</v>
      </c>
      <c r="C763" s="123" t="s">
        <v>9964</v>
      </c>
      <c r="D763" s="124" t="str">
        <f t="shared" si="12"/>
        <v>CATUSDT</v>
      </c>
      <c r="E763" s="125" t="e">
        <f ca="1">VLOOKUP(D763,'Курсы Бинанса'!B:C,2,FALSE)</f>
        <v>#N/A</v>
      </c>
    </row>
    <row r="764" spans="1:5">
      <c r="A764" s="121">
        <v>762</v>
      </c>
      <c r="B764" s="123" t="s">
        <v>9965</v>
      </c>
      <c r="C764" s="123" t="s">
        <v>9966</v>
      </c>
      <c r="D764" s="124" t="str">
        <f t="shared" si="12"/>
        <v>HZNUSDT</v>
      </c>
      <c r="E764" s="125" t="e">
        <f ca="1">VLOOKUP(D764,'Курсы Бинанса'!B:C,2,FALSE)</f>
        <v>#N/A</v>
      </c>
    </row>
    <row r="765" spans="1:5">
      <c r="A765" s="121">
        <v>763</v>
      </c>
      <c r="B765" s="123" t="s">
        <v>9967</v>
      </c>
      <c r="C765" s="123" t="s">
        <v>9968</v>
      </c>
      <c r="D765" s="124" t="str">
        <f t="shared" si="12"/>
        <v>MOCUSDT</v>
      </c>
      <c r="E765" s="125" t="e">
        <f ca="1">VLOOKUP(D765,'Курсы Бинанса'!B:C,2,FALSE)</f>
        <v>#N/A</v>
      </c>
    </row>
    <row r="766" spans="1:5">
      <c r="A766" s="121">
        <v>764</v>
      </c>
      <c r="B766" s="123" t="s">
        <v>9969</v>
      </c>
      <c r="C766" s="123" t="s">
        <v>9970</v>
      </c>
      <c r="D766" s="124" t="str">
        <f t="shared" si="12"/>
        <v>NEWSUSDT</v>
      </c>
      <c r="E766" s="125" t="e">
        <f ca="1">VLOOKUP(D766,'Курсы Бинанса'!B:C,2,FALSE)</f>
        <v>#N/A</v>
      </c>
    </row>
    <row r="767" spans="1:5">
      <c r="A767" s="121">
        <v>765</v>
      </c>
      <c r="B767" s="123" t="s">
        <v>9971</v>
      </c>
      <c r="C767" s="123" t="s">
        <v>9972</v>
      </c>
      <c r="D767" s="124" t="str">
        <f t="shared" si="12"/>
        <v>DKAUSDT</v>
      </c>
      <c r="E767" s="125" t="e">
        <f ca="1">VLOOKUP(D767,'Курсы Бинанса'!B:C,2,FALSE)</f>
        <v>#N/A</v>
      </c>
    </row>
    <row r="768" spans="1:5">
      <c r="A768" s="121">
        <v>766</v>
      </c>
      <c r="B768" s="123" t="s">
        <v>9973</v>
      </c>
      <c r="C768" s="123" t="s">
        <v>9974</v>
      </c>
      <c r="D768" s="124" t="str">
        <f t="shared" si="12"/>
        <v>DRGNUSDT</v>
      </c>
      <c r="E768" s="125" t="e">
        <f ca="1">VLOOKUP(D768,'Курсы Бинанса'!B:C,2,FALSE)</f>
        <v>#N/A</v>
      </c>
    </row>
    <row r="769" spans="1:5">
      <c r="A769" s="121">
        <v>767</v>
      </c>
      <c r="B769" s="123" t="s">
        <v>9975</v>
      </c>
      <c r="C769" s="123" t="s">
        <v>9976</v>
      </c>
      <c r="D769" s="124" t="str">
        <f t="shared" si="12"/>
        <v>DIPUSDT</v>
      </c>
      <c r="E769" s="125" t="e">
        <f ca="1">VLOOKUP(D769,'Курсы Бинанса'!B:C,2,FALSE)</f>
        <v>#N/A</v>
      </c>
    </row>
    <row r="770" spans="1:5">
      <c r="A770" s="121">
        <v>768</v>
      </c>
      <c r="B770" s="123" t="s">
        <v>9977</v>
      </c>
      <c r="C770" s="123" t="s">
        <v>9978</v>
      </c>
      <c r="D770" s="124" t="str">
        <f t="shared" si="12"/>
        <v>LEVLUSDT</v>
      </c>
      <c r="E770" s="125" t="e">
        <f ca="1">VLOOKUP(D770,'Курсы Бинанса'!B:C,2,FALSE)</f>
        <v>#N/A</v>
      </c>
    </row>
    <row r="771" spans="1:5">
      <c r="A771" s="121">
        <v>769</v>
      </c>
      <c r="B771" s="123" t="s">
        <v>9979</v>
      </c>
      <c r="C771" s="123" t="s">
        <v>9980</v>
      </c>
      <c r="D771" s="124" t="str">
        <f t="shared" si="12"/>
        <v>CORNUSDT</v>
      </c>
      <c r="E771" s="125" t="e">
        <f ca="1">VLOOKUP(D771,'Курсы Бинанса'!B:C,2,FALSE)</f>
        <v>#N/A</v>
      </c>
    </row>
    <row r="772" spans="1:5">
      <c r="A772" s="121">
        <v>770</v>
      </c>
      <c r="B772" s="123" t="s">
        <v>9981</v>
      </c>
      <c r="C772" s="123" t="s">
        <v>9982</v>
      </c>
      <c r="D772" s="124" t="str">
        <f t="shared" si="12"/>
        <v>BISUSDT</v>
      </c>
      <c r="E772" s="125" t="e">
        <f ca="1">VLOOKUP(D772,'Курсы Бинанса'!B:C,2,FALSE)</f>
        <v>#N/A</v>
      </c>
    </row>
    <row r="773" spans="1:5">
      <c r="A773" s="121">
        <v>771</v>
      </c>
      <c r="B773" s="123" t="s">
        <v>9983</v>
      </c>
      <c r="C773" s="123" t="s">
        <v>9984</v>
      </c>
      <c r="D773" s="124" t="str">
        <f t="shared" si="12"/>
        <v>RBCUSDT</v>
      </c>
      <c r="E773" s="125" t="e">
        <f ca="1">VLOOKUP(D773,'Курсы Бинанса'!B:C,2,FALSE)</f>
        <v>#N/A</v>
      </c>
    </row>
    <row r="774" spans="1:5">
      <c r="A774" s="121">
        <v>772</v>
      </c>
      <c r="B774" s="123" t="s">
        <v>9985</v>
      </c>
      <c r="C774" s="123" t="s">
        <v>9986</v>
      </c>
      <c r="D774" s="124" t="str">
        <f t="shared" si="12"/>
        <v>AEUSDT</v>
      </c>
      <c r="E774" s="125" t="e">
        <f ca="1">VLOOKUP(D774,'Курсы Бинанса'!B:C,2,FALSE)</f>
        <v>#N/A</v>
      </c>
    </row>
    <row r="775" spans="1:5">
      <c r="A775" s="121">
        <v>773</v>
      </c>
      <c r="B775" s="123" t="s">
        <v>9987</v>
      </c>
      <c r="C775" s="123" t="s">
        <v>9988</v>
      </c>
      <c r="D775" s="124" t="str">
        <f t="shared" si="12"/>
        <v>XSTUSDT</v>
      </c>
      <c r="E775" s="125" t="e">
        <f ca="1">VLOOKUP(D775,'Курсы Бинанса'!B:C,2,FALSE)</f>
        <v>#N/A</v>
      </c>
    </row>
    <row r="776" spans="1:5">
      <c r="A776" s="121">
        <v>774</v>
      </c>
      <c r="B776" s="123" t="s">
        <v>9989</v>
      </c>
      <c r="C776" s="123" t="s">
        <v>9990</v>
      </c>
      <c r="D776" s="124" t="str">
        <f t="shared" si="12"/>
        <v>SNRGUSDT</v>
      </c>
      <c r="E776" s="125" t="e">
        <f ca="1">VLOOKUP(D776,'Курсы Бинанса'!B:C,2,FALSE)</f>
        <v>#N/A</v>
      </c>
    </row>
    <row r="777" spans="1:5">
      <c r="A777" s="121">
        <v>775</v>
      </c>
      <c r="B777" s="123" t="s">
        <v>9991</v>
      </c>
      <c r="C777" s="123" t="s">
        <v>9992</v>
      </c>
      <c r="D777" s="124" t="str">
        <f t="shared" si="12"/>
        <v>DATAUSDT</v>
      </c>
      <c r="E777" s="125" t="e">
        <f ca="1">VLOOKUP(D777,'Курсы Бинанса'!B:C,2,FALSE)</f>
        <v>#N/A</v>
      </c>
    </row>
    <row r="778" spans="1:5">
      <c r="A778" s="121">
        <v>776</v>
      </c>
      <c r="B778" s="123" t="s">
        <v>9993</v>
      </c>
      <c r="C778" s="123" t="s">
        <v>9993</v>
      </c>
      <c r="D778" s="124" t="str">
        <f t="shared" si="12"/>
        <v>REALUSDT</v>
      </c>
      <c r="E778" s="125" t="e">
        <f ca="1">VLOOKUP(D778,'Курсы Бинанса'!B:C,2,FALSE)</f>
        <v>#N/A</v>
      </c>
    </row>
    <row r="779" spans="1:5">
      <c r="A779" s="121">
        <v>777</v>
      </c>
      <c r="B779" s="123" t="s">
        <v>9994</v>
      </c>
      <c r="C779" s="123" t="s">
        <v>9995</v>
      </c>
      <c r="D779" s="124" t="str">
        <f t="shared" si="12"/>
        <v>QARKUSDT</v>
      </c>
      <c r="E779" s="125" t="e">
        <f ca="1">VLOOKUP(D779,'Курсы Бинанса'!B:C,2,FALSE)</f>
        <v>#N/A</v>
      </c>
    </row>
    <row r="780" spans="1:5">
      <c r="A780" s="121">
        <v>778</v>
      </c>
      <c r="B780" s="123" t="s">
        <v>9996</v>
      </c>
      <c r="C780" s="123" t="s">
        <v>9997</v>
      </c>
      <c r="D780" s="124" t="str">
        <f t="shared" si="12"/>
        <v>ENGUSDT</v>
      </c>
      <c r="E780" s="125" t="e">
        <f ca="1">VLOOKUP(D780,'Курсы Бинанса'!B:C,2,FALSE)</f>
        <v>#N/A</v>
      </c>
    </row>
    <row r="781" spans="1:5">
      <c r="A781" s="121">
        <v>779</v>
      </c>
      <c r="B781" s="123" t="s">
        <v>9998</v>
      </c>
      <c r="C781" s="123" t="s">
        <v>9999</v>
      </c>
      <c r="D781" s="124" t="str">
        <f t="shared" si="12"/>
        <v>POLISUSDT</v>
      </c>
      <c r="E781" s="125" t="e">
        <f ca="1">VLOOKUP(D781,'Курсы Бинанса'!B:C,2,FALSE)</f>
        <v>#N/A</v>
      </c>
    </row>
    <row r="782" spans="1:5">
      <c r="A782" s="121">
        <v>780</v>
      </c>
      <c r="B782" s="123" t="s">
        <v>10000</v>
      </c>
      <c r="C782" s="123" t="s">
        <v>10001</v>
      </c>
      <c r="D782" s="124" t="str">
        <f t="shared" si="12"/>
        <v>CRBNUSDT</v>
      </c>
      <c r="E782" s="125" t="e">
        <f ca="1">VLOOKUP(D782,'Курсы Бинанса'!B:C,2,FALSE)</f>
        <v>#N/A</v>
      </c>
    </row>
    <row r="783" spans="1:5">
      <c r="A783" s="121">
        <v>781</v>
      </c>
      <c r="B783" s="123" t="s">
        <v>10002</v>
      </c>
      <c r="C783" s="123" t="s">
        <v>10003</v>
      </c>
      <c r="D783" s="124" t="str">
        <f t="shared" si="12"/>
        <v>VIDYAUSDT</v>
      </c>
      <c r="E783" s="125" t="e">
        <f ca="1">VLOOKUP(D783,'Курсы Бинанса'!B:C,2,FALSE)</f>
        <v>#N/A</v>
      </c>
    </row>
    <row r="784" spans="1:5">
      <c r="A784" s="121">
        <v>782</v>
      </c>
      <c r="B784" s="123" t="s">
        <v>10004</v>
      </c>
      <c r="C784" s="123" t="s">
        <v>10005</v>
      </c>
      <c r="D784" s="124" t="str">
        <f t="shared" si="12"/>
        <v>TENUSDT</v>
      </c>
      <c r="E784" s="125" t="e">
        <f ca="1">VLOOKUP(D784,'Курсы Бинанса'!B:C,2,FALSE)</f>
        <v>#N/A</v>
      </c>
    </row>
    <row r="785" spans="1:5">
      <c r="A785" s="121">
        <v>783</v>
      </c>
      <c r="B785" s="123" t="s">
        <v>10006</v>
      </c>
      <c r="C785" s="123" t="s">
        <v>10007</v>
      </c>
      <c r="D785" s="124" t="str">
        <f t="shared" si="12"/>
        <v>AZUKIUSDT</v>
      </c>
      <c r="E785" s="125" t="e">
        <f ca="1">VLOOKUP(D785,'Курсы Бинанса'!B:C,2,FALSE)</f>
        <v>#N/A</v>
      </c>
    </row>
    <row r="786" spans="1:5">
      <c r="A786" s="121">
        <v>784</v>
      </c>
      <c r="B786" s="123" t="s">
        <v>10008</v>
      </c>
      <c r="C786" s="123" t="s">
        <v>10009</v>
      </c>
      <c r="D786" s="124" t="str">
        <f t="shared" si="12"/>
        <v>OMCUSDT</v>
      </c>
      <c r="E786" s="125" t="e">
        <f ca="1">VLOOKUP(D786,'Курсы Бинанса'!B:C,2,FALSE)</f>
        <v>#N/A</v>
      </c>
    </row>
    <row r="787" spans="1:5">
      <c r="A787" s="121">
        <v>785</v>
      </c>
      <c r="B787" s="123" t="s">
        <v>10010</v>
      </c>
      <c r="C787" s="123" t="s">
        <v>10011</v>
      </c>
      <c r="D787" s="124" t="str">
        <f t="shared" si="12"/>
        <v>SHDWUSDT</v>
      </c>
      <c r="E787" s="125" t="e">
        <f ca="1">VLOOKUP(D787,'Курсы Бинанса'!B:C,2,FALSE)</f>
        <v>#N/A</v>
      </c>
    </row>
    <row r="788" spans="1:5">
      <c r="A788" s="121">
        <v>786</v>
      </c>
      <c r="B788" s="123" t="s">
        <v>10012</v>
      </c>
      <c r="C788" s="123" t="s">
        <v>10013</v>
      </c>
      <c r="D788" s="124" t="str">
        <f t="shared" si="12"/>
        <v>CENNZUSDT</v>
      </c>
      <c r="E788" s="125" t="e">
        <f ca="1">VLOOKUP(D788,'Курсы Бинанса'!B:C,2,FALSE)</f>
        <v>#N/A</v>
      </c>
    </row>
    <row r="789" spans="1:5">
      <c r="A789" s="121">
        <v>787</v>
      </c>
      <c r="B789" s="123" t="s">
        <v>10014</v>
      </c>
      <c r="C789" s="123" t="s">
        <v>10015</v>
      </c>
      <c r="D789" s="124" t="str">
        <f t="shared" si="12"/>
        <v>XDBUSDT</v>
      </c>
      <c r="E789" s="125" t="e">
        <f ca="1">VLOOKUP(D789,'Курсы Бинанса'!B:C,2,FALSE)</f>
        <v>#N/A</v>
      </c>
    </row>
    <row r="790" spans="1:5">
      <c r="A790" s="121">
        <v>788</v>
      </c>
      <c r="B790" s="123" t="s">
        <v>10016</v>
      </c>
      <c r="C790" s="123" t="s">
        <v>10017</v>
      </c>
      <c r="D790" s="124" t="str">
        <f t="shared" si="12"/>
        <v>MOTAUSDT</v>
      </c>
      <c r="E790" s="125" t="e">
        <f ca="1">VLOOKUP(D790,'Курсы Бинанса'!B:C,2,FALSE)</f>
        <v>#N/A</v>
      </c>
    </row>
    <row r="791" spans="1:5">
      <c r="A791" s="121">
        <v>789</v>
      </c>
      <c r="B791" s="123" t="s">
        <v>10018</v>
      </c>
      <c r="C791" s="123" t="s">
        <v>10019</v>
      </c>
      <c r="D791" s="124" t="str">
        <f t="shared" si="12"/>
        <v>ONEUSDT</v>
      </c>
      <c r="E791" s="125" t="e">
        <f ca="1">VLOOKUP(D791,'Курсы Бинанса'!B:C,2,FALSE)</f>
        <v>#N/A</v>
      </c>
    </row>
    <row r="792" spans="1:5">
      <c r="A792" s="121">
        <v>790</v>
      </c>
      <c r="B792" s="123" t="s">
        <v>10020</v>
      </c>
      <c r="C792" s="123" t="s">
        <v>10021</v>
      </c>
      <c r="D792" s="124" t="str">
        <f t="shared" si="12"/>
        <v>SWINGBYUSDT</v>
      </c>
      <c r="E792" s="125" t="e">
        <f ca="1">VLOOKUP(D792,'Курсы Бинанса'!B:C,2,FALSE)</f>
        <v>#N/A</v>
      </c>
    </row>
    <row r="793" spans="1:5">
      <c r="A793" s="121">
        <v>791</v>
      </c>
      <c r="B793" s="123" t="s">
        <v>10022</v>
      </c>
      <c r="C793" s="123" t="s">
        <v>10023</v>
      </c>
      <c r="D793" s="124" t="str">
        <f t="shared" si="12"/>
        <v>GXTUSDT</v>
      </c>
      <c r="E793" s="125" t="e">
        <f ca="1">VLOOKUP(D793,'Курсы Бинанса'!B:C,2,FALSE)</f>
        <v>#N/A</v>
      </c>
    </row>
    <row r="794" spans="1:5">
      <c r="A794" s="121">
        <v>792</v>
      </c>
      <c r="B794" s="123" t="s">
        <v>10024</v>
      </c>
      <c r="C794" s="123" t="s">
        <v>10025</v>
      </c>
      <c r="D794" s="124" t="str">
        <f t="shared" si="12"/>
        <v>VGWUSDT</v>
      </c>
      <c r="E794" s="125" t="e">
        <f ca="1">VLOOKUP(D794,'Курсы Бинанса'!B:C,2,FALSE)</f>
        <v>#N/A</v>
      </c>
    </row>
    <row r="795" spans="1:5">
      <c r="A795" s="121">
        <v>793</v>
      </c>
      <c r="B795" s="123" t="s">
        <v>10026</v>
      </c>
      <c r="C795" s="123" t="s">
        <v>10027</v>
      </c>
      <c r="D795" s="124" t="str">
        <f t="shared" si="12"/>
        <v>NIOXUSDT</v>
      </c>
      <c r="E795" s="125" t="e">
        <f ca="1">VLOOKUP(D795,'Курсы Бинанса'!B:C,2,FALSE)</f>
        <v>#N/A</v>
      </c>
    </row>
    <row r="796" spans="1:5">
      <c r="A796" s="121">
        <v>794</v>
      </c>
      <c r="B796" s="123" t="s">
        <v>10028</v>
      </c>
      <c r="C796" s="123" t="s">
        <v>10029</v>
      </c>
      <c r="D796" s="124" t="str">
        <f t="shared" si="12"/>
        <v>IDNAUSDT</v>
      </c>
      <c r="E796" s="125" t="e">
        <f ca="1">VLOOKUP(D796,'Курсы Бинанса'!B:C,2,FALSE)</f>
        <v>#N/A</v>
      </c>
    </row>
    <row r="797" spans="1:5">
      <c r="A797" s="121">
        <v>795</v>
      </c>
      <c r="B797" s="123" t="s">
        <v>10030</v>
      </c>
      <c r="C797" s="123" t="s">
        <v>10031</v>
      </c>
      <c r="D797" s="124" t="str">
        <f t="shared" si="12"/>
        <v>1WOUSDT</v>
      </c>
      <c r="E797" s="125" t="e">
        <f ca="1">VLOOKUP(D797,'Курсы Бинанса'!B:C,2,FALSE)</f>
        <v>#N/A</v>
      </c>
    </row>
    <row r="798" spans="1:5">
      <c r="A798" s="121">
        <v>796</v>
      </c>
      <c r="B798" s="123" t="s">
        <v>10032</v>
      </c>
      <c r="C798" s="123" t="s">
        <v>10033</v>
      </c>
      <c r="D798" s="124" t="str">
        <f t="shared" si="12"/>
        <v>BDXUSDT</v>
      </c>
      <c r="E798" s="125" t="e">
        <f ca="1">VLOOKUP(D798,'Курсы Бинанса'!B:C,2,FALSE)</f>
        <v>#N/A</v>
      </c>
    </row>
    <row r="799" spans="1:5">
      <c r="A799" s="121">
        <v>797</v>
      </c>
      <c r="B799" s="123" t="s">
        <v>10034</v>
      </c>
      <c r="C799" s="123" t="s">
        <v>10035</v>
      </c>
      <c r="D799" s="124" t="str">
        <f t="shared" si="12"/>
        <v>SXDTUSDT</v>
      </c>
      <c r="E799" s="125" t="e">
        <f ca="1">VLOOKUP(D799,'Курсы Бинанса'!B:C,2,FALSE)</f>
        <v>#N/A</v>
      </c>
    </row>
    <row r="800" spans="1:5">
      <c r="A800" s="121">
        <v>798</v>
      </c>
      <c r="B800" s="123" t="s">
        <v>10036</v>
      </c>
      <c r="C800" s="123" t="s">
        <v>10037</v>
      </c>
      <c r="D800" s="124" t="str">
        <f t="shared" si="12"/>
        <v>AUCUSDT</v>
      </c>
      <c r="E800" s="125" t="e">
        <f ca="1">VLOOKUP(D800,'Курсы Бинанса'!B:C,2,FALSE)</f>
        <v>#N/A</v>
      </c>
    </row>
    <row r="801" spans="1:5">
      <c r="A801" s="121">
        <v>799</v>
      </c>
      <c r="B801" s="123" t="s">
        <v>10038</v>
      </c>
      <c r="C801" s="123" t="s">
        <v>10039</v>
      </c>
      <c r="D801" s="124" t="str">
        <f t="shared" si="12"/>
        <v>NOKUUSDT</v>
      </c>
      <c r="E801" s="125" t="e">
        <f ca="1">VLOOKUP(D801,'Курсы Бинанса'!B:C,2,FALSE)</f>
        <v>#N/A</v>
      </c>
    </row>
    <row r="802" spans="1:5">
      <c r="A802" s="121">
        <v>800</v>
      </c>
      <c r="B802" s="123" t="s">
        <v>10040</v>
      </c>
      <c r="C802" s="123" t="s">
        <v>10041</v>
      </c>
      <c r="D802" s="124" t="str">
        <f t="shared" ref="D802:D865" si="13">CONCATENATE(C802,"USDT")</f>
        <v>AOGUSDT</v>
      </c>
      <c r="E802" s="125" t="e">
        <f ca="1">VLOOKUP(D802,'Курсы Бинанса'!B:C,2,FALSE)</f>
        <v>#N/A</v>
      </c>
    </row>
    <row r="803" spans="1:5">
      <c r="A803" s="121">
        <v>801</v>
      </c>
      <c r="B803" s="123" t="s">
        <v>10042</v>
      </c>
      <c r="C803" s="123" t="s">
        <v>10043</v>
      </c>
      <c r="D803" s="124" t="str">
        <f t="shared" si="13"/>
        <v>NTKUSDT</v>
      </c>
      <c r="E803" s="125" t="e">
        <f ca="1">VLOOKUP(D803,'Курсы Бинанса'!B:C,2,FALSE)</f>
        <v>#N/A</v>
      </c>
    </row>
    <row r="804" spans="1:5">
      <c r="A804" s="121">
        <v>802</v>
      </c>
      <c r="B804" s="123" t="s">
        <v>10044</v>
      </c>
      <c r="C804" s="123" t="s">
        <v>10045</v>
      </c>
      <c r="D804" s="124" t="str">
        <f t="shared" si="13"/>
        <v>ANKRUSDT</v>
      </c>
      <c r="E804" s="125" t="e">
        <f ca="1">VLOOKUP(D804,'Курсы Бинанса'!B:C,2,FALSE)</f>
        <v>#N/A</v>
      </c>
    </row>
    <row r="805" spans="1:5">
      <c r="A805" s="121">
        <v>803</v>
      </c>
      <c r="B805" s="123" t="s">
        <v>10046</v>
      </c>
      <c r="C805" s="123" t="s">
        <v>10047</v>
      </c>
      <c r="D805" s="124" t="str">
        <f t="shared" si="13"/>
        <v>OTOUSDT</v>
      </c>
      <c r="E805" s="125" t="e">
        <f ca="1">VLOOKUP(D805,'Курсы Бинанса'!B:C,2,FALSE)</f>
        <v>#N/A</v>
      </c>
    </row>
    <row r="806" spans="1:5">
      <c r="A806" s="121">
        <v>804</v>
      </c>
      <c r="B806" s="123" t="s">
        <v>10048</v>
      </c>
      <c r="C806" s="123" t="s">
        <v>10049</v>
      </c>
      <c r="D806" s="124" t="str">
        <f t="shared" si="13"/>
        <v>ATRIUSDT</v>
      </c>
      <c r="E806" s="125" t="e">
        <f ca="1">VLOOKUP(D806,'Курсы Бинанса'!B:C,2,FALSE)</f>
        <v>#N/A</v>
      </c>
    </row>
    <row r="807" spans="1:5">
      <c r="A807" s="121">
        <v>805</v>
      </c>
      <c r="B807" s="123" t="s">
        <v>10050</v>
      </c>
      <c r="C807" s="123" t="s">
        <v>10051</v>
      </c>
      <c r="D807" s="124" t="str">
        <f t="shared" si="13"/>
        <v>VETUSDT</v>
      </c>
      <c r="E807" s="125" t="e">
        <f ca="1">VLOOKUP(D807,'Курсы Бинанса'!B:C,2,FALSE)</f>
        <v>#N/A</v>
      </c>
    </row>
    <row r="808" spans="1:5">
      <c r="A808" s="121">
        <v>806</v>
      </c>
      <c r="B808" s="123" t="s">
        <v>10052</v>
      </c>
      <c r="C808" s="123" t="s">
        <v>10053</v>
      </c>
      <c r="D808" s="124" t="str">
        <f t="shared" si="13"/>
        <v>DOCKUSDT</v>
      </c>
      <c r="E808" s="125" t="e">
        <f ca="1">VLOOKUP(D808,'Курсы Бинанса'!B:C,2,FALSE)</f>
        <v>#N/A</v>
      </c>
    </row>
    <row r="809" spans="1:5">
      <c r="A809" s="121">
        <v>807</v>
      </c>
      <c r="B809" s="123" t="s">
        <v>10054</v>
      </c>
      <c r="C809" s="123" t="s">
        <v>10055</v>
      </c>
      <c r="D809" s="124" t="str">
        <f t="shared" si="13"/>
        <v>IOCUSDT</v>
      </c>
      <c r="E809" s="125" t="e">
        <f ca="1">VLOOKUP(D809,'Курсы Бинанса'!B:C,2,FALSE)</f>
        <v>#N/A</v>
      </c>
    </row>
    <row r="810" spans="1:5">
      <c r="A810" s="121">
        <v>808</v>
      </c>
      <c r="B810" s="123" t="s">
        <v>10056</v>
      </c>
      <c r="C810" s="123" t="s">
        <v>10057</v>
      </c>
      <c r="D810" s="124" t="str">
        <f t="shared" si="13"/>
        <v>ENQUSDT</v>
      </c>
      <c r="E810" s="125" t="e">
        <f ca="1">VLOOKUP(D810,'Курсы Бинанса'!B:C,2,FALSE)</f>
        <v>#N/A</v>
      </c>
    </row>
    <row r="811" spans="1:5">
      <c r="A811" s="121">
        <v>809</v>
      </c>
      <c r="B811" s="123" t="s">
        <v>10058</v>
      </c>
      <c r="C811" s="123" t="s">
        <v>10059</v>
      </c>
      <c r="D811" s="124" t="str">
        <f t="shared" si="13"/>
        <v>LAUSDT</v>
      </c>
      <c r="E811" s="125" t="e">
        <f ca="1">VLOOKUP(D811,'Курсы Бинанса'!B:C,2,FALSE)</f>
        <v>#N/A</v>
      </c>
    </row>
    <row r="812" spans="1:5">
      <c r="A812" s="121">
        <v>810</v>
      </c>
      <c r="B812" s="123" t="s">
        <v>10060</v>
      </c>
      <c r="C812" s="123" t="s">
        <v>10061</v>
      </c>
      <c r="D812" s="124" t="str">
        <f t="shared" si="13"/>
        <v>CRWUSDT</v>
      </c>
      <c r="E812" s="125" t="e">
        <f ca="1">VLOOKUP(D812,'Курсы Бинанса'!B:C,2,FALSE)</f>
        <v>#N/A</v>
      </c>
    </row>
    <row r="813" spans="1:5">
      <c r="A813" s="121">
        <v>811</v>
      </c>
      <c r="B813" s="123" t="s">
        <v>10062</v>
      </c>
      <c r="C813" s="123" t="s">
        <v>10063</v>
      </c>
      <c r="D813" s="124" t="str">
        <f t="shared" si="13"/>
        <v>UBUUSDT</v>
      </c>
      <c r="E813" s="125" t="e">
        <f ca="1">VLOOKUP(D813,'Курсы Бинанса'!B:C,2,FALSE)</f>
        <v>#N/A</v>
      </c>
    </row>
    <row r="814" spans="1:5">
      <c r="A814" s="121">
        <v>812</v>
      </c>
      <c r="B814" s="123" t="s">
        <v>10064</v>
      </c>
      <c r="C814" s="123" t="s">
        <v>10065</v>
      </c>
      <c r="D814" s="124" t="str">
        <f t="shared" si="13"/>
        <v>HXXUSDT</v>
      </c>
      <c r="E814" s="125" t="e">
        <f ca="1">VLOOKUP(D814,'Курсы Бинанса'!B:C,2,FALSE)</f>
        <v>#N/A</v>
      </c>
    </row>
    <row r="815" spans="1:5">
      <c r="A815" s="121">
        <v>813</v>
      </c>
      <c r="B815" s="123" t="s">
        <v>10066</v>
      </c>
      <c r="C815" s="123" t="s">
        <v>10066</v>
      </c>
      <c r="D815" s="124" t="str">
        <f t="shared" si="13"/>
        <v>QASHUSDT</v>
      </c>
      <c r="E815" s="125" t="e">
        <f ca="1">VLOOKUP(D815,'Курсы Бинанса'!B:C,2,FALSE)</f>
        <v>#N/A</v>
      </c>
    </row>
    <row r="816" spans="1:5">
      <c r="A816" s="121">
        <v>814</v>
      </c>
      <c r="B816" s="123" t="s">
        <v>10067</v>
      </c>
      <c r="C816" s="123" t="s">
        <v>10067</v>
      </c>
      <c r="D816" s="124" t="str">
        <f t="shared" si="13"/>
        <v>SIXUSDT</v>
      </c>
      <c r="E816" s="125" t="e">
        <f ca="1">VLOOKUP(D816,'Курсы Бинанса'!B:C,2,FALSE)</f>
        <v>#N/A</v>
      </c>
    </row>
    <row r="817" spans="1:5">
      <c r="A817" s="121">
        <v>815</v>
      </c>
      <c r="B817" s="123" t="s">
        <v>10068</v>
      </c>
      <c r="C817" s="123" t="s">
        <v>10069</v>
      </c>
      <c r="D817" s="124" t="str">
        <f t="shared" si="13"/>
        <v>IRISUSDT</v>
      </c>
      <c r="E817" s="125" t="e">
        <f ca="1">VLOOKUP(D817,'Курсы Бинанса'!B:C,2,FALSE)</f>
        <v>#N/A</v>
      </c>
    </row>
    <row r="818" spans="1:5">
      <c r="A818" s="121">
        <v>816</v>
      </c>
      <c r="B818" s="123" t="s">
        <v>10070</v>
      </c>
      <c r="C818" s="123" t="s">
        <v>10071</v>
      </c>
      <c r="D818" s="124" t="str">
        <f t="shared" si="13"/>
        <v>BCAUSDT</v>
      </c>
      <c r="E818" s="125" t="e">
        <f ca="1">VLOOKUP(D818,'Курсы Бинанса'!B:C,2,FALSE)</f>
        <v>#N/A</v>
      </c>
    </row>
    <row r="819" spans="1:5">
      <c r="A819" s="121">
        <v>817</v>
      </c>
      <c r="B819" s="123" t="s">
        <v>10072</v>
      </c>
      <c r="C819" s="123" t="s">
        <v>10073</v>
      </c>
      <c r="D819" s="124" t="str">
        <f t="shared" si="13"/>
        <v>ZILUSDT</v>
      </c>
      <c r="E819" s="125" t="e">
        <f ca="1">VLOOKUP(D819,'Курсы Бинанса'!B:C,2,FALSE)</f>
        <v>#N/A</v>
      </c>
    </row>
    <row r="820" spans="1:5">
      <c r="A820" s="121">
        <v>818</v>
      </c>
      <c r="B820" s="123" t="s">
        <v>10074</v>
      </c>
      <c r="C820" s="123" t="s">
        <v>10075</v>
      </c>
      <c r="D820" s="124" t="str">
        <f t="shared" si="13"/>
        <v>CBCUSDT</v>
      </c>
      <c r="E820" s="125" t="e">
        <f ca="1">VLOOKUP(D820,'Курсы Бинанса'!B:C,2,FALSE)</f>
        <v>#N/A</v>
      </c>
    </row>
    <row r="821" spans="1:5">
      <c r="A821" s="121">
        <v>819</v>
      </c>
      <c r="B821" s="123" t="s">
        <v>10076</v>
      </c>
      <c r="C821" s="123" t="s">
        <v>10075</v>
      </c>
      <c r="D821" s="124" t="str">
        <f t="shared" si="13"/>
        <v>CBCUSDT</v>
      </c>
      <c r="E821" s="125" t="e">
        <f ca="1">VLOOKUP(D821,'Курсы Бинанса'!B:C,2,FALSE)</f>
        <v>#N/A</v>
      </c>
    </row>
    <row r="822" spans="1:5">
      <c r="A822" s="121">
        <v>820</v>
      </c>
      <c r="B822" s="123" t="s">
        <v>10077</v>
      </c>
      <c r="C822" s="123" t="s">
        <v>10078</v>
      </c>
      <c r="D822" s="124" t="str">
        <f t="shared" si="13"/>
        <v>HEGICUSDT</v>
      </c>
      <c r="E822" s="125" t="e">
        <f ca="1">VLOOKUP(D822,'Курсы Бинанса'!B:C,2,FALSE)</f>
        <v>#N/A</v>
      </c>
    </row>
    <row r="823" spans="1:5">
      <c r="A823" s="121">
        <v>821</v>
      </c>
      <c r="B823" s="123" t="s">
        <v>10079</v>
      </c>
      <c r="C823" s="123" t="s">
        <v>10080</v>
      </c>
      <c r="D823" s="124" t="str">
        <f t="shared" si="13"/>
        <v>ARDXUSDT</v>
      </c>
      <c r="E823" s="125" t="e">
        <f ca="1">VLOOKUP(D823,'Курсы Бинанса'!B:C,2,FALSE)</f>
        <v>#N/A</v>
      </c>
    </row>
    <row r="824" spans="1:5">
      <c r="A824" s="121">
        <v>822</v>
      </c>
      <c r="B824" s="123" t="s">
        <v>10081</v>
      </c>
      <c r="C824" s="123" t="s">
        <v>10082</v>
      </c>
      <c r="D824" s="124" t="str">
        <f t="shared" si="13"/>
        <v>ITCUSDT</v>
      </c>
      <c r="E824" s="125" t="e">
        <f ca="1">VLOOKUP(D824,'Курсы Бинанса'!B:C,2,FALSE)</f>
        <v>#N/A</v>
      </c>
    </row>
    <row r="825" spans="1:5">
      <c r="A825" s="121">
        <v>823</v>
      </c>
      <c r="B825" s="123" t="s">
        <v>10083</v>
      </c>
      <c r="C825" s="123" t="s">
        <v>10084</v>
      </c>
      <c r="D825" s="124" t="str">
        <f t="shared" si="13"/>
        <v>OPCTUSDT</v>
      </c>
      <c r="E825" s="125" t="e">
        <f ca="1">VLOOKUP(D825,'Курсы Бинанса'!B:C,2,FALSE)</f>
        <v>#N/A</v>
      </c>
    </row>
    <row r="826" spans="1:5">
      <c r="A826" s="121">
        <v>824</v>
      </c>
      <c r="B826" s="123" t="s">
        <v>10085</v>
      </c>
      <c r="C826" s="123" t="s">
        <v>10086</v>
      </c>
      <c r="D826" s="124" t="str">
        <f t="shared" si="13"/>
        <v>SPAZUSDT</v>
      </c>
      <c r="E826" s="125" t="e">
        <f ca="1">VLOOKUP(D826,'Курсы Бинанса'!B:C,2,FALSE)</f>
        <v>#N/A</v>
      </c>
    </row>
    <row r="827" spans="1:5">
      <c r="A827" s="121">
        <v>825</v>
      </c>
      <c r="B827" s="123" t="s">
        <v>10087</v>
      </c>
      <c r="C827" s="123" t="s">
        <v>10088</v>
      </c>
      <c r="D827" s="124" t="str">
        <f t="shared" si="13"/>
        <v>CFiUSDT</v>
      </c>
      <c r="E827" s="125" t="e">
        <f ca="1">VLOOKUP(D827,'Курсы Бинанса'!B:C,2,FALSE)</f>
        <v>#N/A</v>
      </c>
    </row>
    <row r="828" spans="1:5">
      <c r="A828" s="121">
        <v>826</v>
      </c>
      <c r="B828" s="123" t="s">
        <v>10089</v>
      </c>
      <c r="C828" s="123" t="s">
        <v>10090</v>
      </c>
      <c r="D828" s="124" t="str">
        <f t="shared" si="13"/>
        <v>GENUSDT</v>
      </c>
      <c r="E828" s="125" t="e">
        <f ca="1">VLOOKUP(D828,'Курсы Бинанса'!B:C,2,FALSE)</f>
        <v>#N/A</v>
      </c>
    </row>
    <row r="829" spans="1:5">
      <c r="A829" s="121">
        <v>827</v>
      </c>
      <c r="B829" s="123" t="s">
        <v>10091</v>
      </c>
      <c r="C829" s="123" t="s">
        <v>10092</v>
      </c>
      <c r="D829" s="124" t="str">
        <f t="shared" si="13"/>
        <v>CSPRUSDT</v>
      </c>
      <c r="E829" s="125" t="e">
        <f ca="1">VLOOKUP(D829,'Курсы Бинанса'!B:C,2,FALSE)</f>
        <v>#N/A</v>
      </c>
    </row>
    <row r="830" spans="1:5">
      <c r="A830" s="121">
        <v>828</v>
      </c>
      <c r="B830" s="123" t="s">
        <v>10093</v>
      </c>
      <c r="C830" s="123" t="s">
        <v>10094</v>
      </c>
      <c r="D830" s="124" t="str">
        <f t="shared" si="13"/>
        <v>MONKUSDT</v>
      </c>
      <c r="E830" s="125" t="e">
        <f ca="1">VLOOKUP(D830,'Курсы Бинанса'!B:C,2,FALSE)</f>
        <v>#N/A</v>
      </c>
    </row>
    <row r="831" spans="1:5">
      <c r="A831" s="121">
        <v>829</v>
      </c>
      <c r="B831" s="123" t="s">
        <v>10095</v>
      </c>
      <c r="C831" s="123" t="s">
        <v>10096</v>
      </c>
      <c r="D831" s="124" t="str">
        <f t="shared" si="13"/>
        <v>DPRUSDT</v>
      </c>
      <c r="E831" s="125" t="e">
        <f ca="1">VLOOKUP(D831,'Курсы Бинанса'!B:C,2,FALSE)</f>
        <v>#N/A</v>
      </c>
    </row>
    <row r="832" spans="1:5">
      <c r="A832" s="121">
        <v>830</v>
      </c>
      <c r="B832" s="123" t="s">
        <v>10097</v>
      </c>
      <c r="C832" s="123" t="s">
        <v>10098</v>
      </c>
      <c r="D832" s="124" t="str">
        <f t="shared" si="13"/>
        <v>SCPUSDT</v>
      </c>
      <c r="E832" s="125" t="e">
        <f ca="1">VLOOKUP(D832,'Курсы Бинанса'!B:C,2,FALSE)</f>
        <v>#N/A</v>
      </c>
    </row>
    <row r="833" spans="1:5">
      <c r="A833" s="121">
        <v>831</v>
      </c>
      <c r="B833" s="123" t="s">
        <v>10099</v>
      </c>
      <c r="C833" s="123" t="s">
        <v>10100</v>
      </c>
      <c r="D833" s="124" t="str">
        <f t="shared" si="13"/>
        <v>ETHOUSDT</v>
      </c>
      <c r="E833" s="125" t="e">
        <f ca="1">VLOOKUP(D833,'Курсы Бинанса'!B:C,2,FALSE)</f>
        <v>#N/A</v>
      </c>
    </row>
    <row r="834" spans="1:5">
      <c r="A834" s="121">
        <v>832</v>
      </c>
      <c r="B834" s="123" t="s">
        <v>10101</v>
      </c>
      <c r="C834" s="123" t="s">
        <v>10102</v>
      </c>
      <c r="D834" s="124" t="str">
        <f t="shared" si="13"/>
        <v>XLTUSDT</v>
      </c>
      <c r="E834" s="125" t="e">
        <f ca="1">VLOOKUP(D834,'Курсы Бинанса'!B:C,2,FALSE)</f>
        <v>#N/A</v>
      </c>
    </row>
    <row r="835" spans="1:5">
      <c r="A835" s="121">
        <v>833</v>
      </c>
      <c r="B835" s="123" t="s">
        <v>10103</v>
      </c>
      <c r="C835" s="123" t="s">
        <v>10104</v>
      </c>
      <c r="D835" s="124" t="str">
        <f t="shared" si="13"/>
        <v>PLOTUSDT</v>
      </c>
      <c r="E835" s="125" t="e">
        <f ca="1">VLOOKUP(D835,'Курсы Бинанса'!B:C,2,FALSE)</f>
        <v>#N/A</v>
      </c>
    </row>
    <row r="836" spans="1:5">
      <c r="A836" s="121">
        <v>834</v>
      </c>
      <c r="B836" s="123" t="s">
        <v>10105</v>
      </c>
      <c r="C836" s="123" t="s">
        <v>10106</v>
      </c>
      <c r="D836" s="124" t="str">
        <f t="shared" si="13"/>
        <v>ORBSUSDT</v>
      </c>
      <c r="E836" s="125" t="e">
        <f ca="1">VLOOKUP(D836,'Курсы Бинанса'!B:C,2,FALSE)</f>
        <v>#N/A</v>
      </c>
    </row>
    <row r="837" spans="1:5">
      <c r="A837" s="121">
        <v>835</v>
      </c>
      <c r="B837" s="123" t="s">
        <v>10107</v>
      </c>
      <c r="C837" s="123" t="s">
        <v>10108</v>
      </c>
      <c r="D837" s="124" t="str">
        <f t="shared" si="13"/>
        <v>TAPUSDT</v>
      </c>
      <c r="E837" s="125" t="e">
        <f ca="1">VLOOKUP(D837,'Курсы Бинанса'!B:C,2,FALSE)</f>
        <v>#N/A</v>
      </c>
    </row>
    <row r="838" spans="1:5">
      <c r="A838" s="121">
        <v>836</v>
      </c>
      <c r="B838" s="123" t="s">
        <v>10109</v>
      </c>
      <c r="C838" s="123" t="s">
        <v>10110</v>
      </c>
      <c r="D838" s="124" t="str">
        <f t="shared" si="13"/>
        <v>LOOMUSDT</v>
      </c>
      <c r="E838" s="125" t="e">
        <f ca="1">VLOOKUP(D838,'Курсы Бинанса'!B:C,2,FALSE)</f>
        <v>#N/A</v>
      </c>
    </row>
    <row r="839" spans="1:5">
      <c r="A839" s="121">
        <v>837</v>
      </c>
      <c r="B839" s="123" t="s">
        <v>10111</v>
      </c>
      <c r="C839" s="123" t="s">
        <v>10112</v>
      </c>
      <c r="D839" s="124" t="str">
        <f t="shared" si="13"/>
        <v>SUMOUSDT</v>
      </c>
      <c r="E839" s="125" t="e">
        <f ca="1">VLOOKUP(D839,'Курсы Бинанса'!B:C,2,FALSE)</f>
        <v>#N/A</v>
      </c>
    </row>
    <row r="840" spans="1:5">
      <c r="A840" s="121">
        <v>838</v>
      </c>
      <c r="B840" s="123" t="s">
        <v>10113</v>
      </c>
      <c r="C840" s="123" t="s">
        <v>10114</v>
      </c>
      <c r="D840" s="124" t="str">
        <f t="shared" si="13"/>
        <v>EXMUSDT</v>
      </c>
      <c r="E840" s="125" t="e">
        <f ca="1">VLOOKUP(D840,'Курсы Бинанса'!B:C,2,FALSE)</f>
        <v>#N/A</v>
      </c>
    </row>
    <row r="841" spans="1:5">
      <c r="A841" s="121">
        <v>839</v>
      </c>
      <c r="B841" s="123" t="s">
        <v>10115</v>
      </c>
      <c r="C841" s="123" t="s">
        <v>10116</v>
      </c>
      <c r="D841" s="124" t="str">
        <f t="shared" si="13"/>
        <v>SWMUSDT</v>
      </c>
      <c r="E841" s="125" t="e">
        <f ca="1">VLOOKUP(D841,'Курсы Бинанса'!B:C,2,FALSE)</f>
        <v>#N/A</v>
      </c>
    </row>
    <row r="842" spans="1:5">
      <c r="A842" s="121">
        <v>840</v>
      </c>
      <c r="B842" s="123" t="s">
        <v>10117</v>
      </c>
      <c r="C842" s="123" t="s">
        <v>10118</v>
      </c>
      <c r="D842" s="124" t="str">
        <f t="shared" si="13"/>
        <v>WOMUSDT</v>
      </c>
      <c r="E842" s="125" t="e">
        <f ca="1">VLOOKUP(D842,'Курсы Бинанса'!B:C,2,FALSE)</f>
        <v>#N/A</v>
      </c>
    </row>
    <row r="843" spans="1:5">
      <c r="A843" s="121">
        <v>841</v>
      </c>
      <c r="B843" s="123" t="s">
        <v>10119</v>
      </c>
      <c r="C843" s="123" t="s">
        <v>10120</v>
      </c>
      <c r="D843" s="124" t="str">
        <f t="shared" si="13"/>
        <v>HTDFUSDT</v>
      </c>
      <c r="E843" s="125" t="e">
        <f ca="1">VLOOKUP(D843,'Курсы Бинанса'!B:C,2,FALSE)</f>
        <v>#N/A</v>
      </c>
    </row>
    <row r="844" spans="1:5">
      <c r="A844" s="121">
        <v>842</v>
      </c>
      <c r="B844" s="123" t="s">
        <v>10121</v>
      </c>
      <c r="C844" s="123" t="s">
        <v>10122</v>
      </c>
      <c r="D844" s="124" t="str">
        <f t="shared" si="13"/>
        <v>FLTYUSDT</v>
      </c>
      <c r="E844" s="125" t="e">
        <f ca="1">VLOOKUP(D844,'Курсы Бинанса'!B:C,2,FALSE)</f>
        <v>#N/A</v>
      </c>
    </row>
    <row r="845" spans="1:5">
      <c r="A845" s="121">
        <v>843</v>
      </c>
      <c r="B845" s="123" t="s">
        <v>10123</v>
      </c>
      <c r="C845" s="123" t="s">
        <v>10124</v>
      </c>
      <c r="D845" s="124" t="str">
        <f t="shared" si="13"/>
        <v>BSCSUSDT</v>
      </c>
      <c r="E845" s="125" t="e">
        <f ca="1">VLOOKUP(D845,'Курсы Бинанса'!B:C,2,FALSE)</f>
        <v>#N/A</v>
      </c>
    </row>
    <row r="846" spans="1:5">
      <c r="A846" s="121">
        <v>844</v>
      </c>
      <c r="B846" s="123" t="s">
        <v>10125</v>
      </c>
      <c r="C846" s="123" t="s">
        <v>10126</v>
      </c>
      <c r="D846" s="124" t="str">
        <f t="shared" si="13"/>
        <v>SNTUSDT</v>
      </c>
      <c r="E846" s="125" t="e">
        <f ca="1">VLOOKUP(D846,'Курсы Бинанса'!B:C,2,FALSE)</f>
        <v>#N/A</v>
      </c>
    </row>
    <row r="847" spans="1:5">
      <c r="A847" s="121">
        <v>845</v>
      </c>
      <c r="B847" s="123" t="s">
        <v>10127</v>
      </c>
      <c r="C847" s="123" t="s">
        <v>10128</v>
      </c>
      <c r="D847" s="124" t="str">
        <f t="shared" si="13"/>
        <v>PONDUSDT</v>
      </c>
      <c r="E847" s="125" t="e">
        <f ca="1">VLOOKUP(D847,'Курсы Бинанса'!B:C,2,FALSE)</f>
        <v>#N/A</v>
      </c>
    </row>
    <row r="848" spans="1:5">
      <c r="A848" s="121">
        <v>846</v>
      </c>
      <c r="B848" s="123" t="s">
        <v>10129</v>
      </c>
      <c r="C848" s="123" t="s">
        <v>10130</v>
      </c>
      <c r="D848" s="124" t="str">
        <f t="shared" si="13"/>
        <v>ESDUSDT</v>
      </c>
      <c r="E848" s="125" t="e">
        <f ca="1">VLOOKUP(D848,'Курсы Бинанса'!B:C,2,FALSE)</f>
        <v>#N/A</v>
      </c>
    </row>
    <row r="849" spans="1:5">
      <c r="A849" s="121">
        <v>847</v>
      </c>
      <c r="B849" s="123" t="s">
        <v>10131</v>
      </c>
      <c r="C849" s="123" t="s">
        <v>10132</v>
      </c>
      <c r="D849" s="124" t="str">
        <f t="shared" si="13"/>
        <v>DERIUSDT</v>
      </c>
      <c r="E849" s="125" t="e">
        <f ca="1">VLOOKUP(D849,'Курсы Бинанса'!B:C,2,FALSE)</f>
        <v>#N/A</v>
      </c>
    </row>
    <row r="850" spans="1:5">
      <c r="A850" s="121">
        <v>848</v>
      </c>
      <c r="B850" s="123" t="s">
        <v>10133</v>
      </c>
      <c r="C850" s="123" t="s">
        <v>10134</v>
      </c>
      <c r="D850" s="124" t="str">
        <f t="shared" si="13"/>
        <v>BONDLYUSDT</v>
      </c>
      <c r="E850" s="125" t="e">
        <f ca="1">VLOOKUP(D850,'Курсы Бинанса'!B:C,2,FALSE)</f>
        <v>#N/A</v>
      </c>
    </row>
    <row r="851" spans="1:5">
      <c r="A851" s="121">
        <v>849</v>
      </c>
      <c r="B851" s="123" t="s">
        <v>10135</v>
      </c>
      <c r="C851" s="123" t="s">
        <v>10136</v>
      </c>
      <c r="D851" s="124" t="str">
        <f t="shared" si="13"/>
        <v>NPXUSDT</v>
      </c>
      <c r="E851" s="125" t="e">
        <f ca="1">VLOOKUP(D851,'Курсы Бинанса'!B:C,2,FALSE)</f>
        <v>#N/A</v>
      </c>
    </row>
    <row r="852" spans="1:5">
      <c r="A852" s="121">
        <v>850</v>
      </c>
      <c r="B852" s="123" t="s">
        <v>10137</v>
      </c>
      <c r="C852" s="123" t="s">
        <v>10138</v>
      </c>
      <c r="D852" s="124" t="str">
        <f t="shared" si="13"/>
        <v>PASCUSDT</v>
      </c>
      <c r="E852" s="125" t="e">
        <f ca="1">VLOOKUP(D852,'Курсы Бинанса'!B:C,2,FALSE)</f>
        <v>#N/A</v>
      </c>
    </row>
    <row r="853" spans="1:5">
      <c r="A853" s="121">
        <v>851</v>
      </c>
      <c r="B853" s="123" t="s">
        <v>10139</v>
      </c>
      <c r="C853" s="123" t="s">
        <v>10140</v>
      </c>
      <c r="D853" s="124" t="str">
        <f t="shared" si="13"/>
        <v>ROYAUSDT</v>
      </c>
      <c r="E853" s="125" t="e">
        <f ca="1">VLOOKUP(D853,'Курсы Бинанса'!B:C,2,FALSE)</f>
        <v>#N/A</v>
      </c>
    </row>
    <row r="854" spans="1:5">
      <c r="A854" s="121">
        <v>852</v>
      </c>
      <c r="B854" s="123" t="s">
        <v>10141</v>
      </c>
      <c r="C854" s="123" t="s">
        <v>10142</v>
      </c>
      <c r="D854" s="124" t="str">
        <f t="shared" si="13"/>
        <v>N8VUSDT</v>
      </c>
      <c r="E854" s="125" t="e">
        <f ca="1">VLOOKUP(D854,'Курсы Бинанса'!B:C,2,FALSE)</f>
        <v>#N/A</v>
      </c>
    </row>
    <row r="855" spans="1:5">
      <c r="A855" s="121">
        <v>853</v>
      </c>
      <c r="B855" s="123" t="s">
        <v>10143</v>
      </c>
      <c r="C855" s="123" t="s">
        <v>10144</v>
      </c>
      <c r="D855" s="124" t="str">
        <f t="shared" si="13"/>
        <v>SPDUSDT</v>
      </c>
      <c r="E855" s="125" t="e">
        <f ca="1">VLOOKUP(D855,'Курсы Бинанса'!B:C,2,FALSE)</f>
        <v>#N/A</v>
      </c>
    </row>
    <row r="856" spans="1:5">
      <c r="A856" s="121">
        <v>854</v>
      </c>
      <c r="B856" s="123" t="s">
        <v>10145</v>
      </c>
      <c r="C856" s="123" t="s">
        <v>10146</v>
      </c>
      <c r="D856" s="124" t="str">
        <f t="shared" si="13"/>
        <v>GIGUSDT</v>
      </c>
      <c r="E856" s="125" t="e">
        <f ca="1">VLOOKUP(D856,'Курсы Бинанса'!B:C,2,FALSE)</f>
        <v>#N/A</v>
      </c>
    </row>
    <row r="857" spans="1:5">
      <c r="A857" s="121">
        <v>855</v>
      </c>
      <c r="B857" s="123" t="s">
        <v>10147</v>
      </c>
      <c r="C857" s="123" t="s">
        <v>10148</v>
      </c>
      <c r="D857" s="124" t="str">
        <f t="shared" si="13"/>
        <v>TRXUSDT</v>
      </c>
      <c r="E857" s="125" t="e">
        <f ca="1">VLOOKUP(D857,'Курсы Бинанса'!B:C,2,FALSE)</f>
        <v>#N/A</v>
      </c>
    </row>
    <row r="858" spans="1:5">
      <c r="A858" s="121">
        <v>856</v>
      </c>
      <c r="B858" s="123" t="s">
        <v>10149</v>
      </c>
      <c r="C858" s="123" t="s">
        <v>10150</v>
      </c>
      <c r="D858" s="124" t="str">
        <f t="shared" si="13"/>
        <v>YOUCUSDT</v>
      </c>
      <c r="E858" s="125" t="e">
        <f ca="1">VLOOKUP(D858,'Курсы Бинанса'!B:C,2,FALSE)</f>
        <v>#N/A</v>
      </c>
    </row>
    <row r="859" spans="1:5">
      <c r="A859" s="121">
        <v>857</v>
      </c>
      <c r="B859" s="123" t="s">
        <v>10151</v>
      </c>
      <c r="C859" s="123" t="s">
        <v>10152</v>
      </c>
      <c r="D859" s="124" t="str">
        <f t="shared" si="13"/>
        <v>FATUSDT</v>
      </c>
      <c r="E859" s="125" t="e">
        <f ca="1">VLOOKUP(D859,'Курсы Бинанса'!B:C,2,FALSE)</f>
        <v>#N/A</v>
      </c>
    </row>
    <row r="860" spans="1:5">
      <c r="A860" s="121">
        <v>858</v>
      </c>
      <c r="B860" s="123" t="s">
        <v>10153</v>
      </c>
      <c r="C860" s="123" t="s">
        <v>10154</v>
      </c>
      <c r="D860" s="124" t="str">
        <f t="shared" si="13"/>
        <v>FSWUSDT</v>
      </c>
      <c r="E860" s="125" t="e">
        <f ca="1">VLOOKUP(D860,'Курсы Бинанса'!B:C,2,FALSE)</f>
        <v>#N/A</v>
      </c>
    </row>
    <row r="861" spans="1:5">
      <c r="A861" s="121">
        <v>859</v>
      </c>
      <c r="B861" s="123" t="s">
        <v>10155</v>
      </c>
      <c r="C861" s="123" t="s">
        <v>10156</v>
      </c>
      <c r="D861" s="124" t="str">
        <f t="shared" si="13"/>
        <v>LUXUSDT</v>
      </c>
      <c r="E861" s="125" t="e">
        <f ca="1">VLOOKUP(D861,'Курсы Бинанса'!B:C,2,FALSE)</f>
        <v>#N/A</v>
      </c>
    </row>
    <row r="862" spans="1:5">
      <c r="A862" s="121">
        <v>860</v>
      </c>
      <c r="B862" s="123" t="s">
        <v>10157</v>
      </c>
      <c r="C862" s="123" t="s">
        <v>10158</v>
      </c>
      <c r="D862" s="124" t="str">
        <f t="shared" si="13"/>
        <v>BIXUSDT</v>
      </c>
      <c r="E862" s="125" t="e">
        <f ca="1">VLOOKUP(D862,'Курсы Бинанса'!B:C,2,FALSE)</f>
        <v>#N/A</v>
      </c>
    </row>
    <row r="863" spans="1:5">
      <c r="A863" s="121">
        <v>861</v>
      </c>
      <c r="B863" s="123" t="s">
        <v>10159</v>
      </c>
      <c r="C863" s="123" t="s">
        <v>10159</v>
      </c>
      <c r="D863" s="124" t="str">
        <f t="shared" si="13"/>
        <v>REPOUSDT</v>
      </c>
      <c r="E863" s="125" t="e">
        <f ca="1">VLOOKUP(D863,'Курсы Бинанса'!B:C,2,FALSE)</f>
        <v>#N/A</v>
      </c>
    </row>
    <row r="864" spans="1:5">
      <c r="A864" s="121">
        <v>862</v>
      </c>
      <c r="B864" s="123" t="s">
        <v>10160</v>
      </c>
      <c r="C864" s="123" t="s">
        <v>10161</v>
      </c>
      <c r="D864" s="124" t="str">
        <f t="shared" si="13"/>
        <v>AHTUSDT</v>
      </c>
      <c r="E864" s="125" t="e">
        <f ca="1">VLOOKUP(D864,'Курсы Бинанса'!B:C,2,FALSE)</f>
        <v>#N/A</v>
      </c>
    </row>
    <row r="865" spans="1:5">
      <c r="A865" s="121">
        <v>863</v>
      </c>
      <c r="B865" s="123" t="s">
        <v>10162</v>
      </c>
      <c r="C865" s="123" t="s">
        <v>10163</v>
      </c>
      <c r="D865" s="124" t="str">
        <f t="shared" si="13"/>
        <v>CPAYUSDT</v>
      </c>
      <c r="E865" s="125" t="e">
        <f ca="1">VLOOKUP(D865,'Курсы Бинанса'!B:C,2,FALSE)</f>
        <v>#N/A</v>
      </c>
    </row>
    <row r="866" spans="1:5">
      <c r="A866" s="121">
        <v>864</v>
      </c>
      <c r="B866" s="123" t="s">
        <v>10164</v>
      </c>
      <c r="C866" s="123" t="s">
        <v>10165</v>
      </c>
      <c r="D866" s="124" t="str">
        <f t="shared" ref="D866:D929" si="14">CONCATENATE(C866,"USDT")</f>
        <v>DLTUSDT</v>
      </c>
      <c r="E866" s="125" t="e">
        <f ca="1">VLOOKUP(D866,'Курсы Бинанса'!B:C,2,FALSE)</f>
        <v>#N/A</v>
      </c>
    </row>
    <row r="867" spans="1:5">
      <c r="A867" s="121">
        <v>865</v>
      </c>
      <c r="B867" s="123" t="s">
        <v>10166</v>
      </c>
      <c r="C867" s="123" t="s">
        <v>10167</v>
      </c>
      <c r="D867" s="124" t="str">
        <f t="shared" si="14"/>
        <v>CHIUSDT</v>
      </c>
      <c r="E867" s="125" t="e">
        <f ca="1">VLOOKUP(D867,'Курсы Бинанса'!B:C,2,FALSE)</f>
        <v>#N/A</v>
      </c>
    </row>
    <row r="868" spans="1:5">
      <c r="A868" s="121">
        <v>866</v>
      </c>
      <c r="B868" s="123" t="s">
        <v>10168</v>
      </c>
      <c r="C868" s="123" t="s">
        <v>10167</v>
      </c>
      <c r="D868" s="124" t="str">
        <f t="shared" si="14"/>
        <v>CHIUSDT</v>
      </c>
      <c r="E868" s="125" t="e">
        <f ca="1">VLOOKUP(D868,'Курсы Бинанса'!B:C,2,FALSE)</f>
        <v>#N/A</v>
      </c>
    </row>
    <row r="869" spans="1:5">
      <c r="A869" s="121">
        <v>867</v>
      </c>
      <c r="B869" s="123" t="s">
        <v>10169</v>
      </c>
      <c r="C869" s="123" t="s">
        <v>10170</v>
      </c>
      <c r="D869" s="124" t="str">
        <f t="shared" si="14"/>
        <v>TRUMPUSDT</v>
      </c>
      <c r="E869" s="125" t="e">
        <f ca="1">VLOOKUP(D869,'Курсы Бинанса'!B:C,2,FALSE)</f>
        <v>#N/A</v>
      </c>
    </row>
    <row r="870" spans="1:5">
      <c r="A870" s="121">
        <v>868</v>
      </c>
      <c r="B870" s="123" t="s">
        <v>10171</v>
      </c>
      <c r="C870" s="123" t="s">
        <v>10172</v>
      </c>
      <c r="D870" s="124" t="str">
        <f t="shared" si="14"/>
        <v>PERLUSDT</v>
      </c>
      <c r="E870" s="125" t="e">
        <f ca="1">VLOOKUP(D870,'Курсы Бинанса'!B:C,2,FALSE)</f>
        <v>#N/A</v>
      </c>
    </row>
    <row r="871" spans="1:5">
      <c r="A871" s="121">
        <v>869</v>
      </c>
      <c r="B871" s="123" t="s">
        <v>10173</v>
      </c>
      <c r="C871" s="123" t="s">
        <v>10174</v>
      </c>
      <c r="D871" s="124" t="str">
        <f t="shared" si="14"/>
        <v>HUSHUSDT</v>
      </c>
      <c r="E871" s="125" t="e">
        <f ca="1">VLOOKUP(D871,'Курсы Бинанса'!B:C,2,FALSE)</f>
        <v>#N/A</v>
      </c>
    </row>
    <row r="872" spans="1:5">
      <c r="A872" s="121">
        <v>870</v>
      </c>
      <c r="B872" s="123" t="s">
        <v>10175</v>
      </c>
      <c r="C872" s="123" t="s">
        <v>10176</v>
      </c>
      <c r="D872" s="124" t="str">
        <f t="shared" si="14"/>
        <v>CUREUSDT</v>
      </c>
      <c r="E872" s="125" t="e">
        <f ca="1">VLOOKUP(D872,'Курсы Бинанса'!B:C,2,FALSE)</f>
        <v>#N/A</v>
      </c>
    </row>
    <row r="873" spans="1:5">
      <c r="A873" s="121">
        <v>871</v>
      </c>
      <c r="B873" s="123" t="s">
        <v>10177</v>
      </c>
      <c r="C873" s="123" t="s">
        <v>10178</v>
      </c>
      <c r="D873" s="124" t="str">
        <f t="shared" si="14"/>
        <v>PRAREUSDT</v>
      </c>
      <c r="E873" s="125" t="e">
        <f ca="1">VLOOKUP(D873,'Курсы Бинанса'!B:C,2,FALSE)</f>
        <v>#N/A</v>
      </c>
    </row>
    <row r="874" spans="1:5">
      <c r="A874" s="121">
        <v>872</v>
      </c>
      <c r="B874" s="123" t="s">
        <v>10179</v>
      </c>
      <c r="C874" s="123" t="s">
        <v>10180</v>
      </c>
      <c r="D874" s="124" t="str">
        <f t="shared" si="14"/>
        <v>LUAUSDT</v>
      </c>
      <c r="E874" s="125" t="e">
        <f ca="1">VLOOKUP(D874,'Курсы Бинанса'!B:C,2,FALSE)</f>
        <v>#N/A</v>
      </c>
    </row>
    <row r="875" spans="1:5">
      <c r="A875" s="121">
        <v>873</v>
      </c>
      <c r="B875" s="123" t="s">
        <v>10181</v>
      </c>
      <c r="C875" s="123" t="s">
        <v>10182</v>
      </c>
      <c r="D875" s="124" t="str">
        <f t="shared" si="14"/>
        <v>ISLUSDT</v>
      </c>
      <c r="E875" s="125" t="e">
        <f ca="1">VLOOKUP(D875,'Курсы Бинанса'!B:C,2,FALSE)</f>
        <v>#N/A</v>
      </c>
    </row>
    <row r="876" spans="1:5">
      <c r="A876" s="121">
        <v>874</v>
      </c>
      <c r="B876" s="123" t="s">
        <v>10183</v>
      </c>
      <c r="C876" s="123" t="s">
        <v>10184</v>
      </c>
      <c r="D876" s="124" t="str">
        <f t="shared" si="14"/>
        <v>IOPUSDT</v>
      </c>
      <c r="E876" s="125" t="e">
        <f ca="1">VLOOKUP(D876,'Курсы Бинанса'!B:C,2,FALSE)</f>
        <v>#N/A</v>
      </c>
    </row>
    <row r="877" spans="1:5">
      <c r="A877" s="121">
        <v>875</v>
      </c>
      <c r="B877" s="123" t="s">
        <v>10185</v>
      </c>
      <c r="C877" s="123" t="s">
        <v>10186</v>
      </c>
      <c r="D877" s="124" t="str">
        <f t="shared" si="14"/>
        <v>RAZORUSDT</v>
      </c>
      <c r="E877" s="125" t="e">
        <f ca="1">VLOOKUP(D877,'Курсы Бинанса'!B:C,2,FALSE)</f>
        <v>#N/A</v>
      </c>
    </row>
    <row r="878" spans="1:5">
      <c r="A878" s="121">
        <v>876</v>
      </c>
      <c r="B878" s="123" t="s">
        <v>10187</v>
      </c>
      <c r="C878" s="123" t="s">
        <v>14256</v>
      </c>
      <c r="D878" s="124" t="str">
        <f t="shared" si="14"/>
        <v>ALNUSDT</v>
      </c>
      <c r="E878" s="125" t="e">
        <f ca="1">VLOOKUP(D878,'Курсы Бинанса'!B:C,2,FALSE)</f>
        <v>#N/A</v>
      </c>
    </row>
    <row r="879" spans="1:5">
      <c r="A879" s="121">
        <v>877</v>
      </c>
      <c r="B879" s="123" t="s">
        <v>14257</v>
      </c>
      <c r="C879" s="123" t="s">
        <v>14258</v>
      </c>
      <c r="D879" s="124" t="str">
        <f t="shared" si="14"/>
        <v>LOBSUSDT</v>
      </c>
      <c r="E879" s="125" t="e">
        <f ca="1">VLOOKUP(D879,'Курсы Бинанса'!B:C,2,FALSE)</f>
        <v>#N/A</v>
      </c>
    </row>
    <row r="880" spans="1:5">
      <c r="A880" s="121">
        <v>878</v>
      </c>
      <c r="B880" s="123" t="s">
        <v>14259</v>
      </c>
      <c r="C880" s="123" t="s">
        <v>14260</v>
      </c>
      <c r="D880" s="124" t="str">
        <f t="shared" si="14"/>
        <v>MITHUSDT</v>
      </c>
      <c r="E880" s="125" t="e">
        <f ca="1">VLOOKUP(D880,'Курсы Бинанса'!B:C,2,FALSE)</f>
        <v>#N/A</v>
      </c>
    </row>
    <row r="881" spans="1:5">
      <c r="A881" s="121">
        <v>879</v>
      </c>
      <c r="B881" s="123" t="s">
        <v>14261</v>
      </c>
      <c r="C881" s="123" t="s">
        <v>14262</v>
      </c>
      <c r="D881" s="124" t="str">
        <f t="shared" si="14"/>
        <v>BCPUSDT</v>
      </c>
      <c r="E881" s="125" t="e">
        <f ca="1">VLOOKUP(D881,'Курсы Бинанса'!B:C,2,FALSE)</f>
        <v>#N/A</v>
      </c>
    </row>
    <row r="882" spans="1:5">
      <c r="A882" s="121">
        <v>880</v>
      </c>
      <c r="B882" s="123" t="s">
        <v>14263</v>
      </c>
      <c r="C882" s="123" t="s">
        <v>14264</v>
      </c>
      <c r="D882" s="124" t="str">
        <f t="shared" si="14"/>
        <v>EFLUSDT</v>
      </c>
      <c r="E882" s="125" t="e">
        <f ca="1">VLOOKUP(D882,'Курсы Бинанса'!B:C,2,FALSE)</f>
        <v>#N/A</v>
      </c>
    </row>
    <row r="883" spans="1:5">
      <c r="A883" s="121">
        <v>881</v>
      </c>
      <c r="B883" s="123" t="s">
        <v>14265</v>
      </c>
      <c r="C883" s="123" t="s">
        <v>14266</v>
      </c>
      <c r="D883" s="124" t="str">
        <f t="shared" si="14"/>
        <v>FUSEUSDT</v>
      </c>
      <c r="E883" s="125" t="e">
        <f ca="1">VLOOKUP(D883,'Курсы Бинанса'!B:C,2,FALSE)</f>
        <v>#N/A</v>
      </c>
    </row>
    <row r="884" spans="1:5">
      <c r="A884" s="121">
        <v>882</v>
      </c>
      <c r="B884" s="123" t="s">
        <v>14267</v>
      </c>
      <c r="C884" s="123" t="s">
        <v>14268</v>
      </c>
      <c r="D884" s="124" t="str">
        <f t="shared" si="14"/>
        <v>ORAOUSDT</v>
      </c>
      <c r="E884" s="125" t="e">
        <f ca="1">VLOOKUP(D884,'Курсы Бинанса'!B:C,2,FALSE)</f>
        <v>#N/A</v>
      </c>
    </row>
    <row r="885" spans="1:5">
      <c r="A885" s="121">
        <v>883</v>
      </c>
      <c r="B885" s="123" t="s">
        <v>14269</v>
      </c>
      <c r="C885" s="123" t="s">
        <v>14270</v>
      </c>
      <c r="D885" s="124" t="str">
        <f t="shared" si="14"/>
        <v>APPCUSDT</v>
      </c>
      <c r="E885" s="125" t="e">
        <f ca="1">VLOOKUP(D885,'Курсы Бинанса'!B:C,2,FALSE)</f>
        <v>#N/A</v>
      </c>
    </row>
    <row r="886" spans="1:5">
      <c r="A886" s="121">
        <v>884</v>
      </c>
      <c r="B886" s="123" t="s">
        <v>14271</v>
      </c>
      <c r="C886" s="123" t="s">
        <v>14272</v>
      </c>
      <c r="D886" s="124" t="str">
        <f t="shared" si="14"/>
        <v>REQUSDT</v>
      </c>
      <c r="E886" s="125" t="e">
        <f ca="1">VLOOKUP(D886,'Курсы Бинанса'!B:C,2,FALSE)</f>
        <v>#N/A</v>
      </c>
    </row>
    <row r="887" spans="1:5">
      <c r="A887" s="121">
        <v>885</v>
      </c>
      <c r="B887" s="123" t="s">
        <v>14273</v>
      </c>
      <c r="C887" s="123" t="s">
        <v>14274</v>
      </c>
      <c r="D887" s="124" t="str">
        <f t="shared" si="14"/>
        <v>SNBUSDT</v>
      </c>
      <c r="E887" s="125" t="e">
        <f ca="1">VLOOKUP(D887,'Курсы Бинанса'!B:C,2,FALSE)</f>
        <v>#N/A</v>
      </c>
    </row>
    <row r="888" spans="1:5">
      <c r="A888" s="121">
        <v>886</v>
      </c>
      <c r="B888" s="123" t="s">
        <v>14275</v>
      </c>
      <c r="C888" s="123" t="s">
        <v>14276</v>
      </c>
      <c r="D888" s="124" t="str">
        <f t="shared" si="14"/>
        <v>RVNUSDT</v>
      </c>
      <c r="E888" s="125" t="e">
        <f ca="1">VLOOKUP(D888,'Курсы Бинанса'!B:C,2,FALSE)</f>
        <v>#N/A</v>
      </c>
    </row>
    <row r="889" spans="1:5">
      <c r="A889" s="121">
        <v>887</v>
      </c>
      <c r="B889" s="123" t="s">
        <v>14277</v>
      </c>
      <c r="C889" s="123" t="s">
        <v>14278</v>
      </c>
      <c r="D889" s="124" t="str">
        <f t="shared" si="14"/>
        <v>KAIUSDT</v>
      </c>
      <c r="E889" s="125" t="e">
        <f ca="1">VLOOKUP(D889,'Курсы Бинанса'!B:C,2,FALSE)</f>
        <v>#N/A</v>
      </c>
    </row>
    <row r="890" spans="1:5">
      <c r="A890" s="121">
        <v>888</v>
      </c>
      <c r="B890" s="123" t="s">
        <v>14279</v>
      </c>
      <c r="C890" s="123" t="s">
        <v>14280</v>
      </c>
      <c r="D890" s="124" t="str">
        <f t="shared" si="14"/>
        <v>BLKUSDT</v>
      </c>
      <c r="E890" s="125" t="e">
        <f ca="1">VLOOKUP(D890,'Курсы Бинанса'!B:C,2,FALSE)</f>
        <v>#N/A</v>
      </c>
    </row>
    <row r="891" spans="1:5">
      <c r="A891" s="121">
        <v>889</v>
      </c>
      <c r="B891" s="123" t="s">
        <v>14281</v>
      </c>
      <c r="C891" s="123" t="s">
        <v>14282</v>
      </c>
      <c r="D891" s="124" t="str">
        <f t="shared" si="14"/>
        <v>SWINGUSDT</v>
      </c>
      <c r="E891" s="125" t="e">
        <f ca="1">VLOOKUP(D891,'Курсы Бинанса'!B:C,2,FALSE)</f>
        <v>#N/A</v>
      </c>
    </row>
    <row r="892" spans="1:5">
      <c r="A892" s="121">
        <v>890</v>
      </c>
      <c r="B892" s="123" t="s">
        <v>14283</v>
      </c>
      <c r="C892" s="123" t="s">
        <v>14284</v>
      </c>
      <c r="D892" s="124" t="str">
        <f t="shared" si="14"/>
        <v>RFOXUSDT</v>
      </c>
      <c r="E892" s="125" t="e">
        <f ca="1">VLOOKUP(D892,'Курсы Бинанса'!B:C,2,FALSE)</f>
        <v>#N/A</v>
      </c>
    </row>
    <row r="893" spans="1:5">
      <c r="A893" s="121">
        <v>891</v>
      </c>
      <c r="B893" s="123" t="s">
        <v>14285</v>
      </c>
      <c r="C893" s="123" t="s">
        <v>14286</v>
      </c>
      <c r="D893" s="124" t="str">
        <f t="shared" si="14"/>
        <v>PAYUSDT</v>
      </c>
      <c r="E893" s="125" t="e">
        <f ca="1">VLOOKUP(D893,'Курсы Бинанса'!B:C,2,FALSE)</f>
        <v>#N/A</v>
      </c>
    </row>
    <row r="894" spans="1:5">
      <c r="A894" s="121">
        <v>892</v>
      </c>
      <c r="B894" s="123" t="s">
        <v>14287</v>
      </c>
      <c r="C894" s="123" t="s">
        <v>14288</v>
      </c>
      <c r="D894" s="124" t="str">
        <f t="shared" si="14"/>
        <v>ROSEUSDT</v>
      </c>
      <c r="E894" s="125" t="e">
        <f ca="1">VLOOKUP(D894,'Курсы Бинанса'!B:C,2,FALSE)</f>
        <v>#N/A</v>
      </c>
    </row>
    <row r="895" spans="1:5">
      <c r="A895" s="121">
        <v>893</v>
      </c>
      <c r="B895" s="123" t="s">
        <v>14289</v>
      </c>
      <c r="C895" s="123" t="s">
        <v>14290</v>
      </c>
      <c r="D895" s="124" t="str">
        <f t="shared" si="14"/>
        <v>MXXUSDT</v>
      </c>
      <c r="E895" s="125" t="e">
        <f ca="1">VLOOKUP(D895,'Курсы Бинанса'!B:C,2,FALSE)</f>
        <v>#N/A</v>
      </c>
    </row>
    <row r="896" spans="1:5">
      <c r="A896" s="121">
        <v>894</v>
      </c>
      <c r="B896" s="123" t="s">
        <v>14291</v>
      </c>
      <c r="C896" s="123" t="s">
        <v>14292</v>
      </c>
      <c r="D896" s="124" t="str">
        <f t="shared" si="14"/>
        <v>PROPSUSDT</v>
      </c>
      <c r="E896" s="125" t="e">
        <f ca="1">VLOOKUP(D896,'Курсы Бинанса'!B:C,2,FALSE)</f>
        <v>#N/A</v>
      </c>
    </row>
    <row r="897" spans="1:5">
      <c r="A897" s="121">
        <v>895</v>
      </c>
      <c r="B897" s="123" t="s">
        <v>14293</v>
      </c>
      <c r="C897" s="123" t="s">
        <v>14294</v>
      </c>
      <c r="D897" s="124" t="str">
        <f t="shared" si="14"/>
        <v>STBUUSDT</v>
      </c>
      <c r="E897" s="125" t="e">
        <f ca="1">VLOOKUP(D897,'Курсы Бинанса'!B:C,2,FALSE)</f>
        <v>#N/A</v>
      </c>
    </row>
    <row r="898" spans="1:5">
      <c r="A898" s="121">
        <v>896</v>
      </c>
      <c r="B898" s="123" t="s">
        <v>14295</v>
      </c>
      <c r="C898" s="123" t="s">
        <v>14296</v>
      </c>
      <c r="D898" s="124" t="str">
        <f t="shared" si="14"/>
        <v>MAROUSDT</v>
      </c>
      <c r="E898" s="125" t="e">
        <f ca="1">VLOOKUP(D898,'Курсы Бинанса'!B:C,2,FALSE)</f>
        <v>#N/A</v>
      </c>
    </row>
    <row r="899" spans="1:5">
      <c r="A899" s="121">
        <v>897</v>
      </c>
      <c r="B899" s="123" t="s">
        <v>14297</v>
      </c>
      <c r="C899" s="123" t="s">
        <v>14298</v>
      </c>
      <c r="D899" s="124" t="str">
        <f t="shared" si="14"/>
        <v>TPAYUSDT</v>
      </c>
      <c r="E899" s="125" t="e">
        <f ca="1">VLOOKUP(D899,'Курсы Бинанса'!B:C,2,FALSE)</f>
        <v>#N/A</v>
      </c>
    </row>
    <row r="900" spans="1:5">
      <c r="A900" s="121">
        <v>898</v>
      </c>
      <c r="B900" s="123" t="s">
        <v>14299</v>
      </c>
      <c r="C900" s="123" t="s">
        <v>14300</v>
      </c>
      <c r="D900" s="124" t="str">
        <f t="shared" si="14"/>
        <v>ZPUSDT</v>
      </c>
      <c r="E900" s="125" t="e">
        <f ca="1">VLOOKUP(D900,'Курсы Бинанса'!B:C,2,FALSE)</f>
        <v>#N/A</v>
      </c>
    </row>
    <row r="901" spans="1:5">
      <c r="A901" s="121">
        <v>899</v>
      </c>
      <c r="B901" s="123" t="s">
        <v>14301</v>
      </c>
      <c r="C901" s="123" t="s">
        <v>14301</v>
      </c>
      <c r="D901" s="124" t="str">
        <f t="shared" si="14"/>
        <v>VITEUSDT</v>
      </c>
      <c r="E901" s="125" t="e">
        <f ca="1">VLOOKUP(D901,'Курсы Бинанса'!B:C,2,FALSE)</f>
        <v>#N/A</v>
      </c>
    </row>
    <row r="902" spans="1:5">
      <c r="A902" s="121">
        <v>900</v>
      </c>
      <c r="B902" s="123" t="s">
        <v>14302</v>
      </c>
      <c r="C902" s="123" t="s">
        <v>14302</v>
      </c>
      <c r="D902" s="124" t="str">
        <f t="shared" si="14"/>
        <v>SOLVEUSDT</v>
      </c>
      <c r="E902" s="125" t="e">
        <f ca="1">VLOOKUP(D902,'Курсы Бинанса'!B:C,2,FALSE)</f>
        <v>#N/A</v>
      </c>
    </row>
    <row r="903" spans="1:5">
      <c r="A903" s="121">
        <v>901</v>
      </c>
      <c r="B903" s="123" t="s">
        <v>14303</v>
      </c>
      <c r="C903" s="123" t="s">
        <v>14304</v>
      </c>
      <c r="D903" s="124" t="str">
        <f t="shared" si="14"/>
        <v>GRLCUSDT</v>
      </c>
      <c r="E903" s="125" t="e">
        <f ca="1">VLOOKUP(D903,'Курсы Бинанса'!B:C,2,FALSE)</f>
        <v>#N/A</v>
      </c>
    </row>
    <row r="904" spans="1:5">
      <c r="A904" s="121">
        <v>902</v>
      </c>
      <c r="B904" s="123" t="s">
        <v>14305</v>
      </c>
      <c r="C904" s="123" t="s">
        <v>14306</v>
      </c>
      <c r="D904" s="124" t="str">
        <f t="shared" si="14"/>
        <v>KICKSUSDT</v>
      </c>
      <c r="E904" s="125" t="e">
        <f ca="1">VLOOKUP(D904,'Курсы Бинанса'!B:C,2,FALSE)</f>
        <v>#N/A</v>
      </c>
    </row>
    <row r="905" spans="1:5">
      <c r="A905" s="121">
        <v>903</v>
      </c>
      <c r="B905" s="123" t="s">
        <v>14307</v>
      </c>
      <c r="C905" s="123" t="s">
        <v>14308</v>
      </c>
      <c r="D905" s="124" t="str">
        <f t="shared" si="14"/>
        <v>JSTUSDT</v>
      </c>
      <c r="E905" s="125" t="e">
        <f ca="1">VLOOKUP(D905,'Курсы Бинанса'!B:C,2,FALSE)</f>
        <v>#N/A</v>
      </c>
    </row>
    <row r="906" spans="1:5">
      <c r="A906" s="121">
        <v>904</v>
      </c>
      <c r="B906" s="123" t="s">
        <v>14309</v>
      </c>
      <c r="C906" s="123" t="s">
        <v>14310</v>
      </c>
      <c r="D906" s="124" t="str">
        <f t="shared" si="14"/>
        <v>CORUSDT</v>
      </c>
      <c r="E906" s="125" t="e">
        <f ca="1">VLOOKUP(D906,'Курсы Бинанса'!B:C,2,FALSE)</f>
        <v>#N/A</v>
      </c>
    </row>
    <row r="907" spans="1:5">
      <c r="A907" s="121">
        <v>905</v>
      </c>
      <c r="B907" s="123" t="s">
        <v>14311</v>
      </c>
      <c r="C907" s="123" t="s">
        <v>14312</v>
      </c>
      <c r="D907" s="124" t="str">
        <f t="shared" si="14"/>
        <v>EMCUSDT</v>
      </c>
      <c r="E907" s="125" t="e">
        <f ca="1">VLOOKUP(D907,'Курсы Бинанса'!B:C,2,FALSE)</f>
        <v>#N/A</v>
      </c>
    </row>
    <row r="908" spans="1:5">
      <c r="A908" s="121">
        <v>906</v>
      </c>
      <c r="B908" s="123" t="s">
        <v>14313</v>
      </c>
      <c r="C908" s="123" t="s">
        <v>14314</v>
      </c>
      <c r="D908" s="124" t="str">
        <f t="shared" si="14"/>
        <v>PHNXUSDT</v>
      </c>
      <c r="E908" s="125" t="e">
        <f ca="1">VLOOKUP(D908,'Курсы Бинанса'!B:C,2,FALSE)</f>
        <v>#N/A</v>
      </c>
    </row>
    <row r="909" spans="1:5">
      <c r="A909" s="121">
        <v>907</v>
      </c>
      <c r="B909" s="123" t="s">
        <v>14315</v>
      </c>
      <c r="C909" s="123" t="s">
        <v>14316</v>
      </c>
      <c r="D909" s="124" t="str">
        <f t="shared" si="14"/>
        <v>MILK2USDT</v>
      </c>
      <c r="E909" s="125" t="e">
        <f ca="1">VLOOKUP(D909,'Курсы Бинанса'!B:C,2,FALSE)</f>
        <v>#N/A</v>
      </c>
    </row>
    <row r="910" spans="1:5">
      <c r="A910" s="121">
        <v>908</v>
      </c>
      <c r="B910" s="123" t="s">
        <v>14317</v>
      </c>
      <c r="C910" s="123" t="s">
        <v>14318</v>
      </c>
      <c r="D910" s="124" t="str">
        <f t="shared" si="14"/>
        <v>TRTTUSDT</v>
      </c>
      <c r="E910" s="125" t="e">
        <f ca="1">VLOOKUP(D910,'Курсы Бинанса'!B:C,2,FALSE)</f>
        <v>#N/A</v>
      </c>
    </row>
    <row r="911" spans="1:5">
      <c r="A911" s="121">
        <v>909</v>
      </c>
      <c r="B911" s="123" t="s">
        <v>14319</v>
      </c>
      <c r="C911" s="123" t="s">
        <v>14320</v>
      </c>
      <c r="D911" s="124" t="str">
        <f t="shared" si="14"/>
        <v>INCNTUSDT</v>
      </c>
      <c r="E911" s="125" t="e">
        <f ca="1">VLOOKUP(D911,'Курсы Бинанса'!B:C,2,FALSE)</f>
        <v>#N/A</v>
      </c>
    </row>
    <row r="912" spans="1:5">
      <c r="A912" s="121">
        <v>910</v>
      </c>
      <c r="B912" s="123" t="s">
        <v>14321</v>
      </c>
      <c r="C912" s="123" t="s">
        <v>14322</v>
      </c>
      <c r="D912" s="124" t="str">
        <f t="shared" si="14"/>
        <v>SMGUSDT</v>
      </c>
      <c r="E912" s="125" t="e">
        <f ca="1">VLOOKUP(D912,'Курсы Бинанса'!B:C,2,FALSE)</f>
        <v>#N/A</v>
      </c>
    </row>
    <row r="913" spans="1:5">
      <c r="A913" s="121">
        <v>911</v>
      </c>
      <c r="B913" s="123" t="s">
        <v>14323</v>
      </c>
      <c r="C913" s="123" t="s">
        <v>14324</v>
      </c>
      <c r="D913" s="124" t="str">
        <f t="shared" si="14"/>
        <v>FYPUSDT</v>
      </c>
      <c r="E913" s="125" t="e">
        <f ca="1">VLOOKUP(D913,'Курсы Бинанса'!B:C,2,FALSE)</f>
        <v>#N/A</v>
      </c>
    </row>
    <row r="914" spans="1:5">
      <c r="A914" s="121">
        <v>912</v>
      </c>
      <c r="B914" s="123" t="s">
        <v>14325</v>
      </c>
      <c r="C914" s="123" t="s">
        <v>14326</v>
      </c>
      <c r="D914" s="124" t="str">
        <f t="shared" si="14"/>
        <v>MEDUSDT</v>
      </c>
      <c r="E914" s="125" t="e">
        <f ca="1">VLOOKUP(D914,'Курсы Бинанса'!B:C,2,FALSE)</f>
        <v>#N/A</v>
      </c>
    </row>
    <row r="915" spans="1:5">
      <c r="A915" s="121">
        <v>913</v>
      </c>
      <c r="B915" s="123" t="s">
        <v>14327</v>
      </c>
      <c r="C915" s="123" t="s">
        <v>14328</v>
      </c>
      <c r="D915" s="124" t="str">
        <f t="shared" si="14"/>
        <v>STPTUSDT</v>
      </c>
      <c r="E915" s="125" t="e">
        <f ca="1">VLOOKUP(D915,'Курсы Бинанса'!B:C,2,FALSE)</f>
        <v>#N/A</v>
      </c>
    </row>
    <row r="916" spans="1:5">
      <c r="A916" s="121">
        <v>914</v>
      </c>
      <c r="B916" s="123" t="s">
        <v>14329</v>
      </c>
      <c r="C916" s="123" t="s">
        <v>14330</v>
      </c>
      <c r="D916" s="124" t="str">
        <f t="shared" si="14"/>
        <v>ANWUSDT</v>
      </c>
      <c r="E916" s="125" t="e">
        <f ca="1">VLOOKUP(D916,'Курсы Бинанса'!B:C,2,FALSE)</f>
        <v>#N/A</v>
      </c>
    </row>
    <row r="917" spans="1:5">
      <c r="A917" s="121">
        <v>915</v>
      </c>
      <c r="B917" s="123" t="s">
        <v>14331</v>
      </c>
      <c r="C917" s="123" t="s">
        <v>14332</v>
      </c>
      <c r="D917" s="124" t="str">
        <f t="shared" si="14"/>
        <v>KLVUSDT</v>
      </c>
      <c r="E917" s="125" t="e">
        <f ca="1">VLOOKUP(D917,'Курсы Бинанса'!B:C,2,FALSE)</f>
        <v>#N/A</v>
      </c>
    </row>
    <row r="918" spans="1:5">
      <c r="A918" s="121">
        <v>916</v>
      </c>
      <c r="B918" s="123" t="s">
        <v>14333</v>
      </c>
      <c r="C918" s="123" t="s">
        <v>14334</v>
      </c>
      <c r="D918" s="124" t="str">
        <f t="shared" si="14"/>
        <v>FLIXXUSDT</v>
      </c>
      <c r="E918" s="125" t="e">
        <f ca="1">VLOOKUP(D918,'Курсы Бинанса'!B:C,2,FALSE)</f>
        <v>#N/A</v>
      </c>
    </row>
    <row r="919" spans="1:5">
      <c r="A919" s="121">
        <v>917</v>
      </c>
      <c r="B919" s="123" t="s">
        <v>14335</v>
      </c>
      <c r="C919" s="123" t="s">
        <v>14336</v>
      </c>
      <c r="D919" s="124" t="str">
        <f t="shared" si="14"/>
        <v>INFIUSDT</v>
      </c>
      <c r="E919" s="125" t="e">
        <f ca="1">VLOOKUP(D919,'Курсы Бинанса'!B:C,2,FALSE)</f>
        <v>#N/A</v>
      </c>
    </row>
    <row r="920" spans="1:5">
      <c r="A920" s="121">
        <v>918</v>
      </c>
      <c r="B920" s="123" t="s">
        <v>14337</v>
      </c>
      <c r="C920" s="123" t="s">
        <v>14338</v>
      </c>
      <c r="D920" s="124" t="str">
        <f t="shared" si="14"/>
        <v>MEMEUSDT</v>
      </c>
      <c r="E920" s="125" t="e">
        <f ca="1">VLOOKUP(D920,'Курсы Бинанса'!B:C,2,FALSE)</f>
        <v>#N/A</v>
      </c>
    </row>
    <row r="921" spans="1:5">
      <c r="A921" s="121">
        <v>919</v>
      </c>
      <c r="B921" s="123" t="s">
        <v>14339</v>
      </c>
      <c r="C921" s="123" t="s">
        <v>14340</v>
      </c>
      <c r="D921" s="124" t="str">
        <f t="shared" si="14"/>
        <v>TAUUSDT</v>
      </c>
      <c r="E921" s="125" t="e">
        <f ca="1">VLOOKUP(D921,'Курсы Бинанса'!B:C,2,FALSE)</f>
        <v>#N/A</v>
      </c>
    </row>
    <row r="922" spans="1:5">
      <c r="A922" s="121">
        <v>920</v>
      </c>
      <c r="B922" s="123" t="s">
        <v>14341</v>
      </c>
      <c r="C922" s="123" t="s">
        <v>14338</v>
      </c>
      <c r="D922" s="124" t="str">
        <f t="shared" si="14"/>
        <v>MEMEUSDT</v>
      </c>
      <c r="E922" s="125" t="e">
        <f ca="1">VLOOKUP(D922,'Курсы Бинанса'!B:C,2,FALSE)</f>
        <v>#N/A</v>
      </c>
    </row>
    <row r="923" spans="1:5">
      <c r="A923" s="121">
        <v>921</v>
      </c>
      <c r="B923" s="123" t="s">
        <v>14342</v>
      </c>
      <c r="C923" s="123" t="s">
        <v>14343</v>
      </c>
      <c r="D923" s="124" t="str">
        <f t="shared" si="14"/>
        <v>GOCUSDT</v>
      </c>
      <c r="E923" s="125" t="e">
        <f ca="1">VLOOKUP(D923,'Курсы Бинанса'!B:C,2,FALSE)</f>
        <v>#N/A</v>
      </c>
    </row>
    <row r="924" spans="1:5">
      <c r="A924" s="121">
        <v>922</v>
      </c>
      <c r="B924" s="123" t="s">
        <v>14344</v>
      </c>
      <c r="C924" s="123" t="s">
        <v>14344</v>
      </c>
      <c r="D924" s="124" t="str">
        <f t="shared" si="14"/>
        <v>TENTUSDT</v>
      </c>
      <c r="E924" s="125" t="e">
        <f ca="1">VLOOKUP(D924,'Курсы Бинанса'!B:C,2,FALSE)</f>
        <v>#N/A</v>
      </c>
    </row>
    <row r="925" spans="1:5">
      <c r="A925" s="121">
        <v>923</v>
      </c>
      <c r="B925" s="123" t="s">
        <v>14345</v>
      </c>
      <c r="C925" s="123" t="s">
        <v>14346</v>
      </c>
      <c r="D925" s="124" t="str">
        <f t="shared" si="14"/>
        <v>STKRUSDT</v>
      </c>
      <c r="E925" s="125" t="e">
        <f ca="1">VLOOKUP(D925,'Курсы Бинанса'!B:C,2,FALSE)</f>
        <v>#N/A</v>
      </c>
    </row>
    <row r="926" spans="1:5">
      <c r="A926" s="121">
        <v>924</v>
      </c>
      <c r="B926" s="123" t="s">
        <v>14347</v>
      </c>
      <c r="C926" s="123" t="s">
        <v>14348</v>
      </c>
      <c r="D926" s="124" t="str">
        <f t="shared" si="14"/>
        <v>DIVIUSDT</v>
      </c>
      <c r="E926" s="125" t="e">
        <f ca="1">VLOOKUP(D926,'Курсы Бинанса'!B:C,2,FALSE)</f>
        <v>#N/A</v>
      </c>
    </row>
    <row r="927" spans="1:5">
      <c r="A927" s="121">
        <v>925</v>
      </c>
      <c r="B927" s="123" t="s">
        <v>14349</v>
      </c>
      <c r="C927" s="123" t="s">
        <v>14350</v>
      </c>
      <c r="D927" s="124" t="str">
        <f t="shared" si="14"/>
        <v>SWTUSDT</v>
      </c>
      <c r="E927" s="125" t="e">
        <f ca="1">VLOOKUP(D927,'Курсы Бинанса'!B:C,2,FALSE)</f>
        <v>#N/A</v>
      </c>
    </row>
    <row r="928" spans="1:5">
      <c r="A928" s="121">
        <v>926</v>
      </c>
      <c r="B928" s="123" t="s">
        <v>14351</v>
      </c>
      <c r="C928" s="123" t="s">
        <v>14352</v>
      </c>
      <c r="D928" s="124" t="str">
        <f t="shared" si="14"/>
        <v>MCIUSDT</v>
      </c>
      <c r="E928" s="125" t="e">
        <f ca="1">VLOOKUP(D928,'Курсы Бинанса'!B:C,2,FALSE)</f>
        <v>#N/A</v>
      </c>
    </row>
    <row r="929" spans="1:5">
      <c r="A929" s="121">
        <v>927</v>
      </c>
      <c r="B929" s="123" t="s">
        <v>14353</v>
      </c>
      <c r="C929" s="123" t="s">
        <v>14354</v>
      </c>
      <c r="D929" s="124" t="str">
        <f t="shared" si="14"/>
        <v>VLXUSDT</v>
      </c>
      <c r="E929" s="125" t="e">
        <f ca="1">VLOOKUP(D929,'Курсы Бинанса'!B:C,2,FALSE)</f>
        <v>#N/A</v>
      </c>
    </row>
    <row r="930" spans="1:5">
      <c r="A930" s="121">
        <v>928</v>
      </c>
      <c r="B930" s="123" t="s">
        <v>14355</v>
      </c>
      <c r="C930" s="123" t="s">
        <v>14356</v>
      </c>
      <c r="D930" s="124" t="str">
        <f t="shared" ref="D930:D993" si="15">CONCATENATE(C930,"USDT")</f>
        <v>ZNZUSDT</v>
      </c>
      <c r="E930" s="125" t="e">
        <f ca="1">VLOOKUP(D930,'Курсы Бинанса'!B:C,2,FALSE)</f>
        <v>#N/A</v>
      </c>
    </row>
    <row r="931" spans="1:5">
      <c r="A931" s="121">
        <v>929</v>
      </c>
      <c r="B931" s="123" t="s">
        <v>14357</v>
      </c>
      <c r="C931" s="123" t="s">
        <v>14358</v>
      </c>
      <c r="D931" s="124" t="str">
        <f t="shared" si="15"/>
        <v>MTXUSDT</v>
      </c>
      <c r="E931" s="125" t="e">
        <f ca="1">VLOOKUP(D931,'Курсы Бинанса'!B:C,2,FALSE)</f>
        <v>#N/A</v>
      </c>
    </row>
    <row r="932" spans="1:5">
      <c r="A932" s="121">
        <v>930</v>
      </c>
      <c r="B932" s="123" t="s">
        <v>14359</v>
      </c>
      <c r="C932" s="123" t="s">
        <v>14360</v>
      </c>
      <c r="D932" s="124" t="str">
        <f t="shared" si="15"/>
        <v>ZEFUUSDT</v>
      </c>
      <c r="E932" s="125" t="e">
        <f ca="1">VLOOKUP(D932,'Курсы Бинанса'!B:C,2,FALSE)</f>
        <v>#N/A</v>
      </c>
    </row>
    <row r="933" spans="1:5">
      <c r="A933" s="121">
        <v>931</v>
      </c>
      <c r="B933" s="123" t="s">
        <v>14361</v>
      </c>
      <c r="C933" s="123" t="s">
        <v>14362</v>
      </c>
      <c r="D933" s="124" t="str">
        <f t="shared" si="15"/>
        <v>VIUSDT</v>
      </c>
      <c r="E933" s="125" t="e">
        <f ca="1">VLOOKUP(D933,'Курсы Бинанса'!B:C,2,FALSE)</f>
        <v>#N/A</v>
      </c>
    </row>
    <row r="934" spans="1:5">
      <c r="A934" s="121">
        <v>932</v>
      </c>
      <c r="B934" s="123" t="s">
        <v>14363</v>
      </c>
      <c r="C934" s="123" t="s">
        <v>14364</v>
      </c>
      <c r="D934" s="124" t="str">
        <f t="shared" si="15"/>
        <v>ARGONUSDT</v>
      </c>
      <c r="E934" s="125" t="e">
        <f ca="1">VLOOKUP(D934,'Курсы Бинанса'!B:C,2,FALSE)</f>
        <v>#N/A</v>
      </c>
    </row>
    <row r="935" spans="1:5">
      <c r="A935" s="121">
        <v>933</v>
      </c>
      <c r="B935" s="123" t="s">
        <v>14365</v>
      </c>
      <c r="C935" s="123" t="s">
        <v>14366</v>
      </c>
      <c r="D935" s="124" t="str">
        <f t="shared" si="15"/>
        <v>JRTUSDT</v>
      </c>
      <c r="E935" s="125" t="e">
        <f ca="1">VLOOKUP(D935,'Курсы Бинанса'!B:C,2,FALSE)</f>
        <v>#N/A</v>
      </c>
    </row>
    <row r="936" spans="1:5">
      <c r="A936" s="121">
        <v>934</v>
      </c>
      <c r="B936" s="123" t="s">
        <v>14367</v>
      </c>
      <c r="C936" s="123" t="s">
        <v>14368</v>
      </c>
      <c r="D936" s="124" t="str">
        <f t="shared" si="15"/>
        <v>PPAYUSDT</v>
      </c>
      <c r="E936" s="125" t="e">
        <f ca="1">VLOOKUP(D936,'Курсы Бинанса'!B:C,2,FALSE)</f>
        <v>#N/A</v>
      </c>
    </row>
    <row r="937" spans="1:5">
      <c r="A937" s="121">
        <v>935</v>
      </c>
      <c r="B937" s="123" t="s">
        <v>14369</v>
      </c>
      <c r="C937" s="123" t="s">
        <v>14370</v>
      </c>
      <c r="D937" s="124" t="str">
        <f t="shared" si="15"/>
        <v>HDGUSDT</v>
      </c>
      <c r="E937" s="125" t="e">
        <f ca="1">VLOOKUP(D937,'Курсы Бинанса'!B:C,2,FALSE)</f>
        <v>#N/A</v>
      </c>
    </row>
    <row r="938" spans="1:5">
      <c r="A938" s="121">
        <v>936</v>
      </c>
      <c r="B938" s="123" t="s">
        <v>14371</v>
      </c>
      <c r="C938" s="123" t="s">
        <v>14372</v>
      </c>
      <c r="D938" s="124" t="str">
        <f t="shared" si="15"/>
        <v>MODICUSDT</v>
      </c>
      <c r="E938" s="125" t="e">
        <f ca="1">VLOOKUP(D938,'Курсы Бинанса'!B:C,2,FALSE)</f>
        <v>#N/A</v>
      </c>
    </row>
    <row r="939" spans="1:5">
      <c r="A939" s="121">
        <v>937</v>
      </c>
      <c r="B939" s="123" t="s">
        <v>14373</v>
      </c>
      <c r="C939" s="123" t="s">
        <v>14374</v>
      </c>
      <c r="D939" s="124" t="str">
        <f t="shared" si="15"/>
        <v>ATTUSDT</v>
      </c>
      <c r="E939" s="125" t="e">
        <f ca="1">VLOOKUP(D939,'Курсы Бинанса'!B:C,2,FALSE)</f>
        <v>#N/A</v>
      </c>
    </row>
    <row r="940" spans="1:5">
      <c r="A940" s="121">
        <v>938</v>
      </c>
      <c r="B940" s="123" t="s">
        <v>14375</v>
      </c>
      <c r="C940" s="123" t="s">
        <v>14376</v>
      </c>
      <c r="D940" s="124" t="str">
        <f t="shared" si="15"/>
        <v>ZAPUSDT</v>
      </c>
      <c r="E940" s="125" t="e">
        <f ca="1">VLOOKUP(D940,'Курсы Бинанса'!B:C,2,FALSE)</f>
        <v>#N/A</v>
      </c>
    </row>
    <row r="941" spans="1:5">
      <c r="A941" s="121">
        <v>939</v>
      </c>
      <c r="B941" s="123" t="s">
        <v>14377</v>
      </c>
      <c r="C941" s="123" t="s">
        <v>14378</v>
      </c>
      <c r="D941" s="124" t="str">
        <f t="shared" si="15"/>
        <v>MSRUSDT</v>
      </c>
      <c r="E941" s="125" t="e">
        <f ca="1">VLOOKUP(D941,'Курсы Бинанса'!B:C,2,FALSE)</f>
        <v>#N/A</v>
      </c>
    </row>
    <row r="942" spans="1:5">
      <c r="A942" s="121">
        <v>940</v>
      </c>
      <c r="B942" s="123" t="s">
        <v>14379</v>
      </c>
      <c r="C942" s="123" t="s">
        <v>14380</v>
      </c>
      <c r="D942" s="124" t="str">
        <f t="shared" si="15"/>
        <v>KEBABUSDT</v>
      </c>
      <c r="E942" s="125" t="e">
        <f ca="1">VLOOKUP(D942,'Курсы Бинанса'!B:C,2,FALSE)</f>
        <v>#N/A</v>
      </c>
    </row>
    <row r="943" spans="1:5">
      <c r="A943" s="121">
        <v>941</v>
      </c>
      <c r="B943" s="123" t="s">
        <v>14381</v>
      </c>
      <c r="C943" s="123" t="s">
        <v>14382</v>
      </c>
      <c r="D943" s="124" t="str">
        <f t="shared" si="15"/>
        <v>UDOUSDT</v>
      </c>
      <c r="E943" s="125" t="e">
        <f ca="1">VLOOKUP(D943,'Курсы Бинанса'!B:C,2,FALSE)</f>
        <v>#N/A</v>
      </c>
    </row>
    <row r="944" spans="1:5">
      <c r="A944" s="121">
        <v>942</v>
      </c>
      <c r="B944" s="123" t="s">
        <v>14383</v>
      </c>
      <c r="C944" s="123" t="s">
        <v>14384</v>
      </c>
      <c r="D944" s="124" t="str">
        <f t="shared" si="15"/>
        <v>GBXUSDT</v>
      </c>
      <c r="E944" s="125" t="e">
        <f ca="1">VLOOKUP(D944,'Курсы Бинанса'!B:C,2,FALSE)</f>
        <v>#N/A</v>
      </c>
    </row>
    <row r="945" spans="1:5">
      <c r="A945" s="121">
        <v>943</v>
      </c>
      <c r="B945" s="123" t="s">
        <v>14385</v>
      </c>
      <c r="C945" s="123" t="s">
        <v>14386</v>
      </c>
      <c r="D945" s="124" t="str">
        <f t="shared" si="15"/>
        <v>VRCUSDT</v>
      </c>
      <c r="E945" s="125" t="e">
        <f ca="1">VLOOKUP(D945,'Курсы Бинанса'!B:C,2,FALSE)</f>
        <v>#N/A</v>
      </c>
    </row>
    <row r="946" spans="1:5">
      <c r="A946" s="121">
        <v>944</v>
      </c>
      <c r="B946" s="123" t="s">
        <v>14387</v>
      </c>
      <c r="C946" s="123" t="s">
        <v>14388</v>
      </c>
      <c r="D946" s="124" t="str">
        <f t="shared" si="15"/>
        <v>BTSUSDT</v>
      </c>
      <c r="E946" s="125" t="e">
        <f ca="1">VLOOKUP(D946,'Курсы Бинанса'!B:C,2,FALSE)</f>
        <v>#N/A</v>
      </c>
    </row>
    <row r="947" spans="1:5">
      <c r="A947" s="121">
        <v>945</v>
      </c>
      <c r="B947" s="123" t="s">
        <v>14389</v>
      </c>
      <c r="C947" s="123" t="s">
        <v>14390</v>
      </c>
      <c r="D947" s="124" t="str">
        <f t="shared" si="15"/>
        <v>KGOUSDT</v>
      </c>
      <c r="E947" s="125" t="e">
        <f ca="1">VLOOKUP(D947,'Курсы Бинанса'!B:C,2,FALSE)</f>
        <v>#N/A</v>
      </c>
    </row>
    <row r="948" spans="1:5">
      <c r="A948" s="121">
        <v>946</v>
      </c>
      <c r="B948" s="123" t="s">
        <v>14391</v>
      </c>
      <c r="C948" s="123" t="s">
        <v>14392</v>
      </c>
      <c r="D948" s="124" t="str">
        <f t="shared" si="15"/>
        <v>DGBUSDT</v>
      </c>
      <c r="E948" s="125" t="e">
        <f ca="1">VLOOKUP(D948,'Курсы Бинанса'!B:C,2,FALSE)</f>
        <v>#N/A</v>
      </c>
    </row>
    <row r="949" spans="1:5">
      <c r="A949" s="121">
        <v>947</v>
      </c>
      <c r="B949" s="123" t="s">
        <v>14393</v>
      </c>
      <c r="C949" s="123" t="s">
        <v>14393</v>
      </c>
      <c r="D949" s="124" t="str">
        <f t="shared" si="15"/>
        <v>CREAUSDT</v>
      </c>
      <c r="E949" s="125" t="e">
        <f ca="1">VLOOKUP(D949,'Курсы Бинанса'!B:C,2,FALSE)</f>
        <v>#N/A</v>
      </c>
    </row>
    <row r="950" spans="1:5">
      <c r="A950" s="121">
        <v>948</v>
      </c>
      <c r="B950" s="123" t="s">
        <v>14394</v>
      </c>
      <c r="C950" s="123" t="s">
        <v>14395</v>
      </c>
      <c r="D950" s="124" t="str">
        <f t="shared" si="15"/>
        <v>EXPUSDT</v>
      </c>
      <c r="E950" s="125" t="e">
        <f ca="1">VLOOKUP(D950,'Курсы Бинанса'!B:C,2,FALSE)</f>
        <v>#N/A</v>
      </c>
    </row>
    <row r="951" spans="1:5">
      <c r="A951" s="121">
        <v>949</v>
      </c>
      <c r="B951" s="123" t="s">
        <v>14396</v>
      </c>
      <c r="C951" s="123" t="s">
        <v>14397</v>
      </c>
      <c r="D951" s="124" t="str">
        <f t="shared" si="15"/>
        <v>BSTYUSDT</v>
      </c>
      <c r="E951" s="125" t="e">
        <f ca="1">VLOOKUP(D951,'Курсы Бинанса'!B:C,2,FALSE)</f>
        <v>#N/A</v>
      </c>
    </row>
    <row r="952" spans="1:5">
      <c r="A952" s="121">
        <v>950</v>
      </c>
      <c r="B952" s="123" t="s">
        <v>14398</v>
      </c>
      <c r="C952" s="123" t="s">
        <v>14399</v>
      </c>
      <c r="D952" s="124" t="str">
        <f t="shared" si="15"/>
        <v>DTXUSDT</v>
      </c>
      <c r="E952" s="125" t="e">
        <f ca="1">VLOOKUP(D952,'Курсы Бинанса'!B:C,2,FALSE)</f>
        <v>#N/A</v>
      </c>
    </row>
    <row r="953" spans="1:5">
      <c r="A953" s="121">
        <v>951</v>
      </c>
      <c r="B953" s="123" t="s">
        <v>14400</v>
      </c>
      <c r="C953" s="123" t="s">
        <v>14400</v>
      </c>
      <c r="D953" s="124" t="str">
        <f t="shared" si="15"/>
        <v>8PAYUSDT</v>
      </c>
      <c r="E953" s="125" t="e">
        <f ca="1">VLOOKUP(D953,'Курсы Бинанса'!B:C,2,FALSE)</f>
        <v>#N/A</v>
      </c>
    </row>
    <row r="954" spans="1:5">
      <c r="A954" s="121">
        <v>952</v>
      </c>
      <c r="B954" s="123" t="s">
        <v>14401</v>
      </c>
      <c r="C954" s="123" t="s">
        <v>14402</v>
      </c>
      <c r="D954" s="124" t="str">
        <f t="shared" si="15"/>
        <v>MWATUSDT</v>
      </c>
      <c r="E954" s="125" t="e">
        <f ca="1">VLOOKUP(D954,'Курсы Бинанса'!B:C,2,FALSE)</f>
        <v>#N/A</v>
      </c>
    </row>
    <row r="955" spans="1:5">
      <c r="A955" s="121">
        <v>953</v>
      </c>
      <c r="B955" s="123" t="s">
        <v>14403</v>
      </c>
      <c r="C955" s="123" t="s">
        <v>14403</v>
      </c>
      <c r="D955" s="124" t="str">
        <f t="shared" si="15"/>
        <v>ASTAUSDT</v>
      </c>
      <c r="E955" s="125" t="e">
        <f ca="1">VLOOKUP(D955,'Курсы Бинанса'!B:C,2,FALSE)</f>
        <v>#N/A</v>
      </c>
    </row>
    <row r="956" spans="1:5">
      <c r="A956" s="121">
        <v>954</v>
      </c>
      <c r="B956" s="123" t="s">
        <v>14404</v>
      </c>
      <c r="C956" s="123" t="s">
        <v>14405</v>
      </c>
      <c r="D956" s="124" t="str">
        <f t="shared" si="15"/>
        <v>ARCOUSDT</v>
      </c>
      <c r="E956" s="125" t="e">
        <f ca="1">VLOOKUP(D956,'Курсы Бинанса'!B:C,2,FALSE)</f>
        <v>#N/A</v>
      </c>
    </row>
    <row r="957" spans="1:5">
      <c r="A957" s="121">
        <v>955</v>
      </c>
      <c r="B957" s="123" t="s">
        <v>14406</v>
      </c>
      <c r="C957" s="123" t="s">
        <v>14407</v>
      </c>
      <c r="D957" s="124" t="str">
        <f t="shared" si="15"/>
        <v>VNXLUUSDT</v>
      </c>
      <c r="E957" s="125" t="e">
        <f ca="1">VLOOKUP(D957,'Курсы Бинанса'!B:C,2,FALSE)</f>
        <v>#N/A</v>
      </c>
    </row>
    <row r="958" spans="1:5">
      <c r="A958" s="121">
        <v>956</v>
      </c>
      <c r="B958" s="123" t="s">
        <v>14408</v>
      </c>
      <c r="C958" s="123" t="s">
        <v>14409</v>
      </c>
      <c r="D958" s="124" t="str">
        <f t="shared" si="15"/>
        <v>UFRUSDT</v>
      </c>
      <c r="E958" s="125" t="e">
        <f ca="1">VLOOKUP(D958,'Курсы Бинанса'!B:C,2,FALSE)</f>
        <v>#N/A</v>
      </c>
    </row>
    <row r="959" spans="1:5">
      <c r="A959" s="121">
        <v>957</v>
      </c>
      <c r="B959" s="123" t="s">
        <v>14410</v>
      </c>
      <c r="C959" s="123" t="s">
        <v>14411</v>
      </c>
      <c r="D959" s="124" t="str">
        <f t="shared" si="15"/>
        <v>JETUSDT</v>
      </c>
      <c r="E959" s="125" t="e">
        <f ca="1">VLOOKUP(D959,'Курсы Бинанса'!B:C,2,FALSE)</f>
        <v>#N/A</v>
      </c>
    </row>
    <row r="960" spans="1:5">
      <c r="A960" s="121">
        <v>958</v>
      </c>
      <c r="B960" s="123" t="s">
        <v>14412</v>
      </c>
      <c r="C960" s="123" t="s">
        <v>14413</v>
      </c>
      <c r="D960" s="124" t="str">
        <f t="shared" si="15"/>
        <v>GTOUSDT</v>
      </c>
      <c r="E960" s="125" t="e">
        <f ca="1">VLOOKUP(D960,'Курсы Бинанса'!B:C,2,FALSE)</f>
        <v>#N/A</v>
      </c>
    </row>
    <row r="961" spans="1:5">
      <c r="A961" s="121">
        <v>959</v>
      </c>
      <c r="B961" s="123" t="s">
        <v>14414</v>
      </c>
      <c r="C961" s="123" t="s">
        <v>14415</v>
      </c>
      <c r="D961" s="124" t="str">
        <f t="shared" si="15"/>
        <v>DECUSDT</v>
      </c>
      <c r="E961" s="125" t="e">
        <f ca="1">VLOOKUP(D961,'Курсы Бинанса'!B:C,2,FALSE)</f>
        <v>#N/A</v>
      </c>
    </row>
    <row r="962" spans="1:5">
      <c r="A962" s="121">
        <v>960</v>
      </c>
      <c r="B962" s="123" t="s">
        <v>14416</v>
      </c>
      <c r="C962" s="123" t="s">
        <v>14417</v>
      </c>
      <c r="D962" s="124" t="str">
        <f t="shared" si="15"/>
        <v>SXUTUSDT</v>
      </c>
      <c r="E962" s="125" t="e">
        <f ca="1">VLOOKUP(D962,'Курсы Бинанса'!B:C,2,FALSE)</f>
        <v>#N/A</v>
      </c>
    </row>
    <row r="963" spans="1:5">
      <c r="A963" s="121">
        <v>961</v>
      </c>
      <c r="B963" s="123" t="s">
        <v>14418</v>
      </c>
      <c r="C963" s="123" t="s">
        <v>14419</v>
      </c>
      <c r="D963" s="124" t="str">
        <f t="shared" si="15"/>
        <v>MITXUSDT</v>
      </c>
      <c r="E963" s="125" t="e">
        <f ca="1">VLOOKUP(D963,'Курсы Бинанса'!B:C,2,FALSE)</f>
        <v>#N/A</v>
      </c>
    </row>
    <row r="964" spans="1:5">
      <c r="A964" s="121">
        <v>962</v>
      </c>
      <c r="B964" s="123" t="s">
        <v>14420</v>
      </c>
      <c r="C964" s="123" t="s">
        <v>14421</v>
      </c>
      <c r="D964" s="124" t="str">
        <f t="shared" si="15"/>
        <v>WINGSUSDT</v>
      </c>
      <c r="E964" s="125" t="e">
        <f ca="1">VLOOKUP(D964,'Курсы Бинанса'!B:C,2,FALSE)</f>
        <v>#N/A</v>
      </c>
    </row>
    <row r="965" spans="1:5">
      <c r="A965" s="121">
        <v>963</v>
      </c>
      <c r="B965" s="123" t="s">
        <v>14422</v>
      </c>
      <c r="C965" s="123" t="s">
        <v>14423</v>
      </c>
      <c r="D965" s="124" t="str">
        <f t="shared" si="15"/>
        <v>NBXUSDT</v>
      </c>
      <c r="E965" s="125" t="e">
        <f ca="1">VLOOKUP(D965,'Курсы Бинанса'!B:C,2,FALSE)</f>
        <v>#N/A</v>
      </c>
    </row>
    <row r="966" spans="1:5">
      <c r="A966" s="121">
        <v>964</v>
      </c>
      <c r="B966" s="123" t="s">
        <v>14424</v>
      </c>
      <c r="C966" s="123" t="s">
        <v>14425</v>
      </c>
      <c r="D966" s="124" t="str">
        <f t="shared" si="15"/>
        <v>RFUELUSDT</v>
      </c>
      <c r="E966" s="125" t="e">
        <f ca="1">VLOOKUP(D966,'Курсы Бинанса'!B:C,2,FALSE)</f>
        <v>#N/A</v>
      </c>
    </row>
    <row r="967" spans="1:5">
      <c r="A967" s="121">
        <v>965</v>
      </c>
      <c r="B967" s="123" t="s">
        <v>14426</v>
      </c>
      <c r="C967" s="123" t="s">
        <v>14427</v>
      </c>
      <c r="D967" s="124" t="str">
        <f t="shared" si="15"/>
        <v>RINGUSDT</v>
      </c>
      <c r="E967" s="125" t="e">
        <f ca="1">VLOOKUP(D967,'Курсы Бинанса'!B:C,2,FALSE)</f>
        <v>#N/A</v>
      </c>
    </row>
    <row r="968" spans="1:5">
      <c r="A968" s="121">
        <v>966</v>
      </c>
      <c r="B968" s="123" t="s">
        <v>14428</v>
      </c>
      <c r="C968" s="123" t="s">
        <v>14428</v>
      </c>
      <c r="D968" s="124" t="str">
        <f t="shared" si="15"/>
        <v>IDEXUSDT</v>
      </c>
      <c r="E968" s="125" t="e">
        <f ca="1">VLOOKUP(D968,'Курсы Бинанса'!B:C,2,FALSE)</f>
        <v>#N/A</v>
      </c>
    </row>
    <row r="969" spans="1:5">
      <c r="A969" s="121">
        <v>967</v>
      </c>
      <c r="B969" s="123" t="s">
        <v>14429</v>
      </c>
      <c r="C969" s="123" t="s">
        <v>14430</v>
      </c>
      <c r="D969" s="124" t="str">
        <f t="shared" si="15"/>
        <v>DOSUSDT</v>
      </c>
      <c r="E969" s="125" t="e">
        <f ca="1">VLOOKUP(D969,'Курсы Бинанса'!B:C,2,FALSE)</f>
        <v>#N/A</v>
      </c>
    </row>
    <row r="970" spans="1:5">
      <c r="A970" s="121">
        <v>968</v>
      </c>
      <c r="B970" s="123" t="s">
        <v>14431</v>
      </c>
      <c r="C970" s="123" t="s">
        <v>14432</v>
      </c>
      <c r="D970" s="124" t="str">
        <f t="shared" si="15"/>
        <v>DMGUSDT</v>
      </c>
      <c r="E970" s="125" t="e">
        <f ca="1">VLOOKUP(D970,'Курсы Бинанса'!B:C,2,FALSE)</f>
        <v>#N/A</v>
      </c>
    </row>
    <row r="971" spans="1:5">
      <c r="A971" s="121">
        <v>969</v>
      </c>
      <c r="B971" s="123" t="s">
        <v>14433</v>
      </c>
      <c r="C971" s="123" t="s">
        <v>14434</v>
      </c>
      <c r="D971" s="124" t="str">
        <f t="shared" si="15"/>
        <v>CHADSUSDT</v>
      </c>
      <c r="E971" s="125" t="e">
        <f ca="1">VLOOKUP(D971,'Курсы Бинанса'!B:C,2,FALSE)</f>
        <v>#N/A</v>
      </c>
    </row>
    <row r="972" spans="1:5">
      <c r="A972" s="121">
        <v>970</v>
      </c>
      <c r="B972" s="123" t="s">
        <v>14435</v>
      </c>
      <c r="C972" s="123" t="s">
        <v>14436</v>
      </c>
      <c r="D972" s="124" t="str">
        <f t="shared" si="15"/>
        <v>GOTUSDT</v>
      </c>
      <c r="E972" s="125" t="e">
        <f ca="1">VLOOKUP(D972,'Курсы Бинанса'!B:C,2,FALSE)</f>
        <v>#N/A</v>
      </c>
    </row>
    <row r="973" spans="1:5">
      <c r="A973" s="121">
        <v>971</v>
      </c>
      <c r="B973" s="123" t="s">
        <v>14437</v>
      </c>
      <c r="C973" s="123" t="s">
        <v>14438</v>
      </c>
      <c r="D973" s="124" t="str">
        <f t="shared" si="15"/>
        <v>PIRATEUSDT</v>
      </c>
      <c r="E973" s="125" t="e">
        <f ca="1">VLOOKUP(D973,'Курсы Бинанса'!B:C,2,FALSE)</f>
        <v>#N/A</v>
      </c>
    </row>
    <row r="974" spans="1:5">
      <c r="A974" s="121">
        <v>972</v>
      </c>
      <c r="B974" s="123" t="s">
        <v>14439</v>
      </c>
      <c r="C974" s="123" t="s">
        <v>14440</v>
      </c>
      <c r="D974" s="124" t="str">
        <f t="shared" si="15"/>
        <v>EVZUSDT</v>
      </c>
      <c r="E974" s="125" t="e">
        <f ca="1">VLOOKUP(D974,'Курсы Бинанса'!B:C,2,FALSE)</f>
        <v>#N/A</v>
      </c>
    </row>
    <row r="975" spans="1:5">
      <c r="A975" s="121">
        <v>973</v>
      </c>
      <c r="B975" s="123" t="s">
        <v>14441</v>
      </c>
      <c r="C975" s="123" t="s">
        <v>14442</v>
      </c>
      <c r="D975" s="124" t="str">
        <f t="shared" si="15"/>
        <v>EXYUSDT</v>
      </c>
      <c r="E975" s="125" t="e">
        <f ca="1">VLOOKUP(D975,'Курсы Бинанса'!B:C,2,FALSE)</f>
        <v>#N/A</v>
      </c>
    </row>
    <row r="976" spans="1:5">
      <c r="A976" s="121">
        <v>974</v>
      </c>
      <c r="B976" s="123" t="s">
        <v>14443</v>
      </c>
      <c r="C976" s="123" t="s">
        <v>14444</v>
      </c>
      <c r="D976" s="124" t="str">
        <f t="shared" si="15"/>
        <v>FKXUSDT</v>
      </c>
      <c r="E976" s="125" t="e">
        <f ca="1">VLOOKUP(D976,'Курсы Бинанса'!B:C,2,FALSE)</f>
        <v>#N/A</v>
      </c>
    </row>
    <row r="977" spans="1:5">
      <c r="A977" s="121">
        <v>975</v>
      </c>
      <c r="B977" s="123" t="s">
        <v>14445</v>
      </c>
      <c r="C977" s="123" t="s">
        <v>14446</v>
      </c>
      <c r="D977" s="124" t="str">
        <f t="shared" si="15"/>
        <v>DOGECUSDT</v>
      </c>
      <c r="E977" s="125" t="e">
        <f ca="1">VLOOKUP(D977,'Курсы Бинанса'!B:C,2,FALSE)</f>
        <v>#N/A</v>
      </c>
    </row>
    <row r="978" spans="1:5">
      <c r="A978" s="121">
        <v>976</v>
      </c>
      <c r="B978" s="123" t="s">
        <v>14447</v>
      </c>
      <c r="C978" s="123" t="s">
        <v>14448</v>
      </c>
      <c r="D978" s="124" t="str">
        <f t="shared" si="15"/>
        <v>AIDUSDT</v>
      </c>
      <c r="E978" s="125" t="e">
        <f ca="1">VLOOKUP(D978,'Курсы Бинанса'!B:C,2,FALSE)</f>
        <v>#N/A</v>
      </c>
    </row>
    <row r="979" spans="1:5">
      <c r="A979" s="121">
        <v>977</v>
      </c>
      <c r="B979" s="123" t="s">
        <v>14449</v>
      </c>
      <c r="C979" s="123" t="s">
        <v>14450</v>
      </c>
      <c r="D979" s="124" t="str">
        <f t="shared" si="15"/>
        <v>XWPUSDT</v>
      </c>
      <c r="E979" s="125" t="e">
        <f ca="1">VLOOKUP(D979,'Курсы Бинанса'!B:C,2,FALSE)</f>
        <v>#N/A</v>
      </c>
    </row>
    <row r="980" spans="1:5">
      <c r="A980" s="121">
        <v>978</v>
      </c>
      <c r="B980" s="123" t="s">
        <v>14451</v>
      </c>
      <c r="C980" s="123" t="s">
        <v>14452</v>
      </c>
      <c r="D980" s="124" t="str">
        <f t="shared" si="15"/>
        <v>INNUSDT</v>
      </c>
      <c r="E980" s="125" t="e">
        <f ca="1">VLOOKUP(D980,'Курсы Бинанса'!B:C,2,FALSE)</f>
        <v>#N/A</v>
      </c>
    </row>
    <row r="981" spans="1:5">
      <c r="A981" s="121">
        <v>979</v>
      </c>
      <c r="B981" s="123" t="s">
        <v>14453</v>
      </c>
      <c r="C981" s="123" t="s">
        <v>14454</v>
      </c>
      <c r="D981" s="124" t="str">
        <f t="shared" si="15"/>
        <v>XNVUSDT</v>
      </c>
      <c r="E981" s="125" t="e">
        <f ca="1">VLOOKUP(D981,'Курсы Бинанса'!B:C,2,FALSE)</f>
        <v>#N/A</v>
      </c>
    </row>
    <row r="982" spans="1:5">
      <c r="A982" s="121">
        <v>980</v>
      </c>
      <c r="B982" s="123" t="s">
        <v>14455</v>
      </c>
      <c r="C982" s="123" t="s">
        <v>14456</v>
      </c>
      <c r="D982" s="124" t="str">
        <f t="shared" si="15"/>
        <v>SYNCUSDT</v>
      </c>
      <c r="E982" s="125" t="e">
        <f ca="1">VLOOKUP(D982,'Курсы Бинанса'!B:C,2,FALSE)</f>
        <v>#N/A</v>
      </c>
    </row>
    <row r="983" spans="1:5">
      <c r="A983" s="121">
        <v>981</v>
      </c>
      <c r="B983" s="123" t="s">
        <v>14457</v>
      </c>
      <c r="C983" s="123" t="s">
        <v>14458</v>
      </c>
      <c r="D983" s="124" t="str">
        <f t="shared" si="15"/>
        <v>ARQUSDT</v>
      </c>
      <c r="E983" s="125" t="e">
        <f ca="1">VLOOKUP(D983,'Курсы Бинанса'!B:C,2,FALSE)</f>
        <v>#N/A</v>
      </c>
    </row>
    <row r="984" spans="1:5">
      <c r="A984" s="121">
        <v>982</v>
      </c>
      <c r="B984" s="123" t="s">
        <v>14459</v>
      </c>
      <c r="C984" s="123" t="s">
        <v>14460</v>
      </c>
      <c r="D984" s="124" t="str">
        <f t="shared" si="15"/>
        <v>ENTUSDT</v>
      </c>
      <c r="E984" s="125" t="e">
        <f ca="1">VLOOKUP(D984,'Курсы Бинанса'!B:C,2,FALSE)</f>
        <v>#N/A</v>
      </c>
    </row>
    <row r="985" spans="1:5">
      <c r="A985" s="121">
        <v>983</v>
      </c>
      <c r="B985" s="123" t="s">
        <v>14461</v>
      </c>
      <c r="C985" s="123" t="s">
        <v>14462</v>
      </c>
      <c r="D985" s="124" t="str">
        <f t="shared" si="15"/>
        <v>SHORTYUSDT</v>
      </c>
      <c r="E985" s="125" t="e">
        <f ca="1">VLOOKUP(D985,'Курсы Бинанса'!B:C,2,FALSE)</f>
        <v>#N/A</v>
      </c>
    </row>
    <row r="986" spans="1:5">
      <c r="A986" s="121">
        <v>984</v>
      </c>
      <c r="B986" s="123" t="s">
        <v>14463</v>
      </c>
      <c r="C986" s="123" t="s">
        <v>14464</v>
      </c>
      <c r="D986" s="124" t="str">
        <f t="shared" si="15"/>
        <v>VIBUSDT</v>
      </c>
      <c r="E986" s="125" t="e">
        <f ca="1">VLOOKUP(D986,'Курсы Бинанса'!B:C,2,FALSE)</f>
        <v>#N/A</v>
      </c>
    </row>
    <row r="987" spans="1:5">
      <c r="A987" s="121">
        <v>985</v>
      </c>
      <c r="B987" s="123" t="s">
        <v>14465</v>
      </c>
      <c r="C987" s="123" t="s">
        <v>14466</v>
      </c>
      <c r="D987" s="124" t="str">
        <f t="shared" si="15"/>
        <v>IBPUSDT</v>
      </c>
      <c r="E987" s="125" t="e">
        <f ca="1">VLOOKUP(D987,'Курсы Бинанса'!B:C,2,FALSE)</f>
        <v>#N/A</v>
      </c>
    </row>
    <row r="988" spans="1:5">
      <c r="A988" s="121">
        <v>986</v>
      </c>
      <c r="B988" s="123" t="s">
        <v>14467</v>
      </c>
      <c r="C988" s="123" t="s">
        <v>14468</v>
      </c>
      <c r="D988" s="124" t="str">
        <f t="shared" si="15"/>
        <v>ARPAUSDT</v>
      </c>
      <c r="E988" s="125" t="e">
        <f ca="1">VLOOKUP(D988,'Курсы Бинанса'!B:C,2,FALSE)</f>
        <v>#N/A</v>
      </c>
    </row>
    <row r="989" spans="1:5">
      <c r="A989" s="121">
        <v>987</v>
      </c>
      <c r="B989" s="123" t="s">
        <v>14469</v>
      </c>
      <c r="C989" s="123" t="s">
        <v>14470</v>
      </c>
      <c r="D989" s="124" t="str">
        <f t="shared" si="15"/>
        <v>LEDUUSDT</v>
      </c>
      <c r="E989" s="125" t="e">
        <f ca="1">VLOOKUP(D989,'Курсы Бинанса'!B:C,2,FALSE)</f>
        <v>#N/A</v>
      </c>
    </row>
    <row r="990" spans="1:5">
      <c r="A990" s="121">
        <v>988</v>
      </c>
      <c r="B990" s="123" t="s">
        <v>14471</v>
      </c>
      <c r="C990" s="123" t="s">
        <v>14472</v>
      </c>
      <c r="D990" s="124" t="str">
        <f t="shared" si="15"/>
        <v>LINAUSDT</v>
      </c>
      <c r="E990" s="125" t="e">
        <f ca="1">VLOOKUP(D990,'Курсы Бинанса'!B:C,2,FALSE)</f>
        <v>#N/A</v>
      </c>
    </row>
    <row r="991" spans="1:5">
      <c r="A991" s="121">
        <v>989</v>
      </c>
      <c r="B991" s="123" t="s">
        <v>14473</v>
      </c>
      <c r="C991" s="123" t="s">
        <v>14474</v>
      </c>
      <c r="D991" s="124" t="str">
        <f t="shared" si="15"/>
        <v>BWXUSDT</v>
      </c>
      <c r="E991" s="125" t="e">
        <f ca="1">VLOOKUP(D991,'Курсы Бинанса'!B:C,2,FALSE)</f>
        <v>#N/A</v>
      </c>
    </row>
    <row r="992" spans="1:5">
      <c r="A992" s="121">
        <v>990</v>
      </c>
      <c r="B992" s="123" t="s">
        <v>14475</v>
      </c>
      <c r="C992" s="123" t="s">
        <v>14476</v>
      </c>
      <c r="D992" s="124" t="str">
        <f t="shared" si="15"/>
        <v>ACMUSDT</v>
      </c>
      <c r="E992" s="125" t="e">
        <f ca="1">VLOOKUP(D992,'Курсы Бинанса'!B:C,2,FALSE)</f>
        <v>#N/A</v>
      </c>
    </row>
    <row r="993" spans="1:5">
      <c r="A993" s="121">
        <v>991</v>
      </c>
      <c r="B993" s="123" t="s">
        <v>14477</v>
      </c>
      <c r="C993" s="123" t="s">
        <v>14476</v>
      </c>
      <c r="D993" s="124" t="str">
        <f t="shared" si="15"/>
        <v>ACMUSDT</v>
      </c>
      <c r="E993" s="125" t="e">
        <f ca="1">VLOOKUP(D993,'Курсы Бинанса'!B:C,2,FALSE)</f>
        <v>#N/A</v>
      </c>
    </row>
    <row r="994" spans="1:5">
      <c r="A994" s="121">
        <v>992</v>
      </c>
      <c r="B994" s="123" t="s">
        <v>14478</v>
      </c>
      <c r="C994" s="123" t="s">
        <v>14479</v>
      </c>
      <c r="D994" s="124" t="str">
        <f t="shared" ref="D994:D1057" si="16">CONCATENATE(C994,"USDT")</f>
        <v>WGRUSDT</v>
      </c>
      <c r="E994" s="125" t="e">
        <f ca="1">VLOOKUP(D994,'Курсы Бинанса'!B:C,2,FALSE)</f>
        <v>#N/A</v>
      </c>
    </row>
    <row r="995" spans="1:5">
      <c r="A995" s="121">
        <v>993</v>
      </c>
      <c r="B995" s="123" t="s">
        <v>14480</v>
      </c>
      <c r="C995" s="123" t="s">
        <v>14481</v>
      </c>
      <c r="D995" s="124" t="str">
        <f t="shared" si="16"/>
        <v>PLRUSDT</v>
      </c>
      <c r="E995" s="125" t="e">
        <f ca="1">VLOOKUP(D995,'Курсы Бинанса'!B:C,2,FALSE)</f>
        <v>#N/A</v>
      </c>
    </row>
    <row r="996" spans="1:5">
      <c r="A996" s="121">
        <v>994</v>
      </c>
      <c r="B996" s="123" t="s">
        <v>14482</v>
      </c>
      <c r="C996" s="123" t="s">
        <v>14483</v>
      </c>
      <c r="D996" s="124" t="str">
        <f t="shared" si="16"/>
        <v>IPXUSDT</v>
      </c>
      <c r="E996" s="125" t="e">
        <f ca="1">VLOOKUP(D996,'Курсы Бинанса'!B:C,2,FALSE)</f>
        <v>#N/A</v>
      </c>
    </row>
    <row r="997" spans="1:5">
      <c r="A997" s="121">
        <v>995</v>
      </c>
      <c r="B997" s="123" t="s">
        <v>14484</v>
      </c>
      <c r="C997" s="123" t="s">
        <v>14485</v>
      </c>
      <c r="D997" s="124" t="str">
        <f t="shared" si="16"/>
        <v>QSPUSDT</v>
      </c>
      <c r="E997" s="125" t="e">
        <f ca="1">VLOOKUP(D997,'Курсы Бинанса'!B:C,2,FALSE)</f>
        <v>#N/A</v>
      </c>
    </row>
    <row r="998" spans="1:5">
      <c r="A998" s="121">
        <v>996</v>
      </c>
      <c r="B998" s="123" t="s">
        <v>14486</v>
      </c>
      <c r="C998" s="123" t="s">
        <v>14487</v>
      </c>
      <c r="D998" s="124" t="str">
        <f t="shared" si="16"/>
        <v>SFTUSDT</v>
      </c>
      <c r="E998" s="125" t="e">
        <f ca="1">VLOOKUP(D998,'Курсы Бинанса'!B:C,2,FALSE)</f>
        <v>#N/A</v>
      </c>
    </row>
    <row r="999" spans="1:5">
      <c r="A999" s="121">
        <v>997</v>
      </c>
      <c r="B999" s="123" t="s">
        <v>14488</v>
      </c>
      <c r="C999" s="123" t="s">
        <v>14489</v>
      </c>
      <c r="D999" s="124" t="str">
        <f t="shared" si="16"/>
        <v>UNISTAKEUSDT</v>
      </c>
      <c r="E999" s="125" t="e">
        <f ca="1">VLOOKUP(D999,'Курсы Бинанса'!B:C,2,FALSE)</f>
        <v>#N/A</v>
      </c>
    </row>
    <row r="1000" spans="1:5">
      <c r="A1000" s="121">
        <v>998</v>
      </c>
      <c r="B1000" s="123" t="s">
        <v>14490</v>
      </c>
      <c r="C1000" s="123" t="s">
        <v>14491</v>
      </c>
      <c r="D1000" s="124" t="str">
        <f t="shared" si="16"/>
        <v>FOCUSDT</v>
      </c>
      <c r="E1000" s="125" t="e">
        <f ca="1">VLOOKUP(D1000,'Курсы Бинанса'!B:C,2,FALSE)</f>
        <v>#N/A</v>
      </c>
    </row>
    <row r="1001" spans="1:5">
      <c r="A1001" s="121">
        <v>999</v>
      </c>
      <c r="B1001" s="123" t="s">
        <v>14492</v>
      </c>
      <c r="C1001" s="123" t="s">
        <v>14493</v>
      </c>
      <c r="D1001" s="124" t="str">
        <f t="shared" si="16"/>
        <v>PMEERUSDT</v>
      </c>
      <c r="E1001" s="125" t="e">
        <f ca="1">VLOOKUP(D1001,'Курсы Бинанса'!B:C,2,FALSE)</f>
        <v>#N/A</v>
      </c>
    </row>
    <row r="1002" spans="1:5">
      <c r="A1002" s="121">
        <v>1000</v>
      </c>
      <c r="B1002" s="123" t="s">
        <v>14494</v>
      </c>
      <c r="C1002" s="123" t="s">
        <v>14495</v>
      </c>
      <c r="D1002" s="124" t="str">
        <f t="shared" si="16"/>
        <v>RYOUSDT</v>
      </c>
      <c r="E1002" s="125" t="e">
        <f ca="1">VLOOKUP(D1002,'Курсы Бинанса'!B:C,2,FALSE)</f>
        <v>#N/A</v>
      </c>
    </row>
    <row r="1003" spans="1:5">
      <c r="A1003" s="121">
        <v>1001</v>
      </c>
      <c r="B1003" s="123" t="s">
        <v>14496</v>
      </c>
      <c r="C1003" s="123" t="s">
        <v>14497</v>
      </c>
      <c r="D1003" s="124" t="str">
        <f t="shared" si="16"/>
        <v>MANUSDT</v>
      </c>
      <c r="E1003" s="125" t="e">
        <f ca="1">VLOOKUP(D1003,'Курсы Бинанса'!B:C,2,FALSE)</f>
        <v>#N/A</v>
      </c>
    </row>
    <row r="1004" spans="1:5">
      <c r="A1004" s="121">
        <v>1002</v>
      </c>
      <c r="B1004" s="123" t="s">
        <v>14498</v>
      </c>
      <c r="C1004" s="123" t="s">
        <v>14498</v>
      </c>
      <c r="D1004" s="124" t="str">
        <f t="shared" si="16"/>
        <v>POAUSDT</v>
      </c>
      <c r="E1004" s="125" t="e">
        <f ca="1">VLOOKUP(D1004,'Курсы Бинанса'!B:C,2,FALSE)</f>
        <v>#N/A</v>
      </c>
    </row>
    <row r="1005" spans="1:5">
      <c r="A1005" s="121">
        <v>1003</v>
      </c>
      <c r="B1005" s="123" t="s">
        <v>14499</v>
      </c>
      <c r="C1005" s="123" t="s">
        <v>14500</v>
      </c>
      <c r="D1005" s="124" t="str">
        <f t="shared" si="16"/>
        <v>EGGUSDT</v>
      </c>
      <c r="E1005" s="125" t="e">
        <f ca="1">VLOOKUP(D1005,'Курсы Бинанса'!B:C,2,FALSE)</f>
        <v>#N/A</v>
      </c>
    </row>
    <row r="1006" spans="1:5">
      <c r="A1006" s="121">
        <v>1004</v>
      </c>
      <c r="B1006" s="123" t="s">
        <v>14501</v>
      </c>
      <c r="C1006" s="123" t="s">
        <v>14500</v>
      </c>
      <c r="D1006" s="124" t="str">
        <f t="shared" si="16"/>
        <v>EGGUSDT</v>
      </c>
      <c r="E1006" s="125" t="e">
        <f ca="1">VLOOKUP(D1006,'Курсы Бинанса'!B:C,2,FALSE)</f>
        <v>#N/A</v>
      </c>
    </row>
    <row r="1007" spans="1:5">
      <c r="A1007" s="121">
        <v>1005</v>
      </c>
      <c r="B1007" s="123" t="s">
        <v>14502</v>
      </c>
      <c r="C1007" s="123" t="s">
        <v>14500</v>
      </c>
      <c r="D1007" s="124" t="str">
        <f t="shared" si="16"/>
        <v>EGGUSDT</v>
      </c>
      <c r="E1007" s="125" t="e">
        <f ca="1">VLOOKUP(D1007,'Курсы Бинанса'!B:C,2,FALSE)</f>
        <v>#N/A</v>
      </c>
    </row>
    <row r="1008" spans="1:5">
      <c r="A1008" s="121">
        <v>1006</v>
      </c>
      <c r="B1008" s="123" t="s">
        <v>14503</v>
      </c>
      <c r="C1008" s="123" t="s">
        <v>14504</v>
      </c>
      <c r="D1008" s="124" t="str">
        <f t="shared" si="16"/>
        <v>ZCRUSDT</v>
      </c>
      <c r="E1008" s="125" t="e">
        <f ca="1">VLOOKUP(D1008,'Курсы Бинанса'!B:C,2,FALSE)</f>
        <v>#N/A</v>
      </c>
    </row>
    <row r="1009" spans="1:5">
      <c r="A1009" s="121">
        <v>1007</v>
      </c>
      <c r="B1009" s="123" t="s">
        <v>14505</v>
      </c>
      <c r="C1009" s="123" t="s">
        <v>14506</v>
      </c>
      <c r="D1009" s="124" t="str">
        <f t="shared" si="16"/>
        <v>SENUSDT</v>
      </c>
      <c r="E1009" s="125" t="e">
        <f ca="1">VLOOKUP(D1009,'Курсы Бинанса'!B:C,2,FALSE)</f>
        <v>#N/A</v>
      </c>
    </row>
    <row r="1010" spans="1:5">
      <c r="A1010" s="121">
        <v>1008</v>
      </c>
      <c r="B1010" s="123" t="s">
        <v>14507</v>
      </c>
      <c r="C1010" s="123" t="s">
        <v>11787</v>
      </c>
      <c r="D1010" s="124" t="str">
        <f t="shared" si="16"/>
        <v>ABYSSUSDT</v>
      </c>
      <c r="E1010" s="125" t="e">
        <f ca="1">VLOOKUP(D1010,'Курсы Бинанса'!B:C,2,FALSE)</f>
        <v>#N/A</v>
      </c>
    </row>
    <row r="1011" spans="1:5">
      <c r="A1011" s="121">
        <v>1009</v>
      </c>
      <c r="B1011" s="123" t="s">
        <v>11788</v>
      </c>
      <c r="C1011" s="123" t="s">
        <v>11789</v>
      </c>
      <c r="D1011" s="124" t="str">
        <f t="shared" si="16"/>
        <v>UBXTUSDT</v>
      </c>
      <c r="E1011" s="125" t="e">
        <f ca="1">VLOOKUP(D1011,'Курсы Бинанса'!B:C,2,FALSE)</f>
        <v>#N/A</v>
      </c>
    </row>
    <row r="1012" spans="1:5">
      <c r="A1012" s="121">
        <v>1010</v>
      </c>
      <c r="B1012" s="123" t="s">
        <v>11790</v>
      </c>
      <c r="C1012" s="123" t="s">
        <v>11791</v>
      </c>
      <c r="D1012" s="124" t="str">
        <f t="shared" si="16"/>
        <v>ERCUSDT</v>
      </c>
      <c r="E1012" s="125" t="e">
        <f ca="1">VLOOKUP(D1012,'Курсы Бинанса'!B:C,2,FALSE)</f>
        <v>#N/A</v>
      </c>
    </row>
    <row r="1013" spans="1:5">
      <c r="A1013" s="121">
        <v>1011</v>
      </c>
      <c r="B1013" s="123" t="s">
        <v>11792</v>
      </c>
      <c r="C1013" s="123" t="s">
        <v>11793</v>
      </c>
      <c r="D1013" s="124" t="str">
        <f t="shared" si="16"/>
        <v>OKUSDT</v>
      </c>
      <c r="E1013" s="125" t="e">
        <f ca="1">VLOOKUP(D1013,'Курсы Бинанса'!B:C,2,FALSE)</f>
        <v>#N/A</v>
      </c>
    </row>
    <row r="1014" spans="1:5">
      <c r="A1014" s="121">
        <v>1012</v>
      </c>
      <c r="B1014" s="123" t="s">
        <v>11794</v>
      </c>
      <c r="C1014" s="123" t="s">
        <v>11794</v>
      </c>
      <c r="D1014" s="124" t="str">
        <f t="shared" si="16"/>
        <v>FLOUSDT</v>
      </c>
      <c r="E1014" s="125" t="e">
        <f ca="1">VLOOKUP(D1014,'Курсы Бинанса'!B:C,2,FALSE)</f>
        <v>#N/A</v>
      </c>
    </row>
    <row r="1015" spans="1:5">
      <c r="A1015" s="121">
        <v>1013</v>
      </c>
      <c r="B1015" s="123" t="s">
        <v>11795</v>
      </c>
      <c r="C1015" s="123" t="s">
        <v>11796</v>
      </c>
      <c r="D1015" s="124" t="str">
        <f t="shared" si="16"/>
        <v>SCRTUSDT</v>
      </c>
      <c r="E1015" s="125" t="e">
        <f ca="1">VLOOKUP(D1015,'Курсы Бинанса'!B:C,2,FALSE)</f>
        <v>#N/A</v>
      </c>
    </row>
    <row r="1016" spans="1:5">
      <c r="A1016" s="121">
        <v>1014</v>
      </c>
      <c r="B1016" s="123" t="s">
        <v>11797</v>
      </c>
      <c r="C1016" s="123" t="s">
        <v>11797</v>
      </c>
      <c r="D1016" s="124" t="str">
        <f t="shared" si="16"/>
        <v>FOAMUSDT</v>
      </c>
      <c r="E1016" s="125" t="e">
        <f ca="1">VLOOKUP(D1016,'Курсы Бинанса'!B:C,2,FALSE)</f>
        <v>#N/A</v>
      </c>
    </row>
    <row r="1017" spans="1:5">
      <c r="A1017" s="121">
        <v>1015</v>
      </c>
      <c r="B1017" s="123" t="s">
        <v>11798</v>
      </c>
      <c r="C1017" s="123" t="s">
        <v>11799</v>
      </c>
      <c r="D1017" s="124" t="str">
        <f t="shared" si="16"/>
        <v>AMBUSDT</v>
      </c>
      <c r="E1017" s="125" t="e">
        <f ca="1">VLOOKUP(D1017,'Курсы Бинанса'!B:C,2,FALSE)</f>
        <v>#N/A</v>
      </c>
    </row>
    <row r="1018" spans="1:5">
      <c r="A1018" s="121">
        <v>1016</v>
      </c>
      <c r="B1018" s="123" t="s">
        <v>11800</v>
      </c>
      <c r="C1018" s="123" t="s">
        <v>11801</v>
      </c>
      <c r="D1018" s="124" t="str">
        <f t="shared" si="16"/>
        <v>WARPUSDT</v>
      </c>
      <c r="E1018" s="125" t="e">
        <f ca="1">VLOOKUP(D1018,'Курсы Бинанса'!B:C,2,FALSE)</f>
        <v>#N/A</v>
      </c>
    </row>
    <row r="1019" spans="1:5">
      <c r="A1019" s="121">
        <v>1017</v>
      </c>
      <c r="B1019" s="123" t="s">
        <v>11802</v>
      </c>
      <c r="C1019" s="123" t="s">
        <v>11803</v>
      </c>
      <c r="D1019" s="124" t="str">
        <f t="shared" si="16"/>
        <v>CELRUSDT</v>
      </c>
      <c r="E1019" s="125" t="e">
        <f ca="1">VLOOKUP(D1019,'Курсы Бинанса'!B:C,2,FALSE)</f>
        <v>#N/A</v>
      </c>
    </row>
    <row r="1020" spans="1:5">
      <c r="A1020" s="121">
        <v>1018</v>
      </c>
      <c r="B1020" s="123" t="s">
        <v>11804</v>
      </c>
      <c r="C1020" s="123" t="s">
        <v>11805</v>
      </c>
      <c r="D1020" s="124" t="str">
        <f t="shared" si="16"/>
        <v>ONGUSDT</v>
      </c>
      <c r="E1020" s="125" t="e">
        <f ca="1">VLOOKUP(D1020,'Курсы Бинанса'!B:C,2,FALSE)</f>
        <v>#N/A</v>
      </c>
    </row>
    <row r="1021" spans="1:5">
      <c r="A1021" s="121">
        <v>1019</v>
      </c>
      <c r="B1021" s="123" t="s">
        <v>11806</v>
      </c>
      <c r="C1021" s="123" t="s">
        <v>11807</v>
      </c>
      <c r="D1021" s="124" t="str">
        <f t="shared" si="16"/>
        <v>SPCUSDT</v>
      </c>
      <c r="E1021" s="125" t="e">
        <f ca="1">VLOOKUP(D1021,'Курсы Бинанса'!B:C,2,FALSE)</f>
        <v>#N/A</v>
      </c>
    </row>
    <row r="1022" spans="1:5">
      <c r="A1022" s="121">
        <v>1020</v>
      </c>
      <c r="B1022" s="123" t="s">
        <v>11808</v>
      </c>
      <c r="C1022" s="123" t="s">
        <v>11809</v>
      </c>
      <c r="D1022" s="124" t="str">
        <f t="shared" si="16"/>
        <v>APMUSDT</v>
      </c>
      <c r="E1022" s="125" t="e">
        <f ca="1">VLOOKUP(D1022,'Курсы Бинанса'!B:C,2,FALSE)</f>
        <v>#N/A</v>
      </c>
    </row>
    <row r="1023" spans="1:5">
      <c r="A1023" s="121">
        <v>1021</v>
      </c>
      <c r="B1023" s="123" t="s">
        <v>11810</v>
      </c>
      <c r="C1023" s="123" t="s">
        <v>11805</v>
      </c>
      <c r="D1023" s="124" t="str">
        <f t="shared" si="16"/>
        <v>ONGUSDT</v>
      </c>
      <c r="E1023" s="125" t="e">
        <f ca="1">VLOOKUP(D1023,'Курсы Бинанса'!B:C,2,FALSE)</f>
        <v>#N/A</v>
      </c>
    </row>
    <row r="1024" spans="1:5">
      <c r="A1024" s="121">
        <v>1022</v>
      </c>
      <c r="B1024" s="123" t="s">
        <v>11811</v>
      </c>
      <c r="C1024" s="123" t="s">
        <v>11812</v>
      </c>
      <c r="D1024" s="124" t="str">
        <f t="shared" si="16"/>
        <v>CUMMIESUSDT</v>
      </c>
      <c r="E1024" s="125" t="e">
        <f ca="1">VLOOKUP(D1024,'Курсы Бинанса'!B:C,2,FALSE)</f>
        <v>#N/A</v>
      </c>
    </row>
    <row r="1025" spans="1:5">
      <c r="A1025" s="121">
        <v>1023</v>
      </c>
      <c r="B1025" s="123" t="s">
        <v>11813</v>
      </c>
      <c r="C1025" s="123" t="s">
        <v>11812</v>
      </c>
      <c r="D1025" s="124" t="str">
        <f t="shared" si="16"/>
        <v>CUMMIESUSDT</v>
      </c>
      <c r="E1025" s="125" t="e">
        <f ca="1">VLOOKUP(D1025,'Курсы Бинанса'!B:C,2,FALSE)</f>
        <v>#N/A</v>
      </c>
    </row>
    <row r="1026" spans="1:5">
      <c r="A1026" s="121">
        <v>1024</v>
      </c>
      <c r="B1026" s="123" t="s">
        <v>11814</v>
      </c>
      <c r="C1026" s="123" t="s">
        <v>11815</v>
      </c>
      <c r="D1026" s="124" t="str">
        <f t="shared" si="16"/>
        <v>DADIUSDT</v>
      </c>
      <c r="E1026" s="125" t="e">
        <f ca="1">VLOOKUP(D1026,'Курсы Бинанса'!B:C,2,FALSE)</f>
        <v>#N/A</v>
      </c>
    </row>
    <row r="1027" spans="1:5">
      <c r="A1027" s="121">
        <v>1025</v>
      </c>
      <c r="B1027" s="123" t="s">
        <v>11816</v>
      </c>
      <c r="C1027" s="123" t="s">
        <v>11817</v>
      </c>
      <c r="D1027" s="124" t="str">
        <f t="shared" si="16"/>
        <v>EMC2USDT</v>
      </c>
      <c r="E1027" s="125" t="e">
        <f ca="1">VLOOKUP(D1027,'Курсы Бинанса'!B:C,2,FALSE)</f>
        <v>#N/A</v>
      </c>
    </row>
    <row r="1028" spans="1:5">
      <c r="A1028" s="121">
        <v>1026</v>
      </c>
      <c r="B1028" s="123" t="s">
        <v>11818</v>
      </c>
      <c r="C1028" s="123" t="s">
        <v>11818</v>
      </c>
      <c r="D1028" s="124" t="str">
        <f t="shared" si="16"/>
        <v>MXCUSDT</v>
      </c>
      <c r="E1028" s="125" t="e">
        <f ca="1">VLOOKUP(D1028,'Курсы Бинанса'!B:C,2,FALSE)</f>
        <v>#N/A</v>
      </c>
    </row>
    <row r="1029" spans="1:5">
      <c r="A1029" s="121">
        <v>1027</v>
      </c>
      <c r="B1029" s="123" t="s">
        <v>11819</v>
      </c>
      <c r="C1029" s="123" t="s">
        <v>11819</v>
      </c>
      <c r="D1029" s="124" t="str">
        <f t="shared" si="16"/>
        <v>APIXUSDT</v>
      </c>
      <c r="E1029" s="125" t="e">
        <f ca="1">VLOOKUP(D1029,'Курсы Бинанса'!B:C,2,FALSE)</f>
        <v>#N/A</v>
      </c>
    </row>
    <row r="1030" spans="1:5">
      <c r="A1030" s="121">
        <v>1028</v>
      </c>
      <c r="B1030" s="123" t="s">
        <v>11820</v>
      </c>
      <c r="C1030" s="123" t="s">
        <v>11821</v>
      </c>
      <c r="D1030" s="124" t="str">
        <f t="shared" si="16"/>
        <v>BLANKUSDT</v>
      </c>
      <c r="E1030" s="125" t="e">
        <f ca="1">VLOOKUP(D1030,'Курсы Бинанса'!B:C,2,FALSE)</f>
        <v>#N/A</v>
      </c>
    </row>
    <row r="1031" spans="1:5">
      <c r="A1031" s="121">
        <v>1029</v>
      </c>
      <c r="B1031" s="123" t="s">
        <v>11822</v>
      </c>
      <c r="C1031" s="123" t="s">
        <v>11823</v>
      </c>
      <c r="D1031" s="124" t="str">
        <f t="shared" si="16"/>
        <v>IXCUSDT</v>
      </c>
      <c r="E1031" s="125" t="e">
        <f ca="1">VLOOKUP(D1031,'Курсы Бинанса'!B:C,2,FALSE)</f>
        <v>#N/A</v>
      </c>
    </row>
    <row r="1032" spans="1:5">
      <c r="A1032" s="121">
        <v>1030</v>
      </c>
      <c r="B1032" s="123" t="s">
        <v>11824</v>
      </c>
      <c r="C1032" s="123" t="s">
        <v>11825</v>
      </c>
      <c r="D1032" s="124" t="str">
        <f t="shared" si="16"/>
        <v>HAKKAUSDT</v>
      </c>
      <c r="E1032" s="125" t="e">
        <f ca="1">VLOOKUP(D1032,'Курсы Бинанса'!B:C,2,FALSE)</f>
        <v>#N/A</v>
      </c>
    </row>
    <row r="1033" spans="1:5">
      <c r="A1033" s="121">
        <v>1031</v>
      </c>
      <c r="B1033" s="123" t="s">
        <v>11826</v>
      </c>
      <c r="C1033" s="123" t="s">
        <v>11826</v>
      </c>
      <c r="D1033" s="124" t="str">
        <f t="shared" si="16"/>
        <v>AMLTUSDT</v>
      </c>
      <c r="E1033" s="125" t="e">
        <f ca="1">VLOOKUP(D1033,'Курсы Бинанса'!B:C,2,FALSE)</f>
        <v>#N/A</v>
      </c>
    </row>
    <row r="1034" spans="1:5">
      <c r="A1034" s="121">
        <v>1032</v>
      </c>
      <c r="B1034" s="123" t="s">
        <v>11827</v>
      </c>
      <c r="C1034" s="123" t="s">
        <v>11828</v>
      </c>
      <c r="D1034" s="124" t="str">
        <f t="shared" si="16"/>
        <v>EBSTUSDT</v>
      </c>
      <c r="E1034" s="125" t="e">
        <f ca="1">VLOOKUP(D1034,'Курсы Бинанса'!B:C,2,FALSE)</f>
        <v>#N/A</v>
      </c>
    </row>
    <row r="1035" spans="1:5">
      <c r="A1035" s="121">
        <v>1033</v>
      </c>
      <c r="B1035" s="123" t="s">
        <v>11829</v>
      </c>
      <c r="C1035" s="123" t="s">
        <v>11830</v>
      </c>
      <c r="D1035" s="124" t="str">
        <f t="shared" si="16"/>
        <v>XFIUSDT</v>
      </c>
      <c r="E1035" s="125" t="e">
        <f ca="1">VLOOKUP(D1035,'Курсы Бинанса'!B:C,2,FALSE)</f>
        <v>#N/A</v>
      </c>
    </row>
    <row r="1036" spans="1:5">
      <c r="A1036" s="121">
        <v>1034</v>
      </c>
      <c r="B1036" s="123" t="s">
        <v>11831</v>
      </c>
      <c r="C1036" s="123" t="s">
        <v>11832</v>
      </c>
      <c r="D1036" s="124" t="str">
        <f t="shared" si="16"/>
        <v>RCNUSDT</v>
      </c>
      <c r="E1036" s="125" t="e">
        <f ca="1">VLOOKUP(D1036,'Курсы Бинанса'!B:C,2,FALSE)</f>
        <v>#N/A</v>
      </c>
    </row>
    <row r="1037" spans="1:5">
      <c r="A1037" s="121">
        <v>1035</v>
      </c>
      <c r="B1037" s="123" t="s">
        <v>11833</v>
      </c>
      <c r="C1037" s="123" t="s">
        <v>11834</v>
      </c>
      <c r="D1037" s="124" t="str">
        <f t="shared" si="16"/>
        <v>TONEUSDT</v>
      </c>
      <c r="E1037" s="125" t="e">
        <f ca="1">VLOOKUP(D1037,'Курсы Бинанса'!B:C,2,FALSE)</f>
        <v>#N/A</v>
      </c>
    </row>
    <row r="1038" spans="1:5">
      <c r="A1038" s="121">
        <v>1036</v>
      </c>
      <c r="B1038" s="123" t="s">
        <v>11835</v>
      </c>
      <c r="C1038" s="123" t="s">
        <v>11836</v>
      </c>
      <c r="D1038" s="124" t="str">
        <f t="shared" si="16"/>
        <v>AG8USDT</v>
      </c>
      <c r="E1038" s="125" t="e">
        <f ca="1">VLOOKUP(D1038,'Курсы Бинанса'!B:C,2,FALSE)</f>
        <v>#N/A</v>
      </c>
    </row>
    <row r="1039" spans="1:5">
      <c r="A1039" s="121">
        <v>1037</v>
      </c>
      <c r="B1039" s="123" t="s">
        <v>11837</v>
      </c>
      <c r="C1039" s="123" t="s">
        <v>11838</v>
      </c>
      <c r="D1039" s="124" t="str">
        <f t="shared" si="16"/>
        <v>NOWUSDT</v>
      </c>
      <c r="E1039" s="125" t="e">
        <f ca="1">VLOOKUP(D1039,'Курсы Бинанса'!B:C,2,FALSE)</f>
        <v>#N/A</v>
      </c>
    </row>
    <row r="1040" spans="1:5">
      <c r="A1040" s="121">
        <v>1038</v>
      </c>
      <c r="B1040" s="123" t="s">
        <v>11839</v>
      </c>
      <c r="C1040" s="123" t="s">
        <v>11840</v>
      </c>
      <c r="D1040" s="124" t="str">
        <f t="shared" si="16"/>
        <v>KWIKUSDT</v>
      </c>
      <c r="E1040" s="125" t="e">
        <f ca="1">VLOOKUP(D1040,'Курсы Бинанса'!B:C,2,FALSE)</f>
        <v>#N/A</v>
      </c>
    </row>
    <row r="1041" spans="1:5">
      <c r="A1041" s="121">
        <v>1039</v>
      </c>
      <c r="B1041" s="123" t="s">
        <v>11841</v>
      </c>
      <c r="C1041" s="123" t="s">
        <v>11842</v>
      </c>
      <c r="D1041" s="124" t="str">
        <f t="shared" si="16"/>
        <v>BLYUSDT</v>
      </c>
      <c r="E1041" s="125" t="e">
        <f ca="1">VLOOKUP(D1041,'Курсы Бинанса'!B:C,2,FALSE)</f>
        <v>#N/A</v>
      </c>
    </row>
    <row r="1042" spans="1:5">
      <c r="A1042" s="121">
        <v>1040</v>
      </c>
      <c r="B1042" s="123" t="s">
        <v>11843</v>
      </c>
      <c r="C1042" s="123" t="s">
        <v>11844</v>
      </c>
      <c r="D1042" s="124" t="str">
        <f t="shared" si="16"/>
        <v>BUYUSDT</v>
      </c>
      <c r="E1042" s="125" t="e">
        <f ca="1">VLOOKUP(D1042,'Курсы Бинанса'!B:C,2,FALSE)</f>
        <v>#N/A</v>
      </c>
    </row>
    <row r="1043" spans="1:5">
      <c r="A1043" s="121">
        <v>1041</v>
      </c>
      <c r="B1043" s="123" t="s">
        <v>11845</v>
      </c>
      <c r="C1043" s="123" t="s">
        <v>11846</v>
      </c>
      <c r="D1043" s="124" t="str">
        <f t="shared" si="16"/>
        <v>LBCUSDT</v>
      </c>
      <c r="E1043" s="125" t="e">
        <f ca="1">VLOOKUP(D1043,'Курсы Бинанса'!B:C,2,FALSE)</f>
        <v>#N/A</v>
      </c>
    </row>
    <row r="1044" spans="1:5">
      <c r="A1044" s="121">
        <v>1042</v>
      </c>
      <c r="B1044" s="123" t="s">
        <v>11847</v>
      </c>
      <c r="C1044" s="123" t="s">
        <v>11848</v>
      </c>
      <c r="D1044" s="124" t="str">
        <f t="shared" si="16"/>
        <v>EOSCUSDT</v>
      </c>
      <c r="E1044" s="125" t="e">
        <f ca="1">VLOOKUP(D1044,'Курсы Бинанса'!B:C,2,FALSE)</f>
        <v>#N/A</v>
      </c>
    </row>
    <row r="1045" spans="1:5">
      <c r="A1045" s="121">
        <v>1043</v>
      </c>
      <c r="B1045" s="123" t="s">
        <v>11849</v>
      </c>
      <c r="C1045" s="123" t="s">
        <v>11850</v>
      </c>
      <c r="D1045" s="124" t="str">
        <f t="shared" si="16"/>
        <v>CRVUSDT</v>
      </c>
      <c r="E1045" s="125" t="e">
        <f ca="1">VLOOKUP(D1045,'Курсы Бинанса'!B:C,2,FALSE)</f>
        <v>#N/A</v>
      </c>
    </row>
    <row r="1046" spans="1:5">
      <c r="A1046" s="121">
        <v>1044</v>
      </c>
      <c r="B1046" s="123" t="s">
        <v>11851</v>
      </c>
      <c r="C1046" s="123" t="s">
        <v>11852</v>
      </c>
      <c r="D1046" s="124" t="str">
        <f t="shared" si="16"/>
        <v>PRSUSDT</v>
      </c>
      <c r="E1046" s="125" t="e">
        <f ca="1">VLOOKUP(D1046,'Курсы Бинанса'!B:C,2,FALSE)</f>
        <v>#N/A</v>
      </c>
    </row>
    <row r="1047" spans="1:5">
      <c r="A1047" s="121">
        <v>1045</v>
      </c>
      <c r="B1047" s="123" t="s">
        <v>11853</v>
      </c>
      <c r="C1047" s="123" t="s">
        <v>11854</v>
      </c>
      <c r="D1047" s="124" t="str">
        <f t="shared" si="16"/>
        <v>FTCUSDT</v>
      </c>
      <c r="E1047" s="125" t="e">
        <f ca="1">VLOOKUP(D1047,'Курсы Бинанса'!B:C,2,FALSE)</f>
        <v>#N/A</v>
      </c>
    </row>
    <row r="1048" spans="1:5">
      <c r="A1048" s="121">
        <v>1046</v>
      </c>
      <c r="B1048" s="123" t="s">
        <v>11855</v>
      </c>
      <c r="C1048" s="123" t="s">
        <v>11855</v>
      </c>
      <c r="D1048" s="124" t="str">
        <f t="shared" si="16"/>
        <v>NIXUSDT</v>
      </c>
      <c r="E1048" s="125" t="e">
        <f ca="1">VLOOKUP(D1048,'Курсы Бинанса'!B:C,2,FALSE)</f>
        <v>#N/A</v>
      </c>
    </row>
    <row r="1049" spans="1:5">
      <c r="A1049" s="121">
        <v>1047</v>
      </c>
      <c r="B1049" s="123" t="s">
        <v>11856</v>
      </c>
      <c r="C1049" s="123" t="s">
        <v>11857</v>
      </c>
      <c r="D1049" s="124" t="str">
        <f t="shared" si="16"/>
        <v>JULDUSDT</v>
      </c>
      <c r="E1049" s="125" t="e">
        <f ca="1">VLOOKUP(D1049,'Курсы Бинанса'!B:C,2,FALSE)</f>
        <v>#N/A</v>
      </c>
    </row>
    <row r="1050" spans="1:5">
      <c r="A1050" s="121">
        <v>1048</v>
      </c>
      <c r="B1050" s="123" t="s">
        <v>11858</v>
      </c>
      <c r="C1050" s="123" t="s">
        <v>11859</v>
      </c>
      <c r="D1050" s="124" t="str">
        <f t="shared" si="16"/>
        <v>PREUSDT</v>
      </c>
      <c r="E1050" s="125" t="e">
        <f ca="1">VLOOKUP(D1050,'Курсы Бинанса'!B:C,2,FALSE)</f>
        <v>#N/A</v>
      </c>
    </row>
    <row r="1051" spans="1:5">
      <c r="A1051" s="121">
        <v>1049</v>
      </c>
      <c r="B1051" s="123" t="s">
        <v>11860</v>
      </c>
      <c r="C1051" s="123" t="s">
        <v>11861</v>
      </c>
      <c r="D1051" s="124" t="str">
        <f t="shared" si="16"/>
        <v>BRZEUSDT</v>
      </c>
      <c r="E1051" s="125" t="e">
        <f ca="1">VLOOKUP(D1051,'Курсы Бинанса'!B:C,2,FALSE)</f>
        <v>#N/A</v>
      </c>
    </row>
    <row r="1052" spans="1:5">
      <c r="A1052" s="121">
        <v>1050</v>
      </c>
      <c r="B1052" s="123" t="s">
        <v>11862</v>
      </c>
      <c r="C1052" s="123" t="s">
        <v>11863</v>
      </c>
      <c r="D1052" s="124" t="str">
        <f t="shared" si="16"/>
        <v>HYDROUSDT</v>
      </c>
      <c r="E1052" s="125" t="e">
        <f ca="1">VLOOKUP(D1052,'Курсы Бинанса'!B:C,2,FALSE)</f>
        <v>#N/A</v>
      </c>
    </row>
    <row r="1053" spans="1:5">
      <c r="A1053" s="121">
        <v>1051</v>
      </c>
      <c r="B1053" s="123" t="s">
        <v>11864</v>
      </c>
      <c r="C1053" s="123" t="s">
        <v>11865</v>
      </c>
      <c r="D1053" s="124" t="str">
        <f t="shared" si="16"/>
        <v>BIRUSDT</v>
      </c>
      <c r="E1053" s="125" t="e">
        <f ca="1">VLOOKUP(D1053,'Курсы Бинанса'!B:C,2,FALSE)</f>
        <v>#N/A</v>
      </c>
    </row>
    <row r="1054" spans="1:5">
      <c r="A1054" s="121">
        <v>1052</v>
      </c>
      <c r="B1054" s="123" t="s">
        <v>11866</v>
      </c>
      <c r="C1054" s="123" t="s">
        <v>11867</v>
      </c>
      <c r="D1054" s="124" t="str">
        <f t="shared" si="16"/>
        <v>DREAMUSDT</v>
      </c>
      <c r="E1054" s="125" t="e">
        <f ca="1">VLOOKUP(D1054,'Курсы Бинанса'!B:C,2,FALSE)</f>
        <v>#N/A</v>
      </c>
    </row>
    <row r="1055" spans="1:5">
      <c r="A1055" s="121">
        <v>1053</v>
      </c>
      <c r="B1055" s="123" t="s">
        <v>11868</v>
      </c>
      <c r="C1055" s="123" t="s">
        <v>11869</v>
      </c>
      <c r="D1055" s="124" t="str">
        <f t="shared" si="16"/>
        <v>AXEUSDT</v>
      </c>
      <c r="E1055" s="125" t="e">
        <f ca="1">VLOOKUP(D1055,'Курсы Бинанса'!B:C,2,FALSE)</f>
        <v>#N/A</v>
      </c>
    </row>
    <row r="1056" spans="1:5">
      <c r="A1056" s="121">
        <v>1054</v>
      </c>
      <c r="B1056" s="123" t="s">
        <v>11870</v>
      </c>
      <c r="C1056" s="123" t="s">
        <v>11871</v>
      </c>
      <c r="D1056" s="124" t="str">
        <f t="shared" si="16"/>
        <v>MDTUSDT</v>
      </c>
      <c r="E1056" s="125" t="e">
        <f ca="1">VLOOKUP(D1056,'Курсы Бинанса'!B:C,2,FALSE)</f>
        <v>#N/A</v>
      </c>
    </row>
    <row r="1057" spans="1:5">
      <c r="A1057" s="121">
        <v>1055</v>
      </c>
      <c r="B1057" s="123" t="s">
        <v>11872</v>
      </c>
      <c r="C1057" s="123" t="s">
        <v>11873</v>
      </c>
      <c r="D1057" s="124" t="str">
        <f t="shared" si="16"/>
        <v>EDCUSDT</v>
      </c>
      <c r="E1057" s="125" t="e">
        <f ca="1">VLOOKUP(D1057,'Курсы Бинанса'!B:C,2,FALSE)</f>
        <v>#N/A</v>
      </c>
    </row>
    <row r="1058" spans="1:5">
      <c r="A1058" s="121">
        <v>1056</v>
      </c>
      <c r="B1058" s="123" t="s">
        <v>11874</v>
      </c>
      <c r="C1058" s="123" t="s">
        <v>11875</v>
      </c>
      <c r="D1058" s="124" t="str">
        <f t="shared" ref="D1058:D1121" si="17">CONCATENATE(C1058,"USDT")</f>
        <v>SNCUSDT</v>
      </c>
      <c r="E1058" s="125" t="e">
        <f ca="1">VLOOKUP(D1058,'Курсы Бинанса'!B:C,2,FALSE)</f>
        <v>#N/A</v>
      </c>
    </row>
    <row r="1059" spans="1:5">
      <c r="A1059" s="121">
        <v>1057</v>
      </c>
      <c r="B1059" s="123" t="s">
        <v>11876</v>
      </c>
      <c r="C1059" s="123" t="s">
        <v>11877</v>
      </c>
      <c r="D1059" s="124" t="str">
        <f t="shared" si="17"/>
        <v>WTTUSDT</v>
      </c>
      <c r="E1059" s="125" t="e">
        <f ca="1">VLOOKUP(D1059,'Курсы Бинанса'!B:C,2,FALSE)</f>
        <v>#N/A</v>
      </c>
    </row>
    <row r="1060" spans="1:5">
      <c r="A1060" s="121">
        <v>1058</v>
      </c>
      <c r="B1060" s="123" t="s">
        <v>11878</v>
      </c>
      <c r="C1060" s="123" t="s">
        <v>11879</v>
      </c>
      <c r="D1060" s="124" t="str">
        <f t="shared" si="17"/>
        <v>TRCUSDT</v>
      </c>
      <c r="E1060" s="125" t="e">
        <f ca="1">VLOOKUP(D1060,'Курсы Бинанса'!B:C,2,FALSE)</f>
        <v>#N/A</v>
      </c>
    </row>
    <row r="1061" spans="1:5">
      <c r="A1061" s="121">
        <v>1059</v>
      </c>
      <c r="B1061" s="123" t="s">
        <v>11880</v>
      </c>
      <c r="C1061" s="123" t="s">
        <v>11881</v>
      </c>
      <c r="D1061" s="124" t="str">
        <f t="shared" si="17"/>
        <v>CONVUSDT</v>
      </c>
      <c r="E1061" s="125" t="e">
        <f ca="1">VLOOKUP(D1061,'Курсы Бинанса'!B:C,2,FALSE)</f>
        <v>#N/A</v>
      </c>
    </row>
    <row r="1062" spans="1:5">
      <c r="A1062" s="121">
        <v>1060</v>
      </c>
      <c r="B1062" s="123" t="s">
        <v>11882</v>
      </c>
      <c r="C1062" s="123" t="s">
        <v>11883</v>
      </c>
      <c r="D1062" s="124" t="str">
        <f t="shared" si="17"/>
        <v>TERCUSDT</v>
      </c>
      <c r="E1062" s="125" t="e">
        <f ca="1">VLOOKUP(D1062,'Курсы Бинанса'!B:C,2,FALSE)</f>
        <v>#N/A</v>
      </c>
    </row>
    <row r="1063" spans="1:5">
      <c r="A1063" s="121">
        <v>1061</v>
      </c>
      <c r="B1063" s="123" t="s">
        <v>11884</v>
      </c>
      <c r="C1063" s="123" t="s">
        <v>11885</v>
      </c>
      <c r="D1063" s="124" t="str">
        <f t="shared" si="17"/>
        <v>SHOUSDT</v>
      </c>
      <c r="E1063" s="125" t="e">
        <f ca="1">VLOOKUP(D1063,'Курсы Бинанса'!B:C,2,FALSE)</f>
        <v>#N/A</v>
      </c>
    </row>
    <row r="1064" spans="1:5">
      <c r="A1064" s="121">
        <v>1062</v>
      </c>
      <c r="B1064" s="123" t="s">
        <v>11886</v>
      </c>
      <c r="C1064" s="123" t="s">
        <v>11887</v>
      </c>
      <c r="D1064" s="124" t="str">
        <f t="shared" si="17"/>
        <v>SIBUSDT</v>
      </c>
      <c r="E1064" s="125" t="e">
        <f ca="1">VLOOKUP(D1064,'Курсы Бинанса'!B:C,2,FALSE)</f>
        <v>#N/A</v>
      </c>
    </row>
    <row r="1065" spans="1:5">
      <c r="A1065" s="121">
        <v>1063</v>
      </c>
      <c r="B1065" s="123" t="s">
        <v>11888</v>
      </c>
      <c r="C1065" s="123" t="s">
        <v>11889</v>
      </c>
      <c r="D1065" s="124" t="str">
        <f t="shared" si="17"/>
        <v>RSRUSDT</v>
      </c>
      <c r="E1065" s="125" t="e">
        <f ca="1">VLOOKUP(D1065,'Курсы Бинанса'!B:C,2,FALSE)</f>
        <v>#N/A</v>
      </c>
    </row>
    <row r="1066" spans="1:5">
      <c r="A1066" s="121">
        <v>1064</v>
      </c>
      <c r="B1066" s="123" t="s">
        <v>11890</v>
      </c>
      <c r="C1066" s="123" t="s">
        <v>11891</v>
      </c>
      <c r="D1066" s="124" t="str">
        <f t="shared" si="17"/>
        <v>DMSTUSDT</v>
      </c>
      <c r="E1066" s="125" t="e">
        <f ca="1">VLOOKUP(D1066,'Курсы Бинанса'!B:C,2,FALSE)</f>
        <v>#N/A</v>
      </c>
    </row>
    <row r="1067" spans="1:5">
      <c r="A1067" s="121">
        <v>1065</v>
      </c>
      <c r="B1067" s="123" t="s">
        <v>11892</v>
      </c>
      <c r="C1067" s="123" t="s">
        <v>11893</v>
      </c>
      <c r="D1067" s="124" t="str">
        <f t="shared" si="17"/>
        <v>ZTUSDT</v>
      </c>
      <c r="E1067" s="125" t="e">
        <f ca="1">VLOOKUP(D1067,'Курсы Бинанса'!B:C,2,FALSE)</f>
        <v>#N/A</v>
      </c>
    </row>
    <row r="1068" spans="1:5">
      <c r="A1068" s="121">
        <v>1066</v>
      </c>
      <c r="B1068" s="123" t="s">
        <v>11894</v>
      </c>
      <c r="C1068" s="123" t="s">
        <v>11895</v>
      </c>
      <c r="D1068" s="124" t="str">
        <f t="shared" si="17"/>
        <v>ETHVUSDT</v>
      </c>
      <c r="E1068" s="125" t="e">
        <f ca="1">VLOOKUP(D1068,'Курсы Бинанса'!B:C,2,FALSE)</f>
        <v>#N/A</v>
      </c>
    </row>
    <row r="1069" spans="1:5">
      <c r="A1069" s="121">
        <v>1067</v>
      </c>
      <c r="B1069" s="123" t="s">
        <v>11896</v>
      </c>
      <c r="C1069" s="123" t="s">
        <v>11897</v>
      </c>
      <c r="D1069" s="124" t="str">
        <f t="shared" si="17"/>
        <v>QLCUSDT</v>
      </c>
      <c r="E1069" s="125" t="e">
        <f ca="1">VLOOKUP(D1069,'Курсы Бинанса'!B:C,2,FALSE)</f>
        <v>#N/A</v>
      </c>
    </row>
    <row r="1070" spans="1:5">
      <c r="A1070" s="121">
        <v>1068</v>
      </c>
      <c r="B1070" s="123" t="s">
        <v>11898</v>
      </c>
      <c r="C1070" s="123" t="s">
        <v>11899</v>
      </c>
      <c r="D1070" s="124" t="str">
        <f t="shared" si="17"/>
        <v>EVNUSDT</v>
      </c>
      <c r="E1070" s="125" t="e">
        <f ca="1">VLOOKUP(D1070,'Курсы Бинанса'!B:C,2,FALSE)</f>
        <v>#N/A</v>
      </c>
    </row>
    <row r="1071" spans="1:5">
      <c r="A1071" s="121">
        <v>1069</v>
      </c>
      <c r="B1071" s="123" t="s">
        <v>11900</v>
      </c>
      <c r="C1071" s="123" t="s">
        <v>11901</v>
      </c>
      <c r="D1071" s="124" t="str">
        <f t="shared" si="17"/>
        <v>TCTUSDT</v>
      </c>
      <c r="E1071" s="125" t="e">
        <f ca="1">VLOOKUP(D1071,'Курсы Бинанса'!B:C,2,FALSE)</f>
        <v>#N/A</v>
      </c>
    </row>
    <row r="1072" spans="1:5">
      <c r="A1072" s="121">
        <v>1070</v>
      </c>
      <c r="B1072" s="123" t="s">
        <v>11902</v>
      </c>
      <c r="C1072" s="123" t="s">
        <v>11902</v>
      </c>
      <c r="D1072" s="124" t="str">
        <f t="shared" si="17"/>
        <v>LCXUSDT</v>
      </c>
      <c r="E1072" s="125" t="e">
        <f ca="1">VLOOKUP(D1072,'Курсы Бинанса'!B:C,2,FALSE)</f>
        <v>#N/A</v>
      </c>
    </row>
    <row r="1073" spans="1:5">
      <c r="A1073" s="121">
        <v>1071</v>
      </c>
      <c r="B1073" s="123" t="s">
        <v>11903</v>
      </c>
      <c r="C1073" s="123" t="s">
        <v>11904</v>
      </c>
      <c r="D1073" s="124" t="str">
        <f t="shared" si="17"/>
        <v>CSUSDT</v>
      </c>
      <c r="E1073" s="125" t="e">
        <f ca="1">VLOOKUP(D1073,'Курсы Бинанса'!B:C,2,FALSE)</f>
        <v>#N/A</v>
      </c>
    </row>
    <row r="1074" spans="1:5">
      <c r="A1074" s="121">
        <v>1072</v>
      </c>
      <c r="B1074" s="123" t="s">
        <v>11905</v>
      </c>
      <c r="C1074" s="123" t="s">
        <v>11906</v>
      </c>
      <c r="D1074" s="124" t="str">
        <f t="shared" si="17"/>
        <v>HNSTUSDT</v>
      </c>
      <c r="E1074" s="125" t="e">
        <f ca="1">VLOOKUP(D1074,'Курсы Бинанса'!B:C,2,FALSE)</f>
        <v>#N/A</v>
      </c>
    </row>
    <row r="1075" spans="1:5">
      <c r="A1075" s="121">
        <v>1073</v>
      </c>
      <c r="B1075" s="123" t="s">
        <v>11907</v>
      </c>
      <c r="C1075" s="123" t="s">
        <v>11908</v>
      </c>
      <c r="D1075" s="124" t="str">
        <f t="shared" si="17"/>
        <v>RISEUSDT</v>
      </c>
      <c r="E1075" s="125" t="e">
        <f ca="1">VLOOKUP(D1075,'Курсы Бинанса'!B:C,2,FALSE)</f>
        <v>#N/A</v>
      </c>
    </row>
    <row r="1076" spans="1:5">
      <c r="A1076" s="121">
        <v>1074</v>
      </c>
      <c r="B1076" s="123" t="s">
        <v>11909</v>
      </c>
      <c r="C1076" s="123" t="s">
        <v>11908</v>
      </c>
      <c r="D1076" s="124" t="str">
        <f t="shared" si="17"/>
        <v>RISEUSDT</v>
      </c>
      <c r="E1076" s="125" t="e">
        <f ca="1">VLOOKUP(D1076,'Курсы Бинанса'!B:C,2,FALSE)</f>
        <v>#N/A</v>
      </c>
    </row>
    <row r="1077" spans="1:5">
      <c r="A1077" s="121">
        <v>1075</v>
      </c>
      <c r="B1077" s="123" t="s">
        <v>11910</v>
      </c>
      <c r="C1077" s="123" t="s">
        <v>11911</v>
      </c>
      <c r="D1077" s="124" t="str">
        <f t="shared" si="17"/>
        <v>EVCUSDT</v>
      </c>
      <c r="E1077" s="125" t="e">
        <f ca="1">VLOOKUP(D1077,'Курсы Бинанса'!B:C,2,FALSE)</f>
        <v>#N/A</v>
      </c>
    </row>
    <row r="1078" spans="1:5">
      <c r="A1078" s="121">
        <v>1076</v>
      </c>
      <c r="B1078" s="123" t="s">
        <v>11912</v>
      </c>
      <c r="C1078" s="123" t="s">
        <v>11912</v>
      </c>
      <c r="D1078" s="124" t="str">
        <f t="shared" si="17"/>
        <v>CUDOSUSDT</v>
      </c>
      <c r="E1078" s="125" t="e">
        <f ca="1">VLOOKUP(D1078,'Курсы Бинанса'!B:C,2,FALSE)</f>
        <v>#N/A</v>
      </c>
    </row>
    <row r="1079" spans="1:5">
      <c r="A1079" s="121">
        <v>1077</v>
      </c>
      <c r="B1079" s="123" t="s">
        <v>11913</v>
      </c>
      <c r="C1079" s="123" t="s">
        <v>11914</v>
      </c>
      <c r="D1079" s="124" t="str">
        <f t="shared" si="17"/>
        <v>BMCUSDT</v>
      </c>
      <c r="E1079" s="125" t="e">
        <f ca="1">VLOOKUP(D1079,'Курсы Бинанса'!B:C,2,FALSE)</f>
        <v>#N/A</v>
      </c>
    </row>
    <row r="1080" spans="1:5">
      <c r="A1080" s="121">
        <v>1078</v>
      </c>
      <c r="B1080" s="123" t="s">
        <v>11915</v>
      </c>
      <c r="C1080" s="123" t="s">
        <v>11916</v>
      </c>
      <c r="D1080" s="124" t="str">
        <f t="shared" si="17"/>
        <v>SHRUSDT</v>
      </c>
      <c r="E1080" s="125" t="e">
        <f ca="1">VLOOKUP(D1080,'Курсы Бинанса'!B:C,2,FALSE)</f>
        <v>#N/A</v>
      </c>
    </row>
    <row r="1081" spans="1:5">
      <c r="A1081" s="121">
        <v>1079</v>
      </c>
      <c r="B1081" s="123" t="s">
        <v>11917</v>
      </c>
      <c r="C1081" s="123" t="s">
        <v>11918</v>
      </c>
      <c r="D1081" s="124" t="str">
        <f t="shared" si="17"/>
        <v>QCHUSDT</v>
      </c>
      <c r="E1081" s="125" t="e">
        <f ca="1">VLOOKUP(D1081,'Курсы Бинанса'!B:C,2,FALSE)</f>
        <v>#N/A</v>
      </c>
    </row>
    <row r="1082" spans="1:5">
      <c r="A1082" s="121">
        <v>1080</v>
      </c>
      <c r="B1082" s="123" t="s">
        <v>11919</v>
      </c>
      <c r="C1082" s="123" t="s">
        <v>11920</v>
      </c>
      <c r="D1082" s="124" t="str">
        <f t="shared" si="17"/>
        <v>NLGUSDT</v>
      </c>
      <c r="E1082" s="125" t="e">
        <f ca="1">VLOOKUP(D1082,'Курсы Бинанса'!B:C,2,FALSE)</f>
        <v>#N/A</v>
      </c>
    </row>
    <row r="1083" spans="1:5">
      <c r="A1083" s="121">
        <v>1081</v>
      </c>
      <c r="B1083" s="123" t="s">
        <v>11921</v>
      </c>
      <c r="C1083" s="123" t="s">
        <v>11922</v>
      </c>
      <c r="D1083" s="124" t="str">
        <f t="shared" si="17"/>
        <v>STAUSDT</v>
      </c>
      <c r="E1083" s="125" t="e">
        <f ca="1">VLOOKUP(D1083,'Курсы Бинанса'!B:C,2,FALSE)</f>
        <v>#N/A</v>
      </c>
    </row>
    <row r="1084" spans="1:5">
      <c r="A1084" s="121">
        <v>1082</v>
      </c>
      <c r="B1084" s="123" t="s">
        <v>11923</v>
      </c>
      <c r="C1084" s="123" t="s">
        <v>11924</v>
      </c>
      <c r="D1084" s="124" t="str">
        <f t="shared" si="17"/>
        <v>AKROUSDT</v>
      </c>
      <c r="E1084" s="125" t="e">
        <f ca="1">VLOOKUP(D1084,'Курсы Бинанса'!B:C,2,FALSE)</f>
        <v>#N/A</v>
      </c>
    </row>
    <row r="1085" spans="1:5">
      <c r="A1085" s="121">
        <v>1083</v>
      </c>
      <c r="B1085" s="123" t="s">
        <v>11925</v>
      </c>
      <c r="C1085" s="123" t="s">
        <v>11926</v>
      </c>
      <c r="D1085" s="124" t="str">
        <f t="shared" si="17"/>
        <v>BURSTUSDT</v>
      </c>
      <c r="E1085" s="125" t="e">
        <f ca="1">VLOOKUP(D1085,'Курсы Бинанса'!B:C,2,FALSE)</f>
        <v>#N/A</v>
      </c>
    </row>
    <row r="1086" spans="1:5">
      <c r="A1086" s="121">
        <v>1084</v>
      </c>
      <c r="B1086" s="123" t="s">
        <v>11927</v>
      </c>
      <c r="C1086" s="123" t="s">
        <v>11928</v>
      </c>
      <c r="D1086" s="124" t="str">
        <f t="shared" si="17"/>
        <v>X42USDT</v>
      </c>
      <c r="E1086" s="125" t="e">
        <f ca="1">VLOOKUP(D1086,'Курсы Бинанса'!B:C,2,FALSE)</f>
        <v>#N/A</v>
      </c>
    </row>
    <row r="1087" spans="1:5">
      <c r="A1087" s="121">
        <v>1085</v>
      </c>
      <c r="B1087" s="123" t="s">
        <v>11929</v>
      </c>
      <c r="C1087" s="123" t="s">
        <v>11929</v>
      </c>
      <c r="D1087" s="124" t="str">
        <f t="shared" si="17"/>
        <v>ASKOUSDT</v>
      </c>
      <c r="E1087" s="125" t="e">
        <f ca="1">VLOOKUP(D1087,'Курсы Бинанса'!B:C,2,FALSE)</f>
        <v>#N/A</v>
      </c>
    </row>
    <row r="1088" spans="1:5">
      <c r="A1088" s="121">
        <v>1086</v>
      </c>
      <c r="B1088" s="123" t="s">
        <v>11930</v>
      </c>
      <c r="C1088" s="123" t="s">
        <v>11931</v>
      </c>
      <c r="D1088" s="124" t="str">
        <f t="shared" si="17"/>
        <v>GRNUSDT</v>
      </c>
      <c r="E1088" s="125" t="e">
        <f ca="1">VLOOKUP(D1088,'Курсы Бинанса'!B:C,2,FALSE)</f>
        <v>#N/A</v>
      </c>
    </row>
    <row r="1089" spans="1:5">
      <c r="A1089" s="121">
        <v>1087</v>
      </c>
      <c r="B1089" s="123" t="s">
        <v>11932</v>
      </c>
      <c r="C1089" s="123" t="s">
        <v>11933</v>
      </c>
      <c r="D1089" s="124" t="str">
        <f t="shared" si="17"/>
        <v>GOUSDT</v>
      </c>
      <c r="E1089" s="125" t="e">
        <f ca="1">VLOOKUP(D1089,'Курсы Бинанса'!B:C,2,FALSE)</f>
        <v>#N/A</v>
      </c>
    </row>
    <row r="1090" spans="1:5">
      <c r="A1090" s="121">
        <v>1088</v>
      </c>
      <c r="B1090" s="123" t="s">
        <v>11934</v>
      </c>
      <c r="C1090" s="123" t="s">
        <v>11935</v>
      </c>
      <c r="D1090" s="124" t="str">
        <f t="shared" si="17"/>
        <v>INSTARUSDT</v>
      </c>
      <c r="E1090" s="125" t="e">
        <f ca="1">VLOOKUP(D1090,'Курсы Бинанса'!B:C,2,FALSE)</f>
        <v>#N/A</v>
      </c>
    </row>
    <row r="1091" spans="1:5">
      <c r="A1091" s="121">
        <v>1089</v>
      </c>
      <c r="B1091" s="123" t="s">
        <v>11936</v>
      </c>
      <c r="C1091" s="123" t="s">
        <v>11937</v>
      </c>
      <c r="D1091" s="124" t="str">
        <f t="shared" si="17"/>
        <v>HYFIUSDT</v>
      </c>
      <c r="E1091" s="125" t="e">
        <f ca="1">VLOOKUP(D1091,'Курсы Бинанса'!B:C,2,FALSE)</f>
        <v>#N/A</v>
      </c>
    </row>
    <row r="1092" spans="1:5">
      <c r="A1092" s="121">
        <v>1090</v>
      </c>
      <c r="B1092" s="123" t="s">
        <v>11938</v>
      </c>
      <c r="C1092" s="123" t="s">
        <v>11939</v>
      </c>
      <c r="D1092" s="124" t="str">
        <f t="shared" si="17"/>
        <v>GIOUSDT</v>
      </c>
      <c r="E1092" s="125" t="e">
        <f ca="1">VLOOKUP(D1092,'Курсы Бинанса'!B:C,2,FALSE)</f>
        <v>#N/A</v>
      </c>
    </row>
    <row r="1093" spans="1:5">
      <c r="A1093" s="121">
        <v>1091</v>
      </c>
      <c r="B1093" s="123" t="s">
        <v>11940</v>
      </c>
      <c r="C1093" s="123" t="s">
        <v>11940</v>
      </c>
      <c r="D1093" s="124" t="str">
        <f t="shared" si="17"/>
        <v>IOSTUSDT</v>
      </c>
      <c r="E1093" s="125" t="e">
        <f ca="1">VLOOKUP(D1093,'Курсы Бинанса'!B:C,2,FALSE)</f>
        <v>#N/A</v>
      </c>
    </row>
    <row r="1094" spans="1:5">
      <c r="A1094" s="121">
        <v>1092</v>
      </c>
      <c r="B1094" s="123" t="s">
        <v>11941</v>
      </c>
      <c r="C1094" s="123" t="s">
        <v>11942</v>
      </c>
      <c r="D1094" s="124" t="str">
        <f t="shared" si="17"/>
        <v>XVGUSDT</v>
      </c>
      <c r="E1094" s="125" t="e">
        <f ca="1">VLOOKUP(D1094,'Курсы Бинанса'!B:C,2,FALSE)</f>
        <v>#N/A</v>
      </c>
    </row>
    <row r="1095" spans="1:5">
      <c r="A1095" s="121">
        <v>1093</v>
      </c>
      <c r="B1095" s="123" t="s">
        <v>11943</v>
      </c>
      <c r="C1095" s="123" t="s">
        <v>11944</v>
      </c>
      <c r="D1095" s="124" t="str">
        <f t="shared" si="17"/>
        <v>PSTUSDT</v>
      </c>
      <c r="E1095" s="125" t="e">
        <f ca="1">VLOOKUP(D1095,'Курсы Бинанса'!B:C,2,FALSE)</f>
        <v>#N/A</v>
      </c>
    </row>
    <row r="1096" spans="1:5">
      <c r="A1096" s="121">
        <v>1094</v>
      </c>
      <c r="B1096" s="123" t="s">
        <v>11945</v>
      </c>
      <c r="C1096" s="123" t="s">
        <v>11946</v>
      </c>
      <c r="D1096" s="124" t="str">
        <f t="shared" si="17"/>
        <v>DVPNUSDT</v>
      </c>
      <c r="E1096" s="125" t="e">
        <f ca="1">VLOOKUP(D1096,'Курсы Бинанса'!B:C,2,FALSE)</f>
        <v>#N/A</v>
      </c>
    </row>
    <row r="1097" spans="1:5">
      <c r="A1097" s="121">
        <v>1095</v>
      </c>
      <c r="B1097" s="123" t="s">
        <v>11947</v>
      </c>
      <c r="C1097" s="123" t="s">
        <v>11948</v>
      </c>
      <c r="D1097" s="124" t="str">
        <f t="shared" si="17"/>
        <v>QCXUSDT</v>
      </c>
      <c r="E1097" s="125" t="e">
        <f ca="1">VLOOKUP(D1097,'Курсы Бинанса'!B:C,2,FALSE)</f>
        <v>#N/A</v>
      </c>
    </row>
    <row r="1098" spans="1:5">
      <c r="A1098" s="121">
        <v>1096</v>
      </c>
      <c r="B1098" s="123" t="s">
        <v>11949</v>
      </c>
      <c r="C1098" s="123" t="s">
        <v>11950</v>
      </c>
      <c r="D1098" s="124" t="str">
        <f t="shared" si="17"/>
        <v>MTHUSDT</v>
      </c>
      <c r="E1098" s="125" t="e">
        <f ca="1">VLOOKUP(D1098,'Курсы Бинанса'!B:C,2,FALSE)</f>
        <v>#N/A</v>
      </c>
    </row>
    <row r="1099" spans="1:5">
      <c r="A1099" s="121">
        <v>1097</v>
      </c>
      <c r="B1099" s="123" t="s">
        <v>11951</v>
      </c>
      <c r="C1099" s="123" t="s">
        <v>11952</v>
      </c>
      <c r="D1099" s="124" t="str">
        <f t="shared" si="17"/>
        <v>WNLUSDT</v>
      </c>
      <c r="E1099" s="125" t="e">
        <f ca="1">VLOOKUP(D1099,'Курсы Бинанса'!B:C,2,FALSE)</f>
        <v>#N/A</v>
      </c>
    </row>
    <row r="1100" spans="1:5">
      <c r="A1100" s="121">
        <v>1098</v>
      </c>
      <c r="B1100" s="123" t="s">
        <v>11953</v>
      </c>
      <c r="C1100" s="123" t="s">
        <v>11954</v>
      </c>
      <c r="D1100" s="124" t="str">
        <f t="shared" si="17"/>
        <v>GAPUSDT</v>
      </c>
      <c r="E1100" s="125" t="e">
        <f ca="1">VLOOKUP(D1100,'Курсы Бинанса'!B:C,2,FALSE)</f>
        <v>#N/A</v>
      </c>
    </row>
    <row r="1101" spans="1:5">
      <c r="A1101" s="121">
        <v>1099</v>
      </c>
      <c r="B1101" s="123" t="s">
        <v>11955</v>
      </c>
      <c r="C1101" s="123" t="s">
        <v>11956</v>
      </c>
      <c r="D1101" s="124" t="str">
        <f t="shared" si="17"/>
        <v>SHAREUSDT</v>
      </c>
      <c r="E1101" s="125" t="e">
        <f ca="1">VLOOKUP(D1101,'Курсы Бинанса'!B:C,2,FALSE)</f>
        <v>#N/A</v>
      </c>
    </row>
    <row r="1102" spans="1:5">
      <c r="A1102" s="121">
        <v>1100</v>
      </c>
      <c r="B1102" s="123" t="s">
        <v>11957</v>
      </c>
      <c r="C1102" s="123" t="s">
        <v>11958</v>
      </c>
      <c r="D1102" s="124" t="str">
        <f t="shared" si="17"/>
        <v>MGOUSDT</v>
      </c>
      <c r="E1102" s="125" t="e">
        <f ca="1">VLOOKUP(D1102,'Курсы Бинанса'!B:C,2,FALSE)</f>
        <v>#N/A</v>
      </c>
    </row>
    <row r="1103" spans="1:5">
      <c r="A1103" s="121">
        <v>1101</v>
      </c>
      <c r="B1103" s="123" t="s">
        <v>11959</v>
      </c>
      <c r="C1103" s="123" t="s">
        <v>11960</v>
      </c>
      <c r="D1103" s="124" t="str">
        <f t="shared" si="17"/>
        <v>2KEYUSDT</v>
      </c>
      <c r="E1103" s="125" t="e">
        <f ca="1">VLOOKUP(D1103,'Курсы Бинанса'!B:C,2,FALSE)</f>
        <v>#N/A</v>
      </c>
    </row>
    <row r="1104" spans="1:5">
      <c r="A1104" s="121">
        <v>1102</v>
      </c>
      <c r="B1104" s="123" t="s">
        <v>11961</v>
      </c>
      <c r="C1104" s="123" t="s">
        <v>11962</v>
      </c>
      <c r="D1104" s="124" t="str">
        <f t="shared" si="17"/>
        <v>STMXUSDT</v>
      </c>
      <c r="E1104" s="125" t="e">
        <f ca="1">VLOOKUP(D1104,'Курсы Бинанса'!B:C,2,FALSE)</f>
        <v>#N/A</v>
      </c>
    </row>
    <row r="1105" spans="1:5">
      <c r="A1105" s="121">
        <v>1103</v>
      </c>
      <c r="B1105" s="123" t="s">
        <v>11963</v>
      </c>
      <c r="C1105" s="123" t="s">
        <v>11964</v>
      </c>
      <c r="D1105" s="124" t="str">
        <f t="shared" si="17"/>
        <v>IOTXUSDT</v>
      </c>
      <c r="E1105" s="125" t="e">
        <f ca="1">VLOOKUP(D1105,'Курсы Бинанса'!B:C,2,FALSE)</f>
        <v>#N/A</v>
      </c>
    </row>
    <row r="1106" spans="1:5">
      <c r="A1106" s="121">
        <v>1104</v>
      </c>
      <c r="B1106" s="123" t="s">
        <v>11965</v>
      </c>
      <c r="C1106" s="123" t="s">
        <v>11966</v>
      </c>
      <c r="D1106" s="124" t="str">
        <f t="shared" si="17"/>
        <v>BFTUSDT</v>
      </c>
      <c r="E1106" s="125" t="e">
        <f ca="1">VLOOKUP(D1106,'Курсы Бинанса'!B:C,2,FALSE)</f>
        <v>#N/A</v>
      </c>
    </row>
    <row r="1107" spans="1:5">
      <c r="A1107" s="121">
        <v>1105</v>
      </c>
      <c r="B1107" s="123" t="s">
        <v>11967</v>
      </c>
      <c r="C1107" s="123" t="s">
        <v>11967</v>
      </c>
      <c r="D1107" s="124" t="str">
        <f t="shared" si="17"/>
        <v>BIKIUSDT</v>
      </c>
      <c r="E1107" s="125" t="e">
        <f ca="1">VLOOKUP(D1107,'Курсы Бинанса'!B:C,2,FALSE)</f>
        <v>#N/A</v>
      </c>
    </row>
    <row r="1108" spans="1:5">
      <c r="A1108" s="121">
        <v>1106</v>
      </c>
      <c r="B1108" s="123" t="s">
        <v>11968</v>
      </c>
      <c r="C1108" s="123" t="s">
        <v>11969</v>
      </c>
      <c r="D1108" s="124" t="str">
        <f t="shared" si="17"/>
        <v>CHPUSDT</v>
      </c>
      <c r="E1108" s="125" t="e">
        <f ca="1">VLOOKUP(D1108,'Курсы Бинанса'!B:C,2,FALSE)</f>
        <v>#N/A</v>
      </c>
    </row>
    <row r="1109" spans="1:5">
      <c r="A1109" s="121">
        <v>1107</v>
      </c>
      <c r="B1109" s="123" t="s">
        <v>11970</v>
      </c>
      <c r="C1109" s="123" t="s">
        <v>11971</v>
      </c>
      <c r="D1109" s="124" t="str">
        <f t="shared" si="17"/>
        <v>BIDUSDT</v>
      </c>
      <c r="E1109" s="125" t="e">
        <f ca="1">VLOOKUP(D1109,'Курсы Бинанса'!B:C,2,FALSE)</f>
        <v>#N/A</v>
      </c>
    </row>
    <row r="1110" spans="1:5">
      <c r="A1110" s="121">
        <v>1108</v>
      </c>
      <c r="B1110" s="123" t="s">
        <v>11972</v>
      </c>
      <c r="C1110" s="123" t="s">
        <v>11971</v>
      </c>
      <c r="D1110" s="124" t="str">
        <f t="shared" si="17"/>
        <v>BIDUSDT</v>
      </c>
      <c r="E1110" s="125" t="e">
        <f ca="1">VLOOKUP(D1110,'Курсы Бинанса'!B:C,2,FALSE)</f>
        <v>#N/A</v>
      </c>
    </row>
    <row r="1111" spans="1:5">
      <c r="A1111" s="121">
        <v>1109</v>
      </c>
      <c r="B1111" s="123" t="s">
        <v>11973</v>
      </c>
      <c r="C1111" s="123" t="s">
        <v>11974</v>
      </c>
      <c r="D1111" s="124" t="str">
        <f t="shared" si="17"/>
        <v>INDUSDT</v>
      </c>
      <c r="E1111" s="125" t="e">
        <f ca="1">VLOOKUP(D1111,'Курсы Бинанса'!B:C,2,FALSE)</f>
        <v>#N/A</v>
      </c>
    </row>
    <row r="1112" spans="1:5">
      <c r="A1112" s="121">
        <v>1110</v>
      </c>
      <c r="B1112" s="123" t="s">
        <v>11975</v>
      </c>
      <c r="C1112" s="123" t="s">
        <v>11976</v>
      </c>
      <c r="D1112" s="124" t="str">
        <f t="shared" si="17"/>
        <v>ABLUSDT</v>
      </c>
      <c r="E1112" s="125" t="e">
        <f ca="1">VLOOKUP(D1112,'Курсы Бинанса'!B:C,2,FALSE)</f>
        <v>#N/A</v>
      </c>
    </row>
    <row r="1113" spans="1:5">
      <c r="A1113" s="121">
        <v>1111</v>
      </c>
      <c r="B1113" s="123" t="s">
        <v>11977</v>
      </c>
      <c r="C1113" s="123" t="s">
        <v>11978</v>
      </c>
      <c r="D1113" s="124" t="str">
        <f t="shared" si="17"/>
        <v>MASUSDT</v>
      </c>
      <c r="E1113" s="125" t="e">
        <f ca="1">VLOOKUP(D1113,'Курсы Бинанса'!B:C,2,FALSE)</f>
        <v>#N/A</v>
      </c>
    </row>
    <row r="1114" spans="1:5">
      <c r="A1114" s="121">
        <v>1112</v>
      </c>
      <c r="B1114" s="123" t="s">
        <v>11979</v>
      </c>
      <c r="C1114" s="123" t="s">
        <v>11980</v>
      </c>
      <c r="D1114" s="124" t="str">
        <f t="shared" si="17"/>
        <v>RVPUSDT</v>
      </c>
      <c r="E1114" s="125" t="e">
        <f ca="1">VLOOKUP(D1114,'Курсы Бинанса'!B:C,2,FALSE)</f>
        <v>#N/A</v>
      </c>
    </row>
    <row r="1115" spans="1:5">
      <c r="A1115" s="121">
        <v>1113</v>
      </c>
      <c r="B1115" s="123" t="s">
        <v>11981</v>
      </c>
      <c r="C1115" s="123" t="s">
        <v>11982</v>
      </c>
      <c r="D1115" s="124" t="str">
        <f t="shared" si="17"/>
        <v>GLQUSDT</v>
      </c>
      <c r="E1115" s="125" t="e">
        <f ca="1">VLOOKUP(D1115,'Курсы Бинанса'!B:C,2,FALSE)</f>
        <v>#N/A</v>
      </c>
    </row>
    <row r="1116" spans="1:5">
      <c r="A1116" s="121">
        <v>1114</v>
      </c>
      <c r="B1116" s="123" t="s">
        <v>11983</v>
      </c>
      <c r="C1116" s="123" t="s">
        <v>11984</v>
      </c>
      <c r="D1116" s="124" t="str">
        <f t="shared" si="17"/>
        <v>SOCUSDT</v>
      </c>
      <c r="E1116" s="125" t="e">
        <f ca="1">VLOOKUP(D1116,'Курсы Бинанса'!B:C,2,FALSE)</f>
        <v>#N/A</v>
      </c>
    </row>
    <row r="1117" spans="1:5">
      <c r="A1117" s="121">
        <v>1115</v>
      </c>
      <c r="B1117" s="123" t="s">
        <v>11985</v>
      </c>
      <c r="C1117" s="123" t="s">
        <v>11986</v>
      </c>
      <c r="D1117" s="124" t="str">
        <f t="shared" si="17"/>
        <v>FORUSDT</v>
      </c>
      <c r="E1117" s="125" t="e">
        <f ca="1">VLOOKUP(D1117,'Курсы Бинанса'!B:C,2,FALSE)</f>
        <v>#N/A</v>
      </c>
    </row>
    <row r="1118" spans="1:5">
      <c r="A1118" s="121">
        <v>1116</v>
      </c>
      <c r="B1118" s="123" t="s">
        <v>11987</v>
      </c>
      <c r="C1118" s="123" t="s">
        <v>11988</v>
      </c>
      <c r="D1118" s="124" t="str">
        <f t="shared" si="17"/>
        <v>MAPUSDT</v>
      </c>
      <c r="E1118" s="125" t="e">
        <f ca="1">VLOOKUP(D1118,'Курсы Бинанса'!B:C,2,FALSE)</f>
        <v>#N/A</v>
      </c>
    </row>
    <row r="1119" spans="1:5">
      <c r="A1119" s="121">
        <v>1117</v>
      </c>
      <c r="B1119" s="123" t="s">
        <v>11989</v>
      </c>
      <c r="C1119" s="123" t="s">
        <v>11990</v>
      </c>
      <c r="D1119" s="124" t="str">
        <f t="shared" si="17"/>
        <v>VSYSUSDT</v>
      </c>
      <c r="E1119" s="125" t="e">
        <f ca="1">VLOOKUP(D1119,'Курсы Бинанса'!B:C,2,FALSE)</f>
        <v>#N/A</v>
      </c>
    </row>
    <row r="1120" spans="1:5">
      <c r="A1120" s="121">
        <v>1118</v>
      </c>
      <c r="B1120" s="123" t="s">
        <v>11991</v>
      </c>
      <c r="C1120" s="123" t="s">
        <v>11992</v>
      </c>
      <c r="D1120" s="124" t="str">
        <f t="shared" si="17"/>
        <v>RINGXUSDT</v>
      </c>
      <c r="E1120" s="125" t="e">
        <f ca="1">VLOOKUP(D1120,'Курсы Бинанса'!B:C,2,FALSE)</f>
        <v>#N/A</v>
      </c>
    </row>
    <row r="1121" spans="1:5">
      <c r="A1121" s="121">
        <v>1119</v>
      </c>
      <c r="B1121" s="123" t="s">
        <v>11993</v>
      </c>
      <c r="C1121" s="123" t="s">
        <v>11994</v>
      </c>
      <c r="D1121" s="124" t="str">
        <f t="shared" si="17"/>
        <v>UDOOUSDT</v>
      </c>
      <c r="E1121" s="125" t="e">
        <f ca="1">VLOOKUP(D1121,'Курсы Бинанса'!B:C,2,FALSE)</f>
        <v>#N/A</v>
      </c>
    </row>
    <row r="1122" spans="1:5">
      <c r="A1122" s="121">
        <v>1120</v>
      </c>
      <c r="B1122" s="123" t="s">
        <v>11995</v>
      </c>
      <c r="C1122" s="123" t="s">
        <v>11996</v>
      </c>
      <c r="D1122" s="124" t="str">
        <f t="shared" ref="D1122:D1185" si="18">CONCATENATE(C1122,"USDT")</f>
        <v>IGNISUSDT</v>
      </c>
      <c r="E1122" s="125" t="e">
        <f ca="1">VLOOKUP(D1122,'Курсы Бинанса'!B:C,2,FALSE)</f>
        <v>#N/A</v>
      </c>
    </row>
    <row r="1123" spans="1:5">
      <c r="A1123" s="121">
        <v>1121</v>
      </c>
      <c r="B1123" s="123" t="s">
        <v>11997</v>
      </c>
      <c r="C1123" s="123" t="s">
        <v>11998</v>
      </c>
      <c r="D1123" s="124" t="str">
        <f t="shared" si="18"/>
        <v>L2USDT</v>
      </c>
      <c r="E1123" s="125" t="e">
        <f ca="1">VLOOKUP(D1123,'Курсы Бинанса'!B:C,2,FALSE)</f>
        <v>#N/A</v>
      </c>
    </row>
    <row r="1124" spans="1:5">
      <c r="A1124" s="121">
        <v>1122</v>
      </c>
      <c r="B1124" s="123" t="s">
        <v>11999</v>
      </c>
      <c r="C1124" s="123" t="s">
        <v>12000</v>
      </c>
      <c r="D1124" s="124" t="str">
        <f t="shared" si="18"/>
        <v>TOWERUSDT</v>
      </c>
      <c r="E1124" s="125" t="e">
        <f ca="1">VLOOKUP(D1124,'Курсы Бинанса'!B:C,2,FALSE)</f>
        <v>#N/A</v>
      </c>
    </row>
    <row r="1125" spans="1:5">
      <c r="A1125" s="121">
        <v>1123</v>
      </c>
      <c r="B1125" s="123" t="s">
        <v>12001</v>
      </c>
      <c r="C1125" s="123" t="s">
        <v>12002</v>
      </c>
      <c r="D1125" s="124" t="str">
        <f t="shared" si="18"/>
        <v>BARTUSDT</v>
      </c>
      <c r="E1125" s="125" t="e">
        <f ca="1">VLOOKUP(D1125,'Курсы Бинанса'!B:C,2,FALSE)</f>
        <v>#N/A</v>
      </c>
    </row>
    <row r="1126" spans="1:5">
      <c r="A1126" s="121">
        <v>1124</v>
      </c>
      <c r="B1126" s="123" t="s">
        <v>12003</v>
      </c>
      <c r="C1126" s="123" t="s">
        <v>12004</v>
      </c>
      <c r="D1126" s="124" t="str">
        <f t="shared" si="18"/>
        <v>OLYUSDT</v>
      </c>
      <c r="E1126" s="125" t="e">
        <f ca="1">VLOOKUP(D1126,'Курсы Бинанса'!B:C,2,FALSE)</f>
        <v>#N/A</v>
      </c>
    </row>
    <row r="1127" spans="1:5">
      <c r="A1127" s="121">
        <v>1125</v>
      </c>
      <c r="B1127" s="123" t="s">
        <v>12005</v>
      </c>
      <c r="C1127" s="123" t="s">
        <v>12006</v>
      </c>
      <c r="D1127" s="124" t="str">
        <f t="shared" si="18"/>
        <v>XAURUSDT</v>
      </c>
      <c r="E1127" s="125" t="e">
        <f ca="1">VLOOKUP(D1127,'Курсы Бинанса'!B:C,2,FALSE)</f>
        <v>#N/A</v>
      </c>
    </row>
    <row r="1128" spans="1:5">
      <c r="A1128" s="121">
        <v>1126</v>
      </c>
      <c r="B1128" s="123" t="s">
        <v>12007</v>
      </c>
      <c r="C1128" s="123" t="s">
        <v>12008</v>
      </c>
      <c r="D1128" s="124" t="str">
        <f t="shared" si="18"/>
        <v>PLAYUSDT</v>
      </c>
      <c r="E1128" s="125" t="e">
        <f ca="1">VLOOKUP(D1128,'Курсы Бинанса'!B:C,2,FALSE)</f>
        <v>#N/A</v>
      </c>
    </row>
    <row r="1129" spans="1:5">
      <c r="A1129" s="121">
        <v>1127</v>
      </c>
      <c r="B1129" s="123" t="s">
        <v>12009</v>
      </c>
      <c r="C1129" s="123" t="s">
        <v>12010</v>
      </c>
      <c r="D1129" s="124" t="str">
        <f t="shared" si="18"/>
        <v>SOTAUSDT</v>
      </c>
      <c r="E1129" s="125" t="e">
        <f ca="1">VLOOKUP(D1129,'Курсы Бинанса'!B:C,2,FALSE)</f>
        <v>#N/A</v>
      </c>
    </row>
    <row r="1130" spans="1:5">
      <c r="A1130" s="121">
        <v>1128</v>
      </c>
      <c r="B1130" s="123" t="s">
        <v>12011</v>
      </c>
      <c r="C1130" s="123" t="s">
        <v>12012</v>
      </c>
      <c r="D1130" s="124" t="str">
        <f t="shared" si="18"/>
        <v>ADMUSDT</v>
      </c>
      <c r="E1130" s="125" t="e">
        <f ca="1">VLOOKUP(D1130,'Курсы Бинанса'!B:C,2,FALSE)</f>
        <v>#N/A</v>
      </c>
    </row>
    <row r="1131" spans="1:5">
      <c r="A1131" s="121">
        <v>1129</v>
      </c>
      <c r="B1131" s="123" t="s">
        <v>12013</v>
      </c>
      <c r="C1131" s="123" t="s">
        <v>12014</v>
      </c>
      <c r="D1131" s="124" t="str">
        <f t="shared" si="18"/>
        <v>BTMUSDT</v>
      </c>
      <c r="E1131" s="125" t="e">
        <f ca="1">VLOOKUP(D1131,'Курсы Бинанса'!B:C,2,FALSE)</f>
        <v>#N/A</v>
      </c>
    </row>
    <row r="1132" spans="1:5">
      <c r="A1132" s="121">
        <v>1130</v>
      </c>
      <c r="B1132" s="123" t="s">
        <v>12015</v>
      </c>
      <c r="C1132" s="123" t="s">
        <v>12016</v>
      </c>
      <c r="D1132" s="124" t="str">
        <f t="shared" si="18"/>
        <v>CSPUSDT</v>
      </c>
      <c r="E1132" s="125" t="e">
        <f ca="1">VLOOKUP(D1132,'Курсы Бинанса'!B:C,2,FALSE)</f>
        <v>#N/A</v>
      </c>
    </row>
    <row r="1133" spans="1:5">
      <c r="A1133" s="121">
        <v>1131</v>
      </c>
      <c r="B1133" s="123" t="s">
        <v>12017</v>
      </c>
      <c r="C1133" s="123" t="s">
        <v>12018</v>
      </c>
      <c r="D1133" s="124" t="str">
        <f t="shared" si="18"/>
        <v>PPPUSDT</v>
      </c>
      <c r="E1133" s="125" t="e">
        <f ca="1">VLOOKUP(D1133,'Курсы Бинанса'!B:C,2,FALSE)</f>
        <v>#N/A</v>
      </c>
    </row>
    <row r="1134" spans="1:5">
      <c r="A1134" s="121">
        <v>1132</v>
      </c>
      <c r="B1134" s="123" t="s">
        <v>12019</v>
      </c>
      <c r="C1134" s="123" t="s">
        <v>12020</v>
      </c>
      <c r="D1134" s="124" t="str">
        <f t="shared" si="18"/>
        <v>ULTUSDT</v>
      </c>
      <c r="E1134" s="125" t="e">
        <f ca="1">VLOOKUP(D1134,'Курсы Бинанса'!B:C,2,FALSE)</f>
        <v>#N/A</v>
      </c>
    </row>
    <row r="1135" spans="1:5">
      <c r="A1135" s="121">
        <v>1133</v>
      </c>
      <c r="B1135" s="123" t="s">
        <v>12021</v>
      </c>
      <c r="C1135" s="123" t="s">
        <v>12022</v>
      </c>
      <c r="D1135" s="124" t="str">
        <f t="shared" si="18"/>
        <v>TOKOUSDT</v>
      </c>
      <c r="E1135" s="125" t="e">
        <f ca="1">VLOOKUP(D1135,'Курсы Бинанса'!B:C,2,FALSE)</f>
        <v>#N/A</v>
      </c>
    </row>
    <row r="1136" spans="1:5">
      <c r="A1136" s="121">
        <v>1134</v>
      </c>
      <c r="B1136" s="123" t="s">
        <v>12023</v>
      </c>
      <c r="C1136" s="123" t="s">
        <v>12024</v>
      </c>
      <c r="D1136" s="124" t="str">
        <f t="shared" si="18"/>
        <v>PTOYUSDT</v>
      </c>
      <c r="E1136" s="125" t="e">
        <f ca="1">VLOOKUP(D1136,'Курсы Бинанса'!B:C,2,FALSE)</f>
        <v>#N/A</v>
      </c>
    </row>
    <row r="1137" spans="1:5">
      <c r="A1137" s="121">
        <v>1135</v>
      </c>
      <c r="B1137" s="123" t="s">
        <v>12025</v>
      </c>
      <c r="C1137" s="123" t="s">
        <v>12026</v>
      </c>
      <c r="D1137" s="124" t="str">
        <f t="shared" si="18"/>
        <v>SEMUSDT</v>
      </c>
      <c r="E1137" s="125" t="e">
        <f ca="1">VLOOKUP(D1137,'Курсы Бинанса'!B:C,2,FALSE)</f>
        <v>#N/A</v>
      </c>
    </row>
    <row r="1138" spans="1:5">
      <c r="A1138" s="121">
        <v>1136</v>
      </c>
      <c r="B1138" s="123" t="s">
        <v>12027</v>
      </c>
      <c r="C1138" s="123" t="s">
        <v>12028</v>
      </c>
      <c r="D1138" s="124" t="str">
        <f t="shared" si="18"/>
        <v>LIKEUSDT</v>
      </c>
      <c r="E1138" s="125" t="e">
        <f ca="1">VLOOKUP(D1138,'Курсы Бинанса'!B:C,2,FALSE)</f>
        <v>#N/A</v>
      </c>
    </row>
    <row r="1139" spans="1:5">
      <c r="A1139" s="121">
        <v>1137</v>
      </c>
      <c r="B1139" s="123" t="s">
        <v>12029</v>
      </c>
      <c r="C1139" s="123" t="s">
        <v>12030</v>
      </c>
      <c r="D1139" s="124" t="str">
        <f t="shared" si="18"/>
        <v>VEILUSDT</v>
      </c>
      <c r="E1139" s="125" t="e">
        <f ca="1">VLOOKUP(D1139,'Курсы Бинанса'!B:C,2,FALSE)</f>
        <v>#N/A</v>
      </c>
    </row>
    <row r="1140" spans="1:5">
      <c r="A1140" s="121">
        <v>1138</v>
      </c>
      <c r="B1140" s="123" t="s">
        <v>12031</v>
      </c>
      <c r="C1140" s="123" t="s">
        <v>12032</v>
      </c>
      <c r="D1140" s="124" t="str">
        <f t="shared" si="18"/>
        <v>SWTHUSDT</v>
      </c>
      <c r="E1140" s="125" t="e">
        <f ca="1">VLOOKUP(D1140,'Курсы Бинанса'!B:C,2,FALSE)</f>
        <v>#N/A</v>
      </c>
    </row>
    <row r="1141" spans="1:5">
      <c r="A1141" s="121">
        <v>1139</v>
      </c>
      <c r="B1141" s="123" t="s">
        <v>12033</v>
      </c>
      <c r="C1141" s="123" t="s">
        <v>12034</v>
      </c>
      <c r="D1141" s="124" t="str">
        <f t="shared" si="18"/>
        <v>STCUSDT</v>
      </c>
      <c r="E1141" s="125" t="e">
        <f ca="1">VLOOKUP(D1141,'Курсы Бинанса'!B:C,2,FALSE)</f>
        <v>#N/A</v>
      </c>
    </row>
    <row r="1142" spans="1:5">
      <c r="A1142" s="121">
        <v>1140</v>
      </c>
      <c r="B1142" s="123" t="s">
        <v>12035</v>
      </c>
      <c r="C1142" s="123" t="s">
        <v>12036</v>
      </c>
      <c r="D1142" s="124" t="str">
        <f t="shared" si="18"/>
        <v>DAFIUSDT</v>
      </c>
      <c r="E1142" s="125" t="e">
        <f ca="1">VLOOKUP(D1142,'Курсы Бинанса'!B:C,2,FALSE)</f>
        <v>#N/A</v>
      </c>
    </row>
    <row r="1143" spans="1:5">
      <c r="A1143" s="121">
        <v>1141</v>
      </c>
      <c r="B1143" s="123" t="s">
        <v>12037</v>
      </c>
      <c r="C1143" s="123" t="s">
        <v>12038</v>
      </c>
      <c r="D1143" s="124" t="str">
        <f t="shared" si="18"/>
        <v>TELUSDT</v>
      </c>
      <c r="E1143" s="125" t="e">
        <f ca="1">VLOOKUP(D1143,'Курсы Бинанса'!B:C,2,FALSE)</f>
        <v>#N/A</v>
      </c>
    </row>
    <row r="1144" spans="1:5">
      <c r="A1144" s="121">
        <v>1142</v>
      </c>
      <c r="B1144" s="123" t="s">
        <v>12039</v>
      </c>
      <c r="C1144" s="123" t="s">
        <v>12040</v>
      </c>
      <c r="D1144" s="124" t="str">
        <f t="shared" si="18"/>
        <v>QKCUSDT</v>
      </c>
      <c r="E1144" s="125" t="e">
        <f ca="1">VLOOKUP(D1144,'Курсы Бинанса'!B:C,2,FALSE)</f>
        <v>#N/A</v>
      </c>
    </row>
    <row r="1145" spans="1:5">
      <c r="A1145" s="121">
        <v>1143</v>
      </c>
      <c r="B1145" s="123" t="s">
        <v>12041</v>
      </c>
      <c r="C1145" s="123" t="s">
        <v>12042</v>
      </c>
      <c r="D1145" s="124" t="str">
        <f t="shared" si="18"/>
        <v>POTUSDT</v>
      </c>
      <c r="E1145" s="125" t="e">
        <f ca="1">VLOOKUP(D1145,'Курсы Бинанса'!B:C,2,FALSE)</f>
        <v>#N/A</v>
      </c>
    </row>
    <row r="1146" spans="1:5">
      <c r="A1146" s="121">
        <v>1144</v>
      </c>
      <c r="B1146" s="123" t="s">
        <v>12043</v>
      </c>
      <c r="C1146" s="123" t="s">
        <v>12044</v>
      </c>
      <c r="D1146" s="124" t="str">
        <f t="shared" si="18"/>
        <v>MFGUSDT</v>
      </c>
      <c r="E1146" s="125" t="e">
        <f ca="1">VLOOKUP(D1146,'Курсы Бинанса'!B:C,2,FALSE)</f>
        <v>#N/A</v>
      </c>
    </row>
    <row r="1147" spans="1:5">
      <c r="A1147" s="121">
        <v>1145</v>
      </c>
      <c r="B1147" s="123" t="s">
        <v>12045</v>
      </c>
      <c r="C1147" s="123" t="s">
        <v>12046</v>
      </c>
      <c r="D1147" s="124" t="str">
        <f t="shared" si="18"/>
        <v>TNUSDT</v>
      </c>
      <c r="E1147" s="125" t="e">
        <f ca="1">VLOOKUP(D1147,'Курсы Бинанса'!B:C,2,FALSE)</f>
        <v>#N/A</v>
      </c>
    </row>
    <row r="1148" spans="1:5">
      <c r="A1148" s="121">
        <v>1146</v>
      </c>
      <c r="B1148" s="123" t="s">
        <v>12047</v>
      </c>
      <c r="C1148" s="123" t="s">
        <v>12048</v>
      </c>
      <c r="D1148" s="124" t="str">
        <f t="shared" si="18"/>
        <v>CDTUSDT</v>
      </c>
      <c r="E1148" s="125" t="e">
        <f ca="1">VLOOKUP(D1148,'Курсы Бинанса'!B:C,2,FALSE)</f>
        <v>#N/A</v>
      </c>
    </row>
    <row r="1149" spans="1:5">
      <c r="A1149" s="121">
        <v>1147</v>
      </c>
      <c r="B1149" s="123" t="s">
        <v>12049</v>
      </c>
      <c r="C1149" s="123" t="s">
        <v>12049</v>
      </c>
      <c r="D1149" s="124" t="str">
        <f t="shared" si="18"/>
        <v>UGASUSDT</v>
      </c>
      <c r="E1149" s="125" t="e">
        <f ca="1">VLOOKUP(D1149,'Курсы Бинанса'!B:C,2,FALSE)</f>
        <v>#N/A</v>
      </c>
    </row>
    <row r="1150" spans="1:5">
      <c r="A1150" s="121">
        <v>1148</v>
      </c>
      <c r="B1150" s="123" t="s">
        <v>12050</v>
      </c>
      <c r="C1150" s="123" t="s">
        <v>12051</v>
      </c>
      <c r="D1150" s="124" t="str">
        <f t="shared" si="18"/>
        <v>HPCUSDT</v>
      </c>
      <c r="E1150" s="125" t="e">
        <f ca="1">VLOOKUP(D1150,'Курсы Бинанса'!B:C,2,FALSE)</f>
        <v>#N/A</v>
      </c>
    </row>
    <row r="1151" spans="1:5">
      <c r="A1151" s="121">
        <v>1149</v>
      </c>
      <c r="B1151" s="123" t="s">
        <v>12052</v>
      </c>
      <c r="C1151" s="123" t="s">
        <v>12053</v>
      </c>
      <c r="D1151" s="124" t="str">
        <f t="shared" si="18"/>
        <v>GNXUSDT</v>
      </c>
      <c r="E1151" s="125" t="e">
        <f ca="1">VLOOKUP(D1151,'Курсы Бинанса'!B:C,2,FALSE)</f>
        <v>#N/A</v>
      </c>
    </row>
    <row r="1152" spans="1:5">
      <c r="A1152" s="121">
        <v>1150</v>
      </c>
      <c r="B1152" s="123" t="s">
        <v>12054</v>
      </c>
      <c r="C1152" s="123" t="s">
        <v>12055</v>
      </c>
      <c r="D1152" s="124" t="str">
        <f t="shared" si="18"/>
        <v>ISRUSDT</v>
      </c>
      <c r="E1152" s="125" t="e">
        <f ca="1">VLOOKUP(D1152,'Курсы Бинанса'!B:C,2,FALSE)</f>
        <v>#N/A</v>
      </c>
    </row>
    <row r="1153" spans="1:5">
      <c r="A1153" s="121">
        <v>1151</v>
      </c>
      <c r="B1153" s="123" t="s">
        <v>12056</v>
      </c>
      <c r="C1153" s="123" t="s">
        <v>12057</v>
      </c>
      <c r="D1153" s="124" t="str">
        <f t="shared" si="18"/>
        <v>AMEUSDT</v>
      </c>
      <c r="E1153" s="125" t="e">
        <f ca="1">VLOOKUP(D1153,'Курсы Бинанса'!B:C,2,FALSE)</f>
        <v>#N/A</v>
      </c>
    </row>
    <row r="1154" spans="1:5">
      <c r="A1154" s="121">
        <v>1152</v>
      </c>
      <c r="B1154" s="123" t="s">
        <v>12058</v>
      </c>
      <c r="C1154" s="123" t="s">
        <v>12059</v>
      </c>
      <c r="D1154" s="124" t="str">
        <f t="shared" si="18"/>
        <v>ABXUSDT</v>
      </c>
      <c r="E1154" s="125" t="e">
        <f ca="1">VLOOKUP(D1154,'Курсы Бинанса'!B:C,2,FALSE)</f>
        <v>#N/A</v>
      </c>
    </row>
    <row r="1155" spans="1:5">
      <c r="A1155" s="121">
        <v>1153</v>
      </c>
      <c r="B1155" s="123" t="s">
        <v>12060</v>
      </c>
      <c r="C1155" s="123" t="s">
        <v>12061</v>
      </c>
      <c r="D1155" s="124" t="str">
        <f t="shared" si="18"/>
        <v>FUNUSDT</v>
      </c>
      <c r="E1155" s="125" t="e">
        <f ca="1">VLOOKUP(D1155,'Курсы Бинанса'!B:C,2,FALSE)</f>
        <v>#N/A</v>
      </c>
    </row>
    <row r="1156" spans="1:5">
      <c r="A1156" s="121">
        <v>1154</v>
      </c>
      <c r="B1156" s="123" t="s">
        <v>12062</v>
      </c>
      <c r="C1156" s="123" t="s">
        <v>12063</v>
      </c>
      <c r="D1156" s="124" t="str">
        <f t="shared" si="18"/>
        <v>PAIUSDT</v>
      </c>
      <c r="E1156" s="125" t="e">
        <f ca="1">VLOOKUP(D1156,'Курсы Бинанса'!B:C,2,FALSE)</f>
        <v>#N/A</v>
      </c>
    </row>
    <row r="1157" spans="1:5">
      <c r="A1157" s="121">
        <v>1155</v>
      </c>
      <c r="B1157" s="123" t="s">
        <v>12064</v>
      </c>
      <c r="C1157" s="123" t="s">
        <v>12065</v>
      </c>
      <c r="D1157" s="124" t="str">
        <f t="shared" si="18"/>
        <v>HDAOUSDT</v>
      </c>
      <c r="E1157" s="125" t="e">
        <f ca="1">VLOOKUP(D1157,'Курсы Бинанса'!B:C,2,FALSE)</f>
        <v>#N/A</v>
      </c>
    </row>
    <row r="1158" spans="1:5">
      <c r="A1158" s="121">
        <v>1156</v>
      </c>
      <c r="B1158" s="123" t="s">
        <v>12066</v>
      </c>
      <c r="C1158" s="123" t="s">
        <v>12067</v>
      </c>
      <c r="D1158" s="124" t="str">
        <f t="shared" si="18"/>
        <v>BIOTUSDT</v>
      </c>
      <c r="E1158" s="125" t="e">
        <f ca="1">VLOOKUP(D1158,'Курсы Бинанса'!B:C,2,FALSE)</f>
        <v>#N/A</v>
      </c>
    </row>
    <row r="1159" spans="1:5">
      <c r="A1159" s="121">
        <v>1157</v>
      </c>
      <c r="B1159" s="123" t="s">
        <v>12068</v>
      </c>
      <c r="C1159" s="123" t="s">
        <v>12069</v>
      </c>
      <c r="D1159" s="124" t="str">
        <f t="shared" si="18"/>
        <v>KCALUSDT</v>
      </c>
      <c r="E1159" s="125" t="e">
        <f ca="1">VLOOKUP(D1159,'Курсы Бинанса'!B:C,2,FALSE)</f>
        <v>#N/A</v>
      </c>
    </row>
    <row r="1160" spans="1:5">
      <c r="A1160" s="121">
        <v>1158</v>
      </c>
      <c r="B1160" s="123" t="s">
        <v>12070</v>
      </c>
      <c r="C1160" s="123" t="s">
        <v>12071</v>
      </c>
      <c r="D1160" s="124" t="str">
        <f t="shared" si="18"/>
        <v>FXCUSDT</v>
      </c>
      <c r="E1160" s="125" t="e">
        <f ca="1">VLOOKUP(D1160,'Курсы Бинанса'!B:C,2,FALSE)</f>
        <v>#N/A</v>
      </c>
    </row>
    <row r="1161" spans="1:5">
      <c r="A1161" s="121">
        <v>1159</v>
      </c>
      <c r="B1161" s="123" t="s">
        <v>12072</v>
      </c>
      <c r="C1161" s="123" t="s">
        <v>12073</v>
      </c>
      <c r="D1161" s="124" t="str">
        <f t="shared" si="18"/>
        <v>REEFUSDT</v>
      </c>
      <c r="E1161" s="125" t="e">
        <f ca="1">VLOOKUP(D1161,'Курсы Бинанса'!B:C,2,FALSE)</f>
        <v>#N/A</v>
      </c>
    </row>
    <row r="1162" spans="1:5">
      <c r="A1162" s="121">
        <v>1160</v>
      </c>
      <c r="B1162" s="123" t="s">
        <v>12074</v>
      </c>
      <c r="C1162" s="123" t="s">
        <v>12075</v>
      </c>
      <c r="D1162" s="124" t="str">
        <f t="shared" si="18"/>
        <v>LCSUSDT</v>
      </c>
      <c r="E1162" s="125" t="e">
        <f ca="1">VLOOKUP(D1162,'Курсы Бинанса'!B:C,2,FALSE)</f>
        <v>#N/A</v>
      </c>
    </row>
    <row r="1163" spans="1:5">
      <c r="A1163" s="121">
        <v>1161</v>
      </c>
      <c r="B1163" s="123" t="s">
        <v>12076</v>
      </c>
      <c r="C1163" s="123" t="s">
        <v>12077</v>
      </c>
      <c r="D1163" s="124" t="str">
        <f t="shared" si="18"/>
        <v>BLUEUSDT</v>
      </c>
      <c r="E1163" s="125" t="e">
        <f ca="1">VLOOKUP(D1163,'Курсы Бинанса'!B:C,2,FALSE)</f>
        <v>#N/A</v>
      </c>
    </row>
    <row r="1164" spans="1:5">
      <c r="A1164" s="121">
        <v>1162</v>
      </c>
      <c r="B1164" s="123" t="s">
        <v>12078</v>
      </c>
      <c r="C1164" s="123" t="s">
        <v>12079</v>
      </c>
      <c r="D1164" s="124" t="str">
        <f t="shared" si="18"/>
        <v>AYAUSDT</v>
      </c>
      <c r="E1164" s="125" t="e">
        <f ca="1">VLOOKUP(D1164,'Курсы Бинанса'!B:C,2,FALSE)</f>
        <v>#N/A</v>
      </c>
    </row>
    <row r="1165" spans="1:5">
      <c r="A1165" s="121">
        <v>1163</v>
      </c>
      <c r="B1165" s="123" t="s">
        <v>12080</v>
      </c>
      <c r="C1165" s="123" t="s">
        <v>12081</v>
      </c>
      <c r="D1165" s="124" t="str">
        <f t="shared" si="18"/>
        <v>GEARUSDT</v>
      </c>
      <c r="E1165" s="125" t="e">
        <f ca="1">VLOOKUP(D1165,'Курсы Бинанса'!B:C,2,FALSE)</f>
        <v>#N/A</v>
      </c>
    </row>
    <row r="1166" spans="1:5">
      <c r="A1166" s="121">
        <v>1164</v>
      </c>
      <c r="B1166" s="123" t="s">
        <v>12082</v>
      </c>
      <c r="C1166" s="123" t="s">
        <v>12083</v>
      </c>
      <c r="D1166" s="124" t="str">
        <f t="shared" si="18"/>
        <v>CDLUSDT</v>
      </c>
      <c r="E1166" s="125" t="e">
        <f ca="1">VLOOKUP(D1166,'Курсы Бинанса'!B:C,2,FALSE)</f>
        <v>#N/A</v>
      </c>
    </row>
    <row r="1167" spans="1:5">
      <c r="A1167" s="121">
        <v>1165</v>
      </c>
      <c r="B1167" s="123" t="s">
        <v>12084</v>
      </c>
      <c r="C1167" s="123" t="s">
        <v>12084</v>
      </c>
      <c r="D1167" s="124" t="str">
        <f t="shared" si="18"/>
        <v>ESBCUSDT</v>
      </c>
      <c r="E1167" s="125" t="e">
        <f ca="1">VLOOKUP(D1167,'Курсы Бинанса'!B:C,2,FALSE)</f>
        <v>#N/A</v>
      </c>
    </row>
    <row r="1168" spans="1:5">
      <c r="A1168" s="121">
        <v>1166</v>
      </c>
      <c r="B1168" s="123" t="s">
        <v>12085</v>
      </c>
      <c r="C1168" s="123" t="s">
        <v>12086</v>
      </c>
      <c r="D1168" s="124" t="str">
        <f t="shared" si="18"/>
        <v>NAVIUSDT</v>
      </c>
      <c r="E1168" s="125" t="e">
        <f ca="1">VLOOKUP(D1168,'Курсы Бинанса'!B:C,2,FALSE)</f>
        <v>#N/A</v>
      </c>
    </row>
    <row r="1169" spans="1:5">
      <c r="A1169" s="121">
        <v>1167</v>
      </c>
      <c r="B1169" s="123" t="s">
        <v>12087</v>
      </c>
      <c r="C1169" s="123" t="s">
        <v>12088</v>
      </c>
      <c r="D1169" s="124" t="str">
        <f t="shared" si="18"/>
        <v>LOTTOUSDT</v>
      </c>
      <c r="E1169" s="125" t="e">
        <f ca="1">VLOOKUP(D1169,'Курсы Бинанса'!B:C,2,FALSE)</f>
        <v>#N/A</v>
      </c>
    </row>
    <row r="1170" spans="1:5">
      <c r="A1170" s="121">
        <v>1168</v>
      </c>
      <c r="B1170" s="123" t="s">
        <v>12089</v>
      </c>
      <c r="C1170" s="123" t="s">
        <v>12090</v>
      </c>
      <c r="D1170" s="124" t="str">
        <f t="shared" si="18"/>
        <v>DMTUSDT</v>
      </c>
      <c r="E1170" s="125" t="e">
        <f ca="1">VLOOKUP(D1170,'Курсы Бинанса'!B:C,2,FALSE)</f>
        <v>#N/A</v>
      </c>
    </row>
    <row r="1171" spans="1:5">
      <c r="A1171" s="121">
        <v>1169</v>
      </c>
      <c r="B1171" s="123" t="s">
        <v>12091</v>
      </c>
      <c r="C1171" s="123" t="s">
        <v>12092</v>
      </c>
      <c r="D1171" s="124" t="str">
        <f t="shared" si="18"/>
        <v>PLAUSDT</v>
      </c>
      <c r="E1171" s="125" t="e">
        <f ca="1">VLOOKUP(D1171,'Курсы Бинанса'!B:C,2,FALSE)</f>
        <v>#N/A</v>
      </c>
    </row>
    <row r="1172" spans="1:5">
      <c r="A1172" s="121">
        <v>1170</v>
      </c>
      <c r="B1172" s="123" t="s">
        <v>12093</v>
      </c>
      <c r="C1172" s="123" t="s">
        <v>12092</v>
      </c>
      <c r="D1172" s="124" t="str">
        <f t="shared" si="18"/>
        <v>PLAUSDT</v>
      </c>
      <c r="E1172" s="125" t="e">
        <f ca="1">VLOOKUP(D1172,'Курсы Бинанса'!B:C,2,FALSE)</f>
        <v>#N/A</v>
      </c>
    </row>
    <row r="1173" spans="1:5">
      <c r="A1173" s="121">
        <v>1171</v>
      </c>
      <c r="B1173" s="123" t="s">
        <v>12094</v>
      </c>
      <c r="C1173" s="123" t="s">
        <v>12094</v>
      </c>
      <c r="D1173" s="124" t="str">
        <f t="shared" si="18"/>
        <v>FLETAUSDT</v>
      </c>
      <c r="E1173" s="125" t="e">
        <f ca="1">VLOOKUP(D1173,'Курсы Бинанса'!B:C,2,FALSE)</f>
        <v>#N/A</v>
      </c>
    </row>
    <row r="1174" spans="1:5">
      <c r="A1174" s="121">
        <v>1172</v>
      </c>
      <c r="B1174" s="123" t="s">
        <v>12095</v>
      </c>
      <c r="C1174" s="123" t="s">
        <v>12096</v>
      </c>
      <c r="D1174" s="124" t="str">
        <f t="shared" si="18"/>
        <v>ONLUSDT</v>
      </c>
      <c r="E1174" s="125" t="e">
        <f ca="1">VLOOKUP(D1174,'Курсы Бинанса'!B:C,2,FALSE)</f>
        <v>#N/A</v>
      </c>
    </row>
    <row r="1175" spans="1:5">
      <c r="A1175" s="121">
        <v>1173</v>
      </c>
      <c r="B1175" s="123" t="s">
        <v>12097</v>
      </c>
      <c r="C1175" s="123" t="s">
        <v>12098</v>
      </c>
      <c r="D1175" s="124" t="str">
        <f t="shared" si="18"/>
        <v>LCCUSDT</v>
      </c>
      <c r="E1175" s="125" t="e">
        <f ca="1">VLOOKUP(D1175,'Курсы Бинанса'!B:C,2,FALSE)</f>
        <v>#N/A</v>
      </c>
    </row>
    <row r="1176" spans="1:5">
      <c r="A1176" s="121">
        <v>1174</v>
      </c>
      <c r="B1176" s="123" t="s">
        <v>12099</v>
      </c>
      <c r="C1176" s="123" t="s">
        <v>12100</v>
      </c>
      <c r="D1176" s="124" t="str">
        <f t="shared" si="18"/>
        <v>MOBIUSDT</v>
      </c>
      <c r="E1176" s="125" t="e">
        <f ca="1">VLOOKUP(D1176,'Курсы Бинанса'!B:C,2,FALSE)</f>
        <v>#N/A</v>
      </c>
    </row>
    <row r="1177" spans="1:5">
      <c r="A1177" s="121">
        <v>1175</v>
      </c>
      <c r="B1177" s="123" t="s">
        <v>12101</v>
      </c>
      <c r="C1177" s="123" t="s">
        <v>12102</v>
      </c>
      <c r="D1177" s="124" t="str">
        <f t="shared" si="18"/>
        <v>TDPUSDT</v>
      </c>
      <c r="E1177" s="125" t="e">
        <f ca="1">VLOOKUP(D1177,'Курсы Бинанса'!B:C,2,FALSE)</f>
        <v>#N/A</v>
      </c>
    </row>
    <row r="1178" spans="1:5">
      <c r="A1178" s="121">
        <v>1176</v>
      </c>
      <c r="B1178" s="123" t="s">
        <v>12103</v>
      </c>
      <c r="C1178" s="123" t="s">
        <v>12104</v>
      </c>
      <c r="D1178" s="124" t="str">
        <f t="shared" si="18"/>
        <v>GALAUSDT</v>
      </c>
      <c r="E1178" s="125" t="e">
        <f ca="1">VLOOKUP(D1178,'Курсы Бинанса'!B:C,2,FALSE)</f>
        <v>#N/A</v>
      </c>
    </row>
    <row r="1179" spans="1:5">
      <c r="A1179" s="121">
        <v>1177</v>
      </c>
      <c r="B1179" s="123" t="s">
        <v>12105</v>
      </c>
      <c r="C1179" s="123" t="s">
        <v>12106</v>
      </c>
      <c r="D1179" s="124" t="str">
        <f t="shared" si="18"/>
        <v>MTNUSDT</v>
      </c>
      <c r="E1179" s="125" t="e">
        <f ca="1">VLOOKUP(D1179,'Курсы Бинанса'!B:C,2,FALSE)</f>
        <v>#N/A</v>
      </c>
    </row>
    <row r="1180" spans="1:5">
      <c r="A1180" s="121">
        <v>1178</v>
      </c>
      <c r="B1180" s="123" t="s">
        <v>12107</v>
      </c>
      <c r="C1180" s="123" t="s">
        <v>12108</v>
      </c>
      <c r="D1180" s="124" t="str">
        <f t="shared" si="18"/>
        <v>KALLYUSDT</v>
      </c>
      <c r="E1180" s="125" t="e">
        <f ca="1">VLOOKUP(D1180,'Курсы Бинанса'!B:C,2,FALSE)</f>
        <v>#N/A</v>
      </c>
    </row>
    <row r="1181" spans="1:5">
      <c r="A1181" s="121">
        <v>1179</v>
      </c>
      <c r="B1181" s="123" t="s">
        <v>12109</v>
      </c>
      <c r="C1181" s="123" t="s">
        <v>12110</v>
      </c>
      <c r="D1181" s="124" t="str">
        <f t="shared" si="18"/>
        <v>LUNESUSDT</v>
      </c>
      <c r="E1181" s="125" t="e">
        <f ca="1">VLOOKUP(D1181,'Курсы Бинанса'!B:C,2,FALSE)</f>
        <v>#N/A</v>
      </c>
    </row>
    <row r="1182" spans="1:5">
      <c r="A1182" s="121">
        <v>1180</v>
      </c>
      <c r="B1182" s="123" t="s">
        <v>12111</v>
      </c>
      <c r="C1182" s="123" t="s">
        <v>12112</v>
      </c>
      <c r="D1182" s="124" t="str">
        <f t="shared" si="18"/>
        <v>RBLXUSDT</v>
      </c>
      <c r="E1182" s="125" t="e">
        <f ca="1">VLOOKUP(D1182,'Курсы Бинанса'!B:C,2,FALSE)</f>
        <v>#N/A</v>
      </c>
    </row>
    <row r="1183" spans="1:5">
      <c r="A1183" s="121">
        <v>1181</v>
      </c>
      <c r="B1183" s="123" t="s">
        <v>12113</v>
      </c>
      <c r="C1183" s="123" t="s">
        <v>12114</v>
      </c>
      <c r="D1183" s="124" t="str">
        <f t="shared" si="18"/>
        <v>TRVUSDT</v>
      </c>
      <c r="E1183" s="125" t="e">
        <f ca="1">VLOOKUP(D1183,'Курсы Бинанса'!B:C,2,FALSE)</f>
        <v>#N/A</v>
      </c>
    </row>
    <row r="1184" spans="1:5">
      <c r="A1184" s="121">
        <v>1182</v>
      </c>
      <c r="B1184" s="123" t="s">
        <v>12115</v>
      </c>
      <c r="C1184" s="123" t="s">
        <v>12116</v>
      </c>
      <c r="D1184" s="124" t="str">
        <f t="shared" si="18"/>
        <v>MAXUSDT</v>
      </c>
      <c r="E1184" s="125" t="e">
        <f ca="1">VLOOKUP(D1184,'Курсы Бинанса'!B:C,2,FALSE)</f>
        <v>#N/A</v>
      </c>
    </row>
    <row r="1185" spans="1:5">
      <c r="A1185" s="121">
        <v>1183</v>
      </c>
      <c r="B1185" s="123" t="s">
        <v>12117</v>
      </c>
      <c r="C1185" s="123" t="s">
        <v>12118</v>
      </c>
      <c r="D1185" s="124" t="str">
        <f t="shared" si="18"/>
        <v>VIPUSDT</v>
      </c>
      <c r="E1185" s="125" t="e">
        <f ca="1">VLOOKUP(D1185,'Курсы Бинанса'!B:C,2,FALSE)</f>
        <v>#N/A</v>
      </c>
    </row>
    <row r="1186" spans="1:5">
      <c r="A1186" s="121">
        <v>1184</v>
      </c>
      <c r="B1186" s="123" t="s">
        <v>12119</v>
      </c>
      <c r="C1186" s="123" t="s">
        <v>12116</v>
      </c>
      <c r="D1186" s="124" t="str">
        <f t="shared" ref="D1186:D1249" si="19">CONCATENATE(C1186,"USDT")</f>
        <v>MAXUSDT</v>
      </c>
      <c r="E1186" s="125" t="e">
        <f ca="1">VLOOKUP(D1186,'Курсы Бинанса'!B:C,2,FALSE)</f>
        <v>#N/A</v>
      </c>
    </row>
    <row r="1187" spans="1:5">
      <c r="A1187" s="121">
        <v>1185</v>
      </c>
      <c r="B1187" s="123" t="s">
        <v>12120</v>
      </c>
      <c r="C1187" s="123" t="s">
        <v>12120</v>
      </c>
      <c r="D1187" s="124" t="str">
        <f t="shared" si="19"/>
        <v>MVLUSDT</v>
      </c>
      <c r="E1187" s="125" t="e">
        <f ca="1">VLOOKUP(D1187,'Курсы Бинанса'!B:C,2,FALSE)</f>
        <v>#N/A</v>
      </c>
    </row>
    <row r="1188" spans="1:5">
      <c r="A1188" s="121">
        <v>1186</v>
      </c>
      <c r="B1188" s="123" t="s">
        <v>12121</v>
      </c>
      <c r="C1188" s="123" t="s">
        <v>12122</v>
      </c>
      <c r="D1188" s="124" t="str">
        <f t="shared" si="19"/>
        <v>MOTOUSDT</v>
      </c>
      <c r="E1188" s="125" t="e">
        <f ca="1">VLOOKUP(D1188,'Курсы Бинанса'!B:C,2,FALSE)</f>
        <v>#N/A</v>
      </c>
    </row>
    <row r="1189" spans="1:5">
      <c r="A1189" s="121">
        <v>1187</v>
      </c>
      <c r="B1189" s="123" t="s">
        <v>12123</v>
      </c>
      <c r="C1189" s="123" t="s">
        <v>12124</v>
      </c>
      <c r="D1189" s="124" t="str">
        <f t="shared" si="19"/>
        <v>COSUSDT</v>
      </c>
      <c r="E1189" s="125" t="e">
        <f ca="1">VLOOKUP(D1189,'Курсы Бинанса'!B:C,2,FALSE)</f>
        <v>#N/A</v>
      </c>
    </row>
    <row r="1190" spans="1:5">
      <c r="A1190" s="121">
        <v>1188</v>
      </c>
      <c r="B1190" s="123" t="s">
        <v>12125</v>
      </c>
      <c r="C1190" s="123" t="s">
        <v>12126</v>
      </c>
      <c r="D1190" s="124" t="str">
        <f t="shared" si="19"/>
        <v>LAMBUSDT</v>
      </c>
      <c r="E1190" s="125" t="e">
        <f ca="1">VLOOKUP(D1190,'Курсы Бинанса'!B:C,2,FALSE)</f>
        <v>#N/A</v>
      </c>
    </row>
    <row r="1191" spans="1:5">
      <c r="A1191" s="121">
        <v>1189</v>
      </c>
      <c r="B1191" s="123" t="s">
        <v>12127</v>
      </c>
      <c r="C1191" s="123" t="s">
        <v>12128</v>
      </c>
      <c r="D1191" s="124" t="str">
        <f t="shared" si="19"/>
        <v>BCUSDT</v>
      </c>
      <c r="E1191" s="125" t="e">
        <f ca="1">VLOOKUP(D1191,'Курсы Бинанса'!B:C,2,FALSE)</f>
        <v>#N/A</v>
      </c>
    </row>
    <row r="1192" spans="1:5">
      <c r="A1192" s="121">
        <v>1190</v>
      </c>
      <c r="B1192" s="123" t="s">
        <v>12129</v>
      </c>
      <c r="C1192" s="123" t="s">
        <v>12130</v>
      </c>
      <c r="D1192" s="124" t="str">
        <f t="shared" si="19"/>
        <v>NBOTUSDT</v>
      </c>
      <c r="E1192" s="125" t="e">
        <f ca="1">VLOOKUP(D1192,'Курсы Бинанса'!B:C,2,FALSE)</f>
        <v>#N/A</v>
      </c>
    </row>
    <row r="1193" spans="1:5">
      <c r="A1193" s="121">
        <v>1191</v>
      </c>
      <c r="B1193" s="123" t="s">
        <v>12131</v>
      </c>
      <c r="C1193" s="123" t="s">
        <v>12132</v>
      </c>
      <c r="D1193" s="124" t="str">
        <f t="shared" si="19"/>
        <v>NXTUSDT</v>
      </c>
      <c r="E1193" s="125" t="e">
        <f ca="1">VLOOKUP(D1193,'Курсы Бинанса'!B:C,2,FALSE)</f>
        <v>#N/A</v>
      </c>
    </row>
    <row r="1194" spans="1:5">
      <c r="A1194" s="121">
        <v>1192</v>
      </c>
      <c r="B1194" s="123" t="s">
        <v>12133</v>
      </c>
      <c r="C1194" s="123" t="s">
        <v>12134</v>
      </c>
      <c r="D1194" s="124" t="str">
        <f t="shared" si="19"/>
        <v>KCASHUSDT</v>
      </c>
      <c r="E1194" s="125" t="e">
        <f ca="1">VLOOKUP(D1194,'Курсы Бинанса'!B:C,2,FALSE)</f>
        <v>#N/A</v>
      </c>
    </row>
    <row r="1195" spans="1:5">
      <c r="A1195" s="121">
        <v>1193</v>
      </c>
      <c r="B1195" s="123" t="s">
        <v>12135</v>
      </c>
      <c r="C1195" s="123" t="s">
        <v>12136</v>
      </c>
      <c r="D1195" s="124" t="str">
        <f t="shared" si="19"/>
        <v>SETUSDT</v>
      </c>
      <c r="E1195" s="125" t="e">
        <f ca="1">VLOOKUP(D1195,'Курсы Бинанса'!B:C,2,FALSE)</f>
        <v>#N/A</v>
      </c>
    </row>
    <row r="1196" spans="1:5">
      <c r="A1196" s="121">
        <v>1194</v>
      </c>
      <c r="B1196" s="123" t="s">
        <v>12137</v>
      </c>
      <c r="C1196" s="123" t="s">
        <v>12138</v>
      </c>
      <c r="D1196" s="124" t="str">
        <f t="shared" si="19"/>
        <v>SCUSDT</v>
      </c>
      <c r="E1196" s="125" t="e">
        <f ca="1">VLOOKUP(D1196,'Курсы Бинанса'!B:C,2,FALSE)</f>
        <v>#N/A</v>
      </c>
    </row>
    <row r="1197" spans="1:5">
      <c r="A1197" s="121">
        <v>1195</v>
      </c>
      <c r="B1197" s="123" t="s">
        <v>12139</v>
      </c>
      <c r="C1197" s="123" t="s">
        <v>12140</v>
      </c>
      <c r="D1197" s="124" t="str">
        <f t="shared" si="19"/>
        <v>TRUSTUSDT</v>
      </c>
      <c r="E1197" s="125" t="e">
        <f ca="1">VLOOKUP(D1197,'Курсы Бинанса'!B:C,2,FALSE)</f>
        <v>#N/A</v>
      </c>
    </row>
    <row r="1198" spans="1:5">
      <c r="A1198" s="121">
        <v>1196</v>
      </c>
      <c r="B1198" s="123" t="s">
        <v>12141</v>
      </c>
      <c r="C1198" s="123" t="s">
        <v>12142</v>
      </c>
      <c r="D1198" s="124" t="str">
        <f t="shared" si="19"/>
        <v>IQUSDT</v>
      </c>
      <c r="E1198" s="125" t="e">
        <f ca="1">VLOOKUP(D1198,'Курсы Бинанса'!B:C,2,FALSE)</f>
        <v>#N/A</v>
      </c>
    </row>
    <row r="1199" spans="1:5">
      <c r="A1199" s="121">
        <v>1197</v>
      </c>
      <c r="B1199" s="123" t="s">
        <v>12143</v>
      </c>
      <c r="C1199" s="123" t="s">
        <v>12144</v>
      </c>
      <c r="D1199" s="124" t="str">
        <f t="shared" si="19"/>
        <v>BWFUSDT</v>
      </c>
      <c r="E1199" s="125" t="e">
        <f ca="1">VLOOKUP(D1199,'Курсы Бинанса'!B:C,2,FALSE)</f>
        <v>#N/A</v>
      </c>
    </row>
    <row r="1200" spans="1:5">
      <c r="A1200" s="121">
        <v>1198</v>
      </c>
      <c r="B1200" s="123" t="s">
        <v>12145</v>
      </c>
      <c r="C1200" s="123" t="s">
        <v>12146</v>
      </c>
      <c r="D1200" s="124" t="str">
        <f t="shared" si="19"/>
        <v>QTCONUSDT</v>
      </c>
      <c r="E1200" s="125" t="e">
        <f ca="1">VLOOKUP(D1200,'Курсы Бинанса'!B:C,2,FALSE)</f>
        <v>#N/A</v>
      </c>
    </row>
    <row r="1201" spans="1:5">
      <c r="A1201" s="121">
        <v>1199</v>
      </c>
      <c r="B1201" s="123" t="s">
        <v>12147</v>
      </c>
      <c r="C1201" s="123" t="s">
        <v>12148</v>
      </c>
      <c r="D1201" s="124" t="str">
        <f t="shared" si="19"/>
        <v>OKSUSDT</v>
      </c>
      <c r="E1201" s="125" t="e">
        <f ca="1">VLOOKUP(D1201,'Курсы Бинанса'!B:C,2,FALSE)</f>
        <v>#N/A</v>
      </c>
    </row>
    <row r="1202" spans="1:5">
      <c r="A1202" s="121">
        <v>1200</v>
      </c>
      <c r="B1202" s="123" t="s">
        <v>12149</v>
      </c>
      <c r="C1202" s="123" t="s">
        <v>12150</v>
      </c>
      <c r="D1202" s="124" t="str">
        <f t="shared" si="19"/>
        <v>HOTUSDT</v>
      </c>
      <c r="E1202" s="125" t="e">
        <f ca="1">VLOOKUP(D1202,'Курсы Бинанса'!B:C,2,FALSE)</f>
        <v>#N/A</v>
      </c>
    </row>
    <row r="1203" spans="1:5">
      <c r="A1203" s="121">
        <v>1201</v>
      </c>
      <c r="B1203" s="123" t="s">
        <v>12151</v>
      </c>
      <c r="C1203" s="123" t="s">
        <v>12152</v>
      </c>
      <c r="D1203" s="124" t="str">
        <f t="shared" si="19"/>
        <v>DOVUSDT</v>
      </c>
      <c r="E1203" s="125" t="e">
        <f ca="1">VLOOKUP(D1203,'Курсы Бинанса'!B:C,2,FALSE)</f>
        <v>#N/A</v>
      </c>
    </row>
    <row r="1204" spans="1:5">
      <c r="A1204" s="121">
        <v>1202</v>
      </c>
      <c r="B1204" s="123" t="s">
        <v>12153</v>
      </c>
      <c r="C1204" s="123" t="s">
        <v>12150</v>
      </c>
      <c r="D1204" s="124" t="str">
        <f t="shared" si="19"/>
        <v>HOTUSDT</v>
      </c>
      <c r="E1204" s="125" t="e">
        <f ca="1">VLOOKUP(D1204,'Курсы Бинанса'!B:C,2,FALSE)</f>
        <v>#N/A</v>
      </c>
    </row>
    <row r="1205" spans="1:5">
      <c r="A1205" s="121">
        <v>1203</v>
      </c>
      <c r="B1205" s="123" t="s">
        <v>12154</v>
      </c>
      <c r="C1205" s="123" t="s">
        <v>12155</v>
      </c>
      <c r="D1205" s="124" t="str">
        <f t="shared" si="19"/>
        <v>GOLDUSDT</v>
      </c>
      <c r="E1205" s="125" t="e">
        <f ca="1">VLOOKUP(D1205,'Курсы Бинанса'!B:C,2,FALSE)</f>
        <v>#N/A</v>
      </c>
    </row>
    <row r="1206" spans="1:5">
      <c r="A1206" s="121">
        <v>1204</v>
      </c>
      <c r="B1206" s="123" t="s">
        <v>12156</v>
      </c>
      <c r="C1206" s="123" t="s">
        <v>12157</v>
      </c>
      <c r="D1206" s="124" t="str">
        <f t="shared" si="19"/>
        <v>JADEUSDT</v>
      </c>
      <c r="E1206" s="125" t="e">
        <f ca="1">VLOOKUP(D1206,'Курсы Бинанса'!B:C,2,FALSE)</f>
        <v>#N/A</v>
      </c>
    </row>
    <row r="1207" spans="1:5">
      <c r="A1207" s="121">
        <v>1205</v>
      </c>
      <c r="B1207" s="123" t="s">
        <v>12158</v>
      </c>
      <c r="C1207" s="123" t="s">
        <v>12159</v>
      </c>
      <c r="D1207" s="124" t="str">
        <f t="shared" si="19"/>
        <v>IDVUSDT</v>
      </c>
      <c r="E1207" s="125" t="e">
        <f ca="1">VLOOKUP(D1207,'Курсы Бинанса'!B:C,2,FALSE)</f>
        <v>#N/A</v>
      </c>
    </row>
    <row r="1208" spans="1:5">
      <c r="A1208" s="121">
        <v>1206</v>
      </c>
      <c r="B1208" s="123" t="s">
        <v>12160</v>
      </c>
      <c r="C1208" s="123" t="s">
        <v>12161</v>
      </c>
      <c r="D1208" s="124" t="str">
        <f t="shared" si="19"/>
        <v>CVTUSDT</v>
      </c>
      <c r="E1208" s="125" t="e">
        <f ca="1">VLOOKUP(D1208,'Курсы Бинанса'!B:C,2,FALSE)</f>
        <v>#N/A</v>
      </c>
    </row>
    <row r="1209" spans="1:5">
      <c r="A1209" s="121">
        <v>1207</v>
      </c>
      <c r="B1209" s="123" t="s">
        <v>12162</v>
      </c>
      <c r="C1209" s="123" t="s">
        <v>12162</v>
      </c>
      <c r="D1209" s="124" t="str">
        <f t="shared" si="19"/>
        <v>IXTUSDT</v>
      </c>
      <c r="E1209" s="125" t="e">
        <f ca="1">VLOOKUP(D1209,'Курсы Бинанса'!B:C,2,FALSE)</f>
        <v>#N/A</v>
      </c>
    </row>
    <row r="1210" spans="1:5">
      <c r="A1210" s="121">
        <v>1208</v>
      </c>
      <c r="B1210" s="123" t="s">
        <v>12163</v>
      </c>
      <c r="C1210" s="123" t="s">
        <v>12164</v>
      </c>
      <c r="D1210" s="124" t="str">
        <f t="shared" si="19"/>
        <v>ERKUSDT</v>
      </c>
      <c r="E1210" s="125" t="e">
        <f ca="1">VLOOKUP(D1210,'Курсы Бинанса'!B:C,2,FALSE)</f>
        <v>#N/A</v>
      </c>
    </row>
    <row r="1211" spans="1:5">
      <c r="A1211" s="121">
        <v>1209</v>
      </c>
      <c r="B1211" s="123" t="s">
        <v>12165</v>
      </c>
      <c r="C1211" s="123" t="s">
        <v>12166</v>
      </c>
      <c r="D1211" s="124" t="str">
        <f t="shared" si="19"/>
        <v>QRKUSDT</v>
      </c>
      <c r="E1211" s="125" t="e">
        <f ca="1">VLOOKUP(D1211,'Курсы Бинанса'!B:C,2,FALSE)</f>
        <v>#N/A</v>
      </c>
    </row>
    <row r="1212" spans="1:5">
      <c r="A1212" s="121">
        <v>1210</v>
      </c>
      <c r="B1212" s="123" t="s">
        <v>12167</v>
      </c>
      <c r="C1212" s="123" t="s">
        <v>12168</v>
      </c>
      <c r="D1212" s="124" t="str">
        <f t="shared" si="19"/>
        <v>ROOMUSDT</v>
      </c>
      <c r="E1212" s="125" t="e">
        <f ca="1">VLOOKUP(D1212,'Курсы Бинанса'!B:C,2,FALSE)</f>
        <v>#N/A</v>
      </c>
    </row>
    <row r="1213" spans="1:5">
      <c r="A1213" s="121">
        <v>1211</v>
      </c>
      <c r="B1213" s="123" t="s">
        <v>12169</v>
      </c>
      <c r="C1213" s="123" t="s">
        <v>12170</v>
      </c>
      <c r="D1213" s="124" t="str">
        <f t="shared" si="19"/>
        <v>FTXUSDT</v>
      </c>
      <c r="E1213" s="125" t="e">
        <f ca="1">VLOOKUP(D1213,'Курсы Бинанса'!B:C,2,FALSE)</f>
        <v>#N/A</v>
      </c>
    </row>
    <row r="1214" spans="1:5">
      <c r="A1214" s="121">
        <v>1212</v>
      </c>
      <c r="B1214" s="123" t="s">
        <v>12171</v>
      </c>
      <c r="C1214" s="123" t="s">
        <v>12172</v>
      </c>
      <c r="D1214" s="124" t="str">
        <f t="shared" si="19"/>
        <v>ETTUSDT</v>
      </c>
      <c r="E1214" s="125" t="e">
        <f ca="1">VLOOKUP(D1214,'Курсы Бинанса'!B:C,2,FALSE)</f>
        <v>#N/A</v>
      </c>
    </row>
    <row r="1215" spans="1:5">
      <c r="A1215" s="121">
        <v>1213</v>
      </c>
      <c r="B1215" s="123" t="s">
        <v>12173</v>
      </c>
      <c r="C1215" s="123" t="s">
        <v>12174</v>
      </c>
      <c r="D1215" s="124" t="str">
        <f t="shared" si="19"/>
        <v>OCTUSDT</v>
      </c>
      <c r="E1215" s="125" t="e">
        <f ca="1">VLOOKUP(D1215,'Курсы Бинанса'!B:C,2,FALSE)</f>
        <v>#N/A</v>
      </c>
    </row>
    <row r="1216" spans="1:5">
      <c r="A1216" s="121">
        <v>1214</v>
      </c>
      <c r="B1216" s="126" t="s">
        <v>12175</v>
      </c>
      <c r="C1216" s="123" t="s">
        <v>12176</v>
      </c>
      <c r="D1216" s="124" t="str">
        <f t="shared" si="19"/>
        <v>EFXUSDT</v>
      </c>
      <c r="E1216" s="125" t="e">
        <f ca="1">VLOOKUP(D1216,'Курсы Бинанса'!B:C,2,FALSE)</f>
        <v>#N/A</v>
      </c>
    </row>
    <row r="1217" spans="1:5">
      <c r="A1217" s="121">
        <v>1215</v>
      </c>
      <c r="B1217" s="123" t="s">
        <v>12177</v>
      </c>
      <c r="C1217" s="123" t="s">
        <v>12177</v>
      </c>
      <c r="D1217" s="124" t="str">
        <f t="shared" si="19"/>
        <v>AXPRUSDT</v>
      </c>
      <c r="E1217" s="125" t="e">
        <f ca="1">VLOOKUP(D1217,'Курсы Бинанса'!B:C,2,FALSE)</f>
        <v>#N/A</v>
      </c>
    </row>
    <row r="1218" spans="1:5">
      <c r="A1218" s="121">
        <v>1216</v>
      </c>
      <c r="B1218" s="123" t="s">
        <v>12178</v>
      </c>
      <c r="C1218" s="123" t="s">
        <v>12179</v>
      </c>
      <c r="D1218" s="124" t="str">
        <f t="shared" si="19"/>
        <v>MODXUSDT</v>
      </c>
      <c r="E1218" s="125" t="e">
        <f ca="1">VLOOKUP(D1218,'Курсы Бинанса'!B:C,2,FALSE)</f>
        <v>#N/A</v>
      </c>
    </row>
    <row r="1219" spans="1:5">
      <c r="A1219" s="121">
        <v>1217</v>
      </c>
      <c r="B1219" s="123" t="s">
        <v>12180</v>
      </c>
      <c r="C1219" s="123" t="s">
        <v>12181</v>
      </c>
      <c r="D1219" s="124" t="str">
        <f t="shared" si="19"/>
        <v>WINGUSDT</v>
      </c>
      <c r="E1219" s="125" t="e">
        <f ca="1">VLOOKUP(D1219,'Курсы Бинанса'!B:C,2,FALSE)</f>
        <v>#N/A</v>
      </c>
    </row>
    <row r="1220" spans="1:5">
      <c r="A1220" s="121">
        <v>1218</v>
      </c>
      <c r="B1220" s="123" t="s">
        <v>12182</v>
      </c>
      <c r="C1220" s="123" t="s">
        <v>12183</v>
      </c>
      <c r="D1220" s="124" t="str">
        <f t="shared" si="19"/>
        <v>XFCUSDT</v>
      </c>
      <c r="E1220" s="125" t="e">
        <f ca="1">VLOOKUP(D1220,'Курсы Бинанса'!B:C,2,FALSE)</f>
        <v>#N/A</v>
      </c>
    </row>
    <row r="1221" spans="1:5">
      <c r="A1221" s="121">
        <v>1219</v>
      </c>
      <c r="B1221" s="123" t="s">
        <v>12184</v>
      </c>
      <c r="C1221" s="123" t="s">
        <v>12185</v>
      </c>
      <c r="D1221" s="124" t="str">
        <f t="shared" si="19"/>
        <v>BUCKSUSDT</v>
      </c>
      <c r="E1221" s="125" t="e">
        <f ca="1">VLOOKUP(D1221,'Курсы Бинанса'!B:C,2,FALSE)</f>
        <v>#N/A</v>
      </c>
    </row>
    <row r="1222" spans="1:5">
      <c r="A1222" s="121">
        <v>1220</v>
      </c>
      <c r="B1222" s="123" t="s">
        <v>12186</v>
      </c>
      <c r="C1222" s="123" t="s">
        <v>12187</v>
      </c>
      <c r="D1222" s="124" t="str">
        <f t="shared" si="19"/>
        <v>DAPPUSDT</v>
      </c>
      <c r="E1222" s="125" t="e">
        <f ca="1">VLOOKUP(D1222,'Курсы Бинанса'!B:C,2,FALSE)</f>
        <v>#N/A</v>
      </c>
    </row>
    <row r="1223" spans="1:5">
      <c r="A1223" s="121">
        <v>1221</v>
      </c>
      <c r="B1223" s="123" t="s">
        <v>12188</v>
      </c>
      <c r="C1223" s="123" t="s">
        <v>12189</v>
      </c>
      <c r="D1223" s="124" t="str">
        <f t="shared" si="19"/>
        <v>JUPUSDT</v>
      </c>
      <c r="E1223" s="125" t="e">
        <f ca="1">VLOOKUP(D1223,'Курсы Бинанса'!B:C,2,FALSE)</f>
        <v>#N/A</v>
      </c>
    </row>
    <row r="1224" spans="1:5">
      <c r="A1224" s="121">
        <v>1222</v>
      </c>
      <c r="B1224" s="123" t="s">
        <v>12190</v>
      </c>
      <c r="C1224" s="123" t="s">
        <v>12191</v>
      </c>
      <c r="D1224" s="124" t="str">
        <f t="shared" si="19"/>
        <v>CNDUSDT</v>
      </c>
      <c r="E1224" s="125" t="e">
        <f ca="1">VLOOKUP(D1224,'Курсы Бинанса'!B:C,2,FALSE)</f>
        <v>#N/A</v>
      </c>
    </row>
    <row r="1225" spans="1:5">
      <c r="A1225" s="121">
        <v>1223</v>
      </c>
      <c r="B1225" s="123" t="s">
        <v>12192</v>
      </c>
      <c r="C1225" s="123" t="s">
        <v>12193</v>
      </c>
      <c r="D1225" s="124" t="str">
        <f t="shared" si="19"/>
        <v>DAXUSDT</v>
      </c>
      <c r="E1225" s="125" t="e">
        <f ca="1">VLOOKUP(D1225,'Курсы Бинанса'!B:C,2,FALSE)</f>
        <v>#N/A</v>
      </c>
    </row>
    <row r="1226" spans="1:5">
      <c r="A1226" s="121">
        <v>1224</v>
      </c>
      <c r="B1226" s="123" t="s">
        <v>12194</v>
      </c>
      <c r="C1226" s="123" t="s">
        <v>12195</v>
      </c>
      <c r="D1226" s="124" t="str">
        <f t="shared" si="19"/>
        <v>BONDUSDT</v>
      </c>
      <c r="E1226" s="125" t="e">
        <f ca="1">VLOOKUP(D1226,'Курсы Бинанса'!B:C,2,FALSE)</f>
        <v>#N/A</v>
      </c>
    </row>
    <row r="1227" spans="1:5">
      <c r="A1227" s="121">
        <v>1225</v>
      </c>
      <c r="B1227" s="123" t="s">
        <v>12196</v>
      </c>
      <c r="C1227" s="123" t="s">
        <v>12197</v>
      </c>
      <c r="D1227" s="124" t="str">
        <f t="shared" si="19"/>
        <v>VRAUSDT</v>
      </c>
      <c r="E1227" s="125" t="e">
        <f ca="1">VLOOKUP(D1227,'Курсы Бинанса'!B:C,2,FALSE)</f>
        <v>#N/A</v>
      </c>
    </row>
    <row r="1228" spans="1:5">
      <c r="A1228" s="121">
        <v>1226</v>
      </c>
      <c r="B1228" s="123" t="s">
        <v>12198</v>
      </c>
      <c r="C1228" s="123" t="s">
        <v>12199</v>
      </c>
      <c r="D1228" s="124" t="str">
        <f t="shared" si="19"/>
        <v>VEEUSDT</v>
      </c>
      <c r="E1228" s="125" t="e">
        <f ca="1">VLOOKUP(D1228,'Курсы Бинанса'!B:C,2,FALSE)</f>
        <v>#N/A</v>
      </c>
    </row>
    <row r="1229" spans="1:5">
      <c r="A1229" s="121">
        <v>1227</v>
      </c>
      <c r="B1229" s="123" t="s">
        <v>12200</v>
      </c>
      <c r="C1229" s="123" t="s">
        <v>12201</v>
      </c>
      <c r="D1229" s="124" t="str">
        <f t="shared" si="19"/>
        <v>MHCUSDT</v>
      </c>
      <c r="E1229" s="125" t="e">
        <f ca="1">VLOOKUP(D1229,'Курсы Бинанса'!B:C,2,FALSE)</f>
        <v>#N/A</v>
      </c>
    </row>
    <row r="1230" spans="1:5">
      <c r="A1230" s="121">
        <v>1228</v>
      </c>
      <c r="B1230" s="123" t="s">
        <v>12202</v>
      </c>
      <c r="C1230" s="123" t="s">
        <v>12203</v>
      </c>
      <c r="D1230" s="124" t="str">
        <f t="shared" si="19"/>
        <v>NESTUSDT</v>
      </c>
      <c r="E1230" s="125" t="e">
        <f ca="1">VLOOKUP(D1230,'Курсы Бинанса'!B:C,2,FALSE)</f>
        <v>#N/A</v>
      </c>
    </row>
    <row r="1231" spans="1:5">
      <c r="A1231" s="121">
        <v>1229</v>
      </c>
      <c r="B1231" s="123" t="s">
        <v>12204</v>
      </c>
      <c r="C1231" s="123" t="s">
        <v>12204</v>
      </c>
      <c r="D1231" s="124" t="str">
        <f t="shared" si="19"/>
        <v>YOYOWUSDT</v>
      </c>
      <c r="E1231" s="125" t="e">
        <f ca="1">VLOOKUP(D1231,'Курсы Бинанса'!B:C,2,FALSE)</f>
        <v>#N/A</v>
      </c>
    </row>
    <row r="1232" spans="1:5">
      <c r="A1232" s="121">
        <v>1230</v>
      </c>
      <c r="B1232" s="123" t="s">
        <v>12205</v>
      </c>
      <c r="C1232" s="123" t="s">
        <v>12195</v>
      </c>
      <c r="D1232" s="124" t="str">
        <f t="shared" si="19"/>
        <v>BONDUSDT</v>
      </c>
      <c r="E1232" s="125" t="e">
        <f ca="1">VLOOKUP(D1232,'Курсы Бинанса'!B:C,2,FALSE)</f>
        <v>#N/A</v>
      </c>
    </row>
    <row r="1233" spans="1:5">
      <c r="A1233" s="121">
        <v>1231</v>
      </c>
      <c r="B1233" s="123" t="s">
        <v>12206</v>
      </c>
      <c r="C1233" s="123" t="s">
        <v>12207</v>
      </c>
      <c r="D1233" s="124" t="str">
        <f t="shared" si="19"/>
        <v>BITXUSDT</v>
      </c>
      <c r="E1233" s="125" t="e">
        <f ca="1">VLOOKUP(D1233,'Курсы Бинанса'!B:C,2,FALSE)</f>
        <v>#N/A</v>
      </c>
    </row>
    <row r="1234" spans="1:5">
      <c r="A1234" s="121">
        <v>1232</v>
      </c>
      <c r="B1234" s="123" t="s">
        <v>12208</v>
      </c>
      <c r="C1234" s="123" t="s">
        <v>12209</v>
      </c>
      <c r="D1234" s="124" t="str">
        <f t="shared" si="19"/>
        <v>BANUSDT</v>
      </c>
      <c r="E1234" s="125" t="e">
        <f ca="1">VLOOKUP(D1234,'Курсы Бинанса'!B:C,2,FALSE)</f>
        <v>#N/A</v>
      </c>
    </row>
    <row r="1235" spans="1:5">
      <c r="A1235" s="121">
        <v>1233</v>
      </c>
      <c r="B1235" s="123" t="s">
        <v>12210</v>
      </c>
      <c r="C1235" s="123" t="s">
        <v>12211</v>
      </c>
      <c r="D1235" s="124" t="str">
        <f t="shared" si="19"/>
        <v>INFUSDT</v>
      </c>
      <c r="E1235" s="125" t="e">
        <f ca="1">VLOOKUP(D1235,'Курсы Бинанса'!B:C,2,FALSE)</f>
        <v>#N/A</v>
      </c>
    </row>
    <row r="1236" spans="1:5">
      <c r="A1236" s="121">
        <v>1234</v>
      </c>
      <c r="B1236" s="123" t="s">
        <v>12212</v>
      </c>
      <c r="C1236" s="123" t="s">
        <v>12213</v>
      </c>
      <c r="D1236" s="124" t="str">
        <f t="shared" si="19"/>
        <v>RFRUSDT</v>
      </c>
      <c r="E1236" s="125" t="e">
        <f ca="1">VLOOKUP(D1236,'Курсы Бинанса'!B:C,2,FALSE)</f>
        <v>#N/A</v>
      </c>
    </row>
    <row r="1237" spans="1:5">
      <c r="A1237" s="121">
        <v>1235</v>
      </c>
      <c r="B1237" s="123" t="s">
        <v>12214</v>
      </c>
      <c r="C1237" s="123" t="s">
        <v>12215</v>
      </c>
      <c r="D1237" s="124" t="str">
        <f t="shared" si="19"/>
        <v>CMTUSDT</v>
      </c>
      <c r="E1237" s="125" t="e">
        <f ca="1">VLOOKUP(D1237,'Курсы Бинанса'!B:C,2,FALSE)</f>
        <v>#N/A</v>
      </c>
    </row>
    <row r="1238" spans="1:5">
      <c r="A1238" s="121">
        <v>1236</v>
      </c>
      <c r="B1238" s="123" t="s">
        <v>12216</v>
      </c>
      <c r="C1238" s="123" t="s">
        <v>12217</v>
      </c>
      <c r="D1238" s="124" t="str">
        <f t="shared" si="19"/>
        <v>SRNUSDT</v>
      </c>
      <c r="E1238" s="125" t="e">
        <f ca="1">VLOOKUP(D1238,'Курсы Бинанса'!B:C,2,FALSE)</f>
        <v>#N/A</v>
      </c>
    </row>
    <row r="1239" spans="1:5">
      <c r="A1239" s="121">
        <v>1237</v>
      </c>
      <c r="B1239" s="123" t="s">
        <v>12218</v>
      </c>
      <c r="C1239" s="123" t="s">
        <v>12219</v>
      </c>
      <c r="D1239" s="124" t="str">
        <f t="shared" si="19"/>
        <v>CKBUSDT</v>
      </c>
      <c r="E1239" s="125" t="e">
        <f ca="1">VLOOKUP(D1239,'Курсы Бинанса'!B:C,2,FALSE)</f>
        <v>#N/A</v>
      </c>
    </row>
    <row r="1240" spans="1:5">
      <c r="A1240" s="121">
        <v>1238</v>
      </c>
      <c r="B1240" s="123" t="s">
        <v>12220</v>
      </c>
      <c r="C1240" s="123" t="s">
        <v>12221</v>
      </c>
      <c r="D1240" s="124" t="str">
        <f t="shared" si="19"/>
        <v>XPDUSDT</v>
      </c>
      <c r="E1240" s="125" t="e">
        <f ca="1">VLOOKUP(D1240,'Курсы Бинанса'!B:C,2,FALSE)</f>
        <v>#N/A</v>
      </c>
    </row>
    <row r="1241" spans="1:5">
      <c r="A1241" s="121">
        <v>1239</v>
      </c>
      <c r="B1241" s="123" t="s">
        <v>12222</v>
      </c>
      <c r="C1241" s="123" t="s">
        <v>12223</v>
      </c>
      <c r="D1241" s="124" t="str">
        <f t="shared" si="19"/>
        <v>LUNAUSDT</v>
      </c>
      <c r="E1241" s="125" t="e">
        <f ca="1">VLOOKUP(D1241,'Курсы Бинанса'!B:C,2,FALSE)</f>
        <v>#N/A</v>
      </c>
    </row>
    <row r="1242" spans="1:5">
      <c r="A1242" s="121">
        <v>1240</v>
      </c>
      <c r="B1242" s="123" t="s">
        <v>12224</v>
      </c>
      <c r="C1242" s="123" t="s">
        <v>12225</v>
      </c>
      <c r="D1242" s="124" t="str">
        <f t="shared" si="19"/>
        <v>STXUSDT</v>
      </c>
      <c r="E1242" s="125" t="e">
        <f ca="1">VLOOKUP(D1242,'Курсы Бинанса'!B:C,2,FALSE)</f>
        <v>#N/A</v>
      </c>
    </row>
    <row r="1243" spans="1:5">
      <c r="A1243" s="121">
        <v>1241</v>
      </c>
      <c r="B1243" s="123" t="s">
        <v>12226</v>
      </c>
      <c r="C1243" s="123" t="s">
        <v>12227</v>
      </c>
      <c r="D1243" s="124" t="str">
        <f t="shared" si="19"/>
        <v>LYMUSDT</v>
      </c>
      <c r="E1243" s="125" t="e">
        <f ca="1">VLOOKUP(D1243,'Курсы Бинанса'!B:C,2,FALSE)</f>
        <v>#N/A</v>
      </c>
    </row>
    <row r="1244" spans="1:5">
      <c r="A1244" s="121">
        <v>1242</v>
      </c>
      <c r="B1244" s="123" t="s">
        <v>12228</v>
      </c>
      <c r="C1244" s="123" t="s">
        <v>12229</v>
      </c>
      <c r="D1244" s="124" t="str">
        <f t="shared" si="19"/>
        <v>BOSUSDT</v>
      </c>
      <c r="E1244" s="125" t="e">
        <f ca="1">VLOOKUP(D1244,'Курсы Бинанса'!B:C,2,FALSE)</f>
        <v>#N/A</v>
      </c>
    </row>
    <row r="1245" spans="1:5">
      <c r="A1245" s="121">
        <v>1243</v>
      </c>
      <c r="B1245" s="123" t="s">
        <v>12230</v>
      </c>
      <c r="C1245" s="123" t="s">
        <v>12231</v>
      </c>
      <c r="D1245" s="124" t="str">
        <f t="shared" si="19"/>
        <v>MERUSDT</v>
      </c>
      <c r="E1245" s="125" t="e">
        <f ca="1">VLOOKUP(D1245,'Курсы Бинанса'!B:C,2,FALSE)</f>
        <v>#N/A</v>
      </c>
    </row>
    <row r="1246" spans="1:5">
      <c r="A1246" s="121">
        <v>1244</v>
      </c>
      <c r="B1246" s="123" t="s">
        <v>12232</v>
      </c>
      <c r="C1246" s="123" t="s">
        <v>12225</v>
      </c>
      <c r="D1246" s="124" t="str">
        <f t="shared" si="19"/>
        <v>STXUSDT</v>
      </c>
      <c r="E1246" s="125" t="e">
        <f ca="1">VLOOKUP(D1246,'Курсы Бинанса'!B:C,2,FALSE)</f>
        <v>#N/A</v>
      </c>
    </row>
    <row r="1247" spans="1:5">
      <c r="A1247" s="121">
        <v>1245</v>
      </c>
      <c r="B1247" s="123" t="s">
        <v>12233</v>
      </c>
      <c r="C1247" s="123" t="s">
        <v>12233</v>
      </c>
      <c r="D1247" s="124" t="str">
        <f t="shared" si="19"/>
        <v>INTUSDT</v>
      </c>
      <c r="E1247" s="125" t="e">
        <f ca="1">VLOOKUP(D1247,'Курсы Бинанса'!B:C,2,FALSE)</f>
        <v>#N/A</v>
      </c>
    </row>
    <row r="1248" spans="1:5">
      <c r="A1248" s="121">
        <v>1246</v>
      </c>
      <c r="B1248" s="123" t="s">
        <v>12234</v>
      </c>
      <c r="C1248" s="123" t="s">
        <v>12235</v>
      </c>
      <c r="D1248" s="124" t="str">
        <f t="shared" si="19"/>
        <v>SDCUSDT</v>
      </c>
      <c r="E1248" s="125" t="e">
        <f ca="1">VLOOKUP(D1248,'Курсы Бинанса'!B:C,2,FALSE)</f>
        <v>#N/A</v>
      </c>
    </row>
    <row r="1249" spans="1:5">
      <c r="A1249" s="121">
        <v>1247</v>
      </c>
      <c r="B1249" s="123" t="s">
        <v>12236</v>
      </c>
      <c r="C1249" s="123" t="s">
        <v>12237</v>
      </c>
      <c r="D1249" s="124" t="str">
        <f t="shared" si="19"/>
        <v>DTRUSDT</v>
      </c>
      <c r="E1249" s="125" t="e">
        <f ca="1">VLOOKUP(D1249,'Курсы Бинанса'!B:C,2,FALSE)</f>
        <v>#N/A</v>
      </c>
    </row>
    <row r="1250" spans="1:5">
      <c r="A1250" s="121">
        <v>1248</v>
      </c>
      <c r="B1250" s="123" t="s">
        <v>12238</v>
      </c>
      <c r="C1250" s="123" t="s">
        <v>12239</v>
      </c>
      <c r="D1250" s="124" t="str">
        <f t="shared" ref="D1250:D1313" si="20">CONCATENATE(C1250,"USDT")</f>
        <v>THCUSDT</v>
      </c>
      <c r="E1250" s="125" t="e">
        <f ca="1">VLOOKUP(D1250,'Курсы Бинанса'!B:C,2,FALSE)</f>
        <v>#N/A</v>
      </c>
    </row>
    <row r="1251" spans="1:5">
      <c r="A1251" s="121">
        <v>1249</v>
      </c>
      <c r="B1251" s="123" t="s">
        <v>12240</v>
      </c>
      <c r="C1251" s="123" t="s">
        <v>12241</v>
      </c>
      <c r="D1251" s="124" t="str">
        <f t="shared" si="20"/>
        <v>SFXUSDT</v>
      </c>
      <c r="E1251" s="125" t="e">
        <f ca="1">VLOOKUP(D1251,'Курсы Бинанса'!B:C,2,FALSE)</f>
        <v>#N/A</v>
      </c>
    </row>
    <row r="1252" spans="1:5">
      <c r="A1252" s="121">
        <v>1250</v>
      </c>
      <c r="B1252" s="123" t="s">
        <v>12242</v>
      </c>
      <c r="C1252" s="123" t="s">
        <v>12243</v>
      </c>
      <c r="D1252" s="124" t="str">
        <f t="shared" si="20"/>
        <v>BCYUSDT</v>
      </c>
      <c r="E1252" s="125" t="e">
        <f ca="1">VLOOKUP(D1252,'Курсы Бинанса'!B:C,2,FALSE)</f>
        <v>#N/A</v>
      </c>
    </row>
    <row r="1253" spans="1:5">
      <c r="A1253" s="121">
        <v>1251</v>
      </c>
      <c r="B1253" s="123" t="s">
        <v>12244</v>
      </c>
      <c r="C1253" s="123" t="s">
        <v>12245</v>
      </c>
      <c r="D1253" s="124" t="str">
        <f t="shared" si="20"/>
        <v>GRCUSDT</v>
      </c>
      <c r="E1253" s="125" t="e">
        <f ca="1">VLOOKUP(D1253,'Курсы Бинанса'!B:C,2,FALSE)</f>
        <v>#N/A</v>
      </c>
    </row>
    <row r="1254" spans="1:5">
      <c r="A1254" s="121">
        <v>1252</v>
      </c>
      <c r="B1254" s="123" t="s">
        <v>12246</v>
      </c>
      <c r="C1254" s="123" t="s">
        <v>12247</v>
      </c>
      <c r="D1254" s="124" t="str">
        <f t="shared" si="20"/>
        <v>DTHUSDT</v>
      </c>
      <c r="E1254" s="125" t="e">
        <f ca="1">VLOOKUP(D1254,'Курсы Бинанса'!B:C,2,FALSE)</f>
        <v>#N/A</v>
      </c>
    </row>
    <row r="1255" spans="1:5">
      <c r="A1255" s="121">
        <v>1253</v>
      </c>
      <c r="B1255" s="123" t="s">
        <v>12248</v>
      </c>
      <c r="C1255" s="123" t="s">
        <v>12248</v>
      </c>
      <c r="D1255" s="124" t="str">
        <f t="shared" si="20"/>
        <v>GYENUSDT</v>
      </c>
      <c r="E1255" s="125" t="e">
        <f ca="1">VLOOKUP(D1255,'Курсы Бинанса'!B:C,2,FALSE)</f>
        <v>#N/A</v>
      </c>
    </row>
    <row r="1256" spans="1:5">
      <c r="A1256" s="121">
        <v>1254</v>
      </c>
      <c r="B1256" s="123" t="s">
        <v>12249</v>
      </c>
      <c r="C1256" s="123" t="s">
        <v>12250</v>
      </c>
      <c r="D1256" s="124" t="str">
        <f t="shared" si="20"/>
        <v>CHXUSDT</v>
      </c>
      <c r="E1256" s="125" t="e">
        <f ca="1">VLOOKUP(D1256,'Курсы Бинанса'!B:C,2,FALSE)</f>
        <v>#N/A</v>
      </c>
    </row>
    <row r="1257" spans="1:5">
      <c r="A1257" s="121">
        <v>1255</v>
      </c>
      <c r="B1257" s="123" t="s">
        <v>12251</v>
      </c>
      <c r="C1257" s="123" t="s">
        <v>12252</v>
      </c>
      <c r="D1257" s="124" t="str">
        <f t="shared" si="20"/>
        <v>TTUSDT</v>
      </c>
      <c r="E1257" s="125" t="e">
        <f ca="1">VLOOKUP(D1257,'Курсы Бинанса'!B:C,2,FALSE)</f>
        <v>#N/A</v>
      </c>
    </row>
    <row r="1258" spans="1:5">
      <c r="A1258" s="121">
        <v>1256</v>
      </c>
      <c r="B1258" s="123" t="s">
        <v>12253</v>
      </c>
      <c r="C1258" s="123" t="s">
        <v>12254</v>
      </c>
      <c r="D1258" s="124" t="str">
        <f t="shared" si="20"/>
        <v>PZMUSDT</v>
      </c>
      <c r="E1258" s="125" t="e">
        <f ca="1">VLOOKUP(D1258,'Курсы Бинанса'!B:C,2,FALSE)</f>
        <v>#N/A</v>
      </c>
    </row>
    <row r="1259" spans="1:5">
      <c r="A1259" s="121">
        <v>1257</v>
      </c>
      <c r="B1259" s="123" t="s">
        <v>12255</v>
      </c>
      <c r="C1259" s="123" t="s">
        <v>12256</v>
      </c>
      <c r="D1259" s="124" t="str">
        <f t="shared" si="20"/>
        <v>FTNUSDT</v>
      </c>
      <c r="E1259" s="125" t="e">
        <f ca="1">VLOOKUP(D1259,'Курсы Бинанса'!B:C,2,FALSE)</f>
        <v>#N/A</v>
      </c>
    </row>
    <row r="1260" spans="1:5">
      <c r="A1260" s="121">
        <v>1258</v>
      </c>
      <c r="B1260" s="123" t="s">
        <v>12257</v>
      </c>
      <c r="C1260" s="123" t="s">
        <v>12258</v>
      </c>
      <c r="D1260" s="124" t="str">
        <f t="shared" si="20"/>
        <v>GOM2USDT</v>
      </c>
      <c r="E1260" s="125" t="e">
        <f ca="1">VLOOKUP(D1260,'Курсы Бинанса'!B:C,2,FALSE)</f>
        <v>#N/A</v>
      </c>
    </row>
    <row r="1261" spans="1:5">
      <c r="A1261" s="121">
        <v>1259</v>
      </c>
      <c r="B1261" s="123" t="s">
        <v>12259</v>
      </c>
      <c r="C1261" s="123" t="s">
        <v>12260</v>
      </c>
      <c r="D1261" s="124" t="str">
        <f t="shared" si="20"/>
        <v>AUXUSDT</v>
      </c>
      <c r="E1261" s="125" t="e">
        <f ca="1">VLOOKUP(D1261,'Курсы Бинанса'!B:C,2,FALSE)</f>
        <v>#N/A</v>
      </c>
    </row>
    <row r="1262" spans="1:5">
      <c r="A1262" s="121">
        <v>1260</v>
      </c>
      <c r="B1262" s="123" t="s">
        <v>12261</v>
      </c>
      <c r="C1262" s="123" t="s">
        <v>12262</v>
      </c>
      <c r="D1262" s="124" t="str">
        <f t="shared" si="20"/>
        <v>ZDRUSDT</v>
      </c>
      <c r="E1262" s="125" t="e">
        <f ca="1">VLOOKUP(D1262,'Курсы Бинанса'!B:C,2,FALSE)</f>
        <v>#N/A</v>
      </c>
    </row>
    <row r="1263" spans="1:5">
      <c r="A1263" s="121">
        <v>1261</v>
      </c>
      <c r="B1263" s="123" t="s">
        <v>12263</v>
      </c>
      <c r="C1263" s="123" t="s">
        <v>12264</v>
      </c>
      <c r="D1263" s="124" t="str">
        <f t="shared" si="20"/>
        <v>VEXUSDT</v>
      </c>
      <c r="E1263" s="125" t="e">
        <f ca="1">VLOOKUP(D1263,'Курсы Бинанса'!B:C,2,FALSE)</f>
        <v>#N/A</v>
      </c>
    </row>
    <row r="1264" spans="1:5">
      <c r="A1264" s="121">
        <v>1262</v>
      </c>
      <c r="B1264" s="123" t="s">
        <v>12265</v>
      </c>
      <c r="C1264" s="123" t="s">
        <v>12266</v>
      </c>
      <c r="D1264" s="124" t="str">
        <f t="shared" si="20"/>
        <v>WPRUSDT</v>
      </c>
      <c r="E1264" s="125" t="e">
        <f ca="1">VLOOKUP(D1264,'Курсы Бинанса'!B:C,2,FALSE)</f>
        <v>#N/A</v>
      </c>
    </row>
    <row r="1265" spans="1:5">
      <c r="A1265" s="121">
        <v>1263</v>
      </c>
      <c r="B1265" s="123" t="s">
        <v>12267</v>
      </c>
      <c r="C1265" s="123" t="s">
        <v>12268</v>
      </c>
      <c r="D1265" s="124" t="str">
        <f t="shared" si="20"/>
        <v>LANDUSDT</v>
      </c>
      <c r="E1265" s="125" t="e">
        <f ca="1">VLOOKUP(D1265,'Курсы Бинанса'!B:C,2,FALSE)</f>
        <v>#N/A</v>
      </c>
    </row>
    <row r="1266" spans="1:5">
      <c r="A1266" s="121">
        <v>1264</v>
      </c>
      <c r="B1266" s="123" t="s">
        <v>12269</v>
      </c>
      <c r="C1266" s="123" t="s">
        <v>12270</v>
      </c>
      <c r="D1266" s="124" t="str">
        <f t="shared" si="20"/>
        <v>XASUSDT</v>
      </c>
      <c r="E1266" s="125" t="e">
        <f ca="1">VLOOKUP(D1266,'Курсы Бинанса'!B:C,2,FALSE)</f>
        <v>#N/A</v>
      </c>
    </row>
    <row r="1267" spans="1:5">
      <c r="A1267" s="121">
        <v>1265</v>
      </c>
      <c r="B1267" s="123" t="s">
        <v>12271</v>
      </c>
      <c r="C1267" s="123" t="s">
        <v>12272</v>
      </c>
      <c r="D1267" s="124" t="str">
        <f t="shared" si="20"/>
        <v>FWTUSDT</v>
      </c>
      <c r="E1267" s="125" t="e">
        <f ca="1">VLOOKUP(D1267,'Курсы Бинанса'!B:C,2,FALSE)</f>
        <v>#N/A</v>
      </c>
    </row>
    <row r="1268" spans="1:5">
      <c r="A1268" s="121">
        <v>1266</v>
      </c>
      <c r="B1268" s="123" t="s">
        <v>12273</v>
      </c>
      <c r="C1268" s="123" t="s">
        <v>12274</v>
      </c>
      <c r="D1268" s="124" t="str">
        <f t="shared" si="20"/>
        <v>ACTUSDT</v>
      </c>
      <c r="E1268" s="125" t="e">
        <f ca="1">VLOOKUP(D1268,'Курсы Бинанса'!B:C,2,FALSE)</f>
        <v>#N/A</v>
      </c>
    </row>
    <row r="1269" spans="1:5">
      <c r="A1269" s="121">
        <v>1267</v>
      </c>
      <c r="B1269" s="123" t="s">
        <v>12275</v>
      </c>
      <c r="C1269" s="123" t="s">
        <v>12276</v>
      </c>
      <c r="D1269" s="124" t="str">
        <f t="shared" si="20"/>
        <v>BBTUSDT</v>
      </c>
      <c r="E1269" s="125" t="e">
        <f ca="1">VLOOKUP(D1269,'Курсы Бинанса'!B:C,2,FALSE)</f>
        <v>#N/A</v>
      </c>
    </row>
    <row r="1270" spans="1:5">
      <c r="A1270" s="121">
        <v>1268</v>
      </c>
      <c r="B1270" s="123" t="s">
        <v>12277</v>
      </c>
      <c r="C1270" s="123" t="s">
        <v>12278</v>
      </c>
      <c r="D1270" s="124" t="str">
        <f t="shared" si="20"/>
        <v>ECOMUSDT</v>
      </c>
      <c r="E1270" s="125" t="e">
        <f ca="1">VLOOKUP(D1270,'Курсы Бинанса'!B:C,2,FALSE)</f>
        <v>#N/A</v>
      </c>
    </row>
    <row r="1271" spans="1:5">
      <c r="A1271" s="121">
        <v>1269</v>
      </c>
      <c r="B1271" s="123" t="s">
        <v>13656</v>
      </c>
      <c r="C1271" s="123" t="s">
        <v>13657</v>
      </c>
      <c r="D1271" s="124" t="str">
        <f t="shared" si="20"/>
        <v>SAITOUSDT</v>
      </c>
      <c r="E1271" s="125" t="e">
        <f ca="1">VLOOKUP(D1271,'Курсы Бинанса'!B:C,2,FALSE)</f>
        <v>#N/A</v>
      </c>
    </row>
    <row r="1272" spans="1:5">
      <c r="A1272" s="121">
        <v>1270</v>
      </c>
      <c r="B1272" s="123" t="s">
        <v>13658</v>
      </c>
      <c r="C1272" s="123" t="s">
        <v>13659</v>
      </c>
      <c r="D1272" s="124" t="str">
        <f t="shared" si="20"/>
        <v>DGCUSDT</v>
      </c>
      <c r="E1272" s="125" t="e">
        <f ca="1">VLOOKUP(D1272,'Курсы Бинанса'!B:C,2,FALSE)</f>
        <v>#N/A</v>
      </c>
    </row>
    <row r="1273" spans="1:5">
      <c r="A1273" s="121">
        <v>1271</v>
      </c>
      <c r="B1273" s="123" t="s">
        <v>13660</v>
      </c>
      <c r="C1273" s="123" t="s">
        <v>13661</v>
      </c>
      <c r="D1273" s="124" t="str">
        <f t="shared" si="20"/>
        <v>BCIUSDT</v>
      </c>
      <c r="E1273" s="125" t="e">
        <f ca="1">VLOOKUP(D1273,'Курсы Бинанса'!B:C,2,FALSE)</f>
        <v>#N/A</v>
      </c>
    </row>
    <row r="1274" spans="1:5">
      <c r="A1274" s="121">
        <v>1272</v>
      </c>
      <c r="B1274" s="123" t="s">
        <v>13662</v>
      </c>
      <c r="C1274" s="123" t="s">
        <v>13663</v>
      </c>
      <c r="D1274" s="124" t="str">
        <f t="shared" si="20"/>
        <v>DBETUSDT</v>
      </c>
      <c r="E1274" s="125" t="e">
        <f ca="1">VLOOKUP(D1274,'Курсы Бинанса'!B:C,2,FALSE)</f>
        <v>#N/A</v>
      </c>
    </row>
    <row r="1275" spans="1:5">
      <c r="A1275" s="121">
        <v>1273</v>
      </c>
      <c r="B1275" s="123" t="s">
        <v>13664</v>
      </c>
      <c r="C1275" s="123" t="s">
        <v>13665</v>
      </c>
      <c r="D1275" s="124" t="str">
        <f t="shared" si="20"/>
        <v>ELAMAUSDT</v>
      </c>
      <c r="E1275" s="125" t="e">
        <f ca="1">VLOOKUP(D1275,'Курсы Бинанса'!B:C,2,FALSE)</f>
        <v>#N/A</v>
      </c>
    </row>
    <row r="1276" spans="1:5">
      <c r="A1276" s="121">
        <v>1274</v>
      </c>
      <c r="B1276" s="123" t="s">
        <v>13666</v>
      </c>
      <c r="C1276" s="123" t="s">
        <v>13667</v>
      </c>
      <c r="D1276" s="124" t="str">
        <f t="shared" si="20"/>
        <v>BLTGUSDT</v>
      </c>
      <c r="E1276" s="125" t="e">
        <f ca="1">VLOOKUP(D1276,'Курсы Бинанса'!B:C,2,FALSE)</f>
        <v>#N/A</v>
      </c>
    </row>
    <row r="1277" spans="1:5">
      <c r="A1277" s="121">
        <v>1275</v>
      </c>
      <c r="B1277" s="123" t="s">
        <v>13668</v>
      </c>
      <c r="C1277" s="123" t="s">
        <v>13669</v>
      </c>
      <c r="D1277" s="124" t="str">
        <f t="shared" si="20"/>
        <v>IOGUSDT</v>
      </c>
      <c r="E1277" s="125" t="e">
        <f ca="1">VLOOKUP(D1277,'Курсы Бинанса'!B:C,2,FALSE)</f>
        <v>#N/A</v>
      </c>
    </row>
    <row r="1278" spans="1:5">
      <c r="A1278" s="121">
        <v>1276</v>
      </c>
      <c r="B1278" s="123" t="s">
        <v>13670</v>
      </c>
      <c r="C1278" s="123" t="s">
        <v>13671</v>
      </c>
      <c r="D1278" s="124" t="str">
        <f t="shared" si="20"/>
        <v>MPAYUSDT</v>
      </c>
      <c r="E1278" s="125" t="e">
        <f ca="1">VLOOKUP(D1278,'Курсы Бинанса'!B:C,2,FALSE)</f>
        <v>#N/A</v>
      </c>
    </row>
    <row r="1279" spans="1:5">
      <c r="A1279" s="121">
        <v>1277</v>
      </c>
      <c r="B1279" s="123" t="s">
        <v>13672</v>
      </c>
      <c r="C1279" s="123" t="s">
        <v>13673</v>
      </c>
      <c r="D1279" s="124" t="str">
        <f t="shared" si="20"/>
        <v>ORMEUSUSDT</v>
      </c>
      <c r="E1279" s="125" t="e">
        <f ca="1">VLOOKUP(D1279,'Курсы Бинанса'!B:C,2,FALSE)</f>
        <v>#N/A</v>
      </c>
    </row>
    <row r="1280" spans="1:5">
      <c r="A1280" s="121">
        <v>1278</v>
      </c>
      <c r="B1280" s="123" t="s">
        <v>13674</v>
      </c>
      <c r="C1280" s="123" t="s">
        <v>13675</v>
      </c>
      <c r="D1280" s="124" t="str">
        <f t="shared" si="20"/>
        <v>MECUSDT</v>
      </c>
      <c r="E1280" s="125" t="e">
        <f ca="1">VLOOKUP(D1280,'Курсы Бинанса'!B:C,2,FALSE)</f>
        <v>#N/A</v>
      </c>
    </row>
    <row r="1281" spans="1:5">
      <c r="A1281" s="121">
        <v>1279</v>
      </c>
      <c r="B1281" s="123" t="s">
        <v>13676</v>
      </c>
      <c r="C1281" s="123" t="s">
        <v>13677</v>
      </c>
      <c r="D1281" s="124" t="str">
        <f t="shared" si="20"/>
        <v>CARDUSDT</v>
      </c>
      <c r="E1281" s="125" t="e">
        <f ca="1">VLOOKUP(D1281,'Курсы Бинанса'!B:C,2,FALSE)</f>
        <v>#N/A</v>
      </c>
    </row>
    <row r="1282" spans="1:5">
      <c r="A1282" s="121">
        <v>1280</v>
      </c>
      <c r="B1282" s="123" t="s">
        <v>13678</v>
      </c>
      <c r="C1282" s="123" t="s">
        <v>13679</v>
      </c>
      <c r="D1282" s="124" t="str">
        <f t="shared" si="20"/>
        <v>OLTUSDT</v>
      </c>
      <c r="E1282" s="125" t="e">
        <f ca="1">VLOOKUP(D1282,'Курсы Бинанса'!B:C,2,FALSE)</f>
        <v>#N/A</v>
      </c>
    </row>
    <row r="1283" spans="1:5">
      <c r="A1283" s="121">
        <v>1281</v>
      </c>
      <c r="B1283" s="123" t="s">
        <v>13680</v>
      </c>
      <c r="C1283" s="123" t="s">
        <v>13680</v>
      </c>
      <c r="D1283" s="124" t="str">
        <f t="shared" si="20"/>
        <v>VIBEUSDT</v>
      </c>
      <c r="E1283" s="125" t="e">
        <f ca="1">VLOOKUP(D1283,'Курсы Бинанса'!B:C,2,FALSE)</f>
        <v>#N/A</v>
      </c>
    </row>
    <row r="1284" spans="1:5">
      <c r="A1284" s="121">
        <v>1282</v>
      </c>
      <c r="B1284" s="123" t="s">
        <v>13681</v>
      </c>
      <c r="C1284" s="123" t="s">
        <v>13682</v>
      </c>
      <c r="D1284" s="124" t="str">
        <f t="shared" si="20"/>
        <v>LNXUSDT</v>
      </c>
      <c r="E1284" s="125" t="e">
        <f ca="1">VLOOKUP(D1284,'Курсы Бинанса'!B:C,2,FALSE)</f>
        <v>#N/A</v>
      </c>
    </row>
    <row r="1285" spans="1:5">
      <c r="A1285" s="121">
        <v>1283</v>
      </c>
      <c r="B1285" s="123" t="s">
        <v>13683</v>
      </c>
      <c r="C1285" s="123" t="s">
        <v>13684</v>
      </c>
      <c r="D1285" s="124" t="str">
        <f t="shared" si="20"/>
        <v>LIBERTASUSDT</v>
      </c>
      <c r="E1285" s="125" t="e">
        <f ca="1">VLOOKUP(D1285,'Курсы Бинанса'!B:C,2,FALSE)</f>
        <v>#N/A</v>
      </c>
    </row>
    <row r="1286" spans="1:5">
      <c r="A1286" s="121">
        <v>1284</v>
      </c>
      <c r="B1286" s="123" t="s">
        <v>13685</v>
      </c>
      <c r="C1286" s="123" t="s">
        <v>13686</v>
      </c>
      <c r="D1286" s="124" t="str">
        <f t="shared" si="20"/>
        <v>HYNUSDT</v>
      </c>
      <c r="E1286" s="125" t="e">
        <f ca="1">VLOOKUP(D1286,'Курсы Бинанса'!B:C,2,FALSE)</f>
        <v>#N/A</v>
      </c>
    </row>
    <row r="1287" spans="1:5">
      <c r="A1287" s="121">
        <v>1285</v>
      </c>
      <c r="B1287" s="123" t="s">
        <v>13687</v>
      </c>
      <c r="C1287" s="123" t="s">
        <v>13688</v>
      </c>
      <c r="D1287" s="124" t="str">
        <f t="shared" si="20"/>
        <v>LITUSDT</v>
      </c>
      <c r="E1287" s="125" t="e">
        <f ca="1">VLOOKUP(D1287,'Курсы Бинанса'!B:C,2,FALSE)</f>
        <v>#N/A</v>
      </c>
    </row>
    <row r="1288" spans="1:5">
      <c r="A1288" s="121">
        <v>1286</v>
      </c>
      <c r="B1288" s="123" t="s">
        <v>13689</v>
      </c>
      <c r="C1288" s="123" t="s">
        <v>13690</v>
      </c>
      <c r="D1288" s="124" t="str">
        <f t="shared" si="20"/>
        <v>DBCUSDT</v>
      </c>
      <c r="E1288" s="125" t="e">
        <f ca="1">VLOOKUP(D1288,'Курсы Бинанса'!B:C,2,FALSE)</f>
        <v>#N/A</v>
      </c>
    </row>
    <row r="1289" spans="1:5">
      <c r="A1289" s="121">
        <v>1287</v>
      </c>
      <c r="B1289" s="123" t="s">
        <v>13691</v>
      </c>
      <c r="C1289" s="123" t="s">
        <v>13692</v>
      </c>
      <c r="D1289" s="124" t="str">
        <f t="shared" si="20"/>
        <v>LNDUSDT</v>
      </c>
      <c r="E1289" s="125" t="e">
        <f ca="1">VLOOKUP(D1289,'Курсы Бинанса'!B:C,2,FALSE)</f>
        <v>#N/A</v>
      </c>
    </row>
    <row r="1290" spans="1:5">
      <c r="A1290" s="121">
        <v>1288</v>
      </c>
      <c r="B1290" s="123" t="s">
        <v>13693</v>
      </c>
      <c r="C1290" s="123" t="s">
        <v>13694</v>
      </c>
      <c r="D1290" s="124" t="str">
        <f t="shared" si="20"/>
        <v>JARUSDT</v>
      </c>
      <c r="E1290" s="125" t="e">
        <f ca="1">VLOOKUP(D1290,'Курсы Бинанса'!B:C,2,FALSE)</f>
        <v>#N/A</v>
      </c>
    </row>
    <row r="1291" spans="1:5">
      <c r="A1291" s="121">
        <v>1289</v>
      </c>
      <c r="B1291" s="123" t="s">
        <v>13695</v>
      </c>
      <c r="C1291" s="123" t="s">
        <v>13696</v>
      </c>
      <c r="D1291" s="124" t="str">
        <f t="shared" si="20"/>
        <v>PRAUSDT</v>
      </c>
      <c r="E1291" s="125" t="e">
        <f ca="1">VLOOKUP(D1291,'Курсы Бинанса'!B:C,2,FALSE)</f>
        <v>#N/A</v>
      </c>
    </row>
    <row r="1292" spans="1:5">
      <c r="A1292" s="121">
        <v>1290</v>
      </c>
      <c r="B1292" s="123" t="s">
        <v>13697</v>
      </c>
      <c r="C1292" s="123" t="s">
        <v>13688</v>
      </c>
      <c r="D1292" s="124" t="str">
        <f t="shared" si="20"/>
        <v>LITUSDT</v>
      </c>
      <c r="E1292" s="125" t="e">
        <f ca="1">VLOOKUP(D1292,'Курсы Бинанса'!B:C,2,FALSE)</f>
        <v>#N/A</v>
      </c>
    </row>
    <row r="1293" spans="1:5">
      <c r="A1293" s="121">
        <v>1291</v>
      </c>
      <c r="B1293" s="123" t="s">
        <v>13698</v>
      </c>
      <c r="C1293" s="123" t="s">
        <v>13699</v>
      </c>
      <c r="D1293" s="124" t="str">
        <f t="shared" si="20"/>
        <v>SNGLSUSDT</v>
      </c>
      <c r="E1293" s="125" t="e">
        <f ca="1">VLOOKUP(D1293,'Курсы Бинанса'!B:C,2,FALSE)</f>
        <v>#N/A</v>
      </c>
    </row>
    <row r="1294" spans="1:5">
      <c r="A1294" s="121">
        <v>1292</v>
      </c>
      <c r="B1294" s="123" t="s">
        <v>13700</v>
      </c>
      <c r="C1294" s="123" t="s">
        <v>13701</v>
      </c>
      <c r="D1294" s="124" t="str">
        <f t="shared" si="20"/>
        <v>HMQUSDT</v>
      </c>
      <c r="E1294" s="125" t="e">
        <f ca="1">VLOOKUP(D1294,'Курсы Бинанса'!B:C,2,FALSE)</f>
        <v>#N/A</v>
      </c>
    </row>
    <row r="1295" spans="1:5">
      <c r="A1295" s="121">
        <v>1293</v>
      </c>
      <c r="B1295" s="123" t="s">
        <v>13702</v>
      </c>
      <c r="C1295" s="123" t="s">
        <v>13703</v>
      </c>
      <c r="D1295" s="124" t="str">
        <f t="shared" si="20"/>
        <v>MPGUSDT</v>
      </c>
      <c r="E1295" s="125" t="e">
        <f ca="1">VLOOKUP(D1295,'Курсы Бинанса'!B:C,2,FALSE)</f>
        <v>#N/A</v>
      </c>
    </row>
    <row r="1296" spans="1:5">
      <c r="A1296" s="121">
        <v>1294</v>
      </c>
      <c r="B1296" s="123" t="s">
        <v>13704</v>
      </c>
      <c r="C1296" s="123" t="s">
        <v>13705</v>
      </c>
      <c r="D1296" s="124" t="str">
        <f t="shared" si="20"/>
        <v>WAYUSDT</v>
      </c>
      <c r="E1296" s="125" t="e">
        <f ca="1">VLOOKUP(D1296,'Курсы Бинанса'!B:C,2,FALSE)</f>
        <v>#N/A</v>
      </c>
    </row>
    <row r="1297" spans="1:5">
      <c r="A1297" s="121">
        <v>1295</v>
      </c>
      <c r="B1297" s="123" t="s">
        <v>13706</v>
      </c>
      <c r="C1297" s="123" t="s">
        <v>13707</v>
      </c>
      <c r="D1297" s="124" t="str">
        <f t="shared" si="20"/>
        <v>EBTCUSDT</v>
      </c>
      <c r="E1297" s="125" t="e">
        <f ca="1">VLOOKUP(D1297,'Курсы Бинанса'!B:C,2,FALSE)</f>
        <v>#N/A</v>
      </c>
    </row>
    <row r="1298" spans="1:5">
      <c r="A1298" s="121">
        <v>1296</v>
      </c>
      <c r="B1298" s="123" t="s">
        <v>13708</v>
      </c>
      <c r="C1298" s="123" t="s">
        <v>13709</v>
      </c>
      <c r="D1298" s="124" t="str">
        <f t="shared" si="20"/>
        <v>UTUSDT</v>
      </c>
      <c r="E1298" s="125" t="e">
        <f ca="1">VLOOKUP(D1298,'Курсы Бинанса'!B:C,2,FALSE)</f>
        <v>#N/A</v>
      </c>
    </row>
    <row r="1299" spans="1:5">
      <c r="A1299" s="121">
        <v>1297</v>
      </c>
      <c r="B1299" s="123" t="s">
        <v>13710</v>
      </c>
      <c r="C1299" s="123" t="s">
        <v>13711</v>
      </c>
      <c r="D1299" s="124" t="str">
        <f t="shared" si="20"/>
        <v>POSWUSDT</v>
      </c>
      <c r="E1299" s="125" t="e">
        <f ca="1">VLOOKUP(D1299,'Курсы Бинанса'!B:C,2,FALSE)</f>
        <v>#N/A</v>
      </c>
    </row>
    <row r="1300" spans="1:5">
      <c r="A1300" s="121">
        <v>1298</v>
      </c>
      <c r="B1300" s="123" t="s">
        <v>13712</v>
      </c>
      <c r="C1300" s="123" t="s">
        <v>13713</v>
      </c>
      <c r="D1300" s="124" t="str">
        <f t="shared" si="20"/>
        <v>KEYUSDT</v>
      </c>
      <c r="E1300" s="125" t="e">
        <f ca="1">VLOOKUP(D1300,'Курсы Бинанса'!B:C,2,FALSE)</f>
        <v>#N/A</v>
      </c>
    </row>
    <row r="1301" spans="1:5">
      <c r="A1301" s="121">
        <v>1299</v>
      </c>
      <c r="B1301" s="123" t="s">
        <v>13714</v>
      </c>
      <c r="C1301" s="123" t="s">
        <v>13715</v>
      </c>
      <c r="D1301" s="124" t="str">
        <f t="shared" si="20"/>
        <v>CPCUSDT</v>
      </c>
      <c r="E1301" s="125" t="e">
        <f ca="1">VLOOKUP(D1301,'Курсы Бинанса'!B:C,2,FALSE)</f>
        <v>#N/A</v>
      </c>
    </row>
    <row r="1302" spans="1:5">
      <c r="A1302" s="121">
        <v>1300</v>
      </c>
      <c r="B1302" s="123" t="s">
        <v>13716</v>
      </c>
      <c r="C1302" s="123" t="s">
        <v>13716</v>
      </c>
      <c r="D1302" s="124" t="str">
        <f t="shared" si="20"/>
        <v>HEATUSDT</v>
      </c>
      <c r="E1302" s="125" t="e">
        <f ca="1">VLOOKUP(D1302,'Курсы Бинанса'!B:C,2,FALSE)</f>
        <v>#N/A</v>
      </c>
    </row>
    <row r="1303" spans="1:5">
      <c r="A1303" s="121">
        <v>1301</v>
      </c>
      <c r="B1303" s="123" t="s">
        <v>13717</v>
      </c>
      <c r="C1303" s="123" t="s">
        <v>13718</v>
      </c>
      <c r="D1303" s="124" t="str">
        <f t="shared" si="20"/>
        <v>QBTUSDT</v>
      </c>
      <c r="E1303" s="125" t="e">
        <f ca="1">VLOOKUP(D1303,'Курсы Бинанса'!B:C,2,FALSE)</f>
        <v>#N/A</v>
      </c>
    </row>
    <row r="1304" spans="1:5">
      <c r="A1304" s="121">
        <v>1302</v>
      </c>
      <c r="B1304" s="123" t="s">
        <v>13719</v>
      </c>
      <c r="C1304" s="123" t="s">
        <v>13719</v>
      </c>
      <c r="D1304" s="124" t="str">
        <f t="shared" si="20"/>
        <v>TROYUSDT</v>
      </c>
      <c r="E1304" s="125" t="e">
        <f ca="1">VLOOKUP(D1304,'Курсы Бинанса'!B:C,2,FALSE)</f>
        <v>#N/A</v>
      </c>
    </row>
    <row r="1305" spans="1:5">
      <c r="A1305" s="121">
        <v>1303</v>
      </c>
      <c r="B1305" s="123" t="s">
        <v>13720</v>
      </c>
      <c r="C1305" s="123" t="s">
        <v>13721</v>
      </c>
      <c r="D1305" s="124" t="str">
        <f t="shared" si="20"/>
        <v>PATUSDT</v>
      </c>
      <c r="E1305" s="125" t="e">
        <f ca="1">VLOOKUP(D1305,'Курсы Бинанса'!B:C,2,FALSE)</f>
        <v>#N/A</v>
      </c>
    </row>
    <row r="1306" spans="1:5">
      <c r="A1306" s="121">
        <v>1304</v>
      </c>
      <c r="B1306" s="123" t="s">
        <v>13722</v>
      </c>
      <c r="C1306" s="123" t="s">
        <v>13723</v>
      </c>
      <c r="D1306" s="124" t="str">
        <f t="shared" si="20"/>
        <v>MNCUSDT</v>
      </c>
      <c r="E1306" s="125" t="e">
        <f ca="1">VLOOKUP(D1306,'Курсы Бинанса'!B:C,2,FALSE)</f>
        <v>#N/A</v>
      </c>
    </row>
    <row r="1307" spans="1:5">
      <c r="A1307" s="121">
        <v>1305</v>
      </c>
      <c r="B1307" s="123" t="s">
        <v>13724</v>
      </c>
      <c r="C1307" s="123" t="s">
        <v>13725</v>
      </c>
      <c r="D1307" s="124" t="str">
        <f t="shared" si="20"/>
        <v>PXCUSDT</v>
      </c>
      <c r="E1307" s="125" t="e">
        <f ca="1">VLOOKUP(D1307,'Курсы Бинанса'!B:C,2,FALSE)</f>
        <v>#N/A</v>
      </c>
    </row>
    <row r="1308" spans="1:5">
      <c r="A1308" s="121">
        <v>1306</v>
      </c>
      <c r="B1308" s="123" t="s">
        <v>13726</v>
      </c>
      <c r="C1308" s="123" t="s">
        <v>13727</v>
      </c>
      <c r="D1308" s="124" t="str">
        <f t="shared" si="20"/>
        <v>TRSTUSDT</v>
      </c>
      <c r="E1308" s="125" t="e">
        <f ca="1">VLOOKUP(D1308,'Курсы Бинанса'!B:C,2,FALSE)</f>
        <v>#N/A</v>
      </c>
    </row>
    <row r="1309" spans="1:5">
      <c r="A1309" s="121">
        <v>1307</v>
      </c>
      <c r="B1309" s="123" t="s">
        <v>13728</v>
      </c>
      <c r="C1309" s="123" t="s">
        <v>13723</v>
      </c>
      <c r="D1309" s="124" t="str">
        <f t="shared" si="20"/>
        <v>MNCUSDT</v>
      </c>
      <c r="E1309" s="125" t="e">
        <f ca="1">VLOOKUP(D1309,'Курсы Бинанса'!B:C,2,FALSE)</f>
        <v>#N/A</v>
      </c>
    </row>
    <row r="1310" spans="1:5">
      <c r="A1310" s="121">
        <v>1308</v>
      </c>
      <c r="B1310" s="123" t="s">
        <v>13729</v>
      </c>
      <c r="C1310" s="123" t="s">
        <v>13730</v>
      </c>
      <c r="D1310" s="124" t="str">
        <f t="shared" si="20"/>
        <v>COVALUSDT</v>
      </c>
      <c r="E1310" s="125" t="e">
        <f ca="1">VLOOKUP(D1310,'Курсы Бинанса'!B:C,2,FALSE)</f>
        <v>#N/A</v>
      </c>
    </row>
    <row r="1311" spans="1:5">
      <c r="A1311" s="121">
        <v>1309</v>
      </c>
      <c r="B1311" s="123" t="s">
        <v>13731</v>
      </c>
      <c r="C1311" s="123" t="s">
        <v>13732</v>
      </c>
      <c r="D1311" s="124" t="str">
        <f t="shared" si="20"/>
        <v>HVNUSDT</v>
      </c>
      <c r="E1311" s="125" t="e">
        <f ca="1">VLOOKUP(D1311,'Курсы Бинанса'!B:C,2,FALSE)</f>
        <v>#N/A</v>
      </c>
    </row>
    <row r="1312" spans="1:5">
      <c r="A1312" s="121">
        <v>1310</v>
      </c>
      <c r="B1312" s="123" t="s">
        <v>13733</v>
      </c>
      <c r="C1312" s="123" t="s">
        <v>13734</v>
      </c>
      <c r="D1312" s="124" t="str">
        <f t="shared" si="20"/>
        <v>ECOUSDT</v>
      </c>
      <c r="E1312" s="125" t="e">
        <f ca="1">VLOOKUP(D1312,'Курсы Бинанса'!B:C,2,FALSE)</f>
        <v>#N/A</v>
      </c>
    </row>
    <row r="1313" spans="1:5">
      <c r="A1313" s="121">
        <v>1311</v>
      </c>
      <c r="B1313" s="123" t="s">
        <v>13735</v>
      </c>
      <c r="C1313" s="123" t="s">
        <v>13736</v>
      </c>
      <c r="D1313" s="124" t="str">
        <f t="shared" si="20"/>
        <v>MBLUSDT</v>
      </c>
      <c r="E1313" s="125" t="e">
        <f ca="1">VLOOKUP(D1313,'Курсы Бинанса'!B:C,2,FALSE)</f>
        <v>#N/A</v>
      </c>
    </row>
    <row r="1314" spans="1:5">
      <c r="A1314" s="121">
        <v>1312</v>
      </c>
      <c r="B1314" s="123" t="s">
        <v>13737</v>
      </c>
      <c r="C1314" s="123" t="s">
        <v>13738</v>
      </c>
      <c r="D1314" s="124" t="str">
        <f t="shared" ref="D1314:D1377" si="21">CONCATENATE(C1314,"USDT")</f>
        <v>LABSUSDT</v>
      </c>
      <c r="E1314" s="125" t="e">
        <f ca="1">VLOOKUP(D1314,'Курсы Бинанса'!B:C,2,FALSE)</f>
        <v>#N/A</v>
      </c>
    </row>
    <row r="1315" spans="1:5">
      <c r="A1315" s="121">
        <v>1313</v>
      </c>
      <c r="B1315" s="123" t="s">
        <v>13739</v>
      </c>
      <c r="C1315" s="123" t="s">
        <v>13740</v>
      </c>
      <c r="D1315" s="124" t="str">
        <f t="shared" si="21"/>
        <v>LETUSDT</v>
      </c>
      <c r="E1315" s="125" t="e">
        <f ca="1">VLOOKUP(D1315,'Курсы Бинанса'!B:C,2,FALSE)</f>
        <v>#N/A</v>
      </c>
    </row>
    <row r="1316" spans="1:5">
      <c r="A1316" s="121">
        <v>1314</v>
      </c>
      <c r="B1316" s="123" t="s">
        <v>13741</v>
      </c>
      <c r="C1316" s="123" t="s">
        <v>13742</v>
      </c>
      <c r="D1316" s="124" t="str">
        <f t="shared" si="21"/>
        <v>BTDXUSDT</v>
      </c>
      <c r="E1316" s="125" t="e">
        <f ca="1">VLOOKUP(D1316,'Курсы Бинанса'!B:C,2,FALSE)</f>
        <v>#N/A</v>
      </c>
    </row>
    <row r="1317" spans="1:5">
      <c r="A1317" s="121">
        <v>1315</v>
      </c>
      <c r="B1317" s="123" t="s">
        <v>13743</v>
      </c>
      <c r="C1317" s="123" t="s">
        <v>13744</v>
      </c>
      <c r="D1317" s="124" t="str">
        <f t="shared" si="21"/>
        <v>SNTVTUSDT</v>
      </c>
      <c r="E1317" s="125" t="e">
        <f ca="1">VLOOKUP(D1317,'Курсы Бинанса'!B:C,2,FALSE)</f>
        <v>#N/A</v>
      </c>
    </row>
    <row r="1318" spans="1:5">
      <c r="A1318" s="121">
        <v>1316</v>
      </c>
      <c r="B1318" s="123" t="s">
        <v>13745</v>
      </c>
      <c r="C1318" s="123" t="s">
        <v>13746</v>
      </c>
      <c r="D1318" s="124" t="str">
        <f t="shared" si="21"/>
        <v>S4FUSDT</v>
      </c>
      <c r="E1318" s="125" t="e">
        <f ca="1">VLOOKUP(D1318,'Курсы Бинанса'!B:C,2,FALSE)</f>
        <v>#N/A</v>
      </c>
    </row>
    <row r="1319" spans="1:5">
      <c r="A1319" s="121">
        <v>1317</v>
      </c>
      <c r="B1319" s="123" t="s">
        <v>13747</v>
      </c>
      <c r="C1319" s="123" t="s">
        <v>13748</v>
      </c>
      <c r="D1319" s="124" t="str">
        <f t="shared" si="21"/>
        <v>SWACEUSDT</v>
      </c>
      <c r="E1319" s="125" t="e">
        <f ca="1">VLOOKUP(D1319,'Курсы Бинанса'!B:C,2,FALSE)</f>
        <v>#N/A</v>
      </c>
    </row>
    <row r="1320" spans="1:5">
      <c r="A1320" s="121">
        <v>1318</v>
      </c>
      <c r="B1320" s="123" t="s">
        <v>13749</v>
      </c>
      <c r="C1320" s="123" t="s">
        <v>13750</v>
      </c>
      <c r="D1320" s="124" t="str">
        <f t="shared" si="21"/>
        <v>EDGUSDT</v>
      </c>
      <c r="E1320" s="125" t="e">
        <f ca="1">VLOOKUP(D1320,'Курсы Бинанса'!B:C,2,FALSE)</f>
        <v>#N/A</v>
      </c>
    </row>
    <row r="1321" spans="1:5">
      <c r="A1321" s="121">
        <v>1319</v>
      </c>
      <c r="B1321" s="123" t="s">
        <v>13751</v>
      </c>
      <c r="C1321" s="123" t="s">
        <v>13752</v>
      </c>
      <c r="D1321" s="124" t="str">
        <f t="shared" si="21"/>
        <v>ALYUSDT</v>
      </c>
      <c r="E1321" s="125" t="e">
        <f ca="1">VLOOKUP(D1321,'Курсы Бинанса'!B:C,2,FALSE)</f>
        <v>#N/A</v>
      </c>
    </row>
    <row r="1322" spans="1:5">
      <c r="A1322" s="121">
        <v>1320</v>
      </c>
      <c r="B1322" s="123" t="s">
        <v>13753</v>
      </c>
      <c r="C1322" s="123" t="s">
        <v>13754</v>
      </c>
      <c r="D1322" s="124" t="str">
        <f t="shared" si="21"/>
        <v>PIUSDT</v>
      </c>
      <c r="E1322" s="125" t="e">
        <f ca="1">VLOOKUP(D1322,'Курсы Бинанса'!B:C,2,FALSE)</f>
        <v>#N/A</v>
      </c>
    </row>
    <row r="1323" spans="1:5">
      <c r="A1323" s="121">
        <v>1321</v>
      </c>
      <c r="B1323" s="123" t="s">
        <v>13755</v>
      </c>
      <c r="C1323" s="123" t="s">
        <v>13750</v>
      </c>
      <c r="D1323" s="124" t="str">
        <f t="shared" si="21"/>
        <v>EDGUSDT</v>
      </c>
      <c r="E1323" s="125" t="e">
        <f ca="1">VLOOKUP(D1323,'Курсы Бинанса'!B:C,2,FALSE)</f>
        <v>#N/A</v>
      </c>
    </row>
    <row r="1324" spans="1:5">
      <c r="A1324" s="121">
        <v>1322</v>
      </c>
      <c r="B1324" s="123" t="s">
        <v>13756</v>
      </c>
      <c r="C1324" s="123" t="s">
        <v>13757</v>
      </c>
      <c r="D1324" s="124" t="str">
        <f t="shared" si="21"/>
        <v>VNTUSDT</v>
      </c>
      <c r="E1324" s="125" t="e">
        <f ca="1">VLOOKUP(D1324,'Курсы Бинанса'!B:C,2,FALSE)</f>
        <v>#N/A</v>
      </c>
    </row>
    <row r="1325" spans="1:5">
      <c r="A1325" s="121">
        <v>1323</v>
      </c>
      <c r="B1325" s="123" t="s">
        <v>13758</v>
      </c>
      <c r="C1325" s="123" t="s">
        <v>13759</v>
      </c>
      <c r="D1325" s="124" t="str">
        <f t="shared" si="21"/>
        <v>EMUSDT</v>
      </c>
      <c r="E1325" s="125" t="e">
        <f ca="1">VLOOKUP(D1325,'Курсы Бинанса'!B:C,2,FALSE)</f>
        <v>#N/A</v>
      </c>
    </row>
    <row r="1326" spans="1:5">
      <c r="A1326" s="121">
        <v>1324</v>
      </c>
      <c r="B1326" s="123" t="s">
        <v>13760</v>
      </c>
      <c r="C1326" s="123" t="s">
        <v>13761</v>
      </c>
      <c r="D1326" s="124" t="str">
        <f t="shared" si="21"/>
        <v>FOURUSDT</v>
      </c>
      <c r="E1326" s="125" t="e">
        <f ca="1">VLOOKUP(D1326,'Курсы Бинанса'!B:C,2,FALSE)</f>
        <v>#N/A</v>
      </c>
    </row>
    <row r="1327" spans="1:5">
      <c r="A1327" s="121">
        <v>1325</v>
      </c>
      <c r="B1327" s="123" t="s">
        <v>13762</v>
      </c>
      <c r="C1327" s="123" t="s">
        <v>13763</v>
      </c>
      <c r="D1327" s="124" t="str">
        <f t="shared" si="21"/>
        <v>KOBOUSDT</v>
      </c>
      <c r="E1327" s="125" t="e">
        <f ca="1">VLOOKUP(D1327,'Курсы Бинанса'!B:C,2,FALSE)</f>
        <v>#N/A</v>
      </c>
    </row>
    <row r="1328" spans="1:5">
      <c r="A1328" s="121">
        <v>1326</v>
      </c>
      <c r="B1328" s="123" t="s">
        <v>13764</v>
      </c>
      <c r="C1328" s="123" t="s">
        <v>13765</v>
      </c>
      <c r="D1328" s="124" t="str">
        <f t="shared" si="21"/>
        <v>DPYUSDT</v>
      </c>
      <c r="E1328" s="125" t="e">
        <f ca="1">VLOOKUP(D1328,'Курсы Бинанса'!B:C,2,FALSE)</f>
        <v>#N/A</v>
      </c>
    </row>
    <row r="1329" spans="1:5">
      <c r="A1329" s="121">
        <v>1327</v>
      </c>
      <c r="B1329" s="123" t="s">
        <v>13766</v>
      </c>
      <c r="C1329" s="123" t="s">
        <v>13767</v>
      </c>
      <c r="D1329" s="124" t="str">
        <f t="shared" si="21"/>
        <v>ETNUSDT</v>
      </c>
      <c r="E1329" s="125" t="e">
        <f ca="1">VLOOKUP(D1329,'Курсы Бинанса'!B:C,2,FALSE)</f>
        <v>#N/A</v>
      </c>
    </row>
    <row r="1330" spans="1:5">
      <c r="A1330" s="121">
        <v>1328</v>
      </c>
      <c r="B1330" s="123" t="s">
        <v>13768</v>
      </c>
      <c r="C1330" s="123" t="s">
        <v>13769</v>
      </c>
      <c r="D1330" s="124" t="str">
        <f t="shared" si="21"/>
        <v>DEPUSDT</v>
      </c>
      <c r="E1330" s="125" t="e">
        <f ca="1">VLOOKUP(D1330,'Курсы Бинанса'!B:C,2,FALSE)</f>
        <v>#N/A</v>
      </c>
    </row>
    <row r="1331" spans="1:5">
      <c r="A1331" s="121">
        <v>1329</v>
      </c>
      <c r="B1331" s="123" t="s">
        <v>13770</v>
      </c>
      <c r="C1331" s="123" t="s">
        <v>13771</v>
      </c>
      <c r="D1331" s="124" t="str">
        <f t="shared" si="21"/>
        <v>GSCUSDT</v>
      </c>
      <c r="E1331" s="125" t="e">
        <f ca="1">VLOOKUP(D1331,'Курсы Бинанса'!B:C,2,FALSE)</f>
        <v>#N/A</v>
      </c>
    </row>
    <row r="1332" spans="1:5">
      <c r="A1332" s="121">
        <v>1330</v>
      </c>
      <c r="B1332" s="123" t="s">
        <v>13772</v>
      </c>
      <c r="C1332" s="123" t="s">
        <v>13773</v>
      </c>
      <c r="D1332" s="124" t="str">
        <f t="shared" si="21"/>
        <v>STARUSDT</v>
      </c>
      <c r="E1332" s="125" t="e">
        <f ca="1">VLOOKUP(D1332,'Курсы Бинанса'!B:C,2,FALSE)</f>
        <v>#N/A</v>
      </c>
    </row>
    <row r="1333" spans="1:5">
      <c r="A1333" s="121">
        <v>1331</v>
      </c>
      <c r="B1333" s="123" t="s">
        <v>13774</v>
      </c>
      <c r="C1333" s="123" t="s">
        <v>13775</v>
      </c>
      <c r="D1333" s="124" t="str">
        <f t="shared" si="21"/>
        <v>BOBUSDT</v>
      </c>
      <c r="E1333" s="125" t="e">
        <f ca="1">VLOOKUP(D1333,'Курсы Бинанса'!B:C,2,FALSE)</f>
        <v>#N/A</v>
      </c>
    </row>
    <row r="1334" spans="1:5">
      <c r="A1334" s="121">
        <v>1332</v>
      </c>
      <c r="B1334" s="123" t="s">
        <v>13776</v>
      </c>
      <c r="C1334" s="123" t="s">
        <v>13777</v>
      </c>
      <c r="D1334" s="124" t="str">
        <f t="shared" si="21"/>
        <v>TOLUSDT</v>
      </c>
      <c r="E1334" s="125" t="e">
        <f ca="1">VLOOKUP(D1334,'Курсы Бинанса'!B:C,2,FALSE)</f>
        <v>#N/A</v>
      </c>
    </row>
    <row r="1335" spans="1:5">
      <c r="A1335" s="121">
        <v>1333</v>
      </c>
      <c r="B1335" s="123" t="s">
        <v>13778</v>
      </c>
      <c r="C1335" s="123" t="s">
        <v>13779</v>
      </c>
      <c r="D1335" s="124" t="str">
        <f t="shared" si="21"/>
        <v>AUSDT</v>
      </c>
      <c r="E1335" s="125" t="e">
        <f ca="1">VLOOKUP(D1335,'Курсы Бинанса'!B:C,2,FALSE)</f>
        <v>#N/A</v>
      </c>
    </row>
    <row r="1336" spans="1:5">
      <c r="A1336" s="121">
        <v>1334</v>
      </c>
      <c r="B1336" s="123" t="s">
        <v>13780</v>
      </c>
      <c r="C1336" s="123" t="s">
        <v>13781</v>
      </c>
      <c r="D1336" s="124" t="str">
        <f t="shared" si="21"/>
        <v>CLOUSDT</v>
      </c>
      <c r="E1336" s="125" t="e">
        <f ca="1">VLOOKUP(D1336,'Курсы Бинанса'!B:C,2,FALSE)</f>
        <v>#N/A</v>
      </c>
    </row>
    <row r="1337" spans="1:5">
      <c r="A1337" s="121">
        <v>1335</v>
      </c>
      <c r="B1337" s="123" t="s">
        <v>13782</v>
      </c>
      <c r="C1337" s="123" t="s">
        <v>13783</v>
      </c>
      <c r="D1337" s="124" t="str">
        <f t="shared" si="21"/>
        <v>DONUTUSDT</v>
      </c>
      <c r="E1337" s="125" t="e">
        <f ca="1">VLOOKUP(D1337,'Курсы Бинанса'!B:C,2,FALSE)</f>
        <v>#N/A</v>
      </c>
    </row>
    <row r="1338" spans="1:5">
      <c r="A1338" s="121">
        <v>1336</v>
      </c>
      <c r="B1338" s="123" t="s">
        <v>13784</v>
      </c>
      <c r="C1338" s="123" t="s">
        <v>13785</v>
      </c>
      <c r="D1338" s="124" t="str">
        <f t="shared" si="21"/>
        <v>ATLUSDT</v>
      </c>
      <c r="E1338" s="125" t="e">
        <f ca="1">VLOOKUP(D1338,'Курсы Бинанса'!B:C,2,FALSE)</f>
        <v>#N/A</v>
      </c>
    </row>
    <row r="1339" spans="1:5">
      <c r="A1339" s="121">
        <v>1337</v>
      </c>
      <c r="B1339" s="123" t="s">
        <v>13786</v>
      </c>
      <c r="C1339" s="123" t="s">
        <v>13787</v>
      </c>
      <c r="D1339" s="124" t="str">
        <f t="shared" si="21"/>
        <v>NEVAUSDT</v>
      </c>
      <c r="E1339" s="125" t="e">
        <f ca="1">VLOOKUP(D1339,'Курсы Бинанса'!B:C,2,FALSE)</f>
        <v>#N/A</v>
      </c>
    </row>
    <row r="1340" spans="1:5">
      <c r="A1340" s="121">
        <v>1338</v>
      </c>
      <c r="B1340" s="123" t="s">
        <v>13788</v>
      </c>
      <c r="C1340" s="123" t="s">
        <v>13789</v>
      </c>
      <c r="D1340" s="124" t="str">
        <f t="shared" si="21"/>
        <v>SLRUSDT</v>
      </c>
      <c r="E1340" s="125" t="e">
        <f ca="1">VLOOKUP(D1340,'Курсы Бинанса'!B:C,2,FALSE)</f>
        <v>#N/A</v>
      </c>
    </row>
    <row r="1341" spans="1:5">
      <c r="A1341" s="121">
        <v>1339</v>
      </c>
      <c r="B1341" s="123" t="s">
        <v>13790</v>
      </c>
      <c r="C1341" s="123" t="s">
        <v>13790</v>
      </c>
      <c r="D1341" s="124" t="str">
        <f t="shared" si="21"/>
        <v>TERAUSDT</v>
      </c>
      <c r="E1341" s="125" t="e">
        <f ca="1">VLOOKUP(D1341,'Курсы Бинанса'!B:C,2,FALSE)</f>
        <v>#N/A</v>
      </c>
    </row>
    <row r="1342" spans="1:5">
      <c r="A1342" s="121">
        <v>1340</v>
      </c>
      <c r="B1342" s="123" t="s">
        <v>13791</v>
      </c>
      <c r="C1342" s="123" t="s">
        <v>13791</v>
      </c>
      <c r="D1342" s="124" t="str">
        <f t="shared" si="21"/>
        <v>BOOMUSDT</v>
      </c>
      <c r="E1342" s="125" t="e">
        <f ca="1">VLOOKUP(D1342,'Курсы Бинанса'!B:C,2,FALSE)</f>
        <v>#N/A</v>
      </c>
    </row>
    <row r="1343" spans="1:5">
      <c r="A1343" s="121">
        <v>1341</v>
      </c>
      <c r="B1343" s="123" t="s">
        <v>13792</v>
      </c>
      <c r="C1343" s="123" t="s">
        <v>13793</v>
      </c>
      <c r="D1343" s="124" t="str">
        <f t="shared" si="21"/>
        <v>HXUSDT</v>
      </c>
      <c r="E1343" s="125" t="e">
        <f ca="1">VLOOKUP(D1343,'Курсы Бинанса'!B:C,2,FALSE)</f>
        <v>#N/A</v>
      </c>
    </row>
    <row r="1344" spans="1:5">
      <c r="A1344" s="121">
        <v>1342</v>
      </c>
      <c r="B1344" s="123" t="s">
        <v>13794</v>
      </c>
      <c r="C1344" s="123" t="s">
        <v>13795</v>
      </c>
      <c r="D1344" s="124" t="str">
        <f t="shared" si="21"/>
        <v>CLRUSDT</v>
      </c>
      <c r="E1344" s="125" t="e">
        <f ca="1">VLOOKUP(D1344,'Курсы Бинанса'!B:C,2,FALSE)</f>
        <v>#N/A</v>
      </c>
    </row>
    <row r="1345" spans="1:5">
      <c r="A1345" s="121">
        <v>1343</v>
      </c>
      <c r="B1345" s="123" t="s">
        <v>13796</v>
      </c>
      <c r="C1345" s="123" t="s">
        <v>13797</v>
      </c>
      <c r="D1345" s="124" t="str">
        <f t="shared" si="21"/>
        <v>VTHOUSDT</v>
      </c>
      <c r="E1345" s="125" t="e">
        <f ca="1">VLOOKUP(D1345,'Курсы Бинанса'!B:C,2,FALSE)</f>
        <v>#N/A</v>
      </c>
    </row>
    <row r="1346" spans="1:5">
      <c r="A1346" s="121">
        <v>1344</v>
      </c>
      <c r="B1346" s="123" t="s">
        <v>13798</v>
      </c>
      <c r="C1346" s="123" t="s">
        <v>13799</v>
      </c>
      <c r="D1346" s="124" t="str">
        <f t="shared" si="21"/>
        <v>BACUSDT</v>
      </c>
      <c r="E1346" s="125" t="e">
        <f ca="1">VLOOKUP(D1346,'Курсы Бинанса'!B:C,2,FALSE)</f>
        <v>#N/A</v>
      </c>
    </row>
    <row r="1347" spans="1:5">
      <c r="A1347" s="121">
        <v>1345</v>
      </c>
      <c r="B1347" s="123" t="s">
        <v>13800</v>
      </c>
      <c r="C1347" s="123" t="s">
        <v>13801</v>
      </c>
      <c r="D1347" s="124" t="str">
        <f t="shared" si="21"/>
        <v>QUNUSDT</v>
      </c>
      <c r="E1347" s="125" t="e">
        <f ca="1">VLOOKUP(D1347,'Курсы Бинанса'!B:C,2,FALSE)</f>
        <v>#N/A</v>
      </c>
    </row>
    <row r="1348" spans="1:5">
      <c r="A1348" s="121">
        <v>1346</v>
      </c>
      <c r="B1348" s="123" t="s">
        <v>13802</v>
      </c>
      <c r="C1348" s="123" t="s">
        <v>13803</v>
      </c>
      <c r="D1348" s="124" t="str">
        <f t="shared" si="21"/>
        <v>EKTUSDT</v>
      </c>
      <c r="E1348" s="125" t="e">
        <f ca="1">VLOOKUP(D1348,'Курсы Бинанса'!B:C,2,FALSE)</f>
        <v>#N/A</v>
      </c>
    </row>
    <row r="1349" spans="1:5">
      <c r="A1349" s="121">
        <v>1347</v>
      </c>
      <c r="B1349" s="123" t="s">
        <v>13804</v>
      </c>
      <c r="C1349" s="123" t="s">
        <v>13805</v>
      </c>
      <c r="D1349" s="124" t="str">
        <f t="shared" si="21"/>
        <v>SEELEUSDT</v>
      </c>
      <c r="E1349" s="125" t="e">
        <f ca="1">VLOOKUP(D1349,'Курсы Бинанса'!B:C,2,FALSE)</f>
        <v>#N/A</v>
      </c>
    </row>
    <row r="1350" spans="1:5">
      <c r="A1350" s="121">
        <v>1348</v>
      </c>
      <c r="B1350" s="123" t="s">
        <v>13806</v>
      </c>
      <c r="C1350" s="123" t="s">
        <v>13807</v>
      </c>
      <c r="D1350" s="124" t="str">
        <f t="shared" si="21"/>
        <v>OGOUSDT</v>
      </c>
      <c r="E1350" s="125" t="e">
        <f ca="1">VLOOKUP(D1350,'Курсы Бинанса'!B:C,2,FALSE)</f>
        <v>#N/A</v>
      </c>
    </row>
    <row r="1351" spans="1:5">
      <c r="A1351" s="121">
        <v>1349</v>
      </c>
      <c r="B1351" s="123" t="s">
        <v>13808</v>
      </c>
      <c r="C1351" s="123" t="s">
        <v>13809</v>
      </c>
      <c r="D1351" s="124" t="str">
        <f t="shared" si="21"/>
        <v>AACUSDT</v>
      </c>
      <c r="E1351" s="125" t="e">
        <f ca="1">VLOOKUP(D1351,'Курсы Бинанса'!B:C,2,FALSE)</f>
        <v>#N/A</v>
      </c>
    </row>
    <row r="1352" spans="1:5">
      <c r="A1352" s="121">
        <v>1350</v>
      </c>
      <c r="B1352" s="123" t="s">
        <v>13810</v>
      </c>
      <c r="C1352" s="123" t="s">
        <v>13811</v>
      </c>
      <c r="D1352" s="124" t="str">
        <f t="shared" si="21"/>
        <v>STARTUSDT</v>
      </c>
      <c r="E1352" s="125" t="e">
        <f ca="1">VLOOKUP(D1352,'Курсы Бинанса'!B:C,2,FALSE)</f>
        <v>#N/A</v>
      </c>
    </row>
    <row r="1353" spans="1:5">
      <c r="A1353" s="121">
        <v>1351</v>
      </c>
      <c r="B1353" s="123" t="s">
        <v>13812</v>
      </c>
      <c r="C1353" s="123" t="s">
        <v>13813</v>
      </c>
      <c r="D1353" s="124" t="str">
        <f t="shared" si="21"/>
        <v>PARUSDT</v>
      </c>
      <c r="E1353" s="125" t="e">
        <f ca="1">VLOOKUP(D1353,'Курсы Бинанса'!B:C,2,FALSE)</f>
        <v>#N/A</v>
      </c>
    </row>
    <row r="1354" spans="1:5">
      <c r="A1354" s="121">
        <v>1352</v>
      </c>
      <c r="B1354" s="123" t="s">
        <v>13814</v>
      </c>
      <c r="C1354" s="123" t="s">
        <v>13815</v>
      </c>
      <c r="D1354" s="124" t="str">
        <f t="shared" si="21"/>
        <v>PLFUSDT</v>
      </c>
      <c r="E1354" s="125" t="e">
        <f ca="1">VLOOKUP(D1354,'Курсы Бинанса'!B:C,2,FALSE)</f>
        <v>#N/A</v>
      </c>
    </row>
    <row r="1355" spans="1:5">
      <c r="A1355" s="121">
        <v>1353</v>
      </c>
      <c r="B1355" s="123" t="s">
        <v>13816</v>
      </c>
      <c r="C1355" s="123" t="s">
        <v>13817</v>
      </c>
      <c r="D1355" s="124" t="str">
        <f t="shared" si="21"/>
        <v>ALLUSDT</v>
      </c>
      <c r="E1355" s="125" t="e">
        <f ca="1">VLOOKUP(D1355,'Курсы Бинанса'!B:C,2,FALSE)</f>
        <v>#N/A</v>
      </c>
    </row>
    <row r="1356" spans="1:5">
      <c r="A1356" s="121">
        <v>1354</v>
      </c>
      <c r="B1356" s="123" t="s">
        <v>13818</v>
      </c>
      <c r="C1356" s="123" t="s">
        <v>13819</v>
      </c>
      <c r="D1356" s="124" t="str">
        <f t="shared" si="21"/>
        <v>SMARTUSDT</v>
      </c>
      <c r="E1356" s="125" t="e">
        <f ca="1">VLOOKUP(D1356,'Курсы Бинанса'!B:C,2,FALSE)</f>
        <v>#N/A</v>
      </c>
    </row>
    <row r="1357" spans="1:5">
      <c r="A1357" s="121">
        <v>1355</v>
      </c>
      <c r="B1357" s="123" t="s">
        <v>13820</v>
      </c>
      <c r="C1357" s="123" t="s">
        <v>13821</v>
      </c>
      <c r="D1357" s="124" t="str">
        <f t="shared" si="21"/>
        <v>MUEUSDT</v>
      </c>
      <c r="E1357" s="125" t="e">
        <f ca="1">VLOOKUP(D1357,'Курсы Бинанса'!B:C,2,FALSE)</f>
        <v>#N/A</v>
      </c>
    </row>
    <row r="1358" spans="1:5">
      <c r="A1358" s="121">
        <v>1356</v>
      </c>
      <c r="B1358" s="123" t="s">
        <v>13822</v>
      </c>
      <c r="C1358" s="123" t="s">
        <v>13823</v>
      </c>
      <c r="D1358" s="124" t="str">
        <f t="shared" si="21"/>
        <v>NORUSDT</v>
      </c>
      <c r="E1358" s="125" t="e">
        <f ca="1">VLOOKUP(D1358,'Курсы Бинанса'!B:C,2,FALSE)</f>
        <v>#N/A</v>
      </c>
    </row>
    <row r="1359" spans="1:5">
      <c r="A1359" s="121">
        <v>1357</v>
      </c>
      <c r="B1359" s="123" t="s">
        <v>13824</v>
      </c>
      <c r="C1359" s="123" t="s">
        <v>13825</v>
      </c>
      <c r="D1359" s="124" t="str">
        <f t="shared" si="21"/>
        <v>LQDUSDT</v>
      </c>
      <c r="E1359" s="125" t="e">
        <f ca="1">VLOOKUP(D1359,'Курсы Бинанса'!B:C,2,FALSE)</f>
        <v>#N/A</v>
      </c>
    </row>
    <row r="1360" spans="1:5">
      <c r="A1360" s="121">
        <v>1358</v>
      </c>
      <c r="B1360" s="123" t="s">
        <v>13826</v>
      </c>
      <c r="C1360" s="123" t="s">
        <v>13827</v>
      </c>
      <c r="D1360" s="124" t="str">
        <f t="shared" si="21"/>
        <v>NIMUSDT</v>
      </c>
      <c r="E1360" s="125" t="e">
        <f ca="1">VLOOKUP(D1360,'Курсы Бинанса'!B:C,2,FALSE)</f>
        <v>#N/A</v>
      </c>
    </row>
    <row r="1361" spans="1:5">
      <c r="A1361" s="121">
        <v>1359</v>
      </c>
      <c r="B1361" s="123" t="s">
        <v>13828</v>
      </c>
      <c r="C1361" s="123" t="s">
        <v>13829</v>
      </c>
      <c r="D1361" s="124" t="str">
        <f t="shared" si="21"/>
        <v>UIPUSDT</v>
      </c>
      <c r="E1361" s="125" t="e">
        <f ca="1">VLOOKUP(D1361,'Курсы Бинанса'!B:C,2,FALSE)</f>
        <v>#N/A</v>
      </c>
    </row>
    <row r="1362" spans="1:5">
      <c r="A1362" s="121">
        <v>1360</v>
      </c>
      <c r="B1362" s="123" t="s">
        <v>13830</v>
      </c>
      <c r="C1362" s="123" t="s">
        <v>13831</v>
      </c>
      <c r="D1362" s="124" t="str">
        <f t="shared" si="21"/>
        <v>YOUUSDT</v>
      </c>
      <c r="E1362" s="125" t="e">
        <f ca="1">VLOOKUP(D1362,'Курсы Бинанса'!B:C,2,FALSE)</f>
        <v>#N/A</v>
      </c>
    </row>
    <row r="1363" spans="1:5">
      <c r="A1363" s="121">
        <v>1361</v>
      </c>
      <c r="B1363" s="123" t="s">
        <v>13832</v>
      </c>
      <c r="C1363" s="123" t="s">
        <v>13833</v>
      </c>
      <c r="D1363" s="124" t="str">
        <f t="shared" si="21"/>
        <v>BXTUSDT</v>
      </c>
      <c r="E1363" s="125" t="e">
        <f ca="1">VLOOKUP(D1363,'Курсы Бинанса'!B:C,2,FALSE)</f>
        <v>#N/A</v>
      </c>
    </row>
    <row r="1364" spans="1:5">
      <c r="A1364" s="121">
        <v>1362</v>
      </c>
      <c r="B1364" s="123" t="s">
        <v>13834</v>
      </c>
      <c r="C1364" s="123" t="s">
        <v>13835</v>
      </c>
      <c r="D1364" s="124" t="str">
        <f t="shared" si="21"/>
        <v>GTCUSDT</v>
      </c>
      <c r="E1364" s="125" t="e">
        <f ca="1">VLOOKUP(D1364,'Курсы Бинанса'!B:C,2,FALSE)</f>
        <v>#N/A</v>
      </c>
    </row>
    <row r="1365" spans="1:5">
      <c r="A1365" s="121">
        <v>1363</v>
      </c>
      <c r="B1365" s="126" t="s">
        <v>13836</v>
      </c>
      <c r="C1365" s="123" t="s">
        <v>13835</v>
      </c>
      <c r="D1365" s="124" t="str">
        <f t="shared" si="21"/>
        <v>GTCUSDT</v>
      </c>
      <c r="E1365" s="125" t="e">
        <f ca="1">VLOOKUP(D1365,'Курсы Бинанса'!B:C,2,FALSE)</f>
        <v>#N/A</v>
      </c>
    </row>
    <row r="1366" spans="1:5">
      <c r="A1366" s="121">
        <v>1364</v>
      </c>
      <c r="B1366" s="123" t="s">
        <v>13837</v>
      </c>
      <c r="C1366" s="123" t="s">
        <v>13838</v>
      </c>
      <c r="D1366" s="124" t="str">
        <f t="shared" si="21"/>
        <v>CREDITUSDT</v>
      </c>
      <c r="E1366" s="125" t="e">
        <f ca="1">VLOOKUP(D1366,'Курсы Бинанса'!B:C,2,FALSE)</f>
        <v>#N/A</v>
      </c>
    </row>
    <row r="1367" spans="1:5">
      <c r="A1367" s="121">
        <v>1365</v>
      </c>
      <c r="B1367" s="123" t="s">
        <v>13839</v>
      </c>
      <c r="C1367" s="123" t="s">
        <v>13840</v>
      </c>
      <c r="D1367" s="124" t="str">
        <f t="shared" si="21"/>
        <v>ORSUSDT</v>
      </c>
      <c r="E1367" s="125" t="e">
        <f ca="1">VLOOKUP(D1367,'Курсы Бинанса'!B:C,2,FALSE)</f>
        <v>#N/A</v>
      </c>
    </row>
    <row r="1368" spans="1:5">
      <c r="A1368" s="121">
        <v>1366</v>
      </c>
      <c r="B1368" s="123" t="s">
        <v>13841</v>
      </c>
      <c r="C1368" s="123" t="s">
        <v>13842</v>
      </c>
      <c r="D1368" s="124" t="str">
        <f t="shared" si="21"/>
        <v>METALUSDT</v>
      </c>
      <c r="E1368" s="125" t="e">
        <f ca="1">VLOOKUP(D1368,'Курсы Бинанса'!B:C,2,FALSE)</f>
        <v>#N/A</v>
      </c>
    </row>
    <row r="1369" spans="1:5">
      <c r="A1369" s="121">
        <v>1367</v>
      </c>
      <c r="B1369" s="123" t="s">
        <v>13843</v>
      </c>
      <c r="C1369" s="123" t="s">
        <v>13844</v>
      </c>
      <c r="D1369" s="124" t="str">
        <f t="shared" si="21"/>
        <v>DCTUSDT</v>
      </c>
      <c r="E1369" s="125" t="e">
        <f ca="1">VLOOKUP(D1369,'Курсы Бинанса'!B:C,2,FALSE)</f>
        <v>#N/A</v>
      </c>
    </row>
    <row r="1370" spans="1:5">
      <c r="A1370" s="121">
        <v>1368</v>
      </c>
      <c r="B1370" s="123" t="s">
        <v>13845</v>
      </c>
      <c r="C1370" s="123" t="s">
        <v>13846</v>
      </c>
      <c r="D1370" s="124" t="str">
        <f t="shared" si="21"/>
        <v>SRKUSDT</v>
      </c>
      <c r="E1370" s="125" t="e">
        <f ca="1">VLOOKUP(D1370,'Курсы Бинанса'!B:C,2,FALSE)</f>
        <v>#N/A</v>
      </c>
    </row>
    <row r="1371" spans="1:5">
      <c r="A1371" s="121">
        <v>1369</v>
      </c>
      <c r="B1371" s="123" t="s">
        <v>13847</v>
      </c>
      <c r="C1371" s="123" t="s">
        <v>13848</v>
      </c>
      <c r="D1371" s="124" t="str">
        <f t="shared" si="21"/>
        <v>BFUSDT</v>
      </c>
      <c r="E1371" s="125" t="e">
        <f ca="1">VLOOKUP(D1371,'Курсы Бинанса'!B:C,2,FALSE)</f>
        <v>#N/A</v>
      </c>
    </row>
    <row r="1372" spans="1:5">
      <c r="A1372" s="121">
        <v>1370</v>
      </c>
      <c r="B1372" s="123" t="s">
        <v>13849</v>
      </c>
      <c r="C1372" s="123" t="s">
        <v>13850</v>
      </c>
      <c r="D1372" s="124" t="str">
        <f t="shared" si="21"/>
        <v>FERAUSDT</v>
      </c>
      <c r="E1372" s="125" t="e">
        <f ca="1">VLOOKUP(D1372,'Курсы Бинанса'!B:C,2,FALSE)</f>
        <v>#N/A</v>
      </c>
    </row>
    <row r="1373" spans="1:5">
      <c r="A1373" s="121">
        <v>1371</v>
      </c>
      <c r="B1373" s="123" t="s">
        <v>13851</v>
      </c>
      <c r="C1373" s="123" t="s">
        <v>13852</v>
      </c>
      <c r="D1373" s="124" t="str">
        <f t="shared" si="21"/>
        <v>DSLAUSDT</v>
      </c>
      <c r="E1373" s="125" t="e">
        <f ca="1">VLOOKUP(D1373,'Курсы Бинанса'!B:C,2,FALSE)</f>
        <v>#N/A</v>
      </c>
    </row>
    <row r="1374" spans="1:5">
      <c r="A1374" s="121">
        <v>1372</v>
      </c>
      <c r="B1374" s="123" t="s">
        <v>13853</v>
      </c>
      <c r="C1374" s="123" t="s">
        <v>13854</v>
      </c>
      <c r="D1374" s="124" t="str">
        <f t="shared" si="21"/>
        <v>MCXUSDT</v>
      </c>
      <c r="E1374" s="125" t="e">
        <f ca="1">VLOOKUP(D1374,'Курсы Бинанса'!B:C,2,FALSE)</f>
        <v>#N/A</v>
      </c>
    </row>
    <row r="1375" spans="1:5">
      <c r="A1375" s="121">
        <v>1373</v>
      </c>
      <c r="B1375" s="123" t="s">
        <v>13855</v>
      </c>
      <c r="C1375" s="123" t="s">
        <v>13856</v>
      </c>
      <c r="D1375" s="124" t="str">
        <f t="shared" si="21"/>
        <v>MEETONEUSDT</v>
      </c>
      <c r="E1375" s="125" t="e">
        <f ca="1">VLOOKUP(D1375,'Курсы Бинанса'!B:C,2,FALSE)</f>
        <v>#N/A</v>
      </c>
    </row>
    <row r="1376" spans="1:5">
      <c r="A1376" s="121">
        <v>1374</v>
      </c>
      <c r="B1376" s="123" t="s">
        <v>13857</v>
      </c>
      <c r="C1376" s="123" t="s">
        <v>13857</v>
      </c>
      <c r="D1376" s="124" t="str">
        <f t="shared" si="21"/>
        <v>TEMCOUSDT</v>
      </c>
      <c r="E1376" s="125" t="e">
        <f ca="1">VLOOKUP(D1376,'Курсы Бинанса'!B:C,2,FALSE)</f>
        <v>#N/A</v>
      </c>
    </row>
    <row r="1377" spans="1:5">
      <c r="A1377" s="121">
        <v>1375</v>
      </c>
      <c r="B1377" s="123" t="s">
        <v>13858</v>
      </c>
      <c r="C1377" s="123" t="s">
        <v>13859</v>
      </c>
      <c r="D1377" s="124" t="str">
        <f t="shared" si="21"/>
        <v>SYLOUSDT</v>
      </c>
      <c r="E1377" s="125" t="e">
        <f ca="1">VLOOKUP(D1377,'Курсы Бинанса'!B:C,2,FALSE)</f>
        <v>#N/A</v>
      </c>
    </row>
    <row r="1378" spans="1:5">
      <c r="A1378" s="121">
        <v>1376</v>
      </c>
      <c r="B1378" s="123" t="s">
        <v>13860</v>
      </c>
      <c r="C1378" s="123" t="s">
        <v>13861</v>
      </c>
      <c r="D1378" s="124" t="str">
        <f t="shared" ref="D1378:D1441" si="22">CONCATENATE(C1378,"USDT")</f>
        <v>MIRUSDT</v>
      </c>
      <c r="E1378" s="125" t="e">
        <f ca="1">VLOOKUP(D1378,'Курсы Бинанса'!B:C,2,FALSE)</f>
        <v>#N/A</v>
      </c>
    </row>
    <row r="1379" spans="1:5">
      <c r="A1379" s="121">
        <v>1377</v>
      </c>
      <c r="B1379" s="123" t="s">
        <v>13862</v>
      </c>
      <c r="C1379" s="123" t="s">
        <v>13862</v>
      </c>
      <c r="D1379" s="124" t="str">
        <f t="shared" si="22"/>
        <v>XYOUSDT</v>
      </c>
      <c r="E1379" s="125" t="e">
        <f ca="1">VLOOKUP(D1379,'Курсы Бинанса'!B:C,2,FALSE)</f>
        <v>#N/A</v>
      </c>
    </row>
    <row r="1380" spans="1:5">
      <c r="A1380" s="121">
        <v>1378</v>
      </c>
      <c r="B1380" s="123" t="s">
        <v>13863</v>
      </c>
      <c r="C1380" s="123" t="s">
        <v>13861</v>
      </c>
      <c r="D1380" s="124" t="str">
        <f t="shared" si="22"/>
        <v>MIRUSDT</v>
      </c>
      <c r="E1380" s="125" t="e">
        <f ca="1">VLOOKUP(D1380,'Курсы Бинанса'!B:C,2,FALSE)</f>
        <v>#N/A</v>
      </c>
    </row>
    <row r="1381" spans="1:5">
      <c r="A1381" s="121">
        <v>1379</v>
      </c>
      <c r="B1381" s="123" t="s">
        <v>13864</v>
      </c>
      <c r="C1381" s="123" t="s">
        <v>13865</v>
      </c>
      <c r="D1381" s="124" t="str">
        <f t="shared" si="22"/>
        <v>PINKUSDT</v>
      </c>
      <c r="E1381" s="125" t="e">
        <f ca="1">VLOOKUP(D1381,'Курсы Бинанса'!B:C,2,FALSE)</f>
        <v>#N/A</v>
      </c>
    </row>
    <row r="1382" spans="1:5">
      <c r="A1382" s="121">
        <v>1380</v>
      </c>
      <c r="B1382" s="123" t="s">
        <v>13866</v>
      </c>
      <c r="C1382" s="123" t="s">
        <v>13867</v>
      </c>
      <c r="D1382" s="124" t="str">
        <f t="shared" si="22"/>
        <v>TUBEUSDT</v>
      </c>
      <c r="E1382" s="125" t="e">
        <f ca="1">VLOOKUP(D1382,'Курсы Бинанса'!B:C,2,FALSE)</f>
        <v>#N/A</v>
      </c>
    </row>
    <row r="1383" spans="1:5">
      <c r="A1383" s="121">
        <v>1381</v>
      </c>
      <c r="B1383" s="123" t="s">
        <v>13868</v>
      </c>
      <c r="C1383" s="123" t="s">
        <v>13869</v>
      </c>
      <c r="D1383" s="124" t="str">
        <f t="shared" si="22"/>
        <v>NKCUSDT</v>
      </c>
      <c r="E1383" s="125" t="e">
        <f ca="1">VLOOKUP(D1383,'Курсы Бинанса'!B:C,2,FALSE)</f>
        <v>#N/A</v>
      </c>
    </row>
    <row r="1384" spans="1:5">
      <c r="A1384" s="121">
        <v>1382</v>
      </c>
      <c r="B1384" s="123" t="s">
        <v>13870</v>
      </c>
      <c r="C1384" s="123" t="s">
        <v>13871</v>
      </c>
      <c r="D1384" s="124" t="str">
        <f t="shared" si="22"/>
        <v>BOUTSUSDT</v>
      </c>
      <c r="E1384" s="125" t="e">
        <f ca="1">VLOOKUP(D1384,'Курсы Бинанса'!B:C,2,FALSE)</f>
        <v>#N/A</v>
      </c>
    </row>
    <row r="1385" spans="1:5">
      <c r="A1385" s="121">
        <v>1383</v>
      </c>
      <c r="B1385" s="123" t="s">
        <v>13872</v>
      </c>
      <c r="C1385" s="123" t="s">
        <v>13873</v>
      </c>
      <c r="D1385" s="124" t="str">
        <f t="shared" si="22"/>
        <v>HPTUSDT</v>
      </c>
      <c r="E1385" s="125" t="e">
        <f ca="1">VLOOKUP(D1385,'Курсы Бинанса'!B:C,2,FALSE)</f>
        <v>#N/A</v>
      </c>
    </row>
    <row r="1386" spans="1:5">
      <c r="A1386" s="121">
        <v>1384</v>
      </c>
      <c r="B1386" s="123" t="s">
        <v>13874</v>
      </c>
      <c r="C1386" s="123" t="s">
        <v>13875</v>
      </c>
      <c r="D1386" s="124" t="str">
        <f t="shared" si="22"/>
        <v>PCLUSDT</v>
      </c>
      <c r="E1386" s="125" t="e">
        <f ca="1">VLOOKUP(D1386,'Курсы Бинанса'!B:C,2,FALSE)</f>
        <v>#N/A</v>
      </c>
    </row>
    <row r="1387" spans="1:5">
      <c r="A1387" s="121">
        <v>1385</v>
      </c>
      <c r="B1387" s="123" t="s">
        <v>13876</v>
      </c>
      <c r="C1387" s="123" t="s">
        <v>13877</v>
      </c>
      <c r="D1387" s="124" t="str">
        <f t="shared" si="22"/>
        <v>CRDUSDT</v>
      </c>
      <c r="E1387" s="125" t="e">
        <f ca="1">VLOOKUP(D1387,'Курсы Бинанса'!B:C,2,FALSE)</f>
        <v>#N/A</v>
      </c>
    </row>
    <row r="1388" spans="1:5">
      <c r="A1388" s="121">
        <v>1386</v>
      </c>
      <c r="B1388" s="123" t="s">
        <v>13878</v>
      </c>
      <c r="C1388" s="123" t="s">
        <v>13879</v>
      </c>
      <c r="D1388" s="124" t="str">
        <f t="shared" si="22"/>
        <v>ESUSDT</v>
      </c>
      <c r="E1388" s="125" t="e">
        <f ca="1">VLOOKUP(D1388,'Курсы Бинанса'!B:C,2,FALSE)</f>
        <v>#N/A</v>
      </c>
    </row>
    <row r="1389" spans="1:5">
      <c r="A1389" s="121">
        <v>1387</v>
      </c>
      <c r="B1389" s="123" t="s">
        <v>13880</v>
      </c>
      <c r="C1389" s="123" t="s">
        <v>13881</v>
      </c>
      <c r="D1389" s="124" t="str">
        <f t="shared" si="22"/>
        <v>VLDUSDT</v>
      </c>
      <c r="E1389" s="125" t="e">
        <f ca="1">VLOOKUP(D1389,'Курсы Бинанса'!B:C,2,FALSE)</f>
        <v>#N/A</v>
      </c>
    </row>
    <row r="1390" spans="1:5">
      <c r="A1390" s="121">
        <v>1388</v>
      </c>
      <c r="B1390" s="123" t="s">
        <v>13882</v>
      </c>
      <c r="C1390" s="123" t="s">
        <v>13883</v>
      </c>
      <c r="D1390" s="124" t="str">
        <f t="shared" si="22"/>
        <v>NCTUSDT</v>
      </c>
      <c r="E1390" s="125" t="e">
        <f ca="1">VLOOKUP(D1390,'Курсы Бинанса'!B:C,2,FALSE)</f>
        <v>#N/A</v>
      </c>
    </row>
    <row r="1391" spans="1:5">
      <c r="A1391" s="121">
        <v>1389</v>
      </c>
      <c r="B1391" s="123" t="s">
        <v>13884</v>
      </c>
      <c r="C1391" s="123" t="s">
        <v>13885</v>
      </c>
      <c r="D1391" s="124" t="str">
        <f t="shared" si="22"/>
        <v>MDSUSDT</v>
      </c>
      <c r="E1391" s="125" t="e">
        <f ca="1">VLOOKUP(D1391,'Курсы Бинанса'!B:C,2,FALSE)</f>
        <v>#N/A</v>
      </c>
    </row>
    <row r="1392" spans="1:5">
      <c r="A1392" s="121">
        <v>1390</v>
      </c>
      <c r="B1392" s="123" t="s">
        <v>13886</v>
      </c>
      <c r="C1392" s="123" t="s">
        <v>13887</v>
      </c>
      <c r="D1392" s="124" t="str">
        <f t="shared" si="22"/>
        <v>CLBKUSDT</v>
      </c>
      <c r="E1392" s="125" t="e">
        <f ca="1">VLOOKUP(D1392,'Курсы Бинанса'!B:C,2,FALSE)</f>
        <v>#N/A</v>
      </c>
    </row>
    <row r="1393" spans="1:5">
      <c r="A1393" s="121">
        <v>1391</v>
      </c>
      <c r="B1393" s="123" t="s">
        <v>13888</v>
      </c>
      <c r="C1393" s="123" t="s">
        <v>13883</v>
      </c>
      <c r="D1393" s="124" t="str">
        <f t="shared" si="22"/>
        <v>NCTUSDT</v>
      </c>
      <c r="E1393" s="125" t="e">
        <f ca="1">VLOOKUP(D1393,'Курсы Бинанса'!B:C,2,FALSE)</f>
        <v>#N/A</v>
      </c>
    </row>
    <row r="1394" spans="1:5">
      <c r="A1394" s="121">
        <v>1392</v>
      </c>
      <c r="B1394" s="123" t="s">
        <v>13889</v>
      </c>
      <c r="C1394" s="123" t="s">
        <v>13889</v>
      </c>
      <c r="D1394" s="124" t="str">
        <f t="shared" si="22"/>
        <v>REDUSDT</v>
      </c>
      <c r="E1394" s="125" t="e">
        <f ca="1">VLOOKUP(D1394,'Курсы Бинанса'!B:C,2,FALSE)</f>
        <v>#N/A</v>
      </c>
    </row>
    <row r="1395" spans="1:5">
      <c r="A1395" s="121">
        <v>1393</v>
      </c>
      <c r="B1395" s="123" t="s">
        <v>13890</v>
      </c>
      <c r="C1395" s="123" t="s">
        <v>13891</v>
      </c>
      <c r="D1395" s="124" t="str">
        <f t="shared" si="22"/>
        <v>ZASHUSDT</v>
      </c>
      <c r="E1395" s="125" t="e">
        <f ca="1">VLOOKUP(D1395,'Курсы Бинанса'!B:C,2,FALSE)</f>
        <v>#N/A</v>
      </c>
    </row>
    <row r="1396" spans="1:5">
      <c r="A1396" s="121">
        <v>1394</v>
      </c>
      <c r="B1396" s="123" t="s">
        <v>13892</v>
      </c>
      <c r="C1396" s="123" t="s">
        <v>13893</v>
      </c>
      <c r="D1396" s="124" t="str">
        <f t="shared" si="22"/>
        <v>RUFFUSDT</v>
      </c>
      <c r="E1396" s="125" t="e">
        <f ca="1">VLOOKUP(D1396,'Курсы Бинанса'!B:C,2,FALSE)</f>
        <v>#N/A</v>
      </c>
    </row>
    <row r="1397" spans="1:5">
      <c r="A1397" s="121">
        <v>1395</v>
      </c>
      <c r="B1397" s="126" t="s">
        <v>13894</v>
      </c>
      <c r="C1397" s="123" t="s">
        <v>13895</v>
      </c>
      <c r="D1397" s="124" t="str">
        <f t="shared" si="22"/>
        <v>MTCUSDT</v>
      </c>
      <c r="E1397" s="125" t="e">
        <f ca="1">VLOOKUP(D1397,'Курсы Бинанса'!B:C,2,FALSE)</f>
        <v>#N/A</v>
      </c>
    </row>
    <row r="1398" spans="1:5">
      <c r="A1398" s="121">
        <v>1396</v>
      </c>
      <c r="B1398" s="123" t="s">
        <v>13896</v>
      </c>
      <c r="C1398" s="123" t="s">
        <v>13897</v>
      </c>
      <c r="D1398" s="124" t="str">
        <f t="shared" si="22"/>
        <v>GUMUSDT</v>
      </c>
      <c r="E1398" s="125" t="e">
        <f ca="1">VLOOKUP(D1398,'Курсы Бинанса'!B:C,2,FALSE)</f>
        <v>#N/A</v>
      </c>
    </row>
    <row r="1399" spans="1:5">
      <c r="A1399" s="121">
        <v>1397</v>
      </c>
      <c r="B1399" s="123" t="s">
        <v>13898</v>
      </c>
      <c r="C1399" s="123" t="s">
        <v>13899</v>
      </c>
      <c r="D1399" s="124" t="str">
        <f t="shared" si="22"/>
        <v>FRCUSDT</v>
      </c>
      <c r="E1399" s="125" t="e">
        <f ca="1">VLOOKUP(D1399,'Курсы Бинанса'!B:C,2,FALSE)</f>
        <v>#N/A</v>
      </c>
    </row>
    <row r="1400" spans="1:5">
      <c r="A1400" s="121">
        <v>1398</v>
      </c>
      <c r="B1400" s="123" t="s">
        <v>13900</v>
      </c>
      <c r="C1400" s="123" t="s">
        <v>13901</v>
      </c>
      <c r="D1400" s="124" t="str">
        <f t="shared" si="22"/>
        <v>ZLAUSDT</v>
      </c>
      <c r="E1400" s="125" t="e">
        <f ca="1">VLOOKUP(D1400,'Курсы Бинанса'!B:C,2,FALSE)</f>
        <v>#N/A</v>
      </c>
    </row>
    <row r="1401" spans="1:5">
      <c r="A1401" s="121">
        <v>1399</v>
      </c>
      <c r="B1401" s="123" t="s">
        <v>13902</v>
      </c>
      <c r="C1401" s="123" t="s">
        <v>13903</v>
      </c>
      <c r="D1401" s="124" t="str">
        <f t="shared" si="22"/>
        <v>TIDALUSDT</v>
      </c>
      <c r="E1401" s="125" t="e">
        <f ca="1">VLOOKUP(D1401,'Курсы Бинанса'!B:C,2,FALSE)</f>
        <v>#N/A</v>
      </c>
    </row>
    <row r="1402" spans="1:5">
      <c r="A1402" s="121">
        <v>1400</v>
      </c>
      <c r="B1402" s="123" t="s">
        <v>13904</v>
      </c>
      <c r="C1402" s="123" t="s">
        <v>13905</v>
      </c>
      <c r="D1402" s="124" t="str">
        <f t="shared" si="22"/>
        <v>WIKENUSDT</v>
      </c>
      <c r="E1402" s="125" t="e">
        <f ca="1">VLOOKUP(D1402,'Курсы Бинанса'!B:C,2,FALSE)</f>
        <v>#N/A</v>
      </c>
    </row>
    <row r="1403" spans="1:5">
      <c r="A1403" s="121">
        <v>1401</v>
      </c>
      <c r="B1403" s="123" t="s">
        <v>13906</v>
      </c>
      <c r="C1403" s="123" t="s">
        <v>13907</v>
      </c>
      <c r="D1403" s="124" t="str">
        <f t="shared" si="22"/>
        <v>FACEUSDT</v>
      </c>
      <c r="E1403" s="125" t="e">
        <f ca="1">VLOOKUP(D1403,'Курсы Бинанса'!B:C,2,FALSE)</f>
        <v>#N/A</v>
      </c>
    </row>
    <row r="1404" spans="1:5">
      <c r="A1404" s="121">
        <v>1402</v>
      </c>
      <c r="B1404" s="123" t="s">
        <v>13908</v>
      </c>
      <c r="C1404" s="123" t="s">
        <v>13909</v>
      </c>
      <c r="D1404" s="124" t="str">
        <f t="shared" si="22"/>
        <v>SNETUSDT</v>
      </c>
      <c r="E1404" s="125" t="e">
        <f ca="1">VLOOKUP(D1404,'Курсы Бинанса'!B:C,2,FALSE)</f>
        <v>#N/A</v>
      </c>
    </row>
    <row r="1405" spans="1:5">
      <c r="A1405" s="121">
        <v>1403</v>
      </c>
      <c r="B1405" s="123" t="s">
        <v>13910</v>
      </c>
      <c r="C1405" s="123" t="s">
        <v>10740</v>
      </c>
      <c r="D1405" s="124" t="str">
        <f t="shared" si="22"/>
        <v>TFBXUSDT</v>
      </c>
      <c r="E1405" s="125" t="e">
        <f ca="1">VLOOKUP(D1405,'Курсы Бинанса'!B:C,2,FALSE)</f>
        <v>#N/A</v>
      </c>
    </row>
    <row r="1406" spans="1:5">
      <c r="A1406" s="121">
        <v>1404</v>
      </c>
      <c r="B1406" s="123" t="s">
        <v>10741</v>
      </c>
      <c r="C1406" s="123" t="s">
        <v>10741</v>
      </c>
      <c r="D1406" s="124" t="str">
        <f t="shared" si="22"/>
        <v>OSTUSDT</v>
      </c>
      <c r="E1406" s="125" t="e">
        <f ca="1">VLOOKUP(D1406,'Курсы Бинанса'!B:C,2,FALSE)</f>
        <v>#N/A</v>
      </c>
    </row>
    <row r="1407" spans="1:5">
      <c r="A1407" s="121">
        <v>1405</v>
      </c>
      <c r="B1407" s="123" t="s">
        <v>10742</v>
      </c>
      <c r="C1407" s="123" t="s">
        <v>10743</v>
      </c>
      <c r="D1407" s="124" t="str">
        <f t="shared" si="22"/>
        <v>BXYUSDT</v>
      </c>
      <c r="E1407" s="125" t="e">
        <f ca="1">VLOOKUP(D1407,'Курсы Бинанса'!B:C,2,FALSE)</f>
        <v>#N/A</v>
      </c>
    </row>
    <row r="1408" spans="1:5">
      <c r="A1408" s="121">
        <v>1406</v>
      </c>
      <c r="B1408" s="123" t="s">
        <v>10744</v>
      </c>
      <c r="C1408" s="123" t="s">
        <v>10745</v>
      </c>
      <c r="D1408" s="124" t="str">
        <f t="shared" si="22"/>
        <v>MTVUSDT</v>
      </c>
      <c r="E1408" s="125" t="e">
        <f ca="1">VLOOKUP(D1408,'Курсы Бинанса'!B:C,2,FALSE)</f>
        <v>#N/A</v>
      </c>
    </row>
    <row r="1409" spans="1:5">
      <c r="A1409" s="121">
        <v>1407</v>
      </c>
      <c r="B1409" s="123" t="s">
        <v>10746</v>
      </c>
      <c r="C1409" s="123" t="s">
        <v>10747</v>
      </c>
      <c r="D1409" s="124" t="str">
        <f t="shared" si="22"/>
        <v>SHAUSDT</v>
      </c>
      <c r="E1409" s="125" t="e">
        <f ca="1">VLOOKUP(D1409,'Курсы Бинанса'!B:C,2,FALSE)</f>
        <v>#N/A</v>
      </c>
    </row>
    <row r="1410" spans="1:5">
      <c r="A1410" s="121">
        <v>1408</v>
      </c>
      <c r="B1410" s="123" t="s">
        <v>10748</v>
      </c>
      <c r="C1410" s="123" t="s">
        <v>10749</v>
      </c>
      <c r="D1410" s="124" t="str">
        <f t="shared" si="22"/>
        <v>EQUADUSDT</v>
      </c>
      <c r="E1410" s="125" t="e">
        <f ca="1">VLOOKUP(D1410,'Курсы Бинанса'!B:C,2,FALSE)</f>
        <v>#N/A</v>
      </c>
    </row>
    <row r="1411" spans="1:5">
      <c r="A1411" s="121">
        <v>1409</v>
      </c>
      <c r="B1411" s="123" t="s">
        <v>10750</v>
      </c>
      <c r="C1411" s="123" t="s">
        <v>10750</v>
      </c>
      <c r="D1411" s="124" t="str">
        <f t="shared" si="22"/>
        <v>ATNUSDT</v>
      </c>
      <c r="E1411" s="125" t="e">
        <f ca="1">VLOOKUP(D1411,'Курсы Бинанса'!B:C,2,FALSE)</f>
        <v>#N/A</v>
      </c>
    </row>
    <row r="1412" spans="1:5">
      <c r="A1412" s="121">
        <v>1410</v>
      </c>
      <c r="B1412" s="123" t="s">
        <v>10751</v>
      </c>
      <c r="C1412" s="123" t="s">
        <v>10752</v>
      </c>
      <c r="D1412" s="124" t="str">
        <f t="shared" si="22"/>
        <v>REWUSDT</v>
      </c>
      <c r="E1412" s="125" t="e">
        <f ca="1">VLOOKUP(D1412,'Курсы Бинанса'!B:C,2,FALSE)</f>
        <v>#N/A</v>
      </c>
    </row>
    <row r="1413" spans="1:5">
      <c r="A1413" s="121">
        <v>1411</v>
      </c>
      <c r="B1413" s="123" t="s">
        <v>10753</v>
      </c>
      <c r="C1413" s="123" t="s">
        <v>10754</v>
      </c>
      <c r="D1413" s="124" t="str">
        <f t="shared" si="22"/>
        <v>X8XUSDT</v>
      </c>
      <c r="E1413" s="125" t="e">
        <f ca="1">VLOOKUP(D1413,'Курсы Бинанса'!B:C,2,FALSE)</f>
        <v>#N/A</v>
      </c>
    </row>
    <row r="1414" spans="1:5">
      <c r="A1414" s="121">
        <v>1412</v>
      </c>
      <c r="B1414" s="123" t="s">
        <v>10755</v>
      </c>
      <c r="C1414" s="123" t="s">
        <v>10756</v>
      </c>
      <c r="D1414" s="124" t="str">
        <f t="shared" si="22"/>
        <v>WXTUSDT</v>
      </c>
      <c r="E1414" s="125" t="e">
        <f ca="1">VLOOKUP(D1414,'Курсы Бинанса'!B:C,2,FALSE)</f>
        <v>#N/A</v>
      </c>
    </row>
    <row r="1415" spans="1:5">
      <c r="A1415" s="121">
        <v>1413</v>
      </c>
      <c r="B1415" s="123" t="s">
        <v>10757</v>
      </c>
      <c r="C1415" s="123" t="s">
        <v>10758</v>
      </c>
      <c r="D1415" s="124" t="str">
        <f t="shared" si="22"/>
        <v>VINUSDT</v>
      </c>
      <c r="E1415" s="125" t="e">
        <f ca="1">VLOOKUP(D1415,'Курсы Бинанса'!B:C,2,FALSE)</f>
        <v>#N/A</v>
      </c>
    </row>
    <row r="1416" spans="1:5">
      <c r="A1416" s="121">
        <v>1414</v>
      </c>
      <c r="B1416" s="123" t="s">
        <v>10759</v>
      </c>
      <c r="C1416" s="123" t="s">
        <v>10760</v>
      </c>
      <c r="D1416" s="124" t="str">
        <f t="shared" si="22"/>
        <v>ILCUSDT</v>
      </c>
      <c r="E1416" s="125" t="e">
        <f ca="1">VLOOKUP(D1416,'Курсы Бинанса'!B:C,2,FALSE)</f>
        <v>#N/A</v>
      </c>
    </row>
    <row r="1417" spans="1:5">
      <c r="A1417" s="121">
        <v>1415</v>
      </c>
      <c r="B1417" s="123" t="s">
        <v>10761</v>
      </c>
      <c r="C1417" s="123" t="s">
        <v>10761</v>
      </c>
      <c r="D1417" s="124" t="str">
        <f t="shared" si="22"/>
        <v>BASICUSDT</v>
      </c>
      <c r="E1417" s="125" t="e">
        <f ca="1">VLOOKUP(D1417,'Курсы Бинанса'!B:C,2,FALSE)</f>
        <v>#N/A</v>
      </c>
    </row>
    <row r="1418" spans="1:5">
      <c r="A1418" s="121">
        <v>1416</v>
      </c>
      <c r="B1418" s="123" t="s">
        <v>10762</v>
      </c>
      <c r="C1418" s="123" t="s">
        <v>10763</v>
      </c>
      <c r="D1418" s="124" t="str">
        <f t="shared" si="22"/>
        <v>FOUSDT</v>
      </c>
      <c r="E1418" s="125" t="e">
        <f ca="1">VLOOKUP(D1418,'Курсы Бинанса'!B:C,2,FALSE)</f>
        <v>#N/A</v>
      </c>
    </row>
    <row r="1419" spans="1:5">
      <c r="A1419" s="121">
        <v>1417</v>
      </c>
      <c r="B1419" s="123" t="s">
        <v>10764</v>
      </c>
      <c r="C1419" s="123" t="s">
        <v>10765</v>
      </c>
      <c r="D1419" s="124" t="str">
        <f t="shared" si="22"/>
        <v>CRADUSDT</v>
      </c>
      <c r="E1419" s="125" t="e">
        <f ca="1">VLOOKUP(D1419,'Курсы Бинанса'!B:C,2,FALSE)</f>
        <v>#N/A</v>
      </c>
    </row>
    <row r="1420" spans="1:5">
      <c r="A1420" s="121">
        <v>1418</v>
      </c>
      <c r="B1420" s="123" t="s">
        <v>10766</v>
      </c>
      <c r="C1420" s="123" t="s">
        <v>10767</v>
      </c>
      <c r="D1420" s="124" t="str">
        <f t="shared" si="22"/>
        <v>BCPTUSDT</v>
      </c>
      <c r="E1420" s="125" t="e">
        <f ca="1">VLOOKUP(D1420,'Курсы Бинанса'!B:C,2,FALSE)</f>
        <v>#N/A</v>
      </c>
    </row>
    <row r="1421" spans="1:5">
      <c r="A1421" s="121">
        <v>1419</v>
      </c>
      <c r="B1421" s="123" t="s">
        <v>10768</v>
      </c>
      <c r="C1421" s="123" t="s">
        <v>10769</v>
      </c>
      <c r="D1421" s="124" t="str">
        <f t="shared" si="22"/>
        <v>EVEUSDT</v>
      </c>
      <c r="E1421" s="125" t="e">
        <f ca="1">VLOOKUP(D1421,'Курсы Бинанса'!B:C,2,FALSE)</f>
        <v>#N/A</v>
      </c>
    </row>
    <row r="1422" spans="1:5">
      <c r="A1422" s="121">
        <v>1420</v>
      </c>
      <c r="B1422" s="123" t="s">
        <v>10770</v>
      </c>
      <c r="C1422" s="123" t="s">
        <v>10771</v>
      </c>
      <c r="D1422" s="124" t="str">
        <f t="shared" si="22"/>
        <v>XPRUSDT</v>
      </c>
      <c r="E1422" s="125" t="e">
        <f ca="1">VLOOKUP(D1422,'Курсы Бинанса'!B:C,2,FALSE)</f>
        <v>#N/A</v>
      </c>
    </row>
    <row r="1423" spans="1:5">
      <c r="A1423" s="121">
        <v>1421</v>
      </c>
      <c r="B1423" s="123" t="s">
        <v>10772</v>
      </c>
      <c r="C1423" s="123" t="s">
        <v>10773</v>
      </c>
      <c r="D1423" s="124" t="str">
        <f t="shared" si="22"/>
        <v>VBITUSDT</v>
      </c>
      <c r="E1423" s="125" t="e">
        <f ca="1">VLOOKUP(D1423,'Курсы Бинанса'!B:C,2,FALSE)</f>
        <v>#N/A</v>
      </c>
    </row>
    <row r="1424" spans="1:5">
      <c r="A1424" s="121">
        <v>1422</v>
      </c>
      <c r="B1424" s="123" t="s">
        <v>10774</v>
      </c>
      <c r="C1424" s="123" t="s">
        <v>10775</v>
      </c>
      <c r="D1424" s="124" t="str">
        <f t="shared" si="22"/>
        <v>DOPEUSDT</v>
      </c>
      <c r="E1424" s="125" t="e">
        <f ca="1">VLOOKUP(D1424,'Курсы Бинанса'!B:C,2,FALSE)</f>
        <v>#N/A</v>
      </c>
    </row>
    <row r="1425" spans="1:5">
      <c r="A1425" s="121">
        <v>1423</v>
      </c>
      <c r="B1425" s="123" t="s">
        <v>10776</v>
      </c>
      <c r="C1425" s="123" t="s">
        <v>10777</v>
      </c>
      <c r="D1425" s="124" t="str">
        <f t="shared" si="22"/>
        <v>XINUSDT</v>
      </c>
      <c r="E1425" s="125" t="e">
        <f ca="1">VLOOKUP(D1425,'Курсы Бинанса'!B:C,2,FALSE)</f>
        <v>#N/A</v>
      </c>
    </row>
    <row r="1426" spans="1:5">
      <c r="A1426" s="121">
        <v>1424</v>
      </c>
      <c r="B1426" s="123" t="s">
        <v>10778</v>
      </c>
      <c r="C1426" s="123" t="s">
        <v>10779</v>
      </c>
      <c r="D1426" s="124" t="str">
        <f t="shared" si="22"/>
        <v>ELUSDT</v>
      </c>
      <c r="E1426" s="125" t="e">
        <f ca="1">VLOOKUP(D1426,'Курсы Бинанса'!B:C,2,FALSE)</f>
        <v>#N/A</v>
      </c>
    </row>
    <row r="1427" spans="1:5">
      <c r="A1427" s="121">
        <v>1425</v>
      </c>
      <c r="B1427" s="123" t="s">
        <v>10780</v>
      </c>
      <c r="C1427" s="123" t="s">
        <v>10781</v>
      </c>
      <c r="D1427" s="124" t="str">
        <f t="shared" si="22"/>
        <v>KTNUSDT</v>
      </c>
      <c r="E1427" s="125" t="e">
        <f ca="1">VLOOKUP(D1427,'Курсы Бинанса'!B:C,2,FALSE)</f>
        <v>#N/A</v>
      </c>
    </row>
    <row r="1428" spans="1:5">
      <c r="A1428" s="121">
        <v>1426</v>
      </c>
      <c r="B1428" s="123" t="s">
        <v>10782</v>
      </c>
      <c r="C1428" s="123" t="s">
        <v>10783</v>
      </c>
      <c r="D1428" s="124" t="str">
        <f t="shared" si="22"/>
        <v>DGTXUSDT</v>
      </c>
      <c r="E1428" s="125" t="e">
        <f ca="1">VLOOKUP(D1428,'Курсы Бинанса'!B:C,2,FALSE)</f>
        <v>#N/A</v>
      </c>
    </row>
    <row r="1429" spans="1:5">
      <c r="A1429" s="121">
        <v>1427</v>
      </c>
      <c r="B1429" s="123" t="s">
        <v>10784</v>
      </c>
      <c r="C1429" s="123" t="s">
        <v>10785</v>
      </c>
      <c r="D1429" s="124" t="str">
        <f t="shared" si="22"/>
        <v>OMIUSDT</v>
      </c>
      <c r="E1429" s="125" t="e">
        <f ca="1">VLOOKUP(D1429,'Курсы Бинанса'!B:C,2,FALSE)</f>
        <v>#N/A</v>
      </c>
    </row>
    <row r="1430" spans="1:5">
      <c r="A1430" s="121">
        <v>1428</v>
      </c>
      <c r="B1430" s="123" t="s">
        <v>10786</v>
      </c>
      <c r="C1430" s="123" t="s">
        <v>10787</v>
      </c>
      <c r="D1430" s="124" t="str">
        <f t="shared" si="22"/>
        <v>BCZEROUSDT</v>
      </c>
      <c r="E1430" s="125" t="e">
        <f ca="1">VLOOKUP(D1430,'Курсы Бинанса'!B:C,2,FALSE)</f>
        <v>#N/A</v>
      </c>
    </row>
    <row r="1431" spans="1:5">
      <c r="A1431" s="121">
        <v>1429</v>
      </c>
      <c r="B1431" s="123" t="s">
        <v>10788</v>
      </c>
      <c r="C1431" s="123" t="s">
        <v>10789</v>
      </c>
      <c r="D1431" s="124" t="str">
        <f t="shared" si="22"/>
        <v>BIPUSDT</v>
      </c>
      <c r="E1431" s="125" t="e">
        <f ca="1">VLOOKUP(D1431,'Курсы Бинанса'!B:C,2,FALSE)</f>
        <v>#N/A</v>
      </c>
    </row>
    <row r="1432" spans="1:5">
      <c r="A1432" s="121">
        <v>1430</v>
      </c>
      <c r="B1432" s="123" t="s">
        <v>10790</v>
      </c>
      <c r="C1432" s="123" t="s">
        <v>10791</v>
      </c>
      <c r="D1432" s="124" t="str">
        <f t="shared" si="22"/>
        <v>BEPROUSDT</v>
      </c>
      <c r="E1432" s="125" t="e">
        <f ca="1">VLOOKUP(D1432,'Курсы Бинанса'!B:C,2,FALSE)</f>
        <v>#N/A</v>
      </c>
    </row>
    <row r="1433" spans="1:5">
      <c r="A1433" s="121">
        <v>1431</v>
      </c>
      <c r="B1433" s="123" t="s">
        <v>10792</v>
      </c>
      <c r="C1433" s="123" t="s">
        <v>10793</v>
      </c>
      <c r="D1433" s="124" t="str">
        <f t="shared" si="22"/>
        <v>AMNUSDT</v>
      </c>
      <c r="E1433" s="125" t="e">
        <f ca="1">VLOOKUP(D1433,'Курсы Бинанса'!B:C,2,FALSE)</f>
        <v>#N/A</v>
      </c>
    </row>
    <row r="1434" spans="1:5">
      <c r="A1434" s="121">
        <v>1432</v>
      </c>
      <c r="B1434" s="123" t="s">
        <v>10794</v>
      </c>
      <c r="C1434" s="123" t="s">
        <v>10794</v>
      </c>
      <c r="D1434" s="124" t="str">
        <f t="shared" si="22"/>
        <v>LINKAUSDT</v>
      </c>
      <c r="E1434" s="125" t="e">
        <f ca="1">VLOOKUP(D1434,'Курсы Бинанса'!B:C,2,FALSE)</f>
        <v>#N/A</v>
      </c>
    </row>
    <row r="1435" spans="1:5">
      <c r="A1435" s="121">
        <v>1433</v>
      </c>
      <c r="B1435" s="123" t="s">
        <v>10795</v>
      </c>
      <c r="C1435" s="123" t="s">
        <v>10796</v>
      </c>
      <c r="D1435" s="124" t="str">
        <f t="shared" si="22"/>
        <v>PAKUSDT</v>
      </c>
      <c r="E1435" s="125" t="e">
        <f ca="1">VLOOKUP(D1435,'Курсы Бинанса'!B:C,2,FALSE)</f>
        <v>#N/A</v>
      </c>
    </row>
    <row r="1436" spans="1:5">
      <c r="A1436" s="121">
        <v>1434</v>
      </c>
      <c r="B1436" s="123" t="s">
        <v>10797</v>
      </c>
      <c r="C1436" s="123" t="s">
        <v>10798</v>
      </c>
      <c r="D1436" s="124" t="str">
        <f t="shared" si="22"/>
        <v>MIBUSDT</v>
      </c>
      <c r="E1436" s="125" t="e">
        <f ca="1">VLOOKUP(D1436,'Курсы Бинанса'!B:C,2,FALSE)</f>
        <v>#N/A</v>
      </c>
    </row>
    <row r="1437" spans="1:5">
      <c r="A1437" s="121">
        <v>1435</v>
      </c>
      <c r="B1437" s="123" t="s">
        <v>10799</v>
      </c>
      <c r="C1437" s="123" t="s">
        <v>10800</v>
      </c>
      <c r="D1437" s="124" t="str">
        <f t="shared" si="22"/>
        <v>ZETUSDT</v>
      </c>
      <c r="E1437" s="125" t="e">
        <f ca="1">VLOOKUP(D1437,'Курсы Бинанса'!B:C,2,FALSE)</f>
        <v>#N/A</v>
      </c>
    </row>
    <row r="1438" spans="1:5">
      <c r="A1438" s="121">
        <v>1436</v>
      </c>
      <c r="B1438" s="123" t="s">
        <v>10801</v>
      </c>
      <c r="C1438" s="123" t="s">
        <v>10802</v>
      </c>
      <c r="D1438" s="124" t="str">
        <f t="shared" si="22"/>
        <v>APRUSDT</v>
      </c>
      <c r="E1438" s="125" t="e">
        <f ca="1">VLOOKUP(D1438,'Курсы Бинанса'!B:C,2,FALSE)</f>
        <v>#N/A</v>
      </c>
    </row>
    <row r="1439" spans="1:5">
      <c r="A1439" s="121">
        <v>1437</v>
      </c>
      <c r="B1439" s="123" t="s">
        <v>10803</v>
      </c>
      <c r="C1439" s="123" t="s">
        <v>10804</v>
      </c>
      <c r="D1439" s="124" t="str">
        <f t="shared" si="22"/>
        <v>OBSRUSDT</v>
      </c>
      <c r="E1439" s="125" t="e">
        <f ca="1">VLOOKUP(D1439,'Курсы Бинанса'!B:C,2,FALSE)</f>
        <v>#N/A</v>
      </c>
    </row>
    <row r="1440" spans="1:5">
      <c r="A1440" s="121">
        <v>1438</v>
      </c>
      <c r="B1440" s="123" t="s">
        <v>10805</v>
      </c>
      <c r="C1440" s="123" t="s">
        <v>10806</v>
      </c>
      <c r="D1440" s="124" t="str">
        <f t="shared" si="22"/>
        <v>ATCCUSDT</v>
      </c>
      <c r="E1440" s="125" t="e">
        <f ca="1">VLOOKUP(D1440,'Курсы Бинанса'!B:C,2,FALSE)</f>
        <v>#N/A</v>
      </c>
    </row>
    <row r="1441" spans="1:5">
      <c r="A1441" s="121">
        <v>1439</v>
      </c>
      <c r="B1441" s="123" t="s">
        <v>10807</v>
      </c>
      <c r="C1441" s="123" t="s">
        <v>10807</v>
      </c>
      <c r="D1441" s="124" t="str">
        <f t="shared" si="22"/>
        <v>ZEONUSDT</v>
      </c>
      <c r="E1441" s="125" t="e">
        <f ca="1">VLOOKUP(D1441,'Курсы Бинанса'!B:C,2,FALSE)</f>
        <v>#N/A</v>
      </c>
    </row>
    <row r="1442" spans="1:5">
      <c r="A1442" s="121">
        <v>1440</v>
      </c>
      <c r="B1442" s="123" t="s">
        <v>10808</v>
      </c>
      <c r="C1442" s="123" t="s">
        <v>10809</v>
      </c>
      <c r="D1442" s="124" t="str">
        <f t="shared" ref="D1442:D1505" si="23">CONCATENATE(C1442,"USDT")</f>
        <v>YLDUSDT</v>
      </c>
      <c r="E1442" s="125" t="e">
        <f ca="1">VLOOKUP(D1442,'Курсы Бинанса'!B:C,2,FALSE)</f>
        <v>#N/A</v>
      </c>
    </row>
    <row r="1443" spans="1:5">
      <c r="A1443" s="121">
        <v>1441</v>
      </c>
      <c r="B1443" s="123" t="s">
        <v>10810</v>
      </c>
      <c r="C1443" s="123" t="s">
        <v>10810</v>
      </c>
      <c r="D1443" s="124" t="str">
        <f t="shared" si="23"/>
        <v>BOLTUSDT</v>
      </c>
      <c r="E1443" s="125" t="e">
        <f ca="1">VLOOKUP(D1443,'Курсы Бинанса'!B:C,2,FALSE)</f>
        <v>#N/A</v>
      </c>
    </row>
    <row r="1444" spans="1:5">
      <c r="A1444" s="121">
        <v>1442</v>
      </c>
      <c r="B1444" s="123" t="s">
        <v>10811</v>
      </c>
      <c r="C1444" s="123" t="s">
        <v>10812</v>
      </c>
      <c r="D1444" s="124" t="str">
        <f t="shared" si="23"/>
        <v>CPXUSDT</v>
      </c>
      <c r="E1444" s="125" t="e">
        <f ca="1">VLOOKUP(D1444,'Курсы Бинанса'!B:C,2,FALSE)</f>
        <v>#N/A</v>
      </c>
    </row>
    <row r="1445" spans="1:5">
      <c r="A1445" s="121">
        <v>1443</v>
      </c>
      <c r="B1445" s="123" t="s">
        <v>10813</v>
      </c>
      <c r="C1445" s="123" t="s">
        <v>10814</v>
      </c>
      <c r="D1445" s="124" t="str">
        <f t="shared" si="23"/>
        <v>CEEKUSDT</v>
      </c>
      <c r="E1445" s="125" t="e">
        <f ca="1">VLOOKUP(D1445,'Курсы Бинанса'!B:C,2,FALSE)</f>
        <v>#N/A</v>
      </c>
    </row>
    <row r="1446" spans="1:5">
      <c r="A1446" s="121">
        <v>1444</v>
      </c>
      <c r="B1446" s="123" t="s">
        <v>10815</v>
      </c>
      <c r="C1446" s="123" t="s">
        <v>10816</v>
      </c>
      <c r="D1446" s="124" t="str">
        <f t="shared" si="23"/>
        <v>ARTUSDT</v>
      </c>
      <c r="E1446" s="125" t="e">
        <f ca="1">VLOOKUP(D1446,'Курсы Бинанса'!B:C,2,FALSE)</f>
        <v>#N/A</v>
      </c>
    </row>
    <row r="1447" spans="1:5">
      <c r="A1447" s="121">
        <v>1445</v>
      </c>
      <c r="B1447" s="123" t="s">
        <v>10817</v>
      </c>
      <c r="C1447" s="123" t="s">
        <v>10818</v>
      </c>
      <c r="D1447" s="124" t="str">
        <f t="shared" si="23"/>
        <v>SUTERUSDT</v>
      </c>
      <c r="E1447" s="125" t="e">
        <f ca="1">VLOOKUP(D1447,'Курсы Бинанса'!B:C,2,FALSE)</f>
        <v>#N/A</v>
      </c>
    </row>
    <row r="1448" spans="1:5">
      <c r="A1448" s="121">
        <v>1446</v>
      </c>
      <c r="B1448" s="123" t="s">
        <v>10819</v>
      </c>
      <c r="C1448" s="123" t="s">
        <v>10819</v>
      </c>
      <c r="D1448" s="124" t="str">
        <f t="shared" si="23"/>
        <v>ROOBEEUSDT</v>
      </c>
      <c r="E1448" s="125" t="e">
        <f ca="1">VLOOKUP(D1448,'Курсы Бинанса'!B:C,2,FALSE)</f>
        <v>#N/A</v>
      </c>
    </row>
    <row r="1449" spans="1:5">
      <c r="A1449" s="121">
        <v>1447</v>
      </c>
      <c r="B1449" s="123" t="s">
        <v>10820</v>
      </c>
      <c r="C1449" s="123" t="s">
        <v>10821</v>
      </c>
      <c r="D1449" s="124" t="str">
        <f t="shared" si="23"/>
        <v>MIXUSDT</v>
      </c>
      <c r="E1449" s="125" t="e">
        <f ca="1">VLOOKUP(D1449,'Курсы Бинанса'!B:C,2,FALSE)</f>
        <v>#N/A</v>
      </c>
    </row>
    <row r="1450" spans="1:5">
      <c r="A1450" s="121">
        <v>1448</v>
      </c>
      <c r="B1450" s="123" t="s">
        <v>10822</v>
      </c>
      <c r="C1450" s="123" t="s">
        <v>10823</v>
      </c>
      <c r="D1450" s="124" t="str">
        <f t="shared" si="23"/>
        <v>XMYUSDT</v>
      </c>
      <c r="E1450" s="125" t="e">
        <f ca="1">VLOOKUP(D1450,'Курсы Бинанса'!B:C,2,FALSE)</f>
        <v>#N/A</v>
      </c>
    </row>
    <row r="1451" spans="1:5">
      <c r="A1451" s="121">
        <v>1449</v>
      </c>
      <c r="B1451" s="123" t="s">
        <v>10824</v>
      </c>
      <c r="C1451" s="123" t="s">
        <v>10825</v>
      </c>
      <c r="D1451" s="124" t="str">
        <f t="shared" si="23"/>
        <v>PCMUSDT</v>
      </c>
      <c r="E1451" s="125" t="e">
        <f ca="1">VLOOKUP(D1451,'Курсы Бинанса'!B:C,2,FALSE)</f>
        <v>#N/A</v>
      </c>
    </row>
    <row r="1452" spans="1:5">
      <c r="A1452" s="121">
        <v>1450</v>
      </c>
      <c r="B1452" s="123" t="s">
        <v>10826</v>
      </c>
      <c r="C1452" s="123" t="s">
        <v>10827</v>
      </c>
      <c r="D1452" s="124" t="str">
        <f t="shared" si="23"/>
        <v>SMTUSDT</v>
      </c>
      <c r="E1452" s="125" t="e">
        <f ca="1">VLOOKUP(D1452,'Курсы Бинанса'!B:C,2,FALSE)</f>
        <v>#N/A</v>
      </c>
    </row>
    <row r="1453" spans="1:5">
      <c r="A1453" s="121">
        <v>1451</v>
      </c>
      <c r="B1453" s="123" t="s">
        <v>10828</v>
      </c>
      <c r="C1453" s="123" t="s">
        <v>10829</v>
      </c>
      <c r="D1453" s="124" t="str">
        <f t="shared" si="23"/>
        <v>SINUSDT</v>
      </c>
      <c r="E1453" s="125" t="e">
        <f ca="1">VLOOKUP(D1453,'Курсы Бинанса'!B:C,2,FALSE)</f>
        <v>#N/A</v>
      </c>
    </row>
    <row r="1454" spans="1:5">
      <c r="A1454" s="121">
        <v>1452</v>
      </c>
      <c r="B1454" s="123" t="s">
        <v>10830</v>
      </c>
      <c r="C1454" s="123" t="s">
        <v>10831</v>
      </c>
      <c r="D1454" s="124" t="str">
        <f t="shared" si="23"/>
        <v>DRGUSDT</v>
      </c>
      <c r="E1454" s="125" t="e">
        <f ca="1">VLOOKUP(D1454,'Курсы Бинанса'!B:C,2,FALSE)</f>
        <v>#N/A</v>
      </c>
    </row>
    <row r="1455" spans="1:5">
      <c r="A1455" s="121">
        <v>1453</v>
      </c>
      <c r="B1455" s="123" t="s">
        <v>10832</v>
      </c>
      <c r="C1455" s="123" t="s">
        <v>10833</v>
      </c>
      <c r="D1455" s="124" t="str">
        <f t="shared" si="23"/>
        <v>SUBUSDT</v>
      </c>
      <c r="E1455" s="125" t="e">
        <f ca="1">VLOOKUP(D1455,'Курсы Бинанса'!B:C,2,FALSE)</f>
        <v>#N/A</v>
      </c>
    </row>
    <row r="1456" spans="1:5">
      <c r="A1456" s="121">
        <v>1454</v>
      </c>
      <c r="B1456" s="123" t="s">
        <v>10834</v>
      </c>
      <c r="C1456" s="123" t="s">
        <v>10835</v>
      </c>
      <c r="D1456" s="124" t="str">
        <f t="shared" si="23"/>
        <v>FSTUSDT</v>
      </c>
      <c r="E1456" s="125" t="e">
        <f ca="1">VLOOKUP(D1456,'Курсы Бинанса'!B:C,2,FALSE)</f>
        <v>#N/A</v>
      </c>
    </row>
    <row r="1457" spans="1:5">
      <c r="A1457" s="121">
        <v>1455</v>
      </c>
      <c r="B1457" s="123" t="s">
        <v>10836</v>
      </c>
      <c r="C1457" s="123" t="s">
        <v>10837</v>
      </c>
      <c r="D1457" s="124" t="str">
        <f t="shared" si="23"/>
        <v>LBAUSDT</v>
      </c>
      <c r="E1457" s="125" t="e">
        <f ca="1">VLOOKUP(D1457,'Курсы Бинанса'!B:C,2,FALSE)</f>
        <v>#N/A</v>
      </c>
    </row>
    <row r="1458" spans="1:5">
      <c r="A1458" s="121">
        <v>1456</v>
      </c>
      <c r="B1458" s="123" t="s">
        <v>10838</v>
      </c>
      <c r="C1458" s="123" t="s">
        <v>10839</v>
      </c>
      <c r="D1458" s="124" t="str">
        <f t="shared" si="23"/>
        <v>MCASHUSDT</v>
      </c>
      <c r="E1458" s="125" t="e">
        <f ca="1">VLOOKUP(D1458,'Курсы Бинанса'!B:C,2,FALSE)</f>
        <v>#N/A</v>
      </c>
    </row>
    <row r="1459" spans="1:5">
      <c r="A1459" s="121">
        <v>1457</v>
      </c>
      <c r="B1459" s="123" t="s">
        <v>10840</v>
      </c>
      <c r="C1459" s="123" t="s">
        <v>10841</v>
      </c>
      <c r="D1459" s="124" t="str">
        <f t="shared" si="23"/>
        <v>PASSUSDT</v>
      </c>
      <c r="E1459" s="125" t="e">
        <f ca="1">VLOOKUP(D1459,'Курсы Бинанса'!B:C,2,FALSE)</f>
        <v>#N/A</v>
      </c>
    </row>
    <row r="1460" spans="1:5">
      <c r="A1460" s="121">
        <v>1458</v>
      </c>
      <c r="B1460" s="123" t="s">
        <v>10842</v>
      </c>
      <c r="C1460" s="123" t="s">
        <v>10843</v>
      </c>
      <c r="D1460" s="124" t="str">
        <f t="shared" si="23"/>
        <v>NETKOUSDT</v>
      </c>
      <c r="E1460" s="125" t="e">
        <f ca="1">VLOOKUP(D1460,'Курсы Бинанса'!B:C,2,FALSE)</f>
        <v>#N/A</v>
      </c>
    </row>
    <row r="1461" spans="1:5">
      <c r="A1461" s="121">
        <v>1459</v>
      </c>
      <c r="B1461" s="123" t="s">
        <v>10844</v>
      </c>
      <c r="C1461" s="123" t="s">
        <v>10845</v>
      </c>
      <c r="D1461" s="124" t="str">
        <f t="shared" si="23"/>
        <v>AMONUSDT</v>
      </c>
      <c r="E1461" s="125" t="e">
        <f ca="1">VLOOKUP(D1461,'Курсы Бинанса'!B:C,2,FALSE)</f>
        <v>#N/A</v>
      </c>
    </row>
    <row r="1462" spans="1:5">
      <c r="A1462" s="121">
        <v>1460</v>
      </c>
      <c r="B1462" s="123" t="s">
        <v>10846</v>
      </c>
      <c r="C1462" s="123" t="s">
        <v>10847</v>
      </c>
      <c r="D1462" s="124" t="str">
        <f t="shared" si="23"/>
        <v>INEUSDT</v>
      </c>
      <c r="E1462" s="125" t="e">
        <f ca="1">VLOOKUP(D1462,'Курсы Бинанса'!B:C,2,FALSE)</f>
        <v>#N/A</v>
      </c>
    </row>
    <row r="1463" spans="1:5">
      <c r="A1463" s="121">
        <v>1461</v>
      </c>
      <c r="B1463" s="126" t="s">
        <v>10848</v>
      </c>
      <c r="C1463" s="123" t="s">
        <v>10849</v>
      </c>
      <c r="D1463" s="124" t="str">
        <f t="shared" si="23"/>
        <v>DDDUSDT</v>
      </c>
      <c r="E1463" s="125" t="e">
        <f ca="1">VLOOKUP(D1463,'Курсы Бинанса'!B:C,2,FALSE)</f>
        <v>#N/A</v>
      </c>
    </row>
    <row r="1464" spans="1:5">
      <c r="A1464" s="121">
        <v>1462</v>
      </c>
      <c r="B1464" s="123" t="s">
        <v>10850</v>
      </c>
      <c r="C1464" s="123" t="s">
        <v>10851</v>
      </c>
      <c r="D1464" s="124" t="str">
        <f t="shared" si="23"/>
        <v>LEADUSDT</v>
      </c>
      <c r="E1464" s="125" t="e">
        <f ca="1">VLOOKUP(D1464,'Курсы Бинанса'!B:C,2,FALSE)</f>
        <v>#N/A</v>
      </c>
    </row>
    <row r="1465" spans="1:5">
      <c r="A1465" s="121">
        <v>1463</v>
      </c>
      <c r="B1465" s="123" t="s">
        <v>10852</v>
      </c>
      <c r="C1465" s="123" t="s">
        <v>10853</v>
      </c>
      <c r="D1465" s="124" t="str">
        <f t="shared" si="23"/>
        <v>DITUSDT</v>
      </c>
      <c r="E1465" s="125" t="e">
        <f ca="1">VLOOKUP(D1465,'Курсы Бинанса'!B:C,2,FALSE)</f>
        <v>#N/A</v>
      </c>
    </row>
    <row r="1466" spans="1:5">
      <c r="A1466" s="121">
        <v>1464</v>
      </c>
      <c r="B1466" s="123" t="s">
        <v>10854</v>
      </c>
      <c r="C1466" s="123" t="s">
        <v>10855</v>
      </c>
      <c r="D1466" s="124" t="str">
        <f t="shared" si="23"/>
        <v>JANUSDT</v>
      </c>
      <c r="E1466" s="125" t="e">
        <f ca="1">VLOOKUP(D1466,'Курсы Бинанса'!B:C,2,FALSE)</f>
        <v>#N/A</v>
      </c>
    </row>
    <row r="1467" spans="1:5">
      <c r="A1467" s="121">
        <v>1465</v>
      </c>
      <c r="B1467" s="123" t="s">
        <v>10856</v>
      </c>
      <c r="C1467" s="123" t="s">
        <v>10857</v>
      </c>
      <c r="D1467" s="124" t="str">
        <f t="shared" si="23"/>
        <v>PHBUSDT</v>
      </c>
      <c r="E1467" s="125" t="e">
        <f ca="1">VLOOKUP(D1467,'Курсы Бинанса'!B:C,2,FALSE)</f>
        <v>#N/A</v>
      </c>
    </row>
    <row r="1468" spans="1:5">
      <c r="A1468" s="121">
        <v>1466</v>
      </c>
      <c r="B1468" s="123" t="s">
        <v>10858</v>
      </c>
      <c r="C1468" s="123" t="s">
        <v>10859</v>
      </c>
      <c r="D1468" s="124" t="str">
        <f t="shared" si="23"/>
        <v>OPENUSDT</v>
      </c>
      <c r="E1468" s="125" t="e">
        <f ca="1">VLOOKUP(D1468,'Курсы Бинанса'!B:C,2,FALSE)</f>
        <v>#N/A</v>
      </c>
    </row>
    <row r="1469" spans="1:5">
      <c r="A1469" s="121">
        <v>1467</v>
      </c>
      <c r="B1469" s="123" t="s">
        <v>10860</v>
      </c>
      <c r="C1469" s="123" t="s">
        <v>10861</v>
      </c>
      <c r="D1469" s="124" t="str">
        <f t="shared" si="23"/>
        <v>BASHUSDT</v>
      </c>
      <c r="E1469" s="125" t="e">
        <f ca="1">VLOOKUP(D1469,'Курсы Бинанса'!B:C,2,FALSE)</f>
        <v>#N/A</v>
      </c>
    </row>
    <row r="1470" spans="1:5">
      <c r="A1470" s="121">
        <v>1468</v>
      </c>
      <c r="B1470" s="123" t="s">
        <v>10862</v>
      </c>
      <c r="C1470" s="123" t="s">
        <v>10863</v>
      </c>
      <c r="D1470" s="124" t="str">
        <f t="shared" si="23"/>
        <v>LMLUSDT</v>
      </c>
      <c r="E1470" s="125" t="e">
        <f ca="1">VLOOKUP(D1470,'Курсы Бинанса'!B:C,2,FALSE)</f>
        <v>#N/A</v>
      </c>
    </row>
    <row r="1471" spans="1:5">
      <c r="A1471" s="121">
        <v>1469</v>
      </c>
      <c r="B1471" s="123" t="s">
        <v>10864</v>
      </c>
      <c r="C1471" s="123" t="s">
        <v>10865</v>
      </c>
      <c r="D1471" s="124" t="str">
        <f t="shared" si="23"/>
        <v>DVCUSDT</v>
      </c>
      <c r="E1471" s="125" t="e">
        <f ca="1">VLOOKUP(D1471,'Курсы Бинанса'!B:C,2,FALSE)</f>
        <v>#N/A</v>
      </c>
    </row>
    <row r="1472" spans="1:5">
      <c r="A1472" s="121">
        <v>1470</v>
      </c>
      <c r="B1472" s="123" t="s">
        <v>10866</v>
      </c>
      <c r="C1472" s="123" t="s">
        <v>10859</v>
      </c>
      <c r="D1472" s="124" t="str">
        <f t="shared" si="23"/>
        <v>OPENUSDT</v>
      </c>
      <c r="E1472" s="125" t="e">
        <f ca="1">VLOOKUP(D1472,'Курсы Бинанса'!B:C,2,FALSE)</f>
        <v>#N/A</v>
      </c>
    </row>
    <row r="1473" spans="1:5">
      <c r="A1473" s="121">
        <v>1471</v>
      </c>
      <c r="B1473" s="123" t="s">
        <v>10867</v>
      </c>
      <c r="C1473" s="123" t="s">
        <v>10867</v>
      </c>
      <c r="D1473" s="124" t="str">
        <f t="shared" si="23"/>
        <v>STKUSDT</v>
      </c>
      <c r="E1473" s="125" t="e">
        <f ca="1">VLOOKUP(D1473,'Курсы Бинанса'!B:C,2,FALSE)</f>
        <v>#N/A</v>
      </c>
    </row>
    <row r="1474" spans="1:5">
      <c r="A1474" s="121">
        <v>1472</v>
      </c>
      <c r="B1474" s="123" t="s">
        <v>10868</v>
      </c>
      <c r="C1474" s="123" t="s">
        <v>10869</v>
      </c>
      <c r="D1474" s="124" t="str">
        <f t="shared" si="23"/>
        <v>BAASUSDT</v>
      </c>
      <c r="E1474" s="125" t="e">
        <f ca="1">VLOOKUP(D1474,'Курсы Бинанса'!B:C,2,FALSE)</f>
        <v>#N/A</v>
      </c>
    </row>
    <row r="1475" spans="1:5">
      <c r="A1475" s="121">
        <v>1473</v>
      </c>
      <c r="B1475" s="123" t="s">
        <v>10870</v>
      </c>
      <c r="C1475" s="123" t="s">
        <v>10871</v>
      </c>
      <c r="D1475" s="124" t="str">
        <f t="shared" si="23"/>
        <v>TXUSDT</v>
      </c>
      <c r="E1475" s="125" t="e">
        <f ca="1">VLOOKUP(D1475,'Курсы Бинанса'!B:C,2,FALSE)</f>
        <v>#N/A</v>
      </c>
    </row>
    <row r="1476" spans="1:5">
      <c r="A1476" s="121">
        <v>1474</v>
      </c>
      <c r="B1476" s="123" t="s">
        <v>10872</v>
      </c>
      <c r="C1476" s="123" t="s">
        <v>10873</v>
      </c>
      <c r="D1476" s="124" t="str">
        <f t="shared" si="23"/>
        <v>STVUSDT</v>
      </c>
      <c r="E1476" s="125" t="e">
        <f ca="1">VLOOKUP(D1476,'Курсы Бинанса'!B:C,2,FALSE)</f>
        <v>#N/A</v>
      </c>
    </row>
    <row r="1477" spans="1:5">
      <c r="A1477" s="121">
        <v>1475</v>
      </c>
      <c r="B1477" s="123" t="s">
        <v>10874</v>
      </c>
      <c r="C1477" s="123" t="s">
        <v>10875</v>
      </c>
      <c r="D1477" s="124" t="str">
        <f t="shared" si="23"/>
        <v>WAIFUSDT</v>
      </c>
      <c r="E1477" s="125" t="e">
        <f ca="1">VLOOKUP(D1477,'Курсы Бинанса'!B:C,2,FALSE)</f>
        <v>#N/A</v>
      </c>
    </row>
    <row r="1478" spans="1:5">
      <c r="A1478" s="121">
        <v>1476</v>
      </c>
      <c r="B1478" s="123" t="s">
        <v>10876</v>
      </c>
      <c r="C1478" s="123" t="s">
        <v>10877</v>
      </c>
      <c r="D1478" s="124" t="str">
        <f t="shared" si="23"/>
        <v>CAPPUSDT</v>
      </c>
      <c r="E1478" s="125" t="e">
        <f ca="1">VLOOKUP(D1478,'Курсы Бинанса'!B:C,2,FALSE)</f>
        <v>#N/A</v>
      </c>
    </row>
    <row r="1479" spans="1:5">
      <c r="A1479" s="121">
        <v>1477</v>
      </c>
      <c r="B1479" s="123" t="s">
        <v>10878</v>
      </c>
      <c r="C1479" s="123" t="s">
        <v>10879</v>
      </c>
      <c r="D1479" s="124" t="str">
        <f t="shared" si="23"/>
        <v>CHATUSDT</v>
      </c>
      <c r="E1479" s="125" t="e">
        <f ca="1">VLOOKUP(D1479,'Курсы Бинанса'!B:C,2,FALSE)</f>
        <v>#N/A</v>
      </c>
    </row>
    <row r="1480" spans="1:5">
      <c r="A1480" s="121">
        <v>1478</v>
      </c>
      <c r="B1480" s="123" t="s">
        <v>10880</v>
      </c>
      <c r="C1480" s="123" t="s">
        <v>10881</v>
      </c>
      <c r="D1480" s="124" t="str">
        <f t="shared" si="23"/>
        <v>AITUSDT</v>
      </c>
      <c r="E1480" s="125" t="e">
        <f ca="1">VLOOKUP(D1480,'Курсы Бинанса'!B:C,2,FALSE)</f>
        <v>#N/A</v>
      </c>
    </row>
    <row r="1481" spans="1:5">
      <c r="A1481" s="121">
        <v>1479</v>
      </c>
      <c r="B1481" s="123" t="s">
        <v>10882</v>
      </c>
      <c r="C1481" s="123" t="s">
        <v>10883</v>
      </c>
      <c r="D1481" s="124" t="str">
        <f t="shared" si="23"/>
        <v>FLASHUSDT</v>
      </c>
      <c r="E1481" s="125" t="e">
        <f ca="1">VLOOKUP(D1481,'Курсы Бинанса'!B:C,2,FALSE)</f>
        <v>#N/A</v>
      </c>
    </row>
    <row r="1482" spans="1:5">
      <c r="A1482" s="121">
        <v>1480</v>
      </c>
      <c r="B1482" s="123" t="s">
        <v>10884</v>
      </c>
      <c r="C1482" s="123" t="s">
        <v>10885</v>
      </c>
      <c r="D1482" s="124" t="str">
        <f t="shared" si="23"/>
        <v>BNYUSDT</v>
      </c>
      <c r="E1482" s="125" t="e">
        <f ca="1">VLOOKUP(D1482,'Курсы Бинанса'!B:C,2,FALSE)</f>
        <v>#N/A</v>
      </c>
    </row>
    <row r="1483" spans="1:5">
      <c r="A1483" s="121">
        <v>1481</v>
      </c>
      <c r="B1483" s="123" t="s">
        <v>10886</v>
      </c>
      <c r="C1483" s="123" t="s">
        <v>10887</v>
      </c>
      <c r="D1483" s="124" t="str">
        <f t="shared" si="23"/>
        <v>ARCUSDT</v>
      </c>
      <c r="E1483" s="125" t="e">
        <f ca="1">VLOOKUP(D1483,'Курсы Бинанса'!B:C,2,FALSE)</f>
        <v>#N/A</v>
      </c>
    </row>
    <row r="1484" spans="1:5">
      <c r="A1484" s="121">
        <v>1482</v>
      </c>
      <c r="B1484" s="123" t="s">
        <v>10888</v>
      </c>
      <c r="C1484" s="123" t="s">
        <v>10889</v>
      </c>
      <c r="D1484" s="124" t="str">
        <f t="shared" si="23"/>
        <v>TNBUSDT</v>
      </c>
      <c r="E1484" s="125" t="e">
        <f ca="1">VLOOKUP(D1484,'Курсы Бинанса'!B:C,2,FALSE)</f>
        <v>#N/A</v>
      </c>
    </row>
    <row r="1485" spans="1:5">
      <c r="A1485" s="121">
        <v>1483</v>
      </c>
      <c r="B1485" s="123" t="s">
        <v>10890</v>
      </c>
      <c r="C1485" s="123" t="s">
        <v>10891</v>
      </c>
      <c r="D1485" s="124" t="str">
        <f t="shared" si="23"/>
        <v>KATUSDT</v>
      </c>
      <c r="E1485" s="125" t="e">
        <f ca="1">VLOOKUP(D1485,'Курсы Бинанса'!B:C,2,FALSE)</f>
        <v>#N/A</v>
      </c>
    </row>
    <row r="1486" spans="1:5">
      <c r="A1486" s="121">
        <v>1484</v>
      </c>
      <c r="B1486" s="123" t="s">
        <v>10892</v>
      </c>
      <c r="C1486" s="123" t="s">
        <v>10893</v>
      </c>
      <c r="D1486" s="124" t="str">
        <f t="shared" si="23"/>
        <v>FAIRUSDT</v>
      </c>
      <c r="E1486" s="125" t="e">
        <f ca="1">VLOOKUP(D1486,'Курсы Бинанса'!B:C,2,FALSE)</f>
        <v>#N/A</v>
      </c>
    </row>
    <row r="1487" spans="1:5">
      <c r="A1487" s="121">
        <v>1485</v>
      </c>
      <c r="B1487" s="123" t="s">
        <v>10894</v>
      </c>
      <c r="C1487" s="123" t="s">
        <v>10895</v>
      </c>
      <c r="D1487" s="124" t="str">
        <f t="shared" si="23"/>
        <v>ZEBIUSDT</v>
      </c>
      <c r="E1487" s="125" t="e">
        <f ca="1">VLOOKUP(D1487,'Курсы Бинанса'!B:C,2,FALSE)</f>
        <v>#N/A</v>
      </c>
    </row>
    <row r="1488" spans="1:5">
      <c r="A1488" s="121">
        <v>1486</v>
      </c>
      <c r="B1488" s="123" t="s">
        <v>10896</v>
      </c>
      <c r="C1488" s="123" t="s">
        <v>10897</v>
      </c>
      <c r="D1488" s="124" t="str">
        <f t="shared" si="23"/>
        <v>EDNUSDT</v>
      </c>
      <c r="E1488" s="125" t="e">
        <f ca="1">VLOOKUP(D1488,'Курсы Бинанса'!B:C,2,FALSE)</f>
        <v>#N/A</v>
      </c>
    </row>
    <row r="1489" spans="1:5">
      <c r="A1489" s="121">
        <v>1487</v>
      </c>
      <c r="B1489" s="123" t="s">
        <v>10898</v>
      </c>
      <c r="C1489" s="123" t="s">
        <v>10899</v>
      </c>
      <c r="D1489" s="124" t="str">
        <f t="shared" si="23"/>
        <v>IDTUSDT</v>
      </c>
      <c r="E1489" s="125" t="e">
        <f ca="1">VLOOKUP(D1489,'Курсы Бинанса'!B:C,2,FALSE)</f>
        <v>#N/A</v>
      </c>
    </row>
    <row r="1490" spans="1:5">
      <c r="A1490" s="121">
        <v>1488</v>
      </c>
      <c r="B1490" s="123" t="s">
        <v>10900</v>
      </c>
      <c r="C1490" s="123" t="s">
        <v>10901</v>
      </c>
      <c r="D1490" s="124" t="str">
        <f t="shared" si="23"/>
        <v>MCTUSDT</v>
      </c>
      <c r="E1490" s="125" t="e">
        <f ca="1">VLOOKUP(D1490,'Курсы Бинанса'!B:C,2,FALSE)</f>
        <v>#N/A</v>
      </c>
    </row>
    <row r="1491" spans="1:5">
      <c r="A1491" s="121">
        <v>1489</v>
      </c>
      <c r="B1491" s="123" t="s">
        <v>10902</v>
      </c>
      <c r="C1491" s="123" t="s">
        <v>10903</v>
      </c>
      <c r="D1491" s="124" t="str">
        <f t="shared" si="23"/>
        <v>BTTUSDT</v>
      </c>
      <c r="E1491" s="125" t="e">
        <f ca="1">VLOOKUP(D1491,'Курсы Бинанса'!B:C,2,FALSE)</f>
        <v>#N/A</v>
      </c>
    </row>
    <row r="1492" spans="1:5">
      <c r="A1492" s="121">
        <v>1490</v>
      </c>
      <c r="B1492" s="123" t="s">
        <v>10904</v>
      </c>
      <c r="C1492" s="123" t="s">
        <v>10905</v>
      </c>
      <c r="D1492" s="124" t="str">
        <f t="shared" si="23"/>
        <v>KANUSDT</v>
      </c>
      <c r="E1492" s="125" t="e">
        <f ca="1">VLOOKUP(D1492,'Курсы Бинанса'!B:C,2,FALSE)</f>
        <v>#N/A</v>
      </c>
    </row>
    <row r="1493" spans="1:5">
      <c r="A1493" s="121">
        <v>1491</v>
      </c>
      <c r="B1493" s="123" t="s">
        <v>10906</v>
      </c>
      <c r="C1493" s="123" t="s">
        <v>10907</v>
      </c>
      <c r="D1493" s="124" t="str">
        <f t="shared" si="23"/>
        <v>OCEUSDT</v>
      </c>
      <c r="E1493" s="125" t="e">
        <f ca="1">VLOOKUP(D1493,'Курсы Бинанса'!B:C,2,FALSE)</f>
        <v>#N/A</v>
      </c>
    </row>
    <row r="1494" spans="1:5">
      <c r="A1494" s="121">
        <v>1492</v>
      </c>
      <c r="B1494" s="123" t="s">
        <v>10908</v>
      </c>
      <c r="C1494" s="123" t="s">
        <v>10909</v>
      </c>
      <c r="D1494" s="124" t="str">
        <f t="shared" si="23"/>
        <v>EOSDACUSDT</v>
      </c>
      <c r="E1494" s="125" t="e">
        <f ca="1">VLOOKUP(D1494,'Курсы Бинанса'!B:C,2,FALSE)</f>
        <v>#N/A</v>
      </c>
    </row>
    <row r="1495" spans="1:5">
      <c r="A1495" s="121">
        <v>1493</v>
      </c>
      <c r="B1495" s="123" t="s">
        <v>10910</v>
      </c>
      <c r="C1495" s="123" t="s">
        <v>10911</v>
      </c>
      <c r="D1495" s="124" t="str">
        <f t="shared" si="23"/>
        <v>XPNUSDT</v>
      </c>
      <c r="E1495" s="125" t="e">
        <f ca="1">VLOOKUP(D1495,'Курсы Бинанса'!B:C,2,FALSE)</f>
        <v>#N/A</v>
      </c>
    </row>
    <row r="1496" spans="1:5">
      <c r="A1496" s="121">
        <v>1494</v>
      </c>
      <c r="B1496" s="123" t="s">
        <v>10912</v>
      </c>
      <c r="C1496" s="123" t="s">
        <v>10913</v>
      </c>
      <c r="D1496" s="124" t="str">
        <f t="shared" si="23"/>
        <v>SSUSDT</v>
      </c>
      <c r="E1496" s="125" t="e">
        <f ca="1">VLOOKUP(D1496,'Курсы Бинанса'!B:C,2,FALSE)</f>
        <v>#N/A</v>
      </c>
    </row>
    <row r="1497" spans="1:5">
      <c r="A1497" s="121">
        <v>1495</v>
      </c>
      <c r="B1497" s="123" t="s">
        <v>10914</v>
      </c>
      <c r="C1497" s="123" t="s">
        <v>10915</v>
      </c>
      <c r="D1497" s="124" t="str">
        <f t="shared" si="23"/>
        <v>TCCUSDT</v>
      </c>
      <c r="E1497" s="125" t="e">
        <f ca="1">VLOOKUP(D1497,'Курсы Бинанса'!B:C,2,FALSE)</f>
        <v>#N/A</v>
      </c>
    </row>
    <row r="1498" spans="1:5">
      <c r="A1498" s="121">
        <v>1496</v>
      </c>
      <c r="B1498" s="123" t="s">
        <v>10916</v>
      </c>
      <c r="C1498" s="123" t="s">
        <v>10917</v>
      </c>
      <c r="D1498" s="124" t="str">
        <f t="shared" si="23"/>
        <v>BQQQUSDT</v>
      </c>
      <c r="E1498" s="125" t="e">
        <f ca="1">VLOOKUP(D1498,'Курсы Бинанса'!B:C,2,FALSE)</f>
        <v>#N/A</v>
      </c>
    </row>
    <row r="1499" spans="1:5">
      <c r="A1499" s="121">
        <v>1497</v>
      </c>
      <c r="B1499" s="123" t="s">
        <v>10918</v>
      </c>
      <c r="C1499" s="123" t="s">
        <v>10919</v>
      </c>
      <c r="D1499" s="124" t="str">
        <f t="shared" si="23"/>
        <v>PXLUSDT</v>
      </c>
      <c r="E1499" s="125" t="e">
        <f ca="1">VLOOKUP(D1499,'Курсы Бинанса'!B:C,2,FALSE)</f>
        <v>#N/A</v>
      </c>
    </row>
    <row r="1500" spans="1:5">
      <c r="A1500" s="121">
        <v>1498</v>
      </c>
      <c r="B1500" s="123" t="s">
        <v>10920</v>
      </c>
      <c r="C1500" s="123" t="s">
        <v>10921</v>
      </c>
      <c r="D1500" s="124" t="str">
        <f t="shared" si="23"/>
        <v>DNAUSDT</v>
      </c>
      <c r="E1500" s="125" t="e">
        <f ca="1">VLOOKUP(D1500,'Курсы Бинанса'!B:C,2,FALSE)</f>
        <v>#N/A</v>
      </c>
    </row>
    <row r="1501" spans="1:5">
      <c r="A1501" s="121">
        <v>1499</v>
      </c>
      <c r="B1501" s="123" t="s">
        <v>10922</v>
      </c>
      <c r="C1501" s="123" t="s">
        <v>10923</v>
      </c>
      <c r="D1501" s="124" t="str">
        <f t="shared" si="23"/>
        <v>GEEQUSDT</v>
      </c>
      <c r="E1501" s="125" t="e">
        <f ca="1">VLOOKUP(D1501,'Курсы Бинанса'!B:C,2,FALSE)</f>
        <v>#N/A</v>
      </c>
    </row>
    <row r="1502" spans="1:5">
      <c r="A1502" s="121">
        <v>1500</v>
      </c>
      <c r="B1502" s="123" t="s">
        <v>10924</v>
      </c>
      <c r="C1502" s="123" t="s">
        <v>10925</v>
      </c>
      <c r="D1502" s="124" t="str">
        <f t="shared" si="23"/>
        <v>ZXCUSDT</v>
      </c>
      <c r="E1502" s="125" t="e">
        <f ca="1">VLOOKUP(D1502,'Курсы Бинанса'!B:C,2,FALSE)</f>
        <v>#N/A</v>
      </c>
    </row>
    <row r="1503" spans="1:5">
      <c r="A1503" s="121">
        <v>1501</v>
      </c>
      <c r="B1503" s="123" t="s">
        <v>10926</v>
      </c>
      <c r="C1503" s="123" t="s">
        <v>10927</v>
      </c>
      <c r="D1503" s="124" t="str">
        <f t="shared" si="23"/>
        <v>MINTMEUSDT</v>
      </c>
      <c r="E1503" s="125" t="e">
        <f ca="1">VLOOKUP(D1503,'Курсы Бинанса'!B:C,2,FALSE)</f>
        <v>#N/A</v>
      </c>
    </row>
    <row r="1504" spans="1:5">
      <c r="A1504" s="121">
        <v>1502</v>
      </c>
      <c r="B1504" s="123" t="s">
        <v>10928</v>
      </c>
      <c r="C1504" s="123" t="s">
        <v>10929</v>
      </c>
      <c r="D1504" s="124" t="str">
        <f t="shared" si="23"/>
        <v>ETZUSDT</v>
      </c>
      <c r="E1504" s="125" t="e">
        <f ca="1">VLOOKUP(D1504,'Курсы Бинанса'!B:C,2,FALSE)</f>
        <v>#N/A</v>
      </c>
    </row>
    <row r="1505" spans="1:5">
      <c r="A1505" s="121">
        <v>1503</v>
      </c>
      <c r="B1505" s="123" t="s">
        <v>10930</v>
      </c>
      <c r="C1505" s="123" t="s">
        <v>10931</v>
      </c>
      <c r="D1505" s="124" t="str">
        <f t="shared" si="23"/>
        <v>MFTUSDT</v>
      </c>
      <c r="E1505" s="125" t="e">
        <f ca="1">VLOOKUP(D1505,'Курсы Бинанса'!B:C,2,FALSE)</f>
        <v>#N/A</v>
      </c>
    </row>
    <row r="1506" spans="1:5">
      <c r="A1506" s="121">
        <v>1504</v>
      </c>
      <c r="B1506" s="123" t="s">
        <v>10932</v>
      </c>
      <c r="C1506" s="123" t="s">
        <v>10933</v>
      </c>
      <c r="D1506" s="124" t="str">
        <f t="shared" ref="D1506:D1569" si="24">CONCATENATE(C1506,"USDT")</f>
        <v>BLINKUSDT</v>
      </c>
      <c r="E1506" s="125" t="e">
        <f ca="1">VLOOKUP(D1506,'Курсы Бинанса'!B:C,2,FALSE)</f>
        <v>#N/A</v>
      </c>
    </row>
    <row r="1507" spans="1:5">
      <c r="A1507" s="121">
        <v>1505</v>
      </c>
      <c r="B1507" s="123" t="s">
        <v>10934</v>
      </c>
      <c r="C1507" s="123" t="s">
        <v>10935</v>
      </c>
      <c r="D1507" s="124" t="str">
        <f t="shared" si="24"/>
        <v>DEVUSDT</v>
      </c>
      <c r="E1507" s="125" t="e">
        <f ca="1">VLOOKUP(D1507,'Курсы Бинанса'!B:C,2,FALSE)</f>
        <v>#N/A</v>
      </c>
    </row>
    <row r="1508" spans="1:5">
      <c r="A1508" s="121">
        <v>1506</v>
      </c>
      <c r="B1508" s="123" t="s">
        <v>10936</v>
      </c>
      <c r="C1508" s="123" t="s">
        <v>10937</v>
      </c>
      <c r="D1508" s="124" t="str">
        <f t="shared" si="24"/>
        <v>DENTUSDT</v>
      </c>
      <c r="E1508" s="125" t="e">
        <f ca="1">VLOOKUP(D1508,'Курсы Бинанса'!B:C,2,FALSE)</f>
        <v>#N/A</v>
      </c>
    </row>
    <row r="1509" spans="1:5">
      <c r="A1509" s="121">
        <v>1507</v>
      </c>
      <c r="B1509" s="123" t="s">
        <v>10938</v>
      </c>
      <c r="C1509" s="123" t="s">
        <v>10939</v>
      </c>
      <c r="D1509" s="124" t="str">
        <f t="shared" si="24"/>
        <v>RAIUSDT</v>
      </c>
      <c r="E1509" s="125" t="e">
        <f ca="1">VLOOKUP(D1509,'Курсы Бинанса'!B:C,2,FALSE)</f>
        <v>#N/A</v>
      </c>
    </row>
    <row r="1510" spans="1:5">
      <c r="A1510" s="121">
        <v>1508</v>
      </c>
      <c r="B1510" s="123" t="s">
        <v>10940</v>
      </c>
      <c r="C1510" s="123" t="s">
        <v>10941</v>
      </c>
      <c r="D1510" s="124" t="str">
        <f t="shared" si="24"/>
        <v>TTNUSDT</v>
      </c>
      <c r="E1510" s="125" t="e">
        <f ca="1">VLOOKUP(D1510,'Курсы Бинанса'!B:C,2,FALSE)</f>
        <v>#N/A</v>
      </c>
    </row>
    <row r="1511" spans="1:5">
      <c r="A1511" s="121">
        <v>1509</v>
      </c>
      <c r="B1511" s="123" t="s">
        <v>10942</v>
      </c>
      <c r="C1511" s="123" t="s">
        <v>10943</v>
      </c>
      <c r="D1511" s="124" t="str">
        <f t="shared" si="24"/>
        <v>YAPUSDT</v>
      </c>
      <c r="E1511" s="125" t="e">
        <f ca="1">VLOOKUP(D1511,'Курсы Бинанса'!B:C,2,FALSE)</f>
        <v>#N/A</v>
      </c>
    </row>
    <row r="1512" spans="1:5">
      <c r="A1512" s="121">
        <v>1510</v>
      </c>
      <c r="B1512" s="123" t="s">
        <v>10944</v>
      </c>
      <c r="C1512" s="123" t="s">
        <v>10945</v>
      </c>
      <c r="D1512" s="124" t="str">
        <f t="shared" si="24"/>
        <v>HORUSUSDT</v>
      </c>
      <c r="E1512" s="125" t="e">
        <f ca="1">VLOOKUP(D1512,'Курсы Бинанса'!B:C,2,FALSE)</f>
        <v>#N/A</v>
      </c>
    </row>
    <row r="1513" spans="1:5">
      <c r="A1513" s="121">
        <v>1511</v>
      </c>
      <c r="B1513" s="123" t="s">
        <v>10946</v>
      </c>
      <c r="C1513" s="123" t="s">
        <v>10947</v>
      </c>
      <c r="D1513" s="124" t="str">
        <f t="shared" si="24"/>
        <v>COFIUSDT</v>
      </c>
      <c r="E1513" s="125" t="e">
        <f ca="1">VLOOKUP(D1513,'Курсы Бинанса'!B:C,2,FALSE)</f>
        <v>#N/A</v>
      </c>
    </row>
    <row r="1514" spans="1:5">
      <c r="A1514" s="121">
        <v>1512</v>
      </c>
      <c r="B1514" s="123" t="s">
        <v>10948</v>
      </c>
      <c r="C1514" s="123" t="s">
        <v>10949</v>
      </c>
      <c r="D1514" s="124" t="str">
        <f t="shared" si="24"/>
        <v>EXEUSDT</v>
      </c>
      <c r="E1514" s="125" t="e">
        <f ca="1">VLOOKUP(D1514,'Курсы Бинанса'!B:C,2,FALSE)</f>
        <v>#N/A</v>
      </c>
    </row>
    <row r="1515" spans="1:5">
      <c r="A1515" s="121">
        <v>1513</v>
      </c>
      <c r="B1515" s="123" t="s">
        <v>10950</v>
      </c>
      <c r="C1515" s="123" t="s">
        <v>10951</v>
      </c>
      <c r="D1515" s="124" t="str">
        <f t="shared" si="24"/>
        <v>HQXUSDT</v>
      </c>
      <c r="E1515" s="125" t="e">
        <f ca="1">VLOOKUP(D1515,'Курсы Бинанса'!B:C,2,FALSE)</f>
        <v>#N/A</v>
      </c>
    </row>
    <row r="1516" spans="1:5">
      <c r="A1516" s="121">
        <v>1514</v>
      </c>
      <c r="B1516" s="123" t="s">
        <v>10952</v>
      </c>
      <c r="C1516" s="123" t="s">
        <v>10953</v>
      </c>
      <c r="D1516" s="124" t="str">
        <f t="shared" si="24"/>
        <v>SUREUSDT</v>
      </c>
      <c r="E1516" s="125" t="e">
        <f ca="1">VLOOKUP(D1516,'Курсы Бинанса'!B:C,2,FALSE)</f>
        <v>#N/A</v>
      </c>
    </row>
    <row r="1517" spans="1:5">
      <c r="A1517" s="121">
        <v>1515</v>
      </c>
      <c r="B1517" s="123" t="s">
        <v>10954</v>
      </c>
      <c r="C1517" s="123" t="s">
        <v>10955</v>
      </c>
      <c r="D1517" s="124" t="str">
        <f t="shared" si="24"/>
        <v>RDDUSDT</v>
      </c>
      <c r="E1517" s="125" t="e">
        <f ca="1">VLOOKUP(D1517,'Курсы Бинанса'!B:C,2,FALSE)</f>
        <v>#N/A</v>
      </c>
    </row>
    <row r="1518" spans="1:5">
      <c r="A1518" s="121">
        <v>1516</v>
      </c>
      <c r="B1518" s="123" t="s">
        <v>10956</v>
      </c>
      <c r="C1518" s="123" t="s">
        <v>10957</v>
      </c>
      <c r="D1518" s="124" t="str">
        <f t="shared" si="24"/>
        <v>APLUSDT</v>
      </c>
      <c r="E1518" s="125" t="e">
        <f ca="1">VLOOKUP(D1518,'Курсы Бинанса'!B:C,2,FALSE)</f>
        <v>#N/A</v>
      </c>
    </row>
    <row r="1519" spans="1:5">
      <c r="A1519" s="121">
        <v>1517</v>
      </c>
      <c r="B1519" s="123" t="s">
        <v>10958</v>
      </c>
      <c r="C1519" s="123" t="s">
        <v>10959</v>
      </c>
      <c r="D1519" s="124" t="str">
        <f t="shared" si="24"/>
        <v>SUPERUSDT</v>
      </c>
      <c r="E1519" s="125" t="e">
        <f ca="1">VLOOKUP(D1519,'Курсы Бинанса'!B:C,2,FALSE)</f>
        <v>#N/A</v>
      </c>
    </row>
    <row r="1520" spans="1:5">
      <c r="A1520" s="121">
        <v>1518</v>
      </c>
      <c r="B1520" s="123" t="s">
        <v>10960</v>
      </c>
      <c r="C1520" s="123" t="s">
        <v>10961</v>
      </c>
      <c r="D1520" s="124" t="str">
        <f t="shared" si="24"/>
        <v>GMBUSDT</v>
      </c>
      <c r="E1520" s="125" t="e">
        <f ca="1">VLOOKUP(D1520,'Курсы Бинанса'!B:C,2,FALSE)</f>
        <v>#N/A</v>
      </c>
    </row>
    <row r="1521" spans="1:5">
      <c r="A1521" s="121">
        <v>1519</v>
      </c>
      <c r="B1521" s="123" t="s">
        <v>10962</v>
      </c>
      <c r="C1521" s="123" t="s">
        <v>10963</v>
      </c>
      <c r="D1521" s="124" t="str">
        <f t="shared" si="24"/>
        <v>ESSUSDT</v>
      </c>
      <c r="E1521" s="125" t="e">
        <f ca="1">VLOOKUP(D1521,'Курсы Бинанса'!B:C,2,FALSE)</f>
        <v>#N/A</v>
      </c>
    </row>
    <row r="1522" spans="1:5">
      <c r="A1522" s="121">
        <v>1520</v>
      </c>
      <c r="B1522" s="123" t="s">
        <v>10964</v>
      </c>
      <c r="C1522" s="123" t="s">
        <v>10957</v>
      </c>
      <c r="D1522" s="124" t="str">
        <f t="shared" si="24"/>
        <v>APLUSDT</v>
      </c>
      <c r="E1522" s="125" t="e">
        <f ca="1">VLOOKUP(D1522,'Курсы Бинанса'!B:C,2,FALSE)</f>
        <v>#N/A</v>
      </c>
    </row>
    <row r="1523" spans="1:5">
      <c r="A1523" s="121">
        <v>1521</v>
      </c>
      <c r="B1523" s="123" t="s">
        <v>10965</v>
      </c>
      <c r="C1523" s="123" t="s">
        <v>10966</v>
      </c>
      <c r="D1523" s="124" t="str">
        <f t="shared" si="24"/>
        <v>BCVUSDT</v>
      </c>
      <c r="E1523" s="125" t="e">
        <f ca="1">VLOOKUP(D1523,'Курсы Бинанса'!B:C,2,FALSE)</f>
        <v>#N/A</v>
      </c>
    </row>
    <row r="1524" spans="1:5">
      <c r="A1524" s="121">
        <v>1522</v>
      </c>
      <c r="B1524" s="123" t="s">
        <v>10967</v>
      </c>
      <c r="C1524" s="123" t="s">
        <v>10968</v>
      </c>
      <c r="D1524" s="124" t="str">
        <f t="shared" si="24"/>
        <v>ROADUSDT</v>
      </c>
      <c r="E1524" s="125" t="e">
        <f ca="1">VLOOKUP(D1524,'Курсы Бинанса'!B:C,2,FALSE)</f>
        <v>#N/A</v>
      </c>
    </row>
    <row r="1525" spans="1:5">
      <c r="A1525" s="121">
        <v>1523</v>
      </c>
      <c r="B1525" s="123" t="s">
        <v>10961</v>
      </c>
      <c r="C1525" s="123" t="s">
        <v>10961</v>
      </c>
      <c r="D1525" s="124" t="str">
        <f t="shared" si="24"/>
        <v>GMBUSDT</v>
      </c>
      <c r="E1525" s="125" t="e">
        <f ca="1">VLOOKUP(D1525,'Курсы Бинанса'!B:C,2,FALSE)</f>
        <v>#N/A</v>
      </c>
    </row>
    <row r="1526" spans="1:5">
      <c r="A1526" s="121">
        <v>1524</v>
      </c>
      <c r="B1526" s="123" t="s">
        <v>10969</v>
      </c>
      <c r="C1526" s="123" t="s">
        <v>10970</v>
      </c>
      <c r="D1526" s="124" t="str">
        <f t="shared" si="24"/>
        <v>BETUSDT</v>
      </c>
      <c r="E1526" s="125" t="e">
        <f ca="1">VLOOKUP(D1526,'Курсы Бинанса'!B:C,2,FALSE)</f>
        <v>#N/A</v>
      </c>
    </row>
    <row r="1527" spans="1:5">
      <c r="A1527" s="121">
        <v>1525</v>
      </c>
      <c r="B1527" s="123" t="s">
        <v>10971</v>
      </c>
      <c r="C1527" s="123" t="s">
        <v>10972</v>
      </c>
      <c r="D1527" s="124" t="str">
        <f t="shared" si="24"/>
        <v>ASKUSDT</v>
      </c>
      <c r="E1527" s="125" t="e">
        <f ca="1">VLOOKUP(D1527,'Курсы Бинанса'!B:C,2,FALSE)</f>
        <v>#N/A</v>
      </c>
    </row>
    <row r="1528" spans="1:5">
      <c r="A1528" s="121">
        <v>1526</v>
      </c>
      <c r="B1528" s="123" t="s">
        <v>10973</v>
      </c>
      <c r="C1528" s="123" t="s">
        <v>10973</v>
      </c>
      <c r="D1528" s="124" t="str">
        <f t="shared" si="24"/>
        <v>VIDYUSDT</v>
      </c>
      <c r="E1528" s="125" t="e">
        <f ca="1">VLOOKUP(D1528,'Курсы Бинанса'!B:C,2,FALSE)</f>
        <v>#N/A</v>
      </c>
    </row>
    <row r="1529" spans="1:5">
      <c r="A1529" s="121">
        <v>1527</v>
      </c>
      <c r="B1529" s="123" t="s">
        <v>10974</v>
      </c>
      <c r="C1529" s="123" t="s">
        <v>10975</v>
      </c>
      <c r="D1529" s="124" t="str">
        <f t="shared" si="24"/>
        <v>BIRDUSDT</v>
      </c>
      <c r="E1529" s="125" t="e">
        <f ca="1">VLOOKUP(D1529,'Курсы Бинанса'!B:C,2,FALSE)</f>
        <v>#N/A</v>
      </c>
    </row>
    <row r="1530" spans="1:5">
      <c r="A1530" s="121">
        <v>1528</v>
      </c>
      <c r="B1530" s="123" t="s">
        <v>10976</v>
      </c>
      <c r="C1530" s="123" t="s">
        <v>10977</v>
      </c>
      <c r="D1530" s="124" t="str">
        <f t="shared" si="24"/>
        <v>BIFIUSDT</v>
      </c>
      <c r="E1530" s="125" t="e">
        <f ca="1">VLOOKUP(D1530,'Курсы Бинанса'!B:C,2,FALSE)</f>
        <v>#N/A</v>
      </c>
    </row>
    <row r="1531" spans="1:5">
      <c r="A1531" s="121">
        <v>1529</v>
      </c>
      <c r="B1531" s="123" t="s">
        <v>10978</v>
      </c>
      <c r="C1531" s="123" t="s">
        <v>10979</v>
      </c>
      <c r="D1531" s="124" t="str">
        <f t="shared" si="24"/>
        <v>SKMUSDT</v>
      </c>
      <c r="E1531" s="125" t="e">
        <f ca="1">VLOOKUP(D1531,'Курсы Бинанса'!B:C,2,FALSE)</f>
        <v>#N/A</v>
      </c>
    </row>
    <row r="1532" spans="1:5">
      <c r="A1532" s="121">
        <v>1530</v>
      </c>
      <c r="B1532" s="123" t="s">
        <v>10980</v>
      </c>
      <c r="C1532" s="123" t="s">
        <v>10981</v>
      </c>
      <c r="D1532" s="124" t="str">
        <f t="shared" si="24"/>
        <v>XAMPUSDT</v>
      </c>
      <c r="E1532" s="125" t="e">
        <f ca="1">VLOOKUP(D1532,'Курсы Бинанса'!B:C,2,FALSE)</f>
        <v>#N/A</v>
      </c>
    </row>
    <row r="1533" spans="1:5">
      <c r="A1533" s="121">
        <v>1531</v>
      </c>
      <c r="B1533" s="123" t="s">
        <v>10982</v>
      </c>
      <c r="C1533" s="123" t="s">
        <v>10983</v>
      </c>
      <c r="D1533" s="124" t="str">
        <f t="shared" si="24"/>
        <v>EKOUSDT</v>
      </c>
      <c r="E1533" s="125" t="e">
        <f ca="1">VLOOKUP(D1533,'Курсы Бинанса'!B:C,2,FALSE)</f>
        <v>#N/A</v>
      </c>
    </row>
    <row r="1534" spans="1:5">
      <c r="A1534" s="121">
        <v>1532</v>
      </c>
      <c r="B1534" s="123" t="s">
        <v>10984</v>
      </c>
      <c r="C1534" s="123" t="s">
        <v>10975</v>
      </c>
      <c r="D1534" s="124" t="str">
        <f t="shared" si="24"/>
        <v>BIRDUSDT</v>
      </c>
      <c r="E1534" s="125" t="e">
        <f ca="1">VLOOKUP(D1534,'Курсы Бинанса'!B:C,2,FALSE)</f>
        <v>#N/A</v>
      </c>
    </row>
    <row r="1535" spans="1:5">
      <c r="A1535" s="121">
        <v>1533</v>
      </c>
      <c r="B1535" s="123" t="s">
        <v>10985</v>
      </c>
      <c r="C1535" s="123" t="s">
        <v>10986</v>
      </c>
      <c r="D1535" s="124" t="str">
        <f t="shared" si="24"/>
        <v>SNOVUSDT</v>
      </c>
      <c r="E1535" s="125" t="e">
        <f ca="1">VLOOKUP(D1535,'Курсы Бинанса'!B:C,2,FALSE)</f>
        <v>#N/A</v>
      </c>
    </row>
    <row r="1536" spans="1:5">
      <c r="A1536" s="121">
        <v>1534</v>
      </c>
      <c r="B1536" s="123" t="s">
        <v>10987</v>
      </c>
      <c r="C1536" s="123" t="s">
        <v>10988</v>
      </c>
      <c r="D1536" s="124" t="str">
        <f t="shared" si="24"/>
        <v>LGCYUSDT</v>
      </c>
      <c r="E1536" s="125" t="e">
        <f ca="1">VLOOKUP(D1536,'Курсы Бинанса'!B:C,2,FALSE)</f>
        <v>#N/A</v>
      </c>
    </row>
    <row r="1537" spans="1:5">
      <c r="A1537" s="121">
        <v>1535</v>
      </c>
      <c r="B1537" s="123" t="s">
        <v>10989</v>
      </c>
      <c r="C1537" s="123" t="s">
        <v>10990</v>
      </c>
      <c r="D1537" s="124" t="str">
        <f t="shared" si="24"/>
        <v>CNTRUSDT</v>
      </c>
      <c r="E1537" s="125" t="e">
        <f ca="1">VLOOKUP(D1537,'Курсы Бинанса'!B:C,2,FALSE)</f>
        <v>#N/A</v>
      </c>
    </row>
    <row r="1538" spans="1:5">
      <c r="A1538" s="121">
        <v>1536</v>
      </c>
      <c r="B1538" s="123" t="s">
        <v>10991</v>
      </c>
      <c r="C1538" s="123" t="s">
        <v>10992</v>
      </c>
      <c r="D1538" s="124" t="str">
        <f t="shared" si="24"/>
        <v>NAXUSDT</v>
      </c>
      <c r="E1538" s="125" t="e">
        <f ca="1">VLOOKUP(D1538,'Курсы Бинанса'!B:C,2,FALSE)</f>
        <v>#N/A</v>
      </c>
    </row>
    <row r="1539" spans="1:5">
      <c r="A1539" s="121">
        <v>1537</v>
      </c>
      <c r="B1539" s="123" t="s">
        <v>10993</v>
      </c>
      <c r="C1539" s="123" t="s">
        <v>10994</v>
      </c>
      <c r="D1539" s="124" t="str">
        <f t="shared" si="24"/>
        <v>LXTUSDT</v>
      </c>
      <c r="E1539" s="125" t="e">
        <f ca="1">VLOOKUP(D1539,'Курсы Бинанса'!B:C,2,FALSE)</f>
        <v>#N/A</v>
      </c>
    </row>
    <row r="1540" spans="1:5">
      <c r="A1540" s="121">
        <v>1538</v>
      </c>
      <c r="B1540" s="123" t="s">
        <v>10995</v>
      </c>
      <c r="C1540" s="123" t="s">
        <v>10996</v>
      </c>
      <c r="D1540" s="124" t="str">
        <f t="shared" si="24"/>
        <v>ADBUSDT</v>
      </c>
      <c r="E1540" s="125" t="e">
        <f ca="1">VLOOKUP(D1540,'Курсы Бинанса'!B:C,2,FALSE)</f>
        <v>#N/A</v>
      </c>
    </row>
    <row r="1541" spans="1:5">
      <c r="A1541" s="121">
        <v>1539</v>
      </c>
      <c r="B1541" s="123" t="s">
        <v>10997</v>
      </c>
      <c r="C1541" s="123" t="s">
        <v>10998</v>
      </c>
      <c r="D1541" s="124" t="str">
        <f t="shared" si="24"/>
        <v>DVPUSDT</v>
      </c>
      <c r="E1541" s="125" t="e">
        <f ca="1">VLOOKUP(D1541,'Курсы Бинанса'!B:C,2,FALSE)</f>
        <v>#N/A</v>
      </c>
    </row>
    <row r="1542" spans="1:5">
      <c r="A1542" s="121">
        <v>1540</v>
      </c>
      <c r="B1542" s="123" t="s">
        <v>10999</v>
      </c>
      <c r="C1542" s="123" t="s">
        <v>11000</v>
      </c>
      <c r="D1542" s="124" t="str">
        <f t="shared" si="24"/>
        <v>NCCUSDT</v>
      </c>
      <c r="E1542" s="125" t="e">
        <f ca="1">VLOOKUP(D1542,'Курсы Бинанса'!B:C,2,FALSE)</f>
        <v>#N/A</v>
      </c>
    </row>
    <row r="1543" spans="1:5">
      <c r="A1543" s="121">
        <v>1541</v>
      </c>
      <c r="B1543" s="123" t="s">
        <v>11001</v>
      </c>
      <c r="C1543" s="123" t="s">
        <v>11002</v>
      </c>
      <c r="D1543" s="124" t="str">
        <f t="shared" si="24"/>
        <v>DEBUSDT</v>
      </c>
      <c r="E1543" s="125" t="e">
        <f ca="1">VLOOKUP(D1543,'Курсы Бинанса'!B:C,2,FALSE)</f>
        <v>#N/A</v>
      </c>
    </row>
    <row r="1544" spans="1:5">
      <c r="A1544" s="121">
        <v>1542</v>
      </c>
      <c r="B1544" s="123" t="s">
        <v>11003</v>
      </c>
      <c r="C1544" s="123" t="s">
        <v>11004</v>
      </c>
      <c r="D1544" s="124" t="str">
        <f t="shared" si="24"/>
        <v>BLUUSDT</v>
      </c>
      <c r="E1544" s="125" t="e">
        <f ca="1">VLOOKUP(D1544,'Курсы Бинанса'!B:C,2,FALSE)</f>
        <v>#N/A</v>
      </c>
    </row>
    <row r="1545" spans="1:5">
      <c r="A1545" s="121">
        <v>1543</v>
      </c>
      <c r="B1545" s="123" t="s">
        <v>11005</v>
      </c>
      <c r="C1545" s="123" t="s">
        <v>11006</v>
      </c>
      <c r="D1545" s="124" t="str">
        <f t="shared" si="24"/>
        <v>LMYUSDT</v>
      </c>
      <c r="E1545" s="125" t="e">
        <f ca="1">VLOOKUP(D1545,'Курсы Бинанса'!B:C,2,FALSE)</f>
        <v>#N/A</v>
      </c>
    </row>
    <row r="1546" spans="1:5">
      <c r="A1546" s="121">
        <v>1544</v>
      </c>
      <c r="B1546" s="123" t="s">
        <v>11007</v>
      </c>
      <c r="C1546" s="123" t="s">
        <v>11008</v>
      </c>
      <c r="D1546" s="124" t="str">
        <f t="shared" si="24"/>
        <v>MYBUSDT</v>
      </c>
      <c r="E1546" s="125" t="e">
        <f ca="1">VLOOKUP(D1546,'Курсы Бинанса'!B:C,2,FALSE)</f>
        <v>#N/A</v>
      </c>
    </row>
    <row r="1547" spans="1:5">
      <c r="A1547" s="121">
        <v>1545</v>
      </c>
      <c r="B1547" s="123" t="s">
        <v>11009</v>
      </c>
      <c r="C1547" s="123" t="s">
        <v>11010</v>
      </c>
      <c r="D1547" s="124" t="str">
        <f t="shared" si="24"/>
        <v>EDRUSDT</v>
      </c>
      <c r="E1547" s="125" t="e">
        <f ca="1">VLOOKUP(D1547,'Курсы Бинанса'!B:C,2,FALSE)</f>
        <v>#N/A</v>
      </c>
    </row>
    <row r="1548" spans="1:5">
      <c r="A1548" s="121">
        <v>1546</v>
      </c>
      <c r="B1548" s="123" t="s">
        <v>11011</v>
      </c>
      <c r="C1548" s="123" t="s">
        <v>11011</v>
      </c>
      <c r="D1548" s="124" t="str">
        <f t="shared" si="24"/>
        <v>TOPUSDT</v>
      </c>
      <c r="E1548" s="125" t="e">
        <f ca="1">VLOOKUP(D1548,'Курсы Бинанса'!B:C,2,FALSE)</f>
        <v>#N/A</v>
      </c>
    </row>
    <row r="1549" spans="1:5">
      <c r="A1549" s="121">
        <v>1547</v>
      </c>
      <c r="B1549" s="123" t="s">
        <v>11012</v>
      </c>
      <c r="C1549" s="123" t="s">
        <v>11013</v>
      </c>
      <c r="D1549" s="124" t="str">
        <f t="shared" si="24"/>
        <v>BBCUSDT</v>
      </c>
      <c r="E1549" s="125" t="e">
        <f ca="1">VLOOKUP(D1549,'Курсы Бинанса'!B:C,2,FALSE)</f>
        <v>#N/A</v>
      </c>
    </row>
    <row r="1550" spans="1:5">
      <c r="A1550" s="121">
        <v>1548</v>
      </c>
      <c r="B1550" s="123" t="s">
        <v>11014</v>
      </c>
      <c r="C1550" s="123" t="s">
        <v>11015</v>
      </c>
      <c r="D1550" s="124" t="str">
        <f t="shared" si="24"/>
        <v>XRCUSDT</v>
      </c>
      <c r="E1550" s="125" t="e">
        <f ca="1">VLOOKUP(D1550,'Курсы Бинанса'!B:C,2,FALSE)</f>
        <v>#N/A</v>
      </c>
    </row>
    <row r="1551" spans="1:5">
      <c r="A1551" s="121">
        <v>1549</v>
      </c>
      <c r="B1551" s="123" t="s">
        <v>11016</v>
      </c>
      <c r="C1551" s="123" t="s">
        <v>11017</v>
      </c>
      <c r="D1551" s="124" t="str">
        <f t="shared" si="24"/>
        <v>AIDOCUSDT</v>
      </c>
      <c r="E1551" s="125" t="e">
        <f ca="1">VLOOKUP(D1551,'Курсы Бинанса'!B:C,2,FALSE)</f>
        <v>#N/A</v>
      </c>
    </row>
    <row r="1552" spans="1:5">
      <c r="A1552" s="121">
        <v>1550</v>
      </c>
      <c r="B1552" s="123" t="s">
        <v>11018</v>
      </c>
      <c r="C1552" s="123" t="s">
        <v>11019</v>
      </c>
      <c r="D1552" s="124" t="str">
        <f t="shared" si="24"/>
        <v>TZCUSDT</v>
      </c>
      <c r="E1552" s="125" t="e">
        <f ca="1">VLOOKUP(D1552,'Курсы Бинанса'!B:C,2,FALSE)</f>
        <v>#N/A</v>
      </c>
    </row>
    <row r="1553" spans="1:5">
      <c r="A1553" s="121">
        <v>1551</v>
      </c>
      <c r="B1553" s="123" t="s">
        <v>11020</v>
      </c>
      <c r="C1553" s="123" t="s">
        <v>11021</v>
      </c>
      <c r="D1553" s="124" t="str">
        <f t="shared" si="24"/>
        <v>ATUSDT</v>
      </c>
      <c r="E1553" s="125" t="e">
        <f ca="1">VLOOKUP(D1553,'Курсы Бинанса'!B:C,2,FALSE)</f>
        <v>#N/A</v>
      </c>
    </row>
    <row r="1554" spans="1:5">
      <c r="A1554" s="121">
        <v>1552</v>
      </c>
      <c r="B1554" s="123" t="s">
        <v>11022</v>
      </c>
      <c r="C1554" s="123" t="s">
        <v>11023</v>
      </c>
      <c r="D1554" s="124" t="str">
        <f t="shared" si="24"/>
        <v>DEXTUSDT</v>
      </c>
      <c r="E1554" s="125" t="e">
        <f ca="1">VLOOKUP(D1554,'Курсы Бинанса'!B:C,2,FALSE)</f>
        <v>#N/A</v>
      </c>
    </row>
    <row r="1555" spans="1:5">
      <c r="A1555" s="121">
        <v>1553</v>
      </c>
      <c r="B1555" s="123" t="s">
        <v>11024</v>
      </c>
      <c r="C1555" s="123" t="s">
        <v>11025</v>
      </c>
      <c r="D1555" s="124" t="str">
        <f t="shared" si="24"/>
        <v>VESTUSDT</v>
      </c>
      <c r="E1555" s="125" t="e">
        <f ca="1">VLOOKUP(D1555,'Курсы Бинанса'!B:C,2,FALSE)</f>
        <v>#N/A</v>
      </c>
    </row>
    <row r="1556" spans="1:5">
      <c r="A1556" s="121">
        <v>1554</v>
      </c>
      <c r="B1556" s="123" t="s">
        <v>11026</v>
      </c>
      <c r="C1556" s="123" t="s">
        <v>11027</v>
      </c>
      <c r="D1556" s="124" t="str">
        <f t="shared" si="24"/>
        <v>CONUSDT</v>
      </c>
      <c r="E1556" s="125" t="e">
        <f ca="1">VLOOKUP(D1556,'Курсы Бинанса'!B:C,2,FALSE)</f>
        <v>#N/A</v>
      </c>
    </row>
    <row r="1557" spans="1:5">
      <c r="A1557" s="121">
        <v>1555</v>
      </c>
      <c r="B1557" s="123" t="s">
        <v>11028</v>
      </c>
      <c r="C1557" s="123" t="s">
        <v>11029</v>
      </c>
      <c r="D1557" s="124" t="str">
        <f t="shared" si="24"/>
        <v>SPHUSDT</v>
      </c>
      <c r="E1557" s="125" t="e">
        <f ca="1">VLOOKUP(D1557,'Курсы Бинанса'!B:C,2,FALSE)</f>
        <v>#N/A</v>
      </c>
    </row>
    <row r="1558" spans="1:5">
      <c r="A1558" s="121">
        <v>1556</v>
      </c>
      <c r="B1558" s="123" t="s">
        <v>11030</v>
      </c>
      <c r="C1558" s="123" t="s">
        <v>11031</v>
      </c>
      <c r="D1558" s="124" t="str">
        <f t="shared" si="24"/>
        <v>TROLLUSDT</v>
      </c>
      <c r="E1558" s="125" t="e">
        <f ca="1">VLOOKUP(D1558,'Курсы Бинанса'!B:C,2,FALSE)</f>
        <v>#N/A</v>
      </c>
    </row>
    <row r="1559" spans="1:5">
      <c r="A1559" s="121">
        <v>1557</v>
      </c>
      <c r="B1559" s="123" t="s">
        <v>11032</v>
      </c>
      <c r="C1559" s="123" t="s">
        <v>11033</v>
      </c>
      <c r="D1559" s="124" t="str">
        <f t="shared" si="24"/>
        <v>FYDUSDT</v>
      </c>
      <c r="E1559" s="125" t="e">
        <f ca="1">VLOOKUP(D1559,'Курсы Бинанса'!B:C,2,FALSE)</f>
        <v>#N/A</v>
      </c>
    </row>
    <row r="1560" spans="1:5">
      <c r="A1560" s="121">
        <v>1558</v>
      </c>
      <c r="B1560" s="123" t="s">
        <v>11034</v>
      </c>
      <c r="C1560" s="123" t="s">
        <v>11035</v>
      </c>
      <c r="D1560" s="124" t="str">
        <f t="shared" si="24"/>
        <v>XBYUSDT</v>
      </c>
      <c r="E1560" s="125" t="e">
        <f ca="1">VLOOKUP(D1560,'Курсы Бинанса'!B:C,2,FALSE)</f>
        <v>#N/A</v>
      </c>
    </row>
    <row r="1561" spans="1:5">
      <c r="A1561" s="121">
        <v>1559</v>
      </c>
      <c r="B1561" s="123" t="s">
        <v>11036</v>
      </c>
      <c r="C1561" s="123" t="s">
        <v>11037</v>
      </c>
      <c r="D1561" s="124" t="str">
        <f t="shared" si="24"/>
        <v>FDZUSDT</v>
      </c>
      <c r="E1561" s="125" t="e">
        <f ca="1">VLOOKUP(D1561,'Курсы Бинанса'!B:C,2,FALSE)</f>
        <v>#N/A</v>
      </c>
    </row>
    <row r="1562" spans="1:5">
      <c r="A1562" s="121">
        <v>1560</v>
      </c>
      <c r="B1562" s="123" t="s">
        <v>11038</v>
      </c>
      <c r="C1562" s="123" t="s">
        <v>11039</v>
      </c>
      <c r="D1562" s="124" t="str">
        <f t="shared" si="24"/>
        <v>RNTUSDT</v>
      </c>
      <c r="E1562" s="125" t="e">
        <f ca="1">VLOOKUP(D1562,'Курсы Бинанса'!B:C,2,FALSE)</f>
        <v>#N/A</v>
      </c>
    </row>
    <row r="1563" spans="1:5">
      <c r="A1563" s="121">
        <v>1561</v>
      </c>
      <c r="B1563" s="123" t="s">
        <v>11040</v>
      </c>
      <c r="C1563" s="123" t="s">
        <v>11041</v>
      </c>
      <c r="D1563" s="124" t="str">
        <f t="shared" si="24"/>
        <v>DACUSDT</v>
      </c>
      <c r="E1563" s="125" t="e">
        <f ca="1">VLOOKUP(D1563,'Курсы Бинанса'!B:C,2,FALSE)</f>
        <v>#N/A</v>
      </c>
    </row>
    <row r="1564" spans="1:5">
      <c r="A1564" s="121">
        <v>1562</v>
      </c>
      <c r="B1564" s="123" t="s">
        <v>11042</v>
      </c>
      <c r="C1564" s="123" t="s">
        <v>11043</v>
      </c>
      <c r="D1564" s="124" t="str">
        <f t="shared" si="24"/>
        <v>NCASHUSDT</v>
      </c>
      <c r="E1564" s="125" t="e">
        <f ca="1">VLOOKUP(D1564,'Курсы Бинанса'!B:C,2,FALSE)</f>
        <v>#N/A</v>
      </c>
    </row>
    <row r="1565" spans="1:5">
      <c r="A1565" s="121">
        <v>1563</v>
      </c>
      <c r="B1565" s="123" t="s">
        <v>11044</v>
      </c>
      <c r="C1565" s="123" t="s">
        <v>11045</v>
      </c>
      <c r="D1565" s="124" t="str">
        <f t="shared" si="24"/>
        <v>TMTGUSDT</v>
      </c>
      <c r="E1565" s="125" t="e">
        <f ca="1">VLOOKUP(D1565,'Курсы Бинанса'!B:C,2,FALSE)</f>
        <v>#N/A</v>
      </c>
    </row>
    <row r="1566" spans="1:5">
      <c r="A1566" s="121">
        <v>1564</v>
      </c>
      <c r="B1566" s="123" t="s">
        <v>11046</v>
      </c>
      <c r="C1566" s="123" t="s">
        <v>11047</v>
      </c>
      <c r="D1566" s="124" t="str">
        <f t="shared" si="24"/>
        <v>BOXUSDT</v>
      </c>
      <c r="E1566" s="125" t="e">
        <f ca="1">VLOOKUP(D1566,'Курсы Бинанса'!B:C,2,FALSE)</f>
        <v>#N/A</v>
      </c>
    </row>
    <row r="1567" spans="1:5">
      <c r="A1567" s="121">
        <v>1565</v>
      </c>
      <c r="B1567" s="123" t="s">
        <v>11048</v>
      </c>
      <c r="C1567" s="123" t="s">
        <v>11049</v>
      </c>
      <c r="D1567" s="124" t="str">
        <f t="shared" si="24"/>
        <v>DATUSDT</v>
      </c>
      <c r="E1567" s="125" t="e">
        <f ca="1">VLOOKUP(D1567,'Курсы Бинанса'!B:C,2,FALSE)</f>
        <v>#N/A</v>
      </c>
    </row>
    <row r="1568" spans="1:5">
      <c r="A1568" s="121">
        <v>1566</v>
      </c>
      <c r="B1568" s="123" t="s">
        <v>11050</v>
      </c>
      <c r="C1568" s="123" t="s">
        <v>11047</v>
      </c>
      <c r="D1568" s="124" t="str">
        <f t="shared" si="24"/>
        <v>BOXUSDT</v>
      </c>
      <c r="E1568" s="125" t="e">
        <f ca="1">VLOOKUP(D1568,'Курсы Бинанса'!B:C,2,FALSE)</f>
        <v>#N/A</v>
      </c>
    </row>
    <row r="1569" spans="1:5">
      <c r="A1569" s="121">
        <v>1567</v>
      </c>
      <c r="B1569" s="123" t="s">
        <v>11051</v>
      </c>
      <c r="C1569" s="123" t="s">
        <v>11052</v>
      </c>
      <c r="D1569" s="124" t="str">
        <f t="shared" si="24"/>
        <v>HTNUSDT</v>
      </c>
      <c r="E1569" s="125" t="e">
        <f ca="1">VLOOKUP(D1569,'Курсы Бинанса'!B:C,2,FALSE)</f>
        <v>#N/A</v>
      </c>
    </row>
    <row r="1570" spans="1:5">
      <c r="A1570" s="121">
        <v>1568</v>
      </c>
      <c r="B1570" s="123" t="s">
        <v>11053</v>
      </c>
      <c r="C1570" s="123" t="s">
        <v>11054</v>
      </c>
      <c r="D1570" s="124" t="str">
        <f t="shared" ref="D1570:D1633" si="25">CONCATENATE(C1570,"USDT")</f>
        <v>BTOUSDT</v>
      </c>
      <c r="E1570" s="125" t="e">
        <f ca="1">VLOOKUP(D1570,'Курсы Бинанса'!B:C,2,FALSE)</f>
        <v>#N/A</v>
      </c>
    </row>
    <row r="1571" spans="1:5">
      <c r="A1571" s="121">
        <v>1569</v>
      </c>
      <c r="B1571" s="123" t="s">
        <v>11055</v>
      </c>
      <c r="C1571" s="123" t="s">
        <v>11056</v>
      </c>
      <c r="D1571" s="124" t="str">
        <f t="shared" si="25"/>
        <v>DUOUSDT</v>
      </c>
      <c r="E1571" s="125" t="e">
        <f ca="1">VLOOKUP(D1571,'Курсы Бинанса'!B:C,2,FALSE)</f>
        <v>#N/A</v>
      </c>
    </row>
    <row r="1572" spans="1:5">
      <c r="A1572" s="121">
        <v>1570</v>
      </c>
      <c r="B1572" s="123" t="s">
        <v>11057</v>
      </c>
      <c r="C1572" s="123" t="s">
        <v>11058</v>
      </c>
      <c r="D1572" s="124" t="str">
        <f t="shared" si="25"/>
        <v>AMOUSDT</v>
      </c>
      <c r="E1572" s="125" t="e">
        <f ca="1">VLOOKUP(D1572,'Курсы Бинанса'!B:C,2,FALSE)</f>
        <v>#N/A</v>
      </c>
    </row>
    <row r="1573" spans="1:5">
      <c r="A1573" s="121">
        <v>1571</v>
      </c>
      <c r="B1573" s="123" t="s">
        <v>11059</v>
      </c>
      <c r="C1573" s="123" t="s">
        <v>11060</v>
      </c>
      <c r="D1573" s="124" t="str">
        <f t="shared" si="25"/>
        <v>SWFTCUSDT</v>
      </c>
      <c r="E1573" s="125" t="e">
        <f ca="1">VLOOKUP(D1573,'Курсы Бинанса'!B:C,2,FALSE)</f>
        <v>#N/A</v>
      </c>
    </row>
    <row r="1574" spans="1:5">
      <c r="A1574" s="121">
        <v>1572</v>
      </c>
      <c r="B1574" s="123" t="s">
        <v>11061</v>
      </c>
      <c r="C1574" s="123" t="s">
        <v>11062</v>
      </c>
      <c r="D1574" s="124" t="str">
        <f t="shared" si="25"/>
        <v>EGTUSDT</v>
      </c>
      <c r="E1574" s="125" t="e">
        <f ca="1">VLOOKUP(D1574,'Курсы Бинанса'!B:C,2,FALSE)</f>
        <v>#N/A</v>
      </c>
    </row>
    <row r="1575" spans="1:5">
      <c r="A1575" s="121">
        <v>1573</v>
      </c>
      <c r="B1575" s="123" t="s">
        <v>11063</v>
      </c>
      <c r="C1575" s="123" t="s">
        <v>11064</v>
      </c>
      <c r="D1575" s="124" t="str">
        <f t="shared" si="25"/>
        <v>BANKUSDT</v>
      </c>
      <c r="E1575" s="125" t="e">
        <f ca="1">VLOOKUP(D1575,'Курсы Бинанса'!B:C,2,FALSE)</f>
        <v>#N/A</v>
      </c>
    </row>
    <row r="1576" spans="1:5">
      <c r="A1576" s="121">
        <v>1574</v>
      </c>
      <c r="B1576" s="123" t="s">
        <v>11065</v>
      </c>
      <c r="C1576" s="123" t="s">
        <v>11066</v>
      </c>
      <c r="D1576" s="124" t="str">
        <f t="shared" si="25"/>
        <v>ATPUSDT</v>
      </c>
      <c r="E1576" s="125" t="e">
        <f ca="1">VLOOKUP(D1576,'Курсы Бинанса'!B:C,2,FALSE)</f>
        <v>#N/A</v>
      </c>
    </row>
    <row r="1577" spans="1:5">
      <c r="A1577" s="121">
        <v>1575</v>
      </c>
      <c r="B1577" s="123" t="s">
        <v>11067</v>
      </c>
      <c r="C1577" s="123" t="s">
        <v>11068</v>
      </c>
      <c r="D1577" s="124" t="str">
        <f t="shared" si="25"/>
        <v>REMUSDT</v>
      </c>
      <c r="E1577" s="125" t="e">
        <f ca="1">VLOOKUP(D1577,'Курсы Бинанса'!B:C,2,FALSE)</f>
        <v>#N/A</v>
      </c>
    </row>
    <row r="1578" spans="1:5">
      <c r="A1578" s="121">
        <v>1576</v>
      </c>
      <c r="B1578" s="123" t="s">
        <v>11069</v>
      </c>
      <c r="C1578" s="123" t="s">
        <v>11070</v>
      </c>
      <c r="D1578" s="124" t="str">
        <f t="shared" si="25"/>
        <v>DAVUSDT</v>
      </c>
      <c r="E1578" s="125" t="e">
        <f ca="1">VLOOKUP(D1578,'Курсы Бинанса'!B:C,2,FALSE)</f>
        <v>#N/A</v>
      </c>
    </row>
    <row r="1579" spans="1:5">
      <c r="A1579" s="121">
        <v>1577</v>
      </c>
      <c r="B1579" s="123" t="s">
        <v>11071</v>
      </c>
      <c r="C1579" s="123" t="s">
        <v>11072</v>
      </c>
      <c r="D1579" s="124" t="str">
        <f t="shared" si="25"/>
        <v>BDGUSDT</v>
      </c>
      <c r="E1579" s="125" t="e">
        <f ca="1">VLOOKUP(D1579,'Курсы Бинанса'!B:C,2,FALSE)</f>
        <v>#N/A</v>
      </c>
    </row>
    <row r="1580" spans="1:5">
      <c r="A1580" s="121">
        <v>1578</v>
      </c>
      <c r="B1580" s="123" t="s">
        <v>11073</v>
      </c>
      <c r="C1580" s="123" t="s">
        <v>11074</v>
      </c>
      <c r="D1580" s="124" t="str">
        <f t="shared" si="25"/>
        <v>XDNUSDT</v>
      </c>
      <c r="E1580" s="125" t="e">
        <f ca="1">VLOOKUP(D1580,'Курсы Бинанса'!B:C,2,FALSE)</f>
        <v>#N/A</v>
      </c>
    </row>
    <row r="1581" spans="1:5">
      <c r="A1581" s="121">
        <v>1579</v>
      </c>
      <c r="B1581" s="123" t="s">
        <v>11075</v>
      </c>
      <c r="C1581" s="123" t="s">
        <v>11075</v>
      </c>
      <c r="D1581" s="124" t="str">
        <f t="shared" si="25"/>
        <v>EUNOUSDT</v>
      </c>
      <c r="E1581" s="125" t="e">
        <f ca="1">VLOOKUP(D1581,'Курсы Бинанса'!B:C,2,FALSE)</f>
        <v>#N/A</v>
      </c>
    </row>
    <row r="1582" spans="1:5">
      <c r="A1582" s="121">
        <v>1580</v>
      </c>
      <c r="B1582" s="123" t="s">
        <v>11076</v>
      </c>
      <c r="C1582" s="123" t="s">
        <v>11077</v>
      </c>
      <c r="D1582" s="124" t="str">
        <f t="shared" si="25"/>
        <v>INVCUSDT</v>
      </c>
      <c r="E1582" s="125" t="e">
        <f ca="1">VLOOKUP(D1582,'Курсы Бинанса'!B:C,2,FALSE)</f>
        <v>#N/A</v>
      </c>
    </row>
    <row r="1583" spans="1:5">
      <c r="A1583" s="121">
        <v>1581</v>
      </c>
      <c r="B1583" s="123" t="s">
        <v>11078</v>
      </c>
      <c r="C1583" s="123" t="s">
        <v>11079</v>
      </c>
      <c r="D1583" s="124" t="str">
        <f t="shared" si="25"/>
        <v>SPIKEUSDT</v>
      </c>
      <c r="E1583" s="125" t="e">
        <f ca="1">VLOOKUP(D1583,'Курсы Бинанса'!B:C,2,FALSE)</f>
        <v>#N/A</v>
      </c>
    </row>
    <row r="1584" spans="1:5">
      <c r="A1584" s="121">
        <v>1582</v>
      </c>
      <c r="B1584" s="123" t="s">
        <v>11080</v>
      </c>
      <c r="C1584" s="123" t="s">
        <v>11080</v>
      </c>
      <c r="D1584" s="124" t="str">
        <f t="shared" si="25"/>
        <v>YEEUSDT</v>
      </c>
      <c r="E1584" s="125" t="e">
        <f ca="1">VLOOKUP(D1584,'Курсы Бинанса'!B:C,2,FALSE)</f>
        <v>#N/A</v>
      </c>
    </row>
    <row r="1585" spans="1:5">
      <c r="A1585" s="121">
        <v>1583</v>
      </c>
      <c r="B1585" s="123" t="s">
        <v>11081</v>
      </c>
      <c r="C1585" s="123" t="s">
        <v>11082</v>
      </c>
      <c r="D1585" s="124" t="str">
        <f t="shared" si="25"/>
        <v>XSRUSDT</v>
      </c>
      <c r="E1585" s="125" t="e">
        <f ca="1">VLOOKUP(D1585,'Курсы Бинанса'!B:C,2,FALSE)</f>
        <v>#N/A</v>
      </c>
    </row>
    <row r="1586" spans="1:5">
      <c r="A1586" s="121">
        <v>1584</v>
      </c>
      <c r="B1586" s="123" t="s">
        <v>11083</v>
      </c>
      <c r="C1586" s="123" t="s">
        <v>11084</v>
      </c>
      <c r="D1586" s="124" t="str">
        <f t="shared" si="25"/>
        <v>XNKUSDT</v>
      </c>
      <c r="E1586" s="125" t="e">
        <f ca="1">VLOOKUP(D1586,'Курсы Бинанса'!B:C,2,FALSE)</f>
        <v>#N/A</v>
      </c>
    </row>
    <row r="1587" spans="1:5">
      <c r="A1587" s="121">
        <v>1585</v>
      </c>
      <c r="B1587" s="123" t="s">
        <v>11085</v>
      </c>
      <c r="C1587" s="123" t="s">
        <v>11086</v>
      </c>
      <c r="D1587" s="124" t="str">
        <f t="shared" si="25"/>
        <v>AOAUSDT</v>
      </c>
      <c r="E1587" s="125" t="e">
        <f ca="1">VLOOKUP(D1587,'Курсы Бинанса'!B:C,2,FALSE)</f>
        <v>#N/A</v>
      </c>
    </row>
    <row r="1588" spans="1:5">
      <c r="A1588" s="121">
        <v>1586</v>
      </c>
      <c r="B1588" s="123" t="s">
        <v>11087</v>
      </c>
      <c r="C1588" s="123" t="s">
        <v>11088</v>
      </c>
      <c r="D1588" s="124" t="str">
        <f t="shared" si="25"/>
        <v>XPXUSDT</v>
      </c>
      <c r="E1588" s="125" t="e">
        <f ca="1">VLOOKUP(D1588,'Курсы Бинанса'!B:C,2,FALSE)</f>
        <v>#N/A</v>
      </c>
    </row>
    <row r="1589" spans="1:5">
      <c r="A1589" s="121">
        <v>1587</v>
      </c>
      <c r="B1589" s="123" t="s">
        <v>11089</v>
      </c>
      <c r="C1589" s="123" t="s">
        <v>11090</v>
      </c>
      <c r="D1589" s="124" t="str">
        <f t="shared" si="25"/>
        <v>UCAUSDT</v>
      </c>
      <c r="E1589" s="125" t="e">
        <f ca="1">VLOOKUP(D1589,'Курсы Бинанса'!B:C,2,FALSE)</f>
        <v>#N/A</v>
      </c>
    </row>
    <row r="1590" spans="1:5">
      <c r="A1590" s="121">
        <v>1588</v>
      </c>
      <c r="B1590" s="123" t="s">
        <v>11091</v>
      </c>
      <c r="C1590" s="123" t="s">
        <v>11092</v>
      </c>
      <c r="D1590" s="124" t="str">
        <f t="shared" si="25"/>
        <v>SATTUSDT</v>
      </c>
      <c r="E1590" s="125" t="e">
        <f ca="1">VLOOKUP(D1590,'Курсы Бинанса'!B:C,2,FALSE)</f>
        <v>#N/A</v>
      </c>
    </row>
    <row r="1591" spans="1:5">
      <c r="A1591" s="121">
        <v>1589</v>
      </c>
      <c r="B1591" s="123" t="s">
        <v>11093</v>
      </c>
      <c r="C1591" s="123" t="s">
        <v>11094</v>
      </c>
      <c r="D1591" s="124" t="str">
        <f t="shared" si="25"/>
        <v>WINRUSDT</v>
      </c>
      <c r="E1591" s="125" t="e">
        <f ca="1">VLOOKUP(D1591,'Курсы Бинанса'!B:C,2,FALSE)</f>
        <v>#N/A</v>
      </c>
    </row>
    <row r="1592" spans="1:5">
      <c r="A1592" s="121">
        <v>1590</v>
      </c>
      <c r="B1592" s="123" t="s">
        <v>11095</v>
      </c>
      <c r="C1592" s="123" t="s">
        <v>11096</v>
      </c>
      <c r="D1592" s="124" t="str">
        <f t="shared" si="25"/>
        <v>CATTUSDT</v>
      </c>
      <c r="E1592" s="125" t="e">
        <f ca="1">VLOOKUP(D1592,'Курсы Бинанса'!B:C,2,FALSE)</f>
        <v>#N/A</v>
      </c>
    </row>
    <row r="1593" spans="1:5">
      <c r="A1593" s="121">
        <v>1591</v>
      </c>
      <c r="B1593" s="123" t="s">
        <v>11097</v>
      </c>
      <c r="C1593" s="123" t="s">
        <v>11098</v>
      </c>
      <c r="D1593" s="124" t="str">
        <f t="shared" si="25"/>
        <v>ZUMUSDT</v>
      </c>
      <c r="E1593" s="125" t="e">
        <f ca="1">VLOOKUP(D1593,'Курсы Бинанса'!B:C,2,FALSE)</f>
        <v>#N/A</v>
      </c>
    </row>
    <row r="1594" spans="1:5">
      <c r="A1594" s="121">
        <v>1592</v>
      </c>
      <c r="B1594" s="123" t="s">
        <v>11099</v>
      </c>
      <c r="C1594" s="123" t="s">
        <v>11100</v>
      </c>
      <c r="D1594" s="124" t="str">
        <f t="shared" si="25"/>
        <v>SHIPUSDT</v>
      </c>
      <c r="E1594" s="125" t="e">
        <f ca="1">VLOOKUP(D1594,'Курсы Бинанса'!B:C,2,FALSE)</f>
        <v>#N/A</v>
      </c>
    </row>
    <row r="1595" spans="1:5">
      <c r="A1595" s="121">
        <v>1593</v>
      </c>
      <c r="B1595" s="123" t="s">
        <v>11101</v>
      </c>
      <c r="C1595" s="123" t="s">
        <v>11102</v>
      </c>
      <c r="D1595" s="124" t="str">
        <f t="shared" si="25"/>
        <v>EQLUSDT</v>
      </c>
      <c r="E1595" s="125" t="e">
        <f ca="1">VLOOKUP(D1595,'Курсы Бинанса'!B:C,2,FALSE)</f>
        <v>#N/A</v>
      </c>
    </row>
    <row r="1596" spans="1:5">
      <c r="A1596" s="121">
        <v>1594</v>
      </c>
      <c r="B1596" s="123" t="s">
        <v>11103</v>
      </c>
      <c r="C1596" s="123" t="s">
        <v>11104</v>
      </c>
      <c r="D1596" s="124" t="str">
        <f t="shared" si="25"/>
        <v>BBKUSDT</v>
      </c>
      <c r="E1596" s="125" t="e">
        <f ca="1">VLOOKUP(D1596,'Курсы Бинанса'!B:C,2,FALSE)</f>
        <v>#N/A</v>
      </c>
    </row>
    <row r="1597" spans="1:5">
      <c r="A1597" s="121">
        <v>1595</v>
      </c>
      <c r="B1597" s="123" t="s">
        <v>11105</v>
      </c>
      <c r="C1597" s="123" t="s">
        <v>11106</v>
      </c>
      <c r="D1597" s="124" t="str">
        <f t="shared" si="25"/>
        <v>CENUSDT</v>
      </c>
      <c r="E1597" s="125" t="e">
        <f ca="1">VLOOKUP(D1597,'Курсы Бинанса'!B:C,2,FALSE)</f>
        <v>#N/A</v>
      </c>
    </row>
    <row r="1598" spans="1:5">
      <c r="A1598" s="121">
        <v>1596</v>
      </c>
      <c r="B1598" s="123" t="s">
        <v>11107</v>
      </c>
      <c r="C1598" s="123" t="s">
        <v>11108</v>
      </c>
      <c r="D1598" s="124" t="str">
        <f t="shared" si="25"/>
        <v>BONUSDT</v>
      </c>
      <c r="E1598" s="125" t="e">
        <f ca="1">VLOOKUP(D1598,'Курсы Бинанса'!B:C,2,FALSE)</f>
        <v>#N/A</v>
      </c>
    </row>
    <row r="1599" spans="1:5">
      <c r="A1599" s="121">
        <v>1597</v>
      </c>
      <c r="B1599" s="123" t="s">
        <v>11109</v>
      </c>
      <c r="C1599" s="123" t="s">
        <v>11110</v>
      </c>
      <c r="D1599" s="124" t="str">
        <f t="shared" si="25"/>
        <v>DXUSDT</v>
      </c>
      <c r="E1599" s="125" t="e">
        <f ca="1">VLOOKUP(D1599,'Курсы Бинанса'!B:C,2,FALSE)</f>
        <v>#N/A</v>
      </c>
    </row>
    <row r="1600" spans="1:5">
      <c r="A1600" s="121">
        <v>1598</v>
      </c>
      <c r="B1600" s="123" t="s">
        <v>11111</v>
      </c>
      <c r="C1600" s="123" t="s">
        <v>11112</v>
      </c>
      <c r="D1600" s="124" t="str">
        <f t="shared" si="25"/>
        <v>CREUSDT</v>
      </c>
      <c r="E1600" s="125" t="e">
        <f ca="1">VLOOKUP(D1600,'Курсы Бинанса'!B:C,2,FALSE)</f>
        <v>#N/A</v>
      </c>
    </row>
    <row r="1601" spans="1:5">
      <c r="A1601" s="121">
        <v>1599</v>
      </c>
      <c r="B1601" s="123" t="s">
        <v>11113</v>
      </c>
      <c r="C1601" s="123" t="s">
        <v>11114</v>
      </c>
      <c r="D1601" s="124" t="str">
        <f t="shared" si="25"/>
        <v>PIBUSDT</v>
      </c>
      <c r="E1601" s="125" t="e">
        <f ca="1">VLOOKUP(D1601,'Курсы Бинанса'!B:C,2,FALSE)</f>
        <v>#N/A</v>
      </c>
    </row>
    <row r="1602" spans="1:5">
      <c r="A1602" s="121">
        <v>1600</v>
      </c>
      <c r="B1602" s="123" t="s">
        <v>11115</v>
      </c>
      <c r="C1602" s="123" t="s">
        <v>11116</v>
      </c>
      <c r="D1602" s="124" t="str">
        <f t="shared" si="25"/>
        <v>JOBUSDT</v>
      </c>
      <c r="E1602" s="125" t="e">
        <f ca="1">VLOOKUP(D1602,'Курсы Бинанса'!B:C,2,FALSE)</f>
        <v>#N/A</v>
      </c>
    </row>
    <row r="1603" spans="1:5">
      <c r="A1603" s="121">
        <v>1601</v>
      </c>
      <c r="B1603" s="123" t="s">
        <v>11117</v>
      </c>
      <c r="C1603" s="123" t="s">
        <v>11118</v>
      </c>
      <c r="D1603" s="124" t="str">
        <f t="shared" si="25"/>
        <v>ADCUSDT</v>
      </c>
      <c r="E1603" s="125" t="e">
        <f ca="1">VLOOKUP(D1603,'Курсы Бинанса'!B:C,2,FALSE)</f>
        <v>#N/A</v>
      </c>
    </row>
    <row r="1604" spans="1:5">
      <c r="A1604" s="121">
        <v>1602</v>
      </c>
      <c r="B1604" s="123" t="s">
        <v>11119</v>
      </c>
      <c r="C1604" s="123" t="s">
        <v>11120</v>
      </c>
      <c r="D1604" s="124" t="str">
        <f t="shared" si="25"/>
        <v>PEOSUSDT</v>
      </c>
      <c r="E1604" s="125" t="e">
        <f ca="1">VLOOKUP(D1604,'Курсы Бинанса'!B:C,2,FALSE)</f>
        <v>#N/A</v>
      </c>
    </row>
    <row r="1605" spans="1:5">
      <c r="A1605" s="121">
        <v>1603</v>
      </c>
      <c r="B1605" s="123" t="s">
        <v>11121</v>
      </c>
      <c r="C1605" s="123" t="s">
        <v>11122</v>
      </c>
      <c r="D1605" s="124" t="str">
        <f t="shared" si="25"/>
        <v>MANNAUSDT</v>
      </c>
      <c r="E1605" s="125" t="e">
        <f ca="1">VLOOKUP(D1605,'Курсы Бинанса'!B:C,2,FALSE)</f>
        <v>#N/A</v>
      </c>
    </row>
    <row r="1606" spans="1:5">
      <c r="A1606" s="121">
        <v>1604</v>
      </c>
      <c r="B1606" s="123" t="s">
        <v>11123</v>
      </c>
      <c r="C1606" s="123" t="s">
        <v>11124</v>
      </c>
      <c r="D1606" s="124" t="str">
        <f t="shared" si="25"/>
        <v>GENEUSDT</v>
      </c>
      <c r="E1606" s="125" t="e">
        <f ca="1">VLOOKUP(D1606,'Курсы Бинанса'!B:C,2,FALSE)</f>
        <v>#N/A</v>
      </c>
    </row>
    <row r="1607" spans="1:5">
      <c r="A1607" s="121">
        <v>1605</v>
      </c>
      <c r="B1607" s="123" t="s">
        <v>11125</v>
      </c>
      <c r="C1607" s="123" t="s">
        <v>11126</v>
      </c>
      <c r="D1607" s="124" t="str">
        <f t="shared" si="25"/>
        <v>FNXUSDT</v>
      </c>
      <c r="E1607" s="125" t="e">
        <f ca="1">VLOOKUP(D1607,'Курсы Бинанса'!B:C,2,FALSE)</f>
        <v>#N/A</v>
      </c>
    </row>
    <row r="1608" spans="1:5">
      <c r="A1608" s="121">
        <v>1606</v>
      </c>
      <c r="B1608" s="123" t="s">
        <v>11127</v>
      </c>
      <c r="C1608" s="123" t="s">
        <v>11128</v>
      </c>
      <c r="D1608" s="124" t="str">
        <f t="shared" si="25"/>
        <v>GFUNUSDT</v>
      </c>
      <c r="E1608" s="125" t="e">
        <f ca="1">VLOOKUP(D1608,'Курсы Бинанса'!B:C,2,FALSE)</f>
        <v>#N/A</v>
      </c>
    </row>
    <row r="1609" spans="1:5">
      <c r="A1609" s="121">
        <v>1607</v>
      </c>
      <c r="B1609" s="123" t="s">
        <v>11129</v>
      </c>
      <c r="C1609" s="123" t="s">
        <v>11130</v>
      </c>
      <c r="D1609" s="124" t="str">
        <f t="shared" si="25"/>
        <v>SCTUSDT</v>
      </c>
      <c r="E1609" s="125" t="e">
        <f ca="1">VLOOKUP(D1609,'Курсы Бинанса'!B:C,2,FALSE)</f>
        <v>#N/A</v>
      </c>
    </row>
    <row r="1610" spans="1:5">
      <c r="A1610" s="121">
        <v>1608</v>
      </c>
      <c r="B1610" s="123" t="s">
        <v>11131</v>
      </c>
      <c r="C1610" s="123" t="s">
        <v>11132</v>
      </c>
      <c r="D1610" s="124" t="str">
        <f t="shared" si="25"/>
        <v>OCNUSDT</v>
      </c>
      <c r="E1610" s="125" t="e">
        <f ca="1">VLOOKUP(D1610,'Курсы Бинанса'!B:C,2,FALSE)</f>
        <v>#N/A</v>
      </c>
    </row>
    <row r="1611" spans="1:5">
      <c r="A1611" s="121">
        <v>1609</v>
      </c>
      <c r="B1611" s="123" t="s">
        <v>11133</v>
      </c>
      <c r="C1611" s="123" t="s">
        <v>11134</v>
      </c>
      <c r="D1611" s="124" t="str">
        <f t="shared" si="25"/>
        <v>CANNUSDT</v>
      </c>
      <c r="E1611" s="125" t="e">
        <f ca="1">VLOOKUP(D1611,'Курсы Бинанса'!B:C,2,FALSE)</f>
        <v>#N/A</v>
      </c>
    </row>
    <row r="1612" spans="1:5">
      <c r="A1612" s="121">
        <v>1610</v>
      </c>
      <c r="B1612" s="123" t="s">
        <v>11135</v>
      </c>
      <c r="C1612" s="123" t="s">
        <v>11136</v>
      </c>
      <c r="D1612" s="124" t="str">
        <f t="shared" si="25"/>
        <v>GCCUSDT</v>
      </c>
      <c r="E1612" s="125" t="e">
        <f ca="1">VLOOKUP(D1612,'Курсы Бинанса'!B:C,2,FALSE)</f>
        <v>#N/A</v>
      </c>
    </row>
    <row r="1613" spans="1:5">
      <c r="A1613" s="121">
        <v>1611</v>
      </c>
      <c r="B1613" s="123" t="s">
        <v>11137</v>
      </c>
      <c r="C1613" s="123" t="s">
        <v>11138</v>
      </c>
      <c r="D1613" s="124" t="str">
        <f t="shared" si="25"/>
        <v>LTHNUSDT</v>
      </c>
      <c r="E1613" s="125" t="e">
        <f ca="1">VLOOKUP(D1613,'Курсы Бинанса'!B:C,2,FALSE)</f>
        <v>#N/A</v>
      </c>
    </row>
    <row r="1614" spans="1:5">
      <c r="A1614" s="121">
        <v>1612</v>
      </c>
      <c r="B1614" s="123" t="s">
        <v>11139</v>
      </c>
      <c r="C1614" s="123" t="s">
        <v>11140</v>
      </c>
      <c r="D1614" s="124" t="str">
        <f t="shared" si="25"/>
        <v>RTEUSDT</v>
      </c>
      <c r="E1614" s="125" t="e">
        <f ca="1">VLOOKUP(D1614,'Курсы Бинанса'!B:C,2,FALSE)</f>
        <v>#N/A</v>
      </c>
    </row>
    <row r="1615" spans="1:5">
      <c r="A1615" s="121">
        <v>1613</v>
      </c>
      <c r="B1615" s="123" t="s">
        <v>11141</v>
      </c>
      <c r="C1615" s="123" t="s">
        <v>11142</v>
      </c>
      <c r="D1615" s="124" t="str">
        <f t="shared" si="25"/>
        <v>INKUSDT</v>
      </c>
      <c r="E1615" s="125" t="e">
        <f ca="1">VLOOKUP(D1615,'Курсы Бинанса'!B:C,2,FALSE)</f>
        <v>#N/A</v>
      </c>
    </row>
    <row r="1616" spans="1:5">
      <c r="A1616" s="121">
        <v>1614</v>
      </c>
      <c r="B1616" s="123" t="s">
        <v>11143</v>
      </c>
      <c r="C1616" s="123" t="s">
        <v>11144</v>
      </c>
      <c r="D1616" s="124" t="str">
        <f t="shared" si="25"/>
        <v>ZPAEUSDT</v>
      </c>
      <c r="E1616" s="125" t="e">
        <f ca="1">VLOOKUP(D1616,'Курсы Бинанса'!B:C,2,FALSE)</f>
        <v>#N/A</v>
      </c>
    </row>
    <row r="1617" spans="1:5">
      <c r="A1617" s="121">
        <v>1615</v>
      </c>
      <c r="B1617" s="123" t="s">
        <v>11145</v>
      </c>
      <c r="C1617" s="123" t="s">
        <v>11146</v>
      </c>
      <c r="D1617" s="124" t="str">
        <f t="shared" si="25"/>
        <v>CWVUSDT</v>
      </c>
      <c r="E1617" s="125" t="e">
        <f ca="1">VLOOKUP(D1617,'Курсы Бинанса'!B:C,2,FALSE)</f>
        <v>#N/A</v>
      </c>
    </row>
    <row r="1618" spans="1:5">
      <c r="A1618" s="121">
        <v>1616</v>
      </c>
      <c r="B1618" s="123" t="s">
        <v>11147</v>
      </c>
      <c r="C1618" s="123" t="s">
        <v>11148</v>
      </c>
      <c r="D1618" s="124" t="str">
        <f t="shared" si="25"/>
        <v>CSMUSDT</v>
      </c>
      <c r="E1618" s="125" t="e">
        <f ca="1">VLOOKUP(D1618,'Курсы Бинанса'!B:C,2,FALSE)</f>
        <v>#N/A</v>
      </c>
    </row>
    <row r="1619" spans="1:5">
      <c r="A1619" s="121">
        <v>1617</v>
      </c>
      <c r="B1619" s="123" t="s">
        <v>11149</v>
      </c>
      <c r="C1619" s="123" t="s">
        <v>11150</v>
      </c>
      <c r="D1619" s="124" t="str">
        <f t="shared" si="25"/>
        <v>ROOKUSDT</v>
      </c>
      <c r="E1619" s="125" t="e">
        <f ca="1">VLOOKUP(D1619,'Курсы Бинанса'!B:C,2,FALSE)</f>
        <v>#N/A</v>
      </c>
    </row>
    <row r="1620" spans="1:5">
      <c r="A1620" s="121">
        <v>1618</v>
      </c>
      <c r="B1620" s="123" t="s">
        <v>11151</v>
      </c>
      <c r="C1620" s="123" t="s">
        <v>11152</v>
      </c>
      <c r="D1620" s="124" t="str">
        <f t="shared" si="25"/>
        <v>TRIOUSDT</v>
      </c>
      <c r="E1620" s="125" t="e">
        <f ca="1">VLOOKUP(D1620,'Курсы Бинанса'!B:C,2,FALSE)</f>
        <v>#N/A</v>
      </c>
    </row>
    <row r="1621" spans="1:5">
      <c r="A1621" s="121">
        <v>1619</v>
      </c>
      <c r="B1621" s="123" t="s">
        <v>11153</v>
      </c>
      <c r="C1621" s="123" t="s">
        <v>11154</v>
      </c>
      <c r="D1621" s="124" t="str">
        <f t="shared" si="25"/>
        <v>CBTUSDT</v>
      </c>
      <c r="E1621" s="125" t="e">
        <f ca="1">VLOOKUP(D1621,'Курсы Бинанса'!B:C,2,FALSE)</f>
        <v>#N/A</v>
      </c>
    </row>
    <row r="1622" spans="1:5">
      <c r="A1622" s="121">
        <v>1620</v>
      </c>
      <c r="B1622" s="123" t="s">
        <v>11155</v>
      </c>
      <c r="C1622" s="123" t="s">
        <v>11156</v>
      </c>
      <c r="D1622" s="124" t="str">
        <f t="shared" si="25"/>
        <v>BWTUSDT</v>
      </c>
      <c r="E1622" s="125" t="e">
        <f ca="1">VLOOKUP(D1622,'Курсы Бинанса'!B:C,2,FALSE)</f>
        <v>#N/A</v>
      </c>
    </row>
    <row r="1623" spans="1:5">
      <c r="A1623" s="121">
        <v>1621</v>
      </c>
      <c r="B1623" s="123" t="s">
        <v>11157</v>
      </c>
      <c r="C1623" s="123" t="s">
        <v>11158</v>
      </c>
      <c r="D1623" s="124" t="str">
        <f t="shared" si="25"/>
        <v>INVEUSDT</v>
      </c>
      <c r="E1623" s="125" t="e">
        <f ca="1">VLOOKUP(D1623,'Курсы Бинанса'!B:C,2,FALSE)</f>
        <v>#N/A</v>
      </c>
    </row>
    <row r="1624" spans="1:5">
      <c r="A1624" s="121">
        <v>1622</v>
      </c>
      <c r="B1624" s="123" t="s">
        <v>11159</v>
      </c>
      <c r="C1624" s="123" t="s">
        <v>11160</v>
      </c>
      <c r="D1624" s="124" t="str">
        <f t="shared" si="25"/>
        <v>FUELUSDT</v>
      </c>
      <c r="E1624" s="125" t="e">
        <f ca="1">VLOOKUP(D1624,'Курсы Бинанса'!B:C,2,FALSE)</f>
        <v>#N/A</v>
      </c>
    </row>
    <row r="1625" spans="1:5">
      <c r="A1625" s="121">
        <v>1623</v>
      </c>
      <c r="B1625" s="123" t="s">
        <v>11161</v>
      </c>
      <c r="C1625" s="123" t="s">
        <v>11162</v>
      </c>
      <c r="D1625" s="124" t="str">
        <f t="shared" si="25"/>
        <v>HBXUSDT</v>
      </c>
      <c r="E1625" s="125" t="e">
        <f ca="1">VLOOKUP(D1625,'Курсы Бинанса'!B:C,2,FALSE)</f>
        <v>#N/A</v>
      </c>
    </row>
    <row r="1626" spans="1:5">
      <c r="A1626" s="121">
        <v>1624</v>
      </c>
      <c r="B1626" s="123" t="s">
        <v>11163</v>
      </c>
      <c r="C1626" s="123" t="s">
        <v>11164</v>
      </c>
      <c r="D1626" s="124" t="str">
        <f t="shared" si="25"/>
        <v>COSMUSDT</v>
      </c>
      <c r="E1626" s="125" t="e">
        <f ca="1">VLOOKUP(D1626,'Курсы Бинанса'!B:C,2,FALSE)</f>
        <v>#N/A</v>
      </c>
    </row>
    <row r="1627" spans="1:5">
      <c r="A1627" s="121">
        <v>1625</v>
      </c>
      <c r="B1627" s="123" t="s">
        <v>11165</v>
      </c>
      <c r="C1627" s="123" t="s">
        <v>11166</v>
      </c>
      <c r="D1627" s="124" t="str">
        <f t="shared" si="25"/>
        <v>ELECUSDT</v>
      </c>
      <c r="E1627" s="125" t="e">
        <f ca="1">VLOOKUP(D1627,'Курсы Бинанса'!B:C,2,FALSE)</f>
        <v>#N/A</v>
      </c>
    </row>
    <row r="1628" spans="1:5">
      <c r="A1628" s="121">
        <v>1626</v>
      </c>
      <c r="B1628" s="123" t="s">
        <v>11167</v>
      </c>
      <c r="C1628" s="123" t="s">
        <v>11168</v>
      </c>
      <c r="D1628" s="124" t="str">
        <f t="shared" si="25"/>
        <v>SPHTXUSDT</v>
      </c>
      <c r="E1628" s="125" t="e">
        <f ca="1">VLOOKUP(D1628,'Курсы Бинанса'!B:C,2,FALSE)</f>
        <v>#N/A</v>
      </c>
    </row>
    <row r="1629" spans="1:5">
      <c r="A1629" s="121">
        <v>1627</v>
      </c>
      <c r="B1629" s="123" t="s">
        <v>11169</v>
      </c>
      <c r="C1629" s="123" t="s">
        <v>11170</v>
      </c>
      <c r="D1629" s="124" t="str">
        <f t="shared" si="25"/>
        <v>BNTYUSDT</v>
      </c>
      <c r="E1629" s="125" t="e">
        <f ca="1">VLOOKUP(D1629,'Курсы Бинанса'!B:C,2,FALSE)</f>
        <v>#N/A</v>
      </c>
    </row>
    <row r="1630" spans="1:5">
      <c r="A1630" s="121">
        <v>1628</v>
      </c>
      <c r="B1630" s="123" t="s">
        <v>11171</v>
      </c>
      <c r="C1630" s="123" t="s">
        <v>11172</v>
      </c>
      <c r="D1630" s="124" t="str">
        <f t="shared" si="25"/>
        <v>XBPUSDT</v>
      </c>
      <c r="E1630" s="125" t="e">
        <f ca="1">VLOOKUP(D1630,'Курсы Бинанса'!B:C,2,FALSE)</f>
        <v>#N/A</v>
      </c>
    </row>
    <row r="1631" spans="1:5">
      <c r="A1631" s="121">
        <v>1629</v>
      </c>
      <c r="B1631" s="123" t="s">
        <v>11173</v>
      </c>
      <c r="C1631" s="123" t="s">
        <v>11174</v>
      </c>
      <c r="D1631" s="124" t="str">
        <f t="shared" si="25"/>
        <v>TNCUSDT</v>
      </c>
      <c r="E1631" s="125" t="e">
        <f ca="1">VLOOKUP(D1631,'Курсы Бинанса'!B:C,2,FALSE)</f>
        <v>#N/A</v>
      </c>
    </row>
    <row r="1632" spans="1:5">
      <c r="A1632" s="121">
        <v>1630</v>
      </c>
      <c r="B1632" s="123" t="s">
        <v>11175</v>
      </c>
      <c r="C1632" s="123" t="s">
        <v>11176</v>
      </c>
      <c r="D1632" s="124" t="str">
        <f t="shared" si="25"/>
        <v>PEGUSDT</v>
      </c>
      <c r="E1632" s="125" t="e">
        <f ca="1">VLOOKUP(D1632,'Курсы Бинанса'!B:C,2,FALSE)</f>
        <v>#N/A</v>
      </c>
    </row>
    <row r="1633" spans="1:5">
      <c r="A1633" s="121">
        <v>1631</v>
      </c>
      <c r="B1633" s="123" t="s">
        <v>11177</v>
      </c>
      <c r="C1633" s="123" t="s">
        <v>11178</v>
      </c>
      <c r="D1633" s="124" t="str">
        <f t="shared" si="25"/>
        <v>MBNUSDT</v>
      </c>
      <c r="E1633" s="125" t="e">
        <f ca="1">VLOOKUP(D1633,'Курсы Бинанса'!B:C,2,FALSE)</f>
        <v>#N/A</v>
      </c>
    </row>
    <row r="1634" spans="1:5">
      <c r="A1634" s="121">
        <v>1632</v>
      </c>
      <c r="B1634" s="123" t="s">
        <v>11179</v>
      </c>
      <c r="C1634" s="123" t="s">
        <v>11180</v>
      </c>
      <c r="D1634" s="124" t="str">
        <f t="shared" ref="D1634:D1697" si="26">CONCATENATE(C1634,"USDT")</f>
        <v>RAVENUSDT</v>
      </c>
      <c r="E1634" s="125" t="e">
        <f ca="1">VLOOKUP(D1634,'Курсы Бинанса'!B:C,2,FALSE)</f>
        <v>#N/A</v>
      </c>
    </row>
    <row r="1635" spans="1:5">
      <c r="A1635" s="121">
        <v>1633</v>
      </c>
      <c r="B1635" s="123" t="s">
        <v>11181</v>
      </c>
      <c r="C1635" s="123" t="s">
        <v>11182</v>
      </c>
      <c r="D1635" s="124" t="str">
        <f t="shared" si="26"/>
        <v>MVPUSDT</v>
      </c>
      <c r="E1635" s="125" t="e">
        <f ca="1">VLOOKUP(D1635,'Курсы Бинанса'!B:C,2,FALSE)</f>
        <v>#N/A</v>
      </c>
    </row>
    <row r="1636" spans="1:5">
      <c r="A1636" s="121">
        <v>1634</v>
      </c>
      <c r="B1636" s="123" t="s">
        <v>11183</v>
      </c>
      <c r="C1636" s="123" t="s">
        <v>11184</v>
      </c>
      <c r="D1636" s="124" t="str">
        <f t="shared" si="26"/>
        <v>BTZCUSDT</v>
      </c>
      <c r="E1636" s="125" t="e">
        <f ca="1">VLOOKUP(D1636,'Курсы Бинанса'!B:C,2,FALSE)</f>
        <v>#N/A</v>
      </c>
    </row>
    <row r="1637" spans="1:5">
      <c r="A1637" s="121">
        <v>1635</v>
      </c>
      <c r="B1637" s="123" t="s">
        <v>11185</v>
      </c>
      <c r="C1637" s="123" t="s">
        <v>11186</v>
      </c>
      <c r="D1637" s="124" t="str">
        <f t="shared" si="26"/>
        <v>OPTUSDT</v>
      </c>
      <c r="E1637" s="125" t="e">
        <f ca="1">VLOOKUP(D1637,'Курсы Бинанса'!B:C,2,FALSE)</f>
        <v>#N/A</v>
      </c>
    </row>
    <row r="1638" spans="1:5">
      <c r="A1638" s="121">
        <v>1636</v>
      </c>
      <c r="B1638" s="123" t="s">
        <v>11187</v>
      </c>
      <c r="C1638" s="123" t="s">
        <v>11188</v>
      </c>
      <c r="D1638" s="124" t="str">
        <f t="shared" si="26"/>
        <v>ECOBUSDT</v>
      </c>
      <c r="E1638" s="125" t="e">
        <f ca="1">VLOOKUP(D1638,'Курсы Бинанса'!B:C,2,FALSE)</f>
        <v>#N/A</v>
      </c>
    </row>
    <row r="1639" spans="1:5">
      <c r="A1639" s="121">
        <v>1637</v>
      </c>
      <c r="B1639" s="123" t="s">
        <v>11189</v>
      </c>
      <c r="C1639" s="123" t="s">
        <v>11178</v>
      </c>
      <c r="D1639" s="124" t="str">
        <f t="shared" si="26"/>
        <v>MBNUSDT</v>
      </c>
      <c r="E1639" s="125" t="e">
        <f ca="1">VLOOKUP(D1639,'Курсы Бинанса'!B:C,2,FALSE)</f>
        <v>#N/A</v>
      </c>
    </row>
    <row r="1640" spans="1:5">
      <c r="A1640" s="121">
        <v>1638</v>
      </c>
      <c r="B1640" s="123" t="s">
        <v>11190</v>
      </c>
      <c r="C1640" s="123" t="s">
        <v>11191</v>
      </c>
      <c r="D1640" s="124" t="str">
        <f t="shared" si="26"/>
        <v>BAOUSDT</v>
      </c>
      <c r="E1640" s="125" t="e">
        <f ca="1">VLOOKUP(D1640,'Курсы Бинанса'!B:C,2,FALSE)</f>
        <v>#N/A</v>
      </c>
    </row>
    <row r="1641" spans="1:5">
      <c r="A1641" s="121">
        <v>1639</v>
      </c>
      <c r="B1641" s="123" t="s">
        <v>11192</v>
      </c>
      <c r="C1641" s="123" t="s">
        <v>11193</v>
      </c>
      <c r="D1641" s="124" t="str">
        <f t="shared" si="26"/>
        <v>YEEDUSDT</v>
      </c>
      <c r="E1641" s="125" t="e">
        <f ca="1">VLOOKUP(D1641,'Курсы Бинанса'!B:C,2,FALSE)</f>
        <v>#N/A</v>
      </c>
    </row>
    <row r="1642" spans="1:5">
      <c r="A1642" s="121">
        <v>1640</v>
      </c>
      <c r="B1642" s="123" t="s">
        <v>11194</v>
      </c>
      <c r="C1642" s="123" t="s">
        <v>11195</v>
      </c>
      <c r="D1642" s="124" t="str">
        <f t="shared" si="26"/>
        <v>TKYUSDT</v>
      </c>
      <c r="E1642" s="125" t="e">
        <f ca="1">VLOOKUP(D1642,'Курсы Бинанса'!B:C,2,FALSE)</f>
        <v>#N/A</v>
      </c>
    </row>
    <row r="1643" spans="1:5">
      <c r="A1643" s="121">
        <v>1641</v>
      </c>
      <c r="B1643" s="123" t="s">
        <v>11196</v>
      </c>
      <c r="C1643" s="123" t="s">
        <v>11197</v>
      </c>
      <c r="D1643" s="124" t="str">
        <f t="shared" si="26"/>
        <v>FNBUSDT</v>
      </c>
      <c r="E1643" s="125" t="e">
        <f ca="1">VLOOKUP(D1643,'Курсы Бинанса'!B:C,2,FALSE)</f>
        <v>#N/A</v>
      </c>
    </row>
    <row r="1644" spans="1:5">
      <c r="A1644" s="121">
        <v>1642</v>
      </c>
      <c r="B1644" s="123" t="s">
        <v>11198</v>
      </c>
      <c r="C1644" s="123" t="s">
        <v>11199</v>
      </c>
      <c r="D1644" s="124" t="str">
        <f t="shared" si="26"/>
        <v>WILDUSDT</v>
      </c>
      <c r="E1644" s="125" t="e">
        <f ca="1">VLOOKUP(D1644,'Курсы Бинанса'!B:C,2,FALSE)</f>
        <v>#N/A</v>
      </c>
    </row>
    <row r="1645" spans="1:5">
      <c r="A1645" s="121">
        <v>1643</v>
      </c>
      <c r="B1645" s="123" t="s">
        <v>11200</v>
      </c>
      <c r="C1645" s="123" t="s">
        <v>11201</v>
      </c>
      <c r="D1645" s="124" t="str">
        <f t="shared" si="26"/>
        <v>XTPUSDT</v>
      </c>
      <c r="E1645" s="125" t="e">
        <f ca="1">VLOOKUP(D1645,'Курсы Бинанса'!B:C,2,FALSE)</f>
        <v>#N/A</v>
      </c>
    </row>
    <row r="1646" spans="1:5">
      <c r="A1646" s="121">
        <v>1644</v>
      </c>
      <c r="B1646" s="123" t="s">
        <v>11202</v>
      </c>
      <c r="C1646" s="123" t="s">
        <v>11203</v>
      </c>
      <c r="D1646" s="124" t="str">
        <f t="shared" si="26"/>
        <v>DATXUSDT</v>
      </c>
      <c r="E1646" s="125" t="e">
        <f ca="1">VLOOKUP(D1646,'Курсы Бинанса'!B:C,2,FALSE)</f>
        <v>#N/A</v>
      </c>
    </row>
    <row r="1647" spans="1:5">
      <c r="A1647" s="121">
        <v>1645</v>
      </c>
      <c r="B1647" s="123" t="s">
        <v>11204</v>
      </c>
      <c r="C1647" s="123" t="s">
        <v>11205</v>
      </c>
      <c r="D1647" s="124" t="str">
        <f t="shared" si="26"/>
        <v>DACSUSDT</v>
      </c>
      <c r="E1647" s="125" t="e">
        <f ca="1">VLOOKUP(D1647,'Курсы Бинанса'!B:C,2,FALSE)</f>
        <v>#N/A</v>
      </c>
    </row>
    <row r="1648" spans="1:5">
      <c r="A1648" s="121">
        <v>1646</v>
      </c>
      <c r="B1648" s="123" t="s">
        <v>11206</v>
      </c>
      <c r="C1648" s="123" t="s">
        <v>11207</v>
      </c>
      <c r="D1648" s="124" t="str">
        <f t="shared" si="26"/>
        <v>DRTUSDT</v>
      </c>
      <c r="E1648" s="125" t="e">
        <f ca="1">VLOOKUP(D1648,'Курсы Бинанса'!B:C,2,FALSE)</f>
        <v>#N/A</v>
      </c>
    </row>
    <row r="1649" spans="1:5">
      <c r="A1649" s="121">
        <v>1647</v>
      </c>
      <c r="B1649" s="123" t="s">
        <v>11208</v>
      </c>
      <c r="C1649" s="123" t="s">
        <v>11209</v>
      </c>
      <c r="D1649" s="124" t="str">
        <f t="shared" si="26"/>
        <v>CRPUSDT</v>
      </c>
      <c r="E1649" s="125" t="e">
        <f ca="1">VLOOKUP(D1649,'Курсы Бинанса'!B:C,2,FALSE)</f>
        <v>#N/A</v>
      </c>
    </row>
    <row r="1650" spans="1:5">
      <c r="A1650" s="121">
        <v>1648</v>
      </c>
      <c r="B1650" s="123" t="s">
        <v>11210</v>
      </c>
      <c r="C1650" s="123" t="s">
        <v>11211</v>
      </c>
      <c r="D1650" s="124" t="str">
        <f t="shared" si="26"/>
        <v>IHTUSDT</v>
      </c>
      <c r="E1650" s="125" t="e">
        <f ca="1">VLOOKUP(D1650,'Курсы Бинанса'!B:C,2,FALSE)</f>
        <v>#N/A</v>
      </c>
    </row>
    <row r="1651" spans="1:5">
      <c r="A1651" s="121">
        <v>1649</v>
      </c>
      <c r="B1651" s="123" t="s">
        <v>11212</v>
      </c>
      <c r="C1651" s="123" t="s">
        <v>11213</v>
      </c>
      <c r="D1651" s="124" t="str">
        <f t="shared" si="26"/>
        <v>ADTUSDT</v>
      </c>
      <c r="E1651" s="125" t="e">
        <f ca="1">VLOOKUP(D1651,'Курсы Бинанса'!B:C,2,FALSE)</f>
        <v>#N/A</v>
      </c>
    </row>
    <row r="1652" spans="1:5">
      <c r="A1652" s="121">
        <v>1650</v>
      </c>
      <c r="B1652" s="123" t="s">
        <v>11214</v>
      </c>
      <c r="C1652" s="123" t="s">
        <v>11215</v>
      </c>
      <c r="D1652" s="124" t="str">
        <f t="shared" si="26"/>
        <v>BFCUSDT</v>
      </c>
      <c r="E1652" s="125" t="e">
        <f ca="1">VLOOKUP(D1652,'Курсы Бинанса'!B:C,2,FALSE)</f>
        <v>#N/A</v>
      </c>
    </row>
    <row r="1653" spans="1:5">
      <c r="A1653" s="121">
        <v>1651</v>
      </c>
      <c r="B1653" s="123" t="s">
        <v>11216</v>
      </c>
      <c r="C1653" s="123" t="s">
        <v>11217</v>
      </c>
      <c r="D1653" s="124" t="str">
        <f t="shared" si="26"/>
        <v>BNKUSDT</v>
      </c>
      <c r="E1653" s="125" t="e">
        <f ca="1">VLOOKUP(D1653,'Курсы Бинанса'!B:C,2,FALSE)</f>
        <v>#N/A</v>
      </c>
    </row>
    <row r="1654" spans="1:5">
      <c r="A1654" s="121">
        <v>1652</v>
      </c>
      <c r="B1654" s="123" t="s">
        <v>11218</v>
      </c>
      <c r="C1654" s="123" t="s">
        <v>11219</v>
      </c>
      <c r="D1654" s="124" t="str">
        <f t="shared" si="26"/>
        <v>MRXUSDT</v>
      </c>
      <c r="E1654" s="125" t="e">
        <f ca="1">VLOOKUP(D1654,'Курсы Бинанса'!B:C,2,FALSE)</f>
        <v>#N/A</v>
      </c>
    </row>
    <row r="1655" spans="1:5">
      <c r="A1655" s="121">
        <v>1653</v>
      </c>
      <c r="B1655" s="123" t="s">
        <v>11220</v>
      </c>
      <c r="C1655" s="123" t="s">
        <v>11221</v>
      </c>
      <c r="D1655" s="124" t="str">
        <f t="shared" si="26"/>
        <v>BDPUSDT</v>
      </c>
      <c r="E1655" s="125" t="e">
        <f ca="1">VLOOKUP(D1655,'Курсы Бинанса'!B:C,2,FALSE)</f>
        <v>#N/A</v>
      </c>
    </row>
    <row r="1656" spans="1:5">
      <c r="A1656" s="121">
        <v>1654</v>
      </c>
      <c r="B1656" s="123" t="s">
        <v>11222</v>
      </c>
      <c r="C1656" s="123" t="s">
        <v>11223</v>
      </c>
      <c r="D1656" s="124" t="str">
        <f t="shared" si="26"/>
        <v>XLAUSDT</v>
      </c>
      <c r="E1656" s="125" t="e">
        <f ca="1">VLOOKUP(D1656,'Курсы Бинанса'!B:C,2,FALSE)</f>
        <v>#N/A</v>
      </c>
    </row>
    <row r="1657" spans="1:5">
      <c r="A1657" s="121">
        <v>1655</v>
      </c>
      <c r="B1657" s="123" t="s">
        <v>11224</v>
      </c>
      <c r="C1657" s="123" t="s">
        <v>11225</v>
      </c>
      <c r="D1657" s="124" t="str">
        <f t="shared" si="26"/>
        <v>DFSUSDT</v>
      </c>
      <c r="E1657" s="125" t="e">
        <f ca="1">VLOOKUP(D1657,'Курсы Бинанса'!B:C,2,FALSE)</f>
        <v>#N/A</v>
      </c>
    </row>
    <row r="1658" spans="1:5">
      <c r="A1658" s="121">
        <v>1656</v>
      </c>
      <c r="B1658" s="123" t="s">
        <v>11226</v>
      </c>
      <c r="C1658" s="123" t="s">
        <v>11227</v>
      </c>
      <c r="D1658" s="124" t="str">
        <f t="shared" si="26"/>
        <v>NUGUSDT</v>
      </c>
      <c r="E1658" s="125" t="e">
        <f ca="1">VLOOKUP(D1658,'Курсы Бинанса'!B:C,2,FALSE)</f>
        <v>#N/A</v>
      </c>
    </row>
    <row r="1659" spans="1:5">
      <c r="A1659" s="121">
        <v>1657</v>
      </c>
      <c r="B1659" s="123" t="s">
        <v>11228</v>
      </c>
      <c r="C1659" s="123" t="s">
        <v>11229</v>
      </c>
      <c r="D1659" s="124" t="str">
        <f t="shared" si="26"/>
        <v>CNBUSDT</v>
      </c>
      <c r="E1659" s="125" t="e">
        <f ca="1">VLOOKUP(D1659,'Курсы Бинанса'!B:C,2,FALSE)</f>
        <v>#N/A</v>
      </c>
    </row>
    <row r="1660" spans="1:5">
      <c r="A1660" s="121">
        <v>1658</v>
      </c>
      <c r="B1660" s="123" t="s">
        <v>11230</v>
      </c>
      <c r="C1660" s="123" t="s">
        <v>11231</v>
      </c>
      <c r="D1660" s="124" t="str">
        <f t="shared" si="26"/>
        <v>ZPTUSDT</v>
      </c>
      <c r="E1660" s="125" t="e">
        <f ca="1">VLOOKUP(D1660,'Курсы Бинанса'!B:C,2,FALSE)</f>
        <v>#N/A</v>
      </c>
    </row>
    <row r="1661" spans="1:5">
      <c r="A1661" s="121">
        <v>1659</v>
      </c>
      <c r="B1661" s="123" t="s">
        <v>11232</v>
      </c>
      <c r="C1661" s="123" t="s">
        <v>11233</v>
      </c>
      <c r="D1661" s="124" t="str">
        <f t="shared" si="26"/>
        <v>AUTOUSDT</v>
      </c>
      <c r="E1661" s="125" t="e">
        <f ca="1">VLOOKUP(D1661,'Курсы Бинанса'!B:C,2,FALSE)</f>
        <v>#N/A</v>
      </c>
    </row>
    <row r="1662" spans="1:5">
      <c r="A1662" s="121">
        <v>1660</v>
      </c>
      <c r="B1662" s="123" t="s">
        <v>11234</v>
      </c>
      <c r="C1662" s="123" t="s">
        <v>11235</v>
      </c>
      <c r="D1662" s="124" t="str">
        <f t="shared" si="26"/>
        <v>MODUSDT</v>
      </c>
      <c r="E1662" s="125" t="e">
        <f ca="1">VLOOKUP(D1662,'Курсы Бинанса'!B:C,2,FALSE)</f>
        <v>#N/A</v>
      </c>
    </row>
    <row r="1663" spans="1:5">
      <c r="A1663" s="121">
        <v>1661</v>
      </c>
      <c r="B1663" s="123" t="s">
        <v>11236</v>
      </c>
      <c r="C1663" s="123" t="s">
        <v>11237</v>
      </c>
      <c r="D1663" s="124" t="str">
        <f t="shared" si="26"/>
        <v>FLGUSDT</v>
      </c>
      <c r="E1663" s="125" t="e">
        <f ca="1">VLOOKUP(D1663,'Курсы Бинанса'!B:C,2,FALSE)</f>
        <v>#N/A</v>
      </c>
    </row>
    <row r="1664" spans="1:5">
      <c r="A1664" s="121">
        <v>1662</v>
      </c>
      <c r="B1664" s="123" t="s">
        <v>11238</v>
      </c>
      <c r="C1664" s="123" t="s">
        <v>11239</v>
      </c>
      <c r="D1664" s="124" t="str">
        <f t="shared" si="26"/>
        <v>VOISEUSDT</v>
      </c>
      <c r="E1664" s="125" t="e">
        <f ca="1">VLOOKUP(D1664,'Курсы Бинанса'!B:C,2,FALSE)</f>
        <v>#N/A</v>
      </c>
    </row>
    <row r="1665" spans="1:5">
      <c r="A1665" s="121">
        <v>1663</v>
      </c>
      <c r="B1665" s="123" t="s">
        <v>9992</v>
      </c>
      <c r="C1665" s="123" t="s">
        <v>11240</v>
      </c>
      <c r="D1665" s="124" t="str">
        <f t="shared" si="26"/>
        <v>DTAUSDT</v>
      </c>
      <c r="E1665" s="125" t="e">
        <f ca="1">VLOOKUP(D1665,'Курсы Бинанса'!B:C,2,FALSE)</f>
        <v>#N/A</v>
      </c>
    </row>
    <row r="1666" spans="1:5">
      <c r="A1666" s="121">
        <v>1664</v>
      </c>
      <c r="B1666" s="123" t="s">
        <v>11241</v>
      </c>
      <c r="C1666" s="123" t="s">
        <v>11233</v>
      </c>
      <c r="D1666" s="124" t="str">
        <f t="shared" si="26"/>
        <v>AUTOUSDT</v>
      </c>
      <c r="E1666" s="125" t="e">
        <f ca="1">VLOOKUP(D1666,'Курсы Бинанса'!B:C,2,FALSE)</f>
        <v>#N/A</v>
      </c>
    </row>
    <row r="1667" spans="1:5">
      <c r="A1667" s="121">
        <v>1665</v>
      </c>
      <c r="B1667" s="123" t="s">
        <v>11242</v>
      </c>
      <c r="C1667" s="123" t="s">
        <v>11243</v>
      </c>
      <c r="D1667" s="124" t="str">
        <f t="shared" si="26"/>
        <v>IGGUSDT</v>
      </c>
      <c r="E1667" s="125" t="e">
        <f ca="1">VLOOKUP(D1667,'Курсы Бинанса'!B:C,2,FALSE)</f>
        <v>#N/A</v>
      </c>
    </row>
    <row r="1668" spans="1:5">
      <c r="A1668" s="121">
        <v>1666</v>
      </c>
      <c r="B1668" s="123" t="s">
        <v>11244</v>
      </c>
      <c r="C1668" s="123" t="s">
        <v>11245</v>
      </c>
      <c r="D1668" s="124" t="str">
        <f t="shared" si="26"/>
        <v>CVUSDT</v>
      </c>
      <c r="E1668" s="125" t="e">
        <f ca="1">VLOOKUP(D1668,'Курсы Бинанса'!B:C,2,FALSE)</f>
        <v>#N/A</v>
      </c>
    </row>
    <row r="1669" spans="1:5">
      <c r="A1669" s="121">
        <v>1667</v>
      </c>
      <c r="B1669" s="123" t="s">
        <v>11246</v>
      </c>
      <c r="C1669" s="123" t="s">
        <v>11247</v>
      </c>
      <c r="D1669" s="124" t="str">
        <f t="shared" si="26"/>
        <v>FNTUSDT</v>
      </c>
      <c r="E1669" s="125" t="e">
        <f ca="1">VLOOKUP(D1669,'Курсы Бинанса'!B:C,2,FALSE)</f>
        <v>#N/A</v>
      </c>
    </row>
    <row r="1670" spans="1:5">
      <c r="A1670" s="121">
        <v>1668</v>
      </c>
      <c r="B1670" s="123" t="s">
        <v>11248</v>
      </c>
      <c r="C1670" s="123" t="s">
        <v>11249</v>
      </c>
      <c r="D1670" s="124" t="str">
        <f t="shared" si="26"/>
        <v>LKRUSDT</v>
      </c>
      <c r="E1670" s="125" t="e">
        <f ca="1">VLOOKUP(D1670,'Курсы Бинанса'!B:C,2,FALSE)</f>
        <v>#N/A</v>
      </c>
    </row>
    <row r="1671" spans="1:5">
      <c r="A1671" s="121">
        <v>1669</v>
      </c>
      <c r="B1671" s="123" t="s">
        <v>11250</v>
      </c>
      <c r="C1671" s="123" t="s">
        <v>11251</v>
      </c>
      <c r="D1671" s="124" t="str">
        <f t="shared" si="26"/>
        <v>PLURAUSDT</v>
      </c>
      <c r="E1671" s="125" t="e">
        <f ca="1">VLOOKUP(D1671,'Курсы Бинанса'!B:C,2,FALSE)</f>
        <v>#N/A</v>
      </c>
    </row>
    <row r="1672" spans="1:5">
      <c r="A1672" s="121">
        <v>1670</v>
      </c>
      <c r="B1672" s="123" t="s">
        <v>11252</v>
      </c>
      <c r="C1672" s="123" t="s">
        <v>11253</v>
      </c>
      <c r="D1672" s="124" t="str">
        <f t="shared" si="26"/>
        <v>BEETUSDT</v>
      </c>
      <c r="E1672" s="125" t="e">
        <f ca="1">VLOOKUP(D1672,'Курсы Бинанса'!B:C,2,FALSE)</f>
        <v>#N/A</v>
      </c>
    </row>
    <row r="1673" spans="1:5">
      <c r="A1673" s="121">
        <v>1671</v>
      </c>
      <c r="B1673" s="123" t="s">
        <v>11254</v>
      </c>
      <c r="C1673" s="123" t="s">
        <v>11255</v>
      </c>
      <c r="D1673" s="124" t="str">
        <f t="shared" si="26"/>
        <v>BESTUSDT</v>
      </c>
      <c r="E1673" s="125" t="e">
        <f ca="1">VLOOKUP(D1673,'Курсы Бинанса'!B:C,2,FALSE)</f>
        <v>#N/A</v>
      </c>
    </row>
    <row r="1674" spans="1:5">
      <c r="A1674" s="121">
        <v>1672</v>
      </c>
      <c r="B1674" s="123" t="s">
        <v>11256</v>
      </c>
      <c r="C1674" s="123" t="s">
        <v>11257</v>
      </c>
      <c r="D1674" s="124" t="str">
        <f t="shared" si="26"/>
        <v>WINUSDT</v>
      </c>
      <c r="E1674" s="125" t="e">
        <f ca="1">VLOOKUP(D1674,'Курсы Бинанса'!B:C,2,FALSE)</f>
        <v>#N/A</v>
      </c>
    </row>
    <row r="1675" spans="1:5">
      <c r="A1675" s="121">
        <v>1673</v>
      </c>
      <c r="B1675" s="123" t="s">
        <v>11258</v>
      </c>
      <c r="C1675" s="123" t="s">
        <v>11259</v>
      </c>
      <c r="D1675" s="124" t="str">
        <f t="shared" si="26"/>
        <v>BCNUSDT</v>
      </c>
      <c r="E1675" s="125" t="e">
        <f ca="1">VLOOKUP(D1675,'Курсы Бинанса'!B:C,2,FALSE)</f>
        <v>#N/A</v>
      </c>
    </row>
    <row r="1676" spans="1:5">
      <c r="A1676" s="121">
        <v>1674</v>
      </c>
      <c r="B1676" s="123" t="s">
        <v>11260</v>
      </c>
      <c r="C1676" s="123" t="s">
        <v>11261</v>
      </c>
      <c r="D1676" s="124" t="str">
        <f t="shared" si="26"/>
        <v>GALUSDT</v>
      </c>
      <c r="E1676" s="125" t="e">
        <f ca="1">VLOOKUP(D1676,'Курсы Бинанса'!B:C,2,FALSE)</f>
        <v>#N/A</v>
      </c>
    </row>
    <row r="1677" spans="1:5">
      <c r="A1677" s="121">
        <v>1675</v>
      </c>
      <c r="B1677" s="123" t="s">
        <v>11262</v>
      </c>
      <c r="C1677" s="123" t="s">
        <v>11263</v>
      </c>
      <c r="D1677" s="124" t="str">
        <f t="shared" si="26"/>
        <v>UBXUSDT</v>
      </c>
      <c r="E1677" s="125" t="e">
        <f ca="1">VLOOKUP(D1677,'Курсы Бинанса'!B:C,2,FALSE)</f>
        <v>#N/A</v>
      </c>
    </row>
    <row r="1678" spans="1:5">
      <c r="A1678" s="121">
        <v>1676</v>
      </c>
      <c r="B1678" s="123" t="s">
        <v>11264</v>
      </c>
      <c r="C1678" s="123" t="s">
        <v>11265</v>
      </c>
      <c r="D1678" s="124" t="str">
        <f t="shared" si="26"/>
        <v>NEWUSDT</v>
      </c>
      <c r="E1678" s="125" t="e">
        <f ca="1">VLOOKUP(D1678,'Курсы Бинанса'!B:C,2,FALSE)</f>
        <v>#N/A</v>
      </c>
    </row>
    <row r="1679" spans="1:5">
      <c r="A1679" s="121">
        <v>1677</v>
      </c>
      <c r="B1679" s="123" t="s">
        <v>11266</v>
      </c>
      <c r="C1679" s="123" t="s">
        <v>11267</v>
      </c>
      <c r="D1679" s="124" t="str">
        <f t="shared" si="26"/>
        <v>WEBDUSDT</v>
      </c>
      <c r="E1679" s="125" t="e">
        <f ca="1">VLOOKUP(D1679,'Курсы Бинанса'!B:C,2,FALSE)</f>
        <v>#N/A</v>
      </c>
    </row>
    <row r="1680" spans="1:5">
      <c r="A1680" s="121">
        <v>1678</v>
      </c>
      <c r="B1680" s="123" t="s">
        <v>11268</v>
      </c>
      <c r="C1680" s="123" t="s">
        <v>11269</v>
      </c>
      <c r="D1680" s="124" t="str">
        <f t="shared" si="26"/>
        <v>LNCUSDT</v>
      </c>
      <c r="E1680" s="125" t="e">
        <f ca="1">VLOOKUP(D1680,'Курсы Бинанса'!B:C,2,FALSE)</f>
        <v>#N/A</v>
      </c>
    </row>
    <row r="1681" spans="1:5">
      <c r="A1681" s="121">
        <v>1679</v>
      </c>
      <c r="B1681" s="123" t="s">
        <v>11270</v>
      </c>
      <c r="C1681" s="123" t="s">
        <v>11271</v>
      </c>
      <c r="D1681" s="124" t="str">
        <f t="shared" si="26"/>
        <v>BTCZUSDT</v>
      </c>
      <c r="E1681" s="125" t="e">
        <f ca="1">VLOOKUP(D1681,'Курсы Бинанса'!B:C,2,FALSE)</f>
        <v>#N/A</v>
      </c>
    </row>
    <row r="1682" spans="1:5">
      <c r="A1682" s="121">
        <v>1680</v>
      </c>
      <c r="B1682" s="123" t="s">
        <v>11272</v>
      </c>
      <c r="C1682" s="123" t="s">
        <v>11273</v>
      </c>
      <c r="D1682" s="124" t="str">
        <f t="shared" si="26"/>
        <v>UUUUSDT</v>
      </c>
      <c r="E1682" s="125" t="e">
        <f ca="1">VLOOKUP(D1682,'Курсы Бинанса'!B:C,2,FALSE)</f>
        <v>#N/A</v>
      </c>
    </row>
    <row r="1683" spans="1:5">
      <c r="A1683" s="121">
        <v>1681</v>
      </c>
      <c r="B1683" s="123" t="s">
        <v>11274</v>
      </c>
      <c r="C1683" s="123" t="s">
        <v>11275</v>
      </c>
      <c r="D1683" s="124" t="str">
        <f t="shared" si="26"/>
        <v>TSLUSDT</v>
      </c>
      <c r="E1683" s="125" t="e">
        <f ca="1">VLOOKUP(D1683,'Курсы Бинанса'!B:C,2,FALSE)</f>
        <v>#N/A</v>
      </c>
    </row>
    <row r="1684" spans="1:5">
      <c r="A1684" s="121">
        <v>1682</v>
      </c>
      <c r="B1684" s="123" t="s">
        <v>11276</v>
      </c>
      <c r="C1684" s="123" t="s">
        <v>11277</v>
      </c>
      <c r="D1684" s="124" t="str">
        <f t="shared" si="26"/>
        <v>ACUSDT</v>
      </c>
      <c r="E1684" s="125" t="e">
        <f ca="1">VLOOKUP(D1684,'Курсы Бинанса'!B:C,2,FALSE)</f>
        <v>#N/A</v>
      </c>
    </row>
    <row r="1685" spans="1:5">
      <c r="A1685" s="121">
        <v>1683</v>
      </c>
      <c r="B1685" s="123" t="s">
        <v>11278</v>
      </c>
      <c r="C1685" s="123" t="s">
        <v>11279</v>
      </c>
      <c r="D1685" s="124" t="str">
        <f t="shared" si="26"/>
        <v>BXCUSDT</v>
      </c>
      <c r="E1685" s="125" t="e">
        <f ca="1">VLOOKUP(D1685,'Курсы Бинанса'!B:C,2,FALSE)</f>
        <v>#N/A</v>
      </c>
    </row>
    <row r="1686" spans="1:5">
      <c r="A1686" s="121">
        <v>1684</v>
      </c>
      <c r="B1686" s="123" t="s">
        <v>11280</v>
      </c>
      <c r="C1686" s="123" t="s">
        <v>11281</v>
      </c>
      <c r="D1686" s="124" t="str">
        <f t="shared" si="26"/>
        <v>GMATUSDT</v>
      </c>
      <c r="E1686" s="125" t="e">
        <f ca="1">VLOOKUP(D1686,'Курсы Бинанса'!B:C,2,FALSE)</f>
        <v>#N/A</v>
      </c>
    </row>
    <row r="1687" spans="1:5">
      <c r="A1687" s="121">
        <v>1685</v>
      </c>
      <c r="B1687" s="123" t="s">
        <v>11282</v>
      </c>
      <c r="C1687" s="123" t="s">
        <v>11283</v>
      </c>
      <c r="D1687" s="124" t="str">
        <f t="shared" si="26"/>
        <v>TCHUSDT</v>
      </c>
      <c r="E1687" s="125" t="e">
        <f ca="1">VLOOKUP(D1687,'Курсы Бинанса'!B:C,2,FALSE)</f>
        <v>#N/A</v>
      </c>
    </row>
    <row r="1688" spans="1:5">
      <c r="A1688" s="121">
        <v>1686</v>
      </c>
      <c r="B1688" s="123" t="s">
        <v>11284</v>
      </c>
      <c r="C1688" s="123" t="s">
        <v>11285</v>
      </c>
      <c r="D1688" s="124" t="str">
        <f t="shared" si="26"/>
        <v>TYPEUSDT</v>
      </c>
      <c r="E1688" s="125" t="e">
        <f ca="1">VLOOKUP(D1688,'Курсы Бинанса'!B:C,2,FALSE)</f>
        <v>#N/A</v>
      </c>
    </row>
    <row r="1689" spans="1:5">
      <c r="A1689" s="121">
        <v>1687</v>
      </c>
      <c r="B1689" s="123" t="s">
        <v>11286</v>
      </c>
      <c r="C1689" s="123" t="s">
        <v>11287</v>
      </c>
      <c r="D1689" s="124" t="str">
        <f t="shared" si="26"/>
        <v>XDNAUSDT</v>
      </c>
      <c r="E1689" s="125" t="e">
        <f ca="1">VLOOKUP(D1689,'Курсы Бинанса'!B:C,2,FALSE)</f>
        <v>#N/A</v>
      </c>
    </row>
    <row r="1690" spans="1:5">
      <c r="A1690" s="121">
        <v>1688</v>
      </c>
      <c r="B1690" s="123" t="s">
        <v>11288</v>
      </c>
      <c r="C1690" s="123" t="s">
        <v>11289</v>
      </c>
      <c r="D1690" s="124" t="str">
        <f t="shared" si="26"/>
        <v>RATINGUSDT</v>
      </c>
      <c r="E1690" s="125" t="e">
        <f ca="1">VLOOKUP(D1690,'Курсы Бинанса'!B:C,2,FALSE)</f>
        <v>#N/A</v>
      </c>
    </row>
    <row r="1691" spans="1:5">
      <c r="A1691" s="121">
        <v>1689</v>
      </c>
      <c r="B1691" s="123" t="s">
        <v>11290</v>
      </c>
      <c r="C1691" s="123" t="s">
        <v>11291</v>
      </c>
      <c r="D1691" s="124" t="str">
        <f t="shared" si="26"/>
        <v>FXTUSDT</v>
      </c>
      <c r="E1691" s="125" t="e">
        <f ca="1">VLOOKUP(D1691,'Курсы Бинанса'!B:C,2,FALSE)</f>
        <v>#N/A</v>
      </c>
    </row>
    <row r="1692" spans="1:5">
      <c r="A1692" s="121">
        <v>1690</v>
      </c>
      <c r="B1692" s="123" t="s">
        <v>11292</v>
      </c>
      <c r="C1692" s="123" t="s">
        <v>11293</v>
      </c>
      <c r="D1692" s="124" t="str">
        <f t="shared" si="26"/>
        <v>ZPRUSDT</v>
      </c>
      <c r="E1692" s="125" t="e">
        <f ca="1">VLOOKUP(D1692,'Курсы Бинанса'!B:C,2,FALSE)</f>
        <v>#N/A</v>
      </c>
    </row>
    <row r="1693" spans="1:5">
      <c r="A1693" s="121">
        <v>1691</v>
      </c>
      <c r="B1693" s="123" t="s">
        <v>11294</v>
      </c>
      <c r="C1693" s="123" t="s">
        <v>11295</v>
      </c>
      <c r="D1693" s="124" t="str">
        <f t="shared" si="26"/>
        <v>CRUUSDT</v>
      </c>
      <c r="E1693" s="125" t="e">
        <f ca="1">VLOOKUP(D1693,'Курсы Бинанса'!B:C,2,FALSE)</f>
        <v>#N/A</v>
      </c>
    </row>
    <row r="1694" spans="1:5">
      <c r="A1694" s="121">
        <v>1692</v>
      </c>
      <c r="B1694" s="123" t="s">
        <v>11296</v>
      </c>
      <c r="C1694" s="123" t="s">
        <v>11295</v>
      </c>
      <c r="D1694" s="124" t="str">
        <f t="shared" si="26"/>
        <v>CRUUSDT</v>
      </c>
      <c r="E1694" s="125" t="e">
        <f ca="1">VLOOKUP(D1694,'Курсы Бинанса'!B:C,2,FALSE)</f>
        <v>#N/A</v>
      </c>
    </row>
    <row r="1695" spans="1:5">
      <c r="A1695" s="121">
        <v>1693</v>
      </c>
      <c r="B1695" s="123" t="s">
        <v>11297</v>
      </c>
      <c r="C1695" s="123" t="s">
        <v>11298</v>
      </c>
      <c r="D1695" s="124" t="str">
        <f t="shared" si="26"/>
        <v>SWAPUSDT</v>
      </c>
      <c r="E1695" s="125" t="e">
        <f ca="1">VLOOKUP(D1695,'Курсы Бинанса'!B:C,2,FALSE)</f>
        <v>#N/A</v>
      </c>
    </row>
    <row r="1696" spans="1:5">
      <c r="A1696" s="121">
        <v>1694</v>
      </c>
      <c r="B1696" s="123" t="s">
        <v>11294</v>
      </c>
      <c r="C1696" s="123" t="s">
        <v>11295</v>
      </c>
      <c r="D1696" s="124" t="str">
        <f t="shared" si="26"/>
        <v>CRUUSDT</v>
      </c>
      <c r="E1696" s="125" t="e">
        <f ca="1">VLOOKUP(D1696,'Курсы Бинанса'!B:C,2,FALSE)</f>
        <v>#N/A</v>
      </c>
    </row>
    <row r="1697" spans="1:5">
      <c r="A1697" s="121">
        <v>1695</v>
      </c>
      <c r="B1697" s="123" t="s">
        <v>11299</v>
      </c>
      <c r="C1697" s="123" t="s">
        <v>11300</v>
      </c>
      <c r="D1697" s="124" t="str">
        <f t="shared" si="26"/>
        <v>BAXUSDT</v>
      </c>
      <c r="E1697" s="125" t="e">
        <f ca="1">VLOOKUP(D1697,'Курсы Бинанса'!B:C,2,FALSE)</f>
        <v>#N/A</v>
      </c>
    </row>
    <row r="1698" spans="1:5">
      <c r="A1698" s="121">
        <v>1696</v>
      </c>
      <c r="B1698" s="123" t="s">
        <v>11301</v>
      </c>
      <c r="C1698" s="123" t="s">
        <v>11302</v>
      </c>
      <c r="D1698" s="124" t="str">
        <f t="shared" ref="D1698:D1761" si="27">CONCATENATE(C1698,"USDT")</f>
        <v>INSURUSDT</v>
      </c>
      <c r="E1698" s="125" t="e">
        <f ca="1">VLOOKUP(D1698,'Курсы Бинанса'!B:C,2,FALSE)</f>
        <v>#N/A</v>
      </c>
    </row>
    <row r="1699" spans="1:5">
      <c r="A1699" s="121">
        <v>1697</v>
      </c>
      <c r="B1699" s="123" t="s">
        <v>11303</v>
      </c>
      <c r="C1699" s="123" t="s">
        <v>11304</v>
      </c>
      <c r="D1699" s="124" t="str">
        <f t="shared" si="27"/>
        <v>TOAUSDT</v>
      </c>
      <c r="E1699" s="125" t="e">
        <f ca="1">VLOOKUP(D1699,'Курсы Бинанса'!B:C,2,FALSE)</f>
        <v>#N/A</v>
      </c>
    </row>
    <row r="1700" spans="1:5">
      <c r="A1700" s="121">
        <v>1698</v>
      </c>
      <c r="B1700" s="123" t="s">
        <v>11305</v>
      </c>
      <c r="C1700" s="123" t="s">
        <v>11306</v>
      </c>
      <c r="D1700" s="124" t="str">
        <f t="shared" si="27"/>
        <v>FICUSDT</v>
      </c>
      <c r="E1700" s="125" t="e">
        <f ca="1">VLOOKUP(D1700,'Курсы Бинанса'!B:C,2,FALSE)</f>
        <v>#N/A</v>
      </c>
    </row>
    <row r="1701" spans="1:5">
      <c r="A1701" s="121">
        <v>1699</v>
      </c>
      <c r="B1701" s="123" t="s">
        <v>11307</v>
      </c>
      <c r="C1701" s="123" t="s">
        <v>11308</v>
      </c>
      <c r="D1701" s="124" t="str">
        <f t="shared" si="27"/>
        <v>XMXUSDT</v>
      </c>
      <c r="E1701" s="125" t="e">
        <f ca="1">VLOOKUP(D1701,'Курсы Бинанса'!B:C,2,FALSE)</f>
        <v>#N/A</v>
      </c>
    </row>
    <row r="1702" spans="1:5">
      <c r="A1702" s="121">
        <v>1700</v>
      </c>
      <c r="B1702" s="123" t="s">
        <v>11309</v>
      </c>
      <c r="C1702" s="123" t="s">
        <v>15576</v>
      </c>
      <c r="D1702" s="124" t="str">
        <f t="shared" si="27"/>
        <v>RVCUSDT</v>
      </c>
      <c r="E1702" s="125" t="e">
        <f ca="1">VLOOKUP(D1702,'Курсы Бинанса'!B:C,2,FALSE)</f>
        <v>#N/A</v>
      </c>
    </row>
    <row r="1703" spans="1:5">
      <c r="A1703" s="121">
        <v>1701</v>
      </c>
      <c r="B1703" s="123" t="s">
        <v>15577</v>
      </c>
      <c r="C1703" s="123" t="s">
        <v>15578</v>
      </c>
      <c r="D1703" s="124" t="str">
        <f t="shared" si="27"/>
        <v>VDGUSDT</v>
      </c>
      <c r="E1703" s="125" t="e">
        <f ca="1">VLOOKUP(D1703,'Курсы Бинанса'!B:C,2,FALSE)</f>
        <v>#N/A</v>
      </c>
    </row>
    <row r="1704" spans="1:5">
      <c r="A1704" s="121">
        <v>1702</v>
      </c>
      <c r="B1704" s="123" t="s">
        <v>15579</v>
      </c>
      <c r="C1704" s="123" t="s">
        <v>15580</v>
      </c>
      <c r="D1704" s="124" t="str">
        <f t="shared" si="27"/>
        <v>CNSUSDT</v>
      </c>
      <c r="E1704" s="125" t="e">
        <f ca="1">VLOOKUP(D1704,'Курсы Бинанса'!B:C,2,FALSE)</f>
        <v>#N/A</v>
      </c>
    </row>
    <row r="1705" spans="1:5">
      <c r="A1705" s="121">
        <v>1703</v>
      </c>
      <c r="B1705" s="123" t="s">
        <v>15581</v>
      </c>
      <c r="C1705" s="123" t="s">
        <v>15582</v>
      </c>
      <c r="D1705" s="124" t="str">
        <f t="shared" si="27"/>
        <v>ACATUSDT</v>
      </c>
      <c r="E1705" s="125" t="e">
        <f ca="1">VLOOKUP(D1705,'Курсы Бинанса'!B:C,2,FALSE)</f>
        <v>#N/A</v>
      </c>
    </row>
    <row r="1706" spans="1:5">
      <c r="A1706" s="121">
        <v>1704</v>
      </c>
      <c r="B1706" s="123" t="s">
        <v>15583</v>
      </c>
      <c r="C1706" s="123" t="s">
        <v>15584</v>
      </c>
      <c r="D1706" s="124" t="str">
        <f t="shared" si="27"/>
        <v>UBEXUSDT</v>
      </c>
      <c r="E1706" s="125" t="e">
        <f ca="1">VLOOKUP(D1706,'Курсы Бинанса'!B:C,2,FALSE)</f>
        <v>#N/A</v>
      </c>
    </row>
    <row r="1707" spans="1:5">
      <c r="A1707" s="121">
        <v>1705</v>
      </c>
      <c r="B1707" s="123" t="s">
        <v>15585</v>
      </c>
      <c r="C1707" s="123" t="s">
        <v>15586</v>
      </c>
      <c r="D1707" s="124" t="str">
        <f t="shared" si="27"/>
        <v>UCASHUSDT</v>
      </c>
      <c r="E1707" s="125" t="e">
        <f ca="1">VLOOKUP(D1707,'Курсы Бинанса'!B:C,2,FALSE)</f>
        <v>#N/A</v>
      </c>
    </row>
    <row r="1708" spans="1:5">
      <c r="A1708" s="121">
        <v>1706</v>
      </c>
      <c r="B1708" s="123" t="s">
        <v>15587</v>
      </c>
      <c r="C1708" s="123" t="s">
        <v>15588</v>
      </c>
      <c r="D1708" s="124" t="str">
        <f t="shared" si="27"/>
        <v>FTIUSDT</v>
      </c>
      <c r="E1708" s="125" t="e">
        <f ca="1">VLOOKUP(D1708,'Курсы Бинанса'!B:C,2,FALSE)</f>
        <v>#N/A</v>
      </c>
    </row>
    <row r="1709" spans="1:5">
      <c r="A1709" s="121">
        <v>1707</v>
      </c>
      <c r="B1709" s="123" t="s">
        <v>15589</v>
      </c>
      <c r="C1709" s="123" t="s">
        <v>15590</v>
      </c>
      <c r="D1709" s="124" t="str">
        <f t="shared" si="27"/>
        <v>UPXUSDT</v>
      </c>
      <c r="E1709" s="125" t="e">
        <f ca="1">VLOOKUP(D1709,'Курсы Бинанса'!B:C,2,FALSE)</f>
        <v>#N/A</v>
      </c>
    </row>
    <row r="1710" spans="1:5">
      <c r="A1710" s="121">
        <v>1708</v>
      </c>
      <c r="B1710" s="123" t="s">
        <v>15591</v>
      </c>
      <c r="C1710" s="123" t="s">
        <v>15591</v>
      </c>
      <c r="D1710" s="124" t="str">
        <f t="shared" si="27"/>
        <v>COVAUSDT</v>
      </c>
      <c r="E1710" s="125" t="e">
        <f ca="1">VLOOKUP(D1710,'Курсы Бинанса'!B:C,2,FALSE)</f>
        <v>#N/A</v>
      </c>
    </row>
    <row r="1711" spans="1:5">
      <c r="A1711" s="121">
        <v>1709</v>
      </c>
      <c r="B1711" s="123" t="s">
        <v>15592</v>
      </c>
      <c r="C1711" s="123" t="s">
        <v>15593</v>
      </c>
      <c r="D1711" s="124" t="str">
        <f t="shared" si="27"/>
        <v>DEALUSDT</v>
      </c>
      <c r="E1711" s="125" t="e">
        <f ca="1">VLOOKUP(D1711,'Курсы Бинанса'!B:C,2,FALSE)</f>
        <v>#N/A</v>
      </c>
    </row>
    <row r="1712" spans="1:5">
      <c r="A1712" s="121">
        <v>1710</v>
      </c>
      <c r="B1712" s="123" t="s">
        <v>15594</v>
      </c>
      <c r="C1712" s="123" t="s">
        <v>15595</v>
      </c>
      <c r="D1712" s="124" t="str">
        <f t="shared" si="27"/>
        <v>KIMCHIUSDT</v>
      </c>
      <c r="E1712" s="125" t="e">
        <f ca="1">VLOOKUP(D1712,'Курсы Бинанса'!B:C,2,FALSE)</f>
        <v>#N/A</v>
      </c>
    </row>
    <row r="1713" spans="1:5">
      <c r="A1713" s="121">
        <v>1711</v>
      </c>
      <c r="B1713" s="123" t="s">
        <v>15596</v>
      </c>
      <c r="C1713" s="123" t="s">
        <v>15597</v>
      </c>
      <c r="D1713" s="124" t="str">
        <f t="shared" si="27"/>
        <v>PXGUSDT</v>
      </c>
      <c r="E1713" s="125" t="e">
        <f ca="1">VLOOKUP(D1713,'Курсы Бинанса'!B:C,2,FALSE)</f>
        <v>#N/A</v>
      </c>
    </row>
    <row r="1714" spans="1:5">
      <c r="A1714" s="121">
        <v>1712</v>
      </c>
      <c r="B1714" s="123" t="s">
        <v>15598</v>
      </c>
      <c r="C1714" s="123" t="s">
        <v>15599</v>
      </c>
      <c r="D1714" s="124" t="str">
        <f t="shared" si="27"/>
        <v>CHEESEUSDT</v>
      </c>
      <c r="E1714" s="125" t="e">
        <f ca="1">VLOOKUP(D1714,'Курсы Бинанса'!B:C,2,FALSE)</f>
        <v>#N/A</v>
      </c>
    </row>
    <row r="1715" spans="1:5">
      <c r="A1715" s="121">
        <v>1713</v>
      </c>
      <c r="B1715" s="123" t="s">
        <v>15600</v>
      </c>
      <c r="C1715" s="123" t="s">
        <v>15600</v>
      </c>
      <c r="D1715" s="124" t="str">
        <f t="shared" si="27"/>
        <v>PTONUSDT</v>
      </c>
      <c r="E1715" s="125" t="e">
        <f ca="1">VLOOKUP(D1715,'Курсы Бинанса'!B:C,2,FALSE)</f>
        <v>#N/A</v>
      </c>
    </row>
    <row r="1716" spans="1:5">
      <c r="A1716" s="121">
        <v>1714</v>
      </c>
      <c r="B1716" s="123" t="s">
        <v>15601</v>
      </c>
      <c r="C1716" s="123" t="s">
        <v>15602</v>
      </c>
      <c r="D1716" s="124" t="str">
        <f t="shared" si="27"/>
        <v>GRFTUSDT</v>
      </c>
      <c r="E1716" s="125" t="e">
        <f ca="1">VLOOKUP(D1716,'Курсы Бинанса'!B:C,2,FALSE)</f>
        <v>#N/A</v>
      </c>
    </row>
    <row r="1717" spans="1:5">
      <c r="A1717" s="121">
        <v>1715</v>
      </c>
      <c r="B1717" s="123" t="s">
        <v>15603</v>
      </c>
      <c r="C1717" s="123" t="s">
        <v>15604</v>
      </c>
      <c r="D1717" s="124" t="str">
        <f t="shared" si="27"/>
        <v>QUANUSDT</v>
      </c>
      <c r="E1717" s="125" t="e">
        <f ca="1">VLOOKUP(D1717,'Курсы Бинанса'!B:C,2,FALSE)</f>
        <v>#N/A</v>
      </c>
    </row>
    <row r="1718" spans="1:5">
      <c r="A1718" s="121">
        <v>1716</v>
      </c>
      <c r="B1718" s="123" t="s">
        <v>15605</v>
      </c>
      <c r="C1718" s="123" t="s">
        <v>15606</v>
      </c>
      <c r="D1718" s="124" t="str">
        <f t="shared" si="27"/>
        <v>ALTUSDT</v>
      </c>
      <c r="E1718" s="125" t="e">
        <f ca="1">VLOOKUP(D1718,'Курсы Бинанса'!B:C,2,FALSE)</f>
        <v>#N/A</v>
      </c>
    </row>
    <row r="1719" spans="1:5">
      <c r="A1719" s="121">
        <v>1717</v>
      </c>
      <c r="B1719" s="123" t="s">
        <v>15607</v>
      </c>
      <c r="C1719" s="123" t="s">
        <v>15608</v>
      </c>
      <c r="D1719" s="124" t="str">
        <f t="shared" si="27"/>
        <v>KICKUSDT</v>
      </c>
      <c r="E1719" s="125" t="e">
        <f ca="1">VLOOKUP(D1719,'Курсы Бинанса'!B:C,2,FALSE)</f>
        <v>#N/A</v>
      </c>
    </row>
    <row r="1720" spans="1:5">
      <c r="A1720" s="121">
        <v>1718</v>
      </c>
      <c r="B1720" s="123" t="s">
        <v>15609</v>
      </c>
      <c r="C1720" s="123" t="s">
        <v>15610</v>
      </c>
      <c r="D1720" s="124" t="str">
        <f t="shared" si="27"/>
        <v>SLTUSDT</v>
      </c>
      <c r="E1720" s="125" t="e">
        <f ca="1">VLOOKUP(D1720,'Курсы Бинанса'!B:C,2,FALSE)</f>
        <v>#N/A</v>
      </c>
    </row>
    <row r="1721" spans="1:5">
      <c r="A1721" s="121">
        <v>1719</v>
      </c>
      <c r="B1721" s="123" t="s">
        <v>15611</v>
      </c>
      <c r="C1721" s="123" t="s">
        <v>15612</v>
      </c>
      <c r="D1721" s="124" t="str">
        <f t="shared" si="27"/>
        <v>NVTUSDT</v>
      </c>
      <c r="E1721" s="125" t="e">
        <f ca="1">VLOOKUP(D1721,'Курсы Бинанса'!B:C,2,FALSE)</f>
        <v>#N/A</v>
      </c>
    </row>
    <row r="1722" spans="1:5">
      <c r="A1722" s="121">
        <v>1720</v>
      </c>
      <c r="B1722" s="123" t="s">
        <v>15613</v>
      </c>
      <c r="C1722" s="123" t="s">
        <v>15614</v>
      </c>
      <c r="D1722" s="124" t="str">
        <f t="shared" si="27"/>
        <v>XCASHUSDT</v>
      </c>
      <c r="E1722" s="125" t="e">
        <f ca="1">VLOOKUP(D1722,'Курсы Бинанса'!B:C,2,FALSE)</f>
        <v>#N/A</v>
      </c>
    </row>
    <row r="1723" spans="1:5">
      <c r="A1723" s="121">
        <v>1721</v>
      </c>
      <c r="B1723" s="123" t="s">
        <v>15615</v>
      </c>
      <c r="C1723" s="123" t="s">
        <v>15616</v>
      </c>
      <c r="D1723" s="124" t="str">
        <f t="shared" si="27"/>
        <v>LBTCUSDT</v>
      </c>
      <c r="E1723" s="125" t="e">
        <f ca="1">VLOOKUP(D1723,'Курсы Бинанса'!B:C,2,FALSE)</f>
        <v>#N/A</v>
      </c>
    </row>
    <row r="1724" spans="1:5">
      <c r="A1724" s="121">
        <v>1722</v>
      </c>
      <c r="B1724" s="123" t="s">
        <v>15617</v>
      </c>
      <c r="C1724" s="123" t="s">
        <v>15618</v>
      </c>
      <c r="D1724" s="124" t="str">
        <f t="shared" si="27"/>
        <v>HTMLUSDT</v>
      </c>
      <c r="E1724" s="125" t="e">
        <f ca="1">VLOOKUP(D1724,'Курсы Бинанса'!B:C,2,FALSE)</f>
        <v>#N/A</v>
      </c>
    </row>
    <row r="1725" spans="1:5">
      <c r="A1725" s="121">
        <v>1723</v>
      </c>
      <c r="B1725" s="123" t="s">
        <v>15619</v>
      </c>
      <c r="C1725" s="123" t="s">
        <v>15620</v>
      </c>
      <c r="D1725" s="124" t="str">
        <f t="shared" si="27"/>
        <v>DEXAUSDT</v>
      </c>
      <c r="E1725" s="125" t="e">
        <f ca="1">VLOOKUP(D1725,'Курсы Бинанса'!B:C,2,FALSE)</f>
        <v>#N/A</v>
      </c>
    </row>
    <row r="1726" spans="1:5">
      <c r="A1726" s="121">
        <v>1724</v>
      </c>
      <c r="B1726" s="123" t="s">
        <v>15621</v>
      </c>
      <c r="C1726" s="123" t="s">
        <v>15622</v>
      </c>
      <c r="D1726" s="124" t="str">
        <f t="shared" si="27"/>
        <v>CYCUSDT</v>
      </c>
      <c r="E1726" s="125" t="e">
        <f ca="1">VLOOKUP(D1726,'Курсы Бинанса'!B:C,2,FALSE)</f>
        <v>#N/A</v>
      </c>
    </row>
    <row r="1727" spans="1:5">
      <c r="A1727" s="121">
        <v>1725</v>
      </c>
      <c r="B1727" s="123" t="s">
        <v>15623</v>
      </c>
      <c r="C1727" s="123" t="s">
        <v>15624</v>
      </c>
      <c r="D1727" s="124" t="str">
        <f t="shared" si="27"/>
        <v>PMAUSDT</v>
      </c>
      <c r="E1727" s="125" t="e">
        <f ca="1">VLOOKUP(D1727,'Курсы Бинанса'!B:C,2,FALSE)</f>
        <v>#N/A</v>
      </c>
    </row>
    <row r="1728" spans="1:5">
      <c r="A1728" s="121">
        <v>1726</v>
      </c>
      <c r="B1728" s="123" t="s">
        <v>15625</v>
      </c>
      <c r="C1728" s="123" t="s">
        <v>15626</v>
      </c>
      <c r="D1728" s="124" t="str">
        <f t="shared" si="27"/>
        <v>ETHMUSDT</v>
      </c>
      <c r="E1728" s="125" t="e">
        <f ca="1">VLOOKUP(D1728,'Курсы Бинанса'!B:C,2,FALSE)</f>
        <v>#N/A</v>
      </c>
    </row>
    <row r="1729" spans="1:5">
      <c r="A1729" s="121">
        <v>1727</v>
      </c>
      <c r="B1729" s="123" t="s">
        <v>15627</v>
      </c>
      <c r="C1729" s="123" t="s">
        <v>15628</v>
      </c>
      <c r="D1729" s="124" t="str">
        <f t="shared" si="27"/>
        <v>NPXSXEMUSDT</v>
      </c>
      <c r="E1729" s="125" t="e">
        <f ca="1">VLOOKUP(D1729,'Курсы Бинанса'!B:C,2,FALSE)</f>
        <v>#N/A</v>
      </c>
    </row>
    <row r="1730" spans="1:5">
      <c r="A1730" s="121">
        <v>1728</v>
      </c>
      <c r="B1730" s="123" t="s">
        <v>15629</v>
      </c>
      <c r="C1730" s="123" t="s">
        <v>15630</v>
      </c>
      <c r="D1730" s="124" t="str">
        <f t="shared" si="27"/>
        <v>IOVUSDT</v>
      </c>
      <c r="E1730" s="125" t="e">
        <f ca="1">VLOOKUP(D1730,'Курсы Бинанса'!B:C,2,FALSE)</f>
        <v>#N/A</v>
      </c>
    </row>
    <row r="1731" spans="1:5">
      <c r="A1731" s="121">
        <v>1729</v>
      </c>
      <c r="B1731" s="123" t="s">
        <v>15631</v>
      </c>
      <c r="C1731" s="123" t="s">
        <v>15632</v>
      </c>
      <c r="D1731" s="124" t="str">
        <f t="shared" si="27"/>
        <v>CPTUSDT</v>
      </c>
      <c r="E1731" s="125" t="e">
        <f ca="1">VLOOKUP(D1731,'Курсы Бинанса'!B:C,2,FALSE)</f>
        <v>#N/A</v>
      </c>
    </row>
    <row r="1732" spans="1:5">
      <c r="A1732" s="121">
        <v>1730</v>
      </c>
      <c r="B1732" s="123" t="s">
        <v>15633</v>
      </c>
      <c r="C1732" s="123" t="s">
        <v>15634</v>
      </c>
      <c r="D1732" s="124" t="str">
        <f t="shared" si="27"/>
        <v>DRCUSDT</v>
      </c>
      <c r="E1732" s="125" t="e">
        <f ca="1">VLOOKUP(D1732,'Курсы Бинанса'!B:C,2,FALSE)</f>
        <v>#N/A</v>
      </c>
    </row>
    <row r="1733" spans="1:5">
      <c r="A1733" s="121">
        <v>1731</v>
      </c>
      <c r="B1733" s="123" t="s">
        <v>15635</v>
      </c>
      <c r="C1733" s="123" t="s">
        <v>15634</v>
      </c>
      <c r="D1733" s="124" t="str">
        <f t="shared" si="27"/>
        <v>DRCUSDT</v>
      </c>
      <c r="E1733" s="125" t="e">
        <f ca="1">VLOOKUP(D1733,'Курсы Бинанса'!B:C,2,FALSE)</f>
        <v>#N/A</v>
      </c>
    </row>
    <row r="1734" spans="1:5">
      <c r="A1734" s="121">
        <v>1732</v>
      </c>
      <c r="B1734" s="123" t="s">
        <v>15636</v>
      </c>
      <c r="C1734" s="123" t="s">
        <v>15637</v>
      </c>
      <c r="D1734" s="124" t="str">
        <f t="shared" si="27"/>
        <v>GARDUSDT</v>
      </c>
      <c r="E1734" s="125" t="e">
        <f ca="1">VLOOKUP(D1734,'Курсы Бинанса'!B:C,2,FALSE)</f>
        <v>#N/A</v>
      </c>
    </row>
    <row r="1735" spans="1:5">
      <c r="A1735" s="121">
        <v>1733</v>
      </c>
      <c r="B1735" s="123" t="s">
        <v>15638</v>
      </c>
      <c r="C1735" s="123" t="s">
        <v>15639</v>
      </c>
      <c r="D1735" s="124" t="str">
        <f t="shared" si="27"/>
        <v>PVTUSDT</v>
      </c>
      <c r="E1735" s="125" t="e">
        <f ca="1">VLOOKUP(D1735,'Курсы Бинанса'!B:C,2,FALSE)</f>
        <v>#N/A</v>
      </c>
    </row>
    <row r="1736" spans="1:5">
      <c r="A1736" s="121">
        <v>1734</v>
      </c>
      <c r="B1736" s="123" t="s">
        <v>15640</v>
      </c>
      <c r="C1736" s="123" t="s">
        <v>15641</v>
      </c>
      <c r="D1736" s="124" t="str">
        <f t="shared" si="27"/>
        <v>XHIUSDT</v>
      </c>
      <c r="E1736" s="125" t="e">
        <f ca="1">VLOOKUP(D1736,'Курсы Бинанса'!B:C,2,FALSE)</f>
        <v>#N/A</v>
      </c>
    </row>
    <row r="1737" spans="1:5">
      <c r="A1737" s="121">
        <v>1735</v>
      </c>
      <c r="B1737" s="123" t="s">
        <v>15642</v>
      </c>
      <c r="C1737" s="123" t="s">
        <v>15643</v>
      </c>
      <c r="D1737" s="124" t="str">
        <f t="shared" si="27"/>
        <v>CBMUSDT</v>
      </c>
      <c r="E1737" s="125" t="e">
        <f ca="1">VLOOKUP(D1737,'Курсы Бинанса'!B:C,2,FALSE)</f>
        <v>#N/A</v>
      </c>
    </row>
    <row r="1738" spans="1:5">
      <c r="A1738" s="121">
        <v>1736</v>
      </c>
      <c r="B1738" s="123" t="s">
        <v>15644</v>
      </c>
      <c r="C1738" s="123" t="s">
        <v>15645</v>
      </c>
      <c r="D1738" s="124" t="str">
        <f t="shared" si="27"/>
        <v>FJCUSDT</v>
      </c>
      <c r="E1738" s="125" t="e">
        <f ca="1">VLOOKUP(D1738,'Курсы Бинанса'!B:C,2,FALSE)</f>
        <v>#N/A</v>
      </c>
    </row>
    <row r="1739" spans="1:5">
      <c r="A1739" s="121">
        <v>1737</v>
      </c>
      <c r="B1739" s="123" t="s">
        <v>15646</v>
      </c>
      <c r="C1739" s="123" t="s">
        <v>15647</v>
      </c>
      <c r="D1739" s="124" t="str">
        <f t="shared" si="27"/>
        <v>BITBUSDT</v>
      </c>
      <c r="E1739" s="125" t="e">
        <f ca="1">VLOOKUP(D1739,'Курсы Бинанса'!B:C,2,FALSE)</f>
        <v>#N/A</v>
      </c>
    </row>
    <row r="1740" spans="1:5">
      <c r="A1740" s="121">
        <v>1738</v>
      </c>
      <c r="B1740" s="123" t="s">
        <v>15648</v>
      </c>
      <c r="C1740" s="123" t="s">
        <v>15649</v>
      </c>
      <c r="D1740" s="124" t="str">
        <f t="shared" si="27"/>
        <v>CRXUSDT</v>
      </c>
      <c r="E1740" s="125" t="e">
        <f ca="1">VLOOKUP(D1740,'Курсы Бинанса'!B:C,2,FALSE)</f>
        <v>#N/A</v>
      </c>
    </row>
    <row r="1741" spans="1:5">
      <c r="A1741" s="121">
        <v>1739</v>
      </c>
      <c r="B1741" s="123" t="s">
        <v>15650</v>
      </c>
      <c r="C1741" s="123" t="s">
        <v>15651</v>
      </c>
      <c r="D1741" s="124" t="str">
        <f t="shared" si="27"/>
        <v>BPCUSDT</v>
      </c>
      <c r="E1741" s="125" t="e">
        <f ca="1">VLOOKUP(D1741,'Курсы Бинанса'!B:C,2,FALSE)</f>
        <v>#N/A</v>
      </c>
    </row>
    <row r="1742" spans="1:5">
      <c r="A1742" s="121">
        <v>1740</v>
      </c>
      <c r="B1742" s="123" t="s">
        <v>15652</v>
      </c>
      <c r="C1742" s="123" t="s">
        <v>15652</v>
      </c>
      <c r="D1742" s="124" t="str">
        <f t="shared" si="27"/>
        <v>OLXAUSDT</v>
      </c>
      <c r="E1742" s="125" t="e">
        <f ca="1">VLOOKUP(D1742,'Курсы Бинанса'!B:C,2,FALSE)</f>
        <v>#N/A</v>
      </c>
    </row>
    <row r="1743" spans="1:5">
      <c r="A1743" s="121">
        <v>1741</v>
      </c>
      <c r="B1743" s="123" t="s">
        <v>15653</v>
      </c>
      <c r="C1743" s="123" t="s">
        <v>15654</v>
      </c>
      <c r="D1743" s="124" t="str">
        <f t="shared" si="27"/>
        <v>LOOTUSDT</v>
      </c>
      <c r="E1743" s="125" t="e">
        <f ca="1">VLOOKUP(D1743,'Курсы Бинанса'!B:C,2,FALSE)</f>
        <v>#N/A</v>
      </c>
    </row>
    <row r="1744" spans="1:5">
      <c r="A1744" s="121">
        <v>1742</v>
      </c>
      <c r="B1744" s="123" t="s">
        <v>15655</v>
      </c>
      <c r="C1744" s="123" t="s">
        <v>15656</v>
      </c>
      <c r="D1744" s="124" t="str">
        <f t="shared" si="27"/>
        <v>BZNTUSDT</v>
      </c>
      <c r="E1744" s="125" t="e">
        <f ca="1">VLOOKUP(D1744,'Курсы Бинанса'!B:C,2,FALSE)</f>
        <v>#N/A</v>
      </c>
    </row>
    <row r="1745" spans="1:5">
      <c r="A1745" s="121">
        <v>1743</v>
      </c>
      <c r="B1745" s="123" t="s">
        <v>15657</v>
      </c>
      <c r="C1745" s="123" t="s">
        <v>15658</v>
      </c>
      <c r="D1745" s="124" t="str">
        <f t="shared" si="27"/>
        <v>GLSUSDT</v>
      </c>
      <c r="E1745" s="125" t="e">
        <f ca="1">VLOOKUP(D1745,'Курсы Бинанса'!B:C,2,FALSE)</f>
        <v>#N/A</v>
      </c>
    </row>
    <row r="1746" spans="1:5">
      <c r="A1746" s="121">
        <v>1744</v>
      </c>
      <c r="B1746" s="123" t="s">
        <v>15659</v>
      </c>
      <c r="C1746" s="123" t="s">
        <v>15660</v>
      </c>
      <c r="D1746" s="124" t="str">
        <f t="shared" si="27"/>
        <v>KUVUSDT</v>
      </c>
      <c r="E1746" s="125" t="e">
        <f ca="1">VLOOKUP(D1746,'Курсы Бинанса'!B:C,2,FALSE)</f>
        <v>#N/A</v>
      </c>
    </row>
    <row r="1747" spans="1:5">
      <c r="A1747" s="121">
        <v>1745</v>
      </c>
      <c r="B1747" s="123" t="s">
        <v>15661</v>
      </c>
      <c r="C1747" s="123" t="s">
        <v>15662</v>
      </c>
      <c r="D1747" s="124" t="str">
        <f t="shared" si="27"/>
        <v>HERUSDT</v>
      </c>
      <c r="E1747" s="125" t="e">
        <f ca="1">VLOOKUP(D1747,'Курсы Бинанса'!B:C,2,FALSE)</f>
        <v>#N/A</v>
      </c>
    </row>
    <row r="1748" spans="1:5">
      <c r="A1748" s="121">
        <v>1746</v>
      </c>
      <c r="B1748" s="123" t="s">
        <v>15663</v>
      </c>
      <c r="C1748" s="123" t="s">
        <v>15664</v>
      </c>
      <c r="D1748" s="124" t="str">
        <f t="shared" si="27"/>
        <v>GRTUSDT</v>
      </c>
      <c r="E1748" s="125" t="e">
        <f ca="1">VLOOKUP(D1748,'Курсы Бинанса'!B:C,2,FALSE)</f>
        <v>#N/A</v>
      </c>
    </row>
    <row r="1749" spans="1:5">
      <c r="A1749" s="121">
        <v>1747</v>
      </c>
      <c r="B1749" s="123" t="s">
        <v>15665</v>
      </c>
      <c r="C1749" s="123" t="s">
        <v>15666</v>
      </c>
      <c r="D1749" s="124" t="str">
        <f t="shared" si="27"/>
        <v>DDXUSDT</v>
      </c>
      <c r="E1749" s="125" t="e">
        <f ca="1">VLOOKUP(D1749,'Курсы Бинанса'!B:C,2,FALSE)</f>
        <v>#N/A</v>
      </c>
    </row>
    <row r="1750" spans="1:5">
      <c r="A1750" s="121">
        <v>1748</v>
      </c>
      <c r="B1750" s="123" t="s">
        <v>15667</v>
      </c>
      <c r="C1750" s="123" t="s">
        <v>15668</v>
      </c>
      <c r="D1750" s="124" t="str">
        <f t="shared" si="27"/>
        <v>NFTUSDT</v>
      </c>
      <c r="E1750" s="125" t="e">
        <f ca="1">VLOOKUP(D1750,'Курсы Бинанса'!B:C,2,FALSE)</f>
        <v>#N/A</v>
      </c>
    </row>
    <row r="1751" spans="1:5">
      <c r="A1751" s="121">
        <v>1749</v>
      </c>
      <c r="B1751" s="123" t="s">
        <v>15669</v>
      </c>
      <c r="C1751" s="123" t="s">
        <v>15670</v>
      </c>
      <c r="D1751" s="124" t="str">
        <f t="shared" si="27"/>
        <v>HOGEUSDT</v>
      </c>
      <c r="E1751" s="125" t="e">
        <f ca="1">VLOOKUP(D1751,'Курсы Бинанса'!B:C,2,FALSE)</f>
        <v>#N/A</v>
      </c>
    </row>
    <row r="1752" spans="1:5">
      <c r="A1752" s="121">
        <v>1750</v>
      </c>
      <c r="B1752" s="123" t="s">
        <v>15671</v>
      </c>
      <c r="C1752" s="123" t="s">
        <v>15672</v>
      </c>
      <c r="D1752" s="124" t="str">
        <f t="shared" si="27"/>
        <v>PNTUSDT</v>
      </c>
      <c r="E1752" s="125" t="e">
        <f ca="1">VLOOKUP(D1752,'Курсы Бинанса'!B:C,2,FALSE)</f>
        <v>#N/A</v>
      </c>
    </row>
    <row r="1753" spans="1:5">
      <c r="A1753" s="121">
        <v>1751</v>
      </c>
      <c r="B1753" s="123" t="s">
        <v>15673</v>
      </c>
      <c r="C1753" s="123" t="s">
        <v>15673</v>
      </c>
      <c r="D1753" s="124" t="str">
        <f t="shared" si="27"/>
        <v>BIDRUSDT</v>
      </c>
      <c r="E1753" s="125" t="e">
        <f ca="1">VLOOKUP(D1753,'Курсы Бинанса'!B:C,2,FALSE)</f>
        <v>#N/A</v>
      </c>
    </row>
    <row r="1754" spans="1:5">
      <c r="A1754" s="121">
        <v>1752</v>
      </c>
      <c r="B1754" s="123" t="s">
        <v>15674</v>
      </c>
      <c r="C1754" s="123" t="s">
        <v>15675</v>
      </c>
      <c r="D1754" s="124" t="str">
        <f t="shared" si="27"/>
        <v>TRTLUSDT</v>
      </c>
      <c r="E1754" s="125" t="e">
        <f ca="1">VLOOKUP(D1754,'Курсы Бинанса'!B:C,2,FALSE)</f>
        <v>#N/A</v>
      </c>
    </row>
    <row r="1755" spans="1:5">
      <c r="A1755" s="121">
        <v>1753</v>
      </c>
      <c r="B1755" s="123" t="s">
        <v>15676</v>
      </c>
      <c r="C1755" s="123" t="s">
        <v>15677</v>
      </c>
      <c r="D1755" s="124" t="str">
        <f t="shared" si="27"/>
        <v>BUNNYUSDT</v>
      </c>
      <c r="E1755" s="125" t="e">
        <f ca="1">VLOOKUP(D1755,'Курсы Бинанса'!B:C,2,FALSE)</f>
        <v>#N/A</v>
      </c>
    </row>
    <row r="1756" spans="1:5">
      <c r="A1756" s="121">
        <v>1754</v>
      </c>
      <c r="B1756" s="123" t="s">
        <v>15678</v>
      </c>
      <c r="C1756" s="123" t="s">
        <v>15679</v>
      </c>
      <c r="D1756" s="124" t="str">
        <f t="shared" si="27"/>
        <v>REAPUSDT</v>
      </c>
      <c r="E1756" s="125" t="e">
        <f ca="1">VLOOKUP(D1756,'Курсы Бинанса'!B:C,2,FALSE)</f>
        <v>#N/A</v>
      </c>
    </row>
    <row r="1757" spans="1:5">
      <c r="A1757" s="121">
        <v>1755</v>
      </c>
      <c r="B1757" s="123" t="s">
        <v>15680</v>
      </c>
      <c r="C1757" s="123" t="s">
        <v>15680</v>
      </c>
      <c r="D1757" s="124" t="str">
        <f t="shared" si="27"/>
        <v>ERC20USDT</v>
      </c>
      <c r="E1757" s="125" t="e">
        <f ca="1">VLOOKUP(D1757,'Курсы Бинанса'!B:C,2,FALSE)</f>
        <v>#N/A</v>
      </c>
    </row>
    <row r="1758" spans="1:5">
      <c r="A1758" s="121">
        <v>1756</v>
      </c>
      <c r="B1758" s="123" t="s">
        <v>15681</v>
      </c>
      <c r="C1758" s="123" t="s">
        <v>15682</v>
      </c>
      <c r="D1758" s="124" t="str">
        <f t="shared" si="27"/>
        <v>LDOGEUSDT</v>
      </c>
      <c r="E1758" s="125" t="e">
        <f ca="1">VLOOKUP(D1758,'Курсы Бинанса'!B:C,2,FALSE)</f>
        <v>#N/A</v>
      </c>
    </row>
    <row r="1759" spans="1:5">
      <c r="A1759" s="121">
        <v>1757</v>
      </c>
      <c r="B1759" s="123" t="s">
        <v>15683</v>
      </c>
      <c r="C1759" s="123" t="s">
        <v>15684</v>
      </c>
      <c r="D1759" s="124" t="str">
        <f t="shared" si="27"/>
        <v>TFTUSDT</v>
      </c>
      <c r="E1759" s="125" t="e">
        <f ca="1">VLOOKUP(D1759,'Курсы Бинанса'!B:C,2,FALSE)</f>
        <v>#N/A</v>
      </c>
    </row>
    <row r="1760" spans="1:5">
      <c r="A1760" s="121">
        <v>1758</v>
      </c>
      <c r="B1760" s="123" t="s">
        <v>15685</v>
      </c>
      <c r="C1760" s="123" t="s">
        <v>15686</v>
      </c>
      <c r="D1760" s="124" t="str">
        <f t="shared" si="27"/>
        <v>HITUSDT</v>
      </c>
      <c r="E1760" s="125" t="e">
        <f ca="1">VLOOKUP(D1760,'Курсы Бинанса'!B:C,2,FALSE)</f>
        <v>#N/A</v>
      </c>
    </row>
    <row r="1761" spans="1:5">
      <c r="A1761" s="121">
        <v>1759</v>
      </c>
      <c r="B1761" s="123" t="s">
        <v>15687</v>
      </c>
      <c r="C1761" s="123" t="s">
        <v>15688</v>
      </c>
      <c r="D1761" s="124" t="str">
        <f t="shared" si="27"/>
        <v>IDRTUSDT</v>
      </c>
      <c r="E1761" s="125" t="e">
        <f ca="1">VLOOKUP(D1761,'Курсы Бинанса'!B:C,2,FALSE)</f>
        <v>#N/A</v>
      </c>
    </row>
    <row r="1762" spans="1:5">
      <c r="A1762" s="121">
        <v>1760</v>
      </c>
      <c r="B1762" s="123" t="s">
        <v>15689</v>
      </c>
      <c r="C1762" s="123" t="s">
        <v>15690</v>
      </c>
      <c r="D1762" s="124" t="str">
        <f t="shared" ref="D1762:D1788" si="28">CONCATENATE(C1762,"USDT")</f>
        <v>COTUSDT</v>
      </c>
      <c r="E1762" s="125" t="e">
        <f ca="1">VLOOKUP(D1762,'Курсы Бинанса'!B:C,2,FALSE)</f>
        <v>#N/A</v>
      </c>
    </row>
    <row r="1763" spans="1:5">
      <c r="A1763" s="121">
        <v>1761</v>
      </c>
      <c r="B1763" s="123" t="s">
        <v>15691</v>
      </c>
      <c r="C1763" s="123" t="s">
        <v>15692</v>
      </c>
      <c r="D1763" s="124" t="str">
        <f t="shared" si="28"/>
        <v>MINTUSDT</v>
      </c>
      <c r="E1763" s="125" t="e">
        <f ca="1">VLOOKUP(D1763,'Курсы Бинанса'!B:C,2,FALSE)</f>
        <v>#N/A</v>
      </c>
    </row>
    <row r="1764" spans="1:5">
      <c r="A1764" s="121">
        <v>1762</v>
      </c>
      <c r="B1764" s="123" t="s">
        <v>15693</v>
      </c>
      <c r="C1764" s="123" t="s">
        <v>15694</v>
      </c>
      <c r="D1764" s="124" t="str">
        <f t="shared" si="28"/>
        <v>CARBONUSDT</v>
      </c>
      <c r="E1764" s="125" t="e">
        <f ca="1">VLOOKUP(D1764,'Курсы Бинанса'!B:C,2,FALSE)</f>
        <v>#N/A</v>
      </c>
    </row>
    <row r="1765" spans="1:5">
      <c r="A1765" s="121">
        <v>1763</v>
      </c>
      <c r="B1765" s="123" t="s">
        <v>15668</v>
      </c>
      <c r="C1765" s="123" t="s">
        <v>15668</v>
      </c>
      <c r="D1765" s="124" t="str">
        <f t="shared" si="28"/>
        <v>NFTUSDT</v>
      </c>
      <c r="E1765" s="125" t="e">
        <f ca="1">VLOOKUP(D1765,'Курсы Бинанса'!B:C,2,FALSE)</f>
        <v>#N/A</v>
      </c>
    </row>
    <row r="1766" spans="1:5">
      <c r="A1766" s="121">
        <v>1764</v>
      </c>
      <c r="B1766" s="123" t="s">
        <v>15695</v>
      </c>
      <c r="C1766" s="123" t="s">
        <v>15696</v>
      </c>
      <c r="D1766" s="124" t="str">
        <f t="shared" si="28"/>
        <v>SIGUSDT</v>
      </c>
      <c r="E1766" s="125" t="e">
        <f ca="1">VLOOKUP(D1766,'Курсы Бинанса'!B:C,2,FALSE)</f>
        <v>#N/A</v>
      </c>
    </row>
    <row r="1767" spans="1:5">
      <c r="A1767" s="121">
        <v>1765</v>
      </c>
      <c r="B1767" s="123" t="s">
        <v>15697</v>
      </c>
      <c r="C1767" s="123" t="s">
        <v>15672</v>
      </c>
      <c r="D1767" s="124" t="str">
        <f t="shared" si="28"/>
        <v>PNTUSDT</v>
      </c>
      <c r="E1767" s="125" t="e">
        <f ca="1">VLOOKUP(D1767,'Курсы Бинанса'!B:C,2,FALSE)</f>
        <v>#N/A</v>
      </c>
    </row>
    <row r="1768" spans="1:5">
      <c r="A1768" s="121">
        <v>1766</v>
      </c>
      <c r="B1768" s="123" t="s">
        <v>15698</v>
      </c>
      <c r="C1768" s="123" t="s">
        <v>15699</v>
      </c>
      <c r="D1768" s="124" t="str">
        <f t="shared" si="28"/>
        <v>GPUUSDT</v>
      </c>
      <c r="E1768" s="125" t="e">
        <f ca="1">VLOOKUP(D1768,'Курсы Бинанса'!B:C,2,FALSE)</f>
        <v>#N/A</v>
      </c>
    </row>
    <row r="1769" spans="1:5">
      <c r="A1769" s="121">
        <v>1767</v>
      </c>
      <c r="B1769" s="123" t="s">
        <v>15700</v>
      </c>
      <c r="C1769" s="123" t="s">
        <v>15701</v>
      </c>
      <c r="D1769" s="124" t="str">
        <f t="shared" si="28"/>
        <v>PGNUSDT</v>
      </c>
      <c r="E1769" s="125" t="e">
        <f ca="1">VLOOKUP(D1769,'Курсы Бинанса'!B:C,2,FALSE)</f>
        <v>#N/A</v>
      </c>
    </row>
    <row r="1770" spans="1:5">
      <c r="A1770" s="121">
        <v>1768</v>
      </c>
      <c r="B1770" s="123" t="s">
        <v>15702</v>
      </c>
      <c r="C1770" s="123" t="s">
        <v>15703</v>
      </c>
      <c r="D1770" s="124" t="str">
        <f t="shared" si="28"/>
        <v>HYCUSDT</v>
      </c>
      <c r="E1770" s="125" t="e">
        <f ca="1">VLOOKUP(D1770,'Курсы Бинанса'!B:C,2,FALSE)</f>
        <v>#N/A</v>
      </c>
    </row>
    <row r="1771" spans="1:5">
      <c r="A1771" s="121">
        <v>1769</v>
      </c>
      <c r="B1771" s="127" t="s">
        <v>15704</v>
      </c>
      <c r="C1771" s="123" t="s">
        <v>15705</v>
      </c>
      <c r="D1771" s="124" t="str">
        <f t="shared" si="28"/>
        <v>SOARUSDT</v>
      </c>
      <c r="E1771" s="125" t="e">
        <f ca="1">VLOOKUP(D1771,'Курсы Бинанса'!B:C,2,FALSE)</f>
        <v>#N/A</v>
      </c>
    </row>
    <row r="1772" spans="1:5">
      <c r="A1772" s="121">
        <v>1770</v>
      </c>
      <c r="B1772" s="123" t="s">
        <v>15706</v>
      </c>
      <c r="C1772" s="123" t="s">
        <v>15707</v>
      </c>
      <c r="D1772" s="124" t="str">
        <f t="shared" si="28"/>
        <v>NANJUSDT</v>
      </c>
      <c r="E1772" s="125" t="e">
        <f ca="1">VLOOKUP(D1772,'Курсы Бинанса'!B:C,2,FALSE)</f>
        <v>#N/A</v>
      </c>
    </row>
    <row r="1773" spans="1:5">
      <c r="A1773" s="121">
        <v>1771</v>
      </c>
      <c r="B1773" s="123" t="s">
        <v>15708</v>
      </c>
      <c r="C1773" s="123" t="s">
        <v>15709</v>
      </c>
      <c r="D1773" s="124" t="str">
        <f t="shared" si="28"/>
        <v>XLABUSDT</v>
      </c>
      <c r="E1773" s="125" t="e">
        <f ca="1">VLOOKUP(D1773,'Курсы Бинанса'!B:C,2,FALSE)</f>
        <v>#N/A</v>
      </c>
    </row>
    <row r="1774" spans="1:5">
      <c r="A1774" s="121">
        <v>1772</v>
      </c>
      <c r="B1774" s="123" t="s">
        <v>15710</v>
      </c>
      <c r="C1774" s="123" t="s">
        <v>15711</v>
      </c>
      <c r="D1774" s="124" t="str">
        <f t="shared" si="28"/>
        <v>IMTUSDT</v>
      </c>
      <c r="E1774" s="125" t="e">
        <f ca="1">VLOOKUP(D1774,'Курсы Бинанса'!B:C,2,FALSE)</f>
        <v>#N/A</v>
      </c>
    </row>
    <row r="1775" spans="1:5">
      <c r="A1775" s="121">
        <v>1773</v>
      </c>
      <c r="B1775" s="123" t="s">
        <v>15712</v>
      </c>
      <c r="C1775" s="123" t="s">
        <v>15713</v>
      </c>
      <c r="D1775" s="124" t="str">
        <f t="shared" si="28"/>
        <v>BZEUSDT</v>
      </c>
      <c r="E1775" s="125" t="e">
        <f ca="1">VLOOKUP(D1775,'Курсы Бинанса'!B:C,2,FALSE)</f>
        <v>#N/A</v>
      </c>
    </row>
    <row r="1776" spans="1:5">
      <c r="A1776" s="121">
        <v>1774</v>
      </c>
      <c r="B1776" s="123" t="s">
        <v>15714</v>
      </c>
      <c r="C1776" s="123" t="s">
        <v>15715</v>
      </c>
      <c r="D1776" s="124" t="str">
        <f t="shared" si="28"/>
        <v>EBCUSDT</v>
      </c>
      <c r="E1776" s="125" t="e">
        <f ca="1">VLOOKUP(D1776,'Курсы Бинанса'!B:C,2,FALSE)</f>
        <v>#N/A</v>
      </c>
    </row>
    <row r="1777" spans="1:5">
      <c r="A1777" s="121">
        <v>1775</v>
      </c>
      <c r="B1777" s="123" t="s">
        <v>15716</v>
      </c>
      <c r="C1777" s="123" t="s">
        <v>15717</v>
      </c>
      <c r="D1777" s="124" t="str">
        <f t="shared" si="28"/>
        <v>CV2USDT</v>
      </c>
      <c r="E1777" s="125" t="e">
        <f ca="1">VLOOKUP(D1777,'Курсы Бинанса'!B:C,2,FALSE)</f>
        <v>#N/A</v>
      </c>
    </row>
    <row r="1778" spans="1:5">
      <c r="A1778" s="121">
        <v>1776</v>
      </c>
      <c r="B1778" s="123" t="s">
        <v>15718</v>
      </c>
      <c r="C1778" s="123" t="s">
        <v>15719</v>
      </c>
      <c r="D1778" s="124" t="str">
        <f t="shared" si="28"/>
        <v>NSRUSDT</v>
      </c>
      <c r="E1778" s="125" t="e">
        <f ca="1">VLOOKUP(D1778,'Курсы Бинанса'!B:C,2,FALSE)</f>
        <v>#N/A</v>
      </c>
    </row>
    <row r="1779" spans="1:5">
      <c r="A1779" s="121">
        <v>1777</v>
      </c>
      <c r="B1779" s="123" t="s">
        <v>15720</v>
      </c>
      <c r="C1779" s="123" t="s">
        <v>15721</v>
      </c>
      <c r="D1779" s="124" t="str">
        <f t="shared" si="28"/>
        <v>LANAUSDT</v>
      </c>
      <c r="E1779" s="125" t="e">
        <f ca="1">VLOOKUP(D1779,'Курсы Бинанса'!B:C,2,FALSE)</f>
        <v>#N/A</v>
      </c>
    </row>
    <row r="1780" spans="1:5">
      <c r="A1780" s="121">
        <v>1778</v>
      </c>
      <c r="B1780" s="123" t="s">
        <v>15722</v>
      </c>
      <c r="C1780" s="123" t="s">
        <v>15723</v>
      </c>
      <c r="D1780" s="124" t="str">
        <f t="shared" si="28"/>
        <v>SSPUSDT</v>
      </c>
      <c r="E1780" s="125" t="e">
        <f ca="1">VLOOKUP(D1780,'Курсы Бинанса'!B:C,2,FALSE)</f>
        <v>#N/A</v>
      </c>
    </row>
    <row r="1781" spans="1:5">
      <c r="A1781" s="121">
        <v>1779</v>
      </c>
      <c r="B1781" s="123" t="s">
        <v>15724</v>
      </c>
      <c r="C1781" s="123" t="s">
        <v>15725</v>
      </c>
      <c r="D1781" s="124" t="str">
        <f t="shared" si="28"/>
        <v>RETUSDT</v>
      </c>
      <c r="E1781" s="125" t="e">
        <f ca="1">VLOOKUP(D1781,'Курсы Бинанса'!B:C,2,FALSE)</f>
        <v>#N/A</v>
      </c>
    </row>
    <row r="1782" spans="1:5">
      <c r="A1782" s="121">
        <v>1780</v>
      </c>
      <c r="B1782" s="123" t="s">
        <v>15726</v>
      </c>
      <c r="C1782" s="123" t="s">
        <v>15727</v>
      </c>
      <c r="D1782" s="124" t="str">
        <f t="shared" si="28"/>
        <v>TROUSDT</v>
      </c>
      <c r="E1782" s="125" t="e">
        <f ca="1">VLOOKUP(D1782,'Курсы Бинанса'!B:C,2,FALSE)</f>
        <v>#N/A</v>
      </c>
    </row>
    <row r="1783" spans="1:5">
      <c r="A1783" s="121">
        <v>1781</v>
      </c>
      <c r="B1783" s="123" t="s">
        <v>15728</v>
      </c>
      <c r="C1783" s="123" t="s">
        <v>15729</v>
      </c>
      <c r="D1783" s="124" t="str">
        <f t="shared" si="28"/>
        <v>NASHUSDT</v>
      </c>
      <c r="E1783" s="125" t="e">
        <f ca="1">VLOOKUP(D1783,'Курсы Бинанса'!B:C,2,FALSE)</f>
        <v>#N/A</v>
      </c>
    </row>
    <row r="1784" spans="1:5">
      <c r="A1784" s="121">
        <v>1782</v>
      </c>
      <c r="B1784" s="123" t="s">
        <v>15730</v>
      </c>
      <c r="C1784" s="123" t="s">
        <v>15731</v>
      </c>
      <c r="D1784" s="124" t="str">
        <f t="shared" si="28"/>
        <v>RITOUSDT</v>
      </c>
      <c r="E1784" s="125" t="e">
        <f ca="1">VLOOKUP(D1784,'Курсы Бинанса'!B:C,2,FALSE)</f>
        <v>#N/A</v>
      </c>
    </row>
    <row r="1785" spans="1:5">
      <c r="A1785" s="121">
        <v>1783</v>
      </c>
      <c r="B1785" s="123" t="s">
        <v>15732</v>
      </c>
      <c r="C1785" s="123" t="s">
        <v>15733</v>
      </c>
      <c r="D1785" s="124" t="str">
        <f t="shared" si="28"/>
        <v>MBUSDT</v>
      </c>
      <c r="E1785" s="125" t="e">
        <f ca="1">VLOOKUP(D1785,'Курсы Бинанса'!B:C,2,FALSE)</f>
        <v>#N/A</v>
      </c>
    </row>
    <row r="1786" spans="1:5">
      <c r="A1786" s="121">
        <v>1784</v>
      </c>
      <c r="B1786" s="123" t="s">
        <v>15734</v>
      </c>
      <c r="C1786" s="123" t="s">
        <v>15735</v>
      </c>
      <c r="D1786" s="124" t="str">
        <f t="shared" si="28"/>
        <v>ZENIUSDT</v>
      </c>
      <c r="E1786" s="125" t="e">
        <f ca="1">VLOOKUP(D1786,'Курсы Бинанса'!B:C,2,FALSE)</f>
        <v>#N/A</v>
      </c>
    </row>
    <row r="1787" spans="1:5">
      <c r="A1787" s="121">
        <v>1785</v>
      </c>
      <c r="B1787" s="127" t="s">
        <v>15736</v>
      </c>
      <c r="C1787" s="123" t="s">
        <v>15737</v>
      </c>
      <c r="D1787" s="124" t="str">
        <f t="shared" si="28"/>
        <v>POEUSDT</v>
      </c>
      <c r="E1787" s="125" t="e">
        <f ca="1">VLOOKUP(D1787,'Курсы Бинанса'!B:C,2,FALSE)</f>
        <v>#N/A</v>
      </c>
    </row>
    <row r="1788" spans="1:5">
      <c r="A1788" s="121">
        <v>1786</v>
      </c>
      <c r="B1788" s="123" t="s">
        <v>15738</v>
      </c>
      <c r="C1788" s="123" t="s">
        <v>15739</v>
      </c>
      <c r="D1788" s="124" t="str">
        <f t="shared" si="28"/>
        <v>BBPUSDT</v>
      </c>
      <c r="E1788" s="125" t="e">
        <f ca="1">VLOOKUP(D1788,'Курсы Бинанса'!B:C,2,FALSE)</f>
        <v>#N/A</v>
      </c>
    </row>
  </sheetData>
  <sheetCalcPr fullCalcOnLoad="1"/>
  <mergeCells count="1">
    <mergeCell ref="A1:E1"/>
  </mergeCells>
  <phoneticPr fontId="0" type="noConversion"/>
  <hyperlinks>
    <hyperlink ref="B205" r:id="rId1"/>
    <hyperlink ref="B261" r:id="rId2"/>
    <hyperlink ref="B586" r:id="rId3"/>
    <hyperlink ref="B689" r:id="rId4"/>
    <hyperlink ref="B1216" r:id="rId5"/>
    <hyperlink ref="B1365" r:id="rId6"/>
    <hyperlink ref="B1397" r:id="rId7"/>
    <hyperlink ref="B1463" r:id="rId8"/>
    <hyperlink ref="B1771" r:id="rId9"/>
    <hyperlink ref="B1787" r:id="rId10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5000"/>
  <sheetViews>
    <sheetView workbookViewId="0"/>
  </sheetViews>
  <sheetFormatPr defaultColWidth="14.42578125" defaultRowHeight="15" customHeight="1"/>
  <sheetData>
    <row r="1" spans="1:26">
      <c r="A1" s="100" t="e">
        <f ca="1">IFERROR(__xludf.DUMMYFUNCTION("IMPORTRANGE(""https://docs.google.com/spreadsheets/d/1PLLq6YTmFFMklDHedBb_tVR7NVjsQrSVqiUJW2TeuHQ/edit?usp=sharing"", ""cryptodataBinance!A1:Z5000"")"),"id")</f>
        <v>#NAME?</v>
      </c>
      <c r="B1" s="100" t="e">
        <f ca="1">IFERROR(__xludf.DUMMYFUNCTION("""COMPUTED_VALUE"""),"symbol")</f>
        <v>#NAME?</v>
      </c>
      <c r="C1" s="100" t="e">
        <f ca="1">IFERROR(__xludf.DUMMYFUNCTION("""COMPUTED_VALUE"""),"price")</f>
        <v>#NAME?</v>
      </c>
      <c r="D1" s="100" t="e">
        <f ca="1">IFERROR(__xludf.DUMMYFUNCTION("""COMPUTED_VALUE"""),"change7d")</f>
        <v>#NAME?</v>
      </c>
      <c r="E1" s="100" t="e">
        <f ca="1">IFERROR(__xludf.DUMMYFUNCTION("""COMPUTED_VALUE"""),"change30d")</f>
        <v>#NAME?</v>
      </c>
      <c r="F1" s="100" t="e">
        <f ca="1">IFERROR(__xludf.DUMMYFUNCTION("""COMPUTED_VALUE"""),"time1d")</f>
        <v>#NAME?</v>
      </c>
      <c r="G1" s="100" t="e">
        <f ca="1">IFERROR(__xludf.DUMMYFUNCTION("""COMPUTED_VALUE"""),"time7d")</f>
        <v>#NAME?</v>
      </c>
      <c r="H1" s="100" t="e">
        <f ca="1">IFERROR(__xludf.DUMMYFUNCTION("""COMPUTED_VALUE"""),"time1m")</f>
        <v>#NAME?</v>
      </c>
      <c r="I1" s="100" t="e">
        <f ca="1">IFERROR(__xludf.DUMMYFUNCTION("""COMPUTED_VALUE"""),"time5min")</f>
        <v>#NAME?</v>
      </c>
      <c r="J1" s="100" t="e">
        <f ca="1">IFERROR(__xludf.DUMMYFUNCTION("""COMPUTED_VALUE"""),"change1d")</f>
        <v>#NAME?</v>
      </c>
      <c r="K1" s="100" t="e">
        <f ca="1">IFERROR(__xludf.DUMMYFUNCTION("""COMPUTED_VALUE"""),"time1sec")</f>
        <v>#NAME?</v>
      </c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spans="1:26">
      <c r="A2" s="100" t="e">
        <f ca="1">IFERROR(__xludf.DUMMYFUNCTION("""COMPUTED_VALUE"""),58783337)</f>
        <v>#NAME?</v>
      </c>
      <c r="B2" s="100" t="e">
        <f ca="1">IFERROR(__xludf.DUMMYFUNCTION("""COMPUTED_VALUE"""),"ETHBTC")</f>
        <v>#NAME?</v>
      </c>
      <c r="C2" s="100" t="e">
        <f ca="1">IFERROR(__xludf.DUMMYFUNCTION("""COMPUTED_VALUE"""),"0.01835000")</f>
        <v>#NAME?</v>
      </c>
      <c r="D2" s="100" t="e">
        <f t="shared" ref="D2:E21" ca="1" si="0">IFERROR(__xludf.DUMMYFUNCTION("""COMPUTED_VALUE"""),"-")</f>
        <v>#NAME?</v>
      </c>
      <c r="E2" s="100" t="e">
        <f t="shared" ca="1" si="0"/>
        <v>#NAME?</v>
      </c>
      <c r="F2" s="100" t="e">
        <f t="shared" ref="F2:F65" ca="1" si="1">IFERROR(__xludf.DUMMYFUNCTION("""COMPUTED_VALUE"""),20200)</f>
        <v>#NAME?</v>
      </c>
      <c r="G2" s="100" t="e">
        <f t="shared" ref="G2:G65" ca="1" si="2">IFERROR(__xludf.DUMMYFUNCTION("""COMPUTED_VALUE"""),2885)</f>
        <v>#NAME?</v>
      </c>
      <c r="H2" s="100" t="e">
        <f t="shared" ref="H2:H65" ca="1" si="3">IFERROR(__xludf.DUMMYFUNCTION("""COMPUTED_VALUE"""),663)</f>
        <v>#NAME?</v>
      </c>
      <c r="I2" s="100" t="e">
        <f t="shared" ref="I2:I65" ca="1" si="4">IFERROR(__xludf.DUMMYFUNCTION("""COMPUTED_VALUE"""),5817721)</f>
        <v>#NAME?</v>
      </c>
      <c r="J2" s="100" t="e">
        <f ca="1">IFERROR(__xludf.DUMMYFUNCTION("""COMPUTED_VALUE"""),"-2.238")</f>
        <v>#NAME?</v>
      </c>
      <c r="K2" s="100" t="e">
        <f t="shared" ref="K2:K65" ca="1" si="5">IFERROR(__xludf.DUMMYFUNCTION("""COMPUTED_VALUE"""),"22.04.2025 13:05:01")</f>
        <v>#NAME?</v>
      </c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spans="1:26">
      <c r="A3" s="100" t="e">
        <f ca="1">IFERROR(__xludf.DUMMYFUNCTION("""COMPUTED_VALUE"""),58783338)</f>
        <v>#NAME?</v>
      </c>
      <c r="B3" s="100" t="e">
        <f ca="1">IFERROR(__xludf.DUMMYFUNCTION("""COMPUTED_VALUE"""),"LTCBTC")</f>
        <v>#NAME?</v>
      </c>
      <c r="C3" s="100" t="e">
        <f ca="1">IFERROR(__xludf.DUMMYFUNCTION("""COMPUTED_VALUE"""),"0.00089600")</f>
        <v>#NAME?</v>
      </c>
      <c r="D3" s="100" t="e">
        <f t="shared" ca="1" si="0"/>
        <v>#NAME?</v>
      </c>
      <c r="E3" s="100" t="e">
        <f t="shared" ca="1" si="0"/>
        <v>#NAME?</v>
      </c>
      <c r="F3" s="100" t="e">
        <f t="shared" ca="1" si="1"/>
        <v>#NAME?</v>
      </c>
      <c r="G3" s="100" t="e">
        <f t="shared" ca="1" si="2"/>
        <v>#NAME?</v>
      </c>
      <c r="H3" s="100" t="e">
        <f t="shared" ca="1" si="3"/>
        <v>#NAME?</v>
      </c>
      <c r="I3" s="100" t="e">
        <f t="shared" ca="1" si="4"/>
        <v>#NAME?</v>
      </c>
      <c r="J3" s="100" t="e">
        <f ca="1">IFERROR(__xludf.DUMMYFUNCTION("""COMPUTED_VALUE"""),"-3.135")</f>
        <v>#NAME?</v>
      </c>
      <c r="K3" s="100" t="e">
        <f t="shared" ca="1" si="5"/>
        <v>#NAME?</v>
      </c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 spans="1:26">
      <c r="A4" s="100" t="e">
        <f ca="1">IFERROR(__xludf.DUMMYFUNCTION("""COMPUTED_VALUE"""),58783339)</f>
        <v>#NAME?</v>
      </c>
      <c r="B4" s="100" t="e">
        <f ca="1">IFERROR(__xludf.DUMMYFUNCTION("""COMPUTED_VALUE"""),"BNBBTC")</f>
        <v>#NAME?</v>
      </c>
      <c r="C4" s="100" t="e">
        <f ca="1">IFERROR(__xludf.DUMMYFUNCTION("""COMPUTED_VALUE"""),"0.00684300")</f>
        <v>#NAME?</v>
      </c>
      <c r="D4" s="100" t="e">
        <f t="shared" ca="1" si="0"/>
        <v>#NAME?</v>
      </c>
      <c r="E4" s="100" t="e">
        <f t="shared" ca="1" si="0"/>
        <v>#NAME?</v>
      </c>
      <c r="F4" s="100" t="e">
        <f t="shared" ca="1" si="1"/>
        <v>#NAME?</v>
      </c>
      <c r="G4" s="100" t="e">
        <f t="shared" ca="1" si="2"/>
        <v>#NAME?</v>
      </c>
      <c r="H4" s="100" t="e">
        <f t="shared" ca="1" si="3"/>
        <v>#NAME?</v>
      </c>
      <c r="I4" s="100" t="e">
        <f t="shared" ca="1" si="4"/>
        <v>#NAME?</v>
      </c>
      <c r="J4" s="100" t="e">
        <f ca="1">IFERROR(__xludf.DUMMYFUNCTION("""COMPUTED_VALUE"""),"-0.955")</f>
        <v>#NAME?</v>
      </c>
      <c r="K4" s="100" t="e">
        <f t="shared" ca="1" si="5"/>
        <v>#NAME?</v>
      </c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spans="1:26">
      <c r="A5" s="100" t="e">
        <f ca="1">IFERROR(__xludf.DUMMYFUNCTION("""COMPUTED_VALUE"""),58783340)</f>
        <v>#NAME?</v>
      </c>
      <c r="B5" s="100" t="e">
        <f ca="1">IFERROR(__xludf.DUMMYFUNCTION("""COMPUTED_VALUE"""),"NEOBTC")</f>
        <v>#NAME?</v>
      </c>
      <c r="C5" s="100" t="e">
        <f ca="1">IFERROR(__xludf.DUMMYFUNCTION("""COMPUTED_VALUE"""),"0.00006170")</f>
        <v>#NAME?</v>
      </c>
      <c r="D5" s="100" t="e">
        <f t="shared" ca="1" si="0"/>
        <v>#NAME?</v>
      </c>
      <c r="E5" s="100" t="e">
        <f t="shared" ca="1" si="0"/>
        <v>#NAME?</v>
      </c>
      <c r="F5" s="100" t="e">
        <f t="shared" ca="1" si="1"/>
        <v>#NAME?</v>
      </c>
      <c r="G5" s="100" t="e">
        <f t="shared" ca="1" si="2"/>
        <v>#NAME?</v>
      </c>
      <c r="H5" s="100" t="e">
        <f t="shared" ca="1" si="3"/>
        <v>#NAME?</v>
      </c>
      <c r="I5" s="100" t="e">
        <f t="shared" ca="1" si="4"/>
        <v>#NAME?</v>
      </c>
      <c r="J5" s="100" t="e">
        <f ca="1">IFERROR(__xludf.DUMMYFUNCTION("""COMPUTED_VALUE"""),"-5.223")</f>
        <v>#NAME?</v>
      </c>
      <c r="K5" s="100" t="e">
        <f t="shared" ca="1" si="5"/>
        <v>#NAME?</v>
      </c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spans="1:26">
      <c r="A6" s="100" t="e">
        <f ca="1">IFERROR(__xludf.DUMMYFUNCTION("""COMPUTED_VALUE"""),58783341)</f>
        <v>#NAME?</v>
      </c>
      <c r="B6" s="100" t="e">
        <f ca="1">IFERROR(__xludf.DUMMYFUNCTION("""COMPUTED_VALUE"""),"QTUMETH")</f>
        <v>#NAME?</v>
      </c>
      <c r="C6" s="100" t="e">
        <f ca="1">IFERROR(__xludf.DUMMYFUNCTION("""COMPUTED_VALUE"""),"0.00129500")</f>
        <v>#NAME?</v>
      </c>
      <c r="D6" s="100" t="e">
        <f t="shared" ca="1" si="0"/>
        <v>#NAME?</v>
      </c>
      <c r="E6" s="100" t="e">
        <f t="shared" ca="1" si="0"/>
        <v>#NAME?</v>
      </c>
      <c r="F6" s="100" t="e">
        <f t="shared" ca="1" si="1"/>
        <v>#NAME?</v>
      </c>
      <c r="G6" s="100" t="e">
        <f t="shared" ca="1" si="2"/>
        <v>#NAME?</v>
      </c>
      <c r="H6" s="100" t="e">
        <f t="shared" ca="1" si="3"/>
        <v>#NAME?</v>
      </c>
      <c r="I6" s="100" t="e">
        <f t="shared" ca="1" si="4"/>
        <v>#NAME?</v>
      </c>
      <c r="J6" s="100" t="e">
        <f ca="1">IFERROR(__xludf.DUMMYFUNCTION("""COMPUTED_VALUE"""),"-0.461")</f>
        <v>#NAME?</v>
      </c>
      <c r="K6" s="100" t="e">
        <f t="shared" ca="1" si="5"/>
        <v>#NAME?</v>
      </c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spans="1:26">
      <c r="A7" s="100" t="e">
        <f ca="1">IFERROR(__xludf.DUMMYFUNCTION("""COMPUTED_VALUE"""),58783342)</f>
        <v>#NAME?</v>
      </c>
      <c r="B7" s="100" t="e">
        <f ca="1">IFERROR(__xludf.DUMMYFUNCTION("""COMPUTED_VALUE"""),"EOSETH")</f>
        <v>#NAME?</v>
      </c>
      <c r="C7" s="100" t="e">
        <f ca="1">IFERROR(__xludf.DUMMYFUNCTION("""COMPUTED_VALUE"""),"0.00039110")</f>
        <v>#NAME?</v>
      </c>
      <c r="D7" s="100" t="e">
        <f t="shared" ca="1" si="0"/>
        <v>#NAME?</v>
      </c>
      <c r="E7" s="100" t="e">
        <f t="shared" ca="1" si="0"/>
        <v>#NAME?</v>
      </c>
      <c r="F7" s="100" t="e">
        <f t="shared" ca="1" si="1"/>
        <v>#NAME?</v>
      </c>
      <c r="G7" s="100" t="e">
        <f t="shared" ca="1" si="2"/>
        <v>#NAME?</v>
      </c>
      <c r="H7" s="100" t="e">
        <f t="shared" ca="1" si="3"/>
        <v>#NAME?</v>
      </c>
      <c r="I7" s="100" t="e">
        <f t="shared" ca="1" si="4"/>
        <v>#NAME?</v>
      </c>
      <c r="J7" s="100" t="e">
        <f ca="1">IFERROR(__xludf.DUMMYFUNCTION("""COMPUTED_VALUE"""),"-1.783")</f>
        <v>#NAME?</v>
      </c>
      <c r="K7" s="100" t="e">
        <f t="shared" ca="1" si="5"/>
        <v>#NAME?</v>
      </c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spans="1:26">
      <c r="A8" s="100" t="e">
        <f ca="1">IFERROR(__xludf.DUMMYFUNCTION("""COMPUTED_VALUE"""),58783343)</f>
        <v>#NAME?</v>
      </c>
      <c r="B8" s="100" t="e">
        <f ca="1">IFERROR(__xludf.DUMMYFUNCTION("""COMPUTED_VALUE"""),"SNTETH")</f>
        <v>#NAME?</v>
      </c>
      <c r="C8" s="100" t="e">
        <f ca="1">IFERROR(__xludf.DUMMYFUNCTION("""COMPUTED_VALUE"""),"0.00001700")</f>
        <v>#NAME?</v>
      </c>
      <c r="D8" s="100" t="e">
        <f t="shared" ca="1" si="0"/>
        <v>#NAME?</v>
      </c>
      <c r="E8" s="100" t="e">
        <f t="shared" ca="1" si="0"/>
        <v>#NAME?</v>
      </c>
      <c r="F8" s="100" t="e">
        <f t="shared" ca="1" si="1"/>
        <v>#NAME?</v>
      </c>
      <c r="G8" s="100" t="e">
        <f t="shared" ca="1" si="2"/>
        <v>#NAME?</v>
      </c>
      <c r="H8" s="100" t="e">
        <f t="shared" ca="1" si="3"/>
        <v>#NAME?</v>
      </c>
      <c r="I8" s="100" t="e">
        <f t="shared" ca="1" si="4"/>
        <v>#NAME?</v>
      </c>
      <c r="J8" s="100" t="e">
        <f ca="1">IFERROR(__xludf.DUMMYFUNCTION("""COMPUTED_VALUE"""),"48.862")</f>
        <v>#NAME?</v>
      </c>
      <c r="K8" s="100" t="e">
        <f t="shared" ca="1" si="5"/>
        <v>#NAME?</v>
      </c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spans="1:26">
      <c r="A9" s="100" t="e">
        <f ca="1">IFERROR(__xludf.DUMMYFUNCTION("""COMPUTED_VALUE"""),58783344)</f>
        <v>#NAME?</v>
      </c>
      <c r="B9" s="100" t="e">
        <f ca="1">IFERROR(__xludf.DUMMYFUNCTION("""COMPUTED_VALUE"""),"BNTETH")</f>
        <v>#NAME?</v>
      </c>
      <c r="C9" s="100" t="e">
        <f ca="1">IFERROR(__xludf.DUMMYFUNCTION("""COMPUTED_VALUE"""),"0.00020260")</f>
        <v>#NAME?</v>
      </c>
      <c r="D9" s="100" t="e">
        <f t="shared" ca="1" si="0"/>
        <v>#NAME?</v>
      </c>
      <c r="E9" s="100" t="e">
        <f t="shared" ca="1" si="0"/>
        <v>#NAME?</v>
      </c>
      <c r="F9" s="100" t="e">
        <f t="shared" ca="1" si="1"/>
        <v>#NAME?</v>
      </c>
      <c r="G9" s="100" t="e">
        <f t="shared" ca="1" si="2"/>
        <v>#NAME?</v>
      </c>
      <c r="H9" s="100" t="e">
        <f t="shared" ca="1" si="3"/>
        <v>#NAME?</v>
      </c>
      <c r="I9" s="100" t="e">
        <f t="shared" ca="1" si="4"/>
        <v>#NAME?</v>
      </c>
      <c r="J9" s="100" t="e">
        <f ca="1">IFERROR(__xludf.DUMMYFUNCTION("""COMPUTED_VALUE"""),"0")</f>
        <v>#NAME?</v>
      </c>
      <c r="K9" s="100" t="e">
        <f t="shared" ca="1" si="5"/>
        <v>#NAME?</v>
      </c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 spans="1:26">
      <c r="A10" s="100" t="e">
        <f ca="1">IFERROR(__xludf.DUMMYFUNCTION("""COMPUTED_VALUE"""),58783345)</f>
        <v>#NAME?</v>
      </c>
      <c r="B10" s="100" t="e">
        <f ca="1">IFERROR(__xludf.DUMMYFUNCTION("""COMPUTED_VALUE"""),"BCCBTC")</f>
        <v>#NAME?</v>
      </c>
      <c r="C10" s="100" t="e">
        <f ca="1">IFERROR(__xludf.DUMMYFUNCTION("""COMPUTED_VALUE"""),"0.00000000")</f>
        <v>#NAME?</v>
      </c>
      <c r="D10" s="100" t="e">
        <f t="shared" ca="1" si="0"/>
        <v>#NAME?</v>
      </c>
      <c r="E10" s="100" t="e">
        <f t="shared" ca="1" si="0"/>
        <v>#NAME?</v>
      </c>
      <c r="F10" s="100" t="e">
        <f t="shared" ca="1" si="1"/>
        <v>#NAME?</v>
      </c>
      <c r="G10" s="100" t="e">
        <f t="shared" ca="1" si="2"/>
        <v>#NAME?</v>
      </c>
      <c r="H10" s="100" t="e">
        <f t="shared" ca="1" si="3"/>
        <v>#NAME?</v>
      </c>
      <c r="I10" s="100" t="e">
        <f t="shared" ca="1" si="4"/>
        <v>#NAME?</v>
      </c>
      <c r="J10" s="100" t="e">
        <f ca="1">IFERROR(__xludf.DUMMYFUNCTION("""COMPUTED_VALUE"""),"0")</f>
        <v>#NAME?</v>
      </c>
      <c r="K10" s="100" t="e">
        <f t="shared" ca="1" si="5"/>
        <v>#NAME?</v>
      </c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 spans="1:26">
      <c r="A11" s="100" t="e">
        <f ca="1">IFERROR(__xludf.DUMMYFUNCTION("""COMPUTED_VALUE"""),58783346)</f>
        <v>#NAME?</v>
      </c>
      <c r="B11" s="100" t="e">
        <f ca="1">IFERROR(__xludf.DUMMYFUNCTION("""COMPUTED_VALUE"""),"GASBTC")</f>
        <v>#NAME?</v>
      </c>
      <c r="C11" s="100" t="e">
        <f ca="1">IFERROR(__xludf.DUMMYFUNCTION("""COMPUTED_VALUE"""),"0.00003690")</f>
        <v>#NAME?</v>
      </c>
      <c r="D11" s="100" t="e">
        <f t="shared" ca="1" si="0"/>
        <v>#NAME?</v>
      </c>
      <c r="E11" s="100" t="e">
        <f t="shared" ca="1" si="0"/>
        <v>#NAME?</v>
      </c>
      <c r="F11" s="100" t="e">
        <f t="shared" ca="1" si="1"/>
        <v>#NAME?</v>
      </c>
      <c r="G11" s="100" t="e">
        <f t="shared" ca="1" si="2"/>
        <v>#NAME?</v>
      </c>
      <c r="H11" s="100" t="e">
        <f t="shared" ca="1" si="3"/>
        <v>#NAME?</v>
      </c>
      <c r="I11" s="100" t="e">
        <f t="shared" ca="1" si="4"/>
        <v>#NAME?</v>
      </c>
      <c r="J11" s="100" t="e">
        <f ca="1">IFERROR(__xludf.DUMMYFUNCTION("""COMPUTED_VALUE"""),"-9.337")</f>
        <v>#NAME?</v>
      </c>
      <c r="K11" s="100" t="e">
        <f t="shared" ca="1" si="5"/>
        <v>#NAME?</v>
      </c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 spans="1:26">
      <c r="A12" s="100" t="e">
        <f ca="1">IFERROR(__xludf.DUMMYFUNCTION("""COMPUTED_VALUE"""),58783347)</f>
        <v>#NAME?</v>
      </c>
      <c r="B12" s="100" t="e">
        <f ca="1">IFERROR(__xludf.DUMMYFUNCTION("""COMPUTED_VALUE"""),"BNBETH")</f>
        <v>#NAME?</v>
      </c>
      <c r="C12" s="100" t="e">
        <f ca="1">IFERROR(__xludf.DUMMYFUNCTION("""COMPUTED_VALUE"""),"0.37300000")</f>
        <v>#NAME?</v>
      </c>
      <c r="D12" s="100" t="e">
        <f t="shared" ca="1" si="0"/>
        <v>#NAME?</v>
      </c>
      <c r="E12" s="100" t="e">
        <f t="shared" ca="1" si="0"/>
        <v>#NAME?</v>
      </c>
      <c r="F12" s="100" t="e">
        <f t="shared" ca="1" si="1"/>
        <v>#NAME?</v>
      </c>
      <c r="G12" s="100" t="e">
        <f t="shared" ca="1" si="2"/>
        <v>#NAME?</v>
      </c>
      <c r="H12" s="100" t="e">
        <f t="shared" ca="1" si="3"/>
        <v>#NAME?</v>
      </c>
      <c r="I12" s="100" t="e">
        <f t="shared" ca="1" si="4"/>
        <v>#NAME?</v>
      </c>
      <c r="J12" s="100" t="e">
        <f ca="1">IFERROR(__xludf.DUMMYFUNCTION("""COMPUTED_VALUE"""),"1.276")</f>
        <v>#NAME?</v>
      </c>
      <c r="K12" s="100" t="e">
        <f t="shared" ca="1" si="5"/>
        <v>#NAME?</v>
      </c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 spans="1:26">
      <c r="A13" s="100" t="e">
        <f ca="1">IFERROR(__xludf.DUMMYFUNCTION("""COMPUTED_VALUE"""),58783348)</f>
        <v>#NAME?</v>
      </c>
      <c r="B13" s="100" t="e">
        <f ca="1">IFERROR(__xludf.DUMMYFUNCTION("""COMPUTED_VALUE"""),"BTCUSDT")</f>
        <v>#NAME?</v>
      </c>
      <c r="C13" s="100" t="e">
        <f ca="1">IFERROR(__xludf.DUMMYFUNCTION("""COMPUTED_VALUE"""),"88580.10000000")</f>
        <v>#NAME?</v>
      </c>
      <c r="D13" s="100" t="e">
        <f t="shared" ca="1" si="0"/>
        <v>#NAME?</v>
      </c>
      <c r="E13" s="100" t="e">
        <f t="shared" ca="1" si="0"/>
        <v>#NAME?</v>
      </c>
      <c r="F13" s="100" t="e">
        <f t="shared" ca="1" si="1"/>
        <v>#NAME?</v>
      </c>
      <c r="G13" s="100" t="e">
        <f t="shared" ca="1" si="2"/>
        <v>#NAME?</v>
      </c>
      <c r="H13" s="100" t="e">
        <f t="shared" ca="1" si="3"/>
        <v>#NAME?</v>
      </c>
      <c r="I13" s="100" t="e">
        <f t="shared" ca="1" si="4"/>
        <v>#NAME?</v>
      </c>
      <c r="J13" s="100" t="e">
        <f ca="1">IFERROR(__xludf.DUMMYFUNCTION("""COMPUTED_VALUE"""),"1.283")</f>
        <v>#NAME?</v>
      </c>
      <c r="K13" s="100" t="e">
        <f t="shared" ca="1" si="5"/>
        <v>#NAME?</v>
      </c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 spans="1:26">
      <c r="A14" s="100" t="e">
        <f ca="1">IFERROR(__xludf.DUMMYFUNCTION("""COMPUTED_VALUE"""),58783349)</f>
        <v>#NAME?</v>
      </c>
      <c r="B14" s="100" t="e">
        <f ca="1">IFERROR(__xludf.DUMMYFUNCTION("""COMPUTED_VALUE"""),"ETHUSDT")</f>
        <v>#NAME?</v>
      </c>
      <c r="C14" s="100" t="e">
        <f ca="1">IFERROR(__xludf.DUMMYFUNCTION("""COMPUTED_VALUE"""),"1625.13000000")</f>
        <v>#NAME?</v>
      </c>
      <c r="D14" s="100" t="e">
        <f t="shared" ca="1" si="0"/>
        <v>#NAME?</v>
      </c>
      <c r="E14" s="100" t="e">
        <f t="shared" ca="1" si="0"/>
        <v>#NAME?</v>
      </c>
      <c r="F14" s="100" t="e">
        <f t="shared" ca="1" si="1"/>
        <v>#NAME?</v>
      </c>
      <c r="G14" s="100" t="e">
        <f t="shared" ca="1" si="2"/>
        <v>#NAME?</v>
      </c>
      <c r="H14" s="100" t="e">
        <f t="shared" ca="1" si="3"/>
        <v>#NAME?</v>
      </c>
      <c r="I14" s="100" t="e">
        <f t="shared" ca="1" si="4"/>
        <v>#NAME?</v>
      </c>
      <c r="J14" s="100" t="e">
        <f ca="1">IFERROR(__xludf.DUMMYFUNCTION("""COMPUTED_VALUE"""),"-0.971")</f>
        <v>#NAME?</v>
      </c>
      <c r="K14" s="100" t="e">
        <f t="shared" ca="1" si="5"/>
        <v>#NAME?</v>
      </c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 spans="1:26">
      <c r="A15" s="100" t="e">
        <f ca="1">IFERROR(__xludf.DUMMYFUNCTION("""COMPUTED_VALUE"""),58783350)</f>
        <v>#NAME?</v>
      </c>
      <c r="B15" s="100" t="e">
        <f ca="1">IFERROR(__xludf.DUMMYFUNCTION("""COMPUTED_VALUE"""),"HSRBTC")</f>
        <v>#NAME?</v>
      </c>
      <c r="C15" s="100" t="e">
        <f t="shared" ref="C15:C20" ca="1" si="6">IFERROR(__xludf.DUMMYFUNCTION("""COMPUTED_VALUE"""),"0.00000000")</f>
        <v>#NAME?</v>
      </c>
      <c r="D15" s="100" t="e">
        <f t="shared" ca="1" si="0"/>
        <v>#NAME?</v>
      </c>
      <c r="E15" s="100" t="e">
        <f t="shared" ca="1" si="0"/>
        <v>#NAME?</v>
      </c>
      <c r="F15" s="100" t="e">
        <f t="shared" ca="1" si="1"/>
        <v>#NAME?</v>
      </c>
      <c r="G15" s="100" t="e">
        <f t="shared" ca="1" si="2"/>
        <v>#NAME?</v>
      </c>
      <c r="H15" s="100" t="e">
        <f t="shared" ca="1" si="3"/>
        <v>#NAME?</v>
      </c>
      <c r="I15" s="100" t="e">
        <f t="shared" ca="1" si="4"/>
        <v>#NAME?</v>
      </c>
      <c r="J15" s="100" t="e">
        <f t="shared" ref="J15:J22" ca="1" si="7">IFERROR(__xludf.DUMMYFUNCTION("""COMPUTED_VALUE"""),"0")</f>
        <v>#NAME?</v>
      </c>
      <c r="K15" s="100" t="e">
        <f t="shared" ca="1" si="5"/>
        <v>#NAME?</v>
      </c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 spans="1:26">
      <c r="A16" s="100" t="e">
        <f ca="1">IFERROR(__xludf.DUMMYFUNCTION("""COMPUTED_VALUE"""),58783351)</f>
        <v>#NAME?</v>
      </c>
      <c r="B16" s="100" t="e">
        <f ca="1">IFERROR(__xludf.DUMMYFUNCTION("""COMPUTED_VALUE"""),"OAXETH")</f>
        <v>#NAME?</v>
      </c>
      <c r="C16" s="100" t="e">
        <f t="shared" ca="1" si="6"/>
        <v>#NAME?</v>
      </c>
      <c r="D16" s="100" t="e">
        <f t="shared" ca="1" si="0"/>
        <v>#NAME?</v>
      </c>
      <c r="E16" s="100" t="e">
        <f t="shared" ca="1" si="0"/>
        <v>#NAME?</v>
      </c>
      <c r="F16" s="100" t="e">
        <f t="shared" ca="1" si="1"/>
        <v>#NAME?</v>
      </c>
      <c r="G16" s="100" t="e">
        <f t="shared" ca="1" si="2"/>
        <v>#NAME?</v>
      </c>
      <c r="H16" s="100" t="e">
        <f t="shared" ca="1" si="3"/>
        <v>#NAME?</v>
      </c>
      <c r="I16" s="100" t="e">
        <f t="shared" ca="1" si="4"/>
        <v>#NAME?</v>
      </c>
      <c r="J16" s="100" t="e">
        <f t="shared" ca="1" si="7"/>
        <v>#NAME?</v>
      </c>
      <c r="K16" s="100" t="e">
        <f t="shared" ca="1" si="5"/>
        <v>#NAME?</v>
      </c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 spans="1:26">
      <c r="A17" s="100" t="e">
        <f ca="1">IFERROR(__xludf.DUMMYFUNCTION("""COMPUTED_VALUE"""),58783352)</f>
        <v>#NAME?</v>
      </c>
      <c r="B17" s="100" t="e">
        <f ca="1">IFERROR(__xludf.DUMMYFUNCTION("""COMPUTED_VALUE"""),"DNTETH")</f>
        <v>#NAME?</v>
      </c>
      <c r="C17" s="100" t="e">
        <f t="shared" ca="1" si="6"/>
        <v>#NAME?</v>
      </c>
      <c r="D17" s="100" t="e">
        <f t="shared" ca="1" si="0"/>
        <v>#NAME?</v>
      </c>
      <c r="E17" s="100" t="e">
        <f t="shared" ca="1" si="0"/>
        <v>#NAME?</v>
      </c>
      <c r="F17" s="100" t="e">
        <f t="shared" ca="1" si="1"/>
        <v>#NAME?</v>
      </c>
      <c r="G17" s="100" t="e">
        <f t="shared" ca="1" si="2"/>
        <v>#NAME?</v>
      </c>
      <c r="H17" s="100" t="e">
        <f t="shared" ca="1" si="3"/>
        <v>#NAME?</v>
      </c>
      <c r="I17" s="100" t="e">
        <f t="shared" ca="1" si="4"/>
        <v>#NAME?</v>
      </c>
      <c r="J17" s="100" t="e">
        <f t="shared" ca="1" si="7"/>
        <v>#NAME?</v>
      </c>
      <c r="K17" s="100" t="e">
        <f t="shared" ca="1" si="5"/>
        <v>#NAME?</v>
      </c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 spans="1:26">
      <c r="A18" s="100" t="e">
        <f ca="1">IFERROR(__xludf.DUMMYFUNCTION("""COMPUTED_VALUE"""),58783353)</f>
        <v>#NAME?</v>
      </c>
      <c r="B18" s="100" t="e">
        <f ca="1">IFERROR(__xludf.DUMMYFUNCTION("""COMPUTED_VALUE"""),"MCOETH")</f>
        <v>#NAME?</v>
      </c>
      <c r="C18" s="100" t="e">
        <f t="shared" ca="1" si="6"/>
        <v>#NAME?</v>
      </c>
      <c r="D18" s="100" t="e">
        <f t="shared" ca="1" si="0"/>
        <v>#NAME?</v>
      </c>
      <c r="E18" s="100" t="e">
        <f t="shared" ca="1" si="0"/>
        <v>#NAME?</v>
      </c>
      <c r="F18" s="100" t="e">
        <f t="shared" ca="1" si="1"/>
        <v>#NAME?</v>
      </c>
      <c r="G18" s="100" t="e">
        <f t="shared" ca="1" si="2"/>
        <v>#NAME?</v>
      </c>
      <c r="H18" s="100" t="e">
        <f t="shared" ca="1" si="3"/>
        <v>#NAME?</v>
      </c>
      <c r="I18" s="100" t="e">
        <f t="shared" ca="1" si="4"/>
        <v>#NAME?</v>
      </c>
      <c r="J18" s="100" t="e">
        <f t="shared" ca="1" si="7"/>
        <v>#NAME?</v>
      </c>
      <c r="K18" s="100" t="e">
        <f t="shared" ca="1" si="5"/>
        <v>#NAME?</v>
      </c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 spans="1:26">
      <c r="A19" s="100" t="e">
        <f ca="1">IFERROR(__xludf.DUMMYFUNCTION("""COMPUTED_VALUE"""),58783354)</f>
        <v>#NAME?</v>
      </c>
      <c r="B19" s="100" t="e">
        <f ca="1">IFERROR(__xludf.DUMMYFUNCTION("""COMPUTED_VALUE"""),"ICNETH")</f>
        <v>#NAME?</v>
      </c>
      <c r="C19" s="100" t="e">
        <f t="shared" ca="1" si="6"/>
        <v>#NAME?</v>
      </c>
      <c r="D19" s="100" t="e">
        <f t="shared" ca="1" si="0"/>
        <v>#NAME?</v>
      </c>
      <c r="E19" s="100" t="e">
        <f t="shared" ca="1" si="0"/>
        <v>#NAME?</v>
      </c>
      <c r="F19" s="100" t="e">
        <f t="shared" ca="1" si="1"/>
        <v>#NAME?</v>
      </c>
      <c r="G19" s="100" t="e">
        <f t="shared" ca="1" si="2"/>
        <v>#NAME?</v>
      </c>
      <c r="H19" s="100" t="e">
        <f t="shared" ca="1" si="3"/>
        <v>#NAME?</v>
      </c>
      <c r="I19" s="100" t="e">
        <f t="shared" ca="1" si="4"/>
        <v>#NAME?</v>
      </c>
      <c r="J19" s="100" t="e">
        <f t="shared" ca="1" si="7"/>
        <v>#NAME?</v>
      </c>
      <c r="K19" s="100" t="e">
        <f t="shared" ca="1" si="5"/>
        <v>#NAME?</v>
      </c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 spans="1:26">
      <c r="A20" s="100" t="e">
        <f ca="1">IFERROR(__xludf.DUMMYFUNCTION("""COMPUTED_VALUE"""),58783355)</f>
        <v>#NAME?</v>
      </c>
      <c r="B20" s="100" t="e">
        <f ca="1">IFERROR(__xludf.DUMMYFUNCTION("""COMPUTED_VALUE"""),"MCOBTC")</f>
        <v>#NAME?</v>
      </c>
      <c r="C20" s="100" t="e">
        <f t="shared" ca="1" si="6"/>
        <v>#NAME?</v>
      </c>
      <c r="D20" s="100" t="e">
        <f t="shared" ca="1" si="0"/>
        <v>#NAME?</v>
      </c>
      <c r="E20" s="100" t="e">
        <f t="shared" ca="1" si="0"/>
        <v>#NAME?</v>
      </c>
      <c r="F20" s="100" t="e">
        <f t="shared" ca="1" si="1"/>
        <v>#NAME?</v>
      </c>
      <c r="G20" s="100" t="e">
        <f t="shared" ca="1" si="2"/>
        <v>#NAME?</v>
      </c>
      <c r="H20" s="100" t="e">
        <f t="shared" ca="1" si="3"/>
        <v>#NAME?</v>
      </c>
      <c r="I20" s="100" t="e">
        <f t="shared" ca="1" si="4"/>
        <v>#NAME?</v>
      </c>
      <c r="J20" s="100" t="e">
        <f t="shared" ca="1" si="7"/>
        <v>#NAME?</v>
      </c>
      <c r="K20" s="100" t="e">
        <f t="shared" ca="1" si="5"/>
        <v>#NAME?</v>
      </c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 spans="1:26">
      <c r="A21" s="100" t="e">
        <f ca="1">IFERROR(__xludf.DUMMYFUNCTION("""COMPUTED_VALUE"""),58783356)</f>
        <v>#NAME?</v>
      </c>
      <c r="B21" s="100" t="e">
        <f ca="1">IFERROR(__xludf.DUMMYFUNCTION("""COMPUTED_VALUE"""),"WTCBTC")</f>
        <v>#NAME?</v>
      </c>
      <c r="C21" s="100" t="e">
        <f ca="1">IFERROR(__xludf.DUMMYFUNCTION("""COMPUTED_VALUE"""),"0.00000024")</f>
        <v>#NAME?</v>
      </c>
      <c r="D21" s="100" t="e">
        <f t="shared" ca="1" si="0"/>
        <v>#NAME?</v>
      </c>
      <c r="E21" s="100" t="e">
        <f t="shared" ca="1" si="0"/>
        <v>#NAME?</v>
      </c>
      <c r="F21" s="100" t="e">
        <f t="shared" ca="1" si="1"/>
        <v>#NAME?</v>
      </c>
      <c r="G21" s="100" t="e">
        <f t="shared" ca="1" si="2"/>
        <v>#NAME?</v>
      </c>
      <c r="H21" s="100" t="e">
        <f t="shared" ca="1" si="3"/>
        <v>#NAME?</v>
      </c>
      <c r="I21" s="100" t="e">
        <f t="shared" ca="1" si="4"/>
        <v>#NAME?</v>
      </c>
      <c r="J21" s="100" t="e">
        <f t="shared" ca="1" si="7"/>
        <v>#NAME?</v>
      </c>
      <c r="K21" s="100" t="e">
        <f t="shared" ca="1" si="5"/>
        <v>#NAME?</v>
      </c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 spans="1:26">
      <c r="A22" s="100" t="e">
        <f ca="1">IFERROR(__xludf.DUMMYFUNCTION("""COMPUTED_VALUE"""),58783357)</f>
        <v>#NAME?</v>
      </c>
      <c r="B22" s="100" t="e">
        <f ca="1">IFERROR(__xludf.DUMMYFUNCTION("""COMPUTED_VALUE"""),"WTCETH")</f>
        <v>#NAME?</v>
      </c>
      <c r="C22" s="100" t="e">
        <f ca="1">IFERROR(__xludf.DUMMYFUNCTION("""COMPUTED_VALUE"""),"0.00000000")</f>
        <v>#NAME?</v>
      </c>
      <c r="D22" s="100" t="e">
        <f t="shared" ref="D22:E41" ca="1" si="8">IFERROR(__xludf.DUMMYFUNCTION("""COMPUTED_VALUE"""),"-")</f>
        <v>#NAME?</v>
      </c>
      <c r="E22" s="100" t="e">
        <f t="shared" ca="1" si="8"/>
        <v>#NAME?</v>
      </c>
      <c r="F22" s="100" t="e">
        <f t="shared" ca="1" si="1"/>
        <v>#NAME?</v>
      </c>
      <c r="G22" s="100" t="e">
        <f t="shared" ca="1" si="2"/>
        <v>#NAME?</v>
      </c>
      <c r="H22" s="100" t="e">
        <f t="shared" ca="1" si="3"/>
        <v>#NAME?</v>
      </c>
      <c r="I22" s="100" t="e">
        <f t="shared" ca="1" si="4"/>
        <v>#NAME?</v>
      </c>
      <c r="J22" s="100" t="e">
        <f t="shared" ca="1" si="7"/>
        <v>#NAME?</v>
      </c>
      <c r="K22" s="100" t="e">
        <f t="shared" ca="1" si="5"/>
        <v>#NAME?</v>
      </c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 spans="1:26">
      <c r="A23" s="100" t="e">
        <f ca="1">IFERROR(__xludf.DUMMYFUNCTION("""COMPUTED_VALUE"""),58783358)</f>
        <v>#NAME?</v>
      </c>
      <c r="B23" s="100" t="e">
        <f ca="1">IFERROR(__xludf.DUMMYFUNCTION("""COMPUTED_VALUE"""),"LRCBTC")</f>
        <v>#NAME?</v>
      </c>
      <c r="C23" s="100" t="e">
        <f ca="1">IFERROR(__xludf.DUMMYFUNCTION("""COMPUTED_VALUE"""),"0.00000107")</f>
        <v>#NAME?</v>
      </c>
      <c r="D23" s="100" t="e">
        <f t="shared" ca="1" si="8"/>
        <v>#NAME?</v>
      </c>
      <c r="E23" s="100" t="e">
        <f t="shared" ca="1" si="8"/>
        <v>#NAME?</v>
      </c>
      <c r="F23" s="100" t="e">
        <f t="shared" ca="1" si="1"/>
        <v>#NAME?</v>
      </c>
      <c r="G23" s="100" t="e">
        <f t="shared" ca="1" si="2"/>
        <v>#NAME?</v>
      </c>
      <c r="H23" s="100" t="e">
        <f t="shared" ca="1" si="3"/>
        <v>#NAME?</v>
      </c>
      <c r="I23" s="100" t="e">
        <f t="shared" ca="1" si="4"/>
        <v>#NAME?</v>
      </c>
      <c r="J23" s="100" t="e">
        <f ca="1">IFERROR(__xludf.DUMMYFUNCTION("""COMPUTED_VALUE"""),"-1.835")</f>
        <v>#NAME?</v>
      </c>
      <c r="K23" s="100" t="e">
        <f t="shared" ca="1" si="5"/>
        <v>#NAME?</v>
      </c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 spans="1:26">
      <c r="A24" s="100" t="e">
        <f ca="1">IFERROR(__xludf.DUMMYFUNCTION("""COMPUTED_VALUE"""),58783359)</f>
        <v>#NAME?</v>
      </c>
      <c r="B24" s="100" t="e">
        <f ca="1">IFERROR(__xludf.DUMMYFUNCTION("""COMPUTED_VALUE"""),"LRCETH")</f>
        <v>#NAME?</v>
      </c>
      <c r="C24" s="100" t="e">
        <f ca="1">IFERROR(__xludf.DUMMYFUNCTION("""COMPUTED_VALUE"""),"0.00005792")</f>
        <v>#NAME?</v>
      </c>
      <c r="D24" s="100" t="e">
        <f t="shared" ca="1" si="8"/>
        <v>#NAME?</v>
      </c>
      <c r="E24" s="100" t="e">
        <f t="shared" ca="1" si="8"/>
        <v>#NAME?</v>
      </c>
      <c r="F24" s="100" t="e">
        <f t="shared" ca="1" si="1"/>
        <v>#NAME?</v>
      </c>
      <c r="G24" s="100" t="e">
        <f t="shared" ca="1" si="2"/>
        <v>#NAME?</v>
      </c>
      <c r="H24" s="100" t="e">
        <f t="shared" ca="1" si="3"/>
        <v>#NAME?</v>
      </c>
      <c r="I24" s="100" t="e">
        <f t="shared" ca="1" si="4"/>
        <v>#NAME?</v>
      </c>
      <c r="J24" s="100" t="e">
        <f ca="1">IFERROR(__xludf.DUMMYFUNCTION("""COMPUTED_VALUE"""),"-0.652")</f>
        <v>#NAME?</v>
      </c>
      <c r="K24" s="100" t="e">
        <f t="shared" ca="1" si="5"/>
        <v>#NAME?</v>
      </c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 spans="1:26">
      <c r="A25" s="100" t="e">
        <f ca="1">IFERROR(__xludf.DUMMYFUNCTION("""COMPUTED_VALUE"""),58783360)</f>
        <v>#NAME?</v>
      </c>
      <c r="B25" s="100" t="e">
        <f ca="1">IFERROR(__xludf.DUMMYFUNCTION("""COMPUTED_VALUE"""),"QTUMBTC")</f>
        <v>#NAME?</v>
      </c>
      <c r="C25" s="100" t="e">
        <f ca="1">IFERROR(__xludf.DUMMYFUNCTION("""COMPUTED_VALUE"""),"0.00002387")</f>
        <v>#NAME?</v>
      </c>
      <c r="D25" s="100" t="e">
        <f t="shared" ca="1" si="8"/>
        <v>#NAME?</v>
      </c>
      <c r="E25" s="100" t="e">
        <f t="shared" ca="1" si="8"/>
        <v>#NAME?</v>
      </c>
      <c r="F25" s="100" t="e">
        <f t="shared" ca="1" si="1"/>
        <v>#NAME?</v>
      </c>
      <c r="G25" s="100" t="e">
        <f t="shared" ca="1" si="2"/>
        <v>#NAME?</v>
      </c>
      <c r="H25" s="100" t="e">
        <f t="shared" ca="1" si="3"/>
        <v>#NAME?</v>
      </c>
      <c r="I25" s="100" t="e">
        <f t="shared" ca="1" si="4"/>
        <v>#NAME?</v>
      </c>
      <c r="J25" s="100" t="e">
        <f ca="1">IFERROR(__xludf.DUMMYFUNCTION("""COMPUTED_VALUE"""),"-2.092")</f>
        <v>#NAME?</v>
      </c>
      <c r="K25" s="100" t="e">
        <f t="shared" ca="1" si="5"/>
        <v>#NAME?</v>
      </c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 spans="1:26">
      <c r="A26" s="100" t="e">
        <f ca="1">IFERROR(__xludf.DUMMYFUNCTION("""COMPUTED_VALUE"""),58783361)</f>
        <v>#NAME?</v>
      </c>
      <c r="B26" s="100" t="e">
        <f ca="1">IFERROR(__xludf.DUMMYFUNCTION("""COMPUTED_VALUE"""),"YOYOBTC")</f>
        <v>#NAME?</v>
      </c>
      <c r="C26" s="100" t="e">
        <f ca="1">IFERROR(__xludf.DUMMYFUNCTION("""COMPUTED_VALUE"""),"0.00000000")</f>
        <v>#NAME?</v>
      </c>
      <c r="D26" s="100" t="e">
        <f t="shared" ca="1" si="8"/>
        <v>#NAME?</v>
      </c>
      <c r="E26" s="100" t="e">
        <f t="shared" ca="1" si="8"/>
        <v>#NAME?</v>
      </c>
      <c r="F26" s="100" t="e">
        <f t="shared" ca="1" si="1"/>
        <v>#NAME?</v>
      </c>
      <c r="G26" s="100" t="e">
        <f t="shared" ca="1" si="2"/>
        <v>#NAME?</v>
      </c>
      <c r="H26" s="100" t="e">
        <f t="shared" ca="1" si="3"/>
        <v>#NAME?</v>
      </c>
      <c r="I26" s="100" t="e">
        <f t="shared" ca="1" si="4"/>
        <v>#NAME?</v>
      </c>
      <c r="J26" s="100" t="e">
        <f ca="1">IFERROR(__xludf.DUMMYFUNCTION("""COMPUTED_VALUE"""),"0")</f>
        <v>#NAME?</v>
      </c>
      <c r="K26" s="100" t="e">
        <f t="shared" ca="1" si="5"/>
        <v>#NAME?</v>
      </c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 spans="1:26">
      <c r="A27" s="100" t="e">
        <f ca="1">IFERROR(__xludf.DUMMYFUNCTION("""COMPUTED_VALUE"""),58783362)</f>
        <v>#NAME?</v>
      </c>
      <c r="B27" s="100" t="e">
        <f ca="1">IFERROR(__xludf.DUMMYFUNCTION("""COMPUTED_VALUE"""),"OMGBTC")</f>
        <v>#NAME?</v>
      </c>
      <c r="C27" s="100" t="e">
        <f ca="1">IFERROR(__xludf.DUMMYFUNCTION("""COMPUTED_VALUE"""),"0.00003080")</f>
        <v>#NAME?</v>
      </c>
      <c r="D27" s="100" t="e">
        <f t="shared" ca="1" si="8"/>
        <v>#NAME?</v>
      </c>
      <c r="E27" s="100" t="e">
        <f t="shared" ca="1" si="8"/>
        <v>#NAME?</v>
      </c>
      <c r="F27" s="100" t="e">
        <f t="shared" ca="1" si="1"/>
        <v>#NAME?</v>
      </c>
      <c r="G27" s="100" t="e">
        <f t="shared" ca="1" si="2"/>
        <v>#NAME?</v>
      </c>
      <c r="H27" s="100" t="e">
        <f t="shared" ca="1" si="3"/>
        <v>#NAME?</v>
      </c>
      <c r="I27" s="100" t="e">
        <f t="shared" ca="1" si="4"/>
        <v>#NAME?</v>
      </c>
      <c r="J27" s="100" t="e">
        <f ca="1">IFERROR(__xludf.DUMMYFUNCTION("""COMPUTED_VALUE"""),"0")</f>
        <v>#NAME?</v>
      </c>
      <c r="K27" s="100" t="e">
        <f t="shared" ca="1" si="5"/>
        <v>#NAME?</v>
      </c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 spans="1:26">
      <c r="A28" s="100" t="e">
        <f ca="1">IFERROR(__xludf.DUMMYFUNCTION("""COMPUTED_VALUE"""),58783363)</f>
        <v>#NAME?</v>
      </c>
      <c r="B28" s="100" t="e">
        <f ca="1">IFERROR(__xludf.DUMMYFUNCTION("""COMPUTED_VALUE"""),"OMGETH")</f>
        <v>#NAME?</v>
      </c>
      <c r="C28" s="100" t="e">
        <f ca="1">IFERROR(__xludf.DUMMYFUNCTION("""COMPUTED_VALUE"""),"0.00079100")</f>
        <v>#NAME?</v>
      </c>
      <c r="D28" s="100" t="e">
        <f t="shared" ca="1" si="8"/>
        <v>#NAME?</v>
      </c>
      <c r="E28" s="100" t="e">
        <f t="shared" ca="1" si="8"/>
        <v>#NAME?</v>
      </c>
      <c r="F28" s="100" t="e">
        <f t="shared" ca="1" si="1"/>
        <v>#NAME?</v>
      </c>
      <c r="G28" s="100" t="e">
        <f t="shared" ca="1" si="2"/>
        <v>#NAME?</v>
      </c>
      <c r="H28" s="100" t="e">
        <f t="shared" ca="1" si="3"/>
        <v>#NAME?</v>
      </c>
      <c r="I28" s="100" t="e">
        <f t="shared" ca="1" si="4"/>
        <v>#NAME?</v>
      </c>
      <c r="J28" s="100" t="e">
        <f ca="1">IFERROR(__xludf.DUMMYFUNCTION("""COMPUTED_VALUE"""),"0")</f>
        <v>#NAME?</v>
      </c>
      <c r="K28" s="100" t="e">
        <f t="shared" ca="1" si="5"/>
        <v>#NAME?</v>
      </c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 spans="1:26">
      <c r="A29" s="100" t="e">
        <f ca="1">IFERROR(__xludf.DUMMYFUNCTION("""COMPUTED_VALUE"""),58783364)</f>
        <v>#NAME?</v>
      </c>
      <c r="B29" s="100" t="e">
        <f ca="1">IFERROR(__xludf.DUMMYFUNCTION("""COMPUTED_VALUE"""),"ZRXBTC")</f>
        <v>#NAME?</v>
      </c>
      <c r="C29" s="100" t="e">
        <f ca="1">IFERROR(__xludf.DUMMYFUNCTION("""COMPUTED_VALUE"""),"0.00000285")</f>
        <v>#NAME?</v>
      </c>
      <c r="D29" s="100" t="e">
        <f t="shared" ca="1" si="8"/>
        <v>#NAME?</v>
      </c>
      <c r="E29" s="100" t="e">
        <f t="shared" ca="1" si="8"/>
        <v>#NAME?</v>
      </c>
      <c r="F29" s="100" t="e">
        <f t="shared" ca="1" si="1"/>
        <v>#NAME?</v>
      </c>
      <c r="G29" s="100" t="e">
        <f t="shared" ca="1" si="2"/>
        <v>#NAME?</v>
      </c>
      <c r="H29" s="100" t="e">
        <f t="shared" ca="1" si="3"/>
        <v>#NAME?</v>
      </c>
      <c r="I29" s="100" t="e">
        <f t="shared" ca="1" si="4"/>
        <v>#NAME?</v>
      </c>
      <c r="J29" s="100" t="e">
        <f ca="1">IFERROR(__xludf.DUMMYFUNCTION("""COMPUTED_VALUE"""),"-4.682")</f>
        <v>#NAME?</v>
      </c>
      <c r="K29" s="100" t="e">
        <f t="shared" ca="1" si="5"/>
        <v>#NAME?</v>
      </c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 spans="1:26">
      <c r="A30" s="100" t="e">
        <f ca="1">IFERROR(__xludf.DUMMYFUNCTION("""COMPUTED_VALUE"""),58783365)</f>
        <v>#NAME?</v>
      </c>
      <c r="B30" s="100" t="e">
        <f ca="1">IFERROR(__xludf.DUMMYFUNCTION("""COMPUTED_VALUE"""),"ZRXETH")</f>
        <v>#NAME?</v>
      </c>
      <c r="C30" s="100" t="e">
        <f ca="1">IFERROR(__xludf.DUMMYFUNCTION("""COMPUTED_VALUE"""),"0.00009940")</f>
        <v>#NAME?</v>
      </c>
      <c r="D30" s="100" t="e">
        <f t="shared" ca="1" si="8"/>
        <v>#NAME?</v>
      </c>
      <c r="E30" s="100" t="e">
        <f t="shared" ca="1" si="8"/>
        <v>#NAME?</v>
      </c>
      <c r="F30" s="100" t="e">
        <f t="shared" ca="1" si="1"/>
        <v>#NAME?</v>
      </c>
      <c r="G30" s="100" t="e">
        <f t="shared" ca="1" si="2"/>
        <v>#NAME?</v>
      </c>
      <c r="H30" s="100" t="e">
        <f t="shared" ca="1" si="3"/>
        <v>#NAME?</v>
      </c>
      <c r="I30" s="100" t="e">
        <f t="shared" ca="1" si="4"/>
        <v>#NAME?</v>
      </c>
      <c r="J30" s="100" t="e">
        <f t="shared" ref="J30:J36" ca="1" si="9">IFERROR(__xludf.DUMMYFUNCTION("""COMPUTED_VALUE"""),"0")</f>
        <v>#NAME?</v>
      </c>
      <c r="K30" s="100" t="e">
        <f t="shared" ca="1" si="5"/>
        <v>#NAME?</v>
      </c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 spans="1:26">
      <c r="A31" s="100" t="e">
        <f ca="1">IFERROR(__xludf.DUMMYFUNCTION("""COMPUTED_VALUE"""),58783366)</f>
        <v>#NAME?</v>
      </c>
      <c r="B31" s="100" t="e">
        <f ca="1">IFERROR(__xludf.DUMMYFUNCTION("""COMPUTED_VALUE"""),"STRATBTC")</f>
        <v>#NAME?</v>
      </c>
      <c r="C31" s="100" t="e">
        <f t="shared" ref="C31:C36" ca="1" si="10">IFERROR(__xludf.DUMMYFUNCTION("""COMPUTED_VALUE"""),"0.00000000")</f>
        <v>#NAME?</v>
      </c>
      <c r="D31" s="100" t="e">
        <f t="shared" ca="1" si="8"/>
        <v>#NAME?</v>
      </c>
      <c r="E31" s="100" t="e">
        <f t="shared" ca="1" si="8"/>
        <v>#NAME?</v>
      </c>
      <c r="F31" s="100" t="e">
        <f t="shared" ca="1" si="1"/>
        <v>#NAME?</v>
      </c>
      <c r="G31" s="100" t="e">
        <f t="shared" ca="1" si="2"/>
        <v>#NAME?</v>
      </c>
      <c r="H31" s="100" t="e">
        <f t="shared" ca="1" si="3"/>
        <v>#NAME?</v>
      </c>
      <c r="I31" s="100" t="e">
        <f t="shared" ca="1" si="4"/>
        <v>#NAME?</v>
      </c>
      <c r="J31" s="100" t="e">
        <f t="shared" ca="1" si="9"/>
        <v>#NAME?</v>
      </c>
      <c r="K31" s="100" t="e">
        <f t="shared" ca="1" si="5"/>
        <v>#NAME?</v>
      </c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 spans="1:26">
      <c r="A32" s="100" t="e">
        <f ca="1">IFERROR(__xludf.DUMMYFUNCTION("""COMPUTED_VALUE"""),58783367)</f>
        <v>#NAME?</v>
      </c>
      <c r="B32" s="100" t="e">
        <f ca="1">IFERROR(__xludf.DUMMYFUNCTION("""COMPUTED_VALUE"""),"STRATETH")</f>
        <v>#NAME?</v>
      </c>
      <c r="C32" s="100" t="e">
        <f t="shared" ca="1" si="10"/>
        <v>#NAME?</v>
      </c>
      <c r="D32" s="100" t="e">
        <f t="shared" ca="1" si="8"/>
        <v>#NAME?</v>
      </c>
      <c r="E32" s="100" t="e">
        <f t="shared" ca="1" si="8"/>
        <v>#NAME?</v>
      </c>
      <c r="F32" s="100" t="e">
        <f t="shared" ca="1" si="1"/>
        <v>#NAME?</v>
      </c>
      <c r="G32" s="100" t="e">
        <f t="shared" ca="1" si="2"/>
        <v>#NAME?</v>
      </c>
      <c r="H32" s="100" t="e">
        <f t="shared" ca="1" si="3"/>
        <v>#NAME?</v>
      </c>
      <c r="I32" s="100" t="e">
        <f t="shared" ca="1" si="4"/>
        <v>#NAME?</v>
      </c>
      <c r="J32" s="100" t="e">
        <f t="shared" ca="1" si="9"/>
        <v>#NAME?</v>
      </c>
      <c r="K32" s="100" t="e">
        <f t="shared" ca="1" si="5"/>
        <v>#NAME?</v>
      </c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 spans="1:26">
      <c r="A33" s="100" t="e">
        <f ca="1">IFERROR(__xludf.DUMMYFUNCTION("""COMPUTED_VALUE"""),58783368)</f>
        <v>#NAME?</v>
      </c>
      <c r="B33" s="100" t="e">
        <f ca="1">IFERROR(__xludf.DUMMYFUNCTION("""COMPUTED_VALUE"""),"SNGLSBTC")</f>
        <v>#NAME?</v>
      </c>
      <c r="C33" s="100" t="e">
        <f t="shared" ca="1" si="10"/>
        <v>#NAME?</v>
      </c>
      <c r="D33" s="100" t="e">
        <f t="shared" ca="1" si="8"/>
        <v>#NAME?</v>
      </c>
      <c r="E33" s="100" t="e">
        <f t="shared" ca="1" si="8"/>
        <v>#NAME?</v>
      </c>
      <c r="F33" s="100" t="e">
        <f t="shared" ca="1" si="1"/>
        <v>#NAME?</v>
      </c>
      <c r="G33" s="100" t="e">
        <f t="shared" ca="1" si="2"/>
        <v>#NAME?</v>
      </c>
      <c r="H33" s="100" t="e">
        <f t="shared" ca="1" si="3"/>
        <v>#NAME?</v>
      </c>
      <c r="I33" s="100" t="e">
        <f t="shared" ca="1" si="4"/>
        <v>#NAME?</v>
      </c>
      <c r="J33" s="100" t="e">
        <f t="shared" ca="1" si="9"/>
        <v>#NAME?</v>
      </c>
      <c r="K33" s="100" t="e">
        <f t="shared" ca="1" si="5"/>
        <v>#NAME?</v>
      </c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 spans="1:26">
      <c r="A34" s="100" t="e">
        <f ca="1">IFERROR(__xludf.DUMMYFUNCTION("""COMPUTED_VALUE"""),58783369)</f>
        <v>#NAME?</v>
      </c>
      <c r="B34" s="100" t="e">
        <f ca="1">IFERROR(__xludf.DUMMYFUNCTION("""COMPUTED_VALUE"""),"SNGLSETH")</f>
        <v>#NAME?</v>
      </c>
      <c r="C34" s="100" t="e">
        <f t="shared" ca="1" si="10"/>
        <v>#NAME?</v>
      </c>
      <c r="D34" s="100" t="e">
        <f t="shared" ca="1" si="8"/>
        <v>#NAME?</v>
      </c>
      <c r="E34" s="100" t="e">
        <f t="shared" ca="1" si="8"/>
        <v>#NAME?</v>
      </c>
      <c r="F34" s="100" t="e">
        <f t="shared" ca="1" si="1"/>
        <v>#NAME?</v>
      </c>
      <c r="G34" s="100" t="e">
        <f t="shared" ca="1" si="2"/>
        <v>#NAME?</v>
      </c>
      <c r="H34" s="100" t="e">
        <f t="shared" ca="1" si="3"/>
        <v>#NAME?</v>
      </c>
      <c r="I34" s="100" t="e">
        <f t="shared" ca="1" si="4"/>
        <v>#NAME?</v>
      </c>
      <c r="J34" s="100" t="e">
        <f t="shared" ca="1" si="9"/>
        <v>#NAME?</v>
      </c>
      <c r="K34" s="100" t="e">
        <f t="shared" ca="1" si="5"/>
        <v>#NAME?</v>
      </c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 spans="1:26">
      <c r="A35" s="100" t="e">
        <f ca="1">IFERROR(__xludf.DUMMYFUNCTION("""COMPUTED_VALUE"""),58783370)</f>
        <v>#NAME?</v>
      </c>
      <c r="B35" s="100" t="e">
        <f ca="1">IFERROR(__xludf.DUMMYFUNCTION("""COMPUTED_VALUE"""),"BQXBTC")</f>
        <v>#NAME?</v>
      </c>
      <c r="C35" s="100" t="e">
        <f t="shared" ca="1" si="10"/>
        <v>#NAME?</v>
      </c>
      <c r="D35" s="100" t="e">
        <f t="shared" ca="1" si="8"/>
        <v>#NAME?</v>
      </c>
      <c r="E35" s="100" t="e">
        <f t="shared" ca="1" si="8"/>
        <v>#NAME?</v>
      </c>
      <c r="F35" s="100" t="e">
        <f t="shared" ca="1" si="1"/>
        <v>#NAME?</v>
      </c>
      <c r="G35" s="100" t="e">
        <f t="shared" ca="1" si="2"/>
        <v>#NAME?</v>
      </c>
      <c r="H35" s="100" t="e">
        <f t="shared" ca="1" si="3"/>
        <v>#NAME?</v>
      </c>
      <c r="I35" s="100" t="e">
        <f t="shared" ca="1" si="4"/>
        <v>#NAME?</v>
      </c>
      <c r="J35" s="100" t="e">
        <f t="shared" ca="1" si="9"/>
        <v>#NAME?</v>
      </c>
      <c r="K35" s="100" t="e">
        <f t="shared" ca="1" si="5"/>
        <v>#NAME?</v>
      </c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 spans="1:26">
      <c r="A36" s="100" t="e">
        <f ca="1">IFERROR(__xludf.DUMMYFUNCTION("""COMPUTED_VALUE"""),58783371)</f>
        <v>#NAME?</v>
      </c>
      <c r="B36" s="100" t="e">
        <f ca="1">IFERROR(__xludf.DUMMYFUNCTION("""COMPUTED_VALUE"""),"BQXETH")</f>
        <v>#NAME?</v>
      </c>
      <c r="C36" s="100" t="e">
        <f t="shared" ca="1" si="10"/>
        <v>#NAME?</v>
      </c>
      <c r="D36" s="100" t="e">
        <f t="shared" ca="1" si="8"/>
        <v>#NAME?</v>
      </c>
      <c r="E36" s="100" t="e">
        <f t="shared" ca="1" si="8"/>
        <v>#NAME?</v>
      </c>
      <c r="F36" s="100" t="e">
        <f t="shared" ca="1" si="1"/>
        <v>#NAME?</v>
      </c>
      <c r="G36" s="100" t="e">
        <f t="shared" ca="1" si="2"/>
        <v>#NAME?</v>
      </c>
      <c r="H36" s="100" t="e">
        <f t="shared" ca="1" si="3"/>
        <v>#NAME?</v>
      </c>
      <c r="I36" s="100" t="e">
        <f t="shared" ca="1" si="4"/>
        <v>#NAME?</v>
      </c>
      <c r="J36" s="100" t="e">
        <f t="shared" ca="1" si="9"/>
        <v>#NAME?</v>
      </c>
      <c r="K36" s="100" t="e">
        <f t="shared" ca="1" si="5"/>
        <v>#NAME?</v>
      </c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 spans="1:26">
      <c r="A37" s="100" t="e">
        <f ca="1">IFERROR(__xludf.DUMMYFUNCTION("""COMPUTED_VALUE"""),58783372)</f>
        <v>#NAME?</v>
      </c>
      <c r="B37" s="100" t="e">
        <f ca="1">IFERROR(__xludf.DUMMYFUNCTION("""COMPUTED_VALUE"""),"KNCBTC")</f>
        <v>#NAME?</v>
      </c>
      <c r="C37" s="100" t="e">
        <f ca="1">IFERROR(__xludf.DUMMYFUNCTION("""COMPUTED_VALUE"""),"0.00000388")</f>
        <v>#NAME?</v>
      </c>
      <c r="D37" s="100" t="e">
        <f t="shared" ca="1" si="8"/>
        <v>#NAME?</v>
      </c>
      <c r="E37" s="100" t="e">
        <f t="shared" ca="1" si="8"/>
        <v>#NAME?</v>
      </c>
      <c r="F37" s="100" t="e">
        <f t="shared" ca="1" si="1"/>
        <v>#NAME?</v>
      </c>
      <c r="G37" s="100" t="e">
        <f t="shared" ca="1" si="2"/>
        <v>#NAME?</v>
      </c>
      <c r="H37" s="100" t="e">
        <f t="shared" ca="1" si="3"/>
        <v>#NAME?</v>
      </c>
      <c r="I37" s="100" t="e">
        <f t="shared" ca="1" si="4"/>
        <v>#NAME?</v>
      </c>
      <c r="J37" s="100" t="e">
        <f ca="1">IFERROR(__xludf.DUMMYFUNCTION("""COMPUTED_VALUE"""),"-4.433")</f>
        <v>#NAME?</v>
      </c>
      <c r="K37" s="100" t="e">
        <f t="shared" ca="1" si="5"/>
        <v>#NAME?</v>
      </c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 spans="1:26">
      <c r="A38" s="100" t="e">
        <f ca="1">IFERROR(__xludf.DUMMYFUNCTION("""COMPUTED_VALUE"""),58783373)</f>
        <v>#NAME?</v>
      </c>
      <c r="B38" s="100" t="e">
        <f ca="1">IFERROR(__xludf.DUMMYFUNCTION("""COMPUTED_VALUE"""),"KNCETH")</f>
        <v>#NAME?</v>
      </c>
      <c r="C38" s="100" t="e">
        <f ca="1">IFERROR(__xludf.DUMMYFUNCTION("""COMPUTED_VALUE"""),"0.00039410")</f>
        <v>#NAME?</v>
      </c>
      <c r="D38" s="100" t="e">
        <f t="shared" ca="1" si="8"/>
        <v>#NAME?</v>
      </c>
      <c r="E38" s="100" t="e">
        <f t="shared" ca="1" si="8"/>
        <v>#NAME?</v>
      </c>
      <c r="F38" s="100" t="e">
        <f t="shared" ca="1" si="1"/>
        <v>#NAME?</v>
      </c>
      <c r="G38" s="100" t="e">
        <f t="shared" ca="1" si="2"/>
        <v>#NAME?</v>
      </c>
      <c r="H38" s="100" t="e">
        <f t="shared" ca="1" si="3"/>
        <v>#NAME?</v>
      </c>
      <c r="I38" s="100" t="e">
        <f t="shared" ca="1" si="4"/>
        <v>#NAME?</v>
      </c>
      <c r="J38" s="100" t="e">
        <f t="shared" ref="J38:J43" ca="1" si="11">IFERROR(__xludf.DUMMYFUNCTION("""COMPUTED_VALUE"""),"0")</f>
        <v>#NAME?</v>
      </c>
      <c r="K38" s="100" t="e">
        <f t="shared" ca="1" si="5"/>
        <v>#NAME?</v>
      </c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 spans="1:26">
      <c r="A39" s="100" t="e">
        <f ca="1">IFERROR(__xludf.DUMMYFUNCTION("""COMPUTED_VALUE"""),58783374)</f>
        <v>#NAME?</v>
      </c>
      <c r="B39" s="100" t="e">
        <f ca="1">IFERROR(__xludf.DUMMYFUNCTION("""COMPUTED_VALUE"""),"FUNBTC")</f>
        <v>#NAME?</v>
      </c>
      <c r="C39" s="100" t="e">
        <f ca="1">IFERROR(__xludf.DUMMYFUNCTION("""COMPUTED_VALUE"""),"0.00000000")</f>
        <v>#NAME?</v>
      </c>
      <c r="D39" s="100" t="e">
        <f t="shared" ca="1" si="8"/>
        <v>#NAME?</v>
      </c>
      <c r="E39" s="100" t="e">
        <f t="shared" ca="1" si="8"/>
        <v>#NAME?</v>
      </c>
      <c r="F39" s="100" t="e">
        <f t="shared" ca="1" si="1"/>
        <v>#NAME?</v>
      </c>
      <c r="G39" s="100" t="e">
        <f t="shared" ca="1" si="2"/>
        <v>#NAME?</v>
      </c>
      <c r="H39" s="100" t="e">
        <f t="shared" ca="1" si="3"/>
        <v>#NAME?</v>
      </c>
      <c r="I39" s="100" t="e">
        <f t="shared" ca="1" si="4"/>
        <v>#NAME?</v>
      </c>
      <c r="J39" s="100" t="e">
        <f t="shared" ca="1" si="11"/>
        <v>#NAME?</v>
      </c>
      <c r="K39" s="100" t="e">
        <f t="shared" ca="1" si="5"/>
        <v>#NAME?</v>
      </c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 spans="1:26">
      <c r="A40" s="100" t="e">
        <f ca="1">IFERROR(__xludf.DUMMYFUNCTION("""COMPUTED_VALUE"""),58783375)</f>
        <v>#NAME?</v>
      </c>
      <c r="B40" s="100" t="e">
        <f ca="1">IFERROR(__xludf.DUMMYFUNCTION("""COMPUTED_VALUE"""),"FUNETH")</f>
        <v>#NAME?</v>
      </c>
      <c r="C40" s="100" t="e">
        <f ca="1">IFERROR(__xludf.DUMMYFUNCTION("""COMPUTED_VALUE"""),"0.00000146")</f>
        <v>#NAME?</v>
      </c>
      <c r="D40" s="100" t="e">
        <f t="shared" ca="1" si="8"/>
        <v>#NAME?</v>
      </c>
      <c r="E40" s="100" t="e">
        <f t="shared" ca="1" si="8"/>
        <v>#NAME?</v>
      </c>
      <c r="F40" s="100" t="e">
        <f t="shared" ca="1" si="1"/>
        <v>#NAME?</v>
      </c>
      <c r="G40" s="100" t="e">
        <f t="shared" ca="1" si="2"/>
        <v>#NAME?</v>
      </c>
      <c r="H40" s="100" t="e">
        <f t="shared" ca="1" si="3"/>
        <v>#NAME?</v>
      </c>
      <c r="I40" s="100" t="e">
        <f t="shared" ca="1" si="4"/>
        <v>#NAME?</v>
      </c>
      <c r="J40" s="100" t="e">
        <f t="shared" ca="1" si="11"/>
        <v>#NAME?</v>
      </c>
      <c r="K40" s="100" t="e">
        <f t="shared" ca="1" si="5"/>
        <v>#NAME?</v>
      </c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 spans="1:26">
      <c r="A41" s="100" t="e">
        <f ca="1">IFERROR(__xludf.DUMMYFUNCTION("""COMPUTED_VALUE"""),58783376)</f>
        <v>#NAME?</v>
      </c>
      <c r="B41" s="100" t="e">
        <f ca="1">IFERROR(__xludf.DUMMYFUNCTION("""COMPUTED_VALUE"""),"SNMBTC")</f>
        <v>#NAME?</v>
      </c>
      <c r="C41" s="100" t="e">
        <f ca="1">IFERROR(__xludf.DUMMYFUNCTION("""COMPUTED_VALUE"""),"0.00000057")</f>
        <v>#NAME?</v>
      </c>
      <c r="D41" s="100" t="e">
        <f t="shared" ca="1" si="8"/>
        <v>#NAME?</v>
      </c>
      <c r="E41" s="100" t="e">
        <f t="shared" ca="1" si="8"/>
        <v>#NAME?</v>
      </c>
      <c r="F41" s="100" t="e">
        <f t="shared" ca="1" si="1"/>
        <v>#NAME?</v>
      </c>
      <c r="G41" s="100" t="e">
        <f t="shared" ca="1" si="2"/>
        <v>#NAME?</v>
      </c>
      <c r="H41" s="100" t="e">
        <f t="shared" ca="1" si="3"/>
        <v>#NAME?</v>
      </c>
      <c r="I41" s="100" t="e">
        <f t="shared" ca="1" si="4"/>
        <v>#NAME?</v>
      </c>
      <c r="J41" s="100" t="e">
        <f t="shared" ca="1" si="11"/>
        <v>#NAME?</v>
      </c>
      <c r="K41" s="100" t="e">
        <f t="shared" ca="1" si="5"/>
        <v>#NAME?</v>
      </c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 spans="1:26">
      <c r="A42" s="100" t="e">
        <f ca="1">IFERROR(__xludf.DUMMYFUNCTION("""COMPUTED_VALUE"""),58783377)</f>
        <v>#NAME?</v>
      </c>
      <c r="B42" s="100" t="e">
        <f ca="1">IFERROR(__xludf.DUMMYFUNCTION("""COMPUTED_VALUE"""),"SNMETH")</f>
        <v>#NAME?</v>
      </c>
      <c r="C42" s="100" t="e">
        <f ca="1">IFERROR(__xludf.DUMMYFUNCTION("""COMPUTED_VALUE"""),"0.00000000")</f>
        <v>#NAME?</v>
      </c>
      <c r="D42" s="100" t="e">
        <f t="shared" ref="D42:E61" ca="1" si="12">IFERROR(__xludf.DUMMYFUNCTION("""COMPUTED_VALUE"""),"-")</f>
        <v>#NAME?</v>
      </c>
      <c r="E42" s="100" t="e">
        <f t="shared" ca="1" si="12"/>
        <v>#NAME?</v>
      </c>
      <c r="F42" s="100" t="e">
        <f t="shared" ca="1" si="1"/>
        <v>#NAME?</v>
      </c>
      <c r="G42" s="100" t="e">
        <f t="shared" ca="1" si="2"/>
        <v>#NAME?</v>
      </c>
      <c r="H42" s="100" t="e">
        <f t="shared" ca="1" si="3"/>
        <v>#NAME?</v>
      </c>
      <c r="I42" s="100" t="e">
        <f t="shared" ca="1" si="4"/>
        <v>#NAME?</v>
      </c>
      <c r="J42" s="100" t="e">
        <f t="shared" ca="1" si="11"/>
        <v>#NAME?</v>
      </c>
      <c r="K42" s="100" t="e">
        <f t="shared" ca="1" si="5"/>
        <v>#NAME?</v>
      </c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 spans="1:26">
      <c r="A43" s="100" t="e">
        <f ca="1">IFERROR(__xludf.DUMMYFUNCTION("""COMPUTED_VALUE"""),58783378)</f>
        <v>#NAME?</v>
      </c>
      <c r="B43" s="100" t="e">
        <f ca="1">IFERROR(__xludf.DUMMYFUNCTION("""COMPUTED_VALUE"""),"NEOETH")</f>
        <v>#NAME?</v>
      </c>
      <c r="C43" s="100" t="e">
        <f ca="1">IFERROR(__xludf.DUMMYFUNCTION("""COMPUTED_VALUE"""),"0.00477500")</f>
        <v>#NAME?</v>
      </c>
      <c r="D43" s="100" t="e">
        <f t="shared" ca="1" si="12"/>
        <v>#NAME?</v>
      </c>
      <c r="E43" s="100" t="e">
        <f t="shared" ca="1" si="12"/>
        <v>#NAME?</v>
      </c>
      <c r="F43" s="100" t="e">
        <f t="shared" ca="1" si="1"/>
        <v>#NAME?</v>
      </c>
      <c r="G43" s="100" t="e">
        <f t="shared" ca="1" si="2"/>
        <v>#NAME?</v>
      </c>
      <c r="H43" s="100" t="e">
        <f t="shared" ca="1" si="3"/>
        <v>#NAME?</v>
      </c>
      <c r="I43" s="100" t="e">
        <f t="shared" ca="1" si="4"/>
        <v>#NAME?</v>
      </c>
      <c r="J43" s="100" t="e">
        <f t="shared" ca="1" si="11"/>
        <v>#NAME?</v>
      </c>
      <c r="K43" s="100" t="e">
        <f t="shared" ca="1" si="5"/>
        <v>#NAME?</v>
      </c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 spans="1:26">
      <c r="A44" s="100" t="e">
        <f ca="1">IFERROR(__xludf.DUMMYFUNCTION("""COMPUTED_VALUE"""),58783379)</f>
        <v>#NAME?</v>
      </c>
      <c r="B44" s="100" t="e">
        <f ca="1">IFERROR(__xludf.DUMMYFUNCTION("""COMPUTED_VALUE"""),"IOTABTC")</f>
        <v>#NAME?</v>
      </c>
      <c r="C44" s="100" t="e">
        <f ca="1">IFERROR(__xludf.DUMMYFUNCTION("""COMPUTED_VALUE"""),"0.00000194")</f>
        <v>#NAME?</v>
      </c>
      <c r="D44" s="100" t="e">
        <f t="shared" ca="1" si="12"/>
        <v>#NAME?</v>
      </c>
      <c r="E44" s="100" t="e">
        <f t="shared" ca="1" si="12"/>
        <v>#NAME?</v>
      </c>
      <c r="F44" s="100" t="e">
        <f t="shared" ca="1" si="1"/>
        <v>#NAME?</v>
      </c>
      <c r="G44" s="100" t="e">
        <f t="shared" ca="1" si="2"/>
        <v>#NAME?</v>
      </c>
      <c r="H44" s="100" t="e">
        <f t="shared" ca="1" si="3"/>
        <v>#NAME?</v>
      </c>
      <c r="I44" s="100" t="e">
        <f t="shared" ca="1" si="4"/>
        <v>#NAME?</v>
      </c>
      <c r="J44" s="100" t="e">
        <f ca="1">IFERROR(__xludf.DUMMYFUNCTION("""COMPUTED_VALUE"""),"-1.020")</f>
        <v>#NAME?</v>
      </c>
      <c r="K44" s="100" t="e">
        <f t="shared" ca="1" si="5"/>
        <v>#NAME?</v>
      </c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 spans="1:26">
      <c r="A45" s="100" t="e">
        <f ca="1">IFERROR(__xludf.DUMMYFUNCTION("""COMPUTED_VALUE"""),58783380)</f>
        <v>#NAME?</v>
      </c>
      <c r="B45" s="100" t="e">
        <f ca="1">IFERROR(__xludf.DUMMYFUNCTION("""COMPUTED_VALUE"""),"IOTAETH")</f>
        <v>#NAME?</v>
      </c>
      <c r="C45" s="100" t="e">
        <f ca="1">IFERROR(__xludf.DUMMYFUNCTION("""COMPUTED_VALUE"""),"0.00010567")</f>
        <v>#NAME?</v>
      </c>
      <c r="D45" s="100" t="e">
        <f t="shared" ca="1" si="12"/>
        <v>#NAME?</v>
      </c>
      <c r="E45" s="100" t="e">
        <f t="shared" ca="1" si="12"/>
        <v>#NAME?</v>
      </c>
      <c r="F45" s="100" t="e">
        <f t="shared" ca="1" si="1"/>
        <v>#NAME?</v>
      </c>
      <c r="G45" s="100" t="e">
        <f t="shared" ca="1" si="2"/>
        <v>#NAME?</v>
      </c>
      <c r="H45" s="100" t="e">
        <f t="shared" ca="1" si="3"/>
        <v>#NAME?</v>
      </c>
      <c r="I45" s="100" t="e">
        <f t="shared" ca="1" si="4"/>
        <v>#NAME?</v>
      </c>
      <c r="J45" s="100" t="e">
        <f ca="1">IFERROR(__xludf.DUMMYFUNCTION("""COMPUTED_VALUE"""),"0.114")</f>
        <v>#NAME?</v>
      </c>
      <c r="K45" s="100" t="e">
        <f t="shared" ca="1" si="5"/>
        <v>#NAME?</v>
      </c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 spans="1:26">
      <c r="A46" s="100" t="e">
        <f ca="1">IFERROR(__xludf.DUMMYFUNCTION("""COMPUTED_VALUE"""),58783381)</f>
        <v>#NAME?</v>
      </c>
      <c r="B46" s="100" t="e">
        <f ca="1">IFERROR(__xludf.DUMMYFUNCTION("""COMPUTED_VALUE"""),"LINKBTC")</f>
        <v>#NAME?</v>
      </c>
      <c r="C46" s="100" t="e">
        <f ca="1">IFERROR(__xludf.DUMMYFUNCTION("""COMPUTED_VALUE"""),"0.00015030")</f>
        <v>#NAME?</v>
      </c>
      <c r="D46" s="100" t="e">
        <f t="shared" ca="1" si="12"/>
        <v>#NAME?</v>
      </c>
      <c r="E46" s="100" t="e">
        <f t="shared" ca="1" si="12"/>
        <v>#NAME?</v>
      </c>
      <c r="F46" s="100" t="e">
        <f t="shared" ca="1" si="1"/>
        <v>#NAME?</v>
      </c>
      <c r="G46" s="100" t="e">
        <f t="shared" ca="1" si="2"/>
        <v>#NAME?</v>
      </c>
      <c r="H46" s="100" t="e">
        <f t="shared" ca="1" si="3"/>
        <v>#NAME?</v>
      </c>
      <c r="I46" s="100" t="e">
        <f t="shared" ca="1" si="4"/>
        <v>#NAME?</v>
      </c>
      <c r="J46" s="100" t="e">
        <f ca="1">IFERROR(__xludf.DUMMYFUNCTION("""COMPUTED_VALUE"""),"-2.781")</f>
        <v>#NAME?</v>
      </c>
      <c r="K46" s="100" t="e">
        <f t="shared" ca="1" si="5"/>
        <v>#NAME?</v>
      </c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 spans="1:26">
      <c r="A47" s="100" t="e">
        <f ca="1">IFERROR(__xludf.DUMMYFUNCTION("""COMPUTED_VALUE"""),58783382)</f>
        <v>#NAME?</v>
      </c>
      <c r="B47" s="100" t="e">
        <f ca="1">IFERROR(__xludf.DUMMYFUNCTION("""COMPUTED_VALUE"""),"LINKETH")</f>
        <v>#NAME?</v>
      </c>
      <c r="C47" s="100" t="e">
        <f ca="1">IFERROR(__xludf.DUMMYFUNCTION("""COMPUTED_VALUE"""),"0.00819400")</f>
        <v>#NAME?</v>
      </c>
      <c r="D47" s="100" t="e">
        <f t="shared" ca="1" si="12"/>
        <v>#NAME?</v>
      </c>
      <c r="E47" s="100" t="e">
        <f t="shared" ca="1" si="12"/>
        <v>#NAME?</v>
      </c>
      <c r="F47" s="100" t="e">
        <f t="shared" ca="1" si="1"/>
        <v>#NAME?</v>
      </c>
      <c r="G47" s="100" t="e">
        <f t="shared" ca="1" si="2"/>
        <v>#NAME?</v>
      </c>
      <c r="H47" s="100" t="e">
        <f t="shared" ca="1" si="3"/>
        <v>#NAME?</v>
      </c>
      <c r="I47" s="100" t="e">
        <f t="shared" ca="1" si="4"/>
        <v>#NAME?</v>
      </c>
      <c r="J47" s="100" t="e">
        <f ca="1">IFERROR(__xludf.DUMMYFUNCTION("""COMPUTED_VALUE"""),"-0.462")</f>
        <v>#NAME?</v>
      </c>
      <c r="K47" s="100" t="e">
        <f t="shared" ca="1" si="5"/>
        <v>#NAME?</v>
      </c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 spans="1:26">
      <c r="A48" s="100" t="e">
        <f ca="1">IFERROR(__xludf.DUMMYFUNCTION("""COMPUTED_VALUE"""),58783383)</f>
        <v>#NAME?</v>
      </c>
      <c r="B48" s="100" t="e">
        <f ca="1">IFERROR(__xludf.DUMMYFUNCTION("""COMPUTED_VALUE"""),"XVGBTC")</f>
        <v>#NAME?</v>
      </c>
      <c r="C48" s="100" t="e">
        <f ca="1">IFERROR(__xludf.DUMMYFUNCTION("""COMPUTED_VALUE"""),"0.00000000")</f>
        <v>#NAME?</v>
      </c>
      <c r="D48" s="100" t="e">
        <f t="shared" ca="1" si="12"/>
        <v>#NAME?</v>
      </c>
      <c r="E48" s="100" t="e">
        <f t="shared" ca="1" si="12"/>
        <v>#NAME?</v>
      </c>
      <c r="F48" s="100" t="e">
        <f t="shared" ca="1" si="1"/>
        <v>#NAME?</v>
      </c>
      <c r="G48" s="100" t="e">
        <f t="shared" ca="1" si="2"/>
        <v>#NAME?</v>
      </c>
      <c r="H48" s="100" t="e">
        <f t="shared" ca="1" si="3"/>
        <v>#NAME?</v>
      </c>
      <c r="I48" s="100" t="e">
        <f t="shared" ca="1" si="4"/>
        <v>#NAME?</v>
      </c>
      <c r="J48" s="100" t="e">
        <f ca="1">IFERROR(__xludf.DUMMYFUNCTION("""COMPUTED_VALUE"""),"0")</f>
        <v>#NAME?</v>
      </c>
      <c r="K48" s="100" t="e">
        <f t="shared" ca="1" si="5"/>
        <v>#NAME?</v>
      </c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 spans="1:26">
      <c r="A49" s="100" t="e">
        <f ca="1">IFERROR(__xludf.DUMMYFUNCTION("""COMPUTED_VALUE"""),58783384)</f>
        <v>#NAME?</v>
      </c>
      <c r="B49" s="100" t="e">
        <f ca="1">IFERROR(__xludf.DUMMYFUNCTION("""COMPUTED_VALUE"""),"XVGETH")</f>
        <v>#NAME?</v>
      </c>
      <c r="C49" s="100" t="e">
        <f ca="1">IFERROR(__xludf.DUMMYFUNCTION("""COMPUTED_VALUE"""),"0.00000286")</f>
        <v>#NAME?</v>
      </c>
      <c r="D49" s="100" t="e">
        <f t="shared" ca="1" si="12"/>
        <v>#NAME?</v>
      </c>
      <c r="E49" s="100" t="e">
        <f t="shared" ca="1" si="12"/>
        <v>#NAME?</v>
      </c>
      <c r="F49" s="100" t="e">
        <f t="shared" ca="1" si="1"/>
        <v>#NAME?</v>
      </c>
      <c r="G49" s="100" t="e">
        <f t="shared" ca="1" si="2"/>
        <v>#NAME?</v>
      </c>
      <c r="H49" s="100" t="e">
        <f t="shared" ca="1" si="3"/>
        <v>#NAME?</v>
      </c>
      <c r="I49" s="100" t="e">
        <f t="shared" ca="1" si="4"/>
        <v>#NAME?</v>
      </c>
      <c r="J49" s="100" t="e">
        <f ca="1">IFERROR(__xludf.DUMMYFUNCTION("""COMPUTED_VALUE"""),"1.418")</f>
        <v>#NAME?</v>
      </c>
      <c r="K49" s="100" t="e">
        <f t="shared" ca="1" si="5"/>
        <v>#NAME?</v>
      </c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 spans="1:26">
      <c r="A50" s="100" t="e">
        <f ca="1">IFERROR(__xludf.DUMMYFUNCTION("""COMPUTED_VALUE"""),58783385)</f>
        <v>#NAME?</v>
      </c>
      <c r="B50" s="100" t="e">
        <f ca="1">IFERROR(__xludf.DUMMYFUNCTION("""COMPUTED_VALUE"""),"SALTBTC")</f>
        <v>#NAME?</v>
      </c>
      <c r="C50" s="100" t="e">
        <f ca="1">IFERROR(__xludf.DUMMYFUNCTION("""COMPUTED_VALUE"""),"0.00000000")</f>
        <v>#NAME?</v>
      </c>
      <c r="D50" s="100" t="e">
        <f t="shared" ca="1" si="12"/>
        <v>#NAME?</v>
      </c>
      <c r="E50" s="100" t="e">
        <f t="shared" ca="1" si="12"/>
        <v>#NAME?</v>
      </c>
      <c r="F50" s="100" t="e">
        <f t="shared" ca="1" si="1"/>
        <v>#NAME?</v>
      </c>
      <c r="G50" s="100" t="e">
        <f t="shared" ca="1" si="2"/>
        <v>#NAME?</v>
      </c>
      <c r="H50" s="100" t="e">
        <f t="shared" ca="1" si="3"/>
        <v>#NAME?</v>
      </c>
      <c r="I50" s="100" t="e">
        <f t="shared" ca="1" si="4"/>
        <v>#NAME?</v>
      </c>
      <c r="J50" s="100" t="e">
        <f ca="1">IFERROR(__xludf.DUMMYFUNCTION("""COMPUTED_VALUE"""),"0")</f>
        <v>#NAME?</v>
      </c>
      <c r="K50" s="100" t="e">
        <f t="shared" ca="1" si="5"/>
        <v>#NAME?</v>
      </c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 spans="1:26">
      <c r="A51" s="100" t="e">
        <f ca="1">IFERROR(__xludf.DUMMYFUNCTION("""COMPUTED_VALUE"""),58783386)</f>
        <v>#NAME?</v>
      </c>
      <c r="B51" s="100" t="e">
        <f ca="1">IFERROR(__xludf.DUMMYFUNCTION("""COMPUTED_VALUE"""),"SALTETH")</f>
        <v>#NAME?</v>
      </c>
      <c r="C51" s="100" t="e">
        <f ca="1">IFERROR(__xludf.DUMMYFUNCTION("""COMPUTED_VALUE"""),"0.00000000")</f>
        <v>#NAME?</v>
      </c>
      <c r="D51" s="100" t="e">
        <f t="shared" ca="1" si="12"/>
        <v>#NAME?</v>
      </c>
      <c r="E51" s="100" t="e">
        <f t="shared" ca="1" si="12"/>
        <v>#NAME?</v>
      </c>
      <c r="F51" s="100" t="e">
        <f t="shared" ca="1" si="1"/>
        <v>#NAME?</v>
      </c>
      <c r="G51" s="100" t="e">
        <f t="shared" ca="1" si="2"/>
        <v>#NAME?</v>
      </c>
      <c r="H51" s="100" t="e">
        <f t="shared" ca="1" si="3"/>
        <v>#NAME?</v>
      </c>
      <c r="I51" s="100" t="e">
        <f t="shared" ca="1" si="4"/>
        <v>#NAME?</v>
      </c>
      <c r="J51" s="100" t="e">
        <f ca="1">IFERROR(__xludf.DUMMYFUNCTION("""COMPUTED_VALUE"""),"0")</f>
        <v>#NAME?</v>
      </c>
      <c r="K51" s="100" t="e">
        <f t="shared" ca="1" si="5"/>
        <v>#NAME?</v>
      </c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 spans="1:26">
      <c r="A52" s="100" t="e">
        <f ca="1">IFERROR(__xludf.DUMMYFUNCTION("""COMPUTED_VALUE"""),58783387)</f>
        <v>#NAME?</v>
      </c>
      <c r="B52" s="100" t="e">
        <f ca="1">IFERROR(__xludf.DUMMYFUNCTION("""COMPUTED_VALUE"""),"MDABTC")</f>
        <v>#NAME?</v>
      </c>
      <c r="C52" s="100" t="e">
        <f ca="1">IFERROR(__xludf.DUMMYFUNCTION("""COMPUTED_VALUE"""),"0.00000000")</f>
        <v>#NAME?</v>
      </c>
      <c r="D52" s="100" t="e">
        <f t="shared" ca="1" si="12"/>
        <v>#NAME?</v>
      </c>
      <c r="E52" s="100" t="e">
        <f t="shared" ca="1" si="12"/>
        <v>#NAME?</v>
      </c>
      <c r="F52" s="100" t="e">
        <f t="shared" ca="1" si="1"/>
        <v>#NAME?</v>
      </c>
      <c r="G52" s="100" t="e">
        <f t="shared" ca="1" si="2"/>
        <v>#NAME?</v>
      </c>
      <c r="H52" s="100" t="e">
        <f t="shared" ca="1" si="3"/>
        <v>#NAME?</v>
      </c>
      <c r="I52" s="100" t="e">
        <f t="shared" ca="1" si="4"/>
        <v>#NAME?</v>
      </c>
      <c r="J52" s="100" t="e">
        <f ca="1">IFERROR(__xludf.DUMMYFUNCTION("""COMPUTED_VALUE"""),"0")</f>
        <v>#NAME?</v>
      </c>
      <c r="K52" s="100" t="e">
        <f t="shared" ca="1" si="5"/>
        <v>#NAME?</v>
      </c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 spans="1:26">
      <c r="A53" s="100" t="e">
        <f ca="1">IFERROR(__xludf.DUMMYFUNCTION("""COMPUTED_VALUE"""),58783388)</f>
        <v>#NAME?</v>
      </c>
      <c r="B53" s="100" t="e">
        <f ca="1">IFERROR(__xludf.DUMMYFUNCTION("""COMPUTED_VALUE"""),"MDAETH")</f>
        <v>#NAME?</v>
      </c>
      <c r="C53" s="100" t="e">
        <f ca="1">IFERROR(__xludf.DUMMYFUNCTION("""COMPUTED_VALUE"""),"0.00000000")</f>
        <v>#NAME?</v>
      </c>
      <c r="D53" s="100" t="e">
        <f t="shared" ca="1" si="12"/>
        <v>#NAME?</v>
      </c>
      <c r="E53" s="100" t="e">
        <f t="shared" ca="1" si="12"/>
        <v>#NAME?</v>
      </c>
      <c r="F53" s="100" t="e">
        <f t="shared" ca="1" si="1"/>
        <v>#NAME?</v>
      </c>
      <c r="G53" s="100" t="e">
        <f t="shared" ca="1" si="2"/>
        <v>#NAME?</v>
      </c>
      <c r="H53" s="100" t="e">
        <f t="shared" ca="1" si="3"/>
        <v>#NAME?</v>
      </c>
      <c r="I53" s="100" t="e">
        <f t="shared" ca="1" si="4"/>
        <v>#NAME?</v>
      </c>
      <c r="J53" s="100" t="e">
        <f ca="1">IFERROR(__xludf.DUMMYFUNCTION("""COMPUTED_VALUE"""),"0")</f>
        <v>#NAME?</v>
      </c>
      <c r="K53" s="100" t="e">
        <f t="shared" ca="1" si="5"/>
        <v>#NAME?</v>
      </c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 spans="1:26">
      <c r="A54" s="100" t="e">
        <f ca="1">IFERROR(__xludf.DUMMYFUNCTION("""COMPUTED_VALUE"""),58783389)</f>
        <v>#NAME?</v>
      </c>
      <c r="B54" s="100" t="e">
        <f ca="1">IFERROR(__xludf.DUMMYFUNCTION("""COMPUTED_VALUE"""),"MTLBTC")</f>
        <v>#NAME?</v>
      </c>
      <c r="C54" s="100" t="e">
        <f ca="1">IFERROR(__xludf.DUMMYFUNCTION("""COMPUTED_VALUE"""),"0.00000932")</f>
        <v>#NAME?</v>
      </c>
      <c r="D54" s="100" t="e">
        <f t="shared" ca="1" si="12"/>
        <v>#NAME?</v>
      </c>
      <c r="E54" s="100" t="e">
        <f t="shared" ca="1" si="12"/>
        <v>#NAME?</v>
      </c>
      <c r="F54" s="100" t="e">
        <f t="shared" ca="1" si="1"/>
        <v>#NAME?</v>
      </c>
      <c r="G54" s="100" t="e">
        <f t="shared" ca="1" si="2"/>
        <v>#NAME?</v>
      </c>
      <c r="H54" s="100" t="e">
        <f t="shared" ca="1" si="3"/>
        <v>#NAME?</v>
      </c>
      <c r="I54" s="100" t="e">
        <f t="shared" ca="1" si="4"/>
        <v>#NAME?</v>
      </c>
      <c r="J54" s="100" t="e">
        <f ca="1">IFERROR(__xludf.DUMMYFUNCTION("""COMPUTED_VALUE"""),"-1.480")</f>
        <v>#NAME?</v>
      </c>
      <c r="K54" s="100" t="e">
        <f t="shared" ca="1" si="5"/>
        <v>#NAME?</v>
      </c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 spans="1:26">
      <c r="A55" s="100" t="e">
        <f ca="1">IFERROR(__xludf.DUMMYFUNCTION("""COMPUTED_VALUE"""),58783390)</f>
        <v>#NAME?</v>
      </c>
      <c r="B55" s="100" t="e">
        <f ca="1">IFERROR(__xludf.DUMMYFUNCTION("""COMPUTED_VALUE"""),"MTLETH")</f>
        <v>#NAME?</v>
      </c>
      <c r="C55" s="100" t="e">
        <f ca="1">IFERROR(__xludf.DUMMYFUNCTION("""COMPUTED_VALUE"""),"0.00068340")</f>
        <v>#NAME?</v>
      </c>
      <c r="D55" s="100" t="e">
        <f t="shared" ca="1" si="12"/>
        <v>#NAME?</v>
      </c>
      <c r="E55" s="100" t="e">
        <f t="shared" ca="1" si="12"/>
        <v>#NAME?</v>
      </c>
      <c r="F55" s="100" t="e">
        <f t="shared" ca="1" si="1"/>
        <v>#NAME?</v>
      </c>
      <c r="G55" s="100" t="e">
        <f t="shared" ca="1" si="2"/>
        <v>#NAME?</v>
      </c>
      <c r="H55" s="100" t="e">
        <f t="shared" ca="1" si="3"/>
        <v>#NAME?</v>
      </c>
      <c r="I55" s="100" t="e">
        <f t="shared" ca="1" si="4"/>
        <v>#NAME?</v>
      </c>
      <c r="J55" s="100" t="e">
        <f ca="1">IFERROR(__xludf.DUMMYFUNCTION("""COMPUTED_VALUE"""),"0")</f>
        <v>#NAME?</v>
      </c>
      <c r="K55" s="100" t="e">
        <f t="shared" ca="1" si="5"/>
        <v>#NAME?</v>
      </c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 spans="1:26">
      <c r="A56" s="100" t="e">
        <f ca="1">IFERROR(__xludf.DUMMYFUNCTION("""COMPUTED_VALUE"""),58783391)</f>
        <v>#NAME?</v>
      </c>
      <c r="B56" s="100" t="e">
        <f ca="1">IFERROR(__xludf.DUMMYFUNCTION("""COMPUTED_VALUE"""),"SUBBTC")</f>
        <v>#NAME?</v>
      </c>
      <c r="C56" s="100" t="e">
        <f ca="1">IFERROR(__xludf.DUMMYFUNCTION("""COMPUTED_VALUE"""),"0.00000000")</f>
        <v>#NAME?</v>
      </c>
      <c r="D56" s="100" t="e">
        <f t="shared" ca="1" si="12"/>
        <v>#NAME?</v>
      </c>
      <c r="E56" s="100" t="e">
        <f t="shared" ca="1" si="12"/>
        <v>#NAME?</v>
      </c>
      <c r="F56" s="100" t="e">
        <f t="shared" ca="1" si="1"/>
        <v>#NAME?</v>
      </c>
      <c r="G56" s="100" t="e">
        <f t="shared" ca="1" si="2"/>
        <v>#NAME?</v>
      </c>
      <c r="H56" s="100" t="e">
        <f t="shared" ca="1" si="3"/>
        <v>#NAME?</v>
      </c>
      <c r="I56" s="100" t="e">
        <f t="shared" ca="1" si="4"/>
        <v>#NAME?</v>
      </c>
      <c r="J56" s="100" t="e">
        <f ca="1">IFERROR(__xludf.DUMMYFUNCTION("""COMPUTED_VALUE"""),"0")</f>
        <v>#NAME?</v>
      </c>
      <c r="K56" s="100" t="e">
        <f t="shared" ca="1" si="5"/>
        <v>#NAME?</v>
      </c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 spans="1:26">
      <c r="A57" s="100" t="e">
        <f ca="1">IFERROR(__xludf.DUMMYFUNCTION("""COMPUTED_VALUE"""),58783392)</f>
        <v>#NAME?</v>
      </c>
      <c r="B57" s="100" t="e">
        <f ca="1">IFERROR(__xludf.DUMMYFUNCTION("""COMPUTED_VALUE"""),"SUBETH")</f>
        <v>#NAME?</v>
      </c>
      <c r="C57" s="100" t="e">
        <f ca="1">IFERROR(__xludf.DUMMYFUNCTION("""COMPUTED_VALUE"""),"0.00000000")</f>
        <v>#NAME?</v>
      </c>
      <c r="D57" s="100" t="e">
        <f t="shared" ca="1" si="12"/>
        <v>#NAME?</v>
      </c>
      <c r="E57" s="100" t="e">
        <f t="shared" ca="1" si="12"/>
        <v>#NAME?</v>
      </c>
      <c r="F57" s="100" t="e">
        <f t="shared" ca="1" si="1"/>
        <v>#NAME?</v>
      </c>
      <c r="G57" s="100" t="e">
        <f t="shared" ca="1" si="2"/>
        <v>#NAME?</v>
      </c>
      <c r="H57" s="100" t="e">
        <f t="shared" ca="1" si="3"/>
        <v>#NAME?</v>
      </c>
      <c r="I57" s="100" t="e">
        <f t="shared" ca="1" si="4"/>
        <v>#NAME?</v>
      </c>
      <c r="J57" s="100" t="e">
        <f ca="1">IFERROR(__xludf.DUMMYFUNCTION("""COMPUTED_VALUE"""),"0")</f>
        <v>#NAME?</v>
      </c>
      <c r="K57" s="100" t="e">
        <f t="shared" ca="1" si="5"/>
        <v>#NAME?</v>
      </c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 spans="1:26">
      <c r="A58" s="100" t="e">
        <f ca="1">IFERROR(__xludf.DUMMYFUNCTION("""COMPUTED_VALUE"""),58783393)</f>
        <v>#NAME?</v>
      </c>
      <c r="B58" s="100" t="e">
        <f ca="1">IFERROR(__xludf.DUMMYFUNCTION("""COMPUTED_VALUE"""),"EOSBTC")</f>
        <v>#NAME?</v>
      </c>
      <c r="C58" s="100" t="e">
        <f ca="1">IFERROR(__xludf.DUMMYFUNCTION("""COMPUTED_VALUE"""),"0.00000714")</f>
        <v>#NAME?</v>
      </c>
      <c r="D58" s="100" t="e">
        <f t="shared" ca="1" si="12"/>
        <v>#NAME?</v>
      </c>
      <c r="E58" s="100" t="e">
        <f t="shared" ca="1" si="12"/>
        <v>#NAME?</v>
      </c>
      <c r="F58" s="100" t="e">
        <f t="shared" ca="1" si="1"/>
        <v>#NAME?</v>
      </c>
      <c r="G58" s="100" t="e">
        <f t="shared" ca="1" si="2"/>
        <v>#NAME?</v>
      </c>
      <c r="H58" s="100" t="e">
        <f t="shared" ca="1" si="3"/>
        <v>#NAME?</v>
      </c>
      <c r="I58" s="100" t="e">
        <f t="shared" ca="1" si="4"/>
        <v>#NAME?</v>
      </c>
      <c r="J58" s="100" t="e">
        <f ca="1">IFERROR(__xludf.DUMMYFUNCTION("""COMPUTED_VALUE"""),"-4.290")</f>
        <v>#NAME?</v>
      </c>
      <c r="K58" s="100" t="e">
        <f t="shared" ca="1" si="5"/>
        <v>#NAME?</v>
      </c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 spans="1:26">
      <c r="A59" s="100" t="e">
        <f ca="1">IFERROR(__xludf.DUMMYFUNCTION("""COMPUTED_VALUE"""),58783394)</f>
        <v>#NAME?</v>
      </c>
      <c r="B59" s="100" t="e">
        <f ca="1">IFERROR(__xludf.DUMMYFUNCTION("""COMPUTED_VALUE"""),"SNTBTC")</f>
        <v>#NAME?</v>
      </c>
      <c r="C59" s="100" t="e">
        <f ca="1">IFERROR(__xludf.DUMMYFUNCTION("""COMPUTED_VALUE"""),"0.00000032")</f>
        <v>#NAME?</v>
      </c>
      <c r="D59" s="100" t="e">
        <f t="shared" ca="1" si="12"/>
        <v>#NAME?</v>
      </c>
      <c r="E59" s="100" t="e">
        <f t="shared" ca="1" si="12"/>
        <v>#NAME?</v>
      </c>
      <c r="F59" s="100" t="e">
        <f t="shared" ca="1" si="1"/>
        <v>#NAME?</v>
      </c>
      <c r="G59" s="100" t="e">
        <f t="shared" ca="1" si="2"/>
        <v>#NAME?</v>
      </c>
      <c r="H59" s="100" t="e">
        <f t="shared" ca="1" si="3"/>
        <v>#NAME?</v>
      </c>
      <c r="I59" s="100" t="e">
        <f t="shared" ca="1" si="4"/>
        <v>#NAME?</v>
      </c>
      <c r="J59" s="100" t="e">
        <f ca="1">IFERROR(__xludf.DUMMYFUNCTION("""COMPUTED_VALUE"""),"45.455")</f>
        <v>#NAME?</v>
      </c>
      <c r="K59" s="100" t="e">
        <f t="shared" ca="1" si="5"/>
        <v>#NAME?</v>
      </c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 spans="1:26">
      <c r="A60" s="100" t="e">
        <f ca="1">IFERROR(__xludf.DUMMYFUNCTION("""COMPUTED_VALUE"""),58783395)</f>
        <v>#NAME?</v>
      </c>
      <c r="B60" s="100" t="e">
        <f ca="1">IFERROR(__xludf.DUMMYFUNCTION("""COMPUTED_VALUE"""),"ETCETH")</f>
        <v>#NAME?</v>
      </c>
      <c r="C60" s="100" t="e">
        <f ca="1">IFERROR(__xludf.DUMMYFUNCTION("""COMPUTED_VALUE"""),"0.00960000")</f>
        <v>#NAME?</v>
      </c>
      <c r="D60" s="100" t="e">
        <f t="shared" ca="1" si="12"/>
        <v>#NAME?</v>
      </c>
      <c r="E60" s="100" t="e">
        <f t="shared" ca="1" si="12"/>
        <v>#NAME?</v>
      </c>
      <c r="F60" s="100" t="e">
        <f t="shared" ca="1" si="1"/>
        <v>#NAME?</v>
      </c>
      <c r="G60" s="100" t="e">
        <f t="shared" ca="1" si="2"/>
        <v>#NAME?</v>
      </c>
      <c r="H60" s="100" t="e">
        <f t="shared" ca="1" si="3"/>
        <v>#NAME?</v>
      </c>
      <c r="I60" s="100" t="e">
        <f t="shared" ca="1" si="4"/>
        <v>#NAME?</v>
      </c>
      <c r="J60" s="100" t="e">
        <f ca="1">IFERROR(__xludf.DUMMYFUNCTION("""COMPUTED_VALUE"""),"-2.340")</f>
        <v>#NAME?</v>
      </c>
      <c r="K60" s="100" t="e">
        <f t="shared" ca="1" si="5"/>
        <v>#NAME?</v>
      </c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 spans="1:26">
      <c r="A61" s="100" t="e">
        <f ca="1">IFERROR(__xludf.DUMMYFUNCTION("""COMPUTED_VALUE"""),58783396)</f>
        <v>#NAME?</v>
      </c>
      <c r="B61" s="100" t="e">
        <f ca="1">IFERROR(__xludf.DUMMYFUNCTION("""COMPUTED_VALUE"""),"ETCBTC")</f>
        <v>#NAME?</v>
      </c>
      <c r="C61" s="100" t="e">
        <f ca="1">IFERROR(__xludf.DUMMYFUNCTION("""COMPUTED_VALUE"""),"0.00017620")</f>
        <v>#NAME?</v>
      </c>
      <c r="D61" s="100" t="e">
        <f t="shared" ca="1" si="12"/>
        <v>#NAME?</v>
      </c>
      <c r="E61" s="100" t="e">
        <f t="shared" ca="1" si="12"/>
        <v>#NAME?</v>
      </c>
      <c r="F61" s="100" t="e">
        <f t="shared" ca="1" si="1"/>
        <v>#NAME?</v>
      </c>
      <c r="G61" s="100" t="e">
        <f t="shared" ca="1" si="2"/>
        <v>#NAME?</v>
      </c>
      <c r="H61" s="100" t="e">
        <f t="shared" ca="1" si="3"/>
        <v>#NAME?</v>
      </c>
      <c r="I61" s="100" t="e">
        <f t="shared" ca="1" si="4"/>
        <v>#NAME?</v>
      </c>
      <c r="J61" s="100" t="e">
        <f ca="1">IFERROR(__xludf.DUMMYFUNCTION("""COMPUTED_VALUE"""),"-4.343")</f>
        <v>#NAME?</v>
      </c>
      <c r="K61" s="100" t="e">
        <f t="shared" ca="1" si="5"/>
        <v>#NAME?</v>
      </c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 spans="1:26">
      <c r="A62" s="100" t="e">
        <f ca="1">IFERROR(__xludf.DUMMYFUNCTION("""COMPUTED_VALUE"""),58783397)</f>
        <v>#NAME?</v>
      </c>
      <c r="B62" s="100" t="e">
        <f ca="1">IFERROR(__xludf.DUMMYFUNCTION("""COMPUTED_VALUE"""),"MTHBTC")</f>
        <v>#NAME?</v>
      </c>
      <c r="C62" s="100" t="e">
        <f ca="1">IFERROR(__xludf.DUMMYFUNCTION("""COMPUTED_VALUE"""),"0.00000000")</f>
        <v>#NAME?</v>
      </c>
      <c r="D62" s="100" t="e">
        <f t="shared" ref="D62:E81" ca="1" si="13">IFERROR(__xludf.DUMMYFUNCTION("""COMPUTED_VALUE"""),"-")</f>
        <v>#NAME?</v>
      </c>
      <c r="E62" s="100" t="e">
        <f t="shared" ca="1" si="13"/>
        <v>#NAME?</v>
      </c>
      <c r="F62" s="100" t="e">
        <f t="shared" ca="1" si="1"/>
        <v>#NAME?</v>
      </c>
      <c r="G62" s="100" t="e">
        <f t="shared" ca="1" si="2"/>
        <v>#NAME?</v>
      </c>
      <c r="H62" s="100" t="e">
        <f t="shared" ca="1" si="3"/>
        <v>#NAME?</v>
      </c>
      <c r="I62" s="100" t="e">
        <f t="shared" ca="1" si="4"/>
        <v>#NAME?</v>
      </c>
      <c r="J62" s="100" t="e">
        <f ca="1">IFERROR(__xludf.DUMMYFUNCTION("""COMPUTED_VALUE"""),"0")</f>
        <v>#NAME?</v>
      </c>
      <c r="K62" s="100" t="e">
        <f t="shared" ca="1" si="5"/>
        <v>#NAME?</v>
      </c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 spans="1:26">
      <c r="A63" s="100" t="e">
        <f ca="1">IFERROR(__xludf.DUMMYFUNCTION("""COMPUTED_VALUE"""),58783398)</f>
        <v>#NAME?</v>
      </c>
      <c r="B63" s="100" t="e">
        <f ca="1">IFERROR(__xludf.DUMMYFUNCTION("""COMPUTED_VALUE"""),"MTHETH")</f>
        <v>#NAME?</v>
      </c>
      <c r="C63" s="100" t="e">
        <f ca="1">IFERROR(__xludf.DUMMYFUNCTION("""COMPUTED_VALUE"""),"0.00000000")</f>
        <v>#NAME?</v>
      </c>
      <c r="D63" s="100" t="e">
        <f t="shared" ca="1" si="13"/>
        <v>#NAME?</v>
      </c>
      <c r="E63" s="100" t="e">
        <f t="shared" ca="1" si="13"/>
        <v>#NAME?</v>
      </c>
      <c r="F63" s="100" t="e">
        <f t="shared" ca="1" si="1"/>
        <v>#NAME?</v>
      </c>
      <c r="G63" s="100" t="e">
        <f t="shared" ca="1" si="2"/>
        <v>#NAME?</v>
      </c>
      <c r="H63" s="100" t="e">
        <f t="shared" ca="1" si="3"/>
        <v>#NAME?</v>
      </c>
      <c r="I63" s="100" t="e">
        <f t="shared" ca="1" si="4"/>
        <v>#NAME?</v>
      </c>
      <c r="J63" s="100" t="e">
        <f ca="1">IFERROR(__xludf.DUMMYFUNCTION("""COMPUTED_VALUE"""),"0")</f>
        <v>#NAME?</v>
      </c>
      <c r="K63" s="100" t="e">
        <f t="shared" ca="1" si="5"/>
        <v>#NAME?</v>
      </c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 spans="1:26">
      <c r="A64" s="100" t="e">
        <f ca="1">IFERROR(__xludf.DUMMYFUNCTION("""COMPUTED_VALUE"""),58783399)</f>
        <v>#NAME?</v>
      </c>
      <c r="B64" s="100" t="e">
        <f ca="1">IFERROR(__xludf.DUMMYFUNCTION("""COMPUTED_VALUE"""),"ENGBTC")</f>
        <v>#NAME?</v>
      </c>
      <c r="C64" s="100" t="e">
        <f ca="1">IFERROR(__xludf.DUMMYFUNCTION("""COMPUTED_VALUE"""),"0.00000000")</f>
        <v>#NAME?</v>
      </c>
      <c r="D64" s="100" t="e">
        <f t="shared" ca="1" si="13"/>
        <v>#NAME?</v>
      </c>
      <c r="E64" s="100" t="e">
        <f t="shared" ca="1" si="13"/>
        <v>#NAME?</v>
      </c>
      <c r="F64" s="100" t="e">
        <f t="shared" ca="1" si="1"/>
        <v>#NAME?</v>
      </c>
      <c r="G64" s="100" t="e">
        <f t="shared" ca="1" si="2"/>
        <v>#NAME?</v>
      </c>
      <c r="H64" s="100" t="e">
        <f t="shared" ca="1" si="3"/>
        <v>#NAME?</v>
      </c>
      <c r="I64" s="100" t="e">
        <f t="shared" ca="1" si="4"/>
        <v>#NAME?</v>
      </c>
      <c r="J64" s="100" t="e">
        <f ca="1">IFERROR(__xludf.DUMMYFUNCTION("""COMPUTED_VALUE"""),"0")</f>
        <v>#NAME?</v>
      </c>
      <c r="K64" s="100" t="e">
        <f t="shared" ca="1" si="5"/>
        <v>#NAME?</v>
      </c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 spans="1:26">
      <c r="A65" s="100" t="e">
        <f ca="1">IFERROR(__xludf.DUMMYFUNCTION("""COMPUTED_VALUE"""),58783400)</f>
        <v>#NAME?</v>
      </c>
      <c r="B65" s="100" t="e">
        <f ca="1">IFERROR(__xludf.DUMMYFUNCTION("""COMPUTED_VALUE"""),"ENGETH")</f>
        <v>#NAME?</v>
      </c>
      <c r="C65" s="100" t="e">
        <f ca="1">IFERROR(__xludf.DUMMYFUNCTION("""COMPUTED_VALUE"""),"0.00000000")</f>
        <v>#NAME?</v>
      </c>
      <c r="D65" s="100" t="e">
        <f t="shared" ca="1" si="13"/>
        <v>#NAME?</v>
      </c>
      <c r="E65" s="100" t="e">
        <f t="shared" ca="1" si="13"/>
        <v>#NAME?</v>
      </c>
      <c r="F65" s="100" t="e">
        <f t="shared" ca="1" si="1"/>
        <v>#NAME?</v>
      </c>
      <c r="G65" s="100" t="e">
        <f t="shared" ca="1" si="2"/>
        <v>#NAME?</v>
      </c>
      <c r="H65" s="100" t="e">
        <f t="shared" ca="1" si="3"/>
        <v>#NAME?</v>
      </c>
      <c r="I65" s="100" t="e">
        <f t="shared" ca="1" si="4"/>
        <v>#NAME?</v>
      </c>
      <c r="J65" s="100" t="e">
        <f ca="1">IFERROR(__xludf.DUMMYFUNCTION("""COMPUTED_VALUE"""),"0")</f>
        <v>#NAME?</v>
      </c>
      <c r="K65" s="100" t="e">
        <f t="shared" ca="1" si="5"/>
        <v>#NAME?</v>
      </c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 spans="1:26">
      <c r="A66" s="100" t="e">
        <f ca="1">IFERROR(__xludf.DUMMYFUNCTION("""COMPUTED_VALUE"""),58783401)</f>
        <v>#NAME?</v>
      </c>
      <c r="B66" s="100" t="e">
        <f ca="1">IFERROR(__xludf.DUMMYFUNCTION("""COMPUTED_VALUE"""),"DNTBTC")</f>
        <v>#NAME?</v>
      </c>
      <c r="C66" s="100" t="e">
        <f ca="1">IFERROR(__xludf.DUMMYFUNCTION("""COMPUTED_VALUE"""),"0.00000186")</f>
        <v>#NAME?</v>
      </c>
      <c r="D66" s="100" t="e">
        <f t="shared" ca="1" si="13"/>
        <v>#NAME?</v>
      </c>
      <c r="E66" s="100" t="e">
        <f t="shared" ca="1" si="13"/>
        <v>#NAME?</v>
      </c>
      <c r="F66" s="100" t="e">
        <f t="shared" ref="F66:F129" ca="1" si="14">IFERROR(__xludf.DUMMYFUNCTION("""COMPUTED_VALUE"""),20200)</f>
        <v>#NAME?</v>
      </c>
      <c r="G66" s="100" t="e">
        <f t="shared" ref="G66:G129" ca="1" si="15">IFERROR(__xludf.DUMMYFUNCTION("""COMPUTED_VALUE"""),2885)</f>
        <v>#NAME?</v>
      </c>
      <c r="H66" s="100" t="e">
        <f t="shared" ref="H66:H129" ca="1" si="16">IFERROR(__xludf.DUMMYFUNCTION("""COMPUTED_VALUE"""),663)</f>
        <v>#NAME?</v>
      </c>
      <c r="I66" s="100" t="e">
        <f t="shared" ref="I66:I129" ca="1" si="17">IFERROR(__xludf.DUMMYFUNCTION("""COMPUTED_VALUE"""),5817721)</f>
        <v>#NAME?</v>
      </c>
      <c r="J66" s="100" t="e">
        <f ca="1">IFERROR(__xludf.DUMMYFUNCTION("""COMPUTED_VALUE"""),"0")</f>
        <v>#NAME?</v>
      </c>
      <c r="K66" s="100" t="e">
        <f t="shared" ref="K66:K129" ca="1" si="18">IFERROR(__xludf.DUMMYFUNCTION("""COMPUTED_VALUE"""),"22.04.2025 13:05:01")</f>
        <v>#NAME?</v>
      </c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 spans="1:26">
      <c r="A67" s="100" t="e">
        <f ca="1">IFERROR(__xludf.DUMMYFUNCTION("""COMPUTED_VALUE"""),58783402)</f>
        <v>#NAME?</v>
      </c>
      <c r="B67" s="100" t="e">
        <f ca="1">IFERROR(__xludf.DUMMYFUNCTION("""COMPUTED_VALUE"""),"ZECBTC")</f>
        <v>#NAME?</v>
      </c>
      <c r="C67" s="100" t="e">
        <f ca="1">IFERROR(__xludf.DUMMYFUNCTION("""COMPUTED_VALUE"""),"0.00034770")</f>
        <v>#NAME?</v>
      </c>
      <c r="D67" s="100" t="e">
        <f t="shared" ca="1" si="13"/>
        <v>#NAME?</v>
      </c>
      <c r="E67" s="100" t="e">
        <f t="shared" ca="1" si="13"/>
        <v>#NAME?</v>
      </c>
      <c r="F67" s="100" t="e">
        <f t="shared" ca="1" si="14"/>
        <v>#NAME?</v>
      </c>
      <c r="G67" s="100" t="e">
        <f t="shared" ca="1" si="15"/>
        <v>#NAME?</v>
      </c>
      <c r="H67" s="100" t="e">
        <f t="shared" ca="1" si="16"/>
        <v>#NAME?</v>
      </c>
      <c r="I67" s="100" t="e">
        <f t="shared" ca="1" si="17"/>
        <v>#NAME?</v>
      </c>
      <c r="J67" s="100" t="e">
        <f ca="1">IFERROR(__xludf.DUMMYFUNCTION("""COMPUTED_VALUE"""),"-4.740")</f>
        <v>#NAME?</v>
      </c>
      <c r="K67" s="100" t="e">
        <f t="shared" ca="1" si="18"/>
        <v>#NAME?</v>
      </c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 spans="1:26">
      <c r="A68" s="100" t="e">
        <f ca="1">IFERROR(__xludf.DUMMYFUNCTION("""COMPUTED_VALUE"""),58783403)</f>
        <v>#NAME?</v>
      </c>
      <c r="B68" s="100" t="e">
        <f ca="1">IFERROR(__xludf.DUMMYFUNCTION("""COMPUTED_VALUE"""),"ZECETH")</f>
        <v>#NAME?</v>
      </c>
      <c r="C68" s="100" t="e">
        <f ca="1">IFERROR(__xludf.DUMMYFUNCTION("""COMPUTED_VALUE"""),"0.01900000")</f>
        <v>#NAME?</v>
      </c>
      <c r="D68" s="100" t="e">
        <f t="shared" ca="1" si="13"/>
        <v>#NAME?</v>
      </c>
      <c r="E68" s="100" t="e">
        <f t="shared" ca="1" si="13"/>
        <v>#NAME?</v>
      </c>
      <c r="F68" s="100" t="e">
        <f t="shared" ca="1" si="14"/>
        <v>#NAME?</v>
      </c>
      <c r="G68" s="100" t="e">
        <f t="shared" ca="1" si="15"/>
        <v>#NAME?</v>
      </c>
      <c r="H68" s="100" t="e">
        <f t="shared" ca="1" si="16"/>
        <v>#NAME?</v>
      </c>
      <c r="I68" s="100" t="e">
        <f t="shared" ca="1" si="17"/>
        <v>#NAME?</v>
      </c>
      <c r="J68" s="100" t="e">
        <f ca="1">IFERROR(__xludf.DUMMYFUNCTION("""COMPUTED_VALUE"""),"-3.061")</f>
        <v>#NAME?</v>
      </c>
      <c r="K68" s="100" t="e">
        <f t="shared" ca="1" si="18"/>
        <v>#NAME?</v>
      </c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 spans="1:26">
      <c r="A69" s="100" t="e">
        <f ca="1">IFERROR(__xludf.DUMMYFUNCTION("""COMPUTED_VALUE"""),58783404)</f>
        <v>#NAME?</v>
      </c>
      <c r="B69" s="100" t="e">
        <f ca="1">IFERROR(__xludf.DUMMYFUNCTION("""COMPUTED_VALUE"""),"BNTBTC")</f>
        <v>#NAME?</v>
      </c>
      <c r="C69" s="100" t="e">
        <f ca="1">IFERROR(__xludf.DUMMYFUNCTION("""COMPUTED_VALUE"""),"0.00000794")</f>
        <v>#NAME?</v>
      </c>
      <c r="D69" s="100" t="e">
        <f t="shared" ca="1" si="13"/>
        <v>#NAME?</v>
      </c>
      <c r="E69" s="100" t="e">
        <f t="shared" ca="1" si="13"/>
        <v>#NAME?</v>
      </c>
      <c r="F69" s="100" t="e">
        <f t="shared" ca="1" si="14"/>
        <v>#NAME?</v>
      </c>
      <c r="G69" s="100" t="e">
        <f t="shared" ca="1" si="15"/>
        <v>#NAME?</v>
      </c>
      <c r="H69" s="100" t="e">
        <f t="shared" ca="1" si="16"/>
        <v>#NAME?</v>
      </c>
      <c r="I69" s="100" t="e">
        <f t="shared" ca="1" si="17"/>
        <v>#NAME?</v>
      </c>
      <c r="J69" s="100" t="e">
        <f ca="1">IFERROR(__xludf.DUMMYFUNCTION("""COMPUTED_VALUE"""),"0")</f>
        <v>#NAME?</v>
      </c>
      <c r="K69" s="100" t="e">
        <f t="shared" ca="1" si="18"/>
        <v>#NAME?</v>
      </c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 spans="1:26">
      <c r="A70" s="100" t="e">
        <f ca="1">IFERROR(__xludf.DUMMYFUNCTION("""COMPUTED_VALUE"""),58783405)</f>
        <v>#NAME?</v>
      </c>
      <c r="B70" s="100" t="e">
        <f ca="1">IFERROR(__xludf.DUMMYFUNCTION("""COMPUTED_VALUE"""),"ASTBTC")</f>
        <v>#NAME?</v>
      </c>
      <c r="C70" s="100" t="e">
        <f ca="1">IFERROR(__xludf.DUMMYFUNCTION("""COMPUTED_VALUE"""),"0.00000124")</f>
        <v>#NAME?</v>
      </c>
      <c r="D70" s="100" t="e">
        <f t="shared" ca="1" si="13"/>
        <v>#NAME?</v>
      </c>
      <c r="E70" s="100" t="e">
        <f t="shared" ca="1" si="13"/>
        <v>#NAME?</v>
      </c>
      <c r="F70" s="100" t="e">
        <f t="shared" ca="1" si="14"/>
        <v>#NAME?</v>
      </c>
      <c r="G70" s="100" t="e">
        <f t="shared" ca="1" si="15"/>
        <v>#NAME?</v>
      </c>
      <c r="H70" s="100" t="e">
        <f t="shared" ca="1" si="16"/>
        <v>#NAME?</v>
      </c>
      <c r="I70" s="100" t="e">
        <f t="shared" ca="1" si="17"/>
        <v>#NAME?</v>
      </c>
      <c r="J70" s="100" t="e">
        <f ca="1">IFERROR(__xludf.DUMMYFUNCTION("""COMPUTED_VALUE"""),"0")</f>
        <v>#NAME?</v>
      </c>
      <c r="K70" s="100" t="e">
        <f t="shared" ca="1" si="18"/>
        <v>#NAME?</v>
      </c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 spans="1:26">
      <c r="A71" s="100" t="e">
        <f ca="1">IFERROR(__xludf.DUMMYFUNCTION("""COMPUTED_VALUE"""),58783406)</f>
        <v>#NAME?</v>
      </c>
      <c r="B71" s="100" t="e">
        <f ca="1">IFERROR(__xludf.DUMMYFUNCTION("""COMPUTED_VALUE"""),"ASTETH")</f>
        <v>#NAME?</v>
      </c>
      <c r="C71" s="100" t="e">
        <f ca="1">IFERROR(__xludf.DUMMYFUNCTION("""COMPUTED_VALUE"""),"0.00000000")</f>
        <v>#NAME?</v>
      </c>
      <c r="D71" s="100" t="e">
        <f t="shared" ca="1" si="13"/>
        <v>#NAME?</v>
      </c>
      <c r="E71" s="100" t="e">
        <f t="shared" ca="1" si="13"/>
        <v>#NAME?</v>
      </c>
      <c r="F71" s="100" t="e">
        <f t="shared" ca="1" si="14"/>
        <v>#NAME?</v>
      </c>
      <c r="G71" s="100" t="e">
        <f t="shared" ca="1" si="15"/>
        <v>#NAME?</v>
      </c>
      <c r="H71" s="100" t="e">
        <f t="shared" ca="1" si="16"/>
        <v>#NAME?</v>
      </c>
      <c r="I71" s="100" t="e">
        <f t="shared" ca="1" si="17"/>
        <v>#NAME?</v>
      </c>
      <c r="J71" s="100" t="e">
        <f ca="1">IFERROR(__xludf.DUMMYFUNCTION("""COMPUTED_VALUE"""),"0")</f>
        <v>#NAME?</v>
      </c>
      <c r="K71" s="100" t="e">
        <f t="shared" ca="1" si="18"/>
        <v>#NAME?</v>
      </c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 spans="1:26">
      <c r="A72" s="100" t="e">
        <f ca="1">IFERROR(__xludf.DUMMYFUNCTION("""COMPUTED_VALUE"""),58783407)</f>
        <v>#NAME?</v>
      </c>
      <c r="B72" s="100" t="e">
        <f ca="1">IFERROR(__xludf.DUMMYFUNCTION("""COMPUTED_VALUE"""),"DASHBTC")</f>
        <v>#NAME?</v>
      </c>
      <c r="C72" s="100" t="e">
        <f ca="1">IFERROR(__xludf.DUMMYFUNCTION("""COMPUTED_VALUE"""),"0.00023480")</f>
        <v>#NAME?</v>
      </c>
      <c r="D72" s="100" t="e">
        <f t="shared" ca="1" si="13"/>
        <v>#NAME?</v>
      </c>
      <c r="E72" s="100" t="e">
        <f t="shared" ca="1" si="13"/>
        <v>#NAME?</v>
      </c>
      <c r="F72" s="100" t="e">
        <f t="shared" ca="1" si="14"/>
        <v>#NAME?</v>
      </c>
      <c r="G72" s="100" t="e">
        <f t="shared" ca="1" si="15"/>
        <v>#NAME?</v>
      </c>
      <c r="H72" s="100" t="e">
        <f t="shared" ca="1" si="16"/>
        <v>#NAME?</v>
      </c>
      <c r="I72" s="100" t="e">
        <f t="shared" ca="1" si="17"/>
        <v>#NAME?</v>
      </c>
      <c r="J72" s="100" t="e">
        <f ca="1">IFERROR(__xludf.DUMMYFUNCTION("""COMPUTED_VALUE"""),"-4.669")</f>
        <v>#NAME?</v>
      </c>
      <c r="K72" s="100" t="e">
        <f t="shared" ca="1" si="18"/>
        <v>#NAME?</v>
      </c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 spans="1:26">
      <c r="A73" s="100" t="e">
        <f ca="1">IFERROR(__xludf.DUMMYFUNCTION("""COMPUTED_VALUE"""),58783408)</f>
        <v>#NAME?</v>
      </c>
      <c r="B73" s="100" t="e">
        <f ca="1">IFERROR(__xludf.DUMMYFUNCTION("""COMPUTED_VALUE"""),"DASHETH")</f>
        <v>#NAME?</v>
      </c>
      <c r="C73" s="100" t="e">
        <f ca="1">IFERROR(__xludf.DUMMYFUNCTION("""COMPUTED_VALUE"""),"0.01280000")</f>
        <v>#NAME?</v>
      </c>
      <c r="D73" s="100" t="e">
        <f t="shared" ca="1" si="13"/>
        <v>#NAME?</v>
      </c>
      <c r="E73" s="100" t="e">
        <f t="shared" ca="1" si="13"/>
        <v>#NAME?</v>
      </c>
      <c r="F73" s="100" t="e">
        <f t="shared" ca="1" si="14"/>
        <v>#NAME?</v>
      </c>
      <c r="G73" s="100" t="e">
        <f t="shared" ca="1" si="15"/>
        <v>#NAME?</v>
      </c>
      <c r="H73" s="100" t="e">
        <f t="shared" ca="1" si="16"/>
        <v>#NAME?</v>
      </c>
      <c r="I73" s="100" t="e">
        <f t="shared" ca="1" si="17"/>
        <v>#NAME?</v>
      </c>
      <c r="J73" s="100" t="e">
        <f ca="1">IFERROR(__xludf.DUMMYFUNCTION("""COMPUTED_VALUE"""),"-2.736")</f>
        <v>#NAME?</v>
      </c>
      <c r="K73" s="100" t="e">
        <f t="shared" ca="1" si="18"/>
        <v>#NAME?</v>
      </c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 spans="1:26">
      <c r="A74" s="100" t="e">
        <f ca="1">IFERROR(__xludf.DUMMYFUNCTION("""COMPUTED_VALUE"""),58783409)</f>
        <v>#NAME?</v>
      </c>
      <c r="B74" s="100" t="e">
        <f ca="1">IFERROR(__xludf.DUMMYFUNCTION("""COMPUTED_VALUE"""),"OAXBTC")</f>
        <v>#NAME?</v>
      </c>
      <c r="C74" s="100" t="e">
        <f ca="1">IFERROR(__xludf.DUMMYFUNCTION("""COMPUTED_VALUE"""),"0.00000038")</f>
        <v>#NAME?</v>
      </c>
      <c r="D74" s="100" t="e">
        <f t="shared" ca="1" si="13"/>
        <v>#NAME?</v>
      </c>
      <c r="E74" s="100" t="e">
        <f t="shared" ca="1" si="13"/>
        <v>#NAME?</v>
      </c>
      <c r="F74" s="100" t="e">
        <f t="shared" ca="1" si="14"/>
        <v>#NAME?</v>
      </c>
      <c r="G74" s="100" t="e">
        <f t="shared" ca="1" si="15"/>
        <v>#NAME?</v>
      </c>
      <c r="H74" s="100" t="e">
        <f t="shared" ca="1" si="16"/>
        <v>#NAME?</v>
      </c>
      <c r="I74" s="100" t="e">
        <f t="shared" ca="1" si="17"/>
        <v>#NAME?</v>
      </c>
      <c r="J74" s="100" t="e">
        <f t="shared" ref="J74:J79" ca="1" si="19">IFERROR(__xludf.DUMMYFUNCTION("""COMPUTED_VALUE"""),"0")</f>
        <v>#NAME?</v>
      </c>
      <c r="K74" s="100" t="e">
        <f t="shared" ca="1" si="18"/>
        <v>#NAME?</v>
      </c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 spans="1:26">
      <c r="A75" s="100" t="e">
        <f ca="1">IFERROR(__xludf.DUMMYFUNCTION("""COMPUTED_VALUE"""),58783410)</f>
        <v>#NAME?</v>
      </c>
      <c r="B75" s="100" t="e">
        <f ca="1">IFERROR(__xludf.DUMMYFUNCTION("""COMPUTED_VALUE"""),"ICNBTC")</f>
        <v>#NAME?</v>
      </c>
      <c r="C75" s="100" t="e">
        <f ca="1">IFERROR(__xludf.DUMMYFUNCTION("""COMPUTED_VALUE"""),"0.00000000")</f>
        <v>#NAME?</v>
      </c>
      <c r="D75" s="100" t="e">
        <f t="shared" ca="1" si="13"/>
        <v>#NAME?</v>
      </c>
      <c r="E75" s="100" t="e">
        <f t="shared" ca="1" si="13"/>
        <v>#NAME?</v>
      </c>
      <c r="F75" s="100" t="e">
        <f t="shared" ca="1" si="14"/>
        <v>#NAME?</v>
      </c>
      <c r="G75" s="100" t="e">
        <f t="shared" ca="1" si="15"/>
        <v>#NAME?</v>
      </c>
      <c r="H75" s="100" t="e">
        <f t="shared" ca="1" si="16"/>
        <v>#NAME?</v>
      </c>
      <c r="I75" s="100" t="e">
        <f t="shared" ca="1" si="17"/>
        <v>#NAME?</v>
      </c>
      <c r="J75" s="100" t="e">
        <f t="shared" ca="1" si="19"/>
        <v>#NAME?</v>
      </c>
      <c r="K75" s="100" t="e">
        <f t="shared" ca="1" si="18"/>
        <v>#NAME?</v>
      </c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 spans="1:26">
      <c r="A76" s="100" t="e">
        <f ca="1">IFERROR(__xludf.DUMMYFUNCTION("""COMPUTED_VALUE"""),58783411)</f>
        <v>#NAME?</v>
      </c>
      <c r="B76" s="100" t="e">
        <f ca="1">IFERROR(__xludf.DUMMYFUNCTION("""COMPUTED_VALUE"""),"BTGBTC")</f>
        <v>#NAME?</v>
      </c>
      <c r="C76" s="100" t="e">
        <f ca="1">IFERROR(__xludf.DUMMYFUNCTION("""COMPUTED_VALUE"""),"0.00091300")</f>
        <v>#NAME?</v>
      </c>
      <c r="D76" s="100" t="e">
        <f t="shared" ca="1" si="13"/>
        <v>#NAME?</v>
      </c>
      <c r="E76" s="100" t="e">
        <f t="shared" ca="1" si="13"/>
        <v>#NAME?</v>
      </c>
      <c r="F76" s="100" t="e">
        <f t="shared" ca="1" si="14"/>
        <v>#NAME?</v>
      </c>
      <c r="G76" s="100" t="e">
        <f t="shared" ca="1" si="15"/>
        <v>#NAME?</v>
      </c>
      <c r="H76" s="100" t="e">
        <f t="shared" ca="1" si="16"/>
        <v>#NAME?</v>
      </c>
      <c r="I76" s="100" t="e">
        <f t="shared" ca="1" si="17"/>
        <v>#NAME?</v>
      </c>
      <c r="J76" s="100" t="e">
        <f t="shared" ca="1" si="19"/>
        <v>#NAME?</v>
      </c>
      <c r="K76" s="100" t="e">
        <f t="shared" ca="1" si="18"/>
        <v>#NAME?</v>
      </c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 spans="1:26">
      <c r="A77" s="100" t="e">
        <f ca="1">IFERROR(__xludf.DUMMYFUNCTION("""COMPUTED_VALUE"""),58783412)</f>
        <v>#NAME?</v>
      </c>
      <c r="B77" s="100" t="e">
        <f ca="1">IFERROR(__xludf.DUMMYFUNCTION("""COMPUTED_VALUE"""),"BTGETH")</f>
        <v>#NAME?</v>
      </c>
      <c r="C77" s="100" t="e">
        <f ca="1">IFERROR(__xludf.DUMMYFUNCTION("""COMPUTED_VALUE"""),"0.00000000")</f>
        <v>#NAME?</v>
      </c>
      <c r="D77" s="100" t="e">
        <f t="shared" ca="1" si="13"/>
        <v>#NAME?</v>
      </c>
      <c r="E77" s="100" t="e">
        <f t="shared" ca="1" si="13"/>
        <v>#NAME?</v>
      </c>
      <c r="F77" s="100" t="e">
        <f t="shared" ca="1" si="14"/>
        <v>#NAME?</v>
      </c>
      <c r="G77" s="100" t="e">
        <f t="shared" ca="1" si="15"/>
        <v>#NAME?</v>
      </c>
      <c r="H77" s="100" t="e">
        <f t="shared" ca="1" si="16"/>
        <v>#NAME?</v>
      </c>
      <c r="I77" s="100" t="e">
        <f t="shared" ca="1" si="17"/>
        <v>#NAME?</v>
      </c>
      <c r="J77" s="100" t="e">
        <f t="shared" ca="1" si="19"/>
        <v>#NAME?</v>
      </c>
      <c r="K77" s="100" t="e">
        <f t="shared" ca="1" si="18"/>
        <v>#NAME?</v>
      </c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 spans="1:26">
      <c r="A78" s="100" t="e">
        <f ca="1">IFERROR(__xludf.DUMMYFUNCTION("""COMPUTED_VALUE"""),58783413)</f>
        <v>#NAME?</v>
      </c>
      <c r="B78" s="100" t="e">
        <f ca="1">IFERROR(__xludf.DUMMYFUNCTION("""COMPUTED_VALUE"""),"EVXBTC")</f>
        <v>#NAME?</v>
      </c>
      <c r="C78" s="100" t="e">
        <f ca="1">IFERROR(__xludf.DUMMYFUNCTION("""COMPUTED_VALUE"""),"0.00000000")</f>
        <v>#NAME?</v>
      </c>
      <c r="D78" s="100" t="e">
        <f t="shared" ca="1" si="13"/>
        <v>#NAME?</v>
      </c>
      <c r="E78" s="100" t="e">
        <f t="shared" ca="1" si="13"/>
        <v>#NAME?</v>
      </c>
      <c r="F78" s="100" t="e">
        <f t="shared" ca="1" si="14"/>
        <v>#NAME?</v>
      </c>
      <c r="G78" s="100" t="e">
        <f t="shared" ca="1" si="15"/>
        <v>#NAME?</v>
      </c>
      <c r="H78" s="100" t="e">
        <f t="shared" ca="1" si="16"/>
        <v>#NAME?</v>
      </c>
      <c r="I78" s="100" t="e">
        <f t="shared" ca="1" si="17"/>
        <v>#NAME?</v>
      </c>
      <c r="J78" s="100" t="e">
        <f t="shared" ca="1" si="19"/>
        <v>#NAME?</v>
      </c>
      <c r="K78" s="100" t="e">
        <f t="shared" ca="1" si="18"/>
        <v>#NAME?</v>
      </c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 spans="1:26">
      <c r="A79" s="100" t="e">
        <f ca="1">IFERROR(__xludf.DUMMYFUNCTION("""COMPUTED_VALUE"""),58783414)</f>
        <v>#NAME?</v>
      </c>
      <c r="B79" s="100" t="e">
        <f ca="1">IFERROR(__xludf.DUMMYFUNCTION("""COMPUTED_VALUE"""),"EVXETH")</f>
        <v>#NAME?</v>
      </c>
      <c r="C79" s="100" t="e">
        <f ca="1">IFERROR(__xludf.DUMMYFUNCTION("""COMPUTED_VALUE"""),"0.00000000")</f>
        <v>#NAME?</v>
      </c>
      <c r="D79" s="100" t="e">
        <f t="shared" ca="1" si="13"/>
        <v>#NAME?</v>
      </c>
      <c r="E79" s="100" t="e">
        <f t="shared" ca="1" si="13"/>
        <v>#NAME?</v>
      </c>
      <c r="F79" s="100" t="e">
        <f t="shared" ca="1" si="14"/>
        <v>#NAME?</v>
      </c>
      <c r="G79" s="100" t="e">
        <f t="shared" ca="1" si="15"/>
        <v>#NAME?</v>
      </c>
      <c r="H79" s="100" t="e">
        <f t="shared" ca="1" si="16"/>
        <v>#NAME?</v>
      </c>
      <c r="I79" s="100" t="e">
        <f t="shared" ca="1" si="17"/>
        <v>#NAME?</v>
      </c>
      <c r="J79" s="100" t="e">
        <f t="shared" ca="1" si="19"/>
        <v>#NAME?</v>
      </c>
      <c r="K79" s="100" t="e">
        <f t="shared" ca="1" si="18"/>
        <v>#NAME?</v>
      </c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 spans="1:26">
      <c r="A80" s="100" t="e">
        <f ca="1">IFERROR(__xludf.DUMMYFUNCTION("""COMPUTED_VALUE"""),58783415)</f>
        <v>#NAME?</v>
      </c>
      <c r="B80" s="100" t="e">
        <f ca="1">IFERROR(__xludf.DUMMYFUNCTION("""COMPUTED_VALUE"""),"REQBTC")</f>
        <v>#NAME?</v>
      </c>
      <c r="C80" s="100" t="e">
        <f ca="1">IFERROR(__xludf.DUMMYFUNCTION("""COMPUTED_VALUE"""),"0.00000126")</f>
        <v>#NAME?</v>
      </c>
      <c r="D80" s="100" t="e">
        <f t="shared" ca="1" si="13"/>
        <v>#NAME?</v>
      </c>
      <c r="E80" s="100" t="e">
        <f t="shared" ca="1" si="13"/>
        <v>#NAME?</v>
      </c>
      <c r="F80" s="100" t="e">
        <f t="shared" ca="1" si="14"/>
        <v>#NAME?</v>
      </c>
      <c r="G80" s="100" t="e">
        <f t="shared" ca="1" si="15"/>
        <v>#NAME?</v>
      </c>
      <c r="H80" s="100" t="e">
        <f t="shared" ca="1" si="16"/>
        <v>#NAME?</v>
      </c>
      <c r="I80" s="100" t="e">
        <f t="shared" ca="1" si="17"/>
        <v>#NAME?</v>
      </c>
      <c r="J80" s="100" t="e">
        <f ca="1">IFERROR(__xludf.DUMMYFUNCTION("""COMPUTED_VALUE"""),"1.613")</f>
        <v>#NAME?</v>
      </c>
      <c r="K80" s="100" t="e">
        <f t="shared" ca="1" si="18"/>
        <v>#NAME?</v>
      </c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 spans="1:26">
      <c r="A81" s="100" t="e">
        <f ca="1">IFERROR(__xludf.DUMMYFUNCTION("""COMPUTED_VALUE"""),58783416)</f>
        <v>#NAME?</v>
      </c>
      <c r="B81" s="100" t="e">
        <f ca="1">IFERROR(__xludf.DUMMYFUNCTION("""COMPUTED_VALUE"""),"REQETH")</f>
        <v>#NAME?</v>
      </c>
      <c r="C81" s="100" t="e">
        <f ca="1">IFERROR(__xludf.DUMMYFUNCTION("""COMPUTED_VALUE"""),"0.00000000")</f>
        <v>#NAME?</v>
      </c>
      <c r="D81" s="100" t="e">
        <f t="shared" ca="1" si="13"/>
        <v>#NAME?</v>
      </c>
      <c r="E81" s="100" t="e">
        <f t="shared" ca="1" si="13"/>
        <v>#NAME?</v>
      </c>
      <c r="F81" s="100" t="e">
        <f t="shared" ca="1" si="14"/>
        <v>#NAME?</v>
      </c>
      <c r="G81" s="100" t="e">
        <f t="shared" ca="1" si="15"/>
        <v>#NAME?</v>
      </c>
      <c r="H81" s="100" t="e">
        <f t="shared" ca="1" si="16"/>
        <v>#NAME?</v>
      </c>
      <c r="I81" s="100" t="e">
        <f t="shared" ca="1" si="17"/>
        <v>#NAME?</v>
      </c>
      <c r="J81" s="100" t="e">
        <f ca="1">IFERROR(__xludf.DUMMYFUNCTION("""COMPUTED_VALUE"""),"0")</f>
        <v>#NAME?</v>
      </c>
      <c r="K81" s="100" t="e">
        <f t="shared" ca="1" si="18"/>
        <v>#NAME?</v>
      </c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 spans="1:26">
      <c r="A82" s="100" t="e">
        <f ca="1">IFERROR(__xludf.DUMMYFUNCTION("""COMPUTED_VALUE"""),58783417)</f>
        <v>#NAME?</v>
      </c>
      <c r="B82" s="100" t="e">
        <f ca="1">IFERROR(__xludf.DUMMYFUNCTION("""COMPUTED_VALUE"""),"VIBBTC")</f>
        <v>#NAME?</v>
      </c>
      <c r="C82" s="100" t="e">
        <f ca="1">IFERROR(__xludf.DUMMYFUNCTION("""COMPUTED_VALUE"""),"0.00000051")</f>
        <v>#NAME?</v>
      </c>
      <c r="D82" s="100" t="e">
        <f t="shared" ref="D82:E101" ca="1" si="20">IFERROR(__xludf.DUMMYFUNCTION("""COMPUTED_VALUE"""),"-")</f>
        <v>#NAME?</v>
      </c>
      <c r="E82" s="100" t="e">
        <f t="shared" ca="1" si="20"/>
        <v>#NAME?</v>
      </c>
      <c r="F82" s="100" t="e">
        <f t="shared" ca="1" si="14"/>
        <v>#NAME?</v>
      </c>
      <c r="G82" s="100" t="e">
        <f t="shared" ca="1" si="15"/>
        <v>#NAME?</v>
      </c>
      <c r="H82" s="100" t="e">
        <f t="shared" ca="1" si="16"/>
        <v>#NAME?</v>
      </c>
      <c r="I82" s="100" t="e">
        <f t="shared" ca="1" si="17"/>
        <v>#NAME?</v>
      </c>
      <c r="J82" s="100" t="e">
        <f ca="1">IFERROR(__xludf.DUMMYFUNCTION("""COMPUTED_VALUE"""),"0")</f>
        <v>#NAME?</v>
      </c>
      <c r="K82" s="100" t="e">
        <f t="shared" ca="1" si="18"/>
        <v>#NAME?</v>
      </c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 spans="1:26">
      <c r="A83" s="100" t="e">
        <f ca="1">IFERROR(__xludf.DUMMYFUNCTION("""COMPUTED_VALUE"""),58783418)</f>
        <v>#NAME?</v>
      </c>
      <c r="B83" s="100" t="e">
        <f ca="1">IFERROR(__xludf.DUMMYFUNCTION("""COMPUTED_VALUE"""),"VIBETH")</f>
        <v>#NAME?</v>
      </c>
      <c r="C83" s="100" t="e">
        <f ca="1">IFERROR(__xludf.DUMMYFUNCTION("""COMPUTED_VALUE"""),"0.00003450")</f>
        <v>#NAME?</v>
      </c>
      <c r="D83" s="100" t="e">
        <f t="shared" ca="1" si="20"/>
        <v>#NAME?</v>
      </c>
      <c r="E83" s="100" t="e">
        <f t="shared" ca="1" si="20"/>
        <v>#NAME?</v>
      </c>
      <c r="F83" s="100" t="e">
        <f t="shared" ca="1" si="14"/>
        <v>#NAME?</v>
      </c>
      <c r="G83" s="100" t="e">
        <f t="shared" ca="1" si="15"/>
        <v>#NAME?</v>
      </c>
      <c r="H83" s="100" t="e">
        <f t="shared" ca="1" si="16"/>
        <v>#NAME?</v>
      </c>
      <c r="I83" s="100" t="e">
        <f t="shared" ca="1" si="17"/>
        <v>#NAME?</v>
      </c>
      <c r="J83" s="100" t="e">
        <f ca="1">IFERROR(__xludf.DUMMYFUNCTION("""COMPUTED_VALUE"""),"0")</f>
        <v>#NAME?</v>
      </c>
      <c r="K83" s="100" t="e">
        <f t="shared" ca="1" si="18"/>
        <v>#NAME?</v>
      </c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>
      <c r="A84" s="100" t="e">
        <f ca="1">IFERROR(__xludf.DUMMYFUNCTION("""COMPUTED_VALUE"""),58783419)</f>
        <v>#NAME?</v>
      </c>
      <c r="B84" s="100" t="e">
        <f ca="1">IFERROR(__xludf.DUMMYFUNCTION("""COMPUTED_VALUE"""),"HSRETH")</f>
        <v>#NAME?</v>
      </c>
      <c r="C84" s="100" t="e">
        <f ca="1">IFERROR(__xludf.DUMMYFUNCTION("""COMPUTED_VALUE"""),"0.00000000")</f>
        <v>#NAME?</v>
      </c>
      <c r="D84" s="100" t="e">
        <f t="shared" ca="1" si="20"/>
        <v>#NAME?</v>
      </c>
      <c r="E84" s="100" t="e">
        <f t="shared" ca="1" si="20"/>
        <v>#NAME?</v>
      </c>
      <c r="F84" s="100" t="e">
        <f t="shared" ca="1" si="14"/>
        <v>#NAME?</v>
      </c>
      <c r="G84" s="100" t="e">
        <f t="shared" ca="1" si="15"/>
        <v>#NAME?</v>
      </c>
      <c r="H84" s="100" t="e">
        <f t="shared" ca="1" si="16"/>
        <v>#NAME?</v>
      </c>
      <c r="I84" s="100" t="e">
        <f t="shared" ca="1" si="17"/>
        <v>#NAME?</v>
      </c>
      <c r="J84" s="100" t="e">
        <f ca="1">IFERROR(__xludf.DUMMYFUNCTION("""COMPUTED_VALUE"""),"0")</f>
        <v>#NAME?</v>
      </c>
      <c r="K84" s="100" t="e">
        <f t="shared" ca="1" si="18"/>
        <v>#NAME?</v>
      </c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>
      <c r="A85" s="100" t="e">
        <f ca="1">IFERROR(__xludf.DUMMYFUNCTION("""COMPUTED_VALUE"""),58783420)</f>
        <v>#NAME?</v>
      </c>
      <c r="B85" s="100" t="e">
        <f ca="1">IFERROR(__xludf.DUMMYFUNCTION("""COMPUTED_VALUE"""),"TRXBTC")</f>
        <v>#NAME?</v>
      </c>
      <c r="C85" s="100" t="e">
        <f ca="1">IFERROR(__xludf.DUMMYFUNCTION("""COMPUTED_VALUE"""),"0.00000281")</f>
        <v>#NAME?</v>
      </c>
      <c r="D85" s="100" t="e">
        <f t="shared" ca="1" si="20"/>
        <v>#NAME?</v>
      </c>
      <c r="E85" s="100" t="e">
        <f t="shared" ca="1" si="20"/>
        <v>#NAME?</v>
      </c>
      <c r="F85" s="100" t="e">
        <f t="shared" ca="1" si="14"/>
        <v>#NAME?</v>
      </c>
      <c r="G85" s="100" t="e">
        <f t="shared" ca="1" si="15"/>
        <v>#NAME?</v>
      </c>
      <c r="H85" s="100" t="e">
        <f t="shared" ca="1" si="16"/>
        <v>#NAME?</v>
      </c>
      <c r="I85" s="100" t="e">
        <f t="shared" ca="1" si="17"/>
        <v>#NAME?</v>
      </c>
      <c r="J85" s="100" t="e">
        <f ca="1">IFERROR(__xludf.DUMMYFUNCTION("""COMPUTED_VALUE"""),"1.079")</f>
        <v>#NAME?</v>
      </c>
      <c r="K85" s="100" t="e">
        <f t="shared" ca="1" si="18"/>
        <v>#NAME?</v>
      </c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 spans="1:26">
      <c r="A86" s="100" t="e">
        <f ca="1">IFERROR(__xludf.DUMMYFUNCTION("""COMPUTED_VALUE"""),58783421)</f>
        <v>#NAME?</v>
      </c>
      <c r="B86" s="100" t="e">
        <f ca="1">IFERROR(__xludf.DUMMYFUNCTION("""COMPUTED_VALUE"""),"TRXETH")</f>
        <v>#NAME?</v>
      </c>
      <c r="C86" s="100" t="e">
        <f ca="1">IFERROR(__xludf.DUMMYFUNCTION("""COMPUTED_VALUE"""),"0.00015271")</f>
        <v>#NAME?</v>
      </c>
      <c r="D86" s="100" t="e">
        <f t="shared" ca="1" si="20"/>
        <v>#NAME?</v>
      </c>
      <c r="E86" s="100" t="e">
        <f t="shared" ca="1" si="20"/>
        <v>#NAME?</v>
      </c>
      <c r="F86" s="100" t="e">
        <f t="shared" ca="1" si="14"/>
        <v>#NAME?</v>
      </c>
      <c r="G86" s="100" t="e">
        <f t="shared" ca="1" si="15"/>
        <v>#NAME?</v>
      </c>
      <c r="H86" s="100" t="e">
        <f t="shared" ca="1" si="16"/>
        <v>#NAME?</v>
      </c>
      <c r="I86" s="100" t="e">
        <f t="shared" ca="1" si="17"/>
        <v>#NAME?</v>
      </c>
      <c r="J86" s="100" t="e">
        <f ca="1">IFERROR(__xludf.DUMMYFUNCTION("""COMPUTED_VALUE"""),"2.967")</f>
        <v>#NAME?</v>
      </c>
      <c r="K86" s="100" t="e">
        <f t="shared" ca="1" si="18"/>
        <v>#NAME?</v>
      </c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 spans="1:26">
      <c r="A87" s="100" t="e">
        <f ca="1">IFERROR(__xludf.DUMMYFUNCTION("""COMPUTED_VALUE"""),58783422)</f>
        <v>#NAME?</v>
      </c>
      <c r="B87" s="100" t="e">
        <f ca="1">IFERROR(__xludf.DUMMYFUNCTION("""COMPUTED_VALUE"""),"POWRBTC")</f>
        <v>#NAME?</v>
      </c>
      <c r="C87" s="100" t="e">
        <f ca="1">IFERROR(__xludf.DUMMYFUNCTION("""COMPUTED_VALUE"""),"0.00000203")</f>
        <v>#NAME?</v>
      </c>
      <c r="D87" s="100" t="e">
        <f t="shared" ca="1" si="20"/>
        <v>#NAME?</v>
      </c>
      <c r="E87" s="100" t="e">
        <f t="shared" ca="1" si="20"/>
        <v>#NAME?</v>
      </c>
      <c r="F87" s="100" t="e">
        <f t="shared" ca="1" si="14"/>
        <v>#NAME?</v>
      </c>
      <c r="G87" s="100" t="e">
        <f t="shared" ca="1" si="15"/>
        <v>#NAME?</v>
      </c>
      <c r="H87" s="100" t="e">
        <f t="shared" ca="1" si="16"/>
        <v>#NAME?</v>
      </c>
      <c r="I87" s="100" t="e">
        <f t="shared" ca="1" si="17"/>
        <v>#NAME?</v>
      </c>
      <c r="J87" s="100" t="e">
        <f ca="1">IFERROR(__xludf.DUMMYFUNCTION("""COMPUTED_VALUE"""),"-2.404")</f>
        <v>#NAME?</v>
      </c>
      <c r="K87" s="100" t="e">
        <f t="shared" ca="1" si="18"/>
        <v>#NAME?</v>
      </c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 spans="1:26">
      <c r="A88" s="100" t="e">
        <f ca="1">IFERROR(__xludf.DUMMYFUNCTION("""COMPUTED_VALUE"""),58783423)</f>
        <v>#NAME?</v>
      </c>
      <c r="B88" s="100" t="e">
        <f ca="1">IFERROR(__xludf.DUMMYFUNCTION("""COMPUTED_VALUE"""),"POWRETH")</f>
        <v>#NAME?</v>
      </c>
      <c r="C88" s="100" t="e">
        <f ca="1">IFERROR(__xludf.DUMMYFUNCTION("""COMPUTED_VALUE"""),"0.00011040")</f>
        <v>#NAME?</v>
      </c>
      <c r="D88" s="100" t="e">
        <f t="shared" ca="1" si="20"/>
        <v>#NAME?</v>
      </c>
      <c r="E88" s="100" t="e">
        <f t="shared" ca="1" si="20"/>
        <v>#NAME?</v>
      </c>
      <c r="F88" s="100" t="e">
        <f t="shared" ca="1" si="14"/>
        <v>#NAME?</v>
      </c>
      <c r="G88" s="100" t="e">
        <f t="shared" ca="1" si="15"/>
        <v>#NAME?</v>
      </c>
      <c r="H88" s="100" t="e">
        <f t="shared" ca="1" si="16"/>
        <v>#NAME?</v>
      </c>
      <c r="I88" s="100" t="e">
        <f t="shared" ca="1" si="17"/>
        <v>#NAME?</v>
      </c>
      <c r="J88" s="100" t="e">
        <f ca="1">IFERROR(__xludf.DUMMYFUNCTION("""COMPUTED_VALUE"""),"-0.987")</f>
        <v>#NAME?</v>
      </c>
      <c r="K88" s="100" t="e">
        <f t="shared" ca="1" si="18"/>
        <v>#NAME?</v>
      </c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 spans="1:26">
      <c r="A89" s="100" t="e">
        <f ca="1">IFERROR(__xludf.DUMMYFUNCTION("""COMPUTED_VALUE"""),58783424)</f>
        <v>#NAME?</v>
      </c>
      <c r="B89" s="100" t="e">
        <f ca="1">IFERROR(__xludf.DUMMYFUNCTION("""COMPUTED_VALUE"""),"ARKBTC")</f>
        <v>#NAME?</v>
      </c>
      <c r="C89" s="100" t="e">
        <f ca="1">IFERROR(__xludf.DUMMYFUNCTION("""COMPUTED_VALUE"""),"0.00001679")</f>
        <v>#NAME?</v>
      </c>
      <c r="D89" s="100" t="e">
        <f t="shared" ca="1" si="20"/>
        <v>#NAME?</v>
      </c>
      <c r="E89" s="100" t="e">
        <f t="shared" ca="1" si="20"/>
        <v>#NAME?</v>
      </c>
      <c r="F89" s="100" t="e">
        <f t="shared" ca="1" si="14"/>
        <v>#NAME?</v>
      </c>
      <c r="G89" s="100" t="e">
        <f t="shared" ca="1" si="15"/>
        <v>#NAME?</v>
      </c>
      <c r="H89" s="100" t="e">
        <f t="shared" ca="1" si="16"/>
        <v>#NAME?</v>
      </c>
      <c r="I89" s="100" t="e">
        <f t="shared" ca="1" si="17"/>
        <v>#NAME?</v>
      </c>
      <c r="J89" s="100" t="e">
        <f ca="1">IFERROR(__xludf.DUMMYFUNCTION("""COMPUTED_VALUE"""),"0")</f>
        <v>#NAME?</v>
      </c>
      <c r="K89" s="100" t="e">
        <f t="shared" ca="1" si="18"/>
        <v>#NAME?</v>
      </c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 spans="1:26">
      <c r="A90" s="100" t="e">
        <f ca="1">IFERROR(__xludf.DUMMYFUNCTION("""COMPUTED_VALUE"""),58783425)</f>
        <v>#NAME?</v>
      </c>
      <c r="B90" s="100" t="e">
        <f ca="1">IFERROR(__xludf.DUMMYFUNCTION("""COMPUTED_VALUE"""),"ARKETH")</f>
        <v>#NAME?</v>
      </c>
      <c r="C90" s="100" t="e">
        <f ca="1">IFERROR(__xludf.DUMMYFUNCTION("""COMPUTED_VALUE"""),"0.00000000")</f>
        <v>#NAME?</v>
      </c>
      <c r="D90" s="100" t="e">
        <f t="shared" ca="1" si="20"/>
        <v>#NAME?</v>
      </c>
      <c r="E90" s="100" t="e">
        <f t="shared" ca="1" si="20"/>
        <v>#NAME?</v>
      </c>
      <c r="F90" s="100" t="e">
        <f t="shared" ca="1" si="14"/>
        <v>#NAME?</v>
      </c>
      <c r="G90" s="100" t="e">
        <f t="shared" ca="1" si="15"/>
        <v>#NAME?</v>
      </c>
      <c r="H90" s="100" t="e">
        <f t="shared" ca="1" si="16"/>
        <v>#NAME?</v>
      </c>
      <c r="I90" s="100" t="e">
        <f t="shared" ca="1" si="17"/>
        <v>#NAME?</v>
      </c>
      <c r="J90" s="100" t="e">
        <f ca="1">IFERROR(__xludf.DUMMYFUNCTION("""COMPUTED_VALUE"""),"0")</f>
        <v>#NAME?</v>
      </c>
      <c r="K90" s="100" t="e">
        <f t="shared" ca="1" si="18"/>
        <v>#NAME?</v>
      </c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 spans="1:26">
      <c r="A91" s="100" t="e">
        <f ca="1">IFERROR(__xludf.DUMMYFUNCTION("""COMPUTED_VALUE"""),58783426)</f>
        <v>#NAME?</v>
      </c>
      <c r="B91" s="100" t="e">
        <f ca="1">IFERROR(__xludf.DUMMYFUNCTION("""COMPUTED_VALUE"""),"YOYOETH")</f>
        <v>#NAME?</v>
      </c>
      <c r="C91" s="100" t="e">
        <f ca="1">IFERROR(__xludf.DUMMYFUNCTION("""COMPUTED_VALUE"""),"0.00000000")</f>
        <v>#NAME?</v>
      </c>
      <c r="D91" s="100" t="e">
        <f t="shared" ca="1" si="20"/>
        <v>#NAME?</v>
      </c>
      <c r="E91" s="100" t="e">
        <f t="shared" ca="1" si="20"/>
        <v>#NAME?</v>
      </c>
      <c r="F91" s="100" t="e">
        <f t="shared" ca="1" si="14"/>
        <v>#NAME?</v>
      </c>
      <c r="G91" s="100" t="e">
        <f t="shared" ca="1" si="15"/>
        <v>#NAME?</v>
      </c>
      <c r="H91" s="100" t="e">
        <f t="shared" ca="1" si="16"/>
        <v>#NAME?</v>
      </c>
      <c r="I91" s="100" t="e">
        <f t="shared" ca="1" si="17"/>
        <v>#NAME?</v>
      </c>
      <c r="J91" s="100" t="e">
        <f ca="1">IFERROR(__xludf.DUMMYFUNCTION("""COMPUTED_VALUE"""),"0")</f>
        <v>#NAME?</v>
      </c>
      <c r="K91" s="100" t="e">
        <f t="shared" ca="1" si="18"/>
        <v>#NAME?</v>
      </c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 spans="1:26">
      <c r="A92" s="100" t="e">
        <f ca="1">IFERROR(__xludf.DUMMYFUNCTION("""COMPUTED_VALUE"""),58783427)</f>
        <v>#NAME?</v>
      </c>
      <c r="B92" s="100" t="e">
        <f ca="1">IFERROR(__xludf.DUMMYFUNCTION("""COMPUTED_VALUE"""),"XRPBTC")</f>
        <v>#NAME?</v>
      </c>
      <c r="C92" s="100" t="e">
        <f ca="1">IFERROR(__xludf.DUMMYFUNCTION("""COMPUTED_VALUE"""),"0.00002376")</f>
        <v>#NAME?</v>
      </c>
      <c r="D92" s="100" t="e">
        <f t="shared" ca="1" si="20"/>
        <v>#NAME?</v>
      </c>
      <c r="E92" s="100" t="e">
        <f t="shared" ca="1" si="20"/>
        <v>#NAME?</v>
      </c>
      <c r="F92" s="100" t="e">
        <f t="shared" ca="1" si="14"/>
        <v>#NAME?</v>
      </c>
      <c r="G92" s="100" t="e">
        <f t="shared" ca="1" si="15"/>
        <v>#NAME?</v>
      </c>
      <c r="H92" s="100" t="e">
        <f t="shared" ca="1" si="16"/>
        <v>#NAME?</v>
      </c>
      <c r="I92" s="100" t="e">
        <f t="shared" ca="1" si="17"/>
        <v>#NAME?</v>
      </c>
      <c r="J92" s="100" t="e">
        <f ca="1">IFERROR(__xludf.DUMMYFUNCTION("""COMPUTED_VALUE"""),"-2.222")</f>
        <v>#NAME?</v>
      </c>
      <c r="K92" s="100" t="e">
        <f t="shared" ca="1" si="18"/>
        <v>#NAME?</v>
      </c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 spans="1:26">
      <c r="A93" s="100" t="e">
        <f ca="1">IFERROR(__xludf.DUMMYFUNCTION("""COMPUTED_VALUE"""),58783428)</f>
        <v>#NAME?</v>
      </c>
      <c r="B93" s="100" t="e">
        <f ca="1">IFERROR(__xludf.DUMMYFUNCTION("""COMPUTED_VALUE"""),"XRPETH")</f>
        <v>#NAME?</v>
      </c>
      <c r="C93" s="100" t="e">
        <f ca="1">IFERROR(__xludf.DUMMYFUNCTION("""COMPUTED_VALUE"""),"0.00129530")</f>
        <v>#NAME?</v>
      </c>
      <c r="D93" s="100" t="e">
        <f t="shared" ca="1" si="20"/>
        <v>#NAME?</v>
      </c>
      <c r="E93" s="100" t="e">
        <f t="shared" ca="1" si="20"/>
        <v>#NAME?</v>
      </c>
      <c r="F93" s="100" t="e">
        <f t="shared" ca="1" si="14"/>
        <v>#NAME?</v>
      </c>
      <c r="G93" s="100" t="e">
        <f t="shared" ca="1" si="15"/>
        <v>#NAME?</v>
      </c>
      <c r="H93" s="100" t="e">
        <f t="shared" ca="1" si="16"/>
        <v>#NAME?</v>
      </c>
      <c r="I93" s="100" t="e">
        <f t="shared" ca="1" si="17"/>
        <v>#NAME?</v>
      </c>
      <c r="J93" s="100" t="e">
        <f ca="1">IFERROR(__xludf.DUMMYFUNCTION("""COMPUTED_VALUE"""),"-0.008")</f>
        <v>#NAME?</v>
      </c>
      <c r="K93" s="100" t="e">
        <f t="shared" ca="1" si="18"/>
        <v>#NAME?</v>
      </c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 spans="1:26">
      <c r="A94" s="100" t="e">
        <f ca="1">IFERROR(__xludf.DUMMYFUNCTION("""COMPUTED_VALUE"""),58783429)</f>
        <v>#NAME?</v>
      </c>
      <c r="B94" s="100" t="e">
        <f ca="1">IFERROR(__xludf.DUMMYFUNCTION("""COMPUTED_VALUE"""),"MODBTC")</f>
        <v>#NAME?</v>
      </c>
      <c r="C94" s="100" t="e">
        <f ca="1">IFERROR(__xludf.DUMMYFUNCTION("""COMPUTED_VALUE"""),"0.00000000")</f>
        <v>#NAME?</v>
      </c>
      <c r="D94" s="100" t="e">
        <f t="shared" ca="1" si="20"/>
        <v>#NAME?</v>
      </c>
      <c r="E94" s="100" t="e">
        <f t="shared" ca="1" si="20"/>
        <v>#NAME?</v>
      </c>
      <c r="F94" s="100" t="e">
        <f t="shared" ca="1" si="14"/>
        <v>#NAME?</v>
      </c>
      <c r="G94" s="100" t="e">
        <f t="shared" ca="1" si="15"/>
        <v>#NAME?</v>
      </c>
      <c r="H94" s="100" t="e">
        <f t="shared" ca="1" si="16"/>
        <v>#NAME?</v>
      </c>
      <c r="I94" s="100" t="e">
        <f t="shared" ca="1" si="17"/>
        <v>#NAME?</v>
      </c>
      <c r="J94" s="100" t="e">
        <f ca="1">IFERROR(__xludf.DUMMYFUNCTION("""COMPUTED_VALUE"""),"0")</f>
        <v>#NAME?</v>
      </c>
      <c r="K94" s="100" t="e">
        <f t="shared" ca="1" si="18"/>
        <v>#NAME?</v>
      </c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 spans="1:26">
      <c r="A95" s="100" t="e">
        <f ca="1">IFERROR(__xludf.DUMMYFUNCTION("""COMPUTED_VALUE"""),58783430)</f>
        <v>#NAME?</v>
      </c>
      <c r="B95" s="100" t="e">
        <f ca="1">IFERROR(__xludf.DUMMYFUNCTION("""COMPUTED_VALUE"""),"MODETH")</f>
        <v>#NAME?</v>
      </c>
      <c r="C95" s="100" t="e">
        <f ca="1">IFERROR(__xludf.DUMMYFUNCTION("""COMPUTED_VALUE"""),"0.00000000")</f>
        <v>#NAME?</v>
      </c>
      <c r="D95" s="100" t="e">
        <f t="shared" ca="1" si="20"/>
        <v>#NAME?</v>
      </c>
      <c r="E95" s="100" t="e">
        <f t="shared" ca="1" si="20"/>
        <v>#NAME?</v>
      </c>
      <c r="F95" s="100" t="e">
        <f t="shared" ca="1" si="14"/>
        <v>#NAME?</v>
      </c>
      <c r="G95" s="100" t="e">
        <f t="shared" ca="1" si="15"/>
        <v>#NAME?</v>
      </c>
      <c r="H95" s="100" t="e">
        <f t="shared" ca="1" si="16"/>
        <v>#NAME?</v>
      </c>
      <c r="I95" s="100" t="e">
        <f t="shared" ca="1" si="17"/>
        <v>#NAME?</v>
      </c>
      <c r="J95" s="100" t="e">
        <f ca="1">IFERROR(__xludf.DUMMYFUNCTION("""COMPUTED_VALUE"""),"0")</f>
        <v>#NAME?</v>
      </c>
      <c r="K95" s="100" t="e">
        <f t="shared" ca="1" si="18"/>
        <v>#NAME?</v>
      </c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 spans="1:26">
      <c r="A96" s="100" t="e">
        <f ca="1">IFERROR(__xludf.DUMMYFUNCTION("""COMPUTED_VALUE"""),58783431)</f>
        <v>#NAME?</v>
      </c>
      <c r="B96" s="100" t="e">
        <f ca="1">IFERROR(__xludf.DUMMYFUNCTION("""COMPUTED_VALUE"""),"ENJBTC")</f>
        <v>#NAME?</v>
      </c>
      <c r="C96" s="100" t="e">
        <f ca="1">IFERROR(__xludf.DUMMYFUNCTION("""COMPUTED_VALUE"""),"0.00000100")</f>
        <v>#NAME?</v>
      </c>
      <c r="D96" s="100" t="e">
        <f t="shared" ca="1" si="20"/>
        <v>#NAME?</v>
      </c>
      <c r="E96" s="100" t="e">
        <f t="shared" ca="1" si="20"/>
        <v>#NAME?</v>
      </c>
      <c r="F96" s="100" t="e">
        <f t="shared" ca="1" si="14"/>
        <v>#NAME?</v>
      </c>
      <c r="G96" s="100" t="e">
        <f t="shared" ca="1" si="15"/>
        <v>#NAME?</v>
      </c>
      <c r="H96" s="100" t="e">
        <f t="shared" ca="1" si="16"/>
        <v>#NAME?</v>
      </c>
      <c r="I96" s="100" t="e">
        <f t="shared" ca="1" si="17"/>
        <v>#NAME?</v>
      </c>
      <c r="J96" s="100" t="e">
        <f ca="1">IFERROR(__xludf.DUMMYFUNCTION("""COMPUTED_VALUE"""),"-15.966")</f>
        <v>#NAME?</v>
      </c>
      <c r="K96" s="100" t="e">
        <f t="shared" ca="1" si="18"/>
        <v>#NAME?</v>
      </c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 spans="1:26">
      <c r="A97" s="100" t="e">
        <f ca="1">IFERROR(__xludf.DUMMYFUNCTION("""COMPUTED_VALUE"""),58783432)</f>
        <v>#NAME?</v>
      </c>
      <c r="B97" s="100" t="e">
        <f ca="1">IFERROR(__xludf.DUMMYFUNCTION("""COMPUTED_VALUE"""),"ENJETH")</f>
        <v>#NAME?</v>
      </c>
      <c r="C97" s="100" t="e">
        <f ca="1">IFERROR(__xludf.DUMMYFUNCTION("""COMPUTED_VALUE"""),"0.00006172")</f>
        <v>#NAME?</v>
      </c>
      <c r="D97" s="100" t="e">
        <f t="shared" ca="1" si="20"/>
        <v>#NAME?</v>
      </c>
      <c r="E97" s="100" t="e">
        <f t="shared" ca="1" si="20"/>
        <v>#NAME?</v>
      </c>
      <c r="F97" s="100" t="e">
        <f t="shared" ca="1" si="14"/>
        <v>#NAME?</v>
      </c>
      <c r="G97" s="100" t="e">
        <f t="shared" ca="1" si="15"/>
        <v>#NAME?</v>
      </c>
      <c r="H97" s="100" t="e">
        <f t="shared" ca="1" si="16"/>
        <v>#NAME?</v>
      </c>
      <c r="I97" s="100" t="e">
        <f t="shared" ca="1" si="17"/>
        <v>#NAME?</v>
      </c>
      <c r="J97" s="100" t="e">
        <f ca="1">IFERROR(__xludf.DUMMYFUNCTION("""COMPUTED_VALUE"""),"0")</f>
        <v>#NAME?</v>
      </c>
      <c r="K97" s="100" t="e">
        <f t="shared" ca="1" si="18"/>
        <v>#NAME?</v>
      </c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 spans="1:26">
      <c r="A98" s="100" t="e">
        <f ca="1">IFERROR(__xludf.DUMMYFUNCTION("""COMPUTED_VALUE"""),58783433)</f>
        <v>#NAME?</v>
      </c>
      <c r="B98" s="100" t="e">
        <f ca="1">IFERROR(__xludf.DUMMYFUNCTION("""COMPUTED_VALUE"""),"STORJBTC")</f>
        <v>#NAME?</v>
      </c>
      <c r="C98" s="100" t="e">
        <f ca="1">IFERROR(__xludf.DUMMYFUNCTION("""COMPUTED_VALUE"""),"0.00000329")</f>
        <v>#NAME?</v>
      </c>
      <c r="D98" s="100" t="e">
        <f t="shared" ca="1" si="20"/>
        <v>#NAME?</v>
      </c>
      <c r="E98" s="100" t="e">
        <f t="shared" ca="1" si="20"/>
        <v>#NAME?</v>
      </c>
      <c r="F98" s="100" t="e">
        <f t="shared" ca="1" si="14"/>
        <v>#NAME?</v>
      </c>
      <c r="G98" s="100" t="e">
        <f t="shared" ca="1" si="15"/>
        <v>#NAME?</v>
      </c>
      <c r="H98" s="100" t="e">
        <f t="shared" ca="1" si="16"/>
        <v>#NAME?</v>
      </c>
      <c r="I98" s="100" t="e">
        <f t="shared" ca="1" si="17"/>
        <v>#NAME?</v>
      </c>
      <c r="J98" s="100" t="e">
        <f ca="1">IFERROR(__xludf.DUMMYFUNCTION("""COMPUTED_VALUE"""),"-4.913")</f>
        <v>#NAME?</v>
      </c>
      <c r="K98" s="100" t="e">
        <f t="shared" ca="1" si="18"/>
        <v>#NAME?</v>
      </c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 spans="1:26">
      <c r="A99" s="100" t="e">
        <f ca="1">IFERROR(__xludf.DUMMYFUNCTION("""COMPUTED_VALUE"""),58783434)</f>
        <v>#NAME?</v>
      </c>
      <c r="B99" s="100" t="e">
        <f ca="1">IFERROR(__xludf.DUMMYFUNCTION("""COMPUTED_VALUE"""),"STORJETH")</f>
        <v>#NAME?</v>
      </c>
      <c r="C99" s="100" t="e">
        <f ca="1">IFERROR(__xludf.DUMMYFUNCTION("""COMPUTED_VALUE"""),"0.00000000")</f>
        <v>#NAME?</v>
      </c>
      <c r="D99" s="100" t="e">
        <f t="shared" ca="1" si="20"/>
        <v>#NAME?</v>
      </c>
      <c r="E99" s="100" t="e">
        <f t="shared" ca="1" si="20"/>
        <v>#NAME?</v>
      </c>
      <c r="F99" s="100" t="e">
        <f t="shared" ca="1" si="14"/>
        <v>#NAME?</v>
      </c>
      <c r="G99" s="100" t="e">
        <f t="shared" ca="1" si="15"/>
        <v>#NAME?</v>
      </c>
      <c r="H99" s="100" t="e">
        <f t="shared" ca="1" si="16"/>
        <v>#NAME?</v>
      </c>
      <c r="I99" s="100" t="e">
        <f t="shared" ca="1" si="17"/>
        <v>#NAME?</v>
      </c>
      <c r="J99" s="100" t="e">
        <f ca="1">IFERROR(__xludf.DUMMYFUNCTION("""COMPUTED_VALUE"""),"0")</f>
        <v>#NAME?</v>
      </c>
      <c r="K99" s="100" t="e">
        <f t="shared" ca="1" si="18"/>
        <v>#NAME?</v>
      </c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 spans="1:26">
      <c r="A100" s="100" t="e">
        <f ca="1">IFERROR(__xludf.DUMMYFUNCTION("""COMPUTED_VALUE"""),58783435)</f>
        <v>#NAME?</v>
      </c>
      <c r="B100" s="100" t="e">
        <f ca="1">IFERROR(__xludf.DUMMYFUNCTION("""COMPUTED_VALUE"""),"BNBUSDT")</f>
        <v>#NAME?</v>
      </c>
      <c r="C100" s="100" t="e">
        <f ca="1">IFERROR(__xludf.DUMMYFUNCTION("""COMPUTED_VALUE"""),"606.16000000")</f>
        <v>#NAME?</v>
      </c>
      <c r="D100" s="100" t="e">
        <f t="shared" ca="1" si="20"/>
        <v>#NAME?</v>
      </c>
      <c r="E100" s="100" t="e">
        <f t="shared" ca="1" si="20"/>
        <v>#NAME?</v>
      </c>
      <c r="F100" s="100" t="e">
        <f t="shared" ca="1" si="14"/>
        <v>#NAME?</v>
      </c>
      <c r="G100" s="100" t="e">
        <f t="shared" ca="1" si="15"/>
        <v>#NAME?</v>
      </c>
      <c r="H100" s="100" t="e">
        <f t="shared" ca="1" si="16"/>
        <v>#NAME?</v>
      </c>
      <c r="I100" s="100" t="e">
        <f t="shared" ca="1" si="17"/>
        <v>#NAME?</v>
      </c>
      <c r="J100" s="100" t="e">
        <f ca="1">IFERROR(__xludf.DUMMYFUNCTION("""COMPUTED_VALUE"""),"0.293")</f>
        <v>#NAME?</v>
      </c>
      <c r="K100" s="100" t="e">
        <f t="shared" ca="1" si="18"/>
        <v>#NAME?</v>
      </c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 spans="1:26">
      <c r="A101" s="100" t="e">
        <f ca="1">IFERROR(__xludf.DUMMYFUNCTION("""COMPUTED_VALUE"""),58783436)</f>
        <v>#NAME?</v>
      </c>
      <c r="B101" s="100" t="e">
        <f ca="1">IFERROR(__xludf.DUMMYFUNCTION("""COMPUTED_VALUE"""),"VENBNB")</f>
        <v>#NAME?</v>
      </c>
      <c r="C101" s="100" t="e">
        <f ca="1">IFERROR(__xludf.DUMMYFUNCTION("""COMPUTED_VALUE"""),"0.00000000")</f>
        <v>#NAME?</v>
      </c>
      <c r="D101" s="100" t="e">
        <f t="shared" ca="1" si="20"/>
        <v>#NAME?</v>
      </c>
      <c r="E101" s="100" t="e">
        <f t="shared" ca="1" si="20"/>
        <v>#NAME?</v>
      </c>
      <c r="F101" s="100" t="e">
        <f t="shared" ca="1" si="14"/>
        <v>#NAME?</v>
      </c>
      <c r="G101" s="100" t="e">
        <f t="shared" ca="1" si="15"/>
        <v>#NAME?</v>
      </c>
      <c r="H101" s="100" t="e">
        <f t="shared" ca="1" si="16"/>
        <v>#NAME?</v>
      </c>
      <c r="I101" s="100" t="e">
        <f t="shared" ca="1" si="17"/>
        <v>#NAME?</v>
      </c>
      <c r="J101" s="100" t="e">
        <f ca="1">IFERROR(__xludf.DUMMYFUNCTION("""COMPUTED_VALUE"""),"0")</f>
        <v>#NAME?</v>
      </c>
      <c r="K101" s="100" t="e">
        <f t="shared" ca="1" si="18"/>
        <v>#NAME?</v>
      </c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 spans="1:26">
      <c r="A102" s="100" t="e">
        <f ca="1">IFERROR(__xludf.DUMMYFUNCTION("""COMPUTED_VALUE"""),58783437)</f>
        <v>#NAME?</v>
      </c>
      <c r="B102" s="100" t="e">
        <f ca="1">IFERROR(__xludf.DUMMYFUNCTION("""COMPUTED_VALUE"""),"YOYOBNB")</f>
        <v>#NAME?</v>
      </c>
      <c r="C102" s="100" t="e">
        <f ca="1">IFERROR(__xludf.DUMMYFUNCTION("""COMPUTED_VALUE"""),"0.00000000")</f>
        <v>#NAME?</v>
      </c>
      <c r="D102" s="100" t="e">
        <f t="shared" ref="D102:E121" ca="1" si="21">IFERROR(__xludf.DUMMYFUNCTION("""COMPUTED_VALUE"""),"-")</f>
        <v>#NAME?</v>
      </c>
      <c r="E102" s="100" t="e">
        <f t="shared" ca="1" si="21"/>
        <v>#NAME?</v>
      </c>
      <c r="F102" s="100" t="e">
        <f t="shared" ca="1" si="14"/>
        <v>#NAME?</v>
      </c>
      <c r="G102" s="100" t="e">
        <f t="shared" ca="1" si="15"/>
        <v>#NAME?</v>
      </c>
      <c r="H102" s="100" t="e">
        <f t="shared" ca="1" si="16"/>
        <v>#NAME?</v>
      </c>
      <c r="I102" s="100" t="e">
        <f t="shared" ca="1" si="17"/>
        <v>#NAME?</v>
      </c>
      <c r="J102" s="100" t="e">
        <f ca="1">IFERROR(__xludf.DUMMYFUNCTION("""COMPUTED_VALUE"""),"0")</f>
        <v>#NAME?</v>
      </c>
      <c r="K102" s="100" t="e">
        <f t="shared" ca="1" si="18"/>
        <v>#NAME?</v>
      </c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 spans="1:26">
      <c r="A103" s="100" t="e">
        <f ca="1">IFERROR(__xludf.DUMMYFUNCTION("""COMPUTED_VALUE"""),58783438)</f>
        <v>#NAME?</v>
      </c>
      <c r="B103" s="100" t="e">
        <f ca="1">IFERROR(__xludf.DUMMYFUNCTION("""COMPUTED_VALUE"""),"POWRBNB")</f>
        <v>#NAME?</v>
      </c>
      <c r="C103" s="100" t="e">
        <f ca="1">IFERROR(__xludf.DUMMYFUNCTION("""COMPUTED_VALUE"""),"0.00000000")</f>
        <v>#NAME?</v>
      </c>
      <c r="D103" s="100" t="e">
        <f t="shared" ca="1" si="21"/>
        <v>#NAME?</v>
      </c>
      <c r="E103" s="100" t="e">
        <f t="shared" ca="1" si="21"/>
        <v>#NAME?</v>
      </c>
      <c r="F103" s="100" t="e">
        <f t="shared" ca="1" si="14"/>
        <v>#NAME?</v>
      </c>
      <c r="G103" s="100" t="e">
        <f t="shared" ca="1" si="15"/>
        <v>#NAME?</v>
      </c>
      <c r="H103" s="100" t="e">
        <f t="shared" ca="1" si="16"/>
        <v>#NAME?</v>
      </c>
      <c r="I103" s="100" t="e">
        <f t="shared" ca="1" si="17"/>
        <v>#NAME?</v>
      </c>
      <c r="J103" s="100" t="e">
        <f ca="1">IFERROR(__xludf.DUMMYFUNCTION("""COMPUTED_VALUE"""),"0")</f>
        <v>#NAME?</v>
      </c>
      <c r="K103" s="100" t="e">
        <f t="shared" ca="1" si="18"/>
        <v>#NAME?</v>
      </c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 spans="1:26">
      <c r="A104" s="100" t="e">
        <f ca="1">IFERROR(__xludf.DUMMYFUNCTION("""COMPUTED_VALUE"""),58783439)</f>
        <v>#NAME?</v>
      </c>
      <c r="B104" s="100" t="e">
        <f ca="1">IFERROR(__xludf.DUMMYFUNCTION("""COMPUTED_VALUE"""),"VENBTC")</f>
        <v>#NAME?</v>
      </c>
      <c r="C104" s="100" t="e">
        <f ca="1">IFERROR(__xludf.DUMMYFUNCTION("""COMPUTED_VALUE"""),"0.00000000")</f>
        <v>#NAME?</v>
      </c>
      <c r="D104" s="100" t="e">
        <f t="shared" ca="1" si="21"/>
        <v>#NAME?</v>
      </c>
      <c r="E104" s="100" t="e">
        <f t="shared" ca="1" si="21"/>
        <v>#NAME?</v>
      </c>
      <c r="F104" s="100" t="e">
        <f t="shared" ca="1" si="14"/>
        <v>#NAME?</v>
      </c>
      <c r="G104" s="100" t="e">
        <f t="shared" ca="1" si="15"/>
        <v>#NAME?</v>
      </c>
      <c r="H104" s="100" t="e">
        <f t="shared" ca="1" si="16"/>
        <v>#NAME?</v>
      </c>
      <c r="I104" s="100" t="e">
        <f t="shared" ca="1" si="17"/>
        <v>#NAME?</v>
      </c>
      <c r="J104" s="100" t="e">
        <f ca="1">IFERROR(__xludf.DUMMYFUNCTION("""COMPUTED_VALUE"""),"0")</f>
        <v>#NAME?</v>
      </c>
      <c r="K104" s="100" t="e">
        <f t="shared" ca="1" si="18"/>
        <v>#NAME?</v>
      </c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 spans="1:26">
      <c r="A105" s="100" t="e">
        <f ca="1">IFERROR(__xludf.DUMMYFUNCTION("""COMPUTED_VALUE"""),58783440)</f>
        <v>#NAME?</v>
      </c>
      <c r="B105" s="100" t="e">
        <f ca="1">IFERROR(__xludf.DUMMYFUNCTION("""COMPUTED_VALUE"""),"VENETH")</f>
        <v>#NAME?</v>
      </c>
      <c r="C105" s="100" t="e">
        <f ca="1">IFERROR(__xludf.DUMMYFUNCTION("""COMPUTED_VALUE"""),"0.00000000")</f>
        <v>#NAME?</v>
      </c>
      <c r="D105" s="100" t="e">
        <f t="shared" ca="1" si="21"/>
        <v>#NAME?</v>
      </c>
      <c r="E105" s="100" t="e">
        <f t="shared" ca="1" si="21"/>
        <v>#NAME?</v>
      </c>
      <c r="F105" s="100" t="e">
        <f t="shared" ca="1" si="14"/>
        <v>#NAME?</v>
      </c>
      <c r="G105" s="100" t="e">
        <f t="shared" ca="1" si="15"/>
        <v>#NAME?</v>
      </c>
      <c r="H105" s="100" t="e">
        <f t="shared" ca="1" si="16"/>
        <v>#NAME?</v>
      </c>
      <c r="I105" s="100" t="e">
        <f t="shared" ca="1" si="17"/>
        <v>#NAME?</v>
      </c>
      <c r="J105" s="100" t="e">
        <f ca="1">IFERROR(__xludf.DUMMYFUNCTION("""COMPUTED_VALUE"""),"0")</f>
        <v>#NAME?</v>
      </c>
      <c r="K105" s="100" t="e">
        <f t="shared" ca="1" si="18"/>
        <v>#NAME?</v>
      </c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 spans="1:26">
      <c r="A106" s="100" t="e">
        <f ca="1">IFERROR(__xludf.DUMMYFUNCTION("""COMPUTED_VALUE"""),58783441)</f>
        <v>#NAME?</v>
      </c>
      <c r="B106" s="100" t="e">
        <f ca="1">IFERROR(__xludf.DUMMYFUNCTION("""COMPUTED_VALUE"""),"KMDBTC")</f>
        <v>#NAME?</v>
      </c>
      <c r="C106" s="100" t="e">
        <f ca="1">IFERROR(__xludf.DUMMYFUNCTION("""COMPUTED_VALUE"""),"0.00000154")</f>
        <v>#NAME?</v>
      </c>
      <c r="D106" s="100" t="e">
        <f t="shared" ca="1" si="21"/>
        <v>#NAME?</v>
      </c>
      <c r="E106" s="100" t="e">
        <f t="shared" ca="1" si="21"/>
        <v>#NAME?</v>
      </c>
      <c r="F106" s="100" t="e">
        <f t="shared" ca="1" si="14"/>
        <v>#NAME?</v>
      </c>
      <c r="G106" s="100" t="e">
        <f t="shared" ca="1" si="15"/>
        <v>#NAME?</v>
      </c>
      <c r="H106" s="100" t="e">
        <f t="shared" ca="1" si="16"/>
        <v>#NAME?</v>
      </c>
      <c r="I106" s="100" t="e">
        <f t="shared" ca="1" si="17"/>
        <v>#NAME?</v>
      </c>
      <c r="J106" s="100" t="e">
        <f ca="1">IFERROR(__xludf.DUMMYFUNCTION("""COMPUTED_VALUE"""),"-4.938")</f>
        <v>#NAME?</v>
      </c>
      <c r="K106" s="100" t="e">
        <f t="shared" ca="1" si="18"/>
        <v>#NAME?</v>
      </c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 spans="1:26">
      <c r="A107" s="100" t="e">
        <f ca="1">IFERROR(__xludf.DUMMYFUNCTION("""COMPUTED_VALUE"""),58783442)</f>
        <v>#NAME?</v>
      </c>
      <c r="B107" s="100" t="e">
        <f ca="1">IFERROR(__xludf.DUMMYFUNCTION("""COMPUTED_VALUE"""),"KMDETH")</f>
        <v>#NAME?</v>
      </c>
      <c r="C107" s="100" t="e">
        <f ca="1">IFERROR(__xludf.DUMMYFUNCTION("""COMPUTED_VALUE"""),"0.00000000")</f>
        <v>#NAME?</v>
      </c>
      <c r="D107" s="100" t="e">
        <f t="shared" ca="1" si="21"/>
        <v>#NAME?</v>
      </c>
      <c r="E107" s="100" t="e">
        <f t="shared" ca="1" si="21"/>
        <v>#NAME?</v>
      </c>
      <c r="F107" s="100" t="e">
        <f t="shared" ca="1" si="14"/>
        <v>#NAME?</v>
      </c>
      <c r="G107" s="100" t="e">
        <f t="shared" ca="1" si="15"/>
        <v>#NAME?</v>
      </c>
      <c r="H107" s="100" t="e">
        <f t="shared" ca="1" si="16"/>
        <v>#NAME?</v>
      </c>
      <c r="I107" s="100" t="e">
        <f t="shared" ca="1" si="17"/>
        <v>#NAME?</v>
      </c>
      <c r="J107" s="100" t="e">
        <f ca="1">IFERROR(__xludf.DUMMYFUNCTION("""COMPUTED_VALUE"""),"0")</f>
        <v>#NAME?</v>
      </c>
      <c r="K107" s="100" t="e">
        <f t="shared" ca="1" si="18"/>
        <v>#NAME?</v>
      </c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 spans="1:26">
      <c r="A108" s="100" t="e">
        <f ca="1">IFERROR(__xludf.DUMMYFUNCTION("""COMPUTED_VALUE"""),58783443)</f>
        <v>#NAME?</v>
      </c>
      <c r="B108" s="100" t="e">
        <f ca="1">IFERROR(__xludf.DUMMYFUNCTION("""COMPUTED_VALUE"""),"NULSBNB")</f>
        <v>#NAME?</v>
      </c>
      <c r="C108" s="100" t="e">
        <f ca="1">IFERROR(__xludf.DUMMYFUNCTION("""COMPUTED_VALUE"""),"0.00000000")</f>
        <v>#NAME?</v>
      </c>
      <c r="D108" s="100" t="e">
        <f t="shared" ca="1" si="21"/>
        <v>#NAME?</v>
      </c>
      <c r="E108" s="100" t="e">
        <f t="shared" ca="1" si="21"/>
        <v>#NAME?</v>
      </c>
      <c r="F108" s="100" t="e">
        <f t="shared" ca="1" si="14"/>
        <v>#NAME?</v>
      </c>
      <c r="G108" s="100" t="e">
        <f t="shared" ca="1" si="15"/>
        <v>#NAME?</v>
      </c>
      <c r="H108" s="100" t="e">
        <f t="shared" ca="1" si="16"/>
        <v>#NAME?</v>
      </c>
      <c r="I108" s="100" t="e">
        <f t="shared" ca="1" si="17"/>
        <v>#NAME?</v>
      </c>
      <c r="J108" s="100" t="e">
        <f ca="1">IFERROR(__xludf.DUMMYFUNCTION("""COMPUTED_VALUE"""),"0")</f>
        <v>#NAME?</v>
      </c>
      <c r="K108" s="100" t="e">
        <f t="shared" ca="1" si="18"/>
        <v>#NAME?</v>
      </c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 spans="1:26">
      <c r="A109" s="100" t="e">
        <f ca="1">IFERROR(__xludf.DUMMYFUNCTION("""COMPUTED_VALUE"""),58783444)</f>
        <v>#NAME?</v>
      </c>
      <c r="B109" s="100" t="e">
        <f ca="1">IFERROR(__xludf.DUMMYFUNCTION("""COMPUTED_VALUE"""),"RCNBTC")</f>
        <v>#NAME?</v>
      </c>
      <c r="C109" s="100" t="e">
        <f ca="1">IFERROR(__xludf.DUMMYFUNCTION("""COMPUTED_VALUE"""),"0.00000000")</f>
        <v>#NAME?</v>
      </c>
      <c r="D109" s="100" t="e">
        <f t="shared" ca="1" si="21"/>
        <v>#NAME?</v>
      </c>
      <c r="E109" s="100" t="e">
        <f t="shared" ca="1" si="21"/>
        <v>#NAME?</v>
      </c>
      <c r="F109" s="100" t="e">
        <f t="shared" ca="1" si="14"/>
        <v>#NAME?</v>
      </c>
      <c r="G109" s="100" t="e">
        <f t="shared" ca="1" si="15"/>
        <v>#NAME?</v>
      </c>
      <c r="H109" s="100" t="e">
        <f t="shared" ca="1" si="16"/>
        <v>#NAME?</v>
      </c>
      <c r="I109" s="100" t="e">
        <f t="shared" ca="1" si="17"/>
        <v>#NAME?</v>
      </c>
      <c r="J109" s="100" t="e">
        <f ca="1">IFERROR(__xludf.DUMMYFUNCTION("""COMPUTED_VALUE"""),"0")</f>
        <v>#NAME?</v>
      </c>
      <c r="K109" s="100" t="e">
        <f t="shared" ca="1" si="18"/>
        <v>#NAME?</v>
      </c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 spans="1:26">
      <c r="A110" s="100" t="e">
        <f ca="1">IFERROR(__xludf.DUMMYFUNCTION("""COMPUTED_VALUE"""),58783445)</f>
        <v>#NAME?</v>
      </c>
      <c r="B110" s="100" t="e">
        <f ca="1">IFERROR(__xludf.DUMMYFUNCTION("""COMPUTED_VALUE"""),"RCNETH")</f>
        <v>#NAME?</v>
      </c>
      <c r="C110" s="100" t="e">
        <f ca="1">IFERROR(__xludf.DUMMYFUNCTION("""COMPUTED_VALUE"""),"0.00000000")</f>
        <v>#NAME?</v>
      </c>
      <c r="D110" s="100" t="e">
        <f t="shared" ca="1" si="21"/>
        <v>#NAME?</v>
      </c>
      <c r="E110" s="100" t="e">
        <f t="shared" ca="1" si="21"/>
        <v>#NAME?</v>
      </c>
      <c r="F110" s="100" t="e">
        <f t="shared" ca="1" si="14"/>
        <v>#NAME?</v>
      </c>
      <c r="G110" s="100" t="e">
        <f t="shared" ca="1" si="15"/>
        <v>#NAME?</v>
      </c>
      <c r="H110" s="100" t="e">
        <f t="shared" ca="1" si="16"/>
        <v>#NAME?</v>
      </c>
      <c r="I110" s="100" t="e">
        <f t="shared" ca="1" si="17"/>
        <v>#NAME?</v>
      </c>
      <c r="J110" s="100" t="e">
        <f ca="1">IFERROR(__xludf.DUMMYFUNCTION("""COMPUTED_VALUE"""),"0")</f>
        <v>#NAME?</v>
      </c>
      <c r="K110" s="100" t="e">
        <f t="shared" ca="1" si="18"/>
        <v>#NAME?</v>
      </c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 spans="1:26">
      <c r="A111" s="100" t="e">
        <f ca="1">IFERROR(__xludf.DUMMYFUNCTION("""COMPUTED_VALUE"""),58783446)</f>
        <v>#NAME?</v>
      </c>
      <c r="B111" s="100" t="e">
        <f ca="1">IFERROR(__xludf.DUMMYFUNCTION("""COMPUTED_VALUE"""),"RCNBNB")</f>
        <v>#NAME?</v>
      </c>
      <c r="C111" s="100" t="e">
        <f ca="1">IFERROR(__xludf.DUMMYFUNCTION("""COMPUTED_VALUE"""),"0.00000000")</f>
        <v>#NAME?</v>
      </c>
      <c r="D111" s="100" t="e">
        <f t="shared" ca="1" si="21"/>
        <v>#NAME?</v>
      </c>
      <c r="E111" s="100" t="e">
        <f t="shared" ca="1" si="21"/>
        <v>#NAME?</v>
      </c>
      <c r="F111" s="100" t="e">
        <f t="shared" ca="1" si="14"/>
        <v>#NAME?</v>
      </c>
      <c r="G111" s="100" t="e">
        <f t="shared" ca="1" si="15"/>
        <v>#NAME?</v>
      </c>
      <c r="H111" s="100" t="e">
        <f t="shared" ca="1" si="16"/>
        <v>#NAME?</v>
      </c>
      <c r="I111" s="100" t="e">
        <f t="shared" ca="1" si="17"/>
        <v>#NAME?</v>
      </c>
      <c r="J111" s="100" t="e">
        <f ca="1">IFERROR(__xludf.DUMMYFUNCTION("""COMPUTED_VALUE"""),"0")</f>
        <v>#NAME?</v>
      </c>
      <c r="K111" s="100" t="e">
        <f t="shared" ca="1" si="18"/>
        <v>#NAME?</v>
      </c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 spans="1:26">
      <c r="A112" s="100" t="e">
        <f ca="1">IFERROR(__xludf.DUMMYFUNCTION("""COMPUTED_VALUE"""),58783447)</f>
        <v>#NAME?</v>
      </c>
      <c r="B112" s="100" t="e">
        <f ca="1">IFERROR(__xludf.DUMMYFUNCTION("""COMPUTED_VALUE"""),"NULSBTC")</f>
        <v>#NAME?</v>
      </c>
      <c r="C112" s="100" t="e">
        <f ca="1">IFERROR(__xludf.DUMMYFUNCTION("""COMPUTED_VALUE"""),"0.00000030")</f>
        <v>#NAME?</v>
      </c>
      <c r="D112" s="100" t="e">
        <f t="shared" ca="1" si="21"/>
        <v>#NAME?</v>
      </c>
      <c r="E112" s="100" t="e">
        <f t="shared" ca="1" si="21"/>
        <v>#NAME?</v>
      </c>
      <c r="F112" s="100" t="e">
        <f t="shared" ca="1" si="14"/>
        <v>#NAME?</v>
      </c>
      <c r="G112" s="100" t="e">
        <f t="shared" ca="1" si="15"/>
        <v>#NAME?</v>
      </c>
      <c r="H112" s="100" t="e">
        <f t="shared" ca="1" si="16"/>
        <v>#NAME?</v>
      </c>
      <c r="I112" s="100" t="e">
        <f t="shared" ca="1" si="17"/>
        <v>#NAME?</v>
      </c>
      <c r="J112" s="100" t="e">
        <f ca="1">IFERROR(__xludf.DUMMYFUNCTION("""COMPUTED_VALUE"""),"-11.765")</f>
        <v>#NAME?</v>
      </c>
      <c r="K112" s="100" t="e">
        <f t="shared" ca="1" si="18"/>
        <v>#NAME?</v>
      </c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 spans="1:26">
      <c r="A113" s="100" t="e">
        <f ca="1">IFERROR(__xludf.DUMMYFUNCTION("""COMPUTED_VALUE"""),58783448)</f>
        <v>#NAME?</v>
      </c>
      <c r="B113" s="100" t="e">
        <f ca="1">IFERROR(__xludf.DUMMYFUNCTION("""COMPUTED_VALUE"""),"NULSETH")</f>
        <v>#NAME?</v>
      </c>
      <c r="C113" s="100" t="e">
        <f ca="1">IFERROR(__xludf.DUMMYFUNCTION("""COMPUTED_VALUE"""),"0.00000000")</f>
        <v>#NAME?</v>
      </c>
      <c r="D113" s="100" t="e">
        <f t="shared" ca="1" si="21"/>
        <v>#NAME?</v>
      </c>
      <c r="E113" s="100" t="e">
        <f t="shared" ca="1" si="21"/>
        <v>#NAME?</v>
      </c>
      <c r="F113" s="100" t="e">
        <f t="shared" ca="1" si="14"/>
        <v>#NAME?</v>
      </c>
      <c r="G113" s="100" t="e">
        <f t="shared" ca="1" si="15"/>
        <v>#NAME?</v>
      </c>
      <c r="H113" s="100" t="e">
        <f t="shared" ca="1" si="16"/>
        <v>#NAME?</v>
      </c>
      <c r="I113" s="100" t="e">
        <f t="shared" ca="1" si="17"/>
        <v>#NAME?</v>
      </c>
      <c r="J113" s="100" t="e">
        <f t="shared" ref="J113:J128" ca="1" si="22">IFERROR(__xludf.DUMMYFUNCTION("""COMPUTED_VALUE"""),"0")</f>
        <v>#NAME?</v>
      </c>
      <c r="K113" s="100" t="e">
        <f t="shared" ca="1" si="18"/>
        <v>#NAME?</v>
      </c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 spans="1:26">
      <c r="A114" s="100" t="e">
        <f ca="1">IFERROR(__xludf.DUMMYFUNCTION("""COMPUTED_VALUE"""),58783449)</f>
        <v>#NAME?</v>
      </c>
      <c r="B114" s="100" t="e">
        <f ca="1">IFERROR(__xludf.DUMMYFUNCTION("""COMPUTED_VALUE"""),"RDNBTC")</f>
        <v>#NAME?</v>
      </c>
      <c r="C114" s="100" t="e">
        <f ca="1">IFERROR(__xludf.DUMMYFUNCTION("""COMPUTED_VALUE"""),"0.00000000")</f>
        <v>#NAME?</v>
      </c>
      <c r="D114" s="100" t="e">
        <f t="shared" ca="1" si="21"/>
        <v>#NAME?</v>
      </c>
      <c r="E114" s="100" t="e">
        <f t="shared" ca="1" si="21"/>
        <v>#NAME?</v>
      </c>
      <c r="F114" s="100" t="e">
        <f t="shared" ca="1" si="14"/>
        <v>#NAME?</v>
      </c>
      <c r="G114" s="100" t="e">
        <f t="shared" ca="1" si="15"/>
        <v>#NAME?</v>
      </c>
      <c r="H114" s="100" t="e">
        <f t="shared" ca="1" si="16"/>
        <v>#NAME?</v>
      </c>
      <c r="I114" s="100" t="e">
        <f t="shared" ca="1" si="17"/>
        <v>#NAME?</v>
      </c>
      <c r="J114" s="100" t="e">
        <f t="shared" ca="1" si="22"/>
        <v>#NAME?</v>
      </c>
      <c r="K114" s="100" t="e">
        <f t="shared" ca="1" si="18"/>
        <v>#NAME?</v>
      </c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 spans="1:26">
      <c r="A115" s="100" t="e">
        <f ca="1">IFERROR(__xludf.DUMMYFUNCTION("""COMPUTED_VALUE"""),58783450)</f>
        <v>#NAME?</v>
      </c>
      <c r="B115" s="100" t="e">
        <f ca="1">IFERROR(__xludf.DUMMYFUNCTION("""COMPUTED_VALUE"""),"RDNETH")</f>
        <v>#NAME?</v>
      </c>
      <c r="C115" s="100" t="e">
        <f ca="1">IFERROR(__xludf.DUMMYFUNCTION("""COMPUTED_VALUE"""),"0.00000000")</f>
        <v>#NAME?</v>
      </c>
      <c r="D115" s="100" t="e">
        <f t="shared" ca="1" si="21"/>
        <v>#NAME?</v>
      </c>
      <c r="E115" s="100" t="e">
        <f t="shared" ca="1" si="21"/>
        <v>#NAME?</v>
      </c>
      <c r="F115" s="100" t="e">
        <f t="shared" ca="1" si="14"/>
        <v>#NAME?</v>
      </c>
      <c r="G115" s="100" t="e">
        <f t="shared" ca="1" si="15"/>
        <v>#NAME?</v>
      </c>
      <c r="H115" s="100" t="e">
        <f t="shared" ca="1" si="16"/>
        <v>#NAME?</v>
      </c>
      <c r="I115" s="100" t="e">
        <f t="shared" ca="1" si="17"/>
        <v>#NAME?</v>
      </c>
      <c r="J115" s="100" t="e">
        <f t="shared" ca="1" si="22"/>
        <v>#NAME?</v>
      </c>
      <c r="K115" s="100" t="e">
        <f t="shared" ca="1" si="18"/>
        <v>#NAME?</v>
      </c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 spans="1:26">
      <c r="A116" s="100" t="e">
        <f ca="1">IFERROR(__xludf.DUMMYFUNCTION("""COMPUTED_VALUE"""),58783451)</f>
        <v>#NAME?</v>
      </c>
      <c r="B116" s="100" t="e">
        <f ca="1">IFERROR(__xludf.DUMMYFUNCTION("""COMPUTED_VALUE"""),"RDNBNB")</f>
        <v>#NAME?</v>
      </c>
      <c r="C116" s="100" t="e">
        <f ca="1">IFERROR(__xludf.DUMMYFUNCTION("""COMPUTED_VALUE"""),"0.00000000")</f>
        <v>#NAME?</v>
      </c>
      <c r="D116" s="100" t="e">
        <f t="shared" ca="1" si="21"/>
        <v>#NAME?</v>
      </c>
      <c r="E116" s="100" t="e">
        <f t="shared" ca="1" si="21"/>
        <v>#NAME?</v>
      </c>
      <c r="F116" s="100" t="e">
        <f t="shared" ca="1" si="14"/>
        <v>#NAME?</v>
      </c>
      <c r="G116" s="100" t="e">
        <f t="shared" ca="1" si="15"/>
        <v>#NAME?</v>
      </c>
      <c r="H116" s="100" t="e">
        <f t="shared" ca="1" si="16"/>
        <v>#NAME?</v>
      </c>
      <c r="I116" s="100" t="e">
        <f t="shared" ca="1" si="17"/>
        <v>#NAME?</v>
      </c>
      <c r="J116" s="100" t="e">
        <f t="shared" ca="1" si="22"/>
        <v>#NAME?</v>
      </c>
      <c r="K116" s="100" t="e">
        <f t="shared" ca="1" si="18"/>
        <v>#NAME?</v>
      </c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 spans="1:26">
      <c r="A117" s="100" t="e">
        <f ca="1">IFERROR(__xludf.DUMMYFUNCTION("""COMPUTED_VALUE"""),58783452)</f>
        <v>#NAME?</v>
      </c>
      <c r="B117" s="100" t="e">
        <f ca="1">IFERROR(__xludf.DUMMYFUNCTION("""COMPUTED_VALUE"""),"XMRBTC")</f>
        <v>#NAME?</v>
      </c>
      <c r="C117" s="100" t="e">
        <f ca="1">IFERROR(__xludf.DUMMYFUNCTION("""COMPUTED_VALUE"""),"0.00228700")</f>
        <v>#NAME?</v>
      </c>
      <c r="D117" s="100" t="e">
        <f t="shared" ca="1" si="21"/>
        <v>#NAME?</v>
      </c>
      <c r="E117" s="100" t="e">
        <f t="shared" ca="1" si="21"/>
        <v>#NAME?</v>
      </c>
      <c r="F117" s="100" t="e">
        <f t="shared" ca="1" si="14"/>
        <v>#NAME?</v>
      </c>
      <c r="G117" s="100" t="e">
        <f t="shared" ca="1" si="15"/>
        <v>#NAME?</v>
      </c>
      <c r="H117" s="100" t="e">
        <f t="shared" ca="1" si="16"/>
        <v>#NAME?</v>
      </c>
      <c r="I117" s="100" t="e">
        <f t="shared" ca="1" si="17"/>
        <v>#NAME?</v>
      </c>
      <c r="J117" s="100" t="e">
        <f t="shared" ca="1" si="22"/>
        <v>#NAME?</v>
      </c>
      <c r="K117" s="100" t="e">
        <f t="shared" ca="1" si="18"/>
        <v>#NAME?</v>
      </c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 spans="1:26">
      <c r="A118" s="100" t="e">
        <f ca="1">IFERROR(__xludf.DUMMYFUNCTION("""COMPUTED_VALUE"""),58783453)</f>
        <v>#NAME?</v>
      </c>
      <c r="B118" s="100" t="e">
        <f ca="1">IFERROR(__xludf.DUMMYFUNCTION("""COMPUTED_VALUE"""),"XMRETH")</f>
        <v>#NAME?</v>
      </c>
      <c r="C118" s="100" t="e">
        <f ca="1">IFERROR(__xludf.DUMMYFUNCTION("""COMPUTED_VALUE"""),"0.04032000")</f>
        <v>#NAME?</v>
      </c>
      <c r="D118" s="100" t="e">
        <f t="shared" ca="1" si="21"/>
        <v>#NAME?</v>
      </c>
      <c r="E118" s="100" t="e">
        <f t="shared" ca="1" si="21"/>
        <v>#NAME?</v>
      </c>
      <c r="F118" s="100" t="e">
        <f t="shared" ca="1" si="14"/>
        <v>#NAME?</v>
      </c>
      <c r="G118" s="100" t="e">
        <f t="shared" ca="1" si="15"/>
        <v>#NAME?</v>
      </c>
      <c r="H118" s="100" t="e">
        <f t="shared" ca="1" si="16"/>
        <v>#NAME?</v>
      </c>
      <c r="I118" s="100" t="e">
        <f t="shared" ca="1" si="17"/>
        <v>#NAME?</v>
      </c>
      <c r="J118" s="100" t="e">
        <f t="shared" ca="1" si="22"/>
        <v>#NAME?</v>
      </c>
      <c r="K118" s="100" t="e">
        <f t="shared" ca="1" si="18"/>
        <v>#NAME?</v>
      </c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 spans="1:26">
      <c r="A119" s="100" t="e">
        <f ca="1">IFERROR(__xludf.DUMMYFUNCTION("""COMPUTED_VALUE"""),58783454)</f>
        <v>#NAME?</v>
      </c>
      <c r="B119" s="100" t="e">
        <f ca="1">IFERROR(__xludf.DUMMYFUNCTION("""COMPUTED_VALUE"""),"DLTBNB")</f>
        <v>#NAME?</v>
      </c>
      <c r="C119" s="100" t="e">
        <f ca="1">IFERROR(__xludf.DUMMYFUNCTION("""COMPUTED_VALUE"""),"0.00000000")</f>
        <v>#NAME?</v>
      </c>
      <c r="D119" s="100" t="e">
        <f t="shared" ca="1" si="21"/>
        <v>#NAME?</v>
      </c>
      <c r="E119" s="100" t="e">
        <f t="shared" ca="1" si="21"/>
        <v>#NAME?</v>
      </c>
      <c r="F119" s="100" t="e">
        <f t="shared" ca="1" si="14"/>
        <v>#NAME?</v>
      </c>
      <c r="G119" s="100" t="e">
        <f t="shared" ca="1" si="15"/>
        <v>#NAME?</v>
      </c>
      <c r="H119" s="100" t="e">
        <f t="shared" ca="1" si="16"/>
        <v>#NAME?</v>
      </c>
      <c r="I119" s="100" t="e">
        <f t="shared" ca="1" si="17"/>
        <v>#NAME?</v>
      </c>
      <c r="J119" s="100" t="e">
        <f t="shared" ca="1" si="22"/>
        <v>#NAME?</v>
      </c>
      <c r="K119" s="100" t="e">
        <f t="shared" ca="1" si="18"/>
        <v>#NAME?</v>
      </c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 spans="1:26">
      <c r="A120" s="100" t="e">
        <f ca="1">IFERROR(__xludf.DUMMYFUNCTION("""COMPUTED_VALUE"""),58783455)</f>
        <v>#NAME?</v>
      </c>
      <c r="B120" s="100" t="e">
        <f ca="1">IFERROR(__xludf.DUMMYFUNCTION("""COMPUTED_VALUE"""),"WTCBNB")</f>
        <v>#NAME?</v>
      </c>
      <c r="C120" s="100" t="e">
        <f ca="1">IFERROR(__xludf.DUMMYFUNCTION("""COMPUTED_VALUE"""),"0.00000000")</f>
        <v>#NAME?</v>
      </c>
      <c r="D120" s="100" t="e">
        <f t="shared" ca="1" si="21"/>
        <v>#NAME?</v>
      </c>
      <c r="E120" s="100" t="e">
        <f t="shared" ca="1" si="21"/>
        <v>#NAME?</v>
      </c>
      <c r="F120" s="100" t="e">
        <f t="shared" ca="1" si="14"/>
        <v>#NAME?</v>
      </c>
      <c r="G120" s="100" t="e">
        <f t="shared" ca="1" si="15"/>
        <v>#NAME?</v>
      </c>
      <c r="H120" s="100" t="e">
        <f t="shared" ca="1" si="16"/>
        <v>#NAME?</v>
      </c>
      <c r="I120" s="100" t="e">
        <f t="shared" ca="1" si="17"/>
        <v>#NAME?</v>
      </c>
      <c r="J120" s="100" t="e">
        <f t="shared" ca="1" si="22"/>
        <v>#NAME?</v>
      </c>
      <c r="K120" s="100" t="e">
        <f t="shared" ca="1" si="18"/>
        <v>#NAME?</v>
      </c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 spans="1:26">
      <c r="A121" s="100" t="e">
        <f ca="1">IFERROR(__xludf.DUMMYFUNCTION("""COMPUTED_VALUE"""),58783456)</f>
        <v>#NAME?</v>
      </c>
      <c r="B121" s="100" t="e">
        <f ca="1">IFERROR(__xludf.DUMMYFUNCTION("""COMPUTED_VALUE"""),"DLTBTC")</f>
        <v>#NAME?</v>
      </c>
      <c r="C121" s="100" t="e">
        <f ca="1">IFERROR(__xludf.DUMMYFUNCTION("""COMPUTED_VALUE"""),"0.00000000")</f>
        <v>#NAME?</v>
      </c>
      <c r="D121" s="100" t="e">
        <f t="shared" ca="1" si="21"/>
        <v>#NAME?</v>
      </c>
      <c r="E121" s="100" t="e">
        <f t="shared" ca="1" si="21"/>
        <v>#NAME?</v>
      </c>
      <c r="F121" s="100" t="e">
        <f t="shared" ca="1" si="14"/>
        <v>#NAME?</v>
      </c>
      <c r="G121" s="100" t="e">
        <f t="shared" ca="1" si="15"/>
        <v>#NAME?</v>
      </c>
      <c r="H121" s="100" t="e">
        <f t="shared" ca="1" si="16"/>
        <v>#NAME?</v>
      </c>
      <c r="I121" s="100" t="e">
        <f t="shared" ca="1" si="17"/>
        <v>#NAME?</v>
      </c>
      <c r="J121" s="100" t="e">
        <f t="shared" ca="1" si="22"/>
        <v>#NAME?</v>
      </c>
      <c r="K121" s="100" t="e">
        <f t="shared" ca="1" si="18"/>
        <v>#NAME?</v>
      </c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 spans="1:26">
      <c r="A122" s="100" t="e">
        <f ca="1">IFERROR(__xludf.DUMMYFUNCTION("""COMPUTED_VALUE"""),58783457)</f>
        <v>#NAME?</v>
      </c>
      <c r="B122" s="100" t="e">
        <f ca="1">IFERROR(__xludf.DUMMYFUNCTION("""COMPUTED_VALUE"""),"DLTETH")</f>
        <v>#NAME?</v>
      </c>
      <c r="C122" s="100" t="e">
        <f ca="1">IFERROR(__xludf.DUMMYFUNCTION("""COMPUTED_VALUE"""),"0.00000000")</f>
        <v>#NAME?</v>
      </c>
      <c r="D122" s="100" t="e">
        <f t="shared" ref="D122:E141" ca="1" si="23">IFERROR(__xludf.DUMMYFUNCTION("""COMPUTED_VALUE"""),"-")</f>
        <v>#NAME?</v>
      </c>
      <c r="E122" s="100" t="e">
        <f t="shared" ca="1" si="23"/>
        <v>#NAME?</v>
      </c>
      <c r="F122" s="100" t="e">
        <f t="shared" ca="1" si="14"/>
        <v>#NAME?</v>
      </c>
      <c r="G122" s="100" t="e">
        <f t="shared" ca="1" si="15"/>
        <v>#NAME?</v>
      </c>
      <c r="H122" s="100" t="e">
        <f t="shared" ca="1" si="16"/>
        <v>#NAME?</v>
      </c>
      <c r="I122" s="100" t="e">
        <f t="shared" ca="1" si="17"/>
        <v>#NAME?</v>
      </c>
      <c r="J122" s="100" t="e">
        <f t="shared" ca="1" si="22"/>
        <v>#NAME?</v>
      </c>
      <c r="K122" s="100" t="e">
        <f t="shared" ca="1" si="18"/>
        <v>#NAME?</v>
      </c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 spans="1:26">
      <c r="A123" s="100" t="e">
        <f ca="1">IFERROR(__xludf.DUMMYFUNCTION("""COMPUTED_VALUE"""),58783458)</f>
        <v>#NAME?</v>
      </c>
      <c r="B123" s="100" t="e">
        <f ca="1">IFERROR(__xludf.DUMMYFUNCTION("""COMPUTED_VALUE"""),"AMBBTC")</f>
        <v>#NAME?</v>
      </c>
      <c r="C123" s="100" t="e">
        <f ca="1">IFERROR(__xludf.DUMMYFUNCTION("""COMPUTED_VALUE"""),"0.00000010")</f>
        <v>#NAME?</v>
      </c>
      <c r="D123" s="100" t="e">
        <f t="shared" ca="1" si="23"/>
        <v>#NAME?</v>
      </c>
      <c r="E123" s="100" t="e">
        <f t="shared" ca="1" si="23"/>
        <v>#NAME?</v>
      </c>
      <c r="F123" s="100" t="e">
        <f t="shared" ca="1" si="14"/>
        <v>#NAME?</v>
      </c>
      <c r="G123" s="100" t="e">
        <f t="shared" ca="1" si="15"/>
        <v>#NAME?</v>
      </c>
      <c r="H123" s="100" t="e">
        <f t="shared" ca="1" si="16"/>
        <v>#NAME?</v>
      </c>
      <c r="I123" s="100" t="e">
        <f t="shared" ca="1" si="17"/>
        <v>#NAME?</v>
      </c>
      <c r="J123" s="100" t="e">
        <f t="shared" ca="1" si="22"/>
        <v>#NAME?</v>
      </c>
      <c r="K123" s="100" t="e">
        <f t="shared" ca="1" si="18"/>
        <v>#NAME?</v>
      </c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 spans="1:26">
      <c r="A124" s="100" t="e">
        <f ca="1">IFERROR(__xludf.DUMMYFUNCTION("""COMPUTED_VALUE"""),58783459)</f>
        <v>#NAME?</v>
      </c>
      <c r="B124" s="100" t="e">
        <f ca="1">IFERROR(__xludf.DUMMYFUNCTION("""COMPUTED_VALUE"""),"AMBETH")</f>
        <v>#NAME?</v>
      </c>
      <c r="C124" s="100" t="e">
        <f ca="1">IFERROR(__xludf.DUMMYFUNCTION("""COMPUTED_VALUE"""),"0.00000000")</f>
        <v>#NAME?</v>
      </c>
      <c r="D124" s="100" t="e">
        <f t="shared" ca="1" si="23"/>
        <v>#NAME?</v>
      </c>
      <c r="E124" s="100" t="e">
        <f t="shared" ca="1" si="23"/>
        <v>#NAME?</v>
      </c>
      <c r="F124" s="100" t="e">
        <f t="shared" ca="1" si="14"/>
        <v>#NAME?</v>
      </c>
      <c r="G124" s="100" t="e">
        <f t="shared" ca="1" si="15"/>
        <v>#NAME?</v>
      </c>
      <c r="H124" s="100" t="e">
        <f t="shared" ca="1" si="16"/>
        <v>#NAME?</v>
      </c>
      <c r="I124" s="100" t="e">
        <f t="shared" ca="1" si="17"/>
        <v>#NAME?</v>
      </c>
      <c r="J124" s="100" t="e">
        <f t="shared" ca="1" si="22"/>
        <v>#NAME?</v>
      </c>
      <c r="K124" s="100" t="e">
        <f t="shared" ca="1" si="18"/>
        <v>#NAME?</v>
      </c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 spans="1:26">
      <c r="A125" s="100" t="e">
        <f ca="1">IFERROR(__xludf.DUMMYFUNCTION("""COMPUTED_VALUE"""),58783460)</f>
        <v>#NAME?</v>
      </c>
      <c r="B125" s="100" t="e">
        <f ca="1">IFERROR(__xludf.DUMMYFUNCTION("""COMPUTED_VALUE"""),"AMBBNB")</f>
        <v>#NAME?</v>
      </c>
      <c r="C125" s="100" t="e">
        <f ca="1">IFERROR(__xludf.DUMMYFUNCTION("""COMPUTED_VALUE"""),"0.00000000")</f>
        <v>#NAME?</v>
      </c>
      <c r="D125" s="100" t="e">
        <f t="shared" ca="1" si="23"/>
        <v>#NAME?</v>
      </c>
      <c r="E125" s="100" t="e">
        <f t="shared" ca="1" si="23"/>
        <v>#NAME?</v>
      </c>
      <c r="F125" s="100" t="e">
        <f t="shared" ca="1" si="14"/>
        <v>#NAME?</v>
      </c>
      <c r="G125" s="100" t="e">
        <f t="shared" ca="1" si="15"/>
        <v>#NAME?</v>
      </c>
      <c r="H125" s="100" t="e">
        <f t="shared" ca="1" si="16"/>
        <v>#NAME?</v>
      </c>
      <c r="I125" s="100" t="e">
        <f t="shared" ca="1" si="17"/>
        <v>#NAME?</v>
      </c>
      <c r="J125" s="100" t="e">
        <f t="shared" ca="1" si="22"/>
        <v>#NAME?</v>
      </c>
      <c r="K125" s="100" t="e">
        <f t="shared" ca="1" si="18"/>
        <v>#NAME?</v>
      </c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 spans="1:26">
      <c r="A126" s="100" t="e">
        <f ca="1">IFERROR(__xludf.DUMMYFUNCTION("""COMPUTED_VALUE"""),58783461)</f>
        <v>#NAME?</v>
      </c>
      <c r="B126" s="100" t="e">
        <f ca="1">IFERROR(__xludf.DUMMYFUNCTION("""COMPUTED_VALUE"""),"BCCETH")</f>
        <v>#NAME?</v>
      </c>
      <c r="C126" s="100" t="e">
        <f ca="1">IFERROR(__xludf.DUMMYFUNCTION("""COMPUTED_VALUE"""),"0.00000000")</f>
        <v>#NAME?</v>
      </c>
      <c r="D126" s="100" t="e">
        <f t="shared" ca="1" si="23"/>
        <v>#NAME?</v>
      </c>
      <c r="E126" s="100" t="e">
        <f t="shared" ca="1" si="23"/>
        <v>#NAME?</v>
      </c>
      <c r="F126" s="100" t="e">
        <f t="shared" ca="1" si="14"/>
        <v>#NAME?</v>
      </c>
      <c r="G126" s="100" t="e">
        <f t="shared" ca="1" si="15"/>
        <v>#NAME?</v>
      </c>
      <c r="H126" s="100" t="e">
        <f t="shared" ca="1" si="16"/>
        <v>#NAME?</v>
      </c>
      <c r="I126" s="100" t="e">
        <f t="shared" ca="1" si="17"/>
        <v>#NAME?</v>
      </c>
      <c r="J126" s="100" t="e">
        <f t="shared" ca="1" si="22"/>
        <v>#NAME?</v>
      </c>
      <c r="K126" s="100" t="e">
        <f t="shared" ca="1" si="18"/>
        <v>#NAME?</v>
      </c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 spans="1:26">
      <c r="A127" s="100" t="e">
        <f ca="1">IFERROR(__xludf.DUMMYFUNCTION("""COMPUTED_VALUE"""),58783462)</f>
        <v>#NAME?</v>
      </c>
      <c r="B127" s="100" t="e">
        <f ca="1">IFERROR(__xludf.DUMMYFUNCTION("""COMPUTED_VALUE"""),"BCCUSDT")</f>
        <v>#NAME?</v>
      </c>
      <c r="C127" s="100" t="e">
        <f ca="1">IFERROR(__xludf.DUMMYFUNCTION("""COMPUTED_VALUE"""),"0.00000000")</f>
        <v>#NAME?</v>
      </c>
      <c r="D127" s="100" t="e">
        <f t="shared" ca="1" si="23"/>
        <v>#NAME?</v>
      </c>
      <c r="E127" s="100" t="e">
        <f t="shared" ca="1" si="23"/>
        <v>#NAME?</v>
      </c>
      <c r="F127" s="100" t="e">
        <f t="shared" ca="1" si="14"/>
        <v>#NAME?</v>
      </c>
      <c r="G127" s="100" t="e">
        <f t="shared" ca="1" si="15"/>
        <v>#NAME?</v>
      </c>
      <c r="H127" s="100" t="e">
        <f t="shared" ca="1" si="16"/>
        <v>#NAME?</v>
      </c>
      <c r="I127" s="100" t="e">
        <f t="shared" ca="1" si="17"/>
        <v>#NAME?</v>
      </c>
      <c r="J127" s="100" t="e">
        <f t="shared" ca="1" si="22"/>
        <v>#NAME?</v>
      </c>
      <c r="K127" s="100" t="e">
        <f t="shared" ca="1" si="18"/>
        <v>#NAME?</v>
      </c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 spans="1:26">
      <c r="A128" s="100" t="e">
        <f ca="1">IFERROR(__xludf.DUMMYFUNCTION("""COMPUTED_VALUE"""),58783463)</f>
        <v>#NAME?</v>
      </c>
      <c r="B128" s="100" t="e">
        <f ca="1">IFERROR(__xludf.DUMMYFUNCTION("""COMPUTED_VALUE"""),"BCCBNB")</f>
        <v>#NAME?</v>
      </c>
      <c r="C128" s="100" t="e">
        <f ca="1">IFERROR(__xludf.DUMMYFUNCTION("""COMPUTED_VALUE"""),"0.00000000")</f>
        <v>#NAME?</v>
      </c>
      <c r="D128" s="100" t="e">
        <f t="shared" ca="1" si="23"/>
        <v>#NAME?</v>
      </c>
      <c r="E128" s="100" t="e">
        <f t="shared" ca="1" si="23"/>
        <v>#NAME?</v>
      </c>
      <c r="F128" s="100" t="e">
        <f t="shared" ca="1" si="14"/>
        <v>#NAME?</v>
      </c>
      <c r="G128" s="100" t="e">
        <f t="shared" ca="1" si="15"/>
        <v>#NAME?</v>
      </c>
      <c r="H128" s="100" t="e">
        <f t="shared" ca="1" si="16"/>
        <v>#NAME?</v>
      </c>
      <c r="I128" s="100" t="e">
        <f t="shared" ca="1" si="17"/>
        <v>#NAME?</v>
      </c>
      <c r="J128" s="100" t="e">
        <f t="shared" ca="1" si="22"/>
        <v>#NAME?</v>
      </c>
      <c r="K128" s="100" t="e">
        <f t="shared" ca="1" si="18"/>
        <v>#NAME?</v>
      </c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 spans="1:26">
      <c r="A129" s="100" t="e">
        <f ca="1">IFERROR(__xludf.DUMMYFUNCTION("""COMPUTED_VALUE"""),58783464)</f>
        <v>#NAME?</v>
      </c>
      <c r="B129" s="100" t="e">
        <f ca="1">IFERROR(__xludf.DUMMYFUNCTION("""COMPUTED_VALUE"""),"BATBTC")</f>
        <v>#NAME?</v>
      </c>
      <c r="C129" s="100" t="e">
        <f ca="1">IFERROR(__xludf.DUMMYFUNCTION("""COMPUTED_VALUE"""),"0.00000150")</f>
        <v>#NAME?</v>
      </c>
      <c r="D129" s="100" t="e">
        <f t="shared" ca="1" si="23"/>
        <v>#NAME?</v>
      </c>
      <c r="E129" s="100" t="e">
        <f t="shared" ca="1" si="23"/>
        <v>#NAME?</v>
      </c>
      <c r="F129" s="100" t="e">
        <f t="shared" ca="1" si="14"/>
        <v>#NAME?</v>
      </c>
      <c r="G129" s="100" t="e">
        <f t="shared" ca="1" si="15"/>
        <v>#NAME?</v>
      </c>
      <c r="H129" s="100" t="e">
        <f t="shared" ca="1" si="16"/>
        <v>#NAME?</v>
      </c>
      <c r="I129" s="100" t="e">
        <f t="shared" ca="1" si="17"/>
        <v>#NAME?</v>
      </c>
      <c r="J129" s="100" t="e">
        <f ca="1">IFERROR(__xludf.DUMMYFUNCTION("""COMPUTED_VALUE"""),"-3.226")</f>
        <v>#NAME?</v>
      </c>
      <c r="K129" s="100" t="e">
        <f t="shared" ca="1" si="18"/>
        <v>#NAME?</v>
      </c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 spans="1:26">
      <c r="A130" s="100" t="e">
        <f ca="1">IFERROR(__xludf.DUMMYFUNCTION("""COMPUTED_VALUE"""),58783465)</f>
        <v>#NAME?</v>
      </c>
      <c r="B130" s="100" t="e">
        <f ca="1">IFERROR(__xludf.DUMMYFUNCTION("""COMPUTED_VALUE"""),"BATETH")</f>
        <v>#NAME?</v>
      </c>
      <c r="C130" s="100" t="e">
        <f ca="1">IFERROR(__xludf.DUMMYFUNCTION("""COMPUTED_VALUE"""),"0.00010630")</f>
        <v>#NAME?</v>
      </c>
      <c r="D130" s="100" t="e">
        <f t="shared" ca="1" si="23"/>
        <v>#NAME?</v>
      </c>
      <c r="E130" s="100" t="e">
        <f t="shared" ca="1" si="23"/>
        <v>#NAME?</v>
      </c>
      <c r="F130" s="100" t="e">
        <f t="shared" ref="F130:F193" ca="1" si="24">IFERROR(__xludf.DUMMYFUNCTION("""COMPUTED_VALUE"""),20200)</f>
        <v>#NAME?</v>
      </c>
      <c r="G130" s="100" t="e">
        <f t="shared" ref="G130:G193" ca="1" si="25">IFERROR(__xludf.DUMMYFUNCTION("""COMPUTED_VALUE"""),2885)</f>
        <v>#NAME?</v>
      </c>
      <c r="H130" s="100" t="e">
        <f t="shared" ref="H130:H193" ca="1" si="26">IFERROR(__xludf.DUMMYFUNCTION("""COMPUTED_VALUE"""),663)</f>
        <v>#NAME?</v>
      </c>
      <c r="I130" s="100" t="e">
        <f t="shared" ref="I130:I193" ca="1" si="27">IFERROR(__xludf.DUMMYFUNCTION("""COMPUTED_VALUE"""),5817721)</f>
        <v>#NAME?</v>
      </c>
      <c r="J130" s="100" t="e">
        <f t="shared" ref="J130:J142" ca="1" si="28">IFERROR(__xludf.DUMMYFUNCTION("""COMPUTED_VALUE"""),"0")</f>
        <v>#NAME?</v>
      </c>
      <c r="K130" s="100" t="e">
        <f t="shared" ref="K130:K193" ca="1" si="29">IFERROR(__xludf.DUMMYFUNCTION("""COMPUTED_VALUE"""),"22.04.2025 13:05:01")</f>
        <v>#NAME?</v>
      </c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 spans="1:26">
      <c r="A131" s="100" t="e">
        <f ca="1">IFERROR(__xludf.DUMMYFUNCTION("""COMPUTED_VALUE"""),58783466)</f>
        <v>#NAME?</v>
      </c>
      <c r="B131" s="100" t="e">
        <f ca="1">IFERROR(__xludf.DUMMYFUNCTION("""COMPUTED_VALUE"""),"BATBNB")</f>
        <v>#NAME?</v>
      </c>
      <c r="C131" s="100" t="e">
        <f t="shared" ref="C131:C142" ca="1" si="30">IFERROR(__xludf.DUMMYFUNCTION("""COMPUTED_VALUE"""),"0.00000000")</f>
        <v>#NAME?</v>
      </c>
      <c r="D131" s="100" t="e">
        <f t="shared" ca="1" si="23"/>
        <v>#NAME?</v>
      </c>
      <c r="E131" s="100" t="e">
        <f t="shared" ca="1" si="23"/>
        <v>#NAME?</v>
      </c>
      <c r="F131" s="100" t="e">
        <f t="shared" ca="1" si="24"/>
        <v>#NAME?</v>
      </c>
      <c r="G131" s="100" t="e">
        <f t="shared" ca="1" si="25"/>
        <v>#NAME?</v>
      </c>
      <c r="H131" s="100" t="e">
        <f t="shared" ca="1" si="26"/>
        <v>#NAME?</v>
      </c>
      <c r="I131" s="100" t="e">
        <f t="shared" ca="1" si="27"/>
        <v>#NAME?</v>
      </c>
      <c r="J131" s="100" t="e">
        <f t="shared" ca="1" si="28"/>
        <v>#NAME?</v>
      </c>
      <c r="K131" s="100" t="e">
        <f t="shared" ca="1" si="29"/>
        <v>#NAME?</v>
      </c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 spans="1:26">
      <c r="A132" s="100" t="e">
        <f ca="1">IFERROR(__xludf.DUMMYFUNCTION("""COMPUTED_VALUE"""),58783467)</f>
        <v>#NAME?</v>
      </c>
      <c r="B132" s="100" t="e">
        <f ca="1">IFERROR(__xludf.DUMMYFUNCTION("""COMPUTED_VALUE"""),"BCPTBTC")</f>
        <v>#NAME?</v>
      </c>
      <c r="C132" s="100" t="e">
        <f t="shared" ca="1" si="30"/>
        <v>#NAME?</v>
      </c>
      <c r="D132" s="100" t="e">
        <f t="shared" ca="1" si="23"/>
        <v>#NAME?</v>
      </c>
      <c r="E132" s="100" t="e">
        <f t="shared" ca="1" si="23"/>
        <v>#NAME?</v>
      </c>
      <c r="F132" s="100" t="e">
        <f t="shared" ca="1" si="24"/>
        <v>#NAME?</v>
      </c>
      <c r="G132" s="100" t="e">
        <f t="shared" ca="1" si="25"/>
        <v>#NAME?</v>
      </c>
      <c r="H132" s="100" t="e">
        <f t="shared" ca="1" si="26"/>
        <v>#NAME?</v>
      </c>
      <c r="I132" s="100" t="e">
        <f t="shared" ca="1" si="27"/>
        <v>#NAME?</v>
      </c>
      <c r="J132" s="100" t="e">
        <f t="shared" ca="1" si="28"/>
        <v>#NAME?</v>
      </c>
      <c r="K132" s="100" t="e">
        <f t="shared" ca="1" si="29"/>
        <v>#NAME?</v>
      </c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 spans="1:26">
      <c r="A133" s="100" t="e">
        <f ca="1">IFERROR(__xludf.DUMMYFUNCTION("""COMPUTED_VALUE"""),58783468)</f>
        <v>#NAME?</v>
      </c>
      <c r="B133" s="100" t="e">
        <f ca="1">IFERROR(__xludf.DUMMYFUNCTION("""COMPUTED_VALUE"""),"BCPTETH")</f>
        <v>#NAME?</v>
      </c>
      <c r="C133" s="100" t="e">
        <f t="shared" ca="1" si="30"/>
        <v>#NAME?</v>
      </c>
      <c r="D133" s="100" t="e">
        <f t="shared" ca="1" si="23"/>
        <v>#NAME?</v>
      </c>
      <c r="E133" s="100" t="e">
        <f t="shared" ca="1" si="23"/>
        <v>#NAME?</v>
      </c>
      <c r="F133" s="100" t="e">
        <f t="shared" ca="1" si="24"/>
        <v>#NAME?</v>
      </c>
      <c r="G133" s="100" t="e">
        <f t="shared" ca="1" si="25"/>
        <v>#NAME?</v>
      </c>
      <c r="H133" s="100" t="e">
        <f t="shared" ca="1" si="26"/>
        <v>#NAME?</v>
      </c>
      <c r="I133" s="100" t="e">
        <f t="shared" ca="1" si="27"/>
        <v>#NAME?</v>
      </c>
      <c r="J133" s="100" t="e">
        <f t="shared" ca="1" si="28"/>
        <v>#NAME?</v>
      </c>
      <c r="K133" s="100" t="e">
        <f t="shared" ca="1" si="29"/>
        <v>#NAME?</v>
      </c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 spans="1:26">
      <c r="A134" s="100" t="e">
        <f ca="1">IFERROR(__xludf.DUMMYFUNCTION("""COMPUTED_VALUE"""),58783469)</f>
        <v>#NAME?</v>
      </c>
      <c r="B134" s="100" t="e">
        <f ca="1">IFERROR(__xludf.DUMMYFUNCTION("""COMPUTED_VALUE"""),"BCPTBNB")</f>
        <v>#NAME?</v>
      </c>
      <c r="C134" s="100" t="e">
        <f t="shared" ca="1" si="30"/>
        <v>#NAME?</v>
      </c>
      <c r="D134" s="100" t="e">
        <f t="shared" ca="1" si="23"/>
        <v>#NAME?</v>
      </c>
      <c r="E134" s="100" t="e">
        <f t="shared" ca="1" si="23"/>
        <v>#NAME?</v>
      </c>
      <c r="F134" s="100" t="e">
        <f t="shared" ca="1" si="24"/>
        <v>#NAME?</v>
      </c>
      <c r="G134" s="100" t="e">
        <f t="shared" ca="1" si="25"/>
        <v>#NAME?</v>
      </c>
      <c r="H134" s="100" t="e">
        <f t="shared" ca="1" si="26"/>
        <v>#NAME?</v>
      </c>
      <c r="I134" s="100" t="e">
        <f t="shared" ca="1" si="27"/>
        <v>#NAME?</v>
      </c>
      <c r="J134" s="100" t="e">
        <f t="shared" ca="1" si="28"/>
        <v>#NAME?</v>
      </c>
      <c r="K134" s="100" t="e">
        <f t="shared" ca="1" si="29"/>
        <v>#NAME?</v>
      </c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 spans="1:26">
      <c r="A135" s="100" t="e">
        <f ca="1">IFERROR(__xludf.DUMMYFUNCTION("""COMPUTED_VALUE"""),58783470)</f>
        <v>#NAME?</v>
      </c>
      <c r="B135" s="100" t="e">
        <f ca="1">IFERROR(__xludf.DUMMYFUNCTION("""COMPUTED_VALUE"""),"ARNBTC")</f>
        <v>#NAME?</v>
      </c>
      <c r="C135" s="100" t="e">
        <f t="shared" ca="1" si="30"/>
        <v>#NAME?</v>
      </c>
      <c r="D135" s="100" t="e">
        <f t="shared" ca="1" si="23"/>
        <v>#NAME?</v>
      </c>
      <c r="E135" s="100" t="e">
        <f t="shared" ca="1" si="23"/>
        <v>#NAME?</v>
      </c>
      <c r="F135" s="100" t="e">
        <f t="shared" ca="1" si="24"/>
        <v>#NAME?</v>
      </c>
      <c r="G135" s="100" t="e">
        <f t="shared" ca="1" si="25"/>
        <v>#NAME?</v>
      </c>
      <c r="H135" s="100" t="e">
        <f t="shared" ca="1" si="26"/>
        <v>#NAME?</v>
      </c>
      <c r="I135" s="100" t="e">
        <f t="shared" ca="1" si="27"/>
        <v>#NAME?</v>
      </c>
      <c r="J135" s="100" t="e">
        <f t="shared" ca="1" si="28"/>
        <v>#NAME?</v>
      </c>
      <c r="K135" s="100" t="e">
        <f t="shared" ca="1" si="29"/>
        <v>#NAME?</v>
      </c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 spans="1:26">
      <c r="A136" s="100" t="e">
        <f ca="1">IFERROR(__xludf.DUMMYFUNCTION("""COMPUTED_VALUE"""),58783471)</f>
        <v>#NAME?</v>
      </c>
      <c r="B136" s="100" t="e">
        <f ca="1">IFERROR(__xludf.DUMMYFUNCTION("""COMPUTED_VALUE"""),"ARNETH")</f>
        <v>#NAME?</v>
      </c>
      <c r="C136" s="100" t="e">
        <f t="shared" ca="1" si="30"/>
        <v>#NAME?</v>
      </c>
      <c r="D136" s="100" t="e">
        <f t="shared" ca="1" si="23"/>
        <v>#NAME?</v>
      </c>
      <c r="E136" s="100" t="e">
        <f t="shared" ca="1" si="23"/>
        <v>#NAME?</v>
      </c>
      <c r="F136" s="100" t="e">
        <f t="shared" ca="1" si="24"/>
        <v>#NAME?</v>
      </c>
      <c r="G136" s="100" t="e">
        <f t="shared" ca="1" si="25"/>
        <v>#NAME?</v>
      </c>
      <c r="H136" s="100" t="e">
        <f t="shared" ca="1" si="26"/>
        <v>#NAME?</v>
      </c>
      <c r="I136" s="100" t="e">
        <f t="shared" ca="1" si="27"/>
        <v>#NAME?</v>
      </c>
      <c r="J136" s="100" t="e">
        <f t="shared" ca="1" si="28"/>
        <v>#NAME?</v>
      </c>
      <c r="K136" s="100" t="e">
        <f t="shared" ca="1" si="29"/>
        <v>#NAME?</v>
      </c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 spans="1:26">
      <c r="A137" s="100" t="e">
        <f ca="1">IFERROR(__xludf.DUMMYFUNCTION("""COMPUTED_VALUE"""),58783472)</f>
        <v>#NAME?</v>
      </c>
      <c r="B137" s="100" t="e">
        <f ca="1">IFERROR(__xludf.DUMMYFUNCTION("""COMPUTED_VALUE"""),"GVTBTC")</f>
        <v>#NAME?</v>
      </c>
      <c r="C137" s="100" t="e">
        <f t="shared" ca="1" si="30"/>
        <v>#NAME?</v>
      </c>
      <c r="D137" s="100" t="e">
        <f t="shared" ca="1" si="23"/>
        <v>#NAME?</v>
      </c>
      <c r="E137" s="100" t="e">
        <f t="shared" ca="1" si="23"/>
        <v>#NAME?</v>
      </c>
      <c r="F137" s="100" t="e">
        <f t="shared" ca="1" si="24"/>
        <v>#NAME?</v>
      </c>
      <c r="G137" s="100" t="e">
        <f t="shared" ca="1" si="25"/>
        <v>#NAME?</v>
      </c>
      <c r="H137" s="100" t="e">
        <f t="shared" ca="1" si="26"/>
        <v>#NAME?</v>
      </c>
      <c r="I137" s="100" t="e">
        <f t="shared" ca="1" si="27"/>
        <v>#NAME?</v>
      </c>
      <c r="J137" s="100" t="e">
        <f t="shared" ca="1" si="28"/>
        <v>#NAME?</v>
      </c>
      <c r="K137" s="100" t="e">
        <f t="shared" ca="1" si="29"/>
        <v>#NAME?</v>
      </c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 spans="1:26">
      <c r="A138" s="100" t="e">
        <f ca="1">IFERROR(__xludf.DUMMYFUNCTION("""COMPUTED_VALUE"""),58783473)</f>
        <v>#NAME?</v>
      </c>
      <c r="B138" s="100" t="e">
        <f ca="1">IFERROR(__xludf.DUMMYFUNCTION("""COMPUTED_VALUE"""),"GVTETH")</f>
        <v>#NAME?</v>
      </c>
      <c r="C138" s="100" t="e">
        <f t="shared" ca="1" si="30"/>
        <v>#NAME?</v>
      </c>
      <c r="D138" s="100" t="e">
        <f t="shared" ca="1" si="23"/>
        <v>#NAME?</v>
      </c>
      <c r="E138" s="100" t="e">
        <f t="shared" ca="1" si="23"/>
        <v>#NAME?</v>
      </c>
      <c r="F138" s="100" t="e">
        <f t="shared" ca="1" si="24"/>
        <v>#NAME?</v>
      </c>
      <c r="G138" s="100" t="e">
        <f t="shared" ca="1" si="25"/>
        <v>#NAME?</v>
      </c>
      <c r="H138" s="100" t="e">
        <f t="shared" ca="1" si="26"/>
        <v>#NAME?</v>
      </c>
      <c r="I138" s="100" t="e">
        <f t="shared" ca="1" si="27"/>
        <v>#NAME?</v>
      </c>
      <c r="J138" s="100" t="e">
        <f t="shared" ca="1" si="28"/>
        <v>#NAME?</v>
      </c>
      <c r="K138" s="100" t="e">
        <f t="shared" ca="1" si="29"/>
        <v>#NAME?</v>
      </c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 spans="1:26">
      <c r="A139" s="100" t="e">
        <f ca="1">IFERROR(__xludf.DUMMYFUNCTION("""COMPUTED_VALUE"""),58783474)</f>
        <v>#NAME?</v>
      </c>
      <c r="B139" s="100" t="e">
        <f ca="1">IFERROR(__xludf.DUMMYFUNCTION("""COMPUTED_VALUE"""),"CDTBTC")</f>
        <v>#NAME?</v>
      </c>
      <c r="C139" s="100" t="e">
        <f t="shared" ca="1" si="30"/>
        <v>#NAME?</v>
      </c>
      <c r="D139" s="100" t="e">
        <f t="shared" ca="1" si="23"/>
        <v>#NAME?</v>
      </c>
      <c r="E139" s="100" t="e">
        <f t="shared" ca="1" si="23"/>
        <v>#NAME?</v>
      </c>
      <c r="F139" s="100" t="e">
        <f t="shared" ca="1" si="24"/>
        <v>#NAME?</v>
      </c>
      <c r="G139" s="100" t="e">
        <f t="shared" ca="1" si="25"/>
        <v>#NAME?</v>
      </c>
      <c r="H139" s="100" t="e">
        <f t="shared" ca="1" si="26"/>
        <v>#NAME?</v>
      </c>
      <c r="I139" s="100" t="e">
        <f t="shared" ca="1" si="27"/>
        <v>#NAME?</v>
      </c>
      <c r="J139" s="100" t="e">
        <f t="shared" ca="1" si="28"/>
        <v>#NAME?</v>
      </c>
      <c r="K139" s="100" t="e">
        <f t="shared" ca="1" si="29"/>
        <v>#NAME?</v>
      </c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 spans="1:26">
      <c r="A140" s="100" t="e">
        <f ca="1">IFERROR(__xludf.DUMMYFUNCTION("""COMPUTED_VALUE"""),58783475)</f>
        <v>#NAME?</v>
      </c>
      <c r="B140" s="100" t="e">
        <f ca="1">IFERROR(__xludf.DUMMYFUNCTION("""COMPUTED_VALUE"""),"CDTETH")</f>
        <v>#NAME?</v>
      </c>
      <c r="C140" s="100" t="e">
        <f t="shared" ca="1" si="30"/>
        <v>#NAME?</v>
      </c>
      <c r="D140" s="100" t="e">
        <f t="shared" ca="1" si="23"/>
        <v>#NAME?</v>
      </c>
      <c r="E140" s="100" t="e">
        <f t="shared" ca="1" si="23"/>
        <v>#NAME?</v>
      </c>
      <c r="F140" s="100" t="e">
        <f t="shared" ca="1" si="24"/>
        <v>#NAME?</v>
      </c>
      <c r="G140" s="100" t="e">
        <f t="shared" ca="1" si="25"/>
        <v>#NAME?</v>
      </c>
      <c r="H140" s="100" t="e">
        <f t="shared" ca="1" si="26"/>
        <v>#NAME?</v>
      </c>
      <c r="I140" s="100" t="e">
        <f t="shared" ca="1" si="27"/>
        <v>#NAME?</v>
      </c>
      <c r="J140" s="100" t="e">
        <f t="shared" ca="1" si="28"/>
        <v>#NAME?</v>
      </c>
      <c r="K140" s="100" t="e">
        <f t="shared" ca="1" si="29"/>
        <v>#NAME?</v>
      </c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 spans="1:26">
      <c r="A141" s="100" t="e">
        <f ca="1">IFERROR(__xludf.DUMMYFUNCTION("""COMPUTED_VALUE"""),58783476)</f>
        <v>#NAME?</v>
      </c>
      <c r="B141" s="100" t="e">
        <f ca="1">IFERROR(__xludf.DUMMYFUNCTION("""COMPUTED_VALUE"""),"GXSBTC")</f>
        <v>#NAME?</v>
      </c>
      <c r="C141" s="100" t="e">
        <f t="shared" ca="1" si="30"/>
        <v>#NAME?</v>
      </c>
      <c r="D141" s="100" t="e">
        <f t="shared" ca="1" si="23"/>
        <v>#NAME?</v>
      </c>
      <c r="E141" s="100" t="e">
        <f t="shared" ca="1" si="23"/>
        <v>#NAME?</v>
      </c>
      <c r="F141" s="100" t="e">
        <f t="shared" ca="1" si="24"/>
        <v>#NAME?</v>
      </c>
      <c r="G141" s="100" t="e">
        <f t="shared" ca="1" si="25"/>
        <v>#NAME?</v>
      </c>
      <c r="H141" s="100" t="e">
        <f t="shared" ca="1" si="26"/>
        <v>#NAME?</v>
      </c>
      <c r="I141" s="100" t="e">
        <f t="shared" ca="1" si="27"/>
        <v>#NAME?</v>
      </c>
      <c r="J141" s="100" t="e">
        <f t="shared" ca="1" si="28"/>
        <v>#NAME?</v>
      </c>
      <c r="K141" s="100" t="e">
        <f t="shared" ca="1" si="29"/>
        <v>#NAME?</v>
      </c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 spans="1:26">
      <c r="A142" s="100" t="e">
        <f ca="1">IFERROR(__xludf.DUMMYFUNCTION("""COMPUTED_VALUE"""),58783477)</f>
        <v>#NAME?</v>
      </c>
      <c r="B142" s="100" t="e">
        <f ca="1">IFERROR(__xludf.DUMMYFUNCTION("""COMPUTED_VALUE"""),"GXSETH")</f>
        <v>#NAME?</v>
      </c>
      <c r="C142" s="100" t="e">
        <f t="shared" ca="1" si="30"/>
        <v>#NAME?</v>
      </c>
      <c r="D142" s="100" t="e">
        <f t="shared" ref="D142:E161" ca="1" si="31">IFERROR(__xludf.DUMMYFUNCTION("""COMPUTED_VALUE"""),"-")</f>
        <v>#NAME?</v>
      </c>
      <c r="E142" s="100" t="e">
        <f t="shared" ca="1" si="31"/>
        <v>#NAME?</v>
      </c>
      <c r="F142" s="100" t="e">
        <f t="shared" ca="1" si="24"/>
        <v>#NAME?</v>
      </c>
      <c r="G142" s="100" t="e">
        <f t="shared" ca="1" si="25"/>
        <v>#NAME?</v>
      </c>
      <c r="H142" s="100" t="e">
        <f t="shared" ca="1" si="26"/>
        <v>#NAME?</v>
      </c>
      <c r="I142" s="100" t="e">
        <f t="shared" ca="1" si="27"/>
        <v>#NAME?</v>
      </c>
      <c r="J142" s="100" t="e">
        <f t="shared" ca="1" si="28"/>
        <v>#NAME?</v>
      </c>
      <c r="K142" s="100" t="e">
        <f t="shared" ca="1" si="29"/>
        <v>#NAME?</v>
      </c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 spans="1:26">
      <c r="A143" s="100" t="e">
        <f ca="1">IFERROR(__xludf.DUMMYFUNCTION("""COMPUTED_VALUE"""),58783478)</f>
        <v>#NAME?</v>
      </c>
      <c r="B143" s="100" t="e">
        <f ca="1">IFERROR(__xludf.DUMMYFUNCTION("""COMPUTED_VALUE"""),"NEOUSDT")</f>
        <v>#NAME?</v>
      </c>
      <c r="C143" s="100" t="e">
        <f ca="1">IFERROR(__xludf.DUMMYFUNCTION("""COMPUTED_VALUE"""),"5.46000000")</f>
        <v>#NAME?</v>
      </c>
      <c r="D143" s="100" t="e">
        <f t="shared" ca="1" si="31"/>
        <v>#NAME?</v>
      </c>
      <c r="E143" s="100" t="e">
        <f t="shared" ca="1" si="31"/>
        <v>#NAME?</v>
      </c>
      <c r="F143" s="100" t="e">
        <f t="shared" ca="1" si="24"/>
        <v>#NAME?</v>
      </c>
      <c r="G143" s="100" t="e">
        <f t="shared" ca="1" si="25"/>
        <v>#NAME?</v>
      </c>
      <c r="H143" s="100" t="e">
        <f t="shared" ca="1" si="26"/>
        <v>#NAME?</v>
      </c>
      <c r="I143" s="100" t="e">
        <f t="shared" ca="1" si="27"/>
        <v>#NAME?</v>
      </c>
      <c r="J143" s="100" t="e">
        <f ca="1">IFERROR(__xludf.DUMMYFUNCTION("""COMPUTED_VALUE"""),"-4.211")</f>
        <v>#NAME?</v>
      </c>
      <c r="K143" s="100" t="e">
        <f t="shared" ca="1" si="29"/>
        <v>#NAME?</v>
      </c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 spans="1:26">
      <c r="A144" s="100" t="e">
        <f ca="1">IFERROR(__xludf.DUMMYFUNCTION("""COMPUTED_VALUE"""),58783479)</f>
        <v>#NAME?</v>
      </c>
      <c r="B144" s="100" t="e">
        <f ca="1">IFERROR(__xludf.DUMMYFUNCTION("""COMPUTED_VALUE"""),"NEOBNB")</f>
        <v>#NAME?</v>
      </c>
      <c r="C144" s="100" t="e">
        <f ca="1">IFERROR(__xludf.DUMMYFUNCTION("""COMPUTED_VALUE"""),"0.03836000")</f>
        <v>#NAME?</v>
      </c>
      <c r="D144" s="100" t="e">
        <f t="shared" ca="1" si="31"/>
        <v>#NAME?</v>
      </c>
      <c r="E144" s="100" t="e">
        <f t="shared" ca="1" si="31"/>
        <v>#NAME?</v>
      </c>
      <c r="F144" s="100" t="e">
        <f t="shared" ca="1" si="24"/>
        <v>#NAME?</v>
      </c>
      <c r="G144" s="100" t="e">
        <f t="shared" ca="1" si="25"/>
        <v>#NAME?</v>
      </c>
      <c r="H144" s="100" t="e">
        <f t="shared" ca="1" si="26"/>
        <v>#NAME?</v>
      </c>
      <c r="I144" s="100" t="e">
        <f t="shared" ca="1" si="27"/>
        <v>#NAME?</v>
      </c>
      <c r="J144" s="100" t="e">
        <f t="shared" ref="J144:J155" ca="1" si="32">IFERROR(__xludf.DUMMYFUNCTION("""COMPUTED_VALUE"""),"0")</f>
        <v>#NAME?</v>
      </c>
      <c r="K144" s="100" t="e">
        <f t="shared" ca="1" si="29"/>
        <v>#NAME?</v>
      </c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 spans="1:26">
      <c r="A145" s="100" t="e">
        <f ca="1">IFERROR(__xludf.DUMMYFUNCTION("""COMPUTED_VALUE"""),58783480)</f>
        <v>#NAME?</v>
      </c>
      <c r="B145" s="100" t="e">
        <f ca="1">IFERROR(__xludf.DUMMYFUNCTION("""COMPUTED_VALUE"""),"POEBTC")</f>
        <v>#NAME?</v>
      </c>
      <c r="C145" s="100" t="e">
        <f ca="1">IFERROR(__xludf.DUMMYFUNCTION("""COMPUTED_VALUE"""),"0.00000000")</f>
        <v>#NAME?</v>
      </c>
      <c r="D145" s="100" t="e">
        <f t="shared" ca="1" si="31"/>
        <v>#NAME?</v>
      </c>
      <c r="E145" s="100" t="e">
        <f t="shared" ca="1" si="31"/>
        <v>#NAME?</v>
      </c>
      <c r="F145" s="100" t="e">
        <f t="shared" ca="1" si="24"/>
        <v>#NAME?</v>
      </c>
      <c r="G145" s="100" t="e">
        <f t="shared" ca="1" si="25"/>
        <v>#NAME?</v>
      </c>
      <c r="H145" s="100" t="e">
        <f t="shared" ca="1" si="26"/>
        <v>#NAME?</v>
      </c>
      <c r="I145" s="100" t="e">
        <f t="shared" ca="1" si="27"/>
        <v>#NAME?</v>
      </c>
      <c r="J145" s="100" t="e">
        <f t="shared" ca="1" si="32"/>
        <v>#NAME?</v>
      </c>
      <c r="K145" s="100" t="e">
        <f t="shared" ca="1" si="29"/>
        <v>#NAME?</v>
      </c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 spans="1:26">
      <c r="A146" s="100" t="e">
        <f ca="1">IFERROR(__xludf.DUMMYFUNCTION("""COMPUTED_VALUE"""),58783481)</f>
        <v>#NAME?</v>
      </c>
      <c r="B146" s="100" t="e">
        <f ca="1">IFERROR(__xludf.DUMMYFUNCTION("""COMPUTED_VALUE"""),"POEETH")</f>
        <v>#NAME?</v>
      </c>
      <c r="C146" s="100" t="e">
        <f ca="1">IFERROR(__xludf.DUMMYFUNCTION("""COMPUTED_VALUE"""),"0.00000000")</f>
        <v>#NAME?</v>
      </c>
      <c r="D146" s="100" t="e">
        <f t="shared" ca="1" si="31"/>
        <v>#NAME?</v>
      </c>
      <c r="E146" s="100" t="e">
        <f t="shared" ca="1" si="31"/>
        <v>#NAME?</v>
      </c>
      <c r="F146" s="100" t="e">
        <f t="shared" ca="1" si="24"/>
        <v>#NAME?</v>
      </c>
      <c r="G146" s="100" t="e">
        <f t="shared" ca="1" si="25"/>
        <v>#NAME?</v>
      </c>
      <c r="H146" s="100" t="e">
        <f t="shared" ca="1" si="26"/>
        <v>#NAME?</v>
      </c>
      <c r="I146" s="100" t="e">
        <f t="shared" ca="1" si="27"/>
        <v>#NAME?</v>
      </c>
      <c r="J146" s="100" t="e">
        <f t="shared" ca="1" si="32"/>
        <v>#NAME?</v>
      </c>
      <c r="K146" s="100" t="e">
        <f t="shared" ca="1" si="29"/>
        <v>#NAME?</v>
      </c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 spans="1:26">
      <c r="A147" s="100" t="e">
        <f ca="1">IFERROR(__xludf.DUMMYFUNCTION("""COMPUTED_VALUE"""),58783482)</f>
        <v>#NAME?</v>
      </c>
      <c r="B147" s="100" t="e">
        <f ca="1">IFERROR(__xludf.DUMMYFUNCTION("""COMPUTED_VALUE"""),"QSPBTC")</f>
        <v>#NAME?</v>
      </c>
      <c r="C147" s="100" t="e">
        <f ca="1">IFERROR(__xludf.DUMMYFUNCTION("""COMPUTED_VALUE"""),"0.00000000")</f>
        <v>#NAME?</v>
      </c>
      <c r="D147" s="100" t="e">
        <f t="shared" ca="1" si="31"/>
        <v>#NAME?</v>
      </c>
      <c r="E147" s="100" t="e">
        <f t="shared" ca="1" si="31"/>
        <v>#NAME?</v>
      </c>
      <c r="F147" s="100" t="e">
        <f t="shared" ca="1" si="24"/>
        <v>#NAME?</v>
      </c>
      <c r="G147" s="100" t="e">
        <f t="shared" ca="1" si="25"/>
        <v>#NAME?</v>
      </c>
      <c r="H147" s="100" t="e">
        <f t="shared" ca="1" si="26"/>
        <v>#NAME?</v>
      </c>
      <c r="I147" s="100" t="e">
        <f t="shared" ca="1" si="27"/>
        <v>#NAME?</v>
      </c>
      <c r="J147" s="100" t="e">
        <f t="shared" ca="1" si="32"/>
        <v>#NAME?</v>
      </c>
      <c r="K147" s="100" t="e">
        <f t="shared" ca="1" si="29"/>
        <v>#NAME?</v>
      </c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 spans="1:26">
      <c r="A148" s="100" t="e">
        <f ca="1">IFERROR(__xludf.DUMMYFUNCTION("""COMPUTED_VALUE"""),58783483)</f>
        <v>#NAME?</v>
      </c>
      <c r="B148" s="100" t="e">
        <f ca="1">IFERROR(__xludf.DUMMYFUNCTION("""COMPUTED_VALUE"""),"QSPETH")</f>
        <v>#NAME?</v>
      </c>
      <c r="C148" s="100" t="e">
        <f ca="1">IFERROR(__xludf.DUMMYFUNCTION("""COMPUTED_VALUE"""),"0.00000000")</f>
        <v>#NAME?</v>
      </c>
      <c r="D148" s="100" t="e">
        <f t="shared" ca="1" si="31"/>
        <v>#NAME?</v>
      </c>
      <c r="E148" s="100" t="e">
        <f t="shared" ca="1" si="31"/>
        <v>#NAME?</v>
      </c>
      <c r="F148" s="100" t="e">
        <f t="shared" ca="1" si="24"/>
        <v>#NAME?</v>
      </c>
      <c r="G148" s="100" t="e">
        <f t="shared" ca="1" si="25"/>
        <v>#NAME?</v>
      </c>
      <c r="H148" s="100" t="e">
        <f t="shared" ca="1" si="26"/>
        <v>#NAME?</v>
      </c>
      <c r="I148" s="100" t="e">
        <f t="shared" ca="1" si="27"/>
        <v>#NAME?</v>
      </c>
      <c r="J148" s="100" t="e">
        <f t="shared" ca="1" si="32"/>
        <v>#NAME?</v>
      </c>
      <c r="K148" s="100" t="e">
        <f t="shared" ca="1" si="29"/>
        <v>#NAME?</v>
      </c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 spans="1:26">
      <c r="A149" s="100" t="e">
        <f ca="1">IFERROR(__xludf.DUMMYFUNCTION("""COMPUTED_VALUE"""),58783484)</f>
        <v>#NAME?</v>
      </c>
      <c r="B149" s="100" t="e">
        <f ca="1">IFERROR(__xludf.DUMMYFUNCTION("""COMPUTED_VALUE"""),"QSPBNB")</f>
        <v>#NAME?</v>
      </c>
      <c r="C149" s="100" t="e">
        <f ca="1">IFERROR(__xludf.DUMMYFUNCTION("""COMPUTED_VALUE"""),"0.00000000")</f>
        <v>#NAME?</v>
      </c>
      <c r="D149" s="100" t="e">
        <f t="shared" ca="1" si="31"/>
        <v>#NAME?</v>
      </c>
      <c r="E149" s="100" t="e">
        <f t="shared" ca="1" si="31"/>
        <v>#NAME?</v>
      </c>
      <c r="F149" s="100" t="e">
        <f t="shared" ca="1" si="24"/>
        <v>#NAME?</v>
      </c>
      <c r="G149" s="100" t="e">
        <f t="shared" ca="1" si="25"/>
        <v>#NAME?</v>
      </c>
      <c r="H149" s="100" t="e">
        <f t="shared" ca="1" si="26"/>
        <v>#NAME?</v>
      </c>
      <c r="I149" s="100" t="e">
        <f t="shared" ca="1" si="27"/>
        <v>#NAME?</v>
      </c>
      <c r="J149" s="100" t="e">
        <f t="shared" ca="1" si="32"/>
        <v>#NAME?</v>
      </c>
      <c r="K149" s="100" t="e">
        <f t="shared" ca="1" si="29"/>
        <v>#NAME?</v>
      </c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 spans="1:26">
      <c r="A150" s="100" t="e">
        <f ca="1">IFERROR(__xludf.DUMMYFUNCTION("""COMPUTED_VALUE"""),58783485)</f>
        <v>#NAME?</v>
      </c>
      <c r="B150" s="100" t="e">
        <f ca="1">IFERROR(__xludf.DUMMYFUNCTION("""COMPUTED_VALUE"""),"BTSBTC")</f>
        <v>#NAME?</v>
      </c>
      <c r="C150" s="100" t="e">
        <f ca="1">IFERROR(__xludf.DUMMYFUNCTION("""COMPUTED_VALUE"""),"0.00000043")</f>
        <v>#NAME?</v>
      </c>
      <c r="D150" s="100" t="e">
        <f t="shared" ca="1" si="31"/>
        <v>#NAME?</v>
      </c>
      <c r="E150" s="100" t="e">
        <f t="shared" ca="1" si="31"/>
        <v>#NAME?</v>
      </c>
      <c r="F150" s="100" t="e">
        <f t="shared" ca="1" si="24"/>
        <v>#NAME?</v>
      </c>
      <c r="G150" s="100" t="e">
        <f t="shared" ca="1" si="25"/>
        <v>#NAME?</v>
      </c>
      <c r="H150" s="100" t="e">
        <f t="shared" ca="1" si="26"/>
        <v>#NAME?</v>
      </c>
      <c r="I150" s="100" t="e">
        <f t="shared" ca="1" si="27"/>
        <v>#NAME?</v>
      </c>
      <c r="J150" s="100" t="e">
        <f t="shared" ca="1" si="32"/>
        <v>#NAME?</v>
      </c>
      <c r="K150" s="100" t="e">
        <f t="shared" ca="1" si="29"/>
        <v>#NAME?</v>
      </c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 spans="1:26">
      <c r="A151" s="100" t="e">
        <f ca="1">IFERROR(__xludf.DUMMYFUNCTION("""COMPUTED_VALUE"""),58783486)</f>
        <v>#NAME?</v>
      </c>
      <c r="B151" s="100" t="e">
        <f ca="1">IFERROR(__xludf.DUMMYFUNCTION("""COMPUTED_VALUE"""),"BTSETH")</f>
        <v>#NAME?</v>
      </c>
      <c r="C151" s="100" t="e">
        <f ca="1">IFERROR(__xludf.DUMMYFUNCTION("""COMPUTED_VALUE"""),"0.00000000")</f>
        <v>#NAME?</v>
      </c>
      <c r="D151" s="100" t="e">
        <f t="shared" ca="1" si="31"/>
        <v>#NAME?</v>
      </c>
      <c r="E151" s="100" t="e">
        <f t="shared" ca="1" si="31"/>
        <v>#NAME?</v>
      </c>
      <c r="F151" s="100" t="e">
        <f t="shared" ca="1" si="24"/>
        <v>#NAME?</v>
      </c>
      <c r="G151" s="100" t="e">
        <f t="shared" ca="1" si="25"/>
        <v>#NAME?</v>
      </c>
      <c r="H151" s="100" t="e">
        <f t="shared" ca="1" si="26"/>
        <v>#NAME?</v>
      </c>
      <c r="I151" s="100" t="e">
        <f t="shared" ca="1" si="27"/>
        <v>#NAME?</v>
      </c>
      <c r="J151" s="100" t="e">
        <f t="shared" ca="1" si="32"/>
        <v>#NAME?</v>
      </c>
      <c r="K151" s="100" t="e">
        <f t="shared" ca="1" si="29"/>
        <v>#NAME?</v>
      </c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 spans="1:26">
      <c r="A152" s="100" t="e">
        <f ca="1">IFERROR(__xludf.DUMMYFUNCTION("""COMPUTED_VALUE"""),58783487)</f>
        <v>#NAME?</v>
      </c>
      <c r="B152" s="100" t="e">
        <f ca="1">IFERROR(__xludf.DUMMYFUNCTION("""COMPUTED_VALUE"""),"BTSBNB")</f>
        <v>#NAME?</v>
      </c>
      <c r="C152" s="100" t="e">
        <f ca="1">IFERROR(__xludf.DUMMYFUNCTION("""COMPUTED_VALUE"""),"0.00000000")</f>
        <v>#NAME?</v>
      </c>
      <c r="D152" s="100" t="e">
        <f t="shared" ca="1" si="31"/>
        <v>#NAME?</v>
      </c>
      <c r="E152" s="100" t="e">
        <f t="shared" ca="1" si="31"/>
        <v>#NAME?</v>
      </c>
      <c r="F152" s="100" t="e">
        <f t="shared" ca="1" si="24"/>
        <v>#NAME?</v>
      </c>
      <c r="G152" s="100" t="e">
        <f t="shared" ca="1" si="25"/>
        <v>#NAME?</v>
      </c>
      <c r="H152" s="100" t="e">
        <f t="shared" ca="1" si="26"/>
        <v>#NAME?</v>
      </c>
      <c r="I152" s="100" t="e">
        <f t="shared" ca="1" si="27"/>
        <v>#NAME?</v>
      </c>
      <c r="J152" s="100" t="e">
        <f t="shared" ca="1" si="32"/>
        <v>#NAME?</v>
      </c>
      <c r="K152" s="100" t="e">
        <f t="shared" ca="1" si="29"/>
        <v>#NAME?</v>
      </c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 spans="1:26">
      <c r="A153" s="100" t="e">
        <f ca="1">IFERROR(__xludf.DUMMYFUNCTION("""COMPUTED_VALUE"""),58783488)</f>
        <v>#NAME?</v>
      </c>
      <c r="B153" s="100" t="e">
        <f ca="1">IFERROR(__xludf.DUMMYFUNCTION("""COMPUTED_VALUE"""),"XZCBTC")</f>
        <v>#NAME?</v>
      </c>
      <c r="C153" s="100" t="e">
        <f ca="1">IFERROR(__xludf.DUMMYFUNCTION("""COMPUTED_VALUE"""),"0.00000000")</f>
        <v>#NAME?</v>
      </c>
      <c r="D153" s="100" t="e">
        <f t="shared" ca="1" si="31"/>
        <v>#NAME?</v>
      </c>
      <c r="E153" s="100" t="e">
        <f t="shared" ca="1" si="31"/>
        <v>#NAME?</v>
      </c>
      <c r="F153" s="100" t="e">
        <f t="shared" ca="1" si="24"/>
        <v>#NAME?</v>
      </c>
      <c r="G153" s="100" t="e">
        <f t="shared" ca="1" si="25"/>
        <v>#NAME?</v>
      </c>
      <c r="H153" s="100" t="e">
        <f t="shared" ca="1" si="26"/>
        <v>#NAME?</v>
      </c>
      <c r="I153" s="100" t="e">
        <f t="shared" ca="1" si="27"/>
        <v>#NAME?</v>
      </c>
      <c r="J153" s="100" t="e">
        <f t="shared" ca="1" si="32"/>
        <v>#NAME?</v>
      </c>
      <c r="K153" s="100" t="e">
        <f t="shared" ca="1" si="29"/>
        <v>#NAME?</v>
      </c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 spans="1:26">
      <c r="A154" s="100" t="e">
        <f ca="1">IFERROR(__xludf.DUMMYFUNCTION("""COMPUTED_VALUE"""),58783489)</f>
        <v>#NAME?</v>
      </c>
      <c r="B154" s="100" t="e">
        <f ca="1">IFERROR(__xludf.DUMMYFUNCTION("""COMPUTED_VALUE"""),"XZCETH")</f>
        <v>#NAME?</v>
      </c>
      <c r="C154" s="100" t="e">
        <f ca="1">IFERROR(__xludf.DUMMYFUNCTION("""COMPUTED_VALUE"""),"0.00000000")</f>
        <v>#NAME?</v>
      </c>
      <c r="D154" s="100" t="e">
        <f t="shared" ca="1" si="31"/>
        <v>#NAME?</v>
      </c>
      <c r="E154" s="100" t="e">
        <f t="shared" ca="1" si="31"/>
        <v>#NAME?</v>
      </c>
      <c r="F154" s="100" t="e">
        <f t="shared" ca="1" si="24"/>
        <v>#NAME?</v>
      </c>
      <c r="G154" s="100" t="e">
        <f t="shared" ca="1" si="25"/>
        <v>#NAME?</v>
      </c>
      <c r="H154" s="100" t="e">
        <f t="shared" ca="1" si="26"/>
        <v>#NAME?</v>
      </c>
      <c r="I154" s="100" t="e">
        <f t="shared" ca="1" si="27"/>
        <v>#NAME?</v>
      </c>
      <c r="J154" s="100" t="e">
        <f t="shared" ca="1" si="32"/>
        <v>#NAME?</v>
      </c>
      <c r="K154" s="100" t="e">
        <f t="shared" ca="1" si="29"/>
        <v>#NAME?</v>
      </c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 spans="1:26">
      <c r="A155" s="100" t="e">
        <f ca="1">IFERROR(__xludf.DUMMYFUNCTION("""COMPUTED_VALUE"""),58783490)</f>
        <v>#NAME?</v>
      </c>
      <c r="B155" s="100" t="e">
        <f ca="1">IFERROR(__xludf.DUMMYFUNCTION("""COMPUTED_VALUE"""),"XZCBNB")</f>
        <v>#NAME?</v>
      </c>
      <c r="C155" s="100" t="e">
        <f ca="1">IFERROR(__xludf.DUMMYFUNCTION("""COMPUTED_VALUE"""),"0.00000000")</f>
        <v>#NAME?</v>
      </c>
      <c r="D155" s="100" t="e">
        <f t="shared" ca="1" si="31"/>
        <v>#NAME?</v>
      </c>
      <c r="E155" s="100" t="e">
        <f t="shared" ca="1" si="31"/>
        <v>#NAME?</v>
      </c>
      <c r="F155" s="100" t="e">
        <f t="shared" ca="1" si="24"/>
        <v>#NAME?</v>
      </c>
      <c r="G155" s="100" t="e">
        <f t="shared" ca="1" si="25"/>
        <v>#NAME?</v>
      </c>
      <c r="H155" s="100" t="e">
        <f t="shared" ca="1" si="26"/>
        <v>#NAME?</v>
      </c>
      <c r="I155" s="100" t="e">
        <f t="shared" ca="1" si="27"/>
        <v>#NAME?</v>
      </c>
      <c r="J155" s="100" t="e">
        <f t="shared" ca="1" si="32"/>
        <v>#NAME?</v>
      </c>
      <c r="K155" s="100" t="e">
        <f t="shared" ca="1" si="29"/>
        <v>#NAME?</v>
      </c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 spans="1:26">
      <c r="A156" s="100" t="e">
        <f ca="1">IFERROR(__xludf.DUMMYFUNCTION("""COMPUTED_VALUE"""),58783491)</f>
        <v>#NAME?</v>
      </c>
      <c r="B156" s="100" t="e">
        <f ca="1">IFERROR(__xludf.DUMMYFUNCTION("""COMPUTED_VALUE"""),"LSKBTC")</f>
        <v>#NAME?</v>
      </c>
      <c r="C156" s="100" t="e">
        <f ca="1">IFERROR(__xludf.DUMMYFUNCTION("""COMPUTED_VALUE"""),"0.00000570")</f>
        <v>#NAME?</v>
      </c>
      <c r="D156" s="100" t="e">
        <f t="shared" ca="1" si="31"/>
        <v>#NAME?</v>
      </c>
      <c r="E156" s="100" t="e">
        <f t="shared" ca="1" si="31"/>
        <v>#NAME?</v>
      </c>
      <c r="F156" s="100" t="e">
        <f t="shared" ca="1" si="24"/>
        <v>#NAME?</v>
      </c>
      <c r="G156" s="100" t="e">
        <f t="shared" ca="1" si="25"/>
        <v>#NAME?</v>
      </c>
      <c r="H156" s="100" t="e">
        <f t="shared" ca="1" si="26"/>
        <v>#NAME?</v>
      </c>
      <c r="I156" s="100" t="e">
        <f t="shared" ca="1" si="27"/>
        <v>#NAME?</v>
      </c>
      <c r="J156" s="100" t="e">
        <f ca="1">IFERROR(__xludf.DUMMYFUNCTION("""COMPUTED_VALUE"""),"-5.941")</f>
        <v>#NAME?</v>
      </c>
      <c r="K156" s="100" t="e">
        <f t="shared" ca="1" si="29"/>
        <v>#NAME?</v>
      </c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 spans="1:26">
      <c r="A157" s="100" t="e">
        <f ca="1">IFERROR(__xludf.DUMMYFUNCTION("""COMPUTED_VALUE"""),58783492)</f>
        <v>#NAME?</v>
      </c>
      <c r="B157" s="100" t="e">
        <f ca="1">IFERROR(__xludf.DUMMYFUNCTION("""COMPUTED_VALUE"""),"LSKETH")</f>
        <v>#NAME?</v>
      </c>
      <c r="C157" s="100" t="e">
        <f ca="1">IFERROR(__xludf.DUMMYFUNCTION("""COMPUTED_VALUE"""),"0.00033730")</f>
        <v>#NAME?</v>
      </c>
      <c r="D157" s="100" t="e">
        <f t="shared" ca="1" si="31"/>
        <v>#NAME?</v>
      </c>
      <c r="E157" s="100" t="e">
        <f t="shared" ca="1" si="31"/>
        <v>#NAME?</v>
      </c>
      <c r="F157" s="100" t="e">
        <f t="shared" ca="1" si="24"/>
        <v>#NAME?</v>
      </c>
      <c r="G157" s="100" t="e">
        <f t="shared" ca="1" si="25"/>
        <v>#NAME?</v>
      </c>
      <c r="H157" s="100" t="e">
        <f t="shared" ca="1" si="26"/>
        <v>#NAME?</v>
      </c>
      <c r="I157" s="100" t="e">
        <f t="shared" ca="1" si="27"/>
        <v>#NAME?</v>
      </c>
      <c r="J157" s="100" t="e">
        <f t="shared" ref="J157:J162" ca="1" si="33">IFERROR(__xludf.DUMMYFUNCTION("""COMPUTED_VALUE"""),"0")</f>
        <v>#NAME?</v>
      </c>
      <c r="K157" s="100" t="e">
        <f t="shared" ca="1" si="29"/>
        <v>#NAME?</v>
      </c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 spans="1:26">
      <c r="A158" s="100" t="e">
        <f ca="1">IFERROR(__xludf.DUMMYFUNCTION("""COMPUTED_VALUE"""),58783493)</f>
        <v>#NAME?</v>
      </c>
      <c r="B158" s="100" t="e">
        <f ca="1">IFERROR(__xludf.DUMMYFUNCTION("""COMPUTED_VALUE"""),"LSKBNB")</f>
        <v>#NAME?</v>
      </c>
      <c r="C158" s="100" t="e">
        <f ca="1">IFERROR(__xludf.DUMMYFUNCTION("""COMPUTED_VALUE"""),"0.00000000")</f>
        <v>#NAME?</v>
      </c>
      <c r="D158" s="100" t="e">
        <f t="shared" ca="1" si="31"/>
        <v>#NAME?</v>
      </c>
      <c r="E158" s="100" t="e">
        <f t="shared" ca="1" si="31"/>
        <v>#NAME?</v>
      </c>
      <c r="F158" s="100" t="e">
        <f t="shared" ca="1" si="24"/>
        <v>#NAME?</v>
      </c>
      <c r="G158" s="100" t="e">
        <f t="shared" ca="1" si="25"/>
        <v>#NAME?</v>
      </c>
      <c r="H158" s="100" t="e">
        <f t="shared" ca="1" si="26"/>
        <v>#NAME?</v>
      </c>
      <c r="I158" s="100" t="e">
        <f t="shared" ca="1" si="27"/>
        <v>#NAME?</v>
      </c>
      <c r="J158" s="100" t="e">
        <f t="shared" ca="1" si="33"/>
        <v>#NAME?</v>
      </c>
      <c r="K158" s="100" t="e">
        <f t="shared" ca="1" si="29"/>
        <v>#NAME?</v>
      </c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 spans="1:26">
      <c r="A159" s="100" t="e">
        <f ca="1">IFERROR(__xludf.DUMMYFUNCTION("""COMPUTED_VALUE"""),58783494)</f>
        <v>#NAME?</v>
      </c>
      <c r="B159" s="100" t="e">
        <f ca="1">IFERROR(__xludf.DUMMYFUNCTION("""COMPUTED_VALUE"""),"TNTBTC")</f>
        <v>#NAME?</v>
      </c>
      <c r="C159" s="100" t="e">
        <f ca="1">IFERROR(__xludf.DUMMYFUNCTION("""COMPUTED_VALUE"""),"0.00000000")</f>
        <v>#NAME?</v>
      </c>
      <c r="D159" s="100" t="e">
        <f t="shared" ca="1" si="31"/>
        <v>#NAME?</v>
      </c>
      <c r="E159" s="100" t="e">
        <f t="shared" ca="1" si="31"/>
        <v>#NAME?</v>
      </c>
      <c r="F159" s="100" t="e">
        <f t="shared" ca="1" si="24"/>
        <v>#NAME?</v>
      </c>
      <c r="G159" s="100" t="e">
        <f t="shared" ca="1" si="25"/>
        <v>#NAME?</v>
      </c>
      <c r="H159" s="100" t="e">
        <f t="shared" ca="1" si="26"/>
        <v>#NAME?</v>
      </c>
      <c r="I159" s="100" t="e">
        <f t="shared" ca="1" si="27"/>
        <v>#NAME?</v>
      </c>
      <c r="J159" s="100" t="e">
        <f t="shared" ca="1" si="33"/>
        <v>#NAME?</v>
      </c>
      <c r="K159" s="100" t="e">
        <f t="shared" ca="1" si="29"/>
        <v>#NAME?</v>
      </c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 spans="1:26">
      <c r="A160" s="100" t="e">
        <f ca="1">IFERROR(__xludf.DUMMYFUNCTION("""COMPUTED_VALUE"""),58783495)</f>
        <v>#NAME?</v>
      </c>
      <c r="B160" s="100" t="e">
        <f ca="1">IFERROR(__xludf.DUMMYFUNCTION("""COMPUTED_VALUE"""),"TNTETH")</f>
        <v>#NAME?</v>
      </c>
      <c r="C160" s="100" t="e">
        <f ca="1">IFERROR(__xludf.DUMMYFUNCTION("""COMPUTED_VALUE"""),"0.00000000")</f>
        <v>#NAME?</v>
      </c>
      <c r="D160" s="100" t="e">
        <f t="shared" ca="1" si="31"/>
        <v>#NAME?</v>
      </c>
      <c r="E160" s="100" t="e">
        <f t="shared" ca="1" si="31"/>
        <v>#NAME?</v>
      </c>
      <c r="F160" s="100" t="e">
        <f t="shared" ca="1" si="24"/>
        <v>#NAME?</v>
      </c>
      <c r="G160" s="100" t="e">
        <f t="shared" ca="1" si="25"/>
        <v>#NAME?</v>
      </c>
      <c r="H160" s="100" t="e">
        <f t="shared" ca="1" si="26"/>
        <v>#NAME?</v>
      </c>
      <c r="I160" s="100" t="e">
        <f t="shared" ca="1" si="27"/>
        <v>#NAME?</v>
      </c>
      <c r="J160" s="100" t="e">
        <f t="shared" ca="1" si="33"/>
        <v>#NAME?</v>
      </c>
      <c r="K160" s="100" t="e">
        <f t="shared" ca="1" si="29"/>
        <v>#NAME?</v>
      </c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 spans="1:26">
      <c r="A161" s="100" t="e">
        <f ca="1">IFERROR(__xludf.DUMMYFUNCTION("""COMPUTED_VALUE"""),58783496)</f>
        <v>#NAME?</v>
      </c>
      <c r="B161" s="100" t="e">
        <f ca="1">IFERROR(__xludf.DUMMYFUNCTION("""COMPUTED_VALUE"""),"FUELBTC")</f>
        <v>#NAME?</v>
      </c>
      <c r="C161" s="100" t="e">
        <f ca="1">IFERROR(__xludf.DUMMYFUNCTION("""COMPUTED_VALUE"""),"0.00000000")</f>
        <v>#NAME?</v>
      </c>
      <c r="D161" s="100" t="e">
        <f t="shared" ca="1" si="31"/>
        <v>#NAME?</v>
      </c>
      <c r="E161" s="100" t="e">
        <f t="shared" ca="1" si="31"/>
        <v>#NAME?</v>
      </c>
      <c r="F161" s="100" t="e">
        <f t="shared" ca="1" si="24"/>
        <v>#NAME?</v>
      </c>
      <c r="G161" s="100" t="e">
        <f t="shared" ca="1" si="25"/>
        <v>#NAME?</v>
      </c>
      <c r="H161" s="100" t="e">
        <f t="shared" ca="1" si="26"/>
        <v>#NAME?</v>
      </c>
      <c r="I161" s="100" t="e">
        <f t="shared" ca="1" si="27"/>
        <v>#NAME?</v>
      </c>
      <c r="J161" s="100" t="e">
        <f t="shared" ca="1" si="33"/>
        <v>#NAME?</v>
      </c>
      <c r="K161" s="100" t="e">
        <f t="shared" ca="1" si="29"/>
        <v>#NAME?</v>
      </c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 spans="1:26">
      <c r="A162" s="100" t="e">
        <f ca="1">IFERROR(__xludf.DUMMYFUNCTION("""COMPUTED_VALUE"""),58783497)</f>
        <v>#NAME?</v>
      </c>
      <c r="B162" s="100" t="e">
        <f ca="1">IFERROR(__xludf.DUMMYFUNCTION("""COMPUTED_VALUE"""),"FUELETH")</f>
        <v>#NAME?</v>
      </c>
      <c r="C162" s="100" t="e">
        <f ca="1">IFERROR(__xludf.DUMMYFUNCTION("""COMPUTED_VALUE"""),"0.00000000")</f>
        <v>#NAME?</v>
      </c>
      <c r="D162" s="100" t="e">
        <f t="shared" ref="D162:E181" ca="1" si="34">IFERROR(__xludf.DUMMYFUNCTION("""COMPUTED_VALUE"""),"-")</f>
        <v>#NAME?</v>
      </c>
      <c r="E162" s="100" t="e">
        <f t="shared" ca="1" si="34"/>
        <v>#NAME?</v>
      </c>
      <c r="F162" s="100" t="e">
        <f t="shared" ca="1" si="24"/>
        <v>#NAME?</v>
      </c>
      <c r="G162" s="100" t="e">
        <f t="shared" ca="1" si="25"/>
        <v>#NAME?</v>
      </c>
      <c r="H162" s="100" t="e">
        <f t="shared" ca="1" si="26"/>
        <v>#NAME?</v>
      </c>
      <c r="I162" s="100" t="e">
        <f t="shared" ca="1" si="27"/>
        <v>#NAME?</v>
      </c>
      <c r="J162" s="100" t="e">
        <f t="shared" ca="1" si="33"/>
        <v>#NAME?</v>
      </c>
      <c r="K162" s="100" t="e">
        <f t="shared" ca="1" si="29"/>
        <v>#NAME?</v>
      </c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 spans="1:26">
      <c r="A163" s="100" t="e">
        <f ca="1">IFERROR(__xludf.DUMMYFUNCTION("""COMPUTED_VALUE"""),58783498)</f>
        <v>#NAME?</v>
      </c>
      <c r="B163" s="100" t="e">
        <f ca="1">IFERROR(__xludf.DUMMYFUNCTION("""COMPUTED_VALUE"""),"MANABTC")</f>
        <v>#NAME?</v>
      </c>
      <c r="C163" s="100" t="e">
        <f ca="1">IFERROR(__xludf.DUMMYFUNCTION("""COMPUTED_VALUE"""),"0.00000338")</f>
        <v>#NAME?</v>
      </c>
      <c r="D163" s="100" t="e">
        <f t="shared" ca="1" si="34"/>
        <v>#NAME?</v>
      </c>
      <c r="E163" s="100" t="e">
        <f t="shared" ca="1" si="34"/>
        <v>#NAME?</v>
      </c>
      <c r="F163" s="100" t="e">
        <f t="shared" ca="1" si="24"/>
        <v>#NAME?</v>
      </c>
      <c r="G163" s="100" t="e">
        <f t="shared" ca="1" si="25"/>
        <v>#NAME?</v>
      </c>
      <c r="H163" s="100" t="e">
        <f t="shared" ca="1" si="26"/>
        <v>#NAME?</v>
      </c>
      <c r="I163" s="100" t="e">
        <f t="shared" ca="1" si="27"/>
        <v>#NAME?</v>
      </c>
      <c r="J163" s="100" t="e">
        <f ca="1">IFERROR(__xludf.DUMMYFUNCTION("""COMPUTED_VALUE"""),"-5.056")</f>
        <v>#NAME?</v>
      </c>
      <c r="K163" s="100" t="e">
        <f t="shared" ca="1" si="29"/>
        <v>#NAME?</v>
      </c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 spans="1:26">
      <c r="A164" s="100" t="e">
        <f ca="1">IFERROR(__xludf.DUMMYFUNCTION("""COMPUTED_VALUE"""),58783499)</f>
        <v>#NAME?</v>
      </c>
      <c r="B164" s="100" t="e">
        <f ca="1">IFERROR(__xludf.DUMMYFUNCTION("""COMPUTED_VALUE"""),"MANAETH")</f>
        <v>#NAME?</v>
      </c>
      <c r="C164" s="100" t="e">
        <f ca="1">IFERROR(__xludf.DUMMYFUNCTION("""COMPUTED_VALUE"""),"0.00018410")</f>
        <v>#NAME?</v>
      </c>
      <c r="D164" s="100" t="e">
        <f t="shared" ca="1" si="34"/>
        <v>#NAME?</v>
      </c>
      <c r="E164" s="100" t="e">
        <f t="shared" ca="1" si="34"/>
        <v>#NAME?</v>
      </c>
      <c r="F164" s="100" t="e">
        <f t="shared" ca="1" si="24"/>
        <v>#NAME?</v>
      </c>
      <c r="G164" s="100" t="e">
        <f t="shared" ca="1" si="25"/>
        <v>#NAME?</v>
      </c>
      <c r="H164" s="100" t="e">
        <f t="shared" ca="1" si="26"/>
        <v>#NAME?</v>
      </c>
      <c r="I164" s="100" t="e">
        <f t="shared" ca="1" si="27"/>
        <v>#NAME?</v>
      </c>
      <c r="J164" s="100" t="e">
        <f ca="1">IFERROR(__xludf.DUMMYFUNCTION("""COMPUTED_VALUE"""),"-3.054")</f>
        <v>#NAME?</v>
      </c>
      <c r="K164" s="100" t="e">
        <f t="shared" ca="1" si="29"/>
        <v>#NAME?</v>
      </c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 spans="1:26">
      <c r="A165" s="100" t="e">
        <f ca="1">IFERROR(__xludf.DUMMYFUNCTION("""COMPUTED_VALUE"""),58783500)</f>
        <v>#NAME?</v>
      </c>
      <c r="B165" s="100" t="e">
        <f ca="1">IFERROR(__xludf.DUMMYFUNCTION("""COMPUTED_VALUE"""),"BCDBTC")</f>
        <v>#NAME?</v>
      </c>
      <c r="C165" s="100" t="e">
        <f ca="1">IFERROR(__xludf.DUMMYFUNCTION("""COMPUTED_VALUE"""),"0.00000000")</f>
        <v>#NAME?</v>
      </c>
      <c r="D165" s="100" t="e">
        <f t="shared" ca="1" si="34"/>
        <v>#NAME?</v>
      </c>
      <c r="E165" s="100" t="e">
        <f t="shared" ca="1" si="34"/>
        <v>#NAME?</v>
      </c>
      <c r="F165" s="100" t="e">
        <f t="shared" ca="1" si="24"/>
        <v>#NAME?</v>
      </c>
      <c r="G165" s="100" t="e">
        <f t="shared" ca="1" si="25"/>
        <v>#NAME?</v>
      </c>
      <c r="H165" s="100" t="e">
        <f t="shared" ca="1" si="26"/>
        <v>#NAME?</v>
      </c>
      <c r="I165" s="100" t="e">
        <f t="shared" ca="1" si="27"/>
        <v>#NAME?</v>
      </c>
      <c r="J165" s="100" t="e">
        <f ca="1">IFERROR(__xludf.DUMMYFUNCTION("""COMPUTED_VALUE"""),"0")</f>
        <v>#NAME?</v>
      </c>
      <c r="K165" s="100" t="e">
        <f t="shared" ca="1" si="29"/>
        <v>#NAME?</v>
      </c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 spans="1:26">
      <c r="A166" s="100" t="e">
        <f ca="1">IFERROR(__xludf.DUMMYFUNCTION("""COMPUTED_VALUE"""),58783501)</f>
        <v>#NAME?</v>
      </c>
      <c r="B166" s="100" t="e">
        <f ca="1">IFERROR(__xludf.DUMMYFUNCTION("""COMPUTED_VALUE"""),"BCDETH")</f>
        <v>#NAME?</v>
      </c>
      <c r="C166" s="100" t="e">
        <f ca="1">IFERROR(__xludf.DUMMYFUNCTION("""COMPUTED_VALUE"""),"0.00000000")</f>
        <v>#NAME?</v>
      </c>
      <c r="D166" s="100" t="e">
        <f t="shared" ca="1" si="34"/>
        <v>#NAME?</v>
      </c>
      <c r="E166" s="100" t="e">
        <f t="shared" ca="1" si="34"/>
        <v>#NAME?</v>
      </c>
      <c r="F166" s="100" t="e">
        <f t="shared" ca="1" si="24"/>
        <v>#NAME?</v>
      </c>
      <c r="G166" s="100" t="e">
        <f t="shared" ca="1" si="25"/>
        <v>#NAME?</v>
      </c>
      <c r="H166" s="100" t="e">
        <f t="shared" ca="1" si="26"/>
        <v>#NAME?</v>
      </c>
      <c r="I166" s="100" t="e">
        <f t="shared" ca="1" si="27"/>
        <v>#NAME?</v>
      </c>
      <c r="J166" s="100" t="e">
        <f ca="1">IFERROR(__xludf.DUMMYFUNCTION("""COMPUTED_VALUE"""),"0")</f>
        <v>#NAME?</v>
      </c>
      <c r="K166" s="100" t="e">
        <f t="shared" ca="1" si="29"/>
        <v>#NAME?</v>
      </c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 spans="1:26">
      <c r="A167" s="100" t="e">
        <f ca="1">IFERROR(__xludf.DUMMYFUNCTION("""COMPUTED_VALUE"""),58783502)</f>
        <v>#NAME?</v>
      </c>
      <c r="B167" s="100" t="e">
        <f ca="1">IFERROR(__xludf.DUMMYFUNCTION("""COMPUTED_VALUE"""),"DGDBTC")</f>
        <v>#NAME?</v>
      </c>
      <c r="C167" s="100" t="e">
        <f ca="1">IFERROR(__xludf.DUMMYFUNCTION("""COMPUTED_VALUE"""),"0.00000000")</f>
        <v>#NAME?</v>
      </c>
      <c r="D167" s="100" t="e">
        <f t="shared" ca="1" si="34"/>
        <v>#NAME?</v>
      </c>
      <c r="E167" s="100" t="e">
        <f t="shared" ca="1" si="34"/>
        <v>#NAME?</v>
      </c>
      <c r="F167" s="100" t="e">
        <f t="shared" ca="1" si="24"/>
        <v>#NAME?</v>
      </c>
      <c r="G167" s="100" t="e">
        <f t="shared" ca="1" si="25"/>
        <v>#NAME?</v>
      </c>
      <c r="H167" s="100" t="e">
        <f t="shared" ca="1" si="26"/>
        <v>#NAME?</v>
      </c>
      <c r="I167" s="100" t="e">
        <f t="shared" ca="1" si="27"/>
        <v>#NAME?</v>
      </c>
      <c r="J167" s="100" t="e">
        <f ca="1">IFERROR(__xludf.DUMMYFUNCTION("""COMPUTED_VALUE"""),"0")</f>
        <v>#NAME?</v>
      </c>
      <c r="K167" s="100" t="e">
        <f t="shared" ca="1" si="29"/>
        <v>#NAME?</v>
      </c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 spans="1:26">
      <c r="A168" s="100" t="e">
        <f ca="1">IFERROR(__xludf.DUMMYFUNCTION("""COMPUTED_VALUE"""),58783503)</f>
        <v>#NAME?</v>
      </c>
      <c r="B168" s="100" t="e">
        <f ca="1">IFERROR(__xludf.DUMMYFUNCTION("""COMPUTED_VALUE"""),"DGDETH")</f>
        <v>#NAME?</v>
      </c>
      <c r="C168" s="100" t="e">
        <f ca="1">IFERROR(__xludf.DUMMYFUNCTION("""COMPUTED_VALUE"""),"0.00000000")</f>
        <v>#NAME?</v>
      </c>
      <c r="D168" s="100" t="e">
        <f t="shared" ca="1" si="34"/>
        <v>#NAME?</v>
      </c>
      <c r="E168" s="100" t="e">
        <f t="shared" ca="1" si="34"/>
        <v>#NAME?</v>
      </c>
      <c r="F168" s="100" t="e">
        <f t="shared" ca="1" si="24"/>
        <v>#NAME?</v>
      </c>
      <c r="G168" s="100" t="e">
        <f t="shared" ca="1" si="25"/>
        <v>#NAME?</v>
      </c>
      <c r="H168" s="100" t="e">
        <f t="shared" ca="1" si="26"/>
        <v>#NAME?</v>
      </c>
      <c r="I168" s="100" t="e">
        <f t="shared" ca="1" si="27"/>
        <v>#NAME?</v>
      </c>
      <c r="J168" s="100" t="e">
        <f ca="1">IFERROR(__xludf.DUMMYFUNCTION("""COMPUTED_VALUE"""),"0")</f>
        <v>#NAME?</v>
      </c>
      <c r="K168" s="100" t="e">
        <f t="shared" ca="1" si="29"/>
        <v>#NAME?</v>
      </c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 spans="1:26">
      <c r="A169" s="100" t="e">
        <f ca="1">IFERROR(__xludf.DUMMYFUNCTION("""COMPUTED_VALUE"""),58783504)</f>
        <v>#NAME?</v>
      </c>
      <c r="B169" s="100" t="e">
        <f ca="1">IFERROR(__xludf.DUMMYFUNCTION("""COMPUTED_VALUE"""),"IOTABNB")</f>
        <v>#NAME?</v>
      </c>
      <c r="C169" s="100" t="e">
        <f ca="1">IFERROR(__xludf.DUMMYFUNCTION("""COMPUTED_VALUE"""),"0.00071700")</f>
        <v>#NAME?</v>
      </c>
      <c r="D169" s="100" t="e">
        <f t="shared" ca="1" si="34"/>
        <v>#NAME?</v>
      </c>
      <c r="E169" s="100" t="e">
        <f t="shared" ca="1" si="34"/>
        <v>#NAME?</v>
      </c>
      <c r="F169" s="100" t="e">
        <f t="shared" ca="1" si="24"/>
        <v>#NAME?</v>
      </c>
      <c r="G169" s="100" t="e">
        <f t="shared" ca="1" si="25"/>
        <v>#NAME?</v>
      </c>
      <c r="H169" s="100" t="e">
        <f t="shared" ca="1" si="26"/>
        <v>#NAME?</v>
      </c>
      <c r="I169" s="100" t="e">
        <f t="shared" ca="1" si="27"/>
        <v>#NAME?</v>
      </c>
      <c r="J169" s="100" t="e">
        <f ca="1">IFERROR(__xludf.DUMMYFUNCTION("""COMPUTED_VALUE"""),"0")</f>
        <v>#NAME?</v>
      </c>
      <c r="K169" s="100" t="e">
        <f t="shared" ca="1" si="29"/>
        <v>#NAME?</v>
      </c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 spans="1:26">
      <c r="A170" s="100" t="e">
        <f ca="1">IFERROR(__xludf.DUMMYFUNCTION("""COMPUTED_VALUE"""),58783505)</f>
        <v>#NAME?</v>
      </c>
      <c r="B170" s="100" t="e">
        <f ca="1">IFERROR(__xludf.DUMMYFUNCTION("""COMPUTED_VALUE"""),"ADXBTC")</f>
        <v>#NAME?</v>
      </c>
      <c r="C170" s="100" t="e">
        <f ca="1">IFERROR(__xludf.DUMMYFUNCTION("""COMPUTED_VALUE"""),"0.00000100")</f>
        <v>#NAME?</v>
      </c>
      <c r="D170" s="100" t="e">
        <f t="shared" ca="1" si="34"/>
        <v>#NAME?</v>
      </c>
      <c r="E170" s="100" t="e">
        <f t="shared" ca="1" si="34"/>
        <v>#NAME?</v>
      </c>
      <c r="F170" s="100" t="e">
        <f t="shared" ca="1" si="24"/>
        <v>#NAME?</v>
      </c>
      <c r="G170" s="100" t="e">
        <f t="shared" ca="1" si="25"/>
        <v>#NAME?</v>
      </c>
      <c r="H170" s="100" t="e">
        <f t="shared" ca="1" si="26"/>
        <v>#NAME?</v>
      </c>
      <c r="I170" s="100" t="e">
        <f t="shared" ca="1" si="27"/>
        <v>#NAME?</v>
      </c>
      <c r="J170" s="100" t="e">
        <f ca="1">IFERROR(__xludf.DUMMYFUNCTION("""COMPUTED_VALUE"""),"-0.990")</f>
        <v>#NAME?</v>
      </c>
      <c r="K170" s="100" t="e">
        <f t="shared" ca="1" si="29"/>
        <v>#NAME?</v>
      </c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 spans="1:26">
      <c r="A171" s="100" t="e">
        <f ca="1">IFERROR(__xludf.DUMMYFUNCTION("""COMPUTED_VALUE"""),58783506)</f>
        <v>#NAME?</v>
      </c>
      <c r="B171" s="100" t="e">
        <f ca="1">IFERROR(__xludf.DUMMYFUNCTION("""COMPUTED_VALUE"""),"ADXETH")</f>
        <v>#NAME?</v>
      </c>
      <c r="C171" s="100" t="e">
        <f ca="1">IFERROR(__xludf.DUMMYFUNCTION("""COMPUTED_VALUE"""),"0.00005451")</f>
        <v>#NAME?</v>
      </c>
      <c r="D171" s="100" t="e">
        <f t="shared" ca="1" si="34"/>
        <v>#NAME?</v>
      </c>
      <c r="E171" s="100" t="e">
        <f t="shared" ca="1" si="34"/>
        <v>#NAME?</v>
      </c>
      <c r="F171" s="100" t="e">
        <f t="shared" ca="1" si="24"/>
        <v>#NAME?</v>
      </c>
      <c r="G171" s="100" t="e">
        <f t="shared" ca="1" si="25"/>
        <v>#NAME?</v>
      </c>
      <c r="H171" s="100" t="e">
        <f t="shared" ca="1" si="26"/>
        <v>#NAME?</v>
      </c>
      <c r="I171" s="100" t="e">
        <f t="shared" ca="1" si="27"/>
        <v>#NAME?</v>
      </c>
      <c r="J171" s="100" t="e">
        <f ca="1">IFERROR(__xludf.DUMMYFUNCTION("""COMPUTED_VALUE"""),"1.132")</f>
        <v>#NAME?</v>
      </c>
      <c r="K171" s="100" t="e">
        <f t="shared" ca="1" si="29"/>
        <v>#NAME?</v>
      </c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 spans="1:26">
      <c r="A172" s="100" t="e">
        <f ca="1">IFERROR(__xludf.DUMMYFUNCTION("""COMPUTED_VALUE"""),58783507)</f>
        <v>#NAME?</v>
      </c>
      <c r="B172" s="100" t="e">
        <f ca="1">IFERROR(__xludf.DUMMYFUNCTION("""COMPUTED_VALUE"""),"ADXBNB")</f>
        <v>#NAME?</v>
      </c>
      <c r="C172" s="100" t="e">
        <f ca="1">IFERROR(__xludf.DUMMYFUNCTION("""COMPUTED_VALUE"""),"0.00000000")</f>
        <v>#NAME?</v>
      </c>
      <c r="D172" s="100" t="e">
        <f t="shared" ca="1" si="34"/>
        <v>#NAME?</v>
      </c>
      <c r="E172" s="100" t="e">
        <f t="shared" ca="1" si="34"/>
        <v>#NAME?</v>
      </c>
      <c r="F172" s="100" t="e">
        <f t="shared" ca="1" si="24"/>
        <v>#NAME?</v>
      </c>
      <c r="G172" s="100" t="e">
        <f t="shared" ca="1" si="25"/>
        <v>#NAME?</v>
      </c>
      <c r="H172" s="100" t="e">
        <f t="shared" ca="1" si="26"/>
        <v>#NAME?</v>
      </c>
      <c r="I172" s="100" t="e">
        <f t="shared" ca="1" si="27"/>
        <v>#NAME?</v>
      </c>
      <c r="J172" s="100" t="e">
        <f ca="1">IFERROR(__xludf.DUMMYFUNCTION("""COMPUTED_VALUE"""),"0")</f>
        <v>#NAME?</v>
      </c>
      <c r="K172" s="100" t="e">
        <f t="shared" ca="1" si="29"/>
        <v>#NAME?</v>
      </c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 spans="1:26">
      <c r="A173" s="100" t="e">
        <f ca="1">IFERROR(__xludf.DUMMYFUNCTION("""COMPUTED_VALUE"""),58783508)</f>
        <v>#NAME?</v>
      </c>
      <c r="B173" s="100" t="e">
        <f ca="1">IFERROR(__xludf.DUMMYFUNCTION("""COMPUTED_VALUE"""),"ADABTC")</f>
        <v>#NAME?</v>
      </c>
      <c r="C173" s="100" t="e">
        <f ca="1">IFERROR(__xludf.DUMMYFUNCTION("""COMPUTED_VALUE"""),"0.00000723")</f>
        <v>#NAME?</v>
      </c>
      <c r="D173" s="100" t="e">
        <f t="shared" ca="1" si="34"/>
        <v>#NAME?</v>
      </c>
      <c r="E173" s="100" t="e">
        <f t="shared" ca="1" si="34"/>
        <v>#NAME?</v>
      </c>
      <c r="F173" s="100" t="e">
        <f t="shared" ca="1" si="24"/>
        <v>#NAME?</v>
      </c>
      <c r="G173" s="100" t="e">
        <f t="shared" ca="1" si="25"/>
        <v>#NAME?</v>
      </c>
      <c r="H173" s="100" t="e">
        <f t="shared" ca="1" si="26"/>
        <v>#NAME?</v>
      </c>
      <c r="I173" s="100" t="e">
        <f t="shared" ca="1" si="27"/>
        <v>#NAME?</v>
      </c>
      <c r="J173" s="100" t="e">
        <f ca="1">IFERROR(__xludf.DUMMYFUNCTION("""COMPUTED_VALUE"""),"-2.297")</f>
        <v>#NAME?</v>
      </c>
      <c r="K173" s="100" t="e">
        <f t="shared" ca="1" si="29"/>
        <v>#NAME?</v>
      </c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 spans="1:26">
      <c r="A174" s="100" t="e">
        <f ca="1">IFERROR(__xludf.DUMMYFUNCTION("""COMPUTED_VALUE"""),58783509)</f>
        <v>#NAME?</v>
      </c>
      <c r="B174" s="100" t="e">
        <f ca="1">IFERROR(__xludf.DUMMYFUNCTION("""COMPUTED_VALUE"""),"ADAETH")</f>
        <v>#NAME?</v>
      </c>
      <c r="C174" s="100" t="e">
        <f ca="1">IFERROR(__xludf.DUMMYFUNCTION("""COMPUTED_VALUE"""),"0.00039390")</f>
        <v>#NAME?</v>
      </c>
      <c r="D174" s="100" t="e">
        <f t="shared" ca="1" si="34"/>
        <v>#NAME?</v>
      </c>
      <c r="E174" s="100" t="e">
        <f t="shared" ca="1" si="34"/>
        <v>#NAME?</v>
      </c>
      <c r="F174" s="100" t="e">
        <f t="shared" ca="1" si="24"/>
        <v>#NAME?</v>
      </c>
      <c r="G174" s="100" t="e">
        <f t="shared" ca="1" si="25"/>
        <v>#NAME?</v>
      </c>
      <c r="H174" s="100" t="e">
        <f t="shared" ca="1" si="26"/>
        <v>#NAME?</v>
      </c>
      <c r="I174" s="100" t="e">
        <f t="shared" ca="1" si="27"/>
        <v>#NAME?</v>
      </c>
      <c r="J174" s="100" t="e">
        <f ca="1">IFERROR(__xludf.DUMMYFUNCTION("""COMPUTED_VALUE"""),"-0.101")</f>
        <v>#NAME?</v>
      </c>
      <c r="K174" s="100" t="e">
        <f t="shared" ca="1" si="29"/>
        <v>#NAME?</v>
      </c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 spans="1:26">
      <c r="A175" s="100" t="e">
        <f ca="1">IFERROR(__xludf.DUMMYFUNCTION("""COMPUTED_VALUE"""),58783510)</f>
        <v>#NAME?</v>
      </c>
      <c r="B175" s="100" t="e">
        <f ca="1">IFERROR(__xludf.DUMMYFUNCTION("""COMPUTED_VALUE"""),"PPTBTC")</f>
        <v>#NAME?</v>
      </c>
      <c r="C175" s="100" t="e">
        <f ca="1">IFERROR(__xludf.DUMMYFUNCTION("""COMPUTED_VALUE"""),"0.00000000")</f>
        <v>#NAME?</v>
      </c>
      <c r="D175" s="100" t="e">
        <f t="shared" ca="1" si="34"/>
        <v>#NAME?</v>
      </c>
      <c r="E175" s="100" t="e">
        <f t="shared" ca="1" si="34"/>
        <v>#NAME?</v>
      </c>
      <c r="F175" s="100" t="e">
        <f t="shared" ca="1" si="24"/>
        <v>#NAME?</v>
      </c>
      <c r="G175" s="100" t="e">
        <f t="shared" ca="1" si="25"/>
        <v>#NAME?</v>
      </c>
      <c r="H175" s="100" t="e">
        <f t="shared" ca="1" si="26"/>
        <v>#NAME?</v>
      </c>
      <c r="I175" s="100" t="e">
        <f t="shared" ca="1" si="27"/>
        <v>#NAME?</v>
      </c>
      <c r="J175" s="100" t="e">
        <f ca="1">IFERROR(__xludf.DUMMYFUNCTION("""COMPUTED_VALUE"""),"0")</f>
        <v>#NAME?</v>
      </c>
      <c r="K175" s="100" t="e">
        <f t="shared" ca="1" si="29"/>
        <v>#NAME?</v>
      </c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 spans="1:26">
      <c r="A176" s="100" t="e">
        <f ca="1">IFERROR(__xludf.DUMMYFUNCTION("""COMPUTED_VALUE"""),58783511)</f>
        <v>#NAME?</v>
      </c>
      <c r="B176" s="100" t="e">
        <f ca="1">IFERROR(__xludf.DUMMYFUNCTION("""COMPUTED_VALUE"""),"PPTETH")</f>
        <v>#NAME?</v>
      </c>
      <c r="C176" s="100" t="e">
        <f ca="1">IFERROR(__xludf.DUMMYFUNCTION("""COMPUTED_VALUE"""),"0.00000000")</f>
        <v>#NAME?</v>
      </c>
      <c r="D176" s="100" t="e">
        <f t="shared" ca="1" si="34"/>
        <v>#NAME?</v>
      </c>
      <c r="E176" s="100" t="e">
        <f t="shared" ca="1" si="34"/>
        <v>#NAME?</v>
      </c>
      <c r="F176" s="100" t="e">
        <f t="shared" ca="1" si="24"/>
        <v>#NAME?</v>
      </c>
      <c r="G176" s="100" t="e">
        <f t="shared" ca="1" si="25"/>
        <v>#NAME?</v>
      </c>
      <c r="H176" s="100" t="e">
        <f t="shared" ca="1" si="26"/>
        <v>#NAME?</v>
      </c>
      <c r="I176" s="100" t="e">
        <f t="shared" ca="1" si="27"/>
        <v>#NAME?</v>
      </c>
      <c r="J176" s="100" t="e">
        <f ca="1">IFERROR(__xludf.DUMMYFUNCTION("""COMPUTED_VALUE"""),"0")</f>
        <v>#NAME?</v>
      </c>
      <c r="K176" s="100" t="e">
        <f t="shared" ca="1" si="29"/>
        <v>#NAME?</v>
      </c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 spans="1:26">
      <c r="A177" s="100" t="e">
        <f ca="1">IFERROR(__xludf.DUMMYFUNCTION("""COMPUTED_VALUE"""),58783512)</f>
        <v>#NAME?</v>
      </c>
      <c r="B177" s="100" t="e">
        <f ca="1">IFERROR(__xludf.DUMMYFUNCTION("""COMPUTED_VALUE"""),"CMTBTC")</f>
        <v>#NAME?</v>
      </c>
      <c r="C177" s="100" t="e">
        <f ca="1">IFERROR(__xludf.DUMMYFUNCTION("""COMPUTED_VALUE"""),"0.00000000")</f>
        <v>#NAME?</v>
      </c>
      <c r="D177" s="100" t="e">
        <f t="shared" ca="1" si="34"/>
        <v>#NAME?</v>
      </c>
      <c r="E177" s="100" t="e">
        <f t="shared" ca="1" si="34"/>
        <v>#NAME?</v>
      </c>
      <c r="F177" s="100" t="e">
        <f t="shared" ca="1" si="24"/>
        <v>#NAME?</v>
      </c>
      <c r="G177" s="100" t="e">
        <f t="shared" ca="1" si="25"/>
        <v>#NAME?</v>
      </c>
      <c r="H177" s="100" t="e">
        <f t="shared" ca="1" si="26"/>
        <v>#NAME?</v>
      </c>
      <c r="I177" s="100" t="e">
        <f t="shared" ca="1" si="27"/>
        <v>#NAME?</v>
      </c>
      <c r="J177" s="100" t="e">
        <f ca="1">IFERROR(__xludf.DUMMYFUNCTION("""COMPUTED_VALUE"""),"0")</f>
        <v>#NAME?</v>
      </c>
      <c r="K177" s="100" t="e">
        <f t="shared" ca="1" si="29"/>
        <v>#NAME?</v>
      </c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 spans="1:26">
      <c r="A178" s="100" t="e">
        <f ca="1">IFERROR(__xludf.DUMMYFUNCTION("""COMPUTED_VALUE"""),58783513)</f>
        <v>#NAME?</v>
      </c>
      <c r="B178" s="100" t="e">
        <f ca="1">IFERROR(__xludf.DUMMYFUNCTION("""COMPUTED_VALUE"""),"CMTETH")</f>
        <v>#NAME?</v>
      </c>
      <c r="C178" s="100" t="e">
        <f ca="1">IFERROR(__xludf.DUMMYFUNCTION("""COMPUTED_VALUE"""),"0.00000000")</f>
        <v>#NAME?</v>
      </c>
      <c r="D178" s="100" t="e">
        <f t="shared" ca="1" si="34"/>
        <v>#NAME?</v>
      </c>
      <c r="E178" s="100" t="e">
        <f t="shared" ca="1" si="34"/>
        <v>#NAME?</v>
      </c>
      <c r="F178" s="100" t="e">
        <f t="shared" ca="1" si="24"/>
        <v>#NAME?</v>
      </c>
      <c r="G178" s="100" t="e">
        <f t="shared" ca="1" si="25"/>
        <v>#NAME?</v>
      </c>
      <c r="H178" s="100" t="e">
        <f t="shared" ca="1" si="26"/>
        <v>#NAME?</v>
      </c>
      <c r="I178" s="100" t="e">
        <f t="shared" ca="1" si="27"/>
        <v>#NAME?</v>
      </c>
      <c r="J178" s="100" t="e">
        <f ca="1">IFERROR(__xludf.DUMMYFUNCTION("""COMPUTED_VALUE"""),"0")</f>
        <v>#NAME?</v>
      </c>
      <c r="K178" s="100" t="e">
        <f t="shared" ca="1" si="29"/>
        <v>#NAME?</v>
      </c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 spans="1:26">
      <c r="A179" s="100" t="e">
        <f ca="1">IFERROR(__xludf.DUMMYFUNCTION("""COMPUTED_VALUE"""),58783514)</f>
        <v>#NAME?</v>
      </c>
      <c r="B179" s="100" t="e">
        <f ca="1">IFERROR(__xludf.DUMMYFUNCTION("""COMPUTED_VALUE"""),"CMTBNB")</f>
        <v>#NAME?</v>
      </c>
      <c r="C179" s="100" t="e">
        <f ca="1">IFERROR(__xludf.DUMMYFUNCTION("""COMPUTED_VALUE"""),"0.00000000")</f>
        <v>#NAME?</v>
      </c>
      <c r="D179" s="100" t="e">
        <f t="shared" ca="1" si="34"/>
        <v>#NAME?</v>
      </c>
      <c r="E179" s="100" t="e">
        <f t="shared" ca="1" si="34"/>
        <v>#NAME?</v>
      </c>
      <c r="F179" s="100" t="e">
        <f t="shared" ca="1" si="24"/>
        <v>#NAME?</v>
      </c>
      <c r="G179" s="100" t="e">
        <f t="shared" ca="1" si="25"/>
        <v>#NAME?</v>
      </c>
      <c r="H179" s="100" t="e">
        <f t="shared" ca="1" si="26"/>
        <v>#NAME?</v>
      </c>
      <c r="I179" s="100" t="e">
        <f t="shared" ca="1" si="27"/>
        <v>#NAME?</v>
      </c>
      <c r="J179" s="100" t="e">
        <f ca="1">IFERROR(__xludf.DUMMYFUNCTION("""COMPUTED_VALUE"""),"0")</f>
        <v>#NAME?</v>
      </c>
      <c r="K179" s="100" t="e">
        <f t="shared" ca="1" si="29"/>
        <v>#NAME?</v>
      </c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 spans="1:26">
      <c r="A180" s="100" t="e">
        <f ca="1">IFERROR(__xludf.DUMMYFUNCTION("""COMPUTED_VALUE"""),58783515)</f>
        <v>#NAME?</v>
      </c>
      <c r="B180" s="100" t="e">
        <f ca="1">IFERROR(__xludf.DUMMYFUNCTION("""COMPUTED_VALUE"""),"XLMBTC")</f>
        <v>#NAME?</v>
      </c>
      <c r="C180" s="100" t="e">
        <f ca="1">IFERROR(__xludf.DUMMYFUNCTION("""COMPUTED_VALUE"""),"0.00000280")</f>
        <v>#NAME?</v>
      </c>
      <c r="D180" s="100" t="e">
        <f t="shared" ca="1" si="34"/>
        <v>#NAME?</v>
      </c>
      <c r="E180" s="100" t="e">
        <f t="shared" ca="1" si="34"/>
        <v>#NAME?</v>
      </c>
      <c r="F180" s="100" t="e">
        <f t="shared" ca="1" si="24"/>
        <v>#NAME?</v>
      </c>
      <c r="G180" s="100" t="e">
        <f t="shared" ca="1" si="25"/>
        <v>#NAME?</v>
      </c>
      <c r="H180" s="100" t="e">
        <f t="shared" ca="1" si="26"/>
        <v>#NAME?</v>
      </c>
      <c r="I180" s="100" t="e">
        <f t="shared" ca="1" si="27"/>
        <v>#NAME?</v>
      </c>
      <c r="J180" s="100" t="e">
        <f ca="1">IFERROR(__xludf.DUMMYFUNCTION("""COMPUTED_VALUE"""),"-5.405")</f>
        <v>#NAME?</v>
      </c>
      <c r="K180" s="100" t="e">
        <f t="shared" ca="1" si="29"/>
        <v>#NAME?</v>
      </c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 spans="1:26">
      <c r="A181" s="100" t="e">
        <f ca="1">IFERROR(__xludf.DUMMYFUNCTION("""COMPUTED_VALUE"""),58783516)</f>
        <v>#NAME?</v>
      </c>
      <c r="B181" s="100" t="e">
        <f ca="1">IFERROR(__xludf.DUMMYFUNCTION("""COMPUTED_VALUE"""),"XLMETH")</f>
        <v>#NAME?</v>
      </c>
      <c r="C181" s="100" t="e">
        <f ca="1">IFERROR(__xludf.DUMMYFUNCTION("""COMPUTED_VALUE"""),"0.00015233")</f>
        <v>#NAME?</v>
      </c>
      <c r="D181" s="100" t="e">
        <f t="shared" ca="1" si="34"/>
        <v>#NAME?</v>
      </c>
      <c r="E181" s="100" t="e">
        <f t="shared" ca="1" si="34"/>
        <v>#NAME?</v>
      </c>
      <c r="F181" s="100" t="e">
        <f t="shared" ca="1" si="24"/>
        <v>#NAME?</v>
      </c>
      <c r="G181" s="100" t="e">
        <f t="shared" ca="1" si="25"/>
        <v>#NAME?</v>
      </c>
      <c r="H181" s="100" t="e">
        <f t="shared" ca="1" si="26"/>
        <v>#NAME?</v>
      </c>
      <c r="I181" s="100" t="e">
        <f t="shared" ca="1" si="27"/>
        <v>#NAME?</v>
      </c>
      <c r="J181" s="100" t="e">
        <f ca="1">IFERROR(__xludf.DUMMYFUNCTION("""COMPUTED_VALUE"""),"-3.552")</f>
        <v>#NAME?</v>
      </c>
      <c r="K181" s="100" t="e">
        <f t="shared" ca="1" si="29"/>
        <v>#NAME?</v>
      </c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 spans="1:26">
      <c r="A182" s="100" t="e">
        <f ca="1">IFERROR(__xludf.DUMMYFUNCTION("""COMPUTED_VALUE"""),58783517)</f>
        <v>#NAME?</v>
      </c>
      <c r="B182" s="100" t="e">
        <f ca="1">IFERROR(__xludf.DUMMYFUNCTION("""COMPUTED_VALUE"""),"XLMBNB")</f>
        <v>#NAME?</v>
      </c>
      <c r="C182" s="100" t="e">
        <f ca="1">IFERROR(__xludf.DUMMYFUNCTION("""COMPUTED_VALUE"""),"0.00030360")</f>
        <v>#NAME?</v>
      </c>
      <c r="D182" s="100" t="e">
        <f t="shared" ref="D182:E201" ca="1" si="35">IFERROR(__xludf.DUMMYFUNCTION("""COMPUTED_VALUE"""),"-")</f>
        <v>#NAME?</v>
      </c>
      <c r="E182" s="100" t="e">
        <f t="shared" ca="1" si="35"/>
        <v>#NAME?</v>
      </c>
      <c r="F182" s="100" t="e">
        <f t="shared" ca="1" si="24"/>
        <v>#NAME?</v>
      </c>
      <c r="G182" s="100" t="e">
        <f t="shared" ca="1" si="25"/>
        <v>#NAME?</v>
      </c>
      <c r="H182" s="100" t="e">
        <f t="shared" ca="1" si="26"/>
        <v>#NAME?</v>
      </c>
      <c r="I182" s="100" t="e">
        <f t="shared" ca="1" si="27"/>
        <v>#NAME?</v>
      </c>
      <c r="J182" s="100" t="e">
        <f t="shared" ref="J182:J190" ca="1" si="36">IFERROR(__xludf.DUMMYFUNCTION("""COMPUTED_VALUE"""),"0")</f>
        <v>#NAME?</v>
      </c>
      <c r="K182" s="100" t="e">
        <f t="shared" ca="1" si="29"/>
        <v>#NAME?</v>
      </c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 spans="1:26">
      <c r="A183" s="100" t="e">
        <f ca="1">IFERROR(__xludf.DUMMYFUNCTION("""COMPUTED_VALUE"""),58783518)</f>
        <v>#NAME?</v>
      </c>
      <c r="B183" s="100" t="e">
        <f ca="1">IFERROR(__xludf.DUMMYFUNCTION("""COMPUTED_VALUE"""),"CNDBTC")</f>
        <v>#NAME?</v>
      </c>
      <c r="C183" s="100" t="e">
        <f ca="1">IFERROR(__xludf.DUMMYFUNCTION("""COMPUTED_VALUE"""),"0.00000000")</f>
        <v>#NAME?</v>
      </c>
      <c r="D183" s="100" t="e">
        <f t="shared" ca="1" si="35"/>
        <v>#NAME?</v>
      </c>
      <c r="E183" s="100" t="e">
        <f t="shared" ca="1" si="35"/>
        <v>#NAME?</v>
      </c>
      <c r="F183" s="100" t="e">
        <f t="shared" ca="1" si="24"/>
        <v>#NAME?</v>
      </c>
      <c r="G183" s="100" t="e">
        <f t="shared" ca="1" si="25"/>
        <v>#NAME?</v>
      </c>
      <c r="H183" s="100" t="e">
        <f t="shared" ca="1" si="26"/>
        <v>#NAME?</v>
      </c>
      <c r="I183" s="100" t="e">
        <f t="shared" ca="1" si="27"/>
        <v>#NAME?</v>
      </c>
      <c r="J183" s="100" t="e">
        <f t="shared" ca="1" si="36"/>
        <v>#NAME?</v>
      </c>
      <c r="K183" s="100" t="e">
        <f t="shared" ca="1" si="29"/>
        <v>#NAME?</v>
      </c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 spans="1:26">
      <c r="A184" s="100" t="e">
        <f ca="1">IFERROR(__xludf.DUMMYFUNCTION("""COMPUTED_VALUE"""),58783519)</f>
        <v>#NAME?</v>
      </c>
      <c r="B184" s="100" t="e">
        <f ca="1">IFERROR(__xludf.DUMMYFUNCTION("""COMPUTED_VALUE"""),"CNDETH")</f>
        <v>#NAME?</v>
      </c>
      <c r="C184" s="100" t="e">
        <f ca="1">IFERROR(__xludf.DUMMYFUNCTION("""COMPUTED_VALUE"""),"0.00000000")</f>
        <v>#NAME?</v>
      </c>
      <c r="D184" s="100" t="e">
        <f t="shared" ca="1" si="35"/>
        <v>#NAME?</v>
      </c>
      <c r="E184" s="100" t="e">
        <f t="shared" ca="1" si="35"/>
        <v>#NAME?</v>
      </c>
      <c r="F184" s="100" t="e">
        <f t="shared" ca="1" si="24"/>
        <v>#NAME?</v>
      </c>
      <c r="G184" s="100" t="e">
        <f t="shared" ca="1" si="25"/>
        <v>#NAME?</v>
      </c>
      <c r="H184" s="100" t="e">
        <f t="shared" ca="1" si="26"/>
        <v>#NAME?</v>
      </c>
      <c r="I184" s="100" t="e">
        <f t="shared" ca="1" si="27"/>
        <v>#NAME?</v>
      </c>
      <c r="J184" s="100" t="e">
        <f t="shared" ca="1" si="36"/>
        <v>#NAME?</v>
      </c>
      <c r="K184" s="100" t="e">
        <f t="shared" ca="1" si="29"/>
        <v>#NAME?</v>
      </c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 spans="1:26">
      <c r="A185" s="100" t="e">
        <f ca="1">IFERROR(__xludf.DUMMYFUNCTION("""COMPUTED_VALUE"""),58783520)</f>
        <v>#NAME?</v>
      </c>
      <c r="B185" s="100" t="e">
        <f ca="1">IFERROR(__xludf.DUMMYFUNCTION("""COMPUTED_VALUE"""),"CNDBNB")</f>
        <v>#NAME?</v>
      </c>
      <c r="C185" s="100" t="e">
        <f ca="1">IFERROR(__xludf.DUMMYFUNCTION("""COMPUTED_VALUE"""),"0.00000000")</f>
        <v>#NAME?</v>
      </c>
      <c r="D185" s="100" t="e">
        <f t="shared" ca="1" si="35"/>
        <v>#NAME?</v>
      </c>
      <c r="E185" s="100" t="e">
        <f t="shared" ca="1" si="35"/>
        <v>#NAME?</v>
      </c>
      <c r="F185" s="100" t="e">
        <f t="shared" ca="1" si="24"/>
        <v>#NAME?</v>
      </c>
      <c r="G185" s="100" t="e">
        <f t="shared" ca="1" si="25"/>
        <v>#NAME?</v>
      </c>
      <c r="H185" s="100" t="e">
        <f t="shared" ca="1" si="26"/>
        <v>#NAME?</v>
      </c>
      <c r="I185" s="100" t="e">
        <f t="shared" ca="1" si="27"/>
        <v>#NAME?</v>
      </c>
      <c r="J185" s="100" t="e">
        <f t="shared" ca="1" si="36"/>
        <v>#NAME?</v>
      </c>
      <c r="K185" s="100" t="e">
        <f t="shared" ca="1" si="29"/>
        <v>#NAME?</v>
      </c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 spans="1:26">
      <c r="A186" s="100" t="e">
        <f ca="1">IFERROR(__xludf.DUMMYFUNCTION("""COMPUTED_VALUE"""),58783521)</f>
        <v>#NAME?</v>
      </c>
      <c r="B186" s="100" t="e">
        <f ca="1">IFERROR(__xludf.DUMMYFUNCTION("""COMPUTED_VALUE"""),"LENDBTC")</f>
        <v>#NAME?</v>
      </c>
      <c r="C186" s="100" t="e">
        <f ca="1">IFERROR(__xludf.DUMMYFUNCTION("""COMPUTED_VALUE"""),"0.00000000")</f>
        <v>#NAME?</v>
      </c>
      <c r="D186" s="100" t="e">
        <f t="shared" ca="1" si="35"/>
        <v>#NAME?</v>
      </c>
      <c r="E186" s="100" t="e">
        <f t="shared" ca="1" si="35"/>
        <v>#NAME?</v>
      </c>
      <c r="F186" s="100" t="e">
        <f t="shared" ca="1" si="24"/>
        <v>#NAME?</v>
      </c>
      <c r="G186" s="100" t="e">
        <f t="shared" ca="1" si="25"/>
        <v>#NAME?</v>
      </c>
      <c r="H186" s="100" t="e">
        <f t="shared" ca="1" si="26"/>
        <v>#NAME?</v>
      </c>
      <c r="I186" s="100" t="e">
        <f t="shared" ca="1" si="27"/>
        <v>#NAME?</v>
      </c>
      <c r="J186" s="100" t="e">
        <f t="shared" ca="1" si="36"/>
        <v>#NAME?</v>
      </c>
      <c r="K186" s="100" t="e">
        <f t="shared" ca="1" si="29"/>
        <v>#NAME?</v>
      </c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 spans="1:26">
      <c r="A187" s="100" t="e">
        <f ca="1">IFERROR(__xludf.DUMMYFUNCTION("""COMPUTED_VALUE"""),58783522)</f>
        <v>#NAME?</v>
      </c>
      <c r="B187" s="100" t="e">
        <f ca="1">IFERROR(__xludf.DUMMYFUNCTION("""COMPUTED_VALUE"""),"LENDETH")</f>
        <v>#NAME?</v>
      </c>
      <c r="C187" s="100" t="e">
        <f ca="1">IFERROR(__xludf.DUMMYFUNCTION("""COMPUTED_VALUE"""),"0.00000000")</f>
        <v>#NAME?</v>
      </c>
      <c r="D187" s="100" t="e">
        <f t="shared" ca="1" si="35"/>
        <v>#NAME?</v>
      </c>
      <c r="E187" s="100" t="e">
        <f t="shared" ca="1" si="35"/>
        <v>#NAME?</v>
      </c>
      <c r="F187" s="100" t="e">
        <f t="shared" ca="1" si="24"/>
        <v>#NAME?</v>
      </c>
      <c r="G187" s="100" t="e">
        <f t="shared" ca="1" si="25"/>
        <v>#NAME?</v>
      </c>
      <c r="H187" s="100" t="e">
        <f t="shared" ca="1" si="26"/>
        <v>#NAME?</v>
      </c>
      <c r="I187" s="100" t="e">
        <f t="shared" ca="1" si="27"/>
        <v>#NAME?</v>
      </c>
      <c r="J187" s="100" t="e">
        <f t="shared" ca="1" si="36"/>
        <v>#NAME?</v>
      </c>
      <c r="K187" s="100" t="e">
        <f t="shared" ca="1" si="29"/>
        <v>#NAME?</v>
      </c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 spans="1:26">
      <c r="A188" s="100" t="e">
        <f ca="1">IFERROR(__xludf.DUMMYFUNCTION("""COMPUTED_VALUE"""),58783523)</f>
        <v>#NAME?</v>
      </c>
      <c r="B188" s="100" t="e">
        <f ca="1">IFERROR(__xludf.DUMMYFUNCTION("""COMPUTED_VALUE"""),"WABIBTC")</f>
        <v>#NAME?</v>
      </c>
      <c r="C188" s="100" t="e">
        <f ca="1">IFERROR(__xludf.DUMMYFUNCTION("""COMPUTED_VALUE"""),"0.00000030")</f>
        <v>#NAME?</v>
      </c>
      <c r="D188" s="100" t="e">
        <f t="shared" ca="1" si="35"/>
        <v>#NAME?</v>
      </c>
      <c r="E188" s="100" t="e">
        <f t="shared" ca="1" si="35"/>
        <v>#NAME?</v>
      </c>
      <c r="F188" s="100" t="e">
        <f t="shared" ca="1" si="24"/>
        <v>#NAME?</v>
      </c>
      <c r="G188" s="100" t="e">
        <f t="shared" ca="1" si="25"/>
        <v>#NAME?</v>
      </c>
      <c r="H188" s="100" t="e">
        <f t="shared" ca="1" si="26"/>
        <v>#NAME?</v>
      </c>
      <c r="I188" s="100" t="e">
        <f t="shared" ca="1" si="27"/>
        <v>#NAME?</v>
      </c>
      <c r="J188" s="100" t="e">
        <f t="shared" ca="1" si="36"/>
        <v>#NAME?</v>
      </c>
      <c r="K188" s="100" t="e">
        <f t="shared" ca="1" si="29"/>
        <v>#NAME?</v>
      </c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 spans="1:26">
      <c r="A189" s="100" t="e">
        <f ca="1">IFERROR(__xludf.DUMMYFUNCTION("""COMPUTED_VALUE"""),58783524)</f>
        <v>#NAME?</v>
      </c>
      <c r="B189" s="100" t="e">
        <f ca="1">IFERROR(__xludf.DUMMYFUNCTION("""COMPUTED_VALUE"""),"WABIETH")</f>
        <v>#NAME?</v>
      </c>
      <c r="C189" s="100" t="e">
        <f ca="1">IFERROR(__xludf.DUMMYFUNCTION("""COMPUTED_VALUE"""),"0.00000000")</f>
        <v>#NAME?</v>
      </c>
      <c r="D189" s="100" t="e">
        <f t="shared" ca="1" si="35"/>
        <v>#NAME?</v>
      </c>
      <c r="E189" s="100" t="e">
        <f t="shared" ca="1" si="35"/>
        <v>#NAME?</v>
      </c>
      <c r="F189" s="100" t="e">
        <f t="shared" ca="1" si="24"/>
        <v>#NAME?</v>
      </c>
      <c r="G189" s="100" t="e">
        <f t="shared" ca="1" si="25"/>
        <v>#NAME?</v>
      </c>
      <c r="H189" s="100" t="e">
        <f t="shared" ca="1" si="26"/>
        <v>#NAME?</v>
      </c>
      <c r="I189" s="100" t="e">
        <f t="shared" ca="1" si="27"/>
        <v>#NAME?</v>
      </c>
      <c r="J189" s="100" t="e">
        <f t="shared" ca="1" si="36"/>
        <v>#NAME?</v>
      </c>
      <c r="K189" s="100" t="e">
        <f t="shared" ca="1" si="29"/>
        <v>#NAME?</v>
      </c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 spans="1:26">
      <c r="A190" s="100" t="e">
        <f ca="1">IFERROR(__xludf.DUMMYFUNCTION("""COMPUTED_VALUE"""),58783525)</f>
        <v>#NAME?</v>
      </c>
      <c r="B190" s="100" t="e">
        <f ca="1">IFERROR(__xludf.DUMMYFUNCTION("""COMPUTED_VALUE"""),"WABIBNB")</f>
        <v>#NAME?</v>
      </c>
      <c r="C190" s="100" t="e">
        <f ca="1">IFERROR(__xludf.DUMMYFUNCTION("""COMPUTED_VALUE"""),"0.00000000")</f>
        <v>#NAME?</v>
      </c>
      <c r="D190" s="100" t="e">
        <f t="shared" ca="1" si="35"/>
        <v>#NAME?</v>
      </c>
      <c r="E190" s="100" t="e">
        <f t="shared" ca="1" si="35"/>
        <v>#NAME?</v>
      </c>
      <c r="F190" s="100" t="e">
        <f t="shared" ca="1" si="24"/>
        <v>#NAME?</v>
      </c>
      <c r="G190" s="100" t="e">
        <f t="shared" ca="1" si="25"/>
        <v>#NAME?</v>
      </c>
      <c r="H190" s="100" t="e">
        <f t="shared" ca="1" si="26"/>
        <v>#NAME?</v>
      </c>
      <c r="I190" s="100" t="e">
        <f t="shared" ca="1" si="27"/>
        <v>#NAME?</v>
      </c>
      <c r="J190" s="100" t="e">
        <f t="shared" ca="1" si="36"/>
        <v>#NAME?</v>
      </c>
      <c r="K190" s="100" t="e">
        <f t="shared" ca="1" si="29"/>
        <v>#NAME?</v>
      </c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 spans="1:26">
      <c r="A191" s="100" t="e">
        <f ca="1">IFERROR(__xludf.DUMMYFUNCTION("""COMPUTED_VALUE"""),58783526)</f>
        <v>#NAME?</v>
      </c>
      <c r="B191" s="100" t="e">
        <f ca="1">IFERROR(__xludf.DUMMYFUNCTION("""COMPUTED_VALUE"""),"LTCETH")</f>
        <v>#NAME?</v>
      </c>
      <c r="C191" s="100" t="e">
        <f ca="1">IFERROR(__xludf.DUMMYFUNCTION("""COMPUTED_VALUE"""),"0.04887000")</f>
        <v>#NAME?</v>
      </c>
      <c r="D191" s="100" t="e">
        <f t="shared" ca="1" si="35"/>
        <v>#NAME?</v>
      </c>
      <c r="E191" s="100" t="e">
        <f t="shared" ca="1" si="35"/>
        <v>#NAME?</v>
      </c>
      <c r="F191" s="100" t="e">
        <f t="shared" ca="1" si="24"/>
        <v>#NAME?</v>
      </c>
      <c r="G191" s="100" t="e">
        <f t="shared" ca="1" si="25"/>
        <v>#NAME?</v>
      </c>
      <c r="H191" s="100" t="e">
        <f t="shared" ca="1" si="26"/>
        <v>#NAME?</v>
      </c>
      <c r="I191" s="100" t="e">
        <f t="shared" ca="1" si="27"/>
        <v>#NAME?</v>
      </c>
      <c r="J191" s="100" t="e">
        <f ca="1">IFERROR(__xludf.DUMMYFUNCTION("""COMPUTED_VALUE"""),"-0.812")</f>
        <v>#NAME?</v>
      </c>
      <c r="K191" s="100" t="e">
        <f t="shared" ca="1" si="29"/>
        <v>#NAME?</v>
      </c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 spans="1:26">
      <c r="A192" s="100" t="e">
        <f ca="1">IFERROR(__xludf.DUMMYFUNCTION("""COMPUTED_VALUE"""),58783527)</f>
        <v>#NAME?</v>
      </c>
      <c r="B192" s="100" t="e">
        <f ca="1">IFERROR(__xludf.DUMMYFUNCTION("""COMPUTED_VALUE"""),"LTCUSDT")</f>
        <v>#NAME?</v>
      </c>
      <c r="C192" s="100" t="e">
        <f ca="1">IFERROR(__xludf.DUMMYFUNCTION("""COMPUTED_VALUE"""),"79.39000000")</f>
        <v>#NAME?</v>
      </c>
      <c r="D192" s="100" t="e">
        <f t="shared" ca="1" si="35"/>
        <v>#NAME?</v>
      </c>
      <c r="E192" s="100" t="e">
        <f t="shared" ca="1" si="35"/>
        <v>#NAME?</v>
      </c>
      <c r="F192" s="100" t="e">
        <f t="shared" ca="1" si="24"/>
        <v>#NAME?</v>
      </c>
      <c r="G192" s="100" t="e">
        <f t="shared" ca="1" si="25"/>
        <v>#NAME?</v>
      </c>
      <c r="H192" s="100" t="e">
        <f t="shared" ca="1" si="26"/>
        <v>#NAME?</v>
      </c>
      <c r="I192" s="100" t="e">
        <f t="shared" ca="1" si="27"/>
        <v>#NAME?</v>
      </c>
      <c r="J192" s="100" t="e">
        <f ca="1">IFERROR(__xludf.DUMMYFUNCTION("""COMPUTED_VALUE"""),"-1.830")</f>
        <v>#NAME?</v>
      </c>
      <c r="K192" s="100" t="e">
        <f t="shared" ca="1" si="29"/>
        <v>#NAME?</v>
      </c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 spans="1:26">
      <c r="A193" s="100" t="e">
        <f ca="1">IFERROR(__xludf.DUMMYFUNCTION("""COMPUTED_VALUE"""),58783528)</f>
        <v>#NAME?</v>
      </c>
      <c r="B193" s="100" t="e">
        <f ca="1">IFERROR(__xludf.DUMMYFUNCTION("""COMPUTED_VALUE"""),"LTCBNB")</f>
        <v>#NAME?</v>
      </c>
      <c r="C193" s="100" t="e">
        <f ca="1">IFERROR(__xludf.DUMMYFUNCTION("""COMPUTED_VALUE"""),"0.13100000")</f>
        <v>#NAME?</v>
      </c>
      <c r="D193" s="100" t="e">
        <f t="shared" ca="1" si="35"/>
        <v>#NAME?</v>
      </c>
      <c r="E193" s="100" t="e">
        <f t="shared" ca="1" si="35"/>
        <v>#NAME?</v>
      </c>
      <c r="F193" s="100" t="e">
        <f t="shared" ca="1" si="24"/>
        <v>#NAME?</v>
      </c>
      <c r="G193" s="100" t="e">
        <f t="shared" ca="1" si="25"/>
        <v>#NAME?</v>
      </c>
      <c r="H193" s="100" t="e">
        <f t="shared" ca="1" si="26"/>
        <v>#NAME?</v>
      </c>
      <c r="I193" s="100" t="e">
        <f t="shared" ca="1" si="27"/>
        <v>#NAME?</v>
      </c>
      <c r="J193" s="100" t="e">
        <f ca="1">IFERROR(__xludf.DUMMYFUNCTION("""COMPUTED_VALUE"""),"-2.312")</f>
        <v>#NAME?</v>
      </c>
      <c r="K193" s="100" t="e">
        <f t="shared" ca="1" si="29"/>
        <v>#NAME?</v>
      </c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 spans="1:26">
      <c r="A194" s="100" t="e">
        <f ca="1">IFERROR(__xludf.DUMMYFUNCTION("""COMPUTED_VALUE"""),58783529)</f>
        <v>#NAME?</v>
      </c>
      <c r="B194" s="100" t="e">
        <f ca="1">IFERROR(__xludf.DUMMYFUNCTION("""COMPUTED_VALUE"""),"TNBBTC")</f>
        <v>#NAME?</v>
      </c>
      <c r="C194" s="100" t="e">
        <f ca="1">IFERROR(__xludf.DUMMYFUNCTION("""COMPUTED_VALUE"""),"0.00000000")</f>
        <v>#NAME?</v>
      </c>
      <c r="D194" s="100" t="e">
        <f t="shared" ca="1" si="35"/>
        <v>#NAME?</v>
      </c>
      <c r="E194" s="100" t="e">
        <f t="shared" ca="1" si="35"/>
        <v>#NAME?</v>
      </c>
      <c r="F194" s="100" t="e">
        <f t="shared" ref="F194:F257" ca="1" si="37">IFERROR(__xludf.DUMMYFUNCTION("""COMPUTED_VALUE"""),20200)</f>
        <v>#NAME?</v>
      </c>
      <c r="G194" s="100" t="e">
        <f t="shared" ref="G194:G257" ca="1" si="38">IFERROR(__xludf.DUMMYFUNCTION("""COMPUTED_VALUE"""),2885)</f>
        <v>#NAME?</v>
      </c>
      <c r="H194" s="100" t="e">
        <f t="shared" ref="H194:H257" ca="1" si="39">IFERROR(__xludf.DUMMYFUNCTION("""COMPUTED_VALUE"""),663)</f>
        <v>#NAME?</v>
      </c>
      <c r="I194" s="100" t="e">
        <f t="shared" ref="I194:I257" ca="1" si="40">IFERROR(__xludf.DUMMYFUNCTION("""COMPUTED_VALUE"""),5817721)</f>
        <v>#NAME?</v>
      </c>
      <c r="J194" s="100" t="e">
        <f t="shared" ref="J194:J201" ca="1" si="41">IFERROR(__xludf.DUMMYFUNCTION("""COMPUTED_VALUE"""),"0")</f>
        <v>#NAME?</v>
      </c>
      <c r="K194" s="100" t="e">
        <f t="shared" ref="K194:K257" ca="1" si="42">IFERROR(__xludf.DUMMYFUNCTION("""COMPUTED_VALUE"""),"22.04.2025 13:05:01")</f>
        <v>#NAME?</v>
      </c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 spans="1:26">
      <c r="A195" s="100" t="e">
        <f ca="1">IFERROR(__xludf.DUMMYFUNCTION("""COMPUTED_VALUE"""),58783530)</f>
        <v>#NAME?</v>
      </c>
      <c r="B195" s="100" t="e">
        <f ca="1">IFERROR(__xludf.DUMMYFUNCTION("""COMPUTED_VALUE"""),"TNBETH")</f>
        <v>#NAME?</v>
      </c>
      <c r="C195" s="100" t="e">
        <f ca="1">IFERROR(__xludf.DUMMYFUNCTION("""COMPUTED_VALUE"""),"0.00000000")</f>
        <v>#NAME?</v>
      </c>
      <c r="D195" s="100" t="e">
        <f t="shared" ca="1" si="35"/>
        <v>#NAME?</v>
      </c>
      <c r="E195" s="100" t="e">
        <f t="shared" ca="1" si="35"/>
        <v>#NAME?</v>
      </c>
      <c r="F195" s="100" t="e">
        <f t="shared" ca="1" si="37"/>
        <v>#NAME?</v>
      </c>
      <c r="G195" s="100" t="e">
        <f t="shared" ca="1" si="38"/>
        <v>#NAME?</v>
      </c>
      <c r="H195" s="100" t="e">
        <f t="shared" ca="1" si="39"/>
        <v>#NAME?</v>
      </c>
      <c r="I195" s="100" t="e">
        <f t="shared" ca="1" si="40"/>
        <v>#NAME?</v>
      </c>
      <c r="J195" s="100" t="e">
        <f t="shared" ca="1" si="41"/>
        <v>#NAME?</v>
      </c>
      <c r="K195" s="100" t="e">
        <f t="shared" ca="1" si="42"/>
        <v>#NAME?</v>
      </c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 spans="1:26">
      <c r="A196" s="100" t="e">
        <f ca="1">IFERROR(__xludf.DUMMYFUNCTION("""COMPUTED_VALUE"""),58783531)</f>
        <v>#NAME?</v>
      </c>
      <c r="B196" s="100" t="e">
        <f ca="1">IFERROR(__xludf.DUMMYFUNCTION("""COMPUTED_VALUE"""),"WAVESBTC")</f>
        <v>#NAME?</v>
      </c>
      <c r="C196" s="100" t="e">
        <f ca="1">IFERROR(__xludf.DUMMYFUNCTION("""COMPUTED_VALUE"""),"0.00001626")</f>
        <v>#NAME?</v>
      </c>
      <c r="D196" s="100" t="e">
        <f t="shared" ca="1" si="35"/>
        <v>#NAME?</v>
      </c>
      <c r="E196" s="100" t="e">
        <f t="shared" ca="1" si="35"/>
        <v>#NAME?</v>
      </c>
      <c r="F196" s="100" t="e">
        <f t="shared" ca="1" si="37"/>
        <v>#NAME?</v>
      </c>
      <c r="G196" s="100" t="e">
        <f t="shared" ca="1" si="38"/>
        <v>#NAME?</v>
      </c>
      <c r="H196" s="100" t="e">
        <f t="shared" ca="1" si="39"/>
        <v>#NAME?</v>
      </c>
      <c r="I196" s="100" t="e">
        <f t="shared" ca="1" si="40"/>
        <v>#NAME?</v>
      </c>
      <c r="J196" s="100" t="e">
        <f t="shared" ca="1" si="41"/>
        <v>#NAME?</v>
      </c>
      <c r="K196" s="100" t="e">
        <f t="shared" ca="1" si="42"/>
        <v>#NAME?</v>
      </c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 spans="1:26">
      <c r="A197" s="100" t="e">
        <f ca="1">IFERROR(__xludf.DUMMYFUNCTION("""COMPUTED_VALUE"""),58783532)</f>
        <v>#NAME?</v>
      </c>
      <c r="B197" s="100" t="e">
        <f ca="1">IFERROR(__xludf.DUMMYFUNCTION("""COMPUTED_VALUE"""),"WAVESETH")</f>
        <v>#NAME?</v>
      </c>
      <c r="C197" s="100" t="e">
        <f ca="1">IFERROR(__xludf.DUMMYFUNCTION("""COMPUTED_VALUE"""),"0.00029800")</f>
        <v>#NAME?</v>
      </c>
      <c r="D197" s="100" t="e">
        <f t="shared" ca="1" si="35"/>
        <v>#NAME?</v>
      </c>
      <c r="E197" s="100" t="e">
        <f t="shared" ca="1" si="35"/>
        <v>#NAME?</v>
      </c>
      <c r="F197" s="100" t="e">
        <f t="shared" ca="1" si="37"/>
        <v>#NAME?</v>
      </c>
      <c r="G197" s="100" t="e">
        <f t="shared" ca="1" si="38"/>
        <v>#NAME?</v>
      </c>
      <c r="H197" s="100" t="e">
        <f t="shared" ca="1" si="39"/>
        <v>#NAME?</v>
      </c>
      <c r="I197" s="100" t="e">
        <f t="shared" ca="1" si="40"/>
        <v>#NAME?</v>
      </c>
      <c r="J197" s="100" t="e">
        <f t="shared" ca="1" si="41"/>
        <v>#NAME?</v>
      </c>
      <c r="K197" s="100" t="e">
        <f t="shared" ca="1" si="42"/>
        <v>#NAME?</v>
      </c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 spans="1:26">
      <c r="A198" s="100" t="e">
        <f ca="1">IFERROR(__xludf.DUMMYFUNCTION("""COMPUTED_VALUE"""),58783533)</f>
        <v>#NAME?</v>
      </c>
      <c r="B198" s="100" t="e">
        <f ca="1">IFERROR(__xludf.DUMMYFUNCTION("""COMPUTED_VALUE"""),"WAVESBNB")</f>
        <v>#NAME?</v>
      </c>
      <c r="C198" s="100" t="e">
        <f ca="1">IFERROR(__xludf.DUMMYFUNCTION("""COMPUTED_VALUE"""),"0.00513000")</f>
        <v>#NAME?</v>
      </c>
      <c r="D198" s="100" t="e">
        <f t="shared" ca="1" si="35"/>
        <v>#NAME?</v>
      </c>
      <c r="E198" s="100" t="e">
        <f t="shared" ca="1" si="35"/>
        <v>#NAME?</v>
      </c>
      <c r="F198" s="100" t="e">
        <f t="shared" ca="1" si="37"/>
        <v>#NAME?</v>
      </c>
      <c r="G198" s="100" t="e">
        <f t="shared" ca="1" si="38"/>
        <v>#NAME?</v>
      </c>
      <c r="H198" s="100" t="e">
        <f t="shared" ca="1" si="39"/>
        <v>#NAME?</v>
      </c>
      <c r="I198" s="100" t="e">
        <f t="shared" ca="1" si="40"/>
        <v>#NAME?</v>
      </c>
      <c r="J198" s="100" t="e">
        <f t="shared" ca="1" si="41"/>
        <v>#NAME?</v>
      </c>
      <c r="K198" s="100" t="e">
        <f t="shared" ca="1" si="42"/>
        <v>#NAME?</v>
      </c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 spans="1:26">
      <c r="A199" s="100" t="e">
        <f ca="1">IFERROR(__xludf.DUMMYFUNCTION("""COMPUTED_VALUE"""),58783534)</f>
        <v>#NAME?</v>
      </c>
      <c r="B199" s="100" t="e">
        <f ca="1">IFERROR(__xludf.DUMMYFUNCTION("""COMPUTED_VALUE"""),"GTOBTC")</f>
        <v>#NAME?</v>
      </c>
      <c r="C199" s="100" t="e">
        <f ca="1">IFERROR(__xludf.DUMMYFUNCTION("""COMPUTED_VALUE"""),"0.00000077")</f>
        <v>#NAME?</v>
      </c>
      <c r="D199" s="100" t="e">
        <f t="shared" ca="1" si="35"/>
        <v>#NAME?</v>
      </c>
      <c r="E199" s="100" t="e">
        <f t="shared" ca="1" si="35"/>
        <v>#NAME?</v>
      </c>
      <c r="F199" s="100" t="e">
        <f t="shared" ca="1" si="37"/>
        <v>#NAME?</v>
      </c>
      <c r="G199" s="100" t="e">
        <f t="shared" ca="1" si="38"/>
        <v>#NAME?</v>
      </c>
      <c r="H199" s="100" t="e">
        <f t="shared" ca="1" si="39"/>
        <v>#NAME?</v>
      </c>
      <c r="I199" s="100" t="e">
        <f t="shared" ca="1" si="40"/>
        <v>#NAME?</v>
      </c>
      <c r="J199" s="100" t="e">
        <f t="shared" ca="1" si="41"/>
        <v>#NAME?</v>
      </c>
      <c r="K199" s="100" t="e">
        <f t="shared" ca="1" si="42"/>
        <v>#NAME?</v>
      </c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 spans="1:26">
      <c r="A200" s="100" t="e">
        <f ca="1">IFERROR(__xludf.DUMMYFUNCTION("""COMPUTED_VALUE"""),58783535)</f>
        <v>#NAME?</v>
      </c>
      <c r="B200" s="100" t="e">
        <f ca="1">IFERROR(__xludf.DUMMYFUNCTION("""COMPUTED_VALUE"""),"GTOETH")</f>
        <v>#NAME?</v>
      </c>
      <c r="C200" s="100" t="e">
        <f ca="1">IFERROR(__xludf.DUMMYFUNCTION("""COMPUTED_VALUE"""),"0.00000000")</f>
        <v>#NAME?</v>
      </c>
      <c r="D200" s="100" t="e">
        <f t="shared" ca="1" si="35"/>
        <v>#NAME?</v>
      </c>
      <c r="E200" s="100" t="e">
        <f t="shared" ca="1" si="35"/>
        <v>#NAME?</v>
      </c>
      <c r="F200" s="100" t="e">
        <f t="shared" ca="1" si="37"/>
        <v>#NAME?</v>
      </c>
      <c r="G200" s="100" t="e">
        <f t="shared" ca="1" si="38"/>
        <v>#NAME?</v>
      </c>
      <c r="H200" s="100" t="e">
        <f t="shared" ca="1" si="39"/>
        <v>#NAME?</v>
      </c>
      <c r="I200" s="100" t="e">
        <f t="shared" ca="1" si="40"/>
        <v>#NAME?</v>
      </c>
      <c r="J200" s="100" t="e">
        <f t="shared" ca="1" si="41"/>
        <v>#NAME?</v>
      </c>
      <c r="K200" s="100" t="e">
        <f t="shared" ca="1" si="42"/>
        <v>#NAME?</v>
      </c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 spans="1:26">
      <c r="A201" s="100" t="e">
        <f ca="1">IFERROR(__xludf.DUMMYFUNCTION("""COMPUTED_VALUE"""),58783536)</f>
        <v>#NAME?</v>
      </c>
      <c r="B201" s="100" t="e">
        <f ca="1">IFERROR(__xludf.DUMMYFUNCTION("""COMPUTED_VALUE"""),"GTOBNB")</f>
        <v>#NAME?</v>
      </c>
      <c r="C201" s="100" t="e">
        <f ca="1">IFERROR(__xludf.DUMMYFUNCTION("""COMPUTED_VALUE"""),"0.00000000")</f>
        <v>#NAME?</v>
      </c>
      <c r="D201" s="100" t="e">
        <f t="shared" ca="1" si="35"/>
        <v>#NAME?</v>
      </c>
      <c r="E201" s="100" t="e">
        <f t="shared" ca="1" si="35"/>
        <v>#NAME?</v>
      </c>
      <c r="F201" s="100" t="e">
        <f t="shared" ca="1" si="37"/>
        <v>#NAME?</v>
      </c>
      <c r="G201" s="100" t="e">
        <f t="shared" ca="1" si="38"/>
        <v>#NAME?</v>
      </c>
      <c r="H201" s="100" t="e">
        <f t="shared" ca="1" si="39"/>
        <v>#NAME?</v>
      </c>
      <c r="I201" s="100" t="e">
        <f t="shared" ca="1" si="40"/>
        <v>#NAME?</v>
      </c>
      <c r="J201" s="100" t="e">
        <f t="shared" ca="1" si="41"/>
        <v>#NAME?</v>
      </c>
      <c r="K201" s="100" t="e">
        <f t="shared" ca="1" si="42"/>
        <v>#NAME?</v>
      </c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 spans="1:26">
      <c r="A202" s="100" t="e">
        <f ca="1">IFERROR(__xludf.DUMMYFUNCTION("""COMPUTED_VALUE"""),58783537)</f>
        <v>#NAME?</v>
      </c>
      <c r="B202" s="100" t="e">
        <f ca="1">IFERROR(__xludf.DUMMYFUNCTION("""COMPUTED_VALUE"""),"ICXBTC")</f>
        <v>#NAME?</v>
      </c>
      <c r="C202" s="100" t="e">
        <f ca="1">IFERROR(__xludf.DUMMYFUNCTION("""COMPUTED_VALUE"""),"0.00000114")</f>
        <v>#NAME?</v>
      </c>
      <c r="D202" s="100" t="e">
        <f t="shared" ref="D202:E221" ca="1" si="43">IFERROR(__xludf.DUMMYFUNCTION("""COMPUTED_VALUE"""),"-")</f>
        <v>#NAME?</v>
      </c>
      <c r="E202" s="100" t="e">
        <f t="shared" ca="1" si="43"/>
        <v>#NAME?</v>
      </c>
      <c r="F202" s="100" t="e">
        <f t="shared" ca="1" si="37"/>
        <v>#NAME?</v>
      </c>
      <c r="G202" s="100" t="e">
        <f t="shared" ca="1" si="38"/>
        <v>#NAME?</v>
      </c>
      <c r="H202" s="100" t="e">
        <f t="shared" ca="1" si="39"/>
        <v>#NAME?</v>
      </c>
      <c r="I202" s="100" t="e">
        <f t="shared" ca="1" si="40"/>
        <v>#NAME?</v>
      </c>
      <c r="J202" s="100" t="e">
        <f ca="1">IFERROR(__xludf.DUMMYFUNCTION("""COMPUTED_VALUE"""),"-2.564")</f>
        <v>#NAME?</v>
      </c>
      <c r="K202" s="100" t="e">
        <f t="shared" ca="1" si="42"/>
        <v>#NAME?</v>
      </c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 spans="1:26">
      <c r="A203" s="100" t="e">
        <f ca="1">IFERROR(__xludf.DUMMYFUNCTION("""COMPUTED_VALUE"""),58783538)</f>
        <v>#NAME?</v>
      </c>
      <c r="B203" s="100" t="e">
        <f ca="1">IFERROR(__xludf.DUMMYFUNCTION("""COMPUTED_VALUE"""),"ICXETH")</f>
        <v>#NAME?</v>
      </c>
      <c r="C203" s="100" t="e">
        <f ca="1">IFERROR(__xludf.DUMMYFUNCTION("""COMPUTED_VALUE"""),"0.00011790")</f>
        <v>#NAME?</v>
      </c>
      <c r="D203" s="100" t="e">
        <f t="shared" ca="1" si="43"/>
        <v>#NAME?</v>
      </c>
      <c r="E203" s="100" t="e">
        <f t="shared" ca="1" si="43"/>
        <v>#NAME?</v>
      </c>
      <c r="F203" s="100" t="e">
        <f t="shared" ca="1" si="37"/>
        <v>#NAME?</v>
      </c>
      <c r="G203" s="100" t="e">
        <f t="shared" ca="1" si="38"/>
        <v>#NAME?</v>
      </c>
      <c r="H203" s="100" t="e">
        <f t="shared" ca="1" si="39"/>
        <v>#NAME?</v>
      </c>
      <c r="I203" s="100" t="e">
        <f t="shared" ca="1" si="40"/>
        <v>#NAME?</v>
      </c>
      <c r="J203" s="100" t="e">
        <f ca="1">IFERROR(__xludf.DUMMYFUNCTION("""COMPUTED_VALUE"""),"0")</f>
        <v>#NAME?</v>
      </c>
      <c r="K203" s="100" t="e">
        <f t="shared" ca="1" si="42"/>
        <v>#NAME?</v>
      </c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 spans="1:26">
      <c r="A204" s="100" t="e">
        <f ca="1">IFERROR(__xludf.DUMMYFUNCTION("""COMPUTED_VALUE"""),58783539)</f>
        <v>#NAME?</v>
      </c>
      <c r="B204" s="100" t="e">
        <f ca="1">IFERROR(__xludf.DUMMYFUNCTION("""COMPUTED_VALUE"""),"ICXBNB")</f>
        <v>#NAME?</v>
      </c>
      <c r="C204" s="100" t="e">
        <f ca="1">IFERROR(__xludf.DUMMYFUNCTION("""COMPUTED_VALUE"""),"0.00000000")</f>
        <v>#NAME?</v>
      </c>
      <c r="D204" s="100" t="e">
        <f t="shared" ca="1" si="43"/>
        <v>#NAME?</v>
      </c>
      <c r="E204" s="100" t="e">
        <f t="shared" ca="1" si="43"/>
        <v>#NAME?</v>
      </c>
      <c r="F204" s="100" t="e">
        <f t="shared" ca="1" si="37"/>
        <v>#NAME?</v>
      </c>
      <c r="G204" s="100" t="e">
        <f t="shared" ca="1" si="38"/>
        <v>#NAME?</v>
      </c>
      <c r="H204" s="100" t="e">
        <f t="shared" ca="1" si="39"/>
        <v>#NAME?</v>
      </c>
      <c r="I204" s="100" t="e">
        <f t="shared" ca="1" si="40"/>
        <v>#NAME?</v>
      </c>
      <c r="J204" s="100" t="e">
        <f ca="1">IFERROR(__xludf.DUMMYFUNCTION("""COMPUTED_VALUE"""),"0")</f>
        <v>#NAME?</v>
      </c>
      <c r="K204" s="100" t="e">
        <f t="shared" ca="1" si="42"/>
        <v>#NAME?</v>
      </c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 spans="1:26">
      <c r="A205" s="100" t="e">
        <f ca="1">IFERROR(__xludf.DUMMYFUNCTION("""COMPUTED_VALUE"""),58783540)</f>
        <v>#NAME?</v>
      </c>
      <c r="B205" s="100" t="e">
        <f ca="1">IFERROR(__xludf.DUMMYFUNCTION("""COMPUTED_VALUE"""),"OSTBTC")</f>
        <v>#NAME?</v>
      </c>
      <c r="C205" s="100" t="e">
        <f ca="1">IFERROR(__xludf.DUMMYFUNCTION("""COMPUTED_VALUE"""),"0.00000000")</f>
        <v>#NAME?</v>
      </c>
      <c r="D205" s="100" t="e">
        <f t="shared" ca="1" si="43"/>
        <v>#NAME?</v>
      </c>
      <c r="E205" s="100" t="e">
        <f t="shared" ca="1" si="43"/>
        <v>#NAME?</v>
      </c>
      <c r="F205" s="100" t="e">
        <f t="shared" ca="1" si="37"/>
        <v>#NAME?</v>
      </c>
      <c r="G205" s="100" t="e">
        <f t="shared" ca="1" si="38"/>
        <v>#NAME?</v>
      </c>
      <c r="H205" s="100" t="e">
        <f t="shared" ca="1" si="39"/>
        <v>#NAME?</v>
      </c>
      <c r="I205" s="100" t="e">
        <f t="shared" ca="1" si="40"/>
        <v>#NAME?</v>
      </c>
      <c r="J205" s="100" t="e">
        <f ca="1">IFERROR(__xludf.DUMMYFUNCTION("""COMPUTED_VALUE"""),"0")</f>
        <v>#NAME?</v>
      </c>
      <c r="K205" s="100" t="e">
        <f t="shared" ca="1" si="42"/>
        <v>#NAME?</v>
      </c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 spans="1:26">
      <c r="A206" s="100" t="e">
        <f ca="1">IFERROR(__xludf.DUMMYFUNCTION("""COMPUTED_VALUE"""),58783541)</f>
        <v>#NAME?</v>
      </c>
      <c r="B206" s="100" t="e">
        <f ca="1">IFERROR(__xludf.DUMMYFUNCTION("""COMPUTED_VALUE"""),"OSTETH")</f>
        <v>#NAME?</v>
      </c>
      <c r="C206" s="100" t="e">
        <f ca="1">IFERROR(__xludf.DUMMYFUNCTION("""COMPUTED_VALUE"""),"0.00000000")</f>
        <v>#NAME?</v>
      </c>
      <c r="D206" s="100" t="e">
        <f t="shared" ca="1" si="43"/>
        <v>#NAME?</v>
      </c>
      <c r="E206" s="100" t="e">
        <f t="shared" ca="1" si="43"/>
        <v>#NAME?</v>
      </c>
      <c r="F206" s="100" t="e">
        <f t="shared" ca="1" si="37"/>
        <v>#NAME?</v>
      </c>
      <c r="G206" s="100" t="e">
        <f t="shared" ca="1" si="38"/>
        <v>#NAME?</v>
      </c>
      <c r="H206" s="100" t="e">
        <f t="shared" ca="1" si="39"/>
        <v>#NAME?</v>
      </c>
      <c r="I206" s="100" t="e">
        <f t="shared" ca="1" si="40"/>
        <v>#NAME?</v>
      </c>
      <c r="J206" s="100" t="e">
        <f ca="1">IFERROR(__xludf.DUMMYFUNCTION("""COMPUTED_VALUE"""),"0")</f>
        <v>#NAME?</v>
      </c>
      <c r="K206" s="100" t="e">
        <f t="shared" ca="1" si="42"/>
        <v>#NAME?</v>
      </c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 spans="1:26">
      <c r="A207" s="100" t="e">
        <f ca="1">IFERROR(__xludf.DUMMYFUNCTION("""COMPUTED_VALUE"""),58783542)</f>
        <v>#NAME?</v>
      </c>
      <c r="B207" s="100" t="e">
        <f ca="1">IFERROR(__xludf.DUMMYFUNCTION("""COMPUTED_VALUE"""),"OSTBNB")</f>
        <v>#NAME?</v>
      </c>
      <c r="C207" s="100" t="e">
        <f ca="1">IFERROR(__xludf.DUMMYFUNCTION("""COMPUTED_VALUE"""),"0.00000000")</f>
        <v>#NAME?</v>
      </c>
      <c r="D207" s="100" t="e">
        <f t="shared" ca="1" si="43"/>
        <v>#NAME?</v>
      </c>
      <c r="E207" s="100" t="e">
        <f t="shared" ca="1" si="43"/>
        <v>#NAME?</v>
      </c>
      <c r="F207" s="100" t="e">
        <f t="shared" ca="1" si="37"/>
        <v>#NAME?</v>
      </c>
      <c r="G207" s="100" t="e">
        <f t="shared" ca="1" si="38"/>
        <v>#NAME?</v>
      </c>
      <c r="H207" s="100" t="e">
        <f t="shared" ca="1" si="39"/>
        <v>#NAME?</v>
      </c>
      <c r="I207" s="100" t="e">
        <f t="shared" ca="1" si="40"/>
        <v>#NAME?</v>
      </c>
      <c r="J207" s="100" t="e">
        <f ca="1">IFERROR(__xludf.DUMMYFUNCTION("""COMPUTED_VALUE"""),"0")</f>
        <v>#NAME?</v>
      </c>
      <c r="K207" s="100" t="e">
        <f t="shared" ca="1" si="42"/>
        <v>#NAME?</v>
      </c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 spans="1:26">
      <c r="A208" s="100" t="e">
        <f ca="1">IFERROR(__xludf.DUMMYFUNCTION("""COMPUTED_VALUE"""),58783543)</f>
        <v>#NAME?</v>
      </c>
      <c r="B208" s="100" t="e">
        <f ca="1">IFERROR(__xludf.DUMMYFUNCTION("""COMPUTED_VALUE"""),"ELFBTC")</f>
        <v>#NAME?</v>
      </c>
      <c r="C208" s="100" t="e">
        <f ca="1">IFERROR(__xludf.DUMMYFUNCTION("""COMPUTED_VALUE"""),"0.00000274")</f>
        <v>#NAME?</v>
      </c>
      <c r="D208" s="100" t="e">
        <f t="shared" ca="1" si="43"/>
        <v>#NAME?</v>
      </c>
      <c r="E208" s="100" t="e">
        <f t="shared" ca="1" si="43"/>
        <v>#NAME?</v>
      </c>
      <c r="F208" s="100" t="e">
        <f t="shared" ca="1" si="37"/>
        <v>#NAME?</v>
      </c>
      <c r="G208" s="100" t="e">
        <f t="shared" ca="1" si="38"/>
        <v>#NAME?</v>
      </c>
      <c r="H208" s="100" t="e">
        <f t="shared" ca="1" si="39"/>
        <v>#NAME?</v>
      </c>
      <c r="I208" s="100" t="e">
        <f t="shared" ca="1" si="40"/>
        <v>#NAME?</v>
      </c>
      <c r="J208" s="100" t="e">
        <f ca="1">IFERROR(__xludf.DUMMYFUNCTION("""COMPUTED_VALUE"""),"11.837")</f>
        <v>#NAME?</v>
      </c>
      <c r="K208" s="100" t="e">
        <f t="shared" ca="1" si="42"/>
        <v>#NAME?</v>
      </c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 spans="1:26">
      <c r="A209" s="100" t="e">
        <f ca="1">IFERROR(__xludf.DUMMYFUNCTION("""COMPUTED_VALUE"""),58783544)</f>
        <v>#NAME?</v>
      </c>
      <c r="B209" s="100" t="e">
        <f ca="1">IFERROR(__xludf.DUMMYFUNCTION("""COMPUTED_VALUE"""),"ELFETH")</f>
        <v>#NAME?</v>
      </c>
      <c r="C209" s="100" t="e">
        <f ca="1">IFERROR(__xludf.DUMMYFUNCTION("""COMPUTED_VALUE"""),"0.00014330")</f>
        <v>#NAME?</v>
      </c>
      <c r="D209" s="100" t="e">
        <f t="shared" ca="1" si="43"/>
        <v>#NAME?</v>
      </c>
      <c r="E209" s="100" t="e">
        <f t="shared" ca="1" si="43"/>
        <v>#NAME?</v>
      </c>
      <c r="F209" s="100" t="e">
        <f t="shared" ca="1" si="37"/>
        <v>#NAME?</v>
      </c>
      <c r="G209" s="100" t="e">
        <f t="shared" ca="1" si="38"/>
        <v>#NAME?</v>
      </c>
      <c r="H209" s="100" t="e">
        <f t="shared" ca="1" si="39"/>
        <v>#NAME?</v>
      </c>
      <c r="I209" s="100" t="e">
        <f t="shared" ca="1" si="40"/>
        <v>#NAME?</v>
      </c>
      <c r="J209" s="100" t="e">
        <f ca="1">IFERROR(__xludf.DUMMYFUNCTION("""COMPUTED_VALUE"""),"11.778")</f>
        <v>#NAME?</v>
      </c>
      <c r="K209" s="100" t="e">
        <f t="shared" ca="1" si="42"/>
        <v>#NAME?</v>
      </c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 spans="1:26">
      <c r="A210" s="100" t="e">
        <f ca="1">IFERROR(__xludf.DUMMYFUNCTION("""COMPUTED_VALUE"""),58783545)</f>
        <v>#NAME?</v>
      </c>
      <c r="B210" s="100" t="e">
        <f ca="1">IFERROR(__xludf.DUMMYFUNCTION("""COMPUTED_VALUE"""),"AIONBTC")</f>
        <v>#NAME?</v>
      </c>
      <c r="C210" s="100" t="e">
        <f ca="1">IFERROR(__xludf.DUMMYFUNCTION("""COMPUTED_VALUE"""),"0.00000139")</f>
        <v>#NAME?</v>
      </c>
      <c r="D210" s="100" t="e">
        <f t="shared" ca="1" si="43"/>
        <v>#NAME?</v>
      </c>
      <c r="E210" s="100" t="e">
        <f t="shared" ca="1" si="43"/>
        <v>#NAME?</v>
      </c>
      <c r="F210" s="100" t="e">
        <f t="shared" ca="1" si="37"/>
        <v>#NAME?</v>
      </c>
      <c r="G210" s="100" t="e">
        <f t="shared" ca="1" si="38"/>
        <v>#NAME?</v>
      </c>
      <c r="H210" s="100" t="e">
        <f t="shared" ca="1" si="39"/>
        <v>#NAME?</v>
      </c>
      <c r="I210" s="100" t="e">
        <f t="shared" ca="1" si="40"/>
        <v>#NAME?</v>
      </c>
      <c r="J210" s="100" t="e">
        <f t="shared" ref="J210:J235" ca="1" si="44">IFERROR(__xludf.DUMMYFUNCTION("""COMPUTED_VALUE"""),"0")</f>
        <v>#NAME?</v>
      </c>
      <c r="K210" s="100" t="e">
        <f t="shared" ca="1" si="42"/>
        <v>#NAME?</v>
      </c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 spans="1:26">
      <c r="A211" s="100" t="e">
        <f ca="1">IFERROR(__xludf.DUMMYFUNCTION("""COMPUTED_VALUE"""),58783546)</f>
        <v>#NAME?</v>
      </c>
      <c r="B211" s="100" t="e">
        <f ca="1">IFERROR(__xludf.DUMMYFUNCTION("""COMPUTED_VALUE"""),"AIONETH")</f>
        <v>#NAME?</v>
      </c>
      <c r="C211" s="100" t="e">
        <f ca="1">IFERROR(__xludf.DUMMYFUNCTION("""COMPUTED_VALUE"""),"0.00000000")</f>
        <v>#NAME?</v>
      </c>
      <c r="D211" s="100" t="e">
        <f t="shared" ca="1" si="43"/>
        <v>#NAME?</v>
      </c>
      <c r="E211" s="100" t="e">
        <f t="shared" ca="1" si="43"/>
        <v>#NAME?</v>
      </c>
      <c r="F211" s="100" t="e">
        <f t="shared" ca="1" si="37"/>
        <v>#NAME?</v>
      </c>
      <c r="G211" s="100" t="e">
        <f t="shared" ca="1" si="38"/>
        <v>#NAME?</v>
      </c>
      <c r="H211" s="100" t="e">
        <f t="shared" ca="1" si="39"/>
        <v>#NAME?</v>
      </c>
      <c r="I211" s="100" t="e">
        <f t="shared" ca="1" si="40"/>
        <v>#NAME?</v>
      </c>
      <c r="J211" s="100" t="e">
        <f t="shared" ca="1" si="44"/>
        <v>#NAME?</v>
      </c>
      <c r="K211" s="100" t="e">
        <f t="shared" ca="1" si="42"/>
        <v>#NAME?</v>
      </c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 spans="1:26">
      <c r="A212" s="100" t="e">
        <f ca="1">IFERROR(__xludf.DUMMYFUNCTION("""COMPUTED_VALUE"""),58783547)</f>
        <v>#NAME?</v>
      </c>
      <c r="B212" s="100" t="e">
        <f ca="1">IFERROR(__xludf.DUMMYFUNCTION("""COMPUTED_VALUE"""),"AIONBNB")</f>
        <v>#NAME?</v>
      </c>
      <c r="C212" s="100" t="e">
        <f ca="1">IFERROR(__xludf.DUMMYFUNCTION("""COMPUTED_VALUE"""),"0.00000000")</f>
        <v>#NAME?</v>
      </c>
      <c r="D212" s="100" t="e">
        <f t="shared" ca="1" si="43"/>
        <v>#NAME?</v>
      </c>
      <c r="E212" s="100" t="e">
        <f t="shared" ca="1" si="43"/>
        <v>#NAME?</v>
      </c>
      <c r="F212" s="100" t="e">
        <f t="shared" ca="1" si="37"/>
        <v>#NAME?</v>
      </c>
      <c r="G212" s="100" t="e">
        <f t="shared" ca="1" si="38"/>
        <v>#NAME?</v>
      </c>
      <c r="H212" s="100" t="e">
        <f t="shared" ca="1" si="39"/>
        <v>#NAME?</v>
      </c>
      <c r="I212" s="100" t="e">
        <f t="shared" ca="1" si="40"/>
        <v>#NAME?</v>
      </c>
      <c r="J212" s="100" t="e">
        <f t="shared" ca="1" si="44"/>
        <v>#NAME?</v>
      </c>
      <c r="K212" s="100" t="e">
        <f t="shared" ca="1" si="42"/>
        <v>#NAME?</v>
      </c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 spans="1:26">
      <c r="A213" s="100" t="e">
        <f ca="1">IFERROR(__xludf.DUMMYFUNCTION("""COMPUTED_VALUE"""),58783548)</f>
        <v>#NAME?</v>
      </c>
      <c r="B213" s="100" t="e">
        <f ca="1">IFERROR(__xludf.DUMMYFUNCTION("""COMPUTED_VALUE"""),"NEBLBTC")</f>
        <v>#NAME?</v>
      </c>
      <c r="C213" s="100" t="e">
        <f ca="1">IFERROR(__xludf.DUMMYFUNCTION("""COMPUTED_VALUE"""),"0.00001200")</f>
        <v>#NAME?</v>
      </c>
      <c r="D213" s="100" t="e">
        <f t="shared" ca="1" si="43"/>
        <v>#NAME?</v>
      </c>
      <c r="E213" s="100" t="e">
        <f t="shared" ca="1" si="43"/>
        <v>#NAME?</v>
      </c>
      <c r="F213" s="100" t="e">
        <f t="shared" ca="1" si="37"/>
        <v>#NAME?</v>
      </c>
      <c r="G213" s="100" t="e">
        <f t="shared" ca="1" si="38"/>
        <v>#NAME?</v>
      </c>
      <c r="H213" s="100" t="e">
        <f t="shared" ca="1" si="39"/>
        <v>#NAME?</v>
      </c>
      <c r="I213" s="100" t="e">
        <f t="shared" ca="1" si="40"/>
        <v>#NAME?</v>
      </c>
      <c r="J213" s="100" t="e">
        <f t="shared" ca="1" si="44"/>
        <v>#NAME?</v>
      </c>
      <c r="K213" s="100" t="e">
        <f t="shared" ca="1" si="42"/>
        <v>#NAME?</v>
      </c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 spans="1:26">
      <c r="A214" s="100" t="e">
        <f ca="1">IFERROR(__xludf.DUMMYFUNCTION("""COMPUTED_VALUE"""),58783549)</f>
        <v>#NAME?</v>
      </c>
      <c r="B214" s="100" t="e">
        <f ca="1">IFERROR(__xludf.DUMMYFUNCTION("""COMPUTED_VALUE"""),"NEBLBNB")</f>
        <v>#NAME?</v>
      </c>
      <c r="C214" s="100" t="e">
        <f t="shared" ref="C214:C235" ca="1" si="45">IFERROR(__xludf.DUMMYFUNCTION("""COMPUTED_VALUE"""),"0.00000000")</f>
        <v>#NAME?</v>
      </c>
      <c r="D214" s="100" t="e">
        <f t="shared" ca="1" si="43"/>
        <v>#NAME?</v>
      </c>
      <c r="E214" s="100" t="e">
        <f t="shared" ca="1" si="43"/>
        <v>#NAME?</v>
      </c>
      <c r="F214" s="100" t="e">
        <f t="shared" ca="1" si="37"/>
        <v>#NAME?</v>
      </c>
      <c r="G214" s="100" t="e">
        <f t="shared" ca="1" si="38"/>
        <v>#NAME?</v>
      </c>
      <c r="H214" s="100" t="e">
        <f t="shared" ca="1" si="39"/>
        <v>#NAME?</v>
      </c>
      <c r="I214" s="100" t="e">
        <f t="shared" ca="1" si="40"/>
        <v>#NAME?</v>
      </c>
      <c r="J214" s="100" t="e">
        <f t="shared" ca="1" si="44"/>
        <v>#NAME?</v>
      </c>
      <c r="K214" s="100" t="e">
        <f t="shared" ca="1" si="42"/>
        <v>#NAME?</v>
      </c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 spans="1:26">
      <c r="A215" s="100" t="e">
        <f ca="1">IFERROR(__xludf.DUMMYFUNCTION("""COMPUTED_VALUE"""),58783550)</f>
        <v>#NAME?</v>
      </c>
      <c r="B215" s="100" t="e">
        <f ca="1">IFERROR(__xludf.DUMMYFUNCTION("""COMPUTED_VALUE"""),"BRDBTC")</f>
        <v>#NAME?</v>
      </c>
      <c r="C215" s="100" t="e">
        <f t="shared" ca="1" si="45"/>
        <v>#NAME?</v>
      </c>
      <c r="D215" s="100" t="e">
        <f t="shared" ca="1" si="43"/>
        <v>#NAME?</v>
      </c>
      <c r="E215" s="100" t="e">
        <f t="shared" ca="1" si="43"/>
        <v>#NAME?</v>
      </c>
      <c r="F215" s="100" t="e">
        <f t="shared" ca="1" si="37"/>
        <v>#NAME?</v>
      </c>
      <c r="G215" s="100" t="e">
        <f t="shared" ca="1" si="38"/>
        <v>#NAME?</v>
      </c>
      <c r="H215" s="100" t="e">
        <f t="shared" ca="1" si="39"/>
        <v>#NAME?</v>
      </c>
      <c r="I215" s="100" t="e">
        <f t="shared" ca="1" si="40"/>
        <v>#NAME?</v>
      </c>
      <c r="J215" s="100" t="e">
        <f t="shared" ca="1" si="44"/>
        <v>#NAME?</v>
      </c>
      <c r="K215" s="100" t="e">
        <f t="shared" ca="1" si="42"/>
        <v>#NAME?</v>
      </c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 spans="1:26">
      <c r="A216" s="100" t="e">
        <f ca="1">IFERROR(__xludf.DUMMYFUNCTION("""COMPUTED_VALUE"""),58783551)</f>
        <v>#NAME?</v>
      </c>
      <c r="B216" s="100" t="e">
        <f ca="1">IFERROR(__xludf.DUMMYFUNCTION("""COMPUTED_VALUE"""),"BRDETH")</f>
        <v>#NAME?</v>
      </c>
      <c r="C216" s="100" t="e">
        <f t="shared" ca="1" si="45"/>
        <v>#NAME?</v>
      </c>
      <c r="D216" s="100" t="e">
        <f t="shared" ca="1" si="43"/>
        <v>#NAME?</v>
      </c>
      <c r="E216" s="100" t="e">
        <f t="shared" ca="1" si="43"/>
        <v>#NAME?</v>
      </c>
      <c r="F216" s="100" t="e">
        <f t="shared" ca="1" si="37"/>
        <v>#NAME?</v>
      </c>
      <c r="G216" s="100" t="e">
        <f t="shared" ca="1" si="38"/>
        <v>#NAME?</v>
      </c>
      <c r="H216" s="100" t="e">
        <f t="shared" ca="1" si="39"/>
        <v>#NAME?</v>
      </c>
      <c r="I216" s="100" t="e">
        <f t="shared" ca="1" si="40"/>
        <v>#NAME?</v>
      </c>
      <c r="J216" s="100" t="e">
        <f t="shared" ca="1" si="44"/>
        <v>#NAME?</v>
      </c>
      <c r="K216" s="100" t="e">
        <f t="shared" ca="1" si="42"/>
        <v>#NAME?</v>
      </c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 spans="1:26">
      <c r="A217" s="100" t="e">
        <f ca="1">IFERROR(__xludf.DUMMYFUNCTION("""COMPUTED_VALUE"""),58783552)</f>
        <v>#NAME?</v>
      </c>
      <c r="B217" s="100" t="e">
        <f ca="1">IFERROR(__xludf.DUMMYFUNCTION("""COMPUTED_VALUE"""),"BRDBNB")</f>
        <v>#NAME?</v>
      </c>
      <c r="C217" s="100" t="e">
        <f t="shared" ca="1" si="45"/>
        <v>#NAME?</v>
      </c>
      <c r="D217" s="100" t="e">
        <f t="shared" ca="1" si="43"/>
        <v>#NAME?</v>
      </c>
      <c r="E217" s="100" t="e">
        <f t="shared" ca="1" si="43"/>
        <v>#NAME?</v>
      </c>
      <c r="F217" s="100" t="e">
        <f t="shared" ca="1" si="37"/>
        <v>#NAME?</v>
      </c>
      <c r="G217" s="100" t="e">
        <f t="shared" ca="1" si="38"/>
        <v>#NAME?</v>
      </c>
      <c r="H217" s="100" t="e">
        <f t="shared" ca="1" si="39"/>
        <v>#NAME?</v>
      </c>
      <c r="I217" s="100" t="e">
        <f t="shared" ca="1" si="40"/>
        <v>#NAME?</v>
      </c>
      <c r="J217" s="100" t="e">
        <f t="shared" ca="1" si="44"/>
        <v>#NAME?</v>
      </c>
      <c r="K217" s="100" t="e">
        <f t="shared" ca="1" si="42"/>
        <v>#NAME?</v>
      </c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 spans="1:26">
      <c r="A218" s="100" t="e">
        <f ca="1">IFERROR(__xludf.DUMMYFUNCTION("""COMPUTED_VALUE"""),58783553)</f>
        <v>#NAME?</v>
      </c>
      <c r="B218" s="100" t="e">
        <f ca="1">IFERROR(__xludf.DUMMYFUNCTION("""COMPUTED_VALUE"""),"MCOBNB")</f>
        <v>#NAME?</v>
      </c>
      <c r="C218" s="100" t="e">
        <f t="shared" ca="1" si="45"/>
        <v>#NAME?</v>
      </c>
      <c r="D218" s="100" t="e">
        <f t="shared" ca="1" si="43"/>
        <v>#NAME?</v>
      </c>
      <c r="E218" s="100" t="e">
        <f t="shared" ca="1" si="43"/>
        <v>#NAME?</v>
      </c>
      <c r="F218" s="100" t="e">
        <f t="shared" ca="1" si="37"/>
        <v>#NAME?</v>
      </c>
      <c r="G218" s="100" t="e">
        <f t="shared" ca="1" si="38"/>
        <v>#NAME?</v>
      </c>
      <c r="H218" s="100" t="e">
        <f t="shared" ca="1" si="39"/>
        <v>#NAME?</v>
      </c>
      <c r="I218" s="100" t="e">
        <f t="shared" ca="1" si="40"/>
        <v>#NAME?</v>
      </c>
      <c r="J218" s="100" t="e">
        <f t="shared" ca="1" si="44"/>
        <v>#NAME?</v>
      </c>
      <c r="K218" s="100" t="e">
        <f t="shared" ca="1" si="42"/>
        <v>#NAME?</v>
      </c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 spans="1:26">
      <c r="A219" s="100" t="e">
        <f ca="1">IFERROR(__xludf.DUMMYFUNCTION("""COMPUTED_VALUE"""),58783554)</f>
        <v>#NAME?</v>
      </c>
      <c r="B219" s="100" t="e">
        <f ca="1">IFERROR(__xludf.DUMMYFUNCTION("""COMPUTED_VALUE"""),"EDOBTC")</f>
        <v>#NAME?</v>
      </c>
      <c r="C219" s="100" t="e">
        <f t="shared" ca="1" si="45"/>
        <v>#NAME?</v>
      </c>
      <c r="D219" s="100" t="e">
        <f t="shared" ca="1" si="43"/>
        <v>#NAME?</v>
      </c>
      <c r="E219" s="100" t="e">
        <f t="shared" ca="1" si="43"/>
        <v>#NAME?</v>
      </c>
      <c r="F219" s="100" t="e">
        <f t="shared" ca="1" si="37"/>
        <v>#NAME?</v>
      </c>
      <c r="G219" s="100" t="e">
        <f t="shared" ca="1" si="38"/>
        <v>#NAME?</v>
      </c>
      <c r="H219" s="100" t="e">
        <f t="shared" ca="1" si="39"/>
        <v>#NAME?</v>
      </c>
      <c r="I219" s="100" t="e">
        <f t="shared" ca="1" si="40"/>
        <v>#NAME?</v>
      </c>
      <c r="J219" s="100" t="e">
        <f t="shared" ca="1" si="44"/>
        <v>#NAME?</v>
      </c>
      <c r="K219" s="100" t="e">
        <f t="shared" ca="1" si="42"/>
        <v>#NAME?</v>
      </c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 spans="1:26">
      <c r="A220" s="100" t="e">
        <f ca="1">IFERROR(__xludf.DUMMYFUNCTION("""COMPUTED_VALUE"""),58783555)</f>
        <v>#NAME?</v>
      </c>
      <c r="B220" s="100" t="e">
        <f ca="1">IFERROR(__xludf.DUMMYFUNCTION("""COMPUTED_VALUE"""),"EDOETH")</f>
        <v>#NAME?</v>
      </c>
      <c r="C220" s="100" t="e">
        <f t="shared" ca="1" si="45"/>
        <v>#NAME?</v>
      </c>
      <c r="D220" s="100" t="e">
        <f t="shared" ca="1" si="43"/>
        <v>#NAME?</v>
      </c>
      <c r="E220" s="100" t="e">
        <f t="shared" ca="1" si="43"/>
        <v>#NAME?</v>
      </c>
      <c r="F220" s="100" t="e">
        <f t="shared" ca="1" si="37"/>
        <v>#NAME?</v>
      </c>
      <c r="G220" s="100" t="e">
        <f t="shared" ca="1" si="38"/>
        <v>#NAME?</v>
      </c>
      <c r="H220" s="100" t="e">
        <f t="shared" ca="1" si="39"/>
        <v>#NAME?</v>
      </c>
      <c r="I220" s="100" t="e">
        <f t="shared" ca="1" si="40"/>
        <v>#NAME?</v>
      </c>
      <c r="J220" s="100" t="e">
        <f t="shared" ca="1" si="44"/>
        <v>#NAME?</v>
      </c>
      <c r="K220" s="100" t="e">
        <f t="shared" ca="1" si="42"/>
        <v>#NAME?</v>
      </c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 spans="1:26">
      <c r="A221" s="100" t="e">
        <f ca="1">IFERROR(__xludf.DUMMYFUNCTION("""COMPUTED_VALUE"""),58783556)</f>
        <v>#NAME?</v>
      </c>
      <c r="B221" s="100" t="e">
        <f ca="1">IFERROR(__xludf.DUMMYFUNCTION("""COMPUTED_VALUE"""),"WINGSBTC")</f>
        <v>#NAME?</v>
      </c>
      <c r="C221" s="100" t="e">
        <f t="shared" ca="1" si="45"/>
        <v>#NAME?</v>
      </c>
      <c r="D221" s="100" t="e">
        <f t="shared" ca="1" si="43"/>
        <v>#NAME?</v>
      </c>
      <c r="E221" s="100" t="e">
        <f t="shared" ca="1" si="43"/>
        <v>#NAME?</v>
      </c>
      <c r="F221" s="100" t="e">
        <f t="shared" ca="1" si="37"/>
        <v>#NAME?</v>
      </c>
      <c r="G221" s="100" t="e">
        <f t="shared" ca="1" si="38"/>
        <v>#NAME?</v>
      </c>
      <c r="H221" s="100" t="e">
        <f t="shared" ca="1" si="39"/>
        <v>#NAME?</v>
      </c>
      <c r="I221" s="100" t="e">
        <f t="shared" ca="1" si="40"/>
        <v>#NAME?</v>
      </c>
      <c r="J221" s="100" t="e">
        <f t="shared" ca="1" si="44"/>
        <v>#NAME?</v>
      </c>
      <c r="K221" s="100" t="e">
        <f t="shared" ca="1" si="42"/>
        <v>#NAME?</v>
      </c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 spans="1:26">
      <c r="A222" s="100" t="e">
        <f ca="1">IFERROR(__xludf.DUMMYFUNCTION("""COMPUTED_VALUE"""),58783557)</f>
        <v>#NAME?</v>
      </c>
      <c r="B222" s="100" t="e">
        <f ca="1">IFERROR(__xludf.DUMMYFUNCTION("""COMPUTED_VALUE"""),"WINGSETH")</f>
        <v>#NAME?</v>
      </c>
      <c r="C222" s="100" t="e">
        <f t="shared" ca="1" si="45"/>
        <v>#NAME?</v>
      </c>
      <c r="D222" s="100" t="e">
        <f t="shared" ref="D222:E241" ca="1" si="46">IFERROR(__xludf.DUMMYFUNCTION("""COMPUTED_VALUE"""),"-")</f>
        <v>#NAME?</v>
      </c>
      <c r="E222" s="100" t="e">
        <f t="shared" ca="1" si="46"/>
        <v>#NAME?</v>
      </c>
      <c r="F222" s="100" t="e">
        <f t="shared" ca="1" si="37"/>
        <v>#NAME?</v>
      </c>
      <c r="G222" s="100" t="e">
        <f t="shared" ca="1" si="38"/>
        <v>#NAME?</v>
      </c>
      <c r="H222" s="100" t="e">
        <f t="shared" ca="1" si="39"/>
        <v>#NAME?</v>
      </c>
      <c r="I222" s="100" t="e">
        <f t="shared" ca="1" si="40"/>
        <v>#NAME?</v>
      </c>
      <c r="J222" s="100" t="e">
        <f t="shared" ca="1" si="44"/>
        <v>#NAME?</v>
      </c>
      <c r="K222" s="100" t="e">
        <f t="shared" ca="1" si="42"/>
        <v>#NAME?</v>
      </c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 spans="1:26">
      <c r="A223" s="100" t="e">
        <f ca="1">IFERROR(__xludf.DUMMYFUNCTION("""COMPUTED_VALUE"""),58783558)</f>
        <v>#NAME?</v>
      </c>
      <c r="B223" s="100" t="e">
        <f ca="1">IFERROR(__xludf.DUMMYFUNCTION("""COMPUTED_VALUE"""),"NAVBTC")</f>
        <v>#NAME?</v>
      </c>
      <c r="C223" s="100" t="e">
        <f t="shared" ca="1" si="45"/>
        <v>#NAME?</v>
      </c>
      <c r="D223" s="100" t="e">
        <f t="shared" ca="1" si="46"/>
        <v>#NAME?</v>
      </c>
      <c r="E223" s="100" t="e">
        <f t="shared" ca="1" si="46"/>
        <v>#NAME?</v>
      </c>
      <c r="F223" s="100" t="e">
        <f t="shared" ca="1" si="37"/>
        <v>#NAME?</v>
      </c>
      <c r="G223" s="100" t="e">
        <f t="shared" ca="1" si="38"/>
        <v>#NAME?</v>
      </c>
      <c r="H223" s="100" t="e">
        <f t="shared" ca="1" si="39"/>
        <v>#NAME?</v>
      </c>
      <c r="I223" s="100" t="e">
        <f t="shared" ca="1" si="40"/>
        <v>#NAME?</v>
      </c>
      <c r="J223" s="100" t="e">
        <f t="shared" ca="1" si="44"/>
        <v>#NAME?</v>
      </c>
      <c r="K223" s="100" t="e">
        <f t="shared" ca="1" si="42"/>
        <v>#NAME?</v>
      </c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 spans="1:26">
      <c r="A224" s="100" t="e">
        <f ca="1">IFERROR(__xludf.DUMMYFUNCTION("""COMPUTED_VALUE"""),58783559)</f>
        <v>#NAME?</v>
      </c>
      <c r="B224" s="100" t="e">
        <f ca="1">IFERROR(__xludf.DUMMYFUNCTION("""COMPUTED_VALUE"""),"NAVETH")</f>
        <v>#NAME?</v>
      </c>
      <c r="C224" s="100" t="e">
        <f t="shared" ca="1" si="45"/>
        <v>#NAME?</v>
      </c>
      <c r="D224" s="100" t="e">
        <f t="shared" ca="1" si="46"/>
        <v>#NAME?</v>
      </c>
      <c r="E224" s="100" t="e">
        <f t="shared" ca="1" si="46"/>
        <v>#NAME?</v>
      </c>
      <c r="F224" s="100" t="e">
        <f t="shared" ca="1" si="37"/>
        <v>#NAME?</v>
      </c>
      <c r="G224" s="100" t="e">
        <f t="shared" ca="1" si="38"/>
        <v>#NAME?</v>
      </c>
      <c r="H224" s="100" t="e">
        <f t="shared" ca="1" si="39"/>
        <v>#NAME?</v>
      </c>
      <c r="I224" s="100" t="e">
        <f t="shared" ca="1" si="40"/>
        <v>#NAME?</v>
      </c>
      <c r="J224" s="100" t="e">
        <f t="shared" ca="1" si="44"/>
        <v>#NAME?</v>
      </c>
      <c r="K224" s="100" t="e">
        <f t="shared" ca="1" si="42"/>
        <v>#NAME?</v>
      </c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 spans="1:26">
      <c r="A225" s="100" t="e">
        <f ca="1">IFERROR(__xludf.DUMMYFUNCTION("""COMPUTED_VALUE"""),58783560)</f>
        <v>#NAME?</v>
      </c>
      <c r="B225" s="100" t="e">
        <f ca="1">IFERROR(__xludf.DUMMYFUNCTION("""COMPUTED_VALUE"""),"NAVBNB")</f>
        <v>#NAME?</v>
      </c>
      <c r="C225" s="100" t="e">
        <f t="shared" ca="1" si="45"/>
        <v>#NAME?</v>
      </c>
      <c r="D225" s="100" t="e">
        <f t="shared" ca="1" si="46"/>
        <v>#NAME?</v>
      </c>
      <c r="E225" s="100" t="e">
        <f t="shared" ca="1" si="46"/>
        <v>#NAME?</v>
      </c>
      <c r="F225" s="100" t="e">
        <f t="shared" ca="1" si="37"/>
        <v>#NAME?</v>
      </c>
      <c r="G225" s="100" t="e">
        <f t="shared" ca="1" si="38"/>
        <v>#NAME?</v>
      </c>
      <c r="H225" s="100" t="e">
        <f t="shared" ca="1" si="39"/>
        <v>#NAME?</v>
      </c>
      <c r="I225" s="100" t="e">
        <f t="shared" ca="1" si="40"/>
        <v>#NAME?</v>
      </c>
      <c r="J225" s="100" t="e">
        <f t="shared" ca="1" si="44"/>
        <v>#NAME?</v>
      </c>
      <c r="K225" s="100" t="e">
        <f t="shared" ca="1" si="42"/>
        <v>#NAME?</v>
      </c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 spans="1:26">
      <c r="A226" s="100" t="e">
        <f ca="1">IFERROR(__xludf.DUMMYFUNCTION("""COMPUTED_VALUE"""),58783561)</f>
        <v>#NAME?</v>
      </c>
      <c r="B226" s="100" t="e">
        <f ca="1">IFERROR(__xludf.DUMMYFUNCTION("""COMPUTED_VALUE"""),"LUNBTC")</f>
        <v>#NAME?</v>
      </c>
      <c r="C226" s="100" t="e">
        <f t="shared" ca="1" si="45"/>
        <v>#NAME?</v>
      </c>
      <c r="D226" s="100" t="e">
        <f t="shared" ca="1" si="46"/>
        <v>#NAME?</v>
      </c>
      <c r="E226" s="100" t="e">
        <f t="shared" ca="1" si="46"/>
        <v>#NAME?</v>
      </c>
      <c r="F226" s="100" t="e">
        <f t="shared" ca="1" si="37"/>
        <v>#NAME?</v>
      </c>
      <c r="G226" s="100" t="e">
        <f t="shared" ca="1" si="38"/>
        <v>#NAME?</v>
      </c>
      <c r="H226" s="100" t="e">
        <f t="shared" ca="1" si="39"/>
        <v>#NAME?</v>
      </c>
      <c r="I226" s="100" t="e">
        <f t="shared" ca="1" si="40"/>
        <v>#NAME?</v>
      </c>
      <c r="J226" s="100" t="e">
        <f t="shared" ca="1" si="44"/>
        <v>#NAME?</v>
      </c>
      <c r="K226" s="100" t="e">
        <f t="shared" ca="1" si="42"/>
        <v>#NAME?</v>
      </c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 spans="1:26">
      <c r="A227" s="100" t="e">
        <f ca="1">IFERROR(__xludf.DUMMYFUNCTION("""COMPUTED_VALUE"""),58783562)</f>
        <v>#NAME?</v>
      </c>
      <c r="B227" s="100" t="e">
        <f ca="1">IFERROR(__xludf.DUMMYFUNCTION("""COMPUTED_VALUE"""),"LUNETH")</f>
        <v>#NAME?</v>
      </c>
      <c r="C227" s="100" t="e">
        <f t="shared" ca="1" si="45"/>
        <v>#NAME?</v>
      </c>
      <c r="D227" s="100" t="e">
        <f t="shared" ca="1" si="46"/>
        <v>#NAME?</v>
      </c>
      <c r="E227" s="100" t="e">
        <f t="shared" ca="1" si="46"/>
        <v>#NAME?</v>
      </c>
      <c r="F227" s="100" t="e">
        <f t="shared" ca="1" si="37"/>
        <v>#NAME?</v>
      </c>
      <c r="G227" s="100" t="e">
        <f t="shared" ca="1" si="38"/>
        <v>#NAME?</v>
      </c>
      <c r="H227" s="100" t="e">
        <f t="shared" ca="1" si="39"/>
        <v>#NAME?</v>
      </c>
      <c r="I227" s="100" t="e">
        <f t="shared" ca="1" si="40"/>
        <v>#NAME?</v>
      </c>
      <c r="J227" s="100" t="e">
        <f t="shared" ca="1" si="44"/>
        <v>#NAME?</v>
      </c>
      <c r="K227" s="100" t="e">
        <f t="shared" ca="1" si="42"/>
        <v>#NAME?</v>
      </c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 spans="1:26">
      <c r="A228" s="100" t="e">
        <f ca="1">IFERROR(__xludf.DUMMYFUNCTION("""COMPUTED_VALUE"""),58783563)</f>
        <v>#NAME?</v>
      </c>
      <c r="B228" s="100" t="e">
        <f ca="1">IFERROR(__xludf.DUMMYFUNCTION("""COMPUTED_VALUE"""),"TRIGBTC")</f>
        <v>#NAME?</v>
      </c>
      <c r="C228" s="100" t="e">
        <f t="shared" ca="1" si="45"/>
        <v>#NAME?</v>
      </c>
      <c r="D228" s="100" t="e">
        <f t="shared" ca="1" si="46"/>
        <v>#NAME?</v>
      </c>
      <c r="E228" s="100" t="e">
        <f t="shared" ca="1" si="46"/>
        <v>#NAME?</v>
      </c>
      <c r="F228" s="100" t="e">
        <f t="shared" ca="1" si="37"/>
        <v>#NAME?</v>
      </c>
      <c r="G228" s="100" t="e">
        <f t="shared" ca="1" si="38"/>
        <v>#NAME?</v>
      </c>
      <c r="H228" s="100" t="e">
        <f t="shared" ca="1" si="39"/>
        <v>#NAME?</v>
      </c>
      <c r="I228" s="100" t="e">
        <f t="shared" ca="1" si="40"/>
        <v>#NAME?</v>
      </c>
      <c r="J228" s="100" t="e">
        <f t="shared" ca="1" si="44"/>
        <v>#NAME?</v>
      </c>
      <c r="K228" s="100" t="e">
        <f t="shared" ca="1" si="42"/>
        <v>#NAME?</v>
      </c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 spans="1:26">
      <c r="A229" s="100" t="e">
        <f ca="1">IFERROR(__xludf.DUMMYFUNCTION("""COMPUTED_VALUE"""),58783564)</f>
        <v>#NAME?</v>
      </c>
      <c r="B229" s="100" t="e">
        <f ca="1">IFERROR(__xludf.DUMMYFUNCTION("""COMPUTED_VALUE"""),"TRIGETH")</f>
        <v>#NAME?</v>
      </c>
      <c r="C229" s="100" t="e">
        <f t="shared" ca="1" si="45"/>
        <v>#NAME?</v>
      </c>
      <c r="D229" s="100" t="e">
        <f t="shared" ca="1" si="46"/>
        <v>#NAME?</v>
      </c>
      <c r="E229" s="100" t="e">
        <f t="shared" ca="1" si="46"/>
        <v>#NAME?</v>
      </c>
      <c r="F229" s="100" t="e">
        <f t="shared" ca="1" si="37"/>
        <v>#NAME?</v>
      </c>
      <c r="G229" s="100" t="e">
        <f t="shared" ca="1" si="38"/>
        <v>#NAME?</v>
      </c>
      <c r="H229" s="100" t="e">
        <f t="shared" ca="1" si="39"/>
        <v>#NAME?</v>
      </c>
      <c r="I229" s="100" t="e">
        <f t="shared" ca="1" si="40"/>
        <v>#NAME?</v>
      </c>
      <c r="J229" s="100" t="e">
        <f t="shared" ca="1" si="44"/>
        <v>#NAME?</v>
      </c>
      <c r="K229" s="100" t="e">
        <f t="shared" ca="1" si="42"/>
        <v>#NAME?</v>
      </c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 spans="1:26">
      <c r="A230" s="100" t="e">
        <f ca="1">IFERROR(__xludf.DUMMYFUNCTION("""COMPUTED_VALUE"""),58783565)</f>
        <v>#NAME?</v>
      </c>
      <c r="B230" s="100" t="e">
        <f ca="1">IFERROR(__xludf.DUMMYFUNCTION("""COMPUTED_VALUE"""),"TRIGBNB")</f>
        <v>#NAME?</v>
      </c>
      <c r="C230" s="100" t="e">
        <f t="shared" ca="1" si="45"/>
        <v>#NAME?</v>
      </c>
      <c r="D230" s="100" t="e">
        <f t="shared" ca="1" si="46"/>
        <v>#NAME?</v>
      </c>
      <c r="E230" s="100" t="e">
        <f t="shared" ca="1" si="46"/>
        <v>#NAME?</v>
      </c>
      <c r="F230" s="100" t="e">
        <f t="shared" ca="1" si="37"/>
        <v>#NAME?</v>
      </c>
      <c r="G230" s="100" t="e">
        <f t="shared" ca="1" si="38"/>
        <v>#NAME?</v>
      </c>
      <c r="H230" s="100" t="e">
        <f t="shared" ca="1" si="39"/>
        <v>#NAME?</v>
      </c>
      <c r="I230" s="100" t="e">
        <f t="shared" ca="1" si="40"/>
        <v>#NAME?</v>
      </c>
      <c r="J230" s="100" t="e">
        <f t="shared" ca="1" si="44"/>
        <v>#NAME?</v>
      </c>
      <c r="K230" s="100" t="e">
        <f t="shared" ca="1" si="42"/>
        <v>#NAME?</v>
      </c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 spans="1:26">
      <c r="A231" s="100" t="e">
        <f ca="1">IFERROR(__xludf.DUMMYFUNCTION("""COMPUTED_VALUE"""),58783566)</f>
        <v>#NAME?</v>
      </c>
      <c r="B231" s="100" t="e">
        <f ca="1">IFERROR(__xludf.DUMMYFUNCTION("""COMPUTED_VALUE"""),"APPCBTC")</f>
        <v>#NAME?</v>
      </c>
      <c r="C231" s="100" t="e">
        <f t="shared" ca="1" si="45"/>
        <v>#NAME?</v>
      </c>
      <c r="D231" s="100" t="e">
        <f t="shared" ca="1" si="46"/>
        <v>#NAME?</v>
      </c>
      <c r="E231" s="100" t="e">
        <f t="shared" ca="1" si="46"/>
        <v>#NAME?</v>
      </c>
      <c r="F231" s="100" t="e">
        <f t="shared" ca="1" si="37"/>
        <v>#NAME?</v>
      </c>
      <c r="G231" s="100" t="e">
        <f t="shared" ca="1" si="38"/>
        <v>#NAME?</v>
      </c>
      <c r="H231" s="100" t="e">
        <f t="shared" ca="1" si="39"/>
        <v>#NAME?</v>
      </c>
      <c r="I231" s="100" t="e">
        <f t="shared" ca="1" si="40"/>
        <v>#NAME?</v>
      </c>
      <c r="J231" s="100" t="e">
        <f t="shared" ca="1" si="44"/>
        <v>#NAME?</v>
      </c>
      <c r="K231" s="100" t="e">
        <f t="shared" ca="1" si="42"/>
        <v>#NAME?</v>
      </c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 spans="1:26">
      <c r="A232" s="100" t="e">
        <f ca="1">IFERROR(__xludf.DUMMYFUNCTION("""COMPUTED_VALUE"""),58783567)</f>
        <v>#NAME?</v>
      </c>
      <c r="B232" s="100" t="e">
        <f ca="1">IFERROR(__xludf.DUMMYFUNCTION("""COMPUTED_VALUE"""),"APPCETH")</f>
        <v>#NAME?</v>
      </c>
      <c r="C232" s="100" t="e">
        <f t="shared" ca="1" si="45"/>
        <v>#NAME?</v>
      </c>
      <c r="D232" s="100" t="e">
        <f t="shared" ca="1" si="46"/>
        <v>#NAME?</v>
      </c>
      <c r="E232" s="100" t="e">
        <f t="shared" ca="1" si="46"/>
        <v>#NAME?</v>
      </c>
      <c r="F232" s="100" t="e">
        <f t="shared" ca="1" si="37"/>
        <v>#NAME?</v>
      </c>
      <c r="G232" s="100" t="e">
        <f t="shared" ca="1" si="38"/>
        <v>#NAME?</v>
      </c>
      <c r="H232" s="100" t="e">
        <f t="shared" ca="1" si="39"/>
        <v>#NAME?</v>
      </c>
      <c r="I232" s="100" t="e">
        <f t="shared" ca="1" si="40"/>
        <v>#NAME?</v>
      </c>
      <c r="J232" s="100" t="e">
        <f t="shared" ca="1" si="44"/>
        <v>#NAME?</v>
      </c>
      <c r="K232" s="100" t="e">
        <f t="shared" ca="1" si="42"/>
        <v>#NAME?</v>
      </c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 spans="1:26">
      <c r="A233" s="100" t="e">
        <f ca="1">IFERROR(__xludf.DUMMYFUNCTION("""COMPUTED_VALUE"""),58783568)</f>
        <v>#NAME?</v>
      </c>
      <c r="B233" s="100" t="e">
        <f ca="1">IFERROR(__xludf.DUMMYFUNCTION("""COMPUTED_VALUE"""),"APPCBNB")</f>
        <v>#NAME?</v>
      </c>
      <c r="C233" s="100" t="e">
        <f t="shared" ca="1" si="45"/>
        <v>#NAME?</v>
      </c>
      <c r="D233" s="100" t="e">
        <f t="shared" ca="1" si="46"/>
        <v>#NAME?</v>
      </c>
      <c r="E233" s="100" t="e">
        <f t="shared" ca="1" si="46"/>
        <v>#NAME?</v>
      </c>
      <c r="F233" s="100" t="e">
        <f t="shared" ca="1" si="37"/>
        <v>#NAME?</v>
      </c>
      <c r="G233" s="100" t="e">
        <f t="shared" ca="1" si="38"/>
        <v>#NAME?</v>
      </c>
      <c r="H233" s="100" t="e">
        <f t="shared" ca="1" si="39"/>
        <v>#NAME?</v>
      </c>
      <c r="I233" s="100" t="e">
        <f t="shared" ca="1" si="40"/>
        <v>#NAME?</v>
      </c>
      <c r="J233" s="100" t="e">
        <f t="shared" ca="1" si="44"/>
        <v>#NAME?</v>
      </c>
      <c r="K233" s="100" t="e">
        <f t="shared" ca="1" si="42"/>
        <v>#NAME?</v>
      </c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 spans="1:26">
      <c r="A234" s="100" t="e">
        <f ca="1">IFERROR(__xludf.DUMMYFUNCTION("""COMPUTED_VALUE"""),58783569)</f>
        <v>#NAME?</v>
      </c>
      <c r="B234" s="100" t="e">
        <f ca="1">IFERROR(__xludf.DUMMYFUNCTION("""COMPUTED_VALUE"""),"VIBEBTC")</f>
        <v>#NAME?</v>
      </c>
      <c r="C234" s="100" t="e">
        <f t="shared" ca="1" si="45"/>
        <v>#NAME?</v>
      </c>
      <c r="D234" s="100" t="e">
        <f t="shared" ca="1" si="46"/>
        <v>#NAME?</v>
      </c>
      <c r="E234" s="100" t="e">
        <f t="shared" ca="1" si="46"/>
        <v>#NAME?</v>
      </c>
      <c r="F234" s="100" t="e">
        <f t="shared" ca="1" si="37"/>
        <v>#NAME?</v>
      </c>
      <c r="G234" s="100" t="e">
        <f t="shared" ca="1" si="38"/>
        <v>#NAME?</v>
      </c>
      <c r="H234" s="100" t="e">
        <f t="shared" ca="1" si="39"/>
        <v>#NAME?</v>
      </c>
      <c r="I234" s="100" t="e">
        <f t="shared" ca="1" si="40"/>
        <v>#NAME?</v>
      </c>
      <c r="J234" s="100" t="e">
        <f t="shared" ca="1" si="44"/>
        <v>#NAME?</v>
      </c>
      <c r="K234" s="100" t="e">
        <f t="shared" ca="1" si="42"/>
        <v>#NAME?</v>
      </c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 spans="1:26">
      <c r="A235" s="100" t="e">
        <f ca="1">IFERROR(__xludf.DUMMYFUNCTION("""COMPUTED_VALUE"""),58783570)</f>
        <v>#NAME?</v>
      </c>
      <c r="B235" s="100" t="e">
        <f ca="1">IFERROR(__xludf.DUMMYFUNCTION("""COMPUTED_VALUE"""),"VIBEETH")</f>
        <v>#NAME?</v>
      </c>
      <c r="C235" s="100" t="e">
        <f t="shared" ca="1" si="45"/>
        <v>#NAME?</v>
      </c>
      <c r="D235" s="100" t="e">
        <f t="shared" ca="1" si="46"/>
        <v>#NAME?</v>
      </c>
      <c r="E235" s="100" t="e">
        <f t="shared" ca="1" si="46"/>
        <v>#NAME?</v>
      </c>
      <c r="F235" s="100" t="e">
        <f t="shared" ca="1" si="37"/>
        <v>#NAME?</v>
      </c>
      <c r="G235" s="100" t="e">
        <f t="shared" ca="1" si="38"/>
        <v>#NAME?</v>
      </c>
      <c r="H235" s="100" t="e">
        <f t="shared" ca="1" si="39"/>
        <v>#NAME?</v>
      </c>
      <c r="I235" s="100" t="e">
        <f t="shared" ca="1" si="40"/>
        <v>#NAME?</v>
      </c>
      <c r="J235" s="100" t="e">
        <f t="shared" ca="1" si="44"/>
        <v>#NAME?</v>
      </c>
      <c r="K235" s="100" t="e">
        <f t="shared" ca="1" si="42"/>
        <v>#NAME?</v>
      </c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 spans="1:26">
      <c r="A236" s="100" t="e">
        <f ca="1">IFERROR(__xludf.DUMMYFUNCTION("""COMPUTED_VALUE"""),58783571)</f>
        <v>#NAME?</v>
      </c>
      <c r="B236" s="100" t="e">
        <f ca="1">IFERROR(__xludf.DUMMYFUNCTION("""COMPUTED_VALUE"""),"RLCBTC")</f>
        <v>#NAME?</v>
      </c>
      <c r="C236" s="100" t="e">
        <f ca="1">IFERROR(__xludf.DUMMYFUNCTION("""COMPUTED_VALUE"""),"0.00001296")</f>
        <v>#NAME?</v>
      </c>
      <c r="D236" s="100" t="e">
        <f t="shared" ca="1" si="46"/>
        <v>#NAME?</v>
      </c>
      <c r="E236" s="100" t="e">
        <f t="shared" ca="1" si="46"/>
        <v>#NAME?</v>
      </c>
      <c r="F236" s="100" t="e">
        <f t="shared" ca="1" si="37"/>
        <v>#NAME?</v>
      </c>
      <c r="G236" s="100" t="e">
        <f t="shared" ca="1" si="38"/>
        <v>#NAME?</v>
      </c>
      <c r="H236" s="100" t="e">
        <f t="shared" ca="1" si="39"/>
        <v>#NAME?</v>
      </c>
      <c r="I236" s="100" t="e">
        <f t="shared" ca="1" si="40"/>
        <v>#NAME?</v>
      </c>
      <c r="J236" s="100" t="e">
        <f ca="1">IFERROR(__xludf.DUMMYFUNCTION("""COMPUTED_VALUE"""),"-1.520")</f>
        <v>#NAME?</v>
      </c>
      <c r="K236" s="100" t="e">
        <f t="shared" ca="1" si="42"/>
        <v>#NAME?</v>
      </c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 spans="1:26">
      <c r="A237" s="100" t="e">
        <f ca="1">IFERROR(__xludf.DUMMYFUNCTION("""COMPUTED_VALUE"""),58783572)</f>
        <v>#NAME?</v>
      </c>
      <c r="B237" s="100" t="e">
        <f ca="1">IFERROR(__xludf.DUMMYFUNCTION("""COMPUTED_VALUE"""),"RLCETH")</f>
        <v>#NAME?</v>
      </c>
      <c r="C237" s="100" t="e">
        <f ca="1">IFERROR(__xludf.DUMMYFUNCTION("""COMPUTED_VALUE"""),"0.00070310")</f>
        <v>#NAME?</v>
      </c>
      <c r="D237" s="100" t="e">
        <f t="shared" ca="1" si="46"/>
        <v>#NAME?</v>
      </c>
      <c r="E237" s="100" t="e">
        <f t="shared" ca="1" si="46"/>
        <v>#NAME?</v>
      </c>
      <c r="F237" s="100" t="e">
        <f t="shared" ca="1" si="37"/>
        <v>#NAME?</v>
      </c>
      <c r="G237" s="100" t="e">
        <f t="shared" ca="1" si="38"/>
        <v>#NAME?</v>
      </c>
      <c r="H237" s="100" t="e">
        <f t="shared" ca="1" si="39"/>
        <v>#NAME?</v>
      </c>
      <c r="I237" s="100" t="e">
        <f t="shared" ca="1" si="40"/>
        <v>#NAME?</v>
      </c>
      <c r="J237" s="100" t="e">
        <f ca="1">IFERROR(__xludf.DUMMYFUNCTION("""COMPUTED_VALUE"""),"-0.776")</f>
        <v>#NAME?</v>
      </c>
      <c r="K237" s="100" t="e">
        <f t="shared" ca="1" si="42"/>
        <v>#NAME?</v>
      </c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 spans="1:26">
      <c r="A238" s="100" t="e">
        <f ca="1">IFERROR(__xludf.DUMMYFUNCTION("""COMPUTED_VALUE"""),58783573)</f>
        <v>#NAME?</v>
      </c>
      <c r="B238" s="100" t="e">
        <f ca="1">IFERROR(__xludf.DUMMYFUNCTION("""COMPUTED_VALUE"""),"RLCBNB")</f>
        <v>#NAME?</v>
      </c>
      <c r="C238" s="100" t="e">
        <f ca="1">IFERROR(__xludf.DUMMYFUNCTION("""COMPUTED_VALUE"""),"0.00000000")</f>
        <v>#NAME?</v>
      </c>
      <c r="D238" s="100" t="e">
        <f t="shared" ca="1" si="46"/>
        <v>#NAME?</v>
      </c>
      <c r="E238" s="100" t="e">
        <f t="shared" ca="1" si="46"/>
        <v>#NAME?</v>
      </c>
      <c r="F238" s="100" t="e">
        <f t="shared" ca="1" si="37"/>
        <v>#NAME?</v>
      </c>
      <c r="G238" s="100" t="e">
        <f t="shared" ca="1" si="38"/>
        <v>#NAME?</v>
      </c>
      <c r="H238" s="100" t="e">
        <f t="shared" ca="1" si="39"/>
        <v>#NAME?</v>
      </c>
      <c r="I238" s="100" t="e">
        <f t="shared" ca="1" si="40"/>
        <v>#NAME?</v>
      </c>
      <c r="J238" s="100" t="e">
        <f ca="1">IFERROR(__xludf.DUMMYFUNCTION("""COMPUTED_VALUE"""),"0")</f>
        <v>#NAME?</v>
      </c>
      <c r="K238" s="100" t="e">
        <f t="shared" ca="1" si="42"/>
        <v>#NAME?</v>
      </c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 spans="1:26">
      <c r="A239" s="100" t="e">
        <f ca="1">IFERROR(__xludf.DUMMYFUNCTION("""COMPUTED_VALUE"""),58783574)</f>
        <v>#NAME?</v>
      </c>
      <c r="B239" s="100" t="e">
        <f ca="1">IFERROR(__xludf.DUMMYFUNCTION("""COMPUTED_VALUE"""),"INSBTC")</f>
        <v>#NAME?</v>
      </c>
      <c r="C239" s="100" t="e">
        <f ca="1">IFERROR(__xludf.DUMMYFUNCTION("""COMPUTED_VALUE"""),"0.00000000")</f>
        <v>#NAME?</v>
      </c>
      <c r="D239" s="100" t="e">
        <f t="shared" ca="1" si="46"/>
        <v>#NAME?</v>
      </c>
      <c r="E239" s="100" t="e">
        <f t="shared" ca="1" si="46"/>
        <v>#NAME?</v>
      </c>
      <c r="F239" s="100" t="e">
        <f t="shared" ca="1" si="37"/>
        <v>#NAME?</v>
      </c>
      <c r="G239" s="100" t="e">
        <f t="shared" ca="1" si="38"/>
        <v>#NAME?</v>
      </c>
      <c r="H239" s="100" t="e">
        <f t="shared" ca="1" si="39"/>
        <v>#NAME?</v>
      </c>
      <c r="I239" s="100" t="e">
        <f t="shared" ca="1" si="40"/>
        <v>#NAME?</v>
      </c>
      <c r="J239" s="100" t="e">
        <f ca="1">IFERROR(__xludf.DUMMYFUNCTION("""COMPUTED_VALUE"""),"0")</f>
        <v>#NAME?</v>
      </c>
      <c r="K239" s="100" t="e">
        <f t="shared" ca="1" si="42"/>
        <v>#NAME?</v>
      </c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 spans="1:26">
      <c r="A240" s="100" t="e">
        <f ca="1">IFERROR(__xludf.DUMMYFUNCTION("""COMPUTED_VALUE"""),58783575)</f>
        <v>#NAME?</v>
      </c>
      <c r="B240" s="100" t="e">
        <f ca="1">IFERROR(__xludf.DUMMYFUNCTION("""COMPUTED_VALUE"""),"INSETH")</f>
        <v>#NAME?</v>
      </c>
      <c r="C240" s="100" t="e">
        <f ca="1">IFERROR(__xludf.DUMMYFUNCTION("""COMPUTED_VALUE"""),"0.00000000")</f>
        <v>#NAME?</v>
      </c>
      <c r="D240" s="100" t="e">
        <f t="shared" ca="1" si="46"/>
        <v>#NAME?</v>
      </c>
      <c r="E240" s="100" t="e">
        <f t="shared" ca="1" si="46"/>
        <v>#NAME?</v>
      </c>
      <c r="F240" s="100" t="e">
        <f t="shared" ca="1" si="37"/>
        <v>#NAME?</v>
      </c>
      <c r="G240" s="100" t="e">
        <f t="shared" ca="1" si="38"/>
        <v>#NAME?</v>
      </c>
      <c r="H240" s="100" t="e">
        <f t="shared" ca="1" si="39"/>
        <v>#NAME?</v>
      </c>
      <c r="I240" s="100" t="e">
        <f t="shared" ca="1" si="40"/>
        <v>#NAME?</v>
      </c>
      <c r="J240" s="100" t="e">
        <f ca="1">IFERROR(__xludf.DUMMYFUNCTION("""COMPUTED_VALUE"""),"0")</f>
        <v>#NAME?</v>
      </c>
      <c r="K240" s="100" t="e">
        <f t="shared" ca="1" si="42"/>
        <v>#NAME?</v>
      </c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 spans="1:26">
      <c r="A241" s="100" t="e">
        <f ca="1">IFERROR(__xludf.DUMMYFUNCTION("""COMPUTED_VALUE"""),58783576)</f>
        <v>#NAME?</v>
      </c>
      <c r="B241" s="100" t="e">
        <f ca="1">IFERROR(__xludf.DUMMYFUNCTION("""COMPUTED_VALUE"""),"PIVXBTC")</f>
        <v>#NAME?</v>
      </c>
      <c r="C241" s="100" t="e">
        <f ca="1">IFERROR(__xludf.DUMMYFUNCTION("""COMPUTED_VALUE"""),"0.00000149")</f>
        <v>#NAME?</v>
      </c>
      <c r="D241" s="100" t="e">
        <f t="shared" ca="1" si="46"/>
        <v>#NAME?</v>
      </c>
      <c r="E241" s="100" t="e">
        <f t="shared" ca="1" si="46"/>
        <v>#NAME?</v>
      </c>
      <c r="F241" s="100" t="e">
        <f t="shared" ca="1" si="37"/>
        <v>#NAME?</v>
      </c>
      <c r="G241" s="100" t="e">
        <f t="shared" ca="1" si="38"/>
        <v>#NAME?</v>
      </c>
      <c r="H241" s="100" t="e">
        <f t="shared" ca="1" si="39"/>
        <v>#NAME?</v>
      </c>
      <c r="I241" s="100" t="e">
        <f t="shared" ca="1" si="40"/>
        <v>#NAME?</v>
      </c>
      <c r="J241" s="100" t="e">
        <f ca="1">IFERROR(__xludf.DUMMYFUNCTION("""COMPUTED_VALUE"""),"-2.614")</f>
        <v>#NAME?</v>
      </c>
      <c r="K241" s="100" t="e">
        <f t="shared" ca="1" si="42"/>
        <v>#NAME?</v>
      </c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 spans="1:26">
      <c r="A242" s="100" t="e">
        <f ca="1">IFERROR(__xludf.DUMMYFUNCTION("""COMPUTED_VALUE"""),58783577)</f>
        <v>#NAME?</v>
      </c>
      <c r="B242" s="100" t="e">
        <f ca="1">IFERROR(__xludf.DUMMYFUNCTION("""COMPUTED_VALUE"""),"PIVXBNB")</f>
        <v>#NAME?</v>
      </c>
      <c r="C242" s="100" t="e">
        <f ca="1">IFERROR(__xludf.DUMMYFUNCTION("""COMPUTED_VALUE"""),"0.00000000")</f>
        <v>#NAME?</v>
      </c>
      <c r="D242" s="100" t="e">
        <f t="shared" ref="D242:E261" ca="1" si="47">IFERROR(__xludf.DUMMYFUNCTION("""COMPUTED_VALUE"""),"-")</f>
        <v>#NAME?</v>
      </c>
      <c r="E242" s="100" t="e">
        <f t="shared" ca="1" si="47"/>
        <v>#NAME?</v>
      </c>
      <c r="F242" s="100" t="e">
        <f t="shared" ca="1" si="37"/>
        <v>#NAME?</v>
      </c>
      <c r="G242" s="100" t="e">
        <f t="shared" ca="1" si="38"/>
        <v>#NAME?</v>
      </c>
      <c r="H242" s="100" t="e">
        <f t="shared" ca="1" si="39"/>
        <v>#NAME?</v>
      </c>
      <c r="I242" s="100" t="e">
        <f t="shared" ca="1" si="40"/>
        <v>#NAME?</v>
      </c>
      <c r="J242" s="100" t="e">
        <f ca="1">IFERROR(__xludf.DUMMYFUNCTION("""COMPUTED_VALUE"""),"0")</f>
        <v>#NAME?</v>
      </c>
      <c r="K242" s="100" t="e">
        <f t="shared" ca="1" si="42"/>
        <v>#NAME?</v>
      </c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 spans="1:26">
      <c r="A243" s="100" t="e">
        <f ca="1">IFERROR(__xludf.DUMMYFUNCTION("""COMPUTED_VALUE"""),58783578)</f>
        <v>#NAME?</v>
      </c>
      <c r="B243" s="100" t="e">
        <f ca="1">IFERROR(__xludf.DUMMYFUNCTION("""COMPUTED_VALUE"""),"IOSTBTC")</f>
        <v>#NAME?</v>
      </c>
      <c r="C243" s="100" t="e">
        <f ca="1">IFERROR(__xludf.DUMMYFUNCTION("""COMPUTED_VALUE"""),"0.00000010")</f>
        <v>#NAME?</v>
      </c>
      <c r="D243" s="100" t="e">
        <f t="shared" ca="1" si="47"/>
        <v>#NAME?</v>
      </c>
      <c r="E243" s="100" t="e">
        <f t="shared" ca="1" si="47"/>
        <v>#NAME?</v>
      </c>
      <c r="F243" s="100" t="e">
        <f t="shared" ca="1" si="37"/>
        <v>#NAME?</v>
      </c>
      <c r="G243" s="100" t="e">
        <f t="shared" ca="1" si="38"/>
        <v>#NAME?</v>
      </c>
      <c r="H243" s="100" t="e">
        <f t="shared" ca="1" si="39"/>
        <v>#NAME?</v>
      </c>
      <c r="I243" s="100" t="e">
        <f t="shared" ca="1" si="40"/>
        <v>#NAME?</v>
      </c>
      <c r="J243" s="100" t="e">
        <f ca="1">IFERROR(__xludf.DUMMYFUNCTION("""COMPUTED_VALUE"""),"0")</f>
        <v>#NAME?</v>
      </c>
      <c r="K243" s="100" t="e">
        <f t="shared" ca="1" si="42"/>
        <v>#NAME?</v>
      </c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 spans="1:26">
      <c r="A244" s="100" t="e">
        <f ca="1">IFERROR(__xludf.DUMMYFUNCTION("""COMPUTED_VALUE"""),58783579)</f>
        <v>#NAME?</v>
      </c>
      <c r="B244" s="100" t="e">
        <f ca="1">IFERROR(__xludf.DUMMYFUNCTION("""COMPUTED_VALUE"""),"IOSTETH")</f>
        <v>#NAME?</v>
      </c>
      <c r="C244" s="100" t="e">
        <f ca="1">IFERROR(__xludf.DUMMYFUNCTION("""COMPUTED_VALUE"""),"0.00000372")</f>
        <v>#NAME?</v>
      </c>
      <c r="D244" s="100" t="e">
        <f t="shared" ca="1" si="47"/>
        <v>#NAME?</v>
      </c>
      <c r="E244" s="100" t="e">
        <f t="shared" ca="1" si="47"/>
        <v>#NAME?</v>
      </c>
      <c r="F244" s="100" t="e">
        <f t="shared" ca="1" si="37"/>
        <v>#NAME?</v>
      </c>
      <c r="G244" s="100" t="e">
        <f t="shared" ca="1" si="38"/>
        <v>#NAME?</v>
      </c>
      <c r="H244" s="100" t="e">
        <f t="shared" ca="1" si="39"/>
        <v>#NAME?</v>
      </c>
      <c r="I244" s="100" t="e">
        <f t="shared" ca="1" si="40"/>
        <v>#NAME?</v>
      </c>
      <c r="J244" s="100" t="e">
        <f ca="1">IFERROR(__xludf.DUMMYFUNCTION("""COMPUTED_VALUE"""),"0")</f>
        <v>#NAME?</v>
      </c>
      <c r="K244" s="100" t="e">
        <f t="shared" ca="1" si="42"/>
        <v>#NAME?</v>
      </c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 spans="1:26">
      <c r="A245" s="100" t="e">
        <f ca="1">IFERROR(__xludf.DUMMYFUNCTION("""COMPUTED_VALUE"""),58783580)</f>
        <v>#NAME?</v>
      </c>
      <c r="B245" s="100" t="e">
        <f ca="1">IFERROR(__xludf.DUMMYFUNCTION("""COMPUTED_VALUE"""),"CHATBTC")</f>
        <v>#NAME?</v>
      </c>
      <c r="C245" s="100" t="e">
        <f ca="1">IFERROR(__xludf.DUMMYFUNCTION("""COMPUTED_VALUE"""),"0.00000000")</f>
        <v>#NAME?</v>
      </c>
      <c r="D245" s="100" t="e">
        <f t="shared" ca="1" si="47"/>
        <v>#NAME?</v>
      </c>
      <c r="E245" s="100" t="e">
        <f t="shared" ca="1" si="47"/>
        <v>#NAME?</v>
      </c>
      <c r="F245" s="100" t="e">
        <f t="shared" ca="1" si="37"/>
        <v>#NAME?</v>
      </c>
      <c r="G245" s="100" t="e">
        <f t="shared" ca="1" si="38"/>
        <v>#NAME?</v>
      </c>
      <c r="H245" s="100" t="e">
        <f t="shared" ca="1" si="39"/>
        <v>#NAME?</v>
      </c>
      <c r="I245" s="100" t="e">
        <f t="shared" ca="1" si="40"/>
        <v>#NAME?</v>
      </c>
      <c r="J245" s="100" t="e">
        <f ca="1">IFERROR(__xludf.DUMMYFUNCTION("""COMPUTED_VALUE"""),"0")</f>
        <v>#NAME?</v>
      </c>
      <c r="K245" s="100" t="e">
        <f t="shared" ca="1" si="42"/>
        <v>#NAME?</v>
      </c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 spans="1:26">
      <c r="A246" s="100" t="e">
        <f ca="1">IFERROR(__xludf.DUMMYFUNCTION("""COMPUTED_VALUE"""),58783581)</f>
        <v>#NAME?</v>
      </c>
      <c r="B246" s="100" t="e">
        <f ca="1">IFERROR(__xludf.DUMMYFUNCTION("""COMPUTED_VALUE"""),"CHATETH")</f>
        <v>#NAME?</v>
      </c>
      <c r="C246" s="100" t="e">
        <f ca="1">IFERROR(__xludf.DUMMYFUNCTION("""COMPUTED_VALUE"""),"0.00000000")</f>
        <v>#NAME?</v>
      </c>
      <c r="D246" s="100" t="e">
        <f t="shared" ca="1" si="47"/>
        <v>#NAME?</v>
      </c>
      <c r="E246" s="100" t="e">
        <f t="shared" ca="1" si="47"/>
        <v>#NAME?</v>
      </c>
      <c r="F246" s="100" t="e">
        <f t="shared" ca="1" si="37"/>
        <v>#NAME?</v>
      </c>
      <c r="G246" s="100" t="e">
        <f t="shared" ca="1" si="38"/>
        <v>#NAME?</v>
      </c>
      <c r="H246" s="100" t="e">
        <f t="shared" ca="1" si="39"/>
        <v>#NAME?</v>
      </c>
      <c r="I246" s="100" t="e">
        <f t="shared" ca="1" si="40"/>
        <v>#NAME?</v>
      </c>
      <c r="J246" s="100" t="e">
        <f ca="1">IFERROR(__xludf.DUMMYFUNCTION("""COMPUTED_VALUE"""),"0")</f>
        <v>#NAME?</v>
      </c>
      <c r="K246" s="100" t="e">
        <f t="shared" ca="1" si="42"/>
        <v>#NAME?</v>
      </c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 spans="1:26">
      <c r="A247" s="100" t="e">
        <f ca="1">IFERROR(__xludf.DUMMYFUNCTION("""COMPUTED_VALUE"""),58783582)</f>
        <v>#NAME?</v>
      </c>
      <c r="B247" s="100" t="e">
        <f ca="1">IFERROR(__xludf.DUMMYFUNCTION("""COMPUTED_VALUE"""),"STEEMBTC")</f>
        <v>#NAME?</v>
      </c>
      <c r="C247" s="100" t="e">
        <f ca="1">IFERROR(__xludf.DUMMYFUNCTION("""COMPUTED_VALUE"""),"0.00000160")</f>
        <v>#NAME?</v>
      </c>
      <c r="D247" s="100" t="e">
        <f t="shared" ca="1" si="47"/>
        <v>#NAME?</v>
      </c>
      <c r="E247" s="100" t="e">
        <f t="shared" ca="1" si="47"/>
        <v>#NAME?</v>
      </c>
      <c r="F247" s="100" t="e">
        <f t="shared" ca="1" si="37"/>
        <v>#NAME?</v>
      </c>
      <c r="G247" s="100" t="e">
        <f t="shared" ca="1" si="38"/>
        <v>#NAME?</v>
      </c>
      <c r="H247" s="100" t="e">
        <f t="shared" ca="1" si="39"/>
        <v>#NAME?</v>
      </c>
      <c r="I247" s="100" t="e">
        <f t="shared" ca="1" si="40"/>
        <v>#NAME?</v>
      </c>
      <c r="J247" s="100" t="e">
        <f ca="1">IFERROR(__xludf.DUMMYFUNCTION("""COMPUTED_VALUE"""),"-4.192")</f>
        <v>#NAME?</v>
      </c>
      <c r="K247" s="100" t="e">
        <f t="shared" ca="1" si="42"/>
        <v>#NAME?</v>
      </c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 spans="1:26">
      <c r="A248" s="100" t="e">
        <f ca="1">IFERROR(__xludf.DUMMYFUNCTION("""COMPUTED_VALUE"""),58783583)</f>
        <v>#NAME?</v>
      </c>
      <c r="B248" s="100" t="e">
        <f ca="1">IFERROR(__xludf.DUMMYFUNCTION("""COMPUTED_VALUE"""),"STEEMETH")</f>
        <v>#NAME?</v>
      </c>
      <c r="C248" s="100" t="e">
        <f ca="1">IFERROR(__xludf.DUMMYFUNCTION("""COMPUTED_VALUE"""),"0.00008710")</f>
        <v>#NAME?</v>
      </c>
      <c r="D248" s="100" t="e">
        <f t="shared" ca="1" si="47"/>
        <v>#NAME?</v>
      </c>
      <c r="E248" s="100" t="e">
        <f t="shared" ca="1" si="47"/>
        <v>#NAME?</v>
      </c>
      <c r="F248" s="100" t="e">
        <f t="shared" ca="1" si="37"/>
        <v>#NAME?</v>
      </c>
      <c r="G248" s="100" t="e">
        <f t="shared" ca="1" si="38"/>
        <v>#NAME?</v>
      </c>
      <c r="H248" s="100" t="e">
        <f t="shared" ca="1" si="39"/>
        <v>#NAME?</v>
      </c>
      <c r="I248" s="100" t="e">
        <f t="shared" ca="1" si="40"/>
        <v>#NAME?</v>
      </c>
      <c r="J248" s="100" t="e">
        <f ca="1">IFERROR(__xludf.DUMMYFUNCTION("""COMPUTED_VALUE"""),"-2.682")</f>
        <v>#NAME?</v>
      </c>
      <c r="K248" s="100" t="e">
        <f t="shared" ca="1" si="42"/>
        <v>#NAME?</v>
      </c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 spans="1:26">
      <c r="A249" s="100" t="e">
        <f ca="1">IFERROR(__xludf.DUMMYFUNCTION("""COMPUTED_VALUE"""),58783584)</f>
        <v>#NAME?</v>
      </c>
      <c r="B249" s="100" t="e">
        <f ca="1">IFERROR(__xludf.DUMMYFUNCTION("""COMPUTED_VALUE"""),"STEEMBNB")</f>
        <v>#NAME?</v>
      </c>
      <c r="C249" s="100" t="e">
        <f t="shared" ref="C249:C255" ca="1" si="48">IFERROR(__xludf.DUMMYFUNCTION("""COMPUTED_VALUE"""),"0.00000000")</f>
        <v>#NAME?</v>
      </c>
      <c r="D249" s="100" t="e">
        <f t="shared" ca="1" si="47"/>
        <v>#NAME?</v>
      </c>
      <c r="E249" s="100" t="e">
        <f t="shared" ca="1" si="47"/>
        <v>#NAME?</v>
      </c>
      <c r="F249" s="100" t="e">
        <f t="shared" ca="1" si="37"/>
        <v>#NAME?</v>
      </c>
      <c r="G249" s="100" t="e">
        <f t="shared" ca="1" si="38"/>
        <v>#NAME?</v>
      </c>
      <c r="H249" s="100" t="e">
        <f t="shared" ca="1" si="39"/>
        <v>#NAME?</v>
      </c>
      <c r="I249" s="100" t="e">
        <f t="shared" ca="1" si="40"/>
        <v>#NAME?</v>
      </c>
      <c r="J249" s="100" t="e">
        <f t="shared" ref="J249:J270" ca="1" si="49">IFERROR(__xludf.DUMMYFUNCTION("""COMPUTED_VALUE"""),"0")</f>
        <v>#NAME?</v>
      </c>
      <c r="K249" s="100" t="e">
        <f t="shared" ca="1" si="42"/>
        <v>#NAME?</v>
      </c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 spans="1:26">
      <c r="A250" s="100" t="e">
        <f ca="1">IFERROR(__xludf.DUMMYFUNCTION("""COMPUTED_VALUE"""),58783585)</f>
        <v>#NAME?</v>
      </c>
      <c r="B250" s="100" t="e">
        <f ca="1">IFERROR(__xludf.DUMMYFUNCTION("""COMPUTED_VALUE"""),"NANOBTC")</f>
        <v>#NAME?</v>
      </c>
      <c r="C250" s="100" t="e">
        <f t="shared" ca="1" si="48"/>
        <v>#NAME?</v>
      </c>
      <c r="D250" s="100" t="e">
        <f t="shared" ca="1" si="47"/>
        <v>#NAME?</v>
      </c>
      <c r="E250" s="100" t="e">
        <f t="shared" ca="1" si="47"/>
        <v>#NAME?</v>
      </c>
      <c r="F250" s="100" t="e">
        <f t="shared" ca="1" si="37"/>
        <v>#NAME?</v>
      </c>
      <c r="G250" s="100" t="e">
        <f t="shared" ca="1" si="38"/>
        <v>#NAME?</v>
      </c>
      <c r="H250" s="100" t="e">
        <f t="shared" ca="1" si="39"/>
        <v>#NAME?</v>
      </c>
      <c r="I250" s="100" t="e">
        <f t="shared" ca="1" si="40"/>
        <v>#NAME?</v>
      </c>
      <c r="J250" s="100" t="e">
        <f t="shared" ca="1" si="49"/>
        <v>#NAME?</v>
      </c>
      <c r="K250" s="100" t="e">
        <f t="shared" ca="1" si="42"/>
        <v>#NAME?</v>
      </c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 spans="1:26">
      <c r="A251" s="100" t="e">
        <f ca="1">IFERROR(__xludf.DUMMYFUNCTION("""COMPUTED_VALUE"""),58783586)</f>
        <v>#NAME?</v>
      </c>
      <c r="B251" s="100" t="e">
        <f ca="1">IFERROR(__xludf.DUMMYFUNCTION("""COMPUTED_VALUE"""),"NANOETH")</f>
        <v>#NAME?</v>
      </c>
      <c r="C251" s="100" t="e">
        <f t="shared" ca="1" si="48"/>
        <v>#NAME?</v>
      </c>
      <c r="D251" s="100" t="e">
        <f t="shared" ca="1" si="47"/>
        <v>#NAME?</v>
      </c>
      <c r="E251" s="100" t="e">
        <f t="shared" ca="1" si="47"/>
        <v>#NAME?</v>
      </c>
      <c r="F251" s="100" t="e">
        <f t="shared" ca="1" si="37"/>
        <v>#NAME?</v>
      </c>
      <c r="G251" s="100" t="e">
        <f t="shared" ca="1" si="38"/>
        <v>#NAME?</v>
      </c>
      <c r="H251" s="100" t="e">
        <f t="shared" ca="1" si="39"/>
        <v>#NAME?</v>
      </c>
      <c r="I251" s="100" t="e">
        <f t="shared" ca="1" si="40"/>
        <v>#NAME?</v>
      </c>
      <c r="J251" s="100" t="e">
        <f t="shared" ca="1" si="49"/>
        <v>#NAME?</v>
      </c>
      <c r="K251" s="100" t="e">
        <f t="shared" ca="1" si="42"/>
        <v>#NAME?</v>
      </c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 spans="1:26">
      <c r="A252" s="100" t="e">
        <f ca="1">IFERROR(__xludf.DUMMYFUNCTION("""COMPUTED_VALUE"""),58783587)</f>
        <v>#NAME?</v>
      </c>
      <c r="B252" s="100" t="e">
        <f ca="1">IFERROR(__xludf.DUMMYFUNCTION("""COMPUTED_VALUE"""),"NANOBNB")</f>
        <v>#NAME?</v>
      </c>
      <c r="C252" s="100" t="e">
        <f t="shared" ca="1" si="48"/>
        <v>#NAME?</v>
      </c>
      <c r="D252" s="100" t="e">
        <f t="shared" ca="1" si="47"/>
        <v>#NAME?</v>
      </c>
      <c r="E252" s="100" t="e">
        <f t="shared" ca="1" si="47"/>
        <v>#NAME?</v>
      </c>
      <c r="F252" s="100" t="e">
        <f t="shared" ca="1" si="37"/>
        <v>#NAME?</v>
      </c>
      <c r="G252" s="100" t="e">
        <f t="shared" ca="1" si="38"/>
        <v>#NAME?</v>
      </c>
      <c r="H252" s="100" t="e">
        <f t="shared" ca="1" si="39"/>
        <v>#NAME?</v>
      </c>
      <c r="I252" s="100" t="e">
        <f t="shared" ca="1" si="40"/>
        <v>#NAME?</v>
      </c>
      <c r="J252" s="100" t="e">
        <f t="shared" ca="1" si="49"/>
        <v>#NAME?</v>
      </c>
      <c r="K252" s="100" t="e">
        <f t="shared" ca="1" si="42"/>
        <v>#NAME?</v>
      </c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 spans="1:26">
      <c r="A253" s="100" t="e">
        <f ca="1">IFERROR(__xludf.DUMMYFUNCTION("""COMPUTED_VALUE"""),58783588)</f>
        <v>#NAME?</v>
      </c>
      <c r="B253" s="100" t="e">
        <f ca="1">IFERROR(__xludf.DUMMYFUNCTION("""COMPUTED_VALUE"""),"VIABTC")</f>
        <v>#NAME?</v>
      </c>
      <c r="C253" s="100" t="e">
        <f t="shared" ca="1" si="48"/>
        <v>#NAME?</v>
      </c>
      <c r="D253" s="100" t="e">
        <f t="shared" ca="1" si="47"/>
        <v>#NAME?</v>
      </c>
      <c r="E253" s="100" t="e">
        <f t="shared" ca="1" si="47"/>
        <v>#NAME?</v>
      </c>
      <c r="F253" s="100" t="e">
        <f t="shared" ca="1" si="37"/>
        <v>#NAME?</v>
      </c>
      <c r="G253" s="100" t="e">
        <f t="shared" ca="1" si="38"/>
        <v>#NAME?</v>
      </c>
      <c r="H253" s="100" t="e">
        <f t="shared" ca="1" si="39"/>
        <v>#NAME?</v>
      </c>
      <c r="I253" s="100" t="e">
        <f t="shared" ca="1" si="40"/>
        <v>#NAME?</v>
      </c>
      <c r="J253" s="100" t="e">
        <f t="shared" ca="1" si="49"/>
        <v>#NAME?</v>
      </c>
      <c r="K253" s="100" t="e">
        <f t="shared" ca="1" si="42"/>
        <v>#NAME?</v>
      </c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 spans="1:26">
      <c r="A254" s="100" t="e">
        <f ca="1">IFERROR(__xludf.DUMMYFUNCTION("""COMPUTED_VALUE"""),58783589)</f>
        <v>#NAME?</v>
      </c>
      <c r="B254" s="100" t="e">
        <f ca="1">IFERROR(__xludf.DUMMYFUNCTION("""COMPUTED_VALUE"""),"VIAETH")</f>
        <v>#NAME?</v>
      </c>
      <c r="C254" s="100" t="e">
        <f t="shared" ca="1" si="48"/>
        <v>#NAME?</v>
      </c>
      <c r="D254" s="100" t="e">
        <f t="shared" ca="1" si="47"/>
        <v>#NAME?</v>
      </c>
      <c r="E254" s="100" t="e">
        <f t="shared" ca="1" si="47"/>
        <v>#NAME?</v>
      </c>
      <c r="F254" s="100" t="e">
        <f t="shared" ca="1" si="37"/>
        <v>#NAME?</v>
      </c>
      <c r="G254" s="100" t="e">
        <f t="shared" ca="1" si="38"/>
        <v>#NAME?</v>
      </c>
      <c r="H254" s="100" t="e">
        <f t="shared" ca="1" si="39"/>
        <v>#NAME?</v>
      </c>
      <c r="I254" s="100" t="e">
        <f t="shared" ca="1" si="40"/>
        <v>#NAME?</v>
      </c>
      <c r="J254" s="100" t="e">
        <f t="shared" ca="1" si="49"/>
        <v>#NAME?</v>
      </c>
      <c r="K254" s="100" t="e">
        <f t="shared" ca="1" si="42"/>
        <v>#NAME?</v>
      </c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 spans="1:26">
      <c r="A255" s="100" t="e">
        <f ca="1">IFERROR(__xludf.DUMMYFUNCTION("""COMPUTED_VALUE"""),58783590)</f>
        <v>#NAME?</v>
      </c>
      <c r="B255" s="100" t="e">
        <f ca="1">IFERROR(__xludf.DUMMYFUNCTION("""COMPUTED_VALUE"""),"VIABNB")</f>
        <v>#NAME?</v>
      </c>
      <c r="C255" s="100" t="e">
        <f t="shared" ca="1" si="48"/>
        <v>#NAME?</v>
      </c>
      <c r="D255" s="100" t="e">
        <f t="shared" ca="1" si="47"/>
        <v>#NAME?</v>
      </c>
      <c r="E255" s="100" t="e">
        <f t="shared" ca="1" si="47"/>
        <v>#NAME?</v>
      </c>
      <c r="F255" s="100" t="e">
        <f t="shared" ca="1" si="37"/>
        <v>#NAME?</v>
      </c>
      <c r="G255" s="100" t="e">
        <f t="shared" ca="1" si="38"/>
        <v>#NAME?</v>
      </c>
      <c r="H255" s="100" t="e">
        <f t="shared" ca="1" si="39"/>
        <v>#NAME?</v>
      </c>
      <c r="I255" s="100" t="e">
        <f t="shared" ca="1" si="40"/>
        <v>#NAME?</v>
      </c>
      <c r="J255" s="100" t="e">
        <f t="shared" ca="1" si="49"/>
        <v>#NAME?</v>
      </c>
      <c r="K255" s="100" t="e">
        <f t="shared" ca="1" si="42"/>
        <v>#NAME?</v>
      </c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 spans="1:26">
      <c r="A256" s="100" t="e">
        <f ca="1">IFERROR(__xludf.DUMMYFUNCTION("""COMPUTED_VALUE"""),58783591)</f>
        <v>#NAME?</v>
      </c>
      <c r="B256" s="100" t="e">
        <f ca="1">IFERROR(__xludf.DUMMYFUNCTION("""COMPUTED_VALUE"""),"BLZBTC")</f>
        <v>#NAME?</v>
      </c>
      <c r="C256" s="100" t="e">
        <f ca="1">IFERROR(__xludf.DUMMYFUNCTION("""COMPUTED_VALUE"""),"0.00000060")</f>
        <v>#NAME?</v>
      </c>
      <c r="D256" s="100" t="e">
        <f t="shared" ca="1" si="47"/>
        <v>#NAME?</v>
      </c>
      <c r="E256" s="100" t="e">
        <f t="shared" ca="1" si="47"/>
        <v>#NAME?</v>
      </c>
      <c r="F256" s="100" t="e">
        <f t="shared" ca="1" si="37"/>
        <v>#NAME?</v>
      </c>
      <c r="G256" s="100" t="e">
        <f t="shared" ca="1" si="38"/>
        <v>#NAME?</v>
      </c>
      <c r="H256" s="100" t="e">
        <f t="shared" ca="1" si="39"/>
        <v>#NAME?</v>
      </c>
      <c r="I256" s="100" t="e">
        <f t="shared" ca="1" si="40"/>
        <v>#NAME?</v>
      </c>
      <c r="J256" s="100" t="e">
        <f t="shared" ca="1" si="49"/>
        <v>#NAME?</v>
      </c>
      <c r="K256" s="100" t="e">
        <f t="shared" ca="1" si="42"/>
        <v>#NAME?</v>
      </c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 spans="1:26">
      <c r="A257" s="100" t="e">
        <f ca="1">IFERROR(__xludf.DUMMYFUNCTION("""COMPUTED_VALUE"""),58783592)</f>
        <v>#NAME?</v>
      </c>
      <c r="B257" s="100" t="e">
        <f ca="1">IFERROR(__xludf.DUMMYFUNCTION("""COMPUTED_VALUE"""),"BLZETH")</f>
        <v>#NAME?</v>
      </c>
      <c r="C257" s="100" t="e">
        <f ca="1">IFERROR(__xludf.DUMMYFUNCTION("""COMPUTED_VALUE"""),"0.00004159")</f>
        <v>#NAME?</v>
      </c>
      <c r="D257" s="100" t="e">
        <f t="shared" ca="1" si="47"/>
        <v>#NAME?</v>
      </c>
      <c r="E257" s="100" t="e">
        <f t="shared" ca="1" si="47"/>
        <v>#NAME?</v>
      </c>
      <c r="F257" s="100" t="e">
        <f t="shared" ca="1" si="37"/>
        <v>#NAME?</v>
      </c>
      <c r="G257" s="100" t="e">
        <f t="shared" ca="1" si="38"/>
        <v>#NAME?</v>
      </c>
      <c r="H257" s="100" t="e">
        <f t="shared" ca="1" si="39"/>
        <v>#NAME?</v>
      </c>
      <c r="I257" s="100" t="e">
        <f t="shared" ca="1" si="40"/>
        <v>#NAME?</v>
      </c>
      <c r="J257" s="100" t="e">
        <f t="shared" ca="1" si="49"/>
        <v>#NAME?</v>
      </c>
      <c r="K257" s="100" t="e">
        <f t="shared" ca="1" si="42"/>
        <v>#NAME?</v>
      </c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 spans="1:26">
      <c r="A258" s="100" t="e">
        <f ca="1">IFERROR(__xludf.DUMMYFUNCTION("""COMPUTED_VALUE"""),58783593)</f>
        <v>#NAME?</v>
      </c>
      <c r="B258" s="100" t="e">
        <f ca="1">IFERROR(__xludf.DUMMYFUNCTION("""COMPUTED_VALUE"""),"BLZBNB")</f>
        <v>#NAME?</v>
      </c>
      <c r="C258" s="100" t="e">
        <f t="shared" ref="C258:C270" ca="1" si="50">IFERROR(__xludf.DUMMYFUNCTION("""COMPUTED_VALUE"""),"0.00000000")</f>
        <v>#NAME?</v>
      </c>
      <c r="D258" s="100" t="e">
        <f t="shared" ca="1" si="47"/>
        <v>#NAME?</v>
      </c>
      <c r="E258" s="100" t="e">
        <f t="shared" ca="1" si="47"/>
        <v>#NAME?</v>
      </c>
      <c r="F258" s="100" t="e">
        <f t="shared" ref="F258:F321" ca="1" si="51">IFERROR(__xludf.DUMMYFUNCTION("""COMPUTED_VALUE"""),20200)</f>
        <v>#NAME?</v>
      </c>
      <c r="G258" s="100" t="e">
        <f t="shared" ref="G258:G321" ca="1" si="52">IFERROR(__xludf.DUMMYFUNCTION("""COMPUTED_VALUE"""),2885)</f>
        <v>#NAME?</v>
      </c>
      <c r="H258" s="100" t="e">
        <f t="shared" ref="H258:H321" ca="1" si="53">IFERROR(__xludf.DUMMYFUNCTION("""COMPUTED_VALUE"""),663)</f>
        <v>#NAME?</v>
      </c>
      <c r="I258" s="100" t="e">
        <f t="shared" ref="I258:I321" ca="1" si="54">IFERROR(__xludf.DUMMYFUNCTION("""COMPUTED_VALUE"""),5817721)</f>
        <v>#NAME?</v>
      </c>
      <c r="J258" s="100" t="e">
        <f t="shared" ca="1" si="49"/>
        <v>#NAME?</v>
      </c>
      <c r="K258" s="100" t="e">
        <f t="shared" ref="K258:K321" ca="1" si="55">IFERROR(__xludf.DUMMYFUNCTION("""COMPUTED_VALUE"""),"22.04.2025 13:05:01")</f>
        <v>#NAME?</v>
      </c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 spans="1:26">
      <c r="A259" s="100" t="e">
        <f ca="1">IFERROR(__xludf.DUMMYFUNCTION("""COMPUTED_VALUE"""),58783594)</f>
        <v>#NAME?</v>
      </c>
      <c r="B259" s="100" t="e">
        <f ca="1">IFERROR(__xludf.DUMMYFUNCTION("""COMPUTED_VALUE"""),"AEBTC")</f>
        <v>#NAME?</v>
      </c>
      <c r="C259" s="100" t="e">
        <f t="shared" ca="1" si="50"/>
        <v>#NAME?</v>
      </c>
      <c r="D259" s="100" t="e">
        <f t="shared" ca="1" si="47"/>
        <v>#NAME?</v>
      </c>
      <c r="E259" s="100" t="e">
        <f t="shared" ca="1" si="47"/>
        <v>#NAME?</v>
      </c>
      <c r="F259" s="100" t="e">
        <f t="shared" ca="1" si="51"/>
        <v>#NAME?</v>
      </c>
      <c r="G259" s="100" t="e">
        <f t="shared" ca="1" si="52"/>
        <v>#NAME?</v>
      </c>
      <c r="H259" s="100" t="e">
        <f t="shared" ca="1" si="53"/>
        <v>#NAME?</v>
      </c>
      <c r="I259" s="100" t="e">
        <f t="shared" ca="1" si="54"/>
        <v>#NAME?</v>
      </c>
      <c r="J259" s="100" t="e">
        <f t="shared" ca="1" si="49"/>
        <v>#NAME?</v>
      </c>
      <c r="K259" s="100" t="e">
        <f t="shared" ca="1" si="55"/>
        <v>#NAME?</v>
      </c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 spans="1:26">
      <c r="A260" s="100" t="e">
        <f ca="1">IFERROR(__xludf.DUMMYFUNCTION("""COMPUTED_VALUE"""),58783595)</f>
        <v>#NAME?</v>
      </c>
      <c r="B260" s="100" t="e">
        <f ca="1">IFERROR(__xludf.DUMMYFUNCTION("""COMPUTED_VALUE"""),"AEETH")</f>
        <v>#NAME?</v>
      </c>
      <c r="C260" s="100" t="e">
        <f t="shared" ca="1" si="50"/>
        <v>#NAME?</v>
      </c>
      <c r="D260" s="100" t="e">
        <f t="shared" ca="1" si="47"/>
        <v>#NAME?</v>
      </c>
      <c r="E260" s="100" t="e">
        <f t="shared" ca="1" si="47"/>
        <v>#NAME?</v>
      </c>
      <c r="F260" s="100" t="e">
        <f t="shared" ca="1" si="51"/>
        <v>#NAME?</v>
      </c>
      <c r="G260" s="100" t="e">
        <f t="shared" ca="1" si="52"/>
        <v>#NAME?</v>
      </c>
      <c r="H260" s="100" t="e">
        <f t="shared" ca="1" si="53"/>
        <v>#NAME?</v>
      </c>
      <c r="I260" s="100" t="e">
        <f t="shared" ca="1" si="54"/>
        <v>#NAME?</v>
      </c>
      <c r="J260" s="100" t="e">
        <f t="shared" ca="1" si="49"/>
        <v>#NAME?</v>
      </c>
      <c r="K260" s="100" t="e">
        <f t="shared" ca="1" si="55"/>
        <v>#NAME?</v>
      </c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 spans="1:26">
      <c r="A261" s="100" t="e">
        <f ca="1">IFERROR(__xludf.DUMMYFUNCTION("""COMPUTED_VALUE"""),58783596)</f>
        <v>#NAME?</v>
      </c>
      <c r="B261" s="100" t="e">
        <f ca="1">IFERROR(__xludf.DUMMYFUNCTION("""COMPUTED_VALUE"""),"AEBNB")</f>
        <v>#NAME?</v>
      </c>
      <c r="C261" s="100" t="e">
        <f t="shared" ca="1" si="50"/>
        <v>#NAME?</v>
      </c>
      <c r="D261" s="100" t="e">
        <f t="shared" ca="1" si="47"/>
        <v>#NAME?</v>
      </c>
      <c r="E261" s="100" t="e">
        <f t="shared" ca="1" si="47"/>
        <v>#NAME?</v>
      </c>
      <c r="F261" s="100" t="e">
        <f t="shared" ca="1" si="51"/>
        <v>#NAME?</v>
      </c>
      <c r="G261" s="100" t="e">
        <f t="shared" ca="1" si="52"/>
        <v>#NAME?</v>
      </c>
      <c r="H261" s="100" t="e">
        <f t="shared" ca="1" si="53"/>
        <v>#NAME?</v>
      </c>
      <c r="I261" s="100" t="e">
        <f t="shared" ca="1" si="54"/>
        <v>#NAME?</v>
      </c>
      <c r="J261" s="100" t="e">
        <f t="shared" ca="1" si="49"/>
        <v>#NAME?</v>
      </c>
      <c r="K261" s="100" t="e">
        <f t="shared" ca="1" si="55"/>
        <v>#NAME?</v>
      </c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 spans="1:26">
      <c r="A262" s="100" t="e">
        <f ca="1">IFERROR(__xludf.DUMMYFUNCTION("""COMPUTED_VALUE"""),58783597)</f>
        <v>#NAME?</v>
      </c>
      <c r="B262" s="100" t="e">
        <f ca="1">IFERROR(__xludf.DUMMYFUNCTION("""COMPUTED_VALUE"""),"RPXBTC")</f>
        <v>#NAME?</v>
      </c>
      <c r="C262" s="100" t="e">
        <f t="shared" ca="1" si="50"/>
        <v>#NAME?</v>
      </c>
      <c r="D262" s="100" t="e">
        <f t="shared" ref="D262:E281" ca="1" si="56">IFERROR(__xludf.DUMMYFUNCTION("""COMPUTED_VALUE"""),"-")</f>
        <v>#NAME?</v>
      </c>
      <c r="E262" s="100" t="e">
        <f t="shared" ca="1" si="56"/>
        <v>#NAME?</v>
      </c>
      <c r="F262" s="100" t="e">
        <f t="shared" ca="1" si="51"/>
        <v>#NAME?</v>
      </c>
      <c r="G262" s="100" t="e">
        <f t="shared" ca="1" si="52"/>
        <v>#NAME?</v>
      </c>
      <c r="H262" s="100" t="e">
        <f t="shared" ca="1" si="53"/>
        <v>#NAME?</v>
      </c>
      <c r="I262" s="100" t="e">
        <f t="shared" ca="1" si="54"/>
        <v>#NAME?</v>
      </c>
      <c r="J262" s="100" t="e">
        <f t="shared" ca="1" si="49"/>
        <v>#NAME?</v>
      </c>
      <c r="K262" s="100" t="e">
        <f t="shared" ca="1" si="55"/>
        <v>#NAME?</v>
      </c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 spans="1:26">
      <c r="A263" s="100" t="e">
        <f ca="1">IFERROR(__xludf.DUMMYFUNCTION("""COMPUTED_VALUE"""),58783598)</f>
        <v>#NAME?</v>
      </c>
      <c r="B263" s="100" t="e">
        <f ca="1">IFERROR(__xludf.DUMMYFUNCTION("""COMPUTED_VALUE"""),"RPXETH")</f>
        <v>#NAME?</v>
      </c>
      <c r="C263" s="100" t="e">
        <f t="shared" ca="1" si="50"/>
        <v>#NAME?</v>
      </c>
      <c r="D263" s="100" t="e">
        <f t="shared" ca="1" si="56"/>
        <v>#NAME?</v>
      </c>
      <c r="E263" s="100" t="e">
        <f t="shared" ca="1" si="56"/>
        <v>#NAME?</v>
      </c>
      <c r="F263" s="100" t="e">
        <f t="shared" ca="1" si="51"/>
        <v>#NAME?</v>
      </c>
      <c r="G263" s="100" t="e">
        <f t="shared" ca="1" si="52"/>
        <v>#NAME?</v>
      </c>
      <c r="H263" s="100" t="e">
        <f t="shared" ca="1" si="53"/>
        <v>#NAME?</v>
      </c>
      <c r="I263" s="100" t="e">
        <f t="shared" ca="1" si="54"/>
        <v>#NAME?</v>
      </c>
      <c r="J263" s="100" t="e">
        <f t="shared" ca="1" si="49"/>
        <v>#NAME?</v>
      </c>
      <c r="K263" s="100" t="e">
        <f t="shared" ca="1" si="55"/>
        <v>#NAME?</v>
      </c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 spans="1:26">
      <c r="A264" s="100" t="e">
        <f ca="1">IFERROR(__xludf.DUMMYFUNCTION("""COMPUTED_VALUE"""),58783599)</f>
        <v>#NAME?</v>
      </c>
      <c r="B264" s="100" t="e">
        <f ca="1">IFERROR(__xludf.DUMMYFUNCTION("""COMPUTED_VALUE"""),"RPXBNB")</f>
        <v>#NAME?</v>
      </c>
      <c r="C264" s="100" t="e">
        <f t="shared" ca="1" si="50"/>
        <v>#NAME?</v>
      </c>
      <c r="D264" s="100" t="e">
        <f t="shared" ca="1" si="56"/>
        <v>#NAME?</v>
      </c>
      <c r="E264" s="100" t="e">
        <f t="shared" ca="1" si="56"/>
        <v>#NAME?</v>
      </c>
      <c r="F264" s="100" t="e">
        <f t="shared" ca="1" si="51"/>
        <v>#NAME?</v>
      </c>
      <c r="G264" s="100" t="e">
        <f t="shared" ca="1" si="52"/>
        <v>#NAME?</v>
      </c>
      <c r="H264" s="100" t="e">
        <f t="shared" ca="1" si="53"/>
        <v>#NAME?</v>
      </c>
      <c r="I264" s="100" t="e">
        <f t="shared" ca="1" si="54"/>
        <v>#NAME?</v>
      </c>
      <c r="J264" s="100" t="e">
        <f t="shared" ca="1" si="49"/>
        <v>#NAME?</v>
      </c>
      <c r="K264" s="100" t="e">
        <f t="shared" ca="1" si="55"/>
        <v>#NAME?</v>
      </c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 spans="1:26">
      <c r="A265" s="100" t="e">
        <f ca="1">IFERROR(__xludf.DUMMYFUNCTION("""COMPUTED_VALUE"""),58783600)</f>
        <v>#NAME?</v>
      </c>
      <c r="B265" s="100" t="e">
        <f ca="1">IFERROR(__xludf.DUMMYFUNCTION("""COMPUTED_VALUE"""),"NCASHBTC")</f>
        <v>#NAME?</v>
      </c>
      <c r="C265" s="100" t="e">
        <f t="shared" ca="1" si="50"/>
        <v>#NAME?</v>
      </c>
      <c r="D265" s="100" t="e">
        <f t="shared" ca="1" si="56"/>
        <v>#NAME?</v>
      </c>
      <c r="E265" s="100" t="e">
        <f t="shared" ca="1" si="56"/>
        <v>#NAME?</v>
      </c>
      <c r="F265" s="100" t="e">
        <f t="shared" ca="1" si="51"/>
        <v>#NAME?</v>
      </c>
      <c r="G265" s="100" t="e">
        <f t="shared" ca="1" si="52"/>
        <v>#NAME?</v>
      </c>
      <c r="H265" s="100" t="e">
        <f t="shared" ca="1" si="53"/>
        <v>#NAME?</v>
      </c>
      <c r="I265" s="100" t="e">
        <f t="shared" ca="1" si="54"/>
        <v>#NAME?</v>
      </c>
      <c r="J265" s="100" t="e">
        <f t="shared" ca="1" si="49"/>
        <v>#NAME?</v>
      </c>
      <c r="K265" s="100" t="e">
        <f t="shared" ca="1" si="55"/>
        <v>#NAME?</v>
      </c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 spans="1:26">
      <c r="A266" s="100" t="e">
        <f ca="1">IFERROR(__xludf.DUMMYFUNCTION("""COMPUTED_VALUE"""),58783601)</f>
        <v>#NAME?</v>
      </c>
      <c r="B266" s="100" t="e">
        <f ca="1">IFERROR(__xludf.DUMMYFUNCTION("""COMPUTED_VALUE"""),"NCASHETH")</f>
        <v>#NAME?</v>
      </c>
      <c r="C266" s="100" t="e">
        <f t="shared" ca="1" si="50"/>
        <v>#NAME?</v>
      </c>
      <c r="D266" s="100" t="e">
        <f t="shared" ca="1" si="56"/>
        <v>#NAME?</v>
      </c>
      <c r="E266" s="100" t="e">
        <f t="shared" ca="1" si="56"/>
        <v>#NAME?</v>
      </c>
      <c r="F266" s="100" t="e">
        <f t="shared" ca="1" si="51"/>
        <v>#NAME?</v>
      </c>
      <c r="G266" s="100" t="e">
        <f t="shared" ca="1" si="52"/>
        <v>#NAME?</v>
      </c>
      <c r="H266" s="100" t="e">
        <f t="shared" ca="1" si="53"/>
        <v>#NAME?</v>
      </c>
      <c r="I266" s="100" t="e">
        <f t="shared" ca="1" si="54"/>
        <v>#NAME?</v>
      </c>
      <c r="J266" s="100" t="e">
        <f t="shared" ca="1" si="49"/>
        <v>#NAME?</v>
      </c>
      <c r="K266" s="100" t="e">
        <f t="shared" ca="1" si="55"/>
        <v>#NAME?</v>
      </c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 spans="1:26">
      <c r="A267" s="100" t="e">
        <f ca="1">IFERROR(__xludf.DUMMYFUNCTION("""COMPUTED_VALUE"""),58783602)</f>
        <v>#NAME?</v>
      </c>
      <c r="B267" s="100" t="e">
        <f ca="1">IFERROR(__xludf.DUMMYFUNCTION("""COMPUTED_VALUE"""),"NCASHBNB")</f>
        <v>#NAME?</v>
      </c>
      <c r="C267" s="100" t="e">
        <f t="shared" ca="1" si="50"/>
        <v>#NAME?</v>
      </c>
      <c r="D267" s="100" t="e">
        <f t="shared" ca="1" si="56"/>
        <v>#NAME?</v>
      </c>
      <c r="E267" s="100" t="e">
        <f t="shared" ca="1" si="56"/>
        <v>#NAME?</v>
      </c>
      <c r="F267" s="100" t="e">
        <f t="shared" ca="1" si="51"/>
        <v>#NAME?</v>
      </c>
      <c r="G267" s="100" t="e">
        <f t="shared" ca="1" si="52"/>
        <v>#NAME?</v>
      </c>
      <c r="H267" s="100" t="e">
        <f t="shared" ca="1" si="53"/>
        <v>#NAME?</v>
      </c>
      <c r="I267" s="100" t="e">
        <f t="shared" ca="1" si="54"/>
        <v>#NAME?</v>
      </c>
      <c r="J267" s="100" t="e">
        <f t="shared" ca="1" si="49"/>
        <v>#NAME?</v>
      </c>
      <c r="K267" s="100" t="e">
        <f t="shared" ca="1" si="55"/>
        <v>#NAME?</v>
      </c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 spans="1:26">
      <c r="A268" s="100" t="e">
        <f ca="1">IFERROR(__xludf.DUMMYFUNCTION("""COMPUTED_VALUE"""),58783603)</f>
        <v>#NAME?</v>
      </c>
      <c r="B268" s="100" t="e">
        <f ca="1">IFERROR(__xludf.DUMMYFUNCTION("""COMPUTED_VALUE"""),"POABTC")</f>
        <v>#NAME?</v>
      </c>
      <c r="C268" s="100" t="e">
        <f t="shared" ca="1" si="50"/>
        <v>#NAME?</v>
      </c>
      <c r="D268" s="100" t="e">
        <f t="shared" ca="1" si="56"/>
        <v>#NAME?</v>
      </c>
      <c r="E268" s="100" t="e">
        <f t="shared" ca="1" si="56"/>
        <v>#NAME?</v>
      </c>
      <c r="F268" s="100" t="e">
        <f t="shared" ca="1" si="51"/>
        <v>#NAME?</v>
      </c>
      <c r="G268" s="100" t="e">
        <f t="shared" ca="1" si="52"/>
        <v>#NAME?</v>
      </c>
      <c r="H268" s="100" t="e">
        <f t="shared" ca="1" si="53"/>
        <v>#NAME?</v>
      </c>
      <c r="I268" s="100" t="e">
        <f t="shared" ca="1" si="54"/>
        <v>#NAME?</v>
      </c>
      <c r="J268" s="100" t="e">
        <f t="shared" ca="1" si="49"/>
        <v>#NAME?</v>
      </c>
      <c r="K268" s="100" t="e">
        <f t="shared" ca="1" si="55"/>
        <v>#NAME?</v>
      </c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 spans="1:26">
      <c r="A269" s="100" t="e">
        <f ca="1">IFERROR(__xludf.DUMMYFUNCTION("""COMPUTED_VALUE"""),58783604)</f>
        <v>#NAME?</v>
      </c>
      <c r="B269" s="100" t="e">
        <f ca="1">IFERROR(__xludf.DUMMYFUNCTION("""COMPUTED_VALUE"""),"POAETH")</f>
        <v>#NAME?</v>
      </c>
      <c r="C269" s="100" t="e">
        <f t="shared" ca="1" si="50"/>
        <v>#NAME?</v>
      </c>
      <c r="D269" s="100" t="e">
        <f t="shared" ca="1" si="56"/>
        <v>#NAME?</v>
      </c>
      <c r="E269" s="100" t="e">
        <f t="shared" ca="1" si="56"/>
        <v>#NAME?</v>
      </c>
      <c r="F269" s="100" t="e">
        <f t="shared" ca="1" si="51"/>
        <v>#NAME?</v>
      </c>
      <c r="G269" s="100" t="e">
        <f t="shared" ca="1" si="52"/>
        <v>#NAME?</v>
      </c>
      <c r="H269" s="100" t="e">
        <f t="shared" ca="1" si="53"/>
        <v>#NAME?</v>
      </c>
      <c r="I269" s="100" t="e">
        <f t="shared" ca="1" si="54"/>
        <v>#NAME?</v>
      </c>
      <c r="J269" s="100" t="e">
        <f t="shared" ca="1" si="49"/>
        <v>#NAME?</v>
      </c>
      <c r="K269" s="100" t="e">
        <f t="shared" ca="1" si="55"/>
        <v>#NAME?</v>
      </c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 spans="1:26">
      <c r="A270" s="100" t="e">
        <f ca="1">IFERROR(__xludf.DUMMYFUNCTION("""COMPUTED_VALUE"""),58783605)</f>
        <v>#NAME?</v>
      </c>
      <c r="B270" s="100" t="e">
        <f ca="1">IFERROR(__xludf.DUMMYFUNCTION("""COMPUTED_VALUE"""),"POABNB")</f>
        <v>#NAME?</v>
      </c>
      <c r="C270" s="100" t="e">
        <f t="shared" ca="1" si="50"/>
        <v>#NAME?</v>
      </c>
      <c r="D270" s="100" t="e">
        <f t="shared" ca="1" si="56"/>
        <v>#NAME?</v>
      </c>
      <c r="E270" s="100" t="e">
        <f t="shared" ca="1" si="56"/>
        <v>#NAME?</v>
      </c>
      <c r="F270" s="100" t="e">
        <f t="shared" ca="1" si="51"/>
        <v>#NAME?</v>
      </c>
      <c r="G270" s="100" t="e">
        <f t="shared" ca="1" si="52"/>
        <v>#NAME?</v>
      </c>
      <c r="H270" s="100" t="e">
        <f t="shared" ca="1" si="53"/>
        <v>#NAME?</v>
      </c>
      <c r="I270" s="100" t="e">
        <f t="shared" ca="1" si="54"/>
        <v>#NAME?</v>
      </c>
      <c r="J270" s="100" t="e">
        <f t="shared" ca="1" si="49"/>
        <v>#NAME?</v>
      </c>
      <c r="K270" s="100" t="e">
        <f t="shared" ca="1" si="55"/>
        <v>#NAME?</v>
      </c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 spans="1:26">
      <c r="A271" s="100" t="e">
        <f ca="1">IFERROR(__xludf.DUMMYFUNCTION("""COMPUTED_VALUE"""),58783606)</f>
        <v>#NAME?</v>
      </c>
      <c r="B271" s="100" t="e">
        <f ca="1">IFERROR(__xludf.DUMMYFUNCTION("""COMPUTED_VALUE"""),"ZILBTC")</f>
        <v>#NAME?</v>
      </c>
      <c r="C271" s="100" t="e">
        <f ca="1">IFERROR(__xludf.DUMMYFUNCTION("""COMPUTED_VALUE"""),"0.00000014")</f>
        <v>#NAME?</v>
      </c>
      <c r="D271" s="100" t="e">
        <f t="shared" ca="1" si="56"/>
        <v>#NAME?</v>
      </c>
      <c r="E271" s="100" t="e">
        <f t="shared" ca="1" si="56"/>
        <v>#NAME?</v>
      </c>
      <c r="F271" s="100" t="e">
        <f t="shared" ca="1" si="51"/>
        <v>#NAME?</v>
      </c>
      <c r="G271" s="100" t="e">
        <f t="shared" ca="1" si="52"/>
        <v>#NAME?</v>
      </c>
      <c r="H271" s="100" t="e">
        <f t="shared" ca="1" si="53"/>
        <v>#NAME?</v>
      </c>
      <c r="I271" s="100" t="e">
        <f t="shared" ca="1" si="54"/>
        <v>#NAME?</v>
      </c>
      <c r="J271" s="100" t="e">
        <f ca="1">IFERROR(__xludf.DUMMYFUNCTION("""COMPUTED_VALUE"""),"7.692")</f>
        <v>#NAME?</v>
      </c>
      <c r="K271" s="100" t="e">
        <f t="shared" ca="1" si="55"/>
        <v>#NAME?</v>
      </c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 spans="1:26">
      <c r="A272" s="100" t="e">
        <f ca="1">IFERROR(__xludf.DUMMYFUNCTION("""COMPUTED_VALUE"""),58783607)</f>
        <v>#NAME?</v>
      </c>
      <c r="B272" s="100" t="e">
        <f ca="1">IFERROR(__xludf.DUMMYFUNCTION("""COMPUTED_VALUE"""),"ZILETH")</f>
        <v>#NAME?</v>
      </c>
      <c r="C272" s="100" t="e">
        <f ca="1">IFERROR(__xludf.DUMMYFUNCTION("""COMPUTED_VALUE"""),"0.00000729")</f>
        <v>#NAME?</v>
      </c>
      <c r="D272" s="100" t="e">
        <f t="shared" ca="1" si="56"/>
        <v>#NAME?</v>
      </c>
      <c r="E272" s="100" t="e">
        <f t="shared" ca="1" si="56"/>
        <v>#NAME?</v>
      </c>
      <c r="F272" s="100" t="e">
        <f t="shared" ca="1" si="51"/>
        <v>#NAME?</v>
      </c>
      <c r="G272" s="100" t="e">
        <f t="shared" ca="1" si="52"/>
        <v>#NAME?</v>
      </c>
      <c r="H272" s="100" t="e">
        <f t="shared" ca="1" si="53"/>
        <v>#NAME?</v>
      </c>
      <c r="I272" s="100" t="e">
        <f t="shared" ca="1" si="54"/>
        <v>#NAME?</v>
      </c>
      <c r="J272" s="100" t="e">
        <f ca="1">IFERROR(__xludf.DUMMYFUNCTION("""COMPUTED_VALUE"""),"-0.546")</f>
        <v>#NAME?</v>
      </c>
      <c r="K272" s="100" t="e">
        <f t="shared" ca="1" si="55"/>
        <v>#NAME?</v>
      </c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 spans="1:26">
      <c r="A273" s="100" t="e">
        <f ca="1">IFERROR(__xludf.DUMMYFUNCTION("""COMPUTED_VALUE"""),58783608)</f>
        <v>#NAME?</v>
      </c>
      <c r="B273" s="100" t="e">
        <f ca="1">IFERROR(__xludf.DUMMYFUNCTION("""COMPUTED_VALUE"""),"ZILBNB")</f>
        <v>#NAME?</v>
      </c>
      <c r="C273" s="100" t="e">
        <f ca="1">IFERROR(__xludf.DUMMYFUNCTION("""COMPUTED_VALUE"""),"0.00008858")</f>
        <v>#NAME?</v>
      </c>
      <c r="D273" s="100" t="e">
        <f t="shared" ca="1" si="56"/>
        <v>#NAME?</v>
      </c>
      <c r="E273" s="100" t="e">
        <f t="shared" ca="1" si="56"/>
        <v>#NAME?</v>
      </c>
      <c r="F273" s="100" t="e">
        <f t="shared" ca="1" si="51"/>
        <v>#NAME?</v>
      </c>
      <c r="G273" s="100" t="e">
        <f t="shared" ca="1" si="52"/>
        <v>#NAME?</v>
      </c>
      <c r="H273" s="100" t="e">
        <f t="shared" ca="1" si="53"/>
        <v>#NAME?</v>
      </c>
      <c r="I273" s="100" t="e">
        <f t="shared" ca="1" si="54"/>
        <v>#NAME?</v>
      </c>
      <c r="J273" s="100" t="e">
        <f ca="1">IFERROR(__xludf.DUMMYFUNCTION("""COMPUTED_VALUE"""),"0")</f>
        <v>#NAME?</v>
      </c>
      <c r="K273" s="100" t="e">
        <f t="shared" ca="1" si="55"/>
        <v>#NAME?</v>
      </c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 spans="1:26">
      <c r="A274" s="100" t="e">
        <f ca="1">IFERROR(__xludf.DUMMYFUNCTION("""COMPUTED_VALUE"""),58783609)</f>
        <v>#NAME?</v>
      </c>
      <c r="B274" s="100" t="e">
        <f ca="1">IFERROR(__xludf.DUMMYFUNCTION("""COMPUTED_VALUE"""),"ONTBTC")</f>
        <v>#NAME?</v>
      </c>
      <c r="C274" s="100" t="e">
        <f ca="1">IFERROR(__xludf.DUMMYFUNCTION("""COMPUTED_VALUE"""),"0.00000163")</f>
        <v>#NAME?</v>
      </c>
      <c r="D274" s="100" t="e">
        <f t="shared" ca="1" si="56"/>
        <v>#NAME?</v>
      </c>
      <c r="E274" s="100" t="e">
        <f t="shared" ca="1" si="56"/>
        <v>#NAME?</v>
      </c>
      <c r="F274" s="100" t="e">
        <f t="shared" ca="1" si="51"/>
        <v>#NAME?</v>
      </c>
      <c r="G274" s="100" t="e">
        <f t="shared" ca="1" si="52"/>
        <v>#NAME?</v>
      </c>
      <c r="H274" s="100" t="e">
        <f t="shared" ca="1" si="53"/>
        <v>#NAME?</v>
      </c>
      <c r="I274" s="100" t="e">
        <f t="shared" ca="1" si="54"/>
        <v>#NAME?</v>
      </c>
      <c r="J274" s="100" t="e">
        <f ca="1">IFERROR(__xludf.DUMMYFUNCTION("""COMPUTED_VALUE"""),"-4.118")</f>
        <v>#NAME?</v>
      </c>
      <c r="K274" s="100" t="e">
        <f t="shared" ca="1" si="55"/>
        <v>#NAME?</v>
      </c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 spans="1:26">
      <c r="A275" s="100" t="e">
        <f ca="1">IFERROR(__xludf.DUMMYFUNCTION("""COMPUTED_VALUE"""),58783610)</f>
        <v>#NAME?</v>
      </c>
      <c r="B275" s="100" t="e">
        <f ca="1">IFERROR(__xludf.DUMMYFUNCTION("""COMPUTED_VALUE"""),"ONTETH")</f>
        <v>#NAME?</v>
      </c>
      <c r="C275" s="100" t="e">
        <f ca="1">IFERROR(__xludf.DUMMYFUNCTION("""COMPUTED_VALUE"""),"0.00012530")</f>
        <v>#NAME?</v>
      </c>
      <c r="D275" s="100" t="e">
        <f t="shared" ca="1" si="56"/>
        <v>#NAME?</v>
      </c>
      <c r="E275" s="100" t="e">
        <f t="shared" ca="1" si="56"/>
        <v>#NAME?</v>
      </c>
      <c r="F275" s="100" t="e">
        <f t="shared" ca="1" si="51"/>
        <v>#NAME?</v>
      </c>
      <c r="G275" s="100" t="e">
        <f t="shared" ca="1" si="52"/>
        <v>#NAME?</v>
      </c>
      <c r="H275" s="100" t="e">
        <f t="shared" ca="1" si="53"/>
        <v>#NAME?</v>
      </c>
      <c r="I275" s="100" t="e">
        <f t="shared" ca="1" si="54"/>
        <v>#NAME?</v>
      </c>
      <c r="J275" s="100" t="e">
        <f t="shared" ref="J275:J280" ca="1" si="57">IFERROR(__xludf.DUMMYFUNCTION("""COMPUTED_VALUE"""),"0")</f>
        <v>#NAME?</v>
      </c>
      <c r="K275" s="100" t="e">
        <f t="shared" ca="1" si="55"/>
        <v>#NAME?</v>
      </c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 spans="1:26">
      <c r="A276" s="100" t="e">
        <f ca="1">IFERROR(__xludf.DUMMYFUNCTION("""COMPUTED_VALUE"""),58783611)</f>
        <v>#NAME?</v>
      </c>
      <c r="B276" s="100" t="e">
        <f ca="1">IFERROR(__xludf.DUMMYFUNCTION("""COMPUTED_VALUE"""),"ONTBNB")</f>
        <v>#NAME?</v>
      </c>
      <c r="C276" s="100" t="e">
        <f ca="1">IFERROR(__xludf.DUMMYFUNCTION("""COMPUTED_VALUE"""),"0.00000000")</f>
        <v>#NAME?</v>
      </c>
      <c r="D276" s="100" t="e">
        <f t="shared" ca="1" si="56"/>
        <v>#NAME?</v>
      </c>
      <c r="E276" s="100" t="e">
        <f t="shared" ca="1" si="56"/>
        <v>#NAME?</v>
      </c>
      <c r="F276" s="100" t="e">
        <f t="shared" ca="1" si="51"/>
        <v>#NAME?</v>
      </c>
      <c r="G276" s="100" t="e">
        <f t="shared" ca="1" si="52"/>
        <v>#NAME?</v>
      </c>
      <c r="H276" s="100" t="e">
        <f t="shared" ca="1" si="53"/>
        <v>#NAME?</v>
      </c>
      <c r="I276" s="100" t="e">
        <f t="shared" ca="1" si="54"/>
        <v>#NAME?</v>
      </c>
      <c r="J276" s="100" t="e">
        <f t="shared" ca="1" si="57"/>
        <v>#NAME?</v>
      </c>
      <c r="K276" s="100" t="e">
        <f t="shared" ca="1" si="55"/>
        <v>#NAME?</v>
      </c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 spans="1:26">
      <c r="A277" s="100" t="e">
        <f ca="1">IFERROR(__xludf.DUMMYFUNCTION("""COMPUTED_VALUE"""),58783612)</f>
        <v>#NAME?</v>
      </c>
      <c r="B277" s="100" t="e">
        <f ca="1">IFERROR(__xludf.DUMMYFUNCTION("""COMPUTED_VALUE"""),"STORMBTC")</f>
        <v>#NAME?</v>
      </c>
      <c r="C277" s="100" t="e">
        <f ca="1">IFERROR(__xludf.DUMMYFUNCTION("""COMPUTED_VALUE"""),"0.00000000")</f>
        <v>#NAME?</v>
      </c>
      <c r="D277" s="100" t="e">
        <f t="shared" ca="1" si="56"/>
        <v>#NAME?</v>
      </c>
      <c r="E277" s="100" t="e">
        <f t="shared" ca="1" si="56"/>
        <v>#NAME?</v>
      </c>
      <c r="F277" s="100" t="e">
        <f t="shared" ca="1" si="51"/>
        <v>#NAME?</v>
      </c>
      <c r="G277" s="100" t="e">
        <f t="shared" ca="1" si="52"/>
        <v>#NAME?</v>
      </c>
      <c r="H277" s="100" t="e">
        <f t="shared" ca="1" si="53"/>
        <v>#NAME?</v>
      </c>
      <c r="I277" s="100" t="e">
        <f t="shared" ca="1" si="54"/>
        <v>#NAME?</v>
      </c>
      <c r="J277" s="100" t="e">
        <f t="shared" ca="1" si="57"/>
        <v>#NAME?</v>
      </c>
      <c r="K277" s="100" t="e">
        <f t="shared" ca="1" si="55"/>
        <v>#NAME?</v>
      </c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 spans="1:26">
      <c r="A278" s="100" t="e">
        <f ca="1">IFERROR(__xludf.DUMMYFUNCTION("""COMPUTED_VALUE"""),58783613)</f>
        <v>#NAME?</v>
      </c>
      <c r="B278" s="100" t="e">
        <f ca="1">IFERROR(__xludf.DUMMYFUNCTION("""COMPUTED_VALUE"""),"STORMETH")</f>
        <v>#NAME?</v>
      </c>
      <c r="C278" s="100" t="e">
        <f ca="1">IFERROR(__xludf.DUMMYFUNCTION("""COMPUTED_VALUE"""),"0.00000000")</f>
        <v>#NAME?</v>
      </c>
      <c r="D278" s="100" t="e">
        <f t="shared" ca="1" si="56"/>
        <v>#NAME?</v>
      </c>
      <c r="E278" s="100" t="e">
        <f t="shared" ca="1" si="56"/>
        <v>#NAME?</v>
      </c>
      <c r="F278" s="100" t="e">
        <f t="shared" ca="1" si="51"/>
        <v>#NAME?</v>
      </c>
      <c r="G278" s="100" t="e">
        <f t="shared" ca="1" si="52"/>
        <v>#NAME?</v>
      </c>
      <c r="H278" s="100" t="e">
        <f t="shared" ca="1" si="53"/>
        <v>#NAME?</v>
      </c>
      <c r="I278" s="100" t="e">
        <f t="shared" ca="1" si="54"/>
        <v>#NAME?</v>
      </c>
      <c r="J278" s="100" t="e">
        <f t="shared" ca="1" si="57"/>
        <v>#NAME?</v>
      </c>
      <c r="K278" s="100" t="e">
        <f t="shared" ca="1" si="55"/>
        <v>#NAME?</v>
      </c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 spans="1:26">
      <c r="A279" s="100" t="e">
        <f ca="1">IFERROR(__xludf.DUMMYFUNCTION("""COMPUTED_VALUE"""),58783614)</f>
        <v>#NAME?</v>
      </c>
      <c r="B279" s="100" t="e">
        <f ca="1">IFERROR(__xludf.DUMMYFUNCTION("""COMPUTED_VALUE"""),"STORMBNB")</f>
        <v>#NAME?</v>
      </c>
      <c r="C279" s="100" t="e">
        <f ca="1">IFERROR(__xludf.DUMMYFUNCTION("""COMPUTED_VALUE"""),"0.00000000")</f>
        <v>#NAME?</v>
      </c>
      <c r="D279" s="100" t="e">
        <f t="shared" ca="1" si="56"/>
        <v>#NAME?</v>
      </c>
      <c r="E279" s="100" t="e">
        <f t="shared" ca="1" si="56"/>
        <v>#NAME?</v>
      </c>
      <c r="F279" s="100" t="e">
        <f t="shared" ca="1" si="51"/>
        <v>#NAME?</v>
      </c>
      <c r="G279" s="100" t="e">
        <f t="shared" ca="1" si="52"/>
        <v>#NAME?</v>
      </c>
      <c r="H279" s="100" t="e">
        <f t="shared" ca="1" si="53"/>
        <v>#NAME?</v>
      </c>
      <c r="I279" s="100" t="e">
        <f t="shared" ca="1" si="54"/>
        <v>#NAME?</v>
      </c>
      <c r="J279" s="100" t="e">
        <f t="shared" ca="1" si="57"/>
        <v>#NAME?</v>
      </c>
      <c r="K279" s="100" t="e">
        <f t="shared" ca="1" si="55"/>
        <v>#NAME?</v>
      </c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 spans="1:26">
      <c r="A280" s="100" t="e">
        <f ca="1">IFERROR(__xludf.DUMMYFUNCTION("""COMPUTED_VALUE"""),58783615)</f>
        <v>#NAME?</v>
      </c>
      <c r="B280" s="100" t="e">
        <f ca="1">IFERROR(__xludf.DUMMYFUNCTION("""COMPUTED_VALUE"""),"QTUMBNB")</f>
        <v>#NAME?</v>
      </c>
      <c r="C280" s="100" t="e">
        <f ca="1">IFERROR(__xludf.DUMMYFUNCTION("""COMPUTED_VALUE"""),"0.00000000")</f>
        <v>#NAME?</v>
      </c>
      <c r="D280" s="100" t="e">
        <f t="shared" ca="1" si="56"/>
        <v>#NAME?</v>
      </c>
      <c r="E280" s="100" t="e">
        <f t="shared" ca="1" si="56"/>
        <v>#NAME?</v>
      </c>
      <c r="F280" s="100" t="e">
        <f t="shared" ca="1" si="51"/>
        <v>#NAME?</v>
      </c>
      <c r="G280" s="100" t="e">
        <f t="shared" ca="1" si="52"/>
        <v>#NAME?</v>
      </c>
      <c r="H280" s="100" t="e">
        <f t="shared" ca="1" si="53"/>
        <v>#NAME?</v>
      </c>
      <c r="I280" s="100" t="e">
        <f t="shared" ca="1" si="54"/>
        <v>#NAME?</v>
      </c>
      <c r="J280" s="100" t="e">
        <f t="shared" ca="1" si="57"/>
        <v>#NAME?</v>
      </c>
      <c r="K280" s="100" t="e">
        <f t="shared" ca="1" si="55"/>
        <v>#NAME?</v>
      </c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 spans="1:26">
      <c r="A281" s="100" t="e">
        <f ca="1">IFERROR(__xludf.DUMMYFUNCTION("""COMPUTED_VALUE"""),58783616)</f>
        <v>#NAME?</v>
      </c>
      <c r="B281" s="100" t="e">
        <f ca="1">IFERROR(__xludf.DUMMYFUNCTION("""COMPUTED_VALUE"""),"QTUMUSDT")</f>
        <v>#NAME?</v>
      </c>
      <c r="C281" s="100" t="e">
        <f ca="1">IFERROR(__xludf.DUMMYFUNCTION("""COMPUTED_VALUE"""),"2.10100000")</f>
        <v>#NAME?</v>
      </c>
      <c r="D281" s="100" t="e">
        <f t="shared" ca="1" si="56"/>
        <v>#NAME?</v>
      </c>
      <c r="E281" s="100" t="e">
        <f t="shared" ca="1" si="56"/>
        <v>#NAME?</v>
      </c>
      <c r="F281" s="100" t="e">
        <f t="shared" ca="1" si="51"/>
        <v>#NAME?</v>
      </c>
      <c r="G281" s="100" t="e">
        <f t="shared" ca="1" si="52"/>
        <v>#NAME?</v>
      </c>
      <c r="H281" s="100" t="e">
        <f t="shared" ca="1" si="53"/>
        <v>#NAME?</v>
      </c>
      <c r="I281" s="100" t="e">
        <f t="shared" ca="1" si="54"/>
        <v>#NAME?</v>
      </c>
      <c r="J281" s="100" t="e">
        <f ca="1">IFERROR(__xludf.DUMMYFUNCTION("""COMPUTED_VALUE"""),"-2.006")</f>
        <v>#NAME?</v>
      </c>
      <c r="K281" s="100" t="e">
        <f t="shared" ca="1" si="55"/>
        <v>#NAME?</v>
      </c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 spans="1:26">
      <c r="A282" s="100" t="e">
        <f ca="1">IFERROR(__xludf.DUMMYFUNCTION("""COMPUTED_VALUE"""),58783617)</f>
        <v>#NAME?</v>
      </c>
      <c r="B282" s="100" t="e">
        <f ca="1">IFERROR(__xludf.DUMMYFUNCTION("""COMPUTED_VALUE"""),"XEMBTC")</f>
        <v>#NAME?</v>
      </c>
      <c r="C282" s="100" t="e">
        <f ca="1">IFERROR(__xludf.DUMMYFUNCTION("""COMPUTED_VALUE"""),"0.00000192")</f>
        <v>#NAME?</v>
      </c>
      <c r="D282" s="100" t="e">
        <f t="shared" ref="D282:E301" ca="1" si="58">IFERROR(__xludf.DUMMYFUNCTION("""COMPUTED_VALUE"""),"-")</f>
        <v>#NAME?</v>
      </c>
      <c r="E282" s="100" t="e">
        <f t="shared" ca="1" si="58"/>
        <v>#NAME?</v>
      </c>
      <c r="F282" s="100" t="e">
        <f t="shared" ca="1" si="51"/>
        <v>#NAME?</v>
      </c>
      <c r="G282" s="100" t="e">
        <f t="shared" ca="1" si="52"/>
        <v>#NAME?</v>
      </c>
      <c r="H282" s="100" t="e">
        <f t="shared" ca="1" si="53"/>
        <v>#NAME?</v>
      </c>
      <c r="I282" s="100" t="e">
        <f t="shared" ca="1" si="54"/>
        <v>#NAME?</v>
      </c>
      <c r="J282" s="100" t="e">
        <f ca="1">IFERROR(__xludf.DUMMYFUNCTION("""COMPUTED_VALUE"""),"0")</f>
        <v>#NAME?</v>
      </c>
      <c r="K282" s="100" t="e">
        <f t="shared" ca="1" si="55"/>
        <v>#NAME?</v>
      </c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 spans="1:26">
      <c r="A283" s="100" t="e">
        <f ca="1">IFERROR(__xludf.DUMMYFUNCTION("""COMPUTED_VALUE"""),58783618)</f>
        <v>#NAME?</v>
      </c>
      <c r="B283" s="100" t="e">
        <f ca="1">IFERROR(__xludf.DUMMYFUNCTION("""COMPUTED_VALUE"""),"XEMETH")</f>
        <v>#NAME?</v>
      </c>
      <c r="C283" s="100" t="e">
        <f ca="1">IFERROR(__xludf.DUMMYFUNCTION("""COMPUTED_VALUE"""),"0.00000000")</f>
        <v>#NAME?</v>
      </c>
      <c r="D283" s="100" t="e">
        <f t="shared" ca="1" si="58"/>
        <v>#NAME?</v>
      </c>
      <c r="E283" s="100" t="e">
        <f t="shared" ca="1" si="58"/>
        <v>#NAME?</v>
      </c>
      <c r="F283" s="100" t="e">
        <f t="shared" ca="1" si="51"/>
        <v>#NAME?</v>
      </c>
      <c r="G283" s="100" t="e">
        <f t="shared" ca="1" si="52"/>
        <v>#NAME?</v>
      </c>
      <c r="H283" s="100" t="e">
        <f t="shared" ca="1" si="53"/>
        <v>#NAME?</v>
      </c>
      <c r="I283" s="100" t="e">
        <f t="shared" ca="1" si="54"/>
        <v>#NAME?</v>
      </c>
      <c r="J283" s="100" t="e">
        <f ca="1">IFERROR(__xludf.DUMMYFUNCTION("""COMPUTED_VALUE"""),"0")</f>
        <v>#NAME?</v>
      </c>
      <c r="K283" s="100" t="e">
        <f t="shared" ca="1" si="55"/>
        <v>#NAME?</v>
      </c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 spans="1:26">
      <c r="A284" s="100" t="e">
        <f ca="1">IFERROR(__xludf.DUMMYFUNCTION("""COMPUTED_VALUE"""),58783619)</f>
        <v>#NAME?</v>
      </c>
      <c r="B284" s="100" t="e">
        <f ca="1">IFERROR(__xludf.DUMMYFUNCTION("""COMPUTED_VALUE"""),"XEMBNB")</f>
        <v>#NAME?</v>
      </c>
      <c r="C284" s="100" t="e">
        <f ca="1">IFERROR(__xludf.DUMMYFUNCTION("""COMPUTED_VALUE"""),"0.00000000")</f>
        <v>#NAME?</v>
      </c>
      <c r="D284" s="100" t="e">
        <f t="shared" ca="1" si="58"/>
        <v>#NAME?</v>
      </c>
      <c r="E284" s="100" t="e">
        <f t="shared" ca="1" si="58"/>
        <v>#NAME?</v>
      </c>
      <c r="F284" s="100" t="e">
        <f t="shared" ca="1" si="51"/>
        <v>#NAME?</v>
      </c>
      <c r="G284" s="100" t="e">
        <f t="shared" ca="1" si="52"/>
        <v>#NAME?</v>
      </c>
      <c r="H284" s="100" t="e">
        <f t="shared" ca="1" si="53"/>
        <v>#NAME?</v>
      </c>
      <c r="I284" s="100" t="e">
        <f t="shared" ca="1" si="54"/>
        <v>#NAME?</v>
      </c>
      <c r="J284" s="100" t="e">
        <f ca="1">IFERROR(__xludf.DUMMYFUNCTION("""COMPUTED_VALUE"""),"0")</f>
        <v>#NAME?</v>
      </c>
      <c r="K284" s="100" t="e">
        <f t="shared" ca="1" si="55"/>
        <v>#NAME?</v>
      </c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 spans="1:26">
      <c r="A285" s="100" t="e">
        <f ca="1">IFERROR(__xludf.DUMMYFUNCTION("""COMPUTED_VALUE"""),58783620)</f>
        <v>#NAME?</v>
      </c>
      <c r="B285" s="100" t="e">
        <f ca="1">IFERROR(__xludf.DUMMYFUNCTION("""COMPUTED_VALUE"""),"WANBTC")</f>
        <v>#NAME?</v>
      </c>
      <c r="C285" s="100" t="e">
        <f ca="1">IFERROR(__xludf.DUMMYFUNCTION("""COMPUTED_VALUE"""),"0.00000124")</f>
        <v>#NAME?</v>
      </c>
      <c r="D285" s="100" t="e">
        <f t="shared" ca="1" si="58"/>
        <v>#NAME?</v>
      </c>
      <c r="E285" s="100" t="e">
        <f t="shared" ca="1" si="58"/>
        <v>#NAME?</v>
      </c>
      <c r="F285" s="100" t="e">
        <f t="shared" ca="1" si="51"/>
        <v>#NAME?</v>
      </c>
      <c r="G285" s="100" t="e">
        <f t="shared" ca="1" si="52"/>
        <v>#NAME?</v>
      </c>
      <c r="H285" s="100" t="e">
        <f t="shared" ca="1" si="53"/>
        <v>#NAME?</v>
      </c>
      <c r="I285" s="100" t="e">
        <f t="shared" ca="1" si="54"/>
        <v>#NAME?</v>
      </c>
      <c r="J285" s="100" t="e">
        <f ca="1">IFERROR(__xludf.DUMMYFUNCTION("""COMPUTED_VALUE"""),"-0.800")</f>
        <v>#NAME?</v>
      </c>
      <c r="K285" s="100" t="e">
        <f t="shared" ca="1" si="55"/>
        <v>#NAME?</v>
      </c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 spans="1:26">
      <c r="A286" s="100" t="e">
        <f ca="1">IFERROR(__xludf.DUMMYFUNCTION("""COMPUTED_VALUE"""),58783621)</f>
        <v>#NAME?</v>
      </c>
      <c r="B286" s="100" t="e">
        <f ca="1">IFERROR(__xludf.DUMMYFUNCTION("""COMPUTED_VALUE"""),"WANETH")</f>
        <v>#NAME?</v>
      </c>
      <c r="C286" s="100" t="e">
        <f ca="1">IFERROR(__xludf.DUMMYFUNCTION("""COMPUTED_VALUE"""),"0.00009270")</f>
        <v>#NAME?</v>
      </c>
      <c r="D286" s="100" t="e">
        <f t="shared" ca="1" si="58"/>
        <v>#NAME?</v>
      </c>
      <c r="E286" s="100" t="e">
        <f t="shared" ca="1" si="58"/>
        <v>#NAME?</v>
      </c>
      <c r="F286" s="100" t="e">
        <f t="shared" ca="1" si="51"/>
        <v>#NAME?</v>
      </c>
      <c r="G286" s="100" t="e">
        <f t="shared" ca="1" si="52"/>
        <v>#NAME?</v>
      </c>
      <c r="H286" s="100" t="e">
        <f t="shared" ca="1" si="53"/>
        <v>#NAME?</v>
      </c>
      <c r="I286" s="100" t="e">
        <f t="shared" ca="1" si="54"/>
        <v>#NAME?</v>
      </c>
      <c r="J286" s="100" t="e">
        <f t="shared" ref="J286:J291" ca="1" si="59">IFERROR(__xludf.DUMMYFUNCTION("""COMPUTED_VALUE"""),"0")</f>
        <v>#NAME?</v>
      </c>
      <c r="K286" s="100" t="e">
        <f t="shared" ca="1" si="55"/>
        <v>#NAME?</v>
      </c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 spans="1:26">
      <c r="A287" s="100" t="e">
        <f ca="1">IFERROR(__xludf.DUMMYFUNCTION("""COMPUTED_VALUE"""),58783622)</f>
        <v>#NAME?</v>
      </c>
      <c r="B287" s="100" t="e">
        <f ca="1">IFERROR(__xludf.DUMMYFUNCTION("""COMPUTED_VALUE"""),"WANBNB")</f>
        <v>#NAME?</v>
      </c>
      <c r="C287" s="100" t="e">
        <f ca="1">IFERROR(__xludf.DUMMYFUNCTION("""COMPUTED_VALUE"""),"0.00000000")</f>
        <v>#NAME?</v>
      </c>
      <c r="D287" s="100" t="e">
        <f t="shared" ca="1" si="58"/>
        <v>#NAME?</v>
      </c>
      <c r="E287" s="100" t="e">
        <f t="shared" ca="1" si="58"/>
        <v>#NAME?</v>
      </c>
      <c r="F287" s="100" t="e">
        <f t="shared" ca="1" si="51"/>
        <v>#NAME?</v>
      </c>
      <c r="G287" s="100" t="e">
        <f t="shared" ca="1" si="52"/>
        <v>#NAME?</v>
      </c>
      <c r="H287" s="100" t="e">
        <f t="shared" ca="1" si="53"/>
        <v>#NAME?</v>
      </c>
      <c r="I287" s="100" t="e">
        <f t="shared" ca="1" si="54"/>
        <v>#NAME?</v>
      </c>
      <c r="J287" s="100" t="e">
        <f t="shared" ca="1" si="59"/>
        <v>#NAME?</v>
      </c>
      <c r="K287" s="100" t="e">
        <f t="shared" ca="1" si="55"/>
        <v>#NAME?</v>
      </c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 spans="1:26">
      <c r="A288" s="100" t="e">
        <f ca="1">IFERROR(__xludf.DUMMYFUNCTION("""COMPUTED_VALUE"""),58783623)</f>
        <v>#NAME?</v>
      </c>
      <c r="B288" s="100" t="e">
        <f ca="1">IFERROR(__xludf.DUMMYFUNCTION("""COMPUTED_VALUE"""),"WPRBTC")</f>
        <v>#NAME?</v>
      </c>
      <c r="C288" s="100" t="e">
        <f ca="1">IFERROR(__xludf.DUMMYFUNCTION("""COMPUTED_VALUE"""),"0.00000000")</f>
        <v>#NAME?</v>
      </c>
      <c r="D288" s="100" t="e">
        <f t="shared" ca="1" si="58"/>
        <v>#NAME?</v>
      </c>
      <c r="E288" s="100" t="e">
        <f t="shared" ca="1" si="58"/>
        <v>#NAME?</v>
      </c>
      <c r="F288" s="100" t="e">
        <f t="shared" ca="1" si="51"/>
        <v>#NAME?</v>
      </c>
      <c r="G288" s="100" t="e">
        <f t="shared" ca="1" si="52"/>
        <v>#NAME?</v>
      </c>
      <c r="H288" s="100" t="e">
        <f t="shared" ca="1" si="53"/>
        <v>#NAME?</v>
      </c>
      <c r="I288" s="100" t="e">
        <f t="shared" ca="1" si="54"/>
        <v>#NAME?</v>
      </c>
      <c r="J288" s="100" t="e">
        <f t="shared" ca="1" si="59"/>
        <v>#NAME?</v>
      </c>
      <c r="K288" s="100" t="e">
        <f t="shared" ca="1" si="55"/>
        <v>#NAME?</v>
      </c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 spans="1:26">
      <c r="A289" s="100" t="e">
        <f ca="1">IFERROR(__xludf.DUMMYFUNCTION("""COMPUTED_VALUE"""),58783624)</f>
        <v>#NAME?</v>
      </c>
      <c r="B289" s="100" t="e">
        <f ca="1">IFERROR(__xludf.DUMMYFUNCTION("""COMPUTED_VALUE"""),"WPRETH")</f>
        <v>#NAME?</v>
      </c>
      <c r="C289" s="100" t="e">
        <f ca="1">IFERROR(__xludf.DUMMYFUNCTION("""COMPUTED_VALUE"""),"0.00000000")</f>
        <v>#NAME?</v>
      </c>
      <c r="D289" s="100" t="e">
        <f t="shared" ca="1" si="58"/>
        <v>#NAME?</v>
      </c>
      <c r="E289" s="100" t="e">
        <f t="shared" ca="1" si="58"/>
        <v>#NAME?</v>
      </c>
      <c r="F289" s="100" t="e">
        <f t="shared" ca="1" si="51"/>
        <v>#NAME?</v>
      </c>
      <c r="G289" s="100" t="e">
        <f t="shared" ca="1" si="52"/>
        <v>#NAME?</v>
      </c>
      <c r="H289" s="100" t="e">
        <f t="shared" ca="1" si="53"/>
        <v>#NAME?</v>
      </c>
      <c r="I289" s="100" t="e">
        <f t="shared" ca="1" si="54"/>
        <v>#NAME?</v>
      </c>
      <c r="J289" s="100" t="e">
        <f t="shared" ca="1" si="59"/>
        <v>#NAME?</v>
      </c>
      <c r="K289" s="100" t="e">
        <f t="shared" ca="1" si="55"/>
        <v>#NAME?</v>
      </c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 spans="1:26">
      <c r="A290" s="100" t="e">
        <f ca="1">IFERROR(__xludf.DUMMYFUNCTION("""COMPUTED_VALUE"""),58783625)</f>
        <v>#NAME?</v>
      </c>
      <c r="B290" s="100" t="e">
        <f ca="1">IFERROR(__xludf.DUMMYFUNCTION("""COMPUTED_VALUE"""),"QLCBTC")</f>
        <v>#NAME?</v>
      </c>
      <c r="C290" s="100" t="e">
        <f ca="1">IFERROR(__xludf.DUMMYFUNCTION("""COMPUTED_VALUE"""),"0.00000021")</f>
        <v>#NAME?</v>
      </c>
      <c r="D290" s="100" t="e">
        <f t="shared" ca="1" si="58"/>
        <v>#NAME?</v>
      </c>
      <c r="E290" s="100" t="e">
        <f t="shared" ca="1" si="58"/>
        <v>#NAME?</v>
      </c>
      <c r="F290" s="100" t="e">
        <f t="shared" ca="1" si="51"/>
        <v>#NAME?</v>
      </c>
      <c r="G290" s="100" t="e">
        <f t="shared" ca="1" si="52"/>
        <v>#NAME?</v>
      </c>
      <c r="H290" s="100" t="e">
        <f t="shared" ca="1" si="53"/>
        <v>#NAME?</v>
      </c>
      <c r="I290" s="100" t="e">
        <f t="shared" ca="1" si="54"/>
        <v>#NAME?</v>
      </c>
      <c r="J290" s="100" t="e">
        <f t="shared" ca="1" si="59"/>
        <v>#NAME?</v>
      </c>
      <c r="K290" s="100" t="e">
        <f t="shared" ca="1" si="55"/>
        <v>#NAME?</v>
      </c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 spans="1:26">
      <c r="A291" s="100" t="e">
        <f ca="1">IFERROR(__xludf.DUMMYFUNCTION("""COMPUTED_VALUE"""),58783626)</f>
        <v>#NAME?</v>
      </c>
      <c r="B291" s="100" t="e">
        <f ca="1">IFERROR(__xludf.DUMMYFUNCTION("""COMPUTED_VALUE"""),"QLCETH")</f>
        <v>#NAME?</v>
      </c>
      <c r="C291" s="100" t="e">
        <f ca="1">IFERROR(__xludf.DUMMYFUNCTION("""COMPUTED_VALUE"""),"0.00000000")</f>
        <v>#NAME?</v>
      </c>
      <c r="D291" s="100" t="e">
        <f t="shared" ca="1" si="58"/>
        <v>#NAME?</v>
      </c>
      <c r="E291" s="100" t="e">
        <f t="shared" ca="1" si="58"/>
        <v>#NAME?</v>
      </c>
      <c r="F291" s="100" t="e">
        <f t="shared" ca="1" si="51"/>
        <v>#NAME?</v>
      </c>
      <c r="G291" s="100" t="e">
        <f t="shared" ca="1" si="52"/>
        <v>#NAME?</v>
      </c>
      <c r="H291" s="100" t="e">
        <f t="shared" ca="1" si="53"/>
        <v>#NAME?</v>
      </c>
      <c r="I291" s="100" t="e">
        <f t="shared" ca="1" si="54"/>
        <v>#NAME?</v>
      </c>
      <c r="J291" s="100" t="e">
        <f t="shared" ca="1" si="59"/>
        <v>#NAME?</v>
      </c>
      <c r="K291" s="100" t="e">
        <f t="shared" ca="1" si="55"/>
        <v>#NAME?</v>
      </c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 spans="1:26">
      <c r="A292" s="100" t="e">
        <f ca="1">IFERROR(__xludf.DUMMYFUNCTION("""COMPUTED_VALUE"""),58783627)</f>
        <v>#NAME?</v>
      </c>
      <c r="B292" s="100" t="e">
        <f ca="1">IFERROR(__xludf.DUMMYFUNCTION("""COMPUTED_VALUE"""),"SYSBTC")</f>
        <v>#NAME?</v>
      </c>
      <c r="C292" s="100" t="e">
        <f ca="1">IFERROR(__xludf.DUMMYFUNCTION("""COMPUTED_VALUE"""),"0.00000040")</f>
        <v>#NAME?</v>
      </c>
      <c r="D292" s="100" t="e">
        <f t="shared" ca="1" si="58"/>
        <v>#NAME?</v>
      </c>
      <c r="E292" s="100" t="e">
        <f t="shared" ca="1" si="58"/>
        <v>#NAME?</v>
      </c>
      <c r="F292" s="100" t="e">
        <f t="shared" ca="1" si="51"/>
        <v>#NAME?</v>
      </c>
      <c r="G292" s="100" t="e">
        <f t="shared" ca="1" si="52"/>
        <v>#NAME?</v>
      </c>
      <c r="H292" s="100" t="e">
        <f t="shared" ca="1" si="53"/>
        <v>#NAME?</v>
      </c>
      <c r="I292" s="100" t="e">
        <f t="shared" ca="1" si="54"/>
        <v>#NAME?</v>
      </c>
      <c r="J292" s="100" t="e">
        <f ca="1">IFERROR(__xludf.DUMMYFUNCTION("""COMPUTED_VALUE"""),"-14.894")</f>
        <v>#NAME?</v>
      </c>
      <c r="K292" s="100" t="e">
        <f t="shared" ca="1" si="55"/>
        <v>#NAME?</v>
      </c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 spans="1:26">
      <c r="A293" s="100" t="e">
        <f ca="1">IFERROR(__xludf.DUMMYFUNCTION("""COMPUTED_VALUE"""),58783628)</f>
        <v>#NAME?</v>
      </c>
      <c r="B293" s="100" t="e">
        <f ca="1">IFERROR(__xludf.DUMMYFUNCTION("""COMPUTED_VALUE"""),"SYSETH")</f>
        <v>#NAME?</v>
      </c>
      <c r="C293" s="100" t="e">
        <f ca="1">IFERROR(__xludf.DUMMYFUNCTION("""COMPUTED_VALUE"""),"0.00000000")</f>
        <v>#NAME?</v>
      </c>
      <c r="D293" s="100" t="e">
        <f t="shared" ca="1" si="58"/>
        <v>#NAME?</v>
      </c>
      <c r="E293" s="100" t="e">
        <f t="shared" ca="1" si="58"/>
        <v>#NAME?</v>
      </c>
      <c r="F293" s="100" t="e">
        <f t="shared" ca="1" si="51"/>
        <v>#NAME?</v>
      </c>
      <c r="G293" s="100" t="e">
        <f t="shared" ca="1" si="52"/>
        <v>#NAME?</v>
      </c>
      <c r="H293" s="100" t="e">
        <f t="shared" ca="1" si="53"/>
        <v>#NAME?</v>
      </c>
      <c r="I293" s="100" t="e">
        <f t="shared" ca="1" si="54"/>
        <v>#NAME?</v>
      </c>
      <c r="J293" s="100" t="e">
        <f ca="1">IFERROR(__xludf.DUMMYFUNCTION("""COMPUTED_VALUE"""),"0")</f>
        <v>#NAME?</v>
      </c>
      <c r="K293" s="100" t="e">
        <f t="shared" ca="1" si="55"/>
        <v>#NAME?</v>
      </c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 spans="1:26">
      <c r="A294" s="100" t="e">
        <f ca="1">IFERROR(__xludf.DUMMYFUNCTION("""COMPUTED_VALUE"""),58783629)</f>
        <v>#NAME?</v>
      </c>
      <c r="B294" s="100" t="e">
        <f ca="1">IFERROR(__xludf.DUMMYFUNCTION("""COMPUTED_VALUE"""),"SYSBNB")</f>
        <v>#NAME?</v>
      </c>
      <c r="C294" s="100" t="e">
        <f ca="1">IFERROR(__xludf.DUMMYFUNCTION("""COMPUTED_VALUE"""),"0.00000000")</f>
        <v>#NAME?</v>
      </c>
      <c r="D294" s="100" t="e">
        <f t="shared" ca="1" si="58"/>
        <v>#NAME?</v>
      </c>
      <c r="E294" s="100" t="e">
        <f t="shared" ca="1" si="58"/>
        <v>#NAME?</v>
      </c>
      <c r="F294" s="100" t="e">
        <f t="shared" ca="1" si="51"/>
        <v>#NAME?</v>
      </c>
      <c r="G294" s="100" t="e">
        <f t="shared" ca="1" si="52"/>
        <v>#NAME?</v>
      </c>
      <c r="H294" s="100" t="e">
        <f t="shared" ca="1" si="53"/>
        <v>#NAME?</v>
      </c>
      <c r="I294" s="100" t="e">
        <f t="shared" ca="1" si="54"/>
        <v>#NAME?</v>
      </c>
      <c r="J294" s="100" t="e">
        <f ca="1">IFERROR(__xludf.DUMMYFUNCTION("""COMPUTED_VALUE"""),"0")</f>
        <v>#NAME?</v>
      </c>
      <c r="K294" s="100" t="e">
        <f t="shared" ca="1" si="55"/>
        <v>#NAME?</v>
      </c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 spans="1:26">
      <c r="A295" s="100" t="e">
        <f ca="1">IFERROR(__xludf.DUMMYFUNCTION("""COMPUTED_VALUE"""),58783630)</f>
        <v>#NAME?</v>
      </c>
      <c r="B295" s="100" t="e">
        <f ca="1">IFERROR(__xludf.DUMMYFUNCTION("""COMPUTED_VALUE"""),"QLCBNB")</f>
        <v>#NAME?</v>
      </c>
      <c r="C295" s="100" t="e">
        <f ca="1">IFERROR(__xludf.DUMMYFUNCTION("""COMPUTED_VALUE"""),"0.00000000")</f>
        <v>#NAME?</v>
      </c>
      <c r="D295" s="100" t="e">
        <f t="shared" ca="1" si="58"/>
        <v>#NAME?</v>
      </c>
      <c r="E295" s="100" t="e">
        <f t="shared" ca="1" si="58"/>
        <v>#NAME?</v>
      </c>
      <c r="F295" s="100" t="e">
        <f t="shared" ca="1" si="51"/>
        <v>#NAME?</v>
      </c>
      <c r="G295" s="100" t="e">
        <f t="shared" ca="1" si="52"/>
        <v>#NAME?</v>
      </c>
      <c r="H295" s="100" t="e">
        <f t="shared" ca="1" si="53"/>
        <v>#NAME?</v>
      </c>
      <c r="I295" s="100" t="e">
        <f t="shared" ca="1" si="54"/>
        <v>#NAME?</v>
      </c>
      <c r="J295" s="100" t="e">
        <f ca="1">IFERROR(__xludf.DUMMYFUNCTION("""COMPUTED_VALUE"""),"0")</f>
        <v>#NAME?</v>
      </c>
      <c r="K295" s="100" t="e">
        <f t="shared" ca="1" si="55"/>
        <v>#NAME?</v>
      </c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 spans="1:26">
      <c r="A296" s="100" t="e">
        <f ca="1">IFERROR(__xludf.DUMMYFUNCTION("""COMPUTED_VALUE"""),58783631)</f>
        <v>#NAME?</v>
      </c>
      <c r="B296" s="100" t="e">
        <f ca="1">IFERROR(__xludf.DUMMYFUNCTION("""COMPUTED_VALUE"""),"GRSBTC")</f>
        <v>#NAME?</v>
      </c>
      <c r="C296" s="100" t="e">
        <f ca="1">IFERROR(__xludf.DUMMYFUNCTION("""COMPUTED_VALUE"""),"0.00000000")</f>
        <v>#NAME?</v>
      </c>
      <c r="D296" s="100" t="e">
        <f t="shared" ca="1" si="58"/>
        <v>#NAME?</v>
      </c>
      <c r="E296" s="100" t="e">
        <f t="shared" ca="1" si="58"/>
        <v>#NAME?</v>
      </c>
      <c r="F296" s="100" t="e">
        <f t="shared" ca="1" si="51"/>
        <v>#NAME?</v>
      </c>
      <c r="G296" s="100" t="e">
        <f t="shared" ca="1" si="52"/>
        <v>#NAME?</v>
      </c>
      <c r="H296" s="100" t="e">
        <f t="shared" ca="1" si="53"/>
        <v>#NAME?</v>
      </c>
      <c r="I296" s="100" t="e">
        <f t="shared" ca="1" si="54"/>
        <v>#NAME?</v>
      </c>
      <c r="J296" s="100" t="e">
        <f ca="1">IFERROR(__xludf.DUMMYFUNCTION("""COMPUTED_VALUE"""),"0")</f>
        <v>#NAME?</v>
      </c>
      <c r="K296" s="100" t="e">
        <f t="shared" ca="1" si="55"/>
        <v>#NAME?</v>
      </c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 spans="1:26">
      <c r="A297" s="100" t="e">
        <f ca="1">IFERROR(__xludf.DUMMYFUNCTION("""COMPUTED_VALUE"""),58783632)</f>
        <v>#NAME?</v>
      </c>
      <c r="B297" s="100" t="e">
        <f ca="1">IFERROR(__xludf.DUMMYFUNCTION("""COMPUTED_VALUE"""),"GRSETH")</f>
        <v>#NAME?</v>
      </c>
      <c r="C297" s="100" t="e">
        <f ca="1">IFERROR(__xludf.DUMMYFUNCTION("""COMPUTED_VALUE"""),"0.00000000")</f>
        <v>#NAME?</v>
      </c>
      <c r="D297" s="100" t="e">
        <f t="shared" ca="1" si="58"/>
        <v>#NAME?</v>
      </c>
      <c r="E297" s="100" t="e">
        <f t="shared" ca="1" si="58"/>
        <v>#NAME?</v>
      </c>
      <c r="F297" s="100" t="e">
        <f t="shared" ca="1" si="51"/>
        <v>#NAME?</v>
      </c>
      <c r="G297" s="100" t="e">
        <f t="shared" ca="1" si="52"/>
        <v>#NAME?</v>
      </c>
      <c r="H297" s="100" t="e">
        <f t="shared" ca="1" si="53"/>
        <v>#NAME?</v>
      </c>
      <c r="I297" s="100" t="e">
        <f t="shared" ca="1" si="54"/>
        <v>#NAME?</v>
      </c>
      <c r="J297" s="100" t="e">
        <f ca="1">IFERROR(__xludf.DUMMYFUNCTION("""COMPUTED_VALUE"""),"0")</f>
        <v>#NAME?</v>
      </c>
      <c r="K297" s="100" t="e">
        <f t="shared" ca="1" si="55"/>
        <v>#NAME?</v>
      </c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 spans="1:26">
      <c r="A298" s="100" t="e">
        <f ca="1">IFERROR(__xludf.DUMMYFUNCTION("""COMPUTED_VALUE"""),58783633)</f>
        <v>#NAME?</v>
      </c>
      <c r="B298" s="100" t="e">
        <f ca="1">IFERROR(__xludf.DUMMYFUNCTION("""COMPUTED_VALUE"""),"ADAUSDT")</f>
        <v>#NAME?</v>
      </c>
      <c r="C298" s="100" t="e">
        <f ca="1">IFERROR(__xludf.DUMMYFUNCTION("""COMPUTED_VALUE"""),"0.64010000")</f>
        <v>#NAME?</v>
      </c>
      <c r="D298" s="100" t="e">
        <f t="shared" ca="1" si="58"/>
        <v>#NAME?</v>
      </c>
      <c r="E298" s="100" t="e">
        <f t="shared" ca="1" si="58"/>
        <v>#NAME?</v>
      </c>
      <c r="F298" s="100" t="e">
        <f t="shared" ca="1" si="51"/>
        <v>#NAME?</v>
      </c>
      <c r="G298" s="100" t="e">
        <f t="shared" ca="1" si="52"/>
        <v>#NAME?</v>
      </c>
      <c r="H298" s="100" t="e">
        <f t="shared" ca="1" si="53"/>
        <v>#NAME?</v>
      </c>
      <c r="I298" s="100" t="e">
        <f t="shared" ca="1" si="54"/>
        <v>#NAME?</v>
      </c>
      <c r="J298" s="100" t="e">
        <f ca="1">IFERROR(__xludf.DUMMYFUNCTION("""COMPUTED_VALUE"""),"-1.051")</f>
        <v>#NAME?</v>
      </c>
      <c r="K298" s="100" t="e">
        <f t="shared" ca="1" si="55"/>
        <v>#NAME?</v>
      </c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 spans="1:26">
      <c r="A299" s="100" t="e">
        <f ca="1">IFERROR(__xludf.DUMMYFUNCTION("""COMPUTED_VALUE"""),58783634)</f>
        <v>#NAME?</v>
      </c>
      <c r="B299" s="100" t="e">
        <f ca="1">IFERROR(__xludf.DUMMYFUNCTION("""COMPUTED_VALUE"""),"ADABNB")</f>
        <v>#NAME?</v>
      </c>
      <c r="C299" s="100" t="e">
        <f ca="1">IFERROR(__xludf.DUMMYFUNCTION("""COMPUTED_VALUE"""),"0.00105500")</f>
        <v>#NAME?</v>
      </c>
      <c r="D299" s="100" t="e">
        <f t="shared" ca="1" si="58"/>
        <v>#NAME?</v>
      </c>
      <c r="E299" s="100" t="e">
        <f t="shared" ca="1" si="58"/>
        <v>#NAME?</v>
      </c>
      <c r="F299" s="100" t="e">
        <f t="shared" ca="1" si="51"/>
        <v>#NAME?</v>
      </c>
      <c r="G299" s="100" t="e">
        <f t="shared" ca="1" si="52"/>
        <v>#NAME?</v>
      </c>
      <c r="H299" s="100" t="e">
        <f t="shared" ca="1" si="53"/>
        <v>#NAME?</v>
      </c>
      <c r="I299" s="100" t="e">
        <f t="shared" ca="1" si="54"/>
        <v>#NAME?</v>
      </c>
      <c r="J299" s="100" t="e">
        <f ca="1">IFERROR(__xludf.DUMMYFUNCTION("""COMPUTED_VALUE"""),"-1.494")</f>
        <v>#NAME?</v>
      </c>
      <c r="K299" s="100" t="e">
        <f t="shared" ca="1" si="55"/>
        <v>#NAME?</v>
      </c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 spans="1:26">
      <c r="A300" s="100" t="e">
        <f ca="1">IFERROR(__xludf.DUMMYFUNCTION("""COMPUTED_VALUE"""),58783635)</f>
        <v>#NAME?</v>
      </c>
      <c r="B300" s="100" t="e">
        <f ca="1">IFERROR(__xludf.DUMMYFUNCTION("""COMPUTED_VALUE"""),"CLOAKBTC")</f>
        <v>#NAME?</v>
      </c>
      <c r="C300" s="100" t="e">
        <f ca="1">IFERROR(__xludf.DUMMYFUNCTION("""COMPUTED_VALUE"""),"0.00000000")</f>
        <v>#NAME?</v>
      </c>
      <c r="D300" s="100" t="e">
        <f t="shared" ca="1" si="58"/>
        <v>#NAME?</v>
      </c>
      <c r="E300" s="100" t="e">
        <f t="shared" ca="1" si="58"/>
        <v>#NAME?</v>
      </c>
      <c r="F300" s="100" t="e">
        <f t="shared" ca="1" si="51"/>
        <v>#NAME?</v>
      </c>
      <c r="G300" s="100" t="e">
        <f t="shared" ca="1" si="52"/>
        <v>#NAME?</v>
      </c>
      <c r="H300" s="100" t="e">
        <f t="shared" ca="1" si="53"/>
        <v>#NAME?</v>
      </c>
      <c r="I300" s="100" t="e">
        <f t="shared" ca="1" si="54"/>
        <v>#NAME?</v>
      </c>
      <c r="J300" s="100" t="e">
        <f t="shared" ref="J300:J307" ca="1" si="60">IFERROR(__xludf.DUMMYFUNCTION("""COMPUTED_VALUE"""),"0")</f>
        <v>#NAME?</v>
      </c>
      <c r="K300" s="100" t="e">
        <f t="shared" ca="1" si="55"/>
        <v>#NAME?</v>
      </c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 spans="1:26">
      <c r="A301" s="100" t="e">
        <f ca="1">IFERROR(__xludf.DUMMYFUNCTION("""COMPUTED_VALUE"""),58783636)</f>
        <v>#NAME?</v>
      </c>
      <c r="B301" s="100" t="e">
        <f ca="1">IFERROR(__xludf.DUMMYFUNCTION("""COMPUTED_VALUE"""),"CLOAKETH")</f>
        <v>#NAME?</v>
      </c>
      <c r="C301" s="100" t="e">
        <f ca="1">IFERROR(__xludf.DUMMYFUNCTION("""COMPUTED_VALUE"""),"0.00000000")</f>
        <v>#NAME?</v>
      </c>
      <c r="D301" s="100" t="e">
        <f t="shared" ca="1" si="58"/>
        <v>#NAME?</v>
      </c>
      <c r="E301" s="100" t="e">
        <f t="shared" ca="1" si="58"/>
        <v>#NAME?</v>
      </c>
      <c r="F301" s="100" t="e">
        <f t="shared" ca="1" si="51"/>
        <v>#NAME?</v>
      </c>
      <c r="G301" s="100" t="e">
        <f t="shared" ca="1" si="52"/>
        <v>#NAME?</v>
      </c>
      <c r="H301" s="100" t="e">
        <f t="shared" ca="1" si="53"/>
        <v>#NAME?</v>
      </c>
      <c r="I301" s="100" t="e">
        <f t="shared" ca="1" si="54"/>
        <v>#NAME?</v>
      </c>
      <c r="J301" s="100" t="e">
        <f t="shared" ca="1" si="60"/>
        <v>#NAME?</v>
      </c>
      <c r="K301" s="100" t="e">
        <f t="shared" ca="1" si="55"/>
        <v>#NAME?</v>
      </c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 spans="1:26">
      <c r="A302" s="100" t="e">
        <f ca="1">IFERROR(__xludf.DUMMYFUNCTION("""COMPUTED_VALUE"""),58783637)</f>
        <v>#NAME?</v>
      </c>
      <c r="B302" s="100" t="e">
        <f ca="1">IFERROR(__xludf.DUMMYFUNCTION("""COMPUTED_VALUE"""),"GNTBTC")</f>
        <v>#NAME?</v>
      </c>
      <c r="C302" s="100" t="e">
        <f ca="1">IFERROR(__xludf.DUMMYFUNCTION("""COMPUTED_VALUE"""),"0.00000000")</f>
        <v>#NAME?</v>
      </c>
      <c r="D302" s="100" t="e">
        <f t="shared" ref="D302:E321" ca="1" si="61">IFERROR(__xludf.DUMMYFUNCTION("""COMPUTED_VALUE"""),"-")</f>
        <v>#NAME?</v>
      </c>
      <c r="E302" s="100" t="e">
        <f t="shared" ca="1" si="61"/>
        <v>#NAME?</v>
      </c>
      <c r="F302" s="100" t="e">
        <f t="shared" ca="1" si="51"/>
        <v>#NAME?</v>
      </c>
      <c r="G302" s="100" t="e">
        <f t="shared" ca="1" si="52"/>
        <v>#NAME?</v>
      </c>
      <c r="H302" s="100" t="e">
        <f t="shared" ca="1" si="53"/>
        <v>#NAME?</v>
      </c>
      <c r="I302" s="100" t="e">
        <f t="shared" ca="1" si="54"/>
        <v>#NAME?</v>
      </c>
      <c r="J302" s="100" t="e">
        <f t="shared" ca="1" si="60"/>
        <v>#NAME?</v>
      </c>
      <c r="K302" s="100" t="e">
        <f t="shared" ca="1" si="55"/>
        <v>#NAME?</v>
      </c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 spans="1:26">
      <c r="A303" s="100" t="e">
        <f ca="1">IFERROR(__xludf.DUMMYFUNCTION("""COMPUTED_VALUE"""),58783638)</f>
        <v>#NAME?</v>
      </c>
      <c r="B303" s="100" t="e">
        <f ca="1">IFERROR(__xludf.DUMMYFUNCTION("""COMPUTED_VALUE"""),"GNTETH")</f>
        <v>#NAME?</v>
      </c>
      <c r="C303" s="100" t="e">
        <f ca="1">IFERROR(__xludf.DUMMYFUNCTION("""COMPUTED_VALUE"""),"0.00000000")</f>
        <v>#NAME?</v>
      </c>
      <c r="D303" s="100" t="e">
        <f t="shared" ca="1" si="61"/>
        <v>#NAME?</v>
      </c>
      <c r="E303" s="100" t="e">
        <f t="shared" ca="1" si="61"/>
        <v>#NAME?</v>
      </c>
      <c r="F303" s="100" t="e">
        <f t="shared" ca="1" si="51"/>
        <v>#NAME?</v>
      </c>
      <c r="G303" s="100" t="e">
        <f t="shared" ca="1" si="52"/>
        <v>#NAME?</v>
      </c>
      <c r="H303" s="100" t="e">
        <f t="shared" ca="1" si="53"/>
        <v>#NAME?</v>
      </c>
      <c r="I303" s="100" t="e">
        <f t="shared" ca="1" si="54"/>
        <v>#NAME?</v>
      </c>
      <c r="J303" s="100" t="e">
        <f t="shared" ca="1" si="60"/>
        <v>#NAME?</v>
      </c>
      <c r="K303" s="100" t="e">
        <f t="shared" ca="1" si="55"/>
        <v>#NAME?</v>
      </c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 spans="1:26">
      <c r="A304" s="100" t="e">
        <f ca="1">IFERROR(__xludf.DUMMYFUNCTION("""COMPUTED_VALUE"""),58783639)</f>
        <v>#NAME?</v>
      </c>
      <c r="B304" s="100" t="e">
        <f ca="1">IFERROR(__xludf.DUMMYFUNCTION("""COMPUTED_VALUE"""),"GNTBNB")</f>
        <v>#NAME?</v>
      </c>
      <c r="C304" s="100" t="e">
        <f ca="1">IFERROR(__xludf.DUMMYFUNCTION("""COMPUTED_VALUE"""),"0.00000000")</f>
        <v>#NAME?</v>
      </c>
      <c r="D304" s="100" t="e">
        <f t="shared" ca="1" si="61"/>
        <v>#NAME?</v>
      </c>
      <c r="E304" s="100" t="e">
        <f t="shared" ca="1" si="61"/>
        <v>#NAME?</v>
      </c>
      <c r="F304" s="100" t="e">
        <f t="shared" ca="1" si="51"/>
        <v>#NAME?</v>
      </c>
      <c r="G304" s="100" t="e">
        <f t="shared" ca="1" si="52"/>
        <v>#NAME?</v>
      </c>
      <c r="H304" s="100" t="e">
        <f t="shared" ca="1" si="53"/>
        <v>#NAME?</v>
      </c>
      <c r="I304" s="100" t="e">
        <f t="shared" ca="1" si="54"/>
        <v>#NAME?</v>
      </c>
      <c r="J304" s="100" t="e">
        <f t="shared" ca="1" si="60"/>
        <v>#NAME?</v>
      </c>
      <c r="K304" s="100" t="e">
        <f t="shared" ca="1" si="55"/>
        <v>#NAME?</v>
      </c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 spans="1:26">
      <c r="A305" s="100" t="e">
        <f ca="1">IFERROR(__xludf.DUMMYFUNCTION("""COMPUTED_VALUE"""),58783640)</f>
        <v>#NAME?</v>
      </c>
      <c r="B305" s="100" t="e">
        <f ca="1">IFERROR(__xludf.DUMMYFUNCTION("""COMPUTED_VALUE"""),"LOOMBTC")</f>
        <v>#NAME?</v>
      </c>
      <c r="C305" s="100" t="e">
        <f ca="1">IFERROR(__xludf.DUMMYFUNCTION("""COMPUTED_VALUE"""),"0.00000075")</f>
        <v>#NAME?</v>
      </c>
      <c r="D305" s="100" t="e">
        <f t="shared" ca="1" si="61"/>
        <v>#NAME?</v>
      </c>
      <c r="E305" s="100" t="e">
        <f t="shared" ca="1" si="61"/>
        <v>#NAME?</v>
      </c>
      <c r="F305" s="100" t="e">
        <f t="shared" ca="1" si="51"/>
        <v>#NAME?</v>
      </c>
      <c r="G305" s="100" t="e">
        <f t="shared" ca="1" si="52"/>
        <v>#NAME?</v>
      </c>
      <c r="H305" s="100" t="e">
        <f t="shared" ca="1" si="53"/>
        <v>#NAME?</v>
      </c>
      <c r="I305" s="100" t="e">
        <f t="shared" ca="1" si="54"/>
        <v>#NAME?</v>
      </c>
      <c r="J305" s="100" t="e">
        <f t="shared" ca="1" si="60"/>
        <v>#NAME?</v>
      </c>
      <c r="K305" s="100" t="e">
        <f t="shared" ca="1" si="55"/>
        <v>#NAME?</v>
      </c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 spans="1:26">
      <c r="A306" s="100" t="e">
        <f ca="1">IFERROR(__xludf.DUMMYFUNCTION("""COMPUTED_VALUE"""),58783641)</f>
        <v>#NAME?</v>
      </c>
      <c r="B306" s="100" t="e">
        <f ca="1">IFERROR(__xludf.DUMMYFUNCTION("""COMPUTED_VALUE"""),"LOOMETH")</f>
        <v>#NAME?</v>
      </c>
      <c r="C306" s="100" t="e">
        <f ca="1">IFERROR(__xludf.DUMMYFUNCTION("""COMPUTED_VALUE"""),"0.00003231")</f>
        <v>#NAME?</v>
      </c>
      <c r="D306" s="100" t="e">
        <f t="shared" ca="1" si="61"/>
        <v>#NAME?</v>
      </c>
      <c r="E306" s="100" t="e">
        <f t="shared" ca="1" si="61"/>
        <v>#NAME?</v>
      </c>
      <c r="F306" s="100" t="e">
        <f t="shared" ca="1" si="51"/>
        <v>#NAME?</v>
      </c>
      <c r="G306" s="100" t="e">
        <f t="shared" ca="1" si="52"/>
        <v>#NAME?</v>
      </c>
      <c r="H306" s="100" t="e">
        <f t="shared" ca="1" si="53"/>
        <v>#NAME?</v>
      </c>
      <c r="I306" s="100" t="e">
        <f t="shared" ca="1" si="54"/>
        <v>#NAME?</v>
      </c>
      <c r="J306" s="100" t="e">
        <f t="shared" ca="1" si="60"/>
        <v>#NAME?</v>
      </c>
      <c r="K306" s="100" t="e">
        <f t="shared" ca="1" si="55"/>
        <v>#NAME?</v>
      </c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 spans="1:26">
      <c r="A307" s="100" t="e">
        <f ca="1">IFERROR(__xludf.DUMMYFUNCTION("""COMPUTED_VALUE"""),58783642)</f>
        <v>#NAME?</v>
      </c>
      <c r="B307" s="100" t="e">
        <f ca="1">IFERROR(__xludf.DUMMYFUNCTION("""COMPUTED_VALUE"""),"LOOMBNB")</f>
        <v>#NAME?</v>
      </c>
      <c r="C307" s="100" t="e">
        <f ca="1">IFERROR(__xludf.DUMMYFUNCTION("""COMPUTED_VALUE"""),"0.00000000")</f>
        <v>#NAME?</v>
      </c>
      <c r="D307" s="100" t="e">
        <f t="shared" ca="1" si="61"/>
        <v>#NAME?</v>
      </c>
      <c r="E307" s="100" t="e">
        <f t="shared" ca="1" si="61"/>
        <v>#NAME?</v>
      </c>
      <c r="F307" s="100" t="e">
        <f t="shared" ca="1" si="51"/>
        <v>#NAME?</v>
      </c>
      <c r="G307" s="100" t="e">
        <f t="shared" ca="1" si="52"/>
        <v>#NAME?</v>
      </c>
      <c r="H307" s="100" t="e">
        <f t="shared" ca="1" si="53"/>
        <v>#NAME?</v>
      </c>
      <c r="I307" s="100" t="e">
        <f t="shared" ca="1" si="54"/>
        <v>#NAME?</v>
      </c>
      <c r="J307" s="100" t="e">
        <f t="shared" ca="1" si="60"/>
        <v>#NAME?</v>
      </c>
      <c r="K307" s="100" t="e">
        <f t="shared" ca="1" si="55"/>
        <v>#NAME?</v>
      </c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 spans="1:26">
      <c r="A308" s="100" t="e">
        <f ca="1">IFERROR(__xludf.DUMMYFUNCTION("""COMPUTED_VALUE"""),58783643)</f>
        <v>#NAME?</v>
      </c>
      <c r="B308" s="100" t="e">
        <f ca="1">IFERROR(__xludf.DUMMYFUNCTION("""COMPUTED_VALUE"""),"XRPUSDT")</f>
        <v>#NAME?</v>
      </c>
      <c r="C308" s="100" t="e">
        <f ca="1">IFERROR(__xludf.DUMMYFUNCTION("""COMPUTED_VALUE"""),"2.10470000")</f>
        <v>#NAME?</v>
      </c>
      <c r="D308" s="100" t="e">
        <f t="shared" ca="1" si="61"/>
        <v>#NAME?</v>
      </c>
      <c r="E308" s="100" t="e">
        <f t="shared" ca="1" si="61"/>
        <v>#NAME?</v>
      </c>
      <c r="F308" s="100" t="e">
        <f t="shared" ca="1" si="51"/>
        <v>#NAME?</v>
      </c>
      <c r="G308" s="100" t="e">
        <f t="shared" ca="1" si="52"/>
        <v>#NAME?</v>
      </c>
      <c r="H308" s="100" t="e">
        <f t="shared" ca="1" si="53"/>
        <v>#NAME?</v>
      </c>
      <c r="I308" s="100" t="e">
        <f t="shared" ca="1" si="54"/>
        <v>#NAME?</v>
      </c>
      <c r="J308" s="100" t="e">
        <f ca="1">IFERROR(__xludf.DUMMYFUNCTION("""COMPUTED_VALUE"""),"-0.974")</f>
        <v>#NAME?</v>
      </c>
      <c r="K308" s="100" t="e">
        <f t="shared" ca="1" si="55"/>
        <v>#NAME?</v>
      </c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 spans="1:26">
      <c r="A309" s="100" t="e">
        <f ca="1">IFERROR(__xludf.DUMMYFUNCTION("""COMPUTED_VALUE"""),58783644)</f>
        <v>#NAME?</v>
      </c>
      <c r="B309" s="100" t="e">
        <f ca="1">IFERROR(__xludf.DUMMYFUNCTION("""COMPUTED_VALUE"""),"BCNBTC")</f>
        <v>#NAME?</v>
      </c>
      <c r="C309" s="100" t="e">
        <f ca="1">IFERROR(__xludf.DUMMYFUNCTION("""COMPUTED_VALUE"""),"0.00000000")</f>
        <v>#NAME?</v>
      </c>
      <c r="D309" s="100" t="e">
        <f t="shared" ca="1" si="61"/>
        <v>#NAME?</v>
      </c>
      <c r="E309" s="100" t="e">
        <f t="shared" ca="1" si="61"/>
        <v>#NAME?</v>
      </c>
      <c r="F309" s="100" t="e">
        <f t="shared" ca="1" si="51"/>
        <v>#NAME?</v>
      </c>
      <c r="G309" s="100" t="e">
        <f t="shared" ca="1" si="52"/>
        <v>#NAME?</v>
      </c>
      <c r="H309" s="100" t="e">
        <f t="shared" ca="1" si="53"/>
        <v>#NAME?</v>
      </c>
      <c r="I309" s="100" t="e">
        <f t="shared" ca="1" si="54"/>
        <v>#NAME?</v>
      </c>
      <c r="J309" s="100" t="e">
        <f ca="1">IFERROR(__xludf.DUMMYFUNCTION("""COMPUTED_VALUE"""),"0")</f>
        <v>#NAME?</v>
      </c>
      <c r="K309" s="100" t="e">
        <f t="shared" ca="1" si="55"/>
        <v>#NAME?</v>
      </c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 spans="1:26">
      <c r="A310" s="100" t="e">
        <f ca="1">IFERROR(__xludf.DUMMYFUNCTION("""COMPUTED_VALUE"""),58783645)</f>
        <v>#NAME?</v>
      </c>
      <c r="B310" s="100" t="e">
        <f ca="1">IFERROR(__xludf.DUMMYFUNCTION("""COMPUTED_VALUE"""),"BCNETH")</f>
        <v>#NAME?</v>
      </c>
      <c r="C310" s="100" t="e">
        <f ca="1">IFERROR(__xludf.DUMMYFUNCTION("""COMPUTED_VALUE"""),"0.00000000")</f>
        <v>#NAME?</v>
      </c>
      <c r="D310" s="100" t="e">
        <f t="shared" ca="1" si="61"/>
        <v>#NAME?</v>
      </c>
      <c r="E310" s="100" t="e">
        <f t="shared" ca="1" si="61"/>
        <v>#NAME?</v>
      </c>
      <c r="F310" s="100" t="e">
        <f t="shared" ca="1" si="51"/>
        <v>#NAME?</v>
      </c>
      <c r="G310" s="100" t="e">
        <f t="shared" ca="1" si="52"/>
        <v>#NAME?</v>
      </c>
      <c r="H310" s="100" t="e">
        <f t="shared" ca="1" si="53"/>
        <v>#NAME?</v>
      </c>
      <c r="I310" s="100" t="e">
        <f t="shared" ca="1" si="54"/>
        <v>#NAME?</v>
      </c>
      <c r="J310" s="100" t="e">
        <f ca="1">IFERROR(__xludf.DUMMYFUNCTION("""COMPUTED_VALUE"""),"0")</f>
        <v>#NAME?</v>
      </c>
      <c r="K310" s="100" t="e">
        <f t="shared" ca="1" si="55"/>
        <v>#NAME?</v>
      </c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 spans="1:26">
      <c r="A311" s="100" t="e">
        <f ca="1">IFERROR(__xludf.DUMMYFUNCTION("""COMPUTED_VALUE"""),58783646)</f>
        <v>#NAME?</v>
      </c>
      <c r="B311" s="100" t="e">
        <f ca="1">IFERROR(__xludf.DUMMYFUNCTION("""COMPUTED_VALUE"""),"BCNBNB")</f>
        <v>#NAME?</v>
      </c>
      <c r="C311" s="100" t="e">
        <f ca="1">IFERROR(__xludf.DUMMYFUNCTION("""COMPUTED_VALUE"""),"0.00000000")</f>
        <v>#NAME?</v>
      </c>
      <c r="D311" s="100" t="e">
        <f t="shared" ca="1" si="61"/>
        <v>#NAME?</v>
      </c>
      <c r="E311" s="100" t="e">
        <f t="shared" ca="1" si="61"/>
        <v>#NAME?</v>
      </c>
      <c r="F311" s="100" t="e">
        <f t="shared" ca="1" si="51"/>
        <v>#NAME?</v>
      </c>
      <c r="G311" s="100" t="e">
        <f t="shared" ca="1" si="52"/>
        <v>#NAME?</v>
      </c>
      <c r="H311" s="100" t="e">
        <f t="shared" ca="1" si="53"/>
        <v>#NAME?</v>
      </c>
      <c r="I311" s="100" t="e">
        <f t="shared" ca="1" si="54"/>
        <v>#NAME?</v>
      </c>
      <c r="J311" s="100" t="e">
        <f ca="1">IFERROR(__xludf.DUMMYFUNCTION("""COMPUTED_VALUE"""),"0")</f>
        <v>#NAME?</v>
      </c>
      <c r="K311" s="100" t="e">
        <f t="shared" ca="1" si="55"/>
        <v>#NAME?</v>
      </c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 spans="1:26">
      <c r="A312" s="100" t="e">
        <f ca="1">IFERROR(__xludf.DUMMYFUNCTION("""COMPUTED_VALUE"""),58783647)</f>
        <v>#NAME?</v>
      </c>
      <c r="B312" s="100" t="e">
        <f ca="1">IFERROR(__xludf.DUMMYFUNCTION("""COMPUTED_VALUE"""),"REPBTC")</f>
        <v>#NAME?</v>
      </c>
      <c r="C312" s="100" t="e">
        <f ca="1">IFERROR(__xludf.DUMMYFUNCTION("""COMPUTED_VALUE"""),"0.00034130")</f>
        <v>#NAME?</v>
      </c>
      <c r="D312" s="100" t="e">
        <f t="shared" ca="1" si="61"/>
        <v>#NAME?</v>
      </c>
      <c r="E312" s="100" t="e">
        <f t="shared" ca="1" si="61"/>
        <v>#NAME?</v>
      </c>
      <c r="F312" s="100" t="e">
        <f t="shared" ca="1" si="51"/>
        <v>#NAME?</v>
      </c>
      <c r="G312" s="100" t="e">
        <f t="shared" ca="1" si="52"/>
        <v>#NAME?</v>
      </c>
      <c r="H312" s="100" t="e">
        <f t="shared" ca="1" si="53"/>
        <v>#NAME?</v>
      </c>
      <c r="I312" s="100" t="e">
        <f t="shared" ca="1" si="54"/>
        <v>#NAME?</v>
      </c>
      <c r="J312" s="100" t="e">
        <f ca="1">IFERROR(__xludf.DUMMYFUNCTION("""COMPUTED_VALUE"""),"0")</f>
        <v>#NAME?</v>
      </c>
      <c r="K312" s="100" t="e">
        <f t="shared" ca="1" si="55"/>
        <v>#NAME?</v>
      </c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 spans="1:26">
      <c r="A313" s="100" t="e">
        <f ca="1">IFERROR(__xludf.DUMMYFUNCTION("""COMPUTED_VALUE"""),58783648)</f>
        <v>#NAME?</v>
      </c>
      <c r="B313" s="100" t="e">
        <f ca="1">IFERROR(__xludf.DUMMYFUNCTION("""COMPUTED_VALUE"""),"REPBNB")</f>
        <v>#NAME?</v>
      </c>
      <c r="C313" s="100" t="e">
        <f ca="1">IFERROR(__xludf.DUMMYFUNCTION("""COMPUTED_VALUE"""),"0.00000000")</f>
        <v>#NAME?</v>
      </c>
      <c r="D313" s="100" t="e">
        <f t="shared" ca="1" si="61"/>
        <v>#NAME?</v>
      </c>
      <c r="E313" s="100" t="e">
        <f t="shared" ca="1" si="61"/>
        <v>#NAME?</v>
      </c>
      <c r="F313" s="100" t="e">
        <f t="shared" ca="1" si="51"/>
        <v>#NAME?</v>
      </c>
      <c r="G313" s="100" t="e">
        <f t="shared" ca="1" si="52"/>
        <v>#NAME?</v>
      </c>
      <c r="H313" s="100" t="e">
        <f t="shared" ca="1" si="53"/>
        <v>#NAME?</v>
      </c>
      <c r="I313" s="100" t="e">
        <f t="shared" ca="1" si="54"/>
        <v>#NAME?</v>
      </c>
      <c r="J313" s="100" t="e">
        <f ca="1">IFERROR(__xludf.DUMMYFUNCTION("""COMPUTED_VALUE"""),"0")</f>
        <v>#NAME?</v>
      </c>
      <c r="K313" s="100" t="e">
        <f t="shared" ca="1" si="55"/>
        <v>#NAME?</v>
      </c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 spans="1:26">
      <c r="A314" s="100" t="e">
        <f ca="1">IFERROR(__xludf.DUMMYFUNCTION("""COMPUTED_VALUE"""),58783649)</f>
        <v>#NAME?</v>
      </c>
      <c r="B314" s="100" t="e">
        <f ca="1">IFERROR(__xludf.DUMMYFUNCTION("""COMPUTED_VALUE"""),"BTCTUSD")</f>
        <v>#NAME?</v>
      </c>
      <c r="C314" s="100" t="e">
        <f ca="1">IFERROR(__xludf.DUMMYFUNCTION("""COMPUTED_VALUE"""),"88728.77000000")</f>
        <v>#NAME?</v>
      </c>
      <c r="D314" s="100" t="e">
        <f t="shared" ca="1" si="61"/>
        <v>#NAME?</v>
      </c>
      <c r="E314" s="100" t="e">
        <f t="shared" ca="1" si="61"/>
        <v>#NAME?</v>
      </c>
      <c r="F314" s="100" t="e">
        <f t="shared" ca="1" si="51"/>
        <v>#NAME?</v>
      </c>
      <c r="G314" s="100" t="e">
        <f t="shared" ca="1" si="52"/>
        <v>#NAME?</v>
      </c>
      <c r="H314" s="100" t="e">
        <f t="shared" ca="1" si="53"/>
        <v>#NAME?</v>
      </c>
      <c r="I314" s="100" t="e">
        <f t="shared" ca="1" si="54"/>
        <v>#NAME?</v>
      </c>
      <c r="J314" s="100" t="e">
        <f ca="1">IFERROR(__xludf.DUMMYFUNCTION("""COMPUTED_VALUE"""),"1.289")</f>
        <v>#NAME?</v>
      </c>
      <c r="K314" s="100" t="e">
        <f t="shared" ca="1" si="55"/>
        <v>#NAME?</v>
      </c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 spans="1:26">
      <c r="A315" s="100" t="e">
        <f ca="1">IFERROR(__xludf.DUMMYFUNCTION("""COMPUTED_VALUE"""),58783650)</f>
        <v>#NAME?</v>
      </c>
      <c r="B315" s="100" t="e">
        <f ca="1">IFERROR(__xludf.DUMMYFUNCTION("""COMPUTED_VALUE"""),"TUSDBTC")</f>
        <v>#NAME?</v>
      </c>
      <c r="C315" s="100" t="e">
        <f ca="1">IFERROR(__xludf.DUMMYFUNCTION("""COMPUTED_VALUE"""),"0.00000000")</f>
        <v>#NAME?</v>
      </c>
      <c r="D315" s="100" t="e">
        <f t="shared" ca="1" si="61"/>
        <v>#NAME?</v>
      </c>
      <c r="E315" s="100" t="e">
        <f t="shared" ca="1" si="61"/>
        <v>#NAME?</v>
      </c>
      <c r="F315" s="100" t="e">
        <f t="shared" ca="1" si="51"/>
        <v>#NAME?</v>
      </c>
      <c r="G315" s="100" t="e">
        <f t="shared" ca="1" si="52"/>
        <v>#NAME?</v>
      </c>
      <c r="H315" s="100" t="e">
        <f t="shared" ca="1" si="53"/>
        <v>#NAME?</v>
      </c>
      <c r="I315" s="100" t="e">
        <f t="shared" ca="1" si="54"/>
        <v>#NAME?</v>
      </c>
      <c r="J315" s="100" t="e">
        <f ca="1">IFERROR(__xludf.DUMMYFUNCTION("""COMPUTED_VALUE"""),"0")</f>
        <v>#NAME?</v>
      </c>
      <c r="K315" s="100" t="e">
        <f t="shared" ca="1" si="55"/>
        <v>#NAME?</v>
      </c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 spans="1:26">
      <c r="A316" s="100" t="e">
        <f ca="1">IFERROR(__xludf.DUMMYFUNCTION("""COMPUTED_VALUE"""),58783651)</f>
        <v>#NAME?</v>
      </c>
      <c r="B316" s="100" t="e">
        <f ca="1">IFERROR(__xludf.DUMMYFUNCTION("""COMPUTED_VALUE"""),"ETHTUSD")</f>
        <v>#NAME?</v>
      </c>
      <c r="C316" s="100" t="e">
        <f ca="1">IFERROR(__xludf.DUMMYFUNCTION("""COMPUTED_VALUE"""),"1628.30000000")</f>
        <v>#NAME?</v>
      </c>
      <c r="D316" s="100" t="e">
        <f t="shared" ca="1" si="61"/>
        <v>#NAME?</v>
      </c>
      <c r="E316" s="100" t="e">
        <f t="shared" ca="1" si="61"/>
        <v>#NAME?</v>
      </c>
      <c r="F316" s="100" t="e">
        <f t="shared" ca="1" si="51"/>
        <v>#NAME?</v>
      </c>
      <c r="G316" s="100" t="e">
        <f t="shared" ca="1" si="52"/>
        <v>#NAME?</v>
      </c>
      <c r="H316" s="100" t="e">
        <f t="shared" ca="1" si="53"/>
        <v>#NAME?</v>
      </c>
      <c r="I316" s="100" t="e">
        <f t="shared" ca="1" si="54"/>
        <v>#NAME?</v>
      </c>
      <c r="J316" s="100" t="e">
        <f ca="1">IFERROR(__xludf.DUMMYFUNCTION("""COMPUTED_VALUE"""),"-0.890")</f>
        <v>#NAME?</v>
      </c>
      <c r="K316" s="100" t="e">
        <f t="shared" ca="1" si="55"/>
        <v>#NAME?</v>
      </c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 spans="1:26">
      <c r="A317" s="100" t="e">
        <f ca="1">IFERROR(__xludf.DUMMYFUNCTION("""COMPUTED_VALUE"""),58783652)</f>
        <v>#NAME?</v>
      </c>
      <c r="B317" s="100" t="e">
        <f ca="1">IFERROR(__xludf.DUMMYFUNCTION("""COMPUTED_VALUE"""),"TUSDETH")</f>
        <v>#NAME?</v>
      </c>
      <c r="C317" s="100" t="e">
        <f ca="1">IFERROR(__xludf.DUMMYFUNCTION("""COMPUTED_VALUE"""),"0.00000000")</f>
        <v>#NAME?</v>
      </c>
      <c r="D317" s="100" t="e">
        <f t="shared" ca="1" si="61"/>
        <v>#NAME?</v>
      </c>
      <c r="E317" s="100" t="e">
        <f t="shared" ca="1" si="61"/>
        <v>#NAME?</v>
      </c>
      <c r="F317" s="100" t="e">
        <f t="shared" ca="1" si="51"/>
        <v>#NAME?</v>
      </c>
      <c r="G317" s="100" t="e">
        <f t="shared" ca="1" si="52"/>
        <v>#NAME?</v>
      </c>
      <c r="H317" s="100" t="e">
        <f t="shared" ca="1" si="53"/>
        <v>#NAME?</v>
      </c>
      <c r="I317" s="100" t="e">
        <f t="shared" ca="1" si="54"/>
        <v>#NAME?</v>
      </c>
      <c r="J317" s="100" t="e">
        <f ca="1">IFERROR(__xludf.DUMMYFUNCTION("""COMPUTED_VALUE"""),"0")</f>
        <v>#NAME?</v>
      </c>
      <c r="K317" s="100" t="e">
        <f t="shared" ca="1" si="55"/>
        <v>#NAME?</v>
      </c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 spans="1:26">
      <c r="A318" s="100" t="e">
        <f ca="1">IFERROR(__xludf.DUMMYFUNCTION("""COMPUTED_VALUE"""),58783653)</f>
        <v>#NAME?</v>
      </c>
      <c r="B318" s="100" t="e">
        <f ca="1">IFERROR(__xludf.DUMMYFUNCTION("""COMPUTED_VALUE"""),"TUSDBNB")</f>
        <v>#NAME?</v>
      </c>
      <c r="C318" s="100" t="e">
        <f ca="1">IFERROR(__xludf.DUMMYFUNCTION("""COMPUTED_VALUE"""),"0.00000000")</f>
        <v>#NAME?</v>
      </c>
      <c r="D318" s="100" t="e">
        <f t="shared" ca="1" si="61"/>
        <v>#NAME?</v>
      </c>
      <c r="E318" s="100" t="e">
        <f t="shared" ca="1" si="61"/>
        <v>#NAME?</v>
      </c>
      <c r="F318" s="100" t="e">
        <f t="shared" ca="1" si="51"/>
        <v>#NAME?</v>
      </c>
      <c r="G318" s="100" t="e">
        <f t="shared" ca="1" si="52"/>
        <v>#NAME?</v>
      </c>
      <c r="H318" s="100" t="e">
        <f t="shared" ca="1" si="53"/>
        <v>#NAME?</v>
      </c>
      <c r="I318" s="100" t="e">
        <f t="shared" ca="1" si="54"/>
        <v>#NAME?</v>
      </c>
      <c r="J318" s="100" t="e">
        <f ca="1">IFERROR(__xludf.DUMMYFUNCTION("""COMPUTED_VALUE"""),"0")</f>
        <v>#NAME?</v>
      </c>
      <c r="K318" s="100" t="e">
        <f t="shared" ca="1" si="55"/>
        <v>#NAME?</v>
      </c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 spans="1:26">
      <c r="A319" s="100" t="e">
        <f ca="1">IFERROR(__xludf.DUMMYFUNCTION("""COMPUTED_VALUE"""),58783654)</f>
        <v>#NAME?</v>
      </c>
      <c r="B319" s="100" t="e">
        <f ca="1">IFERROR(__xludf.DUMMYFUNCTION("""COMPUTED_VALUE"""),"ZENBTC")</f>
        <v>#NAME?</v>
      </c>
      <c r="C319" s="100" t="e">
        <f ca="1">IFERROR(__xludf.DUMMYFUNCTION("""COMPUTED_VALUE"""),"0.00009780")</f>
        <v>#NAME?</v>
      </c>
      <c r="D319" s="100" t="e">
        <f t="shared" ca="1" si="61"/>
        <v>#NAME?</v>
      </c>
      <c r="E319" s="100" t="e">
        <f t="shared" ca="1" si="61"/>
        <v>#NAME?</v>
      </c>
      <c r="F319" s="100" t="e">
        <f t="shared" ca="1" si="51"/>
        <v>#NAME?</v>
      </c>
      <c r="G319" s="100" t="e">
        <f t="shared" ca="1" si="52"/>
        <v>#NAME?</v>
      </c>
      <c r="H319" s="100" t="e">
        <f t="shared" ca="1" si="53"/>
        <v>#NAME?</v>
      </c>
      <c r="I319" s="100" t="e">
        <f t="shared" ca="1" si="54"/>
        <v>#NAME?</v>
      </c>
      <c r="J319" s="100" t="e">
        <f ca="1">IFERROR(__xludf.DUMMYFUNCTION("""COMPUTED_VALUE"""),"-5.324")</f>
        <v>#NAME?</v>
      </c>
      <c r="K319" s="100" t="e">
        <f t="shared" ca="1" si="55"/>
        <v>#NAME?</v>
      </c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 spans="1:26">
      <c r="A320" s="100" t="e">
        <f ca="1">IFERROR(__xludf.DUMMYFUNCTION("""COMPUTED_VALUE"""),58783655)</f>
        <v>#NAME?</v>
      </c>
      <c r="B320" s="100" t="e">
        <f ca="1">IFERROR(__xludf.DUMMYFUNCTION("""COMPUTED_VALUE"""),"ZENETH")</f>
        <v>#NAME?</v>
      </c>
      <c r="C320" s="100" t="e">
        <f ca="1">IFERROR(__xludf.DUMMYFUNCTION("""COMPUTED_VALUE"""),"0.00399100")</f>
        <v>#NAME?</v>
      </c>
      <c r="D320" s="100" t="e">
        <f t="shared" ca="1" si="61"/>
        <v>#NAME?</v>
      </c>
      <c r="E320" s="100" t="e">
        <f t="shared" ca="1" si="61"/>
        <v>#NAME?</v>
      </c>
      <c r="F320" s="100" t="e">
        <f t="shared" ca="1" si="51"/>
        <v>#NAME?</v>
      </c>
      <c r="G320" s="100" t="e">
        <f t="shared" ca="1" si="52"/>
        <v>#NAME?</v>
      </c>
      <c r="H320" s="100" t="e">
        <f t="shared" ca="1" si="53"/>
        <v>#NAME?</v>
      </c>
      <c r="I320" s="100" t="e">
        <f t="shared" ca="1" si="54"/>
        <v>#NAME?</v>
      </c>
      <c r="J320" s="100" t="e">
        <f ca="1">IFERROR(__xludf.DUMMYFUNCTION("""COMPUTED_VALUE"""),"0")</f>
        <v>#NAME?</v>
      </c>
      <c r="K320" s="100" t="e">
        <f t="shared" ca="1" si="55"/>
        <v>#NAME?</v>
      </c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 spans="1:26">
      <c r="A321" s="100" t="e">
        <f ca="1">IFERROR(__xludf.DUMMYFUNCTION("""COMPUTED_VALUE"""),58783656)</f>
        <v>#NAME?</v>
      </c>
      <c r="B321" s="100" t="e">
        <f ca="1">IFERROR(__xludf.DUMMYFUNCTION("""COMPUTED_VALUE"""),"ZENBNB")</f>
        <v>#NAME?</v>
      </c>
      <c r="C321" s="100" t="e">
        <f ca="1">IFERROR(__xludf.DUMMYFUNCTION("""COMPUTED_VALUE"""),"0.03290000")</f>
        <v>#NAME?</v>
      </c>
      <c r="D321" s="100" t="e">
        <f t="shared" ca="1" si="61"/>
        <v>#NAME?</v>
      </c>
      <c r="E321" s="100" t="e">
        <f t="shared" ca="1" si="61"/>
        <v>#NAME?</v>
      </c>
      <c r="F321" s="100" t="e">
        <f t="shared" ca="1" si="51"/>
        <v>#NAME?</v>
      </c>
      <c r="G321" s="100" t="e">
        <f t="shared" ca="1" si="52"/>
        <v>#NAME?</v>
      </c>
      <c r="H321" s="100" t="e">
        <f t="shared" ca="1" si="53"/>
        <v>#NAME?</v>
      </c>
      <c r="I321" s="100" t="e">
        <f t="shared" ca="1" si="54"/>
        <v>#NAME?</v>
      </c>
      <c r="J321" s="100" t="e">
        <f ca="1">IFERROR(__xludf.DUMMYFUNCTION("""COMPUTED_VALUE"""),"0")</f>
        <v>#NAME?</v>
      </c>
      <c r="K321" s="100" t="e">
        <f t="shared" ca="1" si="55"/>
        <v>#NAME?</v>
      </c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 spans="1:26">
      <c r="A322" s="100" t="e">
        <f ca="1">IFERROR(__xludf.DUMMYFUNCTION("""COMPUTED_VALUE"""),58783657)</f>
        <v>#NAME?</v>
      </c>
      <c r="B322" s="100" t="e">
        <f ca="1">IFERROR(__xludf.DUMMYFUNCTION("""COMPUTED_VALUE"""),"SKYBTC")</f>
        <v>#NAME?</v>
      </c>
      <c r="C322" s="100" t="e">
        <f ca="1">IFERROR(__xludf.DUMMYFUNCTION("""COMPUTED_VALUE"""),"0.00000000")</f>
        <v>#NAME?</v>
      </c>
      <c r="D322" s="100" t="e">
        <f t="shared" ref="D322:E341" ca="1" si="62">IFERROR(__xludf.DUMMYFUNCTION("""COMPUTED_VALUE"""),"-")</f>
        <v>#NAME?</v>
      </c>
      <c r="E322" s="100" t="e">
        <f t="shared" ca="1" si="62"/>
        <v>#NAME?</v>
      </c>
      <c r="F322" s="100" t="e">
        <f t="shared" ref="F322:F385" ca="1" si="63">IFERROR(__xludf.DUMMYFUNCTION("""COMPUTED_VALUE"""),20200)</f>
        <v>#NAME?</v>
      </c>
      <c r="G322" s="100" t="e">
        <f t="shared" ref="G322:G385" ca="1" si="64">IFERROR(__xludf.DUMMYFUNCTION("""COMPUTED_VALUE"""),2885)</f>
        <v>#NAME?</v>
      </c>
      <c r="H322" s="100" t="e">
        <f t="shared" ref="H322:H385" ca="1" si="65">IFERROR(__xludf.DUMMYFUNCTION("""COMPUTED_VALUE"""),663)</f>
        <v>#NAME?</v>
      </c>
      <c r="I322" s="100" t="e">
        <f t="shared" ref="I322:I385" ca="1" si="66">IFERROR(__xludf.DUMMYFUNCTION("""COMPUTED_VALUE"""),5817721)</f>
        <v>#NAME?</v>
      </c>
      <c r="J322" s="100" t="e">
        <f ca="1">IFERROR(__xludf.DUMMYFUNCTION("""COMPUTED_VALUE"""),"0")</f>
        <v>#NAME?</v>
      </c>
      <c r="K322" s="100" t="e">
        <f t="shared" ref="K322:K385" ca="1" si="67">IFERROR(__xludf.DUMMYFUNCTION("""COMPUTED_VALUE"""),"22.04.2025 13:05:01")</f>
        <v>#NAME?</v>
      </c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 spans="1:26">
      <c r="A323" s="100" t="e">
        <f ca="1">IFERROR(__xludf.DUMMYFUNCTION("""COMPUTED_VALUE"""),58783658)</f>
        <v>#NAME?</v>
      </c>
      <c r="B323" s="100" t="e">
        <f ca="1">IFERROR(__xludf.DUMMYFUNCTION("""COMPUTED_VALUE"""),"SKYETH")</f>
        <v>#NAME?</v>
      </c>
      <c r="C323" s="100" t="e">
        <f ca="1">IFERROR(__xludf.DUMMYFUNCTION("""COMPUTED_VALUE"""),"0.00000000")</f>
        <v>#NAME?</v>
      </c>
      <c r="D323" s="100" t="e">
        <f t="shared" ca="1" si="62"/>
        <v>#NAME?</v>
      </c>
      <c r="E323" s="100" t="e">
        <f t="shared" ca="1" si="62"/>
        <v>#NAME?</v>
      </c>
      <c r="F323" s="100" t="e">
        <f t="shared" ca="1" si="63"/>
        <v>#NAME?</v>
      </c>
      <c r="G323" s="100" t="e">
        <f t="shared" ca="1" si="64"/>
        <v>#NAME?</v>
      </c>
      <c r="H323" s="100" t="e">
        <f t="shared" ca="1" si="65"/>
        <v>#NAME?</v>
      </c>
      <c r="I323" s="100" t="e">
        <f t="shared" ca="1" si="66"/>
        <v>#NAME?</v>
      </c>
      <c r="J323" s="100" t="e">
        <f ca="1">IFERROR(__xludf.DUMMYFUNCTION("""COMPUTED_VALUE"""),"0")</f>
        <v>#NAME?</v>
      </c>
      <c r="K323" s="100" t="e">
        <f t="shared" ca="1" si="67"/>
        <v>#NAME?</v>
      </c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 spans="1:26">
      <c r="A324" s="100" t="e">
        <f ca="1">IFERROR(__xludf.DUMMYFUNCTION("""COMPUTED_VALUE"""),58783659)</f>
        <v>#NAME?</v>
      </c>
      <c r="B324" s="100" t="e">
        <f ca="1">IFERROR(__xludf.DUMMYFUNCTION("""COMPUTED_VALUE"""),"SKYBNB")</f>
        <v>#NAME?</v>
      </c>
      <c r="C324" s="100" t="e">
        <f ca="1">IFERROR(__xludf.DUMMYFUNCTION("""COMPUTED_VALUE"""),"0.00000000")</f>
        <v>#NAME?</v>
      </c>
      <c r="D324" s="100" t="e">
        <f t="shared" ca="1" si="62"/>
        <v>#NAME?</v>
      </c>
      <c r="E324" s="100" t="e">
        <f t="shared" ca="1" si="62"/>
        <v>#NAME?</v>
      </c>
      <c r="F324" s="100" t="e">
        <f t="shared" ca="1" si="63"/>
        <v>#NAME?</v>
      </c>
      <c r="G324" s="100" t="e">
        <f t="shared" ca="1" si="64"/>
        <v>#NAME?</v>
      </c>
      <c r="H324" s="100" t="e">
        <f t="shared" ca="1" si="65"/>
        <v>#NAME?</v>
      </c>
      <c r="I324" s="100" t="e">
        <f t="shared" ca="1" si="66"/>
        <v>#NAME?</v>
      </c>
      <c r="J324" s="100" t="e">
        <f ca="1">IFERROR(__xludf.DUMMYFUNCTION("""COMPUTED_VALUE"""),"0")</f>
        <v>#NAME?</v>
      </c>
      <c r="K324" s="100" t="e">
        <f t="shared" ca="1" si="67"/>
        <v>#NAME?</v>
      </c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 spans="1:26">
      <c r="A325" s="100" t="e">
        <f ca="1">IFERROR(__xludf.DUMMYFUNCTION("""COMPUTED_VALUE"""),58783660)</f>
        <v>#NAME?</v>
      </c>
      <c r="B325" s="100" t="e">
        <f ca="1">IFERROR(__xludf.DUMMYFUNCTION("""COMPUTED_VALUE"""),"EOSUSDT")</f>
        <v>#NAME?</v>
      </c>
      <c r="C325" s="100" t="e">
        <f ca="1">IFERROR(__xludf.DUMMYFUNCTION("""COMPUTED_VALUE"""),"0.63240000")</f>
        <v>#NAME?</v>
      </c>
      <c r="D325" s="100" t="e">
        <f t="shared" ca="1" si="62"/>
        <v>#NAME?</v>
      </c>
      <c r="E325" s="100" t="e">
        <f t="shared" ca="1" si="62"/>
        <v>#NAME?</v>
      </c>
      <c r="F325" s="100" t="e">
        <f t="shared" ca="1" si="63"/>
        <v>#NAME?</v>
      </c>
      <c r="G325" s="100" t="e">
        <f t="shared" ca="1" si="64"/>
        <v>#NAME?</v>
      </c>
      <c r="H325" s="100" t="e">
        <f t="shared" ca="1" si="65"/>
        <v>#NAME?</v>
      </c>
      <c r="I325" s="100" t="e">
        <f t="shared" ca="1" si="66"/>
        <v>#NAME?</v>
      </c>
      <c r="J325" s="100" t="e">
        <f ca="1">IFERROR(__xludf.DUMMYFUNCTION("""COMPUTED_VALUE"""),"-3.110")</f>
        <v>#NAME?</v>
      </c>
      <c r="K325" s="100" t="e">
        <f t="shared" ca="1" si="67"/>
        <v>#NAME?</v>
      </c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 spans="1:26">
      <c r="A326" s="100" t="e">
        <f ca="1">IFERROR(__xludf.DUMMYFUNCTION("""COMPUTED_VALUE"""),58783661)</f>
        <v>#NAME?</v>
      </c>
      <c r="B326" s="100" t="e">
        <f ca="1">IFERROR(__xludf.DUMMYFUNCTION("""COMPUTED_VALUE"""),"EOSBNB")</f>
        <v>#NAME?</v>
      </c>
      <c r="C326" s="100" t="e">
        <f ca="1">IFERROR(__xludf.DUMMYFUNCTION("""COMPUTED_VALUE"""),"0.00258300")</f>
        <v>#NAME?</v>
      </c>
      <c r="D326" s="100" t="e">
        <f t="shared" ca="1" si="62"/>
        <v>#NAME?</v>
      </c>
      <c r="E326" s="100" t="e">
        <f t="shared" ca="1" si="62"/>
        <v>#NAME?</v>
      </c>
      <c r="F326" s="100" t="e">
        <f t="shared" ca="1" si="63"/>
        <v>#NAME?</v>
      </c>
      <c r="G326" s="100" t="e">
        <f t="shared" ca="1" si="64"/>
        <v>#NAME?</v>
      </c>
      <c r="H326" s="100" t="e">
        <f t="shared" ca="1" si="65"/>
        <v>#NAME?</v>
      </c>
      <c r="I326" s="100" t="e">
        <f t="shared" ca="1" si="66"/>
        <v>#NAME?</v>
      </c>
      <c r="J326" s="100" t="e">
        <f ca="1">IFERROR(__xludf.DUMMYFUNCTION("""COMPUTED_VALUE"""),"0")</f>
        <v>#NAME?</v>
      </c>
      <c r="K326" s="100" t="e">
        <f t="shared" ca="1" si="67"/>
        <v>#NAME?</v>
      </c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 spans="1:26">
      <c r="A327" s="100" t="e">
        <f ca="1">IFERROR(__xludf.DUMMYFUNCTION("""COMPUTED_VALUE"""),58783662)</f>
        <v>#NAME?</v>
      </c>
      <c r="B327" s="100" t="e">
        <f ca="1">IFERROR(__xludf.DUMMYFUNCTION("""COMPUTED_VALUE"""),"CVCBTC")</f>
        <v>#NAME?</v>
      </c>
      <c r="C327" s="100" t="e">
        <f ca="1">IFERROR(__xludf.DUMMYFUNCTION("""COMPUTED_VALUE"""),"0.00000566")</f>
        <v>#NAME?</v>
      </c>
      <c r="D327" s="100" t="e">
        <f t="shared" ca="1" si="62"/>
        <v>#NAME?</v>
      </c>
      <c r="E327" s="100" t="e">
        <f t="shared" ca="1" si="62"/>
        <v>#NAME?</v>
      </c>
      <c r="F327" s="100" t="e">
        <f t="shared" ca="1" si="63"/>
        <v>#NAME?</v>
      </c>
      <c r="G327" s="100" t="e">
        <f t="shared" ca="1" si="64"/>
        <v>#NAME?</v>
      </c>
      <c r="H327" s="100" t="e">
        <f t="shared" ca="1" si="65"/>
        <v>#NAME?</v>
      </c>
      <c r="I327" s="100" t="e">
        <f t="shared" ca="1" si="66"/>
        <v>#NAME?</v>
      </c>
      <c r="J327" s="100" t="e">
        <f ca="1">IFERROR(__xludf.DUMMYFUNCTION("""COMPUTED_VALUE"""),"0")</f>
        <v>#NAME?</v>
      </c>
      <c r="K327" s="100" t="e">
        <f t="shared" ca="1" si="67"/>
        <v>#NAME?</v>
      </c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 spans="1:26">
      <c r="A328" s="100" t="e">
        <f ca="1">IFERROR(__xludf.DUMMYFUNCTION("""COMPUTED_VALUE"""),58783663)</f>
        <v>#NAME?</v>
      </c>
      <c r="B328" s="100" t="e">
        <f ca="1">IFERROR(__xludf.DUMMYFUNCTION("""COMPUTED_VALUE"""),"CVCETH")</f>
        <v>#NAME?</v>
      </c>
      <c r="C328" s="100" t="e">
        <f ca="1">IFERROR(__xludf.DUMMYFUNCTION("""COMPUTED_VALUE"""),"0.00000000")</f>
        <v>#NAME?</v>
      </c>
      <c r="D328" s="100" t="e">
        <f t="shared" ca="1" si="62"/>
        <v>#NAME?</v>
      </c>
      <c r="E328" s="100" t="e">
        <f t="shared" ca="1" si="62"/>
        <v>#NAME?</v>
      </c>
      <c r="F328" s="100" t="e">
        <f t="shared" ca="1" si="63"/>
        <v>#NAME?</v>
      </c>
      <c r="G328" s="100" t="e">
        <f t="shared" ca="1" si="64"/>
        <v>#NAME?</v>
      </c>
      <c r="H328" s="100" t="e">
        <f t="shared" ca="1" si="65"/>
        <v>#NAME?</v>
      </c>
      <c r="I328" s="100" t="e">
        <f t="shared" ca="1" si="66"/>
        <v>#NAME?</v>
      </c>
      <c r="J328" s="100" t="e">
        <f ca="1">IFERROR(__xludf.DUMMYFUNCTION("""COMPUTED_VALUE"""),"0")</f>
        <v>#NAME?</v>
      </c>
      <c r="K328" s="100" t="e">
        <f t="shared" ca="1" si="67"/>
        <v>#NAME?</v>
      </c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 spans="1:26">
      <c r="A329" s="100" t="e">
        <f ca="1">IFERROR(__xludf.DUMMYFUNCTION("""COMPUTED_VALUE"""),58783664)</f>
        <v>#NAME?</v>
      </c>
      <c r="B329" s="100" t="e">
        <f ca="1">IFERROR(__xludf.DUMMYFUNCTION("""COMPUTED_VALUE"""),"CVCBNB")</f>
        <v>#NAME?</v>
      </c>
      <c r="C329" s="100" t="e">
        <f ca="1">IFERROR(__xludf.DUMMYFUNCTION("""COMPUTED_VALUE"""),"0.00000000")</f>
        <v>#NAME?</v>
      </c>
      <c r="D329" s="100" t="e">
        <f t="shared" ca="1" si="62"/>
        <v>#NAME?</v>
      </c>
      <c r="E329" s="100" t="e">
        <f t="shared" ca="1" si="62"/>
        <v>#NAME?</v>
      </c>
      <c r="F329" s="100" t="e">
        <f t="shared" ca="1" si="63"/>
        <v>#NAME?</v>
      </c>
      <c r="G329" s="100" t="e">
        <f t="shared" ca="1" si="64"/>
        <v>#NAME?</v>
      </c>
      <c r="H329" s="100" t="e">
        <f t="shared" ca="1" si="65"/>
        <v>#NAME?</v>
      </c>
      <c r="I329" s="100" t="e">
        <f t="shared" ca="1" si="66"/>
        <v>#NAME?</v>
      </c>
      <c r="J329" s="100" t="e">
        <f ca="1">IFERROR(__xludf.DUMMYFUNCTION("""COMPUTED_VALUE"""),"0")</f>
        <v>#NAME?</v>
      </c>
      <c r="K329" s="100" t="e">
        <f t="shared" ca="1" si="67"/>
        <v>#NAME?</v>
      </c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 spans="1:26">
      <c r="A330" s="100" t="e">
        <f ca="1">IFERROR(__xludf.DUMMYFUNCTION("""COMPUTED_VALUE"""),58783665)</f>
        <v>#NAME?</v>
      </c>
      <c r="B330" s="100" t="e">
        <f ca="1">IFERROR(__xludf.DUMMYFUNCTION("""COMPUTED_VALUE"""),"THETABTC")</f>
        <v>#NAME?</v>
      </c>
      <c r="C330" s="100" t="e">
        <f ca="1">IFERROR(__xludf.DUMMYFUNCTION("""COMPUTED_VALUE"""),"0.00000708")</f>
        <v>#NAME?</v>
      </c>
      <c r="D330" s="100" t="e">
        <f t="shared" ca="1" si="62"/>
        <v>#NAME?</v>
      </c>
      <c r="E330" s="100" t="e">
        <f t="shared" ca="1" si="62"/>
        <v>#NAME?</v>
      </c>
      <c r="F330" s="100" t="e">
        <f t="shared" ca="1" si="63"/>
        <v>#NAME?</v>
      </c>
      <c r="G330" s="100" t="e">
        <f t="shared" ca="1" si="64"/>
        <v>#NAME?</v>
      </c>
      <c r="H330" s="100" t="e">
        <f t="shared" ca="1" si="65"/>
        <v>#NAME?</v>
      </c>
      <c r="I330" s="100" t="e">
        <f t="shared" ca="1" si="66"/>
        <v>#NAME?</v>
      </c>
      <c r="J330" s="100" t="e">
        <f ca="1">IFERROR(__xludf.DUMMYFUNCTION("""COMPUTED_VALUE"""),"-6.965")</f>
        <v>#NAME?</v>
      </c>
      <c r="K330" s="100" t="e">
        <f t="shared" ca="1" si="67"/>
        <v>#NAME?</v>
      </c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 spans="1:26">
      <c r="A331" s="100" t="e">
        <f ca="1">IFERROR(__xludf.DUMMYFUNCTION("""COMPUTED_VALUE"""),58783666)</f>
        <v>#NAME?</v>
      </c>
      <c r="B331" s="100" t="e">
        <f ca="1">IFERROR(__xludf.DUMMYFUNCTION("""COMPUTED_VALUE"""),"THETAETH")</f>
        <v>#NAME?</v>
      </c>
      <c r="C331" s="100" t="e">
        <f ca="1">IFERROR(__xludf.DUMMYFUNCTION("""COMPUTED_VALUE"""),"0.00050170")</f>
        <v>#NAME?</v>
      </c>
      <c r="D331" s="100" t="e">
        <f t="shared" ca="1" si="62"/>
        <v>#NAME?</v>
      </c>
      <c r="E331" s="100" t="e">
        <f t="shared" ca="1" si="62"/>
        <v>#NAME?</v>
      </c>
      <c r="F331" s="100" t="e">
        <f t="shared" ca="1" si="63"/>
        <v>#NAME?</v>
      </c>
      <c r="G331" s="100" t="e">
        <f t="shared" ca="1" si="64"/>
        <v>#NAME?</v>
      </c>
      <c r="H331" s="100" t="e">
        <f t="shared" ca="1" si="65"/>
        <v>#NAME?</v>
      </c>
      <c r="I331" s="100" t="e">
        <f t="shared" ca="1" si="66"/>
        <v>#NAME?</v>
      </c>
      <c r="J331" s="100" t="e">
        <f ca="1">IFERROR(__xludf.DUMMYFUNCTION("""COMPUTED_VALUE"""),"0")</f>
        <v>#NAME?</v>
      </c>
      <c r="K331" s="100" t="e">
        <f t="shared" ca="1" si="67"/>
        <v>#NAME?</v>
      </c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 spans="1:26">
      <c r="A332" s="100" t="e">
        <f ca="1">IFERROR(__xludf.DUMMYFUNCTION("""COMPUTED_VALUE"""),58783667)</f>
        <v>#NAME?</v>
      </c>
      <c r="B332" s="100" t="e">
        <f ca="1">IFERROR(__xludf.DUMMYFUNCTION("""COMPUTED_VALUE"""),"THETABNB")</f>
        <v>#NAME?</v>
      </c>
      <c r="C332" s="100" t="e">
        <f ca="1">IFERROR(__xludf.DUMMYFUNCTION("""COMPUTED_VALUE"""),"0.00273600")</f>
        <v>#NAME?</v>
      </c>
      <c r="D332" s="100" t="e">
        <f t="shared" ca="1" si="62"/>
        <v>#NAME?</v>
      </c>
      <c r="E332" s="100" t="e">
        <f t="shared" ca="1" si="62"/>
        <v>#NAME?</v>
      </c>
      <c r="F332" s="100" t="e">
        <f t="shared" ca="1" si="63"/>
        <v>#NAME?</v>
      </c>
      <c r="G332" s="100" t="e">
        <f t="shared" ca="1" si="64"/>
        <v>#NAME?</v>
      </c>
      <c r="H332" s="100" t="e">
        <f t="shared" ca="1" si="65"/>
        <v>#NAME?</v>
      </c>
      <c r="I332" s="100" t="e">
        <f t="shared" ca="1" si="66"/>
        <v>#NAME?</v>
      </c>
      <c r="J332" s="100" t="e">
        <f ca="1">IFERROR(__xludf.DUMMYFUNCTION("""COMPUTED_VALUE"""),"0")</f>
        <v>#NAME?</v>
      </c>
      <c r="K332" s="100" t="e">
        <f t="shared" ca="1" si="67"/>
        <v>#NAME?</v>
      </c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 spans="1:26">
      <c r="A333" s="100" t="e">
        <f ca="1">IFERROR(__xludf.DUMMYFUNCTION("""COMPUTED_VALUE"""),58783668)</f>
        <v>#NAME?</v>
      </c>
      <c r="B333" s="100" t="e">
        <f ca="1">IFERROR(__xludf.DUMMYFUNCTION("""COMPUTED_VALUE"""),"XRPBNB")</f>
        <v>#NAME?</v>
      </c>
      <c r="C333" s="100" t="e">
        <f ca="1">IFERROR(__xludf.DUMMYFUNCTION("""COMPUTED_VALUE"""),"0.00347080")</f>
        <v>#NAME?</v>
      </c>
      <c r="D333" s="100" t="e">
        <f t="shared" ca="1" si="62"/>
        <v>#NAME?</v>
      </c>
      <c r="E333" s="100" t="e">
        <f t="shared" ca="1" si="62"/>
        <v>#NAME?</v>
      </c>
      <c r="F333" s="100" t="e">
        <f t="shared" ca="1" si="63"/>
        <v>#NAME?</v>
      </c>
      <c r="G333" s="100" t="e">
        <f t="shared" ca="1" si="64"/>
        <v>#NAME?</v>
      </c>
      <c r="H333" s="100" t="e">
        <f t="shared" ca="1" si="65"/>
        <v>#NAME?</v>
      </c>
      <c r="I333" s="100" t="e">
        <f t="shared" ca="1" si="66"/>
        <v>#NAME?</v>
      </c>
      <c r="J333" s="100" t="e">
        <f ca="1">IFERROR(__xludf.DUMMYFUNCTION("""COMPUTED_VALUE"""),"-1.291")</f>
        <v>#NAME?</v>
      </c>
      <c r="K333" s="100" t="e">
        <f t="shared" ca="1" si="67"/>
        <v>#NAME?</v>
      </c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 spans="1:26">
      <c r="A334" s="100" t="e">
        <f ca="1">IFERROR(__xludf.DUMMYFUNCTION("""COMPUTED_VALUE"""),58783669)</f>
        <v>#NAME?</v>
      </c>
      <c r="B334" s="100" t="e">
        <f ca="1">IFERROR(__xludf.DUMMYFUNCTION("""COMPUTED_VALUE"""),"TUSDUSDT")</f>
        <v>#NAME?</v>
      </c>
      <c r="C334" s="100" t="e">
        <f ca="1">IFERROR(__xludf.DUMMYFUNCTION("""COMPUTED_VALUE"""),"0.99810000")</f>
        <v>#NAME?</v>
      </c>
      <c r="D334" s="100" t="e">
        <f t="shared" ca="1" si="62"/>
        <v>#NAME?</v>
      </c>
      <c r="E334" s="100" t="e">
        <f t="shared" ca="1" si="62"/>
        <v>#NAME?</v>
      </c>
      <c r="F334" s="100" t="e">
        <f t="shared" ca="1" si="63"/>
        <v>#NAME?</v>
      </c>
      <c r="G334" s="100" t="e">
        <f t="shared" ca="1" si="64"/>
        <v>#NAME?</v>
      </c>
      <c r="H334" s="100" t="e">
        <f t="shared" ca="1" si="65"/>
        <v>#NAME?</v>
      </c>
      <c r="I334" s="100" t="e">
        <f t="shared" ca="1" si="66"/>
        <v>#NAME?</v>
      </c>
      <c r="J334" s="100" t="e">
        <f ca="1">IFERROR(__xludf.DUMMYFUNCTION("""COMPUTED_VALUE"""),"-0.040")</f>
        <v>#NAME?</v>
      </c>
      <c r="K334" s="100" t="e">
        <f t="shared" ca="1" si="67"/>
        <v>#NAME?</v>
      </c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 spans="1:26">
      <c r="A335" s="100" t="e">
        <f ca="1">IFERROR(__xludf.DUMMYFUNCTION("""COMPUTED_VALUE"""),58783670)</f>
        <v>#NAME?</v>
      </c>
      <c r="B335" s="100" t="e">
        <f ca="1">IFERROR(__xludf.DUMMYFUNCTION("""COMPUTED_VALUE"""),"IOTAUSDT")</f>
        <v>#NAME?</v>
      </c>
      <c r="C335" s="100" t="e">
        <f ca="1">IFERROR(__xludf.DUMMYFUNCTION("""COMPUTED_VALUE"""),"0.17230000")</f>
        <v>#NAME?</v>
      </c>
      <c r="D335" s="100" t="e">
        <f t="shared" ca="1" si="62"/>
        <v>#NAME?</v>
      </c>
      <c r="E335" s="100" t="e">
        <f t="shared" ca="1" si="62"/>
        <v>#NAME?</v>
      </c>
      <c r="F335" s="100" t="e">
        <f t="shared" ca="1" si="63"/>
        <v>#NAME?</v>
      </c>
      <c r="G335" s="100" t="e">
        <f t="shared" ca="1" si="64"/>
        <v>#NAME?</v>
      </c>
      <c r="H335" s="100" t="e">
        <f t="shared" ca="1" si="65"/>
        <v>#NAME?</v>
      </c>
      <c r="I335" s="100" t="e">
        <f t="shared" ca="1" si="66"/>
        <v>#NAME?</v>
      </c>
      <c r="J335" s="100" t="e">
        <f ca="1">IFERROR(__xludf.DUMMYFUNCTION("""COMPUTED_VALUE"""),"0.643")</f>
        <v>#NAME?</v>
      </c>
      <c r="K335" s="100" t="e">
        <f t="shared" ca="1" si="67"/>
        <v>#NAME?</v>
      </c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 spans="1:26">
      <c r="A336" s="100" t="e">
        <f ca="1">IFERROR(__xludf.DUMMYFUNCTION("""COMPUTED_VALUE"""),58783671)</f>
        <v>#NAME?</v>
      </c>
      <c r="B336" s="100" t="e">
        <f ca="1">IFERROR(__xludf.DUMMYFUNCTION("""COMPUTED_VALUE"""),"XLMUSDT")</f>
        <v>#NAME?</v>
      </c>
      <c r="C336" s="100" t="e">
        <f ca="1">IFERROR(__xludf.DUMMYFUNCTION("""COMPUTED_VALUE"""),"0.24750000")</f>
        <v>#NAME?</v>
      </c>
      <c r="D336" s="100" t="e">
        <f t="shared" ca="1" si="62"/>
        <v>#NAME?</v>
      </c>
      <c r="E336" s="100" t="e">
        <f t="shared" ca="1" si="62"/>
        <v>#NAME?</v>
      </c>
      <c r="F336" s="100" t="e">
        <f t="shared" ca="1" si="63"/>
        <v>#NAME?</v>
      </c>
      <c r="G336" s="100" t="e">
        <f t="shared" ca="1" si="64"/>
        <v>#NAME?</v>
      </c>
      <c r="H336" s="100" t="e">
        <f t="shared" ca="1" si="65"/>
        <v>#NAME?</v>
      </c>
      <c r="I336" s="100" t="e">
        <f t="shared" ca="1" si="66"/>
        <v>#NAME?</v>
      </c>
      <c r="J336" s="100" t="e">
        <f ca="1">IFERROR(__xludf.DUMMYFUNCTION("""COMPUTED_VALUE"""),"-4.551")</f>
        <v>#NAME?</v>
      </c>
      <c r="K336" s="100" t="e">
        <f t="shared" ca="1" si="67"/>
        <v>#NAME?</v>
      </c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 spans="1:26">
      <c r="A337" s="100" t="e">
        <f ca="1">IFERROR(__xludf.DUMMYFUNCTION("""COMPUTED_VALUE"""),58783672)</f>
        <v>#NAME?</v>
      </c>
      <c r="B337" s="100" t="e">
        <f ca="1">IFERROR(__xludf.DUMMYFUNCTION("""COMPUTED_VALUE"""),"IOTXBTC")</f>
        <v>#NAME?</v>
      </c>
      <c r="C337" s="100" t="e">
        <f ca="1">IFERROR(__xludf.DUMMYFUNCTION("""COMPUTED_VALUE"""),"0.00000021")</f>
        <v>#NAME?</v>
      </c>
      <c r="D337" s="100" t="e">
        <f t="shared" ca="1" si="62"/>
        <v>#NAME?</v>
      </c>
      <c r="E337" s="100" t="e">
        <f t="shared" ca="1" si="62"/>
        <v>#NAME?</v>
      </c>
      <c r="F337" s="100" t="e">
        <f t="shared" ca="1" si="63"/>
        <v>#NAME?</v>
      </c>
      <c r="G337" s="100" t="e">
        <f t="shared" ca="1" si="64"/>
        <v>#NAME?</v>
      </c>
      <c r="H337" s="100" t="e">
        <f t="shared" ca="1" si="65"/>
        <v>#NAME?</v>
      </c>
      <c r="I337" s="100" t="e">
        <f t="shared" ca="1" si="66"/>
        <v>#NAME?</v>
      </c>
      <c r="J337" s="100" t="e">
        <f ca="1">IFERROR(__xludf.DUMMYFUNCTION("""COMPUTED_VALUE"""),"0.000")</f>
        <v>#NAME?</v>
      </c>
      <c r="K337" s="100" t="e">
        <f t="shared" ca="1" si="67"/>
        <v>#NAME?</v>
      </c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 spans="1:26">
      <c r="A338" s="100" t="e">
        <f ca="1">IFERROR(__xludf.DUMMYFUNCTION("""COMPUTED_VALUE"""),58783673)</f>
        <v>#NAME?</v>
      </c>
      <c r="B338" s="100" t="e">
        <f ca="1">IFERROR(__xludf.DUMMYFUNCTION("""COMPUTED_VALUE"""),"IOTXETH")</f>
        <v>#NAME?</v>
      </c>
      <c r="C338" s="100" t="e">
        <f ca="1">IFERROR(__xludf.DUMMYFUNCTION("""COMPUTED_VALUE"""),"0.00001113")</f>
        <v>#NAME?</v>
      </c>
      <c r="D338" s="100" t="e">
        <f t="shared" ca="1" si="62"/>
        <v>#NAME?</v>
      </c>
      <c r="E338" s="100" t="e">
        <f t="shared" ca="1" si="62"/>
        <v>#NAME?</v>
      </c>
      <c r="F338" s="100" t="e">
        <f t="shared" ca="1" si="63"/>
        <v>#NAME?</v>
      </c>
      <c r="G338" s="100" t="e">
        <f t="shared" ca="1" si="64"/>
        <v>#NAME?</v>
      </c>
      <c r="H338" s="100" t="e">
        <f t="shared" ca="1" si="65"/>
        <v>#NAME?</v>
      </c>
      <c r="I338" s="100" t="e">
        <f t="shared" ca="1" si="66"/>
        <v>#NAME?</v>
      </c>
      <c r="J338" s="100" t="e">
        <f ca="1">IFERROR(__xludf.DUMMYFUNCTION("""COMPUTED_VALUE"""),"-1.067")</f>
        <v>#NAME?</v>
      </c>
      <c r="K338" s="100" t="e">
        <f t="shared" ca="1" si="67"/>
        <v>#NAME?</v>
      </c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 spans="1:26">
      <c r="A339" s="100" t="e">
        <f ca="1">IFERROR(__xludf.DUMMYFUNCTION("""COMPUTED_VALUE"""),58783674)</f>
        <v>#NAME?</v>
      </c>
      <c r="B339" s="100" t="e">
        <f ca="1">IFERROR(__xludf.DUMMYFUNCTION("""COMPUTED_VALUE"""),"QKCBTC")</f>
        <v>#NAME?</v>
      </c>
      <c r="C339" s="100" t="e">
        <f ca="1">IFERROR(__xludf.DUMMYFUNCTION("""COMPUTED_VALUE"""),"0.00000010")</f>
        <v>#NAME?</v>
      </c>
      <c r="D339" s="100" t="e">
        <f t="shared" ca="1" si="62"/>
        <v>#NAME?</v>
      </c>
      <c r="E339" s="100" t="e">
        <f t="shared" ca="1" si="62"/>
        <v>#NAME?</v>
      </c>
      <c r="F339" s="100" t="e">
        <f t="shared" ca="1" si="63"/>
        <v>#NAME?</v>
      </c>
      <c r="G339" s="100" t="e">
        <f t="shared" ca="1" si="64"/>
        <v>#NAME?</v>
      </c>
      <c r="H339" s="100" t="e">
        <f t="shared" ca="1" si="65"/>
        <v>#NAME?</v>
      </c>
      <c r="I339" s="100" t="e">
        <f t="shared" ca="1" si="66"/>
        <v>#NAME?</v>
      </c>
      <c r="J339" s="100" t="e">
        <f t="shared" ref="J339:J347" ca="1" si="68">IFERROR(__xludf.DUMMYFUNCTION("""COMPUTED_VALUE"""),"0")</f>
        <v>#NAME?</v>
      </c>
      <c r="K339" s="100" t="e">
        <f t="shared" ca="1" si="67"/>
        <v>#NAME?</v>
      </c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 spans="1:26">
      <c r="A340" s="100" t="e">
        <f ca="1">IFERROR(__xludf.DUMMYFUNCTION("""COMPUTED_VALUE"""),58783675)</f>
        <v>#NAME?</v>
      </c>
      <c r="B340" s="100" t="e">
        <f ca="1">IFERROR(__xludf.DUMMYFUNCTION("""COMPUTED_VALUE"""),"QKCETH")</f>
        <v>#NAME?</v>
      </c>
      <c r="C340" s="100" t="e">
        <f ca="1">IFERROR(__xludf.DUMMYFUNCTION("""COMPUTED_VALUE"""),"0.00000430")</f>
        <v>#NAME?</v>
      </c>
      <c r="D340" s="100" t="e">
        <f t="shared" ca="1" si="62"/>
        <v>#NAME?</v>
      </c>
      <c r="E340" s="100" t="e">
        <f t="shared" ca="1" si="62"/>
        <v>#NAME?</v>
      </c>
      <c r="F340" s="100" t="e">
        <f t="shared" ca="1" si="63"/>
        <v>#NAME?</v>
      </c>
      <c r="G340" s="100" t="e">
        <f t="shared" ca="1" si="64"/>
        <v>#NAME?</v>
      </c>
      <c r="H340" s="100" t="e">
        <f t="shared" ca="1" si="65"/>
        <v>#NAME?</v>
      </c>
      <c r="I340" s="100" t="e">
        <f t="shared" ca="1" si="66"/>
        <v>#NAME?</v>
      </c>
      <c r="J340" s="100" t="e">
        <f t="shared" ca="1" si="68"/>
        <v>#NAME?</v>
      </c>
      <c r="K340" s="100" t="e">
        <f t="shared" ca="1" si="67"/>
        <v>#NAME?</v>
      </c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 spans="1:26">
      <c r="A341" s="100" t="e">
        <f ca="1">IFERROR(__xludf.DUMMYFUNCTION("""COMPUTED_VALUE"""),58783676)</f>
        <v>#NAME?</v>
      </c>
      <c r="B341" s="100" t="e">
        <f ca="1">IFERROR(__xludf.DUMMYFUNCTION("""COMPUTED_VALUE"""),"AGIBTC")</f>
        <v>#NAME?</v>
      </c>
      <c r="C341" s="100" t="e">
        <f t="shared" ref="C341:C346" ca="1" si="69">IFERROR(__xludf.DUMMYFUNCTION("""COMPUTED_VALUE"""),"0.00000000")</f>
        <v>#NAME?</v>
      </c>
      <c r="D341" s="100" t="e">
        <f t="shared" ca="1" si="62"/>
        <v>#NAME?</v>
      </c>
      <c r="E341" s="100" t="e">
        <f t="shared" ca="1" si="62"/>
        <v>#NAME?</v>
      </c>
      <c r="F341" s="100" t="e">
        <f t="shared" ca="1" si="63"/>
        <v>#NAME?</v>
      </c>
      <c r="G341" s="100" t="e">
        <f t="shared" ca="1" si="64"/>
        <v>#NAME?</v>
      </c>
      <c r="H341" s="100" t="e">
        <f t="shared" ca="1" si="65"/>
        <v>#NAME?</v>
      </c>
      <c r="I341" s="100" t="e">
        <f t="shared" ca="1" si="66"/>
        <v>#NAME?</v>
      </c>
      <c r="J341" s="100" t="e">
        <f t="shared" ca="1" si="68"/>
        <v>#NAME?</v>
      </c>
      <c r="K341" s="100" t="e">
        <f t="shared" ca="1" si="67"/>
        <v>#NAME?</v>
      </c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 spans="1:26">
      <c r="A342" s="100" t="e">
        <f ca="1">IFERROR(__xludf.DUMMYFUNCTION("""COMPUTED_VALUE"""),58783677)</f>
        <v>#NAME?</v>
      </c>
      <c r="B342" s="100" t="e">
        <f ca="1">IFERROR(__xludf.DUMMYFUNCTION("""COMPUTED_VALUE"""),"AGIETH")</f>
        <v>#NAME?</v>
      </c>
      <c r="C342" s="100" t="e">
        <f t="shared" ca="1" si="69"/>
        <v>#NAME?</v>
      </c>
      <c r="D342" s="100" t="e">
        <f t="shared" ref="D342:E361" ca="1" si="70">IFERROR(__xludf.DUMMYFUNCTION("""COMPUTED_VALUE"""),"-")</f>
        <v>#NAME?</v>
      </c>
      <c r="E342" s="100" t="e">
        <f t="shared" ca="1" si="70"/>
        <v>#NAME?</v>
      </c>
      <c r="F342" s="100" t="e">
        <f t="shared" ca="1" si="63"/>
        <v>#NAME?</v>
      </c>
      <c r="G342" s="100" t="e">
        <f t="shared" ca="1" si="64"/>
        <v>#NAME?</v>
      </c>
      <c r="H342" s="100" t="e">
        <f t="shared" ca="1" si="65"/>
        <v>#NAME?</v>
      </c>
      <c r="I342" s="100" t="e">
        <f t="shared" ca="1" si="66"/>
        <v>#NAME?</v>
      </c>
      <c r="J342" s="100" t="e">
        <f t="shared" ca="1" si="68"/>
        <v>#NAME?</v>
      </c>
      <c r="K342" s="100" t="e">
        <f t="shared" ca="1" si="67"/>
        <v>#NAME?</v>
      </c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 spans="1:26">
      <c r="A343" s="100" t="e">
        <f ca="1">IFERROR(__xludf.DUMMYFUNCTION("""COMPUTED_VALUE"""),58783678)</f>
        <v>#NAME?</v>
      </c>
      <c r="B343" s="100" t="e">
        <f ca="1">IFERROR(__xludf.DUMMYFUNCTION("""COMPUTED_VALUE"""),"AGIBNB")</f>
        <v>#NAME?</v>
      </c>
      <c r="C343" s="100" t="e">
        <f t="shared" ca="1" si="69"/>
        <v>#NAME?</v>
      </c>
      <c r="D343" s="100" t="e">
        <f t="shared" ca="1" si="70"/>
        <v>#NAME?</v>
      </c>
      <c r="E343" s="100" t="e">
        <f t="shared" ca="1" si="70"/>
        <v>#NAME?</v>
      </c>
      <c r="F343" s="100" t="e">
        <f t="shared" ca="1" si="63"/>
        <v>#NAME?</v>
      </c>
      <c r="G343" s="100" t="e">
        <f t="shared" ca="1" si="64"/>
        <v>#NAME?</v>
      </c>
      <c r="H343" s="100" t="e">
        <f t="shared" ca="1" si="65"/>
        <v>#NAME?</v>
      </c>
      <c r="I343" s="100" t="e">
        <f t="shared" ca="1" si="66"/>
        <v>#NAME?</v>
      </c>
      <c r="J343" s="100" t="e">
        <f t="shared" ca="1" si="68"/>
        <v>#NAME?</v>
      </c>
      <c r="K343" s="100" t="e">
        <f t="shared" ca="1" si="67"/>
        <v>#NAME?</v>
      </c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 spans="1:26">
      <c r="A344" s="100" t="e">
        <f ca="1">IFERROR(__xludf.DUMMYFUNCTION("""COMPUTED_VALUE"""),58783679)</f>
        <v>#NAME?</v>
      </c>
      <c r="B344" s="100" t="e">
        <f ca="1">IFERROR(__xludf.DUMMYFUNCTION("""COMPUTED_VALUE"""),"NXSBTC")</f>
        <v>#NAME?</v>
      </c>
      <c r="C344" s="100" t="e">
        <f t="shared" ca="1" si="69"/>
        <v>#NAME?</v>
      </c>
      <c r="D344" s="100" t="e">
        <f t="shared" ca="1" si="70"/>
        <v>#NAME?</v>
      </c>
      <c r="E344" s="100" t="e">
        <f t="shared" ca="1" si="70"/>
        <v>#NAME?</v>
      </c>
      <c r="F344" s="100" t="e">
        <f t="shared" ca="1" si="63"/>
        <v>#NAME?</v>
      </c>
      <c r="G344" s="100" t="e">
        <f t="shared" ca="1" si="64"/>
        <v>#NAME?</v>
      </c>
      <c r="H344" s="100" t="e">
        <f t="shared" ca="1" si="65"/>
        <v>#NAME?</v>
      </c>
      <c r="I344" s="100" t="e">
        <f t="shared" ca="1" si="66"/>
        <v>#NAME?</v>
      </c>
      <c r="J344" s="100" t="e">
        <f t="shared" ca="1" si="68"/>
        <v>#NAME?</v>
      </c>
      <c r="K344" s="100" t="e">
        <f t="shared" ca="1" si="67"/>
        <v>#NAME?</v>
      </c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 spans="1:26">
      <c r="A345" s="100" t="e">
        <f ca="1">IFERROR(__xludf.DUMMYFUNCTION("""COMPUTED_VALUE"""),58783680)</f>
        <v>#NAME?</v>
      </c>
      <c r="B345" s="100" t="e">
        <f ca="1">IFERROR(__xludf.DUMMYFUNCTION("""COMPUTED_VALUE"""),"NXSETH")</f>
        <v>#NAME?</v>
      </c>
      <c r="C345" s="100" t="e">
        <f t="shared" ca="1" si="69"/>
        <v>#NAME?</v>
      </c>
      <c r="D345" s="100" t="e">
        <f t="shared" ca="1" si="70"/>
        <v>#NAME?</v>
      </c>
      <c r="E345" s="100" t="e">
        <f t="shared" ca="1" si="70"/>
        <v>#NAME?</v>
      </c>
      <c r="F345" s="100" t="e">
        <f t="shared" ca="1" si="63"/>
        <v>#NAME?</v>
      </c>
      <c r="G345" s="100" t="e">
        <f t="shared" ca="1" si="64"/>
        <v>#NAME?</v>
      </c>
      <c r="H345" s="100" t="e">
        <f t="shared" ca="1" si="65"/>
        <v>#NAME?</v>
      </c>
      <c r="I345" s="100" t="e">
        <f t="shared" ca="1" si="66"/>
        <v>#NAME?</v>
      </c>
      <c r="J345" s="100" t="e">
        <f t="shared" ca="1" si="68"/>
        <v>#NAME?</v>
      </c>
      <c r="K345" s="100" t="e">
        <f t="shared" ca="1" si="67"/>
        <v>#NAME?</v>
      </c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 spans="1:26">
      <c r="A346" s="100" t="e">
        <f ca="1">IFERROR(__xludf.DUMMYFUNCTION("""COMPUTED_VALUE"""),58783681)</f>
        <v>#NAME?</v>
      </c>
      <c r="B346" s="100" t="e">
        <f ca="1">IFERROR(__xludf.DUMMYFUNCTION("""COMPUTED_VALUE"""),"NXSBNB")</f>
        <v>#NAME?</v>
      </c>
      <c r="C346" s="100" t="e">
        <f t="shared" ca="1" si="69"/>
        <v>#NAME?</v>
      </c>
      <c r="D346" s="100" t="e">
        <f t="shared" ca="1" si="70"/>
        <v>#NAME?</v>
      </c>
      <c r="E346" s="100" t="e">
        <f t="shared" ca="1" si="70"/>
        <v>#NAME?</v>
      </c>
      <c r="F346" s="100" t="e">
        <f t="shared" ca="1" si="63"/>
        <v>#NAME?</v>
      </c>
      <c r="G346" s="100" t="e">
        <f t="shared" ca="1" si="64"/>
        <v>#NAME?</v>
      </c>
      <c r="H346" s="100" t="e">
        <f t="shared" ca="1" si="65"/>
        <v>#NAME?</v>
      </c>
      <c r="I346" s="100" t="e">
        <f t="shared" ca="1" si="66"/>
        <v>#NAME?</v>
      </c>
      <c r="J346" s="100" t="e">
        <f t="shared" ca="1" si="68"/>
        <v>#NAME?</v>
      </c>
      <c r="K346" s="100" t="e">
        <f t="shared" ca="1" si="67"/>
        <v>#NAME?</v>
      </c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 spans="1:26">
      <c r="A347" s="100" t="e">
        <f ca="1">IFERROR(__xludf.DUMMYFUNCTION("""COMPUTED_VALUE"""),58783682)</f>
        <v>#NAME?</v>
      </c>
      <c r="B347" s="100" t="e">
        <f ca="1">IFERROR(__xludf.DUMMYFUNCTION("""COMPUTED_VALUE"""),"ENJBNB")</f>
        <v>#NAME?</v>
      </c>
      <c r="C347" s="100" t="e">
        <f ca="1">IFERROR(__xludf.DUMMYFUNCTION("""COMPUTED_VALUE"""),"0.00136800")</f>
        <v>#NAME?</v>
      </c>
      <c r="D347" s="100" t="e">
        <f t="shared" ca="1" si="70"/>
        <v>#NAME?</v>
      </c>
      <c r="E347" s="100" t="e">
        <f t="shared" ca="1" si="70"/>
        <v>#NAME?</v>
      </c>
      <c r="F347" s="100" t="e">
        <f t="shared" ca="1" si="63"/>
        <v>#NAME?</v>
      </c>
      <c r="G347" s="100" t="e">
        <f t="shared" ca="1" si="64"/>
        <v>#NAME?</v>
      </c>
      <c r="H347" s="100" t="e">
        <f t="shared" ca="1" si="65"/>
        <v>#NAME?</v>
      </c>
      <c r="I347" s="100" t="e">
        <f t="shared" ca="1" si="66"/>
        <v>#NAME?</v>
      </c>
      <c r="J347" s="100" t="e">
        <f t="shared" ca="1" si="68"/>
        <v>#NAME?</v>
      </c>
      <c r="K347" s="100" t="e">
        <f t="shared" ca="1" si="67"/>
        <v>#NAME?</v>
      </c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 spans="1:26">
      <c r="A348" s="100" t="e">
        <f ca="1">IFERROR(__xludf.DUMMYFUNCTION("""COMPUTED_VALUE"""),58783683)</f>
        <v>#NAME?</v>
      </c>
      <c r="B348" s="100" t="e">
        <f ca="1">IFERROR(__xludf.DUMMYFUNCTION("""COMPUTED_VALUE"""),"DATABTC")</f>
        <v>#NAME?</v>
      </c>
      <c r="C348" s="100" t="e">
        <f ca="1">IFERROR(__xludf.DUMMYFUNCTION("""COMPUTED_VALUE"""),"0.00000019")</f>
        <v>#NAME?</v>
      </c>
      <c r="D348" s="100" t="e">
        <f t="shared" ca="1" si="70"/>
        <v>#NAME?</v>
      </c>
      <c r="E348" s="100" t="e">
        <f t="shared" ca="1" si="70"/>
        <v>#NAME?</v>
      </c>
      <c r="F348" s="100" t="e">
        <f t="shared" ca="1" si="63"/>
        <v>#NAME?</v>
      </c>
      <c r="G348" s="100" t="e">
        <f t="shared" ca="1" si="64"/>
        <v>#NAME?</v>
      </c>
      <c r="H348" s="100" t="e">
        <f t="shared" ca="1" si="65"/>
        <v>#NAME?</v>
      </c>
      <c r="I348" s="100" t="e">
        <f t="shared" ca="1" si="66"/>
        <v>#NAME?</v>
      </c>
      <c r="J348" s="100" t="e">
        <f ca="1">IFERROR(__xludf.DUMMYFUNCTION("""COMPUTED_VALUE"""),"-5.000")</f>
        <v>#NAME?</v>
      </c>
      <c r="K348" s="100" t="e">
        <f t="shared" ca="1" si="67"/>
        <v>#NAME?</v>
      </c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 spans="1:26">
      <c r="A349" s="100" t="e">
        <f ca="1">IFERROR(__xludf.DUMMYFUNCTION("""COMPUTED_VALUE"""),58783684)</f>
        <v>#NAME?</v>
      </c>
      <c r="B349" s="100" t="e">
        <f ca="1">IFERROR(__xludf.DUMMYFUNCTION("""COMPUTED_VALUE"""),"DATAETH")</f>
        <v>#NAME?</v>
      </c>
      <c r="C349" s="100" t="e">
        <f ca="1">IFERROR(__xludf.DUMMYFUNCTION("""COMPUTED_VALUE"""),"0.00002034")</f>
        <v>#NAME?</v>
      </c>
      <c r="D349" s="100" t="e">
        <f t="shared" ca="1" si="70"/>
        <v>#NAME?</v>
      </c>
      <c r="E349" s="100" t="e">
        <f t="shared" ca="1" si="70"/>
        <v>#NAME?</v>
      </c>
      <c r="F349" s="100" t="e">
        <f t="shared" ca="1" si="63"/>
        <v>#NAME?</v>
      </c>
      <c r="G349" s="100" t="e">
        <f t="shared" ca="1" si="64"/>
        <v>#NAME?</v>
      </c>
      <c r="H349" s="100" t="e">
        <f t="shared" ca="1" si="65"/>
        <v>#NAME?</v>
      </c>
      <c r="I349" s="100" t="e">
        <f t="shared" ca="1" si="66"/>
        <v>#NAME?</v>
      </c>
      <c r="J349" s="100" t="e">
        <f ca="1">IFERROR(__xludf.DUMMYFUNCTION("""COMPUTED_VALUE"""),"0")</f>
        <v>#NAME?</v>
      </c>
      <c r="K349" s="100" t="e">
        <f t="shared" ca="1" si="67"/>
        <v>#NAME?</v>
      </c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 spans="1:26">
      <c r="A350" s="100" t="e">
        <f ca="1">IFERROR(__xludf.DUMMYFUNCTION("""COMPUTED_VALUE"""),58783685)</f>
        <v>#NAME?</v>
      </c>
      <c r="B350" s="100" t="e">
        <f ca="1">IFERROR(__xludf.DUMMYFUNCTION("""COMPUTED_VALUE"""),"ONTUSDT")</f>
        <v>#NAME?</v>
      </c>
      <c r="C350" s="100" t="e">
        <f ca="1">IFERROR(__xludf.DUMMYFUNCTION("""COMPUTED_VALUE"""),"0.14410000")</f>
        <v>#NAME?</v>
      </c>
      <c r="D350" s="100" t="e">
        <f t="shared" ca="1" si="70"/>
        <v>#NAME?</v>
      </c>
      <c r="E350" s="100" t="e">
        <f t="shared" ca="1" si="70"/>
        <v>#NAME?</v>
      </c>
      <c r="F350" s="100" t="e">
        <f t="shared" ca="1" si="63"/>
        <v>#NAME?</v>
      </c>
      <c r="G350" s="100" t="e">
        <f t="shared" ca="1" si="64"/>
        <v>#NAME?</v>
      </c>
      <c r="H350" s="100" t="e">
        <f t="shared" ca="1" si="65"/>
        <v>#NAME?</v>
      </c>
      <c r="I350" s="100" t="e">
        <f t="shared" ca="1" si="66"/>
        <v>#NAME?</v>
      </c>
      <c r="J350" s="100" t="e">
        <f ca="1">IFERROR(__xludf.DUMMYFUNCTION("""COMPUTED_VALUE"""),"-2.767")</f>
        <v>#NAME?</v>
      </c>
      <c r="K350" s="100" t="e">
        <f t="shared" ca="1" si="67"/>
        <v>#NAME?</v>
      </c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 spans="1:26">
      <c r="A351" s="100" t="e">
        <f ca="1">IFERROR(__xludf.DUMMYFUNCTION("""COMPUTED_VALUE"""),58783686)</f>
        <v>#NAME?</v>
      </c>
      <c r="B351" s="100" t="e">
        <f ca="1">IFERROR(__xludf.DUMMYFUNCTION("""COMPUTED_VALUE"""),"TRXBNB")</f>
        <v>#NAME?</v>
      </c>
      <c r="C351" s="100" t="e">
        <f ca="1">IFERROR(__xludf.DUMMYFUNCTION("""COMPUTED_VALUE"""),"0.00040930")</f>
        <v>#NAME?</v>
      </c>
      <c r="D351" s="100" t="e">
        <f t="shared" ca="1" si="70"/>
        <v>#NAME?</v>
      </c>
      <c r="E351" s="100" t="e">
        <f t="shared" ca="1" si="70"/>
        <v>#NAME?</v>
      </c>
      <c r="F351" s="100" t="e">
        <f t="shared" ca="1" si="63"/>
        <v>#NAME?</v>
      </c>
      <c r="G351" s="100" t="e">
        <f t="shared" ca="1" si="64"/>
        <v>#NAME?</v>
      </c>
      <c r="H351" s="100" t="e">
        <f t="shared" ca="1" si="65"/>
        <v>#NAME?</v>
      </c>
      <c r="I351" s="100" t="e">
        <f t="shared" ca="1" si="66"/>
        <v>#NAME?</v>
      </c>
      <c r="J351" s="100" t="e">
        <f ca="1">IFERROR(__xludf.DUMMYFUNCTION("""COMPUTED_VALUE"""),"1.563")</f>
        <v>#NAME?</v>
      </c>
      <c r="K351" s="100" t="e">
        <f t="shared" ca="1" si="67"/>
        <v>#NAME?</v>
      </c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 spans="1:26">
      <c r="A352" s="100" t="e">
        <f ca="1">IFERROR(__xludf.DUMMYFUNCTION("""COMPUTED_VALUE"""),58783687)</f>
        <v>#NAME?</v>
      </c>
      <c r="B352" s="100" t="e">
        <f ca="1">IFERROR(__xludf.DUMMYFUNCTION("""COMPUTED_VALUE"""),"TRXUSDT")</f>
        <v>#NAME?</v>
      </c>
      <c r="C352" s="100" t="e">
        <f ca="1">IFERROR(__xludf.DUMMYFUNCTION("""COMPUTED_VALUE"""),"0.24810000")</f>
        <v>#NAME?</v>
      </c>
      <c r="D352" s="100" t="e">
        <f t="shared" ca="1" si="70"/>
        <v>#NAME?</v>
      </c>
      <c r="E352" s="100" t="e">
        <f t="shared" ca="1" si="70"/>
        <v>#NAME?</v>
      </c>
      <c r="F352" s="100" t="e">
        <f t="shared" ca="1" si="63"/>
        <v>#NAME?</v>
      </c>
      <c r="G352" s="100" t="e">
        <f t="shared" ca="1" si="64"/>
        <v>#NAME?</v>
      </c>
      <c r="H352" s="100" t="e">
        <f t="shared" ca="1" si="65"/>
        <v>#NAME?</v>
      </c>
      <c r="I352" s="100" t="e">
        <f t="shared" ca="1" si="66"/>
        <v>#NAME?</v>
      </c>
      <c r="J352" s="100" t="e">
        <f ca="1">IFERROR(__xludf.DUMMYFUNCTION("""COMPUTED_VALUE"""),"1.973")</f>
        <v>#NAME?</v>
      </c>
      <c r="K352" s="100" t="e">
        <f t="shared" ca="1" si="67"/>
        <v>#NAME?</v>
      </c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 spans="1:26">
      <c r="A353" s="100" t="e">
        <f ca="1">IFERROR(__xludf.DUMMYFUNCTION("""COMPUTED_VALUE"""),58783688)</f>
        <v>#NAME?</v>
      </c>
      <c r="B353" s="100" t="e">
        <f ca="1">IFERROR(__xludf.DUMMYFUNCTION("""COMPUTED_VALUE"""),"ETCUSDT")</f>
        <v>#NAME?</v>
      </c>
      <c r="C353" s="100" t="e">
        <f ca="1">IFERROR(__xludf.DUMMYFUNCTION("""COMPUTED_VALUE"""),"15.61000000")</f>
        <v>#NAME?</v>
      </c>
      <c r="D353" s="100" t="e">
        <f t="shared" ca="1" si="70"/>
        <v>#NAME?</v>
      </c>
      <c r="E353" s="100" t="e">
        <f t="shared" ca="1" si="70"/>
        <v>#NAME?</v>
      </c>
      <c r="F353" s="100" t="e">
        <f t="shared" ca="1" si="63"/>
        <v>#NAME?</v>
      </c>
      <c r="G353" s="100" t="e">
        <f t="shared" ca="1" si="64"/>
        <v>#NAME?</v>
      </c>
      <c r="H353" s="100" t="e">
        <f t="shared" ca="1" si="65"/>
        <v>#NAME?</v>
      </c>
      <c r="I353" s="100" t="e">
        <f t="shared" ca="1" si="66"/>
        <v>#NAME?</v>
      </c>
      <c r="J353" s="100" t="e">
        <f ca="1">IFERROR(__xludf.DUMMYFUNCTION("""COMPUTED_VALUE"""),"-3.104")</f>
        <v>#NAME?</v>
      </c>
      <c r="K353" s="100" t="e">
        <f t="shared" ca="1" si="67"/>
        <v>#NAME?</v>
      </c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 spans="1:26">
      <c r="A354" s="100" t="e">
        <f ca="1">IFERROR(__xludf.DUMMYFUNCTION("""COMPUTED_VALUE"""),58783689)</f>
        <v>#NAME?</v>
      </c>
      <c r="B354" s="100" t="e">
        <f ca="1">IFERROR(__xludf.DUMMYFUNCTION("""COMPUTED_VALUE"""),"ETCBNB")</f>
        <v>#NAME?</v>
      </c>
      <c r="C354" s="100" t="e">
        <f ca="1">IFERROR(__xludf.DUMMYFUNCTION("""COMPUTED_VALUE"""),"0.02593000")</f>
        <v>#NAME?</v>
      </c>
      <c r="D354" s="100" t="e">
        <f t="shared" ca="1" si="70"/>
        <v>#NAME?</v>
      </c>
      <c r="E354" s="100" t="e">
        <f t="shared" ca="1" si="70"/>
        <v>#NAME?</v>
      </c>
      <c r="F354" s="100" t="e">
        <f t="shared" ca="1" si="63"/>
        <v>#NAME?</v>
      </c>
      <c r="G354" s="100" t="e">
        <f t="shared" ca="1" si="64"/>
        <v>#NAME?</v>
      </c>
      <c r="H354" s="100" t="e">
        <f t="shared" ca="1" si="65"/>
        <v>#NAME?</v>
      </c>
      <c r="I354" s="100" t="e">
        <f t="shared" ca="1" si="66"/>
        <v>#NAME?</v>
      </c>
      <c r="J354" s="100" t="e">
        <f ca="1">IFERROR(__xludf.DUMMYFUNCTION("""COMPUTED_VALUE"""),"-2.811")</f>
        <v>#NAME?</v>
      </c>
      <c r="K354" s="100" t="e">
        <f t="shared" ca="1" si="67"/>
        <v>#NAME?</v>
      </c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 spans="1:26">
      <c r="A355" s="100" t="e">
        <f ca="1">IFERROR(__xludf.DUMMYFUNCTION("""COMPUTED_VALUE"""),58783690)</f>
        <v>#NAME?</v>
      </c>
      <c r="B355" s="100" t="e">
        <f ca="1">IFERROR(__xludf.DUMMYFUNCTION("""COMPUTED_VALUE"""),"ICXUSDT")</f>
        <v>#NAME?</v>
      </c>
      <c r="C355" s="100" t="e">
        <f ca="1">IFERROR(__xludf.DUMMYFUNCTION("""COMPUTED_VALUE"""),"0.10020000")</f>
        <v>#NAME?</v>
      </c>
      <c r="D355" s="100" t="e">
        <f t="shared" ca="1" si="70"/>
        <v>#NAME?</v>
      </c>
      <c r="E355" s="100" t="e">
        <f t="shared" ca="1" si="70"/>
        <v>#NAME?</v>
      </c>
      <c r="F355" s="100" t="e">
        <f t="shared" ca="1" si="63"/>
        <v>#NAME?</v>
      </c>
      <c r="G355" s="100" t="e">
        <f t="shared" ca="1" si="64"/>
        <v>#NAME?</v>
      </c>
      <c r="H355" s="100" t="e">
        <f t="shared" ca="1" si="65"/>
        <v>#NAME?</v>
      </c>
      <c r="I355" s="100" t="e">
        <f t="shared" ca="1" si="66"/>
        <v>#NAME?</v>
      </c>
      <c r="J355" s="100" t="e">
        <f ca="1">IFERROR(__xludf.DUMMYFUNCTION("""COMPUTED_VALUE"""),"-1.957")</f>
        <v>#NAME?</v>
      </c>
      <c r="K355" s="100" t="e">
        <f t="shared" ca="1" si="67"/>
        <v>#NAME?</v>
      </c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 spans="1:26">
      <c r="A356" s="100" t="e">
        <f ca="1">IFERROR(__xludf.DUMMYFUNCTION("""COMPUTED_VALUE"""),58783691)</f>
        <v>#NAME?</v>
      </c>
      <c r="B356" s="100" t="e">
        <f ca="1">IFERROR(__xludf.DUMMYFUNCTION("""COMPUTED_VALUE"""),"SCBTC")</f>
        <v>#NAME?</v>
      </c>
      <c r="C356" s="100" t="e">
        <f ca="1">IFERROR(__xludf.DUMMYFUNCTION("""COMPUTED_VALUE"""),"0.00000000")</f>
        <v>#NAME?</v>
      </c>
      <c r="D356" s="100" t="e">
        <f t="shared" ca="1" si="70"/>
        <v>#NAME?</v>
      </c>
      <c r="E356" s="100" t="e">
        <f t="shared" ca="1" si="70"/>
        <v>#NAME?</v>
      </c>
      <c r="F356" s="100" t="e">
        <f t="shared" ca="1" si="63"/>
        <v>#NAME?</v>
      </c>
      <c r="G356" s="100" t="e">
        <f t="shared" ca="1" si="64"/>
        <v>#NAME?</v>
      </c>
      <c r="H356" s="100" t="e">
        <f t="shared" ca="1" si="65"/>
        <v>#NAME?</v>
      </c>
      <c r="I356" s="100" t="e">
        <f t="shared" ca="1" si="66"/>
        <v>#NAME?</v>
      </c>
      <c r="J356" s="100" t="e">
        <f ca="1">IFERROR(__xludf.DUMMYFUNCTION("""COMPUTED_VALUE"""),"0")</f>
        <v>#NAME?</v>
      </c>
      <c r="K356" s="100" t="e">
        <f t="shared" ca="1" si="67"/>
        <v>#NAME?</v>
      </c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 spans="1:26">
      <c r="A357" s="100" t="e">
        <f ca="1">IFERROR(__xludf.DUMMYFUNCTION("""COMPUTED_VALUE"""),58783692)</f>
        <v>#NAME?</v>
      </c>
      <c r="B357" s="100" t="e">
        <f ca="1">IFERROR(__xludf.DUMMYFUNCTION("""COMPUTED_VALUE"""),"SCETH")</f>
        <v>#NAME?</v>
      </c>
      <c r="C357" s="100" t="e">
        <f ca="1">IFERROR(__xludf.DUMMYFUNCTION("""COMPUTED_VALUE"""),"0.00000204")</f>
        <v>#NAME?</v>
      </c>
      <c r="D357" s="100" t="e">
        <f t="shared" ca="1" si="70"/>
        <v>#NAME?</v>
      </c>
      <c r="E357" s="100" t="e">
        <f t="shared" ca="1" si="70"/>
        <v>#NAME?</v>
      </c>
      <c r="F357" s="100" t="e">
        <f t="shared" ca="1" si="63"/>
        <v>#NAME?</v>
      </c>
      <c r="G357" s="100" t="e">
        <f t="shared" ca="1" si="64"/>
        <v>#NAME?</v>
      </c>
      <c r="H357" s="100" t="e">
        <f t="shared" ca="1" si="65"/>
        <v>#NAME?</v>
      </c>
      <c r="I357" s="100" t="e">
        <f t="shared" ca="1" si="66"/>
        <v>#NAME?</v>
      </c>
      <c r="J357" s="100" t="e">
        <f ca="1">IFERROR(__xludf.DUMMYFUNCTION("""COMPUTED_VALUE"""),"-0.971")</f>
        <v>#NAME?</v>
      </c>
      <c r="K357" s="100" t="e">
        <f t="shared" ca="1" si="67"/>
        <v>#NAME?</v>
      </c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 spans="1:26">
      <c r="A358" s="100" t="e">
        <f ca="1">IFERROR(__xludf.DUMMYFUNCTION("""COMPUTED_VALUE"""),58783693)</f>
        <v>#NAME?</v>
      </c>
      <c r="B358" s="100" t="e">
        <f ca="1">IFERROR(__xludf.DUMMYFUNCTION("""COMPUTED_VALUE"""),"NPXSBTC")</f>
        <v>#NAME?</v>
      </c>
      <c r="C358" s="100" t="e">
        <f ca="1">IFERROR(__xludf.DUMMYFUNCTION("""COMPUTED_VALUE"""),"0.00000000")</f>
        <v>#NAME?</v>
      </c>
      <c r="D358" s="100" t="e">
        <f t="shared" ca="1" si="70"/>
        <v>#NAME?</v>
      </c>
      <c r="E358" s="100" t="e">
        <f t="shared" ca="1" si="70"/>
        <v>#NAME?</v>
      </c>
      <c r="F358" s="100" t="e">
        <f t="shared" ca="1" si="63"/>
        <v>#NAME?</v>
      </c>
      <c r="G358" s="100" t="e">
        <f t="shared" ca="1" si="64"/>
        <v>#NAME?</v>
      </c>
      <c r="H358" s="100" t="e">
        <f t="shared" ca="1" si="65"/>
        <v>#NAME?</v>
      </c>
      <c r="I358" s="100" t="e">
        <f t="shared" ca="1" si="66"/>
        <v>#NAME?</v>
      </c>
      <c r="J358" s="100" t="e">
        <f t="shared" ref="J358:J369" ca="1" si="71">IFERROR(__xludf.DUMMYFUNCTION("""COMPUTED_VALUE"""),"0")</f>
        <v>#NAME?</v>
      </c>
      <c r="K358" s="100" t="e">
        <f t="shared" ca="1" si="67"/>
        <v>#NAME?</v>
      </c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 spans="1:26">
      <c r="A359" s="100" t="e">
        <f ca="1">IFERROR(__xludf.DUMMYFUNCTION("""COMPUTED_VALUE"""),58783694)</f>
        <v>#NAME?</v>
      </c>
      <c r="B359" s="100" t="e">
        <f ca="1">IFERROR(__xludf.DUMMYFUNCTION("""COMPUTED_VALUE"""),"NPXSETH")</f>
        <v>#NAME?</v>
      </c>
      <c r="C359" s="100" t="e">
        <f ca="1">IFERROR(__xludf.DUMMYFUNCTION("""COMPUTED_VALUE"""),"0.00000000")</f>
        <v>#NAME?</v>
      </c>
      <c r="D359" s="100" t="e">
        <f t="shared" ca="1" si="70"/>
        <v>#NAME?</v>
      </c>
      <c r="E359" s="100" t="e">
        <f t="shared" ca="1" si="70"/>
        <v>#NAME?</v>
      </c>
      <c r="F359" s="100" t="e">
        <f t="shared" ca="1" si="63"/>
        <v>#NAME?</v>
      </c>
      <c r="G359" s="100" t="e">
        <f t="shared" ca="1" si="64"/>
        <v>#NAME?</v>
      </c>
      <c r="H359" s="100" t="e">
        <f t="shared" ca="1" si="65"/>
        <v>#NAME?</v>
      </c>
      <c r="I359" s="100" t="e">
        <f t="shared" ca="1" si="66"/>
        <v>#NAME?</v>
      </c>
      <c r="J359" s="100" t="e">
        <f t="shared" ca="1" si="71"/>
        <v>#NAME?</v>
      </c>
      <c r="K359" s="100" t="e">
        <f t="shared" ca="1" si="67"/>
        <v>#NAME?</v>
      </c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 spans="1:26">
      <c r="A360" s="100" t="e">
        <f ca="1">IFERROR(__xludf.DUMMYFUNCTION("""COMPUTED_VALUE"""),58783695)</f>
        <v>#NAME?</v>
      </c>
      <c r="B360" s="100" t="e">
        <f ca="1">IFERROR(__xludf.DUMMYFUNCTION("""COMPUTED_VALUE"""),"VENUSDT")</f>
        <v>#NAME?</v>
      </c>
      <c r="C360" s="100" t="e">
        <f ca="1">IFERROR(__xludf.DUMMYFUNCTION("""COMPUTED_VALUE"""),"0.00000000")</f>
        <v>#NAME?</v>
      </c>
      <c r="D360" s="100" t="e">
        <f t="shared" ca="1" si="70"/>
        <v>#NAME?</v>
      </c>
      <c r="E360" s="100" t="e">
        <f t="shared" ca="1" si="70"/>
        <v>#NAME?</v>
      </c>
      <c r="F360" s="100" t="e">
        <f t="shared" ca="1" si="63"/>
        <v>#NAME?</v>
      </c>
      <c r="G360" s="100" t="e">
        <f t="shared" ca="1" si="64"/>
        <v>#NAME?</v>
      </c>
      <c r="H360" s="100" t="e">
        <f t="shared" ca="1" si="65"/>
        <v>#NAME?</v>
      </c>
      <c r="I360" s="100" t="e">
        <f t="shared" ca="1" si="66"/>
        <v>#NAME?</v>
      </c>
      <c r="J360" s="100" t="e">
        <f t="shared" ca="1" si="71"/>
        <v>#NAME?</v>
      </c>
      <c r="K360" s="100" t="e">
        <f t="shared" ca="1" si="67"/>
        <v>#NAME?</v>
      </c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 spans="1:26">
      <c r="A361" s="100" t="e">
        <f ca="1">IFERROR(__xludf.DUMMYFUNCTION("""COMPUTED_VALUE"""),58783696)</f>
        <v>#NAME?</v>
      </c>
      <c r="B361" s="100" t="e">
        <f ca="1">IFERROR(__xludf.DUMMYFUNCTION("""COMPUTED_VALUE"""),"KEYBTC")</f>
        <v>#NAME?</v>
      </c>
      <c r="C361" s="100" t="e">
        <f ca="1">IFERROR(__xludf.DUMMYFUNCTION("""COMPUTED_VALUE"""),"0.00000000")</f>
        <v>#NAME?</v>
      </c>
      <c r="D361" s="100" t="e">
        <f t="shared" ca="1" si="70"/>
        <v>#NAME?</v>
      </c>
      <c r="E361" s="100" t="e">
        <f t="shared" ca="1" si="70"/>
        <v>#NAME?</v>
      </c>
      <c r="F361" s="100" t="e">
        <f t="shared" ca="1" si="63"/>
        <v>#NAME?</v>
      </c>
      <c r="G361" s="100" t="e">
        <f t="shared" ca="1" si="64"/>
        <v>#NAME?</v>
      </c>
      <c r="H361" s="100" t="e">
        <f t="shared" ca="1" si="65"/>
        <v>#NAME?</v>
      </c>
      <c r="I361" s="100" t="e">
        <f t="shared" ca="1" si="66"/>
        <v>#NAME?</v>
      </c>
      <c r="J361" s="100" t="e">
        <f t="shared" ca="1" si="71"/>
        <v>#NAME?</v>
      </c>
      <c r="K361" s="100" t="e">
        <f t="shared" ca="1" si="67"/>
        <v>#NAME?</v>
      </c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 spans="1:26">
      <c r="A362" s="100" t="e">
        <f ca="1">IFERROR(__xludf.DUMMYFUNCTION("""COMPUTED_VALUE"""),58783697)</f>
        <v>#NAME?</v>
      </c>
      <c r="B362" s="100" t="e">
        <f ca="1">IFERROR(__xludf.DUMMYFUNCTION("""COMPUTED_VALUE"""),"KEYETH")</f>
        <v>#NAME?</v>
      </c>
      <c r="C362" s="100" t="e">
        <f ca="1">IFERROR(__xludf.DUMMYFUNCTION("""COMPUTED_VALUE"""),"0.00000227")</f>
        <v>#NAME?</v>
      </c>
      <c r="D362" s="100" t="e">
        <f t="shared" ref="D362:E381" ca="1" si="72">IFERROR(__xludf.DUMMYFUNCTION("""COMPUTED_VALUE"""),"-")</f>
        <v>#NAME?</v>
      </c>
      <c r="E362" s="100" t="e">
        <f t="shared" ca="1" si="72"/>
        <v>#NAME?</v>
      </c>
      <c r="F362" s="100" t="e">
        <f t="shared" ca="1" si="63"/>
        <v>#NAME?</v>
      </c>
      <c r="G362" s="100" t="e">
        <f t="shared" ca="1" si="64"/>
        <v>#NAME?</v>
      </c>
      <c r="H362" s="100" t="e">
        <f t="shared" ca="1" si="65"/>
        <v>#NAME?</v>
      </c>
      <c r="I362" s="100" t="e">
        <f t="shared" ca="1" si="66"/>
        <v>#NAME?</v>
      </c>
      <c r="J362" s="100" t="e">
        <f t="shared" ca="1" si="71"/>
        <v>#NAME?</v>
      </c>
      <c r="K362" s="100" t="e">
        <f t="shared" ca="1" si="67"/>
        <v>#NAME?</v>
      </c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 spans="1:26">
      <c r="A363" s="100" t="e">
        <f ca="1">IFERROR(__xludf.DUMMYFUNCTION("""COMPUTED_VALUE"""),58783698)</f>
        <v>#NAME?</v>
      </c>
      <c r="B363" s="100" t="e">
        <f ca="1">IFERROR(__xludf.DUMMYFUNCTION("""COMPUTED_VALUE"""),"NASBTC")</f>
        <v>#NAME?</v>
      </c>
      <c r="C363" s="100" t="e">
        <f ca="1">IFERROR(__xludf.DUMMYFUNCTION("""COMPUTED_VALUE"""),"0.00000000")</f>
        <v>#NAME?</v>
      </c>
      <c r="D363" s="100" t="e">
        <f t="shared" ca="1" si="72"/>
        <v>#NAME?</v>
      </c>
      <c r="E363" s="100" t="e">
        <f t="shared" ca="1" si="72"/>
        <v>#NAME?</v>
      </c>
      <c r="F363" s="100" t="e">
        <f t="shared" ca="1" si="63"/>
        <v>#NAME?</v>
      </c>
      <c r="G363" s="100" t="e">
        <f t="shared" ca="1" si="64"/>
        <v>#NAME?</v>
      </c>
      <c r="H363" s="100" t="e">
        <f t="shared" ca="1" si="65"/>
        <v>#NAME?</v>
      </c>
      <c r="I363" s="100" t="e">
        <f t="shared" ca="1" si="66"/>
        <v>#NAME?</v>
      </c>
      <c r="J363" s="100" t="e">
        <f t="shared" ca="1" si="71"/>
        <v>#NAME?</v>
      </c>
      <c r="K363" s="100" t="e">
        <f t="shared" ca="1" si="67"/>
        <v>#NAME?</v>
      </c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 spans="1:26">
      <c r="A364" s="100" t="e">
        <f ca="1">IFERROR(__xludf.DUMMYFUNCTION("""COMPUTED_VALUE"""),58783699)</f>
        <v>#NAME?</v>
      </c>
      <c r="B364" s="100" t="e">
        <f ca="1">IFERROR(__xludf.DUMMYFUNCTION("""COMPUTED_VALUE"""),"NASETH")</f>
        <v>#NAME?</v>
      </c>
      <c r="C364" s="100" t="e">
        <f ca="1">IFERROR(__xludf.DUMMYFUNCTION("""COMPUTED_VALUE"""),"0.00000000")</f>
        <v>#NAME?</v>
      </c>
      <c r="D364" s="100" t="e">
        <f t="shared" ca="1" si="72"/>
        <v>#NAME?</v>
      </c>
      <c r="E364" s="100" t="e">
        <f t="shared" ca="1" si="72"/>
        <v>#NAME?</v>
      </c>
      <c r="F364" s="100" t="e">
        <f t="shared" ca="1" si="63"/>
        <v>#NAME?</v>
      </c>
      <c r="G364" s="100" t="e">
        <f t="shared" ca="1" si="64"/>
        <v>#NAME?</v>
      </c>
      <c r="H364" s="100" t="e">
        <f t="shared" ca="1" si="65"/>
        <v>#NAME?</v>
      </c>
      <c r="I364" s="100" t="e">
        <f t="shared" ca="1" si="66"/>
        <v>#NAME?</v>
      </c>
      <c r="J364" s="100" t="e">
        <f t="shared" ca="1" si="71"/>
        <v>#NAME?</v>
      </c>
      <c r="K364" s="100" t="e">
        <f t="shared" ca="1" si="67"/>
        <v>#NAME?</v>
      </c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 spans="1:26">
      <c r="A365" s="100" t="e">
        <f ca="1">IFERROR(__xludf.DUMMYFUNCTION("""COMPUTED_VALUE"""),58783700)</f>
        <v>#NAME?</v>
      </c>
      <c r="B365" s="100" t="e">
        <f ca="1">IFERROR(__xludf.DUMMYFUNCTION("""COMPUTED_VALUE"""),"NASBNB")</f>
        <v>#NAME?</v>
      </c>
      <c r="C365" s="100" t="e">
        <f ca="1">IFERROR(__xludf.DUMMYFUNCTION("""COMPUTED_VALUE"""),"0.00000000")</f>
        <v>#NAME?</v>
      </c>
      <c r="D365" s="100" t="e">
        <f t="shared" ca="1" si="72"/>
        <v>#NAME?</v>
      </c>
      <c r="E365" s="100" t="e">
        <f t="shared" ca="1" si="72"/>
        <v>#NAME?</v>
      </c>
      <c r="F365" s="100" t="e">
        <f t="shared" ca="1" si="63"/>
        <v>#NAME?</v>
      </c>
      <c r="G365" s="100" t="e">
        <f t="shared" ca="1" si="64"/>
        <v>#NAME?</v>
      </c>
      <c r="H365" s="100" t="e">
        <f t="shared" ca="1" si="65"/>
        <v>#NAME?</v>
      </c>
      <c r="I365" s="100" t="e">
        <f t="shared" ca="1" si="66"/>
        <v>#NAME?</v>
      </c>
      <c r="J365" s="100" t="e">
        <f t="shared" ca="1" si="71"/>
        <v>#NAME?</v>
      </c>
      <c r="K365" s="100" t="e">
        <f t="shared" ca="1" si="67"/>
        <v>#NAME?</v>
      </c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 spans="1:26">
      <c r="A366" s="100" t="e">
        <f ca="1">IFERROR(__xludf.DUMMYFUNCTION("""COMPUTED_VALUE"""),58783701)</f>
        <v>#NAME?</v>
      </c>
      <c r="B366" s="100" t="e">
        <f ca="1">IFERROR(__xludf.DUMMYFUNCTION("""COMPUTED_VALUE"""),"MFTBTC")</f>
        <v>#NAME?</v>
      </c>
      <c r="C366" s="100" t="e">
        <f ca="1">IFERROR(__xludf.DUMMYFUNCTION("""COMPUTED_VALUE"""),"0.00000000")</f>
        <v>#NAME?</v>
      </c>
      <c r="D366" s="100" t="e">
        <f t="shared" ca="1" si="72"/>
        <v>#NAME?</v>
      </c>
      <c r="E366" s="100" t="e">
        <f t="shared" ca="1" si="72"/>
        <v>#NAME?</v>
      </c>
      <c r="F366" s="100" t="e">
        <f t="shared" ca="1" si="63"/>
        <v>#NAME?</v>
      </c>
      <c r="G366" s="100" t="e">
        <f t="shared" ca="1" si="64"/>
        <v>#NAME?</v>
      </c>
      <c r="H366" s="100" t="e">
        <f t="shared" ca="1" si="65"/>
        <v>#NAME?</v>
      </c>
      <c r="I366" s="100" t="e">
        <f t="shared" ca="1" si="66"/>
        <v>#NAME?</v>
      </c>
      <c r="J366" s="100" t="e">
        <f t="shared" ca="1" si="71"/>
        <v>#NAME?</v>
      </c>
      <c r="K366" s="100" t="e">
        <f t="shared" ca="1" si="67"/>
        <v>#NAME?</v>
      </c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 spans="1:26">
      <c r="A367" s="100" t="e">
        <f ca="1">IFERROR(__xludf.DUMMYFUNCTION("""COMPUTED_VALUE"""),58783702)</f>
        <v>#NAME?</v>
      </c>
      <c r="B367" s="100" t="e">
        <f ca="1">IFERROR(__xludf.DUMMYFUNCTION("""COMPUTED_VALUE"""),"MFTETH")</f>
        <v>#NAME?</v>
      </c>
      <c r="C367" s="100" t="e">
        <f ca="1">IFERROR(__xludf.DUMMYFUNCTION("""COMPUTED_VALUE"""),"0.00000433")</f>
        <v>#NAME?</v>
      </c>
      <c r="D367" s="100" t="e">
        <f t="shared" ca="1" si="72"/>
        <v>#NAME?</v>
      </c>
      <c r="E367" s="100" t="e">
        <f t="shared" ca="1" si="72"/>
        <v>#NAME?</v>
      </c>
      <c r="F367" s="100" t="e">
        <f t="shared" ca="1" si="63"/>
        <v>#NAME?</v>
      </c>
      <c r="G367" s="100" t="e">
        <f t="shared" ca="1" si="64"/>
        <v>#NAME?</v>
      </c>
      <c r="H367" s="100" t="e">
        <f t="shared" ca="1" si="65"/>
        <v>#NAME?</v>
      </c>
      <c r="I367" s="100" t="e">
        <f t="shared" ca="1" si="66"/>
        <v>#NAME?</v>
      </c>
      <c r="J367" s="100" t="e">
        <f t="shared" ca="1" si="71"/>
        <v>#NAME?</v>
      </c>
      <c r="K367" s="100" t="e">
        <f t="shared" ca="1" si="67"/>
        <v>#NAME?</v>
      </c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 spans="1:26">
      <c r="A368" s="100" t="e">
        <f ca="1">IFERROR(__xludf.DUMMYFUNCTION("""COMPUTED_VALUE"""),58783703)</f>
        <v>#NAME?</v>
      </c>
      <c r="B368" s="100" t="e">
        <f ca="1">IFERROR(__xludf.DUMMYFUNCTION("""COMPUTED_VALUE"""),"MFTBNB")</f>
        <v>#NAME?</v>
      </c>
      <c r="C368" s="100" t="e">
        <f ca="1">IFERROR(__xludf.DUMMYFUNCTION("""COMPUTED_VALUE"""),"0.00000000")</f>
        <v>#NAME?</v>
      </c>
      <c r="D368" s="100" t="e">
        <f t="shared" ca="1" si="72"/>
        <v>#NAME?</v>
      </c>
      <c r="E368" s="100" t="e">
        <f t="shared" ca="1" si="72"/>
        <v>#NAME?</v>
      </c>
      <c r="F368" s="100" t="e">
        <f t="shared" ca="1" si="63"/>
        <v>#NAME?</v>
      </c>
      <c r="G368" s="100" t="e">
        <f t="shared" ca="1" si="64"/>
        <v>#NAME?</v>
      </c>
      <c r="H368" s="100" t="e">
        <f t="shared" ca="1" si="65"/>
        <v>#NAME?</v>
      </c>
      <c r="I368" s="100" t="e">
        <f t="shared" ca="1" si="66"/>
        <v>#NAME?</v>
      </c>
      <c r="J368" s="100" t="e">
        <f t="shared" ca="1" si="71"/>
        <v>#NAME?</v>
      </c>
      <c r="K368" s="100" t="e">
        <f t="shared" ca="1" si="67"/>
        <v>#NAME?</v>
      </c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 spans="1:26">
      <c r="A369" s="100" t="e">
        <f ca="1">IFERROR(__xludf.DUMMYFUNCTION("""COMPUTED_VALUE"""),58783704)</f>
        <v>#NAME?</v>
      </c>
      <c r="B369" s="100" t="e">
        <f ca="1">IFERROR(__xludf.DUMMYFUNCTION("""COMPUTED_VALUE"""),"DENTBTC")</f>
        <v>#NAME?</v>
      </c>
      <c r="C369" s="100" t="e">
        <f ca="1">IFERROR(__xludf.DUMMYFUNCTION("""COMPUTED_VALUE"""),"0.00000000")</f>
        <v>#NAME?</v>
      </c>
      <c r="D369" s="100" t="e">
        <f t="shared" ca="1" si="72"/>
        <v>#NAME?</v>
      </c>
      <c r="E369" s="100" t="e">
        <f t="shared" ca="1" si="72"/>
        <v>#NAME?</v>
      </c>
      <c r="F369" s="100" t="e">
        <f t="shared" ca="1" si="63"/>
        <v>#NAME?</v>
      </c>
      <c r="G369" s="100" t="e">
        <f t="shared" ca="1" si="64"/>
        <v>#NAME?</v>
      </c>
      <c r="H369" s="100" t="e">
        <f t="shared" ca="1" si="65"/>
        <v>#NAME?</v>
      </c>
      <c r="I369" s="100" t="e">
        <f t="shared" ca="1" si="66"/>
        <v>#NAME?</v>
      </c>
      <c r="J369" s="100" t="e">
        <f t="shared" ca="1" si="71"/>
        <v>#NAME?</v>
      </c>
      <c r="K369" s="100" t="e">
        <f t="shared" ca="1" si="67"/>
        <v>#NAME?</v>
      </c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 spans="1:26">
      <c r="A370" s="100" t="e">
        <f ca="1">IFERROR(__xludf.DUMMYFUNCTION("""COMPUTED_VALUE"""),58783705)</f>
        <v>#NAME?</v>
      </c>
      <c r="B370" s="100" t="e">
        <f ca="1">IFERROR(__xludf.DUMMYFUNCTION("""COMPUTED_VALUE"""),"DENTETH")</f>
        <v>#NAME?</v>
      </c>
      <c r="C370" s="100" t="e">
        <f ca="1">IFERROR(__xludf.DUMMYFUNCTION("""COMPUTED_VALUE"""),"0.00000042")</f>
        <v>#NAME?</v>
      </c>
      <c r="D370" s="100" t="e">
        <f t="shared" ca="1" si="72"/>
        <v>#NAME?</v>
      </c>
      <c r="E370" s="100" t="e">
        <f t="shared" ca="1" si="72"/>
        <v>#NAME?</v>
      </c>
      <c r="F370" s="100" t="e">
        <f t="shared" ca="1" si="63"/>
        <v>#NAME?</v>
      </c>
      <c r="G370" s="100" t="e">
        <f t="shared" ca="1" si="64"/>
        <v>#NAME?</v>
      </c>
      <c r="H370" s="100" t="e">
        <f t="shared" ca="1" si="65"/>
        <v>#NAME?</v>
      </c>
      <c r="I370" s="100" t="e">
        <f t="shared" ca="1" si="66"/>
        <v>#NAME?</v>
      </c>
      <c r="J370" s="100" t="e">
        <f ca="1">IFERROR(__xludf.DUMMYFUNCTION("""COMPUTED_VALUE"""),"-2.326")</f>
        <v>#NAME?</v>
      </c>
      <c r="K370" s="100" t="e">
        <f t="shared" ca="1" si="67"/>
        <v>#NAME?</v>
      </c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 spans="1:26">
      <c r="A371" s="100" t="e">
        <f ca="1">IFERROR(__xludf.DUMMYFUNCTION("""COMPUTED_VALUE"""),58783706)</f>
        <v>#NAME?</v>
      </c>
      <c r="B371" s="100" t="e">
        <f ca="1">IFERROR(__xludf.DUMMYFUNCTION("""COMPUTED_VALUE"""),"ARDRBTC")</f>
        <v>#NAME?</v>
      </c>
      <c r="C371" s="100" t="e">
        <f ca="1">IFERROR(__xludf.DUMMYFUNCTION("""COMPUTED_VALUE"""),"0.00000103")</f>
        <v>#NAME?</v>
      </c>
      <c r="D371" s="100" t="e">
        <f t="shared" ca="1" si="72"/>
        <v>#NAME?</v>
      </c>
      <c r="E371" s="100" t="e">
        <f t="shared" ca="1" si="72"/>
        <v>#NAME?</v>
      </c>
      <c r="F371" s="100" t="e">
        <f t="shared" ca="1" si="63"/>
        <v>#NAME?</v>
      </c>
      <c r="G371" s="100" t="e">
        <f t="shared" ca="1" si="64"/>
        <v>#NAME?</v>
      </c>
      <c r="H371" s="100" t="e">
        <f t="shared" ca="1" si="65"/>
        <v>#NAME?</v>
      </c>
      <c r="I371" s="100" t="e">
        <f t="shared" ca="1" si="66"/>
        <v>#NAME?</v>
      </c>
      <c r="J371" s="100" t="e">
        <f ca="1">IFERROR(__xludf.DUMMYFUNCTION("""COMPUTED_VALUE"""),"-7.207")</f>
        <v>#NAME?</v>
      </c>
      <c r="K371" s="100" t="e">
        <f t="shared" ca="1" si="67"/>
        <v>#NAME?</v>
      </c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 spans="1:26">
      <c r="A372" s="100" t="e">
        <f ca="1">IFERROR(__xludf.DUMMYFUNCTION("""COMPUTED_VALUE"""),58783707)</f>
        <v>#NAME?</v>
      </c>
      <c r="B372" s="100" t="e">
        <f ca="1">IFERROR(__xludf.DUMMYFUNCTION("""COMPUTED_VALUE"""),"ARDRETH")</f>
        <v>#NAME?</v>
      </c>
      <c r="C372" s="100" t="e">
        <f ca="1">IFERROR(__xludf.DUMMYFUNCTION("""COMPUTED_VALUE"""),"0.00000000")</f>
        <v>#NAME?</v>
      </c>
      <c r="D372" s="100" t="e">
        <f t="shared" ca="1" si="72"/>
        <v>#NAME?</v>
      </c>
      <c r="E372" s="100" t="e">
        <f t="shared" ca="1" si="72"/>
        <v>#NAME?</v>
      </c>
      <c r="F372" s="100" t="e">
        <f t="shared" ca="1" si="63"/>
        <v>#NAME?</v>
      </c>
      <c r="G372" s="100" t="e">
        <f t="shared" ca="1" si="64"/>
        <v>#NAME?</v>
      </c>
      <c r="H372" s="100" t="e">
        <f t="shared" ca="1" si="65"/>
        <v>#NAME?</v>
      </c>
      <c r="I372" s="100" t="e">
        <f t="shared" ca="1" si="66"/>
        <v>#NAME?</v>
      </c>
      <c r="J372" s="100" t="e">
        <f ca="1">IFERROR(__xludf.DUMMYFUNCTION("""COMPUTED_VALUE"""),"0")</f>
        <v>#NAME?</v>
      </c>
      <c r="K372" s="100" t="e">
        <f t="shared" ca="1" si="67"/>
        <v>#NAME?</v>
      </c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 spans="1:26">
      <c r="A373" s="100" t="e">
        <f ca="1">IFERROR(__xludf.DUMMYFUNCTION("""COMPUTED_VALUE"""),58783708)</f>
        <v>#NAME?</v>
      </c>
      <c r="B373" s="100" t="e">
        <f ca="1">IFERROR(__xludf.DUMMYFUNCTION("""COMPUTED_VALUE"""),"ARDRBNB")</f>
        <v>#NAME?</v>
      </c>
      <c r="C373" s="100" t="e">
        <f ca="1">IFERROR(__xludf.DUMMYFUNCTION("""COMPUTED_VALUE"""),"0.00000000")</f>
        <v>#NAME?</v>
      </c>
      <c r="D373" s="100" t="e">
        <f t="shared" ca="1" si="72"/>
        <v>#NAME?</v>
      </c>
      <c r="E373" s="100" t="e">
        <f t="shared" ca="1" si="72"/>
        <v>#NAME?</v>
      </c>
      <c r="F373" s="100" t="e">
        <f t="shared" ca="1" si="63"/>
        <v>#NAME?</v>
      </c>
      <c r="G373" s="100" t="e">
        <f t="shared" ca="1" si="64"/>
        <v>#NAME?</v>
      </c>
      <c r="H373" s="100" t="e">
        <f t="shared" ca="1" si="65"/>
        <v>#NAME?</v>
      </c>
      <c r="I373" s="100" t="e">
        <f t="shared" ca="1" si="66"/>
        <v>#NAME?</v>
      </c>
      <c r="J373" s="100" t="e">
        <f ca="1">IFERROR(__xludf.DUMMYFUNCTION("""COMPUTED_VALUE"""),"0")</f>
        <v>#NAME?</v>
      </c>
      <c r="K373" s="100" t="e">
        <f t="shared" ca="1" si="67"/>
        <v>#NAME?</v>
      </c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 spans="1:26">
      <c r="A374" s="100" t="e">
        <f ca="1">IFERROR(__xludf.DUMMYFUNCTION("""COMPUTED_VALUE"""),58783709)</f>
        <v>#NAME?</v>
      </c>
      <c r="B374" s="100" t="e">
        <f ca="1">IFERROR(__xludf.DUMMYFUNCTION("""COMPUTED_VALUE"""),"NULSUSDT")</f>
        <v>#NAME?</v>
      </c>
      <c r="C374" s="100" t="e">
        <f ca="1">IFERROR(__xludf.DUMMYFUNCTION("""COMPUTED_VALUE"""),"0.02580000")</f>
        <v>#NAME?</v>
      </c>
      <c r="D374" s="100" t="e">
        <f t="shared" ca="1" si="72"/>
        <v>#NAME?</v>
      </c>
      <c r="E374" s="100" t="e">
        <f t="shared" ca="1" si="72"/>
        <v>#NAME?</v>
      </c>
      <c r="F374" s="100" t="e">
        <f t="shared" ca="1" si="63"/>
        <v>#NAME?</v>
      </c>
      <c r="G374" s="100" t="e">
        <f t="shared" ca="1" si="64"/>
        <v>#NAME?</v>
      </c>
      <c r="H374" s="100" t="e">
        <f t="shared" ca="1" si="65"/>
        <v>#NAME?</v>
      </c>
      <c r="I374" s="100" t="e">
        <f t="shared" ca="1" si="66"/>
        <v>#NAME?</v>
      </c>
      <c r="J374" s="100" t="e">
        <f ca="1">IFERROR(__xludf.DUMMYFUNCTION("""COMPUTED_VALUE"""),"-13.131")</f>
        <v>#NAME?</v>
      </c>
      <c r="K374" s="100" t="e">
        <f t="shared" ca="1" si="67"/>
        <v>#NAME?</v>
      </c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 spans="1:26">
      <c r="A375" s="100" t="e">
        <f ca="1">IFERROR(__xludf.DUMMYFUNCTION("""COMPUTED_VALUE"""),58783710)</f>
        <v>#NAME?</v>
      </c>
      <c r="B375" s="100" t="e">
        <f ca="1">IFERROR(__xludf.DUMMYFUNCTION("""COMPUTED_VALUE"""),"HOTBTC")</f>
        <v>#NAME?</v>
      </c>
      <c r="C375" s="100" t="e">
        <f ca="1">IFERROR(__xludf.DUMMYFUNCTION("""COMPUTED_VALUE"""),"0.00000000")</f>
        <v>#NAME?</v>
      </c>
      <c r="D375" s="100" t="e">
        <f t="shared" ca="1" si="72"/>
        <v>#NAME?</v>
      </c>
      <c r="E375" s="100" t="e">
        <f t="shared" ca="1" si="72"/>
        <v>#NAME?</v>
      </c>
      <c r="F375" s="100" t="e">
        <f t="shared" ca="1" si="63"/>
        <v>#NAME?</v>
      </c>
      <c r="G375" s="100" t="e">
        <f t="shared" ca="1" si="64"/>
        <v>#NAME?</v>
      </c>
      <c r="H375" s="100" t="e">
        <f t="shared" ca="1" si="65"/>
        <v>#NAME?</v>
      </c>
      <c r="I375" s="100" t="e">
        <f t="shared" ca="1" si="66"/>
        <v>#NAME?</v>
      </c>
      <c r="J375" s="100" t="e">
        <f ca="1">IFERROR(__xludf.DUMMYFUNCTION("""COMPUTED_VALUE"""),"0")</f>
        <v>#NAME?</v>
      </c>
      <c r="K375" s="100" t="e">
        <f t="shared" ca="1" si="67"/>
        <v>#NAME?</v>
      </c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 spans="1:26">
      <c r="A376" s="100" t="e">
        <f ca="1">IFERROR(__xludf.DUMMYFUNCTION("""COMPUTED_VALUE"""),58783711)</f>
        <v>#NAME?</v>
      </c>
      <c r="B376" s="100" t="e">
        <f ca="1">IFERROR(__xludf.DUMMYFUNCTION("""COMPUTED_VALUE"""),"HOTETH")</f>
        <v>#NAME?</v>
      </c>
      <c r="C376" s="100" t="e">
        <f ca="1">IFERROR(__xludf.DUMMYFUNCTION("""COMPUTED_VALUE"""),"0.00000060")</f>
        <v>#NAME?</v>
      </c>
      <c r="D376" s="100" t="e">
        <f t="shared" ca="1" si="72"/>
        <v>#NAME?</v>
      </c>
      <c r="E376" s="100" t="e">
        <f t="shared" ca="1" si="72"/>
        <v>#NAME?</v>
      </c>
      <c r="F376" s="100" t="e">
        <f t="shared" ca="1" si="63"/>
        <v>#NAME?</v>
      </c>
      <c r="G376" s="100" t="e">
        <f t="shared" ca="1" si="64"/>
        <v>#NAME?</v>
      </c>
      <c r="H376" s="100" t="e">
        <f t="shared" ca="1" si="65"/>
        <v>#NAME?</v>
      </c>
      <c r="I376" s="100" t="e">
        <f t="shared" ca="1" si="66"/>
        <v>#NAME?</v>
      </c>
      <c r="J376" s="100" t="e">
        <f ca="1">IFERROR(__xludf.DUMMYFUNCTION("""COMPUTED_VALUE"""),"-3.226")</f>
        <v>#NAME?</v>
      </c>
      <c r="K376" s="100" t="e">
        <f t="shared" ca="1" si="67"/>
        <v>#NAME?</v>
      </c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 spans="1:26">
      <c r="A377" s="100" t="e">
        <f ca="1">IFERROR(__xludf.DUMMYFUNCTION("""COMPUTED_VALUE"""),58783712)</f>
        <v>#NAME?</v>
      </c>
      <c r="B377" s="100" t="e">
        <f ca="1">IFERROR(__xludf.DUMMYFUNCTION("""COMPUTED_VALUE"""),"VETBTC")</f>
        <v>#NAME?</v>
      </c>
      <c r="C377" s="100" t="e">
        <f ca="1">IFERROR(__xludf.DUMMYFUNCTION("""COMPUTED_VALUE"""),"0.00000027")</f>
        <v>#NAME?</v>
      </c>
      <c r="D377" s="100" t="e">
        <f t="shared" ca="1" si="72"/>
        <v>#NAME?</v>
      </c>
      <c r="E377" s="100" t="e">
        <f t="shared" ca="1" si="72"/>
        <v>#NAME?</v>
      </c>
      <c r="F377" s="100" t="e">
        <f t="shared" ca="1" si="63"/>
        <v>#NAME?</v>
      </c>
      <c r="G377" s="100" t="e">
        <f t="shared" ca="1" si="64"/>
        <v>#NAME?</v>
      </c>
      <c r="H377" s="100" t="e">
        <f t="shared" ca="1" si="65"/>
        <v>#NAME?</v>
      </c>
      <c r="I377" s="100" t="e">
        <f t="shared" ca="1" si="66"/>
        <v>#NAME?</v>
      </c>
      <c r="J377" s="100" t="e">
        <f ca="1">IFERROR(__xludf.DUMMYFUNCTION("""COMPUTED_VALUE"""),"-3.571")</f>
        <v>#NAME?</v>
      </c>
      <c r="K377" s="100" t="e">
        <f t="shared" ca="1" si="67"/>
        <v>#NAME?</v>
      </c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 spans="1:26">
      <c r="A378" s="100" t="e">
        <f ca="1">IFERROR(__xludf.DUMMYFUNCTION("""COMPUTED_VALUE"""),58783713)</f>
        <v>#NAME?</v>
      </c>
      <c r="B378" s="100" t="e">
        <f ca="1">IFERROR(__xludf.DUMMYFUNCTION("""COMPUTED_VALUE"""),"VETETH")</f>
        <v>#NAME?</v>
      </c>
      <c r="C378" s="100" t="e">
        <f ca="1">IFERROR(__xludf.DUMMYFUNCTION("""COMPUTED_VALUE"""),"0.00001449")</f>
        <v>#NAME?</v>
      </c>
      <c r="D378" s="100" t="e">
        <f t="shared" ca="1" si="72"/>
        <v>#NAME?</v>
      </c>
      <c r="E378" s="100" t="e">
        <f t="shared" ca="1" si="72"/>
        <v>#NAME?</v>
      </c>
      <c r="F378" s="100" t="e">
        <f t="shared" ca="1" si="63"/>
        <v>#NAME?</v>
      </c>
      <c r="G378" s="100" t="e">
        <f t="shared" ca="1" si="64"/>
        <v>#NAME?</v>
      </c>
      <c r="H378" s="100" t="e">
        <f t="shared" ca="1" si="65"/>
        <v>#NAME?</v>
      </c>
      <c r="I378" s="100" t="e">
        <f t="shared" ca="1" si="66"/>
        <v>#NAME?</v>
      </c>
      <c r="J378" s="100" t="e">
        <f ca="1">IFERROR(__xludf.DUMMYFUNCTION("""COMPUTED_VALUE"""),"-3.077")</f>
        <v>#NAME?</v>
      </c>
      <c r="K378" s="100" t="e">
        <f t="shared" ca="1" si="67"/>
        <v>#NAME?</v>
      </c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 spans="1:26">
      <c r="A379" s="100" t="e">
        <f ca="1">IFERROR(__xludf.DUMMYFUNCTION("""COMPUTED_VALUE"""),58783714)</f>
        <v>#NAME?</v>
      </c>
      <c r="B379" s="100" t="e">
        <f ca="1">IFERROR(__xludf.DUMMYFUNCTION("""COMPUTED_VALUE"""),"VETUSDT")</f>
        <v>#NAME?</v>
      </c>
      <c r="C379" s="100" t="e">
        <f ca="1">IFERROR(__xludf.DUMMYFUNCTION("""COMPUTED_VALUE"""),"0.02358000")</f>
        <v>#NAME?</v>
      </c>
      <c r="D379" s="100" t="e">
        <f t="shared" ca="1" si="72"/>
        <v>#NAME?</v>
      </c>
      <c r="E379" s="100" t="e">
        <f t="shared" ca="1" si="72"/>
        <v>#NAME?</v>
      </c>
      <c r="F379" s="100" t="e">
        <f t="shared" ca="1" si="63"/>
        <v>#NAME?</v>
      </c>
      <c r="G379" s="100" t="e">
        <f t="shared" ca="1" si="64"/>
        <v>#NAME?</v>
      </c>
      <c r="H379" s="100" t="e">
        <f t="shared" ca="1" si="65"/>
        <v>#NAME?</v>
      </c>
      <c r="I379" s="100" t="e">
        <f t="shared" ca="1" si="66"/>
        <v>#NAME?</v>
      </c>
      <c r="J379" s="100" t="e">
        <f ca="1">IFERROR(__xludf.DUMMYFUNCTION("""COMPUTED_VALUE"""),"-3.558")</f>
        <v>#NAME?</v>
      </c>
      <c r="K379" s="100" t="e">
        <f t="shared" ca="1" si="67"/>
        <v>#NAME?</v>
      </c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 spans="1:26">
      <c r="A380" s="100" t="e">
        <f ca="1">IFERROR(__xludf.DUMMYFUNCTION("""COMPUTED_VALUE"""),58783715)</f>
        <v>#NAME?</v>
      </c>
      <c r="B380" s="100" t="e">
        <f ca="1">IFERROR(__xludf.DUMMYFUNCTION("""COMPUTED_VALUE"""),"VETBNB")</f>
        <v>#NAME?</v>
      </c>
      <c r="C380" s="100" t="e">
        <f ca="1">IFERROR(__xludf.DUMMYFUNCTION("""COMPUTED_VALUE"""),"0.00003892")</f>
        <v>#NAME?</v>
      </c>
      <c r="D380" s="100" t="e">
        <f t="shared" ca="1" si="72"/>
        <v>#NAME?</v>
      </c>
      <c r="E380" s="100" t="e">
        <f t="shared" ca="1" si="72"/>
        <v>#NAME?</v>
      </c>
      <c r="F380" s="100" t="e">
        <f t="shared" ca="1" si="63"/>
        <v>#NAME?</v>
      </c>
      <c r="G380" s="100" t="e">
        <f t="shared" ca="1" si="64"/>
        <v>#NAME?</v>
      </c>
      <c r="H380" s="100" t="e">
        <f t="shared" ca="1" si="65"/>
        <v>#NAME?</v>
      </c>
      <c r="I380" s="100" t="e">
        <f t="shared" ca="1" si="66"/>
        <v>#NAME?</v>
      </c>
      <c r="J380" s="100" t="e">
        <f ca="1">IFERROR(__xludf.DUMMYFUNCTION("""COMPUTED_VALUE"""),"-3.806")</f>
        <v>#NAME?</v>
      </c>
      <c r="K380" s="100" t="e">
        <f t="shared" ca="1" si="67"/>
        <v>#NAME?</v>
      </c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 spans="1:26">
      <c r="A381" s="100" t="e">
        <f ca="1">IFERROR(__xludf.DUMMYFUNCTION("""COMPUTED_VALUE"""),58783716)</f>
        <v>#NAME?</v>
      </c>
      <c r="B381" s="100" t="e">
        <f ca="1">IFERROR(__xludf.DUMMYFUNCTION("""COMPUTED_VALUE"""),"DOCKBTC")</f>
        <v>#NAME?</v>
      </c>
      <c r="C381" s="100" t="e">
        <f ca="1">IFERROR(__xludf.DUMMYFUNCTION("""COMPUTED_VALUE"""),"0.00000005")</f>
        <v>#NAME?</v>
      </c>
      <c r="D381" s="100" t="e">
        <f t="shared" ca="1" si="72"/>
        <v>#NAME?</v>
      </c>
      <c r="E381" s="100" t="e">
        <f t="shared" ca="1" si="72"/>
        <v>#NAME?</v>
      </c>
      <c r="F381" s="100" t="e">
        <f t="shared" ca="1" si="63"/>
        <v>#NAME?</v>
      </c>
      <c r="G381" s="100" t="e">
        <f t="shared" ca="1" si="64"/>
        <v>#NAME?</v>
      </c>
      <c r="H381" s="100" t="e">
        <f t="shared" ca="1" si="65"/>
        <v>#NAME?</v>
      </c>
      <c r="I381" s="100" t="e">
        <f t="shared" ca="1" si="66"/>
        <v>#NAME?</v>
      </c>
      <c r="J381" s="100" t="e">
        <f t="shared" ref="J381:J395" ca="1" si="73">IFERROR(__xludf.DUMMYFUNCTION("""COMPUTED_VALUE"""),"0")</f>
        <v>#NAME?</v>
      </c>
      <c r="K381" s="100" t="e">
        <f t="shared" ca="1" si="67"/>
        <v>#NAME?</v>
      </c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 spans="1:26">
      <c r="A382" s="100" t="e">
        <f ca="1">IFERROR(__xludf.DUMMYFUNCTION("""COMPUTED_VALUE"""),58783717)</f>
        <v>#NAME?</v>
      </c>
      <c r="B382" s="100" t="e">
        <f ca="1">IFERROR(__xludf.DUMMYFUNCTION("""COMPUTED_VALUE"""),"DOCKETH")</f>
        <v>#NAME?</v>
      </c>
      <c r="C382" s="100" t="e">
        <f ca="1">IFERROR(__xludf.DUMMYFUNCTION("""COMPUTED_VALUE"""),"0.00000000")</f>
        <v>#NAME?</v>
      </c>
      <c r="D382" s="100" t="e">
        <f t="shared" ref="D382:E401" ca="1" si="74">IFERROR(__xludf.DUMMYFUNCTION("""COMPUTED_VALUE"""),"-")</f>
        <v>#NAME?</v>
      </c>
      <c r="E382" s="100" t="e">
        <f t="shared" ca="1" si="74"/>
        <v>#NAME?</v>
      </c>
      <c r="F382" s="100" t="e">
        <f t="shared" ca="1" si="63"/>
        <v>#NAME?</v>
      </c>
      <c r="G382" s="100" t="e">
        <f t="shared" ca="1" si="64"/>
        <v>#NAME?</v>
      </c>
      <c r="H382" s="100" t="e">
        <f t="shared" ca="1" si="65"/>
        <v>#NAME?</v>
      </c>
      <c r="I382" s="100" t="e">
        <f t="shared" ca="1" si="66"/>
        <v>#NAME?</v>
      </c>
      <c r="J382" s="100" t="e">
        <f t="shared" ca="1" si="73"/>
        <v>#NAME?</v>
      </c>
      <c r="K382" s="100" t="e">
        <f t="shared" ca="1" si="67"/>
        <v>#NAME?</v>
      </c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 spans="1:26">
      <c r="A383" s="100" t="e">
        <f ca="1">IFERROR(__xludf.DUMMYFUNCTION("""COMPUTED_VALUE"""),58783718)</f>
        <v>#NAME?</v>
      </c>
      <c r="B383" s="100" t="e">
        <f ca="1">IFERROR(__xludf.DUMMYFUNCTION("""COMPUTED_VALUE"""),"POLYBTC")</f>
        <v>#NAME?</v>
      </c>
      <c r="C383" s="100" t="e">
        <f ca="1">IFERROR(__xludf.DUMMYFUNCTION("""COMPUTED_VALUE"""),"0.00001384")</f>
        <v>#NAME?</v>
      </c>
      <c r="D383" s="100" t="e">
        <f t="shared" ca="1" si="74"/>
        <v>#NAME?</v>
      </c>
      <c r="E383" s="100" t="e">
        <f t="shared" ca="1" si="74"/>
        <v>#NAME?</v>
      </c>
      <c r="F383" s="100" t="e">
        <f t="shared" ca="1" si="63"/>
        <v>#NAME?</v>
      </c>
      <c r="G383" s="100" t="e">
        <f t="shared" ca="1" si="64"/>
        <v>#NAME?</v>
      </c>
      <c r="H383" s="100" t="e">
        <f t="shared" ca="1" si="65"/>
        <v>#NAME?</v>
      </c>
      <c r="I383" s="100" t="e">
        <f t="shared" ca="1" si="66"/>
        <v>#NAME?</v>
      </c>
      <c r="J383" s="100" t="e">
        <f t="shared" ca="1" si="73"/>
        <v>#NAME?</v>
      </c>
      <c r="K383" s="100" t="e">
        <f t="shared" ca="1" si="67"/>
        <v>#NAME?</v>
      </c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 spans="1:26">
      <c r="A384" s="100" t="e">
        <f ca="1">IFERROR(__xludf.DUMMYFUNCTION("""COMPUTED_VALUE"""),58783719)</f>
        <v>#NAME?</v>
      </c>
      <c r="B384" s="100" t="e">
        <f ca="1">IFERROR(__xludf.DUMMYFUNCTION("""COMPUTED_VALUE"""),"POLYBNB")</f>
        <v>#NAME?</v>
      </c>
      <c r="C384" s="100" t="e">
        <f t="shared" ref="C384:C395" ca="1" si="75">IFERROR(__xludf.DUMMYFUNCTION("""COMPUTED_VALUE"""),"0.00000000")</f>
        <v>#NAME?</v>
      </c>
      <c r="D384" s="100" t="e">
        <f t="shared" ca="1" si="74"/>
        <v>#NAME?</v>
      </c>
      <c r="E384" s="100" t="e">
        <f t="shared" ca="1" si="74"/>
        <v>#NAME?</v>
      </c>
      <c r="F384" s="100" t="e">
        <f t="shared" ca="1" si="63"/>
        <v>#NAME?</v>
      </c>
      <c r="G384" s="100" t="e">
        <f t="shared" ca="1" si="64"/>
        <v>#NAME?</v>
      </c>
      <c r="H384" s="100" t="e">
        <f t="shared" ca="1" si="65"/>
        <v>#NAME?</v>
      </c>
      <c r="I384" s="100" t="e">
        <f t="shared" ca="1" si="66"/>
        <v>#NAME?</v>
      </c>
      <c r="J384" s="100" t="e">
        <f t="shared" ca="1" si="73"/>
        <v>#NAME?</v>
      </c>
      <c r="K384" s="100" t="e">
        <f t="shared" ca="1" si="67"/>
        <v>#NAME?</v>
      </c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 spans="1:26">
      <c r="A385" s="100" t="e">
        <f ca="1">IFERROR(__xludf.DUMMYFUNCTION("""COMPUTED_VALUE"""),58783720)</f>
        <v>#NAME?</v>
      </c>
      <c r="B385" s="100" t="e">
        <f ca="1">IFERROR(__xludf.DUMMYFUNCTION("""COMPUTED_VALUE"""),"PHXBTC")</f>
        <v>#NAME?</v>
      </c>
      <c r="C385" s="100" t="e">
        <f t="shared" ca="1" si="75"/>
        <v>#NAME?</v>
      </c>
      <c r="D385" s="100" t="e">
        <f t="shared" ca="1" si="74"/>
        <v>#NAME?</v>
      </c>
      <c r="E385" s="100" t="e">
        <f t="shared" ca="1" si="74"/>
        <v>#NAME?</v>
      </c>
      <c r="F385" s="100" t="e">
        <f t="shared" ca="1" si="63"/>
        <v>#NAME?</v>
      </c>
      <c r="G385" s="100" t="e">
        <f t="shared" ca="1" si="64"/>
        <v>#NAME?</v>
      </c>
      <c r="H385" s="100" t="e">
        <f t="shared" ca="1" si="65"/>
        <v>#NAME?</v>
      </c>
      <c r="I385" s="100" t="e">
        <f t="shared" ca="1" si="66"/>
        <v>#NAME?</v>
      </c>
      <c r="J385" s="100" t="e">
        <f t="shared" ca="1" si="73"/>
        <v>#NAME?</v>
      </c>
      <c r="K385" s="100" t="e">
        <f t="shared" ca="1" si="67"/>
        <v>#NAME?</v>
      </c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 spans="1:26">
      <c r="A386" s="100" t="e">
        <f ca="1">IFERROR(__xludf.DUMMYFUNCTION("""COMPUTED_VALUE"""),58783721)</f>
        <v>#NAME?</v>
      </c>
      <c r="B386" s="100" t="e">
        <f ca="1">IFERROR(__xludf.DUMMYFUNCTION("""COMPUTED_VALUE"""),"PHXETH")</f>
        <v>#NAME?</v>
      </c>
      <c r="C386" s="100" t="e">
        <f t="shared" ca="1" si="75"/>
        <v>#NAME?</v>
      </c>
      <c r="D386" s="100" t="e">
        <f t="shared" ca="1" si="74"/>
        <v>#NAME?</v>
      </c>
      <c r="E386" s="100" t="e">
        <f t="shared" ca="1" si="74"/>
        <v>#NAME?</v>
      </c>
      <c r="F386" s="100" t="e">
        <f t="shared" ref="F386:F449" ca="1" si="76">IFERROR(__xludf.DUMMYFUNCTION("""COMPUTED_VALUE"""),20200)</f>
        <v>#NAME?</v>
      </c>
      <c r="G386" s="100" t="e">
        <f t="shared" ref="G386:G449" ca="1" si="77">IFERROR(__xludf.DUMMYFUNCTION("""COMPUTED_VALUE"""),2885)</f>
        <v>#NAME?</v>
      </c>
      <c r="H386" s="100" t="e">
        <f t="shared" ref="H386:H449" ca="1" si="78">IFERROR(__xludf.DUMMYFUNCTION("""COMPUTED_VALUE"""),663)</f>
        <v>#NAME?</v>
      </c>
      <c r="I386" s="100" t="e">
        <f t="shared" ref="I386:I449" ca="1" si="79">IFERROR(__xludf.DUMMYFUNCTION("""COMPUTED_VALUE"""),5817721)</f>
        <v>#NAME?</v>
      </c>
      <c r="J386" s="100" t="e">
        <f t="shared" ca="1" si="73"/>
        <v>#NAME?</v>
      </c>
      <c r="K386" s="100" t="e">
        <f t="shared" ref="K386:K449" ca="1" si="80">IFERROR(__xludf.DUMMYFUNCTION("""COMPUTED_VALUE"""),"22.04.2025 13:05:01")</f>
        <v>#NAME?</v>
      </c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 spans="1:26">
      <c r="A387" s="100" t="e">
        <f ca="1">IFERROR(__xludf.DUMMYFUNCTION("""COMPUTED_VALUE"""),58783722)</f>
        <v>#NAME?</v>
      </c>
      <c r="B387" s="100" t="e">
        <f ca="1">IFERROR(__xludf.DUMMYFUNCTION("""COMPUTED_VALUE"""),"PHXBNB")</f>
        <v>#NAME?</v>
      </c>
      <c r="C387" s="100" t="e">
        <f t="shared" ca="1" si="75"/>
        <v>#NAME?</v>
      </c>
      <c r="D387" s="100" t="e">
        <f t="shared" ca="1" si="74"/>
        <v>#NAME?</v>
      </c>
      <c r="E387" s="100" t="e">
        <f t="shared" ca="1" si="74"/>
        <v>#NAME?</v>
      </c>
      <c r="F387" s="100" t="e">
        <f t="shared" ca="1" si="76"/>
        <v>#NAME?</v>
      </c>
      <c r="G387" s="100" t="e">
        <f t="shared" ca="1" si="77"/>
        <v>#NAME?</v>
      </c>
      <c r="H387" s="100" t="e">
        <f t="shared" ca="1" si="78"/>
        <v>#NAME?</v>
      </c>
      <c r="I387" s="100" t="e">
        <f t="shared" ca="1" si="79"/>
        <v>#NAME?</v>
      </c>
      <c r="J387" s="100" t="e">
        <f t="shared" ca="1" si="73"/>
        <v>#NAME?</v>
      </c>
      <c r="K387" s="100" t="e">
        <f t="shared" ca="1" si="80"/>
        <v>#NAME?</v>
      </c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 spans="1:26">
      <c r="A388" s="100" t="e">
        <f ca="1">IFERROR(__xludf.DUMMYFUNCTION("""COMPUTED_VALUE"""),58783723)</f>
        <v>#NAME?</v>
      </c>
      <c r="B388" s="100" t="e">
        <f ca="1">IFERROR(__xludf.DUMMYFUNCTION("""COMPUTED_VALUE"""),"HCBTC")</f>
        <v>#NAME?</v>
      </c>
      <c r="C388" s="100" t="e">
        <f t="shared" ca="1" si="75"/>
        <v>#NAME?</v>
      </c>
      <c r="D388" s="100" t="e">
        <f t="shared" ca="1" si="74"/>
        <v>#NAME?</v>
      </c>
      <c r="E388" s="100" t="e">
        <f t="shared" ca="1" si="74"/>
        <v>#NAME?</v>
      </c>
      <c r="F388" s="100" t="e">
        <f t="shared" ca="1" si="76"/>
        <v>#NAME?</v>
      </c>
      <c r="G388" s="100" t="e">
        <f t="shared" ca="1" si="77"/>
        <v>#NAME?</v>
      </c>
      <c r="H388" s="100" t="e">
        <f t="shared" ca="1" si="78"/>
        <v>#NAME?</v>
      </c>
      <c r="I388" s="100" t="e">
        <f t="shared" ca="1" si="79"/>
        <v>#NAME?</v>
      </c>
      <c r="J388" s="100" t="e">
        <f t="shared" ca="1" si="73"/>
        <v>#NAME?</v>
      </c>
      <c r="K388" s="100" t="e">
        <f t="shared" ca="1" si="80"/>
        <v>#NAME?</v>
      </c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 spans="1:26">
      <c r="A389" s="100" t="e">
        <f ca="1">IFERROR(__xludf.DUMMYFUNCTION("""COMPUTED_VALUE"""),58783724)</f>
        <v>#NAME?</v>
      </c>
      <c r="B389" s="100" t="e">
        <f ca="1">IFERROR(__xludf.DUMMYFUNCTION("""COMPUTED_VALUE"""),"HCETH")</f>
        <v>#NAME?</v>
      </c>
      <c r="C389" s="100" t="e">
        <f t="shared" ca="1" si="75"/>
        <v>#NAME?</v>
      </c>
      <c r="D389" s="100" t="e">
        <f t="shared" ca="1" si="74"/>
        <v>#NAME?</v>
      </c>
      <c r="E389" s="100" t="e">
        <f t="shared" ca="1" si="74"/>
        <v>#NAME?</v>
      </c>
      <c r="F389" s="100" t="e">
        <f t="shared" ca="1" si="76"/>
        <v>#NAME?</v>
      </c>
      <c r="G389" s="100" t="e">
        <f t="shared" ca="1" si="77"/>
        <v>#NAME?</v>
      </c>
      <c r="H389" s="100" t="e">
        <f t="shared" ca="1" si="78"/>
        <v>#NAME?</v>
      </c>
      <c r="I389" s="100" t="e">
        <f t="shared" ca="1" si="79"/>
        <v>#NAME?</v>
      </c>
      <c r="J389" s="100" t="e">
        <f t="shared" ca="1" si="73"/>
        <v>#NAME?</v>
      </c>
      <c r="K389" s="100" t="e">
        <f t="shared" ca="1" si="80"/>
        <v>#NAME?</v>
      </c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 spans="1:26">
      <c r="A390" s="100" t="e">
        <f ca="1">IFERROR(__xludf.DUMMYFUNCTION("""COMPUTED_VALUE"""),58783725)</f>
        <v>#NAME?</v>
      </c>
      <c r="B390" s="100" t="e">
        <f ca="1">IFERROR(__xludf.DUMMYFUNCTION("""COMPUTED_VALUE"""),"GOBTC")</f>
        <v>#NAME?</v>
      </c>
      <c r="C390" s="100" t="e">
        <f t="shared" ca="1" si="75"/>
        <v>#NAME?</v>
      </c>
      <c r="D390" s="100" t="e">
        <f t="shared" ca="1" si="74"/>
        <v>#NAME?</v>
      </c>
      <c r="E390" s="100" t="e">
        <f t="shared" ca="1" si="74"/>
        <v>#NAME?</v>
      </c>
      <c r="F390" s="100" t="e">
        <f t="shared" ca="1" si="76"/>
        <v>#NAME?</v>
      </c>
      <c r="G390" s="100" t="e">
        <f t="shared" ca="1" si="77"/>
        <v>#NAME?</v>
      </c>
      <c r="H390" s="100" t="e">
        <f t="shared" ca="1" si="78"/>
        <v>#NAME?</v>
      </c>
      <c r="I390" s="100" t="e">
        <f t="shared" ca="1" si="79"/>
        <v>#NAME?</v>
      </c>
      <c r="J390" s="100" t="e">
        <f t="shared" ca="1" si="73"/>
        <v>#NAME?</v>
      </c>
      <c r="K390" s="100" t="e">
        <f t="shared" ca="1" si="80"/>
        <v>#NAME?</v>
      </c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 spans="1:26">
      <c r="A391" s="100" t="e">
        <f ca="1">IFERROR(__xludf.DUMMYFUNCTION("""COMPUTED_VALUE"""),58783726)</f>
        <v>#NAME?</v>
      </c>
      <c r="B391" s="100" t="e">
        <f ca="1">IFERROR(__xludf.DUMMYFUNCTION("""COMPUTED_VALUE"""),"GOBNB")</f>
        <v>#NAME?</v>
      </c>
      <c r="C391" s="100" t="e">
        <f t="shared" ca="1" si="75"/>
        <v>#NAME?</v>
      </c>
      <c r="D391" s="100" t="e">
        <f t="shared" ca="1" si="74"/>
        <v>#NAME?</v>
      </c>
      <c r="E391" s="100" t="e">
        <f t="shared" ca="1" si="74"/>
        <v>#NAME?</v>
      </c>
      <c r="F391" s="100" t="e">
        <f t="shared" ca="1" si="76"/>
        <v>#NAME?</v>
      </c>
      <c r="G391" s="100" t="e">
        <f t="shared" ca="1" si="77"/>
        <v>#NAME?</v>
      </c>
      <c r="H391" s="100" t="e">
        <f t="shared" ca="1" si="78"/>
        <v>#NAME?</v>
      </c>
      <c r="I391" s="100" t="e">
        <f t="shared" ca="1" si="79"/>
        <v>#NAME?</v>
      </c>
      <c r="J391" s="100" t="e">
        <f t="shared" ca="1" si="73"/>
        <v>#NAME?</v>
      </c>
      <c r="K391" s="100" t="e">
        <f t="shared" ca="1" si="80"/>
        <v>#NAME?</v>
      </c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 spans="1:26">
      <c r="A392" s="100" t="e">
        <f ca="1">IFERROR(__xludf.DUMMYFUNCTION("""COMPUTED_VALUE"""),58783727)</f>
        <v>#NAME?</v>
      </c>
      <c r="B392" s="100" t="e">
        <f ca="1">IFERROR(__xludf.DUMMYFUNCTION("""COMPUTED_VALUE"""),"PAXBTC")</f>
        <v>#NAME?</v>
      </c>
      <c r="C392" s="100" t="e">
        <f t="shared" ca="1" si="75"/>
        <v>#NAME?</v>
      </c>
      <c r="D392" s="100" t="e">
        <f t="shared" ca="1" si="74"/>
        <v>#NAME?</v>
      </c>
      <c r="E392" s="100" t="e">
        <f t="shared" ca="1" si="74"/>
        <v>#NAME?</v>
      </c>
      <c r="F392" s="100" t="e">
        <f t="shared" ca="1" si="76"/>
        <v>#NAME?</v>
      </c>
      <c r="G392" s="100" t="e">
        <f t="shared" ca="1" si="77"/>
        <v>#NAME?</v>
      </c>
      <c r="H392" s="100" t="e">
        <f t="shared" ca="1" si="78"/>
        <v>#NAME?</v>
      </c>
      <c r="I392" s="100" t="e">
        <f t="shared" ca="1" si="79"/>
        <v>#NAME?</v>
      </c>
      <c r="J392" s="100" t="e">
        <f t="shared" ca="1" si="73"/>
        <v>#NAME?</v>
      </c>
      <c r="K392" s="100" t="e">
        <f t="shared" ca="1" si="80"/>
        <v>#NAME?</v>
      </c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 spans="1:26">
      <c r="A393" s="100" t="e">
        <f ca="1">IFERROR(__xludf.DUMMYFUNCTION("""COMPUTED_VALUE"""),58783728)</f>
        <v>#NAME?</v>
      </c>
      <c r="B393" s="100" t="e">
        <f ca="1">IFERROR(__xludf.DUMMYFUNCTION("""COMPUTED_VALUE"""),"PAXBNB")</f>
        <v>#NAME?</v>
      </c>
      <c r="C393" s="100" t="e">
        <f t="shared" ca="1" si="75"/>
        <v>#NAME?</v>
      </c>
      <c r="D393" s="100" t="e">
        <f t="shared" ca="1" si="74"/>
        <v>#NAME?</v>
      </c>
      <c r="E393" s="100" t="e">
        <f t="shared" ca="1" si="74"/>
        <v>#NAME?</v>
      </c>
      <c r="F393" s="100" t="e">
        <f t="shared" ca="1" si="76"/>
        <v>#NAME?</v>
      </c>
      <c r="G393" s="100" t="e">
        <f t="shared" ca="1" si="77"/>
        <v>#NAME?</v>
      </c>
      <c r="H393" s="100" t="e">
        <f t="shared" ca="1" si="78"/>
        <v>#NAME?</v>
      </c>
      <c r="I393" s="100" t="e">
        <f t="shared" ca="1" si="79"/>
        <v>#NAME?</v>
      </c>
      <c r="J393" s="100" t="e">
        <f t="shared" ca="1" si="73"/>
        <v>#NAME?</v>
      </c>
      <c r="K393" s="100" t="e">
        <f t="shared" ca="1" si="80"/>
        <v>#NAME?</v>
      </c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 spans="1:26">
      <c r="A394" s="100" t="e">
        <f ca="1">IFERROR(__xludf.DUMMYFUNCTION("""COMPUTED_VALUE"""),58783729)</f>
        <v>#NAME?</v>
      </c>
      <c r="B394" s="100" t="e">
        <f ca="1">IFERROR(__xludf.DUMMYFUNCTION("""COMPUTED_VALUE"""),"PAXUSDT")</f>
        <v>#NAME?</v>
      </c>
      <c r="C394" s="100" t="e">
        <f t="shared" ca="1" si="75"/>
        <v>#NAME?</v>
      </c>
      <c r="D394" s="100" t="e">
        <f t="shared" ca="1" si="74"/>
        <v>#NAME?</v>
      </c>
      <c r="E394" s="100" t="e">
        <f t="shared" ca="1" si="74"/>
        <v>#NAME?</v>
      </c>
      <c r="F394" s="100" t="e">
        <f t="shared" ca="1" si="76"/>
        <v>#NAME?</v>
      </c>
      <c r="G394" s="100" t="e">
        <f t="shared" ca="1" si="77"/>
        <v>#NAME?</v>
      </c>
      <c r="H394" s="100" t="e">
        <f t="shared" ca="1" si="78"/>
        <v>#NAME?</v>
      </c>
      <c r="I394" s="100" t="e">
        <f t="shared" ca="1" si="79"/>
        <v>#NAME?</v>
      </c>
      <c r="J394" s="100" t="e">
        <f t="shared" ca="1" si="73"/>
        <v>#NAME?</v>
      </c>
      <c r="K394" s="100" t="e">
        <f t="shared" ca="1" si="80"/>
        <v>#NAME?</v>
      </c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 spans="1:26">
      <c r="A395" s="100" t="e">
        <f ca="1">IFERROR(__xludf.DUMMYFUNCTION("""COMPUTED_VALUE"""),58783730)</f>
        <v>#NAME?</v>
      </c>
      <c r="B395" s="100" t="e">
        <f ca="1">IFERROR(__xludf.DUMMYFUNCTION("""COMPUTED_VALUE"""),"PAXETH")</f>
        <v>#NAME?</v>
      </c>
      <c r="C395" s="100" t="e">
        <f t="shared" ca="1" si="75"/>
        <v>#NAME?</v>
      </c>
      <c r="D395" s="100" t="e">
        <f t="shared" ca="1" si="74"/>
        <v>#NAME?</v>
      </c>
      <c r="E395" s="100" t="e">
        <f t="shared" ca="1" si="74"/>
        <v>#NAME?</v>
      </c>
      <c r="F395" s="100" t="e">
        <f t="shared" ca="1" si="76"/>
        <v>#NAME?</v>
      </c>
      <c r="G395" s="100" t="e">
        <f t="shared" ca="1" si="77"/>
        <v>#NAME?</v>
      </c>
      <c r="H395" s="100" t="e">
        <f t="shared" ca="1" si="78"/>
        <v>#NAME?</v>
      </c>
      <c r="I395" s="100" t="e">
        <f t="shared" ca="1" si="79"/>
        <v>#NAME?</v>
      </c>
      <c r="J395" s="100" t="e">
        <f t="shared" ca="1" si="73"/>
        <v>#NAME?</v>
      </c>
      <c r="K395" s="100" t="e">
        <f t="shared" ca="1" si="80"/>
        <v>#NAME?</v>
      </c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 spans="1:26">
      <c r="A396" s="100" t="e">
        <f ca="1">IFERROR(__xludf.DUMMYFUNCTION("""COMPUTED_VALUE"""),58783731)</f>
        <v>#NAME?</v>
      </c>
      <c r="B396" s="100" t="e">
        <f ca="1">IFERROR(__xludf.DUMMYFUNCTION("""COMPUTED_VALUE"""),"RVNBTC")</f>
        <v>#NAME?</v>
      </c>
      <c r="C396" s="100" t="e">
        <f ca="1">IFERROR(__xludf.DUMMYFUNCTION("""COMPUTED_VALUE"""),"0.00000013")</f>
        <v>#NAME?</v>
      </c>
      <c r="D396" s="100" t="e">
        <f t="shared" ca="1" si="74"/>
        <v>#NAME?</v>
      </c>
      <c r="E396" s="100" t="e">
        <f t="shared" ca="1" si="74"/>
        <v>#NAME?</v>
      </c>
      <c r="F396" s="100" t="e">
        <f t="shared" ca="1" si="76"/>
        <v>#NAME?</v>
      </c>
      <c r="G396" s="100" t="e">
        <f t="shared" ca="1" si="77"/>
        <v>#NAME?</v>
      </c>
      <c r="H396" s="100" t="e">
        <f t="shared" ca="1" si="78"/>
        <v>#NAME?</v>
      </c>
      <c r="I396" s="100" t="e">
        <f t="shared" ca="1" si="79"/>
        <v>#NAME?</v>
      </c>
      <c r="J396" s="100" t="e">
        <f ca="1">IFERROR(__xludf.DUMMYFUNCTION("""COMPUTED_VALUE"""),"0.000")</f>
        <v>#NAME?</v>
      </c>
      <c r="K396" s="100" t="e">
        <f t="shared" ca="1" si="80"/>
        <v>#NAME?</v>
      </c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 spans="1:26">
      <c r="A397" s="100" t="e">
        <f ca="1">IFERROR(__xludf.DUMMYFUNCTION("""COMPUTED_VALUE"""),58783732)</f>
        <v>#NAME?</v>
      </c>
      <c r="B397" s="100" t="e">
        <f ca="1">IFERROR(__xludf.DUMMYFUNCTION("""COMPUTED_VALUE"""),"DCRBTC")</f>
        <v>#NAME?</v>
      </c>
      <c r="C397" s="100" t="e">
        <f ca="1">IFERROR(__xludf.DUMMYFUNCTION("""COMPUTED_VALUE"""),"0.00021850")</f>
        <v>#NAME?</v>
      </c>
      <c r="D397" s="100" t="e">
        <f t="shared" ca="1" si="74"/>
        <v>#NAME?</v>
      </c>
      <c r="E397" s="100" t="e">
        <f t="shared" ca="1" si="74"/>
        <v>#NAME?</v>
      </c>
      <c r="F397" s="100" t="e">
        <f t="shared" ca="1" si="76"/>
        <v>#NAME?</v>
      </c>
      <c r="G397" s="100" t="e">
        <f t="shared" ca="1" si="77"/>
        <v>#NAME?</v>
      </c>
      <c r="H397" s="100" t="e">
        <f t="shared" ca="1" si="78"/>
        <v>#NAME?</v>
      </c>
      <c r="I397" s="100" t="e">
        <f t="shared" ca="1" si="79"/>
        <v>#NAME?</v>
      </c>
      <c r="J397" s="100" t="e">
        <f t="shared" ref="J397:J413" ca="1" si="81">IFERROR(__xludf.DUMMYFUNCTION("""COMPUTED_VALUE"""),"0")</f>
        <v>#NAME?</v>
      </c>
      <c r="K397" s="100" t="e">
        <f t="shared" ca="1" si="80"/>
        <v>#NAME?</v>
      </c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 spans="1:26">
      <c r="A398" s="100" t="e">
        <f ca="1">IFERROR(__xludf.DUMMYFUNCTION("""COMPUTED_VALUE"""),58783733)</f>
        <v>#NAME?</v>
      </c>
      <c r="B398" s="100" t="e">
        <f ca="1">IFERROR(__xludf.DUMMYFUNCTION("""COMPUTED_VALUE"""),"DCRBNB")</f>
        <v>#NAME?</v>
      </c>
      <c r="C398" s="100" t="e">
        <f ca="1">IFERROR(__xludf.DUMMYFUNCTION("""COMPUTED_VALUE"""),"0.00000000")</f>
        <v>#NAME?</v>
      </c>
      <c r="D398" s="100" t="e">
        <f t="shared" ca="1" si="74"/>
        <v>#NAME?</v>
      </c>
      <c r="E398" s="100" t="e">
        <f t="shared" ca="1" si="74"/>
        <v>#NAME?</v>
      </c>
      <c r="F398" s="100" t="e">
        <f t="shared" ca="1" si="76"/>
        <v>#NAME?</v>
      </c>
      <c r="G398" s="100" t="e">
        <f t="shared" ca="1" si="77"/>
        <v>#NAME?</v>
      </c>
      <c r="H398" s="100" t="e">
        <f t="shared" ca="1" si="78"/>
        <v>#NAME?</v>
      </c>
      <c r="I398" s="100" t="e">
        <f t="shared" ca="1" si="79"/>
        <v>#NAME?</v>
      </c>
      <c r="J398" s="100" t="e">
        <f t="shared" ca="1" si="81"/>
        <v>#NAME?</v>
      </c>
      <c r="K398" s="100" t="e">
        <f t="shared" ca="1" si="80"/>
        <v>#NAME?</v>
      </c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 spans="1:26">
      <c r="A399" s="100" t="e">
        <f ca="1">IFERROR(__xludf.DUMMYFUNCTION("""COMPUTED_VALUE"""),58783734)</f>
        <v>#NAME?</v>
      </c>
      <c r="B399" s="100" t="e">
        <f ca="1">IFERROR(__xludf.DUMMYFUNCTION("""COMPUTED_VALUE"""),"USDCBNB")</f>
        <v>#NAME?</v>
      </c>
      <c r="C399" s="100" t="e">
        <f ca="1">IFERROR(__xludf.DUMMYFUNCTION("""COMPUTED_VALUE"""),"0.00000000")</f>
        <v>#NAME?</v>
      </c>
      <c r="D399" s="100" t="e">
        <f t="shared" ca="1" si="74"/>
        <v>#NAME?</v>
      </c>
      <c r="E399" s="100" t="e">
        <f t="shared" ca="1" si="74"/>
        <v>#NAME?</v>
      </c>
      <c r="F399" s="100" t="e">
        <f t="shared" ca="1" si="76"/>
        <v>#NAME?</v>
      </c>
      <c r="G399" s="100" t="e">
        <f t="shared" ca="1" si="77"/>
        <v>#NAME?</v>
      </c>
      <c r="H399" s="100" t="e">
        <f t="shared" ca="1" si="78"/>
        <v>#NAME?</v>
      </c>
      <c r="I399" s="100" t="e">
        <f t="shared" ca="1" si="79"/>
        <v>#NAME?</v>
      </c>
      <c r="J399" s="100" t="e">
        <f t="shared" ca="1" si="81"/>
        <v>#NAME?</v>
      </c>
      <c r="K399" s="100" t="e">
        <f t="shared" ca="1" si="80"/>
        <v>#NAME?</v>
      </c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 spans="1:26">
      <c r="A400" s="100" t="e">
        <f ca="1">IFERROR(__xludf.DUMMYFUNCTION("""COMPUTED_VALUE"""),58783735)</f>
        <v>#NAME?</v>
      </c>
      <c r="B400" s="100" t="e">
        <f ca="1">IFERROR(__xludf.DUMMYFUNCTION("""COMPUTED_VALUE"""),"MITHBTC")</f>
        <v>#NAME?</v>
      </c>
      <c r="C400" s="100" t="e">
        <f ca="1">IFERROR(__xludf.DUMMYFUNCTION("""COMPUTED_VALUE"""),"0.00000080")</f>
        <v>#NAME?</v>
      </c>
      <c r="D400" s="100" t="e">
        <f t="shared" ca="1" si="74"/>
        <v>#NAME?</v>
      </c>
      <c r="E400" s="100" t="e">
        <f t="shared" ca="1" si="74"/>
        <v>#NAME?</v>
      </c>
      <c r="F400" s="100" t="e">
        <f t="shared" ca="1" si="76"/>
        <v>#NAME?</v>
      </c>
      <c r="G400" s="100" t="e">
        <f t="shared" ca="1" si="77"/>
        <v>#NAME?</v>
      </c>
      <c r="H400" s="100" t="e">
        <f t="shared" ca="1" si="78"/>
        <v>#NAME?</v>
      </c>
      <c r="I400" s="100" t="e">
        <f t="shared" ca="1" si="79"/>
        <v>#NAME?</v>
      </c>
      <c r="J400" s="100" t="e">
        <f t="shared" ca="1" si="81"/>
        <v>#NAME?</v>
      </c>
      <c r="K400" s="100" t="e">
        <f t="shared" ca="1" si="80"/>
        <v>#NAME?</v>
      </c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 spans="1:26">
      <c r="A401" s="100" t="e">
        <f ca="1">IFERROR(__xludf.DUMMYFUNCTION("""COMPUTED_VALUE"""),58783736)</f>
        <v>#NAME?</v>
      </c>
      <c r="B401" s="100" t="e">
        <f ca="1">IFERROR(__xludf.DUMMYFUNCTION("""COMPUTED_VALUE"""),"MITHBNB")</f>
        <v>#NAME?</v>
      </c>
      <c r="C401" s="100" t="e">
        <f ca="1">IFERROR(__xludf.DUMMYFUNCTION("""COMPUTED_VALUE"""),"0.00004410")</f>
        <v>#NAME?</v>
      </c>
      <c r="D401" s="100" t="e">
        <f t="shared" ca="1" si="74"/>
        <v>#NAME?</v>
      </c>
      <c r="E401" s="100" t="e">
        <f t="shared" ca="1" si="74"/>
        <v>#NAME?</v>
      </c>
      <c r="F401" s="100" t="e">
        <f t="shared" ca="1" si="76"/>
        <v>#NAME?</v>
      </c>
      <c r="G401" s="100" t="e">
        <f t="shared" ca="1" si="77"/>
        <v>#NAME?</v>
      </c>
      <c r="H401" s="100" t="e">
        <f t="shared" ca="1" si="78"/>
        <v>#NAME?</v>
      </c>
      <c r="I401" s="100" t="e">
        <f t="shared" ca="1" si="79"/>
        <v>#NAME?</v>
      </c>
      <c r="J401" s="100" t="e">
        <f t="shared" ca="1" si="81"/>
        <v>#NAME?</v>
      </c>
      <c r="K401" s="100" t="e">
        <f t="shared" ca="1" si="80"/>
        <v>#NAME?</v>
      </c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 spans="1:26">
      <c r="A402" s="100" t="e">
        <f ca="1">IFERROR(__xludf.DUMMYFUNCTION("""COMPUTED_VALUE"""),58783737)</f>
        <v>#NAME?</v>
      </c>
      <c r="B402" s="100" t="e">
        <f ca="1">IFERROR(__xludf.DUMMYFUNCTION("""COMPUTED_VALUE"""),"BCHABCBTC")</f>
        <v>#NAME?</v>
      </c>
      <c r="C402" s="100" t="e">
        <f t="shared" ref="C402:C411" ca="1" si="82">IFERROR(__xludf.DUMMYFUNCTION("""COMPUTED_VALUE"""),"0.00000000")</f>
        <v>#NAME?</v>
      </c>
      <c r="D402" s="100" t="e">
        <f t="shared" ref="D402:E421" ca="1" si="83">IFERROR(__xludf.DUMMYFUNCTION("""COMPUTED_VALUE"""),"-")</f>
        <v>#NAME?</v>
      </c>
      <c r="E402" s="100" t="e">
        <f t="shared" ca="1" si="83"/>
        <v>#NAME?</v>
      </c>
      <c r="F402" s="100" t="e">
        <f t="shared" ca="1" si="76"/>
        <v>#NAME?</v>
      </c>
      <c r="G402" s="100" t="e">
        <f t="shared" ca="1" si="77"/>
        <v>#NAME?</v>
      </c>
      <c r="H402" s="100" t="e">
        <f t="shared" ca="1" si="78"/>
        <v>#NAME?</v>
      </c>
      <c r="I402" s="100" t="e">
        <f t="shared" ca="1" si="79"/>
        <v>#NAME?</v>
      </c>
      <c r="J402" s="100" t="e">
        <f t="shared" ca="1" si="81"/>
        <v>#NAME?</v>
      </c>
      <c r="K402" s="100" t="e">
        <f t="shared" ca="1" si="80"/>
        <v>#NAME?</v>
      </c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 spans="1:26">
      <c r="A403" s="100" t="e">
        <f ca="1">IFERROR(__xludf.DUMMYFUNCTION("""COMPUTED_VALUE"""),58783738)</f>
        <v>#NAME?</v>
      </c>
      <c r="B403" s="100" t="e">
        <f ca="1">IFERROR(__xludf.DUMMYFUNCTION("""COMPUTED_VALUE"""),"BCHSVBTC")</f>
        <v>#NAME?</v>
      </c>
      <c r="C403" s="100" t="e">
        <f t="shared" ca="1" si="82"/>
        <v>#NAME?</v>
      </c>
      <c r="D403" s="100" t="e">
        <f t="shared" ca="1" si="83"/>
        <v>#NAME?</v>
      </c>
      <c r="E403" s="100" t="e">
        <f t="shared" ca="1" si="83"/>
        <v>#NAME?</v>
      </c>
      <c r="F403" s="100" t="e">
        <f t="shared" ca="1" si="76"/>
        <v>#NAME?</v>
      </c>
      <c r="G403" s="100" t="e">
        <f t="shared" ca="1" si="77"/>
        <v>#NAME?</v>
      </c>
      <c r="H403" s="100" t="e">
        <f t="shared" ca="1" si="78"/>
        <v>#NAME?</v>
      </c>
      <c r="I403" s="100" t="e">
        <f t="shared" ca="1" si="79"/>
        <v>#NAME?</v>
      </c>
      <c r="J403" s="100" t="e">
        <f t="shared" ca="1" si="81"/>
        <v>#NAME?</v>
      </c>
      <c r="K403" s="100" t="e">
        <f t="shared" ca="1" si="80"/>
        <v>#NAME?</v>
      </c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 spans="1:26">
      <c r="A404" s="100" t="e">
        <f ca="1">IFERROR(__xludf.DUMMYFUNCTION("""COMPUTED_VALUE"""),58783739)</f>
        <v>#NAME?</v>
      </c>
      <c r="B404" s="100" t="e">
        <f ca="1">IFERROR(__xludf.DUMMYFUNCTION("""COMPUTED_VALUE"""),"BCHABCUSDT")</f>
        <v>#NAME?</v>
      </c>
      <c r="C404" s="100" t="e">
        <f t="shared" ca="1" si="82"/>
        <v>#NAME?</v>
      </c>
      <c r="D404" s="100" t="e">
        <f t="shared" ca="1" si="83"/>
        <v>#NAME?</v>
      </c>
      <c r="E404" s="100" t="e">
        <f t="shared" ca="1" si="83"/>
        <v>#NAME?</v>
      </c>
      <c r="F404" s="100" t="e">
        <f t="shared" ca="1" si="76"/>
        <v>#NAME?</v>
      </c>
      <c r="G404" s="100" t="e">
        <f t="shared" ca="1" si="77"/>
        <v>#NAME?</v>
      </c>
      <c r="H404" s="100" t="e">
        <f t="shared" ca="1" si="78"/>
        <v>#NAME?</v>
      </c>
      <c r="I404" s="100" t="e">
        <f t="shared" ca="1" si="79"/>
        <v>#NAME?</v>
      </c>
      <c r="J404" s="100" t="e">
        <f t="shared" ca="1" si="81"/>
        <v>#NAME?</v>
      </c>
      <c r="K404" s="100" t="e">
        <f t="shared" ca="1" si="80"/>
        <v>#NAME?</v>
      </c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 spans="1:26">
      <c r="A405" s="100" t="e">
        <f ca="1">IFERROR(__xludf.DUMMYFUNCTION("""COMPUTED_VALUE"""),58783740)</f>
        <v>#NAME?</v>
      </c>
      <c r="B405" s="100" t="e">
        <f ca="1">IFERROR(__xludf.DUMMYFUNCTION("""COMPUTED_VALUE"""),"BCHSVUSDT")</f>
        <v>#NAME?</v>
      </c>
      <c r="C405" s="100" t="e">
        <f t="shared" ca="1" si="82"/>
        <v>#NAME?</v>
      </c>
      <c r="D405" s="100" t="e">
        <f t="shared" ca="1" si="83"/>
        <v>#NAME?</v>
      </c>
      <c r="E405" s="100" t="e">
        <f t="shared" ca="1" si="83"/>
        <v>#NAME?</v>
      </c>
      <c r="F405" s="100" t="e">
        <f t="shared" ca="1" si="76"/>
        <v>#NAME?</v>
      </c>
      <c r="G405" s="100" t="e">
        <f t="shared" ca="1" si="77"/>
        <v>#NAME?</v>
      </c>
      <c r="H405" s="100" t="e">
        <f t="shared" ca="1" si="78"/>
        <v>#NAME?</v>
      </c>
      <c r="I405" s="100" t="e">
        <f t="shared" ca="1" si="79"/>
        <v>#NAME?</v>
      </c>
      <c r="J405" s="100" t="e">
        <f t="shared" ca="1" si="81"/>
        <v>#NAME?</v>
      </c>
      <c r="K405" s="100" t="e">
        <f t="shared" ca="1" si="80"/>
        <v>#NAME?</v>
      </c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 spans="1:26">
      <c r="A406" s="100" t="e">
        <f ca="1">IFERROR(__xludf.DUMMYFUNCTION("""COMPUTED_VALUE"""),58783741)</f>
        <v>#NAME?</v>
      </c>
      <c r="B406" s="100" t="e">
        <f ca="1">IFERROR(__xludf.DUMMYFUNCTION("""COMPUTED_VALUE"""),"BNBPAX")</f>
        <v>#NAME?</v>
      </c>
      <c r="C406" s="100" t="e">
        <f t="shared" ca="1" si="82"/>
        <v>#NAME?</v>
      </c>
      <c r="D406" s="100" t="e">
        <f t="shared" ca="1" si="83"/>
        <v>#NAME?</v>
      </c>
      <c r="E406" s="100" t="e">
        <f t="shared" ca="1" si="83"/>
        <v>#NAME?</v>
      </c>
      <c r="F406" s="100" t="e">
        <f t="shared" ca="1" si="76"/>
        <v>#NAME?</v>
      </c>
      <c r="G406" s="100" t="e">
        <f t="shared" ca="1" si="77"/>
        <v>#NAME?</v>
      </c>
      <c r="H406" s="100" t="e">
        <f t="shared" ca="1" si="78"/>
        <v>#NAME?</v>
      </c>
      <c r="I406" s="100" t="e">
        <f t="shared" ca="1" si="79"/>
        <v>#NAME?</v>
      </c>
      <c r="J406" s="100" t="e">
        <f t="shared" ca="1" si="81"/>
        <v>#NAME?</v>
      </c>
      <c r="K406" s="100" t="e">
        <f t="shared" ca="1" si="80"/>
        <v>#NAME?</v>
      </c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 spans="1:26">
      <c r="A407" s="100" t="e">
        <f ca="1">IFERROR(__xludf.DUMMYFUNCTION("""COMPUTED_VALUE"""),58783742)</f>
        <v>#NAME?</v>
      </c>
      <c r="B407" s="100" t="e">
        <f ca="1">IFERROR(__xludf.DUMMYFUNCTION("""COMPUTED_VALUE"""),"BTCPAX")</f>
        <v>#NAME?</v>
      </c>
      <c r="C407" s="100" t="e">
        <f t="shared" ca="1" si="82"/>
        <v>#NAME?</v>
      </c>
      <c r="D407" s="100" t="e">
        <f t="shared" ca="1" si="83"/>
        <v>#NAME?</v>
      </c>
      <c r="E407" s="100" t="e">
        <f t="shared" ca="1" si="83"/>
        <v>#NAME?</v>
      </c>
      <c r="F407" s="100" t="e">
        <f t="shared" ca="1" si="76"/>
        <v>#NAME?</v>
      </c>
      <c r="G407" s="100" t="e">
        <f t="shared" ca="1" si="77"/>
        <v>#NAME?</v>
      </c>
      <c r="H407" s="100" t="e">
        <f t="shared" ca="1" si="78"/>
        <v>#NAME?</v>
      </c>
      <c r="I407" s="100" t="e">
        <f t="shared" ca="1" si="79"/>
        <v>#NAME?</v>
      </c>
      <c r="J407" s="100" t="e">
        <f t="shared" ca="1" si="81"/>
        <v>#NAME?</v>
      </c>
      <c r="K407" s="100" t="e">
        <f t="shared" ca="1" si="80"/>
        <v>#NAME?</v>
      </c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 spans="1:26">
      <c r="A408" s="100" t="e">
        <f ca="1">IFERROR(__xludf.DUMMYFUNCTION("""COMPUTED_VALUE"""),58783743)</f>
        <v>#NAME?</v>
      </c>
      <c r="B408" s="100" t="e">
        <f ca="1">IFERROR(__xludf.DUMMYFUNCTION("""COMPUTED_VALUE"""),"ETHPAX")</f>
        <v>#NAME?</v>
      </c>
      <c r="C408" s="100" t="e">
        <f t="shared" ca="1" si="82"/>
        <v>#NAME?</v>
      </c>
      <c r="D408" s="100" t="e">
        <f t="shared" ca="1" si="83"/>
        <v>#NAME?</v>
      </c>
      <c r="E408" s="100" t="e">
        <f t="shared" ca="1" si="83"/>
        <v>#NAME?</v>
      </c>
      <c r="F408" s="100" t="e">
        <f t="shared" ca="1" si="76"/>
        <v>#NAME?</v>
      </c>
      <c r="G408" s="100" t="e">
        <f t="shared" ca="1" si="77"/>
        <v>#NAME?</v>
      </c>
      <c r="H408" s="100" t="e">
        <f t="shared" ca="1" si="78"/>
        <v>#NAME?</v>
      </c>
      <c r="I408" s="100" t="e">
        <f t="shared" ca="1" si="79"/>
        <v>#NAME?</v>
      </c>
      <c r="J408" s="100" t="e">
        <f t="shared" ca="1" si="81"/>
        <v>#NAME?</v>
      </c>
      <c r="K408" s="100" t="e">
        <f t="shared" ca="1" si="80"/>
        <v>#NAME?</v>
      </c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 spans="1:26">
      <c r="A409" s="100" t="e">
        <f ca="1">IFERROR(__xludf.DUMMYFUNCTION("""COMPUTED_VALUE"""),58783744)</f>
        <v>#NAME?</v>
      </c>
      <c r="B409" s="100" t="e">
        <f ca="1">IFERROR(__xludf.DUMMYFUNCTION("""COMPUTED_VALUE"""),"XRPPAX")</f>
        <v>#NAME?</v>
      </c>
      <c r="C409" s="100" t="e">
        <f t="shared" ca="1" si="82"/>
        <v>#NAME?</v>
      </c>
      <c r="D409" s="100" t="e">
        <f t="shared" ca="1" si="83"/>
        <v>#NAME?</v>
      </c>
      <c r="E409" s="100" t="e">
        <f t="shared" ca="1" si="83"/>
        <v>#NAME?</v>
      </c>
      <c r="F409" s="100" t="e">
        <f t="shared" ca="1" si="76"/>
        <v>#NAME?</v>
      </c>
      <c r="G409" s="100" t="e">
        <f t="shared" ca="1" si="77"/>
        <v>#NAME?</v>
      </c>
      <c r="H409" s="100" t="e">
        <f t="shared" ca="1" si="78"/>
        <v>#NAME?</v>
      </c>
      <c r="I409" s="100" t="e">
        <f t="shared" ca="1" si="79"/>
        <v>#NAME?</v>
      </c>
      <c r="J409" s="100" t="e">
        <f t="shared" ca="1" si="81"/>
        <v>#NAME?</v>
      </c>
      <c r="K409" s="100" t="e">
        <f t="shared" ca="1" si="80"/>
        <v>#NAME?</v>
      </c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 spans="1:26">
      <c r="A410" s="100" t="e">
        <f ca="1">IFERROR(__xludf.DUMMYFUNCTION("""COMPUTED_VALUE"""),58783745)</f>
        <v>#NAME?</v>
      </c>
      <c r="B410" s="100" t="e">
        <f ca="1">IFERROR(__xludf.DUMMYFUNCTION("""COMPUTED_VALUE"""),"EOSPAX")</f>
        <v>#NAME?</v>
      </c>
      <c r="C410" s="100" t="e">
        <f t="shared" ca="1" si="82"/>
        <v>#NAME?</v>
      </c>
      <c r="D410" s="100" t="e">
        <f t="shared" ca="1" si="83"/>
        <v>#NAME?</v>
      </c>
      <c r="E410" s="100" t="e">
        <f t="shared" ca="1" si="83"/>
        <v>#NAME?</v>
      </c>
      <c r="F410" s="100" t="e">
        <f t="shared" ca="1" si="76"/>
        <v>#NAME?</v>
      </c>
      <c r="G410" s="100" t="e">
        <f t="shared" ca="1" si="77"/>
        <v>#NAME?</v>
      </c>
      <c r="H410" s="100" t="e">
        <f t="shared" ca="1" si="78"/>
        <v>#NAME?</v>
      </c>
      <c r="I410" s="100" t="e">
        <f t="shared" ca="1" si="79"/>
        <v>#NAME?</v>
      </c>
      <c r="J410" s="100" t="e">
        <f t="shared" ca="1" si="81"/>
        <v>#NAME?</v>
      </c>
      <c r="K410" s="100" t="e">
        <f t="shared" ca="1" si="80"/>
        <v>#NAME?</v>
      </c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 spans="1:26">
      <c r="A411" s="100" t="e">
        <f ca="1">IFERROR(__xludf.DUMMYFUNCTION("""COMPUTED_VALUE"""),58783746)</f>
        <v>#NAME?</v>
      </c>
      <c r="B411" s="100" t="e">
        <f ca="1">IFERROR(__xludf.DUMMYFUNCTION("""COMPUTED_VALUE"""),"XLMPAX")</f>
        <v>#NAME?</v>
      </c>
      <c r="C411" s="100" t="e">
        <f t="shared" ca="1" si="82"/>
        <v>#NAME?</v>
      </c>
      <c r="D411" s="100" t="e">
        <f t="shared" ca="1" si="83"/>
        <v>#NAME?</v>
      </c>
      <c r="E411" s="100" t="e">
        <f t="shared" ca="1" si="83"/>
        <v>#NAME?</v>
      </c>
      <c r="F411" s="100" t="e">
        <f t="shared" ca="1" si="76"/>
        <v>#NAME?</v>
      </c>
      <c r="G411" s="100" t="e">
        <f t="shared" ca="1" si="77"/>
        <v>#NAME?</v>
      </c>
      <c r="H411" s="100" t="e">
        <f t="shared" ca="1" si="78"/>
        <v>#NAME?</v>
      </c>
      <c r="I411" s="100" t="e">
        <f t="shared" ca="1" si="79"/>
        <v>#NAME?</v>
      </c>
      <c r="J411" s="100" t="e">
        <f t="shared" ca="1" si="81"/>
        <v>#NAME?</v>
      </c>
      <c r="K411" s="100" t="e">
        <f t="shared" ca="1" si="80"/>
        <v>#NAME?</v>
      </c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 spans="1:26">
      <c r="A412" s="100" t="e">
        <f ca="1">IFERROR(__xludf.DUMMYFUNCTION("""COMPUTED_VALUE"""),58783747)</f>
        <v>#NAME?</v>
      </c>
      <c r="B412" s="100" t="e">
        <f ca="1">IFERROR(__xludf.DUMMYFUNCTION("""COMPUTED_VALUE"""),"RENBTC")</f>
        <v>#NAME?</v>
      </c>
      <c r="C412" s="100" t="e">
        <f ca="1">IFERROR(__xludf.DUMMYFUNCTION("""COMPUTED_VALUE"""),"0.00000043")</f>
        <v>#NAME?</v>
      </c>
      <c r="D412" s="100" t="e">
        <f t="shared" ca="1" si="83"/>
        <v>#NAME?</v>
      </c>
      <c r="E412" s="100" t="e">
        <f t="shared" ca="1" si="83"/>
        <v>#NAME?</v>
      </c>
      <c r="F412" s="100" t="e">
        <f t="shared" ca="1" si="76"/>
        <v>#NAME?</v>
      </c>
      <c r="G412" s="100" t="e">
        <f t="shared" ca="1" si="77"/>
        <v>#NAME?</v>
      </c>
      <c r="H412" s="100" t="e">
        <f t="shared" ca="1" si="78"/>
        <v>#NAME?</v>
      </c>
      <c r="I412" s="100" t="e">
        <f t="shared" ca="1" si="79"/>
        <v>#NAME?</v>
      </c>
      <c r="J412" s="100" t="e">
        <f t="shared" ca="1" si="81"/>
        <v>#NAME?</v>
      </c>
      <c r="K412" s="100" t="e">
        <f t="shared" ca="1" si="80"/>
        <v>#NAME?</v>
      </c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 spans="1:26">
      <c r="A413" s="100" t="e">
        <f ca="1">IFERROR(__xludf.DUMMYFUNCTION("""COMPUTED_VALUE"""),58783748)</f>
        <v>#NAME?</v>
      </c>
      <c r="B413" s="100" t="e">
        <f ca="1">IFERROR(__xludf.DUMMYFUNCTION("""COMPUTED_VALUE"""),"RENBNB")</f>
        <v>#NAME?</v>
      </c>
      <c r="C413" s="100" t="e">
        <f ca="1">IFERROR(__xludf.DUMMYFUNCTION("""COMPUTED_VALUE"""),"0.00000000")</f>
        <v>#NAME?</v>
      </c>
      <c r="D413" s="100" t="e">
        <f t="shared" ca="1" si="83"/>
        <v>#NAME?</v>
      </c>
      <c r="E413" s="100" t="e">
        <f t="shared" ca="1" si="83"/>
        <v>#NAME?</v>
      </c>
      <c r="F413" s="100" t="e">
        <f t="shared" ca="1" si="76"/>
        <v>#NAME?</v>
      </c>
      <c r="G413" s="100" t="e">
        <f t="shared" ca="1" si="77"/>
        <v>#NAME?</v>
      </c>
      <c r="H413" s="100" t="e">
        <f t="shared" ca="1" si="78"/>
        <v>#NAME?</v>
      </c>
      <c r="I413" s="100" t="e">
        <f t="shared" ca="1" si="79"/>
        <v>#NAME?</v>
      </c>
      <c r="J413" s="100" t="e">
        <f t="shared" ca="1" si="81"/>
        <v>#NAME?</v>
      </c>
      <c r="K413" s="100" t="e">
        <f t="shared" ca="1" si="80"/>
        <v>#NAME?</v>
      </c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 spans="1:26">
      <c r="A414" s="100" t="e">
        <f ca="1">IFERROR(__xludf.DUMMYFUNCTION("""COMPUTED_VALUE"""),58783749)</f>
        <v>#NAME?</v>
      </c>
      <c r="B414" s="100" t="e">
        <f ca="1">IFERROR(__xludf.DUMMYFUNCTION("""COMPUTED_VALUE"""),"BNBTUSD")</f>
        <v>#NAME?</v>
      </c>
      <c r="C414" s="100" t="e">
        <f ca="1">IFERROR(__xludf.DUMMYFUNCTION("""COMPUTED_VALUE"""),"605.62000000")</f>
        <v>#NAME?</v>
      </c>
      <c r="D414" s="100" t="e">
        <f t="shared" ca="1" si="83"/>
        <v>#NAME?</v>
      </c>
      <c r="E414" s="100" t="e">
        <f t="shared" ca="1" si="83"/>
        <v>#NAME?</v>
      </c>
      <c r="F414" s="100" t="e">
        <f t="shared" ca="1" si="76"/>
        <v>#NAME?</v>
      </c>
      <c r="G414" s="100" t="e">
        <f t="shared" ca="1" si="77"/>
        <v>#NAME?</v>
      </c>
      <c r="H414" s="100" t="e">
        <f t="shared" ca="1" si="78"/>
        <v>#NAME?</v>
      </c>
      <c r="I414" s="100" t="e">
        <f t="shared" ca="1" si="79"/>
        <v>#NAME?</v>
      </c>
      <c r="J414" s="100" t="e">
        <f ca="1">IFERROR(__xludf.DUMMYFUNCTION("""COMPUTED_VALUE"""),"0.078")</f>
        <v>#NAME?</v>
      </c>
      <c r="K414" s="100" t="e">
        <f t="shared" ca="1" si="80"/>
        <v>#NAME?</v>
      </c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 spans="1:26">
      <c r="A415" s="100" t="e">
        <f ca="1">IFERROR(__xludf.DUMMYFUNCTION("""COMPUTED_VALUE"""),58783750)</f>
        <v>#NAME?</v>
      </c>
      <c r="B415" s="100" t="e">
        <f ca="1">IFERROR(__xludf.DUMMYFUNCTION("""COMPUTED_VALUE"""),"XRPTUSD")</f>
        <v>#NAME?</v>
      </c>
      <c r="C415" s="100" t="e">
        <f ca="1">IFERROR(__xludf.DUMMYFUNCTION("""COMPUTED_VALUE"""),"2.10370000")</f>
        <v>#NAME?</v>
      </c>
      <c r="D415" s="100" t="e">
        <f t="shared" ca="1" si="83"/>
        <v>#NAME?</v>
      </c>
      <c r="E415" s="100" t="e">
        <f t="shared" ca="1" si="83"/>
        <v>#NAME?</v>
      </c>
      <c r="F415" s="100" t="e">
        <f t="shared" ca="1" si="76"/>
        <v>#NAME?</v>
      </c>
      <c r="G415" s="100" t="e">
        <f t="shared" ca="1" si="77"/>
        <v>#NAME?</v>
      </c>
      <c r="H415" s="100" t="e">
        <f t="shared" ca="1" si="78"/>
        <v>#NAME?</v>
      </c>
      <c r="I415" s="100" t="e">
        <f t="shared" ca="1" si="79"/>
        <v>#NAME?</v>
      </c>
      <c r="J415" s="100" t="e">
        <f ca="1">IFERROR(__xludf.DUMMYFUNCTION("""COMPUTED_VALUE"""),"-1.351")</f>
        <v>#NAME?</v>
      </c>
      <c r="K415" s="100" t="e">
        <f t="shared" ca="1" si="80"/>
        <v>#NAME?</v>
      </c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 spans="1:26">
      <c r="A416" s="100" t="e">
        <f ca="1">IFERROR(__xludf.DUMMYFUNCTION("""COMPUTED_VALUE"""),58783751)</f>
        <v>#NAME?</v>
      </c>
      <c r="B416" s="100" t="e">
        <f ca="1">IFERROR(__xludf.DUMMYFUNCTION("""COMPUTED_VALUE"""),"EOSTUSD")</f>
        <v>#NAME?</v>
      </c>
      <c r="C416" s="100" t="e">
        <f ca="1">IFERROR(__xludf.DUMMYFUNCTION("""COMPUTED_VALUE"""),"0.00000000")</f>
        <v>#NAME?</v>
      </c>
      <c r="D416" s="100" t="e">
        <f t="shared" ca="1" si="83"/>
        <v>#NAME?</v>
      </c>
      <c r="E416" s="100" t="e">
        <f t="shared" ca="1" si="83"/>
        <v>#NAME?</v>
      </c>
      <c r="F416" s="100" t="e">
        <f t="shared" ca="1" si="76"/>
        <v>#NAME?</v>
      </c>
      <c r="G416" s="100" t="e">
        <f t="shared" ca="1" si="77"/>
        <v>#NAME?</v>
      </c>
      <c r="H416" s="100" t="e">
        <f t="shared" ca="1" si="78"/>
        <v>#NAME?</v>
      </c>
      <c r="I416" s="100" t="e">
        <f t="shared" ca="1" si="79"/>
        <v>#NAME?</v>
      </c>
      <c r="J416" s="100" t="e">
        <f ca="1">IFERROR(__xludf.DUMMYFUNCTION("""COMPUTED_VALUE"""),"0")</f>
        <v>#NAME?</v>
      </c>
      <c r="K416" s="100" t="e">
        <f t="shared" ca="1" si="80"/>
        <v>#NAME?</v>
      </c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 spans="1:26">
      <c r="A417" s="100" t="e">
        <f ca="1">IFERROR(__xludf.DUMMYFUNCTION("""COMPUTED_VALUE"""),58783752)</f>
        <v>#NAME?</v>
      </c>
      <c r="B417" s="100" t="e">
        <f ca="1">IFERROR(__xludf.DUMMYFUNCTION("""COMPUTED_VALUE"""),"XLMTUSD")</f>
        <v>#NAME?</v>
      </c>
      <c r="C417" s="100" t="e">
        <f ca="1">IFERROR(__xludf.DUMMYFUNCTION("""COMPUTED_VALUE"""),"0.00000000")</f>
        <v>#NAME?</v>
      </c>
      <c r="D417" s="100" t="e">
        <f t="shared" ca="1" si="83"/>
        <v>#NAME?</v>
      </c>
      <c r="E417" s="100" t="e">
        <f t="shared" ca="1" si="83"/>
        <v>#NAME?</v>
      </c>
      <c r="F417" s="100" t="e">
        <f t="shared" ca="1" si="76"/>
        <v>#NAME?</v>
      </c>
      <c r="G417" s="100" t="e">
        <f t="shared" ca="1" si="77"/>
        <v>#NAME?</v>
      </c>
      <c r="H417" s="100" t="e">
        <f t="shared" ca="1" si="78"/>
        <v>#NAME?</v>
      </c>
      <c r="I417" s="100" t="e">
        <f t="shared" ca="1" si="79"/>
        <v>#NAME?</v>
      </c>
      <c r="J417" s="100" t="e">
        <f ca="1">IFERROR(__xludf.DUMMYFUNCTION("""COMPUTED_VALUE"""),"0")</f>
        <v>#NAME?</v>
      </c>
      <c r="K417" s="100" t="e">
        <f t="shared" ca="1" si="80"/>
        <v>#NAME?</v>
      </c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 spans="1:26">
      <c r="A418" s="100" t="e">
        <f ca="1">IFERROR(__xludf.DUMMYFUNCTION("""COMPUTED_VALUE"""),58783753)</f>
        <v>#NAME?</v>
      </c>
      <c r="B418" s="100" t="e">
        <f ca="1">IFERROR(__xludf.DUMMYFUNCTION("""COMPUTED_VALUE"""),"BNBUSDC")</f>
        <v>#NAME?</v>
      </c>
      <c r="C418" s="100" t="e">
        <f ca="1">IFERROR(__xludf.DUMMYFUNCTION("""COMPUTED_VALUE"""),"606.21000000")</f>
        <v>#NAME?</v>
      </c>
      <c r="D418" s="100" t="e">
        <f t="shared" ca="1" si="83"/>
        <v>#NAME?</v>
      </c>
      <c r="E418" s="100" t="e">
        <f t="shared" ca="1" si="83"/>
        <v>#NAME?</v>
      </c>
      <c r="F418" s="100" t="e">
        <f t="shared" ca="1" si="76"/>
        <v>#NAME?</v>
      </c>
      <c r="G418" s="100" t="e">
        <f t="shared" ca="1" si="77"/>
        <v>#NAME?</v>
      </c>
      <c r="H418" s="100" t="e">
        <f t="shared" ca="1" si="78"/>
        <v>#NAME?</v>
      </c>
      <c r="I418" s="100" t="e">
        <f t="shared" ca="1" si="79"/>
        <v>#NAME?</v>
      </c>
      <c r="J418" s="100" t="e">
        <f ca="1">IFERROR(__xludf.DUMMYFUNCTION("""COMPUTED_VALUE"""),"0.304")</f>
        <v>#NAME?</v>
      </c>
      <c r="K418" s="100" t="e">
        <f t="shared" ca="1" si="80"/>
        <v>#NAME?</v>
      </c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 spans="1:26">
      <c r="A419" s="100" t="e">
        <f ca="1">IFERROR(__xludf.DUMMYFUNCTION("""COMPUTED_VALUE"""),58783754)</f>
        <v>#NAME?</v>
      </c>
      <c r="B419" s="100" t="e">
        <f ca="1">IFERROR(__xludf.DUMMYFUNCTION("""COMPUTED_VALUE"""),"BTCUSDC")</f>
        <v>#NAME?</v>
      </c>
      <c r="C419" s="100" t="e">
        <f ca="1">IFERROR(__xludf.DUMMYFUNCTION("""COMPUTED_VALUE"""),"88587.98000000")</f>
        <v>#NAME?</v>
      </c>
      <c r="D419" s="100" t="e">
        <f t="shared" ca="1" si="83"/>
        <v>#NAME?</v>
      </c>
      <c r="E419" s="100" t="e">
        <f t="shared" ca="1" si="83"/>
        <v>#NAME?</v>
      </c>
      <c r="F419" s="100" t="e">
        <f t="shared" ca="1" si="76"/>
        <v>#NAME?</v>
      </c>
      <c r="G419" s="100" t="e">
        <f t="shared" ca="1" si="77"/>
        <v>#NAME?</v>
      </c>
      <c r="H419" s="100" t="e">
        <f t="shared" ca="1" si="78"/>
        <v>#NAME?</v>
      </c>
      <c r="I419" s="100" t="e">
        <f t="shared" ca="1" si="79"/>
        <v>#NAME?</v>
      </c>
      <c r="J419" s="100" t="e">
        <f ca="1">IFERROR(__xludf.DUMMYFUNCTION("""COMPUTED_VALUE"""),"1.283")</f>
        <v>#NAME?</v>
      </c>
      <c r="K419" s="100" t="e">
        <f t="shared" ca="1" si="80"/>
        <v>#NAME?</v>
      </c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 spans="1:26">
      <c r="A420" s="100" t="e">
        <f ca="1">IFERROR(__xludf.DUMMYFUNCTION("""COMPUTED_VALUE"""),58783755)</f>
        <v>#NAME?</v>
      </c>
      <c r="B420" s="100" t="e">
        <f ca="1">IFERROR(__xludf.DUMMYFUNCTION("""COMPUTED_VALUE"""),"ETHUSDC")</f>
        <v>#NAME?</v>
      </c>
      <c r="C420" s="100" t="e">
        <f ca="1">IFERROR(__xludf.DUMMYFUNCTION("""COMPUTED_VALUE"""),"1625.13000000")</f>
        <v>#NAME?</v>
      </c>
      <c r="D420" s="100" t="e">
        <f t="shared" ca="1" si="83"/>
        <v>#NAME?</v>
      </c>
      <c r="E420" s="100" t="e">
        <f t="shared" ca="1" si="83"/>
        <v>#NAME?</v>
      </c>
      <c r="F420" s="100" t="e">
        <f t="shared" ca="1" si="76"/>
        <v>#NAME?</v>
      </c>
      <c r="G420" s="100" t="e">
        <f t="shared" ca="1" si="77"/>
        <v>#NAME?</v>
      </c>
      <c r="H420" s="100" t="e">
        <f t="shared" ca="1" si="78"/>
        <v>#NAME?</v>
      </c>
      <c r="I420" s="100" t="e">
        <f t="shared" ca="1" si="79"/>
        <v>#NAME?</v>
      </c>
      <c r="J420" s="100" t="e">
        <f ca="1">IFERROR(__xludf.DUMMYFUNCTION("""COMPUTED_VALUE"""),"-0.974")</f>
        <v>#NAME?</v>
      </c>
      <c r="K420" s="100" t="e">
        <f t="shared" ca="1" si="80"/>
        <v>#NAME?</v>
      </c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 spans="1:26">
      <c r="A421" s="100" t="e">
        <f ca="1">IFERROR(__xludf.DUMMYFUNCTION("""COMPUTED_VALUE"""),58783756)</f>
        <v>#NAME?</v>
      </c>
      <c r="B421" s="100" t="e">
        <f ca="1">IFERROR(__xludf.DUMMYFUNCTION("""COMPUTED_VALUE"""),"XRPUSDC")</f>
        <v>#NAME?</v>
      </c>
      <c r="C421" s="100" t="e">
        <f ca="1">IFERROR(__xludf.DUMMYFUNCTION("""COMPUTED_VALUE"""),"2.10480000")</f>
        <v>#NAME?</v>
      </c>
      <c r="D421" s="100" t="e">
        <f t="shared" ca="1" si="83"/>
        <v>#NAME?</v>
      </c>
      <c r="E421" s="100" t="e">
        <f t="shared" ca="1" si="83"/>
        <v>#NAME?</v>
      </c>
      <c r="F421" s="100" t="e">
        <f t="shared" ca="1" si="76"/>
        <v>#NAME?</v>
      </c>
      <c r="G421" s="100" t="e">
        <f t="shared" ca="1" si="77"/>
        <v>#NAME?</v>
      </c>
      <c r="H421" s="100" t="e">
        <f t="shared" ca="1" si="78"/>
        <v>#NAME?</v>
      </c>
      <c r="I421" s="100" t="e">
        <f t="shared" ca="1" si="79"/>
        <v>#NAME?</v>
      </c>
      <c r="J421" s="100" t="e">
        <f ca="1">IFERROR(__xludf.DUMMYFUNCTION("""COMPUTED_VALUE"""),"-0.983")</f>
        <v>#NAME?</v>
      </c>
      <c r="K421" s="100" t="e">
        <f t="shared" ca="1" si="80"/>
        <v>#NAME?</v>
      </c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 spans="1:26">
      <c r="A422" s="100" t="e">
        <f ca="1">IFERROR(__xludf.DUMMYFUNCTION("""COMPUTED_VALUE"""),58783757)</f>
        <v>#NAME?</v>
      </c>
      <c r="B422" s="100" t="e">
        <f ca="1">IFERROR(__xludf.DUMMYFUNCTION("""COMPUTED_VALUE"""),"EOSUSDC")</f>
        <v>#NAME?</v>
      </c>
      <c r="C422" s="100" t="e">
        <f ca="1">IFERROR(__xludf.DUMMYFUNCTION("""COMPUTED_VALUE"""),"0.63230000")</f>
        <v>#NAME?</v>
      </c>
      <c r="D422" s="100" t="e">
        <f t="shared" ref="D422:E441" ca="1" si="84">IFERROR(__xludf.DUMMYFUNCTION("""COMPUTED_VALUE"""),"-")</f>
        <v>#NAME?</v>
      </c>
      <c r="E422" s="100" t="e">
        <f t="shared" ca="1" si="84"/>
        <v>#NAME?</v>
      </c>
      <c r="F422" s="100" t="e">
        <f t="shared" ca="1" si="76"/>
        <v>#NAME?</v>
      </c>
      <c r="G422" s="100" t="e">
        <f t="shared" ca="1" si="77"/>
        <v>#NAME?</v>
      </c>
      <c r="H422" s="100" t="e">
        <f t="shared" ca="1" si="78"/>
        <v>#NAME?</v>
      </c>
      <c r="I422" s="100" t="e">
        <f t="shared" ca="1" si="79"/>
        <v>#NAME?</v>
      </c>
      <c r="J422" s="100" t="e">
        <f ca="1">IFERROR(__xludf.DUMMYFUNCTION("""COMPUTED_VALUE"""),"-3.081")</f>
        <v>#NAME?</v>
      </c>
      <c r="K422" s="100" t="e">
        <f t="shared" ca="1" si="80"/>
        <v>#NAME?</v>
      </c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 spans="1:26">
      <c r="A423" s="100" t="e">
        <f ca="1">IFERROR(__xludf.DUMMYFUNCTION("""COMPUTED_VALUE"""),58783758)</f>
        <v>#NAME?</v>
      </c>
      <c r="B423" s="100" t="e">
        <f ca="1">IFERROR(__xludf.DUMMYFUNCTION("""COMPUTED_VALUE"""),"XLMUSDC")</f>
        <v>#NAME?</v>
      </c>
      <c r="C423" s="100" t="e">
        <f ca="1">IFERROR(__xludf.DUMMYFUNCTION("""COMPUTED_VALUE"""),"0.24750000")</f>
        <v>#NAME?</v>
      </c>
      <c r="D423" s="100" t="e">
        <f t="shared" ca="1" si="84"/>
        <v>#NAME?</v>
      </c>
      <c r="E423" s="100" t="e">
        <f t="shared" ca="1" si="84"/>
        <v>#NAME?</v>
      </c>
      <c r="F423" s="100" t="e">
        <f t="shared" ca="1" si="76"/>
        <v>#NAME?</v>
      </c>
      <c r="G423" s="100" t="e">
        <f t="shared" ca="1" si="77"/>
        <v>#NAME?</v>
      </c>
      <c r="H423" s="100" t="e">
        <f t="shared" ca="1" si="78"/>
        <v>#NAME?</v>
      </c>
      <c r="I423" s="100" t="e">
        <f t="shared" ca="1" si="79"/>
        <v>#NAME?</v>
      </c>
      <c r="J423" s="100" t="e">
        <f ca="1">IFERROR(__xludf.DUMMYFUNCTION("""COMPUTED_VALUE"""),"-4.514")</f>
        <v>#NAME?</v>
      </c>
      <c r="K423" s="100" t="e">
        <f t="shared" ca="1" si="80"/>
        <v>#NAME?</v>
      </c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 spans="1:26">
      <c r="A424" s="100" t="e">
        <f ca="1">IFERROR(__xludf.DUMMYFUNCTION("""COMPUTED_VALUE"""),58783759)</f>
        <v>#NAME?</v>
      </c>
      <c r="B424" s="100" t="e">
        <f ca="1">IFERROR(__xludf.DUMMYFUNCTION("""COMPUTED_VALUE"""),"USDCUSDT")</f>
        <v>#NAME?</v>
      </c>
      <c r="C424" s="100" t="e">
        <f ca="1">IFERROR(__xludf.DUMMYFUNCTION("""COMPUTED_VALUE"""),"1.00000000")</f>
        <v>#NAME?</v>
      </c>
      <c r="D424" s="100" t="e">
        <f t="shared" ca="1" si="84"/>
        <v>#NAME?</v>
      </c>
      <c r="E424" s="100" t="e">
        <f t="shared" ca="1" si="84"/>
        <v>#NAME?</v>
      </c>
      <c r="F424" s="100" t="e">
        <f t="shared" ca="1" si="76"/>
        <v>#NAME?</v>
      </c>
      <c r="G424" s="100" t="e">
        <f t="shared" ca="1" si="77"/>
        <v>#NAME?</v>
      </c>
      <c r="H424" s="100" t="e">
        <f t="shared" ca="1" si="78"/>
        <v>#NAME?</v>
      </c>
      <c r="I424" s="100" t="e">
        <f t="shared" ca="1" si="79"/>
        <v>#NAME?</v>
      </c>
      <c r="J424" s="100" t="e">
        <f ca="1">IFERROR(__xludf.DUMMYFUNCTION("""COMPUTED_VALUE"""),"0.020")</f>
        <v>#NAME?</v>
      </c>
      <c r="K424" s="100" t="e">
        <f t="shared" ca="1" si="80"/>
        <v>#NAME?</v>
      </c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 spans="1:26">
      <c r="A425" s="100" t="e">
        <f ca="1">IFERROR(__xludf.DUMMYFUNCTION("""COMPUTED_VALUE"""),58783760)</f>
        <v>#NAME?</v>
      </c>
      <c r="B425" s="100" t="e">
        <f ca="1">IFERROR(__xludf.DUMMYFUNCTION("""COMPUTED_VALUE"""),"ADATUSD")</f>
        <v>#NAME?</v>
      </c>
      <c r="C425" s="100" t="e">
        <f ca="1">IFERROR(__xludf.DUMMYFUNCTION("""COMPUTED_VALUE"""),"0.38470000")</f>
        <v>#NAME?</v>
      </c>
      <c r="D425" s="100" t="e">
        <f t="shared" ca="1" si="84"/>
        <v>#NAME?</v>
      </c>
      <c r="E425" s="100" t="e">
        <f t="shared" ca="1" si="84"/>
        <v>#NAME?</v>
      </c>
      <c r="F425" s="100" t="e">
        <f t="shared" ca="1" si="76"/>
        <v>#NAME?</v>
      </c>
      <c r="G425" s="100" t="e">
        <f t="shared" ca="1" si="77"/>
        <v>#NAME?</v>
      </c>
      <c r="H425" s="100" t="e">
        <f t="shared" ca="1" si="78"/>
        <v>#NAME?</v>
      </c>
      <c r="I425" s="100" t="e">
        <f t="shared" ca="1" si="79"/>
        <v>#NAME?</v>
      </c>
      <c r="J425" s="100" t="e">
        <f ca="1">IFERROR(__xludf.DUMMYFUNCTION("""COMPUTED_VALUE"""),"0")</f>
        <v>#NAME?</v>
      </c>
      <c r="K425" s="100" t="e">
        <f t="shared" ca="1" si="80"/>
        <v>#NAME?</v>
      </c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 spans="1:26">
      <c r="A426" s="100" t="e">
        <f ca="1">IFERROR(__xludf.DUMMYFUNCTION("""COMPUTED_VALUE"""),58783761)</f>
        <v>#NAME?</v>
      </c>
      <c r="B426" s="100" t="e">
        <f ca="1">IFERROR(__xludf.DUMMYFUNCTION("""COMPUTED_VALUE"""),"TRXTUSD")</f>
        <v>#NAME?</v>
      </c>
      <c r="C426" s="100" t="e">
        <f ca="1">IFERROR(__xludf.DUMMYFUNCTION("""COMPUTED_VALUE"""),"0.05986000")</f>
        <v>#NAME?</v>
      </c>
      <c r="D426" s="100" t="e">
        <f t="shared" ca="1" si="84"/>
        <v>#NAME?</v>
      </c>
      <c r="E426" s="100" t="e">
        <f t="shared" ca="1" si="84"/>
        <v>#NAME?</v>
      </c>
      <c r="F426" s="100" t="e">
        <f t="shared" ca="1" si="76"/>
        <v>#NAME?</v>
      </c>
      <c r="G426" s="100" t="e">
        <f t="shared" ca="1" si="77"/>
        <v>#NAME?</v>
      </c>
      <c r="H426" s="100" t="e">
        <f t="shared" ca="1" si="78"/>
        <v>#NAME?</v>
      </c>
      <c r="I426" s="100" t="e">
        <f t="shared" ca="1" si="79"/>
        <v>#NAME?</v>
      </c>
      <c r="J426" s="100" t="e">
        <f ca="1">IFERROR(__xludf.DUMMYFUNCTION("""COMPUTED_VALUE"""),"0")</f>
        <v>#NAME?</v>
      </c>
      <c r="K426" s="100" t="e">
        <f t="shared" ca="1" si="80"/>
        <v>#NAME?</v>
      </c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 spans="1:26">
      <c r="A427" s="100" t="e">
        <f ca="1">IFERROR(__xludf.DUMMYFUNCTION("""COMPUTED_VALUE"""),58783762)</f>
        <v>#NAME?</v>
      </c>
      <c r="B427" s="100" t="e">
        <f ca="1">IFERROR(__xludf.DUMMYFUNCTION("""COMPUTED_VALUE"""),"NEOTUSD")</f>
        <v>#NAME?</v>
      </c>
      <c r="C427" s="100" t="e">
        <f ca="1">IFERROR(__xludf.DUMMYFUNCTION("""COMPUTED_VALUE"""),"0.00000000")</f>
        <v>#NAME?</v>
      </c>
      <c r="D427" s="100" t="e">
        <f t="shared" ca="1" si="84"/>
        <v>#NAME?</v>
      </c>
      <c r="E427" s="100" t="e">
        <f t="shared" ca="1" si="84"/>
        <v>#NAME?</v>
      </c>
      <c r="F427" s="100" t="e">
        <f t="shared" ca="1" si="76"/>
        <v>#NAME?</v>
      </c>
      <c r="G427" s="100" t="e">
        <f t="shared" ca="1" si="77"/>
        <v>#NAME?</v>
      </c>
      <c r="H427" s="100" t="e">
        <f t="shared" ca="1" si="78"/>
        <v>#NAME?</v>
      </c>
      <c r="I427" s="100" t="e">
        <f t="shared" ca="1" si="79"/>
        <v>#NAME?</v>
      </c>
      <c r="J427" s="100" t="e">
        <f ca="1">IFERROR(__xludf.DUMMYFUNCTION("""COMPUTED_VALUE"""),"0")</f>
        <v>#NAME?</v>
      </c>
      <c r="K427" s="100" t="e">
        <f t="shared" ca="1" si="80"/>
        <v>#NAME?</v>
      </c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 spans="1:26">
      <c r="A428" s="100" t="e">
        <f ca="1">IFERROR(__xludf.DUMMYFUNCTION("""COMPUTED_VALUE"""),58783763)</f>
        <v>#NAME?</v>
      </c>
      <c r="B428" s="100" t="e">
        <f ca="1">IFERROR(__xludf.DUMMYFUNCTION("""COMPUTED_VALUE"""),"TRXXRP")</f>
        <v>#NAME?</v>
      </c>
      <c r="C428" s="100" t="e">
        <f ca="1">IFERROR(__xludf.DUMMYFUNCTION("""COMPUTED_VALUE"""),"0.11800000")</f>
        <v>#NAME?</v>
      </c>
      <c r="D428" s="100" t="e">
        <f t="shared" ca="1" si="84"/>
        <v>#NAME?</v>
      </c>
      <c r="E428" s="100" t="e">
        <f t="shared" ca="1" si="84"/>
        <v>#NAME?</v>
      </c>
      <c r="F428" s="100" t="e">
        <f t="shared" ca="1" si="76"/>
        <v>#NAME?</v>
      </c>
      <c r="G428" s="100" t="e">
        <f t="shared" ca="1" si="77"/>
        <v>#NAME?</v>
      </c>
      <c r="H428" s="100" t="e">
        <f t="shared" ca="1" si="78"/>
        <v>#NAME?</v>
      </c>
      <c r="I428" s="100" t="e">
        <f t="shared" ca="1" si="79"/>
        <v>#NAME?</v>
      </c>
      <c r="J428" s="100" t="e">
        <f ca="1">IFERROR(__xludf.DUMMYFUNCTION("""COMPUTED_VALUE"""),"2.787")</f>
        <v>#NAME?</v>
      </c>
      <c r="K428" s="100" t="e">
        <f t="shared" ca="1" si="80"/>
        <v>#NAME?</v>
      </c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 spans="1:26">
      <c r="A429" s="100" t="e">
        <f ca="1">IFERROR(__xludf.DUMMYFUNCTION("""COMPUTED_VALUE"""),58783764)</f>
        <v>#NAME?</v>
      </c>
      <c r="B429" s="100" t="e">
        <f ca="1">IFERROR(__xludf.DUMMYFUNCTION("""COMPUTED_VALUE"""),"XZCXRP")</f>
        <v>#NAME?</v>
      </c>
      <c r="C429" s="100" t="e">
        <f ca="1">IFERROR(__xludf.DUMMYFUNCTION("""COMPUTED_VALUE"""),"0.00000000")</f>
        <v>#NAME?</v>
      </c>
      <c r="D429" s="100" t="e">
        <f t="shared" ca="1" si="84"/>
        <v>#NAME?</v>
      </c>
      <c r="E429" s="100" t="e">
        <f t="shared" ca="1" si="84"/>
        <v>#NAME?</v>
      </c>
      <c r="F429" s="100" t="e">
        <f t="shared" ca="1" si="76"/>
        <v>#NAME?</v>
      </c>
      <c r="G429" s="100" t="e">
        <f t="shared" ca="1" si="77"/>
        <v>#NAME?</v>
      </c>
      <c r="H429" s="100" t="e">
        <f t="shared" ca="1" si="78"/>
        <v>#NAME?</v>
      </c>
      <c r="I429" s="100" t="e">
        <f t="shared" ca="1" si="79"/>
        <v>#NAME?</v>
      </c>
      <c r="J429" s="100" t="e">
        <f ca="1">IFERROR(__xludf.DUMMYFUNCTION("""COMPUTED_VALUE"""),"0")</f>
        <v>#NAME?</v>
      </c>
      <c r="K429" s="100" t="e">
        <f t="shared" ca="1" si="80"/>
        <v>#NAME?</v>
      </c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 spans="1:26">
      <c r="A430" s="100" t="e">
        <f ca="1">IFERROR(__xludf.DUMMYFUNCTION("""COMPUTED_VALUE"""),58783765)</f>
        <v>#NAME?</v>
      </c>
      <c r="B430" s="100" t="e">
        <f ca="1">IFERROR(__xludf.DUMMYFUNCTION("""COMPUTED_VALUE"""),"PAXTUSD")</f>
        <v>#NAME?</v>
      </c>
      <c r="C430" s="100" t="e">
        <f ca="1">IFERROR(__xludf.DUMMYFUNCTION("""COMPUTED_VALUE"""),"0.00000000")</f>
        <v>#NAME?</v>
      </c>
      <c r="D430" s="100" t="e">
        <f t="shared" ca="1" si="84"/>
        <v>#NAME?</v>
      </c>
      <c r="E430" s="100" t="e">
        <f t="shared" ca="1" si="84"/>
        <v>#NAME?</v>
      </c>
      <c r="F430" s="100" t="e">
        <f t="shared" ca="1" si="76"/>
        <v>#NAME?</v>
      </c>
      <c r="G430" s="100" t="e">
        <f t="shared" ca="1" si="77"/>
        <v>#NAME?</v>
      </c>
      <c r="H430" s="100" t="e">
        <f t="shared" ca="1" si="78"/>
        <v>#NAME?</v>
      </c>
      <c r="I430" s="100" t="e">
        <f t="shared" ca="1" si="79"/>
        <v>#NAME?</v>
      </c>
      <c r="J430" s="100" t="e">
        <f ca="1">IFERROR(__xludf.DUMMYFUNCTION("""COMPUTED_VALUE"""),"0")</f>
        <v>#NAME?</v>
      </c>
      <c r="K430" s="100" t="e">
        <f t="shared" ca="1" si="80"/>
        <v>#NAME?</v>
      </c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 spans="1:26">
      <c r="A431" s="100" t="e">
        <f ca="1">IFERROR(__xludf.DUMMYFUNCTION("""COMPUTED_VALUE"""),58783766)</f>
        <v>#NAME?</v>
      </c>
      <c r="B431" s="100" t="e">
        <f ca="1">IFERROR(__xludf.DUMMYFUNCTION("""COMPUTED_VALUE"""),"USDCTUSD")</f>
        <v>#NAME?</v>
      </c>
      <c r="C431" s="100" t="e">
        <f ca="1">IFERROR(__xludf.DUMMYFUNCTION("""COMPUTED_VALUE"""),"0.00000000")</f>
        <v>#NAME?</v>
      </c>
      <c r="D431" s="100" t="e">
        <f t="shared" ca="1" si="84"/>
        <v>#NAME?</v>
      </c>
      <c r="E431" s="100" t="e">
        <f t="shared" ca="1" si="84"/>
        <v>#NAME?</v>
      </c>
      <c r="F431" s="100" t="e">
        <f t="shared" ca="1" si="76"/>
        <v>#NAME?</v>
      </c>
      <c r="G431" s="100" t="e">
        <f t="shared" ca="1" si="77"/>
        <v>#NAME?</v>
      </c>
      <c r="H431" s="100" t="e">
        <f t="shared" ca="1" si="78"/>
        <v>#NAME?</v>
      </c>
      <c r="I431" s="100" t="e">
        <f t="shared" ca="1" si="79"/>
        <v>#NAME?</v>
      </c>
      <c r="J431" s="100" t="e">
        <f ca="1">IFERROR(__xludf.DUMMYFUNCTION("""COMPUTED_VALUE"""),"0")</f>
        <v>#NAME?</v>
      </c>
      <c r="K431" s="100" t="e">
        <f t="shared" ca="1" si="80"/>
        <v>#NAME?</v>
      </c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 spans="1:26">
      <c r="A432" s="100" t="e">
        <f ca="1">IFERROR(__xludf.DUMMYFUNCTION("""COMPUTED_VALUE"""),58783767)</f>
        <v>#NAME?</v>
      </c>
      <c r="B432" s="100" t="e">
        <f ca="1">IFERROR(__xludf.DUMMYFUNCTION("""COMPUTED_VALUE"""),"USDCPAX")</f>
        <v>#NAME?</v>
      </c>
      <c r="C432" s="100" t="e">
        <f ca="1">IFERROR(__xludf.DUMMYFUNCTION("""COMPUTED_VALUE"""),"0.00000000")</f>
        <v>#NAME?</v>
      </c>
      <c r="D432" s="100" t="e">
        <f t="shared" ca="1" si="84"/>
        <v>#NAME?</v>
      </c>
      <c r="E432" s="100" t="e">
        <f t="shared" ca="1" si="84"/>
        <v>#NAME?</v>
      </c>
      <c r="F432" s="100" t="e">
        <f t="shared" ca="1" si="76"/>
        <v>#NAME?</v>
      </c>
      <c r="G432" s="100" t="e">
        <f t="shared" ca="1" si="77"/>
        <v>#NAME?</v>
      </c>
      <c r="H432" s="100" t="e">
        <f t="shared" ca="1" si="78"/>
        <v>#NAME?</v>
      </c>
      <c r="I432" s="100" t="e">
        <f t="shared" ca="1" si="79"/>
        <v>#NAME?</v>
      </c>
      <c r="J432" s="100" t="e">
        <f ca="1">IFERROR(__xludf.DUMMYFUNCTION("""COMPUTED_VALUE"""),"0")</f>
        <v>#NAME?</v>
      </c>
      <c r="K432" s="100" t="e">
        <f t="shared" ca="1" si="80"/>
        <v>#NAME?</v>
      </c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 spans="1:26">
      <c r="A433" s="100" t="e">
        <f ca="1">IFERROR(__xludf.DUMMYFUNCTION("""COMPUTED_VALUE"""),58783768)</f>
        <v>#NAME?</v>
      </c>
      <c r="B433" s="100" t="e">
        <f ca="1">IFERROR(__xludf.DUMMYFUNCTION("""COMPUTED_VALUE"""),"LINKUSDT")</f>
        <v>#NAME?</v>
      </c>
      <c r="C433" s="100" t="e">
        <f ca="1">IFERROR(__xludf.DUMMYFUNCTION("""COMPUTED_VALUE"""),"13.31000000")</f>
        <v>#NAME?</v>
      </c>
      <c r="D433" s="100" t="e">
        <f t="shared" ca="1" si="84"/>
        <v>#NAME?</v>
      </c>
      <c r="E433" s="100" t="e">
        <f t="shared" ca="1" si="84"/>
        <v>#NAME?</v>
      </c>
      <c r="F433" s="100" t="e">
        <f t="shared" ca="1" si="76"/>
        <v>#NAME?</v>
      </c>
      <c r="G433" s="100" t="e">
        <f t="shared" ca="1" si="77"/>
        <v>#NAME?</v>
      </c>
      <c r="H433" s="100" t="e">
        <f t="shared" ca="1" si="78"/>
        <v>#NAME?</v>
      </c>
      <c r="I433" s="100" t="e">
        <f t="shared" ca="1" si="79"/>
        <v>#NAME?</v>
      </c>
      <c r="J433" s="100" t="e">
        <f ca="1">IFERROR(__xludf.DUMMYFUNCTION("""COMPUTED_VALUE"""),"-1.553")</f>
        <v>#NAME?</v>
      </c>
      <c r="K433" s="100" t="e">
        <f t="shared" ca="1" si="80"/>
        <v>#NAME?</v>
      </c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 spans="1:26">
      <c r="A434" s="100" t="e">
        <f ca="1">IFERROR(__xludf.DUMMYFUNCTION("""COMPUTED_VALUE"""),58783769)</f>
        <v>#NAME?</v>
      </c>
      <c r="B434" s="100" t="e">
        <f ca="1">IFERROR(__xludf.DUMMYFUNCTION("""COMPUTED_VALUE"""),"LINKTUSD")</f>
        <v>#NAME?</v>
      </c>
      <c r="C434" s="100" t="e">
        <f ca="1">IFERROR(__xludf.DUMMYFUNCTION("""COMPUTED_VALUE"""),"14.42300000")</f>
        <v>#NAME?</v>
      </c>
      <c r="D434" s="100" t="e">
        <f t="shared" ca="1" si="84"/>
        <v>#NAME?</v>
      </c>
      <c r="E434" s="100" t="e">
        <f t="shared" ca="1" si="84"/>
        <v>#NAME?</v>
      </c>
      <c r="F434" s="100" t="e">
        <f t="shared" ca="1" si="76"/>
        <v>#NAME?</v>
      </c>
      <c r="G434" s="100" t="e">
        <f t="shared" ca="1" si="77"/>
        <v>#NAME?</v>
      </c>
      <c r="H434" s="100" t="e">
        <f t="shared" ca="1" si="78"/>
        <v>#NAME?</v>
      </c>
      <c r="I434" s="100" t="e">
        <f t="shared" ca="1" si="79"/>
        <v>#NAME?</v>
      </c>
      <c r="J434" s="100" t="e">
        <f ca="1">IFERROR(__xludf.DUMMYFUNCTION("""COMPUTED_VALUE"""),"0")</f>
        <v>#NAME?</v>
      </c>
      <c r="K434" s="100" t="e">
        <f t="shared" ca="1" si="80"/>
        <v>#NAME?</v>
      </c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 spans="1:26">
      <c r="A435" s="100" t="e">
        <f ca="1">IFERROR(__xludf.DUMMYFUNCTION("""COMPUTED_VALUE"""),58783770)</f>
        <v>#NAME?</v>
      </c>
      <c r="B435" s="100" t="e">
        <f ca="1">IFERROR(__xludf.DUMMYFUNCTION("""COMPUTED_VALUE"""),"LINKPAX")</f>
        <v>#NAME?</v>
      </c>
      <c r="C435" s="100" t="e">
        <f ca="1">IFERROR(__xludf.DUMMYFUNCTION("""COMPUTED_VALUE"""),"0.00000000")</f>
        <v>#NAME?</v>
      </c>
      <c r="D435" s="100" t="e">
        <f t="shared" ca="1" si="84"/>
        <v>#NAME?</v>
      </c>
      <c r="E435" s="100" t="e">
        <f t="shared" ca="1" si="84"/>
        <v>#NAME?</v>
      </c>
      <c r="F435" s="100" t="e">
        <f t="shared" ca="1" si="76"/>
        <v>#NAME?</v>
      </c>
      <c r="G435" s="100" t="e">
        <f t="shared" ca="1" si="77"/>
        <v>#NAME?</v>
      </c>
      <c r="H435" s="100" t="e">
        <f t="shared" ca="1" si="78"/>
        <v>#NAME?</v>
      </c>
      <c r="I435" s="100" t="e">
        <f t="shared" ca="1" si="79"/>
        <v>#NAME?</v>
      </c>
      <c r="J435" s="100" t="e">
        <f ca="1">IFERROR(__xludf.DUMMYFUNCTION("""COMPUTED_VALUE"""),"0")</f>
        <v>#NAME?</v>
      </c>
      <c r="K435" s="100" t="e">
        <f t="shared" ca="1" si="80"/>
        <v>#NAME?</v>
      </c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 spans="1:26">
      <c r="A436" s="100" t="e">
        <f ca="1">IFERROR(__xludf.DUMMYFUNCTION("""COMPUTED_VALUE"""),58783771)</f>
        <v>#NAME?</v>
      </c>
      <c r="B436" s="100" t="e">
        <f ca="1">IFERROR(__xludf.DUMMYFUNCTION("""COMPUTED_VALUE"""),"LINKUSDC")</f>
        <v>#NAME?</v>
      </c>
      <c r="C436" s="100" t="e">
        <f ca="1">IFERROR(__xludf.DUMMYFUNCTION("""COMPUTED_VALUE"""),"13.31000000")</f>
        <v>#NAME?</v>
      </c>
      <c r="D436" s="100" t="e">
        <f t="shared" ca="1" si="84"/>
        <v>#NAME?</v>
      </c>
      <c r="E436" s="100" t="e">
        <f t="shared" ca="1" si="84"/>
        <v>#NAME?</v>
      </c>
      <c r="F436" s="100" t="e">
        <f t="shared" ca="1" si="76"/>
        <v>#NAME?</v>
      </c>
      <c r="G436" s="100" t="e">
        <f t="shared" ca="1" si="77"/>
        <v>#NAME?</v>
      </c>
      <c r="H436" s="100" t="e">
        <f t="shared" ca="1" si="78"/>
        <v>#NAME?</v>
      </c>
      <c r="I436" s="100" t="e">
        <f t="shared" ca="1" si="79"/>
        <v>#NAME?</v>
      </c>
      <c r="J436" s="100" t="e">
        <f ca="1">IFERROR(__xludf.DUMMYFUNCTION("""COMPUTED_VALUE"""),"-1.553")</f>
        <v>#NAME?</v>
      </c>
      <c r="K436" s="100" t="e">
        <f t="shared" ca="1" si="80"/>
        <v>#NAME?</v>
      </c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 spans="1:26">
      <c r="A437" s="100" t="e">
        <f ca="1">IFERROR(__xludf.DUMMYFUNCTION("""COMPUTED_VALUE"""),58783772)</f>
        <v>#NAME?</v>
      </c>
      <c r="B437" s="100" t="e">
        <f ca="1">IFERROR(__xludf.DUMMYFUNCTION("""COMPUTED_VALUE"""),"WAVESUSDT")</f>
        <v>#NAME?</v>
      </c>
      <c r="C437" s="100" t="e">
        <f ca="1">IFERROR(__xludf.DUMMYFUNCTION("""COMPUTED_VALUE"""),"1.07600000")</f>
        <v>#NAME?</v>
      </c>
      <c r="D437" s="100" t="e">
        <f t="shared" ca="1" si="84"/>
        <v>#NAME?</v>
      </c>
      <c r="E437" s="100" t="e">
        <f t="shared" ca="1" si="84"/>
        <v>#NAME?</v>
      </c>
      <c r="F437" s="100" t="e">
        <f t="shared" ca="1" si="76"/>
        <v>#NAME?</v>
      </c>
      <c r="G437" s="100" t="e">
        <f t="shared" ca="1" si="77"/>
        <v>#NAME?</v>
      </c>
      <c r="H437" s="100" t="e">
        <f t="shared" ca="1" si="78"/>
        <v>#NAME?</v>
      </c>
      <c r="I437" s="100" t="e">
        <f t="shared" ca="1" si="79"/>
        <v>#NAME?</v>
      </c>
      <c r="J437" s="100" t="e">
        <f t="shared" ref="J437:J448" ca="1" si="85">IFERROR(__xludf.DUMMYFUNCTION("""COMPUTED_VALUE"""),"0")</f>
        <v>#NAME?</v>
      </c>
      <c r="K437" s="100" t="e">
        <f t="shared" ca="1" si="80"/>
        <v>#NAME?</v>
      </c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 spans="1:26">
      <c r="A438" s="100" t="e">
        <f ca="1">IFERROR(__xludf.DUMMYFUNCTION("""COMPUTED_VALUE"""),58783773)</f>
        <v>#NAME?</v>
      </c>
      <c r="B438" s="100" t="e">
        <f ca="1">IFERROR(__xludf.DUMMYFUNCTION("""COMPUTED_VALUE"""),"WAVESTUSD")</f>
        <v>#NAME?</v>
      </c>
      <c r="C438" s="100" t="e">
        <f t="shared" ref="C438:C446" ca="1" si="86">IFERROR(__xludf.DUMMYFUNCTION("""COMPUTED_VALUE"""),"0.00000000")</f>
        <v>#NAME?</v>
      </c>
      <c r="D438" s="100" t="e">
        <f t="shared" ca="1" si="84"/>
        <v>#NAME?</v>
      </c>
      <c r="E438" s="100" t="e">
        <f t="shared" ca="1" si="84"/>
        <v>#NAME?</v>
      </c>
      <c r="F438" s="100" t="e">
        <f t="shared" ca="1" si="76"/>
        <v>#NAME?</v>
      </c>
      <c r="G438" s="100" t="e">
        <f t="shared" ca="1" si="77"/>
        <v>#NAME?</v>
      </c>
      <c r="H438" s="100" t="e">
        <f t="shared" ca="1" si="78"/>
        <v>#NAME?</v>
      </c>
      <c r="I438" s="100" t="e">
        <f t="shared" ca="1" si="79"/>
        <v>#NAME?</v>
      </c>
      <c r="J438" s="100" t="e">
        <f t="shared" ca="1" si="85"/>
        <v>#NAME?</v>
      </c>
      <c r="K438" s="100" t="e">
        <f t="shared" ca="1" si="80"/>
        <v>#NAME?</v>
      </c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 spans="1:26">
      <c r="A439" s="100" t="e">
        <f ca="1">IFERROR(__xludf.DUMMYFUNCTION("""COMPUTED_VALUE"""),58783774)</f>
        <v>#NAME?</v>
      </c>
      <c r="B439" s="100" t="e">
        <f ca="1">IFERROR(__xludf.DUMMYFUNCTION("""COMPUTED_VALUE"""),"WAVESPAX")</f>
        <v>#NAME?</v>
      </c>
      <c r="C439" s="100" t="e">
        <f t="shared" ca="1" si="86"/>
        <v>#NAME?</v>
      </c>
      <c r="D439" s="100" t="e">
        <f t="shared" ca="1" si="84"/>
        <v>#NAME?</v>
      </c>
      <c r="E439" s="100" t="e">
        <f t="shared" ca="1" si="84"/>
        <v>#NAME?</v>
      </c>
      <c r="F439" s="100" t="e">
        <f t="shared" ca="1" si="76"/>
        <v>#NAME?</v>
      </c>
      <c r="G439" s="100" t="e">
        <f t="shared" ca="1" si="77"/>
        <v>#NAME?</v>
      </c>
      <c r="H439" s="100" t="e">
        <f t="shared" ca="1" si="78"/>
        <v>#NAME?</v>
      </c>
      <c r="I439" s="100" t="e">
        <f t="shared" ca="1" si="79"/>
        <v>#NAME?</v>
      </c>
      <c r="J439" s="100" t="e">
        <f t="shared" ca="1" si="85"/>
        <v>#NAME?</v>
      </c>
      <c r="K439" s="100" t="e">
        <f t="shared" ca="1" si="80"/>
        <v>#NAME?</v>
      </c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 spans="1:26">
      <c r="A440" s="100" t="e">
        <f ca="1">IFERROR(__xludf.DUMMYFUNCTION("""COMPUTED_VALUE"""),58783775)</f>
        <v>#NAME?</v>
      </c>
      <c r="B440" s="100" t="e">
        <f ca="1">IFERROR(__xludf.DUMMYFUNCTION("""COMPUTED_VALUE"""),"WAVESUSDC")</f>
        <v>#NAME?</v>
      </c>
      <c r="C440" s="100" t="e">
        <f t="shared" ca="1" si="86"/>
        <v>#NAME?</v>
      </c>
      <c r="D440" s="100" t="e">
        <f t="shared" ca="1" si="84"/>
        <v>#NAME?</v>
      </c>
      <c r="E440" s="100" t="e">
        <f t="shared" ca="1" si="84"/>
        <v>#NAME?</v>
      </c>
      <c r="F440" s="100" t="e">
        <f t="shared" ca="1" si="76"/>
        <v>#NAME?</v>
      </c>
      <c r="G440" s="100" t="e">
        <f t="shared" ca="1" si="77"/>
        <v>#NAME?</v>
      </c>
      <c r="H440" s="100" t="e">
        <f t="shared" ca="1" si="78"/>
        <v>#NAME?</v>
      </c>
      <c r="I440" s="100" t="e">
        <f t="shared" ca="1" si="79"/>
        <v>#NAME?</v>
      </c>
      <c r="J440" s="100" t="e">
        <f t="shared" ca="1" si="85"/>
        <v>#NAME?</v>
      </c>
      <c r="K440" s="100" t="e">
        <f t="shared" ca="1" si="80"/>
        <v>#NAME?</v>
      </c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 spans="1:26">
      <c r="A441" s="100" t="e">
        <f ca="1">IFERROR(__xludf.DUMMYFUNCTION("""COMPUTED_VALUE"""),58783776)</f>
        <v>#NAME?</v>
      </c>
      <c r="B441" s="100" t="e">
        <f ca="1">IFERROR(__xludf.DUMMYFUNCTION("""COMPUTED_VALUE"""),"BCHABCTUSD")</f>
        <v>#NAME?</v>
      </c>
      <c r="C441" s="100" t="e">
        <f t="shared" ca="1" si="86"/>
        <v>#NAME?</v>
      </c>
      <c r="D441" s="100" t="e">
        <f t="shared" ca="1" si="84"/>
        <v>#NAME?</v>
      </c>
      <c r="E441" s="100" t="e">
        <f t="shared" ca="1" si="84"/>
        <v>#NAME?</v>
      </c>
      <c r="F441" s="100" t="e">
        <f t="shared" ca="1" si="76"/>
        <v>#NAME?</v>
      </c>
      <c r="G441" s="100" t="e">
        <f t="shared" ca="1" si="77"/>
        <v>#NAME?</v>
      </c>
      <c r="H441" s="100" t="e">
        <f t="shared" ca="1" si="78"/>
        <v>#NAME?</v>
      </c>
      <c r="I441" s="100" t="e">
        <f t="shared" ca="1" si="79"/>
        <v>#NAME?</v>
      </c>
      <c r="J441" s="100" t="e">
        <f t="shared" ca="1" si="85"/>
        <v>#NAME?</v>
      </c>
      <c r="K441" s="100" t="e">
        <f t="shared" ca="1" si="80"/>
        <v>#NAME?</v>
      </c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 spans="1:26">
      <c r="A442" s="100" t="e">
        <f ca="1">IFERROR(__xludf.DUMMYFUNCTION("""COMPUTED_VALUE"""),58783777)</f>
        <v>#NAME?</v>
      </c>
      <c r="B442" s="100" t="e">
        <f ca="1">IFERROR(__xludf.DUMMYFUNCTION("""COMPUTED_VALUE"""),"BCHABCPAX")</f>
        <v>#NAME?</v>
      </c>
      <c r="C442" s="100" t="e">
        <f t="shared" ca="1" si="86"/>
        <v>#NAME?</v>
      </c>
      <c r="D442" s="100" t="e">
        <f t="shared" ref="D442:E461" ca="1" si="87">IFERROR(__xludf.DUMMYFUNCTION("""COMPUTED_VALUE"""),"-")</f>
        <v>#NAME?</v>
      </c>
      <c r="E442" s="100" t="e">
        <f t="shared" ca="1" si="87"/>
        <v>#NAME?</v>
      </c>
      <c r="F442" s="100" t="e">
        <f t="shared" ca="1" si="76"/>
        <v>#NAME?</v>
      </c>
      <c r="G442" s="100" t="e">
        <f t="shared" ca="1" si="77"/>
        <v>#NAME?</v>
      </c>
      <c r="H442" s="100" t="e">
        <f t="shared" ca="1" si="78"/>
        <v>#NAME?</v>
      </c>
      <c r="I442" s="100" t="e">
        <f t="shared" ca="1" si="79"/>
        <v>#NAME?</v>
      </c>
      <c r="J442" s="100" t="e">
        <f t="shared" ca="1" si="85"/>
        <v>#NAME?</v>
      </c>
      <c r="K442" s="100" t="e">
        <f t="shared" ca="1" si="80"/>
        <v>#NAME?</v>
      </c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 spans="1:26">
      <c r="A443" s="100" t="e">
        <f ca="1">IFERROR(__xludf.DUMMYFUNCTION("""COMPUTED_VALUE"""),58783778)</f>
        <v>#NAME?</v>
      </c>
      <c r="B443" s="100" t="e">
        <f ca="1">IFERROR(__xludf.DUMMYFUNCTION("""COMPUTED_VALUE"""),"BCHABCUSDC")</f>
        <v>#NAME?</v>
      </c>
      <c r="C443" s="100" t="e">
        <f t="shared" ca="1" si="86"/>
        <v>#NAME?</v>
      </c>
      <c r="D443" s="100" t="e">
        <f t="shared" ca="1" si="87"/>
        <v>#NAME?</v>
      </c>
      <c r="E443" s="100" t="e">
        <f t="shared" ca="1" si="87"/>
        <v>#NAME?</v>
      </c>
      <c r="F443" s="100" t="e">
        <f t="shared" ca="1" si="76"/>
        <v>#NAME?</v>
      </c>
      <c r="G443" s="100" t="e">
        <f t="shared" ca="1" si="77"/>
        <v>#NAME?</v>
      </c>
      <c r="H443" s="100" t="e">
        <f t="shared" ca="1" si="78"/>
        <v>#NAME?</v>
      </c>
      <c r="I443" s="100" t="e">
        <f t="shared" ca="1" si="79"/>
        <v>#NAME?</v>
      </c>
      <c r="J443" s="100" t="e">
        <f t="shared" ca="1" si="85"/>
        <v>#NAME?</v>
      </c>
      <c r="K443" s="100" t="e">
        <f t="shared" ca="1" si="80"/>
        <v>#NAME?</v>
      </c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 spans="1:26">
      <c r="A444" s="100" t="e">
        <f ca="1">IFERROR(__xludf.DUMMYFUNCTION("""COMPUTED_VALUE"""),58783779)</f>
        <v>#NAME?</v>
      </c>
      <c r="B444" s="100" t="e">
        <f ca="1">IFERROR(__xludf.DUMMYFUNCTION("""COMPUTED_VALUE"""),"BCHSVTUSD")</f>
        <v>#NAME?</v>
      </c>
      <c r="C444" s="100" t="e">
        <f t="shared" ca="1" si="86"/>
        <v>#NAME?</v>
      </c>
      <c r="D444" s="100" t="e">
        <f t="shared" ca="1" si="87"/>
        <v>#NAME?</v>
      </c>
      <c r="E444" s="100" t="e">
        <f t="shared" ca="1" si="87"/>
        <v>#NAME?</v>
      </c>
      <c r="F444" s="100" t="e">
        <f t="shared" ca="1" si="76"/>
        <v>#NAME?</v>
      </c>
      <c r="G444" s="100" t="e">
        <f t="shared" ca="1" si="77"/>
        <v>#NAME?</v>
      </c>
      <c r="H444" s="100" t="e">
        <f t="shared" ca="1" si="78"/>
        <v>#NAME?</v>
      </c>
      <c r="I444" s="100" t="e">
        <f t="shared" ca="1" si="79"/>
        <v>#NAME?</v>
      </c>
      <c r="J444" s="100" t="e">
        <f t="shared" ca="1" si="85"/>
        <v>#NAME?</v>
      </c>
      <c r="K444" s="100" t="e">
        <f t="shared" ca="1" si="80"/>
        <v>#NAME?</v>
      </c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 spans="1:26">
      <c r="A445" s="100" t="e">
        <f ca="1">IFERROR(__xludf.DUMMYFUNCTION("""COMPUTED_VALUE"""),58783780)</f>
        <v>#NAME?</v>
      </c>
      <c r="B445" s="100" t="e">
        <f ca="1">IFERROR(__xludf.DUMMYFUNCTION("""COMPUTED_VALUE"""),"BCHSVPAX")</f>
        <v>#NAME?</v>
      </c>
      <c r="C445" s="100" t="e">
        <f t="shared" ca="1" si="86"/>
        <v>#NAME?</v>
      </c>
      <c r="D445" s="100" t="e">
        <f t="shared" ca="1" si="87"/>
        <v>#NAME?</v>
      </c>
      <c r="E445" s="100" t="e">
        <f t="shared" ca="1" si="87"/>
        <v>#NAME?</v>
      </c>
      <c r="F445" s="100" t="e">
        <f t="shared" ca="1" si="76"/>
        <v>#NAME?</v>
      </c>
      <c r="G445" s="100" t="e">
        <f t="shared" ca="1" si="77"/>
        <v>#NAME?</v>
      </c>
      <c r="H445" s="100" t="e">
        <f t="shared" ca="1" si="78"/>
        <v>#NAME?</v>
      </c>
      <c r="I445" s="100" t="e">
        <f t="shared" ca="1" si="79"/>
        <v>#NAME?</v>
      </c>
      <c r="J445" s="100" t="e">
        <f t="shared" ca="1" si="85"/>
        <v>#NAME?</v>
      </c>
      <c r="K445" s="100" t="e">
        <f t="shared" ca="1" si="80"/>
        <v>#NAME?</v>
      </c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 spans="1:26">
      <c r="A446" s="100" t="e">
        <f ca="1">IFERROR(__xludf.DUMMYFUNCTION("""COMPUTED_VALUE"""),58783781)</f>
        <v>#NAME?</v>
      </c>
      <c r="B446" s="100" t="e">
        <f ca="1">IFERROR(__xludf.DUMMYFUNCTION("""COMPUTED_VALUE"""),"BCHSVUSDC")</f>
        <v>#NAME?</v>
      </c>
      <c r="C446" s="100" t="e">
        <f t="shared" ca="1" si="86"/>
        <v>#NAME?</v>
      </c>
      <c r="D446" s="100" t="e">
        <f t="shared" ca="1" si="87"/>
        <v>#NAME?</v>
      </c>
      <c r="E446" s="100" t="e">
        <f t="shared" ca="1" si="87"/>
        <v>#NAME?</v>
      </c>
      <c r="F446" s="100" t="e">
        <f t="shared" ca="1" si="76"/>
        <v>#NAME?</v>
      </c>
      <c r="G446" s="100" t="e">
        <f t="shared" ca="1" si="77"/>
        <v>#NAME?</v>
      </c>
      <c r="H446" s="100" t="e">
        <f t="shared" ca="1" si="78"/>
        <v>#NAME?</v>
      </c>
      <c r="I446" s="100" t="e">
        <f t="shared" ca="1" si="79"/>
        <v>#NAME?</v>
      </c>
      <c r="J446" s="100" t="e">
        <f t="shared" ca="1" si="85"/>
        <v>#NAME?</v>
      </c>
      <c r="K446" s="100" t="e">
        <f t="shared" ca="1" si="80"/>
        <v>#NAME?</v>
      </c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 spans="1:26">
      <c r="A447" s="100" t="e">
        <f ca="1">IFERROR(__xludf.DUMMYFUNCTION("""COMPUTED_VALUE"""),58783782)</f>
        <v>#NAME?</v>
      </c>
      <c r="B447" s="100" t="e">
        <f ca="1">IFERROR(__xludf.DUMMYFUNCTION("""COMPUTED_VALUE"""),"LTCTUSD")</f>
        <v>#NAME?</v>
      </c>
      <c r="C447" s="100" t="e">
        <f ca="1">IFERROR(__xludf.DUMMYFUNCTION("""COMPUTED_VALUE"""),"83.07000000")</f>
        <v>#NAME?</v>
      </c>
      <c r="D447" s="100" t="e">
        <f t="shared" ca="1" si="87"/>
        <v>#NAME?</v>
      </c>
      <c r="E447" s="100" t="e">
        <f t="shared" ca="1" si="87"/>
        <v>#NAME?</v>
      </c>
      <c r="F447" s="100" t="e">
        <f t="shared" ca="1" si="76"/>
        <v>#NAME?</v>
      </c>
      <c r="G447" s="100" t="e">
        <f t="shared" ca="1" si="77"/>
        <v>#NAME?</v>
      </c>
      <c r="H447" s="100" t="e">
        <f t="shared" ca="1" si="78"/>
        <v>#NAME?</v>
      </c>
      <c r="I447" s="100" t="e">
        <f t="shared" ca="1" si="79"/>
        <v>#NAME?</v>
      </c>
      <c r="J447" s="100" t="e">
        <f t="shared" ca="1" si="85"/>
        <v>#NAME?</v>
      </c>
      <c r="K447" s="100" t="e">
        <f t="shared" ca="1" si="80"/>
        <v>#NAME?</v>
      </c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 spans="1:26">
      <c r="A448" s="100" t="e">
        <f ca="1">IFERROR(__xludf.DUMMYFUNCTION("""COMPUTED_VALUE"""),58783783)</f>
        <v>#NAME?</v>
      </c>
      <c r="B448" s="100" t="e">
        <f ca="1">IFERROR(__xludf.DUMMYFUNCTION("""COMPUTED_VALUE"""),"LTCPAX")</f>
        <v>#NAME?</v>
      </c>
      <c r="C448" s="100" t="e">
        <f ca="1">IFERROR(__xludf.DUMMYFUNCTION("""COMPUTED_VALUE"""),"0.00000000")</f>
        <v>#NAME?</v>
      </c>
      <c r="D448" s="100" t="e">
        <f t="shared" ca="1" si="87"/>
        <v>#NAME?</v>
      </c>
      <c r="E448" s="100" t="e">
        <f t="shared" ca="1" si="87"/>
        <v>#NAME?</v>
      </c>
      <c r="F448" s="100" t="e">
        <f t="shared" ca="1" si="76"/>
        <v>#NAME?</v>
      </c>
      <c r="G448" s="100" t="e">
        <f t="shared" ca="1" si="77"/>
        <v>#NAME?</v>
      </c>
      <c r="H448" s="100" t="e">
        <f t="shared" ca="1" si="78"/>
        <v>#NAME?</v>
      </c>
      <c r="I448" s="100" t="e">
        <f t="shared" ca="1" si="79"/>
        <v>#NAME?</v>
      </c>
      <c r="J448" s="100" t="e">
        <f t="shared" ca="1" si="85"/>
        <v>#NAME?</v>
      </c>
      <c r="K448" s="100" t="e">
        <f t="shared" ca="1" si="80"/>
        <v>#NAME?</v>
      </c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 spans="1:26">
      <c r="A449" s="100" t="e">
        <f ca="1">IFERROR(__xludf.DUMMYFUNCTION("""COMPUTED_VALUE"""),58783784)</f>
        <v>#NAME?</v>
      </c>
      <c r="B449" s="100" t="e">
        <f ca="1">IFERROR(__xludf.DUMMYFUNCTION("""COMPUTED_VALUE"""),"LTCUSDC")</f>
        <v>#NAME?</v>
      </c>
      <c r="C449" s="100" t="e">
        <f ca="1">IFERROR(__xludf.DUMMYFUNCTION("""COMPUTED_VALUE"""),"79.39000000")</f>
        <v>#NAME?</v>
      </c>
      <c r="D449" s="100" t="e">
        <f t="shared" ca="1" si="87"/>
        <v>#NAME?</v>
      </c>
      <c r="E449" s="100" t="e">
        <f t="shared" ca="1" si="87"/>
        <v>#NAME?</v>
      </c>
      <c r="F449" s="100" t="e">
        <f t="shared" ca="1" si="76"/>
        <v>#NAME?</v>
      </c>
      <c r="G449" s="100" t="e">
        <f t="shared" ca="1" si="77"/>
        <v>#NAME?</v>
      </c>
      <c r="H449" s="100" t="e">
        <f t="shared" ca="1" si="78"/>
        <v>#NAME?</v>
      </c>
      <c r="I449" s="100" t="e">
        <f t="shared" ca="1" si="79"/>
        <v>#NAME?</v>
      </c>
      <c r="J449" s="100" t="e">
        <f ca="1">IFERROR(__xludf.DUMMYFUNCTION("""COMPUTED_VALUE"""),"-1.842")</f>
        <v>#NAME?</v>
      </c>
      <c r="K449" s="100" t="e">
        <f t="shared" ca="1" si="80"/>
        <v>#NAME?</v>
      </c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 spans="1:26">
      <c r="A450" s="100" t="e">
        <f ca="1">IFERROR(__xludf.DUMMYFUNCTION("""COMPUTED_VALUE"""),58783785)</f>
        <v>#NAME?</v>
      </c>
      <c r="B450" s="100" t="e">
        <f ca="1">IFERROR(__xludf.DUMMYFUNCTION("""COMPUTED_VALUE"""),"TRXPAX")</f>
        <v>#NAME?</v>
      </c>
      <c r="C450" s="100" t="e">
        <f ca="1">IFERROR(__xludf.DUMMYFUNCTION("""COMPUTED_VALUE"""),"0.00000000")</f>
        <v>#NAME?</v>
      </c>
      <c r="D450" s="100" t="e">
        <f t="shared" ca="1" si="87"/>
        <v>#NAME?</v>
      </c>
      <c r="E450" s="100" t="e">
        <f t="shared" ca="1" si="87"/>
        <v>#NAME?</v>
      </c>
      <c r="F450" s="100" t="e">
        <f t="shared" ref="F450:F513" ca="1" si="88">IFERROR(__xludf.DUMMYFUNCTION("""COMPUTED_VALUE"""),20200)</f>
        <v>#NAME?</v>
      </c>
      <c r="G450" s="100" t="e">
        <f t="shared" ref="G450:G513" ca="1" si="89">IFERROR(__xludf.DUMMYFUNCTION("""COMPUTED_VALUE"""),2885)</f>
        <v>#NAME?</v>
      </c>
      <c r="H450" s="100" t="e">
        <f t="shared" ref="H450:H513" ca="1" si="90">IFERROR(__xludf.DUMMYFUNCTION("""COMPUTED_VALUE"""),663)</f>
        <v>#NAME?</v>
      </c>
      <c r="I450" s="100" t="e">
        <f t="shared" ref="I450:I513" ca="1" si="91">IFERROR(__xludf.DUMMYFUNCTION("""COMPUTED_VALUE"""),5817721)</f>
        <v>#NAME?</v>
      </c>
      <c r="J450" s="100" t="e">
        <f ca="1">IFERROR(__xludf.DUMMYFUNCTION("""COMPUTED_VALUE"""),"0")</f>
        <v>#NAME?</v>
      </c>
      <c r="K450" s="100" t="e">
        <f t="shared" ref="K450:K513" ca="1" si="92">IFERROR(__xludf.DUMMYFUNCTION("""COMPUTED_VALUE"""),"22.04.2025 13:05:01")</f>
        <v>#NAME?</v>
      </c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 spans="1:26">
      <c r="A451" s="100" t="e">
        <f ca="1">IFERROR(__xludf.DUMMYFUNCTION("""COMPUTED_VALUE"""),58783786)</f>
        <v>#NAME?</v>
      </c>
      <c r="B451" s="100" t="e">
        <f ca="1">IFERROR(__xludf.DUMMYFUNCTION("""COMPUTED_VALUE"""),"TRXUSDC")</f>
        <v>#NAME?</v>
      </c>
      <c r="C451" s="100" t="e">
        <f ca="1">IFERROR(__xludf.DUMMYFUNCTION("""COMPUTED_VALUE"""),"0.24820000")</f>
        <v>#NAME?</v>
      </c>
      <c r="D451" s="100" t="e">
        <f t="shared" ca="1" si="87"/>
        <v>#NAME?</v>
      </c>
      <c r="E451" s="100" t="e">
        <f t="shared" ca="1" si="87"/>
        <v>#NAME?</v>
      </c>
      <c r="F451" s="100" t="e">
        <f t="shared" ca="1" si="88"/>
        <v>#NAME?</v>
      </c>
      <c r="G451" s="100" t="e">
        <f t="shared" ca="1" si="89"/>
        <v>#NAME?</v>
      </c>
      <c r="H451" s="100" t="e">
        <f t="shared" ca="1" si="90"/>
        <v>#NAME?</v>
      </c>
      <c r="I451" s="100" t="e">
        <f t="shared" ca="1" si="91"/>
        <v>#NAME?</v>
      </c>
      <c r="J451" s="100" t="e">
        <f ca="1">IFERROR(__xludf.DUMMYFUNCTION("""COMPUTED_VALUE"""),"1.930")</f>
        <v>#NAME?</v>
      </c>
      <c r="K451" s="100" t="e">
        <f t="shared" ca="1" si="92"/>
        <v>#NAME?</v>
      </c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 spans="1:26">
      <c r="A452" s="100" t="e">
        <f ca="1">IFERROR(__xludf.DUMMYFUNCTION("""COMPUTED_VALUE"""),58783787)</f>
        <v>#NAME?</v>
      </c>
      <c r="B452" s="100" t="e">
        <f ca="1">IFERROR(__xludf.DUMMYFUNCTION("""COMPUTED_VALUE"""),"BTTBTC")</f>
        <v>#NAME?</v>
      </c>
      <c r="C452" s="100" t="e">
        <f t="shared" ref="C452:C464" ca="1" si="93">IFERROR(__xludf.DUMMYFUNCTION("""COMPUTED_VALUE"""),"0.00000000")</f>
        <v>#NAME?</v>
      </c>
      <c r="D452" s="100" t="e">
        <f t="shared" ca="1" si="87"/>
        <v>#NAME?</v>
      </c>
      <c r="E452" s="100" t="e">
        <f t="shared" ca="1" si="87"/>
        <v>#NAME?</v>
      </c>
      <c r="F452" s="100" t="e">
        <f t="shared" ca="1" si="88"/>
        <v>#NAME?</v>
      </c>
      <c r="G452" s="100" t="e">
        <f t="shared" ca="1" si="89"/>
        <v>#NAME?</v>
      </c>
      <c r="H452" s="100" t="e">
        <f t="shared" ca="1" si="90"/>
        <v>#NAME?</v>
      </c>
      <c r="I452" s="100" t="e">
        <f t="shared" ca="1" si="91"/>
        <v>#NAME?</v>
      </c>
      <c r="J452" s="100" t="e">
        <f t="shared" ref="J452:J464" ca="1" si="94">IFERROR(__xludf.DUMMYFUNCTION("""COMPUTED_VALUE"""),"0")</f>
        <v>#NAME?</v>
      </c>
      <c r="K452" s="100" t="e">
        <f t="shared" ca="1" si="92"/>
        <v>#NAME?</v>
      </c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 spans="1:26">
      <c r="A453" s="100" t="e">
        <f ca="1">IFERROR(__xludf.DUMMYFUNCTION("""COMPUTED_VALUE"""),58783788)</f>
        <v>#NAME?</v>
      </c>
      <c r="B453" s="100" t="e">
        <f ca="1">IFERROR(__xludf.DUMMYFUNCTION("""COMPUTED_VALUE"""),"BTTBNB")</f>
        <v>#NAME?</v>
      </c>
      <c r="C453" s="100" t="e">
        <f t="shared" ca="1" si="93"/>
        <v>#NAME?</v>
      </c>
      <c r="D453" s="100" t="e">
        <f t="shared" ca="1" si="87"/>
        <v>#NAME?</v>
      </c>
      <c r="E453" s="100" t="e">
        <f t="shared" ca="1" si="87"/>
        <v>#NAME?</v>
      </c>
      <c r="F453" s="100" t="e">
        <f t="shared" ca="1" si="88"/>
        <v>#NAME?</v>
      </c>
      <c r="G453" s="100" t="e">
        <f t="shared" ca="1" si="89"/>
        <v>#NAME?</v>
      </c>
      <c r="H453" s="100" t="e">
        <f t="shared" ca="1" si="90"/>
        <v>#NAME?</v>
      </c>
      <c r="I453" s="100" t="e">
        <f t="shared" ca="1" si="91"/>
        <v>#NAME?</v>
      </c>
      <c r="J453" s="100" t="e">
        <f t="shared" ca="1" si="94"/>
        <v>#NAME?</v>
      </c>
      <c r="K453" s="100" t="e">
        <f t="shared" ca="1" si="92"/>
        <v>#NAME?</v>
      </c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 spans="1:26">
      <c r="A454" s="100" t="e">
        <f ca="1">IFERROR(__xludf.DUMMYFUNCTION("""COMPUTED_VALUE"""),58783789)</f>
        <v>#NAME?</v>
      </c>
      <c r="B454" s="100" t="e">
        <f ca="1">IFERROR(__xludf.DUMMYFUNCTION("""COMPUTED_VALUE"""),"BTTUSDT")</f>
        <v>#NAME?</v>
      </c>
      <c r="C454" s="100" t="e">
        <f t="shared" ca="1" si="93"/>
        <v>#NAME?</v>
      </c>
      <c r="D454" s="100" t="e">
        <f t="shared" ca="1" si="87"/>
        <v>#NAME?</v>
      </c>
      <c r="E454" s="100" t="e">
        <f t="shared" ca="1" si="87"/>
        <v>#NAME?</v>
      </c>
      <c r="F454" s="100" t="e">
        <f t="shared" ca="1" si="88"/>
        <v>#NAME?</v>
      </c>
      <c r="G454" s="100" t="e">
        <f t="shared" ca="1" si="89"/>
        <v>#NAME?</v>
      </c>
      <c r="H454" s="100" t="e">
        <f t="shared" ca="1" si="90"/>
        <v>#NAME?</v>
      </c>
      <c r="I454" s="100" t="e">
        <f t="shared" ca="1" si="91"/>
        <v>#NAME?</v>
      </c>
      <c r="J454" s="100" t="e">
        <f t="shared" ca="1" si="94"/>
        <v>#NAME?</v>
      </c>
      <c r="K454" s="100" t="e">
        <f t="shared" ca="1" si="92"/>
        <v>#NAME?</v>
      </c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 spans="1:26">
      <c r="A455" s="100" t="e">
        <f ca="1">IFERROR(__xludf.DUMMYFUNCTION("""COMPUTED_VALUE"""),58783790)</f>
        <v>#NAME?</v>
      </c>
      <c r="B455" s="100" t="e">
        <f ca="1">IFERROR(__xludf.DUMMYFUNCTION("""COMPUTED_VALUE"""),"BNBUSDS")</f>
        <v>#NAME?</v>
      </c>
      <c r="C455" s="100" t="e">
        <f t="shared" ca="1" si="93"/>
        <v>#NAME?</v>
      </c>
      <c r="D455" s="100" t="e">
        <f t="shared" ca="1" si="87"/>
        <v>#NAME?</v>
      </c>
      <c r="E455" s="100" t="e">
        <f t="shared" ca="1" si="87"/>
        <v>#NAME?</v>
      </c>
      <c r="F455" s="100" t="e">
        <f t="shared" ca="1" si="88"/>
        <v>#NAME?</v>
      </c>
      <c r="G455" s="100" t="e">
        <f t="shared" ca="1" si="89"/>
        <v>#NAME?</v>
      </c>
      <c r="H455" s="100" t="e">
        <f t="shared" ca="1" si="90"/>
        <v>#NAME?</v>
      </c>
      <c r="I455" s="100" t="e">
        <f t="shared" ca="1" si="91"/>
        <v>#NAME?</v>
      </c>
      <c r="J455" s="100" t="e">
        <f t="shared" ca="1" si="94"/>
        <v>#NAME?</v>
      </c>
      <c r="K455" s="100" t="e">
        <f t="shared" ca="1" si="92"/>
        <v>#NAME?</v>
      </c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 spans="1:26">
      <c r="A456" s="100" t="e">
        <f ca="1">IFERROR(__xludf.DUMMYFUNCTION("""COMPUTED_VALUE"""),58783791)</f>
        <v>#NAME?</v>
      </c>
      <c r="B456" s="100" t="e">
        <f ca="1">IFERROR(__xludf.DUMMYFUNCTION("""COMPUTED_VALUE"""),"BTCUSDS")</f>
        <v>#NAME?</v>
      </c>
      <c r="C456" s="100" t="e">
        <f t="shared" ca="1" si="93"/>
        <v>#NAME?</v>
      </c>
      <c r="D456" s="100" t="e">
        <f t="shared" ca="1" si="87"/>
        <v>#NAME?</v>
      </c>
      <c r="E456" s="100" t="e">
        <f t="shared" ca="1" si="87"/>
        <v>#NAME?</v>
      </c>
      <c r="F456" s="100" t="e">
        <f t="shared" ca="1" si="88"/>
        <v>#NAME?</v>
      </c>
      <c r="G456" s="100" t="e">
        <f t="shared" ca="1" si="89"/>
        <v>#NAME?</v>
      </c>
      <c r="H456" s="100" t="e">
        <f t="shared" ca="1" si="90"/>
        <v>#NAME?</v>
      </c>
      <c r="I456" s="100" t="e">
        <f t="shared" ca="1" si="91"/>
        <v>#NAME?</v>
      </c>
      <c r="J456" s="100" t="e">
        <f t="shared" ca="1" si="94"/>
        <v>#NAME?</v>
      </c>
      <c r="K456" s="100" t="e">
        <f t="shared" ca="1" si="92"/>
        <v>#NAME?</v>
      </c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 spans="1:26">
      <c r="A457" s="100" t="e">
        <f ca="1">IFERROR(__xludf.DUMMYFUNCTION("""COMPUTED_VALUE"""),58783792)</f>
        <v>#NAME?</v>
      </c>
      <c r="B457" s="100" t="e">
        <f ca="1">IFERROR(__xludf.DUMMYFUNCTION("""COMPUTED_VALUE"""),"USDSUSDT")</f>
        <v>#NAME?</v>
      </c>
      <c r="C457" s="100" t="e">
        <f t="shared" ca="1" si="93"/>
        <v>#NAME?</v>
      </c>
      <c r="D457" s="100" t="e">
        <f t="shared" ca="1" si="87"/>
        <v>#NAME?</v>
      </c>
      <c r="E457" s="100" t="e">
        <f t="shared" ca="1" si="87"/>
        <v>#NAME?</v>
      </c>
      <c r="F457" s="100" t="e">
        <f t="shared" ca="1" si="88"/>
        <v>#NAME?</v>
      </c>
      <c r="G457" s="100" t="e">
        <f t="shared" ca="1" si="89"/>
        <v>#NAME?</v>
      </c>
      <c r="H457" s="100" t="e">
        <f t="shared" ca="1" si="90"/>
        <v>#NAME?</v>
      </c>
      <c r="I457" s="100" t="e">
        <f t="shared" ca="1" si="91"/>
        <v>#NAME?</v>
      </c>
      <c r="J457" s="100" t="e">
        <f t="shared" ca="1" si="94"/>
        <v>#NAME?</v>
      </c>
      <c r="K457" s="100" t="e">
        <f t="shared" ca="1" si="92"/>
        <v>#NAME?</v>
      </c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 spans="1:26">
      <c r="A458" s="100" t="e">
        <f ca="1">IFERROR(__xludf.DUMMYFUNCTION("""COMPUTED_VALUE"""),58783793)</f>
        <v>#NAME?</v>
      </c>
      <c r="B458" s="100" t="e">
        <f ca="1">IFERROR(__xludf.DUMMYFUNCTION("""COMPUTED_VALUE"""),"USDSPAX")</f>
        <v>#NAME?</v>
      </c>
      <c r="C458" s="100" t="e">
        <f t="shared" ca="1" si="93"/>
        <v>#NAME?</v>
      </c>
      <c r="D458" s="100" t="e">
        <f t="shared" ca="1" si="87"/>
        <v>#NAME?</v>
      </c>
      <c r="E458" s="100" t="e">
        <f t="shared" ca="1" si="87"/>
        <v>#NAME?</v>
      </c>
      <c r="F458" s="100" t="e">
        <f t="shared" ca="1" si="88"/>
        <v>#NAME?</v>
      </c>
      <c r="G458" s="100" t="e">
        <f t="shared" ca="1" si="89"/>
        <v>#NAME?</v>
      </c>
      <c r="H458" s="100" t="e">
        <f t="shared" ca="1" si="90"/>
        <v>#NAME?</v>
      </c>
      <c r="I458" s="100" t="e">
        <f t="shared" ca="1" si="91"/>
        <v>#NAME?</v>
      </c>
      <c r="J458" s="100" t="e">
        <f t="shared" ca="1" si="94"/>
        <v>#NAME?</v>
      </c>
      <c r="K458" s="100" t="e">
        <f t="shared" ca="1" si="92"/>
        <v>#NAME?</v>
      </c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 spans="1:26">
      <c r="A459" s="100" t="e">
        <f ca="1">IFERROR(__xludf.DUMMYFUNCTION("""COMPUTED_VALUE"""),58783794)</f>
        <v>#NAME?</v>
      </c>
      <c r="B459" s="100" t="e">
        <f ca="1">IFERROR(__xludf.DUMMYFUNCTION("""COMPUTED_VALUE"""),"USDSTUSD")</f>
        <v>#NAME?</v>
      </c>
      <c r="C459" s="100" t="e">
        <f t="shared" ca="1" si="93"/>
        <v>#NAME?</v>
      </c>
      <c r="D459" s="100" t="e">
        <f t="shared" ca="1" si="87"/>
        <v>#NAME?</v>
      </c>
      <c r="E459" s="100" t="e">
        <f t="shared" ca="1" si="87"/>
        <v>#NAME?</v>
      </c>
      <c r="F459" s="100" t="e">
        <f t="shared" ca="1" si="88"/>
        <v>#NAME?</v>
      </c>
      <c r="G459" s="100" t="e">
        <f t="shared" ca="1" si="89"/>
        <v>#NAME?</v>
      </c>
      <c r="H459" s="100" t="e">
        <f t="shared" ca="1" si="90"/>
        <v>#NAME?</v>
      </c>
      <c r="I459" s="100" t="e">
        <f t="shared" ca="1" si="91"/>
        <v>#NAME?</v>
      </c>
      <c r="J459" s="100" t="e">
        <f t="shared" ca="1" si="94"/>
        <v>#NAME?</v>
      </c>
      <c r="K459" s="100" t="e">
        <f t="shared" ca="1" si="92"/>
        <v>#NAME?</v>
      </c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 spans="1:26">
      <c r="A460" s="100" t="e">
        <f ca="1">IFERROR(__xludf.DUMMYFUNCTION("""COMPUTED_VALUE"""),58783795)</f>
        <v>#NAME?</v>
      </c>
      <c r="B460" s="100" t="e">
        <f ca="1">IFERROR(__xludf.DUMMYFUNCTION("""COMPUTED_VALUE"""),"USDSUSDC")</f>
        <v>#NAME?</v>
      </c>
      <c r="C460" s="100" t="e">
        <f t="shared" ca="1" si="93"/>
        <v>#NAME?</v>
      </c>
      <c r="D460" s="100" t="e">
        <f t="shared" ca="1" si="87"/>
        <v>#NAME?</v>
      </c>
      <c r="E460" s="100" t="e">
        <f t="shared" ca="1" si="87"/>
        <v>#NAME?</v>
      </c>
      <c r="F460" s="100" t="e">
        <f t="shared" ca="1" si="88"/>
        <v>#NAME?</v>
      </c>
      <c r="G460" s="100" t="e">
        <f t="shared" ca="1" si="89"/>
        <v>#NAME?</v>
      </c>
      <c r="H460" s="100" t="e">
        <f t="shared" ca="1" si="90"/>
        <v>#NAME?</v>
      </c>
      <c r="I460" s="100" t="e">
        <f t="shared" ca="1" si="91"/>
        <v>#NAME?</v>
      </c>
      <c r="J460" s="100" t="e">
        <f t="shared" ca="1" si="94"/>
        <v>#NAME?</v>
      </c>
      <c r="K460" s="100" t="e">
        <f t="shared" ca="1" si="92"/>
        <v>#NAME?</v>
      </c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 spans="1:26">
      <c r="A461" s="100" t="e">
        <f ca="1">IFERROR(__xludf.DUMMYFUNCTION("""COMPUTED_VALUE"""),58783796)</f>
        <v>#NAME?</v>
      </c>
      <c r="B461" s="100" t="e">
        <f ca="1">IFERROR(__xludf.DUMMYFUNCTION("""COMPUTED_VALUE"""),"BTTPAX")</f>
        <v>#NAME?</v>
      </c>
      <c r="C461" s="100" t="e">
        <f t="shared" ca="1" si="93"/>
        <v>#NAME?</v>
      </c>
      <c r="D461" s="100" t="e">
        <f t="shared" ca="1" si="87"/>
        <v>#NAME?</v>
      </c>
      <c r="E461" s="100" t="e">
        <f t="shared" ca="1" si="87"/>
        <v>#NAME?</v>
      </c>
      <c r="F461" s="100" t="e">
        <f t="shared" ca="1" si="88"/>
        <v>#NAME?</v>
      </c>
      <c r="G461" s="100" t="e">
        <f t="shared" ca="1" si="89"/>
        <v>#NAME?</v>
      </c>
      <c r="H461" s="100" t="e">
        <f t="shared" ca="1" si="90"/>
        <v>#NAME?</v>
      </c>
      <c r="I461" s="100" t="e">
        <f t="shared" ca="1" si="91"/>
        <v>#NAME?</v>
      </c>
      <c r="J461" s="100" t="e">
        <f t="shared" ca="1" si="94"/>
        <v>#NAME?</v>
      </c>
      <c r="K461" s="100" t="e">
        <f t="shared" ca="1" si="92"/>
        <v>#NAME?</v>
      </c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 spans="1:26">
      <c r="A462" s="100" t="e">
        <f ca="1">IFERROR(__xludf.DUMMYFUNCTION("""COMPUTED_VALUE"""),58783797)</f>
        <v>#NAME?</v>
      </c>
      <c r="B462" s="100" t="e">
        <f ca="1">IFERROR(__xludf.DUMMYFUNCTION("""COMPUTED_VALUE"""),"BTTTUSD")</f>
        <v>#NAME?</v>
      </c>
      <c r="C462" s="100" t="e">
        <f t="shared" ca="1" si="93"/>
        <v>#NAME?</v>
      </c>
      <c r="D462" s="100" t="e">
        <f t="shared" ref="D462:E481" ca="1" si="95">IFERROR(__xludf.DUMMYFUNCTION("""COMPUTED_VALUE"""),"-")</f>
        <v>#NAME?</v>
      </c>
      <c r="E462" s="100" t="e">
        <f t="shared" ca="1" si="95"/>
        <v>#NAME?</v>
      </c>
      <c r="F462" s="100" t="e">
        <f t="shared" ca="1" si="88"/>
        <v>#NAME?</v>
      </c>
      <c r="G462" s="100" t="e">
        <f t="shared" ca="1" si="89"/>
        <v>#NAME?</v>
      </c>
      <c r="H462" s="100" t="e">
        <f t="shared" ca="1" si="90"/>
        <v>#NAME?</v>
      </c>
      <c r="I462" s="100" t="e">
        <f t="shared" ca="1" si="91"/>
        <v>#NAME?</v>
      </c>
      <c r="J462" s="100" t="e">
        <f t="shared" ca="1" si="94"/>
        <v>#NAME?</v>
      </c>
      <c r="K462" s="100" t="e">
        <f t="shared" ca="1" si="92"/>
        <v>#NAME?</v>
      </c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 spans="1:26">
      <c r="A463" s="100" t="e">
        <f ca="1">IFERROR(__xludf.DUMMYFUNCTION("""COMPUTED_VALUE"""),58783798)</f>
        <v>#NAME?</v>
      </c>
      <c r="B463" s="100" t="e">
        <f ca="1">IFERROR(__xludf.DUMMYFUNCTION("""COMPUTED_VALUE"""),"BTTUSDC")</f>
        <v>#NAME?</v>
      </c>
      <c r="C463" s="100" t="e">
        <f t="shared" ca="1" si="93"/>
        <v>#NAME?</v>
      </c>
      <c r="D463" s="100" t="e">
        <f t="shared" ca="1" si="95"/>
        <v>#NAME?</v>
      </c>
      <c r="E463" s="100" t="e">
        <f t="shared" ca="1" si="95"/>
        <v>#NAME?</v>
      </c>
      <c r="F463" s="100" t="e">
        <f t="shared" ca="1" si="88"/>
        <v>#NAME?</v>
      </c>
      <c r="G463" s="100" t="e">
        <f t="shared" ca="1" si="89"/>
        <v>#NAME?</v>
      </c>
      <c r="H463" s="100" t="e">
        <f t="shared" ca="1" si="90"/>
        <v>#NAME?</v>
      </c>
      <c r="I463" s="100" t="e">
        <f t="shared" ca="1" si="91"/>
        <v>#NAME?</v>
      </c>
      <c r="J463" s="100" t="e">
        <f t="shared" ca="1" si="94"/>
        <v>#NAME?</v>
      </c>
      <c r="K463" s="100" t="e">
        <f t="shared" ca="1" si="92"/>
        <v>#NAME?</v>
      </c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 spans="1:26">
      <c r="A464" s="100" t="e">
        <f ca="1">IFERROR(__xludf.DUMMYFUNCTION("""COMPUTED_VALUE"""),58783799)</f>
        <v>#NAME?</v>
      </c>
      <c r="B464" s="100" t="e">
        <f ca="1">IFERROR(__xludf.DUMMYFUNCTION("""COMPUTED_VALUE"""),"ONGBNB")</f>
        <v>#NAME?</v>
      </c>
      <c r="C464" s="100" t="e">
        <f t="shared" ca="1" si="93"/>
        <v>#NAME?</v>
      </c>
      <c r="D464" s="100" t="e">
        <f t="shared" ca="1" si="95"/>
        <v>#NAME?</v>
      </c>
      <c r="E464" s="100" t="e">
        <f t="shared" ca="1" si="95"/>
        <v>#NAME?</v>
      </c>
      <c r="F464" s="100" t="e">
        <f t="shared" ca="1" si="88"/>
        <v>#NAME?</v>
      </c>
      <c r="G464" s="100" t="e">
        <f t="shared" ca="1" si="89"/>
        <v>#NAME?</v>
      </c>
      <c r="H464" s="100" t="e">
        <f t="shared" ca="1" si="90"/>
        <v>#NAME?</v>
      </c>
      <c r="I464" s="100" t="e">
        <f t="shared" ca="1" si="91"/>
        <v>#NAME?</v>
      </c>
      <c r="J464" s="100" t="e">
        <f t="shared" ca="1" si="94"/>
        <v>#NAME?</v>
      </c>
      <c r="K464" s="100" t="e">
        <f t="shared" ca="1" si="92"/>
        <v>#NAME?</v>
      </c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 spans="1:26">
      <c r="A465" s="100" t="e">
        <f ca="1">IFERROR(__xludf.DUMMYFUNCTION("""COMPUTED_VALUE"""),58783800)</f>
        <v>#NAME?</v>
      </c>
      <c r="B465" s="100" t="e">
        <f ca="1">IFERROR(__xludf.DUMMYFUNCTION("""COMPUTED_VALUE"""),"ONGBTC")</f>
        <v>#NAME?</v>
      </c>
      <c r="C465" s="100" t="e">
        <f ca="1">IFERROR(__xludf.DUMMYFUNCTION("""COMPUTED_VALUE"""),"0.00000224")</f>
        <v>#NAME?</v>
      </c>
      <c r="D465" s="100" t="e">
        <f t="shared" ca="1" si="95"/>
        <v>#NAME?</v>
      </c>
      <c r="E465" s="100" t="e">
        <f t="shared" ca="1" si="95"/>
        <v>#NAME?</v>
      </c>
      <c r="F465" s="100" t="e">
        <f t="shared" ca="1" si="88"/>
        <v>#NAME?</v>
      </c>
      <c r="G465" s="100" t="e">
        <f t="shared" ca="1" si="89"/>
        <v>#NAME?</v>
      </c>
      <c r="H465" s="100" t="e">
        <f t="shared" ca="1" si="90"/>
        <v>#NAME?</v>
      </c>
      <c r="I465" s="100" t="e">
        <f t="shared" ca="1" si="91"/>
        <v>#NAME?</v>
      </c>
      <c r="J465" s="100" t="e">
        <f ca="1">IFERROR(__xludf.DUMMYFUNCTION("""COMPUTED_VALUE"""),"-3.448")</f>
        <v>#NAME?</v>
      </c>
      <c r="K465" s="100" t="e">
        <f t="shared" ca="1" si="92"/>
        <v>#NAME?</v>
      </c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 spans="1:26">
      <c r="A466" s="100" t="e">
        <f ca="1">IFERROR(__xludf.DUMMYFUNCTION("""COMPUTED_VALUE"""),58783801)</f>
        <v>#NAME?</v>
      </c>
      <c r="B466" s="100" t="e">
        <f ca="1">IFERROR(__xludf.DUMMYFUNCTION("""COMPUTED_VALUE"""),"ONGUSDT")</f>
        <v>#NAME?</v>
      </c>
      <c r="C466" s="100" t="e">
        <f ca="1">IFERROR(__xludf.DUMMYFUNCTION("""COMPUTED_VALUE"""),"0.19800000")</f>
        <v>#NAME?</v>
      </c>
      <c r="D466" s="100" t="e">
        <f t="shared" ca="1" si="95"/>
        <v>#NAME?</v>
      </c>
      <c r="E466" s="100" t="e">
        <f t="shared" ca="1" si="95"/>
        <v>#NAME?</v>
      </c>
      <c r="F466" s="100" t="e">
        <f t="shared" ca="1" si="88"/>
        <v>#NAME?</v>
      </c>
      <c r="G466" s="100" t="e">
        <f t="shared" ca="1" si="89"/>
        <v>#NAME?</v>
      </c>
      <c r="H466" s="100" t="e">
        <f t="shared" ca="1" si="90"/>
        <v>#NAME?</v>
      </c>
      <c r="I466" s="100" t="e">
        <f t="shared" ca="1" si="91"/>
        <v>#NAME?</v>
      </c>
      <c r="J466" s="100" t="e">
        <f ca="1">IFERROR(__xludf.DUMMYFUNCTION("""COMPUTED_VALUE"""),"-2.270")</f>
        <v>#NAME?</v>
      </c>
      <c r="K466" s="100" t="e">
        <f t="shared" ca="1" si="92"/>
        <v>#NAME?</v>
      </c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 spans="1:26">
      <c r="A467" s="100" t="e">
        <f ca="1">IFERROR(__xludf.DUMMYFUNCTION("""COMPUTED_VALUE"""),58783802)</f>
        <v>#NAME?</v>
      </c>
      <c r="B467" s="100" t="e">
        <f ca="1">IFERROR(__xludf.DUMMYFUNCTION("""COMPUTED_VALUE"""),"HOTBNB")</f>
        <v>#NAME?</v>
      </c>
      <c r="C467" s="100" t="e">
        <f ca="1">IFERROR(__xludf.DUMMYFUNCTION("""COMPUTED_VALUE"""),"0.00000000")</f>
        <v>#NAME?</v>
      </c>
      <c r="D467" s="100" t="e">
        <f t="shared" ca="1" si="95"/>
        <v>#NAME?</v>
      </c>
      <c r="E467" s="100" t="e">
        <f t="shared" ca="1" si="95"/>
        <v>#NAME?</v>
      </c>
      <c r="F467" s="100" t="e">
        <f t="shared" ca="1" si="88"/>
        <v>#NAME?</v>
      </c>
      <c r="G467" s="100" t="e">
        <f t="shared" ca="1" si="89"/>
        <v>#NAME?</v>
      </c>
      <c r="H467" s="100" t="e">
        <f t="shared" ca="1" si="90"/>
        <v>#NAME?</v>
      </c>
      <c r="I467" s="100" t="e">
        <f t="shared" ca="1" si="91"/>
        <v>#NAME?</v>
      </c>
      <c r="J467" s="100" t="e">
        <f ca="1">IFERROR(__xludf.DUMMYFUNCTION("""COMPUTED_VALUE"""),"0")</f>
        <v>#NAME?</v>
      </c>
      <c r="K467" s="100" t="e">
        <f t="shared" ca="1" si="92"/>
        <v>#NAME?</v>
      </c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 spans="1:26">
      <c r="A468" s="100" t="e">
        <f ca="1">IFERROR(__xludf.DUMMYFUNCTION("""COMPUTED_VALUE"""),58783803)</f>
        <v>#NAME?</v>
      </c>
      <c r="B468" s="100" t="e">
        <f ca="1">IFERROR(__xludf.DUMMYFUNCTION("""COMPUTED_VALUE"""),"HOTUSDT")</f>
        <v>#NAME?</v>
      </c>
      <c r="C468" s="100" t="e">
        <f ca="1">IFERROR(__xludf.DUMMYFUNCTION("""COMPUTED_VALUE"""),"0.00098200")</f>
        <v>#NAME?</v>
      </c>
      <c r="D468" s="100" t="e">
        <f t="shared" ca="1" si="95"/>
        <v>#NAME?</v>
      </c>
      <c r="E468" s="100" t="e">
        <f t="shared" ca="1" si="95"/>
        <v>#NAME?</v>
      </c>
      <c r="F468" s="100" t="e">
        <f t="shared" ca="1" si="88"/>
        <v>#NAME?</v>
      </c>
      <c r="G468" s="100" t="e">
        <f t="shared" ca="1" si="89"/>
        <v>#NAME?</v>
      </c>
      <c r="H468" s="100" t="e">
        <f t="shared" ca="1" si="90"/>
        <v>#NAME?</v>
      </c>
      <c r="I468" s="100" t="e">
        <f t="shared" ca="1" si="91"/>
        <v>#NAME?</v>
      </c>
      <c r="J468" s="100" t="e">
        <f ca="1">IFERROR(__xludf.DUMMYFUNCTION("""COMPUTED_VALUE"""),"-1.800")</f>
        <v>#NAME?</v>
      </c>
      <c r="K468" s="100" t="e">
        <f t="shared" ca="1" si="92"/>
        <v>#NAME?</v>
      </c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 spans="1:26">
      <c r="A469" s="100" t="e">
        <f ca="1">IFERROR(__xludf.DUMMYFUNCTION("""COMPUTED_VALUE"""),58783804)</f>
        <v>#NAME?</v>
      </c>
      <c r="B469" s="100" t="e">
        <f ca="1">IFERROR(__xludf.DUMMYFUNCTION("""COMPUTED_VALUE"""),"ZILUSDT")</f>
        <v>#NAME?</v>
      </c>
      <c r="C469" s="100" t="e">
        <f ca="1">IFERROR(__xludf.DUMMYFUNCTION("""COMPUTED_VALUE"""),"0.01189000")</f>
        <v>#NAME?</v>
      </c>
      <c r="D469" s="100" t="e">
        <f t="shared" ca="1" si="95"/>
        <v>#NAME?</v>
      </c>
      <c r="E469" s="100" t="e">
        <f t="shared" ca="1" si="95"/>
        <v>#NAME?</v>
      </c>
      <c r="F469" s="100" t="e">
        <f t="shared" ca="1" si="88"/>
        <v>#NAME?</v>
      </c>
      <c r="G469" s="100" t="e">
        <f t="shared" ca="1" si="89"/>
        <v>#NAME?</v>
      </c>
      <c r="H469" s="100" t="e">
        <f t="shared" ca="1" si="90"/>
        <v>#NAME?</v>
      </c>
      <c r="I469" s="100" t="e">
        <f t="shared" ca="1" si="91"/>
        <v>#NAME?</v>
      </c>
      <c r="J469" s="100" t="e">
        <f ca="1">IFERROR(__xludf.DUMMYFUNCTION("""COMPUTED_VALUE"""),"-0.999")</f>
        <v>#NAME?</v>
      </c>
      <c r="K469" s="100" t="e">
        <f t="shared" ca="1" si="92"/>
        <v>#NAME?</v>
      </c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 spans="1:26">
      <c r="A470" s="100" t="e">
        <f ca="1">IFERROR(__xludf.DUMMYFUNCTION("""COMPUTED_VALUE"""),58783805)</f>
        <v>#NAME?</v>
      </c>
      <c r="B470" s="100" t="e">
        <f ca="1">IFERROR(__xludf.DUMMYFUNCTION("""COMPUTED_VALUE"""),"ZRXBNB")</f>
        <v>#NAME?</v>
      </c>
      <c r="C470" s="100" t="e">
        <f ca="1">IFERROR(__xludf.DUMMYFUNCTION("""COMPUTED_VALUE"""),"0.00000000")</f>
        <v>#NAME?</v>
      </c>
      <c r="D470" s="100" t="e">
        <f t="shared" ca="1" si="95"/>
        <v>#NAME?</v>
      </c>
      <c r="E470" s="100" t="e">
        <f t="shared" ca="1" si="95"/>
        <v>#NAME?</v>
      </c>
      <c r="F470" s="100" t="e">
        <f t="shared" ca="1" si="88"/>
        <v>#NAME?</v>
      </c>
      <c r="G470" s="100" t="e">
        <f t="shared" ca="1" si="89"/>
        <v>#NAME?</v>
      </c>
      <c r="H470" s="100" t="e">
        <f t="shared" ca="1" si="90"/>
        <v>#NAME?</v>
      </c>
      <c r="I470" s="100" t="e">
        <f t="shared" ca="1" si="91"/>
        <v>#NAME?</v>
      </c>
      <c r="J470" s="100" t="e">
        <f ca="1">IFERROR(__xludf.DUMMYFUNCTION("""COMPUTED_VALUE"""),"0")</f>
        <v>#NAME?</v>
      </c>
      <c r="K470" s="100" t="e">
        <f t="shared" ca="1" si="92"/>
        <v>#NAME?</v>
      </c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 spans="1:26">
      <c r="A471" s="100" t="e">
        <f ca="1">IFERROR(__xludf.DUMMYFUNCTION("""COMPUTED_VALUE"""),58783806)</f>
        <v>#NAME?</v>
      </c>
      <c r="B471" s="100" t="e">
        <f ca="1">IFERROR(__xludf.DUMMYFUNCTION("""COMPUTED_VALUE"""),"ZRXUSDT")</f>
        <v>#NAME?</v>
      </c>
      <c r="C471" s="100" t="e">
        <f ca="1">IFERROR(__xludf.DUMMYFUNCTION("""COMPUTED_VALUE"""),"0.25300000")</f>
        <v>#NAME?</v>
      </c>
      <c r="D471" s="100" t="e">
        <f t="shared" ca="1" si="95"/>
        <v>#NAME?</v>
      </c>
      <c r="E471" s="100" t="e">
        <f t="shared" ca="1" si="95"/>
        <v>#NAME?</v>
      </c>
      <c r="F471" s="100" t="e">
        <f t="shared" ca="1" si="88"/>
        <v>#NAME?</v>
      </c>
      <c r="G471" s="100" t="e">
        <f t="shared" ca="1" si="89"/>
        <v>#NAME?</v>
      </c>
      <c r="H471" s="100" t="e">
        <f t="shared" ca="1" si="90"/>
        <v>#NAME?</v>
      </c>
      <c r="I471" s="100" t="e">
        <f t="shared" ca="1" si="91"/>
        <v>#NAME?</v>
      </c>
      <c r="J471" s="100" t="e">
        <f ca="1">IFERROR(__xludf.DUMMYFUNCTION("""COMPUTED_VALUE"""),"-3.065")</f>
        <v>#NAME?</v>
      </c>
      <c r="K471" s="100" t="e">
        <f t="shared" ca="1" si="92"/>
        <v>#NAME?</v>
      </c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 spans="1:26">
      <c r="A472" s="100" t="e">
        <f ca="1">IFERROR(__xludf.DUMMYFUNCTION("""COMPUTED_VALUE"""),58783807)</f>
        <v>#NAME?</v>
      </c>
      <c r="B472" s="100" t="e">
        <f ca="1">IFERROR(__xludf.DUMMYFUNCTION("""COMPUTED_VALUE"""),"FETBNB")</f>
        <v>#NAME?</v>
      </c>
      <c r="C472" s="100" t="e">
        <f ca="1">IFERROR(__xludf.DUMMYFUNCTION("""COMPUTED_VALUE"""),"0.00097400")</f>
        <v>#NAME?</v>
      </c>
      <c r="D472" s="100" t="e">
        <f t="shared" ca="1" si="95"/>
        <v>#NAME?</v>
      </c>
      <c r="E472" s="100" t="e">
        <f t="shared" ca="1" si="95"/>
        <v>#NAME?</v>
      </c>
      <c r="F472" s="100" t="e">
        <f t="shared" ca="1" si="88"/>
        <v>#NAME?</v>
      </c>
      <c r="G472" s="100" t="e">
        <f t="shared" ca="1" si="89"/>
        <v>#NAME?</v>
      </c>
      <c r="H472" s="100" t="e">
        <f t="shared" ca="1" si="90"/>
        <v>#NAME?</v>
      </c>
      <c r="I472" s="100" t="e">
        <f t="shared" ca="1" si="91"/>
        <v>#NAME?</v>
      </c>
      <c r="J472" s="100" t="e">
        <f ca="1">IFERROR(__xludf.DUMMYFUNCTION("""COMPUTED_VALUE"""),"-4.976")</f>
        <v>#NAME?</v>
      </c>
      <c r="K472" s="100" t="e">
        <f t="shared" ca="1" si="92"/>
        <v>#NAME?</v>
      </c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 spans="1:26">
      <c r="A473" s="100" t="e">
        <f ca="1">IFERROR(__xludf.DUMMYFUNCTION("""COMPUTED_VALUE"""),58783808)</f>
        <v>#NAME?</v>
      </c>
      <c r="B473" s="100" t="e">
        <f ca="1">IFERROR(__xludf.DUMMYFUNCTION("""COMPUTED_VALUE"""),"FETBTC")</f>
        <v>#NAME?</v>
      </c>
      <c r="C473" s="100" t="e">
        <f ca="1">IFERROR(__xludf.DUMMYFUNCTION("""COMPUTED_VALUE"""),"0.00000667")</f>
        <v>#NAME?</v>
      </c>
      <c r="D473" s="100" t="e">
        <f t="shared" ca="1" si="95"/>
        <v>#NAME?</v>
      </c>
      <c r="E473" s="100" t="e">
        <f t="shared" ca="1" si="95"/>
        <v>#NAME?</v>
      </c>
      <c r="F473" s="100" t="e">
        <f t="shared" ca="1" si="88"/>
        <v>#NAME?</v>
      </c>
      <c r="G473" s="100" t="e">
        <f t="shared" ca="1" si="89"/>
        <v>#NAME?</v>
      </c>
      <c r="H473" s="100" t="e">
        <f t="shared" ca="1" si="90"/>
        <v>#NAME?</v>
      </c>
      <c r="I473" s="100" t="e">
        <f t="shared" ca="1" si="91"/>
        <v>#NAME?</v>
      </c>
      <c r="J473" s="100" t="e">
        <f ca="1">IFERROR(__xludf.DUMMYFUNCTION("""COMPUTED_VALUE"""),"-5.791")</f>
        <v>#NAME?</v>
      </c>
      <c r="K473" s="100" t="e">
        <f t="shared" ca="1" si="92"/>
        <v>#NAME?</v>
      </c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 spans="1:26">
      <c r="A474" s="100" t="e">
        <f ca="1">IFERROR(__xludf.DUMMYFUNCTION("""COMPUTED_VALUE"""),58783809)</f>
        <v>#NAME?</v>
      </c>
      <c r="B474" s="100" t="e">
        <f ca="1">IFERROR(__xludf.DUMMYFUNCTION("""COMPUTED_VALUE"""),"FETUSDT")</f>
        <v>#NAME?</v>
      </c>
      <c r="C474" s="100" t="e">
        <f ca="1">IFERROR(__xludf.DUMMYFUNCTION("""COMPUTED_VALUE"""),"0.59200000")</f>
        <v>#NAME?</v>
      </c>
      <c r="D474" s="100" t="e">
        <f t="shared" ca="1" si="95"/>
        <v>#NAME?</v>
      </c>
      <c r="E474" s="100" t="e">
        <f t="shared" ca="1" si="95"/>
        <v>#NAME?</v>
      </c>
      <c r="F474" s="100" t="e">
        <f t="shared" ca="1" si="88"/>
        <v>#NAME?</v>
      </c>
      <c r="G474" s="100" t="e">
        <f t="shared" ca="1" si="89"/>
        <v>#NAME?</v>
      </c>
      <c r="H474" s="100" t="e">
        <f t="shared" ca="1" si="90"/>
        <v>#NAME?</v>
      </c>
      <c r="I474" s="100" t="e">
        <f t="shared" ca="1" si="91"/>
        <v>#NAME?</v>
      </c>
      <c r="J474" s="100" t="e">
        <f ca="1">IFERROR(__xludf.DUMMYFUNCTION("""COMPUTED_VALUE"""),"-4.362")</f>
        <v>#NAME?</v>
      </c>
      <c r="K474" s="100" t="e">
        <f t="shared" ca="1" si="92"/>
        <v>#NAME?</v>
      </c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 spans="1:26">
      <c r="A475" s="100" t="e">
        <f ca="1">IFERROR(__xludf.DUMMYFUNCTION("""COMPUTED_VALUE"""),58783810)</f>
        <v>#NAME?</v>
      </c>
      <c r="B475" s="100" t="e">
        <f ca="1">IFERROR(__xludf.DUMMYFUNCTION("""COMPUTED_VALUE"""),"BATUSDT")</f>
        <v>#NAME?</v>
      </c>
      <c r="C475" s="100" t="e">
        <f ca="1">IFERROR(__xludf.DUMMYFUNCTION("""COMPUTED_VALUE"""),"0.13270000")</f>
        <v>#NAME?</v>
      </c>
      <c r="D475" s="100" t="e">
        <f t="shared" ca="1" si="95"/>
        <v>#NAME?</v>
      </c>
      <c r="E475" s="100" t="e">
        <f t="shared" ca="1" si="95"/>
        <v>#NAME?</v>
      </c>
      <c r="F475" s="100" t="e">
        <f t="shared" ca="1" si="88"/>
        <v>#NAME?</v>
      </c>
      <c r="G475" s="100" t="e">
        <f t="shared" ca="1" si="89"/>
        <v>#NAME?</v>
      </c>
      <c r="H475" s="100" t="e">
        <f t="shared" ca="1" si="90"/>
        <v>#NAME?</v>
      </c>
      <c r="I475" s="100" t="e">
        <f t="shared" ca="1" si="91"/>
        <v>#NAME?</v>
      </c>
      <c r="J475" s="100" t="e">
        <f ca="1">IFERROR(__xludf.DUMMYFUNCTION("""COMPUTED_VALUE"""),"-1.558")</f>
        <v>#NAME?</v>
      </c>
      <c r="K475" s="100" t="e">
        <f t="shared" ca="1" si="92"/>
        <v>#NAME?</v>
      </c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 spans="1:26">
      <c r="A476" s="100" t="e">
        <f ca="1">IFERROR(__xludf.DUMMYFUNCTION("""COMPUTED_VALUE"""),58783811)</f>
        <v>#NAME?</v>
      </c>
      <c r="B476" s="100" t="e">
        <f ca="1">IFERROR(__xludf.DUMMYFUNCTION("""COMPUTED_VALUE"""),"XMRBNB")</f>
        <v>#NAME?</v>
      </c>
      <c r="C476" s="100" t="e">
        <f ca="1">IFERROR(__xludf.DUMMYFUNCTION("""COMPUTED_VALUE"""),"0.33210000")</f>
        <v>#NAME?</v>
      </c>
      <c r="D476" s="100" t="e">
        <f t="shared" ca="1" si="95"/>
        <v>#NAME?</v>
      </c>
      <c r="E476" s="100" t="e">
        <f t="shared" ca="1" si="95"/>
        <v>#NAME?</v>
      </c>
      <c r="F476" s="100" t="e">
        <f t="shared" ca="1" si="88"/>
        <v>#NAME?</v>
      </c>
      <c r="G476" s="100" t="e">
        <f t="shared" ca="1" si="89"/>
        <v>#NAME?</v>
      </c>
      <c r="H476" s="100" t="e">
        <f t="shared" ca="1" si="90"/>
        <v>#NAME?</v>
      </c>
      <c r="I476" s="100" t="e">
        <f t="shared" ca="1" si="91"/>
        <v>#NAME?</v>
      </c>
      <c r="J476" s="100" t="e">
        <f ca="1">IFERROR(__xludf.DUMMYFUNCTION("""COMPUTED_VALUE"""),"0")</f>
        <v>#NAME?</v>
      </c>
      <c r="K476" s="100" t="e">
        <f t="shared" ca="1" si="92"/>
        <v>#NAME?</v>
      </c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 spans="1:26">
      <c r="A477" s="100" t="e">
        <f ca="1">IFERROR(__xludf.DUMMYFUNCTION("""COMPUTED_VALUE"""),58783812)</f>
        <v>#NAME?</v>
      </c>
      <c r="B477" s="100" t="e">
        <f ca="1">IFERROR(__xludf.DUMMYFUNCTION("""COMPUTED_VALUE"""),"XMRUSDT")</f>
        <v>#NAME?</v>
      </c>
      <c r="C477" s="100" t="e">
        <f ca="1">IFERROR(__xludf.DUMMYFUNCTION("""COMPUTED_VALUE"""),"118.70000000")</f>
        <v>#NAME?</v>
      </c>
      <c r="D477" s="100" t="e">
        <f t="shared" ca="1" si="95"/>
        <v>#NAME?</v>
      </c>
      <c r="E477" s="100" t="e">
        <f t="shared" ca="1" si="95"/>
        <v>#NAME?</v>
      </c>
      <c r="F477" s="100" t="e">
        <f t="shared" ca="1" si="88"/>
        <v>#NAME?</v>
      </c>
      <c r="G477" s="100" t="e">
        <f t="shared" ca="1" si="89"/>
        <v>#NAME?</v>
      </c>
      <c r="H477" s="100" t="e">
        <f t="shared" ca="1" si="90"/>
        <v>#NAME?</v>
      </c>
      <c r="I477" s="100" t="e">
        <f t="shared" ca="1" si="91"/>
        <v>#NAME?</v>
      </c>
      <c r="J477" s="100" t="e">
        <f ca="1">IFERROR(__xludf.DUMMYFUNCTION("""COMPUTED_VALUE"""),"0")</f>
        <v>#NAME?</v>
      </c>
      <c r="K477" s="100" t="e">
        <f t="shared" ca="1" si="92"/>
        <v>#NAME?</v>
      </c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 spans="1:26">
      <c r="A478" s="100" t="e">
        <f ca="1">IFERROR(__xludf.DUMMYFUNCTION("""COMPUTED_VALUE"""),58783813)</f>
        <v>#NAME?</v>
      </c>
      <c r="B478" s="100" t="e">
        <f ca="1">IFERROR(__xludf.DUMMYFUNCTION("""COMPUTED_VALUE"""),"ZECBNB")</f>
        <v>#NAME?</v>
      </c>
      <c r="C478" s="100" t="e">
        <f ca="1">IFERROR(__xludf.DUMMYFUNCTION("""COMPUTED_VALUE"""),"0.10260000")</f>
        <v>#NAME?</v>
      </c>
      <c r="D478" s="100" t="e">
        <f t="shared" ca="1" si="95"/>
        <v>#NAME?</v>
      </c>
      <c r="E478" s="100" t="e">
        <f t="shared" ca="1" si="95"/>
        <v>#NAME?</v>
      </c>
      <c r="F478" s="100" t="e">
        <f t="shared" ca="1" si="88"/>
        <v>#NAME?</v>
      </c>
      <c r="G478" s="100" t="e">
        <f t="shared" ca="1" si="89"/>
        <v>#NAME?</v>
      </c>
      <c r="H478" s="100" t="e">
        <f t="shared" ca="1" si="90"/>
        <v>#NAME?</v>
      </c>
      <c r="I478" s="100" t="e">
        <f t="shared" ca="1" si="91"/>
        <v>#NAME?</v>
      </c>
      <c r="J478" s="100" t="e">
        <f ca="1">IFERROR(__xludf.DUMMYFUNCTION("""COMPUTED_VALUE"""),"0")</f>
        <v>#NAME?</v>
      </c>
      <c r="K478" s="100" t="e">
        <f t="shared" ca="1" si="92"/>
        <v>#NAME?</v>
      </c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 spans="1:26">
      <c r="A479" s="100" t="e">
        <f ca="1">IFERROR(__xludf.DUMMYFUNCTION("""COMPUTED_VALUE"""),58783814)</f>
        <v>#NAME?</v>
      </c>
      <c r="B479" s="100" t="e">
        <f ca="1">IFERROR(__xludf.DUMMYFUNCTION("""COMPUTED_VALUE"""),"ZECUSDT")</f>
        <v>#NAME?</v>
      </c>
      <c r="C479" s="100" t="e">
        <f ca="1">IFERROR(__xludf.DUMMYFUNCTION("""COMPUTED_VALUE"""),"30.83000000")</f>
        <v>#NAME?</v>
      </c>
      <c r="D479" s="100" t="e">
        <f t="shared" ca="1" si="95"/>
        <v>#NAME?</v>
      </c>
      <c r="E479" s="100" t="e">
        <f t="shared" ca="1" si="95"/>
        <v>#NAME?</v>
      </c>
      <c r="F479" s="100" t="e">
        <f t="shared" ca="1" si="88"/>
        <v>#NAME?</v>
      </c>
      <c r="G479" s="100" t="e">
        <f t="shared" ca="1" si="89"/>
        <v>#NAME?</v>
      </c>
      <c r="H479" s="100" t="e">
        <f t="shared" ca="1" si="90"/>
        <v>#NAME?</v>
      </c>
      <c r="I479" s="100" t="e">
        <f t="shared" ca="1" si="91"/>
        <v>#NAME?</v>
      </c>
      <c r="J479" s="100" t="e">
        <f ca="1">IFERROR(__xludf.DUMMYFUNCTION("""COMPUTED_VALUE"""),"-3.566")</f>
        <v>#NAME?</v>
      </c>
      <c r="K479" s="100" t="e">
        <f t="shared" ca="1" si="92"/>
        <v>#NAME?</v>
      </c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 spans="1:26">
      <c r="A480" s="100" t="e">
        <f ca="1">IFERROR(__xludf.DUMMYFUNCTION("""COMPUTED_VALUE"""),58783815)</f>
        <v>#NAME?</v>
      </c>
      <c r="B480" s="100" t="e">
        <f ca="1">IFERROR(__xludf.DUMMYFUNCTION("""COMPUTED_VALUE"""),"ZECPAX")</f>
        <v>#NAME?</v>
      </c>
      <c r="C480" s="100" t="e">
        <f ca="1">IFERROR(__xludf.DUMMYFUNCTION("""COMPUTED_VALUE"""),"0.00000000")</f>
        <v>#NAME?</v>
      </c>
      <c r="D480" s="100" t="e">
        <f t="shared" ca="1" si="95"/>
        <v>#NAME?</v>
      </c>
      <c r="E480" s="100" t="e">
        <f t="shared" ca="1" si="95"/>
        <v>#NAME?</v>
      </c>
      <c r="F480" s="100" t="e">
        <f t="shared" ca="1" si="88"/>
        <v>#NAME?</v>
      </c>
      <c r="G480" s="100" t="e">
        <f t="shared" ca="1" si="89"/>
        <v>#NAME?</v>
      </c>
      <c r="H480" s="100" t="e">
        <f t="shared" ca="1" si="90"/>
        <v>#NAME?</v>
      </c>
      <c r="I480" s="100" t="e">
        <f t="shared" ca="1" si="91"/>
        <v>#NAME?</v>
      </c>
      <c r="J480" s="100" t="e">
        <f ca="1">IFERROR(__xludf.DUMMYFUNCTION("""COMPUTED_VALUE"""),"0")</f>
        <v>#NAME?</v>
      </c>
      <c r="K480" s="100" t="e">
        <f t="shared" ca="1" si="92"/>
        <v>#NAME?</v>
      </c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 spans="1:26">
      <c r="A481" s="100" t="e">
        <f ca="1">IFERROR(__xludf.DUMMYFUNCTION("""COMPUTED_VALUE"""),58783816)</f>
        <v>#NAME?</v>
      </c>
      <c r="B481" s="100" t="e">
        <f ca="1">IFERROR(__xludf.DUMMYFUNCTION("""COMPUTED_VALUE"""),"ZECTUSD")</f>
        <v>#NAME?</v>
      </c>
      <c r="C481" s="100" t="e">
        <f ca="1">IFERROR(__xludf.DUMMYFUNCTION("""COMPUTED_VALUE"""),"0.00000000")</f>
        <v>#NAME?</v>
      </c>
      <c r="D481" s="100" t="e">
        <f t="shared" ca="1" si="95"/>
        <v>#NAME?</v>
      </c>
      <c r="E481" s="100" t="e">
        <f t="shared" ca="1" si="95"/>
        <v>#NAME?</v>
      </c>
      <c r="F481" s="100" t="e">
        <f t="shared" ca="1" si="88"/>
        <v>#NAME?</v>
      </c>
      <c r="G481" s="100" t="e">
        <f t="shared" ca="1" si="89"/>
        <v>#NAME?</v>
      </c>
      <c r="H481" s="100" t="e">
        <f t="shared" ca="1" si="90"/>
        <v>#NAME?</v>
      </c>
      <c r="I481" s="100" t="e">
        <f t="shared" ca="1" si="91"/>
        <v>#NAME?</v>
      </c>
      <c r="J481" s="100" t="e">
        <f ca="1">IFERROR(__xludf.DUMMYFUNCTION("""COMPUTED_VALUE"""),"0")</f>
        <v>#NAME?</v>
      </c>
      <c r="K481" s="100" t="e">
        <f t="shared" ca="1" si="92"/>
        <v>#NAME?</v>
      </c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 spans="1:26">
      <c r="A482" s="100" t="e">
        <f ca="1">IFERROR(__xludf.DUMMYFUNCTION("""COMPUTED_VALUE"""),58783817)</f>
        <v>#NAME?</v>
      </c>
      <c r="B482" s="100" t="e">
        <f ca="1">IFERROR(__xludf.DUMMYFUNCTION("""COMPUTED_VALUE"""),"ZECUSDC")</f>
        <v>#NAME?</v>
      </c>
      <c r="C482" s="100" t="e">
        <f ca="1">IFERROR(__xludf.DUMMYFUNCTION("""COMPUTED_VALUE"""),"55.80000000")</f>
        <v>#NAME?</v>
      </c>
      <c r="D482" s="100" t="e">
        <f t="shared" ref="D482:E501" ca="1" si="96">IFERROR(__xludf.DUMMYFUNCTION("""COMPUTED_VALUE"""),"-")</f>
        <v>#NAME?</v>
      </c>
      <c r="E482" s="100" t="e">
        <f t="shared" ca="1" si="96"/>
        <v>#NAME?</v>
      </c>
      <c r="F482" s="100" t="e">
        <f t="shared" ca="1" si="88"/>
        <v>#NAME?</v>
      </c>
      <c r="G482" s="100" t="e">
        <f t="shared" ca="1" si="89"/>
        <v>#NAME?</v>
      </c>
      <c r="H482" s="100" t="e">
        <f t="shared" ca="1" si="90"/>
        <v>#NAME?</v>
      </c>
      <c r="I482" s="100" t="e">
        <f t="shared" ca="1" si="91"/>
        <v>#NAME?</v>
      </c>
      <c r="J482" s="100" t="e">
        <f ca="1">IFERROR(__xludf.DUMMYFUNCTION("""COMPUTED_VALUE"""),"0")</f>
        <v>#NAME?</v>
      </c>
      <c r="K482" s="100" t="e">
        <f t="shared" ca="1" si="92"/>
        <v>#NAME?</v>
      </c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 spans="1:26">
      <c r="A483" s="100" t="e">
        <f ca="1">IFERROR(__xludf.DUMMYFUNCTION("""COMPUTED_VALUE"""),58783818)</f>
        <v>#NAME?</v>
      </c>
      <c r="B483" s="100" t="e">
        <f ca="1">IFERROR(__xludf.DUMMYFUNCTION("""COMPUTED_VALUE"""),"IOSTUSDT")</f>
        <v>#NAME?</v>
      </c>
      <c r="C483" s="100" t="e">
        <f ca="1">IFERROR(__xludf.DUMMYFUNCTION("""COMPUTED_VALUE"""),"0.00376500")</f>
        <v>#NAME?</v>
      </c>
      <c r="D483" s="100" t="e">
        <f t="shared" ca="1" si="96"/>
        <v>#NAME?</v>
      </c>
      <c r="E483" s="100" t="e">
        <f t="shared" ca="1" si="96"/>
        <v>#NAME?</v>
      </c>
      <c r="F483" s="100" t="e">
        <f t="shared" ca="1" si="88"/>
        <v>#NAME?</v>
      </c>
      <c r="G483" s="100" t="e">
        <f t="shared" ca="1" si="89"/>
        <v>#NAME?</v>
      </c>
      <c r="H483" s="100" t="e">
        <f t="shared" ca="1" si="90"/>
        <v>#NAME?</v>
      </c>
      <c r="I483" s="100" t="e">
        <f t="shared" ca="1" si="91"/>
        <v>#NAME?</v>
      </c>
      <c r="J483" s="100" t="e">
        <f ca="1">IFERROR(__xludf.DUMMYFUNCTION("""COMPUTED_VALUE"""),"-3.188")</f>
        <v>#NAME?</v>
      </c>
      <c r="K483" s="100" t="e">
        <f t="shared" ca="1" si="92"/>
        <v>#NAME?</v>
      </c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 spans="1:26">
      <c r="A484" s="100" t="e">
        <f ca="1">IFERROR(__xludf.DUMMYFUNCTION("""COMPUTED_VALUE"""),58783819)</f>
        <v>#NAME?</v>
      </c>
      <c r="B484" s="100" t="e">
        <f ca="1">IFERROR(__xludf.DUMMYFUNCTION("""COMPUTED_VALUE"""),"CELRBNB")</f>
        <v>#NAME?</v>
      </c>
      <c r="C484" s="100" t="e">
        <f ca="1">IFERROR(__xludf.DUMMYFUNCTION("""COMPUTED_VALUE"""),"0.00005294")</f>
        <v>#NAME?</v>
      </c>
      <c r="D484" s="100" t="e">
        <f t="shared" ca="1" si="96"/>
        <v>#NAME?</v>
      </c>
      <c r="E484" s="100" t="e">
        <f t="shared" ca="1" si="96"/>
        <v>#NAME?</v>
      </c>
      <c r="F484" s="100" t="e">
        <f t="shared" ca="1" si="88"/>
        <v>#NAME?</v>
      </c>
      <c r="G484" s="100" t="e">
        <f t="shared" ca="1" si="89"/>
        <v>#NAME?</v>
      </c>
      <c r="H484" s="100" t="e">
        <f t="shared" ca="1" si="90"/>
        <v>#NAME?</v>
      </c>
      <c r="I484" s="100" t="e">
        <f t="shared" ca="1" si="91"/>
        <v>#NAME?</v>
      </c>
      <c r="J484" s="100" t="e">
        <f ca="1">IFERROR(__xludf.DUMMYFUNCTION("""COMPUTED_VALUE"""),"0")</f>
        <v>#NAME?</v>
      </c>
      <c r="K484" s="100" t="e">
        <f t="shared" ca="1" si="92"/>
        <v>#NAME?</v>
      </c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 spans="1:26">
      <c r="A485" s="100" t="e">
        <f ca="1">IFERROR(__xludf.DUMMYFUNCTION("""COMPUTED_VALUE"""),58783820)</f>
        <v>#NAME?</v>
      </c>
      <c r="B485" s="100" t="e">
        <f ca="1">IFERROR(__xludf.DUMMYFUNCTION("""COMPUTED_VALUE"""),"CELRBTC")</f>
        <v>#NAME?</v>
      </c>
      <c r="C485" s="100" t="e">
        <f ca="1">IFERROR(__xludf.DUMMYFUNCTION("""COMPUTED_VALUE"""),"0.00000009")</f>
        <v>#NAME?</v>
      </c>
      <c r="D485" s="100" t="e">
        <f t="shared" ca="1" si="96"/>
        <v>#NAME?</v>
      </c>
      <c r="E485" s="100" t="e">
        <f t="shared" ca="1" si="96"/>
        <v>#NAME?</v>
      </c>
      <c r="F485" s="100" t="e">
        <f t="shared" ca="1" si="88"/>
        <v>#NAME?</v>
      </c>
      <c r="G485" s="100" t="e">
        <f t="shared" ca="1" si="89"/>
        <v>#NAME?</v>
      </c>
      <c r="H485" s="100" t="e">
        <f t="shared" ca="1" si="90"/>
        <v>#NAME?</v>
      </c>
      <c r="I485" s="100" t="e">
        <f t="shared" ca="1" si="91"/>
        <v>#NAME?</v>
      </c>
      <c r="J485" s="100" t="e">
        <f ca="1">IFERROR(__xludf.DUMMYFUNCTION("""COMPUTED_VALUE"""),"0.000")</f>
        <v>#NAME?</v>
      </c>
      <c r="K485" s="100" t="e">
        <f t="shared" ca="1" si="92"/>
        <v>#NAME?</v>
      </c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 spans="1:26">
      <c r="A486" s="100" t="e">
        <f ca="1">IFERROR(__xludf.DUMMYFUNCTION("""COMPUTED_VALUE"""),58783821)</f>
        <v>#NAME?</v>
      </c>
      <c r="B486" s="100" t="e">
        <f ca="1">IFERROR(__xludf.DUMMYFUNCTION("""COMPUTED_VALUE"""),"CELRUSDT")</f>
        <v>#NAME?</v>
      </c>
      <c r="C486" s="100" t="e">
        <f ca="1">IFERROR(__xludf.DUMMYFUNCTION("""COMPUTED_VALUE"""),"0.00911000")</f>
        <v>#NAME?</v>
      </c>
      <c r="D486" s="100" t="e">
        <f t="shared" ca="1" si="96"/>
        <v>#NAME?</v>
      </c>
      <c r="E486" s="100" t="e">
        <f t="shared" ca="1" si="96"/>
        <v>#NAME?</v>
      </c>
      <c r="F486" s="100" t="e">
        <f t="shared" ca="1" si="88"/>
        <v>#NAME?</v>
      </c>
      <c r="G486" s="100" t="e">
        <f t="shared" ca="1" si="89"/>
        <v>#NAME?</v>
      </c>
      <c r="H486" s="100" t="e">
        <f t="shared" ca="1" si="90"/>
        <v>#NAME?</v>
      </c>
      <c r="I486" s="100" t="e">
        <f t="shared" ca="1" si="91"/>
        <v>#NAME?</v>
      </c>
      <c r="J486" s="100" t="e">
        <f ca="1">IFERROR(__xludf.DUMMYFUNCTION("""COMPUTED_VALUE"""),"-2.253")</f>
        <v>#NAME?</v>
      </c>
      <c r="K486" s="100" t="e">
        <f t="shared" ca="1" si="92"/>
        <v>#NAME?</v>
      </c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 spans="1:26">
      <c r="A487" s="100" t="e">
        <f ca="1">IFERROR(__xludf.DUMMYFUNCTION("""COMPUTED_VALUE"""),58783822)</f>
        <v>#NAME?</v>
      </c>
      <c r="B487" s="100" t="e">
        <f ca="1">IFERROR(__xludf.DUMMYFUNCTION("""COMPUTED_VALUE"""),"ADAPAX")</f>
        <v>#NAME?</v>
      </c>
      <c r="C487" s="100" t="e">
        <f ca="1">IFERROR(__xludf.DUMMYFUNCTION("""COMPUTED_VALUE"""),"0.00000000")</f>
        <v>#NAME?</v>
      </c>
      <c r="D487" s="100" t="e">
        <f t="shared" ca="1" si="96"/>
        <v>#NAME?</v>
      </c>
      <c r="E487" s="100" t="e">
        <f t="shared" ca="1" si="96"/>
        <v>#NAME?</v>
      </c>
      <c r="F487" s="100" t="e">
        <f t="shared" ca="1" si="88"/>
        <v>#NAME?</v>
      </c>
      <c r="G487" s="100" t="e">
        <f t="shared" ca="1" si="89"/>
        <v>#NAME?</v>
      </c>
      <c r="H487" s="100" t="e">
        <f t="shared" ca="1" si="90"/>
        <v>#NAME?</v>
      </c>
      <c r="I487" s="100" t="e">
        <f t="shared" ca="1" si="91"/>
        <v>#NAME?</v>
      </c>
      <c r="J487" s="100" t="e">
        <f ca="1">IFERROR(__xludf.DUMMYFUNCTION("""COMPUTED_VALUE"""),"0")</f>
        <v>#NAME?</v>
      </c>
      <c r="K487" s="100" t="e">
        <f t="shared" ca="1" si="92"/>
        <v>#NAME?</v>
      </c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 spans="1:26">
      <c r="A488" s="100" t="e">
        <f ca="1">IFERROR(__xludf.DUMMYFUNCTION("""COMPUTED_VALUE"""),58783823)</f>
        <v>#NAME?</v>
      </c>
      <c r="B488" s="100" t="e">
        <f ca="1">IFERROR(__xludf.DUMMYFUNCTION("""COMPUTED_VALUE"""),"ADAUSDC")</f>
        <v>#NAME?</v>
      </c>
      <c r="C488" s="100" t="e">
        <f ca="1">IFERROR(__xludf.DUMMYFUNCTION("""COMPUTED_VALUE"""),"0.64000000")</f>
        <v>#NAME?</v>
      </c>
      <c r="D488" s="100" t="e">
        <f t="shared" ca="1" si="96"/>
        <v>#NAME?</v>
      </c>
      <c r="E488" s="100" t="e">
        <f t="shared" ca="1" si="96"/>
        <v>#NAME?</v>
      </c>
      <c r="F488" s="100" t="e">
        <f t="shared" ca="1" si="88"/>
        <v>#NAME?</v>
      </c>
      <c r="G488" s="100" t="e">
        <f t="shared" ca="1" si="89"/>
        <v>#NAME?</v>
      </c>
      <c r="H488" s="100" t="e">
        <f t="shared" ca="1" si="90"/>
        <v>#NAME?</v>
      </c>
      <c r="I488" s="100" t="e">
        <f t="shared" ca="1" si="91"/>
        <v>#NAME?</v>
      </c>
      <c r="J488" s="100" t="e">
        <f ca="1">IFERROR(__xludf.DUMMYFUNCTION("""COMPUTED_VALUE"""),"-1.051")</f>
        <v>#NAME?</v>
      </c>
      <c r="K488" s="100" t="e">
        <f t="shared" ca="1" si="92"/>
        <v>#NAME?</v>
      </c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 spans="1:26">
      <c r="A489" s="100" t="e">
        <f ca="1">IFERROR(__xludf.DUMMYFUNCTION("""COMPUTED_VALUE"""),58783824)</f>
        <v>#NAME?</v>
      </c>
      <c r="B489" s="100" t="e">
        <f ca="1">IFERROR(__xludf.DUMMYFUNCTION("""COMPUTED_VALUE"""),"NEOPAX")</f>
        <v>#NAME?</v>
      </c>
      <c r="C489" s="100" t="e">
        <f ca="1">IFERROR(__xludf.DUMMYFUNCTION("""COMPUTED_VALUE"""),"0.00000000")</f>
        <v>#NAME?</v>
      </c>
      <c r="D489" s="100" t="e">
        <f t="shared" ca="1" si="96"/>
        <v>#NAME?</v>
      </c>
      <c r="E489" s="100" t="e">
        <f t="shared" ca="1" si="96"/>
        <v>#NAME?</v>
      </c>
      <c r="F489" s="100" t="e">
        <f t="shared" ca="1" si="88"/>
        <v>#NAME?</v>
      </c>
      <c r="G489" s="100" t="e">
        <f t="shared" ca="1" si="89"/>
        <v>#NAME?</v>
      </c>
      <c r="H489" s="100" t="e">
        <f t="shared" ca="1" si="90"/>
        <v>#NAME?</v>
      </c>
      <c r="I489" s="100" t="e">
        <f t="shared" ca="1" si="91"/>
        <v>#NAME?</v>
      </c>
      <c r="J489" s="100" t="e">
        <f ca="1">IFERROR(__xludf.DUMMYFUNCTION("""COMPUTED_VALUE"""),"0")</f>
        <v>#NAME?</v>
      </c>
      <c r="K489" s="100" t="e">
        <f t="shared" ca="1" si="92"/>
        <v>#NAME?</v>
      </c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 spans="1:26">
      <c r="A490" s="100" t="e">
        <f ca="1">IFERROR(__xludf.DUMMYFUNCTION("""COMPUTED_VALUE"""),58783825)</f>
        <v>#NAME?</v>
      </c>
      <c r="B490" s="100" t="e">
        <f ca="1">IFERROR(__xludf.DUMMYFUNCTION("""COMPUTED_VALUE"""),"NEOUSDC")</f>
        <v>#NAME?</v>
      </c>
      <c r="C490" s="100" t="e">
        <f ca="1">IFERROR(__xludf.DUMMYFUNCTION("""COMPUTED_VALUE"""),"5.46000000")</f>
        <v>#NAME?</v>
      </c>
      <c r="D490" s="100" t="e">
        <f t="shared" ca="1" si="96"/>
        <v>#NAME?</v>
      </c>
      <c r="E490" s="100" t="e">
        <f t="shared" ca="1" si="96"/>
        <v>#NAME?</v>
      </c>
      <c r="F490" s="100" t="e">
        <f t="shared" ca="1" si="88"/>
        <v>#NAME?</v>
      </c>
      <c r="G490" s="100" t="e">
        <f t="shared" ca="1" si="89"/>
        <v>#NAME?</v>
      </c>
      <c r="H490" s="100" t="e">
        <f t="shared" ca="1" si="90"/>
        <v>#NAME?</v>
      </c>
      <c r="I490" s="100" t="e">
        <f t="shared" ca="1" si="91"/>
        <v>#NAME?</v>
      </c>
      <c r="J490" s="100" t="e">
        <f ca="1">IFERROR(__xludf.DUMMYFUNCTION("""COMPUTED_VALUE"""),"-4.211")</f>
        <v>#NAME?</v>
      </c>
      <c r="K490" s="100" t="e">
        <f t="shared" ca="1" si="92"/>
        <v>#NAME?</v>
      </c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 spans="1:26">
      <c r="A491" s="100" t="e">
        <f ca="1">IFERROR(__xludf.DUMMYFUNCTION("""COMPUTED_VALUE"""),58783826)</f>
        <v>#NAME?</v>
      </c>
      <c r="B491" s="100" t="e">
        <f ca="1">IFERROR(__xludf.DUMMYFUNCTION("""COMPUTED_VALUE"""),"DASHBNB")</f>
        <v>#NAME?</v>
      </c>
      <c r="C491" s="100" t="e">
        <f ca="1">IFERROR(__xludf.DUMMYFUNCTION("""COMPUTED_VALUE"""),"0.11830000")</f>
        <v>#NAME?</v>
      </c>
      <c r="D491" s="100" t="e">
        <f t="shared" ca="1" si="96"/>
        <v>#NAME?</v>
      </c>
      <c r="E491" s="100" t="e">
        <f t="shared" ca="1" si="96"/>
        <v>#NAME?</v>
      </c>
      <c r="F491" s="100" t="e">
        <f t="shared" ca="1" si="88"/>
        <v>#NAME?</v>
      </c>
      <c r="G491" s="100" t="e">
        <f t="shared" ca="1" si="89"/>
        <v>#NAME?</v>
      </c>
      <c r="H491" s="100" t="e">
        <f t="shared" ca="1" si="90"/>
        <v>#NAME?</v>
      </c>
      <c r="I491" s="100" t="e">
        <f t="shared" ca="1" si="91"/>
        <v>#NAME?</v>
      </c>
      <c r="J491" s="100" t="e">
        <f ca="1">IFERROR(__xludf.DUMMYFUNCTION("""COMPUTED_VALUE"""),"0")</f>
        <v>#NAME?</v>
      </c>
      <c r="K491" s="100" t="e">
        <f t="shared" ca="1" si="92"/>
        <v>#NAME?</v>
      </c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 spans="1:26">
      <c r="A492" s="100" t="e">
        <f ca="1">IFERROR(__xludf.DUMMYFUNCTION("""COMPUTED_VALUE"""),58783827)</f>
        <v>#NAME?</v>
      </c>
      <c r="B492" s="100" t="e">
        <f ca="1">IFERROR(__xludf.DUMMYFUNCTION("""COMPUTED_VALUE"""),"DASHUSDT")</f>
        <v>#NAME?</v>
      </c>
      <c r="C492" s="100" t="e">
        <f ca="1">IFERROR(__xludf.DUMMYFUNCTION("""COMPUTED_VALUE"""),"20.80000000")</f>
        <v>#NAME?</v>
      </c>
      <c r="D492" s="100" t="e">
        <f t="shared" ca="1" si="96"/>
        <v>#NAME?</v>
      </c>
      <c r="E492" s="100" t="e">
        <f t="shared" ca="1" si="96"/>
        <v>#NAME?</v>
      </c>
      <c r="F492" s="100" t="e">
        <f t="shared" ca="1" si="88"/>
        <v>#NAME?</v>
      </c>
      <c r="G492" s="100" t="e">
        <f t="shared" ca="1" si="89"/>
        <v>#NAME?</v>
      </c>
      <c r="H492" s="100" t="e">
        <f t="shared" ca="1" si="90"/>
        <v>#NAME?</v>
      </c>
      <c r="I492" s="100" t="e">
        <f t="shared" ca="1" si="91"/>
        <v>#NAME?</v>
      </c>
      <c r="J492" s="100" t="e">
        <f ca="1">IFERROR(__xludf.DUMMYFUNCTION("""COMPUTED_VALUE"""),"-3.435")</f>
        <v>#NAME?</v>
      </c>
      <c r="K492" s="100" t="e">
        <f t="shared" ca="1" si="92"/>
        <v>#NAME?</v>
      </c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 spans="1:26">
      <c r="A493" s="100" t="e">
        <f ca="1">IFERROR(__xludf.DUMMYFUNCTION("""COMPUTED_VALUE"""),58783828)</f>
        <v>#NAME?</v>
      </c>
      <c r="B493" s="100" t="e">
        <f ca="1">IFERROR(__xludf.DUMMYFUNCTION("""COMPUTED_VALUE"""),"NANOUSDT")</f>
        <v>#NAME?</v>
      </c>
      <c r="C493" s="100" t="e">
        <f ca="1">IFERROR(__xludf.DUMMYFUNCTION("""COMPUTED_VALUE"""),"0.00000000")</f>
        <v>#NAME?</v>
      </c>
      <c r="D493" s="100" t="e">
        <f t="shared" ca="1" si="96"/>
        <v>#NAME?</v>
      </c>
      <c r="E493" s="100" t="e">
        <f t="shared" ca="1" si="96"/>
        <v>#NAME?</v>
      </c>
      <c r="F493" s="100" t="e">
        <f t="shared" ca="1" si="88"/>
        <v>#NAME?</v>
      </c>
      <c r="G493" s="100" t="e">
        <f t="shared" ca="1" si="89"/>
        <v>#NAME?</v>
      </c>
      <c r="H493" s="100" t="e">
        <f t="shared" ca="1" si="90"/>
        <v>#NAME?</v>
      </c>
      <c r="I493" s="100" t="e">
        <f t="shared" ca="1" si="91"/>
        <v>#NAME?</v>
      </c>
      <c r="J493" s="100" t="e">
        <f ca="1">IFERROR(__xludf.DUMMYFUNCTION("""COMPUTED_VALUE"""),"0")</f>
        <v>#NAME?</v>
      </c>
      <c r="K493" s="100" t="e">
        <f t="shared" ca="1" si="92"/>
        <v>#NAME?</v>
      </c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 spans="1:26">
      <c r="A494" s="100" t="e">
        <f ca="1">IFERROR(__xludf.DUMMYFUNCTION("""COMPUTED_VALUE"""),58783829)</f>
        <v>#NAME?</v>
      </c>
      <c r="B494" s="100" t="e">
        <f ca="1">IFERROR(__xludf.DUMMYFUNCTION("""COMPUTED_VALUE"""),"OMGBNB")</f>
        <v>#NAME?</v>
      </c>
      <c r="C494" s="100" t="e">
        <f ca="1">IFERROR(__xludf.DUMMYFUNCTION("""COMPUTED_VALUE"""),"0.00000000")</f>
        <v>#NAME?</v>
      </c>
      <c r="D494" s="100" t="e">
        <f t="shared" ca="1" si="96"/>
        <v>#NAME?</v>
      </c>
      <c r="E494" s="100" t="e">
        <f t="shared" ca="1" si="96"/>
        <v>#NAME?</v>
      </c>
      <c r="F494" s="100" t="e">
        <f t="shared" ca="1" si="88"/>
        <v>#NAME?</v>
      </c>
      <c r="G494" s="100" t="e">
        <f t="shared" ca="1" si="89"/>
        <v>#NAME?</v>
      </c>
      <c r="H494" s="100" t="e">
        <f t="shared" ca="1" si="90"/>
        <v>#NAME?</v>
      </c>
      <c r="I494" s="100" t="e">
        <f t="shared" ca="1" si="91"/>
        <v>#NAME?</v>
      </c>
      <c r="J494" s="100" t="e">
        <f ca="1">IFERROR(__xludf.DUMMYFUNCTION("""COMPUTED_VALUE"""),"0")</f>
        <v>#NAME?</v>
      </c>
      <c r="K494" s="100" t="e">
        <f t="shared" ca="1" si="92"/>
        <v>#NAME?</v>
      </c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 spans="1:26">
      <c r="A495" s="100" t="e">
        <f ca="1">IFERROR(__xludf.DUMMYFUNCTION("""COMPUTED_VALUE"""),58783830)</f>
        <v>#NAME?</v>
      </c>
      <c r="B495" s="100" t="e">
        <f ca="1">IFERROR(__xludf.DUMMYFUNCTION("""COMPUTED_VALUE"""),"OMGUSDT")</f>
        <v>#NAME?</v>
      </c>
      <c r="C495" s="100" t="e">
        <f ca="1">IFERROR(__xludf.DUMMYFUNCTION("""COMPUTED_VALUE"""),"0.38300000")</f>
        <v>#NAME?</v>
      </c>
      <c r="D495" s="100" t="e">
        <f t="shared" ca="1" si="96"/>
        <v>#NAME?</v>
      </c>
      <c r="E495" s="100" t="e">
        <f t="shared" ca="1" si="96"/>
        <v>#NAME?</v>
      </c>
      <c r="F495" s="100" t="e">
        <f t="shared" ca="1" si="88"/>
        <v>#NAME?</v>
      </c>
      <c r="G495" s="100" t="e">
        <f t="shared" ca="1" si="89"/>
        <v>#NAME?</v>
      </c>
      <c r="H495" s="100" t="e">
        <f t="shared" ca="1" si="90"/>
        <v>#NAME?</v>
      </c>
      <c r="I495" s="100" t="e">
        <f t="shared" ca="1" si="91"/>
        <v>#NAME?</v>
      </c>
      <c r="J495" s="100" t="e">
        <f ca="1">IFERROR(__xludf.DUMMYFUNCTION("""COMPUTED_VALUE"""),"0")</f>
        <v>#NAME?</v>
      </c>
      <c r="K495" s="100" t="e">
        <f t="shared" ca="1" si="92"/>
        <v>#NAME?</v>
      </c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 spans="1:26">
      <c r="A496" s="100" t="e">
        <f ca="1">IFERROR(__xludf.DUMMYFUNCTION("""COMPUTED_VALUE"""),58783831)</f>
        <v>#NAME?</v>
      </c>
      <c r="B496" s="100" t="e">
        <f ca="1">IFERROR(__xludf.DUMMYFUNCTION("""COMPUTED_VALUE"""),"THETAUSDT")</f>
        <v>#NAME?</v>
      </c>
      <c r="C496" s="100" t="e">
        <f ca="1">IFERROR(__xludf.DUMMYFUNCTION("""COMPUTED_VALUE"""),"0.62700000")</f>
        <v>#NAME?</v>
      </c>
      <c r="D496" s="100" t="e">
        <f t="shared" ca="1" si="96"/>
        <v>#NAME?</v>
      </c>
      <c r="E496" s="100" t="e">
        <f t="shared" ca="1" si="96"/>
        <v>#NAME?</v>
      </c>
      <c r="F496" s="100" t="e">
        <f t="shared" ca="1" si="88"/>
        <v>#NAME?</v>
      </c>
      <c r="G496" s="100" t="e">
        <f t="shared" ca="1" si="89"/>
        <v>#NAME?</v>
      </c>
      <c r="H496" s="100" t="e">
        <f t="shared" ca="1" si="90"/>
        <v>#NAME?</v>
      </c>
      <c r="I496" s="100" t="e">
        <f t="shared" ca="1" si="91"/>
        <v>#NAME?</v>
      </c>
      <c r="J496" s="100" t="e">
        <f ca="1">IFERROR(__xludf.DUMMYFUNCTION("""COMPUTED_VALUE"""),"-5.572")</f>
        <v>#NAME?</v>
      </c>
      <c r="K496" s="100" t="e">
        <f t="shared" ca="1" si="92"/>
        <v>#NAME?</v>
      </c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 spans="1:26">
      <c r="A497" s="100" t="e">
        <f ca="1">IFERROR(__xludf.DUMMYFUNCTION("""COMPUTED_VALUE"""),58783832)</f>
        <v>#NAME?</v>
      </c>
      <c r="B497" s="100" t="e">
        <f ca="1">IFERROR(__xludf.DUMMYFUNCTION("""COMPUTED_VALUE"""),"ENJUSDT")</f>
        <v>#NAME?</v>
      </c>
      <c r="C497" s="100" t="e">
        <f ca="1">IFERROR(__xludf.DUMMYFUNCTION("""COMPUTED_VALUE"""),"0.08810000")</f>
        <v>#NAME?</v>
      </c>
      <c r="D497" s="100" t="e">
        <f t="shared" ca="1" si="96"/>
        <v>#NAME?</v>
      </c>
      <c r="E497" s="100" t="e">
        <f t="shared" ca="1" si="96"/>
        <v>#NAME?</v>
      </c>
      <c r="F497" s="100" t="e">
        <f t="shared" ca="1" si="88"/>
        <v>#NAME?</v>
      </c>
      <c r="G497" s="100" t="e">
        <f t="shared" ca="1" si="89"/>
        <v>#NAME?</v>
      </c>
      <c r="H497" s="100" t="e">
        <f t="shared" ca="1" si="90"/>
        <v>#NAME?</v>
      </c>
      <c r="I497" s="100" t="e">
        <f t="shared" ca="1" si="91"/>
        <v>#NAME?</v>
      </c>
      <c r="J497" s="100" t="e">
        <f ca="1">IFERROR(__xludf.DUMMYFUNCTION("""COMPUTED_VALUE"""),"-15.125")</f>
        <v>#NAME?</v>
      </c>
      <c r="K497" s="100" t="e">
        <f t="shared" ca="1" si="92"/>
        <v>#NAME?</v>
      </c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 spans="1:26">
      <c r="A498" s="100" t="e">
        <f ca="1">IFERROR(__xludf.DUMMYFUNCTION("""COMPUTED_VALUE"""),58783833)</f>
        <v>#NAME?</v>
      </c>
      <c r="B498" s="100" t="e">
        <f ca="1">IFERROR(__xludf.DUMMYFUNCTION("""COMPUTED_VALUE"""),"MITHUSDT")</f>
        <v>#NAME?</v>
      </c>
      <c r="C498" s="100" t="e">
        <f ca="1">IFERROR(__xludf.DUMMYFUNCTION("""COMPUTED_VALUE"""),"0.00345000")</f>
        <v>#NAME?</v>
      </c>
      <c r="D498" s="100" t="e">
        <f t="shared" ca="1" si="96"/>
        <v>#NAME?</v>
      </c>
      <c r="E498" s="100" t="e">
        <f t="shared" ca="1" si="96"/>
        <v>#NAME?</v>
      </c>
      <c r="F498" s="100" t="e">
        <f t="shared" ca="1" si="88"/>
        <v>#NAME?</v>
      </c>
      <c r="G498" s="100" t="e">
        <f t="shared" ca="1" si="89"/>
        <v>#NAME?</v>
      </c>
      <c r="H498" s="100" t="e">
        <f t="shared" ca="1" si="90"/>
        <v>#NAME?</v>
      </c>
      <c r="I498" s="100" t="e">
        <f t="shared" ca="1" si="91"/>
        <v>#NAME?</v>
      </c>
      <c r="J498" s="100" t="e">
        <f ca="1">IFERROR(__xludf.DUMMYFUNCTION("""COMPUTED_VALUE"""),"0")</f>
        <v>#NAME?</v>
      </c>
      <c r="K498" s="100" t="e">
        <f t="shared" ca="1" si="92"/>
        <v>#NAME?</v>
      </c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 spans="1:26">
      <c r="A499" s="100" t="e">
        <f ca="1">IFERROR(__xludf.DUMMYFUNCTION("""COMPUTED_VALUE"""),58783834)</f>
        <v>#NAME?</v>
      </c>
      <c r="B499" s="100" t="e">
        <f ca="1">IFERROR(__xludf.DUMMYFUNCTION("""COMPUTED_VALUE"""),"MATICBNB")</f>
        <v>#NAME?</v>
      </c>
      <c r="C499" s="100" t="e">
        <f ca="1">IFERROR(__xludf.DUMMYFUNCTION("""COMPUTED_VALUE"""),"0.00073400")</f>
        <v>#NAME?</v>
      </c>
      <c r="D499" s="100" t="e">
        <f t="shared" ca="1" si="96"/>
        <v>#NAME?</v>
      </c>
      <c r="E499" s="100" t="e">
        <f t="shared" ca="1" si="96"/>
        <v>#NAME?</v>
      </c>
      <c r="F499" s="100" t="e">
        <f t="shared" ca="1" si="88"/>
        <v>#NAME?</v>
      </c>
      <c r="G499" s="100" t="e">
        <f t="shared" ca="1" si="89"/>
        <v>#NAME?</v>
      </c>
      <c r="H499" s="100" t="e">
        <f t="shared" ca="1" si="90"/>
        <v>#NAME?</v>
      </c>
      <c r="I499" s="100" t="e">
        <f t="shared" ca="1" si="91"/>
        <v>#NAME?</v>
      </c>
      <c r="J499" s="100" t="e">
        <f ca="1">IFERROR(__xludf.DUMMYFUNCTION("""COMPUTED_VALUE"""),"0")</f>
        <v>#NAME?</v>
      </c>
      <c r="K499" s="100" t="e">
        <f t="shared" ca="1" si="92"/>
        <v>#NAME?</v>
      </c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 spans="1:26">
      <c r="A500" s="100" t="e">
        <f ca="1">IFERROR(__xludf.DUMMYFUNCTION("""COMPUTED_VALUE"""),58783835)</f>
        <v>#NAME?</v>
      </c>
      <c r="B500" s="100" t="e">
        <f ca="1">IFERROR(__xludf.DUMMYFUNCTION("""COMPUTED_VALUE"""),"MATICBTC")</f>
        <v>#NAME?</v>
      </c>
      <c r="C500" s="100" t="e">
        <f ca="1">IFERROR(__xludf.DUMMYFUNCTION("""COMPUTED_VALUE"""),"0.00000667")</f>
        <v>#NAME?</v>
      </c>
      <c r="D500" s="100" t="e">
        <f t="shared" ca="1" si="96"/>
        <v>#NAME?</v>
      </c>
      <c r="E500" s="100" t="e">
        <f t="shared" ca="1" si="96"/>
        <v>#NAME?</v>
      </c>
      <c r="F500" s="100" t="e">
        <f t="shared" ca="1" si="88"/>
        <v>#NAME?</v>
      </c>
      <c r="G500" s="100" t="e">
        <f t="shared" ca="1" si="89"/>
        <v>#NAME?</v>
      </c>
      <c r="H500" s="100" t="e">
        <f t="shared" ca="1" si="90"/>
        <v>#NAME?</v>
      </c>
      <c r="I500" s="100" t="e">
        <f t="shared" ca="1" si="91"/>
        <v>#NAME?</v>
      </c>
      <c r="J500" s="100" t="e">
        <f ca="1">IFERROR(__xludf.DUMMYFUNCTION("""COMPUTED_VALUE"""),"0")</f>
        <v>#NAME?</v>
      </c>
      <c r="K500" s="100" t="e">
        <f t="shared" ca="1" si="92"/>
        <v>#NAME?</v>
      </c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 spans="1:26">
      <c r="A501" s="100" t="e">
        <f ca="1">IFERROR(__xludf.DUMMYFUNCTION("""COMPUTED_VALUE"""),58783836)</f>
        <v>#NAME?</v>
      </c>
      <c r="B501" s="100" t="e">
        <f ca="1">IFERROR(__xludf.DUMMYFUNCTION("""COMPUTED_VALUE"""),"MATICUSDT")</f>
        <v>#NAME?</v>
      </c>
      <c r="C501" s="100" t="e">
        <f ca="1">IFERROR(__xludf.DUMMYFUNCTION("""COMPUTED_VALUE"""),"0.37940000")</f>
        <v>#NAME?</v>
      </c>
      <c r="D501" s="100" t="e">
        <f t="shared" ca="1" si="96"/>
        <v>#NAME?</v>
      </c>
      <c r="E501" s="100" t="e">
        <f t="shared" ca="1" si="96"/>
        <v>#NAME?</v>
      </c>
      <c r="F501" s="100" t="e">
        <f t="shared" ca="1" si="88"/>
        <v>#NAME?</v>
      </c>
      <c r="G501" s="100" t="e">
        <f t="shared" ca="1" si="89"/>
        <v>#NAME?</v>
      </c>
      <c r="H501" s="100" t="e">
        <f t="shared" ca="1" si="90"/>
        <v>#NAME?</v>
      </c>
      <c r="I501" s="100" t="e">
        <f t="shared" ca="1" si="91"/>
        <v>#NAME?</v>
      </c>
      <c r="J501" s="100" t="e">
        <f ca="1">IFERROR(__xludf.DUMMYFUNCTION("""COMPUTED_VALUE"""),"0")</f>
        <v>#NAME?</v>
      </c>
      <c r="K501" s="100" t="e">
        <f t="shared" ca="1" si="92"/>
        <v>#NAME?</v>
      </c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 spans="1:26">
      <c r="A502" s="100" t="e">
        <f ca="1">IFERROR(__xludf.DUMMYFUNCTION("""COMPUTED_VALUE"""),58783837)</f>
        <v>#NAME?</v>
      </c>
      <c r="B502" s="100" t="e">
        <f ca="1">IFERROR(__xludf.DUMMYFUNCTION("""COMPUTED_VALUE"""),"ATOMBNB")</f>
        <v>#NAME?</v>
      </c>
      <c r="C502" s="100" t="e">
        <f ca="1">IFERROR(__xludf.DUMMYFUNCTION("""COMPUTED_VALUE"""),"0.00739000")</f>
        <v>#NAME?</v>
      </c>
      <c r="D502" s="100" t="e">
        <f t="shared" ref="D502:E521" ca="1" si="97">IFERROR(__xludf.DUMMYFUNCTION("""COMPUTED_VALUE"""),"-")</f>
        <v>#NAME?</v>
      </c>
      <c r="E502" s="100" t="e">
        <f t="shared" ca="1" si="97"/>
        <v>#NAME?</v>
      </c>
      <c r="F502" s="100" t="e">
        <f t="shared" ca="1" si="88"/>
        <v>#NAME?</v>
      </c>
      <c r="G502" s="100" t="e">
        <f t="shared" ca="1" si="89"/>
        <v>#NAME?</v>
      </c>
      <c r="H502" s="100" t="e">
        <f t="shared" ca="1" si="90"/>
        <v>#NAME?</v>
      </c>
      <c r="I502" s="100" t="e">
        <f t="shared" ca="1" si="91"/>
        <v>#NAME?</v>
      </c>
      <c r="J502" s="100" t="e">
        <f ca="1">IFERROR(__xludf.DUMMYFUNCTION("""COMPUTED_VALUE"""),"0")</f>
        <v>#NAME?</v>
      </c>
      <c r="K502" s="100" t="e">
        <f t="shared" ca="1" si="92"/>
        <v>#NAME?</v>
      </c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 spans="1:26">
      <c r="A503" s="100" t="e">
        <f ca="1">IFERROR(__xludf.DUMMYFUNCTION("""COMPUTED_VALUE"""),58783838)</f>
        <v>#NAME?</v>
      </c>
      <c r="B503" s="100" t="e">
        <f ca="1">IFERROR(__xludf.DUMMYFUNCTION("""COMPUTED_VALUE"""),"ATOMBTC")</f>
        <v>#NAME?</v>
      </c>
      <c r="C503" s="100" t="e">
        <f ca="1">IFERROR(__xludf.DUMMYFUNCTION("""COMPUTED_VALUE"""),"0.00004610")</f>
        <v>#NAME?</v>
      </c>
      <c r="D503" s="100" t="e">
        <f t="shared" ca="1" si="97"/>
        <v>#NAME?</v>
      </c>
      <c r="E503" s="100" t="e">
        <f t="shared" ca="1" si="97"/>
        <v>#NAME?</v>
      </c>
      <c r="F503" s="100" t="e">
        <f t="shared" ca="1" si="88"/>
        <v>#NAME?</v>
      </c>
      <c r="G503" s="100" t="e">
        <f t="shared" ca="1" si="89"/>
        <v>#NAME?</v>
      </c>
      <c r="H503" s="100" t="e">
        <f t="shared" ca="1" si="90"/>
        <v>#NAME?</v>
      </c>
      <c r="I503" s="100" t="e">
        <f t="shared" ca="1" si="91"/>
        <v>#NAME?</v>
      </c>
      <c r="J503" s="100" t="e">
        <f ca="1">IFERROR(__xludf.DUMMYFUNCTION("""COMPUTED_VALUE"""),"-5.339")</f>
        <v>#NAME?</v>
      </c>
      <c r="K503" s="100" t="e">
        <f t="shared" ca="1" si="92"/>
        <v>#NAME?</v>
      </c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 spans="1:26">
      <c r="A504" s="100" t="e">
        <f ca="1">IFERROR(__xludf.DUMMYFUNCTION("""COMPUTED_VALUE"""),58783839)</f>
        <v>#NAME?</v>
      </c>
      <c r="B504" s="100" t="e">
        <f ca="1">IFERROR(__xludf.DUMMYFUNCTION("""COMPUTED_VALUE"""),"ATOMUSDT")</f>
        <v>#NAME?</v>
      </c>
      <c r="C504" s="100" t="e">
        <f ca="1">IFERROR(__xludf.DUMMYFUNCTION("""COMPUTED_VALUE"""),"4.08500000")</f>
        <v>#NAME?</v>
      </c>
      <c r="D504" s="100" t="e">
        <f t="shared" ca="1" si="97"/>
        <v>#NAME?</v>
      </c>
      <c r="E504" s="100" t="e">
        <f t="shared" ca="1" si="97"/>
        <v>#NAME?</v>
      </c>
      <c r="F504" s="100" t="e">
        <f t="shared" ca="1" si="88"/>
        <v>#NAME?</v>
      </c>
      <c r="G504" s="100" t="e">
        <f t="shared" ca="1" si="89"/>
        <v>#NAME?</v>
      </c>
      <c r="H504" s="100" t="e">
        <f t="shared" ca="1" si="90"/>
        <v>#NAME?</v>
      </c>
      <c r="I504" s="100" t="e">
        <f t="shared" ca="1" si="91"/>
        <v>#NAME?</v>
      </c>
      <c r="J504" s="100" t="e">
        <f ca="1">IFERROR(__xludf.DUMMYFUNCTION("""COMPUTED_VALUE"""),"-4.130")</f>
        <v>#NAME?</v>
      </c>
      <c r="K504" s="100" t="e">
        <f t="shared" ca="1" si="92"/>
        <v>#NAME?</v>
      </c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 spans="1:26">
      <c r="A505" s="100" t="e">
        <f ca="1">IFERROR(__xludf.DUMMYFUNCTION("""COMPUTED_VALUE"""),58783840)</f>
        <v>#NAME?</v>
      </c>
      <c r="B505" s="100" t="e">
        <f ca="1">IFERROR(__xludf.DUMMYFUNCTION("""COMPUTED_VALUE"""),"ATOMUSDC")</f>
        <v>#NAME?</v>
      </c>
      <c r="C505" s="100" t="e">
        <f ca="1">IFERROR(__xludf.DUMMYFUNCTION("""COMPUTED_VALUE"""),"4.08500000")</f>
        <v>#NAME?</v>
      </c>
      <c r="D505" s="100" t="e">
        <f t="shared" ca="1" si="97"/>
        <v>#NAME?</v>
      </c>
      <c r="E505" s="100" t="e">
        <f t="shared" ca="1" si="97"/>
        <v>#NAME?</v>
      </c>
      <c r="F505" s="100" t="e">
        <f t="shared" ca="1" si="88"/>
        <v>#NAME?</v>
      </c>
      <c r="G505" s="100" t="e">
        <f t="shared" ca="1" si="89"/>
        <v>#NAME?</v>
      </c>
      <c r="H505" s="100" t="e">
        <f t="shared" ca="1" si="90"/>
        <v>#NAME?</v>
      </c>
      <c r="I505" s="100" t="e">
        <f t="shared" ca="1" si="91"/>
        <v>#NAME?</v>
      </c>
      <c r="J505" s="100" t="e">
        <f ca="1">IFERROR(__xludf.DUMMYFUNCTION("""COMPUTED_VALUE"""),"-4.085")</f>
        <v>#NAME?</v>
      </c>
      <c r="K505" s="100" t="e">
        <f t="shared" ca="1" si="92"/>
        <v>#NAME?</v>
      </c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 spans="1:26">
      <c r="A506" s="100" t="e">
        <f ca="1">IFERROR(__xludf.DUMMYFUNCTION("""COMPUTED_VALUE"""),58783841)</f>
        <v>#NAME?</v>
      </c>
      <c r="B506" s="100" t="e">
        <f ca="1">IFERROR(__xludf.DUMMYFUNCTION("""COMPUTED_VALUE"""),"ATOMPAX")</f>
        <v>#NAME?</v>
      </c>
      <c r="C506" s="100" t="e">
        <f t="shared" ref="C506:C514" ca="1" si="98">IFERROR(__xludf.DUMMYFUNCTION("""COMPUTED_VALUE"""),"0.00000000")</f>
        <v>#NAME?</v>
      </c>
      <c r="D506" s="100" t="e">
        <f t="shared" ca="1" si="97"/>
        <v>#NAME?</v>
      </c>
      <c r="E506" s="100" t="e">
        <f t="shared" ca="1" si="97"/>
        <v>#NAME?</v>
      </c>
      <c r="F506" s="100" t="e">
        <f t="shared" ca="1" si="88"/>
        <v>#NAME?</v>
      </c>
      <c r="G506" s="100" t="e">
        <f t="shared" ca="1" si="89"/>
        <v>#NAME?</v>
      </c>
      <c r="H506" s="100" t="e">
        <f t="shared" ca="1" si="90"/>
        <v>#NAME?</v>
      </c>
      <c r="I506" s="100" t="e">
        <f t="shared" ca="1" si="91"/>
        <v>#NAME?</v>
      </c>
      <c r="J506" s="100" t="e">
        <f t="shared" ref="J506:J514" ca="1" si="99">IFERROR(__xludf.DUMMYFUNCTION("""COMPUTED_VALUE"""),"0")</f>
        <v>#NAME?</v>
      </c>
      <c r="K506" s="100" t="e">
        <f t="shared" ca="1" si="92"/>
        <v>#NAME?</v>
      </c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 spans="1:26">
      <c r="A507" s="100" t="e">
        <f ca="1">IFERROR(__xludf.DUMMYFUNCTION("""COMPUTED_VALUE"""),58783842)</f>
        <v>#NAME?</v>
      </c>
      <c r="B507" s="100" t="e">
        <f ca="1">IFERROR(__xludf.DUMMYFUNCTION("""COMPUTED_VALUE"""),"ATOMTUSD")</f>
        <v>#NAME?</v>
      </c>
      <c r="C507" s="100" t="e">
        <f t="shared" ca="1" si="98"/>
        <v>#NAME?</v>
      </c>
      <c r="D507" s="100" t="e">
        <f t="shared" ca="1" si="97"/>
        <v>#NAME?</v>
      </c>
      <c r="E507" s="100" t="e">
        <f t="shared" ca="1" si="97"/>
        <v>#NAME?</v>
      </c>
      <c r="F507" s="100" t="e">
        <f t="shared" ca="1" si="88"/>
        <v>#NAME?</v>
      </c>
      <c r="G507" s="100" t="e">
        <f t="shared" ca="1" si="89"/>
        <v>#NAME?</v>
      </c>
      <c r="H507" s="100" t="e">
        <f t="shared" ca="1" si="90"/>
        <v>#NAME?</v>
      </c>
      <c r="I507" s="100" t="e">
        <f t="shared" ca="1" si="91"/>
        <v>#NAME?</v>
      </c>
      <c r="J507" s="100" t="e">
        <f t="shared" ca="1" si="99"/>
        <v>#NAME?</v>
      </c>
      <c r="K507" s="100" t="e">
        <f t="shared" ca="1" si="92"/>
        <v>#NAME?</v>
      </c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 spans="1:26">
      <c r="A508" s="100" t="e">
        <f ca="1">IFERROR(__xludf.DUMMYFUNCTION("""COMPUTED_VALUE"""),58783843)</f>
        <v>#NAME?</v>
      </c>
      <c r="B508" s="100" t="e">
        <f ca="1">IFERROR(__xludf.DUMMYFUNCTION("""COMPUTED_VALUE"""),"ETCUSDC")</f>
        <v>#NAME?</v>
      </c>
      <c r="C508" s="100" t="e">
        <f t="shared" ca="1" si="98"/>
        <v>#NAME?</v>
      </c>
      <c r="D508" s="100" t="e">
        <f t="shared" ca="1" si="97"/>
        <v>#NAME?</v>
      </c>
      <c r="E508" s="100" t="e">
        <f t="shared" ca="1" si="97"/>
        <v>#NAME?</v>
      </c>
      <c r="F508" s="100" t="e">
        <f t="shared" ca="1" si="88"/>
        <v>#NAME?</v>
      </c>
      <c r="G508" s="100" t="e">
        <f t="shared" ca="1" si="89"/>
        <v>#NAME?</v>
      </c>
      <c r="H508" s="100" t="e">
        <f t="shared" ca="1" si="90"/>
        <v>#NAME?</v>
      </c>
      <c r="I508" s="100" t="e">
        <f t="shared" ca="1" si="91"/>
        <v>#NAME?</v>
      </c>
      <c r="J508" s="100" t="e">
        <f t="shared" ca="1" si="99"/>
        <v>#NAME?</v>
      </c>
      <c r="K508" s="100" t="e">
        <f t="shared" ca="1" si="92"/>
        <v>#NAME?</v>
      </c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 spans="1:26">
      <c r="A509" s="100" t="e">
        <f ca="1">IFERROR(__xludf.DUMMYFUNCTION("""COMPUTED_VALUE"""),58783844)</f>
        <v>#NAME?</v>
      </c>
      <c r="B509" s="100" t="e">
        <f ca="1">IFERROR(__xludf.DUMMYFUNCTION("""COMPUTED_VALUE"""),"ETCPAX")</f>
        <v>#NAME?</v>
      </c>
      <c r="C509" s="100" t="e">
        <f t="shared" ca="1" si="98"/>
        <v>#NAME?</v>
      </c>
      <c r="D509" s="100" t="e">
        <f t="shared" ca="1" si="97"/>
        <v>#NAME?</v>
      </c>
      <c r="E509" s="100" t="e">
        <f t="shared" ca="1" si="97"/>
        <v>#NAME?</v>
      </c>
      <c r="F509" s="100" t="e">
        <f t="shared" ca="1" si="88"/>
        <v>#NAME?</v>
      </c>
      <c r="G509" s="100" t="e">
        <f t="shared" ca="1" si="89"/>
        <v>#NAME?</v>
      </c>
      <c r="H509" s="100" t="e">
        <f t="shared" ca="1" si="90"/>
        <v>#NAME?</v>
      </c>
      <c r="I509" s="100" t="e">
        <f t="shared" ca="1" si="91"/>
        <v>#NAME?</v>
      </c>
      <c r="J509" s="100" t="e">
        <f t="shared" ca="1" si="99"/>
        <v>#NAME?</v>
      </c>
      <c r="K509" s="100" t="e">
        <f t="shared" ca="1" si="92"/>
        <v>#NAME?</v>
      </c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 spans="1:26">
      <c r="A510" s="100" t="e">
        <f ca="1">IFERROR(__xludf.DUMMYFUNCTION("""COMPUTED_VALUE"""),58783845)</f>
        <v>#NAME?</v>
      </c>
      <c r="B510" s="100" t="e">
        <f ca="1">IFERROR(__xludf.DUMMYFUNCTION("""COMPUTED_VALUE"""),"ETCTUSD")</f>
        <v>#NAME?</v>
      </c>
      <c r="C510" s="100" t="e">
        <f t="shared" ca="1" si="98"/>
        <v>#NAME?</v>
      </c>
      <c r="D510" s="100" t="e">
        <f t="shared" ca="1" si="97"/>
        <v>#NAME?</v>
      </c>
      <c r="E510" s="100" t="e">
        <f t="shared" ca="1" si="97"/>
        <v>#NAME?</v>
      </c>
      <c r="F510" s="100" t="e">
        <f t="shared" ca="1" si="88"/>
        <v>#NAME?</v>
      </c>
      <c r="G510" s="100" t="e">
        <f t="shared" ca="1" si="89"/>
        <v>#NAME?</v>
      </c>
      <c r="H510" s="100" t="e">
        <f t="shared" ca="1" si="90"/>
        <v>#NAME?</v>
      </c>
      <c r="I510" s="100" t="e">
        <f t="shared" ca="1" si="91"/>
        <v>#NAME?</v>
      </c>
      <c r="J510" s="100" t="e">
        <f t="shared" ca="1" si="99"/>
        <v>#NAME?</v>
      </c>
      <c r="K510" s="100" t="e">
        <f t="shared" ca="1" si="92"/>
        <v>#NAME?</v>
      </c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 spans="1:26">
      <c r="A511" s="100" t="e">
        <f ca="1">IFERROR(__xludf.DUMMYFUNCTION("""COMPUTED_VALUE"""),58783846)</f>
        <v>#NAME?</v>
      </c>
      <c r="B511" s="100" t="e">
        <f ca="1">IFERROR(__xludf.DUMMYFUNCTION("""COMPUTED_VALUE"""),"BATUSDC")</f>
        <v>#NAME?</v>
      </c>
      <c r="C511" s="100" t="e">
        <f t="shared" ca="1" si="98"/>
        <v>#NAME?</v>
      </c>
      <c r="D511" s="100" t="e">
        <f t="shared" ca="1" si="97"/>
        <v>#NAME?</v>
      </c>
      <c r="E511" s="100" t="e">
        <f t="shared" ca="1" si="97"/>
        <v>#NAME?</v>
      </c>
      <c r="F511" s="100" t="e">
        <f t="shared" ca="1" si="88"/>
        <v>#NAME?</v>
      </c>
      <c r="G511" s="100" t="e">
        <f t="shared" ca="1" si="89"/>
        <v>#NAME?</v>
      </c>
      <c r="H511" s="100" t="e">
        <f t="shared" ca="1" si="90"/>
        <v>#NAME?</v>
      </c>
      <c r="I511" s="100" t="e">
        <f t="shared" ca="1" si="91"/>
        <v>#NAME?</v>
      </c>
      <c r="J511" s="100" t="e">
        <f t="shared" ca="1" si="99"/>
        <v>#NAME?</v>
      </c>
      <c r="K511" s="100" t="e">
        <f t="shared" ca="1" si="92"/>
        <v>#NAME?</v>
      </c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 spans="1:26">
      <c r="A512" s="100" t="e">
        <f ca="1">IFERROR(__xludf.DUMMYFUNCTION("""COMPUTED_VALUE"""),58783847)</f>
        <v>#NAME?</v>
      </c>
      <c r="B512" s="100" t="e">
        <f ca="1">IFERROR(__xludf.DUMMYFUNCTION("""COMPUTED_VALUE"""),"BATPAX")</f>
        <v>#NAME?</v>
      </c>
      <c r="C512" s="100" t="e">
        <f t="shared" ca="1" si="98"/>
        <v>#NAME?</v>
      </c>
      <c r="D512" s="100" t="e">
        <f t="shared" ca="1" si="97"/>
        <v>#NAME?</v>
      </c>
      <c r="E512" s="100" t="e">
        <f t="shared" ca="1" si="97"/>
        <v>#NAME?</v>
      </c>
      <c r="F512" s="100" t="e">
        <f t="shared" ca="1" si="88"/>
        <v>#NAME?</v>
      </c>
      <c r="G512" s="100" t="e">
        <f t="shared" ca="1" si="89"/>
        <v>#NAME?</v>
      </c>
      <c r="H512" s="100" t="e">
        <f t="shared" ca="1" si="90"/>
        <v>#NAME?</v>
      </c>
      <c r="I512" s="100" t="e">
        <f t="shared" ca="1" si="91"/>
        <v>#NAME?</v>
      </c>
      <c r="J512" s="100" t="e">
        <f t="shared" ca="1" si="99"/>
        <v>#NAME?</v>
      </c>
      <c r="K512" s="100" t="e">
        <f t="shared" ca="1" si="92"/>
        <v>#NAME?</v>
      </c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 spans="1:26">
      <c r="A513" s="100" t="e">
        <f ca="1">IFERROR(__xludf.DUMMYFUNCTION("""COMPUTED_VALUE"""),58783848)</f>
        <v>#NAME?</v>
      </c>
      <c r="B513" s="100" t="e">
        <f ca="1">IFERROR(__xludf.DUMMYFUNCTION("""COMPUTED_VALUE"""),"BATTUSD")</f>
        <v>#NAME?</v>
      </c>
      <c r="C513" s="100" t="e">
        <f t="shared" ca="1" si="98"/>
        <v>#NAME?</v>
      </c>
      <c r="D513" s="100" t="e">
        <f t="shared" ca="1" si="97"/>
        <v>#NAME?</v>
      </c>
      <c r="E513" s="100" t="e">
        <f t="shared" ca="1" si="97"/>
        <v>#NAME?</v>
      </c>
      <c r="F513" s="100" t="e">
        <f t="shared" ca="1" si="88"/>
        <v>#NAME?</v>
      </c>
      <c r="G513" s="100" t="e">
        <f t="shared" ca="1" si="89"/>
        <v>#NAME?</v>
      </c>
      <c r="H513" s="100" t="e">
        <f t="shared" ca="1" si="90"/>
        <v>#NAME?</v>
      </c>
      <c r="I513" s="100" t="e">
        <f t="shared" ca="1" si="91"/>
        <v>#NAME?</v>
      </c>
      <c r="J513" s="100" t="e">
        <f t="shared" ca="1" si="99"/>
        <v>#NAME?</v>
      </c>
      <c r="K513" s="100" t="e">
        <f t="shared" ca="1" si="92"/>
        <v>#NAME?</v>
      </c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 spans="1:26">
      <c r="A514" s="100" t="e">
        <f ca="1">IFERROR(__xludf.DUMMYFUNCTION("""COMPUTED_VALUE"""),58783849)</f>
        <v>#NAME?</v>
      </c>
      <c r="B514" s="100" t="e">
        <f ca="1">IFERROR(__xludf.DUMMYFUNCTION("""COMPUTED_VALUE"""),"PHBBNB")</f>
        <v>#NAME?</v>
      </c>
      <c r="C514" s="100" t="e">
        <f t="shared" ca="1" si="98"/>
        <v>#NAME?</v>
      </c>
      <c r="D514" s="100" t="e">
        <f t="shared" ca="1" si="97"/>
        <v>#NAME?</v>
      </c>
      <c r="E514" s="100" t="e">
        <f t="shared" ca="1" si="97"/>
        <v>#NAME?</v>
      </c>
      <c r="F514" s="100" t="e">
        <f t="shared" ref="F514:F577" ca="1" si="100">IFERROR(__xludf.DUMMYFUNCTION("""COMPUTED_VALUE"""),20200)</f>
        <v>#NAME?</v>
      </c>
      <c r="G514" s="100" t="e">
        <f t="shared" ref="G514:G577" ca="1" si="101">IFERROR(__xludf.DUMMYFUNCTION("""COMPUTED_VALUE"""),2885)</f>
        <v>#NAME?</v>
      </c>
      <c r="H514" s="100" t="e">
        <f t="shared" ref="H514:H577" ca="1" si="102">IFERROR(__xludf.DUMMYFUNCTION("""COMPUTED_VALUE"""),663)</f>
        <v>#NAME?</v>
      </c>
      <c r="I514" s="100" t="e">
        <f t="shared" ref="I514:I577" ca="1" si="103">IFERROR(__xludf.DUMMYFUNCTION("""COMPUTED_VALUE"""),5817721)</f>
        <v>#NAME?</v>
      </c>
      <c r="J514" s="100" t="e">
        <f t="shared" ca="1" si="99"/>
        <v>#NAME?</v>
      </c>
      <c r="K514" s="100" t="e">
        <f t="shared" ref="K514:K577" ca="1" si="104">IFERROR(__xludf.DUMMYFUNCTION("""COMPUTED_VALUE"""),"22.04.2025 13:05:01")</f>
        <v>#NAME?</v>
      </c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 spans="1:26">
      <c r="A515" s="100" t="e">
        <f ca="1">IFERROR(__xludf.DUMMYFUNCTION("""COMPUTED_VALUE"""),58783850)</f>
        <v>#NAME?</v>
      </c>
      <c r="B515" s="100" t="e">
        <f ca="1">IFERROR(__xludf.DUMMYFUNCTION("""COMPUTED_VALUE"""),"PHBBTC")</f>
        <v>#NAME?</v>
      </c>
      <c r="C515" s="100" t="e">
        <f ca="1">IFERROR(__xludf.DUMMYFUNCTION("""COMPUTED_VALUE"""),"0.00000521")</f>
        <v>#NAME?</v>
      </c>
      <c r="D515" s="100" t="e">
        <f t="shared" ca="1" si="97"/>
        <v>#NAME?</v>
      </c>
      <c r="E515" s="100" t="e">
        <f t="shared" ca="1" si="97"/>
        <v>#NAME?</v>
      </c>
      <c r="F515" s="100" t="e">
        <f t="shared" ca="1" si="100"/>
        <v>#NAME?</v>
      </c>
      <c r="G515" s="100" t="e">
        <f t="shared" ca="1" si="101"/>
        <v>#NAME?</v>
      </c>
      <c r="H515" s="100" t="e">
        <f t="shared" ca="1" si="102"/>
        <v>#NAME?</v>
      </c>
      <c r="I515" s="100" t="e">
        <f t="shared" ca="1" si="103"/>
        <v>#NAME?</v>
      </c>
      <c r="J515" s="100" t="e">
        <f ca="1">IFERROR(__xludf.DUMMYFUNCTION("""COMPUTED_VALUE"""),"-5.445")</f>
        <v>#NAME?</v>
      </c>
      <c r="K515" s="100" t="e">
        <f t="shared" ca="1" si="104"/>
        <v>#NAME?</v>
      </c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 spans="1:26">
      <c r="A516" s="100" t="e">
        <f ca="1">IFERROR(__xludf.DUMMYFUNCTION("""COMPUTED_VALUE"""),58783851)</f>
        <v>#NAME?</v>
      </c>
      <c r="B516" s="100" t="e">
        <f ca="1">IFERROR(__xludf.DUMMYFUNCTION("""COMPUTED_VALUE"""),"PHBUSDC")</f>
        <v>#NAME?</v>
      </c>
      <c r="C516" s="100" t="e">
        <f ca="1">IFERROR(__xludf.DUMMYFUNCTION("""COMPUTED_VALUE"""),"0.00000000")</f>
        <v>#NAME?</v>
      </c>
      <c r="D516" s="100" t="e">
        <f t="shared" ca="1" si="97"/>
        <v>#NAME?</v>
      </c>
      <c r="E516" s="100" t="e">
        <f t="shared" ca="1" si="97"/>
        <v>#NAME?</v>
      </c>
      <c r="F516" s="100" t="e">
        <f t="shared" ca="1" si="100"/>
        <v>#NAME?</v>
      </c>
      <c r="G516" s="100" t="e">
        <f t="shared" ca="1" si="101"/>
        <v>#NAME?</v>
      </c>
      <c r="H516" s="100" t="e">
        <f t="shared" ca="1" si="102"/>
        <v>#NAME?</v>
      </c>
      <c r="I516" s="100" t="e">
        <f t="shared" ca="1" si="103"/>
        <v>#NAME?</v>
      </c>
      <c r="J516" s="100" t="e">
        <f ca="1">IFERROR(__xludf.DUMMYFUNCTION("""COMPUTED_VALUE"""),"0")</f>
        <v>#NAME?</v>
      </c>
      <c r="K516" s="100" t="e">
        <f t="shared" ca="1" si="104"/>
        <v>#NAME?</v>
      </c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 spans="1:26">
      <c r="A517" s="100" t="e">
        <f ca="1">IFERROR(__xludf.DUMMYFUNCTION("""COMPUTED_VALUE"""),58783852)</f>
        <v>#NAME?</v>
      </c>
      <c r="B517" s="100" t="e">
        <f ca="1">IFERROR(__xludf.DUMMYFUNCTION("""COMPUTED_VALUE"""),"PHBTUSD")</f>
        <v>#NAME?</v>
      </c>
      <c r="C517" s="100" t="e">
        <f ca="1">IFERROR(__xludf.DUMMYFUNCTION("""COMPUTED_VALUE"""),"0.00000000")</f>
        <v>#NAME?</v>
      </c>
      <c r="D517" s="100" t="e">
        <f t="shared" ca="1" si="97"/>
        <v>#NAME?</v>
      </c>
      <c r="E517" s="100" t="e">
        <f t="shared" ca="1" si="97"/>
        <v>#NAME?</v>
      </c>
      <c r="F517" s="100" t="e">
        <f t="shared" ca="1" si="100"/>
        <v>#NAME?</v>
      </c>
      <c r="G517" s="100" t="e">
        <f t="shared" ca="1" si="101"/>
        <v>#NAME?</v>
      </c>
      <c r="H517" s="100" t="e">
        <f t="shared" ca="1" si="102"/>
        <v>#NAME?</v>
      </c>
      <c r="I517" s="100" t="e">
        <f t="shared" ca="1" si="103"/>
        <v>#NAME?</v>
      </c>
      <c r="J517" s="100" t="e">
        <f ca="1">IFERROR(__xludf.DUMMYFUNCTION("""COMPUTED_VALUE"""),"0")</f>
        <v>#NAME?</v>
      </c>
      <c r="K517" s="100" t="e">
        <f t="shared" ca="1" si="104"/>
        <v>#NAME?</v>
      </c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 spans="1:26">
      <c r="A518" s="100" t="e">
        <f ca="1">IFERROR(__xludf.DUMMYFUNCTION("""COMPUTED_VALUE"""),58783853)</f>
        <v>#NAME?</v>
      </c>
      <c r="B518" s="100" t="e">
        <f ca="1">IFERROR(__xludf.DUMMYFUNCTION("""COMPUTED_VALUE"""),"PHBPAX")</f>
        <v>#NAME?</v>
      </c>
      <c r="C518" s="100" t="e">
        <f ca="1">IFERROR(__xludf.DUMMYFUNCTION("""COMPUTED_VALUE"""),"0.00000000")</f>
        <v>#NAME?</v>
      </c>
      <c r="D518" s="100" t="e">
        <f t="shared" ca="1" si="97"/>
        <v>#NAME?</v>
      </c>
      <c r="E518" s="100" t="e">
        <f t="shared" ca="1" si="97"/>
        <v>#NAME?</v>
      </c>
      <c r="F518" s="100" t="e">
        <f t="shared" ca="1" si="100"/>
        <v>#NAME?</v>
      </c>
      <c r="G518" s="100" t="e">
        <f t="shared" ca="1" si="101"/>
        <v>#NAME?</v>
      </c>
      <c r="H518" s="100" t="e">
        <f t="shared" ca="1" si="102"/>
        <v>#NAME?</v>
      </c>
      <c r="I518" s="100" t="e">
        <f t="shared" ca="1" si="103"/>
        <v>#NAME?</v>
      </c>
      <c r="J518" s="100" t="e">
        <f ca="1">IFERROR(__xludf.DUMMYFUNCTION("""COMPUTED_VALUE"""),"0")</f>
        <v>#NAME?</v>
      </c>
      <c r="K518" s="100" t="e">
        <f t="shared" ca="1" si="104"/>
        <v>#NAME?</v>
      </c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 spans="1:26">
      <c r="A519" s="100" t="e">
        <f ca="1">IFERROR(__xludf.DUMMYFUNCTION("""COMPUTED_VALUE"""),58783854)</f>
        <v>#NAME?</v>
      </c>
      <c r="B519" s="100" t="e">
        <f ca="1">IFERROR(__xludf.DUMMYFUNCTION("""COMPUTED_VALUE"""),"TFUELBNB")</f>
        <v>#NAME?</v>
      </c>
      <c r="C519" s="100" t="e">
        <f ca="1">IFERROR(__xludf.DUMMYFUNCTION("""COMPUTED_VALUE"""),"0.00000000")</f>
        <v>#NAME?</v>
      </c>
      <c r="D519" s="100" t="e">
        <f t="shared" ca="1" si="97"/>
        <v>#NAME?</v>
      </c>
      <c r="E519" s="100" t="e">
        <f t="shared" ca="1" si="97"/>
        <v>#NAME?</v>
      </c>
      <c r="F519" s="100" t="e">
        <f t="shared" ca="1" si="100"/>
        <v>#NAME?</v>
      </c>
      <c r="G519" s="100" t="e">
        <f t="shared" ca="1" si="101"/>
        <v>#NAME?</v>
      </c>
      <c r="H519" s="100" t="e">
        <f t="shared" ca="1" si="102"/>
        <v>#NAME?</v>
      </c>
      <c r="I519" s="100" t="e">
        <f t="shared" ca="1" si="103"/>
        <v>#NAME?</v>
      </c>
      <c r="J519" s="100" t="e">
        <f ca="1">IFERROR(__xludf.DUMMYFUNCTION("""COMPUTED_VALUE"""),"0")</f>
        <v>#NAME?</v>
      </c>
      <c r="K519" s="100" t="e">
        <f t="shared" ca="1" si="104"/>
        <v>#NAME?</v>
      </c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 spans="1:26">
      <c r="A520" s="100" t="e">
        <f ca="1">IFERROR(__xludf.DUMMYFUNCTION("""COMPUTED_VALUE"""),58783855)</f>
        <v>#NAME?</v>
      </c>
      <c r="B520" s="100" t="e">
        <f ca="1">IFERROR(__xludf.DUMMYFUNCTION("""COMPUTED_VALUE"""),"TFUELBTC")</f>
        <v>#NAME?</v>
      </c>
      <c r="C520" s="100" t="e">
        <f ca="1">IFERROR(__xludf.DUMMYFUNCTION("""COMPUTED_VALUE"""),"0.00000040")</f>
        <v>#NAME?</v>
      </c>
      <c r="D520" s="100" t="e">
        <f t="shared" ca="1" si="97"/>
        <v>#NAME?</v>
      </c>
      <c r="E520" s="100" t="e">
        <f t="shared" ca="1" si="97"/>
        <v>#NAME?</v>
      </c>
      <c r="F520" s="100" t="e">
        <f t="shared" ca="1" si="100"/>
        <v>#NAME?</v>
      </c>
      <c r="G520" s="100" t="e">
        <f t="shared" ca="1" si="101"/>
        <v>#NAME?</v>
      </c>
      <c r="H520" s="100" t="e">
        <f t="shared" ca="1" si="102"/>
        <v>#NAME?</v>
      </c>
      <c r="I520" s="100" t="e">
        <f t="shared" ca="1" si="103"/>
        <v>#NAME?</v>
      </c>
      <c r="J520" s="100" t="e">
        <f ca="1">IFERROR(__xludf.DUMMYFUNCTION("""COMPUTED_VALUE"""),"-4.762")</f>
        <v>#NAME?</v>
      </c>
      <c r="K520" s="100" t="e">
        <f t="shared" ca="1" si="104"/>
        <v>#NAME?</v>
      </c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 spans="1:26">
      <c r="A521" s="100" t="e">
        <f ca="1">IFERROR(__xludf.DUMMYFUNCTION("""COMPUTED_VALUE"""),58783856)</f>
        <v>#NAME?</v>
      </c>
      <c r="B521" s="100" t="e">
        <f ca="1">IFERROR(__xludf.DUMMYFUNCTION("""COMPUTED_VALUE"""),"TFUELUSDT")</f>
        <v>#NAME?</v>
      </c>
      <c r="C521" s="100" t="e">
        <f ca="1">IFERROR(__xludf.DUMMYFUNCTION("""COMPUTED_VALUE"""),"0.03562000")</f>
        <v>#NAME?</v>
      </c>
      <c r="D521" s="100" t="e">
        <f t="shared" ca="1" si="97"/>
        <v>#NAME?</v>
      </c>
      <c r="E521" s="100" t="e">
        <f t="shared" ca="1" si="97"/>
        <v>#NAME?</v>
      </c>
      <c r="F521" s="100" t="e">
        <f t="shared" ca="1" si="100"/>
        <v>#NAME?</v>
      </c>
      <c r="G521" s="100" t="e">
        <f t="shared" ca="1" si="101"/>
        <v>#NAME?</v>
      </c>
      <c r="H521" s="100" t="e">
        <f t="shared" ca="1" si="102"/>
        <v>#NAME?</v>
      </c>
      <c r="I521" s="100" t="e">
        <f t="shared" ca="1" si="103"/>
        <v>#NAME?</v>
      </c>
      <c r="J521" s="100" t="e">
        <f ca="1">IFERROR(__xludf.DUMMYFUNCTION("""COMPUTED_VALUE"""),"-2.170")</f>
        <v>#NAME?</v>
      </c>
      <c r="K521" s="100" t="e">
        <f t="shared" ca="1" si="104"/>
        <v>#NAME?</v>
      </c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 spans="1:26">
      <c r="A522" s="100" t="e">
        <f ca="1">IFERROR(__xludf.DUMMYFUNCTION("""COMPUTED_VALUE"""),58783857)</f>
        <v>#NAME?</v>
      </c>
      <c r="B522" s="100" t="e">
        <f ca="1">IFERROR(__xludf.DUMMYFUNCTION("""COMPUTED_VALUE"""),"TFUELUSDC")</f>
        <v>#NAME?</v>
      </c>
      <c r="C522" s="100" t="e">
        <f ca="1">IFERROR(__xludf.DUMMYFUNCTION("""COMPUTED_VALUE"""),"0.00000000")</f>
        <v>#NAME?</v>
      </c>
      <c r="D522" s="100" t="e">
        <f t="shared" ref="D522:E541" ca="1" si="105">IFERROR(__xludf.DUMMYFUNCTION("""COMPUTED_VALUE"""),"-")</f>
        <v>#NAME?</v>
      </c>
      <c r="E522" s="100" t="e">
        <f t="shared" ca="1" si="105"/>
        <v>#NAME?</v>
      </c>
      <c r="F522" s="100" t="e">
        <f t="shared" ca="1" si="100"/>
        <v>#NAME?</v>
      </c>
      <c r="G522" s="100" t="e">
        <f t="shared" ca="1" si="101"/>
        <v>#NAME?</v>
      </c>
      <c r="H522" s="100" t="e">
        <f t="shared" ca="1" si="102"/>
        <v>#NAME?</v>
      </c>
      <c r="I522" s="100" t="e">
        <f t="shared" ca="1" si="103"/>
        <v>#NAME?</v>
      </c>
      <c r="J522" s="100" t="e">
        <f ca="1">IFERROR(__xludf.DUMMYFUNCTION("""COMPUTED_VALUE"""),"0")</f>
        <v>#NAME?</v>
      </c>
      <c r="K522" s="100" t="e">
        <f t="shared" ca="1" si="104"/>
        <v>#NAME?</v>
      </c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 spans="1:26">
      <c r="A523" s="100" t="e">
        <f ca="1">IFERROR(__xludf.DUMMYFUNCTION("""COMPUTED_VALUE"""),58783858)</f>
        <v>#NAME?</v>
      </c>
      <c r="B523" s="100" t="e">
        <f ca="1">IFERROR(__xludf.DUMMYFUNCTION("""COMPUTED_VALUE"""),"TFUELTUSD")</f>
        <v>#NAME?</v>
      </c>
      <c r="C523" s="100" t="e">
        <f ca="1">IFERROR(__xludf.DUMMYFUNCTION("""COMPUTED_VALUE"""),"0.00000000")</f>
        <v>#NAME?</v>
      </c>
      <c r="D523" s="100" t="e">
        <f t="shared" ca="1" si="105"/>
        <v>#NAME?</v>
      </c>
      <c r="E523" s="100" t="e">
        <f t="shared" ca="1" si="105"/>
        <v>#NAME?</v>
      </c>
      <c r="F523" s="100" t="e">
        <f t="shared" ca="1" si="100"/>
        <v>#NAME?</v>
      </c>
      <c r="G523" s="100" t="e">
        <f t="shared" ca="1" si="101"/>
        <v>#NAME?</v>
      </c>
      <c r="H523" s="100" t="e">
        <f t="shared" ca="1" si="102"/>
        <v>#NAME?</v>
      </c>
      <c r="I523" s="100" t="e">
        <f t="shared" ca="1" si="103"/>
        <v>#NAME?</v>
      </c>
      <c r="J523" s="100" t="e">
        <f ca="1">IFERROR(__xludf.DUMMYFUNCTION("""COMPUTED_VALUE"""),"0")</f>
        <v>#NAME?</v>
      </c>
      <c r="K523" s="100" t="e">
        <f t="shared" ca="1" si="104"/>
        <v>#NAME?</v>
      </c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 spans="1:26">
      <c r="A524" s="100" t="e">
        <f ca="1">IFERROR(__xludf.DUMMYFUNCTION("""COMPUTED_VALUE"""),58783859)</f>
        <v>#NAME?</v>
      </c>
      <c r="B524" s="100" t="e">
        <f ca="1">IFERROR(__xludf.DUMMYFUNCTION("""COMPUTED_VALUE"""),"TFUELPAX")</f>
        <v>#NAME?</v>
      </c>
      <c r="C524" s="100" t="e">
        <f ca="1">IFERROR(__xludf.DUMMYFUNCTION("""COMPUTED_VALUE"""),"0.00000000")</f>
        <v>#NAME?</v>
      </c>
      <c r="D524" s="100" t="e">
        <f t="shared" ca="1" si="105"/>
        <v>#NAME?</v>
      </c>
      <c r="E524" s="100" t="e">
        <f t="shared" ca="1" si="105"/>
        <v>#NAME?</v>
      </c>
      <c r="F524" s="100" t="e">
        <f t="shared" ca="1" si="100"/>
        <v>#NAME?</v>
      </c>
      <c r="G524" s="100" t="e">
        <f t="shared" ca="1" si="101"/>
        <v>#NAME?</v>
      </c>
      <c r="H524" s="100" t="e">
        <f t="shared" ca="1" si="102"/>
        <v>#NAME?</v>
      </c>
      <c r="I524" s="100" t="e">
        <f t="shared" ca="1" si="103"/>
        <v>#NAME?</v>
      </c>
      <c r="J524" s="100" t="e">
        <f ca="1">IFERROR(__xludf.DUMMYFUNCTION("""COMPUTED_VALUE"""),"0")</f>
        <v>#NAME?</v>
      </c>
      <c r="K524" s="100" t="e">
        <f t="shared" ca="1" si="104"/>
        <v>#NAME?</v>
      </c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 spans="1:26">
      <c r="A525" s="100" t="e">
        <f ca="1">IFERROR(__xludf.DUMMYFUNCTION("""COMPUTED_VALUE"""),58783860)</f>
        <v>#NAME?</v>
      </c>
      <c r="B525" s="100" t="e">
        <f ca="1">IFERROR(__xludf.DUMMYFUNCTION("""COMPUTED_VALUE"""),"ONEBNB")</f>
        <v>#NAME?</v>
      </c>
      <c r="C525" s="100" t="e">
        <f ca="1">IFERROR(__xludf.DUMMYFUNCTION("""COMPUTED_VALUE"""),"0.00004537")</f>
        <v>#NAME?</v>
      </c>
      <c r="D525" s="100" t="e">
        <f t="shared" ca="1" si="105"/>
        <v>#NAME?</v>
      </c>
      <c r="E525" s="100" t="e">
        <f t="shared" ca="1" si="105"/>
        <v>#NAME?</v>
      </c>
      <c r="F525" s="100" t="e">
        <f t="shared" ca="1" si="100"/>
        <v>#NAME?</v>
      </c>
      <c r="G525" s="100" t="e">
        <f t="shared" ca="1" si="101"/>
        <v>#NAME?</v>
      </c>
      <c r="H525" s="100" t="e">
        <f t="shared" ca="1" si="102"/>
        <v>#NAME?</v>
      </c>
      <c r="I525" s="100" t="e">
        <f t="shared" ca="1" si="103"/>
        <v>#NAME?</v>
      </c>
      <c r="J525" s="100" t="e">
        <f ca="1">IFERROR(__xludf.DUMMYFUNCTION("""COMPUTED_VALUE"""),"0")</f>
        <v>#NAME?</v>
      </c>
      <c r="K525" s="100" t="e">
        <f t="shared" ca="1" si="104"/>
        <v>#NAME?</v>
      </c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 spans="1:26">
      <c r="A526" s="100" t="e">
        <f ca="1">IFERROR(__xludf.DUMMYFUNCTION("""COMPUTED_VALUE"""),58783861)</f>
        <v>#NAME?</v>
      </c>
      <c r="B526" s="100" t="e">
        <f ca="1">IFERROR(__xludf.DUMMYFUNCTION("""COMPUTED_VALUE"""),"ONEBTC")</f>
        <v>#NAME?</v>
      </c>
      <c r="C526" s="100" t="e">
        <f ca="1">IFERROR(__xludf.DUMMYFUNCTION("""COMPUTED_VALUE"""),"0.00000014")</f>
        <v>#NAME?</v>
      </c>
      <c r="D526" s="100" t="e">
        <f t="shared" ca="1" si="105"/>
        <v>#NAME?</v>
      </c>
      <c r="E526" s="100" t="e">
        <f t="shared" ca="1" si="105"/>
        <v>#NAME?</v>
      </c>
      <c r="F526" s="100" t="e">
        <f t="shared" ca="1" si="100"/>
        <v>#NAME?</v>
      </c>
      <c r="G526" s="100" t="e">
        <f t="shared" ca="1" si="101"/>
        <v>#NAME?</v>
      </c>
      <c r="H526" s="100" t="e">
        <f t="shared" ca="1" si="102"/>
        <v>#NAME?</v>
      </c>
      <c r="I526" s="100" t="e">
        <f t="shared" ca="1" si="103"/>
        <v>#NAME?</v>
      </c>
      <c r="J526" s="100" t="e">
        <f ca="1">IFERROR(__xludf.DUMMYFUNCTION("""COMPUTED_VALUE"""),"7.692")</f>
        <v>#NAME?</v>
      </c>
      <c r="K526" s="100" t="e">
        <f t="shared" ca="1" si="104"/>
        <v>#NAME?</v>
      </c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 spans="1:26">
      <c r="A527" s="100" t="e">
        <f ca="1">IFERROR(__xludf.DUMMYFUNCTION("""COMPUTED_VALUE"""),58783862)</f>
        <v>#NAME?</v>
      </c>
      <c r="B527" s="100" t="e">
        <f ca="1">IFERROR(__xludf.DUMMYFUNCTION("""COMPUTED_VALUE"""),"ONEUSDT")</f>
        <v>#NAME?</v>
      </c>
      <c r="C527" s="100" t="e">
        <f ca="1">IFERROR(__xludf.DUMMYFUNCTION("""COMPUTED_VALUE"""),"0.01168000")</f>
        <v>#NAME?</v>
      </c>
      <c r="D527" s="100" t="e">
        <f t="shared" ca="1" si="105"/>
        <v>#NAME?</v>
      </c>
      <c r="E527" s="100" t="e">
        <f t="shared" ca="1" si="105"/>
        <v>#NAME?</v>
      </c>
      <c r="F527" s="100" t="e">
        <f t="shared" ca="1" si="100"/>
        <v>#NAME?</v>
      </c>
      <c r="G527" s="100" t="e">
        <f t="shared" ca="1" si="101"/>
        <v>#NAME?</v>
      </c>
      <c r="H527" s="100" t="e">
        <f t="shared" ca="1" si="102"/>
        <v>#NAME?</v>
      </c>
      <c r="I527" s="100" t="e">
        <f t="shared" ca="1" si="103"/>
        <v>#NAME?</v>
      </c>
      <c r="J527" s="100" t="e">
        <f ca="1">IFERROR(__xludf.DUMMYFUNCTION("""COMPUTED_VALUE"""),"1.038")</f>
        <v>#NAME?</v>
      </c>
      <c r="K527" s="100" t="e">
        <f t="shared" ca="1" si="104"/>
        <v>#NAME?</v>
      </c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 spans="1:26">
      <c r="A528" s="100" t="e">
        <f ca="1">IFERROR(__xludf.DUMMYFUNCTION("""COMPUTED_VALUE"""),58783863)</f>
        <v>#NAME?</v>
      </c>
      <c r="B528" s="100" t="e">
        <f ca="1">IFERROR(__xludf.DUMMYFUNCTION("""COMPUTED_VALUE"""),"ONETUSD")</f>
        <v>#NAME?</v>
      </c>
      <c r="C528" s="100" t="e">
        <f ca="1">IFERROR(__xludf.DUMMYFUNCTION("""COMPUTED_VALUE"""),"0.00000000")</f>
        <v>#NAME?</v>
      </c>
      <c r="D528" s="100" t="e">
        <f t="shared" ca="1" si="105"/>
        <v>#NAME?</v>
      </c>
      <c r="E528" s="100" t="e">
        <f t="shared" ca="1" si="105"/>
        <v>#NAME?</v>
      </c>
      <c r="F528" s="100" t="e">
        <f t="shared" ca="1" si="100"/>
        <v>#NAME?</v>
      </c>
      <c r="G528" s="100" t="e">
        <f t="shared" ca="1" si="101"/>
        <v>#NAME?</v>
      </c>
      <c r="H528" s="100" t="e">
        <f t="shared" ca="1" si="102"/>
        <v>#NAME?</v>
      </c>
      <c r="I528" s="100" t="e">
        <f t="shared" ca="1" si="103"/>
        <v>#NAME?</v>
      </c>
      <c r="J528" s="100" t="e">
        <f t="shared" ref="J528:J541" ca="1" si="106">IFERROR(__xludf.DUMMYFUNCTION("""COMPUTED_VALUE"""),"0")</f>
        <v>#NAME?</v>
      </c>
      <c r="K528" s="100" t="e">
        <f t="shared" ca="1" si="104"/>
        <v>#NAME?</v>
      </c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 spans="1:26">
      <c r="A529" s="100" t="e">
        <f ca="1">IFERROR(__xludf.DUMMYFUNCTION("""COMPUTED_VALUE"""),58783864)</f>
        <v>#NAME?</v>
      </c>
      <c r="B529" s="100" t="e">
        <f ca="1">IFERROR(__xludf.DUMMYFUNCTION("""COMPUTED_VALUE"""),"ONEPAX")</f>
        <v>#NAME?</v>
      </c>
      <c r="C529" s="100" t="e">
        <f ca="1">IFERROR(__xludf.DUMMYFUNCTION("""COMPUTED_VALUE"""),"0.00000000")</f>
        <v>#NAME?</v>
      </c>
      <c r="D529" s="100" t="e">
        <f t="shared" ca="1" si="105"/>
        <v>#NAME?</v>
      </c>
      <c r="E529" s="100" t="e">
        <f t="shared" ca="1" si="105"/>
        <v>#NAME?</v>
      </c>
      <c r="F529" s="100" t="e">
        <f t="shared" ca="1" si="100"/>
        <v>#NAME?</v>
      </c>
      <c r="G529" s="100" t="e">
        <f t="shared" ca="1" si="101"/>
        <v>#NAME?</v>
      </c>
      <c r="H529" s="100" t="e">
        <f t="shared" ca="1" si="102"/>
        <v>#NAME?</v>
      </c>
      <c r="I529" s="100" t="e">
        <f t="shared" ca="1" si="103"/>
        <v>#NAME?</v>
      </c>
      <c r="J529" s="100" t="e">
        <f t="shared" ca="1" si="106"/>
        <v>#NAME?</v>
      </c>
      <c r="K529" s="100" t="e">
        <f t="shared" ca="1" si="104"/>
        <v>#NAME?</v>
      </c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 spans="1:26">
      <c r="A530" s="100" t="e">
        <f ca="1">IFERROR(__xludf.DUMMYFUNCTION("""COMPUTED_VALUE"""),58783865)</f>
        <v>#NAME?</v>
      </c>
      <c r="B530" s="100" t="e">
        <f ca="1">IFERROR(__xludf.DUMMYFUNCTION("""COMPUTED_VALUE"""),"ONEUSDC")</f>
        <v>#NAME?</v>
      </c>
      <c r="C530" s="100" t="e">
        <f ca="1">IFERROR(__xludf.DUMMYFUNCTION("""COMPUTED_VALUE"""),"0.00000000")</f>
        <v>#NAME?</v>
      </c>
      <c r="D530" s="100" t="e">
        <f t="shared" ca="1" si="105"/>
        <v>#NAME?</v>
      </c>
      <c r="E530" s="100" t="e">
        <f t="shared" ca="1" si="105"/>
        <v>#NAME?</v>
      </c>
      <c r="F530" s="100" t="e">
        <f t="shared" ca="1" si="100"/>
        <v>#NAME?</v>
      </c>
      <c r="G530" s="100" t="e">
        <f t="shared" ca="1" si="101"/>
        <v>#NAME?</v>
      </c>
      <c r="H530" s="100" t="e">
        <f t="shared" ca="1" si="102"/>
        <v>#NAME?</v>
      </c>
      <c r="I530" s="100" t="e">
        <f t="shared" ca="1" si="103"/>
        <v>#NAME?</v>
      </c>
      <c r="J530" s="100" t="e">
        <f t="shared" ca="1" si="106"/>
        <v>#NAME?</v>
      </c>
      <c r="K530" s="100" t="e">
        <f t="shared" ca="1" si="104"/>
        <v>#NAME?</v>
      </c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 spans="1:26">
      <c r="A531" s="100" t="e">
        <f ca="1">IFERROR(__xludf.DUMMYFUNCTION("""COMPUTED_VALUE"""),58783866)</f>
        <v>#NAME?</v>
      </c>
      <c r="B531" s="100" t="e">
        <f ca="1">IFERROR(__xludf.DUMMYFUNCTION("""COMPUTED_VALUE"""),"FTMBNB")</f>
        <v>#NAME?</v>
      </c>
      <c r="C531" s="100" t="e">
        <f ca="1">IFERROR(__xludf.DUMMYFUNCTION("""COMPUTED_VALUE"""),"0.00101440")</f>
        <v>#NAME?</v>
      </c>
      <c r="D531" s="100" t="e">
        <f t="shared" ca="1" si="105"/>
        <v>#NAME?</v>
      </c>
      <c r="E531" s="100" t="e">
        <f t="shared" ca="1" si="105"/>
        <v>#NAME?</v>
      </c>
      <c r="F531" s="100" t="e">
        <f t="shared" ca="1" si="100"/>
        <v>#NAME?</v>
      </c>
      <c r="G531" s="100" t="e">
        <f t="shared" ca="1" si="101"/>
        <v>#NAME?</v>
      </c>
      <c r="H531" s="100" t="e">
        <f t="shared" ca="1" si="102"/>
        <v>#NAME?</v>
      </c>
      <c r="I531" s="100" t="e">
        <f t="shared" ca="1" si="103"/>
        <v>#NAME?</v>
      </c>
      <c r="J531" s="100" t="e">
        <f t="shared" ca="1" si="106"/>
        <v>#NAME?</v>
      </c>
      <c r="K531" s="100" t="e">
        <f t="shared" ca="1" si="104"/>
        <v>#NAME?</v>
      </c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 spans="1:26">
      <c r="A532" s="100" t="e">
        <f ca="1">IFERROR(__xludf.DUMMYFUNCTION("""COMPUTED_VALUE"""),58783867)</f>
        <v>#NAME?</v>
      </c>
      <c r="B532" s="100" t="e">
        <f ca="1">IFERROR(__xludf.DUMMYFUNCTION("""COMPUTED_VALUE"""),"FTMBTC")</f>
        <v>#NAME?</v>
      </c>
      <c r="C532" s="100" t="e">
        <f ca="1">IFERROR(__xludf.DUMMYFUNCTION("""COMPUTED_VALUE"""),"0.00000743")</f>
        <v>#NAME?</v>
      </c>
      <c r="D532" s="100" t="e">
        <f t="shared" ca="1" si="105"/>
        <v>#NAME?</v>
      </c>
      <c r="E532" s="100" t="e">
        <f t="shared" ca="1" si="105"/>
        <v>#NAME?</v>
      </c>
      <c r="F532" s="100" t="e">
        <f t="shared" ca="1" si="100"/>
        <v>#NAME?</v>
      </c>
      <c r="G532" s="100" t="e">
        <f t="shared" ca="1" si="101"/>
        <v>#NAME?</v>
      </c>
      <c r="H532" s="100" t="e">
        <f t="shared" ca="1" si="102"/>
        <v>#NAME?</v>
      </c>
      <c r="I532" s="100" t="e">
        <f t="shared" ca="1" si="103"/>
        <v>#NAME?</v>
      </c>
      <c r="J532" s="100" t="e">
        <f t="shared" ca="1" si="106"/>
        <v>#NAME?</v>
      </c>
      <c r="K532" s="100" t="e">
        <f t="shared" ca="1" si="104"/>
        <v>#NAME?</v>
      </c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 spans="1:26">
      <c r="A533" s="100" t="e">
        <f ca="1">IFERROR(__xludf.DUMMYFUNCTION("""COMPUTED_VALUE"""),58783868)</f>
        <v>#NAME?</v>
      </c>
      <c r="B533" s="100" t="e">
        <f ca="1">IFERROR(__xludf.DUMMYFUNCTION("""COMPUTED_VALUE"""),"FTMUSDT")</f>
        <v>#NAME?</v>
      </c>
      <c r="C533" s="100" t="e">
        <f ca="1">IFERROR(__xludf.DUMMYFUNCTION("""COMPUTED_VALUE"""),"0.69940000")</f>
        <v>#NAME?</v>
      </c>
      <c r="D533" s="100" t="e">
        <f t="shared" ca="1" si="105"/>
        <v>#NAME?</v>
      </c>
      <c r="E533" s="100" t="e">
        <f t="shared" ca="1" si="105"/>
        <v>#NAME?</v>
      </c>
      <c r="F533" s="100" t="e">
        <f t="shared" ca="1" si="100"/>
        <v>#NAME?</v>
      </c>
      <c r="G533" s="100" t="e">
        <f t="shared" ca="1" si="101"/>
        <v>#NAME?</v>
      </c>
      <c r="H533" s="100" t="e">
        <f t="shared" ca="1" si="102"/>
        <v>#NAME?</v>
      </c>
      <c r="I533" s="100" t="e">
        <f t="shared" ca="1" si="103"/>
        <v>#NAME?</v>
      </c>
      <c r="J533" s="100" t="e">
        <f t="shared" ca="1" si="106"/>
        <v>#NAME?</v>
      </c>
      <c r="K533" s="100" t="e">
        <f t="shared" ca="1" si="104"/>
        <v>#NAME?</v>
      </c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 spans="1:26">
      <c r="A534" s="100" t="e">
        <f ca="1">IFERROR(__xludf.DUMMYFUNCTION("""COMPUTED_VALUE"""),58783869)</f>
        <v>#NAME?</v>
      </c>
      <c r="B534" s="100" t="e">
        <f ca="1">IFERROR(__xludf.DUMMYFUNCTION("""COMPUTED_VALUE"""),"FTMTUSD")</f>
        <v>#NAME?</v>
      </c>
      <c r="C534" s="100" t="e">
        <f ca="1">IFERROR(__xludf.DUMMYFUNCTION("""COMPUTED_VALUE"""),"0.00000000")</f>
        <v>#NAME?</v>
      </c>
      <c r="D534" s="100" t="e">
        <f t="shared" ca="1" si="105"/>
        <v>#NAME?</v>
      </c>
      <c r="E534" s="100" t="e">
        <f t="shared" ca="1" si="105"/>
        <v>#NAME?</v>
      </c>
      <c r="F534" s="100" t="e">
        <f t="shared" ca="1" si="100"/>
        <v>#NAME?</v>
      </c>
      <c r="G534" s="100" t="e">
        <f t="shared" ca="1" si="101"/>
        <v>#NAME?</v>
      </c>
      <c r="H534" s="100" t="e">
        <f t="shared" ca="1" si="102"/>
        <v>#NAME?</v>
      </c>
      <c r="I534" s="100" t="e">
        <f t="shared" ca="1" si="103"/>
        <v>#NAME?</v>
      </c>
      <c r="J534" s="100" t="e">
        <f t="shared" ca="1" si="106"/>
        <v>#NAME?</v>
      </c>
      <c r="K534" s="100" t="e">
        <f t="shared" ca="1" si="104"/>
        <v>#NAME?</v>
      </c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 spans="1:26">
      <c r="A535" s="100" t="e">
        <f ca="1">IFERROR(__xludf.DUMMYFUNCTION("""COMPUTED_VALUE"""),58783870)</f>
        <v>#NAME?</v>
      </c>
      <c r="B535" s="100" t="e">
        <f ca="1">IFERROR(__xludf.DUMMYFUNCTION("""COMPUTED_VALUE"""),"FTMPAX")</f>
        <v>#NAME?</v>
      </c>
      <c r="C535" s="100" t="e">
        <f ca="1">IFERROR(__xludf.DUMMYFUNCTION("""COMPUTED_VALUE"""),"0.00000000")</f>
        <v>#NAME?</v>
      </c>
      <c r="D535" s="100" t="e">
        <f t="shared" ca="1" si="105"/>
        <v>#NAME?</v>
      </c>
      <c r="E535" s="100" t="e">
        <f t="shared" ca="1" si="105"/>
        <v>#NAME?</v>
      </c>
      <c r="F535" s="100" t="e">
        <f t="shared" ca="1" si="100"/>
        <v>#NAME?</v>
      </c>
      <c r="G535" s="100" t="e">
        <f t="shared" ca="1" si="101"/>
        <v>#NAME?</v>
      </c>
      <c r="H535" s="100" t="e">
        <f t="shared" ca="1" si="102"/>
        <v>#NAME?</v>
      </c>
      <c r="I535" s="100" t="e">
        <f t="shared" ca="1" si="103"/>
        <v>#NAME?</v>
      </c>
      <c r="J535" s="100" t="e">
        <f t="shared" ca="1" si="106"/>
        <v>#NAME?</v>
      </c>
      <c r="K535" s="100" t="e">
        <f t="shared" ca="1" si="104"/>
        <v>#NAME?</v>
      </c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 spans="1:26">
      <c r="A536" s="100" t="e">
        <f ca="1">IFERROR(__xludf.DUMMYFUNCTION("""COMPUTED_VALUE"""),58783871)</f>
        <v>#NAME?</v>
      </c>
      <c r="B536" s="100" t="e">
        <f ca="1">IFERROR(__xludf.DUMMYFUNCTION("""COMPUTED_VALUE"""),"FTMUSDC")</f>
        <v>#NAME?</v>
      </c>
      <c r="C536" s="100" t="e">
        <f ca="1">IFERROR(__xludf.DUMMYFUNCTION("""COMPUTED_VALUE"""),"0.69860000")</f>
        <v>#NAME?</v>
      </c>
      <c r="D536" s="100" t="e">
        <f t="shared" ca="1" si="105"/>
        <v>#NAME?</v>
      </c>
      <c r="E536" s="100" t="e">
        <f t="shared" ca="1" si="105"/>
        <v>#NAME?</v>
      </c>
      <c r="F536" s="100" t="e">
        <f t="shared" ca="1" si="100"/>
        <v>#NAME?</v>
      </c>
      <c r="G536" s="100" t="e">
        <f t="shared" ca="1" si="101"/>
        <v>#NAME?</v>
      </c>
      <c r="H536" s="100" t="e">
        <f t="shared" ca="1" si="102"/>
        <v>#NAME?</v>
      </c>
      <c r="I536" s="100" t="e">
        <f t="shared" ca="1" si="103"/>
        <v>#NAME?</v>
      </c>
      <c r="J536" s="100" t="e">
        <f t="shared" ca="1" si="106"/>
        <v>#NAME?</v>
      </c>
      <c r="K536" s="100" t="e">
        <f t="shared" ca="1" si="104"/>
        <v>#NAME?</v>
      </c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 spans="1:26">
      <c r="A537" s="100" t="e">
        <f ca="1">IFERROR(__xludf.DUMMYFUNCTION("""COMPUTED_VALUE"""),58783872)</f>
        <v>#NAME?</v>
      </c>
      <c r="B537" s="100" t="e">
        <f ca="1">IFERROR(__xludf.DUMMYFUNCTION("""COMPUTED_VALUE"""),"BTCBBTC")</f>
        <v>#NAME?</v>
      </c>
      <c r="C537" s="100" t="e">
        <f ca="1">IFERROR(__xludf.DUMMYFUNCTION("""COMPUTED_VALUE"""),"0.00000000")</f>
        <v>#NAME?</v>
      </c>
      <c r="D537" s="100" t="e">
        <f t="shared" ca="1" si="105"/>
        <v>#NAME?</v>
      </c>
      <c r="E537" s="100" t="e">
        <f t="shared" ca="1" si="105"/>
        <v>#NAME?</v>
      </c>
      <c r="F537" s="100" t="e">
        <f t="shared" ca="1" si="100"/>
        <v>#NAME?</v>
      </c>
      <c r="G537" s="100" t="e">
        <f t="shared" ca="1" si="101"/>
        <v>#NAME?</v>
      </c>
      <c r="H537" s="100" t="e">
        <f t="shared" ca="1" si="102"/>
        <v>#NAME?</v>
      </c>
      <c r="I537" s="100" t="e">
        <f t="shared" ca="1" si="103"/>
        <v>#NAME?</v>
      </c>
      <c r="J537" s="100" t="e">
        <f t="shared" ca="1" si="106"/>
        <v>#NAME?</v>
      </c>
      <c r="K537" s="100" t="e">
        <f t="shared" ca="1" si="104"/>
        <v>#NAME?</v>
      </c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 spans="1:26">
      <c r="A538" s="100" t="e">
        <f ca="1">IFERROR(__xludf.DUMMYFUNCTION("""COMPUTED_VALUE"""),58783873)</f>
        <v>#NAME?</v>
      </c>
      <c r="B538" s="100" t="e">
        <f ca="1">IFERROR(__xludf.DUMMYFUNCTION("""COMPUTED_VALUE"""),"BCPTTUSD")</f>
        <v>#NAME?</v>
      </c>
      <c r="C538" s="100" t="e">
        <f ca="1">IFERROR(__xludf.DUMMYFUNCTION("""COMPUTED_VALUE"""),"0.00000000")</f>
        <v>#NAME?</v>
      </c>
      <c r="D538" s="100" t="e">
        <f t="shared" ca="1" si="105"/>
        <v>#NAME?</v>
      </c>
      <c r="E538" s="100" t="e">
        <f t="shared" ca="1" si="105"/>
        <v>#NAME?</v>
      </c>
      <c r="F538" s="100" t="e">
        <f t="shared" ca="1" si="100"/>
        <v>#NAME?</v>
      </c>
      <c r="G538" s="100" t="e">
        <f t="shared" ca="1" si="101"/>
        <v>#NAME?</v>
      </c>
      <c r="H538" s="100" t="e">
        <f t="shared" ca="1" si="102"/>
        <v>#NAME?</v>
      </c>
      <c r="I538" s="100" t="e">
        <f t="shared" ca="1" si="103"/>
        <v>#NAME?</v>
      </c>
      <c r="J538" s="100" t="e">
        <f t="shared" ca="1" si="106"/>
        <v>#NAME?</v>
      </c>
      <c r="K538" s="100" t="e">
        <f t="shared" ca="1" si="104"/>
        <v>#NAME?</v>
      </c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 spans="1:26">
      <c r="A539" s="100" t="e">
        <f ca="1">IFERROR(__xludf.DUMMYFUNCTION("""COMPUTED_VALUE"""),58783874)</f>
        <v>#NAME?</v>
      </c>
      <c r="B539" s="100" t="e">
        <f ca="1">IFERROR(__xludf.DUMMYFUNCTION("""COMPUTED_VALUE"""),"BCPTPAX")</f>
        <v>#NAME?</v>
      </c>
      <c r="C539" s="100" t="e">
        <f ca="1">IFERROR(__xludf.DUMMYFUNCTION("""COMPUTED_VALUE"""),"0.00000000")</f>
        <v>#NAME?</v>
      </c>
      <c r="D539" s="100" t="e">
        <f t="shared" ca="1" si="105"/>
        <v>#NAME?</v>
      </c>
      <c r="E539" s="100" t="e">
        <f t="shared" ca="1" si="105"/>
        <v>#NAME?</v>
      </c>
      <c r="F539" s="100" t="e">
        <f t="shared" ca="1" si="100"/>
        <v>#NAME?</v>
      </c>
      <c r="G539" s="100" t="e">
        <f t="shared" ca="1" si="101"/>
        <v>#NAME?</v>
      </c>
      <c r="H539" s="100" t="e">
        <f t="shared" ca="1" si="102"/>
        <v>#NAME?</v>
      </c>
      <c r="I539" s="100" t="e">
        <f t="shared" ca="1" si="103"/>
        <v>#NAME?</v>
      </c>
      <c r="J539" s="100" t="e">
        <f t="shared" ca="1" si="106"/>
        <v>#NAME?</v>
      </c>
      <c r="K539" s="100" t="e">
        <f t="shared" ca="1" si="104"/>
        <v>#NAME?</v>
      </c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 spans="1:26">
      <c r="A540" s="100" t="e">
        <f ca="1">IFERROR(__xludf.DUMMYFUNCTION("""COMPUTED_VALUE"""),58783875)</f>
        <v>#NAME?</v>
      </c>
      <c r="B540" s="100" t="e">
        <f ca="1">IFERROR(__xludf.DUMMYFUNCTION("""COMPUTED_VALUE"""),"BCPTUSDC")</f>
        <v>#NAME?</v>
      </c>
      <c r="C540" s="100" t="e">
        <f ca="1">IFERROR(__xludf.DUMMYFUNCTION("""COMPUTED_VALUE"""),"0.00000000")</f>
        <v>#NAME?</v>
      </c>
      <c r="D540" s="100" t="e">
        <f t="shared" ca="1" si="105"/>
        <v>#NAME?</v>
      </c>
      <c r="E540" s="100" t="e">
        <f t="shared" ca="1" si="105"/>
        <v>#NAME?</v>
      </c>
      <c r="F540" s="100" t="e">
        <f t="shared" ca="1" si="100"/>
        <v>#NAME?</v>
      </c>
      <c r="G540" s="100" t="e">
        <f t="shared" ca="1" si="101"/>
        <v>#NAME?</v>
      </c>
      <c r="H540" s="100" t="e">
        <f t="shared" ca="1" si="102"/>
        <v>#NAME?</v>
      </c>
      <c r="I540" s="100" t="e">
        <f t="shared" ca="1" si="103"/>
        <v>#NAME?</v>
      </c>
      <c r="J540" s="100" t="e">
        <f t="shared" ca="1" si="106"/>
        <v>#NAME?</v>
      </c>
      <c r="K540" s="100" t="e">
        <f t="shared" ca="1" si="104"/>
        <v>#NAME?</v>
      </c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 spans="1:26">
      <c r="A541" s="100" t="e">
        <f ca="1">IFERROR(__xludf.DUMMYFUNCTION("""COMPUTED_VALUE"""),58783876)</f>
        <v>#NAME?</v>
      </c>
      <c r="B541" s="100" t="e">
        <f ca="1">IFERROR(__xludf.DUMMYFUNCTION("""COMPUTED_VALUE"""),"ALGOBNB")</f>
        <v>#NAME?</v>
      </c>
      <c r="C541" s="100" t="e">
        <f ca="1">IFERROR(__xludf.DUMMYFUNCTION("""COMPUTED_VALUE"""),"0.00058250")</f>
        <v>#NAME?</v>
      </c>
      <c r="D541" s="100" t="e">
        <f t="shared" ca="1" si="105"/>
        <v>#NAME?</v>
      </c>
      <c r="E541" s="100" t="e">
        <f t="shared" ca="1" si="105"/>
        <v>#NAME?</v>
      </c>
      <c r="F541" s="100" t="e">
        <f t="shared" ca="1" si="100"/>
        <v>#NAME?</v>
      </c>
      <c r="G541" s="100" t="e">
        <f t="shared" ca="1" si="101"/>
        <v>#NAME?</v>
      </c>
      <c r="H541" s="100" t="e">
        <f t="shared" ca="1" si="102"/>
        <v>#NAME?</v>
      </c>
      <c r="I541" s="100" t="e">
        <f t="shared" ca="1" si="103"/>
        <v>#NAME?</v>
      </c>
      <c r="J541" s="100" t="e">
        <f t="shared" ca="1" si="106"/>
        <v>#NAME?</v>
      </c>
      <c r="K541" s="100" t="e">
        <f t="shared" ca="1" si="104"/>
        <v>#NAME?</v>
      </c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 spans="1:26">
      <c r="A542" s="100" t="e">
        <f ca="1">IFERROR(__xludf.DUMMYFUNCTION("""COMPUTED_VALUE"""),58783877)</f>
        <v>#NAME?</v>
      </c>
      <c r="B542" s="100" t="e">
        <f ca="1">IFERROR(__xludf.DUMMYFUNCTION("""COMPUTED_VALUE"""),"ALGOBTC")</f>
        <v>#NAME?</v>
      </c>
      <c r="C542" s="100" t="e">
        <f ca="1">IFERROR(__xludf.DUMMYFUNCTION("""COMPUTED_VALUE"""),"0.00000218")</f>
        <v>#NAME?</v>
      </c>
      <c r="D542" s="100" t="e">
        <f t="shared" ref="D542:E561" ca="1" si="107">IFERROR(__xludf.DUMMYFUNCTION("""COMPUTED_VALUE"""),"-")</f>
        <v>#NAME?</v>
      </c>
      <c r="E542" s="100" t="e">
        <f t="shared" ca="1" si="107"/>
        <v>#NAME?</v>
      </c>
      <c r="F542" s="100" t="e">
        <f t="shared" ca="1" si="100"/>
        <v>#NAME?</v>
      </c>
      <c r="G542" s="100" t="e">
        <f t="shared" ca="1" si="101"/>
        <v>#NAME?</v>
      </c>
      <c r="H542" s="100" t="e">
        <f t="shared" ca="1" si="102"/>
        <v>#NAME?</v>
      </c>
      <c r="I542" s="100" t="e">
        <f t="shared" ca="1" si="103"/>
        <v>#NAME?</v>
      </c>
      <c r="J542" s="100" t="e">
        <f ca="1">IFERROR(__xludf.DUMMYFUNCTION("""COMPUTED_VALUE"""),"-5.217")</f>
        <v>#NAME?</v>
      </c>
      <c r="K542" s="100" t="e">
        <f t="shared" ca="1" si="104"/>
        <v>#NAME?</v>
      </c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 spans="1:26">
      <c r="A543" s="100" t="e">
        <f ca="1">IFERROR(__xludf.DUMMYFUNCTION("""COMPUTED_VALUE"""),58783878)</f>
        <v>#NAME?</v>
      </c>
      <c r="B543" s="100" t="e">
        <f ca="1">IFERROR(__xludf.DUMMYFUNCTION("""COMPUTED_VALUE"""),"ALGOUSDT")</f>
        <v>#NAME?</v>
      </c>
      <c r="C543" s="100" t="e">
        <f ca="1">IFERROR(__xludf.DUMMYFUNCTION("""COMPUTED_VALUE"""),"0.19310000")</f>
        <v>#NAME?</v>
      </c>
      <c r="D543" s="100" t="e">
        <f t="shared" ca="1" si="107"/>
        <v>#NAME?</v>
      </c>
      <c r="E543" s="100" t="e">
        <f t="shared" ca="1" si="107"/>
        <v>#NAME?</v>
      </c>
      <c r="F543" s="100" t="e">
        <f t="shared" ca="1" si="100"/>
        <v>#NAME?</v>
      </c>
      <c r="G543" s="100" t="e">
        <f t="shared" ca="1" si="101"/>
        <v>#NAME?</v>
      </c>
      <c r="H543" s="100" t="e">
        <f t="shared" ca="1" si="102"/>
        <v>#NAME?</v>
      </c>
      <c r="I543" s="100" t="e">
        <f t="shared" ca="1" si="103"/>
        <v>#NAME?</v>
      </c>
      <c r="J543" s="100" t="e">
        <f ca="1">IFERROR(__xludf.DUMMYFUNCTION("""COMPUTED_VALUE"""),"-3.930")</f>
        <v>#NAME?</v>
      </c>
      <c r="K543" s="100" t="e">
        <f t="shared" ca="1" si="104"/>
        <v>#NAME?</v>
      </c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 spans="1:26">
      <c r="A544" s="100" t="e">
        <f ca="1">IFERROR(__xludf.DUMMYFUNCTION("""COMPUTED_VALUE"""),58783879)</f>
        <v>#NAME?</v>
      </c>
      <c r="B544" s="100" t="e">
        <f ca="1">IFERROR(__xludf.DUMMYFUNCTION("""COMPUTED_VALUE"""),"ALGOTUSD")</f>
        <v>#NAME?</v>
      </c>
      <c r="C544" s="100" t="e">
        <f ca="1">IFERROR(__xludf.DUMMYFUNCTION("""COMPUTED_VALUE"""),"0.00000000")</f>
        <v>#NAME?</v>
      </c>
      <c r="D544" s="100" t="e">
        <f t="shared" ca="1" si="107"/>
        <v>#NAME?</v>
      </c>
      <c r="E544" s="100" t="e">
        <f t="shared" ca="1" si="107"/>
        <v>#NAME?</v>
      </c>
      <c r="F544" s="100" t="e">
        <f t="shared" ca="1" si="100"/>
        <v>#NAME?</v>
      </c>
      <c r="G544" s="100" t="e">
        <f t="shared" ca="1" si="101"/>
        <v>#NAME?</v>
      </c>
      <c r="H544" s="100" t="e">
        <f t="shared" ca="1" si="102"/>
        <v>#NAME?</v>
      </c>
      <c r="I544" s="100" t="e">
        <f t="shared" ca="1" si="103"/>
        <v>#NAME?</v>
      </c>
      <c r="J544" s="100" t="e">
        <f ca="1">IFERROR(__xludf.DUMMYFUNCTION("""COMPUTED_VALUE"""),"0")</f>
        <v>#NAME?</v>
      </c>
      <c r="K544" s="100" t="e">
        <f t="shared" ca="1" si="104"/>
        <v>#NAME?</v>
      </c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 spans="1:26">
      <c r="A545" s="100" t="e">
        <f ca="1">IFERROR(__xludf.DUMMYFUNCTION("""COMPUTED_VALUE"""),58783880)</f>
        <v>#NAME?</v>
      </c>
      <c r="B545" s="100" t="e">
        <f ca="1">IFERROR(__xludf.DUMMYFUNCTION("""COMPUTED_VALUE"""),"ALGOPAX")</f>
        <v>#NAME?</v>
      </c>
      <c r="C545" s="100" t="e">
        <f ca="1">IFERROR(__xludf.DUMMYFUNCTION("""COMPUTED_VALUE"""),"0.00000000")</f>
        <v>#NAME?</v>
      </c>
      <c r="D545" s="100" t="e">
        <f t="shared" ca="1" si="107"/>
        <v>#NAME?</v>
      </c>
      <c r="E545" s="100" t="e">
        <f t="shared" ca="1" si="107"/>
        <v>#NAME?</v>
      </c>
      <c r="F545" s="100" t="e">
        <f t="shared" ca="1" si="100"/>
        <v>#NAME?</v>
      </c>
      <c r="G545" s="100" t="e">
        <f t="shared" ca="1" si="101"/>
        <v>#NAME?</v>
      </c>
      <c r="H545" s="100" t="e">
        <f t="shared" ca="1" si="102"/>
        <v>#NAME?</v>
      </c>
      <c r="I545" s="100" t="e">
        <f t="shared" ca="1" si="103"/>
        <v>#NAME?</v>
      </c>
      <c r="J545" s="100" t="e">
        <f ca="1">IFERROR(__xludf.DUMMYFUNCTION("""COMPUTED_VALUE"""),"0")</f>
        <v>#NAME?</v>
      </c>
      <c r="K545" s="100" t="e">
        <f t="shared" ca="1" si="104"/>
        <v>#NAME?</v>
      </c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 spans="1:26">
      <c r="A546" s="100" t="e">
        <f ca="1">IFERROR(__xludf.DUMMYFUNCTION("""COMPUTED_VALUE"""),58783881)</f>
        <v>#NAME?</v>
      </c>
      <c r="B546" s="100" t="e">
        <f ca="1">IFERROR(__xludf.DUMMYFUNCTION("""COMPUTED_VALUE"""),"ALGOUSDC")</f>
        <v>#NAME?</v>
      </c>
      <c r="C546" s="100" t="e">
        <f ca="1">IFERROR(__xludf.DUMMYFUNCTION("""COMPUTED_VALUE"""),"0.19330000")</f>
        <v>#NAME?</v>
      </c>
      <c r="D546" s="100" t="e">
        <f t="shared" ca="1" si="107"/>
        <v>#NAME?</v>
      </c>
      <c r="E546" s="100" t="e">
        <f t="shared" ca="1" si="107"/>
        <v>#NAME?</v>
      </c>
      <c r="F546" s="100" t="e">
        <f t="shared" ca="1" si="100"/>
        <v>#NAME?</v>
      </c>
      <c r="G546" s="100" t="e">
        <f t="shared" ca="1" si="101"/>
        <v>#NAME?</v>
      </c>
      <c r="H546" s="100" t="e">
        <f t="shared" ca="1" si="102"/>
        <v>#NAME?</v>
      </c>
      <c r="I546" s="100" t="e">
        <f t="shared" ca="1" si="103"/>
        <v>#NAME?</v>
      </c>
      <c r="J546" s="100" t="e">
        <f ca="1">IFERROR(__xludf.DUMMYFUNCTION("""COMPUTED_VALUE"""),"-3.831")</f>
        <v>#NAME?</v>
      </c>
      <c r="K546" s="100" t="e">
        <f t="shared" ca="1" si="104"/>
        <v>#NAME?</v>
      </c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 spans="1:26">
      <c r="A547" s="100" t="e">
        <f ca="1">IFERROR(__xludf.DUMMYFUNCTION("""COMPUTED_VALUE"""),58783882)</f>
        <v>#NAME?</v>
      </c>
      <c r="B547" s="100" t="e">
        <f ca="1">IFERROR(__xludf.DUMMYFUNCTION("""COMPUTED_VALUE"""),"USDSBUSDT")</f>
        <v>#NAME?</v>
      </c>
      <c r="C547" s="100" t="e">
        <f ca="1">IFERROR(__xludf.DUMMYFUNCTION("""COMPUTED_VALUE"""),"0.00000000")</f>
        <v>#NAME?</v>
      </c>
      <c r="D547" s="100" t="e">
        <f t="shared" ca="1" si="107"/>
        <v>#NAME?</v>
      </c>
      <c r="E547" s="100" t="e">
        <f t="shared" ca="1" si="107"/>
        <v>#NAME?</v>
      </c>
      <c r="F547" s="100" t="e">
        <f t="shared" ca="1" si="100"/>
        <v>#NAME?</v>
      </c>
      <c r="G547" s="100" t="e">
        <f t="shared" ca="1" si="101"/>
        <v>#NAME?</v>
      </c>
      <c r="H547" s="100" t="e">
        <f t="shared" ca="1" si="102"/>
        <v>#NAME?</v>
      </c>
      <c r="I547" s="100" t="e">
        <f t="shared" ca="1" si="103"/>
        <v>#NAME?</v>
      </c>
      <c r="J547" s="100" t="e">
        <f t="shared" ref="J547:J558" ca="1" si="108">IFERROR(__xludf.DUMMYFUNCTION("""COMPUTED_VALUE"""),"0")</f>
        <v>#NAME?</v>
      </c>
      <c r="K547" s="100" t="e">
        <f t="shared" ca="1" si="104"/>
        <v>#NAME?</v>
      </c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 spans="1:26">
      <c r="A548" s="100" t="e">
        <f ca="1">IFERROR(__xludf.DUMMYFUNCTION("""COMPUTED_VALUE"""),58783883)</f>
        <v>#NAME?</v>
      </c>
      <c r="B548" s="100" t="e">
        <f ca="1">IFERROR(__xludf.DUMMYFUNCTION("""COMPUTED_VALUE"""),"USDSBUSDS")</f>
        <v>#NAME?</v>
      </c>
      <c r="C548" s="100" t="e">
        <f ca="1">IFERROR(__xludf.DUMMYFUNCTION("""COMPUTED_VALUE"""),"0.00000000")</f>
        <v>#NAME?</v>
      </c>
      <c r="D548" s="100" t="e">
        <f t="shared" ca="1" si="107"/>
        <v>#NAME?</v>
      </c>
      <c r="E548" s="100" t="e">
        <f t="shared" ca="1" si="107"/>
        <v>#NAME?</v>
      </c>
      <c r="F548" s="100" t="e">
        <f t="shared" ca="1" si="100"/>
        <v>#NAME?</v>
      </c>
      <c r="G548" s="100" t="e">
        <f t="shared" ca="1" si="101"/>
        <v>#NAME?</v>
      </c>
      <c r="H548" s="100" t="e">
        <f t="shared" ca="1" si="102"/>
        <v>#NAME?</v>
      </c>
      <c r="I548" s="100" t="e">
        <f t="shared" ca="1" si="103"/>
        <v>#NAME?</v>
      </c>
      <c r="J548" s="100" t="e">
        <f t="shared" ca="1" si="108"/>
        <v>#NAME?</v>
      </c>
      <c r="K548" s="100" t="e">
        <f t="shared" ca="1" si="104"/>
        <v>#NAME?</v>
      </c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 spans="1:26">
      <c r="A549" s="100" t="e">
        <f ca="1">IFERROR(__xludf.DUMMYFUNCTION("""COMPUTED_VALUE"""),58783884)</f>
        <v>#NAME?</v>
      </c>
      <c r="B549" s="100" t="e">
        <f ca="1">IFERROR(__xludf.DUMMYFUNCTION("""COMPUTED_VALUE"""),"GTOUSDT")</f>
        <v>#NAME?</v>
      </c>
      <c r="C549" s="100" t="e">
        <f ca="1">IFERROR(__xludf.DUMMYFUNCTION("""COMPUTED_VALUE"""),"0.01233000")</f>
        <v>#NAME?</v>
      </c>
      <c r="D549" s="100" t="e">
        <f t="shared" ca="1" si="107"/>
        <v>#NAME?</v>
      </c>
      <c r="E549" s="100" t="e">
        <f t="shared" ca="1" si="107"/>
        <v>#NAME?</v>
      </c>
      <c r="F549" s="100" t="e">
        <f t="shared" ca="1" si="100"/>
        <v>#NAME?</v>
      </c>
      <c r="G549" s="100" t="e">
        <f t="shared" ca="1" si="101"/>
        <v>#NAME?</v>
      </c>
      <c r="H549" s="100" t="e">
        <f t="shared" ca="1" si="102"/>
        <v>#NAME?</v>
      </c>
      <c r="I549" s="100" t="e">
        <f t="shared" ca="1" si="103"/>
        <v>#NAME?</v>
      </c>
      <c r="J549" s="100" t="e">
        <f t="shared" ca="1" si="108"/>
        <v>#NAME?</v>
      </c>
      <c r="K549" s="100" t="e">
        <f t="shared" ca="1" si="104"/>
        <v>#NAME?</v>
      </c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 spans="1:26">
      <c r="A550" s="100" t="e">
        <f ca="1">IFERROR(__xludf.DUMMYFUNCTION("""COMPUTED_VALUE"""),58783885)</f>
        <v>#NAME?</v>
      </c>
      <c r="B550" s="100" t="e">
        <f ca="1">IFERROR(__xludf.DUMMYFUNCTION("""COMPUTED_VALUE"""),"GTOPAX")</f>
        <v>#NAME?</v>
      </c>
      <c r="C550" s="100" t="e">
        <f t="shared" ref="C550:C558" ca="1" si="109">IFERROR(__xludf.DUMMYFUNCTION("""COMPUTED_VALUE"""),"0.00000000")</f>
        <v>#NAME?</v>
      </c>
      <c r="D550" s="100" t="e">
        <f t="shared" ca="1" si="107"/>
        <v>#NAME?</v>
      </c>
      <c r="E550" s="100" t="e">
        <f t="shared" ca="1" si="107"/>
        <v>#NAME?</v>
      </c>
      <c r="F550" s="100" t="e">
        <f t="shared" ca="1" si="100"/>
        <v>#NAME?</v>
      </c>
      <c r="G550" s="100" t="e">
        <f t="shared" ca="1" si="101"/>
        <v>#NAME?</v>
      </c>
      <c r="H550" s="100" t="e">
        <f t="shared" ca="1" si="102"/>
        <v>#NAME?</v>
      </c>
      <c r="I550" s="100" t="e">
        <f t="shared" ca="1" si="103"/>
        <v>#NAME?</v>
      </c>
      <c r="J550" s="100" t="e">
        <f t="shared" ca="1" si="108"/>
        <v>#NAME?</v>
      </c>
      <c r="K550" s="100" t="e">
        <f t="shared" ca="1" si="104"/>
        <v>#NAME?</v>
      </c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 spans="1:26">
      <c r="A551" s="100" t="e">
        <f ca="1">IFERROR(__xludf.DUMMYFUNCTION("""COMPUTED_VALUE"""),58783886)</f>
        <v>#NAME?</v>
      </c>
      <c r="B551" s="100" t="e">
        <f ca="1">IFERROR(__xludf.DUMMYFUNCTION("""COMPUTED_VALUE"""),"GTOTUSD")</f>
        <v>#NAME?</v>
      </c>
      <c r="C551" s="100" t="e">
        <f t="shared" ca="1" si="109"/>
        <v>#NAME?</v>
      </c>
      <c r="D551" s="100" t="e">
        <f t="shared" ca="1" si="107"/>
        <v>#NAME?</v>
      </c>
      <c r="E551" s="100" t="e">
        <f t="shared" ca="1" si="107"/>
        <v>#NAME?</v>
      </c>
      <c r="F551" s="100" t="e">
        <f t="shared" ca="1" si="100"/>
        <v>#NAME?</v>
      </c>
      <c r="G551" s="100" t="e">
        <f t="shared" ca="1" si="101"/>
        <v>#NAME?</v>
      </c>
      <c r="H551" s="100" t="e">
        <f t="shared" ca="1" si="102"/>
        <v>#NAME?</v>
      </c>
      <c r="I551" s="100" t="e">
        <f t="shared" ca="1" si="103"/>
        <v>#NAME?</v>
      </c>
      <c r="J551" s="100" t="e">
        <f t="shared" ca="1" si="108"/>
        <v>#NAME?</v>
      </c>
      <c r="K551" s="100" t="e">
        <f t="shared" ca="1" si="104"/>
        <v>#NAME?</v>
      </c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 spans="1:26">
      <c r="A552" s="100" t="e">
        <f ca="1">IFERROR(__xludf.DUMMYFUNCTION("""COMPUTED_VALUE"""),58783887)</f>
        <v>#NAME?</v>
      </c>
      <c r="B552" s="100" t="e">
        <f ca="1">IFERROR(__xludf.DUMMYFUNCTION("""COMPUTED_VALUE"""),"GTOUSDC")</f>
        <v>#NAME?</v>
      </c>
      <c r="C552" s="100" t="e">
        <f t="shared" ca="1" si="109"/>
        <v>#NAME?</v>
      </c>
      <c r="D552" s="100" t="e">
        <f t="shared" ca="1" si="107"/>
        <v>#NAME?</v>
      </c>
      <c r="E552" s="100" t="e">
        <f t="shared" ca="1" si="107"/>
        <v>#NAME?</v>
      </c>
      <c r="F552" s="100" t="e">
        <f t="shared" ca="1" si="100"/>
        <v>#NAME?</v>
      </c>
      <c r="G552" s="100" t="e">
        <f t="shared" ca="1" si="101"/>
        <v>#NAME?</v>
      </c>
      <c r="H552" s="100" t="e">
        <f t="shared" ca="1" si="102"/>
        <v>#NAME?</v>
      </c>
      <c r="I552" s="100" t="e">
        <f t="shared" ca="1" si="103"/>
        <v>#NAME?</v>
      </c>
      <c r="J552" s="100" t="e">
        <f t="shared" ca="1" si="108"/>
        <v>#NAME?</v>
      </c>
      <c r="K552" s="100" t="e">
        <f t="shared" ca="1" si="104"/>
        <v>#NAME?</v>
      </c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 spans="1:26">
      <c r="A553" s="100" t="e">
        <f ca="1">IFERROR(__xludf.DUMMYFUNCTION("""COMPUTED_VALUE"""),58783888)</f>
        <v>#NAME?</v>
      </c>
      <c r="B553" s="100" t="e">
        <f ca="1">IFERROR(__xludf.DUMMYFUNCTION("""COMPUTED_VALUE"""),"ERDBNB")</f>
        <v>#NAME?</v>
      </c>
      <c r="C553" s="100" t="e">
        <f t="shared" ca="1" si="109"/>
        <v>#NAME?</v>
      </c>
      <c r="D553" s="100" t="e">
        <f t="shared" ca="1" si="107"/>
        <v>#NAME?</v>
      </c>
      <c r="E553" s="100" t="e">
        <f t="shared" ca="1" si="107"/>
        <v>#NAME?</v>
      </c>
      <c r="F553" s="100" t="e">
        <f t="shared" ca="1" si="100"/>
        <v>#NAME?</v>
      </c>
      <c r="G553" s="100" t="e">
        <f t="shared" ca="1" si="101"/>
        <v>#NAME?</v>
      </c>
      <c r="H553" s="100" t="e">
        <f t="shared" ca="1" si="102"/>
        <v>#NAME?</v>
      </c>
      <c r="I553" s="100" t="e">
        <f t="shared" ca="1" si="103"/>
        <v>#NAME?</v>
      </c>
      <c r="J553" s="100" t="e">
        <f t="shared" ca="1" si="108"/>
        <v>#NAME?</v>
      </c>
      <c r="K553" s="100" t="e">
        <f t="shared" ca="1" si="104"/>
        <v>#NAME?</v>
      </c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 spans="1:26">
      <c r="A554" s="100" t="e">
        <f ca="1">IFERROR(__xludf.DUMMYFUNCTION("""COMPUTED_VALUE"""),58783889)</f>
        <v>#NAME?</v>
      </c>
      <c r="B554" s="100" t="e">
        <f ca="1">IFERROR(__xludf.DUMMYFUNCTION("""COMPUTED_VALUE"""),"ERDBTC")</f>
        <v>#NAME?</v>
      </c>
      <c r="C554" s="100" t="e">
        <f t="shared" ca="1" si="109"/>
        <v>#NAME?</v>
      </c>
      <c r="D554" s="100" t="e">
        <f t="shared" ca="1" si="107"/>
        <v>#NAME?</v>
      </c>
      <c r="E554" s="100" t="e">
        <f t="shared" ca="1" si="107"/>
        <v>#NAME?</v>
      </c>
      <c r="F554" s="100" t="e">
        <f t="shared" ca="1" si="100"/>
        <v>#NAME?</v>
      </c>
      <c r="G554" s="100" t="e">
        <f t="shared" ca="1" si="101"/>
        <v>#NAME?</v>
      </c>
      <c r="H554" s="100" t="e">
        <f t="shared" ca="1" si="102"/>
        <v>#NAME?</v>
      </c>
      <c r="I554" s="100" t="e">
        <f t="shared" ca="1" si="103"/>
        <v>#NAME?</v>
      </c>
      <c r="J554" s="100" t="e">
        <f t="shared" ca="1" si="108"/>
        <v>#NAME?</v>
      </c>
      <c r="K554" s="100" t="e">
        <f t="shared" ca="1" si="104"/>
        <v>#NAME?</v>
      </c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 spans="1:26">
      <c r="A555" s="100" t="e">
        <f ca="1">IFERROR(__xludf.DUMMYFUNCTION("""COMPUTED_VALUE"""),58783890)</f>
        <v>#NAME?</v>
      </c>
      <c r="B555" s="100" t="e">
        <f ca="1">IFERROR(__xludf.DUMMYFUNCTION("""COMPUTED_VALUE"""),"ERDUSDT")</f>
        <v>#NAME?</v>
      </c>
      <c r="C555" s="100" t="e">
        <f t="shared" ca="1" si="109"/>
        <v>#NAME?</v>
      </c>
      <c r="D555" s="100" t="e">
        <f t="shared" ca="1" si="107"/>
        <v>#NAME?</v>
      </c>
      <c r="E555" s="100" t="e">
        <f t="shared" ca="1" si="107"/>
        <v>#NAME?</v>
      </c>
      <c r="F555" s="100" t="e">
        <f t="shared" ca="1" si="100"/>
        <v>#NAME?</v>
      </c>
      <c r="G555" s="100" t="e">
        <f t="shared" ca="1" si="101"/>
        <v>#NAME?</v>
      </c>
      <c r="H555" s="100" t="e">
        <f t="shared" ca="1" si="102"/>
        <v>#NAME?</v>
      </c>
      <c r="I555" s="100" t="e">
        <f t="shared" ca="1" si="103"/>
        <v>#NAME?</v>
      </c>
      <c r="J555" s="100" t="e">
        <f t="shared" ca="1" si="108"/>
        <v>#NAME?</v>
      </c>
      <c r="K555" s="100" t="e">
        <f t="shared" ca="1" si="104"/>
        <v>#NAME?</v>
      </c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 spans="1:26">
      <c r="A556" s="100" t="e">
        <f ca="1">IFERROR(__xludf.DUMMYFUNCTION("""COMPUTED_VALUE"""),58783891)</f>
        <v>#NAME?</v>
      </c>
      <c r="B556" s="100" t="e">
        <f ca="1">IFERROR(__xludf.DUMMYFUNCTION("""COMPUTED_VALUE"""),"ERDPAX")</f>
        <v>#NAME?</v>
      </c>
      <c r="C556" s="100" t="e">
        <f t="shared" ca="1" si="109"/>
        <v>#NAME?</v>
      </c>
      <c r="D556" s="100" t="e">
        <f t="shared" ca="1" si="107"/>
        <v>#NAME?</v>
      </c>
      <c r="E556" s="100" t="e">
        <f t="shared" ca="1" si="107"/>
        <v>#NAME?</v>
      </c>
      <c r="F556" s="100" t="e">
        <f t="shared" ca="1" si="100"/>
        <v>#NAME?</v>
      </c>
      <c r="G556" s="100" t="e">
        <f t="shared" ca="1" si="101"/>
        <v>#NAME?</v>
      </c>
      <c r="H556" s="100" t="e">
        <f t="shared" ca="1" si="102"/>
        <v>#NAME?</v>
      </c>
      <c r="I556" s="100" t="e">
        <f t="shared" ca="1" si="103"/>
        <v>#NAME?</v>
      </c>
      <c r="J556" s="100" t="e">
        <f t="shared" ca="1" si="108"/>
        <v>#NAME?</v>
      </c>
      <c r="K556" s="100" t="e">
        <f t="shared" ca="1" si="104"/>
        <v>#NAME?</v>
      </c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 spans="1:26">
      <c r="A557" s="100" t="e">
        <f ca="1">IFERROR(__xludf.DUMMYFUNCTION("""COMPUTED_VALUE"""),58783892)</f>
        <v>#NAME?</v>
      </c>
      <c r="B557" s="100" t="e">
        <f ca="1">IFERROR(__xludf.DUMMYFUNCTION("""COMPUTED_VALUE"""),"ERDUSDC")</f>
        <v>#NAME?</v>
      </c>
      <c r="C557" s="100" t="e">
        <f t="shared" ca="1" si="109"/>
        <v>#NAME?</v>
      </c>
      <c r="D557" s="100" t="e">
        <f t="shared" ca="1" si="107"/>
        <v>#NAME?</v>
      </c>
      <c r="E557" s="100" t="e">
        <f t="shared" ca="1" si="107"/>
        <v>#NAME?</v>
      </c>
      <c r="F557" s="100" t="e">
        <f t="shared" ca="1" si="100"/>
        <v>#NAME?</v>
      </c>
      <c r="G557" s="100" t="e">
        <f t="shared" ca="1" si="101"/>
        <v>#NAME?</v>
      </c>
      <c r="H557" s="100" t="e">
        <f t="shared" ca="1" si="102"/>
        <v>#NAME?</v>
      </c>
      <c r="I557" s="100" t="e">
        <f t="shared" ca="1" si="103"/>
        <v>#NAME?</v>
      </c>
      <c r="J557" s="100" t="e">
        <f t="shared" ca="1" si="108"/>
        <v>#NAME?</v>
      </c>
      <c r="K557" s="100" t="e">
        <f t="shared" ca="1" si="104"/>
        <v>#NAME?</v>
      </c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 spans="1:26">
      <c r="A558" s="100" t="e">
        <f ca="1">IFERROR(__xludf.DUMMYFUNCTION("""COMPUTED_VALUE"""),58783893)</f>
        <v>#NAME?</v>
      </c>
      <c r="B558" s="100" t="e">
        <f ca="1">IFERROR(__xludf.DUMMYFUNCTION("""COMPUTED_VALUE"""),"DOGEBNB")</f>
        <v>#NAME?</v>
      </c>
      <c r="C558" s="100" t="e">
        <f t="shared" ca="1" si="109"/>
        <v>#NAME?</v>
      </c>
      <c r="D558" s="100" t="e">
        <f t="shared" ca="1" si="107"/>
        <v>#NAME?</v>
      </c>
      <c r="E558" s="100" t="e">
        <f t="shared" ca="1" si="107"/>
        <v>#NAME?</v>
      </c>
      <c r="F558" s="100" t="e">
        <f t="shared" ca="1" si="100"/>
        <v>#NAME?</v>
      </c>
      <c r="G558" s="100" t="e">
        <f t="shared" ca="1" si="101"/>
        <v>#NAME?</v>
      </c>
      <c r="H558" s="100" t="e">
        <f t="shared" ca="1" si="102"/>
        <v>#NAME?</v>
      </c>
      <c r="I558" s="100" t="e">
        <f t="shared" ca="1" si="103"/>
        <v>#NAME?</v>
      </c>
      <c r="J558" s="100" t="e">
        <f t="shared" ca="1" si="108"/>
        <v>#NAME?</v>
      </c>
      <c r="K558" s="100" t="e">
        <f t="shared" ca="1" si="104"/>
        <v>#NAME?</v>
      </c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 spans="1:26">
      <c r="A559" s="100" t="e">
        <f ca="1">IFERROR(__xludf.DUMMYFUNCTION("""COMPUTED_VALUE"""),58783894)</f>
        <v>#NAME?</v>
      </c>
      <c r="B559" s="100" t="e">
        <f ca="1">IFERROR(__xludf.DUMMYFUNCTION("""COMPUTED_VALUE"""),"DOGEBTC")</f>
        <v>#NAME?</v>
      </c>
      <c r="C559" s="100" t="e">
        <f ca="1">IFERROR(__xludf.DUMMYFUNCTION("""COMPUTED_VALUE"""),"0.00000185")</f>
        <v>#NAME?</v>
      </c>
      <c r="D559" s="100" t="e">
        <f t="shared" ca="1" si="107"/>
        <v>#NAME?</v>
      </c>
      <c r="E559" s="100" t="e">
        <f t="shared" ca="1" si="107"/>
        <v>#NAME?</v>
      </c>
      <c r="F559" s="100" t="e">
        <f t="shared" ca="1" si="100"/>
        <v>#NAME?</v>
      </c>
      <c r="G559" s="100" t="e">
        <f t="shared" ca="1" si="101"/>
        <v>#NAME?</v>
      </c>
      <c r="H559" s="100" t="e">
        <f t="shared" ca="1" si="102"/>
        <v>#NAME?</v>
      </c>
      <c r="I559" s="100" t="e">
        <f t="shared" ca="1" si="103"/>
        <v>#NAME?</v>
      </c>
      <c r="J559" s="100" t="e">
        <f ca="1">IFERROR(__xludf.DUMMYFUNCTION("""COMPUTED_VALUE"""),"-0.538")</f>
        <v>#NAME?</v>
      </c>
      <c r="K559" s="100" t="e">
        <f t="shared" ca="1" si="104"/>
        <v>#NAME?</v>
      </c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 spans="1:26">
      <c r="A560" s="100" t="e">
        <f ca="1">IFERROR(__xludf.DUMMYFUNCTION("""COMPUTED_VALUE"""),58783895)</f>
        <v>#NAME?</v>
      </c>
      <c r="B560" s="100" t="e">
        <f ca="1">IFERROR(__xludf.DUMMYFUNCTION("""COMPUTED_VALUE"""),"DOGEUSDT")</f>
        <v>#NAME?</v>
      </c>
      <c r="C560" s="100" t="e">
        <f ca="1">IFERROR(__xludf.DUMMYFUNCTION("""COMPUTED_VALUE"""),"0.16374000")</f>
        <v>#NAME?</v>
      </c>
      <c r="D560" s="100" t="e">
        <f t="shared" ca="1" si="107"/>
        <v>#NAME?</v>
      </c>
      <c r="E560" s="100" t="e">
        <f t="shared" ca="1" si="107"/>
        <v>#NAME?</v>
      </c>
      <c r="F560" s="100" t="e">
        <f t="shared" ca="1" si="100"/>
        <v>#NAME?</v>
      </c>
      <c r="G560" s="100" t="e">
        <f t="shared" ca="1" si="101"/>
        <v>#NAME?</v>
      </c>
      <c r="H560" s="100" t="e">
        <f t="shared" ca="1" si="102"/>
        <v>#NAME?</v>
      </c>
      <c r="I560" s="100" t="e">
        <f t="shared" ca="1" si="103"/>
        <v>#NAME?</v>
      </c>
      <c r="J560" s="100" t="e">
        <f ca="1">IFERROR(__xludf.DUMMYFUNCTION("""COMPUTED_VALUE"""),"0.956")</f>
        <v>#NAME?</v>
      </c>
      <c r="K560" s="100" t="e">
        <f t="shared" ca="1" si="104"/>
        <v>#NAME?</v>
      </c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 spans="1:26">
      <c r="A561" s="100" t="e">
        <f ca="1">IFERROR(__xludf.DUMMYFUNCTION("""COMPUTED_VALUE"""),58783896)</f>
        <v>#NAME?</v>
      </c>
      <c r="B561" s="100" t="e">
        <f ca="1">IFERROR(__xludf.DUMMYFUNCTION("""COMPUTED_VALUE"""),"DOGEPAX")</f>
        <v>#NAME?</v>
      </c>
      <c r="C561" s="100" t="e">
        <f ca="1">IFERROR(__xludf.DUMMYFUNCTION("""COMPUTED_VALUE"""),"0.00000000")</f>
        <v>#NAME?</v>
      </c>
      <c r="D561" s="100" t="e">
        <f t="shared" ca="1" si="107"/>
        <v>#NAME?</v>
      </c>
      <c r="E561" s="100" t="e">
        <f t="shared" ca="1" si="107"/>
        <v>#NAME?</v>
      </c>
      <c r="F561" s="100" t="e">
        <f t="shared" ca="1" si="100"/>
        <v>#NAME?</v>
      </c>
      <c r="G561" s="100" t="e">
        <f t="shared" ca="1" si="101"/>
        <v>#NAME?</v>
      </c>
      <c r="H561" s="100" t="e">
        <f t="shared" ca="1" si="102"/>
        <v>#NAME?</v>
      </c>
      <c r="I561" s="100" t="e">
        <f t="shared" ca="1" si="103"/>
        <v>#NAME?</v>
      </c>
      <c r="J561" s="100" t="e">
        <f ca="1">IFERROR(__xludf.DUMMYFUNCTION("""COMPUTED_VALUE"""),"0")</f>
        <v>#NAME?</v>
      </c>
      <c r="K561" s="100" t="e">
        <f t="shared" ca="1" si="104"/>
        <v>#NAME?</v>
      </c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 spans="1:26">
      <c r="A562" s="100" t="e">
        <f ca="1">IFERROR(__xludf.DUMMYFUNCTION("""COMPUTED_VALUE"""),58783897)</f>
        <v>#NAME?</v>
      </c>
      <c r="B562" s="100" t="e">
        <f ca="1">IFERROR(__xludf.DUMMYFUNCTION("""COMPUTED_VALUE"""),"DOGEUSDC")</f>
        <v>#NAME?</v>
      </c>
      <c r="C562" s="100" t="e">
        <f ca="1">IFERROR(__xludf.DUMMYFUNCTION("""COMPUTED_VALUE"""),"0.16369000")</f>
        <v>#NAME?</v>
      </c>
      <c r="D562" s="100" t="e">
        <f t="shared" ref="D562:E581" ca="1" si="110">IFERROR(__xludf.DUMMYFUNCTION("""COMPUTED_VALUE"""),"-")</f>
        <v>#NAME?</v>
      </c>
      <c r="E562" s="100" t="e">
        <f t="shared" ca="1" si="110"/>
        <v>#NAME?</v>
      </c>
      <c r="F562" s="100" t="e">
        <f t="shared" ca="1" si="100"/>
        <v>#NAME?</v>
      </c>
      <c r="G562" s="100" t="e">
        <f t="shared" ca="1" si="101"/>
        <v>#NAME?</v>
      </c>
      <c r="H562" s="100" t="e">
        <f t="shared" ca="1" si="102"/>
        <v>#NAME?</v>
      </c>
      <c r="I562" s="100" t="e">
        <f t="shared" ca="1" si="103"/>
        <v>#NAME?</v>
      </c>
      <c r="J562" s="100" t="e">
        <f ca="1">IFERROR(__xludf.DUMMYFUNCTION("""COMPUTED_VALUE"""),"0.944")</f>
        <v>#NAME?</v>
      </c>
      <c r="K562" s="100" t="e">
        <f t="shared" ca="1" si="104"/>
        <v>#NAME?</v>
      </c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 spans="1:26">
      <c r="A563" s="100" t="e">
        <f ca="1">IFERROR(__xludf.DUMMYFUNCTION("""COMPUTED_VALUE"""),58783898)</f>
        <v>#NAME?</v>
      </c>
      <c r="B563" s="100" t="e">
        <f ca="1">IFERROR(__xludf.DUMMYFUNCTION("""COMPUTED_VALUE"""),"DUSKBNB")</f>
        <v>#NAME?</v>
      </c>
      <c r="C563" s="100" t="e">
        <f ca="1">IFERROR(__xludf.DUMMYFUNCTION("""COMPUTED_VALUE"""),"0.00000000")</f>
        <v>#NAME?</v>
      </c>
      <c r="D563" s="100" t="e">
        <f t="shared" ca="1" si="110"/>
        <v>#NAME?</v>
      </c>
      <c r="E563" s="100" t="e">
        <f t="shared" ca="1" si="110"/>
        <v>#NAME?</v>
      </c>
      <c r="F563" s="100" t="e">
        <f t="shared" ca="1" si="100"/>
        <v>#NAME?</v>
      </c>
      <c r="G563" s="100" t="e">
        <f t="shared" ca="1" si="101"/>
        <v>#NAME?</v>
      </c>
      <c r="H563" s="100" t="e">
        <f t="shared" ca="1" si="102"/>
        <v>#NAME?</v>
      </c>
      <c r="I563" s="100" t="e">
        <f t="shared" ca="1" si="103"/>
        <v>#NAME?</v>
      </c>
      <c r="J563" s="100" t="e">
        <f ca="1">IFERROR(__xludf.DUMMYFUNCTION("""COMPUTED_VALUE"""),"0")</f>
        <v>#NAME?</v>
      </c>
      <c r="K563" s="100" t="e">
        <f t="shared" ca="1" si="104"/>
        <v>#NAME?</v>
      </c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 spans="1:26">
      <c r="A564" s="100" t="e">
        <f ca="1">IFERROR(__xludf.DUMMYFUNCTION("""COMPUTED_VALUE"""),58783899)</f>
        <v>#NAME?</v>
      </c>
      <c r="B564" s="100" t="e">
        <f ca="1">IFERROR(__xludf.DUMMYFUNCTION("""COMPUTED_VALUE"""),"DUSKBTC")</f>
        <v>#NAME?</v>
      </c>
      <c r="C564" s="100" t="e">
        <f ca="1">IFERROR(__xludf.DUMMYFUNCTION("""COMPUTED_VALUE"""),"0.00000090")</f>
        <v>#NAME?</v>
      </c>
      <c r="D564" s="100" t="e">
        <f t="shared" ca="1" si="110"/>
        <v>#NAME?</v>
      </c>
      <c r="E564" s="100" t="e">
        <f t="shared" ca="1" si="110"/>
        <v>#NAME?</v>
      </c>
      <c r="F564" s="100" t="e">
        <f t="shared" ca="1" si="100"/>
        <v>#NAME?</v>
      </c>
      <c r="G564" s="100" t="e">
        <f t="shared" ca="1" si="101"/>
        <v>#NAME?</v>
      </c>
      <c r="H564" s="100" t="e">
        <f t="shared" ca="1" si="102"/>
        <v>#NAME?</v>
      </c>
      <c r="I564" s="100" t="e">
        <f t="shared" ca="1" si="103"/>
        <v>#NAME?</v>
      </c>
      <c r="J564" s="100" t="e">
        <f ca="1">IFERROR(__xludf.DUMMYFUNCTION("""COMPUTED_VALUE"""),"-3.226")</f>
        <v>#NAME?</v>
      </c>
      <c r="K564" s="100" t="e">
        <f t="shared" ca="1" si="104"/>
        <v>#NAME?</v>
      </c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 spans="1:26">
      <c r="A565" s="100" t="e">
        <f ca="1">IFERROR(__xludf.DUMMYFUNCTION("""COMPUTED_VALUE"""),58783900)</f>
        <v>#NAME?</v>
      </c>
      <c r="B565" s="100" t="e">
        <f ca="1">IFERROR(__xludf.DUMMYFUNCTION("""COMPUTED_VALUE"""),"DUSKUSDT")</f>
        <v>#NAME?</v>
      </c>
      <c r="C565" s="100" t="e">
        <f ca="1">IFERROR(__xludf.DUMMYFUNCTION("""COMPUTED_VALUE"""),"0.08020000")</f>
        <v>#NAME?</v>
      </c>
      <c r="D565" s="100" t="e">
        <f t="shared" ca="1" si="110"/>
        <v>#NAME?</v>
      </c>
      <c r="E565" s="100" t="e">
        <f t="shared" ca="1" si="110"/>
        <v>#NAME?</v>
      </c>
      <c r="F565" s="100" t="e">
        <f t="shared" ca="1" si="100"/>
        <v>#NAME?</v>
      </c>
      <c r="G565" s="100" t="e">
        <f t="shared" ca="1" si="101"/>
        <v>#NAME?</v>
      </c>
      <c r="H565" s="100" t="e">
        <f t="shared" ca="1" si="102"/>
        <v>#NAME?</v>
      </c>
      <c r="I565" s="100" t="e">
        <f t="shared" ca="1" si="103"/>
        <v>#NAME?</v>
      </c>
      <c r="J565" s="100" t="e">
        <f ca="1">IFERROR(__xludf.DUMMYFUNCTION("""COMPUTED_VALUE"""),"-1.110")</f>
        <v>#NAME?</v>
      </c>
      <c r="K565" s="100" t="e">
        <f t="shared" ca="1" si="104"/>
        <v>#NAME?</v>
      </c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 spans="1:26">
      <c r="A566" s="100" t="e">
        <f ca="1">IFERROR(__xludf.DUMMYFUNCTION("""COMPUTED_VALUE"""),58783901)</f>
        <v>#NAME?</v>
      </c>
      <c r="B566" s="100" t="e">
        <f ca="1">IFERROR(__xludf.DUMMYFUNCTION("""COMPUTED_VALUE"""),"DUSKUSDC")</f>
        <v>#NAME?</v>
      </c>
      <c r="C566" s="100" t="e">
        <f ca="1">IFERROR(__xludf.DUMMYFUNCTION("""COMPUTED_VALUE"""),"0.00000000")</f>
        <v>#NAME?</v>
      </c>
      <c r="D566" s="100" t="e">
        <f t="shared" ca="1" si="110"/>
        <v>#NAME?</v>
      </c>
      <c r="E566" s="100" t="e">
        <f t="shared" ca="1" si="110"/>
        <v>#NAME?</v>
      </c>
      <c r="F566" s="100" t="e">
        <f t="shared" ca="1" si="100"/>
        <v>#NAME?</v>
      </c>
      <c r="G566" s="100" t="e">
        <f t="shared" ca="1" si="101"/>
        <v>#NAME?</v>
      </c>
      <c r="H566" s="100" t="e">
        <f t="shared" ca="1" si="102"/>
        <v>#NAME?</v>
      </c>
      <c r="I566" s="100" t="e">
        <f t="shared" ca="1" si="103"/>
        <v>#NAME?</v>
      </c>
      <c r="J566" s="100" t="e">
        <f ca="1">IFERROR(__xludf.DUMMYFUNCTION("""COMPUTED_VALUE"""),"0")</f>
        <v>#NAME?</v>
      </c>
      <c r="K566" s="100" t="e">
        <f t="shared" ca="1" si="104"/>
        <v>#NAME?</v>
      </c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 spans="1:26">
      <c r="A567" s="100" t="e">
        <f ca="1">IFERROR(__xludf.DUMMYFUNCTION("""COMPUTED_VALUE"""),58783902)</f>
        <v>#NAME?</v>
      </c>
      <c r="B567" s="100" t="e">
        <f ca="1">IFERROR(__xludf.DUMMYFUNCTION("""COMPUTED_VALUE"""),"DUSKPAX")</f>
        <v>#NAME?</v>
      </c>
      <c r="C567" s="100" t="e">
        <f ca="1">IFERROR(__xludf.DUMMYFUNCTION("""COMPUTED_VALUE"""),"0.00000000")</f>
        <v>#NAME?</v>
      </c>
      <c r="D567" s="100" t="e">
        <f t="shared" ca="1" si="110"/>
        <v>#NAME?</v>
      </c>
      <c r="E567" s="100" t="e">
        <f t="shared" ca="1" si="110"/>
        <v>#NAME?</v>
      </c>
      <c r="F567" s="100" t="e">
        <f t="shared" ca="1" si="100"/>
        <v>#NAME?</v>
      </c>
      <c r="G567" s="100" t="e">
        <f t="shared" ca="1" si="101"/>
        <v>#NAME?</v>
      </c>
      <c r="H567" s="100" t="e">
        <f t="shared" ca="1" si="102"/>
        <v>#NAME?</v>
      </c>
      <c r="I567" s="100" t="e">
        <f t="shared" ca="1" si="103"/>
        <v>#NAME?</v>
      </c>
      <c r="J567" s="100" t="e">
        <f ca="1">IFERROR(__xludf.DUMMYFUNCTION("""COMPUTED_VALUE"""),"0")</f>
        <v>#NAME?</v>
      </c>
      <c r="K567" s="100" t="e">
        <f t="shared" ca="1" si="104"/>
        <v>#NAME?</v>
      </c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 spans="1:26">
      <c r="A568" s="100" t="e">
        <f ca="1">IFERROR(__xludf.DUMMYFUNCTION("""COMPUTED_VALUE"""),58783903)</f>
        <v>#NAME?</v>
      </c>
      <c r="B568" s="100" t="e">
        <f ca="1">IFERROR(__xludf.DUMMYFUNCTION("""COMPUTED_VALUE"""),"BGBPUSDC")</f>
        <v>#NAME?</v>
      </c>
      <c r="C568" s="100" t="e">
        <f ca="1">IFERROR(__xludf.DUMMYFUNCTION("""COMPUTED_VALUE"""),"0.00000000")</f>
        <v>#NAME?</v>
      </c>
      <c r="D568" s="100" t="e">
        <f t="shared" ca="1" si="110"/>
        <v>#NAME?</v>
      </c>
      <c r="E568" s="100" t="e">
        <f t="shared" ca="1" si="110"/>
        <v>#NAME?</v>
      </c>
      <c r="F568" s="100" t="e">
        <f t="shared" ca="1" si="100"/>
        <v>#NAME?</v>
      </c>
      <c r="G568" s="100" t="e">
        <f t="shared" ca="1" si="101"/>
        <v>#NAME?</v>
      </c>
      <c r="H568" s="100" t="e">
        <f t="shared" ca="1" si="102"/>
        <v>#NAME?</v>
      </c>
      <c r="I568" s="100" t="e">
        <f t="shared" ca="1" si="103"/>
        <v>#NAME?</v>
      </c>
      <c r="J568" s="100" t="e">
        <f ca="1">IFERROR(__xludf.DUMMYFUNCTION("""COMPUTED_VALUE"""),"0")</f>
        <v>#NAME?</v>
      </c>
      <c r="K568" s="100" t="e">
        <f t="shared" ca="1" si="104"/>
        <v>#NAME?</v>
      </c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 spans="1:26">
      <c r="A569" s="100" t="e">
        <f ca="1">IFERROR(__xludf.DUMMYFUNCTION("""COMPUTED_VALUE"""),58783904)</f>
        <v>#NAME?</v>
      </c>
      <c r="B569" s="100" t="e">
        <f ca="1">IFERROR(__xludf.DUMMYFUNCTION("""COMPUTED_VALUE"""),"ANKRBNB")</f>
        <v>#NAME?</v>
      </c>
      <c r="C569" s="100" t="e">
        <f ca="1">IFERROR(__xludf.DUMMYFUNCTION("""COMPUTED_VALUE"""),"0.00008560")</f>
        <v>#NAME?</v>
      </c>
      <c r="D569" s="100" t="e">
        <f t="shared" ca="1" si="110"/>
        <v>#NAME?</v>
      </c>
      <c r="E569" s="100" t="e">
        <f t="shared" ca="1" si="110"/>
        <v>#NAME?</v>
      </c>
      <c r="F569" s="100" t="e">
        <f t="shared" ca="1" si="100"/>
        <v>#NAME?</v>
      </c>
      <c r="G569" s="100" t="e">
        <f t="shared" ca="1" si="101"/>
        <v>#NAME?</v>
      </c>
      <c r="H569" s="100" t="e">
        <f t="shared" ca="1" si="102"/>
        <v>#NAME?</v>
      </c>
      <c r="I569" s="100" t="e">
        <f t="shared" ca="1" si="103"/>
        <v>#NAME?</v>
      </c>
      <c r="J569" s="100" t="e">
        <f ca="1">IFERROR(__xludf.DUMMYFUNCTION("""COMPUTED_VALUE"""),"0")</f>
        <v>#NAME?</v>
      </c>
      <c r="K569" s="100" t="e">
        <f t="shared" ca="1" si="104"/>
        <v>#NAME?</v>
      </c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 spans="1:26">
      <c r="A570" s="100" t="e">
        <f ca="1">IFERROR(__xludf.DUMMYFUNCTION("""COMPUTED_VALUE"""),58783905)</f>
        <v>#NAME?</v>
      </c>
      <c r="B570" s="100" t="e">
        <f ca="1">IFERROR(__xludf.DUMMYFUNCTION("""COMPUTED_VALUE"""),"ANKRBTC")</f>
        <v>#NAME?</v>
      </c>
      <c r="C570" s="100" t="e">
        <f ca="1">IFERROR(__xludf.DUMMYFUNCTION("""COMPUTED_VALUE"""),"0.00000021")</f>
        <v>#NAME?</v>
      </c>
      <c r="D570" s="100" t="e">
        <f t="shared" ca="1" si="110"/>
        <v>#NAME?</v>
      </c>
      <c r="E570" s="100" t="e">
        <f t="shared" ca="1" si="110"/>
        <v>#NAME?</v>
      </c>
      <c r="F570" s="100" t="e">
        <f t="shared" ca="1" si="100"/>
        <v>#NAME?</v>
      </c>
      <c r="G570" s="100" t="e">
        <f t="shared" ca="1" si="101"/>
        <v>#NAME?</v>
      </c>
      <c r="H570" s="100" t="e">
        <f t="shared" ca="1" si="102"/>
        <v>#NAME?</v>
      </c>
      <c r="I570" s="100" t="e">
        <f t="shared" ca="1" si="103"/>
        <v>#NAME?</v>
      </c>
      <c r="J570" s="100" t="e">
        <f ca="1">IFERROR(__xludf.DUMMYFUNCTION("""COMPUTED_VALUE"""),"0.000")</f>
        <v>#NAME?</v>
      </c>
      <c r="K570" s="100" t="e">
        <f t="shared" ca="1" si="104"/>
        <v>#NAME?</v>
      </c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 spans="1:26">
      <c r="A571" s="100" t="e">
        <f ca="1">IFERROR(__xludf.DUMMYFUNCTION("""COMPUTED_VALUE"""),58783906)</f>
        <v>#NAME?</v>
      </c>
      <c r="B571" s="100" t="e">
        <f ca="1">IFERROR(__xludf.DUMMYFUNCTION("""COMPUTED_VALUE"""),"ANKRUSDT")</f>
        <v>#NAME?</v>
      </c>
      <c r="C571" s="100" t="e">
        <f ca="1">IFERROR(__xludf.DUMMYFUNCTION("""COMPUTED_VALUE"""),"0.01846000")</f>
        <v>#NAME?</v>
      </c>
      <c r="D571" s="100" t="e">
        <f t="shared" ca="1" si="110"/>
        <v>#NAME?</v>
      </c>
      <c r="E571" s="100" t="e">
        <f t="shared" ca="1" si="110"/>
        <v>#NAME?</v>
      </c>
      <c r="F571" s="100" t="e">
        <f t="shared" ca="1" si="100"/>
        <v>#NAME?</v>
      </c>
      <c r="G571" s="100" t="e">
        <f t="shared" ca="1" si="101"/>
        <v>#NAME?</v>
      </c>
      <c r="H571" s="100" t="e">
        <f t="shared" ca="1" si="102"/>
        <v>#NAME?</v>
      </c>
      <c r="I571" s="100" t="e">
        <f t="shared" ca="1" si="103"/>
        <v>#NAME?</v>
      </c>
      <c r="J571" s="100" t="e">
        <f ca="1">IFERROR(__xludf.DUMMYFUNCTION("""COMPUTED_VALUE"""),"-2.225")</f>
        <v>#NAME?</v>
      </c>
      <c r="K571" s="100" t="e">
        <f t="shared" ca="1" si="104"/>
        <v>#NAME?</v>
      </c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 spans="1:26">
      <c r="A572" s="100" t="e">
        <f ca="1">IFERROR(__xludf.DUMMYFUNCTION("""COMPUTED_VALUE"""),58783907)</f>
        <v>#NAME?</v>
      </c>
      <c r="B572" s="100" t="e">
        <f ca="1">IFERROR(__xludf.DUMMYFUNCTION("""COMPUTED_VALUE"""),"ANKRTUSD")</f>
        <v>#NAME?</v>
      </c>
      <c r="C572" s="100" t="e">
        <f ca="1">IFERROR(__xludf.DUMMYFUNCTION("""COMPUTED_VALUE"""),"0.00000000")</f>
        <v>#NAME?</v>
      </c>
      <c r="D572" s="100" t="e">
        <f t="shared" ca="1" si="110"/>
        <v>#NAME?</v>
      </c>
      <c r="E572" s="100" t="e">
        <f t="shared" ca="1" si="110"/>
        <v>#NAME?</v>
      </c>
      <c r="F572" s="100" t="e">
        <f t="shared" ca="1" si="100"/>
        <v>#NAME?</v>
      </c>
      <c r="G572" s="100" t="e">
        <f t="shared" ca="1" si="101"/>
        <v>#NAME?</v>
      </c>
      <c r="H572" s="100" t="e">
        <f t="shared" ca="1" si="102"/>
        <v>#NAME?</v>
      </c>
      <c r="I572" s="100" t="e">
        <f t="shared" ca="1" si="103"/>
        <v>#NAME?</v>
      </c>
      <c r="J572" s="100" t="e">
        <f ca="1">IFERROR(__xludf.DUMMYFUNCTION("""COMPUTED_VALUE"""),"0")</f>
        <v>#NAME?</v>
      </c>
      <c r="K572" s="100" t="e">
        <f t="shared" ca="1" si="104"/>
        <v>#NAME?</v>
      </c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 spans="1:26">
      <c r="A573" s="100" t="e">
        <f ca="1">IFERROR(__xludf.DUMMYFUNCTION("""COMPUTED_VALUE"""),58783908)</f>
        <v>#NAME?</v>
      </c>
      <c r="B573" s="100" t="e">
        <f ca="1">IFERROR(__xludf.DUMMYFUNCTION("""COMPUTED_VALUE"""),"ANKRPAX")</f>
        <v>#NAME?</v>
      </c>
      <c r="C573" s="100" t="e">
        <f ca="1">IFERROR(__xludf.DUMMYFUNCTION("""COMPUTED_VALUE"""),"0.00000000")</f>
        <v>#NAME?</v>
      </c>
      <c r="D573" s="100" t="e">
        <f t="shared" ca="1" si="110"/>
        <v>#NAME?</v>
      </c>
      <c r="E573" s="100" t="e">
        <f t="shared" ca="1" si="110"/>
        <v>#NAME?</v>
      </c>
      <c r="F573" s="100" t="e">
        <f t="shared" ca="1" si="100"/>
        <v>#NAME?</v>
      </c>
      <c r="G573" s="100" t="e">
        <f t="shared" ca="1" si="101"/>
        <v>#NAME?</v>
      </c>
      <c r="H573" s="100" t="e">
        <f t="shared" ca="1" si="102"/>
        <v>#NAME?</v>
      </c>
      <c r="I573" s="100" t="e">
        <f t="shared" ca="1" si="103"/>
        <v>#NAME?</v>
      </c>
      <c r="J573" s="100" t="e">
        <f ca="1">IFERROR(__xludf.DUMMYFUNCTION("""COMPUTED_VALUE"""),"0")</f>
        <v>#NAME?</v>
      </c>
      <c r="K573" s="100" t="e">
        <f t="shared" ca="1" si="104"/>
        <v>#NAME?</v>
      </c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 spans="1:26">
      <c r="A574" s="100" t="e">
        <f ca="1">IFERROR(__xludf.DUMMYFUNCTION("""COMPUTED_VALUE"""),58783909)</f>
        <v>#NAME?</v>
      </c>
      <c r="B574" s="100" t="e">
        <f ca="1">IFERROR(__xludf.DUMMYFUNCTION("""COMPUTED_VALUE"""),"ANKRUSDC")</f>
        <v>#NAME?</v>
      </c>
      <c r="C574" s="100" t="e">
        <f ca="1">IFERROR(__xludf.DUMMYFUNCTION("""COMPUTED_VALUE"""),"0.00000000")</f>
        <v>#NAME?</v>
      </c>
      <c r="D574" s="100" t="e">
        <f t="shared" ca="1" si="110"/>
        <v>#NAME?</v>
      </c>
      <c r="E574" s="100" t="e">
        <f t="shared" ca="1" si="110"/>
        <v>#NAME?</v>
      </c>
      <c r="F574" s="100" t="e">
        <f t="shared" ca="1" si="100"/>
        <v>#NAME?</v>
      </c>
      <c r="G574" s="100" t="e">
        <f t="shared" ca="1" si="101"/>
        <v>#NAME?</v>
      </c>
      <c r="H574" s="100" t="e">
        <f t="shared" ca="1" si="102"/>
        <v>#NAME?</v>
      </c>
      <c r="I574" s="100" t="e">
        <f t="shared" ca="1" si="103"/>
        <v>#NAME?</v>
      </c>
      <c r="J574" s="100" t="e">
        <f ca="1">IFERROR(__xludf.DUMMYFUNCTION("""COMPUTED_VALUE"""),"0")</f>
        <v>#NAME?</v>
      </c>
      <c r="K574" s="100" t="e">
        <f t="shared" ca="1" si="104"/>
        <v>#NAME?</v>
      </c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 spans="1:26">
      <c r="A575" s="100" t="e">
        <f ca="1">IFERROR(__xludf.DUMMYFUNCTION("""COMPUTED_VALUE"""),58783910)</f>
        <v>#NAME?</v>
      </c>
      <c r="B575" s="100" t="e">
        <f ca="1">IFERROR(__xludf.DUMMYFUNCTION("""COMPUTED_VALUE"""),"ONTPAX")</f>
        <v>#NAME?</v>
      </c>
      <c r="C575" s="100" t="e">
        <f ca="1">IFERROR(__xludf.DUMMYFUNCTION("""COMPUTED_VALUE"""),"0.00000000")</f>
        <v>#NAME?</v>
      </c>
      <c r="D575" s="100" t="e">
        <f t="shared" ca="1" si="110"/>
        <v>#NAME?</v>
      </c>
      <c r="E575" s="100" t="e">
        <f t="shared" ca="1" si="110"/>
        <v>#NAME?</v>
      </c>
      <c r="F575" s="100" t="e">
        <f t="shared" ca="1" si="100"/>
        <v>#NAME?</v>
      </c>
      <c r="G575" s="100" t="e">
        <f t="shared" ca="1" si="101"/>
        <v>#NAME?</v>
      </c>
      <c r="H575" s="100" t="e">
        <f t="shared" ca="1" si="102"/>
        <v>#NAME?</v>
      </c>
      <c r="I575" s="100" t="e">
        <f t="shared" ca="1" si="103"/>
        <v>#NAME?</v>
      </c>
      <c r="J575" s="100" t="e">
        <f ca="1">IFERROR(__xludf.DUMMYFUNCTION("""COMPUTED_VALUE"""),"0")</f>
        <v>#NAME?</v>
      </c>
      <c r="K575" s="100" t="e">
        <f t="shared" ca="1" si="104"/>
        <v>#NAME?</v>
      </c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 spans="1:26">
      <c r="A576" s="100" t="e">
        <f ca="1">IFERROR(__xludf.DUMMYFUNCTION("""COMPUTED_VALUE"""),58783911)</f>
        <v>#NAME?</v>
      </c>
      <c r="B576" s="100" t="e">
        <f ca="1">IFERROR(__xludf.DUMMYFUNCTION("""COMPUTED_VALUE"""),"ONTUSDC")</f>
        <v>#NAME?</v>
      </c>
      <c r="C576" s="100" t="e">
        <f ca="1">IFERROR(__xludf.DUMMYFUNCTION("""COMPUTED_VALUE"""),"0.14410000")</f>
        <v>#NAME?</v>
      </c>
      <c r="D576" s="100" t="e">
        <f t="shared" ca="1" si="110"/>
        <v>#NAME?</v>
      </c>
      <c r="E576" s="100" t="e">
        <f t="shared" ca="1" si="110"/>
        <v>#NAME?</v>
      </c>
      <c r="F576" s="100" t="e">
        <f t="shared" ca="1" si="100"/>
        <v>#NAME?</v>
      </c>
      <c r="G576" s="100" t="e">
        <f t="shared" ca="1" si="101"/>
        <v>#NAME?</v>
      </c>
      <c r="H576" s="100" t="e">
        <f t="shared" ca="1" si="102"/>
        <v>#NAME?</v>
      </c>
      <c r="I576" s="100" t="e">
        <f t="shared" ca="1" si="103"/>
        <v>#NAME?</v>
      </c>
      <c r="J576" s="100" t="e">
        <f ca="1">IFERROR(__xludf.DUMMYFUNCTION("""COMPUTED_VALUE"""),"-3.028")</f>
        <v>#NAME?</v>
      </c>
      <c r="K576" s="100" t="e">
        <f t="shared" ca="1" si="104"/>
        <v>#NAME?</v>
      </c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 spans="1:26">
      <c r="A577" s="100" t="e">
        <f ca="1">IFERROR(__xludf.DUMMYFUNCTION("""COMPUTED_VALUE"""),58783912)</f>
        <v>#NAME?</v>
      </c>
      <c r="B577" s="100" t="e">
        <f ca="1">IFERROR(__xludf.DUMMYFUNCTION("""COMPUTED_VALUE"""),"WINBNB")</f>
        <v>#NAME?</v>
      </c>
      <c r="C577" s="100" t="e">
        <f ca="1">IFERROR(__xludf.DUMMYFUNCTION("""COMPUTED_VALUE"""),"0.00000010")</f>
        <v>#NAME?</v>
      </c>
      <c r="D577" s="100" t="e">
        <f t="shared" ca="1" si="110"/>
        <v>#NAME?</v>
      </c>
      <c r="E577" s="100" t="e">
        <f t="shared" ca="1" si="110"/>
        <v>#NAME?</v>
      </c>
      <c r="F577" s="100" t="e">
        <f t="shared" ca="1" si="100"/>
        <v>#NAME?</v>
      </c>
      <c r="G577" s="100" t="e">
        <f t="shared" ca="1" si="101"/>
        <v>#NAME?</v>
      </c>
      <c r="H577" s="100" t="e">
        <f t="shared" ca="1" si="102"/>
        <v>#NAME?</v>
      </c>
      <c r="I577" s="100" t="e">
        <f t="shared" ca="1" si="103"/>
        <v>#NAME?</v>
      </c>
      <c r="J577" s="100" t="e">
        <f ca="1">IFERROR(__xludf.DUMMYFUNCTION("""COMPUTED_VALUE"""),"0")</f>
        <v>#NAME?</v>
      </c>
      <c r="K577" s="100" t="e">
        <f t="shared" ca="1" si="104"/>
        <v>#NAME?</v>
      </c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 spans="1:26">
      <c r="A578" s="100" t="e">
        <f ca="1">IFERROR(__xludf.DUMMYFUNCTION("""COMPUTED_VALUE"""),58783913)</f>
        <v>#NAME?</v>
      </c>
      <c r="B578" s="100" t="e">
        <f ca="1">IFERROR(__xludf.DUMMYFUNCTION("""COMPUTED_VALUE"""),"WINBTC")</f>
        <v>#NAME?</v>
      </c>
      <c r="C578" s="100" t="e">
        <f ca="1">IFERROR(__xludf.DUMMYFUNCTION("""COMPUTED_VALUE"""),"0.00000000")</f>
        <v>#NAME?</v>
      </c>
      <c r="D578" s="100" t="e">
        <f t="shared" ca="1" si="110"/>
        <v>#NAME?</v>
      </c>
      <c r="E578" s="100" t="e">
        <f t="shared" ca="1" si="110"/>
        <v>#NAME?</v>
      </c>
      <c r="F578" s="100" t="e">
        <f t="shared" ref="F578:F641" ca="1" si="111">IFERROR(__xludf.DUMMYFUNCTION("""COMPUTED_VALUE"""),20200)</f>
        <v>#NAME?</v>
      </c>
      <c r="G578" s="100" t="e">
        <f t="shared" ref="G578:G641" ca="1" si="112">IFERROR(__xludf.DUMMYFUNCTION("""COMPUTED_VALUE"""),2885)</f>
        <v>#NAME?</v>
      </c>
      <c r="H578" s="100" t="e">
        <f t="shared" ref="H578:H641" ca="1" si="113">IFERROR(__xludf.DUMMYFUNCTION("""COMPUTED_VALUE"""),663)</f>
        <v>#NAME?</v>
      </c>
      <c r="I578" s="100" t="e">
        <f t="shared" ref="I578:I641" ca="1" si="114">IFERROR(__xludf.DUMMYFUNCTION("""COMPUTED_VALUE"""),5817721)</f>
        <v>#NAME?</v>
      </c>
      <c r="J578" s="100" t="e">
        <f ca="1">IFERROR(__xludf.DUMMYFUNCTION("""COMPUTED_VALUE"""),"0")</f>
        <v>#NAME?</v>
      </c>
      <c r="K578" s="100" t="e">
        <f t="shared" ref="K578:K641" ca="1" si="115">IFERROR(__xludf.DUMMYFUNCTION("""COMPUTED_VALUE"""),"22.04.2025 13:05:01")</f>
        <v>#NAME?</v>
      </c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 spans="1:26">
      <c r="A579" s="100" t="e">
        <f ca="1">IFERROR(__xludf.DUMMYFUNCTION("""COMPUTED_VALUE"""),58783914)</f>
        <v>#NAME?</v>
      </c>
      <c r="B579" s="100" t="e">
        <f ca="1">IFERROR(__xludf.DUMMYFUNCTION("""COMPUTED_VALUE"""),"WINUSDT")</f>
        <v>#NAME?</v>
      </c>
      <c r="C579" s="100" t="e">
        <f ca="1">IFERROR(__xludf.DUMMYFUNCTION("""COMPUTED_VALUE"""),"0.00005197")</f>
        <v>#NAME?</v>
      </c>
      <c r="D579" s="100" t="e">
        <f t="shared" ca="1" si="110"/>
        <v>#NAME?</v>
      </c>
      <c r="E579" s="100" t="e">
        <f t="shared" ca="1" si="110"/>
        <v>#NAME?</v>
      </c>
      <c r="F579" s="100" t="e">
        <f t="shared" ca="1" si="111"/>
        <v>#NAME?</v>
      </c>
      <c r="G579" s="100" t="e">
        <f t="shared" ca="1" si="112"/>
        <v>#NAME?</v>
      </c>
      <c r="H579" s="100" t="e">
        <f t="shared" ca="1" si="113"/>
        <v>#NAME?</v>
      </c>
      <c r="I579" s="100" t="e">
        <f t="shared" ca="1" si="114"/>
        <v>#NAME?</v>
      </c>
      <c r="J579" s="100" t="e">
        <f ca="1">IFERROR(__xludf.DUMMYFUNCTION("""COMPUTED_VALUE"""),"3.836")</f>
        <v>#NAME?</v>
      </c>
      <c r="K579" s="100" t="e">
        <f t="shared" ca="1" si="115"/>
        <v>#NAME?</v>
      </c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 spans="1:26">
      <c r="A580" s="100" t="e">
        <f ca="1">IFERROR(__xludf.DUMMYFUNCTION("""COMPUTED_VALUE"""),58783915)</f>
        <v>#NAME?</v>
      </c>
      <c r="B580" s="100" t="e">
        <f ca="1">IFERROR(__xludf.DUMMYFUNCTION("""COMPUTED_VALUE"""),"WINUSDC")</f>
        <v>#NAME?</v>
      </c>
      <c r="C580" s="100" t="e">
        <f ca="1">IFERROR(__xludf.DUMMYFUNCTION("""COMPUTED_VALUE"""),"0.00009730")</f>
        <v>#NAME?</v>
      </c>
      <c r="D580" s="100" t="e">
        <f t="shared" ca="1" si="110"/>
        <v>#NAME?</v>
      </c>
      <c r="E580" s="100" t="e">
        <f t="shared" ca="1" si="110"/>
        <v>#NAME?</v>
      </c>
      <c r="F580" s="100" t="e">
        <f t="shared" ca="1" si="111"/>
        <v>#NAME?</v>
      </c>
      <c r="G580" s="100" t="e">
        <f t="shared" ca="1" si="112"/>
        <v>#NAME?</v>
      </c>
      <c r="H580" s="100" t="e">
        <f t="shared" ca="1" si="113"/>
        <v>#NAME?</v>
      </c>
      <c r="I580" s="100" t="e">
        <f t="shared" ca="1" si="114"/>
        <v>#NAME?</v>
      </c>
      <c r="J580" s="100" t="e">
        <f ca="1">IFERROR(__xludf.DUMMYFUNCTION("""COMPUTED_VALUE"""),"0")</f>
        <v>#NAME?</v>
      </c>
      <c r="K580" s="100" t="e">
        <f t="shared" ca="1" si="115"/>
        <v>#NAME?</v>
      </c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 spans="1:26">
      <c r="A581" s="100" t="e">
        <f ca="1">IFERROR(__xludf.DUMMYFUNCTION("""COMPUTED_VALUE"""),58783916)</f>
        <v>#NAME?</v>
      </c>
      <c r="B581" s="100" t="e">
        <f ca="1">IFERROR(__xludf.DUMMYFUNCTION("""COMPUTED_VALUE"""),"COSBNB")</f>
        <v>#NAME?</v>
      </c>
      <c r="C581" s="100" t="e">
        <f ca="1">IFERROR(__xludf.DUMMYFUNCTION("""COMPUTED_VALUE"""),"0.00002678")</f>
        <v>#NAME?</v>
      </c>
      <c r="D581" s="100" t="e">
        <f t="shared" ca="1" si="110"/>
        <v>#NAME?</v>
      </c>
      <c r="E581" s="100" t="e">
        <f t="shared" ca="1" si="110"/>
        <v>#NAME?</v>
      </c>
      <c r="F581" s="100" t="e">
        <f t="shared" ca="1" si="111"/>
        <v>#NAME?</v>
      </c>
      <c r="G581" s="100" t="e">
        <f t="shared" ca="1" si="112"/>
        <v>#NAME?</v>
      </c>
      <c r="H581" s="100" t="e">
        <f t="shared" ca="1" si="113"/>
        <v>#NAME?</v>
      </c>
      <c r="I581" s="100" t="e">
        <f t="shared" ca="1" si="114"/>
        <v>#NAME?</v>
      </c>
      <c r="J581" s="100" t="e">
        <f ca="1">IFERROR(__xludf.DUMMYFUNCTION("""COMPUTED_VALUE"""),"0")</f>
        <v>#NAME?</v>
      </c>
      <c r="K581" s="100" t="e">
        <f t="shared" ca="1" si="115"/>
        <v>#NAME?</v>
      </c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 spans="1:26">
      <c r="A582" s="100" t="e">
        <f ca="1">IFERROR(__xludf.DUMMYFUNCTION("""COMPUTED_VALUE"""),58783917)</f>
        <v>#NAME?</v>
      </c>
      <c r="B582" s="100" t="e">
        <f ca="1">IFERROR(__xludf.DUMMYFUNCTION("""COMPUTED_VALUE"""),"COSBTC")</f>
        <v>#NAME?</v>
      </c>
      <c r="C582" s="100" t="e">
        <f ca="1">IFERROR(__xludf.DUMMYFUNCTION("""COMPUTED_VALUE"""),"0.00000008")</f>
        <v>#NAME?</v>
      </c>
      <c r="D582" s="100" t="e">
        <f t="shared" ref="D582:E601" ca="1" si="116">IFERROR(__xludf.DUMMYFUNCTION("""COMPUTED_VALUE"""),"-")</f>
        <v>#NAME?</v>
      </c>
      <c r="E582" s="100" t="e">
        <f t="shared" ca="1" si="116"/>
        <v>#NAME?</v>
      </c>
      <c r="F582" s="100" t="e">
        <f t="shared" ca="1" si="111"/>
        <v>#NAME?</v>
      </c>
      <c r="G582" s="100" t="e">
        <f t="shared" ca="1" si="112"/>
        <v>#NAME?</v>
      </c>
      <c r="H582" s="100" t="e">
        <f t="shared" ca="1" si="113"/>
        <v>#NAME?</v>
      </c>
      <c r="I582" s="100" t="e">
        <f t="shared" ca="1" si="114"/>
        <v>#NAME?</v>
      </c>
      <c r="J582" s="100" t="e">
        <f ca="1">IFERROR(__xludf.DUMMYFUNCTION("""COMPUTED_VALUE"""),"0")</f>
        <v>#NAME?</v>
      </c>
      <c r="K582" s="100" t="e">
        <f t="shared" ca="1" si="115"/>
        <v>#NAME?</v>
      </c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 spans="1:26">
      <c r="A583" s="100" t="e">
        <f ca="1">IFERROR(__xludf.DUMMYFUNCTION("""COMPUTED_VALUE"""),58783918)</f>
        <v>#NAME?</v>
      </c>
      <c r="B583" s="100" t="e">
        <f ca="1">IFERROR(__xludf.DUMMYFUNCTION("""COMPUTED_VALUE"""),"COSUSDT")</f>
        <v>#NAME?</v>
      </c>
      <c r="C583" s="100" t="e">
        <f ca="1">IFERROR(__xludf.DUMMYFUNCTION("""COMPUTED_VALUE"""),"0.00326700")</f>
        <v>#NAME?</v>
      </c>
      <c r="D583" s="100" t="e">
        <f t="shared" ca="1" si="116"/>
        <v>#NAME?</v>
      </c>
      <c r="E583" s="100" t="e">
        <f t="shared" ca="1" si="116"/>
        <v>#NAME?</v>
      </c>
      <c r="F583" s="100" t="e">
        <f t="shared" ca="1" si="111"/>
        <v>#NAME?</v>
      </c>
      <c r="G583" s="100" t="e">
        <f t="shared" ca="1" si="112"/>
        <v>#NAME?</v>
      </c>
      <c r="H583" s="100" t="e">
        <f t="shared" ca="1" si="113"/>
        <v>#NAME?</v>
      </c>
      <c r="I583" s="100" t="e">
        <f t="shared" ca="1" si="114"/>
        <v>#NAME?</v>
      </c>
      <c r="J583" s="100" t="e">
        <f ca="1">IFERROR(__xludf.DUMMYFUNCTION("""COMPUTED_VALUE"""),"-0.578")</f>
        <v>#NAME?</v>
      </c>
      <c r="K583" s="100" t="e">
        <f t="shared" ca="1" si="115"/>
        <v>#NAME?</v>
      </c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 spans="1:26">
      <c r="A584" s="100" t="e">
        <f ca="1">IFERROR(__xludf.DUMMYFUNCTION("""COMPUTED_VALUE"""),58783919)</f>
        <v>#NAME?</v>
      </c>
      <c r="B584" s="100" t="e">
        <f ca="1">IFERROR(__xludf.DUMMYFUNCTION("""COMPUTED_VALUE"""),"TUSDBTUSD")</f>
        <v>#NAME?</v>
      </c>
      <c r="C584" s="100" t="e">
        <f ca="1">IFERROR(__xludf.DUMMYFUNCTION("""COMPUTED_VALUE"""),"0.00000000")</f>
        <v>#NAME?</v>
      </c>
      <c r="D584" s="100" t="e">
        <f t="shared" ca="1" si="116"/>
        <v>#NAME?</v>
      </c>
      <c r="E584" s="100" t="e">
        <f t="shared" ca="1" si="116"/>
        <v>#NAME?</v>
      </c>
      <c r="F584" s="100" t="e">
        <f t="shared" ca="1" si="111"/>
        <v>#NAME?</v>
      </c>
      <c r="G584" s="100" t="e">
        <f t="shared" ca="1" si="112"/>
        <v>#NAME?</v>
      </c>
      <c r="H584" s="100" t="e">
        <f t="shared" ca="1" si="113"/>
        <v>#NAME?</v>
      </c>
      <c r="I584" s="100" t="e">
        <f t="shared" ca="1" si="114"/>
        <v>#NAME?</v>
      </c>
      <c r="J584" s="100" t="e">
        <f t="shared" ref="J584:J589" ca="1" si="117">IFERROR(__xludf.DUMMYFUNCTION("""COMPUTED_VALUE"""),"0")</f>
        <v>#NAME?</v>
      </c>
      <c r="K584" s="100" t="e">
        <f t="shared" ca="1" si="115"/>
        <v>#NAME?</v>
      </c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 spans="1:26">
      <c r="A585" s="100" t="e">
        <f ca="1">IFERROR(__xludf.DUMMYFUNCTION("""COMPUTED_VALUE"""),58783920)</f>
        <v>#NAME?</v>
      </c>
      <c r="B585" s="100" t="e">
        <f ca="1">IFERROR(__xludf.DUMMYFUNCTION("""COMPUTED_VALUE"""),"NPXSUSDT")</f>
        <v>#NAME?</v>
      </c>
      <c r="C585" s="100" t="e">
        <f ca="1">IFERROR(__xludf.DUMMYFUNCTION("""COMPUTED_VALUE"""),"0.00000000")</f>
        <v>#NAME?</v>
      </c>
      <c r="D585" s="100" t="e">
        <f t="shared" ca="1" si="116"/>
        <v>#NAME?</v>
      </c>
      <c r="E585" s="100" t="e">
        <f t="shared" ca="1" si="116"/>
        <v>#NAME?</v>
      </c>
      <c r="F585" s="100" t="e">
        <f t="shared" ca="1" si="111"/>
        <v>#NAME?</v>
      </c>
      <c r="G585" s="100" t="e">
        <f t="shared" ca="1" si="112"/>
        <v>#NAME?</v>
      </c>
      <c r="H585" s="100" t="e">
        <f t="shared" ca="1" si="113"/>
        <v>#NAME?</v>
      </c>
      <c r="I585" s="100" t="e">
        <f t="shared" ca="1" si="114"/>
        <v>#NAME?</v>
      </c>
      <c r="J585" s="100" t="e">
        <f t="shared" ca="1" si="117"/>
        <v>#NAME?</v>
      </c>
      <c r="K585" s="100" t="e">
        <f t="shared" ca="1" si="115"/>
        <v>#NAME?</v>
      </c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 spans="1:26">
      <c r="A586" s="100" t="e">
        <f ca="1">IFERROR(__xludf.DUMMYFUNCTION("""COMPUTED_VALUE"""),58783921)</f>
        <v>#NAME?</v>
      </c>
      <c r="B586" s="100" t="e">
        <f ca="1">IFERROR(__xludf.DUMMYFUNCTION("""COMPUTED_VALUE"""),"NPXSUSDC")</f>
        <v>#NAME?</v>
      </c>
      <c r="C586" s="100" t="e">
        <f ca="1">IFERROR(__xludf.DUMMYFUNCTION("""COMPUTED_VALUE"""),"0.00000000")</f>
        <v>#NAME?</v>
      </c>
      <c r="D586" s="100" t="e">
        <f t="shared" ca="1" si="116"/>
        <v>#NAME?</v>
      </c>
      <c r="E586" s="100" t="e">
        <f t="shared" ca="1" si="116"/>
        <v>#NAME?</v>
      </c>
      <c r="F586" s="100" t="e">
        <f t="shared" ca="1" si="111"/>
        <v>#NAME?</v>
      </c>
      <c r="G586" s="100" t="e">
        <f t="shared" ca="1" si="112"/>
        <v>#NAME?</v>
      </c>
      <c r="H586" s="100" t="e">
        <f t="shared" ca="1" si="113"/>
        <v>#NAME?</v>
      </c>
      <c r="I586" s="100" t="e">
        <f t="shared" ca="1" si="114"/>
        <v>#NAME?</v>
      </c>
      <c r="J586" s="100" t="e">
        <f t="shared" ca="1" si="117"/>
        <v>#NAME?</v>
      </c>
      <c r="K586" s="100" t="e">
        <f t="shared" ca="1" si="115"/>
        <v>#NAME?</v>
      </c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 spans="1:26">
      <c r="A587" s="100" t="e">
        <f ca="1">IFERROR(__xludf.DUMMYFUNCTION("""COMPUTED_VALUE"""),58783922)</f>
        <v>#NAME?</v>
      </c>
      <c r="B587" s="100" t="e">
        <f ca="1">IFERROR(__xludf.DUMMYFUNCTION("""COMPUTED_VALUE"""),"COCOSBNB")</f>
        <v>#NAME?</v>
      </c>
      <c r="C587" s="100" t="e">
        <f ca="1">IFERROR(__xludf.DUMMYFUNCTION("""COMPUTED_VALUE"""),"0.00559000")</f>
        <v>#NAME?</v>
      </c>
      <c r="D587" s="100" t="e">
        <f t="shared" ca="1" si="116"/>
        <v>#NAME?</v>
      </c>
      <c r="E587" s="100" t="e">
        <f t="shared" ca="1" si="116"/>
        <v>#NAME?</v>
      </c>
      <c r="F587" s="100" t="e">
        <f t="shared" ca="1" si="111"/>
        <v>#NAME?</v>
      </c>
      <c r="G587" s="100" t="e">
        <f t="shared" ca="1" si="112"/>
        <v>#NAME?</v>
      </c>
      <c r="H587" s="100" t="e">
        <f t="shared" ca="1" si="113"/>
        <v>#NAME?</v>
      </c>
      <c r="I587" s="100" t="e">
        <f t="shared" ca="1" si="114"/>
        <v>#NAME?</v>
      </c>
      <c r="J587" s="100" t="e">
        <f t="shared" ca="1" si="117"/>
        <v>#NAME?</v>
      </c>
      <c r="K587" s="100" t="e">
        <f t="shared" ca="1" si="115"/>
        <v>#NAME?</v>
      </c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 spans="1:26">
      <c r="A588" s="100" t="e">
        <f ca="1">IFERROR(__xludf.DUMMYFUNCTION("""COMPUTED_VALUE"""),58783923)</f>
        <v>#NAME?</v>
      </c>
      <c r="B588" s="100" t="e">
        <f ca="1">IFERROR(__xludf.DUMMYFUNCTION("""COMPUTED_VALUE"""),"COCOSBTC")</f>
        <v>#NAME?</v>
      </c>
      <c r="C588" s="100" t="e">
        <f ca="1">IFERROR(__xludf.DUMMYFUNCTION("""COMPUTED_VALUE"""),"0.00000000")</f>
        <v>#NAME?</v>
      </c>
      <c r="D588" s="100" t="e">
        <f t="shared" ca="1" si="116"/>
        <v>#NAME?</v>
      </c>
      <c r="E588" s="100" t="e">
        <f t="shared" ca="1" si="116"/>
        <v>#NAME?</v>
      </c>
      <c r="F588" s="100" t="e">
        <f t="shared" ca="1" si="111"/>
        <v>#NAME?</v>
      </c>
      <c r="G588" s="100" t="e">
        <f t="shared" ca="1" si="112"/>
        <v>#NAME?</v>
      </c>
      <c r="H588" s="100" t="e">
        <f t="shared" ca="1" si="113"/>
        <v>#NAME?</v>
      </c>
      <c r="I588" s="100" t="e">
        <f t="shared" ca="1" si="114"/>
        <v>#NAME?</v>
      </c>
      <c r="J588" s="100" t="e">
        <f t="shared" ca="1" si="117"/>
        <v>#NAME?</v>
      </c>
      <c r="K588" s="100" t="e">
        <f t="shared" ca="1" si="115"/>
        <v>#NAME?</v>
      </c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 spans="1:26">
      <c r="A589" s="100" t="e">
        <f ca="1">IFERROR(__xludf.DUMMYFUNCTION("""COMPUTED_VALUE"""),58783924)</f>
        <v>#NAME?</v>
      </c>
      <c r="B589" s="100" t="e">
        <f ca="1">IFERROR(__xludf.DUMMYFUNCTION("""COMPUTED_VALUE"""),"COCOSUSDT")</f>
        <v>#NAME?</v>
      </c>
      <c r="C589" s="100" t="e">
        <f ca="1">IFERROR(__xludf.DUMMYFUNCTION("""COMPUTED_VALUE"""),"1.75460000")</f>
        <v>#NAME?</v>
      </c>
      <c r="D589" s="100" t="e">
        <f t="shared" ca="1" si="116"/>
        <v>#NAME?</v>
      </c>
      <c r="E589" s="100" t="e">
        <f t="shared" ca="1" si="116"/>
        <v>#NAME?</v>
      </c>
      <c r="F589" s="100" t="e">
        <f t="shared" ca="1" si="111"/>
        <v>#NAME?</v>
      </c>
      <c r="G589" s="100" t="e">
        <f t="shared" ca="1" si="112"/>
        <v>#NAME?</v>
      </c>
      <c r="H589" s="100" t="e">
        <f t="shared" ca="1" si="113"/>
        <v>#NAME?</v>
      </c>
      <c r="I589" s="100" t="e">
        <f t="shared" ca="1" si="114"/>
        <v>#NAME?</v>
      </c>
      <c r="J589" s="100" t="e">
        <f t="shared" ca="1" si="117"/>
        <v>#NAME?</v>
      </c>
      <c r="K589" s="100" t="e">
        <f t="shared" ca="1" si="115"/>
        <v>#NAME?</v>
      </c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 spans="1:26">
      <c r="A590" s="100" t="e">
        <f ca="1">IFERROR(__xludf.DUMMYFUNCTION("""COMPUTED_VALUE"""),58783925)</f>
        <v>#NAME?</v>
      </c>
      <c r="B590" s="100" t="e">
        <f ca="1">IFERROR(__xludf.DUMMYFUNCTION("""COMPUTED_VALUE"""),"MTLUSDT")</f>
        <v>#NAME?</v>
      </c>
      <c r="C590" s="100" t="e">
        <f ca="1">IFERROR(__xludf.DUMMYFUNCTION("""COMPUTED_VALUE"""),"0.82500000")</f>
        <v>#NAME?</v>
      </c>
      <c r="D590" s="100" t="e">
        <f t="shared" ca="1" si="116"/>
        <v>#NAME?</v>
      </c>
      <c r="E590" s="100" t="e">
        <f t="shared" ca="1" si="116"/>
        <v>#NAME?</v>
      </c>
      <c r="F590" s="100" t="e">
        <f t="shared" ca="1" si="111"/>
        <v>#NAME?</v>
      </c>
      <c r="G590" s="100" t="e">
        <f t="shared" ca="1" si="112"/>
        <v>#NAME?</v>
      </c>
      <c r="H590" s="100" t="e">
        <f t="shared" ca="1" si="113"/>
        <v>#NAME?</v>
      </c>
      <c r="I590" s="100" t="e">
        <f t="shared" ca="1" si="114"/>
        <v>#NAME?</v>
      </c>
      <c r="J590" s="100" t="e">
        <f ca="1">IFERROR(__xludf.DUMMYFUNCTION("""COMPUTED_VALUE"""),"-0.242")</f>
        <v>#NAME?</v>
      </c>
      <c r="K590" s="100" t="e">
        <f t="shared" ca="1" si="115"/>
        <v>#NAME?</v>
      </c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 spans="1:26">
      <c r="A591" s="100" t="e">
        <f ca="1">IFERROR(__xludf.DUMMYFUNCTION("""COMPUTED_VALUE"""),58783926)</f>
        <v>#NAME?</v>
      </c>
      <c r="B591" s="100" t="e">
        <f ca="1">IFERROR(__xludf.DUMMYFUNCTION("""COMPUTED_VALUE"""),"TOMOBNB")</f>
        <v>#NAME?</v>
      </c>
      <c r="C591" s="100" t="e">
        <f ca="1">IFERROR(__xludf.DUMMYFUNCTION("""COMPUTED_VALUE"""),"0.00000000")</f>
        <v>#NAME?</v>
      </c>
      <c r="D591" s="100" t="e">
        <f t="shared" ca="1" si="116"/>
        <v>#NAME?</v>
      </c>
      <c r="E591" s="100" t="e">
        <f t="shared" ca="1" si="116"/>
        <v>#NAME?</v>
      </c>
      <c r="F591" s="100" t="e">
        <f t="shared" ca="1" si="111"/>
        <v>#NAME?</v>
      </c>
      <c r="G591" s="100" t="e">
        <f t="shared" ca="1" si="112"/>
        <v>#NAME?</v>
      </c>
      <c r="H591" s="100" t="e">
        <f t="shared" ca="1" si="113"/>
        <v>#NAME?</v>
      </c>
      <c r="I591" s="100" t="e">
        <f t="shared" ca="1" si="114"/>
        <v>#NAME?</v>
      </c>
      <c r="J591" s="100" t="e">
        <f t="shared" ref="J591:J598" ca="1" si="118">IFERROR(__xludf.DUMMYFUNCTION("""COMPUTED_VALUE"""),"0")</f>
        <v>#NAME?</v>
      </c>
      <c r="K591" s="100" t="e">
        <f t="shared" ca="1" si="115"/>
        <v>#NAME?</v>
      </c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 spans="1:26">
      <c r="A592" s="100" t="e">
        <f ca="1">IFERROR(__xludf.DUMMYFUNCTION("""COMPUTED_VALUE"""),58783927)</f>
        <v>#NAME?</v>
      </c>
      <c r="B592" s="100" t="e">
        <f ca="1">IFERROR(__xludf.DUMMYFUNCTION("""COMPUTED_VALUE"""),"TOMOBTC")</f>
        <v>#NAME?</v>
      </c>
      <c r="C592" s="100" t="e">
        <f ca="1">IFERROR(__xludf.DUMMYFUNCTION("""COMPUTED_VALUE"""),"0.00003699")</f>
        <v>#NAME?</v>
      </c>
      <c r="D592" s="100" t="e">
        <f t="shared" ca="1" si="116"/>
        <v>#NAME?</v>
      </c>
      <c r="E592" s="100" t="e">
        <f t="shared" ca="1" si="116"/>
        <v>#NAME?</v>
      </c>
      <c r="F592" s="100" t="e">
        <f t="shared" ca="1" si="111"/>
        <v>#NAME?</v>
      </c>
      <c r="G592" s="100" t="e">
        <f t="shared" ca="1" si="112"/>
        <v>#NAME?</v>
      </c>
      <c r="H592" s="100" t="e">
        <f t="shared" ca="1" si="113"/>
        <v>#NAME?</v>
      </c>
      <c r="I592" s="100" t="e">
        <f t="shared" ca="1" si="114"/>
        <v>#NAME?</v>
      </c>
      <c r="J592" s="100" t="e">
        <f t="shared" ca="1" si="118"/>
        <v>#NAME?</v>
      </c>
      <c r="K592" s="100" t="e">
        <f t="shared" ca="1" si="115"/>
        <v>#NAME?</v>
      </c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 spans="1:26">
      <c r="A593" s="100" t="e">
        <f ca="1">IFERROR(__xludf.DUMMYFUNCTION("""COMPUTED_VALUE"""),58783928)</f>
        <v>#NAME?</v>
      </c>
      <c r="B593" s="100" t="e">
        <f ca="1">IFERROR(__xludf.DUMMYFUNCTION("""COMPUTED_VALUE"""),"TOMOUSDT")</f>
        <v>#NAME?</v>
      </c>
      <c r="C593" s="100" t="e">
        <f ca="1">IFERROR(__xludf.DUMMYFUNCTION("""COMPUTED_VALUE"""),"1.38190000")</f>
        <v>#NAME?</v>
      </c>
      <c r="D593" s="100" t="e">
        <f t="shared" ca="1" si="116"/>
        <v>#NAME?</v>
      </c>
      <c r="E593" s="100" t="e">
        <f t="shared" ca="1" si="116"/>
        <v>#NAME?</v>
      </c>
      <c r="F593" s="100" t="e">
        <f t="shared" ca="1" si="111"/>
        <v>#NAME?</v>
      </c>
      <c r="G593" s="100" t="e">
        <f t="shared" ca="1" si="112"/>
        <v>#NAME?</v>
      </c>
      <c r="H593" s="100" t="e">
        <f t="shared" ca="1" si="113"/>
        <v>#NAME?</v>
      </c>
      <c r="I593" s="100" t="e">
        <f t="shared" ca="1" si="114"/>
        <v>#NAME?</v>
      </c>
      <c r="J593" s="100" t="e">
        <f t="shared" ca="1" si="118"/>
        <v>#NAME?</v>
      </c>
      <c r="K593" s="100" t="e">
        <f t="shared" ca="1" si="115"/>
        <v>#NAME?</v>
      </c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 spans="1:26">
      <c r="A594" s="100" t="e">
        <f ca="1">IFERROR(__xludf.DUMMYFUNCTION("""COMPUTED_VALUE"""),58783929)</f>
        <v>#NAME?</v>
      </c>
      <c r="B594" s="100" t="e">
        <f ca="1">IFERROR(__xludf.DUMMYFUNCTION("""COMPUTED_VALUE"""),"TOMOUSDC")</f>
        <v>#NAME?</v>
      </c>
      <c r="C594" s="100" t="e">
        <f ca="1">IFERROR(__xludf.DUMMYFUNCTION("""COMPUTED_VALUE"""),"0.00000000")</f>
        <v>#NAME?</v>
      </c>
      <c r="D594" s="100" t="e">
        <f t="shared" ca="1" si="116"/>
        <v>#NAME?</v>
      </c>
      <c r="E594" s="100" t="e">
        <f t="shared" ca="1" si="116"/>
        <v>#NAME?</v>
      </c>
      <c r="F594" s="100" t="e">
        <f t="shared" ca="1" si="111"/>
        <v>#NAME?</v>
      </c>
      <c r="G594" s="100" t="e">
        <f t="shared" ca="1" si="112"/>
        <v>#NAME?</v>
      </c>
      <c r="H594" s="100" t="e">
        <f t="shared" ca="1" si="113"/>
        <v>#NAME?</v>
      </c>
      <c r="I594" s="100" t="e">
        <f t="shared" ca="1" si="114"/>
        <v>#NAME?</v>
      </c>
      <c r="J594" s="100" t="e">
        <f t="shared" ca="1" si="118"/>
        <v>#NAME?</v>
      </c>
      <c r="K594" s="100" t="e">
        <f t="shared" ca="1" si="115"/>
        <v>#NAME?</v>
      </c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 spans="1:26">
      <c r="A595" s="100" t="e">
        <f ca="1">IFERROR(__xludf.DUMMYFUNCTION("""COMPUTED_VALUE"""),58783930)</f>
        <v>#NAME?</v>
      </c>
      <c r="B595" s="100" t="e">
        <f ca="1">IFERROR(__xludf.DUMMYFUNCTION("""COMPUTED_VALUE"""),"PERLBNB")</f>
        <v>#NAME?</v>
      </c>
      <c r="C595" s="100" t="e">
        <f ca="1">IFERROR(__xludf.DUMMYFUNCTION("""COMPUTED_VALUE"""),"0.00000000")</f>
        <v>#NAME?</v>
      </c>
      <c r="D595" s="100" t="e">
        <f t="shared" ca="1" si="116"/>
        <v>#NAME?</v>
      </c>
      <c r="E595" s="100" t="e">
        <f t="shared" ca="1" si="116"/>
        <v>#NAME?</v>
      </c>
      <c r="F595" s="100" t="e">
        <f t="shared" ca="1" si="111"/>
        <v>#NAME?</v>
      </c>
      <c r="G595" s="100" t="e">
        <f t="shared" ca="1" si="112"/>
        <v>#NAME?</v>
      </c>
      <c r="H595" s="100" t="e">
        <f t="shared" ca="1" si="113"/>
        <v>#NAME?</v>
      </c>
      <c r="I595" s="100" t="e">
        <f t="shared" ca="1" si="114"/>
        <v>#NAME?</v>
      </c>
      <c r="J595" s="100" t="e">
        <f t="shared" ca="1" si="118"/>
        <v>#NAME?</v>
      </c>
      <c r="K595" s="100" t="e">
        <f t="shared" ca="1" si="115"/>
        <v>#NAME?</v>
      </c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 spans="1:26">
      <c r="A596" s="100" t="e">
        <f ca="1">IFERROR(__xludf.DUMMYFUNCTION("""COMPUTED_VALUE"""),58783931)</f>
        <v>#NAME?</v>
      </c>
      <c r="B596" s="100" t="e">
        <f ca="1">IFERROR(__xludf.DUMMYFUNCTION("""COMPUTED_VALUE"""),"PERLBTC")</f>
        <v>#NAME?</v>
      </c>
      <c r="C596" s="100" t="e">
        <f ca="1">IFERROR(__xludf.DUMMYFUNCTION("""COMPUTED_VALUE"""),"0.00000113")</f>
        <v>#NAME?</v>
      </c>
      <c r="D596" s="100" t="e">
        <f t="shared" ca="1" si="116"/>
        <v>#NAME?</v>
      </c>
      <c r="E596" s="100" t="e">
        <f t="shared" ca="1" si="116"/>
        <v>#NAME?</v>
      </c>
      <c r="F596" s="100" t="e">
        <f t="shared" ca="1" si="111"/>
        <v>#NAME?</v>
      </c>
      <c r="G596" s="100" t="e">
        <f t="shared" ca="1" si="112"/>
        <v>#NAME?</v>
      </c>
      <c r="H596" s="100" t="e">
        <f t="shared" ca="1" si="113"/>
        <v>#NAME?</v>
      </c>
      <c r="I596" s="100" t="e">
        <f t="shared" ca="1" si="114"/>
        <v>#NAME?</v>
      </c>
      <c r="J596" s="100" t="e">
        <f t="shared" ca="1" si="118"/>
        <v>#NAME?</v>
      </c>
      <c r="K596" s="100" t="e">
        <f t="shared" ca="1" si="115"/>
        <v>#NAME?</v>
      </c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 spans="1:26">
      <c r="A597" s="100" t="e">
        <f ca="1">IFERROR(__xludf.DUMMYFUNCTION("""COMPUTED_VALUE"""),58783932)</f>
        <v>#NAME?</v>
      </c>
      <c r="B597" s="100" t="e">
        <f ca="1">IFERROR(__xludf.DUMMYFUNCTION("""COMPUTED_VALUE"""),"PERLUSDC")</f>
        <v>#NAME?</v>
      </c>
      <c r="C597" s="100" t="e">
        <f ca="1">IFERROR(__xludf.DUMMYFUNCTION("""COMPUTED_VALUE"""),"0.00000000")</f>
        <v>#NAME?</v>
      </c>
      <c r="D597" s="100" t="e">
        <f t="shared" ca="1" si="116"/>
        <v>#NAME?</v>
      </c>
      <c r="E597" s="100" t="e">
        <f t="shared" ca="1" si="116"/>
        <v>#NAME?</v>
      </c>
      <c r="F597" s="100" t="e">
        <f t="shared" ca="1" si="111"/>
        <v>#NAME?</v>
      </c>
      <c r="G597" s="100" t="e">
        <f t="shared" ca="1" si="112"/>
        <v>#NAME?</v>
      </c>
      <c r="H597" s="100" t="e">
        <f t="shared" ca="1" si="113"/>
        <v>#NAME?</v>
      </c>
      <c r="I597" s="100" t="e">
        <f t="shared" ca="1" si="114"/>
        <v>#NAME?</v>
      </c>
      <c r="J597" s="100" t="e">
        <f t="shared" ca="1" si="118"/>
        <v>#NAME?</v>
      </c>
      <c r="K597" s="100" t="e">
        <f t="shared" ca="1" si="115"/>
        <v>#NAME?</v>
      </c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 spans="1:26">
      <c r="A598" s="100" t="e">
        <f ca="1">IFERROR(__xludf.DUMMYFUNCTION("""COMPUTED_VALUE"""),58783933)</f>
        <v>#NAME?</v>
      </c>
      <c r="B598" s="100" t="e">
        <f ca="1">IFERROR(__xludf.DUMMYFUNCTION("""COMPUTED_VALUE"""),"PERLUSDT")</f>
        <v>#NAME?</v>
      </c>
      <c r="C598" s="100" t="e">
        <f ca="1">IFERROR(__xludf.DUMMYFUNCTION("""COMPUTED_VALUE"""),"0.00460000")</f>
        <v>#NAME?</v>
      </c>
      <c r="D598" s="100" t="e">
        <f t="shared" ca="1" si="116"/>
        <v>#NAME?</v>
      </c>
      <c r="E598" s="100" t="e">
        <f t="shared" ca="1" si="116"/>
        <v>#NAME?</v>
      </c>
      <c r="F598" s="100" t="e">
        <f t="shared" ca="1" si="111"/>
        <v>#NAME?</v>
      </c>
      <c r="G598" s="100" t="e">
        <f t="shared" ca="1" si="112"/>
        <v>#NAME?</v>
      </c>
      <c r="H598" s="100" t="e">
        <f t="shared" ca="1" si="113"/>
        <v>#NAME?</v>
      </c>
      <c r="I598" s="100" t="e">
        <f t="shared" ca="1" si="114"/>
        <v>#NAME?</v>
      </c>
      <c r="J598" s="100" t="e">
        <f t="shared" ca="1" si="118"/>
        <v>#NAME?</v>
      </c>
      <c r="K598" s="100" t="e">
        <f t="shared" ca="1" si="115"/>
        <v>#NAME?</v>
      </c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 spans="1:26">
      <c r="A599" s="100" t="e">
        <f ca="1">IFERROR(__xludf.DUMMYFUNCTION("""COMPUTED_VALUE"""),58783934)</f>
        <v>#NAME?</v>
      </c>
      <c r="B599" s="100" t="e">
        <f ca="1">IFERROR(__xludf.DUMMYFUNCTION("""COMPUTED_VALUE"""),"DENTUSDT")</f>
        <v>#NAME?</v>
      </c>
      <c r="C599" s="100" t="e">
        <f ca="1">IFERROR(__xludf.DUMMYFUNCTION("""COMPUTED_VALUE"""),"0.00069400")</f>
        <v>#NAME?</v>
      </c>
      <c r="D599" s="100" t="e">
        <f t="shared" ca="1" si="116"/>
        <v>#NAME?</v>
      </c>
      <c r="E599" s="100" t="e">
        <f t="shared" ca="1" si="116"/>
        <v>#NAME?</v>
      </c>
      <c r="F599" s="100" t="e">
        <f t="shared" ca="1" si="111"/>
        <v>#NAME?</v>
      </c>
      <c r="G599" s="100" t="e">
        <f t="shared" ca="1" si="112"/>
        <v>#NAME?</v>
      </c>
      <c r="H599" s="100" t="e">
        <f t="shared" ca="1" si="113"/>
        <v>#NAME?</v>
      </c>
      <c r="I599" s="100" t="e">
        <f t="shared" ca="1" si="114"/>
        <v>#NAME?</v>
      </c>
      <c r="J599" s="100" t="e">
        <f ca="1">IFERROR(__xludf.DUMMYFUNCTION("""COMPUTED_VALUE"""),"-0.857")</f>
        <v>#NAME?</v>
      </c>
      <c r="K599" s="100" t="e">
        <f t="shared" ca="1" si="115"/>
        <v>#NAME?</v>
      </c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 spans="1:26">
      <c r="A600" s="100" t="e">
        <f ca="1">IFERROR(__xludf.DUMMYFUNCTION("""COMPUTED_VALUE"""),58783935)</f>
        <v>#NAME?</v>
      </c>
      <c r="B600" s="100" t="e">
        <f ca="1">IFERROR(__xludf.DUMMYFUNCTION("""COMPUTED_VALUE"""),"MFTUSDT")</f>
        <v>#NAME?</v>
      </c>
      <c r="C600" s="100" t="e">
        <f ca="1">IFERROR(__xludf.DUMMYFUNCTION("""COMPUTED_VALUE"""),"0.00525400")</f>
        <v>#NAME?</v>
      </c>
      <c r="D600" s="100" t="e">
        <f t="shared" ca="1" si="116"/>
        <v>#NAME?</v>
      </c>
      <c r="E600" s="100" t="e">
        <f t="shared" ca="1" si="116"/>
        <v>#NAME?</v>
      </c>
      <c r="F600" s="100" t="e">
        <f t="shared" ca="1" si="111"/>
        <v>#NAME?</v>
      </c>
      <c r="G600" s="100" t="e">
        <f t="shared" ca="1" si="112"/>
        <v>#NAME?</v>
      </c>
      <c r="H600" s="100" t="e">
        <f t="shared" ca="1" si="113"/>
        <v>#NAME?</v>
      </c>
      <c r="I600" s="100" t="e">
        <f t="shared" ca="1" si="114"/>
        <v>#NAME?</v>
      </c>
      <c r="J600" s="100" t="e">
        <f ca="1">IFERROR(__xludf.DUMMYFUNCTION("""COMPUTED_VALUE"""),"0")</f>
        <v>#NAME?</v>
      </c>
      <c r="K600" s="100" t="e">
        <f t="shared" ca="1" si="115"/>
        <v>#NAME?</v>
      </c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 spans="1:26">
      <c r="A601" s="100" t="e">
        <f ca="1">IFERROR(__xludf.DUMMYFUNCTION("""COMPUTED_VALUE"""),58783936)</f>
        <v>#NAME?</v>
      </c>
      <c r="B601" s="100" t="e">
        <f ca="1">IFERROR(__xludf.DUMMYFUNCTION("""COMPUTED_VALUE"""),"KEYUSDT")</f>
        <v>#NAME?</v>
      </c>
      <c r="C601" s="100" t="e">
        <f ca="1">IFERROR(__xludf.DUMMYFUNCTION("""COMPUTED_VALUE"""),"0.00125300")</f>
        <v>#NAME?</v>
      </c>
      <c r="D601" s="100" t="e">
        <f t="shared" ca="1" si="116"/>
        <v>#NAME?</v>
      </c>
      <c r="E601" s="100" t="e">
        <f t="shared" ca="1" si="116"/>
        <v>#NAME?</v>
      </c>
      <c r="F601" s="100" t="e">
        <f t="shared" ca="1" si="111"/>
        <v>#NAME?</v>
      </c>
      <c r="G601" s="100" t="e">
        <f t="shared" ca="1" si="112"/>
        <v>#NAME?</v>
      </c>
      <c r="H601" s="100" t="e">
        <f t="shared" ca="1" si="113"/>
        <v>#NAME?</v>
      </c>
      <c r="I601" s="100" t="e">
        <f t="shared" ca="1" si="114"/>
        <v>#NAME?</v>
      </c>
      <c r="J601" s="100" t="e">
        <f ca="1">IFERROR(__xludf.DUMMYFUNCTION("""COMPUTED_VALUE"""),"0")</f>
        <v>#NAME?</v>
      </c>
      <c r="K601" s="100" t="e">
        <f t="shared" ca="1" si="115"/>
        <v>#NAME?</v>
      </c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 spans="1:26">
      <c r="A602" s="100" t="e">
        <f ca="1">IFERROR(__xludf.DUMMYFUNCTION("""COMPUTED_VALUE"""),58783937)</f>
        <v>#NAME?</v>
      </c>
      <c r="B602" s="100" t="e">
        <f ca="1">IFERROR(__xludf.DUMMYFUNCTION("""COMPUTED_VALUE"""),"STORMUSDT")</f>
        <v>#NAME?</v>
      </c>
      <c r="C602" s="100" t="e">
        <f ca="1">IFERROR(__xludf.DUMMYFUNCTION("""COMPUTED_VALUE"""),"0.00000000")</f>
        <v>#NAME?</v>
      </c>
      <c r="D602" s="100" t="e">
        <f t="shared" ref="D602:E621" ca="1" si="119">IFERROR(__xludf.DUMMYFUNCTION("""COMPUTED_VALUE"""),"-")</f>
        <v>#NAME?</v>
      </c>
      <c r="E602" s="100" t="e">
        <f t="shared" ca="1" si="119"/>
        <v>#NAME?</v>
      </c>
      <c r="F602" s="100" t="e">
        <f t="shared" ca="1" si="111"/>
        <v>#NAME?</v>
      </c>
      <c r="G602" s="100" t="e">
        <f t="shared" ca="1" si="112"/>
        <v>#NAME?</v>
      </c>
      <c r="H602" s="100" t="e">
        <f t="shared" ca="1" si="113"/>
        <v>#NAME?</v>
      </c>
      <c r="I602" s="100" t="e">
        <f t="shared" ca="1" si="114"/>
        <v>#NAME?</v>
      </c>
      <c r="J602" s="100" t="e">
        <f ca="1">IFERROR(__xludf.DUMMYFUNCTION("""COMPUTED_VALUE"""),"0")</f>
        <v>#NAME?</v>
      </c>
      <c r="K602" s="100" t="e">
        <f t="shared" ca="1" si="115"/>
        <v>#NAME?</v>
      </c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 spans="1:26">
      <c r="A603" s="100" t="e">
        <f ca="1">IFERROR(__xludf.DUMMYFUNCTION("""COMPUTED_VALUE"""),58783938)</f>
        <v>#NAME?</v>
      </c>
      <c r="B603" s="100" t="e">
        <f ca="1">IFERROR(__xludf.DUMMYFUNCTION("""COMPUTED_VALUE"""),"DOCKUSDT")</f>
        <v>#NAME?</v>
      </c>
      <c r="C603" s="100" t="e">
        <f ca="1">IFERROR(__xludf.DUMMYFUNCTION("""COMPUTED_VALUE"""),"0.00390000")</f>
        <v>#NAME?</v>
      </c>
      <c r="D603" s="100" t="e">
        <f t="shared" ca="1" si="119"/>
        <v>#NAME?</v>
      </c>
      <c r="E603" s="100" t="e">
        <f t="shared" ca="1" si="119"/>
        <v>#NAME?</v>
      </c>
      <c r="F603" s="100" t="e">
        <f t="shared" ca="1" si="111"/>
        <v>#NAME?</v>
      </c>
      <c r="G603" s="100" t="e">
        <f t="shared" ca="1" si="112"/>
        <v>#NAME?</v>
      </c>
      <c r="H603" s="100" t="e">
        <f t="shared" ca="1" si="113"/>
        <v>#NAME?</v>
      </c>
      <c r="I603" s="100" t="e">
        <f t="shared" ca="1" si="114"/>
        <v>#NAME?</v>
      </c>
      <c r="J603" s="100" t="e">
        <f ca="1">IFERROR(__xludf.DUMMYFUNCTION("""COMPUTED_VALUE"""),"0")</f>
        <v>#NAME?</v>
      </c>
      <c r="K603" s="100" t="e">
        <f t="shared" ca="1" si="115"/>
        <v>#NAME?</v>
      </c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 spans="1:26">
      <c r="A604" s="100" t="e">
        <f ca="1">IFERROR(__xludf.DUMMYFUNCTION("""COMPUTED_VALUE"""),58783939)</f>
        <v>#NAME?</v>
      </c>
      <c r="B604" s="100" t="e">
        <f ca="1">IFERROR(__xludf.DUMMYFUNCTION("""COMPUTED_VALUE"""),"WANUSDT")</f>
        <v>#NAME?</v>
      </c>
      <c r="C604" s="100" t="e">
        <f ca="1">IFERROR(__xludf.DUMMYFUNCTION("""COMPUTED_VALUE"""),"0.10950000")</f>
        <v>#NAME?</v>
      </c>
      <c r="D604" s="100" t="e">
        <f t="shared" ca="1" si="119"/>
        <v>#NAME?</v>
      </c>
      <c r="E604" s="100" t="e">
        <f t="shared" ca="1" si="119"/>
        <v>#NAME?</v>
      </c>
      <c r="F604" s="100" t="e">
        <f t="shared" ca="1" si="111"/>
        <v>#NAME?</v>
      </c>
      <c r="G604" s="100" t="e">
        <f t="shared" ca="1" si="112"/>
        <v>#NAME?</v>
      </c>
      <c r="H604" s="100" t="e">
        <f t="shared" ca="1" si="113"/>
        <v>#NAME?</v>
      </c>
      <c r="I604" s="100" t="e">
        <f t="shared" ca="1" si="114"/>
        <v>#NAME?</v>
      </c>
      <c r="J604" s="100" t="e">
        <f ca="1">IFERROR(__xludf.DUMMYFUNCTION("""COMPUTED_VALUE"""),"0.922")</f>
        <v>#NAME?</v>
      </c>
      <c r="K604" s="100" t="e">
        <f t="shared" ca="1" si="115"/>
        <v>#NAME?</v>
      </c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 spans="1:26">
      <c r="A605" s="100" t="e">
        <f ca="1">IFERROR(__xludf.DUMMYFUNCTION("""COMPUTED_VALUE"""),58783940)</f>
        <v>#NAME?</v>
      </c>
      <c r="B605" s="100" t="e">
        <f ca="1">IFERROR(__xludf.DUMMYFUNCTION("""COMPUTED_VALUE"""),"FUNUSDT")</f>
        <v>#NAME?</v>
      </c>
      <c r="C605" s="100" t="e">
        <f ca="1">IFERROR(__xludf.DUMMYFUNCTION("""COMPUTED_VALUE"""),"0.00543600")</f>
        <v>#NAME?</v>
      </c>
      <c r="D605" s="100" t="e">
        <f t="shared" ca="1" si="119"/>
        <v>#NAME?</v>
      </c>
      <c r="E605" s="100" t="e">
        <f t="shared" ca="1" si="119"/>
        <v>#NAME?</v>
      </c>
      <c r="F605" s="100" t="e">
        <f t="shared" ca="1" si="111"/>
        <v>#NAME?</v>
      </c>
      <c r="G605" s="100" t="e">
        <f t="shared" ca="1" si="112"/>
        <v>#NAME?</v>
      </c>
      <c r="H605" s="100" t="e">
        <f t="shared" ca="1" si="113"/>
        <v>#NAME?</v>
      </c>
      <c r="I605" s="100" t="e">
        <f t="shared" ca="1" si="114"/>
        <v>#NAME?</v>
      </c>
      <c r="J605" s="100" t="e">
        <f ca="1">IFERROR(__xludf.DUMMYFUNCTION("""COMPUTED_VALUE"""),"-2.230")</f>
        <v>#NAME?</v>
      </c>
      <c r="K605" s="100" t="e">
        <f t="shared" ca="1" si="115"/>
        <v>#NAME?</v>
      </c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 spans="1:26">
      <c r="A606" s="100" t="e">
        <f ca="1">IFERROR(__xludf.DUMMYFUNCTION("""COMPUTED_VALUE"""),58783941)</f>
        <v>#NAME?</v>
      </c>
      <c r="B606" s="100" t="e">
        <f ca="1">IFERROR(__xludf.DUMMYFUNCTION("""COMPUTED_VALUE"""),"CVCUSDT")</f>
        <v>#NAME?</v>
      </c>
      <c r="C606" s="100" t="e">
        <f ca="1">IFERROR(__xludf.DUMMYFUNCTION("""COMPUTED_VALUE"""),"0.10590000")</f>
        <v>#NAME?</v>
      </c>
      <c r="D606" s="100" t="e">
        <f t="shared" ca="1" si="119"/>
        <v>#NAME?</v>
      </c>
      <c r="E606" s="100" t="e">
        <f t="shared" ca="1" si="119"/>
        <v>#NAME?</v>
      </c>
      <c r="F606" s="100" t="e">
        <f t="shared" ca="1" si="111"/>
        <v>#NAME?</v>
      </c>
      <c r="G606" s="100" t="e">
        <f t="shared" ca="1" si="112"/>
        <v>#NAME?</v>
      </c>
      <c r="H606" s="100" t="e">
        <f t="shared" ca="1" si="113"/>
        <v>#NAME?</v>
      </c>
      <c r="I606" s="100" t="e">
        <f t="shared" ca="1" si="114"/>
        <v>#NAME?</v>
      </c>
      <c r="J606" s="100" t="e">
        <f ca="1">IFERROR(__xludf.DUMMYFUNCTION("""COMPUTED_VALUE"""),"-1.854")</f>
        <v>#NAME?</v>
      </c>
      <c r="K606" s="100" t="e">
        <f t="shared" ca="1" si="115"/>
        <v>#NAME?</v>
      </c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 spans="1:26">
      <c r="A607" s="100" t="e">
        <f ca="1">IFERROR(__xludf.DUMMYFUNCTION("""COMPUTED_VALUE"""),58783942)</f>
        <v>#NAME?</v>
      </c>
      <c r="B607" s="100" t="e">
        <f ca="1">IFERROR(__xludf.DUMMYFUNCTION("""COMPUTED_VALUE"""),"BTTTRX")</f>
        <v>#NAME?</v>
      </c>
      <c r="C607" s="100" t="e">
        <f ca="1">IFERROR(__xludf.DUMMYFUNCTION("""COMPUTED_VALUE"""),"0.00000000")</f>
        <v>#NAME?</v>
      </c>
      <c r="D607" s="100" t="e">
        <f t="shared" ca="1" si="119"/>
        <v>#NAME?</v>
      </c>
      <c r="E607" s="100" t="e">
        <f t="shared" ca="1" si="119"/>
        <v>#NAME?</v>
      </c>
      <c r="F607" s="100" t="e">
        <f t="shared" ca="1" si="111"/>
        <v>#NAME?</v>
      </c>
      <c r="G607" s="100" t="e">
        <f t="shared" ca="1" si="112"/>
        <v>#NAME?</v>
      </c>
      <c r="H607" s="100" t="e">
        <f t="shared" ca="1" si="113"/>
        <v>#NAME?</v>
      </c>
      <c r="I607" s="100" t="e">
        <f t="shared" ca="1" si="114"/>
        <v>#NAME?</v>
      </c>
      <c r="J607" s="100" t="e">
        <f ca="1">IFERROR(__xludf.DUMMYFUNCTION("""COMPUTED_VALUE"""),"0")</f>
        <v>#NAME?</v>
      </c>
      <c r="K607" s="100" t="e">
        <f t="shared" ca="1" si="115"/>
        <v>#NAME?</v>
      </c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 spans="1:26">
      <c r="A608" s="100" t="e">
        <f ca="1">IFERROR(__xludf.DUMMYFUNCTION("""COMPUTED_VALUE"""),58783943)</f>
        <v>#NAME?</v>
      </c>
      <c r="B608" s="100" t="e">
        <f ca="1">IFERROR(__xludf.DUMMYFUNCTION("""COMPUTED_VALUE"""),"WINTRX")</f>
        <v>#NAME?</v>
      </c>
      <c r="C608" s="100" t="e">
        <f ca="1">IFERROR(__xludf.DUMMYFUNCTION("""COMPUTED_VALUE"""),"0.00021080")</f>
        <v>#NAME?</v>
      </c>
      <c r="D608" s="100" t="e">
        <f t="shared" ca="1" si="119"/>
        <v>#NAME?</v>
      </c>
      <c r="E608" s="100" t="e">
        <f t="shared" ca="1" si="119"/>
        <v>#NAME?</v>
      </c>
      <c r="F608" s="100" t="e">
        <f t="shared" ca="1" si="111"/>
        <v>#NAME?</v>
      </c>
      <c r="G608" s="100" t="e">
        <f t="shared" ca="1" si="112"/>
        <v>#NAME?</v>
      </c>
      <c r="H608" s="100" t="e">
        <f t="shared" ca="1" si="113"/>
        <v>#NAME?</v>
      </c>
      <c r="I608" s="100" t="e">
        <f t="shared" ca="1" si="114"/>
        <v>#NAME?</v>
      </c>
      <c r="J608" s="100" t="e">
        <f ca="1">IFERROR(__xludf.DUMMYFUNCTION("""COMPUTED_VALUE"""),"1.984")</f>
        <v>#NAME?</v>
      </c>
      <c r="K608" s="100" t="e">
        <f t="shared" ca="1" si="115"/>
        <v>#NAME?</v>
      </c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 spans="1:26">
      <c r="A609" s="100" t="e">
        <f ca="1">IFERROR(__xludf.DUMMYFUNCTION("""COMPUTED_VALUE"""),58783944)</f>
        <v>#NAME?</v>
      </c>
      <c r="B609" s="100" t="e">
        <f ca="1">IFERROR(__xludf.DUMMYFUNCTION("""COMPUTED_VALUE"""),"CHZBNB")</f>
        <v>#NAME?</v>
      </c>
      <c r="C609" s="100" t="e">
        <f ca="1">IFERROR(__xludf.DUMMYFUNCTION("""COMPUTED_VALUE"""),"0.00006160")</f>
        <v>#NAME?</v>
      </c>
      <c r="D609" s="100" t="e">
        <f t="shared" ca="1" si="119"/>
        <v>#NAME?</v>
      </c>
      <c r="E609" s="100" t="e">
        <f t="shared" ca="1" si="119"/>
        <v>#NAME?</v>
      </c>
      <c r="F609" s="100" t="e">
        <f t="shared" ca="1" si="111"/>
        <v>#NAME?</v>
      </c>
      <c r="G609" s="100" t="e">
        <f t="shared" ca="1" si="112"/>
        <v>#NAME?</v>
      </c>
      <c r="H609" s="100" t="e">
        <f t="shared" ca="1" si="113"/>
        <v>#NAME?</v>
      </c>
      <c r="I609" s="100" t="e">
        <f t="shared" ca="1" si="114"/>
        <v>#NAME?</v>
      </c>
      <c r="J609" s="100" t="e">
        <f ca="1">IFERROR(__xludf.DUMMYFUNCTION("""COMPUTED_VALUE"""),"-2.532")</f>
        <v>#NAME?</v>
      </c>
      <c r="K609" s="100" t="e">
        <f t="shared" ca="1" si="115"/>
        <v>#NAME?</v>
      </c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 spans="1:26">
      <c r="A610" s="100" t="e">
        <f ca="1">IFERROR(__xludf.DUMMYFUNCTION("""COMPUTED_VALUE"""),58783945)</f>
        <v>#NAME?</v>
      </c>
      <c r="B610" s="100" t="e">
        <f ca="1">IFERROR(__xludf.DUMMYFUNCTION("""COMPUTED_VALUE"""),"CHZBTC")</f>
        <v>#NAME?</v>
      </c>
      <c r="C610" s="100" t="e">
        <f ca="1">IFERROR(__xludf.DUMMYFUNCTION("""COMPUTED_VALUE"""),"0.00000042")</f>
        <v>#NAME?</v>
      </c>
      <c r="D610" s="100" t="e">
        <f t="shared" ca="1" si="119"/>
        <v>#NAME?</v>
      </c>
      <c r="E610" s="100" t="e">
        <f t="shared" ca="1" si="119"/>
        <v>#NAME?</v>
      </c>
      <c r="F610" s="100" t="e">
        <f t="shared" ca="1" si="111"/>
        <v>#NAME?</v>
      </c>
      <c r="G610" s="100" t="e">
        <f t="shared" ca="1" si="112"/>
        <v>#NAME?</v>
      </c>
      <c r="H610" s="100" t="e">
        <f t="shared" ca="1" si="113"/>
        <v>#NAME?</v>
      </c>
      <c r="I610" s="100" t="e">
        <f t="shared" ca="1" si="114"/>
        <v>#NAME?</v>
      </c>
      <c r="J610" s="100" t="e">
        <f ca="1">IFERROR(__xludf.DUMMYFUNCTION("""COMPUTED_VALUE"""),"-4.545")</f>
        <v>#NAME?</v>
      </c>
      <c r="K610" s="100" t="e">
        <f t="shared" ca="1" si="115"/>
        <v>#NAME?</v>
      </c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 spans="1:26">
      <c r="A611" s="100" t="e">
        <f ca="1">IFERROR(__xludf.DUMMYFUNCTION("""COMPUTED_VALUE"""),58783946)</f>
        <v>#NAME?</v>
      </c>
      <c r="B611" s="100" t="e">
        <f ca="1">IFERROR(__xludf.DUMMYFUNCTION("""COMPUTED_VALUE"""),"CHZUSDT")</f>
        <v>#NAME?</v>
      </c>
      <c r="C611" s="100" t="e">
        <f ca="1">IFERROR(__xludf.DUMMYFUNCTION("""COMPUTED_VALUE"""),"0.03714000")</f>
        <v>#NAME?</v>
      </c>
      <c r="D611" s="100" t="e">
        <f t="shared" ca="1" si="119"/>
        <v>#NAME?</v>
      </c>
      <c r="E611" s="100" t="e">
        <f t="shared" ca="1" si="119"/>
        <v>#NAME?</v>
      </c>
      <c r="F611" s="100" t="e">
        <f t="shared" ca="1" si="111"/>
        <v>#NAME?</v>
      </c>
      <c r="G611" s="100" t="e">
        <f t="shared" ca="1" si="112"/>
        <v>#NAME?</v>
      </c>
      <c r="H611" s="100" t="e">
        <f t="shared" ca="1" si="113"/>
        <v>#NAME?</v>
      </c>
      <c r="I611" s="100" t="e">
        <f t="shared" ca="1" si="114"/>
        <v>#NAME?</v>
      </c>
      <c r="J611" s="100" t="e">
        <f ca="1">IFERROR(__xludf.DUMMYFUNCTION("""COMPUTED_VALUE"""),"-2.494")</f>
        <v>#NAME?</v>
      </c>
      <c r="K611" s="100" t="e">
        <f t="shared" ca="1" si="115"/>
        <v>#NAME?</v>
      </c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 spans="1:26">
      <c r="A612" s="100" t="e">
        <f ca="1">IFERROR(__xludf.DUMMYFUNCTION("""COMPUTED_VALUE"""),58783947)</f>
        <v>#NAME?</v>
      </c>
      <c r="B612" s="100" t="e">
        <f ca="1">IFERROR(__xludf.DUMMYFUNCTION("""COMPUTED_VALUE"""),"BANDBNB")</f>
        <v>#NAME?</v>
      </c>
      <c r="C612" s="100" t="e">
        <f ca="1">IFERROR(__xludf.DUMMYFUNCTION("""COMPUTED_VALUE"""),"0.00000000")</f>
        <v>#NAME?</v>
      </c>
      <c r="D612" s="100" t="e">
        <f t="shared" ca="1" si="119"/>
        <v>#NAME?</v>
      </c>
      <c r="E612" s="100" t="e">
        <f t="shared" ca="1" si="119"/>
        <v>#NAME?</v>
      </c>
      <c r="F612" s="100" t="e">
        <f t="shared" ca="1" si="111"/>
        <v>#NAME?</v>
      </c>
      <c r="G612" s="100" t="e">
        <f t="shared" ca="1" si="112"/>
        <v>#NAME?</v>
      </c>
      <c r="H612" s="100" t="e">
        <f t="shared" ca="1" si="113"/>
        <v>#NAME?</v>
      </c>
      <c r="I612" s="100" t="e">
        <f t="shared" ca="1" si="114"/>
        <v>#NAME?</v>
      </c>
      <c r="J612" s="100" t="e">
        <f ca="1">IFERROR(__xludf.DUMMYFUNCTION("""COMPUTED_VALUE"""),"0")</f>
        <v>#NAME?</v>
      </c>
      <c r="K612" s="100" t="e">
        <f t="shared" ca="1" si="115"/>
        <v>#NAME?</v>
      </c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 spans="1:26">
      <c r="A613" s="100" t="e">
        <f ca="1">IFERROR(__xludf.DUMMYFUNCTION("""COMPUTED_VALUE"""),58783948)</f>
        <v>#NAME?</v>
      </c>
      <c r="B613" s="100" t="e">
        <f ca="1">IFERROR(__xludf.DUMMYFUNCTION("""COMPUTED_VALUE"""),"BANDBTC")</f>
        <v>#NAME?</v>
      </c>
      <c r="C613" s="100" t="e">
        <f ca="1">IFERROR(__xludf.DUMMYFUNCTION("""COMPUTED_VALUE"""),"0.00000821")</f>
        <v>#NAME?</v>
      </c>
      <c r="D613" s="100" t="e">
        <f t="shared" ca="1" si="119"/>
        <v>#NAME?</v>
      </c>
      <c r="E613" s="100" t="e">
        <f t="shared" ca="1" si="119"/>
        <v>#NAME?</v>
      </c>
      <c r="F613" s="100" t="e">
        <f t="shared" ca="1" si="111"/>
        <v>#NAME?</v>
      </c>
      <c r="G613" s="100" t="e">
        <f t="shared" ca="1" si="112"/>
        <v>#NAME?</v>
      </c>
      <c r="H613" s="100" t="e">
        <f t="shared" ca="1" si="113"/>
        <v>#NAME?</v>
      </c>
      <c r="I613" s="100" t="e">
        <f t="shared" ca="1" si="114"/>
        <v>#NAME?</v>
      </c>
      <c r="J613" s="100" t="e">
        <f ca="1">IFERROR(__xludf.DUMMYFUNCTION("""COMPUTED_VALUE"""),"-2.378")</f>
        <v>#NAME?</v>
      </c>
      <c r="K613" s="100" t="e">
        <f t="shared" ca="1" si="115"/>
        <v>#NAME?</v>
      </c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 spans="1:26">
      <c r="A614" s="100" t="e">
        <f ca="1">IFERROR(__xludf.DUMMYFUNCTION("""COMPUTED_VALUE"""),58783949)</f>
        <v>#NAME?</v>
      </c>
      <c r="B614" s="100" t="e">
        <f ca="1">IFERROR(__xludf.DUMMYFUNCTION("""COMPUTED_VALUE"""),"BANDUSDT")</f>
        <v>#NAME?</v>
      </c>
      <c r="C614" s="100" t="e">
        <f ca="1">IFERROR(__xludf.DUMMYFUNCTION("""COMPUTED_VALUE"""),"0.72300000")</f>
        <v>#NAME?</v>
      </c>
      <c r="D614" s="100" t="e">
        <f t="shared" ca="1" si="119"/>
        <v>#NAME?</v>
      </c>
      <c r="E614" s="100" t="e">
        <f t="shared" ca="1" si="119"/>
        <v>#NAME?</v>
      </c>
      <c r="F614" s="100" t="e">
        <f t="shared" ca="1" si="111"/>
        <v>#NAME?</v>
      </c>
      <c r="G614" s="100" t="e">
        <f t="shared" ca="1" si="112"/>
        <v>#NAME?</v>
      </c>
      <c r="H614" s="100" t="e">
        <f t="shared" ca="1" si="113"/>
        <v>#NAME?</v>
      </c>
      <c r="I614" s="100" t="e">
        <f t="shared" ca="1" si="114"/>
        <v>#NAME?</v>
      </c>
      <c r="J614" s="100" t="e">
        <f ca="1">IFERROR(__xludf.DUMMYFUNCTION("""COMPUTED_VALUE"""),"-1.230")</f>
        <v>#NAME?</v>
      </c>
      <c r="K614" s="100" t="e">
        <f t="shared" ca="1" si="115"/>
        <v>#NAME?</v>
      </c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 spans="1:26">
      <c r="A615" s="100" t="e">
        <f ca="1">IFERROR(__xludf.DUMMYFUNCTION("""COMPUTED_VALUE"""),58783950)</f>
        <v>#NAME?</v>
      </c>
      <c r="B615" s="100" t="e">
        <f ca="1">IFERROR(__xludf.DUMMYFUNCTION("""COMPUTED_VALUE"""),"BNBBUSD")</f>
        <v>#NAME?</v>
      </c>
      <c r="C615" s="100" t="e">
        <f ca="1">IFERROR(__xludf.DUMMYFUNCTION("""COMPUTED_VALUE"""),"251.80000000")</f>
        <v>#NAME?</v>
      </c>
      <c r="D615" s="100" t="e">
        <f t="shared" ca="1" si="119"/>
        <v>#NAME?</v>
      </c>
      <c r="E615" s="100" t="e">
        <f t="shared" ca="1" si="119"/>
        <v>#NAME?</v>
      </c>
      <c r="F615" s="100" t="e">
        <f t="shared" ca="1" si="111"/>
        <v>#NAME?</v>
      </c>
      <c r="G615" s="100" t="e">
        <f t="shared" ca="1" si="112"/>
        <v>#NAME?</v>
      </c>
      <c r="H615" s="100" t="e">
        <f t="shared" ca="1" si="113"/>
        <v>#NAME?</v>
      </c>
      <c r="I615" s="100" t="e">
        <f t="shared" ca="1" si="114"/>
        <v>#NAME?</v>
      </c>
      <c r="J615" s="100" t="e">
        <f t="shared" ref="J615:J621" ca="1" si="120">IFERROR(__xludf.DUMMYFUNCTION("""COMPUTED_VALUE"""),"0")</f>
        <v>#NAME?</v>
      </c>
      <c r="K615" s="100" t="e">
        <f t="shared" ca="1" si="115"/>
        <v>#NAME?</v>
      </c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 spans="1:26">
      <c r="A616" s="100" t="e">
        <f ca="1">IFERROR(__xludf.DUMMYFUNCTION("""COMPUTED_VALUE"""),58783951)</f>
        <v>#NAME?</v>
      </c>
      <c r="B616" s="100" t="e">
        <f ca="1">IFERROR(__xludf.DUMMYFUNCTION("""COMPUTED_VALUE"""),"BTCBUSD")</f>
        <v>#NAME?</v>
      </c>
      <c r="C616" s="100" t="e">
        <f ca="1">IFERROR(__xludf.DUMMYFUNCTION("""COMPUTED_VALUE"""),"42769.40000000")</f>
        <v>#NAME?</v>
      </c>
      <c r="D616" s="100" t="e">
        <f t="shared" ca="1" si="119"/>
        <v>#NAME?</v>
      </c>
      <c r="E616" s="100" t="e">
        <f t="shared" ca="1" si="119"/>
        <v>#NAME?</v>
      </c>
      <c r="F616" s="100" t="e">
        <f t="shared" ca="1" si="111"/>
        <v>#NAME?</v>
      </c>
      <c r="G616" s="100" t="e">
        <f t="shared" ca="1" si="112"/>
        <v>#NAME?</v>
      </c>
      <c r="H616" s="100" t="e">
        <f t="shared" ca="1" si="113"/>
        <v>#NAME?</v>
      </c>
      <c r="I616" s="100" t="e">
        <f t="shared" ca="1" si="114"/>
        <v>#NAME?</v>
      </c>
      <c r="J616" s="100" t="e">
        <f t="shared" ca="1" si="120"/>
        <v>#NAME?</v>
      </c>
      <c r="K616" s="100" t="e">
        <f t="shared" ca="1" si="115"/>
        <v>#NAME?</v>
      </c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 spans="1:26">
      <c r="A617" s="100" t="e">
        <f ca="1">IFERROR(__xludf.DUMMYFUNCTION("""COMPUTED_VALUE"""),58783952)</f>
        <v>#NAME?</v>
      </c>
      <c r="B617" s="100" t="e">
        <f ca="1">IFERROR(__xludf.DUMMYFUNCTION("""COMPUTED_VALUE"""),"BUSDUSDT")</f>
        <v>#NAME?</v>
      </c>
      <c r="C617" s="100" t="e">
        <f ca="1">IFERROR(__xludf.DUMMYFUNCTION("""COMPUTED_VALUE"""),"1.00030000")</f>
        <v>#NAME?</v>
      </c>
      <c r="D617" s="100" t="e">
        <f t="shared" ca="1" si="119"/>
        <v>#NAME?</v>
      </c>
      <c r="E617" s="100" t="e">
        <f t="shared" ca="1" si="119"/>
        <v>#NAME?</v>
      </c>
      <c r="F617" s="100" t="e">
        <f t="shared" ca="1" si="111"/>
        <v>#NAME?</v>
      </c>
      <c r="G617" s="100" t="e">
        <f t="shared" ca="1" si="112"/>
        <v>#NAME?</v>
      </c>
      <c r="H617" s="100" t="e">
        <f t="shared" ca="1" si="113"/>
        <v>#NAME?</v>
      </c>
      <c r="I617" s="100" t="e">
        <f t="shared" ca="1" si="114"/>
        <v>#NAME?</v>
      </c>
      <c r="J617" s="100" t="e">
        <f t="shared" ca="1" si="120"/>
        <v>#NAME?</v>
      </c>
      <c r="K617" s="100" t="e">
        <f t="shared" ca="1" si="115"/>
        <v>#NAME?</v>
      </c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 spans="1:26">
      <c r="A618" s="100" t="e">
        <f ca="1">IFERROR(__xludf.DUMMYFUNCTION("""COMPUTED_VALUE"""),58783953)</f>
        <v>#NAME?</v>
      </c>
      <c r="B618" s="100" t="e">
        <f ca="1">IFERROR(__xludf.DUMMYFUNCTION("""COMPUTED_VALUE"""),"BEAMBNB")</f>
        <v>#NAME?</v>
      </c>
      <c r="C618" s="100" t="e">
        <f ca="1">IFERROR(__xludf.DUMMYFUNCTION("""COMPUTED_VALUE"""),"0.00000000")</f>
        <v>#NAME?</v>
      </c>
      <c r="D618" s="100" t="e">
        <f t="shared" ca="1" si="119"/>
        <v>#NAME?</v>
      </c>
      <c r="E618" s="100" t="e">
        <f t="shared" ca="1" si="119"/>
        <v>#NAME?</v>
      </c>
      <c r="F618" s="100" t="e">
        <f t="shared" ca="1" si="111"/>
        <v>#NAME?</v>
      </c>
      <c r="G618" s="100" t="e">
        <f t="shared" ca="1" si="112"/>
        <v>#NAME?</v>
      </c>
      <c r="H618" s="100" t="e">
        <f t="shared" ca="1" si="113"/>
        <v>#NAME?</v>
      </c>
      <c r="I618" s="100" t="e">
        <f t="shared" ca="1" si="114"/>
        <v>#NAME?</v>
      </c>
      <c r="J618" s="100" t="e">
        <f t="shared" ca="1" si="120"/>
        <v>#NAME?</v>
      </c>
      <c r="K618" s="100" t="e">
        <f t="shared" ca="1" si="115"/>
        <v>#NAME?</v>
      </c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 spans="1:26">
      <c r="A619" s="100" t="e">
        <f ca="1">IFERROR(__xludf.DUMMYFUNCTION("""COMPUTED_VALUE"""),58783954)</f>
        <v>#NAME?</v>
      </c>
      <c r="B619" s="100" t="e">
        <f ca="1">IFERROR(__xludf.DUMMYFUNCTION("""COMPUTED_VALUE"""),"BEAMBTC")</f>
        <v>#NAME?</v>
      </c>
      <c r="C619" s="100" t="e">
        <f ca="1">IFERROR(__xludf.DUMMYFUNCTION("""COMPUTED_VALUE"""),"0.00000716")</f>
        <v>#NAME?</v>
      </c>
      <c r="D619" s="100" t="e">
        <f t="shared" ca="1" si="119"/>
        <v>#NAME?</v>
      </c>
      <c r="E619" s="100" t="e">
        <f t="shared" ca="1" si="119"/>
        <v>#NAME?</v>
      </c>
      <c r="F619" s="100" t="e">
        <f t="shared" ca="1" si="111"/>
        <v>#NAME?</v>
      </c>
      <c r="G619" s="100" t="e">
        <f t="shared" ca="1" si="112"/>
        <v>#NAME?</v>
      </c>
      <c r="H619" s="100" t="e">
        <f t="shared" ca="1" si="113"/>
        <v>#NAME?</v>
      </c>
      <c r="I619" s="100" t="e">
        <f t="shared" ca="1" si="114"/>
        <v>#NAME?</v>
      </c>
      <c r="J619" s="100" t="e">
        <f t="shared" ca="1" si="120"/>
        <v>#NAME?</v>
      </c>
      <c r="K619" s="100" t="e">
        <f t="shared" ca="1" si="115"/>
        <v>#NAME?</v>
      </c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 spans="1:26">
      <c r="A620" s="100" t="e">
        <f ca="1">IFERROR(__xludf.DUMMYFUNCTION("""COMPUTED_VALUE"""),58783955)</f>
        <v>#NAME?</v>
      </c>
      <c r="B620" s="100" t="e">
        <f ca="1">IFERROR(__xludf.DUMMYFUNCTION("""COMPUTED_VALUE"""),"BEAMUSDT")</f>
        <v>#NAME?</v>
      </c>
      <c r="C620" s="100" t="e">
        <f ca="1">IFERROR(__xludf.DUMMYFUNCTION("""COMPUTED_VALUE"""),"0.06520000")</f>
        <v>#NAME?</v>
      </c>
      <c r="D620" s="100" t="e">
        <f t="shared" ca="1" si="119"/>
        <v>#NAME?</v>
      </c>
      <c r="E620" s="100" t="e">
        <f t="shared" ca="1" si="119"/>
        <v>#NAME?</v>
      </c>
      <c r="F620" s="100" t="e">
        <f t="shared" ca="1" si="111"/>
        <v>#NAME?</v>
      </c>
      <c r="G620" s="100" t="e">
        <f t="shared" ca="1" si="112"/>
        <v>#NAME?</v>
      </c>
      <c r="H620" s="100" t="e">
        <f t="shared" ca="1" si="113"/>
        <v>#NAME?</v>
      </c>
      <c r="I620" s="100" t="e">
        <f t="shared" ca="1" si="114"/>
        <v>#NAME?</v>
      </c>
      <c r="J620" s="100" t="e">
        <f t="shared" ca="1" si="120"/>
        <v>#NAME?</v>
      </c>
      <c r="K620" s="100" t="e">
        <f t="shared" ca="1" si="115"/>
        <v>#NAME?</v>
      </c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 spans="1:26">
      <c r="A621" s="100" t="e">
        <f ca="1">IFERROR(__xludf.DUMMYFUNCTION("""COMPUTED_VALUE"""),58783956)</f>
        <v>#NAME?</v>
      </c>
      <c r="B621" s="100" t="e">
        <f ca="1">IFERROR(__xludf.DUMMYFUNCTION("""COMPUTED_VALUE"""),"XTZBNB")</f>
        <v>#NAME?</v>
      </c>
      <c r="C621" s="100" t="e">
        <f ca="1">IFERROR(__xludf.DUMMYFUNCTION("""COMPUTED_VALUE"""),"0.00288300")</f>
        <v>#NAME?</v>
      </c>
      <c r="D621" s="100" t="e">
        <f t="shared" ca="1" si="119"/>
        <v>#NAME?</v>
      </c>
      <c r="E621" s="100" t="e">
        <f t="shared" ca="1" si="119"/>
        <v>#NAME?</v>
      </c>
      <c r="F621" s="100" t="e">
        <f t="shared" ca="1" si="111"/>
        <v>#NAME?</v>
      </c>
      <c r="G621" s="100" t="e">
        <f t="shared" ca="1" si="112"/>
        <v>#NAME?</v>
      </c>
      <c r="H621" s="100" t="e">
        <f t="shared" ca="1" si="113"/>
        <v>#NAME?</v>
      </c>
      <c r="I621" s="100" t="e">
        <f t="shared" ca="1" si="114"/>
        <v>#NAME?</v>
      </c>
      <c r="J621" s="100" t="e">
        <f t="shared" ca="1" si="120"/>
        <v>#NAME?</v>
      </c>
      <c r="K621" s="100" t="e">
        <f t="shared" ca="1" si="115"/>
        <v>#NAME?</v>
      </c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 spans="1:26">
      <c r="A622" s="100" t="e">
        <f ca="1">IFERROR(__xludf.DUMMYFUNCTION("""COMPUTED_VALUE"""),58783957)</f>
        <v>#NAME?</v>
      </c>
      <c r="B622" s="100" t="e">
        <f ca="1">IFERROR(__xludf.DUMMYFUNCTION("""COMPUTED_VALUE"""),"XTZBTC")</f>
        <v>#NAME?</v>
      </c>
      <c r="C622" s="100" t="e">
        <f ca="1">IFERROR(__xludf.DUMMYFUNCTION("""COMPUTED_VALUE"""),"0.00000573")</f>
        <v>#NAME?</v>
      </c>
      <c r="D622" s="100" t="e">
        <f t="shared" ref="D622:E641" ca="1" si="121">IFERROR(__xludf.DUMMYFUNCTION("""COMPUTED_VALUE"""),"-")</f>
        <v>#NAME?</v>
      </c>
      <c r="E622" s="100" t="e">
        <f t="shared" ca="1" si="121"/>
        <v>#NAME?</v>
      </c>
      <c r="F622" s="100" t="e">
        <f t="shared" ca="1" si="111"/>
        <v>#NAME?</v>
      </c>
      <c r="G622" s="100" t="e">
        <f t="shared" ca="1" si="112"/>
        <v>#NAME?</v>
      </c>
      <c r="H622" s="100" t="e">
        <f t="shared" ca="1" si="113"/>
        <v>#NAME?</v>
      </c>
      <c r="I622" s="100" t="e">
        <f t="shared" ca="1" si="114"/>
        <v>#NAME?</v>
      </c>
      <c r="J622" s="100" t="e">
        <f ca="1">IFERROR(__xludf.DUMMYFUNCTION("""COMPUTED_VALUE"""),"-1.207")</f>
        <v>#NAME?</v>
      </c>
      <c r="K622" s="100" t="e">
        <f t="shared" ca="1" si="115"/>
        <v>#NAME?</v>
      </c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 spans="1:26">
      <c r="A623" s="100" t="e">
        <f ca="1">IFERROR(__xludf.DUMMYFUNCTION("""COMPUTED_VALUE"""),58783958)</f>
        <v>#NAME?</v>
      </c>
      <c r="B623" s="100" t="e">
        <f ca="1">IFERROR(__xludf.DUMMYFUNCTION("""COMPUTED_VALUE"""),"XTZUSDT")</f>
        <v>#NAME?</v>
      </c>
      <c r="C623" s="100" t="e">
        <f ca="1">IFERROR(__xludf.DUMMYFUNCTION("""COMPUTED_VALUE"""),"0.50700000")</f>
        <v>#NAME?</v>
      </c>
      <c r="D623" s="100" t="e">
        <f t="shared" ca="1" si="121"/>
        <v>#NAME?</v>
      </c>
      <c r="E623" s="100" t="e">
        <f t="shared" ca="1" si="121"/>
        <v>#NAME?</v>
      </c>
      <c r="F623" s="100" t="e">
        <f t="shared" ca="1" si="111"/>
        <v>#NAME?</v>
      </c>
      <c r="G623" s="100" t="e">
        <f t="shared" ca="1" si="112"/>
        <v>#NAME?</v>
      </c>
      <c r="H623" s="100" t="e">
        <f t="shared" ca="1" si="113"/>
        <v>#NAME?</v>
      </c>
      <c r="I623" s="100" t="e">
        <f t="shared" ca="1" si="114"/>
        <v>#NAME?</v>
      </c>
      <c r="J623" s="100" t="e">
        <f ca="1">IFERROR(__xludf.DUMMYFUNCTION("""COMPUTED_VALUE"""),"-0.393")</f>
        <v>#NAME?</v>
      </c>
      <c r="K623" s="100" t="e">
        <f t="shared" ca="1" si="115"/>
        <v>#NAME?</v>
      </c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 spans="1:26">
      <c r="A624" s="100" t="e">
        <f ca="1">IFERROR(__xludf.DUMMYFUNCTION("""COMPUTED_VALUE"""),58783959)</f>
        <v>#NAME?</v>
      </c>
      <c r="B624" s="100" t="e">
        <f ca="1">IFERROR(__xludf.DUMMYFUNCTION("""COMPUTED_VALUE"""),"RENUSDT")</f>
        <v>#NAME?</v>
      </c>
      <c r="C624" s="100" t="e">
        <f ca="1">IFERROR(__xludf.DUMMYFUNCTION("""COMPUTED_VALUE"""),"0.04274000")</f>
        <v>#NAME?</v>
      </c>
      <c r="D624" s="100" t="e">
        <f t="shared" ca="1" si="121"/>
        <v>#NAME?</v>
      </c>
      <c r="E624" s="100" t="e">
        <f t="shared" ca="1" si="121"/>
        <v>#NAME?</v>
      </c>
      <c r="F624" s="100" t="e">
        <f t="shared" ca="1" si="111"/>
        <v>#NAME?</v>
      </c>
      <c r="G624" s="100" t="e">
        <f t="shared" ca="1" si="112"/>
        <v>#NAME?</v>
      </c>
      <c r="H624" s="100" t="e">
        <f t="shared" ca="1" si="113"/>
        <v>#NAME?</v>
      </c>
      <c r="I624" s="100" t="e">
        <f t="shared" ca="1" si="114"/>
        <v>#NAME?</v>
      </c>
      <c r="J624" s="100" t="e">
        <f ca="1">IFERROR(__xludf.DUMMYFUNCTION("""COMPUTED_VALUE"""),"0")</f>
        <v>#NAME?</v>
      </c>
      <c r="K624" s="100" t="e">
        <f t="shared" ca="1" si="115"/>
        <v>#NAME?</v>
      </c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 spans="1:26">
      <c r="A625" s="100" t="e">
        <f ca="1">IFERROR(__xludf.DUMMYFUNCTION("""COMPUTED_VALUE"""),58783960)</f>
        <v>#NAME?</v>
      </c>
      <c r="B625" s="100" t="e">
        <f ca="1">IFERROR(__xludf.DUMMYFUNCTION("""COMPUTED_VALUE"""),"RVNUSDT")</f>
        <v>#NAME?</v>
      </c>
      <c r="C625" s="100" t="e">
        <f ca="1">IFERROR(__xludf.DUMMYFUNCTION("""COMPUTED_VALUE"""),"0.01117000")</f>
        <v>#NAME?</v>
      </c>
      <c r="D625" s="100" t="e">
        <f t="shared" ca="1" si="121"/>
        <v>#NAME?</v>
      </c>
      <c r="E625" s="100" t="e">
        <f t="shared" ca="1" si="121"/>
        <v>#NAME?</v>
      </c>
      <c r="F625" s="100" t="e">
        <f t="shared" ca="1" si="111"/>
        <v>#NAME?</v>
      </c>
      <c r="G625" s="100" t="e">
        <f t="shared" ca="1" si="112"/>
        <v>#NAME?</v>
      </c>
      <c r="H625" s="100" t="e">
        <f t="shared" ca="1" si="113"/>
        <v>#NAME?</v>
      </c>
      <c r="I625" s="100" t="e">
        <f t="shared" ca="1" si="114"/>
        <v>#NAME?</v>
      </c>
      <c r="J625" s="100" t="e">
        <f ca="1">IFERROR(__xludf.DUMMYFUNCTION("""COMPUTED_VALUE"""),"-2.018")</f>
        <v>#NAME?</v>
      </c>
      <c r="K625" s="100" t="e">
        <f t="shared" ca="1" si="115"/>
        <v>#NAME?</v>
      </c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 spans="1:26">
      <c r="A626" s="100" t="e">
        <f ca="1">IFERROR(__xludf.DUMMYFUNCTION("""COMPUTED_VALUE"""),58783961)</f>
        <v>#NAME?</v>
      </c>
      <c r="B626" s="100" t="e">
        <f ca="1">IFERROR(__xludf.DUMMYFUNCTION("""COMPUTED_VALUE"""),"HCUSDT")</f>
        <v>#NAME?</v>
      </c>
      <c r="C626" s="100" t="e">
        <f ca="1">IFERROR(__xludf.DUMMYFUNCTION("""COMPUTED_VALUE"""),"0.00000000")</f>
        <v>#NAME?</v>
      </c>
      <c r="D626" s="100" t="e">
        <f t="shared" ca="1" si="121"/>
        <v>#NAME?</v>
      </c>
      <c r="E626" s="100" t="e">
        <f t="shared" ca="1" si="121"/>
        <v>#NAME?</v>
      </c>
      <c r="F626" s="100" t="e">
        <f t="shared" ca="1" si="111"/>
        <v>#NAME?</v>
      </c>
      <c r="G626" s="100" t="e">
        <f t="shared" ca="1" si="112"/>
        <v>#NAME?</v>
      </c>
      <c r="H626" s="100" t="e">
        <f t="shared" ca="1" si="113"/>
        <v>#NAME?</v>
      </c>
      <c r="I626" s="100" t="e">
        <f t="shared" ca="1" si="114"/>
        <v>#NAME?</v>
      </c>
      <c r="J626" s="100" t="e">
        <f ca="1">IFERROR(__xludf.DUMMYFUNCTION("""COMPUTED_VALUE"""),"0")</f>
        <v>#NAME?</v>
      </c>
      <c r="K626" s="100" t="e">
        <f t="shared" ca="1" si="115"/>
        <v>#NAME?</v>
      </c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 spans="1:26">
      <c r="A627" s="100" t="e">
        <f ca="1">IFERROR(__xludf.DUMMYFUNCTION("""COMPUTED_VALUE"""),58783962)</f>
        <v>#NAME?</v>
      </c>
      <c r="B627" s="100" t="e">
        <f ca="1">IFERROR(__xludf.DUMMYFUNCTION("""COMPUTED_VALUE"""),"HBARBNB")</f>
        <v>#NAME?</v>
      </c>
      <c r="C627" s="100" t="e">
        <f ca="1">IFERROR(__xludf.DUMMYFUNCTION("""COMPUTED_VALUE"""),"0.00028459")</f>
        <v>#NAME?</v>
      </c>
      <c r="D627" s="100" t="e">
        <f t="shared" ca="1" si="121"/>
        <v>#NAME?</v>
      </c>
      <c r="E627" s="100" t="e">
        <f t="shared" ca="1" si="121"/>
        <v>#NAME?</v>
      </c>
      <c r="F627" s="100" t="e">
        <f t="shared" ca="1" si="111"/>
        <v>#NAME?</v>
      </c>
      <c r="G627" s="100" t="e">
        <f t="shared" ca="1" si="112"/>
        <v>#NAME?</v>
      </c>
      <c r="H627" s="100" t="e">
        <f t="shared" ca="1" si="113"/>
        <v>#NAME?</v>
      </c>
      <c r="I627" s="100" t="e">
        <f t="shared" ca="1" si="114"/>
        <v>#NAME?</v>
      </c>
      <c r="J627" s="100" t="e">
        <f ca="1">IFERROR(__xludf.DUMMYFUNCTION("""COMPUTED_VALUE"""),"-0.175")</f>
        <v>#NAME?</v>
      </c>
      <c r="K627" s="100" t="e">
        <f t="shared" ca="1" si="115"/>
        <v>#NAME?</v>
      </c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 spans="1:26">
      <c r="A628" s="100" t="e">
        <f ca="1">IFERROR(__xludf.DUMMYFUNCTION("""COMPUTED_VALUE"""),58783963)</f>
        <v>#NAME?</v>
      </c>
      <c r="B628" s="100" t="e">
        <f ca="1">IFERROR(__xludf.DUMMYFUNCTION("""COMPUTED_VALUE"""),"HBARBTC")</f>
        <v>#NAME?</v>
      </c>
      <c r="C628" s="100" t="e">
        <f ca="1">IFERROR(__xludf.DUMMYFUNCTION("""COMPUTED_VALUE"""),"0.00000194")</f>
        <v>#NAME?</v>
      </c>
      <c r="D628" s="100" t="e">
        <f t="shared" ca="1" si="121"/>
        <v>#NAME?</v>
      </c>
      <c r="E628" s="100" t="e">
        <f t="shared" ca="1" si="121"/>
        <v>#NAME?</v>
      </c>
      <c r="F628" s="100" t="e">
        <f t="shared" ca="1" si="111"/>
        <v>#NAME?</v>
      </c>
      <c r="G628" s="100" t="e">
        <f t="shared" ca="1" si="112"/>
        <v>#NAME?</v>
      </c>
      <c r="H628" s="100" t="e">
        <f t="shared" ca="1" si="113"/>
        <v>#NAME?</v>
      </c>
      <c r="I628" s="100" t="e">
        <f t="shared" ca="1" si="114"/>
        <v>#NAME?</v>
      </c>
      <c r="J628" s="100" t="e">
        <f ca="1">IFERROR(__xludf.DUMMYFUNCTION("""COMPUTED_VALUE"""),"-1.523")</f>
        <v>#NAME?</v>
      </c>
      <c r="K628" s="100" t="e">
        <f t="shared" ca="1" si="115"/>
        <v>#NAME?</v>
      </c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 spans="1:26">
      <c r="A629" s="100" t="e">
        <f ca="1">IFERROR(__xludf.DUMMYFUNCTION("""COMPUTED_VALUE"""),58783964)</f>
        <v>#NAME?</v>
      </c>
      <c r="B629" s="100" t="e">
        <f ca="1">IFERROR(__xludf.DUMMYFUNCTION("""COMPUTED_VALUE"""),"HBARUSDT")</f>
        <v>#NAME?</v>
      </c>
      <c r="C629" s="100" t="e">
        <f ca="1">IFERROR(__xludf.DUMMYFUNCTION("""COMPUTED_VALUE"""),"0.17259000")</f>
        <v>#NAME?</v>
      </c>
      <c r="D629" s="100" t="e">
        <f t="shared" ca="1" si="121"/>
        <v>#NAME?</v>
      </c>
      <c r="E629" s="100" t="e">
        <f t="shared" ca="1" si="121"/>
        <v>#NAME?</v>
      </c>
      <c r="F629" s="100" t="e">
        <f t="shared" ca="1" si="111"/>
        <v>#NAME?</v>
      </c>
      <c r="G629" s="100" t="e">
        <f t="shared" ca="1" si="112"/>
        <v>#NAME?</v>
      </c>
      <c r="H629" s="100" t="e">
        <f t="shared" ca="1" si="113"/>
        <v>#NAME?</v>
      </c>
      <c r="I629" s="100" t="e">
        <f t="shared" ca="1" si="114"/>
        <v>#NAME?</v>
      </c>
      <c r="J629" s="100" t="e">
        <f ca="1">IFERROR(__xludf.DUMMYFUNCTION("""COMPUTED_VALUE"""),"0.273")</f>
        <v>#NAME?</v>
      </c>
      <c r="K629" s="100" t="e">
        <f t="shared" ca="1" si="115"/>
        <v>#NAME?</v>
      </c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 spans="1:26">
      <c r="A630" s="100" t="e">
        <f ca="1">IFERROR(__xludf.DUMMYFUNCTION("""COMPUTED_VALUE"""),58783965)</f>
        <v>#NAME?</v>
      </c>
      <c r="B630" s="100" t="e">
        <f ca="1">IFERROR(__xludf.DUMMYFUNCTION("""COMPUTED_VALUE"""),"NKNBNB")</f>
        <v>#NAME?</v>
      </c>
      <c r="C630" s="100" t="e">
        <f ca="1">IFERROR(__xludf.DUMMYFUNCTION("""COMPUTED_VALUE"""),"0.00000000")</f>
        <v>#NAME?</v>
      </c>
      <c r="D630" s="100" t="e">
        <f t="shared" ca="1" si="121"/>
        <v>#NAME?</v>
      </c>
      <c r="E630" s="100" t="e">
        <f t="shared" ca="1" si="121"/>
        <v>#NAME?</v>
      </c>
      <c r="F630" s="100" t="e">
        <f t="shared" ca="1" si="111"/>
        <v>#NAME?</v>
      </c>
      <c r="G630" s="100" t="e">
        <f t="shared" ca="1" si="112"/>
        <v>#NAME?</v>
      </c>
      <c r="H630" s="100" t="e">
        <f t="shared" ca="1" si="113"/>
        <v>#NAME?</v>
      </c>
      <c r="I630" s="100" t="e">
        <f t="shared" ca="1" si="114"/>
        <v>#NAME?</v>
      </c>
      <c r="J630" s="100" t="e">
        <f ca="1">IFERROR(__xludf.DUMMYFUNCTION("""COMPUTED_VALUE"""),"0")</f>
        <v>#NAME?</v>
      </c>
      <c r="K630" s="100" t="e">
        <f t="shared" ca="1" si="115"/>
        <v>#NAME?</v>
      </c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 spans="1:26">
      <c r="A631" s="100" t="e">
        <f ca="1">IFERROR(__xludf.DUMMYFUNCTION("""COMPUTED_VALUE"""),58783966)</f>
        <v>#NAME?</v>
      </c>
      <c r="B631" s="100" t="e">
        <f ca="1">IFERROR(__xludf.DUMMYFUNCTION("""COMPUTED_VALUE"""),"NKNBTC")</f>
        <v>#NAME?</v>
      </c>
      <c r="C631" s="100" t="e">
        <f ca="1">IFERROR(__xludf.DUMMYFUNCTION("""COMPUTED_VALUE"""),"0.00000033")</f>
        <v>#NAME?</v>
      </c>
      <c r="D631" s="100" t="e">
        <f t="shared" ca="1" si="121"/>
        <v>#NAME?</v>
      </c>
      <c r="E631" s="100" t="e">
        <f t="shared" ca="1" si="121"/>
        <v>#NAME?</v>
      </c>
      <c r="F631" s="100" t="e">
        <f t="shared" ca="1" si="111"/>
        <v>#NAME?</v>
      </c>
      <c r="G631" s="100" t="e">
        <f t="shared" ca="1" si="112"/>
        <v>#NAME?</v>
      </c>
      <c r="H631" s="100" t="e">
        <f t="shared" ca="1" si="113"/>
        <v>#NAME?</v>
      </c>
      <c r="I631" s="100" t="e">
        <f t="shared" ca="1" si="114"/>
        <v>#NAME?</v>
      </c>
      <c r="J631" s="100" t="e">
        <f ca="1">IFERROR(__xludf.DUMMYFUNCTION("""COMPUTED_VALUE"""),"-15.385")</f>
        <v>#NAME?</v>
      </c>
      <c r="K631" s="100" t="e">
        <f t="shared" ca="1" si="115"/>
        <v>#NAME?</v>
      </c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 spans="1:26">
      <c r="A632" s="100" t="e">
        <f ca="1">IFERROR(__xludf.DUMMYFUNCTION("""COMPUTED_VALUE"""),58783967)</f>
        <v>#NAME?</v>
      </c>
      <c r="B632" s="100" t="e">
        <f ca="1">IFERROR(__xludf.DUMMYFUNCTION("""COMPUTED_VALUE"""),"NKNUSDT")</f>
        <v>#NAME?</v>
      </c>
      <c r="C632" s="100" t="e">
        <f ca="1">IFERROR(__xludf.DUMMYFUNCTION("""COMPUTED_VALUE"""),"0.02870000")</f>
        <v>#NAME?</v>
      </c>
      <c r="D632" s="100" t="e">
        <f t="shared" ca="1" si="121"/>
        <v>#NAME?</v>
      </c>
      <c r="E632" s="100" t="e">
        <f t="shared" ca="1" si="121"/>
        <v>#NAME?</v>
      </c>
      <c r="F632" s="100" t="e">
        <f t="shared" ca="1" si="111"/>
        <v>#NAME?</v>
      </c>
      <c r="G632" s="100" t="e">
        <f t="shared" ca="1" si="112"/>
        <v>#NAME?</v>
      </c>
      <c r="H632" s="100" t="e">
        <f t="shared" ca="1" si="113"/>
        <v>#NAME?</v>
      </c>
      <c r="I632" s="100" t="e">
        <f t="shared" ca="1" si="114"/>
        <v>#NAME?</v>
      </c>
      <c r="J632" s="100" t="e">
        <f ca="1">IFERROR(__xludf.DUMMYFUNCTION("""COMPUTED_VALUE"""),"-14.837")</f>
        <v>#NAME?</v>
      </c>
      <c r="K632" s="100" t="e">
        <f t="shared" ca="1" si="115"/>
        <v>#NAME?</v>
      </c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 spans="1:26">
      <c r="A633" s="100" t="e">
        <f ca="1">IFERROR(__xludf.DUMMYFUNCTION("""COMPUTED_VALUE"""),58783968)</f>
        <v>#NAME?</v>
      </c>
      <c r="B633" s="100" t="e">
        <f ca="1">IFERROR(__xludf.DUMMYFUNCTION("""COMPUTED_VALUE"""),"XRPBUSD")</f>
        <v>#NAME?</v>
      </c>
      <c r="C633" s="100" t="e">
        <f ca="1">IFERROR(__xludf.DUMMYFUNCTION("""COMPUTED_VALUE"""),"0.63450000")</f>
        <v>#NAME?</v>
      </c>
      <c r="D633" s="100" t="e">
        <f t="shared" ca="1" si="121"/>
        <v>#NAME?</v>
      </c>
      <c r="E633" s="100" t="e">
        <f t="shared" ca="1" si="121"/>
        <v>#NAME?</v>
      </c>
      <c r="F633" s="100" t="e">
        <f t="shared" ca="1" si="111"/>
        <v>#NAME?</v>
      </c>
      <c r="G633" s="100" t="e">
        <f t="shared" ca="1" si="112"/>
        <v>#NAME?</v>
      </c>
      <c r="H633" s="100" t="e">
        <f t="shared" ca="1" si="113"/>
        <v>#NAME?</v>
      </c>
      <c r="I633" s="100" t="e">
        <f t="shared" ca="1" si="114"/>
        <v>#NAME?</v>
      </c>
      <c r="J633" s="100" t="e">
        <f t="shared" ref="J633:J638" ca="1" si="122">IFERROR(__xludf.DUMMYFUNCTION("""COMPUTED_VALUE"""),"0")</f>
        <v>#NAME?</v>
      </c>
      <c r="K633" s="100" t="e">
        <f t="shared" ca="1" si="115"/>
        <v>#NAME?</v>
      </c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 spans="1:26">
      <c r="A634" s="100" t="e">
        <f ca="1">IFERROR(__xludf.DUMMYFUNCTION("""COMPUTED_VALUE"""),58783969)</f>
        <v>#NAME?</v>
      </c>
      <c r="B634" s="100" t="e">
        <f ca="1">IFERROR(__xludf.DUMMYFUNCTION("""COMPUTED_VALUE"""),"ETHBUSD")</f>
        <v>#NAME?</v>
      </c>
      <c r="C634" s="100" t="e">
        <f ca="1">IFERROR(__xludf.DUMMYFUNCTION("""COMPUTED_VALUE"""),"2281.12000000")</f>
        <v>#NAME?</v>
      </c>
      <c r="D634" s="100" t="e">
        <f t="shared" ca="1" si="121"/>
        <v>#NAME?</v>
      </c>
      <c r="E634" s="100" t="e">
        <f t="shared" ca="1" si="121"/>
        <v>#NAME?</v>
      </c>
      <c r="F634" s="100" t="e">
        <f t="shared" ca="1" si="111"/>
        <v>#NAME?</v>
      </c>
      <c r="G634" s="100" t="e">
        <f t="shared" ca="1" si="112"/>
        <v>#NAME?</v>
      </c>
      <c r="H634" s="100" t="e">
        <f t="shared" ca="1" si="113"/>
        <v>#NAME?</v>
      </c>
      <c r="I634" s="100" t="e">
        <f t="shared" ca="1" si="114"/>
        <v>#NAME?</v>
      </c>
      <c r="J634" s="100" t="e">
        <f t="shared" ca="1" si="122"/>
        <v>#NAME?</v>
      </c>
      <c r="K634" s="100" t="e">
        <f t="shared" ca="1" si="115"/>
        <v>#NAME?</v>
      </c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 spans="1:26">
      <c r="A635" s="100" t="e">
        <f ca="1">IFERROR(__xludf.DUMMYFUNCTION("""COMPUTED_VALUE"""),58783970)</f>
        <v>#NAME?</v>
      </c>
      <c r="B635" s="100" t="e">
        <f ca="1">IFERROR(__xludf.DUMMYFUNCTION("""COMPUTED_VALUE"""),"BCHABCBUSD")</f>
        <v>#NAME?</v>
      </c>
      <c r="C635" s="100" t="e">
        <f ca="1">IFERROR(__xludf.DUMMYFUNCTION("""COMPUTED_VALUE"""),"0.00000000")</f>
        <v>#NAME?</v>
      </c>
      <c r="D635" s="100" t="e">
        <f t="shared" ca="1" si="121"/>
        <v>#NAME?</v>
      </c>
      <c r="E635" s="100" t="e">
        <f t="shared" ca="1" si="121"/>
        <v>#NAME?</v>
      </c>
      <c r="F635" s="100" t="e">
        <f t="shared" ca="1" si="111"/>
        <v>#NAME?</v>
      </c>
      <c r="G635" s="100" t="e">
        <f t="shared" ca="1" si="112"/>
        <v>#NAME?</v>
      </c>
      <c r="H635" s="100" t="e">
        <f t="shared" ca="1" si="113"/>
        <v>#NAME?</v>
      </c>
      <c r="I635" s="100" t="e">
        <f t="shared" ca="1" si="114"/>
        <v>#NAME?</v>
      </c>
      <c r="J635" s="100" t="e">
        <f t="shared" ca="1" si="122"/>
        <v>#NAME?</v>
      </c>
      <c r="K635" s="100" t="e">
        <f t="shared" ca="1" si="115"/>
        <v>#NAME?</v>
      </c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 spans="1:26">
      <c r="A636" s="100" t="e">
        <f ca="1">IFERROR(__xludf.DUMMYFUNCTION("""COMPUTED_VALUE"""),58783971)</f>
        <v>#NAME?</v>
      </c>
      <c r="B636" s="100" t="e">
        <f ca="1">IFERROR(__xludf.DUMMYFUNCTION("""COMPUTED_VALUE"""),"LTCBUSD")</f>
        <v>#NAME?</v>
      </c>
      <c r="C636" s="100" t="e">
        <f ca="1">IFERROR(__xludf.DUMMYFUNCTION("""COMPUTED_VALUE"""),"72.37000000")</f>
        <v>#NAME?</v>
      </c>
      <c r="D636" s="100" t="e">
        <f t="shared" ca="1" si="121"/>
        <v>#NAME?</v>
      </c>
      <c r="E636" s="100" t="e">
        <f t="shared" ca="1" si="121"/>
        <v>#NAME?</v>
      </c>
      <c r="F636" s="100" t="e">
        <f t="shared" ca="1" si="111"/>
        <v>#NAME?</v>
      </c>
      <c r="G636" s="100" t="e">
        <f t="shared" ca="1" si="112"/>
        <v>#NAME?</v>
      </c>
      <c r="H636" s="100" t="e">
        <f t="shared" ca="1" si="113"/>
        <v>#NAME?</v>
      </c>
      <c r="I636" s="100" t="e">
        <f t="shared" ca="1" si="114"/>
        <v>#NAME?</v>
      </c>
      <c r="J636" s="100" t="e">
        <f t="shared" ca="1" si="122"/>
        <v>#NAME?</v>
      </c>
      <c r="K636" s="100" t="e">
        <f t="shared" ca="1" si="115"/>
        <v>#NAME?</v>
      </c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 spans="1:26">
      <c r="A637" s="100" t="e">
        <f ca="1">IFERROR(__xludf.DUMMYFUNCTION("""COMPUTED_VALUE"""),58783972)</f>
        <v>#NAME?</v>
      </c>
      <c r="B637" s="100" t="e">
        <f ca="1">IFERROR(__xludf.DUMMYFUNCTION("""COMPUTED_VALUE"""),"LINKBUSD")</f>
        <v>#NAME?</v>
      </c>
      <c r="C637" s="100" t="e">
        <f ca="1">IFERROR(__xludf.DUMMYFUNCTION("""COMPUTED_VALUE"""),"14.07100000")</f>
        <v>#NAME?</v>
      </c>
      <c r="D637" s="100" t="e">
        <f t="shared" ca="1" si="121"/>
        <v>#NAME?</v>
      </c>
      <c r="E637" s="100" t="e">
        <f t="shared" ca="1" si="121"/>
        <v>#NAME?</v>
      </c>
      <c r="F637" s="100" t="e">
        <f t="shared" ca="1" si="111"/>
        <v>#NAME?</v>
      </c>
      <c r="G637" s="100" t="e">
        <f t="shared" ca="1" si="112"/>
        <v>#NAME?</v>
      </c>
      <c r="H637" s="100" t="e">
        <f t="shared" ca="1" si="113"/>
        <v>#NAME?</v>
      </c>
      <c r="I637" s="100" t="e">
        <f t="shared" ca="1" si="114"/>
        <v>#NAME?</v>
      </c>
      <c r="J637" s="100" t="e">
        <f t="shared" ca="1" si="122"/>
        <v>#NAME?</v>
      </c>
      <c r="K637" s="100" t="e">
        <f t="shared" ca="1" si="115"/>
        <v>#NAME?</v>
      </c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 spans="1:26">
      <c r="A638" s="100" t="e">
        <f ca="1">IFERROR(__xludf.DUMMYFUNCTION("""COMPUTED_VALUE"""),58783973)</f>
        <v>#NAME?</v>
      </c>
      <c r="B638" s="100" t="e">
        <f ca="1">IFERROR(__xludf.DUMMYFUNCTION("""COMPUTED_VALUE"""),"ETCBUSD")</f>
        <v>#NAME?</v>
      </c>
      <c r="C638" s="100" t="e">
        <f ca="1">IFERROR(__xludf.DUMMYFUNCTION("""COMPUTED_VALUE"""),"19.03000000")</f>
        <v>#NAME?</v>
      </c>
      <c r="D638" s="100" t="e">
        <f t="shared" ca="1" si="121"/>
        <v>#NAME?</v>
      </c>
      <c r="E638" s="100" t="e">
        <f t="shared" ca="1" si="121"/>
        <v>#NAME?</v>
      </c>
      <c r="F638" s="100" t="e">
        <f t="shared" ca="1" si="111"/>
        <v>#NAME?</v>
      </c>
      <c r="G638" s="100" t="e">
        <f t="shared" ca="1" si="112"/>
        <v>#NAME?</v>
      </c>
      <c r="H638" s="100" t="e">
        <f t="shared" ca="1" si="113"/>
        <v>#NAME?</v>
      </c>
      <c r="I638" s="100" t="e">
        <f t="shared" ca="1" si="114"/>
        <v>#NAME?</v>
      </c>
      <c r="J638" s="100" t="e">
        <f t="shared" ca="1" si="122"/>
        <v>#NAME?</v>
      </c>
      <c r="K638" s="100" t="e">
        <f t="shared" ca="1" si="115"/>
        <v>#NAME?</v>
      </c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 spans="1:26">
      <c r="A639" s="100" t="e">
        <f ca="1">IFERROR(__xludf.DUMMYFUNCTION("""COMPUTED_VALUE"""),58783974)</f>
        <v>#NAME?</v>
      </c>
      <c r="B639" s="100" t="e">
        <f ca="1">IFERROR(__xludf.DUMMYFUNCTION("""COMPUTED_VALUE"""),"STXBNB")</f>
        <v>#NAME?</v>
      </c>
      <c r="C639" s="100" t="e">
        <f ca="1">IFERROR(__xludf.DUMMYFUNCTION("""COMPUTED_VALUE"""),"0.00123200")</f>
        <v>#NAME?</v>
      </c>
      <c r="D639" s="100" t="e">
        <f t="shared" ca="1" si="121"/>
        <v>#NAME?</v>
      </c>
      <c r="E639" s="100" t="e">
        <f t="shared" ca="1" si="121"/>
        <v>#NAME?</v>
      </c>
      <c r="F639" s="100" t="e">
        <f t="shared" ca="1" si="111"/>
        <v>#NAME?</v>
      </c>
      <c r="G639" s="100" t="e">
        <f t="shared" ca="1" si="112"/>
        <v>#NAME?</v>
      </c>
      <c r="H639" s="100" t="e">
        <f t="shared" ca="1" si="113"/>
        <v>#NAME?</v>
      </c>
      <c r="I639" s="100" t="e">
        <f t="shared" ca="1" si="114"/>
        <v>#NAME?</v>
      </c>
      <c r="J639" s="100" t="e">
        <f ca="1">IFERROR(__xludf.DUMMYFUNCTION("""COMPUTED_VALUE"""),"5.933")</f>
        <v>#NAME?</v>
      </c>
      <c r="K639" s="100" t="e">
        <f t="shared" ca="1" si="115"/>
        <v>#NAME?</v>
      </c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 spans="1:26">
      <c r="A640" s="100" t="e">
        <f ca="1">IFERROR(__xludf.DUMMYFUNCTION("""COMPUTED_VALUE"""),58783975)</f>
        <v>#NAME?</v>
      </c>
      <c r="B640" s="100" t="e">
        <f ca="1">IFERROR(__xludf.DUMMYFUNCTION("""COMPUTED_VALUE"""),"STXBTC")</f>
        <v>#NAME?</v>
      </c>
      <c r="C640" s="100" t="e">
        <f ca="1">IFERROR(__xludf.DUMMYFUNCTION("""COMPUTED_VALUE"""),"0.00000845")</f>
        <v>#NAME?</v>
      </c>
      <c r="D640" s="100" t="e">
        <f t="shared" ca="1" si="121"/>
        <v>#NAME?</v>
      </c>
      <c r="E640" s="100" t="e">
        <f t="shared" ca="1" si="121"/>
        <v>#NAME?</v>
      </c>
      <c r="F640" s="100" t="e">
        <f t="shared" ca="1" si="111"/>
        <v>#NAME?</v>
      </c>
      <c r="G640" s="100" t="e">
        <f t="shared" ca="1" si="112"/>
        <v>#NAME?</v>
      </c>
      <c r="H640" s="100" t="e">
        <f t="shared" ca="1" si="113"/>
        <v>#NAME?</v>
      </c>
      <c r="I640" s="100" t="e">
        <f t="shared" ca="1" si="114"/>
        <v>#NAME?</v>
      </c>
      <c r="J640" s="100" t="e">
        <f ca="1">IFERROR(__xludf.DUMMYFUNCTION("""COMPUTED_VALUE"""),"5.237")</f>
        <v>#NAME?</v>
      </c>
      <c r="K640" s="100" t="e">
        <f t="shared" ca="1" si="115"/>
        <v>#NAME?</v>
      </c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 spans="1:26">
      <c r="A641" s="100" t="e">
        <f ca="1">IFERROR(__xludf.DUMMYFUNCTION("""COMPUTED_VALUE"""),58783976)</f>
        <v>#NAME?</v>
      </c>
      <c r="B641" s="100" t="e">
        <f ca="1">IFERROR(__xludf.DUMMYFUNCTION("""COMPUTED_VALUE"""),"STXUSDT")</f>
        <v>#NAME?</v>
      </c>
      <c r="C641" s="100" t="e">
        <f ca="1">IFERROR(__xludf.DUMMYFUNCTION("""COMPUTED_VALUE"""),"0.75000000")</f>
        <v>#NAME?</v>
      </c>
      <c r="D641" s="100" t="e">
        <f t="shared" ca="1" si="121"/>
        <v>#NAME?</v>
      </c>
      <c r="E641" s="100" t="e">
        <f t="shared" ca="1" si="121"/>
        <v>#NAME?</v>
      </c>
      <c r="F641" s="100" t="e">
        <f t="shared" ca="1" si="111"/>
        <v>#NAME?</v>
      </c>
      <c r="G641" s="100" t="e">
        <f t="shared" ca="1" si="112"/>
        <v>#NAME?</v>
      </c>
      <c r="H641" s="100" t="e">
        <f t="shared" ca="1" si="113"/>
        <v>#NAME?</v>
      </c>
      <c r="I641" s="100" t="e">
        <f t="shared" ca="1" si="114"/>
        <v>#NAME?</v>
      </c>
      <c r="J641" s="100" t="e">
        <f ca="1">IFERROR(__xludf.DUMMYFUNCTION("""COMPUTED_VALUE"""),"6.990")</f>
        <v>#NAME?</v>
      </c>
      <c r="K641" s="100" t="e">
        <f t="shared" ca="1" si="115"/>
        <v>#NAME?</v>
      </c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 spans="1:26">
      <c r="A642" s="100" t="e">
        <f ca="1">IFERROR(__xludf.DUMMYFUNCTION("""COMPUTED_VALUE"""),58783977)</f>
        <v>#NAME?</v>
      </c>
      <c r="B642" s="100" t="e">
        <f ca="1">IFERROR(__xludf.DUMMYFUNCTION("""COMPUTED_VALUE"""),"KAVABNB")</f>
        <v>#NAME?</v>
      </c>
      <c r="C642" s="100" t="e">
        <f ca="1">IFERROR(__xludf.DUMMYFUNCTION("""COMPUTED_VALUE"""),"0.00276000")</f>
        <v>#NAME?</v>
      </c>
      <c r="D642" s="100" t="e">
        <f t="shared" ref="D642:E661" ca="1" si="123">IFERROR(__xludf.DUMMYFUNCTION("""COMPUTED_VALUE"""),"-")</f>
        <v>#NAME?</v>
      </c>
      <c r="E642" s="100" t="e">
        <f t="shared" ca="1" si="123"/>
        <v>#NAME?</v>
      </c>
      <c r="F642" s="100" t="e">
        <f t="shared" ref="F642:F705" ca="1" si="124">IFERROR(__xludf.DUMMYFUNCTION("""COMPUTED_VALUE"""),20200)</f>
        <v>#NAME?</v>
      </c>
      <c r="G642" s="100" t="e">
        <f t="shared" ref="G642:G705" ca="1" si="125">IFERROR(__xludf.DUMMYFUNCTION("""COMPUTED_VALUE"""),2885)</f>
        <v>#NAME?</v>
      </c>
      <c r="H642" s="100" t="e">
        <f t="shared" ref="H642:H705" ca="1" si="126">IFERROR(__xludf.DUMMYFUNCTION("""COMPUTED_VALUE"""),663)</f>
        <v>#NAME?</v>
      </c>
      <c r="I642" s="100" t="e">
        <f t="shared" ref="I642:I705" ca="1" si="127">IFERROR(__xludf.DUMMYFUNCTION("""COMPUTED_VALUE"""),5817721)</f>
        <v>#NAME?</v>
      </c>
      <c r="J642" s="100" t="e">
        <f ca="1">IFERROR(__xludf.DUMMYFUNCTION("""COMPUTED_VALUE"""),"0")</f>
        <v>#NAME?</v>
      </c>
      <c r="K642" s="100" t="e">
        <f t="shared" ref="K642:K705" ca="1" si="128">IFERROR(__xludf.DUMMYFUNCTION("""COMPUTED_VALUE"""),"22.04.2025 13:05:01")</f>
        <v>#NAME?</v>
      </c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 spans="1:26">
      <c r="A643" s="100" t="e">
        <f ca="1">IFERROR(__xludf.DUMMYFUNCTION("""COMPUTED_VALUE"""),58783978)</f>
        <v>#NAME?</v>
      </c>
      <c r="B643" s="100" t="e">
        <f ca="1">IFERROR(__xludf.DUMMYFUNCTION("""COMPUTED_VALUE"""),"KAVABTC")</f>
        <v>#NAME?</v>
      </c>
      <c r="C643" s="100" t="e">
        <f ca="1">IFERROR(__xludf.DUMMYFUNCTION("""COMPUTED_VALUE"""),"0.00000470")</f>
        <v>#NAME?</v>
      </c>
      <c r="D643" s="100" t="e">
        <f t="shared" ca="1" si="123"/>
        <v>#NAME?</v>
      </c>
      <c r="E643" s="100" t="e">
        <f t="shared" ca="1" si="123"/>
        <v>#NAME?</v>
      </c>
      <c r="F643" s="100" t="e">
        <f t="shared" ca="1" si="124"/>
        <v>#NAME?</v>
      </c>
      <c r="G643" s="100" t="e">
        <f t="shared" ca="1" si="125"/>
        <v>#NAME?</v>
      </c>
      <c r="H643" s="100" t="e">
        <f t="shared" ca="1" si="126"/>
        <v>#NAME?</v>
      </c>
      <c r="I643" s="100" t="e">
        <f t="shared" ca="1" si="127"/>
        <v>#NAME?</v>
      </c>
      <c r="J643" s="100" t="e">
        <f ca="1">IFERROR(__xludf.DUMMYFUNCTION("""COMPUTED_VALUE"""),"-2.287")</f>
        <v>#NAME?</v>
      </c>
      <c r="K643" s="100" t="e">
        <f t="shared" ca="1" si="128"/>
        <v>#NAME?</v>
      </c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 spans="1:26">
      <c r="A644" s="100" t="e">
        <f ca="1">IFERROR(__xludf.DUMMYFUNCTION("""COMPUTED_VALUE"""),58783979)</f>
        <v>#NAME?</v>
      </c>
      <c r="B644" s="100" t="e">
        <f ca="1">IFERROR(__xludf.DUMMYFUNCTION("""COMPUTED_VALUE"""),"KAVAUSDT")</f>
        <v>#NAME?</v>
      </c>
      <c r="C644" s="100" t="e">
        <f ca="1">IFERROR(__xludf.DUMMYFUNCTION("""COMPUTED_VALUE"""),"0.41630000")</f>
        <v>#NAME?</v>
      </c>
      <c r="D644" s="100" t="e">
        <f t="shared" ca="1" si="123"/>
        <v>#NAME?</v>
      </c>
      <c r="E644" s="100" t="e">
        <f t="shared" ca="1" si="123"/>
        <v>#NAME?</v>
      </c>
      <c r="F644" s="100" t="e">
        <f t="shared" ca="1" si="124"/>
        <v>#NAME?</v>
      </c>
      <c r="G644" s="100" t="e">
        <f t="shared" ca="1" si="125"/>
        <v>#NAME?</v>
      </c>
      <c r="H644" s="100" t="e">
        <f t="shared" ca="1" si="126"/>
        <v>#NAME?</v>
      </c>
      <c r="I644" s="100" t="e">
        <f t="shared" ca="1" si="127"/>
        <v>#NAME?</v>
      </c>
      <c r="J644" s="100" t="e">
        <f ca="1">IFERROR(__xludf.DUMMYFUNCTION("""COMPUTED_VALUE"""),"-1.210")</f>
        <v>#NAME?</v>
      </c>
      <c r="K644" s="100" t="e">
        <f t="shared" ca="1" si="128"/>
        <v>#NAME?</v>
      </c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 spans="1:26">
      <c r="A645" s="100" t="e">
        <f ca="1">IFERROR(__xludf.DUMMYFUNCTION("""COMPUTED_VALUE"""),58783980)</f>
        <v>#NAME?</v>
      </c>
      <c r="B645" s="100" t="e">
        <f ca="1">IFERROR(__xludf.DUMMYFUNCTION("""COMPUTED_VALUE"""),"BUSDNGN")</f>
        <v>#NAME?</v>
      </c>
      <c r="C645" s="100" t="e">
        <f ca="1">IFERROR(__xludf.DUMMYFUNCTION("""COMPUTED_VALUE"""),"0.00000000")</f>
        <v>#NAME?</v>
      </c>
      <c r="D645" s="100" t="e">
        <f t="shared" ca="1" si="123"/>
        <v>#NAME?</v>
      </c>
      <c r="E645" s="100" t="e">
        <f t="shared" ca="1" si="123"/>
        <v>#NAME?</v>
      </c>
      <c r="F645" s="100" t="e">
        <f t="shared" ca="1" si="124"/>
        <v>#NAME?</v>
      </c>
      <c r="G645" s="100" t="e">
        <f t="shared" ca="1" si="125"/>
        <v>#NAME?</v>
      </c>
      <c r="H645" s="100" t="e">
        <f t="shared" ca="1" si="126"/>
        <v>#NAME?</v>
      </c>
      <c r="I645" s="100" t="e">
        <f t="shared" ca="1" si="127"/>
        <v>#NAME?</v>
      </c>
      <c r="J645" s="100" t="e">
        <f ca="1">IFERROR(__xludf.DUMMYFUNCTION("""COMPUTED_VALUE"""),"0")</f>
        <v>#NAME?</v>
      </c>
      <c r="K645" s="100" t="e">
        <f t="shared" ca="1" si="128"/>
        <v>#NAME?</v>
      </c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 spans="1:26">
      <c r="A646" s="100" t="e">
        <f ca="1">IFERROR(__xludf.DUMMYFUNCTION("""COMPUTED_VALUE"""),58783981)</f>
        <v>#NAME?</v>
      </c>
      <c r="B646" s="100" t="e">
        <f ca="1">IFERROR(__xludf.DUMMYFUNCTION("""COMPUTED_VALUE"""),"BNBNGN")</f>
        <v>#NAME?</v>
      </c>
      <c r="C646" s="100" t="e">
        <f ca="1">IFERROR(__xludf.DUMMYFUNCTION("""COMPUTED_VALUE"""),"0.00000000")</f>
        <v>#NAME?</v>
      </c>
      <c r="D646" s="100" t="e">
        <f t="shared" ca="1" si="123"/>
        <v>#NAME?</v>
      </c>
      <c r="E646" s="100" t="e">
        <f t="shared" ca="1" si="123"/>
        <v>#NAME?</v>
      </c>
      <c r="F646" s="100" t="e">
        <f t="shared" ca="1" si="124"/>
        <v>#NAME?</v>
      </c>
      <c r="G646" s="100" t="e">
        <f t="shared" ca="1" si="125"/>
        <v>#NAME?</v>
      </c>
      <c r="H646" s="100" t="e">
        <f t="shared" ca="1" si="126"/>
        <v>#NAME?</v>
      </c>
      <c r="I646" s="100" t="e">
        <f t="shared" ca="1" si="127"/>
        <v>#NAME?</v>
      </c>
      <c r="J646" s="100" t="e">
        <f ca="1">IFERROR(__xludf.DUMMYFUNCTION("""COMPUTED_VALUE"""),"0")</f>
        <v>#NAME?</v>
      </c>
      <c r="K646" s="100" t="e">
        <f t="shared" ca="1" si="128"/>
        <v>#NAME?</v>
      </c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 spans="1:26">
      <c r="A647" s="100" t="e">
        <f ca="1">IFERROR(__xludf.DUMMYFUNCTION("""COMPUTED_VALUE"""),58783982)</f>
        <v>#NAME?</v>
      </c>
      <c r="B647" s="100" t="e">
        <f ca="1">IFERROR(__xludf.DUMMYFUNCTION("""COMPUTED_VALUE"""),"BTCNGN")</f>
        <v>#NAME?</v>
      </c>
      <c r="C647" s="100" t="e">
        <f ca="1">IFERROR(__xludf.DUMMYFUNCTION("""COMPUTED_VALUE"""),"99822596.00000000")</f>
        <v>#NAME?</v>
      </c>
      <c r="D647" s="100" t="e">
        <f t="shared" ca="1" si="123"/>
        <v>#NAME?</v>
      </c>
      <c r="E647" s="100" t="e">
        <f t="shared" ca="1" si="123"/>
        <v>#NAME?</v>
      </c>
      <c r="F647" s="100" t="e">
        <f t="shared" ca="1" si="124"/>
        <v>#NAME?</v>
      </c>
      <c r="G647" s="100" t="e">
        <f t="shared" ca="1" si="125"/>
        <v>#NAME?</v>
      </c>
      <c r="H647" s="100" t="e">
        <f t="shared" ca="1" si="126"/>
        <v>#NAME?</v>
      </c>
      <c r="I647" s="100" t="e">
        <f t="shared" ca="1" si="127"/>
        <v>#NAME?</v>
      </c>
      <c r="J647" s="100" t="e">
        <f ca="1">IFERROR(__xludf.DUMMYFUNCTION("""COMPUTED_VALUE"""),"0")</f>
        <v>#NAME?</v>
      </c>
      <c r="K647" s="100" t="e">
        <f t="shared" ca="1" si="128"/>
        <v>#NAME?</v>
      </c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 spans="1:26">
      <c r="A648" s="100" t="e">
        <f ca="1">IFERROR(__xludf.DUMMYFUNCTION("""COMPUTED_VALUE"""),58783983)</f>
        <v>#NAME?</v>
      </c>
      <c r="B648" s="100" t="e">
        <f ca="1">IFERROR(__xludf.DUMMYFUNCTION("""COMPUTED_VALUE"""),"ARPABNB")</f>
        <v>#NAME?</v>
      </c>
      <c r="C648" s="100" t="e">
        <f ca="1">IFERROR(__xludf.DUMMYFUNCTION("""COMPUTED_VALUE"""),"0.00015470")</f>
        <v>#NAME?</v>
      </c>
      <c r="D648" s="100" t="e">
        <f t="shared" ca="1" si="123"/>
        <v>#NAME?</v>
      </c>
      <c r="E648" s="100" t="e">
        <f t="shared" ca="1" si="123"/>
        <v>#NAME?</v>
      </c>
      <c r="F648" s="100" t="e">
        <f t="shared" ca="1" si="124"/>
        <v>#NAME?</v>
      </c>
      <c r="G648" s="100" t="e">
        <f t="shared" ca="1" si="125"/>
        <v>#NAME?</v>
      </c>
      <c r="H648" s="100" t="e">
        <f t="shared" ca="1" si="126"/>
        <v>#NAME?</v>
      </c>
      <c r="I648" s="100" t="e">
        <f t="shared" ca="1" si="127"/>
        <v>#NAME?</v>
      </c>
      <c r="J648" s="100" t="e">
        <f ca="1">IFERROR(__xludf.DUMMYFUNCTION("""COMPUTED_VALUE"""),"0")</f>
        <v>#NAME?</v>
      </c>
      <c r="K648" s="100" t="e">
        <f t="shared" ca="1" si="128"/>
        <v>#NAME?</v>
      </c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 spans="1:26">
      <c r="A649" s="100" t="e">
        <f ca="1">IFERROR(__xludf.DUMMYFUNCTION("""COMPUTED_VALUE"""),58783984)</f>
        <v>#NAME?</v>
      </c>
      <c r="B649" s="100" t="e">
        <f ca="1">IFERROR(__xludf.DUMMYFUNCTION("""COMPUTED_VALUE"""),"ARPABTC")</f>
        <v>#NAME?</v>
      </c>
      <c r="C649" s="100" t="e">
        <f ca="1">IFERROR(__xludf.DUMMYFUNCTION("""COMPUTED_VALUE"""),"0.00000026")</f>
        <v>#NAME?</v>
      </c>
      <c r="D649" s="100" t="e">
        <f t="shared" ca="1" si="123"/>
        <v>#NAME?</v>
      </c>
      <c r="E649" s="100" t="e">
        <f t="shared" ca="1" si="123"/>
        <v>#NAME?</v>
      </c>
      <c r="F649" s="100" t="e">
        <f t="shared" ca="1" si="124"/>
        <v>#NAME?</v>
      </c>
      <c r="G649" s="100" t="e">
        <f t="shared" ca="1" si="125"/>
        <v>#NAME?</v>
      </c>
      <c r="H649" s="100" t="e">
        <f t="shared" ca="1" si="126"/>
        <v>#NAME?</v>
      </c>
      <c r="I649" s="100" t="e">
        <f t="shared" ca="1" si="127"/>
        <v>#NAME?</v>
      </c>
      <c r="J649" s="100" t="e">
        <f ca="1">IFERROR(__xludf.DUMMYFUNCTION("""COMPUTED_VALUE"""),"-3.704")</f>
        <v>#NAME?</v>
      </c>
      <c r="K649" s="100" t="e">
        <f t="shared" ca="1" si="128"/>
        <v>#NAME?</v>
      </c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 spans="1:26">
      <c r="A650" s="100" t="e">
        <f ca="1">IFERROR(__xludf.DUMMYFUNCTION("""COMPUTED_VALUE"""),58783985)</f>
        <v>#NAME?</v>
      </c>
      <c r="B650" s="100" t="e">
        <f ca="1">IFERROR(__xludf.DUMMYFUNCTION("""COMPUTED_VALUE"""),"ARPAUSDT")</f>
        <v>#NAME?</v>
      </c>
      <c r="C650" s="100" t="e">
        <f ca="1">IFERROR(__xludf.DUMMYFUNCTION("""COMPUTED_VALUE"""),"0.02313000")</f>
        <v>#NAME?</v>
      </c>
      <c r="D650" s="100" t="e">
        <f t="shared" ca="1" si="123"/>
        <v>#NAME?</v>
      </c>
      <c r="E650" s="100" t="e">
        <f t="shared" ca="1" si="123"/>
        <v>#NAME?</v>
      </c>
      <c r="F650" s="100" t="e">
        <f t="shared" ca="1" si="124"/>
        <v>#NAME?</v>
      </c>
      <c r="G650" s="100" t="e">
        <f t="shared" ca="1" si="125"/>
        <v>#NAME?</v>
      </c>
      <c r="H650" s="100" t="e">
        <f t="shared" ca="1" si="126"/>
        <v>#NAME?</v>
      </c>
      <c r="I650" s="100" t="e">
        <f t="shared" ca="1" si="127"/>
        <v>#NAME?</v>
      </c>
      <c r="J650" s="100" t="e">
        <f ca="1">IFERROR(__xludf.DUMMYFUNCTION("""COMPUTED_VALUE"""),"0.828")</f>
        <v>#NAME?</v>
      </c>
      <c r="K650" s="100" t="e">
        <f t="shared" ca="1" si="128"/>
        <v>#NAME?</v>
      </c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 spans="1:26">
      <c r="A651" s="100" t="e">
        <f ca="1">IFERROR(__xludf.DUMMYFUNCTION("""COMPUTED_VALUE"""),58783986)</f>
        <v>#NAME?</v>
      </c>
      <c r="B651" s="100" t="e">
        <f ca="1">IFERROR(__xludf.DUMMYFUNCTION("""COMPUTED_VALUE"""),"TRXBUSD")</f>
        <v>#NAME?</v>
      </c>
      <c r="C651" s="100" t="e">
        <f ca="1">IFERROR(__xludf.DUMMYFUNCTION("""COMPUTED_VALUE"""),"0.10329000")</f>
        <v>#NAME?</v>
      </c>
      <c r="D651" s="100" t="e">
        <f t="shared" ca="1" si="123"/>
        <v>#NAME?</v>
      </c>
      <c r="E651" s="100" t="e">
        <f t="shared" ca="1" si="123"/>
        <v>#NAME?</v>
      </c>
      <c r="F651" s="100" t="e">
        <f t="shared" ca="1" si="124"/>
        <v>#NAME?</v>
      </c>
      <c r="G651" s="100" t="e">
        <f t="shared" ca="1" si="125"/>
        <v>#NAME?</v>
      </c>
      <c r="H651" s="100" t="e">
        <f t="shared" ca="1" si="126"/>
        <v>#NAME?</v>
      </c>
      <c r="I651" s="100" t="e">
        <f t="shared" ca="1" si="127"/>
        <v>#NAME?</v>
      </c>
      <c r="J651" s="100" t="e">
        <f ca="1">IFERROR(__xludf.DUMMYFUNCTION("""COMPUTED_VALUE"""),"0")</f>
        <v>#NAME?</v>
      </c>
      <c r="K651" s="100" t="e">
        <f t="shared" ca="1" si="128"/>
        <v>#NAME?</v>
      </c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 spans="1:26">
      <c r="A652" s="100" t="e">
        <f ca="1">IFERROR(__xludf.DUMMYFUNCTION("""COMPUTED_VALUE"""),58783987)</f>
        <v>#NAME?</v>
      </c>
      <c r="B652" s="100" t="e">
        <f ca="1">IFERROR(__xludf.DUMMYFUNCTION("""COMPUTED_VALUE"""),"EOSBUSD")</f>
        <v>#NAME?</v>
      </c>
      <c r="C652" s="100" t="e">
        <f ca="1">IFERROR(__xludf.DUMMYFUNCTION("""COMPUTED_VALUE"""),"0.63400000")</f>
        <v>#NAME?</v>
      </c>
      <c r="D652" s="100" t="e">
        <f t="shared" ca="1" si="123"/>
        <v>#NAME?</v>
      </c>
      <c r="E652" s="100" t="e">
        <f t="shared" ca="1" si="123"/>
        <v>#NAME?</v>
      </c>
      <c r="F652" s="100" t="e">
        <f t="shared" ca="1" si="124"/>
        <v>#NAME?</v>
      </c>
      <c r="G652" s="100" t="e">
        <f t="shared" ca="1" si="125"/>
        <v>#NAME?</v>
      </c>
      <c r="H652" s="100" t="e">
        <f t="shared" ca="1" si="126"/>
        <v>#NAME?</v>
      </c>
      <c r="I652" s="100" t="e">
        <f t="shared" ca="1" si="127"/>
        <v>#NAME?</v>
      </c>
      <c r="J652" s="100" t="e">
        <f ca="1">IFERROR(__xludf.DUMMYFUNCTION("""COMPUTED_VALUE"""),"0")</f>
        <v>#NAME?</v>
      </c>
      <c r="K652" s="100" t="e">
        <f t="shared" ca="1" si="128"/>
        <v>#NAME?</v>
      </c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 spans="1:26">
      <c r="A653" s="100" t="e">
        <f ca="1">IFERROR(__xludf.DUMMYFUNCTION("""COMPUTED_VALUE"""),58783988)</f>
        <v>#NAME?</v>
      </c>
      <c r="B653" s="100" t="e">
        <f ca="1">IFERROR(__xludf.DUMMYFUNCTION("""COMPUTED_VALUE"""),"IOTXUSDT")</f>
        <v>#NAME?</v>
      </c>
      <c r="C653" s="100" t="e">
        <f ca="1">IFERROR(__xludf.DUMMYFUNCTION("""COMPUTED_VALUE"""),"0.01814000")</f>
        <v>#NAME?</v>
      </c>
      <c r="D653" s="100" t="e">
        <f t="shared" ca="1" si="123"/>
        <v>#NAME?</v>
      </c>
      <c r="E653" s="100" t="e">
        <f t="shared" ca="1" si="123"/>
        <v>#NAME?</v>
      </c>
      <c r="F653" s="100" t="e">
        <f t="shared" ca="1" si="124"/>
        <v>#NAME?</v>
      </c>
      <c r="G653" s="100" t="e">
        <f t="shared" ca="1" si="125"/>
        <v>#NAME?</v>
      </c>
      <c r="H653" s="100" t="e">
        <f t="shared" ca="1" si="126"/>
        <v>#NAME?</v>
      </c>
      <c r="I653" s="100" t="e">
        <f t="shared" ca="1" si="127"/>
        <v>#NAME?</v>
      </c>
      <c r="J653" s="100" t="e">
        <f ca="1">IFERROR(__xludf.DUMMYFUNCTION("""COMPUTED_VALUE"""),"-1.680")</f>
        <v>#NAME?</v>
      </c>
      <c r="K653" s="100" t="e">
        <f t="shared" ca="1" si="128"/>
        <v>#NAME?</v>
      </c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 spans="1:26">
      <c r="A654" s="100" t="e">
        <f ca="1">IFERROR(__xludf.DUMMYFUNCTION("""COMPUTED_VALUE"""),58783989)</f>
        <v>#NAME?</v>
      </c>
      <c r="B654" s="100" t="e">
        <f ca="1">IFERROR(__xludf.DUMMYFUNCTION("""COMPUTED_VALUE"""),"RLCUSDT")</f>
        <v>#NAME?</v>
      </c>
      <c r="C654" s="100" t="e">
        <f ca="1">IFERROR(__xludf.DUMMYFUNCTION("""COMPUTED_VALUE"""),"1.14500000")</f>
        <v>#NAME?</v>
      </c>
      <c r="D654" s="100" t="e">
        <f t="shared" ca="1" si="123"/>
        <v>#NAME?</v>
      </c>
      <c r="E654" s="100" t="e">
        <f t="shared" ca="1" si="123"/>
        <v>#NAME?</v>
      </c>
      <c r="F654" s="100" t="e">
        <f t="shared" ca="1" si="124"/>
        <v>#NAME?</v>
      </c>
      <c r="G654" s="100" t="e">
        <f t="shared" ca="1" si="125"/>
        <v>#NAME?</v>
      </c>
      <c r="H654" s="100" t="e">
        <f t="shared" ca="1" si="126"/>
        <v>#NAME?</v>
      </c>
      <c r="I654" s="100" t="e">
        <f t="shared" ca="1" si="127"/>
        <v>#NAME?</v>
      </c>
      <c r="J654" s="100" t="e">
        <f ca="1">IFERROR(__xludf.DUMMYFUNCTION("""COMPUTED_VALUE"""),"-0.521")</f>
        <v>#NAME?</v>
      </c>
      <c r="K654" s="100" t="e">
        <f t="shared" ca="1" si="128"/>
        <v>#NAME?</v>
      </c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 spans="1:26">
      <c r="A655" s="100" t="e">
        <f ca="1">IFERROR(__xludf.DUMMYFUNCTION("""COMPUTED_VALUE"""),58783990)</f>
        <v>#NAME?</v>
      </c>
      <c r="B655" s="100" t="e">
        <f ca="1">IFERROR(__xludf.DUMMYFUNCTION("""COMPUTED_VALUE"""),"MCOUSDT")</f>
        <v>#NAME?</v>
      </c>
      <c r="C655" s="100" t="e">
        <f ca="1">IFERROR(__xludf.DUMMYFUNCTION("""COMPUTED_VALUE"""),"0.00000000")</f>
        <v>#NAME?</v>
      </c>
      <c r="D655" s="100" t="e">
        <f t="shared" ca="1" si="123"/>
        <v>#NAME?</v>
      </c>
      <c r="E655" s="100" t="e">
        <f t="shared" ca="1" si="123"/>
        <v>#NAME?</v>
      </c>
      <c r="F655" s="100" t="e">
        <f t="shared" ca="1" si="124"/>
        <v>#NAME?</v>
      </c>
      <c r="G655" s="100" t="e">
        <f t="shared" ca="1" si="125"/>
        <v>#NAME?</v>
      </c>
      <c r="H655" s="100" t="e">
        <f t="shared" ca="1" si="126"/>
        <v>#NAME?</v>
      </c>
      <c r="I655" s="100" t="e">
        <f t="shared" ca="1" si="127"/>
        <v>#NAME?</v>
      </c>
      <c r="J655" s="100" t="e">
        <f ca="1">IFERROR(__xludf.DUMMYFUNCTION("""COMPUTED_VALUE"""),"0")</f>
        <v>#NAME?</v>
      </c>
      <c r="K655" s="100" t="e">
        <f t="shared" ca="1" si="128"/>
        <v>#NAME?</v>
      </c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 spans="1:26">
      <c r="A656" s="100" t="e">
        <f ca="1">IFERROR(__xludf.DUMMYFUNCTION("""COMPUTED_VALUE"""),58783991)</f>
        <v>#NAME?</v>
      </c>
      <c r="B656" s="100" t="e">
        <f ca="1">IFERROR(__xludf.DUMMYFUNCTION("""COMPUTED_VALUE"""),"XLMBUSD")</f>
        <v>#NAME?</v>
      </c>
      <c r="C656" s="100" t="e">
        <f ca="1">IFERROR(__xludf.DUMMYFUNCTION("""COMPUTED_VALUE"""),"0.11970000")</f>
        <v>#NAME?</v>
      </c>
      <c r="D656" s="100" t="e">
        <f t="shared" ca="1" si="123"/>
        <v>#NAME?</v>
      </c>
      <c r="E656" s="100" t="e">
        <f t="shared" ca="1" si="123"/>
        <v>#NAME?</v>
      </c>
      <c r="F656" s="100" t="e">
        <f t="shared" ca="1" si="124"/>
        <v>#NAME?</v>
      </c>
      <c r="G656" s="100" t="e">
        <f t="shared" ca="1" si="125"/>
        <v>#NAME?</v>
      </c>
      <c r="H656" s="100" t="e">
        <f t="shared" ca="1" si="126"/>
        <v>#NAME?</v>
      </c>
      <c r="I656" s="100" t="e">
        <f t="shared" ca="1" si="127"/>
        <v>#NAME?</v>
      </c>
      <c r="J656" s="100" t="e">
        <f ca="1">IFERROR(__xludf.DUMMYFUNCTION("""COMPUTED_VALUE"""),"0")</f>
        <v>#NAME?</v>
      </c>
      <c r="K656" s="100" t="e">
        <f t="shared" ca="1" si="128"/>
        <v>#NAME?</v>
      </c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 spans="1:26">
      <c r="A657" s="100" t="e">
        <f ca="1">IFERROR(__xludf.DUMMYFUNCTION("""COMPUTED_VALUE"""),58783992)</f>
        <v>#NAME?</v>
      </c>
      <c r="B657" s="100" t="e">
        <f ca="1">IFERROR(__xludf.DUMMYFUNCTION("""COMPUTED_VALUE"""),"ADABUSD")</f>
        <v>#NAME?</v>
      </c>
      <c r="C657" s="100" t="e">
        <f ca="1">IFERROR(__xludf.DUMMYFUNCTION("""COMPUTED_VALUE"""),"0.63740000")</f>
        <v>#NAME?</v>
      </c>
      <c r="D657" s="100" t="e">
        <f t="shared" ca="1" si="123"/>
        <v>#NAME?</v>
      </c>
      <c r="E657" s="100" t="e">
        <f t="shared" ca="1" si="123"/>
        <v>#NAME?</v>
      </c>
      <c r="F657" s="100" t="e">
        <f t="shared" ca="1" si="124"/>
        <v>#NAME?</v>
      </c>
      <c r="G657" s="100" t="e">
        <f t="shared" ca="1" si="125"/>
        <v>#NAME?</v>
      </c>
      <c r="H657" s="100" t="e">
        <f t="shared" ca="1" si="126"/>
        <v>#NAME?</v>
      </c>
      <c r="I657" s="100" t="e">
        <f t="shared" ca="1" si="127"/>
        <v>#NAME?</v>
      </c>
      <c r="J657" s="100" t="e">
        <f ca="1">IFERROR(__xludf.DUMMYFUNCTION("""COMPUTED_VALUE"""),"0")</f>
        <v>#NAME?</v>
      </c>
      <c r="K657" s="100" t="e">
        <f t="shared" ca="1" si="128"/>
        <v>#NAME?</v>
      </c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 spans="1:26">
      <c r="A658" s="100" t="e">
        <f ca="1">IFERROR(__xludf.DUMMYFUNCTION("""COMPUTED_VALUE"""),58783993)</f>
        <v>#NAME?</v>
      </c>
      <c r="B658" s="100" t="e">
        <f ca="1">IFERROR(__xludf.DUMMYFUNCTION("""COMPUTED_VALUE"""),"CTXCBNB")</f>
        <v>#NAME?</v>
      </c>
      <c r="C658" s="100" t="e">
        <f ca="1">IFERROR(__xludf.DUMMYFUNCTION("""COMPUTED_VALUE"""),"0.00000000")</f>
        <v>#NAME?</v>
      </c>
      <c r="D658" s="100" t="e">
        <f t="shared" ca="1" si="123"/>
        <v>#NAME?</v>
      </c>
      <c r="E658" s="100" t="e">
        <f t="shared" ca="1" si="123"/>
        <v>#NAME?</v>
      </c>
      <c r="F658" s="100" t="e">
        <f t="shared" ca="1" si="124"/>
        <v>#NAME?</v>
      </c>
      <c r="G658" s="100" t="e">
        <f t="shared" ca="1" si="125"/>
        <v>#NAME?</v>
      </c>
      <c r="H658" s="100" t="e">
        <f t="shared" ca="1" si="126"/>
        <v>#NAME?</v>
      </c>
      <c r="I658" s="100" t="e">
        <f t="shared" ca="1" si="127"/>
        <v>#NAME?</v>
      </c>
      <c r="J658" s="100" t="e">
        <f ca="1">IFERROR(__xludf.DUMMYFUNCTION("""COMPUTED_VALUE"""),"0")</f>
        <v>#NAME?</v>
      </c>
      <c r="K658" s="100" t="e">
        <f t="shared" ca="1" si="128"/>
        <v>#NAME?</v>
      </c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 spans="1:26">
      <c r="A659" s="100" t="e">
        <f ca="1">IFERROR(__xludf.DUMMYFUNCTION("""COMPUTED_VALUE"""),58783994)</f>
        <v>#NAME?</v>
      </c>
      <c r="B659" s="100" t="e">
        <f ca="1">IFERROR(__xludf.DUMMYFUNCTION("""COMPUTED_VALUE"""),"CTXCBTC")</f>
        <v>#NAME?</v>
      </c>
      <c r="C659" s="100" t="e">
        <f ca="1">IFERROR(__xludf.DUMMYFUNCTION("""COMPUTED_VALUE"""),"0.00000075")</f>
        <v>#NAME?</v>
      </c>
      <c r="D659" s="100" t="e">
        <f t="shared" ca="1" si="123"/>
        <v>#NAME?</v>
      </c>
      <c r="E659" s="100" t="e">
        <f t="shared" ca="1" si="123"/>
        <v>#NAME?</v>
      </c>
      <c r="F659" s="100" t="e">
        <f t="shared" ca="1" si="124"/>
        <v>#NAME?</v>
      </c>
      <c r="G659" s="100" t="e">
        <f t="shared" ca="1" si="125"/>
        <v>#NAME?</v>
      </c>
      <c r="H659" s="100" t="e">
        <f t="shared" ca="1" si="126"/>
        <v>#NAME?</v>
      </c>
      <c r="I659" s="100" t="e">
        <f t="shared" ca="1" si="127"/>
        <v>#NAME?</v>
      </c>
      <c r="J659" s="100" t="e">
        <f ca="1">IFERROR(__xludf.DUMMYFUNCTION("""COMPUTED_VALUE"""),"1.351")</f>
        <v>#NAME?</v>
      </c>
      <c r="K659" s="100" t="e">
        <f t="shared" ca="1" si="128"/>
        <v>#NAME?</v>
      </c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 spans="1:26">
      <c r="A660" s="100" t="e">
        <f ca="1">IFERROR(__xludf.DUMMYFUNCTION("""COMPUTED_VALUE"""),58783995)</f>
        <v>#NAME?</v>
      </c>
      <c r="B660" s="100" t="e">
        <f ca="1">IFERROR(__xludf.DUMMYFUNCTION("""COMPUTED_VALUE"""),"CTXCUSDT")</f>
        <v>#NAME?</v>
      </c>
      <c r="C660" s="100" t="e">
        <f ca="1">IFERROR(__xludf.DUMMYFUNCTION("""COMPUTED_VALUE"""),"0.06340000")</f>
        <v>#NAME?</v>
      </c>
      <c r="D660" s="100" t="e">
        <f t="shared" ca="1" si="123"/>
        <v>#NAME?</v>
      </c>
      <c r="E660" s="100" t="e">
        <f t="shared" ca="1" si="123"/>
        <v>#NAME?</v>
      </c>
      <c r="F660" s="100" t="e">
        <f t="shared" ca="1" si="124"/>
        <v>#NAME?</v>
      </c>
      <c r="G660" s="100" t="e">
        <f t="shared" ca="1" si="125"/>
        <v>#NAME?</v>
      </c>
      <c r="H660" s="100" t="e">
        <f t="shared" ca="1" si="126"/>
        <v>#NAME?</v>
      </c>
      <c r="I660" s="100" t="e">
        <f t="shared" ca="1" si="127"/>
        <v>#NAME?</v>
      </c>
      <c r="J660" s="100" t="e">
        <f ca="1">IFERROR(__xludf.DUMMYFUNCTION("""COMPUTED_VALUE"""),"0.635")</f>
        <v>#NAME?</v>
      </c>
      <c r="K660" s="100" t="e">
        <f t="shared" ca="1" si="128"/>
        <v>#NAME?</v>
      </c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 spans="1:26">
      <c r="A661" s="100" t="e">
        <f ca="1">IFERROR(__xludf.DUMMYFUNCTION("""COMPUTED_VALUE"""),58783996)</f>
        <v>#NAME?</v>
      </c>
      <c r="B661" s="100" t="e">
        <f ca="1">IFERROR(__xludf.DUMMYFUNCTION("""COMPUTED_VALUE"""),"BCHBNB")</f>
        <v>#NAME?</v>
      </c>
      <c r="C661" s="100" t="e">
        <f ca="1">IFERROR(__xludf.DUMMYFUNCTION("""COMPUTED_VALUE"""),"0.57200000")</f>
        <v>#NAME?</v>
      </c>
      <c r="D661" s="100" t="e">
        <f t="shared" ca="1" si="123"/>
        <v>#NAME?</v>
      </c>
      <c r="E661" s="100" t="e">
        <f t="shared" ca="1" si="123"/>
        <v>#NAME?</v>
      </c>
      <c r="F661" s="100" t="e">
        <f t="shared" ca="1" si="124"/>
        <v>#NAME?</v>
      </c>
      <c r="G661" s="100" t="e">
        <f t="shared" ca="1" si="125"/>
        <v>#NAME?</v>
      </c>
      <c r="H661" s="100" t="e">
        <f t="shared" ca="1" si="126"/>
        <v>#NAME?</v>
      </c>
      <c r="I661" s="100" t="e">
        <f t="shared" ca="1" si="127"/>
        <v>#NAME?</v>
      </c>
      <c r="J661" s="100" t="e">
        <f ca="1">IFERROR(__xludf.DUMMYFUNCTION("""COMPUTED_VALUE"""),"1.599")</f>
        <v>#NAME?</v>
      </c>
      <c r="K661" s="100" t="e">
        <f t="shared" ca="1" si="128"/>
        <v>#NAME?</v>
      </c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 spans="1:26">
      <c r="A662" s="100" t="e">
        <f ca="1">IFERROR(__xludf.DUMMYFUNCTION("""COMPUTED_VALUE"""),58783997)</f>
        <v>#NAME?</v>
      </c>
      <c r="B662" s="100" t="e">
        <f ca="1">IFERROR(__xludf.DUMMYFUNCTION("""COMPUTED_VALUE"""),"BCHBTC")</f>
        <v>#NAME?</v>
      </c>
      <c r="C662" s="100" t="e">
        <f ca="1">IFERROR(__xludf.DUMMYFUNCTION("""COMPUTED_VALUE"""),"0.00391100")</f>
        <v>#NAME?</v>
      </c>
      <c r="D662" s="100" t="e">
        <f t="shared" ref="D662:E681" ca="1" si="129">IFERROR(__xludf.DUMMYFUNCTION("""COMPUTED_VALUE"""),"-")</f>
        <v>#NAME?</v>
      </c>
      <c r="E662" s="100" t="e">
        <f t="shared" ca="1" si="129"/>
        <v>#NAME?</v>
      </c>
      <c r="F662" s="100" t="e">
        <f t="shared" ca="1" si="124"/>
        <v>#NAME?</v>
      </c>
      <c r="G662" s="100" t="e">
        <f t="shared" ca="1" si="125"/>
        <v>#NAME?</v>
      </c>
      <c r="H662" s="100" t="e">
        <f t="shared" ca="1" si="126"/>
        <v>#NAME?</v>
      </c>
      <c r="I662" s="100" t="e">
        <f t="shared" ca="1" si="127"/>
        <v>#NAME?</v>
      </c>
      <c r="J662" s="100" t="e">
        <f ca="1">IFERROR(__xludf.DUMMYFUNCTION("""COMPUTED_VALUE"""),"-0.077")</f>
        <v>#NAME?</v>
      </c>
      <c r="K662" s="100" t="e">
        <f t="shared" ca="1" si="128"/>
        <v>#NAME?</v>
      </c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 spans="1:26">
      <c r="A663" s="100" t="e">
        <f ca="1">IFERROR(__xludf.DUMMYFUNCTION("""COMPUTED_VALUE"""),58783998)</f>
        <v>#NAME?</v>
      </c>
      <c r="B663" s="100" t="e">
        <f ca="1">IFERROR(__xludf.DUMMYFUNCTION("""COMPUTED_VALUE"""),"BCHUSDT")</f>
        <v>#NAME?</v>
      </c>
      <c r="C663" s="100" t="e">
        <f ca="1">IFERROR(__xludf.DUMMYFUNCTION("""COMPUTED_VALUE"""),"346.50000000")</f>
        <v>#NAME?</v>
      </c>
      <c r="D663" s="100" t="e">
        <f t="shared" ca="1" si="129"/>
        <v>#NAME?</v>
      </c>
      <c r="E663" s="100" t="e">
        <f t="shared" ca="1" si="129"/>
        <v>#NAME?</v>
      </c>
      <c r="F663" s="100" t="e">
        <f t="shared" ca="1" si="124"/>
        <v>#NAME?</v>
      </c>
      <c r="G663" s="100" t="e">
        <f t="shared" ca="1" si="125"/>
        <v>#NAME?</v>
      </c>
      <c r="H663" s="100" t="e">
        <f t="shared" ca="1" si="126"/>
        <v>#NAME?</v>
      </c>
      <c r="I663" s="100" t="e">
        <f t="shared" ca="1" si="127"/>
        <v>#NAME?</v>
      </c>
      <c r="J663" s="100" t="e">
        <f ca="1">IFERROR(__xludf.DUMMYFUNCTION("""COMPUTED_VALUE"""),"1.316")</f>
        <v>#NAME?</v>
      </c>
      <c r="K663" s="100" t="e">
        <f t="shared" ca="1" si="128"/>
        <v>#NAME?</v>
      </c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 spans="1:26">
      <c r="A664" s="100" t="e">
        <f ca="1">IFERROR(__xludf.DUMMYFUNCTION("""COMPUTED_VALUE"""),58783999)</f>
        <v>#NAME?</v>
      </c>
      <c r="B664" s="100" t="e">
        <f ca="1">IFERROR(__xludf.DUMMYFUNCTION("""COMPUTED_VALUE"""),"BCHUSDC")</f>
        <v>#NAME?</v>
      </c>
      <c r="C664" s="100" t="e">
        <f ca="1">IFERROR(__xludf.DUMMYFUNCTION("""COMPUTED_VALUE"""),"346.40000000")</f>
        <v>#NAME?</v>
      </c>
      <c r="D664" s="100" t="e">
        <f t="shared" ca="1" si="129"/>
        <v>#NAME?</v>
      </c>
      <c r="E664" s="100" t="e">
        <f t="shared" ca="1" si="129"/>
        <v>#NAME?</v>
      </c>
      <c r="F664" s="100" t="e">
        <f t="shared" ca="1" si="124"/>
        <v>#NAME?</v>
      </c>
      <c r="G664" s="100" t="e">
        <f t="shared" ca="1" si="125"/>
        <v>#NAME?</v>
      </c>
      <c r="H664" s="100" t="e">
        <f t="shared" ca="1" si="126"/>
        <v>#NAME?</v>
      </c>
      <c r="I664" s="100" t="e">
        <f t="shared" ca="1" si="127"/>
        <v>#NAME?</v>
      </c>
      <c r="J664" s="100" t="e">
        <f ca="1">IFERROR(__xludf.DUMMYFUNCTION("""COMPUTED_VALUE"""),"1.287")</f>
        <v>#NAME?</v>
      </c>
      <c r="K664" s="100" t="e">
        <f t="shared" ca="1" si="128"/>
        <v>#NAME?</v>
      </c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 spans="1:26">
      <c r="A665" s="100" t="e">
        <f ca="1">IFERROR(__xludf.DUMMYFUNCTION("""COMPUTED_VALUE"""),58784000)</f>
        <v>#NAME?</v>
      </c>
      <c r="B665" s="100" t="e">
        <f ca="1">IFERROR(__xludf.DUMMYFUNCTION("""COMPUTED_VALUE"""),"BCHTUSD")</f>
        <v>#NAME?</v>
      </c>
      <c r="C665" s="100" t="e">
        <f ca="1">IFERROR(__xludf.DUMMYFUNCTION("""COMPUTED_VALUE"""),"322.00000000")</f>
        <v>#NAME?</v>
      </c>
      <c r="D665" s="100" t="e">
        <f t="shared" ca="1" si="129"/>
        <v>#NAME?</v>
      </c>
      <c r="E665" s="100" t="e">
        <f t="shared" ca="1" si="129"/>
        <v>#NAME?</v>
      </c>
      <c r="F665" s="100" t="e">
        <f t="shared" ca="1" si="124"/>
        <v>#NAME?</v>
      </c>
      <c r="G665" s="100" t="e">
        <f t="shared" ca="1" si="125"/>
        <v>#NAME?</v>
      </c>
      <c r="H665" s="100" t="e">
        <f t="shared" ca="1" si="126"/>
        <v>#NAME?</v>
      </c>
      <c r="I665" s="100" t="e">
        <f t="shared" ca="1" si="127"/>
        <v>#NAME?</v>
      </c>
      <c r="J665" s="100" t="e">
        <f t="shared" ref="J665:J673" ca="1" si="130">IFERROR(__xludf.DUMMYFUNCTION("""COMPUTED_VALUE"""),"0")</f>
        <v>#NAME?</v>
      </c>
      <c r="K665" s="100" t="e">
        <f t="shared" ca="1" si="128"/>
        <v>#NAME?</v>
      </c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 spans="1:26">
      <c r="A666" s="100" t="e">
        <f ca="1">IFERROR(__xludf.DUMMYFUNCTION("""COMPUTED_VALUE"""),58784001)</f>
        <v>#NAME?</v>
      </c>
      <c r="B666" s="100" t="e">
        <f ca="1">IFERROR(__xludf.DUMMYFUNCTION("""COMPUTED_VALUE"""),"BCHPAX")</f>
        <v>#NAME?</v>
      </c>
      <c r="C666" s="100" t="e">
        <f ca="1">IFERROR(__xludf.DUMMYFUNCTION("""COMPUTED_VALUE"""),"0.00000000")</f>
        <v>#NAME?</v>
      </c>
      <c r="D666" s="100" t="e">
        <f t="shared" ca="1" si="129"/>
        <v>#NAME?</v>
      </c>
      <c r="E666" s="100" t="e">
        <f t="shared" ca="1" si="129"/>
        <v>#NAME?</v>
      </c>
      <c r="F666" s="100" t="e">
        <f t="shared" ca="1" si="124"/>
        <v>#NAME?</v>
      </c>
      <c r="G666" s="100" t="e">
        <f t="shared" ca="1" si="125"/>
        <v>#NAME?</v>
      </c>
      <c r="H666" s="100" t="e">
        <f t="shared" ca="1" si="126"/>
        <v>#NAME?</v>
      </c>
      <c r="I666" s="100" t="e">
        <f t="shared" ca="1" si="127"/>
        <v>#NAME?</v>
      </c>
      <c r="J666" s="100" t="e">
        <f t="shared" ca="1" si="130"/>
        <v>#NAME?</v>
      </c>
      <c r="K666" s="100" t="e">
        <f t="shared" ca="1" si="128"/>
        <v>#NAME?</v>
      </c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 spans="1:26">
      <c r="A667" s="100" t="e">
        <f ca="1">IFERROR(__xludf.DUMMYFUNCTION("""COMPUTED_VALUE"""),58784002)</f>
        <v>#NAME?</v>
      </c>
      <c r="B667" s="100" t="e">
        <f ca="1">IFERROR(__xludf.DUMMYFUNCTION("""COMPUTED_VALUE"""),"BCHBUSD")</f>
        <v>#NAME?</v>
      </c>
      <c r="C667" s="100" t="e">
        <f ca="1">IFERROR(__xludf.DUMMYFUNCTION("""COMPUTED_VALUE"""),"236.00000000")</f>
        <v>#NAME?</v>
      </c>
      <c r="D667" s="100" t="e">
        <f t="shared" ca="1" si="129"/>
        <v>#NAME?</v>
      </c>
      <c r="E667" s="100" t="e">
        <f t="shared" ca="1" si="129"/>
        <v>#NAME?</v>
      </c>
      <c r="F667" s="100" t="e">
        <f t="shared" ca="1" si="124"/>
        <v>#NAME?</v>
      </c>
      <c r="G667" s="100" t="e">
        <f t="shared" ca="1" si="125"/>
        <v>#NAME?</v>
      </c>
      <c r="H667" s="100" t="e">
        <f t="shared" ca="1" si="126"/>
        <v>#NAME?</v>
      </c>
      <c r="I667" s="100" t="e">
        <f t="shared" ca="1" si="127"/>
        <v>#NAME?</v>
      </c>
      <c r="J667" s="100" t="e">
        <f t="shared" ca="1" si="130"/>
        <v>#NAME?</v>
      </c>
      <c r="K667" s="100" t="e">
        <f t="shared" ca="1" si="128"/>
        <v>#NAME?</v>
      </c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 spans="1:26">
      <c r="A668" s="100" t="e">
        <f ca="1">IFERROR(__xludf.DUMMYFUNCTION("""COMPUTED_VALUE"""),58784003)</f>
        <v>#NAME?</v>
      </c>
      <c r="B668" s="100" t="e">
        <f ca="1">IFERROR(__xludf.DUMMYFUNCTION("""COMPUTED_VALUE"""),"BTCRUB")</f>
        <v>#NAME?</v>
      </c>
      <c r="C668" s="100" t="e">
        <f ca="1">IFERROR(__xludf.DUMMYFUNCTION("""COMPUTED_VALUE"""),"3900027.00000000")</f>
        <v>#NAME?</v>
      </c>
      <c r="D668" s="100" t="e">
        <f t="shared" ca="1" si="129"/>
        <v>#NAME?</v>
      </c>
      <c r="E668" s="100" t="e">
        <f t="shared" ca="1" si="129"/>
        <v>#NAME?</v>
      </c>
      <c r="F668" s="100" t="e">
        <f t="shared" ca="1" si="124"/>
        <v>#NAME?</v>
      </c>
      <c r="G668" s="100" t="e">
        <f t="shared" ca="1" si="125"/>
        <v>#NAME?</v>
      </c>
      <c r="H668" s="100" t="e">
        <f t="shared" ca="1" si="126"/>
        <v>#NAME?</v>
      </c>
      <c r="I668" s="100" t="e">
        <f t="shared" ca="1" si="127"/>
        <v>#NAME?</v>
      </c>
      <c r="J668" s="100" t="e">
        <f t="shared" ca="1" si="130"/>
        <v>#NAME?</v>
      </c>
      <c r="K668" s="100" t="e">
        <f t="shared" ca="1" si="128"/>
        <v>#NAME?</v>
      </c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 spans="1:26">
      <c r="A669" s="100" t="e">
        <f ca="1">IFERROR(__xludf.DUMMYFUNCTION("""COMPUTED_VALUE"""),58784004)</f>
        <v>#NAME?</v>
      </c>
      <c r="B669" s="100" t="e">
        <f ca="1">IFERROR(__xludf.DUMMYFUNCTION("""COMPUTED_VALUE"""),"ETHRUB")</f>
        <v>#NAME?</v>
      </c>
      <c r="C669" s="100" t="e">
        <f ca="1">IFERROR(__xludf.DUMMYFUNCTION("""COMPUTED_VALUE"""),"181477.60000000")</f>
        <v>#NAME?</v>
      </c>
      <c r="D669" s="100" t="e">
        <f t="shared" ca="1" si="129"/>
        <v>#NAME?</v>
      </c>
      <c r="E669" s="100" t="e">
        <f t="shared" ca="1" si="129"/>
        <v>#NAME?</v>
      </c>
      <c r="F669" s="100" t="e">
        <f t="shared" ca="1" si="124"/>
        <v>#NAME?</v>
      </c>
      <c r="G669" s="100" t="e">
        <f t="shared" ca="1" si="125"/>
        <v>#NAME?</v>
      </c>
      <c r="H669" s="100" t="e">
        <f t="shared" ca="1" si="126"/>
        <v>#NAME?</v>
      </c>
      <c r="I669" s="100" t="e">
        <f t="shared" ca="1" si="127"/>
        <v>#NAME?</v>
      </c>
      <c r="J669" s="100" t="e">
        <f t="shared" ca="1" si="130"/>
        <v>#NAME?</v>
      </c>
      <c r="K669" s="100" t="e">
        <f t="shared" ca="1" si="128"/>
        <v>#NAME?</v>
      </c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 spans="1:26">
      <c r="A670" s="100" t="e">
        <f ca="1">IFERROR(__xludf.DUMMYFUNCTION("""COMPUTED_VALUE"""),58784005)</f>
        <v>#NAME?</v>
      </c>
      <c r="B670" s="100" t="e">
        <f ca="1">IFERROR(__xludf.DUMMYFUNCTION("""COMPUTED_VALUE"""),"XRPRUB")</f>
        <v>#NAME?</v>
      </c>
      <c r="C670" s="100" t="e">
        <f ca="1">IFERROR(__xludf.DUMMYFUNCTION("""COMPUTED_VALUE"""),"56.31000000")</f>
        <v>#NAME?</v>
      </c>
      <c r="D670" s="100" t="e">
        <f t="shared" ca="1" si="129"/>
        <v>#NAME?</v>
      </c>
      <c r="E670" s="100" t="e">
        <f t="shared" ca="1" si="129"/>
        <v>#NAME?</v>
      </c>
      <c r="F670" s="100" t="e">
        <f t="shared" ca="1" si="124"/>
        <v>#NAME?</v>
      </c>
      <c r="G670" s="100" t="e">
        <f t="shared" ca="1" si="125"/>
        <v>#NAME?</v>
      </c>
      <c r="H670" s="100" t="e">
        <f t="shared" ca="1" si="126"/>
        <v>#NAME?</v>
      </c>
      <c r="I670" s="100" t="e">
        <f t="shared" ca="1" si="127"/>
        <v>#NAME?</v>
      </c>
      <c r="J670" s="100" t="e">
        <f t="shared" ca="1" si="130"/>
        <v>#NAME?</v>
      </c>
      <c r="K670" s="100" t="e">
        <f t="shared" ca="1" si="128"/>
        <v>#NAME?</v>
      </c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 spans="1:26">
      <c r="A671" s="100" t="e">
        <f ca="1">IFERROR(__xludf.DUMMYFUNCTION("""COMPUTED_VALUE"""),58784006)</f>
        <v>#NAME?</v>
      </c>
      <c r="B671" s="100" t="e">
        <f ca="1">IFERROR(__xludf.DUMMYFUNCTION("""COMPUTED_VALUE"""),"BNBRUB")</f>
        <v>#NAME?</v>
      </c>
      <c r="C671" s="100" t="e">
        <f ca="1">IFERROR(__xludf.DUMMYFUNCTION("""COMPUTED_VALUE"""),"22422.22000000")</f>
        <v>#NAME?</v>
      </c>
      <c r="D671" s="100" t="e">
        <f t="shared" ca="1" si="129"/>
        <v>#NAME?</v>
      </c>
      <c r="E671" s="100" t="e">
        <f t="shared" ca="1" si="129"/>
        <v>#NAME?</v>
      </c>
      <c r="F671" s="100" t="e">
        <f t="shared" ca="1" si="124"/>
        <v>#NAME?</v>
      </c>
      <c r="G671" s="100" t="e">
        <f t="shared" ca="1" si="125"/>
        <v>#NAME?</v>
      </c>
      <c r="H671" s="100" t="e">
        <f t="shared" ca="1" si="126"/>
        <v>#NAME?</v>
      </c>
      <c r="I671" s="100" t="e">
        <f t="shared" ca="1" si="127"/>
        <v>#NAME?</v>
      </c>
      <c r="J671" s="100" t="e">
        <f t="shared" ca="1" si="130"/>
        <v>#NAME?</v>
      </c>
      <c r="K671" s="100" t="e">
        <f t="shared" ca="1" si="128"/>
        <v>#NAME?</v>
      </c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 spans="1:26">
      <c r="A672" s="100" t="e">
        <f ca="1">IFERROR(__xludf.DUMMYFUNCTION("""COMPUTED_VALUE"""),58784007)</f>
        <v>#NAME?</v>
      </c>
      <c r="B672" s="100" t="e">
        <f ca="1">IFERROR(__xludf.DUMMYFUNCTION("""COMPUTED_VALUE"""),"TROYBNB")</f>
        <v>#NAME?</v>
      </c>
      <c r="C672" s="100" t="e">
        <f ca="1">IFERROR(__xludf.DUMMYFUNCTION("""COMPUTED_VALUE"""),"0.00001060")</f>
        <v>#NAME?</v>
      </c>
      <c r="D672" s="100" t="e">
        <f t="shared" ca="1" si="129"/>
        <v>#NAME?</v>
      </c>
      <c r="E672" s="100" t="e">
        <f t="shared" ca="1" si="129"/>
        <v>#NAME?</v>
      </c>
      <c r="F672" s="100" t="e">
        <f t="shared" ca="1" si="124"/>
        <v>#NAME?</v>
      </c>
      <c r="G672" s="100" t="e">
        <f t="shared" ca="1" si="125"/>
        <v>#NAME?</v>
      </c>
      <c r="H672" s="100" t="e">
        <f t="shared" ca="1" si="126"/>
        <v>#NAME?</v>
      </c>
      <c r="I672" s="100" t="e">
        <f t="shared" ca="1" si="127"/>
        <v>#NAME?</v>
      </c>
      <c r="J672" s="100" t="e">
        <f t="shared" ca="1" si="130"/>
        <v>#NAME?</v>
      </c>
      <c r="K672" s="100" t="e">
        <f t="shared" ca="1" si="128"/>
        <v>#NAME?</v>
      </c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 spans="1:26">
      <c r="A673" s="100" t="e">
        <f ca="1">IFERROR(__xludf.DUMMYFUNCTION("""COMPUTED_VALUE"""),58784008)</f>
        <v>#NAME?</v>
      </c>
      <c r="B673" s="100" t="e">
        <f ca="1">IFERROR(__xludf.DUMMYFUNCTION("""COMPUTED_VALUE"""),"TROYBTC")</f>
        <v>#NAME?</v>
      </c>
      <c r="C673" s="100" t="e">
        <f ca="1">IFERROR(__xludf.DUMMYFUNCTION("""COMPUTED_VALUE"""),"0.00000000")</f>
        <v>#NAME?</v>
      </c>
      <c r="D673" s="100" t="e">
        <f t="shared" ca="1" si="129"/>
        <v>#NAME?</v>
      </c>
      <c r="E673" s="100" t="e">
        <f t="shared" ca="1" si="129"/>
        <v>#NAME?</v>
      </c>
      <c r="F673" s="100" t="e">
        <f t="shared" ca="1" si="124"/>
        <v>#NAME?</v>
      </c>
      <c r="G673" s="100" t="e">
        <f t="shared" ca="1" si="125"/>
        <v>#NAME?</v>
      </c>
      <c r="H673" s="100" t="e">
        <f t="shared" ca="1" si="126"/>
        <v>#NAME?</v>
      </c>
      <c r="I673" s="100" t="e">
        <f t="shared" ca="1" si="127"/>
        <v>#NAME?</v>
      </c>
      <c r="J673" s="100" t="e">
        <f t="shared" ca="1" si="130"/>
        <v>#NAME?</v>
      </c>
      <c r="K673" s="100" t="e">
        <f t="shared" ca="1" si="128"/>
        <v>#NAME?</v>
      </c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 spans="1:26">
      <c r="A674" s="100" t="e">
        <f ca="1">IFERROR(__xludf.DUMMYFUNCTION("""COMPUTED_VALUE"""),58784009)</f>
        <v>#NAME?</v>
      </c>
      <c r="B674" s="100" t="e">
        <f ca="1">IFERROR(__xludf.DUMMYFUNCTION("""COMPUTED_VALUE"""),"TROYUSDT")</f>
        <v>#NAME?</v>
      </c>
      <c r="C674" s="100" t="e">
        <f ca="1">IFERROR(__xludf.DUMMYFUNCTION("""COMPUTED_VALUE"""),"0.00006900")</f>
        <v>#NAME?</v>
      </c>
      <c r="D674" s="100" t="e">
        <f t="shared" ca="1" si="129"/>
        <v>#NAME?</v>
      </c>
      <c r="E674" s="100" t="e">
        <f t="shared" ca="1" si="129"/>
        <v>#NAME?</v>
      </c>
      <c r="F674" s="100" t="e">
        <f t="shared" ca="1" si="124"/>
        <v>#NAME?</v>
      </c>
      <c r="G674" s="100" t="e">
        <f t="shared" ca="1" si="125"/>
        <v>#NAME?</v>
      </c>
      <c r="H674" s="100" t="e">
        <f t="shared" ca="1" si="126"/>
        <v>#NAME?</v>
      </c>
      <c r="I674" s="100" t="e">
        <f t="shared" ca="1" si="127"/>
        <v>#NAME?</v>
      </c>
      <c r="J674" s="100" t="e">
        <f ca="1">IFERROR(__xludf.DUMMYFUNCTION("""COMPUTED_VALUE"""),"-50.360")</f>
        <v>#NAME?</v>
      </c>
      <c r="K674" s="100" t="e">
        <f t="shared" ca="1" si="128"/>
        <v>#NAME?</v>
      </c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 spans="1:26">
      <c r="A675" s="100" t="e">
        <f ca="1">IFERROR(__xludf.DUMMYFUNCTION("""COMPUTED_VALUE"""),58784010)</f>
        <v>#NAME?</v>
      </c>
      <c r="B675" s="100" t="e">
        <f ca="1">IFERROR(__xludf.DUMMYFUNCTION("""COMPUTED_VALUE"""),"BUSDRUB")</f>
        <v>#NAME?</v>
      </c>
      <c r="C675" s="100" t="e">
        <f ca="1">IFERROR(__xludf.DUMMYFUNCTION("""COMPUTED_VALUE"""),"90.39000000")</f>
        <v>#NAME?</v>
      </c>
      <c r="D675" s="100" t="e">
        <f t="shared" ca="1" si="129"/>
        <v>#NAME?</v>
      </c>
      <c r="E675" s="100" t="e">
        <f t="shared" ca="1" si="129"/>
        <v>#NAME?</v>
      </c>
      <c r="F675" s="100" t="e">
        <f t="shared" ca="1" si="124"/>
        <v>#NAME?</v>
      </c>
      <c r="G675" s="100" t="e">
        <f t="shared" ca="1" si="125"/>
        <v>#NAME?</v>
      </c>
      <c r="H675" s="100" t="e">
        <f t="shared" ca="1" si="126"/>
        <v>#NAME?</v>
      </c>
      <c r="I675" s="100" t="e">
        <f t="shared" ca="1" si="127"/>
        <v>#NAME?</v>
      </c>
      <c r="J675" s="100" t="e">
        <f t="shared" ref="J675:J682" ca="1" si="131">IFERROR(__xludf.DUMMYFUNCTION("""COMPUTED_VALUE"""),"0")</f>
        <v>#NAME?</v>
      </c>
      <c r="K675" s="100" t="e">
        <f t="shared" ca="1" si="128"/>
        <v>#NAME?</v>
      </c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 spans="1:26">
      <c r="A676" s="100" t="e">
        <f ca="1">IFERROR(__xludf.DUMMYFUNCTION("""COMPUTED_VALUE"""),58784011)</f>
        <v>#NAME?</v>
      </c>
      <c r="B676" s="100" t="e">
        <f ca="1">IFERROR(__xludf.DUMMYFUNCTION("""COMPUTED_VALUE"""),"QTUMBUSD")</f>
        <v>#NAME?</v>
      </c>
      <c r="C676" s="100" t="e">
        <f ca="1">IFERROR(__xludf.DUMMYFUNCTION("""COMPUTED_VALUE"""),"2.53700000")</f>
        <v>#NAME?</v>
      </c>
      <c r="D676" s="100" t="e">
        <f t="shared" ca="1" si="129"/>
        <v>#NAME?</v>
      </c>
      <c r="E676" s="100" t="e">
        <f t="shared" ca="1" si="129"/>
        <v>#NAME?</v>
      </c>
      <c r="F676" s="100" t="e">
        <f t="shared" ca="1" si="124"/>
        <v>#NAME?</v>
      </c>
      <c r="G676" s="100" t="e">
        <f t="shared" ca="1" si="125"/>
        <v>#NAME?</v>
      </c>
      <c r="H676" s="100" t="e">
        <f t="shared" ca="1" si="126"/>
        <v>#NAME?</v>
      </c>
      <c r="I676" s="100" t="e">
        <f t="shared" ca="1" si="127"/>
        <v>#NAME?</v>
      </c>
      <c r="J676" s="100" t="e">
        <f t="shared" ca="1" si="131"/>
        <v>#NAME?</v>
      </c>
      <c r="K676" s="100" t="e">
        <f t="shared" ca="1" si="128"/>
        <v>#NAME?</v>
      </c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 spans="1:26">
      <c r="A677" s="100" t="e">
        <f ca="1">IFERROR(__xludf.DUMMYFUNCTION("""COMPUTED_VALUE"""),58784012)</f>
        <v>#NAME?</v>
      </c>
      <c r="B677" s="100" t="e">
        <f ca="1">IFERROR(__xludf.DUMMYFUNCTION("""COMPUTED_VALUE"""),"VETBUSD")</f>
        <v>#NAME?</v>
      </c>
      <c r="C677" s="100" t="e">
        <f ca="1">IFERROR(__xludf.DUMMYFUNCTION("""COMPUTED_VALUE"""),"0.02120000")</f>
        <v>#NAME?</v>
      </c>
      <c r="D677" s="100" t="e">
        <f t="shared" ca="1" si="129"/>
        <v>#NAME?</v>
      </c>
      <c r="E677" s="100" t="e">
        <f t="shared" ca="1" si="129"/>
        <v>#NAME?</v>
      </c>
      <c r="F677" s="100" t="e">
        <f t="shared" ca="1" si="124"/>
        <v>#NAME?</v>
      </c>
      <c r="G677" s="100" t="e">
        <f t="shared" ca="1" si="125"/>
        <v>#NAME?</v>
      </c>
      <c r="H677" s="100" t="e">
        <f t="shared" ca="1" si="126"/>
        <v>#NAME?</v>
      </c>
      <c r="I677" s="100" t="e">
        <f t="shared" ca="1" si="127"/>
        <v>#NAME?</v>
      </c>
      <c r="J677" s="100" t="e">
        <f t="shared" ca="1" si="131"/>
        <v>#NAME?</v>
      </c>
      <c r="K677" s="100" t="e">
        <f t="shared" ca="1" si="128"/>
        <v>#NAME?</v>
      </c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 spans="1:26">
      <c r="A678" s="100" t="e">
        <f ca="1">IFERROR(__xludf.DUMMYFUNCTION("""COMPUTED_VALUE"""),58784013)</f>
        <v>#NAME?</v>
      </c>
      <c r="B678" s="100" t="e">
        <f ca="1">IFERROR(__xludf.DUMMYFUNCTION("""COMPUTED_VALUE"""),"VITEBNB")</f>
        <v>#NAME?</v>
      </c>
      <c r="C678" s="100" t="e">
        <f ca="1">IFERROR(__xludf.DUMMYFUNCTION("""COMPUTED_VALUE"""),"0.00000000")</f>
        <v>#NAME?</v>
      </c>
      <c r="D678" s="100" t="e">
        <f t="shared" ca="1" si="129"/>
        <v>#NAME?</v>
      </c>
      <c r="E678" s="100" t="e">
        <f t="shared" ca="1" si="129"/>
        <v>#NAME?</v>
      </c>
      <c r="F678" s="100" t="e">
        <f t="shared" ca="1" si="124"/>
        <v>#NAME?</v>
      </c>
      <c r="G678" s="100" t="e">
        <f t="shared" ca="1" si="125"/>
        <v>#NAME?</v>
      </c>
      <c r="H678" s="100" t="e">
        <f t="shared" ca="1" si="126"/>
        <v>#NAME?</v>
      </c>
      <c r="I678" s="100" t="e">
        <f t="shared" ca="1" si="127"/>
        <v>#NAME?</v>
      </c>
      <c r="J678" s="100" t="e">
        <f t="shared" ca="1" si="131"/>
        <v>#NAME?</v>
      </c>
      <c r="K678" s="100" t="e">
        <f t="shared" ca="1" si="128"/>
        <v>#NAME?</v>
      </c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 spans="1:26">
      <c r="A679" s="100" t="e">
        <f ca="1">IFERROR(__xludf.DUMMYFUNCTION("""COMPUTED_VALUE"""),58784014)</f>
        <v>#NAME?</v>
      </c>
      <c r="B679" s="100" t="e">
        <f ca="1">IFERROR(__xludf.DUMMYFUNCTION("""COMPUTED_VALUE"""),"VITEBTC")</f>
        <v>#NAME?</v>
      </c>
      <c r="C679" s="100" t="e">
        <f ca="1">IFERROR(__xludf.DUMMYFUNCTION("""COMPUTED_VALUE"""),"0.00000007")</f>
        <v>#NAME?</v>
      </c>
      <c r="D679" s="100" t="e">
        <f t="shared" ca="1" si="129"/>
        <v>#NAME?</v>
      </c>
      <c r="E679" s="100" t="e">
        <f t="shared" ca="1" si="129"/>
        <v>#NAME?</v>
      </c>
      <c r="F679" s="100" t="e">
        <f t="shared" ca="1" si="124"/>
        <v>#NAME?</v>
      </c>
      <c r="G679" s="100" t="e">
        <f t="shared" ca="1" si="125"/>
        <v>#NAME?</v>
      </c>
      <c r="H679" s="100" t="e">
        <f t="shared" ca="1" si="126"/>
        <v>#NAME?</v>
      </c>
      <c r="I679" s="100" t="e">
        <f t="shared" ca="1" si="127"/>
        <v>#NAME?</v>
      </c>
      <c r="J679" s="100" t="e">
        <f t="shared" ca="1" si="131"/>
        <v>#NAME?</v>
      </c>
      <c r="K679" s="100" t="e">
        <f t="shared" ca="1" si="128"/>
        <v>#NAME?</v>
      </c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 spans="1:26">
      <c r="A680" s="100" t="e">
        <f ca="1">IFERROR(__xludf.DUMMYFUNCTION("""COMPUTED_VALUE"""),58784015)</f>
        <v>#NAME?</v>
      </c>
      <c r="B680" s="100" t="e">
        <f ca="1">IFERROR(__xludf.DUMMYFUNCTION("""COMPUTED_VALUE"""),"VITEUSDT")</f>
        <v>#NAME?</v>
      </c>
      <c r="C680" s="100" t="e">
        <f ca="1">IFERROR(__xludf.DUMMYFUNCTION("""COMPUTED_VALUE"""),"0.00086000")</f>
        <v>#NAME?</v>
      </c>
      <c r="D680" s="100" t="e">
        <f t="shared" ca="1" si="129"/>
        <v>#NAME?</v>
      </c>
      <c r="E680" s="100" t="e">
        <f t="shared" ca="1" si="129"/>
        <v>#NAME?</v>
      </c>
      <c r="F680" s="100" t="e">
        <f t="shared" ca="1" si="124"/>
        <v>#NAME?</v>
      </c>
      <c r="G680" s="100" t="e">
        <f t="shared" ca="1" si="125"/>
        <v>#NAME?</v>
      </c>
      <c r="H680" s="100" t="e">
        <f t="shared" ca="1" si="126"/>
        <v>#NAME?</v>
      </c>
      <c r="I680" s="100" t="e">
        <f t="shared" ca="1" si="127"/>
        <v>#NAME?</v>
      </c>
      <c r="J680" s="100" t="e">
        <f t="shared" ca="1" si="131"/>
        <v>#NAME?</v>
      </c>
      <c r="K680" s="100" t="e">
        <f t="shared" ca="1" si="128"/>
        <v>#NAME?</v>
      </c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 spans="1:26">
      <c r="A681" s="100" t="e">
        <f ca="1">IFERROR(__xludf.DUMMYFUNCTION("""COMPUTED_VALUE"""),58784016)</f>
        <v>#NAME?</v>
      </c>
      <c r="B681" s="100" t="e">
        <f ca="1">IFERROR(__xludf.DUMMYFUNCTION("""COMPUTED_VALUE"""),"FTTBNB")</f>
        <v>#NAME?</v>
      </c>
      <c r="C681" s="100" t="e">
        <f ca="1">IFERROR(__xludf.DUMMYFUNCTION("""COMPUTED_VALUE"""),"0.00513000")</f>
        <v>#NAME?</v>
      </c>
      <c r="D681" s="100" t="e">
        <f t="shared" ca="1" si="129"/>
        <v>#NAME?</v>
      </c>
      <c r="E681" s="100" t="e">
        <f t="shared" ca="1" si="129"/>
        <v>#NAME?</v>
      </c>
      <c r="F681" s="100" t="e">
        <f t="shared" ca="1" si="124"/>
        <v>#NAME?</v>
      </c>
      <c r="G681" s="100" t="e">
        <f t="shared" ca="1" si="125"/>
        <v>#NAME?</v>
      </c>
      <c r="H681" s="100" t="e">
        <f t="shared" ca="1" si="126"/>
        <v>#NAME?</v>
      </c>
      <c r="I681" s="100" t="e">
        <f t="shared" ca="1" si="127"/>
        <v>#NAME?</v>
      </c>
      <c r="J681" s="100" t="e">
        <f t="shared" ca="1" si="131"/>
        <v>#NAME?</v>
      </c>
      <c r="K681" s="100" t="e">
        <f t="shared" ca="1" si="128"/>
        <v>#NAME?</v>
      </c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 spans="1:26">
      <c r="A682" s="100" t="e">
        <f ca="1">IFERROR(__xludf.DUMMYFUNCTION("""COMPUTED_VALUE"""),58784017)</f>
        <v>#NAME?</v>
      </c>
      <c r="B682" s="100" t="e">
        <f ca="1">IFERROR(__xludf.DUMMYFUNCTION("""COMPUTED_VALUE"""),"FTTBTC")</f>
        <v>#NAME?</v>
      </c>
      <c r="C682" s="100" t="e">
        <f ca="1">IFERROR(__xludf.DUMMYFUNCTION("""COMPUTED_VALUE"""),"0.00008560")</f>
        <v>#NAME?</v>
      </c>
      <c r="D682" s="100" t="e">
        <f t="shared" ref="D682:E701" ca="1" si="132">IFERROR(__xludf.DUMMYFUNCTION("""COMPUTED_VALUE"""),"-")</f>
        <v>#NAME?</v>
      </c>
      <c r="E682" s="100" t="e">
        <f t="shared" ca="1" si="132"/>
        <v>#NAME?</v>
      </c>
      <c r="F682" s="100" t="e">
        <f t="shared" ca="1" si="124"/>
        <v>#NAME?</v>
      </c>
      <c r="G682" s="100" t="e">
        <f t="shared" ca="1" si="125"/>
        <v>#NAME?</v>
      </c>
      <c r="H682" s="100" t="e">
        <f t="shared" ca="1" si="126"/>
        <v>#NAME?</v>
      </c>
      <c r="I682" s="100" t="e">
        <f t="shared" ca="1" si="127"/>
        <v>#NAME?</v>
      </c>
      <c r="J682" s="100" t="e">
        <f t="shared" ca="1" si="131"/>
        <v>#NAME?</v>
      </c>
      <c r="K682" s="100" t="e">
        <f t="shared" ca="1" si="128"/>
        <v>#NAME?</v>
      </c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 spans="1:26">
      <c r="A683" s="100" t="e">
        <f ca="1">IFERROR(__xludf.DUMMYFUNCTION("""COMPUTED_VALUE"""),58784018)</f>
        <v>#NAME?</v>
      </c>
      <c r="B683" s="100" t="e">
        <f ca="1">IFERROR(__xludf.DUMMYFUNCTION("""COMPUTED_VALUE"""),"FTTUSDT")</f>
        <v>#NAME?</v>
      </c>
      <c r="C683" s="100" t="e">
        <f ca="1">IFERROR(__xludf.DUMMYFUNCTION("""COMPUTED_VALUE"""),"0.81610000")</f>
        <v>#NAME?</v>
      </c>
      <c r="D683" s="100" t="e">
        <f t="shared" ca="1" si="132"/>
        <v>#NAME?</v>
      </c>
      <c r="E683" s="100" t="e">
        <f t="shared" ca="1" si="132"/>
        <v>#NAME?</v>
      </c>
      <c r="F683" s="100" t="e">
        <f t="shared" ca="1" si="124"/>
        <v>#NAME?</v>
      </c>
      <c r="G683" s="100" t="e">
        <f t="shared" ca="1" si="125"/>
        <v>#NAME?</v>
      </c>
      <c r="H683" s="100" t="e">
        <f t="shared" ca="1" si="126"/>
        <v>#NAME?</v>
      </c>
      <c r="I683" s="100" t="e">
        <f t="shared" ca="1" si="127"/>
        <v>#NAME?</v>
      </c>
      <c r="J683" s="100" t="e">
        <f ca="1">IFERROR(__xludf.DUMMYFUNCTION("""COMPUTED_VALUE"""),"-1.390")</f>
        <v>#NAME?</v>
      </c>
      <c r="K683" s="100" t="e">
        <f t="shared" ca="1" si="128"/>
        <v>#NAME?</v>
      </c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 spans="1:26">
      <c r="A684" s="100" t="e">
        <f ca="1">IFERROR(__xludf.DUMMYFUNCTION("""COMPUTED_VALUE"""),58784019)</f>
        <v>#NAME?</v>
      </c>
      <c r="B684" s="100" t="e">
        <f ca="1">IFERROR(__xludf.DUMMYFUNCTION("""COMPUTED_VALUE"""),"BTCTRY")</f>
        <v>#NAME?</v>
      </c>
      <c r="C684" s="100" t="e">
        <f ca="1">IFERROR(__xludf.DUMMYFUNCTION("""COMPUTED_VALUE"""),"3385700.00000000")</f>
        <v>#NAME?</v>
      </c>
      <c r="D684" s="100" t="e">
        <f t="shared" ca="1" si="132"/>
        <v>#NAME?</v>
      </c>
      <c r="E684" s="100" t="e">
        <f t="shared" ca="1" si="132"/>
        <v>#NAME?</v>
      </c>
      <c r="F684" s="100" t="e">
        <f t="shared" ca="1" si="124"/>
        <v>#NAME?</v>
      </c>
      <c r="G684" s="100" t="e">
        <f t="shared" ca="1" si="125"/>
        <v>#NAME?</v>
      </c>
      <c r="H684" s="100" t="e">
        <f t="shared" ca="1" si="126"/>
        <v>#NAME?</v>
      </c>
      <c r="I684" s="100" t="e">
        <f t="shared" ca="1" si="127"/>
        <v>#NAME?</v>
      </c>
      <c r="J684" s="100" t="e">
        <f ca="1">IFERROR(__xludf.DUMMYFUNCTION("""COMPUTED_VALUE"""),"1.302")</f>
        <v>#NAME?</v>
      </c>
      <c r="K684" s="100" t="e">
        <f t="shared" ca="1" si="128"/>
        <v>#NAME?</v>
      </c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 spans="1:26">
      <c r="A685" s="100" t="e">
        <f ca="1">IFERROR(__xludf.DUMMYFUNCTION("""COMPUTED_VALUE"""),58784020)</f>
        <v>#NAME?</v>
      </c>
      <c r="B685" s="100" t="e">
        <f ca="1">IFERROR(__xludf.DUMMYFUNCTION("""COMPUTED_VALUE"""),"BNBTRY")</f>
        <v>#NAME?</v>
      </c>
      <c r="C685" s="100" t="e">
        <f ca="1">IFERROR(__xludf.DUMMYFUNCTION("""COMPUTED_VALUE"""),"23175.00000000")</f>
        <v>#NAME?</v>
      </c>
      <c r="D685" s="100" t="e">
        <f t="shared" ca="1" si="132"/>
        <v>#NAME?</v>
      </c>
      <c r="E685" s="100" t="e">
        <f t="shared" ca="1" si="132"/>
        <v>#NAME?</v>
      </c>
      <c r="F685" s="100" t="e">
        <f t="shared" ca="1" si="124"/>
        <v>#NAME?</v>
      </c>
      <c r="G685" s="100" t="e">
        <f t="shared" ca="1" si="125"/>
        <v>#NAME?</v>
      </c>
      <c r="H685" s="100" t="e">
        <f t="shared" ca="1" si="126"/>
        <v>#NAME?</v>
      </c>
      <c r="I685" s="100" t="e">
        <f t="shared" ca="1" si="127"/>
        <v>#NAME?</v>
      </c>
      <c r="J685" s="100" t="e">
        <f ca="1">IFERROR(__xludf.DUMMYFUNCTION("""COMPUTED_VALUE"""),"0.342")</f>
        <v>#NAME?</v>
      </c>
      <c r="K685" s="100" t="e">
        <f t="shared" ca="1" si="128"/>
        <v>#NAME?</v>
      </c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 spans="1:26">
      <c r="A686" s="100" t="e">
        <f ca="1">IFERROR(__xludf.DUMMYFUNCTION("""COMPUTED_VALUE"""),58784021)</f>
        <v>#NAME?</v>
      </c>
      <c r="B686" s="100" t="e">
        <f ca="1">IFERROR(__xludf.DUMMYFUNCTION("""COMPUTED_VALUE"""),"BUSDTRY")</f>
        <v>#NAME?</v>
      </c>
      <c r="C686" s="100" t="e">
        <f ca="1">IFERROR(__xludf.DUMMYFUNCTION("""COMPUTED_VALUE"""),"29.33000000")</f>
        <v>#NAME?</v>
      </c>
      <c r="D686" s="100" t="e">
        <f t="shared" ca="1" si="132"/>
        <v>#NAME?</v>
      </c>
      <c r="E686" s="100" t="e">
        <f t="shared" ca="1" si="132"/>
        <v>#NAME?</v>
      </c>
      <c r="F686" s="100" t="e">
        <f t="shared" ca="1" si="124"/>
        <v>#NAME?</v>
      </c>
      <c r="G686" s="100" t="e">
        <f t="shared" ca="1" si="125"/>
        <v>#NAME?</v>
      </c>
      <c r="H686" s="100" t="e">
        <f t="shared" ca="1" si="126"/>
        <v>#NAME?</v>
      </c>
      <c r="I686" s="100" t="e">
        <f t="shared" ca="1" si="127"/>
        <v>#NAME?</v>
      </c>
      <c r="J686" s="100" t="e">
        <f ca="1">IFERROR(__xludf.DUMMYFUNCTION("""COMPUTED_VALUE"""),"0")</f>
        <v>#NAME?</v>
      </c>
      <c r="K686" s="100" t="e">
        <f t="shared" ca="1" si="128"/>
        <v>#NAME?</v>
      </c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 spans="1:26">
      <c r="A687" s="100" t="e">
        <f ca="1">IFERROR(__xludf.DUMMYFUNCTION("""COMPUTED_VALUE"""),58784022)</f>
        <v>#NAME?</v>
      </c>
      <c r="B687" s="100" t="e">
        <f ca="1">IFERROR(__xludf.DUMMYFUNCTION("""COMPUTED_VALUE"""),"ETHTRY")</f>
        <v>#NAME?</v>
      </c>
      <c r="C687" s="100" t="e">
        <f ca="1">IFERROR(__xludf.DUMMYFUNCTION("""COMPUTED_VALUE"""),"62100.00000000")</f>
        <v>#NAME?</v>
      </c>
      <c r="D687" s="100" t="e">
        <f t="shared" ca="1" si="132"/>
        <v>#NAME?</v>
      </c>
      <c r="E687" s="100" t="e">
        <f t="shared" ca="1" si="132"/>
        <v>#NAME?</v>
      </c>
      <c r="F687" s="100" t="e">
        <f t="shared" ca="1" si="124"/>
        <v>#NAME?</v>
      </c>
      <c r="G687" s="100" t="e">
        <f t="shared" ca="1" si="125"/>
        <v>#NAME?</v>
      </c>
      <c r="H687" s="100" t="e">
        <f t="shared" ca="1" si="126"/>
        <v>#NAME?</v>
      </c>
      <c r="I687" s="100" t="e">
        <f t="shared" ca="1" si="127"/>
        <v>#NAME?</v>
      </c>
      <c r="J687" s="100" t="e">
        <f ca="1">IFERROR(__xludf.DUMMYFUNCTION("""COMPUTED_VALUE"""),"-0.973")</f>
        <v>#NAME?</v>
      </c>
      <c r="K687" s="100" t="e">
        <f t="shared" ca="1" si="128"/>
        <v>#NAME?</v>
      </c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 spans="1:26">
      <c r="A688" s="100" t="e">
        <f ca="1">IFERROR(__xludf.DUMMYFUNCTION("""COMPUTED_VALUE"""),58784023)</f>
        <v>#NAME?</v>
      </c>
      <c r="B688" s="100" t="e">
        <f ca="1">IFERROR(__xludf.DUMMYFUNCTION("""COMPUTED_VALUE"""),"XRPTRY")</f>
        <v>#NAME?</v>
      </c>
      <c r="C688" s="100" t="e">
        <f ca="1">IFERROR(__xludf.DUMMYFUNCTION("""COMPUTED_VALUE"""),"80.45000000")</f>
        <v>#NAME?</v>
      </c>
      <c r="D688" s="100" t="e">
        <f t="shared" ca="1" si="132"/>
        <v>#NAME?</v>
      </c>
      <c r="E688" s="100" t="e">
        <f t="shared" ca="1" si="132"/>
        <v>#NAME?</v>
      </c>
      <c r="F688" s="100" t="e">
        <f t="shared" ca="1" si="124"/>
        <v>#NAME?</v>
      </c>
      <c r="G688" s="100" t="e">
        <f t="shared" ca="1" si="125"/>
        <v>#NAME?</v>
      </c>
      <c r="H688" s="100" t="e">
        <f t="shared" ca="1" si="126"/>
        <v>#NAME?</v>
      </c>
      <c r="I688" s="100" t="e">
        <f t="shared" ca="1" si="127"/>
        <v>#NAME?</v>
      </c>
      <c r="J688" s="100" t="e">
        <f ca="1">IFERROR(__xludf.DUMMYFUNCTION("""COMPUTED_VALUE"""),"-0.948")</f>
        <v>#NAME?</v>
      </c>
      <c r="K688" s="100" t="e">
        <f t="shared" ca="1" si="128"/>
        <v>#NAME?</v>
      </c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 spans="1:26">
      <c r="A689" s="100" t="e">
        <f ca="1">IFERROR(__xludf.DUMMYFUNCTION("""COMPUTED_VALUE"""),58784024)</f>
        <v>#NAME?</v>
      </c>
      <c r="B689" s="100" t="e">
        <f ca="1">IFERROR(__xludf.DUMMYFUNCTION("""COMPUTED_VALUE"""),"USDTTRY")</f>
        <v>#NAME?</v>
      </c>
      <c r="C689" s="100" t="e">
        <f ca="1">IFERROR(__xludf.DUMMYFUNCTION("""COMPUTED_VALUE"""),"38.22000000")</f>
        <v>#NAME?</v>
      </c>
      <c r="D689" s="100" t="e">
        <f t="shared" ca="1" si="132"/>
        <v>#NAME?</v>
      </c>
      <c r="E689" s="100" t="e">
        <f t="shared" ca="1" si="132"/>
        <v>#NAME?</v>
      </c>
      <c r="F689" s="100" t="e">
        <f t="shared" ca="1" si="124"/>
        <v>#NAME?</v>
      </c>
      <c r="G689" s="100" t="e">
        <f t="shared" ca="1" si="125"/>
        <v>#NAME?</v>
      </c>
      <c r="H689" s="100" t="e">
        <f t="shared" ca="1" si="126"/>
        <v>#NAME?</v>
      </c>
      <c r="I689" s="100" t="e">
        <f t="shared" ca="1" si="127"/>
        <v>#NAME?</v>
      </c>
      <c r="J689" s="100" t="e">
        <f ca="1">IFERROR(__xludf.DUMMYFUNCTION("""COMPUTED_VALUE"""),"0.000")</f>
        <v>#NAME?</v>
      </c>
      <c r="K689" s="100" t="e">
        <f t="shared" ca="1" si="128"/>
        <v>#NAME?</v>
      </c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 spans="1:26">
      <c r="A690" s="100" t="e">
        <f ca="1">IFERROR(__xludf.DUMMYFUNCTION("""COMPUTED_VALUE"""),58784025)</f>
        <v>#NAME?</v>
      </c>
      <c r="B690" s="100" t="e">
        <f ca="1">IFERROR(__xludf.DUMMYFUNCTION("""COMPUTED_VALUE"""),"USDTRUB")</f>
        <v>#NAME?</v>
      </c>
      <c r="C690" s="100" t="e">
        <f ca="1">IFERROR(__xludf.DUMMYFUNCTION("""COMPUTED_VALUE"""),"91.10000000")</f>
        <v>#NAME?</v>
      </c>
      <c r="D690" s="100" t="e">
        <f t="shared" ca="1" si="132"/>
        <v>#NAME?</v>
      </c>
      <c r="E690" s="100" t="e">
        <f t="shared" ca="1" si="132"/>
        <v>#NAME?</v>
      </c>
      <c r="F690" s="100" t="e">
        <f t="shared" ca="1" si="124"/>
        <v>#NAME?</v>
      </c>
      <c r="G690" s="100" t="e">
        <f t="shared" ca="1" si="125"/>
        <v>#NAME?</v>
      </c>
      <c r="H690" s="100" t="e">
        <f t="shared" ca="1" si="126"/>
        <v>#NAME?</v>
      </c>
      <c r="I690" s="100" t="e">
        <f t="shared" ca="1" si="127"/>
        <v>#NAME?</v>
      </c>
      <c r="J690" s="100" t="e">
        <f ca="1">IFERROR(__xludf.DUMMYFUNCTION("""COMPUTED_VALUE"""),"0")</f>
        <v>#NAME?</v>
      </c>
      <c r="K690" s="100" t="e">
        <f t="shared" ca="1" si="128"/>
        <v>#NAME?</v>
      </c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 spans="1:26">
      <c r="A691" s="100" t="e">
        <f ca="1">IFERROR(__xludf.DUMMYFUNCTION("""COMPUTED_VALUE"""),58784026)</f>
        <v>#NAME?</v>
      </c>
      <c r="B691" s="100" t="e">
        <f ca="1">IFERROR(__xludf.DUMMYFUNCTION("""COMPUTED_VALUE"""),"BTCEUR")</f>
        <v>#NAME?</v>
      </c>
      <c r="C691" s="100" t="e">
        <f ca="1">IFERROR(__xludf.DUMMYFUNCTION("""COMPUTED_VALUE"""),"77111.20000000")</f>
        <v>#NAME?</v>
      </c>
      <c r="D691" s="100" t="e">
        <f t="shared" ca="1" si="132"/>
        <v>#NAME?</v>
      </c>
      <c r="E691" s="100" t="e">
        <f t="shared" ca="1" si="132"/>
        <v>#NAME?</v>
      </c>
      <c r="F691" s="100" t="e">
        <f t="shared" ca="1" si="124"/>
        <v>#NAME?</v>
      </c>
      <c r="G691" s="100" t="e">
        <f t="shared" ca="1" si="125"/>
        <v>#NAME?</v>
      </c>
      <c r="H691" s="100" t="e">
        <f t="shared" ca="1" si="126"/>
        <v>#NAME?</v>
      </c>
      <c r="I691" s="100" t="e">
        <f t="shared" ca="1" si="127"/>
        <v>#NAME?</v>
      </c>
      <c r="J691" s="100" t="e">
        <f ca="1">IFERROR(__xludf.DUMMYFUNCTION("""COMPUTED_VALUE"""),"1.781")</f>
        <v>#NAME?</v>
      </c>
      <c r="K691" s="100" t="e">
        <f t="shared" ca="1" si="128"/>
        <v>#NAME?</v>
      </c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 spans="1:26">
      <c r="A692" s="100" t="e">
        <f ca="1">IFERROR(__xludf.DUMMYFUNCTION("""COMPUTED_VALUE"""),58784027)</f>
        <v>#NAME?</v>
      </c>
      <c r="B692" s="100" t="e">
        <f ca="1">IFERROR(__xludf.DUMMYFUNCTION("""COMPUTED_VALUE"""),"ETHEUR")</f>
        <v>#NAME?</v>
      </c>
      <c r="C692" s="100" t="e">
        <f ca="1">IFERROR(__xludf.DUMMYFUNCTION("""COMPUTED_VALUE"""),"1414.45000000")</f>
        <v>#NAME?</v>
      </c>
      <c r="D692" s="100" t="e">
        <f t="shared" ca="1" si="132"/>
        <v>#NAME?</v>
      </c>
      <c r="E692" s="100" t="e">
        <f t="shared" ca="1" si="132"/>
        <v>#NAME?</v>
      </c>
      <c r="F692" s="100" t="e">
        <f t="shared" ca="1" si="124"/>
        <v>#NAME?</v>
      </c>
      <c r="G692" s="100" t="e">
        <f t="shared" ca="1" si="125"/>
        <v>#NAME?</v>
      </c>
      <c r="H692" s="100" t="e">
        <f t="shared" ca="1" si="126"/>
        <v>#NAME?</v>
      </c>
      <c r="I692" s="100" t="e">
        <f t="shared" ca="1" si="127"/>
        <v>#NAME?</v>
      </c>
      <c r="J692" s="100" t="e">
        <f ca="1">IFERROR(__xludf.DUMMYFUNCTION("""COMPUTED_VALUE"""),"-0.461")</f>
        <v>#NAME?</v>
      </c>
      <c r="K692" s="100" t="e">
        <f t="shared" ca="1" si="128"/>
        <v>#NAME?</v>
      </c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 spans="1:26">
      <c r="A693" s="100" t="e">
        <f ca="1">IFERROR(__xludf.DUMMYFUNCTION("""COMPUTED_VALUE"""),58784028)</f>
        <v>#NAME?</v>
      </c>
      <c r="B693" s="100" t="e">
        <f ca="1">IFERROR(__xludf.DUMMYFUNCTION("""COMPUTED_VALUE"""),"BNBEUR")</f>
        <v>#NAME?</v>
      </c>
      <c r="C693" s="100" t="e">
        <f ca="1">IFERROR(__xludf.DUMMYFUNCTION("""COMPUTED_VALUE"""),"527.66000000")</f>
        <v>#NAME?</v>
      </c>
      <c r="D693" s="100" t="e">
        <f t="shared" ca="1" si="132"/>
        <v>#NAME?</v>
      </c>
      <c r="E693" s="100" t="e">
        <f t="shared" ca="1" si="132"/>
        <v>#NAME?</v>
      </c>
      <c r="F693" s="100" t="e">
        <f t="shared" ca="1" si="124"/>
        <v>#NAME?</v>
      </c>
      <c r="G693" s="100" t="e">
        <f t="shared" ca="1" si="125"/>
        <v>#NAME?</v>
      </c>
      <c r="H693" s="100" t="e">
        <f t="shared" ca="1" si="126"/>
        <v>#NAME?</v>
      </c>
      <c r="I693" s="100" t="e">
        <f t="shared" ca="1" si="127"/>
        <v>#NAME?</v>
      </c>
      <c r="J693" s="100" t="e">
        <f ca="1">IFERROR(__xludf.DUMMYFUNCTION("""COMPUTED_VALUE"""),"0.791")</f>
        <v>#NAME?</v>
      </c>
      <c r="K693" s="100" t="e">
        <f t="shared" ca="1" si="128"/>
        <v>#NAME?</v>
      </c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 spans="1:26">
      <c r="A694" s="100" t="e">
        <f ca="1">IFERROR(__xludf.DUMMYFUNCTION("""COMPUTED_VALUE"""),58784029)</f>
        <v>#NAME?</v>
      </c>
      <c r="B694" s="100" t="e">
        <f ca="1">IFERROR(__xludf.DUMMYFUNCTION("""COMPUTED_VALUE"""),"XRPEUR")</f>
        <v>#NAME?</v>
      </c>
      <c r="C694" s="100" t="e">
        <f ca="1">IFERROR(__xludf.DUMMYFUNCTION("""COMPUTED_VALUE"""),"1.83160000")</f>
        <v>#NAME?</v>
      </c>
      <c r="D694" s="100" t="e">
        <f t="shared" ca="1" si="132"/>
        <v>#NAME?</v>
      </c>
      <c r="E694" s="100" t="e">
        <f t="shared" ca="1" si="132"/>
        <v>#NAME?</v>
      </c>
      <c r="F694" s="100" t="e">
        <f t="shared" ca="1" si="124"/>
        <v>#NAME?</v>
      </c>
      <c r="G694" s="100" t="e">
        <f t="shared" ca="1" si="125"/>
        <v>#NAME?</v>
      </c>
      <c r="H694" s="100" t="e">
        <f t="shared" ca="1" si="126"/>
        <v>#NAME?</v>
      </c>
      <c r="I694" s="100" t="e">
        <f t="shared" ca="1" si="127"/>
        <v>#NAME?</v>
      </c>
      <c r="J694" s="100" t="e">
        <f ca="1">IFERROR(__xludf.DUMMYFUNCTION("""COMPUTED_VALUE"""),"-0.521")</f>
        <v>#NAME?</v>
      </c>
      <c r="K694" s="100" t="e">
        <f t="shared" ca="1" si="128"/>
        <v>#NAME?</v>
      </c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 spans="1:26">
      <c r="A695" s="100" t="e">
        <f ca="1">IFERROR(__xludf.DUMMYFUNCTION("""COMPUTED_VALUE"""),58784030)</f>
        <v>#NAME?</v>
      </c>
      <c r="B695" s="100" t="e">
        <f ca="1">IFERROR(__xludf.DUMMYFUNCTION("""COMPUTED_VALUE"""),"EURBUSD")</f>
        <v>#NAME?</v>
      </c>
      <c r="C695" s="100" t="e">
        <f ca="1">IFERROR(__xludf.DUMMYFUNCTION("""COMPUTED_VALUE"""),"1.07570000")</f>
        <v>#NAME?</v>
      </c>
      <c r="D695" s="100" t="e">
        <f t="shared" ca="1" si="132"/>
        <v>#NAME?</v>
      </c>
      <c r="E695" s="100" t="e">
        <f t="shared" ca="1" si="132"/>
        <v>#NAME?</v>
      </c>
      <c r="F695" s="100" t="e">
        <f t="shared" ca="1" si="124"/>
        <v>#NAME?</v>
      </c>
      <c r="G695" s="100" t="e">
        <f t="shared" ca="1" si="125"/>
        <v>#NAME?</v>
      </c>
      <c r="H695" s="100" t="e">
        <f t="shared" ca="1" si="126"/>
        <v>#NAME?</v>
      </c>
      <c r="I695" s="100" t="e">
        <f t="shared" ca="1" si="127"/>
        <v>#NAME?</v>
      </c>
      <c r="J695" s="100" t="e">
        <f ca="1">IFERROR(__xludf.DUMMYFUNCTION("""COMPUTED_VALUE"""),"0")</f>
        <v>#NAME?</v>
      </c>
      <c r="K695" s="100" t="e">
        <f t="shared" ca="1" si="128"/>
        <v>#NAME?</v>
      </c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 spans="1:26">
      <c r="A696" s="100" t="e">
        <f ca="1">IFERROR(__xludf.DUMMYFUNCTION("""COMPUTED_VALUE"""),58784031)</f>
        <v>#NAME?</v>
      </c>
      <c r="B696" s="100" t="e">
        <f ca="1">IFERROR(__xludf.DUMMYFUNCTION("""COMPUTED_VALUE"""),"EURUSDT")</f>
        <v>#NAME?</v>
      </c>
      <c r="C696" s="100" t="e">
        <f ca="1">IFERROR(__xludf.DUMMYFUNCTION("""COMPUTED_VALUE"""),"1.14880000")</f>
        <v>#NAME?</v>
      </c>
      <c r="D696" s="100" t="e">
        <f t="shared" ca="1" si="132"/>
        <v>#NAME?</v>
      </c>
      <c r="E696" s="100" t="e">
        <f t="shared" ca="1" si="132"/>
        <v>#NAME?</v>
      </c>
      <c r="F696" s="100" t="e">
        <f t="shared" ca="1" si="124"/>
        <v>#NAME?</v>
      </c>
      <c r="G696" s="100" t="e">
        <f t="shared" ca="1" si="125"/>
        <v>#NAME?</v>
      </c>
      <c r="H696" s="100" t="e">
        <f t="shared" ca="1" si="126"/>
        <v>#NAME?</v>
      </c>
      <c r="I696" s="100" t="e">
        <f t="shared" ca="1" si="127"/>
        <v>#NAME?</v>
      </c>
      <c r="J696" s="100" t="e">
        <f ca="1">IFERROR(__xludf.DUMMYFUNCTION("""COMPUTED_VALUE"""),"-0.485")</f>
        <v>#NAME?</v>
      </c>
      <c r="K696" s="100" t="e">
        <f t="shared" ca="1" si="128"/>
        <v>#NAME?</v>
      </c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 spans="1:26">
      <c r="A697" s="100" t="e">
        <f ca="1">IFERROR(__xludf.DUMMYFUNCTION("""COMPUTED_VALUE"""),58784032)</f>
        <v>#NAME?</v>
      </c>
      <c r="B697" s="100" t="e">
        <f ca="1">IFERROR(__xludf.DUMMYFUNCTION("""COMPUTED_VALUE"""),"OGNBNB")</f>
        <v>#NAME?</v>
      </c>
      <c r="C697" s="100" t="e">
        <f ca="1">IFERROR(__xludf.DUMMYFUNCTION("""COMPUTED_VALUE"""),"0.00038300")</f>
        <v>#NAME?</v>
      </c>
      <c r="D697" s="100" t="e">
        <f t="shared" ca="1" si="132"/>
        <v>#NAME?</v>
      </c>
      <c r="E697" s="100" t="e">
        <f t="shared" ca="1" si="132"/>
        <v>#NAME?</v>
      </c>
      <c r="F697" s="100" t="e">
        <f t="shared" ca="1" si="124"/>
        <v>#NAME?</v>
      </c>
      <c r="G697" s="100" t="e">
        <f t="shared" ca="1" si="125"/>
        <v>#NAME?</v>
      </c>
      <c r="H697" s="100" t="e">
        <f t="shared" ca="1" si="126"/>
        <v>#NAME?</v>
      </c>
      <c r="I697" s="100" t="e">
        <f t="shared" ca="1" si="127"/>
        <v>#NAME?</v>
      </c>
      <c r="J697" s="100" t="e">
        <f ca="1">IFERROR(__xludf.DUMMYFUNCTION("""COMPUTED_VALUE"""),"0")</f>
        <v>#NAME?</v>
      </c>
      <c r="K697" s="100" t="e">
        <f t="shared" ca="1" si="128"/>
        <v>#NAME?</v>
      </c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 spans="1:26">
      <c r="A698" s="100" t="e">
        <f ca="1">IFERROR(__xludf.DUMMYFUNCTION("""COMPUTED_VALUE"""),58784033)</f>
        <v>#NAME?</v>
      </c>
      <c r="B698" s="100" t="e">
        <f ca="1">IFERROR(__xludf.DUMMYFUNCTION("""COMPUTED_VALUE"""),"OGNBTC")</f>
        <v>#NAME?</v>
      </c>
      <c r="C698" s="100" t="e">
        <f ca="1">IFERROR(__xludf.DUMMYFUNCTION("""COMPUTED_VALUE"""),"0.00000066")</f>
        <v>#NAME?</v>
      </c>
      <c r="D698" s="100" t="e">
        <f t="shared" ca="1" si="132"/>
        <v>#NAME?</v>
      </c>
      <c r="E698" s="100" t="e">
        <f t="shared" ca="1" si="132"/>
        <v>#NAME?</v>
      </c>
      <c r="F698" s="100" t="e">
        <f t="shared" ca="1" si="124"/>
        <v>#NAME?</v>
      </c>
      <c r="G698" s="100" t="e">
        <f t="shared" ca="1" si="125"/>
        <v>#NAME?</v>
      </c>
      <c r="H698" s="100" t="e">
        <f t="shared" ca="1" si="126"/>
        <v>#NAME?</v>
      </c>
      <c r="I698" s="100" t="e">
        <f t="shared" ca="1" si="127"/>
        <v>#NAME?</v>
      </c>
      <c r="J698" s="100" t="e">
        <f ca="1">IFERROR(__xludf.DUMMYFUNCTION("""COMPUTED_VALUE"""),"-5.714")</f>
        <v>#NAME?</v>
      </c>
      <c r="K698" s="100" t="e">
        <f t="shared" ca="1" si="128"/>
        <v>#NAME?</v>
      </c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 spans="1:26">
      <c r="A699" s="100" t="e">
        <f ca="1">IFERROR(__xludf.DUMMYFUNCTION("""COMPUTED_VALUE"""),58784034)</f>
        <v>#NAME?</v>
      </c>
      <c r="B699" s="100" t="e">
        <f ca="1">IFERROR(__xludf.DUMMYFUNCTION("""COMPUTED_VALUE"""),"OGNUSDT")</f>
        <v>#NAME?</v>
      </c>
      <c r="C699" s="100" t="e">
        <f ca="1">IFERROR(__xludf.DUMMYFUNCTION("""COMPUTED_VALUE"""),"0.05780000")</f>
        <v>#NAME?</v>
      </c>
      <c r="D699" s="100" t="e">
        <f t="shared" ca="1" si="132"/>
        <v>#NAME?</v>
      </c>
      <c r="E699" s="100" t="e">
        <f t="shared" ca="1" si="132"/>
        <v>#NAME?</v>
      </c>
      <c r="F699" s="100" t="e">
        <f t="shared" ca="1" si="124"/>
        <v>#NAME?</v>
      </c>
      <c r="G699" s="100" t="e">
        <f t="shared" ca="1" si="125"/>
        <v>#NAME?</v>
      </c>
      <c r="H699" s="100" t="e">
        <f t="shared" ca="1" si="126"/>
        <v>#NAME?</v>
      </c>
      <c r="I699" s="100" t="e">
        <f t="shared" ca="1" si="127"/>
        <v>#NAME?</v>
      </c>
      <c r="J699" s="100" t="e">
        <f ca="1">IFERROR(__xludf.DUMMYFUNCTION("""COMPUTED_VALUE"""),"-5.090")</f>
        <v>#NAME?</v>
      </c>
      <c r="K699" s="100" t="e">
        <f t="shared" ca="1" si="128"/>
        <v>#NAME?</v>
      </c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 spans="1:26">
      <c r="A700" s="100" t="e">
        <f ca="1">IFERROR(__xludf.DUMMYFUNCTION("""COMPUTED_VALUE"""),58784035)</f>
        <v>#NAME?</v>
      </c>
      <c r="B700" s="100" t="e">
        <f ca="1">IFERROR(__xludf.DUMMYFUNCTION("""COMPUTED_VALUE"""),"DREPBNB")</f>
        <v>#NAME?</v>
      </c>
      <c r="C700" s="100" t="e">
        <f ca="1">IFERROR(__xludf.DUMMYFUNCTION("""COMPUTED_VALUE"""),"0.00000000")</f>
        <v>#NAME?</v>
      </c>
      <c r="D700" s="100" t="e">
        <f t="shared" ca="1" si="132"/>
        <v>#NAME?</v>
      </c>
      <c r="E700" s="100" t="e">
        <f t="shared" ca="1" si="132"/>
        <v>#NAME?</v>
      </c>
      <c r="F700" s="100" t="e">
        <f t="shared" ca="1" si="124"/>
        <v>#NAME?</v>
      </c>
      <c r="G700" s="100" t="e">
        <f t="shared" ca="1" si="125"/>
        <v>#NAME?</v>
      </c>
      <c r="H700" s="100" t="e">
        <f t="shared" ca="1" si="126"/>
        <v>#NAME?</v>
      </c>
      <c r="I700" s="100" t="e">
        <f t="shared" ca="1" si="127"/>
        <v>#NAME?</v>
      </c>
      <c r="J700" s="100" t="e">
        <f t="shared" ref="J700:J719" ca="1" si="133">IFERROR(__xludf.DUMMYFUNCTION("""COMPUTED_VALUE"""),"0")</f>
        <v>#NAME?</v>
      </c>
      <c r="K700" s="100" t="e">
        <f t="shared" ca="1" si="128"/>
        <v>#NAME?</v>
      </c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 spans="1:26">
      <c r="A701" s="100" t="e">
        <f ca="1">IFERROR(__xludf.DUMMYFUNCTION("""COMPUTED_VALUE"""),58784036)</f>
        <v>#NAME?</v>
      </c>
      <c r="B701" s="100" t="e">
        <f ca="1">IFERROR(__xludf.DUMMYFUNCTION("""COMPUTED_VALUE"""),"DREPBTC")</f>
        <v>#NAME?</v>
      </c>
      <c r="C701" s="100" t="e">
        <f ca="1">IFERROR(__xludf.DUMMYFUNCTION("""COMPUTED_VALUE"""),"0.00000039")</f>
        <v>#NAME?</v>
      </c>
      <c r="D701" s="100" t="e">
        <f t="shared" ca="1" si="132"/>
        <v>#NAME?</v>
      </c>
      <c r="E701" s="100" t="e">
        <f t="shared" ca="1" si="132"/>
        <v>#NAME?</v>
      </c>
      <c r="F701" s="100" t="e">
        <f t="shared" ca="1" si="124"/>
        <v>#NAME?</v>
      </c>
      <c r="G701" s="100" t="e">
        <f t="shared" ca="1" si="125"/>
        <v>#NAME?</v>
      </c>
      <c r="H701" s="100" t="e">
        <f t="shared" ca="1" si="126"/>
        <v>#NAME?</v>
      </c>
      <c r="I701" s="100" t="e">
        <f t="shared" ca="1" si="127"/>
        <v>#NAME?</v>
      </c>
      <c r="J701" s="100" t="e">
        <f t="shared" ca="1" si="133"/>
        <v>#NAME?</v>
      </c>
      <c r="K701" s="100" t="e">
        <f t="shared" ca="1" si="128"/>
        <v>#NAME?</v>
      </c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 spans="1:26">
      <c r="A702" s="100" t="e">
        <f ca="1">IFERROR(__xludf.DUMMYFUNCTION("""COMPUTED_VALUE"""),58784037)</f>
        <v>#NAME?</v>
      </c>
      <c r="B702" s="100" t="e">
        <f ca="1">IFERROR(__xludf.DUMMYFUNCTION("""COMPUTED_VALUE"""),"DREPUSDT")</f>
        <v>#NAME?</v>
      </c>
      <c r="C702" s="100" t="e">
        <f ca="1">IFERROR(__xludf.DUMMYFUNCTION("""COMPUTED_VALUE"""),"0.02560000")</f>
        <v>#NAME?</v>
      </c>
      <c r="D702" s="100" t="e">
        <f t="shared" ref="D702:E721" ca="1" si="134">IFERROR(__xludf.DUMMYFUNCTION("""COMPUTED_VALUE"""),"-")</f>
        <v>#NAME?</v>
      </c>
      <c r="E702" s="100" t="e">
        <f t="shared" ca="1" si="134"/>
        <v>#NAME?</v>
      </c>
      <c r="F702" s="100" t="e">
        <f t="shared" ca="1" si="124"/>
        <v>#NAME?</v>
      </c>
      <c r="G702" s="100" t="e">
        <f t="shared" ca="1" si="125"/>
        <v>#NAME?</v>
      </c>
      <c r="H702" s="100" t="e">
        <f t="shared" ca="1" si="126"/>
        <v>#NAME?</v>
      </c>
      <c r="I702" s="100" t="e">
        <f t="shared" ca="1" si="127"/>
        <v>#NAME?</v>
      </c>
      <c r="J702" s="100" t="e">
        <f t="shared" ca="1" si="133"/>
        <v>#NAME?</v>
      </c>
      <c r="K702" s="100" t="e">
        <f t="shared" ca="1" si="128"/>
        <v>#NAME?</v>
      </c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 spans="1:26">
      <c r="A703" s="100" t="e">
        <f ca="1">IFERROR(__xludf.DUMMYFUNCTION("""COMPUTED_VALUE"""),58784038)</f>
        <v>#NAME?</v>
      </c>
      <c r="B703" s="100" t="e">
        <f ca="1">IFERROR(__xludf.DUMMYFUNCTION("""COMPUTED_VALUE"""),"BULLUSDT")</f>
        <v>#NAME?</v>
      </c>
      <c r="C703" s="100" t="e">
        <f t="shared" ref="C703:C711" ca="1" si="135">IFERROR(__xludf.DUMMYFUNCTION("""COMPUTED_VALUE"""),"0.00000000")</f>
        <v>#NAME?</v>
      </c>
      <c r="D703" s="100" t="e">
        <f t="shared" ca="1" si="134"/>
        <v>#NAME?</v>
      </c>
      <c r="E703" s="100" t="e">
        <f t="shared" ca="1" si="134"/>
        <v>#NAME?</v>
      </c>
      <c r="F703" s="100" t="e">
        <f t="shared" ca="1" si="124"/>
        <v>#NAME?</v>
      </c>
      <c r="G703" s="100" t="e">
        <f t="shared" ca="1" si="125"/>
        <v>#NAME?</v>
      </c>
      <c r="H703" s="100" t="e">
        <f t="shared" ca="1" si="126"/>
        <v>#NAME?</v>
      </c>
      <c r="I703" s="100" t="e">
        <f t="shared" ca="1" si="127"/>
        <v>#NAME?</v>
      </c>
      <c r="J703" s="100" t="e">
        <f t="shared" ca="1" si="133"/>
        <v>#NAME?</v>
      </c>
      <c r="K703" s="100" t="e">
        <f t="shared" ca="1" si="128"/>
        <v>#NAME?</v>
      </c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 spans="1:26">
      <c r="A704" s="100" t="e">
        <f ca="1">IFERROR(__xludf.DUMMYFUNCTION("""COMPUTED_VALUE"""),58784039)</f>
        <v>#NAME?</v>
      </c>
      <c r="B704" s="100" t="e">
        <f ca="1">IFERROR(__xludf.DUMMYFUNCTION("""COMPUTED_VALUE"""),"BULLBUSD")</f>
        <v>#NAME?</v>
      </c>
      <c r="C704" s="100" t="e">
        <f t="shared" ca="1" si="135"/>
        <v>#NAME?</v>
      </c>
      <c r="D704" s="100" t="e">
        <f t="shared" ca="1" si="134"/>
        <v>#NAME?</v>
      </c>
      <c r="E704" s="100" t="e">
        <f t="shared" ca="1" si="134"/>
        <v>#NAME?</v>
      </c>
      <c r="F704" s="100" t="e">
        <f t="shared" ca="1" si="124"/>
        <v>#NAME?</v>
      </c>
      <c r="G704" s="100" t="e">
        <f t="shared" ca="1" si="125"/>
        <v>#NAME?</v>
      </c>
      <c r="H704" s="100" t="e">
        <f t="shared" ca="1" si="126"/>
        <v>#NAME?</v>
      </c>
      <c r="I704" s="100" t="e">
        <f t="shared" ca="1" si="127"/>
        <v>#NAME?</v>
      </c>
      <c r="J704" s="100" t="e">
        <f t="shared" ca="1" si="133"/>
        <v>#NAME?</v>
      </c>
      <c r="K704" s="100" t="e">
        <f t="shared" ca="1" si="128"/>
        <v>#NAME?</v>
      </c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 spans="1:26">
      <c r="A705" s="100" t="e">
        <f ca="1">IFERROR(__xludf.DUMMYFUNCTION("""COMPUTED_VALUE"""),58784040)</f>
        <v>#NAME?</v>
      </c>
      <c r="B705" s="100" t="e">
        <f ca="1">IFERROR(__xludf.DUMMYFUNCTION("""COMPUTED_VALUE"""),"BEARUSDT")</f>
        <v>#NAME?</v>
      </c>
      <c r="C705" s="100" t="e">
        <f t="shared" ca="1" si="135"/>
        <v>#NAME?</v>
      </c>
      <c r="D705" s="100" t="e">
        <f t="shared" ca="1" si="134"/>
        <v>#NAME?</v>
      </c>
      <c r="E705" s="100" t="e">
        <f t="shared" ca="1" si="134"/>
        <v>#NAME?</v>
      </c>
      <c r="F705" s="100" t="e">
        <f t="shared" ca="1" si="124"/>
        <v>#NAME?</v>
      </c>
      <c r="G705" s="100" t="e">
        <f t="shared" ca="1" si="125"/>
        <v>#NAME?</v>
      </c>
      <c r="H705" s="100" t="e">
        <f t="shared" ca="1" si="126"/>
        <v>#NAME?</v>
      </c>
      <c r="I705" s="100" t="e">
        <f t="shared" ca="1" si="127"/>
        <v>#NAME?</v>
      </c>
      <c r="J705" s="100" t="e">
        <f t="shared" ca="1" si="133"/>
        <v>#NAME?</v>
      </c>
      <c r="K705" s="100" t="e">
        <f t="shared" ca="1" si="128"/>
        <v>#NAME?</v>
      </c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 spans="1:26">
      <c r="A706" s="100" t="e">
        <f ca="1">IFERROR(__xludf.DUMMYFUNCTION("""COMPUTED_VALUE"""),58784041)</f>
        <v>#NAME?</v>
      </c>
      <c r="B706" s="100" t="e">
        <f ca="1">IFERROR(__xludf.DUMMYFUNCTION("""COMPUTED_VALUE"""),"BEARBUSD")</f>
        <v>#NAME?</v>
      </c>
      <c r="C706" s="100" t="e">
        <f t="shared" ca="1" si="135"/>
        <v>#NAME?</v>
      </c>
      <c r="D706" s="100" t="e">
        <f t="shared" ca="1" si="134"/>
        <v>#NAME?</v>
      </c>
      <c r="E706" s="100" t="e">
        <f t="shared" ca="1" si="134"/>
        <v>#NAME?</v>
      </c>
      <c r="F706" s="100" t="e">
        <f t="shared" ref="F706:F769" ca="1" si="136">IFERROR(__xludf.DUMMYFUNCTION("""COMPUTED_VALUE"""),20200)</f>
        <v>#NAME?</v>
      </c>
      <c r="G706" s="100" t="e">
        <f t="shared" ref="G706:G769" ca="1" si="137">IFERROR(__xludf.DUMMYFUNCTION("""COMPUTED_VALUE"""),2885)</f>
        <v>#NAME?</v>
      </c>
      <c r="H706" s="100" t="e">
        <f t="shared" ref="H706:H769" ca="1" si="138">IFERROR(__xludf.DUMMYFUNCTION("""COMPUTED_VALUE"""),663)</f>
        <v>#NAME?</v>
      </c>
      <c r="I706" s="100" t="e">
        <f t="shared" ref="I706:I769" ca="1" si="139">IFERROR(__xludf.DUMMYFUNCTION("""COMPUTED_VALUE"""),5817721)</f>
        <v>#NAME?</v>
      </c>
      <c r="J706" s="100" t="e">
        <f t="shared" ca="1" si="133"/>
        <v>#NAME?</v>
      </c>
      <c r="K706" s="100" t="e">
        <f t="shared" ref="K706:K769" ca="1" si="140">IFERROR(__xludf.DUMMYFUNCTION("""COMPUTED_VALUE"""),"22.04.2025 13:05:01")</f>
        <v>#NAME?</v>
      </c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 spans="1:26">
      <c r="A707" s="100" t="e">
        <f ca="1">IFERROR(__xludf.DUMMYFUNCTION("""COMPUTED_VALUE"""),58784042)</f>
        <v>#NAME?</v>
      </c>
      <c r="B707" s="100" t="e">
        <f ca="1">IFERROR(__xludf.DUMMYFUNCTION("""COMPUTED_VALUE"""),"ETHBULLUSDT")</f>
        <v>#NAME?</v>
      </c>
      <c r="C707" s="100" t="e">
        <f t="shared" ca="1" si="135"/>
        <v>#NAME?</v>
      </c>
      <c r="D707" s="100" t="e">
        <f t="shared" ca="1" si="134"/>
        <v>#NAME?</v>
      </c>
      <c r="E707" s="100" t="e">
        <f t="shared" ca="1" si="134"/>
        <v>#NAME?</v>
      </c>
      <c r="F707" s="100" t="e">
        <f t="shared" ca="1" si="136"/>
        <v>#NAME?</v>
      </c>
      <c r="G707" s="100" t="e">
        <f t="shared" ca="1" si="137"/>
        <v>#NAME?</v>
      </c>
      <c r="H707" s="100" t="e">
        <f t="shared" ca="1" si="138"/>
        <v>#NAME?</v>
      </c>
      <c r="I707" s="100" t="e">
        <f t="shared" ca="1" si="139"/>
        <v>#NAME?</v>
      </c>
      <c r="J707" s="100" t="e">
        <f t="shared" ca="1" si="133"/>
        <v>#NAME?</v>
      </c>
      <c r="K707" s="100" t="e">
        <f t="shared" ca="1" si="140"/>
        <v>#NAME?</v>
      </c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 spans="1:26">
      <c r="A708" s="100" t="e">
        <f ca="1">IFERROR(__xludf.DUMMYFUNCTION("""COMPUTED_VALUE"""),58784043)</f>
        <v>#NAME?</v>
      </c>
      <c r="B708" s="100" t="e">
        <f ca="1">IFERROR(__xludf.DUMMYFUNCTION("""COMPUTED_VALUE"""),"ETHBULLBUSD")</f>
        <v>#NAME?</v>
      </c>
      <c r="C708" s="100" t="e">
        <f t="shared" ca="1" si="135"/>
        <v>#NAME?</v>
      </c>
      <c r="D708" s="100" t="e">
        <f t="shared" ca="1" si="134"/>
        <v>#NAME?</v>
      </c>
      <c r="E708" s="100" t="e">
        <f t="shared" ca="1" si="134"/>
        <v>#NAME?</v>
      </c>
      <c r="F708" s="100" t="e">
        <f t="shared" ca="1" si="136"/>
        <v>#NAME?</v>
      </c>
      <c r="G708" s="100" t="e">
        <f t="shared" ca="1" si="137"/>
        <v>#NAME?</v>
      </c>
      <c r="H708" s="100" t="e">
        <f t="shared" ca="1" si="138"/>
        <v>#NAME?</v>
      </c>
      <c r="I708" s="100" t="e">
        <f t="shared" ca="1" si="139"/>
        <v>#NAME?</v>
      </c>
      <c r="J708" s="100" t="e">
        <f t="shared" ca="1" si="133"/>
        <v>#NAME?</v>
      </c>
      <c r="K708" s="100" t="e">
        <f t="shared" ca="1" si="140"/>
        <v>#NAME?</v>
      </c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 spans="1:26">
      <c r="A709" s="100" t="e">
        <f ca="1">IFERROR(__xludf.DUMMYFUNCTION("""COMPUTED_VALUE"""),58784044)</f>
        <v>#NAME?</v>
      </c>
      <c r="B709" s="100" t="e">
        <f ca="1">IFERROR(__xludf.DUMMYFUNCTION("""COMPUTED_VALUE"""),"ETHBEARUSDT")</f>
        <v>#NAME?</v>
      </c>
      <c r="C709" s="100" t="e">
        <f t="shared" ca="1" si="135"/>
        <v>#NAME?</v>
      </c>
      <c r="D709" s="100" t="e">
        <f t="shared" ca="1" si="134"/>
        <v>#NAME?</v>
      </c>
      <c r="E709" s="100" t="e">
        <f t="shared" ca="1" si="134"/>
        <v>#NAME?</v>
      </c>
      <c r="F709" s="100" t="e">
        <f t="shared" ca="1" si="136"/>
        <v>#NAME?</v>
      </c>
      <c r="G709" s="100" t="e">
        <f t="shared" ca="1" si="137"/>
        <v>#NAME?</v>
      </c>
      <c r="H709" s="100" t="e">
        <f t="shared" ca="1" si="138"/>
        <v>#NAME?</v>
      </c>
      <c r="I709" s="100" t="e">
        <f t="shared" ca="1" si="139"/>
        <v>#NAME?</v>
      </c>
      <c r="J709" s="100" t="e">
        <f t="shared" ca="1" si="133"/>
        <v>#NAME?</v>
      </c>
      <c r="K709" s="100" t="e">
        <f t="shared" ca="1" si="140"/>
        <v>#NAME?</v>
      </c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 spans="1:26">
      <c r="A710" s="100" t="e">
        <f ca="1">IFERROR(__xludf.DUMMYFUNCTION("""COMPUTED_VALUE"""),58784045)</f>
        <v>#NAME?</v>
      </c>
      <c r="B710" s="100" t="e">
        <f ca="1">IFERROR(__xludf.DUMMYFUNCTION("""COMPUTED_VALUE"""),"ETHBEARBUSD")</f>
        <v>#NAME?</v>
      </c>
      <c r="C710" s="100" t="e">
        <f t="shared" ca="1" si="135"/>
        <v>#NAME?</v>
      </c>
      <c r="D710" s="100" t="e">
        <f t="shared" ca="1" si="134"/>
        <v>#NAME?</v>
      </c>
      <c r="E710" s="100" t="e">
        <f t="shared" ca="1" si="134"/>
        <v>#NAME?</v>
      </c>
      <c r="F710" s="100" t="e">
        <f t="shared" ca="1" si="136"/>
        <v>#NAME?</v>
      </c>
      <c r="G710" s="100" t="e">
        <f t="shared" ca="1" si="137"/>
        <v>#NAME?</v>
      </c>
      <c r="H710" s="100" t="e">
        <f t="shared" ca="1" si="138"/>
        <v>#NAME?</v>
      </c>
      <c r="I710" s="100" t="e">
        <f t="shared" ca="1" si="139"/>
        <v>#NAME?</v>
      </c>
      <c r="J710" s="100" t="e">
        <f t="shared" ca="1" si="133"/>
        <v>#NAME?</v>
      </c>
      <c r="K710" s="100" t="e">
        <f t="shared" ca="1" si="140"/>
        <v>#NAME?</v>
      </c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 spans="1:26">
      <c r="A711" s="100" t="e">
        <f ca="1">IFERROR(__xludf.DUMMYFUNCTION("""COMPUTED_VALUE"""),58784046)</f>
        <v>#NAME?</v>
      </c>
      <c r="B711" s="100" t="e">
        <f ca="1">IFERROR(__xludf.DUMMYFUNCTION("""COMPUTED_VALUE"""),"TCTBNB")</f>
        <v>#NAME?</v>
      </c>
      <c r="C711" s="100" t="e">
        <f t="shared" ca="1" si="135"/>
        <v>#NAME?</v>
      </c>
      <c r="D711" s="100" t="e">
        <f t="shared" ca="1" si="134"/>
        <v>#NAME?</v>
      </c>
      <c r="E711" s="100" t="e">
        <f t="shared" ca="1" si="134"/>
        <v>#NAME?</v>
      </c>
      <c r="F711" s="100" t="e">
        <f t="shared" ca="1" si="136"/>
        <v>#NAME?</v>
      </c>
      <c r="G711" s="100" t="e">
        <f t="shared" ca="1" si="137"/>
        <v>#NAME?</v>
      </c>
      <c r="H711" s="100" t="e">
        <f t="shared" ca="1" si="138"/>
        <v>#NAME?</v>
      </c>
      <c r="I711" s="100" t="e">
        <f t="shared" ca="1" si="139"/>
        <v>#NAME?</v>
      </c>
      <c r="J711" s="100" t="e">
        <f t="shared" ca="1" si="133"/>
        <v>#NAME?</v>
      </c>
      <c r="K711" s="100" t="e">
        <f t="shared" ca="1" si="140"/>
        <v>#NAME?</v>
      </c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 spans="1:26">
      <c r="A712" s="100" t="e">
        <f ca="1">IFERROR(__xludf.DUMMYFUNCTION("""COMPUTED_VALUE"""),58784047)</f>
        <v>#NAME?</v>
      </c>
      <c r="B712" s="100" t="e">
        <f ca="1">IFERROR(__xludf.DUMMYFUNCTION("""COMPUTED_VALUE"""),"TCTBTC")</f>
        <v>#NAME?</v>
      </c>
      <c r="C712" s="100" t="e">
        <f ca="1">IFERROR(__xludf.DUMMYFUNCTION("""COMPUTED_VALUE"""),"0.00000016")</f>
        <v>#NAME?</v>
      </c>
      <c r="D712" s="100" t="e">
        <f t="shared" ca="1" si="134"/>
        <v>#NAME?</v>
      </c>
      <c r="E712" s="100" t="e">
        <f t="shared" ca="1" si="134"/>
        <v>#NAME?</v>
      </c>
      <c r="F712" s="100" t="e">
        <f t="shared" ca="1" si="136"/>
        <v>#NAME?</v>
      </c>
      <c r="G712" s="100" t="e">
        <f t="shared" ca="1" si="137"/>
        <v>#NAME?</v>
      </c>
      <c r="H712" s="100" t="e">
        <f t="shared" ca="1" si="138"/>
        <v>#NAME?</v>
      </c>
      <c r="I712" s="100" t="e">
        <f t="shared" ca="1" si="139"/>
        <v>#NAME?</v>
      </c>
      <c r="J712" s="100" t="e">
        <f t="shared" ca="1" si="133"/>
        <v>#NAME?</v>
      </c>
      <c r="K712" s="100" t="e">
        <f t="shared" ca="1" si="140"/>
        <v>#NAME?</v>
      </c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 spans="1:26">
      <c r="A713" s="100" t="e">
        <f ca="1">IFERROR(__xludf.DUMMYFUNCTION("""COMPUTED_VALUE"""),58784048)</f>
        <v>#NAME?</v>
      </c>
      <c r="B713" s="100" t="e">
        <f ca="1">IFERROR(__xludf.DUMMYFUNCTION("""COMPUTED_VALUE"""),"TCTUSDT")</f>
        <v>#NAME?</v>
      </c>
      <c r="C713" s="100" t="e">
        <f ca="1">IFERROR(__xludf.DUMMYFUNCTION("""COMPUTED_VALUE"""),"0.00312000")</f>
        <v>#NAME?</v>
      </c>
      <c r="D713" s="100" t="e">
        <f t="shared" ca="1" si="134"/>
        <v>#NAME?</v>
      </c>
      <c r="E713" s="100" t="e">
        <f t="shared" ca="1" si="134"/>
        <v>#NAME?</v>
      </c>
      <c r="F713" s="100" t="e">
        <f t="shared" ca="1" si="136"/>
        <v>#NAME?</v>
      </c>
      <c r="G713" s="100" t="e">
        <f t="shared" ca="1" si="137"/>
        <v>#NAME?</v>
      </c>
      <c r="H713" s="100" t="e">
        <f t="shared" ca="1" si="138"/>
        <v>#NAME?</v>
      </c>
      <c r="I713" s="100" t="e">
        <f t="shared" ca="1" si="139"/>
        <v>#NAME?</v>
      </c>
      <c r="J713" s="100" t="e">
        <f t="shared" ca="1" si="133"/>
        <v>#NAME?</v>
      </c>
      <c r="K713" s="100" t="e">
        <f t="shared" ca="1" si="140"/>
        <v>#NAME?</v>
      </c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 spans="1:26">
      <c r="A714" s="100" t="e">
        <f ca="1">IFERROR(__xludf.DUMMYFUNCTION("""COMPUTED_VALUE"""),58784049)</f>
        <v>#NAME?</v>
      </c>
      <c r="B714" s="100" t="e">
        <f ca="1">IFERROR(__xludf.DUMMYFUNCTION("""COMPUTED_VALUE"""),"WRXBNB")</f>
        <v>#NAME?</v>
      </c>
      <c r="C714" s="100" t="e">
        <f ca="1">IFERROR(__xludf.DUMMYFUNCTION("""COMPUTED_VALUE"""),"0.00039800")</f>
        <v>#NAME?</v>
      </c>
      <c r="D714" s="100" t="e">
        <f t="shared" ca="1" si="134"/>
        <v>#NAME?</v>
      </c>
      <c r="E714" s="100" t="e">
        <f t="shared" ca="1" si="134"/>
        <v>#NAME?</v>
      </c>
      <c r="F714" s="100" t="e">
        <f t="shared" ca="1" si="136"/>
        <v>#NAME?</v>
      </c>
      <c r="G714" s="100" t="e">
        <f t="shared" ca="1" si="137"/>
        <v>#NAME?</v>
      </c>
      <c r="H714" s="100" t="e">
        <f t="shared" ca="1" si="138"/>
        <v>#NAME?</v>
      </c>
      <c r="I714" s="100" t="e">
        <f t="shared" ca="1" si="139"/>
        <v>#NAME?</v>
      </c>
      <c r="J714" s="100" t="e">
        <f t="shared" ca="1" si="133"/>
        <v>#NAME?</v>
      </c>
      <c r="K714" s="100" t="e">
        <f t="shared" ca="1" si="140"/>
        <v>#NAME?</v>
      </c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 spans="1:26">
      <c r="A715" s="100" t="e">
        <f ca="1">IFERROR(__xludf.DUMMYFUNCTION("""COMPUTED_VALUE"""),58784050)</f>
        <v>#NAME?</v>
      </c>
      <c r="B715" s="100" t="e">
        <f ca="1">IFERROR(__xludf.DUMMYFUNCTION("""COMPUTED_VALUE"""),"WRXBTC")</f>
        <v>#NAME?</v>
      </c>
      <c r="C715" s="100" t="e">
        <f ca="1">IFERROR(__xludf.DUMMYFUNCTION("""COMPUTED_VALUE"""),"0.00000455")</f>
        <v>#NAME?</v>
      </c>
      <c r="D715" s="100" t="e">
        <f t="shared" ca="1" si="134"/>
        <v>#NAME?</v>
      </c>
      <c r="E715" s="100" t="e">
        <f t="shared" ca="1" si="134"/>
        <v>#NAME?</v>
      </c>
      <c r="F715" s="100" t="e">
        <f t="shared" ca="1" si="136"/>
        <v>#NAME?</v>
      </c>
      <c r="G715" s="100" t="e">
        <f t="shared" ca="1" si="137"/>
        <v>#NAME?</v>
      </c>
      <c r="H715" s="100" t="e">
        <f t="shared" ca="1" si="138"/>
        <v>#NAME?</v>
      </c>
      <c r="I715" s="100" t="e">
        <f t="shared" ca="1" si="139"/>
        <v>#NAME?</v>
      </c>
      <c r="J715" s="100" t="e">
        <f t="shared" ca="1" si="133"/>
        <v>#NAME?</v>
      </c>
      <c r="K715" s="100" t="e">
        <f t="shared" ca="1" si="140"/>
        <v>#NAME?</v>
      </c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 spans="1:26">
      <c r="A716" s="100" t="e">
        <f ca="1">IFERROR(__xludf.DUMMYFUNCTION("""COMPUTED_VALUE"""),58784051)</f>
        <v>#NAME?</v>
      </c>
      <c r="B716" s="100" t="e">
        <f ca="1">IFERROR(__xludf.DUMMYFUNCTION("""COMPUTED_VALUE"""),"WRXUSDT")</f>
        <v>#NAME?</v>
      </c>
      <c r="C716" s="100" t="e">
        <f ca="1">IFERROR(__xludf.DUMMYFUNCTION("""COMPUTED_VALUE"""),"0.01730000")</f>
        <v>#NAME?</v>
      </c>
      <c r="D716" s="100" t="e">
        <f t="shared" ca="1" si="134"/>
        <v>#NAME?</v>
      </c>
      <c r="E716" s="100" t="e">
        <f t="shared" ca="1" si="134"/>
        <v>#NAME?</v>
      </c>
      <c r="F716" s="100" t="e">
        <f t="shared" ca="1" si="136"/>
        <v>#NAME?</v>
      </c>
      <c r="G716" s="100" t="e">
        <f t="shared" ca="1" si="137"/>
        <v>#NAME?</v>
      </c>
      <c r="H716" s="100" t="e">
        <f t="shared" ca="1" si="138"/>
        <v>#NAME?</v>
      </c>
      <c r="I716" s="100" t="e">
        <f t="shared" ca="1" si="139"/>
        <v>#NAME?</v>
      </c>
      <c r="J716" s="100" t="e">
        <f t="shared" ca="1" si="133"/>
        <v>#NAME?</v>
      </c>
      <c r="K716" s="100" t="e">
        <f t="shared" ca="1" si="140"/>
        <v>#NAME?</v>
      </c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 spans="1:26">
      <c r="A717" s="100" t="e">
        <f ca="1">IFERROR(__xludf.DUMMYFUNCTION("""COMPUTED_VALUE"""),58784052)</f>
        <v>#NAME?</v>
      </c>
      <c r="B717" s="100" t="e">
        <f ca="1">IFERROR(__xludf.DUMMYFUNCTION("""COMPUTED_VALUE"""),"ICXBUSD")</f>
        <v>#NAME?</v>
      </c>
      <c r="C717" s="100" t="e">
        <f ca="1">IFERROR(__xludf.DUMMYFUNCTION("""COMPUTED_VALUE"""),"0.16420000")</f>
        <v>#NAME?</v>
      </c>
      <c r="D717" s="100" t="e">
        <f t="shared" ca="1" si="134"/>
        <v>#NAME?</v>
      </c>
      <c r="E717" s="100" t="e">
        <f t="shared" ca="1" si="134"/>
        <v>#NAME?</v>
      </c>
      <c r="F717" s="100" t="e">
        <f t="shared" ca="1" si="136"/>
        <v>#NAME?</v>
      </c>
      <c r="G717" s="100" t="e">
        <f t="shared" ca="1" si="137"/>
        <v>#NAME?</v>
      </c>
      <c r="H717" s="100" t="e">
        <f t="shared" ca="1" si="138"/>
        <v>#NAME?</v>
      </c>
      <c r="I717" s="100" t="e">
        <f t="shared" ca="1" si="139"/>
        <v>#NAME?</v>
      </c>
      <c r="J717" s="100" t="e">
        <f t="shared" ca="1" si="133"/>
        <v>#NAME?</v>
      </c>
      <c r="K717" s="100" t="e">
        <f t="shared" ca="1" si="140"/>
        <v>#NAME?</v>
      </c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 spans="1:26">
      <c r="A718" s="100" t="e">
        <f ca="1">IFERROR(__xludf.DUMMYFUNCTION("""COMPUTED_VALUE"""),58784053)</f>
        <v>#NAME?</v>
      </c>
      <c r="B718" s="100" t="e">
        <f ca="1">IFERROR(__xludf.DUMMYFUNCTION("""COMPUTED_VALUE"""),"BTSUSDT")</f>
        <v>#NAME?</v>
      </c>
      <c r="C718" s="100" t="e">
        <f ca="1">IFERROR(__xludf.DUMMYFUNCTION("""COMPUTED_VALUE"""),"0.00540000")</f>
        <v>#NAME?</v>
      </c>
      <c r="D718" s="100" t="e">
        <f t="shared" ca="1" si="134"/>
        <v>#NAME?</v>
      </c>
      <c r="E718" s="100" t="e">
        <f t="shared" ca="1" si="134"/>
        <v>#NAME?</v>
      </c>
      <c r="F718" s="100" t="e">
        <f t="shared" ca="1" si="136"/>
        <v>#NAME?</v>
      </c>
      <c r="G718" s="100" t="e">
        <f t="shared" ca="1" si="137"/>
        <v>#NAME?</v>
      </c>
      <c r="H718" s="100" t="e">
        <f t="shared" ca="1" si="138"/>
        <v>#NAME?</v>
      </c>
      <c r="I718" s="100" t="e">
        <f t="shared" ca="1" si="139"/>
        <v>#NAME?</v>
      </c>
      <c r="J718" s="100" t="e">
        <f t="shared" ca="1" si="133"/>
        <v>#NAME?</v>
      </c>
      <c r="K718" s="100" t="e">
        <f t="shared" ca="1" si="140"/>
        <v>#NAME?</v>
      </c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 spans="1:26">
      <c r="A719" s="100" t="e">
        <f ca="1">IFERROR(__xludf.DUMMYFUNCTION("""COMPUTED_VALUE"""),58784054)</f>
        <v>#NAME?</v>
      </c>
      <c r="B719" s="100" t="e">
        <f ca="1">IFERROR(__xludf.DUMMYFUNCTION("""COMPUTED_VALUE"""),"BTSBUSD")</f>
        <v>#NAME?</v>
      </c>
      <c r="C719" s="100" t="e">
        <f ca="1">IFERROR(__xludf.DUMMYFUNCTION("""COMPUTED_VALUE"""),"0.00000000")</f>
        <v>#NAME?</v>
      </c>
      <c r="D719" s="100" t="e">
        <f t="shared" ca="1" si="134"/>
        <v>#NAME?</v>
      </c>
      <c r="E719" s="100" t="e">
        <f t="shared" ca="1" si="134"/>
        <v>#NAME?</v>
      </c>
      <c r="F719" s="100" t="e">
        <f t="shared" ca="1" si="136"/>
        <v>#NAME?</v>
      </c>
      <c r="G719" s="100" t="e">
        <f t="shared" ca="1" si="137"/>
        <v>#NAME?</v>
      </c>
      <c r="H719" s="100" t="e">
        <f t="shared" ca="1" si="138"/>
        <v>#NAME?</v>
      </c>
      <c r="I719" s="100" t="e">
        <f t="shared" ca="1" si="139"/>
        <v>#NAME?</v>
      </c>
      <c r="J719" s="100" t="e">
        <f t="shared" ca="1" si="133"/>
        <v>#NAME?</v>
      </c>
      <c r="K719" s="100" t="e">
        <f t="shared" ca="1" si="140"/>
        <v>#NAME?</v>
      </c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 spans="1:26">
      <c r="A720" s="100" t="e">
        <f ca="1">IFERROR(__xludf.DUMMYFUNCTION("""COMPUTED_VALUE"""),58784055)</f>
        <v>#NAME?</v>
      </c>
      <c r="B720" s="100" t="e">
        <f ca="1">IFERROR(__xludf.DUMMYFUNCTION("""COMPUTED_VALUE"""),"LSKUSDT")</f>
        <v>#NAME?</v>
      </c>
      <c r="C720" s="100" t="e">
        <f ca="1">IFERROR(__xludf.DUMMYFUNCTION("""COMPUTED_VALUE"""),"0.50400000")</f>
        <v>#NAME?</v>
      </c>
      <c r="D720" s="100" t="e">
        <f t="shared" ca="1" si="134"/>
        <v>#NAME?</v>
      </c>
      <c r="E720" s="100" t="e">
        <f t="shared" ca="1" si="134"/>
        <v>#NAME?</v>
      </c>
      <c r="F720" s="100" t="e">
        <f t="shared" ca="1" si="136"/>
        <v>#NAME?</v>
      </c>
      <c r="G720" s="100" t="e">
        <f t="shared" ca="1" si="137"/>
        <v>#NAME?</v>
      </c>
      <c r="H720" s="100" t="e">
        <f t="shared" ca="1" si="138"/>
        <v>#NAME?</v>
      </c>
      <c r="I720" s="100" t="e">
        <f t="shared" ca="1" si="139"/>
        <v>#NAME?</v>
      </c>
      <c r="J720" s="100" t="e">
        <f ca="1">IFERROR(__xludf.DUMMYFUNCTION("""COMPUTED_VALUE"""),"-5.085")</f>
        <v>#NAME?</v>
      </c>
      <c r="K720" s="100" t="e">
        <f t="shared" ca="1" si="140"/>
        <v>#NAME?</v>
      </c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 spans="1:26">
      <c r="A721" s="100" t="e">
        <f ca="1">IFERROR(__xludf.DUMMYFUNCTION("""COMPUTED_VALUE"""),58784056)</f>
        <v>#NAME?</v>
      </c>
      <c r="B721" s="100" t="e">
        <f ca="1">IFERROR(__xludf.DUMMYFUNCTION("""COMPUTED_VALUE"""),"BNTUSDT")</f>
        <v>#NAME?</v>
      </c>
      <c r="C721" s="100" t="e">
        <f ca="1">IFERROR(__xludf.DUMMYFUNCTION("""COMPUTED_VALUE"""),"0.39400000")</f>
        <v>#NAME?</v>
      </c>
      <c r="D721" s="100" t="e">
        <f t="shared" ca="1" si="134"/>
        <v>#NAME?</v>
      </c>
      <c r="E721" s="100" t="e">
        <f t="shared" ca="1" si="134"/>
        <v>#NAME?</v>
      </c>
      <c r="F721" s="100" t="e">
        <f t="shared" ca="1" si="136"/>
        <v>#NAME?</v>
      </c>
      <c r="G721" s="100" t="e">
        <f t="shared" ca="1" si="137"/>
        <v>#NAME?</v>
      </c>
      <c r="H721" s="100" t="e">
        <f t="shared" ca="1" si="138"/>
        <v>#NAME?</v>
      </c>
      <c r="I721" s="100" t="e">
        <f t="shared" ca="1" si="139"/>
        <v>#NAME?</v>
      </c>
      <c r="J721" s="100" t="e">
        <f ca="1">IFERROR(__xludf.DUMMYFUNCTION("""COMPUTED_VALUE"""),"-1.055")</f>
        <v>#NAME?</v>
      </c>
      <c r="K721" s="100" t="e">
        <f t="shared" ca="1" si="140"/>
        <v>#NAME?</v>
      </c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 spans="1:26">
      <c r="A722" s="100" t="e">
        <f ca="1">IFERROR(__xludf.DUMMYFUNCTION("""COMPUTED_VALUE"""),58784057)</f>
        <v>#NAME?</v>
      </c>
      <c r="B722" s="100" t="e">
        <f ca="1">IFERROR(__xludf.DUMMYFUNCTION("""COMPUTED_VALUE"""),"BNTBUSD")</f>
        <v>#NAME?</v>
      </c>
      <c r="C722" s="100" t="e">
        <f ca="1">IFERROR(__xludf.DUMMYFUNCTION("""COMPUTED_VALUE"""),"0.35990000")</f>
        <v>#NAME?</v>
      </c>
      <c r="D722" s="100" t="e">
        <f t="shared" ref="D722:E741" ca="1" si="141">IFERROR(__xludf.DUMMYFUNCTION("""COMPUTED_VALUE"""),"-")</f>
        <v>#NAME?</v>
      </c>
      <c r="E722" s="100" t="e">
        <f t="shared" ca="1" si="141"/>
        <v>#NAME?</v>
      </c>
      <c r="F722" s="100" t="e">
        <f t="shared" ca="1" si="136"/>
        <v>#NAME?</v>
      </c>
      <c r="G722" s="100" t="e">
        <f t="shared" ca="1" si="137"/>
        <v>#NAME?</v>
      </c>
      <c r="H722" s="100" t="e">
        <f t="shared" ca="1" si="138"/>
        <v>#NAME?</v>
      </c>
      <c r="I722" s="100" t="e">
        <f t="shared" ca="1" si="139"/>
        <v>#NAME?</v>
      </c>
      <c r="J722" s="100" t="e">
        <f ca="1">IFERROR(__xludf.DUMMYFUNCTION("""COMPUTED_VALUE"""),"0")</f>
        <v>#NAME?</v>
      </c>
      <c r="K722" s="100" t="e">
        <f t="shared" ca="1" si="140"/>
        <v>#NAME?</v>
      </c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 spans="1:26">
      <c r="A723" s="100" t="e">
        <f ca="1">IFERROR(__xludf.DUMMYFUNCTION("""COMPUTED_VALUE"""),58784058)</f>
        <v>#NAME?</v>
      </c>
      <c r="B723" s="100" t="e">
        <f ca="1">IFERROR(__xludf.DUMMYFUNCTION("""COMPUTED_VALUE"""),"LTOBNB")</f>
        <v>#NAME?</v>
      </c>
      <c r="C723" s="100" t="e">
        <f ca="1">IFERROR(__xludf.DUMMYFUNCTION("""COMPUTED_VALUE"""),"0.00000000")</f>
        <v>#NAME?</v>
      </c>
      <c r="D723" s="100" t="e">
        <f t="shared" ca="1" si="141"/>
        <v>#NAME?</v>
      </c>
      <c r="E723" s="100" t="e">
        <f t="shared" ca="1" si="141"/>
        <v>#NAME?</v>
      </c>
      <c r="F723" s="100" t="e">
        <f t="shared" ca="1" si="136"/>
        <v>#NAME?</v>
      </c>
      <c r="G723" s="100" t="e">
        <f t="shared" ca="1" si="137"/>
        <v>#NAME?</v>
      </c>
      <c r="H723" s="100" t="e">
        <f t="shared" ca="1" si="138"/>
        <v>#NAME?</v>
      </c>
      <c r="I723" s="100" t="e">
        <f t="shared" ca="1" si="139"/>
        <v>#NAME?</v>
      </c>
      <c r="J723" s="100" t="e">
        <f ca="1">IFERROR(__xludf.DUMMYFUNCTION("""COMPUTED_VALUE"""),"0")</f>
        <v>#NAME?</v>
      </c>
      <c r="K723" s="100" t="e">
        <f t="shared" ca="1" si="140"/>
        <v>#NAME?</v>
      </c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 spans="1:26">
      <c r="A724" s="100" t="e">
        <f ca="1">IFERROR(__xludf.DUMMYFUNCTION("""COMPUTED_VALUE"""),58784059)</f>
        <v>#NAME?</v>
      </c>
      <c r="B724" s="100" t="e">
        <f ca="1">IFERROR(__xludf.DUMMYFUNCTION("""COMPUTED_VALUE"""),"LTOBTC")</f>
        <v>#NAME?</v>
      </c>
      <c r="C724" s="100" t="e">
        <f ca="1">IFERROR(__xludf.DUMMYFUNCTION("""COMPUTED_VALUE"""),"0.00000037")</f>
        <v>#NAME?</v>
      </c>
      <c r="D724" s="100" t="e">
        <f t="shared" ca="1" si="141"/>
        <v>#NAME?</v>
      </c>
      <c r="E724" s="100" t="e">
        <f t="shared" ca="1" si="141"/>
        <v>#NAME?</v>
      </c>
      <c r="F724" s="100" t="e">
        <f t="shared" ca="1" si="136"/>
        <v>#NAME?</v>
      </c>
      <c r="G724" s="100" t="e">
        <f t="shared" ca="1" si="137"/>
        <v>#NAME?</v>
      </c>
      <c r="H724" s="100" t="e">
        <f t="shared" ca="1" si="138"/>
        <v>#NAME?</v>
      </c>
      <c r="I724" s="100" t="e">
        <f t="shared" ca="1" si="139"/>
        <v>#NAME?</v>
      </c>
      <c r="J724" s="100" t="e">
        <f ca="1">IFERROR(__xludf.DUMMYFUNCTION("""COMPUTED_VALUE"""),"-2.632")</f>
        <v>#NAME?</v>
      </c>
      <c r="K724" s="100" t="e">
        <f t="shared" ca="1" si="140"/>
        <v>#NAME?</v>
      </c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 spans="1:26">
      <c r="A725" s="100" t="e">
        <f ca="1">IFERROR(__xludf.DUMMYFUNCTION("""COMPUTED_VALUE"""),58784060)</f>
        <v>#NAME?</v>
      </c>
      <c r="B725" s="100" t="e">
        <f ca="1">IFERROR(__xludf.DUMMYFUNCTION("""COMPUTED_VALUE"""),"LTOUSDT")</f>
        <v>#NAME?</v>
      </c>
      <c r="C725" s="100" t="e">
        <f ca="1">IFERROR(__xludf.DUMMYFUNCTION("""COMPUTED_VALUE"""),"0.03320000")</f>
        <v>#NAME?</v>
      </c>
      <c r="D725" s="100" t="e">
        <f t="shared" ca="1" si="141"/>
        <v>#NAME?</v>
      </c>
      <c r="E725" s="100" t="e">
        <f t="shared" ca="1" si="141"/>
        <v>#NAME?</v>
      </c>
      <c r="F725" s="100" t="e">
        <f t="shared" ca="1" si="136"/>
        <v>#NAME?</v>
      </c>
      <c r="G725" s="100" t="e">
        <f t="shared" ca="1" si="137"/>
        <v>#NAME?</v>
      </c>
      <c r="H725" s="100" t="e">
        <f t="shared" ca="1" si="138"/>
        <v>#NAME?</v>
      </c>
      <c r="I725" s="100" t="e">
        <f t="shared" ca="1" si="139"/>
        <v>#NAME?</v>
      </c>
      <c r="J725" s="100" t="e">
        <f ca="1">IFERROR(__xludf.DUMMYFUNCTION("""COMPUTED_VALUE"""),"-1.484")</f>
        <v>#NAME?</v>
      </c>
      <c r="K725" s="100" t="e">
        <f t="shared" ca="1" si="140"/>
        <v>#NAME?</v>
      </c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 spans="1:26">
      <c r="A726" s="100" t="e">
        <f ca="1">IFERROR(__xludf.DUMMYFUNCTION("""COMPUTED_VALUE"""),58784061)</f>
        <v>#NAME?</v>
      </c>
      <c r="B726" s="100" t="e">
        <f ca="1">IFERROR(__xludf.DUMMYFUNCTION("""COMPUTED_VALUE"""),"ATOMBUSD")</f>
        <v>#NAME?</v>
      </c>
      <c r="C726" s="100" t="e">
        <f ca="1">IFERROR(__xludf.DUMMYFUNCTION("""COMPUTED_VALUE"""),"11.21900000")</f>
        <v>#NAME?</v>
      </c>
      <c r="D726" s="100" t="e">
        <f t="shared" ca="1" si="141"/>
        <v>#NAME?</v>
      </c>
      <c r="E726" s="100" t="e">
        <f t="shared" ca="1" si="141"/>
        <v>#NAME?</v>
      </c>
      <c r="F726" s="100" t="e">
        <f t="shared" ca="1" si="136"/>
        <v>#NAME?</v>
      </c>
      <c r="G726" s="100" t="e">
        <f t="shared" ca="1" si="137"/>
        <v>#NAME?</v>
      </c>
      <c r="H726" s="100" t="e">
        <f t="shared" ca="1" si="138"/>
        <v>#NAME?</v>
      </c>
      <c r="I726" s="100" t="e">
        <f t="shared" ca="1" si="139"/>
        <v>#NAME?</v>
      </c>
      <c r="J726" s="100" t="e">
        <f t="shared" ref="J726:J750" ca="1" si="142">IFERROR(__xludf.DUMMYFUNCTION("""COMPUTED_VALUE"""),"0")</f>
        <v>#NAME?</v>
      </c>
      <c r="K726" s="100" t="e">
        <f t="shared" ca="1" si="140"/>
        <v>#NAME?</v>
      </c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 spans="1:26">
      <c r="A727" s="100" t="e">
        <f ca="1">IFERROR(__xludf.DUMMYFUNCTION("""COMPUTED_VALUE"""),58784062)</f>
        <v>#NAME?</v>
      </c>
      <c r="B727" s="100" t="e">
        <f ca="1">IFERROR(__xludf.DUMMYFUNCTION("""COMPUTED_VALUE"""),"DASHBUSD")</f>
        <v>#NAME?</v>
      </c>
      <c r="C727" s="100" t="e">
        <f ca="1">IFERROR(__xludf.DUMMYFUNCTION("""COMPUTED_VALUE"""),"25.83000000")</f>
        <v>#NAME?</v>
      </c>
      <c r="D727" s="100" t="e">
        <f t="shared" ca="1" si="141"/>
        <v>#NAME?</v>
      </c>
      <c r="E727" s="100" t="e">
        <f t="shared" ca="1" si="141"/>
        <v>#NAME?</v>
      </c>
      <c r="F727" s="100" t="e">
        <f t="shared" ca="1" si="136"/>
        <v>#NAME?</v>
      </c>
      <c r="G727" s="100" t="e">
        <f t="shared" ca="1" si="137"/>
        <v>#NAME?</v>
      </c>
      <c r="H727" s="100" t="e">
        <f t="shared" ca="1" si="138"/>
        <v>#NAME?</v>
      </c>
      <c r="I727" s="100" t="e">
        <f t="shared" ca="1" si="139"/>
        <v>#NAME?</v>
      </c>
      <c r="J727" s="100" t="e">
        <f t="shared" ca="1" si="142"/>
        <v>#NAME?</v>
      </c>
      <c r="K727" s="100" t="e">
        <f t="shared" ca="1" si="140"/>
        <v>#NAME?</v>
      </c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 spans="1:26">
      <c r="A728" s="100" t="e">
        <f ca="1">IFERROR(__xludf.DUMMYFUNCTION("""COMPUTED_VALUE"""),58784063)</f>
        <v>#NAME?</v>
      </c>
      <c r="B728" s="100" t="e">
        <f ca="1">IFERROR(__xludf.DUMMYFUNCTION("""COMPUTED_VALUE"""),"NEOBUSD")</f>
        <v>#NAME?</v>
      </c>
      <c r="C728" s="100" t="e">
        <f ca="1">IFERROR(__xludf.DUMMYFUNCTION("""COMPUTED_VALUE"""),"6.73000000")</f>
        <v>#NAME?</v>
      </c>
      <c r="D728" s="100" t="e">
        <f t="shared" ca="1" si="141"/>
        <v>#NAME?</v>
      </c>
      <c r="E728" s="100" t="e">
        <f t="shared" ca="1" si="141"/>
        <v>#NAME?</v>
      </c>
      <c r="F728" s="100" t="e">
        <f t="shared" ca="1" si="136"/>
        <v>#NAME?</v>
      </c>
      <c r="G728" s="100" t="e">
        <f t="shared" ca="1" si="137"/>
        <v>#NAME?</v>
      </c>
      <c r="H728" s="100" t="e">
        <f t="shared" ca="1" si="138"/>
        <v>#NAME?</v>
      </c>
      <c r="I728" s="100" t="e">
        <f t="shared" ca="1" si="139"/>
        <v>#NAME?</v>
      </c>
      <c r="J728" s="100" t="e">
        <f t="shared" ca="1" si="142"/>
        <v>#NAME?</v>
      </c>
      <c r="K728" s="100" t="e">
        <f t="shared" ca="1" si="140"/>
        <v>#NAME?</v>
      </c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 spans="1:26">
      <c r="A729" s="100" t="e">
        <f ca="1">IFERROR(__xludf.DUMMYFUNCTION("""COMPUTED_VALUE"""),58784064)</f>
        <v>#NAME?</v>
      </c>
      <c r="B729" s="100" t="e">
        <f ca="1">IFERROR(__xludf.DUMMYFUNCTION("""COMPUTED_VALUE"""),"WAVESBUSD")</f>
        <v>#NAME?</v>
      </c>
      <c r="C729" s="100" t="e">
        <f ca="1">IFERROR(__xludf.DUMMYFUNCTION("""COMPUTED_VALUE"""),"2.21600000")</f>
        <v>#NAME?</v>
      </c>
      <c r="D729" s="100" t="e">
        <f t="shared" ca="1" si="141"/>
        <v>#NAME?</v>
      </c>
      <c r="E729" s="100" t="e">
        <f t="shared" ca="1" si="141"/>
        <v>#NAME?</v>
      </c>
      <c r="F729" s="100" t="e">
        <f t="shared" ca="1" si="136"/>
        <v>#NAME?</v>
      </c>
      <c r="G729" s="100" t="e">
        <f t="shared" ca="1" si="137"/>
        <v>#NAME?</v>
      </c>
      <c r="H729" s="100" t="e">
        <f t="shared" ca="1" si="138"/>
        <v>#NAME?</v>
      </c>
      <c r="I729" s="100" t="e">
        <f t="shared" ca="1" si="139"/>
        <v>#NAME?</v>
      </c>
      <c r="J729" s="100" t="e">
        <f t="shared" ca="1" si="142"/>
        <v>#NAME?</v>
      </c>
      <c r="K729" s="100" t="e">
        <f t="shared" ca="1" si="140"/>
        <v>#NAME?</v>
      </c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 spans="1:26">
      <c r="A730" s="100" t="e">
        <f ca="1">IFERROR(__xludf.DUMMYFUNCTION("""COMPUTED_VALUE"""),58784065)</f>
        <v>#NAME?</v>
      </c>
      <c r="B730" s="100" t="e">
        <f ca="1">IFERROR(__xludf.DUMMYFUNCTION("""COMPUTED_VALUE"""),"XTZBUSD")</f>
        <v>#NAME?</v>
      </c>
      <c r="C730" s="100" t="e">
        <f ca="1">IFERROR(__xludf.DUMMYFUNCTION("""COMPUTED_VALUE"""),"0.67100000")</f>
        <v>#NAME?</v>
      </c>
      <c r="D730" s="100" t="e">
        <f t="shared" ca="1" si="141"/>
        <v>#NAME?</v>
      </c>
      <c r="E730" s="100" t="e">
        <f t="shared" ca="1" si="141"/>
        <v>#NAME?</v>
      </c>
      <c r="F730" s="100" t="e">
        <f t="shared" ca="1" si="136"/>
        <v>#NAME?</v>
      </c>
      <c r="G730" s="100" t="e">
        <f t="shared" ca="1" si="137"/>
        <v>#NAME?</v>
      </c>
      <c r="H730" s="100" t="e">
        <f t="shared" ca="1" si="138"/>
        <v>#NAME?</v>
      </c>
      <c r="I730" s="100" t="e">
        <f t="shared" ca="1" si="139"/>
        <v>#NAME?</v>
      </c>
      <c r="J730" s="100" t="e">
        <f t="shared" ca="1" si="142"/>
        <v>#NAME?</v>
      </c>
      <c r="K730" s="100" t="e">
        <f t="shared" ca="1" si="140"/>
        <v>#NAME?</v>
      </c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 spans="1:26">
      <c r="A731" s="100" t="e">
        <f ca="1">IFERROR(__xludf.DUMMYFUNCTION("""COMPUTED_VALUE"""),58784066)</f>
        <v>#NAME?</v>
      </c>
      <c r="B731" s="100" t="e">
        <f ca="1">IFERROR(__xludf.DUMMYFUNCTION("""COMPUTED_VALUE"""),"EOSBULLUSDT")</f>
        <v>#NAME?</v>
      </c>
      <c r="C731" s="100" t="e">
        <f t="shared" ref="C731:C738" ca="1" si="143">IFERROR(__xludf.DUMMYFUNCTION("""COMPUTED_VALUE"""),"0.00000000")</f>
        <v>#NAME?</v>
      </c>
      <c r="D731" s="100" t="e">
        <f t="shared" ca="1" si="141"/>
        <v>#NAME?</v>
      </c>
      <c r="E731" s="100" t="e">
        <f t="shared" ca="1" si="141"/>
        <v>#NAME?</v>
      </c>
      <c r="F731" s="100" t="e">
        <f t="shared" ca="1" si="136"/>
        <v>#NAME?</v>
      </c>
      <c r="G731" s="100" t="e">
        <f t="shared" ca="1" si="137"/>
        <v>#NAME?</v>
      </c>
      <c r="H731" s="100" t="e">
        <f t="shared" ca="1" si="138"/>
        <v>#NAME?</v>
      </c>
      <c r="I731" s="100" t="e">
        <f t="shared" ca="1" si="139"/>
        <v>#NAME?</v>
      </c>
      <c r="J731" s="100" t="e">
        <f t="shared" ca="1" si="142"/>
        <v>#NAME?</v>
      </c>
      <c r="K731" s="100" t="e">
        <f t="shared" ca="1" si="140"/>
        <v>#NAME?</v>
      </c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 spans="1:26">
      <c r="A732" s="100" t="e">
        <f ca="1">IFERROR(__xludf.DUMMYFUNCTION("""COMPUTED_VALUE"""),58784067)</f>
        <v>#NAME?</v>
      </c>
      <c r="B732" s="100" t="e">
        <f ca="1">IFERROR(__xludf.DUMMYFUNCTION("""COMPUTED_VALUE"""),"EOSBULLBUSD")</f>
        <v>#NAME?</v>
      </c>
      <c r="C732" s="100" t="e">
        <f t="shared" ca="1" si="143"/>
        <v>#NAME?</v>
      </c>
      <c r="D732" s="100" t="e">
        <f t="shared" ca="1" si="141"/>
        <v>#NAME?</v>
      </c>
      <c r="E732" s="100" t="e">
        <f t="shared" ca="1" si="141"/>
        <v>#NAME?</v>
      </c>
      <c r="F732" s="100" t="e">
        <f t="shared" ca="1" si="136"/>
        <v>#NAME?</v>
      </c>
      <c r="G732" s="100" t="e">
        <f t="shared" ca="1" si="137"/>
        <v>#NAME?</v>
      </c>
      <c r="H732" s="100" t="e">
        <f t="shared" ca="1" si="138"/>
        <v>#NAME?</v>
      </c>
      <c r="I732" s="100" t="e">
        <f t="shared" ca="1" si="139"/>
        <v>#NAME?</v>
      </c>
      <c r="J732" s="100" t="e">
        <f t="shared" ca="1" si="142"/>
        <v>#NAME?</v>
      </c>
      <c r="K732" s="100" t="e">
        <f t="shared" ca="1" si="140"/>
        <v>#NAME?</v>
      </c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 spans="1:26">
      <c r="A733" s="100" t="e">
        <f ca="1">IFERROR(__xludf.DUMMYFUNCTION("""COMPUTED_VALUE"""),58784068)</f>
        <v>#NAME?</v>
      </c>
      <c r="B733" s="100" t="e">
        <f ca="1">IFERROR(__xludf.DUMMYFUNCTION("""COMPUTED_VALUE"""),"EOSBEARUSDT")</f>
        <v>#NAME?</v>
      </c>
      <c r="C733" s="100" t="e">
        <f t="shared" ca="1" si="143"/>
        <v>#NAME?</v>
      </c>
      <c r="D733" s="100" t="e">
        <f t="shared" ca="1" si="141"/>
        <v>#NAME?</v>
      </c>
      <c r="E733" s="100" t="e">
        <f t="shared" ca="1" si="141"/>
        <v>#NAME?</v>
      </c>
      <c r="F733" s="100" t="e">
        <f t="shared" ca="1" si="136"/>
        <v>#NAME?</v>
      </c>
      <c r="G733" s="100" t="e">
        <f t="shared" ca="1" si="137"/>
        <v>#NAME?</v>
      </c>
      <c r="H733" s="100" t="e">
        <f t="shared" ca="1" si="138"/>
        <v>#NAME?</v>
      </c>
      <c r="I733" s="100" t="e">
        <f t="shared" ca="1" si="139"/>
        <v>#NAME?</v>
      </c>
      <c r="J733" s="100" t="e">
        <f t="shared" ca="1" si="142"/>
        <v>#NAME?</v>
      </c>
      <c r="K733" s="100" t="e">
        <f t="shared" ca="1" si="140"/>
        <v>#NAME?</v>
      </c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 spans="1:26">
      <c r="A734" s="100" t="e">
        <f ca="1">IFERROR(__xludf.DUMMYFUNCTION("""COMPUTED_VALUE"""),58784069)</f>
        <v>#NAME?</v>
      </c>
      <c r="B734" s="100" t="e">
        <f ca="1">IFERROR(__xludf.DUMMYFUNCTION("""COMPUTED_VALUE"""),"EOSBEARBUSD")</f>
        <v>#NAME?</v>
      </c>
      <c r="C734" s="100" t="e">
        <f t="shared" ca="1" si="143"/>
        <v>#NAME?</v>
      </c>
      <c r="D734" s="100" t="e">
        <f t="shared" ca="1" si="141"/>
        <v>#NAME?</v>
      </c>
      <c r="E734" s="100" t="e">
        <f t="shared" ca="1" si="141"/>
        <v>#NAME?</v>
      </c>
      <c r="F734" s="100" t="e">
        <f t="shared" ca="1" si="136"/>
        <v>#NAME?</v>
      </c>
      <c r="G734" s="100" t="e">
        <f t="shared" ca="1" si="137"/>
        <v>#NAME?</v>
      </c>
      <c r="H734" s="100" t="e">
        <f t="shared" ca="1" si="138"/>
        <v>#NAME?</v>
      </c>
      <c r="I734" s="100" t="e">
        <f t="shared" ca="1" si="139"/>
        <v>#NAME?</v>
      </c>
      <c r="J734" s="100" t="e">
        <f t="shared" ca="1" si="142"/>
        <v>#NAME?</v>
      </c>
      <c r="K734" s="100" t="e">
        <f t="shared" ca="1" si="140"/>
        <v>#NAME?</v>
      </c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 spans="1:26">
      <c r="A735" s="100" t="e">
        <f ca="1">IFERROR(__xludf.DUMMYFUNCTION("""COMPUTED_VALUE"""),58784070)</f>
        <v>#NAME?</v>
      </c>
      <c r="B735" s="100" t="e">
        <f ca="1">IFERROR(__xludf.DUMMYFUNCTION("""COMPUTED_VALUE"""),"XRPBULLUSDT")</f>
        <v>#NAME?</v>
      </c>
      <c r="C735" s="100" t="e">
        <f t="shared" ca="1" si="143"/>
        <v>#NAME?</v>
      </c>
      <c r="D735" s="100" t="e">
        <f t="shared" ca="1" si="141"/>
        <v>#NAME?</v>
      </c>
      <c r="E735" s="100" t="e">
        <f t="shared" ca="1" si="141"/>
        <v>#NAME?</v>
      </c>
      <c r="F735" s="100" t="e">
        <f t="shared" ca="1" si="136"/>
        <v>#NAME?</v>
      </c>
      <c r="G735" s="100" t="e">
        <f t="shared" ca="1" si="137"/>
        <v>#NAME?</v>
      </c>
      <c r="H735" s="100" t="e">
        <f t="shared" ca="1" si="138"/>
        <v>#NAME?</v>
      </c>
      <c r="I735" s="100" t="e">
        <f t="shared" ca="1" si="139"/>
        <v>#NAME?</v>
      </c>
      <c r="J735" s="100" t="e">
        <f t="shared" ca="1" si="142"/>
        <v>#NAME?</v>
      </c>
      <c r="K735" s="100" t="e">
        <f t="shared" ca="1" si="140"/>
        <v>#NAME?</v>
      </c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 spans="1:26">
      <c r="A736" s="100" t="e">
        <f ca="1">IFERROR(__xludf.DUMMYFUNCTION("""COMPUTED_VALUE"""),58784071)</f>
        <v>#NAME?</v>
      </c>
      <c r="B736" s="100" t="e">
        <f ca="1">IFERROR(__xludf.DUMMYFUNCTION("""COMPUTED_VALUE"""),"XRPBULLBUSD")</f>
        <v>#NAME?</v>
      </c>
      <c r="C736" s="100" t="e">
        <f t="shared" ca="1" si="143"/>
        <v>#NAME?</v>
      </c>
      <c r="D736" s="100" t="e">
        <f t="shared" ca="1" si="141"/>
        <v>#NAME?</v>
      </c>
      <c r="E736" s="100" t="e">
        <f t="shared" ca="1" si="141"/>
        <v>#NAME?</v>
      </c>
      <c r="F736" s="100" t="e">
        <f t="shared" ca="1" si="136"/>
        <v>#NAME?</v>
      </c>
      <c r="G736" s="100" t="e">
        <f t="shared" ca="1" si="137"/>
        <v>#NAME?</v>
      </c>
      <c r="H736" s="100" t="e">
        <f t="shared" ca="1" si="138"/>
        <v>#NAME?</v>
      </c>
      <c r="I736" s="100" t="e">
        <f t="shared" ca="1" si="139"/>
        <v>#NAME?</v>
      </c>
      <c r="J736" s="100" t="e">
        <f t="shared" ca="1" si="142"/>
        <v>#NAME?</v>
      </c>
      <c r="K736" s="100" t="e">
        <f t="shared" ca="1" si="140"/>
        <v>#NAME?</v>
      </c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 spans="1:26">
      <c r="A737" s="100" t="e">
        <f ca="1">IFERROR(__xludf.DUMMYFUNCTION("""COMPUTED_VALUE"""),58784072)</f>
        <v>#NAME?</v>
      </c>
      <c r="B737" s="100" t="e">
        <f ca="1">IFERROR(__xludf.DUMMYFUNCTION("""COMPUTED_VALUE"""),"XRPBEARUSDT")</f>
        <v>#NAME?</v>
      </c>
      <c r="C737" s="100" t="e">
        <f t="shared" ca="1" si="143"/>
        <v>#NAME?</v>
      </c>
      <c r="D737" s="100" t="e">
        <f t="shared" ca="1" si="141"/>
        <v>#NAME?</v>
      </c>
      <c r="E737" s="100" t="e">
        <f t="shared" ca="1" si="141"/>
        <v>#NAME?</v>
      </c>
      <c r="F737" s="100" t="e">
        <f t="shared" ca="1" si="136"/>
        <v>#NAME?</v>
      </c>
      <c r="G737" s="100" t="e">
        <f t="shared" ca="1" si="137"/>
        <v>#NAME?</v>
      </c>
      <c r="H737" s="100" t="e">
        <f t="shared" ca="1" si="138"/>
        <v>#NAME?</v>
      </c>
      <c r="I737" s="100" t="e">
        <f t="shared" ca="1" si="139"/>
        <v>#NAME?</v>
      </c>
      <c r="J737" s="100" t="e">
        <f t="shared" ca="1" si="142"/>
        <v>#NAME?</v>
      </c>
      <c r="K737" s="100" t="e">
        <f t="shared" ca="1" si="140"/>
        <v>#NAME?</v>
      </c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 spans="1:26">
      <c r="A738" s="100" t="e">
        <f ca="1">IFERROR(__xludf.DUMMYFUNCTION("""COMPUTED_VALUE"""),58784073)</f>
        <v>#NAME?</v>
      </c>
      <c r="B738" s="100" t="e">
        <f ca="1">IFERROR(__xludf.DUMMYFUNCTION("""COMPUTED_VALUE"""),"XRPBEARBUSD")</f>
        <v>#NAME?</v>
      </c>
      <c r="C738" s="100" t="e">
        <f t="shared" ca="1" si="143"/>
        <v>#NAME?</v>
      </c>
      <c r="D738" s="100" t="e">
        <f t="shared" ca="1" si="141"/>
        <v>#NAME?</v>
      </c>
      <c r="E738" s="100" t="e">
        <f t="shared" ca="1" si="141"/>
        <v>#NAME?</v>
      </c>
      <c r="F738" s="100" t="e">
        <f t="shared" ca="1" si="136"/>
        <v>#NAME?</v>
      </c>
      <c r="G738" s="100" t="e">
        <f t="shared" ca="1" si="137"/>
        <v>#NAME?</v>
      </c>
      <c r="H738" s="100" t="e">
        <f t="shared" ca="1" si="138"/>
        <v>#NAME?</v>
      </c>
      <c r="I738" s="100" t="e">
        <f t="shared" ca="1" si="139"/>
        <v>#NAME?</v>
      </c>
      <c r="J738" s="100" t="e">
        <f t="shared" ca="1" si="142"/>
        <v>#NAME?</v>
      </c>
      <c r="K738" s="100" t="e">
        <f t="shared" ca="1" si="140"/>
        <v>#NAME?</v>
      </c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 spans="1:26">
      <c r="A739" s="100" t="e">
        <f ca="1">IFERROR(__xludf.DUMMYFUNCTION("""COMPUTED_VALUE"""),58784074)</f>
        <v>#NAME?</v>
      </c>
      <c r="B739" s="100" t="e">
        <f ca="1">IFERROR(__xludf.DUMMYFUNCTION("""COMPUTED_VALUE"""),"BATBUSD")</f>
        <v>#NAME?</v>
      </c>
      <c r="C739" s="100" t="e">
        <f ca="1">IFERROR(__xludf.DUMMYFUNCTION("""COMPUTED_VALUE"""),"0.17090000")</f>
        <v>#NAME?</v>
      </c>
      <c r="D739" s="100" t="e">
        <f t="shared" ca="1" si="141"/>
        <v>#NAME?</v>
      </c>
      <c r="E739" s="100" t="e">
        <f t="shared" ca="1" si="141"/>
        <v>#NAME?</v>
      </c>
      <c r="F739" s="100" t="e">
        <f t="shared" ca="1" si="136"/>
        <v>#NAME?</v>
      </c>
      <c r="G739" s="100" t="e">
        <f t="shared" ca="1" si="137"/>
        <v>#NAME?</v>
      </c>
      <c r="H739" s="100" t="e">
        <f t="shared" ca="1" si="138"/>
        <v>#NAME?</v>
      </c>
      <c r="I739" s="100" t="e">
        <f t="shared" ca="1" si="139"/>
        <v>#NAME?</v>
      </c>
      <c r="J739" s="100" t="e">
        <f t="shared" ca="1" si="142"/>
        <v>#NAME?</v>
      </c>
      <c r="K739" s="100" t="e">
        <f t="shared" ca="1" si="140"/>
        <v>#NAME?</v>
      </c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 spans="1:26">
      <c r="A740" s="100" t="e">
        <f ca="1">IFERROR(__xludf.DUMMYFUNCTION("""COMPUTED_VALUE"""),58784075)</f>
        <v>#NAME?</v>
      </c>
      <c r="B740" s="100" t="e">
        <f ca="1">IFERROR(__xludf.DUMMYFUNCTION("""COMPUTED_VALUE"""),"ENJBUSD")</f>
        <v>#NAME?</v>
      </c>
      <c r="C740" s="100" t="e">
        <f ca="1">IFERROR(__xludf.DUMMYFUNCTION("""COMPUTED_VALUE"""),"0.26070000")</f>
        <v>#NAME?</v>
      </c>
      <c r="D740" s="100" t="e">
        <f t="shared" ca="1" si="141"/>
        <v>#NAME?</v>
      </c>
      <c r="E740" s="100" t="e">
        <f t="shared" ca="1" si="141"/>
        <v>#NAME?</v>
      </c>
      <c r="F740" s="100" t="e">
        <f t="shared" ca="1" si="136"/>
        <v>#NAME?</v>
      </c>
      <c r="G740" s="100" t="e">
        <f t="shared" ca="1" si="137"/>
        <v>#NAME?</v>
      </c>
      <c r="H740" s="100" t="e">
        <f t="shared" ca="1" si="138"/>
        <v>#NAME?</v>
      </c>
      <c r="I740" s="100" t="e">
        <f t="shared" ca="1" si="139"/>
        <v>#NAME?</v>
      </c>
      <c r="J740" s="100" t="e">
        <f t="shared" ca="1" si="142"/>
        <v>#NAME?</v>
      </c>
      <c r="K740" s="100" t="e">
        <f t="shared" ca="1" si="140"/>
        <v>#NAME?</v>
      </c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 spans="1:26">
      <c r="A741" s="100" t="e">
        <f ca="1">IFERROR(__xludf.DUMMYFUNCTION("""COMPUTED_VALUE"""),58784076)</f>
        <v>#NAME?</v>
      </c>
      <c r="B741" s="100" t="e">
        <f ca="1">IFERROR(__xludf.DUMMYFUNCTION("""COMPUTED_VALUE"""),"NANOBUSD")</f>
        <v>#NAME?</v>
      </c>
      <c r="C741" s="100" t="e">
        <f ca="1">IFERROR(__xludf.DUMMYFUNCTION("""COMPUTED_VALUE"""),"0.00000000")</f>
        <v>#NAME?</v>
      </c>
      <c r="D741" s="100" t="e">
        <f t="shared" ca="1" si="141"/>
        <v>#NAME?</v>
      </c>
      <c r="E741" s="100" t="e">
        <f t="shared" ca="1" si="141"/>
        <v>#NAME?</v>
      </c>
      <c r="F741" s="100" t="e">
        <f t="shared" ca="1" si="136"/>
        <v>#NAME?</v>
      </c>
      <c r="G741" s="100" t="e">
        <f t="shared" ca="1" si="137"/>
        <v>#NAME?</v>
      </c>
      <c r="H741" s="100" t="e">
        <f t="shared" ca="1" si="138"/>
        <v>#NAME?</v>
      </c>
      <c r="I741" s="100" t="e">
        <f t="shared" ca="1" si="139"/>
        <v>#NAME?</v>
      </c>
      <c r="J741" s="100" t="e">
        <f t="shared" ca="1" si="142"/>
        <v>#NAME?</v>
      </c>
      <c r="K741" s="100" t="e">
        <f t="shared" ca="1" si="140"/>
        <v>#NAME?</v>
      </c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 spans="1:26">
      <c r="A742" s="100" t="e">
        <f ca="1">IFERROR(__xludf.DUMMYFUNCTION("""COMPUTED_VALUE"""),58784077)</f>
        <v>#NAME?</v>
      </c>
      <c r="B742" s="100" t="e">
        <f ca="1">IFERROR(__xludf.DUMMYFUNCTION("""COMPUTED_VALUE"""),"ONTBUSD")</f>
        <v>#NAME?</v>
      </c>
      <c r="C742" s="100" t="e">
        <f ca="1">IFERROR(__xludf.DUMMYFUNCTION("""COMPUTED_VALUE"""),"0.15740000")</f>
        <v>#NAME?</v>
      </c>
      <c r="D742" s="100" t="e">
        <f t="shared" ref="D742:E761" ca="1" si="144">IFERROR(__xludf.DUMMYFUNCTION("""COMPUTED_VALUE"""),"-")</f>
        <v>#NAME?</v>
      </c>
      <c r="E742" s="100" t="e">
        <f t="shared" ca="1" si="144"/>
        <v>#NAME?</v>
      </c>
      <c r="F742" s="100" t="e">
        <f t="shared" ca="1" si="136"/>
        <v>#NAME?</v>
      </c>
      <c r="G742" s="100" t="e">
        <f t="shared" ca="1" si="137"/>
        <v>#NAME?</v>
      </c>
      <c r="H742" s="100" t="e">
        <f t="shared" ca="1" si="138"/>
        <v>#NAME?</v>
      </c>
      <c r="I742" s="100" t="e">
        <f t="shared" ca="1" si="139"/>
        <v>#NAME?</v>
      </c>
      <c r="J742" s="100" t="e">
        <f t="shared" ca="1" si="142"/>
        <v>#NAME?</v>
      </c>
      <c r="K742" s="100" t="e">
        <f t="shared" ca="1" si="140"/>
        <v>#NAME?</v>
      </c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 spans="1:26">
      <c r="A743" s="100" t="e">
        <f ca="1">IFERROR(__xludf.DUMMYFUNCTION("""COMPUTED_VALUE"""),58784078)</f>
        <v>#NAME?</v>
      </c>
      <c r="B743" s="100" t="e">
        <f ca="1">IFERROR(__xludf.DUMMYFUNCTION("""COMPUTED_VALUE"""),"RVNBUSD")</f>
        <v>#NAME?</v>
      </c>
      <c r="C743" s="100" t="e">
        <f ca="1">IFERROR(__xludf.DUMMYFUNCTION("""COMPUTED_VALUE"""),"0.01525000")</f>
        <v>#NAME?</v>
      </c>
      <c r="D743" s="100" t="e">
        <f t="shared" ca="1" si="144"/>
        <v>#NAME?</v>
      </c>
      <c r="E743" s="100" t="e">
        <f t="shared" ca="1" si="144"/>
        <v>#NAME?</v>
      </c>
      <c r="F743" s="100" t="e">
        <f t="shared" ca="1" si="136"/>
        <v>#NAME?</v>
      </c>
      <c r="G743" s="100" t="e">
        <f t="shared" ca="1" si="137"/>
        <v>#NAME?</v>
      </c>
      <c r="H743" s="100" t="e">
        <f t="shared" ca="1" si="138"/>
        <v>#NAME?</v>
      </c>
      <c r="I743" s="100" t="e">
        <f t="shared" ca="1" si="139"/>
        <v>#NAME?</v>
      </c>
      <c r="J743" s="100" t="e">
        <f t="shared" ca="1" si="142"/>
        <v>#NAME?</v>
      </c>
      <c r="K743" s="100" t="e">
        <f t="shared" ca="1" si="140"/>
        <v>#NAME?</v>
      </c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 spans="1:26">
      <c r="A744" s="100" t="e">
        <f ca="1">IFERROR(__xludf.DUMMYFUNCTION("""COMPUTED_VALUE"""),58784079)</f>
        <v>#NAME?</v>
      </c>
      <c r="B744" s="100" t="e">
        <f ca="1">IFERROR(__xludf.DUMMYFUNCTION("""COMPUTED_VALUE"""),"STRATBUSD")</f>
        <v>#NAME?</v>
      </c>
      <c r="C744" s="100" t="e">
        <f ca="1">IFERROR(__xludf.DUMMYFUNCTION("""COMPUTED_VALUE"""),"0.00000000")</f>
        <v>#NAME?</v>
      </c>
      <c r="D744" s="100" t="e">
        <f t="shared" ca="1" si="144"/>
        <v>#NAME?</v>
      </c>
      <c r="E744" s="100" t="e">
        <f t="shared" ca="1" si="144"/>
        <v>#NAME?</v>
      </c>
      <c r="F744" s="100" t="e">
        <f t="shared" ca="1" si="136"/>
        <v>#NAME?</v>
      </c>
      <c r="G744" s="100" t="e">
        <f t="shared" ca="1" si="137"/>
        <v>#NAME?</v>
      </c>
      <c r="H744" s="100" t="e">
        <f t="shared" ca="1" si="138"/>
        <v>#NAME?</v>
      </c>
      <c r="I744" s="100" t="e">
        <f t="shared" ca="1" si="139"/>
        <v>#NAME?</v>
      </c>
      <c r="J744" s="100" t="e">
        <f t="shared" ca="1" si="142"/>
        <v>#NAME?</v>
      </c>
      <c r="K744" s="100" t="e">
        <f t="shared" ca="1" si="140"/>
        <v>#NAME?</v>
      </c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 spans="1:26">
      <c r="A745" s="100" t="e">
        <f ca="1">IFERROR(__xludf.DUMMYFUNCTION("""COMPUTED_VALUE"""),58784080)</f>
        <v>#NAME?</v>
      </c>
      <c r="B745" s="100" t="e">
        <f ca="1">IFERROR(__xludf.DUMMYFUNCTION("""COMPUTED_VALUE"""),"STRATBNB")</f>
        <v>#NAME?</v>
      </c>
      <c r="C745" s="100" t="e">
        <f ca="1">IFERROR(__xludf.DUMMYFUNCTION("""COMPUTED_VALUE"""),"0.00000000")</f>
        <v>#NAME?</v>
      </c>
      <c r="D745" s="100" t="e">
        <f t="shared" ca="1" si="144"/>
        <v>#NAME?</v>
      </c>
      <c r="E745" s="100" t="e">
        <f t="shared" ca="1" si="144"/>
        <v>#NAME?</v>
      </c>
      <c r="F745" s="100" t="e">
        <f t="shared" ca="1" si="136"/>
        <v>#NAME?</v>
      </c>
      <c r="G745" s="100" t="e">
        <f t="shared" ca="1" si="137"/>
        <v>#NAME?</v>
      </c>
      <c r="H745" s="100" t="e">
        <f t="shared" ca="1" si="138"/>
        <v>#NAME?</v>
      </c>
      <c r="I745" s="100" t="e">
        <f t="shared" ca="1" si="139"/>
        <v>#NAME?</v>
      </c>
      <c r="J745" s="100" t="e">
        <f t="shared" ca="1" si="142"/>
        <v>#NAME?</v>
      </c>
      <c r="K745" s="100" t="e">
        <f t="shared" ca="1" si="140"/>
        <v>#NAME?</v>
      </c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 spans="1:26">
      <c r="A746" s="100" t="e">
        <f ca="1">IFERROR(__xludf.DUMMYFUNCTION("""COMPUTED_VALUE"""),58784081)</f>
        <v>#NAME?</v>
      </c>
      <c r="B746" s="100" t="e">
        <f ca="1">IFERROR(__xludf.DUMMYFUNCTION("""COMPUTED_VALUE"""),"STRATUSDT")</f>
        <v>#NAME?</v>
      </c>
      <c r="C746" s="100" t="e">
        <f ca="1">IFERROR(__xludf.DUMMYFUNCTION("""COMPUTED_VALUE"""),"0.00000000")</f>
        <v>#NAME?</v>
      </c>
      <c r="D746" s="100" t="e">
        <f t="shared" ca="1" si="144"/>
        <v>#NAME?</v>
      </c>
      <c r="E746" s="100" t="e">
        <f t="shared" ca="1" si="144"/>
        <v>#NAME?</v>
      </c>
      <c r="F746" s="100" t="e">
        <f t="shared" ca="1" si="136"/>
        <v>#NAME?</v>
      </c>
      <c r="G746" s="100" t="e">
        <f t="shared" ca="1" si="137"/>
        <v>#NAME?</v>
      </c>
      <c r="H746" s="100" t="e">
        <f t="shared" ca="1" si="138"/>
        <v>#NAME?</v>
      </c>
      <c r="I746" s="100" t="e">
        <f t="shared" ca="1" si="139"/>
        <v>#NAME?</v>
      </c>
      <c r="J746" s="100" t="e">
        <f t="shared" ca="1" si="142"/>
        <v>#NAME?</v>
      </c>
      <c r="K746" s="100" t="e">
        <f t="shared" ca="1" si="140"/>
        <v>#NAME?</v>
      </c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 spans="1:26">
      <c r="A747" s="100" t="e">
        <f ca="1">IFERROR(__xludf.DUMMYFUNCTION("""COMPUTED_VALUE"""),58784082)</f>
        <v>#NAME?</v>
      </c>
      <c r="B747" s="100" t="e">
        <f ca="1">IFERROR(__xludf.DUMMYFUNCTION("""COMPUTED_VALUE"""),"AIONBUSD")</f>
        <v>#NAME?</v>
      </c>
      <c r="C747" s="100" t="e">
        <f ca="1">IFERROR(__xludf.DUMMYFUNCTION("""COMPUTED_VALUE"""),"0.00000000")</f>
        <v>#NAME?</v>
      </c>
      <c r="D747" s="100" t="e">
        <f t="shared" ca="1" si="144"/>
        <v>#NAME?</v>
      </c>
      <c r="E747" s="100" t="e">
        <f t="shared" ca="1" si="144"/>
        <v>#NAME?</v>
      </c>
      <c r="F747" s="100" t="e">
        <f t="shared" ca="1" si="136"/>
        <v>#NAME?</v>
      </c>
      <c r="G747" s="100" t="e">
        <f t="shared" ca="1" si="137"/>
        <v>#NAME?</v>
      </c>
      <c r="H747" s="100" t="e">
        <f t="shared" ca="1" si="138"/>
        <v>#NAME?</v>
      </c>
      <c r="I747" s="100" t="e">
        <f t="shared" ca="1" si="139"/>
        <v>#NAME?</v>
      </c>
      <c r="J747" s="100" t="e">
        <f t="shared" ca="1" si="142"/>
        <v>#NAME?</v>
      </c>
      <c r="K747" s="100" t="e">
        <f t="shared" ca="1" si="140"/>
        <v>#NAME?</v>
      </c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 spans="1:26">
      <c r="A748" s="100" t="e">
        <f ca="1">IFERROR(__xludf.DUMMYFUNCTION("""COMPUTED_VALUE"""),58784083)</f>
        <v>#NAME?</v>
      </c>
      <c r="B748" s="100" t="e">
        <f ca="1">IFERROR(__xludf.DUMMYFUNCTION("""COMPUTED_VALUE"""),"AIONUSDT")</f>
        <v>#NAME?</v>
      </c>
      <c r="C748" s="100" t="e">
        <f ca="1">IFERROR(__xludf.DUMMYFUNCTION("""COMPUTED_VALUE"""),"0.00943000")</f>
        <v>#NAME?</v>
      </c>
      <c r="D748" s="100" t="e">
        <f t="shared" ca="1" si="144"/>
        <v>#NAME?</v>
      </c>
      <c r="E748" s="100" t="e">
        <f t="shared" ca="1" si="144"/>
        <v>#NAME?</v>
      </c>
      <c r="F748" s="100" t="e">
        <f t="shared" ca="1" si="136"/>
        <v>#NAME?</v>
      </c>
      <c r="G748" s="100" t="e">
        <f t="shared" ca="1" si="137"/>
        <v>#NAME?</v>
      </c>
      <c r="H748" s="100" t="e">
        <f t="shared" ca="1" si="138"/>
        <v>#NAME?</v>
      </c>
      <c r="I748" s="100" t="e">
        <f t="shared" ca="1" si="139"/>
        <v>#NAME?</v>
      </c>
      <c r="J748" s="100" t="e">
        <f t="shared" ca="1" si="142"/>
        <v>#NAME?</v>
      </c>
      <c r="K748" s="100" t="e">
        <f t="shared" ca="1" si="140"/>
        <v>#NAME?</v>
      </c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 spans="1:26">
      <c r="A749" s="100" t="e">
        <f ca="1">IFERROR(__xludf.DUMMYFUNCTION("""COMPUTED_VALUE"""),58784084)</f>
        <v>#NAME?</v>
      </c>
      <c r="B749" s="100" t="e">
        <f ca="1">IFERROR(__xludf.DUMMYFUNCTION("""COMPUTED_VALUE"""),"MBLBNB")</f>
        <v>#NAME?</v>
      </c>
      <c r="C749" s="100" t="e">
        <f ca="1">IFERROR(__xludf.DUMMYFUNCTION("""COMPUTED_VALUE"""),"0.00000000")</f>
        <v>#NAME?</v>
      </c>
      <c r="D749" s="100" t="e">
        <f t="shared" ca="1" si="144"/>
        <v>#NAME?</v>
      </c>
      <c r="E749" s="100" t="e">
        <f t="shared" ca="1" si="144"/>
        <v>#NAME?</v>
      </c>
      <c r="F749" s="100" t="e">
        <f t="shared" ca="1" si="136"/>
        <v>#NAME?</v>
      </c>
      <c r="G749" s="100" t="e">
        <f t="shared" ca="1" si="137"/>
        <v>#NAME?</v>
      </c>
      <c r="H749" s="100" t="e">
        <f t="shared" ca="1" si="138"/>
        <v>#NAME?</v>
      </c>
      <c r="I749" s="100" t="e">
        <f t="shared" ca="1" si="139"/>
        <v>#NAME?</v>
      </c>
      <c r="J749" s="100" t="e">
        <f t="shared" ca="1" si="142"/>
        <v>#NAME?</v>
      </c>
      <c r="K749" s="100" t="e">
        <f t="shared" ca="1" si="140"/>
        <v>#NAME?</v>
      </c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 spans="1:26">
      <c r="A750" s="100" t="e">
        <f ca="1">IFERROR(__xludf.DUMMYFUNCTION("""COMPUTED_VALUE"""),58784085)</f>
        <v>#NAME?</v>
      </c>
      <c r="B750" s="100" t="e">
        <f ca="1">IFERROR(__xludf.DUMMYFUNCTION("""COMPUTED_VALUE"""),"MBLBTC")</f>
        <v>#NAME?</v>
      </c>
      <c r="C750" s="100" t="e">
        <f ca="1">IFERROR(__xludf.DUMMYFUNCTION("""COMPUTED_VALUE"""),"0.00000000")</f>
        <v>#NAME?</v>
      </c>
      <c r="D750" s="100" t="e">
        <f t="shared" ca="1" si="144"/>
        <v>#NAME?</v>
      </c>
      <c r="E750" s="100" t="e">
        <f t="shared" ca="1" si="144"/>
        <v>#NAME?</v>
      </c>
      <c r="F750" s="100" t="e">
        <f t="shared" ca="1" si="136"/>
        <v>#NAME?</v>
      </c>
      <c r="G750" s="100" t="e">
        <f t="shared" ca="1" si="137"/>
        <v>#NAME?</v>
      </c>
      <c r="H750" s="100" t="e">
        <f t="shared" ca="1" si="138"/>
        <v>#NAME?</v>
      </c>
      <c r="I750" s="100" t="e">
        <f t="shared" ca="1" si="139"/>
        <v>#NAME?</v>
      </c>
      <c r="J750" s="100" t="e">
        <f t="shared" ca="1" si="142"/>
        <v>#NAME?</v>
      </c>
      <c r="K750" s="100" t="e">
        <f t="shared" ca="1" si="140"/>
        <v>#NAME?</v>
      </c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 spans="1:26">
      <c r="A751" s="100" t="e">
        <f ca="1">IFERROR(__xludf.DUMMYFUNCTION("""COMPUTED_VALUE"""),58784086)</f>
        <v>#NAME?</v>
      </c>
      <c r="B751" s="100" t="e">
        <f ca="1">IFERROR(__xludf.DUMMYFUNCTION("""COMPUTED_VALUE"""),"MBLUSDT")</f>
        <v>#NAME?</v>
      </c>
      <c r="C751" s="100" t="e">
        <f ca="1">IFERROR(__xludf.DUMMYFUNCTION("""COMPUTED_VALUE"""),"0.00253400")</f>
        <v>#NAME?</v>
      </c>
      <c r="D751" s="100" t="e">
        <f t="shared" ca="1" si="144"/>
        <v>#NAME?</v>
      </c>
      <c r="E751" s="100" t="e">
        <f t="shared" ca="1" si="144"/>
        <v>#NAME?</v>
      </c>
      <c r="F751" s="100" t="e">
        <f t="shared" ca="1" si="136"/>
        <v>#NAME?</v>
      </c>
      <c r="G751" s="100" t="e">
        <f t="shared" ca="1" si="137"/>
        <v>#NAME?</v>
      </c>
      <c r="H751" s="100" t="e">
        <f t="shared" ca="1" si="138"/>
        <v>#NAME?</v>
      </c>
      <c r="I751" s="100" t="e">
        <f t="shared" ca="1" si="139"/>
        <v>#NAME?</v>
      </c>
      <c r="J751" s="100" t="e">
        <f ca="1">IFERROR(__xludf.DUMMYFUNCTION("""COMPUTED_VALUE"""),"2.550")</f>
        <v>#NAME?</v>
      </c>
      <c r="K751" s="100" t="e">
        <f t="shared" ca="1" si="140"/>
        <v>#NAME?</v>
      </c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 spans="1:26">
      <c r="A752" s="100" t="e">
        <f ca="1">IFERROR(__xludf.DUMMYFUNCTION("""COMPUTED_VALUE"""),58784087)</f>
        <v>#NAME?</v>
      </c>
      <c r="B752" s="100" t="e">
        <f ca="1">IFERROR(__xludf.DUMMYFUNCTION("""COMPUTED_VALUE"""),"COTIBNB")</f>
        <v>#NAME?</v>
      </c>
      <c r="C752" s="100" t="e">
        <f ca="1">IFERROR(__xludf.DUMMYFUNCTION("""COMPUTED_VALUE"""),"0.00021230")</f>
        <v>#NAME?</v>
      </c>
      <c r="D752" s="100" t="e">
        <f t="shared" ca="1" si="144"/>
        <v>#NAME?</v>
      </c>
      <c r="E752" s="100" t="e">
        <f t="shared" ca="1" si="144"/>
        <v>#NAME?</v>
      </c>
      <c r="F752" s="100" t="e">
        <f t="shared" ca="1" si="136"/>
        <v>#NAME?</v>
      </c>
      <c r="G752" s="100" t="e">
        <f t="shared" ca="1" si="137"/>
        <v>#NAME?</v>
      </c>
      <c r="H752" s="100" t="e">
        <f t="shared" ca="1" si="138"/>
        <v>#NAME?</v>
      </c>
      <c r="I752" s="100" t="e">
        <f t="shared" ca="1" si="139"/>
        <v>#NAME?</v>
      </c>
      <c r="J752" s="100" t="e">
        <f ca="1">IFERROR(__xludf.DUMMYFUNCTION("""COMPUTED_VALUE"""),"0")</f>
        <v>#NAME?</v>
      </c>
      <c r="K752" s="100" t="e">
        <f t="shared" ca="1" si="140"/>
        <v>#NAME?</v>
      </c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 spans="1:26">
      <c r="A753" s="100" t="e">
        <f ca="1">IFERROR(__xludf.DUMMYFUNCTION("""COMPUTED_VALUE"""),58784088)</f>
        <v>#NAME?</v>
      </c>
      <c r="B753" s="100" t="e">
        <f ca="1">IFERROR(__xludf.DUMMYFUNCTION("""COMPUTED_VALUE"""),"COTIBTC")</f>
        <v>#NAME?</v>
      </c>
      <c r="C753" s="100" t="e">
        <f ca="1">IFERROR(__xludf.DUMMYFUNCTION("""COMPUTED_VALUE"""),"0.00000077")</f>
        <v>#NAME?</v>
      </c>
      <c r="D753" s="100" t="e">
        <f t="shared" ca="1" si="144"/>
        <v>#NAME?</v>
      </c>
      <c r="E753" s="100" t="e">
        <f t="shared" ca="1" si="144"/>
        <v>#NAME?</v>
      </c>
      <c r="F753" s="100" t="e">
        <f t="shared" ca="1" si="136"/>
        <v>#NAME?</v>
      </c>
      <c r="G753" s="100" t="e">
        <f t="shared" ca="1" si="137"/>
        <v>#NAME?</v>
      </c>
      <c r="H753" s="100" t="e">
        <f t="shared" ca="1" si="138"/>
        <v>#NAME?</v>
      </c>
      <c r="I753" s="100" t="e">
        <f t="shared" ca="1" si="139"/>
        <v>#NAME?</v>
      </c>
      <c r="J753" s="100" t="e">
        <f ca="1">IFERROR(__xludf.DUMMYFUNCTION("""COMPUTED_VALUE"""),"-4.938")</f>
        <v>#NAME?</v>
      </c>
      <c r="K753" s="100" t="e">
        <f t="shared" ca="1" si="140"/>
        <v>#NAME?</v>
      </c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 spans="1:26">
      <c r="A754" s="100" t="e">
        <f ca="1">IFERROR(__xludf.DUMMYFUNCTION("""COMPUTED_VALUE"""),58784089)</f>
        <v>#NAME?</v>
      </c>
      <c r="B754" s="100" t="e">
        <f ca="1">IFERROR(__xludf.DUMMYFUNCTION("""COMPUTED_VALUE"""),"COTIUSDT")</f>
        <v>#NAME?</v>
      </c>
      <c r="C754" s="100" t="e">
        <f ca="1">IFERROR(__xludf.DUMMYFUNCTION("""COMPUTED_VALUE"""),"0.06859000")</f>
        <v>#NAME?</v>
      </c>
      <c r="D754" s="100" t="e">
        <f t="shared" ca="1" si="144"/>
        <v>#NAME?</v>
      </c>
      <c r="E754" s="100" t="e">
        <f t="shared" ca="1" si="144"/>
        <v>#NAME?</v>
      </c>
      <c r="F754" s="100" t="e">
        <f t="shared" ca="1" si="136"/>
        <v>#NAME?</v>
      </c>
      <c r="G754" s="100" t="e">
        <f t="shared" ca="1" si="137"/>
        <v>#NAME?</v>
      </c>
      <c r="H754" s="100" t="e">
        <f t="shared" ca="1" si="138"/>
        <v>#NAME?</v>
      </c>
      <c r="I754" s="100" t="e">
        <f t="shared" ca="1" si="139"/>
        <v>#NAME?</v>
      </c>
      <c r="J754" s="100" t="e">
        <f ca="1">IFERROR(__xludf.DUMMYFUNCTION("""COMPUTED_VALUE"""),"-3.053")</f>
        <v>#NAME?</v>
      </c>
      <c r="K754" s="100" t="e">
        <f t="shared" ca="1" si="140"/>
        <v>#NAME?</v>
      </c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 spans="1:26">
      <c r="A755" s="100" t="e">
        <f ca="1">IFERROR(__xludf.DUMMYFUNCTION("""COMPUTED_VALUE"""),58784090)</f>
        <v>#NAME?</v>
      </c>
      <c r="B755" s="100" t="e">
        <f ca="1">IFERROR(__xludf.DUMMYFUNCTION("""COMPUTED_VALUE"""),"ALGOBUSD")</f>
        <v>#NAME?</v>
      </c>
      <c r="C755" s="100" t="e">
        <f ca="1">IFERROR(__xludf.DUMMYFUNCTION("""COMPUTED_VALUE"""),"0.20710000")</f>
        <v>#NAME?</v>
      </c>
      <c r="D755" s="100" t="e">
        <f t="shared" ca="1" si="144"/>
        <v>#NAME?</v>
      </c>
      <c r="E755" s="100" t="e">
        <f t="shared" ca="1" si="144"/>
        <v>#NAME?</v>
      </c>
      <c r="F755" s="100" t="e">
        <f t="shared" ca="1" si="136"/>
        <v>#NAME?</v>
      </c>
      <c r="G755" s="100" t="e">
        <f t="shared" ca="1" si="137"/>
        <v>#NAME?</v>
      </c>
      <c r="H755" s="100" t="e">
        <f t="shared" ca="1" si="138"/>
        <v>#NAME?</v>
      </c>
      <c r="I755" s="100" t="e">
        <f t="shared" ca="1" si="139"/>
        <v>#NAME?</v>
      </c>
      <c r="J755" s="100" t="e">
        <f t="shared" ref="J755:J764" ca="1" si="145">IFERROR(__xludf.DUMMYFUNCTION("""COMPUTED_VALUE"""),"0")</f>
        <v>#NAME?</v>
      </c>
      <c r="K755" s="100" t="e">
        <f t="shared" ca="1" si="140"/>
        <v>#NAME?</v>
      </c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 spans="1:26">
      <c r="A756" s="100" t="e">
        <f ca="1">IFERROR(__xludf.DUMMYFUNCTION("""COMPUTED_VALUE"""),58784091)</f>
        <v>#NAME?</v>
      </c>
      <c r="B756" s="100" t="e">
        <f ca="1">IFERROR(__xludf.DUMMYFUNCTION("""COMPUTED_VALUE"""),"BTTBUSD")</f>
        <v>#NAME?</v>
      </c>
      <c r="C756" s="100" t="e">
        <f ca="1">IFERROR(__xludf.DUMMYFUNCTION("""COMPUTED_VALUE"""),"0.00000000")</f>
        <v>#NAME?</v>
      </c>
      <c r="D756" s="100" t="e">
        <f t="shared" ca="1" si="144"/>
        <v>#NAME?</v>
      </c>
      <c r="E756" s="100" t="e">
        <f t="shared" ca="1" si="144"/>
        <v>#NAME?</v>
      </c>
      <c r="F756" s="100" t="e">
        <f t="shared" ca="1" si="136"/>
        <v>#NAME?</v>
      </c>
      <c r="G756" s="100" t="e">
        <f t="shared" ca="1" si="137"/>
        <v>#NAME?</v>
      </c>
      <c r="H756" s="100" t="e">
        <f t="shared" ca="1" si="138"/>
        <v>#NAME?</v>
      </c>
      <c r="I756" s="100" t="e">
        <f t="shared" ca="1" si="139"/>
        <v>#NAME?</v>
      </c>
      <c r="J756" s="100" t="e">
        <f t="shared" ca="1" si="145"/>
        <v>#NAME?</v>
      </c>
      <c r="K756" s="100" t="e">
        <f t="shared" ca="1" si="140"/>
        <v>#NAME?</v>
      </c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 spans="1:26">
      <c r="A757" s="100" t="e">
        <f ca="1">IFERROR(__xludf.DUMMYFUNCTION("""COMPUTED_VALUE"""),58784092)</f>
        <v>#NAME?</v>
      </c>
      <c r="B757" s="100" t="e">
        <f ca="1">IFERROR(__xludf.DUMMYFUNCTION("""COMPUTED_VALUE"""),"TOMOBUSD")</f>
        <v>#NAME?</v>
      </c>
      <c r="C757" s="100" t="e">
        <f ca="1">IFERROR(__xludf.DUMMYFUNCTION("""COMPUTED_VALUE"""),"1.78070000")</f>
        <v>#NAME?</v>
      </c>
      <c r="D757" s="100" t="e">
        <f t="shared" ca="1" si="144"/>
        <v>#NAME?</v>
      </c>
      <c r="E757" s="100" t="e">
        <f t="shared" ca="1" si="144"/>
        <v>#NAME?</v>
      </c>
      <c r="F757" s="100" t="e">
        <f t="shared" ca="1" si="136"/>
        <v>#NAME?</v>
      </c>
      <c r="G757" s="100" t="e">
        <f t="shared" ca="1" si="137"/>
        <v>#NAME?</v>
      </c>
      <c r="H757" s="100" t="e">
        <f t="shared" ca="1" si="138"/>
        <v>#NAME?</v>
      </c>
      <c r="I757" s="100" t="e">
        <f t="shared" ca="1" si="139"/>
        <v>#NAME?</v>
      </c>
      <c r="J757" s="100" t="e">
        <f t="shared" ca="1" si="145"/>
        <v>#NAME?</v>
      </c>
      <c r="K757" s="100" t="e">
        <f t="shared" ca="1" si="140"/>
        <v>#NAME?</v>
      </c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 spans="1:26">
      <c r="A758" s="100" t="e">
        <f ca="1">IFERROR(__xludf.DUMMYFUNCTION("""COMPUTED_VALUE"""),58784093)</f>
        <v>#NAME?</v>
      </c>
      <c r="B758" s="100" t="e">
        <f ca="1">IFERROR(__xludf.DUMMYFUNCTION("""COMPUTED_VALUE"""),"XMRBUSD")</f>
        <v>#NAME?</v>
      </c>
      <c r="C758" s="100" t="e">
        <f ca="1">IFERROR(__xludf.DUMMYFUNCTION("""COMPUTED_VALUE"""),"170.20000000")</f>
        <v>#NAME?</v>
      </c>
      <c r="D758" s="100" t="e">
        <f t="shared" ca="1" si="144"/>
        <v>#NAME?</v>
      </c>
      <c r="E758" s="100" t="e">
        <f t="shared" ca="1" si="144"/>
        <v>#NAME?</v>
      </c>
      <c r="F758" s="100" t="e">
        <f t="shared" ca="1" si="136"/>
        <v>#NAME?</v>
      </c>
      <c r="G758" s="100" t="e">
        <f t="shared" ca="1" si="137"/>
        <v>#NAME?</v>
      </c>
      <c r="H758" s="100" t="e">
        <f t="shared" ca="1" si="138"/>
        <v>#NAME?</v>
      </c>
      <c r="I758" s="100" t="e">
        <f t="shared" ca="1" si="139"/>
        <v>#NAME?</v>
      </c>
      <c r="J758" s="100" t="e">
        <f t="shared" ca="1" si="145"/>
        <v>#NAME?</v>
      </c>
      <c r="K758" s="100" t="e">
        <f t="shared" ca="1" si="140"/>
        <v>#NAME?</v>
      </c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 spans="1:26">
      <c r="A759" s="100" t="e">
        <f ca="1">IFERROR(__xludf.DUMMYFUNCTION("""COMPUTED_VALUE"""),58784094)</f>
        <v>#NAME?</v>
      </c>
      <c r="B759" s="100" t="e">
        <f ca="1">IFERROR(__xludf.DUMMYFUNCTION("""COMPUTED_VALUE"""),"ZECBUSD")</f>
        <v>#NAME?</v>
      </c>
      <c r="C759" s="100" t="e">
        <f ca="1">IFERROR(__xludf.DUMMYFUNCTION("""COMPUTED_VALUE"""),"25.50000000")</f>
        <v>#NAME?</v>
      </c>
      <c r="D759" s="100" t="e">
        <f t="shared" ca="1" si="144"/>
        <v>#NAME?</v>
      </c>
      <c r="E759" s="100" t="e">
        <f t="shared" ca="1" si="144"/>
        <v>#NAME?</v>
      </c>
      <c r="F759" s="100" t="e">
        <f t="shared" ca="1" si="136"/>
        <v>#NAME?</v>
      </c>
      <c r="G759" s="100" t="e">
        <f t="shared" ca="1" si="137"/>
        <v>#NAME?</v>
      </c>
      <c r="H759" s="100" t="e">
        <f t="shared" ca="1" si="138"/>
        <v>#NAME?</v>
      </c>
      <c r="I759" s="100" t="e">
        <f t="shared" ca="1" si="139"/>
        <v>#NAME?</v>
      </c>
      <c r="J759" s="100" t="e">
        <f t="shared" ca="1" si="145"/>
        <v>#NAME?</v>
      </c>
      <c r="K759" s="100" t="e">
        <f t="shared" ca="1" si="140"/>
        <v>#NAME?</v>
      </c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 spans="1:26">
      <c r="A760" s="100" t="e">
        <f ca="1">IFERROR(__xludf.DUMMYFUNCTION("""COMPUTED_VALUE"""),58784095)</f>
        <v>#NAME?</v>
      </c>
      <c r="B760" s="100" t="e">
        <f ca="1">IFERROR(__xludf.DUMMYFUNCTION("""COMPUTED_VALUE"""),"BNBBULLUSDT")</f>
        <v>#NAME?</v>
      </c>
      <c r="C760" s="100" t="e">
        <f ca="1">IFERROR(__xludf.DUMMYFUNCTION("""COMPUTED_VALUE"""),"0.00000000")</f>
        <v>#NAME?</v>
      </c>
      <c r="D760" s="100" t="e">
        <f t="shared" ca="1" si="144"/>
        <v>#NAME?</v>
      </c>
      <c r="E760" s="100" t="e">
        <f t="shared" ca="1" si="144"/>
        <v>#NAME?</v>
      </c>
      <c r="F760" s="100" t="e">
        <f t="shared" ca="1" si="136"/>
        <v>#NAME?</v>
      </c>
      <c r="G760" s="100" t="e">
        <f t="shared" ca="1" si="137"/>
        <v>#NAME?</v>
      </c>
      <c r="H760" s="100" t="e">
        <f t="shared" ca="1" si="138"/>
        <v>#NAME?</v>
      </c>
      <c r="I760" s="100" t="e">
        <f t="shared" ca="1" si="139"/>
        <v>#NAME?</v>
      </c>
      <c r="J760" s="100" t="e">
        <f t="shared" ca="1" si="145"/>
        <v>#NAME?</v>
      </c>
      <c r="K760" s="100" t="e">
        <f t="shared" ca="1" si="140"/>
        <v>#NAME?</v>
      </c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 spans="1:26">
      <c r="A761" s="100" t="e">
        <f ca="1">IFERROR(__xludf.DUMMYFUNCTION("""COMPUTED_VALUE"""),58784096)</f>
        <v>#NAME?</v>
      </c>
      <c r="B761" s="100" t="e">
        <f ca="1">IFERROR(__xludf.DUMMYFUNCTION("""COMPUTED_VALUE"""),"BNBBULLBUSD")</f>
        <v>#NAME?</v>
      </c>
      <c r="C761" s="100" t="e">
        <f ca="1">IFERROR(__xludf.DUMMYFUNCTION("""COMPUTED_VALUE"""),"0.00000000")</f>
        <v>#NAME?</v>
      </c>
      <c r="D761" s="100" t="e">
        <f t="shared" ca="1" si="144"/>
        <v>#NAME?</v>
      </c>
      <c r="E761" s="100" t="e">
        <f t="shared" ca="1" si="144"/>
        <v>#NAME?</v>
      </c>
      <c r="F761" s="100" t="e">
        <f t="shared" ca="1" si="136"/>
        <v>#NAME?</v>
      </c>
      <c r="G761" s="100" t="e">
        <f t="shared" ca="1" si="137"/>
        <v>#NAME?</v>
      </c>
      <c r="H761" s="100" t="e">
        <f t="shared" ca="1" si="138"/>
        <v>#NAME?</v>
      </c>
      <c r="I761" s="100" t="e">
        <f t="shared" ca="1" si="139"/>
        <v>#NAME?</v>
      </c>
      <c r="J761" s="100" t="e">
        <f t="shared" ca="1" si="145"/>
        <v>#NAME?</v>
      </c>
      <c r="K761" s="100" t="e">
        <f t="shared" ca="1" si="140"/>
        <v>#NAME?</v>
      </c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 spans="1:26">
      <c r="A762" s="100" t="e">
        <f ca="1">IFERROR(__xludf.DUMMYFUNCTION("""COMPUTED_VALUE"""),58784097)</f>
        <v>#NAME?</v>
      </c>
      <c r="B762" s="100" t="e">
        <f ca="1">IFERROR(__xludf.DUMMYFUNCTION("""COMPUTED_VALUE"""),"BNBBEARUSDT")</f>
        <v>#NAME?</v>
      </c>
      <c r="C762" s="100" t="e">
        <f ca="1">IFERROR(__xludf.DUMMYFUNCTION("""COMPUTED_VALUE"""),"0.00000000")</f>
        <v>#NAME?</v>
      </c>
      <c r="D762" s="100" t="e">
        <f t="shared" ref="D762:E781" ca="1" si="146">IFERROR(__xludf.DUMMYFUNCTION("""COMPUTED_VALUE"""),"-")</f>
        <v>#NAME?</v>
      </c>
      <c r="E762" s="100" t="e">
        <f t="shared" ca="1" si="146"/>
        <v>#NAME?</v>
      </c>
      <c r="F762" s="100" t="e">
        <f t="shared" ca="1" si="136"/>
        <v>#NAME?</v>
      </c>
      <c r="G762" s="100" t="e">
        <f t="shared" ca="1" si="137"/>
        <v>#NAME?</v>
      </c>
      <c r="H762" s="100" t="e">
        <f t="shared" ca="1" si="138"/>
        <v>#NAME?</v>
      </c>
      <c r="I762" s="100" t="e">
        <f t="shared" ca="1" si="139"/>
        <v>#NAME?</v>
      </c>
      <c r="J762" s="100" t="e">
        <f t="shared" ca="1" si="145"/>
        <v>#NAME?</v>
      </c>
      <c r="K762" s="100" t="e">
        <f t="shared" ca="1" si="140"/>
        <v>#NAME?</v>
      </c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 spans="1:26">
      <c r="A763" s="100" t="e">
        <f ca="1">IFERROR(__xludf.DUMMYFUNCTION("""COMPUTED_VALUE"""),58784098)</f>
        <v>#NAME?</v>
      </c>
      <c r="B763" s="100" t="e">
        <f ca="1">IFERROR(__xludf.DUMMYFUNCTION("""COMPUTED_VALUE"""),"BNBBEARBUSD")</f>
        <v>#NAME?</v>
      </c>
      <c r="C763" s="100" t="e">
        <f ca="1">IFERROR(__xludf.DUMMYFUNCTION("""COMPUTED_VALUE"""),"0.00000000")</f>
        <v>#NAME?</v>
      </c>
      <c r="D763" s="100" t="e">
        <f t="shared" ca="1" si="146"/>
        <v>#NAME?</v>
      </c>
      <c r="E763" s="100" t="e">
        <f t="shared" ca="1" si="146"/>
        <v>#NAME?</v>
      </c>
      <c r="F763" s="100" t="e">
        <f t="shared" ca="1" si="136"/>
        <v>#NAME?</v>
      </c>
      <c r="G763" s="100" t="e">
        <f t="shared" ca="1" si="137"/>
        <v>#NAME?</v>
      </c>
      <c r="H763" s="100" t="e">
        <f t="shared" ca="1" si="138"/>
        <v>#NAME?</v>
      </c>
      <c r="I763" s="100" t="e">
        <f t="shared" ca="1" si="139"/>
        <v>#NAME?</v>
      </c>
      <c r="J763" s="100" t="e">
        <f t="shared" ca="1" si="145"/>
        <v>#NAME?</v>
      </c>
      <c r="K763" s="100" t="e">
        <f t="shared" ca="1" si="140"/>
        <v>#NAME?</v>
      </c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 spans="1:26">
      <c r="A764" s="100" t="e">
        <f ca="1">IFERROR(__xludf.DUMMYFUNCTION("""COMPUTED_VALUE"""),58784099)</f>
        <v>#NAME?</v>
      </c>
      <c r="B764" s="100" t="e">
        <f ca="1">IFERROR(__xludf.DUMMYFUNCTION("""COMPUTED_VALUE"""),"STPTBNB")</f>
        <v>#NAME?</v>
      </c>
      <c r="C764" s="100" t="e">
        <f ca="1">IFERROR(__xludf.DUMMYFUNCTION("""COMPUTED_VALUE"""),"0.00000000")</f>
        <v>#NAME?</v>
      </c>
      <c r="D764" s="100" t="e">
        <f t="shared" ca="1" si="146"/>
        <v>#NAME?</v>
      </c>
      <c r="E764" s="100" t="e">
        <f t="shared" ca="1" si="146"/>
        <v>#NAME?</v>
      </c>
      <c r="F764" s="100" t="e">
        <f t="shared" ca="1" si="136"/>
        <v>#NAME?</v>
      </c>
      <c r="G764" s="100" t="e">
        <f t="shared" ca="1" si="137"/>
        <v>#NAME?</v>
      </c>
      <c r="H764" s="100" t="e">
        <f t="shared" ca="1" si="138"/>
        <v>#NAME?</v>
      </c>
      <c r="I764" s="100" t="e">
        <f t="shared" ca="1" si="139"/>
        <v>#NAME?</v>
      </c>
      <c r="J764" s="100" t="e">
        <f t="shared" ca="1" si="145"/>
        <v>#NAME?</v>
      </c>
      <c r="K764" s="100" t="e">
        <f t="shared" ca="1" si="140"/>
        <v>#NAME?</v>
      </c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 spans="1:26">
      <c r="A765" s="100" t="e">
        <f ca="1">IFERROR(__xludf.DUMMYFUNCTION("""COMPUTED_VALUE"""),58784100)</f>
        <v>#NAME?</v>
      </c>
      <c r="B765" s="100" t="e">
        <f ca="1">IFERROR(__xludf.DUMMYFUNCTION("""COMPUTED_VALUE"""),"STPTBTC")</f>
        <v>#NAME?</v>
      </c>
      <c r="C765" s="100" t="e">
        <f ca="1">IFERROR(__xludf.DUMMYFUNCTION("""COMPUTED_VALUE"""),"0.00000047")</f>
        <v>#NAME?</v>
      </c>
      <c r="D765" s="100" t="e">
        <f t="shared" ca="1" si="146"/>
        <v>#NAME?</v>
      </c>
      <c r="E765" s="100" t="e">
        <f t="shared" ca="1" si="146"/>
        <v>#NAME?</v>
      </c>
      <c r="F765" s="100" t="e">
        <f t="shared" ca="1" si="136"/>
        <v>#NAME?</v>
      </c>
      <c r="G765" s="100" t="e">
        <f t="shared" ca="1" si="137"/>
        <v>#NAME?</v>
      </c>
      <c r="H765" s="100" t="e">
        <f t="shared" ca="1" si="138"/>
        <v>#NAME?</v>
      </c>
      <c r="I765" s="100" t="e">
        <f t="shared" ca="1" si="139"/>
        <v>#NAME?</v>
      </c>
      <c r="J765" s="100" t="e">
        <f ca="1">IFERROR(__xludf.DUMMYFUNCTION("""COMPUTED_VALUE"""),"-4.082")</f>
        <v>#NAME?</v>
      </c>
      <c r="K765" s="100" t="e">
        <f t="shared" ca="1" si="140"/>
        <v>#NAME?</v>
      </c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 spans="1:26">
      <c r="A766" s="100" t="e">
        <f ca="1">IFERROR(__xludf.DUMMYFUNCTION("""COMPUTED_VALUE"""),58784101)</f>
        <v>#NAME?</v>
      </c>
      <c r="B766" s="100" t="e">
        <f ca="1">IFERROR(__xludf.DUMMYFUNCTION("""COMPUTED_VALUE"""),"STPTUSDT")</f>
        <v>#NAME?</v>
      </c>
      <c r="C766" s="100" t="e">
        <f ca="1">IFERROR(__xludf.DUMMYFUNCTION("""COMPUTED_VALUE"""),"0.04105000")</f>
        <v>#NAME?</v>
      </c>
      <c r="D766" s="100" t="e">
        <f t="shared" ca="1" si="146"/>
        <v>#NAME?</v>
      </c>
      <c r="E766" s="100" t="e">
        <f t="shared" ca="1" si="146"/>
        <v>#NAME?</v>
      </c>
      <c r="F766" s="100" t="e">
        <f t="shared" ca="1" si="136"/>
        <v>#NAME?</v>
      </c>
      <c r="G766" s="100" t="e">
        <f t="shared" ca="1" si="137"/>
        <v>#NAME?</v>
      </c>
      <c r="H766" s="100" t="e">
        <f t="shared" ca="1" si="138"/>
        <v>#NAME?</v>
      </c>
      <c r="I766" s="100" t="e">
        <f t="shared" ca="1" si="139"/>
        <v>#NAME?</v>
      </c>
      <c r="J766" s="100" t="e">
        <f ca="1">IFERROR(__xludf.DUMMYFUNCTION("""COMPUTED_VALUE"""),"-4.022")</f>
        <v>#NAME?</v>
      </c>
      <c r="K766" s="100" t="e">
        <f t="shared" ca="1" si="140"/>
        <v>#NAME?</v>
      </c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 spans="1:26">
      <c r="A767" s="100" t="e">
        <f ca="1">IFERROR(__xludf.DUMMYFUNCTION("""COMPUTED_VALUE"""),58784102)</f>
        <v>#NAME?</v>
      </c>
      <c r="B767" s="100" t="e">
        <f ca="1">IFERROR(__xludf.DUMMYFUNCTION("""COMPUTED_VALUE"""),"BTCZAR")</f>
        <v>#NAME?</v>
      </c>
      <c r="C767" s="100" t="e">
        <f ca="1">IFERROR(__xludf.DUMMYFUNCTION("""COMPUTED_VALUE"""),"1670734.00000000")</f>
        <v>#NAME?</v>
      </c>
      <c r="D767" s="100" t="e">
        <f t="shared" ca="1" si="146"/>
        <v>#NAME?</v>
      </c>
      <c r="E767" s="100" t="e">
        <f t="shared" ca="1" si="146"/>
        <v>#NAME?</v>
      </c>
      <c r="F767" s="100" t="e">
        <f t="shared" ca="1" si="136"/>
        <v>#NAME?</v>
      </c>
      <c r="G767" s="100" t="e">
        <f t="shared" ca="1" si="137"/>
        <v>#NAME?</v>
      </c>
      <c r="H767" s="100" t="e">
        <f t="shared" ca="1" si="138"/>
        <v>#NAME?</v>
      </c>
      <c r="I767" s="100" t="e">
        <f t="shared" ca="1" si="139"/>
        <v>#NAME?</v>
      </c>
      <c r="J767" s="100" t="e">
        <f ca="1">IFERROR(__xludf.DUMMYFUNCTION("""COMPUTED_VALUE"""),"0.648")</f>
        <v>#NAME?</v>
      </c>
      <c r="K767" s="100" t="e">
        <f t="shared" ca="1" si="140"/>
        <v>#NAME?</v>
      </c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 spans="1:26">
      <c r="A768" s="100" t="e">
        <f ca="1">IFERROR(__xludf.DUMMYFUNCTION("""COMPUTED_VALUE"""),58784103)</f>
        <v>#NAME?</v>
      </c>
      <c r="B768" s="100" t="e">
        <f ca="1">IFERROR(__xludf.DUMMYFUNCTION("""COMPUTED_VALUE"""),"ETHZAR")</f>
        <v>#NAME?</v>
      </c>
      <c r="C768" s="100" t="e">
        <f ca="1">IFERROR(__xludf.DUMMYFUNCTION("""COMPUTED_VALUE"""),"30673.00000000")</f>
        <v>#NAME?</v>
      </c>
      <c r="D768" s="100" t="e">
        <f t="shared" ca="1" si="146"/>
        <v>#NAME?</v>
      </c>
      <c r="E768" s="100" t="e">
        <f t="shared" ca="1" si="146"/>
        <v>#NAME?</v>
      </c>
      <c r="F768" s="100" t="e">
        <f t="shared" ca="1" si="136"/>
        <v>#NAME?</v>
      </c>
      <c r="G768" s="100" t="e">
        <f t="shared" ca="1" si="137"/>
        <v>#NAME?</v>
      </c>
      <c r="H768" s="100" t="e">
        <f t="shared" ca="1" si="138"/>
        <v>#NAME?</v>
      </c>
      <c r="I768" s="100" t="e">
        <f t="shared" ca="1" si="139"/>
        <v>#NAME?</v>
      </c>
      <c r="J768" s="100" t="e">
        <f ca="1">IFERROR(__xludf.DUMMYFUNCTION("""COMPUTED_VALUE"""),"-0.670")</f>
        <v>#NAME?</v>
      </c>
      <c r="K768" s="100" t="e">
        <f t="shared" ca="1" si="140"/>
        <v>#NAME?</v>
      </c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 spans="1:26">
      <c r="A769" s="100" t="e">
        <f ca="1">IFERROR(__xludf.DUMMYFUNCTION("""COMPUTED_VALUE"""),58784104)</f>
        <v>#NAME?</v>
      </c>
      <c r="B769" s="100" t="e">
        <f ca="1">IFERROR(__xludf.DUMMYFUNCTION("""COMPUTED_VALUE"""),"BNBZAR")</f>
        <v>#NAME?</v>
      </c>
      <c r="C769" s="100" t="e">
        <f ca="1">IFERROR(__xludf.DUMMYFUNCTION("""COMPUTED_VALUE"""),"0.00000000")</f>
        <v>#NAME?</v>
      </c>
      <c r="D769" s="100" t="e">
        <f t="shared" ca="1" si="146"/>
        <v>#NAME?</v>
      </c>
      <c r="E769" s="100" t="e">
        <f t="shared" ca="1" si="146"/>
        <v>#NAME?</v>
      </c>
      <c r="F769" s="100" t="e">
        <f t="shared" ca="1" si="136"/>
        <v>#NAME?</v>
      </c>
      <c r="G769" s="100" t="e">
        <f t="shared" ca="1" si="137"/>
        <v>#NAME?</v>
      </c>
      <c r="H769" s="100" t="e">
        <f t="shared" ca="1" si="138"/>
        <v>#NAME?</v>
      </c>
      <c r="I769" s="100" t="e">
        <f t="shared" ca="1" si="139"/>
        <v>#NAME?</v>
      </c>
      <c r="J769" s="100" t="e">
        <f ca="1">IFERROR(__xludf.DUMMYFUNCTION("""COMPUTED_VALUE"""),"0")</f>
        <v>#NAME?</v>
      </c>
      <c r="K769" s="100" t="e">
        <f t="shared" ca="1" si="140"/>
        <v>#NAME?</v>
      </c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 spans="1:26">
      <c r="A770" s="100" t="e">
        <f ca="1">IFERROR(__xludf.DUMMYFUNCTION("""COMPUTED_VALUE"""),58784105)</f>
        <v>#NAME?</v>
      </c>
      <c r="B770" s="100" t="e">
        <f ca="1">IFERROR(__xludf.DUMMYFUNCTION("""COMPUTED_VALUE"""),"USDTZAR")</f>
        <v>#NAME?</v>
      </c>
      <c r="C770" s="100" t="e">
        <f ca="1">IFERROR(__xludf.DUMMYFUNCTION("""COMPUTED_VALUE"""),"18.87000000")</f>
        <v>#NAME?</v>
      </c>
      <c r="D770" s="100" t="e">
        <f t="shared" ca="1" si="146"/>
        <v>#NAME?</v>
      </c>
      <c r="E770" s="100" t="e">
        <f t="shared" ca="1" si="146"/>
        <v>#NAME?</v>
      </c>
      <c r="F770" s="100" t="e">
        <f t="shared" ref="F770:F833" ca="1" si="147">IFERROR(__xludf.DUMMYFUNCTION("""COMPUTED_VALUE"""),20200)</f>
        <v>#NAME?</v>
      </c>
      <c r="G770" s="100" t="e">
        <f t="shared" ref="G770:G833" ca="1" si="148">IFERROR(__xludf.DUMMYFUNCTION("""COMPUTED_VALUE"""),2885)</f>
        <v>#NAME?</v>
      </c>
      <c r="H770" s="100" t="e">
        <f t="shared" ref="H770:H833" ca="1" si="149">IFERROR(__xludf.DUMMYFUNCTION("""COMPUTED_VALUE"""),663)</f>
        <v>#NAME?</v>
      </c>
      <c r="I770" s="100" t="e">
        <f t="shared" ref="I770:I833" ca="1" si="150">IFERROR(__xludf.DUMMYFUNCTION("""COMPUTED_VALUE"""),5817721)</f>
        <v>#NAME?</v>
      </c>
      <c r="J770" s="100" t="e">
        <f ca="1">IFERROR(__xludf.DUMMYFUNCTION("""COMPUTED_VALUE"""),"-0.580")</f>
        <v>#NAME?</v>
      </c>
      <c r="K770" s="100" t="e">
        <f t="shared" ref="K770:K833" ca="1" si="151">IFERROR(__xludf.DUMMYFUNCTION("""COMPUTED_VALUE"""),"22.04.2025 13:05:01")</f>
        <v>#NAME?</v>
      </c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 spans="1:26">
      <c r="A771" s="100" t="e">
        <f ca="1">IFERROR(__xludf.DUMMYFUNCTION("""COMPUTED_VALUE"""),58784106)</f>
        <v>#NAME?</v>
      </c>
      <c r="B771" s="100" t="e">
        <f ca="1">IFERROR(__xludf.DUMMYFUNCTION("""COMPUTED_VALUE"""),"BUSDZAR")</f>
        <v>#NAME?</v>
      </c>
      <c r="C771" s="100" t="e">
        <f ca="1">IFERROR(__xludf.DUMMYFUNCTION("""COMPUTED_VALUE"""),"18.85000000")</f>
        <v>#NAME?</v>
      </c>
      <c r="D771" s="100" t="e">
        <f t="shared" ca="1" si="146"/>
        <v>#NAME?</v>
      </c>
      <c r="E771" s="100" t="e">
        <f t="shared" ca="1" si="146"/>
        <v>#NAME?</v>
      </c>
      <c r="F771" s="100" t="e">
        <f t="shared" ca="1" si="147"/>
        <v>#NAME?</v>
      </c>
      <c r="G771" s="100" t="e">
        <f t="shared" ca="1" si="148"/>
        <v>#NAME?</v>
      </c>
      <c r="H771" s="100" t="e">
        <f t="shared" ca="1" si="149"/>
        <v>#NAME?</v>
      </c>
      <c r="I771" s="100" t="e">
        <f t="shared" ca="1" si="150"/>
        <v>#NAME?</v>
      </c>
      <c r="J771" s="100" t="e">
        <f t="shared" ref="J771:J776" ca="1" si="152">IFERROR(__xludf.DUMMYFUNCTION("""COMPUTED_VALUE"""),"0")</f>
        <v>#NAME?</v>
      </c>
      <c r="K771" s="100" t="e">
        <f t="shared" ca="1" si="151"/>
        <v>#NAME?</v>
      </c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 spans="1:26">
      <c r="A772" s="100" t="e">
        <f ca="1">IFERROR(__xludf.DUMMYFUNCTION("""COMPUTED_VALUE"""),58784107)</f>
        <v>#NAME?</v>
      </c>
      <c r="B772" s="100" t="e">
        <f ca="1">IFERROR(__xludf.DUMMYFUNCTION("""COMPUTED_VALUE"""),"BTCBKRW")</f>
        <v>#NAME?</v>
      </c>
      <c r="C772" s="100" t="e">
        <f ca="1">IFERROR(__xludf.DUMMYFUNCTION("""COMPUTED_VALUE"""),"0.00000000")</f>
        <v>#NAME?</v>
      </c>
      <c r="D772" s="100" t="e">
        <f t="shared" ca="1" si="146"/>
        <v>#NAME?</v>
      </c>
      <c r="E772" s="100" t="e">
        <f t="shared" ca="1" si="146"/>
        <v>#NAME?</v>
      </c>
      <c r="F772" s="100" t="e">
        <f t="shared" ca="1" si="147"/>
        <v>#NAME?</v>
      </c>
      <c r="G772" s="100" t="e">
        <f t="shared" ca="1" si="148"/>
        <v>#NAME?</v>
      </c>
      <c r="H772" s="100" t="e">
        <f t="shared" ca="1" si="149"/>
        <v>#NAME?</v>
      </c>
      <c r="I772" s="100" t="e">
        <f t="shared" ca="1" si="150"/>
        <v>#NAME?</v>
      </c>
      <c r="J772" s="100" t="e">
        <f t="shared" ca="1" si="152"/>
        <v>#NAME?</v>
      </c>
      <c r="K772" s="100" t="e">
        <f t="shared" ca="1" si="151"/>
        <v>#NAME?</v>
      </c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 spans="1:26">
      <c r="A773" s="100" t="e">
        <f ca="1">IFERROR(__xludf.DUMMYFUNCTION("""COMPUTED_VALUE"""),58784108)</f>
        <v>#NAME?</v>
      </c>
      <c r="B773" s="100" t="e">
        <f ca="1">IFERROR(__xludf.DUMMYFUNCTION("""COMPUTED_VALUE"""),"ETHBKRW")</f>
        <v>#NAME?</v>
      </c>
      <c r="C773" s="100" t="e">
        <f ca="1">IFERROR(__xludf.DUMMYFUNCTION("""COMPUTED_VALUE"""),"0.00000000")</f>
        <v>#NAME?</v>
      </c>
      <c r="D773" s="100" t="e">
        <f t="shared" ca="1" si="146"/>
        <v>#NAME?</v>
      </c>
      <c r="E773" s="100" t="e">
        <f t="shared" ca="1" si="146"/>
        <v>#NAME?</v>
      </c>
      <c r="F773" s="100" t="e">
        <f t="shared" ca="1" si="147"/>
        <v>#NAME?</v>
      </c>
      <c r="G773" s="100" t="e">
        <f t="shared" ca="1" si="148"/>
        <v>#NAME?</v>
      </c>
      <c r="H773" s="100" t="e">
        <f t="shared" ca="1" si="149"/>
        <v>#NAME?</v>
      </c>
      <c r="I773" s="100" t="e">
        <f t="shared" ca="1" si="150"/>
        <v>#NAME?</v>
      </c>
      <c r="J773" s="100" t="e">
        <f t="shared" ca="1" si="152"/>
        <v>#NAME?</v>
      </c>
      <c r="K773" s="100" t="e">
        <f t="shared" ca="1" si="151"/>
        <v>#NAME?</v>
      </c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 spans="1:26">
      <c r="A774" s="100" t="e">
        <f ca="1">IFERROR(__xludf.DUMMYFUNCTION("""COMPUTED_VALUE"""),58784109)</f>
        <v>#NAME?</v>
      </c>
      <c r="B774" s="100" t="e">
        <f ca="1">IFERROR(__xludf.DUMMYFUNCTION("""COMPUTED_VALUE"""),"BNBBKRW")</f>
        <v>#NAME?</v>
      </c>
      <c r="C774" s="100" t="e">
        <f ca="1">IFERROR(__xludf.DUMMYFUNCTION("""COMPUTED_VALUE"""),"0.00000000")</f>
        <v>#NAME?</v>
      </c>
      <c r="D774" s="100" t="e">
        <f t="shared" ca="1" si="146"/>
        <v>#NAME?</v>
      </c>
      <c r="E774" s="100" t="e">
        <f t="shared" ca="1" si="146"/>
        <v>#NAME?</v>
      </c>
      <c r="F774" s="100" t="e">
        <f t="shared" ca="1" si="147"/>
        <v>#NAME?</v>
      </c>
      <c r="G774" s="100" t="e">
        <f t="shared" ca="1" si="148"/>
        <v>#NAME?</v>
      </c>
      <c r="H774" s="100" t="e">
        <f t="shared" ca="1" si="149"/>
        <v>#NAME?</v>
      </c>
      <c r="I774" s="100" t="e">
        <f t="shared" ca="1" si="150"/>
        <v>#NAME?</v>
      </c>
      <c r="J774" s="100" t="e">
        <f t="shared" ca="1" si="152"/>
        <v>#NAME?</v>
      </c>
      <c r="K774" s="100" t="e">
        <f t="shared" ca="1" si="151"/>
        <v>#NAME?</v>
      </c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 spans="1:26">
      <c r="A775" s="100" t="e">
        <f ca="1">IFERROR(__xludf.DUMMYFUNCTION("""COMPUTED_VALUE"""),58784110)</f>
        <v>#NAME?</v>
      </c>
      <c r="B775" s="100" t="e">
        <f ca="1">IFERROR(__xludf.DUMMYFUNCTION("""COMPUTED_VALUE"""),"WTCUSDT")</f>
        <v>#NAME?</v>
      </c>
      <c r="C775" s="100" t="e">
        <f ca="1">IFERROR(__xludf.DUMMYFUNCTION("""COMPUTED_VALUE"""),"0.01030000")</f>
        <v>#NAME?</v>
      </c>
      <c r="D775" s="100" t="e">
        <f t="shared" ca="1" si="146"/>
        <v>#NAME?</v>
      </c>
      <c r="E775" s="100" t="e">
        <f t="shared" ca="1" si="146"/>
        <v>#NAME?</v>
      </c>
      <c r="F775" s="100" t="e">
        <f t="shared" ca="1" si="147"/>
        <v>#NAME?</v>
      </c>
      <c r="G775" s="100" t="e">
        <f t="shared" ca="1" si="148"/>
        <v>#NAME?</v>
      </c>
      <c r="H775" s="100" t="e">
        <f t="shared" ca="1" si="149"/>
        <v>#NAME?</v>
      </c>
      <c r="I775" s="100" t="e">
        <f t="shared" ca="1" si="150"/>
        <v>#NAME?</v>
      </c>
      <c r="J775" s="100" t="e">
        <f t="shared" ca="1" si="152"/>
        <v>#NAME?</v>
      </c>
      <c r="K775" s="100" t="e">
        <f t="shared" ca="1" si="151"/>
        <v>#NAME?</v>
      </c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 spans="1:26">
      <c r="A776" s="100" t="e">
        <f ca="1">IFERROR(__xludf.DUMMYFUNCTION("""COMPUTED_VALUE"""),58784111)</f>
        <v>#NAME?</v>
      </c>
      <c r="B776" s="100" t="e">
        <f ca="1">IFERROR(__xludf.DUMMYFUNCTION("""COMPUTED_VALUE"""),"DATABUSD")</f>
        <v>#NAME?</v>
      </c>
      <c r="C776" s="100" t="e">
        <f ca="1">IFERROR(__xludf.DUMMYFUNCTION("""COMPUTED_VALUE"""),"0.02344000")</f>
        <v>#NAME?</v>
      </c>
      <c r="D776" s="100" t="e">
        <f t="shared" ca="1" si="146"/>
        <v>#NAME?</v>
      </c>
      <c r="E776" s="100" t="e">
        <f t="shared" ca="1" si="146"/>
        <v>#NAME?</v>
      </c>
      <c r="F776" s="100" t="e">
        <f t="shared" ca="1" si="147"/>
        <v>#NAME?</v>
      </c>
      <c r="G776" s="100" t="e">
        <f t="shared" ca="1" si="148"/>
        <v>#NAME?</v>
      </c>
      <c r="H776" s="100" t="e">
        <f t="shared" ca="1" si="149"/>
        <v>#NAME?</v>
      </c>
      <c r="I776" s="100" t="e">
        <f t="shared" ca="1" si="150"/>
        <v>#NAME?</v>
      </c>
      <c r="J776" s="100" t="e">
        <f t="shared" ca="1" si="152"/>
        <v>#NAME?</v>
      </c>
      <c r="K776" s="100" t="e">
        <f t="shared" ca="1" si="151"/>
        <v>#NAME?</v>
      </c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 spans="1:26">
      <c r="A777" s="100" t="e">
        <f ca="1">IFERROR(__xludf.DUMMYFUNCTION("""COMPUTED_VALUE"""),58784112)</f>
        <v>#NAME?</v>
      </c>
      <c r="B777" s="100" t="e">
        <f ca="1">IFERROR(__xludf.DUMMYFUNCTION("""COMPUTED_VALUE"""),"DATAUSDT")</f>
        <v>#NAME?</v>
      </c>
      <c r="C777" s="100" t="e">
        <f ca="1">IFERROR(__xludf.DUMMYFUNCTION("""COMPUTED_VALUE"""),"0.01664000")</f>
        <v>#NAME?</v>
      </c>
      <c r="D777" s="100" t="e">
        <f t="shared" ca="1" si="146"/>
        <v>#NAME?</v>
      </c>
      <c r="E777" s="100" t="e">
        <f t="shared" ca="1" si="146"/>
        <v>#NAME?</v>
      </c>
      <c r="F777" s="100" t="e">
        <f t="shared" ca="1" si="147"/>
        <v>#NAME?</v>
      </c>
      <c r="G777" s="100" t="e">
        <f t="shared" ca="1" si="148"/>
        <v>#NAME?</v>
      </c>
      <c r="H777" s="100" t="e">
        <f t="shared" ca="1" si="149"/>
        <v>#NAME?</v>
      </c>
      <c r="I777" s="100" t="e">
        <f t="shared" ca="1" si="150"/>
        <v>#NAME?</v>
      </c>
      <c r="J777" s="100" t="e">
        <f ca="1">IFERROR(__xludf.DUMMYFUNCTION("""COMPUTED_VALUE"""),"-3.087")</f>
        <v>#NAME?</v>
      </c>
      <c r="K777" s="100" t="e">
        <f t="shared" ca="1" si="151"/>
        <v>#NAME?</v>
      </c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 spans="1:26">
      <c r="A778" s="100" t="e">
        <f ca="1">IFERROR(__xludf.DUMMYFUNCTION("""COMPUTED_VALUE"""),58784113)</f>
        <v>#NAME?</v>
      </c>
      <c r="B778" s="100" t="e">
        <f ca="1">IFERROR(__xludf.DUMMYFUNCTION("""COMPUTED_VALUE"""),"XZCUSDT")</f>
        <v>#NAME?</v>
      </c>
      <c r="C778" s="100" t="e">
        <f ca="1">IFERROR(__xludf.DUMMYFUNCTION("""COMPUTED_VALUE"""),"0.00000000")</f>
        <v>#NAME?</v>
      </c>
      <c r="D778" s="100" t="e">
        <f t="shared" ca="1" si="146"/>
        <v>#NAME?</v>
      </c>
      <c r="E778" s="100" t="e">
        <f t="shared" ca="1" si="146"/>
        <v>#NAME?</v>
      </c>
      <c r="F778" s="100" t="e">
        <f t="shared" ca="1" si="147"/>
        <v>#NAME?</v>
      </c>
      <c r="G778" s="100" t="e">
        <f t="shared" ca="1" si="148"/>
        <v>#NAME?</v>
      </c>
      <c r="H778" s="100" t="e">
        <f t="shared" ca="1" si="149"/>
        <v>#NAME?</v>
      </c>
      <c r="I778" s="100" t="e">
        <f t="shared" ca="1" si="150"/>
        <v>#NAME?</v>
      </c>
      <c r="J778" s="100" t="e">
        <f ca="1">IFERROR(__xludf.DUMMYFUNCTION("""COMPUTED_VALUE"""),"0")</f>
        <v>#NAME?</v>
      </c>
      <c r="K778" s="100" t="e">
        <f t="shared" ca="1" si="151"/>
        <v>#NAME?</v>
      </c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 spans="1:26">
      <c r="A779" s="100" t="e">
        <f ca="1">IFERROR(__xludf.DUMMYFUNCTION("""COMPUTED_VALUE"""),58784114)</f>
        <v>#NAME?</v>
      </c>
      <c r="B779" s="100" t="e">
        <f ca="1">IFERROR(__xludf.DUMMYFUNCTION("""COMPUTED_VALUE"""),"SOLBNB")</f>
        <v>#NAME?</v>
      </c>
      <c r="C779" s="100" t="e">
        <f ca="1">IFERROR(__xludf.DUMMYFUNCTION("""COMPUTED_VALUE"""),"0.23110000")</f>
        <v>#NAME?</v>
      </c>
      <c r="D779" s="100" t="e">
        <f t="shared" ca="1" si="146"/>
        <v>#NAME?</v>
      </c>
      <c r="E779" s="100" t="e">
        <f t="shared" ca="1" si="146"/>
        <v>#NAME?</v>
      </c>
      <c r="F779" s="100" t="e">
        <f t="shared" ca="1" si="147"/>
        <v>#NAME?</v>
      </c>
      <c r="G779" s="100" t="e">
        <f t="shared" ca="1" si="148"/>
        <v>#NAME?</v>
      </c>
      <c r="H779" s="100" t="e">
        <f t="shared" ca="1" si="149"/>
        <v>#NAME?</v>
      </c>
      <c r="I779" s="100" t="e">
        <f t="shared" ca="1" si="150"/>
        <v>#NAME?</v>
      </c>
      <c r="J779" s="100" t="e">
        <f ca="1">IFERROR(__xludf.DUMMYFUNCTION("""COMPUTED_VALUE"""),"-0.302")</f>
        <v>#NAME?</v>
      </c>
      <c r="K779" s="100" t="e">
        <f t="shared" ca="1" si="151"/>
        <v>#NAME?</v>
      </c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 spans="1:26">
      <c r="A780" s="100" t="e">
        <f ca="1">IFERROR(__xludf.DUMMYFUNCTION("""COMPUTED_VALUE"""),58784115)</f>
        <v>#NAME?</v>
      </c>
      <c r="B780" s="100" t="e">
        <f ca="1">IFERROR(__xludf.DUMMYFUNCTION("""COMPUTED_VALUE"""),"SOLBTC")</f>
        <v>#NAME?</v>
      </c>
      <c r="C780" s="100" t="e">
        <f ca="1">IFERROR(__xludf.DUMMYFUNCTION("""COMPUTED_VALUE"""),"0.00158140")</f>
        <v>#NAME?</v>
      </c>
      <c r="D780" s="100" t="e">
        <f t="shared" ca="1" si="146"/>
        <v>#NAME?</v>
      </c>
      <c r="E780" s="100" t="e">
        <f t="shared" ca="1" si="146"/>
        <v>#NAME?</v>
      </c>
      <c r="F780" s="100" t="e">
        <f t="shared" ca="1" si="147"/>
        <v>#NAME?</v>
      </c>
      <c r="G780" s="100" t="e">
        <f t="shared" ca="1" si="148"/>
        <v>#NAME?</v>
      </c>
      <c r="H780" s="100" t="e">
        <f t="shared" ca="1" si="149"/>
        <v>#NAME?</v>
      </c>
      <c r="I780" s="100" t="e">
        <f t="shared" ca="1" si="150"/>
        <v>#NAME?</v>
      </c>
      <c r="J780" s="100" t="e">
        <f ca="1">IFERROR(__xludf.DUMMYFUNCTION("""COMPUTED_VALUE"""),"-1.255")</f>
        <v>#NAME?</v>
      </c>
      <c r="K780" s="100" t="e">
        <f t="shared" ca="1" si="151"/>
        <v>#NAME?</v>
      </c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 spans="1:26">
      <c r="A781" s="100" t="e">
        <f ca="1">IFERROR(__xludf.DUMMYFUNCTION("""COMPUTED_VALUE"""),58784116)</f>
        <v>#NAME?</v>
      </c>
      <c r="B781" s="100" t="e">
        <f ca="1">IFERROR(__xludf.DUMMYFUNCTION("""COMPUTED_VALUE"""),"SOLUSDT")</f>
        <v>#NAME?</v>
      </c>
      <c r="C781" s="100" t="e">
        <f ca="1">IFERROR(__xludf.DUMMYFUNCTION("""COMPUTED_VALUE"""),"140.08000000")</f>
        <v>#NAME?</v>
      </c>
      <c r="D781" s="100" t="e">
        <f t="shared" ca="1" si="146"/>
        <v>#NAME?</v>
      </c>
      <c r="E781" s="100" t="e">
        <f t="shared" ca="1" si="146"/>
        <v>#NAME?</v>
      </c>
      <c r="F781" s="100" t="e">
        <f t="shared" ca="1" si="147"/>
        <v>#NAME?</v>
      </c>
      <c r="G781" s="100" t="e">
        <f t="shared" ca="1" si="148"/>
        <v>#NAME?</v>
      </c>
      <c r="H781" s="100" t="e">
        <f t="shared" ca="1" si="149"/>
        <v>#NAME?</v>
      </c>
      <c r="I781" s="100" t="e">
        <f t="shared" ca="1" si="150"/>
        <v>#NAME?</v>
      </c>
      <c r="J781" s="100" t="e">
        <f ca="1">IFERROR(__xludf.DUMMYFUNCTION("""COMPUTED_VALUE"""),"0.014")</f>
        <v>#NAME?</v>
      </c>
      <c r="K781" s="100" t="e">
        <f t="shared" ca="1" si="151"/>
        <v>#NAME?</v>
      </c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 spans="1:26">
      <c r="A782" s="100" t="e">
        <f ca="1">IFERROR(__xludf.DUMMYFUNCTION("""COMPUTED_VALUE"""),58784117)</f>
        <v>#NAME?</v>
      </c>
      <c r="B782" s="100" t="e">
        <f ca="1">IFERROR(__xludf.DUMMYFUNCTION("""COMPUTED_VALUE"""),"SOLBUSD")</f>
        <v>#NAME?</v>
      </c>
      <c r="C782" s="100" t="e">
        <f ca="1">IFERROR(__xludf.DUMMYFUNCTION("""COMPUTED_VALUE"""),"74.62000000")</f>
        <v>#NAME?</v>
      </c>
      <c r="D782" s="100" t="e">
        <f t="shared" ref="D782:E801" ca="1" si="153">IFERROR(__xludf.DUMMYFUNCTION("""COMPUTED_VALUE"""),"-")</f>
        <v>#NAME?</v>
      </c>
      <c r="E782" s="100" t="e">
        <f t="shared" ca="1" si="153"/>
        <v>#NAME?</v>
      </c>
      <c r="F782" s="100" t="e">
        <f t="shared" ca="1" si="147"/>
        <v>#NAME?</v>
      </c>
      <c r="G782" s="100" t="e">
        <f t="shared" ca="1" si="148"/>
        <v>#NAME?</v>
      </c>
      <c r="H782" s="100" t="e">
        <f t="shared" ca="1" si="149"/>
        <v>#NAME?</v>
      </c>
      <c r="I782" s="100" t="e">
        <f t="shared" ca="1" si="150"/>
        <v>#NAME?</v>
      </c>
      <c r="J782" s="100" t="e">
        <f ca="1">IFERROR(__xludf.DUMMYFUNCTION("""COMPUTED_VALUE"""),"0")</f>
        <v>#NAME?</v>
      </c>
      <c r="K782" s="100" t="e">
        <f t="shared" ca="1" si="151"/>
        <v>#NAME?</v>
      </c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 spans="1:26">
      <c r="A783" s="100" t="e">
        <f ca="1">IFERROR(__xludf.DUMMYFUNCTION("""COMPUTED_VALUE"""),58784118)</f>
        <v>#NAME?</v>
      </c>
      <c r="B783" s="100" t="e">
        <f ca="1">IFERROR(__xludf.DUMMYFUNCTION("""COMPUTED_VALUE"""),"BTCIDRT")</f>
        <v>#NAME?</v>
      </c>
      <c r="C783" s="100" t="e">
        <f ca="1">IFERROR(__xludf.DUMMYFUNCTION("""COMPUTED_VALUE"""),"0.00")</f>
        <v>#NAME?</v>
      </c>
      <c r="D783" s="100" t="e">
        <f t="shared" ca="1" si="153"/>
        <v>#NAME?</v>
      </c>
      <c r="E783" s="100" t="e">
        <f t="shared" ca="1" si="153"/>
        <v>#NAME?</v>
      </c>
      <c r="F783" s="100" t="e">
        <f t="shared" ca="1" si="147"/>
        <v>#NAME?</v>
      </c>
      <c r="G783" s="100" t="e">
        <f t="shared" ca="1" si="148"/>
        <v>#NAME?</v>
      </c>
      <c r="H783" s="100" t="e">
        <f t="shared" ca="1" si="149"/>
        <v>#NAME?</v>
      </c>
      <c r="I783" s="100" t="e">
        <f t="shared" ca="1" si="150"/>
        <v>#NAME?</v>
      </c>
      <c r="J783" s="100" t="e">
        <f ca="1">IFERROR(__xludf.DUMMYFUNCTION("""COMPUTED_VALUE"""),"0")</f>
        <v>#NAME?</v>
      </c>
      <c r="K783" s="100" t="e">
        <f t="shared" ca="1" si="151"/>
        <v>#NAME?</v>
      </c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 spans="1:26">
      <c r="A784" s="100" t="e">
        <f ca="1">IFERROR(__xludf.DUMMYFUNCTION("""COMPUTED_VALUE"""),58784119)</f>
        <v>#NAME?</v>
      </c>
      <c r="B784" s="100" t="e">
        <f ca="1">IFERROR(__xludf.DUMMYFUNCTION("""COMPUTED_VALUE"""),"BNBIDRT")</f>
        <v>#NAME?</v>
      </c>
      <c r="C784" s="100" t="e">
        <f ca="1">IFERROR(__xludf.DUMMYFUNCTION("""COMPUTED_VALUE"""),"0.00")</f>
        <v>#NAME?</v>
      </c>
      <c r="D784" s="100" t="e">
        <f t="shared" ca="1" si="153"/>
        <v>#NAME?</v>
      </c>
      <c r="E784" s="100" t="e">
        <f t="shared" ca="1" si="153"/>
        <v>#NAME?</v>
      </c>
      <c r="F784" s="100" t="e">
        <f t="shared" ca="1" si="147"/>
        <v>#NAME?</v>
      </c>
      <c r="G784" s="100" t="e">
        <f t="shared" ca="1" si="148"/>
        <v>#NAME?</v>
      </c>
      <c r="H784" s="100" t="e">
        <f t="shared" ca="1" si="149"/>
        <v>#NAME?</v>
      </c>
      <c r="I784" s="100" t="e">
        <f t="shared" ca="1" si="150"/>
        <v>#NAME?</v>
      </c>
      <c r="J784" s="100" t="e">
        <f ca="1">IFERROR(__xludf.DUMMYFUNCTION("""COMPUTED_VALUE"""),"0")</f>
        <v>#NAME?</v>
      </c>
      <c r="K784" s="100" t="e">
        <f t="shared" ca="1" si="151"/>
        <v>#NAME?</v>
      </c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 spans="1:26">
      <c r="A785" s="100" t="e">
        <f ca="1">IFERROR(__xludf.DUMMYFUNCTION("""COMPUTED_VALUE"""),58784120)</f>
        <v>#NAME?</v>
      </c>
      <c r="B785" s="100" t="e">
        <f ca="1">IFERROR(__xludf.DUMMYFUNCTION("""COMPUTED_VALUE"""),"USDTIDRT")</f>
        <v>#NAME?</v>
      </c>
      <c r="C785" s="100" t="e">
        <f ca="1">IFERROR(__xludf.DUMMYFUNCTION("""COMPUTED_VALUE"""),"15907.00")</f>
        <v>#NAME?</v>
      </c>
      <c r="D785" s="100" t="e">
        <f t="shared" ca="1" si="153"/>
        <v>#NAME?</v>
      </c>
      <c r="E785" s="100" t="e">
        <f t="shared" ca="1" si="153"/>
        <v>#NAME?</v>
      </c>
      <c r="F785" s="100" t="e">
        <f t="shared" ca="1" si="147"/>
        <v>#NAME?</v>
      </c>
      <c r="G785" s="100" t="e">
        <f t="shared" ca="1" si="148"/>
        <v>#NAME?</v>
      </c>
      <c r="H785" s="100" t="e">
        <f t="shared" ca="1" si="149"/>
        <v>#NAME?</v>
      </c>
      <c r="I785" s="100" t="e">
        <f t="shared" ca="1" si="150"/>
        <v>#NAME?</v>
      </c>
      <c r="J785" s="100" t="e">
        <f ca="1">IFERROR(__xludf.DUMMYFUNCTION("""COMPUTED_VALUE"""),"0")</f>
        <v>#NAME?</v>
      </c>
      <c r="K785" s="100" t="e">
        <f t="shared" ca="1" si="151"/>
        <v>#NAME?</v>
      </c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 spans="1:26">
      <c r="A786" s="100" t="e">
        <f ca="1">IFERROR(__xludf.DUMMYFUNCTION("""COMPUTED_VALUE"""),58784121)</f>
        <v>#NAME?</v>
      </c>
      <c r="B786" s="100" t="e">
        <f ca="1">IFERROR(__xludf.DUMMYFUNCTION("""COMPUTED_VALUE"""),"BUSDIDRT")</f>
        <v>#NAME?</v>
      </c>
      <c r="C786" s="100" t="e">
        <f ca="1">IFERROR(__xludf.DUMMYFUNCTION("""COMPUTED_VALUE"""),"0.00")</f>
        <v>#NAME?</v>
      </c>
      <c r="D786" s="100" t="e">
        <f t="shared" ca="1" si="153"/>
        <v>#NAME?</v>
      </c>
      <c r="E786" s="100" t="e">
        <f t="shared" ca="1" si="153"/>
        <v>#NAME?</v>
      </c>
      <c r="F786" s="100" t="e">
        <f t="shared" ca="1" si="147"/>
        <v>#NAME?</v>
      </c>
      <c r="G786" s="100" t="e">
        <f t="shared" ca="1" si="148"/>
        <v>#NAME?</v>
      </c>
      <c r="H786" s="100" t="e">
        <f t="shared" ca="1" si="149"/>
        <v>#NAME?</v>
      </c>
      <c r="I786" s="100" t="e">
        <f t="shared" ca="1" si="150"/>
        <v>#NAME?</v>
      </c>
      <c r="J786" s="100" t="e">
        <f ca="1">IFERROR(__xludf.DUMMYFUNCTION("""COMPUTED_VALUE"""),"0")</f>
        <v>#NAME?</v>
      </c>
      <c r="K786" s="100" t="e">
        <f t="shared" ca="1" si="151"/>
        <v>#NAME?</v>
      </c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 spans="1:26">
      <c r="A787" s="100" t="e">
        <f ca="1">IFERROR(__xludf.DUMMYFUNCTION("""COMPUTED_VALUE"""),58784122)</f>
        <v>#NAME?</v>
      </c>
      <c r="B787" s="100" t="e">
        <f ca="1">IFERROR(__xludf.DUMMYFUNCTION("""COMPUTED_VALUE"""),"CTSIBTC")</f>
        <v>#NAME?</v>
      </c>
      <c r="C787" s="100" t="e">
        <f ca="1">IFERROR(__xludf.DUMMYFUNCTION("""COMPUTED_VALUE"""),"0.00000068")</f>
        <v>#NAME?</v>
      </c>
      <c r="D787" s="100" t="e">
        <f t="shared" ca="1" si="153"/>
        <v>#NAME?</v>
      </c>
      <c r="E787" s="100" t="e">
        <f t="shared" ca="1" si="153"/>
        <v>#NAME?</v>
      </c>
      <c r="F787" s="100" t="e">
        <f t="shared" ca="1" si="147"/>
        <v>#NAME?</v>
      </c>
      <c r="G787" s="100" t="e">
        <f t="shared" ca="1" si="148"/>
        <v>#NAME?</v>
      </c>
      <c r="H787" s="100" t="e">
        <f t="shared" ca="1" si="149"/>
        <v>#NAME?</v>
      </c>
      <c r="I787" s="100" t="e">
        <f t="shared" ca="1" si="150"/>
        <v>#NAME?</v>
      </c>
      <c r="J787" s="100" t="e">
        <f ca="1">IFERROR(__xludf.DUMMYFUNCTION("""COMPUTED_VALUE"""),"-2.857")</f>
        <v>#NAME?</v>
      </c>
      <c r="K787" s="100" t="e">
        <f t="shared" ca="1" si="151"/>
        <v>#NAME?</v>
      </c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 spans="1:26">
      <c r="A788" s="100" t="e">
        <f ca="1">IFERROR(__xludf.DUMMYFUNCTION("""COMPUTED_VALUE"""),58784123)</f>
        <v>#NAME?</v>
      </c>
      <c r="B788" s="100" t="e">
        <f ca="1">IFERROR(__xludf.DUMMYFUNCTION("""COMPUTED_VALUE"""),"CTSIUSDT")</f>
        <v>#NAME?</v>
      </c>
      <c r="C788" s="100" t="e">
        <f ca="1">IFERROR(__xludf.DUMMYFUNCTION("""COMPUTED_VALUE"""),"0.06030000")</f>
        <v>#NAME?</v>
      </c>
      <c r="D788" s="100" t="e">
        <f t="shared" ca="1" si="153"/>
        <v>#NAME?</v>
      </c>
      <c r="E788" s="100" t="e">
        <f t="shared" ca="1" si="153"/>
        <v>#NAME?</v>
      </c>
      <c r="F788" s="100" t="e">
        <f t="shared" ca="1" si="147"/>
        <v>#NAME?</v>
      </c>
      <c r="G788" s="100" t="e">
        <f t="shared" ca="1" si="148"/>
        <v>#NAME?</v>
      </c>
      <c r="H788" s="100" t="e">
        <f t="shared" ca="1" si="149"/>
        <v>#NAME?</v>
      </c>
      <c r="I788" s="100" t="e">
        <f t="shared" ca="1" si="150"/>
        <v>#NAME?</v>
      </c>
      <c r="J788" s="100" t="e">
        <f ca="1">IFERROR(__xludf.DUMMYFUNCTION("""COMPUTED_VALUE"""),"-1.148")</f>
        <v>#NAME?</v>
      </c>
      <c r="K788" s="100" t="e">
        <f t="shared" ca="1" si="151"/>
        <v>#NAME?</v>
      </c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 spans="1:26">
      <c r="A789" s="100" t="e">
        <f ca="1">IFERROR(__xludf.DUMMYFUNCTION("""COMPUTED_VALUE"""),58784124)</f>
        <v>#NAME?</v>
      </c>
      <c r="B789" s="100" t="e">
        <f ca="1">IFERROR(__xludf.DUMMYFUNCTION("""COMPUTED_VALUE"""),"CTSIBNB")</f>
        <v>#NAME?</v>
      </c>
      <c r="C789" s="100" t="e">
        <f ca="1">IFERROR(__xludf.DUMMYFUNCTION("""COMPUTED_VALUE"""),"0.00079830")</f>
        <v>#NAME?</v>
      </c>
      <c r="D789" s="100" t="e">
        <f t="shared" ca="1" si="153"/>
        <v>#NAME?</v>
      </c>
      <c r="E789" s="100" t="e">
        <f t="shared" ca="1" si="153"/>
        <v>#NAME?</v>
      </c>
      <c r="F789" s="100" t="e">
        <f t="shared" ca="1" si="147"/>
        <v>#NAME?</v>
      </c>
      <c r="G789" s="100" t="e">
        <f t="shared" ca="1" si="148"/>
        <v>#NAME?</v>
      </c>
      <c r="H789" s="100" t="e">
        <f t="shared" ca="1" si="149"/>
        <v>#NAME?</v>
      </c>
      <c r="I789" s="100" t="e">
        <f t="shared" ca="1" si="150"/>
        <v>#NAME?</v>
      </c>
      <c r="J789" s="100" t="e">
        <f ca="1">IFERROR(__xludf.DUMMYFUNCTION("""COMPUTED_VALUE"""),"0")</f>
        <v>#NAME?</v>
      </c>
      <c r="K789" s="100" t="e">
        <f t="shared" ca="1" si="151"/>
        <v>#NAME?</v>
      </c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 spans="1:26">
      <c r="A790" s="100" t="e">
        <f ca="1">IFERROR(__xludf.DUMMYFUNCTION("""COMPUTED_VALUE"""),58784125)</f>
        <v>#NAME?</v>
      </c>
      <c r="B790" s="100" t="e">
        <f ca="1">IFERROR(__xludf.DUMMYFUNCTION("""COMPUTED_VALUE"""),"CTSIBUSD")</f>
        <v>#NAME?</v>
      </c>
      <c r="C790" s="100" t="e">
        <f ca="1">IFERROR(__xludf.DUMMYFUNCTION("""COMPUTED_VALUE"""),"0.16420000")</f>
        <v>#NAME?</v>
      </c>
      <c r="D790" s="100" t="e">
        <f t="shared" ca="1" si="153"/>
        <v>#NAME?</v>
      </c>
      <c r="E790" s="100" t="e">
        <f t="shared" ca="1" si="153"/>
        <v>#NAME?</v>
      </c>
      <c r="F790" s="100" t="e">
        <f t="shared" ca="1" si="147"/>
        <v>#NAME?</v>
      </c>
      <c r="G790" s="100" t="e">
        <f t="shared" ca="1" si="148"/>
        <v>#NAME?</v>
      </c>
      <c r="H790" s="100" t="e">
        <f t="shared" ca="1" si="149"/>
        <v>#NAME?</v>
      </c>
      <c r="I790" s="100" t="e">
        <f t="shared" ca="1" si="150"/>
        <v>#NAME?</v>
      </c>
      <c r="J790" s="100" t="e">
        <f ca="1">IFERROR(__xludf.DUMMYFUNCTION("""COMPUTED_VALUE"""),"0")</f>
        <v>#NAME?</v>
      </c>
      <c r="K790" s="100" t="e">
        <f t="shared" ca="1" si="151"/>
        <v>#NAME?</v>
      </c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 spans="1:26">
      <c r="A791" s="100" t="e">
        <f ca="1">IFERROR(__xludf.DUMMYFUNCTION("""COMPUTED_VALUE"""),58784126)</f>
        <v>#NAME?</v>
      </c>
      <c r="B791" s="100" t="e">
        <f ca="1">IFERROR(__xludf.DUMMYFUNCTION("""COMPUTED_VALUE"""),"HIVEBNB")</f>
        <v>#NAME?</v>
      </c>
      <c r="C791" s="100" t="e">
        <f ca="1">IFERROR(__xludf.DUMMYFUNCTION("""COMPUTED_VALUE"""),"0.00000000")</f>
        <v>#NAME?</v>
      </c>
      <c r="D791" s="100" t="e">
        <f t="shared" ca="1" si="153"/>
        <v>#NAME?</v>
      </c>
      <c r="E791" s="100" t="e">
        <f t="shared" ca="1" si="153"/>
        <v>#NAME?</v>
      </c>
      <c r="F791" s="100" t="e">
        <f t="shared" ca="1" si="147"/>
        <v>#NAME?</v>
      </c>
      <c r="G791" s="100" t="e">
        <f t="shared" ca="1" si="148"/>
        <v>#NAME?</v>
      </c>
      <c r="H791" s="100" t="e">
        <f t="shared" ca="1" si="149"/>
        <v>#NAME?</v>
      </c>
      <c r="I791" s="100" t="e">
        <f t="shared" ca="1" si="150"/>
        <v>#NAME?</v>
      </c>
      <c r="J791" s="100" t="e">
        <f ca="1">IFERROR(__xludf.DUMMYFUNCTION("""COMPUTED_VALUE"""),"0")</f>
        <v>#NAME?</v>
      </c>
      <c r="K791" s="100" t="e">
        <f t="shared" ca="1" si="151"/>
        <v>#NAME?</v>
      </c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 spans="1:26">
      <c r="A792" s="100" t="e">
        <f ca="1">IFERROR(__xludf.DUMMYFUNCTION("""COMPUTED_VALUE"""),58784127)</f>
        <v>#NAME?</v>
      </c>
      <c r="B792" s="100" t="e">
        <f ca="1">IFERROR(__xludf.DUMMYFUNCTION("""COMPUTED_VALUE"""),"HIVEBTC")</f>
        <v>#NAME?</v>
      </c>
      <c r="C792" s="100" t="e">
        <f ca="1">IFERROR(__xludf.DUMMYFUNCTION("""COMPUTED_VALUE"""),"0.00000267")</f>
        <v>#NAME?</v>
      </c>
      <c r="D792" s="100" t="e">
        <f t="shared" ca="1" si="153"/>
        <v>#NAME?</v>
      </c>
      <c r="E792" s="100" t="e">
        <f t="shared" ca="1" si="153"/>
        <v>#NAME?</v>
      </c>
      <c r="F792" s="100" t="e">
        <f t="shared" ca="1" si="147"/>
        <v>#NAME?</v>
      </c>
      <c r="G792" s="100" t="e">
        <f t="shared" ca="1" si="148"/>
        <v>#NAME?</v>
      </c>
      <c r="H792" s="100" t="e">
        <f t="shared" ca="1" si="149"/>
        <v>#NAME?</v>
      </c>
      <c r="I792" s="100" t="e">
        <f t="shared" ca="1" si="150"/>
        <v>#NAME?</v>
      </c>
      <c r="J792" s="100" t="e">
        <f ca="1">IFERROR(__xludf.DUMMYFUNCTION("""COMPUTED_VALUE"""),"-4.301")</f>
        <v>#NAME?</v>
      </c>
      <c r="K792" s="100" t="e">
        <f t="shared" ca="1" si="151"/>
        <v>#NAME?</v>
      </c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 spans="1:26">
      <c r="A793" s="100" t="e">
        <f ca="1">IFERROR(__xludf.DUMMYFUNCTION("""COMPUTED_VALUE"""),58784128)</f>
        <v>#NAME?</v>
      </c>
      <c r="B793" s="100" t="e">
        <f ca="1">IFERROR(__xludf.DUMMYFUNCTION("""COMPUTED_VALUE"""),"HIVEUSDT")</f>
        <v>#NAME?</v>
      </c>
      <c r="C793" s="100" t="e">
        <f ca="1">IFERROR(__xludf.DUMMYFUNCTION("""COMPUTED_VALUE"""),"0.23610000")</f>
        <v>#NAME?</v>
      </c>
      <c r="D793" s="100" t="e">
        <f t="shared" ca="1" si="153"/>
        <v>#NAME?</v>
      </c>
      <c r="E793" s="100" t="e">
        <f t="shared" ca="1" si="153"/>
        <v>#NAME?</v>
      </c>
      <c r="F793" s="100" t="e">
        <f t="shared" ca="1" si="147"/>
        <v>#NAME?</v>
      </c>
      <c r="G793" s="100" t="e">
        <f t="shared" ca="1" si="148"/>
        <v>#NAME?</v>
      </c>
      <c r="H793" s="100" t="e">
        <f t="shared" ca="1" si="149"/>
        <v>#NAME?</v>
      </c>
      <c r="I793" s="100" t="e">
        <f t="shared" ca="1" si="150"/>
        <v>#NAME?</v>
      </c>
      <c r="J793" s="100" t="e">
        <f ca="1">IFERROR(__xludf.DUMMYFUNCTION("""COMPUTED_VALUE"""),"-2.879")</f>
        <v>#NAME?</v>
      </c>
      <c r="K793" s="100" t="e">
        <f t="shared" ca="1" si="151"/>
        <v>#NAME?</v>
      </c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 spans="1:26">
      <c r="A794" s="100" t="e">
        <f ca="1">IFERROR(__xludf.DUMMYFUNCTION("""COMPUTED_VALUE"""),58784129)</f>
        <v>#NAME?</v>
      </c>
      <c r="B794" s="100" t="e">
        <f ca="1">IFERROR(__xludf.DUMMYFUNCTION("""COMPUTED_VALUE"""),"CHRBNB")</f>
        <v>#NAME?</v>
      </c>
      <c r="C794" s="100" t="e">
        <f ca="1">IFERROR(__xludf.DUMMYFUNCTION("""COMPUTED_VALUE"""),"0.00043770")</f>
        <v>#NAME?</v>
      </c>
      <c r="D794" s="100" t="e">
        <f t="shared" ca="1" si="153"/>
        <v>#NAME?</v>
      </c>
      <c r="E794" s="100" t="e">
        <f t="shared" ca="1" si="153"/>
        <v>#NAME?</v>
      </c>
      <c r="F794" s="100" t="e">
        <f t="shared" ca="1" si="147"/>
        <v>#NAME?</v>
      </c>
      <c r="G794" s="100" t="e">
        <f t="shared" ca="1" si="148"/>
        <v>#NAME?</v>
      </c>
      <c r="H794" s="100" t="e">
        <f t="shared" ca="1" si="149"/>
        <v>#NAME?</v>
      </c>
      <c r="I794" s="100" t="e">
        <f t="shared" ca="1" si="150"/>
        <v>#NAME?</v>
      </c>
      <c r="J794" s="100" t="e">
        <f ca="1">IFERROR(__xludf.DUMMYFUNCTION("""COMPUTED_VALUE"""),"0")</f>
        <v>#NAME?</v>
      </c>
      <c r="K794" s="100" t="e">
        <f t="shared" ca="1" si="151"/>
        <v>#NAME?</v>
      </c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 spans="1:26">
      <c r="A795" s="100" t="e">
        <f ca="1">IFERROR(__xludf.DUMMYFUNCTION("""COMPUTED_VALUE"""),58784130)</f>
        <v>#NAME?</v>
      </c>
      <c r="B795" s="100" t="e">
        <f ca="1">IFERROR(__xludf.DUMMYFUNCTION("""COMPUTED_VALUE"""),"CHRBTC")</f>
        <v>#NAME?</v>
      </c>
      <c r="C795" s="100" t="e">
        <f ca="1">IFERROR(__xludf.DUMMYFUNCTION("""COMPUTED_VALUE"""),"0.00000100")</f>
        <v>#NAME?</v>
      </c>
      <c r="D795" s="100" t="e">
        <f t="shared" ca="1" si="153"/>
        <v>#NAME?</v>
      </c>
      <c r="E795" s="100" t="e">
        <f t="shared" ca="1" si="153"/>
        <v>#NAME?</v>
      </c>
      <c r="F795" s="100" t="e">
        <f t="shared" ca="1" si="147"/>
        <v>#NAME?</v>
      </c>
      <c r="G795" s="100" t="e">
        <f t="shared" ca="1" si="148"/>
        <v>#NAME?</v>
      </c>
      <c r="H795" s="100" t="e">
        <f t="shared" ca="1" si="149"/>
        <v>#NAME?</v>
      </c>
      <c r="I795" s="100" t="e">
        <f t="shared" ca="1" si="150"/>
        <v>#NAME?</v>
      </c>
      <c r="J795" s="100" t="e">
        <f ca="1">IFERROR(__xludf.DUMMYFUNCTION("""COMPUTED_VALUE"""),"-2.913")</f>
        <v>#NAME?</v>
      </c>
      <c r="K795" s="100" t="e">
        <f t="shared" ca="1" si="151"/>
        <v>#NAME?</v>
      </c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 spans="1:26">
      <c r="A796" s="100" t="e">
        <f ca="1">IFERROR(__xludf.DUMMYFUNCTION("""COMPUTED_VALUE"""),58784131)</f>
        <v>#NAME?</v>
      </c>
      <c r="B796" s="100" t="e">
        <f ca="1">IFERROR(__xludf.DUMMYFUNCTION("""COMPUTED_VALUE"""),"CHRUSDT")</f>
        <v>#NAME?</v>
      </c>
      <c r="C796" s="100" t="e">
        <f ca="1">IFERROR(__xludf.DUMMYFUNCTION("""COMPUTED_VALUE"""),"0.08820000")</f>
        <v>#NAME?</v>
      </c>
      <c r="D796" s="100" t="e">
        <f t="shared" ca="1" si="153"/>
        <v>#NAME?</v>
      </c>
      <c r="E796" s="100" t="e">
        <f t="shared" ca="1" si="153"/>
        <v>#NAME?</v>
      </c>
      <c r="F796" s="100" t="e">
        <f t="shared" ca="1" si="147"/>
        <v>#NAME?</v>
      </c>
      <c r="G796" s="100" t="e">
        <f t="shared" ca="1" si="148"/>
        <v>#NAME?</v>
      </c>
      <c r="H796" s="100" t="e">
        <f t="shared" ca="1" si="149"/>
        <v>#NAME?</v>
      </c>
      <c r="I796" s="100" t="e">
        <f t="shared" ca="1" si="150"/>
        <v>#NAME?</v>
      </c>
      <c r="J796" s="100" t="e">
        <f ca="1">IFERROR(__xludf.DUMMYFUNCTION("""COMPUTED_VALUE"""),"-1.232")</f>
        <v>#NAME?</v>
      </c>
      <c r="K796" s="100" t="e">
        <f t="shared" ca="1" si="151"/>
        <v>#NAME?</v>
      </c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 spans="1:26">
      <c r="A797" s="100" t="e">
        <f ca="1">IFERROR(__xludf.DUMMYFUNCTION("""COMPUTED_VALUE"""),58784132)</f>
        <v>#NAME?</v>
      </c>
      <c r="B797" s="100" t="e">
        <f ca="1">IFERROR(__xludf.DUMMYFUNCTION("""COMPUTED_VALUE"""),"BTCUPUSDT")</f>
        <v>#NAME?</v>
      </c>
      <c r="C797" s="100" t="e">
        <f ca="1">IFERROR(__xludf.DUMMYFUNCTION("""COMPUTED_VALUE"""),"16.60000000")</f>
        <v>#NAME?</v>
      </c>
      <c r="D797" s="100" t="e">
        <f t="shared" ca="1" si="153"/>
        <v>#NAME?</v>
      </c>
      <c r="E797" s="100" t="e">
        <f t="shared" ca="1" si="153"/>
        <v>#NAME?</v>
      </c>
      <c r="F797" s="100" t="e">
        <f t="shared" ca="1" si="147"/>
        <v>#NAME?</v>
      </c>
      <c r="G797" s="100" t="e">
        <f t="shared" ca="1" si="148"/>
        <v>#NAME?</v>
      </c>
      <c r="H797" s="100" t="e">
        <f t="shared" ca="1" si="149"/>
        <v>#NAME?</v>
      </c>
      <c r="I797" s="100" t="e">
        <f t="shared" ca="1" si="150"/>
        <v>#NAME?</v>
      </c>
      <c r="J797" s="100" t="e">
        <f ca="1">IFERROR(__xludf.DUMMYFUNCTION("""COMPUTED_VALUE"""),"0")</f>
        <v>#NAME?</v>
      </c>
      <c r="K797" s="100" t="e">
        <f t="shared" ca="1" si="151"/>
        <v>#NAME?</v>
      </c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 spans="1:26">
      <c r="A798" s="100" t="e">
        <f ca="1">IFERROR(__xludf.DUMMYFUNCTION("""COMPUTED_VALUE"""),58784133)</f>
        <v>#NAME?</v>
      </c>
      <c r="B798" s="100" t="e">
        <f ca="1">IFERROR(__xludf.DUMMYFUNCTION("""COMPUTED_VALUE"""),"BTCDOWNUSDT")</f>
        <v>#NAME?</v>
      </c>
      <c r="C798" s="100" t="e">
        <f ca="1">IFERROR(__xludf.DUMMYFUNCTION("""COMPUTED_VALUE"""),"0.00118500")</f>
        <v>#NAME?</v>
      </c>
      <c r="D798" s="100" t="e">
        <f t="shared" ca="1" si="153"/>
        <v>#NAME?</v>
      </c>
      <c r="E798" s="100" t="e">
        <f t="shared" ca="1" si="153"/>
        <v>#NAME?</v>
      </c>
      <c r="F798" s="100" t="e">
        <f t="shared" ca="1" si="147"/>
        <v>#NAME?</v>
      </c>
      <c r="G798" s="100" t="e">
        <f t="shared" ca="1" si="148"/>
        <v>#NAME?</v>
      </c>
      <c r="H798" s="100" t="e">
        <f t="shared" ca="1" si="149"/>
        <v>#NAME?</v>
      </c>
      <c r="I798" s="100" t="e">
        <f t="shared" ca="1" si="150"/>
        <v>#NAME?</v>
      </c>
      <c r="J798" s="100" t="e">
        <f ca="1">IFERROR(__xludf.DUMMYFUNCTION("""COMPUTED_VALUE"""),"0")</f>
        <v>#NAME?</v>
      </c>
      <c r="K798" s="100" t="e">
        <f t="shared" ca="1" si="151"/>
        <v>#NAME?</v>
      </c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 spans="1:26">
      <c r="A799" s="100" t="e">
        <f ca="1">IFERROR(__xludf.DUMMYFUNCTION("""COMPUTED_VALUE"""),58784134)</f>
        <v>#NAME?</v>
      </c>
      <c r="B799" s="100" t="e">
        <f ca="1">IFERROR(__xludf.DUMMYFUNCTION("""COMPUTED_VALUE"""),"GXSUSDT")</f>
        <v>#NAME?</v>
      </c>
      <c r="C799" s="100" t="e">
        <f ca="1">IFERROR(__xludf.DUMMYFUNCTION("""COMPUTED_VALUE"""),"0.00000000")</f>
        <v>#NAME?</v>
      </c>
      <c r="D799" s="100" t="e">
        <f t="shared" ca="1" si="153"/>
        <v>#NAME?</v>
      </c>
      <c r="E799" s="100" t="e">
        <f t="shared" ca="1" si="153"/>
        <v>#NAME?</v>
      </c>
      <c r="F799" s="100" t="e">
        <f t="shared" ca="1" si="147"/>
        <v>#NAME?</v>
      </c>
      <c r="G799" s="100" t="e">
        <f t="shared" ca="1" si="148"/>
        <v>#NAME?</v>
      </c>
      <c r="H799" s="100" t="e">
        <f t="shared" ca="1" si="149"/>
        <v>#NAME?</v>
      </c>
      <c r="I799" s="100" t="e">
        <f t="shared" ca="1" si="150"/>
        <v>#NAME?</v>
      </c>
      <c r="J799" s="100" t="e">
        <f ca="1">IFERROR(__xludf.DUMMYFUNCTION("""COMPUTED_VALUE"""),"0")</f>
        <v>#NAME?</v>
      </c>
      <c r="K799" s="100" t="e">
        <f t="shared" ca="1" si="151"/>
        <v>#NAME?</v>
      </c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 spans="1:26">
      <c r="A800" s="100" t="e">
        <f ca="1">IFERROR(__xludf.DUMMYFUNCTION("""COMPUTED_VALUE"""),58784135)</f>
        <v>#NAME?</v>
      </c>
      <c r="B800" s="100" t="e">
        <f ca="1">IFERROR(__xludf.DUMMYFUNCTION("""COMPUTED_VALUE"""),"ARDRUSDT")</f>
        <v>#NAME?</v>
      </c>
      <c r="C800" s="100" t="e">
        <f ca="1">IFERROR(__xludf.DUMMYFUNCTION("""COMPUTED_VALUE"""),"0.09101000")</f>
        <v>#NAME?</v>
      </c>
      <c r="D800" s="100" t="e">
        <f t="shared" ca="1" si="153"/>
        <v>#NAME?</v>
      </c>
      <c r="E800" s="100" t="e">
        <f t="shared" ca="1" si="153"/>
        <v>#NAME?</v>
      </c>
      <c r="F800" s="100" t="e">
        <f t="shared" ca="1" si="147"/>
        <v>#NAME?</v>
      </c>
      <c r="G800" s="100" t="e">
        <f t="shared" ca="1" si="148"/>
        <v>#NAME?</v>
      </c>
      <c r="H800" s="100" t="e">
        <f t="shared" ca="1" si="149"/>
        <v>#NAME?</v>
      </c>
      <c r="I800" s="100" t="e">
        <f t="shared" ca="1" si="150"/>
        <v>#NAME?</v>
      </c>
      <c r="J800" s="100" t="e">
        <f ca="1">IFERROR(__xludf.DUMMYFUNCTION("""COMPUTED_VALUE"""),"-6.368")</f>
        <v>#NAME?</v>
      </c>
      <c r="K800" s="100" t="e">
        <f t="shared" ca="1" si="151"/>
        <v>#NAME?</v>
      </c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 spans="1:26">
      <c r="A801" s="100" t="e">
        <f ca="1">IFERROR(__xludf.DUMMYFUNCTION("""COMPUTED_VALUE"""),58784136)</f>
        <v>#NAME?</v>
      </c>
      <c r="B801" s="100" t="e">
        <f ca="1">IFERROR(__xludf.DUMMYFUNCTION("""COMPUTED_VALUE"""),"ERDBUSD")</f>
        <v>#NAME?</v>
      </c>
      <c r="C801" s="100" t="e">
        <f ca="1">IFERROR(__xludf.DUMMYFUNCTION("""COMPUTED_VALUE"""),"0.00000000")</f>
        <v>#NAME?</v>
      </c>
      <c r="D801" s="100" t="e">
        <f t="shared" ca="1" si="153"/>
        <v>#NAME?</v>
      </c>
      <c r="E801" s="100" t="e">
        <f t="shared" ca="1" si="153"/>
        <v>#NAME?</v>
      </c>
      <c r="F801" s="100" t="e">
        <f t="shared" ca="1" si="147"/>
        <v>#NAME?</v>
      </c>
      <c r="G801" s="100" t="e">
        <f t="shared" ca="1" si="148"/>
        <v>#NAME?</v>
      </c>
      <c r="H801" s="100" t="e">
        <f t="shared" ca="1" si="149"/>
        <v>#NAME?</v>
      </c>
      <c r="I801" s="100" t="e">
        <f t="shared" ca="1" si="150"/>
        <v>#NAME?</v>
      </c>
      <c r="J801" s="100" t="e">
        <f t="shared" ref="J801:J808" ca="1" si="154">IFERROR(__xludf.DUMMYFUNCTION("""COMPUTED_VALUE"""),"0")</f>
        <v>#NAME?</v>
      </c>
      <c r="K801" s="100" t="e">
        <f t="shared" ca="1" si="151"/>
        <v>#NAME?</v>
      </c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 spans="1:26">
      <c r="A802" s="100" t="e">
        <f ca="1">IFERROR(__xludf.DUMMYFUNCTION("""COMPUTED_VALUE"""),58784137)</f>
        <v>#NAME?</v>
      </c>
      <c r="B802" s="100" t="e">
        <f ca="1">IFERROR(__xludf.DUMMYFUNCTION("""COMPUTED_VALUE"""),"LENDUSDT")</f>
        <v>#NAME?</v>
      </c>
      <c r="C802" s="100" t="e">
        <f ca="1">IFERROR(__xludf.DUMMYFUNCTION("""COMPUTED_VALUE"""),"0.00000000")</f>
        <v>#NAME?</v>
      </c>
      <c r="D802" s="100" t="e">
        <f t="shared" ref="D802:E821" ca="1" si="155">IFERROR(__xludf.DUMMYFUNCTION("""COMPUTED_VALUE"""),"-")</f>
        <v>#NAME?</v>
      </c>
      <c r="E802" s="100" t="e">
        <f t="shared" ca="1" si="155"/>
        <v>#NAME?</v>
      </c>
      <c r="F802" s="100" t="e">
        <f t="shared" ca="1" si="147"/>
        <v>#NAME?</v>
      </c>
      <c r="G802" s="100" t="e">
        <f t="shared" ca="1" si="148"/>
        <v>#NAME?</v>
      </c>
      <c r="H802" s="100" t="e">
        <f t="shared" ca="1" si="149"/>
        <v>#NAME?</v>
      </c>
      <c r="I802" s="100" t="e">
        <f t="shared" ca="1" si="150"/>
        <v>#NAME?</v>
      </c>
      <c r="J802" s="100" t="e">
        <f t="shared" ca="1" si="154"/>
        <v>#NAME?</v>
      </c>
      <c r="K802" s="100" t="e">
        <f t="shared" ca="1" si="151"/>
        <v>#NAME?</v>
      </c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 spans="1:26">
      <c r="A803" s="100" t="e">
        <f ca="1">IFERROR(__xludf.DUMMYFUNCTION("""COMPUTED_VALUE"""),58784138)</f>
        <v>#NAME?</v>
      </c>
      <c r="B803" s="100" t="e">
        <f ca="1">IFERROR(__xludf.DUMMYFUNCTION("""COMPUTED_VALUE"""),"HBARBUSD")</f>
        <v>#NAME?</v>
      </c>
      <c r="C803" s="100" t="e">
        <f ca="1">IFERROR(__xludf.DUMMYFUNCTION("""COMPUTED_VALUE"""),"0.06020000")</f>
        <v>#NAME?</v>
      </c>
      <c r="D803" s="100" t="e">
        <f t="shared" ca="1" si="155"/>
        <v>#NAME?</v>
      </c>
      <c r="E803" s="100" t="e">
        <f t="shared" ca="1" si="155"/>
        <v>#NAME?</v>
      </c>
      <c r="F803" s="100" t="e">
        <f t="shared" ca="1" si="147"/>
        <v>#NAME?</v>
      </c>
      <c r="G803" s="100" t="e">
        <f t="shared" ca="1" si="148"/>
        <v>#NAME?</v>
      </c>
      <c r="H803" s="100" t="e">
        <f t="shared" ca="1" si="149"/>
        <v>#NAME?</v>
      </c>
      <c r="I803" s="100" t="e">
        <f t="shared" ca="1" si="150"/>
        <v>#NAME?</v>
      </c>
      <c r="J803" s="100" t="e">
        <f t="shared" ca="1" si="154"/>
        <v>#NAME?</v>
      </c>
      <c r="K803" s="100" t="e">
        <f t="shared" ca="1" si="151"/>
        <v>#NAME?</v>
      </c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 spans="1:26">
      <c r="A804" s="100" t="e">
        <f ca="1">IFERROR(__xludf.DUMMYFUNCTION("""COMPUTED_VALUE"""),58784139)</f>
        <v>#NAME?</v>
      </c>
      <c r="B804" s="100" t="e">
        <f ca="1">IFERROR(__xludf.DUMMYFUNCTION("""COMPUTED_VALUE"""),"MATICBUSD")</f>
        <v>#NAME?</v>
      </c>
      <c r="C804" s="100" t="e">
        <f ca="1">IFERROR(__xludf.DUMMYFUNCTION("""COMPUTED_VALUE"""),"0.86590000")</f>
        <v>#NAME?</v>
      </c>
      <c r="D804" s="100" t="e">
        <f t="shared" ca="1" si="155"/>
        <v>#NAME?</v>
      </c>
      <c r="E804" s="100" t="e">
        <f t="shared" ca="1" si="155"/>
        <v>#NAME?</v>
      </c>
      <c r="F804" s="100" t="e">
        <f t="shared" ca="1" si="147"/>
        <v>#NAME?</v>
      </c>
      <c r="G804" s="100" t="e">
        <f t="shared" ca="1" si="148"/>
        <v>#NAME?</v>
      </c>
      <c r="H804" s="100" t="e">
        <f t="shared" ca="1" si="149"/>
        <v>#NAME?</v>
      </c>
      <c r="I804" s="100" t="e">
        <f t="shared" ca="1" si="150"/>
        <v>#NAME?</v>
      </c>
      <c r="J804" s="100" t="e">
        <f t="shared" ca="1" si="154"/>
        <v>#NAME?</v>
      </c>
      <c r="K804" s="100" t="e">
        <f t="shared" ca="1" si="151"/>
        <v>#NAME?</v>
      </c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 spans="1:26">
      <c r="A805" s="100" t="e">
        <f ca="1">IFERROR(__xludf.DUMMYFUNCTION("""COMPUTED_VALUE"""),58784140)</f>
        <v>#NAME?</v>
      </c>
      <c r="B805" s="100" t="e">
        <f ca="1">IFERROR(__xludf.DUMMYFUNCTION("""COMPUTED_VALUE"""),"WRXBUSD")</f>
        <v>#NAME?</v>
      </c>
      <c r="C805" s="100" t="e">
        <f ca="1">IFERROR(__xludf.DUMMYFUNCTION("""COMPUTED_VALUE"""),"0.11050000")</f>
        <v>#NAME?</v>
      </c>
      <c r="D805" s="100" t="e">
        <f t="shared" ca="1" si="155"/>
        <v>#NAME?</v>
      </c>
      <c r="E805" s="100" t="e">
        <f t="shared" ca="1" si="155"/>
        <v>#NAME?</v>
      </c>
      <c r="F805" s="100" t="e">
        <f t="shared" ca="1" si="147"/>
        <v>#NAME?</v>
      </c>
      <c r="G805" s="100" t="e">
        <f t="shared" ca="1" si="148"/>
        <v>#NAME?</v>
      </c>
      <c r="H805" s="100" t="e">
        <f t="shared" ca="1" si="149"/>
        <v>#NAME?</v>
      </c>
      <c r="I805" s="100" t="e">
        <f t="shared" ca="1" si="150"/>
        <v>#NAME?</v>
      </c>
      <c r="J805" s="100" t="e">
        <f t="shared" ca="1" si="154"/>
        <v>#NAME?</v>
      </c>
      <c r="K805" s="100" t="e">
        <f t="shared" ca="1" si="151"/>
        <v>#NAME?</v>
      </c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 spans="1:26">
      <c r="A806" s="100" t="e">
        <f ca="1">IFERROR(__xludf.DUMMYFUNCTION("""COMPUTED_VALUE"""),58784141)</f>
        <v>#NAME?</v>
      </c>
      <c r="B806" s="100" t="e">
        <f ca="1">IFERROR(__xludf.DUMMYFUNCTION("""COMPUTED_VALUE"""),"ZILBUSD")</f>
        <v>#NAME?</v>
      </c>
      <c r="C806" s="100" t="e">
        <f ca="1">IFERROR(__xludf.DUMMYFUNCTION("""COMPUTED_VALUE"""),"0.01583000")</f>
        <v>#NAME?</v>
      </c>
      <c r="D806" s="100" t="e">
        <f t="shared" ca="1" si="155"/>
        <v>#NAME?</v>
      </c>
      <c r="E806" s="100" t="e">
        <f t="shared" ca="1" si="155"/>
        <v>#NAME?</v>
      </c>
      <c r="F806" s="100" t="e">
        <f t="shared" ca="1" si="147"/>
        <v>#NAME?</v>
      </c>
      <c r="G806" s="100" t="e">
        <f t="shared" ca="1" si="148"/>
        <v>#NAME?</v>
      </c>
      <c r="H806" s="100" t="e">
        <f t="shared" ca="1" si="149"/>
        <v>#NAME?</v>
      </c>
      <c r="I806" s="100" t="e">
        <f t="shared" ca="1" si="150"/>
        <v>#NAME?</v>
      </c>
      <c r="J806" s="100" t="e">
        <f t="shared" ca="1" si="154"/>
        <v>#NAME?</v>
      </c>
      <c r="K806" s="100" t="e">
        <f t="shared" ca="1" si="151"/>
        <v>#NAME?</v>
      </c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 spans="1:26">
      <c r="A807" s="100" t="e">
        <f ca="1">IFERROR(__xludf.DUMMYFUNCTION("""COMPUTED_VALUE"""),58784142)</f>
        <v>#NAME?</v>
      </c>
      <c r="B807" s="100" t="e">
        <f ca="1">IFERROR(__xludf.DUMMYFUNCTION("""COMPUTED_VALUE"""),"MDTBNB")</f>
        <v>#NAME?</v>
      </c>
      <c r="C807" s="100" t="e">
        <f ca="1">IFERROR(__xludf.DUMMYFUNCTION("""COMPUTED_VALUE"""),"0.00000000")</f>
        <v>#NAME?</v>
      </c>
      <c r="D807" s="100" t="e">
        <f t="shared" ca="1" si="155"/>
        <v>#NAME?</v>
      </c>
      <c r="E807" s="100" t="e">
        <f t="shared" ca="1" si="155"/>
        <v>#NAME?</v>
      </c>
      <c r="F807" s="100" t="e">
        <f t="shared" ca="1" si="147"/>
        <v>#NAME?</v>
      </c>
      <c r="G807" s="100" t="e">
        <f t="shared" ca="1" si="148"/>
        <v>#NAME?</v>
      </c>
      <c r="H807" s="100" t="e">
        <f t="shared" ca="1" si="149"/>
        <v>#NAME?</v>
      </c>
      <c r="I807" s="100" t="e">
        <f t="shared" ca="1" si="150"/>
        <v>#NAME?</v>
      </c>
      <c r="J807" s="100" t="e">
        <f t="shared" ca="1" si="154"/>
        <v>#NAME?</v>
      </c>
      <c r="K807" s="100" t="e">
        <f t="shared" ca="1" si="151"/>
        <v>#NAME?</v>
      </c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 spans="1:26">
      <c r="A808" s="100" t="e">
        <f ca="1">IFERROR(__xludf.DUMMYFUNCTION("""COMPUTED_VALUE"""),58784143)</f>
        <v>#NAME?</v>
      </c>
      <c r="B808" s="100" t="e">
        <f ca="1">IFERROR(__xludf.DUMMYFUNCTION("""COMPUTED_VALUE"""),"MDTBTC")</f>
        <v>#NAME?</v>
      </c>
      <c r="C808" s="100" t="e">
        <f ca="1">IFERROR(__xludf.DUMMYFUNCTION("""COMPUTED_VALUE"""),"0.00000030")</f>
        <v>#NAME?</v>
      </c>
      <c r="D808" s="100" t="e">
        <f t="shared" ca="1" si="155"/>
        <v>#NAME?</v>
      </c>
      <c r="E808" s="100" t="e">
        <f t="shared" ca="1" si="155"/>
        <v>#NAME?</v>
      </c>
      <c r="F808" s="100" t="e">
        <f t="shared" ca="1" si="147"/>
        <v>#NAME?</v>
      </c>
      <c r="G808" s="100" t="e">
        <f t="shared" ca="1" si="148"/>
        <v>#NAME?</v>
      </c>
      <c r="H808" s="100" t="e">
        <f t="shared" ca="1" si="149"/>
        <v>#NAME?</v>
      </c>
      <c r="I808" s="100" t="e">
        <f t="shared" ca="1" si="150"/>
        <v>#NAME?</v>
      </c>
      <c r="J808" s="100" t="e">
        <f t="shared" ca="1" si="154"/>
        <v>#NAME?</v>
      </c>
      <c r="K808" s="100" t="e">
        <f t="shared" ca="1" si="151"/>
        <v>#NAME?</v>
      </c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 spans="1:26">
      <c r="A809" s="100" t="e">
        <f ca="1">IFERROR(__xludf.DUMMYFUNCTION("""COMPUTED_VALUE"""),58784144)</f>
        <v>#NAME?</v>
      </c>
      <c r="B809" s="100" t="e">
        <f ca="1">IFERROR(__xludf.DUMMYFUNCTION("""COMPUTED_VALUE"""),"MDTUSDT")</f>
        <v>#NAME?</v>
      </c>
      <c r="C809" s="100" t="e">
        <f ca="1">IFERROR(__xludf.DUMMYFUNCTION("""COMPUTED_VALUE"""),"0.02831000")</f>
        <v>#NAME?</v>
      </c>
      <c r="D809" s="100" t="e">
        <f t="shared" ca="1" si="155"/>
        <v>#NAME?</v>
      </c>
      <c r="E809" s="100" t="e">
        <f t="shared" ca="1" si="155"/>
        <v>#NAME?</v>
      </c>
      <c r="F809" s="100" t="e">
        <f t="shared" ca="1" si="147"/>
        <v>#NAME?</v>
      </c>
      <c r="G809" s="100" t="e">
        <f t="shared" ca="1" si="148"/>
        <v>#NAME?</v>
      </c>
      <c r="H809" s="100" t="e">
        <f t="shared" ca="1" si="149"/>
        <v>#NAME?</v>
      </c>
      <c r="I809" s="100" t="e">
        <f t="shared" ca="1" si="150"/>
        <v>#NAME?</v>
      </c>
      <c r="J809" s="100" t="e">
        <f ca="1">IFERROR(__xludf.DUMMYFUNCTION("""COMPUTED_VALUE"""),"-1.359")</f>
        <v>#NAME?</v>
      </c>
      <c r="K809" s="100" t="e">
        <f t="shared" ca="1" si="151"/>
        <v>#NAME?</v>
      </c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 spans="1:26">
      <c r="A810" s="100" t="e">
        <f ca="1">IFERROR(__xludf.DUMMYFUNCTION("""COMPUTED_VALUE"""),58784145)</f>
        <v>#NAME?</v>
      </c>
      <c r="B810" s="100" t="e">
        <f ca="1">IFERROR(__xludf.DUMMYFUNCTION("""COMPUTED_VALUE"""),"STMXBTC")</f>
        <v>#NAME?</v>
      </c>
      <c r="C810" s="100" t="e">
        <f ca="1">IFERROR(__xludf.DUMMYFUNCTION("""COMPUTED_VALUE"""),"0.00000016")</f>
        <v>#NAME?</v>
      </c>
      <c r="D810" s="100" t="e">
        <f t="shared" ca="1" si="155"/>
        <v>#NAME?</v>
      </c>
      <c r="E810" s="100" t="e">
        <f t="shared" ca="1" si="155"/>
        <v>#NAME?</v>
      </c>
      <c r="F810" s="100" t="e">
        <f t="shared" ca="1" si="147"/>
        <v>#NAME?</v>
      </c>
      <c r="G810" s="100" t="e">
        <f t="shared" ca="1" si="148"/>
        <v>#NAME?</v>
      </c>
      <c r="H810" s="100" t="e">
        <f t="shared" ca="1" si="149"/>
        <v>#NAME?</v>
      </c>
      <c r="I810" s="100" t="e">
        <f t="shared" ca="1" si="150"/>
        <v>#NAME?</v>
      </c>
      <c r="J810" s="100" t="e">
        <f ca="1">IFERROR(__xludf.DUMMYFUNCTION("""COMPUTED_VALUE"""),"0")</f>
        <v>#NAME?</v>
      </c>
      <c r="K810" s="100" t="e">
        <f t="shared" ca="1" si="151"/>
        <v>#NAME?</v>
      </c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 spans="1:26">
      <c r="A811" s="100" t="e">
        <f ca="1">IFERROR(__xludf.DUMMYFUNCTION("""COMPUTED_VALUE"""),58784146)</f>
        <v>#NAME?</v>
      </c>
      <c r="B811" s="100" t="e">
        <f ca="1">IFERROR(__xludf.DUMMYFUNCTION("""COMPUTED_VALUE"""),"STMXETH")</f>
        <v>#NAME?</v>
      </c>
      <c r="C811" s="100" t="e">
        <f ca="1">IFERROR(__xludf.DUMMYFUNCTION("""COMPUTED_VALUE"""),"0.00000292")</f>
        <v>#NAME?</v>
      </c>
      <c r="D811" s="100" t="e">
        <f t="shared" ca="1" si="155"/>
        <v>#NAME?</v>
      </c>
      <c r="E811" s="100" t="e">
        <f t="shared" ca="1" si="155"/>
        <v>#NAME?</v>
      </c>
      <c r="F811" s="100" t="e">
        <f t="shared" ca="1" si="147"/>
        <v>#NAME?</v>
      </c>
      <c r="G811" s="100" t="e">
        <f t="shared" ca="1" si="148"/>
        <v>#NAME?</v>
      </c>
      <c r="H811" s="100" t="e">
        <f t="shared" ca="1" si="149"/>
        <v>#NAME?</v>
      </c>
      <c r="I811" s="100" t="e">
        <f t="shared" ca="1" si="150"/>
        <v>#NAME?</v>
      </c>
      <c r="J811" s="100" t="e">
        <f ca="1">IFERROR(__xludf.DUMMYFUNCTION("""COMPUTED_VALUE"""),"0")</f>
        <v>#NAME?</v>
      </c>
      <c r="K811" s="100" t="e">
        <f t="shared" ca="1" si="151"/>
        <v>#NAME?</v>
      </c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 spans="1:26">
      <c r="A812" s="100" t="e">
        <f ca="1">IFERROR(__xludf.DUMMYFUNCTION("""COMPUTED_VALUE"""),58784147)</f>
        <v>#NAME?</v>
      </c>
      <c r="B812" s="100" t="e">
        <f ca="1">IFERROR(__xludf.DUMMYFUNCTION("""COMPUTED_VALUE"""),"STMXUSDT")</f>
        <v>#NAME?</v>
      </c>
      <c r="C812" s="100" t="e">
        <f ca="1">IFERROR(__xludf.DUMMYFUNCTION("""COMPUTED_VALUE"""),"0.00456500")</f>
        <v>#NAME?</v>
      </c>
      <c r="D812" s="100" t="e">
        <f t="shared" ca="1" si="155"/>
        <v>#NAME?</v>
      </c>
      <c r="E812" s="100" t="e">
        <f t="shared" ca="1" si="155"/>
        <v>#NAME?</v>
      </c>
      <c r="F812" s="100" t="e">
        <f t="shared" ca="1" si="147"/>
        <v>#NAME?</v>
      </c>
      <c r="G812" s="100" t="e">
        <f t="shared" ca="1" si="148"/>
        <v>#NAME?</v>
      </c>
      <c r="H812" s="100" t="e">
        <f t="shared" ca="1" si="149"/>
        <v>#NAME?</v>
      </c>
      <c r="I812" s="100" t="e">
        <f t="shared" ca="1" si="150"/>
        <v>#NAME?</v>
      </c>
      <c r="J812" s="100" t="e">
        <f ca="1">IFERROR(__xludf.DUMMYFUNCTION("""COMPUTED_VALUE"""),"0")</f>
        <v>#NAME?</v>
      </c>
      <c r="K812" s="100" t="e">
        <f t="shared" ca="1" si="151"/>
        <v>#NAME?</v>
      </c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 spans="1:26">
      <c r="A813" s="100" t="e">
        <f ca="1">IFERROR(__xludf.DUMMYFUNCTION("""COMPUTED_VALUE"""),58784148)</f>
        <v>#NAME?</v>
      </c>
      <c r="B813" s="100" t="e">
        <f ca="1">IFERROR(__xludf.DUMMYFUNCTION("""COMPUTED_VALUE"""),"KNCBUSD")</f>
        <v>#NAME?</v>
      </c>
      <c r="C813" s="100" t="e">
        <f ca="1">IFERROR(__xludf.DUMMYFUNCTION("""COMPUTED_VALUE"""),"0.63700000")</f>
        <v>#NAME?</v>
      </c>
      <c r="D813" s="100" t="e">
        <f t="shared" ca="1" si="155"/>
        <v>#NAME?</v>
      </c>
      <c r="E813" s="100" t="e">
        <f t="shared" ca="1" si="155"/>
        <v>#NAME?</v>
      </c>
      <c r="F813" s="100" t="e">
        <f t="shared" ca="1" si="147"/>
        <v>#NAME?</v>
      </c>
      <c r="G813" s="100" t="e">
        <f t="shared" ca="1" si="148"/>
        <v>#NAME?</v>
      </c>
      <c r="H813" s="100" t="e">
        <f t="shared" ca="1" si="149"/>
        <v>#NAME?</v>
      </c>
      <c r="I813" s="100" t="e">
        <f t="shared" ca="1" si="150"/>
        <v>#NAME?</v>
      </c>
      <c r="J813" s="100" t="e">
        <f ca="1">IFERROR(__xludf.DUMMYFUNCTION("""COMPUTED_VALUE"""),"0")</f>
        <v>#NAME?</v>
      </c>
      <c r="K813" s="100" t="e">
        <f t="shared" ca="1" si="151"/>
        <v>#NAME?</v>
      </c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 spans="1:26">
      <c r="A814" s="100" t="e">
        <f ca="1">IFERROR(__xludf.DUMMYFUNCTION("""COMPUTED_VALUE"""),58784149)</f>
        <v>#NAME?</v>
      </c>
      <c r="B814" s="100" t="e">
        <f ca="1">IFERROR(__xludf.DUMMYFUNCTION("""COMPUTED_VALUE"""),"KNCUSDT")</f>
        <v>#NAME?</v>
      </c>
      <c r="C814" s="100" t="e">
        <f ca="1">IFERROR(__xludf.DUMMYFUNCTION("""COMPUTED_VALUE"""),"0.34400000")</f>
        <v>#NAME?</v>
      </c>
      <c r="D814" s="100" t="e">
        <f t="shared" ca="1" si="155"/>
        <v>#NAME?</v>
      </c>
      <c r="E814" s="100" t="e">
        <f t="shared" ca="1" si="155"/>
        <v>#NAME?</v>
      </c>
      <c r="F814" s="100" t="e">
        <f t="shared" ca="1" si="147"/>
        <v>#NAME?</v>
      </c>
      <c r="G814" s="100" t="e">
        <f t="shared" ca="1" si="148"/>
        <v>#NAME?</v>
      </c>
      <c r="H814" s="100" t="e">
        <f t="shared" ca="1" si="149"/>
        <v>#NAME?</v>
      </c>
      <c r="I814" s="100" t="e">
        <f t="shared" ca="1" si="150"/>
        <v>#NAME?</v>
      </c>
      <c r="J814" s="100" t="e">
        <f ca="1">IFERROR(__xludf.DUMMYFUNCTION("""COMPUTED_VALUE"""),"-3.126")</f>
        <v>#NAME?</v>
      </c>
      <c r="K814" s="100" t="e">
        <f t="shared" ca="1" si="151"/>
        <v>#NAME?</v>
      </c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 spans="1:26">
      <c r="A815" s="100" t="e">
        <f ca="1">IFERROR(__xludf.DUMMYFUNCTION("""COMPUTED_VALUE"""),58784150)</f>
        <v>#NAME?</v>
      </c>
      <c r="B815" s="100" t="e">
        <f ca="1">IFERROR(__xludf.DUMMYFUNCTION("""COMPUTED_VALUE"""),"REPBUSD")</f>
        <v>#NAME?</v>
      </c>
      <c r="C815" s="100" t="e">
        <f ca="1">IFERROR(__xludf.DUMMYFUNCTION("""COMPUTED_VALUE"""),"0.00000000")</f>
        <v>#NAME?</v>
      </c>
      <c r="D815" s="100" t="e">
        <f t="shared" ca="1" si="155"/>
        <v>#NAME?</v>
      </c>
      <c r="E815" s="100" t="e">
        <f t="shared" ca="1" si="155"/>
        <v>#NAME?</v>
      </c>
      <c r="F815" s="100" t="e">
        <f t="shared" ca="1" si="147"/>
        <v>#NAME?</v>
      </c>
      <c r="G815" s="100" t="e">
        <f t="shared" ca="1" si="148"/>
        <v>#NAME?</v>
      </c>
      <c r="H815" s="100" t="e">
        <f t="shared" ca="1" si="149"/>
        <v>#NAME?</v>
      </c>
      <c r="I815" s="100" t="e">
        <f t="shared" ca="1" si="150"/>
        <v>#NAME?</v>
      </c>
      <c r="J815" s="100" t="e">
        <f ca="1">IFERROR(__xludf.DUMMYFUNCTION("""COMPUTED_VALUE"""),"0")</f>
        <v>#NAME?</v>
      </c>
      <c r="K815" s="100" t="e">
        <f t="shared" ca="1" si="151"/>
        <v>#NAME?</v>
      </c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 spans="1:26">
      <c r="A816" s="100" t="e">
        <f ca="1">IFERROR(__xludf.DUMMYFUNCTION("""COMPUTED_VALUE"""),58784151)</f>
        <v>#NAME?</v>
      </c>
      <c r="B816" s="100" t="e">
        <f ca="1">IFERROR(__xludf.DUMMYFUNCTION("""COMPUTED_VALUE"""),"REPUSDT")</f>
        <v>#NAME?</v>
      </c>
      <c r="C816" s="100" t="e">
        <f ca="1">IFERROR(__xludf.DUMMYFUNCTION("""COMPUTED_VALUE"""),"4.73000000")</f>
        <v>#NAME?</v>
      </c>
      <c r="D816" s="100" t="e">
        <f t="shared" ca="1" si="155"/>
        <v>#NAME?</v>
      </c>
      <c r="E816" s="100" t="e">
        <f t="shared" ca="1" si="155"/>
        <v>#NAME?</v>
      </c>
      <c r="F816" s="100" t="e">
        <f t="shared" ca="1" si="147"/>
        <v>#NAME?</v>
      </c>
      <c r="G816" s="100" t="e">
        <f t="shared" ca="1" si="148"/>
        <v>#NAME?</v>
      </c>
      <c r="H816" s="100" t="e">
        <f t="shared" ca="1" si="149"/>
        <v>#NAME?</v>
      </c>
      <c r="I816" s="100" t="e">
        <f t="shared" ca="1" si="150"/>
        <v>#NAME?</v>
      </c>
      <c r="J816" s="100" t="e">
        <f ca="1">IFERROR(__xludf.DUMMYFUNCTION("""COMPUTED_VALUE"""),"0")</f>
        <v>#NAME?</v>
      </c>
      <c r="K816" s="100" t="e">
        <f t="shared" ca="1" si="151"/>
        <v>#NAME?</v>
      </c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 spans="1:26">
      <c r="A817" s="100" t="e">
        <f ca="1">IFERROR(__xludf.DUMMYFUNCTION("""COMPUTED_VALUE"""),58784152)</f>
        <v>#NAME?</v>
      </c>
      <c r="B817" s="100" t="e">
        <f ca="1">IFERROR(__xludf.DUMMYFUNCTION("""COMPUTED_VALUE"""),"LRCBUSD")</f>
        <v>#NAME?</v>
      </c>
      <c r="C817" s="100" t="e">
        <f ca="1">IFERROR(__xludf.DUMMYFUNCTION("""COMPUTED_VALUE"""),"0.17280000")</f>
        <v>#NAME?</v>
      </c>
      <c r="D817" s="100" t="e">
        <f t="shared" ca="1" si="155"/>
        <v>#NAME?</v>
      </c>
      <c r="E817" s="100" t="e">
        <f t="shared" ca="1" si="155"/>
        <v>#NAME?</v>
      </c>
      <c r="F817" s="100" t="e">
        <f t="shared" ca="1" si="147"/>
        <v>#NAME?</v>
      </c>
      <c r="G817" s="100" t="e">
        <f t="shared" ca="1" si="148"/>
        <v>#NAME?</v>
      </c>
      <c r="H817" s="100" t="e">
        <f t="shared" ca="1" si="149"/>
        <v>#NAME?</v>
      </c>
      <c r="I817" s="100" t="e">
        <f t="shared" ca="1" si="150"/>
        <v>#NAME?</v>
      </c>
      <c r="J817" s="100" t="e">
        <f ca="1">IFERROR(__xludf.DUMMYFUNCTION("""COMPUTED_VALUE"""),"0")</f>
        <v>#NAME?</v>
      </c>
      <c r="K817" s="100" t="e">
        <f t="shared" ca="1" si="151"/>
        <v>#NAME?</v>
      </c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 spans="1:26">
      <c r="A818" s="100" t="e">
        <f ca="1">IFERROR(__xludf.DUMMYFUNCTION("""COMPUTED_VALUE"""),58784153)</f>
        <v>#NAME?</v>
      </c>
      <c r="B818" s="100" t="e">
        <f ca="1">IFERROR(__xludf.DUMMYFUNCTION("""COMPUTED_VALUE"""),"LRCUSDT")</f>
        <v>#NAME?</v>
      </c>
      <c r="C818" s="100" t="e">
        <f ca="1">IFERROR(__xludf.DUMMYFUNCTION("""COMPUTED_VALUE"""),"0.09430000")</f>
        <v>#NAME?</v>
      </c>
      <c r="D818" s="100" t="e">
        <f t="shared" ca="1" si="155"/>
        <v>#NAME?</v>
      </c>
      <c r="E818" s="100" t="e">
        <f t="shared" ca="1" si="155"/>
        <v>#NAME?</v>
      </c>
      <c r="F818" s="100" t="e">
        <f t="shared" ca="1" si="147"/>
        <v>#NAME?</v>
      </c>
      <c r="G818" s="100" t="e">
        <f t="shared" ca="1" si="148"/>
        <v>#NAME?</v>
      </c>
      <c r="H818" s="100" t="e">
        <f t="shared" ca="1" si="149"/>
        <v>#NAME?</v>
      </c>
      <c r="I818" s="100" t="e">
        <f t="shared" ca="1" si="150"/>
        <v>#NAME?</v>
      </c>
      <c r="J818" s="100" t="e">
        <f ca="1">IFERROR(__xludf.DUMMYFUNCTION("""COMPUTED_VALUE"""),"-1.463")</f>
        <v>#NAME?</v>
      </c>
      <c r="K818" s="100" t="e">
        <f t="shared" ca="1" si="151"/>
        <v>#NAME?</v>
      </c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 spans="1:26">
      <c r="A819" s="100" t="e">
        <f ca="1">IFERROR(__xludf.DUMMYFUNCTION("""COMPUTED_VALUE"""),58784154)</f>
        <v>#NAME?</v>
      </c>
      <c r="B819" s="100" t="e">
        <f ca="1">IFERROR(__xludf.DUMMYFUNCTION("""COMPUTED_VALUE"""),"IQBNB")</f>
        <v>#NAME?</v>
      </c>
      <c r="C819" s="100" t="e">
        <f ca="1">IFERROR(__xludf.DUMMYFUNCTION("""COMPUTED_VALUE"""),"0.00000000")</f>
        <v>#NAME?</v>
      </c>
      <c r="D819" s="100" t="e">
        <f t="shared" ca="1" si="155"/>
        <v>#NAME?</v>
      </c>
      <c r="E819" s="100" t="e">
        <f t="shared" ca="1" si="155"/>
        <v>#NAME?</v>
      </c>
      <c r="F819" s="100" t="e">
        <f t="shared" ca="1" si="147"/>
        <v>#NAME?</v>
      </c>
      <c r="G819" s="100" t="e">
        <f t="shared" ca="1" si="148"/>
        <v>#NAME?</v>
      </c>
      <c r="H819" s="100" t="e">
        <f t="shared" ca="1" si="149"/>
        <v>#NAME?</v>
      </c>
      <c r="I819" s="100" t="e">
        <f t="shared" ca="1" si="150"/>
        <v>#NAME?</v>
      </c>
      <c r="J819" s="100" t="e">
        <f t="shared" ref="J819:J829" ca="1" si="156">IFERROR(__xludf.DUMMYFUNCTION("""COMPUTED_VALUE"""),"0")</f>
        <v>#NAME?</v>
      </c>
      <c r="K819" s="100" t="e">
        <f t="shared" ca="1" si="151"/>
        <v>#NAME?</v>
      </c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 spans="1:26">
      <c r="A820" s="100" t="e">
        <f ca="1">IFERROR(__xludf.DUMMYFUNCTION("""COMPUTED_VALUE"""),58784155)</f>
        <v>#NAME?</v>
      </c>
      <c r="B820" s="100" t="e">
        <f ca="1">IFERROR(__xludf.DUMMYFUNCTION("""COMPUTED_VALUE"""),"IQBUSD")</f>
        <v>#NAME?</v>
      </c>
      <c r="C820" s="100" t="e">
        <f ca="1">IFERROR(__xludf.DUMMYFUNCTION("""COMPUTED_VALUE"""),"0.00502000")</f>
        <v>#NAME?</v>
      </c>
      <c r="D820" s="100" t="e">
        <f t="shared" ca="1" si="155"/>
        <v>#NAME?</v>
      </c>
      <c r="E820" s="100" t="e">
        <f t="shared" ca="1" si="155"/>
        <v>#NAME?</v>
      </c>
      <c r="F820" s="100" t="e">
        <f t="shared" ca="1" si="147"/>
        <v>#NAME?</v>
      </c>
      <c r="G820" s="100" t="e">
        <f t="shared" ca="1" si="148"/>
        <v>#NAME?</v>
      </c>
      <c r="H820" s="100" t="e">
        <f t="shared" ca="1" si="149"/>
        <v>#NAME?</v>
      </c>
      <c r="I820" s="100" t="e">
        <f t="shared" ca="1" si="150"/>
        <v>#NAME?</v>
      </c>
      <c r="J820" s="100" t="e">
        <f t="shared" ca="1" si="156"/>
        <v>#NAME?</v>
      </c>
      <c r="K820" s="100" t="e">
        <f t="shared" ca="1" si="151"/>
        <v>#NAME?</v>
      </c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 spans="1:26">
      <c r="A821" s="100" t="e">
        <f ca="1">IFERROR(__xludf.DUMMYFUNCTION("""COMPUTED_VALUE"""),58784156)</f>
        <v>#NAME?</v>
      </c>
      <c r="B821" s="100" t="e">
        <f ca="1">IFERROR(__xludf.DUMMYFUNCTION("""COMPUTED_VALUE"""),"PNTBTC")</f>
        <v>#NAME?</v>
      </c>
      <c r="C821" s="100" t="e">
        <f ca="1">IFERROR(__xludf.DUMMYFUNCTION("""COMPUTED_VALUE"""),"0.00000864")</f>
        <v>#NAME?</v>
      </c>
      <c r="D821" s="100" t="e">
        <f t="shared" ca="1" si="155"/>
        <v>#NAME?</v>
      </c>
      <c r="E821" s="100" t="e">
        <f t="shared" ca="1" si="155"/>
        <v>#NAME?</v>
      </c>
      <c r="F821" s="100" t="e">
        <f t="shared" ca="1" si="147"/>
        <v>#NAME?</v>
      </c>
      <c r="G821" s="100" t="e">
        <f t="shared" ca="1" si="148"/>
        <v>#NAME?</v>
      </c>
      <c r="H821" s="100" t="e">
        <f t="shared" ca="1" si="149"/>
        <v>#NAME?</v>
      </c>
      <c r="I821" s="100" t="e">
        <f t="shared" ca="1" si="150"/>
        <v>#NAME?</v>
      </c>
      <c r="J821" s="100" t="e">
        <f t="shared" ca="1" si="156"/>
        <v>#NAME?</v>
      </c>
      <c r="K821" s="100" t="e">
        <f t="shared" ca="1" si="151"/>
        <v>#NAME?</v>
      </c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 spans="1:26">
      <c r="A822" s="100" t="e">
        <f ca="1">IFERROR(__xludf.DUMMYFUNCTION("""COMPUTED_VALUE"""),58784157)</f>
        <v>#NAME?</v>
      </c>
      <c r="B822" s="100" t="e">
        <f ca="1">IFERROR(__xludf.DUMMYFUNCTION("""COMPUTED_VALUE"""),"PNTUSDT")</f>
        <v>#NAME?</v>
      </c>
      <c r="C822" s="100" t="e">
        <f ca="1">IFERROR(__xludf.DUMMYFUNCTION("""COMPUTED_VALUE"""),"0.03500000")</f>
        <v>#NAME?</v>
      </c>
      <c r="D822" s="100" t="e">
        <f t="shared" ref="D822:E841" ca="1" si="157">IFERROR(__xludf.DUMMYFUNCTION("""COMPUTED_VALUE"""),"-")</f>
        <v>#NAME?</v>
      </c>
      <c r="E822" s="100" t="e">
        <f t="shared" ca="1" si="157"/>
        <v>#NAME?</v>
      </c>
      <c r="F822" s="100" t="e">
        <f t="shared" ca="1" si="147"/>
        <v>#NAME?</v>
      </c>
      <c r="G822" s="100" t="e">
        <f t="shared" ca="1" si="148"/>
        <v>#NAME?</v>
      </c>
      <c r="H822" s="100" t="e">
        <f t="shared" ca="1" si="149"/>
        <v>#NAME?</v>
      </c>
      <c r="I822" s="100" t="e">
        <f t="shared" ca="1" si="150"/>
        <v>#NAME?</v>
      </c>
      <c r="J822" s="100" t="e">
        <f t="shared" ca="1" si="156"/>
        <v>#NAME?</v>
      </c>
      <c r="K822" s="100" t="e">
        <f t="shared" ca="1" si="151"/>
        <v>#NAME?</v>
      </c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 spans="1:26">
      <c r="A823" s="100" t="e">
        <f ca="1">IFERROR(__xludf.DUMMYFUNCTION("""COMPUTED_VALUE"""),58784158)</f>
        <v>#NAME?</v>
      </c>
      <c r="B823" s="100" t="e">
        <f ca="1">IFERROR(__xludf.DUMMYFUNCTION("""COMPUTED_VALUE"""),"BTCGBP")</f>
        <v>#NAME?</v>
      </c>
      <c r="C823" s="100" t="e">
        <f ca="1">IFERROR(__xludf.DUMMYFUNCTION("""COMPUTED_VALUE"""),"35986.75000000")</f>
        <v>#NAME?</v>
      </c>
      <c r="D823" s="100" t="e">
        <f t="shared" ca="1" si="157"/>
        <v>#NAME?</v>
      </c>
      <c r="E823" s="100" t="e">
        <f t="shared" ca="1" si="157"/>
        <v>#NAME?</v>
      </c>
      <c r="F823" s="100" t="e">
        <f t="shared" ca="1" si="147"/>
        <v>#NAME?</v>
      </c>
      <c r="G823" s="100" t="e">
        <f t="shared" ca="1" si="148"/>
        <v>#NAME?</v>
      </c>
      <c r="H823" s="100" t="e">
        <f t="shared" ca="1" si="149"/>
        <v>#NAME?</v>
      </c>
      <c r="I823" s="100" t="e">
        <f t="shared" ca="1" si="150"/>
        <v>#NAME?</v>
      </c>
      <c r="J823" s="100" t="e">
        <f t="shared" ca="1" si="156"/>
        <v>#NAME?</v>
      </c>
      <c r="K823" s="100" t="e">
        <f t="shared" ca="1" si="151"/>
        <v>#NAME?</v>
      </c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 spans="1:26">
      <c r="A824" s="100" t="e">
        <f ca="1">IFERROR(__xludf.DUMMYFUNCTION("""COMPUTED_VALUE"""),58784159)</f>
        <v>#NAME?</v>
      </c>
      <c r="B824" s="100" t="e">
        <f ca="1">IFERROR(__xludf.DUMMYFUNCTION("""COMPUTED_VALUE"""),"ETHGBP")</f>
        <v>#NAME?</v>
      </c>
      <c r="C824" s="100" t="e">
        <f ca="1">IFERROR(__xludf.DUMMYFUNCTION("""COMPUTED_VALUE"""),"1974.32000000")</f>
        <v>#NAME?</v>
      </c>
      <c r="D824" s="100" t="e">
        <f t="shared" ca="1" si="157"/>
        <v>#NAME?</v>
      </c>
      <c r="E824" s="100" t="e">
        <f t="shared" ca="1" si="157"/>
        <v>#NAME?</v>
      </c>
      <c r="F824" s="100" t="e">
        <f t="shared" ca="1" si="147"/>
        <v>#NAME?</v>
      </c>
      <c r="G824" s="100" t="e">
        <f t="shared" ca="1" si="148"/>
        <v>#NAME?</v>
      </c>
      <c r="H824" s="100" t="e">
        <f t="shared" ca="1" si="149"/>
        <v>#NAME?</v>
      </c>
      <c r="I824" s="100" t="e">
        <f t="shared" ca="1" si="150"/>
        <v>#NAME?</v>
      </c>
      <c r="J824" s="100" t="e">
        <f t="shared" ca="1" si="156"/>
        <v>#NAME?</v>
      </c>
      <c r="K824" s="100" t="e">
        <f t="shared" ca="1" si="151"/>
        <v>#NAME?</v>
      </c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 spans="1:26">
      <c r="A825" s="100" t="e">
        <f ca="1">IFERROR(__xludf.DUMMYFUNCTION("""COMPUTED_VALUE"""),58784160)</f>
        <v>#NAME?</v>
      </c>
      <c r="B825" s="100" t="e">
        <f ca="1">IFERROR(__xludf.DUMMYFUNCTION("""COMPUTED_VALUE"""),"XRPGBP")</f>
        <v>#NAME?</v>
      </c>
      <c r="C825" s="100" t="e">
        <f ca="1">IFERROR(__xludf.DUMMYFUNCTION("""COMPUTED_VALUE"""),"0.52570000")</f>
        <v>#NAME?</v>
      </c>
      <c r="D825" s="100" t="e">
        <f t="shared" ca="1" si="157"/>
        <v>#NAME?</v>
      </c>
      <c r="E825" s="100" t="e">
        <f t="shared" ca="1" si="157"/>
        <v>#NAME?</v>
      </c>
      <c r="F825" s="100" t="e">
        <f t="shared" ca="1" si="147"/>
        <v>#NAME?</v>
      </c>
      <c r="G825" s="100" t="e">
        <f t="shared" ca="1" si="148"/>
        <v>#NAME?</v>
      </c>
      <c r="H825" s="100" t="e">
        <f t="shared" ca="1" si="149"/>
        <v>#NAME?</v>
      </c>
      <c r="I825" s="100" t="e">
        <f t="shared" ca="1" si="150"/>
        <v>#NAME?</v>
      </c>
      <c r="J825" s="100" t="e">
        <f t="shared" ca="1" si="156"/>
        <v>#NAME?</v>
      </c>
      <c r="K825" s="100" t="e">
        <f t="shared" ca="1" si="151"/>
        <v>#NAME?</v>
      </c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 spans="1:26">
      <c r="A826" s="100" t="e">
        <f ca="1">IFERROR(__xludf.DUMMYFUNCTION("""COMPUTED_VALUE"""),58784161)</f>
        <v>#NAME?</v>
      </c>
      <c r="B826" s="100" t="e">
        <f ca="1">IFERROR(__xludf.DUMMYFUNCTION("""COMPUTED_VALUE"""),"BNBGBP")</f>
        <v>#NAME?</v>
      </c>
      <c r="C826" s="100" t="e">
        <f ca="1">IFERROR(__xludf.DUMMYFUNCTION("""COMPUTED_VALUE"""),"267.40000000")</f>
        <v>#NAME?</v>
      </c>
      <c r="D826" s="100" t="e">
        <f t="shared" ca="1" si="157"/>
        <v>#NAME?</v>
      </c>
      <c r="E826" s="100" t="e">
        <f t="shared" ca="1" si="157"/>
        <v>#NAME?</v>
      </c>
      <c r="F826" s="100" t="e">
        <f t="shared" ca="1" si="147"/>
        <v>#NAME?</v>
      </c>
      <c r="G826" s="100" t="e">
        <f t="shared" ca="1" si="148"/>
        <v>#NAME?</v>
      </c>
      <c r="H826" s="100" t="e">
        <f t="shared" ca="1" si="149"/>
        <v>#NAME?</v>
      </c>
      <c r="I826" s="100" t="e">
        <f t="shared" ca="1" si="150"/>
        <v>#NAME?</v>
      </c>
      <c r="J826" s="100" t="e">
        <f t="shared" ca="1" si="156"/>
        <v>#NAME?</v>
      </c>
      <c r="K826" s="100" t="e">
        <f t="shared" ca="1" si="151"/>
        <v>#NAME?</v>
      </c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 spans="1:26">
      <c r="A827" s="100" t="e">
        <f ca="1">IFERROR(__xludf.DUMMYFUNCTION("""COMPUTED_VALUE"""),58784162)</f>
        <v>#NAME?</v>
      </c>
      <c r="B827" s="100" t="e">
        <f ca="1">IFERROR(__xludf.DUMMYFUNCTION("""COMPUTED_VALUE"""),"GBPBUSD")</f>
        <v>#NAME?</v>
      </c>
      <c r="C827" s="100" t="e">
        <f ca="1">IFERROR(__xludf.DUMMYFUNCTION("""COMPUTED_VALUE"""),"1.23900000")</f>
        <v>#NAME?</v>
      </c>
      <c r="D827" s="100" t="e">
        <f t="shared" ca="1" si="157"/>
        <v>#NAME?</v>
      </c>
      <c r="E827" s="100" t="e">
        <f t="shared" ca="1" si="157"/>
        <v>#NAME?</v>
      </c>
      <c r="F827" s="100" t="e">
        <f t="shared" ca="1" si="147"/>
        <v>#NAME?</v>
      </c>
      <c r="G827" s="100" t="e">
        <f t="shared" ca="1" si="148"/>
        <v>#NAME?</v>
      </c>
      <c r="H827" s="100" t="e">
        <f t="shared" ca="1" si="149"/>
        <v>#NAME?</v>
      </c>
      <c r="I827" s="100" t="e">
        <f t="shared" ca="1" si="150"/>
        <v>#NAME?</v>
      </c>
      <c r="J827" s="100" t="e">
        <f t="shared" ca="1" si="156"/>
        <v>#NAME?</v>
      </c>
      <c r="K827" s="100" t="e">
        <f t="shared" ca="1" si="151"/>
        <v>#NAME?</v>
      </c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 spans="1:26">
      <c r="A828" s="100" t="e">
        <f ca="1">IFERROR(__xludf.DUMMYFUNCTION("""COMPUTED_VALUE"""),58784163)</f>
        <v>#NAME?</v>
      </c>
      <c r="B828" s="100" t="e">
        <f ca="1">IFERROR(__xludf.DUMMYFUNCTION("""COMPUTED_VALUE"""),"DGBBTC")</f>
        <v>#NAME?</v>
      </c>
      <c r="C828" s="100" t="e">
        <f ca="1">IFERROR(__xludf.DUMMYFUNCTION("""COMPUTED_VALUE"""),"0.00000009")</f>
        <v>#NAME?</v>
      </c>
      <c r="D828" s="100" t="e">
        <f t="shared" ca="1" si="157"/>
        <v>#NAME?</v>
      </c>
      <c r="E828" s="100" t="e">
        <f t="shared" ca="1" si="157"/>
        <v>#NAME?</v>
      </c>
      <c r="F828" s="100" t="e">
        <f t="shared" ca="1" si="147"/>
        <v>#NAME?</v>
      </c>
      <c r="G828" s="100" t="e">
        <f t="shared" ca="1" si="148"/>
        <v>#NAME?</v>
      </c>
      <c r="H828" s="100" t="e">
        <f t="shared" ca="1" si="149"/>
        <v>#NAME?</v>
      </c>
      <c r="I828" s="100" t="e">
        <f t="shared" ca="1" si="150"/>
        <v>#NAME?</v>
      </c>
      <c r="J828" s="100" t="e">
        <f t="shared" ca="1" si="156"/>
        <v>#NAME?</v>
      </c>
      <c r="K828" s="100" t="e">
        <f t="shared" ca="1" si="151"/>
        <v>#NAME?</v>
      </c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 spans="1:26">
      <c r="A829" s="100" t="e">
        <f ca="1">IFERROR(__xludf.DUMMYFUNCTION("""COMPUTED_VALUE"""),58784164)</f>
        <v>#NAME?</v>
      </c>
      <c r="B829" s="100" t="e">
        <f ca="1">IFERROR(__xludf.DUMMYFUNCTION("""COMPUTED_VALUE"""),"DGBBUSD")</f>
        <v>#NAME?</v>
      </c>
      <c r="C829" s="100" t="e">
        <f ca="1">IFERROR(__xludf.DUMMYFUNCTION("""COMPUTED_VALUE"""),"0.00632000")</f>
        <v>#NAME?</v>
      </c>
      <c r="D829" s="100" t="e">
        <f t="shared" ca="1" si="157"/>
        <v>#NAME?</v>
      </c>
      <c r="E829" s="100" t="e">
        <f t="shared" ca="1" si="157"/>
        <v>#NAME?</v>
      </c>
      <c r="F829" s="100" t="e">
        <f t="shared" ca="1" si="147"/>
        <v>#NAME?</v>
      </c>
      <c r="G829" s="100" t="e">
        <f t="shared" ca="1" si="148"/>
        <v>#NAME?</v>
      </c>
      <c r="H829" s="100" t="e">
        <f t="shared" ca="1" si="149"/>
        <v>#NAME?</v>
      </c>
      <c r="I829" s="100" t="e">
        <f t="shared" ca="1" si="150"/>
        <v>#NAME?</v>
      </c>
      <c r="J829" s="100" t="e">
        <f t="shared" ca="1" si="156"/>
        <v>#NAME?</v>
      </c>
      <c r="K829" s="100" t="e">
        <f t="shared" ca="1" si="151"/>
        <v>#NAME?</v>
      </c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 spans="1:26">
      <c r="A830" s="100" t="e">
        <f ca="1">IFERROR(__xludf.DUMMYFUNCTION("""COMPUTED_VALUE"""),58784165)</f>
        <v>#NAME?</v>
      </c>
      <c r="B830" s="100" t="e">
        <f ca="1">IFERROR(__xludf.DUMMYFUNCTION("""COMPUTED_VALUE"""),"BTCUAH")</f>
        <v>#NAME?</v>
      </c>
      <c r="C830" s="100" t="e">
        <f ca="1">IFERROR(__xludf.DUMMYFUNCTION("""COMPUTED_VALUE"""),"3827987.00000000")</f>
        <v>#NAME?</v>
      </c>
      <c r="D830" s="100" t="e">
        <f t="shared" ca="1" si="157"/>
        <v>#NAME?</v>
      </c>
      <c r="E830" s="100" t="e">
        <f t="shared" ca="1" si="157"/>
        <v>#NAME?</v>
      </c>
      <c r="F830" s="100" t="e">
        <f t="shared" ca="1" si="147"/>
        <v>#NAME?</v>
      </c>
      <c r="G830" s="100" t="e">
        <f t="shared" ca="1" si="148"/>
        <v>#NAME?</v>
      </c>
      <c r="H830" s="100" t="e">
        <f t="shared" ca="1" si="149"/>
        <v>#NAME?</v>
      </c>
      <c r="I830" s="100" t="e">
        <f t="shared" ca="1" si="150"/>
        <v>#NAME?</v>
      </c>
      <c r="J830" s="100" t="e">
        <f ca="1">IFERROR(__xludf.DUMMYFUNCTION("""COMPUTED_VALUE"""),"1.595")</f>
        <v>#NAME?</v>
      </c>
      <c r="K830" s="100" t="e">
        <f t="shared" ca="1" si="151"/>
        <v>#NAME?</v>
      </c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 spans="1:26">
      <c r="A831" s="100" t="e">
        <f ca="1">IFERROR(__xludf.DUMMYFUNCTION("""COMPUTED_VALUE"""),58784166)</f>
        <v>#NAME?</v>
      </c>
      <c r="B831" s="100" t="e">
        <f ca="1">IFERROR(__xludf.DUMMYFUNCTION("""COMPUTED_VALUE"""),"USDTUAH")</f>
        <v>#NAME?</v>
      </c>
      <c r="C831" s="100" t="e">
        <f ca="1">IFERROR(__xludf.DUMMYFUNCTION("""COMPUTED_VALUE"""),"43.25000000")</f>
        <v>#NAME?</v>
      </c>
      <c r="D831" s="100" t="e">
        <f t="shared" ca="1" si="157"/>
        <v>#NAME?</v>
      </c>
      <c r="E831" s="100" t="e">
        <f t="shared" ca="1" si="157"/>
        <v>#NAME?</v>
      </c>
      <c r="F831" s="100" t="e">
        <f t="shared" ca="1" si="147"/>
        <v>#NAME?</v>
      </c>
      <c r="G831" s="100" t="e">
        <f t="shared" ca="1" si="148"/>
        <v>#NAME?</v>
      </c>
      <c r="H831" s="100" t="e">
        <f t="shared" ca="1" si="149"/>
        <v>#NAME?</v>
      </c>
      <c r="I831" s="100" t="e">
        <f t="shared" ca="1" si="150"/>
        <v>#NAME?</v>
      </c>
      <c r="J831" s="100" t="e">
        <f ca="1">IFERROR(__xludf.DUMMYFUNCTION("""COMPUTED_VALUE"""),"0.278")</f>
        <v>#NAME?</v>
      </c>
      <c r="K831" s="100" t="e">
        <f t="shared" ca="1" si="151"/>
        <v>#NAME?</v>
      </c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 spans="1:26">
      <c r="A832" s="100" t="e">
        <f ca="1">IFERROR(__xludf.DUMMYFUNCTION("""COMPUTED_VALUE"""),58784167)</f>
        <v>#NAME?</v>
      </c>
      <c r="B832" s="100" t="e">
        <f ca="1">IFERROR(__xludf.DUMMYFUNCTION("""COMPUTED_VALUE"""),"COMPBTC")</f>
        <v>#NAME?</v>
      </c>
      <c r="C832" s="100" t="e">
        <f ca="1">IFERROR(__xludf.DUMMYFUNCTION("""COMPUTED_VALUE"""),"0.00044900")</f>
        <v>#NAME?</v>
      </c>
      <c r="D832" s="100" t="e">
        <f t="shared" ca="1" si="157"/>
        <v>#NAME?</v>
      </c>
      <c r="E832" s="100" t="e">
        <f t="shared" ca="1" si="157"/>
        <v>#NAME?</v>
      </c>
      <c r="F832" s="100" t="e">
        <f t="shared" ca="1" si="147"/>
        <v>#NAME?</v>
      </c>
      <c r="G832" s="100" t="e">
        <f t="shared" ca="1" si="148"/>
        <v>#NAME?</v>
      </c>
      <c r="H832" s="100" t="e">
        <f t="shared" ca="1" si="149"/>
        <v>#NAME?</v>
      </c>
      <c r="I832" s="100" t="e">
        <f t="shared" ca="1" si="150"/>
        <v>#NAME?</v>
      </c>
      <c r="J832" s="100" t="e">
        <f ca="1">IFERROR(__xludf.DUMMYFUNCTION("""COMPUTED_VALUE"""),"-4.671")</f>
        <v>#NAME?</v>
      </c>
      <c r="K832" s="100" t="e">
        <f t="shared" ca="1" si="151"/>
        <v>#NAME?</v>
      </c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 spans="1:26">
      <c r="A833" s="100" t="e">
        <f ca="1">IFERROR(__xludf.DUMMYFUNCTION("""COMPUTED_VALUE"""),58784168)</f>
        <v>#NAME?</v>
      </c>
      <c r="B833" s="100" t="e">
        <f ca="1">IFERROR(__xludf.DUMMYFUNCTION("""COMPUTED_VALUE"""),"COMPBNB")</f>
        <v>#NAME?</v>
      </c>
      <c r="C833" s="100" t="e">
        <f ca="1">IFERROR(__xludf.DUMMYFUNCTION("""COMPUTED_VALUE"""),"0.00000000")</f>
        <v>#NAME?</v>
      </c>
      <c r="D833" s="100" t="e">
        <f t="shared" ca="1" si="157"/>
        <v>#NAME?</v>
      </c>
      <c r="E833" s="100" t="e">
        <f t="shared" ca="1" si="157"/>
        <v>#NAME?</v>
      </c>
      <c r="F833" s="100" t="e">
        <f t="shared" ca="1" si="147"/>
        <v>#NAME?</v>
      </c>
      <c r="G833" s="100" t="e">
        <f t="shared" ca="1" si="148"/>
        <v>#NAME?</v>
      </c>
      <c r="H833" s="100" t="e">
        <f t="shared" ca="1" si="149"/>
        <v>#NAME?</v>
      </c>
      <c r="I833" s="100" t="e">
        <f t="shared" ca="1" si="150"/>
        <v>#NAME?</v>
      </c>
      <c r="J833" s="100" t="e">
        <f ca="1">IFERROR(__xludf.DUMMYFUNCTION("""COMPUTED_VALUE"""),"0")</f>
        <v>#NAME?</v>
      </c>
      <c r="K833" s="100" t="e">
        <f t="shared" ca="1" si="151"/>
        <v>#NAME?</v>
      </c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 spans="1:26">
      <c r="A834" s="100" t="e">
        <f ca="1">IFERROR(__xludf.DUMMYFUNCTION("""COMPUTED_VALUE"""),58784169)</f>
        <v>#NAME?</v>
      </c>
      <c r="B834" s="100" t="e">
        <f ca="1">IFERROR(__xludf.DUMMYFUNCTION("""COMPUTED_VALUE"""),"COMPBUSD")</f>
        <v>#NAME?</v>
      </c>
      <c r="C834" s="100" t="e">
        <f ca="1">IFERROR(__xludf.DUMMYFUNCTION("""COMPUTED_VALUE"""),"45.79000000")</f>
        <v>#NAME?</v>
      </c>
      <c r="D834" s="100" t="e">
        <f t="shared" ca="1" si="157"/>
        <v>#NAME?</v>
      </c>
      <c r="E834" s="100" t="e">
        <f t="shared" ca="1" si="157"/>
        <v>#NAME?</v>
      </c>
      <c r="F834" s="100" t="e">
        <f t="shared" ref="F834:F897" ca="1" si="158">IFERROR(__xludf.DUMMYFUNCTION("""COMPUTED_VALUE"""),20200)</f>
        <v>#NAME?</v>
      </c>
      <c r="G834" s="100" t="e">
        <f t="shared" ref="G834:G897" ca="1" si="159">IFERROR(__xludf.DUMMYFUNCTION("""COMPUTED_VALUE"""),2885)</f>
        <v>#NAME?</v>
      </c>
      <c r="H834" s="100" t="e">
        <f t="shared" ref="H834:H897" ca="1" si="160">IFERROR(__xludf.DUMMYFUNCTION("""COMPUTED_VALUE"""),663)</f>
        <v>#NAME?</v>
      </c>
      <c r="I834" s="100" t="e">
        <f t="shared" ref="I834:I897" ca="1" si="161">IFERROR(__xludf.DUMMYFUNCTION("""COMPUTED_VALUE"""),5817721)</f>
        <v>#NAME?</v>
      </c>
      <c r="J834" s="100" t="e">
        <f ca="1">IFERROR(__xludf.DUMMYFUNCTION("""COMPUTED_VALUE"""),"0")</f>
        <v>#NAME?</v>
      </c>
      <c r="K834" s="100" t="e">
        <f t="shared" ref="K834:K897" ca="1" si="162">IFERROR(__xludf.DUMMYFUNCTION("""COMPUTED_VALUE"""),"22.04.2025 13:05:01")</f>
        <v>#NAME?</v>
      </c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 spans="1:26">
      <c r="A835" s="100" t="e">
        <f ca="1">IFERROR(__xludf.DUMMYFUNCTION("""COMPUTED_VALUE"""),58784170)</f>
        <v>#NAME?</v>
      </c>
      <c r="B835" s="100" t="e">
        <f ca="1">IFERROR(__xludf.DUMMYFUNCTION("""COMPUTED_VALUE"""),"COMPUSDT")</f>
        <v>#NAME?</v>
      </c>
      <c r="C835" s="100" t="e">
        <f ca="1">IFERROR(__xludf.DUMMYFUNCTION("""COMPUTED_VALUE"""),"39.78000000")</f>
        <v>#NAME?</v>
      </c>
      <c r="D835" s="100" t="e">
        <f t="shared" ca="1" si="157"/>
        <v>#NAME?</v>
      </c>
      <c r="E835" s="100" t="e">
        <f t="shared" ca="1" si="157"/>
        <v>#NAME?</v>
      </c>
      <c r="F835" s="100" t="e">
        <f t="shared" ca="1" si="158"/>
        <v>#NAME?</v>
      </c>
      <c r="G835" s="100" t="e">
        <f t="shared" ca="1" si="159"/>
        <v>#NAME?</v>
      </c>
      <c r="H835" s="100" t="e">
        <f t="shared" ca="1" si="160"/>
        <v>#NAME?</v>
      </c>
      <c r="I835" s="100" t="e">
        <f t="shared" ca="1" si="161"/>
        <v>#NAME?</v>
      </c>
      <c r="J835" s="100" t="e">
        <f ca="1">IFERROR(__xludf.DUMMYFUNCTION("""COMPUTED_VALUE"""),"-3.117")</f>
        <v>#NAME?</v>
      </c>
      <c r="K835" s="100" t="e">
        <f t="shared" ca="1" si="162"/>
        <v>#NAME?</v>
      </c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 spans="1:26">
      <c r="A836" s="100" t="e">
        <f ca="1">IFERROR(__xludf.DUMMYFUNCTION("""COMPUTED_VALUE"""),58784171)</f>
        <v>#NAME?</v>
      </c>
      <c r="B836" s="100" t="e">
        <f ca="1">IFERROR(__xludf.DUMMYFUNCTION("""COMPUTED_VALUE"""),"BTCBIDR")</f>
        <v>#NAME?</v>
      </c>
      <c r="C836" s="100" t="e">
        <f ca="1">IFERROR(__xludf.DUMMYFUNCTION("""COMPUTED_VALUE"""),"1042508253.00")</f>
        <v>#NAME?</v>
      </c>
      <c r="D836" s="100" t="e">
        <f t="shared" ca="1" si="157"/>
        <v>#NAME?</v>
      </c>
      <c r="E836" s="100" t="e">
        <f t="shared" ca="1" si="157"/>
        <v>#NAME?</v>
      </c>
      <c r="F836" s="100" t="e">
        <f t="shared" ca="1" si="158"/>
        <v>#NAME?</v>
      </c>
      <c r="G836" s="100" t="e">
        <f t="shared" ca="1" si="159"/>
        <v>#NAME?</v>
      </c>
      <c r="H836" s="100" t="e">
        <f t="shared" ca="1" si="160"/>
        <v>#NAME?</v>
      </c>
      <c r="I836" s="100" t="e">
        <f t="shared" ca="1" si="161"/>
        <v>#NAME?</v>
      </c>
      <c r="J836" s="100" t="e">
        <f t="shared" ref="J836:J842" ca="1" si="163">IFERROR(__xludf.DUMMYFUNCTION("""COMPUTED_VALUE"""),"0")</f>
        <v>#NAME?</v>
      </c>
      <c r="K836" s="100" t="e">
        <f t="shared" ca="1" si="162"/>
        <v>#NAME?</v>
      </c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 spans="1:26">
      <c r="A837" s="100" t="e">
        <f ca="1">IFERROR(__xludf.DUMMYFUNCTION("""COMPUTED_VALUE"""),58784172)</f>
        <v>#NAME?</v>
      </c>
      <c r="B837" s="100" t="e">
        <f ca="1">IFERROR(__xludf.DUMMYFUNCTION("""COMPUTED_VALUE"""),"ETHBIDR")</f>
        <v>#NAME?</v>
      </c>
      <c r="C837" s="100" t="e">
        <f ca="1">IFERROR(__xludf.DUMMYFUNCTION("""COMPUTED_VALUE"""),"47041943.00")</f>
        <v>#NAME?</v>
      </c>
      <c r="D837" s="100" t="e">
        <f t="shared" ca="1" si="157"/>
        <v>#NAME?</v>
      </c>
      <c r="E837" s="100" t="e">
        <f t="shared" ca="1" si="157"/>
        <v>#NAME?</v>
      </c>
      <c r="F837" s="100" t="e">
        <f t="shared" ca="1" si="158"/>
        <v>#NAME?</v>
      </c>
      <c r="G837" s="100" t="e">
        <f t="shared" ca="1" si="159"/>
        <v>#NAME?</v>
      </c>
      <c r="H837" s="100" t="e">
        <f t="shared" ca="1" si="160"/>
        <v>#NAME?</v>
      </c>
      <c r="I837" s="100" t="e">
        <f t="shared" ca="1" si="161"/>
        <v>#NAME?</v>
      </c>
      <c r="J837" s="100" t="e">
        <f t="shared" ca="1" si="163"/>
        <v>#NAME?</v>
      </c>
      <c r="K837" s="100" t="e">
        <f t="shared" ca="1" si="162"/>
        <v>#NAME?</v>
      </c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 spans="1:26">
      <c r="A838" s="100" t="e">
        <f ca="1">IFERROR(__xludf.DUMMYFUNCTION("""COMPUTED_VALUE"""),58784173)</f>
        <v>#NAME?</v>
      </c>
      <c r="B838" s="100" t="e">
        <f ca="1">IFERROR(__xludf.DUMMYFUNCTION("""COMPUTED_VALUE"""),"BNBBIDR")</f>
        <v>#NAME?</v>
      </c>
      <c r="C838" s="100" t="e">
        <f ca="1">IFERROR(__xludf.DUMMYFUNCTION("""COMPUTED_VALUE"""),"3335250.00")</f>
        <v>#NAME?</v>
      </c>
      <c r="D838" s="100" t="e">
        <f t="shared" ca="1" si="157"/>
        <v>#NAME?</v>
      </c>
      <c r="E838" s="100" t="e">
        <f t="shared" ca="1" si="157"/>
        <v>#NAME?</v>
      </c>
      <c r="F838" s="100" t="e">
        <f t="shared" ca="1" si="158"/>
        <v>#NAME?</v>
      </c>
      <c r="G838" s="100" t="e">
        <f t="shared" ca="1" si="159"/>
        <v>#NAME?</v>
      </c>
      <c r="H838" s="100" t="e">
        <f t="shared" ca="1" si="160"/>
        <v>#NAME?</v>
      </c>
      <c r="I838" s="100" t="e">
        <f t="shared" ca="1" si="161"/>
        <v>#NAME?</v>
      </c>
      <c r="J838" s="100" t="e">
        <f t="shared" ca="1" si="163"/>
        <v>#NAME?</v>
      </c>
      <c r="K838" s="100" t="e">
        <f t="shared" ca="1" si="162"/>
        <v>#NAME?</v>
      </c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 spans="1:26">
      <c r="A839" s="100" t="e">
        <f ca="1">IFERROR(__xludf.DUMMYFUNCTION("""COMPUTED_VALUE"""),58784174)</f>
        <v>#NAME?</v>
      </c>
      <c r="B839" s="100" t="e">
        <f ca="1">IFERROR(__xludf.DUMMYFUNCTION("""COMPUTED_VALUE"""),"BUSDBIDR")</f>
        <v>#NAME?</v>
      </c>
      <c r="C839" s="100" t="e">
        <f ca="1">IFERROR(__xludf.DUMMYFUNCTION("""COMPUTED_VALUE"""),"15559.00")</f>
        <v>#NAME?</v>
      </c>
      <c r="D839" s="100" t="e">
        <f t="shared" ca="1" si="157"/>
        <v>#NAME?</v>
      </c>
      <c r="E839" s="100" t="e">
        <f t="shared" ca="1" si="157"/>
        <v>#NAME?</v>
      </c>
      <c r="F839" s="100" t="e">
        <f t="shared" ca="1" si="158"/>
        <v>#NAME?</v>
      </c>
      <c r="G839" s="100" t="e">
        <f t="shared" ca="1" si="159"/>
        <v>#NAME?</v>
      </c>
      <c r="H839" s="100" t="e">
        <f t="shared" ca="1" si="160"/>
        <v>#NAME?</v>
      </c>
      <c r="I839" s="100" t="e">
        <f t="shared" ca="1" si="161"/>
        <v>#NAME?</v>
      </c>
      <c r="J839" s="100" t="e">
        <f t="shared" ca="1" si="163"/>
        <v>#NAME?</v>
      </c>
      <c r="K839" s="100" t="e">
        <f t="shared" ca="1" si="162"/>
        <v>#NAME?</v>
      </c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 spans="1:26">
      <c r="A840" s="100" t="e">
        <f ca="1">IFERROR(__xludf.DUMMYFUNCTION("""COMPUTED_VALUE"""),58784175)</f>
        <v>#NAME?</v>
      </c>
      <c r="B840" s="100" t="e">
        <f ca="1">IFERROR(__xludf.DUMMYFUNCTION("""COMPUTED_VALUE"""),"USDTBIDR")</f>
        <v>#NAME?</v>
      </c>
      <c r="C840" s="100" t="e">
        <f ca="1">IFERROR(__xludf.DUMMYFUNCTION("""COMPUTED_VALUE"""),"15980.00")</f>
        <v>#NAME?</v>
      </c>
      <c r="D840" s="100" t="e">
        <f t="shared" ca="1" si="157"/>
        <v>#NAME?</v>
      </c>
      <c r="E840" s="100" t="e">
        <f t="shared" ca="1" si="157"/>
        <v>#NAME?</v>
      </c>
      <c r="F840" s="100" t="e">
        <f t="shared" ca="1" si="158"/>
        <v>#NAME?</v>
      </c>
      <c r="G840" s="100" t="e">
        <f t="shared" ca="1" si="159"/>
        <v>#NAME?</v>
      </c>
      <c r="H840" s="100" t="e">
        <f t="shared" ca="1" si="160"/>
        <v>#NAME?</v>
      </c>
      <c r="I840" s="100" t="e">
        <f t="shared" ca="1" si="161"/>
        <v>#NAME?</v>
      </c>
      <c r="J840" s="100" t="e">
        <f t="shared" ca="1" si="163"/>
        <v>#NAME?</v>
      </c>
      <c r="K840" s="100" t="e">
        <f t="shared" ca="1" si="162"/>
        <v>#NAME?</v>
      </c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 spans="1:26">
      <c r="A841" s="100" t="e">
        <f ca="1">IFERROR(__xludf.DUMMYFUNCTION("""COMPUTED_VALUE"""),58784176)</f>
        <v>#NAME?</v>
      </c>
      <c r="B841" s="100" t="e">
        <f ca="1">IFERROR(__xludf.DUMMYFUNCTION("""COMPUTED_VALUE"""),"BKRWUSDT")</f>
        <v>#NAME?</v>
      </c>
      <c r="C841" s="100" t="e">
        <f ca="1">IFERROR(__xludf.DUMMYFUNCTION("""COMPUTED_VALUE"""),"0.00000000")</f>
        <v>#NAME?</v>
      </c>
      <c r="D841" s="100" t="e">
        <f t="shared" ca="1" si="157"/>
        <v>#NAME?</v>
      </c>
      <c r="E841" s="100" t="e">
        <f t="shared" ca="1" si="157"/>
        <v>#NAME?</v>
      </c>
      <c r="F841" s="100" t="e">
        <f t="shared" ca="1" si="158"/>
        <v>#NAME?</v>
      </c>
      <c r="G841" s="100" t="e">
        <f t="shared" ca="1" si="159"/>
        <v>#NAME?</v>
      </c>
      <c r="H841" s="100" t="e">
        <f t="shared" ca="1" si="160"/>
        <v>#NAME?</v>
      </c>
      <c r="I841" s="100" t="e">
        <f t="shared" ca="1" si="161"/>
        <v>#NAME?</v>
      </c>
      <c r="J841" s="100" t="e">
        <f t="shared" ca="1" si="163"/>
        <v>#NAME?</v>
      </c>
      <c r="K841" s="100" t="e">
        <f t="shared" ca="1" si="162"/>
        <v>#NAME?</v>
      </c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 spans="1:26">
      <c r="A842" s="100" t="e">
        <f ca="1">IFERROR(__xludf.DUMMYFUNCTION("""COMPUTED_VALUE"""),58784177)</f>
        <v>#NAME?</v>
      </c>
      <c r="B842" s="100" t="e">
        <f ca="1">IFERROR(__xludf.DUMMYFUNCTION("""COMPUTED_VALUE"""),"BKRWBUSD")</f>
        <v>#NAME?</v>
      </c>
      <c r="C842" s="100" t="e">
        <f ca="1">IFERROR(__xludf.DUMMYFUNCTION("""COMPUTED_VALUE"""),"0.00000000")</f>
        <v>#NAME?</v>
      </c>
      <c r="D842" s="100" t="e">
        <f t="shared" ref="D842:E861" ca="1" si="164">IFERROR(__xludf.DUMMYFUNCTION("""COMPUTED_VALUE"""),"-")</f>
        <v>#NAME?</v>
      </c>
      <c r="E842" s="100" t="e">
        <f t="shared" ca="1" si="164"/>
        <v>#NAME?</v>
      </c>
      <c r="F842" s="100" t="e">
        <f t="shared" ca="1" si="158"/>
        <v>#NAME?</v>
      </c>
      <c r="G842" s="100" t="e">
        <f t="shared" ca="1" si="159"/>
        <v>#NAME?</v>
      </c>
      <c r="H842" s="100" t="e">
        <f t="shared" ca="1" si="160"/>
        <v>#NAME?</v>
      </c>
      <c r="I842" s="100" t="e">
        <f t="shared" ca="1" si="161"/>
        <v>#NAME?</v>
      </c>
      <c r="J842" s="100" t="e">
        <f t="shared" ca="1" si="163"/>
        <v>#NAME?</v>
      </c>
      <c r="K842" s="100" t="e">
        <f t="shared" ca="1" si="162"/>
        <v>#NAME?</v>
      </c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 spans="1:26">
      <c r="A843" s="100" t="e">
        <f ca="1">IFERROR(__xludf.DUMMYFUNCTION("""COMPUTED_VALUE"""),58784178)</f>
        <v>#NAME?</v>
      </c>
      <c r="B843" s="100" t="e">
        <f ca="1">IFERROR(__xludf.DUMMYFUNCTION("""COMPUTED_VALUE"""),"SCUSDT")</f>
        <v>#NAME?</v>
      </c>
      <c r="C843" s="100" t="e">
        <f ca="1">IFERROR(__xludf.DUMMYFUNCTION("""COMPUTED_VALUE"""),"0.00332400")</f>
        <v>#NAME?</v>
      </c>
      <c r="D843" s="100" t="e">
        <f t="shared" ca="1" si="164"/>
        <v>#NAME?</v>
      </c>
      <c r="E843" s="100" t="e">
        <f t="shared" ca="1" si="164"/>
        <v>#NAME?</v>
      </c>
      <c r="F843" s="100" t="e">
        <f t="shared" ca="1" si="158"/>
        <v>#NAME?</v>
      </c>
      <c r="G843" s="100" t="e">
        <f t="shared" ca="1" si="159"/>
        <v>#NAME?</v>
      </c>
      <c r="H843" s="100" t="e">
        <f t="shared" ca="1" si="160"/>
        <v>#NAME?</v>
      </c>
      <c r="I843" s="100" t="e">
        <f t="shared" ca="1" si="161"/>
        <v>#NAME?</v>
      </c>
      <c r="J843" s="100" t="e">
        <f ca="1">IFERROR(__xludf.DUMMYFUNCTION("""COMPUTED_VALUE"""),"-1.248")</f>
        <v>#NAME?</v>
      </c>
      <c r="K843" s="100" t="e">
        <f t="shared" ca="1" si="162"/>
        <v>#NAME?</v>
      </c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 spans="1:26">
      <c r="A844" s="100" t="e">
        <f ca="1">IFERROR(__xludf.DUMMYFUNCTION("""COMPUTED_VALUE"""),58784179)</f>
        <v>#NAME?</v>
      </c>
      <c r="B844" s="100" t="e">
        <f ca="1">IFERROR(__xludf.DUMMYFUNCTION("""COMPUTED_VALUE"""),"ZENUSDT")</f>
        <v>#NAME?</v>
      </c>
      <c r="C844" s="100" t="e">
        <f ca="1">IFERROR(__xludf.DUMMYFUNCTION("""COMPUTED_VALUE"""),"8.65000000")</f>
        <v>#NAME?</v>
      </c>
      <c r="D844" s="100" t="e">
        <f t="shared" ca="1" si="164"/>
        <v>#NAME?</v>
      </c>
      <c r="E844" s="100" t="e">
        <f t="shared" ca="1" si="164"/>
        <v>#NAME?</v>
      </c>
      <c r="F844" s="100" t="e">
        <f t="shared" ca="1" si="158"/>
        <v>#NAME?</v>
      </c>
      <c r="G844" s="100" t="e">
        <f t="shared" ca="1" si="159"/>
        <v>#NAME?</v>
      </c>
      <c r="H844" s="100" t="e">
        <f t="shared" ca="1" si="160"/>
        <v>#NAME?</v>
      </c>
      <c r="I844" s="100" t="e">
        <f t="shared" ca="1" si="161"/>
        <v>#NAME?</v>
      </c>
      <c r="J844" s="100" t="e">
        <f ca="1">IFERROR(__xludf.DUMMYFUNCTION("""COMPUTED_VALUE"""),"-3.782")</f>
        <v>#NAME?</v>
      </c>
      <c r="K844" s="100" t="e">
        <f t="shared" ca="1" si="162"/>
        <v>#NAME?</v>
      </c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 spans="1:26">
      <c r="A845" s="100" t="e">
        <f ca="1">IFERROR(__xludf.DUMMYFUNCTION("""COMPUTED_VALUE"""),58784180)</f>
        <v>#NAME?</v>
      </c>
      <c r="B845" s="100" t="e">
        <f ca="1">IFERROR(__xludf.DUMMYFUNCTION("""COMPUTED_VALUE"""),"SXPBTC")</f>
        <v>#NAME?</v>
      </c>
      <c r="C845" s="100" t="e">
        <f ca="1">IFERROR(__xludf.DUMMYFUNCTION("""COMPUTED_VALUE"""),"0.00000229")</f>
        <v>#NAME?</v>
      </c>
      <c r="D845" s="100" t="e">
        <f t="shared" ca="1" si="164"/>
        <v>#NAME?</v>
      </c>
      <c r="E845" s="100" t="e">
        <f t="shared" ca="1" si="164"/>
        <v>#NAME?</v>
      </c>
      <c r="F845" s="100" t="e">
        <f t="shared" ca="1" si="158"/>
        <v>#NAME?</v>
      </c>
      <c r="G845" s="100" t="e">
        <f t="shared" ca="1" si="159"/>
        <v>#NAME?</v>
      </c>
      <c r="H845" s="100" t="e">
        <f t="shared" ca="1" si="160"/>
        <v>#NAME?</v>
      </c>
      <c r="I845" s="100" t="e">
        <f t="shared" ca="1" si="161"/>
        <v>#NAME?</v>
      </c>
      <c r="J845" s="100" t="e">
        <f ca="1">IFERROR(__xludf.DUMMYFUNCTION("""COMPUTED_VALUE"""),"-5.761")</f>
        <v>#NAME?</v>
      </c>
      <c r="K845" s="100" t="e">
        <f t="shared" ca="1" si="162"/>
        <v>#NAME?</v>
      </c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 spans="1:26">
      <c r="A846" s="100" t="e">
        <f ca="1">IFERROR(__xludf.DUMMYFUNCTION("""COMPUTED_VALUE"""),58784181)</f>
        <v>#NAME?</v>
      </c>
      <c r="B846" s="100" t="e">
        <f ca="1">IFERROR(__xludf.DUMMYFUNCTION("""COMPUTED_VALUE"""),"SXPBNB")</f>
        <v>#NAME?</v>
      </c>
      <c r="C846" s="100" t="e">
        <f ca="1">IFERROR(__xludf.DUMMYFUNCTION("""COMPUTED_VALUE"""),"0.00044000")</f>
        <v>#NAME?</v>
      </c>
      <c r="D846" s="100" t="e">
        <f t="shared" ca="1" si="164"/>
        <v>#NAME?</v>
      </c>
      <c r="E846" s="100" t="e">
        <f t="shared" ca="1" si="164"/>
        <v>#NAME?</v>
      </c>
      <c r="F846" s="100" t="e">
        <f t="shared" ca="1" si="158"/>
        <v>#NAME?</v>
      </c>
      <c r="G846" s="100" t="e">
        <f t="shared" ca="1" si="159"/>
        <v>#NAME?</v>
      </c>
      <c r="H846" s="100" t="e">
        <f t="shared" ca="1" si="160"/>
        <v>#NAME?</v>
      </c>
      <c r="I846" s="100" t="e">
        <f t="shared" ca="1" si="161"/>
        <v>#NAME?</v>
      </c>
      <c r="J846" s="100" t="e">
        <f ca="1">IFERROR(__xludf.DUMMYFUNCTION("""COMPUTED_VALUE"""),"0")</f>
        <v>#NAME?</v>
      </c>
      <c r="K846" s="100" t="e">
        <f t="shared" ca="1" si="162"/>
        <v>#NAME?</v>
      </c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 spans="1:26">
      <c r="A847" s="100" t="e">
        <f ca="1">IFERROR(__xludf.DUMMYFUNCTION("""COMPUTED_VALUE"""),58784182)</f>
        <v>#NAME?</v>
      </c>
      <c r="B847" s="100" t="e">
        <f ca="1">IFERROR(__xludf.DUMMYFUNCTION("""COMPUTED_VALUE"""),"SXPBUSD")</f>
        <v>#NAME?</v>
      </c>
      <c r="C847" s="100" t="e">
        <f ca="1">IFERROR(__xludf.DUMMYFUNCTION("""COMPUTED_VALUE"""),"0.37210000")</f>
        <v>#NAME?</v>
      </c>
      <c r="D847" s="100" t="e">
        <f t="shared" ca="1" si="164"/>
        <v>#NAME?</v>
      </c>
      <c r="E847" s="100" t="e">
        <f t="shared" ca="1" si="164"/>
        <v>#NAME?</v>
      </c>
      <c r="F847" s="100" t="e">
        <f t="shared" ca="1" si="158"/>
        <v>#NAME?</v>
      </c>
      <c r="G847" s="100" t="e">
        <f t="shared" ca="1" si="159"/>
        <v>#NAME?</v>
      </c>
      <c r="H847" s="100" t="e">
        <f t="shared" ca="1" si="160"/>
        <v>#NAME?</v>
      </c>
      <c r="I847" s="100" t="e">
        <f t="shared" ca="1" si="161"/>
        <v>#NAME?</v>
      </c>
      <c r="J847" s="100" t="e">
        <f ca="1">IFERROR(__xludf.DUMMYFUNCTION("""COMPUTED_VALUE"""),"0")</f>
        <v>#NAME?</v>
      </c>
      <c r="K847" s="100" t="e">
        <f t="shared" ca="1" si="162"/>
        <v>#NAME?</v>
      </c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 spans="1:26">
      <c r="A848" s="100" t="e">
        <f ca="1">IFERROR(__xludf.DUMMYFUNCTION("""COMPUTED_VALUE"""),58784183)</f>
        <v>#NAME?</v>
      </c>
      <c r="B848" s="100" t="e">
        <f ca="1">IFERROR(__xludf.DUMMYFUNCTION("""COMPUTED_VALUE"""),"SNXBTC")</f>
        <v>#NAME?</v>
      </c>
      <c r="C848" s="100" t="e">
        <f ca="1">IFERROR(__xludf.DUMMYFUNCTION("""COMPUTED_VALUE"""),"0.00000751")</f>
        <v>#NAME?</v>
      </c>
      <c r="D848" s="100" t="e">
        <f t="shared" ca="1" si="164"/>
        <v>#NAME?</v>
      </c>
      <c r="E848" s="100" t="e">
        <f t="shared" ca="1" si="164"/>
        <v>#NAME?</v>
      </c>
      <c r="F848" s="100" t="e">
        <f t="shared" ca="1" si="158"/>
        <v>#NAME?</v>
      </c>
      <c r="G848" s="100" t="e">
        <f t="shared" ca="1" si="159"/>
        <v>#NAME?</v>
      </c>
      <c r="H848" s="100" t="e">
        <f t="shared" ca="1" si="160"/>
        <v>#NAME?</v>
      </c>
      <c r="I848" s="100" t="e">
        <f t="shared" ca="1" si="161"/>
        <v>#NAME?</v>
      </c>
      <c r="J848" s="100" t="e">
        <f ca="1">IFERROR(__xludf.DUMMYFUNCTION("""COMPUTED_VALUE"""),"-2.720")</f>
        <v>#NAME?</v>
      </c>
      <c r="K848" s="100" t="e">
        <f t="shared" ca="1" si="162"/>
        <v>#NAME?</v>
      </c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 spans="1:26">
      <c r="A849" s="100" t="e">
        <f ca="1">IFERROR(__xludf.DUMMYFUNCTION("""COMPUTED_VALUE"""),58784184)</f>
        <v>#NAME?</v>
      </c>
      <c r="B849" s="100" t="e">
        <f ca="1">IFERROR(__xludf.DUMMYFUNCTION("""COMPUTED_VALUE"""),"SNXBNB")</f>
        <v>#NAME?</v>
      </c>
      <c r="C849" s="100" t="e">
        <f ca="1">IFERROR(__xludf.DUMMYFUNCTION("""COMPUTED_VALUE"""),"0.01057000")</f>
        <v>#NAME?</v>
      </c>
      <c r="D849" s="100" t="e">
        <f t="shared" ca="1" si="164"/>
        <v>#NAME?</v>
      </c>
      <c r="E849" s="100" t="e">
        <f t="shared" ca="1" si="164"/>
        <v>#NAME?</v>
      </c>
      <c r="F849" s="100" t="e">
        <f t="shared" ca="1" si="158"/>
        <v>#NAME?</v>
      </c>
      <c r="G849" s="100" t="e">
        <f t="shared" ca="1" si="159"/>
        <v>#NAME?</v>
      </c>
      <c r="H849" s="100" t="e">
        <f t="shared" ca="1" si="160"/>
        <v>#NAME?</v>
      </c>
      <c r="I849" s="100" t="e">
        <f t="shared" ca="1" si="161"/>
        <v>#NAME?</v>
      </c>
      <c r="J849" s="100" t="e">
        <f ca="1">IFERROR(__xludf.DUMMYFUNCTION("""COMPUTED_VALUE"""),"0")</f>
        <v>#NAME?</v>
      </c>
      <c r="K849" s="100" t="e">
        <f t="shared" ca="1" si="162"/>
        <v>#NAME?</v>
      </c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 spans="1:26">
      <c r="A850" s="100" t="e">
        <f ca="1">IFERROR(__xludf.DUMMYFUNCTION("""COMPUTED_VALUE"""),58784185)</f>
        <v>#NAME?</v>
      </c>
      <c r="B850" s="100" t="e">
        <f ca="1">IFERROR(__xludf.DUMMYFUNCTION("""COMPUTED_VALUE"""),"SNXBUSD")</f>
        <v>#NAME?</v>
      </c>
      <c r="C850" s="100" t="e">
        <f ca="1">IFERROR(__xludf.DUMMYFUNCTION("""COMPUTED_VALUE"""),"1.93600000")</f>
        <v>#NAME?</v>
      </c>
      <c r="D850" s="100" t="e">
        <f t="shared" ca="1" si="164"/>
        <v>#NAME?</v>
      </c>
      <c r="E850" s="100" t="e">
        <f t="shared" ca="1" si="164"/>
        <v>#NAME?</v>
      </c>
      <c r="F850" s="100" t="e">
        <f t="shared" ca="1" si="158"/>
        <v>#NAME?</v>
      </c>
      <c r="G850" s="100" t="e">
        <f t="shared" ca="1" si="159"/>
        <v>#NAME?</v>
      </c>
      <c r="H850" s="100" t="e">
        <f t="shared" ca="1" si="160"/>
        <v>#NAME?</v>
      </c>
      <c r="I850" s="100" t="e">
        <f t="shared" ca="1" si="161"/>
        <v>#NAME?</v>
      </c>
      <c r="J850" s="100" t="e">
        <f ca="1">IFERROR(__xludf.DUMMYFUNCTION("""COMPUTED_VALUE"""),"0")</f>
        <v>#NAME?</v>
      </c>
      <c r="K850" s="100" t="e">
        <f t="shared" ca="1" si="162"/>
        <v>#NAME?</v>
      </c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 spans="1:26">
      <c r="A851" s="100" t="e">
        <f ca="1">IFERROR(__xludf.DUMMYFUNCTION("""COMPUTED_VALUE"""),58784186)</f>
        <v>#NAME?</v>
      </c>
      <c r="B851" s="100" t="e">
        <f ca="1">IFERROR(__xludf.DUMMYFUNCTION("""COMPUTED_VALUE"""),"SNXUSDT")</f>
        <v>#NAME?</v>
      </c>
      <c r="C851" s="100" t="e">
        <f ca="1">IFERROR(__xludf.DUMMYFUNCTION("""COMPUTED_VALUE"""),"0.66500000")</f>
        <v>#NAME?</v>
      </c>
      <c r="D851" s="100" t="e">
        <f t="shared" ca="1" si="164"/>
        <v>#NAME?</v>
      </c>
      <c r="E851" s="100" t="e">
        <f t="shared" ca="1" si="164"/>
        <v>#NAME?</v>
      </c>
      <c r="F851" s="100" t="e">
        <f t="shared" ca="1" si="158"/>
        <v>#NAME?</v>
      </c>
      <c r="G851" s="100" t="e">
        <f t="shared" ca="1" si="159"/>
        <v>#NAME?</v>
      </c>
      <c r="H851" s="100" t="e">
        <f t="shared" ca="1" si="160"/>
        <v>#NAME?</v>
      </c>
      <c r="I851" s="100" t="e">
        <f t="shared" ca="1" si="161"/>
        <v>#NAME?</v>
      </c>
      <c r="J851" s="100" t="e">
        <f ca="1">IFERROR(__xludf.DUMMYFUNCTION("""COMPUTED_VALUE"""),"-1.627")</f>
        <v>#NAME?</v>
      </c>
      <c r="K851" s="100" t="e">
        <f t="shared" ca="1" si="162"/>
        <v>#NAME?</v>
      </c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 spans="1:26">
      <c r="A852" s="100" t="e">
        <f ca="1">IFERROR(__xludf.DUMMYFUNCTION("""COMPUTED_VALUE"""),58784187)</f>
        <v>#NAME?</v>
      </c>
      <c r="B852" s="100" t="e">
        <f ca="1">IFERROR(__xludf.DUMMYFUNCTION("""COMPUTED_VALUE"""),"ETHUPUSDT")</f>
        <v>#NAME?</v>
      </c>
      <c r="C852" s="100" t="e">
        <f ca="1">IFERROR(__xludf.DUMMYFUNCTION("""COMPUTED_VALUE"""),"11.65100000")</f>
        <v>#NAME?</v>
      </c>
      <c r="D852" s="100" t="e">
        <f t="shared" ca="1" si="164"/>
        <v>#NAME?</v>
      </c>
      <c r="E852" s="100" t="e">
        <f t="shared" ca="1" si="164"/>
        <v>#NAME?</v>
      </c>
      <c r="F852" s="100" t="e">
        <f t="shared" ca="1" si="158"/>
        <v>#NAME?</v>
      </c>
      <c r="G852" s="100" t="e">
        <f t="shared" ca="1" si="159"/>
        <v>#NAME?</v>
      </c>
      <c r="H852" s="100" t="e">
        <f t="shared" ca="1" si="160"/>
        <v>#NAME?</v>
      </c>
      <c r="I852" s="100" t="e">
        <f t="shared" ca="1" si="161"/>
        <v>#NAME?</v>
      </c>
      <c r="J852" s="100" t="e">
        <f t="shared" ref="J852:J859" ca="1" si="165">IFERROR(__xludf.DUMMYFUNCTION("""COMPUTED_VALUE"""),"0")</f>
        <v>#NAME?</v>
      </c>
      <c r="K852" s="100" t="e">
        <f t="shared" ca="1" si="162"/>
        <v>#NAME?</v>
      </c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 spans="1:26">
      <c r="A853" s="100" t="e">
        <f ca="1">IFERROR(__xludf.DUMMYFUNCTION("""COMPUTED_VALUE"""),58784188)</f>
        <v>#NAME?</v>
      </c>
      <c r="B853" s="100" t="e">
        <f ca="1">IFERROR(__xludf.DUMMYFUNCTION("""COMPUTED_VALUE"""),"ETHDOWNUSDT")</f>
        <v>#NAME?</v>
      </c>
      <c r="C853" s="100" t="e">
        <f ca="1">IFERROR(__xludf.DUMMYFUNCTION("""COMPUTED_VALUE"""),"0.04570000")</f>
        <v>#NAME?</v>
      </c>
      <c r="D853" s="100" t="e">
        <f t="shared" ca="1" si="164"/>
        <v>#NAME?</v>
      </c>
      <c r="E853" s="100" t="e">
        <f t="shared" ca="1" si="164"/>
        <v>#NAME?</v>
      </c>
      <c r="F853" s="100" t="e">
        <f t="shared" ca="1" si="158"/>
        <v>#NAME?</v>
      </c>
      <c r="G853" s="100" t="e">
        <f t="shared" ca="1" si="159"/>
        <v>#NAME?</v>
      </c>
      <c r="H853" s="100" t="e">
        <f t="shared" ca="1" si="160"/>
        <v>#NAME?</v>
      </c>
      <c r="I853" s="100" t="e">
        <f t="shared" ca="1" si="161"/>
        <v>#NAME?</v>
      </c>
      <c r="J853" s="100" t="e">
        <f t="shared" ca="1" si="165"/>
        <v>#NAME?</v>
      </c>
      <c r="K853" s="100" t="e">
        <f t="shared" ca="1" si="162"/>
        <v>#NAME?</v>
      </c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 spans="1:26">
      <c r="A854" s="100" t="e">
        <f ca="1">IFERROR(__xludf.DUMMYFUNCTION("""COMPUTED_VALUE"""),58784189)</f>
        <v>#NAME?</v>
      </c>
      <c r="B854" s="100" t="e">
        <f ca="1">IFERROR(__xludf.DUMMYFUNCTION("""COMPUTED_VALUE"""),"ADAUPUSDT")</f>
        <v>#NAME?</v>
      </c>
      <c r="C854" s="100" t="e">
        <f ca="1">IFERROR(__xludf.DUMMYFUNCTION("""COMPUTED_VALUE"""),"0.10400000")</f>
        <v>#NAME?</v>
      </c>
      <c r="D854" s="100" t="e">
        <f t="shared" ca="1" si="164"/>
        <v>#NAME?</v>
      </c>
      <c r="E854" s="100" t="e">
        <f t="shared" ca="1" si="164"/>
        <v>#NAME?</v>
      </c>
      <c r="F854" s="100" t="e">
        <f t="shared" ca="1" si="158"/>
        <v>#NAME?</v>
      </c>
      <c r="G854" s="100" t="e">
        <f t="shared" ca="1" si="159"/>
        <v>#NAME?</v>
      </c>
      <c r="H854" s="100" t="e">
        <f t="shared" ca="1" si="160"/>
        <v>#NAME?</v>
      </c>
      <c r="I854" s="100" t="e">
        <f t="shared" ca="1" si="161"/>
        <v>#NAME?</v>
      </c>
      <c r="J854" s="100" t="e">
        <f t="shared" ca="1" si="165"/>
        <v>#NAME?</v>
      </c>
      <c r="K854" s="100" t="e">
        <f t="shared" ca="1" si="162"/>
        <v>#NAME?</v>
      </c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 spans="1:26">
      <c r="A855" s="100" t="e">
        <f ca="1">IFERROR(__xludf.DUMMYFUNCTION("""COMPUTED_VALUE"""),58784190)</f>
        <v>#NAME?</v>
      </c>
      <c r="B855" s="100" t="e">
        <f ca="1">IFERROR(__xludf.DUMMYFUNCTION("""COMPUTED_VALUE"""),"ADADOWNUSDT")</f>
        <v>#NAME?</v>
      </c>
      <c r="C855" s="100" t="e">
        <f ca="1">IFERROR(__xludf.DUMMYFUNCTION("""COMPUTED_VALUE"""),"0.00191700")</f>
        <v>#NAME?</v>
      </c>
      <c r="D855" s="100" t="e">
        <f t="shared" ca="1" si="164"/>
        <v>#NAME?</v>
      </c>
      <c r="E855" s="100" t="e">
        <f t="shared" ca="1" si="164"/>
        <v>#NAME?</v>
      </c>
      <c r="F855" s="100" t="e">
        <f t="shared" ca="1" si="158"/>
        <v>#NAME?</v>
      </c>
      <c r="G855" s="100" t="e">
        <f t="shared" ca="1" si="159"/>
        <v>#NAME?</v>
      </c>
      <c r="H855" s="100" t="e">
        <f t="shared" ca="1" si="160"/>
        <v>#NAME?</v>
      </c>
      <c r="I855" s="100" t="e">
        <f t="shared" ca="1" si="161"/>
        <v>#NAME?</v>
      </c>
      <c r="J855" s="100" t="e">
        <f t="shared" ca="1" si="165"/>
        <v>#NAME?</v>
      </c>
      <c r="K855" s="100" t="e">
        <f t="shared" ca="1" si="162"/>
        <v>#NAME?</v>
      </c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 spans="1:26">
      <c r="A856" s="100" t="e">
        <f ca="1">IFERROR(__xludf.DUMMYFUNCTION("""COMPUTED_VALUE"""),58784191)</f>
        <v>#NAME?</v>
      </c>
      <c r="B856" s="100" t="e">
        <f ca="1">IFERROR(__xludf.DUMMYFUNCTION("""COMPUTED_VALUE"""),"LINKUPUSDT")</f>
        <v>#NAME?</v>
      </c>
      <c r="C856" s="100" t="e">
        <f ca="1">IFERROR(__xludf.DUMMYFUNCTION("""COMPUTED_VALUE"""),"0.00608000")</f>
        <v>#NAME?</v>
      </c>
      <c r="D856" s="100" t="e">
        <f t="shared" ca="1" si="164"/>
        <v>#NAME?</v>
      </c>
      <c r="E856" s="100" t="e">
        <f t="shared" ca="1" si="164"/>
        <v>#NAME?</v>
      </c>
      <c r="F856" s="100" t="e">
        <f t="shared" ca="1" si="158"/>
        <v>#NAME?</v>
      </c>
      <c r="G856" s="100" t="e">
        <f t="shared" ca="1" si="159"/>
        <v>#NAME?</v>
      </c>
      <c r="H856" s="100" t="e">
        <f t="shared" ca="1" si="160"/>
        <v>#NAME?</v>
      </c>
      <c r="I856" s="100" t="e">
        <f t="shared" ca="1" si="161"/>
        <v>#NAME?</v>
      </c>
      <c r="J856" s="100" t="e">
        <f t="shared" ca="1" si="165"/>
        <v>#NAME?</v>
      </c>
      <c r="K856" s="100" t="e">
        <f t="shared" ca="1" si="162"/>
        <v>#NAME?</v>
      </c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 spans="1:26">
      <c r="A857" s="100" t="e">
        <f ca="1">IFERROR(__xludf.DUMMYFUNCTION("""COMPUTED_VALUE"""),58784192)</f>
        <v>#NAME?</v>
      </c>
      <c r="B857" s="100" t="e">
        <f ca="1">IFERROR(__xludf.DUMMYFUNCTION("""COMPUTED_VALUE"""),"LINKDOWNUSDT")</f>
        <v>#NAME?</v>
      </c>
      <c r="C857" s="100" t="e">
        <f ca="1">IFERROR(__xludf.DUMMYFUNCTION("""COMPUTED_VALUE"""),"0.00089500")</f>
        <v>#NAME?</v>
      </c>
      <c r="D857" s="100" t="e">
        <f t="shared" ca="1" si="164"/>
        <v>#NAME?</v>
      </c>
      <c r="E857" s="100" t="e">
        <f t="shared" ca="1" si="164"/>
        <v>#NAME?</v>
      </c>
      <c r="F857" s="100" t="e">
        <f t="shared" ca="1" si="158"/>
        <v>#NAME?</v>
      </c>
      <c r="G857" s="100" t="e">
        <f t="shared" ca="1" si="159"/>
        <v>#NAME?</v>
      </c>
      <c r="H857" s="100" t="e">
        <f t="shared" ca="1" si="160"/>
        <v>#NAME?</v>
      </c>
      <c r="I857" s="100" t="e">
        <f t="shared" ca="1" si="161"/>
        <v>#NAME?</v>
      </c>
      <c r="J857" s="100" t="e">
        <f t="shared" ca="1" si="165"/>
        <v>#NAME?</v>
      </c>
      <c r="K857" s="100" t="e">
        <f t="shared" ca="1" si="162"/>
        <v>#NAME?</v>
      </c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 spans="1:26">
      <c r="A858" s="100" t="e">
        <f ca="1">IFERROR(__xludf.DUMMYFUNCTION("""COMPUTED_VALUE"""),58784193)</f>
        <v>#NAME?</v>
      </c>
      <c r="B858" s="100" t="e">
        <f ca="1">IFERROR(__xludf.DUMMYFUNCTION("""COMPUTED_VALUE"""),"VTHOBNB")</f>
        <v>#NAME?</v>
      </c>
      <c r="C858" s="100" t="e">
        <f ca="1">IFERROR(__xludf.DUMMYFUNCTION("""COMPUTED_VALUE"""),"0.00000000")</f>
        <v>#NAME?</v>
      </c>
      <c r="D858" s="100" t="e">
        <f t="shared" ca="1" si="164"/>
        <v>#NAME?</v>
      </c>
      <c r="E858" s="100" t="e">
        <f t="shared" ca="1" si="164"/>
        <v>#NAME?</v>
      </c>
      <c r="F858" s="100" t="e">
        <f t="shared" ca="1" si="158"/>
        <v>#NAME?</v>
      </c>
      <c r="G858" s="100" t="e">
        <f t="shared" ca="1" si="159"/>
        <v>#NAME?</v>
      </c>
      <c r="H858" s="100" t="e">
        <f t="shared" ca="1" si="160"/>
        <v>#NAME?</v>
      </c>
      <c r="I858" s="100" t="e">
        <f t="shared" ca="1" si="161"/>
        <v>#NAME?</v>
      </c>
      <c r="J858" s="100" t="e">
        <f t="shared" ca="1" si="165"/>
        <v>#NAME?</v>
      </c>
      <c r="K858" s="100" t="e">
        <f t="shared" ca="1" si="162"/>
        <v>#NAME?</v>
      </c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 spans="1:26">
      <c r="A859" s="100" t="e">
        <f ca="1">IFERROR(__xludf.DUMMYFUNCTION("""COMPUTED_VALUE"""),58784194)</f>
        <v>#NAME?</v>
      </c>
      <c r="B859" s="100" t="e">
        <f ca="1">IFERROR(__xludf.DUMMYFUNCTION("""COMPUTED_VALUE"""),"VTHOBUSD")</f>
        <v>#NAME?</v>
      </c>
      <c r="C859" s="100" t="e">
        <f ca="1">IFERROR(__xludf.DUMMYFUNCTION("""COMPUTED_VALUE"""),"0.00000000")</f>
        <v>#NAME?</v>
      </c>
      <c r="D859" s="100" t="e">
        <f t="shared" ca="1" si="164"/>
        <v>#NAME?</v>
      </c>
      <c r="E859" s="100" t="e">
        <f t="shared" ca="1" si="164"/>
        <v>#NAME?</v>
      </c>
      <c r="F859" s="100" t="e">
        <f t="shared" ca="1" si="158"/>
        <v>#NAME?</v>
      </c>
      <c r="G859" s="100" t="e">
        <f t="shared" ca="1" si="159"/>
        <v>#NAME?</v>
      </c>
      <c r="H859" s="100" t="e">
        <f t="shared" ca="1" si="160"/>
        <v>#NAME?</v>
      </c>
      <c r="I859" s="100" t="e">
        <f t="shared" ca="1" si="161"/>
        <v>#NAME?</v>
      </c>
      <c r="J859" s="100" t="e">
        <f t="shared" ca="1" si="165"/>
        <v>#NAME?</v>
      </c>
      <c r="K859" s="100" t="e">
        <f t="shared" ca="1" si="162"/>
        <v>#NAME?</v>
      </c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 spans="1:26">
      <c r="A860" s="100" t="e">
        <f ca="1">IFERROR(__xludf.DUMMYFUNCTION("""COMPUTED_VALUE"""),58784195)</f>
        <v>#NAME?</v>
      </c>
      <c r="B860" s="100" t="e">
        <f ca="1">IFERROR(__xludf.DUMMYFUNCTION("""COMPUTED_VALUE"""),"VTHOUSDT")</f>
        <v>#NAME?</v>
      </c>
      <c r="C860" s="100" t="e">
        <f ca="1">IFERROR(__xludf.DUMMYFUNCTION("""COMPUTED_VALUE"""),"0.00242700")</f>
        <v>#NAME?</v>
      </c>
      <c r="D860" s="100" t="e">
        <f t="shared" ca="1" si="164"/>
        <v>#NAME?</v>
      </c>
      <c r="E860" s="100" t="e">
        <f t="shared" ca="1" si="164"/>
        <v>#NAME?</v>
      </c>
      <c r="F860" s="100" t="e">
        <f t="shared" ca="1" si="158"/>
        <v>#NAME?</v>
      </c>
      <c r="G860" s="100" t="e">
        <f t="shared" ca="1" si="159"/>
        <v>#NAME?</v>
      </c>
      <c r="H860" s="100" t="e">
        <f t="shared" ca="1" si="160"/>
        <v>#NAME?</v>
      </c>
      <c r="I860" s="100" t="e">
        <f t="shared" ca="1" si="161"/>
        <v>#NAME?</v>
      </c>
      <c r="J860" s="100" t="e">
        <f ca="1">IFERROR(__xludf.DUMMYFUNCTION("""COMPUTED_VALUE"""),"-2.920")</f>
        <v>#NAME?</v>
      </c>
      <c r="K860" s="100" t="e">
        <f t="shared" ca="1" si="162"/>
        <v>#NAME?</v>
      </c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 spans="1:26">
      <c r="A861" s="100" t="e">
        <f ca="1">IFERROR(__xludf.DUMMYFUNCTION("""COMPUTED_VALUE"""),58784196)</f>
        <v>#NAME?</v>
      </c>
      <c r="B861" s="100" t="e">
        <f ca="1">IFERROR(__xludf.DUMMYFUNCTION("""COMPUTED_VALUE"""),"DCRBUSD")</f>
        <v>#NAME?</v>
      </c>
      <c r="C861" s="100" t="e">
        <f ca="1">IFERROR(__xludf.DUMMYFUNCTION("""COMPUTED_VALUE"""),"0.00000000")</f>
        <v>#NAME?</v>
      </c>
      <c r="D861" s="100" t="e">
        <f t="shared" ca="1" si="164"/>
        <v>#NAME?</v>
      </c>
      <c r="E861" s="100" t="e">
        <f t="shared" ca="1" si="164"/>
        <v>#NAME?</v>
      </c>
      <c r="F861" s="100" t="e">
        <f t="shared" ca="1" si="158"/>
        <v>#NAME?</v>
      </c>
      <c r="G861" s="100" t="e">
        <f t="shared" ca="1" si="159"/>
        <v>#NAME?</v>
      </c>
      <c r="H861" s="100" t="e">
        <f t="shared" ca="1" si="160"/>
        <v>#NAME?</v>
      </c>
      <c r="I861" s="100" t="e">
        <f t="shared" ca="1" si="161"/>
        <v>#NAME?</v>
      </c>
      <c r="J861" s="100" t="e">
        <f ca="1">IFERROR(__xludf.DUMMYFUNCTION("""COMPUTED_VALUE"""),"0")</f>
        <v>#NAME?</v>
      </c>
      <c r="K861" s="100" t="e">
        <f t="shared" ca="1" si="162"/>
        <v>#NAME?</v>
      </c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 spans="1:26">
      <c r="A862" s="100" t="e">
        <f ca="1">IFERROR(__xludf.DUMMYFUNCTION("""COMPUTED_VALUE"""),58784197)</f>
        <v>#NAME?</v>
      </c>
      <c r="B862" s="100" t="e">
        <f ca="1">IFERROR(__xludf.DUMMYFUNCTION("""COMPUTED_VALUE"""),"DGBUSDT")</f>
        <v>#NAME?</v>
      </c>
      <c r="C862" s="100" t="e">
        <f ca="1">IFERROR(__xludf.DUMMYFUNCTION("""COMPUTED_VALUE"""),"0.01013000")</f>
        <v>#NAME?</v>
      </c>
      <c r="D862" s="100" t="e">
        <f t="shared" ref="D862:E881" ca="1" si="166">IFERROR(__xludf.DUMMYFUNCTION("""COMPUTED_VALUE"""),"-")</f>
        <v>#NAME?</v>
      </c>
      <c r="E862" s="100" t="e">
        <f t="shared" ca="1" si="166"/>
        <v>#NAME?</v>
      </c>
      <c r="F862" s="100" t="e">
        <f t="shared" ca="1" si="158"/>
        <v>#NAME?</v>
      </c>
      <c r="G862" s="100" t="e">
        <f t="shared" ca="1" si="159"/>
        <v>#NAME?</v>
      </c>
      <c r="H862" s="100" t="e">
        <f t="shared" ca="1" si="160"/>
        <v>#NAME?</v>
      </c>
      <c r="I862" s="100" t="e">
        <f t="shared" ca="1" si="161"/>
        <v>#NAME?</v>
      </c>
      <c r="J862" s="100" t="e">
        <f ca="1">IFERROR(__xludf.DUMMYFUNCTION("""COMPUTED_VALUE"""),"0.496")</f>
        <v>#NAME?</v>
      </c>
      <c r="K862" s="100" t="e">
        <f t="shared" ca="1" si="162"/>
        <v>#NAME?</v>
      </c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 spans="1:26">
      <c r="A863" s="100" t="e">
        <f ca="1">IFERROR(__xludf.DUMMYFUNCTION("""COMPUTED_VALUE"""),58784198)</f>
        <v>#NAME?</v>
      </c>
      <c r="B863" s="100" t="e">
        <f ca="1">IFERROR(__xludf.DUMMYFUNCTION("""COMPUTED_VALUE"""),"GBPUSDT")</f>
        <v>#NAME?</v>
      </c>
      <c r="C863" s="100" t="e">
        <f ca="1">IFERROR(__xludf.DUMMYFUNCTION("""COMPUTED_VALUE"""),"1.18000000")</f>
        <v>#NAME?</v>
      </c>
      <c r="D863" s="100" t="e">
        <f t="shared" ca="1" si="166"/>
        <v>#NAME?</v>
      </c>
      <c r="E863" s="100" t="e">
        <f t="shared" ca="1" si="166"/>
        <v>#NAME?</v>
      </c>
      <c r="F863" s="100" t="e">
        <f t="shared" ca="1" si="158"/>
        <v>#NAME?</v>
      </c>
      <c r="G863" s="100" t="e">
        <f t="shared" ca="1" si="159"/>
        <v>#NAME?</v>
      </c>
      <c r="H863" s="100" t="e">
        <f t="shared" ca="1" si="160"/>
        <v>#NAME?</v>
      </c>
      <c r="I863" s="100" t="e">
        <f t="shared" ca="1" si="161"/>
        <v>#NAME?</v>
      </c>
      <c r="J863" s="100" t="e">
        <f ca="1">IFERROR(__xludf.DUMMYFUNCTION("""COMPUTED_VALUE"""),"0")</f>
        <v>#NAME?</v>
      </c>
      <c r="K863" s="100" t="e">
        <f t="shared" ca="1" si="162"/>
        <v>#NAME?</v>
      </c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 spans="1:26">
      <c r="A864" s="100" t="e">
        <f ca="1">IFERROR(__xludf.DUMMYFUNCTION("""COMPUTED_VALUE"""),58784199)</f>
        <v>#NAME?</v>
      </c>
      <c r="B864" s="100" t="e">
        <f ca="1">IFERROR(__xludf.DUMMYFUNCTION("""COMPUTED_VALUE"""),"STORJBUSD")</f>
        <v>#NAME?</v>
      </c>
      <c r="C864" s="100" t="e">
        <f ca="1">IFERROR(__xludf.DUMMYFUNCTION("""COMPUTED_VALUE"""),"0.23710000")</f>
        <v>#NAME?</v>
      </c>
      <c r="D864" s="100" t="e">
        <f t="shared" ca="1" si="166"/>
        <v>#NAME?</v>
      </c>
      <c r="E864" s="100" t="e">
        <f t="shared" ca="1" si="166"/>
        <v>#NAME?</v>
      </c>
      <c r="F864" s="100" t="e">
        <f t="shared" ca="1" si="158"/>
        <v>#NAME?</v>
      </c>
      <c r="G864" s="100" t="e">
        <f t="shared" ca="1" si="159"/>
        <v>#NAME?</v>
      </c>
      <c r="H864" s="100" t="e">
        <f t="shared" ca="1" si="160"/>
        <v>#NAME?</v>
      </c>
      <c r="I864" s="100" t="e">
        <f t="shared" ca="1" si="161"/>
        <v>#NAME?</v>
      </c>
      <c r="J864" s="100" t="e">
        <f ca="1">IFERROR(__xludf.DUMMYFUNCTION("""COMPUTED_VALUE"""),"0")</f>
        <v>#NAME?</v>
      </c>
      <c r="K864" s="100" t="e">
        <f t="shared" ca="1" si="162"/>
        <v>#NAME?</v>
      </c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 spans="1:26">
      <c r="A865" s="100" t="e">
        <f ca="1">IFERROR(__xludf.DUMMYFUNCTION("""COMPUTED_VALUE"""),58784200)</f>
        <v>#NAME?</v>
      </c>
      <c r="B865" s="100" t="e">
        <f ca="1">IFERROR(__xludf.DUMMYFUNCTION("""COMPUTED_VALUE"""),"SXPUSDT")</f>
        <v>#NAME?</v>
      </c>
      <c r="C865" s="100" t="e">
        <f ca="1">IFERROR(__xludf.DUMMYFUNCTION("""COMPUTED_VALUE"""),"0.20290000")</f>
        <v>#NAME?</v>
      </c>
      <c r="D865" s="100" t="e">
        <f t="shared" ca="1" si="166"/>
        <v>#NAME?</v>
      </c>
      <c r="E865" s="100" t="e">
        <f t="shared" ca="1" si="166"/>
        <v>#NAME?</v>
      </c>
      <c r="F865" s="100" t="e">
        <f t="shared" ca="1" si="158"/>
        <v>#NAME?</v>
      </c>
      <c r="G865" s="100" t="e">
        <f t="shared" ca="1" si="159"/>
        <v>#NAME?</v>
      </c>
      <c r="H865" s="100" t="e">
        <f t="shared" ca="1" si="160"/>
        <v>#NAME?</v>
      </c>
      <c r="I865" s="100" t="e">
        <f t="shared" ca="1" si="161"/>
        <v>#NAME?</v>
      </c>
      <c r="J865" s="100" t="e">
        <f ca="1">IFERROR(__xludf.DUMMYFUNCTION("""COMPUTED_VALUE"""),"-4.157")</f>
        <v>#NAME?</v>
      </c>
      <c r="K865" s="100" t="e">
        <f t="shared" ca="1" si="162"/>
        <v>#NAME?</v>
      </c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 spans="1:26">
      <c r="A866" s="100" t="e">
        <f ca="1">IFERROR(__xludf.DUMMYFUNCTION("""COMPUTED_VALUE"""),58784201)</f>
        <v>#NAME?</v>
      </c>
      <c r="B866" s="100" t="e">
        <f ca="1">IFERROR(__xludf.DUMMYFUNCTION("""COMPUTED_VALUE"""),"IRISBNB")</f>
        <v>#NAME?</v>
      </c>
      <c r="C866" s="100" t="e">
        <f ca="1">IFERROR(__xludf.DUMMYFUNCTION("""COMPUTED_VALUE"""),"0.00000000")</f>
        <v>#NAME?</v>
      </c>
      <c r="D866" s="100" t="e">
        <f t="shared" ca="1" si="166"/>
        <v>#NAME?</v>
      </c>
      <c r="E866" s="100" t="e">
        <f t="shared" ca="1" si="166"/>
        <v>#NAME?</v>
      </c>
      <c r="F866" s="100" t="e">
        <f t="shared" ca="1" si="158"/>
        <v>#NAME?</v>
      </c>
      <c r="G866" s="100" t="e">
        <f t="shared" ca="1" si="159"/>
        <v>#NAME?</v>
      </c>
      <c r="H866" s="100" t="e">
        <f t="shared" ca="1" si="160"/>
        <v>#NAME?</v>
      </c>
      <c r="I866" s="100" t="e">
        <f t="shared" ca="1" si="161"/>
        <v>#NAME?</v>
      </c>
      <c r="J866" s="100" t="e">
        <f ca="1">IFERROR(__xludf.DUMMYFUNCTION("""COMPUTED_VALUE"""),"0")</f>
        <v>#NAME?</v>
      </c>
      <c r="K866" s="100" t="e">
        <f t="shared" ca="1" si="162"/>
        <v>#NAME?</v>
      </c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 spans="1:26">
      <c r="A867" s="100" t="e">
        <f ca="1">IFERROR(__xludf.DUMMYFUNCTION("""COMPUTED_VALUE"""),58784202)</f>
        <v>#NAME?</v>
      </c>
      <c r="B867" s="100" t="e">
        <f ca="1">IFERROR(__xludf.DUMMYFUNCTION("""COMPUTED_VALUE"""),"IRISBTC")</f>
        <v>#NAME?</v>
      </c>
      <c r="C867" s="100" t="e">
        <f ca="1">IFERROR(__xludf.DUMMYFUNCTION("""COMPUTED_VALUE"""),"0.00000014")</f>
        <v>#NAME?</v>
      </c>
      <c r="D867" s="100" t="e">
        <f t="shared" ca="1" si="166"/>
        <v>#NAME?</v>
      </c>
      <c r="E867" s="100" t="e">
        <f t="shared" ca="1" si="166"/>
        <v>#NAME?</v>
      </c>
      <c r="F867" s="100" t="e">
        <f t="shared" ca="1" si="158"/>
        <v>#NAME?</v>
      </c>
      <c r="G867" s="100" t="e">
        <f t="shared" ca="1" si="159"/>
        <v>#NAME?</v>
      </c>
      <c r="H867" s="100" t="e">
        <f t="shared" ca="1" si="160"/>
        <v>#NAME?</v>
      </c>
      <c r="I867" s="100" t="e">
        <f t="shared" ca="1" si="161"/>
        <v>#NAME?</v>
      </c>
      <c r="J867" s="100" t="e">
        <f ca="1">IFERROR(__xludf.DUMMYFUNCTION("""COMPUTED_VALUE"""),"0")</f>
        <v>#NAME?</v>
      </c>
      <c r="K867" s="100" t="e">
        <f t="shared" ca="1" si="162"/>
        <v>#NAME?</v>
      </c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 spans="1:26">
      <c r="A868" s="100" t="e">
        <f ca="1">IFERROR(__xludf.DUMMYFUNCTION("""COMPUTED_VALUE"""),58784203)</f>
        <v>#NAME?</v>
      </c>
      <c r="B868" s="100" t="e">
        <f ca="1">IFERROR(__xludf.DUMMYFUNCTION("""COMPUTED_VALUE"""),"IRISBUSD")</f>
        <v>#NAME?</v>
      </c>
      <c r="C868" s="100" t="e">
        <f ca="1">IFERROR(__xludf.DUMMYFUNCTION("""COMPUTED_VALUE"""),"0.00000000")</f>
        <v>#NAME?</v>
      </c>
      <c r="D868" s="100" t="e">
        <f t="shared" ca="1" si="166"/>
        <v>#NAME?</v>
      </c>
      <c r="E868" s="100" t="e">
        <f t="shared" ca="1" si="166"/>
        <v>#NAME?</v>
      </c>
      <c r="F868" s="100" t="e">
        <f t="shared" ca="1" si="158"/>
        <v>#NAME?</v>
      </c>
      <c r="G868" s="100" t="e">
        <f t="shared" ca="1" si="159"/>
        <v>#NAME?</v>
      </c>
      <c r="H868" s="100" t="e">
        <f t="shared" ca="1" si="160"/>
        <v>#NAME?</v>
      </c>
      <c r="I868" s="100" t="e">
        <f t="shared" ca="1" si="161"/>
        <v>#NAME?</v>
      </c>
      <c r="J868" s="100" t="e">
        <f ca="1">IFERROR(__xludf.DUMMYFUNCTION("""COMPUTED_VALUE"""),"0")</f>
        <v>#NAME?</v>
      </c>
      <c r="K868" s="100" t="e">
        <f t="shared" ca="1" si="162"/>
        <v>#NAME?</v>
      </c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 spans="1:26">
      <c r="A869" s="100" t="e">
        <f ca="1">IFERROR(__xludf.DUMMYFUNCTION("""COMPUTED_VALUE"""),58784204)</f>
        <v>#NAME?</v>
      </c>
      <c r="B869" s="100" t="e">
        <f ca="1">IFERROR(__xludf.DUMMYFUNCTION("""COMPUTED_VALUE"""),"MKRBNB")</f>
        <v>#NAME?</v>
      </c>
      <c r="C869" s="100" t="e">
        <f ca="1">IFERROR(__xludf.DUMMYFUNCTION("""COMPUTED_VALUE"""),"0.00000000")</f>
        <v>#NAME?</v>
      </c>
      <c r="D869" s="100" t="e">
        <f t="shared" ca="1" si="166"/>
        <v>#NAME?</v>
      </c>
      <c r="E869" s="100" t="e">
        <f t="shared" ca="1" si="166"/>
        <v>#NAME?</v>
      </c>
      <c r="F869" s="100" t="e">
        <f t="shared" ca="1" si="158"/>
        <v>#NAME?</v>
      </c>
      <c r="G869" s="100" t="e">
        <f t="shared" ca="1" si="159"/>
        <v>#NAME?</v>
      </c>
      <c r="H869" s="100" t="e">
        <f t="shared" ca="1" si="160"/>
        <v>#NAME?</v>
      </c>
      <c r="I869" s="100" t="e">
        <f t="shared" ca="1" si="161"/>
        <v>#NAME?</v>
      </c>
      <c r="J869" s="100" t="e">
        <f ca="1">IFERROR(__xludf.DUMMYFUNCTION("""COMPUTED_VALUE"""),"0")</f>
        <v>#NAME?</v>
      </c>
      <c r="K869" s="100" t="e">
        <f t="shared" ca="1" si="162"/>
        <v>#NAME?</v>
      </c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 spans="1:26">
      <c r="A870" s="100" t="e">
        <f ca="1">IFERROR(__xludf.DUMMYFUNCTION("""COMPUTED_VALUE"""),58784205)</f>
        <v>#NAME?</v>
      </c>
      <c r="B870" s="100" t="e">
        <f ca="1">IFERROR(__xludf.DUMMYFUNCTION("""COMPUTED_VALUE"""),"MKRBTC")</f>
        <v>#NAME?</v>
      </c>
      <c r="C870" s="100" t="e">
        <f ca="1">IFERROR(__xludf.DUMMYFUNCTION("""COMPUTED_VALUE"""),"0.01566000")</f>
        <v>#NAME?</v>
      </c>
      <c r="D870" s="100" t="e">
        <f t="shared" ca="1" si="166"/>
        <v>#NAME?</v>
      </c>
      <c r="E870" s="100" t="e">
        <f t="shared" ca="1" si="166"/>
        <v>#NAME?</v>
      </c>
      <c r="F870" s="100" t="e">
        <f t="shared" ca="1" si="158"/>
        <v>#NAME?</v>
      </c>
      <c r="G870" s="100" t="e">
        <f t="shared" ca="1" si="159"/>
        <v>#NAME?</v>
      </c>
      <c r="H870" s="100" t="e">
        <f t="shared" ca="1" si="160"/>
        <v>#NAME?</v>
      </c>
      <c r="I870" s="100" t="e">
        <f t="shared" ca="1" si="161"/>
        <v>#NAME?</v>
      </c>
      <c r="J870" s="100" t="e">
        <f ca="1">IFERROR(__xludf.DUMMYFUNCTION("""COMPUTED_VALUE"""),"-1.633")</f>
        <v>#NAME?</v>
      </c>
      <c r="K870" s="100" t="e">
        <f t="shared" ca="1" si="162"/>
        <v>#NAME?</v>
      </c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 spans="1:26">
      <c r="A871" s="100" t="e">
        <f ca="1">IFERROR(__xludf.DUMMYFUNCTION("""COMPUTED_VALUE"""),58784206)</f>
        <v>#NAME?</v>
      </c>
      <c r="B871" s="100" t="e">
        <f ca="1">IFERROR(__xludf.DUMMYFUNCTION("""COMPUTED_VALUE"""),"MKRUSDT")</f>
        <v>#NAME?</v>
      </c>
      <c r="C871" s="100" t="e">
        <f ca="1">IFERROR(__xludf.DUMMYFUNCTION("""COMPUTED_VALUE"""),"1387.00000000")</f>
        <v>#NAME?</v>
      </c>
      <c r="D871" s="100" t="e">
        <f t="shared" ca="1" si="166"/>
        <v>#NAME?</v>
      </c>
      <c r="E871" s="100" t="e">
        <f t="shared" ca="1" si="166"/>
        <v>#NAME?</v>
      </c>
      <c r="F871" s="100" t="e">
        <f t="shared" ca="1" si="158"/>
        <v>#NAME?</v>
      </c>
      <c r="G871" s="100" t="e">
        <f t="shared" ca="1" si="159"/>
        <v>#NAME?</v>
      </c>
      <c r="H871" s="100" t="e">
        <f t="shared" ca="1" si="160"/>
        <v>#NAME?</v>
      </c>
      <c r="I871" s="100" t="e">
        <f t="shared" ca="1" si="161"/>
        <v>#NAME?</v>
      </c>
      <c r="J871" s="100" t="e">
        <f ca="1">IFERROR(__xludf.DUMMYFUNCTION("""COMPUTED_VALUE"""),"-0.502")</f>
        <v>#NAME?</v>
      </c>
      <c r="K871" s="100" t="e">
        <f t="shared" ca="1" si="162"/>
        <v>#NAME?</v>
      </c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 spans="1:26">
      <c r="A872" s="100" t="e">
        <f ca="1">IFERROR(__xludf.DUMMYFUNCTION("""COMPUTED_VALUE"""),58784207)</f>
        <v>#NAME?</v>
      </c>
      <c r="B872" s="100" t="e">
        <f ca="1">IFERROR(__xludf.DUMMYFUNCTION("""COMPUTED_VALUE"""),"MKRBUSD")</f>
        <v>#NAME?</v>
      </c>
      <c r="C872" s="100" t="e">
        <f ca="1">IFERROR(__xludf.DUMMYFUNCTION("""COMPUTED_VALUE"""),"1293.00000000")</f>
        <v>#NAME?</v>
      </c>
      <c r="D872" s="100" t="e">
        <f t="shared" ca="1" si="166"/>
        <v>#NAME?</v>
      </c>
      <c r="E872" s="100" t="e">
        <f t="shared" ca="1" si="166"/>
        <v>#NAME?</v>
      </c>
      <c r="F872" s="100" t="e">
        <f t="shared" ca="1" si="158"/>
        <v>#NAME?</v>
      </c>
      <c r="G872" s="100" t="e">
        <f t="shared" ca="1" si="159"/>
        <v>#NAME?</v>
      </c>
      <c r="H872" s="100" t="e">
        <f t="shared" ca="1" si="160"/>
        <v>#NAME?</v>
      </c>
      <c r="I872" s="100" t="e">
        <f t="shared" ca="1" si="161"/>
        <v>#NAME?</v>
      </c>
      <c r="J872" s="100" t="e">
        <f ca="1">IFERROR(__xludf.DUMMYFUNCTION("""COMPUTED_VALUE"""),"0")</f>
        <v>#NAME?</v>
      </c>
      <c r="K872" s="100" t="e">
        <f t="shared" ca="1" si="162"/>
        <v>#NAME?</v>
      </c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 spans="1:26">
      <c r="A873" s="100" t="e">
        <f ca="1">IFERROR(__xludf.DUMMYFUNCTION("""COMPUTED_VALUE"""),58784208)</f>
        <v>#NAME?</v>
      </c>
      <c r="B873" s="100" t="e">
        <f ca="1">IFERROR(__xludf.DUMMYFUNCTION("""COMPUTED_VALUE"""),"DAIBNB")</f>
        <v>#NAME?</v>
      </c>
      <c r="C873" s="100" t="e">
        <f ca="1">IFERROR(__xludf.DUMMYFUNCTION("""COMPUTED_VALUE"""),"0.00000000")</f>
        <v>#NAME?</v>
      </c>
      <c r="D873" s="100" t="e">
        <f t="shared" ca="1" si="166"/>
        <v>#NAME?</v>
      </c>
      <c r="E873" s="100" t="e">
        <f t="shared" ca="1" si="166"/>
        <v>#NAME?</v>
      </c>
      <c r="F873" s="100" t="e">
        <f t="shared" ca="1" si="158"/>
        <v>#NAME?</v>
      </c>
      <c r="G873" s="100" t="e">
        <f t="shared" ca="1" si="159"/>
        <v>#NAME?</v>
      </c>
      <c r="H873" s="100" t="e">
        <f t="shared" ca="1" si="160"/>
        <v>#NAME?</v>
      </c>
      <c r="I873" s="100" t="e">
        <f t="shared" ca="1" si="161"/>
        <v>#NAME?</v>
      </c>
      <c r="J873" s="100" t="e">
        <f ca="1">IFERROR(__xludf.DUMMYFUNCTION("""COMPUTED_VALUE"""),"0")</f>
        <v>#NAME?</v>
      </c>
      <c r="K873" s="100" t="e">
        <f t="shared" ca="1" si="162"/>
        <v>#NAME?</v>
      </c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 spans="1:26">
      <c r="A874" s="100" t="e">
        <f ca="1">IFERROR(__xludf.DUMMYFUNCTION("""COMPUTED_VALUE"""),58784209)</f>
        <v>#NAME?</v>
      </c>
      <c r="B874" s="100" t="e">
        <f ca="1">IFERROR(__xludf.DUMMYFUNCTION("""COMPUTED_VALUE"""),"DAIBTC")</f>
        <v>#NAME?</v>
      </c>
      <c r="C874" s="100" t="e">
        <f ca="1">IFERROR(__xludf.DUMMYFUNCTION("""COMPUTED_VALUE"""),"0.00000000")</f>
        <v>#NAME?</v>
      </c>
      <c r="D874" s="100" t="e">
        <f t="shared" ca="1" si="166"/>
        <v>#NAME?</v>
      </c>
      <c r="E874" s="100" t="e">
        <f t="shared" ca="1" si="166"/>
        <v>#NAME?</v>
      </c>
      <c r="F874" s="100" t="e">
        <f t="shared" ca="1" si="158"/>
        <v>#NAME?</v>
      </c>
      <c r="G874" s="100" t="e">
        <f t="shared" ca="1" si="159"/>
        <v>#NAME?</v>
      </c>
      <c r="H874" s="100" t="e">
        <f t="shared" ca="1" si="160"/>
        <v>#NAME?</v>
      </c>
      <c r="I874" s="100" t="e">
        <f t="shared" ca="1" si="161"/>
        <v>#NAME?</v>
      </c>
      <c r="J874" s="100" t="e">
        <f ca="1">IFERROR(__xludf.DUMMYFUNCTION("""COMPUTED_VALUE"""),"0")</f>
        <v>#NAME?</v>
      </c>
      <c r="K874" s="100" t="e">
        <f t="shared" ca="1" si="162"/>
        <v>#NAME?</v>
      </c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 spans="1:26">
      <c r="A875" s="100" t="e">
        <f ca="1">IFERROR(__xludf.DUMMYFUNCTION("""COMPUTED_VALUE"""),58784210)</f>
        <v>#NAME?</v>
      </c>
      <c r="B875" s="100" t="e">
        <f ca="1">IFERROR(__xludf.DUMMYFUNCTION("""COMPUTED_VALUE"""),"DAIUSDT")</f>
        <v>#NAME?</v>
      </c>
      <c r="C875" s="100" t="e">
        <f ca="1">IFERROR(__xludf.DUMMYFUNCTION("""COMPUTED_VALUE"""),"0.00000000")</f>
        <v>#NAME?</v>
      </c>
      <c r="D875" s="100" t="e">
        <f t="shared" ca="1" si="166"/>
        <v>#NAME?</v>
      </c>
      <c r="E875" s="100" t="e">
        <f t="shared" ca="1" si="166"/>
        <v>#NAME?</v>
      </c>
      <c r="F875" s="100" t="e">
        <f t="shared" ca="1" si="158"/>
        <v>#NAME?</v>
      </c>
      <c r="G875" s="100" t="e">
        <f t="shared" ca="1" si="159"/>
        <v>#NAME?</v>
      </c>
      <c r="H875" s="100" t="e">
        <f t="shared" ca="1" si="160"/>
        <v>#NAME?</v>
      </c>
      <c r="I875" s="100" t="e">
        <f t="shared" ca="1" si="161"/>
        <v>#NAME?</v>
      </c>
      <c r="J875" s="100" t="e">
        <f ca="1">IFERROR(__xludf.DUMMYFUNCTION("""COMPUTED_VALUE"""),"0")</f>
        <v>#NAME?</v>
      </c>
      <c r="K875" s="100" t="e">
        <f t="shared" ca="1" si="162"/>
        <v>#NAME?</v>
      </c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 spans="1:26">
      <c r="A876" s="100" t="e">
        <f ca="1">IFERROR(__xludf.DUMMYFUNCTION("""COMPUTED_VALUE"""),58784211)</f>
        <v>#NAME?</v>
      </c>
      <c r="B876" s="100" t="e">
        <f ca="1">IFERROR(__xludf.DUMMYFUNCTION("""COMPUTED_VALUE"""),"DAIBUSD")</f>
        <v>#NAME?</v>
      </c>
      <c r="C876" s="100" t="e">
        <f ca="1">IFERROR(__xludf.DUMMYFUNCTION("""COMPUTED_VALUE"""),"0.00000000")</f>
        <v>#NAME?</v>
      </c>
      <c r="D876" s="100" t="e">
        <f t="shared" ca="1" si="166"/>
        <v>#NAME?</v>
      </c>
      <c r="E876" s="100" t="e">
        <f t="shared" ca="1" si="166"/>
        <v>#NAME?</v>
      </c>
      <c r="F876" s="100" t="e">
        <f t="shared" ca="1" si="158"/>
        <v>#NAME?</v>
      </c>
      <c r="G876" s="100" t="e">
        <f t="shared" ca="1" si="159"/>
        <v>#NAME?</v>
      </c>
      <c r="H876" s="100" t="e">
        <f t="shared" ca="1" si="160"/>
        <v>#NAME?</v>
      </c>
      <c r="I876" s="100" t="e">
        <f t="shared" ca="1" si="161"/>
        <v>#NAME?</v>
      </c>
      <c r="J876" s="100" t="e">
        <f ca="1">IFERROR(__xludf.DUMMYFUNCTION("""COMPUTED_VALUE"""),"0")</f>
        <v>#NAME?</v>
      </c>
      <c r="K876" s="100" t="e">
        <f t="shared" ca="1" si="162"/>
        <v>#NAME?</v>
      </c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 spans="1:26">
      <c r="A877" s="100" t="e">
        <f ca="1">IFERROR(__xludf.DUMMYFUNCTION("""COMPUTED_VALUE"""),58784212)</f>
        <v>#NAME?</v>
      </c>
      <c r="B877" s="100" t="e">
        <f ca="1">IFERROR(__xludf.DUMMYFUNCTION("""COMPUTED_VALUE"""),"RUNEBNB")</f>
        <v>#NAME?</v>
      </c>
      <c r="C877" s="100" t="e">
        <f ca="1">IFERROR(__xludf.DUMMYFUNCTION("""COMPUTED_VALUE"""),"0.00188500")</f>
        <v>#NAME?</v>
      </c>
      <c r="D877" s="100" t="e">
        <f t="shared" ca="1" si="166"/>
        <v>#NAME?</v>
      </c>
      <c r="E877" s="100" t="e">
        <f t="shared" ca="1" si="166"/>
        <v>#NAME?</v>
      </c>
      <c r="F877" s="100" t="e">
        <f t="shared" ca="1" si="158"/>
        <v>#NAME?</v>
      </c>
      <c r="G877" s="100" t="e">
        <f t="shared" ca="1" si="159"/>
        <v>#NAME?</v>
      </c>
      <c r="H877" s="100" t="e">
        <f t="shared" ca="1" si="160"/>
        <v>#NAME?</v>
      </c>
      <c r="I877" s="100" t="e">
        <f t="shared" ca="1" si="161"/>
        <v>#NAME?</v>
      </c>
      <c r="J877" s="100" t="e">
        <f ca="1">IFERROR(__xludf.DUMMYFUNCTION("""COMPUTED_VALUE"""),"-1.205")</f>
        <v>#NAME?</v>
      </c>
      <c r="K877" s="100" t="e">
        <f t="shared" ca="1" si="162"/>
        <v>#NAME?</v>
      </c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 spans="1:26">
      <c r="A878" s="100" t="e">
        <f ca="1">IFERROR(__xludf.DUMMYFUNCTION("""COMPUTED_VALUE"""),58784213)</f>
        <v>#NAME?</v>
      </c>
      <c r="B878" s="100" t="e">
        <f ca="1">IFERROR(__xludf.DUMMYFUNCTION("""COMPUTED_VALUE"""),"RUNEBTC")</f>
        <v>#NAME?</v>
      </c>
      <c r="C878" s="100" t="e">
        <f ca="1">IFERROR(__xludf.DUMMYFUNCTION("""COMPUTED_VALUE"""),"0.00001408")</f>
        <v>#NAME?</v>
      </c>
      <c r="D878" s="100" t="e">
        <f t="shared" ca="1" si="166"/>
        <v>#NAME?</v>
      </c>
      <c r="E878" s="100" t="e">
        <f t="shared" ca="1" si="166"/>
        <v>#NAME?</v>
      </c>
      <c r="F878" s="100" t="e">
        <f t="shared" ca="1" si="158"/>
        <v>#NAME?</v>
      </c>
      <c r="G878" s="100" t="e">
        <f t="shared" ca="1" si="159"/>
        <v>#NAME?</v>
      </c>
      <c r="H878" s="100" t="e">
        <f t="shared" ca="1" si="160"/>
        <v>#NAME?</v>
      </c>
      <c r="I878" s="100" t="e">
        <f t="shared" ca="1" si="161"/>
        <v>#NAME?</v>
      </c>
      <c r="J878" s="100" t="e">
        <f ca="1">IFERROR(__xludf.DUMMYFUNCTION("""COMPUTED_VALUE"""),"-0.915")</f>
        <v>#NAME?</v>
      </c>
      <c r="K878" s="100" t="e">
        <f t="shared" ca="1" si="162"/>
        <v>#NAME?</v>
      </c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 spans="1:26">
      <c r="A879" s="100" t="e">
        <f ca="1">IFERROR(__xludf.DUMMYFUNCTION("""COMPUTED_VALUE"""),58784214)</f>
        <v>#NAME?</v>
      </c>
      <c r="B879" s="100" t="e">
        <f ca="1">IFERROR(__xludf.DUMMYFUNCTION("""COMPUTED_VALUE"""),"RUNEBUSD")</f>
        <v>#NAME?</v>
      </c>
      <c r="C879" s="100" t="e">
        <f ca="1">IFERROR(__xludf.DUMMYFUNCTION("""COMPUTED_VALUE"""),"5.46200000")</f>
        <v>#NAME?</v>
      </c>
      <c r="D879" s="100" t="e">
        <f t="shared" ca="1" si="166"/>
        <v>#NAME?</v>
      </c>
      <c r="E879" s="100" t="e">
        <f t="shared" ca="1" si="166"/>
        <v>#NAME?</v>
      </c>
      <c r="F879" s="100" t="e">
        <f t="shared" ca="1" si="158"/>
        <v>#NAME?</v>
      </c>
      <c r="G879" s="100" t="e">
        <f t="shared" ca="1" si="159"/>
        <v>#NAME?</v>
      </c>
      <c r="H879" s="100" t="e">
        <f t="shared" ca="1" si="160"/>
        <v>#NAME?</v>
      </c>
      <c r="I879" s="100" t="e">
        <f t="shared" ca="1" si="161"/>
        <v>#NAME?</v>
      </c>
      <c r="J879" s="100" t="e">
        <f ca="1">IFERROR(__xludf.DUMMYFUNCTION("""COMPUTED_VALUE"""),"0")</f>
        <v>#NAME?</v>
      </c>
      <c r="K879" s="100" t="e">
        <f t="shared" ca="1" si="162"/>
        <v>#NAME?</v>
      </c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 spans="1:26">
      <c r="A880" s="100" t="e">
        <f ca="1">IFERROR(__xludf.DUMMYFUNCTION("""COMPUTED_VALUE"""),58784215)</f>
        <v>#NAME?</v>
      </c>
      <c r="B880" s="100" t="e">
        <f ca="1">IFERROR(__xludf.DUMMYFUNCTION("""COMPUTED_VALUE"""),"MANABUSD")</f>
        <v>#NAME?</v>
      </c>
      <c r="C880" s="100" t="e">
        <f ca="1">IFERROR(__xludf.DUMMYFUNCTION("""COMPUTED_VALUE"""),"0.43880000")</f>
        <v>#NAME?</v>
      </c>
      <c r="D880" s="100" t="e">
        <f t="shared" ca="1" si="166"/>
        <v>#NAME?</v>
      </c>
      <c r="E880" s="100" t="e">
        <f t="shared" ca="1" si="166"/>
        <v>#NAME?</v>
      </c>
      <c r="F880" s="100" t="e">
        <f t="shared" ca="1" si="158"/>
        <v>#NAME?</v>
      </c>
      <c r="G880" s="100" t="e">
        <f t="shared" ca="1" si="159"/>
        <v>#NAME?</v>
      </c>
      <c r="H880" s="100" t="e">
        <f t="shared" ca="1" si="160"/>
        <v>#NAME?</v>
      </c>
      <c r="I880" s="100" t="e">
        <f t="shared" ca="1" si="161"/>
        <v>#NAME?</v>
      </c>
      <c r="J880" s="100" t="e">
        <f ca="1">IFERROR(__xludf.DUMMYFUNCTION("""COMPUTED_VALUE"""),"0")</f>
        <v>#NAME?</v>
      </c>
      <c r="K880" s="100" t="e">
        <f t="shared" ca="1" si="162"/>
        <v>#NAME?</v>
      </c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 spans="1:26">
      <c r="A881" s="100" t="e">
        <f ca="1">IFERROR(__xludf.DUMMYFUNCTION("""COMPUTED_VALUE"""),58784216)</f>
        <v>#NAME?</v>
      </c>
      <c r="B881" s="100" t="e">
        <f ca="1">IFERROR(__xludf.DUMMYFUNCTION("""COMPUTED_VALUE"""),"DOGEBUSD")</f>
        <v>#NAME?</v>
      </c>
      <c r="C881" s="100" t="e">
        <f ca="1">IFERROR(__xludf.DUMMYFUNCTION("""COMPUTED_VALUE"""),"0.09742000")</f>
        <v>#NAME?</v>
      </c>
      <c r="D881" s="100" t="e">
        <f t="shared" ca="1" si="166"/>
        <v>#NAME?</v>
      </c>
      <c r="E881" s="100" t="e">
        <f t="shared" ca="1" si="166"/>
        <v>#NAME?</v>
      </c>
      <c r="F881" s="100" t="e">
        <f t="shared" ca="1" si="158"/>
        <v>#NAME?</v>
      </c>
      <c r="G881" s="100" t="e">
        <f t="shared" ca="1" si="159"/>
        <v>#NAME?</v>
      </c>
      <c r="H881" s="100" t="e">
        <f t="shared" ca="1" si="160"/>
        <v>#NAME?</v>
      </c>
      <c r="I881" s="100" t="e">
        <f t="shared" ca="1" si="161"/>
        <v>#NAME?</v>
      </c>
      <c r="J881" s="100" t="e">
        <f ca="1">IFERROR(__xludf.DUMMYFUNCTION("""COMPUTED_VALUE"""),"0")</f>
        <v>#NAME?</v>
      </c>
      <c r="K881" s="100" t="e">
        <f t="shared" ca="1" si="162"/>
        <v>#NAME?</v>
      </c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 spans="1:26">
      <c r="A882" s="100" t="e">
        <f ca="1">IFERROR(__xludf.DUMMYFUNCTION("""COMPUTED_VALUE"""),58784217)</f>
        <v>#NAME?</v>
      </c>
      <c r="B882" s="100" t="e">
        <f ca="1">IFERROR(__xludf.DUMMYFUNCTION("""COMPUTED_VALUE"""),"LENDBUSD")</f>
        <v>#NAME?</v>
      </c>
      <c r="C882" s="100" t="e">
        <f ca="1">IFERROR(__xludf.DUMMYFUNCTION("""COMPUTED_VALUE"""),"0.00000000")</f>
        <v>#NAME?</v>
      </c>
      <c r="D882" s="100" t="e">
        <f t="shared" ref="D882:E901" ca="1" si="167">IFERROR(__xludf.DUMMYFUNCTION("""COMPUTED_VALUE"""),"-")</f>
        <v>#NAME?</v>
      </c>
      <c r="E882" s="100" t="e">
        <f t="shared" ca="1" si="167"/>
        <v>#NAME?</v>
      </c>
      <c r="F882" s="100" t="e">
        <f t="shared" ca="1" si="158"/>
        <v>#NAME?</v>
      </c>
      <c r="G882" s="100" t="e">
        <f t="shared" ca="1" si="159"/>
        <v>#NAME?</v>
      </c>
      <c r="H882" s="100" t="e">
        <f t="shared" ca="1" si="160"/>
        <v>#NAME?</v>
      </c>
      <c r="I882" s="100" t="e">
        <f t="shared" ca="1" si="161"/>
        <v>#NAME?</v>
      </c>
      <c r="J882" s="100" t="e">
        <f ca="1">IFERROR(__xludf.DUMMYFUNCTION("""COMPUTED_VALUE"""),"0")</f>
        <v>#NAME?</v>
      </c>
      <c r="K882" s="100" t="e">
        <f t="shared" ca="1" si="162"/>
        <v>#NAME?</v>
      </c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 spans="1:26">
      <c r="A883" s="100" t="e">
        <f ca="1">IFERROR(__xludf.DUMMYFUNCTION("""COMPUTED_VALUE"""),58784218)</f>
        <v>#NAME?</v>
      </c>
      <c r="B883" s="100" t="e">
        <f ca="1">IFERROR(__xludf.DUMMYFUNCTION("""COMPUTED_VALUE"""),"ZRXBUSD")</f>
        <v>#NAME?</v>
      </c>
      <c r="C883" s="100" t="e">
        <f ca="1">IFERROR(__xludf.DUMMYFUNCTION("""COMPUTED_VALUE"""),"0.16890000")</f>
        <v>#NAME?</v>
      </c>
      <c r="D883" s="100" t="e">
        <f t="shared" ca="1" si="167"/>
        <v>#NAME?</v>
      </c>
      <c r="E883" s="100" t="e">
        <f t="shared" ca="1" si="167"/>
        <v>#NAME?</v>
      </c>
      <c r="F883" s="100" t="e">
        <f t="shared" ca="1" si="158"/>
        <v>#NAME?</v>
      </c>
      <c r="G883" s="100" t="e">
        <f t="shared" ca="1" si="159"/>
        <v>#NAME?</v>
      </c>
      <c r="H883" s="100" t="e">
        <f t="shared" ca="1" si="160"/>
        <v>#NAME?</v>
      </c>
      <c r="I883" s="100" t="e">
        <f t="shared" ca="1" si="161"/>
        <v>#NAME?</v>
      </c>
      <c r="J883" s="100" t="e">
        <f ca="1">IFERROR(__xludf.DUMMYFUNCTION("""COMPUTED_VALUE"""),"0")</f>
        <v>#NAME?</v>
      </c>
      <c r="K883" s="100" t="e">
        <f t="shared" ca="1" si="162"/>
        <v>#NAME?</v>
      </c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 spans="1:26">
      <c r="A884" s="100" t="e">
        <f ca="1">IFERROR(__xludf.DUMMYFUNCTION("""COMPUTED_VALUE"""),58784219)</f>
        <v>#NAME?</v>
      </c>
      <c r="B884" s="100" t="e">
        <f ca="1">IFERROR(__xludf.DUMMYFUNCTION("""COMPUTED_VALUE"""),"DCRUSDT")</f>
        <v>#NAME?</v>
      </c>
      <c r="C884" s="100" t="e">
        <f ca="1">IFERROR(__xludf.DUMMYFUNCTION("""COMPUTED_VALUE"""),"12.72000000")</f>
        <v>#NAME?</v>
      </c>
      <c r="D884" s="100" t="e">
        <f t="shared" ca="1" si="167"/>
        <v>#NAME?</v>
      </c>
      <c r="E884" s="100" t="e">
        <f t="shared" ca="1" si="167"/>
        <v>#NAME?</v>
      </c>
      <c r="F884" s="100" t="e">
        <f t="shared" ca="1" si="158"/>
        <v>#NAME?</v>
      </c>
      <c r="G884" s="100" t="e">
        <f t="shared" ca="1" si="159"/>
        <v>#NAME?</v>
      </c>
      <c r="H884" s="100" t="e">
        <f t="shared" ca="1" si="160"/>
        <v>#NAME?</v>
      </c>
      <c r="I884" s="100" t="e">
        <f t="shared" ca="1" si="161"/>
        <v>#NAME?</v>
      </c>
      <c r="J884" s="100" t="e">
        <f ca="1">IFERROR(__xludf.DUMMYFUNCTION("""COMPUTED_VALUE"""),"0.792")</f>
        <v>#NAME?</v>
      </c>
      <c r="K884" s="100" t="e">
        <f t="shared" ca="1" si="162"/>
        <v>#NAME?</v>
      </c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 spans="1:26">
      <c r="A885" s="100" t="e">
        <f ca="1">IFERROR(__xludf.DUMMYFUNCTION("""COMPUTED_VALUE"""),58784220)</f>
        <v>#NAME?</v>
      </c>
      <c r="B885" s="100" t="e">
        <f ca="1">IFERROR(__xludf.DUMMYFUNCTION("""COMPUTED_VALUE"""),"STORJUSDT")</f>
        <v>#NAME?</v>
      </c>
      <c r="C885" s="100" t="e">
        <f ca="1">IFERROR(__xludf.DUMMYFUNCTION("""COMPUTED_VALUE"""),"0.29180000")</f>
        <v>#NAME?</v>
      </c>
      <c r="D885" s="100" t="e">
        <f t="shared" ca="1" si="167"/>
        <v>#NAME?</v>
      </c>
      <c r="E885" s="100" t="e">
        <f t="shared" ca="1" si="167"/>
        <v>#NAME?</v>
      </c>
      <c r="F885" s="100" t="e">
        <f t="shared" ca="1" si="158"/>
        <v>#NAME?</v>
      </c>
      <c r="G885" s="100" t="e">
        <f t="shared" ca="1" si="159"/>
        <v>#NAME?</v>
      </c>
      <c r="H885" s="100" t="e">
        <f t="shared" ca="1" si="160"/>
        <v>#NAME?</v>
      </c>
      <c r="I885" s="100" t="e">
        <f t="shared" ca="1" si="161"/>
        <v>#NAME?</v>
      </c>
      <c r="J885" s="100" t="e">
        <f ca="1">IFERROR(__xludf.DUMMYFUNCTION("""COMPUTED_VALUE"""),"-3.121")</f>
        <v>#NAME?</v>
      </c>
      <c r="K885" s="100" t="e">
        <f t="shared" ca="1" si="162"/>
        <v>#NAME?</v>
      </c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 spans="1:26">
      <c r="A886" s="100" t="e">
        <f ca="1">IFERROR(__xludf.DUMMYFUNCTION("""COMPUTED_VALUE"""),58784221)</f>
        <v>#NAME?</v>
      </c>
      <c r="B886" s="100" t="e">
        <f ca="1">IFERROR(__xludf.DUMMYFUNCTION("""COMPUTED_VALUE"""),"XRPBKRW")</f>
        <v>#NAME?</v>
      </c>
      <c r="C886" s="100" t="e">
        <f ca="1">IFERROR(__xludf.DUMMYFUNCTION("""COMPUTED_VALUE"""),"0.00000000")</f>
        <v>#NAME?</v>
      </c>
      <c r="D886" s="100" t="e">
        <f t="shared" ca="1" si="167"/>
        <v>#NAME?</v>
      </c>
      <c r="E886" s="100" t="e">
        <f t="shared" ca="1" si="167"/>
        <v>#NAME?</v>
      </c>
      <c r="F886" s="100" t="e">
        <f t="shared" ca="1" si="158"/>
        <v>#NAME?</v>
      </c>
      <c r="G886" s="100" t="e">
        <f t="shared" ca="1" si="159"/>
        <v>#NAME?</v>
      </c>
      <c r="H886" s="100" t="e">
        <f t="shared" ca="1" si="160"/>
        <v>#NAME?</v>
      </c>
      <c r="I886" s="100" t="e">
        <f t="shared" ca="1" si="161"/>
        <v>#NAME?</v>
      </c>
      <c r="J886" s="100" t="e">
        <f t="shared" ref="J886:J891" ca="1" si="168">IFERROR(__xludf.DUMMYFUNCTION("""COMPUTED_VALUE"""),"0")</f>
        <v>#NAME?</v>
      </c>
      <c r="K886" s="100" t="e">
        <f t="shared" ca="1" si="162"/>
        <v>#NAME?</v>
      </c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 spans="1:26">
      <c r="A887" s="100" t="e">
        <f ca="1">IFERROR(__xludf.DUMMYFUNCTION("""COMPUTED_VALUE"""),58784222)</f>
        <v>#NAME?</v>
      </c>
      <c r="B887" s="100" t="e">
        <f ca="1">IFERROR(__xludf.DUMMYFUNCTION("""COMPUTED_VALUE"""),"ADABKRW")</f>
        <v>#NAME?</v>
      </c>
      <c r="C887" s="100" t="e">
        <f ca="1">IFERROR(__xludf.DUMMYFUNCTION("""COMPUTED_VALUE"""),"0.00000000")</f>
        <v>#NAME?</v>
      </c>
      <c r="D887" s="100" t="e">
        <f t="shared" ca="1" si="167"/>
        <v>#NAME?</v>
      </c>
      <c r="E887" s="100" t="e">
        <f t="shared" ca="1" si="167"/>
        <v>#NAME?</v>
      </c>
      <c r="F887" s="100" t="e">
        <f t="shared" ca="1" si="158"/>
        <v>#NAME?</v>
      </c>
      <c r="G887" s="100" t="e">
        <f t="shared" ca="1" si="159"/>
        <v>#NAME?</v>
      </c>
      <c r="H887" s="100" t="e">
        <f t="shared" ca="1" si="160"/>
        <v>#NAME?</v>
      </c>
      <c r="I887" s="100" t="e">
        <f t="shared" ca="1" si="161"/>
        <v>#NAME?</v>
      </c>
      <c r="J887" s="100" t="e">
        <f t="shared" ca="1" si="168"/>
        <v>#NAME?</v>
      </c>
      <c r="K887" s="100" t="e">
        <f t="shared" ca="1" si="162"/>
        <v>#NAME?</v>
      </c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 spans="1:26">
      <c r="A888" s="100" t="e">
        <f ca="1">IFERROR(__xludf.DUMMYFUNCTION("""COMPUTED_VALUE"""),58784223)</f>
        <v>#NAME?</v>
      </c>
      <c r="B888" s="100" t="e">
        <f ca="1">IFERROR(__xludf.DUMMYFUNCTION("""COMPUTED_VALUE"""),"BTCAUD")</f>
        <v>#NAME?</v>
      </c>
      <c r="C888" s="100" t="e">
        <f ca="1">IFERROR(__xludf.DUMMYFUNCTION("""COMPUTED_VALUE"""),"37210.08000000")</f>
        <v>#NAME?</v>
      </c>
      <c r="D888" s="100" t="e">
        <f t="shared" ca="1" si="167"/>
        <v>#NAME?</v>
      </c>
      <c r="E888" s="100" t="e">
        <f t="shared" ca="1" si="167"/>
        <v>#NAME?</v>
      </c>
      <c r="F888" s="100" t="e">
        <f t="shared" ca="1" si="158"/>
        <v>#NAME?</v>
      </c>
      <c r="G888" s="100" t="e">
        <f t="shared" ca="1" si="159"/>
        <v>#NAME?</v>
      </c>
      <c r="H888" s="100" t="e">
        <f t="shared" ca="1" si="160"/>
        <v>#NAME?</v>
      </c>
      <c r="I888" s="100" t="e">
        <f t="shared" ca="1" si="161"/>
        <v>#NAME?</v>
      </c>
      <c r="J888" s="100" t="e">
        <f t="shared" ca="1" si="168"/>
        <v>#NAME?</v>
      </c>
      <c r="K888" s="100" t="e">
        <f t="shared" ca="1" si="162"/>
        <v>#NAME?</v>
      </c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 spans="1:26">
      <c r="A889" s="100" t="e">
        <f ca="1">IFERROR(__xludf.DUMMYFUNCTION("""COMPUTED_VALUE"""),58784224)</f>
        <v>#NAME?</v>
      </c>
      <c r="B889" s="100" t="e">
        <f ca="1">IFERROR(__xludf.DUMMYFUNCTION("""COMPUTED_VALUE"""),"ETHAUD")</f>
        <v>#NAME?</v>
      </c>
      <c r="C889" s="100" t="e">
        <f ca="1">IFERROR(__xludf.DUMMYFUNCTION("""COMPUTED_VALUE"""),"2565.09000000")</f>
        <v>#NAME?</v>
      </c>
      <c r="D889" s="100" t="e">
        <f t="shared" ca="1" si="167"/>
        <v>#NAME?</v>
      </c>
      <c r="E889" s="100" t="e">
        <f t="shared" ca="1" si="167"/>
        <v>#NAME?</v>
      </c>
      <c r="F889" s="100" t="e">
        <f t="shared" ca="1" si="158"/>
        <v>#NAME?</v>
      </c>
      <c r="G889" s="100" t="e">
        <f t="shared" ca="1" si="159"/>
        <v>#NAME?</v>
      </c>
      <c r="H889" s="100" t="e">
        <f t="shared" ca="1" si="160"/>
        <v>#NAME?</v>
      </c>
      <c r="I889" s="100" t="e">
        <f t="shared" ca="1" si="161"/>
        <v>#NAME?</v>
      </c>
      <c r="J889" s="100" t="e">
        <f t="shared" ca="1" si="168"/>
        <v>#NAME?</v>
      </c>
      <c r="K889" s="100" t="e">
        <f t="shared" ca="1" si="162"/>
        <v>#NAME?</v>
      </c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 spans="1:26">
      <c r="A890" s="100" t="e">
        <f ca="1">IFERROR(__xludf.DUMMYFUNCTION("""COMPUTED_VALUE"""),58784225)</f>
        <v>#NAME?</v>
      </c>
      <c r="B890" s="100" t="e">
        <f ca="1">IFERROR(__xludf.DUMMYFUNCTION("""COMPUTED_VALUE"""),"AUDBUSD")</f>
        <v>#NAME?</v>
      </c>
      <c r="C890" s="100" t="e">
        <f ca="1">IFERROR(__xludf.DUMMYFUNCTION("""COMPUTED_VALUE"""),"0.72550000")</f>
        <v>#NAME?</v>
      </c>
      <c r="D890" s="100" t="e">
        <f t="shared" ca="1" si="167"/>
        <v>#NAME?</v>
      </c>
      <c r="E890" s="100" t="e">
        <f t="shared" ca="1" si="167"/>
        <v>#NAME?</v>
      </c>
      <c r="F890" s="100" t="e">
        <f t="shared" ca="1" si="158"/>
        <v>#NAME?</v>
      </c>
      <c r="G890" s="100" t="e">
        <f t="shared" ca="1" si="159"/>
        <v>#NAME?</v>
      </c>
      <c r="H890" s="100" t="e">
        <f t="shared" ca="1" si="160"/>
        <v>#NAME?</v>
      </c>
      <c r="I890" s="100" t="e">
        <f t="shared" ca="1" si="161"/>
        <v>#NAME?</v>
      </c>
      <c r="J890" s="100" t="e">
        <f t="shared" ca="1" si="168"/>
        <v>#NAME?</v>
      </c>
      <c r="K890" s="100" t="e">
        <f t="shared" ca="1" si="162"/>
        <v>#NAME?</v>
      </c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 spans="1:26">
      <c r="A891" s="100" t="e">
        <f ca="1">IFERROR(__xludf.DUMMYFUNCTION("""COMPUTED_VALUE"""),58784226)</f>
        <v>#NAME?</v>
      </c>
      <c r="B891" s="100" t="e">
        <f ca="1">IFERROR(__xludf.DUMMYFUNCTION("""COMPUTED_VALUE"""),"FIOBNB")</f>
        <v>#NAME?</v>
      </c>
      <c r="C891" s="100" t="e">
        <f ca="1">IFERROR(__xludf.DUMMYFUNCTION("""COMPUTED_VALUE"""),"0.00000000")</f>
        <v>#NAME?</v>
      </c>
      <c r="D891" s="100" t="e">
        <f t="shared" ca="1" si="167"/>
        <v>#NAME?</v>
      </c>
      <c r="E891" s="100" t="e">
        <f t="shared" ca="1" si="167"/>
        <v>#NAME?</v>
      </c>
      <c r="F891" s="100" t="e">
        <f t="shared" ca="1" si="158"/>
        <v>#NAME?</v>
      </c>
      <c r="G891" s="100" t="e">
        <f t="shared" ca="1" si="159"/>
        <v>#NAME?</v>
      </c>
      <c r="H891" s="100" t="e">
        <f t="shared" ca="1" si="160"/>
        <v>#NAME?</v>
      </c>
      <c r="I891" s="100" t="e">
        <f t="shared" ca="1" si="161"/>
        <v>#NAME?</v>
      </c>
      <c r="J891" s="100" t="e">
        <f t="shared" ca="1" si="168"/>
        <v>#NAME?</v>
      </c>
      <c r="K891" s="100" t="e">
        <f t="shared" ca="1" si="162"/>
        <v>#NAME?</v>
      </c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 spans="1:26">
      <c r="A892" s="100" t="e">
        <f ca="1">IFERROR(__xludf.DUMMYFUNCTION("""COMPUTED_VALUE"""),58784227)</f>
        <v>#NAME?</v>
      </c>
      <c r="B892" s="100" t="e">
        <f ca="1">IFERROR(__xludf.DUMMYFUNCTION("""COMPUTED_VALUE"""),"FIOBTC")</f>
        <v>#NAME?</v>
      </c>
      <c r="C892" s="100" t="e">
        <f ca="1">IFERROR(__xludf.DUMMYFUNCTION("""COMPUTED_VALUE"""),"0.00000017")</f>
        <v>#NAME?</v>
      </c>
      <c r="D892" s="100" t="e">
        <f t="shared" ca="1" si="167"/>
        <v>#NAME?</v>
      </c>
      <c r="E892" s="100" t="e">
        <f t="shared" ca="1" si="167"/>
        <v>#NAME?</v>
      </c>
      <c r="F892" s="100" t="e">
        <f t="shared" ca="1" si="158"/>
        <v>#NAME?</v>
      </c>
      <c r="G892" s="100" t="e">
        <f t="shared" ca="1" si="159"/>
        <v>#NAME?</v>
      </c>
      <c r="H892" s="100" t="e">
        <f t="shared" ca="1" si="160"/>
        <v>#NAME?</v>
      </c>
      <c r="I892" s="100" t="e">
        <f t="shared" ca="1" si="161"/>
        <v>#NAME?</v>
      </c>
      <c r="J892" s="100" t="e">
        <f ca="1">IFERROR(__xludf.DUMMYFUNCTION("""COMPUTED_VALUE"""),"-5.556")</f>
        <v>#NAME?</v>
      </c>
      <c r="K892" s="100" t="e">
        <f t="shared" ca="1" si="162"/>
        <v>#NAME?</v>
      </c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 spans="1:26">
      <c r="A893" s="100" t="e">
        <f ca="1">IFERROR(__xludf.DUMMYFUNCTION("""COMPUTED_VALUE"""),58784228)</f>
        <v>#NAME?</v>
      </c>
      <c r="B893" s="100" t="e">
        <f ca="1">IFERROR(__xludf.DUMMYFUNCTION("""COMPUTED_VALUE"""),"FIOBUSD")</f>
        <v>#NAME?</v>
      </c>
      <c r="C893" s="100" t="e">
        <f ca="1">IFERROR(__xludf.DUMMYFUNCTION("""COMPUTED_VALUE"""),"0.01922000")</f>
        <v>#NAME?</v>
      </c>
      <c r="D893" s="100" t="e">
        <f t="shared" ca="1" si="167"/>
        <v>#NAME?</v>
      </c>
      <c r="E893" s="100" t="e">
        <f t="shared" ca="1" si="167"/>
        <v>#NAME?</v>
      </c>
      <c r="F893" s="100" t="e">
        <f t="shared" ca="1" si="158"/>
        <v>#NAME?</v>
      </c>
      <c r="G893" s="100" t="e">
        <f t="shared" ca="1" si="159"/>
        <v>#NAME?</v>
      </c>
      <c r="H893" s="100" t="e">
        <f t="shared" ca="1" si="160"/>
        <v>#NAME?</v>
      </c>
      <c r="I893" s="100" t="e">
        <f t="shared" ca="1" si="161"/>
        <v>#NAME?</v>
      </c>
      <c r="J893" s="100" t="e">
        <f t="shared" ref="J893:J898" ca="1" si="169">IFERROR(__xludf.DUMMYFUNCTION("""COMPUTED_VALUE"""),"0")</f>
        <v>#NAME?</v>
      </c>
      <c r="K893" s="100" t="e">
        <f t="shared" ca="1" si="162"/>
        <v>#NAME?</v>
      </c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 spans="1:26">
      <c r="A894" s="100" t="e">
        <f ca="1">IFERROR(__xludf.DUMMYFUNCTION("""COMPUTED_VALUE"""),58784229)</f>
        <v>#NAME?</v>
      </c>
      <c r="B894" s="100" t="e">
        <f ca="1">IFERROR(__xludf.DUMMYFUNCTION("""COMPUTED_VALUE"""),"BNBUPUSDT")</f>
        <v>#NAME?</v>
      </c>
      <c r="C894" s="100" t="e">
        <f ca="1">IFERROR(__xludf.DUMMYFUNCTION("""COMPUTED_VALUE"""),"61.80000000")</f>
        <v>#NAME?</v>
      </c>
      <c r="D894" s="100" t="e">
        <f t="shared" ca="1" si="167"/>
        <v>#NAME?</v>
      </c>
      <c r="E894" s="100" t="e">
        <f t="shared" ca="1" si="167"/>
        <v>#NAME?</v>
      </c>
      <c r="F894" s="100" t="e">
        <f t="shared" ca="1" si="158"/>
        <v>#NAME?</v>
      </c>
      <c r="G894" s="100" t="e">
        <f t="shared" ca="1" si="159"/>
        <v>#NAME?</v>
      </c>
      <c r="H894" s="100" t="e">
        <f t="shared" ca="1" si="160"/>
        <v>#NAME?</v>
      </c>
      <c r="I894" s="100" t="e">
        <f t="shared" ca="1" si="161"/>
        <v>#NAME?</v>
      </c>
      <c r="J894" s="100" t="e">
        <f t="shared" ca="1" si="169"/>
        <v>#NAME?</v>
      </c>
      <c r="K894" s="100" t="e">
        <f t="shared" ca="1" si="162"/>
        <v>#NAME?</v>
      </c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 spans="1:26">
      <c r="A895" s="100" t="e">
        <f ca="1">IFERROR(__xludf.DUMMYFUNCTION("""COMPUTED_VALUE"""),58784230)</f>
        <v>#NAME?</v>
      </c>
      <c r="B895" s="100" t="e">
        <f ca="1">IFERROR(__xludf.DUMMYFUNCTION("""COMPUTED_VALUE"""),"BNBDOWNUSDT")</f>
        <v>#NAME?</v>
      </c>
      <c r="C895" s="100" t="e">
        <f ca="1">IFERROR(__xludf.DUMMYFUNCTION("""COMPUTED_VALUE"""),"0.00215100")</f>
        <v>#NAME?</v>
      </c>
      <c r="D895" s="100" t="e">
        <f t="shared" ca="1" si="167"/>
        <v>#NAME?</v>
      </c>
      <c r="E895" s="100" t="e">
        <f t="shared" ca="1" si="167"/>
        <v>#NAME?</v>
      </c>
      <c r="F895" s="100" t="e">
        <f t="shared" ca="1" si="158"/>
        <v>#NAME?</v>
      </c>
      <c r="G895" s="100" t="e">
        <f t="shared" ca="1" si="159"/>
        <v>#NAME?</v>
      </c>
      <c r="H895" s="100" t="e">
        <f t="shared" ca="1" si="160"/>
        <v>#NAME?</v>
      </c>
      <c r="I895" s="100" t="e">
        <f t="shared" ca="1" si="161"/>
        <v>#NAME?</v>
      </c>
      <c r="J895" s="100" t="e">
        <f t="shared" ca="1" si="169"/>
        <v>#NAME?</v>
      </c>
      <c r="K895" s="100" t="e">
        <f t="shared" ca="1" si="162"/>
        <v>#NAME?</v>
      </c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 spans="1:26">
      <c r="A896" s="100" t="e">
        <f ca="1">IFERROR(__xludf.DUMMYFUNCTION("""COMPUTED_VALUE"""),58784231)</f>
        <v>#NAME?</v>
      </c>
      <c r="B896" s="100" t="e">
        <f ca="1">IFERROR(__xludf.DUMMYFUNCTION("""COMPUTED_VALUE"""),"XTZUPUSDT")</f>
        <v>#NAME?</v>
      </c>
      <c r="C896" s="100" t="e">
        <f ca="1">IFERROR(__xludf.DUMMYFUNCTION("""COMPUTED_VALUE"""),"0.00000000")</f>
        <v>#NAME?</v>
      </c>
      <c r="D896" s="100" t="e">
        <f t="shared" ca="1" si="167"/>
        <v>#NAME?</v>
      </c>
      <c r="E896" s="100" t="e">
        <f t="shared" ca="1" si="167"/>
        <v>#NAME?</v>
      </c>
      <c r="F896" s="100" t="e">
        <f t="shared" ca="1" si="158"/>
        <v>#NAME?</v>
      </c>
      <c r="G896" s="100" t="e">
        <f t="shared" ca="1" si="159"/>
        <v>#NAME?</v>
      </c>
      <c r="H896" s="100" t="e">
        <f t="shared" ca="1" si="160"/>
        <v>#NAME?</v>
      </c>
      <c r="I896" s="100" t="e">
        <f t="shared" ca="1" si="161"/>
        <v>#NAME?</v>
      </c>
      <c r="J896" s="100" t="e">
        <f t="shared" ca="1" si="169"/>
        <v>#NAME?</v>
      </c>
      <c r="K896" s="100" t="e">
        <f t="shared" ca="1" si="162"/>
        <v>#NAME?</v>
      </c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 spans="1:26">
      <c r="A897" s="100" t="e">
        <f ca="1">IFERROR(__xludf.DUMMYFUNCTION("""COMPUTED_VALUE"""),58784232)</f>
        <v>#NAME?</v>
      </c>
      <c r="B897" s="100" t="e">
        <f ca="1">IFERROR(__xludf.DUMMYFUNCTION("""COMPUTED_VALUE"""),"XTZDOWNUSDT")</f>
        <v>#NAME?</v>
      </c>
      <c r="C897" s="100" t="e">
        <f ca="1">IFERROR(__xludf.DUMMYFUNCTION("""COMPUTED_VALUE"""),"0.00000000")</f>
        <v>#NAME?</v>
      </c>
      <c r="D897" s="100" t="e">
        <f t="shared" ca="1" si="167"/>
        <v>#NAME?</v>
      </c>
      <c r="E897" s="100" t="e">
        <f t="shared" ca="1" si="167"/>
        <v>#NAME?</v>
      </c>
      <c r="F897" s="100" t="e">
        <f t="shared" ca="1" si="158"/>
        <v>#NAME?</v>
      </c>
      <c r="G897" s="100" t="e">
        <f t="shared" ca="1" si="159"/>
        <v>#NAME?</v>
      </c>
      <c r="H897" s="100" t="e">
        <f t="shared" ca="1" si="160"/>
        <v>#NAME?</v>
      </c>
      <c r="I897" s="100" t="e">
        <f t="shared" ca="1" si="161"/>
        <v>#NAME?</v>
      </c>
      <c r="J897" s="100" t="e">
        <f t="shared" ca="1" si="169"/>
        <v>#NAME?</v>
      </c>
      <c r="K897" s="100" t="e">
        <f t="shared" ca="1" si="162"/>
        <v>#NAME?</v>
      </c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 spans="1:26">
      <c r="A898" s="100" t="e">
        <f ca="1">IFERROR(__xludf.DUMMYFUNCTION("""COMPUTED_VALUE"""),58784233)</f>
        <v>#NAME?</v>
      </c>
      <c r="B898" s="100" t="e">
        <f ca="1">IFERROR(__xludf.DUMMYFUNCTION("""COMPUTED_VALUE"""),"AVABNB")</f>
        <v>#NAME?</v>
      </c>
      <c r="C898" s="100" t="e">
        <f ca="1">IFERROR(__xludf.DUMMYFUNCTION("""COMPUTED_VALUE"""),"0.00000000")</f>
        <v>#NAME?</v>
      </c>
      <c r="D898" s="100" t="e">
        <f t="shared" ca="1" si="167"/>
        <v>#NAME?</v>
      </c>
      <c r="E898" s="100" t="e">
        <f t="shared" ca="1" si="167"/>
        <v>#NAME?</v>
      </c>
      <c r="F898" s="100" t="e">
        <f t="shared" ref="F898:F961" ca="1" si="170">IFERROR(__xludf.DUMMYFUNCTION("""COMPUTED_VALUE"""),20200)</f>
        <v>#NAME?</v>
      </c>
      <c r="G898" s="100" t="e">
        <f t="shared" ref="G898:G961" ca="1" si="171">IFERROR(__xludf.DUMMYFUNCTION("""COMPUTED_VALUE"""),2885)</f>
        <v>#NAME?</v>
      </c>
      <c r="H898" s="100" t="e">
        <f t="shared" ref="H898:H961" ca="1" si="172">IFERROR(__xludf.DUMMYFUNCTION("""COMPUTED_VALUE"""),663)</f>
        <v>#NAME?</v>
      </c>
      <c r="I898" s="100" t="e">
        <f t="shared" ref="I898:I961" ca="1" si="173">IFERROR(__xludf.DUMMYFUNCTION("""COMPUTED_VALUE"""),5817721)</f>
        <v>#NAME?</v>
      </c>
      <c r="J898" s="100" t="e">
        <f t="shared" ca="1" si="169"/>
        <v>#NAME?</v>
      </c>
      <c r="K898" s="100" t="e">
        <f t="shared" ref="K898:K961" ca="1" si="174">IFERROR(__xludf.DUMMYFUNCTION("""COMPUTED_VALUE"""),"22.04.2025 13:05:01")</f>
        <v>#NAME?</v>
      </c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 spans="1:26">
      <c r="A899" s="100" t="e">
        <f ca="1">IFERROR(__xludf.DUMMYFUNCTION("""COMPUTED_VALUE"""),58784234)</f>
        <v>#NAME?</v>
      </c>
      <c r="B899" s="100" t="e">
        <f ca="1">IFERROR(__xludf.DUMMYFUNCTION("""COMPUTED_VALUE"""),"AVABTC")</f>
        <v>#NAME?</v>
      </c>
      <c r="C899" s="100" t="e">
        <f ca="1">IFERROR(__xludf.DUMMYFUNCTION("""COMPUTED_VALUE"""),"0.00000645")</f>
        <v>#NAME?</v>
      </c>
      <c r="D899" s="100" t="e">
        <f t="shared" ca="1" si="167"/>
        <v>#NAME?</v>
      </c>
      <c r="E899" s="100" t="e">
        <f t="shared" ca="1" si="167"/>
        <v>#NAME?</v>
      </c>
      <c r="F899" s="100" t="e">
        <f t="shared" ca="1" si="170"/>
        <v>#NAME?</v>
      </c>
      <c r="G899" s="100" t="e">
        <f t="shared" ca="1" si="171"/>
        <v>#NAME?</v>
      </c>
      <c r="H899" s="100" t="e">
        <f t="shared" ca="1" si="172"/>
        <v>#NAME?</v>
      </c>
      <c r="I899" s="100" t="e">
        <f t="shared" ca="1" si="173"/>
        <v>#NAME?</v>
      </c>
      <c r="J899" s="100" t="e">
        <f ca="1">IFERROR(__xludf.DUMMYFUNCTION("""COMPUTED_VALUE"""),"-3.443")</f>
        <v>#NAME?</v>
      </c>
      <c r="K899" s="100" t="e">
        <f t="shared" ca="1" si="174"/>
        <v>#NAME?</v>
      </c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 spans="1:26">
      <c r="A900" s="100" t="e">
        <f ca="1">IFERROR(__xludf.DUMMYFUNCTION("""COMPUTED_VALUE"""),58784235)</f>
        <v>#NAME?</v>
      </c>
      <c r="B900" s="100" t="e">
        <f ca="1">IFERROR(__xludf.DUMMYFUNCTION("""COMPUTED_VALUE"""),"AVABUSD")</f>
        <v>#NAME?</v>
      </c>
      <c r="C900" s="100" t="e">
        <f ca="1">IFERROR(__xludf.DUMMYFUNCTION("""COMPUTED_VALUE"""),"0.47000000")</f>
        <v>#NAME?</v>
      </c>
      <c r="D900" s="100" t="e">
        <f t="shared" ca="1" si="167"/>
        <v>#NAME?</v>
      </c>
      <c r="E900" s="100" t="e">
        <f t="shared" ca="1" si="167"/>
        <v>#NAME?</v>
      </c>
      <c r="F900" s="100" t="e">
        <f t="shared" ca="1" si="170"/>
        <v>#NAME?</v>
      </c>
      <c r="G900" s="100" t="e">
        <f t="shared" ca="1" si="171"/>
        <v>#NAME?</v>
      </c>
      <c r="H900" s="100" t="e">
        <f t="shared" ca="1" si="172"/>
        <v>#NAME?</v>
      </c>
      <c r="I900" s="100" t="e">
        <f t="shared" ca="1" si="173"/>
        <v>#NAME?</v>
      </c>
      <c r="J900" s="100" t="e">
        <f ca="1">IFERROR(__xludf.DUMMYFUNCTION("""COMPUTED_VALUE"""),"0")</f>
        <v>#NAME?</v>
      </c>
      <c r="K900" s="100" t="e">
        <f t="shared" ca="1" si="174"/>
        <v>#NAME?</v>
      </c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 spans="1:26">
      <c r="A901" s="100" t="e">
        <f ca="1">IFERROR(__xludf.DUMMYFUNCTION("""COMPUTED_VALUE"""),58784236)</f>
        <v>#NAME?</v>
      </c>
      <c r="B901" s="100" t="e">
        <f ca="1">IFERROR(__xludf.DUMMYFUNCTION("""COMPUTED_VALUE"""),"USDTBKRW")</f>
        <v>#NAME?</v>
      </c>
      <c r="C901" s="100" t="e">
        <f ca="1">IFERROR(__xludf.DUMMYFUNCTION("""COMPUTED_VALUE"""),"0.00000000")</f>
        <v>#NAME?</v>
      </c>
      <c r="D901" s="100" t="e">
        <f t="shared" ca="1" si="167"/>
        <v>#NAME?</v>
      </c>
      <c r="E901" s="100" t="e">
        <f t="shared" ca="1" si="167"/>
        <v>#NAME?</v>
      </c>
      <c r="F901" s="100" t="e">
        <f t="shared" ca="1" si="170"/>
        <v>#NAME?</v>
      </c>
      <c r="G901" s="100" t="e">
        <f t="shared" ca="1" si="171"/>
        <v>#NAME?</v>
      </c>
      <c r="H901" s="100" t="e">
        <f t="shared" ca="1" si="172"/>
        <v>#NAME?</v>
      </c>
      <c r="I901" s="100" t="e">
        <f t="shared" ca="1" si="173"/>
        <v>#NAME?</v>
      </c>
      <c r="J901" s="100" t="e">
        <f ca="1">IFERROR(__xludf.DUMMYFUNCTION("""COMPUTED_VALUE"""),"0")</f>
        <v>#NAME?</v>
      </c>
      <c r="K901" s="100" t="e">
        <f t="shared" ca="1" si="174"/>
        <v>#NAME?</v>
      </c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 spans="1:26">
      <c r="A902" s="100" t="e">
        <f ca="1">IFERROR(__xludf.DUMMYFUNCTION("""COMPUTED_VALUE"""),58784237)</f>
        <v>#NAME?</v>
      </c>
      <c r="B902" s="100" t="e">
        <f ca="1">IFERROR(__xludf.DUMMYFUNCTION("""COMPUTED_VALUE"""),"BUSDBKRW")</f>
        <v>#NAME?</v>
      </c>
      <c r="C902" s="100" t="e">
        <f ca="1">IFERROR(__xludf.DUMMYFUNCTION("""COMPUTED_VALUE"""),"0.00000000")</f>
        <v>#NAME?</v>
      </c>
      <c r="D902" s="100" t="e">
        <f t="shared" ref="D902:E921" ca="1" si="175">IFERROR(__xludf.DUMMYFUNCTION("""COMPUTED_VALUE"""),"-")</f>
        <v>#NAME?</v>
      </c>
      <c r="E902" s="100" t="e">
        <f t="shared" ca="1" si="175"/>
        <v>#NAME?</v>
      </c>
      <c r="F902" s="100" t="e">
        <f t="shared" ca="1" si="170"/>
        <v>#NAME?</v>
      </c>
      <c r="G902" s="100" t="e">
        <f t="shared" ca="1" si="171"/>
        <v>#NAME?</v>
      </c>
      <c r="H902" s="100" t="e">
        <f t="shared" ca="1" si="172"/>
        <v>#NAME?</v>
      </c>
      <c r="I902" s="100" t="e">
        <f t="shared" ca="1" si="173"/>
        <v>#NAME?</v>
      </c>
      <c r="J902" s="100" t="e">
        <f ca="1">IFERROR(__xludf.DUMMYFUNCTION("""COMPUTED_VALUE"""),"0")</f>
        <v>#NAME?</v>
      </c>
      <c r="K902" s="100" t="e">
        <f t="shared" ca="1" si="174"/>
        <v>#NAME?</v>
      </c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 spans="1:26">
      <c r="A903" s="100" t="e">
        <f ca="1">IFERROR(__xludf.DUMMYFUNCTION("""COMPUTED_VALUE"""),58784238)</f>
        <v>#NAME?</v>
      </c>
      <c r="B903" s="100" t="e">
        <f ca="1">IFERROR(__xludf.DUMMYFUNCTION("""COMPUTED_VALUE"""),"IOTABUSD")</f>
        <v>#NAME?</v>
      </c>
      <c r="C903" s="100" t="e">
        <f ca="1">IFERROR(__xludf.DUMMYFUNCTION("""COMPUTED_VALUE"""),"0.14310000")</f>
        <v>#NAME?</v>
      </c>
      <c r="D903" s="100" t="e">
        <f t="shared" ca="1" si="175"/>
        <v>#NAME?</v>
      </c>
      <c r="E903" s="100" t="e">
        <f t="shared" ca="1" si="175"/>
        <v>#NAME?</v>
      </c>
      <c r="F903" s="100" t="e">
        <f t="shared" ca="1" si="170"/>
        <v>#NAME?</v>
      </c>
      <c r="G903" s="100" t="e">
        <f t="shared" ca="1" si="171"/>
        <v>#NAME?</v>
      </c>
      <c r="H903" s="100" t="e">
        <f t="shared" ca="1" si="172"/>
        <v>#NAME?</v>
      </c>
      <c r="I903" s="100" t="e">
        <f t="shared" ca="1" si="173"/>
        <v>#NAME?</v>
      </c>
      <c r="J903" s="100" t="e">
        <f ca="1">IFERROR(__xludf.DUMMYFUNCTION("""COMPUTED_VALUE"""),"0")</f>
        <v>#NAME?</v>
      </c>
      <c r="K903" s="100" t="e">
        <f t="shared" ca="1" si="174"/>
        <v>#NAME?</v>
      </c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 spans="1:26">
      <c r="A904" s="100" t="e">
        <f ca="1">IFERROR(__xludf.DUMMYFUNCTION("""COMPUTED_VALUE"""),58784239)</f>
        <v>#NAME?</v>
      </c>
      <c r="B904" s="100" t="e">
        <f ca="1">IFERROR(__xludf.DUMMYFUNCTION("""COMPUTED_VALUE"""),"MANAUSDT")</f>
        <v>#NAME?</v>
      </c>
      <c r="C904" s="100" t="e">
        <f ca="1">IFERROR(__xludf.DUMMYFUNCTION("""COMPUTED_VALUE"""),"0.29960000")</f>
        <v>#NAME?</v>
      </c>
      <c r="D904" s="100" t="e">
        <f t="shared" ca="1" si="175"/>
        <v>#NAME?</v>
      </c>
      <c r="E904" s="100" t="e">
        <f t="shared" ca="1" si="175"/>
        <v>#NAME?</v>
      </c>
      <c r="F904" s="100" t="e">
        <f t="shared" ca="1" si="170"/>
        <v>#NAME?</v>
      </c>
      <c r="G904" s="100" t="e">
        <f t="shared" ca="1" si="171"/>
        <v>#NAME?</v>
      </c>
      <c r="H904" s="100" t="e">
        <f t="shared" ca="1" si="172"/>
        <v>#NAME?</v>
      </c>
      <c r="I904" s="100" t="e">
        <f t="shared" ca="1" si="173"/>
        <v>#NAME?</v>
      </c>
      <c r="J904" s="100" t="e">
        <f ca="1">IFERROR(__xludf.DUMMYFUNCTION("""COMPUTED_VALUE"""),"-3.728")</f>
        <v>#NAME?</v>
      </c>
      <c r="K904" s="100" t="e">
        <f t="shared" ca="1" si="174"/>
        <v>#NAME?</v>
      </c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 spans="1:26">
      <c r="A905" s="100" t="e">
        <f ca="1">IFERROR(__xludf.DUMMYFUNCTION("""COMPUTED_VALUE"""),58784240)</f>
        <v>#NAME?</v>
      </c>
      <c r="B905" s="100" t="e">
        <f ca="1">IFERROR(__xludf.DUMMYFUNCTION("""COMPUTED_VALUE"""),"XRPAUD")</f>
        <v>#NAME?</v>
      </c>
      <c r="C905" s="100" t="e">
        <f ca="1">IFERROR(__xludf.DUMMYFUNCTION("""COMPUTED_VALUE"""),"0.70000000")</f>
        <v>#NAME?</v>
      </c>
      <c r="D905" s="100" t="e">
        <f t="shared" ca="1" si="175"/>
        <v>#NAME?</v>
      </c>
      <c r="E905" s="100" t="e">
        <f t="shared" ca="1" si="175"/>
        <v>#NAME?</v>
      </c>
      <c r="F905" s="100" t="e">
        <f t="shared" ca="1" si="170"/>
        <v>#NAME?</v>
      </c>
      <c r="G905" s="100" t="e">
        <f t="shared" ca="1" si="171"/>
        <v>#NAME?</v>
      </c>
      <c r="H905" s="100" t="e">
        <f t="shared" ca="1" si="172"/>
        <v>#NAME?</v>
      </c>
      <c r="I905" s="100" t="e">
        <f t="shared" ca="1" si="173"/>
        <v>#NAME?</v>
      </c>
      <c r="J905" s="100" t="e">
        <f t="shared" ref="J905:J911" ca="1" si="176">IFERROR(__xludf.DUMMYFUNCTION("""COMPUTED_VALUE"""),"0")</f>
        <v>#NAME?</v>
      </c>
      <c r="K905" s="100" t="e">
        <f t="shared" ca="1" si="174"/>
        <v>#NAME?</v>
      </c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 spans="1:26">
      <c r="A906" s="100" t="e">
        <f ca="1">IFERROR(__xludf.DUMMYFUNCTION("""COMPUTED_VALUE"""),58784241)</f>
        <v>#NAME?</v>
      </c>
      <c r="B906" s="100" t="e">
        <f ca="1">IFERROR(__xludf.DUMMYFUNCTION("""COMPUTED_VALUE"""),"BNBAUD")</f>
        <v>#NAME?</v>
      </c>
      <c r="C906" s="100" t="e">
        <f ca="1">IFERROR(__xludf.DUMMYFUNCTION("""COMPUTED_VALUE"""),"421.10000000")</f>
        <v>#NAME?</v>
      </c>
      <c r="D906" s="100" t="e">
        <f t="shared" ca="1" si="175"/>
        <v>#NAME?</v>
      </c>
      <c r="E906" s="100" t="e">
        <f t="shared" ca="1" si="175"/>
        <v>#NAME?</v>
      </c>
      <c r="F906" s="100" t="e">
        <f t="shared" ca="1" si="170"/>
        <v>#NAME?</v>
      </c>
      <c r="G906" s="100" t="e">
        <f t="shared" ca="1" si="171"/>
        <v>#NAME?</v>
      </c>
      <c r="H906" s="100" t="e">
        <f t="shared" ca="1" si="172"/>
        <v>#NAME?</v>
      </c>
      <c r="I906" s="100" t="e">
        <f t="shared" ca="1" si="173"/>
        <v>#NAME?</v>
      </c>
      <c r="J906" s="100" t="e">
        <f t="shared" ca="1" si="176"/>
        <v>#NAME?</v>
      </c>
      <c r="K906" s="100" t="e">
        <f t="shared" ca="1" si="174"/>
        <v>#NAME?</v>
      </c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 spans="1:26">
      <c r="A907" s="100" t="e">
        <f ca="1">IFERROR(__xludf.DUMMYFUNCTION("""COMPUTED_VALUE"""),58784242)</f>
        <v>#NAME?</v>
      </c>
      <c r="B907" s="100" t="e">
        <f ca="1">IFERROR(__xludf.DUMMYFUNCTION("""COMPUTED_VALUE"""),"AUDUSDT")</f>
        <v>#NAME?</v>
      </c>
      <c r="C907" s="100" t="e">
        <f ca="1">IFERROR(__xludf.DUMMYFUNCTION("""COMPUTED_VALUE"""),"0.72520000")</f>
        <v>#NAME?</v>
      </c>
      <c r="D907" s="100" t="e">
        <f t="shared" ca="1" si="175"/>
        <v>#NAME?</v>
      </c>
      <c r="E907" s="100" t="e">
        <f t="shared" ca="1" si="175"/>
        <v>#NAME?</v>
      </c>
      <c r="F907" s="100" t="e">
        <f t="shared" ca="1" si="170"/>
        <v>#NAME?</v>
      </c>
      <c r="G907" s="100" t="e">
        <f t="shared" ca="1" si="171"/>
        <v>#NAME?</v>
      </c>
      <c r="H907" s="100" t="e">
        <f t="shared" ca="1" si="172"/>
        <v>#NAME?</v>
      </c>
      <c r="I907" s="100" t="e">
        <f t="shared" ca="1" si="173"/>
        <v>#NAME?</v>
      </c>
      <c r="J907" s="100" t="e">
        <f t="shared" ca="1" si="176"/>
        <v>#NAME?</v>
      </c>
      <c r="K907" s="100" t="e">
        <f t="shared" ca="1" si="174"/>
        <v>#NAME?</v>
      </c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 spans="1:26">
      <c r="A908" s="100" t="e">
        <f ca="1">IFERROR(__xludf.DUMMYFUNCTION("""COMPUTED_VALUE"""),58784243)</f>
        <v>#NAME?</v>
      </c>
      <c r="B908" s="100" t="e">
        <f ca="1">IFERROR(__xludf.DUMMYFUNCTION("""COMPUTED_VALUE"""),"BALBNB")</f>
        <v>#NAME?</v>
      </c>
      <c r="C908" s="100" t="e">
        <f ca="1">IFERROR(__xludf.DUMMYFUNCTION("""COMPUTED_VALUE"""),"0.00000000")</f>
        <v>#NAME?</v>
      </c>
      <c r="D908" s="100" t="e">
        <f t="shared" ca="1" si="175"/>
        <v>#NAME?</v>
      </c>
      <c r="E908" s="100" t="e">
        <f t="shared" ca="1" si="175"/>
        <v>#NAME?</v>
      </c>
      <c r="F908" s="100" t="e">
        <f t="shared" ca="1" si="170"/>
        <v>#NAME?</v>
      </c>
      <c r="G908" s="100" t="e">
        <f t="shared" ca="1" si="171"/>
        <v>#NAME?</v>
      </c>
      <c r="H908" s="100" t="e">
        <f t="shared" ca="1" si="172"/>
        <v>#NAME?</v>
      </c>
      <c r="I908" s="100" t="e">
        <f t="shared" ca="1" si="173"/>
        <v>#NAME?</v>
      </c>
      <c r="J908" s="100" t="e">
        <f t="shared" ca="1" si="176"/>
        <v>#NAME?</v>
      </c>
      <c r="K908" s="100" t="e">
        <f t="shared" ca="1" si="174"/>
        <v>#NAME?</v>
      </c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 spans="1:26">
      <c r="A909" s="100" t="e">
        <f ca="1">IFERROR(__xludf.DUMMYFUNCTION("""COMPUTED_VALUE"""),58784244)</f>
        <v>#NAME?</v>
      </c>
      <c r="B909" s="100" t="e">
        <f ca="1">IFERROR(__xludf.DUMMYFUNCTION("""COMPUTED_VALUE"""),"BALBTC")</f>
        <v>#NAME?</v>
      </c>
      <c r="C909" s="100" t="e">
        <f ca="1">IFERROR(__xludf.DUMMYFUNCTION("""COMPUTED_VALUE"""),"0.00003122")</f>
        <v>#NAME?</v>
      </c>
      <c r="D909" s="100" t="e">
        <f t="shared" ca="1" si="175"/>
        <v>#NAME?</v>
      </c>
      <c r="E909" s="100" t="e">
        <f t="shared" ca="1" si="175"/>
        <v>#NAME?</v>
      </c>
      <c r="F909" s="100" t="e">
        <f t="shared" ca="1" si="170"/>
        <v>#NAME?</v>
      </c>
      <c r="G909" s="100" t="e">
        <f t="shared" ca="1" si="171"/>
        <v>#NAME?</v>
      </c>
      <c r="H909" s="100" t="e">
        <f t="shared" ca="1" si="172"/>
        <v>#NAME?</v>
      </c>
      <c r="I909" s="100" t="e">
        <f t="shared" ca="1" si="173"/>
        <v>#NAME?</v>
      </c>
      <c r="J909" s="100" t="e">
        <f t="shared" ca="1" si="176"/>
        <v>#NAME?</v>
      </c>
      <c r="K909" s="100" t="e">
        <f t="shared" ca="1" si="174"/>
        <v>#NAME?</v>
      </c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 spans="1:26">
      <c r="A910" s="100" t="e">
        <f ca="1">IFERROR(__xludf.DUMMYFUNCTION("""COMPUTED_VALUE"""),58784245)</f>
        <v>#NAME?</v>
      </c>
      <c r="B910" s="100" t="e">
        <f ca="1">IFERROR(__xludf.DUMMYFUNCTION("""COMPUTED_VALUE"""),"BALBUSD")</f>
        <v>#NAME?</v>
      </c>
      <c r="C910" s="100" t="e">
        <f ca="1">IFERROR(__xludf.DUMMYFUNCTION("""COMPUTED_VALUE"""),"3.15000000")</f>
        <v>#NAME?</v>
      </c>
      <c r="D910" s="100" t="e">
        <f t="shared" ca="1" si="175"/>
        <v>#NAME?</v>
      </c>
      <c r="E910" s="100" t="e">
        <f t="shared" ca="1" si="175"/>
        <v>#NAME?</v>
      </c>
      <c r="F910" s="100" t="e">
        <f t="shared" ca="1" si="170"/>
        <v>#NAME?</v>
      </c>
      <c r="G910" s="100" t="e">
        <f t="shared" ca="1" si="171"/>
        <v>#NAME?</v>
      </c>
      <c r="H910" s="100" t="e">
        <f t="shared" ca="1" si="172"/>
        <v>#NAME?</v>
      </c>
      <c r="I910" s="100" t="e">
        <f t="shared" ca="1" si="173"/>
        <v>#NAME?</v>
      </c>
      <c r="J910" s="100" t="e">
        <f t="shared" ca="1" si="176"/>
        <v>#NAME?</v>
      </c>
      <c r="K910" s="100" t="e">
        <f t="shared" ca="1" si="174"/>
        <v>#NAME?</v>
      </c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 spans="1:26">
      <c r="A911" s="100" t="e">
        <f ca="1">IFERROR(__xludf.DUMMYFUNCTION("""COMPUTED_VALUE"""),58784246)</f>
        <v>#NAME?</v>
      </c>
      <c r="B911" s="100" t="e">
        <f ca="1">IFERROR(__xludf.DUMMYFUNCTION("""COMPUTED_VALUE"""),"YFIBNB")</f>
        <v>#NAME?</v>
      </c>
      <c r="C911" s="100" t="e">
        <f ca="1">IFERROR(__xludf.DUMMYFUNCTION("""COMPUTED_VALUE"""),"0.00000000")</f>
        <v>#NAME?</v>
      </c>
      <c r="D911" s="100" t="e">
        <f t="shared" ca="1" si="175"/>
        <v>#NAME?</v>
      </c>
      <c r="E911" s="100" t="e">
        <f t="shared" ca="1" si="175"/>
        <v>#NAME?</v>
      </c>
      <c r="F911" s="100" t="e">
        <f t="shared" ca="1" si="170"/>
        <v>#NAME?</v>
      </c>
      <c r="G911" s="100" t="e">
        <f t="shared" ca="1" si="171"/>
        <v>#NAME?</v>
      </c>
      <c r="H911" s="100" t="e">
        <f t="shared" ca="1" si="172"/>
        <v>#NAME?</v>
      </c>
      <c r="I911" s="100" t="e">
        <f t="shared" ca="1" si="173"/>
        <v>#NAME?</v>
      </c>
      <c r="J911" s="100" t="e">
        <f t="shared" ca="1" si="176"/>
        <v>#NAME?</v>
      </c>
      <c r="K911" s="100" t="e">
        <f t="shared" ca="1" si="174"/>
        <v>#NAME?</v>
      </c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 spans="1:26">
      <c r="A912" s="100" t="e">
        <f ca="1">IFERROR(__xludf.DUMMYFUNCTION("""COMPUTED_VALUE"""),58784247)</f>
        <v>#NAME?</v>
      </c>
      <c r="B912" s="100" t="e">
        <f ca="1">IFERROR(__xludf.DUMMYFUNCTION("""COMPUTED_VALUE"""),"YFIBTC")</f>
        <v>#NAME?</v>
      </c>
      <c r="C912" s="100" t="e">
        <f ca="1">IFERROR(__xludf.DUMMYFUNCTION("""COMPUTED_VALUE"""),"0.05310000")</f>
        <v>#NAME?</v>
      </c>
      <c r="D912" s="100" t="e">
        <f t="shared" ca="1" si="175"/>
        <v>#NAME?</v>
      </c>
      <c r="E912" s="100" t="e">
        <f t="shared" ca="1" si="175"/>
        <v>#NAME?</v>
      </c>
      <c r="F912" s="100" t="e">
        <f t="shared" ca="1" si="170"/>
        <v>#NAME?</v>
      </c>
      <c r="G912" s="100" t="e">
        <f t="shared" ca="1" si="171"/>
        <v>#NAME?</v>
      </c>
      <c r="H912" s="100" t="e">
        <f t="shared" ca="1" si="172"/>
        <v>#NAME?</v>
      </c>
      <c r="I912" s="100" t="e">
        <f t="shared" ca="1" si="173"/>
        <v>#NAME?</v>
      </c>
      <c r="J912" s="100" t="e">
        <f ca="1">IFERROR(__xludf.DUMMYFUNCTION("""COMPUTED_VALUE"""),"-3.279")</f>
        <v>#NAME?</v>
      </c>
      <c r="K912" s="100" t="e">
        <f t="shared" ca="1" si="174"/>
        <v>#NAME?</v>
      </c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 spans="1:26">
      <c r="A913" s="100" t="e">
        <f ca="1">IFERROR(__xludf.DUMMYFUNCTION("""COMPUTED_VALUE"""),58784248)</f>
        <v>#NAME?</v>
      </c>
      <c r="B913" s="100" t="e">
        <f ca="1">IFERROR(__xludf.DUMMYFUNCTION("""COMPUTED_VALUE"""),"YFIBUSD")</f>
        <v>#NAME?</v>
      </c>
      <c r="C913" s="100" t="e">
        <f ca="1">IFERROR(__xludf.DUMMYFUNCTION("""COMPUTED_VALUE"""),"5325.00000000")</f>
        <v>#NAME?</v>
      </c>
      <c r="D913" s="100" t="e">
        <f t="shared" ca="1" si="175"/>
        <v>#NAME?</v>
      </c>
      <c r="E913" s="100" t="e">
        <f t="shared" ca="1" si="175"/>
        <v>#NAME?</v>
      </c>
      <c r="F913" s="100" t="e">
        <f t="shared" ca="1" si="170"/>
        <v>#NAME?</v>
      </c>
      <c r="G913" s="100" t="e">
        <f t="shared" ca="1" si="171"/>
        <v>#NAME?</v>
      </c>
      <c r="H913" s="100" t="e">
        <f t="shared" ca="1" si="172"/>
        <v>#NAME?</v>
      </c>
      <c r="I913" s="100" t="e">
        <f t="shared" ca="1" si="173"/>
        <v>#NAME?</v>
      </c>
      <c r="J913" s="100" t="e">
        <f ca="1">IFERROR(__xludf.DUMMYFUNCTION("""COMPUTED_VALUE"""),"0")</f>
        <v>#NAME?</v>
      </c>
      <c r="K913" s="100" t="e">
        <f t="shared" ca="1" si="174"/>
        <v>#NAME?</v>
      </c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 spans="1:26">
      <c r="A914" s="100" t="e">
        <f ca="1">IFERROR(__xludf.DUMMYFUNCTION("""COMPUTED_VALUE"""),58784249)</f>
        <v>#NAME?</v>
      </c>
      <c r="B914" s="100" t="e">
        <f ca="1">IFERROR(__xludf.DUMMYFUNCTION("""COMPUTED_VALUE"""),"YFIUSDT")</f>
        <v>#NAME?</v>
      </c>
      <c r="C914" s="100" t="e">
        <f ca="1">IFERROR(__xludf.DUMMYFUNCTION("""COMPUTED_VALUE"""),"4705.00000000")</f>
        <v>#NAME?</v>
      </c>
      <c r="D914" s="100" t="e">
        <f t="shared" ca="1" si="175"/>
        <v>#NAME?</v>
      </c>
      <c r="E914" s="100" t="e">
        <f t="shared" ca="1" si="175"/>
        <v>#NAME?</v>
      </c>
      <c r="F914" s="100" t="e">
        <f t="shared" ca="1" si="170"/>
        <v>#NAME?</v>
      </c>
      <c r="G914" s="100" t="e">
        <f t="shared" ca="1" si="171"/>
        <v>#NAME?</v>
      </c>
      <c r="H914" s="100" t="e">
        <f t="shared" ca="1" si="172"/>
        <v>#NAME?</v>
      </c>
      <c r="I914" s="100" t="e">
        <f t="shared" ca="1" si="173"/>
        <v>#NAME?</v>
      </c>
      <c r="J914" s="100" t="e">
        <f ca="1">IFERROR(__xludf.DUMMYFUNCTION("""COMPUTED_VALUE"""),"-2.000")</f>
        <v>#NAME?</v>
      </c>
      <c r="K914" s="100" t="e">
        <f t="shared" ca="1" si="174"/>
        <v>#NAME?</v>
      </c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 spans="1:26">
      <c r="A915" s="100" t="e">
        <f ca="1">IFERROR(__xludf.DUMMYFUNCTION("""COMPUTED_VALUE"""),58784250)</f>
        <v>#NAME?</v>
      </c>
      <c r="B915" s="100" t="e">
        <f ca="1">IFERROR(__xludf.DUMMYFUNCTION("""COMPUTED_VALUE"""),"BLZBUSD")</f>
        <v>#NAME?</v>
      </c>
      <c r="C915" s="100" t="e">
        <f ca="1">IFERROR(__xludf.DUMMYFUNCTION("""COMPUTED_VALUE"""),"0.05530000")</f>
        <v>#NAME?</v>
      </c>
      <c r="D915" s="100" t="e">
        <f t="shared" ca="1" si="175"/>
        <v>#NAME?</v>
      </c>
      <c r="E915" s="100" t="e">
        <f t="shared" ca="1" si="175"/>
        <v>#NAME?</v>
      </c>
      <c r="F915" s="100" t="e">
        <f t="shared" ca="1" si="170"/>
        <v>#NAME?</v>
      </c>
      <c r="G915" s="100" t="e">
        <f t="shared" ca="1" si="171"/>
        <v>#NAME?</v>
      </c>
      <c r="H915" s="100" t="e">
        <f t="shared" ca="1" si="172"/>
        <v>#NAME?</v>
      </c>
      <c r="I915" s="100" t="e">
        <f t="shared" ca="1" si="173"/>
        <v>#NAME?</v>
      </c>
      <c r="J915" s="100" t="e">
        <f ca="1">IFERROR(__xludf.DUMMYFUNCTION("""COMPUTED_VALUE"""),"0")</f>
        <v>#NAME?</v>
      </c>
      <c r="K915" s="100" t="e">
        <f t="shared" ca="1" si="174"/>
        <v>#NAME?</v>
      </c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 spans="1:26">
      <c r="A916" s="100" t="e">
        <f ca="1">IFERROR(__xludf.DUMMYFUNCTION("""COMPUTED_VALUE"""),58784251)</f>
        <v>#NAME?</v>
      </c>
      <c r="B916" s="100" t="e">
        <f ca="1">IFERROR(__xludf.DUMMYFUNCTION("""COMPUTED_VALUE"""),"KMDBUSD")</f>
        <v>#NAME?</v>
      </c>
      <c r="C916" s="100" t="e">
        <f ca="1">IFERROR(__xludf.DUMMYFUNCTION("""COMPUTED_VALUE"""),"0.00000000")</f>
        <v>#NAME?</v>
      </c>
      <c r="D916" s="100" t="e">
        <f t="shared" ca="1" si="175"/>
        <v>#NAME?</v>
      </c>
      <c r="E916" s="100" t="e">
        <f t="shared" ca="1" si="175"/>
        <v>#NAME?</v>
      </c>
      <c r="F916" s="100" t="e">
        <f t="shared" ca="1" si="170"/>
        <v>#NAME?</v>
      </c>
      <c r="G916" s="100" t="e">
        <f t="shared" ca="1" si="171"/>
        <v>#NAME?</v>
      </c>
      <c r="H916" s="100" t="e">
        <f t="shared" ca="1" si="172"/>
        <v>#NAME?</v>
      </c>
      <c r="I916" s="100" t="e">
        <f t="shared" ca="1" si="173"/>
        <v>#NAME?</v>
      </c>
      <c r="J916" s="100" t="e">
        <f ca="1">IFERROR(__xludf.DUMMYFUNCTION("""COMPUTED_VALUE"""),"0")</f>
        <v>#NAME?</v>
      </c>
      <c r="K916" s="100" t="e">
        <f t="shared" ca="1" si="174"/>
        <v>#NAME?</v>
      </c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 spans="1:26">
      <c r="A917" s="100" t="e">
        <f ca="1">IFERROR(__xludf.DUMMYFUNCTION("""COMPUTED_VALUE"""),58784252)</f>
        <v>#NAME?</v>
      </c>
      <c r="B917" s="100" t="e">
        <f ca="1">IFERROR(__xludf.DUMMYFUNCTION("""COMPUTED_VALUE"""),"BALUSDT")</f>
        <v>#NAME?</v>
      </c>
      <c r="C917" s="100" t="e">
        <f ca="1">IFERROR(__xludf.DUMMYFUNCTION("""COMPUTED_VALUE"""),"0.96700000")</f>
        <v>#NAME?</v>
      </c>
      <c r="D917" s="100" t="e">
        <f t="shared" ca="1" si="175"/>
        <v>#NAME?</v>
      </c>
      <c r="E917" s="100" t="e">
        <f t="shared" ca="1" si="175"/>
        <v>#NAME?</v>
      </c>
      <c r="F917" s="100" t="e">
        <f t="shared" ca="1" si="170"/>
        <v>#NAME?</v>
      </c>
      <c r="G917" s="100" t="e">
        <f t="shared" ca="1" si="171"/>
        <v>#NAME?</v>
      </c>
      <c r="H917" s="100" t="e">
        <f t="shared" ca="1" si="172"/>
        <v>#NAME?</v>
      </c>
      <c r="I917" s="100" t="e">
        <f t="shared" ca="1" si="173"/>
        <v>#NAME?</v>
      </c>
      <c r="J917" s="100" t="e">
        <f ca="1">IFERROR(__xludf.DUMMYFUNCTION("""COMPUTED_VALUE"""),"11.149")</f>
        <v>#NAME?</v>
      </c>
      <c r="K917" s="100" t="e">
        <f t="shared" ca="1" si="174"/>
        <v>#NAME?</v>
      </c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 spans="1:26">
      <c r="A918" s="100" t="e">
        <f ca="1">IFERROR(__xludf.DUMMYFUNCTION("""COMPUTED_VALUE"""),58784253)</f>
        <v>#NAME?</v>
      </c>
      <c r="B918" s="100" t="e">
        <f ca="1">IFERROR(__xludf.DUMMYFUNCTION("""COMPUTED_VALUE"""),"BLZUSDT")</f>
        <v>#NAME?</v>
      </c>
      <c r="C918" s="100" t="e">
        <f ca="1">IFERROR(__xludf.DUMMYFUNCTION("""COMPUTED_VALUE"""),"0.05820000")</f>
        <v>#NAME?</v>
      </c>
      <c r="D918" s="100" t="e">
        <f t="shared" ca="1" si="175"/>
        <v>#NAME?</v>
      </c>
      <c r="E918" s="100" t="e">
        <f t="shared" ca="1" si="175"/>
        <v>#NAME?</v>
      </c>
      <c r="F918" s="100" t="e">
        <f t="shared" ca="1" si="170"/>
        <v>#NAME?</v>
      </c>
      <c r="G918" s="100" t="e">
        <f t="shared" ca="1" si="171"/>
        <v>#NAME?</v>
      </c>
      <c r="H918" s="100" t="e">
        <f t="shared" ca="1" si="172"/>
        <v>#NAME?</v>
      </c>
      <c r="I918" s="100" t="e">
        <f t="shared" ca="1" si="173"/>
        <v>#NAME?</v>
      </c>
      <c r="J918" s="100" t="e">
        <f ca="1">IFERROR(__xludf.DUMMYFUNCTION("""COMPUTED_VALUE"""),"0")</f>
        <v>#NAME?</v>
      </c>
      <c r="K918" s="100" t="e">
        <f t="shared" ca="1" si="174"/>
        <v>#NAME?</v>
      </c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 spans="1:26">
      <c r="A919" s="100" t="e">
        <f ca="1">IFERROR(__xludf.DUMMYFUNCTION("""COMPUTED_VALUE"""),58784254)</f>
        <v>#NAME?</v>
      </c>
      <c r="B919" s="100" t="e">
        <f ca="1">IFERROR(__xludf.DUMMYFUNCTION("""COMPUTED_VALUE"""),"IRISUSDT")</f>
        <v>#NAME?</v>
      </c>
      <c r="C919" s="100" t="e">
        <f ca="1">IFERROR(__xludf.DUMMYFUNCTION("""COMPUTED_VALUE"""),"0.00521000")</f>
        <v>#NAME?</v>
      </c>
      <c r="D919" s="100" t="e">
        <f t="shared" ca="1" si="175"/>
        <v>#NAME?</v>
      </c>
      <c r="E919" s="100" t="e">
        <f t="shared" ca="1" si="175"/>
        <v>#NAME?</v>
      </c>
      <c r="F919" s="100" t="e">
        <f t="shared" ca="1" si="170"/>
        <v>#NAME?</v>
      </c>
      <c r="G919" s="100" t="e">
        <f t="shared" ca="1" si="171"/>
        <v>#NAME?</v>
      </c>
      <c r="H919" s="100" t="e">
        <f t="shared" ca="1" si="172"/>
        <v>#NAME?</v>
      </c>
      <c r="I919" s="100" t="e">
        <f t="shared" ca="1" si="173"/>
        <v>#NAME?</v>
      </c>
      <c r="J919" s="100" t="e">
        <f ca="1">IFERROR(__xludf.DUMMYFUNCTION("""COMPUTED_VALUE"""),"0")</f>
        <v>#NAME?</v>
      </c>
      <c r="K919" s="100" t="e">
        <f t="shared" ca="1" si="174"/>
        <v>#NAME?</v>
      </c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 spans="1:26">
      <c r="A920" s="100" t="e">
        <f ca="1">IFERROR(__xludf.DUMMYFUNCTION("""COMPUTED_VALUE"""),58784255)</f>
        <v>#NAME?</v>
      </c>
      <c r="B920" s="100" t="e">
        <f ca="1">IFERROR(__xludf.DUMMYFUNCTION("""COMPUTED_VALUE"""),"KMDUSDT")</f>
        <v>#NAME?</v>
      </c>
      <c r="C920" s="100" t="e">
        <f ca="1">IFERROR(__xludf.DUMMYFUNCTION("""COMPUTED_VALUE"""),"0.13630000")</f>
        <v>#NAME?</v>
      </c>
      <c r="D920" s="100" t="e">
        <f t="shared" ca="1" si="175"/>
        <v>#NAME?</v>
      </c>
      <c r="E920" s="100" t="e">
        <f t="shared" ca="1" si="175"/>
        <v>#NAME?</v>
      </c>
      <c r="F920" s="100" t="e">
        <f t="shared" ca="1" si="170"/>
        <v>#NAME?</v>
      </c>
      <c r="G920" s="100" t="e">
        <f t="shared" ca="1" si="171"/>
        <v>#NAME?</v>
      </c>
      <c r="H920" s="100" t="e">
        <f t="shared" ca="1" si="172"/>
        <v>#NAME?</v>
      </c>
      <c r="I920" s="100" t="e">
        <f t="shared" ca="1" si="173"/>
        <v>#NAME?</v>
      </c>
      <c r="J920" s="100" t="e">
        <f ca="1">IFERROR(__xludf.DUMMYFUNCTION("""COMPUTED_VALUE"""),"-3.127")</f>
        <v>#NAME?</v>
      </c>
      <c r="K920" s="100" t="e">
        <f t="shared" ca="1" si="174"/>
        <v>#NAME?</v>
      </c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 spans="1:26">
      <c r="A921" s="100" t="e">
        <f ca="1">IFERROR(__xludf.DUMMYFUNCTION("""COMPUTED_VALUE"""),58784256)</f>
        <v>#NAME?</v>
      </c>
      <c r="B921" s="100" t="e">
        <f ca="1">IFERROR(__xludf.DUMMYFUNCTION("""COMPUTED_VALUE"""),"BTCDAI")</f>
        <v>#NAME?</v>
      </c>
      <c r="C921" s="100" t="e">
        <f ca="1">IFERROR(__xludf.DUMMYFUNCTION("""COMPUTED_VALUE"""),"88547.88000000")</f>
        <v>#NAME?</v>
      </c>
      <c r="D921" s="100" t="e">
        <f t="shared" ca="1" si="175"/>
        <v>#NAME?</v>
      </c>
      <c r="E921" s="100" t="e">
        <f t="shared" ca="1" si="175"/>
        <v>#NAME?</v>
      </c>
      <c r="F921" s="100" t="e">
        <f t="shared" ca="1" si="170"/>
        <v>#NAME?</v>
      </c>
      <c r="G921" s="100" t="e">
        <f t="shared" ca="1" si="171"/>
        <v>#NAME?</v>
      </c>
      <c r="H921" s="100" t="e">
        <f t="shared" ca="1" si="172"/>
        <v>#NAME?</v>
      </c>
      <c r="I921" s="100" t="e">
        <f t="shared" ca="1" si="173"/>
        <v>#NAME?</v>
      </c>
      <c r="J921" s="100" t="e">
        <f ca="1">IFERROR(__xludf.DUMMYFUNCTION("""COMPUTED_VALUE"""),"1.241")</f>
        <v>#NAME?</v>
      </c>
      <c r="K921" s="100" t="e">
        <f t="shared" ca="1" si="174"/>
        <v>#NAME?</v>
      </c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 spans="1:26">
      <c r="A922" s="100" t="e">
        <f ca="1">IFERROR(__xludf.DUMMYFUNCTION("""COMPUTED_VALUE"""),58784257)</f>
        <v>#NAME?</v>
      </c>
      <c r="B922" s="100" t="e">
        <f ca="1">IFERROR(__xludf.DUMMYFUNCTION("""COMPUTED_VALUE"""),"ETHDAI")</f>
        <v>#NAME?</v>
      </c>
      <c r="C922" s="100" t="e">
        <f ca="1">IFERROR(__xludf.DUMMYFUNCTION("""COMPUTED_VALUE"""),"1625.26000000")</f>
        <v>#NAME?</v>
      </c>
      <c r="D922" s="100" t="e">
        <f t="shared" ref="D922:E941" ca="1" si="177">IFERROR(__xludf.DUMMYFUNCTION("""COMPUTED_VALUE"""),"-")</f>
        <v>#NAME?</v>
      </c>
      <c r="E922" s="100" t="e">
        <f t="shared" ca="1" si="177"/>
        <v>#NAME?</v>
      </c>
      <c r="F922" s="100" t="e">
        <f t="shared" ca="1" si="170"/>
        <v>#NAME?</v>
      </c>
      <c r="G922" s="100" t="e">
        <f t="shared" ca="1" si="171"/>
        <v>#NAME?</v>
      </c>
      <c r="H922" s="100" t="e">
        <f t="shared" ca="1" si="172"/>
        <v>#NAME?</v>
      </c>
      <c r="I922" s="100" t="e">
        <f t="shared" ca="1" si="173"/>
        <v>#NAME?</v>
      </c>
      <c r="J922" s="100" t="e">
        <f ca="1">IFERROR(__xludf.DUMMYFUNCTION("""COMPUTED_VALUE"""),"-0.867")</f>
        <v>#NAME?</v>
      </c>
      <c r="K922" s="100" t="e">
        <f t="shared" ca="1" si="174"/>
        <v>#NAME?</v>
      </c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 spans="1:26">
      <c r="A923" s="100" t="e">
        <f ca="1">IFERROR(__xludf.DUMMYFUNCTION("""COMPUTED_VALUE"""),58784258)</f>
        <v>#NAME?</v>
      </c>
      <c r="B923" s="100" t="e">
        <f ca="1">IFERROR(__xludf.DUMMYFUNCTION("""COMPUTED_VALUE"""),"BNBDAI")</f>
        <v>#NAME?</v>
      </c>
      <c r="C923" s="100" t="e">
        <f ca="1">IFERROR(__xludf.DUMMYFUNCTION("""COMPUTED_VALUE"""),"561.90000000")</f>
        <v>#NAME?</v>
      </c>
      <c r="D923" s="100" t="e">
        <f t="shared" ca="1" si="177"/>
        <v>#NAME?</v>
      </c>
      <c r="E923" s="100" t="e">
        <f t="shared" ca="1" si="177"/>
        <v>#NAME?</v>
      </c>
      <c r="F923" s="100" t="e">
        <f t="shared" ca="1" si="170"/>
        <v>#NAME?</v>
      </c>
      <c r="G923" s="100" t="e">
        <f t="shared" ca="1" si="171"/>
        <v>#NAME?</v>
      </c>
      <c r="H923" s="100" t="e">
        <f t="shared" ca="1" si="172"/>
        <v>#NAME?</v>
      </c>
      <c r="I923" s="100" t="e">
        <f t="shared" ca="1" si="173"/>
        <v>#NAME?</v>
      </c>
      <c r="J923" s="100" t="e">
        <f ca="1">IFERROR(__xludf.DUMMYFUNCTION("""COMPUTED_VALUE"""),"0")</f>
        <v>#NAME?</v>
      </c>
      <c r="K923" s="100" t="e">
        <f t="shared" ca="1" si="174"/>
        <v>#NAME?</v>
      </c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 spans="1:26">
      <c r="A924" s="100" t="e">
        <f ca="1">IFERROR(__xludf.DUMMYFUNCTION("""COMPUTED_VALUE"""),58784259)</f>
        <v>#NAME?</v>
      </c>
      <c r="B924" s="100" t="e">
        <f ca="1">IFERROR(__xludf.DUMMYFUNCTION("""COMPUTED_VALUE"""),"USDTDAI")</f>
        <v>#NAME?</v>
      </c>
      <c r="C924" s="100" t="e">
        <f ca="1">IFERROR(__xludf.DUMMYFUNCTION("""COMPUTED_VALUE"""),"1.00000000")</f>
        <v>#NAME?</v>
      </c>
      <c r="D924" s="100" t="e">
        <f t="shared" ca="1" si="177"/>
        <v>#NAME?</v>
      </c>
      <c r="E924" s="100" t="e">
        <f t="shared" ca="1" si="177"/>
        <v>#NAME?</v>
      </c>
      <c r="F924" s="100" t="e">
        <f t="shared" ca="1" si="170"/>
        <v>#NAME?</v>
      </c>
      <c r="G924" s="100" t="e">
        <f t="shared" ca="1" si="171"/>
        <v>#NAME?</v>
      </c>
      <c r="H924" s="100" t="e">
        <f t="shared" ca="1" si="172"/>
        <v>#NAME?</v>
      </c>
      <c r="I924" s="100" t="e">
        <f t="shared" ca="1" si="173"/>
        <v>#NAME?</v>
      </c>
      <c r="J924" s="100" t="e">
        <f ca="1">IFERROR(__xludf.DUMMYFUNCTION("""COMPUTED_VALUE"""),"0.010")</f>
        <v>#NAME?</v>
      </c>
      <c r="K924" s="100" t="e">
        <f t="shared" ca="1" si="174"/>
        <v>#NAME?</v>
      </c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 spans="1:26">
      <c r="A925" s="100" t="e">
        <f ca="1">IFERROR(__xludf.DUMMYFUNCTION("""COMPUTED_VALUE"""),58784260)</f>
        <v>#NAME?</v>
      </c>
      <c r="B925" s="100" t="e">
        <f ca="1">IFERROR(__xludf.DUMMYFUNCTION("""COMPUTED_VALUE"""),"BUSDDAI")</f>
        <v>#NAME?</v>
      </c>
      <c r="C925" s="100" t="e">
        <f ca="1">IFERROR(__xludf.DUMMYFUNCTION("""COMPUTED_VALUE"""),"1.00000000")</f>
        <v>#NAME?</v>
      </c>
      <c r="D925" s="100" t="e">
        <f t="shared" ca="1" si="177"/>
        <v>#NAME?</v>
      </c>
      <c r="E925" s="100" t="e">
        <f t="shared" ca="1" si="177"/>
        <v>#NAME?</v>
      </c>
      <c r="F925" s="100" t="e">
        <f t="shared" ca="1" si="170"/>
        <v>#NAME?</v>
      </c>
      <c r="G925" s="100" t="e">
        <f t="shared" ca="1" si="171"/>
        <v>#NAME?</v>
      </c>
      <c r="H925" s="100" t="e">
        <f t="shared" ca="1" si="172"/>
        <v>#NAME?</v>
      </c>
      <c r="I925" s="100" t="e">
        <f t="shared" ca="1" si="173"/>
        <v>#NAME?</v>
      </c>
      <c r="J925" s="100" t="e">
        <f ca="1">IFERROR(__xludf.DUMMYFUNCTION("""COMPUTED_VALUE"""),"0")</f>
        <v>#NAME?</v>
      </c>
      <c r="K925" s="100" t="e">
        <f t="shared" ca="1" si="174"/>
        <v>#NAME?</v>
      </c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 spans="1:26">
      <c r="A926" s="100" t="e">
        <f ca="1">IFERROR(__xludf.DUMMYFUNCTION("""COMPUTED_VALUE"""),58784261)</f>
        <v>#NAME?</v>
      </c>
      <c r="B926" s="100" t="e">
        <f ca="1">IFERROR(__xludf.DUMMYFUNCTION("""COMPUTED_VALUE"""),"JSTBNB")</f>
        <v>#NAME?</v>
      </c>
      <c r="C926" s="100" t="e">
        <f ca="1">IFERROR(__xludf.DUMMYFUNCTION("""COMPUTED_VALUE"""),"0.00000000")</f>
        <v>#NAME?</v>
      </c>
      <c r="D926" s="100" t="e">
        <f t="shared" ca="1" si="177"/>
        <v>#NAME?</v>
      </c>
      <c r="E926" s="100" t="e">
        <f t="shared" ca="1" si="177"/>
        <v>#NAME?</v>
      </c>
      <c r="F926" s="100" t="e">
        <f t="shared" ca="1" si="170"/>
        <v>#NAME?</v>
      </c>
      <c r="G926" s="100" t="e">
        <f t="shared" ca="1" si="171"/>
        <v>#NAME?</v>
      </c>
      <c r="H926" s="100" t="e">
        <f t="shared" ca="1" si="172"/>
        <v>#NAME?</v>
      </c>
      <c r="I926" s="100" t="e">
        <f t="shared" ca="1" si="173"/>
        <v>#NAME?</v>
      </c>
      <c r="J926" s="100" t="e">
        <f ca="1">IFERROR(__xludf.DUMMYFUNCTION("""COMPUTED_VALUE"""),"0")</f>
        <v>#NAME?</v>
      </c>
      <c r="K926" s="100" t="e">
        <f t="shared" ca="1" si="174"/>
        <v>#NAME?</v>
      </c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 spans="1:26">
      <c r="A927" s="100" t="e">
        <f ca="1">IFERROR(__xludf.DUMMYFUNCTION("""COMPUTED_VALUE"""),58784262)</f>
        <v>#NAME?</v>
      </c>
      <c r="B927" s="100" t="e">
        <f ca="1">IFERROR(__xludf.DUMMYFUNCTION("""COMPUTED_VALUE"""),"JSTBTC")</f>
        <v>#NAME?</v>
      </c>
      <c r="C927" s="100" t="e">
        <f ca="1">IFERROR(__xludf.DUMMYFUNCTION("""COMPUTED_VALUE"""),"0.00000035")</f>
        <v>#NAME?</v>
      </c>
      <c r="D927" s="100" t="e">
        <f t="shared" ca="1" si="177"/>
        <v>#NAME?</v>
      </c>
      <c r="E927" s="100" t="e">
        <f t="shared" ca="1" si="177"/>
        <v>#NAME?</v>
      </c>
      <c r="F927" s="100" t="e">
        <f t="shared" ca="1" si="170"/>
        <v>#NAME?</v>
      </c>
      <c r="G927" s="100" t="e">
        <f t="shared" ca="1" si="171"/>
        <v>#NAME?</v>
      </c>
      <c r="H927" s="100" t="e">
        <f t="shared" ca="1" si="172"/>
        <v>#NAME?</v>
      </c>
      <c r="I927" s="100" t="e">
        <f t="shared" ca="1" si="173"/>
        <v>#NAME?</v>
      </c>
      <c r="J927" s="100" t="e">
        <f ca="1">IFERROR(__xludf.DUMMYFUNCTION("""COMPUTED_VALUE"""),"-2.778")</f>
        <v>#NAME?</v>
      </c>
      <c r="K927" s="100" t="e">
        <f t="shared" ca="1" si="174"/>
        <v>#NAME?</v>
      </c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 spans="1:26">
      <c r="A928" s="100" t="e">
        <f ca="1">IFERROR(__xludf.DUMMYFUNCTION("""COMPUTED_VALUE"""),58784263)</f>
        <v>#NAME?</v>
      </c>
      <c r="B928" s="100" t="e">
        <f ca="1">IFERROR(__xludf.DUMMYFUNCTION("""COMPUTED_VALUE"""),"JSTBUSD")</f>
        <v>#NAME?</v>
      </c>
      <c r="C928" s="100" t="e">
        <f ca="1">IFERROR(__xludf.DUMMYFUNCTION("""COMPUTED_VALUE"""),"0.02103000")</f>
        <v>#NAME?</v>
      </c>
      <c r="D928" s="100" t="e">
        <f t="shared" ca="1" si="177"/>
        <v>#NAME?</v>
      </c>
      <c r="E928" s="100" t="e">
        <f t="shared" ca="1" si="177"/>
        <v>#NAME?</v>
      </c>
      <c r="F928" s="100" t="e">
        <f t="shared" ca="1" si="170"/>
        <v>#NAME?</v>
      </c>
      <c r="G928" s="100" t="e">
        <f t="shared" ca="1" si="171"/>
        <v>#NAME?</v>
      </c>
      <c r="H928" s="100" t="e">
        <f t="shared" ca="1" si="172"/>
        <v>#NAME?</v>
      </c>
      <c r="I928" s="100" t="e">
        <f t="shared" ca="1" si="173"/>
        <v>#NAME?</v>
      </c>
      <c r="J928" s="100" t="e">
        <f ca="1">IFERROR(__xludf.DUMMYFUNCTION("""COMPUTED_VALUE"""),"0")</f>
        <v>#NAME?</v>
      </c>
      <c r="K928" s="100" t="e">
        <f t="shared" ca="1" si="174"/>
        <v>#NAME?</v>
      </c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 spans="1:26">
      <c r="A929" s="100" t="e">
        <f ca="1">IFERROR(__xludf.DUMMYFUNCTION("""COMPUTED_VALUE"""),58784264)</f>
        <v>#NAME?</v>
      </c>
      <c r="B929" s="100" t="e">
        <f ca="1">IFERROR(__xludf.DUMMYFUNCTION("""COMPUTED_VALUE"""),"JSTUSDT")</f>
        <v>#NAME?</v>
      </c>
      <c r="C929" s="100" t="e">
        <f ca="1">IFERROR(__xludf.DUMMYFUNCTION("""COMPUTED_VALUE"""),"0.03135000")</f>
        <v>#NAME?</v>
      </c>
      <c r="D929" s="100" t="e">
        <f t="shared" ca="1" si="177"/>
        <v>#NAME?</v>
      </c>
      <c r="E929" s="100" t="e">
        <f t="shared" ca="1" si="177"/>
        <v>#NAME?</v>
      </c>
      <c r="F929" s="100" t="e">
        <f t="shared" ca="1" si="170"/>
        <v>#NAME?</v>
      </c>
      <c r="G929" s="100" t="e">
        <f t="shared" ca="1" si="171"/>
        <v>#NAME?</v>
      </c>
      <c r="H929" s="100" t="e">
        <f t="shared" ca="1" si="172"/>
        <v>#NAME?</v>
      </c>
      <c r="I929" s="100" t="e">
        <f t="shared" ca="1" si="173"/>
        <v>#NAME?</v>
      </c>
      <c r="J929" s="100" t="e">
        <f ca="1">IFERROR(__xludf.DUMMYFUNCTION("""COMPUTED_VALUE"""),"1.325")</f>
        <v>#NAME?</v>
      </c>
      <c r="K929" s="100" t="e">
        <f t="shared" ca="1" si="174"/>
        <v>#NAME?</v>
      </c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 spans="1:26">
      <c r="A930" s="100" t="e">
        <f ca="1">IFERROR(__xludf.DUMMYFUNCTION("""COMPUTED_VALUE"""),58784265)</f>
        <v>#NAME?</v>
      </c>
      <c r="B930" s="100" t="e">
        <f ca="1">IFERROR(__xludf.DUMMYFUNCTION("""COMPUTED_VALUE"""),"SRMBNB")</f>
        <v>#NAME?</v>
      </c>
      <c r="C930" s="100" t="e">
        <f ca="1">IFERROR(__xludf.DUMMYFUNCTION("""COMPUTED_VALUE"""),"0.00084000")</f>
        <v>#NAME?</v>
      </c>
      <c r="D930" s="100" t="e">
        <f t="shared" ca="1" si="177"/>
        <v>#NAME?</v>
      </c>
      <c r="E930" s="100" t="e">
        <f t="shared" ca="1" si="177"/>
        <v>#NAME?</v>
      </c>
      <c r="F930" s="100" t="e">
        <f t="shared" ca="1" si="170"/>
        <v>#NAME?</v>
      </c>
      <c r="G930" s="100" t="e">
        <f t="shared" ca="1" si="171"/>
        <v>#NAME?</v>
      </c>
      <c r="H930" s="100" t="e">
        <f t="shared" ca="1" si="172"/>
        <v>#NAME?</v>
      </c>
      <c r="I930" s="100" t="e">
        <f t="shared" ca="1" si="173"/>
        <v>#NAME?</v>
      </c>
      <c r="J930" s="100" t="e">
        <f t="shared" ref="J930:J938" ca="1" si="178">IFERROR(__xludf.DUMMYFUNCTION("""COMPUTED_VALUE"""),"0")</f>
        <v>#NAME?</v>
      </c>
      <c r="K930" s="100" t="e">
        <f t="shared" ca="1" si="174"/>
        <v>#NAME?</v>
      </c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 spans="1:26">
      <c r="A931" s="100" t="e">
        <f ca="1">IFERROR(__xludf.DUMMYFUNCTION("""COMPUTED_VALUE"""),58784266)</f>
        <v>#NAME?</v>
      </c>
      <c r="B931" s="100" t="e">
        <f ca="1">IFERROR(__xludf.DUMMYFUNCTION("""COMPUTED_VALUE"""),"SRMBTC")</f>
        <v>#NAME?</v>
      </c>
      <c r="C931" s="100" t="e">
        <f ca="1">IFERROR(__xludf.DUMMYFUNCTION("""COMPUTED_VALUE"""),"0.00001523")</f>
        <v>#NAME?</v>
      </c>
      <c r="D931" s="100" t="e">
        <f t="shared" ca="1" si="177"/>
        <v>#NAME?</v>
      </c>
      <c r="E931" s="100" t="e">
        <f t="shared" ca="1" si="177"/>
        <v>#NAME?</v>
      </c>
      <c r="F931" s="100" t="e">
        <f t="shared" ca="1" si="170"/>
        <v>#NAME?</v>
      </c>
      <c r="G931" s="100" t="e">
        <f t="shared" ca="1" si="171"/>
        <v>#NAME?</v>
      </c>
      <c r="H931" s="100" t="e">
        <f t="shared" ca="1" si="172"/>
        <v>#NAME?</v>
      </c>
      <c r="I931" s="100" t="e">
        <f t="shared" ca="1" si="173"/>
        <v>#NAME?</v>
      </c>
      <c r="J931" s="100" t="e">
        <f t="shared" ca="1" si="178"/>
        <v>#NAME?</v>
      </c>
      <c r="K931" s="100" t="e">
        <f t="shared" ca="1" si="174"/>
        <v>#NAME?</v>
      </c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 spans="1:26">
      <c r="A932" s="100" t="e">
        <f ca="1">IFERROR(__xludf.DUMMYFUNCTION("""COMPUTED_VALUE"""),58784267)</f>
        <v>#NAME?</v>
      </c>
      <c r="B932" s="100" t="e">
        <f ca="1">IFERROR(__xludf.DUMMYFUNCTION("""COMPUTED_VALUE"""),"SRMBUSD")</f>
        <v>#NAME?</v>
      </c>
      <c r="C932" s="100" t="e">
        <f ca="1">IFERROR(__xludf.DUMMYFUNCTION("""COMPUTED_VALUE"""),"0.03530000")</f>
        <v>#NAME?</v>
      </c>
      <c r="D932" s="100" t="e">
        <f t="shared" ca="1" si="177"/>
        <v>#NAME?</v>
      </c>
      <c r="E932" s="100" t="e">
        <f t="shared" ca="1" si="177"/>
        <v>#NAME?</v>
      </c>
      <c r="F932" s="100" t="e">
        <f t="shared" ca="1" si="170"/>
        <v>#NAME?</v>
      </c>
      <c r="G932" s="100" t="e">
        <f t="shared" ca="1" si="171"/>
        <v>#NAME?</v>
      </c>
      <c r="H932" s="100" t="e">
        <f t="shared" ca="1" si="172"/>
        <v>#NAME?</v>
      </c>
      <c r="I932" s="100" t="e">
        <f t="shared" ca="1" si="173"/>
        <v>#NAME?</v>
      </c>
      <c r="J932" s="100" t="e">
        <f t="shared" ca="1" si="178"/>
        <v>#NAME?</v>
      </c>
      <c r="K932" s="100" t="e">
        <f t="shared" ca="1" si="174"/>
        <v>#NAME?</v>
      </c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 spans="1:26">
      <c r="A933" s="100" t="e">
        <f ca="1">IFERROR(__xludf.DUMMYFUNCTION("""COMPUTED_VALUE"""),58784268)</f>
        <v>#NAME?</v>
      </c>
      <c r="B933" s="100" t="e">
        <f ca="1">IFERROR(__xludf.DUMMYFUNCTION("""COMPUTED_VALUE"""),"SRMUSDT")</f>
        <v>#NAME?</v>
      </c>
      <c r="C933" s="100" t="e">
        <f ca="1">IFERROR(__xludf.DUMMYFUNCTION("""COMPUTED_VALUE"""),"0.24442000")</f>
        <v>#NAME?</v>
      </c>
      <c r="D933" s="100" t="e">
        <f t="shared" ca="1" si="177"/>
        <v>#NAME?</v>
      </c>
      <c r="E933" s="100" t="e">
        <f t="shared" ca="1" si="177"/>
        <v>#NAME?</v>
      </c>
      <c r="F933" s="100" t="e">
        <f t="shared" ca="1" si="170"/>
        <v>#NAME?</v>
      </c>
      <c r="G933" s="100" t="e">
        <f t="shared" ca="1" si="171"/>
        <v>#NAME?</v>
      </c>
      <c r="H933" s="100" t="e">
        <f t="shared" ca="1" si="172"/>
        <v>#NAME?</v>
      </c>
      <c r="I933" s="100" t="e">
        <f t="shared" ca="1" si="173"/>
        <v>#NAME?</v>
      </c>
      <c r="J933" s="100" t="e">
        <f t="shared" ca="1" si="178"/>
        <v>#NAME?</v>
      </c>
      <c r="K933" s="100" t="e">
        <f t="shared" ca="1" si="174"/>
        <v>#NAME?</v>
      </c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 spans="1:26">
      <c r="A934" s="100" t="e">
        <f ca="1">IFERROR(__xludf.DUMMYFUNCTION("""COMPUTED_VALUE"""),58784269)</f>
        <v>#NAME?</v>
      </c>
      <c r="B934" s="100" t="e">
        <f ca="1">IFERROR(__xludf.DUMMYFUNCTION("""COMPUTED_VALUE"""),"ANTBNB")</f>
        <v>#NAME?</v>
      </c>
      <c r="C934" s="100" t="e">
        <f ca="1">IFERROR(__xludf.DUMMYFUNCTION("""COMPUTED_VALUE"""),"0.01764000")</f>
        <v>#NAME?</v>
      </c>
      <c r="D934" s="100" t="e">
        <f t="shared" ca="1" si="177"/>
        <v>#NAME?</v>
      </c>
      <c r="E934" s="100" t="e">
        <f t="shared" ca="1" si="177"/>
        <v>#NAME?</v>
      </c>
      <c r="F934" s="100" t="e">
        <f t="shared" ca="1" si="170"/>
        <v>#NAME?</v>
      </c>
      <c r="G934" s="100" t="e">
        <f t="shared" ca="1" si="171"/>
        <v>#NAME?</v>
      </c>
      <c r="H934" s="100" t="e">
        <f t="shared" ca="1" si="172"/>
        <v>#NAME?</v>
      </c>
      <c r="I934" s="100" t="e">
        <f t="shared" ca="1" si="173"/>
        <v>#NAME?</v>
      </c>
      <c r="J934" s="100" t="e">
        <f t="shared" ca="1" si="178"/>
        <v>#NAME?</v>
      </c>
      <c r="K934" s="100" t="e">
        <f t="shared" ca="1" si="174"/>
        <v>#NAME?</v>
      </c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 spans="1:26">
      <c r="A935" s="100" t="e">
        <f ca="1">IFERROR(__xludf.DUMMYFUNCTION("""COMPUTED_VALUE"""),58784270)</f>
        <v>#NAME?</v>
      </c>
      <c r="B935" s="100" t="e">
        <f ca="1">IFERROR(__xludf.DUMMYFUNCTION("""COMPUTED_VALUE"""),"ANTBTC")</f>
        <v>#NAME?</v>
      </c>
      <c r="C935" s="100" t="e">
        <f ca="1">IFERROR(__xludf.DUMMYFUNCTION("""COMPUTED_VALUE"""),"0.00014320")</f>
        <v>#NAME?</v>
      </c>
      <c r="D935" s="100" t="e">
        <f t="shared" ca="1" si="177"/>
        <v>#NAME?</v>
      </c>
      <c r="E935" s="100" t="e">
        <f t="shared" ca="1" si="177"/>
        <v>#NAME?</v>
      </c>
      <c r="F935" s="100" t="e">
        <f t="shared" ca="1" si="170"/>
        <v>#NAME?</v>
      </c>
      <c r="G935" s="100" t="e">
        <f t="shared" ca="1" si="171"/>
        <v>#NAME?</v>
      </c>
      <c r="H935" s="100" t="e">
        <f t="shared" ca="1" si="172"/>
        <v>#NAME?</v>
      </c>
      <c r="I935" s="100" t="e">
        <f t="shared" ca="1" si="173"/>
        <v>#NAME?</v>
      </c>
      <c r="J935" s="100" t="e">
        <f t="shared" ca="1" si="178"/>
        <v>#NAME?</v>
      </c>
      <c r="K935" s="100" t="e">
        <f t="shared" ca="1" si="174"/>
        <v>#NAME?</v>
      </c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 spans="1:26">
      <c r="A936" s="100" t="e">
        <f ca="1">IFERROR(__xludf.DUMMYFUNCTION("""COMPUTED_VALUE"""),58784271)</f>
        <v>#NAME?</v>
      </c>
      <c r="B936" s="100" t="e">
        <f ca="1">IFERROR(__xludf.DUMMYFUNCTION("""COMPUTED_VALUE"""),"ANTBUSD")</f>
        <v>#NAME?</v>
      </c>
      <c r="C936" s="100" t="e">
        <f ca="1">IFERROR(__xludf.DUMMYFUNCTION("""COMPUTED_VALUE"""),"4.30300000")</f>
        <v>#NAME?</v>
      </c>
      <c r="D936" s="100" t="e">
        <f t="shared" ca="1" si="177"/>
        <v>#NAME?</v>
      </c>
      <c r="E936" s="100" t="e">
        <f t="shared" ca="1" si="177"/>
        <v>#NAME?</v>
      </c>
      <c r="F936" s="100" t="e">
        <f t="shared" ca="1" si="170"/>
        <v>#NAME?</v>
      </c>
      <c r="G936" s="100" t="e">
        <f t="shared" ca="1" si="171"/>
        <v>#NAME?</v>
      </c>
      <c r="H936" s="100" t="e">
        <f t="shared" ca="1" si="172"/>
        <v>#NAME?</v>
      </c>
      <c r="I936" s="100" t="e">
        <f t="shared" ca="1" si="173"/>
        <v>#NAME?</v>
      </c>
      <c r="J936" s="100" t="e">
        <f t="shared" ca="1" si="178"/>
        <v>#NAME?</v>
      </c>
      <c r="K936" s="100" t="e">
        <f t="shared" ca="1" si="174"/>
        <v>#NAME?</v>
      </c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 spans="1:26">
      <c r="A937" s="100" t="e">
        <f ca="1">IFERROR(__xludf.DUMMYFUNCTION("""COMPUTED_VALUE"""),58784272)</f>
        <v>#NAME?</v>
      </c>
      <c r="B937" s="100" t="e">
        <f ca="1">IFERROR(__xludf.DUMMYFUNCTION("""COMPUTED_VALUE"""),"ANTUSDT")</f>
        <v>#NAME?</v>
      </c>
      <c r="C937" s="100" t="e">
        <f ca="1">IFERROR(__xludf.DUMMYFUNCTION("""COMPUTED_VALUE"""),"7.40700000")</f>
        <v>#NAME?</v>
      </c>
      <c r="D937" s="100" t="e">
        <f t="shared" ca="1" si="177"/>
        <v>#NAME?</v>
      </c>
      <c r="E937" s="100" t="e">
        <f t="shared" ca="1" si="177"/>
        <v>#NAME?</v>
      </c>
      <c r="F937" s="100" t="e">
        <f t="shared" ca="1" si="170"/>
        <v>#NAME?</v>
      </c>
      <c r="G937" s="100" t="e">
        <f t="shared" ca="1" si="171"/>
        <v>#NAME?</v>
      </c>
      <c r="H937" s="100" t="e">
        <f t="shared" ca="1" si="172"/>
        <v>#NAME?</v>
      </c>
      <c r="I937" s="100" t="e">
        <f t="shared" ca="1" si="173"/>
        <v>#NAME?</v>
      </c>
      <c r="J937" s="100" t="e">
        <f t="shared" ca="1" si="178"/>
        <v>#NAME?</v>
      </c>
      <c r="K937" s="100" t="e">
        <f t="shared" ca="1" si="174"/>
        <v>#NAME?</v>
      </c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 spans="1:26">
      <c r="A938" s="100" t="e">
        <f ca="1">IFERROR(__xludf.DUMMYFUNCTION("""COMPUTED_VALUE"""),58784273)</f>
        <v>#NAME?</v>
      </c>
      <c r="B938" s="100" t="e">
        <f ca="1">IFERROR(__xludf.DUMMYFUNCTION("""COMPUTED_VALUE"""),"CRVBNB")</f>
        <v>#NAME?</v>
      </c>
      <c r="C938" s="100" t="e">
        <f ca="1">IFERROR(__xludf.DUMMYFUNCTION("""COMPUTED_VALUE"""),"0.00000000")</f>
        <v>#NAME?</v>
      </c>
      <c r="D938" s="100" t="e">
        <f t="shared" ca="1" si="177"/>
        <v>#NAME?</v>
      </c>
      <c r="E938" s="100" t="e">
        <f t="shared" ca="1" si="177"/>
        <v>#NAME?</v>
      </c>
      <c r="F938" s="100" t="e">
        <f t="shared" ca="1" si="170"/>
        <v>#NAME?</v>
      </c>
      <c r="G938" s="100" t="e">
        <f t="shared" ca="1" si="171"/>
        <v>#NAME?</v>
      </c>
      <c r="H938" s="100" t="e">
        <f t="shared" ca="1" si="172"/>
        <v>#NAME?</v>
      </c>
      <c r="I938" s="100" t="e">
        <f t="shared" ca="1" si="173"/>
        <v>#NAME?</v>
      </c>
      <c r="J938" s="100" t="e">
        <f t="shared" ca="1" si="178"/>
        <v>#NAME?</v>
      </c>
      <c r="K938" s="100" t="e">
        <f t="shared" ca="1" si="174"/>
        <v>#NAME?</v>
      </c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 spans="1:26">
      <c r="A939" s="100" t="e">
        <f ca="1">IFERROR(__xludf.DUMMYFUNCTION("""COMPUTED_VALUE"""),58784274)</f>
        <v>#NAME?</v>
      </c>
      <c r="B939" s="100" t="e">
        <f ca="1">IFERROR(__xludf.DUMMYFUNCTION("""COMPUTED_VALUE"""),"CRVBTC")</f>
        <v>#NAME?</v>
      </c>
      <c r="C939" s="100" t="e">
        <f ca="1">IFERROR(__xludf.DUMMYFUNCTION("""COMPUTED_VALUE"""),"0.00000693")</f>
        <v>#NAME?</v>
      </c>
      <c r="D939" s="100" t="e">
        <f t="shared" ca="1" si="177"/>
        <v>#NAME?</v>
      </c>
      <c r="E939" s="100" t="e">
        <f t="shared" ca="1" si="177"/>
        <v>#NAME?</v>
      </c>
      <c r="F939" s="100" t="e">
        <f t="shared" ca="1" si="170"/>
        <v>#NAME?</v>
      </c>
      <c r="G939" s="100" t="e">
        <f t="shared" ca="1" si="171"/>
        <v>#NAME?</v>
      </c>
      <c r="H939" s="100" t="e">
        <f t="shared" ca="1" si="172"/>
        <v>#NAME?</v>
      </c>
      <c r="I939" s="100" t="e">
        <f t="shared" ca="1" si="173"/>
        <v>#NAME?</v>
      </c>
      <c r="J939" s="100" t="e">
        <f ca="1">IFERROR(__xludf.DUMMYFUNCTION("""COMPUTED_VALUE"""),"-1.702")</f>
        <v>#NAME?</v>
      </c>
      <c r="K939" s="100" t="e">
        <f t="shared" ca="1" si="174"/>
        <v>#NAME?</v>
      </c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 spans="1:26">
      <c r="A940" s="100" t="e">
        <f ca="1">IFERROR(__xludf.DUMMYFUNCTION("""COMPUTED_VALUE"""),58784275)</f>
        <v>#NAME?</v>
      </c>
      <c r="B940" s="100" t="e">
        <f ca="1">IFERROR(__xludf.DUMMYFUNCTION("""COMPUTED_VALUE"""),"CRVBUSD")</f>
        <v>#NAME?</v>
      </c>
      <c r="C940" s="100" t="e">
        <f ca="1">IFERROR(__xludf.DUMMYFUNCTION("""COMPUTED_VALUE"""),"0.50410000")</f>
        <v>#NAME?</v>
      </c>
      <c r="D940" s="100" t="e">
        <f t="shared" ca="1" si="177"/>
        <v>#NAME?</v>
      </c>
      <c r="E940" s="100" t="e">
        <f t="shared" ca="1" si="177"/>
        <v>#NAME?</v>
      </c>
      <c r="F940" s="100" t="e">
        <f t="shared" ca="1" si="170"/>
        <v>#NAME?</v>
      </c>
      <c r="G940" s="100" t="e">
        <f t="shared" ca="1" si="171"/>
        <v>#NAME?</v>
      </c>
      <c r="H940" s="100" t="e">
        <f t="shared" ca="1" si="172"/>
        <v>#NAME?</v>
      </c>
      <c r="I940" s="100" t="e">
        <f t="shared" ca="1" si="173"/>
        <v>#NAME?</v>
      </c>
      <c r="J940" s="100" t="e">
        <f ca="1">IFERROR(__xludf.DUMMYFUNCTION("""COMPUTED_VALUE"""),"0")</f>
        <v>#NAME?</v>
      </c>
      <c r="K940" s="100" t="e">
        <f t="shared" ca="1" si="174"/>
        <v>#NAME?</v>
      </c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 spans="1:26">
      <c r="A941" s="100" t="e">
        <f ca="1">IFERROR(__xludf.DUMMYFUNCTION("""COMPUTED_VALUE"""),58784276)</f>
        <v>#NAME?</v>
      </c>
      <c r="B941" s="100" t="e">
        <f ca="1">IFERROR(__xludf.DUMMYFUNCTION("""COMPUTED_VALUE"""),"CRVUSDT")</f>
        <v>#NAME?</v>
      </c>
      <c r="C941" s="100" t="e">
        <f ca="1">IFERROR(__xludf.DUMMYFUNCTION("""COMPUTED_VALUE"""),"0.61370000")</f>
        <v>#NAME?</v>
      </c>
      <c r="D941" s="100" t="e">
        <f t="shared" ca="1" si="177"/>
        <v>#NAME?</v>
      </c>
      <c r="E941" s="100" t="e">
        <f t="shared" ca="1" si="177"/>
        <v>#NAME?</v>
      </c>
      <c r="F941" s="100" t="e">
        <f t="shared" ca="1" si="170"/>
        <v>#NAME?</v>
      </c>
      <c r="G941" s="100" t="e">
        <f t="shared" ca="1" si="171"/>
        <v>#NAME?</v>
      </c>
      <c r="H941" s="100" t="e">
        <f t="shared" ca="1" si="172"/>
        <v>#NAME?</v>
      </c>
      <c r="I941" s="100" t="e">
        <f t="shared" ca="1" si="173"/>
        <v>#NAME?</v>
      </c>
      <c r="J941" s="100" t="e">
        <f ca="1">IFERROR(__xludf.DUMMYFUNCTION("""COMPUTED_VALUE"""),"-0.567")</f>
        <v>#NAME?</v>
      </c>
      <c r="K941" s="100" t="e">
        <f t="shared" ca="1" si="174"/>
        <v>#NAME?</v>
      </c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 spans="1:26">
      <c r="A942" s="100" t="e">
        <f ca="1">IFERROR(__xludf.DUMMYFUNCTION("""COMPUTED_VALUE"""),58784277)</f>
        <v>#NAME?</v>
      </c>
      <c r="B942" s="100" t="e">
        <f ca="1">IFERROR(__xludf.DUMMYFUNCTION("""COMPUTED_VALUE"""),"SANDBNB")</f>
        <v>#NAME?</v>
      </c>
      <c r="C942" s="100" t="e">
        <f ca="1">IFERROR(__xludf.DUMMYFUNCTION("""COMPUTED_VALUE"""),"0.00066800")</f>
        <v>#NAME?</v>
      </c>
      <c r="D942" s="100" t="e">
        <f t="shared" ref="D942:E961" ca="1" si="179">IFERROR(__xludf.DUMMYFUNCTION("""COMPUTED_VALUE"""),"-")</f>
        <v>#NAME?</v>
      </c>
      <c r="E942" s="100" t="e">
        <f t="shared" ca="1" si="179"/>
        <v>#NAME?</v>
      </c>
      <c r="F942" s="100" t="e">
        <f t="shared" ca="1" si="170"/>
        <v>#NAME?</v>
      </c>
      <c r="G942" s="100" t="e">
        <f t="shared" ca="1" si="171"/>
        <v>#NAME?</v>
      </c>
      <c r="H942" s="100" t="e">
        <f t="shared" ca="1" si="172"/>
        <v>#NAME?</v>
      </c>
      <c r="I942" s="100" t="e">
        <f t="shared" ca="1" si="173"/>
        <v>#NAME?</v>
      </c>
      <c r="J942" s="100" t="e">
        <f ca="1">IFERROR(__xludf.DUMMYFUNCTION("""COMPUTED_VALUE"""),"0")</f>
        <v>#NAME?</v>
      </c>
      <c r="K942" s="100" t="e">
        <f t="shared" ca="1" si="174"/>
        <v>#NAME?</v>
      </c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 spans="1:26">
      <c r="A943" s="100" t="e">
        <f ca="1">IFERROR(__xludf.DUMMYFUNCTION("""COMPUTED_VALUE"""),58784278)</f>
        <v>#NAME?</v>
      </c>
      <c r="B943" s="100" t="e">
        <f ca="1">IFERROR(__xludf.DUMMYFUNCTION("""COMPUTED_VALUE"""),"SANDBTC")</f>
        <v>#NAME?</v>
      </c>
      <c r="C943" s="100" t="e">
        <f ca="1">IFERROR(__xludf.DUMMYFUNCTION("""COMPUTED_VALUE"""),"0.00000310")</f>
        <v>#NAME?</v>
      </c>
      <c r="D943" s="100" t="e">
        <f t="shared" ca="1" si="179"/>
        <v>#NAME?</v>
      </c>
      <c r="E943" s="100" t="e">
        <f t="shared" ca="1" si="179"/>
        <v>#NAME?</v>
      </c>
      <c r="F943" s="100" t="e">
        <f t="shared" ca="1" si="170"/>
        <v>#NAME?</v>
      </c>
      <c r="G943" s="100" t="e">
        <f t="shared" ca="1" si="171"/>
        <v>#NAME?</v>
      </c>
      <c r="H943" s="100" t="e">
        <f t="shared" ca="1" si="172"/>
        <v>#NAME?</v>
      </c>
      <c r="I943" s="100" t="e">
        <f t="shared" ca="1" si="173"/>
        <v>#NAME?</v>
      </c>
      <c r="J943" s="100" t="e">
        <f ca="1">IFERROR(__xludf.DUMMYFUNCTION("""COMPUTED_VALUE"""),"-4.025")</f>
        <v>#NAME?</v>
      </c>
      <c r="K943" s="100" t="e">
        <f t="shared" ca="1" si="174"/>
        <v>#NAME?</v>
      </c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 spans="1:26">
      <c r="A944" s="100" t="e">
        <f ca="1">IFERROR(__xludf.DUMMYFUNCTION("""COMPUTED_VALUE"""),58784279)</f>
        <v>#NAME?</v>
      </c>
      <c r="B944" s="100" t="e">
        <f ca="1">IFERROR(__xludf.DUMMYFUNCTION("""COMPUTED_VALUE"""),"SANDUSDT")</f>
        <v>#NAME?</v>
      </c>
      <c r="C944" s="100" t="e">
        <f ca="1">IFERROR(__xludf.DUMMYFUNCTION("""COMPUTED_VALUE"""),"0.27480000")</f>
        <v>#NAME?</v>
      </c>
      <c r="D944" s="100" t="e">
        <f t="shared" ca="1" si="179"/>
        <v>#NAME?</v>
      </c>
      <c r="E944" s="100" t="e">
        <f t="shared" ca="1" si="179"/>
        <v>#NAME?</v>
      </c>
      <c r="F944" s="100" t="e">
        <f t="shared" ca="1" si="170"/>
        <v>#NAME?</v>
      </c>
      <c r="G944" s="100" t="e">
        <f t="shared" ca="1" si="171"/>
        <v>#NAME?</v>
      </c>
      <c r="H944" s="100" t="e">
        <f t="shared" ca="1" si="172"/>
        <v>#NAME?</v>
      </c>
      <c r="I944" s="100" t="e">
        <f t="shared" ca="1" si="173"/>
        <v>#NAME?</v>
      </c>
      <c r="J944" s="100" t="e">
        <f ca="1">IFERROR(__xludf.DUMMYFUNCTION("""COMPUTED_VALUE"""),"-2.691")</f>
        <v>#NAME?</v>
      </c>
      <c r="K944" s="100" t="e">
        <f t="shared" ca="1" si="174"/>
        <v>#NAME?</v>
      </c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 spans="1:26">
      <c r="A945" s="100" t="e">
        <f ca="1">IFERROR(__xludf.DUMMYFUNCTION("""COMPUTED_VALUE"""),58784280)</f>
        <v>#NAME?</v>
      </c>
      <c r="B945" s="100" t="e">
        <f ca="1">IFERROR(__xludf.DUMMYFUNCTION("""COMPUTED_VALUE"""),"SANDBUSD")</f>
        <v>#NAME?</v>
      </c>
      <c r="C945" s="100" t="e">
        <f ca="1">IFERROR(__xludf.DUMMYFUNCTION("""COMPUTED_VALUE"""),"0.32610000")</f>
        <v>#NAME?</v>
      </c>
      <c r="D945" s="100" t="e">
        <f t="shared" ca="1" si="179"/>
        <v>#NAME?</v>
      </c>
      <c r="E945" s="100" t="e">
        <f t="shared" ca="1" si="179"/>
        <v>#NAME?</v>
      </c>
      <c r="F945" s="100" t="e">
        <f t="shared" ca="1" si="170"/>
        <v>#NAME?</v>
      </c>
      <c r="G945" s="100" t="e">
        <f t="shared" ca="1" si="171"/>
        <v>#NAME?</v>
      </c>
      <c r="H945" s="100" t="e">
        <f t="shared" ca="1" si="172"/>
        <v>#NAME?</v>
      </c>
      <c r="I945" s="100" t="e">
        <f t="shared" ca="1" si="173"/>
        <v>#NAME?</v>
      </c>
      <c r="J945" s="100" t="e">
        <f ca="1">IFERROR(__xludf.DUMMYFUNCTION("""COMPUTED_VALUE"""),"0")</f>
        <v>#NAME?</v>
      </c>
      <c r="K945" s="100" t="e">
        <f t="shared" ca="1" si="174"/>
        <v>#NAME?</v>
      </c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 spans="1:26">
      <c r="A946" s="100" t="e">
        <f ca="1">IFERROR(__xludf.DUMMYFUNCTION("""COMPUTED_VALUE"""),58784281)</f>
        <v>#NAME?</v>
      </c>
      <c r="B946" s="100" t="e">
        <f ca="1">IFERROR(__xludf.DUMMYFUNCTION("""COMPUTED_VALUE"""),"OCEANBNB")</f>
        <v>#NAME?</v>
      </c>
      <c r="C946" s="100" t="e">
        <f ca="1">IFERROR(__xludf.DUMMYFUNCTION("""COMPUTED_VALUE"""),"0.00104400")</f>
        <v>#NAME?</v>
      </c>
      <c r="D946" s="100" t="e">
        <f t="shared" ca="1" si="179"/>
        <v>#NAME?</v>
      </c>
      <c r="E946" s="100" t="e">
        <f t="shared" ca="1" si="179"/>
        <v>#NAME?</v>
      </c>
      <c r="F946" s="100" t="e">
        <f t="shared" ca="1" si="170"/>
        <v>#NAME?</v>
      </c>
      <c r="G946" s="100" t="e">
        <f t="shared" ca="1" si="171"/>
        <v>#NAME?</v>
      </c>
      <c r="H946" s="100" t="e">
        <f t="shared" ca="1" si="172"/>
        <v>#NAME?</v>
      </c>
      <c r="I946" s="100" t="e">
        <f t="shared" ca="1" si="173"/>
        <v>#NAME?</v>
      </c>
      <c r="J946" s="100" t="e">
        <f ca="1">IFERROR(__xludf.DUMMYFUNCTION("""COMPUTED_VALUE"""),"0")</f>
        <v>#NAME?</v>
      </c>
      <c r="K946" s="100" t="e">
        <f t="shared" ca="1" si="174"/>
        <v>#NAME?</v>
      </c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 spans="1:26">
      <c r="A947" s="100" t="e">
        <f ca="1">IFERROR(__xludf.DUMMYFUNCTION("""COMPUTED_VALUE"""),58784282)</f>
        <v>#NAME?</v>
      </c>
      <c r="B947" s="100" t="e">
        <f ca="1">IFERROR(__xludf.DUMMYFUNCTION("""COMPUTED_VALUE"""),"OCEANBTC")</f>
        <v>#NAME?</v>
      </c>
      <c r="C947" s="100" t="e">
        <f ca="1">IFERROR(__xludf.DUMMYFUNCTION("""COMPUTED_VALUE"""),"0.00000964")</f>
        <v>#NAME?</v>
      </c>
      <c r="D947" s="100" t="e">
        <f t="shared" ca="1" si="179"/>
        <v>#NAME?</v>
      </c>
      <c r="E947" s="100" t="e">
        <f t="shared" ca="1" si="179"/>
        <v>#NAME?</v>
      </c>
      <c r="F947" s="100" t="e">
        <f t="shared" ca="1" si="170"/>
        <v>#NAME?</v>
      </c>
      <c r="G947" s="100" t="e">
        <f t="shared" ca="1" si="171"/>
        <v>#NAME?</v>
      </c>
      <c r="H947" s="100" t="e">
        <f t="shared" ca="1" si="172"/>
        <v>#NAME?</v>
      </c>
      <c r="I947" s="100" t="e">
        <f t="shared" ca="1" si="173"/>
        <v>#NAME?</v>
      </c>
      <c r="J947" s="100" t="e">
        <f ca="1">IFERROR(__xludf.DUMMYFUNCTION("""COMPUTED_VALUE"""),"0")</f>
        <v>#NAME?</v>
      </c>
      <c r="K947" s="100" t="e">
        <f t="shared" ca="1" si="174"/>
        <v>#NAME?</v>
      </c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 spans="1:26">
      <c r="A948" s="100" t="e">
        <f ca="1">IFERROR(__xludf.DUMMYFUNCTION("""COMPUTED_VALUE"""),58784283)</f>
        <v>#NAME?</v>
      </c>
      <c r="B948" s="100" t="e">
        <f ca="1">IFERROR(__xludf.DUMMYFUNCTION("""COMPUTED_VALUE"""),"OCEANBUSD")</f>
        <v>#NAME?</v>
      </c>
      <c r="C948" s="100" t="e">
        <f ca="1">IFERROR(__xludf.DUMMYFUNCTION("""COMPUTED_VALUE"""),"0.28480000")</f>
        <v>#NAME?</v>
      </c>
      <c r="D948" s="100" t="e">
        <f t="shared" ca="1" si="179"/>
        <v>#NAME?</v>
      </c>
      <c r="E948" s="100" t="e">
        <f t="shared" ca="1" si="179"/>
        <v>#NAME?</v>
      </c>
      <c r="F948" s="100" t="e">
        <f t="shared" ca="1" si="170"/>
        <v>#NAME?</v>
      </c>
      <c r="G948" s="100" t="e">
        <f t="shared" ca="1" si="171"/>
        <v>#NAME?</v>
      </c>
      <c r="H948" s="100" t="e">
        <f t="shared" ca="1" si="172"/>
        <v>#NAME?</v>
      </c>
      <c r="I948" s="100" t="e">
        <f t="shared" ca="1" si="173"/>
        <v>#NAME?</v>
      </c>
      <c r="J948" s="100" t="e">
        <f ca="1">IFERROR(__xludf.DUMMYFUNCTION("""COMPUTED_VALUE"""),"0")</f>
        <v>#NAME?</v>
      </c>
      <c r="K948" s="100" t="e">
        <f t="shared" ca="1" si="174"/>
        <v>#NAME?</v>
      </c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 spans="1:26">
      <c r="A949" s="100" t="e">
        <f ca="1">IFERROR(__xludf.DUMMYFUNCTION("""COMPUTED_VALUE"""),58784284)</f>
        <v>#NAME?</v>
      </c>
      <c r="B949" s="100" t="e">
        <f ca="1">IFERROR(__xludf.DUMMYFUNCTION("""COMPUTED_VALUE"""),"OCEANUSDT")</f>
        <v>#NAME?</v>
      </c>
      <c r="C949" s="100" t="e">
        <f ca="1">IFERROR(__xludf.DUMMYFUNCTION("""COMPUTED_VALUE"""),"0.61230000")</f>
        <v>#NAME?</v>
      </c>
      <c r="D949" s="100" t="e">
        <f t="shared" ca="1" si="179"/>
        <v>#NAME?</v>
      </c>
      <c r="E949" s="100" t="e">
        <f t="shared" ca="1" si="179"/>
        <v>#NAME?</v>
      </c>
      <c r="F949" s="100" t="e">
        <f t="shared" ca="1" si="170"/>
        <v>#NAME?</v>
      </c>
      <c r="G949" s="100" t="e">
        <f t="shared" ca="1" si="171"/>
        <v>#NAME?</v>
      </c>
      <c r="H949" s="100" t="e">
        <f t="shared" ca="1" si="172"/>
        <v>#NAME?</v>
      </c>
      <c r="I949" s="100" t="e">
        <f t="shared" ca="1" si="173"/>
        <v>#NAME?</v>
      </c>
      <c r="J949" s="100" t="e">
        <f ca="1">IFERROR(__xludf.DUMMYFUNCTION("""COMPUTED_VALUE"""),"0")</f>
        <v>#NAME?</v>
      </c>
      <c r="K949" s="100" t="e">
        <f t="shared" ca="1" si="174"/>
        <v>#NAME?</v>
      </c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 spans="1:26">
      <c r="A950" s="100" t="e">
        <f ca="1">IFERROR(__xludf.DUMMYFUNCTION("""COMPUTED_VALUE"""),58784285)</f>
        <v>#NAME?</v>
      </c>
      <c r="B950" s="100" t="e">
        <f ca="1">IFERROR(__xludf.DUMMYFUNCTION("""COMPUTED_VALUE"""),"NMRBTC")</f>
        <v>#NAME?</v>
      </c>
      <c r="C950" s="100" t="e">
        <f ca="1">IFERROR(__xludf.DUMMYFUNCTION("""COMPUTED_VALUE"""),"0.00008620")</f>
        <v>#NAME?</v>
      </c>
      <c r="D950" s="100" t="e">
        <f t="shared" ca="1" si="179"/>
        <v>#NAME?</v>
      </c>
      <c r="E950" s="100" t="e">
        <f t="shared" ca="1" si="179"/>
        <v>#NAME?</v>
      </c>
      <c r="F950" s="100" t="e">
        <f t="shared" ca="1" si="170"/>
        <v>#NAME?</v>
      </c>
      <c r="G950" s="100" t="e">
        <f t="shared" ca="1" si="171"/>
        <v>#NAME?</v>
      </c>
      <c r="H950" s="100" t="e">
        <f t="shared" ca="1" si="172"/>
        <v>#NAME?</v>
      </c>
      <c r="I950" s="100" t="e">
        <f t="shared" ca="1" si="173"/>
        <v>#NAME?</v>
      </c>
      <c r="J950" s="100" t="e">
        <f ca="1">IFERROR(__xludf.DUMMYFUNCTION("""COMPUTED_VALUE"""),"-2.378")</f>
        <v>#NAME?</v>
      </c>
      <c r="K950" s="100" t="e">
        <f t="shared" ca="1" si="174"/>
        <v>#NAME?</v>
      </c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 spans="1:26">
      <c r="A951" s="100" t="e">
        <f ca="1">IFERROR(__xludf.DUMMYFUNCTION("""COMPUTED_VALUE"""),58784286)</f>
        <v>#NAME?</v>
      </c>
      <c r="B951" s="100" t="e">
        <f ca="1">IFERROR(__xludf.DUMMYFUNCTION("""COMPUTED_VALUE"""),"NMRBUSD")</f>
        <v>#NAME?</v>
      </c>
      <c r="C951" s="100" t="e">
        <f ca="1">IFERROR(__xludf.DUMMYFUNCTION("""COMPUTED_VALUE"""),"11.43000000")</f>
        <v>#NAME?</v>
      </c>
      <c r="D951" s="100" t="e">
        <f t="shared" ca="1" si="179"/>
        <v>#NAME?</v>
      </c>
      <c r="E951" s="100" t="e">
        <f t="shared" ca="1" si="179"/>
        <v>#NAME?</v>
      </c>
      <c r="F951" s="100" t="e">
        <f t="shared" ca="1" si="170"/>
        <v>#NAME?</v>
      </c>
      <c r="G951" s="100" t="e">
        <f t="shared" ca="1" si="171"/>
        <v>#NAME?</v>
      </c>
      <c r="H951" s="100" t="e">
        <f t="shared" ca="1" si="172"/>
        <v>#NAME?</v>
      </c>
      <c r="I951" s="100" t="e">
        <f t="shared" ca="1" si="173"/>
        <v>#NAME?</v>
      </c>
      <c r="J951" s="100" t="e">
        <f ca="1">IFERROR(__xludf.DUMMYFUNCTION("""COMPUTED_VALUE"""),"0")</f>
        <v>#NAME?</v>
      </c>
      <c r="K951" s="100" t="e">
        <f t="shared" ca="1" si="174"/>
        <v>#NAME?</v>
      </c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 spans="1:26">
      <c r="A952" s="100" t="e">
        <f ca="1">IFERROR(__xludf.DUMMYFUNCTION("""COMPUTED_VALUE"""),58784287)</f>
        <v>#NAME?</v>
      </c>
      <c r="B952" s="100" t="e">
        <f ca="1">IFERROR(__xludf.DUMMYFUNCTION("""COMPUTED_VALUE"""),"NMRUSDT")</f>
        <v>#NAME?</v>
      </c>
      <c r="C952" s="100" t="e">
        <f ca="1">IFERROR(__xludf.DUMMYFUNCTION("""COMPUTED_VALUE"""),"7.62000000")</f>
        <v>#NAME?</v>
      </c>
      <c r="D952" s="100" t="e">
        <f t="shared" ca="1" si="179"/>
        <v>#NAME?</v>
      </c>
      <c r="E952" s="100" t="e">
        <f t="shared" ca="1" si="179"/>
        <v>#NAME?</v>
      </c>
      <c r="F952" s="100" t="e">
        <f t="shared" ca="1" si="170"/>
        <v>#NAME?</v>
      </c>
      <c r="G952" s="100" t="e">
        <f t="shared" ca="1" si="171"/>
        <v>#NAME?</v>
      </c>
      <c r="H952" s="100" t="e">
        <f t="shared" ca="1" si="172"/>
        <v>#NAME?</v>
      </c>
      <c r="I952" s="100" t="e">
        <f t="shared" ca="1" si="173"/>
        <v>#NAME?</v>
      </c>
      <c r="J952" s="100" t="e">
        <f ca="1">IFERROR(__xludf.DUMMYFUNCTION("""COMPUTED_VALUE"""),"-1.295")</f>
        <v>#NAME?</v>
      </c>
      <c r="K952" s="100" t="e">
        <f t="shared" ca="1" si="174"/>
        <v>#NAME?</v>
      </c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 spans="1:26">
      <c r="A953" s="100" t="e">
        <f ca="1">IFERROR(__xludf.DUMMYFUNCTION("""COMPUTED_VALUE"""),58784288)</f>
        <v>#NAME?</v>
      </c>
      <c r="B953" s="100" t="e">
        <f ca="1">IFERROR(__xludf.DUMMYFUNCTION("""COMPUTED_VALUE"""),"DOTBNB")</f>
        <v>#NAME?</v>
      </c>
      <c r="C953" s="100" t="e">
        <f ca="1">IFERROR(__xludf.DUMMYFUNCTION("""COMPUTED_VALUE"""),"0.00616000")</f>
        <v>#NAME?</v>
      </c>
      <c r="D953" s="100" t="e">
        <f t="shared" ca="1" si="179"/>
        <v>#NAME?</v>
      </c>
      <c r="E953" s="100" t="e">
        <f t="shared" ca="1" si="179"/>
        <v>#NAME?</v>
      </c>
      <c r="F953" s="100" t="e">
        <f t="shared" ca="1" si="170"/>
        <v>#NAME?</v>
      </c>
      <c r="G953" s="100" t="e">
        <f t="shared" ca="1" si="171"/>
        <v>#NAME?</v>
      </c>
      <c r="H953" s="100" t="e">
        <f t="shared" ca="1" si="172"/>
        <v>#NAME?</v>
      </c>
      <c r="I953" s="100" t="e">
        <f t="shared" ca="1" si="173"/>
        <v>#NAME?</v>
      </c>
      <c r="J953" s="100" t="e">
        <f ca="1">IFERROR(__xludf.DUMMYFUNCTION("""COMPUTED_VALUE"""),"-5.231")</f>
        <v>#NAME?</v>
      </c>
      <c r="K953" s="100" t="e">
        <f t="shared" ca="1" si="174"/>
        <v>#NAME?</v>
      </c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 spans="1:26">
      <c r="A954" s="100" t="e">
        <f ca="1">IFERROR(__xludf.DUMMYFUNCTION("""COMPUTED_VALUE"""),58784289)</f>
        <v>#NAME?</v>
      </c>
      <c r="B954" s="100" t="e">
        <f ca="1">IFERROR(__xludf.DUMMYFUNCTION("""COMPUTED_VALUE"""),"DOTBTC")</f>
        <v>#NAME?</v>
      </c>
      <c r="C954" s="100" t="e">
        <f ca="1">IFERROR(__xludf.DUMMYFUNCTION("""COMPUTED_VALUE"""),"0.00004230")</f>
        <v>#NAME?</v>
      </c>
      <c r="D954" s="100" t="e">
        <f t="shared" ca="1" si="179"/>
        <v>#NAME?</v>
      </c>
      <c r="E954" s="100" t="e">
        <f t="shared" ca="1" si="179"/>
        <v>#NAME?</v>
      </c>
      <c r="F954" s="100" t="e">
        <f t="shared" ca="1" si="170"/>
        <v>#NAME?</v>
      </c>
      <c r="G954" s="100" t="e">
        <f t="shared" ca="1" si="171"/>
        <v>#NAME?</v>
      </c>
      <c r="H954" s="100" t="e">
        <f t="shared" ca="1" si="172"/>
        <v>#NAME?</v>
      </c>
      <c r="I954" s="100" t="e">
        <f t="shared" ca="1" si="173"/>
        <v>#NAME?</v>
      </c>
      <c r="J954" s="100" t="e">
        <f ca="1">IFERROR(__xludf.DUMMYFUNCTION("""COMPUTED_VALUE"""),"-5.580")</f>
        <v>#NAME?</v>
      </c>
      <c r="K954" s="100" t="e">
        <f t="shared" ca="1" si="174"/>
        <v>#NAME?</v>
      </c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 spans="1:26">
      <c r="A955" s="100" t="e">
        <f ca="1">IFERROR(__xludf.DUMMYFUNCTION("""COMPUTED_VALUE"""),58784290)</f>
        <v>#NAME?</v>
      </c>
      <c r="B955" s="100" t="e">
        <f ca="1">IFERROR(__xludf.DUMMYFUNCTION("""COMPUTED_VALUE"""),"DOTBUSD")</f>
        <v>#NAME?</v>
      </c>
      <c r="C955" s="100" t="e">
        <f ca="1">IFERROR(__xludf.DUMMYFUNCTION("""COMPUTED_VALUE"""),"7.37300000")</f>
        <v>#NAME?</v>
      </c>
      <c r="D955" s="100" t="e">
        <f t="shared" ca="1" si="179"/>
        <v>#NAME?</v>
      </c>
      <c r="E955" s="100" t="e">
        <f t="shared" ca="1" si="179"/>
        <v>#NAME?</v>
      </c>
      <c r="F955" s="100" t="e">
        <f t="shared" ca="1" si="170"/>
        <v>#NAME?</v>
      </c>
      <c r="G955" s="100" t="e">
        <f t="shared" ca="1" si="171"/>
        <v>#NAME?</v>
      </c>
      <c r="H955" s="100" t="e">
        <f t="shared" ca="1" si="172"/>
        <v>#NAME?</v>
      </c>
      <c r="I955" s="100" t="e">
        <f t="shared" ca="1" si="173"/>
        <v>#NAME?</v>
      </c>
      <c r="J955" s="100" t="e">
        <f ca="1">IFERROR(__xludf.DUMMYFUNCTION("""COMPUTED_VALUE"""),"0")</f>
        <v>#NAME?</v>
      </c>
      <c r="K955" s="100" t="e">
        <f t="shared" ca="1" si="174"/>
        <v>#NAME?</v>
      </c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 spans="1:26">
      <c r="A956" s="100" t="e">
        <f ca="1">IFERROR(__xludf.DUMMYFUNCTION("""COMPUTED_VALUE"""),58784291)</f>
        <v>#NAME?</v>
      </c>
      <c r="B956" s="100" t="e">
        <f ca="1">IFERROR(__xludf.DUMMYFUNCTION("""COMPUTED_VALUE"""),"DOTUSDT")</f>
        <v>#NAME?</v>
      </c>
      <c r="C956" s="100" t="e">
        <f ca="1">IFERROR(__xludf.DUMMYFUNCTION("""COMPUTED_VALUE"""),"3.74100000")</f>
        <v>#NAME?</v>
      </c>
      <c r="D956" s="100" t="e">
        <f t="shared" ca="1" si="179"/>
        <v>#NAME?</v>
      </c>
      <c r="E956" s="100" t="e">
        <f t="shared" ca="1" si="179"/>
        <v>#NAME?</v>
      </c>
      <c r="F956" s="100" t="e">
        <f t="shared" ca="1" si="170"/>
        <v>#NAME?</v>
      </c>
      <c r="G956" s="100" t="e">
        <f t="shared" ca="1" si="171"/>
        <v>#NAME?</v>
      </c>
      <c r="H956" s="100" t="e">
        <f t="shared" ca="1" si="172"/>
        <v>#NAME?</v>
      </c>
      <c r="I956" s="100" t="e">
        <f t="shared" ca="1" si="173"/>
        <v>#NAME?</v>
      </c>
      <c r="J956" s="100" t="e">
        <f ca="1">IFERROR(__xludf.DUMMYFUNCTION("""COMPUTED_VALUE"""),"-4.639")</f>
        <v>#NAME?</v>
      </c>
      <c r="K956" s="100" t="e">
        <f t="shared" ca="1" si="174"/>
        <v>#NAME?</v>
      </c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 spans="1:26">
      <c r="A957" s="100" t="e">
        <f ca="1">IFERROR(__xludf.DUMMYFUNCTION("""COMPUTED_VALUE"""),58784292)</f>
        <v>#NAME?</v>
      </c>
      <c r="B957" s="100" t="e">
        <f ca="1">IFERROR(__xludf.DUMMYFUNCTION("""COMPUTED_VALUE"""),"LUNABNB")</f>
        <v>#NAME?</v>
      </c>
      <c r="C957" s="100" t="e">
        <f ca="1">IFERROR(__xludf.DUMMYFUNCTION("""COMPUTED_VALUE"""),"0.00000000")</f>
        <v>#NAME?</v>
      </c>
      <c r="D957" s="100" t="e">
        <f t="shared" ca="1" si="179"/>
        <v>#NAME?</v>
      </c>
      <c r="E957" s="100" t="e">
        <f t="shared" ca="1" si="179"/>
        <v>#NAME?</v>
      </c>
      <c r="F957" s="100" t="e">
        <f t="shared" ca="1" si="170"/>
        <v>#NAME?</v>
      </c>
      <c r="G957" s="100" t="e">
        <f t="shared" ca="1" si="171"/>
        <v>#NAME?</v>
      </c>
      <c r="H957" s="100" t="e">
        <f t="shared" ca="1" si="172"/>
        <v>#NAME?</v>
      </c>
      <c r="I957" s="100" t="e">
        <f t="shared" ca="1" si="173"/>
        <v>#NAME?</v>
      </c>
      <c r="J957" s="100" t="e">
        <f ca="1">IFERROR(__xludf.DUMMYFUNCTION("""COMPUTED_VALUE"""),"0")</f>
        <v>#NAME?</v>
      </c>
      <c r="K957" s="100" t="e">
        <f t="shared" ca="1" si="174"/>
        <v>#NAME?</v>
      </c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 spans="1:26">
      <c r="A958" s="100" t="e">
        <f ca="1">IFERROR(__xludf.DUMMYFUNCTION("""COMPUTED_VALUE"""),58784293)</f>
        <v>#NAME?</v>
      </c>
      <c r="B958" s="100" t="e">
        <f ca="1">IFERROR(__xludf.DUMMYFUNCTION("""COMPUTED_VALUE"""),"LUNABTC")</f>
        <v>#NAME?</v>
      </c>
      <c r="C958" s="100" t="e">
        <f ca="1">IFERROR(__xludf.DUMMYFUNCTION("""COMPUTED_VALUE"""),"0.00000000")</f>
        <v>#NAME?</v>
      </c>
      <c r="D958" s="100" t="e">
        <f t="shared" ca="1" si="179"/>
        <v>#NAME?</v>
      </c>
      <c r="E958" s="100" t="e">
        <f t="shared" ca="1" si="179"/>
        <v>#NAME?</v>
      </c>
      <c r="F958" s="100" t="e">
        <f t="shared" ca="1" si="170"/>
        <v>#NAME?</v>
      </c>
      <c r="G958" s="100" t="e">
        <f t="shared" ca="1" si="171"/>
        <v>#NAME?</v>
      </c>
      <c r="H958" s="100" t="e">
        <f t="shared" ca="1" si="172"/>
        <v>#NAME?</v>
      </c>
      <c r="I958" s="100" t="e">
        <f t="shared" ca="1" si="173"/>
        <v>#NAME?</v>
      </c>
      <c r="J958" s="100" t="e">
        <f ca="1">IFERROR(__xludf.DUMMYFUNCTION("""COMPUTED_VALUE"""),"0")</f>
        <v>#NAME?</v>
      </c>
      <c r="K958" s="100" t="e">
        <f t="shared" ca="1" si="174"/>
        <v>#NAME?</v>
      </c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 spans="1:26">
      <c r="A959" s="100" t="e">
        <f ca="1">IFERROR(__xludf.DUMMYFUNCTION("""COMPUTED_VALUE"""),58784294)</f>
        <v>#NAME?</v>
      </c>
      <c r="B959" s="100" t="e">
        <f ca="1">IFERROR(__xludf.DUMMYFUNCTION("""COMPUTED_VALUE"""),"LUNABUSD")</f>
        <v>#NAME?</v>
      </c>
      <c r="C959" s="100" t="e">
        <f ca="1">IFERROR(__xludf.DUMMYFUNCTION("""COMPUTED_VALUE"""),"0.94420000")</f>
        <v>#NAME?</v>
      </c>
      <c r="D959" s="100" t="e">
        <f t="shared" ca="1" si="179"/>
        <v>#NAME?</v>
      </c>
      <c r="E959" s="100" t="e">
        <f t="shared" ca="1" si="179"/>
        <v>#NAME?</v>
      </c>
      <c r="F959" s="100" t="e">
        <f t="shared" ca="1" si="170"/>
        <v>#NAME?</v>
      </c>
      <c r="G959" s="100" t="e">
        <f t="shared" ca="1" si="171"/>
        <v>#NAME?</v>
      </c>
      <c r="H959" s="100" t="e">
        <f t="shared" ca="1" si="172"/>
        <v>#NAME?</v>
      </c>
      <c r="I959" s="100" t="e">
        <f t="shared" ca="1" si="173"/>
        <v>#NAME?</v>
      </c>
      <c r="J959" s="100" t="e">
        <f ca="1">IFERROR(__xludf.DUMMYFUNCTION("""COMPUTED_VALUE"""),"0")</f>
        <v>#NAME?</v>
      </c>
      <c r="K959" s="100" t="e">
        <f t="shared" ca="1" si="174"/>
        <v>#NAME?</v>
      </c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 spans="1:26">
      <c r="A960" s="100" t="e">
        <f ca="1">IFERROR(__xludf.DUMMYFUNCTION("""COMPUTED_VALUE"""),58784295)</f>
        <v>#NAME?</v>
      </c>
      <c r="B960" s="100" t="e">
        <f ca="1">IFERROR(__xludf.DUMMYFUNCTION("""COMPUTED_VALUE"""),"LUNAUSDT")</f>
        <v>#NAME?</v>
      </c>
      <c r="C960" s="100" t="e">
        <f ca="1">IFERROR(__xludf.DUMMYFUNCTION("""COMPUTED_VALUE"""),"0.16510000")</f>
        <v>#NAME?</v>
      </c>
      <c r="D960" s="100" t="e">
        <f t="shared" ca="1" si="179"/>
        <v>#NAME?</v>
      </c>
      <c r="E960" s="100" t="e">
        <f t="shared" ca="1" si="179"/>
        <v>#NAME?</v>
      </c>
      <c r="F960" s="100" t="e">
        <f t="shared" ca="1" si="170"/>
        <v>#NAME?</v>
      </c>
      <c r="G960" s="100" t="e">
        <f t="shared" ca="1" si="171"/>
        <v>#NAME?</v>
      </c>
      <c r="H960" s="100" t="e">
        <f t="shared" ca="1" si="172"/>
        <v>#NAME?</v>
      </c>
      <c r="I960" s="100" t="e">
        <f t="shared" ca="1" si="173"/>
        <v>#NAME?</v>
      </c>
      <c r="J960" s="100" t="e">
        <f ca="1">IFERROR(__xludf.DUMMYFUNCTION("""COMPUTED_VALUE"""),"-3.507")</f>
        <v>#NAME?</v>
      </c>
      <c r="K960" s="100" t="e">
        <f t="shared" ca="1" si="174"/>
        <v>#NAME?</v>
      </c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 spans="1:26">
      <c r="A961" s="100" t="e">
        <f ca="1">IFERROR(__xludf.DUMMYFUNCTION("""COMPUTED_VALUE"""),58784296)</f>
        <v>#NAME?</v>
      </c>
      <c r="B961" s="100" t="e">
        <f ca="1">IFERROR(__xludf.DUMMYFUNCTION("""COMPUTED_VALUE"""),"IDEXBTC")</f>
        <v>#NAME?</v>
      </c>
      <c r="C961" s="100" t="e">
        <f ca="1">IFERROR(__xludf.DUMMYFUNCTION("""COMPUTED_VALUE"""),"0.00000035")</f>
        <v>#NAME?</v>
      </c>
      <c r="D961" s="100" t="e">
        <f t="shared" ca="1" si="179"/>
        <v>#NAME?</v>
      </c>
      <c r="E961" s="100" t="e">
        <f t="shared" ca="1" si="179"/>
        <v>#NAME?</v>
      </c>
      <c r="F961" s="100" t="e">
        <f t="shared" ca="1" si="170"/>
        <v>#NAME?</v>
      </c>
      <c r="G961" s="100" t="e">
        <f t="shared" ca="1" si="171"/>
        <v>#NAME?</v>
      </c>
      <c r="H961" s="100" t="e">
        <f t="shared" ca="1" si="172"/>
        <v>#NAME?</v>
      </c>
      <c r="I961" s="100" t="e">
        <f t="shared" ca="1" si="173"/>
        <v>#NAME?</v>
      </c>
      <c r="J961" s="100" t="e">
        <f ca="1">IFERROR(__xludf.DUMMYFUNCTION("""COMPUTED_VALUE"""),"0")</f>
        <v>#NAME?</v>
      </c>
      <c r="K961" s="100" t="e">
        <f t="shared" ca="1" si="174"/>
        <v>#NAME?</v>
      </c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 spans="1:26">
      <c r="A962" s="100" t="e">
        <f ca="1">IFERROR(__xludf.DUMMYFUNCTION("""COMPUTED_VALUE"""),58784297)</f>
        <v>#NAME?</v>
      </c>
      <c r="B962" s="100" t="e">
        <f ca="1">IFERROR(__xludf.DUMMYFUNCTION("""COMPUTED_VALUE"""),"IDEXBUSD")</f>
        <v>#NAME?</v>
      </c>
      <c r="C962" s="100" t="e">
        <f ca="1">IFERROR(__xludf.DUMMYFUNCTION("""COMPUTED_VALUE"""),"0.04879000")</f>
        <v>#NAME?</v>
      </c>
      <c r="D962" s="100" t="e">
        <f t="shared" ref="D962:E981" ca="1" si="180">IFERROR(__xludf.DUMMYFUNCTION("""COMPUTED_VALUE"""),"-")</f>
        <v>#NAME?</v>
      </c>
      <c r="E962" s="100" t="e">
        <f t="shared" ca="1" si="180"/>
        <v>#NAME?</v>
      </c>
      <c r="F962" s="100" t="e">
        <f t="shared" ref="F962:F1025" ca="1" si="181">IFERROR(__xludf.DUMMYFUNCTION("""COMPUTED_VALUE"""),20200)</f>
        <v>#NAME?</v>
      </c>
      <c r="G962" s="100" t="e">
        <f t="shared" ref="G962:G1025" ca="1" si="182">IFERROR(__xludf.DUMMYFUNCTION("""COMPUTED_VALUE"""),2885)</f>
        <v>#NAME?</v>
      </c>
      <c r="H962" s="100" t="e">
        <f t="shared" ref="H962:H1025" ca="1" si="183">IFERROR(__xludf.DUMMYFUNCTION("""COMPUTED_VALUE"""),663)</f>
        <v>#NAME?</v>
      </c>
      <c r="I962" s="100" t="e">
        <f t="shared" ref="I962:I1025" ca="1" si="184">IFERROR(__xludf.DUMMYFUNCTION("""COMPUTED_VALUE"""),5817721)</f>
        <v>#NAME?</v>
      </c>
      <c r="J962" s="100" t="e">
        <f ca="1">IFERROR(__xludf.DUMMYFUNCTION("""COMPUTED_VALUE"""),"0")</f>
        <v>#NAME?</v>
      </c>
      <c r="K962" s="100" t="e">
        <f t="shared" ref="K962:K1025" ca="1" si="185">IFERROR(__xludf.DUMMYFUNCTION("""COMPUTED_VALUE"""),"22.04.2025 13:05:01")</f>
        <v>#NAME?</v>
      </c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 spans="1:26">
      <c r="A963" s="100" t="e">
        <f ca="1">IFERROR(__xludf.DUMMYFUNCTION("""COMPUTED_VALUE"""),58784298)</f>
        <v>#NAME?</v>
      </c>
      <c r="B963" s="100" t="e">
        <f ca="1">IFERROR(__xludf.DUMMYFUNCTION("""COMPUTED_VALUE"""),"RSRBNB")</f>
        <v>#NAME?</v>
      </c>
      <c r="C963" s="100" t="e">
        <f ca="1">IFERROR(__xludf.DUMMYFUNCTION("""COMPUTED_VALUE"""),"0.00000852")</f>
        <v>#NAME?</v>
      </c>
      <c r="D963" s="100" t="e">
        <f t="shared" ca="1" si="180"/>
        <v>#NAME?</v>
      </c>
      <c r="E963" s="100" t="e">
        <f t="shared" ca="1" si="180"/>
        <v>#NAME?</v>
      </c>
      <c r="F963" s="100" t="e">
        <f t="shared" ca="1" si="181"/>
        <v>#NAME?</v>
      </c>
      <c r="G963" s="100" t="e">
        <f t="shared" ca="1" si="182"/>
        <v>#NAME?</v>
      </c>
      <c r="H963" s="100" t="e">
        <f t="shared" ca="1" si="183"/>
        <v>#NAME?</v>
      </c>
      <c r="I963" s="100" t="e">
        <f t="shared" ca="1" si="184"/>
        <v>#NAME?</v>
      </c>
      <c r="J963" s="100" t="e">
        <f ca="1">IFERROR(__xludf.DUMMYFUNCTION("""COMPUTED_VALUE"""),"0")</f>
        <v>#NAME?</v>
      </c>
      <c r="K963" s="100" t="e">
        <f t="shared" ca="1" si="185"/>
        <v>#NAME?</v>
      </c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 spans="1:26">
      <c r="A964" s="100" t="e">
        <f ca="1">IFERROR(__xludf.DUMMYFUNCTION("""COMPUTED_VALUE"""),58784299)</f>
        <v>#NAME?</v>
      </c>
      <c r="B964" s="100" t="e">
        <f ca="1">IFERROR(__xludf.DUMMYFUNCTION("""COMPUTED_VALUE"""),"RSRBTC")</f>
        <v>#NAME?</v>
      </c>
      <c r="C964" s="100" t="e">
        <f ca="1">IFERROR(__xludf.DUMMYFUNCTION("""COMPUTED_VALUE"""),"0.00000000")</f>
        <v>#NAME?</v>
      </c>
      <c r="D964" s="100" t="e">
        <f t="shared" ca="1" si="180"/>
        <v>#NAME?</v>
      </c>
      <c r="E964" s="100" t="e">
        <f t="shared" ca="1" si="180"/>
        <v>#NAME?</v>
      </c>
      <c r="F964" s="100" t="e">
        <f t="shared" ca="1" si="181"/>
        <v>#NAME?</v>
      </c>
      <c r="G964" s="100" t="e">
        <f t="shared" ca="1" si="182"/>
        <v>#NAME?</v>
      </c>
      <c r="H964" s="100" t="e">
        <f t="shared" ca="1" si="183"/>
        <v>#NAME?</v>
      </c>
      <c r="I964" s="100" t="e">
        <f t="shared" ca="1" si="184"/>
        <v>#NAME?</v>
      </c>
      <c r="J964" s="100" t="e">
        <f ca="1">IFERROR(__xludf.DUMMYFUNCTION("""COMPUTED_VALUE"""),"0")</f>
        <v>#NAME?</v>
      </c>
      <c r="K964" s="100" t="e">
        <f t="shared" ca="1" si="185"/>
        <v>#NAME?</v>
      </c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 spans="1:26">
      <c r="A965" s="100" t="e">
        <f ca="1">IFERROR(__xludf.DUMMYFUNCTION("""COMPUTED_VALUE"""),58784300)</f>
        <v>#NAME?</v>
      </c>
      <c r="B965" s="100" t="e">
        <f ca="1">IFERROR(__xludf.DUMMYFUNCTION("""COMPUTED_VALUE"""),"RSRBUSD")</f>
        <v>#NAME?</v>
      </c>
      <c r="C965" s="100" t="e">
        <f ca="1">IFERROR(__xludf.DUMMYFUNCTION("""COMPUTED_VALUE"""),"0.00184000")</f>
        <v>#NAME?</v>
      </c>
      <c r="D965" s="100" t="e">
        <f t="shared" ca="1" si="180"/>
        <v>#NAME?</v>
      </c>
      <c r="E965" s="100" t="e">
        <f t="shared" ca="1" si="180"/>
        <v>#NAME?</v>
      </c>
      <c r="F965" s="100" t="e">
        <f t="shared" ca="1" si="181"/>
        <v>#NAME?</v>
      </c>
      <c r="G965" s="100" t="e">
        <f t="shared" ca="1" si="182"/>
        <v>#NAME?</v>
      </c>
      <c r="H965" s="100" t="e">
        <f t="shared" ca="1" si="183"/>
        <v>#NAME?</v>
      </c>
      <c r="I965" s="100" t="e">
        <f t="shared" ca="1" si="184"/>
        <v>#NAME?</v>
      </c>
      <c r="J965" s="100" t="e">
        <f ca="1">IFERROR(__xludf.DUMMYFUNCTION("""COMPUTED_VALUE"""),"0")</f>
        <v>#NAME?</v>
      </c>
      <c r="K965" s="100" t="e">
        <f t="shared" ca="1" si="185"/>
        <v>#NAME?</v>
      </c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 spans="1:26">
      <c r="A966" s="100" t="e">
        <f ca="1">IFERROR(__xludf.DUMMYFUNCTION("""COMPUTED_VALUE"""),58784301)</f>
        <v>#NAME?</v>
      </c>
      <c r="B966" s="100" t="e">
        <f ca="1">IFERROR(__xludf.DUMMYFUNCTION("""COMPUTED_VALUE"""),"RSRUSDT")</f>
        <v>#NAME?</v>
      </c>
      <c r="C966" s="100" t="e">
        <f ca="1">IFERROR(__xludf.DUMMYFUNCTION("""COMPUTED_VALUE"""),"0.00833100")</f>
        <v>#NAME?</v>
      </c>
      <c r="D966" s="100" t="e">
        <f t="shared" ca="1" si="180"/>
        <v>#NAME?</v>
      </c>
      <c r="E966" s="100" t="e">
        <f t="shared" ca="1" si="180"/>
        <v>#NAME?</v>
      </c>
      <c r="F966" s="100" t="e">
        <f t="shared" ca="1" si="181"/>
        <v>#NAME?</v>
      </c>
      <c r="G966" s="100" t="e">
        <f t="shared" ca="1" si="182"/>
        <v>#NAME?</v>
      </c>
      <c r="H966" s="100" t="e">
        <f t="shared" ca="1" si="183"/>
        <v>#NAME?</v>
      </c>
      <c r="I966" s="100" t="e">
        <f t="shared" ca="1" si="184"/>
        <v>#NAME?</v>
      </c>
      <c r="J966" s="100" t="e">
        <f ca="1">IFERROR(__xludf.DUMMYFUNCTION("""COMPUTED_VALUE"""),"10.432")</f>
        <v>#NAME?</v>
      </c>
      <c r="K966" s="100" t="e">
        <f t="shared" ca="1" si="185"/>
        <v>#NAME?</v>
      </c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 spans="1:26">
      <c r="A967" s="100" t="e">
        <f ca="1">IFERROR(__xludf.DUMMYFUNCTION("""COMPUTED_VALUE"""),58784302)</f>
        <v>#NAME?</v>
      </c>
      <c r="B967" s="100" t="e">
        <f ca="1">IFERROR(__xludf.DUMMYFUNCTION("""COMPUTED_VALUE"""),"PAXGBNB")</f>
        <v>#NAME?</v>
      </c>
      <c r="C967" s="100" t="e">
        <f ca="1">IFERROR(__xludf.DUMMYFUNCTION("""COMPUTED_VALUE"""),"6.46900000")</f>
        <v>#NAME?</v>
      </c>
      <c r="D967" s="100" t="e">
        <f t="shared" ca="1" si="180"/>
        <v>#NAME?</v>
      </c>
      <c r="E967" s="100" t="e">
        <f t="shared" ca="1" si="180"/>
        <v>#NAME?</v>
      </c>
      <c r="F967" s="100" t="e">
        <f t="shared" ca="1" si="181"/>
        <v>#NAME?</v>
      </c>
      <c r="G967" s="100" t="e">
        <f t="shared" ca="1" si="182"/>
        <v>#NAME?</v>
      </c>
      <c r="H967" s="100" t="e">
        <f t="shared" ca="1" si="183"/>
        <v>#NAME?</v>
      </c>
      <c r="I967" s="100" t="e">
        <f t="shared" ca="1" si="184"/>
        <v>#NAME?</v>
      </c>
      <c r="J967" s="100" t="e">
        <f ca="1">IFERROR(__xludf.DUMMYFUNCTION("""COMPUTED_VALUE"""),"0")</f>
        <v>#NAME?</v>
      </c>
      <c r="K967" s="100" t="e">
        <f t="shared" ca="1" si="185"/>
        <v>#NAME?</v>
      </c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 spans="1:26">
      <c r="A968" s="100" t="e">
        <f ca="1">IFERROR(__xludf.DUMMYFUNCTION("""COMPUTED_VALUE"""),58784303)</f>
        <v>#NAME?</v>
      </c>
      <c r="B968" s="100" t="e">
        <f ca="1">IFERROR(__xludf.DUMMYFUNCTION("""COMPUTED_VALUE"""),"PAXGBTC")</f>
        <v>#NAME?</v>
      </c>
      <c r="C968" s="100" t="e">
        <f ca="1">IFERROR(__xludf.DUMMYFUNCTION("""COMPUTED_VALUE"""),"0.03932000")</f>
        <v>#NAME?</v>
      </c>
      <c r="D968" s="100" t="e">
        <f t="shared" ca="1" si="180"/>
        <v>#NAME?</v>
      </c>
      <c r="E968" s="100" t="e">
        <f t="shared" ca="1" si="180"/>
        <v>#NAME?</v>
      </c>
      <c r="F968" s="100" t="e">
        <f t="shared" ca="1" si="181"/>
        <v>#NAME?</v>
      </c>
      <c r="G968" s="100" t="e">
        <f t="shared" ca="1" si="182"/>
        <v>#NAME?</v>
      </c>
      <c r="H968" s="100" t="e">
        <f t="shared" ca="1" si="183"/>
        <v>#NAME?</v>
      </c>
      <c r="I968" s="100" t="e">
        <f t="shared" ca="1" si="184"/>
        <v>#NAME?</v>
      </c>
      <c r="J968" s="100" t="e">
        <f ca="1">IFERROR(__xludf.DUMMYFUNCTION("""COMPUTED_VALUE"""),"0.434")</f>
        <v>#NAME?</v>
      </c>
      <c r="K968" s="100" t="e">
        <f t="shared" ca="1" si="185"/>
        <v>#NAME?</v>
      </c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 spans="1:26">
      <c r="A969" s="100" t="e">
        <f ca="1">IFERROR(__xludf.DUMMYFUNCTION("""COMPUTED_VALUE"""),58784304)</f>
        <v>#NAME?</v>
      </c>
      <c r="B969" s="100" t="e">
        <f ca="1">IFERROR(__xludf.DUMMYFUNCTION("""COMPUTED_VALUE"""),"PAXGBUSD")</f>
        <v>#NAME?</v>
      </c>
      <c r="C969" s="100" t="e">
        <f ca="1">IFERROR(__xludf.DUMMYFUNCTION("""COMPUTED_VALUE"""),"1941.00000000")</f>
        <v>#NAME?</v>
      </c>
      <c r="D969" s="100" t="e">
        <f t="shared" ca="1" si="180"/>
        <v>#NAME?</v>
      </c>
      <c r="E969" s="100" t="e">
        <f t="shared" ca="1" si="180"/>
        <v>#NAME?</v>
      </c>
      <c r="F969" s="100" t="e">
        <f t="shared" ca="1" si="181"/>
        <v>#NAME?</v>
      </c>
      <c r="G969" s="100" t="e">
        <f t="shared" ca="1" si="182"/>
        <v>#NAME?</v>
      </c>
      <c r="H969" s="100" t="e">
        <f t="shared" ca="1" si="183"/>
        <v>#NAME?</v>
      </c>
      <c r="I969" s="100" t="e">
        <f t="shared" ca="1" si="184"/>
        <v>#NAME?</v>
      </c>
      <c r="J969" s="100" t="e">
        <f ca="1">IFERROR(__xludf.DUMMYFUNCTION("""COMPUTED_VALUE"""),"0")</f>
        <v>#NAME?</v>
      </c>
      <c r="K969" s="100" t="e">
        <f t="shared" ca="1" si="185"/>
        <v>#NAME?</v>
      </c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 spans="1:26">
      <c r="A970" s="100" t="e">
        <f ca="1">IFERROR(__xludf.DUMMYFUNCTION("""COMPUTED_VALUE"""),58784305)</f>
        <v>#NAME?</v>
      </c>
      <c r="B970" s="100" t="e">
        <f ca="1">IFERROR(__xludf.DUMMYFUNCTION("""COMPUTED_VALUE"""),"PAXGUSDT")</f>
        <v>#NAME?</v>
      </c>
      <c r="C970" s="100" t="e">
        <f ca="1">IFERROR(__xludf.DUMMYFUNCTION("""COMPUTED_VALUE"""),"3484.00000000")</f>
        <v>#NAME?</v>
      </c>
      <c r="D970" s="100" t="e">
        <f t="shared" ca="1" si="180"/>
        <v>#NAME?</v>
      </c>
      <c r="E970" s="100" t="e">
        <f t="shared" ca="1" si="180"/>
        <v>#NAME?</v>
      </c>
      <c r="F970" s="100" t="e">
        <f t="shared" ca="1" si="181"/>
        <v>#NAME?</v>
      </c>
      <c r="G970" s="100" t="e">
        <f t="shared" ca="1" si="182"/>
        <v>#NAME?</v>
      </c>
      <c r="H970" s="100" t="e">
        <f t="shared" ca="1" si="183"/>
        <v>#NAME?</v>
      </c>
      <c r="I970" s="100" t="e">
        <f t="shared" ca="1" si="184"/>
        <v>#NAME?</v>
      </c>
      <c r="J970" s="100" t="e">
        <f ca="1">IFERROR(__xludf.DUMMYFUNCTION("""COMPUTED_VALUE"""),"1.752")</f>
        <v>#NAME?</v>
      </c>
      <c r="K970" s="100" t="e">
        <f t="shared" ca="1" si="185"/>
        <v>#NAME?</v>
      </c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 spans="1:26">
      <c r="A971" s="100" t="e">
        <f ca="1">IFERROR(__xludf.DUMMYFUNCTION("""COMPUTED_VALUE"""),58784306)</f>
        <v>#NAME?</v>
      </c>
      <c r="B971" s="100" t="e">
        <f ca="1">IFERROR(__xludf.DUMMYFUNCTION("""COMPUTED_VALUE"""),"WNXMBNB")</f>
        <v>#NAME?</v>
      </c>
      <c r="C971" s="100" t="e">
        <f ca="1">IFERROR(__xludf.DUMMYFUNCTION("""COMPUTED_VALUE"""),"0.00000000")</f>
        <v>#NAME?</v>
      </c>
      <c r="D971" s="100" t="e">
        <f t="shared" ca="1" si="180"/>
        <v>#NAME?</v>
      </c>
      <c r="E971" s="100" t="e">
        <f t="shared" ca="1" si="180"/>
        <v>#NAME?</v>
      </c>
      <c r="F971" s="100" t="e">
        <f t="shared" ca="1" si="181"/>
        <v>#NAME?</v>
      </c>
      <c r="G971" s="100" t="e">
        <f t="shared" ca="1" si="182"/>
        <v>#NAME?</v>
      </c>
      <c r="H971" s="100" t="e">
        <f t="shared" ca="1" si="183"/>
        <v>#NAME?</v>
      </c>
      <c r="I971" s="100" t="e">
        <f t="shared" ca="1" si="184"/>
        <v>#NAME?</v>
      </c>
      <c r="J971" s="100" t="e">
        <f ca="1">IFERROR(__xludf.DUMMYFUNCTION("""COMPUTED_VALUE"""),"0")</f>
        <v>#NAME?</v>
      </c>
      <c r="K971" s="100" t="e">
        <f t="shared" ca="1" si="185"/>
        <v>#NAME?</v>
      </c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 spans="1:26">
      <c r="A972" s="100" t="e">
        <f ca="1">IFERROR(__xludf.DUMMYFUNCTION("""COMPUTED_VALUE"""),58784307)</f>
        <v>#NAME?</v>
      </c>
      <c r="B972" s="100" t="e">
        <f ca="1">IFERROR(__xludf.DUMMYFUNCTION("""COMPUTED_VALUE"""),"WNXMBTC")</f>
        <v>#NAME?</v>
      </c>
      <c r="C972" s="100" t="e">
        <f ca="1">IFERROR(__xludf.DUMMYFUNCTION("""COMPUTED_VALUE"""),"0.00000000")</f>
        <v>#NAME?</v>
      </c>
      <c r="D972" s="100" t="e">
        <f t="shared" ca="1" si="180"/>
        <v>#NAME?</v>
      </c>
      <c r="E972" s="100" t="e">
        <f t="shared" ca="1" si="180"/>
        <v>#NAME?</v>
      </c>
      <c r="F972" s="100" t="e">
        <f t="shared" ca="1" si="181"/>
        <v>#NAME?</v>
      </c>
      <c r="G972" s="100" t="e">
        <f t="shared" ca="1" si="182"/>
        <v>#NAME?</v>
      </c>
      <c r="H972" s="100" t="e">
        <f t="shared" ca="1" si="183"/>
        <v>#NAME?</v>
      </c>
      <c r="I972" s="100" t="e">
        <f t="shared" ca="1" si="184"/>
        <v>#NAME?</v>
      </c>
      <c r="J972" s="100" t="e">
        <f ca="1">IFERROR(__xludf.DUMMYFUNCTION("""COMPUTED_VALUE"""),"0")</f>
        <v>#NAME?</v>
      </c>
      <c r="K972" s="100" t="e">
        <f t="shared" ca="1" si="185"/>
        <v>#NAME?</v>
      </c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 spans="1:26">
      <c r="A973" s="100" t="e">
        <f ca="1">IFERROR(__xludf.DUMMYFUNCTION("""COMPUTED_VALUE"""),58784308)</f>
        <v>#NAME?</v>
      </c>
      <c r="B973" s="100" t="e">
        <f ca="1">IFERROR(__xludf.DUMMYFUNCTION("""COMPUTED_VALUE"""),"WNXMBUSD")</f>
        <v>#NAME?</v>
      </c>
      <c r="C973" s="100" t="e">
        <f ca="1">IFERROR(__xludf.DUMMYFUNCTION("""COMPUTED_VALUE"""),"0.00000000")</f>
        <v>#NAME?</v>
      </c>
      <c r="D973" s="100" t="e">
        <f t="shared" ca="1" si="180"/>
        <v>#NAME?</v>
      </c>
      <c r="E973" s="100" t="e">
        <f t="shared" ca="1" si="180"/>
        <v>#NAME?</v>
      </c>
      <c r="F973" s="100" t="e">
        <f t="shared" ca="1" si="181"/>
        <v>#NAME?</v>
      </c>
      <c r="G973" s="100" t="e">
        <f t="shared" ca="1" si="182"/>
        <v>#NAME?</v>
      </c>
      <c r="H973" s="100" t="e">
        <f t="shared" ca="1" si="183"/>
        <v>#NAME?</v>
      </c>
      <c r="I973" s="100" t="e">
        <f t="shared" ca="1" si="184"/>
        <v>#NAME?</v>
      </c>
      <c r="J973" s="100" t="e">
        <f ca="1">IFERROR(__xludf.DUMMYFUNCTION("""COMPUTED_VALUE"""),"0")</f>
        <v>#NAME?</v>
      </c>
      <c r="K973" s="100" t="e">
        <f t="shared" ca="1" si="185"/>
        <v>#NAME?</v>
      </c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 spans="1:26">
      <c r="A974" s="100" t="e">
        <f ca="1">IFERROR(__xludf.DUMMYFUNCTION("""COMPUTED_VALUE"""),58784309)</f>
        <v>#NAME?</v>
      </c>
      <c r="B974" s="100" t="e">
        <f ca="1">IFERROR(__xludf.DUMMYFUNCTION("""COMPUTED_VALUE"""),"WNXMUSDT")</f>
        <v>#NAME?</v>
      </c>
      <c r="C974" s="100" t="e">
        <f ca="1">IFERROR(__xludf.DUMMYFUNCTION("""COMPUTED_VALUE"""),"73.26000000")</f>
        <v>#NAME?</v>
      </c>
      <c r="D974" s="100" t="e">
        <f t="shared" ca="1" si="180"/>
        <v>#NAME?</v>
      </c>
      <c r="E974" s="100" t="e">
        <f t="shared" ca="1" si="180"/>
        <v>#NAME?</v>
      </c>
      <c r="F974" s="100" t="e">
        <f t="shared" ca="1" si="181"/>
        <v>#NAME?</v>
      </c>
      <c r="G974" s="100" t="e">
        <f t="shared" ca="1" si="182"/>
        <v>#NAME?</v>
      </c>
      <c r="H974" s="100" t="e">
        <f t="shared" ca="1" si="183"/>
        <v>#NAME?</v>
      </c>
      <c r="I974" s="100" t="e">
        <f t="shared" ca="1" si="184"/>
        <v>#NAME?</v>
      </c>
      <c r="J974" s="100" t="e">
        <f ca="1">IFERROR(__xludf.DUMMYFUNCTION("""COMPUTED_VALUE"""),"0")</f>
        <v>#NAME?</v>
      </c>
      <c r="K974" s="100" t="e">
        <f t="shared" ca="1" si="185"/>
        <v>#NAME?</v>
      </c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 spans="1:26">
      <c r="A975" s="100" t="e">
        <f ca="1">IFERROR(__xludf.DUMMYFUNCTION("""COMPUTED_VALUE"""),58784310)</f>
        <v>#NAME?</v>
      </c>
      <c r="B975" s="100" t="e">
        <f ca="1">IFERROR(__xludf.DUMMYFUNCTION("""COMPUTED_VALUE"""),"TRBBNB")</f>
        <v>#NAME?</v>
      </c>
      <c r="C975" s="100" t="e">
        <f ca="1">IFERROR(__xludf.DUMMYFUNCTION("""COMPUTED_VALUE"""),"0.00000000")</f>
        <v>#NAME?</v>
      </c>
      <c r="D975" s="100" t="e">
        <f t="shared" ca="1" si="180"/>
        <v>#NAME?</v>
      </c>
      <c r="E975" s="100" t="e">
        <f t="shared" ca="1" si="180"/>
        <v>#NAME?</v>
      </c>
      <c r="F975" s="100" t="e">
        <f t="shared" ca="1" si="181"/>
        <v>#NAME?</v>
      </c>
      <c r="G975" s="100" t="e">
        <f t="shared" ca="1" si="182"/>
        <v>#NAME?</v>
      </c>
      <c r="H975" s="100" t="e">
        <f t="shared" ca="1" si="183"/>
        <v>#NAME?</v>
      </c>
      <c r="I975" s="100" t="e">
        <f t="shared" ca="1" si="184"/>
        <v>#NAME?</v>
      </c>
      <c r="J975" s="100" t="e">
        <f ca="1">IFERROR(__xludf.DUMMYFUNCTION("""COMPUTED_VALUE"""),"0")</f>
        <v>#NAME?</v>
      </c>
      <c r="K975" s="100" t="e">
        <f t="shared" ca="1" si="185"/>
        <v>#NAME?</v>
      </c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 spans="1:26">
      <c r="A976" s="100" t="e">
        <f ca="1">IFERROR(__xludf.DUMMYFUNCTION("""COMPUTED_VALUE"""),58784311)</f>
        <v>#NAME?</v>
      </c>
      <c r="B976" s="100" t="e">
        <f ca="1">IFERROR(__xludf.DUMMYFUNCTION("""COMPUTED_VALUE"""),"TRBBTC")</f>
        <v>#NAME?</v>
      </c>
      <c r="C976" s="100" t="e">
        <f ca="1">IFERROR(__xludf.DUMMYFUNCTION("""COMPUTED_VALUE"""),"0.00029200")</f>
        <v>#NAME?</v>
      </c>
      <c r="D976" s="100" t="e">
        <f t="shared" ca="1" si="180"/>
        <v>#NAME?</v>
      </c>
      <c r="E976" s="100" t="e">
        <f t="shared" ca="1" si="180"/>
        <v>#NAME?</v>
      </c>
      <c r="F976" s="100" t="e">
        <f t="shared" ca="1" si="181"/>
        <v>#NAME?</v>
      </c>
      <c r="G976" s="100" t="e">
        <f t="shared" ca="1" si="182"/>
        <v>#NAME?</v>
      </c>
      <c r="H976" s="100" t="e">
        <f t="shared" ca="1" si="183"/>
        <v>#NAME?</v>
      </c>
      <c r="I976" s="100" t="e">
        <f t="shared" ca="1" si="184"/>
        <v>#NAME?</v>
      </c>
      <c r="J976" s="100" t="e">
        <f ca="1">IFERROR(__xludf.DUMMYFUNCTION("""COMPUTED_VALUE"""),"-5.502")</f>
        <v>#NAME?</v>
      </c>
      <c r="K976" s="100" t="e">
        <f t="shared" ca="1" si="185"/>
        <v>#NAME?</v>
      </c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 spans="1:26">
      <c r="A977" s="100" t="e">
        <f ca="1">IFERROR(__xludf.DUMMYFUNCTION("""COMPUTED_VALUE"""),58784312)</f>
        <v>#NAME?</v>
      </c>
      <c r="B977" s="100" t="e">
        <f ca="1">IFERROR(__xludf.DUMMYFUNCTION("""COMPUTED_VALUE"""),"TRBBUSD")</f>
        <v>#NAME?</v>
      </c>
      <c r="C977" s="100" t="e">
        <f ca="1">IFERROR(__xludf.DUMMYFUNCTION("""COMPUTED_VALUE"""),"90.12000000")</f>
        <v>#NAME?</v>
      </c>
      <c r="D977" s="100" t="e">
        <f t="shared" ca="1" si="180"/>
        <v>#NAME?</v>
      </c>
      <c r="E977" s="100" t="e">
        <f t="shared" ca="1" si="180"/>
        <v>#NAME?</v>
      </c>
      <c r="F977" s="100" t="e">
        <f t="shared" ca="1" si="181"/>
        <v>#NAME?</v>
      </c>
      <c r="G977" s="100" t="e">
        <f t="shared" ca="1" si="182"/>
        <v>#NAME?</v>
      </c>
      <c r="H977" s="100" t="e">
        <f t="shared" ca="1" si="183"/>
        <v>#NAME?</v>
      </c>
      <c r="I977" s="100" t="e">
        <f t="shared" ca="1" si="184"/>
        <v>#NAME?</v>
      </c>
      <c r="J977" s="100" t="e">
        <f ca="1">IFERROR(__xludf.DUMMYFUNCTION("""COMPUTED_VALUE"""),"0")</f>
        <v>#NAME?</v>
      </c>
      <c r="K977" s="100" t="e">
        <f t="shared" ca="1" si="185"/>
        <v>#NAME?</v>
      </c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 spans="1:26">
      <c r="A978" s="100" t="e">
        <f ca="1">IFERROR(__xludf.DUMMYFUNCTION("""COMPUTED_VALUE"""),58784313)</f>
        <v>#NAME?</v>
      </c>
      <c r="B978" s="100" t="e">
        <f ca="1">IFERROR(__xludf.DUMMYFUNCTION("""COMPUTED_VALUE"""),"TRBUSDT")</f>
        <v>#NAME?</v>
      </c>
      <c r="C978" s="100" t="e">
        <f ca="1">IFERROR(__xludf.DUMMYFUNCTION("""COMPUTED_VALUE"""),"25.86000000")</f>
        <v>#NAME?</v>
      </c>
      <c r="D978" s="100" t="e">
        <f t="shared" ca="1" si="180"/>
        <v>#NAME?</v>
      </c>
      <c r="E978" s="100" t="e">
        <f t="shared" ca="1" si="180"/>
        <v>#NAME?</v>
      </c>
      <c r="F978" s="100" t="e">
        <f t="shared" ca="1" si="181"/>
        <v>#NAME?</v>
      </c>
      <c r="G978" s="100" t="e">
        <f t="shared" ca="1" si="182"/>
        <v>#NAME?</v>
      </c>
      <c r="H978" s="100" t="e">
        <f t="shared" ca="1" si="183"/>
        <v>#NAME?</v>
      </c>
      <c r="I978" s="100" t="e">
        <f t="shared" ca="1" si="184"/>
        <v>#NAME?</v>
      </c>
      <c r="J978" s="100" t="e">
        <f ca="1">IFERROR(__xludf.DUMMYFUNCTION("""COMPUTED_VALUE"""),"-3.399")</f>
        <v>#NAME?</v>
      </c>
      <c r="K978" s="100" t="e">
        <f t="shared" ca="1" si="185"/>
        <v>#NAME?</v>
      </c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 spans="1:26">
      <c r="A979" s="100" t="e">
        <f ca="1">IFERROR(__xludf.DUMMYFUNCTION("""COMPUTED_VALUE"""),58784314)</f>
        <v>#NAME?</v>
      </c>
      <c r="B979" s="100" t="e">
        <f ca="1">IFERROR(__xludf.DUMMYFUNCTION("""COMPUTED_VALUE"""),"ETHNGN")</f>
        <v>#NAME?</v>
      </c>
      <c r="C979" s="100" t="e">
        <f ca="1">IFERROR(__xludf.DUMMYFUNCTION("""COMPUTED_VALUE"""),"0.00000000")</f>
        <v>#NAME?</v>
      </c>
      <c r="D979" s="100" t="e">
        <f t="shared" ca="1" si="180"/>
        <v>#NAME?</v>
      </c>
      <c r="E979" s="100" t="e">
        <f t="shared" ca="1" si="180"/>
        <v>#NAME?</v>
      </c>
      <c r="F979" s="100" t="e">
        <f t="shared" ca="1" si="181"/>
        <v>#NAME?</v>
      </c>
      <c r="G979" s="100" t="e">
        <f t="shared" ca="1" si="182"/>
        <v>#NAME?</v>
      </c>
      <c r="H979" s="100" t="e">
        <f t="shared" ca="1" si="183"/>
        <v>#NAME?</v>
      </c>
      <c r="I979" s="100" t="e">
        <f t="shared" ca="1" si="184"/>
        <v>#NAME?</v>
      </c>
      <c r="J979" s="100" t="e">
        <f t="shared" ref="J979:J986" ca="1" si="186">IFERROR(__xludf.DUMMYFUNCTION("""COMPUTED_VALUE"""),"0")</f>
        <v>#NAME?</v>
      </c>
      <c r="K979" s="100" t="e">
        <f t="shared" ca="1" si="185"/>
        <v>#NAME?</v>
      </c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 spans="1:26">
      <c r="A980" s="100" t="e">
        <f ca="1">IFERROR(__xludf.DUMMYFUNCTION("""COMPUTED_VALUE"""),58784315)</f>
        <v>#NAME?</v>
      </c>
      <c r="B980" s="100" t="e">
        <f ca="1">IFERROR(__xludf.DUMMYFUNCTION("""COMPUTED_VALUE"""),"DOTBIDR")</f>
        <v>#NAME?</v>
      </c>
      <c r="C980" s="100" t="e">
        <f ca="1">IFERROR(__xludf.DUMMYFUNCTION("""COMPUTED_VALUE"""),"72297.00")</f>
        <v>#NAME?</v>
      </c>
      <c r="D980" s="100" t="e">
        <f t="shared" ca="1" si="180"/>
        <v>#NAME?</v>
      </c>
      <c r="E980" s="100" t="e">
        <f t="shared" ca="1" si="180"/>
        <v>#NAME?</v>
      </c>
      <c r="F980" s="100" t="e">
        <f t="shared" ca="1" si="181"/>
        <v>#NAME?</v>
      </c>
      <c r="G980" s="100" t="e">
        <f t="shared" ca="1" si="182"/>
        <v>#NAME?</v>
      </c>
      <c r="H980" s="100" t="e">
        <f t="shared" ca="1" si="183"/>
        <v>#NAME?</v>
      </c>
      <c r="I980" s="100" t="e">
        <f t="shared" ca="1" si="184"/>
        <v>#NAME?</v>
      </c>
      <c r="J980" s="100" t="e">
        <f t="shared" ca="1" si="186"/>
        <v>#NAME?</v>
      </c>
      <c r="K980" s="100" t="e">
        <f t="shared" ca="1" si="185"/>
        <v>#NAME?</v>
      </c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 spans="1:26">
      <c r="A981" s="100" t="e">
        <f ca="1">IFERROR(__xludf.DUMMYFUNCTION("""COMPUTED_VALUE"""),58784316)</f>
        <v>#NAME?</v>
      </c>
      <c r="B981" s="100" t="e">
        <f ca="1">IFERROR(__xludf.DUMMYFUNCTION("""COMPUTED_VALUE"""),"LINKAUD")</f>
        <v>#NAME?</v>
      </c>
      <c r="C981" s="100" t="e">
        <f ca="1">IFERROR(__xludf.DUMMYFUNCTION("""COMPUTED_VALUE"""),"7.98600000")</f>
        <v>#NAME?</v>
      </c>
      <c r="D981" s="100" t="e">
        <f t="shared" ca="1" si="180"/>
        <v>#NAME?</v>
      </c>
      <c r="E981" s="100" t="e">
        <f t="shared" ca="1" si="180"/>
        <v>#NAME?</v>
      </c>
      <c r="F981" s="100" t="e">
        <f t="shared" ca="1" si="181"/>
        <v>#NAME?</v>
      </c>
      <c r="G981" s="100" t="e">
        <f t="shared" ca="1" si="182"/>
        <v>#NAME?</v>
      </c>
      <c r="H981" s="100" t="e">
        <f t="shared" ca="1" si="183"/>
        <v>#NAME?</v>
      </c>
      <c r="I981" s="100" t="e">
        <f t="shared" ca="1" si="184"/>
        <v>#NAME?</v>
      </c>
      <c r="J981" s="100" t="e">
        <f t="shared" ca="1" si="186"/>
        <v>#NAME?</v>
      </c>
      <c r="K981" s="100" t="e">
        <f t="shared" ca="1" si="185"/>
        <v>#NAME?</v>
      </c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 spans="1:26">
      <c r="A982" s="100" t="e">
        <f ca="1">IFERROR(__xludf.DUMMYFUNCTION("""COMPUTED_VALUE"""),58784317)</f>
        <v>#NAME?</v>
      </c>
      <c r="B982" s="100" t="e">
        <f ca="1">IFERROR(__xludf.DUMMYFUNCTION("""COMPUTED_VALUE"""),"SXPAUD")</f>
        <v>#NAME?</v>
      </c>
      <c r="C982" s="100" t="e">
        <f ca="1">IFERROR(__xludf.DUMMYFUNCTION("""COMPUTED_VALUE"""),"0.00000000")</f>
        <v>#NAME?</v>
      </c>
      <c r="D982" s="100" t="e">
        <f t="shared" ref="D982:E1001" ca="1" si="187">IFERROR(__xludf.DUMMYFUNCTION("""COMPUTED_VALUE"""),"-")</f>
        <v>#NAME?</v>
      </c>
      <c r="E982" s="100" t="e">
        <f t="shared" ca="1" si="187"/>
        <v>#NAME?</v>
      </c>
      <c r="F982" s="100" t="e">
        <f t="shared" ca="1" si="181"/>
        <v>#NAME?</v>
      </c>
      <c r="G982" s="100" t="e">
        <f t="shared" ca="1" si="182"/>
        <v>#NAME?</v>
      </c>
      <c r="H982" s="100" t="e">
        <f t="shared" ca="1" si="183"/>
        <v>#NAME?</v>
      </c>
      <c r="I982" s="100" t="e">
        <f t="shared" ca="1" si="184"/>
        <v>#NAME?</v>
      </c>
      <c r="J982" s="100" t="e">
        <f t="shared" ca="1" si="186"/>
        <v>#NAME?</v>
      </c>
      <c r="K982" s="100" t="e">
        <f t="shared" ca="1" si="185"/>
        <v>#NAME?</v>
      </c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 spans="1:26">
      <c r="A983" s="100" t="e">
        <f ca="1">IFERROR(__xludf.DUMMYFUNCTION("""COMPUTED_VALUE"""),58784318)</f>
        <v>#NAME?</v>
      </c>
      <c r="B983" s="100" t="e">
        <f ca="1">IFERROR(__xludf.DUMMYFUNCTION("""COMPUTED_VALUE"""),"BZRXBNB")</f>
        <v>#NAME?</v>
      </c>
      <c r="C983" s="100" t="e">
        <f ca="1">IFERROR(__xludf.DUMMYFUNCTION("""COMPUTED_VALUE"""),"0.00000000")</f>
        <v>#NAME?</v>
      </c>
      <c r="D983" s="100" t="e">
        <f t="shared" ca="1" si="187"/>
        <v>#NAME?</v>
      </c>
      <c r="E983" s="100" t="e">
        <f t="shared" ca="1" si="187"/>
        <v>#NAME?</v>
      </c>
      <c r="F983" s="100" t="e">
        <f t="shared" ca="1" si="181"/>
        <v>#NAME?</v>
      </c>
      <c r="G983" s="100" t="e">
        <f t="shared" ca="1" si="182"/>
        <v>#NAME?</v>
      </c>
      <c r="H983" s="100" t="e">
        <f t="shared" ca="1" si="183"/>
        <v>#NAME?</v>
      </c>
      <c r="I983" s="100" t="e">
        <f t="shared" ca="1" si="184"/>
        <v>#NAME?</v>
      </c>
      <c r="J983" s="100" t="e">
        <f t="shared" ca="1" si="186"/>
        <v>#NAME?</v>
      </c>
      <c r="K983" s="100" t="e">
        <f t="shared" ca="1" si="185"/>
        <v>#NAME?</v>
      </c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 spans="1:26">
      <c r="A984" s="100" t="e">
        <f ca="1">IFERROR(__xludf.DUMMYFUNCTION("""COMPUTED_VALUE"""),58784319)</f>
        <v>#NAME?</v>
      </c>
      <c r="B984" s="100" t="e">
        <f ca="1">IFERROR(__xludf.DUMMYFUNCTION("""COMPUTED_VALUE"""),"BZRXBTC")</f>
        <v>#NAME?</v>
      </c>
      <c r="C984" s="100" t="e">
        <f ca="1">IFERROR(__xludf.DUMMYFUNCTION("""COMPUTED_VALUE"""),"0.00000000")</f>
        <v>#NAME?</v>
      </c>
      <c r="D984" s="100" t="e">
        <f t="shared" ca="1" si="187"/>
        <v>#NAME?</v>
      </c>
      <c r="E984" s="100" t="e">
        <f t="shared" ca="1" si="187"/>
        <v>#NAME?</v>
      </c>
      <c r="F984" s="100" t="e">
        <f t="shared" ca="1" si="181"/>
        <v>#NAME?</v>
      </c>
      <c r="G984" s="100" t="e">
        <f t="shared" ca="1" si="182"/>
        <v>#NAME?</v>
      </c>
      <c r="H984" s="100" t="e">
        <f t="shared" ca="1" si="183"/>
        <v>#NAME?</v>
      </c>
      <c r="I984" s="100" t="e">
        <f t="shared" ca="1" si="184"/>
        <v>#NAME?</v>
      </c>
      <c r="J984" s="100" t="e">
        <f t="shared" ca="1" si="186"/>
        <v>#NAME?</v>
      </c>
      <c r="K984" s="100" t="e">
        <f t="shared" ca="1" si="185"/>
        <v>#NAME?</v>
      </c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 spans="1:26">
      <c r="A985" s="100" t="e">
        <f ca="1">IFERROR(__xludf.DUMMYFUNCTION("""COMPUTED_VALUE"""),58784320)</f>
        <v>#NAME?</v>
      </c>
      <c r="B985" s="100" t="e">
        <f ca="1">IFERROR(__xludf.DUMMYFUNCTION("""COMPUTED_VALUE"""),"BZRXBUSD")</f>
        <v>#NAME?</v>
      </c>
      <c r="C985" s="100" t="e">
        <f ca="1">IFERROR(__xludf.DUMMYFUNCTION("""COMPUTED_VALUE"""),"0.00000000")</f>
        <v>#NAME?</v>
      </c>
      <c r="D985" s="100" t="e">
        <f t="shared" ca="1" si="187"/>
        <v>#NAME?</v>
      </c>
      <c r="E985" s="100" t="e">
        <f t="shared" ca="1" si="187"/>
        <v>#NAME?</v>
      </c>
      <c r="F985" s="100" t="e">
        <f t="shared" ca="1" si="181"/>
        <v>#NAME?</v>
      </c>
      <c r="G985" s="100" t="e">
        <f t="shared" ca="1" si="182"/>
        <v>#NAME?</v>
      </c>
      <c r="H985" s="100" t="e">
        <f t="shared" ca="1" si="183"/>
        <v>#NAME?</v>
      </c>
      <c r="I985" s="100" t="e">
        <f t="shared" ca="1" si="184"/>
        <v>#NAME?</v>
      </c>
      <c r="J985" s="100" t="e">
        <f t="shared" ca="1" si="186"/>
        <v>#NAME?</v>
      </c>
      <c r="K985" s="100" t="e">
        <f t="shared" ca="1" si="185"/>
        <v>#NAME?</v>
      </c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 spans="1:26">
      <c r="A986" s="100" t="e">
        <f ca="1">IFERROR(__xludf.DUMMYFUNCTION("""COMPUTED_VALUE"""),58784321)</f>
        <v>#NAME?</v>
      </c>
      <c r="B986" s="100" t="e">
        <f ca="1">IFERROR(__xludf.DUMMYFUNCTION("""COMPUTED_VALUE"""),"BZRXUSDT")</f>
        <v>#NAME?</v>
      </c>
      <c r="C986" s="100" t="e">
        <f ca="1">IFERROR(__xludf.DUMMYFUNCTION("""COMPUTED_VALUE"""),"0.00000000")</f>
        <v>#NAME?</v>
      </c>
      <c r="D986" s="100" t="e">
        <f t="shared" ca="1" si="187"/>
        <v>#NAME?</v>
      </c>
      <c r="E986" s="100" t="e">
        <f t="shared" ca="1" si="187"/>
        <v>#NAME?</v>
      </c>
      <c r="F986" s="100" t="e">
        <f t="shared" ca="1" si="181"/>
        <v>#NAME?</v>
      </c>
      <c r="G986" s="100" t="e">
        <f t="shared" ca="1" si="182"/>
        <v>#NAME?</v>
      </c>
      <c r="H986" s="100" t="e">
        <f t="shared" ca="1" si="183"/>
        <v>#NAME?</v>
      </c>
      <c r="I986" s="100" t="e">
        <f t="shared" ca="1" si="184"/>
        <v>#NAME?</v>
      </c>
      <c r="J986" s="100" t="e">
        <f t="shared" ca="1" si="186"/>
        <v>#NAME?</v>
      </c>
      <c r="K986" s="100" t="e">
        <f t="shared" ca="1" si="185"/>
        <v>#NAME?</v>
      </c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 spans="1:26">
      <c r="A987" s="100" t="e">
        <f ca="1">IFERROR(__xludf.DUMMYFUNCTION("""COMPUTED_VALUE"""),58784322)</f>
        <v>#NAME?</v>
      </c>
      <c r="B987" s="100" t="e">
        <f ca="1">IFERROR(__xludf.DUMMYFUNCTION("""COMPUTED_VALUE"""),"WBTCBTC")</f>
        <v>#NAME?</v>
      </c>
      <c r="C987" s="100" t="e">
        <f ca="1">IFERROR(__xludf.DUMMYFUNCTION("""COMPUTED_VALUE"""),"0.99950000")</f>
        <v>#NAME?</v>
      </c>
      <c r="D987" s="100" t="e">
        <f t="shared" ca="1" si="187"/>
        <v>#NAME?</v>
      </c>
      <c r="E987" s="100" t="e">
        <f t="shared" ca="1" si="187"/>
        <v>#NAME?</v>
      </c>
      <c r="F987" s="100" t="e">
        <f t="shared" ca="1" si="181"/>
        <v>#NAME?</v>
      </c>
      <c r="G987" s="100" t="e">
        <f t="shared" ca="1" si="182"/>
        <v>#NAME?</v>
      </c>
      <c r="H987" s="100" t="e">
        <f t="shared" ca="1" si="183"/>
        <v>#NAME?</v>
      </c>
      <c r="I987" s="100" t="e">
        <f t="shared" ca="1" si="184"/>
        <v>#NAME?</v>
      </c>
      <c r="J987" s="100" t="e">
        <f ca="1">IFERROR(__xludf.DUMMYFUNCTION("""COMPUTED_VALUE"""),"-0.030")</f>
        <v>#NAME?</v>
      </c>
      <c r="K987" s="100" t="e">
        <f t="shared" ca="1" si="185"/>
        <v>#NAME?</v>
      </c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 spans="1:26">
      <c r="A988" s="100" t="e">
        <f ca="1">IFERROR(__xludf.DUMMYFUNCTION("""COMPUTED_VALUE"""),58784323)</f>
        <v>#NAME?</v>
      </c>
      <c r="B988" s="100" t="e">
        <f ca="1">IFERROR(__xludf.DUMMYFUNCTION("""COMPUTED_VALUE"""),"WBTCETH")</f>
        <v>#NAME?</v>
      </c>
      <c r="C988" s="100" t="e">
        <f ca="1">IFERROR(__xludf.DUMMYFUNCTION("""COMPUTED_VALUE"""),"54.46000000")</f>
        <v>#NAME?</v>
      </c>
      <c r="D988" s="100" t="e">
        <f t="shared" ca="1" si="187"/>
        <v>#NAME?</v>
      </c>
      <c r="E988" s="100" t="e">
        <f t="shared" ca="1" si="187"/>
        <v>#NAME?</v>
      </c>
      <c r="F988" s="100" t="e">
        <f t="shared" ca="1" si="181"/>
        <v>#NAME?</v>
      </c>
      <c r="G988" s="100" t="e">
        <f t="shared" ca="1" si="182"/>
        <v>#NAME?</v>
      </c>
      <c r="H988" s="100" t="e">
        <f t="shared" ca="1" si="183"/>
        <v>#NAME?</v>
      </c>
      <c r="I988" s="100" t="e">
        <f t="shared" ca="1" si="184"/>
        <v>#NAME?</v>
      </c>
      <c r="J988" s="100" t="e">
        <f ca="1">IFERROR(__xludf.DUMMYFUNCTION("""COMPUTED_VALUE"""),"2.119")</f>
        <v>#NAME?</v>
      </c>
      <c r="K988" s="100" t="e">
        <f t="shared" ca="1" si="185"/>
        <v>#NAME?</v>
      </c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 spans="1:26">
      <c r="A989" s="100" t="e">
        <f ca="1">IFERROR(__xludf.DUMMYFUNCTION("""COMPUTED_VALUE"""),58784324)</f>
        <v>#NAME?</v>
      </c>
      <c r="B989" s="100" t="e">
        <f ca="1">IFERROR(__xludf.DUMMYFUNCTION("""COMPUTED_VALUE"""),"SUSHIBNB")</f>
        <v>#NAME?</v>
      </c>
      <c r="C989" s="100" t="e">
        <f ca="1">IFERROR(__xludf.DUMMYFUNCTION("""COMPUTED_VALUE"""),"0.00269800")</f>
        <v>#NAME?</v>
      </c>
      <c r="D989" s="100" t="e">
        <f t="shared" ca="1" si="187"/>
        <v>#NAME?</v>
      </c>
      <c r="E989" s="100" t="e">
        <f t="shared" ca="1" si="187"/>
        <v>#NAME?</v>
      </c>
      <c r="F989" s="100" t="e">
        <f t="shared" ca="1" si="181"/>
        <v>#NAME?</v>
      </c>
      <c r="G989" s="100" t="e">
        <f t="shared" ca="1" si="182"/>
        <v>#NAME?</v>
      </c>
      <c r="H989" s="100" t="e">
        <f t="shared" ca="1" si="183"/>
        <v>#NAME?</v>
      </c>
      <c r="I989" s="100" t="e">
        <f t="shared" ca="1" si="184"/>
        <v>#NAME?</v>
      </c>
      <c r="J989" s="100" t="e">
        <f ca="1">IFERROR(__xludf.DUMMYFUNCTION("""COMPUTED_VALUE"""),"0")</f>
        <v>#NAME?</v>
      </c>
      <c r="K989" s="100" t="e">
        <f t="shared" ca="1" si="185"/>
        <v>#NAME?</v>
      </c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 spans="1:26">
      <c r="A990" s="100" t="e">
        <f ca="1">IFERROR(__xludf.DUMMYFUNCTION("""COMPUTED_VALUE"""),58784325)</f>
        <v>#NAME?</v>
      </c>
      <c r="B990" s="100" t="e">
        <f ca="1">IFERROR(__xludf.DUMMYFUNCTION("""COMPUTED_VALUE"""),"SUSHIBTC")</f>
        <v>#NAME?</v>
      </c>
      <c r="C990" s="100" t="e">
        <f ca="1">IFERROR(__xludf.DUMMYFUNCTION("""COMPUTED_VALUE"""),"0.00000677")</f>
        <v>#NAME?</v>
      </c>
      <c r="D990" s="100" t="e">
        <f t="shared" ca="1" si="187"/>
        <v>#NAME?</v>
      </c>
      <c r="E990" s="100" t="e">
        <f t="shared" ca="1" si="187"/>
        <v>#NAME?</v>
      </c>
      <c r="F990" s="100" t="e">
        <f t="shared" ca="1" si="181"/>
        <v>#NAME?</v>
      </c>
      <c r="G990" s="100" t="e">
        <f t="shared" ca="1" si="182"/>
        <v>#NAME?</v>
      </c>
      <c r="H990" s="100" t="e">
        <f t="shared" ca="1" si="183"/>
        <v>#NAME?</v>
      </c>
      <c r="I990" s="100" t="e">
        <f t="shared" ca="1" si="184"/>
        <v>#NAME?</v>
      </c>
      <c r="J990" s="100" t="e">
        <f ca="1">IFERROR(__xludf.DUMMYFUNCTION("""COMPUTED_VALUE"""),"-2.168")</f>
        <v>#NAME?</v>
      </c>
      <c r="K990" s="100" t="e">
        <f t="shared" ca="1" si="185"/>
        <v>#NAME?</v>
      </c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 spans="1:26">
      <c r="A991" s="100" t="e">
        <f ca="1">IFERROR(__xludf.DUMMYFUNCTION("""COMPUTED_VALUE"""),58784326)</f>
        <v>#NAME?</v>
      </c>
      <c r="B991" s="100" t="e">
        <f ca="1">IFERROR(__xludf.DUMMYFUNCTION("""COMPUTED_VALUE"""),"SUSHIBUSD")</f>
        <v>#NAME?</v>
      </c>
      <c r="C991" s="100" t="e">
        <f ca="1">IFERROR(__xludf.DUMMYFUNCTION("""COMPUTED_VALUE"""),"0.56600000")</f>
        <v>#NAME?</v>
      </c>
      <c r="D991" s="100" t="e">
        <f t="shared" ca="1" si="187"/>
        <v>#NAME?</v>
      </c>
      <c r="E991" s="100" t="e">
        <f t="shared" ca="1" si="187"/>
        <v>#NAME?</v>
      </c>
      <c r="F991" s="100" t="e">
        <f t="shared" ca="1" si="181"/>
        <v>#NAME?</v>
      </c>
      <c r="G991" s="100" t="e">
        <f t="shared" ca="1" si="182"/>
        <v>#NAME?</v>
      </c>
      <c r="H991" s="100" t="e">
        <f t="shared" ca="1" si="183"/>
        <v>#NAME?</v>
      </c>
      <c r="I991" s="100" t="e">
        <f t="shared" ca="1" si="184"/>
        <v>#NAME?</v>
      </c>
      <c r="J991" s="100" t="e">
        <f ca="1">IFERROR(__xludf.DUMMYFUNCTION("""COMPUTED_VALUE"""),"0")</f>
        <v>#NAME?</v>
      </c>
      <c r="K991" s="100" t="e">
        <f t="shared" ca="1" si="185"/>
        <v>#NAME?</v>
      </c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 spans="1:26">
      <c r="A992" s="100" t="e">
        <f ca="1">IFERROR(__xludf.DUMMYFUNCTION("""COMPUTED_VALUE"""),58784327)</f>
        <v>#NAME?</v>
      </c>
      <c r="B992" s="100" t="e">
        <f ca="1">IFERROR(__xludf.DUMMYFUNCTION("""COMPUTED_VALUE"""),"SUSHIUSDT")</f>
        <v>#NAME?</v>
      </c>
      <c r="C992" s="100" t="e">
        <f ca="1">IFERROR(__xludf.DUMMYFUNCTION("""COMPUTED_VALUE"""),"0.60000000")</f>
        <v>#NAME?</v>
      </c>
      <c r="D992" s="100" t="e">
        <f t="shared" ca="1" si="187"/>
        <v>#NAME?</v>
      </c>
      <c r="E992" s="100" t="e">
        <f t="shared" ca="1" si="187"/>
        <v>#NAME?</v>
      </c>
      <c r="F992" s="100" t="e">
        <f t="shared" ca="1" si="181"/>
        <v>#NAME?</v>
      </c>
      <c r="G992" s="100" t="e">
        <f t="shared" ca="1" si="182"/>
        <v>#NAME?</v>
      </c>
      <c r="H992" s="100" t="e">
        <f t="shared" ca="1" si="183"/>
        <v>#NAME?</v>
      </c>
      <c r="I992" s="100" t="e">
        <f t="shared" ca="1" si="184"/>
        <v>#NAME?</v>
      </c>
      <c r="J992" s="100" t="e">
        <f ca="1">IFERROR(__xludf.DUMMYFUNCTION("""COMPUTED_VALUE"""),"-0.826")</f>
        <v>#NAME?</v>
      </c>
      <c r="K992" s="100" t="e">
        <f t="shared" ca="1" si="185"/>
        <v>#NAME?</v>
      </c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 spans="1:26">
      <c r="A993" s="100" t="e">
        <f ca="1">IFERROR(__xludf.DUMMYFUNCTION("""COMPUTED_VALUE"""),58784328)</f>
        <v>#NAME?</v>
      </c>
      <c r="B993" s="100" t="e">
        <f ca="1">IFERROR(__xludf.DUMMYFUNCTION("""COMPUTED_VALUE"""),"YFIIBNB")</f>
        <v>#NAME?</v>
      </c>
      <c r="C993" s="100" t="e">
        <f ca="1">IFERROR(__xludf.DUMMYFUNCTION("""COMPUTED_VALUE"""),"0.00000000")</f>
        <v>#NAME?</v>
      </c>
      <c r="D993" s="100" t="e">
        <f t="shared" ca="1" si="187"/>
        <v>#NAME?</v>
      </c>
      <c r="E993" s="100" t="e">
        <f t="shared" ca="1" si="187"/>
        <v>#NAME?</v>
      </c>
      <c r="F993" s="100" t="e">
        <f t="shared" ca="1" si="181"/>
        <v>#NAME?</v>
      </c>
      <c r="G993" s="100" t="e">
        <f t="shared" ca="1" si="182"/>
        <v>#NAME?</v>
      </c>
      <c r="H993" s="100" t="e">
        <f t="shared" ca="1" si="183"/>
        <v>#NAME?</v>
      </c>
      <c r="I993" s="100" t="e">
        <f t="shared" ca="1" si="184"/>
        <v>#NAME?</v>
      </c>
      <c r="J993" s="100" t="e">
        <f ca="1">IFERROR(__xludf.DUMMYFUNCTION("""COMPUTED_VALUE"""),"0")</f>
        <v>#NAME?</v>
      </c>
      <c r="K993" s="100" t="e">
        <f t="shared" ca="1" si="185"/>
        <v>#NAME?</v>
      </c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 spans="1:26">
      <c r="A994" s="100" t="e">
        <f ca="1">IFERROR(__xludf.DUMMYFUNCTION("""COMPUTED_VALUE"""),58784329)</f>
        <v>#NAME?</v>
      </c>
      <c r="B994" s="100" t="e">
        <f ca="1">IFERROR(__xludf.DUMMYFUNCTION("""COMPUTED_VALUE"""),"YFIIBTC")</f>
        <v>#NAME?</v>
      </c>
      <c r="C994" s="100" t="e">
        <f ca="1">IFERROR(__xludf.DUMMYFUNCTION("""COMPUTED_VALUE"""),"0.07249000")</f>
        <v>#NAME?</v>
      </c>
      <c r="D994" s="100" t="e">
        <f t="shared" ca="1" si="187"/>
        <v>#NAME?</v>
      </c>
      <c r="E994" s="100" t="e">
        <f t="shared" ca="1" si="187"/>
        <v>#NAME?</v>
      </c>
      <c r="F994" s="100" t="e">
        <f t="shared" ca="1" si="181"/>
        <v>#NAME?</v>
      </c>
      <c r="G994" s="100" t="e">
        <f t="shared" ca="1" si="182"/>
        <v>#NAME?</v>
      </c>
      <c r="H994" s="100" t="e">
        <f t="shared" ca="1" si="183"/>
        <v>#NAME?</v>
      </c>
      <c r="I994" s="100" t="e">
        <f t="shared" ca="1" si="184"/>
        <v>#NAME?</v>
      </c>
      <c r="J994" s="100" t="e">
        <f ca="1">IFERROR(__xludf.DUMMYFUNCTION("""COMPUTED_VALUE"""),"0")</f>
        <v>#NAME?</v>
      </c>
      <c r="K994" s="100" t="e">
        <f t="shared" ca="1" si="185"/>
        <v>#NAME?</v>
      </c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 spans="1:26">
      <c r="A995" s="100" t="e">
        <f ca="1">IFERROR(__xludf.DUMMYFUNCTION("""COMPUTED_VALUE"""),58784330)</f>
        <v>#NAME?</v>
      </c>
      <c r="B995" s="100" t="e">
        <f ca="1">IFERROR(__xludf.DUMMYFUNCTION("""COMPUTED_VALUE"""),"YFIIBUSD")</f>
        <v>#NAME?</v>
      </c>
      <c r="C995" s="100" t="e">
        <f ca="1">IFERROR(__xludf.DUMMYFUNCTION("""COMPUTED_VALUE"""),"0.00000000")</f>
        <v>#NAME?</v>
      </c>
      <c r="D995" s="100" t="e">
        <f t="shared" ca="1" si="187"/>
        <v>#NAME?</v>
      </c>
      <c r="E995" s="100" t="e">
        <f t="shared" ca="1" si="187"/>
        <v>#NAME?</v>
      </c>
      <c r="F995" s="100" t="e">
        <f t="shared" ca="1" si="181"/>
        <v>#NAME?</v>
      </c>
      <c r="G995" s="100" t="e">
        <f t="shared" ca="1" si="182"/>
        <v>#NAME?</v>
      </c>
      <c r="H995" s="100" t="e">
        <f t="shared" ca="1" si="183"/>
        <v>#NAME?</v>
      </c>
      <c r="I995" s="100" t="e">
        <f t="shared" ca="1" si="184"/>
        <v>#NAME?</v>
      </c>
      <c r="J995" s="100" t="e">
        <f ca="1">IFERROR(__xludf.DUMMYFUNCTION("""COMPUTED_VALUE"""),"0")</f>
        <v>#NAME?</v>
      </c>
      <c r="K995" s="100" t="e">
        <f t="shared" ca="1" si="185"/>
        <v>#NAME?</v>
      </c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 spans="1:26">
      <c r="A996" s="100" t="e">
        <f ca="1">IFERROR(__xludf.DUMMYFUNCTION("""COMPUTED_VALUE"""),58784331)</f>
        <v>#NAME?</v>
      </c>
      <c r="B996" s="100" t="e">
        <f ca="1">IFERROR(__xludf.DUMMYFUNCTION("""COMPUTED_VALUE"""),"YFIIUSDT")</f>
        <v>#NAME?</v>
      </c>
      <c r="C996" s="100" t="e">
        <f ca="1">IFERROR(__xludf.DUMMYFUNCTION("""COMPUTED_VALUE"""),"435.50000000")</f>
        <v>#NAME?</v>
      </c>
      <c r="D996" s="100" t="e">
        <f t="shared" ca="1" si="187"/>
        <v>#NAME?</v>
      </c>
      <c r="E996" s="100" t="e">
        <f t="shared" ca="1" si="187"/>
        <v>#NAME?</v>
      </c>
      <c r="F996" s="100" t="e">
        <f t="shared" ca="1" si="181"/>
        <v>#NAME?</v>
      </c>
      <c r="G996" s="100" t="e">
        <f t="shared" ca="1" si="182"/>
        <v>#NAME?</v>
      </c>
      <c r="H996" s="100" t="e">
        <f t="shared" ca="1" si="183"/>
        <v>#NAME?</v>
      </c>
      <c r="I996" s="100" t="e">
        <f t="shared" ca="1" si="184"/>
        <v>#NAME?</v>
      </c>
      <c r="J996" s="100" t="e">
        <f ca="1">IFERROR(__xludf.DUMMYFUNCTION("""COMPUTED_VALUE"""),"0")</f>
        <v>#NAME?</v>
      </c>
      <c r="K996" s="100" t="e">
        <f t="shared" ca="1" si="185"/>
        <v>#NAME?</v>
      </c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 spans="1:26">
      <c r="A997" s="100" t="e">
        <f ca="1">IFERROR(__xludf.DUMMYFUNCTION("""COMPUTED_VALUE"""),58784332)</f>
        <v>#NAME?</v>
      </c>
      <c r="B997" s="100" t="e">
        <f ca="1">IFERROR(__xludf.DUMMYFUNCTION("""COMPUTED_VALUE"""),"KSMBNB")</f>
        <v>#NAME?</v>
      </c>
      <c r="C997" s="100" t="e">
        <f ca="1">IFERROR(__xludf.DUMMYFUNCTION("""COMPUTED_VALUE"""),"0.09080000")</f>
        <v>#NAME?</v>
      </c>
      <c r="D997" s="100" t="e">
        <f t="shared" ca="1" si="187"/>
        <v>#NAME?</v>
      </c>
      <c r="E997" s="100" t="e">
        <f t="shared" ca="1" si="187"/>
        <v>#NAME?</v>
      </c>
      <c r="F997" s="100" t="e">
        <f t="shared" ca="1" si="181"/>
        <v>#NAME?</v>
      </c>
      <c r="G997" s="100" t="e">
        <f t="shared" ca="1" si="182"/>
        <v>#NAME?</v>
      </c>
      <c r="H997" s="100" t="e">
        <f t="shared" ca="1" si="183"/>
        <v>#NAME?</v>
      </c>
      <c r="I997" s="100" t="e">
        <f t="shared" ca="1" si="184"/>
        <v>#NAME?</v>
      </c>
      <c r="J997" s="100" t="e">
        <f ca="1">IFERROR(__xludf.DUMMYFUNCTION("""COMPUTED_VALUE"""),"0")</f>
        <v>#NAME?</v>
      </c>
      <c r="K997" s="100" t="e">
        <f t="shared" ca="1" si="185"/>
        <v>#NAME?</v>
      </c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 spans="1:26">
      <c r="A998" s="100" t="e">
        <f ca="1">IFERROR(__xludf.DUMMYFUNCTION("""COMPUTED_VALUE"""),58784333)</f>
        <v>#NAME?</v>
      </c>
      <c r="B998" s="100" t="e">
        <f ca="1">IFERROR(__xludf.DUMMYFUNCTION("""COMPUTED_VALUE"""),"KSMBTC")</f>
        <v>#NAME?</v>
      </c>
      <c r="C998" s="100" t="e">
        <f ca="1">IFERROR(__xludf.DUMMYFUNCTION("""COMPUTED_VALUE"""),"0.00015730")</f>
        <v>#NAME?</v>
      </c>
      <c r="D998" s="100" t="e">
        <f t="shared" ca="1" si="187"/>
        <v>#NAME?</v>
      </c>
      <c r="E998" s="100" t="e">
        <f t="shared" ca="1" si="187"/>
        <v>#NAME?</v>
      </c>
      <c r="F998" s="100" t="e">
        <f t="shared" ca="1" si="181"/>
        <v>#NAME?</v>
      </c>
      <c r="G998" s="100" t="e">
        <f t="shared" ca="1" si="182"/>
        <v>#NAME?</v>
      </c>
      <c r="H998" s="100" t="e">
        <f t="shared" ca="1" si="183"/>
        <v>#NAME?</v>
      </c>
      <c r="I998" s="100" t="e">
        <f t="shared" ca="1" si="184"/>
        <v>#NAME?</v>
      </c>
      <c r="J998" s="100" t="e">
        <f ca="1">IFERROR(__xludf.DUMMYFUNCTION("""COMPUTED_VALUE"""),"-2.841")</f>
        <v>#NAME?</v>
      </c>
      <c r="K998" s="100" t="e">
        <f t="shared" ca="1" si="185"/>
        <v>#NAME?</v>
      </c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 spans="1:26">
      <c r="A999" s="100" t="e">
        <f ca="1">IFERROR(__xludf.DUMMYFUNCTION("""COMPUTED_VALUE"""),58784334)</f>
        <v>#NAME?</v>
      </c>
      <c r="B999" s="100" t="e">
        <f ca="1">IFERROR(__xludf.DUMMYFUNCTION("""COMPUTED_VALUE"""),"KSMBUSD")</f>
        <v>#NAME?</v>
      </c>
      <c r="C999" s="100" t="e">
        <f ca="1">IFERROR(__xludf.DUMMYFUNCTION("""COMPUTED_VALUE"""),"18.87000000")</f>
        <v>#NAME?</v>
      </c>
      <c r="D999" s="100" t="e">
        <f t="shared" ca="1" si="187"/>
        <v>#NAME?</v>
      </c>
      <c r="E999" s="100" t="e">
        <f t="shared" ca="1" si="187"/>
        <v>#NAME?</v>
      </c>
      <c r="F999" s="100" t="e">
        <f t="shared" ca="1" si="181"/>
        <v>#NAME?</v>
      </c>
      <c r="G999" s="100" t="e">
        <f t="shared" ca="1" si="182"/>
        <v>#NAME?</v>
      </c>
      <c r="H999" s="100" t="e">
        <f t="shared" ca="1" si="183"/>
        <v>#NAME?</v>
      </c>
      <c r="I999" s="100" t="e">
        <f t="shared" ca="1" si="184"/>
        <v>#NAME?</v>
      </c>
      <c r="J999" s="100" t="e">
        <f ca="1">IFERROR(__xludf.DUMMYFUNCTION("""COMPUTED_VALUE"""),"0")</f>
        <v>#NAME?</v>
      </c>
      <c r="K999" s="100" t="e">
        <f t="shared" ca="1" si="185"/>
        <v>#NAME?</v>
      </c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 spans="1:26">
      <c r="A1000" s="100" t="e">
        <f ca="1">IFERROR(__xludf.DUMMYFUNCTION("""COMPUTED_VALUE"""),58784335)</f>
        <v>#NAME?</v>
      </c>
      <c r="B1000" s="100" t="e">
        <f ca="1">IFERROR(__xludf.DUMMYFUNCTION("""COMPUTED_VALUE"""),"KSMUSDT")</f>
        <v>#NAME?</v>
      </c>
      <c r="C1000" s="100" t="e">
        <f ca="1">IFERROR(__xludf.DUMMYFUNCTION("""COMPUTED_VALUE"""),"13.95000000")</f>
        <v>#NAME?</v>
      </c>
      <c r="D1000" s="100" t="e">
        <f t="shared" ca="1" si="187"/>
        <v>#NAME?</v>
      </c>
      <c r="E1000" s="100" t="e">
        <f t="shared" ca="1" si="187"/>
        <v>#NAME?</v>
      </c>
      <c r="F1000" s="100" t="e">
        <f t="shared" ca="1" si="181"/>
        <v>#NAME?</v>
      </c>
      <c r="G1000" s="100" t="e">
        <f t="shared" ca="1" si="182"/>
        <v>#NAME?</v>
      </c>
      <c r="H1000" s="100" t="e">
        <f t="shared" ca="1" si="183"/>
        <v>#NAME?</v>
      </c>
      <c r="I1000" s="100" t="e">
        <f t="shared" ca="1" si="184"/>
        <v>#NAME?</v>
      </c>
      <c r="J1000" s="100" t="e">
        <f ca="1">IFERROR(__xludf.DUMMYFUNCTION("""COMPUTED_VALUE"""),"-1.204")</f>
        <v>#NAME?</v>
      </c>
      <c r="K1000" s="100" t="e">
        <f t="shared" ca="1" si="185"/>
        <v>#NAME?</v>
      </c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  <row r="1001" spans="1:26">
      <c r="A1001" s="100" t="e">
        <f ca="1">IFERROR(__xludf.DUMMYFUNCTION("""COMPUTED_VALUE"""),58784336)</f>
        <v>#NAME?</v>
      </c>
      <c r="B1001" s="100" t="e">
        <f ca="1">IFERROR(__xludf.DUMMYFUNCTION("""COMPUTED_VALUE"""),"EGLDBNB")</f>
        <v>#NAME?</v>
      </c>
      <c r="C1001" s="100" t="e">
        <f ca="1">IFERROR(__xludf.DUMMYFUNCTION("""COMPUTED_VALUE"""),"0.02327000")</f>
        <v>#NAME?</v>
      </c>
      <c r="D1001" s="100" t="e">
        <f t="shared" ca="1" si="187"/>
        <v>#NAME?</v>
      </c>
      <c r="E1001" s="100" t="e">
        <f t="shared" ca="1" si="187"/>
        <v>#NAME?</v>
      </c>
      <c r="F1001" s="100" t="e">
        <f t="shared" ca="1" si="181"/>
        <v>#NAME?</v>
      </c>
      <c r="G1001" s="100" t="e">
        <f t="shared" ca="1" si="182"/>
        <v>#NAME?</v>
      </c>
      <c r="H1001" s="100" t="e">
        <f t="shared" ca="1" si="183"/>
        <v>#NAME?</v>
      </c>
      <c r="I1001" s="100" t="e">
        <f t="shared" ca="1" si="184"/>
        <v>#NAME?</v>
      </c>
      <c r="J1001" s="100" t="e">
        <f ca="1">IFERROR(__xludf.DUMMYFUNCTION("""COMPUTED_VALUE"""),"-3.324")</f>
        <v>#NAME?</v>
      </c>
      <c r="K1001" s="100" t="e">
        <f t="shared" ca="1" si="185"/>
        <v>#NAME?</v>
      </c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</row>
    <row r="1002" spans="1:26">
      <c r="A1002" s="100" t="e">
        <f ca="1">IFERROR(__xludf.DUMMYFUNCTION("""COMPUTED_VALUE"""),58784337)</f>
        <v>#NAME?</v>
      </c>
      <c r="B1002" s="100" t="e">
        <f ca="1">IFERROR(__xludf.DUMMYFUNCTION("""COMPUTED_VALUE"""),"EGLDBTC")</f>
        <v>#NAME?</v>
      </c>
      <c r="C1002" s="100" t="e">
        <f ca="1">IFERROR(__xludf.DUMMYFUNCTION("""COMPUTED_VALUE"""),"0.00015910")</f>
        <v>#NAME?</v>
      </c>
      <c r="D1002" s="100" t="e">
        <f t="shared" ref="D1002:E1021" ca="1" si="188">IFERROR(__xludf.DUMMYFUNCTION("""COMPUTED_VALUE"""),"-")</f>
        <v>#NAME?</v>
      </c>
      <c r="E1002" s="100" t="e">
        <f t="shared" ca="1" si="188"/>
        <v>#NAME?</v>
      </c>
      <c r="F1002" s="100" t="e">
        <f t="shared" ca="1" si="181"/>
        <v>#NAME?</v>
      </c>
      <c r="G1002" s="100" t="e">
        <f t="shared" ca="1" si="182"/>
        <v>#NAME?</v>
      </c>
      <c r="H1002" s="100" t="e">
        <f t="shared" ca="1" si="183"/>
        <v>#NAME?</v>
      </c>
      <c r="I1002" s="100" t="e">
        <f t="shared" ca="1" si="184"/>
        <v>#NAME?</v>
      </c>
      <c r="J1002" s="100" t="e">
        <f ca="1">IFERROR(__xludf.DUMMYFUNCTION("""COMPUTED_VALUE"""),"-4.099")</f>
        <v>#NAME?</v>
      </c>
      <c r="K1002" s="100" t="e">
        <f t="shared" ca="1" si="185"/>
        <v>#NAME?</v>
      </c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</row>
    <row r="1003" spans="1:26">
      <c r="A1003" s="100" t="e">
        <f ca="1">IFERROR(__xludf.DUMMYFUNCTION("""COMPUTED_VALUE"""),58784338)</f>
        <v>#NAME?</v>
      </c>
      <c r="B1003" s="100" t="e">
        <f ca="1">IFERROR(__xludf.DUMMYFUNCTION("""COMPUTED_VALUE"""),"EGLDBUSD")</f>
        <v>#NAME?</v>
      </c>
      <c r="C1003" s="100" t="e">
        <f ca="1">IFERROR(__xludf.DUMMYFUNCTION("""COMPUTED_VALUE"""),"41.53000000")</f>
        <v>#NAME?</v>
      </c>
      <c r="D1003" s="100" t="e">
        <f t="shared" ca="1" si="188"/>
        <v>#NAME?</v>
      </c>
      <c r="E1003" s="100" t="e">
        <f t="shared" ca="1" si="188"/>
        <v>#NAME?</v>
      </c>
      <c r="F1003" s="100" t="e">
        <f t="shared" ca="1" si="181"/>
        <v>#NAME?</v>
      </c>
      <c r="G1003" s="100" t="e">
        <f t="shared" ca="1" si="182"/>
        <v>#NAME?</v>
      </c>
      <c r="H1003" s="100" t="e">
        <f t="shared" ca="1" si="183"/>
        <v>#NAME?</v>
      </c>
      <c r="I1003" s="100" t="e">
        <f t="shared" ca="1" si="184"/>
        <v>#NAME?</v>
      </c>
      <c r="J1003" s="100" t="e">
        <f ca="1">IFERROR(__xludf.DUMMYFUNCTION("""COMPUTED_VALUE"""),"0")</f>
        <v>#NAME?</v>
      </c>
      <c r="K1003" s="100" t="e">
        <f t="shared" ca="1" si="185"/>
        <v>#NAME?</v>
      </c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</row>
    <row r="1004" spans="1:26">
      <c r="A1004" s="100" t="e">
        <f ca="1">IFERROR(__xludf.DUMMYFUNCTION("""COMPUTED_VALUE"""),58784339)</f>
        <v>#NAME?</v>
      </c>
      <c r="B1004" s="100" t="e">
        <f ca="1">IFERROR(__xludf.DUMMYFUNCTION("""COMPUTED_VALUE"""),"EGLDUSDT")</f>
        <v>#NAME?</v>
      </c>
      <c r="C1004" s="100" t="e">
        <f ca="1">IFERROR(__xludf.DUMMYFUNCTION("""COMPUTED_VALUE"""),"14.09000000")</f>
        <v>#NAME?</v>
      </c>
      <c r="D1004" s="100" t="e">
        <f t="shared" ca="1" si="188"/>
        <v>#NAME?</v>
      </c>
      <c r="E1004" s="100" t="e">
        <f t="shared" ca="1" si="188"/>
        <v>#NAME?</v>
      </c>
      <c r="F1004" s="100" t="e">
        <f t="shared" ca="1" si="181"/>
        <v>#NAME?</v>
      </c>
      <c r="G1004" s="100" t="e">
        <f t="shared" ca="1" si="182"/>
        <v>#NAME?</v>
      </c>
      <c r="H1004" s="100" t="e">
        <f t="shared" ca="1" si="183"/>
        <v>#NAME?</v>
      </c>
      <c r="I1004" s="100" t="e">
        <f t="shared" ca="1" si="184"/>
        <v>#NAME?</v>
      </c>
      <c r="J1004" s="100" t="e">
        <f ca="1">IFERROR(__xludf.DUMMYFUNCTION("""COMPUTED_VALUE"""),"-2.559")</f>
        <v>#NAME?</v>
      </c>
      <c r="K1004" s="100" t="e">
        <f t="shared" ca="1" si="185"/>
        <v>#NAME?</v>
      </c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</row>
    <row r="1005" spans="1:26">
      <c r="A1005" s="100" t="e">
        <f ca="1">IFERROR(__xludf.DUMMYFUNCTION("""COMPUTED_VALUE"""),58784340)</f>
        <v>#NAME?</v>
      </c>
      <c r="B1005" s="100" t="e">
        <f ca="1">IFERROR(__xludf.DUMMYFUNCTION("""COMPUTED_VALUE"""),"DIABNB")</f>
        <v>#NAME?</v>
      </c>
      <c r="C1005" s="100" t="e">
        <f ca="1">IFERROR(__xludf.DUMMYFUNCTION("""COMPUTED_VALUE"""),"0.00000000")</f>
        <v>#NAME?</v>
      </c>
      <c r="D1005" s="100" t="e">
        <f t="shared" ca="1" si="188"/>
        <v>#NAME?</v>
      </c>
      <c r="E1005" s="100" t="e">
        <f t="shared" ca="1" si="188"/>
        <v>#NAME?</v>
      </c>
      <c r="F1005" s="100" t="e">
        <f t="shared" ca="1" si="181"/>
        <v>#NAME?</v>
      </c>
      <c r="G1005" s="100" t="e">
        <f t="shared" ca="1" si="182"/>
        <v>#NAME?</v>
      </c>
      <c r="H1005" s="100" t="e">
        <f t="shared" ca="1" si="183"/>
        <v>#NAME?</v>
      </c>
      <c r="I1005" s="100" t="e">
        <f t="shared" ca="1" si="184"/>
        <v>#NAME?</v>
      </c>
      <c r="J1005" s="100" t="e">
        <f ca="1">IFERROR(__xludf.DUMMYFUNCTION("""COMPUTED_VALUE"""),"0")</f>
        <v>#NAME?</v>
      </c>
      <c r="K1005" s="100" t="e">
        <f t="shared" ca="1" si="185"/>
        <v>#NAME?</v>
      </c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</row>
    <row r="1006" spans="1:26">
      <c r="A1006" s="100" t="e">
        <f ca="1">IFERROR(__xludf.DUMMYFUNCTION("""COMPUTED_VALUE"""),58784341)</f>
        <v>#NAME?</v>
      </c>
      <c r="B1006" s="100" t="e">
        <f ca="1">IFERROR(__xludf.DUMMYFUNCTION("""COMPUTED_VALUE"""),"DIABTC")</f>
        <v>#NAME?</v>
      </c>
      <c r="C1006" s="100" t="e">
        <f ca="1">IFERROR(__xludf.DUMMYFUNCTION("""COMPUTED_VALUE"""),"0.00000454")</f>
        <v>#NAME?</v>
      </c>
      <c r="D1006" s="100" t="e">
        <f t="shared" ca="1" si="188"/>
        <v>#NAME?</v>
      </c>
      <c r="E1006" s="100" t="e">
        <f t="shared" ca="1" si="188"/>
        <v>#NAME?</v>
      </c>
      <c r="F1006" s="100" t="e">
        <f t="shared" ca="1" si="181"/>
        <v>#NAME?</v>
      </c>
      <c r="G1006" s="100" t="e">
        <f t="shared" ca="1" si="182"/>
        <v>#NAME?</v>
      </c>
      <c r="H1006" s="100" t="e">
        <f t="shared" ca="1" si="183"/>
        <v>#NAME?</v>
      </c>
      <c r="I1006" s="100" t="e">
        <f t="shared" ca="1" si="184"/>
        <v>#NAME?</v>
      </c>
      <c r="J1006" s="100" t="e">
        <f ca="1">IFERROR(__xludf.DUMMYFUNCTION("""COMPUTED_VALUE"""),"-2.366")</f>
        <v>#NAME?</v>
      </c>
      <c r="K1006" s="100" t="e">
        <f t="shared" ca="1" si="185"/>
        <v>#NAME?</v>
      </c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</row>
    <row r="1007" spans="1:26">
      <c r="A1007" s="100" t="e">
        <f ca="1">IFERROR(__xludf.DUMMYFUNCTION("""COMPUTED_VALUE"""),58784342)</f>
        <v>#NAME?</v>
      </c>
      <c r="B1007" s="100" t="e">
        <f ca="1">IFERROR(__xludf.DUMMYFUNCTION("""COMPUTED_VALUE"""),"DIABUSD")</f>
        <v>#NAME?</v>
      </c>
      <c r="C1007" s="100" t="e">
        <f ca="1">IFERROR(__xludf.DUMMYFUNCTION("""COMPUTED_VALUE"""),"0.23840000")</f>
        <v>#NAME?</v>
      </c>
      <c r="D1007" s="100" t="e">
        <f t="shared" ca="1" si="188"/>
        <v>#NAME?</v>
      </c>
      <c r="E1007" s="100" t="e">
        <f t="shared" ca="1" si="188"/>
        <v>#NAME?</v>
      </c>
      <c r="F1007" s="100" t="e">
        <f t="shared" ca="1" si="181"/>
        <v>#NAME?</v>
      </c>
      <c r="G1007" s="100" t="e">
        <f t="shared" ca="1" si="182"/>
        <v>#NAME?</v>
      </c>
      <c r="H1007" s="100" t="e">
        <f t="shared" ca="1" si="183"/>
        <v>#NAME?</v>
      </c>
      <c r="I1007" s="100" t="e">
        <f t="shared" ca="1" si="184"/>
        <v>#NAME?</v>
      </c>
      <c r="J1007" s="100" t="e">
        <f ca="1">IFERROR(__xludf.DUMMYFUNCTION("""COMPUTED_VALUE"""),"0")</f>
        <v>#NAME?</v>
      </c>
      <c r="K1007" s="100" t="e">
        <f t="shared" ca="1" si="185"/>
        <v>#NAME?</v>
      </c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</row>
    <row r="1008" spans="1:26">
      <c r="A1008" s="100" t="e">
        <f ca="1">IFERROR(__xludf.DUMMYFUNCTION("""COMPUTED_VALUE"""),58784343)</f>
        <v>#NAME?</v>
      </c>
      <c r="B1008" s="100" t="e">
        <f ca="1">IFERROR(__xludf.DUMMYFUNCTION("""COMPUTED_VALUE"""),"DIAUSDT")</f>
        <v>#NAME?</v>
      </c>
      <c r="C1008" s="100" t="e">
        <f ca="1">IFERROR(__xludf.DUMMYFUNCTION("""COMPUTED_VALUE"""),"0.40210000")</f>
        <v>#NAME?</v>
      </c>
      <c r="D1008" s="100" t="e">
        <f t="shared" ca="1" si="188"/>
        <v>#NAME?</v>
      </c>
      <c r="E1008" s="100" t="e">
        <f t="shared" ca="1" si="188"/>
        <v>#NAME?</v>
      </c>
      <c r="F1008" s="100" t="e">
        <f t="shared" ca="1" si="181"/>
        <v>#NAME?</v>
      </c>
      <c r="G1008" s="100" t="e">
        <f t="shared" ca="1" si="182"/>
        <v>#NAME?</v>
      </c>
      <c r="H1008" s="100" t="e">
        <f t="shared" ca="1" si="183"/>
        <v>#NAME?</v>
      </c>
      <c r="I1008" s="100" t="e">
        <f t="shared" ca="1" si="184"/>
        <v>#NAME?</v>
      </c>
      <c r="J1008" s="100" t="e">
        <f ca="1">IFERROR(__xludf.DUMMYFUNCTION("""COMPUTED_VALUE"""),"-0.912")</f>
        <v>#NAME?</v>
      </c>
      <c r="K1008" s="100" t="e">
        <f t="shared" ca="1" si="185"/>
        <v>#NAME?</v>
      </c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</row>
    <row r="1009" spans="1:26">
      <c r="A1009" s="100" t="e">
        <f ca="1">IFERROR(__xludf.DUMMYFUNCTION("""COMPUTED_VALUE"""),58784344)</f>
        <v>#NAME?</v>
      </c>
      <c r="B1009" s="100" t="e">
        <f ca="1">IFERROR(__xludf.DUMMYFUNCTION("""COMPUTED_VALUE"""),"RUNEUSDT")</f>
        <v>#NAME?</v>
      </c>
      <c r="C1009" s="100" t="e">
        <f ca="1">IFERROR(__xludf.DUMMYFUNCTION("""COMPUTED_VALUE"""),"1.24700000")</f>
        <v>#NAME?</v>
      </c>
      <c r="D1009" s="100" t="e">
        <f t="shared" ca="1" si="188"/>
        <v>#NAME?</v>
      </c>
      <c r="E1009" s="100" t="e">
        <f t="shared" ca="1" si="188"/>
        <v>#NAME?</v>
      </c>
      <c r="F1009" s="100" t="e">
        <f t="shared" ca="1" si="181"/>
        <v>#NAME?</v>
      </c>
      <c r="G1009" s="100" t="e">
        <f t="shared" ca="1" si="182"/>
        <v>#NAME?</v>
      </c>
      <c r="H1009" s="100" t="e">
        <f t="shared" ca="1" si="183"/>
        <v>#NAME?</v>
      </c>
      <c r="I1009" s="100" t="e">
        <f t="shared" ca="1" si="184"/>
        <v>#NAME?</v>
      </c>
      <c r="J1009" s="100" t="e">
        <f ca="1">IFERROR(__xludf.DUMMYFUNCTION("""COMPUTED_VALUE"""),"0.322")</f>
        <v>#NAME?</v>
      </c>
      <c r="K1009" s="100" t="e">
        <f t="shared" ca="1" si="185"/>
        <v>#NAME?</v>
      </c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</row>
    <row r="1010" spans="1:26">
      <c r="A1010" s="100" t="e">
        <f ca="1">IFERROR(__xludf.DUMMYFUNCTION("""COMPUTED_VALUE"""),58784345)</f>
        <v>#NAME?</v>
      </c>
      <c r="B1010" s="100" t="e">
        <f ca="1">IFERROR(__xludf.DUMMYFUNCTION("""COMPUTED_VALUE"""),"FIOUSDT")</f>
        <v>#NAME?</v>
      </c>
      <c r="C1010" s="100" t="e">
        <f ca="1">IFERROR(__xludf.DUMMYFUNCTION("""COMPUTED_VALUE"""),"0.01439000")</f>
        <v>#NAME?</v>
      </c>
      <c r="D1010" s="100" t="e">
        <f t="shared" ca="1" si="188"/>
        <v>#NAME?</v>
      </c>
      <c r="E1010" s="100" t="e">
        <f t="shared" ca="1" si="188"/>
        <v>#NAME?</v>
      </c>
      <c r="F1010" s="100" t="e">
        <f t="shared" ca="1" si="181"/>
        <v>#NAME?</v>
      </c>
      <c r="G1010" s="100" t="e">
        <f t="shared" ca="1" si="182"/>
        <v>#NAME?</v>
      </c>
      <c r="H1010" s="100" t="e">
        <f t="shared" ca="1" si="183"/>
        <v>#NAME?</v>
      </c>
      <c r="I1010" s="100" t="e">
        <f t="shared" ca="1" si="184"/>
        <v>#NAME?</v>
      </c>
      <c r="J1010" s="100" t="e">
        <f ca="1">IFERROR(__xludf.DUMMYFUNCTION("""COMPUTED_VALUE"""),"-2.967")</f>
        <v>#NAME?</v>
      </c>
      <c r="K1010" s="100" t="e">
        <f t="shared" ca="1" si="185"/>
        <v>#NAME?</v>
      </c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</row>
    <row r="1011" spans="1:26">
      <c r="A1011" s="100" t="e">
        <f ca="1">IFERROR(__xludf.DUMMYFUNCTION("""COMPUTED_VALUE"""),58784346)</f>
        <v>#NAME?</v>
      </c>
      <c r="B1011" s="100" t="e">
        <f ca="1">IFERROR(__xludf.DUMMYFUNCTION("""COMPUTED_VALUE"""),"UMABTC")</f>
        <v>#NAME?</v>
      </c>
      <c r="C1011" s="100" t="e">
        <f ca="1">IFERROR(__xludf.DUMMYFUNCTION("""COMPUTED_VALUE"""),"0.00001260")</f>
        <v>#NAME?</v>
      </c>
      <c r="D1011" s="100" t="e">
        <f t="shared" ca="1" si="188"/>
        <v>#NAME?</v>
      </c>
      <c r="E1011" s="100" t="e">
        <f t="shared" ca="1" si="188"/>
        <v>#NAME?</v>
      </c>
      <c r="F1011" s="100" t="e">
        <f t="shared" ca="1" si="181"/>
        <v>#NAME?</v>
      </c>
      <c r="G1011" s="100" t="e">
        <f t="shared" ca="1" si="182"/>
        <v>#NAME?</v>
      </c>
      <c r="H1011" s="100" t="e">
        <f t="shared" ca="1" si="183"/>
        <v>#NAME?</v>
      </c>
      <c r="I1011" s="100" t="e">
        <f t="shared" ca="1" si="184"/>
        <v>#NAME?</v>
      </c>
      <c r="J1011" s="100" t="e">
        <f ca="1">IFERROR(__xludf.DUMMYFUNCTION("""COMPUTED_VALUE"""),"-3.522")</f>
        <v>#NAME?</v>
      </c>
      <c r="K1011" s="100" t="e">
        <f t="shared" ca="1" si="185"/>
        <v>#NAME?</v>
      </c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</row>
    <row r="1012" spans="1:26">
      <c r="A1012" s="100" t="e">
        <f ca="1">IFERROR(__xludf.DUMMYFUNCTION("""COMPUTED_VALUE"""),58784347)</f>
        <v>#NAME?</v>
      </c>
      <c r="B1012" s="100" t="e">
        <f ca="1">IFERROR(__xludf.DUMMYFUNCTION("""COMPUTED_VALUE"""),"UMAUSDT")</f>
        <v>#NAME?</v>
      </c>
      <c r="C1012" s="100" t="e">
        <f ca="1">IFERROR(__xludf.DUMMYFUNCTION("""COMPUTED_VALUE"""),"1.11500000")</f>
        <v>#NAME?</v>
      </c>
      <c r="D1012" s="100" t="e">
        <f t="shared" ca="1" si="188"/>
        <v>#NAME?</v>
      </c>
      <c r="E1012" s="100" t="e">
        <f t="shared" ca="1" si="188"/>
        <v>#NAME?</v>
      </c>
      <c r="F1012" s="100" t="e">
        <f t="shared" ca="1" si="181"/>
        <v>#NAME?</v>
      </c>
      <c r="G1012" s="100" t="e">
        <f t="shared" ca="1" si="182"/>
        <v>#NAME?</v>
      </c>
      <c r="H1012" s="100" t="e">
        <f t="shared" ca="1" si="183"/>
        <v>#NAME?</v>
      </c>
      <c r="I1012" s="100" t="e">
        <f t="shared" ca="1" si="184"/>
        <v>#NAME?</v>
      </c>
      <c r="J1012" s="100" t="e">
        <f ca="1">IFERROR(__xludf.DUMMYFUNCTION("""COMPUTED_VALUE"""),"-2.535")</f>
        <v>#NAME?</v>
      </c>
      <c r="K1012" s="100" t="e">
        <f t="shared" ca="1" si="185"/>
        <v>#NAME?</v>
      </c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</row>
    <row r="1013" spans="1:26">
      <c r="A1013" s="100" t="e">
        <f ca="1">IFERROR(__xludf.DUMMYFUNCTION("""COMPUTED_VALUE"""),58784348)</f>
        <v>#NAME?</v>
      </c>
      <c r="B1013" s="100" t="e">
        <f ca="1">IFERROR(__xludf.DUMMYFUNCTION("""COMPUTED_VALUE"""),"EOSUPUSDT")</f>
        <v>#NAME?</v>
      </c>
      <c r="C1013" s="100" t="e">
        <f ca="1">IFERROR(__xludf.DUMMYFUNCTION("""COMPUTED_VALUE"""),"0.00000000")</f>
        <v>#NAME?</v>
      </c>
      <c r="D1013" s="100" t="e">
        <f t="shared" ca="1" si="188"/>
        <v>#NAME?</v>
      </c>
      <c r="E1013" s="100" t="e">
        <f t="shared" ca="1" si="188"/>
        <v>#NAME?</v>
      </c>
      <c r="F1013" s="100" t="e">
        <f t="shared" ca="1" si="181"/>
        <v>#NAME?</v>
      </c>
      <c r="G1013" s="100" t="e">
        <f t="shared" ca="1" si="182"/>
        <v>#NAME?</v>
      </c>
      <c r="H1013" s="100" t="e">
        <f t="shared" ca="1" si="183"/>
        <v>#NAME?</v>
      </c>
      <c r="I1013" s="100" t="e">
        <f t="shared" ca="1" si="184"/>
        <v>#NAME?</v>
      </c>
      <c r="J1013" s="100" t="e">
        <f t="shared" ref="J1013:J1022" ca="1" si="189">IFERROR(__xludf.DUMMYFUNCTION("""COMPUTED_VALUE"""),"0")</f>
        <v>#NAME?</v>
      </c>
      <c r="K1013" s="100" t="e">
        <f t="shared" ca="1" si="185"/>
        <v>#NAME?</v>
      </c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</row>
    <row r="1014" spans="1:26">
      <c r="A1014" s="100" t="e">
        <f ca="1">IFERROR(__xludf.DUMMYFUNCTION("""COMPUTED_VALUE"""),58784349)</f>
        <v>#NAME?</v>
      </c>
      <c r="B1014" s="100" t="e">
        <f ca="1">IFERROR(__xludf.DUMMYFUNCTION("""COMPUTED_VALUE"""),"EOSDOWNUSDT")</f>
        <v>#NAME?</v>
      </c>
      <c r="C1014" s="100" t="e">
        <f ca="1">IFERROR(__xludf.DUMMYFUNCTION("""COMPUTED_VALUE"""),"0.00000000")</f>
        <v>#NAME?</v>
      </c>
      <c r="D1014" s="100" t="e">
        <f t="shared" ca="1" si="188"/>
        <v>#NAME?</v>
      </c>
      <c r="E1014" s="100" t="e">
        <f t="shared" ca="1" si="188"/>
        <v>#NAME?</v>
      </c>
      <c r="F1014" s="100" t="e">
        <f t="shared" ca="1" si="181"/>
        <v>#NAME?</v>
      </c>
      <c r="G1014" s="100" t="e">
        <f t="shared" ca="1" si="182"/>
        <v>#NAME?</v>
      </c>
      <c r="H1014" s="100" t="e">
        <f t="shared" ca="1" si="183"/>
        <v>#NAME?</v>
      </c>
      <c r="I1014" s="100" t="e">
        <f t="shared" ca="1" si="184"/>
        <v>#NAME?</v>
      </c>
      <c r="J1014" s="100" t="e">
        <f t="shared" ca="1" si="189"/>
        <v>#NAME?</v>
      </c>
      <c r="K1014" s="100" t="e">
        <f t="shared" ca="1" si="185"/>
        <v>#NAME?</v>
      </c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</row>
    <row r="1015" spans="1:26">
      <c r="A1015" s="100" t="e">
        <f ca="1">IFERROR(__xludf.DUMMYFUNCTION("""COMPUTED_VALUE"""),58784350)</f>
        <v>#NAME?</v>
      </c>
      <c r="B1015" s="100" t="e">
        <f ca="1">IFERROR(__xludf.DUMMYFUNCTION("""COMPUTED_VALUE"""),"TRXUPUSDT")</f>
        <v>#NAME?</v>
      </c>
      <c r="C1015" s="100" t="e">
        <f ca="1">IFERROR(__xludf.DUMMYFUNCTION("""COMPUTED_VALUE"""),"0.03854000")</f>
        <v>#NAME?</v>
      </c>
      <c r="D1015" s="100" t="e">
        <f t="shared" ca="1" si="188"/>
        <v>#NAME?</v>
      </c>
      <c r="E1015" s="100" t="e">
        <f t="shared" ca="1" si="188"/>
        <v>#NAME?</v>
      </c>
      <c r="F1015" s="100" t="e">
        <f t="shared" ca="1" si="181"/>
        <v>#NAME?</v>
      </c>
      <c r="G1015" s="100" t="e">
        <f t="shared" ca="1" si="182"/>
        <v>#NAME?</v>
      </c>
      <c r="H1015" s="100" t="e">
        <f t="shared" ca="1" si="183"/>
        <v>#NAME?</v>
      </c>
      <c r="I1015" s="100" t="e">
        <f t="shared" ca="1" si="184"/>
        <v>#NAME?</v>
      </c>
      <c r="J1015" s="100" t="e">
        <f t="shared" ca="1" si="189"/>
        <v>#NAME?</v>
      </c>
      <c r="K1015" s="100" t="e">
        <f t="shared" ca="1" si="185"/>
        <v>#NAME?</v>
      </c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</row>
    <row r="1016" spans="1:26">
      <c r="A1016" s="100" t="e">
        <f ca="1">IFERROR(__xludf.DUMMYFUNCTION("""COMPUTED_VALUE"""),58784351)</f>
        <v>#NAME?</v>
      </c>
      <c r="B1016" s="100" t="e">
        <f ca="1">IFERROR(__xludf.DUMMYFUNCTION("""COMPUTED_VALUE"""),"TRXDOWNUSDT")</f>
        <v>#NAME?</v>
      </c>
      <c r="C1016" s="100" t="e">
        <f ca="1">IFERROR(__xludf.DUMMYFUNCTION("""COMPUTED_VALUE"""),"1.13900000")</f>
        <v>#NAME?</v>
      </c>
      <c r="D1016" s="100" t="e">
        <f t="shared" ca="1" si="188"/>
        <v>#NAME?</v>
      </c>
      <c r="E1016" s="100" t="e">
        <f t="shared" ca="1" si="188"/>
        <v>#NAME?</v>
      </c>
      <c r="F1016" s="100" t="e">
        <f t="shared" ca="1" si="181"/>
        <v>#NAME?</v>
      </c>
      <c r="G1016" s="100" t="e">
        <f t="shared" ca="1" si="182"/>
        <v>#NAME?</v>
      </c>
      <c r="H1016" s="100" t="e">
        <f t="shared" ca="1" si="183"/>
        <v>#NAME?</v>
      </c>
      <c r="I1016" s="100" t="e">
        <f t="shared" ca="1" si="184"/>
        <v>#NAME?</v>
      </c>
      <c r="J1016" s="100" t="e">
        <f t="shared" ca="1" si="189"/>
        <v>#NAME?</v>
      </c>
      <c r="K1016" s="100" t="e">
        <f t="shared" ca="1" si="185"/>
        <v>#NAME?</v>
      </c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</row>
    <row r="1017" spans="1:26">
      <c r="A1017" s="100" t="e">
        <f ca="1">IFERROR(__xludf.DUMMYFUNCTION("""COMPUTED_VALUE"""),58784352)</f>
        <v>#NAME?</v>
      </c>
      <c r="B1017" s="100" t="e">
        <f ca="1">IFERROR(__xludf.DUMMYFUNCTION("""COMPUTED_VALUE"""),"XRPUPUSDT")</f>
        <v>#NAME?</v>
      </c>
      <c r="C1017" s="100" t="e">
        <f ca="1">IFERROR(__xludf.DUMMYFUNCTION("""COMPUTED_VALUE"""),"0.08550000")</f>
        <v>#NAME?</v>
      </c>
      <c r="D1017" s="100" t="e">
        <f t="shared" ca="1" si="188"/>
        <v>#NAME?</v>
      </c>
      <c r="E1017" s="100" t="e">
        <f t="shared" ca="1" si="188"/>
        <v>#NAME?</v>
      </c>
      <c r="F1017" s="100" t="e">
        <f t="shared" ca="1" si="181"/>
        <v>#NAME?</v>
      </c>
      <c r="G1017" s="100" t="e">
        <f t="shared" ca="1" si="182"/>
        <v>#NAME?</v>
      </c>
      <c r="H1017" s="100" t="e">
        <f t="shared" ca="1" si="183"/>
        <v>#NAME?</v>
      </c>
      <c r="I1017" s="100" t="e">
        <f t="shared" ca="1" si="184"/>
        <v>#NAME?</v>
      </c>
      <c r="J1017" s="100" t="e">
        <f t="shared" ca="1" si="189"/>
        <v>#NAME?</v>
      </c>
      <c r="K1017" s="100" t="e">
        <f t="shared" ca="1" si="185"/>
        <v>#NAME?</v>
      </c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</row>
    <row r="1018" spans="1:26">
      <c r="A1018" s="100" t="e">
        <f ca="1">IFERROR(__xludf.DUMMYFUNCTION("""COMPUTED_VALUE"""),58784353)</f>
        <v>#NAME?</v>
      </c>
      <c r="B1018" s="100" t="e">
        <f ca="1">IFERROR(__xludf.DUMMYFUNCTION("""COMPUTED_VALUE"""),"XRPDOWNUSDT")</f>
        <v>#NAME?</v>
      </c>
      <c r="C1018" s="100" t="e">
        <f ca="1">IFERROR(__xludf.DUMMYFUNCTION("""COMPUTED_VALUE"""),"0.00008172")</f>
        <v>#NAME?</v>
      </c>
      <c r="D1018" s="100" t="e">
        <f t="shared" ca="1" si="188"/>
        <v>#NAME?</v>
      </c>
      <c r="E1018" s="100" t="e">
        <f t="shared" ca="1" si="188"/>
        <v>#NAME?</v>
      </c>
      <c r="F1018" s="100" t="e">
        <f t="shared" ca="1" si="181"/>
        <v>#NAME?</v>
      </c>
      <c r="G1018" s="100" t="e">
        <f t="shared" ca="1" si="182"/>
        <v>#NAME?</v>
      </c>
      <c r="H1018" s="100" t="e">
        <f t="shared" ca="1" si="183"/>
        <v>#NAME?</v>
      </c>
      <c r="I1018" s="100" t="e">
        <f t="shared" ca="1" si="184"/>
        <v>#NAME?</v>
      </c>
      <c r="J1018" s="100" t="e">
        <f t="shared" ca="1" si="189"/>
        <v>#NAME?</v>
      </c>
      <c r="K1018" s="100" t="e">
        <f t="shared" ca="1" si="185"/>
        <v>#NAME?</v>
      </c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</row>
    <row r="1019" spans="1:26">
      <c r="A1019" s="100" t="e">
        <f ca="1">IFERROR(__xludf.DUMMYFUNCTION("""COMPUTED_VALUE"""),58784354)</f>
        <v>#NAME?</v>
      </c>
      <c r="B1019" s="100" t="e">
        <f ca="1">IFERROR(__xludf.DUMMYFUNCTION("""COMPUTED_VALUE"""),"DOTUPUSDT")</f>
        <v>#NAME?</v>
      </c>
      <c r="C1019" s="100" t="e">
        <f ca="1">IFERROR(__xludf.DUMMYFUNCTION("""COMPUTED_VALUE"""),"0.09600000")</f>
        <v>#NAME?</v>
      </c>
      <c r="D1019" s="100" t="e">
        <f t="shared" ca="1" si="188"/>
        <v>#NAME?</v>
      </c>
      <c r="E1019" s="100" t="e">
        <f t="shared" ca="1" si="188"/>
        <v>#NAME?</v>
      </c>
      <c r="F1019" s="100" t="e">
        <f t="shared" ca="1" si="181"/>
        <v>#NAME?</v>
      </c>
      <c r="G1019" s="100" t="e">
        <f t="shared" ca="1" si="182"/>
        <v>#NAME?</v>
      </c>
      <c r="H1019" s="100" t="e">
        <f t="shared" ca="1" si="183"/>
        <v>#NAME?</v>
      </c>
      <c r="I1019" s="100" t="e">
        <f t="shared" ca="1" si="184"/>
        <v>#NAME?</v>
      </c>
      <c r="J1019" s="100" t="e">
        <f t="shared" ca="1" si="189"/>
        <v>#NAME?</v>
      </c>
      <c r="K1019" s="100" t="e">
        <f t="shared" ca="1" si="185"/>
        <v>#NAME?</v>
      </c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</row>
    <row r="1020" spans="1:26">
      <c r="A1020" s="100" t="e">
        <f ca="1">IFERROR(__xludf.DUMMYFUNCTION("""COMPUTED_VALUE"""),58784355)</f>
        <v>#NAME?</v>
      </c>
      <c r="B1020" s="100" t="e">
        <f ca="1">IFERROR(__xludf.DUMMYFUNCTION("""COMPUTED_VALUE"""),"DOTDOWNUSDT")</f>
        <v>#NAME?</v>
      </c>
      <c r="C1020" s="100" t="e">
        <f ca="1">IFERROR(__xludf.DUMMYFUNCTION("""COMPUTED_VALUE"""),"16.73700000")</f>
        <v>#NAME?</v>
      </c>
      <c r="D1020" s="100" t="e">
        <f t="shared" ca="1" si="188"/>
        <v>#NAME?</v>
      </c>
      <c r="E1020" s="100" t="e">
        <f t="shared" ca="1" si="188"/>
        <v>#NAME?</v>
      </c>
      <c r="F1020" s="100" t="e">
        <f t="shared" ca="1" si="181"/>
        <v>#NAME?</v>
      </c>
      <c r="G1020" s="100" t="e">
        <f t="shared" ca="1" si="182"/>
        <v>#NAME?</v>
      </c>
      <c r="H1020" s="100" t="e">
        <f t="shared" ca="1" si="183"/>
        <v>#NAME?</v>
      </c>
      <c r="I1020" s="100" t="e">
        <f t="shared" ca="1" si="184"/>
        <v>#NAME?</v>
      </c>
      <c r="J1020" s="100" t="e">
        <f t="shared" ca="1" si="189"/>
        <v>#NAME?</v>
      </c>
      <c r="K1020" s="100" t="e">
        <f t="shared" ca="1" si="185"/>
        <v>#NAME?</v>
      </c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</row>
    <row r="1021" spans="1:26">
      <c r="A1021" s="100" t="e">
        <f ca="1">IFERROR(__xludf.DUMMYFUNCTION("""COMPUTED_VALUE"""),58784356)</f>
        <v>#NAME?</v>
      </c>
      <c r="B1021" s="100" t="e">
        <f ca="1">IFERROR(__xludf.DUMMYFUNCTION("""COMPUTED_VALUE"""),"SRMBIDR")</f>
        <v>#NAME?</v>
      </c>
      <c r="C1021" s="100" t="e">
        <f ca="1">IFERROR(__xludf.DUMMYFUNCTION("""COMPUTED_VALUE"""),"0.00")</f>
        <v>#NAME?</v>
      </c>
      <c r="D1021" s="100" t="e">
        <f t="shared" ca="1" si="188"/>
        <v>#NAME?</v>
      </c>
      <c r="E1021" s="100" t="e">
        <f t="shared" ca="1" si="188"/>
        <v>#NAME?</v>
      </c>
      <c r="F1021" s="100" t="e">
        <f t="shared" ca="1" si="181"/>
        <v>#NAME?</v>
      </c>
      <c r="G1021" s="100" t="e">
        <f t="shared" ca="1" si="182"/>
        <v>#NAME?</v>
      </c>
      <c r="H1021" s="100" t="e">
        <f t="shared" ca="1" si="183"/>
        <v>#NAME?</v>
      </c>
      <c r="I1021" s="100" t="e">
        <f t="shared" ca="1" si="184"/>
        <v>#NAME?</v>
      </c>
      <c r="J1021" s="100" t="e">
        <f t="shared" ca="1" si="189"/>
        <v>#NAME?</v>
      </c>
      <c r="K1021" s="100" t="e">
        <f t="shared" ca="1" si="185"/>
        <v>#NAME?</v>
      </c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</row>
    <row r="1022" spans="1:26">
      <c r="A1022" s="100" t="e">
        <f ca="1">IFERROR(__xludf.DUMMYFUNCTION("""COMPUTED_VALUE"""),58784357)</f>
        <v>#NAME?</v>
      </c>
      <c r="B1022" s="100" t="e">
        <f ca="1">IFERROR(__xludf.DUMMYFUNCTION("""COMPUTED_VALUE"""),"ONEBIDR")</f>
        <v>#NAME?</v>
      </c>
      <c r="C1022" s="100" t="e">
        <f ca="1">IFERROR(__xludf.DUMMYFUNCTION("""COMPUTED_VALUE"""),"0.00")</f>
        <v>#NAME?</v>
      </c>
      <c r="D1022" s="100" t="e">
        <f t="shared" ref="D1022:E1041" ca="1" si="190">IFERROR(__xludf.DUMMYFUNCTION("""COMPUTED_VALUE"""),"-")</f>
        <v>#NAME?</v>
      </c>
      <c r="E1022" s="100" t="e">
        <f t="shared" ca="1" si="190"/>
        <v>#NAME?</v>
      </c>
      <c r="F1022" s="100" t="e">
        <f t="shared" ca="1" si="181"/>
        <v>#NAME?</v>
      </c>
      <c r="G1022" s="100" t="e">
        <f t="shared" ca="1" si="182"/>
        <v>#NAME?</v>
      </c>
      <c r="H1022" s="100" t="e">
        <f t="shared" ca="1" si="183"/>
        <v>#NAME?</v>
      </c>
      <c r="I1022" s="100" t="e">
        <f t="shared" ca="1" si="184"/>
        <v>#NAME?</v>
      </c>
      <c r="J1022" s="100" t="e">
        <f t="shared" ca="1" si="189"/>
        <v>#NAME?</v>
      </c>
      <c r="K1022" s="100" t="e">
        <f t="shared" ca="1" si="185"/>
        <v>#NAME?</v>
      </c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</row>
    <row r="1023" spans="1:26">
      <c r="A1023" s="100" t="e">
        <f ca="1">IFERROR(__xludf.DUMMYFUNCTION("""COMPUTED_VALUE"""),58784358)</f>
        <v>#NAME?</v>
      </c>
      <c r="B1023" s="100" t="e">
        <f ca="1">IFERROR(__xludf.DUMMYFUNCTION("""COMPUTED_VALUE"""),"LINKTRY")</f>
        <v>#NAME?</v>
      </c>
      <c r="C1023" s="100" t="e">
        <f ca="1">IFERROR(__xludf.DUMMYFUNCTION("""COMPUTED_VALUE"""),"509.20000000")</f>
        <v>#NAME?</v>
      </c>
      <c r="D1023" s="100" t="e">
        <f t="shared" ca="1" si="190"/>
        <v>#NAME?</v>
      </c>
      <c r="E1023" s="100" t="e">
        <f t="shared" ca="1" si="190"/>
        <v>#NAME?</v>
      </c>
      <c r="F1023" s="100" t="e">
        <f t="shared" ca="1" si="181"/>
        <v>#NAME?</v>
      </c>
      <c r="G1023" s="100" t="e">
        <f t="shared" ca="1" si="182"/>
        <v>#NAME?</v>
      </c>
      <c r="H1023" s="100" t="e">
        <f t="shared" ca="1" si="183"/>
        <v>#NAME?</v>
      </c>
      <c r="I1023" s="100" t="e">
        <f t="shared" ca="1" si="184"/>
        <v>#NAME?</v>
      </c>
      <c r="J1023" s="100" t="e">
        <f ca="1">IFERROR(__xludf.DUMMYFUNCTION("""COMPUTED_VALUE"""),"-1.337")</f>
        <v>#NAME?</v>
      </c>
      <c r="K1023" s="100" t="e">
        <f t="shared" ca="1" si="185"/>
        <v>#NAME?</v>
      </c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</row>
    <row r="1024" spans="1:26">
      <c r="A1024" s="100" t="e">
        <f ca="1">IFERROR(__xludf.DUMMYFUNCTION("""COMPUTED_VALUE"""),58784359)</f>
        <v>#NAME?</v>
      </c>
      <c r="B1024" s="100" t="e">
        <f ca="1">IFERROR(__xludf.DUMMYFUNCTION("""COMPUTED_VALUE"""),"USDTNGN")</f>
        <v>#NAME?</v>
      </c>
      <c r="C1024" s="100" t="e">
        <f ca="1">IFERROR(__xludf.DUMMYFUNCTION("""COMPUTED_VALUE"""),"1518.40000000")</f>
        <v>#NAME?</v>
      </c>
      <c r="D1024" s="100" t="e">
        <f t="shared" ca="1" si="190"/>
        <v>#NAME?</v>
      </c>
      <c r="E1024" s="100" t="e">
        <f t="shared" ca="1" si="190"/>
        <v>#NAME?</v>
      </c>
      <c r="F1024" s="100" t="e">
        <f t="shared" ca="1" si="181"/>
        <v>#NAME?</v>
      </c>
      <c r="G1024" s="100" t="e">
        <f t="shared" ca="1" si="182"/>
        <v>#NAME?</v>
      </c>
      <c r="H1024" s="100" t="e">
        <f t="shared" ca="1" si="183"/>
        <v>#NAME?</v>
      </c>
      <c r="I1024" s="100" t="e">
        <f t="shared" ca="1" si="184"/>
        <v>#NAME?</v>
      </c>
      <c r="J1024" s="100" t="e">
        <f ca="1">IFERROR(__xludf.DUMMYFUNCTION("""COMPUTED_VALUE"""),"0")</f>
        <v>#NAME?</v>
      </c>
      <c r="K1024" s="100" t="e">
        <f t="shared" ca="1" si="185"/>
        <v>#NAME?</v>
      </c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</row>
    <row r="1025" spans="1:26">
      <c r="A1025" s="100" t="e">
        <f ca="1">IFERROR(__xludf.DUMMYFUNCTION("""COMPUTED_VALUE"""),58784360)</f>
        <v>#NAME?</v>
      </c>
      <c r="B1025" s="100" t="e">
        <f ca="1">IFERROR(__xludf.DUMMYFUNCTION("""COMPUTED_VALUE"""),"BELBNB")</f>
        <v>#NAME?</v>
      </c>
      <c r="C1025" s="100" t="e">
        <f ca="1">IFERROR(__xludf.DUMMYFUNCTION("""COMPUTED_VALUE"""),"0.00253800")</f>
        <v>#NAME?</v>
      </c>
      <c r="D1025" s="100" t="e">
        <f t="shared" ca="1" si="190"/>
        <v>#NAME?</v>
      </c>
      <c r="E1025" s="100" t="e">
        <f t="shared" ca="1" si="190"/>
        <v>#NAME?</v>
      </c>
      <c r="F1025" s="100" t="e">
        <f t="shared" ca="1" si="181"/>
        <v>#NAME?</v>
      </c>
      <c r="G1025" s="100" t="e">
        <f t="shared" ca="1" si="182"/>
        <v>#NAME?</v>
      </c>
      <c r="H1025" s="100" t="e">
        <f t="shared" ca="1" si="183"/>
        <v>#NAME?</v>
      </c>
      <c r="I1025" s="100" t="e">
        <f t="shared" ca="1" si="184"/>
        <v>#NAME?</v>
      </c>
      <c r="J1025" s="100" t="e">
        <f ca="1">IFERROR(__xludf.DUMMYFUNCTION("""COMPUTED_VALUE"""),"0")</f>
        <v>#NAME?</v>
      </c>
      <c r="K1025" s="100" t="e">
        <f t="shared" ca="1" si="185"/>
        <v>#NAME?</v>
      </c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</row>
    <row r="1026" spans="1:26">
      <c r="A1026" s="100" t="e">
        <f ca="1">IFERROR(__xludf.DUMMYFUNCTION("""COMPUTED_VALUE"""),58784361)</f>
        <v>#NAME?</v>
      </c>
      <c r="B1026" s="100" t="e">
        <f ca="1">IFERROR(__xludf.DUMMYFUNCTION("""COMPUTED_VALUE"""),"BELBTC")</f>
        <v>#NAME?</v>
      </c>
      <c r="C1026" s="100" t="e">
        <f ca="1">IFERROR(__xludf.DUMMYFUNCTION("""COMPUTED_VALUE"""),"0.00000428")</f>
        <v>#NAME?</v>
      </c>
      <c r="D1026" s="100" t="e">
        <f t="shared" ca="1" si="190"/>
        <v>#NAME?</v>
      </c>
      <c r="E1026" s="100" t="e">
        <f t="shared" ca="1" si="190"/>
        <v>#NAME?</v>
      </c>
      <c r="F1026" s="100" t="e">
        <f t="shared" ref="F1026:F1089" ca="1" si="191">IFERROR(__xludf.DUMMYFUNCTION("""COMPUTED_VALUE"""),20200)</f>
        <v>#NAME?</v>
      </c>
      <c r="G1026" s="100" t="e">
        <f t="shared" ref="G1026:G1089" ca="1" si="192">IFERROR(__xludf.DUMMYFUNCTION("""COMPUTED_VALUE"""),2885)</f>
        <v>#NAME?</v>
      </c>
      <c r="H1026" s="100" t="e">
        <f t="shared" ref="H1026:H1089" ca="1" si="193">IFERROR(__xludf.DUMMYFUNCTION("""COMPUTED_VALUE"""),663)</f>
        <v>#NAME?</v>
      </c>
      <c r="I1026" s="100" t="e">
        <f t="shared" ref="I1026:I1089" ca="1" si="194">IFERROR(__xludf.DUMMYFUNCTION("""COMPUTED_VALUE"""),5817721)</f>
        <v>#NAME?</v>
      </c>
      <c r="J1026" s="100" t="e">
        <f ca="1">IFERROR(__xludf.DUMMYFUNCTION("""COMPUTED_VALUE"""),"-7.957")</f>
        <v>#NAME?</v>
      </c>
      <c r="K1026" s="100" t="e">
        <f t="shared" ref="K1026:K1089" ca="1" si="195">IFERROR(__xludf.DUMMYFUNCTION("""COMPUTED_VALUE"""),"22.04.2025 13:05:01")</f>
        <v>#NAME?</v>
      </c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</row>
    <row r="1027" spans="1:26">
      <c r="A1027" s="100" t="e">
        <f ca="1">IFERROR(__xludf.DUMMYFUNCTION("""COMPUTED_VALUE"""),58784362)</f>
        <v>#NAME?</v>
      </c>
      <c r="B1027" s="100" t="e">
        <f ca="1">IFERROR(__xludf.DUMMYFUNCTION("""COMPUTED_VALUE"""),"BELBUSD")</f>
        <v>#NAME?</v>
      </c>
      <c r="C1027" s="100" t="e">
        <f ca="1">IFERROR(__xludf.DUMMYFUNCTION("""COMPUTED_VALUE"""),"0.53560000")</f>
        <v>#NAME?</v>
      </c>
      <c r="D1027" s="100" t="e">
        <f t="shared" ca="1" si="190"/>
        <v>#NAME?</v>
      </c>
      <c r="E1027" s="100" t="e">
        <f t="shared" ca="1" si="190"/>
        <v>#NAME?</v>
      </c>
      <c r="F1027" s="100" t="e">
        <f t="shared" ca="1" si="191"/>
        <v>#NAME?</v>
      </c>
      <c r="G1027" s="100" t="e">
        <f t="shared" ca="1" si="192"/>
        <v>#NAME?</v>
      </c>
      <c r="H1027" s="100" t="e">
        <f t="shared" ca="1" si="193"/>
        <v>#NAME?</v>
      </c>
      <c r="I1027" s="100" t="e">
        <f t="shared" ca="1" si="194"/>
        <v>#NAME?</v>
      </c>
      <c r="J1027" s="100" t="e">
        <f ca="1">IFERROR(__xludf.DUMMYFUNCTION("""COMPUTED_VALUE"""),"0")</f>
        <v>#NAME?</v>
      </c>
      <c r="K1027" s="100" t="e">
        <f t="shared" ca="1" si="195"/>
        <v>#NAME?</v>
      </c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</row>
    <row r="1028" spans="1:26">
      <c r="A1028" s="100" t="e">
        <f ca="1">IFERROR(__xludf.DUMMYFUNCTION("""COMPUTED_VALUE"""),58784363)</f>
        <v>#NAME?</v>
      </c>
      <c r="B1028" s="100" t="e">
        <f ca="1">IFERROR(__xludf.DUMMYFUNCTION("""COMPUTED_VALUE"""),"BELUSDT")</f>
        <v>#NAME?</v>
      </c>
      <c r="C1028" s="100" t="e">
        <f ca="1">IFERROR(__xludf.DUMMYFUNCTION("""COMPUTED_VALUE"""),"0.37860000")</f>
        <v>#NAME?</v>
      </c>
      <c r="D1028" s="100" t="e">
        <f t="shared" ca="1" si="190"/>
        <v>#NAME?</v>
      </c>
      <c r="E1028" s="100" t="e">
        <f t="shared" ca="1" si="190"/>
        <v>#NAME?</v>
      </c>
      <c r="F1028" s="100" t="e">
        <f t="shared" ca="1" si="191"/>
        <v>#NAME?</v>
      </c>
      <c r="G1028" s="100" t="e">
        <f t="shared" ca="1" si="192"/>
        <v>#NAME?</v>
      </c>
      <c r="H1028" s="100" t="e">
        <f t="shared" ca="1" si="193"/>
        <v>#NAME?</v>
      </c>
      <c r="I1028" s="100" t="e">
        <f t="shared" ca="1" si="194"/>
        <v>#NAME?</v>
      </c>
      <c r="J1028" s="100" t="e">
        <f ca="1">IFERROR(__xludf.DUMMYFUNCTION("""COMPUTED_VALUE"""),"-6.886")</f>
        <v>#NAME?</v>
      </c>
      <c r="K1028" s="100" t="e">
        <f t="shared" ca="1" si="195"/>
        <v>#NAME?</v>
      </c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</row>
    <row r="1029" spans="1:26">
      <c r="A1029" s="100" t="e">
        <f ca="1">IFERROR(__xludf.DUMMYFUNCTION("""COMPUTED_VALUE"""),58784364)</f>
        <v>#NAME?</v>
      </c>
      <c r="B1029" s="100" t="e">
        <f ca="1">IFERROR(__xludf.DUMMYFUNCTION("""COMPUTED_VALUE"""),"WINGBNB")</f>
        <v>#NAME?</v>
      </c>
      <c r="C1029" s="100" t="e">
        <f ca="1">IFERROR(__xludf.DUMMYFUNCTION("""COMPUTED_VALUE"""),"0.00000000")</f>
        <v>#NAME?</v>
      </c>
      <c r="D1029" s="100" t="e">
        <f t="shared" ca="1" si="190"/>
        <v>#NAME?</v>
      </c>
      <c r="E1029" s="100" t="e">
        <f t="shared" ca="1" si="190"/>
        <v>#NAME?</v>
      </c>
      <c r="F1029" s="100" t="e">
        <f t="shared" ca="1" si="191"/>
        <v>#NAME?</v>
      </c>
      <c r="G1029" s="100" t="e">
        <f t="shared" ca="1" si="192"/>
        <v>#NAME?</v>
      </c>
      <c r="H1029" s="100" t="e">
        <f t="shared" ca="1" si="193"/>
        <v>#NAME?</v>
      </c>
      <c r="I1029" s="100" t="e">
        <f t="shared" ca="1" si="194"/>
        <v>#NAME?</v>
      </c>
      <c r="J1029" s="100" t="e">
        <f ca="1">IFERROR(__xludf.DUMMYFUNCTION("""COMPUTED_VALUE"""),"0")</f>
        <v>#NAME?</v>
      </c>
      <c r="K1029" s="100" t="e">
        <f t="shared" ca="1" si="195"/>
        <v>#NAME?</v>
      </c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</row>
    <row r="1030" spans="1:26">
      <c r="A1030" s="100" t="e">
        <f ca="1">IFERROR(__xludf.DUMMYFUNCTION("""COMPUTED_VALUE"""),58784365)</f>
        <v>#NAME?</v>
      </c>
      <c r="B1030" s="100" t="e">
        <f ca="1">IFERROR(__xludf.DUMMYFUNCTION("""COMPUTED_VALUE"""),"WINGBTC")</f>
        <v>#NAME?</v>
      </c>
      <c r="C1030" s="100" t="e">
        <f ca="1">IFERROR(__xludf.DUMMYFUNCTION("""COMPUTED_VALUE"""),"0.00010930")</f>
        <v>#NAME?</v>
      </c>
      <c r="D1030" s="100" t="e">
        <f t="shared" ca="1" si="190"/>
        <v>#NAME?</v>
      </c>
      <c r="E1030" s="100" t="e">
        <f t="shared" ca="1" si="190"/>
        <v>#NAME?</v>
      </c>
      <c r="F1030" s="100" t="e">
        <f t="shared" ca="1" si="191"/>
        <v>#NAME?</v>
      </c>
      <c r="G1030" s="100" t="e">
        <f t="shared" ca="1" si="192"/>
        <v>#NAME?</v>
      </c>
      <c r="H1030" s="100" t="e">
        <f t="shared" ca="1" si="193"/>
        <v>#NAME?</v>
      </c>
      <c r="I1030" s="100" t="e">
        <f t="shared" ca="1" si="194"/>
        <v>#NAME?</v>
      </c>
      <c r="J1030" s="100" t="e">
        <f ca="1">IFERROR(__xludf.DUMMYFUNCTION("""COMPUTED_VALUE"""),"0")</f>
        <v>#NAME?</v>
      </c>
      <c r="K1030" s="100" t="e">
        <f t="shared" ca="1" si="195"/>
        <v>#NAME?</v>
      </c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</row>
    <row r="1031" spans="1:26">
      <c r="A1031" s="100" t="e">
        <f ca="1">IFERROR(__xludf.DUMMYFUNCTION("""COMPUTED_VALUE"""),58784366)</f>
        <v>#NAME?</v>
      </c>
      <c r="B1031" s="100" t="e">
        <f ca="1">IFERROR(__xludf.DUMMYFUNCTION("""COMPUTED_VALUE"""),"SWRVBNB")</f>
        <v>#NAME?</v>
      </c>
      <c r="C1031" s="100" t="e">
        <f ca="1">IFERROR(__xludf.DUMMYFUNCTION("""COMPUTED_VALUE"""),"0.00000000")</f>
        <v>#NAME?</v>
      </c>
      <c r="D1031" s="100" t="e">
        <f t="shared" ca="1" si="190"/>
        <v>#NAME?</v>
      </c>
      <c r="E1031" s="100" t="e">
        <f t="shared" ca="1" si="190"/>
        <v>#NAME?</v>
      </c>
      <c r="F1031" s="100" t="e">
        <f t="shared" ca="1" si="191"/>
        <v>#NAME?</v>
      </c>
      <c r="G1031" s="100" t="e">
        <f t="shared" ca="1" si="192"/>
        <v>#NAME?</v>
      </c>
      <c r="H1031" s="100" t="e">
        <f t="shared" ca="1" si="193"/>
        <v>#NAME?</v>
      </c>
      <c r="I1031" s="100" t="e">
        <f t="shared" ca="1" si="194"/>
        <v>#NAME?</v>
      </c>
      <c r="J1031" s="100" t="e">
        <f ca="1">IFERROR(__xludf.DUMMYFUNCTION("""COMPUTED_VALUE"""),"0")</f>
        <v>#NAME?</v>
      </c>
      <c r="K1031" s="100" t="e">
        <f t="shared" ca="1" si="195"/>
        <v>#NAME?</v>
      </c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</row>
    <row r="1032" spans="1:26">
      <c r="A1032" s="100" t="e">
        <f ca="1">IFERROR(__xludf.DUMMYFUNCTION("""COMPUTED_VALUE"""),58784367)</f>
        <v>#NAME?</v>
      </c>
      <c r="B1032" s="100" t="e">
        <f ca="1">IFERROR(__xludf.DUMMYFUNCTION("""COMPUTED_VALUE"""),"SWRVBUSD")</f>
        <v>#NAME?</v>
      </c>
      <c r="C1032" s="100" t="e">
        <f ca="1">IFERROR(__xludf.DUMMYFUNCTION("""COMPUTED_VALUE"""),"0.00000000")</f>
        <v>#NAME?</v>
      </c>
      <c r="D1032" s="100" t="e">
        <f t="shared" ca="1" si="190"/>
        <v>#NAME?</v>
      </c>
      <c r="E1032" s="100" t="e">
        <f t="shared" ca="1" si="190"/>
        <v>#NAME?</v>
      </c>
      <c r="F1032" s="100" t="e">
        <f t="shared" ca="1" si="191"/>
        <v>#NAME?</v>
      </c>
      <c r="G1032" s="100" t="e">
        <f t="shared" ca="1" si="192"/>
        <v>#NAME?</v>
      </c>
      <c r="H1032" s="100" t="e">
        <f t="shared" ca="1" si="193"/>
        <v>#NAME?</v>
      </c>
      <c r="I1032" s="100" t="e">
        <f t="shared" ca="1" si="194"/>
        <v>#NAME?</v>
      </c>
      <c r="J1032" s="100" t="e">
        <f ca="1">IFERROR(__xludf.DUMMYFUNCTION("""COMPUTED_VALUE"""),"0")</f>
        <v>#NAME?</v>
      </c>
      <c r="K1032" s="100" t="e">
        <f t="shared" ca="1" si="195"/>
        <v>#NAME?</v>
      </c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</row>
    <row r="1033" spans="1:26">
      <c r="A1033" s="100" t="e">
        <f ca="1">IFERROR(__xludf.DUMMYFUNCTION("""COMPUTED_VALUE"""),58784368)</f>
        <v>#NAME?</v>
      </c>
      <c r="B1033" s="100" t="e">
        <f ca="1">IFERROR(__xludf.DUMMYFUNCTION("""COMPUTED_VALUE"""),"WINGBUSD")</f>
        <v>#NAME?</v>
      </c>
      <c r="C1033" s="100" t="e">
        <f ca="1">IFERROR(__xludf.DUMMYFUNCTION("""COMPUTED_VALUE"""),"5.79000000")</f>
        <v>#NAME?</v>
      </c>
      <c r="D1033" s="100" t="e">
        <f t="shared" ca="1" si="190"/>
        <v>#NAME?</v>
      </c>
      <c r="E1033" s="100" t="e">
        <f t="shared" ca="1" si="190"/>
        <v>#NAME?</v>
      </c>
      <c r="F1033" s="100" t="e">
        <f t="shared" ca="1" si="191"/>
        <v>#NAME?</v>
      </c>
      <c r="G1033" s="100" t="e">
        <f t="shared" ca="1" si="192"/>
        <v>#NAME?</v>
      </c>
      <c r="H1033" s="100" t="e">
        <f t="shared" ca="1" si="193"/>
        <v>#NAME?</v>
      </c>
      <c r="I1033" s="100" t="e">
        <f t="shared" ca="1" si="194"/>
        <v>#NAME?</v>
      </c>
      <c r="J1033" s="100" t="e">
        <f ca="1">IFERROR(__xludf.DUMMYFUNCTION("""COMPUTED_VALUE"""),"0")</f>
        <v>#NAME?</v>
      </c>
      <c r="K1033" s="100" t="e">
        <f t="shared" ca="1" si="195"/>
        <v>#NAME?</v>
      </c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</row>
    <row r="1034" spans="1:26">
      <c r="A1034" s="100" t="e">
        <f ca="1">IFERROR(__xludf.DUMMYFUNCTION("""COMPUTED_VALUE"""),58784369)</f>
        <v>#NAME?</v>
      </c>
      <c r="B1034" s="100" t="e">
        <f ca="1">IFERROR(__xludf.DUMMYFUNCTION("""COMPUTED_VALUE"""),"WINGUSDT")</f>
        <v>#NAME?</v>
      </c>
      <c r="C1034" s="100" t="e">
        <f ca="1">IFERROR(__xludf.DUMMYFUNCTION("""COMPUTED_VALUE"""),"1.38500000")</f>
        <v>#NAME?</v>
      </c>
      <c r="D1034" s="100" t="e">
        <f t="shared" ca="1" si="190"/>
        <v>#NAME?</v>
      </c>
      <c r="E1034" s="100" t="e">
        <f t="shared" ca="1" si="190"/>
        <v>#NAME?</v>
      </c>
      <c r="F1034" s="100" t="e">
        <f t="shared" ca="1" si="191"/>
        <v>#NAME?</v>
      </c>
      <c r="G1034" s="100" t="e">
        <f t="shared" ca="1" si="192"/>
        <v>#NAME?</v>
      </c>
      <c r="H1034" s="100" t="e">
        <f t="shared" ca="1" si="193"/>
        <v>#NAME?</v>
      </c>
      <c r="I1034" s="100" t="e">
        <f t="shared" ca="1" si="194"/>
        <v>#NAME?</v>
      </c>
      <c r="J1034" s="100" t="e">
        <f ca="1">IFERROR(__xludf.DUMMYFUNCTION("""COMPUTED_VALUE"""),"3.745")</f>
        <v>#NAME?</v>
      </c>
      <c r="K1034" s="100" t="e">
        <f t="shared" ca="1" si="195"/>
        <v>#NAME?</v>
      </c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</row>
    <row r="1035" spans="1:26">
      <c r="A1035" s="100" t="e">
        <f ca="1">IFERROR(__xludf.DUMMYFUNCTION("""COMPUTED_VALUE"""),58784370)</f>
        <v>#NAME?</v>
      </c>
      <c r="B1035" s="100" t="e">
        <f ca="1">IFERROR(__xludf.DUMMYFUNCTION("""COMPUTED_VALUE"""),"LTCUPUSDT")</f>
        <v>#NAME?</v>
      </c>
      <c r="C1035" s="100" t="e">
        <f ca="1">IFERROR(__xludf.DUMMYFUNCTION("""COMPUTED_VALUE"""),"0.00000000")</f>
        <v>#NAME?</v>
      </c>
      <c r="D1035" s="100" t="e">
        <f t="shared" ca="1" si="190"/>
        <v>#NAME?</v>
      </c>
      <c r="E1035" s="100" t="e">
        <f t="shared" ca="1" si="190"/>
        <v>#NAME?</v>
      </c>
      <c r="F1035" s="100" t="e">
        <f t="shared" ca="1" si="191"/>
        <v>#NAME?</v>
      </c>
      <c r="G1035" s="100" t="e">
        <f t="shared" ca="1" si="192"/>
        <v>#NAME?</v>
      </c>
      <c r="H1035" s="100" t="e">
        <f t="shared" ca="1" si="193"/>
        <v>#NAME?</v>
      </c>
      <c r="I1035" s="100" t="e">
        <f t="shared" ca="1" si="194"/>
        <v>#NAME?</v>
      </c>
      <c r="J1035" s="100" t="e">
        <f t="shared" ref="J1035:J1041" ca="1" si="196">IFERROR(__xludf.DUMMYFUNCTION("""COMPUTED_VALUE"""),"0")</f>
        <v>#NAME?</v>
      </c>
      <c r="K1035" s="100" t="e">
        <f t="shared" ca="1" si="195"/>
        <v>#NAME?</v>
      </c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</row>
    <row r="1036" spans="1:26">
      <c r="A1036" s="100" t="e">
        <f ca="1">IFERROR(__xludf.DUMMYFUNCTION("""COMPUTED_VALUE"""),58784371)</f>
        <v>#NAME?</v>
      </c>
      <c r="B1036" s="100" t="e">
        <f ca="1">IFERROR(__xludf.DUMMYFUNCTION("""COMPUTED_VALUE"""),"LTCDOWNUSDT")</f>
        <v>#NAME?</v>
      </c>
      <c r="C1036" s="100" t="e">
        <f ca="1">IFERROR(__xludf.DUMMYFUNCTION("""COMPUTED_VALUE"""),"0.00000000")</f>
        <v>#NAME?</v>
      </c>
      <c r="D1036" s="100" t="e">
        <f t="shared" ca="1" si="190"/>
        <v>#NAME?</v>
      </c>
      <c r="E1036" s="100" t="e">
        <f t="shared" ca="1" si="190"/>
        <v>#NAME?</v>
      </c>
      <c r="F1036" s="100" t="e">
        <f t="shared" ca="1" si="191"/>
        <v>#NAME?</v>
      </c>
      <c r="G1036" s="100" t="e">
        <f t="shared" ca="1" si="192"/>
        <v>#NAME?</v>
      </c>
      <c r="H1036" s="100" t="e">
        <f t="shared" ca="1" si="193"/>
        <v>#NAME?</v>
      </c>
      <c r="I1036" s="100" t="e">
        <f t="shared" ca="1" si="194"/>
        <v>#NAME?</v>
      </c>
      <c r="J1036" s="100" t="e">
        <f t="shared" ca="1" si="196"/>
        <v>#NAME?</v>
      </c>
      <c r="K1036" s="100" t="e">
        <f t="shared" ca="1" si="195"/>
        <v>#NAME?</v>
      </c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</row>
    <row r="1037" spans="1:26">
      <c r="A1037" s="100" t="e">
        <f ca="1">IFERROR(__xludf.DUMMYFUNCTION("""COMPUTED_VALUE"""),58784372)</f>
        <v>#NAME?</v>
      </c>
      <c r="B1037" s="100" t="e">
        <f ca="1">IFERROR(__xludf.DUMMYFUNCTION("""COMPUTED_VALUE"""),"LENDBKRW")</f>
        <v>#NAME?</v>
      </c>
      <c r="C1037" s="100" t="e">
        <f ca="1">IFERROR(__xludf.DUMMYFUNCTION("""COMPUTED_VALUE"""),"0.00000000")</f>
        <v>#NAME?</v>
      </c>
      <c r="D1037" s="100" t="e">
        <f t="shared" ca="1" si="190"/>
        <v>#NAME?</v>
      </c>
      <c r="E1037" s="100" t="e">
        <f t="shared" ca="1" si="190"/>
        <v>#NAME?</v>
      </c>
      <c r="F1037" s="100" t="e">
        <f t="shared" ca="1" si="191"/>
        <v>#NAME?</v>
      </c>
      <c r="G1037" s="100" t="e">
        <f t="shared" ca="1" si="192"/>
        <v>#NAME?</v>
      </c>
      <c r="H1037" s="100" t="e">
        <f t="shared" ca="1" si="193"/>
        <v>#NAME?</v>
      </c>
      <c r="I1037" s="100" t="e">
        <f t="shared" ca="1" si="194"/>
        <v>#NAME?</v>
      </c>
      <c r="J1037" s="100" t="e">
        <f t="shared" ca="1" si="196"/>
        <v>#NAME?</v>
      </c>
      <c r="K1037" s="100" t="e">
        <f t="shared" ca="1" si="195"/>
        <v>#NAME?</v>
      </c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</row>
    <row r="1038" spans="1:26">
      <c r="A1038" s="100" t="e">
        <f ca="1">IFERROR(__xludf.DUMMYFUNCTION("""COMPUTED_VALUE"""),58784373)</f>
        <v>#NAME?</v>
      </c>
      <c r="B1038" s="100" t="e">
        <f ca="1">IFERROR(__xludf.DUMMYFUNCTION("""COMPUTED_VALUE"""),"SXPEUR")</f>
        <v>#NAME?</v>
      </c>
      <c r="C1038" s="100" t="e">
        <f ca="1">IFERROR(__xludf.DUMMYFUNCTION("""COMPUTED_VALUE"""),"0.26540000")</f>
        <v>#NAME?</v>
      </c>
      <c r="D1038" s="100" t="e">
        <f t="shared" ca="1" si="190"/>
        <v>#NAME?</v>
      </c>
      <c r="E1038" s="100" t="e">
        <f t="shared" ca="1" si="190"/>
        <v>#NAME?</v>
      </c>
      <c r="F1038" s="100" t="e">
        <f t="shared" ca="1" si="191"/>
        <v>#NAME?</v>
      </c>
      <c r="G1038" s="100" t="e">
        <f t="shared" ca="1" si="192"/>
        <v>#NAME?</v>
      </c>
      <c r="H1038" s="100" t="e">
        <f t="shared" ca="1" si="193"/>
        <v>#NAME?</v>
      </c>
      <c r="I1038" s="100" t="e">
        <f t="shared" ca="1" si="194"/>
        <v>#NAME?</v>
      </c>
      <c r="J1038" s="100" t="e">
        <f t="shared" ca="1" si="196"/>
        <v>#NAME?</v>
      </c>
      <c r="K1038" s="100" t="e">
        <f t="shared" ca="1" si="195"/>
        <v>#NAME?</v>
      </c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</row>
    <row r="1039" spans="1:26">
      <c r="A1039" s="100" t="e">
        <f ca="1">IFERROR(__xludf.DUMMYFUNCTION("""COMPUTED_VALUE"""),58784374)</f>
        <v>#NAME?</v>
      </c>
      <c r="B1039" s="100" t="e">
        <f ca="1">IFERROR(__xludf.DUMMYFUNCTION("""COMPUTED_VALUE"""),"CREAMBNB")</f>
        <v>#NAME?</v>
      </c>
      <c r="C1039" s="100" t="e">
        <f ca="1">IFERROR(__xludf.DUMMYFUNCTION("""COMPUTED_VALUE"""),"0.00000000")</f>
        <v>#NAME?</v>
      </c>
      <c r="D1039" s="100" t="e">
        <f t="shared" ca="1" si="190"/>
        <v>#NAME?</v>
      </c>
      <c r="E1039" s="100" t="e">
        <f t="shared" ca="1" si="190"/>
        <v>#NAME?</v>
      </c>
      <c r="F1039" s="100" t="e">
        <f t="shared" ca="1" si="191"/>
        <v>#NAME?</v>
      </c>
      <c r="G1039" s="100" t="e">
        <f t="shared" ca="1" si="192"/>
        <v>#NAME?</v>
      </c>
      <c r="H1039" s="100" t="e">
        <f t="shared" ca="1" si="193"/>
        <v>#NAME?</v>
      </c>
      <c r="I1039" s="100" t="e">
        <f t="shared" ca="1" si="194"/>
        <v>#NAME?</v>
      </c>
      <c r="J1039" s="100" t="e">
        <f t="shared" ca="1" si="196"/>
        <v>#NAME?</v>
      </c>
      <c r="K1039" s="100" t="e">
        <f t="shared" ca="1" si="195"/>
        <v>#NAME?</v>
      </c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</row>
    <row r="1040" spans="1:26">
      <c r="A1040" s="100" t="e">
        <f ca="1">IFERROR(__xludf.DUMMYFUNCTION("""COMPUTED_VALUE"""),58784375)</f>
        <v>#NAME?</v>
      </c>
      <c r="B1040" s="100" t="e">
        <f ca="1">IFERROR(__xludf.DUMMYFUNCTION("""COMPUTED_VALUE"""),"CREAMBUSD")</f>
        <v>#NAME?</v>
      </c>
      <c r="C1040" s="100" t="e">
        <f ca="1">IFERROR(__xludf.DUMMYFUNCTION("""COMPUTED_VALUE"""),"19.86000000")</f>
        <v>#NAME?</v>
      </c>
      <c r="D1040" s="100" t="e">
        <f t="shared" ca="1" si="190"/>
        <v>#NAME?</v>
      </c>
      <c r="E1040" s="100" t="e">
        <f t="shared" ca="1" si="190"/>
        <v>#NAME?</v>
      </c>
      <c r="F1040" s="100" t="e">
        <f t="shared" ca="1" si="191"/>
        <v>#NAME?</v>
      </c>
      <c r="G1040" s="100" t="e">
        <f t="shared" ca="1" si="192"/>
        <v>#NAME?</v>
      </c>
      <c r="H1040" s="100" t="e">
        <f t="shared" ca="1" si="193"/>
        <v>#NAME?</v>
      </c>
      <c r="I1040" s="100" t="e">
        <f t="shared" ca="1" si="194"/>
        <v>#NAME?</v>
      </c>
      <c r="J1040" s="100" t="e">
        <f t="shared" ca="1" si="196"/>
        <v>#NAME?</v>
      </c>
      <c r="K1040" s="100" t="e">
        <f t="shared" ca="1" si="195"/>
        <v>#NAME?</v>
      </c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</row>
    <row r="1041" spans="1:26">
      <c r="A1041" s="100" t="e">
        <f ca="1">IFERROR(__xludf.DUMMYFUNCTION("""COMPUTED_VALUE"""),58784376)</f>
        <v>#NAME?</v>
      </c>
      <c r="B1041" s="100" t="e">
        <f ca="1">IFERROR(__xludf.DUMMYFUNCTION("""COMPUTED_VALUE"""),"UNIBNB")</f>
        <v>#NAME?</v>
      </c>
      <c r="C1041" s="100" t="e">
        <f ca="1">IFERROR(__xludf.DUMMYFUNCTION("""COMPUTED_VALUE"""),"0.01464000")</f>
        <v>#NAME?</v>
      </c>
      <c r="D1041" s="100" t="e">
        <f t="shared" ca="1" si="190"/>
        <v>#NAME?</v>
      </c>
      <c r="E1041" s="100" t="e">
        <f t="shared" ca="1" si="190"/>
        <v>#NAME?</v>
      </c>
      <c r="F1041" s="100" t="e">
        <f t="shared" ca="1" si="191"/>
        <v>#NAME?</v>
      </c>
      <c r="G1041" s="100" t="e">
        <f t="shared" ca="1" si="192"/>
        <v>#NAME?</v>
      </c>
      <c r="H1041" s="100" t="e">
        <f t="shared" ca="1" si="193"/>
        <v>#NAME?</v>
      </c>
      <c r="I1041" s="100" t="e">
        <f t="shared" ca="1" si="194"/>
        <v>#NAME?</v>
      </c>
      <c r="J1041" s="100" t="e">
        <f t="shared" ca="1" si="196"/>
        <v>#NAME?</v>
      </c>
      <c r="K1041" s="100" t="e">
        <f t="shared" ca="1" si="195"/>
        <v>#NAME?</v>
      </c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</row>
    <row r="1042" spans="1:26">
      <c r="A1042" s="100" t="e">
        <f ca="1">IFERROR(__xludf.DUMMYFUNCTION("""COMPUTED_VALUE"""),58784377)</f>
        <v>#NAME?</v>
      </c>
      <c r="B1042" s="100" t="e">
        <f ca="1">IFERROR(__xludf.DUMMYFUNCTION("""COMPUTED_VALUE"""),"UNIBTC")</f>
        <v>#NAME?</v>
      </c>
      <c r="C1042" s="100" t="e">
        <f ca="1">IFERROR(__xludf.DUMMYFUNCTION("""COMPUTED_VALUE"""),"0.00006050")</f>
        <v>#NAME?</v>
      </c>
      <c r="D1042" s="100" t="e">
        <f t="shared" ref="D1042:E1061" ca="1" si="197">IFERROR(__xludf.DUMMYFUNCTION("""COMPUTED_VALUE"""),"-")</f>
        <v>#NAME?</v>
      </c>
      <c r="E1042" s="100" t="e">
        <f t="shared" ca="1" si="197"/>
        <v>#NAME?</v>
      </c>
      <c r="F1042" s="100" t="e">
        <f t="shared" ca="1" si="191"/>
        <v>#NAME?</v>
      </c>
      <c r="G1042" s="100" t="e">
        <f t="shared" ca="1" si="192"/>
        <v>#NAME?</v>
      </c>
      <c r="H1042" s="100" t="e">
        <f t="shared" ca="1" si="193"/>
        <v>#NAME?</v>
      </c>
      <c r="I1042" s="100" t="e">
        <f t="shared" ca="1" si="194"/>
        <v>#NAME?</v>
      </c>
      <c r="J1042" s="100" t="e">
        <f ca="1">IFERROR(__xludf.DUMMYFUNCTION("""COMPUTED_VALUE"""),"-2.733")</f>
        <v>#NAME?</v>
      </c>
      <c r="K1042" s="100" t="e">
        <f t="shared" ca="1" si="195"/>
        <v>#NAME?</v>
      </c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</row>
    <row r="1043" spans="1:26">
      <c r="A1043" s="100" t="e">
        <f ca="1">IFERROR(__xludf.DUMMYFUNCTION("""COMPUTED_VALUE"""),58784378)</f>
        <v>#NAME?</v>
      </c>
      <c r="B1043" s="100" t="e">
        <f ca="1">IFERROR(__xludf.DUMMYFUNCTION("""COMPUTED_VALUE"""),"UNIBUSD")</f>
        <v>#NAME?</v>
      </c>
      <c r="C1043" s="100" t="e">
        <f ca="1">IFERROR(__xludf.DUMMYFUNCTION("""COMPUTED_VALUE"""),"4.58000000")</f>
        <v>#NAME?</v>
      </c>
      <c r="D1043" s="100" t="e">
        <f t="shared" ca="1" si="197"/>
        <v>#NAME?</v>
      </c>
      <c r="E1043" s="100" t="e">
        <f t="shared" ca="1" si="197"/>
        <v>#NAME?</v>
      </c>
      <c r="F1043" s="100" t="e">
        <f t="shared" ca="1" si="191"/>
        <v>#NAME?</v>
      </c>
      <c r="G1043" s="100" t="e">
        <f t="shared" ca="1" si="192"/>
        <v>#NAME?</v>
      </c>
      <c r="H1043" s="100" t="e">
        <f t="shared" ca="1" si="193"/>
        <v>#NAME?</v>
      </c>
      <c r="I1043" s="100" t="e">
        <f t="shared" ca="1" si="194"/>
        <v>#NAME?</v>
      </c>
      <c r="J1043" s="100" t="e">
        <f ca="1">IFERROR(__xludf.DUMMYFUNCTION("""COMPUTED_VALUE"""),"0")</f>
        <v>#NAME?</v>
      </c>
      <c r="K1043" s="100" t="e">
        <f t="shared" ca="1" si="195"/>
        <v>#NAME?</v>
      </c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</row>
    <row r="1044" spans="1:26">
      <c r="A1044" s="100" t="e">
        <f ca="1">IFERROR(__xludf.DUMMYFUNCTION("""COMPUTED_VALUE"""),58784379)</f>
        <v>#NAME?</v>
      </c>
      <c r="B1044" s="100" t="e">
        <f ca="1">IFERROR(__xludf.DUMMYFUNCTION("""COMPUTED_VALUE"""),"UNIUSDT")</f>
        <v>#NAME?</v>
      </c>
      <c r="C1044" s="100" t="e">
        <f ca="1">IFERROR(__xludf.DUMMYFUNCTION("""COMPUTED_VALUE"""),"5.36000000")</f>
        <v>#NAME?</v>
      </c>
      <c r="D1044" s="100" t="e">
        <f t="shared" ca="1" si="197"/>
        <v>#NAME?</v>
      </c>
      <c r="E1044" s="100" t="e">
        <f t="shared" ca="1" si="197"/>
        <v>#NAME?</v>
      </c>
      <c r="F1044" s="100" t="e">
        <f t="shared" ca="1" si="191"/>
        <v>#NAME?</v>
      </c>
      <c r="G1044" s="100" t="e">
        <f t="shared" ca="1" si="192"/>
        <v>#NAME?</v>
      </c>
      <c r="H1044" s="100" t="e">
        <f t="shared" ca="1" si="193"/>
        <v>#NAME?</v>
      </c>
      <c r="I1044" s="100" t="e">
        <f t="shared" ca="1" si="194"/>
        <v>#NAME?</v>
      </c>
      <c r="J1044" s="100" t="e">
        <f ca="1">IFERROR(__xludf.DUMMYFUNCTION("""COMPUTED_VALUE"""),"-1.434")</f>
        <v>#NAME?</v>
      </c>
      <c r="K1044" s="100" t="e">
        <f t="shared" ca="1" si="195"/>
        <v>#NAME?</v>
      </c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</row>
    <row r="1045" spans="1:26">
      <c r="A1045" s="100" t="e">
        <f ca="1">IFERROR(__xludf.DUMMYFUNCTION("""COMPUTED_VALUE"""),58784380)</f>
        <v>#NAME?</v>
      </c>
      <c r="B1045" s="100" t="e">
        <f ca="1">IFERROR(__xludf.DUMMYFUNCTION("""COMPUTED_VALUE"""),"NBSBTC")</f>
        <v>#NAME?</v>
      </c>
      <c r="C1045" s="100" t="e">
        <f ca="1">IFERROR(__xludf.DUMMYFUNCTION("""COMPUTED_VALUE"""),"0.00000000")</f>
        <v>#NAME?</v>
      </c>
      <c r="D1045" s="100" t="e">
        <f t="shared" ca="1" si="197"/>
        <v>#NAME?</v>
      </c>
      <c r="E1045" s="100" t="e">
        <f t="shared" ca="1" si="197"/>
        <v>#NAME?</v>
      </c>
      <c r="F1045" s="100" t="e">
        <f t="shared" ca="1" si="191"/>
        <v>#NAME?</v>
      </c>
      <c r="G1045" s="100" t="e">
        <f t="shared" ca="1" si="192"/>
        <v>#NAME?</v>
      </c>
      <c r="H1045" s="100" t="e">
        <f t="shared" ca="1" si="193"/>
        <v>#NAME?</v>
      </c>
      <c r="I1045" s="100" t="e">
        <f t="shared" ca="1" si="194"/>
        <v>#NAME?</v>
      </c>
      <c r="J1045" s="100" t="e">
        <f ca="1">IFERROR(__xludf.DUMMYFUNCTION("""COMPUTED_VALUE"""),"0")</f>
        <v>#NAME?</v>
      </c>
      <c r="K1045" s="100" t="e">
        <f t="shared" ca="1" si="195"/>
        <v>#NAME?</v>
      </c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</row>
    <row r="1046" spans="1:26">
      <c r="A1046" s="100" t="e">
        <f ca="1">IFERROR(__xludf.DUMMYFUNCTION("""COMPUTED_VALUE"""),58784381)</f>
        <v>#NAME?</v>
      </c>
      <c r="B1046" s="100" t="e">
        <f ca="1">IFERROR(__xludf.DUMMYFUNCTION("""COMPUTED_VALUE"""),"NBSUSDT")</f>
        <v>#NAME?</v>
      </c>
      <c r="C1046" s="100" t="e">
        <f ca="1">IFERROR(__xludf.DUMMYFUNCTION("""COMPUTED_VALUE"""),"0.00166000")</f>
        <v>#NAME?</v>
      </c>
      <c r="D1046" s="100" t="e">
        <f t="shared" ca="1" si="197"/>
        <v>#NAME?</v>
      </c>
      <c r="E1046" s="100" t="e">
        <f t="shared" ca="1" si="197"/>
        <v>#NAME?</v>
      </c>
      <c r="F1046" s="100" t="e">
        <f t="shared" ca="1" si="191"/>
        <v>#NAME?</v>
      </c>
      <c r="G1046" s="100" t="e">
        <f t="shared" ca="1" si="192"/>
        <v>#NAME?</v>
      </c>
      <c r="H1046" s="100" t="e">
        <f t="shared" ca="1" si="193"/>
        <v>#NAME?</v>
      </c>
      <c r="I1046" s="100" t="e">
        <f t="shared" ca="1" si="194"/>
        <v>#NAME?</v>
      </c>
      <c r="J1046" s="100" t="e">
        <f ca="1">IFERROR(__xludf.DUMMYFUNCTION("""COMPUTED_VALUE"""),"0")</f>
        <v>#NAME?</v>
      </c>
      <c r="K1046" s="100" t="e">
        <f t="shared" ca="1" si="195"/>
        <v>#NAME?</v>
      </c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</row>
    <row r="1047" spans="1:26">
      <c r="A1047" s="100" t="e">
        <f ca="1">IFERROR(__xludf.DUMMYFUNCTION("""COMPUTED_VALUE"""),58784382)</f>
        <v>#NAME?</v>
      </c>
      <c r="B1047" s="100" t="e">
        <f ca="1">IFERROR(__xludf.DUMMYFUNCTION("""COMPUTED_VALUE"""),"OXTBTC")</f>
        <v>#NAME?</v>
      </c>
      <c r="C1047" s="100" t="e">
        <f ca="1">IFERROR(__xludf.DUMMYFUNCTION("""COMPUTED_VALUE"""),"0.00000078")</f>
        <v>#NAME?</v>
      </c>
      <c r="D1047" s="100" t="e">
        <f t="shared" ca="1" si="197"/>
        <v>#NAME?</v>
      </c>
      <c r="E1047" s="100" t="e">
        <f t="shared" ca="1" si="197"/>
        <v>#NAME?</v>
      </c>
      <c r="F1047" s="100" t="e">
        <f t="shared" ca="1" si="191"/>
        <v>#NAME?</v>
      </c>
      <c r="G1047" s="100" t="e">
        <f t="shared" ca="1" si="192"/>
        <v>#NAME?</v>
      </c>
      <c r="H1047" s="100" t="e">
        <f t="shared" ca="1" si="193"/>
        <v>#NAME?</v>
      </c>
      <c r="I1047" s="100" t="e">
        <f t="shared" ca="1" si="194"/>
        <v>#NAME?</v>
      </c>
      <c r="J1047" s="100" t="e">
        <f ca="1">IFERROR(__xludf.DUMMYFUNCTION("""COMPUTED_VALUE"""),"-3.704")</f>
        <v>#NAME?</v>
      </c>
      <c r="K1047" s="100" t="e">
        <f t="shared" ca="1" si="195"/>
        <v>#NAME?</v>
      </c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</row>
    <row r="1048" spans="1:26">
      <c r="A1048" s="100" t="e">
        <f ca="1">IFERROR(__xludf.DUMMYFUNCTION("""COMPUTED_VALUE"""),58784383)</f>
        <v>#NAME?</v>
      </c>
      <c r="B1048" s="100" t="e">
        <f ca="1">IFERROR(__xludf.DUMMYFUNCTION("""COMPUTED_VALUE"""),"OXTUSDT")</f>
        <v>#NAME?</v>
      </c>
      <c r="C1048" s="100" t="e">
        <f ca="1">IFERROR(__xludf.DUMMYFUNCTION("""COMPUTED_VALUE"""),"0.06900000")</f>
        <v>#NAME?</v>
      </c>
      <c r="D1048" s="100" t="e">
        <f t="shared" ca="1" si="197"/>
        <v>#NAME?</v>
      </c>
      <c r="E1048" s="100" t="e">
        <f t="shared" ca="1" si="197"/>
        <v>#NAME?</v>
      </c>
      <c r="F1048" s="100" t="e">
        <f t="shared" ca="1" si="191"/>
        <v>#NAME?</v>
      </c>
      <c r="G1048" s="100" t="e">
        <f t="shared" ca="1" si="192"/>
        <v>#NAME?</v>
      </c>
      <c r="H1048" s="100" t="e">
        <f t="shared" ca="1" si="193"/>
        <v>#NAME?</v>
      </c>
      <c r="I1048" s="100" t="e">
        <f t="shared" ca="1" si="194"/>
        <v>#NAME?</v>
      </c>
      <c r="J1048" s="100" t="e">
        <f ca="1">IFERROR(__xludf.DUMMYFUNCTION("""COMPUTED_VALUE"""),"-1.989")</f>
        <v>#NAME?</v>
      </c>
      <c r="K1048" s="100" t="e">
        <f t="shared" ca="1" si="195"/>
        <v>#NAME?</v>
      </c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</row>
    <row r="1049" spans="1:26">
      <c r="A1049" s="100" t="e">
        <f ca="1">IFERROR(__xludf.DUMMYFUNCTION("""COMPUTED_VALUE"""),58784384)</f>
        <v>#NAME?</v>
      </c>
      <c r="B1049" s="100" t="e">
        <f ca="1">IFERROR(__xludf.DUMMYFUNCTION("""COMPUTED_VALUE"""),"SUNBTC")</f>
        <v>#NAME?</v>
      </c>
      <c r="C1049" s="100" t="e">
        <f ca="1">IFERROR(__xludf.DUMMYFUNCTION("""COMPUTED_VALUE"""),"0.00000000")</f>
        <v>#NAME?</v>
      </c>
      <c r="D1049" s="100" t="e">
        <f t="shared" ca="1" si="197"/>
        <v>#NAME?</v>
      </c>
      <c r="E1049" s="100" t="e">
        <f t="shared" ca="1" si="197"/>
        <v>#NAME?</v>
      </c>
      <c r="F1049" s="100" t="e">
        <f t="shared" ca="1" si="191"/>
        <v>#NAME?</v>
      </c>
      <c r="G1049" s="100" t="e">
        <f t="shared" ca="1" si="192"/>
        <v>#NAME?</v>
      </c>
      <c r="H1049" s="100" t="e">
        <f t="shared" ca="1" si="193"/>
        <v>#NAME?</v>
      </c>
      <c r="I1049" s="100" t="e">
        <f t="shared" ca="1" si="194"/>
        <v>#NAME?</v>
      </c>
      <c r="J1049" s="100" t="e">
        <f ca="1">IFERROR(__xludf.DUMMYFUNCTION("""COMPUTED_VALUE"""),"0")</f>
        <v>#NAME?</v>
      </c>
      <c r="K1049" s="100" t="e">
        <f t="shared" ca="1" si="195"/>
        <v>#NAME?</v>
      </c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</row>
    <row r="1050" spans="1:26">
      <c r="A1050" s="100" t="e">
        <f ca="1">IFERROR(__xludf.DUMMYFUNCTION("""COMPUTED_VALUE"""),58784385)</f>
        <v>#NAME?</v>
      </c>
      <c r="B1050" s="100" t="e">
        <f ca="1">IFERROR(__xludf.DUMMYFUNCTION("""COMPUTED_VALUE"""),"SUNUSDT")</f>
        <v>#NAME?</v>
      </c>
      <c r="C1050" s="100" t="e">
        <f ca="1">IFERROR(__xludf.DUMMYFUNCTION("""COMPUTED_VALUE"""),"0.01728000")</f>
        <v>#NAME?</v>
      </c>
      <c r="D1050" s="100" t="e">
        <f t="shared" ca="1" si="197"/>
        <v>#NAME?</v>
      </c>
      <c r="E1050" s="100" t="e">
        <f t="shared" ca="1" si="197"/>
        <v>#NAME?</v>
      </c>
      <c r="F1050" s="100" t="e">
        <f t="shared" ca="1" si="191"/>
        <v>#NAME?</v>
      </c>
      <c r="G1050" s="100" t="e">
        <f t="shared" ca="1" si="192"/>
        <v>#NAME?</v>
      </c>
      <c r="H1050" s="100" t="e">
        <f t="shared" ca="1" si="193"/>
        <v>#NAME?</v>
      </c>
      <c r="I1050" s="100" t="e">
        <f t="shared" ca="1" si="194"/>
        <v>#NAME?</v>
      </c>
      <c r="J1050" s="100" t="e">
        <f ca="1">IFERROR(__xludf.DUMMYFUNCTION("""COMPUTED_VALUE"""),"2.552")</f>
        <v>#NAME?</v>
      </c>
      <c r="K1050" s="100" t="e">
        <f t="shared" ca="1" si="195"/>
        <v>#NAME?</v>
      </c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</row>
    <row r="1051" spans="1:26">
      <c r="A1051" s="100" t="e">
        <f ca="1">IFERROR(__xludf.DUMMYFUNCTION("""COMPUTED_VALUE"""),58784386)</f>
        <v>#NAME?</v>
      </c>
      <c r="B1051" s="100" t="e">
        <f ca="1">IFERROR(__xludf.DUMMYFUNCTION("""COMPUTED_VALUE"""),"AVAXBNB")</f>
        <v>#NAME?</v>
      </c>
      <c r="C1051" s="100" t="e">
        <f ca="1">IFERROR(__xludf.DUMMYFUNCTION("""COMPUTED_VALUE"""),"0.03335000")</f>
        <v>#NAME?</v>
      </c>
      <c r="D1051" s="100" t="e">
        <f t="shared" ca="1" si="197"/>
        <v>#NAME?</v>
      </c>
      <c r="E1051" s="100" t="e">
        <f t="shared" ca="1" si="197"/>
        <v>#NAME?</v>
      </c>
      <c r="F1051" s="100" t="e">
        <f t="shared" ca="1" si="191"/>
        <v>#NAME?</v>
      </c>
      <c r="G1051" s="100" t="e">
        <f t="shared" ca="1" si="192"/>
        <v>#NAME?</v>
      </c>
      <c r="H1051" s="100" t="e">
        <f t="shared" ca="1" si="193"/>
        <v>#NAME?</v>
      </c>
      <c r="I1051" s="100" t="e">
        <f t="shared" ca="1" si="194"/>
        <v>#NAME?</v>
      </c>
      <c r="J1051" s="100" t="e">
        <f ca="1">IFERROR(__xludf.DUMMYFUNCTION("""COMPUTED_VALUE"""),"-2.257")</f>
        <v>#NAME?</v>
      </c>
      <c r="K1051" s="100" t="e">
        <f t="shared" ca="1" si="195"/>
        <v>#NAME?</v>
      </c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</row>
    <row r="1052" spans="1:26">
      <c r="A1052" s="100" t="e">
        <f ca="1">IFERROR(__xludf.DUMMYFUNCTION("""COMPUTED_VALUE"""),58784387)</f>
        <v>#NAME?</v>
      </c>
      <c r="B1052" s="100" t="e">
        <f ca="1">IFERROR(__xludf.DUMMYFUNCTION("""COMPUTED_VALUE"""),"AVAXBTC")</f>
        <v>#NAME?</v>
      </c>
      <c r="C1052" s="100" t="e">
        <f ca="1">IFERROR(__xludf.DUMMYFUNCTION("""COMPUTED_VALUE"""),"0.00022810")</f>
        <v>#NAME?</v>
      </c>
      <c r="D1052" s="100" t="e">
        <f t="shared" ca="1" si="197"/>
        <v>#NAME?</v>
      </c>
      <c r="E1052" s="100" t="e">
        <f t="shared" ca="1" si="197"/>
        <v>#NAME?</v>
      </c>
      <c r="F1052" s="100" t="e">
        <f t="shared" ca="1" si="191"/>
        <v>#NAME?</v>
      </c>
      <c r="G1052" s="100" t="e">
        <f t="shared" ca="1" si="192"/>
        <v>#NAME?</v>
      </c>
      <c r="H1052" s="100" t="e">
        <f t="shared" ca="1" si="193"/>
        <v>#NAME?</v>
      </c>
      <c r="I1052" s="100" t="e">
        <f t="shared" ca="1" si="194"/>
        <v>#NAME?</v>
      </c>
      <c r="J1052" s="100" t="e">
        <f ca="1">IFERROR(__xludf.DUMMYFUNCTION("""COMPUTED_VALUE"""),"-3.306")</f>
        <v>#NAME?</v>
      </c>
      <c r="K1052" s="100" t="e">
        <f t="shared" ca="1" si="195"/>
        <v>#NAME?</v>
      </c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</row>
    <row r="1053" spans="1:26">
      <c r="A1053" s="100" t="e">
        <f ca="1">IFERROR(__xludf.DUMMYFUNCTION("""COMPUTED_VALUE"""),58784388)</f>
        <v>#NAME?</v>
      </c>
      <c r="B1053" s="100" t="e">
        <f ca="1">IFERROR(__xludf.DUMMYFUNCTION("""COMPUTED_VALUE"""),"AVAXBUSD")</f>
        <v>#NAME?</v>
      </c>
      <c r="C1053" s="100" t="e">
        <f ca="1">IFERROR(__xludf.DUMMYFUNCTION("""COMPUTED_VALUE"""),"38.99000000")</f>
        <v>#NAME?</v>
      </c>
      <c r="D1053" s="100" t="e">
        <f t="shared" ca="1" si="197"/>
        <v>#NAME?</v>
      </c>
      <c r="E1053" s="100" t="e">
        <f t="shared" ca="1" si="197"/>
        <v>#NAME?</v>
      </c>
      <c r="F1053" s="100" t="e">
        <f t="shared" ca="1" si="191"/>
        <v>#NAME?</v>
      </c>
      <c r="G1053" s="100" t="e">
        <f t="shared" ca="1" si="192"/>
        <v>#NAME?</v>
      </c>
      <c r="H1053" s="100" t="e">
        <f t="shared" ca="1" si="193"/>
        <v>#NAME?</v>
      </c>
      <c r="I1053" s="100" t="e">
        <f t="shared" ca="1" si="194"/>
        <v>#NAME?</v>
      </c>
      <c r="J1053" s="100" t="e">
        <f ca="1">IFERROR(__xludf.DUMMYFUNCTION("""COMPUTED_VALUE"""),"0")</f>
        <v>#NAME?</v>
      </c>
      <c r="K1053" s="100" t="e">
        <f t="shared" ca="1" si="195"/>
        <v>#NAME?</v>
      </c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</row>
    <row r="1054" spans="1:26">
      <c r="A1054" s="100" t="e">
        <f ca="1">IFERROR(__xludf.DUMMYFUNCTION("""COMPUTED_VALUE"""),58784389)</f>
        <v>#NAME?</v>
      </c>
      <c r="B1054" s="100" t="e">
        <f ca="1">IFERROR(__xludf.DUMMYFUNCTION("""COMPUTED_VALUE"""),"AVAXUSDT")</f>
        <v>#NAME?</v>
      </c>
      <c r="C1054" s="100" t="e">
        <f ca="1">IFERROR(__xludf.DUMMYFUNCTION("""COMPUTED_VALUE"""),"20.18000000")</f>
        <v>#NAME?</v>
      </c>
      <c r="D1054" s="100" t="e">
        <f t="shared" ca="1" si="197"/>
        <v>#NAME?</v>
      </c>
      <c r="E1054" s="100" t="e">
        <f t="shared" ca="1" si="197"/>
        <v>#NAME?</v>
      </c>
      <c r="F1054" s="100" t="e">
        <f t="shared" ca="1" si="191"/>
        <v>#NAME?</v>
      </c>
      <c r="G1054" s="100" t="e">
        <f t="shared" ca="1" si="192"/>
        <v>#NAME?</v>
      </c>
      <c r="H1054" s="100" t="e">
        <f t="shared" ca="1" si="193"/>
        <v>#NAME?</v>
      </c>
      <c r="I1054" s="100" t="e">
        <f t="shared" ca="1" si="194"/>
        <v>#NAME?</v>
      </c>
      <c r="J1054" s="100" t="e">
        <f ca="1">IFERROR(__xludf.DUMMYFUNCTION("""COMPUTED_VALUE"""),"-2.181")</f>
        <v>#NAME?</v>
      </c>
      <c r="K1054" s="100" t="e">
        <f t="shared" ca="1" si="195"/>
        <v>#NAME?</v>
      </c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</row>
    <row r="1055" spans="1:26">
      <c r="A1055" s="100" t="e">
        <f ca="1">IFERROR(__xludf.DUMMYFUNCTION("""COMPUTED_VALUE"""),58784390)</f>
        <v>#NAME?</v>
      </c>
      <c r="B1055" s="100" t="e">
        <f ca="1">IFERROR(__xludf.DUMMYFUNCTION("""COMPUTED_VALUE"""),"HNTBTC")</f>
        <v>#NAME?</v>
      </c>
      <c r="C1055" s="100" t="e">
        <f ca="1">IFERROR(__xludf.DUMMYFUNCTION("""COMPUTED_VALUE"""),"0.00023570")</f>
        <v>#NAME?</v>
      </c>
      <c r="D1055" s="100" t="e">
        <f t="shared" ca="1" si="197"/>
        <v>#NAME?</v>
      </c>
      <c r="E1055" s="100" t="e">
        <f t="shared" ca="1" si="197"/>
        <v>#NAME?</v>
      </c>
      <c r="F1055" s="100" t="e">
        <f t="shared" ca="1" si="191"/>
        <v>#NAME?</v>
      </c>
      <c r="G1055" s="100" t="e">
        <f t="shared" ca="1" si="192"/>
        <v>#NAME?</v>
      </c>
      <c r="H1055" s="100" t="e">
        <f t="shared" ca="1" si="193"/>
        <v>#NAME?</v>
      </c>
      <c r="I1055" s="100" t="e">
        <f t="shared" ca="1" si="194"/>
        <v>#NAME?</v>
      </c>
      <c r="J1055" s="100" t="e">
        <f t="shared" ref="J1055:J1061" ca="1" si="198">IFERROR(__xludf.DUMMYFUNCTION("""COMPUTED_VALUE"""),"0")</f>
        <v>#NAME?</v>
      </c>
      <c r="K1055" s="100" t="e">
        <f t="shared" ca="1" si="195"/>
        <v>#NAME?</v>
      </c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</row>
    <row r="1056" spans="1:26">
      <c r="A1056" s="100" t="e">
        <f ca="1">IFERROR(__xludf.DUMMYFUNCTION("""COMPUTED_VALUE"""),58784391)</f>
        <v>#NAME?</v>
      </c>
      <c r="B1056" s="100" t="e">
        <f ca="1">IFERROR(__xludf.DUMMYFUNCTION("""COMPUTED_VALUE"""),"HNTUSDT")</f>
        <v>#NAME?</v>
      </c>
      <c r="C1056" s="100" t="e">
        <f ca="1">IFERROR(__xludf.DUMMYFUNCTION("""COMPUTED_VALUE"""),"4.67000000")</f>
        <v>#NAME?</v>
      </c>
      <c r="D1056" s="100" t="e">
        <f t="shared" ca="1" si="197"/>
        <v>#NAME?</v>
      </c>
      <c r="E1056" s="100" t="e">
        <f t="shared" ca="1" si="197"/>
        <v>#NAME?</v>
      </c>
      <c r="F1056" s="100" t="e">
        <f t="shared" ca="1" si="191"/>
        <v>#NAME?</v>
      </c>
      <c r="G1056" s="100" t="e">
        <f t="shared" ca="1" si="192"/>
        <v>#NAME?</v>
      </c>
      <c r="H1056" s="100" t="e">
        <f t="shared" ca="1" si="193"/>
        <v>#NAME?</v>
      </c>
      <c r="I1056" s="100" t="e">
        <f t="shared" ca="1" si="194"/>
        <v>#NAME?</v>
      </c>
      <c r="J1056" s="100" t="e">
        <f t="shared" ca="1" si="198"/>
        <v>#NAME?</v>
      </c>
      <c r="K1056" s="100" t="e">
        <f t="shared" ca="1" si="195"/>
        <v>#NAME?</v>
      </c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</row>
    <row r="1057" spans="1:26">
      <c r="A1057" s="100" t="e">
        <f ca="1">IFERROR(__xludf.DUMMYFUNCTION("""COMPUTED_VALUE"""),58784392)</f>
        <v>#NAME?</v>
      </c>
      <c r="B1057" s="100" t="e">
        <f ca="1">IFERROR(__xludf.DUMMYFUNCTION("""COMPUTED_VALUE"""),"BAKEBNB")</f>
        <v>#NAME?</v>
      </c>
      <c r="C1057" s="100" t="e">
        <f ca="1">IFERROR(__xludf.DUMMYFUNCTION("""COMPUTED_VALUE"""),"0.00060280")</f>
        <v>#NAME?</v>
      </c>
      <c r="D1057" s="100" t="e">
        <f t="shared" ca="1" si="197"/>
        <v>#NAME?</v>
      </c>
      <c r="E1057" s="100" t="e">
        <f t="shared" ca="1" si="197"/>
        <v>#NAME?</v>
      </c>
      <c r="F1057" s="100" t="e">
        <f t="shared" ca="1" si="191"/>
        <v>#NAME?</v>
      </c>
      <c r="G1057" s="100" t="e">
        <f t="shared" ca="1" si="192"/>
        <v>#NAME?</v>
      </c>
      <c r="H1057" s="100" t="e">
        <f t="shared" ca="1" si="193"/>
        <v>#NAME?</v>
      </c>
      <c r="I1057" s="100" t="e">
        <f t="shared" ca="1" si="194"/>
        <v>#NAME?</v>
      </c>
      <c r="J1057" s="100" t="e">
        <f t="shared" ca="1" si="198"/>
        <v>#NAME?</v>
      </c>
      <c r="K1057" s="100" t="e">
        <f t="shared" ca="1" si="195"/>
        <v>#NAME?</v>
      </c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</row>
    <row r="1058" spans="1:26">
      <c r="A1058" s="100" t="e">
        <f ca="1">IFERROR(__xludf.DUMMYFUNCTION("""COMPUTED_VALUE"""),58784393)</f>
        <v>#NAME?</v>
      </c>
      <c r="B1058" s="100" t="e">
        <f ca="1">IFERROR(__xludf.DUMMYFUNCTION("""COMPUTED_VALUE"""),"BURGERBNB")</f>
        <v>#NAME?</v>
      </c>
      <c r="C1058" s="100" t="e">
        <f ca="1">IFERROR(__xludf.DUMMYFUNCTION("""COMPUTED_VALUE"""),"0.00153600")</f>
        <v>#NAME?</v>
      </c>
      <c r="D1058" s="100" t="e">
        <f t="shared" ca="1" si="197"/>
        <v>#NAME?</v>
      </c>
      <c r="E1058" s="100" t="e">
        <f t="shared" ca="1" si="197"/>
        <v>#NAME?</v>
      </c>
      <c r="F1058" s="100" t="e">
        <f t="shared" ca="1" si="191"/>
        <v>#NAME?</v>
      </c>
      <c r="G1058" s="100" t="e">
        <f t="shared" ca="1" si="192"/>
        <v>#NAME?</v>
      </c>
      <c r="H1058" s="100" t="e">
        <f t="shared" ca="1" si="193"/>
        <v>#NAME?</v>
      </c>
      <c r="I1058" s="100" t="e">
        <f t="shared" ca="1" si="194"/>
        <v>#NAME?</v>
      </c>
      <c r="J1058" s="100" t="e">
        <f t="shared" ca="1" si="198"/>
        <v>#NAME?</v>
      </c>
      <c r="K1058" s="100" t="e">
        <f t="shared" ca="1" si="195"/>
        <v>#NAME?</v>
      </c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</row>
    <row r="1059" spans="1:26">
      <c r="A1059" s="100" t="e">
        <f ca="1">IFERROR(__xludf.DUMMYFUNCTION("""COMPUTED_VALUE"""),58784394)</f>
        <v>#NAME?</v>
      </c>
      <c r="B1059" s="100" t="e">
        <f ca="1">IFERROR(__xludf.DUMMYFUNCTION("""COMPUTED_VALUE"""),"SXPBIDR")</f>
        <v>#NAME?</v>
      </c>
      <c r="C1059" s="100" t="e">
        <f ca="1">IFERROR(__xludf.DUMMYFUNCTION("""COMPUTED_VALUE"""),"0.00")</f>
        <v>#NAME?</v>
      </c>
      <c r="D1059" s="100" t="e">
        <f t="shared" ca="1" si="197"/>
        <v>#NAME?</v>
      </c>
      <c r="E1059" s="100" t="e">
        <f t="shared" ca="1" si="197"/>
        <v>#NAME?</v>
      </c>
      <c r="F1059" s="100" t="e">
        <f t="shared" ca="1" si="191"/>
        <v>#NAME?</v>
      </c>
      <c r="G1059" s="100" t="e">
        <f t="shared" ca="1" si="192"/>
        <v>#NAME?</v>
      </c>
      <c r="H1059" s="100" t="e">
        <f t="shared" ca="1" si="193"/>
        <v>#NAME?</v>
      </c>
      <c r="I1059" s="100" t="e">
        <f t="shared" ca="1" si="194"/>
        <v>#NAME?</v>
      </c>
      <c r="J1059" s="100" t="e">
        <f t="shared" ca="1" si="198"/>
        <v>#NAME?</v>
      </c>
      <c r="K1059" s="100" t="e">
        <f t="shared" ca="1" si="195"/>
        <v>#NAME?</v>
      </c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</row>
    <row r="1060" spans="1:26">
      <c r="A1060" s="100" t="e">
        <f ca="1">IFERROR(__xludf.DUMMYFUNCTION("""COMPUTED_VALUE"""),58784395)</f>
        <v>#NAME?</v>
      </c>
      <c r="B1060" s="100" t="e">
        <f ca="1">IFERROR(__xludf.DUMMYFUNCTION("""COMPUTED_VALUE"""),"LINKBKRW")</f>
        <v>#NAME?</v>
      </c>
      <c r="C1060" s="100" t="e">
        <f ca="1">IFERROR(__xludf.DUMMYFUNCTION("""COMPUTED_VALUE"""),"0.00000000")</f>
        <v>#NAME?</v>
      </c>
      <c r="D1060" s="100" t="e">
        <f t="shared" ca="1" si="197"/>
        <v>#NAME?</v>
      </c>
      <c r="E1060" s="100" t="e">
        <f t="shared" ca="1" si="197"/>
        <v>#NAME?</v>
      </c>
      <c r="F1060" s="100" t="e">
        <f t="shared" ca="1" si="191"/>
        <v>#NAME?</v>
      </c>
      <c r="G1060" s="100" t="e">
        <f t="shared" ca="1" si="192"/>
        <v>#NAME?</v>
      </c>
      <c r="H1060" s="100" t="e">
        <f t="shared" ca="1" si="193"/>
        <v>#NAME?</v>
      </c>
      <c r="I1060" s="100" t="e">
        <f t="shared" ca="1" si="194"/>
        <v>#NAME?</v>
      </c>
      <c r="J1060" s="100" t="e">
        <f t="shared" ca="1" si="198"/>
        <v>#NAME?</v>
      </c>
      <c r="K1060" s="100" t="e">
        <f t="shared" ca="1" si="195"/>
        <v>#NAME?</v>
      </c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</row>
    <row r="1061" spans="1:26">
      <c r="A1061" s="100" t="e">
        <f ca="1">IFERROR(__xludf.DUMMYFUNCTION("""COMPUTED_VALUE"""),58784396)</f>
        <v>#NAME?</v>
      </c>
      <c r="B1061" s="100" t="e">
        <f ca="1">IFERROR(__xludf.DUMMYFUNCTION("""COMPUTED_VALUE"""),"FLMBNB")</f>
        <v>#NAME?</v>
      </c>
      <c r="C1061" s="100" t="e">
        <f ca="1">IFERROR(__xludf.DUMMYFUNCTION("""COMPUTED_VALUE"""),"0.00000000")</f>
        <v>#NAME?</v>
      </c>
      <c r="D1061" s="100" t="e">
        <f t="shared" ca="1" si="197"/>
        <v>#NAME?</v>
      </c>
      <c r="E1061" s="100" t="e">
        <f t="shared" ca="1" si="197"/>
        <v>#NAME?</v>
      </c>
      <c r="F1061" s="100" t="e">
        <f t="shared" ca="1" si="191"/>
        <v>#NAME?</v>
      </c>
      <c r="G1061" s="100" t="e">
        <f t="shared" ca="1" si="192"/>
        <v>#NAME?</v>
      </c>
      <c r="H1061" s="100" t="e">
        <f t="shared" ca="1" si="193"/>
        <v>#NAME?</v>
      </c>
      <c r="I1061" s="100" t="e">
        <f t="shared" ca="1" si="194"/>
        <v>#NAME?</v>
      </c>
      <c r="J1061" s="100" t="e">
        <f t="shared" ca="1" si="198"/>
        <v>#NAME?</v>
      </c>
      <c r="K1061" s="100" t="e">
        <f t="shared" ca="1" si="195"/>
        <v>#NAME?</v>
      </c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</row>
    <row r="1062" spans="1:26">
      <c r="A1062" s="100" t="e">
        <f ca="1">IFERROR(__xludf.DUMMYFUNCTION("""COMPUTED_VALUE"""),58784397)</f>
        <v>#NAME?</v>
      </c>
      <c r="B1062" s="100" t="e">
        <f ca="1">IFERROR(__xludf.DUMMYFUNCTION("""COMPUTED_VALUE"""),"FLMBTC")</f>
        <v>#NAME?</v>
      </c>
      <c r="C1062" s="100" t="e">
        <f ca="1">IFERROR(__xludf.DUMMYFUNCTION("""COMPUTED_VALUE"""),"0.00000021")</f>
        <v>#NAME?</v>
      </c>
      <c r="D1062" s="100" t="e">
        <f t="shared" ref="D1062:E1081" ca="1" si="199">IFERROR(__xludf.DUMMYFUNCTION("""COMPUTED_VALUE"""),"-")</f>
        <v>#NAME?</v>
      </c>
      <c r="E1062" s="100" t="e">
        <f t="shared" ca="1" si="199"/>
        <v>#NAME?</v>
      </c>
      <c r="F1062" s="100" t="e">
        <f t="shared" ca="1" si="191"/>
        <v>#NAME?</v>
      </c>
      <c r="G1062" s="100" t="e">
        <f t="shared" ca="1" si="192"/>
        <v>#NAME?</v>
      </c>
      <c r="H1062" s="100" t="e">
        <f t="shared" ca="1" si="193"/>
        <v>#NAME?</v>
      </c>
      <c r="I1062" s="100" t="e">
        <f t="shared" ca="1" si="194"/>
        <v>#NAME?</v>
      </c>
      <c r="J1062" s="100" t="e">
        <f ca="1">IFERROR(__xludf.DUMMYFUNCTION("""COMPUTED_VALUE"""),"-8.696")</f>
        <v>#NAME?</v>
      </c>
      <c r="K1062" s="100" t="e">
        <f t="shared" ca="1" si="195"/>
        <v>#NAME?</v>
      </c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</row>
    <row r="1063" spans="1:26">
      <c r="A1063" s="100" t="e">
        <f ca="1">IFERROR(__xludf.DUMMYFUNCTION("""COMPUTED_VALUE"""),58784398)</f>
        <v>#NAME?</v>
      </c>
      <c r="B1063" s="100" t="e">
        <f ca="1">IFERROR(__xludf.DUMMYFUNCTION("""COMPUTED_VALUE"""),"FLMBUSD")</f>
        <v>#NAME?</v>
      </c>
      <c r="C1063" s="100" t="e">
        <f ca="1">IFERROR(__xludf.DUMMYFUNCTION("""COMPUTED_VALUE"""),"0.00000000")</f>
        <v>#NAME?</v>
      </c>
      <c r="D1063" s="100" t="e">
        <f t="shared" ca="1" si="199"/>
        <v>#NAME?</v>
      </c>
      <c r="E1063" s="100" t="e">
        <f t="shared" ca="1" si="199"/>
        <v>#NAME?</v>
      </c>
      <c r="F1063" s="100" t="e">
        <f t="shared" ca="1" si="191"/>
        <v>#NAME?</v>
      </c>
      <c r="G1063" s="100" t="e">
        <f t="shared" ca="1" si="192"/>
        <v>#NAME?</v>
      </c>
      <c r="H1063" s="100" t="e">
        <f t="shared" ca="1" si="193"/>
        <v>#NAME?</v>
      </c>
      <c r="I1063" s="100" t="e">
        <f t="shared" ca="1" si="194"/>
        <v>#NAME?</v>
      </c>
      <c r="J1063" s="100" t="e">
        <f ca="1">IFERROR(__xludf.DUMMYFUNCTION("""COMPUTED_VALUE"""),"0")</f>
        <v>#NAME?</v>
      </c>
      <c r="K1063" s="100" t="e">
        <f t="shared" ca="1" si="195"/>
        <v>#NAME?</v>
      </c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</row>
    <row r="1064" spans="1:26">
      <c r="A1064" s="100" t="e">
        <f ca="1">IFERROR(__xludf.DUMMYFUNCTION("""COMPUTED_VALUE"""),58784399)</f>
        <v>#NAME?</v>
      </c>
      <c r="B1064" s="100" t="e">
        <f ca="1">IFERROR(__xludf.DUMMYFUNCTION("""COMPUTED_VALUE"""),"FLMUSDT")</f>
        <v>#NAME?</v>
      </c>
      <c r="C1064" s="100" t="e">
        <f ca="1">IFERROR(__xludf.DUMMYFUNCTION("""COMPUTED_VALUE"""),"0.01820000")</f>
        <v>#NAME?</v>
      </c>
      <c r="D1064" s="100" t="e">
        <f t="shared" ca="1" si="199"/>
        <v>#NAME?</v>
      </c>
      <c r="E1064" s="100" t="e">
        <f t="shared" ca="1" si="199"/>
        <v>#NAME?</v>
      </c>
      <c r="F1064" s="100" t="e">
        <f t="shared" ca="1" si="191"/>
        <v>#NAME?</v>
      </c>
      <c r="G1064" s="100" t="e">
        <f t="shared" ca="1" si="192"/>
        <v>#NAME?</v>
      </c>
      <c r="H1064" s="100" t="e">
        <f t="shared" ca="1" si="193"/>
        <v>#NAME?</v>
      </c>
      <c r="I1064" s="100" t="e">
        <f t="shared" ca="1" si="194"/>
        <v>#NAME?</v>
      </c>
      <c r="J1064" s="100" t="e">
        <f ca="1">IFERROR(__xludf.DUMMYFUNCTION("""COMPUTED_VALUE"""),"-11.220")</f>
        <v>#NAME?</v>
      </c>
      <c r="K1064" s="100" t="e">
        <f t="shared" ca="1" si="195"/>
        <v>#NAME?</v>
      </c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</row>
    <row r="1065" spans="1:26">
      <c r="A1065" s="100" t="e">
        <f ca="1">IFERROR(__xludf.DUMMYFUNCTION("""COMPUTED_VALUE"""),58784400)</f>
        <v>#NAME?</v>
      </c>
      <c r="B1065" s="100" t="e">
        <f ca="1">IFERROR(__xludf.DUMMYFUNCTION("""COMPUTED_VALUE"""),"SCRTBTC")</f>
        <v>#NAME?</v>
      </c>
      <c r="C1065" s="100" t="e">
        <f ca="1">IFERROR(__xludf.DUMMYFUNCTION("""COMPUTED_VALUE"""),"0.00000247")</f>
        <v>#NAME?</v>
      </c>
      <c r="D1065" s="100" t="e">
        <f t="shared" ca="1" si="199"/>
        <v>#NAME?</v>
      </c>
      <c r="E1065" s="100" t="e">
        <f t="shared" ca="1" si="199"/>
        <v>#NAME?</v>
      </c>
      <c r="F1065" s="100" t="e">
        <f t="shared" ca="1" si="191"/>
        <v>#NAME?</v>
      </c>
      <c r="G1065" s="100" t="e">
        <f t="shared" ca="1" si="192"/>
        <v>#NAME?</v>
      </c>
      <c r="H1065" s="100" t="e">
        <f t="shared" ca="1" si="193"/>
        <v>#NAME?</v>
      </c>
      <c r="I1065" s="100" t="e">
        <f t="shared" ca="1" si="194"/>
        <v>#NAME?</v>
      </c>
      <c r="J1065" s="100" t="e">
        <f ca="1">IFERROR(__xludf.DUMMYFUNCTION("""COMPUTED_VALUE"""),"0.000")</f>
        <v>#NAME?</v>
      </c>
      <c r="K1065" s="100" t="e">
        <f t="shared" ca="1" si="195"/>
        <v>#NAME?</v>
      </c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</row>
    <row r="1066" spans="1:26">
      <c r="A1066" s="100" t="e">
        <f ca="1">IFERROR(__xludf.DUMMYFUNCTION("""COMPUTED_VALUE"""),58784401)</f>
        <v>#NAME?</v>
      </c>
      <c r="B1066" s="100" t="e">
        <f ca="1">IFERROR(__xludf.DUMMYFUNCTION("""COMPUTED_VALUE"""),"SCRTETH")</f>
        <v>#NAME?</v>
      </c>
      <c r="C1066" s="100" t="e">
        <f ca="1">IFERROR(__xludf.DUMMYFUNCTION("""COMPUTED_VALUE"""),"0.00016400")</f>
        <v>#NAME?</v>
      </c>
      <c r="D1066" s="100" t="e">
        <f t="shared" ca="1" si="199"/>
        <v>#NAME?</v>
      </c>
      <c r="E1066" s="100" t="e">
        <f t="shared" ca="1" si="199"/>
        <v>#NAME?</v>
      </c>
      <c r="F1066" s="100" t="e">
        <f t="shared" ca="1" si="191"/>
        <v>#NAME?</v>
      </c>
      <c r="G1066" s="100" t="e">
        <f t="shared" ca="1" si="192"/>
        <v>#NAME?</v>
      </c>
      <c r="H1066" s="100" t="e">
        <f t="shared" ca="1" si="193"/>
        <v>#NAME?</v>
      </c>
      <c r="I1066" s="100" t="e">
        <f t="shared" ca="1" si="194"/>
        <v>#NAME?</v>
      </c>
      <c r="J1066" s="100" t="e">
        <f ca="1">IFERROR(__xludf.DUMMYFUNCTION("""COMPUTED_VALUE"""),"0")</f>
        <v>#NAME?</v>
      </c>
      <c r="K1066" s="100" t="e">
        <f t="shared" ca="1" si="195"/>
        <v>#NAME?</v>
      </c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</row>
    <row r="1067" spans="1:26">
      <c r="A1067" s="100" t="e">
        <f ca="1">IFERROR(__xludf.DUMMYFUNCTION("""COMPUTED_VALUE"""),58784402)</f>
        <v>#NAME?</v>
      </c>
      <c r="B1067" s="100" t="e">
        <f ca="1">IFERROR(__xludf.DUMMYFUNCTION("""COMPUTED_VALUE"""),"CAKEBNB")</f>
        <v>#NAME?</v>
      </c>
      <c r="C1067" s="100" t="e">
        <f ca="1">IFERROR(__xludf.DUMMYFUNCTION("""COMPUTED_VALUE"""),"0.00319800")</f>
        <v>#NAME?</v>
      </c>
      <c r="D1067" s="100" t="e">
        <f t="shared" ca="1" si="199"/>
        <v>#NAME?</v>
      </c>
      <c r="E1067" s="100" t="e">
        <f t="shared" ca="1" si="199"/>
        <v>#NAME?</v>
      </c>
      <c r="F1067" s="100" t="e">
        <f t="shared" ca="1" si="191"/>
        <v>#NAME?</v>
      </c>
      <c r="G1067" s="100" t="e">
        <f t="shared" ca="1" si="192"/>
        <v>#NAME?</v>
      </c>
      <c r="H1067" s="100" t="e">
        <f t="shared" ca="1" si="193"/>
        <v>#NAME?</v>
      </c>
      <c r="I1067" s="100" t="e">
        <f t="shared" ca="1" si="194"/>
        <v>#NAME?</v>
      </c>
      <c r="J1067" s="100" t="e">
        <f ca="1">IFERROR(__xludf.DUMMYFUNCTION("""COMPUTED_VALUE"""),"-3.238")</f>
        <v>#NAME?</v>
      </c>
      <c r="K1067" s="100" t="e">
        <f t="shared" ca="1" si="195"/>
        <v>#NAME?</v>
      </c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</row>
    <row r="1068" spans="1:26">
      <c r="A1068" s="100" t="e">
        <f ca="1">IFERROR(__xludf.DUMMYFUNCTION("""COMPUTED_VALUE"""),58784403)</f>
        <v>#NAME?</v>
      </c>
      <c r="B1068" s="100" t="e">
        <f ca="1">IFERROR(__xludf.DUMMYFUNCTION("""COMPUTED_VALUE"""),"CAKEBUSD")</f>
        <v>#NAME?</v>
      </c>
      <c r="C1068" s="100" t="e">
        <f ca="1">IFERROR(__xludf.DUMMYFUNCTION("""COMPUTED_VALUE"""),"1.54000000")</f>
        <v>#NAME?</v>
      </c>
      <c r="D1068" s="100" t="e">
        <f t="shared" ca="1" si="199"/>
        <v>#NAME?</v>
      </c>
      <c r="E1068" s="100" t="e">
        <f t="shared" ca="1" si="199"/>
        <v>#NAME?</v>
      </c>
      <c r="F1068" s="100" t="e">
        <f t="shared" ca="1" si="191"/>
        <v>#NAME?</v>
      </c>
      <c r="G1068" s="100" t="e">
        <f t="shared" ca="1" si="192"/>
        <v>#NAME?</v>
      </c>
      <c r="H1068" s="100" t="e">
        <f t="shared" ca="1" si="193"/>
        <v>#NAME?</v>
      </c>
      <c r="I1068" s="100" t="e">
        <f t="shared" ca="1" si="194"/>
        <v>#NAME?</v>
      </c>
      <c r="J1068" s="100" t="e">
        <f t="shared" ref="J1068:J1074" ca="1" si="200">IFERROR(__xludf.DUMMYFUNCTION("""COMPUTED_VALUE"""),"0")</f>
        <v>#NAME?</v>
      </c>
      <c r="K1068" s="100" t="e">
        <f t="shared" ca="1" si="195"/>
        <v>#NAME?</v>
      </c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</row>
    <row r="1069" spans="1:26">
      <c r="A1069" s="100" t="e">
        <f ca="1">IFERROR(__xludf.DUMMYFUNCTION("""COMPUTED_VALUE"""),58784404)</f>
        <v>#NAME?</v>
      </c>
      <c r="B1069" s="100" t="e">
        <f ca="1">IFERROR(__xludf.DUMMYFUNCTION("""COMPUTED_VALUE"""),"SPARTABNB")</f>
        <v>#NAME?</v>
      </c>
      <c r="C1069" s="100" t="e">
        <f ca="1">IFERROR(__xludf.DUMMYFUNCTION("""COMPUTED_VALUE"""),"0.00000000")</f>
        <v>#NAME?</v>
      </c>
      <c r="D1069" s="100" t="e">
        <f t="shared" ca="1" si="199"/>
        <v>#NAME?</v>
      </c>
      <c r="E1069" s="100" t="e">
        <f t="shared" ca="1" si="199"/>
        <v>#NAME?</v>
      </c>
      <c r="F1069" s="100" t="e">
        <f t="shared" ca="1" si="191"/>
        <v>#NAME?</v>
      </c>
      <c r="G1069" s="100" t="e">
        <f t="shared" ca="1" si="192"/>
        <v>#NAME?</v>
      </c>
      <c r="H1069" s="100" t="e">
        <f t="shared" ca="1" si="193"/>
        <v>#NAME?</v>
      </c>
      <c r="I1069" s="100" t="e">
        <f t="shared" ca="1" si="194"/>
        <v>#NAME?</v>
      </c>
      <c r="J1069" s="100" t="e">
        <f t="shared" ca="1" si="200"/>
        <v>#NAME?</v>
      </c>
      <c r="K1069" s="100" t="e">
        <f t="shared" ca="1" si="195"/>
        <v>#NAME?</v>
      </c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</row>
    <row r="1070" spans="1:26">
      <c r="A1070" s="100" t="e">
        <f ca="1">IFERROR(__xludf.DUMMYFUNCTION("""COMPUTED_VALUE"""),58784405)</f>
        <v>#NAME?</v>
      </c>
      <c r="B1070" s="100" t="e">
        <f ca="1">IFERROR(__xludf.DUMMYFUNCTION("""COMPUTED_VALUE"""),"UNIUPUSDT")</f>
        <v>#NAME?</v>
      </c>
      <c r="C1070" s="100" t="e">
        <f ca="1">IFERROR(__xludf.DUMMYFUNCTION("""COMPUTED_VALUE"""),"0.00000000")</f>
        <v>#NAME?</v>
      </c>
      <c r="D1070" s="100" t="e">
        <f t="shared" ca="1" si="199"/>
        <v>#NAME?</v>
      </c>
      <c r="E1070" s="100" t="e">
        <f t="shared" ca="1" si="199"/>
        <v>#NAME?</v>
      </c>
      <c r="F1070" s="100" t="e">
        <f t="shared" ca="1" si="191"/>
        <v>#NAME?</v>
      </c>
      <c r="G1070" s="100" t="e">
        <f t="shared" ca="1" si="192"/>
        <v>#NAME?</v>
      </c>
      <c r="H1070" s="100" t="e">
        <f t="shared" ca="1" si="193"/>
        <v>#NAME?</v>
      </c>
      <c r="I1070" s="100" t="e">
        <f t="shared" ca="1" si="194"/>
        <v>#NAME?</v>
      </c>
      <c r="J1070" s="100" t="e">
        <f t="shared" ca="1" si="200"/>
        <v>#NAME?</v>
      </c>
      <c r="K1070" s="100" t="e">
        <f t="shared" ca="1" si="195"/>
        <v>#NAME?</v>
      </c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</row>
    <row r="1071" spans="1:26">
      <c r="A1071" s="100" t="e">
        <f ca="1">IFERROR(__xludf.DUMMYFUNCTION("""COMPUTED_VALUE"""),58784406)</f>
        <v>#NAME?</v>
      </c>
      <c r="B1071" s="100" t="e">
        <f ca="1">IFERROR(__xludf.DUMMYFUNCTION("""COMPUTED_VALUE"""),"UNIDOWNUSDT")</f>
        <v>#NAME?</v>
      </c>
      <c r="C1071" s="100" t="e">
        <f ca="1">IFERROR(__xludf.DUMMYFUNCTION("""COMPUTED_VALUE"""),"0.00000000")</f>
        <v>#NAME?</v>
      </c>
      <c r="D1071" s="100" t="e">
        <f t="shared" ca="1" si="199"/>
        <v>#NAME?</v>
      </c>
      <c r="E1071" s="100" t="e">
        <f t="shared" ca="1" si="199"/>
        <v>#NAME?</v>
      </c>
      <c r="F1071" s="100" t="e">
        <f t="shared" ca="1" si="191"/>
        <v>#NAME?</v>
      </c>
      <c r="G1071" s="100" t="e">
        <f t="shared" ca="1" si="192"/>
        <v>#NAME?</v>
      </c>
      <c r="H1071" s="100" t="e">
        <f t="shared" ca="1" si="193"/>
        <v>#NAME?</v>
      </c>
      <c r="I1071" s="100" t="e">
        <f t="shared" ca="1" si="194"/>
        <v>#NAME?</v>
      </c>
      <c r="J1071" s="100" t="e">
        <f t="shared" ca="1" si="200"/>
        <v>#NAME?</v>
      </c>
      <c r="K1071" s="100" t="e">
        <f t="shared" ca="1" si="195"/>
        <v>#NAME?</v>
      </c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</row>
    <row r="1072" spans="1:26">
      <c r="A1072" s="100" t="e">
        <f ca="1">IFERROR(__xludf.DUMMYFUNCTION("""COMPUTED_VALUE"""),58784407)</f>
        <v>#NAME?</v>
      </c>
      <c r="B1072" s="100" t="e">
        <f ca="1">IFERROR(__xludf.DUMMYFUNCTION("""COMPUTED_VALUE"""),"ORNBTC")</f>
        <v>#NAME?</v>
      </c>
      <c r="C1072" s="100" t="e">
        <f ca="1">IFERROR(__xludf.DUMMYFUNCTION("""COMPUTED_VALUE"""),"0.00001586")</f>
        <v>#NAME?</v>
      </c>
      <c r="D1072" s="100" t="e">
        <f t="shared" ca="1" si="199"/>
        <v>#NAME?</v>
      </c>
      <c r="E1072" s="100" t="e">
        <f t="shared" ca="1" si="199"/>
        <v>#NAME?</v>
      </c>
      <c r="F1072" s="100" t="e">
        <f t="shared" ca="1" si="191"/>
        <v>#NAME?</v>
      </c>
      <c r="G1072" s="100" t="e">
        <f t="shared" ca="1" si="192"/>
        <v>#NAME?</v>
      </c>
      <c r="H1072" s="100" t="e">
        <f t="shared" ca="1" si="193"/>
        <v>#NAME?</v>
      </c>
      <c r="I1072" s="100" t="e">
        <f t="shared" ca="1" si="194"/>
        <v>#NAME?</v>
      </c>
      <c r="J1072" s="100" t="e">
        <f t="shared" ca="1" si="200"/>
        <v>#NAME?</v>
      </c>
      <c r="K1072" s="100" t="e">
        <f t="shared" ca="1" si="195"/>
        <v>#NAME?</v>
      </c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</row>
    <row r="1073" spans="1:26">
      <c r="A1073" s="100" t="e">
        <f ca="1">IFERROR(__xludf.DUMMYFUNCTION("""COMPUTED_VALUE"""),58784408)</f>
        <v>#NAME?</v>
      </c>
      <c r="B1073" s="100" t="e">
        <f ca="1">IFERROR(__xludf.DUMMYFUNCTION("""COMPUTED_VALUE"""),"ORNUSDT")</f>
        <v>#NAME?</v>
      </c>
      <c r="C1073" s="100" t="e">
        <f ca="1">IFERROR(__xludf.DUMMYFUNCTION("""COMPUTED_VALUE"""),"1.05300000")</f>
        <v>#NAME?</v>
      </c>
      <c r="D1073" s="100" t="e">
        <f t="shared" ca="1" si="199"/>
        <v>#NAME?</v>
      </c>
      <c r="E1073" s="100" t="e">
        <f t="shared" ca="1" si="199"/>
        <v>#NAME?</v>
      </c>
      <c r="F1073" s="100" t="e">
        <f t="shared" ca="1" si="191"/>
        <v>#NAME?</v>
      </c>
      <c r="G1073" s="100" t="e">
        <f t="shared" ca="1" si="192"/>
        <v>#NAME?</v>
      </c>
      <c r="H1073" s="100" t="e">
        <f t="shared" ca="1" si="193"/>
        <v>#NAME?</v>
      </c>
      <c r="I1073" s="100" t="e">
        <f t="shared" ca="1" si="194"/>
        <v>#NAME?</v>
      </c>
      <c r="J1073" s="100" t="e">
        <f t="shared" ca="1" si="200"/>
        <v>#NAME?</v>
      </c>
      <c r="K1073" s="100" t="e">
        <f t="shared" ca="1" si="195"/>
        <v>#NAME?</v>
      </c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</row>
    <row r="1074" spans="1:26">
      <c r="A1074" s="100" t="e">
        <f ca="1">IFERROR(__xludf.DUMMYFUNCTION("""COMPUTED_VALUE"""),58784409)</f>
        <v>#NAME?</v>
      </c>
      <c r="B1074" s="100" t="e">
        <f ca="1">IFERROR(__xludf.DUMMYFUNCTION("""COMPUTED_VALUE"""),"TRXNGN")</f>
        <v>#NAME?</v>
      </c>
      <c r="C1074" s="100" t="e">
        <f ca="1">IFERROR(__xludf.DUMMYFUNCTION("""COMPUTED_VALUE"""),"0.00000000")</f>
        <v>#NAME?</v>
      </c>
      <c r="D1074" s="100" t="e">
        <f t="shared" ca="1" si="199"/>
        <v>#NAME?</v>
      </c>
      <c r="E1074" s="100" t="e">
        <f t="shared" ca="1" si="199"/>
        <v>#NAME?</v>
      </c>
      <c r="F1074" s="100" t="e">
        <f t="shared" ca="1" si="191"/>
        <v>#NAME?</v>
      </c>
      <c r="G1074" s="100" t="e">
        <f t="shared" ca="1" si="192"/>
        <v>#NAME?</v>
      </c>
      <c r="H1074" s="100" t="e">
        <f t="shared" ca="1" si="193"/>
        <v>#NAME?</v>
      </c>
      <c r="I1074" s="100" t="e">
        <f t="shared" ca="1" si="194"/>
        <v>#NAME?</v>
      </c>
      <c r="J1074" s="100" t="e">
        <f t="shared" ca="1" si="200"/>
        <v>#NAME?</v>
      </c>
      <c r="K1074" s="100" t="e">
        <f t="shared" ca="1" si="195"/>
        <v>#NAME?</v>
      </c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</row>
    <row r="1075" spans="1:26">
      <c r="A1075" s="100" t="e">
        <f ca="1">IFERROR(__xludf.DUMMYFUNCTION("""COMPUTED_VALUE"""),58784410)</f>
        <v>#NAME?</v>
      </c>
      <c r="B1075" s="100" t="e">
        <f ca="1">IFERROR(__xludf.DUMMYFUNCTION("""COMPUTED_VALUE"""),"SXPTRY")</f>
        <v>#NAME?</v>
      </c>
      <c r="C1075" s="100" t="e">
        <f ca="1">IFERROR(__xludf.DUMMYFUNCTION("""COMPUTED_VALUE"""),"7.73900000")</f>
        <v>#NAME?</v>
      </c>
      <c r="D1075" s="100" t="e">
        <f t="shared" ca="1" si="199"/>
        <v>#NAME?</v>
      </c>
      <c r="E1075" s="100" t="e">
        <f t="shared" ca="1" si="199"/>
        <v>#NAME?</v>
      </c>
      <c r="F1075" s="100" t="e">
        <f t="shared" ca="1" si="191"/>
        <v>#NAME?</v>
      </c>
      <c r="G1075" s="100" t="e">
        <f t="shared" ca="1" si="192"/>
        <v>#NAME?</v>
      </c>
      <c r="H1075" s="100" t="e">
        <f t="shared" ca="1" si="193"/>
        <v>#NAME?</v>
      </c>
      <c r="I1075" s="100" t="e">
        <f t="shared" ca="1" si="194"/>
        <v>#NAME?</v>
      </c>
      <c r="J1075" s="100" t="e">
        <f ca="1">IFERROR(__xludf.DUMMYFUNCTION("""COMPUTED_VALUE"""),"-4.727")</f>
        <v>#NAME?</v>
      </c>
      <c r="K1075" s="100" t="e">
        <f t="shared" ca="1" si="195"/>
        <v>#NAME?</v>
      </c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</row>
    <row r="1076" spans="1:26">
      <c r="A1076" s="100" t="e">
        <f ca="1">IFERROR(__xludf.DUMMYFUNCTION("""COMPUTED_VALUE"""),58784411)</f>
        <v>#NAME?</v>
      </c>
      <c r="B1076" s="100" t="e">
        <f ca="1">IFERROR(__xludf.DUMMYFUNCTION("""COMPUTED_VALUE"""),"UTKBTC")</f>
        <v>#NAME?</v>
      </c>
      <c r="C1076" s="100" t="e">
        <f ca="1">IFERROR(__xludf.DUMMYFUNCTION("""COMPUTED_VALUE"""),"0.00000045")</f>
        <v>#NAME?</v>
      </c>
      <c r="D1076" s="100" t="e">
        <f t="shared" ca="1" si="199"/>
        <v>#NAME?</v>
      </c>
      <c r="E1076" s="100" t="e">
        <f t="shared" ca="1" si="199"/>
        <v>#NAME?</v>
      </c>
      <c r="F1076" s="100" t="e">
        <f t="shared" ca="1" si="191"/>
        <v>#NAME?</v>
      </c>
      <c r="G1076" s="100" t="e">
        <f t="shared" ca="1" si="192"/>
        <v>#NAME?</v>
      </c>
      <c r="H1076" s="100" t="e">
        <f t="shared" ca="1" si="193"/>
        <v>#NAME?</v>
      </c>
      <c r="I1076" s="100" t="e">
        <f t="shared" ca="1" si="194"/>
        <v>#NAME?</v>
      </c>
      <c r="J1076" s="100" t="e">
        <f ca="1">IFERROR(__xludf.DUMMYFUNCTION("""COMPUTED_VALUE"""),"0")</f>
        <v>#NAME?</v>
      </c>
      <c r="K1076" s="100" t="e">
        <f t="shared" ca="1" si="195"/>
        <v>#NAME?</v>
      </c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</row>
    <row r="1077" spans="1:26">
      <c r="A1077" s="100" t="e">
        <f ca="1">IFERROR(__xludf.DUMMYFUNCTION("""COMPUTED_VALUE"""),58784412)</f>
        <v>#NAME?</v>
      </c>
      <c r="B1077" s="100" t="e">
        <f ca="1">IFERROR(__xludf.DUMMYFUNCTION("""COMPUTED_VALUE"""),"UTKUSDT")</f>
        <v>#NAME?</v>
      </c>
      <c r="C1077" s="100" t="e">
        <f ca="1">IFERROR(__xludf.DUMMYFUNCTION("""COMPUTED_VALUE"""),"0.03117000")</f>
        <v>#NAME?</v>
      </c>
      <c r="D1077" s="100" t="e">
        <f t="shared" ca="1" si="199"/>
        <v>#NAME?</v>
      </c>
      <c r="E1077" s="100" t="e">
        <f t="shared" ca="1" si="199"/>
        <v>#NAME?</v>
      </c>
      <c r="F1077" s="100" t="e">
        <f t="shared" ca="1" si="191"/>
        <v>#NAME?</v>
      </c>
      <c r="G1077" s="100" t="e">
        <f t="shared" ca="1" si="192"/>
        <v>#NAME?</v>
      </c>
      <c r="H1077" s="100" t="e">
        <f t="shared" ca="1" si="193"/>
        <v>#NAME?</v>
      </c>
      <c r="I1077" s="100" t="e">
        <f t="shared" ca="1" si="194"/>
        <v>#NAME?</v>
      </c>
      <c r="J1077" s="100" t="e">
        <f ca="1">IFERROR(__xludf.DUMMYFUNCTION("""COMPUTED_VALUE"""),"-2.319")</f>
        <v>#NAME?</v>
      </c>
      <c r="K1077" s="100" t="e">
        <f t="shared" ca="1" si="195"/>
        <v>#NAME?</v>
      </c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</row>
    <row r="1078" spans="1:26">
      <c r="A1078" s="100" t="e">
        <f ca="1">IFERROR(__xludf.DUMMYFUNCTION("""COMPUTED_VALUE"""),58784413)</f>
        <v>#NAME?</v>
      </c>
      <c r="B1078" s="100" t="e">
        <f ca="1">IFERROR(__xludf.DUMMYFUNCTION("""COMPUTED_VALUE"""),"XVSBNB")</f>
        <v>#NAME?</v>
      </c>
      <c r="C1078" s="100" t="e">
        <f ca="1">IFERROR(__xludf.DUMMYFUNCTION("""COMPUTED_VALUE"""),"0.00856000")</f>
        <v>#NAME?</v>
      </c>
      <c r="D1078" s="100" t="e">
        <f t="shared" ca="1" si="199"/>
        <v>#NAME?</v>
      </c>
      <c r="E1078" s="100" t="e">
        <f t="shared" ca="1" si="199"/>
        <v>#NAME?</v>
      </c>
      <c r="F1078" s="100" t="e">
        <f t="shared" ca="1" si="191"/>
        <v>#NAME?</v>
      </c>
      <c r="G1078" s="100" t="e">
        <f t="shared" ca="1" si="192"/>
        <v>#NAME?</v>
      </c>
      <c r="H1078" s="100" t="e">
        <f t="shared" ca="1" si="193"/>
        <v>#NAME?</v>
      </c>
      <c r="I1078" s="100" t="e">
        <f t="shared" ca="1" si="194"/>
        <v>#NAME?</v>
      </c>
      <c r="J1078" s="100" t="e">
        <f ca="1">IFERROR(__xludf.DUMMYFUNCTION("""COMPUTED_VALUE"""),"-0.465")</f>
        <v>#NAME?</v>
      </c>
      <c r="K1078" s="100" t="e">
        <f t="shared" ca="1" si="195"/>
        <v>#NAME?</v>
      </c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</row>
    <row r="1079" spans="1:26">
      <c r="A1079" s="100" t="e">
        <f ca="1">IFERROR(__xludf.DUMMYFUNCTION("""COMPUTED_VALUE"""),58784414)</f>
        <v>#NAME?</v>
      </c>
      <c r="B1079" s="100" t="e">
        <f ca="1">IFERROR(__xludf.DUMMYFUNCTION("""COMPUTED_VALUE"""),"XVSBTC")</f>
        <v>#NAME?</v>
      </c>
      <c r="C1079" s="100" t="e">
        <f ca="1">IFERROR(__xludf.DUMMYFUNCTION("""COMPUTED_VALUE"""),"0.00005880")</f>
        <v>#NAME?</v>
      </c>
      <c r="D1079" s="100" t="e">
        <f t="shared" ca="1" si="199"/>
        <v>#NAME?</v>
      </c>
      <c r="E1079" s="100" t="e">
        <f t="shared" ca="1" si="199"/>
        <v>#NAME?</v>
      </c>
      <c r="F1079" s="100" t="e">
        <f t="shared" ca="1" si="191"/>
        <v>#NAME?</v>
      </c>
      <c r="G1079" s="100" t="e">
        <f t="shared" ca="1" si="192"/>
        <v>#NAME?</v>
      </c>
      <c r="H1079" s="100" t="e">
        <f t="shared" ca="1" si="193"/>
        <v>#NAME?</v>
      </c>
      <c r="I1079" s="100" t="e">
        <f t="shared" ca="1" si="194"/>
        <v>#NAME?</v>
      </c>
      <c r="J1079" s="100" t="e">
        <f ca="1">IFERROR(__xludf.DUMMYFUNCTION("""COMPUTED_VALUE"""),"-1.176")</f>
        <v>#NAME?</v>
      </c>
      <c r="K1079" s="100" t="e">
        <f t="shared" ca="1" si="195"/>
        <v>#NAME?</v>
      </c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</row>
    <row r="1080" spans="1:26">
      <c r="A1080" s="100" t="e">
        <f ca="1">IFERROR(__xludf.DUMMYFUNCTION("""COMPUTED_VALUE"""),58784415)</f>
        <v>#NAME?</v>
      </c>
      <c r="B1080" s="100" t="e">
        <f ca="1">IFERROR(__xludf.DUMMYFUNCTION("""COMPUTED_VALUE"""),"XVSBUSD")</f>
        <v>#NAME?</v>
      </c>
      <c r="C1080" s="100" t="e">
        <f ca="1">IFERROR(__xludf.DUMMYFUNCTION("""COMPUTED_VALUE"""),"7.03000000")</f>
        <v>#NAME?</v>
      </c>
      <c r="D1080" s="100" t="e">
        <f t="shared" ca="1" si="199"/>
        <v>#NAME?</v>
      </c>
      <c r="E1080" s="100" t="e">
        <f t="shared" ca="1" si="199"/>
        <v>#NAME?</v>
      </c>
      <c r="F1080" s="100" t="e">
        <f t="shared" ca="1" si="191"/>
        <v>#NAME?</v>
      </c>
      <c r="G1080" s="100" t="e">
        <f t="shared" ca="1" si="192"/>
        <v>#NAME?</v>
      </c>
      <c r="H1080" s="100" t="e">
        <f t="shared" ca="1" si="193"/>
        <v>#NAME?</v>
      </c>
      <c r="I1080" s="100" t="e">
        <f t="shared" ca="1" si="194"/>
        <v>#NAME?</v>
      </c>
      <c r="J1080" s="100" t="e">
        <f ca="1">IFERROR(__xludf.DUMMYFUNCTION("""COMPUTED_VALUE"""),"0")</f>
        <v>#NAME?</v>
      </c>
      <c r="K1080" s="100" t="e">
        <f t="shared" ca="1" si="195"/>
        <v>#NAME?</v>
      </c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</row>
    <row r="1081" spans="1:26">
      <c r="A1081" s="100" t="e">
        <f ca="1">IFERROR(__xludf.DUMMYFUNCTION("""COMPUTED_VALUE"""),58784416)</f>
        <v>#NAME?</v>
      </c>
      <c r="B1081" s="100" t="e">
        <f ca="1">IFERROR(__xludf.DUMMYFUNCTION("""COMPUTED_VALUE"""),"XVSUSDT")</f>
        <v>#NAME?</v>
      </c>
      <c r="C1081" s="100" t="e">
        <f ca="1">IFERROR(__xludf.DUMMYFUNCTION("""COMPUTED_VALUE"""),"5.21000000")</f>
        <v>#NAME?</v>
      </c>
      <c r="D1081" s="100" t="e">
        <f t="shared" ca="1" si="199"/>
        <v>#NAME?</v>
      </c>
      <c r="E1081" s="100" t="e">
        <f t="shared" ca="1" si="199"/>
        <v>#NAME?</v>
      </c>
      <c r="F1081" s="100" t="e">
        <f t="shared" ca="1" si="191"/>
        <v>#NAME?</v>
      </c>
      <c r="G1081" s="100" t="e">
        <f t="shared" ca="1" si="192"/>
        <v>#NAME?</v>
      </c>
      <c r="H1081" s="100" t="e">
        <f t="shared" ca="1" si="193"/>
        <v>#NAME?</v>
      </c>
      <c r="I1081" s="100" t="e">
        <f t="shared" ca="1" si="194"/>
        <v>#NAME?</v>
      </c>
      <c r="J1081" s="100" t="e">
        <f ca="1">IFERROR(__xludf.DUMMYFUNCTION("""COMPUTED_VALUE"""),"0.192")</f>
        <v>#NAME?</v>
      </c>
      <c r="K1081" s="100" t="e">
        <f t="shared" ca="1" si="195"/>
        <v>#NAME?</v>
      </c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</row>
    <row r="1082" spans="1:26">
      <c r="A1082" s="100" t="e">
        <f ca="1">IFERROR(__xludf.DUMMYFUNCTION("""COMPUTED_VALUE"""),58784417)</f>
        <v>#NAME?</v>
      </c>
      <c r="B1082" s="100" t="e">
        <f ca="1">IFERROR(__xludf.DUMMYFUNCTION("""COMPUTED_VALUE"""),"ALPHABNB")</f>
        <v>#NAME?</v>
      </c>
      <c r="C1082" s="100" t="e">
        <f ca="1">IFERROR(__xludf.DUMMYFUNCTION("""COMPUTED_VALUE"""),"0.00029900")</f>
        <v>#NAME?</v>
      </c>
      <c r="D1082" s="100" t="e">
        <f t="shared" ref="D1082:E1101" ca="1" si="201">IFERROR(__xludf.DUMMYFUNCTION("""COMPUTED_VALUE"""),"-")</f>
        <v>#NAME?</v>
      </c>
      <c r="E1082" s="100" t="e">
        <f t="shared" ca="1" si="201"/>
        <v>#NAME?</v>
      </c>
      <c r="F1082" s="100" t="e">
        <f t="shared" ca="1" si="191"/>
        <v>#NAME?</v>
      </c>
      <c r="G1082" s="100" t="e">
        <f t="shared" ca="1" si="192"/>
        <v>#NAME?</v>
      </c>
      <c r="H1082" s="100" t="e">
        <f t="shared" ca="1" si="193"/>
        <v>#NAME?</v>
      </c>
      <c r="I1082" s="100" t="e">
        <f t="shared" ca="1" si="194"/>
        <v>#NAME?</v>
      </c>
      <c r="J1082" s="100" t="e">
        <f ca="1">IFERROR(__xludf.DUMMYFUNCTION("""COMPUTED_VALUE"""),"0")</f>
        <v>#NAME?</v>
      </c>
      <c r="K1082" s="100" t="e">
        <f t="shared" ca="1" si="195"/>
        <v>#NAME?</v>
      </c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</row>
    <row r="1083" spans="1:26">
      <c r="A1083" s="100" t="e">
        <f ca="1">IFERROR(__xludf.DUMMYFUNCTION("""COMPUTED_VALUE"""),58784418)</f>
        <v>#NAME?</v>
      </c>
      <c r="B1083" s="100" t="e">
        <f ca="1">IFERROR(__xludf.DUMMYFUNCTION("""COMPUTED_VALUE"""),"ALPHABTC")</f>
        <v>#NAME?</v>
      </c>
      <c r="C1083" s="100" t="e">
        <f ca="1">IFERROR(__xludf.DUMMYFUNCTION("""COMPUTED_VALUE"""),"0.00000035")</f>
        <v>#NAME?</v>
      </c>
      <c r="D1083" s="100" t="e">
        <f t="shared" ca="1" si="201"/>
        <v>#NAME?</v>
      </c>
      <c r="E1083" s="100" t="e">
        <f t="shared" ca="1" si="201"/>
        <v>#NAME?</v>
      </c>
      <c r="F1083" s="100" t="e">
        <f t="shared" ca="1" si="191"/>
        <v>#NAME?</v>
      </c>
      <c r="G1083" s="100" t="e">
        <f t="shared" ca="1" si="192"/>
        <v>#NAME?</v>
      </c>
      <c r="H1083" s="100" t="e">
        <f t="shared" ca="1" si="193"/>
        <v>#NAME?</v>
      </c>
      <c r="I1083" s="100" t="e">
        <f t="shared" ca="1" si="194"/>
        <v>#NAME?</v>
      </c>
      <c r="J1083" s="100" t="e">
        <f ca="1">IFERROR(__xludf.DUMMYFUNCTION("""COMPUTED_VALUE"""),"0.000")</f>
        <v>#NAME?</v>
      </c>
      <c r="K1083" s="100" t="e">
        <f t="shared" ca="1" si="195"/>
        <v>#NAME?</v>
      </c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</row>
    <row r="1084" spans="1:26">
      <c r="A1084" s="100" t="e">
        <f ca="1">IFERROR(__xludf.DUMMYFUNCTION("""COMPUTED_VALUE"""),58784419)</f>
        <v>#NAME?</v>
      </c>
      <c r="B1084" s="100" t="e">
        <f ca="1">IFERROR(__xludf.DUMMYFUNCTION("""COMPUTED_VALUE"""),"ALPHABUSD")</f>
        <v>#NAME?</v>
      </c>
      <c r="C1084" s="100" t="e">
        <f ca="1">IFERROR(__xludf.DUMMYFUNCTION("""COMPUTED_VALUE"""),"0.07710000")</f>
        <v>#NAME?</v>
      </c>
      <c r="D1084" s="100" t="e">
        <f t="shared" ca="1" si="201"/>
        <v>#NAME?</v>
      </c>
      <c r="E1084" s="100" t="e">
        <f t="shared" ca="1" si="201"/>
        <v>#NAME?</v>
      </c>
      <c r="F1084" s="100" t="e">
        <f t="shared" ca="1" si="191"/>
        <v>#NAME?</v>
      </c>
      <c r="G1084" s="100" t="e">
        <f t="shared" ca="1" si="192"/>
        <v>#NAME?</v>
      </c>
      <c r="H1084" s="100" t="e">
        <f t="shared" ca="1" si="193"/>
        <v>#NAME?</v>
      </c>
      <c r="I1084" s="100" t="e">
        <f t="shared" ca="1" si="194"/>
        <v>#NAME?</v>
      </c>
      <c r="J1084" s="100" t="e">
        <f ca="1">IFERROR(__xludf.DUMMYFUNCTION("""COMPUTED_VALUE"""),"0")</f>
        <v>#NAME?</v>
      </c>
      <c r="K1084" s="100" t="e">
        <f t="shared" ca="1" si="195"/>
        <v>#NAME?</v>
      </c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</row>
    <row r="1085" spans="1:26">
      <c r="A1085" s="100" t="e">
        <f ca="1">IFERROR(__xludf.DUMMYFUNCTION("""COMPUTED_VALUE"""),58784420)</f>
        <v>#NAME?</v>
      </c>
      <c r="B1085" s="100" t="e">
        <f ca="1">IFERROR(__xludf.DUMMYFUNCTION("""COMPUTED_VALUE"""),"ALPHAUSDT")</f>
        <v>#NAME?</v>
      </c>
      <c r="C1085" s="100" t="e">
        <f ca="1">IFERROR(__xludf.DUMMYFUNCTION("""COMPUTED_VALUE"""),"0.03000000")</f>
        <v>#NAME?</v>
      </c>
      <c r="D1085" s="100" t="e">
        <f t="shared" ca="1" si="201"/>
        <v>#NAME?</v>
      </c>
      <c r="E1085" s="100" t="e">
        <f t="shared" ca="1" si="201"/>
        <v>#NAME?</v>
      </c>
      <c r="F1085" s="100" t="e">
        <f t="shared" ca="1" si="191"/>
        <v>#NAME?</v>
      </c>
      <c r="G1085" s="100" t="e">
        <f t="shared" ca="1" si="192"/>
        <v>#NAME?</v>
      </c>
      <c r="H1085" s="100" t="e">
        <f t="shared" ca="1" si="193"/>
        <v>#NAME?</v>
      </c>
      <c r="I1085" s="100" t="e">
        <f t="shared" ca="1" si="194"/>
        <v>#NAME?</v>
      </c>
      <c r="J1085" s="100" t="e">
        <f ca="1">IFERROR(__xludf.DUMMYFUNCTION("""COMPUTED_VALUE"""),"-1.961")</f>
        <v>#NAME?</v>
      </c>
      <c r="K1085" s="100" t="e">
        <f t="shared" ca="1" si="195"/>
        <v>#NAME?</v>
      </c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</row>
    <row r="1086" spans="1:26">
      <c r="A1086" s="100" t="e">
        <f ca="1">IFERROR(__xludf.DUMMYFUNCTION("""COMPUTED_VALUE"""),58784421)</f>
        <v>#NAME?</v>
      </c>
      <c r="B1086" s="100" t="e">
        <f ca="1">IFERROR(__xludf.DUMMYFUNCTION("""COMPUTED_VALUE"""),"VIDTBTC")</f>
        <v>#NAME?</v>
      </c>
      <c r="C1086" s="100" t="e">
        <f ca="1">IFERROR(__xludf.DUMMYFUNCTION("""COMPUTED_VALUE"""),"0.00000002")</f>
        <v>#NAME?</v>
      </c>
      <c r="D1086" s="100" t="e">
        <f t="shared" ca="1" si="201"/>
        <v>#NAME?</v>
      </c>
      <c r="E1086" s="100" t="e">
        <f t="shared" ca="1" si="201"/>
        <v>#NAME?</v>
      </c>
      <c r="F1086" s="100" t="e">
        <f t="shared" ca="1" si="191"/>
        <v>#NAME?</v>
      </c>
      <c r="G1086" s="100" t="e">
        <f t="shared" ca="1" si="192"/>
        <v>#NAME?</v>
      </c>
      <c r="H1086" s="100" t="e">
        <f t="shared" ca="1" si="193"/>
        <v>#NAME?</v>
      </c>
      <c r="I1086" s="100" t="e">
        <f t="shared" ca="1" si="194"/>
        <v>#NAME?</v>
      </c>
      <c r="J1086" s="100" t="e">
        <f ca="1">IFERROR(__xludf.DUMMYFUNCTION("""COMPUTED_VALUE"""),"-33.333")</f>
        <v>#NAME?</v>
      </c>
      <c r="K1086" s="100" t="e">
        <f t="shared" ca="1" si="195"/>
        <v>#NAME?</v>
      </c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</row>
    <row r="1087" spans="1:26">
      <c r="A1087" s="100" t="e">
        <f ca="1">IFERROR(__xludf.DUMMYFUNCTION("""COMPUTED_VALUE"""),58784422)</f>
        <v>#NAME?</v>
      </c>
      <c r="B1087" s="100" t="e">
        <f ca="1">IFERROR(__xludf.DUMMYFUNCTION("""COMPUTED_VALUE"""),"VIDTBUSD")</f>
        <v>#NAME?</v>
      </c>
      <c r="C1087" s="100" t="e">
        <f ca="1">IFERROR(__xludf.DUMMYFUNCTION("""COMPUTED_VALUE"""),"0.02305000")</f>
        <v>#NAME?</v>
      </c>
      <c r="D1087" s="100" t="e">
        <f t="shared" ca="1" si="201"/>
        <v>#NAME?</v>
      </c>
      <c r="E1087" s="100" t="e">
        <f t="shared" ca="1" si="201"/>
        <v>#NAME?</v>
      </c>
      <c r="F1087" s="100" t="e">
        <f t="shared" ca="1" si="191"/>
        <v>#NAME?</v>
      </c>
      <c r="G1087" s="100" t="e">
        <f t="shared" ca="1" si="192"/>
        <v>#NAME?</v>
      </c>
      <c r="H1087" s="100" t="e">
        <f t="shared" ca="1" si="193"/>
        <v>#NAME?</v>
      </c>
      <c r="I1087" s="100" t="e">
        <f t="shared" ca="1" si="194"/>
        <v>#NAME?</v>
      </c>
      <c r="J1087" s="100" t="e">
        <f ca="1">IFERROR(__xludf.DUMMYFUNCTION("""COMPUTED_VALUE"""),"0")</f>
        <v>#NAME?</v>
      </c>
      <c r="K1087" s="100" t="e">
        <f t="shared" ca="1" si="195"/>
        <v>#NAME?</v>
      </c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</row>
    <row r="1088" spans="1:26">
      <c r="A1088" s="100" t="e">
        <f ca="1">IFERROR(__xludf.DUMMYFUNCTION("""COMPUTED_VALUE"""),58784423)</f>
        <v>#NAME?</v>
      </c>
      <c r="B1088" s="100" t="e">
        <f ca="1">IFERROR(__xludf.DUMMYFUNCTION("""COMPUTED_VALUE"""),"AAVEBNB")</f>
        <v>#NAME?</v>
      </c>
      <c r="C1088" s="100" t="e">
        <f ca="1">IFERROR(__xludf.DUMMYFUNCTION("""COMPUTED_VALUE"""),"0.15170000")</f>
        <v>#NAME?</v>
      </c>
      <c r="D1088" s="100" t="e">
        <f t="shared" ca="1" si="201"/>
        <v>#NAME?</v>
      </c>
      <c r="E1088" s="100" t="e">
        <f t="shared" ca="1" si="201"/>
        <v>#NAME?</v>
      </c>
      <c r="F1088" s="100" t="e">
        <f t="shared" ca="1" si="191"/>
        <v>#NAME?</v>
      </c>
      <c r="G1088" s="100" t="e">
        <f t="shared" ca="1" si="192"/>
        <v>#NAME?</v>
      </c>
      <c r="H1088" s="100" t="e">
        <f t="shared" ca="1" si="193"/>
        <v>#NAME?</v>
      </c>
      <c r="I1088" s="100" t="e">
        <f t="shared" ca="1" si="194"/>
        <v>#NAME?</v>
      </c>
      <c r="J1088" s="100" t="e">
        <f ca="1">IFERROR(__xludf.DUMMYFUNCTION("""COMPUTED_VALUE"""),"0")</f>
        <v>#NAME?</v>
      </c>
      <c r="K1088" s="100" t="e">
        <f t="shared" ca="1" si="195"/>
        <v>#NAME?</v>
      </c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</row>
    <row r="1089" spans="1:26">
      <c r="A1089" s="100" t="e">
        <f ca="1">IFERROR(__xludf.DUMMYFUNCTION("""COMPUTED_VALUE"""),58784424)</f>
        <v>#NAME?</v>
      </c>
      <c r="B1089" s="100" t="e">
        <f ca="1">IFERROR(__xludf.DUMMYFUNCTION("""COMPUTED_VALUE"""),"BTCBRL")</f>
        <v>#NAME?</v>
      </c>
      <c r="C1089" s="100" t="e">
        <f ca="1">IFERROR(__xludf.DUMMYFUNCTION("""COMPUTED_VALUE"""),"515812.00000000")</f>
        <v>#NAME?</v>
      </c>
      <c r="D1089" s="100" t="e">
        <f t="shared" ca="1" si="201"/>
        <v>#NAME?</v>
      </c>
      <c r="E1089" s="100" t="e">
        <f t="shared" ca="1" si="201"/>
        <v>#NAME?</v>
      </c>
      <c r="F1089" s="100" t="e">
        <f t="shared" ca="1" si="191"/>
        <v>#NAME?</v>
      </c>
      <c r="G1089" s="100" t="e">
        <f t="shared" ca="1" si="192"/>
        <v>#NAME?</v>
      </c>
      <c r="H1089" s="100" t="e">
        <f t="shared" ca="1" si="193"/>
        <v>#NAME?</v>
      </c>
      <c r="I1089" s="100" t="e">
        <f t="shared" ca="1" si="194"/>
        <v>#NAME?</v>
      </c>
      <c r="J1089" s="100" t="e">
        <f ca="1">IFERROR(__xludf.DUMMYFUNCTION("""COMPUTED_VALUE"""),"1.137")</f>
        <v>#NAME?</v>
      </c>
      <c r="K1089" s="100" t="e">
        <f t="shared" ca="1" si="195"/>
        <v>#NAME?</v>
      </c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</row>
    <row r="1090" spans="1:26">
      <c r="A1090" s="100" t="e">
        <f ca="1">IFERROR(__xludf.DUMMYFUNCTION("""COMPUTED_VALUE"""),58784425)</f>
        <v>#NAME?</v>
      </c>
      <c r="B1090" s="100" t="e">
        <f ca="1">IFERROR(__xludf.DUMMYFUNCTION("""COMPUTED_VALUE"""),"USDTBRL")</f>
        <v>#NAME?</v>
      </c>
      <c r="C1090" s="100" t="e">
        <f ca="1">IFERROR(__xludf.DUMMYFUNCTION("""COMPUTED_VALUE"""),"5.82400000")</f>
        <v>#NAME?</v>
      </c>
      <c r="D1090" s="100" t="e">
        <f t="shared" ca="1" si="201"/>
        <v>#NAME?</v>
      </c>
      <c r="E1090" s="100" t="e">
        <f t="shared" ca="1" si="201"/>
        <v>#NAME?</v>
      </c>
      <c r="F1090" s="100" t="e">
        <f t="shared" ref="F1090:F1153" ca="1" si="202">IFERROR(__xludf.DUMMYFUNCTION("""COMPUTED_VALUE"""),20200)</f>
        <v>#NAME?</v>
      </c>
      <c r="G1090" s="100" t="e">
        <f t="shared" ref="G1090:G1153" ca="1" si="203">IFERROR(__xludf.DUMMYFUNCTION("""COMPUTED_VALUE"""),2885)</f>
        <v>#NAME?</v>
      </c>
      <c r="H1090" s="100" t="e">
        <f t="shared" ref="H1090:H1153" ca="1" si="204">IFERROR(__xludf.DUMMYFUNCTION("""COMPUTED_VALUE"""),663)</f>
        <v>#NAME?</v>
      </c>
      <c r="I1090" s="100" t="e">
        <f t="shared" ref="I1090:I1153" ca="1" si="205">IFERROR(__xludf.DUMMYFUNCTION("""COMPUTED_VALUE"""),5817721)</f>
        <v>#NAME?</v>
      </c>
      <c r="J1090" s="100" t="e">
        <f ca="1">IFERROR(__xludf.DUMMYFUNCTION("""COMPUTED_VALUE"""),"-0.137")</f>
        <v>#NAME?</v>
      </c>
      <c r="K1090" s="100" t="e">
        <f t="shared" ref="K1090:K1153" ca="1" si="206">IFERROR(__xludf.DUMMYFUNCTION("""COMPUTED_VALUE"""),"22.04.2025 13:05:01")</f>
        <v>#NAME?</v>
      </c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</row>
    <row r="1091" spans="1:26">
      <c r="A1091" s="100" t="e">
        <f ca="1">IFERROR(__xludf.DUMMYFUNCTION("""COMPUTED_VALUE"""),58784426)</f>
        <v>#NAME?</v>
      </c>
      <c r="B1091" s="100" t="e">
        <f ca="1">IFERROR(__xludf.DUMMYFUNCTION("""COMPUTED_VALUE"""),"AAVEBTC")</f>
        <v>#NAME?</v>
      </c>
      <c r="C1091" s="100" t="e">
        <f ca="1">IFERROR(__xludf.DUMMYFUNCTION("""COMPUTED_VALUE"""),"0.00165600")</f>
        <v>#NAME?</v>
      </c>
      <c r="D1091" s="100" t="e">
        <f t="shared" ca="1" si="201"/>
        <v>#NAME?</v>
      </c>
      <c r="E1091" s="100" t="e">
        <f t="shared" ca="1" si="201"/>
        <v>#NAME?</v>
      </c>
      <c r="F1091" s="100" t="e">
        <f t="shared" ca="1" si="202"/>
        <v>#NAME?</v>
      </c>
      <c r="G1091" s="100" t="e">
        <f t="shared" ca="1" si="203"/>
        <v>#NAME?</v>
      </c>
      <c r="H1091" s="100" t="e">
        <f t="shared" ca="1" si="204"/>
        <v>#NAME?</v>
      </c>
      <c r="I1091" s="100" t="e">
        <f t="shared" ca="1" si="205"/>
        <v>#NAME?</v>
      </c>
      <c r="J1091" s="100" t="e">
        <f ca="1">IFERROR(__xludf.DUMMYFUNCTION("""COMPUTED_VALUE"""),"-0.181")</f>
        <v>#NAME?</v>
      </c>
      <c r="K1091" s="100" t="e">
        <f t="shared" ca="1" si="206"/>
        <v>#NAME?</v>
      </c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</row>
    <row r="1092" spans="1:26">
      <c r="A1092" s="100" t="e">
        <f ca="1">IFERROR(__xludf.DUMMYFUNCTION("""COMPUTED_VALUE"""),58784427)</f>
        <v>#NAME?</v>
      </c>
      <c r="B1092" s="100" t="e">
        <f ca="1">IFERROR(__xludf.DUMMYFUNCTION("""COMPUTED_VALUE"""),"AAVEETH")</f>
        <v>#NAME?</v>
      </c>
      <c r="C1092" s="100" t="e">
        <f ca="1">IFERROR(__xludf.DUMMYFUNCTION("""COMPUTED_VALUE"""),"0.09011000")</f>
        <v>#NAME?</v>
      </c>
      <c r="D1092" s="100" t="e">
        <f t="shared" ca="1" si="201"/>
        <v>#NAME?</v>
      </c>
      <c r="E1092" s="100" t="e">
        <f t="shared" ca="1" si="201"/>
        <v>#NAME?</v>
      </c>
      <c r="F1092" s="100" t="e">
        <f t="shared" ca="1" si="202"/>
        <v>#NAME?</v>
      </c>
      <c r="G1092" s="100" t="e">
        <f t="shared" ca="1" si="203"/>
        <v>#NAME?</v>
      </c>
      <c r="H1092" s="100" t="e">
        <f t="shared" ca="1" si="204"/>
        <v>#NAME?</v>
      </c>
      <c r="I1092" s="100" t="e">
        <f t="shared" ca="1" si="205"/>
        <v>#NAME?</v>
      </c>
      <c r="J1092" s="100" t="e">
        <f ca="1">IFERROR(__xludf.DUMMYFUNCTION("""COMPUTED_VALUE"""),"1.716")</f>
        <v>#NAME?</v>
      </c>
      <c r="K1092" s="100" t="e">
        <f t="shared" ca="1" si="206"/>
        <v>#NAME?</v>
      </c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</row>
    <row r="1093" spans="1:26">
      <c r="A1093" s="100" t="e">
        <f ca="1">IFERROR(__xludf.DUMMYFUNCTION("""COMPUTED_VALUE"""),58784428)</f>
        <v>#NAME?</v>
      </c>
      <c r="B1093" s="100" t="e">
        <f ca="1">IFERROR(__xludf.DUMMYFUNCTION("""COMPUTED_VALUE"""),"AAVEBUSD")</f>
        <v>#NAME?</v>
      </c>
      <c r="C1093" s="100" t="e">
        <f ca="1">IFERROR(__xludf.DUMMYFUNCTION("""COMPUTED_VALUE"""),"93.00000000")</f>
        <v>#NAME?</v>
      </c>
      <c r="D1093" s="100" t="e">
        <f t="shared" ca="1" si="201"/>
        <v>#NAME?</v>
      </c>
      <c r="E1093" s="100" t="e">
        <f t="shared" ca="1" si="201"/>
        <v>#NAME?</v>
      </c>
      <c r="F1093" s="100" t="e">
        <f t="shared" ca="1" si="202"/>
        <v>#NAME?</v>
      </c>
      <c r="G1093" s="100" t="e">
        <f t="shared" ca="1" si="203"/>
        <v>#NAME?</v>
      </c>
      <c r="H1093" s="100" t="e">
        <f t="shared" ca="1" si="204"/>
        <v>#NAME?</v>
      </c>
      <c r="I1093" s="100" t="e">
        <f t="shared" ca="1" si="205"/>
        <v>#NAME?</v>
      </c>
      <c r="J1093" s="100" t="e">
        <f ca="1">IFERROR(__xludf.DUMMYFUNCTION("""COMPUTED_VALUE"""),"0")</f>
        <v>#NAME?</v>
      </c>
      <c r="K1093" s="100" t="e">
        <f t="shared" ca="1" si="206"/>
        <v>#NAME?</v>
      </c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</row>
    <row r="1094" spans="1:26">
      <c r="A1094" s="100" t="e">
        <f ca="1">IFERROR(__xludf.DUMMYFUNCTION("""COMPUTED_VALUE"""),58784429)</f>
        <v>#NAME?</v>
      </c>
      <c r="B1094" s="100" t="e">
        <f ca="1">IFERROR(__xludf.DUMMYFUNCTION("""COMPUTED_VALUE"""),"AAVEUSDT")</f>
        <v>#NAME?</v>
      </c>
      <c r="C1094" s="100" t="e">
        <f ca="1">IFERROR(__xludf.DUMMYFUNCTION("""COMPUTED_VALUE"""),"146.70000000")</f>
        <v>#NAME?</v>
      </c>
      <c r="D1094" s="100" t="e">
        <f t="shared" ca="1" si="201"/>
        <v>#NAME?</v>
      </c>
      <c r="E1094" s="100" t="e">
        <f t="shared" ca="1" si="201"/>
        <v>#NAME?</v>
      </c>
      <c r="F1094" s="100" t="e">
        <f t="shared" ca="1" si="202"/>
        <v>#NAME?</v>
      </c>
      <c r="G1094" s="100" t="e">
        <f t="shared" ca="1" si="203"/>
        <v>#NAME?</v>
      </c>
      <c r="H1094" s="100" t="e">
        <f t="shared" ca="1" si="204"/>
        <v>#NAME?</v>
      </c>
      <c r="I1094" s="100" t="e">
        <f t="shared" ca="1" si="205"/>
        <v>#NAME?</v>
      </c>
      <c r="J1094" s="100" t="e">
        <f ca="1">IFERROR(__xludf.DUMMYFUNCTION("""COMPUTED_VALUE"""),"1.054")</f>
        <v>#NAME?</v>
      </c>
      <c r="K1094" s="100" t="e">
        <f t="shared" ca="1" si="206"/>
        <v>#NAME?</v>
      </c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</row>
    <row r="1095" spans="1:26">
      <c r="A1095" s="100" t="e">
        <f ca="1">IFERROR(__xludf.DUMMYFUNCTION("""COMPUTED_VALUE"""),58784430)</f>
        <v>#NAME?</v>
      </c>
      <c r="B1095" s="100" t="e">
        <f ca="1">IFERROR(__xludf.DUMMYFUNCTION("""COMPUTED_VALUE"""),"AAVEBKRW")</f>
        <v>#NAME?</v>
      </c>
      <c r="C1095" s="100" t="e">
        <f ca="1">IFERROR(__xludf.DUMMYFUNCTION("""COMPUTED_VALUE"""),"0.00000000")</f>
        <v>#NAME?</v>
      </c>
      <c r="D1095" s="100" t="e">
        <f t="shared" ca="1" si="201"/>
        <v>#NAME?</v>
      </c>
      <c r="E1095" s="100" t="e">
        <f t="shared" ca="1" si="201"/>
        <v>#NAME?</v>
      </c>
      <c r="F1095" s="100" t="e">
        <f t="shared" ca="1" si="202"/>
        <v>#NAME?</v>
      </c>
      <c r="G1095" s="100" t="e">
        <f t="shared" ca="1" si="203"/>
        <v>#NAME?</v>
      </c>
      <c r="H1095" s="100" t="e">
        <f t="shared" ca="1" si="204"/>
        <v>#NAME?</v>
      </c>
      <c r="I1095" s="100" t="e">
        <f t="shared" ca="1" si="205"/>
        <v>#NAME?</v>
      </c>
      <c r="J1095" s="100" t="e">
        <f ca="1">IFERROR(__xludf.DUMMYFUNCTION("""COMPUTED_VALUE"""),"0")</f>
        <v>#NAME?</v>
      </c>
      <c r="K1095" s="100" t="e">
        <f t="shared" ca="1" si="206"/>
        <v>#NAME?</v>
      </c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</row>
    <row r="1096" spans="1:26">
      <c r="A1096" s="100" t="e">
        <f ca="1">IFERROR(__xludf.DUMMYFUNCTION("""COMPUTED_VALUE"""),58784431)</f>
        <v>#NAME?</v>
      </c>
      <c r="B1096" s="100" t="e">
        <f ca="1">IFERROR(__xludf.DUMMYFUNCTION("""COMPUTED_VALUE"""),"NEARBNB")</f>
        <v>#NAME?</v>
      </c>
      <c r="C1096" s="100" t="e">
        <f ca="1">IFERROR(__xludf.DUMMYFUNCTION("""COMPUTED_VALUE"""),"0.00361700")</f>
        <v>#NAME?</v>
      </c>
      <c r="D1096" s="100" t="e">
        <f t="shared" ca="1" si="201"/>
        <v>#NAME?</v>
      </c>
      <c r="E1096" s="100" t="e">
        <f t="shared" ca="1" si="201"/>
        <v>#NAME?</v>
      </c>
      <c r="F1096" s="100" t="e">
        <f t="shared" ca="1" si="202"/>
        <v>#NAME?</v>
      </c>
      <c r="G1096" s="100" t="e">
        <f t="shared" ca="1" si="203"/>
        <v>#NAME?</v>
      </c>
      <c r="H1096" s="100" t="e">
        <f t="shared" ca="1" si="204"/>
        <v>#NAME?</v>
      </c>
      <c r="I1096" s="100" t="e">
        <f t="shared" ca="1" si="205"/>
        <v>#NAME?</v>
      </c>
      <c r="J1096" s="100" t="e">
        <f ca="1">IFERROR(__xludf.DUMMYFUNCTION("""COMPUTED_VALUE"""),"-5.265")</f>
        <v>#NAME?</v>
      </c>
      <c r="K1096" s="100" t="e">
        <f t="shared" ca="1" si="206"/>
        <v>#NAME?</v>
      </c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</row>
    <row r="1097" spans="1:26">
      <c r="A1097" s="100" t="e">
        <f ca="1">IFERROR(__xludf.DUMMYFUNCTION("""COMPUTED_VALUE"""),58784432)</f>
        <v>#NAME?</v>
      </c>
      <c r="B1097" s="100" t="e">
        <f ca="1">IFERROR(__xludf.DUMMYFUNCTION("""COMPUTED_VALUE"""),"NEARBTC")</f>
        <v>#NAME?</v>
      </c>
      <c r="C1097" s="100" t="e">
        <f ca="1">IFERROR(__xludf.DUMMYFUNCTION("""COMPUTED_VALUE"""),"0.00002470")</f>
        <v>#NAME?</v>
      </c>
      <c r="D1097" s="100" t="e">
        <f t="shared" ca="1" si="201"/>
        <v>#NAME?</v>
      </c>
      <c r="E1097" s="100" t="e">
        <f t="shared" ca="1" si="201"/>
        <v>#NAME?</v>
      </c>
      <c r="F1097" s="100" t="e">
        <f t="shared" ca="1" si="202"/>
        <v>#NAME?</v>
      </c>
      <c r="G1097" s="100" t="e">
        <f t="shared" ca="1" si="203"/>
        <v>#NAME?</v>
      </c>
      <c r="H1097" s="100" t="e">
        <f t="shared" ca="1" si="204"/>
        <v>#NAME?</v>
      </c>
      <c r="I1097" s="100" t="e">
        <f t="shared" ca="1" si="205"/>
        <v>#NAME?</v>
      </c>
      <c r="J1097" s="100" t="e">
        <f ca="1">IFERROR(__xludf.DUMMYFUNCTION("""COMPUTED_VALUE"""),"-6.652")</f>
        <v>#NAME?</v>
      </c>
      <c r="K1097" s="100" t="e">
        <f t="shared" ca="1" si="206"/>
        <v>#NAME?</v>
      </c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</row>
    <row r="1098" spans="1:26">
      <c r="A1098" s="100" t="e">
        <f ca="1">IFERROR(__xludf.DUMMYFUNCTION("""COMPUTED_VALUE"""),58784433)</f>
        <v>#NAME?</v>
      </c>
      <c r="B1098" s="100" t="e">
        <f ca="1">IFERROR(__xludf.DUMMYFUNCTION("""COMPUTED_VALUE"""),"NEARBUSD")</f>
        <v>#NAME?</v>
      </c>
      <c r="C1098" s="100" t="e">
        <f ca="1">IFERROR(__xludf.DUMMYFUNCTION("""COMPUTED_VALUE"""),"2.24900000")</f>
        <v>#NAME?</v>
      </c>
      <c r="D1098" s="100" t="e">
        <f t="shared" ca="1" si="201"/>
        <v>#NAME?</v>
      </c>
      <c r="E1098" s="100" t="e">
        <f t="shared" ca="1" si="201"/>
        <v>#NAME?</v>
      </c>
      <c r="F1098" s="100" t="e">
        <f t="shared" ca="1" si="202"/>
        <v>#NAME?</v>
      </c>
      <c r="G1098" s="100" t="e">
        <f t="shared" ca="1" si="203"/>
        <v>#NAME?</v>
      </c>
      <c r="H1098" s="100" t="e">
        <f t="shared" ca="1" si="204"/>
        <v>#NAME?</v>
      </c>
      <c r="I1098" s="100" t="e">
        <f t="shared" ca="1" si="205"/>
        <v>#NAME?</v>
      </c>
      <c r="J1098" s="100" t="e">
        <f ca="1">IFERROR(__xludf.DUMMYFUNCTION("""COMPUTED_VALUE"""),"0")</f>
        <v>#NAME?</v>
      </c>
      <c r="K1098" s="100" t="e">
        <f t="shared" ca="1" si="206"/>
        <v>#NAME?</v>
      </c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</row>
    <row r="1099" spans="1:26">
      <c r="A1099" s="100" t="e">
        <f ca="1">IFERROR(__xludf.DUMMYFUNCTION("""COMPUTED_VALUE"""),58784434)</f>
        <v>#NAME?</v>
      </c>
      <c r="B1099" s="100" t="e">
        <f ca="1">IFERROR(__xludf.DUMMYFUNCTION("""COMPUTED_VALUE"""),"NEARUSDT")</f>
        <v>#NAME?</v>
      </c>
      <c r="C1099" s="100" t="e">
        <f ca="1">IFERROR(__xludf.DUMMYFUNCTION("""COMPUTED_VALUE"""),"2.19000000")</f>
        <v>#NAME?</v>
      </c>
      <c r="D1099" s="100" t="e">
        <f t="shared" ca="1" si="201"/>
        <v>#NAME?</v>
      </c>
      <c r="E1099" s="100" t="e">
        <f t="shared" ca="1" si="201"/>
        <v>#NAME?</v>
      </c>
      <c r="F1099" s="100" t="e">
        <f t="shared" ca="1" si="202"/>
        <v>#NAME?</v>
      </c>
      <c r="G1099" s="100" t="e">
        <f t="shared" ca="1" si="203"/>
        <v>#NAME?</v>
      </c>
      <c r="H1099" s="100" t="e">
        <f t="shared" ca="1" si="204"/>
        <v>#NAME?</v>
      </c>
      <c r="I1099" s="100" t="e">
        <f t="shared" ca="1" si="205"/>
        <v>#NAME?</v>
      </c>
      <c r="J1099" s="100" t="e">
        <f ca="1">IFERROR(__xludf.DUMMYFUNCTION("""COMPUTED_VALUE"""),"-5.318")</f>
        <v>#NAME?</v>
      </c>
      <c r="K1099" s="100" t="e">
        <f t="shared" ca="1" si="206"/>
        <v>#NAME?</v>
      </c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</row>
    <row r="1100" spans="1:26">
      <c r="A1100" s="100" t="e">
        <f ca="1">IFERROR(__xludf.DUMMYFUNCTION("""COMPUTED_VALUE"""),58784435)</f>
        <v>#NAME?</v>
      </c>
      <c r="B1100" s="100" t="e">
        <f ca="1">IFERROR(__xludf.DUMMYFUNCTION("""COMPUTED_VALUE"""),"SXPUPUSDT")</f>
        <v>#NAME?</v>
      </c>
      <c r="C1100" s="100" t="e">
        <f ca="1">IFERROR(__xludf.DUMMYFUNCTION("""COMPUTED_VALUE"""),"0.00000000")</f>
        <v>#NAME?</v>
      </c>
      <c r="D1100" s="100" t="e">
        <f t="shared" ca="1" si="201"/>
        <v>#NAME?</v>
      </c>
      <c r="E1100" s="100" t="e">
        <f t="shared" ca="1" si="201"/>
        <v>#NAME?</v>
      </c>
      <c r="F1100" s="100" t="e">
        <f t="shared" ca="1" si="202"/>
        <v>#NAME?</v>
      </c>
      <c r="G1100" s="100" t="e">
        <f t="shared" ca="1" si="203"/>
        <v>#NAME?</v>
      </c>
      <c r="H1100" s="100" t="e">
        <f t="shared" ca="1" si="204"/>
        <v>#NAME?</v>
      </c>
      <c r="I1100" s="100" t="e">
        <f t="shared" ca="1" si="205"/>
        <v>#NAME?</v>
      </c>
      <c r="J1100" s="100" t="e">
        <f ca="1">IFERROR(__xludf.DUMMYFUNCTION("""COMPUTED_VALUE"""),"0")</f>
        <v>#NAME?</v>
      </c>
      <c r="K1100" s="100" t="e">
        <f t="shared" ca="1" si="206"/>
        <v>#NAME?</v>
      </c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</row>
    <row r="1101" spans="1:26">
      <c r="A1101" s="100" t="e">
        <f ca="1">IFERROR(__xludf.DUMMYFUNCTION("""COMPUTED_VALUE"""),58784436)</f>
        <v>#NAME?</v>
      </c>
      <c r="B1101" s="100" t="e">
        <f ca="1">IFERROR(__xludf.DUMMYFUNCTION("""COMPUTED_VALUE"""),"SXPDOWNUSDT")</f>
        <v>#NAME?</v>
      </c>
      <c r="C1101" s="100" t="e">
        <f ca="1">IFERROR(__xludf.DUMMYFUNCTION("""COMPUTED_VALUE"""),"0.00000000")</f>
        <v>#NAME?</v>
      </c>
      <c r="D1101" s="100" t="e">
        <f t="shared" ca="1" si="201"/>
        <v>#NAME?</v>
      </c>
      <c r="E1101" s="100" t="e">
        <f t="shared" ca="1" si="201"/>
        <v>#NAME?</v>
      </c>
      <c r="F1101" s="100" t="e">
        <f t="shared" ca="1" si="202"/>
        <v>#NAME?</v>
      </c>
      <c r="G1101" s="100" t="e">
        <f t="shared" ca="1" si="203"/>
        <v>#NAME?</v>
      </c>
      <c r="H1101" s="100" t="e">
        <f t="shared" ca="1" si="204"/>
        <v>#NAME?</v>
      </c>
      <c r="I1101" s="100" t="e">
        <f t="shared" ca="1" si="205"/>
        <v>#NAME?</v>
      </c>
      <c r="J1101" s="100" t="e">
        <f ca="1">IFERROR(__xludf.DUMMYFUNCTION("""COMPUTED_VALUE"""),"0")</f>
        <v>#NAME?</v>
      </c>
      <c r="K1101" s="100" t="e">
        <f t="shared" ca="1" si="206"/>
        <v>#NAME?</v>
      </c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</row>
    <row r="1102" spans="1:26">
      <c r="A1102" s="100" t="e">
        <f ca="1">IFERROR(__xludf.DUMMYFUNCTION("""COMPUTED_VALUE"""),58784437)</f>
        <v>#NAME?</v>
      </c>
      <c r="B1102" s="100" t="e">
        <f ca="1">IFERROR(__xludf.DUMMYFUNCTION("""COMPUTED_VALUE"""),"DOTBKRW")</f>
        <v>#NAME?</v>
      </c>
      <c r="C1102" s="100" t="e">
        <f ca="1">IFERROR(__xludf.DUMMYFUNCTION("""COMPUTED_VALUE"""),"0.00000000")</f>
        <v>#NAME?</v>
      </c>
      <c r="D1102" s="100" t="e">
        <f t="shared" ref="D1102:E1121" ca="1" si="207">IFERROR(__xludf.DUMMYFUNCTION("""COMPUTED_VALUE"""),"-")</f>
        <v>#NAME?</v>
      </c>
      <c r="E1102" s="100" t="e">
        <f t="shared" ca="1" si="207"/>
        <v>#NAME?</v>
      </c>
      <c r="F1102" s="100" t="e">
        <f t="shared" ca="1" si="202"/>
        <v>#NAME?</v>
      </c>
      <c r="G1102" s="100" t="e">
        <f t="shared" ca="1" si="203"/>
        <v>#NAME?</v>
      </c>
      <c r="H1102" s="100" t="e">
        <f t="shared" ca="1" si="204"/>
        <v>#NAME?</v>
      </c>
      <c r="I1102" s="100" t="e">
        <f t="shared" ca="1" si="205"/>
        <v>#NAME?</v>
      </c>
      <c r="J1102" s="100" t="e">
        <f ca="1">IFERROR(__xludf.DUMMYFUNCTION("""COMPUTED_VALUE"""),"0")</f>
        <v>#NAME?</v>
      </c>
      <c r="K1102" s="100" t="e">
        <f t="shared" ca="1" si="206"/>
        <v>#NAME?</v>
      </c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</row>
    <row r="1103" spans="1:26">
      <c r="A1103" s="100" t="e">
        <f ca="1">IFERROR(__xludf.DUMMYFUNCTION("""COMPUTED_VALUE"""),58784438)</f>
        <v>#NAME?</v>
      </c>
      <c r="B1103" s="100" t="e">
        <f ca="1">IFERROR(__xludf.DUMMYFUNCTION("""COMPUTED_VALUE"""),"SXPGBP")</f>
        <v>#NAME?</v>
      </c>
      <c r="C1103" s="100" t="e">
        <f ca="1">IFERROR(__xludf.DUMMYFUNCTION("""COMPUTED_VALUE"""),"0.00000000")</f>
        <v>#NAME?</v>
      </c>
      <c r="D1103" s="100" t="e">
        <f t="shared" ca="1" si="207"/>
        <v>#NAME?</v>
      </c>
      <c r="E1103" s="100" t="e">
        <f t="shared" ca="1" si="207"/>
        <v>#NAME?</v>
      </c>
      <c r="F1103" s="100" t="e">
        <f t="shared" ca="1" si="202"/>
        <v>#NAME?</v>
      </c>
      <c r="G1103" s="100" t="e">
        <f t="shared" ca="1" si="203"/>
        <v>#NAME?</v>
      </c>
      <c r="H1103" s="100" t="e">
        <f t="shared" ca="1" si="204"/>
        <v>#NAME?</v>
      </c>
      <c r="I1103" s="100" t="e">
        <f t="shared" ca="1" si="205"/>
        <v>#NAME?</v>
      </c>
      <c r="J1103" s="100" t="e">
        <f ca="1">IFERROR(__xludf.DUMMYFUNCTION("""COMPUTED_VALUE"""),"0")</f>
        <v>#NAME?</v>
      </c>
      <c r="K1103" s="100" t="e">
        <f t="shared" ca="1" si="206"/>
        <v>#NAME?</v>
      </c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</row>
    <row r="1104" spans="1:26">
      <c r="A1104" s="100" t="e">
        <f ca="1">IFERROR(__xludf.DUMMYFUNCTION("""COMPUTED_VALUE"""),58784439)</f>
        <v>#NAME?</v>
      </c>
      <c r="B1104" s="100" t="e">
        <f ca="1">IFERROR(__xludf.DUMMYFUNCTION("""COMPUTED_VALUE"""),"FILBNB")</f>
        <v>#NAME?</v>
      </c>
      <c r="C1104" s="100" t="e">
        <f ca="1">IFERROR(__xludf.DUMMYFUNCTION("""COMPUTED_VALUE"""),"0.00656000")</f>
        <v>#NAME?</v>
      </c>
      <c r="D1104" s="100" t="e">
        <f t="shared" ca="1" si="207"/>
        <v>#NAME?</v>
      </c>
      <c r="E1104" s="100" t="e">
        <f t="shared" ca="1" si="207"/>
        <v>#NAME?</v>
      </c>
      <c r="F1104" s="100" t="e">
        <f t="shared" ca="1" si="202"/>
        <v>#NAME?</v>
      </c>
      <c r="G1104" s="100" t="e">
        <f t="shared" ca="1" si="203"/>
        <v>#NAME?</v>
      </c>
      <c r="H1104" s="100" t="e">
        <f t="shared" ca="1" si="204"/>
        <v>#NAME?</v>
      </c>
      <c r="I1104" s="100" t="e">
        <f t="shared" ca="1" si="205"/>
        <v>#NAME?</v>
      </c>
      <c r="J1104" s="100" t="e">
        <f ca="1">IFERROR(__xludf.DUMMYFUNCTION("""COMPUTED_VALUE"""),"0")</f>
        <v>#NAME?</v>
      </c>
      <c r="K1104" s="100" t="e">
        <f t="shared" ca="1" si="206"/>
        <v>#NAME?</v>
      </c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</row>
    <row r="1105" spans="1:26">
      <c r="A1105" s="100" t="e">
        <f ca="1">IFERROR(__xludf.DUMMYFUNCTION("""COMPUTED_VALUE"""),58784440)</f>
        <v>#NAME?</v>
      </c>
      <c r="B1105" s="100" t="e">
        <f ca="1">IFERROR(__xludf.DUMMYFUNCTION("""COMPUTED_VALUE"""),"FILBTC")</f>
        <v>#NAME?</v>
      </c>
      <c r="C1105" s="100" t="e">
        <f ca="1">IFERROR(__xludf.DUMMYFUNCTION("""COMPUTED_VALUE"""),"0.00002810")</f>
        <v>#NAME?</v>
      </c>
      <c r="D1105" s="100" t="e">
        <f t="shared" ca="1" si="207"/>
        <v>#NAME?</v>
      </c>
      <c r="E1105" s="100" t="e">
        <f t="shared" ca="1" si="207"/>
        <v>#NAME?</v>
      </c>
      <c r="F1105" s="100" t="e">
        <f t="shared" ca="1" si="202"/>
        <v>#NAME?</v>
      </c>
      <c r="G1105" s="100" t="e">
        <f t="shared" ca="1" si="203"/>
        <v>#NAME?</v>
      </c>
      <c r="H1105" s="100" t="e">
        <f t="shared" ca="1" si="204"/>
        <v>#NAME?</v>
      </c>
      <c r="I1105" s="100" t="e">
        <f t="shared" ca="1" si="205"/>
        <v>#NAME?</v>
      </c>
      <c r="J1105" s="100" t="e">
        <f ca="1">IFERROR(__xludf.DUMMYFUNCTION("""COMPUTED_VALUE"""),"-8.170")</f>
        <v>#NAME?</v>
      </c>
      <c r="K1105" s="100" t="e">
        <f t="shared" ca="1" si="206"/>
        <v>#NAME?</v>
      </c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</row>
    <row r="1106" spans="1:26">
      <c r="A1106" s="100" t="e">
        <f ca="1">IFERROR(__xludf.DUMMYFUNCTION("""COMPUTED_VALUE"""),58784441)</f>
        <v>#NAME?</v>
      </c>
      <c r="B1106" s="100" t="e">
        <f ca="1">IFERROR(__xludf.DUMMYFUNCTION("""COMPUTED_VALUE"""),"FILBUSD")</f>
        <v>#NAME?</v>
      </c>
      <c r="C1106" s="100" t="e">
        <f ca="1">IFERROR(__xludf.DUMMYFUNCTION("""COMPUTED_VALUE"""),"4.55400000")</f>
        <v>#NAME?</v>
      </c>
      <c r="D1106" s="100" t="e">
        <f t="shared" ca="1" si="207"/>
        <v>#NAME?</v>
      </c>
      <c r="E1106" s="100" t="e">
        <f t="shared" ca="1" si="207"/>
        <v>#NAME?</v>
      </c>
      <c r="F1106" s="100" t="e">
        <f t="shared" ca="1" si="202"/>
        <v>#NAME?</v>
      </c>
      <c r="G1106" s="100" t="e">
        <f t="shared" ca="1" si="203"/>
        <v>#NAME?</v>
      </c>
      <c r="H1106" s="100" t="e">
        <f t="shared" ca="1" si="204"/>
        <v>#NAME?</v>
      </c>
      <c r="I1106" s="100" t="e">
        <f t="shared" ca="1" si="205"/>
        <v>#NAME?</v>
      </c>
      <c r="J1106" s="100" t="e">
        <f ca="1">IFERROR(__xludf.DUMMYFUNCTION("""COMPUTED_VALUE"""),"0")</f>
        <v>#NAME?</v>
      </c>
      <c r="K1106" s="100" t="e">
        <f t="shared" ca="1" si="206"/>
        <v>#NAME?</v>
      </c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</row>
    <row r="1107" spans="1:26">
      <c r="A1107" s="100" t="e">
        <f ca="1">IFERROR(__xludf.DUMMYFUNCTION("""COMPUTED_VALUE"""),58784442)</f>
        <v>#NAME?</v>
      </c>
      <c r="B1107" s="100" t="e">
        <f ca="1">IFERROR(__xludf.DUMMYFUNCTION("""COMPUTED_VALUE"""),"FILUSDT")</f>
        <v>#NAME?</v>
      </c>
      <c r="C1107" s="100" t="e">
        <f ca="1">IFERROR(__xludf.DUMMYFUNCTION("""COMPUTED_VALUE"""),"2.49500000")</f>
        <v>#NAME?</v>
      </c>
      <c r="D1107" s="100" t="e">
        <f t="shared" ca="1" si="207"/>
        <v>#NAME?</v>
      </c>
      <c r="E1107" s="100" t="e">
        <f t="shared" ca="1" si="207"/>
        <v>#NAME?</v>
      </c>
      <c r="F1107" s="100" t="e">
        <f t="shared" ca="1" si="202"/>
        <v>#NAME?</v>
      </c>
      <c r="G1107" s="100" t="e">
        <f t="shared" ca="1" si="203"/>
        <v>#NAME?</v>
      </c>
      <c r="H1107" s="100" t="e">
        <f t="shared" ca="1" si="204"/>
        <v>#NAME?</v>
      </c>
      <c r="I1107" s="100" t="e">
        <f t="shared" ca="1" si="205"/>
        <v>#NAME?</v>
      </c>
      <c r="J1107" s="100" t="e">
        <f ca="1">IFERROR(__xludf.DUMMYFUNCTION("""COMPUTED_VALUE"""),"-6.624")</f>
        <v>#NAME?</v>
      </c>
      <c r="K1107" s="100" t="e">
        <f t="shared" ca="1" si="206"/>
        <v>#NAME?</v>
      </c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</row>
    <row r="1108" spans="1:26">
      <c r="A1108" s="100" t="e">
        <f ca="1">IFERROR(__xludf.DUMMYFUNCTION("""COMPUTED_VALUE"""),58784443)</f>
        <v>#NAME?</v>
      </c>
      <c r="B1108" s="100" t="e">
        <f ca="1">IFERROR(__xludf.DUMMYFUNCTION("""COMPUTED_VALUE"""),"FILUPUSDT")</f>
        <v>#NAME?</v>
      </c>
      <c r="C1108" s="100" t="e">
        <f ca="1">IFERROR(__xludf.DUMMYFUNCTION("""COMPUTED_VALUE"""),"0.00000000")</f>
        <v>#NAME?</v>
      </c>
      <c r="D1108" s="100" t="e">
        <f t="shared" ca="1" si="207"/>
        <v>#NAME?</v>
      </c>
      <c r="E1108" s="100" t="e">
        <f t="shared" ca="1" si="207"/>
        <v>#NAME?</v>
      </c>
      <c r="F1108" s="100" t="e">
        <f t="shared" ca="1" si="202"/>
        <v>#NAME?</v>
      </c>
      <c r="G1108" s="100" t="e">
        <f t="shared" ca="1" si="203"/>
        <v>#NAME?</v>
      </c>
      <c r="H1108" s="100" t="e">
        <f t="shared" ca="1" si="204"/>
        <v>#NAME?</v>
      </c>
      <c r="I1108" s="100" t="e">
        <f t="shared" ca="1" si="205"/>
        <v>#NAME?</v>
      </c>
      <c r="J1108" s="100" t="e">
        <f ca="1">IFERROR(__xludf.DUMMYFUNCTION("""COMPUTED_VALUE"""),"0")</f>
        <v>#NAME?</v>
      </c>
      <c r="K1108" s="100" t="e">
        <f t="shared" ca="1" si="206"/>
        <v>#NAME?</v>
      </c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</row>
    <row r="1109" spans="1:26">
      <c r="A1109" s="100" t="e">
        <f ca="1">IFERROR(__xludf.DUMMYFUNCTION("""COMPUTED_VALUE"""),58784444)</f>
        <v>#NAME?</v>
      </c>
      <c r="B1109" s="100" t="e">
        <f ca="1">IFERROR(__xludf.DUMMYFUNCTION("""COMPUTED_VALUE"""),"FILDOWNUSDT")</f>
        <v>#NAME?</v>
      </c>
      <c r="C1109" s="100" t="e">
        <f ca="1">IFERROR(__xludf.DUMMYFUNCTION("""COMPUTED_VALUE"""),"0.00000000")</f>
        <v>#NAME?</v>
      </c>
      <c r="D1109" s="100" t="e">
        <f t="shared" ca="1" si="207"/>
        <v>#NAME?</v>
      </c>
      <c r="E1109" s="100" t="e">
        <f t="shared" ca="1" si="207"/>
        <v>#NAME?</v>
      </c>
      <c r="F1109" s="100" t="e">
        <f t="shared" ca="1" si="202"/>
        <v>#NAME?</v>
      </c>
      <c r="G1109" s="100" t="e">
        <f t="shared" ca="1" si="203"/>
        <v>#NAME?</v>
      </c>
      <c r="H1109" s="100" t="e">
        <f t="shared" ca="1" si="204"/>
        <v>#NAME?</v>
      </c>
      <c r="I1109" s="100" t="e">
        <f t="shared" ca="1" si="205"/>
        <v>#NAME?</v>
      </c>
      <c r="J1109" s="100" t="e">
        <f ca="1">IFERROR(__xludf.DUMMYFUNCTION("""COMPUTED_VALUE"""),"0")</f>
        <v>#NAME?</v>
      </c>
      <c r="K1109" s="100" t="e">
        <f t="shared" ca="1" si="206"/>
        <v>#NAME?</v>
      </c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</row>
    <row r="1110" spans="1:26">
      <c r="A1110" s="100" t="e">
        <f ca="1">IFERROR(__xludf.DUMMYFUNCTION("""COMPUTED_VALUE"""),58784445)</f>
        <v>#NAME?</v>
      </c>
      <c r="B1110" s="100" t="e">
        <f ca="1">IFERROR(__xludf.DUMMYFUNCTION("""COMPUTED_VALUE"""),"YFIUPUSDT")</f>
        <v>#NAME?</v>
      </c>
      <c r="C1110" s="100" t="e">
        <f ca="1">IFERROR(__xludf.DUMMYFUNCTION("""COMPUTED_VALUE"""),"0.00000000")</f>
        <v>#NAME?</v>
      </c>
      <c r="D1110" s="100" t="e">
        <f t="shared" ca="1" si="207"/>
        <v>#NAME?</v>
      </c>
      <c r="E1110" s="100" t="e">
        <f t="shared" ca="1" si="207"/>
        <v>#NAME?</v>
      </c>
      <c r="F1110" s="100" t="e">
        <f t="shared" ca="1" si="202"/>
        <v>#NAME?</v>
      </c>
      <c r="G1110" s="100" t="e">
        <f t="shared" ca="1" si="203"/>
        <v>#NAME?</v>
      </c>
      <c r="H1110" s="100" t="e">
        <f t="shared" ca="1" si="204"/>
        <v>#NAME?</v>
      </c>
      <c r="I1110" s="100" t="e">
        <f t="shared" ca="1" si="205"/>
        <v>#NAME?</v>
      </c>
      <c r="J1110" s="100" t="e">
        <f ca="1">IFERROR(__xludf.DUMMYFUNCTION("""COMPUTED_VALUE"""),"0")</f>
        <v>#NAME?</v>
      </c>
      <c r="K1110" s="100" t="e">
        <f t="shared" ca="1" si="206"/>
        <v>#NAME?</v>
      </c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</row>
    <row r="1111" spans="1:26">
      <c r="A1111" s="100" t="e">
        <f ca="1">IFERROR(__xludf.DUMMYFUNCTION("""COMPUTED_VALUE"""),58784446)</f>
        <v>#NAME?</v>
      </c>
      <c r="B1111" s="100" t="e">
        <f ca="1">IFERROR(__xludf.DUMMYFUNCTION("""COMPUTED_VALUE"""),"YFIDOWNUSDT")</f>
        <v>#NAME?</v>
      </c>
      <c r="C1111" s="100" t="e">
        <f ca="1">IFERROR(__xludf.DUMMYFUNCTION("""COMPUTED_VALUE"""),"0.00000000")</f>
        <v>#NAME?</v>
      </c>
      <c r="D1111" s="100" t="e">
        <f t="shared" ca="1" si="207"/>
        <v>#NAME?</v>
      </c>
      <c r="E1111" s="100" t="e">
        <f t="shared" ca="1" si="207"/>
        <v>#NAME?</v>
      </c>
      <c r="F1111" s="100" t="e">
        <f t="shared" ca="1" si="202"/>
        <v>#NAME?</v>
      </c>
      <c r="G1111" s="100" t="e">
        <f t="shared" ca="1" si="203"/>
        <v>#NAME?</v>
      </c>
      <c r="H1111" s="100" t="e">
        <f t="shared" ca="1" si="204"/>
        <v>#NAME?</v>
      </c>
      <c r="I1111" s="100" t="e">
        <f t="shared" ca="1" si="205"/>
        <v>#NAME?</v>
      </c>
      <c r="J1111" s="100" t="e">
        <f ca="1">IFERROR(__xludf.DUMMYFUNCTION("""COMPUTED_VALUE"""),"0")</f>
        <v>#NAME?</v>
      </c>
      <c r="K1111" s="100" t="e">
        <f t="shared" ca="1" si="206"/>
        <v>#NAME?</v>
      </c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</row>
    <row r="1112" spans="1:26">
      <c r="A1112" s="100" t="e">
        <f ca="1">IFERROR(__xludf.DUMMYFUNCTION("""COMPUTED_VALUE"""),58784447)</f>
        <v>#NAME?</v>
      </c>
      <c r="B1112" s="100" t="e">
        <f ca="1">IFERROR(__xludf.DUMMYFUNCTION("""COMPUTED_VALUE"""),"INJBNB")</f>
        <v>#NAME?</v>
      </c>
      <c r="C1112" s="100" t="e">
        <f ca="1">IFERROR(__xludf.DUMMYFUNCTION("""COMPUTED_VALUE"""),"0.01409000")</f>
        <v>#NAME?</v>
      </c>
      <c r="D1112" s="100" t="e">
        <f t="shared" ca="1" si="207"/>
        <v>#NAME?</v>
      </c>
      <c r="E1112" s="100" t="e">
        <f t="shared" ca="1" si="207"/>
        <v>#NAME?</v>
      </c>
      <c r="F1112" s="100" t="e">
        <f t="shared" ca="1" si="202"/>
        <v>#NAME?</v>
      </c>
      <c r="G1112" s="100" t="e">
        <f t="shared" ca="1" si="203"/>
        <v>#NAME?</v>
      </c>
      <c r="H1112" s="100" t="e">
        <f t="shared" ca="1" si="204"/>
        <v>#NAME?</v>
      </c>
      <c r="I1112" s="100" t="e">
        <f t="shared" ca="1" si="205"/>
        <v>#NAME?</v>
      </c>
      <c r="J1112" s="100" t="e">
        <f ca="1">IFERROR(__xludf.DUMMYFUNCTION("""COMPUTED_VALUE"""),"-4.410")</f>
        <v>#NAME?</v>
      </c>
      <c r="K1112" s="100" t="e">
        <f t="shared" ca="1" si="206"/>
        <v>#NAME?</v>
      </c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</row>
    <row r="1113" spans="1:26">
      <c r="A1113" s="100" t="e">
        <f ca="1">IFERROR(__xludf.DUMMYFUNCTION("""COMPUTED_VALUE"""),58784448)</f>
        <v>#NAME?</v>
      </c>
      <c r="B1113" s="100" t="e">
        <f ca="1">IFERROR(__xludf.DUMMYFUNCTION("""COMPUTED_VALUE"""),"INJBTC")</f>
        <v>#NAME?</v>
      </c>
      <c r="C1113" s="100" t="e">
        <f ca="1">IFERROR(__xludf.DUMMYFUNCTION("""COMPUTED_VALUE"""),"0.00009590")</f>
        <v>#NAME?</v>
      </c>
      <c r="D1113" s="100" t="e">
        <f t="shared" ca="1" si="207"/>
        <v>#NAME?</v>
      </c>
      <c r="E1113" s="100" t="e">
        <f t="shared" ca="1" si="207"/>
        <v>#NAME?</v>
      </c>
      <c r="F1113" s="100" t="e">
        <f t="shared" ca="1" si="202"/>
        <v>#NAME?</v>
      </c>
      <c r="G1113" s="100" t="e">
        <f t="shared" ca="1" si="203"/>
        <v>#NAME?</v>
      </c>
      <c r="H1113" s="100" t="e">
        <f t="shared" ca="1" si="204"/>
        <v>#NAME?</v>
      </c>
      <c r="I1113" s="100" t="e">
        <f t="shared" ca="1" si="205"/>
        <v>#NAME?</v>
      </c>
      <c r="J1113" s="100" t="e">
        <f ca="1">IFERROR(__xludf.DUMMYFUNCTION("""COMPUTED_VALUE"""),"-6.072")</f>
        <v>#NAME?</v>
      </c>
      <c r="K1113" s="100" t="e">
        <f t="shared" ca="1" si="206"/>
        <v>#NAME?</v>
      </c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</row>
    <row r="1114" spans="1:26">
      <c r="A1114" s="100" t="e">
        <f ca="1">IFERROR(__xludf.DUMMYFUNCTION("""COMPUTED_VALUE"""),58784449)</f>
        <v>#NAME?</v>
      </c>
      <c r="B1114" s="100" t="e">
        <f ca="1">IFERROR(__xludf.DUMMYFUNCTION("""COMPUTED_VALUE"""),"INJBUSD")</f>
        <v>#NAME?</v>
      </c>
      <c r="C1114" s="100" t="e">
        <f ca="1">IFERROR(__xludf.DUMMYFUNCTION("""COMPUTED_VALUE"""),"25.46400000")</f>
        <v>#NAME?</v>
      </c>
      <c r="D1114" s="100" t="e">
        <f t="shared" ca="1" si="207"/>
        <v>#NAME?</v>
      </c>
      <c r="E1114" s="100" t="e">
        <f t="shared" ca="1" si="207"/>
        <v>#NAME?</v>
      </c>
      <c r="F1114" s="100" t="e">
        <f t="shared" ca="1" si="202"/>
        <v>#NAME?</v>
      </c>
      <c r="G1114" s="100" t="e">
        <f t="shared" ca="1" si="203"/>
        <v>#NAME?</v>
      </c>
      <c r="H1114" s="100" t="e">
        <f t="shared" ca="1" si="204"/>
        <v>#NAME?</v>
      </c>
      <c r="I1114" s="100" t="e">
        <f t="shared" ca="1" si="205"/>
        <v>#NAME?</v>
      </c>
      <c r="J1114" s="100" t="e">
        <f ca="1">IFERROR(__xludf.DUMMYFUNCTION("""COMPUTED_VALUE"""),"0")</f>
        <v>#NAME?</v>
      </c>
      <c r="K1114" s="100" t="e">
        <f t="shared" ca="1" si="206"/>
        <v>#NAME?</v>
      </c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</row>
    <row r="1115" spans="1:26">
      <c r="A1115" s="100" t="e">
        <f ca="1">IFERROR(__xludf.DUMMYFUNCTION("""COMPUTED_VALUE"""),58784450)</f>
        <v>#NAME?</v>
      </c>
      <c r="B1115" s="100" t="e">
        <f ca="1">IFERROR(__xludf.DUMMYFUNCTION("""COMPUTED_VALUE"""),"INJUSDT")</f>
        <v>#NAME?</v>
      </c>
      <c r="C1115" s="100" t="e">
        <f ca="1">IFERROR(__xludf.DUMMYFUNCTION("""COMPUTED_VALUE"""),"8.49000000")</f>
        <v>#NAME?</v>
      </c>
      <c r="D1115" s="100" t="e">
        <f t="shared" ca="1" si="207"/>
        <v>#NAME?</v>
      </c>
      <c r="E1115" s="100" t="e">
        <f t="shared" ca="1" si="207"/>
        <v>#NAME?</v>
      </c>
      <c r="F1115" s="100" t="e">
        <f t="shared" ca="1" si="202"/>
        <v>#NAME?</v>
      </c>
      <c r="G1115" s="100" t="e">
        <f t="shared" ca="1" si="203"/>
        <v>#NAME?</v>
      </c>
      <c r="H1115" s="100" t="e">
        <f t="shared" ca="1" si="204"/>
        <v>#NAME?</v>
      </c>
      <c r="I1115" s="100" t="e">
        <f t="shared" ca="1" si="205"/>
        <v>#NAME?</v>
      </c>
      <c r="J1115" s="100" t="e">
        <f ca="1">IFERROR(__xludf.DUMMYFUNCTION("""COMPUTED_VALUE"""),"-5.034")</f>
        <v>#NAME?</v>
      </c>
      <c r="K1115" s="100" t="e">
        <f t="shared" ca="1" si="206"/>
        <v>#NAME?</v>
      </c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</row>
    <row r="1116" spans="1:26">
      <c r="A1116" s="100" t="e">
        <f ca="1">IFERROR(__xludf.DUMMYFUNCTION("""COMPUTED_VALUE"""),58784451)</f>
        <v>#NAME?</v>
      </c>
      <c r="B1116" s="100" t="e">
        <f ca="1">IFERROR(__xludf.DUMMYFUNCTION("""COMPUTED_VALUE"""),"AERGOBTC")</f>
        <v>#NAME?</v>
      </c>
      <c r="C1116" s="100" t="e">
        <f ca="1">IFERROR(__xludf.DUMMYFUNCTION("""COMPUTED_VALUE"""),"0.00000257")</f>
        <v>#NAME?</v>
      </c>
      <c r="D1116" s="100" t="e">
        <f t="shared" ca="1" si="207"/>
        <v>#NAME?</v>
      </c>
      <c r="E1116" s="100" t="e">
        <f t="shared" ca="1" si="207"/>
        <v>#NAME?</v>
      </c>
      <c r="F1116" s="100" t="e">
        <f t="shared" ca="1" si="202"/>
        <v>#NAME?</v>
      </c>
      <c r="G1116" s="100" t="e">
        <f t="shared" ca="1" si="203"/>
        <v>#NAME?</v>
      </c>
      <c r="H1116" s="100" t="e">
        <f t="shared" ca="1" si="204"/>
        <v>#NAME?</v>
      </c>
      <c r="I1116" s="100" t="e">
        <f t="shared" ca="1" si="205"/>
        <v>#NAME?</v>
      </c>
      <c r="J1116" s="100" t="e">
        <f ca="1">IFERROR(__xludf.DUMMYFUNCTION("""COMPUTED_VALUE"""),"0")</f>
        <v>#NAME?</v>
      </c>
      <c r="K1116" s="100" t="e">
        <f t="shared" ca="1" si="206"/>
        <v>#NAME?</v>
      </c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</row>
    <row r="1117" spans="1:26">
      <c r="A1117" s="100" t="e">
        <f ca="1">IFERROR(__xludf.DUMMYFUNCTION("""COMPUTED_VALUE"""),58784452)</f>
        <v>#NAME?</v>
      </c>
      <c r="B1117" s="100" t="e">
        <f ca="1">IFERROR(__xludf.DUMMYFUNCTION("""COMPUTED_VALUE"""),"AERGOBUSD")</f>
        <v>#NAME?</v>
      </c>
      <c r="C1117" s="100" t="e">
        <f ca="1">IFERROR(__xludf.DUMMYFUNCTION("""COMPUTED_VALUE"""),"0.10030000")</f>
        <v>#NAME?</v>
      </c>
      <c r="D1117" s="100" t="e">
        <f t="shared" ca="1" si="207"/>
        <v>#NAME?</v>
      </c>
      <c r="E1117" s="100" t="e">
        <f t="shared" ca="1" si="207"/>
        <v>#NAME?</v>
      </c>
      <c r="F1117" s="100" t="e">
        <f t="shared" ca="1" si="202"/>
        <v>#NAME?</v>
      </c>
      <c r="G1117" s="100" t="e">
        <f t="shared" ca="1" si="203"/>
        <v>#NAME?</v>
      </c>
      <c r="H1117" s="100" t="e">
        <f t="shared" ca="1" si="204"/>
        <v>#NAME?</v>
      </c>
      <c r="I1117" s="100" t="e">
        <f t="shared" ca="1" si="205"/>
        <v>#NAME?</v>
      </c>
      <c r="J1117" s="100" t="e">
        <f ca="1">IFERROR(__xludf.DUMMYFUNCTION("""COMPUTED_VALUE"""),"0")</f>
        <v>#NAME?</v>
      </c>
      <c r="K1117" s="100" t="e">
        <f t="shared" ca="1" si="206"/>
        <v>#NAME?</v>
      </c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</row>
    <row r="1118" spans="1:26">
      <c r="A1118" s="100" t="e">
        <f ca="1">IFERROR(__xludf.DUMMYFUNCTION("""COMPUTED_VALUE"""),58784453)</f>
        <v>#NAME?</v>
      </c>
      <c r="B1118" s="100" t="e">
        <f ca="1">IFERROR(__xludf.DUMMYFUNCTION("""COMPUTED_VALUE"""),"LINKEUR")</f>
        <v>#NAME?</v>
      </c>
      <c r="C1118" s="100" t="e">
        <f ca="1">IFERROR(__xludf.DUMMYFUNCTION("""COMPUTED_VALUE"""),"11.59000000")</f>
        <v>#NAME?</v>
      </c>
      <c r="D1118" s="100" t="e">
        <f t="shared" ca="1" si="207"/>
        <v>#NAME?</v>
      </c>
      <c r="E1118" s="100" t="e">
        <f t="shared" ca="1" si="207"/>
        <v>#NAME?</v>
      </c>
      <c r="F1118" s="100" t="e">
        <f t="shared" ca="1" si="202"/>
        <v>#NAME?</v>
      </c>
      <c r="G1118" s="100" t="e">
        <f t="shared" ca="1" si="203"/>
        <v>#NAME?</v>
      </c>
      <c r="H1118" s="100" t="e">
        <f t="shared" ca="1" si="204"/>
        <v>#NAME?</v>
      </c>
      <c r="I1118" s="100" t="e">
        <f t="shared" ca="1" si="205"/>
        <v>#NAME?</v>
      </c>
      <c r="J1118" s="100" t="e">
        <f ca="1">IFERROR(__xludf.DUMMYFUNCTION("""COMPUTED_VALUE"""),"-0.940")</f>
        <v>#NAME?</v>
      </c>
      <c r="K1118" s="100" t="e">
        <f t="shared" ca="1" si="206"/>
        <v>#NAME?</v>
      </c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</row>
    <row r="1119" spans="1:26">
      <c r="A1119" s="100" t="e">
        <f ca="1">IFERROR(__xludf.DUMMYFUNCTION("""COMPUTED_VALUE"""),58784454)</f>
        <v>#NAME?</v>
      </c>
      <c r="B1119" s="100" t="e">
        <f ca="1">IFERROR(__xludf.DUMMYFUNCTION("""COMPUTED_VALUE"""),"ONEBUSD")</f>
        <v>#NAME?</v>
      </c>
      <c r="C1119" s="100" t="e">
        <f ca="1">IFERROR(__xludf.DUMMYFUNCTION("""COMPUTED_VALUE"""),"0.01505000")</f>
        <v>#NAME?</v>
      </c>
      <c r="D1119" s="100" t="e">
        <f t="shared" ca="1" si="207"/>
        <v>#NAME?</v>
      </c>
      <c r="E1119" s="100" t="e">
        <f t="shared" ca="1" si="207"/>
        <v>#NAME?</v>
      </c>
      <c r="F1119" s="100" t="e">
        <f t="shared" ca="1" si="202"/>
        <v>#NAME?</v>
      </c>
      <c r="G1119" s="100" t="e">
        <f t="shared" ca="1" si="203"/>
        <v>#NAME?</v>
      </c>
      <c r="H1119" s="100" t="e">
        <f t="shared" ca="1" si="204"/>
        <v>#NAME?</v>
      </c>
      <c r="I1119" s="100" t="e">
        <f t="shared" ca="1" si="205"/>
        <v>#NAME?</v>
      </c>
      <c r="J1119" s="100" t="e">
        <f ca="1">IFERROR(__xludf.DUMMYFUNCTION("""COMPUTED_VALUE"""),"0")</f>
        <v>#NAME?</v>
      </c>
      <c r="K1119" s="100" t="e">
        <f t="shared" ca="1" si="206"/>
        <v>#NAME?</v>
      </c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</row>
    <row r="1120" spans="1:26">
      <c r="A1120" s="100" t="e">
        <f ca="1">IFERROR(__xludf.DUMMYFUNCTION("""COMPUTED_VALUE"""),58784455)</f>
        <v>#NAME?</v>
      </c>
      <c r="B1120" s="100" t="e">
        <f ca="1">IFERROR(__xludf.DUMMYFUNCTION("""COMPUTED_VALUE"""),"EASYETH")</f>
        <v>#NAME?</v>
      </c>
      <c r="C1120" s="100" t="e">
        <f ca="1">IFERROR(__xludf.DUMMYFUNCTION("""COMPUTED_VALUE"""),"0.00000000")</f>
        <v>#NAME?</v>
      </c>
      <c r="D1120" s="100" t="e">
        <f t="shared" ca="1" si="207"/>
        <v>#NAME?</v>
      </c>
      <c r="E1120" s="100" t="e">
        <f t="shared" ca="1" si="207"/>
        <v>#NAME?</v>
      </c>
      <c r="F1120" s="100" t="e">
        <f t="shared" ca="1" si="202"/>
        <v>#NAME?</v>
      </c>
      <c r="G1120" s="100" t="e">
        <f t="shared" ca="1" si="203"/>
        <v>#NAME?</v>
      </c>
      <c r="H1120" s="100" t="e">
        <f t="shared" ca="1" si="204"/>
        <v>#NAME?</v>
      </c>
      <c r="I1120" s="100" t="e">
        <f t="shared" ca="1" si="205"/>
        <v>#NAME?</v>
      </c>
      <c r="J1120" s="100" t="e">
        <f ca="1">IFERROR(__xludf.DUMMYFUNCTION("""COMPUTED_VALUE"""),"0")</f>
        <v>#NAME?</v>
      </c>
      <c r="K1120" s="100" t="e">
        <f t="shared" ca="1" si="206"/>
        <v>#NAME?</v>
      </c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</row>
    <row r="1121" spans="1:26">
      <c r="A1121" s="100" t="e">
        <f ca="1">IFERROR(__xludf.DUMMYFUNCTION("""COMPUTED_VALUE"""),58784456)</f>
        <v>#NAME?</v>
      </c>
      <c r="B1121" s="100" t="e">
        <f ca="1">IFERROR(__xludf.DUMMYFUNCTION("""COMPUTED_VALUE"""),"AUDIOBTC")</f>
        <v>#NAME?</v>
      </c>
      <c r="C1121" s="100" t="e">
        <f ca="1">IFERROR(__xludf.DUMMYFUNCTION("""COMPUTED_VALUE"""),"0.00000093")</f>
        <v>#NAME?</v>
      </c>
      <c r="D1121" s="100" t="e">
        <f t="shared" ca="1" si="207"/>
        <v>#NAME?</v>
      </c>
      <c r="E1121" s="100" t="e">
        <f t="shared" ca="1" si="207"/>
        <v>#NAME?</v>
      </c>
      <c r="F1121" s="100" t="e">
        <f t="shared" ca="1" si="202"/>
        <v>#NAME?</v>
      </c>
      <c r="G1121" s="100" t="e">
        <f t="shared" ca="1" si="203"/>
        <v>#NAME?</v>
      </c>
      <c r="H1121" s="100" t="e">
        <f t="shared" ca="1" si="204"/>
        <v>#NAME?</v>
      </c>
      <c r="I1121" s="100" t="e">
        <f t="shared" ca="1" si="205"/>
        <v>#NAME?</v>
      </c>
      <c r="J1121" s="100" t="e">
        <f ca="1">IFERROR(__xludf.DUMMYFUNCTION("""COMPUTED_VALUE"""),"24.000")</f>
        <v>#NAME?</v>
      </c>
      <c r="K1121" s="100" t="e">
        <f t="shared" ca="1" si="206"/>
        <v>#NAME?</v>
      </c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</row>
    <row r="1122" spans="1:26">
      <c r="A1122" s="100" t="e">
        <f ca="1">IFERROR(__xludf.DUMMYFUNCTION("""COMPUTED_VALUE"""),58784457)</f>
        <v>#NAME?</v>
      </c>
      <c r="B1122" s="100" t="e">
        <f ca="1">IFERROR(__xludf.DUMMYFUNCTION("""COMPUTED_VALUE"""),"AUDIOBUSD")</f>
        <v>#NAME?</v>
      </c>
      <c r="C1122" s="100" t="e">
        <f ca="1">IFERROR(__xludf.DUMMYFUNCTION("""COMPUTED_VALUE"""),"0.15270000")</f>
        <v>#NAME?</v>
      </c>
      <c r="D1122" s="100" t="e">
        <f t="shared" ref="D1122:E1141" ca="1" si="208">IFERROR(__xludf.DUMMYFUNCTION("""COMPUTED_VALUE"""),"-")</f>
        <v>#NAME?</v>
      </c>
      <c r="E1122" s="100" t="e">
        <f t="shared" ca="1" si="208"/>
        <v>#NAME?</v>
      </c>
      <c r="F1122" s="100" t="e">
        <f t="shared" ca="1" si="202"/>
        <v>#NAME?</v>
      </c>
      <c r="G1122" s="100" t="e">
        <f t="shared" ca="1" si="203"/>
        <v>#NAME?</v>
      </c>
      <c r="H1122" s="100" t="e">
        <f t="shared" ca="1" si="204"/>
        <v>#NAME?</v>
      </c>
      <c r="I1122" s="100" t="e">
        <f t="shared" ca="1" si="205"/>
        <v>#NAME?</v>
      </c>
      <c r="J1122" s="100" t="e">
        <f ca="1">IFERROR(__xludf.DUMMYFUNCTION("""COMPUTED_VALUE"""),"0")</f>
        <v>#NAME?</v>
      </c>
      <c r="K1122" s="100" t="e">
        <f t="shared" ca="1" si="206"/>
        <v>#NAME?</v>
      </c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</row>
    <row r="1123" spans="1:26">
      <c r="A1123" s="100" t="e">
        <f ca="1">IFERROR(__xludf.DUMMYFUNCTION("""COMPUTED_VALUE"""),58784458)</f>
        <v>#NAME?</v>
      </c>
      <c r="B1123" s="100" t="e">
        <f ca="1">IFERROR(__xludf.DUMMYFUNCTION("""COMPUTED_VALUE"""),"AUDIOUSDT")</f>
        <v>#NAME?</v>
      </c>
      <c r="C1123" s="100" t="e">
        <f ca="1">IFERROR(__xludf.DUMMYFUNCTION("""COMPUTED_VALUE"""),"0.08290000")</f>
        <v>#NAME?</v>
      </c>
      <c r="D1123" s="100" t="e">
        <f t="shared" ca="1" si="208"/>
        <v>#NAME?</v>
      </c>
      <c r="E1123" s="100" t="e">
        <f t="shared" ca="1" si="208"/>
        <v>#NAME?</v>
      </c>
      <c r="F1123" s="100" t="e">
        <f t="shared" ca="1" si="202"/>
        <v>#NAME?</v>
      </c>
      <c r="G1123" s="100" t="e">
        <f t="shared" ca="1" si="203"/>
        <v>#NAME?</v>
      </c>
      <c r="H1123" s="100" t="e">
        <f t="shared" ca="1" si="204"/>
        <v>#NAME?</v>
      </c>
      <c r="I1123" s="100" t="e">
        <f t="shared" ca="1" si="205"/>
        <v>#NAME?</v>
      </c>
      <c r="J1123" s="100" t="e">
        <f ca="1">IFERROR(__xludf.DUMMYFUNCTION("""COMPUTED_VALUE"""),"26.953")</f>
        <v>#NAME?</v>
      </c>
      <c r="K1123" s="100" t="e">
        <f t="shared" ca="1" si="206"/>
        <v>#NAME?</v>
      </c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</row>
    <row r="1124" spans="1:26">
      <c r="A1124" s="100" t="e">
        <f ca="1">IFERROR(__xludf.DUMMYFUNCTION("""COMPUTED_VALUE"""),58784459)</f>
        <v>#NAME?</v>
      </c>
      <c r="B1124" s="100" t="e">
        <f ca="1">IFERROR(__xludf.DUMMYFUNCTION("""COMPUTED_VALUE"""),"CTKBNB")</f>
        <v>#NAME?</v>
      </c>
      <c r="C1124" s="100" t="e">
        <f ca="1">IFERROR(__xludf.DUMMYFUNCTION("""COMPUTED_VALUE"""),"0.00055800")</f>
        <v>#NAME?</v>
      </c>
      <c r="D1124" s="100" t="e">
        <f t="shared" ca="1" si="208"/>
        <v>#NAME?</v>
      </c>
      <c r="E1124" s="100" t="e">
        <f t="shared" ca="1" si="208"/>
        <v>#NAME?</v>
      </c>
      <c r="F1124" s="100" t="e">
        <f t="shared" ca="1" si="202"/>
        <v>#NAME?</v>
      </c>
      <c r="G1124" s="100" t="e">
        <f t="shared" ca="1" si="203"/>
        <v>#NAME?</v>
      </c>
      <c r="H1124" s="100" t="e">
        <f t="shared" ca="1" si="204"/>
        <v>#NAME?</v>
      </c>
      <c r="I1124" s="100" t="e">
        <f t="shared" ca="1" si="205"/>
        <v>#NAME?</v>
      </c>
      <c r="J1124" s="100" t="e">
        <f ca="1">IFERROR(__xludf.DUMMYFUNCTION("""COMPUTED_VALUE"""),"-1.933")</f>
        <v>#NAME?</v>
      </c>
      <c r="K1124" s="100" t="e">
        <f t="shared" ca="1" si="206"/>
        <v>#NAME?</v>
      </c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</row>
    <row r="1125" spans="1:26">
      <c r="A1125" s="100" t="e">
        <f ca="1">IFERROR(__xludf.DUMMYFUNCTION("""COMPUTED_VALUE"""),58784460)</f>
        <v>#NAME?</v>
      </c>
      <c r="B1125" s="100" t="e">
        <f ca="1">IFERROR(__xludf.DUMMYFUNCTION("""COMPUTED_VALUE"""),"CTKBTC")</f>
        <v>#NAME?</v>
      </c>
      <c r="C1125" s="100" t="e">
        <f ca="1">IFERROR(__xludf.DUMMYFUNCTION("""COMPUTED_VALUE"""),"0.00000381")</f>
        <v>#NAME?</v>
      </c>
      <c r="D1125" s="100" t="e">
        <f t="shared" ca="1" si="208"/>
        <v>#NAME?</v>
      </c>
      <c r="E1125" s="100" t="e">
        <f t="shared" ca="1" si="208"/>
        <v>#NAME?</v>
      </c>
      <c r="F1125" s="100" t="e">
        <f t="shared" ca="1" si="202"/>
        <v>#NAME?</v>
      </c>
      <c r="G1125" s="100" t="e">
        <f t="shared" ca="1" si="203"/>
        <v>#NAME?</v>
      </c>
      <c r="H1125" s="100" t="e">
        <f t="shared" ca="1" si="204"/>
        <v>#NAME?</v>
      </c>
      <c r="I1125" s="100" t="e">
        <f t="shared" ca="1" si="205"/>
        <v>#NAME?</v>
      </c>
      <c r="J1125" s="100" t="e">
        <f ca="1">IFERROR(__xludf.DUMMYFUNCTION("""COMPUTED_VALUE"""),"-3.053")</f>
        <v>#NAME?</v>
      </c>
      <c r="K1125" s="100" t="e">
        <f t="shared" ca="1" si="206"/>
        <v>#NAME?</v>
      </c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</row>
    <row r="1126" spans="1:26">
      <c r="A1126" s="100" t="e">
        <f ca="1">IFERROR(__xludf.DUMMYFUNCTION("""COMPUTED_VALUE"""),58784461)</f>
        <v>#NAME?</v>
      </c>
      <c r="B1126" s="100" t="e">
        <f ca="1">IFERROR(__xludf.DUMMYFUNCTION("""COMPUTED_VALUE"""),"CTKBUSD")</f>
        <v>#NAME?</v>
      </c>
      <c r="C1126" s="100" t="e">
        <f ca="1">IFERROR(__xludf.DUMMYFUNCTION("""COMPUTED_VALUE"""),"0.53400000")</f>
        <v>#NAME?</v>
      </c>
      <c r="D1126" s="100" t="e">
        <f t="shared" ca="1" si="208"/>
        <v>#NAME?</v>
      </c>
      <c r="E1126" s="100" t="e">
        <f t="shared" ca="1" si="208"/>
        <v>#NAME?</v>
      </c>
      <c r="F1126" s="100" t="e">
        <f t="shared" ca="1" si="202"/>
        <v>#NAME?</v>
      </c>
      <c r="G1126" s="100" t="e">
        <f t="shared" ca="1" si="203"/>
        <v>#NAME?</v>
      </c>
      <c r="H1126" s="100" t="e">
        <f t="shared" ca="1" si="204"/>
        <v>#NAME?</v>
      </c>
      <c r="I1126" s="100" t="e">
        <f t="shared" ca="1" si="205"/>
        <v>#NAME?</v>
      </c>
      <c r="J1126" s="100" t="e">
        <f ca="1">IFERROR(__xludf.DUMMYFUNCTION("""COMPUTED_VALUE"""),"0")</f>
        <v>#NAME?</v>
      </c>
      <c r="K1126" s="100" t="e">
        <f t="shared" ca="1" si="206"/>
        <v>#NAME?</v>
      </c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</row>
    <row r="1127" spans="1:26">
      <c r="A1127" s="100" t="e">
        <f ca="1">IFERROR(__xludf.DUMMYFUNCTION("""COMPUTED_VALUE"""),58784462)</f>
        <v>#NAME?</v>
      </c>
      <c r="B1127" s="100" t="e">
        <f ca="1">IFERROR(__xludf.DUMMYFUNCTION("""COMPUTED_VALUE"""),"CTKUSDT")</f>
        <v>#NAME?</v>
      </c>
      <c r="C1127" s="100" t="e">
        <f ca="1">IFERROR(__xludf.DUMMYFUNCTION("""COMPUTED_VALUE"""),"0.33760000")</f>
        <v>#NAME?</v>
      </c>
      <c r="D1127" s="100" t="e">
        <f t="shared" ca="1" si="208"/>
        <v>#NAME?</v>
      </c>
      <c r="E1127" s="100" t="e">
        <f t="shared" ca="1" si="208"/>
        <v>#NAME?</v>
      </c>
      <c r="F1127" s="100" t="e">
        <f t="shared" ca="1" si="202"/>
        <v>#NAME?</v>
      </c>
      <c r="G1127" s="100" t="e">
        <f t="shared" ca="1" si="203"/>
        <v>#NAME?</v>
      </c>
      <c r="H1127" s="100" t="e">
        <f t="shared" ca="1" si="204"/>
        <v>#NAME?</v>
      </c>
      <c r="I1127" s="100" t="e">
        <f t="shared" ca="1" si="205"/>
        <v>#NAME?</v>
      </c>
      <c r="J1127" s="100" t="e">
        <f ca="1">IFERROR(__xludf.DUMMYFUNCTION("""COMPUTED_VALUE"""),"-1.775")</f>
        <v>#NAME?</v>
      </c>
      <c r="K1127" s="100" t="e">
        <f t="shared" ca="1" si="206"/>
        <v>#NAME?</v>
      </c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</row>
    <row r="1128" spans="1:26">
      <c r="A1128" s="100" t="e">
        <f ca="1">IFERROR(__xludf.DUMMYFUNCTION("""COMPUTED_VALUE"""),58784463)</f>
        <v>#NAME?</v>
      </c>
      <c r="B1128" s="100" t="e">
        <f ca="1">IFERROR(__xludf.DUMMYFUNCTION("""COMPUTED_VALUE"""),"BCHUPUSDT")</f>
        <v>#NAME?</v>
      </c>
      <c r="C1128" s="100" t="e">
        <f ca="1">IFERROR(__xludf.DUMMYFUNCTION("""COMPUTED_VALUE"""),"0.00000000")</f>
        <v>#NAME?</v>
      </c>
      <c r="D1128" s="100" t="e">
        <f t="shared" ca="1" si="208"/>
        <v>#NAME?</v>
      </c>
      <c r="E1128" s="100" t="e">
        <f t="shared" ca="1" si="208"/>
        <v>#NAME?</v>
      </c>
      <c r="F1128" s="100" t="e">
        <f t="shared" ca="1" si="202"/>
        <v>#NAME?</v>
      </c>
      <c r="G1128" s="100" t="e">
        <f t="shared" ca="1" si="203"/>
        <v>#NAME?</v>
      </c>
      <c r="H1128" s="100" t="e">
        <f t="shared" ca="1" si="204"/>
        <v>#NAME?</v>
      </c>
      <c r="I1128" s="100" t="e">
        <f t="shared" ca="1" si="205"/>
        <v>#NAME?</v>
      </c>
      <c r="J1128" s="100" t="e">
        <f ca="1">IFERROR(__xludf.DUMMYFUNCTION("""COMPUTED_VALUE"""),"0")</f>
        <v>#NAME?</v>
      </c>
      <c r="K1128" s="100" t="e">
        <f t="shared" ca="1" si="206"/>
        <v>#NAME?</v>
      </c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</row>
    <row r="1129" spans="1:26">
      <c r="A1129" s="100" t="e">
        <f ca="1">IFERROR(__xludf.DUMMYFUNCTION("""COMPUTED_VALUE"""),58784464)</f>
        <v>#NAME?</v>
      </c>
      <c r="B1129" s="100" t="e">
        <f ca="1">IFERROR(__xludf.DUMMYFUNCTION("""COMPUTED_VALUE"""),"BCHDOWNUSDT")</f>
        <v>#NAME?</v>
      </c>
      <c r="C1129" s="100" t="e">
        <f ca="1">IFERROR(__xludf.DUMMYFUNCTION("""COMPUTED_VALUE"""),"0.00000000")</f>
        <v>#NAME?</v>
      </c>
      <c r="D1129" s="100" t="e">
        <f t="shared" ca="1" si="208"/>
        <v>#NAME?</v>
      </c>
      <c r="E1129" s="100" t="e">
        <f t="shared" ca="1" si="208"/>
        <v>#NAME?</v>
      </c>
      <c r="F1129" s="100" t="e">
        <f t="shared" ca="1" si="202"/>
        <v>#NAME?</v>
      </c>
      <c r="G1129" s="100" t="e">
        <f t="shared" ca="1" si="203"/>
        <v>#NAME?</v>
      </c>
      <c r="H1129" s="100" t="e">
        <f t="shared" ca="1" si="204"/>
        <v>#NAME?</v>
      </c>
      <c r="I1129" s="100" t="e">
        <f t="shared" ca="1" si="205"/>
        <v>#NAME?</v>
      </c>
      <c r="J1129" s="100" t="e">
        <f ca="1">IFERROR(__xludf.DUMMYFUNCTION("""COMPUTED_VALUE"""),"0")</f>
        <v>#NAME?</v>
      </c>
      <c r="K1129" s="100" t="e">
        <f t="shared" ca="1" si="206"/>
        <v>#NAME?</v>
      </c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</row>
    <row r="1130" spans="1:26">
      <c r="A1130" s="100" t="e">
        <f ca="1">IFERROR(__xludf.DUMMYFUNCTION("""COMPUTED_VALUE"""),58784465)</f>
        <v>#NAME?</v>
      </c>
      <c r="B1130" s="100" t="e">
        <f ca="1">IFERROR(__xludf.DUMMYFUNCTION("""COMPUTED_VALUE"""),"BOTBTC")</f>
        <v>#NAME?</v>
      </c>
      <c r="C1130" s="100" t="e">
        <f ca="1">IFERROR(__xludf.DUMMYFUNCTION("""COMPUTED_VALUE"""),"0.00000000")</f>
        <v>#NAME?</v>
      </c>
      <c r="D1130" s="100" t="e">
        <f t="shared" ca="1" si="208"/>
        <v>#NAME?</v>
      </c>
      <c r="E1130" s="100" t="e">
        <f t="shared" ca="1" si="208"/>
        <v>#NAME?</v>
      </c>
      <c r="F1130" s="100" t="e">
        <f t="shared" ca="1" si="202"/>
        <v>#NAME?</v>
      </c>
      <c r="G1130" s="100" t="e">
        <f t="shared" ca="1" si="203"/>
        <v>#NAME?</v>
      </c>
      <c r="H1130" s="100" t="e">
        <f t="shared" ca="1" si="204"/>
        <v>#NAME?</v>
      </c>
      <c r="I1130" s="100" t="e">
        <f t="shared" ca="1" si="205"/>
        <v>#NAME?</v>
      </c>
      <c r="J1130" s="100" t="e">
        <f ca="1">IFERROR(__xludf.DUMMYFUNCTION("""COMPUTED_VALUE"""),"0")</f>
        <v>#NAME?</v>
      </c>
      <c r="K1130" s="100" t="e">
        <f t="shared" ca="1" si="206"/>
        <v>#NAME?</v>
      </c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</row>
    <row r="1131" spans="1:26">
      <c r="A1131" s="100" t="e">
        <f ca="1">IFERROR(__xludf.DUMMYFUNCTION("""COMPUTED_VALUE"""),58784466)</f>
        <v>#NAME?</v>
      </c>
      <c r="B1131" s="100" t="e">
        <f ca="1">IFERROR(__xludf.DUMMYFUNCTION("""COMPUTED_VALUE"""),"BOTBUSD")</f>
        <v>#NAME?</v>
      </c>
      <c r="C1131" s="100" t="e">
        <f ca="1">IFERROR(__xludf.DUMMYFUNCTION("""COMPUTED_VALUE"""),"0.00000000")</f>
        <v>#NAME?</v>
      </c>
      <c r="D1131" s="100" t="e">
        <f t="shared" ca="1" si="208"/>
        <v>#NAME?</v>
      </c>
      <c r="E1131" s="100" t="e">
        <f t="shared" ca="1" si="208"/>
        <v>#NAME?</v>
      </c>
      <c r="F1131" s="100" t="e">
        <f t="shared" ca="1" si="202"/>
        <v>#NAME?</v>
      </c>
      <c r="G1131" s="100" t="e">
        <f t="shared" ca="1" si="203"/>
        <v>#NAME?</v>
      </c>
      <c r="H1131" s="100" t="e">
        <f t="shared" ca="1" si="204"/>
        <v>#NAME?</v>
      </c>
      <c r="I1131" s="100" t="e">
        <f t="shared" ca="1" si="205"/>
        <v>#NAME?</v>
      </c>
      <c r="J1131" s="100" t="e">
        <f ca="1">IFERROR(__xludf.DUMMYFUNCTION("""COMPUTED_VALUE"""),"0")</f>
        <v>#NAME?</v>
      </c>
      <c r="K1131" s="100" t="e">
        <f t="shared" ca="1" si="206"/>
        <v>#NAME?</v>
      </c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</row>
    <row r="1132" spans="1:26">
      <c r="A1132" s="100" t="e">
        <f ca="1">IFERROR(__xludf.DUMMYFUNCTION("""COMPUTED_VALUE"""),58784467)</f>
        <v>#NAME?</v>
      </c>
      <c r="B1132" s="100" t="e">
        <f ca="1">IFERROR(__xludf.DUMMYFUNCTION("""COMPUTED_VALUE"""),"ETHBRL")</f>
        <v>#NAME?</v>
      </c>
      <c r="C1132" s="100" t="e">
        <f ca="1">IFERROR(__xludf.DUMMYFUNCTION("""COMPUTED_VALUE"""),"9459.56000000")</f>
        <v>#NAME?</v>
      </c>
      <c r="D1132" s="100" t="e">
        <f t="shared" ca="1" si="208"/>
        <v>#NAME?</v>
      </c>
      <c r="E1132" s="100" t="e">
        <f t="shared" ca="1" si="208"/>
        <v>#NAME?</v>
      </c>
      <c r="F1132" s="100" t="e">
        <f t="shared" ca="1" si="202"/>
        <v>#NAME?</v>
      </c>
      <c r="G1132" s="100" t="e">
        <f t="shared" ca="1" si="203"/>
        <v>#NAME?</v>
      </c>
      <c r="H1132" s="100" t="e">
        <f t="shared" ca="1" si="204"/>
        <v>#NAME?</v>
      </c>
      <c r="I1132" s="100" t="e">
        <f t="shared" ca="1" si="205"/>
        <v>#NAME?</v>
      </c>
      <c r="J1132" s="100" t="e">
        <f ca="1">IFERROR(__xludf.DUMMYFUNCTION("""COMPUTED_VALUE"""),"-1.071")</f>
        <v>#NAME?</v>
      </c>
      <c r="K1132" s="100" t="e">
        <f t="shared" ca="1" si="206"/>
        <v>#NAME?</v>
      </c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</row>
    <row r="1133" spans="1:26">
      <c r="A1133" s="100" t="e">
        <f ca="1">IFERROR(__xludf.DUMMYFUNCTION("""COMPUTED_VALUE"""),58784468)</f>
        <v>#NAME?</v>
      </c>
      <c r="B1133" s="100" t="e">
        <f ca="1">IFERROR(__xludf.DUMMYFUNCTION("""COMPUTED_VALUE"""),"DOTEUR")</f>
        <v>#NAME?</v>
      </c>
      <c r="C1133" s="100" t="e">
        <f ca="1">IFERROR(__xludf.DUMMYFUNCTION("""COMPUTED_VALUE"""),"3.25700000")</f>
        <v>#NAME?</v>
      </c>
      <c r="D1133" s="100" t="e">
        <f t="shared" ca="1" si="208"/>
        <v>#NAME?</v>
      </c>
      <c r="E1133" s="100" t="e">
        <f t="shared" ca="1" si="208"/>
        <v>#NAME?</v>
      </c>
      <c r="F1133" s="100" t="e">
        <f t="shared" ca="1" si="202"/>
        <v>#NAME?</v>
      </c>
      <c r="G1133" s="100" t="e">
        <f t="shared" ca="1" si="203"/>
        <v>#NAME?</v>
      </c>
      <c r="H1133" s="100" t="e">
        <f t="shared" ca="1" si="204"/>
        <v>#NAME?</v>
      </c>
      <c r="I1133" s="100" t="e">
        <f t="shared" ca="1" si="205"/>
        <v>#NAME?</v>
      </c>
      <c r="J1133" s="100" t="e">
        <f ca="1">IFERROR(__xludf.DUMMYFUNCTION("""COMPUTED_VALUE"""),"-4.121")</f>
        <v>#NAME?</v>
      </c>
      <c r="K1133" s="100" t="e">
        <f t="shared" ca="1" si="206"/>
        <v>#NAME?</v>
      </c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</row>
    <row r="1134" spans="1:26">
      <c r="A1134" s="100" t="e">
        <f ca="1">IFERROR(__xludf.DUMMYFUNCTION("""COMPUTED_VALUE"""),58784469)</f>
        <v>#NAME?</v>
      </c>
      <c r="B1134" s="100" t="e">
        <f ca="1">IFERROR(__xludf.DUMMYFUNCTION("""COMPUTED_VALUE"""),"AKROBTC")</f>
        <v>#NAME?</v>
      </c>
      <c r="C1134" s="100" t="e">
        <f ca="1">IFERROR(__xludf.DUMMYFUNCTION("""COMPUTED_VALUE"""),"0.00000000")</f>
        <v>#NAME?</v>
      </c>
      <c r="D1134" s="100" t="e">
        <f t="shared" ca="1" si="208"/>
        <v>#NAME?</v>
      </c>
      <c r="E1134" s="100" t="e">
        <f t="shared" ca="1" si="208"/>
        <v>#NAME?</v>
      </c>
      <c r="F1134" s="100" t="e">
        <f t="shared" ca="1" si="202"/>
        <v>#NAME?</v>
      </c>
      <c r="G1134" s="100" t="e">
        <f t="shared" ca="1" si="203"/>
        <v>#NAME?</v>
      </c>
      <c r="H1134" s="100" t="e">
        <f t="shared" ca="1" si="204"/>
        <v>#NAME?</v>
      </c>
      <c r="I1134" s="100" t="e">
        <f t="shared" ca="1" si="205"/>
        <v>#NAME?</v>
      </c>
      <c r="J1134" s="100" t="e">
        <f ca="1">IFERROR(__xludf.DUMMYFUNCTION("""COMPUTED_VALUE"""),"0")</f>
        <v>#NAME?</v>
      </c>
      <c r="K1134" s="100" t="e">
        <f t="shared" ca="1" si="206"/>
        <v>#NAME?</v>
      </c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</row>
    <row r="1135" spans="1:26">
      <c r="A1135" s="100" t="e">
        <f ca="1">IFERROR(__xludf.DUMMYFUNCTION("""COMPUTED_VALUE"""),58784470)</f>
        <v>#NAME?</v>
      </c>
      <c r="B1135" s="100" t="e">
        <f ca="1">IFERROR(__xludf.DUMMYFUNCTION("""COMPUTED_VALUE"""),"AKROUSDT")</f>
        <v>#NAME?</v>
      </c>
      <c r="C1135" s="100" t="e">
        <f ca="1">IFERROR(__xludf.DUMMYFUNCTION("""COMPUTED_VALUE"""),"0.00098100")</f>
        <v>#NAME?</v>
      </c>
      <c r="D1135" s="100" t="e">
        <f t="shared" ca="1" si="208"/>
        <v>#NAME?</v>
      </c>
      <c r="E1135" s="100" t="e">
        <f t="shared" ca="1" si="208"/>
        <v>#NAME?</v>
      </c>
      <c r="F1135" s="100" t="e">
        <f t="shared" ca="1" si="202"/>
        <v>#NAME?</v>
      </c>
      <c r="G1135" s="100" t="e">
        <f t="shared" ca="1" si="203"/>
        <v>#NAME?</v>
      </c>
      <c r="H1135" s="100" t="e">
        <f t="shared" ca="1" si="204"/>
        <v>#NAME?</v>
      </c>
      <c r="I1135" s="100" t="e">
        <f t="shared" ca="1" si="205"/>
        <v>#NAME?</v>
      </c>
      <c r="J1135" s="100" t="e">
        <f ca="1">IFERROR(__xludf.DUMMYFUNCTION("""COMPUTED_VALUE"""),"0")</f>
        <v>#NAME?</v>
      </c>
      <c r="K1135" s="100" t="e">
        <f t="shared" ca="1" si="206"/>
        <v>#NAME?</v>
      </c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</row>
    <row r="1136" spans="1:26">
      <c r="A1136" s="100" t="e">
        <f ca="1">IFERROR(__xludf.DUMMYFUNCTION("""COMPUTED_VALUE"""),58784471)</f>
        <v>#NAME?</v>
      </c>
      <c r="B1136" s="100" t="e">
        <f ca="1">IFERROR(__xludf.DUMMYFUNCTION("""COMPUTED_VALUE"""),"KP3RBNB")</f>
        <v>#NAME?</v>
      </c>
      <c r="C1136" s="100" t="e">
        <f ca="1">IFERROR(__xludf.DUMMYFUNCTION("""COMPUTED_VALUE"""),"0.20250000")</f>
        <v>#NAME?</v>
      </c>
      <c r="D1136" s="100" t="e">
        <f t="shared" ca="1" si="208"/>
        <v>#NAME?</v>
      </c>
      <c r="E1136" s="100" t="e">
        <f t="shared" ca="1" si="208"/>
        <v>#NAME?</v>
      </c>
      <c r="F1136" s="100" t="e">
        <f t="shared" ca="1" si="202"/>
        <v>#NAME?</v>
      </c>
      <c r="G1136" s="100" t="e">
        <f t="shared" ca="1" si="203"/>
        <v>#NAME?</v>
      </c>
      <c r="H1136" s="100" t="e">
        <f t="shared" ca="1" si="204"/>
        <v>#NAME?</v>
      </c>
      <c r="I1136" s="100" t="e">
        <f t="shared" ca="1" si="205"/>
        <v>#NAME?</v>
      </c>
      <c r="J1136" s="100" t="e">
        <f ca="1">IFERROR(__xludf.DUMMYFUNCTION("""COMPUTED_VALUE"""),"0")</f>
        <v>#NAME?</v>
      </c>
      <c r="K1136" s="100" t="e">
        <f t="shared" ca="1" si="206"/>
        <v>#NAME?</v>
      </c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</row>
    <row r="1137" spans="1:26">
      <c r="A1137" s="100" t="e">
        <f ca="1">IFERROR(__xludf.DUMMYFUNCTION("""COMPUTED_VALUE"""),58784472)</f>
        <v>#NAME?</v>
      </c>
      <c r="B1137" s="100" t="e">
        <f ca="1">IFERROR(__xludf.DUMMYFUNCTION("""COMPUTED_VALUE"""),"KP3RBUSD")</f>
        <v>#NAME?</v>
      </c>
      <c r="C1137" s="100" t="e">
        <f ca="1">IFERROR(__xludf.DUMMYFUNCTION("""COMPUTED_VALUE"""),"45.39000000")</f>
        <v>#NAME?</v>
      </c>
      <c r="D1137" s="100" t="e">
        <f t="shared" ca="1" si="208"/>
        <v>#NAME?</v>
      </c>
      <c r="E1137" s="100" t="e">
        <f t="shared" ca="1" si="208"/>
        <v>#NAME?</v>
      </c>
      <c r="F1137" s="100" t="e">
        <f t="shared" ca="1" si="202"/>
        <v>#NAME?</v>
      </c>
      <c r="G1137" s="100" t="e">
        <f t="shared" ca="1" si="203"/>
        <v>#NAME?</v>
      </c>
      <c r="H1137" s="100" t="e">
        <f t="shared" ca="1" si="204"/>
        <v>#NAME?</v>
      </c>
      <c r="I1137" s="100" t="e">
        <f t="shared" ca="1" si="205"/>
        <v>#NAME?</v>
      </c>
      <c r="J1137" s="100" t="e">
        <f ca="1">IFERROR(__xludf.DUMMYFUNCTION("""COMPUTED_VALUE"""),"0")</f>
        <v>#NAME?</v>
      </c>
      <c r="K1137" s="100" t="e">
        <f t="shared" ca="1" si="206"/>
        <v>#NAME?</v>
      </c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</row>
    <row r="1138" spans="1:26">
      <c r="A1138" s="100" t="e">
        <f ca="1">IFERROR(__xludf.DUMMYFUNCTION("""COMPUTED_VALUE"""),58784473)</f>
        <v>#NAME?</v>
      </c>
      <c r="B1138" s="100" t="e">
        <f ca="1">IFERROR(__xludf.DUMMYFUNCTION("""COMPUTED_VALUE"""),"AXSBNB")</f>
        <v>#NAME?</v>
      </c>
      <c r="C1138" s="100" t="e">
        <f ca="1">IFERROR(__xludf.DUMMYFUNCTION("""COMPUTED_VALUE"""),"0.00376000")</f>
        <v>#NAME?</v>
      </c>
      <c r="D1138" s="100" t="e">
        <f t="shared" ca="1" si="208"/>
        <v>#NAME?</v>
      </c>
      <c r="E1138" s="100" t="e">
        <f t="shared" ca="1" si="208"/>
        <v>#NAME?</v>
      </c>
      <c r="F1138" s="100" t="e">
        <f t="shared" ca="1" si="202"/>
        <v>#NAME?</v>
      </c>
      <c r="G1138" s="100" t="e">
        <f t="shared" ca="1" si="203"/>
        <v>#NAME?</v>
      </c>
      <c r="H1138" s="100" t="e">
        <f t="shared" ca="1" si="204"/>
        <v>#NAME?</v>
      </c>
      <c r="I1138" s="100" t="e">
        <f t="shared" ca="1" si="205"/>
        <v>#NAME?</v>
      </c>
      <c r="J1138" s="100" t="e">
        <f ca="1">IFERROR(__xludf.DUMMYFUNCTION("""COMPUTED_VALUE"""),"-3.836")</f>
        <v>#NAME?</v>
      </c>
      <c r="K1138" s="100" t="e">
        <f t="shared" ca="1" si="206"/>
        <v>#NAME?</v>
      </c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</row>
    <row r="1139" spans="1:26">
      <c r="A1139" s="100" t="e">
        <f ca="1">IFERROR(__xludf.DUMMYFUNCTION("""COMPUTED_VALUE"""),58784474)</f>
        <v>#NAME?</v>
      </c>
      <c r="B1139" s="100" t="e">
        <f ca="1">IFERROR(__xludf.DUMMYFUNCTION("""COMPUTED_VALUE"""),"AXSBTC")</f>
        <v>#NAME?</v>
      </c>
      <c r="C1139" s="100" t="e">
        <f ca="1">IFERROR(__xludf.DUMMYFUNCTION("""COMPUTED_VALUE"""),"0.00002570")</f>
        <v>#NAME?</v>
      </c>
      <c r="D1139" s="100" t="e">
        <f t="shared" ca="1" si="208"/>
        <v>#NAME?</v>
      </c>
      <c r="E1139" s="100" t="e">
        <f t="shared" ca="1" si="208"/>
        <v>#NAME?</v>
      </c>
      <c r="F1139" s="100" t="e">
        <f t="shared" ca="1" si="202"/>
        <v>#NAME?</v>
      </c>
      <c r="G1139" s="100" t="e">
        <f t="shared" ca="1" si="203"/>
        <v>#NAME?</v>
      </c>
      <c r="H1139" s="100" t="e">
        <f t="shared" ca="1" si="204"/>
        <v>#NAME?</v>
      </c>
      <c r="I1139" s="100" t="e">
        <f t="shared" ca="1" si="205"/>
        <v>#NAME?</v>
      </c>
      <c r="J1139" s="100" t="e">
        <f ca="1">IFERROR(__xludf.DUMMYFUNCTION("""COMPUTED_VALUE"""),"-5.166")</f>
        <v>#NAME?</v>
      </c>
      <c r="K1139" s="100" t="e">
        <f t="shared" ca="1" si="206"/>
        <v>#NAME?</v>
      </c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</row>
    <row r="1140" spans="1:26">
      <c r="A1140" s="100" t="e">
        <f ca="1">IFERROR(__xludf.DUMMYFUNCTION("""COMPUTED_VALUE"""),58784475)</f>
        <v>#NAME?</v>
      </c>
      <c r="B1140" s="100" t="e">
        <f ca="1">IFERROR(__xludf.DUMMYFUNCTION("""COMPUTED_VALUE"""),"AXSBUSD")</f>
        <v>#NAME?</v>
      </c>
      <c r="C1140" s="100" t="e">
        <f ca="1">IFERROR(__xludf.DUMMYFUNCTION("""COMPUTED_VALUE"""),"5.88000000")</f>
        <v>#NAME?</v>
      </c>
      <c r="D1140" s="100" t="e">
        <f t="shared" ca="1" si="208"/>
        <v>#NAME?</v>
      </c>
      <c r="E1140" s="100" t="e">
        <f t="shared" ca="1" si="208"/>
        <v>#NAME?</v>
      </c>
      <c r="F1140" s="100" t="e">
        <f t="shared" ca="1" si="202"/>
        <v>#NAME?</v>
      </c>
      <c r="G1140" s="100" t="e">
        <f t="shared" ca="1" si="203"/>
        <v>#NAME?</v>
      </c>
      <c r="H1140" s="100" t="e">
        <f t="shared" ca="1" si="204"/>
        <v>#NAME?</v>
      </c>
      <c r="I1140" s="100" t="e">
        <f t="shared" ca="1" si="205"/>
        <v>#NAME?</v>
      </c>
      <c r="J1140" s="100" t="e">
        <f ca="1">IFERROR(__xludf.DUMMYFUNCTION("""COMPUTED_VALUE"""),"0")</f>
        <v>#NAME?</v>
      </c>
      <c r="K1140" s="100" t="e">
        <f t="shared" ca="1" si="206"/>
        <v>#NAME?</v>
      </c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</row>
    <row r="1141" spans="1:26">
      <c r="A1141" s="100" t="e">
        <f ca="1">IFERROR(__xludf.DUMMYFUNCTION("""COMPUTED_VALUE"""),58784476)</f>
        <v>#NAME?</v>
      </c>
      <c r="B1141" s="100" t="e">
        <f ca="1">IFERROR(__xludf.DUMMYFUNCTION("""COMPUTED_VALUE"""),"AXSUSDT")</f>
        <v>#NAME?</v>
      </c>
      <c r="C1141" s="100" t="e">
        <f ca="1">IFERROR(__xludf.DUMMYFUNCTION("""COMPUTED_VALUE"""),"2.27700000")</f>
        <v>#NAME?</v>
      </c>
      <c r="D1141" s="100" t="e">
        <f t="shared" ca="1" si="208"/>
        <v>#NAME?</v>
      </c>
      <c r="E1141" s="100" t="e">
        <f t="shared" ca="1" si="208"/>
        <v>#NAME?</v>
      </c>
      <c r="F1141" s="100" t="e">
        <f t="shared" ca="1" si="202"/>
        <v>#NAME?</v>
      </c>
      <c r="G1141" s="100" t="e">
        <f t="shared" ca="1" si="203"/>
        <v>#NAME?</v>
      </c>
      <c r="H1141" s="100" t="e">
        <f t="shared" ca="1" si="204"/>
        <v>#NAME?</v>
      </c>
      <c r="I1141" s="100" t="e">
        <f t="shared" ca="1" si="205"/>
        <v>#NAME?</v>
      </c>
      <c r="J1141" s="100" t="e">
        <f ca="1">IFERROR(__xludf.DUMMYFUNCTION("""COMPUTED_VALUE"""),"-3.802")</f>
        <v>#NAME?</v>
      </c>
      <c r="K1141" s="100" t="e">
        <f t="shared" ca="1" si="206"/>
        <v>#NAME?</v>
      </c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</row>
    <row r="1142" spans="1:26">
      <c r="A1142" s="100" t="e">
        <f ca="1">IFERROR(__xludf.DUMMYFUNCTION("""COMPUTED_VALUE"""),58784477)</f>
        <v>#NAME?</v>
      </c>
      <c r="B1142" s="100" t="e">
        <f ca="1">IFERROR(__xludf.DUMMYFUNCTION("""COMPUTED_VALUE"""),"HARDBNB")</f>
        <v>#NAME?</v>
      </c>
      <c r="C1142" s="100" t="e">
        <f ca="1">IFERROR(__xludf.DUMMYFUNCTION("""COMPUTED_VALUE"""),"0.00059200")</f>
        <v>#NAME?</v>
      </c>
      <c r="D1142" s="100" t="e">
        <f t="shared" ref="D1142:E1161" ca="1" si="209">IFERROR(__xludf.DUMMYFUNCTION("""COMPUTED_VALUE"""),"-")</f>
        <v>#NAME?</v>
      </c>
      <c r="E1142" s="100" t="e">
        <f t="shared" ca="1" si="209"/>
        <v>#NAME?</v>
      </c>
      <c r="F1142" s="100" t="e">
        <f t="shared" ca="1" si="202"/>
        <v>#NAME?</v>
      </c>
      <c r="G1142" s="100" t="e">
        <f t="shared" ca="1" si="203"/>
        <v>#NAME?</v>
      </c>
      <c r="H1142" s="100" t="e">
        <f t="shared" ca="1" si="204"/>
        <v>#NAME?</v>
      </c>
      <c r="I1142" s="100" t="e">
        <f t="shared" ca="1" si="205"/>
        <v>#NAME?</v>
      </c>
      <c r="J1142" s="100" t="e">
        <f ca="1">IFERROR(__xludf.DUMMYFUNCTION("""COMPUTED_VALUE"""),"0")</f>
        <v>#NAME?</v>
      </c>
      <c r="K1142" s="100" t="e">
        <f t="shared" ca="1" si="206"/>
        <v>#NAME?</v>
      </c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</row>
    <row r="1143" spans="1:26">
      <c r="A1143" s="100" t="e">
        <f ca="1">IFERROR(__xludf.DUMMYFUNCTION("""COMPUTED_VALUE"""),58784478)</f>
        <v>#NAME?</v>
      </c>
      <c r="B1143" s="100" t="e">
        <f ca="1">IFERROR(__xludf.DUMMYFUNCTION("""COMPUTED_VALUE"""),"HARDBTC")</f>
        <v>#NAME?</v>
      </c>
      <c r="C1143" s="100" t="e">
        <f ca="1">IFERROR(__xludf.DUMMYFUNCTION("""COMPUTED_VALUE"""),"0.00000318")</f>
        <v>#NAME?</v>
      </c>
      <c r="D1143" s="100" t="e">
        <f t="shared" ca="1" si="209"/>
        <v>#NAME?</v>
      </c>
      <c r="E1143" s="100" t="e">
        <f t="shared" ca="1" si="209"/>
        <v>#NAME?</v>
      </c>
      <c r="F1143" s="100" t="e">
        <f t="shared" ca="1" si="202"/>
        <v>#NAME?</v>
      </c>
      <c r="G1143" s="100" t="e">
        <f t="shared" ca="1" si="203"/>
        <v>#NAME?</v>
      </c>
      <c r="H1143" s="100" t="e">
        <f t="shared" ca="1" si="204"/>
        <v>#NAME?</v>
      </c>
      <c r="I1143" s="100" t="e">
        <f t="shared" ca="1" si="205"/>
        <v>#NAME?</v>
      </c>
      <c r="J1143" s="100" t="e">
        <f ca="1">IFERROR(__xludf.DUMMYFUNCTION("""COMPUTED_VALUE"""),"0")</f>
        <v>#NAME?</v>
      </c>
      <c r="K1143" s="100" t="e">
        <f t="shared" ca="1" si="206"/>
        <v>#NAME?</v>
      </c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</row>
    <row r="1144" spans="1:26">
      <c r="A1144" s="100" t="e">
        <f ca="1">IFERROR(__xludf.DUMMYFUNCTION("""COMPUTED_VALUE"""),58784479)</f>
        <v>#NAME?</v>
      </c>
      <c r="B1144" s="100" t="e">
        <f ca="1">IFERROR(__xludf.DUMMYFUNCTION("""COMPUTED_VALUE"""),"HARDBUSD")</f>
        <v>#NAME?</v>
      </c>
      <c r="C1144" s="100" t="e">
        <f ca="1">IFERROR(__xludf.DUMMYFUNCTION("""COMPUTED_VALUE"""),"0.10910000")</f>
        <v>#NAME?</v>
      </c>
      <c r="D1144" s="100" t="e">
        <f t="shared" ca="1" si="209"/>
        <v>#NAME?</v>
      </c>
      <c r="E1144" s="100" t="e">
        <f t="shared" ca="1" si="209"/>
        <v>#NAME?</v>
      </c>
      <c r="F1144" s="100" t="e">
        <f t="shared" ca="1" si="202"/>
        <v>#NAME?</v>
      </c>
      <c r="G1144" s="100" t="e">
        <f t="shared" ca="1" si="203"/>
        <v>#NAME?</v>
      </c>
      <c r="H1144" s="100" t="e">
        <f t="shared" ca="1" si="204"/>
        <v>#NAME?</v>
      </c>
      <c r="I1144" s="100" t="e">
        <f t="shared" ca="1" si="205"/>
        <v>#NAME?</v>
      </c>
      <c r="J1144" s="100" t="e">
        <f ca="1">IFERROR(__xludf.DUMMYFUNCTION("""COMPUTED_VALUE"""),"0")</f>
        <v>#NAME?</v>
      </c>
      <c r="K1144" s="100" t="e">
        <f t="shared" ca="1" si="206"/>
        <v>#NAME?</v>
      </c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</row>
    <row r="1145" spans="1:26">
      <c r="A1145" s="100" t="e">
        <f ca="1">IFERROR(__xludf.DUMMYFUNCTION("""COMPUTED_VALUE"""),58784480)</f>
        <v>#NAME?</v>
      </c>
      <c r="B1145" s="100" t="e">
        <f ca="1">IFERROR(__xludf.DUMMYFUNCTION("""COMPUTED_VALUE"""),"HARDUSDT")</f>
        <v>#NAME?</v>
      </c>
      <c r="C1145" s="100" t="e">
        <f ca="1">IFERROR(__xludf.DUMMYFUNCTION("""COMPUTED_VALUE"""),"0.00950000")</f>
        <v>#NAME?</v>
      </c>
      <c r="D1145" s="100" t="e">
        <f t="shared" ca="1" si="209"/>
        <v>#NAME?</v>
      </c>
      <c r="E1145" s="100" t="e">
        <f t="shared" ca="1" si="209"/>
        <v>#NAME?</v>
      </c>
      <c r="F1145" s="100" t="e">
        <f t="shared" ca="1" si="202"/>
        <v>#NAME?</v>
      </c>
      <c r="G1145" s="100" t="e">
        <f t="shared" ca="1" si="203"/>
        <v>#NAME?</v>
      </c>
      <c r="H1145" s="100" t="e">
        <f t="shared" ca="1" si="204"/>
        <v>#NAME?</v>
      </c>
      <c r="I1145" s="100" t="e">
        <f t="shared" ca="1" si="205"/>
        <v>#NAME?</v>
      </c>
      <c r="J1145" s="100" t="e">
        <f ca="1">IFERROR(__xludf.DUMMYFUNCTION("""COMPUTED_VALUE"""),"-50.000")</f>
        <v>#NAME?</v>
      </c>
      <c r="K1145" s="100" t="e">
        <f t="shared" ca="1" si="206"/>
        <v>#NAME?</v>
      </c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</row>
    <row r="1146" spans="1:26">
      <c r="A1146" s="100" t="e">
        <f ca="1">IFERROR(__xludf.DUMMYFUNCTION("""COMPUTED_VALUE"""),58784481)</f>
        <v>#NAME?</v>
      </c>
      <c r="B1146" s="100" t="e">
        <f ca="1">IFERROR(__xludf.DUMMYFUNCTION("""COMPUTED_VALUE"""),"BNBBRL")</f>
        <v>#NAME?</v>
      </c>
      <c r="C1146" s="100" t="e">
        <f ca="1">IFERROR(__xludf.DUMMYFUNCTION("""COMPUTED_VALUE"""),"3531.00000000")</f>
        <v>#NAME?</v>
      </c>
      <c r="D1146" s="100" t="e">
        <f t="shared" ca="1" si="209"/>
        <v>#NAME?</v>
      </c>
      <c r="E1146" s="100" t="e">
        <f t="shared" ca="1" si="209"/>
        <v>#NAME?</v>
      </c>
      <c r="F1146" s="100" t="e">
        <f t="shared" ca="1" si="202"/>
        <v>#NAME?</v>
      </c>
      <c r="G1146" s="100" t="e">
        <f t="shared" ca="1" si="203"/>
        <v>#NAME?</v>
      </c>
      <c r="H1146" s="100" t="e">
        <f t="shared" ca="1" si="204"/>
        <v>#NAME?</v>
      </c>
      <c r="I1146" s="100" t="e">
        <f t="shared" ca="1" si="205"/>
        <v>#NAME?</v>
      </c>
      <c r="J1146" s="100" t="e">
        <f ca="1">IFERROR(__xludf.DUMMYFUNCTION("""COMPUTED_VALUE"""),"0.170")</f>
        <v>#NAME?</v>
      </c>
      <c r="K1146" s="100" t="e">
        <f t="shared" ca="1" si="206"/>
        <v>#NAME?</v>
      </c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</row>
    <row r="1147" spans="1:26">
      <c r="A1147" s="100" t="e">
        <f ca="1">IFERROR(__xludf.DUMMYFUNCTION("""COMPUTED_VALUE"""),58784482)</f>
        <v>#NAME?</v>
      </c>
      <c r="B1147" s="100" t="e">
        <f ca="1">IFERROR(__xludf.DUMMYFUNCTION("""COMPUTED_VALUE"""),"LTCEUR")</f>
        <v>#NAME?</v>
      </c>
      <c r="C1147" s="100" t="e">
        <f ca="1">IFERROR(__xludf.DUMMYFUNCTION("""COMPUTED_VALUE"""),"69.18000000")</f>
        <v>#NAME?</v>
      </c>
      <c r="D1147" s="100" t="e">
        <f t="shared" ca="1" si="209"/>
        <v>#NAME?</v>
      </c>
      <c r="E1147" s="100" t="e">
        <f t="shared" ca="1" si="209"/>
        <v>#NAME?</v>
      </c>
      <c r="F1147" s="100" t="e">
        <f t="shared" ca="1" si="202"/>
        <v>#NAME?</v>
      </c>
      <c r="G1147" s="100" t="e">
        <f t="shared" ca="1" si="203"/>
        <v>#NAME?</v>
      </c>
      <c r="H1147" s="100" t="e">
        <f t="shared" ca="1" si="204"/>
        <v>#NAME?</v>
      </c>
      <c r="I1147" s="100" t="e">
        <f t="shared" ca="1" si="205"/>
        <v>#NAME?</v>
      </c>
      <c r="J1147" s="100" t="e">
        <f ca="1">IFERROR(__xludf.DUMMYFUNCTION("""COMPUTED_VALUE"""),"-1.129")</f>
        <v>#NAME?</v>
      </c>
      <c r="K1147" s="100" t="e">
        <f t="shared" ca="1" si="206"/>
        <v>#NAME?</v>
      </c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</row>
    <row r="1148" spans="1:26">
      <c r="A1148" s="100" t="e">
        <f ca="1">IFERROR(__xludf.DUMMYFUNCTION("""COMPUTED_VALUE"""),58784483)</f>
        <v>#NAME?</v>
      </c>
      <c r="B1148" s="100" t="e">
        <f ca="1">IFERROR(__xludf.DUMMYFUNCTION("""COMPUTED_VALUE"""),"RENBTCBTC")</f>
        <v>#NAME?</v>
      </c>
      <c r="C1148" s="100" t="e">
        <f ca="1">IFERROR(__xludf.DUMMYFUNCTION("""COMPUTED_VALUE"""),"0.00000000")</f>
        <v>#NAME?</v>
      </c>
      <c r="D1148" s="100" t="e">
        <f t="shared" ca="1" si="209"/>
        <v>#NAME?</v>
      </c>
      <c r="E1148" s="100" t="e">
        <f t="shared" ca="1" si="209"/>
        <v>#NAME?</v>
      </c>
      <c r="F1148" s="100" t="e">
        <f t="shared" ca="1" si="202"/>
        <v>#NAME?</v>
      </c>
      <c r="G1148" s="100" t="e">
        <f t="shared" ca="1" si="203"/>
        <v>#NAME?</v>
      </c>
      <c r="H1148" s="100" t="e">
        <f t="shared" ca="1" si="204"/>
        <v>#NAME?</v>
      </c>
      <c r="I1148" s="100" t="e">
        <f t="shared" ca="1" si="205"/>
        <v>#NAME?</v>
      </c>
      <c r="J1148" s="100" t="e">
        <f ca="1">IFERROR(__xludf.DUMMYFUNCTION("""COMPUTED_VALUE"""),"0")</f>
        <v>#NAME?</v>
      </c>
      <c r="K1148" s="100" t="e">
        <f t="shared" ca="1" si="206"/>
        <v>#NAME?</v>
      </c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</row>
    <row r="1149" spans="1:26">
      <c r="A1149" s="100" t="e">
        <f ca="1">IFERROR(__xludf.DUMMYFUNCTION("""COMPUTED_VALUE"""),58784484)</f>
        <v>#NAME?</v>
      </c>
      <c r="B1149" s="100" t="e">
        <f ca="1">IFERROR(__xludf.DUMMYFUNCTION("""COMPUTED_VALUE"""),"RENBTCETH")</f>
        <v>#NAME?</v>
      </c>
      <c r="C1149" s="100" t="e">
        <f ca="1">IFERROR(__xludf.DUMMYFUNCTION("""COMPUTED_VALUE"""),"0.00000000")</f>
        <v>#NAME?</v>
      </c>
      <c r="D1149" s="100" t="e">
        <f t="shared" ca="1" si="209"/>
        <v>#NAME?</v>
      </c>
      <c r="E1149" s="100" t="e">
        <f t="shared" ca="1" si="209"/>
        <v>#NAME?</v>
      </c>
      <c r="F1149" s="100" t="e">
        <f t="shared" ca="1" si="202"/>
        <v>#NAME?</v>
      </c>
      <c r="G1149" s="100" t="e">
        <f t="shared" ca="1" si="203"/>
        <v>#NAME?</v>
      </c>
      <c r="H1149" s="100" t="e">
        <f t="shared" ca="1" si="204"/>
        <v>#NAME?</v>
      </c>
      <c r="I1149" s="100" t="e">
        <f t="shared" ca="1" si="205"/>
        <v>#NAME?</v>
      </c>
      <c r="J1149" s="100" t="e">
        <f ca="1">IFERROR(__xludf.DUMMYFUNCTION("""COMPUTED_VALUE"""),"0")</f>
        <v>#NAME?</v>
      </c>
      <c r="K1149" s="100" t="e">
        <f t="shared" ca="1" si="206"/>
        <v>#NAME?</v>
      </c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</row>
    <row r="1150" spans="1:26">
      <c r="A1150" s="100" t="e">
        <f ca="1">IFERROR(__xludf.DUMMYFUNCTION("""COMPUTED_VALUE"""),58784485)</f>
        <v>#NAME?</v>
      </c>
      <c r="B1150" s="100" t="e">
        <f ca="1">IFERROR(__xludf.DUMMYFUNCTION("""COMPUTED_VALUE"""),"DNTBUSD")</f>
        <v>#NAME?</v>
      </c>
      <c r="C1150" s="100" t="e">
        <f ca="1">IFERROR(__xludf.DUMMYFUNCTION("""COMPUTED_VALUE"""),"0.03600000")</f>
        <v>#NAME?</v>
      </c>
      <c r="D1150" s="100" t="e">
        <f t="shared" ca="1" si="209"/>
        <v>#NAME?</v>
      </c>
      <c r="E1150" s="100" t="e">
        <f t="shared" ca="1" si="209"/>
        <v>#NAME?</v>
      </c>
      <c r="F1150" s="100" t="e">
        <f t="shared" ca="1" si="202"/>
        <v>#NAME?</v>
      </c>
      <c r="G1150" s="100" t="e">
        <f t="shared" ca="1" si="203"/>
        <v>#NAME?</v>
      </c>
      <c r="H1150" s="100" t="e">
        <f t="shared" ca="1" si="204"/>
        <v>#NAME?</v>
      </c>
      <c r="I1150" s="100" t="e">
        <f t="shared" ca="1" si="205"/>
        <v>#NAME?</v>
      </c>
      <c r="J1150" s="100" t="e">
        <f ca="1">IFERROR(__xludf.DUMMYFUNCTION("""COMPUTED_VALUE"""),"0")</f>
        <v>#NAME?</v>
      </c>
      <c r="K1150" s="100" t="e">
        <f t="shared" ca="1" si="206"/>
        <v>#NAME?</v>
      </c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</row>
    <row r="1151" spans="1:26">
      <c r="A1151" s="100" t="e">
        <f ca="1">IFERROR(__xludf.DUMMYFUNCTION("""COMPUTED_VALUE"""),58784486)</f>
        <v>#NAME?</v>
      </c>
      <c r="B1151" s="100" t="e">
        <f ca="1">IFERROR(__xludf.DUMMYFUNCTION("""COMPUTED_VALUE"""),"DNTUSDT")</f>
        <v>#NAME?</v>
      </c>
      <c r="C1151" s="100" t="e">
        <f ca="1">IFERROR(__xludf.DUMMYFUNCTION("""COMPUTED_VALUE"""),"0.03600000")</f>
        <v>#NAME?</v>
      </c>
      <c r="D1151" s="100" t="e">
        <f t="shared" ca="1" si="209"/>
        <v>#NAME?</v>
      </c>
      <c r="E1151" s="100" t="e">
        <f t="shared" ca="1" si="209"/>
        <v>#NAME?</v>
      </c>
      <c r="F1151" s="100" t="e">
        <f t="shared" ca="1" si="202"/>
        <v>#NAME?</v>
      </c>
      <c r="G1151" s="100" t="e">
        <f t="shared" ca="1" si="203"/>
        <v>#NAME?</v>
      </c>
      <c r="H1151" s="100" t="e">
        <f t="shared" ca="1" si="204"/>
        <v>#NAME?</v>
      </c>
      <c r="I1151" s="100" t="e">
        <f t="shared" ca="1" si="205"/>
        <v>#NAME?</v>
      </c>
      <c r="J1151" s="100" t="e">
        <f ca="1">IFERROR(__xludf.DUMMYFUNCTION("""COMPUTED_VALUE"""),"0")</f>
        <v>#NAME?</v>
      </c>
      <c r="K1151" s="100" t="e">
        <f t="shared" ca="1" si="206"/>
        <v>#NAME?</v>
      </c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</row>
    <row r="1152" spans="1:26">
      <c r="A1152" s="100" t="e">
        <f ca="1">IFERROR(__xludf.DUMMYFUNCTION("""COMPUTED_VALUE"""),58784487)</f>
        <v>#NAME?</v>
      </c>
      <c r="B1152" s="100" t="e">
        <f ca="1">IFERROR(__xludf.DUMMYFUNCTION("""COMPUTED_VALUE"""),"SLPETH")</f>
        <v>#NAME?</v>
      </c>
      <c r="C1152" s="100" t="e">
        <f ca="1">IFERROR(__xludf.DUMMYFUNCTION("""COMPUTED_VALUE"""),"0.00000100")</f>
        <v>#NAME?</v>
      </c>
      <c r="D1152" s="100" t="e">
        <f t="shared" ca="1" si="209"/>
        <v>#NAME?</v>
      </c>
      <c r="E1152" s="100" t="e">
        <f t="shared" ca="1" si="209"/>
        <v>#NAME?</v>
      </c>
      <c r="F1152" s="100" t="e">
        <f t="shared" ca="1" si="202"/>
        <v>#NAME?</v>
      </c>
      <c r="G1152" s="100" t="e">
        <f t="shared" ca="1" si="203"/>
        <v>#NAME?</v>
      </c>
      <c r="H1152" s="100" t="e">
        <f t="shared" ca="1" si="204"/>
        <v>#NAME?</v>
      </c>
      <c r="I1152" s="100" t="e">
        <f t="shared" ca="1" si="205"/>
        <v>#NAME?</v>
      </c>
      <c r="J1152" s="100" t="e">
        <f ca="1">IFERROR(__xludf.DUMMYFUNCTION("""COMPUTED_VALUE"""),"3.093")</f>
        <v>#NAME?</v>
      </c>
      <c r="K1152" s="100" t="e">
        <f t="shared" ca="1" si="206"/>
        <v>#NAME?</v>
      </c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</row>
    <row r="1153" spans="1:26">
      <c r="A1153" s="100" t="e">
        <f ca="1">IFERROR(__xludf.DUMMYFUNCTION("""COMPUTED_VALUE"""),58784488)</f>
        <v>#NAME?</v>
      </c>
      <c r="B1153" s="100" t="e">
        <f ca="1">IFERROR(__xludf.DUMMYFUNCTION("""COMPUTED_VALUE"""),"ADAEUR")</f>
        <v>#NAME?</v>
      </c>
      <c r="C1153" s="100" t="e">
        <f ca="1">IFERROR(__xludf.DUMMYFUNCTION("""COMPUTED_VALUE"""),"0.55710000")</f>
        <v>#NAME?</v>
      </c>
      <c r="D1153" s="100" t="e">
        <f t="shared" ca="1" si="209"/>
        <v>#NAME?</v>
      </c>
      <c r="E1153" s="100" t="e">
        <f t="shared" ca="1" si="209"/>
        <v>#NAME?</v>
      </c>
      <c r="F1153" s="100" t="e">
        <f t="shared" ca="1" si="202"/>
        <v>#NAME?</v>
      </c>
      <c r="G1153" s="100" t="e">
        <f t="shared" ca="1" si="203"/>
        <v>#NAME?</v>
      </c>
      <c r="H1153" s="100" t="e">
        <f t="shared" ca="1" si="204"/>
        <v>#NAME?</v>
      </c>
      <c r="I1153" s="100" t="e">
        <f t="shared" ca="1" si="205"/>
        <v>#NAME?</v>
      </c>
      <c r="J1153" s="100" t="e">
        <f ca="1">IFERROR(__xludf.DUMMYFUNCTION("""COMPUTED_VALUE"""),"-0.553")</f>
        <v>#NAME?</v>
      </c>
      <c r="K1153" s="100" t="e">
        <f t="shared" ca="1" si="206"/>
        <v>#NAME?</v>
      </c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</row>
    <row r="1154" spans="1:26">
      <c r="A1154" s="100" t="e">
        <f ca="1">IFERROR(__xludf.DUMMYFUNCTION("""COMPUTED_VALUE"""),58784489)</f>
        <v>#NAME?</v>
      </c>
      <c r="B1154" s="100" t="e">
        <f ca="1">IFERROR(__xludf.DUMMYFUNCTION("""COMPUTED_VALUE"""),"LTCNGN")</f>
        <v>#NAME?</v>
      </c>
      <c r="C1154" s="100" t="e">
        <f ca="1">IFERROR(__xludf.DUMMYFUNCTION("""COMPUTED_VALUE"""),"0.00000000")</f>
        <v>#NAME?</v>
      </c>
      <c r="D1154" s="100" t="e">
        <f t="shared" ca="1" si="209"/>
        <v>#NAME?</v>
      </c>
      <c r="E1154" s="100" t="e">
        <f t="shared" ca="1" si="209"/>
        <v>#NAME?</v>
      </c>
      <c r="F1154" s="100" t="e">
        <f t="shared" ref="F1154:F1217" ca="1" si="210">IFERROR(__xludf.DUMMYFUNCTION("""COMPUTED_VALUE"""),20200)</f>
        <v>#NAME?</v>
      </c>
      <c r="G1154" s="100" t="e">
        <f t="shared" ref="G1154:G1217" ca="1" si="211">IFERROR(__xludf.DUMMYFUNCTION("""COMPUTED_VALUE"""),2885)</f>
        <v>#NAME?</v>
      </c>
      <c r="H1154" s="100" t="e">
        <f t="shared" ref="H1154:H1217" ca="1" si="212">IFERROR(__xludf.DUMMYFUNCTION("""COMPUTED_VALUE"""),663)</f>
        <v>#NAME?</v>
      </c>
      <c r="I1154" s="100" t="e">
        <f t="shared" ref="I1154:I1217" ca="1" si="213">IFERROR(__xludf.DUMMYFUNCTION("""COMPUTED_VALUE"""),5817721)</f>
        <v>#NAME?</v>
      </c>
      <c r="J1154" s="100" t="e">
        <f ca="1">IFERROR(__xludf.DUMMYFUNCTION("""COMPUTED_VALUE"""),"0")</f>
        <v>#NAME?</v>
      </c>
      <c r="K1154" s="100" t="e">
        <f t="shared" ref="K1154:K1217" ca="1" si="214">IFERROR(__xludf.DUMMYFUNCTION("""COMPUTED_VALUE"""),"22.04.2025 13:05:01")</f>
        <v>#NAME?</v>
      </c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</row>
    <row r="1155" spans="1:26">
      <c r="A1155" s="100" t="e">
        <f ca="1">IFERROR(__xludf.DUMMYFUNCTION("""COMPUTED_VALUE"""),58784490)</f>
        <v>#NAME?</v>
      </c>
      <c r="B1155" s="100" t="e">
        <f ca="1">IFERROR(__xludf.DUMMYFUNCTION("""COMPUTED_VALUE"""),"CVPETH")</f>
        <v>#NAME?</v>
      </c>
      <c r="C1155" s="100" t="e">
        <f ca="1">IFERROR(__xludf.DUMMYFUNCTION("""COMPUTED_VALUE"""),"0.00032000")</f>
        <v>#NAME?</v>
      </c>
      <c r="D1155" s="100" t="e">
        <f t="shared" ca="1" si="209"/>
        <v>#NAME?</v>
      </c>
      <c r="E1155" s="100" t="e">
        <f t="shared" ca="1" si="209"/>
        <v>#NAME?</v>
      </c>
      <c r="F1155" s="100" t="e">
        <f t="shared" ca="1" si="210"/>
        <v>#NAME?</v>
      </c>
      <c r="G1155" s="100" t="e">
        <f t="shared" ca="1" si="211"/>
        <v>#NAME?</v>
      </c>
      <c r="H1155" s="100" t="e">
        <f t="shared" ca="1" si="212"/>
        <v>#NAME?</v>
      </c>
      <c r="I1155" s="100" t="e">
        <f t="shared" ca="1" si="213"/>
        <v>#NAME?</v>
      </c>
      <c r="J1155" s="100" t="e">
        <f ca="1">IFERROR(__xludf.DUMMYFUNCTION("""COMPUTED_VALUE"""),"0")</f>
        <v>#NAME?</v>
      </c>
      <c r="K1155" s="100" t="e">
        <f t="shared" ca="1" si="214"/>
        <v>#NAME?</v>
      </c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</row>
    <row r="1156" spans="1:26">
      <c r="A1156" s="100" t="e">
        <f ca="1">IFERROR(__xludf.DUMMYFUNCTION("""COMPUTED_VALUE"""),58784491)</f>
        <v>#NAME?</v>
      </c>
      <c r="B1156" s="100" t="e">
        <f ca="1">IFERROR(__xludf.DUMMYFUNCTION("""COMPUTED_VALUE"""),"CVPBUSD")</f>
        <v>#NAME?</v>
      </c>
      <c r="C1156" s="100" t="e">
        <f ca="1">IFERROR(__xludf.DUMMYFUNCTION("""COMPUTED_VALUE"""),"0.34300000")</f>
        <v>#NAME?</v>
      </c>
      <c r="D1156" s="100" t="e">
        <f t="shared" ca="1" si="209"/>
        <v>#NAME?</v>
      </c>
      <c r="E1156" s="100" t="e">
        <f t="shared" ca="1" si="209"/>
        <v>#NAME?</v>
      </c>
      <c r="F1156" s="100" t="e">
        <f t="shared" ca="1" si="210"/>
        <v>#NAME?</v>
      </c>
      <c r="G1156" s="100" t="e">
        <f t="shared" ca="1" si="211"/>
        <v>#NAME?</v>
      </c>
      <c r="H1156" s="100" t="e">
        <f t="shared" ca="1" si="212"/>
        <v>#NAME?</v>
      </c>
      <c r="I1156" s="100" t="e">
        <f t="shared" ca="1" si="213"/>
        <v>#NAME?</v>
      </c>
      <c r="J1156" s="100" t="e">
        <f ca="1">IFERROR(__xludf.DUMMYFUNCTION("""COMPUTED_VALUE"""),"0")</f>
        <v>#NAME?</v>
      </c>
      <c r="K1156" s="100" t="e">
        <f t="shared" ca="1" si="214"/>
        <v>#NAME?</v>
      </c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</row>
    <row r="1157" spans="1:26">
      <c r="A1157" s="100" t="e">
        <f ca="1">IFERROR(__xludf.DUMMYFUNCTION("""COMPUTED_VALUE"""),58784492)</f>
        <v>#NAME?</v>
      </c>
      <c r="B1157" s="100" t="e">
        <f ca="1">IFERROR(__xludf.DUMMYFUNCTION("""COMPUTED_VALUE"""),"STRAXBTC")</f>
        <v>#NAME?</v>
      </c>
      <c r="C1157" s="100" t="e">
        <f ca="1">IFERROR(__xludf.DUMMYFUNCTION("""COMPUTED_VALUE"""),"0.00000062")</f>
        <v>#NAME?</v>
      </c>
      <c r="D1157" s="100" t="e">
        <f t="shared" ca="1" si="209"/>
        <v>#NAME?</v>
      </c>
      <c r="E1157" s="100" t="e">
        <f t="shared" ca="1" si="209"/>
        <v>#NAME?</v>
      </c>
      <c r="F1157" s="100" t="e">
        <f t="shared" ca="1" si="210"/>
        <v>#NAME?</v>
      </c>
      <c r="G1157" s="100" t="e">
        <f t="shared" ca="1" si="211"/>
        <v>#NAME?</v>
      </c>
      <c r="H1157" s="100" t="e">
        <f t="shared" ca="1" si="212"/>
        <v>#NAME?</v>
      </c>
      <c r="I1157" s="100" t="e">
        <f t="shared" ca="1" si="213"/>
        <v>#NAME?</v>
      </c>
      <c r="J1157" s="100" t="e">
        <f ca="1">IFERROR(__xludf.DUMMYFUNCTION("""COMPUTED_VALUE"""),"-8.824")</f>
        <v>#NAME?</v>
      </c>
      <c r="K1157" s="100" t="e">
        <f t="shared" ca="1" si="214"/>
        <v>#NAME?</v>
      </c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</row>
    <row r="1158" spans="1:26">
      <c r="A1158" s="100" t="e">
        <f ca="1">IFERROR(__xludf.DUMMYFUNCTION("""COMPUTED_VALUE"""),58784493)</f>
        <v>#NAME?</v>
      </c>
      <c r="B1158" s="100" t="e">
        <f ca="1">IFERROR(__xludf.DUMMYFUNCTION("""COMPUTED_VALUE"""),"STRAXETH")</f>
        <v>#NAME?</v>
      </c>
      <c r="C1158" s="100" t="e">
        <f ca="1">IFERROR(__xludf.DUMMYFUNCTION("""COMPUTED_VALUE"""),"0.00031880")</f>
        <v>#NAME?</v>
      </c>
      <c r="D1158" s="100" t="e">
        <f t="shared" ca="1" si="209"/>
        <v>#NAME?</v>
      </c>
      <c r="E1158" s="100" t="e">
        <f t="shared" ca="1" si="209"/>
        <v>#NAME?</v>
      </c>
      <c r="F1158" s="100" t="e">
        <f t="shared" ca="1" si="210"/>
        <v>#NAME?</v>
      </c>
      <c r="G1158" s="100" t="e">
        <f t="shared" ca="1" si="211"/>
        <v>#NAME?</v>
      </c>
      <c r="H1158" s="100" t="e">
        <f t="shared" ca="1" si="212"/>
        <v>#NAME?</v>
      </c>
      <c r="I1158" s="100" t="e">
        <f t="shared" ca="1" si="213"/>
        <v>#NAME?</v>
      </c>
      <c r="J1158" s="100" t="e">
        <f ca="1">IFERROR(__xludf.DUMMYFUNCTION("""COMPUTED_VALUE"""),"0")</f>
        <v>#NAME?</v>
      </c>
      <c r="K1158" s="100" t="e">
        <f t="shared" ca="1" si="214"/>
        <v>#NAME?</v>
      </c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</row>
    <row r="1159" spans="1:26">
      <c r="A1159" s="100" t="e">
        <f ca="1">IFERROR(__xludf.DUMMYFUNCTION("""COMPUTED_VALUE"""),58784494)</f>
        <v>#NAME?</v>
      </c>
      <c r="B1159" s="100" t="e">
        <f ca="1">IFERROR(__xludf.DUMMYFUNCTION("""COMPUTED_VALUE"""),"STRAXBUSD")</f>
        <v>#NAME?</v>
      </c>
      <c r="C1159" s="100" t="e">
        <f ca="1">IFERROR(__xludf.DUMMYFUNCTION("""COMPUTED_VALUE"""),"0.47100000")</f>
        <v>#NAME?</v>
      </c>
      <c r="D1159" s="100" t="e">
        <f t="shared" ca="1" si="209"/>
        <v>#NAME?</v>
      </c>
      <c r="E1159" s="100" t="e">
        <f t="shared" ca="1" si="209"/>
        <v>#NAME?</v>
      </c>
      <c r="F1159" s="100" t="e">
        <f t="shared" ca="1" si="210"/>
        <v>#NAME?</v>
      </c>
      <c r="G1159" s="100" t="e">
        <f t="shared" ca="1" si="211"/>
        <v>#NAME?</v>
      </c>
      <c r="H1159" s="100" t="e">
        <f t="shared" ca="1" si="212"/>
        <v>#NAME?</v>
      </c>
      <c r="I1159" s="100" t="e">
        <f t="shared" ca="1" si="213"/>
        <v>#NAME?</v>
      </c>
      <c r="J1159" s="100" t="e">
        <f ca="1">IFERROR(__xludf.DUMMYFUNCTION("""COMPUTED_VALUE"""),"0")</f>
        <v>#NAME?</v>
      </c>
      <c r="K1159" s="100" t="e">
        <f t="shared" ca="1" si="214"/>
        <v>#NAME?</v>
      </c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</row>
    <row r="1160" spans="1:26">
      <c r="A1160" s="100" t="e">
        <f ca="1">IFERROR(__xludf.DUMMYFUNCTION("""COMPUTED_VALUE"""),58784495)</f>
        <v>#NAME?</v>
      </c>
      <c r="B1160" s="100" t="e">
        <f ca="1">IFERROR(__xludf.DUMMYFUNCTION("""COMPUTED_VALUE"""),"STRAXUSDT")</f>
        <v>#NAME?</v>
      </c>
      <c r="C1160" s="100" t="e">
        <f ca="1">IFERROR(__xludf.DUMMYFUNCTION("""COMPUTED_VALUE"""),"0.05485000")</f>
        <v>#NAME?</v>
      </c>
      <c r="D1160" s="100" t="e">
        <f t="shared" ca="1" si="209"/>
        <v>#NAME?</v>
      </c>
      <c r="E1160" s="100" t="e">
        <f t="shared" ca="1" si="209"/>
        <v>#NAME?</v>
      </c>
      <c r="F1160" s="100" t="e">
        <f t="shared" ca="1" si="210"/>
        <v>#NAME?</v>
      </c>
      <c r="G1160" s="100" t="e">
        <f t="shared" ca="1" si="211"/>
        <v>#NAME?</v>
      </c>
      <c r="H1160" s="100" t="e">
        <f t="shared" ca="1" si="212"/>
        <v>#NAME?</v>
      </c>
      <c r="I1160" s="100" t="e">
        <f t="shared" ca="1" si="213"/>
        <v>#NAME?</v>
      </c>
      <c r="J1160" s="100" t="e">
        <f ca="1">IFERROR(__xludf.DUMMYFUNCTION("""COMPUTED_VALUE"""),"-7.815")</f>
        <v>#NAME?</v>
      </c>
      <c r="K1160" s="100" t="e">
        <f t="shared" ca="1" si="214"/>
        <v>#NAME?</v>
      </c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</row>
    <row r="1161" spans="1:26">
      <c r="A1161" s="100" t="e">
        <f ca="1">IFERROR(__xludf.DUMMYFUNCTION("""COMPUTED_VALUE"""),58784496)</f>
        <v>#NAME?</v>
      </c>
      <c r="B1161" s="100" t="e">
        <f ca="1">IFERROR(__xludf.DUMMYFUNCTION("""COMPUTED_VALUE"""),"FORBTC")</f>
        <v>#NAME?</v>
      </c>
      <c r="C1161" s="100" t="e">
        <f ca="1">IFERROR(__xludf.DUMMYFUNCTION("""COMPUTED_VALUE"""),"0.00000006")</f>
        <v>#NAME?</v>
      </c>
      <c r="D1161" s="100" t="e">
        <f t="shared" ca="1" si="209"/>
        <v>#NAME?</v>
      </c>
      <c r="E1161" s="100" t="e">
        <f t="shared" ca="1" si="209"/>
        <v>#NAME?</v>
      </c>
      <c r="F1161" s="100" t="e">
        <f t="shared" ca="1" si="210"/>
        <v>#NAME?</v>
      </c>
      <c r="G1161" s="100" t="e">
        <f t="shared" ca="1" si="211"/>
        <v>#NAME?</v>
      </c>
      <c r="H1161" s="100" t="e">
        <f t="shared" ca="1" si="212"/>
        <v>#NAME?</v>
      </c>
      <c r="I1161" s="100" t="e">
        <f t="shared" ca="1" si="213"/>
        <v>#NAME?</v>
      </c>
      <c r="J1161" s="100" t="e">
        <f t="shared" ref="J1161:J1169" ca="1" si="215">IFERROR(__xludf.DUMMYFUNCTION("""COMPUTED_VALUE"""),"0")</f>
        <v>#NAME?</v>
      </c>
      <c r="K1161" s="100" t="e">
        <f t="shared" ca="1" si="214"/>
        <v>#NAME?</v>
      </c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</row>
    <row r="1162" spans="1:26">
      <c r="A1162" s="100" t="e">
        <f ca="1">IFERROR(__xludf.DUMMYFUNCTION("""COMPUTED_VALUE"""),58784497)</f>
        <v>#NAME?</v>
      </c>
      <c r="B1162" s="100" t="e">
        <f ca="1">IFERROR(__xludf.DUMMYFUNCTION("""COMPUTED_VALUE"""),"FORBUSD")</f>
        <v>#NAME?</v>
      </c>
      <c r="C1162" s="100" t="e">
        <f ca="1">IFERROR(__xludf.DUMMYFUNCTION("""COMPUTED_VALUE"""),"0.01703000")</f>
        <v>#NAME?</v>
      </c>
      <c r="D1162" s="100" t="e">
        <f t="shared" ref="D1162:E1181" ca="1" si="216">IFERROR(__xludf.DUMMYFUNCTION("""COMPUTED_VALUE"""),"-")</f>
        <v>#NAME?</v>
      </c>
      <c r="E1162" s="100" t="e">
        <f t="shared" ca="1" si="216"/>
        <v>#NAME?</v>
      </c>
      <c r="F1162" s="100" t="e">
        <f t="shared" ca="1" si="210"/>
        <v>#NAME?</v>
      </c>
      <c r="G1162" s="100" t="e">
        <f t="shared" ca="1" si="211"/>
        <v>#NAME?</v>
      </c>
      <c r="H1162" s="100" t="e">
        <f t="shared" ca="1" si="212"/>
        <v>#NAME?</v>
      </c>
      <c r="I1162" s="100" t="e">
        <f t="shared" ca="1" si="213"/>
        <v>#NAME?</v>
      </c>
      <c r="J1162" s="100" t="e">
        <f t="shared" ca="1" si="215"/>
        <v>#NAME?</v>
      </c>
      <c r="K1162" s="100" t="e">
        <f t="shared" ca="1" si="214"/>
        <v>#NAME?</v>
      </c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</row>
    <row r="1163" spans="1:26">
      <c r="A1163" s="100" t="e">
        <f ca="1">IFERROR(__xludf.DUMMYFUNCTION("""COMPUTED_VALUE"""),58784498)</f>
        <v>#NAME?</v>
      </c>
      <c r="B1163" s="100" t="e">
        <f ca="1">IFERROR(__xludf.DUMMYFUNCTION("""COMPUTED_VALUE"""),"UNFIBNB")</f>
        <v>#NAME?</v>
      </c>
      <c r="C1163" s="100" t="e">
        <f ca="1">IFERROR(__xludf.DUMMYFUNCTION("""COMPUTED_VALUE"""),"0.00000000")</f>
        <v>#NAME?</v>
      </c>
      <c r="D1163" s="100" t="e">
        <f t="shared" ca="1" si="216"/>
        <v>#NAME?</v>
      </c>
      <c r="E1163" s="100" t="e">
        <f t="shared" ca="1" si="216"/>
        <v>#NAME?</v>
      </c>
      <c r="F1163" s="100" t="e">
        <f t="shared" ca="1" si="210"/>
        <v>#NAME?</v>
      </c>
      <c r="G1163" s="100" t="e">
        <f t="shared" ca="1" si="211"/>
        <v>#NAME?</v>
      </c>
      <c r="H1163" s="100" t="e">
        <f t="shared" ca="1" si="212"/>
        <v>#NAME?</v>
      </c>
      <c r="I1163" s="100" t="e">
        <f t="shared" ca="1" si="213"/>
        <v>#NAME?</v>
      </c>
      <c r="J1163" s="100" t="e">
        <f t="shared" ca="1" si="215"/>
        <v>#NAME?</v>
      </c>
      <c r="K1163" s="100" t="e">
        <f t="shared" ca="1" si="214"/>
        <v>#NAME?</v>
      </c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</row>
    <row r="1164" spans="1:26">
      <c r="A1164" s="100" t="e">
        <f ca="1">IFERROR(__xludf.DUMMYFUNCTION("""COMPUTED_VALUE"""),58784499)</f>
        <v>#NAME?</v>
      </c>
      <c r="B1164" s="100" t="e">
        <f ca="1">IFERROR(__xludf.DUMMYFUNCTION("""COMPUTED_VALUE"""),"UNFIBTC")</f>
        <v>#NAME?</v>
      </c>
      <c r="C1164" s="100" t="e">
        <f ca="1">IFERROR(__xludf.DUMMYFUNCTION("""COMPUTED_VALUE"""),"0.00001850")</f>
        <v>#NAME?</v>
      </c>
      <c r="D1164" s="100" t="e">
        <f t="shared" ca="1" si="216"/>
        <v>#NAME?</v>
      </c>
      <c r="E1164" s="100" t="e">
        <f t="shared" ca="1" si="216"/>
        <v>#NAME?</v>
      </c>
      <c r="F1164" s="100" t="e">
        <f t="shared" ca="1" si="210"/>
        <v>#NAME?</v>
      </c>
      <c r="G1164" s="100" t="e">
        <f t="shared" ca="1" si="211"/>
        <v>#NAME?</v>
      </c>
      <c r="H1164" s="100" t="e">
        <f t="shared" ca="1" si="212"/>
        <v>#NAME?</v>
      </c>
      <c r="I1164" s="100" t="e">
        <f t="shared" ca="1" si="213"/>
        <v>#NAME?</v>
      </c>
      <c r="J1164" s="100" t="e">
        <f t="shared" ca="1" si="215"/>
        <v>#NAME?</v>
      </c>
      <c r="K1164" s="100" t="e">
        <f t="shared" ca="1" si="214"/>
        <v>#NAME?</v>
      </c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</row>
    <row r="1165" spans="1:26">
      <c r="A1165" s="100" t="e">
        <f ca="1">IFERROR(__xludf.DUMMYFUNCTION("""COMPUTED_VALUE"""),58784500)</f>
        <v>#NAME?</v>
      </c>
      <c r="B1165" s="100" t="e">
        <f ca="1">IFERROR(__xludf.DUMMYFUNCTION("""COMPUTED_VALUE"""),"UNFIBUSD")</f>
        <v>#NAME?</v>
      </c>
      <c r="C1165" s="100" t="e">
        <f ca="1">IFERROR(__xludf.DUMMYFUNCTION("""COMPUTED_VALUE"""),"7.81500000")</f>
        <v>#NAME?</v>
      </c>
      <c r="D1165" s="100" t="e">
        <f t="shared" ca="1" si="216"/>
        <v>#NAME?</v>
      </c>
      <c r="E1165" s="100" t="e">
        <f t="shared" ca="1" si="216"/>
        <v>#NAME?</v>
      </c>
      <c r="F1165" s="100" t="e">
        <f t="shared" ca="1" si="210"/>
        <v>#NAME?</v>
      </c>
      <c r="G1165" s="100" t="e">
        <f t="shared" ca="1" si="211"/>
        <v>#NAME?</v>
      </c>
      <c r="H1165" s="100" t="e">
        <f t="shared" ca="1" si="212"/>
        <v>#NAME?</v>
      </c>
      <c r="I1165" s="100" t="e">
        <f t="shared" ca="1" si="213"/>
        <v>#NAME?</v>
      </c>
      <c r="J1165" s="100" t="e">
        <f t="shared" ca="1" si="215"/>
        <v>#NAME?</v>
      </c>
      <c r="K1165" s="100" t="e">
        <f t="shared" ca="1" si="214"/>
        <v>#NAME?</v>
      </c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</row>
    <row r="1166" spans="1:26">
      <c r="A1166" s="100" t="e">
        <f ca="1">IFERROR(__xludf.DUMMYFUNCTION("""COMPUTED_VALUE"""),58784501)</f>
        <v>#NAME?</v>
      </c>
      <c r="B1166" s="100" t="e">
        <f ca="1">IFERROR(__xludf.DUMMYFUNCTION("""COMPUTED_VALUE"""),"UNFIUSDT")</f>
        <v>#NAME?</v>
      </c>
      <c r="C1166" s="100" t="e">
        <f ca="1">IFERROR(__xludf.DUMMYFUNCTION("""COMPUTED_VALUE"""),"1.34100000")</f>
        <v>#NAME?</v>
      </c>
      <c r="D1166" s="100" t="e">
        <f t="shared" ca="1" si="216"/>
        <v>#NAME?</v>
      </c>
      <c r="E1166" s="100" t="e">
        <f t="shared" ca="1" si="216"/>
        <v>#NAME?</v>
      </c>
      <c r="F1166" s="100" t="e">
        <f t="shared" ca="1" si="210"/>
        <v>#NAME?</v>
      </c>
      <c r="G1166" s="100" t="e">
        <f t="shared" ca="1" si="211"/>
        <v>#NAME?</v>
      </c>
      <c r="H1166" s="100" t="e">
        <f t="shared" ca="1" si="212"/>
        <v>#NAME?</v>
      </c>
      <c r="I1166" s="100" t="e">
        <f t="shared" ca="1" si="213"/>
        <v>#NAME?</v>
      </c>
      <c r="J1166" s="100" t="e">
        <f t="shared" ca="1" si="215"/>
        <v>#NAME?</v>
      </c>
      <c r="K1166" s="100" t="e">
        <f t="shared" ca="1" si="214"/>
        <v>#NAME?</v>
      </c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</row>
    <row r="1167" spans="1:26">
      <c r="A1167" s="100" t="e">
        <f ca="1">IFERROR(__xludf.DUMMYFUNCTION("""COMPUTED_VALUE"""),58784502)</f>
        <v>#NAME?</v>
      </c>
      <c r="B1167" s="100" t="e">
        <f ca="1">IFERROR(__xludf.DUMMYFUNCTION("""COMPUTED_VALUE"""),"FRONTETH")</f>
        <v>#NAME?</v>
      </c>
      <c r="C1167" s="100" t="e">
        <f ca="1">IFERROR(__xludf.DUMMYFUNCTION("""COMPUTED_VALUE"""),"0.00000000")</f>
        <v>#NAME?</v>
      </c>
      <c r="D1167" s="100" t="e">
        <f t="shared" ca="1" si="216"/>
        <v>#NAME?</v>
      </c>
      <c r="E1167" s="100" t="e">
        <f t="shared" ca="1" si="216"/>
        <v>#NAME?</v>
      </c>
      <c r="F1167" s="100" t="e">
        <f t="shared" ca="1" si="210"/>
        <v>#NAME?</v>
      </c>
      <c r="G1167" s="100" t="e">
        <f t="shared" ca="1" si="211"/>
        <v>#NAME?</v>
      </c>
      <c r="H1167" s="100" t="e">
        <f t="shared" ca="1" si="212"/>
        <v>#NAME?</v>
      </c>
      <c r="I1167" s="100" t="e">
        <f t="shared" ca="1" si="213"/>
        <v>#NAME?</v>
      </c>
      <c r="J1167" s="100" t="e">
        <f t="shared" ca="1" si="215"/>
        <v>#NAME?</v>
      </c>
      <c r="K1167" s="100" t="e">
        <f t="shared" ca="1" si="214"/>
        <v>#NAME?</v>
      </c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</row>
    <row r="1168" spans="1:26">
      <c r="A1168" s="100" t="e">
        <f ca="1">IFERROR(__xludf.DUMMYFUNCTION("""COMPUTED_VALUE"""),58784503)</f>
        <v>#NAME?</v>
      </c>
      <c r="B1168" s="100" t="e">
        <f ca="1">IFERROR(__xludf.DUMMYFUNCTION("""COMPUTED_VALUE"""),"FRONTBUSD")</f>
        <v>#NAME?</v>
      </c>
      <c r="C1168" s="100" t="e">
        <f ca="1">IFERROR(__xludf.DUMMYFUNCTION("""COMPUTED_VALUE"""),"0.33220000")</f>
        <v>#NAME?</v>
      </c>
      <c r="D1168" s="100" t="e">
        <f t="shared" ca="1" si="216"/>
        <v>#NAME?</v>
      </c>
      <c r="E1168" s="100" t="e">
        <f t="shared" ca="1" si="216"/>
        <v>#NAME?</v>
      </c>
      <c r="F1168" s="100" t="e">
        <f t="shared" ca="1" si="210"/>
        <v>#NAME?</v>
      </c>
      <c r="G1168" s="100" t="e">
        <f t="shared" ca="1" si="211"/>
        <v>#NAME?</v>
      </c>
      <c r="H1168" s="100" t="e">
        <f t="shared" ca="1" si="212"/>
        <v>#NAME?</v>
      </c>
      <c r="I1168" s="100" t="e">
        <f t="shared" ca="1" si="213"/>
        <v>#NAME?</v>
      </c>
      <c r="J1168" s="100" t="e">
        <f t="shared" ca="1" si="215"/>
        <v>#NAME?</v>
      </c>
      <c r="K1168" s="100" t="e">
        <f t="shared" ca="1" si="214"/>
        <v>#NAME?</v>
      </c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</row>
    <row r="1169" spans="1:26">
      <c r="A1169" s="100" t="e">
        <f ca="1">IFERROR(__xludf.DUMMYFUNCTION("""COMPUTED_VALUE"""),58784504)</f>
        <v>#NAME?</v>
      </c>
      <c r="B1169" s="100" t="e">
        <f ca="1">IFERROR(__xludf.DUMMYFUNCTION("""COMPUTED_VALUE"""),"BCHABUSD")</f>
        <v>#NAME?</v>
      </c>
      <c r="C1169" s="100" t="e">
        <f ca="1">IFERROR(__xludf.DUMMYFUNCTION("""COMPUTED_VALUE"""),"0.00000000")</f>
        <v>#NAME?</v>
      </c>
      <c r="D1169" s="100" t="e">
        <f t="shared" ca="1" si="216"/>
        <v>#NAME?</v>
      </c>
      <c r="E1169" s="100" t="e">
        <f t="shared" ca="1" si="216"/>
        <v>#NAME?</v>
      </c>
      <c r="F1169" s="100" t="e">
        <f t="shared" ca="1" si="210"/>
        <v>#NAME?</v>
      </c>
      <c r="G1169" s="100" t="e">
        <f t="shared" ca="1" si="211"/>
        <v>#NAME?</v>
      </c>
      <c r="H1169" s="100" t="e">
        <f t="shared" ca="1" si="212"/>
        <v>#NAME?</v>
      </c>
      <c r="I1169" s="100" t="e">
        <f t="shared" ca="1" si="213"/>
        <v>#NAME?</v>
      </c>
      <c r="J1169" s="100" t="e">
        <f t="shared" ca="1" si="215"/>
        <v>#NAME?</v>
      </c>
      <c r="K1169" s="100" t="e">
        <f t="shared" ca="1" si="214"/>
        <v>#NAME?</v>
      </c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</row>
    <row r="1170" spans="1:26">
      <c r="A1170" s="100" t="e">
        <f ca="1">IFERROR(__xludf.DUMMYFUNCTION("""COMPUTED_VALUE"""),58784505)</f>
        <v>#NAME?</v>
      </c>
      <c r="B1170" s="100" t="e">
        <f ca="1">IFERROR(__xludf.DUMMYFUNCTION("""COMPUTED_VALUE"""),"ROSEBTC")</f>
        <v>#NAME?</v>
      </c>
      <c r="C1170" s="100" t="e">
        <f ca="1">IFERROR(__xludf.DUMMYFUNCTION("""COMPUTED_VALUE"""),"0.00000029")</f>
        <v>#NAME?</v>
      </c>
      <c r="D1170" s="100" t="e">
        <f t="shared" ca="1" si="216"/>
        <v>#NAME?</v>
      </c>
      <c r="E1170" s="100" t="e">
        <f t="shared" ca="1" si="216"/>
        <v>#NAME?</v>
      </c>
      <c r="F1170" s="100" t="e">
        <f t="shared" ca="1" si="210"/>
        <v>#NAME?</v>
      </c>
      <c r="G1170" s="100" t="e">
        <f t="shared" ca="1" si="211"/>
        <v>#NAME?</v>
      </c>
      <c r="H1170" s="100" t="e">
        <f t="shared" ca="1" si="212"/>
        <v>#NAME?</v>
      </c>
      <c r="I1170" s="100" t="e">
        <f t="shared" ca="1" si="213"/>
        <v>#NAME?</v>
      </c>
      <c r="J1170" s="100" t="e">
        <f ca="1">IFERROR(__xludf.DUMMYFUNCTION("""COMPUTED_VALUE"""),"-6.452")</f>
        <v>#NAME?</v>
      </c>
      <c r="K1170" s="100" t="e">
        <f t="shared" ca="1" si="214"/>
        <v>#NAME?</v>
      </c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</row>
    <row r="1171" spans="1:26">
      <c r="A1171" s="100" t="e">
        <f ca="1">IFERROR(__xludf.DUMMYFUNCTION("""COMPUTED_VALUE"""),58784506)</f>
        <v>#NAME?</v>
      </c>
      <c r="B1171" s="100" t="e">
        <f ca="1">IFERROR(__xludf.DUMMYFUNCTION("""COMPUTED_VALUE"""),"ROSEBUSD")</f>
        <v>#NAME?</v>
      </c>
      <c r="C1171" s="100" t="e">
        <f ca="1">IFERROR(__xludf.DUMMYFUNCTION("""COMPUTED_VALUE"""),"0.06826000")</f>
        <v>#NAME?</v>
      </c>
      <c r="D1171" s="100" t="e">
        <f t="shared" ca="1" si="216"/>
        <v>#NAME?</v>
      </c>
      <c r="E1171" s="100" t="e">
        <f t="shared" ca="1" si="216"/>
        <v>#NAME?</v>
      </c>
      <c r="F1171" s="100" t="e">
        <f t="shared" ca="1" si="210"/>
        <v>#NAME?</v>
      </c>
      <c r="G1171" s="100" t="e">
        <f t="shared" ca="1" si="211"/>
        <v>#NAME?</v>
      </c>
      <c r="H1171" s="100" t="e">
        <f t="shared" ca="1" si="212"/>
        <v>#NAME?</v>
      </c>
      <c r="I1171" s="100" t="e">
        <f t="shared" ca="1" si="213"/>
        <v>#NAME?</v>
      </c>
      <c r="J1171" s="100" t="e">
        <f ca="1">IFERROR(__xludf.DUMMYFUNCTION("""COMPUTED_VALUE"""),"0")</f>
        <v>#NAME?</v>
      </c>
      <c r="K1171" s="100" t="e">
        <f t="shared" ca="1" si="214"/>
        <v>#NAME?</v>
      </c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</row>
    <row r="1172" spans="1:26">
      <c r="A1172" s="100" t="e">
        <f ca="1">IFERROR(__xludf.DUMMYFUNCTION("""COMPUTED_VALUE"""),58784507)</f>
        <v>#NAME?</v>
      </c>
      <c r="B1172" s="100" t="e">
        <f ca="1">IFERROR(__xludf.DUMMYFUNCTION("""COMPUTED_VALUE"""),"ROSEUSDT")</f>
        <v>#NAME?</v>
      </c>
      <c r="C1172" s="100" t="e">
        <f ca="1">IFERROR(__xludf.DUMMYFUNCTION("""COMPUTED_VALUE"""),"0.02613000")</f>
        <v>#NAME?</v>
      </c>
      <c r="D1172" s="100" t="e">
        <f t="shared" ca="1" si="216"/>
        <v>#NAME?</v>
      </c>
      <c r="E1172" s="100" t="e">
        <f t="shared" ca="1" si="216"/>
        <v>#NAME?</v>
      </c>
      <c r="F1172" s="100" t="e">
        <f t="shared" ca="1" si="210"/>
        <v>#NAME?</v>
      </c>
      <c r="G1172" s="100" t="e">
        <f t="shared" ca="1" si="211"/>
        <v>#NAME?</v>
      </c>
      <c r="H1172" s="100" t="e">
        <f t="shared" ca="1" si="212"/>
        <v>#NAME?</v>
      </c>
      <c r="I1172" s="100" t="e">
        <f t="shared" ca="1" si="213"/>
        <v>#NAME?</v>
      </c>
      <c r="J1172" s="100" t="e">
        <f ca="1">IFERROR(__xludf.DUMMYFUNCTION("""COMPUTED_VALUE"""),"-3.686")</f>
        <v>#NAME?</v>
      </c>
      <c r="K1172" s="100" t="e">
        <f t="shared" ca="1" si="214"/>
        <v>#NAME?</v>
      </c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</row>
    <row r="1173" spans="1:26">
      <c r="A1173" s="100" t="e">
        <f ca="1">IFERROR(__xludf.DUMMYFUNCTION("""COMPUTED_VALUE"""),58784508)</f>
        <v>#NAME?</v>
      </c>
      <c r="B1173" s="100" t="e">
        <f ca="1">IFERROR(__xludf.DUMMYFUNCTION("""COMPUTED_VALUE"""),"AVAXTRY")</f>
        <v>#NAME?</v>
      </c>
      <c r="C1173" s="100" t="e">
        <f ca="1">IFERROR(__xludf.DUMMYFUNCTION("""COMPUTED_VALUE"""),"771.30000000")</f>
        <v>#NAME?</v>
      </c>
      <c r="D1173" s="100" t="e">
        <f t="shared" ca="1" si="216"/>
        <v>#NAME?</v>
      </c>
      <c r="E1173" s="100" t="e">
        <f t="shared" ca="1" si="216"/>
        <v>#NAME?</v>
      </c>
      <c r="F1173" s="100" t="e">
        <f t="shared" ca="1" si="210"/>
        <v>#NAME?</v>
      </c>
      <c r="G1173" s="100" t="e">
        <f t="shared" ca="1" si="211"/>
        <v>#NAME?</v>
      </c>
      <c r="H1173" s="100" t="e">
        <f t="shared" ca="1" si="212"/>
        <v>#NAME?</v>
      </c>
      <c r="I1173" s="100" t="e">
        <f t="shared" ca="1" si="213"/>
        <v>#NAME?</v>
      </c>
      <c r="J1173" s="100" t="e">
        <f ca="1">IFERROR(__xludf.DUMMYFUNCTION("""COMPUTED_VALUE"""),"-2.206")</f>
        <v>#NAME?</v>
      </c>
      <c r="K1173" s="100" t="e">
        <f t="shared" ca="1" si="214"/>
        <v>#NAME?</v>
      </c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</row>
    <row r="1174" spans="1:26">
      <c r="A1174" s="100" t="e">
        <f ca="1">IFERROR(__xludf.DUMMYFUNCTION("""COMPUTED_VALUE"""),58784509)</f>
        <v>#NAME?</v>
      </c>
      <c r="B1174" s="100" t="e">
        <f ca="1">IFERROR(__xludf.DUMMYFUNCTION("""COMPUTED_VALUE"""),"BUSDBRL")</f>
        <v>#NAME?</v>
      </c>
      <c r="C1174" s="100" t="e">
        <f ca="1">IFERROR(__xludf.DUMMYFUNCTION("""COMPUTED_VALUE"""),"4.99100000")</f>
        <v>#NAME?</v>
      </c>
      <c r="D1174" s="100" t="e">
        <f t="shared" ca="1" si="216"/>
        <v>#NAME?</v>
      </c>
      <c r="E1174" s="100" t="e">
        <f t="shared" ca="1" si="216"/>
        <v>#NAME?</v>
      </c>
      <c r="F1174" s="100" t="e">
        <f t="shared" ca="1" si="210"/>
        <v>#NAME?</v>
      </c>
      <c r="G1174" s="100" t="e">
        <f t="shared" ca="1" si="211"/>
        <v>#NAME?</v>
      </c>
      <c r="H1174" s="100" t="e">
        <f t="shared" ca="1" si="212"/>
        <v>#NAME?</v>
      </c>
      <c r="I1174" s="100" t="e">
        <f t="shared" ca="1" si="213"/>
        <v>#NAME?</v>
      </c>
      <c r="J1174" s="100" t="e">
        <f ca="1">IFERROR(__xludf.DUMMYFUNCTION("""COMPUTED_VALUE"""),"0")</f>
        <v>#NAME?</v>
      </c>
      <c r="K1174" s="100" t="e">
        <f t="shared" ca="1" si="214"/>
        <v>#NAME?</v>
      </c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</row>
    <row r="1175" spans="1:26">
      <c r="A1175" s="100" t="e">
        <f ca="1">IFERROR(__xludf.DUMMYFUNCTION("""COMPUTED_VALUE"""),58784510)</f>
        <v>#NAME?</v>
      </c>
      <c r="B1175" s="100" t="e">
        <f ca="1">IFERROR(__xludf.DUMMYFUNCTION("""COMPUTED_VALUE"""),"AVAUSDT")</f>
        <v>#NAME?</v>
      </c>
      <c r="C1175" s="100" t="e">
        <f ca="1">IFERROR(__xludf.DUMMYFUNCTION("""COMPUTED_VALUE"""),"0.57150000")</f>
        <v>#NAME?</v>
      </c>
      <c r="D1175" s="100" t="e">
        <f t="shared" ca="1" si="216"/>
        <v>#NAME?</v>
      </c>
      <c r="E1175" s="100" t="e">
        <f t="shared" ca="1" si="216"/>
        <v>#NAME?</v>
      </c>
      <c r="F1175" s="100" t="e">
        <f t="shared" ca="1" si="210"/>
        <v>#NAME?</v>
      </c>
      <c r="G1175" s="100" t="e">
        <f t="shared" ca="1" si="211"/>
        <v>#NAME?</v>
      </c>
      <c r="H1175" s="100" t="e">
        <f t="shared" ca="1" si="212"/>
        <v>#NAME?</v>
      </c>
      <c r="I1175" s="100" t="e">
        <f t="shared" ca="1" si="213"/>
        <v>#NAME?</v>
      </c>
      <c r="J1175" s="100" t="e">
        <f ca="1">IFERROR(__xludf.DUMMYFUNCTION("""COMPUTED_VALUE"""),"-2.006")</f>
        <v>#NAME?</v>
      </c>
      <c r="K1175" s="100" t="e">
        <f t="shared" ca="1" si="214"/>
        <v>#NAME?</v>
      </c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</row>
    <row r="1176" spans="1:26">
      <c r="A1176" s="100" t="e">
        <f ca="1">IFERROR(__xludf.DUMMYFUNCTION("""COMPUTED_VALUE"""),58784511)</f>
        <v>#NAME?</v>
      </c>
      <c r="B1176" s="100" t="e">
        <f ca="1">IFERROR(__xludf.DUMMYFUNCTION("""COMPUTED_VALUE"""),"SYSBUSD")</f>
        <v>#NAME?</v>
      </c>
      <c r="C1176" s="100" t="e">
        <f ca="1">IFERROR(__xludf.DUMMYFUNCTION("""COMPUTED_VALUE"""),"0.08180000")</f>
        <v>#NAME?</v>
      </c>
      <c r="D1176" s="100" t="e">
        <f t="shared" ca="1" si="216"/>
        <v>#NAME?</v>
      </c>
      <c r="E1176" s="100" t="e">
        <f t="shared" ca="1" si="216"/>
        <v>#NAME?</v>
      </c>
      <c r="F1176" s="100" t="e">
        <f t="shared" ca="1" si="210"/>
        <v>#NAME?</v>
      </c>
      <c r="G1176" s="100" t="e">
        <f t="shared" ca="1" si="211"/>
        <v>#NAME?</v>
      </c>
      <c r="H1176" s="100" t="e">
        <f t="shared" ca="1" si="212"/>
        <v>#NAME?</v>
      </c>
      <c r="I1176" s="100" t="e">
        <f t="shared" ca="1" si="213"/>
        <v>#NAME?</v>
      </c>
      <c r="J1176" s="100" t="e">
        <f t="shared" ref="J1176:J1183" ca="1" si="217">IFERROR(__xludf.DUMMYFUNCTION("""COMPUTED_VALUE"""),"0")</f>
        <v>#NAME?</v>
      </c>
      <c r="K1176" s="100" t="e">
        <f t="shared" ca="1" si="214"/>
        <v>#NAME?</v>
      </c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</row>
    <row r="1177" spans="1:26">
      <c r="A1177" s="100" t="e">
        <f ca="1">IFERROR(__xludf.DUMMYFUNCTION("""COMPUTED_VALUE"""),58784512)</f>
        <v>#NAME?</v>
      </c>
      <c r="B1177" s="100" t="e">
        <f ca="1">IFERROR(__xludf.DUMMYFUNCTION("""COMPUTED_VALUE"""),"XEMUSDT")</f>
        <v>#NAME?</v>
      </c>
      <c r="C1177" s="100" t="e">
        <f ca="1">IFERROR(__xludf.DUMMYFUNCTION("""COMPUTED_VALUE"""),"0.01596000")</f>
        <v>#NAME?</v>
      </c>
      <c r="D1177" s="100" t="e">
        <f t="shared" ca="1" si="216"/>
        <v>#NAME?</v>
      </c>
      <c r="E1177" s="100" t="e">
        <f t="shared" ca="1" si="216"/>
        <v>#NAME?</v>
      </c>
      <c r="F1177" s="100" t="e">
        <f t="shared" ca="1" si="210"/>
        <v>#NAME?</v>
      </c>
      <c r="G1177" s="100" t="e">
        <f t="shared" ca="1" si="211"/>
        <v>#NAME?</v>
      </c>
      <c r="H1177" s="100" t="e">
        <f t="shared" ca="1" si="212"/>
        <v>#NAME?</v>
      </c>
      <c r="I1177" s="100" t="e">
        <f t="shared" ca="1" si="213"/>
        <v>#NAME?</v>
      </c>
      <c r="J1177" s="100" t="e">
        <f t="shared" ca="1" si="217"/>
        <v>#NAME?</v>
      </c>
      <c r="K1177" s="100" t="e">
        <f t="shared" ca="1" si="214"/>
        <v>#NAME?</v>
      </c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</row>
    <row r="1178" spans="1:26">
      <c r="A1178" s="100" t="e">
        <f ca="1">IFERROR(__xludf.DUMMYFUNCTION("""COMPUTED_VALUE"""),58784513)</f>
        <v>#NAME?</v>
      </c>
      <c r="B1178" s="100" t="e">
        <f ca="1">IFERROR(__xludf.DUMMYFUNCTION("""COMPUTED_VALUE"""),"HEGICETH")</f>
        <v>#NAME?</v>
      </c>
      <c r="C1178" s="100" t="e">
        <f ca="1">IFERROR(__xludf.DUMMYFUNCTION("""COMPUTED_VALUE"""),"0.00000000")</f>
        <v>#NAME?</v>
      </c>
      <c r="D1178" s="100" t="e">
        <f t="shared" ca="1" si="216"/>
        <v>#NAME?</v>
      </c>
      <c r="E1178" s="100" t="e">
        <f t="shared" ca="1" si="216"/>
        <v>#NAME?</v>
      </c>
      <c r="F1178" s="100" t="e">
        <f t="shared" ca="1" si="210"/>
        <v>#NAME?</v>
      </c>
      <c r="G1178" s="100" t="e">
        <f t="shared" ca="1" si="211"/>
        <v>#NAME?</v>
      </c>
      <c r="H1178" s="100" t="e">
        <f t="shared" ca="1" si="212"/>
        <v>#NAME?</v>
      </c>
      <c r="I1178" s="100" t="e">
        <f t="shared" ca="1" si="213"/>
        <v>#NAME?</v>
      </c>
      <c r="J1178" s="100" t="e">
        <f t="shared" ca="1" si="217"/>
        <v>#NAME?</v>
      </c>
      <c r="K1178" s="100" t="e">
        <f t="shared" ca="1" si="214"/>
        <v>#NAME?</v>
      </c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</row>
    <row r="1179" spans="1:26">
      <c r="A1179" s="100" t="e">
        <f ca="1">IFERROR(__xludf.DUMMYFUNCTION("""COMPUTED_VALUE"""),58784514)</f>
        <v>#NAME?</v>
      </c>
      <c r="B1179" s="100" t="e">
        <f ca="1">IFERROR(__xludf.DUMMYFUNCTION("""COMPUTED_VALUE"""),"HEGICBUSD")</f>
        <v>#NAME?</v>
      </c>
      <c r="C1179" s="100" t="e">
        <f ca="1">IFERROR(__xludf.DUMMYFUNCTION("""COMPUTED_VALUE"""),"0.00000000")</f>
        <v>#NAME?</v>
      </c>
      <c r="D1179" s="100" t="e">
        <f t="shared" ca="1" si="216"/>
        <v>#NAME?</v>
      </c>
      <c r="E1179" s="100" t="e">
        <f t="shared" ca="1" si="216"/>
        <v>#NAME?</v>
      </c>
      <c r="F1179" s="100" t="e">
        <f t="shared" ca="1" si="210"/>
        <v>#NAME?</v>
      </c>
      <c r="G1179" s="100" t="e">
        <f t="shared" ca="1" si="211"/>
        <v>#NAME?</v>
      </c>
      <c r="H1179" s="100" t="e">
        <f t="shared" ca="1" si="212"/>
        <v>#NAME?</v>
      </c>
      <c r="I1179" s="100" t="e">
        <f t="shared" ca="1" si="213"/>
        <v>#NAME?</v>
      </c>
      <c r="J1179" s="100" t="e">
        <f t="shared" ca="1" si="217"/>
        <v>#NAME?</v>
      </c>
      <c r="K1179" s="100" t="e">
        <f t="shared" ca="1" si="214"/>
        <v>#NAME?</v>
      </c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</row>
    <row r="1180" spans="1:26">
      <c r="A1180" s="100" t="e">
        <f ca="1">IFERROR(__xludf.DUMMYFUNCTION("""COMPUTED_VALUE"""),58784515)</f>
        <v>#NAME?</v>
      </c>
      <c r="B1180" s="100" t="e">
        <f ca="1">IFERROR(__xludf.DUMMYFUNCTION("""COMPUTED_VALUE"""),"AAVEUPUSDT")</f>
        <v>#NAME?</v>
      </c>
      <c r="C1180" s="100" t="e">
        <f ca="1">IFERROR(__xludf.DUMMYFUNCTION("""COMPUTED_VALUE"""),"0.00000000")</f>
        <v>#NAME?</v>
      </c>
      <c r="D1180" s="100" t="e">
        <f t="shared" ca="1" si="216"/>
        <v>#NAME?</v>
      </c>
      <c r="E1180" s="100" t="e">
        <f t="shared" ca="1" si="216"/>
        <v>#NAME?</v>
      </c>
      <c r="F1180" s="100" t="e">
        <f t="shared" ca="1" si="210"/>
        <v>#NAME?</v>
      </c>
      <c r="G1180" s="100" t="e">
        <f t="shared" ca="1" si="211"/>
        <v>#NAME?</v>
      </c>
      <c r="H1180" s="100" t="e">
        <f t="shared" ca="1" si="212"/>
        <v>#NAME?</v>
      </c>
      <c r="I1180" s="100" t="e">
        <f t="shared" ca="1" si="213"/>
        <v>#NAME?</v>
      </c>
      <c r="J1180" s="100" t="e">
        <f t="shared" ca="1" si="217"/>
        <v>#NAME?</v>
      </c>
      <c r="K1180" s="100" t="e">
        <f t="shared" ca="1" si="214"/>
        <v>#NAME?</v>
      </c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</row>
    <row r="1181" spans="1:26">
      <c r="A1181" s="100" t="e">
        <f ca="1">IFERROR(__xludf.DUMMYFUNCTION("""COMPUTED_VALUE"""),58784516)</f>
        <v>#NAME?</v>
      </c>
      <c r="B1181" s="100" t="e">
        <f ca="1">IFERROR(__xludf.DUMMYFUNCTION("""COMPUTED_VALUE"""),"AAVEDOWNUSDT")</f>
        <v>#NAME?</v>
      </c>
      <c r="C1181" s="100" t="e">
        <f ca="1">IFERROR(__xludf.DUMMYFUNCTION("""COMPUTED_VALUE"""),"0.00000000")</f>
        <v>#NAME?</v>
      </c>
      <c r="D1181" s="100" t="e">
        <f t="shared" ca="1" si="216"/>
        <v>#NAME?</v>
      </c>
      <c r="E1181" s="100" t="e">
        <f t="shared" ca="1" si="216"/>
        <v>#NAME?</v>
      </c>
      <c r="F1181" s="100" t="e">
        <f t="shared" ca="1" si="210"/>
        <v>#NAME?</v>
      </c>
      <c r="G1181" s="100" t="e">
        <f t="shared" ca="1" si="211"/>
        <v>#NAME?</v>
      </c>
      <c r="H1181" s="100" t="e">
        <f t="shared" ca="1" si="212"/>
        <v>#NAME?</v>
      </c>
      <c r="I1181" s="100" t="e">
        <f t="shared" ca="1" si="213"/>
        <v>#NAME?</v>
      </c>
      <c r="J1181" s="100" t="e">
        <f t="shared" ca="1" si="217"/>
        <v>#NAME?</v>
      </c>
      <c r="K1181" s="100" t="e">
        <f t="shared" ca="1" si="214"/>
        <v>#NAME?</v>
      </c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</row>
    <row r="1182" spans="1:26">
      <c r="A1182" s="100" t="e">
        <f ca="1">IFERROR(__xludf.DUMMYFUNCTION("""COMPUTED_VALUE"""),58784517)</f>
        <v>#NAME?</v>
      </c>
      <c r="B1182" s="100" t="e">
        <f ca="1">IFERROR(__xludf.DUMMYFUNCTION("""COMPUTED_VALUE"""),"PROMBNB")</f>
        <v>#NAME?</v>
      </c>
      <c r="C1182" s="100" t="e">
        <f ca="1">IFERROR(__xludf.DUMMYFUNCTION("""COMPUTED_VALUE"""),"0.01443000")</f>
        <v>#NAME?</v>
      </c>
      <c r="D1182" s="100" t="e">
        <f t="shared" ref="D1182:E1201" ca="1" si="218">IFERROR(__xludf.DUMMYFUNCTION("""COMPUTED_VALUE"""),"-")</f>
        <v>#NAME?</v>
      </c>
      <c r="E1182" s="100" t="e">
        <f t="shared" ca="1" si="218"/>
        <v>#NAME?</v>
      </c>
      <c r="F1182" s="100" t="e">
        <f t="shared" ca="1" si="210"/>
        <v>#NAME?</v>
      </c>
      <c r="G1182" s="100" t="e">
        <f t="shared" ca="1" si="211"/>
        <v>#NAME?</v>
      </c>
      <c r="H1182" s="100" t="e">
        <f t="shared" ca="1" si="212"/>
        <v>#NAME?</v>
      </c>
      <c r="I1182" s="100" t="e">
        <f t="shared" ca="1" si="213"/>
        <v>#NAME?</v>
      </c>
      <c r="J1182" s="100" t="e">
        <f t="shared" ca="1" si="217"/>
        <v>#NAME?</v>
      </c>
      <c r="K1182" s="100" t="e">
        <f t="shared" ca="1" si="214"/>
        <v>#NAME?</v>
      </c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</row>
    <row r="1183" spans="1:26">
      <c r="A1183" s="100" t="e">
        <f ca="1">IFERROR(__xludf.DUMMYFUNCTION("""COMPUTED_VALUE"""),58784518)</f>
        <v>#NAME?</v>
      </c>
      <c r="B1183" s="100" t="e">
        <f ca="1">IFERROR(__xludf.DUMMYFUNCTION("""COMPUTED_VALUE"""),"PROMBUSD")</f>
        <v>#NAME?</v>
      </c>
      <c r="C1183" s="100" t="e">
        <f ca="1">IFERROR(__xludf.DUMMYFUNCTION("""COMPUTED_VALUE"""),"4.42400000")</f>
        <v>#NAME?</v>
      </c>
      <c r="D1183" s="100" t="e">
        <f t="shared" ca="1" si="218"/>
        <v>#NAME?</v>
      </c>
      <c r="E1183" s="100" t="e">
        <f t="shared" ca="1" si="218"/>
        <v>#NAME?</v>
      </c>
      <c r="F1183" s="100" t="e">
        <f t="shared" ca="1" si="210"/>
        <v>#NAME?</v>
      </c>
      <c r="G1183" s="100" t="e">
        <f t="shared" ca="1" si="211"/>
        <v>#NAME?</v>
      </c>
      <c r="H1183" s="100" t="e">
        <f t="shared" ca="1" si="212"/>
        <v>#NAME?</v>
      </c>
      <c r="I1183" s="100" t="e">
        <f t="shared" ca="1" si="213"/>
        <v>#NAME?</v>
      </c>
      <c r="J1183" s="100" t="e">
        <f t="shared" ca="1" si="217"/>
        <v>#NAME?</v>
      </c>
      <c r="K1183" s="100" t="e">
        <f t="shared" ca="1" si="214"/>
        <v>#NAME?</v>
      </c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</row>
    <row r="1184" spans="1:26">
      <c r="A1184" s="100" t="e">
        <f ca="1">IFERROR(__xludf.DUMMYFUNCTION("""COMPUTED_VALUE"""),58784519)</f>
        <v>#NAME?</v>
      </c>
      <c r="B1184" s="100" t="e">
        <f ca="1">IFERROR(__xludf.DUMMYFUNCTION("""COMPUTED_VALUE"""),"XRPBRL")</f>
        <v>#NAME?</v>
      </c>
      <c r="C1184" s="100" t="e">
        <f ca="1">IFERROR(__xludf.DUMMYFUNCTION("""COMPUTED_VALUE"""),"12.26100000")</f>
        <v>#NAME?</v>
      </c>
      <c r="D1184" s="100" t="e">
        <f t="shared" ca="1" si="218"/>
        <v>#NAME?</v>
      </c>
      <c r="E1184" s="100" t="e">
        <f t="shared" ca="1" si="218"/>
        <v>#NAME?</v>
      </c>
      <c r="F1184" s="100" t="e">
        <f t="shared" ca="1" si="210"/>
        <v>#NAME?</v>
      </c>
      <c r="G1184" s="100" t="e">
        <f t="shared" ca="1" si="211"/>
        <v>#NAME?</v>
      </c>
      <c r="H1184" s="100" t="e">
        <f t="shared" ca="1" si="212"/>
        <v>#NAME?</v>
      </c>
      <c r="I1184" s="100" t="e">
        <f t="shared" ca="1" si="213"/>
        <v>#NAME?</v>
      </c>
      <c r="J1184" s="100" t="e">
        <f ca="1">IFERROR(__xludf.DUMMYFUNCTION("""COMPUTED_VALUE"""),"-1.033")</f>
        <v>#NAME?</v>
      </c>
      <c r="K1184" s="100" t="e">
        <f t="shared" ca="1" si="214"/>
        <v>#NAME?</v>
      </c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</row>
    <row r="1185" spans="1:26">
      <c r="A1185" s="100" t="e">
        <f ca="1">IFERROR(__xludf.DUMMYFUNCTION("""COMPUTED_VALUE"""),58784520)</f>
        <v>#NAME?</v>
      </c>
      <c r="B1185" s="100" t="e">
        <f ca="1">IFERROR(__xludf.DUMMYFUNCTION("""COMPUTED_VALUE"""),"XRPNGN")</f>
        <v>#NAME?</v>
      </c>
      <c r="C1185" s="100" t="e">
        <f ca="1">IFERROR(__xludf.DUMMYFUNCTION("""COMPUTED_VALUE"""),"0.00000000")</f>
        <v>#NAME?</v>
      </c>
      <c r="D1185" s="100" t="e">
        <f t="shared" ca="1" si="218"/>
        <v>#NAME?</v>
      </c>
      <c r="E1185" s="100" t="e">
        <f t="shared" ca="1" si="218"/>
        <v>#NAME?</v>
      </c>
      <c r="F1185" s="100" t="e">
        <f t="shared" ca="1" si="210"/>
        <v>#NAME?</v>
      </c>
      <c r="G1185" s="100" t="e">
        <f t="shared" ca="1" si="211"/>
        <v>#NAME?</v>
      </c>
      <c r="H1185" s="100" t="e">
        <f t="shared" ca="1" si="212"/>
        <v>#NAME?</v>
      </c>
      <c r="I1185" s="100" t="e">
        <f t="shared" ca="1" si="213"/>
        <v>#NAME?</v>
      </c>
      <c r="J1185" s="100" t="e">
        <f ca="1">IFERROR(__xludf.DUMMYFUNCTION("""COMPUTED_VALUE"""),"0")</f>
        <v>#NAME?</v>
      </c>
      <c r="K1185" s="100" t="e">
        <f t="shared" ca="1" si="214"/>
        <v>#NAME?</v>
      </c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</row>
    <row r="1186" spans="1:26">
      <c r="A1186" s="100" t="e">
        <f ca="1">IFERROR(__xludf.DUMMYFUNCTION("""COMPUTED_VALUE"""),58784521)</f>
        <v>#NAME?</v>
      </c>
      <c r="B1186" s="100" t="e">
        <f ca="1">IFERROR(__xludf.DUMMYFUNCTION("""COMPUTED_VALUE"""),"SKLBTC")</f>
        <v>#NAME?</v>
      </c>
      <c r="C1186" s="100" t="e">
        <f ca="1">IFERROR(__xludf.DUMMYFUNCTION("""COMPUTED_VALUE"""),"0.00000026")</f>
        <v>#NAME?</v>
      </c>
      <c r="D1186" s="100" t="e">
        <f t="shared" ca="1" si="218"/>
        <v>#NAME?</v>
      </c>
      <c r="E1186" s="100" t="e">
        <f t="shared" ca="1" si="218"/>
        <v>#NAME?</v>
      </c>
      <c r="F1186" s="100" t="e">
        <f t="shared" ca="1" si="210"/>
        <v>#NAME?</v>
      </c>
      <c r="G1186" s="100" t="e">
        <f t="shared" ca="1" si="211"/>
        <v>#NAME?</v>
      </c>
      <c r="H1186" s="100" t="e">
        <f t="shared" ca="1" si="212"/>
        <v>#NAME?</v>
      </c>
      <c r="I1186" s="100" t="e">
        <f t="shared" ca="1" si="213"/>
        <v>#NAME?</v>
      </c>
      <c r="J1186" s="100" t="e">
        <f ca="1">IFERROR(__xludf.DUMMYFUNCTION("""COMPUTED_VALUE"""),"-13.333")</f>
        <v>#NAME?</v>
      </c>
      <c r="K1186" s="100" t="e">
        <f t="shared" ca="1" si="214"/>
        <v>#NAME?</v>
      </c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</row>
    <row r="1187" spans="1:26">
      <c r="A1187" s="100" t="e">
        <f ca="1">IFERROR(__xludf.DUMMYFUNCTION("""COMPUTED_VALUE"""),58784522)</f>
        <v>#NAME?</v>
      </c>
      <c r="B1187" s="100" t="e">
        <f ca="1">IFERROR(__xludf.DUMMYFUNCTION("""COMPUTED_VALUE"""),"SKLBUSD")</f>
        <v>#NAME?</v>
      </c>
      <c r="C1187" s="100" t="e">
        <f ca="1">IFERROR(__xludf.DUMMYFUNCTION("""COMPUTED_VALUE"""),"0.02150000")</f>
        <v>#NAME?</v>
      </c>
      <c r="D1187" s="100" t="e">
        <f t="shared" ca="1" si="218"/>
        <v>#NAME?</v>
      </c>
      <c r="E1187" s="100" t="e">
        <f t="shared" ca="1" si="218"/>
        <v>#NAME?</v>
      </c>
      <c r="F1187" s="100" t="e">
        <f t="shared" ca="1" si="210"/>
        <v>#NAME?</v>
      </c>
      <c r="G1187" s="100" t="e">
        <f t="shared" ca="1" si="211"/>
        <v>#NAME?</v>
      </c>
      <c r="H1187" s="100" t="e">
        <f t="shared" ca="1" si="212"/>
        <v>#NAME?</v>
      </c>
      <c r="I1187" s="100" t="e">
        <f t="shared" ca="1" si="213"/>
        <v>#NAME?</v>
      </c>
      <c r="J1187" s="100" t="e">
        <f ca="1">IFERROR(__xludf.DUMMYFUNCTION("""COMPUTED_VALUE"""),"0")</f>
        <v>#NAME?</v>
      </c>
      <c r="K1187" s="100" t="e">
        <f t="shared" ca="1" si="214"/>
        <v>#NAME?</v>
      </c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</row>
    <row r="1188" spans="1:26">
      <c r="A1188" s="100" t="e">
        <f ca="1">IFERROR(__xludf.DUMMYFUNCTION("""COMPUTED_VALUE"""),58784523)</f>
        <v>#NAME?</v>
      </c>
      <c r="B1188" s="100" t="e">
        <f ca="1">IFERROR(__xludf.DUMMYFUNCTION("""COMPUTED_VALUE"""),"SKLUSDT")</f>
        <v>#NAME?</v>
      </c>
      <c r="C1188" s="100" t="e">
        <f ca="1">IFERROR(__xludf.DUMMYFUNCTION("""COMPUTED_VALUE"""),"0.02235000")</f>
        <v>#NAME?</v>
      </c>
      <c r="D1188" s="100" t="e">
        <f t="shared" ca="1" si="218"/>
        <v>#NAME?</v>
      </c>
      <c r="E1188" s="100" t="e">
        <f t="shared" ca="1" si="218"/>
        <v>#NAME?</v>
      </c>
      <c r="F1188" s="100" t="e">
        <f t="shared" ca="1" si="210"/>
        <v>#NAME?</v>
      </c>
      <c r="G1188" s="100" t="e">
        <f t="shared" ca="1" si="211"/>
        <v>#NAME?</v>
      </c>
      <c r="H1188" s="100" t="e">
        <f t="shared" ca="1" si="212"/>
        <v>#NAME?</v>
      </c>
      <c r="I1188" s="100" t="e">
        <f t="shared" ca="1" si="213"/>
        <v>#NAME?</v>
      </c>
      <c r="J1188" s="100" t="e">
        <f ca="1">IFERROR(__xludf.DUMMYFUNCTION("""COMPUTED_VALUE"""),"-14.825")</f>
        <v>#NAME?</v>
      </c>
      <c r="K1188" s="100" t="e">
        <f t="shared" ca="1" si="214"/>
        <v>#NAME?</v>
      </c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</row>
    <row r="1189" spans="1:26">
      <c r="A1189" s="100" t="e">
        <f ca="1">IFERROR(__xludf.DUMMYFUNCTION("""COMPUTED_VALUE"""),58784524)</f>
        <v>#NAME?</v>
      </c>
      <c r="B1189" s="100" t="e">
        <f ca="1">IFERROR(__xludf.DUMMYFUNCTION("""COMPUTED_VALUE"""),"BCHEUR")</f>
        <v>#NAME?</v>
      </c>
      <c r="C1189" s="100" t="e">
        <f ca="1">IFERROR(__xludf.DUMMYFUNCTION("""COMPUTED_VALUE"""),"301.60000000")</f>
        <v>#NAME?</v>
      </c>
      <c r="D1189" s="100" t="e">
        <f t="shared" ca="1" si="218"/>
        <v>#NAME?</v>
      </c>
      <c r="E1189" s="100" t="e">
        <f t="shared" ca="1" si="218"/>
        <v>#NAME?</v>
      </c>
      <c r="F1189" s="100" t="e">
        <f t="shared" ca="1" si="210"/>
        <v>#NAME?</v>
      </c>
      <c r="G1189" s="100" t="e">
        <f t="shared" ca="1" si="211"/>
        <v>#NAME?</v>
      </c>
      <c r="H1189" s="100" t="e">
        <f t="shared" ca="1" si="212"/>
        <v>#NAME?</v>
      </c>
      <c r="I1189" s="100" t="e">
        <f t="shared" ca="1" si="213"/>
        <v>#NAME?</v>
      </c>
      <c r="J1189" s="100" t="e">
        <f ca="1">IFERROR(__xludf.DUMMYFUNCTION("""COMPUTED_VALUE"""),"1.926")</f>
        <v>#NAME?</v>
      </c>
      <c r="K1189" s="100" t="e">
        <f t="shared" ca="1" si="214"/>
        <v>#NAME?</v>
      </c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</row>
    <row r="1190" spans="1:26">
      <c r="A1190" s="100" t="e">
        <f ca="1">IFERROR(__xludf.DUMMYFUNCTION("""COMPUTED_VALUE"""),58784525)</f>
        <v>#NAME?</v>
      </c>
      <c r="B1190" s="100" t="e">
        <f ca="1">IFERROR(__xludf.DUMMYFUNCTION("""COMPUTED_VALUE"""),"YFIEUR")</f>
        <v>#NAME?</v>
      </c>
      <c r="C1190" s="100" t="e">
        <f ca="1">IFERROR(__xludf.DUMMYFUNCTION("""COMPUTED_VALUE"""),"4835.00000000")</f>
        <v>#NAME?</v>
      </c>
      <c r="D1190" s="100" t="e">
        <f t="shared" ca="1" si="218"/>
        <v>#NAME?</v>
      </c>
      <c r="E1190" s="100" t="e">
        <f t="shared" ca="1" si="218"/>
        <v>#NAME?</v>
      </c>
      <c r="F1190" s="100" t="e">
        <f t="shared" ca="1" si="210"/>
        <v>#NAME?</v>
      </c>
      <c r="G1190" s="100" t="e">
        <f t="shared" ca="1" si="211"/>
        <v>#NAME?</v>
      </c>
      <c r="H1190" s="100" t="e">
        <f t="shared" ca="1" si="212"/>
        <v>#NAME?</v>
      </c>
      <c r="I1190" s="100" t="e">
        <f t="shared" ca="1" si="213"/>
        <v>#NAME?</v>
      </c>
      <c r="J1190" s="100" t="e">
        <f t="shared" ref="J1190:J1196" ca="1" si="219">IFERROR(__xludf.DUMMYFUNCTION("""COMPUTED_VALUE"""),"0")</f>
        <v>#NAME?</v>
      </c>
      <c r="K1190" s="100" t="e">
        <f t="shared" ca="1" si="214"/>
        <v>#NAME?</v>
      </c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</row>
    <row r="1191" spans="1:26">
      <c r="A1191" s="100" t="e">
        <f ca="1">IFERROR(__xludf.DUMMYFUNCTION("""COMPUTED_VALUE"""),58784526)</f>
        <v>#NAME?</v>
      </c>
      <c r="B1191" s="100" t="e">
        <f ca="1">IFERROR(__xludf.DUMMYFUNCTION("""COMPUTED_VALUE"""),"ZILBIDR")</f>
        <v>#NAME?</v>
      </c>
      <c r="C1191" s="100" t="e">
        <f ca="1">IFERROR(__xludf.DUMMYFUNCTION("""COMPUTED_VALUE"""),"253.40")</f>
        <v>#NAME?</v>
      </c>
      <c r="D1191" s="100" t="e">
        <f t="shared" ca="1" si="218"/>
        <v>#NAME?</v>
      </c>
      <c r="E1191" s="100" t="e">
        <f t="shared" ca="1" si="218"/>
        <v>#NAME?</v>
      </c>
      <c r="F1191" s="100" t="e">
        <f t="shared" ca="1" si="210"/>
        <v>#NAME?</v>
      </c>
      <c r="G1191" s="100" t="e">
        <f t="shared" ca="1" si="211"/>
        <v>#NAME?</v>
      </c>
      <c r="H1191" s="100" t="e">
        <f t="shared" ca="1" si="212"/>
        <v>#NAME?</v>
      </c>
      <c r="I1191" s="100" t="e">
        <f t="shared" ca="1" si="213"/>
        <v>#NAME?</v>
      </c>
      <c r="J1191" s="100" t="e">
        <f t="shared" ca="1" si="219"/>
        <v>#NAME?</v>
      </c>
      <c r="K1191" s="100" t="e">
        <f t="shared" ca="1" si="214"/>
        <v>#NAME?</v>
      </c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</row>
    <row r="1192" spans="1:26">
      <c r="A1192" s="100" t="e">
        <f ca="1">IFERROR(__xludf.DUMMYFUNCTION("""COMPUTED_VALUE"""),58784527)</f>
        <v>#NAME?</v>
      </c>
      <c r="B1192" s="100" t="e">
        <f ca="1">IFERROR(__xludf.DUMMYFUNCTION("""COMPUTED_VALUE"""),"SUSDBTC")</f>
        <v>#NAME?</v>
      </c>
      <c r="C1192" s="100" t="e">
        <f ca="1">IFERROR(__xludf.DUMMYFUNCTION("""COMPUTED_VALUE"""),"0.00000000")</f>
        <v>#NAME?</v>
      </c>
      <c r="D1192" s="100" t="e">
        <f t="shared" ca="1" si="218"/>
        <v>#NAME?</v>
      </c>
      <c r="E1192" s="100" t="e">
        <f t="shared" ca="1" si="218"/>
        <v>#NAME?</v>
      </c>
      <c r="F1192" s="100" t="e">
        <f t="shared" ca="1" si="210"/>
        <v>#NAME?</v>
      </c>
      <c r="G1192" s="100" t="e">
        <f t="shared" ca="1" si="211"/>
        <v>#NAME?</v>
      </c>
      <c r="H1192" s="100" t="e">
        <f t="shared" ca="1" si="212"/>
        <v>#NAME?</v>
      </c>
      <c r="I1192" s="100" t="e">
        <f t="shared" ca="1" si="213"/>
        <v>#NAME?</v>
      </c>
      <c r="J1192" s="100" t="e">
        <f t="shared" ca="1" si="219"/>
        <v>#NAME?</v>
      </c>
      <c r="K1192" s="100" t="e">
        <f t="shared" ca="1" si="214"/>
        <v>#NAME?</v>
      </c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</row>
    <row r="1193" spans="1:26">
      <c r="A1193" s="100" t="e">
        <f ca="1">IFERROR(__xludf.DUMMYFUNCTION("""COMPUTED_VALUE"""),58784528)</f>
        <v>#NAME?</v>
      </c>
      <c r="B1193" s="100" t="e">
        <f ca="1">IFERROR(__xludf.DUMMYFUNCTION("""COMPUTED_VALUE"""),"SUSDETH")</f>
        <v>#NAME?</v>
      </c>
      <c r="C1193" s="100" t="e">
        <f ca="1">IFERROR(__xludf.DUMMYFUNCTION("""COMPUTED_VALUE"""),"0.00000000")</f>
        <v>#NAME?</v>
      </c>
      <c r="D1193" s="100" t="e">
        <f t="shared" ca="1" si="218"/>
        <v>#NAME?</v>
      </c>
      <c r="E1193" s="100" t="e">
        <f t="shared" ca="1" si="218"/>
        <v>#NAME?</v>
      </c>
      <c r="F1193" s="100" t="e">
        <f t="shared" ca="1" si="210"/>
        <v>#NAME?</v>
      </c>
      <c r="G1193" s="100" t="e">
        <f t="shared" ca="1" si="211"/>
        <v>#NAME?</v>
      </c>
      <c r="H1193" s="100" t="e">
        <f t="shared" ca="1" si="212"/>
        <v>#NAME?</v>
      </c>
      <c r="I1193" s="100" t="e">
        <f t="shared" ca="1" si="213"/>
        <v>#NAME?</v>
      </c>
      <c r="J1193" s="100" t="e">
        <f t="shared" ca="1" si="219"/>
        <v>#NAME?</v>
      </c>
      <c r="K1193" s="100" t="e">
        <f t="shared" ca="1" si="214"/>
        <v>#NAME?</v>
      </c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</row>
    <row r="1194" spans="1:26">
      <c r="A1194" s="100" t="e">
        <f ca="1">IFERROR(__xludf.DUMMYFUNCTION("""COMPUTED_VALUE"""),58784529)</f>
        <v>#NAME?</v>
      </c>
      <c r="B1194" s="100" t="e">
        <f ca="1">IFERROR(__xludf.DUMMYFUNCTION("""COMPUTED_VALUE"""),"SUSDUSDT")</f>
        <v>#NAME?</v>
      </c>
      <c r="C1194" s="100" t="e">
        <f ca="1">IFERROR(__xludf.DUMMYFUNCTION("""COMPUTED_VALUE"""),"0.00000000")</f>
        <v>#NAME?</v>
      </c>
      <c r="D1194" s="100" t="e">
        <f t="shared" ca="1" si="218"/>
        <v>#NAME?</v>
      </c>
      <c r="E1194" s="100" t="e">
        <f t="shared" ca="1" si="218"/>
        <v>#NAME?</v>
      </c>
      <c r="F1194" s="100" t="e">
        <f t="shared" ca="1" si="210"/>
        <v>#NAME?</v>
      </c>
      <c r="G1194" s="100" t="e">
        <f t="shared" ca="1" si="211"/>
        <v>#NAME?</v>
      </c>
      <c r="H1194" s="100" t="e">
        <f t="shared" ca="1" si="212"/>
        <v>#NAME?</v>
      </c>
      <c r="I1194" s="100" t="e">
        <f t="shared" ca="1" si="213"/>
        <v>#NAME?</v>
      </c>
      <c r="J1194" s="100" t="e">
        <f t="shared" ca="1" si="219"/>
        <v>#NAME?</v>
      </c>
      <c r="K1194" s="100" t="e">
        <f t="shared" ca="1" si="214"/>
        <v>#NAME?</v>
      </c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</row>
    <row r="1195" spans="1:26">
      <c r="A1195" s="100" t="e">
        <f ca="1">IFERROR(__xludf.DUMMYFUNCTION("""COMPUTED_VALUE"""),58784530)</f>
        <v>#NAME?</v>
      </c>
      <c r="B1195" s="100" t="e">
        <f ca="1">IFERROR(__xludf.DUMMYFUNCTION("""COMPUTED_VALUE"""),"COVERETH")</f>
        <v>#NAME?</v>
      </c>
      <c r="C1195" s="100" t="e">
        <f ca="1">IFERROR(__xludf.DUMMYFUNCTION("""COMPUTED_VALUE"""),"0.00000000")</f>
        <v>#NAME?</v>
      </c>
      <c r="D1195" s="100" t="e">
        <f t="shared" ca="1" si="218"/>
        <v>#NAME?</v>
      </c>
      <c r="E1195" s="100" t="e">
        <f t="shared" ca="1" si="218"/>
        <v>#NAME?</v>
      </c>
      <c r="F1195" s="100" t="e">
        <f t="shared" ca="1" si="210"/>
        <v>#NAME?</v>
      </c>
      <c r="G1195" s="100" t="e">
        <f t="shared" ca="1" si="211"/>
        <v>#NAME?</v>
      </c>
      <c r="H1195" s="100" t="e">
        <f t="shared" ca="1" si="212"/>
        <v>#NAME?</v>
      </c>
      <c r="I1195" s="100" t="e">
        <f t="shared" ca="1" si="213"/>
        <v>#NAME?</v>
      </c>
      <c r="J1195" s="100" t="e">
        <f t="shared" ca="1" si="219"/>
        <v>#NAME?</v>
      </c>
      <c r="K1195" s="100" t="e">
        <f t="shared" ca="1" si="214"/>
        <v>#NAME?</v>
      </c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</row>
    <row r="1196" spans="1:26">
      <c r="A1196" s="100" t="e">
        <f ca="1">IFERROR(__xludf.DUMMYFUNCTION("""COMPUTED_VALUE"""),58784531)</f>
        <v>#NAME?</v>
      </c>
      <c r="B1196" s="100" t="e">
        <f ca="1">IFERROR(__xludf.DUMMYFUNCTION("""COMPUTED_VALUE"""),"COVERBUSD")</f>
        <v>#NAME?</v>
      </c>
      <c r="C1196" s="100" t="e">
        <f ca="1">IFERROR(__xludf.DUMMYFUNCTION("""COMPUTED_VALUE"""),"0.00000000")</f>
        <v>#NAME?</v>
      </c>
      <c r="D1196" s="100" t="e">
        <f t="shared" ca="1" si="218"/>
        <v>#NAME?</v>
      </c>
      <c r="E1196" s="100" t="e">
        <f t="shared" ca="1" si="218"/>
        <v>#NAME?</v>
      </c>
      <c r="F1196" s="100" t="e">
        <f t="shared" ca="1" si="210"/>
        <v>#NAME?</v>
      </c>
      <c r="G1196" s="100" t="e">
        <f t="shared" ca="1" si="211"/>
        <v>#NAME?</v>
      </c>
      <c r="H1196" s="100" t="e">
        <f t="shared" ca="1" si="212"/>
        <v>#NAME?</v>
      </c>
      <c r="I1196" s="100" t="e">
        <f t="shared" ca="1" si="213"/>
        <v>#NAME?</v>
      </c>
      <c r="J1196" s="100" t="e">
        <f t="shared" ca="1" si="219"/>
        <v>#NAME?</v>
      </c>
      <c r="K1196" s="100" t="e">
        <f t="shared" ca="1" si="214"/>
        <v>#NAME?</v>
      </c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</row>
    <row r="1197" spans="1:26">
      <c r="A1197" s="100" t="e">
        <f ca="1">IFERROR(__xludf.DUMMYFUNCTION("""COMPUTED_VALUE"""),58784532)</f>
        <v>#NAME?</v>
      </c>
      <c r="B1197" s="100" t="e">
        <f ca="1">IFERROR(__xludf.DUMMYFUNCTION("""COMPUTED_VALUE"""),"GLMBTC")</f>
        <v>#NAME?</v>
      </c>
      <c r="C1197" s="100" t="e">
        <f ca="1">IFERROR(__xludf.DUMMYFUNCTION("""COMPUTED_VALUE"""),"0.00000293")</f>
        <v>#NAME?</v>
      </c>
      <c r="D1197" s="100" t="e">
        <f t="shared" ca="1" si="218"/>
        <v>#NAME?</v>
      </c>
      <c r="E1197" s="100" t="e">
        <f t="shared" ca="1" si="218"/>
        <v>#NAME?</v>
      </c>
      <c r="F1197" s="100" t="e">
        <f t="shared" ca="1" si="210"/>
        <v>#NAME?</v>
      </c>
      <c r="G1197" s="100" t="e">
        <f t="shared" ca="1" si="211"/>
        <v>#NAME?</v>
      </c>
      <c r="H1197" s="100" t="e">
        <f t="shared" ca="1" si="212"/>
        <v>#NAME?</v>
      </c>
      <c r="I1197" s="100" t="e">
        <f t="shared" ca="1" si="213"/>
        <v>#NAME?</v>
      </c>
      <c r="J1197" s="100" t="e">
        <f ca="1">IFERROR(__xludf.DUMMYFUNCTION("""COMPUTED_VALUE"""),"-3.934")</f>
        <v>#NAME?</v>
      </c>
      <c r="K1197" s="100" t="e">
        <f t="shared" ca="1" si="214"/>
        <v>#NAME?</v>
      </c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</row>
    <row r="1198" spans="1:26">
      <c r="A1198" s="100" t="e">
        <f ca="1">IFERROR(__xludf.DUMMYFUNCTION("""COMPUTED_VALUE"""),58784533)</f>
        <v>#NAME?</v>
      </c>
      <c r="B1198" s="100" t="e">
        <f ca="1">IFERROR(__xludf.DUMMYFUNCTION("""COMPUTED_VALUE"""),"GLMETH")</f>
        <v>#NAME?</v>
      </c>
      <c r="C1198" s="100" t="e">
        <f ca="1">IFERROR(__xludf.DUMMYFUNCTION("""COMPUTED_VALUE"""),"0.00015020")</f>
        <v>#NAME?</v>
      </c>
      <c r="D1198" s="100" t="e">
        <f t="shared" ca="1" si="218"/>
        <v>#NAME?</v>
      </c>
      <c r="E1198" s="100" t="e">
        <f t="shared" ca="1" si="218"/>
        <v>#NAME?</v>
      </c>
      <c r="F1198" s="100" t="e">
        <f t="shared" ca="1" si="210"/>
        <v>#NAME?</v>
      </c>
      <c r="G1198" s="100" t="e">
        <f t="shared" ca="1" si="211"/>
        <v>#NAME?</v>
      </c>
      <c r="H1198" s="100" t="e">
        <f t="shared" ca="1" si="212"/>
        <v>#NAME?</v>
      </c>
      <c r="I1198" s="100" t="e">
        <f t="shared" ca="1" si="213"/>
        <v>#NAME?</v>
      </c>
      <c r="J1198" s="100" t="e">
        <f t="shared" ref="J1198:J1204" ca="1" si="220">IFERROR(__xludf.DUMMYFUNCTION("""COMPUTED_VALUE"""),"0")</f>
        <v>#NAME?</v>
      </c>
      <c r="K1198" s="100" t="e">
        <f t="shared" ca="1" si="214"/>
        <v>#NAME?</v>
      </c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</row>
    <row r="1199" spans="1:26">
      <c r="A1199" s="100" t="e">
        <f ca="1">IFERROR(__xludf.DUMMYFUNCTION("""COMPUTED_VALUE"""),58784534)</f>
        <v>#NAME?</v>
      </c>
      <c r="B1199" s="100" t="e">
        <f ca="1">IFERROR(__xludf.DUMMYFUNCTION("""COMPUTED_VALUE"""),"GHSTETH")</f>
        <v>#NAME?</v>
      </c>
      <c r="C1199" s="100" t="e">
        <f ca="1">IFERROR(__xludf.DUMMYFUNCTION("""COMPUTED_VALUE"""),"0.00081750")</f>
        <v>#NAME?</v>
      </c>
      <c r="D1199" s="100" t="e">
        <f t="shared" ca="1" si="218"/>
        <v>#NAME?</v>
      </c>
      <c r="E1199" s="100" t="e">
        <f t="shared" ca="1" si="218"/>
        <v>#NAME?</v>
      </c>
      <c r="F1199" s="100" t="e">
        <f t="shared" ca="1" si="210"/>
        <v>#NAME?</v>
      </c>
      <c r="G1199" s="100" t="e">
        <f t="shared" ca="1" si="211"/>
        <v>#NAME?</v>
      </c>
      <c r="H1199" s="100" t="e">
        <f t="shared" ca="1" si="212"/>
        <v>#NAME?</v>
      </c>
      <c r="I1199" s="100" t="e">
        <f t="shared" ca="1" si="213"/>
        <v>#NAME?</v>
      </c>
      <c r="J1199" s="100" t="e">
        <f t="shared" ca="1" si="220"/>
        <v>#NAME?</v>
      </c>
      <c r="K1199" s="100" t="e">
        <f t="shared" ca="1" si="214"/>
        <v>#NAME?</v>
      </c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</row>
    <row r="1200" spans="1:26">
      <c r="A1200" s="100" t="e">
        <f ca="1">IFERROR(__xludf.DUMMYFUNCTION("""COMPUTED_VALUE"""),58784535)</f>
        <v>#NAME?</v>
      </c>
      <c r="B1200" s="100" t="e">
        <f ca="1">IFERROR(__xludf.DUMMYFUNCTION("""COMPUTED_VALUE"""),"GHSTBUSD")</f>
        <v>#NAME?</v>
      </c>
      <c r="C1200" s="100" t="e">
        <f ca="1">IFERROR(__xludf.DUMMYFUNCTION("""COMPUTED_VALUE"""),"0.95700000")</f>
        <v>#NAME?</v>
      </c>
      <c r="D1200" s="100" t="e">
        <f t="shared" ca="1" si="218"/>
        <v>#NAME?</v>
      </c>
      <c r="E1200" s="100" t="e">
        <f t="shared" ca="1" si="218"/>
        <v>#NAME?</v>
      </c>
      <c r="F1200" s="100" t="e">
        <f t="shared" ca="1" si="210"/>
        <v>#NAME?</v>
      </c>
      <c r="G1200" s="100" t="e">
        <f t="shared" ca="1" si="211"/>
        <v>#NAME?</v>
      </c>
      <c r="H1200" s="100" t="e">
        <f t="shared" ca="1" si="212"/>
        <v>#NAME?</v>
      </c>
      <c r="I1200" s="100" t="e">
        <f t="shared" ca="1" si="213"/>
        <v>#NAME?</v>
      </c>
      <c r="J1200" s="100" t="e">
        <f t="shared" ca="1" si="220"/>
        <v>#NAME?</v>
      </c>
      <c r="K1200" s="100" t="e">
        <f t="shared" ca="1" si="214"/>
        <v>#NAME?</v>
      </c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</row>
    <row r="1201" spans="1:26">
      <c r="A1201" s="100" t="e">
        <f ca="1">IFERROR(__xludf.DUMMYFUNCTION("""COMPUTED_VALUE"""),58784536)</f>
        <v>#NAME?</v>
      </c>
      <c r="B1201" s="100" t="e">
        <f ca="1">IFERROR(__xludf.DUMMYFUNCTION("""COMPUTED_VALUE"""),"SUSHIUPUSDT")</f>
        <v>#NAME?</v>
      </c>
      <c r="C1201" s="100" t="e">
        <f ca="1">IFERROR(__xludf.DUMMYFUNCTION("""COMPUTED_VALUE"""),"0.00000000")</f>
        <v>#NAME?</v>
      </c>
      <c r="D1201" s="100" t="e">
        <f t="shared" ca="1" si="218"/>
        <v>#NAME?</v>
      </c>
      <c r="E1201" s="100" t="e">
        <f t="shared" ca="1" si="218"/>
        <v>#NAME?</v>
      </c>
      <c r="F1201" s="100" t="e">
        <f t="shared" ca="1" si="210"/>
        <v>#NAME?</v>
      </c>
      <c r="G1201" s="100" t="e">
        <f t="shared" ca="1" si="211"/>
        <v>#NAME?</v>
      </c>
      <c r="H1201" s="100" t="e">
        <f t="shared" ca="1" si="212"/>
        <v>#NAME?</v>
      </c>
      <c r="I1201" s="100" t="e">
        <f t="shared" ca="1" si="213"/>
        <v>#NAME?</v>
      </c>
      <c r="J1201" s="100" t="e">
        <f t="shared" ca="1" si="220"/>
        <v>#NAME?</v>
      </c>
      <c r="K1201" s="100" t="e">
        <f t="shared" ca="1" si="214"/>
        <v>#NAME?</v>
      </c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</row>
    <row r="1202" spans="1:26">
      <c r="A1202" s="100" t="e">
        <f ca="1">IFERROR(__xludf.DUMMYFUNCTION("""COMPUTED_VALUE"""),58784537)</f>
        <v>#NAME?</v>
      </c>
      <c r="B1202" s="100" t="e">
        <f ca="1">IFERROR(__xludf.DUMMYFUNCTION("""COMPUTED_VALUE"""),"SUSHIDOWNUSDT")</f>
        <v>#NAME?</v>
      </c>
      <c r="C1202" s="100" t="e">
        <f ca="1">IFERROR(__xludf.DUMMYFUNCTION("""COMPUTED_VALUE"""),"0.00000000")</f>
        <v>#NAME?</v>
      </c>
      <c r="D1202" s="100" t="e">
        <f t="shared" ref="D1202:E1221" ca="1" si="221">IFERROR(__xludf.DUMMYFUNCTION("""COMPUTED_VALUE"""),"-")</f>
        <v>#NAME?</v>
      </c>
      <c r="E1202" s="100" t="e">
        <f t="shared" ca="1" si="221"/>
        <v>#NAME?</v>
      </c>
      <c r="F1202" s="100" t="e">
        <f t="shared" ca="1" si="210"/>
        <v>#NAME?</v>
      </c>
      <c r="G1202" s="100" t="e">
        <f t="shared" ca="1" si="211"/>
        <v>#NAME?</v>
      </c>
      <c r="H1202" s="100" t="e">
        <f t="shared" ca="1" si="212"/>
        <v>#NAME?</v>
      </c>
      <c r="I1202" s="100" t="e">
        <f t="shared" ca="1" si="213"/>
        <v>#NAME?</v>
      </c>
      <c r="J1202" s="100" t="e">
        <f t="shared" ca="1" si="220"/>
        <v>#NAME?</v>
      </c>
      <c r="K1202" s="100" t="e">
        <f t="shared" ca="1" si="214"/>
        <v>#NAME?</v>
      </c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</row>
    <row r="1203" spans="1:26">
      <c r="A1203" s="100" t="e">
        <f ca="1">IFERROR(__xludf.DUMMYFUNCTION("""COMPUTED_VALUE"""),58784538)</f>
        <v>#NAME?</v>
      </c>
      <c r="B1203" s="100" t="e">
        <f ca="1">IFERROR(__xludf.DUMMYFUNCTION("""COMPUTED_VALUE"""),"XLMUPUSDT")</f>
        <v>#NAME?</v>
      </c>
      <c r="C1203" s="100" t="e">
        <f ca="1">IFERROR(__xludf.DUMMYFUNCTION("""COMPUTED_VALUE"""),"0.00000000")</f>
        <v>#NAME?</v>
      </c>
      <c r="D1203" s="100" t="e">
        <f t="shared" ca="1" si="221"/>
        <v>#NAME?</v>
      </c>
      <c r="E1203" s="100" t="e">
        <f t="shared" ca="1" si="221"/>
        <v>#NAME?</v>
      </c>
      <c r="F1203" s="100" t="e">
        <f t="shared" ca="1" si="210"/>
        <v>#NAME?</v>
      </c>
      <c r="G1203" s="100" t="e">
        <f t="shared" ca="1" si="211"/>
        <v>#NAME?</v>
      </c>
      <c r="H1203" s="100" t="e">
        <f t="shared" ca="1" si="212"/>
        <v>#NAME?</v>
      </c>
      <c r="I1203" s="100" t="e">
        <f t="shared" ca="1" si="213"/>
        <v>#NAME?</v>
      </c>
      <c r="J1203" s="100" t="e">
        <f t="shared" ca="1" si="220"/>
        <v>#NAME?</v>
      </c>
      <c r="K1203" s="100" t="e">
        <f t="shared" ca="1" si="214"/>
        <v>#NAME?</v>
      </c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</row>
    <row r="1204" spans="1:26">
      <c r="A1204" s="100" t="e">
        <f ca="1">IFERROR(__xludf.DUMMYFUNCTION("""COMPUTED_VALUE"""),58784539)</f>
        <v>#NAME?</v>
      </c>
      <c r="B1204" s="100" t="e">
        <f ca="1">IFERROR(__xludf.DUMMYFUNCTION("""COMPUTED_VALUE"""),"XLMDOWNUSDT")</f>
        <v>#NAME?</v>
      </c>
      <c r="C1204" s="100" t="e">
        <f ca="1">IFERROR(__xludf.DUMMYFUNCTION("""COMPUTED_VALUE"""),"0.00000000")</f>
        <v>#NAME?</v>
      </c>
      <c r="D1204" s="100" t="e">
        <f t="shared" ca="1" si="221"/>
        <v>#NAME?</v>
      </c>
      <c r="E1204" s="100" t="e">
        <f t="shared" ca="1" si="221"/>
        <v>#NAME?</v>
      </c>
      <c r="F1204" s="100" t="e">
        <f t="shared" ca="1" si="210"/>
        <v>#NAME?</v>
      </c>
      <c r="G1204" s="100" t="e">
        <f t="shared" ca="1" si="211"/>
        <v>#NAME?</v>
      </c>
      <c r="H1204" s="100" t="e">
        <f t="shared" ca="1" si="212"/>
        <v>#NAME?</v>
      </c>
      <c r="I1204" s="100" t="e">
        <f t="shared" ca="1" si="213"/>
        <v>#NAME?</v>
      </c>
      <c r="J1204" s="100" t="e">
        <f t="shared" ca="1" si="220"/>
        <v>#NAME?</v>
      </c>
      <c r="K1204" s="100" t="e">
        <f t="shared" ca="1" si="214"/>
        <v>#NAME?</v>
      </c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</row>
    <row r="1205" spans="1:26">
      <c r="A1205" s="100" t="e">
        <f ca="1">IFERROR(__xludf.DUMMYFUNCTION("""COMPUTED_VALUE"""),58784540)</f>
        <v>#NAME?</v>
      </c>
      <c r="B1205" s="100" t="e">
        <f ca="1">IFERROR(__xludf.DUMMYFUNCTION("""COMPUTED_VALUE"""),"LINKBRL")</f>
        <v>#NAME?</v>
      </c>
      <c r="C1205" s="100" t="e">
        <f ca="1">IFERROR(__xludf.DUMMYFUNCTION("""COMPUTED_VALUE"""),"77.93000000")</f>
        <v>#NAME?</v>
      </c>
      <c r="D1205" s="100" t="e">
        <f t="shared" ca="1" si="221"/>
        <v>#NAME?</v>
      </c>
      <c r="E1205" s="100" t="e">
        <f t="shared" ca="1" si="221"/>
        <v>#NAME?</v>
      </c>
      <c r="F1205" s="100" t="e">
        <f t="shared" ca="1" si="210"/>
        <v>#NAME?</v>
      </c>
      <c r="G1205" s="100" t="e">
        <f t="shared" ca="1" si="211"/>
        <v>#NAME?</v>
      </c>
      <c r="H1205" s="100" t="e">
        <f t="shared" ca="1" si="212"/>
        <v>#NAME?</v>
      </c>
      <c r="I1205" s="100" t="e">
        <f t="shared" ca="1" si="213"/>
        <v>#NAME?</v>
      </c>
      <c r="J1205" s="100" t="e">
        <f ca="1">IFERROR(__xludf.DUMMYFUNCTION("""COMPUTED_VALUE"""),"-1.267")</f>
        <v>#NAME?</v>
      </c>
      <c r="K1205" s="100" t="e">
        <f t="shared" ca="1" si="214"/>
        <v>#NAME?</v>
      </c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</row>
    <row r="1206" spans="1:26">
      <c r="A1206" s="100" t="e">
        <f ca="1">IFERROR(__xludf.DUMMYFUNCTION("""COMPUTED_VALUE"""),58784541)</f>
        <v>#NAME?</v>
      </c>
      <c r="B1206" s="100" t="e">
        <f ca="1">IFERROR(__xludf.DUMMYFUNCTION("""COMPUTED_VALUE"""),"LINKNGN")</f>
        <v>#NAME?</v>
      </c>
      <c r="C1206" s="100" t="e">
        <f ca="1">IFERROR(__xludf.DUMMYFUNCTION("""COMPUTED_VALUE"""),"0.00000000")</f>
        <v>#NAME?</v>
      </c>
      <c r="D1206" s="100" t="e">
        <f t="shared" ca="1" si="221"/>
        <v>#NAME?</v>
      </c>
      <c r="E1206" s="100" t="e">
        <f t="shared" ca="1" si="221"/>
        <v>#NAME?</v>
      </c>
      <c r="F1206" s="100" t="e">
        <f t="shared" ca="1" si="210"/>
        <v>#NAME?</v>
      </c>
      <c r="G1206" s="100" t="e">
        <f t="shared" ca="1" si="211"/>
        <v>#NAME?</v>
      </c>
      <c r="H1206" s="100" t="e">
        <f t="shared" ca="1" si="212"/>
        <v>#NAME?</v>
      </c>
      <c r="I1206" s="100" t="e">
        <f t="shared" ca="1" si="213"/>
        <v>#NAME?</v>
      </c>
      <c r="J1206" s="100" t="e">
        <f ca="1">IFERROR(__xludf.DUMMYFUNCTION("""COMPUTED_VALUE"""),"0")</f>
        <v>#NAME?</v>
      </c>
      <c r="K1206" s="100" t="e">
        <f t="shared" ca="1" si="214"/>
        <v>#NAME?</v>
      </c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</row>
    <row r="1207" spans="1:26">
      <c r="A1207" s="100" t="e">
        <f ca="1">IFERROR(__xludf.DUMMYFUNCTION("""COMPUTED_VALUE"""),58784542)</f>
        <v>#NAME?</v>
      </c>
      <c r="B1207" s="100" t="e">
        <f ca="1">IFERROR(__xludf.DUMMYFUNCTION("""COMPUTED_VALUE"""),"LTCRUB")</f>
        <v>#NAME?</v>
      </c>
      <c r="C1207" s="100" t="e">
        <f ca="1">IFERROR(__xludf.DUMMYFUNCTION("""COMPUTED_VALUE"""),"6383.10000000")</f>
        <v>#NAME?</v>
      </c>
      <c r="D1207" s="100" t="e">
        <f t="shared" ca="1" si="221"/>
        <v>#NAME?</v>
      </c>
      <c r="E1207" s="100" t="e">
        <f t="shared" ca="1" si="221"/>
        <v>#NAME?</v>
      </c>
      <c r="F1207" s="100" t="e">
        <f t="shared" ca="1" si="210"/>
        <v>#NAME?</v>
      </c>
      <c r="G1207" s="100" t="e">
        <f t="shared" ca="1" si="211"/>
        <v>#NAME?</v>
      </c>
      <c r="H1207" s="100" t="e">
        <f t="shared" ca="1" si="212"/>
        <v>#NAME?</v>
      </c>
      <c r="I1207" s="100" t="e">
        <f t="shared" ca="1" si="213"/>
        <v>#NAME?</v>
      </c>
      <c r="J1207" s="100" t="e">
        <f ca="1">IFERROR(__xludf.DUMMYFUNCTION("""COMPUTED_VALUE"""),"0")</f>
        <v>#NAME?</v>
      </c>
      <c r="K1207" s="100" t="e">
        <f t="shared" ca="1" si="214"/>
        <v>#NAME?</v>
      </c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</row>
    <row r="1208" spans="1:26">
      <c r="A1208" s="100" t="e">
        <f ca="1">IFERROR(__xludf.DUMMYFUNCTION("""COMPUTED_VALUE"""),58784543)</f>
        <v>#NAME?</v>
      </c>
      <c r="B1208" s="100" t="e">
        <f ca="1">IFERROR(__xludf.DUMMYFUNCTION("""COMPUTED_VALUE"""),"TRXTRY")</f>
        <v>#NAME?</v>
      </c>
      <c r="C1208" s="100" t="e">
        <f ca="1">IFERROR(__xludf.DUMMYFUNCTION("""COMPUTED_VALUE"""),"9.48100000")</f>
        <v>#NAME?</v>
      </c>
      <c r="D1208" s="100" t="e">
        <f t="shared" ca="1" si="221"/>
        <v>#NAME?</v>
      </c>
      <c r="E1208" s="100" t="e">
        <f t="shared" ca="1" si="221"/>
        <v>#NAME?</v>
      </c>
      <c r="F1208" s="100" t="e">
        <f t="shared" ca="1" si="210"/>
        <v>#NAME?</v>
      </c>
      <c r="G1208" s="100" t="e">
        <f t="shared" ca="1" si="211"/>
        <v>#NAME?</v>
      </c>
      <c r="H1208" s="100" t="e">
        <f t="shared" ca="1" si="212"/>
        <v>#NAME?</v>
      </c>
      <c r="I1208" s="100" t="e">
        <f t="shared" ca="1" si="213"/>
        <v>#NAME?</v>
      </c>
      <c r="J1208" s="100" t="e">
        <f ca="1">IFERROR(__xludf.DUMMYFUNCTION("""COMPUTED_VALUE"""),"1.913")</f>
        <v>#NAME?</v>
      </c>
      <c r="K1208" s="100" t="e">
        <f t="shared" ca="1" si="214"/>
        <v>#NAME?</v>
      </c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</row>
    <row r="1209" spans="1:26">
      <c r="A1209" s="100" t="e">
        <f ca="1">IFERROR(__xludf.DUMMYFUNCTION("""COMPUTED_VALUE"""),58784544)</f>
        <v>#NAME?</v>
      </c>
      <c r="B1209" s="100" t="e">
        <f ca="1">IFERROR(__xludf.DUMMYFUNCTION("""COMPUTED_VALUE"""),"XLMEUR")</f>
        <v>#NAME?</v>
      </c>
      <c r="C1209" s="100" t="e">
        <f ca="1">IFERROR(__xludf.DUMMYFUNCTION("""COMPUTED_VALUE"""),"0.21520000")</f>
        <v>#NAME?</v>
      </c>
      <c r="D1209" s="100" t="e">
        <f t="shared" ca="1" si="221"/>
        <v>#NAME?</v>
      </c>
      <c r="E1209" s="100" t="e">
        <f t="shared" ca="1" si="221"/>
        <v>#NAME?</v>
      </c>
      <c r="F1209" s="100" t="e">
        <f t="shared" ca="1" si="210"/>
        <v>#NAME?</v>
      </c>
      <c r="G1209" s="100" t="e">
        <f t="shared" ca="1" si="211"/>
        <v>#NAME?</v>
      </c>
      <c r="H1209" s="100" t="e">
        <f t="shared" ca="1" si="212"/>
        <v>#NAME?</v>
      </c>
      <c r="I1209" s="100" t="e">
        <f t="shared" ca="1" si="213"/>
        <v>#NAME?</v>
      </c>
      <c r="J1209" s="100" t="e">
        <f ca="1">IFERROR(__xludf.DUMMYFUNCTION("""COMPUTED_VALUE"""),"-4.100")</f>
        <v>#NAME?</v>
      </c>
      <c r="K1209" s="100" t="e">
        <f t="shared" ca="1" si="214"/>
        <v>#NAME?</v>
      </c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</row>
    <row r="1210" spans="1:26">
      <c r="A1210" s="100" t="e">
        <f ca="1">IFERROR(__xludf.DUMMYFUNCTION("""COMPUTED_VALUE"""),58784545)</f>
        <v>#NAME?</v>
      </c>
      <c r="B1210" s="100" t="e">
        <f ca="1">IFERROR(__xludf.DUMMYFUNCTION("""COMPUTED_VALUE"""),"DFETH")</f>
        <v>#NAME?</v>
      </c>
      <c r="C1210" s="100" t="e">
        <f ca="1">IFERROR(__xludf.DUMMYFUNCTION("""COMPUTED_VALUE"""),"0.00000000")</f>
        <v>#NAME?</v>
      </c>
      <c r="D1210" s="100" t="e">
        <f t="shared" ca="1" si="221"/>
        <v>#NAME?</v>
      </c>
      <c r="E1210" s="100" t="e">
        <f t="shared" ca="1" si="221"/>
        <v>#NAME?</v>
      </c>
      <c r="F1210" s="100" t="e">
        <f t="shared" ca="1" si="210"/>
        <v>#NAME?</v>
      </c>
      <c r="G1210" s="100" t="e">
        <f t="shared" ca="1" si="211"/>
        <v>#NAME?</v>
      </c>
      <c r="H1210" s="100" t="e">
        <f t="shared" ca="1" si="212"/>
        <v>#NAME?</v>
      </c>
      <c r="I1210" s="100" t="e">
        <f t="shared" ca="1" si="213"/>
        <v>#NAME?</v>
      </c>
      <c r="J1210" s="100" t="e">
        <f ca="1">IFERROR(__xludf.DUMMYFUNCTION("""COMPUTED_VALUE"""),"0")</f>
        <v>#NAME?</v>
      </c>
      <c r="K1210" s="100" t="e">
        <f t="shared" ca="1" si="214"/>
        <v>#NAME?</v>
      </c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</row>
    <row r="1211" spans="1:26">
      <c r="A1211" s="100" t="e">
        <f ca="1">IFERROR(__xludf.DUMMYFUNCTION("""COMPUTED_VALUE"""),58784546)</f>
        <v>#NAME?</v>
      </c>
      <c r="B1211" s="100" t="e">
        <f ca="1">IFERROR(__xludf.DUMMYFUNCTION("""COMPUTED_VALUE"""),"DFBUSD")</f>
        <v>#NAME?</v>
      </c>
      <c r="C1211" s="100" t="e">
        <f ca="1">IFERROR(__xludf.DUMMYFUNCTION("""COMPUTED_VALUE"""),"0.03600000")</f>
        <v>#NAME?</v>
      </c>
      <c r="D1211" s="100" t="e">
        <f t="shared" ca="1" si="221"/>
        <v>#NAME?</v>
      </c>
      <c r="E1211" s="100" t="e">
        <f t="shared" ca="1" si="221"/>
        <v>#NAME?</v>
      </c>
      <c r="F1211" s="100" t="e">
        <f t="shared" ca="1" si="210"/>
        <v>#NAME?</v>
      </c>
      <c r="G1211" s="100" t="e">
        <f t="shared" ca="1" si="211"/>
        <v>#NAME?</v>
      </c>
      <c r="H1211" s="100" t="e">
        <f t="shared" ca="1" si="212"/>
        <v>#NAME?</v>
      </c>
      <c r="I1211" s="100" t="e">
        <f t="shared" ca="1" si="213"/>
        <v>#NAME?</v>
      </c>
      <c r="J1211" s="100" t="e">
        <f ca="1">IFERROR(__xludf.DUMMYFUNCTION("""COMPUTED_VALUE"""),"0")</f>
        <v>#NAME?</v>
      </c>
      <c r="K1211" s="100" t="e">
        <f t="shared" ca="1" si="214"/>
        <v>#NAME?</v>
      </c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</row>
    <row r="1212" spans="1:26">
      <c r="A1212" s="100" t="e">
        <f ca="1">IFERROR(__xludf.DUMMYFUNCTION("""COMPUTED_VALUE"""),58784547)</f>
        <v>#NAME?</v>
      </c>
      <c r="B1212" s="100" t="e">
        <f ca="1">IFERROR(__xludf.DUMMYFUNCTION("""COMPUTED_VALUE"""),"GRTBTC")</f>
        <v>#NAME?</v>
      </c>
      <c r="C1212" s="100" t="e">
        <f ca="1">IFERROR(__xludf.DUMMYFUNCTION("""COMPUTED_VALUE"""),"0.00000095")</f>
        <v>#NAME?</v>
      </c>
      <c r="D1212" s="100" t="e">
        <f t="shared" ca="1" si="221"/>
        <v>#NAME?</v>
      </c>
      <c r="E1212" s="100" t="e">
        <f t="shared" ca="1" si="221"/>
        <v>#NAME?</v>
      </c>
      <c r="F1212" s="100" t="e">
        <f t="shared" ca="1" si="210"/>
        <v>#NAME?</v>
      </c>
      <c r="G1212" s="100" t="e">
        <f t="shared" ca="1" si="211"/>
        <v>#NAME?</v>
      </c>
      <c r="H1212" s="100" t="e">
        <f t="shared" ca="1" si="212"/>
        <v>#NAME?</v>
      </c>
      <c r="I1212" s="100" t="e">
        <f t="shared" ca="1" si="213"/>
        <v>#NAME?</v>
      </c>
      <c r="J1212" s="100" t="e">
        <f ca="1">IFERROR(__xludf.DUMMYFUNCTION("""COMPUTED_VALUE"""),"-3.061")</f>
        <v>#NAME?</v>
      </c>
      <c r="K1212" s="100" t="e">
        <f t="shared" ca="1" si="214"/>
        <v>#NAME?</v>
      </c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</row>
    <row r="1213" spans="1:26">
      <c r="A1213" s="100" t="e">
        <f ca="1">IFERROR(__xludf.DUMMYFUNCTION("""COMPUTED_VALUE"""),58784548)</f>
        <v>#NAME?</v>
      </c>
      <c r="B1213" s="100" t="e">
        <f ca="1">IFERROR(__xludf.DUMMYFUNCTION("""COMPUTED_VALUE"""),"GRTETH")</f>
        <v>#NAME?</v>
      </c>
      <c r="C1213" s="100" t="e">
        <f ca="1">IFERROR(__xludf.DUMMYFUNCTION("""COMPUTED_VALUE"""),"0.00005165")</f>
        <v>#NAME?</v>
      </c>
      <c r="D1213" s="100" t="e">
        <f t="shared" ca="1" si="221"/>
        <v>#NAME?</v>
      </c>
      <c r="E1213" s="100" t="e">
        <f t="shared" ca="1" si="221"/>
        <v>#NAME?</v>
      </c>
      <c r="F1213" s="100" t="e">
        <f t="shared" ca="1" si="210"/>
        <v>#NAME?</v>
      </c>
      <c r="G1213" s="100" t="e">
        <f t="shared" ca="1" si="211"/>
        <v>#NAME?</v>
      </c>
      <c r="H1213" s="100" t="e">
        <f t="shared" ca="1" si="212"/>
        <v>#NAME?</v>
      </c>
      <c r="I1213" s="100" t="e">
        <f t="shared" ca="1" si="213"/>
        <v>#NAME?</v>
      </c>
      <c r="J1213" s="100" t="e">
        <f ca="1">IFERROR(__xludf.DUMMYFUNCTION("""COMPUTED_VALUE"""),"-1.394")</f>
        <v>#NAME?</v>
      </c>
      <c r="K1213" s="100" t="e">
        <f t="shared" ca="1" si="214"/>
        <v>#NAME?</v>
      </c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</row>
    <row r="1214" spans="1:26">
      <c r="A1214" s="100" t="e">
        <f ca="1">IFERROR(__xludf.DUMMYFUNCTION("""COMPUTED_VALUE"""),58784549)</f>
        <v>#NAME?</v>
      </c>
      <c r="B1214" s="100" t="e">
        <f ca="1">IFERROR(__xludf.DUMMYFUNCTION("""COMPUTED_VALUE"""),"GRTUSDT")</f>
        <v>#NAME?</v>
      </c>
      <c r="C1214" s="100" t="e">
        <f ca="1">IFERROR(__xludf.DUMMYFUNCTION("""COMPUTED_VALUE"""),"0.08370000")</f>
        <v>#NAME?</v>
      </c>
      <c r="D1214" s="100" t="e">
        <f t="shared" ca="1" si="221"/>
        <v>#NAME?</v>
      </c>
      <c r="E1214" s="100" t="e">
        <f t="shared" ca="1" si="221"/>
        <v>#NAME?</v>
      </c>
      <c r="F1214" s="100" t="e">
        <f t="shared" ca="1" si="210"/>
        <v>#NAME?</v>
      </c>
      <c r="G1214" s="100" t="e">
        <f t="shared" ca="1" si="211"/>
        <v>#NAME?</v>
      </c>
      <c r="H1214" s="100" t="e">
        <f t="shared" ca="1" si="212"/>
        <v>#NAME?</v>
      </c>
      <c r="I1214" s="100" t="e">
        <f t="shared" ca="1" si="213"/>
        <v>#NAME?</v>
      </c>
      <c r="J1214" s="100" t="e">
        <f ca="1">IFERROR(__xludf.DUMMYFUNCTION("""COMPUTED_VALUE"""),"-1.876")</f>
        <v>#NAME?</v>
      </c>
      <c r="K1214" s="100" t="e">
        <f t="shared" ca="1" si="214"/>
        <v>#NAME?</v>
      </c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</row>
    <row r="1215" spans="1:26">
      <c r="A1215" s="100" t="e">
        <f ca="1">IFERROR(__xludf.DUMMYFUNCTION("""COMPUTED_VALUE"""),58784550)</f>
        <v>#NAME?</v>
      </c>
      <c r="B1215" s="100" t="e">
        <f ca="1">IFERROR(__xludf.DUMMYFUNCTION("""COMPUTED_VALUE"""),"JUVBTC")</f>
        <v>#NAME?</v>
      </c>
      <c r="C1215" s="100" t="e">
        <f ca="1">IFERROR(__xludf.DUMMYFUNCTION("""COMPUTED_VALUE"""),"0.00013770")</f>
        <v>#NAME?</v>
      </c>
      <c r="D1215" s="100" t="e">
        <f t="shared" ca="1" si="221"/>
        <v>#NAME?</v>
      </c>
      <c r="E1215" s="100" t="e">
        <f t="shared" ca="1" si="221"/>
        <v>#NAME?</v>
      </c>
      <c r="F1215" s="100" t="e">
        <f t="shared" ca="1" si="210"/>
        <v>#NAME?</v>
      </c>
      <c r="G1215" s="100" t="e">
        <f t="shared" ca="1" si="211"/>
        <v>#NAME?</v>
      </c>
      <c r="H1215" s="100" t="e">
        <f t="shared" ca="1" si="212"/>
        <v>#NAME?</v>
      </c>
      <c r="I1215" s="100" t="e">
        <f t="shared" ca="1" si="213"/>
        <v>#NAME?</v>
      </c>
      <c r="J1215" s="100" t="e">
        <f ca="1">IFERROR(__xludf.DUMMYFUNCTION("""COMPUTED_VALUE"""),"0")</f>
        <v>#NAME?</v>
      </c>
      <c r="K1215" s="100" t="e">
        <f t="shared" ca="1" si="214"/>
        <v>#NAME?</v>
      </c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</row>
    <row r="1216" spans="1:26">
      <c r="A1216" s="100" t="e">
        <f ca="1">IFERROR(__xludf.DUMMYFUNCTION("""COMPUTED_VALUE"""),58784551)</f>
        <v>#NAME?</v>
      </c>
      <c r="B1216" s="100" t="e">
        <f ca="1">IFERROR(__xludf.DUMMYFUNCTION("""COMPUTED_VALUE"""),"JUVBUSD")</f>
        <v>#NAME?</v>
      </c>
      <c r="C1216" s="100" t="e">
        <f ca="1">IFERROR(__xludf.DUMMYFUNCTION("""COMPUTED_VALUE"""),"2.06500000")</f>
        <v>#NAME?</v>
      </c>
      <c r="D1216" s="100" t="e">
        <f t="shared" ca="1" si="221"/>
        <v>#NAME?</v>
      </c>
      <c r="E1216" s="100" t="e">
        <f t="shared" ca="1" si="221"/>
        <v>#NAME?</v>
      </c>
      <c r="F1216" s="100" t="e">
        <f t="shared" ca="1" si="210"/>
        <v>#NAME?</v>
      </c>
      <c r="G1216" s="100" t="e">
        <f t="shared" ca="1" si="211"/>
        <v>#NAME?</v>
      </c>
      <c r="H1216" s="100" t="e">
        <f t="shared" ca="1" si="212"/>
        <v>#NAME?</v>
      </c>
      <c r="I1216" s="100" t="e">
        <f t="shared" ca="1" si="213"/>
        <v>#NAME?</v>
      </c>
      <c r="J1216" s="100" t="e">
        <f ca="1">IFERROR(__xludf.DUMMYFUNCTION("""COMPUTED_VALUE"""),"0")</f>
        <v>#NAME?</v>
      </c>
      <c r="K1216" s="100" t="e">
        <f t="shared" ca="1" si="214"/>
        <v>#NAME?</v>
      </c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</row>
    <row r="1217" spans="1:26">
      <c r="A1217" s="100" t="e">
        <f ca="1">IFERROR(__xludf.DUMMYFUNCTION("""COMPUTED_VALUE"""),58784552)</f>
        <v>#NAME?</v>
      </c>
      <c r="B1217" s="100" t="e">
        <f ca="1">IFERROR(__xludf.DUMMYFUNCTION("""COMPUTED_VALUE"""),"JUVUSDT")</f>
        <v>#NAME?</v>
      </c>
      <c r="C1217" s="100" t="e">
        <f ca="1">IFERROR(__xludf.DUMMYFUNCTION("""COMPUTED_VALUE"""),"0.98600000")</f>
        <v>#NAME?</v>
      </c>
      <c r="D1217" s="100" t="e">
        <f t="shared" ca="1" si="221"/>
        <v>#NAME?</v>
      </c>
      <c r="E1217" s="100" t="e">
        <f t="shared" ca="1" si="221"/>
        <v>#NAME?</v>
      </c>
      <c r="F1217" s="100" t="e">
        <f t="shared" ca="1" si="210"/>
        <v>#NAME?</v>
      </c>
      <c r="G1217" s="100" t="e">
        <f t="shared" ca="1" si="211"/>
        <v>#NAME?</v>
      </c>
      <c r="H1217" s="100" t="e">
        <f t="shared" ca="1" si="212"/>
        <v>#NAME?</v>
      </c>
      <c r="I1217" s="100" t="e">
        <f t="shared" ca="1" si="213"/>
        <v>#NAME?</v>
      </c>
      <c r="J1217" s="100" t="e">
        <f ca="1">IFERROR(__xludf.DUMMYFUNCTION("""COMPUTED_VALUE"""),"0.715")</f>
        <v>#NAME?</v>
      </c>
      <c r="K1217" s="100" t="e">
        <f t="shared" ca="1" si="214"/>
        <v>#NAME?</v>
      </c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</row>
    <row r="1218" spans="1:26">
      <c r="A1218" s="100" t="e">
        <f ca="1">IFERROR(__xludf.DUMMYFUNCTION("""COMPUTED_VALUE"""),58784553)</f>
        <v>#NAME?</v>
      </c>
      <c r="B1218" s="100" t="e">
        <f ca="1">IFERROR(__xludf.DUMMYFUNCTION("""COMPUTED_VALUE"""),"PSGBTC")</f>
        <v>#NAME?</v>
      </c>
      <c r="C1218" s="100" t="e">
        <f ca="1">IFERROR(__xludf.DUMMYFUNCTION("""COMPUTED_VALUE"""),"0.00006930")</f>
        <v>#NAME?</v>
      </c>
      <c r="D1218" s="100" t="e">
        <f t="shared" ca="1" si="221"/>
        <v>#NAME?</v>
      </c>
      <c r="E1218" s="100" t="e">
        <f t="shared" ca="1" si="221"/>
        <v>#NAME?</v>
      </c>
      <c r="F1218" s="100" t="e">
        <f t="shared" ref="F1218:F1281" ca="1" si="222">IFERROR(__xludf.DUMMYFUNCTION("""COMPUTED_VALUE"""),20200)</f>
        <v>#NAME?</v>
      </c>
      <c r="G1218" s="100" t="e">
        <f t="shared" ref="G1218:G1281" ca="1" si="223">IFERROR(__xludf.DUMMYFUNCTION("""COMPUTED_VALUE"""),2885)</f>
        <v>#NAME?</v>
      </c>
      <c r="H1218" s="100" t="e">
        <f t="shared" ref="H1218:H1281" ca="1" si="224">IFERROR(__xludf.DUMMYFUNCTION("""COMPUTED_VALUE"""),663)</f>
        <v>#NAME?</v>
      </c>
      <c r="I1218" s="100" t="e">
        <f t="shared" ref="I1218:I1281" ca="1" si="225">IFERROR(__xludf.DUMMYFUNCTION("""COMPUTED_VALUE"""),5817721)</f>
        <v>#NAME?</v>
      </c>
      <c r="J1218" s="100" t="e">
        <f ca="1">IFERROR(__xludf.DUMMYFUNCTION("""COMPUTED_VALUE"""),"0")</f>
        <v>#NAME?</v>
      </c>
      <c r="K1218" s="100" t="e">
        <f t="shared" ref="K1218:K1281" ca="1" si="226">IFERROR(__xludf.DUMMYFUNCTION("""COMPUTED_VALUE"""),"22.04.2025 13:05:01")</f>
        <v>#NAME?</v>
      </c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</row>
    <row r="1219" spans="1:26">
      <c r="A1219" s="100" t="e">
        <f ca="1">IFERROR(__xludf.DUMMYFUNCTION("""COMPUTED_VALUE"""),58784554)</f>
        <v>#NAME?</v>
      </c>
      <c r="B1219" s="100" t="e">
        <f ca="1">IFERROR(__xludf.DUMMYFUNCTION("""COMPUTED_VALUE"""),"PSGBUSD")</f>
        <v>#NAME?</v>
      </c>
      <c r="C1219" s="100" t="e">
        <f ca="1">IFERROR(__xludf.DUMMYFUNCTION("""COMPUTED_VALUE"""),"3.01900000")</f>
        <v>#NAME?</v>
      </c>
      <c r="D1219" s="100" t="e">
        <f t="shared" ca="1" si="221"/>
        <v>#NAME?</v>
      </c>
      <c r="E1219" s="100" t="e">
        <f t="shared" ca="1" si="221"/>
        <v>#NAME?</v>
      </c>
      <c r="F1219" s="100" t="e">
        <f t="shared" ca="1" si="222"/>
        <v>#NAME?</v>
      </c>
      <c r="G1219" s="100" t="e">
        <f t="shared" ca="1" si="223"/>
        <v>#NAME?</v>
      </c>
      <c r="H1219" s="100" t="e">
        <f t="shared" ca="1" si="224"/>
        <v>#NAME?</v>
      </c>
      <c r="I1219" s="100" t="e">
        <f t="shared" ca="1" si="225"/>
        <v>#NAME?</v>
      </c>
      <c r="J1219" s="100" t="e">
        <f ca="1">IFERROR(__xludf.DUMMYFUNCTION("""COMPUTED_VALUE"""),"0")</f>
        <v>#NAME?</v>
      </c>
      <c r="K1219" s="100" t="e">
        <f t="shared" ca="1" si="226"/>
        <v>#NAME?</v>
      </c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</row>
    <row r="1220" spans="1:26">
      <c r="A1220" s="100" t="e">
        <f ca="1">IFERROR(__xludf.DUMMYFUNCTION("""COMPUTED_VALUE"""),58784555)</f>
        <v>#NAME?</v>
      </c>
      <c r="B1220" s="100" t="e">
        <f ca="1">IFERROR(__xludf.DUMMYFUNCTION("""COMPUTED_VALUE"""),"PSGUSDT")</f>
        <v>#NAME?</v>
      </c>
      <c r="C1220" s="100" t="e">
        <f ca="1">IFERROR(__xludf.DUMMYFUNCTION("""COMPUTED_VALUE"""),"1.99800000")</f>
        <v>#NAME?</v>
      </c>
      <c r="D1220" s="100" t="e">
        <f t="shared" ca="1" si="221"/>
        <v>#NAME?</v>
      </c>
      <c r="E1220" s="100" t="e">
        <f t="shared" ca="1" si="221"/>
        <v>#NAME?</v>
      </c>
      <c r="F1220" s="100" t="e">
        <f t="shared" ca="1" si="222"/>
        <v>#NAME?</v>
      </c>
      <c r="G1220" s="100" t="e">
        <f t="shared" ca="1" si="223"/>
        <v>#NAME?</v>
      </c>
      <c r="H1220" s="100" t="e">
        <f t="shared" ca="1" si="224"/>
        <v>#NAME?</v>
      </c>
      <c r="I1220" s="100" t="e">
        <f t="shared" ca="1" si="225"/>
        <v>#NAME?</v>
      </c>
      <c r="J1220" s="100" t="e">
        <f ca="1">IFERROR(__xludf.DUMMYFUNCTION("""COMPUTED_VALUE"""),"3.900")</f>
        <v>#NAME?</v>
      </c>
      <c r="K1220" s="100" t="e">
        <f t="shared" ca="1" si="226"/>
        <v>#NAME?</v>
      </c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</row>
    <row r="1221" spans="1:26">
      <c r="A1221" s="100" t="e">
        <f ca="1">IFERROR(__xludf.DUMMYFUNCTION("""COMPUTED_VALUE"""),58784556)</f>
        <v>#NAME?</v>
      </c>
      <c r="B1221" s="100" t="e">
        <f ca="1">IFERROR(__xludf.DUMMYFUNCTION("""COMPUTED_VALUE"""),"BUSDBVND")</f>
        <v>#NAME?</v>
      </c>
      <c r="C1221" s="100" t="e">
        <f ca="1">IFERROR(__xludf.DUMMYFUNCTION("""COMPUTED_VALUE"""),"0.00")</f>
        <v>#NAME?</v>
      </c>
      <c r="D1221" s="100" t="e">
        <f t="shared" ca="1" si="221"/>
        <v>#NAME?</v>
      </c>
      <c r="E1221" s="100" t="e">
        <f t="shared" ca="1" si="221"/>
        <v>#NAME?</v>
      </c>
      <c r="F1221" s="100" t="e">
        <f t="shared" ca="1" si="222"/>
        <v>#NAME?</v>
      </c>
      <c r="G1221" s="100" t="e">
        <f t="shared" ca="1" si="223"/>
        <v>#NAME?</v>
      </c>
      <c r="H1221" s="100" t="e">
        <f t="shared" ca="1" si="224"/>
        <v>#NAME?</v>
      </c>
      <c r="I1221" s="100" t="e">
        <f t="shared" ca="1" si="225"/>
        <v>#NAME?</v>
      </c>
      <c r="J1221" s="100" t="e">
        <f ca="1">IFERROR(__xludf.DUMMYFUNCTION("""COMPUTED_VALUE"""),"0")</f>
        <v>#NAME?</v>
      </c>
      <c r="K1221" s="100" t="e">
        <f t="shared" ca="1" si="226"/>
        <v>#NAME?</v>
      </c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</row>
    <row r="1222" spans="1:26">
      <c r="A1222" s="100" t="e">
        <f ca="1">IFERROR(__xludf.DUMMYFUNCTION("""COMPUTED_VALUE"""),58784557)</f>
        <v>#NAME?</v>
      </c>
      <c r="B1222" s="100" t="e">
        <f ca="1">IFERROR(__xludf.DUMMYFUNCTION("""COMPUTED_VALUE"""),"USDTBVND")</f>
        <v>#NAME?</v>
      </c>
      <c r="C1222" s="100" t="e">
        <f ca="1">IFERROR(__xludf.DUMMYFUNCTION("""COMPUTED_VALUE"""),"0.00")</f>
        <v>#NAME?</v>
      </c>
      <c r="D1222" s="100" t="e">
        <f t="shared" ref="D1222:E1241" ca="1" si="227">IFERROR(__xludf.DUMMYFUNCTION("""COMPUTED_VALUE"""),"-")</f>
        <v>#NAME?</v>
      </c>
      <c r="E1222" s="100" t="e">
        <f t="shared" ca="1" si="227"/>
        <v>#NAME?</v>
      </c>
      <c r="F1222" s="100" t="e">
        <f t="shared" ca="1" si="222"/>
        <v>#NAME?</v>
      </c>
      <c r="G1222" s="100" t="e">
        <f t="shared" ca="1" si="223"/>
        <v>#NAME?</v>
      </c>
      <c r="H1222" s="100" t="e">
        <f t="shared" ca="1" si="224"/>
        <v>#NAME?</v>
      </c>
      <c r="I1222" s="100" t="e">
        <f t="shared" ca="1" si="225"/>
        <v>#NAME?</v>
      </c>
      <c r="J1222" s="100" t="e">
        <f ca="1">IFERROR(__xludf.DUMMYFUNCTION("""COMPUTED_VALUE"""),"0")</f>
        <v>#NAME?</v>
      </c>
      <c r="K1222" s="100" t="e">
        <f t="shared" ca="1" si="226"/>
        <v>#NAME?</v>
      </c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</row>
    <row r="1223" spans="1:26">
      <c r="A1223" s="100" t="e">
        <f ca="1">IFERROR(__xludf.DUMMYFUNCTION("""COMPUTED_VALUE"""),58784558)</f>
        <v>#NAME?</v>
      </c>
      <c r="B1223" s="100" t="e">
        <f ca="1">IFERROR(__xludf.DUMMYFUNCTION("""COMPUTED_VALUE"""),"1INCHBTC")</f>
        <v>#NAME?</v>
      </c>
      <c r="C1223" s="100" t="e">
        <f ca="1">IFERROR(__xludf.DUMMYFUNCTION("""COMPUTED_VALUE"""),"0.00000197")</f>
        <v>#NAME?</v>
      </c>
      <c r="D1223" s="100" t="e">
        <f t="shared" ca="1" si="227"/>
        <v>#NAME?</v>
      </c>
      <c r="E1223" s="100" t="e">
        <f t="shared" ca="1" si="227"/>
        <v>#NAME?</v>
      </c>
      <c r="F1223" s="100" t="e">
        <f t="shared" ca="1" si="222"/>
        <v>#NAME?</v>
      </c>
      <c r="G1223" s="100" t="e">
        <f t="shared" ca="1" si="223"/>
        <v>#NAME?</v>
      </c>
      <c r="H1223" s="100" t="e">
        <f t="shared" ca="1" si="224"/>
        <v>#NAME?</v>
      </c>
      <c r="I1223" s="100" t="e">
        <f t="shared" ca="1" si="225"/>
        <v>#NAME?</v>
      </c>
      <c r="J1223" s="100" t="e">
        <f ca="1">IFERROR(__xludf.DUMMYFUNCTION("""COMPUTED_VALUE"""),"-4.369")</f>
        <v>#NAME?</v>
      </c>
      <c r="K1223" s="100" t="e">
        <f t="shared" ca="1" si="226"/>
        <v>#NAME?</v>
      </c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</row>
    <row r="1224" spans="1:26">
      <c r="A1224" s="100" t="e">
        <f ca="1">IFERROR(__xludf.DUMMYFUNCTION("""COMPUTED_VALUE"""),58784559)</f>
        <v>#NAME?</v>
      </c>
      <c r="B1224" s="100" t="e">
        <f ca="1">IFERROR(__xludf.DUMMYFUNCTION("""COMPUTED_VALUE"""),"1INCHUSDT")</f>
        <v>#NAME?</v>
      </c>
      <c r="C1224" s="100" t="e">
        <f ca="1">IFERROR(__xludf.DUMMYFUNCTION("""COMPUTED_VALUE"""),"0.17590000")</f>
        <v>#NAME?</v>
      </c>
      <c r="D1224" s="100" t="e">
        <f t="shared" ca="1" si="227"/>
        <v>#NAME?</v>
      </c>
      <c r="E1224" s="100" t="e">
        <f t="shared" ca="1" si="227"/>
        <v>#NAME?</v>
      </c>
      <c r="F1224" s="100" t="e">
        <f t="shared" ca="1" si="222"/>
        <v>#NAME?</v>
      </c>
      <c r="G1224" s="100" t="e">
        <f t="shared" ca="1" si="223"/>
        <v>#NAME?</v>
      </c>
      <c r="H1224" s="100" t="e">
        <f t="shared" ca="1" si="224"/>
        <v>#NAME?</v>
      </c>
      <c r="I1224" s="100" t="e">
        <f t="shared" ca="1" si="225"/>
        <v>#NAME?</v>
      </c>
      <c r="J1224" s="100" t="e">
        <f ca="1">IFERROR(__xludf.DUMMYFUNCTION("""COMPUTED_VALUE"""),"-2.332")</f>
        <v>#NAME?</v>
      </c>
      <c r="K1224" s="100" t="e">
        <f t="shared" ca="1" si="226"/>
        <v>#NAME?</v>
      </c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</row>
    <row r="1225" spans="1:26">
      <c r="A1225" s="100" t="e">
        <f ca="1">IFERROR(__xludf.DUMMYFUNCTION("""COMPUTED_VALUE"""),58784560)</f>
        <v>#NAME?</v>
      </c>
      <c r="B1225" s="100" t="e">
        <f ca="1">IFERROR(__xludf.DUMMYFUNCTION("""COMPUTED_VALUE"""),"REEFBTC")</f>
        <v>#NAME?</v>
      </c>
      <c r="C1225" s="100" t="e">
        <f ca="1">IFERROR(__xludf.DUMMYFUNCTION("""COMPUTED_VALUE"""),"0.00000000")</f>
        <v>#NAME?</v>
      </c>
      <c r="D1225" s="100" t="e">
        <f t="shared" ca="1" si="227"/>
        <v>#NAME?</v>
      </c>
      <c r="E1225" s="100" t="e">
        <f t="shared" ca="1" si="227"/>
        <v>#NAME?</v>
      </c>
      <c r="F1225" s="100" t="e">
        <f t="shared" ca="1" si="222"/>
        <v>#NAME?</v>
      </c>
      <c r="G1225" s="100" t="e">
        <f t="shared" ca="1" si="223"/>
        <v>#NAME?</v>
      </c>
      <c r="H1225" s="100" t="e">
        <f t="shared" ca="1" si="224"/>
        <v>#NAME?</v>
      </c>
      <c r="I1225" s="100" t="e">
        <f t="shared" ca="1" si="225"/>
        <v>#NAME?</v>
      </c>
      <c r="J1225" s="100" t="e">
        <f ca="1">IFERROR(__xludf.DUMMYFUNCTION("""COMPUTED_VALUE"""),"0")</f>
        <v>#NAME?</v>
      </c>
      <c r="K1225" s="100" t="e">
        <f t="shared" ca="1" si="226"/>
        <v>#NAME?</v>
      </c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</row>
    <row r="1226" spans="1:26">
      <c r="A1226" s="100" t="e">
        <f ca="1">IFERROR(__xludf.DUMMYFUNCTION("""COMPUTED_VALUE"""),58784561)</f>
        <v>#NAME?</v>
      </c>
      <c r="B1226" s="100" t="e">
        <f ca="1">IFERROR(__xludf.DUMMYFUNCTION("""COMPUTED_VALUE"""),"REEFUSDT")</f>
        <v>#NAME?</v>
      </c>
      <c r="C1226" s="100" t="e">
        <f ca="1">IFERROR(__xludf.DUMMYFUNCTION("""COMPUTED_VALUE"""),"0.00068800")</f>
        <v>#NAME?</v>
      </c>
      <c r="D1226" s="100" t="e">
        <f t="shared" ca="1" si="227"/>
        <v>#NAME?</v>
      </c>
      <c r="E1226" s="100" t="e">
        <f t="shared" ca="1" si="227"/>
        <v>#NAME?</v>
      </c>
      <c r="F1226" s="100" t="e">
        <f t="shared" ca="1" si="222"/>
        <v>#NAME?</v>
      </c>
      <c r="G1226" s="100" t="e">
        <f t="shared" ca="1" si="223"/>
        <v>#NAME?</v>
      </c>
      <c r="H1226" s="100" t="e">
        <f t="shared" ca="1" si="224"/>
        <v>#NAME?</v>
      </c>
      <c r="I1226" s="100" t="e">
        <f t="shared" ca="1" si="225"/>
        <v>#NAME?</v>
      </c>
      <c r="J1226" s="100" t="e">
        <f ca="1">IFERROR(__xludf.DUMMYFUNCTION("""COMPUTED_VALUE"""),"0")</f>
        <v>#NAME?</v>
      </c>
      <c r="K1226" s="100" t="e">
        <f t="shared" ca="1" si="226"/>
        <v>#NAME?</v>
      </c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</row>
    <row r="1227" spans="1:26">
      <c r="A1227" s="100" t="e">
        <f ca="1">IFERROR(__xludf.DUMMYFUNCTION("""COMPUTED_VALUE"""),58784562)</f>
        <v>#NAME?</v>
      </c>
      <c r="B1227" s="100" t="e">
        <f ca="1">IFERROR(__xludf.DUMMYFUNCTION("""COMPUTED_VALUE"""),"OGBTC")</f>
        <v>#NAME?</v>
      </c>
      <c r="C1227" s="100" t="e">
        <f ca="1">IFERROR(__xludf.DUMMYFUNCTION("""COMPUTED_VALUE"""),"0.00004410")</f>
        <v>#NAME?</v>
      </c>
      <c r="D1227" s="100" t="e">
        <f t="shared" ca="1" si="227"/>
        <v>#NAME?</v>
      </c>
      <c r="E1227" s="100" t="e">
        <f t="shared" ca="1" si="227"/>
        <v>#NAME?</v>
      </c>
      <c r="F1227" s="100" t="e">
        <f t="shared" ca="1" si="222"/>
        <v>#NAME?</v>
      </c>
      <c r="G1227" s="100" t="e">
        <f t="shared" ca="1" si="223"/>
        <v>#NAME?</v>
      </c>
      <c r="H1227" s="100" t="e">
        <f t="shared" ca="1" si="224"/>
        <v>#NAME?</v>
      </c>
      <c r="I1227" s="100" t="e">
        <f t="shared" ca="1" si="225"/>
        <v>#NAME?</v>
      </c>
      <c r="J1227" s="100" t="e">
        <f ca="1">IFERROR(__xludf.DUMMYFUNCTION("""COMPUTED_VALUE"""),"-0.676")</f>
        <v>#NAME?</v>
      </c>
      <c r="K1227" s="100" t="e">
        <f t="shared" ca="1" si="226"/>
        <v>#NAME?</v>
      </c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</row>
    <row r="1228" spans="1:26">
      <c r="A1228" s="100" t="e">
        <f ca="1">IFERROR(__xludf.DUMMYFUNCTION("""COMPUTED_VALUE"""),58784563)</f>
        <v>#NAME?</v>
      </c>
      <c r="B1228" s="100" t="e">
        <f ca="1">IFERROR(__xludf.DUMMYFUNCTION("""COMPUTED_VALUE"""),"OGUSDT")</f>
        <v>#NAME?</v>
      </c>
      <c r="C1228" s="100" t="e">
        <f ca="1">IFERROR(__xludf.DUMMYFUNCTION("""COMPUTED_VALUE"""),"3.89500000")</f>
        <v>#NAME?</v>
      </c>
      <c r="D1228" s="100" t="e">
        <f t="shared" ca="1" si="227"/>
        <v>#NAME?</v>
      </c>
      <c r="E1228" s="100" t="e">
        <f t="shared" ca="1" si="227"/>
        <v>#NAME?</v>
      </c>
      <c r="F1228" s="100" t="e">
        <f t="shared" ca="1" si="222"/>
        <v>#NAME?</v>
      </c>
      <c r="G1228" s="100" t="e">
        <f t="shared" ca="1" si="223"/>
        <v>#NAME?</v>
      </c>
      <c r="H1228" s="100" t="e">
        <f t="shared" ca="1" si="224"/>
        <v>#NAME?</v>
      </c>
      <c r="I1228" s="100" t="e">
        <f t="shared" ca="1" si="225"/>
        <v>#NAME?</v>
      </c>
      <c r="J1228" s="100" t="e">
        <f ca="1">IFERROR(__xludf.DUMMYFUNCTION("""COMPUTED_VALUE"""),"0.000")</f>
        <v>#NAME?</v>
      </c>
      <c r="K1228" s="100" t="e">
        <f t="shared" ca="1" si="226"/>
        <v>#NAME?</v>
      </c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</row>
    <row r="1229" spans="1:26">
      <c r="A1229" s="100" t="e">
        <f ca="1">IFERROR(__xludf.DUMMYFUNCTION("""COMPUTED_VALUE"""),58784564)</f>
        <v>#NAME?</v>
      </c>
      <c r="B1229" s="100" t="e">
        <f ca="1">IFERROR(__xludf.DUMMYFUNCTION("""COMPUTED_VALUE"""),"ATMBTC")</f>
        <v>#NAME?</v>
      </c>
      <c r="C1229" s="100" t="e">
        <f ca="1">IFERROR(__xludf.DUMMYFUNCTION("""COMPUTED_VALUE"""),"0.00009440")</f>
        <v>#NAME?</v>
      </c>
      <c r="D1229" s="100" t="e">
        <f t="shared" ca="1" si="227"/>
        <v>#NAME?</v>
      </c>
      <c r="E1229" s="100" t="e">
        <f t="shared" ca="1" si="227"/>
        <v>#NAME?</v>
      </c>
      <c r="F1229" s="100" t="e">
        <f t="shared" ca="1" si="222"/>
        <v>#NAME?</v>
      </c>
      <c r="G1229" s="100" t="e">
        <f t="shared" ca="1" si="223"/>
        <v>#NAME?</v>
      </c>
      <c r="H1229" s="100" t="e">
        <f t="shared" ca="1" si="224"/>
        <v>#NAME?</v>
      </c>
      <c r="I1229" s="100" t="e">
        <f t="shared" ca="1" si="225"/>
        <v>#NAME?</v>
      </c>
      <c r="J1229" s="100" t="e">
        <f ca="1">IFERROR(__xludf.DUMMYFUNCTION("""COMPUTED_VALUE"""),"0")</f>
        <v>#NAME?</v>
      </c>
      <c r="K1229" s="100" t="e">
        <f t="shared" ca="1" si="226"/>
        <v>#NAME?</v>
      </c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</row>
    <row r="1230" spans="1:26">
      <c r="A1230" s="100" t="e">
        <f ca="1">IFERROR(__xludf.DUMMYFUNCTION("""COMPUTED_VALUE"""),58784565)</f>
        <v>#NAME?</v>
      </c>
      <c r="B1230" s="100" t="e">
        <f ca="1">IFERROR(__xludf.DUMMYFUNCTION("""COMPUTED_VALUE"""),"ATMUSDT")</f>
        <v>#NAME?</v>
      </c>
      <c r="C1230" s="100" t="e">
        <f ca="1">IFERROR(__xludf.DUMMYFUNCTION("""COMPUTED_VALUE"""),"1.08100000")</f>
        <v>#NAME?</v>
      </c>
      <c r="D1230" s="100" t="e">
        <f t="shared" ca="1" si="227"/>
        <v>#NAME?</v>
      </c>
      <c r="E1230" s="100" t="e">
        <f t="shared" ca="1" si="227"/>
        <v>#NAME?</v>
      </c>
      <c r="F1230" s="100" t="e">
        <f t="shared" ca="1" si="222"/>
        <v>#NAME?</v>
      </c>
      <c r="G1230" s="100" t="e">
        <f t="shared" ca="1" si="223"/>
        <v>#NAME?</v>
      </c>
      <c r="H1230" s="100" t="e">
        <f t="shared" ca="1" si="224"/>
        <v>#NAME?</v>
      </c>
      <c r="I1230" s="100" t="e">
        <f t="shared" ca="1" si="225"/>
        <v>#NAME?</v>
      </c>
      <c r="J1230" s="100" t="e">
        <f ca="1">IFERROR(__xludf.DUMMYFUNCTION("""COMPUTED_VALUE"""),"0.652")</f>
        <v>#NAME?</v>
      </c>
      <c r="K1230" s="100" t="e">
        <f t="shared" ca="1" si="226"/>
        <v>#NAME?</v>
      </c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</row>
    <row r="1231" spans="1:26">
      <c r="A1231" s="100" t="e">
        <f ca="1">IFERROR(__xludf.DUMMYFUNCTION("""COMPUTED_VALUE"""),58784566)</f>
        <v>#NAME?</v>
      </c>
      <c r="B1231" s="100" t="e">
        <f ca="1">IFERROR(__xludf.DUMMYFUNCTION("""COMPUTED_VALUE"""),"ASRBTC")</f>
        <v>#NAME?</v>
      </c>
      <c r="C1231" s="100" t="e">
        <f ca="1">IFERROR(__xludf.DUMMYFUNCTION("""COMPUTED_VALUE"""),"0.00013390")</f>
        <v>#NAME?</v>
      </c>
      <c r="D1231" s="100" t="e">
        <f t="shared" ca="1" si="227"/>
        <v>#NAME?</v>
      </c>
      <c r="E1231" s="100" t="e">
        <f t="shared" ca="1" si="227"/>
        <v>#NAME?</v>
      </c>
      <c r="F1231" s="100" t="e">
        <f t="shared" ca="1" si="222"/>
        <v>#NAME?</v>
      </c>
      <c r="G1231" s="100" t="e">
        <f t="shared" ca="1" si="223"/>
        <v>#NAME?</v>
      </c>
      <c r="H1231" s="100" t="e">
        <f t="shared" ca="1" si="224"/>
        <v>#NAME?</v>
      </c>
      <c r="I1231" s="100" t="e">
        <f t="shared" ca="1" si="225"/>
        <v>#NAME?</v>
      </c>
      <c r="J1231" s="100" t="e">
        <f ca="1">IFERROR(__xludf.DUMMYFUNCTION("""COMPUTED_VALUE"""),"0")</f>
        <v>#NAME?</v>
      </c>
      <c r="K1231" s="100" t="e">
        <f t="shared" ca="1" si="226"/>
        <v>#NAME?</v>
      </c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</row>
    <row r="1232" spans="1:26">
      <c r="A1232" s="100" t="e">
        <f ca="1">IFERROR(__xludf.DUMMYFUNCTION("""COMPUTED_VALUE"""),58784567)</f>
        <v>#NAME?</v>
      </c>
      <c r="B1232" s="100" t="e">
        <f ca="1">IFERROR(__xludf.DUMMYFUNCTION("""COMPUTED_VALUE"""),"ASRUSDT")</f>
        <v>#NAME?</v>
      </c>
      <c r="C1232" s="100" t="e">
        <f ca="1">IFERROR(__xludf.DUMMYFUNCTION("""COMPUTED_VALUE"""),"1.07700000")</f>
        <v>#NAME?</v>
      </c>
      <c r="D1232" s="100" t="e">
        <f t="shared" ca="1" si="227"/>
        <v>#NAME?</v>
      </c>
      <c r="E1232" s="100" t="e">
        <f t="shared" ca="1" si="227"/>
        <v>#NAME?</v>
      </c>
      <c r="F1232" s="100" t="e">
        <f t="shared" ca="1" si="222"/>
        <v>#NAME?</v>
      </c>
      <c r="G1232" s="100" t="e">
        <f t="shared" ca="1" si="223"/>
        <v>#NAME?</v>
      </c>
      <c r="H1232" s="100" t="e">
        <f t="shared" ca="1" si="224"/>
        <v>#NAME?</v>
      </c>
      <c r="I1232" s="100" t="e">
        <f t="shared" ca="1" si="225"/>
        <v>#NAME?</v>
      </c>
      <c r="J1232" s="100" t="e">
        <f ca="1">IFERROR(__xludf.DUMMYFUNCTION("""COMPUTED_VALUE"""),"0.937")</f>
        <v>#NAME?</v>
      </c>
      <c r="K1232" s="100" t="e">
        <f t="shared" ca="1" si="226"/>
        <v>#NAME?</v>
      </c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</row>
    <row r="1233" spans="1:26">
      <c r="A1233" s="100" t="e">
        <f ca="1">IFERROR(__xludf.DUMMYFUNCTION("""COMPUTED_VALUE"""),58784568)</f>
        <v>#NAME?</v>
      </c>
      <c r="B1233" s="100" t="e">
        <f ca="1">IFERROR(__xludf.DUMMYFUNCTION("""COMPUTED_VALUE"""),"CELOBTC")</f>
        <v>#NAME?</v>
      </c>
      <c r="C1233" s="100" t="e">
        <f ca="1">IFERROR(__xludf.DUMMYFUNCTION("""COMPUTED_VALUE"""),"0.00000351")</f>
        <v>#NAME?</v>
      </c>
      <c r="D1233" s="100" t="e">
        <f t="shared" ca="1" si="227"/>
        <v>#NAME?</v>
      </c>
      <c r="E1233" s="100" t="e">
        <f t="shared" ca="1" si="227"/>
        <v>#NAME?</v>
      </c>
      <c r="F1233" s="100" t="e">
        <f t="shared" ca="1" si="222"/>
        <v>#NAME?</v>
      </c>
      <c r="G1233" s="100" t="e">
        <f t="shared" ca="1" si="223"/>
        <v>#NAME?</v>
      </c>
      <c r="H1233" s="100" t="e">
        <f t="shared" ca="1" si="224"/>
        <v>#NAME?</v>
      </c>
      <c r="I1233" s="100" t="e">
        <f t="shared" ca="1" si="225"/>
        <v>#NAME?</v>
      </c>
      <c r="J1233" s="100" t="e">
        <f ca="1">IFERROR(__xludf.DUMMYFUNCTION("""COMPUTED_VALUE"""),"-2.228")</f>
        <v>#NAME?</v>
      </c>
      <c r="K1233" s="100" t="e">
        <f t="shared" ca="1" si="226"/>
        <v>#NAME?</v>
      </c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</row>
    <row r="1234" spans="1:26">
      <c r="A1234" s="100" t="e">
        <f ca="1">IFERROR(__xludf.DUMMYFUNCTION("""COMPUTED_VALUE"""),58784569)</f>
        <v>#NAME?</v>
      </c>
      <c r="B1234" s="100" t="e">
        <f ca="1">IFERROR(__xludf.DUMMYFUNCTION("""COMPUTED_VALUE"""),"CELOUSDT")</f>
        <v>#NAME?</v>
      </c>
      <c r="C1234" s="100" t="e">
        <f ca="1">IFERROR(__xludf.DUMMYFUNCTION("""COMPUTED_VALUE"""),"0.31160000")</f>
        <v>#NAME?</v>
      </c>
      <c r="D1234" s="100" t="e">
        <f t="shared" ca="1" si="227"/>
        <v>#NAME?</v>
      </c>
      <c r="E1234" s="100" t="e">
        <f t="shared" ca="1" si="227"/>
        <v>#NAME?</v>
      </c>
      <c r="F1234" s="100" t="e">
        <f t="shared" ca="1" si="222"/>
        <v>#NAME?</v>
      </c>
      <c r="G1234" s="100" t="e">
        <f t="shared" ca="1" si="223"/>
        <v>#NAME?</v>
      </c>
      <c r="H1234" s="100" t="e">
        <f t="shared" ca="1" si="224"/>
        <v>#NAME?</v>
      </c>
      <c r="I1234" s="100" t="e">
        <f t="shared" ca="1" si="225"/>
        <v>#NAME?</v>
      </c>
      <c r="J1234" s="100" t="e">
        <f ca="1">IFERROR(__xludf.DUMMYFUNCTION("""COMPUTED_VALUE"""),"-0.128")</f>
        <v>#NAME?</v>
      </c>
      <c r="K1234" s="100" t="e">
        <f t="shared" ca="1" si="226"/>
        <v>#NAME?</v>
      </c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</row>
    <row r="1235" spans="1:26">
      <c r="A1235" s="100" t="e">
        <f ca="1">IFERROR(__xludf.DUMMYFUNCTION("""COMPUTED_VALUE"""),58784570)</f>
        <v>#NAME?</v>
      </c>
      <c r="B1235" s="100" t="e">
        <f ca="1">IFERROR(__xludf.DUMMYFUNCTION("""COMPUTED_VALUE"""),"RIFBTC")</f>
        <v>#NAME?</v>
      </c>
      <c r="C1235" s="100" t="e">
        <f ca="1">IFERROR(__xludf.DUMMYFUNCTION("""COMPUTED_VALUE"""),"0.00000048")</f>
        <v>#NAME?</v>
      </c>
      <c r="D1235" s="100" t="e">
        <f t="shared" ca="1" si="227"/>
        <v>#NAME?</v>
      </c>
      <c r="E1235" s="100" t="e">
        <f t="shared" ca="1" si="227"/>
        <v>#NAME?</v>
      </c>
      <c r="F1235" s="100" t="e">
        <f t="shared" ca="1" si="222"/>
        <v>#NAME?</v>
      </c>
      <c r="G1235" s="100" t="e">
        <f t="shared" ca="1" si="223"/>
        <v>#NAME?</v>
      </c>
      <c r="H1235" s="100" t="e">
        <f t="shared" ca="1" si="224"/>
        <v>#NAME?</v>
      </c>
      <c r="I1235" s="100" t="e">
        <f t="shared" ca="1" si="225"/>
        <v>#NAME?</v>
      </c>
      <c r="J1235" s="100" t="e">
        <f ca="1">IFERROR(__xludf.DUMMYFUNCTION("""COMPUTED_VALUE"""),"-2.041")</f>
        <v>#NAME?</v>
      </c>
      <c r="K1235" s="100" t="e">
        <f t="shared" ca="1" si="226"/>
        <v>#NAME?</v>
      </c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</row>
    <row r="1236" spans="1:26">
      <c r="A1236" s="100" t="e">
        <f ca="1">IFERROR(__xludf.DUMMYFUNCTION("""COMPUTED_VALUE"""),58784571)</f>
        <v>#NAME?</v>
      </c>
      <c r="B1236" s="100" t="e">
        <f ca="1">IFERROR(__xludf.DUMMYFUNCTION("""COMPUTED_VALUE"""),"RIFUSDT")</f>
        <v>#NAME?</v>
      </c>
      <c r="C1236" s="100" t="e">
        <f ca="1">IFERROR(__xludf.DUMMYFUNCTION("""COMPUTED_VALUE"""),"0.04290000")</f>
        <v>#NAME?</v>
      </c>
      <c r="D1236" s="100" t="e">
        <f t="shared" ca="1" si="227"/>
        <v>#NAME?</v>
      </c>
      <c r="E1236" s="100" t="e">
        <f t="shared" ca="1" si="227"/>
        <v>#NAME?</v>
      </c>
      <c r="F1236" s="100" t="e">
        <f t="shared" ca="1" si="222"/>
        <v>#NAME?</v>
      </c>
      <c r="G1236" s="100" t="e">
        <f t="shared" ca="1" si="223"/>
        <v>#NAME?</v>
      </c>
      <c r="H1236" s="100" t="e">
        <f t="shared" ca="1" si="224"/>
        <v>#NAME?</v>
      </c>
      <c r="I1236" s="100" t="e">
        <f t="shared" ca="1" si="225"/>
        <v>#NAME?</v>
      </c>
      <c r="J1236" s="100" t="e">
        <f ca="1">IFERROR(__xludf.DUMMYFUNCTION("""COMPUTED_VALUE"""),"-0.694")</f>
        <v>#NAME?</v>
      </c>
      <c r="K1236" s="100" t="e">
        <f t="shared" ca="1" si="226"/>
        <v>#NAME?</v>
      </c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</row>
    <row r="1237" spans="1:26">
      <c r="A1237" s="100" t="e">
        <f ca="1">IFERROR(__xludf.DUMMYFUNCTION("""COMPUTED_VALUE"""),58784572)</f>
        <v>#NAME?</v>
      </c>
      <c r="B1237" s="100" t="e">
        <f ca="1">IFERROR(__xludf.DUMMYFUNCTION("""COMPUTED_VALUE"""),"CHZTRY")</f>
        <v>#NAME?</v>
      </c>
      <c r="C1237" s="100" t="e">
        <f ca="1">IFERROR(__xludf.DUMMYFUNCTION("""COMPUTED_VALUE"""),"1.41900000")</f>
        <v>#NAME?</v>
      </c>
      <c r="D1237" s="100" t="e">
        <f t="shared" ca="1" si="227"/>
        <v>#NAME?</v>
      </c>
      <c r="E1237" s="100" t="e">
        <f t="shared" ca="1" si="227"/>
        <v>#NAME?</v>
      </c>
      <c r="F1237" s="100" t="e">
        <f t="shared" ca="1" si="222"/>
        <v>#NAME?</v>
      </c>
      <c r="G1237" s="100" t="e">
        <f t="shared" ca="1" si="223"/>
        <v>#NAME?</v>
      </c>
      <c r="H1237" s="100" t="e">
        <f t="shared" ca="1" si="224"/>
        <v>#NAME?</v>
      </c>
      <c r="I1237" s="100" t="e">
        <f t="shared" ca="1" si="225"/>
        <v>#NAME?</v>
      </c>
      <c r="J1237" s="100" t="e">
        <f ca="1">IFERROR(__xludf.DUMMYFUNCTION("""COMPUTED_VALUE"""),"-2.541")</f>
        <v>#NAME?</v>
      </c>
      <c r="K1237" s="100" t="e">
        <f t="shared" ca="1" si="226"/>
        <v>#NAME?</v>
      </c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</row>
    <row r="1238" spans="1:26">
      <c r="A1238" s="100" t="e">
        <f ca="1">IFERROR(__xludf.DUMMYFUNCTION("""COMPUTED_VALUE"""),58784573)</f>
        <v>#NAME?</v>
      </c>
      <c r="B1238" s="100" t="e">
        <f ca="1">IFERROR(__xludf.DUMMYFUNCTION("""COMPUTED_VALUE"""),"XLMTRY")</f>
        <v>#NAME?</v>
      </c>
      <c r="C1238" s="100" t="e">
        <f ca="1">IFERROR(__xludf.DUMMYFUNCTION("""COMPUTED_VALUE"""),"9.44100000")</f>
        <v>#NAME?</v>
      </c>
      <c r="D1238" s="100" t="e">
        <f t="shared" ca="1" si="227"/>
        <v>#NAME?</v>
      </c>
      <c r="E1238" s="100" t="e">
        <f t="shared" ca="1" si="227"/>
        <v>#NAME?</v>
      </c>
      <c r="F1238" s="100" t="e">
        <f t="shared" ca="1" si="222"/>
        <v>#NAME?</v>
      </c>
      <c r="G1238" s="100" t="e">
        <f t="shared" ca="1" si="223"/>
        <v>#NAME?</v>
      </c>
      <c r="H1238" s="100" t="e">
        <f t="shared" ca="1" si="224"/>
        <v>#NAME?</v>
      </c>
      <c r="I1238" s="100" t="e">
        <f t="shared" ca="1" si="225"/>
        <v>#NAME?</v>
      </c>
      <c r="J1238" s="100" t="e">
        <f ca="1">IFERROR(__xludf.DUMMYFUNCTION("""COMPUTED_VALUE"""),"-4.665")</f>
        <v>#NAME?</v>
      </c>
      <c r="K1238" s="100" t="e">
        <f t="shared" ca="1" si="226"/>
        <v>#NAME?</v>
      </c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</row>
    <row r="1239" spans="1:26">
      <c r="A1239" s="100" t="e">
        <f ca="1">IFERROR(__xludf.DUMMYFUNCTION("""COMPUTED_VALUE"""),58784574)</f>
        <v>#NAME?</v>
      </c>
      <c r="B1239" s="100" t="e">
        <f ca="1">IFERROR(__xludf.DUMMYFUNCTION("""COMPUTED_VALUE"""),"LINKGBP")</f>
        <v>#NAME?</v>
      </c>
      <c r="C1239" s="100" t="e">
        <f ca="1">IFERROR(__xludf.DUMMYFUNCTION("""COMPUTED_VALUE"""),"13.17300000")</f>
        <v>#NAME?</v>
      </c>
      <c r="D1239" s="100" t="e">
        <f t="shared" ca="1" si="227"/>
        <v>#NAME?</v>
      </c>
      <c r="E1239" s="100" t="e">
        <f t="shared" ca="1" si="227"/>
        <v>#NAME?</v>
      </c>
      <c r="F1239" s="100" t="e">
        <f t="shared" ca="1" si="222"/>
        <v>#NAME?</v>
      </c>
      <c r="G1239" s="100" t="e">
        <f t="shared" ca="1" si="223"/>
        <v>#NAME?</v>
      </c>
      <c r="H1239" s="100" t="e">
        <f t="shared" ca="1" si="224"/>
        <v>#NAME?</v>
      </c>
      <c r="I1239" s="100" t="e">
        <f t="shared" ca="1" si="225"/>
        <v>#NAME?</v>
      </c>
      <c r="J1239" s="100" t="e">
        <f ca="1">IFERROR(__xludf.DUMMYFUNCTION("""COMPUTED_VALUE"""),"0")</f>
        <v>#NAME?</v>
      </c>
      <c r="K1239" s="100" t="e">
        <f t="shared" ca="1" si="226"/>
        <v>#NAME?</v>
      </c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</row>
    <row r="1240" spans="1:26">
      <c r="A1240" s="100" t="e">
        <f ca="1">IFERROR(__xludf.DUMMYFUNCTION("""COMPUTED_VALUE"""),58784575)</f>
        <v>#NAME?</v>
      </c>
      <c r="B1240" s="100" t="e">
        <f ca="1">IFERROR(__xludf.DUMMYFUNCTION("""COMPUTED_VALUE"""),"GRTEUR")</f>
        <v>#NAME?</v>
      </c>
      <c r="C1240" s="100" t="e">
        <f ca="1">IFERROR(__xludf.DUMMYFUNCTION("""COMPUTED_VALUE"""),"0.07290000")</f>
        <v>#NAME?</v>
      </c>
      <c r="D1240" s="100" t="e">
        <f t="shared" ca="1" si="227"/>
        <v>#NAME?</v>
      </c>
      <c r="E1240" s="100" t="e">
        <f t="shared" ca="1" si="227"/>
        <v>#NAME?</v>
      </c>
      <c r="F1240" s="100" t="e">
        <f t="shared" ca="1" si="222"/>
        <v>#NAME?</v>
      </c>
      <c r="G1240" s="100" t="e">
        <f t="shared" ca="1" si="223"/>
        <v>#NAME?</v>
      </c>
      <c r="H1240" s="100" t="e">
        <f t="shared" ca="1" si="224"/>
        <v>#NAME?</v>
      </c>
      <c r="I1240" s="100" t="e">
        <f t="shared" ca="1" si="225"/>
        <v>#NAME?</v>
      </c>
      <c r="J1240" s="100" t="e">
        <f ca="1">IFERROR(__xludf.DUMMYFUNCTION("""COMPUTED_VALUE"""),"-1.486")</f>
        <v>#NAME?</v>
      </c>
      <c r="K1240" s="100" t="e">
        <f t="shared" ca="1" si="226"/>
        <v>#NAME?</v>
      </c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</row>
    <row r="1241" spans="1:26">
      <c r="A1241" s="100" t="e">
        <f ca="1">IFERROR(__xludf.DUMMYFUNCTION("""COMPUTED_VALUE"""),58784576)</f>
        <v>#NAME?</v>
      </c>
      <c r="B1241" s="100" t="e">
        <f ca="1">IFERROR(__xludf.DUMMYFUNCTION("""COMPUTED_VALUE"""),"BTCSTBTC")</f>
        <v>#NAME?</v>
      </c>
      <c r="C1241" s="100" t="e">
        <f ca="1">IFERROR(__xludf.DUMMYFUNCTION("""COMPUTED_VALUE"""),"0.00033100")</f>
        <v>#NAME?</v>
      </c>
      <c r="D1241" s="100" t="e">
        <f t="shared" ca="1" si="227"/>
        <v>#NAME?</v>
      </c>
      <c r="E1241" s="100" t="e">
        <f t="shared" ca="1" si="227"/>
        <v>#NAME?</v>
      </c>
      <c r="F1241" s="100" t="e">
        <f t="shared" ca="1" si="222"/>
        <v>#NAME?</v>
      </c>
      <c r="G1241" s="100" t="e">
        <f t="shared" ca="1" si="223"/>
        <v>#NAME?</v>
      </c>
      <c r="H1241" s="100" t="e">
        <f t="shared" ca="1" si="224"/>
        <v>#NAME?</v>
      </c>
      <c r="I1241" s="100" t="e">
        <f t="shared" ca="1" si="225"/>
        <v>#NAME?</v>
      </c>
      <c r="J1241" s="100" t="e">
        <f ca="1">IFERROR(__xludf.DUMMYFUNCTION("""COMPUTED_VALUE"""),"0")</f>
        <v>#NAME?</v>
      </c>
      <c r="K1241" s="100" t="e">
        <f t="shared" ca="1" si="226"/>
        <v>#NAME?</v>
      </c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</row>
    <row r="1242" spans="1:26">
      <c r="A1242" s="100" t="e">
        <f ca="1">IFERROR(__xludf.DUMMYFUNCTION("""COMPUTED_VALUE"""),58784577)</f>
        <v>#NAME?</v>
      </c>
      <c r="B1242" s="100" t="e">
        <f ca="1">IFERROR(__xludf.DUMMYFUNCTION("""COMPUTED_VALUE"""),"BTCSTBUSD")</f>
        <v>#NAME?</v>
      </c>
      <c r="C1242" s="100" t="e">
        <f ca="1">IFERROR(__xludf.DUMMYFUNCTION("""COMPUTED_VALUE"""),"1.16000000")</f>
        <v>#NAME?</v>
      </c>
      <c r="D1242" s="100" t="e">
        <f t="shared" ref="D1242:E1261" ca="1" si="228">IFERROR(__xludf.DUMMYFUNCTION("""COMPUTED_VALUE"""),"-")</f>
        <v>#NAME?</v>
      </c>
      <c r="E1242" s="100" t="e">
        <f t="shared" ca="1" si="228"/>
        <v>#NAME?</v>
      </c>
      <c r="F1242" s="100" t="e">
        <f t="shared" ca="1" si="222"/>
        <v>#NAME?</v>
      </c>
      <c r="G1242" s="100" t="e">
        <f t="shared" ca="1" si="223"/>
        <v>#NAME?</v>
      </c>
      <c r="H1242" s="100" t="e">
        <f t="shared" ca="1" si="224"/>
        <v>#NAME?</v>
      </c>
      <c r="I1242" s="100" t="e">
        <f t="shared" ca="1" si="225"/>
        <v>#NAME?</v>
      </c>
      <c r="J1242" s="100" t="e">
        <f ca="1">IFERROR(__xludf.DUMMYFUNCTION("""COMPUTED_VALUE"""),"0")</f>
        <v>#NAME?</v>
      </c>
      <c r="K1242" s="100" t="e">
        <f t="shared" ca="1" si="226"/>
        <v>#NAME?</v>
      </c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</row>
    <row r="1243" spans="1:26">
      <c r="A1243" s="100" t="e">
        <f ca="1">IFERROR(__xludf.DUMMYFUNCTION("""COMPUTED_VALUE"""),58784578)</f>
        <v>#NAME?</v>
      </c>
      <c r="B1243" s="100" t="e">
        <f ca="1">IFERROR(__xludf.DUMMYFUNCTION("""COMPUTED_VALUE"""),"BTCSTUSDT")</f>
        <v>#NAME?</v>
      </c>
      <c r="C1243" s="100" t="e">
        <f ca="1">IFERROR(__xludf.DUMMYFUNCTION("""COMPUTED_VALUE"""),"5.35000000")</f>
        <v>#NAME?</v>
      </c>
      <c r="D1243" s="100" t="e">
        <f t="shared" ca="1" si="228"/>
        <v>#NAME?</v>
      </c>
      <c r="E1243" s="100" t="e">
        <f t="shared" ca="1" si="228"/>
        <v>#NAME?</v>
      </c>
      <c r="F1243" s="100" t="e">
        <f t="shared" ca="1" si="222"/>
        <v>#NAME?</v>
      </c>
      <c r="G1243" s="100" t="e">
        <f t="shared" ca="1" si="223"/>
        <v>#NAME?</v>
      </c>
      <c r="H1243" s="100" t="e">
        <f t="shared" ca="1" si="224"/>
        <v>#NAME?</v>
      </c>
      <c r="I1243" s="100" t="e">
        <f t="shared" ca="1" si="225"/>
        <v>#NAME?</v>
      </c>
      <c r="J1243" s="100" t="e">
        <f ca="1">IFERROR(__xludf.DUMMYFUNCTION("""COMPUTED_VALUE"""),"0")</f>
        <v>#NAME?</v>
      </c>
      <c r="K1243" s="100" t="e">
        <f t="shared" ca="1" si="226"/>
        <v>#NAME?</v>
      </c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</row>
    <row r="1244" spans="1:26">
      <c r="A1244" s="100" t="e">
        <f ca="1">IFERROR(__xludf.DUMMYFUNCTION("""COMPUTED_VALUE"""),58784579)</f>
        <v>#NAME?</v>
      </c>
      <c r="B1244" s="100" t="e">
        <f ca="1">IFERROR(__xludf.DUMMYFUNCTION("""COMPUTED_VALUE"""),"TRUBTC")</f>
        <v>#NAME?</v>
      </c>
      <c r="C1244" s="100" t="e">
        <f ca="1">IFERROR(__xludf.DUMMYFUNCTION("""COMPUTED_VALUE"""),"0.00000040")</f>
        <v>#NAME?</v>
      </c>
      <c r="D1244" s="100" t="e">
        <f t="shared" ca="1" si="228"/>
        <v>#NAME?</v>
      </c>
      <c r="E1244" s="100" t="e">
        <f t="shared" ca="1" si="228"/>
        <v>#NAME?</v>
      </c>
      <c r="F1244" s="100" t="e">
        <f t="shared" ca="1" si="222"/>
        <v>#NAME?</v>
      </c>
      <c r="G1244" s="100" t="e">
        <f t="shared" ca="1" si="223"/>
        <v>#NAME?</v>
      </c>
      <c r="H1244" s="100" t="e">
        <f t="shared" ca="1" si="224"/>
        <v>#NAME?</v>
      </c>
      <c r="I1244" s="100" t="e">
        <f t="shared" ca="1" si="225"/>
        <v>#NAME?</v>
      </c>
      <c r="J1244" s="100" t="e">
        <f ca="1">IFERROR(__xludf.DUMMYFUNCTION("""COMPUTED_VALUE"""),"0.000")</f>
        <v>#NAME?</v>
      </c>
      <c r="K1244" s="100" t="e">
        <f t="shared" ca="1" si="226"/>
        <v>#NAME?</v>
      </c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</row>
    <row r="1245" spans="1:26">
      <c r="A1245" s="100" t="e">
        <f ca="1">IFERROR(__xludf.DUMMYFUNCTION("""COMPUTED_VALUE"""),58784580)</f>
        <v>#NAME?</v>
      </c>
      <c r="B1245" s="100" t="e">
        <f ca="1">IFERROR(__xludf.DUMMYFUNCTION("""COMPUTED_VALUE"""),"TRUBUSD")</f>
        <v>#NAME?</v>
      </c>
      <c r="C1245" s="100" t="e">
        <f ca="1">IFERROR(__xludf.DUMMYFUNCTION("""COMPUTED_VALUE"""),"0.00000000")</f>
        <v>#NAME?</v>
      </c>
      <c r="D1245" s="100" t="e">
        <f t="shared" ca="1" si="228"/>
        <v>#NAME?</v>
      </c>
      <c r="E1245" s="100" t="e">
        <f t="shared" ca="1" si="228"/>
        <v>#NAME?</v>
      </c>
      <c r="F1245" s="100" t="e">
        <f t="shared" ca="1" si="222"/>
        <v>#NAME?</v>
      </c>
      <c r="G1245" s="100" t="e">
        <f t="shared" ca="1" si="223"/>
        <v>#NAME?</v>
      </c>
      <c r="H1245" s="100" t="e">
        <f t="shared" ca="1" si="224"/>
        <v>#NAME?</v>
      </c>
      <c r="I1245" s="100" t="e">
        <f t="shared" ca="1" si="225"/>
        <v>#NAME?</v>
      </c>
      <c r="J1245" s="100" t="e">
        <f ca="1">IFERROR(__xludf.DUMMYFUNCTION("""COMPUTED_VALUE"""),"0")</f>
        <v>#NAME?</v>
      </c>
      <c r="K1245" s="100" t="e">
        <f t="shared" ca="1" si="226"/>
        <v>#NAME?</v>
      </c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</row>
    <row r="1246" spans="1:26">
      <c r="A1246" s="100" t="e">
        <f ca="1">IFERROR(__xludf.DUMMYFUNCTION("""COMPUTED_VALUE"""),58784581)</f>
        <v>#NAME?</v>
      </c>
      <c r="B1246" s="100" t="e">
        <f ca="1">IFERROR(__xludf.DUMMYFUNCTION("""COMPUTED_VALUE"""),"TRUUSDT")</f>
        <v>#NAME?</v>
      </c>
      <c r="C1246" s="100" t="e">
        <f ca="1">IFERROR(__xludf.DUMMYFUNCTION("""COMPUTED_VALUE"""),"0.03490000")</f>
        <v>#NAME?</v>
      </c>
      <c r="D1246" s="100" t="e">
        <f t="shared" ca="1" si="228"/>
        <v>#NAME?</v>
      </c>
      <c r="E1246" s="100" t="e">
        <f t="shared" ca="1" si="228"/>
        <v>#NAME?</v>
      </c>
      <c r="F1246" s="100" t="e">
        <f t="shared" ca="1" si="222"/>
        <v>#NAME?</v>
      </c>
      <c r="G1246" s="100" t="e">
        <f t="shared" ca="1" si="223"/>
        <v>#NAME?</v>
      </c>
      <c r="H1246" s="100" t="e">
        <f t="shared" ca="1" si="224"/>
        <v>#NAME?</v>
      </c>
      <c r="I1246" s="100" t="e">
        <f t="shared" ca="1" si="225"/>
        <v>#NAME?</v>
      </c>
      <c r="J1246" s="100" t="e">
        <f ca="1">IFERROR(__xludf.DUMMYFUNCTION("""COMPUTED_VALUE"""),"-1.412")</f>
        <v>#NAME?</v>
      </c>
      <c r="K1246" s="100" t="e">
        <f t="shared" ca="1" si="226"/>
        <v>#NAME?</v>
      </c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</row>
    <row r="1247" spans="1:26">
      <c r="A1247" s="100" t="e">
        <f ca="1">IFERROR(__xludf.DUMMYFUNCTION("""COMPUTED_VALUE"""),58784582)</f>
        <v>#NAME?</v>
      </c>
      <c r="B1247" s="100" t="e">
        <f ca="1">IFERROR(__xludf.DUMMYFUNCTION("""COMPUTED_VALUE"""),"DEXEETH")</f>
        <v>#NAME?</v>
      </c>
      <c r="C1247" s="100" t="e">
        <f ca="1">IFERROR(__xludf.DUMMYFUNCTION("""COMPUTED_VALUE"""),"0.00137800")</f>
        <v>#NAME?</v>
      </c>
      <c r="D1247" s="100" t="e">
        <f t="shared" ca="1" si="228"/>
        <v>#NAME?</v>
      </c>
      <c r="E1247" s="100" t="e">
        <f t="shared" ca="1" si="228"/>
        <v>#NAME?</v>
      </c>
      <c r="F1247" s="100" t="e">
        <f t="shared" ca="1" si="222"/>
        <v>#NAME?</v>
      </c>
      <c r="G1247" s="100" t="e">
        <f t="shared" ca="1" si="223"/>
        <v>#NAME?</v>
      </c>
      <c r="H1247" s="100" t="e">
        <f t="shared" ca="1" si="224"/>
        <v>#NAME?</v>
      </c>
      <c r="I1247" s="100" t="e">
        <f t="shared" ca="1" si="225"/>
        <v>#NAME?</v>
      </c>
      <c r="J1247" s="100" t="e">
        <f ca="1">IFERROR(__xludf.DUMMYFUNCTION("""COMPUTED_VALUE"""),"0")</f>
        <v>#NAME?</v>
      </c>
      <c r="K1247" s="100" t="e">
        <f t="shared" ca="1" si="226"/>
        <v>#NAME?</v>
      </c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</row>
    <row r="1248" spans="1:26">
      <c r="A1248" s="100" t="e">
        <f ca="1">IFERROR(__xludf.DUMMYFUNCTION("""COMPUTED_VALUE"""),58784583)</f>
        <v>#NAME?</v>
      </c>
      <c r="B1248" s="100" t="e">
        <f ca="1">IFERROR(__xludf.DUMMYFUNCTION("""COMPUTED_VALUE"""),"DEXEBUSD")</f>
        <v>#NAME?</v>
      </c>
      <c r="C1248" s="100" t="e">
        <f ca="1">IFERROR(__xludf.DUMMYFUNCTION("""COMPUTED_VALUE"""),"2.10000000")</f>
        <v>#NAME?</v>
      </c>
      <c r="D1248" s="100" t="e">
        <f t="shared" ca="1" si="228"/>
        <v>#NAME?</v>
      </c>
      <c r="E1248" s="100" t="e">
        <f t="shared" ca="1" si="228"/>
        <v>#NAME?</v>
      </c>
      <c r="F1248" s="100" t="e">
        <f t="shared" ca="1" si="222"/>
        <v>#NAME?</v>
      </c>
      <c r="G1248" s="100" t="e">
        <f t="shared" ca="1" si="223"/>
        <v>#NAME?</v>
      </c>
      <c r="H1248" s="100" t="e">
        <f t="shared" ca="1" si="224"/>
        <v>#NAME?</v>
      </c>
      <c r="I1248" s="100" t="e">
        <f t="shared" ca="1" si="225"/>
        <v>#NAME?</v>
      </c>
      <c r="J1248" s="100" t="e">
        <f ca="1">IFERROR(__xludf.DUMMYFUNCTION("""COMPUTED_VALUE"""),"0")</f>
        <v>#NAME?</v>
      </c>
      <c r="K1248" s="100" t="e">
        <f t="shared" ca="1" si="226"/>
        <v>#NAME?</v>
      </c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</row>
    <row r="1249" spans="1:26">
      <c r="A1249" s="100" t="e">
        <f ca="1">IFERROR(__xludf.DUMMYFUNCTION("""COMPUTED_VALUE"""),58784584)</f>
        <v>#NAME?</v>
      </c>
      <c r="B1249" s="100" t="e">
        <f ca="1">IFERROR(__xludf.DUMMYFUNCTION("""COMPUTED_VALUE"""),"EOSEUR")</f>
        <v>#NAME?</v>
      </c>
      <c r="C1249" s="100" t="e">
        <f ca="1">IFERROR(__xludf.DUMMYFUNCTION("""COMPUTED_VALUE"""),"0.76200000")</f>
        <v>#NAME?</v>
      </c>
      <c r="D1249" s="100" t="e">
        <f t="shared" ca="1" si="228"/>
        <v>#NAME?</v>
      </c>
      <c r="E1249" s="100" t="e">
        <f t="shared" ca="1" si="228"/>
        <v>#NAME?</v>
      </c>
      <c r="F1249" s="100" t="e">
        <f t="shared" ca="1" si="222"/>
        <v>#NAME?</v>
      </c>
      <c r="G1249" s="100" t="e">
        <f t="shared" ca="1" si="223"/>
        <v>#NAME?</v>
      </c>
      <c r="H1249" s="100" t="e">
        <f t="shared" ca="1" si="224"/>
        <v>#NAME?</v>
      </c>
      <c r="I1249" s="100" t="e">
        <f t="shared" ca="1" si="225"/>
        <v>#NAME?</v>
      </c>
      <c r="J1249" s="100" t="e">
        <f ca="1">IFERROR(__xludf.DUMMYFUNCTION("""COMPUTED_VALUE"""),"0")</f>
        <v>#NAME?</v>
      </c>
      <c r="K1249" s="100" t="e">
        <f t="shared" ca="1" si="226"/>
        <v>#NAME?</v>
      </c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</row>
    <row r="1250" spans="1:26">
      <c r="A1250" s="100" t="e">
        <f ca="1">IFERROR(__xludf.DUMMYFUNCTION("""COMPUTED_VALUE"""),58784585)</f>
        <v>#NAME?</v>
      </c>
      <c r="B1250" s="100" t="e">
        <f ca="1">IFERROR(__xludf.DUMMYFUNCTION("""COMPUTED_VALUE"""),"LTCBRL")</f>
        <v>#NAME?</v>
      </c>
      <c r="C1250" s="100" t="e">
        <f ca="1">IFERROR(__xludf.DUMMYFUNCTION("""COMPUTED_VALUE"""),"461.60000000")</f>
        <v>#NAME?</v>
      </c>
      <c r="D1250" s="100" t="e">
        <f t="shared" ca="1" si="228"/>
        <v>#NAME?</v>
      </c>
      <c r="E1250" s="100" t="e">
        <f t="shared" ca="1" si="228"/>
        <v>#NAME?</v>
      </c>
      <c r="F1250" s="100" t="e">
        <f t="shared" ca="1" si="222"/>
        <v>#NAME?</v>
      </c>
      <c r="G1250" s="100" t="e">
        <f t="shared" ca="1" si="223"/>
        <v>#NAME?</v>
      </c>
      <c r="H1250" s="100" t="e">
        <f t="shared" ca="1" si="224"/>
        <v>#NAME?</v>
      </c>
      <c r="I1250" s="100" t="e">
        <f t="shared" ca="1" si="225"/>
        <v>#NAME?</v>
      </c>
      <c r="J1250" s="100" t="e">
        <f ca="1">IFERROR(__xludf.DUMMYFUNCTION("""COMPUTED_VALUE"""),"-2.141")</f>
        <v>#NAME?</v>
      </c>
      <c r="K1250" s="100" t="e">
        <f t="shared" ca="1" si="226"/>
        <v>#NAME?</v>
      </c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</row>
    <row r="1251" spans="1:26">
      <c r="A1251" s="100" t="e">
        <f ca="1">IFERROR(__xludf.DUMMYFUNCTION("""COMPUTED_VALUE"""),58784586)</f>
        <v>#NAME?</v>
      </c>
      <c r="B1251" s="100" t="e">
        <f ca="1">IFERROR(__xludf.DUMMYFUNCTION("""COMPUTED_VALUE"""),"USDCBUSD")</f>
        <v>#NAME?</v>
      </c>
      <c r="C1251" s="100" t="e">
        <f ca="1">IFERROR(__xludf.DUMMYFUNCTION("""COMPUTED_VALUE"""),"0.99990000")</f>
        <v>#NAME?</v>
      </c>
      <c r="D1251" s="100" t="e">
        <f t="shared" ca="1" si="228"/>
        <v>#NAME?</v>
      </c>
      <c r="E1251" s="100" t="e">
        <f t="shared" ca="1" si="228"/>
        <v>#NAME?</v>
      </c>
      <c r="F1251" s="100" t="e">
        <f t="shared" ca="1" si="222"/>
        <v>#NAME?</v>
      </c>
      <c r="G1251" s="100" t="e">
        <f t="shared" ca="1" si="223"/>
        <v>#NAME?</v>
      </c>
      <c r="H1251" s="100" t="e">
        <f t="shared" ca="1" si="224"/>
        <v>#NAME?</v>
      </c>
      <c r="I1251" s="100" t="e">
        <f t="shared" ca="1" si="225"/>
        <v>#NAME?</v>
      </c>
      <c r="J1251" s="100" t="e">
        <f ca="1">IFERROR(__xludf.DUMMYFUNCTION("""COMPUTED_VALUE"""),"0")</f>
        <v>#NAME?</v>
      </c>
      <c r="K1251" s="100" t="e">
        <f t="shared" ca="1" si="226"/>
        <v>#NAME?</v>
      </c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</row>
    <row r="1252" spans="1:26">
      <c r="A1252" s="100" t="e">
        <f ca="1">IFERROR(__xludf.DUMMYFUNCTION("""COMPUTED_VALUE"""),58784587)</f>
        <v>#NAME?</v>
      </c>
      <c r="B1252" s="100" t="e">
        <f ca="1">IFERROR(__xludf.DUMMYFUNCTION("""COMPUTED_VALUE"""),"TUSDBUSD")</f>
        <v>#NAME?</v>
      </c>
      <c r="C1252" s="100" t="e">
        <f ca="1">IFERROR(__xludf.DUMMYFUNCTION("""COMPUTED_VALUE"""),"0.99660000")</f>
        <v>#NAME?</v>
      </c>
      <c r="D1252" s="100" t="e">
        <f t="shared" ca="1" si="228"/>
        <v>#NAME?</v>
      </c>
      <c r="E1252" s="100" t="e">
        <f t="shared" ca="1" si="228"/>
        <v>#NAME?</v>
      </c>
      <c r="F1252" s="100" t="e">
        <f t="shared" ca="1" si="222"/>
        <v>#NAME?</v>
      </c>
      <c r="G1252" s="100" t="e">
        <f t="shared" ca="1" si="223"/>
        <v>#NAME?</v>
      </c>
      <c r="H1252" s="100" t="e">
        <f t="shared" ca="1" si="224"/>
        <v>#NAME?</v>
      </c>
      <c r="I1252" s="100" t="e">
        <f t="shared" ca="1" si="225"/>
        <v>#NAME?</v>
      </c>
      <c r="J1252" s="100" t="e">
        <f ca="1">IFERROR(__xludf.DUMMYFUNCTION("""COMPUTED_VALUE"""),"0")</f>
        <v>#NAME?</v>
      </c>
      <c r="K1252" s="100" t="e">
        <f t="shared" ca="1" si="226"/>
        <v>#NAME?</v>
      </c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</row>
    <row r="1253" spans="1:26">
      <c r="A1253" s="100" t="e">
        <f ca="1">IFERROR(__xludf.DUMMYFUNCTION("""COMPUTED_VALUE"""),58784588)</f>
        <v>#NAME?</v>
      </c>
      <c r="B1253" s="100" t="e">
        <f ca="1">IFERROR(__xludf.DUMMYFUNCTION("""COMPUTED_VALUE"""),"PAXBUSD")</f>
        <v>#NAME?</v>
      </c>
      <c r="C1253" s="100" t="e">
        <f ca="1">IFERROR(__xludf.DUMMYFUNCTION("""COMPUTED_VALUE"""),"0.00000000")</f>
        <v>#NAME?</v>
      </c>
      <c r="D1253" s="100" t="e">
        <f t="shared" ca="1" si="228"/>
        <v>#NAME?</v>
      </c>
      <c r="E1253" s="100" t="e">
        <f t="shared" ca="1" si="228"/>
        <v>#NAME?</v>
      </c>
      <c r="F1253" s="100" t="e">
        <f t="shared" ca="1" si="222"/>
        <v>#NAME?</v>
      </c>
      <c r="G1253" s="100" t="e">
        <f t="shared" ca="1" si="223"/>
        <v>#NAME?</v>
      </c>
      <c r="H1253" s="100" t="e">
        <f t="shared" ca="1" si="224"/>
        <v>#NAME?</v>
      </c>
      <c r="I1253" s="100" t="e">
        <f t="shared" ca="1" si="225"/>
        <v>#NAME?</v>
      </c>
      <c r="J1253" s="100" t="e">
        <f ca="1">IFERROR(__xludf.DUMMYFUNCTION("""COMPUTED_VALUE"""),"0")</f>
        <v>#NAME?</v>
      </c>
      <c r="K1253" s="100" t="e">
        <f t="shared" ca="1" si="226"/>
        <v>#NAME?</v>
      </c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</row>
    <row r="1254" spans="1:26">
      <c r="A1254" s="100" t="e">
        <f ca="1">IFERROR(__xludf.DUMMYFUNCTION("""COMPUTED_VALUE"""),58784589)</f>
        <v>#NAME?</v>
      </c>
      <c r="B1254" s="100" t="e">
        <f ca="1">IFERROR(__xludf.DUMMYFUNCTION("""COMPUTED_VALUE"""),"CKBBTC")</f>
        <v>#NAME?</v>
      </c>
      <c r="C1254" s="100" t="e">
        <f ca="1">IFERROR(__xludf.DUMMYFUNCTION("""COMPUTED_VALUE"""),"0.00000000")</f>
        <v>#NAME?</v>
      </c>
      <c r="D1254" s="100" t="e">
        <f t="shared" ca="1" si="228"/>
        <v>#NAME?</v>
      </c>
      <c r="E1254" s="100" t="e">
        <f t="shared" ca="1" si="228"/>
        <v>#NAME?</v>
      </c>
      <c r="F1254" s="100" t="e">
        <f t="shared" ca="1" si="222"/>
        <v>#NAME?</v>
      </c>
      <c r="G1254" s="100" t="e">
        <f t="shared" ca="1" si="223"/>
        <v>#NAME?</v>
      </c>
      <c r="H1254" s="100" t="e">
        <f t="shared" ca="1" si="224"/>
        <v>#NAME?</v>
      </c>
      <c r="I1254" s="100" t="e">
        <f t="shared" ca="1" si="225"/>
        <v>#NAME?</v>
      </c>
      <c r="J1254" s="100" t="e">
        <f ca="1">IFERROR(__xludf.DUMMYFUNCTION("""COMPUTED_VALUE"""),"0")</f>
        <v>#NAME?</v>
      </c>
      <c r="K1254" s="100" t="e">
        <f t="shared" ca="1" si="226"/>
        <v>#NAME?</v>
      </c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</row>
    <row r="1255" spans="1:26">
      <c r="A1255" s="100" t="e">
        <f ca="1">IFERROR(__xludf.DUMMYFUNCTION("""COMPUTED_VALUE"""),58784590)</f>
        <v>#NAME?</v>
      </c>
      <c r="B1255" s="100" t="e">
        <f ca="1">IFERROR(__xludf.DUMMYFUNCTION("""COMPUTED_VALUE"""),"CKBBUSD")</f>
        <v>#NAME?</v>
      </c>
      <c r="C1255" s="100" t="e">
        <f ca="1">IFERROR(__xludf.DUMMYFUNCTION("""COMPUTED_VALUE"""),"0.00265000")</f>
        <v>#NAME?</v>
      </c>
      <c r="D1255" s="100" t="e">
        <f t="shared" ca="1" si="228"/>
        <v>#NAME?</v>
      </c>
      <c r="E1255" s="100" t="e">
        <f t="shared" ca="1" si="228"/>
        <v>#NAME?</v>
      </c>
      <c r="F1255" s="100" t="e">
        <f t="shared" ca="1" si="222"/>
        <v>#NAME?</v>
      </c>
      <c r="G1255" s="100" t="e">
        <f t="shared" ca="1" si="223"/>
        <v>#NAME?</v>
      </c>
      <c r="H1255" s="100" t="e">
        <f t="shared" ca="1" si="224"/>
        <v>#NAME?</v>
      </c>
      <c r="I1255" s="100" t="e">
        <f t="shared" ca="1" si="225"/>
        <v>#NAME?</v>
      </c>
      <c r="J1255" s="100" t="e">
        <f ca="1">IFERROR(__xludf.DUMMYFUNCTION("""COMPUTED_VALUE"""),"0")</f>
        <v>#NAME?</v>
      </c>
      <c r="K1255" s="100" t="e">
        <f t="shared" ca="1" si="226"/>
        <v>#NAME?</v>
      </c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</row>
    <row r="1256" spans="1:26">
      <c r="A1256" s="100" t="e">
        <f ca="1">IFERROR(__xludf.DUMMYFUNCTION("""COMPUTED_VALUE"""),58784591)</f>
        <v>#NAME?</v>
      </c>
      <c r="B1256" s="100" t="e">
        <f ca="1">IFERROR(__xludf.DUMMYFUNCTION("""COMPUTED_VALUE"""),"CKBUSDT")</f>
        <v>#NAME?</v>
      </c>
      <c r="C1256" s="100" t="e">
        <f ca="1">IFERROR(__xludf.DUMMYFUNCTION("""COMPUTED_VALUE"""),"0.00461400")</f>
        <v>#NAME?</v>
      </c>
      <c r="D1256" s="100" t="e">
        <f t="shared" ca="1" si="228"/>
        <v>#NAME?</v>
      </c>
      <c r="E1256" s="100" t="e">
        <f t="shared" ca="1" si="228"/>
        <v>#NAME?</v>
      </c>
      <c r="F1256" s="100" t="e">
        <f t="shared" ca="1" si="222"/>
        <v>#NAME?</v>
      </c>
      <c r="G1256" s="100" t="e">
        <f t="shared" ca="1" si="223"/>
        <v>#NAME?</v>
      </c>
      <c r="H1256" s="100" t="e">
        <f t="shared" ca="1" si="224"/>
        <v>#NAME?</v>
      </c>
      <c r="I1256" s="100" t="e">
        <f t="shared" ca="1" si="225"/>
        <v>#NAME?</v>
      </c>
      <c r="J1256" s="100" t="e">
        <f ca="1">IFERROR(__xludf.DUMMYFUNCTION("""COMPUTED_VALUE"""),"-5.451")</f>
        <v>#NAME?</v>
      </c>
      <c r="K1256" s="100" t="e">
        <f t="shared" ca="1" si="226"/>
        <v>#NAME?</v>
      </c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</row>
    <row r="1257" spans="1:26">
      <c r="A1257" s="100" t="e">
        <f ca="1">IFERROR(__xludf.DUMMYFUNCTION("""COMPUTED_VALUE"""),58784592)</f>
        <v>#NAME?</v>
      </c>
      <c r="B1257" s="100" t="e">
        <f ca="1">IFERROR(__xludf.DUMMYFUNCTION("""COMPUTED_VALUE"""),"TWTBTC")</f>
        <v>#NAME?</v>
      </c>
      <c r="C1257" s="100" t="e">
        <f ca="1">IFERROR(__xludf.DUMMYFUNCTION("""COMPUTED_VALUE"""),"0.00001229")</f>
        <v>#NAME?</v>
      </c>
      <c r="D1257" s="100" t="e">
        <f t="shared" ca="1" si="228"/>
        <v>#NAME?</v>
      </c>
      <c r="E1257" s="100" t="e">
        <f t="shared" ca="1" si="228"/>
        <v>#NAME?</v>
      </c>
      <c r="F1257" s="100" t="e">
        <f t="shared" ca="1" si="222"/>
        <v>#NAME?</v>
      </c>
      <c r="G1257" s="100" t="e">
        <f t="shared" ca="1" si="223"/>
        <v>#NAME?</v>
      </c>
      <c r="H1257" s="100" t="e">
        <f t="shared" ca="1" si="224"/>
        <v>#NAME?</v>
      </c>
      <c r="I1257" s="100" t="e">
        <f t="shared" ca="1" si="225"/>
        <v>#NAME?</v>
      </c>
      <c r="J1257" s="100" t="e">
        <f ca="1">IFERROR(__xludf.DUMMYFUNCTION("""COMPUTED_VALUE"""),"0")</f>
        <v>#NAME?</v>
      </c>
      <c r="K1257" s="100" t="e">
        <f t="shared" ca="1" si="226"/>
        <v>#NAME?</v>
      </c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</row>
    <row r="1258" spans="1:26">
      <c r="A1258" s="100" t="e">
        <f ca="1">IFERROR(__xludf.DUMMYFUNCTION("""COMPUTED_VALUE"""),58784593)</f>
        <v>#NAME?</v>
      </c>
      <c r="B1258" s="100" t="e">
        <f ca="1">IFERROR(__xludf.DUMMYFUNCTION("""COMPUTED_VALUE"""),"TWTBUSD")</f>
        <v>#NAME?</v>
      </c>
      <c r="C1258" s="100" t="e">
        <f ca="1">IFERROR(__xludf.DUMMYFUNCTION("""COMPUTED_VALUE"""),"0.79240000")</f>
        <v>#NAME?</v>
      </c>
      <c r="D1258" s="100" t="e">
        <f t="shared" ca="1" si="228"/>
        <v>#NAME?</v>
      </c>
      <c r="E1258" s="100" t="e">
        <f t="shared" ca="1" si="228"/>
        <v>#NAME?</v>
      </c>
      <c r="F1258" s="100" t="e">
        <f t="shared" ca="1" si="222"/>
        <v>#NAME?</v>
      </c>
      <c r="G1258" s="100" t="e">
        <f t="shared" ca="1" si="223"/>
        <v>#NAME?</v>
      </c>
      <c r="H1258" s="100" t="e">
        <f t="shared" ca="1" si="224"/>
        <v>#NAME?</v>
      </c>
      <c r="I1258" s="100" t="e">
        <f t="shared" ca="1" si="225"/>
        <v>#NAME?</v>
      </c>
      <c r="J1258" s="100" t="e">
        <f ca="1">IFERROR(__xludf.DUMMYFUNCTION("""COMPUTED_VALUE"""),"0")</f>
        <v>#NAME?</v>
      </c>
      <c r="K1258" s="100" t="e">
        <f t="shared" ca="1" si="226"/>
        <v>#NAME?</v>
      </c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</row>
    <row r="1259" spans="1:26">
      <c r="A1259" s="100" t="e">
        <f ca="1">IFERROR(__xludf.DUMMYFUNCTION("""COMPUTED_VALUE"""),58784594)</f>
        <v>#NAME?</v>
      </c>
      <c r="B1259" s="100" t="e">
        <f ca="1">IFERROR(__xludf.DUMMYFUNCTION("""COMPUTED_VALUE"""),"TWTUSDT")</f>
        <v>#NAME?</v>
      </c>
      <c r="C1259" s="100" t="e">
        <f ca="1">IFERROR(__xludf.DUMMYFUNCTION("""COMPUTED_VALUE"""),"0.78370000")</f>
        <v>#NAME?</v>
      </c>
      <c r="D1259" s="100" t="e">
        <f t="shared" ca="1" si="228"/>
        <v>#NAME?</v>
      </c>
      <c r="E1259" s="100" t="e">
        <f t="shared" ca="1" si="228"/>
        <v>#NAME?</v>
      </c>
      <c r="F1259" s="100" t="e">
        <f t="shared" ca="1" si="222"/>
        <v>#NAME?</v>
      </c>
      <c r="G1259" s="100" t="e">
        <f t="shared" ca="1" si="223"/>
        <v>#NAME?</v>
      </c>
      <c r="H1259" s="100" t="e">
        <f t="shared" ca="1" si="224"/>
        <v>#NAME?</v>
      </c>
      <c r="I1259" s="100" t="e">
        <f t="shared" ca="1" si="225"/>
        <v>#NAME?</v>
      </c>
      <c r="J1259" s="100" t="e">
        <f ca="1">IFERROR(__xludf.DUMMYFUNCTION("""COMPUTED_VALUE"""),"-0.318")</f>
        <v>#NAME?</v>
      </c>
      <c r="K1259" s="100" t="e">
        <f t="shared" ca="1" si="226"/>
        <v>#NAME?</v>
      </c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</row>
    <row r="1260" spans="1:26">
      <c r="A1260" s="100" t="e">
        <f ca="1">IFERROR(__xludf.DUMMYFUNCTION("""COMPUTED_VALUE"""),58784595)</f>
        <v>#NAME?</v>
      </c>
      <c r="B1260" s="100" t="e">
        <f ca="1">IFERROR(__xludf.DUMMYFUNCTION("""COMPUTED_VALUE"""),"FIROBTC")</f>
        <v>#NAME?</v>
      </c>
      <c r="C1260" s="100" t="e">
        <f ca="1">IFERROR(__xludf.DUMMYFUNCTION("""COMPUTED_VALUE"""),"0.00002005")</f>
        <v>#NAME?</v>
      </c>
      <c r="D1260" s="100" t="e">
        <f t="shared" ca="1" si="228"/>
        <v>#NAME?</v>
      </c>
      <c r="E1260" s="100" t="e">
        <f t="shared" ca="1" si="228"/>
        <v>#NAME?</v>
      </c>
      <c r="F1260" s="100" t="e">
        <f t="shared" ca="1" si="222"/>
        <v>#NAME?</v>
      </c>
      <c r="G1260" s="100" t="e">
        <f t="shared" ca="1" si="223"/>
        <v>#NAME?</v>
      </c>
      <c r="H1260" s="100" t="e">
        <f t="shared" ca="1" si="224"/>
        <v>#NAME?</v>
      </c>
      <c r="I1260" s="100" t="e">
        <f t="shared" ca="1" si="225"/>
        <v>#NAME?</v>
      </c>
      <c r="J1260" s="100" t="e">
        <f ca="1">IFERROR(__xludf.DUMMYFUNCTION("""COMPUTED_VALUE"""),"0")</f>
        <v>#NAME?</v>
      </c>
      <c r="K1260" s="100" t="e">
        <f t="shared" ca="1" si="226"/>
        <v>#NAME?</v>
      </c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</row>
    <row r="1261" spans="1:26">
      <c r="A1261" s="100" t="e">
        <f ca="1">IFERROR(__xludf.DUMMYFUNCTION("""COMPUTED_VALUE"""),58784596)</f>
        <v>#NAME?</v>
      </c>
      <c r="B1261" s="100" t="e">
        <f ca="1">IFERROR(__xludf.DUMMYFUNCTION("""COMPUTED_VALUE"""),"FIROETH")</f>
        <v>#NAME?</v>
      </c>
      <c r="C1261" s="100" t="e">
        <f ca="1">IFERROR(__xludf.DUMMYFUNCTION("""COMPUTED_VALUE"""),"0.00000000")</f>
        <v>#NAME?</v>
      </c>
      <c r="D1261" s="100" t="e">
        <f t="shared" ca="1" si="228"/>
        <v>#NAME?</v>
      </c>
      <c r="E1261" s="100" t="e">
        <f t="shared" ca="1" si="228"/>
        <v>#NAME?</v>
      </c>
      <c r="F1261" s="100" t="e">
        <f t="shared" ca="1" si="222"/>
        <v>#NAME?</v>
      </c>
      <c r="G1261" s="100" t="e">
        <f t="shared" ca="1" si="223"/>
        <v>#NAME?</v>
      </c>
      <c r="H1261" s="100" t="e">
        <f t="shared" ca="1" si="224"/>
        <v>#NAME?</v>
      </c>
      <c r="I1261" s="100" t="e">
        <f t="shared" ca="1" si="225"/>
        <v>#NAME?</v>
      </c>
      <c r="J1261" s="100" t="e">
        <f ca="1">IFERROR(__xludf.DUMMYFUNCTION("""COMPUTED_VALUE"""),"0")</f>
        <v>#NAME?</v>
      </c>
      <c r="K1261" s="100" t="e">
        <f t="shared" ca="1" si="226"/>
        <v>#NAME?</v>
      </c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</row>
    <row r="1262" spans="1:26">
      <c r="A1262" s="100" t="e">
        <f ca="1">IFERROR(__xludf.DUMMYFUNCTION("""COMPUTED_VALUE"""),58784597)</f>
        <v>#NAME?</v>
      </c>
      <c r="B1262" s="100" t="e">
        <f ca="1">IFERROR(__xludf.DUMMYFUNCTION("""COMPUTED_VALUE"""),"FIROUSDT")</f>
        <v>#NAME?</v>
      </c>
      <c r="C1262" s="100" t="e">
        <f ca="1">IFERROR(__xludf.DUMMYFUNCTION("""COMPUTED_VALUE"""),"0.30000000")</f>
        <v>#NAME?</v>
      </c>
      <c r="D1262" s="100" t="e">
        <f t="shared" ref="D1262:E1281" ca="1" si="229">IFERROR(__xludf.DUMMYFUNCTION("""COMPUTED_VALUE"""),"-")</f>
        <v>#NAME?</v>
      </c>
      <c r="E1262" s="100" t="e">
        <f t="shared" ca="1" si="229"/>
        <v>#NAME?</v>
      </c>
      <c r="F1262" s="100" t="e">
        <f t="shared" ca="1" si="222"/>
        <v>#NAME?</v>
      </c>
      <c r="G1262" s="100" t="e">
        <f t="shared" ca="1" si="223"/>
        <v>#NAME?</v>
      </c>
      <c r="H1262" s="100" t="e">
        <f t="shared" ca="1" si="224"/>
        <v>#NAME?</v>
      </c>
      <c r="I1262" s="100" t="e">
        <f t="shared" ca="1" si="225"/>
        <v>#NAME?</v>
      </c>
      <c r="J1262" s="100" t="e">
        <f ca="1">IFERROR(__xludf.DUMMYFUNCTION("""COMPUTED_VALUE"""),"-30.556")</f>
        <v>#NAME?</v>
      </c>
      <c r="K1262" s="100" t="e">
        <f t="shared" ca="1" si="226"/>
        <v>#NAME?</v>
      </c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</row>
    <row r="1263" spans="1:26">
      <c r="A1263" s="100" t="e">
        <f ca="1">IFERROR(__xludf.DUMMYFUNCTION("""COMPUTED_VALUE"""),58784598)</f>
        <v>#NAME?</v>
      </c>
      <c r="B1263" s="100" t="e">
        <f ca="1">IFERROR(__xludf.DUMMYFUNCTION("""COMPUTED_VALUE"""),"BETHETH")</f>
        <v>#NAME?</v>
      </c>
      <c r="C1263" s="100" t="e">
        <f ca="1">IFERROR(__xludf.DUMMYFUNCTION("""COMPUTED_VALUE"""),"0.99960000")</f>
        <v>#NAME?</v>
      </c>
      <c r="D1263" s="100" t="e">
        <f t="shared" ca="1" si="229"/>
        <v>#NAME?</v>
      </c>
      <c r="E1263" s="100" t="e">
        <f t="shared" ca="1" si="229"/>
        <v>#NAME?</v>
      </c>
      <c r="F1263" s="100" t="e">
        <f t="shared" ca="1" si="222"/>
        <v>#NAME?</v>
      </c>
      <c r="G1263" s="100" t="e">
        <f t="shared" ca="1" si="223"/>
        <v>#NAME?</v>
      </c>
      <c r="H1263" s="100" t="e">
        <f t="shared" ca="1" si="224"/>
        <v>#NAME?</v>
      </c>
      <c r="I1263" s="100" t="e">
        <f t="shared" ca="1" si="225"/>
        <v>#NAME?</v>
      </c>
      <c r="J1263" s="100" t="e">
        <f ca="1">IFERROR(__xludf.DUMMYFUNCTION("""COMPUTED_VALUE"""),"0")</f>
        <v>#NAME?</v>
      </c>
      <c r="K1263" s="100" t="e">
        <f t="shared" ca="1" si="226"/>
        <v>#NAME?</v>
      </c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</row>
    <row r="1264" spans="1:26">
      <c r="A1264" s="100" t="e">
        <f ca="1">IFERROR(__xludf.DUMMYFUNCTION("""COMPUTED_VALUE"""),58784599)</f>
        <v>#NAME?</v>
      </c>
      <c r="B1264" s="100" t="e">
        <f ca="1">IFERROR(__xludf.DUMMYFUNCTION("""COMPUTED_VALUE"""),"DOGEEUR")</f>
        <v>#NAME?</v>
      </c>
      <c r="C1264" s="100" t="e">
        <f ca="1">IFERROR(__xludf.DUMMYFUNCTION("""COMPUTED_VALUE"""),"0.14253000")</f>
        <v>#NAME?</v>
      </c>
      <c r="D1264" s="100" t="e">
        <f t="shared" ca="1" si="229"/>
        <v>#NAME?</v>
      </c>
      <c r="E1264" s="100" t="e">
        <f t="shared" ca="1" si="229"/>
        <v>#NAME?</v>
      </c>
      <c r="F1264" s="100" t="e">
        <f t="shared" ca="1" si="222"/>
        <v>#NAME?</v>
      </c>
      <c r="G1264" s="100" t="e">
        <f t="shared" ca="1" si="223"/>
        <v>#NAME?</v>
      </c>
      <c r="H1264" s="100" t="e">
        <f t="shared" ca="1" si="224"/>
        <v>#NAME?</v>
      </c>
      <c r="I1264" s="100" t="e">
        <f t="shared" ca="1" si="225"/>
        <v>#NAME?</v>
      </c>
      <c r="J1264" s="100" t="e">
        <f ca="1">IFERROR(__xludf.DUMMYFUNCTION("""COMPUTED_VALUE"""),"1.495")</f>
        <v>#NAME?</v>
      </c>
      <c r="K1264" s="100" t="e">
        <f t="shared" ca="1" si="226"/>
        <v>#NAME?</v>
      </c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</row>
    <row r="1265" spans="1:26">
      <c r="A1265" s="100" t="e">
        <f ca="1">IFERROR(__xludf.DUMMYFUNCTION("""COMPUTED_VALUE"""),58784600)</f>
        <v>#NAME?</v>
      </c>
      <c r="B1265" s="100" t="e">
        <f ca="1">IFERROR(__xludf.DUMMYFUNCTION("""COMPUTED_VALUE"""),"DOGETRY")</f>
        <v>#NAME?</v>
      </c>
      <c r="C1265" s="100" t="e">
        <f ca="1">IFERROR(__xludf.DUMMYFUNCTION("""COMPUTED_VALUE"""),"6.25800000")</f>
        <v>#NAME?</v>
      </c>
      <c r="D1265" s="100" t="e">
        <f t="shared" ca="1" si="229"/>
        <v>#NAME?</v>
      </c>
      <c r="E1265" s="100" t="e">
        <f t="shared" ca="1" si="229"/>
        <v>#NAME?</v>
      </c>
      <c r="F1265" s="100" t="e">
        <f t="shared" ca="1" si="222"/>
        <v>#NAME?</v>
      </c>
      <c r="G1265" s="100" t="e">
        <f t="shared" ca="1" si="223"/>
        <v>#NAME?</v>
      </c>
      <c r="H1265" s="100" t="e">
        <f t="shared" ca="1" si="224"/>
        <v>#NAME?</v>
      </c>
      <c r="I1265" s="100" t="e">
        <f t="shared" ca="1" si="225"/>
        <v>#NAME?</v>
      </c>
      <c r="J1265" s="100" t="e">
        <f ca="1">IFERROR(__xludf.DUMMYFUNCTION("""COMPUTED_VALUE"""),"0.968")</f>
        <v>#NAME?</v>
      </c>
      <c r="K1265" s="100" t="e">
        <f t="shared" ca="1" si="226"/>
        <v>#NAME?</v>
      </c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</row>
    <row r="1266" spans="1:26">
      <c r="A1266" s="100" t="e">
        <f ca="1">IFERROR(__xludf.DUMMYFUNCTION("""COMPUTED_VALUE"""),58784601)</f>
        <v>#NAME?</v>
      </c>
      <c r="B1266" s="100" t="e">
        <f ca="1">IFERROR(__xludf.DUMMYFUNCTION("""COMPUTED_VALUE"""),"DOGEAUD")</f>
        <v>#NAME?</v>
      </c>
      <c r="C1266" s="100" t="e">
        <f ca="1">IFERROR(__xludf.DUMMYFUNCTION("""COMPUTED_VALUE"""),"0.09449000")</f>
        <v>#NAME?</v>
      </c>
      <c r="D1266" s="100" t="e">
        <f t="shared" ca="1" si="229"/>
        <v>#NAME?</v>
      </c>
      <c r="E1266" s="100" t="e">
        <f t="shared" ca="1" si="229"/>
        <v>#NAME?</v>
      </c>
      <c r="F1266" s="100" t="e">
        <f t="shared" ca="1" si="222"/>
        <v>#NAME?</v>
      </c>
      <c r="G1266" s="100" t="e">
        <f t="shared" ca="1" si="223"/>
        <v>#NAME?</v>
      </c>
      <c r="H1266" s="100" t="e">
        <f t="shared" ca="1" si="224"/>
        <v>#NAME?</v>
      </c>
      <c r="I1266" s="100" t="e">
        <f t="shared" ca="1" si="225"/>
        <v>#NAME?</v>
      </c>
      <c r="J1266" s="100" t="e">
        <f ca="1">IFERROR(__xludf.DUMMYFUNCTION("""COMPUTED_VALUE"""),"0")</f>
        <v>#NAME?</v>
      </c>
      <c r="K1266" s="100" t="e">
        <f t="shared" ca="1" si="226"/>
        <v>#NAME?</v>
      </c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</row>
    <row r="1267" spans="1:26">
      <c r="A1267" s="100" t="e">
        <f ca="1">IFERROR(__xludf.DUMMYFUNCTION("""COMPUTED_VALUE"""),58784602)</f>
        <v>#NAME?</v>
      </c>
      <c r="B1267" s="100" t="e">
        <f ca="1">IFERROR(__xludf.DUMMYFUNCTION("""COMPUTED_VALUE"""),"DOGEBRL")</f>
        <v>#NAME?</v>
      </c>
      <c r="C1267" s="100" t="e">
        <f ca="1">IFERROR(__xludf.DUMMYFUNCTION("""COMPUTED_VALUE"""),"0.95200000")</f>
        <v>#NAME?</v>
      </c>
      <c r="D1267" s="100" t="e">
        <f t="shared" ca="1" si="229"/>
        <v>#NAME?</v>
      </c>
      <c r="E1267" s="100" t="e">
        <f t="shared" ca="1" si="229"/>
        <v>#NAME?</v>
      </c>
      <c r="F1267" s="100" t="e">
        <f t="shared" ca="1" si="222"/>
        <v>#NAME?</v>
      </c>
      <c r="G1267" s="100" t="e">
        <f t="shared" ca="1" si="223"/>
        <v>#NAME?</v>
      </c>
      <c r="H1267" s="100" t="e">
        <f t="shared" ca="1" si="224"/>
        <v>#NAME?</v>
      </c>
      <c r="I1267" s="100" t="e">
        <f t="shared" ca="1" si="225"/>
        <v>#NAME?</v>
      </c>
      <c r="J1267" s="100" t="e">
        <f ca="1">IFERROR(__xludf.DUMMYFUNCTION("""COMPUTED_VALUE"""),"0.741")</f>
        <v>#NAME?</v>
      </c>
      <c r="K1267" s="100" t="e">
        <f t="shared" ca="1" si="226"/>
        <v>#NAME?</v>
      </c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</row>
    <row r="1268" spans="1:26">
      <c r="A1268" s="100" t="e">
        <f ca="1">IFERROR(__xludf.DUMMYFUNCTION("""COMPUTED_VALUE"""),58784603)</f>
        <v>#NAME?</v>
      </c>
      <c r="B1268" s="100" t="e">
        <f ca="1">IFERROR(__xludf.DUMMYFUNCTION("""COMPUTED_VALUE"""),"DOTNGN")</f>
        <v>#NAME?</v>
      </c>
      <c r="C1268" s="100" t="e">
        <f ca="1">IFERROR(__xludf.DUMMYFUNCTION("""COMPUTED_VALUE"""),"0.00000000")</f>
        <v>#NAME?</v>
      </c>
      <c r="D1268" s="100" t="e">
        <f t="shared" ca="1" si="229"/>
        <v>#NAME?</v>
      </c>
      <c r="E1268" s="100" t="e">
        <f t="shared" ca="1" si="229"/>
        <v>#NAME?</v>
      </c>
      <c r="F1268" s="100" t="e">
        <f t="shared" ca="1" si="222"/>
        <v>#NAME?</v>
      </c>
      <c r="G1268" s="100" t="e">
        <f t="shared" ca="1" si="223"/>
        <v>#NAME?</v>
      </c>
      <c r="H1268" s="100" t="e">
        <f t="shared" ca="1" si="224"/>
        <v>#NAME?</v>
      </c>
      <c r="I1268" s="100" t="e">
        <f t="shared" ca="1" si="225"/>
        <v>#NAME?</v>
      </c>
      <c r="J1268" s="100" t="e">
        <f t="shared" ref="J1268:J1274" ca="1" si="230">IFERROR(__xludf.DUMMYFUNCTION("""COMPUTED_VALUE"""),"0")</f>
        <v>#NAME?</v>
      </c>
      <c r="K1268" s="100" t="e">
        <f t="shared" ca="1" si="226"/>
        <v>#NAME?</v>
      </c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</row>
    <row r="1269" spans="1:26">
      <c r="A1269" s="100" t="e">
        <f ca="1">IFERROR(__xludf.DUMMYFUNCTION("""COMPUTED_VALUE"""),58784604)</f>
        <v>#NAME?</v>
      </c>
      <c r="B1269" s="100" t="e">
        <f ca="1">IFERROR(__xludf.DUMMYFUNCTION("""COMPUTED_VALUE"""),"PROSETH")</f>
        <v>#NAME?</v>
      </c>
      <c r="C1269" s="100" t="e">
        <f ca="1">IFERROR(__xludf.DUMMYFUNCTION("""COMPUTED_VALUE"""),"0.00021600")</f>
        <v>#NAME?</v>
      </c>
      <c r="D1269" s="100" t="e">
        <f t="shared" ca="1" si="229"/>
        <v>#NAME?</v>
      </c>
      <c r="E1269" s="100" t="e">
        <f t="shared" ca="1" si="229"/>
        <v>#NAME?</v>
      </c>
      <c r="F1269" s="100" t="e">
        <f t="shared" ca="1" si="222"/>
        <v>#NAME?</v>
      </c>
      <c r="G1269" s="100" t="e">
        <f t="shared" ca="1" si="223"/>
        <v>#NAME?</v>
      </c>
      <c r="H1269" s="100" t="e">
        <f t="shared" ca="1" si="224"/>
        <v>#NAME?</v>
      </c>
      <c r="I1269" s="100" t="e">
        <f t="shared" ca="1" si="225"/>
        <v>#NAME?</v>
      </c>
      <c r="J1269" s="100" t="e">
        <f t="shared" ca="1" si="230"/>
        <v>#NAME?</v>
      </c>
      <c r="K1269" s="100" t="e">
        <f t="shared" ca="1" si="226"/>
        <v>#NAME?</v>
      </c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</row>
    <row r="1270" spans="1:26">
      <c r="A1270" s="100" t="e">
        <f ca="1">IFERROR(__xludf.DUMMYFUNCTION("""COMPUTED_VALUE"""),58784605)</f>
        <v>#NAME?</v>
      </c>
      <c r="B1270" s="100" t="e">
        <f ca="1">IFERROR(__xludf.DUMMYFUNCTION("""COMPUTED_VALUE"""),"LITBTC")</f>
        <v>#NAME?</v>
      </c>
      <c r="C1270" s="100" t="e">
        <f ca="1">IFERROR(__xludf.DUMMYFUNCTION("""COMPUTED_VALUE"""),"0.00000775")</f>
        <v>#NAME?</v>
      </c>
      <c r="D1270" s="100" t="e">
        <f t="shared" ca="1" si="229"/>
        <v>#NAME?</v>
      </c>
      <c r="E1270" s="100" t="e">
        <f t="shared" ca="1" si="229"/>
        <v>#NAME?</v>
      </c>
      <c r="F1270" s="100" t="e">
        <f t="shared" ca="1" si="222"/>
        <v>#NAME?</v>
      </c>
      <c r="G1270" s="100" t="e">
        <f t="shared" ca="1" si="223"/>
        <v>#NAME?</v>
      </c>
      <c r="H1270" s="100" t="e">
        <f t="shared" ca="1" si="224"/>
        <v>#NAME?</v>
      </c>
      <c r="I1270" s="100" t="e">
        <f t="shared" ca="1" si="225"/>
        <v>#NAME?</v>
      </c>
      <c r="J1270" s="100" t="e">
        <f t="shared" ca="1" si="230"/>
        <v>#NAME?</v>
      </c>
      <c r="K1270" s="100" t="e">
        <f t="shared" ca="1" si="226"/>
        <v>#NAME?</v>
      </c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</row>
    <row r="1271" spans="1:26">
      <c r="A1271" s="100" t="e">
        <f ca="1">IFERROR(__xludf.DUMMYFUNCTION("""COMPUTED_VALUE"""),58784606)</f>
        <v>#NAME?</v>
      </c>
      <c r="B1271" s="100" t="e">
        <f ca="1">IFERROR(__xludf.DUMMYFUNCTION("""COMPUTED_VALUE"""),"LITBUSD")</f>
        <v>#NAME?</v>
      </c>
      <c r="C1271" s="100" t="e">
        <f ca="1">IFERROR(__xludf.DUMMYFUNCTION("""COMPUTED_VALUE"""),"0.81200000")</f>
        <v>#NAME?</v>
      </c>
      <c r="D1271" s="100" t="e">
        <f t="shared" ca="1" si="229"/>
        <v>#NAME?</v>
      </c>
      <c r="E1271" s="100" t="e">
        <f t="shared" ca="1" si="229"/>
        <v>#NAME?</v>
      </c>
      <c r="F1271" s="100" t="e">
        <f t="shared" ca="1" si="222"/>
        <v>#NAME?</v>
      </c>
      <c r="G1271" s="100" t="e">
        <f t="shared" ca="1" si="223"/>
        <v>#NAME?</v>
      </c>
      <c r="H1271" s="100" t="e">
        <f t="shared" ca="1" si="224"/>
        <v>#NAME?</v>
      </c>
      <c r="I1271" s="100" t="e">
        <f t="shared" ca="1" si="225"/>
        <v>#NAME?</v>
      </c>
      <c r="J1271" s="100" t="e">
        <f t="shared" ca="1" si="230"/>
        <v>#NAME?</v>
      </c>
      <c r="K1271" s="100" t="e">
        <f t="shared" ca="1" si="226"/>
        <v>#NAME?</v>
      </c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</row>
    <row r="1272" spans="1:26">
      <c r="A1272" s="100" t="e">
        <f ca="1">IFERROR(__xludf.DUMMYFUNCTION("""COMPUTED_VALUE"""),58784607)</f>
        <v>#NAME?</v>
      </c>
      <c r="B1272" s="100" t="e">
        <f ca="1">IFERROR(__xludf.DUMMYFUNCTION("""COMPUTED_VALUE"""),"LITUSDT")</f>
        <v>#NAME?</v>
      </c>
      <c r="C1272" s="100" t="e">
        <f ca="1">IFERROR(__xludf.DUMMYFUNCTION("""COMPUTED_VALUE"""),"0.74300000")</f>
        <v>#NAME?</v>
      </c>
      <c r="D1272" s="100" t="e">
        <f t="shared" ca="1" si="229"/>
        <v>#NAME?</v>
      </c>
      <c r="E1272" s="100" t="e">
        <f t="shared" ca="1" si="229"/>
        <v>#NAME?</v>
      </c>
      <c r="F1272" s="100" t="e">
        <f t="shared" ca="1" si="222"/>
        <v>#NAME?</v>
      </c>
      <c r="G1272" s="100" t="e">
        <f t="shared" ca="1" si="223"/>
        <v>#NAME?</v>
      </c>
      <c r="H1272" s="100" t="e">
        <f t="shared" ca="1" si="224"/>
        <v>#NAME?</v>
      </c>
      <c r="I1272" s="100" t="e">
        <f t="shared" ca="1" si="225"/>
        <v>#NAME?</v>
      </c>
      <c r="J1272" s="100" t="e">
        <f t="shared" ca="1" si="230"/>
        <v>#NAME?</v>
      </c>
      <c r="K1272" s="100" t="e">
        <f t="shared" ca="1" si="226"/>
        <v>#NAME?</v>
      </c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</row>
    <row r="1273" spans="1:26">
      <c r="A1273" s="100" t="e">
        <f ca="1">IFERROR(__xludf.DUMMYFUNCTION("""COMPUTED_VALUE"""),58784608)</f>
        <v>#NAME?</v>
      </c>
      <c r="B1273" s="100" t="e">
        <f ca="1">IFERROR(__xludf.DUMMYFUNCTION("""COMPUTED_VALUE"""),"BTCVAI")</f>
        <v>#NAME?</v>
      </c>
      <c r="C1273" s="100" t="e">
        <f ca="1">IFERROR(__xludf.DUMMYFUNCTION("""COMPUTED_VALUE"""),"0.00000000")</f>
        <v>#NAME?</v>
      </c>
      <c r="D1273" s="100" t="e">
        <f t="shared" ca="1" si="229"/>
        <v>#NAME?</v>
      </c>
      <c r="E1273" s="100" t="e">
        <f t="shared" ca="1" si="229"/>
        <v>#NAME?</v>
      </c>
      <c r="F1273" s="100" t="e">
        <f t="shared" ca="1" si="222"/>
        <v>#NAME?</v>
      </c>
      <c r="G1273" s="100" t="e">
        <f t="shared" ca="1" si="223"/>
        <v>#NAME?</v>
      </c>
      <c r="H1273" s="100" t="e">
        <f t="shared" ca="1" si="224"/>
        <v>#NAME?</v>
      </c>
      <c r="I1273" s="100" t="e">
        <f t="shared" ca="1" si="225"/>
        <v>#NAME?</v>
      </c>
      <c r="J1273" s="100" t="e">
        <f t="shared" ca="1" si="230"/>
        <v>#NAME?</v>
      </c>
      <c r="K1273" s="100" t="e">
        <f t="shared" ca="1" si="226"/>
        <v>#NAME?</v>
      </c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</row>
    <row r="1274" spans="1:26">
      <c r="A1274" s="100" t="e">
        <f ca="1">IFERROR(__xludf.DUMMYFUNCTION("""COMPUTED_VALUE"""),58784609)</f>
        <v>#NAME?</v>
      </c>
      <c r="B1274" s="100" t="e">
        <f ca="1">IFERROR(__xludf.DUMMYFUNCTION("""COMPUTED_VALUE"""),"BUSDVAI")</f>
        <v>#NAME?</v>
      </c>
      <c r="C1274" s="100" t="e">
        <f ca="1">IFERROR(__xludf.DUMMYFUNCTION("""COMPUTED_VALUE"""),"1.01500000")</f>
        <v>#NAME?</v>
      </c>
      <c r="D1274" s="100" t="e">
        <f t="shared" ca="1" si="229"/>
        <v>#NAME?</v>
      </c>
      <c r="E1274" s="100" t="e">
        <f t="shared" ca="1" si="229"/>
        <v>#NAME?</v>
      </c>
      <c r="F1274" s="100" t="e">
        <f t="shared" ca="1" si="222"/>
        <v>#NAME?</v>
      </c>
      <c r="G1274" s="100" t="e">
        <f t="shared" ca="1" si="223"/>
        <v>#NAME?</v>
      </c>
      <c r="H1274" s="100" t="e">
        <f t="shared" ca="1" si="224"/>
        <v>#NAME?</v>
      </c>
      <c r="I1274" s="100" t="e">
        <f t="shared" ca="1" si="225"/>
        <v>#NAME?</v>
      </c>
      <c r="J1274" s="100" t="e">
        <f t="shared" ca="1" si="230"/>
        <v>#NAME?</v>
      </c>
      <c r="K1274" s="100" t="e">
        <f t="shared" ca="1" si="226"/>
        <v>#NAME?</v>
      </c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</row>
    <row r="1275" spans="1:26">
      <c r="A1275" s="100" t="e">
        <f ca="1">IFERROR(__xludf.DUMMYFUNCTION("""COMPUTED_VALUE"""),58784610)</f>
        <v>#NAME?</v>
      </c>
      <c r="B1275" s="100" t="e">
        <f ca="1">IFERROR(__xludf.DUMMYFUNCTION("""COMPUTED_VALUE"""),"SFPBTC")</f>
        <v>#NAME?</v>
      </c>
      <c r="C1275" s="100" t="e">
        <f ca="1">IFERROR(__xludf.DUMMYFUNCTION("""COMPUTED_VALUE"""),"0.00000547")</f>
        <v>#NAME?</v>
      </c>
      <c r="D1275" s="100" t="e">
        <f t="shared" ca="1" si="229"/>
        <v>#NAME?</v>
      </c>
      <c r="E1275" s="100" t="e">
        <f t="shared" ca="1" si="229"/>
        <v>#NAME?</v>
      </c>
      <c r="F1275" s="100" t="e">
        <f t="shared" ca="1" si="222"/>
        <v>#NAME?</v>
      </c>
      <c r="G1275" s="100" t="e">
        <f t="shared" ca="1" si="223"/>
        <v>#NAME?</v>
      </c>
      <c r="H1275" s="100" t="e">
        <f t="shared" ca="1" si="224"/>
        <v>#NAME?</v>
      </c>
      <c r="I1275" s="100" t="e">
        <f t="shared" ca="1" si="225"/>
        <v>#NAME?</v>
      </c>
      <c r="J1275" s="100" t="e">
        <f ca="1">IFERROR(__xludf.DUMMYFUNCTION("""COMPUTED_VALUE"""),"-0.545")</f>
        <v>#NAME?</v>
      </c>
      <c r="K1275" s="100" t="e">
        <f t="shared" ca="1" si="226"/>
        <v>#NAME?</v>
      </c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</row>
    <row r="1276" spans="1:26">
      <c r="A1276" s="100" t="e">
        <f ca="1">IFERROR(__xludf.DUMMYFUNCTION("""COMPUTED_VALUE"""),58784611)</f>
        <v>#NAME?</v>
      </c>
      <c r="B1276" s="100" t="e">
        <f ca="1">IFERROR(__xludf.DUMMYFUNCTION("""COMPUTED_VALUE"""),"SFPBUSD")</f>
        <v>#NAME?</v>
      </c>
      <c r="C1276" s="100" t="e">
        <f ca="1">IFERROR(__xludf.DUMMYFUNCTION("""COMPUTED_VALUE"""),"0.59920000")</f>
        <v>#NAME?</v>
      </c>
      <c r="D1276" s="100" t="e">
        <f t="shared" ca="1" si="229"/>
        <v>#NAME?</v>
      </c>
      <c r="E1276" s="100" t="e">
        <f t="shared" ca="1" si="229"/>
        <v>#NAME?</v>
      </c>
      <c r="F1276" s="100" t="e">
        <f t="shared" ca="1" si="222"/>
        <v>#NAME?</v>
      </c>
      <c r="G1276" s="100" t="e">
        <f t="shared" ca="1" si="223"/>
        <v>#NAME?</v>
      </c>
      <c r="H1276" s="100" t="e">
        <f t="shared" ca="1" si="224"/>
        <v>#NAME?</v>
      </c>
      <c r="I1276" s="100" t="e">
        <f t="shared" ca="1" si="225"/>
        <v>#NAME?</v>
      </c>
      <c r="J1276" s="100" t="e">
        <f ca="1">IFERROR(__xludf.DUMMYFUNCTION("""COMPUTED_VALUE"""),"0")</f>
        <v>#NAME?</v>
      </c>
      <c r="K1276" s="100" t="e">
        <f t="shared" ca="1" si="226"/>
        <v>#NAME?</v>
      </c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</row>
    <row r="1277" spans="1:26">
      <c r="A1277" s="100" t="e">
        <f ca="1">IFERROR(__xludf.DUMMYFUNCTION("""COMPUTED_VALUE"""),58784612)</f>
        <v>#NAME?</v>
      </c>
      <c r="B1277" s="100" t="e">
        <f ca="1">IFERROR(__xludf.DUMMYFUNCTION("""COMPUTED_VALUE"""),"SFPUSDT")</f>
        <v>#NAME?</v>
      </c>
      <c r="C1277" s="100" t="e">
        <f ca="1">IFERROR(__xludf.DUMMYFUNCTION("""COMPUTED_VALUE"""),"0.48470000")</f>
        <v>#NAME?</v>
      </c>
      <c r="D1277" s="100" t="e">
        <f t="shared" ca="1" si="229"/>
        <v>#NAME?</v>
      </c>
      <c r="E1277" s="100" t="e">
        <f t="shared" ca="1" si="229"/>
        <v>#NAME?</v>
      </c>
      <c r="F1277" s="100" t="e">
        <f t="shared" ca="1" si="222"/>
        <v>#NAME?</v>
      </c>
      <c r="G1277" s="100" t="e">
        <f t="shared" ca="1" si="223"/>
        <v>#NAME?</v>
      </c>
      <c r="H1277" s="100" t="e">
        <f t="shared" ca="1" si="224"/>
        <v>#NAME?</v>
      </c>
      <c r="I1277" s="100" t="e">
        <f t="shared" ca="1" si="225"/>
        <v>#NAME?</v>
      </c>
      <c r="J1277" s="100" t="e">
        <f ca="1">IFERROR(__xludf.DUMMYFUNCTION("""COMPUTED_VALUE"""),"1.190")</f>
        <v>#NAME?</v>
      </c>
      <c r="K1277" s="100" t="e">
        <f t="shared" ca="1" si="226"/>
        <v>#NAME?</v>
      </c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</row>
    <row r="1278" spans="1:26">
      <c r="A1278" s="100" t="e">
        <f ca="1">IFERROR(__xludf.DUMMYFUNCTION("""COMPUTED_VALUE"""),58784613)</f>
        <v>#NAME?</v>
      </c>
      <c r="B1278" s="100" t="e">
        <f ca="1">IFERROR(__xludf.DUMMYFUNCTION("""COMPUTED_VALUE"""),"DOGEGBP")</f>
        <v>#NAME?</v>
      </c>
      <c r="C1278" s="100" t="e">
        <f ca="1">IFERROR(__xludf.DUMMYFUNCTION("""COMPUTED_VALUE"""),"0.07759000")</f>
        <v>#NAME?</v>
      </c>
      <c r="D1278" s="100" t="e">
        <f t="shared" ca="1" si="229"/>
        <v>#NAME?</v>
      </c>
      <c r="E1278" s="100" t="e">
        <f t="shared" ca="1" si="229"/>
        <v>#NAME?</v>
      </c>
      <c r="F1278" s="100" t="e">
        <f t="shared" ca="1" si="222"/>
        <v>#NAME?</v>
      </c>
      <c r="G1278" s="100" t="e">
        <f t="shared" ca="1" si="223"/>
        <v>#NAME?</v>
      </c>
      <c r="H1278" s="100" t="e">
        <f t="shared" ca="1" si="224"/>
        <v>#NAME?</v>
      </c>
      <c r="I1278" s="100" t="e">
        <f t="shared" ca="1" si="225"/>
        <v>#NAME?</v>
      </c>
      <c r="J1278" s="100" t="e">
        <f ca="1">IFERROR(__xludf.DUMMYFUNCTION("""COMPUTED_VALUE"""),"0")</f>
        <v>#NAME?</v>
      </c>
      <c r="K1278" s="100" t="e">
        <f t="shared" ca="1" si="226"/>
        <v>#NAME?</v>
      </c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</row>
    <row r="1279" spans="1:26">
      <c r="A1279" s="100" t="e">
        <f ca="1">IFERROR(__xludf.DUMMYFUNCTION("""COMPUTED_VALUE"""),58784614)</f>
        <v>#NAME?</v>
      </c>
      <c r="B1279" s="100" t="e">
        <f ca="1">IFERROR(__xludf.DUMMYFUNCTION("""COMPUTED_VALUE"""),"DOTTRY")</f>
        <v>#NAME?</v>
      </c>
      <c r="C1279" s="100" t="e">
        <f ca="1">IFERROR(__xludf.DUMMYFUNCTION("""COMPUTED_VALUE"""),"142.50000000")</f>
        <v>#NAME?</v>
      </c>
      <c r="D1279" s="100" t="e">
        <f t="shared" ca="1" si="229"/>
        <v>#NAME?</v>
      </c>
      <c r="E1279" s="100" t="e">
        <f t="shared" ca="1" si="229"/>
        <v>#NAME?</v>
      </c>
      <c r="F1279" s="100" t="e">
        <f t="shared" ca="1" si="222"/>
        <v>#NAME?</v>
      </c>
      <c r="G1279" s="100" t="e">
        <f t="shared" ca="1" si="223"/>
        <v>#NAME?</v>
      </c>
      <c r="H1279" s="100" t="e">
        <f t="shared" ca="1" si="224"/>
        <v>#NAME?</v>
      </c>
      <c r="I1279" s="100" t="e">
        <f t="shared" ca="1" si="225"/>
        <v>#NAME?</v>
      </c>
      <c r="J1279" s="100" t="e">
        <f ca="1">IFERROR(__xludf.DUMMYFUNCTION("""COMPUTED_VALUE"""),"-4.937")</f>
        <v>#NAME?</v>
      </c>
      <c r="K1279" s="100" t="e">
        <f t="shared" ca="1" si="226"/>
        <v>#NAME?</v>
      </c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</row>
    <row r="1280" spans="1:26">
      <c r="A1280" s="100" t="e">
        <f ca="1">IFERROR(__xludf.DUMMYFUNCTION("""COMPUTED_VALUE"""),58784615)</f>
        <v>#NAME?</v>
      </c>
      <c r="B1280" s="100" t="e">
        <f ca="1">IFERROR(__xludf.DUMMYFUNCTION("""COMPUTED_VALUE"""),"FXSBTC")</f>
        <v>#NAME?</v>
      </c>
      <c r="C1280" s="100" t="e">
        <f ca="1">IFERROR(__xludf.DUMMYFUNCTION("""COMPUTED_VALUE"""),"0.00002740")</f>
        <v>#NAME?</v>
      </c>
      <c r="D1280" s="100" t="e">
        <f t="shared" ca="1" si="229"/>
        <v>#NAME?</v>
      </c>
      <c r="E1280" s="100" t="e">
        <f t="shared" ca="1" si="229"/>
        <v>#NAME?</v>
      </c>
      <c r="F1280" s="100" t="e">
        <f t="shared" ca="1" si="222"/>
        <v>#NAME?</v>
      </c>
      <c r="G1280" s="100" t="e">
        <f t="shared" ca="1" si="223"/>
        <v>#NAME?</v>
      </c>
      <c r="H1280" s="100" t="e">
        <f t="shared" ca="1" si="224"/>
        <v>#NAME?</v>
      </c>
      <c r="I1280" s="100" t="e">
        <f t="shared" ca="1" si="225"/>
        <v>#NAME?</v>
      </c>
      <c r="J1280" s="100" t="e">
        <f ca="1">IFERROR(__xludf.DUMMYFUNCTION("""COMPUTED_VALUE"""),"0")</f>
        <v>#NAME?</v>
      </c>
      <c r="K1280" s="100" t="e">
        <f t="shared" ca="1" si="226"/>
        <v>#NAME?</v>
      </c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</row>
    <row r="1281" spans="1:26">
      <c r="A1281" s="100" t="e">
        <f ca="1">IFERROR(__xludf.DUMMYFUNCTION("""COMPUTED_VALUE"""),58784616)</f>
        <v>#NAME?</v>
      </c>
      <c r="B1281" s="100" t="e">
        <f ca="1">IFERROR(__xludf.DUMMYFUNCTION("""COMPUTED_VALUE"""),"FXSBUSD")</f>
        <v>#NAME?</v>
      </c>
      <c r="C1281" s="100" t="e">
        <f ca="1">IFERROR(__xludf.DUMMYFUNCTION("""COMPUTED_VALUE"""),"6.96400000")</f>
        <v>#NAME?</v>
      </c>
      <c r="D1281" s="100" t="e">
        <f t="shared" ca="1" si="229"/>
        <v>#NAME?</v>
      </c>
      <c r="E1281" s="100" t="e">
        <f t="shared" ca="1" si="229"/>
        <v>#NAME?</v>
      </c>
      <c r="F1281" s="100" t="e">
        <f t="shared" ca="1" si="222"/>
        <v>#NAME?</v>
      </c>
      <c r="G1281" s="100" t="e">
        <f t="shared" ca="1" si="223"/>
        <v>#NAME?</v>
      </c>
      <c r="H1281" s="100" t="e">
        <f t="shared" ca="1" si="224"/>
        <v>#NAME?</v>
      </c>
      <c r="I1281" s="100" t="e">
        <f t="shared" ca="1" si="225"/>
        <v>#NAME?</v>
      </c>
      <c r="J1281" s="100" t="e">
        <f ca="1">IFERROR(__xludf.DUMMYFUNCTION("""COMPUTED_VALUE"""),"0")</f>
        <v>#NAME?</v>
      </c>
      <c r="K1281" s="100" t="e">
        <f t="shared" ca="1" si="226"/>
        <v>#NAME?</v>
      </c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</row>
    <row r="1282" spans="1:26">
      <c r="A1282" s="100" t="e">
        <f ca="1">IFERROR(__xludf.DUMMYFUNCTION("""COMPUTED_VALUE"""),58784617)</f>
        <v>#NAME?</v>
      </c>
      <c r="B1282" s="100" t="e">
        <f ca="1">IFERROR(__xludf.DUMMYFUNCTION("""COMPUTED_VALUE"""),"DODOBTC")</f>
        <v>#NAME?</v>
      </c>
      <c r="C1282" s="100" t="e">
        <f ca="1">IFERROR(__xludf.DUMMYFUNCTION("""COMPUTED_VALUE"""),"0.00000049")</f>
        <v>#NAME?</v>
      </c>
      <c r="D1282" s="100" t="e">
        <f t="shared" ref="D1282:E1301" ca="1" si="231">IFERROR(__xludf.DUMMYFUNCTION("""COMPUTED_VALUE"""),"-")</f>
        <v>#NAME?</v>
      </c>
      <c r="E1282" s="100" t="e">
        <f t="shared" ca="1" si="231"/>
        <v>#NAME?</v>
      </c>
      <c r="F1282" s="100" t="e">
        <f t="shared" ref="F1282:F1345" ca="1" si="232">IFERROR(__xludf.DUMMYFUNCTION("""COMPUTED_VALUE"""),20200)</f>
        <v>#NAME?</v>
      </c>
      <c r="G1282" s="100" t="e">
        <f t="shared" ref="G1282:G1345" ca="1" si="233">IFERROR(__xludf.DUMMYFUNCTION("""COMPUTED_VALUE"""),2885)</f>
        <v>#NAME?</v>
      </c>
      <c r="H1282" s="100" t="e">
        <f t="shared" ref="H1282:H1345" ca="1" si="234">IFERROR(__xludf.DUMMYFUNCTION("""COMPUTED_VALUE"""),663)</f>
        <v>#NAME?</v>
      </c>
      <c r="I1282" s="100" t="e">
        <f t="shared" ref="I1282:I1345" ca="1" si="235">IFERROR(__xludf.DUMMYFUNCTION("""COMPUTED_VALUE"""),5817721)</f>
        <v>#NAME?</v>
      </c>
      <c r="J1282" s="100" t="e">
        <f ca="1">IFERROR(__xludf.DUMMYFUNCTION("""COMPUTED_VALUE"""),"-3.922")</f>
        <v>#NAME?</v>
      </c>
      <c r="K1282" s="100" t="e">
        <f t="shared" ref="K1282:K1345" ca="1" si="236">IFERROR(__xludf.DUMMYFUNCTION("""COMPUTED_VALUE"""),"22.04.2025 13:05:01")</f>
        <v>#NAME?</v>
      </c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</row>
    <row r="1283" spans="1:26">
      <c r="A1283" s="100" t="e">
        <f ca="1">IFERROR(__xludf.DUMMYFUNCTION("""COMPUTED_VALUE"""),58784618)</f>
        <v>#NAME?</v>
      </c>
      <c r="B1283" s="100" t="e">
        <f ca="1">IFERROR(__xludf.DUMMYFUNCTION("""COMPUTED_VALUE"""),"DODOBUSD")</f>
        <v>#NAME?</v>
      </c>
      <c r="C1283" s="100" t="e">
        <f ca="1">IFERROR(__xludf.DUMMYFUNCTION("""COMPUTED_VALUE"""),"0.12330000")</f>
        <v>#NAME?</v>
      </c>
      <c r="D1283" s="100" t="e">
        <f t="shared" ca="1" si="231"/>
        <v>#NAME?</v>
      </c>
      <c r="E1283" s="100" t="e">
        <f t="shared" ca="1" si="231"/>
        <v>#NAME?</v>
      </c>
      <c r="F1283" s="100" t="e">
        <f t="shared" ca="1" si="232"/>
        <v>#NAME?</v>
      </c>
      <c r="G1283" s="100" t="e">
        <f t="shared" ca="1" si="233"/>
        <v>#NAME?</v>
      </c>
      <c r="H1283" s="100" t="e">
        <f t="shared" ca="1" si="234"/>
        <v>#NAME?</v>
      </c>
      <c r="I1283" s="100" t="e">
        <f t="shared" ca="1" si="235"/>
        <v>#NAME?</v>
      </c>
      <c r="J1283" s="100" t="e">
        <f ca="1">IFERROR(__xludf.DUMMYFUNCTION("""COMPUTED_VALUE"""),"0")</f>
        <v>#NAME?</v>
      </c>
      <c r="K1283" s="100" t="e">
        <f t="shared" ca="1" si="236"/>
        <v>#NAME?</v>
      </c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</row>
    <row r="1284" spans="1:26">
      <c r="A1284" s="100" t="e">
        <f ca="1">IFERROR(__xludf.DUMMYFUNCTION("""COMPUTED_VALUE"""),58784619)</f>
        <v>#NAME?</v>
      </c>
      <c r="B1284" s="100" t="e">
        <f ca="1">IFERROR(__xludf.DUMMYFUNCTION("""COMPUTED_VALUE"""),"DODOUSDT")</f>
        <v>#NAME?</v>
      </c>
      <c r="C1284" s="100" t="e">
        <f ca="1">IFERROR(__xludf.DUMMYFUNCTION("""COMPUTED_VALUE"""),"0.04320000")</f>
        <v>#NAME?</v>
      </c>
      <c r="D1284" s="100" t="e">
        <f t="shared" ca="1" si="231"/>
        <v>#NAME?</v>
      </c>
      <c r="E1284" s="100" t="e">
        <f t="shared" ca="1" si="231"/>
        <v>#NAME?</v>
      </c>
      <c r="F1284" s="100" t="e">
        <f t="shared" ca="1" si="232"/>
        <v>#NAME?</v>
      </c>
      <c r="G1284" s="100" t="e">
        <f t="shared" ca="1" si="233"/>
        <v>#NAME?</v>
      </c>
      <c r="H1284" s="100" t="e">
        <f t="shared" ca="1" si="234"/>
        <v>#NAME?</v>
      </c>
      <c r="I1284" s="100" t="e">
        <f t="shared" ca="1" si="235"/>
        <v>#NAME?</v>
      </c>
      <c r="J1284" s="100" t="e">
        <f ca="1">IFERROR(__xludf.DUMMYFUNCTION("""COMPUTED_VALUE"""),"-2.703")</f>
        <v>#NAME?</v>
      </c>
      <c r="K1284" s="100" t="e">
        <f t="shared" ca="1" si="236"/>
        <v>#NAME?</v>
      </c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</row>
    <row r="1285" spans="1:26">
      <c r="A1285" s="100" t="e">
        <f ca="1">IFERROR(__xludf.DUMMYFUNCTION("""COMPUTED_VALUE"""),58784620)</f>
        <v>#NAME?</v>
      </c>
      <c r="B1285" s="100" t="e">
        <f ca="1">IFERROR(__xludf.DUMMYFUNCTION("""COMPUTED_VALUE"""),"FRONTBTC")</f>
        <v>#NAME?</v>
      </c>
      <c r="C1285" s="100" t="e">
        <f ca="1">IFERROR(__xludf.DUMMYFUNCTION("""COMPUTED_VALUE"""),"0.00001405")</f>
        <v>#NAME?</v>
      </c>
      <c r="D1285" s="100" t="e">
        <f t="shared" ca="1" si="231"/>
        <v>#NAME?</v>
      </c>
      <c r="E1285" s="100" t="e">
        <f t="shared" ca="1" si="231"/>
        <v>#NAME?</v>
      </c>
      <c r="F1285" s="100" t="e">
        <f t="shared" ca="1" si="232"/>
        <v>#NAME?</v>
      </c>
      <c r="G1285" s="100" t="e">
        <f t="shared" ca="1" si="233"/>
        <v>#NAME?</v>
      </c>
      <c r="H1285" s="100" t="e">
        <f t="shared" ca="1" si="234"/>
        <v>#NAME?</v>
      </c>
      <c r="I1285" s="100" t="e">
        <f t="shared" ca="1" si="235"/>
        <v>#NAME?</v>
      </c>
      <c r="J1285" s="100" t="e">
        <f ca="1">IFERROR(__xludf.DUMMYFUNCTION("""COMPUTED_VALUE"""),"0")</f>
        <v>#NAME?</v>
      </c>
      <c r="K1285" s="100" t="e">
        <f t="shared" ca="1" si="236"/>
        <v>#NAME?</v>
      </c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</row>
    <row r="1286" spans="1:26">
      <c r="A1286" s="100" t="e">
        <f ca="1">IFERROR(__xludf.DUMMYFUNCTION("""COMPUTED_VALUE"""),58784621)</f>
        <v>#NAME?</v>
      </c>
      <c r="B1286" s="100" t="e">
        <f ca="1">IFERROR(__xludf.DUMMYFUNCTION("""COMPUTED_VALUE"""),"EASYBTC")</f>
        <v>#NAME?</v>
      </c>
      <c r="C1286" s="100" t="e">
        <f ca="1">IFERROR(__xludf.DUMMYFUNCTION("""COMPUTED_VALUE"""),"0.00000000")</f>
        <v>#NAME?</v>
      </c>
      <c r="D1286" s="100" t="e">
        <f t="shared" ca="1" si="231"/>
        <v>#NAME?</v>
      </c>
      <c r="E1286" s="100" t="e">
        <f t="shared" ca="1" si="231"/>
        <v>#NAME?</v>
      </c>
      <c r="F1286" s="100" t="e">
        <f t="shared" ca="1" si="232"/>
        <v>#NAME?</v>
      </c>
      <c r="G1286" s="100" t="e">
        <f t="shared" ca="1" si="233"/>
        <v>#NAME?</v>
      </c>
      <c r="H1286" s="100" t="e">
        <f t="shared" ca="1" si="234"/>
        <v>#NAME?</v>
      </c>
      <c r="I1286" s="100" t="e">
        <f t="shared" ca="1" si="235"/>
        <v>#NAME?</v>
      </c>
      <c r="J1286" s="100" t="e">
        <f ca="1">IFERROR(__xludf.DUMMYFUNCTION("""COMPUTED_VALUE"""),"0")</f>
        <v>#NAME?</v>
      </c>
      <c r="K1286" s="100" t="e">
        <f t="shared" ca="1" si="236"/>
        <v>#NAME?</v>
      </c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</row>
    <row r="1287" spans="1:26">
      <c r="A1287" s="100" t="e">
        <f ca="1">IFERROR(__xludf.DUMMYFUNCTION("""COMPUTED_VALUE"""),58784622)</f>
        <v>#NAME?</v>
      </c>
      <c r="B1287" s="100" t="e">
        <f ca="1">IFERROR(__xludf.DUMMYFUNCTION("""COMPUTED_VALUE"""),"CAKEBTC")</f>
        <v>#NAME?</v>
      </c>
      <c r="C1287" s="100" t="e">
        <f ca="1">IFERROR(__xludf.DUMMYFUNCTION("""COMPUTED_VALUE"""),"0.00002189")</f>
        <v>#NAME?</v>
      </c>
      <c r="D1287" s="100" t="e">
        <f t="shared" ca="1" si="231"/>
        <v>#NAME?</v>
      </c>
      <c r="E1287" s="100" t="e">
        <f t="shared" ca="1" si="231"/>
        <v>#NAME?</v>
      </c>
      <c r="F1287" s="100" t="e">
        <f t="shared" ca="1" si="232"/>
        <v>#NAME?</v>
      </c>
      <c r="G1287" s="100" t="e">
        <f t="shared" ca="1" si="233"/>
        <v>#NAME?</v>
      </c>
      <c r="H1287" s="100" t="e">
        <f t="shared" ca="1" si="234"/>
        <v>#NAME?</v>
      </c>
      <c r="I1287" s="100" t="e">
        <f t="shared" ca="1" si="235"/>
        <v>#NAME?</v>
      </c>
      <c r="J1287" s="100" t="e">
        <f ca="1">IFERROR(__xludf.DUMMYFUNCTION("""COMPUTED_VALUE"""),"-3.738")</f>
        <v>#NAME?</v>
      </c>
      <c r="K1287" s="100" t="e">
        <f t="shared" ca="1" si="236"/>
        <v>#NAME?</v>
      </c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</row>
    <row r="1288" spans="1:26">
      <c r="A1288" s="100" t="e">
        <f ca="1">IFERROR(__xludf.DUMMYFUNCTION("""COMPUTED_VALUE"""),58784623)</f>
        <v>#NAME?</v>
      </c>
      <c r="B1288" s="100" t="e">
        <f ca="1">IFERROR(__xludf.DUMMYFUNCTION("""COMPUTED_VALUE"""),"CAKEUSDT")</f>
        <v>#NAME?</v>
      </c>
      <c r="C1288" s="100" t="e">
        <f ca="1">IFERROR(__xludf.DUMMYFUNCTION("""COMPUTED_VALUE"""),"1.94000000")</f>
        <v>#NAME?</v>
      </c>
      <c r="D1288" s="100" t="e">
        <f t="shared" ca="1" si="231"/>
        <v>#NAME?</v>
      </c>
      <c r="E1288" s="100" t="e">
        <f t="shared" ca="1" si="231"/>
        <v>#NAME?</v>
      </c>
      <c r="F1288" s="100" t="e">
        <f t="shared" ca="1" si="232"/>
        <v>#NAME?</v>
      </c>
      <c r="G1288" s="100" t="e">
        <f t="shared" ca="1" si="233"/>
        <v>#NAME?</v>
      </c>
      <c r="H1288" s="100" t="e">
        <f t="shared" ca="1" si="234"/>
        <v>#NAME?</v>
      </c>
      <c r="I1288" s="100" t="e">
        <f t="shared" ca="1" si="235"/>
        <v>#NAME?</v>
      </c>
      <c r="J1288" s="100" t="e">
        <f ca="1">IFERROR(__xludf.DUMMYFUNCTION("""COMPUTED_VALUE"""),"-2.610")</f>
        <v>#NAME?</v>
      </c>
      <c r="K1288" s="100" t="e">
        <f t="shared" ca="1" si="236"/>
        <v>#NAME?</v>
      </c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</row>
    <row r="1289" spans="1:26">
      <c r="A1289" s="100" t="e">
        <f ca="1">IFERROR(__xludf.DUMMYFUNCTION("""COMPUTED_VALUE"""),58784624)</f>
        <v>#NAME?</v>
      </c>
      <c r="B1289" s="100" t="e">
        <f ca="1">IFERROR(__xludf.DUMMYFUNCTION("""COMPUTED_VALUE"""),"BAKEBUSD")</f>
        <v>#NAME?</v>
      </c>
      <c r="C1289" s="100" t="e">
        <f ca="1">IFERROR(__xludf.DUMMYFUNCTION("""COMPUTED_VALUE"""),"0.14260000")</f>
        <v>#NAME?</v>
      </c>
      <c r="D1289" s="100" t="e">
        <f t="shared" ca="1" si="231"/>
        <v>#NAME?</v>
      </c>
      <c r="E1289" s="100" t="e">
        <f t="shared" ca="1" si="231"/>
        <v>#NAME?</v>
      </c>
      <c r="F1289" s="100" t="e">
        <f t="shared" ca="1" si="232"/>
        <v>#NAME?</v>
      </c>
      <c r="G1289" s="100" t="e">
        <f t="shared" ca="1" si="233"/>
        <v>#NAME?</v>
      </c>
      <c r="H1289" s="100" t="e">
        <f t="shared" ca="1" si="234"/>
        <v>#NAME?</v>
      </c>
      <c r="I1289" s="100" t="e">
        <f t="shared" ca="1" si="235"/>
        <v>#NAME?</v>
      </c>
      <c r="J1289" s="100" t="e">
        <f t="shared" ref="J1289:J1299" ca="1" si="237">IFERROR(__xludf.DUMMYFUNCTION("""COMPUTED_VALUE"""),"0")</f>
        <v>#NAME?</v>
      </c>
      <c r="K1289" s="100" t="e">
        <f t="shared" ca="1" si="236"/>
        <v>#NAME?</v>
      </c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</row>
    <row r="1290" spans="1:26">
      <c r="A1290" s="100" t="e">
        <f ca="1">IFERROR(__xludf.DUMMYFUNCTION("""COMPUTED_VALUE"""),58784625)</f>
        <v>#NAME?</v>
      </c>
      <c r="B1290" s="100" t="e">
        <f ca="1">IFERROR(__xludf.DUMMYFUNCTION("""COMPUTED_VALUE"""),"UFTETH")</f>
        <v>#NAME?</v>
      </c>
      <c r="C1290" s="100" t="e">
        <f ca="1">IFERROR(__xludf.DUMMYFUNCTION("""COMPUTED_VALUE"""),"0.00016940")</f>
        <v>#NAME?</v>
      </c>
      <c r="D1290" s="100" t="e">
        <f t="shared" ca="1" si="231"/>
        <v>#NAME?</v>
      </c>
      <c r="E1290" s="100" t="e">
        <f t="shared" ca="1" si="231"/>
        <v>#NAME?</v>
      </c>
      <c r="F1290" s="100" t="e">
        <f t="shared" ca="1" si="232"/>
        <v>#NAME?</v>
      </c>
      <c r="G1290" s="100" t="e">
        <f t="shared" ca="1" si="233"/>
        <v>#NAME?</v>
      </c>
      <c r="H1290" s="100" t="e">
        <f t="shared" ca="1" si="234"/>
        <v>#NAME?</v>
      </c>
      <c r="I1290" s="100" t="e">
        <f t="shared" ca="1" si="235"/>
        <v>#NAME?</v>
      </c>
      <c r="J1290" s="100" t="e">
        <f t="shared" ca="1" si="237"/>
        <v>#NAME?</v>
      </c>
      <c r="K1290" s="100" t="e">
        <f t="shared" ca="1" si="236"/>
        <v>#NAME?</v>
      </c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</row>
    <row r="1291" spans="1:26">
      <c r="A1291" s="100" t="e">
        <f ca="1">IFERROR(__xludf.DUMMYFUNCTION("""COMPUTED_VALUE"""),58784626)</f>
        <v>#NAME?</v>
      </c>
      <c r="B1291" s="100" t="e">
        <f ca="1">IFERROR(__xludf.DUMMYFUNCTION("""COMPUTED_VALUE"""),"UFTBUSD")</f>
        <v>#NAME?</v>
      </c>
      <c r="C1291" s="100" t="e">
        <f ca="1">IFERROR(__xludf.DUMMYFUNCTION("""COMPUTED_VALUE"""),"0.20610000")</f>
        <v>#NAME?</v>
      </c>
      <c r="D1291" s="100" t="e">
        <f t="shared" ca="1" si="231"/>
        <v>#NAME?</v>
      </c>
      <c r="E1291" s="100" t="e">
        <f t="shared" ca="1" si="231"/>
        <v>#NAME?</v>
      </c>
      <c r="F1291" s="100" t="e">
        <f t="shared" ca="1" si="232"/>
        <v>#NAME?</v>
      </c>
      <c r="G1291" s="100" t="e">
        <f t="shared" ca="1" si="233"/>
        <v>#NAME?</v>
      </c>
      <c r="H1291" s="100" t="e">
        <f t="shared" ca="1" si="234"/>
        <v>#NAME?</v>
      </c>
      <c r="I1291" s="100" t="e">
        <f t="shared" ca="1" si="235"/>
        <v>#NAME?</v>
      </c>
      <c r="J1291" s="100" t="e">
        <f t="shared" ca="1" si="237"/>
        <v>#NAME?</v>
      </c>
      <c r="K1291" s="100" t="e">
        <f t="shared" ca="1" si="236"/>
        <v>#NAME?</v>
      </c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</row>
    <row r="1292" spans="1:26">
      <c r="A1292" s="100" t="e">
        <f ca="1">IFERROR(__xludf.DUMMYFUNCTION("""COMPUTED_VALUE"""),58784627)</f>
        <v>#NAME?</v>
      </c>
      <c r="B1292" s="100" t="e">
        <f ca="1">IFERROR(__xludf.DUMMYFUNCTION("""COMPUTED_VALUE"""),"1INCHBUSD")</f>
        <v>#NAME?</v>
      </c>
      <c r="C1292" s="100" t="e">
        <f ca="1">IFERROR(__xludf.DUMMYFUNCTION("""COMPUTED_VALUE"""),"0.25190000")</f>
        <v>#NAME?</v>
      </c>
      <c r="D1292" s="100" t="e">
        <f t="shared" ca="1" si="231"/>
        <v>#NAME?</v>
      </c>
      <c r="E1292" s="100" t="e">
        <f t="shared" ca="1" si="231"/>
        <v>#NAME?</v>
      </c>
      <c r="F1292" s="100" t="e">
        <f t="shared" ca="1" si="232"/>
        <v>#NAME?</v>
      </c>
      <c r="G1292" s="100" t="e">
        <f t="shared" ca="1" si="233"/>
        <v>#NAME?</v>
      </c>
      <c r="H1292" s="100" t="e">
        <f t="shared" ca="1" si="234"/>
        <v>#NAME?</v>
      </c>
      <c r="I1292" s="100" t="e">
        <f t="shared" ca="1" si="235"/>
        <v>#NAME?</v>
      </c>
      <c r="J1292" s="100" t="e">
        <f t="shared" ca="1" si="237"/>
        <v>#NAME?</v>
      </c>
      <c r="K1292" s="100" t="e">
        <f t="shared" ca="1" si="236"/>
        <v>#NAME?</v>
      </c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</row>
    <row r="1293" spans="1:26">
      <c r="A1293" s="100" t="e">
        <f ca="1">IFERROR(__xludf.DUMMYFUNCTION("""COMPUTED_VALUE"""),58784628)</f>
        <v>#NAME?</v>
      </c>
      <c r="B1293" s="100" t="e">
        <f ca="1">IFERROR(__xludf.DUMMYFUNCTION("""COMPUTED_VALUE"""),"BANDBUSD")</f>
        <v>#NAME?</v>
      </c>
      <c r="C1293" s="100" t="e">
        <f ca="1">IFERROR(__xludf.DUMMYFUNCTION("""COMPUTED_VALUE"""),"1.53900000")</f>
        <v>#NAME?</v>
      </c>
      <c r="D1293" s="100" t="e">
        <f t="shared" ca="1" si="231"/>
        <v>#NAME?</v>
      </c>
      <c r="E1293" s="100" t="e">
        <f t="shared" ca="1" si="231"/>
        <v>#NAME?</v>
      </c>
      <c r="F1293" s="100" t="e">
        <f t="shared" ca="1" si="232"/>
        <v>#NAME?</v>
      </c>
      <c r="G1293" s="100" t="e">
        <f t="shared" ca="1" si="233"/>
        <v>#NAME?</v>
      </c>
      <c r="H1293" s="100" t="e">
        <f t="shared" ca="1" si="234"/>
        <v>#NAME?</v>
      </c>
      <c r="I1293" s="100" t="e">
        <f t="shared" ca="1" si="235"/>
        <v>#NAME?</v>
      </c>
      <c r="J1293" s="100" t="e">
        <f t="shared" ca="1" si="237"/>
        <v>#NAME?</v>
      </c>
      <c r="K1293" s="100" t="e">
        <f t="shared" ca="1" si="236"/>
        <v>#NAME?</v>
      </c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</row>
    <row r="1294" spans="1:26">
      <c r="A1294" s="100" t="e">
        <f ca="1">IFERROR(__xludf.DUMMYFUNCTION("""COMPUTED_VALUE"""),58784629)</f>
        <v>#NAME?</v>
      </c>
      <c r="B1294" s="100" t="e">
        <f ca="1">IFERROR(__xludf.DUMMYFUNCTION("""COMPUTED_VALUE"""),"GRTBUSD")</f>
        <v>#NAME?</v>
      </c>
      <c r="C1294" s="100" t="e">
        <f ca="1">IFERROR(__xludf.DUMMYFUNCTION("""COMPUTED_VALUE"""),"0.10520000")</f>
        <v>#NAME?</v>
      </c>
      <c r="D1294" s="100" t="e">
        <f t="shared" ca="1" si="231"/>
        <v>#NAME?</v>
      </c>
      <c r="E1294" s="100" t="e">
        <f t="shared" ca="1" si="231"/>
        <v>#NAME?</v>
      </c>
      <c r="F1294" s="100" t="e">
        <f t="shared" ca="1" si="232"/>
        <v>#NAME?</v>
      </c>
      <c r="G1294" s="100" t="e">
        <f t="shared" ca="1" si="233"/>
        <v>#NAME?</v>
      </c>
      <c r="H1294" s="100" t="e">
        <f t="shared" ca="1" si="234"/>
        <v>#NAME?</v>
      </c>
      <c r="I1294" s="100" t="e">
        <f t="shared" ca="1" si="235"/>
        <v>#NAME?</v>
      </c>
      <c r="J1294" s="100" t="e">
        <f t="shared" ca="1" si="237"/>
        <v>#NAME?</v>
      </c>
      <c r="K1294" s="100" t="e">
        <f t="shared" ca="1" si="236"/>
        <v>#NAME?</v>
      </c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</row>
    <row r="1295" spans="1:26">
      <c r="A1295" s="100" t="e">
        <f ca="1">IFERROR(__xludf.DUMMYFUNCTION("""COMPUTED_VALUE"""),58784630)</f>
        <v>#NAME?</v>
      </c>
      <c r="B1295" s="100" t="e">
        <f ca="1">IFERROR(__xludf.DUMMYFUNCTION("""COMPUTED_VALUE"""),"IOSTBUSD")</f>
        <v>#NAME?</v>
      </c>
      <c r="C1295" s="100" t="e">
        <f ca="1">IFERROR(__xludf.DUMMYFUNCTION("""COMPUTED_VALUE"""),"0.00700000")</f>
        <v>#NAME?</v>
      </c>
      <c r="D1295" s="100" t="e">
        <f t="shared" ca="1" si="231"/>
        <v>#NAME?</v>
      </c>
      <c r="E1295" s="100" t="e">
        <f t="shared" ca="1" si="231"/>
        <v>#NAME?</v>
      </c>
      <c r="F1295" s="100" t="e">
        <f t="shared" ca="1" si="232"/>
        <v>#NAME?</v>
      </c>
      <c r="G1295" s="100" t="e">
        <f t="shared" ca="1" si="233"/>
        <v>#NAME?</v>
      </c>
      <c r="H1295" s="100" t="e">
        <f t="shared" ca="1" si="234"/>
        <v>#NAME?</v>
      </c>
      <c r="I1295" s="100" t="e">
        <f t="shared" ca="1" si="235"/>
        <v>#NAME?</v>
      </c>
      <c r="J1295" s="100" t="e">
        <f t="shared" ca="1" si="237"/>
        <v>#NAME?</v>
      </c>
      <c r="K1295" s="100" t="e">
        <f t="shared" ca="1" si="236"/>
        <v>#NAME?</v>
      </c>
      <c r="L1295" s="100"/>
      <c r="M1295" s="100"/>
      <c r="N1295" s="100"/>
      <c r="O1295" s="100"/>
      <c r="P1295" s="100"/>
      <c r="Q1295" s="100"/>
      <c r="R1295" s="100"/>
      <c r="S1295" s="100"/>
      <c r="T1295" s="100"/>
      <c r="U1295" s="100"/>
      <c r="V1295" s="100"/>
      <c r="W1295" s="100"/>
      <c r="X1295" s="100"/>
      <c r="Y1295" s="100"/>
      <c r="Z1295" s="100"/>
    </row>
    <row r="1296" spans="1:26">
      <c r="A1296" s="100" t="e">
        <f ca="1">IFERROR(__xludf.DUMMYFUNCTION("""COMPUTED_VALUE"""),58784631)</f>
        <v>#NAME?</v>
      </c>
      <c r="B1296" s="100" t="e">
        <f ca="1">IFERROR(__xludf.DUMMYFUNCTION("""COMPUTED_VALUE"""),"OMGBUSD")</f>
        <v>#NAME?</v>
      </c>
      <c r="C1296" s="100" t="e">
        <f ca="1">IFERROR(__xludf.DUMMYFUNCTION("""COMPUTED_VALUE"""),"0.46600000")</f>
        <v>#NAME?</v>
      </c>
      <c r="D1296" s="100" t="e">
        <f t="shared" ca="1" si="231"/>
        <v>#NAME?</v>
      </c>
      <c r="E1296" s="100" t="e">
        <f t="shared" ca="1" si="231"/>
        <v>#NAME?</v>
      </c>
      <c r="F1296" s="100" t="e">
        <f t="shared" ca="1" si="232"/>
        <v>#NAME?</v>
      </c>
      <c r="G1296" s="100" t="e">
        <f t="shared" ca="1" si="233"/>
        <v>#NAME?</v>
      </c>
      <c r="H1296" s="100" t="e">
        <f t="shared" ca="1" si="234"/>
        <v>#NAME?</v>
      </c>
      <c r="I1296" s="100" t="e">
        <f t="shared" ca="1" si="235"/>
        <v>#NAME?</v>
      </c>
      <c r="J1296" s="100" t="e">
        <f t="shared" ca="1" si="237"/>
        <v>#NAME?</v>
      </c>
      <c r="K1296" s="100" t="e">
        <f t="shared" ca="1" si="236"/>
        <v>#NAME?</v>
      </c>
      <c r="L1296" s="100"/>
      <c r="M1296" s="100"/>
      <c r="N1296" s="100"/>
      <c r="O1296" s="100"/>
      <c r="P1296" s="100"/>
      <c r="Q1296" s="100"/>
      <c r="R1296" s="100"/>
      <c r="S1296" s="100"/>
      <c r="T1296" s="100"/>
      <c r="U1296" s="100"/>
      <c r="V1296" s="100"/>
      <c r="W1296" s="100"/>
      <c r="X1296" s="100"/>
      <c r="Y1296" s="100"/>
      <c r="Z1296" s="100"/>
    </row>
    <row r="1297" spans="1:26">
      <c r="A1297" s="100" t="e">
        <f ca="1">IFERROR(__xludf.DUMMYFUNCTION("""COMPUTED_VALUE"""),58784632)</f>
        <v>#NAME?</v>
      </c>
      <c r="B1297" s="100" t="e">
        <f ca="1">IFERROR(__xludf.DUMMYFUNCTION("""COMPUTED_VALUE"""),"REEFBUSD")</f>
        <v>#NAME?</v>
      </c>
      <c r="C1297" s="100" t="e">
        <f ca="1">IFERROR(__xludf.DUMMYFUNCTION("""COMPUTED_VALUE"""),"0.00139400")</f>
        <v>#NAME?</v>
      </c>
      <c r="D1297" s="100" t="e">
        <f t="shared" ca="1" si="231"/>
        <v>#NAME?</v>
      </c>
      <c r="E1297" s="100" t="e">
        <f t="shared" ca="1" si="231"/>
        <v>#NAME?</v>
      </c>
      <c r="F1297" s="100" t="e">
        <f t="shared" ca="1" si="232"/>
        <v>#NAME?</v>
      </c>
      <c r="G1297" s="100" t="e">
        <f t="shared" ca="1" si="233"/>
        <v>#NAME?</v>
      </c>
      <c r="H1297" s="100" t="e">
        <f t="shared" ca="1" si="234"/>
        <v>#NAME?</v>
      </c>
      <c r="I1297" s="100" t="e">
        <f t="shared" ca="1" si="235"/>
        <v>#NAME?</v>
      </c>
      <c r="J1297" s="100" t="e">
        <f t="shared" ca="1" si="237"/>
        <v>#NAME?</v>
      </c>
      <c r="K1297" s="100" t="e">
        <f t="shared" ca="1" si="236"/>
        <v>#NAME?</v>
      </c>
      <c r="L1297" s="100"/>
      <c r="M1297" s="100"/>
      <c r="N1297" s="100"/>
      <c r="O1297" s="100"/>
      <c r="P1297" s="100"/>
      <c r="Q1297" s="100"/>
      <c r="R1297" s="100"/>
      <c r="S1297" s="100"/>
      <c r="T1297" s="100"/>
      <c r="U1297" s="100"/>
      <c r="V1297" s="100"/>
      <c r="W1297" s="100"/>
      <c r="X1297" s="100"/>
      <c r="Y1297" s="100"/>
      <c r="Z1297" s="100"/>
    </row>
    <row r="1298" spans="1:26">
      <c r="A1298" s="100" t="e">
        <f ca="1">IFERROR(__xludf.DUMMYFUNCTION("""COMPUTED_VALUE"""),58784633)</f>
        <v>#NAME?</v>
      </c>
      <c r="B1298" s="100" t="e">
        <f ca="1">IFERROR(__xludf.DUMMYFUNCTION("""COMPUTED_VALUE"""),"ACMBTC")</f>
        <v>#NAME?</v>
      </c>
      <c r="C1298" s="100" t="e">
        <f ca="1">IFERROR(__xludf.DUMMYFUNCTION("""COMPUTED_VALUE"""),"0.00009050")</f>
        <v>#NAME?</v>
      </c>
      <c r="D1298" s="100" t="e">
        <f t="shared" ca="1" si="231"/>
        <v>#NAME?</v>
      </c>
      <c r="E1298" s="100" t="e">
        <f t="shared" ca="1" si="231"/>
        <v>#NAME?</v>
      </c>
      <c r="F1298" s="100" t="e">
        <f t="shared" ca="1" si="232"/>
        <v>#NAME?</v>
      </c>
      <c r="G1298" s="100" t="e">
        <f t="shared" ca="1" si="233"/>
        <v>#NAME?</v>
      </c>
      <c r="H1298" s="100" t="e">
        <f t="shared" ca="1" si="234"/>
        <v>#NAME?</v>
      </c>
      <c r="I1298" s="100" t="e">
        <f t="shared" ca="1" si="235"/>
        <v>#NAME?</v>
      </c>
      <c r="J1298" s="100" t="e">
        <f t="shared" ca="1" si="237"/>
        <v>#NAME?</v>
      </c>
      <c r="K1298" s="100" t="e">
        <f t="shared" ca="1" si="236"/>
        <v>#NAME?</v>
      </c>
      <c r="L1298" s="100"/>
      <c r="M1298" s="100"/>
      <c r="N1298" s="100"/>
      <c r="O1298" s="100"/>
      <c r="P1298" s="100"/>
      <c r="Q1298" s="100"/>
      <c r="R1298" s="100"/>
      <c r="S1298" s="100"/>
      <c r="T1298" s="100"/>
      <c r="U1298" s="100"/>
      <c r="V1298" s="100"/>
      <c r="W1298" s="100"/>
      <c r="X1298" s="100"/>
      <c r="Y1298" s="100"/>
      <c r="Z1298" s="100"/>
    </row>
    <row r="1299" spans="1:26">
      <c r="A1299" s="100" t="e">
        <f ca="1">IFERROR(__xludf.DUMMYFUNCTION("""COMPUTED_VALUE"""),58784634)</f>
        <v>#NAME?</v>
      </c>
      <c r="B1299" s="100" t="e">
        <f ca="1">IFERROR(__xludf.DUMMYFUNCTION("""COMPUTED_VALUE"""),"ACMBUSD")</f>
        <v>#NAME?</v>
      </c>
      <c r="C1299" s="100" t="e">
        <f ca="1">IFERROR(__xludf.DUMMYFUNCTION("""COMPUTED_VALUE"""),"2.07300000")</f>
        <v>#NAME?</v>
      </c>
      <c r="D1299" s="100" t="e">
        <f t="shared" ca="1" si="231"/>
        <v>#NAME?</v>
      </c>
      <c r="E1299" s="100" t="e">
        <f t="shared" ca="1" si="231"/>
        <v>#NAME?</v>
      </c>
      <c r="F1299" s="100" t="e">
        <f t="shared" ca="1" si="232"/>
        <v>#NAME?</v>
      </c>
      <c r="G1299" s="100" t="e">
        <f t="shared" ca="1" si="233"/>
        <v>#NAME?</v>
      </c>
      <c r="H1299" s="100" t="e">
        <f t="shared" ca="1" si="234"/>
        <v>#NAME?</v>
      </c>
      <c r="I1299" s="100" t="e">
        <f t="shared" ca="1" si="235"/>
        <v>#NAME?</v>
      </c>
      <c r="J1299" s="100" t="e">
        <f t="shared" ca="1" si="237"/>
        <v>#NAME?</v>
      </c>
      <c r="K1299" s="100" t="e">
        <f t="shared" ca="1" si="236"/>
        <v>#NAME?</v>
      </c>
      <c r="L1299" s="100"/>
      <c r="M1299" s="100"/>
      <c r="N1299" s="100"/>
      <c r="O1299" s="100"/>
      <c r="P1299" s="100"/>
      <c r="Q1299" s="100"/>
      <c r="R1299" s="100"/>
      <c r="S1299" s="100"/>
      <c r="T1299" s="100"/>
      <c r="U1299" s="100"/>
      <c r="V1299" s="100"/>
      <c r="W1299" s="100"/>
      <c r="X1299" s="100"/>
      <c r="Y1299" s="100"/>
      <c r="Z1299" s="100"/>
    </row>
    <row r="1300" spans="1:26">
      <c r="A1300" s="100" t="e">
        <f ca="1">IFERROR(__xludf.DUMMYFUNCTION("""COMPUTED_VALUE"""),58784635)</f>
        <v>#NAME?</v>
      </c>
      <c r="B1300" s="100" t="e">
        <f ca="1">IFERROR(__xludf.DUMMYFUNCTION("""COMPUTED_VALUE"""),"ACMUSDT")</f>
        <v>#NAME?</v>
      </c>
      <c r="C1300" s="100" t="e">
        <f ca="1">IFERROR(__xludf.DUMMYFUNCTION("""COMPUTED_VALUE"""),"0.80400000")</f>
        <v>#NAME?</v>
      </c>
      <c r="D1300" s="100" t="e">
        <f t="shared" ca="1" si="231"/>
        <v>#NAME?</v>
      </c>
      <c r="E1300" s="100" t="e">
        <f t="shared" ca="1" si="231"/>
        <v>#NAME?</v>
      </c>
      <c r="F1300" s="100" t="e">
        <f t="shared" ca="1" si="232"/>
        <v>#NAME?</v>
      </c>
      <c r="G1300" s="100" t="e">
        <f t="shared" ca="1" si="233"/>
        <v>#NAME?</v>
      </c>
      <c r="H1300" s="100" t="e">
        <f t="shared" ca="1" si="234"/>
        <v>#NAME?</v>
      </c>
      <c r="I1300" s="100" t="e">
        <f t="shared" ca="1" si="235"/>
        <v>#NAME?</v>
      </c>
      <c r="J1300" s="100" t="e">
        <f ca="1">IFERROR(__xludf.DUMMYFUNCTION("""COMPUTED_VALUE"""),"0.626")</f>
        <v>#NAME?</v>
      </c>
      <c r="K1300" s="100" t="e">
        <f t="shared" ca="1" si="236"/>
        <v>#NAME?</v>
      </c>
      <c r="L1300" s="100"/>
      <c r="M1300" s="100"/>
      <c r="N1300" s="100"/>
      <c r="O1300" s="100"/>
      <c r="P1300" s="100"/>
      <c r="Q1300" s="100"/>
      <c r="R1300" s="100"/>
      <c r="S1300" s="100"/>
      <c r="T1300" s="100"/>
      <c r="U1300" s="100"/>
      <c r="V1300" s="100"/>
      <c r="W1300" s="100"/>
      <c r="X1300" s="100"/>
      <c r="Y1300" s="100"/>
      <c r="Z1300" s="100"/>
    </row>
    <row r="1301" spans="1:26">
      <c r="A1301" s="100" t="e">
        <f ca="1">IFERROR(__xludf.DUMMYFUNCTION("""COMPUTED_VALUE"""),58784636)</f>
        <v>#NAME?</v>
      </c>
      <c r="B1301" s="100" t="e">
        <f ca="1">IFERROR(__xludf.DUMMYFUNCTION("""COMPUTED_VALUE"""),"AUCTIONBTC")</f>
        <v>#NAME?</v>
      </c>
      <c r="C1301" s="100" t="e">
        <f ca="1">IFERROR(__xludf.DUMMYFUNCTION("""COMPUTED_VALUE"""),"0.00012520")</f>
        <v>#NAME?</v>
      </c>
      <c r="D1301" s="100" t="e">
        <f t="shared" ca="1" si="231"/>
        <v>#NAME?</v>
      </c>
      <c r="E1301" s="100" t="e">
        <f t="shared" ca="1" si="231"/>
        <v>#NAME?</v>
      </c>
      <c r="F1301" s="100" t="e">
        <f t="shared" ca="1" si="232"/>
        <v>#NAME?</v>
      </c>
      <c r="G1301" s="100" t="e">
        <f t="shared" ca="1" si="233"/>
        <v>#NAME?</v>
      </c>
      <c r="H1301" s="100" t="e">
        <f t="shared" ca="1" si="234"/>
        <v>#NAME?</v>
      </c>
      <c r="I1301" s="100" t="e">
        <f t="shared" ca="1" si="235"/>
        <v>#NAME?</v>
      </c>
      <c r="J1301" s="100" t="e">
        <f ca="1">IFERROR(__xludf.DUMMYFUNCTION("""COMPUTED_VALUE"""),"-3.988")</f>
        <v>#NAME?</v>
      </c>
      <c r="K1301" s="100" t="e">
        <f t="shared" ca="1" si="236"/>
        <v>#NAME?</v>
      </c>
      <c r="L1301" s="100"/>
      <c r="M1301" s="100"/>
      <c r="N1301" s="100"/>
      <c r="O1301" s="100"/>
      <c r="P1301" s="100"/>
      <c r="Q1301" s="100"/>
      <c r="R1301" s="100"/>
      <c r="S1301" s="100"/>
      <c r="T1301" s="100"/>
      <c r="U1301" s="100"/>
      <c r="V1301" s="100"/>
      <c r="W1301" s="100"/>
      <c r="X1301" s="100"/>
      <c r="Y1301" s="100"/>
      <c r="Z1301" s="100"/>
    </row>
    <row r="1302" spans="1:26">
      <c r="A1302" s="100" t="e">
        <f ca="1">IFERROR(__xludf.DUMMYFUNCTION("""COMPUTED_VALUE"""),58784637)</f>
        <v>#NAME?</v>
      </c>
      <c r="B1302" s="100" t="e">
        <f ca="1">IFERROR(__xludf.DUMMYFUNCTION("""COMPUTED_VALUE"""),"AUCTIONBUSD")</f>
        <v>#NAME?</v>
      </c>
      <c r="C1302" s="100" t="e">
        <f ca="1">IFERROR(__xludf.DUMMYFUNCTION("""COMPUTED_VALUE"""),"8.04000000")</f>
        <v>#NAME?</v>
      </c>
      <c r="D1302" s="100" t="e">
        <f t="shared" ref="D1302:E1321" ca="1" si="238">IFERROR(__xludf.DUMMYFUNCTION("""COMPUTED_VALUE"""),"-")</f>
        <v>#NAME?</v>
      </c>
      <c r="E1302" s="100" t="e">
        <f t="shared" ca="1" si="238"/>
        <v>#NAME?</v>
      </c>
      <c r="F1302" s="100" t="e">
        <f t="shared" ca="1" si="232"/>
        <v>#NAME?</v>
      </c>
      <c r="G1302" s="100" t="e">
        <f t="shared" ca="1" si="233"/>
        <v>#NAME?</v>
      </c>
      <c r="H1302" s="100" t="e">
        <f t="shared" ca="1" si="234"/>
        <v>#NAME?</v>
      </c>
      <c r="I1302" s="100" t="e">
        <f t="shared" ca="1" si="235"/>
        <v>#NAME?</v>
      </c>
      <c r="J1302" s="100" t="e">
        <f ca="1">IFERROR(__xludf.DUMMYFUNCTION("""COMPUTED_VALUE"""),"0")</f>
        <v>#NAME?</v>
      </c>
      <c r="K1302" s="100" t="e">
        <f t="shared" ca="1" si="236"/>
        <v>#NAME?</v>
      </c>
      <c r="L1302" s="100"/>
      <c r="M1302" s="100"/>
      <c r="N1302" s="100"/>
      <c r="O1302" s="100"/>
      <c r="P1302" s="100"/>
      <c r="Q1302" s="100"/>
      <c r="R1302" s="100"/>
      <c r="S1302" s="100"/>
      <c r="T1302" s="100"/>
      <c r="U1302" s="100"/>
      <c r="V1302" s="100"/>
      <c r="W1302" s="100"/>
      <c r="X1302" s="100"/>
      <c r="Y1302" s="100"/>
      <c r="Z1302" s="100"/>
    </row>
    <row r="1303" spans="1:26">
      <c r="A1303" s="100" t="e">
        <f ca="1">IFERROR(__xludf.DUMMYFUNCTION("""COMPUTED_VALUE"""),58784638)</f>
        <v>#NAME?</v>
      </c>
      <c r="B1303" s="100" t="e">
        <f ca="1">IFERROR(__xludf.DUMMYFUNCTION("""COMPUTED_VALUE"""),"PHABTC")</f>
        <v>#NAME?</v>
      </c>
      <c r="C1303" s="100" t="e">
        <f ca="1">IFERROR(__xludf.DUMMYFUNCTION("""COMPUTED_VALUE"""),"0.00000111")</f>
        <v>#NAME?</v>
      </c>
      <c r="D1303" s="100" t="e">
        <f t="shared" ca="1" si="238"/>
        <v>#NAME?</v>
      </c>
      <c r="E1303" s="100" t="e">
        <f t="shared" ca="1" si="238"/>
        <v>#NAME?</v>
      </c>
      <c r="F1303" s="100" t="e">
        <f t="shared" ca="1" si="232"/>
        <v>#NAME?</v>
      </c>
      <c r="G1303" s="100" t="e">
        <f t="shared" ca="1" si="233"/>
        <v>#NAME?</v>
      </c>
      <c r="H1303" s="100" t="e">
        <f t="shared" ca="1" si="234"/>
        <v>#NAME?</v>
      </c>
      <c r="I1303" s="100" t="e">
        <f t="shared" ca="1" si="235"/>
        <v>#NAME?</v>
      </c>
      <c r="J1303" s="100" t="e">
        <f ca="1">IFERROR(__xludf.DUMMYFUNCTION("""COMPUTED_VALUE"""),"-5.128")</f>
        <v>#NAME?</v>
      </c>
      <c r="K1303" s="100" t="e">
        <f t="shared" ca="1" si="236"/>
        <v>#NAME?</v>
      </c>
      <c r="L1303" s="100"/>
      <c r="M1303" s="100"/>
      <c r="N1303" s="100"/>
      <c r="O1303" s="100"/>
      <c r="P1303" s="100"/>
      <c r="Q1303" s="100"/>
      <c r="R1303" s="100"/>
      <c r="S1303" s="100"/>
      <c r="T1303" s="100"/>
      <c r="U1303" s="100"/>
      <c r="V1303" s="100"/>
      <c r="W1303" s="100"/>
      <c r="X1303" s="100"/>
      <c r="Y1303" s="100"/>
      <c r="Z1303" s="100"/>
    </row>
    <row r="1304" spans="1:26">
      <c r="A1304" s="100" t="e">
        <f ca="1">IFERROR(__xludf.DUMMYFUNCTION("""COMPUTED_VALUE"""),58784639)</f>
        <v>#NAME?</v>
      </c>
      <c r="B1304" s="100" t="e">
        <f ca="1">IFERROR(__xludf.DUMMYFUNCTION("""COMPUTED_VALUE"""),"PHABUSD")</f>
        <v>#NAME?</v>
      </c>
      <c r="C1304" s="100" t="e">
        <f ca="1">IFERROR(__xludf.DUMMYFUNCTION("""COMPUTED_VALUE"""),"0.10340000")</f>
        <v>#NAME?</v>
      </c>
      <c r="D1304" s="100" t="e">
        <f t="shared" ca="1" si="238"/>
        <v>#NAME?</v>
      </c>
      <c r="E1304" s="100" t="e">
        <f t="shared" ca="1" si="238"/>
        <v>#NAME?</v>
      </c>
      <c r="F1304" s="100" t="e">
        <f t="shared" ca="1" si="232"/>
        <v>#NAME?</v>
      </c>
      <c r="G1304" s="100" t="e">
        <f t="shared" ca="1" si="233"/>
        <v>#NAME?</v>
      </c>
      <c r="H1304" s="100" t="e">
        <f t="shared" ca="1" si="234"/>
        <v>#NAME?</v>
      </c>
      <c r="I1304" s="100" t="e">
        <f t="shared" ca="1" si="235"/>
        <v>#NAME?</v>
      </c>
      <c r="J1304" s="100" t="e">
        <f ca="1">IFERROR(__xludf.DUMMYFUNCTION("""COMPUTED_VALUE"""),"0")</f>
        <v>#NAME?</v>
      </c>
      <c r="K1304" s="100" t="e">
        <f t="shared" ca="1" si="236"/>
        <v>#NAME?</v>
      </c>
      <c r="L1304" s="100"/>
      <c r="M1304" s="100"/>
      <c r="N1304" s="100"/>
      <c r="O1304" s="100"/>
      <c r="P1304" s="100"/>
      <c r="Q1304" s="100"/>
      <c r="R1304" s="100"/>
      <c r="S1304" s="100"/>
      <c r="T1304" s="100"/>
      <c r="U1304" s="100"/>
      <c r="V1304" s="100"/>
      <c r="W1304" s="100"/>
      <c r="X1304" s="100"/>
      <c r="Y1304" s="100"/>
      <c r="Z1304" s="100"/>
    </row>
    <row r="1305" spans="1:26">
      <c r="A1305" s="100" t="e">
        <f ca="1">IFERROR(__xludf.DUMMYFUNCTION("""COMPUTED_VALUE"""),58784640)</f>
        <v>#NAME?</v>
      </c>
      <c r="B1305" s="100" t="e">
        <f ca="1">IFERROR(__xludf.DUMMYFUNCTION("""COMPUTED_VALUE"""),"DOTGBP")</f>
        <v>#NAME?</v>
      </c>
      <c r="C1305" s="100" t="e">
        <f ca="1">IFERROR(__xludf.DUMMYFUNCTION("""COMPUTED_VALUE"""),"3.01500000")</f>
        <v>#NAME?</v>
      </c>
      <c r="D1305" s="100" t="e">
        <f t="shared" ca="1" si="238"/>
        <v>#NAME?</v>
      </c>
      <c r="E1305" s="100" t="e">
        <f t="shared" ca="1" si="238"/>
        <v>#NAME?</v>
      </c>
      <c r="F1305" s="100" t="e">
        <f t="shared" ca="1" si="232"/>
        <v>#NAME?</v>
      </c>
      <c r="G1305" s="100" t="e">
        <f t="shared" ca="1" si="233"/>
        <v>#NAME?</v>
      </c>
      <c r="H1305" s="100" t="e">
        <f t="shared" ca="1" si="234"/>
        <v>#NAME?</v>
      </c>
      <c r="I1305" s="100" t="e">
        <f t="shared" ca="1" si="235"/>
        <v>#NAME?</v>
      </c>
      <c r="J1305" s="100" t="e">
        <f ca="1">IFERROR(__xludf.DUMMYFUNCTION("""COMPUTED_VALUE"""),"0")</f>
        <v>#NAME?</v>
      </c>
      <c r="K1305" s="100" t="e">
        <f t="shared" ca="1" si="236"/>
        <v>#NAME?</v>
      </c>
      <c r="L1305" s="100"/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</row>
    <row r="1306" spans="1:26">
      <c r="A1306" s="100" t="e">
        <f ca="1">IFERROR(__xludf.DUMMYFUNCTION("""COMPUTED_VALUE"""),58784641)</f>
        <v>#NAME?</v>
      </c>
      <c r="B1306" s="100" t="e">
        <f ca="1">IFERROR(__xludf.DUMMYFUNCTION("""COMPUTED_VALUE"""),"ADATRY")</f>
        <v>#NAME?</v>
      </c>
      <c r="C1306" s="100" t="e">
        <f ca="1">IFERROR(__xludf.DUMMYFUNCTION("""COMPUTED_VALUE"""),"24.44000000")</f>
        <v>#NAME?</v>
      </c>
      <c r="D1306" s="100" t="e">
        <f t="shared" ca="1" si="238"/>
        <v>#NAME?</v>
      </c>
      <c r="E1306" s="100" t="e">
        <f t="shared" ca="1" si="238"/>
        <v>#NAME?</v>
      </c>
      <c r="F1306" s="100" t="e">
        <f t="shared" ca="1" si="232"/>
        <v>#NAME?</v>
      </c>
      <c r="G1306" s="100" t="e">
        <f t="shared" ca="1" si="233"/>
        <v>#NAME?</v>
      </c>
      <c r="H1306" s="100" t="e">
        <f t="shared" ca="1" si="234"/>
        <v>#NAME?</v>
      </c>
      <c r="I1306" s="100" t="e">
        <f t="shared" ca="1" si="235"/>
        <v>#NAME?</v>
      </c>
      <c r="J1306" s="100" t="e">
        <f ca="1">IFERROR(__xludf.DUMMYFUNCTION("""COMPUTED_VALUE"""),"-1.133")</f>
        <v>#NAME?</v>
      </c>
      <c r="K1306" s="100" t="e">
        <f t="shared" ca="1" si="236"/>
        <v>#NAME?</v>
      </c>
      <c r="L1306" s="100"/>
      <c r="M1306" s="100"/>
      <c r="N1306" s="100"/>
      <c r="O1306" s="100"/>
      <c r="P1306" s="100"/>
      <c r="Q1306" s="100"/>
      <c r="R1306" s="100"/>
      <c r="S1306" s="100"/>
      <c r="T1306" s="100"/>
      <c r="U1306" s="100"/>
      <c r="V1306" s="100"/>
      <c r="W1306" s="100"/>
      <c r="X1306" s="100"/>
      <c r="Y1306" s="100"/>
      <c r="Z1306" s="100"/>
    </row>
    <row r="1307" spans="1:26">
      <c r="A1307" s="100" t="e">
        <f ca="1">IFERROR(__xludf.DUMMYFUNCTION("""COMPUTED_VALUE"""),58784642)</f>
        <v>#NAME?</v>
      </c>
      <c r="B1307" s="100" t="e">
        <f ca="1">IFERROR(__xludf.DUMMYFUNCTION("""COMPUTED_VALUE"""),"ADABRL")</f>
        <v>#NAME?</v>
      </c>
      <c r="C1307" s="100" t="e">
        <f ca="1">IFERROR(__xludf.DUMMYFUNCTION("""COMPUTED_VALUE"""),"3.72200000")</f>
        <v>#NAME?</v>
      </c>
      <c r="D1307" s="100" t="e">
        <f t="shared" ca="1" si="238"/>
        <v>#NAME?</v>
      </c>
      <c r="E1307" s="100" t="e">
        <f t="shared" ca="1" si="238"/>
        <v>#NAME?</v>
      </c>
      <c r="F1307" s="100" t="e">
        <f t="shared" ca="1" si="232"/>
        <v>#NAME?</v>
      </c>
      <c r="G1307" s="100" t="e">
        <f t="shared" ca="1" si="233"/>
        <v>#NAME?</v>
      </c>
      <c r="H1307" s="100" t="e">
        <f t="shared" ca="1" si="234"/>
        <v>#NAME?</v>
      </c>
      <c r="I1307" s="100" t="e">
        <f t="shared" ca="1" si="235"/>
        <v>#NAME?</v>
      </c>
      <c r="J1307" s="100" t="e">
        <f ca="1">IFERROR(__xludf.DUMMYFUNCTION("""COMPUTED_VALUE"""),"-1.221")</f>
        <v>#NAME?</v>
      </c>
      <c r="K1307" s="100" t="e">
        <f t="shared" ca="1" si="236"/>
        <v>#NAME?</v>
      </c>
      <c r="L1307" s="100"/>
      <c r="M1307" s="100"/>
      <c r="N1307" s="100"/>
      <c r="O1307" s="100"/>
      <c r="P1307" s="100"/>
      <c r="Q1307" s="100"/>
      <c r="R1307" s="100"/>
      <c r="S1307" s="100"/>
      <c r="T1307" s="100"/>
      <c r="U1307" s="100"/>
      <c r="V1307" s="100"/>
      <c r="W1307" s="100"/>
      <c r="X1307" s="100"/>
      <c r="Y1307" s="100"/>
      <c r="Z1307" s="100"/>
    </row>
    <row r="1308" spans="1:26">
      <c r="A1308" s="100" t="e">
        <f ca="1">IFERROR(__xludf.DUMMYFUNCTION("""COMPUTED_VALUE"""),58784643)</f>
        <v>#NAME?</v>
      </c>
      <c r="B1308" s="100" t="e">
        <f ca="1">IFERROR(__xludf.DUMMYFUNCTION("""COMPUTED_VALUE"""),"ADAGBP")</f>
        <v>#NAME?</v>
      </c>
      <c r="C1308" s="100" t="e">
        <f ca="1">IFERROR(__xludf.DUMMYFUNCTION("""COMPUTED_VALUE"""),"0.51300000")</f>
        <v>#NAME?</v>
      </c>
      <c r="D1308" s="100" t="e">
        <f t="shared" ca="1" si="238"/>
        <v>#NAME?</v>
      </c>
      <c r="E1308" s="100" t="e">
        <f t="shared" ca="1" si="238"/>
        <v>#NAME?</v>
      </c>
      <c r="F1308" s="100" t="e">
        <f t="shared" ca="1" si="232"/>
        <v>#NAME?</v>
      </c>
      <c r="G1308" s="100" t="e">
        <f t="shared" ca="1" si="233"/>
        <v>#NAME?</v>
      </c>
      <c r="H1308" s="100" t="e">
        <f t="shared" ca="1" si="234"/>
        <v>#NAME?</v>
      </c>
      <c r="I1308" s="100" t="e">
        <f t="shared" ca="1" si="235"/>
        <v>#NAME?</v>
      </c>
      <c r="J1308" s="100" t="e">
        <f ca="1">IFERROR(__xludf.DUMMYFUNCTION("""COMPUTED_VALUE"""),"0")</f>
        <v>#NAME?</v>
      </c>
      <c r="K1308" s="100" t="e">
        <f t="shared" ca="1" si="236"/>
        <v>#NAME?</v>
      </c>
      <c r="L1308" s="100"/>
      <c r="M1308" s="100"/>
      <c r="N1308" s="100"/>
      <c r="O1308" s="100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</row>
    <row r="1309" spans="1:26">
      <c r="A1309" s="100" t="e">
        <f ca="1">IFERROR(__xludf.DUMMYFUNCTION("""COMPUTED_VALUE"""),58784644)</f>
        <v>#NAME?</v>
      </c>
      <c r="B1309" s="100" t="e">
        <f ca="1">IFERROR(__xludf.DUMMYFUNCTION("""COMPUTED_VALUE"""),"TVKBTC")</f>
        <v>#NAME?</v>
      </c>
      <c r="C1309" s="100" t="e">
        <f ca="1">IFERROR(__xludf.DUMMYFUNCTION("""COMPUTED_VALUE"""),"0.00000145")</f>
        <v>#NAME?</v>
      </c>
      <c r="D1309" s="100" t="e">
        <f t="shared" ca="1" si="238"/>
        <v>#NAME?</v>
      </c>
      <c r="E1309" s="100" t="e">
        <f t="shared" ca="1" si="238"/>
        <v>#NAME?</v>
      </c>
      <c r="F1309" s="100" t="e">
        <f t="shared" ca="1" si="232"/>
        <v>#NAME?</v>
      </c>
      <c r="G1309" s="100" t="e">
        <f t="shared" ca="1" si="233"/>
        <v>#NAME?</v>
      </c>
      <c r="H1309" s="100" t="e">
        <f t="shared" ca="1" si="234"/>
        <v>#NAME?</v>
      </c>
      <c r="I1309" s="100" t="e">
        <f t="shared" ca="1" si="235"/>
        <v>#NAME?</v>
      </c>
      <c r="J1309" s="100" t="e">
        <f ca="1">IFERROR(__xludf.DUMMYFUNCTION("""COMPUTED_VALUE"""),"0")</f>
        <v>#NAME?</v>
      </c>
      <c r="K1309" s="100" t="e">
        <f t="shared" ca="1" si="236"/>
        <v>#NAME?</v>
      </c>
      <c r="L1309" s="100"/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</row>
    <row r="1310" spans="1:26">
      <c r="A1310" s="100" t="e">
        <f ca="1">IFERROR(__xludf.DUMMYFUNCTION("""COMPUTED_VALUE"""),58784645)</f>
        <v>#NAME?</v>
      </c>
      <c r="B1310" s="100" t="e">
        <f ca="1">IFERROR(__xludf.DUMMYFUNCTION("""COMPUTED_VALUE"""),"TVKBUSD")</f>
        <v>#NAME?</v>
      </c>
      <c r="C1310" s="100" t="e">
        <f ca="1">IFERROR(__xludf.DUMMYFUNCTION("""COMPUTED_VALUE"""),"0.02043000")</f>
        <v>#NAME?</v>
      </c>
      <c r="D1310" s="100" t="e">
        <f t="shared" ca="1" si="238"/>
        <v>#NAME?</v>
      </c>
      <c r="E1310" s="100" t="e">
        <f t="shared" ca="1" si="238"/>
        <v>#NAME?</v>
      </c>
      <c r="F1310" s="100" t="e">
        <f t="shared" ca="1" si="232"/>
        <v>#NAME?</v>
      </c>
      <c r="G1310" s="100" t="e">
        <f t="shared" ca="1" si="233"/>
        <v>#NAME?</v>
      </c>
      <c r="H1310" s="100" t="e">
        <f t="shared" ca="1" si="234"/>
        <v>#NAME?</v>
      </c>
      <c r="I1310" s="100" t="e">
        <f t="shared" ca="1" si="235"/>
        <v>#NAME?</v>
      </c>
      <c r="J1310" s="100" t="e">
        <f ca="1">IFERROR(__xludf.DUMMYFUNCTION("""COMPUTED_VALUE"""),"0")</f>
        <v>#NAME?</v>
      </c>
      <c r="K1310" s="100" t="e">
        <f t="shared" ca="1" si="236"/>
        <v>#NAME?</v>
      </c>
      <c r="L1310" s="100"/>
      <c r="M1310" s="100"/>
      <c r="N1310" s="100"/>
      <c r="O1310" s="100"/>
      <c r="P1310" s="100"/>
      <c r="Q1310" s="100"/>
      <c r="R1310" s="100"/>
      <c r="S1310" s="100"/>
      <c r="T1310" s="100"/>
      <c r="U1310" s="100"/>
      <c r="V1310" s="100"/>
      <c r="W1310" s="100"/>
      <c r="X1310" s="100"/>
      <c r="Y1310" s="100"/>
      <c r="Z1310" s="100"/>
    </row>
    <row r="1311" spans="1:26">
      <c r="A1311" s="100" t="e">
        <f ca="1">IFERROR(__xludf.DUMMYFUNCTION("""COMPUTED_VALUE"""),58784646)</f>
        <v>#NAME?</v>
      </c>
      <c r="B1311" s="100" t="e">
        <f ca="1">IFERROR(__xludf.DUMMYFUNCTION("""COMPUTED_VALUE"""),"BADGERBTC")</f>
        <v>#NAME?</v>
      </c>
      <c r="C1311" s="100" t="e">
        <f ca="1">IFERROR(__xludf.DUMMYFUNCTION("""COMPUTED_VALUE"""),"0.00000903")</f>
        <v>#NAME?</v>
      </c>
      <c r="D1311" s="100" t="e">
        <f t="shared" ca="1" si="238"/>
        <v>#NAME?</v>
      </c>
      <c r="E1311" s="100" t="e">
        <f t="shared" ca="1" si="238"/>
        <v>#NAME?</v>
      </c>
      <c r="F1311" s="100" t="e">
        <f t="shared" ca="1" si="232"/>
        <v>#NAME?</v>
      </c>
      <c r="G1311" s="100" t="e">
        <f t="shared" ca="1" si="233"/>
        <v>#NAME?</v>
      </c>
      <c r="H1311" s="100" t="e">
        <f t="shared" ca="1" si="234"/>
        <v>#NAME?</v>
      </c>
      <c r="I1311" s="100" t="e">
        <f t="shared" ca="1" si="235"/>
        <v>#NAME?</v>
      </c>
      <c r="J1311" s="100" t="e">
        <f ca="1">IFERROR(__xludf.DUMMYFUNCTION("""COMPUTED_VALUE"""),"-11.902")</f>
        <v>#NAME?</v>
      </c>
      <c r="K1311" s="100" t="e">
        <f t="shared" ca="1" si="236"/>
        <v>#NAME?</v>
      </c>
      <c r="L1311" s="100"/>
      <c r="M1311" s="100"/>
      <c r="N1311" s="100"/>
      <c r="O1311" s="100"/>
      <c r="P1311" s="100"/>
      <c r="Q1311" s="100"/>
      <c r="R1311" s="100"/>
      <c r="S1311" s="100"/>
      <c r="T1311" s="100"/>
      <c r="U1311" s="100"/>
      <c r="V1311" s="100"/>
      <c r="W1311" s="100"/>
      <c r="X1311" s="100"/>
      <c r="Y1311" s="100"/>
      <c r="Z1311" s="100"/>
    </row>
    <row r="1312" spans="1:26">
      <c r="A1312" s="100" t="e">
        <f ca="1">IFERROR(__xludf.DUMMYFUNCTION("""COMPUTED_VALUE"""),58784647)</f>
        <v>#NAME?</v>
      </c>
      <c r="B1312" s="100" t="e">
        <f ca="1">IFERROR(__xludf.DUMMYFUNCTION("""COMPUTED_VALUE"""),"BADGERBUSD")</f>
        <v>#NAME?</v>
      </c>
      <c r="C1312" s="100" t="e">
        <f ca="1">IFERROR(__xludf.DUMMYFUNCTION("""COMPUTED_VALUE"""),"2.07900000")</f>
        <v>#NAME?</v>
      </c>
      <c r="D1312" s="100" t="e">
        <f t="shared" ca="1" si="238"/>
        <v>#NAME?</v>
      </c>
      <c r="E1312" s="100" t="e">
        <f t="shared" ca="1" si="238"/>
        <v>#NAME?</v>
      </c>
      <c r="F1312" s="100" t="e">
        <f t="shared" ca="1" si="232"/>
        <v>#NAME?</v>
      </c>
      <c r="G1312" s="100" t="e">
        <f t="shared" ca="1" si="233"/>
        <v>#NAME?</v>
      </c>
      <c r="H1312" s="100" t="e">
        <f t="shared" ca="1" si="234"/>
        <v>#NAME?</v>
      </c>
      <c r="I1312" s="100" t="e">
        <f t="shared" ca="1" si="235"/>
        <v>#NAME?</v>
      </c>
      <c r="J1312" s="100" t="e">
        <f ca="1">IFERROR(__xludf.DUMMYFUNCTION("""COMPUTED_VALUE"""),"0")</f>
        <v>#NAME?</v>
      </c>
      <c r="K1312" s="100" t="e">
        <f t="shared" ca="1" si="236"/>
        <v>#NAME?</v>
      </c>
      <c r="L1312" s="100"/>
      <c r="M1312" s="100"/>
      <c r="N1312" s="100"/>
      <c r="O1312" s="100"/>
      <c r="P1312" s="100"/>
      <c r="Q1312" s="100"/>
      <c r="R1312" s="100"/>
      <c r="S1312" s="100"/>
      <c r="T1312" s="100"/>
      <c r="U1312" s="100"/>
      <c r="V1312" s="100"/>
      <c r="W1312" s="100"/>
      <c r="X1312" s="100"/>
      <c r="Y1312" s="100"/>
      <c r="Z1312" s="100"/>
    </row>
    <row r="1313" spans="1:26">
      <c r="A1313" s="100" t="e">
        <f ca="1">IFERROR(__xludf.DUMMYFUNCTION("""COMPUTED_VALUE"""),58784648)</f>
        <v>#NAME?</v>
      </c>
      <c r="B1313" s="100" t="e">
        <f ca="1">IFERROR(__xludf.DUMMYFUNCTION("""COMPUTED_VALUE"""),"BADGERUSDT")</f>
        <v>#NAME?</v>
      </c>
      <c r="C1313" s="100" t="e">
        <f ca="1">IFERROR(__xludf.DUMMYFUNCTION("""COMPUTED_VALUE"""),"0.76200000")</f>
        <v>#NAME?</v>
      </c>
      <c r="D1313" s="100" t="e">
        <f t="shared" ca="1" si="238"/>
        <v>#NAME?</v>
      </c>
      <c r="E1313" s="100" t="e">
        <f t="shared" ca="1" si="238"/>
        <v>#NAME?</v>
      </c>
      <c r="F1313" s="100" t="e">
        <f t="shared" ca="1" si="232"/>
        <v>#NAME?</v>
      </c>
      <c r="G1313" s="100" t="e">
        <f t="shared" ca="1" si="233"/>
        <v>#NAME?</v>
      </c>
      <c r="H1313" s="100" t="e">
        <f t="shared" ca="1" si="234"/>
        <v>#NAME?</v>
      </c>
      <c r="I1313" s="100" t="e">
        <f t="shared" ca="1" si="235"/>
        <v>#NAME?</v>
      </c>
      <c r="J1313" s="100" t="e">
        <f ca="1">IFERROR(__xludf.DUMMYFUNCTION("""COMPUTED_VALUE"""),"-12.715")</f>
        <v>#NAME?</v>
      </c>
      <c r="K1313" s="100" t="e">
        <f t="shared" ca="1" si="236"/>
        <v>#NAME?</v>
      </c>
      <c r="L1313" s="100"/>
      <c r="M1313" s="100"/>
      <c r="N1313" s="100"/>
      <c r="O1313" s="100"/>
      <c r="P1313" s="100"/>
      <c r="Q1313" s="100"/>
      <c r="R1313" s="100"/>
      <c r="S1313" s="100"/>
      <c r="T1313" s="100"/>
      <c r="U1313" s="100"/>
      <c r="V1313" s="100"/>
      <c r="W1313" s="100"/>
      <c r="X1313" s="100"/>
      <c r="Y1313" s="100"/>
      <c r="Z1313" s="100"/>
    </row>
    <row r="1314" spans="1:26">
      <c r="A1314" s="100" t="e">
        <f ca="1">IFERROR(__xludf.DUMMYFUNCTION("""COMPUTED_VALUE"""),58784649)</f>
        <v>#NAME?</v>
      </c>
      <c r="B1314" s="100" t="e">
        <f ca="1">IFERROR(__xludf.DUMMYFUNCTION("""COMPUTED_VALUE"""),"FISBTC")</f>
        <v>#NAME?</v>
      </c>
      <c r="C1314" s="100" t="e">
        <f ca="1">IFERROR(__xludf.DUMMYFUNCTION("""COMPUTED_VALUE"""),"0.00000158")</f>
        <v>#NAME?</v>
      </c>
      <c r="D1314" s="100" t="e">
        <f t="shared" ca="1" si="238"/>
        <v>#NAME?</v>
      </c>
      <c r="E1314" s="100" t="e">
        <f t="shared" ca="1" si="238"/>
        <v>#NAME?</v>
      </c>
      <c r="F1314" s="100" t="e">
        <f t="shared" ca="1" si="232"/>
        <v>#NAME?</v>
      </c>
      <c r="G1314" s="100" t="e">
        <f t="shared" ca="1" si="233"/>
        <v>#NAME?</v>
      </c>
      <c r="H1314" s="100" t="e">
        <f t="shared" ca="1" si="234"/>
        <v>#NAME?</v>
      </c>
      <c r="I1314" s="100" t="e">
        <f t="shared" ca="1" si="235"/>
        <v>#NAME?</v>
      </c>
      <c r="J1314" s="100" t="e">
        <f ca="1">IFERROR(__xludf.DUMMYFUNCTION("""COMPUTED_VALUE"""),"0.637")</f>
        <v>#NAME?</v>
      </c>
      <c r="K1314" s="100" t="e">
        <f t="shared" ca="1" si="236"/>
        <v>#NAME?</v>
      </c>
      <c r="L1314" s="100"/>
      <c r="M1314" s="100"/>
      <c r="N1314" s="100"/>
      <c r="O1314" s="100"/>
      <c r="P1314" s="100"/>
      <c r="Q1314" s="100"/>
      <c r="R1314" s="100"/>
      <c r="S1314" s="100"/>
      <c r="T1314" s="100"/>
      <c r="U1314" s="100"/>
      <c r="V1314" s="100"/>
      <c r="W1314" s="100"/>
      <c r="X1314" s="100"/>
      <c r="Y1314" s="100"/>
      <c r="Z1314" s="100"/>
    </row>
    <row r="1315" spans="1:26">
      <c r="A1315" s="100" t="e">
        <f ca="1">IFERROR(__xludf.DUMMYFUNCTION("""COMPUTED_VALUE"""),58784650)</f>
        <v>#NAME?</v>
      </c>
      <c r="B1315" s="100" t="e">
        <f ca="1">IFERROR(__xludf.DUMMYFUNCTION("""COMPUTED_VALUE"""),"FISBUSD")</f>
        <v>#NAME?</v>
      </c>
      <c r="C1315" s="100" t="e">
        <f ca="1">IFERROR(__xludf.DUMMYFUNCTION("""COMPUTED_VALUE"""),"0.24380000")</f>
        <v>#NAME?</v>
      </c>
      <c r="D1315" s="100" t="e">
        <f t="shared" ca="1" si="238"/>
        <v>#NAME?</v>
      </c>
      <c r="E1315" s="100" t="e">
        <f t="shared" ca="1" si="238"/>
        <v>#NAME?</v>
      </c>
      <c r="F1315" s="100" t="e">
        <f t="shared" ca="1" si="232"/>
        <v>#NAME?</v>
      </c>
      <c r="G1315" s="100" t="e">
        <f t="shared" ca="1" si="233"/>
        <v>#NAME?</v>
      </c>
      <c r="H1315" s="100" t="e">
        <f t="shared" ca="1" si="234"/>
        <v>#NAME?</v>
      </c>
      <c r="I1315" s="100" t="e">
        <f t="shared" ca="1" si="235"/>
        <v>#NAME?</v>
      </c>
      <c r="J1315" s="100" t="e">
        <f ca="1">IFERROR(__xludf.DUMMYFUNCTION("""COMPUTED_VALUE"""),"0")</f>
        <v>#NAME?</v>
      </c>
      <c r="K1315" s="100" t="e">
        <f t="shared" ca="1" si="236"/>
        <v>#NAME?</v>
      </c>
      <c r="L1315" s="100"/>
      <c r="M1315" s="100"/>
      <c r="N1315" s="100"/>
      <c r="O1315" s="100"/>
      <c r="P1315" s="100"/>
      <c r="Q1315" s="100"/>
      <c r="R1315" s="100"/>
      <c r="S1315" s="100"/>
      <c r="T1315" s="100"/>
      <c r="U1315" s="100"/>
      <c r="V1315" s="100"/>
      <c r="W1315" s="100"/>
      <c r="X1315" s="100"/>
      <c r="Y1315" s="100"/>
      <c r="Z1315" s="100"/>
    </row>
    <row r="1316" spans="1:26">
      <c r="A1316" s="100" t="e">
        <f ca="1">IFERROR(__xludf.DUMMYFUNCTION("""COMPUTED_VALUE"""),58784651)</f>
        <v>#NAME?</v>
      </c>
      <c r="B1316" s="100" t="e">
        <f ca="1">IFERROR(__xludf.DUMMYFUNCTION("""COMPUTED_VALUE"""),"FISUSDT")</f>
        <v>#NAME?</v>
      </c>
      <c r="C1316" s="100" t="e">
        <f ca="1">IFERROR(__xludf.DUMMYFUNCTION("""COMPUTED_VALUE"""),"0.14030000")</f>
        <v>#NAME?</v>
      </c>
      <c r="D1316" s="100" t="e">
        <f t="shared" ca="1" si="238"/>
        <v>#NAME?</v>
      </c>
      <c r="E1316" s="100" t="e">
        <f t="shared" ca="1" si="238"/>
        <v>#NAME?</v>
      </c>
      <c r="F1316" s="100" t="e">
        <f t="shared" ca="1" si="232"/>
        <v>#NAME?</v>
      </c>
      <c r="G1316" s="100" t="e">
        <f t="shared" ca="1" si="233"/>
        <v>#NAME?</v>
      </c>
      <c r="H1316" s="100" t="e">
        <f t="shared" ca="1" si="234"/>
        <v>#NAME?</v>
      </c>
      <c r="I1316" s="100" t="e">
        <f t="shared" ca="1" si="235"/>
        <v>#NAME?</v>
      </c>
      <c r="J1316" s="100" t="e">
        <f ca="1">IFERROR(__xludf.DUMMYFUNCTION("""COMPUTED_VALUE"""),"1.888")</f>
        <v>#NAME?</v>
      </c>
      <c r="K1316" s="100" t="e">
        <f t="shared" ca="1" si="236"/>
        <v>#NAME?</v>
      </c>
      <c r="L1316" s="100"/>
      <c r="M1316" s="100"/>
      <c r="N1316" s="100"/>
      <c r="O1316" s="100"/>
      <c r="P1316" s="100"/>
      <c r="Q1316" s="100"/>
      <c r="R1316" s="100"/>
      <c r="S1316" s="100"/>
      <c r="T1316" s="100"/>
      <c r="U1316" s="100"/>
      <c r="V1316" s="100"/>
      <c r="W1316" s="100"/>
      <c r="X1316" s="100"/>
      <c r="Y1316" s="100"/>
      <c r="Z1316" s="100"/>
    </row>
    <row r="1317" spans="1:26">
      <c r="A1317" s="100" t="e">
        <f ca="1">IFERROR(__xludf.DUMMYFUNCTION("""COMPUTED_VALUE"""),58784652)</f>
        <v>#NAME?</v>
      </c>
      <c r="B1317" s="100" t="e">
        <f ca="1">IFERROR(__xludf.DUMMYFUNCTION("""COMPUTED_VALUE"""),"DOTBRL")</f>
        <v>#NAME?</v>
      </c>
      <c r="C1317" s="100" t="e">
        <f ca="1">IFERROR(__xludf.DUMMYFUNCTION("""COMPUTED_VALUE"""),"21.76000000")</f>
        <v>#NAME?</v>
      </c>
      <c r="D1317" s="100" t="e">
        <f t="shared" ca="1" si="238"/>
        <v>#NAME?</v>
      </c>
      <c r="E1317" s="100" t="e">
        <f t="shared" ca="1" si="238"/>
        <v>#NAME?</v>
      </c>
      <c r="F1317" s="100" t="e">
        <f t="shared" ca="1" si="232"/>
        <v>#NAME?</v>
      </c>
      <c r="G1317" s="100" t="e">
        <f t="shared" ca="1" si="233"/>
        <v>#NAME?</v>
      </c>
      <c r="H1317" s="100" t="e">
        <f t="shared" ca="1" si="234"/>
        <v>#NAME?</v>
      </c>
      <c r="I1317" s="100" t="e">
        <f t="shared" ca="1" si="235"/>
        <v>#NAME?</v>
      </c>
      <c r="J1317" s="100" t="e">
        <f ca="1">IFERROR(__xludf.DUMMYFUNCTION("""COMPUTED_VALUE"""),"-4.937")</f>
        <v>#NAME?</v>
      </c>
      <c r="K1317" s="100" t="e">
        <f t="shared" ca="1" si="236"/>
        <v>#NAME?</v>
      </c>
      <c r="L1317" s="100"/>
      <c r="M1317" s="100"/>
      <c r="N1317" s="100"/>
      <c r="O1317" s="100"/>
      <c r="P1317" s="100"/>
      <c r="Q1317" s="100"/>
      <c r="R1317" s="100"/>
      <c r="S1317" s="100"/>
      <c r="T1317" s="100"/>
      <c r="U1317" s="100"/>
      <c r="V1317" s="100"/>
      <c r="W1317" s="100"/>
      <c r="X1317" s="100"/>
      <c r="Y1317" s="100"/>
      <c r="Z1317" s="100"/>
    </row>
    <row r="1318" spans="1:26">
      <c r="A1318" s="100" t="e">
        <f ca="1">IFERROR(__xludf.DUMMYFUNCTION("""COMPUTED_VALUE"""),58784653)</f>
        <v>#NAME?</v>
      </c>
      <c r="B1318" s="100" t="e">
        <f ca="1">IFERROR(__xludf.DUMMYFUNCTION("""COMPUTED_VALUE"""),"ADAAUD")</f>
        <v>#NAME?</v>
      </c>
      <c r="C1318" s="100" t="e">
        <f ca="1">IFERROR(__xludf.DUMMYFUNCTION("""COMPUTED_VALUE"""),"0.50540000")</f>
        <v>#NAME?</v>
      </c>
      <c r="D1318" s="100" t="e">
        <f t="shared" ca="1" si="238"/>
        <v>#NAME?</v>
      </c>
      <c r="E1318" s="100" t="e">
        <f t="shared" ca="1" si="238"/>
        <v>#NAME?</v>
      </c>
      <c r="F1318" s="100" t="e">
        <f t="shared" ca="1" si="232"/>
        <v>#NAME?</v>
      </c>
      <c r="G1318" s="100" t="e">
        <f t="shared" ca="1" si="233"/>
        <v>#NAME?</v>
      </c>
      <c r="H1318" s="100" t="e">
        <f t="shared" ca="1" si="234"/>
        <v>#NAME?</v>
      </c>
      <c r="I1318" s="100" t="e">
        <f t="shared" ca="1" si="235"/>
        <v>#NAME?</v>
      </c>
      <c r="J1318" s="100" t="e">
        <f ca="1">IFERROR(__xludf.DUMMYFUNCTION("""COMPUTED_VALUE"""),"0")</f>
        <v>#NAME?</v>
      </c>
      <c r="K1318" s="100" t="e">
        <f t="shared" ca="1" si="236"/>
        <v>#NAME?</v>
      </c>
      <c r="L1318" s="100"/>
      <c r="M1318" s="100"/>
      <c r="N1318" s="100"/>
      <c r="O1318" s="100"/>
      <c r="P1318" s="100"/>
      <c r="Q1318" s="100"/>
      <c r="R1318" s="100"/>
      <c r="S1318" s="100"/>
      <c r="T1318" s="100"/>
      <c r="U1318" s="100"/>
      <c r="V1318" s="100"/>
      <c r="W1318" s="100"/>
      <c r="X1318" s="100"/>
      <c r="Y1318" s="100"/>
      <c r="Z1318" s="100"/>
    </row>
    <row r="1319" spans="1:26">
      <c r="A1319" s="100" t="e">
        <f ca="1">IFERROR(__xludf.DUMMYFUNCTION("""COMPUTED_VALUE"""),58784654)</f>
        <v>#NAME?</v>
      </c>
      <c r="B1319" s="100" t="e">
        <f ca="1">IFERROR(__xludf.DUMMYFUNCTION("""COMPUTED_VALUE"""),"HOTTRY")</f>
        <v>#NAME?</v>
      </c>
      <c r="C1319" s="100" t="e">
        <f ca="1">IFERROR(__xludf.DUMMYFUNCTION("""COMPUTED_VALUE"""),"0.03751000")</f>
        <v>#NAME?</v>
      </c>
      <c r="D1319" s="100" t="e">
        <f t="shared" ca="1" si="238"/>
        <v>#NAME?</v>
      </c>
      <c r="E1319" s="100" t="e">
        <f t="shared" ca="1" si="238"/>
        <v>#NAME?</v>
      </c>
      <c r="F1319" s="100" t="e">
        <f t="shared" ca="1" si="232"/>
        <v>#NAME?</v>
      </c>
      <c r="G1319" s="100" t="e">
        <f t="shared" ca="1" si="233"/>
        <v>#NAME?</v>
      </c>
      <c r="H1319" s="100" t="e">
        <f t="shared" ca="1" si="234"/>
        <v>#NAME?</v>
      </c>
      <c r="I1319" s="100" t="e">
        <f t="shared" ca="1" si="235"/>
        <v>#NAME?</v>
      </c>
      <c r="J1319" s="100" t="e">
        <f ca="1">IFERROR(__xludf.DUMMYFUNCTION("""COMPUTED_VALUE"""),"-1.755")</f>
        <v>#NAME?</v>
      </c>
      <c r="K1319" s="100" t="e">
        <f t="shared" ca="1" si="236"/>
        <v>#NAME?</v>
      </c>
      <c r="L1319" s="100"/>
      <c r="M1319" s="100"/>
      <c r="N1319" s="100"/>
      <c r="O1319" s="100"/>
      <c r="P1319" s="100"/>
      <c r="Q1319" s="100"/>
      <c r="R1319" s="100"/>
      <c r="S1319" s="100"/>
      <c r="T1319" s="100"/>
      <c r="U1319" s="100"/>
      <c r="V1319" s="100"/>
      <c r="W1319" s="100"/>
      <c r="X1319" s="100"/>
      <c r="Y1319" s="100"/>
      <c r="Z1319" s="100"/>
    </row>
    <row r="1320" spans="1:26">
      <c r="A1320" s="100" t="e">
        <f ca="1">IFERROR(__xludf.DUMMYFUNCTION("""COMPUTED_VALUE"""),58784655)</f>
        <v>#NAME?</v>
      </c>
      <c r="B1320" s="100" t="e">
        <f ca="1">IFERROR(__xludf.DUMMYFUNCTION("""COMPUTED_VALUE"""),"EGLDEUR")</f>
        <v>#NAME?</v>
      </c>
      <c r="C1320" s="100" t="e">
        <f ca="1">IFERROR(__xludf.DUMMYFUNCTION("""COMPUTED_VALUE"""),"12.26000000")</f>
        <v>#NAME?</v>
      </c>
      <c r="D1320" s="100" t="e">
        <f t="shared" ca="1" si="238"/>
        <v>#NAME?</v>
      </c>
      <c r="E1320" s="100" t="e">
        <f t="shared" ca="1" si="238"/>
        <v>#NAME?</v>
      </c>
      <c r="F1320" s="100" t="e">
        <f t="shared" ca="1" si="232"/>
        <v>#NAME?</v>
      </c>
      <c r="G1320" s="100" t="e">
        <f t="shared" ca="1" si="233"/>
        <v>#NAME?</v>
      </c>
      <c r="H1320" s="100" t="e">
        <f t="shared" ca="1" si="234"/>
        <v>#NAME?</v>
      </c>
      <c r="I1320" s="100" t="e">
        <f t="shared" ca="1" si="235"/>
        <v>#NAME?</v>
      </c>
      <c r="J1320" s="100" t="e">
        <f ca="1">IFERROR(__xludf.DUMMYFUNCTION("""COMPUTED_VALUE"""),"-2.155")</f>
        <v>#NAME?</v>
      </c>
      <c r="K1320" s="100" t="e">
        <f t="shared" ca="1" si="236"/>
        <v>#NAME?</v>
      </c>
      <c r="L1320" s="100"/>
      <c r="M1320" s="100"/>
      <c r="N1320" s="100"/>
      <c r="O1320" s="100"/>
      <c r="P1320" s="100"/>
      <c r="Q1320" s="100"/>
      <c r="R1320" s="100"/>
      <c r="S1320" s="100"/>
      <c r="T1320" s="100"/>
      <c r="U1320" s="100"/>
      <c r="V1320" s="100"/>
      <c r="W1320" s="100"/>
      <c r="X1320" s="100"/>
      <c r="Y1320" s="100"/>
      <c r="Z1320" s="100"/>
    </row>
    <row r="1321" spans="1:26">
      <c r="A1321" s="100" t="e">
        <f ca="1">IFERROR(__xludf.DUMMYFUNCTION("""COMPUTED_VALUE"""),58784656)</f>
        <v>#NAME?</v>
      </c>
      <c r="B1321" s="100" t="e">
        <f ca="1">IFERROR(__xludf.DUMMYFUNCTION("""COMPUTED_VALUE"""),"OMBTC")</f>
        <v>#NAME?</v>
      </c>
      <c r="C1321" s="100" t="e">
        <f ca="1">IFERROR(__xludf.DUMMYFUNCTION("""COMPUTED_VALUE"""),"0.00000608")</f>
        <v>#NAME?</v>
      </c>
      <c r="D1321" s="100" t="e">
        <f t="shared" ca="1" si="238"/>
        <v>#NAME?</v>
      </c>
      <c r="E1321" s="100" t="e">
        <f t="shared" ca="1" si="238"/>
        <v>#NAME?</v>
      </c>
      <c r="F1321" s="100" t="e">
        <f t="shared" ca="1" si="232"/>
        <v>#NAME?</v>
      </c>
      <c r="G1321" s="100" t="e">
        <f t="shared" ca="1" si="233"/>
        <v>#NAME?</v>
      </c>
      <c r="H1321" s="100" t="e">
        <f t="shared" ca="1" si="234"/>
        <v>#NAME?</v>
      </c>
      <c r="I1321" s="100" t="e">
        <f t="shared" ca="1" si="235"/>
        <v>#NAME?</v>
      </c>
      <c r="J1321" s="100" t="e">
        <f ca="1">IFERROR(__xludf.DUMMYFUNCTION("""COMPUTED_VALUE"""),"6.108")</f>
        <v>#NAME?</v>
      </c>
      <c r="K1321" s="100" t="e">
        <f t="shared" ca="1" si="236"/>
        <v>#NAME?</v>
      </c>
      <c r="L1321" s="100"/>
      <c r="M1321" s="100"/>
      <c r="N1321" s="100"/>
      <c r="O1321" s="100"/>
      <c r="P1321" s="100"/>
      <c r="Q1321" s="100"/>
      <c r="R1321" s="100"/>
      <c r="S1321" s="100"/>
      <c r="T1321" s="100"/>
      <c r="U1321" s="100"/>
      <c r="V1321" s="100"/>
      <c r="W1321" s="100"/>
      <c r="X1321" s="100"/>
      <c r="Y1321" s="100"/>
      <c r="Z1321" s="100"/>
    </row>
    <row r="1322" spans="1:26">
      <c r="A1322" s="100" t="e">
        <f ca="1">IFERROR(__xludf.DUMMYFUNCTION("""COMPUTED_VALUE"""),58784657)</f>
        <v>#NAME?</v>
      </c>
      <c r="B1322" s="100" t="e">
        <f ca="1">IFERROR(__xludf.DUMMYFUNCTION("""COMPUTED_VALUE"""),"OMBUSD")</f>
        <v>#NAME?</v>
      </c>
      <c r="C1322" s="100" t="e">
        <f ca="1">IFERROR(__xludf.DUMMYFUNCTION("""COMPUTED_VALUE"""),"0.01891000")</f>
        <v>#NAME?</v>
      </c>
      <c r="D1322" s="100" t="e">
        <f t="shared" ref="D1322:E1341" ca="1" si="239">IFERROR(__xludf.DUMMYFUNCTION("""COMPUTED_VALUE"""),"-")</f>
        <v>#NAME?</v>
      </c>
      <c r="E1322" s="100" t="e">
        <f t="shared" ca="1" si="239"/>
        <v>#NAME?</v>
      </c>
      <c r="F1322" s="100" t="e">
        <f t="shared" ca="1" si="232"/>
        <v>#NAME?</v>
      </c>
      <c r="G1322" s="100" t="e">
        <f t="shared" ca="1" si="233"/>
        <v>#NAME?</v>
      </c>
      <c r="H1322" s="100" t="e">
        <f t="shared" ca="1" si="234"/>
        <v>#NAME?</v>
      </c>
      <c r="I1322" s="100" t="e">
        <f t="shared" ca="1" si="235"/>
        <v>#NAME?</v>
      </c>
      <c r="J1322" s="100" t="e">
        <f ca="1">IFERROR(__xludf.DUMMYFUNCTION("""COMPUTED_VALUE"""),"0")</f>
        <v>#NAME?</v>
      </c>
      <c r="K1322" s="100" t="e">
        <f t="shared" ca="1" si="236"/>
        <v>#NAME?</v>
      </c>
      <c r="L1322" s="100"/>
      <c r="M1322" s="100"/>
      <c r="N1322" s="100"/>
      <c r="O1322" s="100"/>
      <c r="P1322" s="100"/>
      <c r="Q1322" s="100"/>
      <c r="R1322" s="100"/>
      <c r="S1322" s="100"/>
      <c r="T1322" s="100"/>
      <c r="U1322" s="100"/>
      <c r="V1322" s="100"/>
      <c r="W1322" s="100"/>
      <c r="X1322" s="100"/>
      <c r="Y1322" s="100"/>
      <c r="Z1322" s="100"/>
    </row>
    <row r="1323" spans="1:26">
      <c r="A1323" s="100" t="e">
        <f ca="1">IFERROR(__xludf.DUMMYFUNCTION("""COMPUTED_VALUE"""),58784658)</f>
        <v>#NAME?</v>
      </c>
      <c r="B1323" s="100" t="e">
        <f ca="1">IFERROR(__xludf.DUMMYFUNCTION("""COMPUTED_VALUE"""),"OMUSDT")</f>
        <v>#NAME?</v>
      </c>
      <c r="C1323" s="100" t="e">
        <f ca="1">IFERROR(__xludf.DUMMYFUNCTION("""COMPUTED_VALUE"""),"0.53940000")</f>
        <v>#NAME?</v>
      </c>
      <c r="D1323" s="100" t="e">
        <f t="shared" ca="1" si="239"/>
        <v>#NAME?</v>
      </c>
      <c r="E1323" s="100" t="e">
        <f t="shared" ca="1" si="239"/>
        <v>#NAME?</v>
      </c>
      <c r="F1323" s="100" t="e">
        <f t="shared" ca="1" si="232"/>
        <v>#NAME?</v>
      </c>
      <c r="G1323" s="100" t="e">
        <f t="shared" ca="1" si="233"/>
        <v>#NAME?</v>
      </c>
      <c r="H1323" s="100" t="e">
        <f t="shared" ca="1" si="234"/>
        <v>#NAME?</v>
      </c>
      <c r="I1323" s="100" t="e">
        <f t="shared" ca="1" si="235"/>
        <v>#NAME?</v>
      </c>
      <c r="J1323" s="100" t="e">
        <f ca="1">IFERROR(__xludf.DUMMYFUNCTION("""COMPUTED_VALUE"""),"7.725")</f>
        <v>#NAME?</v>
      </c>
      <c r="K1323" s="100" t="e">
        <f t="shared" ca="1" si="236"/>
        <v>#NAME?</v>
      </c>
      <c r="L1323" s="100"/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</row>
    <row r="1324" spans="1:26">
      <c r="A1324" s="100" t="e">
        <f ca="1">IFERROR(__xludf.DUMMYFUNCTION("""COMPUTED_VALUE"""),58784659)</f>
        <v>#NAME?</v>
      </c>
      <c r="B1324" s="100" t="e">
        <f ca="1">IFERROR(__xludf.DUMMYFUNCTION("""COMPUTED_VALUE"""),"PONDBTC")</f>
        <v>#NAME?</v>
      </c>
      <c r="C1324" s="100" t="e">
        <f ca="1">IFERROR(__xludf.DUMMYFUNCTION("""COMPUTED_VALUE"""),"0.00000010")</f>
        <v>#NAME?</v>
      </c>
      <c r="D1324" s="100" t="e">
        <f t="shared" ca="1" si="239"/>
        <v>#NAME?</v>
      </c>
      <c r="E1324" s="100" t="e">
        <f t="shared" ca="1" si="239"/>
        <v>#NAME?</v>
      </c>
      <c r="F1324" s="100" t="e">
        <f t="shared" ca="1" si="232"/>
        <v>#NAME?</v>
      </c>
      <c r="G1324" s="100" t="e">
        <f t="shared" ca="1" si="233"/>
        <v>#NAME?</v>
      </c>
      <c r="H1324" s="100" t="e">
        <f t="shared" ca="1" si="234"/>
        <v>#NAME?</v>
      </c>
      <c r="I1324" s="100" t="e">
        <f t="shared" ca="1" si="235"/>
        <v>#NAME?</v>
      </c>
      <c r="J1324" s="100" t="e">
        <f ca="1">IFERROR(__xludf.DUMMYFUNCTION("""COMPUTED_VALUE"""),"11.111")</f>
        <v>#NAME?</v>
      </c>
      <c r="K1324" s="100" t="e">
        <f t="shared" ca="1" si="236"/>
        <v>#NAME?</v>
      </c>
      <c r="L1324" s="100"/>
      <c r="M1324" s="100"/>
      <c r="N1324" s="100"/>
      <c r="O1324" s="100"/>
      <c r="P1324" s="100"/>
      <c r="Q1324" s="100"/>
      <c r="R1324" s="100"/>
      <c r="S1324" s="100"/>
      <c r="T1324" s="100"/>
      <c r="U1324" s="100"/>
      <c r="V1324" s="100"/>
      <c r="W1324" s="100"/>
      <c r="X1324" s="100"/>
      <c r="Y1324" s="100"/>
      <c r="Z1324" s="100"/>
    </row>
    <row r="1325" spans="1:26">
      <c r="A1325" s="100" t="e">
        <f ca="1">IFERROR(__xludf.DUMMYFUNCTION("""COMPUTED_VALUE"""),58784660)</f>
        <v>#NAME?</v>
      </c>
      <c r="B1325" s="100" t="e">
        <f ca="1">IFERROR(__xludf.DUMMYFUNCTION("""COMPUTED_VALUE"""),"PONDBUSD")</f>
        <v>#NAME?</v>
      </c>
      <c r="C1325" s="100" t="e">
        <f ca="1">IFERROR(__xludf.DUMMYFUNCTION("""COMPUTED_VALUE"""),"0.00936000")</f>
        <v>#NAME?</v>
      </c>
      <c r="D1325" s="100" t="e">
        <f t="shared" ca="1" si="239"/>
        <v>#NAME?</v>
      </c>
      <c r="E1325" s="100" t="e">
        <f t="shared" ca="1" si="239"/>
        <v>#NAME?</v>
      </c>
      <c r="F1325" s="100" t="e">
        <f t="shared" ca="1" si="232"/>
        <v>#NAME?</v>
      </c>
      <c r="G1325" s="100" t="e">
        <f t="shared" ca="1" si="233"/>
        <v>#NAME?</v>
      </c>
      <c r="H1325" s="100" t="e">
        <f t="shared" ca="1" si="234"/>
        <v>#NAME?</v>
      </c>
      <c r="I1325" s="100" t="e">
        <f t="shared" ca="1" si="235"/>
        <v>#NAME?</v>
      </c>
      <c r="J1325" s="100" t="e">
        <f ca="1">IFERROR(__xludf.DUMMYFUNCTION("""COMPUTED_VALUE"""),"0")</f>
        <v>#NAME?</v>
      </c>
      <c r="K1325" s="100" t="e">
        <f t="shared" ca="1" si="236"/>
        <v>#NAME?</v>
      </c>
      <c r="L1325" s="100"/>
      <c r="M1325" s="100"/>
      <c r="N1325" s="100"/>
      <c r="O1325" s="100"/>
      <c r="P1325" s="100"/>
      <c r="Q1325" s="100"/>
      <c r="R1325" s="100"/>
      <c r="S1325" s="100"/>
      <c r="T1325" s="100"/>
      <c r="U1325" s="100"/>
      <c r="V1325" s="100"/>
      <c r="W1325" s="100"/>
      <c r="X1325" s="100"/>
      <c r="Y1325" s="100"/>
      <c r="Z1325" s="100"/>
    </row>
    <row r="1326" spans="1:26">
      <c r="A1326" s="100" t="e">
        <f ca="1">IFERROR(__xludf.DUMMYFUNCTION("""COMPUTED_VALUE"""),58784661)</f>
        <v>#NAME?</v>
      </c>
      <c r="B1326" s="100" t="e">
        <f ca="1">IFERROR(__xludf.DUMMYFUNCTION("""COMPUTED_VALUE"""),"PONDUSDT")</f>
        <v>#NAME?</v>
      </c>
      <c r="C1326" s="100" t="e">
        <f ca="1">IFERROR(__xludf.DUMMYFUNCTION("""COMPUTED_VALUE"""),"0.00858000")</f>
        <v>#NAME?</v>
      </c>
      <c r="D1326" s="100" t="e">
        <f t="shared" ca="1" si="239"/>
        <v>#NAME?</v>
      </c>
      <c r="E1326" s="100" t="e">
        <f t="shared" ca="1" si="239"/>
        <v>#NAME?</v>
      </c>
      <c r="F1326" s="100" t="e">
        <f t="shared" ca="1" si="232"/>
        <v>#NAME?</v>
      </c>
      <c r="G1326" s="100" t="e">
        <f t="shared" ca="1" si="233"/>
        <v>#NAME?</v>
      </c>
      <c r="H1326" s="100" t="e">
        <f t="shared" ca="1" si="234"/>
        <v>#NAME?</v>
      </c>
      <c r="I1326" s="100" t="e">
        <f t="shared" ca="1" si="235"/>
        <v>#NAME?</v>
      </c>
      <c r="J1326" s="100" t="e">
        <f ca="1">IFERROR(__xludf.DUMMYFUNCTION("""COMPUTED_VALUE"""),"-2.055")</f>
        <v>#NAME?</v>
      </c>
      <c r="K1326" s="100" t="e">
        <f t="shared" ca="1" si="236"/>
        <v>#NAME?</v>
      </c>
      <c r="L1326" s="100"/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</row>
    <row r="1327" spans="1:26">
      <c r="A1327" s="100" t="e">
        <f ca="1">IFERROR(__xludf.DUMMYFUNCTION("""COMPUTED_VALUE"""),58784662)</f>
        <v>#NAME?</v>
      </c>
      <c r="B1327" s="100" t="e">
        <f ca="1">IFERROR(__xludf.DUMMYFUNCTION("""COMPUTED_VALUE"""),"DEGOBTC")</f>
        <v>#NAME?</v>
      </c>
      <c r="C1327" s="100" t="e">
        <f ca="1">IFERROR(__xludf.DUMMYFUNCTION("""COMPUTED_VALUE"""),"0.00003540")</f>
        <v>#NAME?</v>
      </c>
      <c r="D1327" s="100" t="e">
        <f t="shared" ca="1" si="239"/>
        <v>#NAME?</v>
      </c>
      <c r="E1327" s="100" t="e">
        <f t="shared" ca="1" si="239"/>
        <v>#NAME?</v>
      </c>
      <c r="F1327" s="100" t="e">
        <f t="shared" ca="1" si="232"/>
        <v>#NAME?</v>
      </c>
      <c r="G1327" s="100" t="e">
        <f t="shared" ca="1" si="233"/>
        <v>#NAME?</v>
      </c>
      <c r="H1327" s="100" t="e">
        <f t="shared" ca="1" si="234"/>
        <v>#NAME?</v>
      </c>
      <c r="I1327" s="100" t="e">
        <f t="shared" ca="1" si="235"/>
        <v>#NAME?</v>
      </c>
      <c r="J1327" s="100" t="e">
        <f ca="1">IFERROR(__xludf.DUMMYFUNCTION("""COMPUTED_VALUE"""),"0")</f>
        <v>#NAME?</v>
      </c>
      <c r="K1327" s="100" t="e">
        <f t="shared" ca="1" si="236"/>
        <v>#NAME?</v>
      </c>
      <c r="L1327" s="100"/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</row>
    <row r="1328" spans="1:26">
      <c r="A1328" s="100" t="e">
        <f ca="1">IFERROR(__xludf.DUMMYFUNCTION("""COMPUTED_VALUE"""),58784663)</f>
        <v>#NAME?</v>
      </c>
      <c r="B1328" s="100" t="e">
        <f ca="1">IFERROR(__xludf.DUMMYFUNCTION("""COMPUTED_VALUE"""),"DEGOBUSD")</f>
        <v>#NAME?</v>
      </c>
      <c r="C1328" s="100" t="e">
        <f ca="1">IFERROR(__xludf.DUMMYFUNCTION("""COMPUTED_VALUE"""),"1.34700000")</f>
        <v>#NAME?</v>
      </c>
      <c r="D1328" s="100" t="e">
        <f t="shared" ca="1" si="239"/>
        <v>#NAME?</v>
      </c>
      <c r="E1328" s="100" t="e">
        <f t="shared" ca="1" si="239"/>
        <v>#NAME?</v>
      </c>
      <c r="F1328" s="100" t="e">
        <f t="shared" ca="1" si="232"/>
        <v>#NAME?</v>
      </c>
      <c r="G1328" s="100" t="e">
        <f t="shared" ca="1" si="233"/>
        <v>#NAME?</v>
      </c>
      <c r="H1328" s="100" t="e">
        <f t="shared" ca="1" si="234"/>
        <v>#NAME?</v>
      </c>
      <c r="I1328" s="100" t="e">
        <f t="shared" ca="1" si="235"/>
        <v>#NAME?</v>
      </c>
      <c r="J1328" s="100" t="e">
        <f ca="1">IFERROR(__xludf.DUMMYFUNCTION("""COMPUTED_VALUE"""),"0")</f>
        <v>#NAME?</v>
      </c>
      <c r="K1328" s="100" t="e">
        <f t="shared" ca="1" si="236"/>
        <v>#NAME?</v>
      </c>
      <c r="L1328" s="100"/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</row>
    <row r="1329" spans="1:26">
      <c r="A1329" s="100" t="e">
        <f ca="1">IFERROR(__xludf.DUMMYFUNCTION("""COMPUTED_VALUE"""),58784664)</f>
        <v>#NAME?</v>
      </c>
      <c r="B1329" s="100" t="e">
        <f ca="1">IFERROR(__xludf.DUMMYFUNCTION("""COMPUTED_VALUE"""),"DEGOUSDT")</f>
        <v>#NAME?</v>
      </c>
      <c r="C1329" s="100" t="e">
        <f ca="1">IFERROR(__xludf.DUMMYFUNCTION("""COMPUTED_VALUE"""),"1.80400000")</f>
        <v>#NAME?</v>
      </c>
      <c r="D1329" s="100" t="e">
        <f t="shared" ca="1" si="239"/>
        <v>#NAME?</v>
      </c>
      <c r="E1329" s="100" t="e">
        <f t="shared" ca="1" si="239"/>
        <v>#NAME?</v>
      </c>
      <c r="F1329" s="100" t="e">
        <f t="shared" ca="1" si="232"/>
        <v>#NAME?</v>
      </c>
      <c r="G1329" s="100" t="e">
        <f t="shared" ca="1" si="233"/>
        <v>#NAME?</v>
      </c>
      <c r="H1329" s="100" t="e">
        <f t="shared" ca="1" si="234"/>
        <v>#NAME?</v>
      </c>
      <c r="I1329" s="100" t="e">
        <f t="shared" ca="1" si="235"/>
        <v>#NAME?</v>
      </c>
      <c r="J1329" s="100" t="e">
        <f ca="1">IFERROR(__xludf.DUMMYFUNCTION("""COMPUTED_VALUE"""),"-1.850")</f>
        <v>#NAME?</v>
      </c>
      <c r="K1329" s="100" t="e">
        <f t="shared" ca="1" si="236"/>
        <v>#NAME?</v>
      </c>
      <c r="L1329" s="100"/>
      <c r="M1329" s="100"/>
      <c r="N1329" s="100"/>
      <c r="O1329" s="100"/>
      <c r="P1329" s="100"/>
      <c r="Q1329" s="100"/>
      <c r="R1329" s="100"/>
      <c r="S1329" s="100"/>
      <c r="T1329" s="100"/>
      <c r="U1329" s="100"/>
      <c r="V1329" s="100"/>
      <c r="W1329" s="100"/>
      <c r="X1329" s="100"/>
      <c r="Y1329" s="100"/>
      <c r="Z1329" s="100"/>
    </row>
    <row r="1330" spans="1:26">
      <c r="A1330" s="100" t="e">
        <f ca="1">IFERROR(__xludf.DUMMYFUNCTION("""COMPUTED_VALUE"""),58784665)</f>
        <v>#NAME?</v>
      </c>
      <c r="B1330" s="100" t="e">
        <f ca="1">IFERROR(__xludf.DUMMYFUNCTION("""COMPUTED_VALUE"""),"AVAXEUR")</f>
        <v>#NAME?</v>
      </c>
      <c r="C1330" s="100" t="e">
        <f ca="1">IFERROR(__xludf.DUMMYFUNCTION("""COMPUTED_VALUE"""),"17.57000000")</f>
        <v>#NAME?</v>
      </c>
      <c r="D1330" s="100" t="e">
        <f t="shared" ca="1" si="239"/>
        <v>#NAME?</v>
      </c>
      <c r="E1330" s="100" t="e">
        <f t="shared" ca="1" si="239"/>
        <v>#NAME?</v>
      </c>
      <c r="F1330" s="100" t="e">
        <f t="shared" ca="1" si="232"/>
        <v>#NAME?</v>
      </c>
      <c r="G1330" s="100" t="e">
        <f t="shared" ca="1" si="233"/>
        <v>#NAME?</v>
      </c>
      <c r="H1330" s="100" t="e">
        <f t="shared" ca="1" si="234"/>
        <v>#NAME?</v>
      </c>
      <c r="I1330" s="100" t="e">
        <f t="shared" ca="1" si="235"/>
        <v>#NAME?</v>
      </c>
      <c r="J1330" s="100" t="e">
        <f ca="1">IFERROR(__xludf.DUMMYFUNCTION("""COMPUTED_VALUE"""),"-1.679")</f>
        <v>#NAME?</v>
      </c>
      <c r="K1330" s="100" t="e">
        <f t="shared" ca="1" si="236"/>
        <v>#NAME?</v>
      </c>
      <c r="L1330" s="100"/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</row>
    <row r="1331" spans="1:26">
      <c r="A1331" s="100" t="e">
        <f ca="1">IFERROR(__xludf.DUMMYFUNCTION("""COMPUTED_VALUE"""),58784666)</f>
        <v>#NAME?</v>
      </c>
      <c r="B1331" s="100" t="e">
        <f ca="1">IFERROR(__xludf.DUMMYFUNCTION("""COMPUTED_VALUE"""),"BTTTRY")</f>
        <v>#NAME?</v>
      </c>
      <c r="C1331" s="100" t="e">
        <f ca="1">IFERROR(__xludf.DUMMYFUNCTION("""COMPUTED_VALUE"""),"0.00000000")</f>
        <v>#NAME?</v>
      </c>
      <c r="D1331" s="100" t="e">
        <f t="shared" ca="1" si="239"/>
        <v>#NAME?</v>
      </c>
      <c r="E1331" s="100" t="e">
        <f t="shared" ca="1" si="239"/>
        <v>#NAME?</v>
      </c>
      <c r="F1331" s="100" t="e">
        <f t="shared" ca="1" si="232"/>
        <v>#NAME?</v>
      </c>
      <c r="G1331" s="100" t="e">
        <f t="shared" ca="1" si="233"/>
        <v>#NAME?</v>
      </c>
      <c r="H1331" s="100" t="e">
        <f t="shared" ca="1" si="234"/>
        <v>#NAME?</v>
      </c>
      <c r="I1331" s="100" t="e">
        <f t="shared" ca="1" si="235"/>
        <v>#NAME?</v>
      </c>
      <c r="J1331" s="100" t="e">
        <f ca="1">IFERROR(__xludf.DUMMYFUNCTION("""COMPUTED_VALUE"""),"0")</f>
        <v>#NAME?</v>
      </c>
      <c r="K1331" s="100" t="e">
        <f t="shared" ca="1" si="236"/>
        <v>#NAME?</v>
      </c>
      <c r="L1331" s="100"/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</row>
    <row r="1332" spans="1:26">
      <c r="A1332" s="100" t="e">
        <f ca="1">IFERROR(__xludf.DUMMYFUNCTION("""COMPUTED_VALUE"""),58784667)</f>
        <v>#NAME?</v>
      </c>
      <c r="B1332" s="100" t="e">
        <f ca="1">IFERROR(__xludf.DUMMYFUNCTION("""COMPUTED_VALUE"""),"CHZBRL")</f>
        <v>#NAME?</v>
      </c>
      <c r="C1332" s="100" t="e">
        <f ca="1">IFERROR(__xludf.DUMMYFUNCTION("""COMPUTED_VALUE"""),"0.30210000")</f>
        <v>#NAME?</v>
      </c>
      <c r="D1332" s="100" t="e">
        <f t="shared" ca="1" si="239"/>
        <v>#NAME?</v>
      </c>
      <c r="E1332" s="100" t="e">
        <f t="shared" ca="1" si="239"/>
        <v>#NAME?</v>
      </c>
      <c r="F1332" s="100" t="e">
        <f t="shared" ca="1" si="232"/>
        <v>#NAME?</v>
      </c>
      <c r="G1332" s="100" t="e">
        <f t="shared" ca="1" si="233"/>
        <v>#NAME?</v>
      </c>
      <c r="H1332" s="100" t="e">
        <f t="shared" ca="1" si="234"/>
        <v>#NAME?</v>
      </c>
      <c r="I1332" s="100" t="e">
        <f t="shared" ca="1" si="235"/>
        <v>#NAME?</v>
      </c>
      <c r="J1332" s="100" t="e">
        <f ca="1">IFERROR(__xludf.DUMMYFUNCTION("""COMPUTED_VALUE"""),"0")</f>
        <v>#NAME?</v>
      </c>
      <c r="K1332" s="100" t="e">
        <f t="shared" ca="1" si="236"/>
        <v>#NAME?</v>
      </c>
      <c r="L1332" s="100"/>
      <c r="M1332" s="100"/>
      <c r="N1332" s="100"/>
      <c r="O1332" s="100"/>
      <c r="P1332" s="100"/>
      <c r="Q1332" s="100"/>
      <c r="R1332" s="100"/>
      <c r="S1332" s="100"/>
      <c r="T1332" s="100"/>
      <c r="U1332" s="100"/>
      <c r="V1332" s="100"/>
      <c r="W1332" s="100"/>
      <c r="X1332" s="100"/>
      <c r="Y1332" s="100"/>
      <c r="Z1332" s="100"/>
    </row>
    <row r="1333" spans="1:26">
      <c r="A1333" s="100" t="e">
        <f ca="1">IFERROR(__xludf.DUMMYFUNCTION("""COMPUTED_VALUE"""),58784668)</f>
        <v>#NAME?</v>
      </c>
      <c r="B1333" s="100" t="e">
        <f ca="1">IFERROR(__xludf.DUMMYFUNCTION("""COMPUTED_VALUE"""),"UNIEUR")</f>
        <v>#NAME?</v>
      </c>
      <c r="C1333" s="100" t="e">
        <f ca="1">IFERROR(__xludf.DUMMYFUNCTION("""COMPUTED_VALUE"""),"4.85600000")</f>
        <v>#NAME?</v>
      </c>
      <c r="D1333" s="100" t="e">
        <f t="shared" ca="1" si="239"/>
        <v>#NAME?</v>
      </c>
      <c r="E1333" s="100" t="e">
        <f t="shared" ca="1" si="239"/>
        <v>#NAME?</v>
      </c>
      <c r="F1333" s="100" t="e">
        <f t="shared" ca="1" si="232"/>
        <v>#NAME?</v>
      </c>
      <c r="G1333" s="100" t="e">
        <f t="shared" ca="1" si="233"/>
        <v>#NAME?</v>
      </c>
      <c r="H1333" s="100" t="e">
        <f t="shared" ca="1" si="234"/>
        <v>#NAME?</v>
      </c>
      <c r="I1333" s="100" t="e">
        <f t="shared" ca="1" si="235"/>
        <v>#NAME?</v>
      </c>
      <c r="J1333" s="100" t="e">
        <f ca="1">IFERROR(__xludf.DUMMYFUNCTION("""COMPUTED_VALUE"""),"0")</f>
        <v>#NAME?</v>
      </c>
      <c r="K1333" s="100" t="e">
        <f t="shared" ca="1" si="236"/>
        <v>#NAME?</v>
      </c>
      <c r="L1333" s="100"/>
      <c r="M1333" s="100"/>
      <c r="N1333" s="100"/>
      <c r="O1333" s="100"/>
      <c r="P1333" s="100"/>
      <c r="Q1333" s="100"/>
      <c r="R1333" s="100"/>
      <c r="S1333" s="100"/>
      <c r="T1333" s="100"/>
      <c r="U1333" s="100"/>
      <c r="V1333" s="100"/>
      <c r="W1333" s="100"/>
      <c r="X1333" s="100"/>
      <c r="Y1333" s="100"/>
      <c r="Z1333" s="100"/>
    </row>
    <row r="1334" spans="1:26">
      <c r="A1334" s="100" t="e">
        <f ca="1">IFERROR(__xludf.DUMMYFUNCTION("""COMPUTED_VALUE"""),58784669)</f>
        <v>#NAME?</v>
      </c>
      <c r="B1334" s="100" t="e">
        <f ca="1">IFERROR(__xludf.DUMMYFUNCTION("""COMPUTED_VALUE"""),"ALICEBTC")</f>
        <v>#NAME?</v>
      </c>
      <c r="C1334" s="100" t="e">
        <f ca="1">IFERROR(__xludf.DUMMYFUNCTION("""COMPUTED_VALUE"""),"0.00000631")</f>
        <v>#NAME?</v>
      </c>
      <c r="D1334" s="100" t="e">
        <f t="shared" ca="1" si="239"/>
        <v>#NAME?</v>
      </c>
      <c r="E1334" s="100" t="e">
        <f t="shared" ca="1" si="239"/>
        <v>#NAME?</v>
      </c>
      <c r="F1334" s="100" t="e">
        <f t="shared" ca="1" si="232"/>
        <v>#NAME?</v>
      </c>
      <c r="G1334" s="100" t="e">
        <f t="shared" ca="1" si="233"/>
        <v>#NAME?</v>
      </c>
      <c r="H1334" s="100" t="e">
        <f t="shared" ca="1" si="234"/>
        <v>#NAME?</v>
      </c>
      <c r="I1334" s="100" t="e">
        <f t="shared" ca="1" si="235"/>
        <v>#NAME?</v>
      </c>
      <c r="J1334" s="100" t="e">
        <f ca="1">IFERROR(__xludf.DUMMYFUNCTION("""COMPUTED_VALUE"""),"0")</f>
        <v>#NAME?</v>
      </c>
      <c r="K1334" s="100" t="e">
        <f t="shared" ca="1" si="236"/>
        <v>#NAME?</v>
      </c>
      <c r="L1334" s="100"/>
      <c r="M1334" s="100"/>
      <c r="N1334" s="100"/>
      <c r="O1334" s="100"/>
      <c r="P1334" s="100"/>
      <c r="Q1334" s="100"/>
      <c r="R1334" s="100"/>
      <c r="S1334" s="100"/>
      <c r="T1334" s="100"/>
      <c r="U1334" s="100"/>
      <c r="V1334" s="100"/>
      <c r="W1334" s="100"/>
      <c r="X1334" s="100"/>
      <c r="Y1334" s="100"/>
      <c r="Z1334" s="100"/>
    </row>
    <row r="1335" spans="1:26">
      <c r="A1335" s="100" t="e">
        <f ca="1">IFERROR(__xludf.DUMMYFUNCTION("""COMPUTED_VALUE"""),58784670)</f>
        <v>#NAME?</v>
      </c>
      <c r="B1335" s="100" t="e">
        <f ca="1">IFERROR(__xludf.DUMMYFUNCTION("""COMPUTED_VALUE"""),"ALICEBUSD")</f>
        <v>#NAME?</v>
      </c>
      <c r="C1335" s="100" t="e">
        <f ca="1">IFERROR(__xludf.DUMMYFUNCTION("""COMPUTED_VALUE"""),"0.72600000")</f>
        <v>#NAME?</v>
      </c>
      <c r="D1335" s="100" t="e">
        <f t="shared" ca="1" si="239"/>
        <v>#NAME?</v>
      </c>
      <c r="E1335" s="100" t="e">
        <f t="shared" ca="1" si="239"/>
        <v>#NAME?</v>
      </c>
      <c r="F1335" s="100" t="e">
        <f t="shared" ca="1" si="232"/>
        <v>#NAME?</v>
      </c>
      <c r="G1335" s="100" t="e">
        <f t="shared" ca="1" si="233"/>
        <v>#NAME?</v>
      </c>
      <c r="H1335" s="100" t="e">
        <f t="shared" ca="1" si="234"/>
        <v>#NAME?</v>
      </c>
      <c r="I1335" s="100" t="e">
        <f t="shared" ca="1" si="235"/>
        <v>#NAME?</v>
      </c>
      <c r="J1335" s="100" t="e">
        <f ca="1">IFERROR(__xludf.DUMMYFUNCTION("""COMPUTED_VALUE"""),"0")</f>
        <v>#NAME?</v>
      </c>
      <c r="K1335" s="100" t="e">
        <f t="shared" ca="1" si="236"/>
        <v>#NAME?</v>
      </c>
      <c r="L1335" s="100"/>
      <c r="M1335" s="100"/>
      <c r="N1335" s="100"/>
      <c r="O1335" s="100"/>
      <c r="P1335" s="100"/>
      <c r="Q1335" s="100"/>
      <c r="R1335" s="100"/>
      <c r="S1335" s="100"/>
      <c r="T1335" s="100"/>
      <c r="U1335" s="100"/>
      <c r="V1335" s="100"/>
      <c r="W1335" s="100"/>
      <c r="X1335" s="100"/>
      <c r="Y1335" s="100"/>
      <c r="Z1335" s="100"/>
    </row>
    <row r="1336" spans="1:26">
      <c r="A1336" s="100" t="e">
        <f ca="1">IFERROR(__xludf.DUMMYFUNCTION("""COMPUTED_VALUE"""),58784671)</f>
        <v>#NAME?</v>
      </c>
      <c r="B1336" s="100" t="e">
        <f ca="1">IFERROR(__xludf.DUMMYFUNCTION("""COMPUTED_VALUE"""),"ALICEUSDT")</f>
        <v>#NAME?</v>
      </c>
      <c r="C1336" s="100" t="e">
        <f ca="1">IFERROR(__xludf.DUMMYFUNCTION("""COMPUTED_VALUE"""),"0.43000000")</f>
        <v>#NAME?</v>
      </c>
      <c r="D1336" s="100" t="e">
        <f t="shared" ca="1" si="239"/>
        <v>#NAME?</v>
      </c>
      <c r="E1336" s="100" t="e">
        <f t="shared" ca="1" si="239"/>
        <v>#NAME?</v>
      </c>
      <c r="F1336" s="100" t="e">
        <f t="shared" ca="1" si="232"/>
        <v>#NAME?</v>
      </c>
      <c r="G1336" s="100" t="e">
        <f t="shared" ca="1" si="233"/>
        <v>#NAME?</v>
      </c>
      <c r="H1336" s="100" t="e">
        <f t="shared" ca="1" si="234"/>
        <v>#NAME?</v>
      </c>
      <c r="I1336" s="100" t="e">
        <f t="shared" ca="1" si="235"/>
        <v>#NAME?</v>
      </c>
      <c r="J1336" s="100" t="e">
        <f ca="1">IFERROR(__xludf.DUMMYFUNCTION("""COMPUTED_VALUE"""),"-0.693")</f>
        <v>#NAME?</v>
      </c>
      <c r="K1336" s="100" t="e">
        <f t="shared" ca="1" si="236"/>
        <v>#NAME?</v>
      </c>
      <c r="L1336" s="100"/>
      <c r="M1336" s="100"/>
      <c r="N1336" s="100"/>
      <c r="O1336" s="100"/>
      <c r="P1336" s="100"/>
      <c r="Q1336" s="100"/>
      <c r="R1336" s="100"/>
      <c r="S1336" s="100"/>
      <c r="T1336" s="100"/>
      <c r="U1336" s="100"/>
      <c r="V1336" s="100"/>
      <c r="W1336" s="100"/>
      <c r="X1336" s="100"/>
      <c r="Y1336" s="100"/>
      <c r="Z1336" s="100"/>
    </row>
    <row r="1337" spans="1:26">
      <c r="A1337" s="100" t="e">
        <f ca="1">IFERROR(__xludf.DUMMYFUNCTION("""COMPUTED_VALUE"""),58784672)</f>
        <v>#NAME?</v>
      </c>
      <c r="B1337" s="100" t="e">
        <f ca="1">IFERROR(__xludf.DUMMYFUNCTION("""COMPUTED_VALUE"""),"CHZBUSD")</f>
        <v>#NAME?</v>
      </c>
      <c r="C1337" s="100" t="e">
        <f ca="1">IFERROR(__xludf.DUMMYFUNCTION("""COMPUTED_VALUE"""),"0.07460000")</f>
        <v>#NAME?</v>
      </c>
      <c r="D1337" s="100" t="e">
        <f t="shared" ca="1" si="239"/>
        <v>#NAME?</v>
      </c>
      <c r="E1337" s="100" t="e">
        <f t="shared" ca="1" si="239"/>
        <v>#NAME?</v>
      </c>
      <c r="F1337" s="100" t="e">
        <f t="shared" ca="1" si="232"/>
        <v>#NAME?</v>
      </c>
      <c r="G1337" s="100" t="e">
        <f t="shared" ca="1" si="233"/>
        <v>#NAME?</v>
      </c>
      <c r="H1337" s="100" t="e">
        <f t="shared" ca="1" si="234"/>
        <v>#NAME?</v>
      </c>
      <c r="I1337" s="100" t="e">
        <f t="shared" ca="1" si="235"/>
        <v>#NAME?</v>
      </c>
      <c r="J1337" s="100" t="e">
        <f t="shared" ref="J1337:J1348" ca="1" si="240">IFERROR(__xludf.DUMMYFUNCTION("""COMPUTED_VALUE"""),"0")</f>
        <v>#NAME?</v>
      </c>
      <c r="K1337" s="100" t="e">
        <f t="shared" ca="1" si="236"/>
        <v>#NAME?</v>
      </c>
      <c r="L1337" s="100"/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</row>
    <row r="1338" spans="1:26">
      <c r="A1338" s="100" t="e">
        <f ca="1">IFERROR(__xludf.DUMMYFUNCTION("""COMPUTED_VALUE"""),58784673)</f>
        <v>#NAME?</v>
      </c>
      <c r="B1338" s="100" t="e">
        <f ca="1">IFERROR(__xludf.DUMMYFUNCTION("""COMPUTED_VALUE"""),"CHZEUR")</f>
        <v>#NAME?</v>
      </c>
      <c r="C1338" s="100" t="e">
        <f ca="1">IFERROR(__xludf.DUMMYFUNCTION("""COMPUTED_VALUE"""),"0.05300000")</f>
        <v>#NAME?</v>
      </c>
      <c r="D1338" s="100" t="e">
        <f t="shared" ca="1" si="239"/>
        <v>#NAME?</v>
      </c>
      <c r="E1338" s="100" t="e">
        <f t="shared" ca="1" si="239"/>
        <v>#NAME?</v>
      </c>
      <c r="F1338" s="100" t="e">
        <f t="shared" ca="1" si="232"/>
        <v>#NAME?</v>
      </c>
      <c r="G1338" s="100" t="e">
        <f t="shared" ca="1" si="233"/>
        <v>#NAME?</v>
      </c>
      <c r="H1338" s="100" t="e">
        <f t="shared" ca="1" si="234"/>
        <v>#NAME?</v>
      </c>
      <c r="I1338" s="100" t="e">
        <f t="shared" ca="1" si="235"/>
        <v>#NAME?</v>
      </c>
      <c r="J1338" s="100" t="e">
        <f t="shared" ca="1" si="240"/>
        <v>#NAME?</v>
      </c>
      <c r="K1338" s="100" t="e">
        <f t="shared" ca="1" si="236"/>
        <v>#NAME?</v>
      </c>
      <c r="L1338" s="100"/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</row>
    <row r="1339" spans="1:26">
      <c r="A1339" s="100" t="e">
        <f ca="1">IFERROR(__xludf.DUMMYFUNCTION("""COMPUTED_VALUE"""),58784674)</f>
        <v>#NAME?</v>
      </c>
      <c r="B1339" s="100" t="e">
        <f ca="1">IFERROR(__xludf.DUMMYFUNCTION("""COMPUTED_VALUE"""),"CHZGBP")</f>
        <v>#NAME?</v>
      </c>
      <c r="C1339" s="100" t="e">
        <f ca="1">IFERROR(__xludf.DUMMYFUNCTION("""COMPUTED_VALUE"""),"0.05720000")</f>
        <v>#NAME?</v>
      </c>
      <c r="D1339" s="100" t="e">
        <f t="shared" ca="1" si="239"/>
        <v>#NAME?</v>
      </c>
      <c r="E1339" s="100" t="e">
        <f t="shared" ca="1" si="239"/>
        <v>#NAME?</v>
      </c>
      <c r="F1339" s="100" t="e">
        <f t="shared" ca="1" si="232"/>
        <v>#NAME?</v>
      </c>
      <c r="G1339" s="100" t="e">
        <f t="shared" ca="1" si="233"/>
        <v>#NAME?</v>
      </c>
      <c r="H1339" s="100" t="e">
        <f t="shared" ca="1" si="234"/>
        <v>#NAME?</v>
      </c>
      <c r="I1339" s="100" t="e">
        <f t="shared" ca="1" si="235"/>
        <v>#NAME?</v>
      </c>
      <c r="J1339" s="100" t="e">
        <f t="shared" ca="1" si="240"/>
        <v>#NAME?</v>
      </c>
      <c r="K1339" s="100" t="e">
        <f t="shared" ca="1" si="236"/>
        <v>#NAME?</v>
      </c>
      <c r="L1339" s="100"/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</row>
    <row r="1340" spans="1:26">
      <c r="A1340" s="100" t="e">
        <f ca="1">IFERROR(__xludf.DUMMYFUNCTION("""COMPUTED_VALUE"""),58784675)</f>
        <v>#NAME?</v>
      </c>
      <c r="B1340" s="100" t="e">
        <f ca="1">IFERROR(__xludf.DUMMYFUNCTION("""COMPUTED_VALUE"""),"BIFIBNB")</f>
        <v>#NAME?</v>
      </c>
      <c r="C1340" s="100" t="e">
        <f ca="1">IFERROR(__xludf.DUMMYFUNCTION("""COMPUTED_VALUE"""),"0.00000000")</f>
        <v>#NAME?</v>
      </c>
      <c r="D1340" s="100" t="e">
        <f t="shared" ca="1" si="239"/>
        <v>#NAME?</v>
      </c>
      <c r="E1340" s="100" t="e">
        <f t="shared" ca="1" si="239"/>
        <v>#NAME?</v>
      </c>
      <c r="F1340" s="100" t="e">
        <f t="shared" ca="1" si="232"/>
        <v>#NAME?</v>
      </c>
      <c r="G1340" s="100" t="e">
        <f t="shared" ca="1" si="233"/>
        <v>#NAME?</v>
      </c>
      <c r="H1340" s="100" t="e">
        <f t="shared" ca="1" si="234"/>
        <v>#NAME?</v>
      </c>
      <c r="I1340" s="100" t="e">
        <f t="shared" ca="1" si="235"/>
        <v>#NAME?</v>
      </c>
      <c r="J1340" s="100" t="e">
        <f t="shared" ca="1" si="240"/>
        <v>#NAME?</v>
      </c>
      <c r="K1340" s="100" t="e">
        <f t="shared" ca="1" si="236"/>
        <v>#NAME?</v>
      </c>
      <c r="L1340" s="100"/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</row>
    <row r="1341" spans="1:26">
      <c r="A1341" s="100" t="e">
        <f ca="1">IFERROR(__xludf.DUMMYFUNCTION("""COMPUTED_VALUE"""),58784676)</f>
        <v>#NAME?</v>
      </c>
      <c r="B1341" s="100" t="e">
        <f ca="1">IFERROR(__xludf.DUMMYFUNCTION("""COMPUTED_VALUE"""),"BIFIBUSD")</f>
        <v>#NAME?</v>
      </c>
      <c r="C1341" s="100" t="e">
        <f ca="1">IFERROR(__xludf.DUMMYFUNCTION("""COMPUTED_VALUE"""),"359.60000000")</f>
        <v>#NAME?</v>
      </c>
      <c r="D1341" s="100" t="e">
        <f t="shared" ca="1" si="239"/>
        <v>#NAME?</v>
      </c>
      <c r="E1341" s="100" t="e">
        <f t="shared" ca="1" si="239"/>
        <v>#NAME?</v>
      </c>
      <c r="F1341" s="100" t="e">
        <f t="shared" ca="1" si="232"/>
        <v>#NAME?</v>
      </c>
      <c r="G1341" s="100" t="e">
        <f t="shared" ca="1" si="233"/>
        <v>#NAME?</v>
      </c>
      <c r="H1341" s="100" t="e">
        <f t="shared" ca="1" si="234"/>
        <v>#NAME?</v>
      </c>
      <c r="I1341" s="100" t="e">
        <f t="shared" ca="1" si="235"/>
        <v>#NAME?</v>
      </c>
      <c r="J1341" s="100" t="e">
        <f t="shared" ca="1" si="240"/>
        <v>#NAME?</v>
      </c>
      <c r="K1341" s="100" t="e">
        <f t="shared" ca="1" si="236"/>
        <v>#NAME?</v>
      </c>
      <c r="L1341" s="100"/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</row>
    <row r="1342" spans="1:26">
      <c r="A1342" s="100" t="e">
        <f ca="1">IFERROR(__xludf.DUMMYFUNCTION("""COMPUTED_VALUE"""),58784677)</f>
        <v>#NAME?</v>
      </c>
      <c r="B1342" s="100" t="e">
        <f ca="1">IFERROR(__xludf.DUMMYFUNCTION("""COMPUTED_VALUE"""),"LINABTC")</f>
        <v>#NAME?</v>
      </c>
      <c r="C1342" s="100" t="e">
        <f ca="1">IFERROR(__xludf.DUMMYFUNCTION("""COMPUTED_VALUE"""),"0.00000008")</f>
        <v>#NAME?</v>
      </c>
      <c r="D1342" s="100" t="e">
        <f t="shared" ref="D1342:E1361" ca="1" si="241">IFERROR(__xludf.DUMMYFUNCTION("""COMPUTED_VALUE"""),"-")</f>
        <v>#NAME?</v>
      </c>
      <c r="E1342" s="100" t="e">
        <f t="shared" ca="1" si="241"/>
        <v>#NAME?</v>
      </c>
      <c r="F1342" s="100" t="e">
        <f t="shared" ca="1" si="232"/>
        <v>#NAME?</v>
      </c>
      <c r="G1342" s="100" t="e">
        <f t="shared" ca="1" si="233"/>
        <v>#NAME?</v>
      </c>
      <c r="H1342" s="100" t="e">
        <f t="shared" ca="1" si="234"/>
        <v>#NAME?</v>
      </c>
      <c r="I1342" s="100" t="e">
        <f t="shared" ca="1" si="235"/>
        <v>#NAME?</v>
      </c>
      <c r="J1342" s="100" t="e">
        <f t="shared" ca="1" si="240"/>
        <v>#NAME?</v>
      </c>
      <c r="K1342" s="100" t="e">
        <f t="shared" ca="1" si="236"/>
        <v>#NAME?</v>
      </c>
      <c r="L1342" s="100"/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</row>
    <row r="1343" spans="1:26">
      <c r="A1343" s="100" t="e">
        <f ca="1">IFERROR(__xludf.DUMMYFUNCTION("""COMPUTED_VALUE"""),58784678)</f>
        <v>#NAME?</v>
      </c>
      <c r="B1343" s="100" t="e">
        <f ca="1">IFERROR(__xludf.DUMMYFUNCTION("""COMPUTED_VALUE"""),"LINABUSD")</f>
        <v>#NAME?</v>
      </c>
      <c r="C1343" s="100" t="e">
        <f ca="1">IFERROR(__xludf.DUMMYFUNCTION("""COMPUTED_VALUE"""),"0.01013100")</f>
        <v>#NAME?</v>
      </c>
      <c r="D1343" s="100" t="e">
        <f t="shared" ca="1" si="241"/>
        <v>#NAME?</v>
      </c>
      <c r="E1343" s="100" t="e">
        <f t="shared" ca="1" si="241"/>
        <v>#NAME?</v>
      </c>
      <c r="F1343" s="100" t="e">
        <f t="shared" ca="1" si="232"/>
        <v>#NAME?</v>
      </c>
      <c r="G1343" s="100" t="e">
        <f t="shared" ca="1" si="233"/>
        <v>#NAME?</v>
      </c>
      <c r="H1343" s="100" t="e">
        <f t="shared" ca="1" si="234"/>
        <v>#NAME?</v>
      </c>
      <c r="I1343" s="100" t="e">
        <f t="shared" ca="1" si="235"/>
        <v>#NAME?</v>
      </c>
      <c r="J1343" s="100" t="e">
        <f t="shared" ca="1" si="240"/>
        <v>#NAME?</v>
      </c>
      <c r="K1343" s="100" t="e">
        <f t="shared" ca="1" si="236"/>
        <v>#NAME?</v>
      </c>
      <c r="L1343" s="100"/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</row>
    <row r="1344" spans="1:26">
      <c r="A1344" s="100" t="e">
        <f ca="1">IFERROR(__xludf.DUMMYFUNCTION("""COMPUTED_VALUE"""),58784679)</f>
        <v>#NAME?</v>
      </c>
      <c r="B1344" s="100" t="e">
        <f ca="1">IFERROR(__xludf.DUMMYFUNCTION("""COMPUTED_VALUE"""),"LINAUSDT")</f>
        <v>#NAME?</v>
      </c>
      <c r="C1344" s="100" t="e">
        <f ca="1">IFERROR(__xludf.DUMMYFUNCTION("""COMPUTED_VALUE"""),"0.00033700")</f>
        <v>#NAME?</v>
      </c>
      <c r="D1344" s="100" t="e">
        <f t="shared" ca="1" si="241"/>
        <v>#NAME?</v>
      </c>
      <c r="E1344" s="100" t="e">
        <f t="shared" ca="1" si="241"/>
        <v>#NAME?</v>
      </c>
      <c r="F1344" s="100" t="e">
        <f t="shared" ca="1" si="232"/>
        <v>#NAME?</v>
      </c>
      <c r="G1344" s="100" t="e">
        <f t="shared" ca="1" si="233"/>
        <v>#NAME?</v>
      </c>
      <c r="H1344" s="100" t="e">
        <f t="shared" ca="1" si="234"/>
        <v>#NAME?</v>
      </c>
      <c r="I1344" s="100" t="e">
        <f t="shared" ca="1" si="235"/>
        <v>#NAME?</v>
      </c>
      <c r="J1344" s="100" t="e">
        <f t="shared" ca="1" si="240"/>
        <v>#NAME?</v>
      </c>
      <c r="K1344" s="100" t="e">
        <f t="shared" ca="1" si="236"/>
        <v>#NAME?</v>
      </c>
      <c r="L1344" s="100"/>
      <c r="M1344" s="100"/>
      <c r="N1344" s="100"/>
      <c r="O1344" s="100"/>
      <c r="P1344" s="100"/>
      <c r="Q1344" s="100"/>
      <c r="R1344" s="100"/>
      <c r="S1344" s="100"/>
      <c r="T1344" s="100"/>
      <c r="U1344" s="100"/>
      <c r="V1344" s="100"/>
      <c r="W1344" s="100"/>
      <c r="X1344" s="100"/>
      <c r="Y1344" s="100"/>
      <c r="Z1344" s="100"/>
    </row>
    <row r="1345" spans="1:26">
      <c r="A1345" s="100" t="e">
        <f ca="1">IFERROR(__xludf.DUMMYFUNCTION("""COMPUTED_VALUE"""),58784680)</f>
        <v>#NAME?</v>
      </c>
      <c r="B1345" s="100" t="e">
        <f ca="1">IFERROR(__xludf.DUMMYFUNCTION("""COMPUTED_VALUE"""),"ADARUB")</f>
        <v>#NAME?</v>
      </c>
      <c r="C1345" s="100" t="e">
        <f ca="1">IFERROR(__xludf.DUMMYFUNCTION("""COMPUTED_VALUE"""),"34.49000000")</f>
        <v>#NAME?</v>
      </c>
      <c r="D1345" s="100" t="e">
        <f t="shared" ca="1" si="241"/>
        <v>#NAME?</v>
      </c>
      <c r="E1345" s="100" t="e">
        <f t="shared" ca="1" si="241"/>
        <v>#NAME?</v>
      </c>
      <c r="F1345" s="100" t="e">
        <f t="shared" ca="1" si="232"/>
        <v>#NAME?</v>
      </c>
      <c r="G1345" s="100" t="e">
        <f t="shared" ca="1" si="233"/>
        <v>#NAME?</v>
      </c>
      <c r="H1345" s="100" t="e">
        <f t="shared" ca="1" si="234"/>
        <v>#NAME?</v>
      </c>
      <c r="I1345" s="100" t="e">
        <f t="shared" ca="1" si="235"/>
        <v>#NAME?</v>
      </c>
      <c r="J1345" s="100" t="e">
        <f t="shared" ca="1" si="240"/>
        <v>#NAME?</v>
      </c>
      <c r="K1345" s="100" t="e">
        <f t="shared" ca="1" si="236"/>
        <v>#NAME?</v>
      </c>
      <c r="L1345" s="100"/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</row>
    <row r="1346" spans="1:26">
      <c r="A1346" s="100" t="e">
        <f ca="1">IFERROR(__xludf.DUMMYFUNCTION("""COMPUTED_VALUE"""),58784681)</f>
        <v>#NAME?</v>
      </c>
      <c r="B1346" s="100" t="e">
        <f ca="1">IFERROR(__xludf.DUMMYFUNCTION("""COMPUTED_VALUE"""),"ENJBRL")</f>
        <v>#NAME?</v>
      </c>
      <c r="C1346" s="100" t="e">
        <f ca="1">IFERROR(__xludf.DUMMYFUNCTION("""COMPUTED_VALUE"""),"1.32800000")</f>
        <v>#NAME?</v>
      </c>
      <c r="D1346" s="100" t="e">
        <f t="shared" ca="1" si="241"/>
        <v>#NAME?</v>
      </c>
      <c r="E1346" s="100" t="e">
        <f t="shared" ca="1" si="241"/>
        <v>#NAME?</v>
      </c>
      <c r="F1346" s="100" t="e">
        <f t="shared" ref="F1346:F1409" ca="1" si="242">IFERROR(__xludf.DUMMYFUNCTION("""COMPUTED_VALUE"""),20200)</f>
        <v>#NAME?</v>
      </c>
      <c r="G1346" s="100" t="e">
        <f t="shared" ref="G1346:G1409" ca="1" si="243">IFERROR(__xludf.DUMMYFUNCTION("""COMPUTED_VALUE"""),2885)</f>
        <v>#NAME?</v>
      </c>
      <c r="H1346" s="100" t="e">
        <f t="shared" ref="H1346:H1409" ca="1" si="244">IFERROR(__xludf.DUMMYFUNCTION("""COMPUTED_VALUE"""),663)</f>
        <v>#NAME?</v>
      </c>
      <c r="I1346" s="100" t="e">
        <f t="shared" ref="I1346:I1409" ca="1" si="245">IFERROR(__xludf.DUMMYFUNCTION("""COMPUTED_VALUE"""),5817721)</f>
        <v>#NAME?</v>
      </c>
      <c r="J1346" s="100" t="e">
        <f t="shared" ca="1" si="240"/>
        <v>#NAME?</v>
      </c>
      <c r="K1346" s="100" t="e">
        <f t="shared" ref="K1346:K1409" ca="1" si="246">IFERROR(__xludf.DUMMYFUNCTION("""COMPUTED_VALUE"""),"22.04.2025 13:05:01")</f>
        <v>#NAME?</v>
      </c>
      <c r="L1346" s="100"/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</row>
    <row r="1347" spans="1:26">
      <c r="A1347" s="100" t="e">
        <f ca="1">IFERROR(__xludf.DUMMYFUNCTION("""COMPUTED_VALUE"""),58784682)</f>
        <v>#NAME?</v>
      </c>
      <c r="B1347" s="100" t="e">
        <f ca="1">IFERROR(__xludf.DUMMYFUNCTION("""COMPUTED_VALUE"""),"ENJEUR")</f>
        <v>#NAME?</v>
      </c>
      <c r="C1347" s="100" t="e">
        <f ca="1">IFERROR(__xludf.DUMMYFUNCTION("""COMPUTED_VALUE"""),"0.19460000")</f>
        <v>#NAME?</v>
      </c>
      <c r="D1347" s="100" t="e">
        <f t="shared" ca="1" si="241"/>
        <v>#NAME?</v>
      </c>
      <c r="E1347" s="100" t="e">
        <f t="shared" ca="1" si="241"/>
        <v>#NAME?</v>
      </c>
      <c r="F1347" s="100" t="e">
        <f t="shared" ca="1" si="242"/>
        <v>#NAME?</v>
      </c>
      <c r="G1347" s="100" t="e">
        <f t="shared" ca="1" si="243"/>
        <v>#NAME?</v>
      </c>
      <c r="H1347" s="100" t="e">
        <f t="shared" ca="1" si="244"/>
        <v>#NAME?</v>
      </c>
      <c r="I1347" s="100" t="e">
        <f t="shared" ca="1" si="245"/>
        <v>#NAME?</v>
      </c>
      <c r="J1347" s="100" t="e">
        <f t="shared" ca="1" si="240"/>
        <v>#NAME?</v>
      </c>
      <c r="K1347" s="100" t="e">
        <f t="shared" ca="1" si="246"/>
        <v>#NAME?</v>
      </c>
      <c r="L1347" s="100"/>
      <c r="M1347" s="100"/>
      <c r="N1347" s="100"/>
      <c r="O1347" s="100"/>
      <c r="P1347" s="100"/>
      <c r="Q1347" s="100"/>
      <c r="R1347" s="100"/>
      <c r="S1347" s="100"/>
      <c r="T1347" s="100"/>
      <c r="U1347" s="100"/>
      <c r="V1347" s="100"/>
      <c r="W1347" s="100"/>
      <c r="X1347" s="100"/>
      <c r="Y1347" s="100"/>
      <c r="Z1347" s="100"/>
    </row>
    <row r="1348" spans="1:26">
      <c r="A1348" s="100" t="e">
        <f ca="1">IFERROR(__xludf.DUMMYFUNCTION("""COMPUTED_VALUE"""),58784683)</f>
        <v>#NAME?</v>
      </c>
      <c r="B1348" s="100" t="e">
        <f ca="1">IFERROR(__xludf.DUMMYFUNCTION("""COMPUTED_VALUE"""),"MATICEUR")</f>
        <v>#NAME?</v>
      </c>
      <c r="C1348" s="100" t="e">
        <f ca="1">IFERROR(__xludf.DUMMYFUNCTION("""COMPUTED_VALUE"""),"0.34440000")</f>
        <v>#NAME?</v>
      </c>
      <c r="D1348" s="100" t="e">
        <f t="shared" ca="1" si="241"/>
        <v>#NAME?</v>
      </c>
      <c r="E1348" s="100" t="e">
        <f t="shared" ca="1" si="241"/>
        <v>#NAME?</v>
      </c>
      <c r="F1348" s="100" t="e">
        <f t="shared" ca="1" si="242"/>
        <v>#NAME?</v>
      </c>
      <c r="G1348" s="100" t="e">
        <f t="shared" ca="1" si="243"/>
        <v>#NAME?</v>
      </c>
      <c r="H1348" s="100" t="e">
        <f t="shared" ca="1" si="244"/>
        <v>#NAME?</v>
      </c>
      <c r="I1348" s="100" t="e">
        <f t="shared" ca="1" si="245"/>
        <v>#NAME?</v>
      </c>
      <c r="J1348" s="100" t="e">
        <f t="shared" ca="1" si="240"/>
        <v>#NAME?</v>
      </c>
      <c r="K1348" s="100" t="e">
        <f t="shared" ca="1" si="246"/>
        <v>#NAME?</v>
      </c>
      <c r="L1348" s="100"/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</row>
    <row r="1349" spans="1:26">
      <c r="A1349" s="100" t="e">
        <f ca="1">IFERROR(__xludf.DUMMYFUNCTION("""COMPUTED_VALUE"""),58784684)</f>
        <v>#NAME?</v>
      </c>
      <c r="B1349" s="100" t="e">
        <f ca="1">IFERROR(__xludf.DUMMYFUNCTION("""COMPUTED_VALUE"""),"NEOTRY")</f>
        <v>#NAME?</v>
      </c>
      <c r="C1349" s="100" t="e">
        <f ca="1">IFERROR(__xludf.DUMMYFUNCTION("""COMPUTED_VALUE"""),"208.60000000")</f>
        <v>#NAME?</v>
      </c>
      <c r="D1349" s="100" t="e">
        <f t="shared" ca="1" si="241"/>
        <v>#NAME?</v>
      </c>
      <c r="E1349" s="100" t="e">
        <f t="shared" ca="1" si="241"/>
        <v>#NAME?</v>
      </c>
      <c r="F1349" s="100" t="e">
        <f t="shared" ca="1" si="242"/>
        <v>#NAME?</v>
      </c>
      <c r="G1349" s="100" t="e">
        <f t="shared" ca="1" si="243"/>
        <v>#NAME?</v>
      </c>
      <c r="H1349" s="100" t="e">
        <f t="shared" ca="1" si="244"/>
        <v>#NAME?</v>
      </c>
      <c r="I1349" s="100" t="e">
        <f t="shared" ca="1" si="245"/>
        <v>#NAME?</v>
      </c>
      <c r="J1349" s="100" t="e">
        <f ca="1">IFERROR(__xludf.DUMMYFUNCTION("""COMPUTED_VALUE"""),"-4.136")</f>
        <v>#NAME?</v>
      </c>
      <c r="K1349" s="100" t="e">
        <f t="shared" ca="1" si="246"/>
        <v>#NAME?</v>
      </c>
      <c r="L1349" s="100"/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</row>
    <row r="1350" spans="1:26">
      <c r="A1350" s="100" t="e">
        <f ca="1">IFERROR(__xludf.DUMMYFUNCTION("""COMPUTED_VALUE"""),58784685)</f>
        <v>#NAME?</v>
      </c>
      <c r="B1350" s="100" t="e">
        <f ca="1">IFERROR(__xludf.DUMMYFUNCTION("""COMPUTED_VALUE"""),"PERPBTC")</f>
        <v>#NAME?</v>
      </c>
      <c r="C1350" s="100" t="e">
        <f ca="1">IFERROR(__xludf.DUMMYFUNCTION("""COMPUTED_VALUE"""),"0.00000430")</f>
        <v>#NAME?</v>
      </c>
      <c r="D1350" s="100" t="e">
        <f t="shared" ca="1" si="241"/>
        <v>#NAME?</v>
      </c>
      <c r="E1350" s="100" t="e">
        <f t="shared" ca="1" si="241"/>
        <v>#NAME?</v>
      </c>
      <c r="F1350" s="100" t="e">
        <f t="shared" ca="1" si="242"/>
        <v>#NAME?</v>
      </c>
      <c r="G1350" s="100" t="e">
        <f t="shared" ca="1" si="243"/>
        <v>#NAME?</v>
      </c>
      <c r="H1350" s="100" t="e">
        <f t="shared" ca="1" si="244"/>
        <v>#NAME?</v>
      </c>
      <c r="I1350" s="100" t="e">
        <f t="shared" ca="1" si="245"/>
        <v>#NAME?</v>
      </c>
      <c r="J1350" s="100" t="e">
        <f ca="1">IFERROR(__xludf.DUMMYFUNCTION("""COMPUTED_VALUE"""),"0")</f>
        <v>#NAME?</v>
      </c>
      <c r="K1350" s="100" t="e">
        <f t="shared" ca="1" si="246"/>
        <v>#NAME?</v>
      </c>
      <c r="L1350" s="100"/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</row>
    <row r="1351" spans="1:26">
      <c r="A1351" s="100" t="e">
        <f ca="1">IFERROR(__xludf.DUMMYFUNCTION("""COMPUTED_VALUE"""),58784686)</f>
        <v>#NAME?</v>
      </c>
      <c r="B1351" s="100" t="e">
        <f ca="1">IFERROR(__xludf.DUMMYFUNCTION("""COMPUTED_VALUE"""),"PERPBUSD")</f>
        <v>#NAME?</v>
      </c>
      <c r="C1351" s="100" t="e">
        <f ca="1">IFERROR(__xludf.DUMMYFUNCTION("""COMPUTED_VALUE"""),"0.54698000")</f>
        <v>#NAME?</v>
      </c>
      <c r="D1351" s="100" t="e">
        <f t="shared" ca="1" si="241"/>
        <v>#NAME?</v>
      </c>
      <c r="E1351" s="100" t="e">
        <f t="shared" ca="1" si="241"/>
        <v>#NAME?</v>
      </c>
      <c r="F1351" s="100" t="e">
        <f t="shared" ca="1" si="242"/>
        <v>#NAME?</v>
      </c>
      <c r="G1351" s="100" t="e">
        <f t="shared" ca="1" si="243"/>
        <v>#NAME?</v>
      </c>
      <c r="H1351" s="100" t="e">
        <f t="shared" ca="1" si="244"/>
        <v>#NAME?</v>
      </c>
      <c r="I1351" s="100" t="e">
        <f t="shared" ca="1" si="245"/>
        <v>#NAME?</v>
      </c>
      <c r="J1351" s="100" t="e">
        <f ca="1">IFERROR(__xludf.DUMMYFUNCTION("""COMPUTED_VALUE"""),"0")</f>
        <v>#NAME?</v>
      </c>
      <c r="K1351" s="100" t="e">
        <f t="shared" ca="1" si="246"/>
        <v>#NAME?</v>
      </c>
      <c r="L1351" s="100"/>
      <c r="M1351" s="100"/>
      <c r="N1351" s="100"/>
      <c r="O1351" s="100"/>
      <c r="P1351" s="100"/>
      <c r="Q1351" s="100"/>
      <c r="R1351" s="100"/>
      <c r="S1351" s="100"/>
      <c r="T1351" s="100"/>
      <c r="U1351" s="100"/>
      <c r="V1351" s="100"/>
      <c r="W1351" s="100"/>
      <c r="X1351" s="100"/>
      <c r="Y1351" s="100"/>
      <c r="Z1351" s="100"/>
    </row>
    <row r="1352" spans="1:26">
      <c r="A1352" s="100" t="e">
        <f ca="1">IFERROR(__xludf.DUMMYFUNCTION("""COMPUTED_VALUE"""),58784687)</f>
        <v>#NAME?</v>
      </c>
      <c r="B1352" s="100" t="e">
        <f ca="1">IFERROR(__xludf.DUMMYFUNCTION("""COMPUTED_VALUE"""),"PERPUSDT")</f>
        <v>#NAME?</v>
      </c>
      <c r="C1352" s="100" t="e">
        <f ca="1">IFERROR(__xludf.DUMMYFUNCTION("""COMPUTED_VALUE"""),"0.22620000")</f>
        <v>#NAME?</v>
      </c>
      <c r="D1352" s="100" t="e">
        <f t="shared" ca="1" si="241"/>
        <v>#NAME?</v>
      </c>
      <c r="E1352" s="100" t="e">
        <f t="shared" ca="1" si="241"/>
        <v>#NAME?</v>
      </c>
      <c r="F1352" s="100" t="e">
        <f t="shared" ca="1" si="242"/>
        <v>#NAME?</v>
      </c>
      <c r="G1352" s="100" t="e">
        <f t="shared" ca="1" si="243"/>
        <v>#NAME?</v>
      </c>
      <c r="H1352" s="100" t="e">
        <f t="shared" ca="1" si="244"/>
        <v>#NAME?</v>
      </c>
      <c r="I1352" s="100" t="e">
        <f t="shared" ca="1" si="245"/>
        <v>#NAME?</v>
      </c>
      <c r="J1352" s="100" t="e">
        <f ca="1">IFERROR(__xludf.DUMMYFUNCTION("""COMPUTED_VALUE"""),"-7.181")</f>
        <v>#NAME?</v>
      </c>
      <c r="K1352" s="100" t="e">
        <f t="shared" ca="1" si="246"/>
        <v>#NAME?</v>
      </c>
      <c r="L1352" s="100"/>
      <c r="M1352" s="100"/>
      <c r="N1352" s="100"/>
      <c r="O1352" s="100"/>
      <c r="P1352" s="100"/>
      <c r="Q1352" s="100"/>
      <c r="R1352" s="100"/>
      <c r="S1352" s="100"/>
      <c r="T1352" s="100"/>
      <c r="U1352" s="100"/>
      <c r="V1352" s="100"/>
      <c r="W1352" s="100"/>
      <c r="X1352" s="100"/>
      <c r="Y1352" s="100"/>
      <c r="Z1352" s="100"/>
    </row>
    <row r="1353" spans="1:26">
      <c r="A1353" s="100" t="e">
        <f ca="1">IFERROR(__xludf.DUMMYFUNCTION("""COMPUTED_VALUE"""),58784688)</f>
        <v>#NAME?</v>
      </c>
      <c r="B1353" s="100" t="e">
        <f ca="1">IFERROR(__xludf.DUMMYFUNCTION("""COMPUTED_VALUE"""),"RAMPBTC")</f>
        <v>#NAME?</v>
      </c>
      <c r="C1353" s="100" t="e">
        <f ca="1">IFERROR(__xludf.DUMMYFUNCTION("""COMPUTED_VALUE"""),"0.00000000")</f>
        <v>#NAME?</v>
      </c>
      <c r="D1353" s="100" t="e">
        <f t="shared" ca="1" si="241"/>
        <v>#NAME?</v>
      </c>
      <c r="E1353" s="100" t="e">
        <f t="shared" ca="1" si="241"/>
        <v>#NAME?</v>
      </c>
      <c r="F1353" s="100" t="e">
        <f t="shared" ca="1" si="242"/>
        <v>#NAME?</v>
      </c>
      <c r="G1353" s="100" t="e">
        <f t="shared" ca="1" si="243"/>
        <v>#NAME?</v>
      </c>
      <c r="H1353" s="100" t="e">
        <f t="shared" ca="1" si="244"/>
        <v>#NAME?</v>
      </c>
      <c r="I1353" s="100" t="e">
        <f t="shared" ca="1" si="245"/>
        <v>#NAME?</v>
      </c>
      <c r="J1353" s="100" t="e">
        <f ca="1">IFERROR(__xludf.DUMMYFUNCTION("""COMPUTED_VALUE"""),"0")</f>
        <v>#NAME?</v>
      </c>
      <c r="K1353" s="100" t="e">
        <f t="shared" ca="1" si="246"/>
        <v>#NAME?</v>
      </c>
      <c r="L1353" s="100"/>
      <c r="M1353" s="100"/>
      <c r="N1353" s="100"/>
      <c r="O1353" s="100"/>
      <c r="P1353" s="100"/>
      <c r="Q1353" s="100"/>
      <c r="R1353" s="100"/>
      <c r="S1353" s="100"/>
      <c r="T1353" s="100"/>
      <c r="U1353" s="100"/>
      <c r="V1353" s="100"/>
      <c r="W1353" s="100"/>
      <c r="X1353" s="100"/>
      <c r="Y1353" s="100"/>
      <c r="Z1353" s="100"/>
    </row>
    <row r="1354" spans="1:26">
      <c r="A1354" s="100" t="e">
        <f ca="1">IFERROR(__xludf.DUMMYFUNCTION("""COMPUTED_VALUE"""),58784689)</f>
        <v>#NAME?</v>
      </c>
      <c r="B1354" s="100" t="e">
        <f ca="1">IFERROR(__xludf.DUMMYFUNCTION("""COMPUTED_VALUE"""),"RAMPBUSD")</f>
        <v>#NAME?</v>
      </c>
      <c r="C1354" s="100" t="e">
        <f ca="1">IFERROR(__xludf.DUMMYFUNCTION("""COMPUTED_VALUE"""),"0.00000000")</f>
        <v>#NAME?</v>
      </c>
      <c r="D1354" s="100" t="e">
        <f t="shared" ca="1" si="241"/>
        <v>#NAME?</v>
      </c>
      <c r="E1354" s="100" t="e">
        <f t="shared" ca="1" si="241"/>
        <v>#NAME?</v>
      </c>
      <c r="F1354" s="100" t="e">
        <f t="shared" ca="1" si="242"/>
        <v>#NAME?</v>
      </c>
      <c r="G1354" s="100" t="e">
        <f t="shared" ca="1" si="243"/>
        <v>#NAME?</v>
      </c>
      <c r="H1354" s="100" t="e">
        <f t="shared" ca="1" si="244"/>
        <v>#NAME?</v>
      </c>
      <c r="I1354" s="100" t="e">
        <f t="shared" ca="1" si="245"/>
        <v>#NAME?</v>
      </c>
      <c r="J1354" s="100" t="e">
        <f ca="1">IFERROR(__xludf.DUMMYFUNCTION("""COMPUTED_VALUE"""),"0")</f>
        <v>#NAME?</v>
      </c>
      <c r="K1354" s="100" t="e">
        <f t="shared" ca="1" si="246"/>
        <v>#NAME?</v>
      </c>
      <c r="L1354" s="100"/>
      <c r="M1354" s="100"/>
      <c r="N1354" s="100"/>
      <c r="O1354" s="100"/>
      <c r="P1354" s="100"/>
      <c r="Q1354" s="100"/>
      <c r="R1354" s="100"/>
      <c r="S1354" s="100"/>
      <c r="T1354" s="100"/>
      <c r="U1354" s="100"/>
      <c r="V1354" s="100"/>
      <c r="W1354" s="100"/>
      <c r="X1354" s="100"/>
      <c r="Y1354" s="100"/>
      <c r="Z1354" s="100"/>
    </row>
    <row r="1355" spans="1:26">
      <c r="A1355" s="100" t="e">
        <f ca="1">IFERROR(__xludf.DUMMYFUNCTION("""COMPUTED_VALUE"""),58784690)</f>
        <v>#NAME?</v>
      </c>
      <c r="B1355" s="100" t="e">
        <f ca="1">IFERROR(__xludf.DUMMYFUNCTION("""COMPUTED_VALUE"""),"RAMPUSDT")</f>
        <v>#NAME?</v>
      </c>
      <c r="C1355" s="100" t="e">
        <f ca="1">IFERROR(__xludf.DUMMYFUNCTION("""COMPUTED_VALUE"""),"0.00000000")</f>
        <v>#NAME?</v>
      </c>
      <c r="D1355" s="100" t="e">
        <f t="shared" ca="1" si="241"/>
        <v>#NAME?</v>
      </c>
      <c r="E1355" s="100" t="e">
        <f t="shared" ca="1" si="241"/>
        <v>#NAME?</v>
      </c>
      <c r="F1355" s="100" t="e">
        <f t="shared" ca="1" si="242"/>
        <v>#NAME?</v>
      </c>
      <c r="G1355" s="100" t="e">
        <f t="shared" ca="1" si="243"/>
        <v>#NAME?</v>
      </c>
      <c r="H1355" s="100" t="e">
        <f t="shared" ca="1" si="244"/>
        <v>#NAME?</v>
      </c>
      <c r="I1355" s="100" t="e">
        <f t="shared" ca="1" si="245"/>
        <v>#NAME?</v>
      </c>
      <c r="J1355" s="100" t="e">
        <f ca="1">IFERROR(__xludf.DUMMYFUNCTION("""COMPUTED_VALUE"""),"0")</f>
        <v>#NAME?</v>
      </c>
      <c r="K1355" s="100" t="e">
        <f t="shared" ca="1" si="246"/>
        <v>#NAME?</v>
      </c>
      <c r="L1355" s="100"/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</row>
    <row r="1356" spans="1:26">
      <c r="A1356" s="100" t="e">
        <f ca="1">IFERROR(__xludf.DUMMYFUNCTION("""COMPUTED_VALUE"""),58784691)</f>
        <v>#NAME?</v>
      </c>
      <c r="B1356" s="100" t="e">
        <f ca="1">IFERROR(__xludf.DUMMYFUNCTION("""COMPUTED_VALUE"""),"SUPERBTC")</f>
        <v>#NAME?</v>
      </c>
      <c r="C1356" s="100" t="e">
        <f ca="1">IFERROR(__xludf.DUMMYFUNCTION("""COMPUTED_VALUE"""),"0.00000632")</f>
        <v>#NAME?</v>
      </c>
      <c r="D1356" s="100" t="e">
        <f t="shared" ca="1" si="241"/>
        <v>#NAME?</v>
      </c>
      <c r="E1356" s="100" t="e">
        <f t="shared" ca="1" si="241"/>
        <v>#NAME?</v>
      </c>
      <c r="F1356" s="100" t="e">
        <f t="shared" ca="1" si="242"/>
        <v>#NAME?</v>
      </c>
      <c r="G1356" s="100" t="e">
        <f t="shared" ca="1" si="243"/>
        <v>#NAME?</v>
      </c>
      <c r="H1356" s="100" t="e">
        <f t="shared" ca="1" si="244"/>
        <v>#NAME?</v>
      </c>
      <c r="I1356" s="100" t="e">
        <f t="shared" ca="1" si="245"/>
        <v>#NAME?</v>
      </c>
      <c r="J1356" s="100" t="e">
        <f ca="1">IFERROR(__xludf.DUMMYFUNCTION("""COMPUTED_VALUE"""),"-1.404")</f>
        <v>#NAME?</v>
      </c>
      <c r="K1356" s="100" t="e">
        <f t="shared" ca="1" si="246"/>
        <v>#NAME?</v>
      </c>
      <c r="L1356" s="100"/>
      <c r="M1356" s="100"/>
      <c r="N1356" s="100"/>
      <c r="O1356" s="100"/>
      <c r="P1356" s="100"/>
      <c r="Q1356" s="100"/>
      <c r="R1356" s="100"/>
      <c r="S1356" s="100"/>
      <c r="T1356" s="100"/>
      <c r="U1356" s="100"/>
      <c r="V1356" s="100"/>
      <c r="W1356" s="100"/>
      <c r="X1356" s="100"/>
      <c r="Y1356" s="100"/>
      <c r="Z1356" s="100"/>
    </row>
    <row r="1357" spans="1:26">
      <c r="A1357" s="100" t="e">
        <f ca="1">IFERROR(__xludf.DUMMYFUNCTION("""COMPUTED_VALUE"""),58784692)</f>
        <v>#NAME?</v>
      </c>
      <c r="B1357" s="100" t="e">
        <f ca="1">IFERROR(__xludf.DUMMYFUNCTION("""COMPUTED_VALUE"""),"SUPERBUSD")</f>
        <v>#NAME?</v>
      </c>
      <c r="C1357" s="100" t="e">
        <f ca="1">IFERROR(__xludf.DUMMYFUNCTION("""COMPUTED_VALUE"""),"0.07270000")</f>
        <v>#NAME?</v>
      </c>
      <c r="D1357" s="100" t="e">
        <f t="shared" ca="1" si="241"/>
        <v>#NAME?</v>
      </c>
      <c r="E1357" s="100" t="e">
        <f t="shared" ca="1" si="241"/>
        <v>#NAME?</v>
      </c>
      <c r="F1357" s="100" t="e">
        <f t="shared" ca="1" si="242"/>
        <v>#NAME?</v>
      </c>
      <c r="G1357" s="100" t="e">
        <f t="shared" ca="1" si="243"/>
        <v>#NAME?</v>
      </c>
      <c r="H1357" s="100" t="e">
        <f t="shared" ca="1" si="244"/>
        <v>#NAME?</v>
      </c>
      <c r="I1357" s="100" t="e">
        <f t="shared" ca="1" si="245"/>
        <v>#NAME?</v>
      </c>
      <c r="J1357" s="100" t="e">
        <f ca="1">IFERROR(__xludf.DUMMYFUNCTION("""COMPUTED_VALUE"""),"0")</f>
        <v>#NAME?</v>
      </c>
      <c r="K1357" s="100" t="e">
        <f t="shared" ca="1" si="246"/>
        <v>#NAME?</v>
      </c>
      <c r="L1357" s="100"/>
      <c r="M1357" s="100"/>
      <c r="N1357" s="100"/>
      <c r="O1357" s="100"/>
      <c r="P1357" s="100"/>
      <c r="Q1357" s="100"/>
      <c r="R1357" s="100"/>
      <c r="S1357" s="100"/>
      <c r="T1357" s="100"/>
      <c r="U1357" s="100"/>
      <c r="V1357" s="100"/>
      <c r="W1357" s="100"/>
      <c r="X1357" s="100"/>
      <c r="Y1357" s="100"/>
      <c r="Z1357" s="100"/>
    </row>
    <row r="1358" spans="1:26">
      <c r="A1358" s="100" t="e">
        <f ca="1">IFERROR(__xludf.DUMMYFUNCTION("""COMPUTED_VALUE"""),58784693)</f>
        <v>#NAME?</v>
      </c>
      <c r="B1358" s="100" t="e">
        <f ca="1">IFERROR(__xludf.DUMMYFUNCTION("""COMPUTED_VALUE"""),"SUPERUSDT")</f>
        <v>#NAME?</v>
      </c>
      <c r="C1358" s="100" t="e">
        <f ca="1">IFERROR(__xludf.DUMMYFUNCTION("""COMPUTED_VALUE"""),"0.55980000")</f>
        <v>#NAME?</v>
      </c>
      <c r="D1358" s="100" t="e">
        <f t="shared" ca="1" si="241"/>
        <v>#NAME?</v>
      </c>
      <c r="E1358" s="100" t="e">
        <f t="shared" ca="1" si="241"/>
        <v>#NAME?</v>
      </c>
      <c r="F1358" s="100" t="e">
        <f t="shared" ca="1" si="242"/>
        <v>#NAME?</v>
      </c>
      <c r="G1358" s="100" t="e">
        <f t="shared" ca="1" si="243"/>
        <v>#NAME?</v>
      </c>
      <c r="H1358" s="100" t="e">
        <f t="shared" ca="1" si="244"/>
        <v>#NAME?</v>
      </c>
      <c r="I1358" s="100" t="e">
        <f t="shared" ca="1" si="245"/>
        <v>#NAME?</v>
      </c>
      <c r="J1358" s="100" t="e">
        <f ca="1">IFERROR(__xludf.DUMMYFUNCTION("""COMPUTED_VALUE"""),"-0.214")</f>
        <v>#NAME?</v>
      </c>
      <c r="K1358" s="100" t="e">
        <f t="shared" ca="1" si="246"/>
        <v>#NAME?</v>
      </c>
      <c r="L1358" s="100"/>
      <c r="M1358" s="100"/>
      <c r="N1358" s="100"/>
      <c r="O1358" s="100"/>
      <c r="P1358" s="100"/>
      <c r="Q1358" s="100"/>
      <c r="R1358" s="100"/>
      <c r="S1358" s="100"/>
      <c r="T1358" s="100"/>
      <c r="U1358" s="100"/>
      <c r="V1358" s="100"/>
      <c r="W1358" s="100"/>
      <c r="X1358" s="100"/>
      <c r="Y1358" s="100"/>
      <c r="Z1358" s="100"/>
    </row>
    <row r="1359" spans="1:26">
      <c r="A1359" s="100" t="e">
        <f ca="1">IFERROR(__xludf.DUMMYFUNCTION("""COMPUTED_VALUE"""),58784694)</f>
        <v>#NAME?</v>
      </c>
      <c r="B1359" s="100" t="e">
        <f ca="1">IFERROR(__xludf.DUMMYFUNCTION("""COMPUTED_VALUE"""),"CFXBTC")</f>
        <v>#NAME?</v>
      </c>
      <c r="C1359" s="100" t="e">
        <f ca="1">IFERROR(__xludf.DUMMYFUNCTION("""COMPUTED_VALUE"""),"0.00000081")</f>
        <v>#NAME?</v>
      </c>
      <c r="D1359" s="100" t="e">
        <f t="shared" ca="1" si="241"/>
        <v>#NAME?</v>
      </c>
      <c r="E1359" s="100" t="e">
        <f t="shared" ca="1" si="241"/>
        <v>#NAME?</v>
      </c>
      <c r="F1359" s="100" t="e">
        <f t="shared" ca="1" si="242"/>
        <v>#NAME?</v>
      </c>
      <c r="G1359" s="100" t="e">
        <f t="shared" ca="1" si="243"/>
        <v>#NAME?</v>
      </c>
      <c r="H1359" s="100" t="e">
        <f t="shared" ca="1" si="244"/>
        <v>#NAME?</v>
      </c>
      <c r="I1359" s="100" t="e">
        <f t="shared" ca="1" si="245"/>
        <v>#NAME?</v>
      </c>
      <c r="J1359" s="100" t="e">
        <f ca="1">IFERROR(__xludf.DUMMYFUNCTION("""COMPUTED_VALUE"""),"-2.410")</f>
        <v>#NAME?</v>
      </c>
      <c r="K1359" s="100" t="e">
        <f t="shared" ca="1" si="246"/>
        <v>#NAME?</v>
      </c>
      <c r="L1359" s="100"/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</row>
    <row r="1360" spans="1:26">
      <c r="A1360" s="100" t="e">
        <f ca="1">IFERROR(__xludf.DUMMYFUNCTION("""COMPUTED_VALUE"""),58784695)</f>
        <v>#NAME?</v>
      </c>
      <c r="B1360" s="100" t="e">
        <f ca="1">IFERROR(__xludf.DUMMYFUNCTION("""COMPUTED_VALUE"""),"CFXBUSD")</f>
        <v>#NAME?</v>
      </c>
      <c r="C1360" s="100" t="e">
        <f ca="1">IFERROR(__xludf.DUMMYFUNCTION("""COMPUTED_VALUE"""),"0.15400000")</f>
        <v>#NAME?</v>
      </c>
      <c r="D1360" s="100" t="e">
        <f t="shared" ca="1" si="241"/>
        <v>#NAME?</v>
      </c>
      <c r="E1360" s="100" t="e">
        <f t="shared" ca="1" si="241"/>
        <v>#NAME?</v>
      </c>
      <c r="F1360" s="100" t="e">
        <f t="shared" ca="1" si="242"/>
        <v>#NAME?</v>
      </c>
      <c r="G1360" s="100" t="e">
        <f t="shared" ca="1" si="243"/>
        <v>#NAME?</v>
      </c>
      <c r="H1360" s="100" t="e">
        <f t="shared" ca="1" si="244"/>
        <v>#NAME?</v>
      </c>
      <c r="I1360" s="100" t="e">
        <f t="shared" ca="1" si="245"/>
        <v>#NAME?</v>
      </c>
      <c r="J1360" s="100" t="e">
        <f ca="1">IFERROR(__xludf.DUMMYFUNCTION("""COMPUTED_VALUE"""),"0")</f>
        <v>#NAME?</v>
      </c>
      <c r="K1360" s="100" t="e">
        <f t="shared" ca="1" si="246"/>
        <v>#NAME?</v>
      </c>
      <c r="L1360" s="100"/>
      <c r="M1360" s="100"/>
      <c r="N1360" s="100"/>
      <c r="O1360" s="100"/>
      <c r="P1360" s="100"/>
      <c r="Q1360" s="100"/>
      <c r="R1360" s="100"/>
      <c r="S1360" s="100"/>
      <c r="T1360" s="100"/>
      <c r="U1360" s="100"/>
      <c r="V1360" s="100"/>
      <c r="W1360" s="100"/>
      <c r="X1360" s="100"/>
      <c r="Y1360" s="100"/>
      <c r="Z1360" s="100"/>
    </row>
    <row r="1361" spans="1:26">
      <c r="A1361" s="100" t="e">
        <f ca="1">IFERROR(__xludf.DUMMYFUNCTION("""COMPUTED_VALUE"""),58784696)</f>
        <v>#NAME?</v>
      </c>
      <c r="B1361" s="100" t="e">
        <f ca="1">IFERROR(__xludf.DUMMYFUNCTION("""COMPUTED_VALUE"""),"CFXUSDT")</f>
        <v>#NAME?</v>
      </c>
      <c r="C1361" s="100" t="e">
        <f ca="1">IFERROR(__xludf.DUMMYFUNCTION("""COMPUTED_VALUE"""),"0.07150000")</f>
        <v>#NAME?</v>
      </c>
      <c r="D1361" s="100" t="e">
        <f t="shared" ca="1" si="241"/>
        <v>#NAME?</v>
      </c>
      <c r="E1361" s="100" t="e">
        <f t="shared" ca="1" si="241"/>
        <v>#NAME?</v>
      </c>
      <c r="F1361" s="100" t="e">
        <f t="shared" ca="1" si="242"/>
        <v>#NAME?</v>
      </c>
      <c r="G1361" s="100" t="e">
        <f t="shared" ca="1" si="243"/>
        <v>#NAME?</v>
      </c>
      <c r="H1361" s="100" t="e">
        <f t="shared" ca="1" si="244"/>
        <v>#NAME?</v>
      </c>
      <c r="I1361" s="100" t="e">
        <f t="shared" ca="1" si="245"/>
        <v>#NAME?</v>
      </c>
      <c r="J1361" s="100" t="e">
        <f ca="1">IFERROR(__xludf.DUMMYFUNCTION("""COMPUTED_VALUE"""),"-1.515")</f>
        <v>#NAME?</v>
      </c>
      <c r="K1361" s="100" t="e">
        <f t="shared" ca="1" si="246"/>
        <v>#NAME?</v>
      </c>
      <c r="L1361" s="100"/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</row>
    <row r="1362" spans="1:26">
      <c r="A1362" s="100" t="e">
        <f ca="1">IFERROR(__xludf.DUMMYFUNCTION("""COMPUTED_VALUE"""),58784697)</f>
        <v>#NAME?</v>
      </c>
      <c r="B1362" s="100" t="e">
        <f ca="1">IFERROR(__xludf.DUMMYFUNCTION("""COMPUTED_VALUE"""),"ENJGBP")</f>
        <v>#NAME?</v>
      </c>
      <c r="C1362" s="100" t="e">
        <f ca="1">IFERROR(__xludf.DUMMYFUNCTION("""COMPUTED_VALUE"""),"0.36760000")</f>
        <v>#NAME?</v>
      </c>
      <c r="D1362" s="100" t="e">
        <f t="shared" ref="D1362:E1381" ca="1" si="247">IFERROR(__xludf.DUMMYFUNCTION("""COMPUTED_VALUE"""),"-")</f>
        <v>#NAME?</v>
      </c>
      <c r="E1362" s="100" t="e">
        <f t="shared" ca="1" si="247"/>
        <v>#NAME?</v>
      </c>
      <c r="F1362" s="100" t="e">
        <f t="shared" ca="1" si="242"/>
        <v>#NAME?</v>
      </c>
      <c r="G1362" s="100" t="e">
        <f t="shared" ca="1" si="243"/>
        <v>#NAME?</v>
      </c>
      <c r="H1362" s="100" t="e">
        <f t="shared" ca="1" si="244"/>
        <v>#NAME?</v>
      </c>
      <c r="I1362" s="100" t="e">
        <f t="shared" ca="1" si="245"/>
        <v>#NAME?</v>
      </c>
      <c r="J1362" s="100" t="e">
        <f ca="1">IFERROR(__xludf.DUMMYFUNCTION("""COMPUTED_VALUE"""),"0")</f>
        <v>#NAME?</v>
      </c>
      <c r="K1362" s="100" t="e">
        <f t="shared" ca="1" si="246"/>
        <v>#NAME?</v>
      </c>
      <c r="L1362" s="100"/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</row>
    <row r="1363" spans="1:26">
      <c r="A1363" s="100" t="e">
        <f ca="1">IFERROR(__xludf.DUMMYFUNCTION("""COMPUTED_VALUE"""),58784698)</f>
        <v>#NAME?</v>
      </c>
      <c r="B1363" s="100" t="e">
        <f ca="1">IFERROR(__xludf.DUMMYFUNCTION("""COMPUTED_VALUE"""),"EOSTRY")</f>
        <v>#NAME?</v>
      </c>
      <c r="C1363" s="100" t="e">
        <f ca="1">IFERROR(__xludf.DUMMYFUNCTION("""COMPUTED_VALUE"""),"24.13000000")</f>
        <v>#NAME?</v>
      </c>
      <c r="D1363" s="100" t="e">
        <f t="shared" ca="1" si="247"/>
        <v>#NAME?</v>
      </c>
      <c r="E1363" s="100" t="e">
        <f t="shared" ca="1" si="247"/>
        <v>#NAME?</v>
      </c>
      <c r="F1363" s="100" t="e">
        <f t="shared" ca="1" si="242"/>
        <v>#NAME?</v>
      </c>
      <c r="G1363" s="100" t="e">
        <f t="shared" ca="1" si="243"/>
        <v>#NAME?</v>
      </c>
      <c r="H1363" s="100" t="e">
        <f t="shared" ca="1" si="244"/>
        <v>#NAME?</v>
      </c>
      <c r="I1363" s="100" t="e">
        <f t="shared" ca="1" si="245"/>
        <v>#NAME?</v>
      </c>
      <c r="J1363" s="100" t="e">
        <f ca="1">IFERROR(__xludf.DUMMYFUNCTION("""COMPUTED_VALUE"""),"-3.325")</f>
        <v>#NAME?</v>
      </c>
      <c r="K1363" s="100" t="e">
        <f t="shared" ca="1" si="246"/>
        <v>#NAME?</v>
      </c>
      <c r="L1363" s="100"/>
      <c r="M1363" s="100"/>
      <c r="N1363" s="100"/>
      <c r="O1363" s="100"/>
      <c r="P1363" s="100"/>
      <c r="Q1363" s="100"/>
      <c r="R1363" s="100"/>
      <c r="S1363" s="100"/>
      <c r="T1363" s="100"/>
      <c r="U1363" s="100"/>
      <c r="V1363" s="100"/>
      <c r="W1363" s="100"/>
      <c r="X1363" s="100"/>
      <c r="Y1363" s="100"/>
      <c r="Z1363" s="100"/>
    </row>
    <row r="1364" spans="1:26">
      <c r="A1364" s="100" t="e">
        <f ca="1">IFERROR(__xludf.DUMMYFUNCTION("""COMPUTED_VALUE"""),58784699)</f>
        <v>#NAME?</v>
      </c>
      <c r="B1364" s="100" t="e">
        <f ca="1">IFERROR(__xludf.DUMMYFUNCTION("""COMPUTED_VALUE"""),"LTCGBP")</f>
        <v>#NAME?</v>
      </c>
      <c r="C1364" s="100" t="e">
        <f ca="1">IFERROR(__xludf.DUMMYFUNCTION("""COMPUTED_VALUE"""),"63.56000000")</f>
        <v>#NAME?</v>
      </c>
      <c r="D1364" s="100" t="e">
        <f t="shared" ca="1" si="247"/>
        <v>#NAME?</v>
      </c>
      <c r="E1364" s="100" t="e">
        <f t="shared" ca="1" si="247"/>
        <v>#NAME?</v>
      </c>
      <c r="F1364" s="100" t="e">
        <f t="shared" ca="1" si="242"/>
        <v>#NAME?</v>
      </c>
      <c r="G1364" s="100" t="e">
        <f t="shared" ca="1" si="243"/>
        <v>#NAME?</v>
      </c>
      <c r="H1364" s="100" t="e">
        <f t="shared" ca="1" si="244"/>
        <v>#NAME?</v>
      </c>
      <c r="I1364" s="100" t="e">
        <f t="shared" ca="1" si="245"/>
        <v>#NAME?</v>
      </c>
      <c r="J1364" s="100" t="e">
        <f ca="1">IFERROR(__xludf.DUMMYFUNCTION("""COMPUTED_VALUE"""),"0")</f>
        <v>#NAME?</v>
      </c>
      <c r="K1364" s="100" t="e">
        <f t="shared" ca="1" si="246"/>
        <v>#NAME?</v>
      </c>
      <c r="L1364" s="100"/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</row>
    <row r="1365" spans="1:26">
      <c r="A1365" s="100" t="e">
        <f ca="1">IFERROR(__xludf.DUMMYFUNCTION("""COMPUTED_VALUE"""),58784700)</f>
        <v>#NAME?</v>
      </c>
      <c r="B1365" s="100" t="e">
        <f ca="1">IFERROR(__xludf.DUMMYFUNCTION("""COMPUTED_VALUE"""),"LUNAEUR")</f>
        <v>#NAME?</v>
      </c>
      <c r="C1365" s="100" t="e">
        <f ca="1">IFERROR(__xludf.DUMMYFUNCTION("""COMPUTED_VALUE"""),"0.00000000")</f>
        <v>#NAME?</v>
      </c>
      <c r="D1365" s="100" t="e">
        <f t="shared" ca="1" si="247"/>
        <v>#NAME?</v>
      </c>
      <c r="E1365" s="100" t="e">
        <f t="shared" ca="1" si="247"/>
        <v>#NAME?</v>
      </c>
      <c r="F1365" s="100" t="e">
        <f t="shared" ca="1" si="242"/>
        <v>#NAME?</v>
      </c>
      <c r="G1365" s="100" t="e">
        <f t="shared" ca="1" si="243"/>
        <v>#NAME?</v>
      </c>
      <c r="H1365" s="100" t="e">
        <f t="shared" ca="1" si="244"/>
        <v>#NAME?</v>
      </c>
      <c r="I1365" s="100" t="e">
        <f t="shared" ca="1" si="245"/>
        <v>#NAME?</v>
      </c>
      <c r="J1365" s="100" t="e">
        <f ca="1">IFERROR(__xludf.DUMMYFUNCTION("""COMPUTED_VALUE"""),"0")</f>
        <v>#NAME?</v>
      </c>
      <c r="K1365" s="100" t="e">
        <f t="shared" ca="1" si="246"/>
        <v>#NAME?</v>
      </c>
      <c r="L1365" s="100"/>
      <c r="M1365" s="100"/>
      <c r="N1365" s="100"/>
      <c r="O1365" s="100"/>
      <c r="P1365" s="100"/>
      <c r="Q1365" s="100"/>
      <c r="R1365" s="100"/>
      <c r="S1365" s="100"/>
      <c r="T1365" s="100"/>
      <c r="U1365" s="100"/>
      <c r="V1365" s="100"/>
      <c r="W1365" s="100"/>
      <c r="X1365" s="100"/>
      <c r="Y1365" s="100"/>
      <c r="Z1365" s="100"/>
    </row>
    <row r="1366" spans="1:26">
      <c r="A1366" s="100" t="e">
        <f ca="1">IFERROR(__xludf.DUMMYFUNCTION("""COMPUTED_VALUE"""),58784701)</f>
        <v>#NAME?</v>
      </c>
      <c r="B1366" s="100" t="e">
        <f ca="1">IFERROR(__xludf.DUMMYFUNCTION("""COMPUTED_VALUE"""),"RVNTRY")</f>
        <v>#NAME?</v>
      </c>
      <c r="C1366" s="100" t="e">
        <f ca="1">IFERROR(__xludf.DUMMYFUNCTION("""COMPUTED_VALUE"""),"0.42550000")</f>
        <v>#NAME?</v>
      </c>
      <c r="D1366" s="100" t="e">
        <f t="shared" ca="1" si="247"/>
        <v>#NAME?</v>
      </c>
      <c r="E1366" s="100" t="e">
        <f t="shared" ca="1" si="247"/>
        <v>#NAME?</v>
      </c>
      <c r="F1366" s="100" t="e">
        <f t="shared" ca="1" si="242"/>
        <v>#NAME?</v>
      </c>
      <c r="G1366" s="100" t="e">
        <f t="shared" ca="1" si="243"/>
        <v>#NAME?</v>
      </c>
      <c r="H1366" s="100" t="e">
        <f t="shared" ca="1" si="244"/>
        <v>#NAME?</v>
      </c>
      <c r="I1366" s="100" t="e">
        <f t="shared" ca="1" si="245"/>
        <v>#NAME?</v>
      </c>
      <c r="J1366" s="100" t="e">
        <f ca="1">IFERROR(__xludf.DUMMYFUNCTION("""COMPUTED_VALUE"""),"-1.936")</f>
        <v>#NAME?</v>
      </c>
      <c r="K1366" s="100" t="e">
        <f t="shared" ca="1" si="246"/>
        <v>#NAME?</v>
      </c>
      <c r="L1366" s="100"/>
      <c r="M1366" s="100"/>
      <c r="N1366" s="100"/>
      <c r="O1366" s="100"/>
      <c r="P1366" s="100"/>
      <c r="Q1366" s="100"/>
      <c r="R1366" s="100"/>
      <c r="S1366" s="100"/>
      <c r="T1366" s="100"/>
      <c r="U1366" s="100"/>
      <c r="V1366" s="100"/>
      <c r="W1366" s="100"/>
      <c r="X1366" s="100"/>
      <c r="Y1366" s="100"/>
      <c r="Z1366" s="100"/>
    </row>
    <row r="1367" spans="1:26">
      <c r="A1367" s="100" t="e">
        <f ca="1">IFERROR(__xludf.DUMMYFUNCTION("""COMPUTED_VALUE"""),58784702)</f>
        <v>#NAME?</v>
      </c>
      <c r="B1367" s="100" t="e">
        <f ca="1">IFERROR(__xludf.DUMMYFUNCTION("""COMPUTED_VALUE"""),"THETAEUR")</f>
        <v>#NAME?</v>
      </c>
      <c r="C1367" s="100" t="e">
        <f ca="1">IFERROR(__xludf.DUMMYFUNCTION("""COMPUTED_VALUE"""),"0.61400000")</f>
        <v>#NAME?</v>
      </c>
      <c r="D1367" s="100" t="e">
        <f t="shared" ca="1" si="247"/>
        <v>#NAME?</v>
      </c>
      <c r="E1367" s="100" t="e">
        <f t="shared" ca="1" si="247"/>
        <v>#NAME?</v>
      </c>
      <c r="F1367" s="100" t="e">
        <f t="shared" ca="1" si="242"/>
        <v>#NAME?</v>
      </c>
      <c r="G1367" s="100" t="e">
        <f t="shared" ca="1" si="243"/>
        <v>#NAME?</v>
      </c>
      <c r="H1367" s="100" t="e">
        <f t="shared" ca="1" si="244"/>
        <v>#NAME?</v>
      </c>
      <c r="I1367" s="100" t="e">
        <f t="shared" ca="1" si="245"/>
        <v>#NAME?</v>
      </c>
      <c r="J1367" s="100" t="e">
        <f t="shared" ref="J1367:J1377" ca="1" si="248">IFERROR(__xludf.DUMMYFUNCTION("""COMPUTED_VALUE"""),"0")</f>
        <v>#NAME?</v>
      </c>
      <c r="K1367" s="100" t="e">
        <f t="shared" ca="1" si="246"/>
        <v>#NAME?</v>
      </c>
      <c r="L1367" s="100"/>
      <c r="M1367" s="100"/>
      <c r="N1367" s="100"/>
      <c r="O1367" s="100"/>
      <c r="P1367" s="100"/>
      <c r="Q1367" s="100"/>
      <c r="R1367" s="100"/>
      <c r="S1367" s="100"/>
      <c r="T1367" s="100"/>
      <c r="U1367" s="100"/>
      <c r="V1367" s="100"/>
      <c r="W1367" s="100"/>
      <c r="X1367" s="100"/>
      <c r="Y1367" s="100"/>
      <c r="Z1367" s="100"/>
    </row>
    <row r="1368" spans="1:26">
      <c r="A1368" s="100" t="e">
        <f ca="1">IFERROR(__xludf.DUMMYFUNCTION("""COMPUTED_VALUE"""),58784703)</f>
        <v>#NAME?</v>
      </c>
      <c r="B1368" s="100" t="e">
        <f ca="1">IFERROR(__xludf.DUMMYFUNCTION("""COMPUTED_VALUE"""),"XVGBUSD")</f>
        <v>#NAME?</v>
      </c>
      <c r="C1368" s="100" t="e">
        <f ca="1">IFERROR(__xludf.DUMMYFUNCTION("""COMPUTED_VALUE"""),"0.00365100")</f>
        <v>#NAME?</v>
      </c>
      <c r="D1368" s="100" t="e">
        <f t="shared" ca="1" si="247"/>
        <v>#NAME?</v>
      </c>
      <c r="E1368" s="100" t="e">
        <f t="shared" ca="1" si="247"/>
        <v>#NAME?</v>
      </c>
      <c r="F1368" s="100" t="e">
        <f t="shared" ca="1" si="242"/>
        <v>#NAME?</v>
      </c>
      <c r="G1368" s="100" t="e">
        <f t="shared" ca="1" si="243"/>
        <v>#NAME?</v>
      </c>
      <c r="H1368" s="100" t="e">
        <f t="shared" ca="1" si="244"/>
        <v>#NAME?</v>
      </c>
      <c r="I1368" s="100" t="e">
        <f t="shared" ca="1" si="245"/>
        <v>#NAME?</v>
      </c>
      <c r="J1368" s="100" t="e">
        <f t="shared" ca="1" si="248"/>
        <v>#NAME?</v>
      </c>
      <c r="K1368" s="100" t="e">
        <f t="shared" ca="1" si="246"/>
        <v>#NAME?</v>
      </c>
      <c r="L1368" s="100"/>
      <c r="M1368" s="100"/>
      <c r="N1368" s="100"/>
      <c r="O1368" s="100"/>
      <c r="P1368" s="100"/>
      <c r="Q1368" s="100"/>
      <c r="R1368" s="100"/>
      <c r="S1368" s="100"/>
      <c r="T1368" s="100"/>
      <c r="U1368" s="100"/>
      <c r="V1368" s="100"/>
      <c r="W1368" s="100"/>
      <c r="X1368" s="100"/>
      <c r="Y1368" s="100"/>
      <c r="Z1368" s="100"/>
    </row>
    <row r="1369" spans="1:26">
      <c r="A1369" s="100" t="e">
        <f ca="1">IFERROR(__xludf.DUMMYFUNCTION("""COMPUTED_VALUE"""),58784704)</f>
        <v>#NAME?</v>
      </c>
      <c r="B1369" s="100" t="e">
        <f ca="1">IFERROR(__xludf.DUMMYFUNCTION("""COMPUTED_VALUE"""),"EPSBTC")</f>
        <v>#NAME?</v>
      </c>
      <c r="C1369" s="100" t="e">
        <f ca="1">IFERROR(__xludf.DUMMYFUNCTION("""COMPUTED_VALUE"""),"0.00000000")</f>
        <v>#NAME?</v>
      </c>
      <c r="D1369" s="100" t="e">
        <f t="shared" ca="1" si="247"/>
        <v>#NAME?</v>
      </c>
      <c r="E1369" s="100" t="e">
        <f t="shared" ca="1" si="247"/>
        <v>#NAME?</v>
      </c>
      <c r="F1369" s="100" t="e">
        <f t="shared" ca="1" si="242"/>
        <v>#NAME?</v>
      </c>
      <c r="G1369" s="100" t="e">
        <f t="shared" ca="1" si="243"/>
        <v>#NAME?</v>
      </c>
      <c r="H1369" s="100" t="e">
        <f t="shared" ca="1" si="244"/>
        <v>#NAME?</v>
      </c>
      <c r="I1369" s="100" t="e">
        <f t="shared" ca="1" si="245"/>
        <v>#NAME?</v>
      </c>
      <c r="J1369" s="100" t="e">
        <f t="shared" ca="1" si="248"/>
        <v>#NAME?</v>
      </c>
      <c r="K1369" s="100" t="e">
        <f t="shared" ca="1" si="246"/>
        <v>#NAME?</v>
      </c>
      <c r="L1369" s="100"/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</row>
    <row r="1370" spans="1:26">
      <c r="A1370" s="100" t="e">
        <f ca="1">IFERROR(__xludf.DUMMYFUNCTION("""COMPUTED_VALUE"""),58784705)</f>
        <v>#NAME?</v>
      </c>
      <c r="B1370" s="100" t="e">
        <f ca="1">IFERROR(__xludf.DUMMYFUNCTION("""COMPUTED_VALUE"""),"EPSBUSD")</f>
        <v>#NAME?</v>
      </c>
      <c r="C1370" s="100" t="e">
        <f ca="1">IFERROR(__xludf.DUMMYFUNCTION("""COMPUTED_VALUE"""),"0.00000000")</f>
        <v>#NAME?</v>
      </c>
      <c r="D1370" s="100" t="e">
        <f t="shared" ca="1" si="247"/>
        <v>#NAME?</v>
      </c>
      <c r="E1370" s="100" t="e">
        <f t="shared" ca="1" si="247"/>
        <v>#NAME?</v>
      </c>
      <c r="F1370" s="100" t="e">
        <f t="shared" ca="1" si="242"/>
        <v>#NAME?</v>
      </c>
      <c r="G1370" s="100" t="e">
        <f t="shared" ca="1" si="243"/>
        <v>#NAME?</v>
      </c>
      <c r="H1370" s="100" t="e">
        <f t="shared" ca="1" si="244"/>
        <v>#NAME?</v>
      </c>
      <c r="I1370" s="100" t="e">
        <f t="shared" ca="1" si="245"/>
        <v>#NAME?</v>
      </c>
      <c r="J1370" s="100" t="e">
        <f t="shared" ca="1" si="248"/>
        <v>#NAME?</v>
      </c>
      <c r="K1370" s="100" t="e">
        <f t="shared" ca="1" si="246"/>
        <v>#NAME?</v>
      </c>
      <c r="L1370" s="100"/>
      <c r="M1370" s="100"/>
      <c r="N1370" s="100"/>
      <c r="O1370" s="100"/>
      <c r="P1370" s="100"/>
      <c r="Q1370" s="100"/>
      <c r="R1370" s="100"/>
      <c r="S1370" s="100"/>
      <c r="T1370" s="100"/>
      <c r="U1370" s="100"/>
      <c r="V1370" s="100"/>
      <c r="W1370" s="100"/>
      <c r="X1370" s="100"/>
      <c r="Y1370" s="100"/>
      <c r="Z1370" s="100"/>
    </row>
    <row r="1371" spans="1:26">
      <c r="A1371" s="100" t="e">
        <f ca="1">IFERROR(__xludf.DUMMYFUNCTION("""COMPUTED_VALUE"""),58784706)</f>
        <v>#NAME?</v>
      </c>
      <c r="B1371" s="100" t="e">
        <f ca="1">IFERROR(__xludf.DUMMYFUNCTION("""COMPUTED_VALUE"""),"EPSUSDT")</f>
        <v>#NAME?</v>
      </c>
      <c r="C1371" s="100" t="e">
        <f ca="1">IFERROR(__xludf.DUMMYFUNCTION("""COMPUTED_VALUE"""),"0.00000000")</f>
        <v>#NAME?</v>
      </c>
      <c r="D1371" s="100" t="e">
        <f t="shared" ca="1" si="247"/>
        <v>#NAME?</v>
      </c>
      <c r="E1371" s="100" t="e">
        <f t="shared" ca="1" si="247"/>
        <v>#NAME?</v>
      </c>
      <c r="F1371" s="100" t="e">
        <f t="shared" ca="1" si="242"/>
        <v>#NAME?</v>
      </c>
      <c r="G1371" s="100" t="e">
        <f t="shared" ca="1" si="243"/>
        <v>#NAME?</v>
      </c>
      <c r="H1371" s="100" t="e">
        <f t="shared" ca="1" si="244"/>
        <v>#NAME?</v>
      </c>
      <c r="I1371" s="100" t="e">
        <f t="shared" ca="1" si="245"/>
        <v>#NAME?</v>
      </c>
      <c r="J1371" s="100" t="e">
        <f t="shared" ca="1" si="248"/>
        <v>#NAME?</v>
      </c>
      <c r="K1371" s="100" t="e">
        <f t="shared" ca="1" si="246"/>
        <v>#NAME?</v>
      </c>
      <c r="L1371" s="100"/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</row>
    <row r="1372" spans="1:26">
      <c r="A1372" s="100" t="e">
        <f ca="1">IFERROR(__xludf.DUMMYFUNCTION("""COMPUTED_VALUE"""),58784707)</f>
        <v>#NAME?</v>
      </c>
      <c r="B1372" s="100" t="e">
        <f ca="1">IFERROR(__xludf.DUMMYFUNCTION("""COMPUTED_VALUE"""),"AUTOBTC")</f>
        <v>#NAME?</v>
      </c>
      <c r="C1372" s="100" t="e">
        <f ca="1">IFERROR(__xludf.DUMMYFUNCTION("""COMPUTED_VALUE"""),"0.00324000")</f>
        <v>#NAME?</v>
      </c>
      <c r="D1372" s="100" t="e">
        <f t="shared" ca="1" si="247"/>
        <v>#NAME?</v>
      </c>
      <c r="E1372" s="100" t="e">
        <f t="shared" ca="1" si="247"/>
        <v>#NAME?</v>
      </c>
      <c r="F1372" s="100" t="e">
        <f t="shared" ca="1" si="242"/>
        <v>#NAME?</v>
      </c>
      <c r="G1372" s="100" t="e">
        <f t="shared" ca="1" si="243"/>
        <v>#NAME?</v>
      </c>
      <c r="H1372" s="100" t="e">
        <f t="shared" ca="1" si="244"/>
        <v>#NAME?</v>
      </c>
      <c r="I1372" s="100" t="e">
        <f t="shared" ca="1" si="245"/>
        <v>#NAME?</v>
      </c>
      <c r="J1372" s="100" t="e">
        <f t="shared" ca="1" si="248"/>
        <v>#NAME?</v>
      </c>
      <c r="K1372" s="100" t="e">
        <f t="shared" ca="1" si="246"/>
        <v>#NAME?</v>
      </c>
      <c r="L1372" s="100"/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</row>
    <row r="1373" spans="1:26">
      <c r="A1373" s="100" t="e">
        <f ca="1">IFERROR(__xludf.DUMMYFUNCTION("""COMPUTED_VALUE"""),58784708)</f>
        <v>#NAME?</v>
      </c>
      <c r="B1373" s="100" t="e">
        <f ca="1">IFERROR(__xludf.DUMMYFUNCTION("""COMPUTED_VALUE"""),"AUTOBUSD")</f>
        <v>#NAME?</v>
      </c>
      <c r="C1373" s="100" t="e">
        <f ca="1">IFERROR(__xludf.DUMMYFUNCTION("""COMPUTED_VALUE"""),"95.10000000")</f>
        <v>#NAME?</v>
      </c>
      <c r="D1373" s="100" t="e">
        <f t="shared" ca="1" si="247"/>
        <v>#NAME?</v>
      </c>
      <c r="E1373" s="100" t="e">
        <f t="shared" ca="1" si="247"/>
        <v>#NAME?</v>
      </c>
      <c r="F1373" s="100" t="e">
        <f t="shared" ca="1" si="242"/>
        <v>#NAME?</v>
      </c>
      <c r="G1373" s="100" t="e">
        <f t="shared" ca="1" si="243"/>
        <v>#NAME?</v>
      </c>
      <c r="H1373" s="100" t="e">
        <f t="shared" ca="1" si="244"/>
        <v>#NAME?</v>
      </c>
      <c r="I1373" s="100" t="e">
        <f t="shared" ca="1" si="245"/>
        <v>#NAME?</v>
      </c>
      <c r="J1373" s="100" t="e">
        <f t="shared" ca="1" si="248"/>
        <v>#NAME?</v>
      </c>
      <c r="K1373" s="100" t="e">
        <f t="shared" ca="1" si="246"/>
        <v>#NAME?</v>
      </c>
      <c r="L1373" s="100"/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</row>
    <row r="1374" spans="1:26">
      <c r="A1374" s="100" t="e">
        <f ca="1">IFERROR(__xludf.DUMMYFUNCTION("""COMPUTED_VALUE"""),58784709)</f>
        <v>#NAME?</v>
      </c>
      <c r="B1374" s="100" t="e">
        <f ca="1">IFERROR(__xludf.DUMMYFUNCTION("""COMPUTED_VALUE"""),"AUTOUSDT")</f>
        <v>#NAME?</v>
      </c>
      <c r="C1374" s="100" t="e">
        <f ca="1">IFERROR(__xludf.DUMMYFUNCTION("""COMPUTED_VALUE"""),"95.30000000")</f>
        <v>#NAME?</v>
      </c>
      <c r="D1374" s="100" t="e">
        <f t="shared" ca="1" si="247"/>
        <v>#NAME?</v>
      </c>
      <c r="E1374" s="100" t="e">
        <f t="shared" ca="1" si="247"/>
        <v>#NAME?</v>
      </c>
      <c r="F1374" s="100" t="e">
        <f t="shared" ca="1" si="242"/>
        <v>#NAME?</v>
      </c>
      <c r="G1374" s="100" t="e">
        <f t="shared" ca="1" si="243"/>
        <v>#NAME?</v>
      </c>
      <c r="H1374" s="100" t="e">
        <f t="shared" ca="1" si="244"/>
        <v>#NAME?</v>
      </c>
      <c r="I1374" s="100" t="e">
        <f t="shared" ca="1" si="245"/>
        <v>#NAME?</v>
      </c>
      <c r="J1374" s="100" t="e">
        <f t="shared" ca="1" si="248"/>
        <v>#NAME?</v>
      </c>
      <c r="K1374" s="100" t="e">
        <f t="shared" ca="1" si="246"/>
        <v>#NAME?</v>
      </c>
      <c r="L1374" s="100"/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</row>
    <row r="1375" spans="1:26">
      <c r="A1375" s="100" t="e">
        <f ca="1">IFERROR(__xludf.DUMMYFUNCTION("""COMPUTED_VALUE"""),58784710)</f>
        <v>#NAME?</v>
      </c>
      <c r="B1375" s="100" t="e">
        <f ca="1">IFERROR(__xludf.DUMMYFUNCTION("""COMPUTED_VALUE"""),"TKOBTC")</f>
        <v>#NAME?</v>
      </c>
      <c r="C1375" s="100" t="e">
        <f ca="1">IFERROR(__xludf.DUMMYFUNCTION("""COMPUTED_VALUE"""),"0.00000397")</f>
        <v>#NAME?</v>
      </c>
      <c r="D1375" s="100" t="e">
        <f t="shared" ca="1" si="247"/>
        <v>#NAME?</v>
      </c>
      <c r="E1375" s="100" t="e">
        <f t="shared" ca="1" si="247"/>
        <v>#NAME?</v>
      </c>
      <c r="F1375" s="100" t="e">
        <f t="shared" ca="1" si="242"/>
        <v>#NAME?</v>
      </c>
      <c r="G1375" s="100" t="e">
        <f t="shared" ca="1" si="243"/>
        <v>#NAME?</v>
      </c>
      <c r="H1375" s="100" t="e">
        <f t="shared" ca="1" si="244"/>
        <v>#NAME?</v>
      </c>
      <c r="I1375" s="100" t="e">
        <f t="shared" ca="1" si="245"/>
        <v>#NAME?</v>
      </c>
      <c r="J1375" s="100" t="e">
        <f t="shared" ca="1" si="248"/>
        <v>#NAME?</v>
      </c>
      <c r="K1375" s="100" t="e">
        <f t="shared" ca="1" si="246"/>
        <v>#NAME?</v>
      </c>
      <c r="L1375" s="100"/>
      <c r="M1375" s="100"/>
      <c r="N1375" s="100"/>
      <c r="O1375" s="100"/>
      <c r="P1375" s="100"/>
      <c r="Q1375" s="100"/>
      <c r="R1375" s="100"/>
      <c r="S1375" s="100"/>
      <c r="T1375" s="100"/>
      <c r="U1375" s="100"/>
      <c r="V1375" s="100"/>
      <c r="W1375" s="100"/>
      <c r="X1375" s="100"/>
      <c r="Y1375" s="100"/>
      <c r="Z1375" s="100"/>
    </row>
    <row r="1376" spans="1:26">
      <c r="A1376" s="100" t="e">
        <f ca="1">IFERROR(__xludf.DUMMYFUNCTION("""COMPUTED_VALUE"""),58784711)</f>
        <v>#NAME?</v>
      </c>
      <c r="B1376" s="100" t="e">
        <f ca="1">IFERROR(__xludf.DUMMYFUNCTION("""COMPUTED_VALUE"""),"TKOBIDR")</f>
        <v>#NAME?</v>
      </c>
      <c r="C1376" s="100" t="e">
        <f ca="1">IFERROR(__xludf.DUMMYFUNCTION("""COMPUTED_VALUE"""),"3360.00")</f>
        <v>#NAME?</v>
      </c>
      <c r="D1376" s="100" t="e">
        <f t="shared" ca="1" si="247"/>
        <v>#NAME?</v>
      </c>
      <c r="E1376" s="100" t="e">
        <f t="shared" ca="1" si="247"/>
        <v>#NAME?</v>
      </c>
      <c r="F1376" s="100" t="e">
        <f t="shared" ca="1" si="242"/>
        <v>#NAME?</v>
      </c>
      <c r="G1376" s="100" t="e">
        <f t="shared" ca="1" si="243"/>
        <v>#NAME?</v>
      </c>
      <c r="H1376" s="100" t="e">
        <f t="shared" ca="1" si="244"/>
        <v>#NAME?</v>
      </c>
      <c r="I1376" s="100" t="e">
        <f t="shared" ca="1" si="245"/>
        <v>#NAME?</v>
      </c>
      <c r="J1376" s="100" t="e">
        <f t="shared" ca="1" si="248"/>
        <v>#NAME?</v>
      </c>
      <c r="K1376" s="100" t="e">
        <f t="shared" ca="1" si="246"/>
        <v>#NAME?</v>
      </c>
      <c r="L1376" s="100"/>
      <c r="M1376" s="100"/>
      <c r="N1376" s="100"/>
      <c r="O1376" s="100"/>
      <c r="P1376" s="100"/>
      <c r="Q1376" s="100"/>
      <c r="R1376" s="100"/>
      <c r="S1376" s="100"/>
      <c r="T1376" s="100"/>
      <c r="U1376" s="100"/>
      <c r="V1376" s="100"/>
      <c r="W1376" s="100"/>
      <c r="X1376" s="100"/>
      <c r="Y1376" s="100"/>
      <c r="Z1376" s="100"/>
    </row>
    <row r="1377" spans="1:26">
      <c r="A1377" s="100" t="e">
        <f ca="1">IFERROR(__xludf.DUMMYFUNCTION("""COMPUTED_VALUE"""),58784712)</f>
        <v>#NAME?</v>
      </c>
      <c r="B1377" s="100" t="e">
        <f ca="1">IFERROR(__xludf.DUMMYFUNCTION("""COMPUTED_VALUE"""),"TKOBUSD")</f>
        <v>#NAME?</v>
      </c>
      <c r="C1377" s="100" t="e">
        <f ca="1">IFERROR(__xludf.DUMMYFUNCTION("""COMPUTED_VALUE"""),"0.20820000")</f>
        <v>#NAME?</v>
      </c>
      <c r="D1377" s="100" t="e">
        <f t="shared" ca="1" si="247"/>
        <v>#NAME?</v>
      </c>
      <c r="E1377" s="100" t="e">
        <f t="shared" ca="1" si="247"/>
        <v>#NAME?</v>
      </c>
      <c r="F1377" s="100" t="e">
        <f t="shared" ca="1" si="242"/>
        <v>#NAME?</v>
      </c>
      <c r="G1377" s="100" t="e">
        <f t="shared" ca="1" si="243"/>
        <v>#NAME?</v>
      </c>
      <c r="H1377" s="100" t="e">
        <f t="shared" ca="1" si="244"/>
        <v>#NAME?</v>
      </c>
      <c r="I1377" s="100" t="e">
        <f t="shared" ca="1" si="245"/>
        <v>#NAME?</v>
      </c>
      <c r="J1377" s="100" t="e">
        <f t="shared" ca="1" si="248"/>
        <v>#NAME?</v>
      </c>
      <c r="K1377" s="100" t="e">
        <f t="shared" ca="1" si="246"/>
        <v>#NAME?</v>
      </c>
      <c r="L1377" s="100"/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</row>
    <row r="1378" spans="1:26">
      <c r="A1378" s="100" t="e">
        <f ca="1">IFERROR(__xludf.DUMMYFUNCTION("""COMPUTED_VALUE"""),58784713)</f>
        <v>#NAME?</v>
      </c>
      <c r="B1378" s="100" t="e">
        <f ca="1">IFERROR(__xludf.DUMMYFUNCTION("""COMPUTED_VALUE"""),"TKOUSDT")</f>
        <v>#NAME?</v>
      </c>
      <c r="C1378" s="100" t="e">
        <f ca="1">IFERROR(__xludf.DUMMYFUNCTION("""COMPUTED_VALUE"""),"0.15690000")</f>
        <v>#NAME?</v>
      </c>
      <c r="D1378" s="100" t="e">
        <f t="shared" ca="1" si="247"/>
        <v>#NAME?</v>
      </c>
      <c r="E1378" s="100" t="e">
        <f t="shared" ca="1" si="247"/>
        <v>#NAME?</v>
      </c>
      <c r="F1378" s="100" t="e">
        <f t="shared" ca="1" si="242"/>
        <v>#NAME?</v>
      </c>
      <c r="G1378" s="100" t="e">
        <f t="shared" ca="1" si="243"/>
        <v>#NAME?</v>
      </c>
      <c r="H1378" s="100" t="e">
        <f t="shared" ca="1" si="244"/>
        <v>#NAME?</v>
      </c>
      <c r="I1378" s="100" t="e">
        <f t="shared" ca="1" si="245"/>
        <v>#NAME?</v>
      </c>
      <c r="J1378" s="100" t="e">
        <f ca="1">IFERROR(__xludf.DUMMYFUNCTION("""COMPUTED_VALUE"""),"-1.196")</f>
        <v>#NAME?</v>
      </c>
      <c r="K1378" s="100" t="e">
        <f t="shared" ca="1" si="246"/>
        <v>#NAME?</v>
      </c>
      <c r="L1378" s="100"/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</row>
    <row r="1379" spans="1:26">
      <c r="A1379" s="100" t="e">
        <f ca="1">IFERROR(__xludf.DUMMYFUNCTION("""COMPUTED_VALUE"""),58784714)</f>
        <v>#NAME?</v>
      </c>
      <c r="B1379" s="100" t="e">
        <f ca="1">IFERROR(__xludf.DUMMYFUNCTION("""COMPUTED_VALUE"""),"PUNDIXETH")</f>
        <v>#NAME?</v>
      </c>
      <c r="C1379" s="100" t="e">
        <f ca="1">IFERROR(__xludf.DUMMYFUNCTION("""COMPUTED_VALUE"""),"0.00016660")</f>
        <v>#NAME?</v>
      </c>
      <c r="D1379" s="100" t="e">
        <f t="shared" ca="1" si="247"/>
        <v>#NAME?</v>
      </c>
      <c r="E1379" s="100" t="e">
        <f t="shared" ca="1" si="247"/>
        <v>#NAME?</v>
      </c>
      <c r="F1379" s="100" t="e">
        <f t="shared" ca="1" si="242"/>
        <v>#NAME?</v>
      </c>
      <c r="G1379" s="100" t="e">
        <f t="shared" ca="1" si="243"/>
        <v>#NAME?</v>
      </c>
      <c r="H1379" s="100" t="e">
        <f t="shared" ca="1" si="244"/>
        <v>#NAME?</v>
      </c>
      <c r="I1379" s="100" t="e">
        <f t="shared" ca="1" si="245"/>
        <v>#NAME?</v>
      </c>
      <c r="J1379" s="100" t="e">
        <f ca="1">IFERROR(__xludf.DUMMYFUNCTION("""COMPUTED_VALUE"""),"0")</f>
        <v>#NAME?</v>
      </c>
      <c r="K1379" s="100" t="e">
        <f t="shared" ca="1" si="246"/>
        <v>#NAME?</v>
      </c>
      <c r="L1379" s="100"/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</row>
    <row r="1380" spans="1:26">
      <c r="A1380" s="100" t="e">
        <f ca="1">IFERROR(__xludf.DUMMYFUNCTION("""COMPUTED_VALUE"""),58784715)</f>
        <v>#NAME?</v>
      </c>
      <c r="B1380" s="100" t="e">
        <f ca="1">IFERROR(__xludf.DUMMYFUNCTION("""COMPUTED_VALUE"""),"PUNDIXUSDT")</f>
        <v>#NAME?</v>
      </c>
      <c r="C1380" s="100" t="e">
        <f ca="1">IFERROR(__xludf.DUMMYFUNCTION("""COMPUTED_VALUE"""),"0.29000000")</f>
        <v>#NAME?</v>
      </c>
      <c r="D1380" s="100" t="e">
        <f t="shared" ca="1" si="247"/>
        <v>#NAME?</v>
      </c>
      <c r="E1380" s="100" t="e">
        <f t="shared" ca="1" si="247"/>
        <v>#NAME?</v>
      </c>
      <c r="F1380" s="100" t="e">
        <f t="shared" ca="1" si="242"/>
        <v>#NAME?</v>
      </c>
      <c r="G1380" s="100" t="e">
        <f t="shared" ca="1" si="243"/>
        <v>#NAME?</v>
      </c>
      <c r="H1380" s="100" t="e">
        <f t="shared" ca="1" si="244"/>
        <v>#NAME?</v>
      </c>
      <c r="I1380" s="100" t="e">
        <f t="shared" ca="1" si="245"/>
        <v>#NAME?</v>
      </c>
      <c r="J1380" s="100" t="e">
        <f ca="1">IFERROR(__xludf.DUMMYFUNCTION("""COMPUTED_VALUE"""),"-1.193")</f>
        <v>#NAME?</v>
      </c>
      <c r="K1380" s="100" t="e">
        <f t="shared" ca="1" si="246"/>
        <v>#NAME?</v>
      </c>
      <c r="L1380" s="100"/>
      <c r="M1380" s="100"/>
      <c r="N1380" s="100"/>
      <c r="O1380" s="100"/>
      <c r="P1380" s="100"/>
      <c r="Q1380" s="100"/>
      <c r="R1380" s="100"/>
      <c r="S1380" s="100"/>
      <c r="T1380" s="100"/>
      <c r="U1380" s="100"/>
      <c r="V1380" s="100"/>
      <c r="W1380" s="100"/>
      <c r="X1380" s="100"/>
      <c r="Y1380" s="100"/>
      <c r="Z1380" s="100"/>
    </row>
    <row r="1381" spans="1:26">
      <c r="A1381" s="100" t="e">
        <f ca="1">IFERROR(__xludf.DUMMYFUNCTION("""COMPUTED_VALUE"""),58784716)</f>
        <v>#NAME?</v>
      </c>
      <c r="B1381" s="100" t="e">
        <f ca="1">IFERROR(__xludf.DUMMYFUNCTION("""COMPUTED_VALUE"""),"BTTBRL")</f>
        <v>#NAME?</v>
      </c>
      <c r="C1381" s="100" t="e">
        <f ca="1">IFERROR(__xludf.DUMMYFUNCTION("""COMPUTED_VALUE"""),"0.00000000")</f>
        <v>#NAME?</v>
      </c>
      <c r="D1381" s="100" t="e">
        <f t="shared" ca="1" si="247"/>
        <v>#NAME?</v>
      </c>
      <c r="E1381" s="100" t="e">
        <f t="shared" ca="1" si="247"/>
        <v>#NAME?</v>
      </c>
      <c r="F1381" s="100" t="e">
        <f t="shared" ca="1" si="242"/>
        <v>#NAME?</v>
      </c>
      <c r="G1381" s="100" t="e">
        <f t="shared" ca="1" si="243"/>
        <v>#NAME?</v>
      </c>
      <c r="H1381" s="100" t="e">
        <f t="shared" ca="1" si="244"/>
        <v>#NAME?</v>
      </c>
      <c r="I1381" s="100" t="e">
        <f t="shared" ca="1" si="245"/>
        <v>#NAME?</v>
      </c>
      <c r="J1381" s="100" t="e">
        <f ca="1">IFERROR(__xludf.DUMMYFUNCTION("""COMPUTED_VALUE"""),"0")</f>
        <v>#NAME?</v>
      </c>
      <c r="K1381" s="100" t="e">
        <f t="shared" ca="1" si="246"/>
        <v>#NAME?</v>
      </c>
      <c r="L1381" s="100"/>
      <c r="M1381" s="100"/>
      <c r="N1381" s="100"/>
      <c r="O1381" s="100"/>
      <c r="P1381" s="100"/>
      <c r="Q1381" s="100"/>
      <c r="R1381" s="100"/>
      <c r="S1381" s="100"/>
      <c r="T1381" s="100"/>
      <c r="U1381" s="100"/>
      <c r="V1381" s="100"/>
      <c r="W1381" s="100"/>
      <c r="X1381" s="100"/>
      <c r="Y1381" s="100"/>
      <c r="Z1381" s="100"/>
    </row>
    <row r="1382" spans="1:26">
      <c r="A1382" s="100" t="e">
        <f ca="1">IFERROR(__xludf.DUMMYFUNCTION("""COMPUTED_VALUE"""),58784717)</f>
        <v>#NAME?</v>
      </c>
      <c r="B1382" s="100" t="e">
        <f ca="1">IFERROR(__xludf.DUMMYFUNCTION("""COMPUTED_VALUE"""),"BTTEUR")</f>
        <v>#NAME?</v>
      </c>
      <c r="C1382" s="100" t="e">
        <f ca="1">IFERROR(__xludf.DUMMYFUNCTION("""COMPUTED_VALUE"""),"0.00000000")</f>
        <v>#NAME?</v>
      </c>
      <c r="D1382" s="100" t="e">
        <f t="shared" ref="D1382:E1401" ca="1" si="249">IFERROR(__xludf.DUMMYFUNCTION("""COMPUTED_VALUE"""),"-")</f>
        <v>#NAME?</v>
      </c>
      <c r="E1382" s="100" t="e">
        <f t="shared" ca="1" si="249"/>
        <v>#NAME?</v>
      </c>
      <c r="F1382" s="100" t="e">
        <f t="shared" ca="1" si="242"/>
        <v>#NAME?</v>
      </c>
      <c r="G1382" s="100" t="e">
        <f t="shared" ca="1" si="243"/>
        <v>#NAME?</v>
      </c>
      <c r="H1382" s="100" t="e">
        <f t="shared" ca="1" si="244"/>
        <v>#NAME?</v>
      </c>
      <c r="I1382" s="100" t="e">
        <f t="shared" ca="1" si="245"/>
        <v>#NAME?</v>
      </c>
      <c r="J1382" s="100" t="e">
        <f ca="1">IFERROR(__xludf.DUMMYFUNCTION("""COMPUTED_VALUE"""),"0")</f>
        <v>#NAME?</v>
      </c>
      <c r="K1382" s="100" t="e">
        <f t="shared" ca="1" si="246"/>
        <v>#NAME?</v>
      </c>
      <c r="L1382" s="100"/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</row>
    <row r="1383" spans="1:26">
      <c r="A1383" s="100" t="e">
        <f ca="1">IFERROR(__xludf.DUMMYFUNCTION("""COMPUTED_VALUE"""),58784718)</f>
        <v>#NAME?</v>
      </c>
      <c r="B1383" s="100" t="e">
        <f ca="1">IFERROR(__xludf.DUMMYFUNCTION("""COMPUTED_VALUE"""),"HOTEUR")</f>
        <v>#NAME?</v>
      </c>
      <c r="C1383" s="100" t="e">
        <f ca="1">IFERROR(__xludf.DUMMYFUNCTION("""COMPUTED_VALUE"""),"0.00178900")</f>
        <v>#NAME?</v>
      </c>
      <c r="D1383" s="100" t="e">
        <f t="shared" ca="1" si="249"/>
        <v>#NAME?</v>
      </c>
      <c r="E1383" s="100" t="e">
        <f t="shared" ca="1" si="249"/>
        <v>#NAME?</v>
      </c>
      <c r="F1383" s="100" t="e">
        <f t="shared" ca="1" si="242"/>
        <v>#NAME?</v>
      </c>
      <c r="G1383" s="100" t="e">
        <f t="shared" ca="1" si="243"/>
        <v>#NAME?</v>
      </c>
      <c r="H1383" s="100" t="e">
        <f t="shared" ca="1" si="244"/>
        <v>#NAME?</v>
      </c>
      <c r="I1383" s="100" t="e">
        <f t="shared" ca="1" si="245"/>
        <v>#NAME?</v>
      </c>
      <c r="J1383" s="100" t="e">
        <f ca="1">IFERROR(__xludf.DUMMYFUNCTION("""COMPUTED_VALUE"""),"0")</f>
        <v>#NAME?</v>
      </c>
      <c r="K1383" s="100" t="e">
        <f t="shared" ca="1" si="246"/>
        <v>#NAME?</v>
      </c>
      <c r="L1383" s="100"/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</row>
    <row r="1384" spans="1:26">
      <c r="A1384" s="100" t="e">
        <f ca="1">IFERROR(__xludf.DUMMYFUNCTION("""COMPUTED_VALUE"""),58784719)</f>
        <v>#NAME?</v>
      </c>
      <c r="B1384" s="100" t="e">
        <f ca="1">IFERROR(__xludf.DUMMYFUNCTION("""COMPUTED_VALUE"""),"WINEUR")</f>
        <v>#NAME?</v>
      </c>
      <c r="C1384" s="100" t="e">
        <f ca="1">IFERROR(__xludf.DUMMYFUNCTION("""COMPUTED_VALUE"""),"0.00004522")</f>
        <v>#NAME?</v>
      </c>
      <c r="D1384" s="100" t="e">
        <f t="shared" ca="1" si="249"/>
        <v>#NAME?</v>
      </c>
      <c r="E1384" s="100" t="e">
        <f t="shared" ca="1" si="249"/>
        <v>#NAME?</v>
      </c>
      <c r="F1384" s="100" t="e">
        <f t="shared" ca="1" si="242"/>
        <v>#NAME?</v>
      </c>
      <c r="G1384" s="100" t="e">
        <f t="shared" ca="1" si="243"/>
        <v>#NAME?</v>
      </c>
      <c r="H1384" s="100" t="e">
        <f t="shared" ca="1" si="244"/>
        <v>#NAME?</v>
      </c>
      <c r="I1384" s="100" t="e">
        <f t="shared" ca="1" si="245"/>
        <v>#NAME?</v>
      </c>
      <c r="J1384" s="100" t="e">
        <f ca="1">IFERROR(__xludf.DUMMYFUNCTION("""COMPUTED_VALUE"""),"4.266")</f>
        <v>#NAME?</v>
      </c>
      <c r="K1384" s="100" t="e">
        <f t="shared" ca="1" si="246"/>
        <v>#NAME?</v>
      </c>
      <c r="L1384" s="100"/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</row>
    <row r="1385" spans="1:26">
      <c r="A1385" s="100" t="e">
        <f ca="1">IFERROR(__xludf.DUMMYFUNCTION("""COMPUTED_VALUE"""),58784720)</f>
        <v>#NAME?</v>
      </c>
      <c r="B1385" s="100" t="e">
        <f ca="1">IFERROR(__xludf.DUMMYFUNCTION("""COMPUTED_VALUE"""),"TLMBTC")</f>
        <v>#NAME?</v>
      </c>
      <c r="C1385" s="100" t="e">
        <f ca="1">IFERROR(__xludf.DUMMYFUNCTION("""COMPUTED_VALUE"""),"0.00000006")</f>
        <v>#NAME?</v>
      </c>
      <c r="D1385" s="100" t="e">
        <f t="shared" ca="1" si="249"/>
        <v>#NAME?</v>
      </c>
      <c r="E1385" s="100" t="e">
        <f t="shared" ca="1" si="249"/>
        <v>#NAME?</v>
      </c>
      <c r="F1385" s="100" t="e">
        <f t="shared" ca="1" si="242"/>
        <v>#NAME?</v>
      </c>
      <c r="G1385" s="100" t="e">
        <f t="shared" ca="1" si="243"/>
        <v>#NAME?</v>
      </c>
      <c r="H1385" s="100" t="e">
        <f t="shared" ca="1" si="244"/>
        <v>#NAME?</v>
      </c>
      <c r="I1385" s="100" t="e">
        <f t="shared" ca="1" si="245"/>
        <v>#NAME?</v>
      </c>
      <c r="J1385" s="100" t="e">
        <f ca="1">IFERROR(__xludf.DUMMYFUNCTION("""COMPUTED_VALUE"""),"0")</f>
        <v>#NAME?</v>
      </c>
      <c r="K1385" s="100" t="e">
        <f t="shared" ca="1" si="246"/>
        <v>#NAME?</v>
      </c>
      <c r="L1385" s="100"/>
      <c r="M1385" s="100"/>
      <c r="N1385" s="100"/>
      <c r="O1385" s="100"/>
      <c r="P1385" s="100"/>
      <c r="Q1385" s="100"/>
      <c r="R1385" s="100"/>
      <c r="S1385" s="100"/>
      <c r="T1385" s="100"/>
      <c r="U1385" s="100"/>
      <c r="V1385" s="100"/>
      <c r="W1385" s="100"/>
      <c r="X1385" s="100"/>
      <c r="Y1385" s="100"/>
      <c r="Z1385" s="100"/>
    </row>
    <row r="1386" spans="1:26">
      <c r="A1386" s="100" t="e">
        <f ca="1">IFERROR(__xludf.DUMMYFUNCTION("""COMPUTED_VALUE"""),58784721)</f>
        <v>#NAME?</v>
      </c>
      <c r="B1386" s="100" t="e">
        <f ca="1">IFERROR(__xludf.DUMMYFUNCTION("""COMPUTED_VALUE"""),"TLMBUSD")</f>
        <v>#NAME?</v>
      </c>
      <c r="C1386" s="100" t="e">
        <f ca="1">IFERROR(__xludf.DUMMYFUNCTION("""COMPUTED_VALUE"""),"0.00941000")</f>
        <v>#NAME?</v>
      </c>
      <c r="D1386" s="100" t="e">
        <f t="shared" ca="1" si="249"/>
        <v>#NAME?</v>
      </c>
      <c r="E1386" s="100" t="e">
        <f t="shared" ca="1" si="249"/>
        <v>#NAME?</v>
      </c>
      <c r="F1386" s="100" t="e">
        <f t="shared" ca="1" si="242"/>
        <v>#NAME?</v>
      </c>
      <c r="G1386" s="100" t="e">
        <f t="shared" ca="1" si="243"/>
        <v>#NAME?</v>
      </c>
      <c r="H1386" s="100" t="e">
        <f t="shared" ca="1" si="244"/>
        <v>#NAME?</v>
      </c>
      <c r="I1386" s="100" t="e">
        <f t="shared" ca="1" si="245"/>
        <v>#NAME?</v>
      </c>
      <c r="J1386" s="100" t="e">
        <f ca="1">IFERROR(__xludf.DUMMYFUNCTION("""COMPUTED_VALUE"""),"0")</f>
        <v>#NAME?</v>
      </c>
      <c r="K1386" s="100" t="e">
        <f t="shared" ca="1" si="246"/>
        <v>#NAME?</v>
      </c>
      <c r="L1386" s="100"/>
      <c r="M1386" s="100"/>
      <c r="N1386" s="100"/>
      <c r="O1386" s="100"/>
      <c r="P1386" s="100"/>
      <c r="Q1386" s="100"/>
      <c r="R1386" s="100"/>
      <c r="S1386" s="100"/>
      <c r="T1386" s="100"/>
      <c r="U1386" s="100"/>
      <c r="V1386" s="100"/>
      <c r="W1386" s="100"/>
      <c r="X1386" s="100"/>
      <c r="Y1386" s="100"/>
      <c r="Z1386" s="100"/>
    </row>
    <row r="1387" spans="1:26">
      <c r="A1387" s="100" t="e">
        <f ca="1">IFERROR(__xludf.DUMMYFUNCTION("""COMPUTED_VALUE"""),58784722)</f>
        <v>#NAME?</v>
      </c>
      <c r="B1387" s="100" t="e">
        <f ca="1">IFERROR(__xludf.DUMMYFUNCTION("""COMPUTED_VALUE"""),"TLMUSDT")</f>
        <v>#NAME?</v>
      </c>
      <c r="C1387" s="100" t="e">
        <f ca="1">IFERROR(__xludf.DUMMYFUNCTION("""COMPUTED_VALUE"""),"0.00521000")</f>
        <v>#NAME?</v>
      </c>
      <c r="D1387" s="100" t="e">
        <f t="shared" ca="1" si="249"/>
        <v>#NAME?</v>
      </c>
      <c r="E1387" s="100" t="e">
        <f t="shared" ca="1" si="249"/>
        <v>#NAME?</v>
      </c>
      <c r="F1387" s="100" t="e">
        <f t="shared" ca="1" si="242"/>
        <v>#NAME?</v>
      </c>
      <c r="G1387" s="100" t="e">
        <f t="shared" ca="1" si="243"/>
        <v>#NAME?</v>
      </c>
      <c r="H1387" s="100" t="e">
        <f t="shared" ca="1" si="244"/>
        <v>#NAME?</v>
      </c>
      <c r="I1387" s="100" t="e">
        <f t="shared" ca="1" si="245"/>
        <v>#NAME?</v>
      </c>
      <c r="J1387" s="100" t="e">
        <f ca="1">IFERROR(__xludf.DUMMYFUNCTION("""COMPUTED_VALUE"""),"0.579")</f>
        <v>#NAME?</v>
      </c>
      <c r="K1387" s="100" t="e">
        <f t="shared" ca="1" si="246"/>
        <v>#NAME?</v>
      </c>
      <c r="L1387" s="100"/>
      <c r="M1387" s="100"/>
      <c r="N1387" s="100"/>
      <c r="O1387" s="100"/>
      <c r="P1387" s="100"/>
      <c r="Q1387" s="100"/>
      <c r="R1387" s="100"/>
      <c r="S1387" s="100"/>
      <c r="T1387" s="100"/>
      <c r="U1387" s="100"/>
      <c r="V1387" s="100"/>
      <c r="W1387" s="100"/>
      <c r="X1387" s="100"/>
      <c r="Y1387" s="100"/>
      <c r="Z1387" s="100"/>
    </row>
    <row r="1388" spans="1:26">
      <c r="A1388" s="100" t="e">
        <f ca="1">IFERROR(__xludf.DUMMYFUNCTION("""COMPUTED_VALUE"""),58784723)</f>
        <v>#NAME?</v>
      </c>
      <c r="B1388" s="100" t="e">
        <f ca="1">IFERROR(__xludf.DUMMYFUNCTION("""COMPUTED_VALUE"""),"1INCHUPUSDT")</f>
        <v>#NAME?</v>
      </c>
      <c r="C1388" s="100" t="e">
        <f ca="1">IFERROR(__xludf.DUMMYFUNCTION("""COMPUTED_VALUE"""),"0.00000000")</f>
        <v>#NAME?</v>
      </c>
      <c r="D1388" s="100" t="e">
        <f t="shared" ca="1" si="249"/>
        <v>#NAME?</v>
      </c>
      <c r="E1388" s="100" t="e">
        <f t="shared" ca="1" si="249"/>
        <v>#NAME?</v>
      </c>
      <c r="F1388" s="100" t="e">
        <f t="shared" ca="1" si="242"/>
        <v>#NAME?</v>
      </c>
      <c r="G1388" s="100" t="e">
        <f t="shared" ca="1" si="243"/>
        <v>#NAME?</v>
      </c>
      <c r="H1388" s="100" t="e">
        <f t="shared" ca="1" si="244"/>
        <v>#NAME?</v>
      </c>
      <c r="I1388" s="100" t="e">
        <f t="shared" ca="1" si="245"/>
        <v>#NAME?</v>
      </c>
      <c r="J1388" s="100" t="e">
        <f t="shared" ref="J1388:J1393" ca="1" si="250">IFERROR(__xludf.DUMMYFUNCTION("""COMPUTED_VALUE"""),"0")</f>
        <v>#NAME?</v>
      </c>
      <c r="K1388" s="100" t="e">
        <f t="shared" ca="1" si="246"/>
        <v>#NAME?</v>
      </c>
      <c r="L1388" s="100"/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</row>
    <row r="1389" spans="1:26">
      <c r="A1389" s="100" t="e">
        <f ca="1">IFERROR(__xludf.DUMMYFUNCTION("""COMPUTED_VALUE"""),58784724)</f>
        <v>#NAME?</v>
      </c>
      <c r="B1389" s="100" t="e">
        <f ca="1">IFERROR(__xludf.DUMMYFUNCTION("""COMPUTED_VALUE"""),"1INCHDOWNUSDT")</f>
        <v>#NAME?</v>
      </c>
      <c r="C1389" s="100" t="e">
        <f ca="1">IFERROR(__xludf.DUMMYFUNCTION("""COMPUTED_VALUE"""),"0.00000000")</f>
        <v>#NAME?</v>
      </c>
      <c r="D1389" s="100" t="e">
        <f t="shared" ca="1" si="249"/>
        <v>#NAME?</v>
      </c>
      <c r="E1389" s="100" t="e">
        <f t="shared" ca="1" si="249"/>
        <v>#NAME?</v>
      </c>
      <c r="F1389" s="100" t="e">
        <f t="shared" ca="1" si="242"/>
        <v>#NAME?</v>
      </c>
      <c r="G1389" s="100" t="e">
        <f t="shared" ca="1" si="243"/>
        <v>#NAME?</v>
      </c>
      <c r="H1389" s="100" t="e">
        <f t="shared" ca="1" si="244"/>
        <v>#NAME?</v>
      </c>
      <c r="I1389" s="100" t="e">
        <f t="shared" ca="1" si="245"/>
        <v>#NAME?</v>
      </c>
      <c r="J1389" s="100" t="e">
        <f t="shared" ca="1" si="250"/>
        <v>#NAME?</v>
      </c>
      <c r="K1389" s="100" t="e">
        <f t="shared" ca="1" si="246"/>
        <v>#NAME?</v>
      </c>
      <c r="L1389" s="100"/>
      <c r="M1389" s="100"/>
      <c r="N1389" s="100"/>
      <c r="O1389" s="100"/>
      <c r="P1389" s="100"/>
      <c r="Q1389" s="100"/>
      <c r="R1389" s="100"/>
      <c r="S1389" s="100"/>
      <c r="T1389" s="100"/>
      <c r="U1389" s="100"/>
      <c r="V1389" s="100"/>
      <c r="W1389" s="100"/>
      <c r="X1389" s="100"/>
      <c r="Y1389" s="100"/>
      <c r="Z1389" s="100"/>
    </row>
    <row r="1390" spans="1:26">
      <c r="A1390" s="100" t="e">
        <f ca="1">IFERROR(__xludf.DUMMYFUNCTION("""COMPUTED_VALUE"""),58784725)</f>
        <v>#NAME?</v>
      </c>
      <c r="B1390" s="100" t="e">
        <f ca="1">IFERROR(__xludf.DUMMYFUNCTION("""COMPUTED_VALUE"""),"BTGBUSD")</f>
        <v>#NAME?</v>
      </c>
      <c r="C1390" s="100" t="e">
        <f ca="1">IFERROR(__xludf.DUMMYFUNCTION("""COMPUTED_VALUE"""),"17.62000000")</f>
        <v>#NAME?</v>
      </c>
      <c r="D1390" s="100" t="e">
        <f t="shared" ca="1" si="249"/>
        <v>#NAME?</v>
      </c>
      <c r="E1390" s="100" t="e">
        <f t="shared" ca="1" si="249"/>
        <v>#NAME?</v>
      </c>
      <c r="F1390" s="100" t="e">
        <f t="shared" ca="1" si="242"/>
        <v>#NAME?</v>
      </c>
      <c r="G1390" s="100" t="e">
        <f t="shared" ca="1" si="243"/>
        <v>#NAME?</v>
      </c>
      <c r="H1390" s="100" t="e">
        <f t="shared" ca="1" si="244"/>
        <v>#NAME?</v>
      </c>
      <c r="I1390" s="100" t="e">
        <f t="shared" ca="1" si="245"/>
        <v>#NAME?</v>
      </c>
      <c r="J1390" s="100" t="e">
        <f t="shared" ca="1" si="250"/>
        <v>#NAME?</v>
      </c>
      <c r="K1390" s="100" t="e">
        <f t="shared" ca="1" si="246"/>
        <v>#NAME?</v>
      </c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</row>
    <row r="1391" spans="1:26">
      <c r="A1391" s="100" t="e">
        <f ca="1">IFERROR(__xludf.DUMMYFUNCTION("""COMPUTED_VALUE"""),58784726)</f>
        <v>#NAME?</v>
      </c>
      <c r="B1391" s="100" t="e">
        <f ca="1">IFERROR(__xludf.DUMMYFUNCTION("""COMPUTED_VALUE"""),"BTGUSDT")</f>
        <v>#NAME?</v>
      </c>
      <c r="C1391" s="100" t="e">
        <f ca="1">IFERROR(__xludf.DUMMYFUNCTION("""COMPUTED_VALUE"""),"17.65000000")</f>
        <v>#NAME?</v>
      </c>
      <c r="D1391" s="100" t="e">
        <f t="shared" ca="1" si="249"/>
        <v>#NAME?</v>
      </c>
      <c r="E1391" s="100" t="e">
        <f t="shared" ca="1" si="249"/>
        <v>#NAME?</v>
      </c>
      <c r="F1391" s="100" t="e">
        <f t="shared" ca="1" si="242"/>
        <v>#NAME?</v>
      </c>
      <c r="G1391" s="100" t="e">
        <f t="shared" ca="1" si="243"/>
        <v>#NAME?</v>
      </c>
      <c r="H1391" s="100" t="e">
        <f t="shared" ca="1" si="244"/>
        <v>#NAME?</v>
      </c>
      <c r="I1391" s="100" t="e">
        <f t="shared" ca="1" si="245"/>
        <v>#NAME?</v>
      </c>
      <c r="J1391" s="100" t="e">
        <f t="shared" ca="1" si="250"/>
        <v>#NAME?</v>
      </c>
      <c r="K1391" s="100" t="e">
        <f t="shared" ca="1" si="246"/>
        <v>#NAME?</v>
      </c>
      <c r="L1391" s="100"/>
      <c r="M1391" s="100"/>
      <c r="N1391" s="100"/>
      <c r="O1391" s="100"/>
      <c r="P1391" s="100"/>
      <c r="Q1391" s="100"/>
      <c r="R1391" s="100"/>
      <c r="S1391" s="100"/>
      <c r="T1391" s="100"/>
      <c r="U1391" s="100"/>
      <c r="V1391" s="100"/>
      <c r="W1391" s="100"/>
      <c r="X1391" s="100"/>
      <c r="Y1391" s="100"/>
      <c r="Z1391" s="100"/>
    </row>
    <row r="1392" spans="1:26">
      <c r="A1392" s="100" t="e">
        <f ca="1">IFERROR(__xludf.DUMMYFUNCTION("""COMPUTED_VALUE"""),58784727)</f>
        <v>#NAME?</v>
      </c>
      <c r="B1392" s="100" t="e">
        <f ca="1">IFERROR(__xludf.DUMMYFUNCTION("""COMPUTED_VALUE"""),"HOTBUSD")</f>
        <v>#NAME?</v>
      </c>
      <c r="C1392" s="100" t="e">
        <f ca="1">IFERROR(__xludf.DUMMYFUNCTION("""COMPUTED_VALUE"""),"0.00105800")</f>
        <v>#NAME?</v>
      </c>
      <c r="D1392" s="100" t="e">
        <f t="shared" ca="1" si="249"/>
        <v>#NAME?</v>
      </c>
      <c r="E1392" s="100" t="e">
        <f t="shared" ca="1" si="249"/>
        <v>#NAME?</v>
      </c>
      <c r="F1392" s="100" t="e">
        <f t="shared" ca="1" si="242"/>
        <v>#NAME?</v>
      </c>
      <c r="G1392" s="100" t="e">
        <f t="shared" ca="1" si="243"/>
        <v>#NAME?</v>
      </c>
      <c r="H1392" s="100" t="e">
        <f t="shared" ca="1" si="244"/>
        <v>#NAME?</v>
      </c>
      <c r="I1392" s="100" t="e">
        <f t="shared" ca="1" si="245"/>
        <v>#NAME?</v>
      </c>
      <c r="J1392" s="100" t="e">
        <f t="shared" ca="1" si="250"/>
        <v>#NAME?</v>
      </c>
      <c r="K1392" s="100" t="e">
        <f t="shared" ca="1" si="246"/>
        <v>#NAME?</v>
      </c>
      <c r="L1392" s="100"/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</row>
    <row r="1393" spans="1:26">
      <c r="A1393" s="100" t="e">
        <f ca="1">IFERROR(__xludf.DUMMYFUNCTION("""COMPUTED_VALUE"""),58784728)</f>
        <v>#NAME?</v>
      </c>
      <c r="B1393" s="100" t="e">
        <f ca="1">IFERROR(__xludf.DUMMYFUNCTION("""COMPUTED_VALUE"""),"BNBUAH")</f>
        <v>#NAME?</v>
      </c>
      <c r="C1393" s="100" t="e">
        <f ca="1">IFERROR(__xludf.DUMMYFUNCTION("""COMPUTED_VALUE"""),"26372.00000000")</f>
        <v>#NAME?</v>
      </c>
      <c r="D1393" s="100" t="e">
        <f t="shared" ca="1" si="249"/>
        <v>#NAME?</v>
      </c>
      <c r="E1393" s="100" t="e">
        <f t="shared" ca="1" si="249"/>
        <v>#NAME?</v>
      </c>
      <c r="F1393" s="100" t="e">
        <f t="shared" ca="1" si="242"/>
        <v>#NAME?</v>
      </c>
      <c r="G1393" s="100" t="e">
        <f t="shared" ca="1" si="243"/>
        <v>#NAME?</v>
      </c>
      <c r="H1393" s="100" t="e">
        <f t="shared" ca="1" si="244"/>
        <v>#NAME?</v>
      </c>
      <c r="I1393" s="100" t="e">
        <f t="shared" ca="1" si="245"/>
        <v>#NAME?</v>
      </c>
      <c r="J1393" s="100" t="e">
        <f t="shared" ca="1" si="250"/>
        <v>#NAME?</v>
      </c>
      <c r="K1393" s="100" t="e">
        <f t="shared" ca="1" si="246"/>
        <v>#NAME?</v>
      </c>
      <c r="L1393" s="100"/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</row>
    <row r="1394" spans="1:26">
      <c r="A1394" s="100" t="e">
        <f ca="1">IFERROR(__xludf.DUMMYFUNCTION("""COMPUTED_VALUE"""),58784729)</f>
        <v>#NAME?</v>
      </c>
      <c r="B1394" s="100" t="e">
        <f ca="1">IFERROR(__xludf.DUMMYFUNCTION("""COMPUTED_VALUE"""),"ONTTRY")</f>
        <v>#NAME?</v>
      </c>
      <c r="C1394" s="100" t="e">
        <f ca="1">IFERROR(__xludf.DUMMYFUNCTION("""COMPUTED_VALUE"""),"5.50600000")</f>
        <v>#NAME?</v>
      </c>
      <c r="D1394" s="100" t="e">
        <f t="shared" ca="1" si="249"/>
        <v>#NAME?</v>
      </c>
      <c r="E1394" s="100" t="e">
        <f t="shared" ca="1" si="249"/>
        <v>#NAME?</v>
      </c>
      <c r="F1394" s="100" t="e">
        <f t="shared" ca="1" si="242"/>
        <v>#NAME?</v>
      </c>
      <c r="G1394" s="100" t="e">
        <f t="shared" ca="1" si="243"/>
        <v>#NAME?</v>
      </c>
      <c r="H1394" s="100" t="e">
        <f t="shared" ca="1" si="244"/>
        <v>#NAME?</v>
      </c>
      <c r="I1394" s="100" t="e">
        <f t="shared" ca="1" si="245"/>
        <v>#NAME?</v>
      </c>
      <c r="J1394" s="100" t="e">
        <f ca="1">IFERROR(__xludf.DUMMYFUNCTION("""COMPUTED_VALUE"""),"-2.944")</f>
        <v>#NAME?</v>
      </c>
      <c r="K1394" s="100" t="e">
        <f t="shared" ca="1" si="246"/>
        <v>#NAME?</v>
      </c>
      <c r="L1394" s="100"/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</row>
    <row r="1395" spans="1:26">
      <c r="A1395" s="100" t="e">
        <f ca="1">IFERROR(__xludf.DUMMYFUNCTION("""COMPUTED_VALUE"""),58784730)</f>
        <v>#NAME?</v>
      </c>
      <c r="B1395" s="100" t="e">
        <f ca="1">IFERROR(__xludf.DUMMYFUNCTION("""COMPUTED_VALUE"""),"VETEUR")</f>
        <v>#NAME?</v>
      </c>
      <c r="C1395" s="100" t="e">
        <f ca="1">IFERROR(__xludf.DUMMYFUNCTION("""COMPUTED_VALUE"""),"0.02047000")</f>
        <v>#NAME?</v>
      </c>
      <c r="D1395" s="100" t="e">
        <f t="shared" ca="1" si="249"/>
        <v>#NAME?</v>
      </c>
      <c r="E1395" s="100" t="e">
        <f t="shared" ca="1" si="249"/>
        <v>#NAME?</v>
      </c>
      <c r="F1395" s="100" t="e">
        <f t="shared" ca="1" si="242"/>
        <v>#NAME?</v>
      </c>
      <c r="G1395" s="100" t="e">
        <f t="shared" ca="1" si="243"/>
        <v>#NAME?</v>
      </c>
      <c r="H1395" s="100" t="e">
        <f t="shared" ca="1" si="244"/>
        <v>#NAME?</v>
      </c>
      <c r="I1395" s="100" t="e">
        <f t="shared" ca="1" si="245"/>
        <v>#NAME?</v>
      </c>
      <c r="J1395" s="100" t="e">
        <f ca="1">IFERROR(__xludf.DUMMYFUNCTION("""COMPUTED_VALUE"""),"-3.261")</f>
        <v>#NAME?</v>
      </c>
      <c r="K1395" s="100" t="e">
        <f t="shared" ca="1" si="246"/>
        <v>#NAME?</v>
      </c>
      <c r="L1395" s="100"/>
      <c r="M1395" s="100"/>
      <c r="N1395" s="100"/>
      <c r="O1395" s="100"/>
      <c r="P1395" s="100"/>
      <c r="Q1395" s="100"/>
      <c r="R1395" s="100"/>
      <c r="S1395" s="100"/>
      <c r="T1395" s="100"/>
      <c r="U1395" s="100"/>
      <c r="V1395" s="100"/>
      <c r="W1395" s="100"/>
      <c r="X1395" s="100"/>
      <c r="Y1395" s="100"/>
      <c r="Z1395" s="100"/>
    </row>
    <row r="1396" spans="1:26">
      <c r="A1396" s="100" t="e">
        <f ca="1">IFERROR(__xludf.DUMMYFUNCTION("""COMPUTED_VALUE"""),58784731)</f>
        <v>#NAME?</v>
      </c>
      <c r="B1396" s="100" t="e">
        <f ca="1">IFERROR(__xludf.DUMMYFUNCTION("""COMPUTED_VALUE"""),"VETGBP")</f>
        <v>#NAME?</v>
      </c>
      <c r="C1396" s="100" t="e">
        <f ca="1">IFERROR(__xludf.DUMMYFUNCTION("""COMPUTED_VALUE"""),"0.01430000")</f>
        <v>#NAME?</v>
      </c>
      <c r="D1396" s="100" t="e">
        <f t="shared" ca="1" si="249"/>
        <v>#NAME?</v>
      </c>
      <c r="E1396" s="100" t="e">
        <f t="shared" ca="1" si="249"/>
        <v>#NAME?</v>
      </c>
      <c r="F1396" s="100" t="e">
        <f t="shared" ca="1" si="242"/>
        <v>#NAME?</v>
      </c>
      <c r="G1396" s="100" t="e">
        <f t="shared" ca="1" si="243"/>
        <v>#NAME?</v>
      </c>
      <c r="H1396" s="100" t="e">
        <f t="shared" ca="1" si="244"/>
        <v>#NAME?</v>
      </c>
      <c r="I1396" s="100" t="e">
        <f t="shared" ca="1" si="245"/>
        <v>#NAME?</v>
      </c>
      <c r="J1396" s="100" t="e">
        <f t="shared" ref="J1396:J1402" ca="1" si="251">IFERROR(__xludf.DUMMYFUNCTION("""COMPUTED_VALUE"""),"0")</f>
        <v>#NAME?</v>
      </c>
      <c r="K1396" s="100" t="e">
        <f t="shared" ca="1" si="246"/>
        <v>#NAME?</v>
      </c>
      <c r="L1396" s="100"/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</row>
    <row r="1397" spans="1:26">
      <c r="A1397" s="100" t="e">
        <f ca="1">IFERROR(__xludf.DUMMYFUNCTION("""COMPUTED_VALUE"""),58784732)</f>
        <v>#NAME?</v>
      </c>
      <c r="B1397" s="100" t="e">
        <f ca="1">IFERROR(__xludf.DUMMYFUNCTION("""COMPUTED_VALUE"""),"WINBRL")</f>
        <v>#NAME?</v>
      </c>
      <c r="C1397" s="100" t="e">
        <f ca="1">IFERROR(__xludf.DUMMYFUNCTION("""COMPUTED_VALUE"""),"0.00065760")</f>
        <v>#NAME?</v>
      </c>
      <c r="D1397" s="100" t="e">
        <f t="shared" ca="1" si="249"/>
        <v>#NAME?</v>
      </c>
      <c r="E1397" s="100" t="e">
        <f t="shared" ca="1" si="249"/>
        <v>#NAME?</v>
      </c>
      <c r="F1397" s="100" t="e">
        <f t="shared" ca="1" si="242"/>
        <v>#NAME?</v>
      </c>
      <c r="G1397" s="100" t="e">
        <f t="shared" ca="1" si="243"/>
        <v>#NAME?</v>
      </c>
      <c r="H1397" s="100" t="e">
        <f t="shared" ca="1" si="244"/>
        <v>#NAME?</v>
      </c>
      <c r="I1397" s="100" t="e">
        <f t="shared" ca="1" si="245"/>
        <v>#NAME?</v>
      </c>
      <c r="J1397" s="100" t="e">
        <f t="shared" ca="1" si="251"/>
        <v>#NAME?</v>
      </c>
      <c r="K1397" s="100" t="e">
        <f t="shared" ca="1" si="246"/>
        <v>#NAME?</v>
      </c>
      <c r="L1397" s="100"/>
      <c r="M1397" s="100"/>
      <c r="N1397" s="100"/>
      <c r="O1397" s="100"/>
      <c r="P1397" s="100"/>
      <c r="Q1397" s="100"/>
      <c r="R1397" s="100"/>
      <c r="S1397" s="100"/>
      <c r="T1397" s="100"/>
      <c r="U1397" s="100"/>
      <c r="V1397" s="100"/>
      <c r="W1397" s="100"/>
      <c r="X1397" s="100"/>
      <c r="Y1397" s="100"/>
      <c r="Z1397" s="100"/>
    </row>
    <row r="1398" spans="1:26">
      <c r="A1398" s="100" t="e">
        <f ca="1">IFERROR(__xludf.DUMMYFUNCTION("""COMPUTED_VALUE"""),58784733)</f>
        <v>#NAME?</v>
      </c>
      <c r="B1398" s="100" t="e">
        <f ca="1">IFERROR(__xludf.DUMMYFUNCTION("""COMPUTED_VALUE"""),"MIRBTC")</f>
        <v>#NAME?</v>
      </c>
      <c r="C1398" s="100" t="e">
        <f ca="1">IFERROR(__xludf.DUMMYFUNCTION("""COMPUTED_VALUE"""),"0.00000838")</f>
        <v>#NAME?</v>
      </c>
      <c r="D1398" s="100" t="e">
        <f t="shared" ca="1" si="249"/>
        <v>#NAME?</v>
      </c>
      <c r="E1398" s="100" t="e">
        <f t="shared" ca="1" si="249"/>
        <v>#NAME?</v>
      </c>
      <c r="F1398" s="100" t="e">
        <f t="shared" ca="1" si="242"/>
        <v>#NAME?</v>
      </c>
      <c r="G1398" s="100" t="e">
        <f t="shared" ca="1" si="243"/>
        <v>#NAME?</v>
      </c>
      <c r="H1398" s="100" t="e">
        <f t="shared" ca="1" si="244"/>
        <v>#NAME?</v>
      </c>
      <c r="I1398" s="100" t="e">
        <f t="shared" ca="1" si="245"/>
        <v>#NAME?</v>
      </c>
      <c r="J1398" s="100" t="e">
        <f t="shared" ca="1" si="251"/>
        <v>#NAME?</v>
      </c>
      <c r="K1398" s="100" t="e">
        <f t="shared" ca="1" si="246"/>
        <v>#NAME?</v>
      </c>
      <c r="L1398" s="100"/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</row>
    <row r="1399" spans="1:26">
      <c r="A1399" s="100" t="e">
        <f ca="1">IFERROR(__xludf.DUMMYFUNCTION("""COMPUTED_VALUE"""),58784734)</f>
        <v>#NAME?</v>
      </c>
      <c r="B1399" s="100" t="e">
        <f ca="1">IFERROR(__xludf.DUMMYFUNCTION("""COMPUTED_VALUE"""),"MIRBUSD")</f>
        <v>#NAME?</v>
      </c>
      <c r="C1399" s="100" t="e">
        <f ca="1">IFERROR(__xludf.DUMMYFUNCTION("""COMPUTED_VALUE"""),"0.13237000")</f>
        <v>#NAME?</v>
      </c>
      <c r="D1399" s="100" t="e">
        <f t="shared" ca="1" si="249"/>
        <v>#NAME?</v>
      </c>
      <c r="E1399" s="100" t="e">
        <f t="shared" ca="1" si="249"/>
        <v>#NAME?</v>
      </c>
      <c r="F1399" s="100" t="e">
        <f t="shared" ca="1" si="242"/>
        <v>#NAME?</v>
      </c>
      <c r="G1399" s="100" t="e">
        <f t="shared" ca="1" si="243"/>
        <v>#NAME?</v>
      </c>
      <c r="H1399" s="100" t="e">
        <f t="shared" ca="1" si="244"/>
        <v>#NAME?</v>
      </c>
      <c r="I1399" s="100" t="e">
        <f t="shared" ca="1" si="245"/>
        <v>#NAME?</v>
      </c>
      <c r="J1399" s="100" t="e">
        <f t="shared" ca="1" si="251"/>
        <v>#NAME?</v>
      </c>
      <c r="K1399" s="100" t="e">
        <f t="shared" ca="1" si="246"/>
        <v>#NAME?</v>
      </c>
      <c r="L1399" s="100"/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</row>
    <row r="1400" spans="1:26">
      <c r="A1400" s="100" t="e">
        <f ca="1">IFERROR(__xludf.DUMMYFUNCTION("""COMPUTED_VALUE"""),58784735)</f>
        <v>#NAME?</v>
      </c>
      <c r="B1400" s="100" t="e">
        <f ca="1">IFERROR(__xludf.DUMMYFUNCTION("""COMPUTED_VALUE"""),"MIRUSDT")</f>
        <v>#NAME?</v>
      </c>
      <c r="C1400" s="100" t="e">
        <f ca="1">IFERROR(__xludf.DUMMYFUNCTION("""COMPUTED_VALUE"""),"0.14168000")</f>
        <v>#NAME?</v>
      </c>
      <c r="D1400" s="100" t="e">
        <f t="shared" ca="1" si="249"/>
        <v>#NAME?</v>
      </c>
      <c r="E1400" s="100" t="e">
        <f t="shared" ca="1" si="249"/>
        <v>#NAME?</v>
      </c>
      <c r="F1400" s="100" t="e">
        <f t="shared" ca="1" si="242"/>
        <v>#NAME?</v>
      </c>
      <c r="G1400" s="100" t="e">
        <f t="shared" ca="1" si="243"/>
        <v>#NAME?</v>
      </c>
      <c r="H1400" s="100" t="e">
        <f t="shared" ca="1" si="244"/>
        <v>#NAME?</v>
      </c>
      <c r="I1400" s="100" t="e">
        <f t="shared" ca="1" si="245"/>
        <v>#NAME?</v>
      </c>
      <c r="J1400" s="100" t="e">
        <f t="shared" ca="1" si="251"/>
        <v>#NAME?</v>
      </c>
      <c r="K1400" s="100" t="e">
        <f t="shared" ca="1" si="246"/>
        <v>#NAME?</v>
      </c>
      <c r="L1400" s="100"/>
      <c r="M1400" s="100"/>
      <c r="N1400" s="100"/>
      <c r="O1400" s="100"/>
      <c r="P1400" s="100"/>
      <c r="Q1400" s="100"/>
      <c r="R1400" s="100"/>
      <c r="S1400" s="100"/>
      <c r="T1400" s="100"/>
      <c r="U1400" s="100"/>
      <c r="V1400" s="100"/>
      <c r="W1400" s="100"/>
      <c r="X1400" s="100"/>
      <c r="Y1400" s="100"/>
      <c r="Z1400" s="100"/>
    </row>
    <row r="1401" spans="1:26">
      <c r="A1401" s="100" t="e">
        <f ca="1">IFERROR(__xludf.DUMMYFUNCTION("""COMPUTED_VALUE"""),58784736)</f>
        <v>#NAME?</v>
      </c>
      <c r="B1401" s="100" t="e">
        <f ca="1">IFERROR(__xludf.DUMMYFUNCTION("""COMPUTED_VALUE"""),"BARBTC")</f>
        <v>#NAME?</v>
      </c>
      <c r="C1401" s="100" t="e">
        <f ca="1">IFERROR(__xludf.DUMMYFUNCTION("""COMPUTED_VALUE"""),"0.00014100")</f>
        <v>#NAME?</v>
      </c>
      <c r="D1401" s="100" t="e">
        <f t="shared" ca="1" si="249"/>
        <v>#NAME?</v>
      </c>
      <c r="E1401" s="100" t="e">
        <f t="shared" ca="1" si="249"/>
        <v>#NAME?</v>
      </c>
      <c r="F1401" s="100" t="e">
        <f t="shared" ca="1" si="242"/>
        <v>#NAME?</v>
      </c>
      <c r="G1401" s="100" t="e">
        <f t="shared" ca="1" si="243"/>
        <v>#NAME?</v>
      </c>
      <c r="H1401" s="100" t="e">
        <f t="shared" ca="1" si="244"/>
        <v>#NAME?</v>
      </c>
      <c r="I1401" s="100" t="e">
        <f t="shared" ca="1" si="245"/>
        <v>#NAME?</v>
      </c>
      <c r="J1401" s="100" t="e">
        <f t="shared" ca="1" si="251"/>
        <v>#NAME?</v>
      </c>
      <c r="K1401" s="100" t="e">
        <f t="shared" ca="1" si="246"/>
        <v>#NAME?</v>
      </c>
      <c r="L1401" s="100"/>
      <c r="M1401" s="100"/>
      <c r="N1401" s="100"/>
      <c r="O1401" s="100"/>
      <c r="P1401" s="100"/>
      <c r="Q1401" s="100"/>
      <c r="R1401" s="100"/>
      <c r="S1401" s="100"/>
      <c r="T1401" s="100"/>
      <c r="U1401" s="100"/>
      <c r="V1401" s="100"/>
      <c r="W1401" s="100"/>
      <c r="X1401" s="100"/>
      <c r="Y1401" s="100"/>
      <c r="Z1401" s="100"/>
    </row>
    <row r="1402" spans="1:26">
      <c r="A1402" s="100" t="e">
        <f ca="1">IFERROR(__xludf.DUMMYFUNCTION("""COMPUTED_VALUE"""),58784737)</f>
        <v>#NAME?</v>
      </c>
      <c r="B1402" s="100" t="e">
        <f ca="1">IFERROR(__xludf.DUMMYFUNCTION("""COMPUTED_VALUE"""),"BARBUSD")</f>
        <v>#NAME?</v>
      </c>
      <c r="C1402" s="100" t="e">
        <f ca="1">IFERROR(__xludf.DUMMYFUNCTION("""COMPUTED_VALUE"""),"2.53300000")</f>
        <v>#NAME?</v>
      </c>
      <c r="D1402" s="100" t="e">
        <f t="shared" ref="D1402:E1421" ca="1" si="252">IFERROR(__xludf.DUMMYFUNCTION("""COMPUTED_VALUE"""),"-")</f>
        <v>#NAME?</v>
      </c>
      <c r="E1402" s="100" t="e">
        <f t="shared" ca="1" si="252"/>
        <v>#NAME?</v>
      </c>
      <c r="F1402" s="100" t="e">
        <f t="shared" ca="1" si="242"/>
        <v>#NAME?</v>
      </c>
      <c r="G1402" s="100" t="e">
        <f t="shared" ca="1" si="243"/>
        <v>#NAME?</v>
      </c>
      <c r="H1402" s="100" t="e">
        <f t="shared" ca="1" si="244"/>
        <v>#NAME?</v>
      </c>
      <c r="I1402" s="100" t="e">
        <f t="shared" ca="1" si="245"/>
        <v>#NAME?</v>
      </c>
      <c r="J1402" s="100" t="e">
        <f t="shared" ca="1" si="251"/>
        <v>#NAME?</v>
      </c>
      <c r="K1402" s="100" t="e">
        <f t="shared" ca="1" si="246"/>
        <v>#NAME?</v>
      </c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</row>
    <row r="1403" spans="1:26">
      <c r="A1403" s="100" t="e">
        <f ca="1">IFERROR(__xludf.DUMMYFUNCTION("""COMPUTED_VALUE"""),58784738)</f>
        <v>#NAME?</v>
      </c>
      <c r="B1403" s="100" t="e">
        <f ca="1">IFERROR(__xludf.DUMMYFUNCTION("""COMPUTED_VALUE"""),"BARUSDT")</f>
        <v>#NAME?</v>
      </c>
      <c r="C1403" s="100" t="e">
        <f ca="1">IFERROR(__xludf.DUMMYFUNCTION("""COMPUTED_VALUE"""),"1.80900000")</f>
        <v>#NAME?</v>
      </c>
      <c r="D1403" s="100" t="e">
        <f t="shared" ca="1" si="252"/>
        <v>#NAME?</v>
      </c>
      <c r="E1403" s="100" t="e">
        <f t="shared" ca="1" si="252"/>
        <v>#NAME?</v>
      </c>
      <c r="F1403" s="100" t="e">
        <f t="shared" ca="1" si="242"/>
        <v>#NAME?</v>
      </c>
      <c r="G1403" s="100" t="e">
        <f t="shared" ca="1" si="243"/>
        <v>#NAME?</v>
      </c>
      <c r="H1403" s="100" t="e">
        <f t="shared" ca="1" si="244"/>
        <v>#NAME?</v>
      </c>
      <c r="I1403" s="100" t="e">
        <f t="shared" ca="1" si="245"/>
        <v>#NAME?</v>
      </c>
      <c r="J1403" s="100" t="e">
        <f ca="1">IFERROR(__xludf.DUMMYFUNCTION("""COMPUTED_VALUE"""),"10.427")</f>
        <v>#NAME?</v>
      </c>
      <c r="K1403" s="100" t="e">
        <f t="shared" ca="1" si="246"/>
        <v>#NAME?</v>
      </c>
      <c r="L1403" s="100"/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</row>
    <row r="1404" spans="1:26">
      <c r="A1404" s="100" t="e">
        <f ca="1">IFERROR(__xludf.DUMMYFUNCTION("""COMPUTED_VALUE"""),58784739)</f>
        <v>#NAME?</v>
      </c>
      <c r="B1404" s="100" t="e">
        <f ca="1">IFERROR(__xludf.DUMMYFUNCTION("""COMPUTED_VALUE"""),"FORTHBTC")</f>
        <v>#NAME?</v>
      </c>
      <c r="C1404" s="100" t="e">
        <f ca="1">IFERROR(__xludf.DUMMYFUNCTION("""COMPUTED_VALUE"""),"0.00002720")</f>
        <v>#NAME?</v>
      </c>
      <c r="D1404" s="100" t="e">
        <f t="shared" ca="1" si="252"/>
        <v>#NAME?</v>
      </c>
      <c r="E1404" s="100" t="e">
        <f t="shared" ca="1" si="252"/>
        <v>#NAME?</v>
      </c>
      <c r="F1404" s="100" t="e">
        <f t="shared" ca="1" si="242"/>
        <v>#NAME?</v>
      </c>
      <c r="G1404" s="100" t="e">
        <f t="shared" ca="1" si="243"/>
        <v>#NAME?</v>
      </c>
      <c r="H1404" s="100" t="e">
        <f t="shared" ca="1" si="244"/>
        <v>#NAME?</v>
      </c>
      <c r="I1404" s="100" t="e">
        <f t="shared" ca="1" si="245"/>
        <v>#NAME?</v>
      </c>
      <c r="J1404" s="100" t="e">
        <f ca="1">IFERROR(__xludf.DUMMYFUNCTION("""COMPUTED_VALUE"""),"-1.378")</f>
        <v>#NAME?</v>
      </c>
      <c r="K1404" s="100" t="e">
        <f t="shared" ca="1" si="246"/>
        <v>#NAME?</v>
      </c>
      <c r="L1404" s="100"/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</row>
    <row r="1405" spans="1:26">
      <c r="A1405" s="100" t="e">
        <f ca="1">IFERROR(__xludf.DUMMYFUNCTION("""COMPUTED_VALUE"""),58784740)</f>
        <v>#NAME?</v>
      </c>
      <c r="B1405" s="100" t="e">
        <f ca="1">IFERROR(__xludf.DUMMYFUNCTION("""COMPUTED_VALUE"""),"FORTHBUSD")</f>
        <v>#NAME?</v>
      </c>
      <c r="C1405" s="100" t="e">
        <f ca="1">IFERROR(__xludf.DUMMYFUNCTION("""COMPUTED_VALUE"""),"3.02700000")</f>
        <v>#NAME?</v>
      </c>
      <c r="D1405" s="100" t="e">
        <f t="shared" ca="1" si="252"/>
        <v>#NAME?</v>
      </c>
      <c r="E1405" s="100" t="e">
        <f t="shared" ca="1" si="252"/>
        <v>#NAME?</v>
      </c>
      <c r="F1405" s="100" t="e">
        <f t="shared" ca="1" si="242"/>
        <v>#NAME?</v>
      </c>
      <c r="G1405" s="100" t="e">
        <f t="shared" ca="1" si="243"/>
        <v>#NAME?</v>
      </c>
      <c r="H1405" s="100" t="e">
        <f t="shared" ca="1" si="244"/>
        <v>#NAME?</v>
      </c>
      <c r="I1405" s="100" t="e">
        <f t="shared" ca="1" si="245"/>
        <v>#NAME?</v>
      </c>
      <c r="J1405" s="100" t="e">
        <f ca="1">IFERROR(__xludf.DUMMYFUNCTION("""COMPUTED_VALUE"""),"0")</f>
        <v>#NAME?</v>
      </c>
      <c r="K1405" s="100" t="e">
        <f t="shared" ca="1" si="246"/>
        <v>#NAME?</v>
      </c>
      <c r="L1405" s="100"/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</row>
    <row r="1406" spans="1:26">
      <c r="A1406" s="100" t="e">
        <f ca="1">IFERROR(__xludf.DUMMYFUNCTION("""COMPUTED_VALUE"""),58784741)</f>
        <v>#NAME?</v>
      </c>
      <c r="B1406" s="100" t="e">
        <f ca="1">IFERROR(__xludf.DUMMYFUNCTION("""COMPUTED_VALUE"""),"FORTHUSDT")</f>
        <v>#NAME?</v>
      </c>
      <c r="C1406" s="100" t="e">
        <f ca="1">IFERROR(__xludf.DUMMYFUNCTION("""COMPUTED_VALUE"""),"2.41200000")</f>
        <v>#NAME?</v>
      </c>
      <c r="D1406" s="100" t="e">
        <f t="shared" ca="1" si="252"/>
        <v>#NAME?</v>
      </c>
      <c r="E1406" s="100" t="e">
        <f t="shared" ca="1" si="252"/>
        <v>#NAME?</v>
      </c>
      <c r="F1406" s="100" t="e">
        <f t="shared" ca="1" si="242"/>
        <v>#NAME?</v>
      </c>
      <c r="G1406" s="100" t="e">
        <f t="shared" ca="1" si="243"/>
        <v>#NAME?</v>
      </c>
      <c r="H1406" s="100" t="e">
        <f t="shared" ca="1" si="244"/>
        <v>#NAME?</v>
      </c>
      <c r="I1406" s="100" t="e">
        <f t="shared" ca="1" si="245"/>
        <v>#NAME?</v>
      </c>
      <c r="J1406" s="100" t="e">
        <f ca="1">IFERROR(__xludf.DUMMYFUNCTION("""COMPUTED_VALUE"""),"0.000")</f>
        <v>#NAME?</v>
      </c>
      <c r="K1406" s="100" t="e">
        <f t="shared" ca="1" si="246"/>
        <v>#NAME?</v>
      </c>
      <c r="L1406" s="100"/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</row>
    <row r="1407" spans="1:26">
      <c r="A1407" s="100" t="e">
        <f ca="1">IFERROR(__xludf.DUMMYFUNCTION("""COMPUTED_VALUE"""),58784742)</f>
        <v>#NAME?</v>
      </c>
      <c r="B1407" s="100" t="e">
        <f ca="1">IFERROR(__xludf.DUMMYFUNCTION("""COMPUTED_VALUE"""),"CAKEGBP")</f>
        <v>#NAME?</v>
      </c>
      <c r="C1407" s="100" t="e">
        <f ca="1">IFERROR(__xludf.DUMMYFUNCTION("""COMPUTED_VALUE"""),"2.71400000")</f>
        <v>#NAME?</v>
      </c>
      <c r="D1407" s="100" t="e">
        <f t="shared" ca="1" si="252"/>
        <v>#NAME?</v>
      </c>
      <c r="E1407" s="100" t="e">
        <f t="shared" ca="1" si="252"/>
        <v>#NAME?</v>
      </c>
      <c r="F1407" s="100" t="e">
        <f t="shared" ca="1" si="242"/>
        <v>#NAME?</v>
      </c>
      <c r="G1407" s="100" t="e">
        <f t="shared" ca="1" si="243"/>
        <v>#NAME?</v>
      </c>
      <c r="H1407" s="100" t="e">
        <f t="shared" ca="1" si="244"/>
        <v>#NAME?</v>
      </c>
      <c r="I1407" s="100" t="e">
        <f t="shared" ca="1" si="245"/>
        <v>#NAME?</v>
      </c>
      <c r="J1407" s="100" t="e">
        <f t="shared" ref="J1407:J1412" ca="1" si="253">IFERROR(__xludf.DUMMYFUNCTION("""COMPUTED_VALUE"""),"0")</f>
        <v>#NAME?</v>
      </c>
      <c r="K1407" s="100" t="e">
        <f t="shared" ca="1" si="246"/>
        <v>#NAME?</v>
      </c>
      <c r="L1407" s="100"/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</row>
    <row r="1408" spans="1:26">
      <c r="A1408" s="100" t="e">
        <f ca="1">IFERROR(__xludf.DUMMYFUNCTION("""COMPUTED_VALUE"""),58784743)</f>
        <v>#NAME?</v>
      </c>
      <c r="B1408" s="100" t="e">
        <f ca="1">IFERROR(__xludf.DUMMYFUNCTION("""COMPUTED_VALUE"""),"DOGERUB")</f>
        <v>#NAME?</v>
      </c>
      <c r="C1408" s="100" t="e">
        <f ca="1">IFERROR(__xludf.DUMMYFUNCTION("""COMPUTED_VALUE"""),"6.94000000")</f>
        <v>#NAME?</v>
      </c>
      <c r="D1408" s="100" t="e">
        <f t="shared" ca="1" si="252"/>
        <v>#NAME?</v>
      </c>
      <c r="E1408" s="100" t="e">
        <f t="shared" ca="1" si="252"/>
        <v>#NAME?</v>
      </c>
      <c r="F1408" s="100" t="e">
        <f t="shared" ca="1" si="242"/>
        <v>#NAME?</v>
      </c>
      <c r="G1408" s="100" t="e">
        <f t="shared" ca="1" si="243"/>
        <v>#NAME?</v>
      </c>
      <c r="H1408" s="100" t="e">
        <f t="shared" ca="1" si="244"/>
        <v>#NAME?</v>
      </c>
      <c r="I1408" s="100" t="e">
        <f t="shared" ca="1" si="245"/>
        <v>#NAME?</v>
      </c>
      <c r="J1408" s="100" t="e">
        <f t="shared" ca="1" si="253"/>
        <v>#NAME?</v>
      </c>
      <c r="K1408" s="100" t="e">
        <f t="shared" ca="1" si="246"/>
        <v>#NAME?</v>
      </c>
      <c r="L1408" s="100"/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</row>
    <row r="1409" spans="1:26">
      <c r="A1409" s="100" t="e">
        <f ca="1">IFERROR(__xludf.DUMMYFUNCTION("""COMPUTED_VALUE"""),58784744)</f>
        <v>#NAME?</v>
      </c>
      <c r="B1409" s="100" t="e">
        <f ca="1">IFERROR(__xludf.DUMMYFUNCTION("""COMPUTED_VALUE"""),"HOTBRL")</f>
        <v>#NAME?</v>
      </c>
      <c r="C1409" s="100" t="e">
        <f ca="1">IFERROR(__xludf.DUMMYFUNCTION("""COMPUTED_VALUE"""),"0.00000000")</f>
        <v>#NAME?</v>
      </c>
      <c r="D1409" s="100" t="e">
        <f t="shared" ca="1" si="252"/>
        <v>#NAME?</v>
      </c>
      <c r="E1409" s="100" t="e">
        <f t="shared" ca="1" si="252"/>
        <v>#NAME?</v>
      </c>
      <c r="F1409" s="100" t="e">
        <f t="shared" ca="1" si="242"/>
        <v>#NAME?</v>
      </c>
      <c r="G1409" s="100" t="e">
        <f t="shared" ca="1" si="243"/>
        <v>#NAME?</v>
      </c>
      <c r="H1409" s="100" t="e">
        <f t="shared" ca="1" si="244"/>
        <v>#NAME?</v>
      </c>
      <c r="I1409" s="100" t="e">
        <f t="shared" ca="1" si="245"/>
        <v>#NAME?</v>
      </c>
      <c r="J1409" s="100" t="e">
        <f t="shared" ca="1" si="253"/>
        <v>#NAME?</v>
      </c>
      <c r="K1409" s="100" t="e">
        <f t="shared" ca="1" si="246"/>
        <v>#NAME?</v>
      </c>
      <c r="L1409" s="100"/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</row>
    <row r="1410" spans="1:26">
      <c r="A1410" s="100" t="e">
        <f ca="1">IFERROR(__xludf.DUMMYFUNCTION("""COMPUTED_VALUE"""),58784745)</f>
        <v>#NAME?</v>
      </c>
      <c r="B1410" s="100" t="e">
        <f ca="1">IFERROR(__xludf.DUMMYFUNCTION("""COMPUTED_VALUE"""),"WRXEUR")</f>
        <v>#NAME?</v>
      </c>
      <c r="C1410" s="100" t="e">
        <f ca="1">IFERROR(__xludf.DUMMYFUNCTION("""COMPUTED_VALUE"""),"0.00000000")</f>
        <v>#NAME?</v>
      </c>
      <c r="D1410" s="100" t="e">
        <f t="shared" ca="1" si="252"/>
        <v>#NAME?</v>
      </c>
      <c r="E1410" s="100" t="e">
        <f t="shared" ca="1" si="252"/>
        <v>#NAME?</v>
      </c>
      <c r="F1410" s="100" t="e">
        <f t="shared" ref="F1410:F1473" ca="1" si="254">IFERROR(__xludf.DUMMYFUNCTION("""COMPUTED_VALUE"""),20200)</f>
        <v>#NAME?</v>
      </c>
      <c r="G1410" s="100" t="e">
        <f t="shared" ref="G1410:G1473" ca="1" si="255">IFERROR(__xludf.DUMMYFUNCTION("""COMPUTED_VALUE"""),2885)</f>
        <v>#NAME?</v>
      </c>
      <c r="H1410" s="100" t="e">
        <f t="shared" ref="H1410:H1473" ca="1" si="256">IFERROR(__xludf.DUMMYFUNCTION("""COMPUTED_VALUE"""),663)</f>
        <v>#NAME?</v>
      </c>
      <c r="I1410" s="100" t="e">
        <f t="shared" ref="I1410:I1473" ca="1" si="257">IFERROR(__xludf.DUMMYFUNCTION("""COMPUTED_VALUE"""),5817721)</f>
        <v>#NAME?</v>
      </c>
      <c r="J1410" s="100" t="e">
        <f t="shared" ca="1" si="253"/>
        <v>#NAME?</v>
      </c>
      <c r="K1410" s="100" t="e">
        <f t="shared" ref="K1410:K1473" ca="1" si="258">IFERROR(__xludf.DUMMYFUNCTION("""COMPUTED_VALUE"""),"22.04.2025 13:05:01")</f>
        <v>#NAME?</v>
      </c>
      <c r="L1410" s="100"/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</row>
    <row r="1411" spans="1:26">
      <c r="A1411" s="100" t="e">
        <f ca="1">IFERROR(__xludf.DUMMYFUNCTION("""COMPUTED_VALUE"""),58784746)</f>
        <v>#NAME?</v>
      </c>
      <c r="B1411" s="100" t="e">
        <f ca="1">IFERROR(__xludf.DUMMYFUNCTION("""COMPUTED_VALUE"""),"EZBTC")</f>
        <v>#NAME?</v>
      </c>
      <c r="C1411" s="100" t="e">
        <f ca="1">IFERROR(__xludf.DUMMYFUNCTION("""COMPUTED_VALUE"""),"0.00000000")</f>
        <v>#NAME?</v>
      </c>
      <c r="D1411" s="100" t="e">
        <f t="shared" ca="1" si="252"/>
        <v>#NAME?</v>
      </c>
      <c r="E1411" s="100" t="e">
        <f t="shared" ca="1" si="252"/>
        <v>#NAME?</v>
      </c>
      <c r="F1411" s="100" t="e">
        <f t="shared" ca="1" si="254"/>
        <v>#NAME?</v>
      </c>
      <c r="G1411" s="100" t="e">
        <f t="shared" ca="1" si="255"/>
        <v>#NAME?</v>
      </c>
      <c r="H1411" s="100" t="e">
        <f t="shared" ca="1" si="256"/>
        <v>#NAME?</v>
      </c>
      <c r="I1411" s="100" t="e">
        <f t="shared" ca="1" si="257"/>
        <v>#NAME?</v>
      </c>
      <c r="J1411" s="100" t="e">
        <f t="shared" ca="1" si="253"/>
        <v>#NAME?</v>
      </c>
      <c r="K1411" s="100" t="e">
        <f t="shared" ca="1" si="258"/>
        <v>#NAME?</v>
      </c>
      <c r="L1411" s="100"/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</row>
    <row r="1412" spans="1:26">
      <c r="A1412" s="100" t="e">
        <f ca="1">IFERROR(__xludf.DUMMYFUNCTION("""COMPUTED_VALUE"""),58784747)</f>
        <v>#NAME?</v>
      </c>
      <c r="B1412" s="100" t="e">
        <f ca="1">IFERROR(__xludf.DUMMYFUNCTION("""COMPUTED_VALUE"""),"EZETH")</f>
        <v>#NAME?</v>
      </c>
      <c r="C1412" s="100" t="e">
        <f ca="1">IFERROR(__xludf.DUMMYFUNCTION("""COMPUTED_VALUE"""),"0.00000000")</f>
        <v>#NAME?</v>
      </c>
      <c r="D1412" s="100" t="e">
        <f t="shared" ca="1" si="252"/>
        <v>#NAME?</v>
      </c>
      <c r="E1412" s="100" t="e">
        <f t="shared" ca="1" si="252"/>
        <v>#NAME?</v>
      </c>
      <c r="F1412" s="100" t="e">
        <f t="shared" ca="1" si="254"/>
        <v>#NAME?</v>
      </c>
      <c r="G1412" s="100" t="e">
        <f t="shared" ca="1" si="255"/>
        <v>#NAME?</v>
      </c>
      <c r="H1412" s="100" t="e">
        <f t="shared" ca="1" si="256"/>
        <v>#NAME?</v>
      </c>
      <c r="I1412" s="100" t="e">
        <f t="shared" ca="1" si="257"/>
        <v>#NAME?</v>
      </c>
      <c r="J1412" s="100" t="e">
        <f t="shared" ca="1" si="253"/>
        <v>#NAME?</v>
      </c>
      <c r="K1412" s="100" t="e">
        <f t="shared" ca="1" si="258"/>
        <v>#NAME?</v>
      </c>
      <c r="L1412" s="100"/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</row>
    <row r="1413" spans="1:26">
      <c r="A1413" s="100" t="e">
        <f ca="1">IFERROR(__xludf.DUMMYFUNCTION("""COMPUTED_VALUE"""),58784748)</f>
        <v>#NAME?</v>
      </c>
      <c r="B1413" s="100" t="e">
        <f ca="1">IFERROR(__xludf.DUMMYFUNCTION("""COMPUTED_VALUE"""),"BAKEUSDT")</f>
        <v>#NAME?</v>
      </c>
      <c r="C1413" s="100" t="e">
        <f ca="1">IFERROR(__xludf.DUMMYFUNCTION("""COMPUTED_VALUE"""),"0.12400000")</f>
        <v>#NAME?</v>
      </c>
      <c r="D1413" s="100" t="e">
        <f t="shared" ca="1" si="252"/>
        <v>#NAME?</v>
      </c>
      <c r="E1413" s="100" t="e">
        <f t="shared" ca="1" si="252"/>
        <v>#NAME?</v>
      </c>
      <c r="F1413" s="100" t="e">
        <f t="shared" ca="1" si="254"/>
        <v>#NAME?</v>
      </c>
      <c r="G1413" s="100" t="e">
        <f t="shared" ca="1" si="255"/>
        <v>#NAME?</v>
      </c>
      <c r="H1413" s="100" t="e">
        <f t="shared" ca="1" si="256"/>
        <v>#NAME?</v>
      </c>
      <c r="I1413" s="100" t="e">
        <f t="shared" ca="1" si="257"/>
        <v>#NAME?</v>
      </c>
      <c r="J1413" s="100" t="e">
        <f ca="1">IFERROR(__xludf.DUMMYFUNCTION("""COMPUTED_VALUE"""),"-3.652")</f>
        <v>#NAME?</v>
      </c>
      <c r="K1413" s="100" t="e">
        <f t="shared" ca="1" si="258"/>
        <v>#NAME?</v>
      </c>
      <c r="L1413" s="100"/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</row>
    <row r="1414" spans="1:26">
      <c r="A1414" s="100" t="e">
        <f ca="1">IFERROR(__xludf.DUMMYFUNCTION("""COMPUTED_VALUE"""),58784749)</f>
        <v>#NAME?</v>
      </c>
      <c r="B1414" s="100" t="e">
        <f ca="1">IFERROR(__xludf.DUMMYFUNCTION("""COMPUTED_VALUE"""),"BURGERBUSD")</f>
        <v>#NAME?</v>
      </c>
      <c r="C1414" s="100" t="e">
        <f ca="1">IFERROR(__xludf.DUMMYFUNCTION("""COMPUTED_VALUE"""),"0.32080000")</f>
        <v>#NAME?</v>
      </c>
      <c r="D1414" s="100" t="e">
        <f t="shared" ca="1" si="252"/>
        <v>#NAME?</v>
      </c>
      <c r="E1414" s="100" t="e">
        <f t="shared" ca="1" si="252"/>
        <v>#NAME?</v>
      </c>
      <c r="F1414" s="100" t="e">
        <f t="shared" ca="1" si="254"/>
        <v>#NAME?</v>
      </c>
      <c r="G1414" s="100" t="e">
        <f t="shared" ca="1" si="255"/>
        <v>#NAME?</v>
      </c>
      <c r="H1414" s="100" t="e">
        <f t="shared" ca="1" si="256"/>
        <v>#NAME?</v>
      </c>
      <c r="I1414" s="100" t="e">
        <f t="shared" ca="1" si="257"/>
        <v>#NAME?</v>
      </c>
      <c r="J1414" s="100" t="e">
        <f ca="1">IFERROR(__xludf.DUMMYFUNCTION("""COMPUTED_VALUE"""),"0")</f>
        <v>#NAME?</v>
      </c>
      <c r="K1414" s="100" t="e">
        <f t="shared" ca="1" si="258"/>
        <v>#NAME?</v>
      </c>
      <c r="L1414" s="100"/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</row>
    <row r="1415" spans="1:26">
      <c r="A1415" s="100" t="e">
        <f ca="1">IFERROR(__xludf.DUMMYFUNCTION("""COMPUTED_VALUE"""),58784750)</f>
        <v>#NAME?</v>
      </c>
      <c r="B1415" s="100" t="e">
        <f ca="1">IFERROR(__xludf.DUMMYFUNCTION("""COMPUTED_VALUE"""),"BURGERUSDT")</f>
        <v>#NAME?</v>
      </c>
      <c r="C1415" s="100" t="e">
        <f ca="1">IFERROR(__xludf.DUMMYFUNCTION("""COMPUTED_VALUE"""),"0.01720000")</f>
        <v>#NAME?</v>
      </c>
      <c r="D1415" s="100" t="e">
        <f t="shared" ca="1" si="252"/>
        <v>#NAME?</v>
      </c>
      <c r="E1415" s="100" t="e">
        <f t="shared" ca="1" si="252"/>
        <v>#NAME?</v>
      </c>
      <c r="F1415" s="100" t="e">
        <f t="shared" ca="1" si="254"/>
        <v>#NAME?</v>
      </c>
      <c r="G1415" s="100" t="e">
        <f t="shared" ca="1" si="255"/>
        <v>#NAME?</v>
      </c>
      <c r="H1415" s="100" t="e">
        <f t="shared" ca="1" si="256"/>
        <v>#NAME?</v>
      </c>
      <c r="I1415" s="100" t="e">
        <f t="shared" ca="1" si="257"/>
        <v>#NAME?</v>
      </c>
      <c r="J1415" s="100" t="e">
        <f ca="1">IFERROR(__xludf.DUMMYFUNCTION("""COMPUTED_VALUE"""),"0")</f>
        <v>#NAME?</v>
      </c>
      <c r="K1415" s="100" t="e">
        <f t="shared" ca="1" si="258"/>
        <v>#NAME?</v>
      </c>
      <c r="L1415" s="100"/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</row>
    <row r="1416" spans="1:26">
      <c r="A1416" s="100" t="e">
        <f ca="1">IFERROR(__xludf.DUMMYFUNCTION("""COMPUTED_VALUE"""),58784751)</f>
        <v>#NAME?</v>
      </c>
      <c r="B1416" s="100" t="e">
        <f ca="1">IFERROR(__xludf.DUMMYFUNCTION("""COMPUTED_VALUE"""),"SLPBUSD")</f>
        <v>#NAME?</v>
      </c>
      <c r="C1416" s="100" t="e">
        <f ca="1">IFERROR(__xludf.DUMMYFUNCTION("""COMPUTED_VALUE"""),"0.00148700")</f>
        <v>#NAME?</v>
      </c>
      <c r="D1416" s="100" t="e">
        <f t="shared" ca="1" si="252"/>
        <v>#NAME?</v>
      </c>
      <c r="E1416" s="100" t="e">
        <f t="shared" ca="1" si="252"/>
        <v>#NAME?</v>
      </c>
      <c r="F1416" s="100" t="e">
        <f t="shared" ca="1" si="254"/>
        <v>#NAME?</v>
      </c>
      <c r="G1416" s="100" t="e">
        <f t="shared" ca="1" si="255"/>
        <v>#NAME?</v>
      </c>
      <c r="H1416" s="100" t="e">
        <f t="shared" ca="1" si="256"/>
        <v>#NAME?</v>
      </c>
      <c r="I1416" s="100" t="e">
        <f t="shared" ca="1" si="257"/>
        <v>#NAME?</v>
      </c>
      <c r="J1416" s="100" t="e">
        <f ca="1">IFERROR(__xludf.DUMMYFUNCTION("""COMPUTED_VALUE"""),"0")</f>
        <v>#NAME?</v>
      </c>
      <c r="K1416" s="100" t="e">
        <f t="shared" ca="1" si="258"/>
        <v>#NAME?</v>
      </c>
      <c r="L1416" s="100"/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</row>
    <row r="1417" spans="1:26">
      <c r="A1417" s="100" t="e">
        <f ca="1">IFERROR(__xludf.DUMMYFUNCTION("""COMPUTED_VALUE"""),58784752)</f>
        <v>#NAME?</v>
      </c>
      <c r="B1417" s="100" t="e">
        <f ca="1">IFERROR(__xludf.DUMMYFUNCTION("""COMPUTED_VALUE"""),"SLPUSDT")</f>
        <v>#NAME?</v>
      </c>
      <c r="C1417" s="100" t="e">
        <f ca="1">IFERROR(__xludf.DUMMYFUNCTION("""COMPUTED_VALUE"""),"0.00163000")</f>
        <v>#NAME?</v>
      </c>
      <c r="D1417" s="100" t="e">
        <f t="shared" ca="1" si="252"/>
        <v>#NAME?</v>
      </c>
      <c r="E1417" s="100" t="e">
        <f t="shared" ca="1" si="252"/>
        <v>#NAME?</v>
      </c>
      <c r="F1417" s="100" t="e">
        <f t="shared" ca="1" si="254"/>
        <v>#NAME?</v>
      </c>
      <c r="G1417" s="100" t="e">
        <f t="shared" ca="1" si="255"/>
        <v>#NAME?</v>
      </c>
      <c r="H1417" s="100" t="e">
        <f t="shared" ca="1" si="256"/>
        <v>#NAME?</v>
      </c>
      <c r="I1417" s="100" t="e">
        <f t="shared" ca="1" si="257"/>
        <v>#NAME?</v>
      </c>
      <c r="J1417" s="100" t="e">
        <f ca="1">IFERROR(__xludf.DUMMYFUNCTION("""COMPUTED_VALUE"""),"3.822")</f>
        <v>#NAME?</v>
      </c>
      <c r="K1417" s="100" t="e">
        <f t="shared" ca="1" si="258"/>
        <v>#NAME?</v>
      </c>
      <c r="L1417" s="100"/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</row>
    <row r="1418" spans="1:26">
      <c r="A1418" s="100" t="e">
        <f ca="1">IFERROR(__xludf.DUMMYFUNCTION("""COMPUTED_VALUE"""),58784753)</f>
        <v>#NAME?</v>
      </c>
      <c r="B1418" s="100" t="e">
        <f ca="1">IFERROR(__xludf.DUMMYFUNCTION("""COMPUTED_VALUE"""),"TRXAUD")</f>
        <v>#NAME?</v>
      </c>
      <c r="C1418" s="100" t="e">
        <f ca="1">IFERROR(__xludf.DUMMYFUNCTION("""COMPUTED_VALUE"""),"0.00000000")</f>
        <v>#NAME?</v>
      </c>
      <c r="D1418" s="100" t="e">
        <f t="shared" ca="1" si="252"/>
        <v>#NAME?</v>
      </c>
      <c r="E1418" s="100" t="e">
        <f t="shared" ca="1" si="252"/>
        <v>#NAME?</v>
      </c>
      <c r="F1418" s="100" t="e">
        <f t="shared" ca="1" si="254"/>
        <v>#NAME?</v>
      </c>
      <c r="G1418" s="100" t="e">
        <f t="shared" ca="1" si="255"/>
        <v>#NAME?</v>
      </c>
      <c r="H1418" s="100" t="e">
        <f t="shared" ca="1" si="256"/>
        <v>#NAME?</v>
      </c>
      <c r="I1418" s="100" t="e">
        <f t="shared" ca="1" si="257"/>
        <v>#NAME?</v>
      </c>
      <c r="J1418" s="100" t="e">
        <f ca="1">IFERROR(__xludf.DUMMYFUNCTION("""COMPUTED_VALUE"""),"0")</f>
        <v>#NAME?</v>
      </c>
      <c r="K1418" s="100" t="e">
        <f t="shared" ca="1" si="258"/>
        <v>#NAME?</v>
      </c>
      <c r="L1418" s="100"/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</row>
    <row r="1419" spans="1:26">
      <c r="A1419" s="100" t="e">
        <f ca="1">IFERROR(__xludf.DUMMYFUNCTION("""COMPUTED_VALUE"""),58784754)</f>
        <v>#NAME?</v>
      </c>
      <c r="B1419" s="100" t="e">
        <f ca="1">IFERROR(__xludf.DUMMYFUNCTION("""COMPUTED_VALUE"""),"TRXEUR")</f>
        <v>#NAME?</v>
      </c>
      <c r="C1419" s="100" t="e">
        <f ca="1">IFERROR(__xludf.DUMMYFUNCTION("""COMPUTED_VALUE"""),"0.21600000")</f>
        <v>#NAME?</v>
      </c>
      <c r="D1419" s="100" t="e">
        <f t="shared" ca="1" si="252"/>
        <v>#NAME?</v>
      </c>
      <c r="E1419" s="100" t="e">
        <f t="shared" ca="1" si="252"/>
        <v>#NAME?</v>
      </c>
      <c r="F1419" s="100" t="e">
        <f t="shared" ca="1" si="254"/>
        <v>#NAME?</v>
      </c>
      <c r="G1419" s="100" t="e">
        <f t="shared" ca="1" si="255"/>
        <v>#NAME?</v>
      </c>
      <c r="H1419" s="100" t="e">
        <f t="shared" ca="1" si="256"/>
        <v>#NAME?</v>
      </c>
      <c r="I1419" s="100" t="e">
        <f t="shared" ca="1" si="257"/>
        <v>#NAME?</v>
      </c>
      <c r="J1419" s="100" t="e">
        <f ca="1">IFERROR(__xludf.DUMMYFUNCTION("""COMPUTED_VALUE"""),"2.418")</f>
        <v>#NAME?</v>
      </c>
      <c r="K1419" s="100" t="e">
        <f t="shared" ca="1" si="258"/>
        <v>#NAME?</v>
      </c>
      <c r="L1419" s="100"/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</row>
    <row r="1420" spans="1:26">
      <c r="A1420" s="100" t="e">
        <f ca="1">IFERROR(__xludf.DUMMYFUNCTION("""COMPUTED_VALUE"""),58784755)</f>
        <v>#NAME?</v>
      </c>
      <c r="B1420" s="100" t="e">
        <f ca="1">IFERROR(__xludf.DUMMYFUNCTION("""COMPUTED_VALUE"""),"VETTRY")</f>
        <v>#NAME?</v>
      </c>
      <c r="C1420" s="100" t="e">
        <f ca="1">IFERROR(__xludf.DUMMYFUNCTION("""COMPUTED_VALUE"""),"0.90110000")</f>
        <v>#NAME?</v>
      </c>
      <c r="D1420" s="100" t="e">
        <f t="shared" ca="1" si="252"/>
        <v>#NAME?</v>
      </c>
      <c r="E1420" s="100" t="e">
        <f t="shared" ca="1" si="252"/>
        <v>#NAME?</v>
      </c>
      <c r="F1420" s="100" t="e">
        <f t="shared" ca="1" si="254"/>
        <v>#NAME?</v>
      </c>
      <c r="G1420" s="100" t="e">
        <f t="shared" ca="1" si="255"/>
        <v>#NAME?</v>
      </c>
      <c r="H1420" s="100" t="e">
        <f t="shared" ca="1" si="256"/>
        <v>#NAME?</v>
      </c>
      <c r="I1420" s="100" t="e">
        <f t="shared" ca="1" si="257"/>
        <v>#NAME?</v>
      </c>
      <c r="J1420" s="100" t="e">
        <f ca="1">IFERROR(__xludf.DUMMYFUNCTION("""COMPUTED_VALUE"""),"-3.574")</f>
        <v>#NAME?</v>
      </c>
      <c r="K1420" s="100" t="e">
        <f t="shared" ca="1" si="258"/>
        <v>#NAME?</v>
      </c>
      <c r="L1420" s="100"/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</row>
    <row r="1421" spans="1:26">
      <c r="A1421" s="100" t="e">
        <f ca="1">IFERROR(__xludf.DUMMYFUNCTION("""COMPUTED_VALUE"""),58784756)</f>
        <v>#NAME?</v>
      </c>
      <c r="B1421" s="100" t="e">
        <f ca="1">IFERROR(__xludf.DUMMYFUNCTION("""COMPUTED_VALUE"""),"SHIBUSDT")</f>
        <v>#NAME?</v>
      </c>
      <c r="C1421" s="100" t="e">
        <f ca="1">IFERROR(__xludf.DUMMYFUNCTION("""COMPUTED_VALUE"""),"0.00001252")</f>
        <v>#NAME?</v>
      </c>
      <c r="D1421" s="100" t="e">
        <f t="shared" ca="1" si="252"/>
        <v>#NAME?</v>
      </c>
      <c r="E1421" s="100" t="e">
        <f t="shared" ca="1" si="252"/>
        <v>#NAME?</v>
      </c>
      <c r="F1421" s="100" t="e">
        <f t="shared" ca="1" si="254"/>
        <v>#NAME?</v>
      </c>
      <c r="G1421" s="100" t="e">
        <f t="shared" ca="1" si="255"/>
        <v>#NAME?</v>
      </c>
      <c r="H1421" s="100" t="e">
        <f t="shared" ca="1" si="256"/>
        <v>#NAME?</v>
      </c>
      <c r="I1421" s="100" t="e">
        <f t="shared" ca="1" si="257"/>
        <v>#NAME?</v>
      </c>
      <c r="J1421" s="100" t="e">
        <f ca="1">IFERROR(__xludf.DUMMYFUNCTION("""COMPUTED_VALUE"""),"-0.871")</f>
        <v>#NAME?</v>
      </c>
      <c r="K1421" s="100" t="e">
        <f t="shared" ca="1" si="258"/>
        <v>#NAME?</v>
      </c>
      <c r="L1421" s="100"/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</row>
    <row r="1422" spans="1:26">
      <c r="A1422" s="100" t="e">
        <f ca="1">IFERROR(__xludf.DUMMYFUNCTION("""COMPUTED_VALUE"""),58784757)</f>
        <v>#NAME?</v>
      </c>
      <c r="B1422" s="100" t="e">
        <f ca="1">IFERROR(__xludf.DUMMYFUNCTION("""COMPUTED_VALUE"""),"SHIBBUSD")</f>
        <v>#NAME?</v>
      </c>
      <c r="C1422" s="100" t="e">
        <f ca="1">IFERROR(__xludf.DUMMYFUNCTION("""COMPUTED_VALUE"""),"0.00000931")</f>
        <v>#NAME?</v>
      </c>
      <c r="D1422" s="100" t="e">
        <f t="shared" ref="D1422:E1441" ca="1" si="259">IFERROR(__xludf.DUMMYFUNCTION("""COMPUTED_VALUE"""),"-")</f>
        <v>#NAME?</v>
      </c>
      <c r="E1422" s="100" t="e">
        <f t="shared" ca="1" si="259"/>
        <v>#NAME?</v>
      </c>
      <c r="F1422" s="100" t="e">
        <f t="shared" ca="1" si="254"/>
        <v>#NAME?</v>
      </c>
      <c r="G1422" s="100" t="e">
        <f t="shared" ca="1" si="255"/>
        <v>#NAME?</v>
      </c>
      <c r="H1422" s="100" t="e">
        <f t="shared" ca="1" si="256"/>
        <v>#NAME?</v>
      </c>
      <c r="I1422" s="100" t="e">
        <f t="shared" ca="1" si="257"/>
        <v>#NAME?</v>
      </c>
      <c r="J1422" s="100" t="e">
        <f ca="1">IFERROR(__xludf.DUMMYFUNCTION("""COMPUTED_VALUE"""),"0")</f>
        <v>#NAME?</v>
      </c>
      <c r="K1422" s="100" t="e">
        <f t="shared" ca="1" si="258"/>
        <v>#NAME?</v>
      </c>
      <c r="L1422" s="100"/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</row>
    <row r="1423" spans="1:26">
      <c r="A1423" s="100" t="e">
        <f ca="1">IFERROR(__xludf.DUMMYFUNCTION("""COMPUTED_VALUE"""),58784758)</f>
        <v>#NAME?</v>
      </c>
      <c r="B1423" s="100" t="e">
        <f ca="1">IFERROR(__xludf.DUMMYFUNCTION("""COMPUTED_VALUE"""),"ICPBTC")</f>
        <v>#NAME?</v>
      </c>
      <c r="C1423" s="100" t="e">
        <f ca="1">IFERROR(__xludf.DUMMYFUNCTION("""COMPUTED_VALUE"""),"0.00005270")</f>
        <v>#NAME?</v>
      </c>
      <c r="D1423" s="100" t="e">
        <f t="shared" ca="1" si="259"/>
        <v>#NAME?</v>
      </c>
      <c r="E1423" s="100" t="e">
        <f t="shared" ca="1" si="259"/>
        <v>#NAME?</v>
      </c>
      <c r="F1423" s="100" t="e">
        <f t="shared" ca="1" si="254"/>
        <v>#NAME?</v>
      </c>
      <c r="G1423" s="100" t="e">
        <f t="shared" ca="1" si="255"/>
        <v>#NAME?</v>
      </c>
      <c r="H1423" s="100" t="e">
        <f t="shared" ca="1" si="256"/>
        <v>#NAME?</v>
      </c>
      <c r="I1423" s="100" t="e">
        <f t="shared" ca="1" si="257"/>
        <v>#NAME?</v>
      </c>
      <c r="J1423" s="100" t="e">
        <f ca="1">IFERROR(__xludf.DUMMYFUNCTION("""COMPUTED_VALUE"""),"-7.544")</f>
        <v>#NAME?</v>
      </c>
      <c r="K1423" s="100" t="e">
        <f t="shared" ca="1" si="258"/>
        <v>#NAME?</v>
      </c>
      <c r="L1423" s="100"/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</row>
    <row r="1424" spans="1:26">
      <c r="A1424" s="100" t="e">
        <f ca="1">IFERROR(__xludf.DUMMYFUNCTION("""COMPUTED_VALUE"""),58784759)</f>
        <v>#NAME?</v>
      </c>
      <c r="B1424" s="100" t="e">
        <f ca="1">IFERROR(__xludf.DUMMYFUNCTION("""COMPUTED_VALUE"""),"ICPBNB")</f>
        <v>#NAME?</v>
      </c>
      <c r="C1424" s="100" t="e">
        <f ca="1">IFERROR(__xludf.DUMMYFUNCTION("""COMPUTED_VALUE"""),"0.01680000")</f>
        <v>#NAME?</v>
      </c>
      <c r="D1424" s="100" t="e">
        <f t="shared" ca="1" si="259"/>
        <v>#NAME?</v>
      </c>
      <c r="E1424" s="100" t="e">
        <f t="shared" ca="1" si="259"/>
        <v>#NAME?</v>
      </c>
      <c r="F1424" s="100" t="e">
        <f t="shared" ca="1" si="254"/>
        <v>#NAME?</v>
      </c>
      <c r="G1424" s="100" t="e">
        <f t="shared" ca="1" si="255"/>
        <v>#NAME?</v>
      </c>
      <c r="H1424" s="100" t="e">
        <f t="shared" ca="1" si="256"/>
        <v>#NAME?</v>
      </c>
      <c r="I1424" s="100" t="e">
        <f t="shared" ca="1" si="257"/>
        <v>#NAME?</v>
      </c>
      <c r="J1424" s="100" t="e">
        <f ca="1">IFERROR(__xludf.DUMMYFUNCTION("""COMPUTED_VALUE"""),"0")</f>
        <v>#NAME?</v>
      </c>
      <c r="K1424" s="100" t="e">
        <f t="shared" ca="1" si="258"/>
        <v>#NAME?</v>
      </c>
      <c r="L1424" s="100"/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</row>
    <row r="1425" spans="1:26">
      <c r="A1425" s="100" t="e">
        <f ca="1">IFERROR(__xludf.DUMMYFUNCTION("""COMPUTED_VALUE"""),58784760)</f>
        <v>#NAME?</v>
      </c>
      <c r="B1425" s="100" t="e">
        <f ca="1">IFERROR(__xludf.DUMMYFUNCTION("""COMPUTED_VALUE"""),"ICPBUSD")</f>
        <v>#NAME?</v>
      </c>
      <c r="C1425" s="100" t="e">
        <f ca="1">IFERROR(__xludf.DUMMYFUNCTION("""COMPUTED_VALUE"""),"3.89700000")</f>
        <v>#NAME?</v>
      </c>
      <c r="D1425" s="100" t="e">
        <f t="shared" ca="1" si="259"/>
        <v>#NAME?</v>
      </c>
      <c r="E1425" s="100" t="e">
        <f t="shared" ca="1" si="259"/>
        <v>#NAME?</v>
      </c>
      <c r="F1425" s="100" t="e">
        <f t="shared" ca="1" si="254"/>
        <v>#NAME?</v>
      </c>
      <c r="G1425" s="100" t="e">
        <f t="shared" ca="1" si="255"/>
        <v>#NAME?</v>
      </c>
      <c r="H1425" s="100" t="e">
        <f t="shared" ca="1" si="256"/>
        <v>#NAME?</v>
      </c>
      <c r="I1425" s="100" t="e">
        <f t="shared" ca="1" si="257"/>
        <v>#NAME?</v>
      </c>
      <c r="J1425" s="100" t="e">
        <f ca="1">IFERROR(__xludf.DUMMYFUNCTION("""COMPUTED_VALUE"""),"0")</f>
        <v>#NAME?</v>
      </c>
      <c r="K1425" s="100" t="e">
        <f t="shared" ca="1" si="258"/>
        <v>#NAME?</v>
      </c>
      <c r="L1425" s="100"/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</row>
    <row r="1426" spans="1:26">
      <c r="A1426" s="100" t="e">
        <f ca="1">IFERROR(__xludf.DUMMYFUNCTION("""COMPUTED_VALUE"""),58784761)</f>
        <v>#NAME?</v>
      </c>
      <c r="B1426" s="100" t="e">
        <f ca="1">IFERROR(__xludf.DUMMYFUNCTION("""COMPUTED_VALUE"""),"ICPUSDT")</f>
        <v>#NAME?</v>
      </c>
      <c r="C1426" s="100" t="e">
        <f ca="1">IFERROR(__xludf.DUMMYFUNCTION("""COMPUTED_VALUE"""),"4.67300000")</f>
        <v>#NAME?</v>
      </c>
      <c r="D1426" s="100" t="e">
        <f t="shared" ca="1" si="259"/>
        <v>#NAME?</v>
      </c>
      <c r="E1426" s="100" t="e">
        <f t="shared" ca="1" si="259"/>
        <v>#NAME?</v>
      </c>
      <c r="F1426" s="100" t="e">
        <f t="shared" ca="1" si="254"/>
        <v>#NAME?</v>
      </c>
      <c r="G1426" s="100" t="e">
        <f t="shared" ca="1" si="255"/>
        <v>#NAME?</v>
      </c>
      <c r="H1426" s="100" t="e">
        <f t="shared" ca="1" si="256"/>
        <v>#NAME?</v>
      </c>
      <c r="I1426" s="100" t="e">
        <f t="shared" ca="1" si="257"/>
        <v>#NAME?</v>
      </c>
      <c r="J1426" s="100" t="e">
        <f ca="1">IFERROR(__xludf.DUMMYFUNCTION("""COMPUTED_VALUE"""),"-6.202")</f>
        <v>#NAME?</v>
      </c>
      <c r="K1426" s="100" t="e">
        <f t="shared" ca="1" si="258"/>
        <v>#NAME?</v>
      </c>
      <c r="L1426" s="100"/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</row>
    <row r="1427" spans="1:26">
      <c r="A1427" s="100" t="e">
        <f ca="1">IFERROR(__xludf.DUMMYFUNCTION("""COMPUTED_VALUE"""),58784762)</f>
        <v>#NAME?</v>
      </c>
      <c r="B1427" s="100" t="e">
        <f ca="1">IFERROR(__xludf.DUMMYFUNCTION("""COMPUTED_VALUE"""),"SHIBEUR")</f>
        <v>#NAME?</v>
      </c>
      <c r="C1427" s="100" t="e">
        <f ca="1">IFERROR(__xludf.DUMMYFUNCTION("""COMPUTED_VALUE"""),"0.00001090")</f>
        <v>#NAME?</v>
      </c>
      <c r="D1427" s="100" t="e">
        <f t="shared" ca="1" si="259"/>
        <v>#NAME?</v>
      </c>
      <c r="E1427" s="100" t="e">
        <f t="shared" ca="1" si="259"/>
        <v>#NAME?</v>
      </c>
      <c r="F1427" s="100" t="e">
        <f t="shared" ca="1" si="254"/>
        <v>#NAME?</v>
      </c>
      <c r="G1427" s="100" t="e">
        <f t="shared" ca="1" si="255"/>
        <v>#NAME?</v>
      </c>
      <c r="H1427" s="100" t="e">
        <f t="shared" ca="1" si="256"/>
        <v>#NAME?</v>
      </c>
      <c r="I1427" s="100" t="e">
        <f t="shared" ca="1" si="257"/>
        <v>#NAME?</v>
      </c>
      <c r="J1427" s="100" t="e">
        <f ca="1">IFERROR(__xludf.DUMMYFUNCTION("""COMPUTED_VALUE"""),"-0.366")</f>
        <v>#NAME?</v>
      </c>
      <c r="K1427" s="100" t="e">
        <f t="shared" ca="1" si="258"/>
        <v>#NAME?</v>
      </c>
      <c r="L1427" s="100"/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</row>
    <row r="1428" spans="1:26">
      <c r="A1428" s="100" t="e">
        <f ca="1">IFERROR(__xludf.DUMMYFUNCTION("""COMPUTED_VALUE"""),58784763)</f>
        <v>#NAME?</v>
      </c>
      <c r="B1428" s="100" t="e">
        <f ca="1">IFERROR(__xludf.DUMMYFUNCTION("""COMPUTED_VALUE"""),"SHIBRUB")</f>
        <v>#NAME?</v>
      </c>
      <c r="C1428" s="100" t="e">
        <f ca="1">IFERROR(__xludf.DUMMYFUNCTION("""COMPUTED_VALUE"""),"0.00000000")</f>
        <v>#NAME?</v>
      </c>
      <c r="D1428" s="100" t="e">
        <f t="shared" ca="1" si="259"/>
        <v>#NAME?</v>
      </c>
      <c r="E1428" s="100" t="e">
        <f t="shared" ca="1" si="259"/>
        <v>#NAME?</v>
      </c>
      <c r="F1428" s="100" t="e">
        <f t="shared" ca="1" si="254"/>
        <v>#NAME?</v>
      </c>
      <c r="G1428" s="100" t="e">
        <f t="shared" ca="1" si="255"/>
        <v>#NAME?</v>
      </c>
      <c r="H1428" s="100" t="e">
        <f t="shared" ca="1" si="256"/>
        <v>#NAME?</v>
      </c>
      <c r="I1428" s="100" t="e">
        <f t="shared" ca="1" si="257"/>
        <v>#NAME?</v>
      </c>
      <c r="J1428" s="100" t="e">
        <f ca="1">IFERROR(__xludf.DUMMYFUNCTION("""COMPUTED_VALUE"""),"0")</f>
        <v>#NAME?</v>
      </c>
      <c r="K1428" s="100" t="e">
        <f t="shared" ca="1" si="258"/>
        <v>#NAME?</v>
      </c>
      <c r="L1428" s="100"/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</row>
    <row r="1429" spans="1:26">
      <c r="A1429" s="100" t="e">
        <f ca="1">IFERROR(__xludf.DUMMYFUNCTION("""COMPUTED_VALUE"""),58784764)</f>
        <v>#NAME?</v>
      </c>
      <c r="B1429" s="100" t="e">
        <f ca="1">IFERROR(__xludf.DUMMYFUNCTION("""COMPUTED_VALUE"""),"ETCEUR")</f>
        <v>#NAME?</v>
      </c>
      <c r="C1429" s="100" t="e">
        <f ca="1">IFERROR(__xludf.DUMMYFUNCTION("""COMPUTED_VALUE"""),"20.00000000")</f>
        <v>#NAME?</v>
      </c>
      <c r="D1429" s="100" t="e">
        <f t="shared" ca="1" si="259"/>
        <v>#NAME?</v>
      </c>
      <c r="E1429" s="100" t="e">
        <f t="shared" ca="1" si="259"/>
        <v>#NAME?</v>
      </c>
      <c r="F1429" s="100" t="e">
        <f t="shared" ca="1" si="254"/>
        <v>#NAME?</v>
      </c>
      <c r="G1429" s="100" t="e">
        <f t="shared" ca="1" si="255"/>
        <v>#NAME?</v>
      </c>
      <c r="H1429" s="100" t="e">
        <f t="shared" ca="1" si="256"/>
        <v>#NAME?</v>
      </c>
      <c r="I1429" s="100" t="e">
        <f t="shared" ca="1" si="257"/>
        <v>#NAME?</v>
      </c>
      <c r="J1429" s="100" t="e">
        <f ca="1">IFERROR(__xludf.DUMMYFUNCTION("""COMPUTED_VALUE"""),"0")</f>
        <v>#NAME?</v>
      </c>
      <c r="K1429" s="100" t="e">
        <f t="shared" ca="1" si="258"/>
        <v>#NAME?</v>
      </c>
      <c r="L1429" s="100"/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</row>
    <row r="1430" spans="1:26">
      <c r="A1430" s="100" t="e">
        <f ca="1">IFERROR(__xludf.DUMMYFUNCTION("""COMPUTED_VALUE"""),58784765)</f>
        <v>#NAME?</v>
      </c>
      <c r="B1430" s="100" t="e">
        <f ca="1">IFERROR(__xludf.DUMMYFUNCTION("""COMPUTED_VALUE"""),"ETCBRL")</f>
        <v>#NAME?</v>
      </c>
      <c r="C1430" s="100" t="e">
        <f ca="1">IFERROR(__xludf.DUMMYFUNCTION("""COMPUTED_VALUE"""),"0.00000000")</f>
        <v>#NAME?</v>
      </c>
      <c r="D1430" s="100" t="e">
        <f t="shared" ca="1" si="259"/>
        <v>#NAME?</v>
      </c>
      <c r="E1430" s="100" t="e">
        <f t="shared" ca="1" si="259"/>
        <v>#NAME?</v>
      </c>
      <c r="F1430" s="100" t="e">
        <f t="shared" ca="1" si="254"/>
        <v>#NAME?</v>
      </c>
      <c r="G1430" s="100" t="e">
        <f t="shared" ca="1" si="255"/>
        <v>#NAME?</v>
      </c>
      <c r="H1430" s="100" t="e">
        <f t="shared" ca="1" si="256"/>
        <v>#NAME?</v>
      </c>
      <c r="I1430" s="100" t="e">
        <f t="shared" ca="1" si="257"/>
        <v>#NAME?</v>
      </c>
      <c r="J1430" s="100" t="e">
        <f ca="1">IFERROR(__xludf.DUMMYFUNCTION("""COMPUTED_VALUE"""),"0")</f>
        <v>#NAME?</v>
      </c>
      <c r="K1430" s="100" t="e">
        <f t="shared" ca="1" si="258"/>
        <v>#NAME?</v>
      </c>
      <c r="L1430" s="100"/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</row>
    <row r="1431" spans="1:26">
      <c r="A1431" s="100" t="e">
        <f ca="1">IFERROR(__xludf.DUMMYFUNCTION("""COMPUTED_VALUE"""),58784766)</f>
        <v>#NAME?</v>
      </c>
      <c r="B1431" s="100" t="e">
        <f ca="1">IFERROR(__xludf.DUMMYFUNCTION("""COMPUTED_VALUE"""),"DOGEBIDR")</f>
        <v>#NAME?</v>
      </c>
      <c r="C1431" s="100" t="e">
        <f ca="1">IFERROR(__xludf.DUMMYFUNCTION("""COMPUTED_VALUE"""),"955.00")</f>
        <v>#NAME?</v>
      </c>
      <c r="D1431" s="100" t="e">
        <f t="shared" ca="1" si="259"/>
        <v>#NAME?</v>
      </c>
      <c r="E1431" s="100" t="e">
        <f t="shared" ca="1" si="259"/>
        <v>#NAME?</v>
      </c>
      <c r="F1431" s="100" t="e">
        <f t="shared" ca="1" si="254"/>
        <v>#NAME?</v>
      </c>
      <c r="G1431" s="100" t="e">
        <f t="shared" ca="1" si="255"/>
        <v>#NAME?</v>
      </c>
      <c r="H1431" s="100" t="e">
        <f t="shared" ca="1" si="256"/>
        <v>#NAME?</v>
      </c>
      <c r="I1431" s="100" t="e">
        <f t="shared" ca="1" si="257"/>
        <v>#NAME?</v>
      </c>
      <c r="J1431" s="100" t="e">
        <f ca="1">IFERROR(__xludf.DUMMYFUNCTION("""COMPUTED_VALUE"""),"0")</f>
        <v>#NAME?</v>
      </c>
      <c r="K1431" s="100" t="e">
        <f t="shared" ca="1" si="258"/>
        <v>#NAME?</v>
      </c>
      <c r="L1431" s="100"/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</row>
    <row r="1432" spans="1:26">
      <c r="A1432" s="100" t="e">
        <f ca="1">IFERROR(__xludf.DUMMYFUNCTION("""COMPUTED_VALUE"""),58784767)</f>
        <v>#NAME?</v>
      </c>
      <c r="B1432" s="100" t="e">
        <f ca="1">IFERROR(__xludf.DUMMYFUNCTION("""COMPUTED_VALUE"""),"ARBTC")</f>
        <v>#NAME?</v>
      </c>
      <c r="C1432" s="100" t="e">
        <f ca="1">IFERROR(__xludf.DUMMYFUNCTION("""COMPUTED_VALUE"""),"0.00006260")</f>
        <v>#NAME?</v>
      </c>
      <c r="D1432" s="100" t="e">
        <f t="shared" ca="1" si="259"/>
        <v>#NAME?</v>
      </c>
      <c r="E1432" s="100" t="e">
        <f t="shared" ca="1" si="259"/>
        <v>#NAME?</v>
      </c>
      <c r="F1432" s="100" t="e">
        <f t="shared" ca="1" si="254"/>
        <v>#NAME?</v>
      </c>
      <c r="G1432" s="100" t="e">
        <f t="shared" ca="1" si="255"/>
        <v>#NAME?</v>
      </c>
      <c r="H1432" s="100" t="e">
        <f t="shared" ca="1" si="256"/>
        <v>#NAME?</v>
      </c>
      <c r="I1432" s="100" t="e">
        <f t="shared" ca="1" si="257"/>
        <v>#NAME?</v>
      </c>
      <c r="J1432" s="100" t="e">
        <f ca="1">IFERROR(__xludf.DUMMYFUNCTION("""COMPUTED_VALUE"""),"-2.946")</f>
        <v>#NAME?</v>
      </c>
      <c r="K1432" s="100" t="e">
        <f t="shared" ca="1" si="258"/>
        <v>#NAME?</v>
      </c>
      <c r="L1432" s="100"/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</row>
    <row r="1433" spans="1:26">
      <c r="A1433" s="100" t="e">
        <f ca="1">IFERROR(__xludf.DUMMYFUNCTION("""COMPUTED_VALUE"""),58784768)</f>
        <v>#NAME?</v>
      </c>
      <c r="B1433" s="100" t="e">
        <f ca="1">IFERROR(__xludf.DUMMYFUNCTION("""COMPUTED_VALUE"""),"ARBNB")</f>
        <v>#NAME?</v>
      </c>
      <c r="C1433" s="100" t="e">
        <f ca="1">IFERROR(__xludf.DUMMYFUNCTION("""COMPUTED_VALUE"""),"0.02183000")</f>
        <v>#NAME?</v>
      </c>
      <c r="D1433" s="100" t="e">
        <f t="shared" ca="1" si="259"/>
        <v>#NAME?</v>
      </c>
      <c r="E1433" s="100" t="e">
        <f t="shared" ca="1" si="259"/>
        <v>#NAME?</v>
      </c>
      <c r="F1433" s="100" t="e">
        <f t="shared" ca="1" si="254"/>
        <v>#NAME?</v>
      </c>
      <c r="G1433" s="100" t="e">
        <f t="shared" ca="1" si="255"/>
        <v>#NAME?</v>
      </c>
      <c r="H1433" s="100" t="e">
        <f t="shared" ca="1" si="256"/>
        <v>#NAME?</v>
      </c>
      <c r="I1433" s="100" t="e">
        <f t="shared" ca="1" si="257"/>
        <v>#NAME?</v>
      </c>
      <c r="J1433" s="100" t="e">
        <f ca="1">IFERROR(__xludf.DUMMYFUNCTION("""COMPUTED_VALUE"""),"0")</f>
        <v>#NAME?</v>
      </c>
      <c r="K1433" s="100" t="e">
        <f t="shared" ca="1" si="258"/>
        <v>#NAME?</v>
      </c>
      <c r="L1433" s="100"/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</row>
    <row r="1434" spans="1:26">
      <c r="A1434" s="100" t="e">
        <f ca="1">IFERROR(__xludf.DUMMYFUNCTION("""COMPUTED_VALUE"""),58784769)</f>
        <v>#NAME?</v>
      </c>
      <c r="B1434" s="100" t="e">
        <f ca="1">IFERROR(__xludf.DUMMYFUNCTION("""COMPUTED_VALUE"""),"ARBUSD")</f>
        <v>#NAME?</v>
      </c>
      <c r="C1434" s="100" t="e">
        <f ca="1">IFERROR(__xludf.DUMMYFUNCTION("""COMPUTED_VALUE"""),"3.85200000")</f>
        <v>#NAME?</v>
      </c>
      <c r="D1434" s="100" t="e">
        <f t="shared" ca="1" si="259"/>
        <v>#NAME?</v>
      </c>
      <c r="E1434" s="100" t="e">
        <f t="shared" ca="1" si="259"/>
        <v>#NAME?</v>
      </c>
      <c r="F1434" s="100" t="e">
        <f t="shared" ca="1" si="254"/>
        <v>#NAME?</v>
      </c>
      <c r="G1434" s="100" t="e">
        <f t="shared" ca="1" si="255"/>
        <v>#NAME?</v>
      </c>
      <c r="H1434" s="100" t="e">
        <f t="shared" ca="1" si="256"/>
        <v>#NAME?</v>
      </c>
      <c r="I1434" s="100" t="e">
        <f t="shared" ca="1" si="257"/>
        <v>#NAME?</v>
      </c>
      <c r="J1434" s="100" t="e">
        <f ca="1">IFERROR(__xludf.DUMMYFUNCTION("""COMPUTED_VALUE"""),"0")</f>
        <v>#NAME?</v>
      </c>
      <c r="K1434" s="100" t="e">
        <f t="shared" ca="1" si="258"/>
        <v>#NAME?</v>
      </c>
      <c r="L1434" s="100"/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</row>
    <row r="1435" spans="1:26">
      <c r="A1435" s="100" t="e">
        <f ca="1">IFERROR(__xludf.DUMMYFUNCTION("""COMPUTED_VALUE"""),58784770)</f>
        <v>#NAME?</v>
      </c>
      <c r="B1435" s="100" t="e">
        <f ca="1">IFERROR(__xludf.DUMMYFUNCTION("""COMPUTED_VALUE"""),"ARUSDT")</f>
        <v>#NAME?</v>
      </c>
      <c r="C1435" s="100" t="e">
        <f ca="1">IFERROR(__xludf.DUMMYFUNCTION("""COMPUTED_VALUE"""),"5.55000000")</f>
        <v>#NAME?</v>
      </c>
      <c r="D1435" s="100" t="e">
        <f t="shared" ca="1" si="259"/>
        <v>#NAME?</v>
      </c>
      <c r="E1435" s="100" t="e">
        <f t="shared" ca="1" si="259"/>
        <v>#NAME?</v>
      </c>
      <c r="F1435" s="100" t="e">
        <f t="shared" ca="1" si="254"/>
        <v>#NAME?</v>
      </c>
      <c r="G1435" s="100" t="e">
        <f t="shared" ca="1" si="255"/>
        <v>#NAME?</v>
      </c>
      <c r="H1435" s="100" t="e">
        <f t="shared" ca="1" si="256"/>
        <v>#NAME?</v>
      </c>
      <c r="I1435" s="100" t="e">
        <f t="shared" ca="1" si="257"/>
        <v>#NAME?</v>
      </c>
      <c r="J1435" s="100" t="e">
        <f ca="1">IFERROR(__xludf.DUMMYFUNCTION("""COMPUTED_VALUE"""),"-1.421")</f>
        <v>#NAME?</v>
      </c>
      <c r="K1435" s="100" t="e">
        <f t="shared" ca="1" si="258"/>
        <v>#NAME?</v>
      </c>
      <c r="L1435" s="100"/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</row>
    <row r="1436" spans="1:26">
      <c r="A1436" s="100" t="e">
        <f ca="1">IFERROR(__xludf.DUMMYFUNCTION("""COMPUTED_VALUE"""),58784771)</f>
        <v>#NAME?</v>
      </c>
      <c r="B1436" s="100" t="e">
        <f ca="1">IFERROR(__xludf.DUMMYFUNCTION("""COMPUTED_VALUE"""),"POLSBTC")</f>
        <v>#NAME?</v>
      </c>
      <c r="C1436" s="100" t="e">
        <f ca="1">IFERROR(__xludf.DUMMYFUNCTION("""COMPUTED_VALUE"""),"0.00001859")</f>
        <v>#NAME?</v>
      </c>
      <c r="D1436" s="100" t="e">
        <f t="shared" ca="1" si="259"/>
        <v>#NAME?</v>
      </c>
      <c r="E1436" s="100" t="e">
        <f t="shared" ca="1" si="259"/>
        <v>#NAME?</v>
      </c>
      <c r="F1436" s="100" t="e">
        <f t="shared" ca="1" si="254"/>
        <v>#NAME?</v>
      </c>
      <c r="G1436" s="100" t="e">
        <f t="shared" ca="1" si="255"/>
        <v>#NAME?</v>
      </c>
      <c r="H1436" s="100" t="e">
        <f t="shared" ca="1" si="256"/>
        <v>#NAME?</v>
      </c>
      <c r="I1436" s="100" t="e">
        <f t="shared" ca="1" si="257"/>
        <v>#NAME?</v>
      </c>
      <c r="J1436" s="100" t="e">
        <f t="shared" ref="J1436:J1443" ca="1" si="260">IFERROR(__xludf.DUMMYFUNCTION("""COMPUTED_VALUE"""),"0")</f>
        <v>#NAME?</v>
      </c>
      <c r="K1436" s="100" t="e">
        <f t="shared" ca="1" si="258"/>
        <v>#NAME?</v>
      </c>
      <c r="L1436" s="100"/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</row>
    <row r="1437" spans="1:26">
      <c r="A1437" s="100" t="e">
        <f ca="1">IFERROR(__xludf.DUMMYFUNCTION("""COMPUTED_VALUE"""),58784772)</f>
        <v>#NAME?</v>
      </c>
      <c r="B1437" s="100" t="e">
        <f ca="1">IFERROR(__xludf.DUMMYFUNCTION("""COMPUTED_VALUE"""),"POLSBNB")</f>
        <v>#NAME?</v>
      </c>
      <c r="C1437" s="100" t="e">
        <f ca="1">IFERROR(__xludf.DUMMYFUNCTION("""COMPUTED_VALUE"""),"0.00265000")</f>
        <v>#NAME?</v>
      </c>
      <c r="D1437" s="100" t="e">
        <f t="shared" ca="1" si="259"/>
        <v>#NAME?</v>
      </c>
      <c r="E1437" s="100" t="e">
        <f t="shared" ca="1" si="259"/>
        <v>#NAME?</v>
      </c>
      <c r="F1437" s="100" t="e">
        <f t="shared" ca="1" si="254"/>
        <v>#NAME?</v>
      </c>
      <c r="G1437" s="100" t="e">
        <f t="shared" ca="1" si="255"/>
        <v>#NAME?</v>
      </c>
      <c r="H1437" s="100" t="e">
        <f t="shared" ca="1" si="256"/>
        <v>#NAME?</v>
      </c>
      <c r="I1437" s="100" t="e">
        <f t="shared" ca="1" si="257"/>
        <v>#NAME?</v>
      </c>
      <c r="J1437" s="100" t="e">
        <f t="shared" ca="1" si="260"/>
        <v>#NAME?</v>
      </c>
      <c r="K1437" s="100" t="e">
        <f t="shared" ca="1" si="258"/>
        <v>#NAME?</v>
      </c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</row>
    <row r="1438" spans="1:26">
      <c r="A1438" s="100" t="e">
        <f ca="1">IFERROR(__xludf.DUMMYFUNCTION("""COMPUTED_VALUE"""),58784773)</f>
        <v>#NAME?</v>
      </c>
      <c r="B1438" s="100" t="e">
        <f ca="1">IFERROR(__xludf.DUMMYFUNCTION("""COMPUTED_VALUE"""),"POLSBUSD")</f>
        <v>#NAME?</v>
      </c>
      <c r="C1438" s="100" t="e">
        <f ca="1">IFERROR(__xludf.DUMMYFUNCTION("""COMPUTED_VALUE"""),"0.25670000")</f>
        <v>#NAME?</v>
      </c>
      <c r="D1438" s="100" t="e">
        <f t="shared" ca="1" si="259"/>
        <v>#NAME?</v>
      </c>
      <c r="E1438" s="100" t="e">
        <f t="shared" ca="1" si="259"/>
        <v>#NAME?</v>
      </c>
      <c r="F1438" s="100" t="e">
        <f t="shared" ca="1" si="254"/>
        <v>#NAME?</v>
      </c>
      <c r="G1438" s="100" t="e">
        <f t="shared" ca="1" si="255"/>
        <v>#NAME?</v>
      </c>
      <c r="H1438" s="100" t="e">
        <f t="shared" ca="1" si="256"/>
        <v>#NAME?</v>
      </c>
      <c r="I1438" s="100" t="e">
        <f t="shared" ca="1" si="257"/>
        <v>#NAME?</v>
      </c>
      <c r="J1438" s="100" t="e">
        <f t="shared" ca="1" si="260"/>
        <v>#NAME?</v>
      </c>
      <c r="K1438" s="100" t="e">
        <f t="shared" ca="1" si="258"/>
        <v>#NAME?</v>
      </c>
      <c r="L1438" s="100"/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</row>
    <row r="1439" spans="1:26">
      <c r="A1439" s="100" t="e">
        <f ca="1">IFERROR(__xludf.DUMMYFUNCTION("""COMPUTED_VALUE"""),58784774)</f>
        <v>#NAME?</v>
      </c>
      <c r="B1439" s="100" t="e">
        <f ca="1">IFERROR(__xludf.DUMMYFUNCTION("""COMPUTED_VALUE"""),"POLSUSDT")</f>
        <v>#NAME?</v>
      </c>
      <c r="C1439" s="100" t="e">
        <f ca="1">IFERROR(__xludf.DUMMYFUNCTION("""COMPUTED_VALUE"""),"0.30790000")</f>
        <v>#NAME?</v>
      </c>
      <c r="D1439" s="100" t="e">
        <f t="shared" ca="1" si="259"/>
        <v>#NAME?</v>
      </c>
      <c r="E1439" s="100" t="e">
        <f t="shared" ca="1" si="259"/>
        <v>#NAME?</v>
      </c>
      <c r="F1439" s="100" t="e">
        <f t="shared" ca="1" si="254"/>
        <v>#NAME?</v>
      </c>
      <c r="G1439" s="100" t="e">
        <f t="shared" ca="1" si="255"/>
        <v>#NAME?</v>
      </c>
      <c r="H1439" s="100" t="e">
        <f t="shared" ca="1" si="256"/>
        <v>#NAME?</v>
      </c>
      <c r="I1439" s="100" t="e">
        <f t="shared" ca="1" si="257"/>
        <v>#NAME?</v>
      </c>
      <c r="J1439" s="100" t="e">
        <f t="shared" ca="1" si="260"/>
        <v>#NAME?</v>
      </c>
      <c r="K1439" s="100" t="e">
        <f t="shared" ca="1" si="258"/>
        <v>#NAME?</v>
      </c>
      <c r="L1439" s="100"/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</row>
    <row r="1440" spans="1:26">
      <c r="A1440" s="100" t="e">
        <f ca="1">IFERROR(__xludf.DUMMYFUNCTION("""COMPUTED_VALUE"""),58784775)</f>
        <v>#NAME?</v>
      </c>
      <c r="B1440" s="100" t="e">
        <f ca="1">IFERROR(__xludf.DUMMYFUNCTION("""COMPUTED_VALUE"""),"MDXBTC")</f>
        <v>#NAME?</v>
      </c>
      <c r="C1440" s="100" t="e">
        <f ca="1">IFERROR(__xludf.DUMMYFUNCTION("""COMPUTED_VALUE"""),"0.00000077")</f>
        <v>#NAME?</v>
      </c>
      <c r="D1440" s="100" t="e">
        <f t="shared" ca="1" si="259"/>
        <v>#NAME?</v>
      </c>
      <c r="E1440" s="100" t="e">
        <f t="shared" ca="1" si="259"/>
        <v>#NAME?</v>
      </c>
      <c r="F1440" s="100" t="e">
        <f t="shared" ca="1" si="254"/>
        <v>#NAME?</v>
      </c>
      <c r="G1440" s="100" t="e">
        <f t="shared" ca="1" si="255"/>
        <v>#NAME?</v>
      </c>
      <c r="H1440" s="100" t="e">
        <f t="shared" ca="1" si="256"/>
        <v>#NAME?</v>
      </c>
      <c r="I1440" s="100" t="e">
        <f t="shared" ca="1" si="257"/>
        <v>#NAME?</v>
      </c>
      <c r="J1440" s="100" t="e">
        <f t="shared" ca="1" si="260"/>
        <v>#NAME?</v>
      </c>
      <c r="K1440" s="100" t="e">
        <f t="shared" ca="1" si="258"/>
        <v>#NAME?</v>
      </c>
      <c r="L1440" s="100"/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</row>
    <row r="1441" spans="1:26">
      <c r="A1441" s="100" t="e">
        <f ca="1">IFERROR(__xludf.DUMMYFUNCTION("""COMPUTED_VALUE"""),58784776)</f>
        <v>#NAME?</v>
      </c>
      <c r="B1441" s="100" t="e">
        <f ca="1">IFERROR(__xludf.DUMMYFUNCTION("""COMPUTED_VALUE"""),"MDXBNB")</f>
        <v>#NAME?</v>
      </c>
      <c r="C1441" s="100" t="e">
        <f ca="1">IFERROR(__xludf.DUMMYFUNCTION("""COMPUTED_VALUE"""),"0.00000000")</f>
        <v>#NAME?</v>
      </c>
      <c r="D1441" s="100" t="e">
        <f t="shared" ca="1" si="259"/>
        <v>#NAME?</v>
      </c>
      <c r="E1441" s="100" t="e">
        <f t="shared" ca="1" si="259"/>
        <v>#NAME?</v>
      </c>
      <c r="F1441" s="100" t="e">
        <f t="shared" ca="1" si="254"/>
        <v>#NAME?</v>
      </c>
      <c r="G1441" s="100" t="e">
        <f t="shared" ca="1" si="255"/>
        <v>#NAME?</v>
      </c>
      <c r="H1441" s="100" t="e">
        <f t="shared" ca="1" si="256"/>
        <v>#NAME?</v>
      </c>
      <c r="I1441" s="100" t="e">
        <f t="shared" ca="1" si="257"/>
        <v>#NAME?</v>
      </c>
      <c r="J1441" s="100" t="e">
        <f t="shared" ca="1" si="260"/>
        <v>#NAME?</v>
      </c>
      <c r="K1441" s="100" t="e">
        <f t="shared" ca="1" si="258"/>
        <v>#NAME?</v>
      </c>
      <c r="L1441" s="100"/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</row>
    <row r="1442" spans="1:26">
      <c r="A1442" s="100" t="e">
        <f ca="1">IFERROR(__xludf.DUMMYFUNCTION("""COMPUTED_VALUE"""),58784777)</f>
        <v>#NAME?</v>
      </c>
      <c r="B1442" s="100" t="e">
        <f ca="1">IFERROR(__xludf.DUMMYFUNCTION("""COMPUTED_VALUE"""),"MDXBUSD")</f>
        <v>#NAME?</v>
      </c>
      <c r="C1442" s="100" t="e">
        <f ca="1">IFERROR(__xludf.DUMMYFUNCTION("""COMPUTED_VALUE"""),"0.06440000")</f>
        <v>#NAME?</v>
      </c>
      <c r="D1442" s="100" t="e">
        <f t="shared" ref="D1442:E1461" ca="1" si="261">IFERROR(__xludf.DUMMYFUNCTION("""COMPUTED_VALUE"""),"-")</f>
        <v>#NAME?</v>
      </c>
      <c r="E1442" s="100" t="e">
        <f t="shared" ca="1" si="261"/>
        <v>#NAME?</v>
      </c>
      <c r="F1442" s="100" t="e">
        <f t="shared" ca="1" si="254"/>
        <v>#NAME?</v>
      </c>
      <c r="G1442" s="100" t="e">
        <f t="shared" ca="1" si="255"/>
        <v>#NAME?</v>
      </c>
      <c r="H1442" s="100" t="e">
        <f t="shared" ca="1" si="256"/>
        <v>#NAME?</v>
      </c>
      <c r="I1442" s="100" t="e">
        <f t="shared" ca="1" si="257"/>
        <v>#NAME?</v>
      </c>
      <c r="J1442" s="100" t="e">
        <f t="shared" ca="1" si="260"/>
        <v>#NAME?</v>
      </c>
      <c r="K1442" s="100" t="e">
        <f t="shared" ca="1" si="258"/>
        <v>#NAME?</v>
      </c>
      <c r="L1442" s="100"/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</row>
    <row r="1443" spans="1:26">
      <c r="A1443" s="100" t="e">
        <f ca="1">IFERROR(__xludf.DUMMYFUNCTION("""COMPUTED_VALUE"""),58784778)</f>
        <v>#NAME?</v>
      </c>
      <c r="B1443" s="100" t="e">
        <f ca="1">IFERROR(__xludf.DUMMYFUNCTION("""COMPUTED_VALUE"""),"MDXUSDT")</f>
        <v>#NAME?</v>
      </c>
      <c r="C1443" s="100" t="e">
        <f ca="1">IFERROR(__xludf.DUMMYFUNCTION("""COMPUTED_VALUE"""),"0.03450000")</f>
        <v>#NAME?</v>
      </c>
      <c r="D1443" s="100" t="e">
        <f t="shared" ca="1" si="261"/>
        <v>#NAME?</v>
      </c>
      <c r="E1443" s="100" t="e">
        <f t="shared" ca="1" si="261"/>
        <v>#NAME?</v>
      </c>
      <c r="F1443" s="100" t="e">
        <f t="shared" ca="1" si="254"/>
        <v>#NAME?</v>
      </c>
      <c r="G1443" s="100" t="e">
        <f t="shared" ca="1" si="255"/>
        <v>#NAME?</v>
      </c>
      <c r="H1443" s="100" t="e">
        <f t="shared" ca="1" si="256"/>
        <v>#NAME?</v>
      </c>
      <c r="I1443" s="100" t="e">
        <f t="shared" ca="1" si="257"/>
        <v>#NAME?</v>
      </c>
      <c r="J1443" s="100" t="e">
        <f t="shared" ca="1" si="260"/>
        <v>#NAME?</v>
      </c>
      <c r="K1443" s="100" t="e">
        <f t="shared" ca="1" si="258"/>
        <v>#NAME?</v>
      </c>
      <c r="L1443" s="100"/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</row>
    <row r="1444" spans="1:26">
      <c r="A1444" s="100" t="e">
        <f ca="1">IFERROR(__xludf.DUMMYFUNCTION("""COMPUTED_VALUE"""),58784779)</f>
        <v>#NAME?</v>
      </c>
      <c r="B1444" s="100" t="e">
        <f ca="1">IFERROR(__xludf.DUMMYFUNCTION("""COMPUTED_VALUE"""),"MASKBNB")</f>
        <v>#NAME?</v>
      </c>
      <c r="C1444" s="100" t="e">
        <f ca="1">IFERROR(__xludf.DUMMYFUNCTION("""COMPUTED_VALUE"""),"0.00174300")</f>
        <v>#NAME?</v>
      </c>
      <c r="D1444" s="100" t="e">
        <f t="shared" ca="1" si="261"/>
        <v>#NAME?</v>
      </c>
      <c r="E1444" s="100" t="e">
        <f t="shared" ca="1" si="261"/>
        <v>#NAME?</v>
      </c>
      <c r="F1444" s="100" t="e">
        <f t="shared" ca="1" si="254"/>
        <v>#NAME?</v>
      </c>
      <c r="G1444" s="100" t="e">
        <f t="shared" ca="1" si="255"/>
        <v>#NAME?</v>
      </c>
      <c r="H1444" s="100" t="e">
        <f t="shared" ca="1" si="256"/>
        <v>#NAME?</v>
      </c>
      <c r="I1444" s="100" t="e">
        <f t="shared" ca="1" si="257"/>
        <v>#NAME?</v>
      </c>
      <c r="J1444" s="100" t="e">
        <f ca="1">IFERROR(__xludf.DUMMYFUNCTION("""COMPUTED_VALUE"""),"-3.381")</f>
        <v>#NAME?</v>
      </c>
      <c r="K1444" s="100" t="e">
        <f t="shared" ca="1" si="258"/>
        <v>#NAME?</v>
      </c>
      <c r="L1444" s="100"/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</row>
    <row r="1445" spans="1:26">
      <c r="A1445" s="100" t="e">
        <f ca="1">IFERROR(__xludf.DUMMYFUNCTION("""COMPUTED_VALUE"""),58784780)</f>
        <v>#NAME?</v>
      </c>
      <c r="B1445" s="100" t="e">
        <f ca="1">IFERROR(__xludf.DUMMYFUNCTION("""COMPUTED_VALUE"""),"MASKBUSD")</f>
        <v>#NAME?</v>
      </c>
      <c r="C1445" s="100" t="e">
        <f ca="1">IFERROR(__xludf.DUMMYFUNCTION("""COMPUTED_VALUE"""),"3.58700000")</f>
        <v>#NAME?</v>
      </c>
      <c r="D1445" s="100" t="e">
        <f t="shared" ca="1" si="261"/>
        <v>#NAME?</v>
      </c>
      <c r="E1445" s="100" t="e">
        <f t="shared" ca="1" si="261"/>
        <v>#NAME?</v>
      </c>
      <c r="F1445" s="100" t="e">
        <f t="shared" ca="1" si="254"/>
        <v>#NAME?</v>
      </c>
      <c r="G1445" s="100" t="e">
        <f t="shared" ca="1" si="255"/>
        <v>#NAME?</v>
      </c>
      <c r="H1445" s="100" t="e">
        <f t="shared" ca="1" si="256"/>
        <v>#NAME?</v>
      </c>
      <c r="I1445" s="100" t="e">
        <f t="shared" ca="1" si="257"/>
        <v>#NAME?</v>
      </c>
      <c r="J1445" s="100" t="e">
        <f ca="1">IFERROR(__xludf.DUMMYFUNCTION("""COMPUTED_VALUE"""),"0")</f>
        <v>#NAME?</v>
      </c>
      <c r="K1445" s="100" t="e">
        <f t="shared" ca="1" si="258"/>
        <v>#NAME?</v>
      </c>
      <c r="L1445" s="100"/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</row>
    <row r="1446" spans="1:26">
      <c r="A1446" s="100" t="e">
        <f ca="1">IFERROR(__xludf.DUMMYFUNCTION("""COMPUTED_VALUE"""),58784781)</f>
        <v>#NAME?</v>
      </c>
      <c r="B1446" s="100" t="e">
        <f ca="1">IFERROR(__xludf.DUMMYFUNCTION("""COMPUTED_VALUE"""),"MASKUSDT")</f>
        <v>#NAME?</v>
      </c>
      <c r="C1446" s="100" t="e">
        <f ca="1">IFERROR(__xludf.DUMMYFUNCTION("""COMPUTED_VALUE"""),"1.05800000")</f>
        <v>#NAME?</v>
      </c>
      <c r="D1446" s="100" t="e">
        <f t="shared" ca="1" si="261"/>
        <v>#NAME?</v>
      </c>
      <c r="E1446" s="100" t="e">
        <f t="shared" ca="1" si="261"/>
        <v>#NAME?</v>
      </c>
      <c r="F1446" s="100" t="e">
        <f t="shared" ca="1" si="254"/>
        <v>#NAME?</v>
      </c>
      <c r="G1446" s="100" t="e">
        <f t="shared" ca="1" si="255"/>
        <v>#NAME?</v>
      </c>
      <c r="H1446" s="100" t="e">
        <f t="shared" ca="1" si="256"/>
        <v>#NAME?</v>
      </c>
      <c r="I1446" s="100" t="e">
        <f t="shared" ca="1" si="257"/>
        <v>#NAME?</v>
      </c>
      <c r="J1446" s="100" t="e">
        <f ca="1">IFERROR(__xludf.DUMMYFUNCTION("""COMPUTED_VALUE"""),"-2.757")</f>
        <v>#NAME?</v>
      </c>
      <c r="K1446" s="100" t="e">
        <f t="shared" ca="1" si="258"/>
        <v>#NAME?</v>
      </c>
      <c r="L1446" s="100"/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</row>
    <row r="1447" spans="1:26">
      <c r="A1447" s="100" t="e">
        <f ca="1">IFERROR(__xludf.DUMMYFUNCTION("""COMPUTED_VALUE"""),58784782)</f>
        <v>#NAME?</v>
      </c>
      <c r="B1447" s="100" t="e">
        <f ca="1">IFERROR(__xludf.DUMMYFUNCTION("""COMPUTED_VALUE"""),"LPTBTC")</f>
        <v>#NAME?</v>
      </c>
      <c r="C1447" s="100" t="e">
        <f ca="1">IFERROR(__xludf.DUMMYFUNCTION("""COMPUTED_VALUE"""),"0.00004710")</f>
        <v>#NAME?</v>
      </c>
      <c r="D1447" s="100" t="e">
        <f t="shared" ca="1" si="261"/>
        <v>#NAME?</v>
      </c>
      <c r="E1447" s="100" t="e">
        <f t="shared" ca="1" si="261"/>
        <v>#NAME?</v>
      </c>
      <c r="F1447" s="100" t="e">
        <f t="shared" ca="1" si="254"/>
        <v>#NAME?</v>
      </c>
      <c r="G1447" s="100" t="e">
        <f t="shared" ca="1" si="255"/>
        <v>#NAME?</v>
      </c>
      <c r="H1447" s="100" t="e">
        <f t="shared" ca="1" si="256"/>
        <v>#NAME?</v>
      </c>
      <c r="I1447" s="100" t="e">
        <f t="shared" ca="1" si="257"/>
        <v>#NAME?</v>
      </c>
      <c r="J1447" s="100" t="e">
        <f ca="1">IFERROR(__xludf.DUMMYFUNCTION("""COMPUTED_VALUE"""),"-3.086")</f>
        <v>#NAME?</v>
      </c>
      <c r="K1447" s="100" t="e">
        <f t="shared" ca="1" si="258"/>
        <v>#NAME?</v>
      </c>
      <c r="L1447" s="100"/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</row>
    <row r="1448" spans="1:26">
      <c r="A1448" s="100" t="e">
        <f ca="1">IFERROR(__xludf.DUMMYFUNCTION("""COMPUTED_VALUE"""),58784783)</f>
        <v>#NAME?</v>
      </c>
      <c r="B1448" s="100" t="e">
        <f ca="1">IFERROR(__xludf.DUMMYFUNCTION("""COMPUTED_VALUE"""),"LPTBNB")</f>
        <v>#NAME?</v>
      </c>
      <c r="C1448" s="100" t="e">
        <f ca="1">IFERROR(__xludf.DUMMYFUNCTION("""COMPUTED_VALUE"""),"0.00688000")</f>
        <v>#NAME?</v>
      </c>
      <c r="D1448" s="100" t="e">
        <f t="shared" ca="1" si="261"/>
        <v>#NAME?</v>
      </c>
      <c r="E1448" s="100" t="e">
        <f t="shared" ca="1" si="261"/>
        <v>#NAME?</v>
      </c>
      <c r="F1448" s="100" t="e">
        <f t="shared" ca="1" si="254"/>
        <v>#NAME?</v>
      </c>
      <c r="G1448" s="100" t="e">
        <f t="shared" ca="1" si="255"/>
        <v>#NAME?</v>
      </c>
      <c r="H1448" s="100" t="e">
        <f t="shared" ca="1" si="256"/>
        <v>#NAME?</v>
      </c>
      <c r="I1448" s="100" t="e">
        <f t="shared" ca="1" si="257"/>
        <v>#NAME?</v>
      </c>
      <c r="J1448" s="100" t="e">
        <f ca="1">IFERROR(__xludf.DUMMYFUNCTION("""COMPUTED_VALUE"""),"-1.854")</f>
        <v>#NAME?</v>
      </c>
      <c r="K1448" s="100" t="e">
        <f t="shared" ca="1" si="258"/>
        <v>#NAME?</v>
      </c>
      <c r="L1448" s="100"/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</row>
    <row r="1449" spans="1:26">
      <c r="A1449" s="100" t="e">
        <f ca="1">IFERROR(__xludf.DUMMYFUNCTION("""COMPUTED_VALUE"""),58784784)</f>
        <v>#NAME?</v>
      </c>
      <c r="B1449" s="100" t="e">
        <f ca="1">IFERROR(__xludf.DUMMYFUNCTION("""COMPUTED_VALUE"""),"LPTBUSD")</f>
        <v>#NAME?</v>
      </c>
      <c r="C1449" s="100" t="e">
        <f ca="1">IFERROR(__xludf.DUMMYFUNCTION("""COMPUTED_VALUE"""),"6.16000000")</f>
        <v>#NAME?</v>
      </c>
      <c r="D1449" s="100" t="e">
        <f t="shared" ca="1" si="261"/>
        <v>#NAME?</v>
      </c>
      <c r="E1449" s="100" t="e">
        <f t="shared" ca="1" si="261"/>
        <v>#NAME?</v>
      </c>
      <c r="F1449" s="100" t="e">
        <f t="shared" ca="1" si="254"/>
        <v>#NAME?</v>
      </c>
      <c r="G1449" s="100" t="e">
        <f t="shared" ca="1" si="255"/>
        <v>#NAME?</v>
      </c>
      <c r="H1449" s="100" t="e">
        <f t="shared" ca="1" si="256"/>
        <v>#NAME?</v>
      </c>
      <c r="I1449" s="100" t="e">
        <f t="shared" ca="1" si="257"/>
        <v>#NAME?</v>
      </c>
      <c r="J1449" s="100" t="e">
        <f ca="1">IFERROR(__xludf.DUMMYFUNCTION("""COMPUTED_VALUE"""),"0")</f>
        <v>#NAME?</v>
      </c>
      <c r="K1449" s="100" t="e">
        <f t="shared" ca="1" si="258"/>
        <v>#NAME?</v>
      </c>
      <c r="L1449" s="100"/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</row>
    <row r="1450" spans="1:26">
      <c r="A1450" s="100" t="e">
        <f ca="1">IFERROR(__xludf.DUMMYFUNCTION("""COMPUTED_VALUE"""),58784785)</f>
        <v>#NAME?</v>
      </c>
      <c r="B1450" s="100" t="e">
        <f ca="1">IFERROR(__xludf.DUMMYFUNCTION("""COMPUTED_VALUE"""),"LPTUSDT")</f>
        <v>#NAME?</v>
      </c>
      <c r="C1450" s="100" t="e">
        <f ca="1">IFERROR(__xludf.DUMMYFUNCTION("""COMPUTED_VALUE"""),"4.15500000")</f>
        <v>#NAME?</v>
      </c>
      <c r="D1450" s="100" t="e">
        <f t="shared" ca="1" si="261"/>
        <v>#NAME?</v>
      </c>
      <c r="E1450" s="100" t="e">
        <f t="shared" ca="1" si="261"/>
        <v>#NAME?</v>
      </c>
      <c r="F1450" s="100" t="e">
        <f t="shared" ca="1" si="254"/>
        <v>#NAME?</v>
      </c>
      <c r="G1450" s="100" t="e">
        <f t="shared" ca="1" si="255"/>
        <v>#NAME?</v>
      </c>
      <c r="H1450" s="100" t="e">
        <f t="shared" ca="1" si="256"/>
        <v>#NAME?</v>
      </c>
      <c r="I1450" s="100" t="e">
        <f t="shared" ca="1" si="257"/>
        <v>#NAME?</v>
      </c>
      <c r="J1450" s="100" t="e">
        <f ca="1">IFERROR(__xludf.DUMMYFUNCTION("""COMPUTED_VALUE"""),"-2.005")</f>
        <v>#NAME?</v>
      </c>
      <c r="K1450" s="100" t="e">
        <f t="shared" ca="1" si="258"/>
        <v>#NAME?</v>
      </c>
      <c r="L1450" s="100"/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</row>
    <row r="1451" spans="1:26">
      <c r="A1451" s="100" t="e">
        <f ca="1">IFERROR(__xludf.DUMMYFUNCTION("""COMPUTED_VALUE"""),58784786)</f>
        <v>#NAME?</v>
      </c>
      <c r="B1451" s="100" t="e">
        <f ca="1">IFERROR(__xludf.DUMMYFUNCTION("""COMPUTED_VALUE"""),"ETHUAH")</f>
        <v>#NAME?</v>
      </c>
      <c r="C1451" s="100" t="e">
        <f ca="1">IFERROR(__xludf.DUMMYFUNCTION("""COMPUTED_VALUE"""),"97990.00000000")</f>
        <v>#NAME?</v>
      </c>
      <c r="D1451" s="100" t="e">
        <f t="shared" ca="1" si="261"/>
        <v>#NAME?</v>
      </c>
      <c r="E1451" s="100" t="e">
        <f t="shared" ca="1" si="261"/>
        <v>#NAME?</v>
      </c>
      <c r="F1451" s="100" t="e">
        <f t="shared" ca="1" si="254"/>
        <v>#NAME?</v>
      </c>
      <c r="G1451" s="100" t="e">
        <f t="shared" ca="1" si="255"/>
        <v>#NAME?</v>
      </c>
      <c r="H1451" s="100" t="e">
        <f t="shared" ca="1" si="256"/>
        <v>#NAME?</v>
      </c>
      <c r="I1451" s="100" t="e">
        <f t="shared" ca="1" si="257"/>
        <v>#NAME?</v>
      </c>
      <c r="J1451" s="100" t="e">
        <f ca="1">IFERROR(__xludf.DUMMYFUNCTION("""COMPUTED_VALUE"""),"0")</f>
        <v>#NAME?</v>
      </c>
      <c r="K1451" s="100" t="e">
        <f t="shared" ca="1" si="258"/>
        <v>#NAME?</v>
      </c>
      <c r="L1451" s="100"/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</row>
    <row r="1452" spans="1:26">
      <c r="A1452" s="100" t="e">
        <f ca="1">IFERROR(__xludf.DUMMYFUNCTION("""COMPUTED_VALUE"""),58784787)</f>
        <v>#NAME?</v>
      </c>
      <c r="B1452" s="100" t="e">
        <f ca="1">IFERROR(__xludf.DUMMYFUNCTION("""COMPUTED_VALUE"""),"MATICBRL")</f>
        <v>#NAME?</v>
      </c>
      <c r="C1452" s="100" t="e">
        <f ca="1">IFERROR(__xludf.DUMMYFUNCTION("""COMPUTED_VALUE"""),"2.12500000")</f>
        <v>#NAME?</v>
      </c>
      <c r="D1452" s="100" t="e">
        <f t="shared" ca="1" si="261"/>
        <v>#NAME?</v>
      </c>
      <c r="E1452" s="100" t="e">
        <f t="shared" ca="1" si="261"/>
        <v>#NAME?</v>
      </c>
      <c r="F1452" s="100" t="e">
        <f t="shared" ca="1" si="254"/>
        <v>#NAME?</v>
      </c>
      <c r="G1452" s="100" t="e">
        <f t="shared" ca="1" si="255"/>
        <v>#NAME?</v>
      </c>
      <c r="H1452" s="100" t="e">
        <f t="shared" ca="1" si="256"/>
        <v>#NAME?</v>
      </c>
      <c r="I1452" s="100" t="e">
        <f t="shared" ca="1" si="257"/>
        <v>#NAME?</v>
      </c>
      <c r="J1452" s="100" t="e">
        <f ca="1">IFERROR(__xludf.DUMMYFUNCTION("""COMPUTED_VALUE"""),"0")</f>
        <v>#NAME?</v>
      </c>
      <c r="K1452" s="100" t="e">
        <f t="shared" ca="1" si="258"/>
        <v>#NAME?</v>
      </c>
      <c r="L1452" s="100"/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</row>
    <row r="1453" spans="1:26">
      <c r="A1453" s="100" t="e">
        <f ca="1">IFERROR(__xludf.DUMMYFUNCTION("""COMPUTED_VALUE"""),58784788)</f>
        <v>#NAME?</v>
      </c>
      <c r="B1453" s="100" t="e">
        <f ca="1">IFERROR(__xludf.DUMMYFUNCTION("""COMPUTED_VALUE"""),"SOLEUR")</f>
        <v>#NAME?</v>
      </c>
      <c r="C1453" s="100" t="e">
        <f ca="1">IFERROR(__xludf.DUMMYFUNCTION("""COMPUTED_VALUE"""),"121.90000000")</f>
        <v>#NAME?</v>
      </c>
      <c r="D1453" s="100" t="e">
        <f t="shared" ca="1" si="261"/>
        <v>#NAME?</v>
      </c>
      <c r="E1453" s="100" t="e">
        <f t="shared" ca="1" si="261"/>
        <v>#NAME?</v>
      </c>
      <c r="F1453" s="100" t="e">
        <f t="shared" ca="1" si="254"/>
        <v>#NAME?</v>
      </c>
      <c r="G1453" s="100" t="e">
        <f t="shared" ca="1" si="255"/>
        <v>#NAME?</v>
      </c>
      <c r="H1453" s="100" t="e">
        <f t="shared" ca="1" si="256"/>
        <v>#NAME?</v>
      </c>
      <c r="I1453" s="100" t="e">
        <f t="shared" ca="1" si="257"/>
        <v>#NAME?</v>
      </c>
      <c r="J1453" s="100" t="e">
        <f ca="1">IFERROR(__xludf.DUMMYFUNCTION("""COMPUTED_VALUE"""),"0.486")</f>
        <v>#NAME?</v>
      </c>
      <c r="K1453" s="100" t="e">
        <f t="shared" ca="1" si="258"/>
        <v>#NAME?</v>
      </c>
      <c r="L1453" s="100"/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</row>
    <row r="1454" spans="1:26">
      <c r="A1454" s="100" t="e">
        <f ca="1">IFERROR(__xludf.DUMMYFUNCTION("""COMPUTED_VALUE"""),58784789)</f>
        <v>#NAME?</v>
      </c>
      <c r="B1454" s="100" t="e">
        <f ca="1">IFERROR(__xludf.DUMMYFUNCTION("""COMPUTED_VALUE"""),"SHIBBRL")</f>
        <v>#NAME?</v>
      </c>
      <c r="C1454" s="100" t="e">
        <f ca="1">IFERROR(__xludf.DUMMYFUNCTION("""COMPUTED_VALUE"""),"0.00007290")</f>
        <v>#NAME?</v>
      </c>
      <c r="D1454" s="100" t="e">
        <f t="shared" ca="1" si="261"/>
        <v>#NAME?</v>
      </c>
      <c r="E1454" s="100" t="e">
        <f t="shared" ca="1" si="261"/>
        <v>#NAME?</v>
      </c>
      <c r="F1454" s="100" t="e">
        <f t="shared" ca="1" si="254"/>
        <v>#NAME?</v>
      </c>
      <c r="G1454" s="100" t="e">
        <f t="shared" ca="1" si="255"/>
        <v>#NAME?</v>
      </c>
      <c r="H1454" s="100" t="e">
        <f t="shared" ca="1" si="256"/>
        <v>#NAME?</v>
      </c>
      <c r="I1454" s="100" t="e">
        <f t="shared" ca="1" si="257"/>
        <v>#NAME?</v>
      </c>
      <c r="J1454" s="100" t="e">
        <f ca="1">IFERROR(__xludf.DUMMYFUNCTION("""COMPUTED_VALUE"""),"-0.897")</f>
        <v>#NAME?</v>
      </c>
      <c r="K1454" s="100" t="e">
        <f t="shared" ca="1" si="258"/>
        <v>#NAME?</v>
      </c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</row>
    <row r="1455" spans="1:26">
      <c r="A1455" s="100" t="e">
        <f ca="1">IFERROR(__xludf.DUMMYFUNCTION("""COMPUTED_VALUE"""),58784790)</f>
        <v>#NAME?</v>
      </c>
      <c r="B1455" s="100" t="e">
        <f ca="1">IFERROR(__xludf.DUMMYFUNCTION("""COMPUTED_VALUE"""),"AGIXBTC")</f>
        <v>#NAME?</v>
      </c>
      <c r="C1455" s="100" t="e">
        <f ca="1">IFERROR(__xludf.DUMMYFUNCTION("""COMPUTED_VALUE"""),"0.00000969")</f>
        <v>#NAME?</v>
      </c>
      <c r="D1455" s="100" t="e">
        <f t="shared" ca="1" si="261"/>
        <v>#NAME?</v>
      </c>
      <c r="E1455" s="100" t="e">
        <f t="shared" ca="1" si="261"/>
        <v>#NAME?</v>
      </c>
      <c r="F1455" s="100" t="e">
        <f t="shared" ca="1" si="254"/>
        <v>#NAME?</v>
      </c>
      <c r="G1455" s="100" t="e">
        <f t="shared" ca="1" si="255"/>
        <v>#NAME?</v>
      </c>
      <c r="H1455" s="100" t="e">
        <f t="shared" ca="1" si="256"/>
        <v>#NAME?</v>
      </c>
      <c r="I1455" s="100" t="e">
        <f t="shared" ca="1" si="257"/>
        <v>#NAME?</v>
      </c>
      <c r="J1455" s="100" t="e">
        <f ca="1">IFERROR(__xludf.DUMMYFUNCTION("""COMPUTED_VALUE"""),"0")</f>
        <v>#NAME?</v>
      </c>
      <c r="K1455" s="100" t="e">
        <f t="shared" ca="1" si="258"/>
        <v>#NAME?</v>
      </c>
      <c r="L1455" s="100"/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</row>
    <row r="1456" spans="1:26">
      <c r="A1456" s="100" t="e">
        <f ca="1">IFERROR(__xludf.DUMMYFUNCTION("""COMPUTED_VALUE"""),58784791)</f>
        <v>#NAME?</v>
      </c>
      <c r="B1456" s="100" t="e">
        <f ca="1">IFERROR(__xludf.DUMMYFUNCTION("""COMPUTED_VALUE"""),"ICPEUR")</f>
        <v>#NAME?</v>
      </c>
      <c r="C1456" s="100" t="e">
        <f ca="1">IFERROR(__xludf.DUMMYFUNCTION("""COMPUTED_VALUE"""),"4.06100000")</f>
        <v>#NAME?</v>
      </c>
      <c r="D1456" s="100" t="e">
        <f t="shared" ca="1" si="261"/>
        <v>#NAME?</v>
      </c>
      <c r="E1456" s="100" t="e">
        <f t="shared" ca="1" si="261"/>
        <v>#NAME?</v>
      </c>
      <c r="F1456" s="100" t="e">
        <f t="shared" ca="1" si="254"/>
        <v>#NAME?</v>
      </c>
      <c r="G1456" s="100" t="e">
        <f t="shared" ca="1" si="255"/>
        <v>#NAME?</v>
      </c>
      <c r="H1456" s="100" t="e">
        <f t="shared" ca="1" si="256"/>
        <v>#NAME?</v>
      </c>
      <c r="I1456" s="100" t="e">
        <f t="shared" ca="1" si="257"/>
        <v>#NAME?</v>
      </c>
      <c r="J1456" s="100" t="e">
        <f ca="1">IFERROR(__xludf.DUMMYFUNCTION("""COMPUTED_VALUE"""),"-5.821")</f>
        <v>#NAME?</v>
      </c>
      <c r="K1456" s="100" t="e">
        <f t="shared" ca="1" si="258"/>
        <v>#NAME?</v>
      </c>
      <c r="L1456" s="100"/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</row>
    <row r="1457" spans="1:26">
      <c r="A1457" s="100" t="e">
        <f ca="1">IFERROR(__xludf.DUMMYFUNCTION("""COMPUTED_VALUE"""),58784792)</f>
        <v>#NAME?</v>
      </c>
      <c r="B1457" s="100" t="e">
        <f ca="1">IFERROR(__xludf.DUMMYFUNCTION("""COMPUTED_VALUE"""),"MATICGBP")</f>
        <v>#NAME?</v>
      </c>
      <c r="C1457" s="100" t="e">
        <f ca="1">IFERROR(__xludf.DUMMYFUNCTION("""COMPUTED_VALUE"""),"0.81900000")</f>
        <v>#NAME?</v>
      </c>
      <c r="D1457" s="100" t="e">
        <f t="shared" ca="1" si="261"/>
        <v>#NAME?</v>
      </c>
      <c r="E1457" s="100" t="e">
        <f t="shared" ca="1" si="261"/>
        <v>#NAME?</v>
      </c>
      <c r="F1457" s="100" t="e">
        <f t="shared" ca="1" si="254"/>
        <v>#NAME?</v>
      </c>
      <c r="G1457" s="100" t="e">
        <f t="shared" ca="1" si="255"/>
        <v>#NAME?</v>
      </c>
      <c r="H1457" s="100" t="e">
        <f t="shared" ca="1" si="256"/>
        <v>#NAME?</v>
      </c>
      <c r="I1457" s="100" t="e">
        <f t="shared" ca="1" si="257"/>
        <v>#NAME?</v>
      </c>
      <c r="J1457" s="100" t="e">
        <f ca="1">IFERROR(__xludf.DUMMYFUNCTION("""COMPUTED_VALUE"""),"0")</f>
        <v>#NAME?</v>
      </c>
      <c r="K1457" s="100" t="e">
        <f t="shared" ca="1" si="258"/>
        <v>#NAME?</v>
      </c>
      <c r="L1457" s="100"/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</row>
    <row r="1458" spans="1:26">
      <c r="A1458" s="100" t="e">
        <f ca="1">IFERROR(__xludf.DUMMYFUNCTION("""COMPUTED_VALUE"""),58784793)</f>
        <v>#NAME?</v>
      </c>
      <c r="B1458" s="100" t="e">
        <f ca="1">IFERROR(__xludf.DUMMYFUNCTION("""COMPUTED_VALUE"""),"SHIBTRY")</f>
        <v>#NAME?</v>
      </c>
      <c r="C1458" s="100" t="e">
        <f ca="1">IFERROR(__xludf.DUMMYFUNCTION("""COMPUTED_VALUE"""),"0.00047860")</f>
        <v>#NAME?</v>
      </c>
      <c r="D1458" s="100" t="e">
        <f t="shared" ca="1" si="261"/>
        <v>#NAME?</v>
      </c>
      <c r="E1458" s="100" t="e">
        <f t="shared" ca="1" si="261"/>
        <v>#NAME?</v>
      </c>
      <c r="F1458" s="100" t="e">
        <f t="shared" ca="1" si="254"/>
        <v>#NAME?</v>
      </c>
      <c r="G1458" s="100" t="e">
        <f t="shared" ca="1" si="255"/>
        <v>#NAME?</v>
      </c>
      <c r="H1458" s="100" t="e">
        <f t="shared" ca="1" si="256"/>
        <v>#NAME?</v>
      </c>
      <c r="I1458" s="100" t="e">
        <f t="shared" ca="1" si="257"/>
        <v>#NAME?</v>
      </c>
      <c r="J1458" s="100" t="e">
        <f ca="1">IFERROR(__xludf.DUMMYFUNCTION("""COMPUTED_VALUE"""),"-0.849")</f>
        <v>#NAME?</v>
      </c>
      <c r="K1458" s="100" t="e">
        <f t="shared" ca="1" si="258"/>
        <v>#NAME?</v>
      </c>
      <c r="L1458" s="100"/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</row>
    <row r="1459" spans="1:26">
      <c r="A1459" s="100" t="e">
        <f ca="1">IFERROR(__xludf.DUMMYFUNCTION("""COMPUTED_VALUE"""),58784794)</f>
        <v>#NAME?</v>
      </c>
      <c r="B1459" s="100" t="e">
        <f ca="1">IFERROR(__xludf.DUMMYFUNCTION("""COMPUTED_VALUE"""),"MATICBIDR")</f>
        <v>#NAME?</v>
      </c>
      <c r="C1459" s="100" t="e">
        <f ca="1">IFERROR(__xludf.DUMMYFUNCTION("""COMPUTED_VALUE"""),"8382.00")</f>
        <v>#NAME?</v>
      </c>
      <c r="D1459" s="100" t="e">
        <f t="shared" ca="1" si="261"/>
        <v>#NAME?</v>
      </c>
      <c r="E1459" s="100" t="e">
        <f t="shared" ca="1" si="261"/>
        <v>#NAME?</v>
      </c>
      <c r="F1459" s="100" t="e">
        <f t="shared" ca="1" si="254"/>
        <v>#NAME?</v>
      </c>
      <c r="G1459" s="100" t="e">
        <f t="shared" ca="1" si="255"/>
        <v>#NAME?</v>
      </c>
      <c r="H1459" s="100" t="e">
        <f t="shared" ca="1" si="256"/>
        <v>#NAME?</v>
      </c>
      <c r="I1459" s="100" t="e">
        <f t="shared" ca="1" si="257"/>
        <v>#NAME?</v>
      </c>
      <c r="J1459" s="100" t="e">
        <f t="shared" ref="J1459:J1464" ca="1" si="262">IFERROR(__xludf.DUMMYFUNCTION("""COMPUTED_VALUE"""),"0")</f>
        <v>#NAME?</v>
      </c>
      <c r="K1459" s="100" t="e">
        <f t="shared" ca="1" si="258"/>
        <v>#NAME?</v>
      </c>
      <c r="L1459" s="100"/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</row>
    <row r="1460" spans="1:26">
      <c r="A1460" s="100" t="e">
        <f ca="1">IFERROR(__xludf.DUMMYFUNCTION("""COMPUTED_VALUE"""),58784795)</f>
        <v>#NAME?</v>
      </c>
      <c r="B1460" s="100" t="e">
        <f ca="1">IFERROR(__xludf.DUMMYFUNCTION("""COMPUTED_VALUE"""),"MATICRUB")</f>
        <v>#NAME?</v>
      </c>
      <c r="C1460" s="100" t="e">
        <f ca="1">IFERROR(__xludf.DUMMYFUNCTION("""COMPUTED_VALUE"""),"76.47000000")</f>
        <v>#NAME?</v>
      </c>
      <c r="D1460" s="100" t="e">
        <f t="shared" ca="1" si="261"/>
        <v>#NAME?</v>
      </c>
      <c r="E1460" s="100" t="e">
        <f t="shared" ca="1" si="261"/>
        <v>#NAME?</v>
      </c>
      <c r="F1460" s="100" t="e">
        <f t="shared" ca="1" si="254"/>
        <v>#NAME?</v>
      </c>
      <c r="G1460" s="100" t="e">
        <f t="shared" ca="1" si="255"/>
        <v>#NAME?</v>
      </c>
      <c r="H1460" s="100" t="e">
        <f t="shared" ca="1" si="256"/>
        <v>#NAME?</v>
      </c>
      <c r="I1460" s="100" t="e">
        <f t="shared" ca="1" si="257"/>
        <v>#NAME?</v>
      </c>
      <c r="J1460" s="100" t="e">
        <f t="shared" ca="1" si="262"/>
        <v>#NAME?</v>
      </c>
      <c r="K1460" s="100" t="e">
        <f t="shared" ca="1" si="258"/>
        <v>#NAME?</v>
      </c>
      <c r="L1460" s="100"/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</row>
    <row r="1461" spans="1:26">
      <c r="A1461" s="100" t="e">
        <f ca="1">IFERROR(__xludf.DUMMYFUNCTION("""COMPUTED_VALUE"""),58784796)</f>
        <v>#NAME?</v>
      </c>
      <c r="B1461" s="100" t="e">
        <f ca="1">IFERROR(__xludf.DUMMYFUNCTION("""COMPUTED_VALUE"""),"NUBTC")</f>
        <v>#NAME?</v>
      </c>
      <c r="C1461" s="100" t="e">
        <f ca="1">IFERROR(__xludf.DUMMYFUNCTION("""COMPUTED_VALUE"""),"0.00000000")</f>
        <v>#NAME?</v>
      </c>
      <c r="D1461" s="100" t="e">
        <f t="shared" ca="1" si="261"/>
        <v>#NAME?</v>
      </c>
      <c r="E1461" s="100" t="e">
        <f t="shared" ca="1" si="261"/>
        <v>#NAME?</v>
      </c>
      <c r="F1461" s="100" t="e">
        <f t="shared" ca="1" si="254"/>
        <v>#NAME?</v>
      </c>
      <c r="G1461" s="100" t="e">
        <f t="shared" ca="1" si="255"/>
        <v>#NAME?</v>
      </c>
      <c r="H1461" s="100" t="e">
        <f t="shared" ca="1" si="256"/>
        <v>#NAME?</v>
      </c>
      <c r="I1461" s="100" t="e">
        <f t="shared" ca="1" si="257"/>
        <v>#NAME?</v>
      </c>
      <c r="J1461" s="100" t="e">
        <f t="shared" ca="1" si="262"/>
        <v>#NAME?</v>
      </c>
      <c r="K1461" s="100" t="e">
        <f t="shared" ca="1" si="258"/>
        <v>#NAME?</v>
      </c>
      <c r="L1461" s="100"/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</row>
    <row r="1462" spans="1:26">
      <c r="A1462" s="100" t="e">
        <f ca="1">IFERROR(__xludf.DUMMYFUNCTION("""COMPUTED_VALUE"""),58784797)</f>
        <v>#NAME?</v>
      </c>
      <c r="B1462" s="100" t="e">
        <f ca="1">IFERROR(__xludf.DUMMYFUNCTION("""COMPUTED_VALUE"""),"NUBNB")</f>
        <v>#NAME?</v>
      </c>
      <c r="C1462" s="100" t="e">
        <f ca="1">IFERROR(__xludf.DUMMYFUNCTION("""COMPUTED_VALUE"""),"0.00000000")</f>
        <v>#NAME?</v>
      </c>
      <c r="D1462" s="100" t="e">
        <f t="shared" ref="D1462:E1481" ca="1" si="263">IFERROR(__xludf.DUMMYFUNCTION("""COMPUTED_VALUE"""),"-")</f>
        <v>#NAME?</v>
      </c>
      <c r="E1462" s="100" t="e">
        <f t="shared" ca="1" si="263"/>
        <v>#NAME?</v>
      </c>
      <c r="F1462" s="100" t="e">
        <f t="shared" ca="1" si="254"/>
        <v>#NAME?</v>
      </c>
      <c r="G1462" s="100" t="e">
        <f t="shared" ca="1" si="255"/>
        <v>#NAME?</v>
      </c>
      <c r="H1462" s="100" t="e">
        <f t="shared" ca="1" si="256"/>
        <v>#NAME?</v>
      </c>
      <c r="I1462" s="100" t="e">
        <f t="shared" ca="1" si="257"/>
        <v>#NAME?</v>
      </c>
      <c r="J1462" s="100" t="e">
        <f t="shared" ca="1" si="262"/>
        <v>#NAME?</v>
      </c>
      <c r="K1462" s="100" t="e">
        <f t="shared" ca="1" si="258"/>
        <v>#NAME?</v>
      </c>
      <c r="L1462" s="100"/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</row>
    <row r="1463" spans="1:26">
      <c r="A1463" s="100" t="e">
        <f ca="1">IFERROR(__xludf.DUMMYFUNCTION("""COMPUTED_VALUE"""),58784798)</f>
        <v>#NAME?</v>
      </c>
      <c r="B1463" s="100" t="e">
        <f ca="1">IFERROR(__xludf.DUMMYFUNCTION("""COMPUTED_VALUE"""),"NUBUSD")</f>
        <v>#NAME?</v>
      </c>
      <c r="C1463" s="100" t="e">
        <f ca="1">IFERROR(__xludf.DUMMYFUNCTION("""COMPUTED_VALUE"""),"0.00000000")</f>
        <v>#NAME?</v>
      </c>
      <c r="D1463" s="100" t="e">
        <f t="shared" ca="1" si="263"/>
        <v>#NAME?</v>
      </c>
      <c r="E1463" s="100" t="e">
        <f t="shared" ca="1" si="263"/>
        <v>#NAME?</v>
      </c>
      <c r="F1463" s="100" t="e">
        <f t="shared" ca="1" si="254"/>
        <v>#NAME?</v>
      </c>
      <c r="G1463" s="100" t="e">
        <f t="shared" ca="1" si="255"/>
        <v>#NAME?</v>
      </c>
      <c r="H1463" s="100" t="e">
        <f t="shared" ca="1" si="256"/>
        <v>#NAME?</v>
      </c>
      <c r="I1463" s="100" t="e">
        <f t="shared" ca="1" si="257"/>
        <v>#NAME?</v>
      </c>
      <c r="J1463" s="100" t="e">
        <f t="shared" ca="1" si="262"/>
        <v>#NAME?</v>
      </c>
      <c r="K1463" s="100" t="e">
        <f t="shared" ca="1" si="258"/>
        <v>#NAME?</v>
      </c>
      <c r="L1463" s="100"/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</row>
    <row r="1464" spans="1:26">
      <c r="A1464" s="100" t="e">
        <f ca="1">IFERROR(__xludf.DUMMYFUNCTION("""COMPUTED_VALUE"""),58784799)</f>
        <v>#NAME?</v>
      </c>
      <c r="B1464" s="100" t="e">
        <f ca="1">IFERROR(__xludf.DUMMYFUNCTION("""COMPUTED_VALUE"""),"NUUSDT")</f>
        <v>#NAME?</v>
      </c>
      <c r="C1464" s="100" t="e">
        <f ca="1">IFERROR(__xludf.DUMMYFUNCTION("""COMPUTED_VALUE"""),"0.00000000")</f>
        <v>#NAME?</v>
      </c>
      <c r="D1464" s="100" t="e">
        <f t="shared" ca="1" si="263"/>
        <v>#NAME?</v>
      </c>
      <c r="E1464" s="100" t="e">
        <f t="shared" ca="1" si="263"/>
        <v>#NAME?</v>
      </c>
      <c r="F1464" s="100" t="e">
        <f t="shared" ca="1" si="254"/>
        <v>#NAME?</v>
      </c>
      <c r="G1464" s="100" t="e">
        <f t="shared" ca="1" si="255"/>
        <v>#NAME?</v>
      </c>
      <c r="H1464" s="100" t="e">
        <f t="shared" ca="1" si="256"/>
        <v>#NAME?</v>
      </c>
      <c r="I1464" s="100" t="e">
        <f t="shared" ca="1" si="257"/>
        <v>#NAME?</v>
      </c>
      <c r="J1464" s="100" t="e">
        <f t="shared" ca="1" si="262"/>
        <v>#NAME?</v>
      </c>
      <c r="K1464" s="100" t="e">
        <f t="shared" ca="1" si="258"/>
        <v>#NAME?</v>
      </c>
      <c r="L1464" s="100"/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</row>
    <row r="1465" spans="1:26">
      <c r="A1465" s="100" t="e">
        <f ca="1">IFERROR(__xludf.DUMMYFUNCTION("""COMPUTED_VALUE"""),58784800)</f>
        <v>#NAME?</v>
      </c>
      <c r="B1465" s="100" t="e">
        <f ca="1">IFERROR(__xludf.DUMMYFUNCTION("""COMPUTED_VALUE"""),"XVGUSDT")</f>
        <v>#NAME?</v>
      </c>
      <c r="C1465" s="100" t="e">
        <f ca="1">IFERROR(__xludf.DUMMYFUNCTION("""COMPUTED_VALUE"""),"0.00462600")</f>
        <v>#NAME?</v>
      </c>
      <c r="D1465" s="100" t="e">
        <f t="shared" ca="1" si="263"/>
        <v>#NAME?</v>
      </c>
      <c r="E1465" s="100" t="e">
        <f t="shared" ca="1" si="263"/>
        <v>#NAME?</v>
      </c>
      <c r="F1465" s="100" t="e">
        <f t="shared" ca="1" si="254"/>
        <v>#NAME?</v>
      </c>
      <c r="G1465" s="100" t="e">
        <f t="shared" ca="1" si="255"/>
        <v>#NAME?</v>
      </c>
      <c r="H1465" s="100" t="e">
        <f t="shared" ca="1" si="256"/>
        <v>#NAME?</v>
      </c>
      <c r="I1465" s="100" t="e">
        <f t="shared" ca="1" si="257"/>
        <v>#NAME?</v>
      </c>
      <c r="J1465" s="100" t="e">
        <f ca="1">IFERROR(__xludf.DUMMYFUNCTION("""COMPUTED_VALUE"""),"0.260")</f>
        <v>#NAME?</v>
      </c>
      <c r="K1465" s="100" t="e">
        <f t="shared" ca="1" si="258"/>
        <v>#NAME?</v>
      </c>
      <c r="L1465" s="100"/>
      <c r="M1465" s="100"/>
      <c r="N1465" s="100"/>
      <c r="O1465" s="100"/>
      <c r="P1465" s="100"/>
      <c r="Q1465" s="100"/>
      <c r="R1465" s="100"/>
      <c r="S1465" s="100"/>
      <c r="T1465" s="100"/>
      <c r="U1465" s="100"/>
      <c r="V1465" s="100"/>
      <c r="W1465" s="100"/>
      <c r="X1465" s="100"/>
      <c r="Y1465" s="100"/>
      <c r="Z1465" s="100"/>
    </row>
    <row r="1466" spans="1:26">
      <c r="A1466" s="100" t="e">
        <f ca="1">IFERROR(__xludf.DUMMYFUNCTION("""COMPUTED_VALUE"""),58784801)</f>
        <v>#NAME?</v>
      </c>
      <c r="B1466" s="100" t="e">
        <f ca="1">IFERROR(__xludf.DUMMYFUNCTION("""COMPUTED_VALUE"""),"RLCBUSD")</f>
        <v>#NAME?</v>
      </c>
      <c r="C1466" s="100" t="e">
        <f ca="1">IFERROR(__xludf.DUMMYFUNCTION("""COMPUTED_VALUE"""),"0.00000000")</f>
        <v>#NAME?</v>
      </c>
      <c r="D1466" s="100" t="e">
        <f t="shared" ca="1" si="263"/>
        <v>#NAME?</v>
      </c>
      <c r="E1466" s="100" t="e">
        <f t="shared" ca="1" si="263"/>
        <v>#NAME?</v>
      </c>
      <c r="F1466" s="100" t="e">
        <f t="shared" ca="1" si="254"/>
        <v>#NAME?</v>
      </c>
      <c r="G1466" s="100" t="e">
        <f t="shared" ca="1" si="255"/>
        <v>#NAME?</v>
      </c>
      <c r="H1466" s="100" t="e">
        <f t="shared" ca="1" si="256"/>
        <v>#NAME?</v>
      </c>
      <c r="I1466" s="100" t="e">
        <f t="shared" ca="1" si="257"/>
        <v>#NAME?</v>
      </c>
      <c r="J1466" s="100" t="e">
        <f t="shared" ref="J1466:J1474" ca="1" si="264">IFERROR(__xludf.DUMMYFUNCTION("""COMPUTED_VALUE"""),"0")</f>
        <v>#NAME?</v>
      </c>
      <c r="K1466" s="100" t="e">
        <f t="shared" ca="1" si="258"/>
        <v>#NAME?</v>
      </c>
      <c r="L1466" s="100"/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</row>
    <row r="1467" spans="1:26">
      <c r="A1467" s="100" t="e">
        <f ca="1">IFERROR(__xludf.DUMMYFUNCTION("""COMPUTED_VALUE"""),58784802)</f>
        <v>#NAME?</v>
      </c>
      <c r="B1467" s="100" t="e">
        <f ca="1">IFERROR(__xludf.DUMMYFUNCTION("""COMPUTED_VALUE"""),"CELRBUSD")</f>
        <v>#NAME?</v>
      </c>
      <c r="C1467" s="100" t="e">
        <f ca="1">IFERROR(__xludf.DUMMYFUNCTION("""COMPUTED_VALUE"""),"0.01148000")</f>
        <v>#NAME?</v>
      </c>
      <c r="D1467" s="100" t="e">
        <f t="shared" ca="1" si="263"/>
        <v>#NAME?</v>
      </c>
      <c r="E1467" s="100" t="e">
        <f t="shared" ca="1" si="263"/>
        <v>#NAME?</v>
      </c>
      <c r="F1467" s="100" t="e">
        <f t="shared" ca="1" si="254"/>
        <v>#NAME?</v>
      </c>
      <c r="G1467" s="100" t="e">
        <f t="shared" ca="1" si="255"/>
        <v>#NAME?</v>
      </c>
      <c r="H1467" s="100" t="e">
        <f t="shared" ca="1" si="256"/>
        <v>#NAME?</v>
      </c>
      <c r="I1467" s="100" t="e">
        <f t="shared" ca="1" si="257"/>
        <v>#NAME?</v>
      </c>
      <c r="J1467" s="100" t="e">
        <f t="shared" ca="1" si="264"/>
        <v>#NAME?</v>
      </c>
      <c r="K1467" s="100" t="e">
        <f t="shared" ca="1" si="258"/>
        <v>#NAME?</v>
      </c>
      <c r="L1467" s="100"/>
      <c r="M1467" s="100"/>
      <c r="N1467" s="100"/>
      <c r="O1467" s="100"/>
      <c r="P1467" s="100"/>
      <c r="Q1467" s="100"/>
      <c r="R1467" s="100"/>
      <c r="S1467" s="100"/>
      <c r="T1467" s="100"/>
      <c r="U1467" s="100"/>
      <c r="V1467" s="100"/>
      <c r="W1467" s="100"/>
      <c r="X1467" s="100"/>
      <c r="Y1467" s="100"/>
      <c r="Z1467" s="100"/>
    </row>
    <row r="1468" spans="1:26">
      <c r="A1468" s="100" t="e">
        <f ca="1">IFERROR(__xludf.DUMMYFUNCTION("""COMPUTED_VALUE"""),58784803)</f>
        <v>#NAME?</v>
      </c>
      <c r="B1468" s="100" t="e">
        <f ca="1">IFERROR(__xludf.DUMMYFUNCTION("""COMPUTED_VALUE"""),"ATMBUSD")</f>
        <v>#NAME?</v>
      </c>
      <c r="C1468" s="100" t="e">
        <f ca="1">IFERROR(__xludf.DUMMYFUNCTION("""COMPUTED_VALUE"""),"2.42000000")</f>
        <v>#NAME?</v>
      </c>
      <c r="D1468" s="100" t="e">
        <f t="shared" ca="1" si="263"/>
        <v>#NAME?</v>
      </c>
      <c r="E1468" s="100" t="e">
        <f t="shared" ca="1" si="263"/>
        <v>#NAME?</v>
      </c>
      <c r="F1468" s="100" t="e">
        <f t="shared" ca="1" si="254"/>
        <v>#NAME?</v>
      </c>
      <c r="G1468" s="100" t="e">
        <f t="shared" ca="1" si="255"/>
        <v>#NAME?</v>
      </c>
      <c r="H1468" s="100" t="e">
        <f t="shared" ca="1" si="256"/>
        <v>#NAME?</v>
      </c>
      <c r="I1468" s="100" t="e">
        <f t="shared" ca="1" si="257"/>
        <v>#NAME?</v>
      </c>
      <c r="J1468" s="100" t="e">
        <f t="shared" ca="1" si="264"/>
        <v>#NAME?</v>
      </c>
      <c r="K1468" s="100" t="e">
        <f t="shared" ca="1" si="258"/>
        <v>#NAME?</v>
      </c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</row>
    <row r="1469" spans="1:26">
      <c r="A1469" s="100" t="e">
        <f ca="1">IFERROR(__xludf.DUMMYFUNCTION("""COMPUTED_VALUE"""),58784804)</f>
        <v>#NAME?</v>
      </c>
      <c r="B1469" s="100" t="e">
        <f ca="1">IFERROR(__xludf.DUMMYFUNCTION("""COMPUTED_VALUE"""),"ZENBUSD")</f>
        <v>#NAME?</v>
      </c>
      <c r="C1469" s="100" t="e">
        <f ca="1">IFERROR(__xludf.DUMMYFUNCTION("""COMPUTED_VALUE"""),"7.19000000")</f>
        <v>#NAME?</v>
      </c>
      <c r="D1469" s="100" t="e">
        <f t="shared" ca="1" si="263"/>
        <v>#NAME?</v>
      </c>
      <c r="E1469" s="100" t="e">
        <f t="shared" ca="1" si="263"/>
        <v>#NAME?</v>
      </c>
      <c r="F1469" s="100" t="e">
        <f t="shared" ca="1" si="254"/>
        <v>#NAME?</v>
      </c>
      <c r="G1469" s="100" t="e">
        <f t="shared" ca="1" si="255"/>
        <v>#NAME?</v>
      </c>
      <c r="H1469" s="100" t="e">
        <f t="shared" ca="1" si="256"/>
        <v>#NAME?</v>
      </c>
      <c r="I1469" s="100" t="e">
        <f t="shared" ca="1" si="257"/>
        <v>#NAME?</v>
      </c>
      <c r="J1469" s="100" t="e">
        <f t="shared" ca="1" si="264"/>
        <v>#NAME?</v>
      </c>
      <c r="K1469" s="100" t="e">
        <f t="shared" ca="1" si="258"/>
        <v>#NAME?</v>
      </c>
      <c r="L1469" s="100"/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</row>
    <row r="1470" spans="1:26">
      <c r="A1470" s="100" t="e">
        <f ca="1">IFERROR(__xludf.DUMMYFUNCTION("""COMPUTED_VALUE"""),58784805)</f>
        <v>#NAME?</v>
      </c>
      <c r="B1470" s="100" t="e">
        <f ca="1">IFERROR(__xludf.DUMMYFUNCTION("""COMPUTED_VALUE"""),"FTMBUSD")</f>
        <v>#NAME?</v>
      </c>
      <c r="C1470" s="100" t="e">
        <f ca="1">IFERROR(__xludf.DUMMYFUNCTION("""COMPUTED_VALUE"""),"0.42180000")</f>
        <v>#NAME?</v>
      </c>
      <c r="D1470" s="100" t="e">
        <f t="shared" ca="1" si="263"/>
        <v>#NAME?</v>
      </c>
      <c r="E1470" s="100" t="e">
        <f t="shared" ca="1" si="263"/>
        <v>#NAME?</v>
      </c>
      <c r="F1470" s="100" t="e">
        <f t="shared" ca="1" si="254"/>
        <v>#NAME?</v>
      </c>
      <c r="G1470" s="100" t="e">
        <f t="shared" ca="1" si="255"/>
        <v>#NAME?</v>
      </c>
      <c r="H1470" s="100" t="e">
        <f t="shared" ca="1" si="256"/>
        <v>#NAME?</v>
      </c>
      <c r="I1470" s="100" t="e">
        <f t="shared" ca="1" si="257"/>
        <v>#NAME?</v>
      </c>
      <c r="J1470" s="100" t="e">
        <f t="shared" ca="1" si="264"/>
        <v>#NAME?</v>
      </c>
      <c r="K1470" s="100" t="e">
        <f t="shared" ca="1" si="258"/>
        <v>#NAME?</v>
      </c>
      <c r="L1470" s="100"/>
      <c r="M1470" s="100"/>
      <c r="N1470" s="100"/>
      <c r="O1470" s="100"/>
      <c r="P1470" s="100"/>
      <c r="Q1470" s="100"/>
      <c r="R1470" s="100"/>
      <c r="S1470" s="100"/>
      <c r="T1470" s="100"/>
      <c r="U1470" s="100"/>
      <c r="V1470" s="100"/>
      <c r="W1470" s="100"/>
      <c r="X1470" s="100"/>
      <c r="Y1470" s="100"/>
      <c r="Z1470" s="100"/>
    </row>
    <row r="1471" spans="1:26">
      <c r="A1471" s="100" t="e">
        <f ca="1">IFERROR(__xludf.DUMMYFUNCTION("""COMPUTED_VALUE"""),58784806)</f>
        <v>#NAME?</v>
      </c>
      <c r="B1471" s="100" t="e">
        <f ca="1">IFERROR(__xludf.DUMMYFUNCTION("""COMPUTED_VALUE"""),"THETABUSD")</f>
        <v>#NAME?</v>
      </c>
      <c r="C1471" s="100" t="e">
        <f ca="1">IFERROR(__xludf.DUMMYFUNCTION("""COMPUTED_VALUE"""),"0.61600000")</f>
        <v>#NAME?</v>
      </c>
      <c r="D1471" s="100" t="e">
        <f t="shared" ca="1" si="263"/>
        <v>#NAME?</v>
      </c>
      <c r="E1471" s="100" t="e">
        <f t="shared" ca="1" si="263"/>
        <v>#NAME?</v>
      </c>
      <c r="F1471" s="100" t="e">
        <f t="shared" ca="1" si="254"/>
        <v>#NAME?</v>
      </c>
      <c r="G1471" s="100" t="e">
        <f t="shared" ca="1" si="255"/>
        <v>#NAME?</v>
      </c>
      <c r="H1471" s="100" t="e">
        <f t="shared" ca="1" si="256"/>
        <v>#NAME?</v>
      </c>
      <c r="I1471" s="100" t="e">
        <f t="shared" ca="1" si="257"/>
        <v>#NAME?</v>
      </c>
      <c r="J1471" s="100" t="e">
        <f t="shared" ca="1" si="264"/>
        <v>#NAME?</v>
      </c>
      <c r="K1471" s="100" t="e">
        <f t="shared" ca="1" si="258"/>
        <v>#NAME?</v>
      </c>
      <c r="L1471" s="100"/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</row>
    <row r="1472" spans="1:26">
      <c r="A1472" s="100" t="e">
        <f ca="1">IFERROR(__xludf.DUMMYFUNCTION("""COMPUTED_VALUE"""),58784807)</f>
        <v>#NAME?</v>
      </c>
      <c r="B1472" s="100" t="e">
        <f ca="1">IFERROR(__xludf.DUMMYFUNCTION("""COMPUTED_VALUE"""),"WINBUSD")</f>
        <v>#NAME?</v>
      </c>
      <c r="C1472" s="100" t="e">
        <f ca="1">IFERROR(__xludf.DUMMYFUNCTION("""COMPUTED_VALUE"""),"0.00006940")</f>
        <v>#NAME?</v>
      </c>
      <c r="D1472" s="100" t="e">
        <f t="shared" ca="1" si="263"/>
        <v>#NAME?</v>
      </c>
      <c r="E1472" s="100" t="e">
        <f t="shared" ca="1" si="263"/>
        <v>#NAME?</v>
      </c>
      <c r="F1472" s="100" t="e">
        <f t="shared" ca="1" si="254"/>
        <v>#NAME?</v>
      </c>
      <c r="G1472" s="100" t="e">
        <f t="shared" ca="1" si="255"/>
        <v>#NAME?</v>
      </c>
      <c r="H1472" s="100" t="e">
        <f t="shared" ca="1" si="256"/>
        <v>#NAME?</v>
      </c>
      <c r="I1472" s="100" t="e">
        <f t="shared" ca="1" si="257"/>
        <v>#NAME?</v>
      </c>
      <c r="J1472" s="100" t="e">
        <f t="shared" ca="1" si="264"/>
        <v>#NAME?</v>
      </c>
      <c r="K1472" s="100" t="e">
        <f t="shared" ca="1" si="258"/>
        <v>#NAME?</v>
      </c>
      <c r="L1472" s="100"/>
      <c r="M1472" s="100"/>
      <c r="N1472" s="100"/>
      <c r="O1472" s="100"/>
      <c r="P1472" s="100"/>
      <c r="Q1472" s="100"/>
      <c r="R1472" s="100"/>
      <c r="S1472" s="100"/>
      <c r="T1472" s="100"/>
      <c r="U1472" s="100"/>
      <c r="V1472" s="100"/>
      <c r="W1472" s="100"/>
      <c r="X1472" s="100"/>
      <c r="Y1472" s="100"/>
      <c r="Z1472" s="100"/>
    </row>
    <row r="1473" spans="1:26">
      <c r="A1473" s="100" t="e">
        <f ca="1">IFERROR(__xludf.DUMMYFUNCTION("""COMPUTED_VALUE"""),58784808)</f>
        <v>#NAME?</v>
      </c>
      <c r="B1473" s="100" t="e">
        <f ca="1">IFERROR(__xludf.DUMMYFUNCTION("""COMPUTED_VALUE"""),"KAVABUSD")</f>
        <v>#NAME?</v>
      </c>
      <c r="C1473" s="100" t="e">
        <f ca="1">IFERROR(__xludf.DUMMYFUNCTION("""COMPUTED_VALUE"""),"0.62400000")</f>
        <v>#NAME?</v>
      </c>
      <c r="D1473" s="100" t="e">
        <f t="shared" ca="1" si="263"/>
        <v>#NAME?</v>
      </c>
      <c r="E1473" s="100" t="e">
        <f t="shared" ca="1" si="263"/>
        <v>#NAME?</v>
      </c>
      <c r="F1473" s="100" t="e">
        <f t="shared" ca="1" si="254"/>
        <v>#NAME?</v>
      </c>
      <c r="G1473" s="100" t="e">
        <f t="shared" ca="1" si="255"/>
        <v>#NAME?</v>
      </c>
      <c r="H1473" s="100" t="e">
        <f t="shared" ca="1" si="256"/>
        <v>#NAME?</v>
      </c>
      <c r="I1473" s="100" t="e">
        <f t="shared" ca="1" si="257"/>
        <v>#NAME?</v>
      </c>
      <c r="J1473" s="100" t="e">
        <f t="shared" ca="1" si="264"/>
        <v>#NAME?</v>
      </c>
      <c r="K1473" s="100" t="e">
        <f t="shared" ca="1" si="258"/>
        <v>#NAME?</v>
      </c>
      <c r="L1473" s="100"/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</row>
    <row r="1474" spans="1:26">
      <c r="A1474" s="100" t="e">
        <f ca="1">IFERROR(__xludf.DUMMYFUNCTION("""COMPUTED_VALUE"""),58784809)</f>
        <v>#NAME?</v>
      </c>
      <c r="B1474" s="100" t="e">
        <f ca="1">IFERROR(__xludf.DUMMYFUNCTION("""COMPUTED_VALUE"""),"XEMBUSD")</f>
        <v>#NAME?</v>
      </c>
      <c r="C1474" s="100" t="e">
        <f ca="1">IFERROR(__xludf.DUMMYFUNCTION("""COMPUTED_VALUE"""),"0.00000000")</f>
        <v>#NAME?</v>
      </c>
      <c r="D1474" s="100" t="e">
        <f t="shared" ca="1" si="263"/>
        <v>#NAME?</v>
      </c>
      <c r="E1474" s="100" t="e">
        <f t="shared" ca="1" si="263"/>
        <v>#NAME?</v>
      </c>
      <c r="F1474" s="100" t="e">
        <f t="shared" ref="F1474:F1537" ca="1" si="265">IFERROR(__xludf.DUMMYFUNCTION("""COMPUTED_VALUE"""),20200)</f>
        <v>#NAME?</v>
      </c>
      <c r="G1474" s="100" t="e">
        <f t="shared" ref="G1474:G1537" ca="1" si="266">IFERROR(__xludf.DUMMYFUNCTION("""COMPUTED_VALUE"""),2885)</f>
        <v>#NAME?</v>
      </c>
      <c r="H1474" s="100" t="e">
        <f t="shared" ref="H1474:H1537" ca="1" si="267">IFERROR(__xludf.DUMMYFUNCTION("""COMPUTED_VALUE"""),663)</f>
        <v>#NAME?</v>
      </c>
      <c r="I1474" s="100" t="e">
        <f t="shared" ref="I1474:I1537" ca="1" si="268">IFERROR(__xludf.DUMMYFUNCTION("""COMPUTED_VALUE"""),5817721)</f>
        <v>#NAME?</v>
      </c>
      <c r="J1474" s="100" t="e">
        <f t="shared" ca="1" si="264"/>
        <v>#NAME?</v>
      </c>
      <c r="K1474" s="100" t="e">
        <f t="shared" ref="K1474:K1537" ca="1" si="269">IFERROR(__xludf.DUMMYFUNCTION("""COMPUTED_VALUE"""),"22.04.2025 13:05:01")</f>
        <v>#NAME?</v>
      </c>
      <c r="L1474" s="100"/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</row>
    <row r="1475" spans="1:26">
      <c r="A1475" s="100" t="e">
        <f ca="1">IFERROR(__xludf.DUMMYFUNCTION("""COMPUTED_VALUE"""),58784810)</f>
        <v>#NAME?</v>
      </c>
      <c r="B1475" s="100" t="e">
        <f ca="1">IFERROR(__xludf.DUMMYFUNCTION("""COMPUTED_VALUE"""),"ATABTC")</f>
        <v>#NAME?</v>
      </c>
      <c r="C1475" s="100" t="e">
        <f ca="1">IFERROR(__xludf.DUMMYFUNCTION("""COMPUTED_VALUE"""),"0.00000065")</f>
        <v>#NAME?</v>
      </c>
      <c r="D1475" s="100" t="e">
        <f t="shared" ca="1" si="263"/>
        <v>#NAME?</v>
      </c>
      <c r="E1475" s="100" t="e">
        <f t="shared" ca="1" si="263"/>
        <v>#NAME?</v>
      </c>
      <c r="F1475" s="100" t="e">
        <f t="shared" ca="1" si="265"/>
        <v>#NAME?</v>
      </c>
      <c r="G1475" s="100" t="e">
        <f t="shared" ca="1" si="266"/>
        <v>#NAME?</v>
      </c>
      <c r="H1475" s="100" t="e">
        <f t="shared" ca="1" si="267"/>
        <v>#NAME?</v>
      </c>
      <c r="I1475" s="100" t="e">
        <f t="shared" ca="1" si="268"/>
        <v>#NAME?</v>
      </c>
      <c r="J1475" s="100" t="e">
        <f ca="1">IFERROR(__xludf.DUMMYFUNCTION("""COMPUTED_VALUE"""),"0.000")</f>
        <v>#NAME?</v>
      </c>
      <c r="K1475" s="100" t="e">
        <f t="shared" ca="1" si="269"/>
        <v>#NAME?</v>
      </c>
      <c r="L1475" s="100"/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</row>
    <row r="1476" spans="1:26">
      <c r="A1476" s="100" t="e">
        <f ca="1">IFERROR(__xludf.DUMMYFUNCTION("""COMPUTED_VALUE"""),58784811)</f>
        <v>#NAME?</v>
      </c>
      <c r="B1476" s="100" t="e">
        <f ca="1">IFERROR(__xludf.DUMMYFUNCTION("""COMPUTED_VALUE"""),"ATABNB")</f>
        <v>#NAME?</v>
      </c>
      <c r="C1476" s="100" t="e">
        <f ca="1">IFERROR(__xludf.DUMMYFUNCTION("""COMPUTED_VALUE"""),"0.00036900")</f>
        <v>#NAME?</v>
      </c>
      <c r="D1476" s="100" t="e">
        <f t="shared" ca="1" si="263"/>
        <v>#NAME?</v>
      </c>
      <c r="E1476" s="100" t="e">
        <f t="shared" ca="1" si="263"/>
        <v>#NAME?</v>
      </c>
      <c r="F1476" s="100" t="e">
        <f t="shared" ca="1" si="265"/>
        <v>#NAME?</v>
      </c>
      <c r="G1476" s="100" t="e">
        <f t="shared" ca="1" si="266"/>
        <v>#NAME?</v>
      </c>
      <c r="H1476" s="100" t="e">
        <f t="shared" ca="1" si="267"/>
        <v>#NAME?</v>
      </c>
      <c r="I1476" s="100" t="e">
        <f t="shared" ca="1" si="268"/>
        <v>#NAME?</v>
      </c>
      <c r="J1476" s="100" t="e">
        <f ca="1">IFERROR(__xludf.DUMMYFUNCTION("""COMPUTED_VALUE"""),"0")</f>
        <v>#NAME?</v>
      </c>
      <c r="K1476" s="100" t="e">
        <f t="shared" ca="1" si="269"/>
        <v>#NAME?</v>
      </c>
      <c r="L1476" s="100"/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</row>
    <row r="1477" spans="1:26">
      <c r="A1477" s="100" t="e">
        <f ca="1">IFERROR(__xludf.DUMMYFUNCTION("""COMPUTED_VALUE"""),58784812)</f>
        <v>#NAME?</v>
      </c>
      <c r="B1477" s="100" t="e">
        <f ca="1">IFERROR(__xludf.DUMMYFUNCTION("""COMPUTED_VALUE"""),"ATABUSD")</f>
        <v>#NAME?</v>
      </c>
      <c r="C1477" s="100" t="e">
        <f ca="1">IFERROR(__xludf.DUMMYFUNCTION("""COMPUTED_VALUE"""),"0.07920000")</f>
        <v>#NAME?</v>
      </c>
      <c r="D1477" s="100" t="e">
        <f t="shared" ca="1" si="263"/>
        <v>#NAME?</v>
      </c>
      <c r="E1477" s="100" t="e">
        <f t="shared" ca="1" si="263"/>
        <v>#NAME?</v>
      </c>
      <c r="F1477" s="100" t="e">
        <f t="shared" ca="1" si="265"/>
        <v>#NAME?</v>
      </c>
      <c r="G1477" s="100" t="e">
        <f t="shared" ca="1" si="266"/>
        <v>#NAME?</v>
      </c>
      <c r="H1477" s="100" t="e">
        <f t="shared" ca="1" si="267"/>
        <v>#NAME?</v>
      </c>
      <c r="I1477" s="100" t="e">
        <f t="shared" ca="1" si="268"/>
        <v>#NAME?</v>
      </c>
      <c r="J1477" s="100" t="e">
        <f ca="1">IFERROR(__xludf.DUMMYFUNCTION("""COMPUTED_VALUE"""),"0")</f>
        <v>#NAME?</v>
      </c>
      <c r="K1477" s="100" t="e">
        <f t="shared" ca="1" si="269"/>
        <v>#NAME?</v>
      </c>
      <c r="L1477" s="100"/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</row>
    <row r="1478" spans="1:26">
      <c r="A1478" s="100" t="e">
        <f ca="1">IFERROR(__xludf.DUMMYFUNCTION("""COMPUTED_VALUE"""),58784813)</f>
        <v>#NAME?</v>
      </c>
      <c r="B1478" s="100" t="e">
        <f ca="1">IFERROR(__xludf.DUMMYFUNCTION("""COMPUTED_VALUE"""),"ATAUSDT")</f>
        <v>#NAME?</v>
      </c>
      <c r="C1478" s="100" t="e">
        <f ca="1">IFERROR(__xludf.DUMMYFUNCTION("""COMPUTED_VALUE"""),"0.05630000")</f>
        <v>#NAME?</v>
      </c>
      <c r="D1478" s="100" t="e">
        <f t="shared" ca="1" si="263"/>
        <v>#NAME?</v>
      </c>
      <c r="E1478" s="100" t="e">
        <f t="shared" ca="1" si="263"/>
        <v>#NAME?</v>
      </c>
      <c r="F1478" s="100" t="e">
        <f t="shared" ca="1" si="265"/>
        <v>#NAME?</v>
      </c>
      <c r="G1478" s="100" t="e">
        <f t="shared" ca="1" si="266"/>
        <v>#NAME?</v>
      </c>
      <c r="H1478" s="100" t="e">
        <f t="shared" ca="1" si="267"/>
        <v>#NAME?</v>
      </c>
      <c r="I1478" s="100" t="e">
        <f t="shared" ca="1" si="268"/>
        <v>#NAME?</v>
      </c>
      <c r="J1478" s="100" t="e">
        <f ca="1">IFERROR(__xludf.DUMMYFUNCTION("""COMPUTED_VALUE"""),"-1.228")</f>
        <v>#NAME?</v>
      </c>
      <c r="K1478" s="100" t="e">
        <f t="shared" ca="1" si="269"/>
        <v>#NAME?</v>
      </c>
      <c r="L1478" s="100"/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</row>
    <row r="1479" spans="1:26">
      <c r="A1479" s="100" t="e">
        <f ca="1">IFERROR(__xludf.DUMMYFUNCTION("""COMPUTED_VALUE"""),58784814)</f>
        <v>#NAME?</v>
      </c>
      <c r="B1479" s="100" t="e">
        <f ca="1">IFERROR(__xludf.DUMMYFUNCTION("""COMPUTED_VALUE"""),"GTCBTC")</f>
        <v>#NAME?</v>
      </c>
      <c r="C1479" s="100" t="e">
        <f ca="1">IFERROR(__xludf.DUMMYFUNCTION("""COMPUTED_VALUE"""),"0.00000688")</f>
        <v>#NAME?</v>
      </c>
      <c r="D1479" s="100" t="e">
        <f t="shared" ca="1" si="263"/>
        <v>#NAME?</v>
      </c>
      <c r="E1479" s="100" t="e">
        <f t="shared" ca="1" si="263"/>
        <v>#NAME?</v>
      </c>
      <c r="F1479" s="100" t="e">
        <f t="shared" ca="1" si="265"/>
        <v>#NAME?</v>
      </c>
      <c r="G1479" s="100" t="e">
        <f t="shared" ca="1" si="266"/>
        <v>#NAME?</v>
      </c>
      <c r="H1479" s="100" t="e">
        <f t="shared" ca="1" si="267"/>
        <v>#NAME?</v>
      </c>
      <c r="I1479" s="100" t="e">
        <f t="shared" ca="1" si="268"/>
        <v>#NAME?</v>
      </c>
      <c r="J1479" s="100" t="e">
        <f ca="1">IFERROR(__xludf.DUMMYFUNCTION("""COMPUTED_VALUE"""),"0")</f>
        <v>#NAME?</v>
      </c>
      <c r="K1479" s="100" t="e">
        <f t="shared" ca="1" si="269"/>
        <v>#NAME?</v>
      </c>
      <c r="L1479" s="100"/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</row>
    <row r="1480" spans="1:26">
      <c r="A1480" s="100" t="e">
        <f ca="1">IFERROR(__xludf.DUMMYFUNCTION("""COMPUTED_VALUE"""),58784815)</f>
        <v>#NAME?</v>
      </c>
      <c r="B1480" s="100" t="e">
        <f ca="1">IFERROR(__xludf.DUMMYFUNCTION("""COMPUTED_VALUE"""),"GTCBNB")</f>
        <v>#NAME?</v>
      </c>
      <c r="C1480" s="100" t="e">
        <f ca="1">IFERROR(__xludf.DUMMYFUNCTION("""COMPUTED_VALUE"""),"0.00000000")</f>
        <v>#NAME?</v>
      </c>
      <c r="D1480" s="100" t="e">
        <f t="shared" ca="1" si="263"/>
        <v>#NAME?</v>
      </c>
      <c r="E1480" s="100" t="e">
        <f t="shared" ca="1" si="263"/>
        <v>#NAME?</v>
      </c>
      <c r="F1480" s="100" t="e">
        <f t="shared" ca="1" si="265"/>
        <v>#NAME?</v>
      </c>
      <c r="G1480" s="100" t="e">
        <f t="shared" ca="1" si="266"/>
        <v>#NAME?</v>
      </c>
      <c r="H1480" s="100" t="e">
        <f t="shared" ca="1" si="267"/>
        <v>#NAME?</v>
      </c>
      <c r="I1480" s="100" t="e">
        <f t="shared" ca="1" si="268"/>
        <v>#NAME?</v>
      </c>
      <c r="J1480" s="100" t="e">
        <f ca="1">IFERROR(__xludf.DUMMYFUNCTION("""COMPUTED_VALUE"""),"0")</f>
        <v>#NAME?</v>
      </c>
      <c r="K1480" s="100" t="e">
        <f t="shared" ca="1" si="269"/>
        <v>#NAME?</v>
      </c>
      <c r="L1480" s="100"/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</row>
    <row r="1481" spans="1:26">
      <c r="A1481" s="100" t="e">
        <f ca="1">IFERROR(__xludf.DUMMYFUNCTION("""COMPUTED_VALUE"""),58784816)</f>
        <v>#NAME?</v>
      </c>
      <c r="B1481" s="100" t="e">
        <f ca="1">IFERROR(__xludf.DUMMYFUNCTION("""COMPUTED_VALUE"""),"GTCBUSD")</f>
        <v>#NAME?</v>
      </c>
      <c r="C1481" s="100" t="e">
        <f ca="1">IFERROR(__xludf.DUMMYFUNCTION("""COMPUTED_VALUE"""),"0.95200000")</f>
        <v>#NAME?</v>
      </c>
      <c r="D1481" s="100" t="e">
        <f t="shared" ca="1" si="263"/>
        <v>#NAME?</v>
      </c>
      <c r="E1481" s="100" t="e">
        <f t="shared" ca="1" si="263"/>
        <v>#NAME?</v>
      </c>
      <c r="F1481" s="100" t="e">
        <f t="shared" ca="1" si="265"/>
        <v>#NAME?</v>
      </c>
      <c r="G1481" s="100" t="e">
        <f t="shared" ca="1" si="266"/>
        <v>#NAME?</v>
      </c>
      <c r="H1481" s="100" t="e">
        <f t="shared" ca="1" si="267"/>
        <v>#NAME?</v>
      </c>
      <c r="I1481" s="100" t="e">
        <f t="shared" ca="1" si="268"/>
        <v>#NAME?</v>
      </c>
      <c r="J1481" s="100" t="e">
        <f ca="1">IFERROR(__xludf.DUMMYFUNCTION("""COMPUTED_VALUE"""),"0")</f>
        <v>#NAME?</v>
      </c>
      <c r="K1481" s="100" t="e">
        <f t="shared" ca="1" si="269"/>
        <v>#NAME?</v>
      </c>
      <c r="L1481" s="100"/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</row>
    <row r="1482" spans="1:26">
      <c r="A1482" s="100" t="e">
        <f ca="1">IFERROR(__xludf.DUMMYFUNCTION("""COMPUTED_VALUE"""),58784817)</f>
        <v>#NAME?</v>
      </c>
      <c r="B1482" s="100" t="e">
        <f ca="1">IFERROR(__xludf.DUMMYFUNCTION("""COMPUTED_VALUE"""),"GTCUSDT")</f>
        <v>#NAME?</v>
      </c>
      <c r="C1482" s="100" t="e">
        <f ca="1">IFERROR(__xludf.DUMMYFUNCTION("""COMPUTED_VALUE"""),"0.29600000")</f>
        <v>#NAME?</v>
      </c>
      <c r="D1482" s="100" t="e">
        <f t="shared" ref="D1482:E1501" ca="1" si="270">IFERROR(__xludf.DUMMYFUNCTION("""COMPUTED_VALUE"""),"-")</f>
        <v>#NAME?</v>
      </c>
      <c r="E1482" s="100" t="e">
        <f t="shared" ca="1" si="270"/>
        <v>#NAME?</v>
      </c>
      <c r="F1482" s="100" t="e">
        <f t="shared" ca="1" si="265"/>
        <v>#NAME?</v>
      </c>
      <c r="G1482" s="100" t="e">
        <f t="shared" ca="1" si="266"/>
        <v>#NAME?</v>
      </c>
      <c r="H1482" s="100" t="e">
        <f t="shared" ca="1" si="267"/>
        <v>#NAME?</v>
      </c>
      <c r="I1482" s="100" t="e">
        <f t="shared" ca="1" si="268"/>
        <v>#NAME?</v>
      </c>
      <c r="J1482" s="100" t="e">
        <f ca="1">IFERROR(__xludf.DUMMYFUNCTION("""COMPUTED_VALUE"""),"-7.500")</f>
        <v>#NAME?</v>
      </c>
      <c r="K1482" s="100" t="e">
        <f t="shared" ca="1" si="269"/>
        <v>#NAME?</v>
      </c>
      <c r="L1482" s="100"/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</row>
    <row r="1483" spans="1:26">
      <c r="A1483" s="100" t="e">
        <f ca="1">IFERROR(__xludf.DUMMYFUNCTION("""COMPUTED_VALUE"""),58784818)</f>
        <v>#NAME?</v>
      </c>
      <c r="B1483" s="100" t="e">
        <f ca="1">IFERROR(__xludf.DUMMYFUNCTION("""COMPUTED_VALUE"""),"TORNBTC")</f>
        <v>#NAME?</v>
      </c>
      <c r="C1483" s="100" t="e">
        <f ca="1">IFERROR(__xludf.DUMMYFUNCTION("""COMPUTED_VALUE"""),"0.00023980")</f>
        <v>#NAME?</v>
      </c>
      <c r="D1483" s="100" t="e">
        <f t="shared" ca="1" si="270"/>
        <v>#NAME?</v>
      </c>
      <c r="E1483" s="100" t="e">
        <f t="shared" ca="1" si="270"/>
        <v>#NAME?</v>
      </c>
      <c r="F1483" s="100" t="e">
        <f t="shared" ca="1" si="265"/>
        <v>#NAME?</v>
      </c>
      <c r="G1483" s="100" t="e">
        <f t="shared" ca="1" si="266"/>
        <v>#NAME?</v>
      </c>
      <c r="H1483" s="100" t="e">
        <f t="shared" ca="1" si="267"/>
        <v>#NAME?</v>
      </c>
      <c r="I1483" s="100" t="e">
        <f t="shared" ca="1" si="268"/>
        <v>#NAME?</v>
      </c>
      <c r="J1483" s="100" t="e">
        <f t="shared" ref="J1483:J1489" ca="1" si="271">IFERROR(__xludf.DUMMYFUNCTION("""COMPUTED_VALUE"""),"0")</f>
        <v>#NAME?</v>
      </c>
      <c r="K1483" s="100" t="e">
        <f t="shared" ca="1" si="269"/>
        <v>#NAME?</v>
      </c>
      <c r="L1483" s="100"/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</row>
    <row r="1484" spans="1:26">
      <c r="A1484" s="100" t="e">
        <f ca="1">IFERROR(__xludf.DUMMYFUNCTION("""COMPUTED_VALUE"""),58784819)</f>
        <v>#NAME?</v>
      </c>
      <c r="B1484" s="100" t="e">
        <f ca="1">IFERROR(__xludf.DUMMYFUNCTION("""COMPUTED_VALUE"""),"TORNBNB")</f>
        <v>#NAME?</v>
      </c>
      <c r="C1484" s="100" t="e">
        <f ca="1">IFERROR(__xludf.DUMMYFUNCTION("""COMPUTED_VALUE"""),"0.00000000")</f>
        <v>#NAME?</v>
      </c>
      <c r="D1484" s="100" t="e">
        <f t="shared" ca="1" si="270"/>
        <v>#NAME?</v>
      </c>
      <c r="E1484" s="100" t="e">
        <f t="shared" ca="1" si="270"/>
        <v>#NAME?</v>
      </c>
      <c r="F1484" s="100" t="e">
        <f t="shared" ca="1" si="265"/>
        <v>#NAME?</v>
      </c>
      <c r="G1484" s="100" t="e">
        <f t="shared" ca="1" si="266"/>
        <v>#NAME?</v>
      </c>
      <c r="H1484" s="100" t="e">
        <f t="shared" ca="1" si="267"/>
        <v>#NAME?</v>
      </c>
      <c r="I1484" s="100" t="e">
        <f t="shared" ca="1" si="268"/>
        <v>#NAME?</v>
      </c>
      <c r="J1484" s="100" t="e">
        <f t="shared" ca="1" si="271"/>
        <v>#NAME?</v>
      </c>
      <c r="K1484" s="100" t="e">
        <f t="shared" ca="1" si="269"/>
        <v>#NAME?</v>
      </c>
      <c r="L1484" s="100"/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</row>
    <row r="1485" spans="1:26">
      <c r="A1485" s="100" t="e">
        <f ca="1">IFERROR(__xludf.DUMMYFUNCTION("""COMPUTED_VALUE"""),58784820)</f>
        <v>#NAME?</v>
      </c>
      <c r="B1485" s="100" t="e">
        <f ca="1">IFERROR(__xludf.DUMMYFUNCTION("""COMPUTED_VALUE"""),"TORNBUSD")</f>
        <v>#NAME?</v>
      </c>
      <c r="C1485" s="100" t="e">
        <f ca="1">IFERROR(__xludf.DUMMYFUNCTION("""COMPUTED_VALUE"""),"1.69000000")</f>
        <v>#NAME?</v>
      </c>
      <c r="D1485" s="100" t="e">
        <f t="shared" ca="1" si="270"/>
        <v>#NAME?</v>
      </c>
      <c r="E1485" s="100" t="e">
        <f t="shared" ca="1" si="270"/>
        <v>#NAME?</v>
      </c>
      <c r="F1485" s="100" t="e">
        <f t="shared" ca="1" si="265"/>
        <v>#NAME?</v>
      </c>
      <c r="G1485" s="100" t="e">
        <f t="shared" ca="1" si="266"/>
        <v>#NAME?</v>
      </c>
      <c r="H1485" s="100" t="e">
        <f t="shared" ca="1" si="267"/>
        <v>#NAME?</v>
      </c>
      <c r="I1485" s="100" t="e">
        <f t="shared" ca="1" si="268"/>
        <v>#NAME?</v>
      </c>
      <c r="J1485" s="100" t="e">
        <f t="shared" ca="1" si="271"/>
        <v>#NAME?</v>
      </c>
      <c r="K1485" s="100" t="e">
        <f t="shared" ca="1" si="269"/>
        <v>#NAME?</v>
      </c>
      <c r="L1485" s="100"/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</row>
    <row r="1486" spans="1:26">
      <c r="A1486" s="100" t="e">
        <f ca="1">IFERROR(__xludf.DUMMYFUNCTION("""COMPUTED_VALUE"""),58784821)</f>
        <v>#NAME?</v>
      </c>
      <c r="B1486" s="100" t="e">
        <f ca="1">IFERROR(__xludf.DUMMYFUNCTION("""COMPUTED_VALUE"""),"TORNUSDT")</f>
        <v>#NAME?</v>
      </c>
      <c r="C1486" s="100" t="e">
        <f ca="1">IFERROR(__xludf.DUMMYFUNCTION("""COMPUTED_VALUE"""),"4.06000000")</f>
        <v>#NAME?</v>
      </c>
      <c r="D1486" s="100" t="e">
        <f t="shared" ca="1" si="270"/>
        <v>#NAME?</v>
      </c>
      <c r="E1486" s="100" t="e">
        <f t="shared" ca="1" si="270"/>
        <v>#NAME?</v>
      </c>
      <c r="F1486" s="100" t="e">
        <f t="shared" ca="1" si="265"/>
        <v>#NAME?</v>
      </c>
      <c r="G1486" s="100" t="e">
        <f t="shared" ca="1" si="266"/>
        <v>#NAME?</v>
      </c>
      <c r="H1486" s="100" t="e">
        <f t="shared" ca="1" si="267"/>
        <v>#NAME?</v>
      </c>
      <c r="I1486" s="100" t="e">
        <f t="shared" ca="1" si="268"/>
        <v>#NAME?</v>
      </c>
      <c r="J1486" s="100" t="e">
        <f t="shared" ca="1" si="271"/>
        <v>#NAME?</v>
      </c>
      <c r="K1486" s="100" t="e">
        <f t="shared" ca="1" si="269"/>
        <v>#NAME?</v>
      </c>
      <c r="L1486" s="100"/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</row>
    <row r="1487" spans="1:26">
      <c r="A1487" s="100" t="e">
        <f ca="1">IFERROR(__xludf.DUMMYFUNCTION("""COMPUTED_VALUE"""),58784822)</f>
        <v>#NAME?</v>
      </c>
      <c r="B1487" s="100" t="e">
        <f ca="1">IFERROR(__xludf.DUMMYFUNCTION("""COMPUTED_VALUE"""),"MATICTRY")</f>
        <v>#NAME?</v>
      </c>
      <c r="C1487" s="100" t="e">
        <f ca="1">IFERROR(__xludf.DUMMYFUNCTION("""COMPUTED_VALUE"""),"12.92000000")</f>
        <v>#NAME?</v>
      </c>
      <c r="D1487" s="100" t="e">
        <f t="shared" ca="1" si="270"/>
        <v>#NAME?</v>
      </c>
      <c r="E1487" s="100" t="e">
        <f t="shared" ca="1" si="270"/>
        <v>#NAME?</v>
      </c>
      <c r="F1487" s="100" t="e">
        <f t="shared" ca="1" si="265"/>
        <v>#NAME?</v>
      </c>
      <c r="G1487" s="100" t="e">
        <f t="shared" ca="1" si="266"/>
        <v>#NAME?</v>
      </c>
      <c r="H1487" s="100" t="e">
        <f t="shared" ca="1" si="267"/>
        <v>#NAME?</v>
      </c>
      <c r="I1487" s="100" t="e">
        <f t="shared" ca="1" si="268"/>
        <v>#NAME?</v>
      </c>
      <c r="J1487" s="100" t="e">
        <f t="shared" ca="1" si="271"/>
        <v>#NAME?</v>
      </c>
      <c r="K1487" s="100" t="e">
        <f t="shared" ca="1" si="269"/>
        <v>#NAME?</v>
      </c>
      <c r="L1487" s="100"/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</row>
    <row r="1488" spans="1:26">
      <c r="A1488" s="100" t="e">
        <f ca="1">IFERROR(__xludf.DUMMYFUNCTION("""COMPUTED_VALUE"""),58784823)</f>
        <v>#NAME?</v>
      </c>
      <c r="B1488" s="100" t="e">
        <f ca="1">IFERROR(__xludf.DUMMYFUNCTION("""COMPUTED_VALUE"""),"ETCGBP")</f>
        <v>#NAME?</v>
      </c>
      <c r="C1488" s="100" t="e">
        <f ca="1">IFERROR(__xludf.DUMMYFUNCTION("""COMPUTED_VALUE"""),"0.00000000")</f>
        <v>#NAME?</v>
      </c>
      <c r="D1488" s="100" t="e">
        <f t="shared" ca="1" si="270"/>
        <v>#NAME?</v>
      </c>
      <c r="E1488" s="100" t="e">
        <f t="shared" ca="1" si="270"/>
        <v>#NAME?</v>
      </c>
      <c r="F1488" s="100" t="e">
        <f t="shared" ca="1" si="265"/>
        <v>#NAME?</v>
      </c>
      <c r="G1488" s="100" t="e">
        <f t="shared" ca="1" si="266"/>
        <v>#NAME?</v>
      </c>
      <c r="H1488" s="100" t="e">
        <f t="shared" ca="1" si="267"/>
        <v>#NAME?</v>
      </c>
      <c r="I1488" s="100" t="e">
        <f t="shared" ca="1" si="268"/>
        <v>#NAME?</v>
      </c>
      <c r="J1488" s="100" t="e">
        <f t="shared" ca="1" si="271"/>
        <v>#NAME?</v>
      </c>
      <c r="K1488" s="100" t="e">
        <f t="shared" ca="1" si="269"/>
        <v>#NAME?</v>
      </c>
      <c r="L1488" s="100"/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</row>
    <row r="1489" spans="1:26">
      <c r="A1489" s="100" t="e">
        <f ca="1">IFERROR(__xludf.DUMMYFUNCTION("""COMPUTED_VALUE"""),58784824)</f>
        <v>#NAME?</v>
      </c>
      <c r="B1489" s="100" t="e">
        <f ca="1">IFERROR(__xludf.DUMMYFUNCTION("""COMPUTED_VALUE"""),"SOLGBP")</f>
        <v>#NAME?</v>
      </c>
      <c r="C1489" s="100" t="e">
        <f ca="1">IFERROR(__xludf.DUMMYFUNCTION("""COMPUTED_VALUE"""),"88.08000000")</f>
        <v>#NAME?</v>
      </c>
      <c r="D1489" s="100" t="e">
        <f t="shared" ca="1" si="270"/>
        <v>#NAME?</v>
      </c>
      <c r="E1489" s="100" t="e">
        <f t="shared" ca="1" si="270"/>
        <v>#NAME?</v>
      </c>
      <c r="F1489" s="100" t="e">
        <f t="shared" ca="1" si="265"/>
        <v>#NAME?</v>
      </c>
      <c r="G1489" s="100" t="e">
        <f t="shared" ca="1" si="266"/>
        <v>#NAME?</v>
      </c>
      <c r="H1489" s="100" t="e">
        <f t="shared" ca="1" si="267"/>
        <v>#NAME?</v>
      </c>
      <c r="I1489" s="100" t="e">
        <f t="shared" ca="1" si="268"/>
        <v>#NAME?</v>
      </c>
      <c r="J1489" s="100" t="e">
        <f t="shared" ca="1" si="271"/>
        <v>#NAME?</v>
      </c>
      <c r="K1489" s="100" t="e">
        <f t="shared" ca="1" si="269"/>
        <v>#NAME?</v>
      </c>
      <c r="L1489" s="100"/>
      <c r="M1489" s="100"/>
      <c r="N1489" s="100"/>
      <c r="O1489" s="100"/>
      <c r="P1489" s="100"/>
      <c r="Q1489" s="100"/>
      <c r="R1489" s="100"/>
      <c r="S1489" s="100"/>
      <c r="T1489" s="100"/>
      <c r="U1489" s="100"/>
      <c r="V1489" s="100"/>
      <c r="W1489" s="100"/>
      <c r="X1489" s="100"/>
      <c r="Y1489" s="100"/>
      <c r="Z1489" s="100"/>
    </row>
    <row r="1490" spans="1:26">
      <c r="A1490" s="100" t="e">
        <f ca="1">IFERROR(__xludf.DUMMYFUNCTION("""COMPUTED_VALUE"""),58784825)</f>
        <v>#NAME?</v>
      </c>
      <c r="B1490" s="100" t="e">
        <f ca="1">IFERROR(__xludf.DUMMYFUNCTION("""COMPUTED_VALUE"""),"BAKEBTC")</f>
        <v>#NAME?</v>
      </c>
      <c r="C1490" s="100" t="e">
        <f ca="1">IFERROR(__xludf.DUMMYFUNCTION("""COMPUTED_VALUE"""),"0.00000140")</f>
        <v>#NAME?</v>
      </c>
      <c r="D1490" s="100" t="e">
        <f t="shared" ca="1" si="270"/>
        <v>#NAME?</v>
      </c>
      <c r="E1490" s="100" t="e">
        <f t="shared" ca="1" si="270"/>
        <v>#NAME?</v>
      </c>
      <c r="F1490" s="100" t="e">
        <f t="shared" ca="1" si="265"/>
        <v>#NAME?</v>
      </c>
      <c r="G1490" s="100" t="e">
        <f t="shared" ca="1" si="266"/>
        <v>#NAME?</v>
      </c>
      <c r="H1490" s="100" t="e">
        <f t="shared" ca="1" si="267"/>
        <v>#NAME?</v>
      </c>
      <c r="I1490" s="100" t="e">
        <f t="shared" ca="1" si="268"/>
        <v>#NAME?</v>
      </c>
      <c r="J1490" s="100" t="e">
        <f ca="1">IFERROR(__xludf.DUMMYFUNCTION("""COMPUTED_VALUE"""),"-4.110")</f>
        <v>#NAME?</v>
      </c>
      <c r="K1490" s="100" t="e">
        <f t="shared" ca="1" si="269"/>
        <v>#NAME?</v>
      </c>
      <c r="L1490" s="100"/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</row>
    <row r="1491" spans="1:26">
      <c r="A1491" s="100" t="e">
        <f ca="1">IFERROR(__xludf.DUMMYFUNCTION("""COMPUTED_VALUE"""),58784826)</f>
        <v>#NAME?</v>
      </c>
      <c r="B1491" s="100" t="e">
        <f ca="1">IFERROR(__xludf.DUMMYFUNCTION("""COMPUTED_VALUE"""),"COTIBUSD")</f>
        <v>#NAME?</v>
      </c>
      <c r="C1491" s="100" t="e">
        <f ca="1">IFERROR(__xludf.DUMMYFUNCTION("""COMPUTED_VALUE"""),"0.03732000")</f>
        <v>#NAME?</v>
      </c>
      <c r="D1491" s="100" t="e">
        <f t="shared" ca="1" si="270"/>
        <v>#NAME?</v>
      </c>
      <c r="E1491" s="100" t="e">
        <f t="shared" ca="1" si="270"/>
        <v>#NAME?</v>
      </c>
      <c r="F1491" s="100" t="e">
        <f t="shared" ca="1" si="265"/>
        <v>#NAME?</v>
      </c>
      <c r="G1491" s="100" t="e">
        <f t="shared" ca="1" si="266"/>
        <v>#NAME?</v>
      </c>
      <c r="H1491" s="100" t="e">
        <f t="shared" ca="1" si="267"/>
        <v>#NAME?</v>
      </c>
      <c r="I1491" s="100" t="e">
        <f t="shared" ca="1" si="268"/>
        <v>#NAME?</v>
      </c>
      <c r="J1491" s="100" t="e">
        <f ca="1">IFERROR(__xludf.DUMMYFUNCTION("""COMPUTED_VALUE"""),"0")</f>
        <v>#NAME?</v>
      </c>
      <c r="K1491" s="100" t="e">
        <f t="shared" ca="1" si="269"/>
        <v>#NAME?</v>
      </c>
      <c r="L1491" s="100"/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</row>
    <row r="1492" spans="1:26">
      <c r="A1492" s="100" t="e">
        <f ca="1">IFERROR(__xludf.DUMMYFUNCTION("""COMPUTED_VALUE"""),58784827)</f>
        <v>#NAME?</v>
      </c>
      <c r="B1492" s="100" t="e">
        <f ca="1">IFERROR(__xludf.DUMMYFUNCTION("""COMPUTED_VALUE"""),"KEEPBTC")</f>
        <v>#NAME?</v>
      </c>
      <c r="C1492" s="100" t="e">
        <f ca="1">IFERROR(__xludf.DUMMYFUNCTION("""COMPUTED_VALUE"""),"0.00000000")</f>
        <v>#NAME?</v>
      </c>
      <c r="D1492" s="100" t="e">
        <f t="shared" ca="1" si="270"/>
        <v>#NAME?</v>
      </c>
      <c r="E1492" s="100" t="e">
        <f t="shared" ca="1" si="270"/>
        <v>#NAME?</v>
      </c>
      <c r="F1492" s="100" t="e">
        <f t="shared" ca="1" si="265"/>
        <v>#NAME?</v>
      </c>
      <c r="G1492" s="100" t="e">
        <f t="shared" ca="1" si="266"/>
        <v>#NAME?</v>
      </c>
      <c r="H1492" s="100" t="e">
        <f t="shared" ca="1" si="267"/>
        <v>#NAME?</v>
      </c>
      <c r="I1492" s="100" t="e">
        <f t="shared" ca="1" si="268"/>
        <v>#NAME?</v>
      </c>
      <c r="J1492" s="100" t="e">
        <f ca="1">IFERROR(__xludf.DUMMYFUNCTION("""COMPUTED_VALUE"""),"0")</f>
        <v>#NAME?</v>
      </c>
      <c r="K1492" s="100" t="e">
        <f t="shared" ca="1" si="269"/>
        <v>#NAME?</v>
      </c>
      <c r="L1492" s="100"/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</row>
    <row r="1493" spans="1:26">
      <c r="A1493" s="100" t="e">
        <f ca="1">IFERROR(__xludf.DUMMYFUNCTION("""COMPUTED_VALUE"""),58784828)</f>
        <v>#NAME?</v>
      </c>
      <c r="B1493" s="100" t="e">
        <f ca="1">IFERROR(__xludf.DUMMYFUNCTION("""COMPUTED_VALUE"""),"KEEPBNB")</f>
        <v>#NAME?</v>
      </c>
      <c r="C1493" s="100" t="e">
        <f ca="1">IFERROR(__xludf.DUMMYFUNCTION("""COMPUTED_VALUE"""),"0.00000000")</f>
        <v>#NAME?</v>
      </c>
      <c r="D1493" s="100" t="e">
        <f t="shared" ca="1" si="270"/>
        <v>#NAME?</v>
      </c>
      <c r="E1493" s="100" t="e">
        <f t="shared" ca="1" si="270"/>
        <v>#NAME?</v>
      </c>
      <c r="F1493" s="100" t="e">
        <f t="shared" ca="1" si="265"/>
        <v>#NAME?</v>
      </c>
      <c r="G1493" s="100" t="e">
        <f t="shared" ca="1" si="266"/>
        <v>#NAME?</v>
      </c>
      <c r="H1493" s="100" t="e">
        <f t="shared" ca="1" si="267"/>
        <v>#NAME?</v>
      </c>
      <c r="I1493" s="100" t="e">
        <f t="shared" ca="1" si="268"/>
        <v>#NAME?</v>
      </c>
      <c r="J1493" s="100" t="e">
        <f ca="1">IFERROR(__xludf.DUMMYFUNCTION("""COMPUTED_VALUE"""),"0")</f>
        <v>#NAME?</v>
      </c>
      <c r="K1493" s="100" t="e">
        <f t="shared" ca="1" si="269"/>
        <v>#NAME?</v>
      </c>
      <c r="L1493" s="100"/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</row>
    <row r="1494" spans="1:26">
      <c r="A1494" s="100" t="e">
        <f ca="1">IFERROR(__xludf.DUMMYFUNCTION("""COMPUTED_VALUE"""),58784829)</f>
        <v>#NAME?</v>
      </c>
      <c r="B1494" s="100" t="e">
        <f ca="1">IFERROR(__xludf.DUMMYFUNCTION("""COMPUTED_VALUE"""),"KEEPBUSD")</f>
        <v>#NAME?</v>
      </c>
      <c r="C1494" s="100" t="e">
        <f ca="1">IFERROR(__xludf.DUMMYFUNCTION("""COMPUTED_VALUE"""),"0.00000000")</f>
        <v>#NAME?</v>
      </c>
      <c r="D1494" s="100" t="e">
        <f t="shared" ca="1" si="270"/>
        <v>#NAME?</v>
      </c>
      <c r="E1494" s="100" t="e">
        <f t="shared" ca="1" si="270"/>
        <v>#NAME?</v>
      </c>
      <c r="F1494" s="100" t="e">
        <f t="shared" ca="1" si="265"/>
        <v>#NAME?</v>
      </c>
      <c r="G1494" s="100" t="e">
        <f t="shared" ca="1" si="266"/>
        <v>#NAME?</v>
      </c>
      <c r="H1494" s="100" t="e">
        <f t="shared" ca="1" si="267"/>
        <v>#NAME?</v>
      </c>
      <c r="I1494" s="100" t="e">
        <f t="shared" ca="1" si="268"/>
        <v>#NAME?</v>
      </c>
      <c r="J1494" s="100" t="e">
        <f ca="1">IFERROR(__xludf.DUMMYFUNCTION("""COMPUTED_VALUE"""),"0")</f>
        <v>#NAME?</v>
      </c>
      <c r="K1494" s="100" t="e">
        <f t="shared" ca="1" si="269"/>
        <v>#NAME?</v>
      </c>
      <c r="L1494" s="100"/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</row>
    <row r="1495" spans="1:26">
      <c r="A1495" s="100" t="e">
        <f ca="1">IFERROR(__xludf.DUMMYFUNCTION("""COMPUTED_VALUE"""),58784830)</f>
        <v>#NAME?</v>
      </c>
      <c r="B1495" s="100" t="e">
        <f ca="1">IFERROR(__xludf.DUMMYFUNCTION("""COMPUTED_VALUE"""),"KEEPUSDT")</f>
        <v>#NAME?</v>
      </c>
      <c r="C1495" s="100" t="e">
        <f ca="1">IFERROR(__xludf.DUMMYFUNCTION("""COMPUTED_VALUE"""),"0.00000000")</f>
        <v>#NAME?</v>
      </c>
      <c r="D1495" s="100" t="e">
        <f t="shared" ca="1" si="270"/>
        <v>#NAME?</v>
      </c>
      <c r="E1495" s="100" t="e">
        <f t="shared" ca="1" si="270"/>
        <v>#NAME?</v>
      </c>
      <c r="F1495" s="100" t="e">
        <f t="shared" ca="1" si="265"/>
        <v>#NAME?</v>
      </c>
      <c r="G1495" s="100" t="e">
        <f t="shared" ca="1" si="266"/>
        <v>#NAME?</v>
      </c>
      <c r="H1495" s="100" t="e">
        <f t="shared" ca="1" si="267"/>
        <v>#NAME?</v>
      </c>
      <c r="I1495" s="100" t="e">
        <f t="shared" ca="1" si="268"/>
        <v>#NAME?</v>
      </c>
      <c r="J1495" s="100" t="e">
        <f ca="1">IFERROR(__xludf.DUMMYFUNCTION("""COMPUTED_VALUE"""),"0")</f>
        <v>#NAME?</v>
      </c>
      <c r="K1495" s="100" t="e">
        <f t="shared" ca="1" si="269"/>
        <v>#NAME?</v>
      </c>
      <c r="L1495" s="100"/>
      <c r="M1495" s="100"/>
      <c r="N1495" s="100"/>
      <c r="O1495" s="100"/>
      <c r="P1495" s="100"/>
      <c r="Q1495" s="100"/>
      <c r="R1495" s="100"/>
      <c r="S1495" s="100"/>
      <c r="T1495" s="100"/>
      <c r="U1495" s="100"/>
      <c r="V1495" s="100"/>
      <c r="W1495" s="100"/>
      <c r="X1495" s="100"/>
      <c r="Y1495" s="100"/>
      <c r="Z1495" s="100"/>
    </row>
    <row r="1496" spans="1:26">
      <c r="A1496" s="100" t="e">
        <f ca="1">IFERROR(__xludf.DUMMYFUNCTION("""COMPUTED_VALUE"""),58784831)</f>
        <v>#NAME?</v>
      </c>
      <c r="B1496" s="100" t="e">
        <f ca="1">IFERROR(__xludf.DUMMYFUNCTION("""COMPUTED_VALUE"""),"SOLTRY")</f>
        <v>#NAME?</v>
      </c>
      <c r="C1496" s="100" t="e">
        <f ca="1">IFERROR(__xludf.DUMMYFUNCTION("""COMPUTED_VALUE"""),"5353.80000000")</f>
        <v>#NAME?</v>
      </c>
      <c r="D1496" s="100" t="e">
        <f t="shared" ca="1" si="270"/>
        <v>#NAME?</v>
      </c>
      <c r="E1496" s="100" t="e">
        <f t="shared" ca="1" si="270"/>
        <v>#NAME?</v>
      </c>
      <c r="F1496" s="100" t="e">
        <f t="shared" ca="1" si="265"/>
        <v>#NAME?</v>
      </c>
      <c r="G1496" s="100" t="e">
        <f t="shared" ca="1" si="266"/>
        <v>#NAME?</v>
      </c>
      <c r="H1496" s="100" t="e">
        <f t="shared" ca="1" si="267"/>
        <v>#NAME?</v>
      </c>
      <c r="I1496" s="100" t="e">
        <f t="shared" ca="1" si="268"/>
        <v>#NAME?</v>
      </c>
      <c r="J1496" s="100" t="e">
        <f ca="1">IFERROR(__xludf.DUMMYFUNCTION("""COMPUTED_VALUE"""),"0.009")</f>
        <v>#NAME?</v>
      </c>
      <c r="K1496" s="100" t="e">
        <f t="shared" ca="1" si="269"/>
        <v>#NAME?</v>
      </c>
      <c r="L1496" s="100"/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</row>
    <row r="1497" spans="1:26">
      <c r="A1497" s="100" t="e">
        <f ca="1">IFERROR(__xludf.DUMMYFUNCTION("""COMPUTED_VALUE"""),58784832)</f>
        <v>#NAME?</v>
      </c>
      <c r="B1497" s="100" t="e">
        <f ca="1">IFERROR(__xludf.DUMMYFUNCTION("""COMPUTED_VALUE"""),"RUNEGBP")</f>
        <v>#NAME?</v>
      </c>
      <c r="C1497" s="100" t="e">
        <f ca="1">IFERROR(__xludf.DUMMYFUNCTION("""COMPUTED_VALUE"""),"1.27800000")</f>
        <v>#NAME?</v>
      </c>
      <c r="D1497" s="100" t="e">
        <f t="shared" ca="1" si="270"/>
        <v>#NAME?</v>
      </c>
      <c r="E1497" s="100" t="e">
        <f t="shared" ca="1" si="270"/>
        <v>#NAME?</v>
      </c>
      <c r="F1497" s="100" t="e">
        <f t="shared" ca="1" si="265"/>
        <v>#NAME?</v>
      </c>
      <c r="G1497" s="100" t="e">
        <f t="shared" ca="1" si="266"/>
        <v>#NAME?</v>
      </c>
      <c r="H1497" s="100" t="e">
        <f t="shared" ca="1" si="267"/>
        <v>#NAME?</v>
      </c>
      <c r="I1497" s="100" t="e">
        <f t="shared" ca="1" si="268"/>
        <v>#NAME?</v>
      </c>
      <c r="J1497" s="100" t="e">
        <f ca="1">IFERROR(__xludf.DUMMYFUNCTION("""COMPUTED_VALUE"""),"0")</f>
        <v>#NAME?</v>
      </c>
      <c r="K1497" s="100" t="e">
        <f t="shared" ca="1" si="269"/>
        <v>#NAME?</v>
      </c>
      <c r="L1497" s="100"/>
      <c r="M1497" s="100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</row>
    <row r="1498" spans="1:26">
      <c r="A1498" s="100" t="e">
        <f ca="1">IFERROR(__xludf.DUMMYFUNCTION("""COMPUTED_VALUE"""),58784833)</f>
        <v>#NAME?</v>
      </c>
      <c r="B1498" s="100" t="e">
        <f ca="1">IFERROR(__xludf.DUMMYFUNCTION("""COMPUTED_VALUE"""),"SOLBRL")</f>
        <v>#NAME?</v>
      </c>
      <c r="C1498" s="100" t="e">
        <f ca="1">IFERROR(__xludf.DUMMYFUNCTION("""COMPUTED_VALUE"""),"815.90000000")</f>
        <v>#NAME?</v>
      </c>
      <c r="D1498" s="100" t="e">
        <f t="shared" ca="1" si="270"/>
        <v>#NAME?</v>
      </c>
      <c r="E1498" s="100" t="e">
        <f t="shared" ca="1" si="270"/>
        <v>#NAME?</v>
      </c>
      <c r="F1498" s="100" t="e">
        <f t="shared" ca="1" si="265"/>
        <v>#NAME?</v>
      </c>
      <c r="G1498" s="100" t="e">
        <f t="shared" ca="1" si="266"/>
        <v>#NAME?</v>
      </c>
      <c r="H1498" s="100" t="e">
        <f t="shared" ca="1" si="267"/>
        <v>#NAME?</v>
      </c>
      <c r="I1498" s="100" t="e">
        <f t="shared" ca="1" si="268"/>
        <v>#NAME?</v>
      </c>
      <c r="J1498" s="100" t="e">
        <f ca="1">IFERROR(__xludf.DUMMYFUNCTION("""COMPUTED_VALUE"""),"-0.098")</f>
        <v>#NAME?</v>
      </c>
      <c r="K1498" s="100" t="e">
        <f t="shared" ca="1" si="269"/>
        <v>#NAME?</v>
      </c>
      <c r="L1498" s="100"/>
      <c r="M1498" s="100"/>
      <c r="N1498" s="100"/>
      <c r="O1498" s="100"/>
      <c r="P1498" s="100"/>
      <c r="Q1498" s="100"/>
      <c r="R1498" s="100"/>
      <c r="S1498" s="100"/>
      <c r="T1498" s="100"/>
      <c r="U1498" s="100"/>
      <c r="V1498" s="100"/>
      <c r="W1498" s="100"/>
      <c r="X1498" s="100"/>
      <c r="Y1498" s="100"/>
      <c r="Z1498" s="100"/>
    </row>
    <row r="1499" spans="1:26">
      <c r="A1499" s="100" t="e">
        <f ca="1">IFERROR(__xludf.DUMMYFUNCTION("""COMPUTED_VALUE"""),58784834)</f>
        <v>#NAME?</v>
      </c>
      <c r="B1499" s="100" t="e">
        <f ca="1">IFERROR(__xludf.DUMMYFUNCTION("""COMPUTED_VALUE"""),"SCBUSD")</f>
        <v>#NAME?</v>
      </c>
      <c r="C1499" s="100" t="e">
        <f ca="1">IFERROR(__xludf.DUMMYFUNCTION("""COMPUTED_VALUE"""),"0.00366400")</f>
        <v>#NAME?</v>
      </c>
      <c r="D1499" s="100" t="e">
        <f t="shared" ca="1" si="270"/>
        <v>#NAME?</v>
      </c>
      <c r="E1499" s="100" t="e">
        <f t="shared" ca="1" si="270"/>
        <v>#NAME?</v>
      </c>
      <c r="F1499" s="100" t="e">
        <f t="shared" ca="1" si="265"/>
        <v>#NAME?</v>
      </c>
      <c r="G1499" s="100" t="e">
        <f t="shared" ca="1" si="266"/>
        <v>#NAME?</v>
      </c>
      <c r="H1499" s="100" t="e">
        <f t="shared" ca="1" si="267"/>
        <v>#NAME?</v>
      </c>
      <c r="I1499" s="100" t="e">
        <f t="shared" ca="1" si="268"/>
        <v>#NAME?</v>
      </c>
      <c r="J1499" s="100" t="e">
        <f t="shared" ref="J1499:J1517" ca="1" si="272">IFERROR(__xludf.DUMMYFUNCTION("""COMPUTED_VALUE"""),"0")</f>
        <v>#NAME?</v>
      </c>
      <c r="K1499" s="100" t="e">
        <f t="shared" ca="1" si="269"/>
        <v>#NAME?</v>
      </c>
      <c r="L1499" s="100"/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</row>
    <row r="1500" spans="1:26">
      <c r="A1500" s="100" t="e">
        <f ca="1">IFERROR(__xludf.DUMMYFUNCTION("""COMPUTED_VALUE"""),58784835)</f>
        <v>#NAME?</v>
      </c>
      <c r="B1500" s="100" t="e">
        <f ca="1">IFERROR(__xludf.DUMMYFUNCTION("""COMPUTED_VALUE"""),"CHRBUSD")</f>
        <v>#NAME?</v>
      </c>
      <c r="C1500" s="100" t="e">
        <f ca="1">IFERROR(__xludf.DUMMYFUNCTION("""COMPUTED_VALUE"""),"0.10850000")</f>
        <v>#NAME?</v>
      </c>
      <c r="D1500" s="100" t="e">
        <f t="shared" ca="1" si="270"/>
        <v>#NAME?</v>
      </c>
      <c r="E1500" s="100" t="e">
        <f t="shared" ca="1" si="270"/>
        <v>#NAME?</v>
      </c>
      <c r="F1500" s="100" t="e">
        <f t="shared" ca="1" si="265"/>
        <v>#NAME?</v>
      </c>
      <c r="G1500" s="100" t="e">
        <f t="shared" ca="1" si="266"/>
        <v>#NAME?</v>
      </c>
      <c r="H1500" s="100" t="e">
        <f t="shared" ca="1" si="267"/>
        <v>#NAME?</v>
      </c>
      <c r="I1500" s="100" t="e">
        <f t="shared" ca="1" si="268"/>
        <v>#NAME?</v>
      </c>
      <c r="J1500" s="100" t="e">
        <f t="shared" ca="1" si="272"/>
        <v>#NAME?</v>
      </c>
      <c r="K1500" s="100" t="e">
        <f t="shared" ca="1" si="269"/>
        <v>#NAME?</v>
      </c>
      <c r="L1500" s="100"/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</row>
    <row r="1501" spans="1:26">
      <c r="A1501" s="100" t="e">
        <f ca="1">IFERROR(__xludf.DUMMYFUNCTION("""COMPUTED_VALUE"""),58784836)</f>
        <v>#NAME?</v>
      </c>
      <c r="B1501" s="100" t="e">
        <f ca="1">IFERROR(__xludf.DUMMYFUNCTION("""COMPUTED_VALUE"""),"STMXBUSD")</f>
        <v>#NAME?</v>
      </c>
      <c r="C1501" s="100" t="e">
        <f ca="1">IFERROR(__xludf.DUMMYFUNCTION("""COMPUTED_VALUE"""),"0.00585100")</f>
        <v>#NAME?</v>
      </c>
      <c r="D1501" s="100" t="e">
        <f t="shared" ca="1" si="270"/>
        <v>#NAME?</v>
      </c>
      <c r="E1501" s="100" t="e">
        <f t="shared" ca="1" si="270"/>
        <v>#NAME?</v>
      </c>
      <c r="F1501" s="100" t="e">
        <f t="shared" ca="1" si="265"/>
        <v>#NAME?</v>
      </c>
      <c r="G1501" s="100" t="e">
        <f t="shared" ca="1" si="266"/>
        <v>#NAME?</v>
      </c>
      <c r="H1501" s="100" t="e">
        <f t="shared" ca="1" si="267"/>
        <v>#NAME?</v>
      </c>
      <c r="I1501" s="100" t="e">
        <f t="shared" ca="1" si="268"/>
        <v>#NAME?</v>
      </c>
      <c r="J1501" s="100" t="e">
        <f t="shared" ca="1" si="272"/>
        <v>#NAME?</v>
      </c>
      <c r="K1501" s="100" t="e">
        <f t="shared" ca="1" si="269"/>
        <v>#NAME?</v>
      </c>
      <c r="L1501" s="100"/>
      <c r="M1501" s="100"/>
      <c r="N1501" s="100"/>
      <c r="O1501" s="100"/>
      <c r="P1501" s="100"/>
      <c r="Q1501" s="100"/>
      <c r="R1501" s="100"/>
      <c r="S1501" s="100"/>
      <c r="T1501" s="100"/>
      <c r="U1501" s="100"/>
      <c r="V1501" s="100"/>
      <c r="W1501" s="100"/>
      <c r="X1501" s="100"/>
      <c r="Y1501" s="100"/>
      <c r="Z1501" s="100"/>
    </row>
    <row r="1502" spans="1:26">
      <c r="A1502" s="100" t="e">
        <f ca="1">IFERROR(__xludf.DUMMYFUNCTION("""COMPUTED_VALUE"""),58784837)</f>
        <v>#NAME?</v>
      </c>
      <c r="B1502" s="100" t="e">
        <f ca="1">IFERROR(__xludf.DUMMYFUNCTION("""COMPUTED_VALUE"""),"HNTBUSD")</f>
        <v>#NAME?</v>
      </c>
      <c r="C1502" s="100" t="e">
        <f ca="1">IFERROR(__xludf.DUMMYFUNCTION("""COMPUTED_VALUE"""),"1.22800000")</f>
        <v>#NAME?</v>
      </c>
      <c r="D1502" s="100" t="e">
        <f t="shared" ref="D1502:E1521" ca="1" si="273">IFERROR(__xludf.DUMMYFUNCTION("""COMPUTED_VALUE"""),"-")</f>
        <v>#NAME?</v>
      </c>
      <c r="E1502" s="100" t="e">
        <f t="shared" ca="1" si="273"/>
        <v>#NAME?</v>
      </c>
      <c r="F1502" s="100" t="e">
        <f t="shared" ca="1" si="265"/>
        <v>#NAME?</v>
      </c>
      <c r="G1502" s="100" t="e">
        <f t="shared" ca="1" si="266"/>
        <v>#NAME?</v>
      </c>
      <c r="H1502" s="100" t="e">
        <f t="shared" ca="1" si="267"/>
        <v>#NAME?</v>
      </c>
      <c r="I1502" s="100" t="e">
        <f t="shared" ca="1" si="268"/>
        <v>#NAME?</v>
      </c>
      <c r="J1502" s="100" t="e">
        <f t="shared" ca="1" si="272"/>
        <v>#NAME?</v>
      </c>
      <c r="K1502" s="100" t="e">
        <f t="shared" ca="1" si="269"/>
        <v>#NAME?</v>
      </c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</row>
    <row r="1503" spans="1:26">
      <c r="A1503" s="100" t="e">
        <f ca="1">IFERROR(__xludf.DUMMYFUNCTION("""COMPUTED_VALUE"""),58784838)</f>
        <v>#NAME?</v>
      </c>
      <c r="B1503" s="100" t="e">
        <f ca="1">IFERROR(__xludf.DUMMYFUNCTION("""COMPUTED_VALUE"""),"FTTBUSD")</f>
        <v>#NAME?</v>
      </c>
      <c r="C1503" s="100" t="e">
        <f ca="1">IFERROR(__xludf.DUMMYFUNCTION("""COMPUTED_VALUE"""),"1.13000000")</f>
        <v>#NAME?</v>
      </c>
      <c r="D1503" s="100" t="e">
        <f t="shared" ca="1" si="273"/>
        <v>#NAME?</v>
      </c>
      <c r="E1503" s="100" t="e">
        <f t="shared" ca="1" si="273"/>
        <v>#NAME?</v>
      </c>
      <c r="F1503" s="100" t="e">
        <f t="shared" ca="1" si="265"/>
        <v>#NAME?</v>
      </c>
      <c r="G1503" s="100" t="e">
        <f t="shared" ca="1" si="266"/>
        <v>#NAME?</v>
      </c>
      <c r="H1503" s="100" t="e">
        <f t="shared" ca="1" si="267"/>
        <v>#NAME?</v>
      </c>
      <c r="I1503" s="100" t="e">
        <f t="shared" ca="1" si="268"/>
        <v>#NAME?</v>
      </c>
      <c r="J1503" s="100" t="e">
        <f t="shared" ca="1" si="272"/>
        <v>#NAME?</v>
      </c>
      <c r="K1503" s="100" t="e">
        <f t="shared" ca="1" si="269"/>
        <v>#NAME?</v>
      </c>
      <c r="L1503" s="100"/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</row>
    <row r="1504" spans="1:26">
      <c r="A1504" s="100" t="e">
        <f ca="1">IFERROR(__xludf.DUMMYFUNCTION("""COMPUTED_VALUE"""),58784839)</f>
        <v>#NAME?</v>
      </c>
      <c r="B1504" s="100" t="e">
        <f ca="1">IFERROR(__xludf.DUMMYFUNCTION("""COMPUTED_VALUE"""),"DOCKBUSD")</f>
        <v>#NAME?</v>
      </c>
      <c r="C1504" s="100" t="e">
        <f ca="1">IFERROR(__xludf.DUMMYFUNCTION("""COMPUTED_VALUE"""),"0.01527000")</f>
        <v>#NAME?</v>
      </c>
      <c r="D1504" s="100" t="e">
        <f t="shared" ca="1" si="273"/>
        <v>#NAME?</v>
      </c>
      <c r="E1504" s="100" t="e">
        <f t="shared" ca="1" si="273"/>
        <v>#NAME?</v>
      </c>
      <c r="F1504" s="100" t="e">
        <f t="shared" ca="1" si="265"/>
        <v>#NAME?</v>
      </c>
      <c r="G1504" s="100" t="e">
        <f t="shared" ca="1" si="266"/>
        <v>#NAME?</v>
      </c>
      <c r="H1504" s="100" t="e">
        <f t="shared" ca="1" si="267"/>
        <v>#NAME?</v>
      </c>
      <c r="I1504" s="100" t="e">
        <f t="shared" ca="1" si="268"/>
        <v>#NAME?</v>
      </c>
      <c r="J1504" s="100" t="e">
        <f t="shared" ca="1" si="272"/>
        <v>#NAME?</v>
      </c>
      <c r="K1504" s="100" t="e">
        <f t="shared" ca="1" si="269"/>
        <v>#NAME?</v>
      </c>
      <c r="L1504" s="100"/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</row>
    <row r="1505" spans="1:26">
      <c r="A1505" s="100" t="e">
        <f ca="1">IFERROR(__xludf.DUMMYFUNCTION("""COMPUTED_VALUE"""),58784840)</f>
        <v>#NAME?</v>
      </c>
      <c r="B1505" s="100" t="e">
        <f ca="1">IFERROR(__xludf.DUMMYFUNCTION("""COMPUTED_VALUE"""),"ADABIDR")</f>
        <v>#NAME?</v>
      </c>
      <c r="C1505" s="100" t="e">
        <f ca="1">IFERROR(__xludf.DUMMYFUNCTION("""COMPUTED_VALUE"""),"3965.00")</f>
        <v>#NAME?</v>
      </c>
      <c r="D1505" s="100" t="e">
        <f t="shared" ca="1" si="273"/>
        <v>#NAME?</v>
      </c>
      <c r="E1505" s="100" t="e">
        <f t="shared" ca="1" si="273"/>
        <v>#NAME?</v>
      </c>
      <c r="F1505" s="100" t="e">
        <f t="shared" ca="1" si="265"/>
        <v>#NAME?</v>
      </c>
      <c r="G1505" s="100" t="e">
        <f t="shared" ca="1" si="266"/>
        <v>#NAME?</v>
      </c>
      <c r="H1505" s="100" t="e">
        <f t="shared" ca="1" si="267"/>
        <v>#NAME?</v>
      </c>
      <c r="I1505" s="100" t="e">
        <f t="shared" ca="1" si="268"/>
        <v>#NAME?</v>
      </c>
      <c r="J1505" s="100" t="e">
        <f t="shared" ca="1" si="272"/>
        <v>#NAME?</v>
      </c>
      <c r="K1505" s="100" t="e">
        <f t="shared" ca="1" si="269"/>
        <v>#NAME?</v>
      </c>
      <c r="L1505" s="100"/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</row>
    <row r="1506" spans="1:26">
      <c r="A1506" s="100" t="e">
        <f ca="1">IFERROR(__xludf.DUMMYFUNCTION("""COMPUTED_VALUE"""),58784841)</f>
        <v>#NAME?</v>
      </c>
      <c r="B1506" s="100" t="e">
        <f ca="1">IFERROR(__xludf.DUMMYFUNCTION("""COMPUTED_VALUE"""),"ERNBNB")</f>
        <v>#NAME?</v>
      </c>
      <c r="C1506" s="100" t="e">
        <f ca="1">IFERROR(__xludf.DUMMYFUNCTION("""COMPUTED_VALUE"""),"0.00669000")</f>
        <v>#NAME?</v>
      </c>
      <c r="D1506" s="100" t="e">
        <f t="shared" ca="1" si="273"/>
        <v>#NAME?</v>
      </c>
      <c r="E1506" s="100" t="e">
        <f t="shared" ca="1" si="273"/>
        <v>#NAME?</v>
      </c>
      <c r="F1506" s="100" t="e">
        <f t="shared" ca="1" si="265"/>
        <v>#NAME?</v>
      </c>
      <c r="G1506" s="100" t="e">
        <f t="shared" ca="1" si="266"/>
        <v>#NAME?</v>
      </c>
      <c r="H1506" s="100" t="e">
        <f t="shared" ca="1" si="267"/>
        <v>#NAME?</v>
      </c>
      <c r="I1506" s="100" t="e">
        <f t="shared" ca="1" si="268"/>
        <v>#NAME?</v>
      </c>
      <c r="J1506" s="100" t="e">
        <f t="shared" ca="1" si="272"/>
        <v>#NAME?</v>
      </c>
      <c r="K1506" s="100" t="e">
        <f t="shared" ca="1" si="269"/>
        <v>#NAME?</v>
      </c>
      <c r="L1506" s="100"/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</row>
    <row r="1507" spans="1:26">
      <c r="A1507" s="100" t="e">
        <f ca="1">IFERROR(__xludf.DUMMYFUNCTION("""COMPUTED_VALUE"""),58784842)</f>
        <v>#NAME?</v>
      </c>
      <c r="B1507" s="100" t="e">
        <f ca="1">IFERROR(__xludf.DUMMYFUNCTION("""COMPUTED_VALUE"""),"ERNBUSD")</f>
        <v>#NAME?</v>
      </c>
      <c r="C1507" s="100" t="e">
        <f ca="1">IFERROR(__xludf.DUMMYFUNCTION("""COMPUTED_VALUE"""),"1.47100000")</f>
        <v>#NAME?</v>
      </c>
      <c r="D1507" s="100" t="e">
        <f t="shared" ca="1" si="273"/>
        <v>#NAME?</v>
      </c>
      <c r="E1507" s="100" t="e">
        <f t="shared" ca="1" si="273"/>
        <v>#NAME?</v>
      </c>
      <c r="F1507" s="100" t="e">
        <f t="shared" ca="1" si="265"/>
        <v>#NAME?</v>
      </c>
      <c r="G1507" s="100" t="e">
        <f t="shared" ca="1" si="266"/>
        <v>#NAME?</v>
      </c>
      <c r="H1507" s="100" t="e">
        <f t="shared" ca="1" si="267"/>
        <v>#NAME?</v>
      </c>
      <c r="I1507" s="100" t="e">
        <f t="shared" ca="1" si="268"/>
        <v>#NAME?</v>
      </c>
      <c r="J1507" s="100" t="e">
        <f t="shared" ca="1" si="272"/>
        <v>#NAME?</v>
      </c>
      <c r="K1507" s="100" t="e">
        <f t="shared" ca="1" si="269"/>
        <v>#NAME?</v>
      </c>
      <c r="L1507" s="100"/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</row>
    <row r="1508" spans="1:26">
      <c r="A1508" s="100" t="e">
        <f ca="1">IFERROR(__xludf.DUMMYFUNCTION("""COMPUTED_VALUE"""),58784843)</f>
        <v>#NAME?</v>
      </c>
      <c r="B1508" s="100" t="e">
        <f ca="1">IFERROR(__xludf.DUMMYFUNCTION("""COMPUTED_VALUE"""),"ERNUSDT")</f>
        <v>#NAME?</v>
      </c>
      <c r="C1508" s="100" t="e">
        <f ca="1">IFERROR(__xludf.DUMMYFUNCTION("""COMPUTED_VALUE"""),"2.18300000")</f>
        <v>#NAME?</v>
      </c>
      <c r="D1508" s="100" t="e">
        <f t="shared" ca="1" si="273"/>
        <v>#NAME?</v>
      </c>
      <c r="E1508" s="100" t="e">
        <f t="shared" ca="1" si="273"/>
        <v>#NAME?</v>
      </c>
      <c r="F1508" s="100" t="e">
        <f t="shared" ca="1" si="265"/>
        <v>#NAME?</v>
      </c>
      <c r="G1508" s="100" t="e">
        <f t="shared" ca="1" si="266"/>
        <v>#NAME?</v>
      </c>
      <c r="H1508" s="100" t="e">
        <f t="shared" ca="1" si="267"/>
        <v>#NAME?</v>
      </c>
      <c r="I1508" s="100" t="e">
        <f t="shared" ca="1" si="268"/>
        <v>#NAME?</v>
      </c>
      <c r="J1508" s="100" t="e">
        <f t="shared" ca="1" si="272"/>
        <v>#NAME?</v>
      </c>
      <c r="K1508" s="100" t="e">
        <f t="shared" ca="1" si="269"/>
        <v>#NAME?</v>
      </c>
      <c r="L1508" s="100"/>
      <c r="M1508" s="100"/>
      <c r="N1508" s="100"/>
      <c r="O1508" s="100"/>
      <c r="P1508" s="100"/>
      <c r="Q1508" s="100"/>
      <c r="R1508" s="100"/>
      <c r="S1508" s="100"/>
      <c r="T1508" s="100"/>
      <c r="U1508" s="100"/>
      <c r="V1508" s="100"/>
      <c r="W1508" s="100"/>
      <c r="X1508" s="100"/>
      <c r="Y1508" s="100"/>
      <c r="Z1508" s="100"/>
    </row>
    <row r="1509" spans="1:26">
      <c r="A1509" s="100" t="e">
        <f ca="1">IFERROR(__xludf.DUMMYFUNCTION("""COMPUTED_VALUE"""),58784844)</f>
        <v>#NAME?</v>
      </c>
      <c r="B1509" s="100" t="e">
        <f ca="1">IFERROR(__xludf.DUMMYFUNCTION("""COMPUTED_VALUE"""),"KLAYBTC")</f>
        <v>#NAME?</v>
      </c>
      <c r="C1509" s="100" t="e">
        <f ca="1">IFERROR(__xludf.DUMMYFUNCTION("""COMPUTED_VALUE"""),"0.00000185")</f>
        <v>#NAME?</v>
      </c>
      <c r="D1509" s="100" t="e">
        <f t="shared" ca="1" si="273"/>
        <v>#NAME?</v>
      </c>
      <c r="E1509" s="100" t="e">
        <f t="shared" ca="1" si="273"/>
        <v>#NAME?</v>
      </c>
      <c r="F1509" s="100" t="e">
        <f t="shared" ca="1" si="265"/>
        <v>#NAME?</v>
      </c>
      <c r="G1509" s="100" t="e">
        <f t="shared" ca="1" si="266"/>
        <v>#NAME?</v>
      </c>
      <c r="H1509" s="100" t="e">
        <f t="shared" ca="1" si="267"/>
        <v>#NAME?</v>
      </c>
      <c r="I1509" s="100" t="e">
        <f t="shared" ca="1" si="268"/>
        <v>#NAME?</v>
      </c>
      <c r="J1509" s="100" t="e">
        <f t="shared" ca="1" si="272"/>
        <v>#NAME?</v>
      </c>
      <c r="K1509" s="100" t="e">
        <f t="shared" ca="1" si="269"/>
        <v>#NAME?</v>
      </c>
      <c r="L1509" s="100"/>
      <c r="M1509" s="100"/>
      <c r="N1509" s="100"/>
      <c r="O1509" s="100"/>
      <c r="P1509" s="100"/>
      <c r="Q1509" s="100"/>
      <c r="R1509" s="100"/>
      <c r="S1509" s="100"/>
      <c r="T1509" s="100"/>
      <c r="U1509" s="100"/>
      <c r="V1509" s="100"/>
      <c r="W1509" s="100"/>
      <c r="X1509" s="100"/>
      <c r="Y1509" s="100"/>
      <c r="Z1509" s="100"/>
    </row>
    <row r="1510" spans="1:26">
      <c r="A1510" s="100" t="e">
        <f ca="1">IFERROR(__xludf.DUMMYFUNCTION("""COMPUTED_VALUE"""),58784845)</f>
        <v>#NAME?</v>
      </c>
      <c r="B1510" s="100" t="e">
        <f ca="1">IFERROR(__xludf.DUMMYFUNCTION("""COMPUTED_VALUE"""),"KLAYBNB")</f>
        <v>#NAME?</v>
      </c>
      <c r="C1510" s="100" t="e">
        <f ca="1">IFERROR(__xludf.DUMMYFUNCTION("""COMPUTED_VALUE"""),"0.00061800")</f>
        <v>#NAME?</v>
      </c>
      <c r="D1510" s="100" t="e">
        <f t="shared" ca="1" si="273"/>
        <v>#NAME?</v>
      </c>
      <c r="E1510" s="100" t="e">
        <f t="shared" ca="1" si="273"/>
        <v>#NAME?</v>
      </c>
      <c r="F1510" s="100" t="e">
        <f t="shared" ca="1" si="265"/>
        <v>#NAME?</v>
      </c>
      <c r="G1510" s="100" t="e">
        <f t="shared" ca="1" si="266"/>
        <v>#NAME?</v>
      </c>
      <c r="H1510" s="100" t="e">
        <f t="shared" ca="1" si="267"/>
        <v>#NAME?</v>
      </c>
      <c r="I1510" s="100" t="e">
        <f t="shared" ca="1" si="268"/>
        <v>#NAME?</v>
      </c>
      <c r="J1510" s="100" t="e">
        <f t="shared" ca="1" si="272"/>
        <v>#NAME?</v>
      </c>
      <c r="K1510" s="100" t="e">
        <f t="shared" ca="1" si="269"/>
        <v>#NAME?</v>
      </c>
      <c r="L1510" s="100"/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</row>
    <row r="1511" spans="1:26">
      <c r="A1511" s="100" t="e">
        <f ca="1">IFERROR(__xludf.DUMMYFUNCTION("""COMPUTED_VALUE"""),58784846)</f>
        <v>#NAME?</v>
      </c>
      <c r="B1511" s="100" t="e">
        <f ca="1">IFERROR(__xludf.DUMMYFUNCTION("""COMPUTED_VALUE"""),"KLAYBUSD")</f>
        <v>#NAME?</v>
      </c>
      <c r="C1511" s="100" t="e">
        <f ca="1">IFERROR(__xludf.DUMMYFUNCTION("""COMPUTED_VALUE"""),"0.13540000")</f>
        <v>#NAME?</v>
      </c>
      <c r="D1511" s="100" t="e">
        <f t="shared" ca="1" si="273"/>
        <v>#NAME?</v>
      </c>
      <c r="E1511" s="100" t="e">
        <f t="shared" ca="1" si="273"/>
        <v>#NAME?</v>
      </c>
      <c r="F1511" s="100" t="e">
        <f t="shared" ca="1" si="265"/>
        <v>#NAME?</v>
      </c>
      <c r="G1511" s="100" t="e">
        <f t="shared" ca="1" si="266"/>
        <v>#NAME?</v>
      </c>
      <c r="H1511" s="100" t="e">
        <f t="shared" ca="1" si="267"/>
        <v>#NAME?</v>
      </c>
      <c r="I1511" s="100" t="e">
        <f t="shared" ca="1" si="268"/>
        <v>#NAME?</v>
      </c>
      <c r="J1511" s="100" t="e">
        <f t="shared" ca="1" si="272"/>
        <v>#NAME?</v>
      </c>
      <c r="K1511" s="100" t="e">
        <f t="shared" ca="1" si="269"/>
        <v>#NAME?</v>
      </c>
      <c r="L1511" s="100"/>
      <c r="M1511" s="100"/>
      <c r="N1511" s="100"/>
      <c r="O1511" s="100"/>
      <c r="P1511" s="100"/>
      <c r="Q1511" s="100"/>
      <c r="R1511" s="100"/>
      <c r="S1511" s="100"/>
      <c r="T1511" s="100"/>
      <c r="U1511" s="100"/>
      <c r="V1511" s="100"/>
      <c r="W1511" s="100"/>
      <c r="X1511" s="100"/>
      <c r="Y1511" s="100"/>
      <c r="Z1511" s="100"/>
    </row>
    <row r="1512" spans="1:26">
      <c r="A1512" s="100" t="e">
        <f ca="1">IFERROR(__xludf.DUMMYFUNCTION("""COMPUTED_VALUE"""),58784847)</f>
        <v>#NAME?</v>
      </c>
      <c r="B1512" s="100" t="e">
        <f ca="1">IFERROR(__xludf.DUMMYFUNCTION("""COMPUTED_VALUE"""),"KLAYUSDT")</f>
        <v>#NAME?</v>
      </c>
      <c r="C1512" s="100" t="e">
        <f ca="1">IFERROR(__xludf.DUMMYFUNCTION("""COMPUTED_VALUE"""),"0.12550000")</f>
        <v>#NAME?</v>
      </c>
      <c r="D1512" s="100" t="e">
        <f t="shared" ca="1" si="273"/>
        <v>#NAME?</v>
      </c>
      <c r="E1512" s="100" t="e">
        <f t="shared" ca="1" si="273"/>
        <v>#NAME?</v>
      </c>
      <c r="F1512" s="100" t="e">
        <f t="shared" ca="1" si="265"/>
        <v>#NAME?</v>
      </c>
      <c r="G1512" s="100" t="e">
        <f t="shared" ca="1" si="266"/>
        <v>#NAME?</v>
      </c>
      <c r="H1512" s="100" t="e">
        <f t="shared" ca="1" si="267"/>
        <v>#NAME?</v>
      </c>
      <c r="I1512" s="100" t="e">
        <f t="shared" ca="1" si="268"/>
        <v>#NAME?</v>
      </c>
      <c r="J1512" s="100" t="e">
        <f t="shared" ca="1" si="272"/>
        <v>#NAME?</v>
      </c>
      <c r="K1512" s="100" t="e">
        <f t="shared" ca="1" si="269"/>
        <v>#NAME?</v>
      </c>
      <c r="L1512" s="100"/>
      <c r="M1512" s="100"/>
      <c r="N1512" s="100"/>
      <c r="O1512" s="100"/>
      <c r="P1512" s="100"/>
      <c r="Q1512" s="100"/>
      <c r="R1512" s="100"/>
      <c r="S1512" s="100"/>
      <c r="T1512" s="100"/>
      <c r="U1512" s="100"/>
      <c r="V1512" s="100"/>
      <c r="W1512" s="100"/>
      <c r="X1512" s="100"/>
      <c r="Y1512" s="100"/>
      <c r="Z1512" s="100"/>
    </row>
    <row r="1513" spans="1:26">
      <c r="A1513" s="100" t="e">
        <f ca="1">IFERROR(__xludf.DUMMYFUNCTION("""COMPUTED_VALUE"""),58784848)</f>
        <v>#NAME?</v>
      </c>
      <c r="B1513" s="100" t="e">
        <f ca="1">IFERROR(__xludf.DUMMYFUNCTION("""COMPUTED_VALUE"""),"RUNEEUR")</f>
        <v>#NAME?</v>
      </c>
      <c r="C1513" s="100" t="e">
        <f ca="1">IFERROR(__xludf.DUMMYFUNCTION("""COMPUTED_VALUE"""),"3.76200000")</f>
        <v>#NAME?</v>
      </c>
      <c r="D1513" s="100" t="e">
        <f t="shared" ca="1" si="273"/>
        <v>#NAME?</v>
      </c>
      <c r="E1513" s="100" t="e">
        <f t="shared" ca="1" si="273"/>
        <v>#NAME?</v>
      </c>
      <c r="F1513" s="100" t="e">
        <f t="shared" ca="1" si="265"/>
        <v>#NAME?</v>
      </c>
      <c r="G1513" s="100" t="e">
        <f t="shared" ca="1" si="266"/>
        <v>#NAME?</v>
      </c>
      <c r="H1513" s="100" t="e">
        <f t="shared" ca="1" si="267"/>
        <v>#NAME?</v>
      </c>
      <c r="I1513" s="100" t="e">
        <f t="shared" ca="1" si="268"/>
        <v>#NAME?</v>
      </c>
      <c r="J1513" s="100" t="e">
        <f t="shared" ca="1" si="272"/>
        <v>#NAME?</v>
      </c>
      <c r="K1513" s="100" t="e">
        <f t="shared" ca="1" si="269"/>
        <v>#NAME?</v>
      </c>
      <c r="L1513" s="100"/>
      <c r="M1513" s="100"/>
      <c r="N1513" s="100"/>
      <c r="O1513" s="100"/>
      <c r="P1513" s="100"/>
      <c r="Q1513" s="100"/>
      <c r="R1513" s="100"/>
      <c r="S1513" s="100"/>
      <c r="T1513" s="100"/>
      <c r="U1513" s="100"/>
      <c r="V1513" s="100"/>
      <c r="W1513" s="100"/>
      <c r="X1513" s="100"/>
      <c r="Y1513" s="100"/>
      <c r="Z1513" s="100"/>
    </row>
    <row r="1514" spans="1:26">
      <c r="A1514" s="100" t="e">
        <f ca="1">IFERROR(__xludf.DUMMYFUNCTION("""COMPUTED_VALUE"""),58784849)</f>
        <v>#NAME?</v>
      </c>
      <c r="B1514" s="100" t="e">
        <f ca="1">IFERROR(__xludf.DUMMYFUNCTION("""COMPUTED_VALUE"""),"MATICAUD")</f>
        <v>#NAME?</v>
      </c>
      <c r="C1514" s="100" t="e">
        <f ca="1">IFERROR(__xludf.DUMMYFUNCTION("""COMPUTED_VALUE"""),"1.21410000")</f>
        <v>#NAME?</v>
      </c>
      <c r="D1514" s="100" t="e">
        <f t="shared" ca="1" si="273"/>
        <v>#NAME?</v>
      </c>
      <c r="E1514" s="100" t="e">
        <f t="shared" ca="1" si="273"/>
        <v>#NAME?</v>
      </c>
      <c r="F1514" s="100" t="e">
        <f t="shared" ca="1" si="265"/>
        <v>#NAME?</v>
      </c>
      <c r="G1514" s="100" t="e">
        <f t="shared" ca="1" si="266"/>
        <v>#NAME?</v>
      </c>
      <c r="H1514" s="100" t="e">
        <f t="shared" ca="1" si="267"/>
        <v>#NAME?</v>
      </c>
      <c r="I1514" s="100" t="e">
        <f t="shared" ca="1" si="268"/>
        <v>#NAME?</v>
      </c>
      <c r="J1514" s="100" t="e">
        <f t="shared" ca="1" si="272"/>
        <v>#NAME?</v>
      </c>
      <c r="K1514" s="100" t="e">
        <f t="shared" ca="1" si="269"/>
        <v>#NAME?</v>
      </c>
      <c r="L1514" s="100"/>
      <c r="M1514" s="100"/>
      <c r="N1514" s="100"/>
      <c r="O1514" s="100"/>
      <c r="P1514" s="100"/>
      <c r="Q1514" s="100"/>
      <c r="R1514" s="100"/>
      <c r="S1514" s="100"/>
      <c r="T1514" s="100"/>
      <c r="U1514" s="100"/>
      <c r="V1514" s="100"/>
      <c r="W1514" s="100"/>
      <c r="X1514" s="100"/>
      <c r="Y1514" s="100"/>
      <c r="Z1514" s="100"/>
    </row>
    <row r="1515" spans="1:26">
      <c r="A1515" s="100" t="e">
        <f ca="1">IFERROR(__xludf.DUMMYFUNCTION("""COMPUTED_VALUE"""),58784850)</f>
        <v>#NAME?</v>
      </c>
      <c r="B1515" s="100" t="e">
        <f ca="1">IFERROR(__xludf.DUMMYFUNCTION("""COMPUTED_VALUE"""),"DOTRUB")</f>
        <v>#NAME?</v>
      </c>
      <c r="C1515" s="100" t="e">
        <f ca="1">IFERROR(__xludf.DUMMYFUNCTION("""COMPUTED_VALUE"""),"493.50000000")</f>
        <v>#NAME?</v>
      </c>
      <c r="D1515" s="100" t="e">
        <f t="shared" ca="1" si="273"/>
        <v>#NAME?</v>
      </c>
      <c r="E1515" s="100" t="e">
        <f t="shared" ca="1" si="273"/>
        <v>#NAME?</v>
      </c>
      <c r="F1515" s="100" t="e">
        <f t="shared" ca="1" si="265"/>
        <v>#NAME?</v>
      </c>
      <c r="G1515" s="100" t="e">
        <f t="shared" ca="1" si="266"/>
        <v>#NAME?</v>
      </c>
      <c r="H1515" s="100" t="e">
        <f t="shared" ca="1" si="267"/>
        <v>#NAME?</v>
      </c>
      <c r="I1515" s="100" t="e">
        <f t="shared" ca="1" si="268"/>
        <v>#NAME?</v>
      </c>
      <c r="J1515" s="100" t="e">
        <f t="shared" ca="1" si="272"/>
        <v>#NAME?</v>
      </c>
      <c r="K1515" s="100" t="e">
        <f t="shared" ca="1" si="269"/>
        <v>#NAME?</v>
      </c>
      <c r="L1515" s="100"/>
      <c r="M1515" s="100"/>
      <c r="N1515" s="100"/>
      <c r="O1515" s="100"/>
      <c r="P1515" s="100"/>
      <c r="Q1515" s="100"/>
      <c r="R1515" s="100"/>
      <c r="S1515" s="100"/>
      <c r="T1515" s="100"/>
      <c r="U1515" s="100"/>
      <c r="V1515" s="100"/>
      <c r="W1515" s="100"/>
      <c r="X1515" s="100"/>
      <c r="Y1515" s="100"/>
      <c r="Z1515" s="100"/>
    </row>
    <row r="1516" spans="1:26">
      <c r="A1516" s="100" t="e">
        <f ca="1">IFERROR(__xludf.DUMMYFUNCTION("""COMPUTED_VALUE"""),58784851)</f>
        <v>#NAME?</v>
      </c>
      <c r="B1516" s="100" t="e">
        <f ca="1">IFERROR(__xludf.DUMMYFUNCTION("""COMPUTED_VALUE"""),"UTKBUSD")</f>
        <v>#NAME?</v>
      </c>
      <c r="C1516" s="100" t="e">
        <f ca="1">IFERROR(__xludf.DUMMYFUNCTION("""COMPUTED_VALUE"""),"0.05610000")</f>
        <v>#NAME?</v>
      </c>
      <c r="D1516" s="100" t="e">
        <f t="shared" ca="1" si="273"/>
        <v>#NAME?</v>
      </c>
      <c r="E1516" s="100" t="e">
        <f t="shared" ca="1" si="273"/>
        <v>#NAME?</v>
      </c>
      <c r="F1516" s="100" t="e">
        <f t="shared" ca="1" si="265"/>
        <v>#NAME?</v>
      </c>
      <c r="G1516" s="100" t="e">
        <f t="shared" ca="1" si="266"/>
        <v>#NAME?</v>
      </c>
      <c r="H1516" s="100" t="e">
        <f t="shared" ca="1" si="267"/>
        <v>#NAME?</v>
      </c>
      <c r="I1516" s="100" t="e">
        <f t="shared" ca="1" si="268"/>
        <v>#NAME?</v>
      </c>
      <c r="J1516" s="100" t="e">
        <f t="shared" ca="1" si="272"/>
        <v>#NAME?</v>
      </c>
      <c r="K1516" s="100" t="e">
        <f t="shared" ca="1" si="269"/>
        <v>#NAME?</v>
      </c>
      <c r="L1516" s="100"/>
      <c r="M1516" s="100"/>
      <c r="N1516" s="100"/>
      <c r="O1516" s="100"/>
      <c r="P1516" s="100"/>
      <c r="Q1516" s="100"/>
      <c r="R1516" s="100"/>
      <c r="S1516" s="100"/>
      <c r="T1516" s="100"/>
      <c r="U1516" s="100"/>
      <c r="V1516" s="100"/>
      <c r="W1516" s="100"/>
      <c r="X1516" s="100"/>
      <c r="Y1516" s="100"/>
      <c r="Z1516" s="100"/>
    </row>
    <row r="1517" spans="1:26">
      <c r="A1517" s="100" t="e">
        <f ca="1">IFERROR(__xludf.DUMMYFUNCTION("""COMPUTED_VALUE"""),58784852)</f>
        <v>#NAME?</v>
      </c>
      <c r="B1517" s="100" t="e">
        <f ca="1">IFERROR(__xludf.DUMMYFUNCTION("""COMPUTED_VALUE"""),"IOTXBUSD")</f>
        <v>#NAME?</v>
      </c>
      <c r="C1517" s="100" t="e">
        <f ca="1">IFERROR(__xludf.DUMMYFUNCTION("""COMPUTED_VALUE"""),"0.02148000")</f>
        <v>#NAME?</v>
      </c>
      <c r="D1517" s="100" t="e">
        <f t="shared" ca="1" si="273"/>
        <v>#NAME?</v>
      </c>
      <c r="E1517" s="100" t="e">
        <f t="shared" ca="1" si="273"/>
        <v>#NAME?</v>
      </c>
      <c r="F1517" s="100" t="e">
        <f t="shared" ca="1" si="265"/>
        <v>#NAME?</v>
      </c>
      <c r="G1517" s="100" t="e">
        <f t="shared" ca="1" si="266"/>
        <v>#NAME?</v>
      </c>
      <c r="H1517" s="100" t="e">
        <f t="shared" ca="1" si="267"/>
        <v>#NAME?</v>
      </c>
      <c r="I1517" s="100" t="e">
        <f t="shared" ca="1" si="268"/>
        <v>#NAME?</v>
      </c>
      <c r="J1517" s="100" t="e">
        <f t="shared" ca="1" si="272"/>
        <v>#NAME?</v>
      </c>
      <c r="K1517" s="100" t="e">
        <f t="shared" ca="1" si="269"/>
        <v>#NAME?</v>
      </c>
      <c r="L1517" s="100"/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</row>
    <row r="1518" spans="1:26">
      <c r="A1518" s="100" t="e">
        <f ca="1">IFERROR(__xludf.DUMMYFUNCTION("""COMPUTED_VALUE"""),58784853)</f>
        <v>#NAME?</v>
      </c>
      <c r="B1518" s="100" t="e">
        <f ca="1">IFERROR(__xludf.DUMMYFUNCTION("""COMPUTED_VALUE"""),"PHAUSDT")</f>
        <v>#NAME?</v>
      </c>
      <c r="C1518" s="100" t="e">
        <f ca="1">IFERROR(__xludf.DUMMYFUNCTION("""COMPUTED_VALUE"""),"0.09900000")</f>
        <v>#NAME?</v>
      </c>
      <c r="D1518" s="100" t="e">
        <f t="shared" ca="1" si="273"/>
        <v>#NAME?</v>
      </c>
      <c r="E1518" s="100" t="e">
        <f t="shared" ca="1" si="273"/>
        <v>#NAME?</v>
      </c>
      <c r="F1518" s="100" t="e">
        <f t="shared" ca="1" si="265"/>
        <v>#NAME?</v>
      </c>
      <c r="G1518" s="100" t="e">
        <f t="shared" ca="1" si="266"/>
        <v>#NAME?</v>
      </c>
      <c r="H1518" s="100" t="e">
        <f t="shared" ca="1" si="267"/>
        <v>#NAME?</v>
      </c>
      <c r="I1518" s="100" t="e">
        <f t="shared" ca="1" si="268"/>
        <v>#NAME?</v>
      </c>
      <c r="J1518" s="100" t="e">
        <f ca="1">IFERROR(__xludf.DUMMYFUNCTION("""COMPUTED_VALUE"""),"-4.255")</f>
        <v>#NAME?</v>
      </c>
      <c r="K1518" s="100" t="e">
        <f t="shared" ca="1" si="269"/>
        <v>#NAME?</v>
      </c>
      <c r="L1518" s="100"/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</row>
    <row r="1519" spans="1:26">
      <c r="A1519" s="100" t="e">
        <f ca="1">IFERROR(__xludf.DUMMYFUNCTION("""COMPUTED_VALUE"""),58784854)</f>
        <v>#NAME?</v>
      </c>
      <c r="B1519" s="100" t="e">
        <f ca="1">IFERROR(__xludf.DUMMYFUNCTION("""COMPUTED_VALUE"""),"SOLRUB")</f>
        <v>#NAME?</v>
      </c>
      <c r="C1519" s="100" t="e">
        <f ca="1">IFERROR(__xludf.DUMMYFUNCTION("""COMPUTED_VALUE"""),"5467.00000000")</f>
        <v>#NAME?</v>
      </c>
      <c r="D1519" s="100" t="e">
        <f t="shared" ca="1" si="273"/>
        <v>#NAME?</v>
      </c>
      <c r="E1519" s="100" t="e">
        <f t="shared" ca="1" si="273"/>
        <v>#NAME?</v>
      </c>
      <c r="F1519" s="100" t="e">
        <f t="shared" ca="1" si="265"/>
        <v>#NAME?</v>
      </c>
      <c r="G1519" s="100" t="e">
        <f t="shared" ca="1" si="266"/>
        <v>#NAME?</v>
      </c>
      <c r="H1519" s="100" t="e">
        <f t="shared" ca="1" si="267"/>
        <v>#NAME?</v>
      </c>
      <c r="I1519" s="100" t="e">
        <f t="shared" ca="1" si="268"/>
        <v>#NAME?</v>
      </c>
      <c r="J1519" s="100" t="e">
        <f t="shared" ref="J1519:J1528" ca="1" si="274">IFERROR(__xludf.DUMMYFUNCTION("""COMPUTED_VALUE"""),"0")</f>
        <v>#NAME?</v>
      </c>
      <c r="K1519" s="100" t="e">
        <f t="shared" ca="1" si="269"/>
        <v>#NAME?</v>
      </c>
      <c r="L1519" s="100"/>
      <c r="M1519" s="100"/>
      <c r="N1519" s="100"/>
      <c r="O1519" s="100"/>
      <c r="P1519" s="100"/>
      <c r="Q1519" s="100"/>
      <c r="R1519" s="100"/>
      <c r="S1519" s="100"/>
      <c r="T1519" s="100"/>
      <c r="U1519" s="100"/>
      <c r="V1519" s="100"/>
      <c r="W1519" s="100"/>
      <c r="X1519" s="100"/>
      <c r="Y1519" s="100"/>
      <c r="Z1519" s="100"/>
    </row>
    <row r="1520" spans="1:26">
      <c r="A1520" s="100" t="e">
        <f ca="1">IFERROR(__xludf.DUMMYFUNCTION("""COMPUTED_VALUE"""),58784855)</f>
        <v>#NAME?</v>
      </c>
      <c r="B1520" s="100" t="e">
        <f ca="1">IFERROR(__xludf.DUMMYFUNCTION("""COMPUTED_VALUE"""),"RUNEAUD")</f>
        <v>#NAME?</v>
      </c>
      <c r="C1520" s="100" t="e">
        <f ca="1">IFERROR(__xludf.DUMMYFUNCTION("""COMPUTED_VALUE"""),"0.00000000")</f>
        <v>#NAME?</v>
      </c>
      <c r="D1520" s="100" t="e">
        <f t="shared" ca="1" si="273"/>
        <v>#NAME?</v>
      </c>
      <c r="E1520" s="100" t="e">
        <f t="shared" ca="1" si="273"/>
        <v>#NAME?</v>
      </c>
      <c r="F1520" s="100" t="e">
        <f t="shared" ca="1" si="265"/>
        <v>#NAME?</v>
      </c>
      <c r="G1520" s="100" t="e">
        <f t="shared" ca="1" si="266"/>
        <v>#NAME?</v>
      </c>
      <c r="H1520" s="100" t="e">
        <f t="shared" ca="1" si="267"/>
        <v>#NAME?</v>
      </c>
      <c r="I1520" s="100" t="e">
        <f t="shared" ca="1" si="268"/>
        <v>#NAME?</v>
      </c>
      <c r="J1520" s="100" t="e">
        <f t="shared" ca="1" si="274"/>
        <v>#NAME?</v>
      </c>
      <c r="K1520" s="100" t="e">
        <f t="shared" ca="1" si="269"/>
        <v>#NAME?</v>
      </c>
      <c r="L1520" s="100"/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</row>
    <row r="1521" spans="1:26">
      <c r="A1521" s="100" t="e">
        <f ca="1">IFERROR(__xludf.DUMMYFUNCTION("""COMPUTED_VALUE"""),58784856)</f>
        <v>#NAME?</v>
      </c>
      <c r="B1521" s="100" t="e">
        <f ca="1">IFERROR(__xludf.DUMMYFUNCTION("""COMPUTED_VALUE"""),"BUSDUAH")</f>
        <v>#NAME?</v>
      </c>
      <c r="C1521" s="100" t="e">
        <f ca="1">IFERROR(__xludf.DUMMYFUNCTION("""COMPUTED_VALUE"""),"41.12000000")</f>
        <v>#NAME?</v>
      </c>
      <c r="D1521" s="100" t="e">
        <f t="shared" ca="1" si="273"/>
        <v>#NAME?</v>
      </c>
      <c r="E1521" s="100" t="e">
        <f t="shared" ca="1" si="273"/>
        <v>#NAME?</v>
      </c>
      <c r="F1521" s="100" t="e">
        <f t="shared" ca="1" si="265"/>
        <v>#NAME?</v>
      </c>
      <c r="G1521" s="100" t="e">
        <f t="shared" ca="1" si="266"/>
        <v>#NAME?</v>
      </c>
      <c r="H1521" s="100" t="e">
        <f t="shared" ca="1" si="267"/>
        <v>#NAME?</v>
      </c>
      <c r="I1521" s="100" t="e">
        <f t="shared" ca="1" si="268"/>
        <v>#NAME?</v>
      </c>
      <c r="J1521" s="100" t="e">
        <f t="shared" ca="1" si="274"/>
        <v>#NAME?</v>
      </c>
      <c r="K1521" s="100" t="e">
        <f t="shared" ca="1" si="269"/>
        <v>#NAME?</v>
      </c>
      <c r="L1521" s="100"/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</row>
    <row r="1522" spans="1:26">
      <c r="A1522" s="100" t="e">
        <f ca="1">IFERROR(__xludf.DUMMYFUNCTION("""COMPUTED_VALUE"""),58784857)</f>
        <v>#NAME?</v>
      </c>
      <c r="B1522" s="100" t="e">
        <f ca="1">IFERROR(__xludf.DUMMYFUNCTION("""COMPUTED_VALUE"""),"BONDBTC")</f>
        <v>#NAME?</v>
      </c>
      <c r="C1522" s="100" t="e">
        <f ca="1">IFERROR(__xludf.DUMMYFUNCTION("""COMPUTED_VALUE"""),"0.00003108")</f>
        <v>#NAME?</v>
      </c>
      <c r="D1522" s="100" t="e">
        <f t="shared" ref="D1522:E1541" ca="1" si="275">IFERROR(__xludf.DUMMYFUNCTION("""COMPUTED_VALUE"""),"-")</f>
        <v>#NAME?</v>
      </c>
      <c r="E1522" s="100" t="e">
        <f t="shared" ca="1" si="275"/>
        <v>#NAME?</v>
      </c>
      <c r="F1522" s="100" t="e">
        <f t="shared" ca="1" si="265"/>
        <v>#NAME?</v>
      </c>
      <c r="G1522" s="100" t="e">
        <f t="shared" ca="1" si="266"/>
        <v>#NAME?</v>
      </c>
      <c r="H1522" s="100" t="e">
        <f t="shared" ca="1" si="267"/>
        <v>#NAME?</v>
      </c>
      <c r="I1522" s="100" t="e">
        <f t="shared" ca="1" si="268"/>
        <v>#NAME?</v>
      </c>
      <c r="J1522" s="100" t="e">
        <f t="shared" ca="1" si="274"/>
        <v>#NAME?</v>
      </c>
      <c r="K1522" s="100" t="e">
        <f t="shared" ca="1" si="269"/>
        <v>#NAME?</v>
      </c>
      <c r="L1522" s="100"/>
      <c r="M1522" s="100"/>
      <c r="N1522" s="100"/>
      <c r="O1522" s="100"/>
      <c r="P1522" s="100"/>
      <c r="Q1522" s="100"/>
      <c r="R1522" s="100"/>
      <c r="S1522" s="100"/>
      <c r="T1522" s="100"/>
      <c r="U1522" s="100"/>
      <c r="V1522" s="100"/>
      <c r="W1522" s="100"/>
      <c r="X1522" s="100"/>
      <c r="Y1522" s="100"/>
      <c r="Z1522" s="100"/>
    </row>
    <row r="1523" spans="1:26">
      <c r="A1523" s="100" t="e">
        <f ca="1">IFERROR(__xludf.DUMMYFUNCTION("""COMPUTED_VALUE"""),58784858)</f>
        <v>#NAME?</v>
      </c>
      <c r="B1523" s="100" t="e">
        <f ca="1">IFERROR(__xludf.DUMMYFUNCTION("""COMPUTED_VALUE"""),"BONDBNB")</f>
        <v>#NAME?</v>
      </c>
      <c r="C1523" s="100" t="e">
        <f ca="1">IFERROR(__xludf.DUMMYFUNCTION("""COMPUTED_VALUE"""),"0.00000000")</f>
        <v>#NAME?</v>
      </c>
      <c r="D1523" s="100" t="e">
        <f t="shared" ca="1" si="275"/>
        <v>#NAME?</v>
      </c>
      <c r="E1523" s="100" t="e">
        <f t="shared" ca="1" si="275"/>
        <v>#NAME?</v>
      </c>
      <c r="F1523" s="100" t="e">
        <f t="shared" ca="1" si="265"/>
        <v>#NAME?</v>
      </c>
      <c r="G1523" s="100" t="e">
        <f t="shared" ca="1" si="266"/>
        <v>#NAME?</v>
      </c>
      <c r="H1523" s="100" t="e">
        <f t="shared" ca="1" si="267"/>
        <v>#NAME?</v>
      </c>
      <c r="I1523" s="100" t="e">
        <f t="shared" ca="1" si="268"/>
        <v>#NAME?</v>
      </c>
      <c r="J1523" s="100" t="e">
        <f t="shared" ca="1" si="274"/>
        <v>#NAME?</v>
      </c>
      <c r="K1523" s="100" t="e">
        <f t="shared" ca="1" si="269"/>
        <v>#NAME?</v>
      </c>
      <c r="L1523" s="100"/>
      <c r="M1523" s="100"/>
      <c r="N1523" s="100"/>
      <c r="O1523" s="100"/>
      <c r="P1523" s="100"/>
      <c r="Q1523" s="100"/>
      <c r="R1523" s="100"/>
      <c r="S1523" s="100"/>
      <c r="T1523" s="100"/>
      <c r="U1523" s="100"/>
      <c r="V1523" s="100"/>
      <c r="W1523" s="100"/>
      <c r="X1523" s="100"/>
      <c r="Y1523" s="100"/>
      <c r="Z1523" s="100"/>
    </row>
    <row r="1524" spans="1:26">
      <c r="A1524" s="100" t="e">
        <f ca="1">IFERROR(__xludf.DUMMYFUNCTION("""COMPUTED_VALUE"""),58784859)</f>
        <v>#NAME?</v>
      </c>
      <c r="B1524" s="100" t="e">
        <f ca="1">IFERROR(__xludf.DUMMYFUNCTION("""COMPUTED_VALUE"""),"BONDBUSD")</f>
        <v>#NAME?</v>
      </c>
      <c r="C1524" s="100" t="e">
        <f ca="1">IFERROR(__xludf.DUMMYFUNCTION("""COMPUTED_VALUE"""),"4.26200000")</f>
        <v>#NAME?</v>
      </c>
      <c r="D1524" s="100" t="e">
        <f t="shared" ca="1" si="275"/>
        <v>#NAME?</v>
      </c>
      <c r="E1524" s="100" t="e">
        <f t="shared" ca="1" si="275"/>
        <v>#NAME?</v>
      </c>
      <c r="F1524" s="100" t="e">
        <f t="shared" ca="1" si="265"/>
        <v>#NAME?</v>
      </c>
      <c r="G1524" s="100" t="e">
        <f t="shared" ca="1" si="266"/>
        <v>#NAME?</v>
      </c>
      <c r="H1524" s="100" t="e">
        <f t="shared" ca="1" si="267"/>
        <v>#NAME?</v>
      </c>
      <c r="I1524" s="100" t="e">
        <f t="shared" ca="1" si="268"/>
        <v>#NAME?</v>
      </c>
      <c r="J1524" s="100" t="e">
        <f t="shared" ca="1" si="274"/>
        <v>#NAME?</v>
      </c>
      <c r="K1524" s="100" t="e">
        <f t="shared" ca="1" si="269"/>
        <v>#NAME?</v>
      </c>
      <c r="L1524" s="100"/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</row>
    <row r="1525" spans="1:26">
      <c r="A1525" s="100" t="e">
        <f ca="1">IFERROR(__xludf.DUMMYFUNCTION("""COMPUTED_VALUE"""),58784860)</f>
        <v>#NAME?</v>
      </c>
      <c r="B1525" s="100" t="e">
        <f ca="1">IFERROR(__xludf.DUMMYFUNCTION("""COMPUTED_VALUE"""),"BONDUSDT")</f>
        <v>#NAME?</v>
      </c>
      <c r="C1525" s="100" t="e">
        <f ca="1">IFERROR(__xludf.DUMMYFUNCTION("""COMPUTED_VALUE"""),"2.15200000")</f>
        <v>#NAME?</v>
      </c>
      <c r="D1525" s="100" t="e">
        <f t="shared" ca="1" si="275"/>
        <v>#NAME?</v>
      </c>
      <c r="E1525" s="100" t="e">
        <f t="shared" ca="1" si="275"/>
        <v>#NAME?</v>
      </c>
      <c r="F1525" s="100" t="e">
        <f t="shared" ca="1" si="265"/>
        <v>#NAME?</v>
      </c>
      <c r="G1525" s="100" t="e">
        <f t="shared" ca="1" si="266"/>
        <v>#NAME?</v>
      </c>
      <c r="H1525" s="100" t="e">
        <f t="shared" ca="1" si="267"/>
        <v>#NAME?</v>
      </c>
      <c r="I1525" s="100" t="e">
        <f t="shared" ca="1" si="268"/>
        <v>#NAME?</v>
      </c>
      <c r="J1525" s="100" t="e">
        <f t="shared" ca="1" si="274"/>
        <v>#NAME?</v>
      </c>
      <c r="K1525" s="100" t="e">
        <f t="shared" ca="1" si="269"/>
        <v>#NAME?</v>
      </c>
      <c r="L1525" s="100"/>
      <c r="M1525" s="100"/>
      <c r="N1525" s="100"/>
      <c r="O1525" s="100"/>
      <c r="P1525" s="100"/>
      <c r="Q1525" s="100"/>
      <c r="R1525" s="100"/>
      <c r="S1525" s="100"/>
      <c r="T1525" s="100"/>
      <c r="U1525" s="100"/>
      <c r="V1525" s="100"/>
      <c r="W1525" s="100"/>
      <c r="X1525" s="100"/>
      <c r="Y1525" s="100"/>
      <c r="Z1525" s="100"/>
    </row>
    <row r="1526" spans="1:26">
      <c r="A1526" s="100" t="e">
        <f ca="1">IFERROR(__xludf.DUMMYFUNCTION("""COMPUTED_VALUE"""),58784861)</f>
        <v>#NAME?</v>
      </c>
      <c r="B1526" s="100" t="e">
        <f ca="1">IFERROR(__xludf.DUMMYFUNCTION("""COMPUTED_VALUE"""),"MLNBTC")</f>
        <v>#NAME?</v>
      </c>
      <c r="C1526" s="100" t="e">
        <f ca="1">IFERROR(__xludf.DUMMYFUNCTION("""COMPUTED_VALUE"""),"0.00011280")</f>
        <v>#NAME?</v>
      </c>
      <c r="D1526" s="100" t="e">
        <f t="shared" ca="1" si="275"/>
        <v>#NAME?</v>
      </c>
      <c r="E1526" s="100" t="e">
        <f t="shared" ca="1" si="275"/>
        <v>#NAME?</v>
      </c>
      <c r="F1526" s="100" t="e">
        <f t="shared" ca="1" si="265"/>
        <v>#NAME?</v>
      </c>
      <c r="G1526" s="100" t="e">
        <f t="shared" ca="1" si="266"/>
        <v>#NAME?</v>
      </c>
      <c r="H1526" s="100" t="e">
        <f t="shared" ca="1" si="267"/>
        <v>#NAME?</v>
      </c>
      <c r="I1526" s="100" t="e">
        <f t="shared" ca="1" si="268"/>
        <v>#NAME?</v>
      </c>
      <c r="J1526" s="100" t="e">
        <f t="shared" ca="1" si="274"/>
        <v>#NAME?</v>
      </c>
      <c r="K1526" s="100" t="e">
        <f t="shared" ca="1" si="269"/>
        <v>#NAME?</v>
      </c>
      <c r="L1526" s="100"/>
      <c r="M1526" s="100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</row>
    <row r="1527" spans="1:26">
      <c r="A1527" s="100" t="e">
        <f ca="1">IFERROR(__xludf.DUMMYFUNCTION("""COMPUTED_VALUE"""),58784862)</f>
        <v>#NAME?</v>
      </c>
      <c r="B1527" s="100" t="e">
        <f ca="1">IFERROR(__xludf.DUMMYFUNCTION("""COMPUTED_VALUE"""),"MLNBNB")</f>
        <v>#NAME?</v>
      </c>
      <c r="C1527" s="100" t="e">
        <f ca="1">IFERROR(__xludf.DUMMYFUNCTION("""COMPUTED_VALUE"""),"0.00000000")</f>
        <v>#NAME?</v>
      </c>
      <c r="D1527" s="100" t="e">
        <f t="shared" ca="1" si="275"/>
        <v>#NAME?</v>
      </c>
      <c r="E1527" s="100" t="e">
        <f t="shared" ca="1" si="275"/>
        <v>#NAME?</v>
      </c>
      <c r="F1527" s="100" t="e">
        <f t="shared" ca="1" si="265"/>
        <v>#NAME?</v>
      </c>
      <c r="G1527" s="100" t="e">
        <f t="shared" ca="1" si="266"/>
        <v>#NAME?</v>
      </c>
      <c r="H1527" s="100" t="e">
        <f t="shared" ca="1" si="267"/>
        <v>#NAME?</v>
      </c>
      <c r="I1527" s="100" t="e">
        <f t="shared" ca="1" si="268"/>
        <v>#NAME?</v>
      </c>
      <c r="J1527" s="100" t="e">
        <f t="shared" ca="1" si="274"/>
        <v>#NAME?</v>
      </c>
      <c r="K1527" s="100" t="e">
        <f t="shared" ca="1" si="269"/>
        <v>#NAME?</v>
      </c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</row>
    <row r="1528" spans="1:26">
      <c r="A1528" s="100" t="e">
        <f ca="1">IFERROR(__xludf.DUMMYFUNCTION("""COMPUTED_VALUE"""),58784863)</f>
        <v>#NAME?</v>
      </c>
      <c r="B1528" s="100" t="e">
        <f ca="1">IFERROR(__xludf.DUMMYFUNCTION("""COMPUTED_VALUE"""),"MLNBUSD")</f>
        <v>#NAME?</v>
      </c>
      <c r="C1528" s="100" t="e">
        <f ca="1">IFERROR(__xludf.DUMMYFUNCTION("""COMPUTED_VALUE"""),"15.73000000")</f>
        <v>#NAME?</v>
      </c>
      <c r="D1528" s="100" t="e">
        <f t="shared" ca="1" si="275"/>
        <v>#NAME?</v>
      </c>
      <c r="E1528" s="100" t="e">
        <f t="shared" ca="1" si="275"/>
        <v>#NAME?</v>
      </c>
      <c r="F1528" s="100" t="e">
        <f t="shared" ca="1" si="265"/>
        <v>#NAME?</v>
      </c>
      <c r="G1528" s="100" t="e">
        <f t="shared" ca="1" si="266"/>
        <v>#NAME?</v>
      </c>
      <c r="H1528" s="100" t="e">
        <f t="shared" ca="1" si="267"/>
        <v>#NAME?</v>
      </c>
      <c r="I1528" s="100" t="e">
        <f t="shared" ca="1" si="268"/>
        <v>#NAME?</v>
      </c>
      <c r="J1528" s="100" t="e">
        <f t="shared" ca="1" si="274"/>
        <v>#NAME?</v>
      </c>
      <c r="K1528" s="100" t="e">
        <f t="shared" ca="1" si="269"/>
        <v>#NAME?</v>
      </c>
      <c r="L1528" s="100"/>
      <c r="M1528" s="100"/>
      <c r="N1528" s="100"/>
      <c r="O1528" s="100"/>
      <c r="P1528" s="100"/>
      <c r="Q1528" s="100"/>
      <c r="R1528" s="100"/>
      <c r="S1528" s="100"/>
      <c r="T1528" s="100"/>
      <c r="U1528" s="100"/>
      <c r="V1528" s="100"/>
      <c r="W1528" s="100"/>
      <c r="X1528" s="100"/>
      <c r="Y1528" s="100"/>
      <c r="Z1528" s="100"/>
    </row>
    <row r="1529" spans="1:26">
      <c r="A1529" s="100" t="e">
        <f ca="1">IFERROR(__xludf.DUMMYFUNCTION("""COMPUTED_VALUE"""),58784864)</f>
        <v>#NAME?</v>
      </c>
      <c r="B1529" s="100" t="e">
        <f ca="1">IFERROR(__xludf.DUMMYFUNCTION("""COMPUTED_VALUE"""),"MLNUSDT")</f>
        <v>#NAME?</v>
      </c>
      <c r="C1529" s="100" t="e">
        <f ca="1">IFERROR(__xludf.DUMMYFUNCTION("""COMPUTED_VALUE"""),"8.34000000")</f>
        <v>#NAME?</v>
      </c>
      <c r="D1529" s="100" t="e">
        <f t="shared" ca="1" si="275"/>
        <v>#NAME?</v>
      </c>
      <c r="E1529" s="100" t="e">
        <f t="shared" ca="1" si="275"/>
        <v>#NAME?</v>
      </c>
      <c r="F1529" s="100" t="e">
        <f t="shared" ca="1" si="265"/>
        <v>#NAME?</v>
      </c>
      <c r="G1529" s="100" t="e">
        <f t="shared" ca="1" si="266"/>
        <v>#NAME?</v>
      </c>
      <c r="H1529" s="100" t="e">
        <f t="shared" ca="1" si="267"/>
        <v>#NAME?</v>
      </c>
      <c r="I1529" s="100" t="e">
        <f t="shared" ca="1" si="268"/>
        <v>#NAME?</v>
      </c>
      <c r="J1529" s="100" t="e">
        <f ca="1">IFERROR(__xludf.DUMMYFUNCTION("""COMPUTED_VALUE"""),"1.214")</f>
        <v>#NAME?</v>
      </c>
      <c r="K1529" s="100" t="e">
        <f t="shared" ca="1" si="269"/>
        <v>#NAME?</v>
      </c>
      <c r="L1529" s="100"/>
      <c r="M1529" s="100"/>
      <c r="N1529" s="100"/>
      <c r="O1529" s="100"/>
      <c r="P1529" s="100"/>
      <c r="Q1529" s="100"/>
      <c r="R1529" s="100"/>
      <c r="S1529" s="100"/>
      <c r="T1529" s="100"/>
      <c r="U1529" s="100"/>
      <c r="V1529" s="100"/>
      <c r="W1529" s="100"/>
      <c r="X1529" s="100"/>
      <c r="Y1529" s="100"/>
      <c r="Z1529" s="100"/>
    </row>
    <row r="1530" spans="1:26">
      <c r="A1530" s="100" t="e">
        <f ca="1">IFERROR(__xludf.DUMMYFUNCTION("""COMPUTED_VALUE"""),58784865)</f>
        <v>#NAME?</v>
      </c>
      <c r="B1530" s="100" t="e">
        <f ca="1">IFERROR(__xludf.DUMMYFUNCTION("""COMPUTED_VALUE"""),"GRTTRY")</f>
        <v>#NAME?</v>
      </c>
      <c r="C1530" s="100" t="e">
        <f ca="1">IFERROR(__xludf.DUMMYFUNCTION("""COMPUTED_VALUE"""),"3.20200000")</f>
        <v>#NAME?</v>
      </c>
      <c r="D1530" s="100" t="e">
        <f t="shared" ca="1" si="275"/>
        <v>#NAME?</v>
      </c>
      <c r="E1530" s="100" t="e">
        <f t="shared" ca="1" si="275"/>
        <v>#NAME?</v>
      </c>
      <c r="F1530" s="100" t="e">
        <f t="shared" ca="1" si="265"/>
        <v>#NAME?</v>
      </c>
      <c r="G1530" s="100" t="e">
        <f t="shared" ca="1" si="266"/>
        <v>#NAME?</v>
      </c>
      <c r="H1530" s="100" t="e">
        <f t="shared" ca="1" si="267"/>
        <v>#NAME?</v>
      </c>
      <c r="I1530" s="100" t="e">
        <f t="shared" ca="1" si="268"/>
        <v>#NAME?</v>
      </c>
      <c r="J1530" s="100" t="e">
        <f ca="1">IFERROR(__xludf.DUMMYFUNCTION("""COMPUTED_VALUE"""),"-1.839")</f>
        <v>#NAME?</v>
      </c>
      <c r="K1530" s="100" t="e">
        <f t="shared" ca="1" si="269"/>
        <v>#NAME?</v>
      </c>
      <c r="L1530" s="100"/>
      <c r="M1530" s="100"/>
      <c r="N1530" s="100"/>
      <c r="O1530" s="100"/>
      <c r="P1530" s="100"/>
      <c r="Q1530" s="100"/>
      <c r="R1530" s="100"/>
      <c r="S1530" s="100"/>
      <c r="T1530" s="100"/>
      <c r="U1530" s="100"/>
      <c r="V1530" s="100"/>
      <c r="W1530" s="100"/>
      <c r="X1530" s="100"/>
      <c r="Y1530" s="100"/>
      <c r="Z1530" s="100"/>
    </row>
    <row r="1531" spans="1:26">
      <c r="A1531" s="100" t="e">
        <f ca="1">IFERROR(__xludf.DUMMYFUNCTION("""COMPUTED_VALUE"""),58784866)</f>
        <v>#NAME?</v>
      </c>
      <c r="B1531" s="100" t="e">
        <f ca="1">IFERROR(__xludf.DUMMYFUNCTION("""COMPUTED_VALUE"""),"CAKEBRL")</f>
        <v>#NAME?</v>
      </c>
      <c r="C1531" s="100" t="e">
        <f ca="1">IFERROR(__xludf.DUMMYFUNCTION("""COMPUTED_VALUE"""),"0.00000000")</f>
        <v>#NAME?</v>
      </c>
      <c r="D1531" s="100" t="e">
        <f t="shared" ca="1" si="275"/>
        <v>#NAME?</v>
      </c>
      <c r="E1531" s="100" t="e">
        <f t="shared" ca="1" si="275"/>
        <v>#NAME?</v>
      </c>
      <c r="F1531" s="100" t="e">
        <f t="shared" ca="1" si="265"/>
        <v>#NAME?</v>
      </c>
      <c r="G1531" s="100" t="e">
        <f t="shared" ca="1" si="266"/>
        <v>#NAME?</v>
      </c>
      <c r="H1531" s="100" t="e">
        <f t="shared" ca="1" si="267"/>
        <v>#NAME?</v>
      </c>
      <c r="I1531" s="100" t="e">
        <f t="shared" ca="1" si="268"/>
        <v>#NAME?</v>
      </c>
      <c r="J1531" s="100" t="e">
        <f ca="1">IFERROR(__xludf.DUMMYFUNCTION("""COMPUTED_VALUE"""),"0")</f>
        <v>#NAME?</v>
      </c>
      <c r="K1531" s="100" t="e">
        <f t="shared" ca="1" si="269"/>
        <v>#NAME?</v>
      </c>
      <c r="L1531" s="100"/>
      <c r="M1531" s="100"/>
      <c r="N1531" s="100"/>
      <c r="O1531" s="100"/>
      <c r="P1531" s="100"/>
      <c r="Q1531" s="100"/>
      <c r="R1531" s="100"/>
      <c r="S1531" s="100"/>
      <c r="T1531" s="100"/>
      <c r="U1531" s="100"/>
      <c r="V1531" s="100"/>
      <c r="W1531" s="100"/>
      <c r="X1531" s="100"/>
      <c r="Y1531" s="100"/>
      <c r="Z1531" s="100"/>
    </row>
    <row r="1532" spans="1:26">
      <c r="A1532" s="100" t="e">
        <f ca="1">IFERROR(__xludf.DUMMYFUNCTION("""COMPUTED_VALUE"""),58784867)</f>
        <v>#NAME?</v>
      </c>
      <c r="B1532" s="100" t="e">
        <f ca="1">IFERROR(__xludf.DUMMYFUNCTION("""COMPUTED_VALUE"""),"ICPRUB")</f>
        <v>#NAME?</v>
      </c>
      <c r="C1532" s="100" t="e">
        <f ca="1">IFERROR(__xludf.DUMMYFUNCTION("""COMPUTED_VALUE"""),"0.00000000")</f>
        <v>#NAME?</v>
      </c>
      <c r="D1532" s="100" t="e">
        <f t="shared" ca="1" si="275"/>
        <v>#NAME?</v>
      </c>
      <c r="E1532" s="100" t="e">
        <f t="shared" ca="1" si="275"/>
        <v>#NAME?</v>
      </c>
      <c r="F1532" s="100" t="e">
        <f t="shared" ca="1" si="265"/>
        <v>#NAME?</v>
      </c>
      <c r="G1532" s="100" t="e">
        <f t="shared" ca="1" si="266"/>
        <v>#NAME?</v>
      </c>
      <c r="H1532" s="100" t="e">
        <f t="shared" ca="1" si="267"/>
        <v>#NAME?</v>
      </c>
      <c r="I1532" s="100" t="e">
        <f t="shared" ca="1" si="268"/>
        <v>#NAME?</v>
      </c>
      <c r="J1532" s="100" t="e">
        <f ca="1">IFERROR(__xludf.DUMMYFUNCTION("""COMPUTED_VALUE"""),"0")</f>
        <v>#NAME?</v>
      </c>
      <c r="K1532" s="100" t="e">
        <f t="shared" ca="1" si="269"/>
        <v>#NAME?</v>
      </c>
      <c r="L1532" s="100"/>
      <c r="M1532" s="100"/>
      <c r="N1532" s="100"/>
      <c r="O1532" s="100"/>
      <c r="P1532" s="100"/>
      <c r="Q1532" s="100"/>
      <c r="R1532" s="100"/>
      <c r="S1532" s="100"/>
      <c r="T1532" s="100"/>
      <c r="U1532" s="100"/>
      <c r="V1532" s="100"/>
      <c r="W1532" s="100"/>
      <c r="X1532" s="100"/>
      <c r="Y1532" s="100"/>
      <c r="Z1532" s="100"/>
    </row>
    <row r="1533" spans="1:26">
      <c r="A1533" s="100" t="e">
        <f ca="1">IFERROR(__xludf.DUMMYFUNCTION("""COMPUTED_VALUE"""),58784868)</f>
        <v>#NAME?</v>
      </c>
      <c r="B1533" s="100" t="e">
        <f ca="1">IFERROR(__xludf.DUMMYFUNCTION("""COMPUTED_VALUE"""),"DOTAUD")</f>
        <v>#NAME?</v>
      </c>
      <c r="C1533" s="100" t="e">
        <f ca="1">IFERROR(__xludf.DUMMYFUNCTION("""COMPUTED_VALUE"""),"6.63100000")</f>
        <v>#NAME?</v>
      </c>
      <c r="D1533" s="100" t="e">
        <f t="shared" ca="1" si="275"/>
        <v>#NAME?</v>
      </c>
      <c r="E1533" s="100" t="e">
        <f t="shared" ca="1" si="275"/>
        <v>#NAME?</v>
      </c>
      <c r="F1533" s="100" t="e">
        <f t="shared" ca="1" si="265"/>
        <v>#NAME?</v>
      </c>
      <c r="G1533" s="100" t="e">
        <f t="shared" ca="1" si="266"/>
        <v>#NAME?</v>
      </c>
      <c r="H1533" s="100" t="e">
        <f t="shared" ca="1" si="267"/>
        <v>#NAME?</v>
      </c>
      <c r="I1533" s="100" t="e">
        <f t="shared" ca="1" si="268"/>
        <v>#NAME?</v>
      </c>
      <c r="J1533" s="100" t="e">
        <f ca="1">IFERROR(__xludf.DUMMYFUNCTION("""COMPUTED_VALUE"""),"0")</f>
        <v>#NAME?</v>
      </c>
      <c r="K1533" s="100" t="e">
        <f t="shared" ca="1" si="269"/>
        <v>#NAME?</v>
      </c>
      <c r="L1533" s="100"/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</row>
    <row r="1534" spans="1:26">
      <c r="A1534" s="100" t="e">
        <f ca="1">IFERROR(__xludf.DUMMYFUNCTION("""COMPUTED_VALUE"""),58784869)</f>
        <v>#NAME?</v>
      </c>
      <c r="B1534" s="100" t="e">
        <f ca="1">IFERROR(__xludf.DUMMYFUNCTION("""COMPUTED_VALUE"""),"AAVEBRL")</f>
        <v>#NAME?</v>
      </c>
      <c r="C1534" s="100" t="e">
        <f ca="1">IFERROR(__xludf.DUMMYFUNCTION("""COMPUTED_VALUE"""),"0.00000000")</f>
        <v>#NAME?</v>
      </c>
      <c r="D1534" s="100" t="e">
        <f t="shared" ca="1" si="275"/>
        <v>#NAME?</v>
      </c>
      <c r="E1534" s="100" t="e">
        <f t="shared" ca="1" si="275"/>
        <v>#NAME?</v>
      </c>
      <c r="F1534" s="100" t="e">
        <f t="shared" ca="1" si="265"/>
        <v>#NAME?</v>
      </c>
      <c r="G1534" s="100" t="e">
        <f t="shared" ca="1" si="266"/>
        <v>#NAME?</v>
      </c>
      <c r="H1534" s="100" t="e">
        <f t="shared" ca="1" si="267"/>
        <v>#NAME?</v>
      </c>
      <c r="I1534" s="100" t="e">
        <f t="shared" ca="1" si="268"/>
        <v>#NAME?</v>
      </c>
      <c r="J1534" s="100" t="e">
        <f ca="1">IFERROR(__xludf.DUMMYFUNCTION("""COMPUTED_VALUE"""),"0")</f>
        <v>#NAME?</v>
      </c>
      <c r="K1534" s="100" t="e">
        <f t="shared" ca="1" si="269"/>
        <v>#NAME?</v>
      </c>
      <c r="L1534" s="100"/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</row>
    <row r="1535" spans="1:26">
      <c r="A1535" s="100" t="e">
        <f ca="1">IFERROR(__xludf.DUMMYFUNCTION("""COMPUTED_VALUE"""),58784870)</f>
        <v>#NAME?</v>
      </c>
      <c r="B1535" s="100" t="e">
        <f ca="1">IFERROR(__xludf.DUMMYFUNCTION("""COMPUTED_VALUE"""),"EOSAUD")</f>
        <v>#NAME?</v>
      </c>
      <c r="C1535" s="100" t="e">
        <f ca="1">IFERROR(__xludf.DUMMYFUNCTION("""COMPUTED_VALUE"""),"0.00000000")</f>
        <v>#NAME?</v>
      </c>
      <c r="D1535" s="100" t="e">
        <f t="shared" ca="1" si="275"/>
        <v>#NAME?</v>
      </c>
      <c r="E1535" s="100" t="e">
        <f t="shared" ca="1" si="275"/>
        <v>#NAME?</v>
      </c>
      <c r="F1535" s="100" t="e">
        <f t="shared" ca="1" si="265"/>
        <v>#NAME?</v>
      </c>
      <c r="G1535" s="100" t="e">
        <f t="shared" ca="1" si="266"/>
        <v>#NAME?</v>
      </c>
      <c r="H1535" s="100" t="e">
        <f t="shared" ca="1" si="267"/>
        <v>#NAME?</v>
      </c>
      <c r="I1535" s="100" t="e">
        <f t="shared" ca="1" si="268"/>
        <v>#NAME?</v>
      </c>
      <c r="J1535" s="100" t="e">
        <f ca="1">IFERROR(__xludf.DUMMYFUNCTION("""COMPUTED_VALUE"""),"0")</f>
        <v>#NAME?</v>
      </c>
      <c r="K1535" s="100" t="e">
        <f t="shared" ca="1" si="269"/>
        <v>#NAME?</v>
      </c>
      <c r="L1535" s="100"/>
      <c r="M1535" s="100"/>
      <c r="N1535" s="100"/>
      <c r="O1535" s="100"/>
      <c r="P1535" s="100"/>
      <c r="Q1535" s="100"/>
      <c r="R1535" s="100"/>
      <c r="S1535" s="100"/>
      <c r="T1535" s="100"/>
      <c r="U1535" s="100"/>
      <c r="V1535" s="100"/>
      <c r="W1535" s="100"/>
      <c r="X1535" s="100"/>
      <c r="Y1535" s="100"/>
      <c r="Z1535" s="100"/>
    </row>
    <row r="1536" spans="1:26">
      <c r="A1536" s="100" t="e">
        <f ca="1">IFERROR(__xludf.DUMMYFUNCTION("""COMPUTED_VALUE"""),58784871)</f>
        <v>#NAME?</v>
      </c>
      <c r="B1536" s="100" t="e">
        <f ca="1">IFERROR(__xludf.DUMMYFUNCTION("""COMPUTED_VALUE"""),"DEXEUSDT")</f>
        <v>#NAME?</v>
      </c>
      <c r="C1536" s="100" t="e">
        <f ca="1">IFERROR(__xludf.DUMMYFUNCTION("""COMPUTED_VALUE"""),"14.74100000")</f>
        <v>#NAME?</v>
      </c>
      <c r="D1536" s="100" t="e">
        <f t="shared" ca="1" si="275"/>
        <v>#NAME?</v>
      </c>
      <c r="E1536" s="100" t="e">
        <f t="shared" ca="1" si="275"/>
        <v>#NAME?</v>
      </c>
      <c r="F1536" s="100" t="e">
        <f t="shared" ca="1" si="265"/>
        <v>#NAME?</v>
      </c>
      <c r="G1536" s="100" t="e">
        <f t="shared" ca="1" si="266"/>
        <v>#NAME?</v>
      </c>
      <c r="H1536" s="100" t="e">
        <f t="shared" ca="1" si="267"/>
        <v>#NAME?</v>
      </c>
      <c r="I1536" s="100" t="e">
        <f t="shared" ca="1" si="268"/>
        <v>#NAME?</v>
      </c>
      <c r="J1536" s="100" t="e">
        <f ca="1">IFERROR(__xludf.DUMMYFUNCTION("""COMPUTED_VALUE"""),"-1.398")</f>
        <v>#NAME?</v>
      </c>
      <c r="K1536" s="100" t="e">
        <f t="shared" ca="1" si="269"/>
        <v>#NAME?</v>
      </c>
      <c r="L1536" s="100"/>
      <c r="M1536" s="100"/>
      <c r="N1536" s="100"/>
      <c r="O1536" s="100"/>
      <c r="P1536" s="100"/>
      <c r="Q1536" s="100"/>
      <c r="R1536" s="100"/>
      <c r="S1536" s="100"/>
      <c r="T1536" s="100"/>
      <c r="U1536" s="100"/>
      <c r="V1536" s="100"/>
      <c r="W1536" s="100"/>
      <c r="X1536" s="100"/>
      <c r="Y1536" s="100"/>
      <c r="Z1536" s="100"/>
    </row>
    <row r="1537" spans="1:26">
      <c r="A1537" s="100" t="e">
        <f ca="1">IFERROR(__xludf.DUMMYFUNCTION("""COMPUTED_VALUE"""),58784872)</f>
        <v>#NAME?</v>
      </c>
      <c r="B1537" s="100" t="e">
        <f ca="1">IFERROR(__xludf.DUMMYFUNCTION("""COMPUTED_VALUE"""),"LTOBUSD")</f>
        <v>#NAME?</v>
      </c>
      <c r="C1537" s="100" t="e">
        <f ca="1">IFERROR(__xludf.DUMMYFUNCTION("""COMPUTED_VALUE"""),"0.05590000")</f>
        <v>#NAME?</v>
      </c>
      <c r="D1537" s="100" t="e">
        <f t="shared" ca="1" si="275"/>
        <v>#NAME?</v>
      </c>
      <c r="E1537" s="100" t="e">
        <f t="shared" ca="1" si="275"/>
        <v>#NAME?</v>
      </c>
      <c r="F1537" s="100" t="e">
        <f t="shared" ca="1" si="265"/>
        <v>#NAME?</v>
      </c>
      <c r="G1537" s="100" t="e">
        <f t="shared" ca="1" si="266"/>
        <v>#NAME?</v>
      </c>
      <c r="H1537" s="100" t="e">
        <f t="shared" ca="1" si="267"/>
        <v>#NAME?</v>
      </c>
      <c r="I1537" s="100" t="e">
        <f t="shared" ca="1" si="268"/>
        <v>#NAME?</v>
      </c>
      <c r="J1537" s="100" t="e">
        <f ca="1">IFERROR(__xludf.DUMMYFUNCTION("""COMPUTED_VALUE"""),"0")</f>
        <v>#NAME?</v>
      </c>
      <c r="K1537" s="100" t="e">
        <f t="shared" ca="1" si="269"/>
        <v>#NAME?</v>
      </c>
      <c r="L1537" s="100"/>
      <c r="M1537" s="100"/>
      <c r="N1537" s="100"/>
      <c r="O1537" s="100"/>
      <c r="P1537" s="100"/>
      <c r="Q1537" s="100"/>
      <c r="R1537" s="100"/>
      <c r="S1537" s="100"/>
      <c r="T1537" s="100"/>
      <c r="U1537" s="100"/>
      <c r="V1537" s="100"/>
      <c r="W1537" s="100"/>
      <c r="X1537" s="100"/>
      <c r="Y1537" s="100"/>
      <c r="Z1537" s="100"/>
    </row>
    <row r="1538" spans="1:26">
      <c r="A1538" s="100" t="e">
        <f ca="1">IFERROR(__xludf.DUMMYFUNCTION("""COMPUTED_VALUE"""),58784873)</f>
        <v>#NAME?</v>
      </c>
      <c r="B1538" s="100" t="e">
        <f ca="1">IFERROR(__xludf.DUMMYFUNCTION("""COMPUTED_VALUE"""),"ADXBUSD")</f>
        <v>#NAME?</v>
      </c>
      <c r="C1538" s="100" t="e">
        <f ca="1">IFERROR(__xludf.DUMMYFUNCTION("""COMPUTED_VALUE"""),"0.13340000")</f>
        <v>#NAME?</v>
      </c>
      <c r="D1538" s="100" t="e">
        <f t="shared" ca="1" si="275"/>
        <v>#NAME?</v>
      </c>
      <c r="E1538" s="100" t="e">
        <f t="shared" ca="1" si="275"/>
        <v>#NAME?</v>
      </c>
      <c r="F1538" s="100" t="e">
        <f t="shared" ref="F1538:F1601" ca="1" si="276">IFERROR(__xludf.DUMMYFUNCTION("""COMPUTED_VALUE"""),20200)</f>
        <v>#NAME?</v>
      </c>
      <c r="G1538" s="100" t="e">
        <f t="shared" ref="G1538:G1601" ca="1" si="277">IFERROR(__xludf.DUMMYFUNCTION("""COMPUTED_VALUE"""),2885)</f>
        <v>#NAME?</v>
      </c>
      <c r="H1538" s="100" t="e">
        <f t="shared" ref="H1538:H1601" ca="1" si="278">IFERROR(__xludf.DUMMYFUNCTION("""COMPUTED_VALUE"""),663)</f>
        <v>#NAME?</v>
      </c>
      <c r="I1538" s="100" t="e">
        <f t="shared" ref="I1538:I1601" ca="1" si="279">IFERROR(__xludf.DUMMYFUNCTION("""COMPUTED_VALUE"""),5817721)</f>
        <v>#NAME?</v>
      </c>
      <c r="J1538" s="100" t="e">
        <f ca="1">IFERROR(__xludf.DUMMYFUNCTION("""COMPUTED_VALUE"""),"0")</f>
        <v>#NAME?</v>
      </c>
      <c r="K1538" s="100" t="e">
        <f t="shared" ref="K1538:K1601" ca="1" si="280">IFERROR(__xludf.DUMMYFUNCTION("""COMPUTED_VALUE"""),"22.04.2025 13:05:01")</f>
        <v>#NAME?</v>
      </c>
      <c r="L1538" s="100"/>
      <c r="M1538" s="100"/>
      <c r="N1538" s="100"/>
      <c r="O1538" s="100"/>
      <c r="P1538" s="100"/>
      <c r="Q1538" s="100"/>
      <c r="R1538" s="100"/>
      <c r="S1538" s="100"/>
      <c r="T1538" s="100"/>
      <c r="U1538" s="100"/>
      <c r="V1538" s="100"/>
      <c r="W1538" s="100"/>
      <c r="X1538" s="100"/>
      <c r="Y1538" s="100"/>
      <c r="Z1538" s="100"/>
    </row>
    <row r="1539" spans="1:26">
      <c r="A1539" s="100" t="e">
        <f ca="1">IFERROR(__xludf.DUMMYFUNCTION("""COMPUTED_VALUE"""),58784874)</f>
        <v>#NAME?</v>
      </c>
      <c r="B1539" s="100" t="e">
        <f ca="1">IFERROR(__xludf.DUMMYFUNCTION("""COMPUTED_VALUE"""),"QUICKBTC")</f>
        <v>#NAME?</v>
      </c>
      <c r="C1539" s="100" t="e">
        <f ca="1">IFERROR(__xludf.DUMMYFUNCTION("""COMPUTED_VALUE"""),"0.00000074")</f>
        <v>#NAME?</v>
      </c>
      <c r="D1539" s="100" t="e">
        <f t="shared" ca="1" si="275"/>
        <v>#NAME?</v>
      </c>
      <c r="E1539" s="100" t="e">
        <f t="shared" ca="1" si="275"/>
        <v>#NAME?</v>
      </c>
      <c r="F1539" s="100" t="e">
        <f t="shared" ca="1" si="276"/>
        <v>#NAME?</v>
      </c>
      <c r="G1539" s="100" t="e">
        <f t="shared" ca="1" si="277"/>
        <v>#NAME?</v>
      </c>
      <c r="H1539" s="100" t="e">
        <f t="shared" ca="1" si="278"/>
        <v>#NAME?</v>
      </c>
      <c r="I1539" s="100" t="e">
        <f t="shared" ca="1" si="279"/>
        <v>#NAME?</v>
      </c>
      <c r="J1539" s="100" t="e">
        <f ca="1">IFERROR(__xludf.DUMMYFUNCTION("""COMPUTED_VALUE"""),"0")</f>
        <v>#NAME?</v>
      </c>
      <c r="K1539" s="100" t="e">
        <f t="shared" ca="1" si="280"/>
        <v>#NAME?</v>
      </c>
      <c r="L1539" s="100"/>
      <c r="M1539" s="100"/>
      <c r="N1539" s="100"/>
      <c r="O1539" s="100"/>
      <c r="P1539" s="100"/>
      <c r="Q1539" s="100"/>
      <c r="R1539" s="100"/>
      <c r="S1539" s="100"/>
      <c r="T1539" s="100"/>
      <c r="U1539" s="100"/>
      <c r="V1539" s="100"/>
      <c r="W1539" s="100"/>
      <c r="X1539" s="100"/>
      <c r="Y1539" s="100"/>
      <c r="Z1539" s="100"/>
    </row>
    <row r="1540" spans="1:26">
      <c r="A1540" s="100" t="e">
        <f ca="1">IFERROR(__xludf.DUMMYFUNCTION("""COMPUTED_VALUE"""),58784875)</f>
        <v>#NAME?</v>
      </c>
      <c r="B1540" s="100" t="e">
        <f ca="1">IFERROR(__xludf.DUMMYFUNCTION("""COMPUTED_VALUE"""),"QUICKBNB")</f>
        <v>#NAME?</v>
      </c>
      <c r="C1540" s="100" t="e">
        <f ca="1">IFERROR(__xludf.DUMMYFUNCTION("""COMPUTED_VALUE"""),"0.00000000")</f>
        <v>#NAME?</v>
      </c>
      <c r="D1540" s="100" t="e">
        <f t="shared" ca="1" si="275"/>
        <v>#NAME?</v>
      </c>
      <c r="E1540" s="100" t="e">
        <f t="shared" ca="1" si="275"/>
        <v>#NAME?</v>
      </c>
      <c r="F1540" s="100" t="e">
        <f t="shared" ca="1" si="276"/>
        <v>#NAME?</v>
      </c>
      <c r="G1540" s="100" t="e">
        <f t="shared" ca="1" si="277"/>
        <v>#NAME?</v>
      </c>
      <c r="H1540" s="100" t="e">
        <f t="shared" ca="1" si="278"/>
        <v>#NAME?</v>
      </c>
      <c r="I1540" s="100" t="e">
        <f t="shared" ca="1" si="279"/>
        <v>#NAME?</v>
      </c>
      <c r="J1540" s="100" t="e">
        <f ca="1">IFERROR(__xludf.DUMMYFUNCTION("""COMPUTED_VALUE"""),"0")</f>
        <v>#NAME?</v>
      </c>
      <c r="K1540" s="100" t="e">
        <f t="shared" ca="1" si="280"/>
        <v>#NAME?</v>
      </c>
      <c r="L1540" s="100"/>
      <c r="M1540" s="100"/>
      <c r="N1540" s="100"/>
      <c r="O1540" s="100"/>
      <c r="P1540" s="100"/>
      <c r="Q1540" s="100"/>
      <c r="R1540" s="100"/>
      <c r="S1540" s="100"/>
      <c r="T1540" s="100"/>
      <c r="U1540" s="100"/>
      <c r="V1540" s="100"/>
      <c r="W1540" s="100"/>
      <c r="X1540" s="100"/>
      <c r="Y1540" s="100"/>
      <c r="Z1540" s="100"/>
    </row>
    <row r="1541" spans="1:26">
      <c r="A1541" s="100" t="e">
        <f ca="1">IFERROR(__xludf.DUMMYFUNCTION("""COMPUTED_VALUE"""),58784876)</f>
        <v>#NAME?</v>
      </c>
      <c r="B1541" s="100" t="e">
        <f ca="1">IFERROR(__xludf.DUMMYFUNCTION("""COMPUTED_VALUE"""),"QUICKBUSD")</f>
        <v>#NAME?</v>
      </c>
      <c r="C1541" s="100" t="e">
        <f ca="1">IFERROR(__xludf.DUMMYFUNCTION("""COMPUTED_VALUE"""),"74.10000000")</f>
        <v>#NAME?</v>
      </c>
      <c r="D1541" s="100" t="e">
        <f t="shared" ca="1" si="275"/>
        <v>#NAME?</v>
      </c>
      <c r="E1541" s="100" t="e">
        <f t="shared" ca="1" si="275"/>
        <v>#NAME?</v>
      </c>
      <c r="F1541" s="100" t="e">
        <f t="shared" ca="1" si="276"/>
        <v>#NAME?</v>
      </c>
      <c r="G1541" s="100" t="e">
        <f t="shared" ca="1" si="277"/>
        <v>#NAME?</v>
      </c>
      <c r="H1541" s="100" t="e">
        <f t="shared" ca="1" si="278"/>
        <v>#NAME?</v>
      </c>
      <c r="I1541" s="100" t="e">
        <f t="shared" ca="1" si="279"/>
        <v>#NAME?</v>
      </c>
      <c r="J1541" s="100" t="e">
        <f ca="1">IFERROR(__xludf.DUMMYFUNCTION("""COMPUTED_VALUE"""),"0")</f>
        <v>#NAME?</v>
      </c>
      <c r="K1541" s="100" t="e">
        <f t="shared" ca="1" si="280"/>
        <v>#NAME?</v>
      </c>
      <c r="L1541" s="100"/>
      <c r="M1541" s="100"/>
      <c r="N1541" s="100"/>
      <c r="O1541" s="100"/>
      <c r="P1541" s="100"/>
      <c r="Q1541" s="100"/>
      <c r="R1541" s="100"/>
      <c r="S1541" s="100"/>
      <c r="T1541" s="100"/>
      <c r="U1541" s="100"/>
      <c r="V1541" s="100"/>
      <c r="W1541" s="100"/>
      <c r="X1541" s="100"/>
      <c r="Y1541" s="100"/>
      <c r="Z1541" s="100"/>
    </row>
    <row r="1542" spans="1:26">
      <c r="A1542" s="100" t="e">
        <f ca="1">IFERROR(__xludf.DUMMYFUNCTION("""COMPUTED_VALUE"""),58784877)</f>
        <v>#NAME?</v>
      </c>
      <c r="B1542" s="100" t="e">
        <f ca="1">IFERROR(__xludf.DUMMYFUNCTION("""COMPUTED_VALUE"""),"C98USDT")</f>
        <v>#NAME?</v>
      </c>
      <c r="C1542" s="100" t="e">
        <f ca="1">IFERROR(__xludf.DUMMYFUNCTION("""COMPUTED_VALUE"""),"0.05390000")</f>
        <v>#NAME?</v>
      </c>
      <c r="D1542" s="100" t="e">
        <f t="shared" ref="D1542:E1561" ca="1" si="281">IFERROR(__xludf.DUMMYFUNCTION("""COMPUTED_VALUE"""),"-")</f>
        <v>#NAME?</v>
      </c>
      <c r="E1542" s="100" t="e">
        <f t="shared" ca="1" si="281"/>
        <v>#NAME?</v>
      </c>
      <c r="F1542" s="100" t="e">
        <f t="shared" ca="1" si="276"/>
        <v>#NAME?</v>
      </c>
      <c r="G1542" s="100" t="e">
        <f t="shared" ca="1" si="277"/>
        <v>#NAME?</v>
      </c>
      <c r="H1542" s="100" t="e">
        <f t="shared" ca="1" si="278"/>
        <v>#NAME?</v>
      </c>
      <c r="I1542" s="100" t="e">
        <f t="shared" ca="1" si="279"/>
        <v>#NAME?</v>
      </c>
      <c r="J1542" s="100" t="e">
        <f ca="1">IFERROR(__xludf.DUMMYFUNCTION("""COMPUTED_VALUE"""),"-2.355")</f>
        <v>#NAME?</v>
      </c>
      <c r="K1542" s="100" t="e">
        <f t="shared" ca="1" si="280"/>
        <v>#NAME?</v>
      </c>
      <c r="L1542" s="100"/>
      <c r="M1542" s="100"/>
      <c r="N1542" s="100"/>
      <c r="O1542" s="100"/>
      <c r="P1542" s="100"/>
      <c r="Q1542" s="100"/>
      <c r="R1542" s="100"/>
      <c r="S1542" s="100"/>
      <c r="T1542" s="100"/>
      <c r="U1542" s="100"/>
      <c r="V1542" s="100"/>
      <c r="W1542" s="100"/>
      <c r="X1542" s="100"/>
      <c r="Y1542" s="100"/>
      <c r="Z1542" s="100"/>
    </row>
    <row r="1543" spans="1:26">
      <c r="A1543" s="100" t="e">
        <f ca="1">IFERROR(__xludf.DUMMYFUNCTION("""COMPUTED_VALUE"""),58784878)</f>
        <v>#NAME?</v>
      </c>
      <c r="B1543" s="100" t="e">
        <f ca="1">IFERROR(__xludf.DUMMYFUNCTION("""COMPUTED_VALUE"""),"C98BUSD")</f>
        <v>#NAME?</v>
      </c>
      <c r="C1543" s="100" t="e">
        <f ca="1">IFERROR(__xludf.DUMMYFUNCTION("""COMPUTED_VALUE"""),"0.13430000")</f>
        <v>#NAME?</v>
      </c>
      <c r="D1543" s="100" t="e">
        <f t="shared" ca="1" si="281"/>
        <v>#NAME?</v>
      </c>
      <c r="E1543" s="100" t="e">
        <f t="shared" ca="1" si="281"/>
        <v>#NAME?</v>
      </c>
      <c r="F1543" s="100" t="e">
        <f t="shared" ca="1" si="276"/>
        <v>#NAME?</v>
      </c>
      <c r="G1543" s="100" t="e">
        <f t="shared" ca="1" si="277"/>
        <v>#NAME?</v>
      </c>
      <c r="H1543" s="100" t="e">
        <f t="shared" ca="1" si="278"/>
        <v>#NAME?</v>
      </c>
      <c r="I1543" s="100" t="e">
        <f t="shared" ca="1" si="279"/>
        <v>#NAME?</v>
      </c>
      <c r="J1543" s="100" t="e">
        <f t="shared" ref="J1543:J1549" ca="1" si="282">IFERROR(__xludf.DUMMYFUNCTION("""COMPUTED_VALUE"""),"0")</f>
        <v>#NAME?</v>
      </c>
      <c r="K1543" s="100" t="e">
        <f t="shared" ca="1" si="280"/>
        <v>#NAME?</v>
      </c>
      <c r="L1543" s="100"/>
      <c r="M1543" s="100"/>
      <c r="N1543" s="100"/>
      <c r="O1543" s="100"/>
      <c r="P1543" s="100"/>
      <c r="Q1543" s="100"/>
      <c r="R1543" s="100"/>
      <c r="S1543" s="100"/>
      <c r="T1543" s="100"/>
      <c r="U1543" s="100"/>
      <c r="V1543" s="100"/>
      <c r="W1543" s="100"/>
      <c r="X1543" s="100"/>
      <c r="Y1543" s="100"/>
      <c r="Z1543" s="100"/>
    </row>
    <row r="1544" spans="1:26">
      <c r="A1544" s="100" t="e">
        <f ca="1">IFERROR(__xludf.DUMMYFUNCTION("""COMPUTED_VALUE"""),58784879)</f>
        <v>#NAME?</v>
      </c>
      <c r="B1544" s="100" t="e">
        <f ca="1">IFERROR(__xludf.DUMMYFUNCTION("""COMPUTED_VALUE"""),"C98BNB")</f>
        <v>#NAME?</v>
      </c>
      <c r="C1544" s="100" t="e">
        <f ca="1">IFERROR(__xludf.DUMMYFUNCTION("""COMPUTED_VALUE"""),"0.00080500")</f>
        <v>#NAME?</v>
      </c>
      <c r="D1544" s="100" t="e">
        <f t="shared" ca="1" si="281"/>
        <v>#NAME?</v>
      </c>
      <c r="E1544" s="100" t="e">
        <f t="shared" ca="1" si="281"/>
        <v>#NAME?</v>
      </c>
      <c r="F1544" s="100" t="e">
        <f t="shared" ca="1" si="276"/>
        <v>#NAME?</v>
      </c>
      <c r="G1544" s="100" t="e">
        <f t="shared" ca="1" si="277"/>
        <v>#NAME?</v>
      </c>
      <c r="H1544" s="100" t="e">
        <f t="shared" ca="1" si="278"/>
        <v>#NAME?</v>
      </c>
      <c r="I1544" s="100" t="e">
        <f t="shared" ca="1" si="279"/>
        <v>#NAME?</v>
      </c>
      <c r="J1544" s="100" t="e">
        <f t="shared" ca="1" si="282"/>
        <v>#NAME?</v>
      </c>
      <c r="K1544" s="100" t="e">
        <f t="shared" ca="1" si="280"/>
        <v>#NAME?</v>
      </c>
      <c r="L1544" s="100"/>
      <c r="M1544" s="100"/>
      <c r="N1544" s="100"/>
      <c r="O1544" s="100"/>
      <c r="P1544" s="100"/>
      <c r="Q1544" s="100"/>
      <c r="R1544" s="100"/>
      <c r="S1544" s="100"/>
      <c r="T1544" s="100"/>
      <c r="U1544" s="100"/>
      <c r="V1544" s="100"/>
      <c r="W1544" s="100"/>
      <c r="X1544" s="100"/>
      <c r="Y1544" s="100"/>
      <c r="Z1544" s="100"/>
    </row>
    <row r="1545" spans="1:26">
      <c r="A1545" s="100" t="e">
        <f ca="1">IFERROR(__xludf.DUMMYFUNCTION("""COMPUTED_VALUE"""),58784880)</f>
        <v>#NAME?</v>
      </c>
      <c r="B1545" s="100" t="e">
        <f ca="1">IFERROR(__xludf.DUMMYFUNCTION("""COMPUTED_VALUE"""),"C98BTC")</f>
        <v>#NAME?</v>
      </c>
      <c r="C1545" s="100" t="e">
        <f ca="1">IFERROR(__xludf.DUMMYFUNCTION("""COMPUTED_VALUE"""),"0.00000162")</f>
        <v>#NAME?</v>
      </c>
      <c r="D1545" s="100" t="e">
        <f t="shared" ca="1" si="281"/>
        <v>#NAME?</v>
      </c>
      <c r="E1545" s="100" t="e">
        <f t="shared" ca="1" si="281"/>
        <v>#NAME?</v>
      </c>
      <c r="F1545" s="100" t="e">
        <f t="shared" ca="1" si="276"/>
        <v>#NAME?</v>
      </c>
      <c r="G1545" s="100" t="e">
        <f t="shared" ca="1" si="277"/>
        <v>#NAME?</v>
      </c>
      <c r="H1545" s="100" t="e">
        <f t="shared" ca="1" si="278"/>
        <v>#NAME?</v>
      </c>
      <c r="I1545" s="100" t="e">
        <f t="shared" ca="1" si="279"/>
        <v>#NAME?</v>
      </c>
      <c r="J1545" s="100" t="e">
        <f t="shared" ca="1" si="282"/>
        <v>#NAME?</v>
      </c>
      <c r="K1545" s="100" t="e">
        <f t="shared" ca="1" si="280"/>
        <v>#NAME?</v>
      </c>
      <c r="L1545" s="100"/>
      <c r="M1545" s="100"/>
      <c r="N1545" s="100"/>
      <c r="O1545" s="100"/>
      <c r="P1545" s="100"/>
      <c r="Q1545" s="100"/>
      <c r="R1545" s="100"/>
      <c r="S1545" s="100"/>
      <c r="T1545" s="100"/>
      <c r="U1545" s="100"/>
      <c r="V1545" s="100"/>
      <c r="W1545" s="100"/>
      <c r="X1545" s="100"/>
      <c r="Y1545" s="100"/>
      <c r="Z1545" s="100"/>
    </row>
    <row r="1546" spans="1:26">
      <c r="A1546" s="100" t="e">
        <f ca="1">IFERROR(__xludf.DUMMYFUNCTION("""COMPUTED_VALUE"""),58784881)</f>
        <v>#NAME?</v>
      </c>
      <c r="B1546" s="100" t="e">
        <f ca="1">IFERROR(__xludf.DUMMYFUNCTION("""COMPUTED_VALUE"""),"CLVBTC")</f>
        <v>#NAME?</v>
      </c>
      <c r="C1546" s="100" t="e">
        <f ca="1">IFERROR(__xludf.DUMMYFUNCTION("""COMPUTED_VALUE"""),"0.00000029")</f>
        <v>#NAME?</v>
      </c>
      <c r="D1546" s="100" t="e">
        <f t="shared" ca="1" si="281"/>
        <v>#NAME?</v>
      </c>
      <c r="E1546" s="100" t="e">
        <f t="shared" ca="1" si="281"/>
        <v>#NAME?</v>
      </c>
      <c r="F1546" s="100" t="e">
        <f t="shared" ca="1" si="276"/>
        <v>#NAME?</v>
      </c>
      <c r="G1546" s="100" t="e">
        <f t="shared" ca="1" si="277"/>
        <v>#NAME?</v>
      </c>
      <c r="H1546" s="100" t="e">
        <f t="shared" ca="1" si="278"/>
        <v>#NAME?</v>
      </c>
      <c r="I1546" s="100" t="e">
        <f t="shared" ca="1" si="279"/>
        <v>#NAME?</v>
      </c>
      <c r="J1546" s="100" t="e">
        <f t="shared" ca="1" si="282"/>
        <v>#NAME?</v>
      </c>
      <c r="K1546" s="100" t="e">
        <f t="shared" ca="1" si="280"/>
        <v>#NAME?</v>
      </c>
      <c r="L1546" s="100"/>
      <c r="M1546" s="100"/>
      <c r="N1546" s="100"/>
      <c r="O1546" s="100"/>
      <c r="P1546" s="100"/>
      <c r="Q1546" s="100"/>
      <c r="R1546" s="100"/>
      <c r="S1546" s="100"/>
      <c r="T1546" s="100"/>
      <c r="U1546" s="100"/>
      <c r="V1546" s="100"/>
      <c r="W1546" s="100"/>
      <c r="X1546" s="100"/>
      <c r="Y1546" s="100"/>
      <c r="Z1546" s="100"/>
    </row>
    <row r="1547" spans="1:26">
      <c r="A1547" s="100" t="e">
        <f ca="1">IFERROR(__xludf.DUMMYFUNCTION("""COMPUTED_VALUE"""),58784882)</f>
        <v>#NAME?</v>
      </c>
      <c r="B1547" s="100" t="e">
        <f ca="1">IFERROR(__xludf.DUMMYFUNCTION("""COMPUTED_VALUE"""),"CLVBNB")</f>
        <v>#NAME?</v>
      </c>
      <c r="C1547" s="100" t="e">
        <f ca="1">IFERROR(__xludf.DUMMYFUNCTION("""COMPUTED_VALUE"""),"0.00026430")</f>
        <v>#NAME?</v>
      </c>
      <c r="D1547" s="100" t="e">
        <f t="shared" ca="1" si="281"/>
        <v>#NAME?</v>
      </c>
      <c r="E1547" s="100" t="e">
        <f t="shared" ca="1" si="281"/>
        <v>#NAME?</v>
      </c>
      <c r="F1547" s="100" t="e">
        <f t="shared" ca="1" si="276"/>
        <v>#NAME?</v>
      </c>
      <c r="G1547" s="100" t="e">
        <f t="shared" ca="1" si="277"/>
        <v>#NAME?</v>
      </c>
      <c r="H1547" s="100" t="e">
        <f t="shared" ca="1" si="278"/>
        <v>#NAME?</v>
      </c>
      <c r="I1547" s="100" t="e">
        <f t="shared" ca="1" si="279"/>
        <v>#NAME?</v>
      </c>
      <c r="J1547" s="100" t="e">
        <f t="shared" ca="1" si="282"/>
        <v>#NAME?</v>
      </c>
      <c r="K1547" s="100" t="e">
        <f t="shared" ca="1" si="280"/>
        <v>#NAME?</v>
      </c>
      <c r="L1547" s="100"/>
      <c r="M1547" s="100"/>
      <c r="N1547" s="100"/>
      <c r="O1547" s="100"/>
      <c r="P1547" s="100"/>
      <c r="Q1547" s="100"/>
      <c r="R1547" s="100"/>
      <c r="S1547" s="100"/>
      <c r="T1547" s="100"/>
      <c r="U1547" s="100"/>
      <c r="V1547" s="100"/>
      <c r="W1547" s="100"/>
      <c r="X1547" s="100"/>
      <c r="Y1547" s="100"/>
      <c r="Z1547" s="100"/>
    </row>
    <row r="1548" spans="1:26">
      <c r="A1548" s="100" t="e">
        <f ca="1">IFERROR(__xludf.DUMMYFUNCTION("""COMPUTED_VALUE"""),58784883)</f>
        <v>#NAME?</v>
      </c>
      <c r="B1548" s="100" t="e">
        <f ca="1">IFERROR(__xludf.DUMMYFUNCTION("""COMPUTED_VALUE"""),"CLVBUSD")</f>
        <v>#NAME?</v>
      </c>
      <c r="C1548" s="100" t="e">
        <f ca="1">IFERROR(__xludf.DUMMYFUNCTION("""COMPUTED_VALUE"""),"0.03282000")</f>
        <v>#NAME?</v>
      </c>
      <c r="D1548" s="100" t="e">
        <f t="shared" ca="1" si="281"/>
        <v>#NAME?</v>
      </c>
      <c r="E1548" s="100" t="e">
        <f t="shared" ca="1" si="281"/>
        <v>#NAME?</v>
      </c>
      <c r="F1548" s="100" t="e">
        <f t="shared" ca="1" si="276"/>
        <v>#NAME?</v>
      </c>
      <c r="G1548" s="100" t="e">
        <f t="shared" ca="1" si="277"/>
        <v>#NAME?</v>
      </c>
      <c r="H1548" s="100" t="e">
        <f t="shared" ca="1" si="278"/>
        <v>#NAME?</v>
      </c>
      <c r="I1548" s="100" t="e">
        <f t="shared" ca="1" si="279"/>
        <v>#NAME?</v>
      </c>
      <c r="J1548" s="100" t="e">
        <f t="shared" ca="1" si="282"/>
        <v>#NAME?</v>
      </c>
      <c r="K1548" s="100" t="e">
        <f t="shared" ca="1" si="280"/>
        <v>#NAME?</v>
      </c>
      <c r="L1548" s="100"/>
      <c r="M1548" s="100"/>
      <c r="N1548" s="100"/>
      <c r="O1548" s="100"/>
      <c r="P1548" s="100"/>
      <c r="Q1548" s="100"/>
      <c r="R1548" s="100"/>
      <c r="S1548" s="100"/>
      <c r="T1548" s="100"/>
      <c r="U1548" s="100"/>
      <c r="V1548" s="100"/>
      <c r="W1548" s="100"/>
      <c r="X1548" s="100"/>
      <c r="Y1548" s="100"/>
      <c r="Z1548" s="100"/>
    </row>
    <row r="1549" spans="1:26">
      <c r="A1549" s="100" t="e">
        <f ca="1">IFERROR(__xludf.DUMMYFUNCTION("""COMPUTED_VALUE"""),58784884)</f>
        <v>#NAME?</v>
      </c>
      <c r="B1549" s="100" t="e">
        <f ca="1">IFERROR(__xludf.DUMMYFUNCTION("""COMPUTED_VALUE"""),"CLVUSDT")</f>
        <v>#NAME?</v>
      </c>
      <c r="C1549" s="100" t="e">
        <f ca="1">IFERROR(__xludf.DUMMYFUNCTION("""COMPUTED_VALUE"""),"0.02937000")</f>
        <v>#NAME?</v>
      </c>
      <c r="D1549" s="100" t="e">
        <f t="shared" ca="1" si="281"/>
        <v>#NAME?</v>
      </c>
      <c r="E1549" s="100" t="e">
        <f t="shared" ca="1" si="281"/>
        <v>#NAME?</v>
      </c>
      <c r="F1549" s="100" t="e">
        <f t="shared" ca="1" si="276"/>
        <v>#NAME?</v>
      </c>
      <c r="G1549" s="100" t="e">
        <f t="shared" ca="1" si="277"/>
        <v>#NAME?</v>
      </c>
      <c r="H1549" s="100" t="e">
        <f t="shared" ca="1" si="278"/>
        <v>#NAME?</v>
      </c>
      <c r="I1549" s="100" t="e">
        <f t="shared" ca="1" si="279"/>
        <v>#NAME?</v>
      </c>
      <c r="J1549" s="100" t="e">
        <f t="shared" ca="1" si="282"/>
        <v>#NAME?</v>
      </c>
      <c r="K1549" s="100" t="e">
        <f t="shared" ca="1" si="280"/>
        <v>#NAME?</v>
      </c>
      <c r="L1549" s="100"/>
      <c r="M1549" s="100"/>
      <c r="N1549" s="100"/>
      <c r="O1549" s="100"/>
      <c r="P1549" s="100"/>
      <c r="Q1549" s="100"/>
      <c r="R1549" s="100"/>
      <c r="S1549" s="100"/>
      <c r="T1549" s="100"/>
      <c r="U1549" s="100"/>
      <c r="V1549" s="100"/>
      <c r="W1549" s="100"/>
      <c r="X1549" s="100"/>
      <c r="Y1549" s="100"/>
      <c r="Z1549" s="100"/>
    </row>
    <row r="1550" spans="1:26">
      <c r="A1550" s="100" t="e">
        <f ca="1">IFERROR(__xludf.DUMMYFUNCTION("""COMPUTED_VALUE"""),58784885)</f>
        <v>#NAME?</v>
      </c>
      <c r="B1550" s="100" t="e">
        <f ca="1">IFERROR(__xludf.DUMMYFUNCTION("""COMPUTED_VALUE"""),"QNTBTC")</f>
        <v>#NAME?</v>
      </c>
      <c r="C1550" s="100" t="e">
        <f ca="1">IFERROR(__xludf.DUMMYFUNCTION("""COMPUTED_VALUE"""),"0.00076500")</f>
        <v>#NAME?</v>
      </c>
      <c r="D1550" s="100" t="e">
        <f t="shared" ca="1" si="281"/>
        <v>#NAME?</v>
      </c>
      <c r="E1550" s="100" t="e">
        <f t="shared" ca="1" si="281"/>
        <v>#NAME?</v>
      </c>
      <c r="F1550" s="100" t="e">
        <f t="shared" ca="1" si="276"/>
        <v>#NAME?</v>
      </c>
      <c r="G1550" s="100" t="e">
        <f t="shared" ca="1" si="277"/>
        <v>#NAME?</v>
      </c>
      <c r="H1550" s="100" t="e">
        <f t="shared" ca="1" si="278"/>
        <v>#NAME?</v>
      </c>
      <c r="I1550" s="100" t="e">
        <f t="shared" ca="1" si="279"/>
        <v>#NAME?</v>
      </c>
      <c r="J1550" s="100" t="e">
        <f ca="1">IFERROR(__xludf.DUMMYFUNCTION("""COMPUTED_VALUE"""),"-0.391")</f>
        <v>#NAME?</v>
      </c>
      <c r="K1550" s="100" t="e">
        <f t="shared" ca="1" si="280"/>
        <v>#NAME?</v>
      </c>
      <c r="L1550" s="100"/>
      <c r="M1550" s="100"/>
      <c r="N1550" s="100"/>
      <c r="O1550" s="100"/>
      <c r="P1550" s="100"/>
      <c r="Q1550" s="100"/>
      <c r="R1550" s="100"/>
      <c r="S1550" s="100"/>
      <c r="T1550" s="100"/>
      <c r="U1550" s="100"/>
      <c r="V1550" s="100"/>
      <c r="W1550" s="100"/>
      <c r="X1550" s="100"/>
      <c r="Y1550" s="100"/>
      <c r="Z1550" s="100"/>
    </row>
    <row r="1551" spans="1:26">
      <c r="A1551" s="100" t="e">
        <f ca="1">IFERROR(__xludf.DUMMYFUNCTION("""COMPUTED_VALUE"""),58784886)</f>
        <v>#NAME?</v>
      </c>
      <c r="B1551" s="100" t="e">
        <f ca="1">IFERROR(__xludf.DUMMYFUNCTION("""COMPUTED_VALUE"""),"QNTBNB")</f>
        <v>#NAME?</v>
      </c>
      <c r="C1551" s="100" t="e">
        <f ca="1">IFERROR(__xludf.DUMMYFUNCTION("""COMPUTED_VALUE"""),"0.40150000")</f>
        <v>#NAME?</v>
      </c>
      <c r="D1551" s="100" t="e">
        <f t="shared" ca="1" si="281"/>
        <v>#NAME?</v>
      </c>
      <c r="E1551" s="100" t="e">
        <f t="shared" ca="1" si="281"/>
        <v>#NAME?</v>
      </c>
      <c r="F1551" s="100" t="e">
        <f t="shared" ca="1" si="276"/>
        <v>#NAME?</v>
      </c>
      <c r="G1551" s="100" t="e">
        <f t="shared" ca="1" si="277"/>
        <v>#NAME?</v>
      </c>
      <c r="H1551" s="100" t="e">
        <f t="shared" ca="1" si="278"/>
        <v>#NAME?</v>
      </c>
      <c r="I1551" s="100" t="e">
        <f t="shared" ca="1" si="279"/>
        <v>#NAME?</v>
      </c>
      <c r="J1551" s="100" t="e">
        <f ca="1">IFERROR(__xludf.DUMMYFUNCTION("""COMPUTED_VALUE"""),"0")</f>
        <v>#NAME?</v>
      </c>
      <c r="K1551" s="100" t="e">
        <f t="shared" ca="1" si="280"/>
        <v>#NAME?</v>
      </c>
      <c r="L1551" s="100"/>
      <c r="M1551" s="100"/>
      <c r="N1551" s="100"/>
      <c r="O1551" s="100"/>
      <c r="P1551" s="100"/>
      <c r="Q1551" s="100"/>
      <c r="R1551" s="100"/>
      <c r="S1551" s="100"/>
      <c r="T1551" s="100"/>
      <c r="U1551" s="100"/>
      <c r="V1551" s="100"/>
      <c r="W1551" s="100"/>
      <c r="X1551" s="100"/>
      <c r="Y1551" s="100"/>
      <c r="Z1551" s="100"/>
    </row>
    <row r="1552" spans="1:26">
      <c r="A1552" s="100" t="e">
        <f ca="1">IFERROR(__xludf.DUMMYFUNCTION("""COMPUTED_VALUE"""),58784887)</f>
        <v>#NAME?</v>
      </c>
      <c r="B1552" s="100" t="e">
        <f ca="1">IFERROR(__xludf.DUMMYFUNCTION("""COMPUTED_VALUE"""),"QNTBUSD")</f>
        <v>#NAME?</v>
      </c>
      <c r="C1552" s="100" t="e">
        <f ca="1">IFERROR(__xludf.DUMMYFUNCTION("""COMPUTED_VALUE"""),"85.50000000")</f>
        <v>#NAME?</v>
      </c>
      <c r="D1552" s="100" t="e">
        <f t="shared" ca="1" si="281"/>
        <v>#NAME?</v>
      </c>
      <c r="E1552" s="100" t="e">
        <f t="shared" ca="1" si="281"/>
        <v>#NAME?</v>
      </c>
      <c r="F1552" s="100" t="e">
        <f t="shared" ca="1" si="276"/>
        <v>#NAME?</v>
      </c>
      <c r="G1552" s="100" t="e">
        <f t="shared" ca="1" si="277"/>
        <v>#NAME?</v>
      </c>
      <c r="H1552" s="100" t="e">
        <f t="shared" ca="1" si="278"/>
        <v>#NAME?</v>
      </c>
      <c r="I1552" s="100" t="e">
        <f t="shared" ca="1" si="279"/>
        <v>#NAME?</v>
      </c>
      <c r="J1552" s="100" t="e">
        <f ca="1">IFERROR(__xludf.DUMMYFUNCTION("""COMPUTED_VALUE"""),"0")</f>
        <v>#NAME?</v>
      </c>
      <c r="K1552" s="100" t="e">
        <f t="shared" ca="1" si="280"/>
        <v>#NAME?</v>
      </c>
      <c r="L1552" s="100"/>
      <c r="M1552" s="100"/>
      <c r="N1552" s="100"/>
      <c r="O1552" s="100"/>
      <c r="P1552" s="100"/>
      <c r="Q1552" s="100"/>
      <c r="R1552" s="100"/>
      <c r="S1552" s="100"/>
      <c r="T1552" s="100"/>
      <c r="U1552" s="100"/>
      <c r="V1552" s="100"/>
      <c r="W1552" s="100"/>
      <c r="X1552" s="100"/>
      <c r="Y1552" s="100"/>
      <c r="Z1552" s="100"/>
    </row>
    <row r="1553" spans="1:26">
      <c r="A1553" s="100" t="e">
        <f ca="1">IFERROR(__xludf.DUMMYFUNCTION("""COMPUTED_VALUE"""),58784888)</f>
        <v>#NAME?</v>
      </c>
      <c r="B1553" s="100" t="e">
        <f ca="1">IFERROR(__xludf.DUMMYFUNCTION("""COMPUTED_VALUE"""),"QNTUSDT")</f>
        <v>#NAME?</v>
      </c>
      <c r="C1553" s="100" t="e">
        <f ca="1">IFERROR(__xludf.DUMMYFUNCTION("""COMPUTED_VALUE"""),"67.60000000")</f>
        <v>#NAME?</v>
      </c>
      <c r="D1553" s="100" t="e">
        <f t="shared" ca="1" si="281"/>
        <v>#NAME?</v>
      </c>
      <c r="E1553" s="100" t="e">
        <f t="shared" ca="1" si="281"/>
        <v>#NAME?</v>
      </c>
      <c r="F1553" s="100" t="e">
        <f t="shared" ca="1" si="276"/>
        <v>#NAME?</v>
      </c>
      <c r="G1553" s="100" t="e">
        <f t="shared" ca="1" si="277"/>
        <v>#NAME?</v>
      </c>
      <c r="H1553" s="100" t="e">
        <f t="shared" ca="1" si="278"/>
        <v>#NAME?</v>
      </c>
      <c r="I1553" s="100" t="e">
        <f t="shared" ca="1" si="279"/>
        <v>#NAME?</v>
      </c>
      <c r="J1553" s="100" t="e">
        <f ca="1">IFERROR(__xludf.DUMMYFUNCTION("""COMPUTED_VALUE"""),"0.595")</f>
        <v>#NAME?</v>
      </c>
      <c r="K1553" s="100" t="e">
        <f t="shared" ca="1" si="280"/>
        <v>#NAME?</v>
      </c>
      <c r="L1553" s="100"/>
      <c r="M1553" s="100"/>
      <c r="N1553" s="100"/>
      <c r="O1553" s="100"/>
      <c r="P1553" s="100"/>
      <c r="Q1553" s="100"/>
      <c r="R1553" s="100"/>
      <c r="S1553" s="100"/>
      <c r="T1553" s="100"/>
      <c r="U1553" s="100"/>
      <c r="V1553" s="100"/>
      <c r="W1553" s="100"/>
      <c r="X1553" s="100"/>
      <c r="Y1553" s="100"/>
      <c r="Z1553" s="100"/>
    </row>
    <row r="1554" spans="1:26">
      <c r="A1554" s="100" t="e">
        <f ca="1">IFERROR(__xludf.DUMMYFUNCTION("""COMPUTED_VALUE"""),58784889)</f>
        <v>#NAME?</v>
      </c>
      <c r="B1554" s="100" t="e">
        <f ca="1">IFERROR(__xludf.DUMMYFUNCTION("""COMPUTED_VALUE"""),"FLOWBTC")</f>
        <v>#NAME?</v>
      </c>
      <c r="C1554" s="100" t="e">
        <f ca="1">IFERROR(__xludf.DUMMYFUNCTION("""COMPUTED_VALUE"""),"0.00000421")</f>
        <v>#NAME?</v>
      </c>
      <c r="D1554" s="100" t="e">
        <f t="shared" ca="1" si="281"/>
        <v>#NAME?</v>
      </c>
      <c r="E1554" s="100" t="e">
        <f t="shared" ca="1" si="281"/>
        <v>#NAME?</v>
      </c>
      <c r="F1554" s="100" t="e">
        <f t="shared" ca="1" si="276"/>
        <v>#NAME?</v>
      </c>
      <c r="G1554" s="100" t="e">
        <f t="shared" ca="1" si="277"/>
        <v>#NAME?</v>
      </c>
      <c r="H1554" s="100" t="e">
        <f t="shared" ca="1" si="278"/>
        <v>#NAME?</v>
      </c>
      <c r="I1554" s="100" t="e">
        <f t="shared" ca="1" si="279"/>
        <v>#NAME?</v>
      </c>
      <c r="J1554" s="100" t="e">
        <f ca="1">IFERROR(__xludf.DUMMYFUNCTION("""COMPUTED_VALUE"""),"-2.546")</f>
        <v>#NAME?</v>
      </c>
      <c r="K1554" s="100" t="e">
        <f t="shared" ca="1" si="280"/>
        <v>#NAME?</v>
      </c>
      <c r="L1554" s="100"/>
      <c r="M1554" s="100"/>
      <c r="N1554" s="100"/>
      <c r="O1554" s="100"/>
      <c r="P1554" s="100"/>
      <c r="Q1554" s="100"/>
      <c r="R1554" s="100"/>
      <c r="S1554" s="100"/>
      <c r="T1554" s="100"/>
      <c r="U1554" s="100"/>
      <c r="V1554" s="100"/>
      <c r="W1554" s="100"/>
      <c r="X1554" s="100"/>
      <c r="Y1554" s="100"/>
      <c r="Z1554" s="100"/>
    </row>
    <row r="1555" spans="1:26">
      <c r="A1555" s="100" t="e">
        <f ca="1">IFERROR(__xludf.DUMMYFUNCTION("""COMPUTED_VALUE"""),58784890)</f>
        <v>#NAME?</v>
      </c>
      <c r="B1555" s="100" t="e">
        <f ca="1">IFERROR(__xludf.DUMMYFUNCTION("""COMPUTED_VALUE"""),"FLOWBNB")</f>
        <v>#NAME?</v>
      </c>
      <c r="C1555" s="100" t="e">
        <f ca="1">IFERROR(__xludf.DUMMYFUNCTION("""COMPUTED_VALUE"""),"0.00247400")</f>
        <v>#NAME?</v>
      </c>
      <c r="D1555" s="100" t="e">
        <f t="shared" ca="1" si="281"/>
        <v>#NAME?</v>
      </c>
      <c r="E1555" s="100" t="e">
        <f t="shared" ca="1" si="281"/>
        <v>#NAME?</v>
      </c>
      <c r="F1555" s="100" t="e">
        <f t="shared" ca="1" si="276"/>
        <v>#NAME?</v>
      </c>
      <c r="G1555" s="100" t="e">
        <f t="shared" ca="1" si="277"/>
        <v>#NAME?</v>
      </c>
      <c r="H1555" s="100" t="e">
        <f t="shared" ca="1" si="278"/>
        <v>#NAME?</v>
      </c>
      <c r="I1555" s="100" t="e">
        <f t="shared" ca="1" si="279"/>
        <v>#NAME?</v>
      </c>
      <c r="J1555" s="100" t="e">
        <f ca="1">IFERROR(__xludf.DUMMYFUNCTION("""COMPUTED_VALUE"""),"0")</f>
        <v>#NAME?</v>
      </c>
      <c r="K1555" s="100" t="e">
        <f t="shared" ca="1" si="280"/>
        <v>#NAME?</v>
      </c>
      <c r="L1555" s="100"/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</row>
    <row r="1556" spans="1:26">
      <c r="A1556" s="100" t="e">
        <f ca="1">IFERROR(__xludf.DUMMYFUNCTION("""COMPUTED_VALUE"""),58784891)</f>
        <v>#NAME?</v>
      </c>
      <c r="B1556" s="100" t="e">
        <f ca="1">IFERROR(__xludf.DUMMYFUNCTION("""COMPUTED_VALUE"""),"FLOWBUSD")</f>
        <v>#NAME?</v>
      </c>
      <c r="C1556" s="100" t="e">
        <f ca="1">IFERROR(__xludf.DUMMYFUNCTION("""COMPUTED_VALUE"""),"0.51300000")</f>
        <v>#NAME?</v>
      </c>
      <c r="D1556" s="100" t="e">
        <f t="shared" ca="1" si="281"/>
        <v>#NAME?</v>
      </c>
      <c r="E1556" s="100" t="e">
        <f t="shared" ca="1" si="281"/>
        <v>#NAME?</v>
      </c>
      <c r="F1556" s="100" t="e">
        <f t="shared" ca="1" si="276"/>
        <v>#NAME?</v>
      </c>
      <c r="G1556" s="100" t="e">
        <f t="shared" ca="1" si="277"/>
        <v>#NAME?</v>
      </c>
      <c r="H1556" s="100" t="e">
        <f t="shared" ca="1" si="278"/>
        <v>#NAME?</v>
      </c>
      <c r="I1556" s="100" t="e">
        <f t="shared" ca="1" si="279"/>
        <v>#NAME?</v>
      </c>
      <c r="J1556" s="100" t="e">
        <f ca="1">IFERROR(__xludf.DUMMYFUNCTION("""COMPUTED_VALUE"""),"0")</f>
        <v>#NAME?</v>
      </c>
      <c r="K1556" s="100" t="e">
        <f t="shared" ca="1" si="280"/>
        <v>#NAME?</v>
      </c>
      <c r="L1556" s="100"/>
      <c r="M1556" s="100"/>
      <c r="N1556" s="100"/>
      <c r="O1556" s="100"/>
      <c r="P1556" s="100"/>
      <c r="Q1556" s="100"/>
      <c r="R1556" s="100"/>
      <c r="S1556" s="100"/>
      <c r="T1556" s="100"/>
      <c r="U1556" s="100"/>
      <c r="V1556" s="100"/>
      <c r="W1556" s="100"/>
      <c r="X1556" s="100"/>
      <c r="Y1556" s="100"/>
      <c r="Z1556" s="100"/>
    </row>
    <row r="1557" spans="1:26">
      <c r="A1557" s="100" t="e">
        <f ca="1">IFERROR(__xludf.DUMMYFUNCTION("""COMPUTED_VALUE"""),58784892)</f>
        <v>#NAME?</v>
      </c>
      <c r="B1557" s="100" t="e">
        <f ca="1">IFERROR(__xludf.DUMMYFUNCTION("""COMPUTED_VALUE"""),"FLOWUSDT")</f>
        <v>#NAME?</v>
      </c>
      <c r="C1557" s="100" t="e">
        <f ca="1">IFERROR(__xludf.DUMMYFUNCTION("""COMPUTED_VALUE"""),"0.37300000")</f>
        <v>#NAME?</v>
      </c>
      <c r="D1557" s="100" t="e">
        <f t="shared" ca="1" si="281"/>
        <v>#NAME?</v>
      </c>
      <c r="E1557" s="100" t="e">
        <f t="shared" ca="1" si="281"/>
        <v>#NAME?</v>
      </c>
      <c r="F1557" s="100" t="e">
        <f t="shared" ca="1" si="276"/>
        <v>#NAME?</v>
      </c>
      <c r="G1557" s="100" t="e">
        <f t="shared" ca="1" si="277"/>
        <v>#NAME?</v>
      </c>
      <c r="H1557" s="100" t="e">
        <f t="shared" ca="1" si="278"/>
        <v>#NAME?</v>
      </c>
      <c r="I1557" s="100" t="e">
        <f t="shared" ca="1" si="279"/>
        <v>#NAME?</v>
      </c>
      <c r="J1557" s="100" t="e">
        <f ca="1">IFERROR(__xludf.DUMMYFUNCTION("""COMPUTED_VALUE"""),"-1.323")</f>
        <v>#NAME?</v>
      </c>
      <c r="K1557" s="100" t="e">
        <f t="shared" ca="1" si="280"/>
        <v>#NAME?</v>
      </c>
      <c r="L1557" s="100"/>
      <c r="M1557" s="100"/>
      <c r="N1557" s="100"/>
      <c r="O1557" s="100"/>
      <c r="P1557" s="100"/>
      <c r="Q1557" s="100"/>
      <c r="R1557" s="100"/>
      <c r="S1557" s="100"/>
      <c r="T1557" s="100"/>
      <c r="U1557" s="100"/>
      <c r="V1557" s="100"/>
      <c r="W1557" s="100"/>
      <c r="X1557" s="100"/>
      <c r="Y1557" s="100"/>
      <c r="Z1557" s="100"/>
    </row>
    <row r="1558" spans="1:26">
      <c r="A1558" s="100" t="e">
        <f ca="1">IFERROR(__xludf.DUMMYFUNCTION("""COMPUTED_VALUE"""),58784893)</f>
        <v>#NAME?</v>
      </c>
      <c r="B1558" s="100" t="e">
        <f ca="1">IFERROR(__xludf.DUMMYFUNCTION("""COMPUTED_VALUE"""),"XECBUSD")</f>
        <v>#NAME?</v>
      </c>
      <c r="C1558" s="100" t="e">
        <f ca="1">IFERROR(__xludf.DUMMYFUNCTION("""COMPUTED_VALUE"""),"0.00003100")</f>
        <v>#NAME?</v>
      </c>
      <c r="D1558" s="100" t="e">
        <f t="shared" ca="1" si="281"/>
        <v>#NAME?</v>
      </c>
      <c r="E1558" s="100" t="e">
        <f t="shared" ca="1" si="281"/>
        <v>#NAME?</v>
      </c>
      <c r="F1558" s="100" t="e">
        <f t="shared" ca="1" si="276"/>
        <v>#NAME?</v>
      </c>
      <c r="G1558" s="100" t="e">
        <f t="shared" ca="1" si="277"/>
        <v>#NAME?</v>
      </c>
      <c r="H1558" s="100" t="e">
        <f t="shared" ca="1" si="278"/>
        <v>#NAME?</v>
      </c>
      <c r="I1558" s="100" t="e">
        <f t="shared" ca="1" si="279"/>
        <v>#NAME?</v>
      </c>
      <c r="J1558" s="100" t="e">
        <f ca="1">IFERROR(__xludf.DUMMYFUNCTION("""COMPUTED_VALUE"""),"0")</f>
        <v>#NAME?</v>
      </c>
      <c r="K1558" s="100" t="e">
        <f t="shared" ca="1" si="280"/>
        <v>#NAME?</v>
      </c>
      <c r="L1558" s="100"/>
      <c r="M1558" s="100"/>
      <c r="N1558" s="100"/>
      <c r="O1558" s="100"/>
      <c r="P1558" s="100"/>
      <c r="Q1558" s="100"/>
      <c r="R1558" s="100"/>
      <c r="S1558" s="100"/>
      <c r="T1558" s="100"/>
      <c r="U1558" s="100"/>
      <c r="V1558" s="100"/>
      <c r="W1558" s="100"/>
      <c r="X1558" s="100"/>
      <c r="Y1558" s="100"/>
      <c r="Z1558" s="100"/>
    </row>
    <row r="1559" spans="1:26">
      <c r="A1559" s="100" t="e">
        <f ca="1">IFERROR(__xludf.DUMMYFUNCTION("""COMPUTED_VALUE"""),58784894)</f>
        <v>#NAME?</v>
      </c>
      <c r="B1559" s="100" t="e">
        <f ca="1">IFERROR(__xludf.DUMMYFUNCTION("""COMPUTED_VALUE"""),"AXSBRL")</f>
        <v>#NAME?</v>
      </c>
      <c r="C1559" s="100" t="e">
        <f ca="1">IFERROR(__xludf.DUMMYFUNCTION("""COMPUTED_VALUE"""),"38.36000000")</f>
        <v>#NAME?</v>
      </c>
      <c r="D1559" s="100" t="e">
        <f t="shared" ca="1" si="281"/>
        <v>#NAME?</v>
      </c>
      <c r="E1559" s="100" t="e">
        <f t="shared" ca="1" si="281"/>
        <v>#NAME?</v>
      </c>
      <c r="F1559" s="100" t="e">
        <f t="shared" ca="1" si="276"/>
        <v>#NAME?</v>
      </c>
      <c r="G1559" s="100" t="e">
        <f t="shared" ca="1" si="277"/>
        <v>#NAME?</v>
      </c>
      <c r="H1559" s="100" t="e">
        <f t="shared" ca="1" si="278"/>
        <v>#NAME?</v>
      </c>
      <c r="I1559" s="100" t="e">
        <f t="shared" ca="1" si="279"/>
        <v>#NAME?</v>
      </c>
      <c r="J1559" s="100" t="e">
        <f ca="1">IFERROR(__xludf.DUMMYFUNCTION("""COMPUTED_VALUE"""),"0")</f>
        <v>#NAME?</v>
      </c>
      <c r="K1559" s="100" t="e">
        <f t="shared" ca="1" si="280"/>
        <v>#NAME?</v>
      </c>
      <c r="L1559" s="100"/>
      <c r="M1559" s="100"/>
      <c r="N1559" s="100"/>
      <c r="O1559" s="100"/>
      <c r="P1559" s="100"/>
      <c r="Q1559" s="100"/>
      <c r="R1559" s="100"/>
      <c r="S1559" s="100"/>
      <c r="T1559" s="100"/>
      <c r="U1559" s="100"/>
      <c r="V1559" s="100"/>
      <c r="W1559" s="100"/>
      <c r="X1559" s="100"/>
      <c r="Y1559" s="100"/>
      <c r="Z1559" s="100"/>
    </row>
    <row r="1560" spans="1:26">
      <c r="A1560" s="100" t="e">
        <f ca="1">IFERROR(__xludf.DUMMYFUNCTION("""COMPUTED_VALUE"""),58784895)</f>
        <v>#NAME?</v>
      </c>
      <c r="B1560" s="100" t="e">
        <f ca="1">IFERROR(__xludf.DUMMYFUNCTION("""COMPUTED_VALUE"""),"AXSAUD")</f>
        <v>#NAME?</v>
      </c>
      <c r="C1560" s="100" t="e">
        <f ca="1">IFERROR(__xludf.DUMMYFUNCTION("""COMPUTED_VALUE"""),"8.66000000")</f>
        <v>#NAME?</v>
      </c>
      <c r="D1560" s="100" t="e">
        <f t="shared" ca="1" si="281"/>
        <v>#NAME?</v>
      </c>
      <c r="E1560" s="100" t="e">
        <f t="shared" ca="1" si="281"/>
        <v>#NAME?</v>
      </c>
      <c r="F1560" s="100" t="e">
        <f t="shared" ca="1" si="276"/>
        <v>#NAME?</v>
      </c>
      <c r="G1560" s="100" t="e">
        <f t="shared" ca="1" si="277"/>
        <v>#NAME?</v>
      </c>
      <c r="H1560" s="100" t="e">
        <f t="shared" ca="1" si="278"/>
        <v>#NAME?</v>
      </c>
      <c r="I1560" s="100" t="e">
        <f t="shared" ca="1" si="279"/>
        <v>#NAME?</v>
      </c>
      <c r="J1560" s="100" t="e">
        <f ca="1">IFERROR(__xludf.DUMMYFUNCTION("""COMPUTED_VALUE"""),"0")</f>
        <v>#NAME?</v>
      </c>
      <c r="K1560" s="100" t="e">
        <f t="shared" ca="1" si="280"/>
        <v>#NAME?</v>
      </c>
      <c r="L1560" s="100"/>
      <c r="M1560" s="100"/>
      <c r="N1560" s="100"/>
      <c r="O1560" s="100"/>
      <c r="P1560" s="100"/>
      <c r="Q1560" s="100"/>
      <c r="R1560" s="100"/>
      <c r="S1560" s="100"/>
      <c r="T1560" s="100"/>
      <c r="U1560" s="100"/>
      <c r="V1560" s="100"/>
      <c r="W1560" s="100"/>
      <c r="X1560" s="100"/>
      <c r="Y1560" s="100"/>
      <c r="Z1560" s="100"/>
    </row>
    <row r="1561" spans="1:26">
      <c r="A1561" s="100" t="e">
        <f ca="1">IFERROR(__xludf.DUMMYFUNCTION("""COMPUTED_VALUE"""),58784896)</f>
        <v>#NAME?</v>
      </c>
      <c r="B1561" s="100" t="e">
        <f ca="1">IFERROR(__xludf.DUMMYFUNCTION("""COMPUTED_VALUE"""),"TVKUSDT")</f>
        <v>#NAME?</v>
      </c>
      <c r="C1561" s="100" t="e">
        <f ca="1">IFERROR(__xludf.DUMMYFUNCTION("""COMPUTED_VALUE"""),"0.05405000")</f>
        <v>#NAME?</v>
      </c>
      <c r="D1561" s="100" t="e">
        <f t="shared" ca="1" si="281"/>
        <v>#NAME?</v>
      </c>
      <c r="E1561" s="100" t="e">
        <f t="shared" ca="1" si="281"/>
        <v>#NAME?</v>
      </c>
      <c r="F1561" s="100" t="e">
        <f t="shared" ca="1" si="276"/>
        <v>#NAME?</v>
      </c>
      <c r="G1561" s="100" t="e">
        <f t="shared" ca="1" si="277"/>
        <v>#NAME?</v>
      </c>
      <c r="H1561" s="100" t="e">
        <f t="shared" ca="1" si="278"/>
        <v>#NAME?</v>
      </c>
      <c r="I1561" s="100" t="e">
        <f t="shared" ca="1" si="279"/>
        <v>#NAME?</v>
      </c>
      <c r="J1561" s="100" t="e">
        <f ca="1">IFERROR(__xludf.DUMMYFUNCTION("""COMPUTED_VALUE"""),"0")</f>
        <v>#NAME?</v>
      </c>
      <c r="K1561" s="100" t="e">
        <f t="shared" ca="1" si="280"/>
        <v>#NAME?</v>
      </c>
      <c r="L1561" s="100"/>
      <c r="M1561" s="100"/>
      <c r="N1561" s="100"/>
      <c r="O1561" s="100"/>
      <c r="P1561" s="100"/>
      <c r="Q1561" s="100"/>
      <c r="R1561" s="100"/>
      <c r="S1561" s="100"/>
      <c r="T1561" s="100"/>
      <c r="U1561" s="100"/>
      <c r="V1561" s="100"/>
      <c r="W1561" s="100"/>
      <c r="X1561" s="100"/>
      <c r="Y1561" s="100"/>
      <c r="Z1561" s="100"/>
    </row>
    <row r="1562" spans="1:26">
      <c r="A1562" s="100" t="e">
        <f ca="1">IFERROR(__xludf.DUMMYFUNCTION("""COMPUTED_VALUE"""),58784897)</f>
        <v>#NAME?</v>
      </c>
      <c r="B1562" s="100" t="e">
        <f ca="1">IFERROR(__xludf.DUMMYFUNCTION("""COMPUTED_VALUE"""),"MINABTC")</f>
        <v>#NAME?</v>
      </c>
      <c r="C1562" s="100" t="e">
        <f ca="1">IFERROR(__xludf.DUMMYFUNCTION("""COMPUTED_VALUE"""),"0.00000247")</f>
        <v>#NAME?</v>
      </c>
      <c r="D1562" s="100" t="e">
        <f t="shared" ref="D1562:E1581" ca="1" si="283">IFERROR(__xludf.DUMMYFUNCTION("""COMPUTED_VALUE"""),"-")</f>
        <v>#NAME?</v>
      </c>
      <c r="E1562" s="100" t="e">
        <f t="shared" ca="1" si="283"/>
        <v>#NAME?</v>
      </c>
      <c r="F1562" s="100" t="e">
        <f t="shared" ca="1" si="276"/>
        <v>#NAME?</v>
      </c>
      <c r="G1562" s="100" t="e">
        <f t="shared" ca="1" si="277"/>
        <v>#NAME?</v>
      </c>
      <c r="H1562" s="100" t="e">
        <f t="shared" ca="1" si="278"/>
        <v>#NAME?</v>
      </c>
      <c r="I1562" s="100" t="e">
        <f t="shared" ca="1" si="279"/>
        <v>#NAME?</v>
      </c>
      <c r="J1562" s="100" t="e">
        <f ca="1">IFERROR(__xludf.DUMMYFUNCTION("""COMPUTED_VALUE"""),"-3.137")</f>
        <v>#NAME?</v>
      </c>
      <c r="K1562" s="100" t="e">
        <f t="shared" ca="1" si="280"/>
        <v>#NAME?</v>
      </c>
      <c r="L1562" s="100"/>
      <c r="M1562" s="100"/>
      <c r="N1562" s="100"/>
      <c r="O1562" s="100"/>
      <c r="P1562" s="100"/>
      <c r="Q1562" s="100"/>
      <c r="R1562" s="100"/>
      <c r="S1562" s="100"/>
      <c r="T1562" s="100"/>
      <c r="U1562" s="100"/>
      <c r="V1562" s="100"/>
      <c r="W1562" s="100"/>
      <c r="X1562" s="100"/>
      <c r="Y1562" s="100"/>
      <c r="Z1562" s="100"/>
    </row>
    <row r="1563" spans="1:26">
      <c r="A1563" s="100" t="e">
        <f ca="1">IFERROR(__xludf.DUMMYFUNCTION("""COMPUTED_VALUE"""),58784898)</f>
        <v>#NAME?</v>
      </c>
      <c r="B1563" s="100" t="e">
        <f ca="1">IFERROR(__xludf.DUMMYFUNCTION("""COMPUTED_VALUE"""),"MINABNB")</f>
        <v>#NAME?</v>
      </c>
      <c r="C1563" s="100" t="e">
        <f ca="1">IFERROR(__xludf.DUMMYFUNCTION("""COMPUTED_VALUE"""),"0.00166600")</f>
        <v>#NAME?</v>
      </c>
      <c r="D1563" s="100" t="e">
        <f t="shared" ca="1" si="283"/>
        <v>#NAME?</v>
      </c>
      <c r="E1563" s="100" t="e">
        <f t="shared" ca="1" si="283"/>
        <v>#NAME?</v>
      </c>
      <c r="F1563" s="100" t="e">
        <f t="shared" ca="1" si="276"/>
        <v>#NAME?</v>
      </c>
      <c r="G1563" s="100" t="e">
        <f t="shared" ca="1" si="277"/>
        <v>#NAME?</v>
      </c>
      <c r="H1563" s="100" t="e">
        <f t="shared" ca="1" si="278"/>
        <v>#NAME?</v>
      </c>
      <c r="I1563" s="100" t="e">
        <f t="shared" ca="1" si="279"/>
        <v>#NAME?</v>
      </c>
      <c r="J1563" s="100" t="e">
        <f ca="1">IFERROR(__xludf.DUMMYFUNCTION("""COMPUTED_VALUE"""),"0")</f>
        <v>#NAME?</v>
      </c>
      <c r="K1563" s="100" t="e">
        <f t="shared" ca="1" si="280"/>
        <v>#NAME?</v>
      </c>
      <c r="L1563" s="100"/>
      <c r="M1563" s="100"/>
      <c r="N1563" s="100"/>
      <c r="O1563" s="100"/>
      <c r="P1563" s="100"/>
      <c r="Q1563" s="100"/>
      <c r="R1563" s="100"/>
      <c r="S1563" s="100"/>
      <c r="T1563" s="100"/>
      <c r="U1563" s="100"/>
      <c r="V1563" s="100"/>
      <c r="W1563" s="100"/>
      <c r="X1563" s="100"/>
      <c r="Y1563" s="100"/>
      <c r="Z1563" s="100"/>
    </row>
    <row r="1564" spans="1:26">
      <c r="A1564" s="100" t="e">
        <f ca="1">IFERROR(__xludf.DUMMYFUNCTION("""COMPUTED_VALUE"""),58784899)</f>
        <v>#NAME?</v>
      </c>
      <c r="B1564" s="100" t="e">
        <f ca="1">IFERROR(__xludf.DUMMYFUNCTION("""COMPUTED_VALUE"""),"MINABUSD")</f>
        <v>#NAME?</v>
      </c>
      <c r="C1564" s="100" t="e">
        <f ca="1">IFERROR(__xludf.DUMMYFUNCTION("""COMPUTED_VALUE"""),"0.37790000")</f>
        <v>#NAME?</v>
      </c>
      <c r="D1564" s="100" t="e">
        <f t="shared" ca="1" si="283"/>
        <v>#NAME?</v>
      </c>
      <c r="E1564" s="100" t="e">
        <f t="shared" ca="1" si="283"/>
        <v>#NAME?</v>
      </c>
      <c r="F1564" s="100" t="e">
        <f t="shared" ca="1" si="276"/>
        <v>#NAME?</v>
      </c>
      <c r="G1564" s="100" t="e">
        <f t="shared" ca="1" si="277"/>
        <v>#NAME?</v>
      </c>
      <c r="H1564" s="100" t="e">
        <f t="shared" ca="1" si="278"/>
        <v>#NAME?</v>
      </c>
      <c r="I1564" s="100" t="e">
        <f t="shared" ca="1" si="279"/>
        <v>#NAME?</v>
      </c>
      <c r="J1564" s="100" t="e">
        <f ca="1">IFERROR(__xludf.DUMMYFUNCTION("""COMPUTED_VALUE"""),"0")</f>
        <v>#NAME?</v>
      </c>
      <c r="K1564" s="100" t="e">
        <f t="shared" ca="1" si="280"/>
        <v>#NAME?</v>
      </c>
      <c r="L1564" s="100"/>
      <c r="M1564" s="100"/>
      <c r="N1564" s="100"/>
      <c r="O1564" s="100"/>
      <c r="P1564" s="100"/>
      <c r="Q1564" s="100"/>
      <c r="R1564" s="100"/>
      <c r="S1564" s="100"/>
      <c r="T1564" s="100"/>
      <c r="U1564" s="100"/>
      <c r="V1564" s="100"/>
      <c r="W1564" s="100"/>
      <c r="X1564" s="100"/>
      <c r="Y1564" s="100"/>
      <c r="Z1564" s="100"/>
    </row>
    <row r="1565" spans="1:26">
      <c r="A1565" s="100" t="e">
        <f ca="1">IFERROR(__xludf.DUMMYFUNCTION("""COMPUTED_VALUE"""),58784900)</f>
        <v>#NAME?</v>
      </c>
      <c r="B1565" s="100" t="e">
        <f ca="1">IFERROR(__xludf.DUMMYFUNCTION("""COMPUTED_VALUE"""),"MINAUSDT")</f>
        <v>#NAME?</v>
      </c>
      <c r="C1565" s="100" t="e">
        <f ca="1">IFERROR(__xludf.DUMMYFUNCTION("""COMPUTED_VALUE"""),"0.21930000")</f>
        <v>#NAME?</v>
      </c>
      <c r="D1565" s="100" t="e">
        <f t="shared" ca="1" si="283"/>
        <v>#NAME?</v>
      </c>
      <c r="E1565" s="100" t="e">
        <f t="shared" ca="1" si="283"/>
        <v>#NAME?</v>
      </c>
      <c r="F1565" s="100" t="e">
        <f t="shared" ca="1" si="276"/>
        <v>#NAME?</v>
      </c>
      <c r="G1565" s="100" t="e">
        <f t="shared" ca="1" si="277"/>
        <v>#NAME?</v>
      </c>
      <c r="H1565" s="100" t="e">
        <f t="shared" ca="1" si="278"/>
        <v>#NAME?</v>
      </c>
      <c r="I1565" s="100" t="e">
        <f t="shared" ca="1" si="279"/>
        <v>#NAME?</v>
      </c>
      <c r="J1565" s="100" t="e">
        <f ca="1">IFERROR(__xludf.DUMMYFUNCTION("""COMPUTED_VALUE"""),"-1.703")</f>
        <v>#NAME?</v>
      </c>
      <c r="K1565" s="100" t="e">
        <f t="shared" ca="1" si="280"/>
        <v>#NAME?</v>
      </c>
      <c r="L1565" s="100"/>
      <c r="M1565" s="100"/>
      <c r="N1565" s="100"/>
      <c r="O1565" s="100"/>
      <c r="P1565" s="100"/>
      <c r="Q1565" s="100"/>
      <c r="R1565" s="100"/>
      <c r="S1565" s="100"/>
      <c r="T1565" s="100"/>
      <c r="U1565" s="100"/>
      <c r="V1565" s="100"/>
      <c r="W1565" s="100"/>
      <c r="X1565" s="100"/>
      <c r="Y1565" s="100"/>
      <c r="Z1565" s="100"/>
    </row>
    <row r="1566" spans="1:26">
      <c r="A1566" s="100" t="e">
        <f ca="1">IFERROR(__xludf.DUMMYFUNCTION("""COMPUTED_VALUE"""),58784901)</f>
        <v>#NAME?</v>
      </c>
      <c r="B1566" s="100" t="e">
        <f ca="1">IFERROR(__xludf.DUMMYFUNCTION("""COMPUTED_VALUE"""),"RAYBNB")</f>
        <v>#NAME?</v>
      </c>
      <c r="C1566" s="100" t="e">
        <f ca="1">IFERROR(__xludf.DUMMYFUNCTION("""COMPUTED_VALUE"""),"0.00386800")</f>
        <v>#NAME?</v>
      </c>
      <c r="D1566" s="100" t="e">
        <f t="shared" ca="1" si="283"/>
        <v>#NAME?</v>
      </c>
      <c r="E1566" s="100" t="e">
        <f t="shared" ca="1" si="283"/>
        <v>#NAME?</v>
      </c>
      <c r="F1566" s="100" t="e">
        <f t="shared" ca="1" si="276"/>
        <v>#NAME?</v>
      </c>
      <c r="G1566" s="100" t="e">
        <f t="shared" ca="1" si="277"/>
        <v>#NAME?</v>
      </c>
      <c r="H1566" s="100" t="e">
        <f t="shared" ca="1" si="278"/>
        <v>#NAME?</v>
      </c>
      <c r="I1566" s="100" t="e">
        <f t="shared" ca="1" si="279"/>
        <v>#NAME?</v>
      </c>
      <c r="J1566" s="100" t="e">
        <f ca="1">IFERROR(__xludf.DUMMYFUNCTION("""COMPUTED_VALUE"""),"2.139")</f>
        <v>#NAME?</v>
      </c>
      <c r="K1566" s="100" t="e">
        <f t="shared" ca="1" si="280"/>
        <v>#NAME?</v>
      </c>
      <c r="L1566" s="100"/>
      <c r="M1566" s="100"/>
      <c r="N1566" s="100"/>
      <c r="O1566" s="100"/>
      <c r="P1566" s="100"/>
      <c r="Q1566" s="100"/>
      <c r="R1566" s="100"/>
      <c r="S1566" s="100"/>
      <c r="T1566" s="100"/>
      <c r="U1566" s="100"/>
      <c r="V1566" s="100"/>
      <c r="W1566" s="100"/>
      <c r="X1566" s="100"/>
      <c r="Y1566" s="100"/>
      <c r="Z1566" s="100"/>
    </row>
    <row r="1567" spans="1:26">
      <c r="A1567" s="100" t="e">
        <f ca="1">IFERROR(__xludf.DUMMYFUNCTION("""COMPUTED_VALUE"""),58784902)</f>
        <v>#NAME?</v>
      </c>
      <c r="B1567" s="100" t="e">
        <f ca="1">IFERROR(__xludf.DUMMYFUNCTION("""COMPUTED_VALUE"""),"RAYBUSD")</f>
        <v>#NAME?</v>
      </c>
      <c r="C1567" s="100" t="e">
        <f ca="1">IFERROR(__xludf.DUMMYFUNCTION("""COMPUTED_VALUE"""),"0.17010000")</f>
        <v>#NAME?</v>
      </c>
      <c r="D1567" s="100" t="e">
        <f t="shared" ca="1" si="283"/>
        <v>#NAME?</v>
      </c>
      <c r="E1567" s="100" t="e">
        <f t="shared" ca="1" si="283"/>
        <v>#NAME?</v>
      </c>
      <c r="F1567" s="100" t="e">
        <f t="shared" ca="1" si="276"/>
        <v>#NAME?</v>
      </c>
      <c r="G1567" s="100" t="e">
        <f t="shared" ca="1" si="277"/>
        <v>#NAME?</v>
      </c>
      <c r="H1567" s="100" t="e">
        <f t="shared" ca="1" si="278"/>
        <v>#NAME?</v>
      </c>
      <c r="I1567" s="100" t="e">
        <f t="shared" ca="1" si="279"/>
        <v>#NAME?</v>
      </c>
      <c r="J1567" s="100" t="e">
        <f ca="1">IFERROR(__xludf.DUMMYFUNCTION("""COMPUTED_VALUE"""),"0")</f>
        <v>#NAME?</v>
      </c>
      <c r="K1567" s="100" t="e">
        <f t="shared" ca="1" si="280"/>
        <v>#NAME?</v>
      </c>
      <c r="L1567" s="100"/>
      <c r="M1567" s="100"/>
      <c r="N1567" s="100"/>
      <c r="O1567" s="100"/>
      <c r="P1567" s="100"/>
      <c r="Q1567" s="100"/>
      <c r="R1567" s="100"/>
      <c r="S1567" s="100"/>
      <c r="T1567" s="100"/>
      <c r="U1567" s="100"/>
      <c r="V1567" s="100"/>
      <c r="W1567" s="100"/>
      <c r="X1567" s="100"/>
      <c r="Y1567" s="100"/>
      <c r="Z1567" s="100"/>
    </row>
    <row r="1568" spans="1:26">
      <c r="A1568" s="100" t="e">
        <f ca="1">IFERROR(__xludf.DUMMYFUNCTION("""COMPUTED_VALUE"""),58784903)</f>
        <v>#NAME?</v>
      </c>
      <c r="B1568" s="100" t="e">
        <f ca="1">IFERROR(__xludf.DUMMYFUNCTION("""COMPUTED_VALUE"""),"RAYUSDT")</f>
        <v>#NAME?</v>
      </c>
      <c r="C1568" s="100" t="e">
        <f ca="1">IFERROR(__xludf.DUMMYFUNCTION("""COMPUTED_VALUE"""),"2.35200000")</f>
        <v>#NAME?</v>
      </c>
      <c r="D1568" s="100" t="e">
        <f t="shared" ca="1" si="283"/>
        <v>#NAME?</v>
      </c>
      <c r="E1568" s="100" t="e">
        <f t="shared" ca="1" si="283"/>
        <v>#NAME?</v>
      </c>
      <c r="F1568" s="100" t="e">
        <f t="shared" ca="1" si="276"/>
        <v>#NAME?</v>
      </c>
      <c r="G1568" s="100" t="e">
        <f t="shared" ca="1" si="277"/>
        <v>#NAME?</v>
      </c>
      <c r="H1568" s="100" t="e">
        <f t="shared" ca="1" si="278"/>
        <v>#NAME?</v>
      </c>
      <c r="I1568" s="100" t="e">
        <f t="shared" ca="1" si="279"/>
        <v>#NAME?</v>
      </c>
      <c r="J1568" s="100" t="e">
        <f ca="1">IFERROR(__xludf.DUMMYFUNCTION("""COMPUTED_VALUE"""),"3.749")</f>
        <v>#NAME?</v>
      </c>
      <c r="K1568" s="100" t="e">
        <f t="shared" ca="1" si="280"/>
        <v>#NAME?</v>
      </c>
      <c r="L1568" s="100"/>
      <c r="M1568" s="100"/>
      <c r="N1568" s="100"/>
      <c r="O1568" s="100"/>
      <c r="P1568" s="100"/>
      <c r="Q1568" s="100"/>
      <c r="R1568" s="100"/>
      <c r="S1568" s="100"/>
      <c r="T1568" s="100"/>
      <c r="U1568" s="100"/>
      <c r="V1568" s="100"/>
      <c r="W1568" s="100"/>
      <c r="X1568" s="100"/>
      <c r="Y1568" s="100"/>
      <c r="Z1568" s="100"/>
    </row>
    <row r="1569" spans="1:26">
      <c r="A1569" s="100" t="e">
        <f ca="1">IFERROR(__xludf.DUMMYFUNCTION("""COMPUTED_VALUE"""),58784904)</f>
        <v>#NAME?</v>
      </c>
      <c r="B1569" s="100" t="e">
        <f ca="1">IFERROR(__xludf.DUMMYFUNCTION("""COMPUTED_VALUE"""),"FARMBTC")</f>
        <v>#NAME?</v>
      </c>
      <c r="C1569" s="100" t="e">
        <f ca="1">IFERROR(__xludf.DUMMYFUNCTION("""COMPUTED_VALUE"""),"0.00075100")</f>
        <v>#NAME?</v>
      </c>
      <c r="D1569" s="100" t="e">
        <f t="shared" ca="1" si="283"/>
        <v>#NAME?</v>
      </c>
      <c r="E1569" s="100" t="e">
        <f t="shared" ca="1" si="283"/>
        <v>#NAME?</v>
      </c>
      <c r="F1569" s="100" t="e">
        <f t="shared" ca="1" si="276"/>
        <v>#NAME?</v>
      </c>
      <c r="G1569" s="100" t="e">
        <f t="shared" ca="1" si="277"/>
        <v>#NAME?</v>
      </c>
      <c r="H1569" s="100" t="e">
        <f t="shared" ca="1" si="278"/>
        <v>#NAME?</v>
      </c>
      <c r="I1569" s="100" t="e">
        <f t="shared" ca="1" si="279"/>
        <v>#NAME?</v>
      </c>
      <c r="J1569" s="100" t="e">
        <f ca="1">IFERROR(__xludf.DUMMYFUNCTION("""COMPUTED_VALUE"""),"0")</f>
        <v>#NAME?</v>
      </c>
      <c r="K1569" s="100" t="e">
        <f t="shared" ca="1" si="280"/>
        <v>#NAME?</v>
      </c>
      <c r="L1569" s="100"/>
      <c r="M1569" s="100"/>
      <c r="N1569" s="100"/>
      <c r="O1569" s="100"/>
      <c r="P1569" s="100"/>
      <c r="Q1569" s="100"/>
      <c r="R1569" s="100"/>
      <c r="S1569" s="100"/>
      <c r="T1569" s="100"/>
      <c r="U1569" s="100"/>
      <c r="V1569" s="100"/>
      <c r="W1569" s="100"/>
      <c r="X1569" s="100"/>
      <c r="Y1569" s="100"/>
      <c r="Z1569" s="100"/>
    </row>
    <row r="1570" spans="1:26">
      <c r="A1570" s="100" t="e">
        <f ca="1">IFERROR(__xludf.DUMMYFUNCTION("""COMPUTED_VALUE"""),58784905)</f>
        <v>#NAME?</v>
      </c>
      <c r="B1570" s="100" t="e">
        <f ca="1">IFERROR(__xludf.DUMMYFUNCTION("""COMPUTED_VALUE"""),"FARMBNB")</f>
        <v>#NAME?</v>
      </c>
      <c r="C1570" s="100" t="e">
        <f ca="1">IFERROR(__xludf.DUMMYFUNCTION("""COMPUTED_VALUE"""),"0.00000000")</f>
        <v>#NAME?</v>
      </c>
      <c r="D1570" s="100" t="e">
        <f t="shared" ca="1" si="283"/>
        <v>#NAME?</v>
      </c>
      <c r="E1570" s="100" t="e">
        <f t="shared" ca="1" si="283"/>
        <v>#NAME?</v>
      </c>
      <c r="F1570" s="100" t="e">
        <f t="shared" ca="1" si="276"/>
        <v>#NAME?</v>
      </c>
      <c r="G1570" s="100" t="e">
        <f t="shared" ca="1" si="277"/>
        <v>#NAME?</v>
      </c>
      <c r="H1570" s="100" t="e">
        <f t="shared" ca="1" si="278"/>
        <v>#NAME?</v>
      </c>
      <c r="I1570" s="100" t="e">
        <f t="shared" ca="1" si="279"/>
        <v>#NAME?</v>
      </c>
      <c r="J1570" s="100" t="e">
        <f ca="1">IFERROR(__xludf.DUMMYFUNCTION("""COMPUTED_VALUE"""),"0")</f>
        <v>#NAME?</v>
      </c>
      <c r="K1570" s="100" t="e">
        <f t="shared" ca="1" si="280"/>
        <v>#NAME?</v>
      </c>
      <c r="L1570" s="100"/>
      <c r="M1570" s="100"/>
      <c r="N1570" s="100"/>
      <c r="O1570" s="100"/>
      <c r="P1570" s="100"/>
      <c r="Q1570" s="100"/>
      <c r="R1570" s="100"/>
      <c r="S1570" s="100"/>
      <c r="T1570" s="100"/>
      <c r="U1570" s="100"/>
      <c r="V1570" s="100"/>
      <c r="W1570" s="100"/>
      <c r="X1570" s="100"/>
      <c r="Y1570" s="100"/>
      <c r="Z1570" s="100"/>
    </row>
    <row r="1571" spans="1:26">
      <c r="A1571" s="100" t="e">
        <f ca="1">IFERROR(__xludf.DUMMYFUNCTION("""COMPUTED_VALUE"""),58784906)</f>
        <v>#NAME?</v>
      </c>
      <c r="B1571" s="100" t="e">
        <f ca="1">IFERROR(__xludf.DUMMYFUNCTION("""COMPUTED_VALUE"""),"FARMBUSD")</f>
        <v>#NAME?</v>
      </c>
      <c r="C1571" s="100" t="e">
        <f ca="1">IFERROR(__xludf.DUMMYFUNCTION("""COMPUTED_VALUE"""),"21.12000000")</f>
        <v>#NAME?</v>
      </c>
      <c r="D1571" s="100" t="e">
        <f t="shared" ca="1" si="283"/>
        <v>#NAME?</v>
      </c>
      <c r="E1571" s="100" t="e">
        <f t="shared" ca="1" si="283"/>
        <v>#NAME?</v>
      </c>
      <c r="F1571" s="100" t="e">
        <f t="shared" ca="1" si="276"/>
        <v>#NAME?</v>
      </c>
      <c r="G1571" s="100" t="e">
        <f t="shared" ca="1" si="277"/>
        <v>#NAME?</v>
      </c>
      <c r="H1571" s="100" t="e">
        <f t="shared" ca="1" si="278"/>
        <v>#NAME?</v>
      </c>
      <c r="I1571" s="100" t="e">
        <f t="shared" ca="1" si="279"/>
        <v>#NAME?</v>
      </c>
      <c r="J1571" s="100" t="e">
        <f ca="1">IFERROR(__xludf.DUMMYFUNCTION("""COMPUTED_VALUE"""),"0")</f>
        <v>#NAME?</v>
      </c>
      <c r="K1571" s="100" t="e">
        <f t="shared" ca="1" si="280"/>
        <v>#NAME?</v>
      </c>
      <c r="L1571" s="100"/>
      <c r="M1571" s="100"/>
      <c r="N1571" s="100"/>
      <c r="O1571" s="100"/>
      <c r="P1571" s="100"/>
      <c r="Q1571" s="100"/>
      <c r="R1571" s="100"/>
      <c r="S1571" s="100"/>
      <c r="T1571" s="100"/>
      <c r="U1571" s="100"/>
      <c r="V1571" s="100"/>
      <c r="W1571" s="100"/>
      <c r="X1571" s="100"/>
      <c r="Y1571" s="100"/>
      <c r="Z1571" s="100"/>
    </row>
    <row r="1572" spans="1:26">
      <c r="A1572" s="100" t="e">
        <f ca="1">IFERROR(__xludf.DUMMYFUNCTION("""COMPUTED_VALUE"""),58784907)</f>
        <v>#NAME?</v>
      </c>
      <c r="B1572" s="100" t="e">
        <f ca="1">IFERROR(__xludf.DUMMYFUNCTION("""COMPUTED_VALUE"""),"FARMUSDT")</f>
        <v>#NAME?</v>
      </c>
      <c r="C1572" s="100" t="e">
        <f ca="1">IFERROR(__xludf.DUMMYFUNCTION("""COMPUTED_VALUE"""),"30.42000000")</f>
        <v>#NAME?</v>
      </c>
      <c r="D1572" s="100" t="e">
        <f t="shared" ca="1" si="283"/>
        <v>#NAME?</v>
      </c>
      <c r="E1572" s="100" t="e">
        <f t="shared" ca="1" si="283"/>
        <v>#NAME?</v>
      </c>
      <c r="F1572" s="100" t="e">
        <f t="shared" ca="1" si="276"/>
        <v>#NAME?</v>
      </c>
      <c r="G1572" s="100" t="e">
        <f t="shared" ca="1" si="277"/>
        <v>#NAME?</v>
      </c>
      <c r="H1572" s="100" t="e">
        <f t="shared" ca="1" si="278"/>
        <v>#NAME?</v>
      </c>
      <c r="I1572" s="100" t="e">
        <f t="shared" ca="1" si="279"/>
        <v>#NAME?</v>
      </c>
      <c r="J1572" s="100" t="e">
        <f ca="1">IFERROR(__xludf.DUMMYFUNCTION("""COMPUTED_VALUE"""),"2.081")</f>
        <v>#NAME?</v>
      </c>
      <c r="K1572" s="100" t="e">
        <f t="shared" ca="1" si="280"/>
        <v>#NAME?</v>
      </c>
      <c r="L1572" s="100"/>
      <c r="M1572" s="100"/>
      <c r="N1572" s="100"/>
      <c r="O1572" s="100"/>
      <c r="P1572" s="100"/>
      <c r="Q1572" s="100"/>
      <c r="R1572" s="100"/>
      <c r="S1572" s="100"/>
      <c r="T1572" s="100"/>
      <c r="U1572" s="100"/>
      <c r="V1572" s="100"/>
      <c r="W1572" s="100"/>
      <c r="X1572" s="100"/>
      <c r="Y1572" s="100"/>
      <c r="Z1572" s="100"/>
    </row>
    <row r="1573" spans="1:26">
      <c r="A1573" s="100" t="e">
        <f ca="1">IFERROR(__xludf.DUMMYFUNCTION("""COMPUTED_VALUE"""),58784908)</f>
        <v>#NAME?</v>
      </c>
      <c r="B1573" s="100" t="e">
        <f ca="1">IFERROR(__xludf.DUMMYFUNCTION("""COMPUTED_VALUE"""),"ALPACABTC")</f>
        <v>#NAME?</v>
      </c>
      <c r="C1573" s="100" t="e">
        <f ca="1">IFERROR(__xludf.DUMMYFUNCTION("""COMPUTED_VALUE"""),"0.00000234")</f>
        <v>#NAME?</v>
      </c>
      <c r="D1573" s="100" t="e">
        <f t="shared" ca="1" si="283"/>
        <v>#NAME?</v>
      </c>
      <c r="E1573" s="100" t="e">
        <f t="shared" ca="1" si="283"/>
        <v>#NAME?</v>
      </c>
      <c r="F1573" s="100" t="e">
        <f t="shared" ca="1" si="276"/>
        <v>#NAME?</v>
      </c>
      <c r="G1573" s="100" t="e">
        <f t="shared" ca="1" si="277"/>
        <v>#NAME?</v>
      </c>
      <c r="H1573" s="100" t="e">
        <f t="shared" ca="1" si="278"/>
        <v>#NAME?</v>
      </c>
      <c r="I1573" s="100" t="e">
        <f t="shared" ca="1" si="279"/>
        <v>#NAME?</v>
      </c>
      <c r="J1573" s="100" t="e">
        <f ca="1">IFERROR(__xludf.DUMMYFUNCTION("""COMPUTED_VALUE"""),"0")</f>
        <v>#NAME?</v>
      </c>
      <c r="K1573" s="100" t="e">
        <f t="shared" ca="1" si="280"/>
        <v>#NAME?</v>
      </c>
      <c r="L1573" s="100"/>
      <c r="M1573" s="100"/>
      <c r="N1573" s="100"/>
      <c r="O1573" s="100"/>
      <c r="P1573" s="100"/>
      <c r="Q1573" s="100"/>
      <c r="R1573" s="100"/>
      <c r="S1573" s="100"/>
      <c r="T1573" s="100"/>
      <c r="U1573" s="100"/>
      <c r="V1573" s="100"/>
      <c r="W1573" s="100"/>
      <c r="X1573" s="100"/>
      <c r="Y1573" s="100"/>
      <c r="Z1573" s="100"/>
    </row>
    <row r="1574" spans="1:26">
      <c r="A1574" s="100" t="e">
        <f ca="1">IFERROR(__xludf.DUMMYFUNCTION("""COMPUTED_VALUE"""),58784909)</f>
        <v>#NAME?</v>
      </c>
      <c r="B1574" s="100" t="e">
        <f ca="1">IFERROR(__xludf.DUMMYFUNCTION("""COMPUTED_VALUE"""),"ALPACABNB")</f>
        <v>#NAME?</v>
      </c>
      <c r="C1574" s="100" t="e">
        <f ca="1">IFERROR(__xludf.DUMMYFUNCTION("""COMPUTED_VALUE"""),"0.00000000")</f>
        <v>#NAME?</v>
      </c>
      <c r="D1574" s="100" t="e">
        <f t="shared" ca="1" si="283"/>
        <v>#NAME?</v>
      </c>
      <c r="E1574" s="100" t="e">
        <f t="shared" ca="1" si="283"/>
        <v>#NAME?</v>
      </c>
      <c r="F1574" s="100" t="e">
        <f t="shared" ca="1" si="276"/>
        <v>#NAME?</v>
      </c>
      <c r="G1574" s="100" t="e">
        <f t="shared" ca="1" si="277"/>
        <v>#NAME?</v>
      </c>
      <c r="H1574" s="100" t="e">
        <f t="shared" ca="1" si="278"/>
        <v>#NAME?</v>
      </c>
      <c r="I1574" s="100" t="e">
        <f t="shared" ca="1" si="279"/>
        <v>#NAME?</v>
      </c>
      <c r="J1574" s="100" t="e">
        <f ca="1">IFERROR(__xludf.DUMMYFUNCTION("""COMPUTED_VALUE"""),"0")</f>
        <v>#NAME?</v>
      </c>
      <c r="K1574" s="100" t="e">
        <f t="shared" ca="1" si="280"/>
        <v>#NAME?</v>
      </c>
      <c r="L1574" s="100"/>
      <c r="M1574" s="100"/>
      <c r="N1574" s="100"/>
      <c r="O1574" s="100"/>
      <c r="P1574" s="100"/>
      <c r="Q1574" s="100"/>
      <c r="R1574" s="100"/>
      <c r="S1574" s="100"/>
      <c r="T1574" s="100"/>
      <c r="U1574" s="100"/>
      <c r="V1574" s="100"/>
      <c r="W1574" s="100"/>
      <c r="X1574" s="100"/>
      <c r="Y1574" s="100"/>
      <c r="Z1574" s="100"/>
    </row>
    <row r="1575" spans="1:26">
      <c r="A1575" s="100" t="e">
        <f ca="1">IFERROR(__xludf.DUMMYFUNCTION("""COMPUTED_VALUE"""),58784910)</f>
        <v>#NAME?</v>
      </c>
      <c r="B1575" s="100" t="e">
        <f ca="1">IFERROR(__xludf.DUMMYFUNCTION("""COMPUTED_VALUE"""),"ALPACABUSD")</f>
        <v>#NAME?</v>
      </c>
      <c r="C1575" s="100" t="e">
        <f ca="1">IFERROR(__xludf.DUMMYFUNCTION("""COMPUTED_VALUE"""),"0.14390000")</f>
        <v>#NAME?</v>
      </c>
      <c r="D1575" s="100" t="e">
        <f t="shared" ca="1" si="283"/>
        <v>#NAME?</v>
      </c>
      <c r="E1575" s="100" t="e">
        <f t="shared" ca="1" si="283"/>
        <v>#NAME?</v>
      </c>
      <c r="F1575" s="100" t="e">
        <f t="shared" ca="1" si="276"/>
        <v>#NAME?</v>
      </c>
      <c r="G1575" s="100" t="e">
        <f t="shared" ca="1" si="277"/>
        <v>#NAME?</v>
      </c>
      <c r="H1575" s="100" t="e">
        <f t="shared" ca="1" si="278"/>
        <v>#NAME?</v>
      </c>
      <c r="I1575" s="100" t="e">
        <f t="shared" ca="1" si="279"/>
        <v>#NAME?</v>
      </c>
      <c r="J1575" s="100" t="e">
        <f ca="1">IFERROR(__xludf.DUMMYFUNCTION("""COMPUTED_VALUE"""),"0")</f>
        <v>#NAME?</v>
      </c>
      <c r="K1575" s="100" t="e">
        <f t="shared" ca="1" si="280"/>
        <v>#NAME?</v>
      </c>
      <c r="L1575" s="100"/>
      <c r="M1575" s="100"/>
      <c r="N1575" s="100"/>
      <c r="O1575" s="100"/>
      <c r="P1575" s="100"/>
      <c r="Q1575" s="100"/>
      <c r="R1575" s="100"/>
      <c r="S1575" s="100"/>
      <c r="T1575" s="100"/>
      <c r="U1575" s="100"/>
      <c r="V1575" s="100"/>
      <c r="W1575" s="100"/>
      <c r="X1575" s="100"/>
      <c r="Y1575" s="100"/>
      <c r="Z1575" s="100"/>
    </row>
    <row r="1576" spans="1:26">
      <c r="A1576" s="100" t="e">
        <f ca="1">IFERROR(__xludf.DUMMYFUNCTION("""COMPUTED_VALUE"""),58784911)</f>
        <v>#NAME?</v>
      </c>
      <c r="B1576" s="100" t="e">
        <f ca="1">IFERROR(__xludf.DUMMYFUNCTION("""COMPUTED_VALUE"""),"ALPACAUSDT")</f>
        <v>#NAME?</v>
      </c>
      <c r="C1576" s="100" t="e">
        <f ca="1">IFERROR(__xludf.DUMMYFUNCTION("""COMPUTED_VALUE"""),"0.04000000")</f>
        <v>#NAME?</v>
      </c>
      <c r="D1576" s="100" t="e">
        <f t="shared" ca="1" si="283"/>
        <v>#NAME?</v>
      </c>
      <c r="E1576" s="100" t="e">
        <f t="shared" ca="1" si="283"/>
        <v>#NAME?</v>
      </c>
      <c r="F1576" s="100" t="e">
        <f t="shared" ca="1" si="276"/>
        <v>#NAME?</v>
      </c>
      <c r="G1576" s="100" t="e">
        <f t="shared" ca="1" si="277"/>
        <v>#NAME?</v>
      </c>
      <c r="H1576" s="100" t="e">
        <f t="shared" ca="1" si="278"/>
        <v>#NAME?</v>
      </c>
      <c r="I1576" s="100" t="e">
        <f t="shared" ca="1" si="279"/>
        <v>#NAME?</v>
      </c>
      <c r="J1576" s="100" t="e">
        <f ca="1">IFERROR(__xludf.DUMMYFUNCTION("""COMPUTED_VALUE"""),"-17.355")</f>
        <v>#NAME?</v>
      </c>
      <c r="K1576" s="100" t="e">
        <f t="shared" ca="1" si="280"/>
        <v>#NAME?</v>
      </c>
      <c r="L1576" s="100"/>
      <c r="M1576" s="100"/>
      <c r="N1576" s="100"/>
      <c r="O1576" s="100"/>
      <c r="P1576" s="100"/>
      <c r="Q1576" s="100"/>
      <c r="R1576" s="100"/>
      <c r="S1576" s="100"/>
      <c r="T1576" s="100"/>
      <c r="U1576" s="100"/>
      <c r="V1576" s="100"/>
      <c r="W1576" s="100"/>
      <c r="X1576" s="100"/>
      <c r="Y1576" s="100"/>
      <c r="Z1576" s="100"/>
    </row>
    <row r="1577" spans="1:26">
      <c r="A1577" s="100" t="e">
        <f ca="1">IFERROR(__xludf.DUMMYFUNCTION("""COMPUTED_VALUE"""),58784912)</f>
        <v>#NAME?</v>
      </c>
      <c r="B1577" s="100" t="e">
        <f ca="1">IFERROR(__xludf.DUMMYFUNCTION("""COMPUTED_VALUE"""),"TLMTRY")</f>
        <v>#NAME?</v>
      </c>
      <c r="C1577" s="100" t="e">
        <f ca="1">IFERROR(__xludf.DUMMYFUNCTION("""COMPUTED_VALUE"""),"0.19930000")</f>
        <v>#NAME?</v>
      </c>
      <c r="D1577" s="100" t="e">
        <f t="shared" ca="1" si="283"/>
        <v>#NAME?</v>
      </c>
      <c r="E1577" s="100" t="e">
        <f t="shared" ca="1" si="283"/>
        <v>#NAME?</v>
      </c>
      <c r="F1577" s="100" t="e">
        <f t="shared" ca="1" si="276"/>
        <v>#NAME?</v>
      </c>
      <c r="G1577" s="100" t="e">
        <f t="shared" ca="1" si="277"/>
        <v>#NAME?</v>
      </c>
      <c r="H1577" s="100" t="e">
        <f t="shared" ca="1" si="278"/>
        <v>#NAME?</v>
      </c>
      <c r="I1577" s="100" t="e">
        <f t="shared" ca="1" si="279"/>
        <v>#NAME?</v>
      </c>
      <c r="J1577" s="100" t="e">
        <f ca="1">IFERROR(__xludf.DUMMYFUNCTION("""COMPUTED_VALUE"""),"0.707")</f>
        <v>#NAME?</v>
      </c>
      <c r="K1577" s="100" t="e">
        <f t="shared" ca="1" si="280"/>
        <v>#NAME?</v>
      </c>
      <c r="L1577" s="100"/>
      <c r="M1577" s="100"/>
      <c r="N1577" s="100"/>
      <c r="O1577" s="100"/>
      <c r="P1577" s="100"/>
      <c r="Q1577" s="100"/>
      <c r="R1577" s="100"/>
      <c r="S1577" s="100"/>
      <c r="T1577" s="100"/>
      <c r="U1577" s="100"/>
      <c r="V1577" s="100"/>
      <c r="W1577" s="100"/>
      <c r="X1577" s="100"/>
      <c r="Y1577" s="100"/>
      <c r="Z1577" s="100"/>
    </row>
    <row r="1578" spans="1:26">
      <c r="A1578" s="100" t="e">
        <f ca="1">IFERROR(__xludf.DUMMYFUNCTION("""COMPUTED_VALUE"""),58784913)</f>
        <v>#NAME?</v>
      </c>
      <c r="B1578" s="100" t="e">
        <f ca="1">IFERROR(__xludf.DUMMYFUNCTION("""COMPUTED_VALUE"""),"QUICKUSDT")</f>
        <v>#NAME?</v>
      </c>
      <c r="C1578" s="100" t="e">
        <f ca="1">IFERROR(__xludf.DUMMYFUNCTION("""COMPUTED_VALUE"""),"0.02685000")</f>
        <v>#NAME?</v>
      </c>
      <c r="D1578" s="100" t="e">
        <f t="shared" ca="1" si="283"/>
        <v>#NAME?</v>
      </c>
      <c r="E1578" s="100" t="e">
        <f t="shared" ca="1" si="283"/>
        <v>#NAME?</v>
      </c>
      <c r="F1578" s="100" t="e">
        <f t="shared" ca="1" si="276"/>
        <v>#NAME?</v>
      </c>
      <c r="G1578" s="100" t="e">
        <f t="shared" ca="1" si="277"/>
        <v>#NAME?</v>
      </c>
      <c r="H1578" s="100" t="e">
        <f t="shared" ca="1" si="278"/>
        <v>#NAME?</v>
      </c>
      <c r="I1578" s="100" t="e">
        <f t="shared" ca="1" si="279"/>
        <v>#NAME?</v>
      </c>
      <c r="J1578" s="100" t="e">
        <f ca="1">IFERROR(__xludf.DUMMYFUNCTION("""COMPUTED_VALUE"""),"-0.996")</f>
        <v>#NAME?</v>
      </c>
      <c r="K1578" s="100" t="e">
        <f t="shared" ca="1" si="280"/>
        <v>#NAME?</v>
      </c>
      <c r="L1578" s="100"/>
      <c r="M1578" s="100"/>
      <c r="N1578" s="100"/>
      <c r="O1578" s="100"/>
      <c r="P1578" s="100"/>
      <c r="Q1578" s="100"/>
      <c r="R1578" s="100"/>
      <c r="S1578" s="100"/>
      <c r="T1578" s="100"/>
      <c r="U1578" s="100"/>
      <c r="V1578" s="100"/>
      <c r="W1578" s="100"/>
      <c r="X1578" s="100"/>
      <c r="Y1578" s="100"/>
      <c r="Z1578" s="100"/>
    </row>
    <row r="1579" spans="1:26">
      <c r="A1579" s="100" t="e">
        <f ca="1">IFERROR(__xludf.DUMMYFUNCTION("""COMPUTED_VALUE"""),58784914)</f>
        <v>#NAME?</v>
      </c>
      <c r="B1579" s="100" t="e">
        <f ca="1">IFERROR(__xludf.DUMMYFUNCTION("""COMPUTED_VALUE"""),"ORNBUSD")</f>
        <v>#NAME?</v>
      </c>
      <c r="C1579" s="100" t="e">
        <f ca="1">IFERROR(__xludf.DUMMYFUNCTION("""COMPUTED_VALUE"""),"0.55190000")</f>
        <v>#NAME?</v>
      </c>
      <c r="D1579" s="100" t="e">
        <f t="shared" ca="1" si="283"/>
        <v>#NAME?</v>
      </c>
      <c r="E1579" s="100" t="e">
        <f t="shared" ca="1" si="283"/>
        <v>#NAME?</v>
      </c>
      <c r="F1579" s="100" t="e">
        <f t="shared" ca="1" si="276"/>
        <v>#NAME?</v>
      </c>
      <c r="G1579" s="100" t="e">
        <f t="shared" ca="1" si="277"/>
        <v>#NAME?</v>
      </c>
      <c r="H1579" s="100" t="e">
        <f t="shared" ca="1" si="278"/>
        <v>#NAME?</v>
      </c>
      <c r="I1579" s="100" t="e">
        <f t="shared" ca="1" si="279"/>
        <v>#NAME?</v>
      </c>
      <c r="J1579" s="100" t="e">
        <f ca="1">IFERROR(__xludf.DUMMYFUNCTION("""COMPUTED_VALUE"""),"0")</f>
        <v>#NAME?</v>
      </c>
      <c r="K1579" s="100" t="e">
        <f t="shared" ca="1" si="280"/>
        <v>#NAME?</v>
      </c>
      <c r="L1579" s="100"/>
      <c r="M1579" s="100"/>
      <c r="N1579" s="100"/>
      <c r="O1579" s="100"/>
      <c r="P1579" s="100"/>
      <c r="Q1579" s="100"/>
      <c r="R1579" s="100"/>
      <c r="S1579" s="100"/>
      <c r="T1579" s="100"/>
      <c r="U1579" s="100"/>
      <c r="V1579" s="100"/>
      <c r="W1579" s="100"/>
      <c r="X1579" s="100"/>
      <c r="Y1579" s="100"/>
      <c r="Z1579" s="100"/>
    </row>
    <row r="1580" spans="1:26">
      <c r="A1580" s="100" t="e">
        <f ca="1">IFERROR(__xludf.DUMMYFUNCTION("""COMPUTED_VALUE"""),58784915)</f>
        <v>#NAME?</v>
      </c>
      <c r="B1580" s="100" t="e">
        <f ca="1">IFERROR(__xludf.DUMMYFUNCTION("""COMPUTED_VALUE"""),"MBOXBTC")</f>
        <v>#NAME?</v>
      </c>
      <c r="C1580" s="100" t="e">
        <f ca="1">IFERROR(__xludf.DUMMYFUNCTION("""COMPUTED_VALUE"""),"0.00000102")</f>
        <v>#NAME?</v>
      </c>
      <c r="D1580" s="100" t="e">
        <f t="shared" ca="1" si="283"/>
        <v>#NAME?</v>
      </c>
      <c r="E1580" s="100" t="e">
        <f t="shared" ca="1" si="283"/>
        <v>#NAME?</v>
      </c>
      <c r="F1580" s="100" t="e">
        <f t="shared" ca="1" si="276"/>
        <v>#NAME?</v>
      </c>
      <c r="G1580" s="100" t="e">
        <f t="shared" ca="1" si="277"/>
        <v>#NAME?</v>
      </c>
      <c r="H1580" s="100" t="e">
        <f t="shared" ca="1" si="278"/>
        <v>#NAME?</v>
      </c>
      <c r="I1580" s="100" t="e">
        <f t="shared" ca="1" si="279"/>
        <v>#NAME?</v>
      </c>
      <c r="J1580" s="100" t="e">
        <f ca="1">IFERROR(__xludf.DUMMYFUNCTION("""COMPUTED_VALUE"""),"0")</f>
        <v>#NAME?</v>
      </c>
      <c r="K1580" s="100" t="e">
        <f t="shared" ca="1" si="280"/>
        <v>#NAME?</v>
      </c>
      <c r="L1580" s="100"/>
      <c r="M1580" s="100"/>
      <c r="N1580" s="100"/>
      <c r="O1580" s="100"/>
      <c r="P1580" s="100"/>
      <c r="Q1580" s="100"/>
      <c r="R1580" s="100"/>
      <c r="S1580" s="100"/>
      <c r="T1580" s="100"/>
      <c r="U1580" s="100"/>
      <c r="V1580" s="100"/>
      <c r="W1580" s="100"/>
      <c r="X1580" s="100"/>
      <c r="Y1580" s="100"/>
      <c r="Z1580" s="100"/>
    </row>
    <row r="1581" spans="1:26">
      <c r="A1581" s="100" t="e">
        <f ca="1">IFERROR(__xludf.DUMMYFUNCTION("""COMPUTED_VALUE"""),58784916)</f>
        <v>#NAME?</v>
      </c>
      <c r="B1581" s="100" t="e">
        <f ca="1">IFERROR(__xludf.DUMMYFUNCTION("""COMPUTED_VALUE"""),"MBOXBNB")</f>
        <v>#NAME?</v>
      </c>
      <c r="C1581" s="100" t="e">
        <f ca="1">IFERROR(__xludf.DUMMYFUNCTION("""COMPUTED_VALUE"""),"0.00069200")</f>
        <v>#NAME?</v>
      </c>
      <c r="D1581" s="100" t="e">
        <f t="shared" ca="1" si="283"/>
        <v>#NAME?</v>
      </c>
      <c r="E1581" s="100" t="e">
        <f t="shared" ca="1" si="283"/>
        <v>#NAME?</v>
      </c>
      <c r="F1581" s="100" t="e">
        <f t="shared" ca="1" si="276"/>
        <v>#NAME?</v>
      </c>
      <c r="G1581" s="100" t="e">
        <f t="shared" ca="1" si="277"/>
        <v>#NAME?</v>
      </c>
      <c r="H1581" s="100" t="e">
        <f t="shared" ca="1" si="278"/>
        <v>#NAME?</v>
      </c>
      <c r="I1581" s="100" t="e">
        <f t="shared" ca="1" si="279"/>
        <v>#NAME?</v>
      </c>
      <c r="J1581" s="100" t="e">
        <f ca="1">IFERROR(__xludf.DUMMYFUNCTION("""COMPUTED_VALUE"""),"0")</f>
        <v>#NAME?</v>
      </c>
      <c r="K1581" s="100" t="e">
        <f t="shared" ca="1" si="280"/>
        <v>#NAME?</v>
      </c>
      <c r="L1581" s="100"/>
      <c r="M1581" s="100"/>
      <c r="N1581" s="100"/>
      <c r="O1581" s="100"/>
      <c r="P1581" s="100"/>
      <c r="Q1581" s="100"/>
      <c r="R1581" s="100"/>
      <c r="S1581" s="100"/>
      <c r="T1581" s="100"/>
      <c r="U1581" s="100"/>
      <c r="V1581" s="100"/>
      <c r="W1581" s="100"/>
      <c r="X1581" s="100"/>
      <c r="Y1581" s="100"/>
      <c r="Z1581" s="100"/>
    </row>
    <row r="1582" spans="1:26">
      <c r="A1582" s="100" t="e">
        <f ca="1">IFERROR(__xludf.DUMMYFUNCTION("""COMPUTED_VALUE"""),58784917)</f>
        <v>#NAME?</v>
      </c>
      <c r="B1582" s="100" t="e">
        <f ca="1">IFERROR(__xludf.DUMMYFUNCTION("""COMPUTED_VALUE"""),"MBOXBUSD")</f>
        <v>#NAME?</v>
      </c>
      <c r="C1582" s="100" t="e">
        <f ca="1">IFERROR(__xludf.DUMMYFUNCTION("""COMPUTED_VALUE"""),"0.20900000")</f>
        <v>#NAME?</v>
      </c>
      <c r="D1582" s="100" t="e">
        <f t="shared" ref="D1582:E1601" ca="1" si="284">IFERROR(__xludf.DUMMYFUNCTION("""COMPUTED_VALUE"""),"-")</f>
        <v>#NAME?</v>
      </c>
      <c r="E1582" s="100" t="e">
        <f t="shared" ca="1" si="284"/>
        <v>#NAME?</v>
      </c>
      <c r="F1582" s="100" t="e">
        <f t="shared" ca="1" si="276"/>
        <v>#NAME?</v>
      </c>
      <c r="G1582" s="100" t="e">
        <f t="shared" ca="1" si="277"/>
        <v>#NAME?</v>
      </c>
      <c r="H1582" s="100" t="e">
        <f t="shared" ca="1" si="278"/>
        <v>#NAME?</v>
      </c>
      <c r="I1582" s="100" t="e">
        <f t="shared" ca="1" si="279"/>
        <v>#NAME?</v>
      </c>
      <c r="J1582" s="100" t="e">
        <f ca="1">IFERROR(__xludf.DUMMYFUNCTION("""COMPUTED_VALUE"""),"0")</f>
        <v>#NAME?</v>
      </c>
      <c r="K1582" s="100" t="e">
        <f t="shared" ca="1" si="280"/>
        <v>#NAME?</v>
      </c>
      <c r="L1582" s="100"/>
      <c r="M1582" s="100"/>
      <c r="N1582" s="100"/>
      <c r="O1582" s="100"/>
      <c r="P1582" s="100"/>
      <c r="Q1582" s="100"/>
      <c r="R1582" s="100"/>
      <c r="S1582" s="100"/>
      <c r="T1582" s="100"/>
      <c r="U1582" s="100"/>
      <c r="V1582" s="100"/>
      <c r="W1582" s="100"/>
      <c r="X1582" s="100"/>
      <c r="Y1582" s="100"/>
      <c r="Z1582" s="100"/>
    </row>
    <row r="1583" spans="1:26">
      <c r="A1583" s="100" t="e">
        <f ca="1">IFERROR(__xludf.DUMMYFUNCTION("""COMPUTED_VALUE"""),58784918)</f>
        <v>#NAME?</v>
      </c>
      <c r="B1583" s="100" t="e">
        <f ca="1">IFERROR(__xludf.DUMMYFUNCTION("""COMPUTED_VALUE"""),"MBOXUSDT")</f>
        <v>#NAME?</v>
      </c>
      <c r="C1583" s="100" t="e">
        <f ca="1">IFERROR(__xludf.DUMMYFUNCTION("""COMPUTED_VALUE"""),"0.05180000")</f>
        <v>#NAME?</v>
      </c>
      <c r="D1583" s="100" t="e">
        <f t="shared" ca="1" si="284"/>
        <v>#NAME?</v>
      </c>
      <c r="E1583" s="100" t="e">
        <f t="shared" ca="1" si="284"/>
        <v>#NAME?</v>
      </c>
      <c r="F1583" s="100" t="e">
        <f t="shared" ca="1" si="276"/>
        <v>#NAME?</v>
      </c>
      <c r="G1583" s="100" t="e">
        <f t="shared" ca="1" si="277"/>
        <v>#NAME?</v>
      </c>
      <c r="H1583" s="100" t="e">
        <f t="shared" ca="1" si="278"/>
        <v>#NAME?</v>
      </c>
      <c r="I1583" s="100" t="e">
        <f t="shared" ca="1" si="279"/>
        <v>#NAME?</v>
      </c>
      <c r="J1583" s="100" t="e">
        <f ca="1">IFERROR(__xludf.DUMMYFUNCTION("""COMPUTED_VALUE"""),"-9.599")</f>
        <v>#NAME?</v>
      </c>
      <c r="K1583" s="100" t="e">
        <f t="shared" ca="1" si="280"/>
        <v>#NAME?</v>
      </c>
      <c r="L1583" s="100"/>
      <c r="M1583" s="100"/>
      <c r="N1583" s="100"/>
      <c r="O1583" s="100"/>
      <c r="P1583" s="100"/>
      <c r="Q1583" s="100"/>
      <c r="R1583" s="100"/>
      <c r="S1583" s="100"/>
      <c r="T1583" s="100"/>
      <c r="U1583" s="100"/>
      <c r="V1583" s="100"/>
      <c r="W1583" s="100"/>
      <c r="X1583" s="100"/>
      <c r="Y1583" s="100"/>
      <c r="Z1583" s="100"/>
    </row>
    <row r="1584" spans="1:26">
      <c r="A1584" s="100" t="e">
        <f ca="1">IFERROR(__xludf.DUMMYFUNCTION("""COMPUTED_VALUE"""),58784919)</f>
        <v>#NAME?</v>
      </c>
      <c r="B1584" s="100" t="e">
        <f ca="1">IFERROR(__xludf.DUMMYFUNCTION("""COMPUTED_VALUE"""),"VGXBTC")</f>
        <v>#NAME?</v>
      </c>
      <c r="C1584" s="100" t="e">
        <f ca="1">IFERROR(__xludf.DUMMYFUNCTION("""COMPUTED_VALUE"""),"0.00002524")</f>
        <v>#NAME?</v>
      </c>
      <c r="D1584" s="100" t="e">
        <f t="shared" ca="1" si="284"/>
        <v>#NAME?</v>
      </c>
      <c r="E1584" s="100" t="e">
        <f t="shared" ca="1" si="284"/>
        <v>#NAME?</v>
      </c>
      <c r="F1584" s="100" t="e">
        <f t="shared" ca="1" si="276"/>
        <v>#NAME?</v>
      </c>
      <c r="G1584" s="100" t="e">
        <f t="shared" ca="1" si="277"/>
        <v>#NAME?</v>
      </c>
      <c r="H1584" s="100" t="e">
        <f t="shared" ca="1" si="278"/>
        <v>#NAME?</v>
      </c>
      <c r="I1584" s="100" t="e">
        <f t="shared" ca="1" si="279"/>
        <v>#NAME?</v>
      </c>
      <c r="J1584" s="100" t="e">
        <f ca="1">IFERROR(__xludf.DUMMYFUNCTION("""COMPUTED_VALUE"""),"0")</f>
        <v>#NAME?</v>
      </c>
      <c r="K1584" s="100" t="e">
        <f t="shared" ca="1" si="280"/>
        <v>#NAME?</v>
      </c>
      <c r="L1584" s="100"/>
      <c r="M1584" s="100"/>
      <c r="N1584" s="100"/>
      <c r="O1584" s="100"/>
      <c r="P1584" s="100"/>
      <c r="Q1584" s="100"/>
      <c r="R1584" s="100"/>
      <c r="S1584" s="100"/>
      <c r="T1584" s="100"/>
      <c r="U1584" s="100"/>
      <c r="V1584" s="100"/>
      <c r="W1584" s="100"/>
      <c r="X1584" s="100"/>
      <c r="Y1584" s="100"/>
      <c r="Z1584" s="100"/>
    </row>
    <row r="1585" spans="1:26">
      <c r="A1585" s="100" t="e">
        <f ca="1">IFERROR(__xludf.DUMMYFUNCTION("""COMPUTED_VALUE"""),58784920)</f>
        <v>#NAME?</v>
      </c>
      <c r="B1585" s="100" t="e">
        <f ca="1">IFERROR(__xludf.DUMMYFUNCTION("""COMPUTED_VALUE"""),"VGXETH")</f>
        <v>#NAME?</v>
      </c>
      <c r="C1585" s="100" t="e">
        <f ca="1">IFERROR(__xludf.DUMMYFUNCTION("""COMPUTED_VALUE"""),"0.00034800")</f>
        <v>#NAME?</v>
      </c>
      <c r="D1585" s="100" t="e">
        <f t="shared" ca="1" si="284"/>
        <v>#NAME?</v>
      </c>
      <c r="E1585" s="100" t="e">
        <f t="shared" ca="1" si="284"/>
        <v>#NAME?</v>
      </c>
      <c r="F1585" s="100" t="e">
        <f t="shared" ca="1" si="276"/>
        <v>#NAME?</v>
      </c>
      <c r="G1585" s="100" t="e">
        <f t="shared" ca="1" si="277"/>
        <v>#NAME?</v>
      </c>
      <c r="H1585" s="100" t="e">
        <f t="shared" ca="1" si="278"/>
        <v>#NAME?</v>
      </c>
      <c r="I1585" s="100" t="e">
        <f t="shared" ca="1" si="279"/>
        <v>#NAME?</v>
      </c>
      <c r="J1585" s="100" t="e">
        <f ca="1">IFERROR(__xludf.DUMMYFUNCTION("""COMPUTED_VALUE"""),"0")</f>
        <v>#NAME?</v>
      </c>
      <c r="K1585" s="100" t="e">
        <f t="shared" ca="1" si="280"/>
        <v>#NAME?</v>
      </c>
      <c r="L1585" s="100"/>
      <c r="M1585" s="100"/>
      <c r="N1585" s="100"/>
      <c r="O1585" s="100"/>
      <c r="P1585" s="100"/>
      <c r="Q1585" s="100"/>
      <c r="R1585" s="100"/>
      <c r="S1585" s="100"/>
      <c r="T1585" s="100"/>
      <c r="U1585" s="100"/>
      <c r="V1585" s="100"/>
      <c r="W1585" s="100"/>
      <c r="X1585" s="100"/>
      <c r="Y1585" s="100"/>
      <c r="Z1585" s="100"/>
    </row>
    <row r="1586" spans="1:26">
      <c r="A1586" s="100" t="e">
        <f ca="1">IFERROR(__xludf.DUMMYFUNCTION("""COMPUTED_VALUE"""),58784921)</f>
        <v>#NAME?</v>
      </c>
      <c r="B1586" s="100" t="e">
        <f ca="1">IFERROR(__xludf.DUMMYFUNCTION("""COMPUTED_VALUE"""),"FORUSDT")</f>
        <v>#NAME?</v>
      </c>
      <c r="C1586" s="100" t="e">
        <f ca="1">IFERROR(__xludf.DUMMYFUNCTION("""COMPUTED_VALUE"""),"0.00306000")</f>
        <v>#NAME?</v>
      </c>
      <c r="D1586" s="100" t="e">
        <f t="shared" ca="1" si="284"/>
        <v>#NAME?</v>
      </c>
      <c r="E1586" s="100" t="e">
        <f t="shared" ca="1" si="284"/>
        <v>#NAME?</v>
      </c>
      <c r="F1586" s="100" t="e">
        <f t="shared" ca="1" si="276"/>
        <v>#NAME?</v>
      </c>
      <c r="G1586" s="100" t="e">
        <f t="shared" ca="1" si="277"/>
        <v>#NAME?</v>
      </c>
      <c r="H1586" s="100" t="e">
        <f t="shared" ca="1" si="278"/>
        <v>#NAME?</v>
      </c>
      <c r="I1586" s="100" t="e">
        <f t="shared" ca="1" si="279"/>
        <v>#NAME?</v>
      </c>
      <c r="J1586" s="100" t="e">
        <f ca="1">IFERROR(__xludf.DUMMYFUNCTION("""COMPUTED_VALUE"""),"0")</f>
        <v>#NAME?</v>
      </c>
      <c r="K1586" s="100" t="e">
        <f t="shared" ca="1" si="280"/>
        <v>#NAME?</v>
      </c>
      <c r="L1586" s="100"/>
      <c r="M1586" s="100"/>
      <c r="N1586" s="100"/>
      <c r="O1586" s="100"/>
      <c r="P1586" s="100"/>
      <c r="Q1586" s="100"/>
      <c r="R1586" s="100"/>
      <c r="S1586" s="100"/>
      <c r="T1586" s="100"/>
      <c r="U1586" s="100"/>
      <c r="V1586" s="100"/>
      <c r="W1586" s="100"/>
      <c r="X1586" s="100"/>
      <c r="Y1586" s="100"/>
      <c r="Z1586" s="100"/>
    </row>
    <row r="1587" spans="1:26">
      <c r="A1587" s="100" t="e">
        <f ca="1">IFERROR(__xludf.DUMMYFUNCTION("""COMPUTED_VALUE"""),58784922)</f>
        <v>#NAME?</v>
      </c>
      <c r="B1587" s="100" t="e">
        <f ca="1">IFERROR(__xludf.DUMMYFUNCTION("""COMPUTED_VALUE"""),"REQUSDT")</f>
        <v>#NAME?</v>
      </c>
      <c r="C1587" s="100" t="e">
        <f ca="1">IFERROR(__xludf.DUMMYFUNCTION("""COMPUTED_VALUE"""),"0.11120000")</f>
        <v>#NAME?</v>
      </c>
      <c r="D1587" s="100" t="e">
        <f t="shared" ca="1" si="284"/>
        <v>#NAME?</v>
      </c>
      <c r="E1587" s="100" t="e">
        <f t="shared" ca="1" si="284"/>
        <v>#NAME?</v>
      </c>
      <c r="F1587" s="100" t="e">
        <f t="shared" ca="1" si="276"/>
        <v>#NAME?</v>
      </c>
      <c r="G1587" s="100" t="e">
        <f t="shared" ca="1" si="277"/>
        <v>#NAME?</v>
      </c>
      <c r="H1587" s="100" t="e">
        <f t="shared" ca="1" si="278"/>
        <v>#NAME?</v>
      </c>
      <c r="I1587" s="100" t="e">
        <f t="shared" ca="1" si="279"/>
        <v>#NAME?</v>
      </c>
      <c r="J1587" s="100" t="e">
        <f ca="1">IFERROR(__xludf.DUMMYFUNCTION("""COMPUTED_VALUE"""),"2.583")</f>
        <v>#NAME?</v>
      </c>
      <c r="K1587" s="100" t="e">
        <f t="shared" ca="1" si="280"/>
        <v>#NAME?</v>
      </c>
      <c r="L1587" s="100"/>
      <c r="M1587" s="100"/>
      <c r="N1587" s="100"/>
      <c r="O1587" s="100"/>
      <c r="P1587" s="100"/>
      <c r="Q1587" s="100"/>
      <c r="R1587" s="100"/>
      <c r="S1587" s="100"/>
      <c r="T1587" s="100"/>
      <c r="U1587" s="100"/>
      <c r="V1587" s="100"/>
      <c r="W1587" s="100"/>
      <c r="X1587" s="100"/>
      <c r="Y1587" s="100"/>
      <c r="Z1587" s="100"/>
    </row>
    <row r="1588" spans="1:26">
      <c r="A1588" s="100" t="e">
        <f ca="1">IFERROR(__xludf.DUMMYFUNCTION("""COMPUTED_VALUE"""),58784923)</f>
        <v>#NAME?</v>
      </c>
      <c r="B1588" s="100" t="e">
        <f ca="1">IFERROR(__xludf.DUMMYFUNCTION("""COMPUTED_VALUE"""),"GHSTUSDT")</f>
        <v>#NAME?</v>
      </c>
      <c r="C1588" s="100" t="e">
        <f ca="1">IFERROR(__xludf.DUMMYFUNCTION("""COMPUTED_VALUE"""),"0.46500000")</f>
        <v>#NAME?</v>
      </c>
      <c r="D1588" s="100" t="e">
        <f t="shared" ca="1" si="284"/>
        <v>#NAME?</v>
      </c>
      <c r="E1588" s="100" t="e">
        <f t="shared" ca="1" si="284"/>
        <v>#NAME?</v>
      </c>
      <c r="F1588" s="100" t="e">
        <f t="shared" ca="1" si="276"/>
        <v>#NAME?</v>
      </c>
      <c r="G1588" s="100" t="e">
        <f t="shared" ca="1" si="277"/>
        <v>#NAME?</v>
      </c>
      <c r="H1588" s="100" t="e">
        <f t="shared" ca="1" si="278"/>
        <v>#NAME?</v>
      </c>
      <c r="I1588" s="100" t="e">
        <f t="shared" ca="1" si="279"/>
        <v>#NAME?</v>
      </c>
      <c r="J1588" s="100" t="e">
        <f ca="1">IFERROR(__xludf.DUMMYFUNCTION("""COMPUTED_VALUE"""),"-2.720")</f>
        <v>#NAME?</v>
      </c>
      <c r="K1588" s="100" t="e">
        <f t="shared" ca="1" si="280"/>
        <v>#NAME?</v>
      </c>
      <c r="L1588" s="100"/>
      <c r="M1588" s="100"/>
      <c r="N1588" s="100"/>
      <c r="O1588" s="100"/>
      <c r="P1588" s="100"/>
      <c r="Q1588" s="100"/>
      <c r="R1588" s="100"/>
      <c r="S1588" s="100"/>
      <c r="T1588" s="100"/>
      <c r="U1588" s="100"/>
      <c r="V1588" s="100"/>
      <c r="W1588" s="100"/>
      <c r="X1588" s="100"/>
      <c r="Y1588" s="100"/>
      <c r="Z1588" s="100"/>
    </row>
    <row r="1589" spans="1:26">
      <c r="A1589" s="100" t="e">
        <f ca="1">IFERROR(__xludf.DUMMYFUNCTION("""COMPUTED_VALUE"""),58784924)</f>
        <v>#NAME?</v>
      </c>
      <c r="B1589" s="100" t="e">
        <f ca="1">IFERROR(__xludf.DUMMYFUNCTION("""COMPUTED_VALUE"""),"TRURUB")</f>
        <v>#NAME?</v>
      </c>
      <c r="C1589" s="100" t="e">
        <f ca="1">IFERROR(__xludf.DUMMYFUNCTION("""COMPUTED_VALUE"""),"2.98000000")</f>
        <v>#NAME?</v>
      </c>
      <c r="D1589" s="100" t="e">
        <f t="shared" ca="1" si="284"/>
        <v>#NAME?</v>
      </c>
      <c r="E1589" s="100" t="e">
        <f t="shared" ca="1" si="284"/>
        <v>#NAME?</v>
      </c>
      <c r="F1589" s="100" t="e">
        <f t="shared" ca="1" si="276"/>
        <v>#NAME?</v>
      </c>
      <c r="G1589" s="100" t="e">
        <f t="shared" ca="1" si="277"/>
        <v>#NAME?</v>
      </c>
      <c r="H1589" s="100" t="e">
        <f t="shared" ca="1" si="278"/>
        <v>#NAME?</v>
      </c>
      <c r="I1589" s="100" t="e">
        <f t="shared" ca="1" si="279"/>
        <v>#NAME?</v>
      </c>
      <c r="J1589" s="100" t="e">
        <f ca="1">IFERROR(__xludf.DUMMYFUNCTION("""COMPUTED_VALUE"""),"0")</f>
        <v>#NAME?</v>
      </c>
      <c r="K1589" s="100" t="e">
        <f t="shared" ca="1" si="280"/>
        <v>#NAME?</v>
      </c>
      <c r="L1589" s="100"/>
      <c r="M1589" s="100"/>
      <c r="N1589" s="100"/>
      <c r="O1589" s="100"/>
      <c r="P1589" s="100"/>
      <c r="Q1589" s="100"/>
      <c r="R1589" s="100"/>
      <c r="S1589" s="100"/>
      <c r="T1589" s="100"/>
      <c r="U1589" s="100"/>
      <c r="V1589" s="100"/>
      <c r="W1589" s="100"/>
      <c r="X1589" s="100"/>
      <c r="Y1589" s="100"/>
      <c r="Z1589" s="100"/>
    </row>
    <row r="1590" spans="1:26">
      <c r="A1590" s="100" t="e">
        <f ca="1">IFERROR(__xludf.DUMMYFUNCTION("""COMPUTED_VALUE"""),58784925)</f>
        <v>#NAME?</v>
      </c>
      <c r="B1590" s="100" t="e">
        <f ca="1">IFERROR(__xludf.DUMMYFUNCTION("""COMPUTED_VALUE"""),"FISBRL")</f>
        <v>#NAME?</v>
      </c>
      <c r="C1590" s="100" t="e">
        <f ca="1">IFERROR(__xludf.DUMMYFUNCTION("""COMPUTED_VALUE"""),"1.78100000")</f>
        <v>#NAME?</v>
      </c>
      <c r="D1590" s="100" t="e">
        <f t="shared" ca="1" si="284"/>
        <v>#NAME?</v>
      </c>
      <c r="E1590" s="100" t="e">
        <f t="shared" ca="1" si="284"/>
        <v>#NAME?</v>
      </c>
      <c r="F1590" s="100" t="e">
        <f t="shared" ca="1" si="276"/>
        <v>#NAME?</v>
      </c>
      <c r="G1590" s="100" t="e">
        <f t="shared" ca="1" si="277"/>
        <v>#NAME?</v>
      </c>
      <c r="H1590" s="100" t="e">
        <f t="shared" ca="1" si="278"/>
        <v>#NAME?</v>
      </c>
      <c r="I1590" s="100" t="e">
        <f t="shared" ca="1" si="279"/>
        <v>#NAME?</v>
      </c>
      <c r="J1590" s="100" t="e">
        <f ca="1">IFERROR(__xludf.DUMMYFUNCTION("""COMPUTED_VALUE"""),"0")</f>
        <v>#NAME?</v>
      </c>
      <c r="K1590" s="100" t="e">
        <f t="shared" ca="1" si="280"/>
        <v>#NAME?</v>
      </c>
      <c r="L1590" s="100"/>
      <c r="M1590" s="100"/>
      <c r="N1590" s="100"/>
      <c r="O1590" s="100"/>
      <c r="P1590" s="100"/>
      <c r="Q1590" s="100"/>
      <c r="R1590" s="100"/>
      <c r="S1590" s="100"/>
      <c r="T1590" s="100"/>
      <c r="U1590" s="100"/>
      <c r="V1590" s="100"/>
      <c r="W1590" s="100"/>
      <c r="X1590" s="100"/>
      <c r="Y1590" s="100"/>
      <c r="Z1590" s="100"/>
    </row>
    <row r="1591" spans="1:26">
      <c r="A1591" s="100" t="e">
        <f ca="1">IFERROR(__xludf.DUMMYFUNCTION("""COMPUTED_VALUE"""),58784926)</f>
        <v>#NAME?</v>
      </c>
      <c r="B1591" s="100" t="e">
        <f ca="1">IFERROR(__xludf.DUMMYFUNCTION("""COMPUTED_VALUE"""),"WAXPUSDT")</f>
        <v>#NAME?</v>
      </c>
      <c r="C1591" s="100" t="e">
        <f ca="1">IFERROR(__xludf.DUMMYFUNCTION("""COMPUTED_VALUE"""),"0.02359000")</f>
        <v>#NAME?</v>
      </c>
      <c r="D1591" s="100" t="e">
        <f t="shared" ca="1" si="284"/>
        <v>#NAME?</v>
      </c>
      <c r="E1591" s="100" t="e">
        <f t="shared" ca="1" si="284"/>
        <v>#NAME?</v>
      </c>
      <c r="F1591" s="100" t="e">
        <f t="shared" ca="1" si="276"/>
        <v>#NAME?</v>
      </c>
      <c r="G1591" s="100" t="e">
        <f t="shared" ca="1" si="277"/>
        <v>#NAME?</v>
      </c>
      <c r="H1591" s="100" t="e">
        <f t="shared" ca="1" si="278"/>
        <v>#NAME?</v>
      </c>
      <c r="I1591" s="100" t="e">
        <f t="shared" ca="1" si="279"/>
        <v>#NAME?</v>
      </c>
      <c r="J1591" s="100" t="e">
        <f ca="1">IFERROR(__xludf.DUMMYFUNCTION("""COMPUTED_VALUE"""),"-1.708")</f>
        <v>#NAME?</v>
      </c>
      <c r="K1591" s="100" t="e">
        <f t="shared" ca="1" si="280"/>
        <v>#NAME?</v>
      </c>
      <c r="L1591" s="100"/>
      <c r="M1591" s="100"/>
      <c r="N1591" s="100"/>
      <c r="O1591" s="100"/>
      <c r="P1591" s="100"/>
      <c r="Q1591" s="100"/>
      <c r="R1591" s="100"/>
      <c r="S1591" s="100"/>
      <c r="T1591" s="100"/>
      <c r="U1591" s="100"/>
      <c r="V1591" s="100"/>
      <c r="W1591" s="100"/>
      <c r="X1591" s="100"/>
      <c r="Y1591" s="100"/>
      <c r="Z1591" s="100"/>
    </row>
    <row r="1592" spans="1:26">
      <c r="A1592" s="100" t="e">
        <f ca="1">IFERROR(__xludf.DUMMYFUNCTION("""COMPUTED_VALUE"""),58784927)</f>
        <v>#NAME?</v>
      </c>
      <c r="B1592" s="100" t="e">
        <f ca="1">IFERROR(__xludf.DUMMYFUNCTION("""COMPUTED_VALUE"""),"WAXPBUSD")</f>
        <v>#NAME?</v>
      </c>
      <c r="C1592" s="100" t="e">
        <f ca="1">IFERROR(__xludf.DUMMYFUNCTION("""COMPUTED_VALUE"""),"0.04170000")</f>
        <v>#NAME?</v>
      </c>
      <c r="D1592" s="100" t="e">
        <f t="shared" ca="1" si="284"/>
        <v>#NAME?</v>
      </c>
      <c r="E1592" s="100" t="e">
        <f t="shared" ca="1" si="284"/>
        <v>#NAME?</v>
      </c>
      <c r="F1592" s="100" t="e">
        <f t="shared" ca="1" si="276"/>
        <v>#NAME?</v>
      </c>
      <c r="G1592" s="100" t="e">
        <f t="shared" ca="1" si="277"/>
        <v>#NAME?</v>
      </c>
      <c r="H1592" s="100" t="e">
        <f t="shared" ca="1" si="278"/>
        <v>#NAME?</v>
      </c>
      <c r="I1592" s="100" t="e">
        <f t="shared" ca="1" si="279"/>
        <v>#NAME?</v>
      </c>
      <c r="J1592" s="100" t="e">
        <f ca="1">IFERROR(__xludf.DUMMYFUNCTION("""COMPUTED_VALUE"""),"0")</f>
        <v>#NAME?</v>
      </c>
      <c r="K1592" s="100" t="e">
        <f t="shared" ca="1" si="280"/>
        <v>#NAME?</v>
      </c>
      <c r="L1592" s="100"/>
      <c r="M1592" s="100"/>
      <c r="N1592" s="100"/>
      <c r="O1592" s="100"/>
      <c r="P1592" s="100"/>
      <c r="Q1592" s="100"/>
      <c r="R1592" s="100"/>
      <c r="S1592" s="100"/>
      <c r="T1592" s="100"/>
      <c r="U1592" s="100"/>
      <c r="V1592" s="100"/>
      <c r="W1592" s="100"/>
      <c r="X1592" s="100"/>
      <c r="Y1592" s="100"/>
      <c r="Z1592" s="100"/>
    </row>
    <row r="1593" spans="1:26">
      <c r="A1593" s="100" t="e">
        <f ca="1">IFERROR(__xludf.DUMMYFUNCTION("""COMPUTED_VALUE"""),58784928)</f>
        <v>#NAME?</v>
      </c>
      <c r="B1593" s="100" t="e">
        <f ca="1">IFERROR(__xludf.DUMMYFUNCTION("""COMPUTED_VALUE"""),"WAXPBNB")</f>
        <v>#NAME?</v>
      </c>
      <c r="C1593" s="100" t="e">
        <f ca="1">IFERROR(__xludf.DUMMYFUNCTION("""COMPUTED_VALUE"""),"0.00017060")</f>
        <v>#NAME?</v>
      </c>
      <c r="D1593" s="100" t="e">
        <f t="shared" ca="1" si="284"/>
        <v>#NAME?</v>
      </c>
      <c r="E1593" s="100" t="e">
        <f t="shared" ca="1" si="284"/>
        <v>#NAME?</v>
      </c>
      <c r="F1593" s="100" t="e">
        <f t="shared" ca="1" si="276"/>
        <v>#NAME?</v>
      </c>
      <c r="G1593" s="100" t="e">
        <f t="shared" ca="1" si="277"/>
        <v>#NAME?</v>
      </c>
      <c r="H1593" s="100" t="e">
        <f t="shared" ca="1" si="278"/>
        <v>#NAME?</v>
      </c>
      <c r="I1593" s="100" t="e">
        <f t="shared" ca="1" si="279"/>
        <v>#NAME?</v>
      </c>
      <c r="J1593" s="100" t="e">
        <f ca="1">IFERROR(__xludf.DUMMYFUNCTION("""COMPUTED_VALUE"""),"0")</f>
        <v>#NAME?</v>
      </c>
      <c r="K1593" s="100" t="e">
        <f t="shared" ca="1" si="280"/>
        <v>#NAME?</v>
      </c>
      <c r="L1593" s="100"/>
      <c r="M1593" s="100"/>
      <c r="N1593" s="100"/>
      <c r="O1593" s="100"/>
      <c r="P1593" s="100"/>
      <c r="Q1593" s="100"/>
      <c r="R1593" s="100"/>
      <c r="S1593" s="100"/>
      <c r="T1593" s="100"/>
      <c r="U1593" s="100"/>
      <c r="V1593" s="100"/>
      <c r="W1593" s="100"/>
      <c r="X1593" s="100"/>
      <c r="Y1593" s="100"/>
      <c r="Z1593" s="100"/>
    </row>
    <row r="1594" spans="1:26">
      <c r="A1594" s="100" t="e">
        <f ca="1">IFERROR(__xludf.DUMMYFUNCTION("""COMPUTED_VALUE"""),58784929)</f>
        <v>#NAME?</v>
      </c>
      <c r="B1594" s="100" t="e">
        <f ca="1">IFERROR(__xludf.DUMMYFUNCTION("""COMPUTED_VALUE"""),"WAXPBTC")</f>
        <v>#NAME?</v>
      </c>
      <c r="C1594" s="100" t="e">
        <f ca="1">IFERROR(__xludf.DUMMYFUNCTION("""COMPUTED_VALUE"""),"0.00000027")</f>
        <v>#NAME?</v>
      </c>
      <c r="D1594" s="100" t="e">
        <f t="shared" ca="1" si="284"/>
        <v>#NAME?</v>
      </c>
      <c r="E1594" s="100" t="e">
        <f t="shared" ca="1" si="284"/>
        <v>#NAME?</v>
      </c>
      <c r="F1594" s="100" t="e">
        <f t="shared" ca="1" si="276"/>
        <v>#NAME?</v>
      </c>
      <c r="G1594" s="100" t="e">
        <f t="shared" ca="1" si="277"/>
        <v>#NAME?</v>
      </c>
      <c r="H1594" s="100" t="e">
        <f t="shared" ca="1" si="278"/>
        <v>#NAME?</v>
      </c>
      <c r="I1594" s="100" t="e">
        <f t="shared" ca="1" si="279"/>
        <v>#NAME?</v>
      </c>
      <c r="J1594" s="100" t="e">
        <f ca="1">IFERROR(__xludf.DUMMYFUNCTION("""COMPUTED_VALUE"""),"-3.571")</f>
        <v>#NAME?</v>
      </c>
      <c r="K1594" s="100" t="e">
        <f t="shared" ca="1" si="280"/>
        <v>#NAME?</v>
      </c>
      <c r="L1594" s="100"/>
      <c r="M1594" s="100"/>
      <c r="N1594" s="100"/>
      <c r="O1594" s="100"/>
      <c r="P1594" s="100"/>
      <c r="Q1594" s="100"/>
      <c r="R1594" s="100"/>
      <c r="S1594" s="100"/>
      <c r="T1594" s="100"/>
      <c r="U1594" s="100"/>
      <c r="V1594" s="100"/>
      <c r="W1594" s="100"/>
      <c r="X1594" s="100"/>
      <c r="Y1594" s="100"/>
      <c r="Z1594" s="100"/>
    </row>
    <row r="1595" spans="1:26">
      <c r="A1595" s="100" t="e">
        <f ca="1">IFERROR(__xludf.DUMMYFUNCTION("""COMPUTED_VALUE"""),58784930)</f>
        <v>#NAME?</v>
      </c>
      <c r="B1595" s="100" t="e">
        <f ca="1">IFERROR(__xludf.DUMMYFUNCTION("""COMPUTED_VALUE"""),"TRIBEBTC")</f>
        <v>#NAME?</v>
      </c>
      <c r="C1595" s="100" t="e">
        <f ca="1">IFERROR(__xludf.DUMMYFUNCTION("""COMPUTED_VALUE"""),"0.00000000")</f>
        <v>#NAME?</v>
      </c>
      <c r="D1595" s="100" t="e">
        <f t="shared" ca="1" si="284"/>
        <v>#NAME?</v>
      </c>
      <c r="E1595" s="100" t="e">
        <f t="shared" ca="1" si="284"/>
        <v>#NAME?</v>
      </c>
      <c r="F1595" s="100" t="e">
        <f t="shared" ca="1" si="276"/>
        <v>#NAME?</v>
      </c>
      <c r="G1595" s="100" t="e">
        <f t="shared" ca="1" si="277"/>
        <v>#NAME?</v>
      </c>
      <c r="H1595" s="100" t="e">
        <f t="shared" ca="1" si="278"/>
        <v>#NAME?</v>
      </c>
      <c r="I1595" s="100" t="e">
        <f t="shared" ca="1" si="279"/>
        <v>#NAME?</v>
      </c>
      <c r="J1595" s="100" t="e">
        <f ca="1">IFERROR(__xludf.DUMMYFUNCTION("""COMPUTED_VALUE"""),"0")</f>
        <v>#NAME?</v>
      </c>
      <c r="K1595" s="100" t="e">
        <f t="shared" ca="1" si="280"/>
        <v>#NAME?</v>
      </c>
      <c r="L1595" s="100"/>
      <c r="M1595" s="100"/>
      <c r="N1595" s="100"/>
      <c r="O1595" s="100"/>
      <c r="P1595" s="100"/>
      <c r="Q1595" s="100"/>
      <c r="R1595" s="100"/>
      <c r="S1595" s="100"/>
      <c r="T1595" s="100"/>
      <c r="U1595" s="100"/>
      <c r="V1595" s="100"/>
      <c r="W1595" s="100"/>
      <c r="X1595" s="100"/>
      <c r="Y1595" s="100"/>
      <c r="Z1595" s="100"/>
    </row>
    <row r="1596" spans="1:26">
      <c r="A1596" s="100" t="e">
        <f ca="1">IFERROR(__xludf.DUMMYFUNCTION("""COMPUTED_VALUE"""),58784931)</f>
        <v>#NAME?</v>
      </c>
      <c r="B1596" s="100" t="e">
        <f ca="1">IFERROR(__xludf.DUMMYFUNCTION("""COMPUTED_VALUE"""),"TRIBEBNB")</f>
        <v>#NAME?</v>
      </c>
      <c r="C1596" s="100" t="e">
        <f ca="1">IFERROR(__xludf.DUMMYFUNCTION("""COMPUTED_VALUE"""),"0.00000000")</f>
        <v>#NAME?</v>
      </c>
      <c r="D1596" s="100" t="e">
        <f t="shared" ca="1" si="284"/>
        <v>#NAME?</v>
      </c>
      <c r="E1596" s="100" t="e">
        <f t="shared" ca="1" si="284"/>
        <v>#NAME?</v>
      </c>
      <c r="F1596" s="100" t="e">
        <f t="shared" ca="1" si="276"/>
        <v>#NAME?</v>
      </c>
      <c r="G1596" s="100" t="e">
        <f t="shared" ca="1" si="277"/>
        <v>#NAME?</v>
      </c>
      <c r="H1596" s="100" t="e">
        <f t="shared" ca="1" si="278"/>
        <v>#NAME?</v>
      </c>
      <c r="I1596" s="100" t="e">
        <f t="shared" ca="1" si="279"/>
        <v>#NAME?</v>
      </c>
      <c r="J1596" s="100" t="e">
        <f ca="1">IFERROR(__xludf.DUMMYFUNCTION("""COMPUTED_VALUE"""),"0")</f>
        <v>#NAME?</v>
      </c>
      <c r="K1596" s="100" t="e">
        <f t="shared" ca="1" si="280"/>
        <v>#NAME?</v>
      </c>
      <c r="L1596" s="100"/>
      <c r="M1596" s="100"/>
      <c r="N1596" s="100"/>
      <c r="O1596" s="100"/>
      <c r="P1596" s="100"/>
      <c r="Q1596" s="100"/>
      <c r="R1596" s="100"/>
      <c r="S1596" s="100"/>
      <c r="T1596" s="100"/>
      <c r="U1596" s="100"/>
      <c r="V1596" s="100"/>
      <c r="W1596" s="100"/>
      <c r="X1596" s="100"/>
      <c r="Y1596" s="100"/>
      <c r="Z1596" s="100"/>
    </row>
    <row r="1597" spans="1:26">
      <c r="A1597" s="100" t="e">
        <f ca="1">IFERROR(__xludf.DUMMYFUNCTION("""COMPUTED_VALUE"""),58784932)</f>
        <v>#NAME?</v>
      </c>
      <c r="B1597" s="100" t="e">
        <f ca="1">IFERROR(__xludf.DUMMYFUNCTION("""COMPUTED_VALUE"""),"TRIBEBUSD")</f>
        <v>#NAME?</v>
      </c>
      <c r="C1597" s="100" t="e">
        <f ca="1">IFERROR(__xludf.DUMMYFUNCTION("""COMPUTED_VALUE"""),"0.20570000")</f>
        <v>#NAME?</v>
      </c>
      <c r="D1597" s="100" t="e">
        <f t="shared" ca="1" si="284"/>
        <v>#NAME?</v>
      </c>
      <c r="E1597" s="100" t="e">
        <f t="shared" ca="1" si="284"/>
        <v>#NAME?</v>
      </c>
      <c r="F1597" s="100" t="e">
        <f t="shared" ca="1" si="276"/>
        <v>#NAME?</v>
      </c>
      <c r="G1597" s="100" t="e">
        <f t="shared" ca="1" si="277"/>
        <v>#NAME?</v>
      </c>
      <c r="H1597" s="100" t="e">
        <f t="shared" ca="1" si="278"/>
        <v>#NAME?</v>
      </c>
      <c r="I1597" s="100" t="e">
        <f t="shared" ca="1" si="279"/>
        <v>#NAME?</v>
      </c>
      <c r="J1597" s="100" t="e">
        <f ca="1">IFERROR(__xludf.DUMMYFUNCTION("""COMPUTED_VALUE"""),"0")</f>
        <v>#NAME?</v>
      </c>
      <c r="K1597" s="100" t="e">
        <f t="shared" ca="1" si="280"/>
        <v>#NAME?</v>
      </c>
      <c r="L1597" s="100"/>
      <c r="M1597" s="100"/>
      <c r="N1597" s="100"/>
      <c r="O1597" s="100"/>
      <c r="P1597" s="100"/>
      <c r="Q1597" s="100"/>
      <c r="R1597" s="100"/>
      <c r="S1597" s="100"/>
      <c r="T1597" s="100"/>
      <c r="U1597" s="100"/>
      <c r="V1597" s="100"/>
      <c r="W1597" s="100"/>
      <c r="X1597" s="100"/>
      <c r="Y1597" s="100"/>
      <c r="Z1597" s="100"/>
    </row>
    <row r="1598" spans="1:26">
      <c r="A1598" s="100" t="e">
        <f ca="1">IFERROR(__xludf.DUMMYFUNCTION("""COMPUTED_VALUE"""),58784933)</f>
        <v>#NAME?</v>
      </c>
      <c r="B1598" s="100" t="e">
        <f ca="1">IFERROR(__xludf.DUMMYFUNCTION("""COMPUTED_VALUE"""),"TRIBEUSDT")</f>
        <v>#NAME?</v>
      </c>
      <c r="C1598" s="100" t="e">
        <f ca="1">IFERROR(__xludf.DUMMYFUNCTION("""COMPUTED_VALUE"""),"0.20180000")</f>
        <v>#NAME?</v>
      </c>
      <c r="D1598" s="100" t="e">
        <f t="shared" ca="1" si="284"/>
        <v>#NAME?</v>
      </c>
      <c r="E1598" s="100" t="e">
        <f t="shared" ca="1" si="284"/>
        <v>#NAME?</v>
      </c>
      <c r="F1598" s="100" t="e">
        <f t="shared" ca="1" si="276"/>
        <v>#NAME?</v>
      </c>
      <c r="G1598" s="100" t="e">
        <f t="shared" ca="1" si="277"/>
        <v>#NAME?</v>
      </c>
      <c r="H1598" s="100" t="e">
        <f t="shared" ca="1" si="278"/>
        <v>#NAME?</v>
      </c>
      <c r="I1598" s="100" t="e">
        <f t="shared" ca="1" si="279"/>
        <v>#NAME?</v>
      </c>
      <c r="J1598" s="100" t="e">
        <f ca="1">IFERROR(__xludf.DUMMYFUNCTION("""COMPUTED_VALUE"""),"0")</f>
        <v>#NAME?</v>
      </c>
      <c r="K1598" s="100" t="e">
        <f t="shared" ca="1" si="280"/>
        <v>#NAME?</v>
      </c>
      <c r="L1598" s="100"/>
      <c r="M1598" s="100"/>
      <c r="N1598" s="100"/>
      <c r="O1598" s="100"/>
      <c r="P1598" s="100"/>
      <c r="Q1598" s="100"/>
      <c r="R1598" s="100"/>
      <c r="S1598" s="100"/>
      <c r="T1598" s="100"/>
      <c r="U1598" s="100"/>
      <c r="V1598" s="100"/>
      <c r="W1598" s="100"/>
      <c r="X1598" s="100"/>
      <c r="Y1598" s="100"/>
      <c r="Z1598" s="100"/>
    </row>
    <row r="1599" spans="1:26">
      <c r="A1599" s="100" t="e">
        <f ca="1">IFERROR(__xludf.DUMMYFUNCTION("""COMPUTED_VALUE"""),58784934)</f>
        <v>#NAME?</v>
      </c>
      <c r="B1599" s="100" t="e">
        <f ca="1">IFERROR(__xludf.DUMMYFUNCTION("""COMPUTED_VALUE"""),"GNOUSDT")</f>
        <v>#NAME?</v>
      </c>
      <c r="C1599" s="100" t="e">
        <f ca="1">IFERROR(__xludf.DUMMYFUNCTION("""COMPUTED_VALUE"""),"105.40000000")</f>
        <v>#NAME?</v>
      </c>
      <c r="D1599" s="100" t="e">
        <f t="shared" ca="1" si="284"/>
        <v>#NAME?</v>
      </c>
      <c r="E1599" s="100" t="e">
        <f t="shared" ca="1" si="284"/>
        <v>#NAME?</v>
      </c>
      <c r="F1599" s="100" t="e">
        <f t="shared" ca="1" si="276"/>
        <v>#NAME?</v>
      </c>
      <c r="G1599" s="100" t="e">
        <f t="shared" ca="1" si="277"/>
        <v>#NAME?</v>
      </c>
      <c r="H1599" s="100" t="e">
        <f t="shared" ca="1" si="278"/>
        <v>#NAME?</v>
      </c>
      <c r="I1599" s="100" t="e">
        <f t="shared" ca="1" si="279"/>
        <v>#NAME?</v>
      </c>
      <c r="J1599" s="100" t="e">
        <f ca="1">IFERROR(__xludf.DUMMYFUNCTION("""COMPUTED_VALUE"""),"-3.656")</f>
        <v>#NAME?</v>
      </c>
      <c r="K1599" s="100" t="e">
        <f t="shared" ca="1" si="280"/>
        <v>#NAME?</v>
      </c>
      <c r="L1599" s="100"/>
      <c r="M1599" s="100"/>
      <c r="N1599" s="100"/>
      <c r="O1599" s="100"/>
      <c r="P1599" s="100"/>
      <c r="Q1599" s="100"/>
      <c r="R1599" s="100"/>
      <c r="S1599" s="100"/>
      <c r="T1599" s="100"/>
      <c r="U1599" s="100"/>
      <c r="V1599" s="100"/>
      <c r="W1599" s="100"/>
      <c r="X1599" s="100"/>
      <c r="Y1599" s="100"/>
      <c r="Z1599" s="100"/>
    </row>
    <row r="1600" spans="1:26">
      <c r="A1600" s="100" t="e">
        <f ca="1">IFERROR(__xludf.DUMMYFUNCTION("""COMPUTED_VALUE"""),58784935)</f>
        <v>#NAME?</v>
      </c>
      <c r="B1600" s="100" t="e">
        <f ca="1">IFERROR(__xludf.DUMMYFUNCTION("""COMPUTED_VALUE"""),"GNOBUSD")</f>
        <v>#NAME?</v>
      </c>
      <c r="C1600" s="100" t="e">
        <f ca="1">IFERROR(__xludf.DUMMYFUNCTION("""COMPUTED_VALUE"""),"0.00000000")</f>
        <v>#NAME?</v>
      </c>
      <c r="D1600" s="100" t="e">
        <f t="shared" ca="1" si="284"/>
        <v>#NAME?</v>
      </c>
      <c r="E1600" s="100" t="e">
        <f t="shared" ca="1" si="284"/>
        <v>#NAME?</v>
      </c>
      <c r="F1600" s="100" t="e">
        <f t="shared" ca="1" si="276"/>
        <v>#NAME?</v>
      </c>
      <c r="G1600" s="100" t="e">
        <f t="shared" ca="1" si="277"/>
        <v>#NAME?</v>
      </c>
      <c r="H1600" s="100" t="e">
        <f t="shared" ca="1" si="278"/>
        <v>#NAME?</v>
      </c>
      <c r="I1600" s="100" t="e">
        <f t="shared" ca="1" si="279"/>
        <v>#NAME?</v>
      </c>
      <c r="J1600" s="100" t="e">
        <f ca="1">IFERROR(__xludf.DUMMYFUNCTION("""COMPUTED_VALUE"""),"0")</f>
        <v>#NAME?</v>
      </c>
      <c r="K1600" s="100" t="e">
        <f t="shared" ca="1" si="280"/>
        <v>#NAME?</v>
      </c>
      <c r="L1600" s="100"/>
      <c r="M1600" s="100"/>
      <c r="N1600" s="100"/>
      <c r="O1600" s="100"/>
      <c r="P1600" s="100"/>
      <c r="Q1600" s="100"/>
      <c r="R1600" s="100"/>
      <c r="S1600" s="100"/>
      <c r="T1600" s="100"/>
      <c r="U1600" s="100"/>
      <c r="V1600" s="100"/>
      <c r="W1600" s="100"/>
      <c r="X1600" s="100"/>
      <c r="Y1600" s="100"/>
      <c r="Z1600" s="100"/>
    </row>
    <row r="1601" spans="1:26">
      <c r="A1601" s="100" t="e">
        <f ca="1">IFERROR(__xludf.DUMMYFUNCTION("""COMPUTED_VALUE"""),58784936)</f>
        <v>#NAME?</v>
      </c>
      <c r="B1601" s="100" t="e">
        <f ca="1">IFERROR(__xludf.DUMMYFUNCTION("""COMPUTED_VALUE"""),"GNOBNB")</f>
        <v>#NAME?</v>
      </c>
      <c r="C1601" s="100" t="e">
        <f ca="1">IFERROR(__xludf.DUMMYFUNCTION("""COMPUTED_VALUE"""),"0.00000000")</f>
        <v>#NAME?</v>
      </c>
      <c r="D1601" s="100" t="e">
        <f t="shared" ca="1" si="284"/>
        <v>#NAME?</v>
      </c>
      <c r="E1601" s="100" t="e">
        <f t="shared" ca="1" si="284"/>
        <v>#NAME?</v>
      </c>
      <c r="F1601" s="100" t="e">
        <f t="shared" ca="1" si="276"/>
        <v>#NAME?</v>
      </c>
      <c r="G1601" s="100" t="e">
        <f t="shared" ca="1" si="277"/>
        <v>#NAME?</v>
      </c>
      <c r="H1601" s="100" t="e">
        <f t="shared" ca="1" si="278"/>
        <v>#NAME?</v>
      </c>
      <c r="I1601" s="100" t="e">
        <f t="shared" ca="1" si="279"/>
        <v>#NAME?</v>
      </c>
      <c r="J1601" s="100" t="e">
        <f ca="1">IFERROR(__xludf.DUMMYFUNCTION("""COMPUTED_VALUE"""),"0")</f>
        <v>#NAME?</v>
      </c>
      <c r="K1601" s="100" t="e">
        <f t="shared" ca="1" si="280"/>
        <v>#NAME?</v>
      </c>
      <c r="L1601" s="100"/>
      <c r="M1601" s="100"/>
      <c r="N1601" s="100"/>
      <c r="O1601" s="100"/>
      <c r="P1601" s="100"/>
      <c r="Q1601" s="100"/>
      <c r="R1601" s="100"/>
      <c r="S1601" s="100"/>
      <c r="T1601" s="100"/>
      <c r="U1601" s="100"/>
      <c r="V1601" s="100"/>
      <c r="W1601" s="100"/>
      <c r="X1601" s="100"/>
      <c r="Y1601" s="100"/>
      <c r="Z1601" s="100"/>
    </row>
    <row r="1602" spans="1:26">
      <c r="A1602" s="100" t="e">
        <f ca="1">IFERROR(__xludf.DUMMYFUNCTION("""COMPUTED_VALUE"""),58784937)</f>
        <v>#NAME?</v>
      </c>
      <c r="B1602" s="100" t="e">
        <f ca="1">IFERROR(__xludf.DUMMYFUNCTION("""COMPUTED_VALUE"""),"GNOBTC")</f>
        <v>#NAME?</v>
      </c>
      <c r="C1602" s="100" t="e">
        <f ca="1">IFERROR(__xludf.DUMMYFUNCTION("""COMPUTED_VALUE"""),"0.00000000")</f>
        <v>#NAME?</v>
      </c>
      <c r="D1602" s="100" t="e">
        <f t="shared" ref="D1602:E1621" ca="1" si="285">IFERROR(__xludf.DUMMYFUNCTION("""COMPUTED_VALUE"""),"-")</f>
        <v>#NAME?</v>
      </c>
      <c r="E1602" s="100" t="e">
        <f t="shared" ca="1" si="285"/>
        <v>#NAME?</v>
      </c>
      <c r="F1602" s="100" t="e">
        <f t="shared" ref="F1602:F1665" ca="1" si="286">IFERROR(__xludf.DUMMYFUNCTION("""COMPUTED_VALUE"""),20200)</f>
        <v>#NAME?</v>
      </c>
      <c r="G1602" s="100" t="e">
        <f t="shared" ref="G1602:G1665" ca="1" si="287">IFERROR(__xludf.DUMMYFUNCTION("""COMPUTED_VALUE"""),2885)</f>
        <v>#NAME?</v>
      </c>
      <c r="H1602" s="100" t="e">
        <f t="shared" ref="H1602:H1665" ca="1" si="288">IFERROR(__xludf.DUMMYFUNCTION("""COMPUTED_VALUE"""),663)</f>
        <v>#NAME?</v>
      </c>
      <c r="I1602" s="100" t="e">
        <f t="shared" ref="I1602:I1665" ca="1" si="289">IFERROR(__xludf.DUMMYFUNCTION("""COMPUTED_VALUE"""),5817721)</f>
        <v>#NAME?</v>
      </c>
      <c r="J1602" s="100" t="e">
        <f ca="1">IFERROR(__xludf.DUMMYFUNCTION("""COMPUTED_VALUE"""),"0")</f>
        <v>#NAME?</v>
      </c>
      <c r="K1602" s="100" t="e">
        <f t="shared" ref="K1602:K1665" ca="1" si="290">IFERROR(__xludf.DUMMYFUNCTION("""COMPUTED_VALUE"""),"22.04.2025 13:05:01")</f>
        <v>#NAME?</v>
      </c>
      <c r="L1602" s="100"/>
      <c r="M1602" s="100"/>
      <c r="N1602" s="100"/>
      <c r="O1602" s="100"/>
      <c r="P1602" s="100"/>
      <c r="Q1602" s="100"/>
      <c r="R1602" s="100"/>
      <c r="S1602" s="100"/>
      <c r="T1602" s="100"/>
      <c r="U1602" s="100"/>
      <c r="V1602" s="100"/>
      <c r="W1602" s="100"/>
      <c r="X1602" s="100"/>
      <c r="Y1602" s="100"/>
      <c r="Z1602" s="100"/>
    </row>
    <row r="1603" spans="1:26">
      <c r="A1603" s="100" t="e">
        <f ca="1">IFERROR(__xludf.DUMMYFUNCTION("""COMPUTED_VALUE"""),58784938)</f>
        <v>#NAME?</v>
      </c>
      <c r="B1603" s="100" t="e">
        <f ca="1">IFERROR(__xludf.DUMMYFUNCTION("""COMPUTED_VALUE"""),"ARPATRY")</f>
        <v>#NAME?</v>
      </c>
      <c r="C1603" s="100" t="e">
        <f ca="1">IFERROR(__xludf.DUMMYFUNCTION("""COMPUTED_VALUE"""),"0.88380000")</f>
        <v>#NAME?</v>
      </c>
      <c r="D1603" s="100" t="e">
        <f t="shared" ca="1" si="285"/>
        <v>#NAME?</v>
      </c>
      <c r="E1603" s="100" t="e">
        <f t="shared" ca="1" si="285"/>
        <v>#NAME?</v>
      </c>
      <c r="F1603" s="100" t="e">
        <f t="shared" ca="1" si="286"/>
        <v>#NAME?</v>
      </c>
      <c r="G1603" s="100" t="e">
        <f t="shared" ca="1" si="287"/>
        <v>#NAME?</v>
      </c>
      <c r="H1603" s="100" t="e">
        <f t="shared" ca="1" si="288"/>
        <v>#NAME?</v>
      </c>
      <c r="I1603" s="100" t="e">
        <f t="shared" ca="1" si="289"/>
        <v>#NAME?</v>
      </c>
      <c r="J1603" s="100" t="e">
        <f ca="1">IFERROR(__xludf.DUMMYFUNCTION("""COMPUTED_VALUE"""),"0.810")</f>
        <v>#NAME?</v>
      </c>
      <c r="K1603" s="100" t="e">
        <f t="shared" ca="1" si="290"/>
        <v>#NAME?</v>
      </c>
      <c r="L1603" s="100"/>
      <c r="M1603" s="100"/>
      <c r="N1603" s="100"/>
      <c r="O1603" s="100"/>
      <c r="P1603" s="100"/>
      <c r="Q1603" s="100"/>
      <c r="R1603" s="100"/>
      <c r="S1603" s="100"/>
      <c r="T1603" s="100"/>
      <c r="U1603" s="100"/>
      <c r="V1603" s="100"/>
      <c r="W1603" s="100"/>
      <c r="X1603" s="100"/>
      <c r="Y1603" s="100"/>
      <c r="Z1603" s="100"/>
    </row>
    <row r="1604" spans="1:26">
      <c r="A1604" s="100" t="e">
        <f ca="1">IFERROR(__xludf.DUMMYFUNCTION("""COMPUTED_VALUE"""),58784939)</f>
        <v>#NAME?</v>
      </c>
      <c r="B1604" s="100" t="e">
        <f ca="1">IFERROR(__xludf.DUMMYFUNCTION("""COMPUTED_VALUE"""),"PROMBTC")</f>
        <v>#NAME?</v>
      </c>
      <c r="C1604" s="100" t="e">
        <f ca="1">IFERROR(__xludf.DUMMYFUNCTION("""COMPUTED_VALUE"""),"0.00008960")</f>
        <v>#NAME?</v>
      </c>
      <c r="D1604" s="100" t="e">
        <f t="shared" ca="1" si="285"/>
        <v>#NAME?</v>
      </c>
      <c r="E1604" s="100" t="e">
        <f t="shared" ca="1" si="285"/>
        <v>#NAME?</v>
      </c>
      <c r="F1604" s="100" t="e">
        <f t="shared" ca="1" si="286"/>
        <v>#NAME?</v>
      </c>
      <c r="G1604" s="100" t="e">
        <f t="shared" ca="1" si="287"/>
        <v>#NAME?</v>
      </c>
      <c r="H1604" s="100" t="e">
        <f t="shared" ca="1" si="288"/>
        <v>#NAME?</v>
      </c>
      <c r="I1604" s="100" t="e">
        <f t="shared" ca="1" si="289"/>
        <v>#NAME?</v>
      </c>
      <c r="J1604" s="100" t="e">
        <f ca="1">IFERROR(__xludf.DUMMYFUNCTION("""COMPUTED_VALUE"""),"0")</f>
        <v>#NAME?</v>
      </c>
      <c r="K1604" s="100" t="e">
        <f t="shared" ca="1" si="290"/>
        <v>#NAME?</v>
      </c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</row>
    <row r="1605" spans="1:26">
      <c r="A1605" s="100" t="e">
        <f ca="1">IFERROR(__xludf.DUMMYFUNCTION("""COMPUTED_VALUE"""),58784940)</f>
        <v>#NAME?</v>
      </c>
      <c r="B1605" s="100" t="e">
        <f ca="1">IFERROR(__xludf.DUMMYFUNCTION("""COMPUTED_VALUE"""),"MTLBUSD")</f>
        <v>#NAME?</v>
      </c>
      <c r="C1605" s="100" t="e">
        <f ca="1">IFERROR(__xludf.DUMMYFUNCTION("""COMPUTED_VALUE"""),"1.35300000")</f>
        <v>#NAME?</v>
      </c>
      <c r="D1605" s="100" t="e">
        <f t="shared" ca="1" si="285"/>
        <v>#NAME?</v>
      </c>
      <c r="E1605" s="100" t="e">
        <f t="shared" ca="1" si="285"/>
        <v>#NAME?</v>
      </c>
      <c r="F1605" s="100" t="e">
        <f t="shared" ca="1" si="286"/>
        <v>#NAME?</v>
      </c>
      <c r="G1605" s="100" t="e">
        <f t="shared" ca="1" si="287"/>
        <v>#NAME?</v>
      </c>
      <c r="H1605" s="100" t="e">
        <f t="shared" ca="1" si="288"/>
        <v>#NAME?</v>
      </c>
      <c r="I1605" s="100" t="e">
        <f t="shared" ca="1" si="289"/>
        <v>#NAME?</v>
      </c>
      <c r="J1605" s="100" t="e">
        <f ca="1">IFERROR(__xludf.DUMMYFUNCTION("""COMPUTED_VALUE"""),"0")</f>
        <v>#NAME?</v>
      </c>
      <c r="K1605" s="100" t="e">
        <f t="shared" ca="1" si="290"/>
        <v>#NAME?</v>
      </c>
      <c r="L1605" s="100"/>
      <c r="M1605" s="100"/>
      <c r="N1605" s="100"/>
      <c r="O1605" s="100"/>
      <c r="P1605" s="100"/>
      <c r="Q1605" s="100"/>
      <c r="R1605" s="100"/>
      <c r="S1605" s="100"/>
      <c r="T1605" s="100"/>
      <c r="U1605" s="100"/>
      <c r="V1605" s="100"/>
      <c r="W1605" s="100"/>
      <c r="X1605" s="100"/>
      <c r="Y1605" s="100"/>
      <c r="Z1605" s="100"/>
    </row>
    <row r="1606" spans="1:26">
      <c r="A1606" s="100" t="e">
        <f ca="1">IFERROR(__xludf.DUMMYFUNCTION("""COMPUTED_VALUE"""),58784941)</f>
        <v>#NAME?</v>
      </c>
      <c r="B1606" s="100" t="e">
        <f ca="1">IFERROR(__xludf.DUMMYFUNCTION("""COMPUTED_VALUE"""),"OGNBUSD")</f>
        <v>#NAME?</v>
      </c>
      <c r="C1606" s="100" t="e">
        <f ca="1">IFERROR(__xludf.DUMMYFUNCTION("""COMPUTED_VALUE"""),"0.11290000")</f>
        <v>#NAME?</v>
      </c>
      <c r="D1606" s="100" t="e">
        <f t="shared" ca="1" si="285"/>
        <v>#NAME?</v>
      </c>
      <c r="E1606" s="100" t="e">
        <f t="shared" ca="1" si="285"/>
        <v>#NAME?</v>
      </c>
      <c r="F1606" s="100" t="e">
        <f t="shared" ca="1" si="286"/>
        <v>#NAME?</v>
      </c>
      <c r="G1606" s="100" t="e">
        <f t="shared" ca="1" si="287"/>
        <v>#NAME?</v>
      </c>
      <c r="H1606" s="100" t="e">
        <f t="shared" ca="1" si="288"/>
        <v>#NAME?</v>
      </c>
      <c r="I1606" s="100" t="e">
        <f t="shared" ca="1" si="289"/>
        <v>#NAME?</v>
      </c>
      <c r="J1606" s="100" t="e">
        <f ca="1">IFERROR(__xludf.DUMMYFUNCTION("""COMPUTED_VALUE"""),"0")</f>
        <v>#NAME?</v>
      </c>
      <c r="K1606" s="100" t="e">
        <f t="shared" ca="1" si="290"/>
        <v>#NAME?</v>
      </c>
      <c r="L1606" s="100"/>
      <c r="M1606" s="100"/>
      <c r="N1606" s="100"/>
      <c r="O1606" s="100"/>
      <c r="P1606" s="100"/>
      <c r="Q1606" s="100"/>
      <c r="R1606" s="100"/>
      <c r="S1606" s="100"/>
      <c r="T1606" s="100"/>
      <c r="U1606" s="100"/>
      <c r="V1606" s="100"/>
      <c r="W1606" s="100"/>
      <c r="X1606" s="100"/>
      <c r="Y1606" s="100"/>
      <c r="Z1606" s="100"/>
    </row>
    <row r="1607" spans="1:26">
      <c r="A1607" s="100" t="e">
        <f ca="1">IFERROR(__xludf.DUMMYFUNCTION("""COMPUTED_VALUE"""),58784942)</f>
        <v>#NAME?</v>
      </c>
      <c r="B1607" s="100" t="e">
        <f ca="1">IFERROR(__xludf.DUMMYFUNCTION("""COMPUTED_VALUE"""),"XECUSDT")</f>
        <v>#NAME?</v>
      </c>
      <c r="C1607" s="100" t="e">
        <f ca="1">IFERROR(__xludf.DUMMYFUNCTION("""COMPUTED_VALUE"""),"0.00002080")</f>
        <v>#NAME?</v>
      </c>
      <c r="D1607" s="100" t="e">
        <f t="shared" ca="1" si="285"/>
        <v>#NAME?</v>
      </c>
      <c r="E1607" s="100" t="e">
        <f t="shared" ca="1" si="285"/>
        <v>#NAME?</v>
      </c>
      <c r="F1607" s="100" t="e">
        <f t="shared" ca="1" si="286"/>
        <v>#NAME?</v>
      </c>
      <c r="G1607" s="100" t="e">
        <f t="shared" ca="1" si="287"/>
        <v>#NAME?</v>
      </c>
      <c r="H1607" s="100" t="e">
        <f t="shared" ca="1" si="288"/>
        <v>#NAME?</v>
      </c>
      <c r="I1607" s="100" t="e">
        <f t="shared" ca="1" si="289"/>
        <v>#NAME?</v>
      </c>
      <c r="J1607" s="100" t="e">
        <f ca="1">IFERROR(__xludf.DUMMYFUNCTION("""COMPUTED_VALUE"""),"-0.669")</f>
        <v>#NAME?</v>
      </c>
      <c r="K1607" s="100" t="e">
        <f t="shared" ca="1" si="290"/>
        <v>#NAME?</v>
      </c>
      <c r="L1607" s="100"/>
      <c r="M1607" s="100"/>
      <c r="N1607" s="100"/>
      <c r="O1607" s="100"/>
      <c r="P1607" s="100"/>
      <c r="Q1607" s="100"/>
      <c r="R1607" s="100"/>
      <c r="S1607" s="100"/>
      <c r="T1607" s="100"/>
      <c r="U1607" s="100"/>
      <c r="V1607" s="100"/>
      <c r="W1607" s="100"/>
      <c r="X1607" s="100"/>
      <c r="Y1607" s="100"/>
      <c r="Z1607" s="100"/>
    </row>
    <row r="1608" spans="1:26">
      <c r="A1608" s="100" t="e">
        <f ca="1">IFERROR(__xludf.DUMMYFUNCTION("""COMPUTED_VALUE"""),58784943)</f>
        <v>#NAME?</v>
      </c>
      <c r="B1608" s="100" t="e">
        <f ca="1">IFERROR(__xludf.DUMMYFUNCTION("""COMPUTED_VALUE"""),"C98BRL")</f>
        <v>#NAME?</v>
      </c>
      <c r="C1608" s="100" t="e">
        <f ca="1">IFERROR(__xludf.DUMMYFUNCTION("""COMPUTED_VALUE"""),"1.30800000")</f>
        <v>#NAME?</v>
      </c>
      <c r="D1608" s="100" t="e">
        <f t="shared" ca="1" si="285"/>
        <v>#NAME?</v>
      </c>
      <c r="E1608" s="100" t="e">
        <f t="shared" ca="1" si="285"/>
        <v>#NAME?</v>
      </c>
      <c r="F1608" s="100" t="e">
        <f t="shared" ca="1" si="286"/>
        <v>#NAME?</v>
      </c>
      <c r="G1608" s="100" t="e">
        <f t="shared" ca="1" si="287"/>
        <v>#NAME?</v>
      </c>
      <c r="H1608" s="100" t="e">
        <f t="shared" ca="1" si="288"/>
        <v>#NAME?</v>
      </c>
      <c r="I1608" s="100" t="e">
        <f t="shared" ca="1" si="289"/>
        <v>#NAME?</v>
      </c>
      <c r="J1608" s="100" t="e">
        <f ca="1">IFERROR(__xludf.DUMMYFUNCTION("""COMPUTED_VALUE"""),"0")</f>
        <v>#NAME?</v>
      </c>
      <c r="K1608" s="100" t="e">
        <f t="shared" ca="1" si="290"/>
        <v>#NAME?</v>
      </c>
      <c r="L1608" s="100"/>
      <c r="M1608" s="100"/>
      <c r="N1608" s="100"/>
      <c r="O1608" s="100"/>
      <c r="P1608" s="100"/>
      <c r="Q1608" s="100"/>
      <c r="R1608" s="100"/>
      <c r="S1608" s="100"/>
      <c r="T1608" s="100"/>
      <c r="U1608" s="100"/>
      <c r="V1608" s="100"/>
      <c r="W1608" s="100"/>
      <c r="X1608" s="100"/>
      <c r="Y1608" s="100"/>
      <c r="Z1608" s="100"/>
    </row>
    <row r="1609" spans="1:26">
      <c r="A1609" s="100" t="e">
        <f ca="1">IFERROR(__xludf.DUMMYFUNCTION("""COMPUTED_VALUE"""),58784944)</f>
        <v>#NAME?</v>
      </c>
      <c r="B1609" s="100" t="e">
        <f ca="1">IFERROR(__xludf.DUMMYFUNCTION("""COMPUTED_VALUE"""),"SOLAUD")</f>
        <v>#NAME?</v>
      </c>
      <c r="C1609" s="100" t="e">
        <f ca="1">IFERROR(__xludf.DUMMYFUNCTION("""COMPUTED_VALUE"""),"28.48000000")</f>
        <v>#NAME?</v>
      </c>
      <c r="D1609" s="100" t="e">
        <f t="shared" ca="1" si="285"/>
        <v>#NAME?</v>
      </c>
      <c r="E1609" s="100" t="e">
        <f t="shared" ca="1" si="285"/>
        <v>#NAME?</v>
      </c>
      <c r="F1609" s="100" t="e">
        <f t="shared" ca="1" si="286"/>
        <v>#NAME?</v>
      </c>
      <c r="G1609" s="100" t="e">
        <f t="shared" ca="1" si="287"/>
        <v>#NAME?</v>
      </c>
      <c r="H1609" s="100" t="e">
        <f t="shared" ca="1" si="288"/>
        <v>#NAME?</v>
      </c>
      <c r="I1609" s="100" t="e">
        <f t="shared" ca="1" si="289"/>
        <v>#NAME?</v>
      </c>
      <c r="J1609" s="100" t="e">
        <f ca="1">IFERROR(__xludf.DUMMYFUNCTION("""COMPUTED_VALUE"""),"0")</f>
        <v>#NAME?</v>
      </c>
      <c r="K1609" s="100" t="e">
        <f t="shared" ca="1" si="290"/>
        <v>#NAME?</v>
      </c>
      <c r="L1609" s="100"/>
      <c r="M1609" s="100"/>
      <c r="N1609" s="100"/>
      <c r="O1609" s="100"/>
      <c r="P1609" s="100"/>
      <c r="Q1609" s="100"/>
      <c r="R1609" s="100"/>
      <c r="S1609" s="100"/>
      <c r="T1609" s="100"/>
      <c r="U1609" s="100"/>
      <c r="V1609" s="100"/>
      <c r="W1609" s="100"/>
      <c r="X1609" s="100"/>
      <c r="Y1609" s="100"/>
      <c r="Z1609" s="100"/>
    </row>
    <row r="1610" spans="1:26">
      <c r="A1610" s="100" t="e">
        <f ca="1">IFERROR(__xludf.DUMMYFUNCTION("""COMPUTED_VALUE"""),58784945)</f>
        <v>#NAME?</v>
      </c>
      <c r="B1610" s="100" t="e">
        <f ca="1">IFERROR(__xludf.DUMMYFUNCTION("""COMPUTED_VALUE"""),"XRPBIDR")</f>
        <v>#NAME?</v>
      </c>
      <c r="C1610" s="100" t="e">
        <f ca="1">IFERROR(__xludf.DUMMYFUNCTION("""COMPUTED_VALUE"""),"7835.00")</f>
        <v>#NAME?</v>
      </c>
      <c r="D1610" s="100" t="e">
        <f t="shared" ca="1" si="285"/>
        <v>#NAME?</v>
      </c>
      <c r="E1610" s="100" t="e">
        <f t="shared" ca="1" si="285"/>
        <v>#NAME?</v>
      </c>
      <c r="F1610" s="100" t="e">
        <f t="shared" ca="1" si="286"/>
        <v>#NAME?</v>
      </c>
      <c r="G1610" s="100" t="e">
        <f t="shared" ca="1" si="287"/>
        <v>#NAME?</v>
      </c>
      <c r="H1610" s="100" t="e">
        <f t="shared" ca="1" si="288"/>
        <v>#NAME?</v>
      </c>
      <c r="I1610" s="100" t="e">
        <f t="shared" ca="1" si="289"/>
        <v>#NAME?</v>
      </c>
      <c r="J1610" s="100" t="e">
        <f ca="1">IFERROR(__xludf.DUMMYFUNCTION("""COMPUTED_VALUE"""),"0")</f>
        <v>#NAME?</v>
      </c>
      <c r="K1610" s="100" t="e">
        <f t="shared" ca="1" si="290"/>
        <v>#NAME?</v>
      </c>
      <c r="L1610" s="100"/>
      <c r="M1610" s="100"/>
      <c r="N1610" s="100"/>
      <c r="O1610" s="100"/>
      <c r="P1610" s="100"/>
      <c r="Q1610" s="100"/>
      <c r="R1610" s="100"/>
      <c r="S1610" s="100"/>
      <c r="T1610" s="100"/>
      <c r="U1610" s="100"/>
      <c r="V1610" s="100"/>
      <c r="W1610" s="100"/>
      <c r="X1610" s="100"/>
      <c r="Y1610" s="100"/>
      <c r="Z1610" s="100"/>
    </row>
    <row r="1611" spans="1:26">
      <c r="A1611" s="100" t="e">
        <f ca="1">IFERROR(__xludf.DUMMYFUNCTION("""COMPUTED_VALUE"""),58784946)</f>
        <v>#NAME?</v>
      </c>
      <c r="B1611" s="100" t="e">
        <f ca="1">IFERROR(__xludf.DUMMYFUNCTION("""COMPUTED_VALUE"""),"POLYBUSD")</f>
        <v>#NAME?</v>
      </c>
      <c r="C1611" s="100" t="e">
        <f ca="1">IFERROR(__xludf.DUMMYFUNCTION("""COMPUTED_VALUE"""),"0.27000000")</f>
        <v>#NAME?</v>
      </c>
      <c r="D1611" s="100" t="e">
        <f t="shared" ca="1" si="285"/>
        <v>#NAME?</v>
      </c>
      <c r="E1611" s="100" t="e">
        <f t="shared" ca="1" si="285"/>
        <v>#NAME?</v>
      </c>
      <c r="F1611" s="100" t="e">
        <f t="shared" ca="1" si="286"/>
        <v>#NAME?</v>
      </c>
      <c r="G1611" s="100" t="e">
        <f t="shared" ca="1" si="287"/>
        <v>#NAME?</v>
      </c>
      <c r="H1611" s="100" t="e">
        <f t="shared" ca="1" si="288"/>
        <v>#NAME?</v>
      </c>
      <c r="I1611" s="100" t="e">
        <f t="shared" ca="1" si="289"/>
        <v>#NAME?</v>
      </c>
      <c r="J1611" s="100" t="e">
        <f ca="1">IFERROR(__xludf.DUMMYFUNCTION("""COMPUTED_VALUE"""),"0")</f>
        <v>#NAME?</v>
      </c>
      <c r="K1611" s="100" t="e">
        <f t="shared" ca="1" si="290"/>
        <v>#NAME?</v>
      </c>
      <c r="L1611" s="100"/>
      <c r="M1611" s="100"/>
      <c r="N1611" s="100"/>
      <c r="O1611" s="100"/>
      <c r="P1611" s="100"/>
      <c r="Q1611" s="100"/>
      <c r="R1611" s="100"/>
      <c r="S1611" s="100"/>
      <c r="T1611" s="100"/>
      <c r="U1611" s="100"/>
      <c r="V1611" s="100"/>
      <c r="W1611" s="100"/>
      <c r="X1611" s="100"/>
      <c r="Y1611" s="100"/>
      <c r="Z1611" s="100"/>
    </row>
    <row r="1612" spans="1:26">
      <c r="A1612" s="100" t="e">
        <f ca="1">IFERROR(__xludf.DUMMYFUNCTION("""COMPUTED_VALUE"""),58784947)</f>
        <v>#NAME?</v>
      </c>
      <c r="B1612" s="100" t="e">
        <f ca="1">IFERROR(__xludf.DUMMYFUNCTION("""COMPUTED_VALUE"""),"ELFUSDT")</f>
        <v>#NAME?</v>
      </c>
      <c r="C1612" s="100" t="e">
        <f ca="1">IFERROR(__xludf.DUMMYFUNCTION("""COMPUTED_VALUE"""),"0.22720000")</f>
        <v>#NAME?</v>
      </c>
      <c r="D1612" s="100" t="e">
        <f t="shared" ca="1" si="285"/>
        <v>#NAME?</v>
      </c>
      <c r="E1612" s="100" t="e">
        <f t="shared" ca="1" si="285"/>
        <v>#NAME?</v>
      </c>
      <c r="F1612" s="100" t="e">
        <f t="shared" ca="1" si="286"/>
        <v>#NAME?</v>
      </c>
      <c r="G1612" s="100" t="e">
        <f t="shared" ca="1" si="287"/>
        <v>#NAME?</v>
      </c>
      <c r="H1612" s="100" t="e">
        <f t="shared" ca="1" si="288"/>
        <v>#NAME?</v>
      </c>
      <c r="I1612" s="100" t="e">
        <f t="shared" ca="1" si="289"/>
        <v>#NAME?</v>
      </c>
      <c r="J1612" s="100" t="e">
        <f ca="1">IFERROR(__xludf.DUMMYFUNCTION("""COMPUTED_VALUE"""),"9.021")</f>
        <v>#NAME?</v>
      </c>
      <c r="K1612" s="100" t="e">
        <f t="shared" ca="1" si="290"/>
        <v>#NAME?</v>
      </c>
      <c r="L1612" s="100"/>
      <c r="M1612" s="100"/>
      <c r="N1612" s="100"/>
      <c r="O1612" s="100"/>
      <c r="P1612" s="100"/>
      <c r="Q1612" s="100"/>
      <c r="R1612" s="100"/>
      <c r="S1612" s="100"/>
      <c r="T1612" s="100"/>
      <c r="U1612" s="100"/>
      <c r="V1612" s="100"/>
      <c r="W1612" s="100"/>
      <c r="X1612" s="100"/>
      <c r="Y1612" s="100"/>
      <c r="Z1612" s="100"/>
    </row>
    <row r="1613" spans="1:26">
      <c r="A1613" s="100" t="e">
        <f ca="1">IFERROR(__xludf.DUMMYFUNCTION("""COMPUTED_VALUE"""),58784948)</f>
        <v>#NAME?</v>
      </c>
      <c r="B1613" s="100" t="e">
        <f ca="1">IFERROR(__xludf.DUMMYFUNCTION("""COMPUTED_VALUE"""),"DYDXUSDT")</f>
        <v>#NAME?</v>
      </c>
      <c r="C1613" s="100" t="e">
        <f ca="1">IFERROR(__xludf.DUMMYFUNCTION("""COMPUTED_VALUE"""),"0.58560000")</f>
        <v>#NAME?</v>
      </c>
      <c r="D1613" s="100" t="e">
        <f t="shared" ca="1" si="285"/>
        <v>#NAME?</v>
      </c>
      <c r="E1613" s="100" t="e">
        <f t="shared" ca="1" si="285"/>
        <v>#NAME?</v>
      </c>
      <c r="F1613" s="100" t="e">
        <f t="shared" ca="1" si="286"/>
        <v>#NAME?</v>
      </c>
      <c r="G1613" s="100" t="e">
        <f t="shared" ca="1" si="287"/>
        <v>#NAME?</v>
      </c>
      <c r="H1613" s="100" t="e">
        <f t="shared" ca="1" si="288"/>
        <v>#NAME?</v>
      </c>
      <c r="I1613" s="100" t="e">
        <f t="shared" ca="1" si="289"/>
        <v>#NAME?</v>
      </c>
      <c r="J1613" s="100" t="e">
        <f ca="1">IFERROR(__xludf.DUMMYFUNCTION("""COMPUTED_VALUE"""),"-3.223")</f>
        <v>#NAME?</v>
      </c>
      <c r="K1613" s="100" t="e">
        <f t="shared" ca="1" si="290"/>
        <v>#NAME?</v>
      </c>
      <c r="L1613" s="100"/>
      <c r="M1613" s="100"/>
      <c r="N1613" s="100"/>
      <c r="O1613" s="100"/>
      <c r="P1613" s="100"/>
      <c r="Q1613" s="100"/>
      <c r="R1613" s="100"/>
      <c r="S1613" s="100"/>
      <c r="T1613" s="100"/>
      <c r="U1613" s="100"/>
      <c r="V1613" s="100"/>
      <c r="W1613" s="100"/>
      <c r="X1613" s="100"/>
      <c r="Y1613" s="100"/>
      <c r="Z1613" s="100"/>
    </row>
    <row r="1614" spans="1:26">
      <c r="A1614" s="100" t="e">
        <f ca="1">IFERROR(__xludf.DUMMYFUNCTION("""COMPUTED_VALUE"""),58784949)</f>
        <v>#NAME?</v>
      </c>
      <c r="B1614" s="100" t="e">
        <f ca="1">IFERROR(__xludf.DUMMYFUNCTION("""COMPUTED_VALUE"""),"DYDXBUSD")</f>
        <v>#NAME?</v>
      </c>
      <c r="C1614" s="100" t="e">
        <f ca="1">IFERROR(__xludf.DUMMYFUNCTION("""COMPUTED_VALUE"""),"3.77100000")</f>
        <v>#NAME?</v>
      </c>
      <c r="D1614" s="100" t="e">
        <f t="shared" ca="1" si="285"/>
        <v>#NAME?</v>
      </c>
      <c r="E1614" s="100" t="e">
        <f t="shared" ca="1" si="285"/>
        <v>#NAME?</v>
      </c>
      <c r="F1614" s="100" t="e">
        <f t="shared" ca="1" si="286"/>
        <v>#NAME?</v>
      </c>
      <c r="G1614" s="100" t="e">
        <f t="shared" ca="1" si="287"/>
        <v>#NAME?</v>
      </c>
      <c r="H1614" s="100" t="e">
        <f t="shared" ca="1" si="288"/>
        <v>#NAME?</v>
      </c>
      <c r="I1614" s="100" t="e">
        <f t="shared" ca="1" si="289"/>
        <v>#NAME?</v>
      </c>
      <c r="J1614" s="100" t="e">
        <f ca="1">IFERROR(__xludf.DUMMYFUNCTION("""COMPUTED_VALUE"""),"0")</f>
        <v>#NAME?</v>
      </c>
      <c r="K1614" s="100" t="e">
        <f t="shared" ca="1" si="290"/>
        <v>#NAME?</v>
      </c>
      <c r="L1614" s="100"/>
      <c r="M1614" s="100"/>
      <c r="N1614" s="100"/>
      <c r="O1614" s="100"/>
      <c r="P1614" s="100"/>
      <c r="Q1614" s="100"/>
      <c r="R1614" s="100"/>
      <c r="S1614" s="100"/>
      <c r="T1614" s="100"/>
      <c r="U1614" s="100"/>
      <c r="V1614" s="100"/>
      <c r="W1614" s="100"/>
      <c r="X1614" s="100"/>
      <c r="Y1614" s="100"/>
      <c r="Z1614" s="100"/>
    </row>
    <row r="1615" spans="1:26">
      <c r="A1615" s="100" t="e">
        <f ca="1">IFERROR(__xludf.DUMMYFUNCTION("""COMPUTED_VALUE"""),58784950)</f>
        <v>#NAME?</v>
      </c>
      <c r="B1615" s="100" t="e">
        <f ca="1">IFERROR(__xludf.DUMMYFUNCTION("""COMPUTED_VALUE"""),"DYDXBNB")</f>
        <v>#NAME?</v>
      </c>
      <c r="C1615" s="100" t="e">
        <f ca="1">IFERROR(__xludf.DUMMYFUNCTION("""COMPUTED_VALUE"""),"0.00333300")</f>
        <v>#NAME?</v>
      </c>
      <c r="D1615" s="100" t="e">
        <f t="shared" ca="1" si="285"/>
        <v>#NAME?</v>
      </c>
      <c r="E1615" s="100" t="e">
        <f t="shared" ca="1" si="285"/>
        <v>#NAME?</v>
      </c>
      <c r="F1615" s="100" t="e">
        <f t="shared" ca="1" si="286"/>
        <v>#NAME?</v>
      </c>
      <c r="G1615" s="100" t="e">
        <f t="shared" ca="1" si="287"/>
        <v>#NAME?</v>
      </c>
      <c r="H1615" s="100" t="e">
        <f t="shared" ca="1" si="288"/>
        <v>#NAME?</v>
      </c>
      <c r="I1615" s="100" t="e">
        <f t="shared" ca="1" si="289"/>
        <v>#NAME?</v>
      </c>
      <c r="J1615" s="100" t="e">
        <f ca="1">IFERROR(__xludf.DUMMYFUNCTION("""COMPUTED_VALUE"""),"0")</f>
        <v>#NAME?</v>
      </c>
      <c r="K1615" s="100" t="e">
        <f t="shared" ca="1" si="290"/>
        <v>#NAME?</v>
      </c>
      <c r="L1615" s="100"/>
      <c r="M1615" s="100"/>
      <c r="N1615" s="100"/>
      <c r="O1615" s="100"/>
      <c r="P1615" s="100"/>
      <c r="Q1615" s="100"/>
      <c r="R1615" s="100"/>
      <c r="S1615" s="100"/>
      <c r="T1615" s="100"/>
      <c r="U1615" s="100"/>
      <c r="V1615" s="100"/>
      <c r="W1615" s="100"/>
      <c r="X1615" s="100"/>
      <c r="Y1615" s="100"/>
      <c r="Z1615" s="100"/>
    </row>
    <row r="1616" spans="1:26">
      <c r="A1616" s="100" t="e">
        <f ca="1">IFERROR(__xludf.DUMMYFUNCTION("""COMPUTED_VALUE"""),58784951)</f>
        <v>#NAME?</v>
      </c>
      <c r="B1616" s="100" t="e">
        <f ca="1">IFERROR(__xludf.DUMMYFUNCTION("""COMPUTED_VALUE"""),"DYDXBTC")</f>
        <v>#NAME?</v>
      </c>
      <c r="C1616" s="100" t="e">
        <f ca="1">IFERROR(__xludf.DUMMYFUNCTION("""COMPUTED_VALUE"""),"0.00000661")</f>
        <v>#NAME?</v>
      </c>
      <c r="D1616" s="100" t="e">
        <f t="shared" ca="1" si="285"/>
        <v>#NAME?</v>
      </c>
      <c r="E1616" s="100" t="e">
        <f t="shared" ca="1" si="285"/>
        <v>#NAME?</v>
      </c>
      <c r="F1616" s="100" t="e">
        <f t="shared" ca="1" si="286"/>
        <v>#NAME?</v>
      </c>
      <c r="G1616" s="100" t="e">
        <f t="shared" ca="1" si="287"/>
        <v>#NAME?</v>
      </c>
      <c r="H1616" s="100" t="e">
        <f t="shared" ca="1" si="288"/>
        <v>#NAME?</v>
      </c>
      <c r="I1616" s="100" t="e">
        <f t="shared" ca="1" si="289"/>
        <v>#NAME?</v>
      </c>
      <c r="J1616" s="100" t="e">
        <f ca="1">IFERROR(__xludf.DUMMYFUNCTION("""COMPUTED_VALUE"""),"-4.618")</f>
        <v>#NAME?</v>
      </c>
      <c r="K1616" s="100" t="e">
        <f t="shared" ca="1" si="290"/>
        <v>#NAME?</v>
      </c>
      <c r="L1616" s="100"/>
      <c r="M1616" s="100"/>
      <c r="N1616" s="100"/>
      <c r="O1616" s="100"/>
      <c r="P1616" s="100"/>
      <c r="Q1616" s="100"/>
      <c r="R1616" s="100"/>
      <c r="S1616" s="100"/>
      <c r="T1616" s="100"/>
      <c r="U1616" s="100"/>
      <c r="V1616" s="100"/>
      <c r="W1616" s="100"/>
      <c r="X1616" s="100"/>
      <c r="Y1616" s="100"/>
      <c r="Z1616" s="100"/>
    </row>
    <row r="1617" spans="1:26">
      <c r="A1617" s="100" t="e">
        <f ca="1">IFERROR(__xludf.DUMMYFUNCTION("""COMPUTED_VALUE"""),58784952)</f>
        <v>#NAME?</v>
      </c>
      <c r="B1617" s="100" t="e">
        <f ca="1">IFERROR(__xludf.DUMMYFUNCTION("""COMPUTED_VALUE"""),"ELFBUSD")</f>
        <v>#NAME?</v>
      </c>
      <c r="C1617" s="100" t="e">
        <f ca="1">IFERROR(__xludf.DUMMYFUNCTION("""COMPUTED_VALUE"""),"0.34030000")</f>
        <v>#NAME?</v>
      </c>
      <c r="D1617" s="100" t="e">
        <f t="shared" ca="1" si="285"/>
        <v>#NAME?</v>
      </c>
      <c r="E1617" s="100" t="e">
        <f t="shared" ca="1" si="285"/>
        <v>#NAME?</v>
      </c>
      <c r="F1617" s="100" t="e">
        <f t="shared" ca="1" si="286"/>
        <v>#NAME?</v>
      </c>
      <c r="G1617" s="100" t="e">
        <f t="shared" ca="1" si="287"/>
        <v>#NAME?</v>
      </c>
      <c r="H1617" s="100" t="e">
        <f t="shared" ca="1" si="288"/>
        <v>#NAME?</v>
      </c>
      <c r="I1617" s="100" t="e">
        <f t="shared" ca="1" si="289"/>
        <v>#NAME?</v>
      </c>
      <c r="J1617" s="100" t="e">
        <f ca="1">IFERROR(__xludf.DUMMYFUNCTION("""COMPUTED_VALUE"""),"0")</f>
        <v>#NAME?</v>
      </c>
      <c r="K1617" s="100" t="e">
        <f t="shared" ca="1" si="290"/>
        <v>#NAME?</v>
      </c>
      <c r="L1617" s="100"/>
      <c r="M1617" s="100"/>
      <c r="N1617" s="100"/>
      <c r="O1617" s="100"/>
      <c r="P1617" s="100"/>
      <c r="Q1617" s="100"/>
      <c r="R1617" s="100"/>
      <c r="S1617" s="100"/>
      <c r="T1617" s="100"/>
      <c r="U1617" s="100"/>
      <c r="V1617" s="100"/>
      <c r="W1617" s="100"/>
      <c r="X1617" s="100"/>
      <c r="Y1617" s="100"/>
      <c r="Z1617" s="100"/>
    </row>
    <row r="1618" spans="1:26">
      <c r="A1618" s="100" t="e">
        <f ca="1">IFERROR(__xludf.DUMMYFUNCTION("""COMPUTED_VALUE"""),58784953)</f>
        <v>#NAME?</v>
      </c>
      <c r="B1618" s="100" t="e">
        <f ca="1">IFERROR(__xludf.DUMMYFUNCTION("""COMPUTED_VALUE"""),"POLYUSDT")</f>
        <v>#NAME?</v>
      </c>
      <c r="C1618" s="100" t="e">
        <f ca="1">IFERROR(__xludf.DUMMYFUNCTION("""COMPUTED_VALUE"""),"0.26960000")</f>
        <v>#NAME?</v>
      </c>
      <c r="D1618" s="100" t="e">
        <f t="shared" ca="1" si="285"/>
        <v>#NAME?</v>
      </c>
      <c r="E1618" s="100" t="e">
        <f t="shared" ca="1" si="285"/>
        <v>#NAME?</v>
      </c>
      <c r="F1618" s="100" t="e">
        <f t="shared" ca="1" si="286"/>
        <v>#NAME?</v>
      </c>
      <c r="G1618" s="100" t="e">
        <f t="shared" ca="1" si="287"/>
        <v>#NAME?</v>
      </c>
      <c r="H1618" s="100" t="e">
        <f t="shared" ca="1" si="288"/>
        <v>#NAME?</v>
      </c>
      <c r="I1618" s="100" t="e">
        <f t="shared" ca="1" si="289"/>
        <v>#NAME?</v>
      </c>
      <c r="J1618" s="100" t="e">
        <f ca="1">IFERROR(__xludf.DUMMYFUNCTION("""COMPUTED_VALUE"""),"0")</f>
        <v>#NAME?</v>
      </c>
      <c r="K1618" s="100" t="e">
        <f t="shared" ca="1" si="290"/>
        <v>#NAME?</v>
      </c>
      <c r="L1618" s="100"/>
      <c r="M1618" s="100"/>
      <c r="N1618" s="100"/>
      <c r="O1618" s="100"/>
      <c r="P1618" s="100"/>
      <c r="Q1618" s="100"/>
      <c r="R1618" s="100"/>
      <c r="S1618" s="100"/>
      <c r="T1618" s="100"/>
      <c r="U1618" s="100"/>
      <c r="V1618" s="100"/>
      <c r="W1618" s="100"/>
      <c r="X1618" s="100"/>
      <c r="Y1618" s="100"/>
      <c r="Z1618" s="100"/>
    </row>
    <row r="1619" spans="1:26">
      <c r="A1619" s="100" t="e">
        <f ca="1">IFERROR(__xludf.DUMMYFUNCTION("""COMPUTED_VALUE"""),58784954)</f>
        <v>#NAME?</v>
      </c>
      <c r="B1619" s="100" t="e">
        <f ca="1">IFERROR(__xludf.DUMMYFUNCTION("""COMPUTED_VALUE"""),"IDEXUSDT")</f>
        <v>#NAME?</v>
      </c>
      <c r="C1619" s="100" t="e">
        <f ca="1">IFERROR(__xludf.DUMMYFUNCTION("""COMPUTED_VALUE"""),"0.02373000")</f>
        <v>#NAME?</v>
      </c>
      <c r="D1619" s="100" t="e">
        <f t="shared" ca="1" si="285"/>
        <v>#NAME?</v>
      </c>
      <c r="E1619" s="100" t="e">
        <f t="shared" ca="1" si="285"/>
        <v>#NAME?</v>
      </c>
      <c r="F1619" s="100" t="e">
        <f t="shared" ca="1" si="286"/>
        <v>#NAME?</v>
      </c>
      <c r="G1619" s="100" t="e">
        <f t="shared" ca="1" si="287"/>
        <v>#NAME?</v>
      </c>
      <c r="H1619" s="100" t="e">
        <f t="shared" ca="1" si="288"/>
        <v>#NAME?</v>
      </c>
      <c r="I1619" s="100" t="e">
        <f t="shared" ca="1" si="289"/>
        <v>#NAME?</v>
      </c>
      <c r="J1619" s="100" t="e">
        <f ca="1">IFERROR(__xludf.DUMMYFUNCTION("""COMPUTED_VALUE"""),"0.127")</f>
        <v>#NAME?</v>
      </c>
      <c r="K1619" s="100" t="e">
        <f t="shared" ca="1" si="290"/>
        <v>#NAME?</v>
      </c>
      <c r="L1619" s="100"/>
      <c r="M1619" s="100"/>
      <c r="N1619" s="100"/>
      <c r="O1619" s="100"/>
      <c r="P1619" s="100"/>
      <c r="Q1619" s="100"/>
      <c r="R1619" s="100"/>
      <c r="S1619" s="100"/>
      <c r="T1619" s="100"/>
      <c r="U1619" s="100"/>
      <c r="V1619" s="100"/>
      <c r="W1619" s="100"/>
      <c r="X1619" s="100"/>
      <c r="Y1619" s="100"/>
      <c r="Z1619" s="100"/>
    </row>
    <row r="1620" spans="1:26">
      <c r="A1620" s="100" t="e">
        <f ca="1">IFERROR(__xludf.DUMMYFUNCTION("""COMPUTED_VALUE"""),58784955)</f>
        <v>#NAME?</v>
      </c>
      <c r="B1620" s="100" t="e">
        <f ca="1">IFERROR(__xludf.DUMMYFUNCTION("""COMPUTED_VALUE"""),"VIDTUSDT")</f>
        <v>#NAME?</v>
      </c>
      <c r="C1620" s="100" t="e">
        <f ca="1">IFERROR(__xludf.DUMMYFUNCTION("""COMPUTED_VALUE"""),"0.00115000")</f>
        <v>#NAME?</v>
      </c>
      <c r="D1620" s="100" t="e">
        <f t="shared" ca="1" si="285"/>
        <v>#NAME?</v>
      </c>
      <c r="E1620" s="100" t="e">
        <f t="shared" ca="1" si="285"/>
        <v>#NAME?</v>
      </c>
      <c r="F1620" s="100" t="e">
        <f t="shared" ca="1" si="286"/>
        <v>#NAME?</v>
      </c>
      <c r="G1620" s="100" t="e">
        <f t="shared" ca="1" si="287"/>
        <v>#NAME?</v>
      </c>
      <c r="H1620" s="100" t="e">
        <f t="shared" ca="1" si="288"/>
        <v>#NAME?</v>
      </c>
      <c r="I1620" s="100" t="e">
        <f t="shared" ca="1" si="289"/>
        <v>#NAME?</v>
      </c>
      <c r="J1620" s="100" t="e">
        <f ca="1">IFERROR(__xludf.DUMMYFUNCTION("""COMPUTED_VALUE"""),"-43.627")</f>
        <v>#NAME?</v>
      </c>
      <c r="K1620" s="100" t="e">
        <f t="shared" ca="1" si="290"/>
        <v>#NAME?</v>
      </c>
      <c r="L1620" s="100"/>
      <c r="M1620" s="100"/>
      <c r="N1620" s="100"/>
      <c r="O1620" s="100"/>
      <c r="P1620" s="100"/>
      <c r="Q1620" s="100"/>
      <c r="R1620" s="100"/>
      <c r="S1620" s="100"/>
      <c r="T1620" s="100"/>
      <c r="U1620" s="100"/>
      <c r="V1620" s="100"/>
      <c r="W1620" s="100"/>
      <c r="X1620" s="100"/>
      <c r="Y1620" s="100"/>
      <c r="Z1620" s="100"/>
    </row>
    <row r="1621" spans="1:26">
      <c r="A1621" s="100" t="e">
        <f ca="1">IFERROR(__xludf.DUMMYFUNCTION("""COMPUTED_VALUE"""),58784956)</f>
        <v>#NAME?</v>
      </c>
      <c r="B1621" s="100" t="e">
        <f ca="1">IFERROR(__xludf.DUMMYFUNCTION("""COMPUTED_VALUE"""),"SOLBIDR")</f>
        <v>#NAME?</v>
      </c>
      <c r="C1621" s="100" t="e">
        <f ca="1">IFERROR(__xludf.DUMMYFUNCTION("""COMPUTED_VALUE"""),"311087.00")</f>
        <v>#NAME?</v>
      </c>
      <c r="D1621" s="100" t="e">
        <f t="shared" ca="1" si="285"/>
        <v>#NAME?</v>
      </c>
      <c r="E1621" s="100" t="e">
        <f t="shared" ca="1" si="285"/>
        <v>#NAME?</v>
      </c>
      <c r="F1621" s="100" t="e">
        <f t="shared" ca="1" si="286"/>
        <v>#NAME?</v>
      </c>
      <c r="G1621" s="100" t="e">
        <f t="shared" ca="1" si="287"/>
        <v>#NAME?</v>
      </c>
      <c r="H1621" s="100" t="e">
        <f t="shared" ca="1" si="288"/>
        <v>#NAME?</v>
      </c>
      <c r="I1621" s="100" t="e">
        <f t="shared" ca="1" si="289"/>
        <v>#NAME?</v>
      </c>
      <c r="J1621" s="100" t="e">
        <f t="shared" ref="J1621:J1626" ca="1" si="291">IFERROR(__xludf.DUMMYFUNCTION("""COMPUTED_VALUE"""),"0")</f>
        <v>#NAME?</v>
      </c>
      <c r="K1621" s="100" t="e">
        <f t="shared" ca="1" si="290"/>
        <v>#NAME?</v>
      </c>
      <c r="L1621" s="100"/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</row>
    <row r="1622" spans="1:26">
      <c r="A1622" s="100" t="e">
        <f ca="1">IFERROR(__xludf.DUMMYFUNCTION("""COMPUTED_VALUE"""),58784957)</f>
        <v>#NAME?</v>
      </c>
      <c r="B1622" s="100" t="e">
        <f ca="1">IFERROR(__xludf.DUMMYFUNCTION("""COMPUTED_VALUE"""),"AXSBIDR")</f>
        <v>#NAME?</v>
      </c>
      <c r="C1622" s="100" t="e">
        <f ca="1">IFERROR(__xludf.DUMMYFUNCTION("""COMPUTED_VALUE"""),"72500.00")</f>
        <v>#NAME?</v>
      </c>
      <c r="D1622" s="100" t="e">
        <f t="shared" ref="D1622:E1641" ca="1" si="292">IFERROR(__xludf.DUMMYFUNCTION("""COMPUTED_VALUE"""),"-")</f>
        <v>#NAME?</v>
      </c>
      <c r="E1622" s="100" t="e">
        <f t="shared" ca="1" si="292"/>
        <v>#NAME?</v>
      </c>
      <c r="F1622" s="100" t="e">
        <f t="shared" ca="1" si="286"/>
        <v>#NAME?</v>
      </c>
      <c r="G1622" s="100" t="e">
        <f t="shared" ca="1" si="287"/>
        <v>#NAME?</v>
      </c>
      <c r="H1622" s="100" t="e">
        <f t="shared" ca="1" si="288"/>
        <v>#NAME?</v>
      </c>
      <c r="I1622" s="100" t="e">
        <f t="shared" ca="1" si="289"/>
        <v>#NAME?</v>
      </c>
      <c r="J1622" s="100" t="e">
        <f t="shared" ca="1" si="291"/>
        <v>#NAME?</v>
      </c>
      <c r="K1622" s="100" t="e">
        <f t="shared" ca="1" si="290"/>
        <v>#NAME?</v>
      </c>
      <c r="L1622" s="100"/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</row>
    <row r="1623" spans="1:26">
      <c r="A1623" s="100" t="e">
        <f ca="1">IFERROR(__xludf.DUMMYFUNCTION("""COMPUTED_VALUE"""),58784958)</f>
        <v>#NAME?</v>
      </c>
      <c r="B1623" s="100" t="e">
        <f ca="1">IFERROR(__xludf.DUMMYFUNCTION("""COMPUTED_VALUE"""),"BTCUSDP")</f>
        <v>#NAME?</v>
      </c>
      <c r="C1623" s="100" t="e">
        <f ca="1">IFERROR(__xludf.DUMMYFUNCTION("""COMPUTED_VALUE"""),"19435.03000000")</f>
        <v>#NAME?</v>
      </c>
      <c r="D1623" s="100" t="e">
        <f t="shared" ca="1" si="292"/>
        <v>#NAME?</v>
      </c>
      <c r="E1623" s="100" t="e">
        <f t="shared" ca="1" si="292"/>
        <v>#NAME?</v>
      </c>
      <c r="F1623" s="100" t="e">
        <f t="shared" ca="1" si="286"/>
        <v>#NAME?</v>
      </c>
      <c r="G1623" s="100" t="e">
        <f t="shared" ca="1" si="287"/>
        <v>#NAME?</v>
      </c>
      <c r="H1623" s="100" t="e">
        <f t="shared" ca="1" si="288"/>
        <v>#NAME?</v>
      </c>
      <c r="I1623" s="100" t="e">
        <f t="shared" ca="1" si="289"/>
        <v>#NAME?</v>
      </c>
      <c r="J1623" s="100" t="e">
        <f t="shared" ca="1" si="291"/>
        <v>#NAME?</v>
      </c>
      <c r="K1623" s="100" t="e">
        <f t="shared" ca="1" si="290"/>
        <v>#NAME?</v>
      </c>
      <c r="L1623" s="100"/>
      <c r="M1623" s="100"/>
      <c r="N1623" s="100"/>
      <c r="O1623" s="100"/>
      <c r="P1623" s="100"/>
      <c r="Q1623" s="100"/>
      <c r="R1623" s="100"/>
      <c r="S1623" s="100"/>
      <c r="T1623" s="100"/>
      <c r="U1623" s="100"/>
      <c r="V1623" s="100"/>
      <c r="W1623" s="100"/>
      <c r="X1623" s="100"/>
      <c r="Y1623" s="100"/>
      <c r="Z1623" s="100"/>
    </row>
    <row r="1624" spans="1:26">
      <c r="A1624" s="100" t="e">
        <f ca="1">IFERROR(__xludf.DUMMYFUNCTION("""COMPUTED_VALUE"""),58784959)</f>
        <v>#NAME?</v>
      </c>
      <c r="B1624" s="100" t="e">
        <f ca="1">IFERROR(__xludf.DUMMYFUNCTION("""COMPUTED_VALUE"""),"ETHUSDP")</f>
        <v>#NAME?</v>
      </c>
      <c r="C1624" s="100" t="e">
        <f ca="1">IFERROR(__xludf.DUMMYFUNCTION("""COMPUTED_VALUE"""),"1344.37000000")</f>
        <v>#NAME?</v>
      </c>
      <c r="D1624" s="100" t="e">
        <f t="shared" ca="1" si="292"/>
        <v>#NAME?</v>
      </c>
      <c r="E1624" s="100" t="e">
        <f t="shared" ca="1" si="292"/>
        <v>#NAME?</v>
      </c>
      <c r="F1624" s="100" t="e">
        <f t="shared" ca="1" si="286"/>
        <v>#NAME?</v>
      </c>
      <c r="G1624" s="100" t="e">
        <f t="shared" ca="1" si="287"/>
        <v>#NAME?</v>
      </c>
      <c r="H1624" s="100" t="e">
        <f t="shared" ca="1" si="288"/>
        <v>#NAME?</v>
      </c>
      <c r="I1624" s="100" t="e">
        <f t="shared" ca="1" si="289"/>
        <v>#NAME?</v>
      </c>
      <c r="J1624" s="100" t="e">
        <f t="shared" ca="1" si="291"/>
        <v>#NAME?</v>
      </c>
      <c r="K1624" s="100" t="e">
        <f t="shared" ca="1" si="290"/>
        <v>#NAME?</v>
      </c>
      <c r="L1624" s="100"/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</row>
    <row r="1625" spans="1:26">
      <c r="A1625" s="100" t="e">
        <f ca="1">IFERROR(__xludf.DUMMYFUNCTION("""COMPUTED_VALUE"""),58784960)</f>
        <v>#NAME?</v>
      </c>
      <c r="B1625" s="100" t="e">
        <f ca="1">IFERROR(__xludf.DUMMYFUNCTION("""COMPUTED_VALUE"""),"BNBUSDP")</f>
        <v>#NAME?</v>
      </c>
      <c r="C1625" s="100" t="e">
        <f ca="1">IFERROR(__xludf.DUMMYFUNCTION("""COMPUTED_VALUE"""),"282.09000000")</f>
        <v>#NAME?</v>
      </c>
      <c r="D1625" s="100" t="e">
        <f t="shared" ca="1" si="292"/>
        <v>#NAME?</v>
      </c>
      <c r="E1625" s="100" t="e">
        <f t="shared" ca="1" si="292"/>
        <v>#NAME?</v>
      </c>
      <c r="F1625" s="100" t="e">
        <f t="shared" ca="1" si="286"/>
        <v>#NAME?</v>
      </c>
      <c r="G1625" s="100" t="e">
        <f t="shared" ca="1" si="287"/>
        <v>#NAME?</v>
      </c>
      <c r="H1625" s="100" t="e">
        <f t="shared" ca="1" si="288"/>
        <v>#NAME?</v>
      </c>
      <c r="I1625" s="100" t="e">
        <f t="shared" ca="1" si="289"/>
        <v>#NAME?</v>
      </c>
      <c r="J1625" s="100" t="e">
        <f t="shared" ca="1" si="291"/>
        <v>#NAME?</v>
      </c>
      <c r="K1625" s="100" t="e">
        <f t="shared" ca="1" si="290"/>
        <v>#NAME?</v>
      </c>
      <c r="L1625" s="100"/>
      <c r="M1625" s="100"/>
      <c r="N1625" s="100"/>
      <c r="O1625" s="100"/>
      <c r="P1625" s="100"/>
      <c r="Q1625" s="100"/>
      <c r="R1625" s="100"/>
      <c r="S1625" s="100"/>
      <c r="T1625" s="100"/>
      <c r="U1625" s="100"/>
      <c r="V1625" s="100"/>
      <c r="W1625" s="100"/>
      <c r="X1625" s="100"/>
      <c r="Y1625" s="100"/>
      <c r="Z1625" s="100"/>
    </row>
    <row r="1626" spans="1:26">
      <c r="A1626" s="100" t="e">
        <f ca="1">IFERROR(__xludf.DUMMYFUNCTION("""COMPUTED_VALUE"""),58784961)</f>
        <v>#NAME?</v>
      </c>
      <c r="B1626" s="100" t="e">
        <f ca="1">IFERROR(__xludf.DUMMYFUNCTION("""COMPUTED_VALUE"""),"USDPBUSD")</f>
        <v>#NAME?</v>
      </c>
      <c r="C1626" s="100" t="e">
        <f ca="1">IFERROR(__xludf.DUMMYFUNCTION("""COMPUTED_VALUE"""),"1.00000000")</f>
        <v>#NAME?</v>
      </c>
      <c r="D1626" s="100" t="e">
        <f t="shared" ca="1" si="292"/>
        <v>#NAME?</v>
      </c>
      <c r="E1626" s="100" t="e">
        <f t="shared" ca="1" si="292"/>
        <v>#NAME?</v>
      </c>
      <c r="F1626" s="100" t="e">
        <f t="shared" ca="1" si="286"/>
        <v>#NAME?</v>
      </c>
      <c r="G1626" s="100" t="e">
        <f t="shared" ca="1" si="287"/>
        <v>#NAME?</v>
      </c>
      <c r="H1626" s="100" t="e">
        <f t="shared" ca="1" si="288"/>
        <v>#NAME?</v>
      </c>
      <c r="I1626" s="100" t="e">
        <f t="shared" ca="1" si="289"/>
        <v>#NAME?</v>
      </c>
      <c r="J1626" s="100" t="e">
        <f t="shared" ca="1" si="291"/>
        <v>#NAME?</v>
      </c>
      <c r="K1626" s="100" t="e">
        <f t="shared" ca="1" si="290"/>
        <v>#NAME?</v>
      </c>
      <c r="L1626" s="100"/>
      <c r="M1626" s="100"/>
      <c r="N1626" s="100"/>
      <c r="O1626" s="100"/>
      <c r="P1626" s="100"/>
      <c r="Q1626" s="100"/>
      <c r="R1626" s="100"/>
      <c r="S1626" s="100"/>
      <c r="T1626" s="100"/>
      <c r="U1626" s="100"/>
      <c r="V1626" s="100"/>
      <c r="W1626" s="100"/>
      <c r="X1626" s="100"/>
      <c r="Y1626" s="100"/>
      <c r="Z1626" s="100"/>
    </row>
    <row r="1627" spans="1:26">
      <c r="A1627" s="100" t="e">
        <f ca="1">IFERROR(__xludf.DUMMYFUNCTION("""COMPUTED_VALUE"""),58784962)</f>
        <v>#NAME?</v>
      </c>
      <c r="B1627" s="100" t="e">
        <f ca="1">IFERROR(__xludf.DUMMYFUNCTION("""COMPUTED_VALUE"""),"USDPUSDT")</f>
        <v>#NAME?</v>
      </c>
      <c r="C1627" s="100" t="e">
        <f ca="1">IFERROR(__xludf.DUMMYFUNCTION("""COMPUTED_VALUE"""),"1.00000000")</f>
        <v>#NAME?</v>
      </c>
      <c r="D1627" s="100" t="e">
        <f t="shared" ca="1" si="292"/>
        <v>#NAME?</v>
      </c>
      <c r="E1627" s="100" t="e">
        <f t="shared" ca="1" si="292"/>
        <v>#NAME?</v>
      </c>
      <c r="F1627" s="100" t="e">
        <f t="shared" ca="1" si="286"/>
        <v>#NAME?</v>
      </c>
      <c r="G1627" s="100" t="e">
        <f t="shared" ca="1" si="287"/>
        <v>#NAME?</v>
      </c>
      <c r="H1627" s="100" t="e">
        <f t="shared" ca="1" si="288"/>
        <v>#NAME?</v>
      </c>
      <c r="I1627" s="100" t="e">
        <f t="shared" ca="1" si="289"/>
        <v>#NAME?</v>
      </c>
      <c r="J1627" s="100" t="e">
        <f ca="1">IFERROR(__xludf.DUMMYFUNCTION("""COMPUTED_VALUE"""),"-0.020")</f>
        <v>#NAME?</v>
      </c>
      <c r="K1627" s="100" t="e">
        <f t="shared" ca="1" si="290"/>
        <v>#NAME?</v>
      </c>
      <c r="L1627" s="100"/>
      <c r="M1627" s="100"/>
      <c r="N1627" s="100"/>
      <c r="O1627" s="100"/>
      <c r="P1627" s="100"/>
      <c r="Q1627" s="100"/>
      <c r="R1627" s="100"/>
      <c r="S1627" s="100"/>
      <c r="T1627" s="100"/>
      <c r="U1627" s="100"/>
      <c r="V1627" s="100"/>
      <c r="W1627" s="100"/>
      <c r="X1627" s="100"/>
      <c r="Y1627" s="100"/>
      <c r="Z1627" s="100"/>
    </row>
    <row r="1628" spans="1:26">
      <c r="A1628" s="100" t="e">
        <f ca="1">IFERROR(__xludf.DUMMYFUNCTION("""COMPUTED_VALUE"""),58784963)</f>
        <v>#NAME?</v>
      </c>
      <c r="B1628" s="100" t="e">
        <f ca="1">IFERROR(__xludf.DUMMYFUNCTION("""COMPUTED_VALUE"""),"GALAUSDT")</f>
        <v>#NAME?</v>
      </c>
      <c r="C1628" s="100" t="e">
        <f ca="1">IFERROR(__xludf.DUMMYFUNCTION("""COMPUTED_VALUE"""),"0.01596000")</f>
        <v>#NAME?</v>
      </c>
      <c r="D1628" s="100" t="e">
        <f t="shared" ca="1" si="292"/>
        <v>#NAME?</v>
      </c>
      <c r="E1628" s="100" t="e">
        <f t="shared" ca="1" si="292"/>
        <v>#NAME?</v>
      </c>
      <c r="F1628" s="100" t="e">
        <f t="shared" ca="1" si="286"/>
        <v>#NAME?</v>
      </c>
      <c r="G1628" s="100" t="e">
        <f t="shared" ca="1" si="287"/>
        <v>#NAME?</v>
      </c>
      <c r="H1628" s="100" t="e">
        <f t="shared" ca="1" si="288"/>
        <v>#NAME?</v>
      </c>
      <c r="I1628" s="100" t="e">
        <f t="shared" ca="1" si="289"/>
        <v>#NAME?</v>
      </c>
      <c r="J1628" s="100" t="e">
        <f ca="1">IFERROR(__xludf.DUMMYFUNCTION("""COMPUTED_VALUE"""),"-1.905")</f>
        <v>#NAME?</v>
      </c>
      <c r="K1628" s="100" t="e">
        <f t="shared" ca="1" si="290"/>
        <v>#NAME?</v>
      </c>
      <c r="L1628" s="100"/>
      <c r="M1628" s="100"/>
      <c r="N1628" s="100"/>
      <c r="O1628" s="100"/>
      <c r="P1628" s="100"/>
      <c r="Q1628" s="100"/>
      <c r="R1628" s="100"/>
      <c r="S1628" s="100"/>
      <c r="T1628" s="100"/>
      <c r="U1628" s="100"/>
      <c r="V1628" s="100"/>
      <c r="W1628" s="100"/>
      <c r="X1628" s="100"/>
      <c r="Y1628" s="100"/>
      <c r="Z1628" s="100"/>
    </row>
    <row r="1629" spans="1:26">
      <c r="A1629" s="100" t="e">
        <f ca="1">IFERROR(__xludf.DUMMYFUNCTION("""COMPUTED_VALUE"""),58784964)</f>
        <v>#NAME?</v>
      </c>
      <c r="B1629" s="100" t="e">
        <f ca="1">IFERROR(__xludf.DUMMYFUNCTION("""COMPUTED_VALUE"""),"GALABUSD")</f>
        <v>#NAME?</v>
      </c>
      <c r="C1629" s="100" t="e">
        <f ca="1">IFERROR(__xludf.DUMMYFUNCTION("""COMPUTED_VALUE"""),"0.02957000")</f>
        <v>#NAME?</v>
      </c>
      <c r="D1629" s="100" t="e">
        <f t="shared" ca="1" si="292"/>
        <v>#NAME?</v>
      </c>
      <c r="E1629" s="100" t="e">
        <f t="shared" ca="1" si="292"/>
        <v>#NAME?</v>
      </c>
      <c r="F1629" s="100" t="e">
        <f t="shared" ca="1" si="286"/>
        <v>#NAME?</v>
      </c>
      <c r="G1629" s="100" t="e">
        <f t="shared" ca="1" si="287"/>
        <v>#NAME?</v>
      </c>
      <c r="H1629" s="100" t="e">
        <f t="shared" ca="1" si="288"/>
        <v>#NAME?</v>
      </c>
      <c r="I1629" s="100" t="e">
        <f t="shared" ca="1" si="289"/>
        <v>#NAME?</v>
      </c>
      <c r="J1629" s="100" t="e">
        <f ca="1">IFERROR(__xludf.DUMMYFUNCTION("""COMPUTED_VALUE"""),"0")</f>
        <v>#NAME?</v>
      </c>
      <c r="K1629" s="100" t="e">
        <f t="shared" ca="1" si="290"/>
        <v>#NAME?</v>
      </c>
      <c r="L1629" s="100"/>
      <c r="M1629" s="100"/>
      <c r="N1629" s="100"/>
      <c r="O1629" s="100"/>
      <c r="P1629" s="100"/>
      <c r="Q1629" s="100"/>
      <c r="R1629" s="100"/>
      <c r="S1629" s="100"/>
      <c r="T1629" s="100"/>
      <c r="U1629" s="100"/>
      <c r="V1629" s="100"/>
      <c r="W1629" s="100"/>
      <c r="X1629" s="100"/>
      <c r="Y1629" s="100"/>
      <c r="Z1629" s="100"/>
    </row>
    <row r="1630" spans="1:26">
      <c r="A1630" s="100" t="e">
        <f ca="1">IFERROR(__xludf.DUMMYFUNCTION("""COMPUTED_VALUE"""),58784965)</f>
        <v>#NAME?</v>
      </c>
      <c r="B1630" s="100" t="e">
        <f ca="1">IFERROR(__xludf.DUMMYFUNCTION("""COMPUTED_VALUE"""),"GALABNB")</f>
        <v>#NAME?</v>
      </c>
      <c r="C1630" s="100" t="e">
        <f ca="1">IFERROR(__xludf.DUMMYFUNCTION("""COMPUTED_VALUE"""),"0.00002877")</f>
        <v>#NAME?</v>
      </c>
      <c r="D1630" s="100" t="e">
        <f t="shared" ca="1" si="292"/>
        <v>#NAME?</v>
      </c>
      <c r="E1630" s="100" t="e">
        <f t="shared" ca="1" si="292"/>
        <v>#NAME?</v>
      </c>
      <c r="F1630" s="100" t="e">
        <f t="shared" ca="1" si="286"/>
        <v>#NAME?</v>
      </c>
      <c r="G1630" s="100" t="e">
        <f t="shared" ca="1" si="287"/>
        <v>#NAME?</v>
      </c>
      <c r="H1630" s="100" t="e">
        <f t="shared" ca="1" si="288"/>
        <v>#NAME?</v>
      </c>
      <c r="I1630" s="100" t="e">
        <f t="shared" ca="1" si="289"/>
        <v>#NAME?</v>
      </c>
      <c r="J1630" s="100" t="e">
        <f ca="1">IFERROR(__xludf.DUMMYFUNCTION("""COMPUTED_VALUE"""),"0")</f>
        <v>#NAME?</v>
      </c>
      <c r="K1630" s="100" t="e">
        <f t="shared" ca="1" si="290"/>
        <v>#NAME?</v>
      </c>
      <c r="L1630" s="100"/>
      <c r="M1630" s="100"/>
      <c r="N1630" s="100"/>
      <c r="O1630" s="100"/>
      <c r="P1630" s="100"/>
      <c r="Q1630" s="100"/>
      <c r="R1630" s="100"/>
      <c r="S1630" s="100"/>
      <c r="T1630" s="100"/>
      <c r="U1630" s="100"/>
      <c r="V1630" s="100"/>
      <c r="W1630" s="100"/>
      <c r="X1630" s="100"/>
      <c r="Y1630" s="100"/>
      <c r="Z1630" s="100"/>
    </row>
    <row r="1631" spans="1:26">
      <c r="A1631" s="100" t="e">
        <f ca="1">IFERROR(__xludf.DUMMYFUNCTION("""COMPUTED_VALUE"""),58784966)</f>
        <v>#NAME?</v>
      </c>
      <c r="B1631" s="100" t="e">
        <f ca="1">IFERROR(__xludf.DUMMYFUNCTION("""COMPUTED_VALUE"""),"GALABTC")</f>
        <v>#NAME?</v>
      </c>
      <c r="C1631" s="100" t="e">
        <f ca="1">IFERROR(__xludf.DUMMYFUNCTION("""COMPUTED_VALUE"""),"0.00000018")</f>
        <v>#NAME?</v>
      </c>
      <c r="D1631" s="100" t="e">
        <f t="shared" ca="1" si="292"/>
        <v>#NAME?</v>
      </c>
      <c r="E1631" s="100" t="e">
        <f t="shared" ca="1" si="292"/>
        <v>#NAME?</v>
      </c>
      <c r="F1631" s="100" t="e">
        <f t="shared" ca="1" si="286"/>
        <v>#NAME?</v>
      </c>
      <c r="G1631" s="100" t="e">
        <f t="shared" ca="1" si="287"/>
        <v>#NAME?</v>
      </c>
      <c r="H1631" s="100" t="e">
        <f t="shared" ca="1" si="288"/>
        <v>#NAME?</v>
      </c>
      <c r="I1631" s="100" t="e">
        <f t="shared" ca="1" si="289"/>
        <v>#NAME?</v>
      </c>
      <c r="J1631" s="100" t="e">
        <f ca="1">IFERROR(__xludf.DUMMYFUNCTION("""COMPUTED_VALUE"""),"0.000")</f>
        <v>#NAME?</v>
      </c>
      <c r="K1631" s="100" t="e">
        <f t="shared" ca="1" si="290"/>
        <v>#NAME?</v>
      </c>
      <c r="L1631" s="100"/>
      <c r="M1631" s="100"/>
      <c r="N1631" s="100"/>
      <c r="O1631" s="100"/>
      <c r="P1631" s="100"/>
      <c r="Q1631" s="100"/>
      <c r="R1631" s="100"/>
      <c r="S1631" s="100"/>
      <c r="T1631" s="100"/>
      <c r="U1631" s="100"/>
      <c r="V1631" s="100"/>
      <c r="W1631" s="100"/>
      <c r="X1631" s="100"/>
      <c r="Y1631" s="100"/>
      <c r="Z1631" s="100"/>
    </row>
    <row r="1632" spans="1:26">
      <c r="A1632" s="100" t="e">
        <f ca="1">IFERROR(__xludf.DUMMYFUNCTION("""COMPUTED_VALUE"""),58784967)</f>
        <v>#NAME?</v>
      </c>
      <c r="B1632" s="100" t="e">
        <f ca="1">IFERROR(__xludf.DUMMYFUNCTION("""COMPUTED_VALUE"""),"FTMBIDR")</f>
        <v>#NAME?</v>
      </c>
      <c r="C1632" s="100" t="e">
        <f ca="1">IFERROR(__xludf.DUMMYFUNCTION("""COMPUTED_VALUE"""),"3413.00")</f>
        <v>#NAME?</v>
      </c>
      <c r="D1632" s="100" t="e">
        <f t="shared" ca="1" si="292"/>
        <v>#NAME?</v>
      </c>
      <c r="E1632" s="100" t="e">
        <f t="shared" ca="1" si="292"/>
        <v>#NAME?</v>
      </c>
      <c r="F1632" s="100" t="e">
        <f t="shared" ca="1" si="286"/>
        <v>#NAME?</v>
      </c>
      <c r="G1632" s="100" t="e">
        <f t="shared" ca="1" si="287"/>
        <v>#NAME?</v>
      </c>
      <c r="H1632" s="100" t="e">
        <f t="shared" ca="1" si="288"/>
        <v>#NAME?</v>
      </c>
      <c r="I1632" s="100" t="e">
        <f t="shared" ca="1" si="289"/>
        <v>#NAME?</v>
      </c>
      <c r="J1632" s="100" t="e">
        <f t="shared" ref="J1632:J1637" ca="1" si="293">IFERROR(__xludf.DUMMYFUNCTION("""COMPUTED_VALUE"""),"0")</f>
        <v>#NAME?</v>
      </c>
      <c r="K1632" s="100" t="e">
        <f t="shared" ca="1" si="290"/>
        <v>#NAME?</v>
      </c>
      <c r="L1632" s="100"/>
      <c r="M1632" s="100"/>
      <c r="N1632" s="100"/>
      <c r="O1632" s="100"/>
      <c r="P1632" s="100"/>
      <c r="Q1632" s="100"/>
      <c r="R1632" s="100"/>
      <c r="S1632" s="100"/>
      <c r="T1632" s="100"/>
      <c r="U1632" s="100"/>
      <c r="V1632" s="100"/>
      <c r="W1632" s="100"/>
      <c r="X1632" s="100"/>
      <c r="Y1632" s="100"/>
      <c r="Z1632" s="100"/>
    </row>
    <row r="1633" spans="1:26">
      <c r="A1633" s="100" t="e">
        <f ca="1">IFERROR(__xludf.DUMMYFUNCTION("""COMPUTED_VALUE"""),58784968)</f>
        <v>#NAME?</v>
      </c>
      <c r="B1633" s="100" t="e">
        <f ca="1">IFERROR(__xludf.DUMMYFUNCTION("""COMPUTED_VALUE"""),"ALGOBIDR")</f>
        <v>#NAME?</v>
      </c>
      <c r="C1633" s="100" t="e">
        <f ca="1">IFERROR(__xludf.DUMMYFUNCTION("""COMPUTED_VALUE"""),"0.00")</f>
        <v>#NAME?</v>
      </c>
      <c r="D1633" s="100" t="e">
        <f t="shared" ca="1" si="292"/>
        <v>#NAME?</v>
      </c>
      <c r="E1633" s="100" t="e">
        <f t="shared" ca="1" si="292"/>
        <v>#NAME?</v>
      </c>
      <c r="F1633" s="100" t="e">
        <f t="shared" ca="1" si="286"/>
        <v>#NAME?</v>
      </c>
      <c r="G1633" s="100" t="e">
        <f t="shared" ca="1" si="287"/>
        <v>#NAME?</v>
      </c>
      <c r="H1633" s="100" t="e">
        <f t="shared" ca="1" si="288"/>
        <v>#NAME?</v>
      </c>
      <c r="I1633" s="100" t="e">
        <f t="shared" ca="1" si="289"/>
        <v>#NAME?</v>
      </c>
      <c r="J1633" s="100" t="e">
        <f t="shared" ca="1" si="293"/>
        <v>#NAME?</v>
      </c>
      <c r="K1633" s="100" t="e">
        <f t="shared" ca="1" si="290"/>
        <v>#NAME?</v>
      </c>
      <c r="L1633" s="100"/>
      <c r="M1633" s="100"/>
      <c r="N1633" s="100"/>
      <c r="O1633" s="100"/>
      <c r="P1633" s="100"/>
      <c r="Q1633" s="100"/>
      <c r="R1633" s="100"/>
      <c r="S1633" s="100"/>
      <c r="T1633" s="100"/>
      <c r="U1633" s="100"/>
      <c r="V1633" s="100"/>
      <c r="W1633" s="100"/>
      <c r="X1633" s="100"/>
      <c r="Y1633" s="100"/>
      <c r="Z1633" s="100"/>
    </row>
    <row r="1634" spans="1:26">
      <c r="A1634" s="100" t="e">
        <f ca="1">IFERROR(__xludf.DUMMYFUNCTION("""COMPUTED_VALUE"""),58784969)</f>
        <v>#NAME?</v>
      </c>
      <c r="B1634" s="100" t="e">
        <f ca="1">IFERROR(__xludf.DUMMYFUNCTION("""COMPUTED_VALUE"""),"CAKEAUD")</f>
        <v>#NAME?</v>
      </c>
      <c r="C1634" s="100" t="e">
        <f ca="1">IFERROR(__xludf.DUMMYFUNCTION("""COMPUTED_VALUE"""),"0.00000000")</f>
        <v>#NAME?</v>
      </c>
      <c r="D1634" s="100" t="e">
        <f t="shared" ca="1" si="292"/>
        <v>#NAME?</v>
      </c>
      <c r="E1634" s="100" t="e">
        <f t="shared" ca="1" si="292"/>
        <v>#NAME?</v>
      </c>
      <c r="F1634" s="100" t="e">
        <f t="shared" ca="1" si="286"/>
        <v>#NAME?</v>
      </c>
      <c r="G1634" s="100" t="e">
        <f t="shared" ca="1" si="287"/>
        <v>#NAME?</v>
      </c>
      <c r="H1634" s="100" t="e">
        <f t="shared" ca="1" si="288"/>
        <v>#NAME?</v>
      </c>
      <c r="I1634" s="100" t="e">
        <f t="shared" ca="1" si="289"/>
        <v>#NAME?</v>
      </c>
      <c r="J1634" s="100" t="e">
        <f t="shared" ca="1" si="293"/>
        <v>#NAME?</v>
      </c>
      <c r="K1634" s="100" t="e">
        <f t="shared" ca="1" si="290"/>
        <v>#NAME?</v>
      </c>
      <c r="L1634" s="100"/>
      <c r="M1634" s="100"/>
      <c r="N1634" s="100"/>
      <c r="O1634" s="100"/>
      <c r="P1634" s="100"/>
      <c r="Q1634" s="100"/>
      <c r="R1634" s="100"/>
      <c r="S1634" s="100"/>
      <c r="T1634" s="100"/>
      <c r="U1634" s="100"/>
      <c r="V1634" s="100"/>
      <c r="W1634" s="100"/>
      <c r="X1634" s="100"/>
      <c r="Y1634" s="100"/>
      <c r="Z1634" s="100"/>
    </row>
    <row r="1635" spans="1:26">
      <c r="A1635" s="100" t="e">
        <f ca="1">IFERROR(__xludf.DUMMYFUNCTION("""COMPUTED_VALUE"""),58784970)</f>
        <v>#NAME?</v>
      </c>
      <c r="B1635" s="100" t="e">
        <f ca="1">IFERROR(__xludf.DUMMYFUNCTION("""COMPUTED_VALUE"""),"KSMAUD")</f>
        <v>#NAME?</v>
      </c>
      <c r="C1635" s="100" t="e">
        <f ca="1">IFERROR(__xludf.DUMMYFUNCTION("""COMPUTED_VALUE"""),"0.00000000")</f>
        <v>#NAME?</v>
      </c>
      <c r="D1635" s="100" t="e">
        <f t="shared" ca="1" si="292"/>
        <v>#NAME?</v>
      </c>
      <c r="E1635" s="100" t="e">
        <f t="shared" ca="1" si="292"/>
        <v>#NAME?</v>
      </c>
      <c r="F1635" s="100" t="e">
        <f t="shared" ca="1" si="286"/>
        <v>#NAME?</v>
      </c>
      <c r="G1635" s="100" t="e">
        <f t="shared" ca="1" si="287"/>
        <v>#NAME?</v>
      </c>
      <c r="H1635" s="100" t="e">
        <f t="shared" ca="1" si="288"/>
        <v>#NAME?</v>
      </c>
      <c r="I1635" s="100" t="e">
        <f t="shared" ca="1" si="289"/>
        <v>#NAME?</v>
      </c>
      <c r="J1635" s="100" t="e">
        <f t="shared" ca="1" si="293"/>
        <v>#NAME?</v>
      </c>
      <c r="K1635" s="100" t="e">
        <f t="shared" ca="1" si="290"/>
        <v>#NAME?</v>
      </c>
      <c r="L1635" s="100"/>
      <c r="M1635" s="100"/>
      <c r="N1635" s="100"/>
      <c r="O1635" s="100"/>
      <c r="P1635" s="100"/>
      <c r="Q1635" s="100"/>
      <c r="R1635" s="100"/>
      <c r="S1635" s="100"/>
      <c r="T1635" s="100"/>
      <c r="U1635" s="100"/>
      <c r="V1635" s="100"/>
      <c r="W1635" s="100"/>
      <c r="X1635" s="100"/>
      <c r="Y1635" s="100"/>
      <c r="Z1635" s="100"/>
    </row>
    <row r="1636" spans="1:26">
      <c r="A1636" s="100" t="e">
        <f ca="1">IFERROR(__xludf.DUMMYFUNCTION("""COMPUTED_VALUE"""),58784971)</f>
        <v>#NAME?</v>
      </c>
      <c r="B1636" s="100" t="e">
        <f ca="1">IFERROR(__xludf.DUMMYFUNCTION("""COMPUTED_VALUE"""),"WAVESRUB")</f>
        <v>#NAME?</v>
      </c>
      <c r="C1636" s="100" t="e">
        <f ca="1">IFERROR(__xludf.DUMMYFUNCTION("""COMPUTED_VALUE"""),"0.00000000")</f>
        <v>#NAME?</v>
      </c>
      <c r="D1636" s="100" t="e">
        <f t="shared" ca="1" si="292"/>
        <v>#NAME?</v>
      </c>
      <c r="E1636" s="100" t="e">
        <f t="shared" ca="1" si="292"/>
        <v>#NAME?</v>
      </c>
      <c r="F1636" s="100" t="e">
        <f t="shared" ca="1" si="286"/>
        <v>#NAME?</v>
      </c>
      <c r="G1636" s="100" t="e">
        <f t="shared" ca="1" si="287"/>
        <v>#NAME?</v>
      </c>
      <c r="H1636" s="100" t="e">
        <f t="shared" ca="1" si="288"/>
        <v>#NAME?</v>
      </c>
      <c r="I1636" s="100" t="e">
        <f t="shared" ca="1" si="289"/>
        <v>#NAME?</v>
      </c>
      <c r="J1636" s="100" t="e">
        <f t="shared" ca="1" si="293"/>
        <v>#NAME?</v>
      </c>
      <c r="K1636" s="100" t="e">
        <f t="shared" ca="1" si="290"/>
        <v>#NAME?</v>
      </c>
      <c r="L1636" s="100"/>
      <c r="M1636" s="100"/>
      <c r="N1636" s="100"/>
      <c r="O1636" s="100"/>
      <c r="P1636" s="100"/>
      <c r="Q1636" s="100"/>
      <c r="R1636" s="100"/>
      <c r="S1636" s="100"/>
      <c r="T1636" s="100"/>
      <c r="U1636" s="100"/>
      <c r="V1636" s="100"/>
      <c r="W1636" s="100"/>
      <c r="X1636" s="100"/>
      <c r="Y1636" s="100"/>
      <c r="Z1636" s="100"/>
    </row>
    <row r="1637" spans="1:26">
      <c r="A1637" s="100" t="e">
        <f ca="1">IFERROR(__xludf.DUMMYFUNCTION("""COMPUTED_VALUE"""),58784972)</f>
        <v>#NAME?</v>
      </c>
      <c r="B1637" s="100" t="e">
        <f ca="1">IFERROR(__xludf.DUMMYFUNCTION("""COMPUTED_VALUE"""),"SUNBUSD")</f>
        <v>#NAME?</v>
      </c>
      <c r="C1637" s="100" t="e">
        <f ca="1">IFERROR(__xludf.DUMMYFUNCTION("""COMPUTED_VALUE"""),"0.00544000")</f>
        <v>#NAME?</v>
      </c>
      <c r="D1637" s="100" t="e">
        <f t="shared" ca="1" si="292"/>
        <v>#NAME?</v>
      </c>
      <c r="E1637" s="100" t="e">
        <f t="shared" ca="1" si="292"/>
        <v>#NAME?</v>
      </c>
      <c r="F1637" s="100" t="e">
        <f t="shared" ca="1" si="286"/>
        <v>#NAME?</v>
      </c>
      <c r="G1637" s="100" t="e">
        <f t="shared" ca="1" si="287"/>
        <v>#NAME?</v>
      </c>
      <c r="H1637" s="100" t="e">
        <f t="shared" ca="1" si="288"/>
        <v>#NAME?</v>
      </c>
      <c r="I1637" s="100" t="e">
        <f t="shared" ca="1" si="289"/>
        <v>#NAME?</v>
      </c>
      <c r="J1637" s="100" t="e">
        <f t="shared" ca="1" si="293"/>
        <v>#NAME?</v>
      </c>
      <c r="K1637" s="100" t="e">
        <f t="shared" ca="1" si="290"/>
        <v>#NAME?</v>
      </c>
      <c r="L1637" s="100"/>
      <c r="M1637" s="100"/>
      <c r="N1637" s="100"/>
      <c r="O1637" s="100"/>
      <c r="P1637" s="100"/>
      <c r="Q1637" s="100"/>
      <c r="R1637" s="100"/>
      <c r="S1637" s="100"/>
      <c r="T1637" s="100"/>
      <c r="U1637" s="100"/>
      <c r="V1637" s="100"/>
      <c r="W1637" s="100"/>
      <c r="X1637" s="100"/>
      <c r="Y1637" s="100"/>
      <c r="Z1637" s="100"/>
    </row>
    <row r="1638" spans="1:26">
      <c r="A1638" s="100" t="e">
        <f ca="1">IFERROR(__xludf.DUMMYFUNCTION("""COMPUTED_VALUE"""),58784973)</f>
        <v>#NAME?</v>
      </c>
      <c r="B1638" s="100" t="e">
        <f ca="1">IFERROR(__xludf.DUMMYFUNCTION("""COMPUTED_VALUE"""),"ILVUSDT")</f>
        <v>#NAME?</v>
      </c>
      <c r="C1638" s="100" t="e">
        <f ca="1">IFERROR(__xludf.DUMMYFUNCTION("""COMPUTED_VALUE"""),"13.13000000")</f>
        <v>#NAME?</v>
      </c>
      <c r="D1638" s="100" t="e">
        <f t="shared" ca="1" si="292"/>
        <v>#NAME?</v>
      </c>
      <c r="E1638" s="100" t="e">
        <f t="shared" ca="1" si="292"/>
        <v>#NAME?</v>
      </c>
      <c r="F1638" s="100" t="e">
        <f t="shared" ca="1" si="286"/>
        <v>#NAME?</v>
      </c>
      <c r="G1638" s="100" t="e">
        <f t="shared" ca="1" si="287"/>
        <v>#NAME?</v>
      </c>
      <c r="H1638" s="100" t="e">
        <f t="shared" ca="1" si="288"/>
        <v>#NAME?</v>
      </c>
      <c r="I1638" s="100" t="e">
        <f t="shared" ca="1" si="289"/>
        <v>#NAME?</v>
      </c>
      <c r="J1638" s="100" t="e">
        <f ca="1">IFERROR(__xludf.DUMMYFUNCTION("""COMPUTED_VALUE"""),"-2.088")</f>
        <v>#NAME?</v>
      </c>
      <c r="K1638" s="100" t="e">
        <f t="shared" ca="1" si="290"/>
        <v>#NAME?</v>
      </c>
      <c r="L1638" s="100"/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</row>
    <row r="1639" spans="1:26">
      <c r="A1639" s="100" t="e">
        <f ca="1">IFERROR(__xludf.DUMMYFUNCTION("""COMPUTED_VALUE"""),58784974)</f>
        <v>#NAME?</v>
      </c>
      <c r="B1639" s="100" t="e">
        <f ca="1">IFERROR(__xludf.DUMMYFUNCTION("""COMPUTED_VALUE"""),"ILVBUSD")</f>
        <v>#NAME?</v>
      </c>
      <c r="C1639" s="100" t="e">
        <f ca="1">IFERROR(__xludf.DUMMYFUNCTION("""COMPUTED_VALUE"""),"39.06000000")</f>
        <v>#NAME?</v>
      </c>
      <c r="D1639" s="100" t="e">
        <f t="shared" ca="1" si="292"/>
        <v>#NAME?</v>
      </c>
      <c r="E1639" s="100" t="e">
        <f t="shared" ca="1" si="292"/>
        <v>#NAME?</v>
      </c>
      <c r="F1639" s="100" t="e">
        <f t="shared" ca="1" si="286"/>
        <v>#NAME?</v>
      </c>
      <c r="G1639" s="100" t="e">
        <f t="shared" ca="1" si="287"/>
        <v>#NAME?</v>
      </c>
      <c r="H1639" s="100" t="e">
        <f t="shared" ca="1" si="288"/>
        <v>#NAME?</v>
      </c>
      <c r="I1639" s="100" t="e">
        <f t="shared" ca="1" si="289"/>
        <v>#NAME?</v>
      </c>
      <c r="J1639" s="100" t="e">
        <f ca="1">IFERROR(__xludf.DUMMYFUNCTION("""COMPUTED_VALUE"""),"0")</f>
        <v>#NAME?</v>
      </c>
      <c r="K1639" s="100" t="e">
        <f t="shared" ca="1" si="290"/>
        <v>#NAME?</v>
      </c>
      <c r="L1639" s="100"/>
      <c r="M1639" s="100"/>
      <c r="N1639" s="100"/>
      <c r="O1639" s="100"/>
      <c r="P1639" s="100"/>
      <c r="Q1639" s="100"/>
      <c r="R1639" s="100"/>
      <c r="S1639" s="100"/>
      <c r="T1639" s="100"/>
      <c r="U1639" s="100"/>
      <c r="V1639" s="100"/>
      <c r="W1639" s="100"/>
      <c r="X1639" s="100"/>
      <c r="Y1639" s="100"/>
      <c r="Z1639" s="100"/>
    </row>
    <row r="1640" spans="1:26">
      <c r="A1640" s="100" t="e">
        <f ca="1">IFERROR(__xludf.DUMMYFUNCTION("""COMPUTED_VALUE"""),58784975)</f>
        <v>#NAME?</v>
      </c>
      <c r="B1640" s="100" t="e">
        <f ca="1">IFERROR(__xludf.DUMMYFUNCTION("""COMPUTED_VALUE"""),"ILVBNB")</f>
        <v>#NAME?</v>
      </c>
      <c r="C1640" s="100" t="e">
        <f ca="1">IFERROR(__xludf.DUMMYFUNCTION("""COMPUTED_VALUE"""),"0.17900000")</f>
        <v>#NAME?</v>
      </c>
      <c r="D1640" s="100" t="e">
        <f t="shared" ca="1" si="292"/>
        <v>#NAME?</v>
      </c>
      <c r="E1640" s="100" t="e">
        <f t="shared" ca="1" si="292"/>
        <v>#NAME?</v>
      </c>
      <c r="F1640" s="100" t="e">
        <f t="shared" ca="1" si="286"/>
        <v>#NAME?</v>
      </c>
      <c r="G1640" s="100" t="e">
        <f t="shared" ca="1" si="287"/>
        <v>#NAME?</v>
      </c>
      <c r="H1640" s="100" t="e">
        <f t="shared" ca="1" si="288"/>
        <v>#NAME?</v>
      </c>
      <c r="I1640" s="100" t="e">
        <f t="shared" ca="1" si="289"/>
        <v>#NAME?</v>
      </c>
      <c r="J1640" s="100" t="e">
        <f ca="1">IFERROR(__xludf.DUMMYFUNCTION("""COMPUTED_VALUE"""),"0")</f>
        <v>#NAME?</v>
      </c>
      <c r="K1640" s="100" t="e">
        <f t="shared" ca="1" si="290"/>
        <v>#NAME?</v>
      </c>
      <c r="L1640" s="100"/>
      <c r="M1640" s="100"/>
      <c r="N1640" s="100"/>
      <c r="O1640" s="100"/>
      <c r="P1640" s="100"/>
      <c r="Q1640" s="100"/>
      <c r="R1640" s="100"/>
      <c r="S1640" s="100"/>
      <c r="T1640" s="100"/>
      <c r="U1640" s="100"/>
      <c r="V1640" s="100"/>
      <c r="W1640" s="100"/>
      <c r="X1640" s="100"/>
      <c r="Y1640" s="100"/>
      <c r="Z1640" s="100"/>
    </row>
    <row r="1641" spans="1:26">
      <c r="A1641" s="100" t="e">
        <f ca="1">IFERROR(__xludf.DUMMYFUNCTION("""COMPUTED_VALUE"""),58784976)</f>
        <v>#NAME?</v>
      </c>
      <c r="B1641" s="100" t="e">
        <f ca="1">IFERROR(__xludf.DUMMYFUNCTION("""COMPUTED_VALUE"""),"ILVBTC")</f>
        <v>#NAME?</v>
      </c>
      <c r="C1641" s="100" t="e">
        <f ca="1">IFERROR(__xludf.DUMMYFUNCTION("""COMPUTED_VALUE"""),"0.00014800")</f>
        <v>#NAME?</v>
      </c>
      <c r="D1641" s="100" t="e">
        <f t="shared" ca="1" si="292"/>
        <v>#NAME?</v>
      </c>
      <c r="E1641" s="100" t="e">
        <f t="shared" ca="1" si="292"/>
        <v>#NAME?</v>
      </c>
      <c r="F1641" s="100" t="e">
        <f t="shared" ca="1" si="286"/>
        <v>#NAME?</v>
      </c>
      <c r="G1641" s="100" t="e">
        <f t="shared" ca="1" si="287"/>
        <v>#NAME?</v>
      </c>
      <c r="H1641" s="100" t="e">
        <f t="shared" ca="1" si="288"/>
        <v>#NAME?</v>
      </c>
      <c r="I1641" s="100" t="e">
        <f t="shared" ca="1" si="289"/>
        <v>#NAME?</v>
      </c>
      <c r="J1641" s="100" t="e">
        <f ca="1">IFERROR(__xludf.DUMMYFUNCTION("""COMPUTED_VALUE"""),"-4.516")</f>
        <v>#NAME?</v>
      </c>
      <c r="K1641" s="100" t="e">
        <f t="shared" ca="1" si="290"/>
        <v>#NAME?</v>
      </c>
      <c r="L1641" s="100"/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</row>
    <row r="1642" spans="1:26">
      <c r="A1642" s="100" t="e">
        <f ca="1">IFERROR(__xludf.DUMMYFUNCTION("""COMPUTED_VALUE"""),58784977)</f>
        <v>#NAME?</v>
      </c>
      <c r="B1642" s="100" t="e">
        <f ca="1">IFERROR(__xludf.DUMMYFUNCTION("""COMPUTED_VALUE"""),"RENBUSD")</f>
        <v>#NAME?</v>
      </c>
      <c r="C1642" s="100" t="e">
        <f ca="1">IFERROR(__xludf.DUMMYFUNCTION("""COMPUTED_VALUE"""),"0.04539800")</f>
        <v>#NAME?</v>
      </c>
      <c r="D1642" s="100" t="e">
        <f t="shared" ref="D1642:E1661" ca="1" si="294">IFERROR(__xludf.DUMMYFUNCTION("""COMPUTED_VALUE"""),"-")</f>
        <v>#NAME?</v>
      </c>
      <c r="E1642" s="100" t="e">
        <f t="shared" ca="1" si="294"/>
        <v>#NAME?</v>
      </c>
      <c r="F1642" s="100" t="e">
        <f t="shared" ca="1" si="286"/>
        <v>#NAME?</v>
      </c>
      <c r="G1642" s="100" t="e">
        <f t="shared" ca="1" si="287"/>
        <v>#NAME?</v>
      </c>
      <c r="H1642" s="100" t="e">
        <f t="shared" ca="1" si="288"/>
        <v>#NAME?</v>
      </c>
      <c r="I1642" s="100" t="e">
        <f t="shared" ca="1" si="289"/>
        <v>#NAME?</v>
      </c>
      <c r="J1642" s="100" t="e">
        <f ca="1">IFERROR(__xludf.DUMMYFUNCTION("""COMPUTED_VALUE"""),"0")</f>
        <v>#NAME?</v>
      </c>
      <c r="K1642" s="100" t="e">
        <f t="shared" ca="1" si="290"/>
        <v>#NAME?</v>
      </c>
      <c r="L1642" s="100"/>
      <c r="M1642" s="100"/>
      <c r="N1642" s="100"/>
      <c r="O1642" s="100"/>
      <c r="P1642" s="100"/>
      <c r="Q1642" s="100"/>
      <c r="R1642" s="100"/>
      <c r="S1642" s="100"/>
      <c r="T1642" s="100"/>
      <c r="U1642" s="100"/>
      <c r="V1642" s="100"/>
      <c r="W1642" s="100"/>
      <c r="X1642" s="100"/>
      <c r="Y1642" s="100"/>
      <c r="Z1642" s="100"/>
    </row>
    <row r="1643" spans="1:26">
      <c r="A1643" s="100" t="e">
        <f ca="1">IFERROR(__xludf.DUMMYFUNCTION("""COMPUTED_VALUE"""),58784978)</f>
        <v>#NAME?</v>
      </c>
      <c r="B1643" s="100" t="e">
        <f ca="1">IFERROR(__xludf.DUMMYFUNCTION("""COMPUTED_VALUE"""),"YGGUSDT")</f>
        <v>#NAME?</v>
      </c>
      <c r="C1643" s="100" t="e">
        <f ca="1">IFERROR(__xludf.DUMMYFUNCTION("""COMPUTED_VALUE"""),"0.18220000")</f>
        <v>#NAME?</v>
      </c>
      <c r="D1643" s="100" t="e">
        <f t="shared" ca="1" si="294"/>
        <v>#NAME?</v>
      </c>
      <c r="E1643" s="100" t="e">
        <f t="shared" ca="1" si="294"/>
        <v>#NAME?</v>
      </c>
      <c r="F1643" s="100" t="e">
        <f t="shared" ca="1" si="286"/>
        <v>#NAME?</v>
      </c>
      <c r="G1643" s="100" t="e">
        <f t="shared" ca="1" si="287"/>
        <v>#NAME?</v>
      </c>
      <c r="H1643" s="100" t="e">
        <f t="shared" ca="1" si="288"/>
        <v>#NAME?</v>
      </c>
      <c r="I1643" s="100" t="e">
        <f t="shared" ca="1" si="289"/>
        <v>#NAME?</v>
      </c>
      <c r="J1643" s="100" t="e">
        <f ca="1">IFERROR(__xludf.DUMMYFUNCTION("""COMPUTED_VALUE"""),"-2.827")</f>
        <v>#NAME?</v>
      </c>
      <c r="K1643" s="100" t="e">
        <f t="shared" ca="1" si="290"/>
        <v>#NAME?</v>
      </c>
      <c r="L1643" s="100"/>
      <c r="M1643" s="100"/>
      <c r="N1643" s="100"/>
      <c r="O1643" s="100"/>
      <c r="P1643" s="100"/>
      <c r="Q1643" s="100"/>
      <c r="R1643" s="100"/>
      <c r="S1643" s="100"/>
      <c r="T1643" s="100"/>
      <c r="U1643" s="100"/>
      <c r="V1643" s="100"/>
      <c r="W1643" s="100"/>
      <c r="X1643" s="100"/>
      <c r="Y1643" s="100"/>
      <c r="Z1643" s="100"/>
    </row>
    <row r="1644" spans="1:26">
      <c r="A1644" s="100" t="e">
        <f ca="1">IFERROR(__xludf.DUMMYFUNCTION("""COMPUTED_VALUE"""),58784979)</f>
        <v>#NAME?</v>
      </c>
      <c r="B1644" s="100" t="e">
        <f ca="1">IFERROR(__xludf.DUMMYFUNCTION("""COMPUTED_VALUE"""),"YGGBUSD")</f>
        <v>#NAME?</v>
      </c>
      <c r="C1644" s="100" t="e">
        <f ca="1">IFERROR(__xludf.DUMMYFUNCTION("""COMPUTED_VALUE"""),"0.40530000")</f>
        <v>#NAME?</v>
      </c>
      <c r="D1644" s="100" t="e">
        <f t="shared" ca="1" si="294"/>
        <v>#NAME?</v>
      </c>
      <c r="E1644" s="100" t="e">
        <f t="shared" ca="1" si="294"/>
        <v>#NAME?</v>
      </c>
      <c r="F1644" s="100" t="e">
        <f t="shared" ca="1" si="286"/>
        <v>#NAME?</v>
      </c>
      <c r="G1644" s="100" t="e">
        <f t="shared" ca="1" si="287"/>
        <v>#NAME?</v>
      </c>
      <c r="H1644" s="100" t="e">
        <f t="shared" ca="1" si="288"/>
        <v>#NAME?</v>
      </c>
      <c r="I1644" s="100" t="e">
        <f t="shared" ca="1" si="289"/>
        <v>#NAME?</v>
      </c>
      <c r="J1644" s="100" t="e">
        <f ca="1">IFERROR(__xludf.DUMMYFUNCTION("""COMPUTED_VALUE"""),"0")</f>
        <v>#NAME?</v>
      </c>
      <c r="K1644" s="100" t="e">
        <f t="shared" ca="1" si="290"/>
        <v>#NAME?</v>
      </c>
      <c r="L1644" s="100"/>
      <c r="M1644" s="100"/>
      <c r="N1644" s="100"/>
      <c r="O1644" s="100"/>
      <c r="P1644" s="100"/>
      <c r="Q1644" s="100"/>
      <c r="R1644" s="100"/>
      <c r="S1644" s="100"/>
      <c r="T1644" s="100"/>
      <c r="U1644" s="100"/>
      <c r="V1644" s="100"/>
      <c r="W1644" s="100"/>
      <c r="X1644" s="100"/>
      <c r="Y1644" s="100"/>
      <c r="Z1644" s="100"/>
    </row>
    <row r="1645" spans="1:26">
      <c r="A1645" s="100" t="e">
        <f ca="1">IFERROR(__xludf.DUMMYFUNCTION("""COMPUTED_VALUE"""),58784980)</f>
        <v>#NAME?</v>
      </c>
      <c r="B1645" s="100" t="e">
        <f ca="1">IFERROR(__xludf.DUMMYFUNCTION("""COMPUTED_VALUE"""),"YGGBNB")</f>
        <v>#NAME?</v>
      </c>
      <c r="C1645" s="100" t="e">
        <f ca="1">IFERROR(__xludf.DUMMYFUNCTION("""COMPUTED_VALUE"""),"0.00068700")</f>
        <v>#NAME?</v>
      </c>
      <c r="D1645" s="100" t="e">
        <f t="shared" ca="1" si="294"/>
        <v>#NAME?</v>
      </c>
      <c r="E1645" s="100" t="e">
        <f t="shared" ca="1" si="294"/>
        <v>#NAME?</v>
      </c>
      <c r="F1645" s="100" t="e">
        <f t="shared" ca="1" si="286"/>
        <v>#NAME?</v>
      </c>
      <c r="G1645" s="100" t="e">
        <f t="shared" ca="1" si="287"/>
        <v>#NAME?</v>
      </c>
      <c r="H1645" s="100" t="e">
        <f t="shared" ca="1" si="288"/>
        <v>#NAME?</v>
      </c>
      <c r="I1645" s="100" t="e">
        <f t="shared" ca="1" si="289"/>
        <v>#NAME?</v>
      </c>
      <c r="J1645" s="100" t="e">
        <f ca="1">IFERROR(__xludf.DUMMYFUNCTION("""COMPUTED_VALUE"""),"0")</f>
        <v>#NAME?</v>
      </c>
      <c r="K1645" s="100" t="e">
        <f t="shared" ca="1" si="290"/>
        <v>#NAME?</v>
      </c>
      <c r="L1645" s="100"/>
      <c r="M1645" s="100"/>
      <c r="N1645" s="100"/>
      <c r="O1645" s="100"/>
      <c r="P1645" s="100"/>
      <c r="Q1645" s="100"/>
      <c r="R1645" s="100"/>
      <c r="S1645" s="100"/>
      <c r="T1645" s="100"/>
      <c r="U1645" s="100"/>
      <c r="V1645" s="100"/>
      <c r="W1645" s="100"/>
      <c r="X1645" s="100"/>
      <c r="Y1645" s="100"/>
      <c r="Z1645" s="100"/>
    </row>
    <row r="1646" spans="1:26">
      <c r="A1646" s="100" t="e">
        <f ca="1">IFERROR(__xludf.DUMMYFUNCTION("""COMPUTED_VALUE"""),58784981)</f>
        <v>#NAME?</v>
      </c>
      <c r="B1646" s="100" t="e">
        <f ca="1">IFERROR(__xludf.DUMMYFUNCTION("""COMPUTED_VALUE"""),"YGGBTC")</f>
        <v>#NAME?</v>
      </c>
      <c r="C1646" s="100" t="e">
        <f ca="1">IFERROR(__xludf.DUMMYFUNCTION("""COMPUTED_VALUE"""),"0.00000205")</f>
        <v>#NAME?</v>
      </c>
      <c r="D1646" s="100" t="e">
        <f t="shared" ca="1" si="294"/>
        <v>#NAME?</v>
      </c>
      <c r="E1646" s="100" t="e">
        <f t="shared" ca="1" si="294"/>
        <v>#NAME?</v>
      </c>
      <c r="F1646" s="100" t="e">
        <f t="shared" ca="1" si="286"/>
        <v>#NAME?</v>
      </c>
      <c r="G1646" s="100" t="e">
        <f t="shared" ca="1" si="287"/>
        <v>#NAME?</v>
      </c>
      <c r="H1646" s="100" t="e">
        <f t="shared" ca="1" si="288"/>
        <v>#NAME?</v>
      </c>
      <c r="I1646" s="100" t="e">
        <f t="shared" ca="1" si="289"/>
        <v>#NAME?</v>
      </c>
      <c r="J1646" s="100" t="e">
        <f ca="1">IFERROR(__xludf.DUMMYFUNCTION("""COMPUTED_VALUE"""),"-4.651")</f>
        <v>#NAME?</v>
      </c>
      <c r="K1646" s="100" t="e">
        <f t="shared" ca="1" si="290"/>
        <v>#NAME?</v>
      </c>
      <c r="L1646" s="100"/>
      <c r="M1646" s="100"/>
      <c r="N1646" s="100"/>
      <c r="O1646" s="100"/>
      <c r="P1646" s="100"/>
      <c r="Q1646" s="100"/>
      <c r="R1646" s="100"/>
      <c r="S1646" s="100"/>
      <c r="T1646" s="100"/>
      <c r="U1646" s="100"/>
      <c r="V1646" s="100"/>
      <c r="W1646" s="100"/>
      <c r="X1646" s="100"/>
      <c r="Y1646" s="100"/>
      <c r="Z1646" s="100"/>
    </row>
    <row r="1647" spans="1:26">
      <c r="A1647" s="100" t="e">
        <f ca="1">IFERROR(__xludf.DUMMYFUNCTION("""COMPUTED_VALUE"""),58784982)</f>
        <v>#NAME?</v>
      </c>
      <c r="B1647" s="100" t="e">
        <f ca="1">IFERROR(__xludf.DUMMYFUNCTION("""COMPUTED_VALUE"""),"STXBUSD")</f>
        <v>#NAME?</v>
      </c>
      <c r="C1647" s="100" t="e">
        <f ca="1">IFERROR(__xludf.DUMMYFUNCTION("""COMPUTED_VALUE"""),"0.67560000")</f>
        <v>#NAME?</v>
      </c>
      <c r="D1647" s="100" t="e">
        <f t="shared" ca="1" si="294"/>
        <v>#NAME?</v>
      </c>
      <c r="E1647" s="100" t="e">
        <f t="shared" ca="1" si="294"/>
        <v>#NAME?</v>
      </c>
      <c r="F1647" s="100" t="e">
        <f t="shared" ca="1" si="286"/>
        <v>#NAME?</v>
      </c>
      <c r="G1647" s="100" t="e">
        <f t="shared" ca="1" si="287"/>
        <v>#NAME?</v>
      </c>
      <c r="H1647" s="100" t="e">
        <f t="shared" ca="1" si="288"/>
        <v>#NAME?</v>
      </c>
      <c r="I1647" s="100" t="e">
        <f t="shared" ca="1" si="289"/>
        <v>#NAME?</v>
      </c>
      <c r="J1647" s="100" t="e">
        <f ca="1">IFERROR(__xludf.DUMMYFUNCTION("""COMPUTED_VALUE"""),"0")</f>
        <v>#NAME?</v>
      </c>
      <c r="K1647" s="100" t="e">
        <f t="shared" ca="1" si="290"/>
        <v>#NAME?</v>
      </c>
      <c r="L1647" s="100"/>
      <c r="M1647" s="100"/>
      <c r="N1647" s="100"/>
      <c r="O1647" s="100"/>
      <c r="P1647" s="100"/>
      <c r="Q1647" s="100"/>
      <c r="R1647" s="100"/>
      <c r="S1647" s="100"/>
      <c r="T1647" s="100"/>
      <c r="U1647" s="100"/>
      <c r="V1647" s="100"/>
      <c r="W1647" s="100"/>
      <c r="X1647" s="100"/>
      <c r="Y1647" s="100"/>
      <c r="Z1647" s="100"/>
    </row>
    <row r="1648" spans="1:26">
      <c r="A1648" s="100" t="e">
        <f ca="1">IFERROR(__xludf.DUMMYFUNCTION("""COMPUTED_VALUE"""),58784983)</f>
        <v>#NAME?</v>
      </c>
      <c r="B1648" s="100" t="e">
        <f ca="1">IFERROR(__xludf.DUMMYFUNCTION("""COMPUTED_VALUE"""),"SYSUSDT")</f>
        <v>#NAME?</v>
      </c>
      <c r="C1648" s="100" t="e">
        <f ca="1">IFERROR(__xludf.DUMMYFUNCTION("""COMPUTED_VALUE"""),"0.03630000")</f>
        <v>#NAME?</v>
      </c>
      <c r="D1648" s="100" t="e">
        <f t="shared" ca="1" si="294"/>
        <v>#NAME?</v>
      </c>
      <c r="E1648" s="100" t="e">
        <f t="shared" ca="1" si="294"/>
        <v>#NAME?</v>
      </c>
      <c r="F1648" s="100" t="e">
        <f t="shared" ca="1" si="286"/>
        <v>#NAME?</v>
      </c>
      <c r="G1648" s="100" t="e">
        <f t="shared" ca="1" si="287"/>
        <v>#NAME?</v>
      </c>
      <c r="H1648" s="100" t="e">
        <f t="shared" ca="1" si="288"/>
        <v>#NAME?</v>
      </c>
      <c r="I1648" s="100" t="e">
        <f t="shared" ca="1" si="289"/>
        <v>#NAME?</v>
      </c>
      <c r="J1648" s="100" t="e">
        <f ca="1">IFERROR(__xludf.DUMMYFUNCTION("""COMPUTED_VALUE"""),"-9.701")</f>
        <v>#NAME?</v>
      </c>
      <c r="K1648" s="100" t="e">
        <f t="shared" ca="1" si="290"/>
        <v>#NAME?</v>
      </c>
      <c r="L1648" s="100"/>
      <c r="M1648" s="100"/>
      <c r="N1648" s="100"/>
      <c r="O1648" s="100"/>
      <c r="P1648" s="100"/>
      <c r="Q1648" s="100"/>
      <c r="R1648" s="100"/>
      <c r="S1648" s="100"/>
      <c r="T1648" s="100"/>
      <c r="U1648" s="100"/>
      <c r="V1648" s="100"/>
      <c r="W1648" s="100"/>
      <c r="X1648" s="100"/>
      <c r="Y1648" s="100"/>
      <c r="Z1648" s="100"/>
    </row>
    <row r="1649" spans="1:26">
      <c r="A1649" s="100" t="e">
        <f ca="1">IFERROR(__xludf.DUMMYFUNCTION("""COMPUTED_VALUE"""),58784984)</f>
        <v>#NAME?</v>
      </c>
      <c r="B1649" s="100" t="e">
        <f ca="1">IFERROR(__xludf.DUMMYFUNCTION("""COMPUTED_VALUE"""),"DFUSDT")</f>
        <v>#NAME?</v>
      </c>
      <c r="C1649" s="100" t="e">
        <f ca="1">IFERROR(__xludf.DUMMYFUNCTION("""COMPUTED_VALUE"""),"0.05568000")</f>
        <v>#NAME?</v>
      </c>
      <c r="D1649" s="100" t="e">
        <f t="shared" ca="1" si="294"/>
        <v>#NAME?</v>
      </c>
      <c r="E1649" s="100" t="e">
        <f t="shared" ca="1" si="294"/>
        <v>#NAME?</v>
      </c>
      <c r="F1649" s="100" t="e">
        <f t="shared" ca="1" si="286"/>
        <v>#NAME?</v>
      </c>
      <c r="G1649" s="100" t="e">
        <f t="shared" ca="1" si="287"/>
        <v>#NAME?</v>
      </c>
      <c r="H1649" s="100" t="e">
        <f t="shared" ca="1" si="288"/>
        <v>#NAME?</v>
      </c>
      <c r="I1649" s="100" t="e">
        <f t="shared" ca="1" si="289"/>
        <v>#NAME?</v>
      </c>
      <c r="J1649" s="100" t="e">
        <f ca="1">IFERROR(__xludf.DUMMYFUNCTION("""COMPUTED_VALUE"""),"-2.708")</f>
        <v>#NAME?</v>
      </c>
      <c r="K1649" s="100" t="e">
        <f t="shared" ca="1" si="290"/>
        <v>#NAME?</v>
      </c>
      <c r="L1649" s="100"/>
      <c r="M1649" s="100"/>
      <c r="N1649" s="100"/>
      <c r="O1649" s="100"/>
      <c r="P1649" s="100"/>
      <c r="Q1649" s="100"/>
      <c r="R1649" s="100"/>
      <c r="S1649" s="100"/>
      <c r="T1649" s="100"/>
      <c r="U1649" s="100"/>
      <c r="V1649" s="100"/>
      <c r="W1649" s="100"/>
      <c r="X1649" s="100"/>
      <c r="Y1649" s="100"/>
      <c r="Z1649" s="100"/>
    </row>
    <row r="1650" spans="1:26">
      <c r="A1650" s="100" t="e">
        <f ca="1">IFERROR(__xludf.DUMMYFUNCTION("""COMPUTED_VALUE"""),58784985)</f>
        <v>#NAME?</v>
      </c>
      <c r="B1650" s="100" t="e">
        <f ca="1">IFERROR(__xludf.DUMMYFUNCTION("""COMPUTED_VALUE"""),"SOLUSDC")</f>
        <v>#NAME?</v>
      </c>
      <c r="C1650" s="100" t="e">
        <f ca="1">IFERROR(__xludf.DUMMYFUNCTION("""COMPUTED_VALUE"""),"140.07000000")</f>
        <v>#NAME?</v>
      </c>
      <c r="D1650" s="100" t="e">
        <f t="shared" ca="1" si="294"/>
        <v>#NAME?</v>
      </c>
      <c r="E1650" s="100" t="e">
        <f t="shared" ca="1" si="294"/>
        <v>#NAME?</v>
      </c>
      <c r="F1650" s="100" t="e">
        <f t="shared" ca="1" si="286"/>
        <v>#NAME?</v>
      </c>
      <c r="G1650" s="100" t="e">
        <f t="shared" ca="1" si="287"/>
        <v>#NAME?</v>
      </c>
      <c r="H1650" s="100" t="e">
        <f t="shared" ca="1" si="288"/>
        <v>#NAME?</v>
      </c>
      <c r="I1650" s="100" t="e">
        <f t="shared" ca="1" si="289"/>
        <v>#NAME?</v>
      </c>
      <c r="J1650" s="100" t="e">
        <f ca="1">IFERROR(__xludf.DUMMYFUNCTION("""COMPUTED_VALUE"""),"0.007")</f>
        <v>#NAME?</v>
      </c>
      <c r="K1650" s="100" t="e">
        <f t="shared" ca="1" si="290"/>
        <v>#NAME?</v>
      </c>
      <c r="L1650" s="100"/>
      <c r="M1650" s="100"/>
      <c r="N1650" s="100"/>
      <c r="O1650" s="100"/>
      <c r="P1650" s="100"/>
      <c r="Q1650" s="100"/>
      <c r="R1650" s="100"/>
      <c r="S1650" s="100"/>
      <c r="T1650" s="100"/>
      <c r="U1650" s="100"/>
      <c r="V1650" s="100"/>
      <c r="W1650" s="100"/>
      <c r="X1650" s="100"/>
      <c r="Y1650" s="100"/>
      <c r="Z1650" s="100"/>
    </row>
    <row r="1651" spans="1:26">
      <c r="A1651" s="100" t="e">
        <f ca="1">IFERROR(__xludf.DUMMYFUNCTION("""COMPUTED_VALUE"""),58784986)</f>
        <v>#NAME?</v>
      </c>
      <c r="B1651" s="100" t="e">
        <f ca="1">IFERROR(__xludf.DUMMYFUNCTION("""COMPUTED_VALUE"""),"ARPARUB")</f>
        <v>#NAME?</v>
      </c>
      <c r="C1651" s="100" t="e">
        <f ca="1">IFERROR(__xludf.DUMMYFUNCTION("""COMPUTED_VALUE"""),"4.92800000")</f>
        <v>#NAME?</v>
      </c>
      <c r="D1651" s="100" t="e">
        <f t="shared" ca="1" si="294"/>
        <v>#NAME?</v>
      </c>
      <c r="E1651" s="100" t="e">
        <f t="shared" ca="1" si="294"/>
        <v>#NAME?</v>
      </c>
      <c r="F1651" s="100" t="e">
        <f t="shared" ca="1" si="286"/>
        <v>#NAME?</v>
      </c>
      <c r="G1651" s="100" t="e">
        <f t="shared" ca="1" si="287"/>
        <v>#NAME?</v>
      </c>
      <c r="H1651" s="100" t="e">
        <f t="shared" ca="1" si="288"/>
        <v>#NAME?</v>
      </c>
      <c r="I1651" s="100" t="e">
        <f t="shared" ca="1" si="289"/>
        <v>#NAME?</v>
      </c>
      <c r="J1651" s="100" t="e">
        <f t="shared" ref="J1651:J1657" ca="1" si="295">IFERROR(__xludf.DUMMYFUNCTION("""COMPUTED_VALUE"""),"0")</f>
        <v>#NAME?</v>
      </c>
      <c r="K1651" s="100" t="e">
        <f t="shared" ca="1" si="290"/>
        <v>#NAME?</v>
      </c>
      <c r="L1651" s="100"/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</row>
    <row r="1652" spans="1:26">
      <c r="A1652" s="100" t="e">
        <f ca="1">IFERROR(__xludf.DUMMYFUNCTION("""COMPUTED_VALUE"""),58784987)</f>
        <v>#NAME?</v>
      </c>
      <c r="B1652" s="100" t="e">
        <f ca="1">IFERROR(__xludf.DUMMYFUNCTION("""COMPUTED_VALUE"""),"LTCUAH")</f>
        <v>#NAME?</v>
      </c>
      <c r="C1652" s="100" t="e">
        <f ca="1">IFERROR(__xludf.DUMMYFUNCTION("""COMPUTED_VALUE"""),"3191.00000000")</f>
        <v>#NAME?</v>
      </c>
      <c r="D1652" s="100" t="e">
        <f t="shared" ca="1" si="294"/>
        <v>#NAME?</v>
      </c>
      <c r="E1652" s="100" t="e">
        <f t="shared" ca="1" si="294"/>
        <v>#NAME?</v>
      </c>
      <c r="F1652" s="100" t="e">
        <f t="shared" ca="1" si="286"/>
        <v>#NAME?</v>
      </c>
      <c r="G1652" s="100" t="e">
        <f t="shared" ca="1" si="287"/>
        <v>#NAME?</v>
      </c>
      <c r="H1652" s="100" t="e">
        <f t="shared" ca="1" si="288"/>
        <v>#NAME?</v>
      </c>
      <c r="I1652" s="100" t="e">
        <f t="shared" ca="1" si="289"/>
        <v>#NAME?</v>
      </c>
      <c r="J1652" s="100" t="e">
        <f t="shared" ca="1" si="295"/>
        <v>#NAME?</v>
      </c>
      <c r="K1652" s="100" t="e">
        <f t="shared" ca="1" si="290"/>
        <v>#NAME?</v>
      </c>
      <c r="L1652" s="100"/>
      <c r="M1652" s="100"/>
      <c r="N1652" s="100"/>
      <c r="O1652" s="100"/>
      <c r="P1652" s="100"/>
      <c r="Q1652" s="100"/>
      <c r="R1652" s="100"/>
      <c r="S1652" s="100"/>
      <c r="T1652" s="100"/>
      <c r="U1652" s="100"/>
      <c r="V1652" s="100"/>
      <c r="W1652" s="100"/>
      <c r="X1652" s="100"/>
      <c r="Y1652" s="100"/>
      <c r="Z1652" s="100"/>
    </row>
    <row r="1653" spans="1:26">
      <c r="A1653" s="100" t="e">
        <f ca="1">IFERROR(__xludf.DUMMYFUNCTION("""COMPUTED_VALUE"""),58784988)</f>
        <v>#NAME?</v>
      </c>
      <c r="B1653" s="100" t="e">
        <f ca="1">IFERROR(__xludf.DUMMYFUNCTION("""COMPUTED_VALUE"""),"FETBUSD")</f>
        <v>#NAME?</v>
      </c>
      <c r="C1653" s="100" t="e">
        <f ca="1">IFERROR(__xludf.DUMMYFUNCTION("""COMPUTED_VALUE"""),"0.49150000")</f>
        <v>#NAME?</v>
      </c>
      <c r="D1653" s="100" t="e">
        <f t="shared" ca="1" si="294"/>
        <v>#NAME?</v>
      </c>
      <c r="E1653" s="100" t="e">
        <f t="shared" ca="1" si="294"/>
        <v>#NAME?</v>
      </c>
      <c r="F1653" s="100" t="e">
        <f t="shared" ca="1" si="286"/>
        <v>#NAME?</v>
      </c>
      <c r="G1653" s="100" t="e">
        <f t="shared" ca="1" si="287"/>
        <v>#NAME?</v>
      </c>
      <c r="H1653" s="100" t="e">
        <f t="shared" ca="1" si="288"/>
        <v>#NAME?</v>
      </c>
      <c r="I1653" s="100" t="e">
        <f t="shared" ca="1" si="289"/>
        <v>#NAME?</v>
      </c>
      <c r="J1653" s="100" t="e">
        <f t="shared" ca="1" si="295"/>
        <v>#NAME?</v>
      </c>
      <c r="K1653" s="100" t="e">
        <f t="shared" ca="1" si="290"/>
        <v>#NAME?</v>
      </c>
      <c r="L1653" s="100"/>
      <c r="M1653" s="100"/>
      <c r="N1653" s="100"/>
      <c r="O1653" s="100"/>
      <c r="P1653" s="100"/>
      <c r="Q1653" s="100"/>
      <c r="R1653" s="100"/>
      <c r="S1653" s="100"/>
      <c r="T1653" s="100"/>
      <c r="U1653" s="100"/>
      <c r="V1653" s="100"/>
      <c r="W1653" s="100"/>
      <c r="X1653" s="100"/>
      <c r="Y1653" s="100"/>
      <c r="Z1653" s="100"/>
    </row>
    <row r="1654" spans="1:26">
      <c r="A1654" s="100" t="e">
        <f ca="1">IFERROR(__xludf.DUMMYFUNCTION("""COMPUTED_VALUE"""),58784989)</f>
        <v>#NAME?</v>
      </c>
      <c r="B1654" s="100" t="e">
        <f ca="1">IFERROR(__xludf.DUMMYFUNCTION("""COMPUTED_VALUE"""),"ARPABUSD")</f>
        <v>#NAME?</v>
      </c>
      <c r="C1654" s="100" t="e">
        <f ca="1">IFERROR(__xludf.DUMMYFUNCTION("""COMPUTED_VALUE"""),"0.04660000")</f>
        <v>#NAME?</v>
      </c>
      <c r="D1654" s="100" t="e">
        <f t="shared" ca="1" si="294"/>
        <v>#NAME?</v>
      </c>
      <c r="E1654" s="100" t="e">
        <f t="shared" ca="1" si="294"/>
        <v>#NAME?</v>
      </c>
      <c r="F1654" s="100" t="e">
        <f t="shared" ca="1" si="286"/>
        <v>#NAME?</v>
      </c>
      <c r="G1654" s="100" t="e">
        <f t="shared" ca="1" si="287"/>
        <v>#NAME?</v>
      </c>
      <c r="H1654" s="100" t="e">
        <f t="shared" ca="1" si="288"/>
        <v>#NAME?</v>
      </c>
      <c r="I1654" s="100" t="e">
        <f t="shared" ca="1" si="289"/>
        <v>#NAME?</v>
      </c>
      <c r="J1654" s="100" t="e">
        <f t="shared" ca="1" si="295"/>
        <v>#NAME?</v>
      </c>
      <c r="K1654" s="100" t="e">
        <f t="shared" ca="1" si="290"/>
        <v>#NAME?</v>
      </c>
      <c r="L1654" s="100"/>
      <c r="M1654" s="100"/>
      <c r="N1654" s="100"/>
      <c r="O1654" s="100"/>
      <c r="P1654" s="100"/>
      <c r="Q1654" s="100"/>
      <c r="R1654" s="100"/>
      <c r="S1654" s="100"/>
      <c r="T1654" s="100"/>
      <c r="U1654" s="100"/>
      <c r="V1654" s="100"/>
      <c r="W1654" s="100"/>
      <c r="X1654" s="100"/>
      <c r="Y1654" s="100"/>
      <c r="Z1654" s="100"/>
    </row>
    <row r="1655" spans="1:26">
      <c r="A1655" s="100" t="e">
        <f ca="1">IFERROR(__xludf.DUMMYFUNCTION("""COMPUTED_VALUE"""),58784990)</f>
        <v>#NAME?</v>
      </c>
      <c r="B1655" s="100" t="e">
        <f ca="1">IFERROR(__xludf.DUMMYFUNCTION("""COMPUTED_VALUE"""),"LSKBUSD")</f>
        <v>#NAME?</v>
      </c>
      <c r="C1655" s="100" t="e">
        <f ca="1">IFERROR(__xludf.DUMMYFUNCTION("""COMPUTED_VALUE"""),"0.84400000")</f>
        <v>#NAME?</v>
      </c>
      <c r="D1655" s="100" t="e">
        <f t="shared" ca="1" si="294"/>
        <v>#NAME?</v>
      </c>
      <c r="E1655" s="100" t="e">
        <f t="shared" ca="1" si="294"/>
        <v>#NAME?</v>
      </c>
      <c r="F1655" s="100" t="e">
        <f t="shared" ca="1" si="286"/>
        <v>#NAME?</v>
      </c>
      <c r="G1655" s="100" t="e">
        <f t="shared" ca="1" si="287"/>
        <v>#NAME?</v>
      </c>
      <c r="H1655" s="100" t="e">
        <f t="shared" ca="1" si="288"/>
        <v>#NAME?</v>
      </c>
      <c r="I1655" s="100" t="e">
        <f t="shared" ca="1" si="289"/>
        <v>#NAME?</v>
      </c>
      <c r="J1655" s="100" t="e">
        <f t="shared" ca="1" si="295"/>
        <v>#NAME?</v>
      </c>
      <c r="K1655" s="100" t="e">
        <f t="shared" ca="1" si="290"/>
        <v>#NAME?</v>
      </c>
      <c r="L1655" s="100"/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</row>
    <row r="1656" spans="1:26">
      <c r="A1656" s="100" t="e">
        <f ca="1">IFERROR(__xludf.DUMMYFUNCTION("""COMPUTED_VALUE"""),58784991)</f>
        <v>#NAME?</v>
      </c>
      <c r="B1656" s="100" t="e">
        <f ca="1">IFERROR(__xludf.DUMMYFUNCTION("""COMPUTED_VALUE"""),"AVAXBIDR")</f>
        <v>#NAME?</v>
      </c>
      <c r="C1656" s="100" t="e">
        <f ca="1">IFERROR(__xludf.DUMMYFUNCTION("""COMPUTED_VALUE"""),"266752.00")</f>
        <v>#NAME?</v>
      </c>
      <c r="D1656" s="100" t="e">
        <f t="shared" ca="1" si="294"/>
        <v>#NAME?</v>
      </c>
      <c r="E1656" s="100" t="e">
        <f t="shared" ca="1" si="294"/>
        <v>#NAME?</v>
      </c>
      <c r="F1656" s="100" t="e">
        <f t="shared" ca="1" si="286"/>
        <v>#NAME?</v>
      </c>
      <c r="G1656" s="100" t="e">
        <f t="shared" ca="1" si="287"/>
        <v>#NAME?</v>
      </c>
      <c r="H1656" s="100" t="e">
        <f t="shared" ca="1" si="288"/>
        <v>#NAME?</v>
      </c>
      <c r="I1656" s="100" t="e">
        <f t="shared" ca="1" si="289"/>
        <v>#NAME?</v>
      </c>
      <c r="J1656" s="100" t="e">
        <f t="shared" ca="1" si="295"/>
        <v>#NAME?</v>
      </c>
      <c r="K1656" s="100" t="e">
        <f t="shared" ca="1" si="290"/>
        <v>#NAME?</v>
      </c>
      <c r="L1656" s="100"/>
      <c r="M1656" s="100"/>
      <c r="N1656" s="100"/>
      <c r="O1656" s="100"/>
      <c r="P1656" s="100"/>
      <c r="Q1656" s="100"/>
      <c r="R1656" s="100"/>
      <c r="S1656" s="100"/>
      <c r="T1656" s="100"/>
      <c r="U1656" s="100"/>
      <c r="V1656" s="100"/>
      <c r="W1656" s="100"/>
      <c r="X1656" s="100"/>
      <c r="Y1656" s="100"/>
      <c r="Z1656" s="100"/>
    </row>
    <row r="1657" spans="1:26">
      <c r="A1657" s="100" t="e">
        <f ca="1">IFERROR(__xludf.DUMMYFUNCTION("""COMPUTED_VALUE"""),58784992)</f>
        <v>#NAME?</v>
      </c>
      <c r="B1657" s="100" t="e">
        <f ca="1">IFERROR(__xludf.DUMMYFUNCTION("""COMPUTED_VALUE"""),"ALICEBIDR")</f>
        <v>#NAME?</v>
      </c>
      <c r="C1657" s="100" t="e">
        <f ca="1">IFERROR(__xludf.DUMMYFUNCTION("""COMPUTED_VALUE"""),"29103.00")</f>
        <v>#NAME?</v>
      </c>
      <c r="D1657" s="100" t="e">
        <f t="shared" ca="1" si="294"/>
        <v>#NAME?</v>
      </c>
      <c r="E1657" s="100" t="e">
        <f t="shared" ca="1" si="294"/>
        <v>#NAME?</v>
      </c>
      <c r="F1657" s="100" t="e">
        <f t="shared" ca="1" si="286"/>
        <v>#NAME?</v>
      </c>
      <c r="G1657" s="100" t="e">
        <f t="shared" ca="1" si="287"/>
        <v>#NAME?</v>
      </c>
      <c r="H1657" s="100" t="e">
        <f t="shared" ca="1" si="288"/>
        <v>#NAME?</v>
      </c>
      <c r="I1657" s="100" t="e">
        <f t="shared" ca="1" si="289"/>
        <v>#NAME?</v>
      </c>
      <c r="J1657" s="100" t="e">
        <f t="shared" ca="1" si="295"/>
        <v>#NAME?</v>
      </c>
      <c r="K1657" s="100" t="e">
        <f t="shared" ca="1" si="290"/>
        <v>#NAME?</v>
      </c>
      <c r="L1657" s="100"/>
      <c r="M1657" s="100"/>
      <c r="N1657" s="100"/>
      <c r="O1657" s="100"/>
      <c r="P1657" s="100"/>
      <c r="Q1657" s="100"/>
      <c r="R1657" s="100"/>
      <c r="S1657" s="100"/>
      <c r="T1657" s="100"/>
      <c r="U1657" s="100"/>
      <c r="V1657" s="100"/>
      <c r="W1657" s="100"/>
      <c r="X1657" s="100"/>
      <c r="Y1657" s="100"/>
      <c r="Z1657" s="100"/>
    </row>
    <row r="1658" spans="1:26">
      <c r="A1658" s="100" t="e">
        <f ca="1">IFERROR(__xludf.DUMMYFUNCTION("""COMPUTED_VALUE"""),58784993)</f>
        <v>#NAME?</v>
      </c>
      <c r="B1658" s="100" t="e">
        <f ca="1">IFERROR(__xludf.DUMMYFUNCTION("""COMPUTED_VALUE"""),"FIDAUSDT")</f>
        <v>#NAME?</v>
      </c>
      <c r="C1658" s="100" t="e">
        <f ca="1">IFERROR(__xludf.DUMMYFUNCTION("""COMPUTED_VALUE"""),"0.07330000")</f>
        <v>#NAME?</v>
      </c>
      <c r="D1658" s="100" t="e">
        <f t="shared" ca="1" si="294"/>
        <v>#NAME?</v>
      </c>
      <c r="E1658" s="100" t="e">
        <f t="shared" ca="1" si="294"/>
        <v>#NAME?</v>
      </c>
      <c r="F1658" s="100" t="e">
        <f t="shared" ca="1" si="286"/>
        <v>#NAME?</v>
      </c>
      <c r="G1658" s="100" t="e">
        <f t="shared" ca="1" si="287"/>
        <v>#NAME?</v>
      </c>
      <c r="H1658" s="100" t="e">
        <f t="shared" ca="1" si="288"/>
        <v>#NAME?</v>
      </c>
      <c r="I1658" s="100" t="e">
        <f t="shared" ca="1" si="289"/>
        <v>#NAME?</v>
      </c>
      <c r="J1658" s="100" t="e">
        <f ca="1">IFERROR(__xludf.DUMMYFUNCTION("""COMPUTED_VALUE"""),"0.000")</f>
        <v>#NAME?</v>
      </c>
      <c r="K1658" s="100" t="e">
        <f t="shared" ca="1" si="290"/>
        <v>#NAME?</v>
      </c>
      <c r="L1658" s="100"/>
      <c r="M1658" s="100"/>
      <c r="N1658" s="100"/>
      <c r="O1658" s="100"/>
      <c r="P1658" s="100"/>
      <c r="Q1658" s="100"/>
      <c r="R1658" s="100"/>
      <c r="S1658" s="100"/>
      <c r="T1658" s="100"/>
      <c r="U1658" s="100"/>
      <c r="V1658" s="100"/>
      <c r="W1658" s="100"/>
      <c r="X1658" s="100"/>
      <c r="Y1658" s="100"/>
      <c r="Z1658" s="100"/>
    </row>
    <row r="1659" spans="1:26">
      <c r="A1659" s="100" t="e">
        <f ca="1">IFERROR(__xludf.DUMMYFUNCTION("""COMPUTED_VALUE"""),58784994)</f>
        <v>#NAME?</v>
      </c>
      <c r="B1659" s="100" t="e">
        <f ca="1">IFERROR(__xludf.DUMMYFUNCTION("""COMPUTED_VALUE"""),"FIDABUSD")</f>
        <v>#NAME?</v>
      </c>
      <c r="C1659" s="100" t="e">
        <f ca="1">IFERROR(__xludf.DUMMYFUNCTION("""COMPUTED_VALUE"""),"0.17820000")</f>
        <v>#NAME?</v>
      </c>
      <c r="D1659" s="100" t="e">
        <f t="shared" ca="1" si="294"/>
        <v>#NAME?</v>
      </c>
      <c r="E1659" s="100" t="e">
        <f t="shared" ca="1" si="294"/>
        <v>#NAME?</v>
      </c>
      <c r="F1659" s="100" t="e">
        <f t="shared" ca="1" si="286"/>
        <v>#NAME?</v>
      </c>
      <c r="G1659" s="100" t="e">
        <f t="shared" ca="1" si="287"/>
        <v>#NAME?</v>
      </c>
      <c r="H1659" s="100" t="e">
        <f t="shared" ca="1" si="288"/>
        <v>#NAME?</v>
      </c>
      <c r="I1659" s="100" t="e">
        <f t="shared" ca="1" si="289"/>
        <v>#NAME?</v>
      </c>
      <c r="J1659" s="100" t="e">
        <f ca="1">IFERROR(__xludf.DUMMYFUNCTION("""COMPUTED_VALUE"""),"0")</f>
        <v>#NAME?</v>
      </c>
      <c r="K1659" s="100" t="e">
        <f t="shared" ca="1" si="290"/>
        <v>#NAME?</v>
      </c>
      <c r="L1659" s="100"/>
      <c r="M1659" s="100"/>
      <c r="N1659" s="100"/>
      <c r="O1659" s="100"/>
      <c r="P1659" s="100"/>
      <c r="Q1659" s="100"/>
      <c r="R1659" s="100"/>
      <c r="S1659" s="100"/>
      <c r="T1659" s="100"/>
      <c r="U1659" s="100"/>
      <c r="V1659" s="100"/>
      <c r="W1659" s="100"/>
      <c r="X1659" s="100"/>
      <c r="Y1659" s="100"/>
      <c r="Z1659" s="100"/>
    </row>
    <row r="1660" spans="1:26">
      <c r="A1660" s="100" t="e">
        <f ca="1">IFERROR(__xludf.DUMMYFUNCTION("""COMPUTED_VALUE"""),58784995)</f>
        <v>#NAME?</v>
      </c>
      <c r="B1660" s="100" t="e">
        <f ca="1">IFERROR(__xludf.DUMMYFUNCTION("""COMPUTED_VALUE"""),"FIDABNB")</f>
        <v>#NAME?</v>
      </c>
      <c r="C1660" s="100" t="e">
        <f ca="1">IFERROR(__xludf.DUMMYFUNCTION("""COMPUTED_VALUE"""),"0.00000000")</f>
        <v>#NAME?</v>
      </c>
      <c r="D1660" s="100" t="e">
        <f t="shared" ca="1" si="294"/>
        <v>#NAME?</v>
      </c>
      <c r="E1660" s="100" t="e">
        <f t="shared" ca="1" si="294"/>
        <v>#NAME?</v>
      </c>
      <c r="F1660" s="100" t="e">
        <f t="shared" ca="1" si="286"/>
        <v>#NAME?</v>
      </c>
      <c r="G1660" s="100" t="e">
        <f t="shared" ca="1" si="287"/>
        <v>#NAME?</v>
      </c>
      <c r="H1660" s="100" t="e">
        <f t="shared" ca="1" si="288"/>
        <v>#NAME?</v>
      </c>
      <c r="I1660" s="100" t="e">
        <f t="shared" ca="1" si="289"/>
        <v>#NAME?</v>
      </c>
      <c r="J1660" s="100" t="e">
        <f ca="1">IFERROR(__xludf.DUMMYFUNCTION("""COMPUTED_VALUE"""),"0")</f>
        <v>#NAME?</v>
      </c>
      <c r="K1660" s="100" t="e">
        <f t="shared" ca="1" si="290"/>
        <v>#NAME?</v>
      </c>
      <c r="L1660" s="100"/>
      <c r="M1660" s="100"/>
      <c r="N1660" s="100"/>
      <c r="O1660" s="100"/>
      <c r="P1660" s="100"/>
      <c r="Q1660" s="100"/>
      <c r="R1660" s="100"/>
      <c r="S1660" s="100"/>
      <c r="T1660" s="100"/>
      <c r="U1660" s="100"/>
      <c r="V1660" s="100"/>
      <c r="W1660" s="100"/>
      <c r="X1660" s="100"/>
      <c r="Y1660" s="100"/>
      <c r="Z1660" s="100"/>
    </row>
    <row r="1661" spans="1:26">
      <c r="A1661" s="100" t="e">
        <f ca="1">IFERROR(__xludf.DUMMYFUNCTION("""COMPUTED_VALUE"""),58784996)</f>
        <v>#NAME?</v>
      </c>
      <c r="B1661" s="100" t="e">
        <f ca="1">IFERROR(__xludf.DUMMYFUNCTION("""COMPUTED_VALUE"""),"FIDABTC")</f>
        <v>#NAME?</v>
      </c>
      <c r="C1661" s="100" t="e">
        <f ca="1">IFERROR(__xludf.DUMMYFUNCTION("""COMPUTED_VALUE"""),"0.00000083")</f>
        <v>#NAME?</v>
      </c>
      <c r="D1661" s="100" t="e">
        <f t="shared" ca="1" si="294"/>
        <v>#NAME?</v>
      </c>
      <c r="E1661" s="100" t="e">
        <f t="shared" ca="1" si="294"/>
        <v>#NAME?</v>
      </c>
      <c r="F1661" s="100" t="e">
        <f t="shared" ca="1" si="286"/>
        <v>#NAME?</v>
      </c>
      <c r="G1661" s="100" t="e">
        <f t="shared" ca="1" si="287"/>
        <v>#NAME?</v>
      </c>
      <c r="H1661" s="100" t="e">
        <f t="shared" ca="1" si="288"/>
        <v>#NAME?</v>
      </c>
      <c r="I1661" s="100" t="e">
        <f t="shared" ca="1" si="289"/>
        <v>#NAME?</v>
      </c>
      <c r="J1661" s="100" t="e">
        <f ca="1">IFERROR(__xludf.DUMMYFUNCTION("""COMPUTED_VALUE"""),"-1.190")</f>
        <v>#NAME?</v>
      </c>
      <c r="K1661" s="100" t="e">
        <f t="shared" ca="1" si="290"/>
        <v>#NAME?</v>
      </c>
      <c r="L1661" s="100"/>
      <c r="M1661" s="100"/>
      <c r="N1661" s="100"/>
      <c r="O1661" s="100"/>
      <c r="P1661" s="100"/>
      <c r="Q1661" s="100"/>
      <c r="R1661" s="100"/>
      <c r="S1661" s="100"/>
      <c r="T1661" s="100"/>
      <c r="U1661" s="100"/>
      <c r="V1661" s="100"/>
      <c r="W1661" s="100"/>
      <c r="X1661" s="100"/>
      <c r="Y1661" s="100"/>
      <c r="Z1661" s="100"/>
    </row>
    <row r="1662" spans="1:26">
      <c r="A1662" s="100" t="e">
        <f ca="1">IFERROR(__xludf.DUMMYFUNCTION("""COMPUTED_VALUE"""),58784997)</f>
        <v>#NAME?</v>
      </c>
      <c r="B1662" s="100" t="e">
        <f ca="1">IFERROR(__xludf.DUMMYFUNCTION("""COMPUTED_VALUE"""),"DENTBUSD")</f>
        <v>#NAME?</v>
      </c>
      <c r="C1662" s="100" t="e">
        <f ca="1">IFERROR(__xludf.DUMMYFUNCTION("""COMPUTED_VALUE"""),"0.00070700")</f>
        <v>#NAME?</v>
      </c>
      <c r="D1662" s="100" t="e">
        <f t="shared" ref="D1662:E1681" ca="1" si="296">IFERROR(__xludf.DUMMYFUNCTION("""COMPUTED_VALUE"""),"-")</f>
        <v>#NAME?</v>
      </c>
      <c r="E1662" s="100" t="e">
        <f t="shared" ca="1" si="296"/>
        <v>#NAME?</v>
      </c>
      <c r="F1662" s="100" t="e">
        <f t="shared" ca="1" si="286"/>
        <v>#NAME?</v>
      </c>
      <c r="G1662" s="100" t="e">
        <f t="shared" ca="1" si="287"/>
        <v>#NAME?</v>
      </c>
      <c r="H1662" s="100" t="e">
        <f t="shared" ca="1" si="288"/>
        <v>#NAME?</v>
      </c>
      <c r="I1662" s="100" t="e">
        <f t="shared" ca="1" si="289"/>
        <v>#NAME?</v>
      </c>
      <c r="J1662" s="100" t="e">
        <f ca="1">IFERROR(__xludf.DUMMYFUNCTION("""COMPUTED_VALUE"""),"0")</f>
        <v>#NAME?</v>
      </c>
      <c r="K1662" s="100" t="e">
        <f t="shared" ca="1" si="290"/>
        <v>#NAME?</v>
      </c>
      <c r="L1662" s="100"/>
      <c r="M1662" s="100"/>
      <c r="N1662" s="100"/>
      <c r="O1662" s="100"/>
      <c r="P1662" s="100"/>
      <c r="Q1662" s="100"/>
      <c r="R1662" s="100"/>
      <c r="S1662" s="100"/>
      <c r="T1662" s="100"/>
      <c r="U1662" s="100"/>
      <c r="V1662" s="100"/>
      <c r="W1662" s="100"/>
      <c r="X1662" s="100"/>
      <c r="Y1662" s="100"/>
      <c r="Z1662" s="100"/>
    </row>
    <row r="1663" spans="1:26">
      <c r="A1663" s="100" t="e">
        <f ca="1">IFERROR(__xludf.DUMMYFUNCTION("""COMPUTED_VALUE"""),58784998)</f>
        <v>#NAME?</v>
      </c>
      <c r="B1663" s="100" t="e">
        <f ca="1">IFERROR(__xludf.DUMMYFUNCTION("""COMPUTED_VALUE"""),"FRONTUSDT")</f>
        <v>#NAME?</v>
      </c>
      <c r="C1663" s="100" t="e">
        <f ca="1">IFERROR(__xludf.DUMMYFUNCTION("""COMPUTED_VALUE"""),"0.88000000")</f>
        <v>#NAME?</v>
      </c>
      <c r="D1663" s="100" t="e">
        <f t="shared" ca="1" si="296"/>
        <v>#NAME?</v>
      </c>
      <c r="E1663" s="100" t="e">
        <f t="shared" ca="1" si="296"/>
        <v>#NAME?</v>
      </c>
      <c r="F1663" s="100" t="e">
        <f t="shared" ca="1" si="286"/>
        <v>#NAME?</v>
      </c>
      <c r="G1663" s="100" t="e">
        <f t="shared" ca="1" si="287"/>
        <v>#NAME?</v>
      </c>
      <c r="H1663" s="100" t="e">
        <f t="shared" ca="1" si="288"/>
        <v>#NAME?</v>
      </c>
      <c r="I1663" s="100" t="e">
        <f t="shared" ca="1" si="289"/>
        <v>#NAME?</v>
      </c>
      <c r="J1663" s="100" t="e">
        <f ca="1">IFERROR(__xludf.DUMMYFUNCTION("""COMPUTED_VALUE"""),"0")</f>
        <v>#NAME?</v>
      </c>
      <c r="K1663" s="100" t="e">
        <f t="shared" ca="1" si="290"/>
        <v>#NAME?</v>
      </c>
      <c r="L1663" s="100"/>
      <c r="M1663" s="100"/>
      <c r="N1663" s="100"/>
      <c r="O1663" s="100"/>
      <c r="P1663" s="100"/>
      <c r="Q1663" s="100"/>
      <c r="R1663" s="100"/>
      <c r="S1663" s="100"/>
      <c r="T1663" s="100"/>
      <c r="U1663" s="100"/>
      <c r="V1663" s="100"/>
      <c r="W1663" s="100"/>
      <c r="X1663" s="100"/>
      <c r="Y1663" s="100"/>
      <c r="Z1663" s="100"/>
    </row>
    <row r="1664" spans="1:26">
      <c r="A1664" s="100" t="e">
        <f ca="1">IFERROR(__xludf.DUMMYFUNCTION("""COMPUTED_VALUE"""),58784999)</f>
        <v>#NAME?</v>
      </c>
      <c r="B1664" s="100" t="e">
        <f ca="1">IFERROR(__xludf.DUMMYFUNCTION("""COMPUTED_VALUE"""),"CVPUSDT")</f>
        <v>#NAME?</v>
      </c>
      <c r="C1664" s="100" t="e">
        <f ca="1">IFERROR(__xludf.DUMMYFUNCTION("""COMPUTED_VALUE"""),"0.03390000")</f>
        <v>#NAME?</v>
      </c>
      <c r="D1664" s="100" t="e">
        <f t="shared" ca="1" si="296"/>
        <v>#NAME?</v>
      </c>
      <c r="E1664" s="100" t="e">
        <f t="shared" ca="1" si="296"/>
        <v>#NAME?</v>
      </c>
      <c r="F1664" s="100" t="e">
        <f t="shared" ca="1" si="286"/>
        <v>#NAME?</v>
      </c>
      <c r="G1664" s="100" t="e">
        <f t="shared" ca="1" si="287"/>
        <v>#NAME?</v>
      </c>
      <c r="H1664" s="100" t="e">
        <f t="shared" ca="1" si="288"/>
        <v>#NAME?</v>
      </c>
      <c r="I1664" s="100" t="e">
        <f t="shared" ca="1" si="289"/>
        <v>#NAME?</v>
      </c>
      <c r="J1664" s="100" t="e">
        <f ca="1">IFERROR(__xludf.DUMMYFUNCTION("""COMPUTED_VALUE"""),"0")</f>
        <v>#NAME?</v>
      </c>
      <c r="K1664" s="100" t="e">
        <f t="shared" ca="1" si="290"/>
        <v>#NAME?</v>
      </c>
      <c r="L1664" s="100"/>
      <c r="M1664" s="100"/>
      <c r="N1664" s="100"/>
      <c r="O1664" s="100"/>
      <c r="P1664" s="100"/>
      <c r="Q1664" s="100"/>
      <c r="R1664" s="100"/>
      <c r="S1664" s="100"/>
      <c r="T1664" s="100"/>
      <c r="U1664" s="100"/>
      <c r="V1664" s="100"/>
      <c r="W1664" s="100"/>
      <c r="X1664" s="100"/>
      <c r="Y1664" s="100"/>
      <c r="Z1664" s="100"/>
    </row>
    <row r="1665" spans="1:26">
      <c r="A1665" s="100" t="e">
        <f ca="1">IFERROR(__xludf.DUMMYFUNCTION("""COMPUTED_VALUE"""),58785000)</f>
        <v>#NAME?</v>
      </c>
      <c r="B1665" s="100" t="e">
        <f ca="1">IFERROR(__xludf.DUMMYFUNCTION("""COMPUTED_VALUE"""),"AGLDBTC")</f>
        <v>#NAME?</v>
      </c>
      <c r="C1665" s="100" t="e">
        <f ca="1">IFERROR(__xludf.DUMMYFUNCTION("""COMPUTED_VALUE"""),"0.00000923")</f>
        <v>#NAME?</v>
      </c>
      <c r="D1665" s="100" t="e">
        <f t="shared" ca="1" si="296"/>
        <v>#NAME?</v>
      </c>
      <c r="E1665" s="100" t="e">
        <f t="shared" ca="1" si="296"/>
        <v>#NAME?</v>
      </c>
      <c r="F1665" s="100" t="e">
        <f t="shared" ca="1" si="286"/>
        <v>#NAME?</v>
      </c>
      <c r="G1665" s="100" t="e">
        <f t="shared" ca="1" si="287"/>
        <v>#NAME?</v>
      </c>
      <c r="H1665" s="100" t="e">
        <f t="shared" ca="1" si="288"/>
        <v>#NAME?</v>
      </c>
      <c r="I1665" s="100" t="e">
        <f t="shared" ca="1" si="289"/>
        <v>#NAME?</v>
      </c>
      <c r="J1665" s="100" t="e">
        <f ca="1">IFERROR(__xludf.DUMMYFUNCTION("""COMPUTED_VALUE"""),"-4.054")</f>
        <v>#NAME?</v>
      </c>
      <c r="K1665" s="100" t="e">
        <f t="shared" ca="1" si="290"/>
        <v>#NAME?</v>
      </c>
      <c r="L1665" s="100"/>
      <c r="M1665" s="100"/>
      <c r="N1665" s="100"/>
      <c r="O1665" s="100"/>
      <c r="P1665" s="100"/>
      <c r="Q1665" s="100"/>
      <c r="R1665" s="100"/>
      <c r="S1665" s="100"/>
      <c r="T1665" s="100"/>
      <c r="U1665" s="100"/>
      <c r="V1665" s="100"/>
      <c r="W1665" s="100"/>
      <c r="X1665" s="100"/>
      <c r="Y1665" s="100"/>
      <c r="Z1665" s="100"/>
    </row>
    <row r="1666" spans="1:26">
      <c r="A1666" s="100" t="e">
        <f ca="1">IFERROR(__xludf.DUMMYFUNCTION("""COMPUTED_VALUE"""),58785001)</f>
        <v>#NAME?</v>
      </c>
      <c r="B1666" s="100" t="e">
        <f ca="1">IFERROR(__xludf.DUMMYFUNCTION("""COMPUTED_VALUE"""),"AGLDBNB")</f>
        <v>#NAME?</v>
      </c>
      <c r="C1666" s="100" t="e">
        <f ca="1">IFERROR(__xludf.DUMMYFUNCTION("""COMPUTED_VALUE"""),"0.00000000")</f>
        <v>#NAME?</v>
      </c>
      <c r="D1666" s="100" t="e">
        <f t="shared" ca="1" si="296"/>
        <v>#NAME?</v>
      </c>
      <c r="E1666" s="100" t="e">
        <f t="shared" ca="1" si="296"/>
        <v>#NAME?</v>
      </c>
      <c r="F1666" s="100" t="e">
        <f t="shared" ref="F1666:F1729" ca="1" si="297">IFERROR(__xludf.DUMMYFUNCTION("""COMPUTED_VALUE"""),20200)</f>
        <v>#NAME?</v>
      </c>
      <c r="G1666" s="100" t="e">
        <f t="shared" ref="G1666:G1729" ca="1" si="298">IFERROR(__xludf.DUMMYFUNCTION("""COMPUTED_VALUE"""),2885)</f>
        <v>#NAME?</v>
      </c>
      <c r="H1666" s="100" t="e">
        <f t="shared" ref="H1666:H1729" ca="1" si="299">IFERROR(__xludf.DUMMYFUNCTION("""COMPUTED_VALUE"""),663)</f>
        <v>#NAME?</v>
      </c>
      <c r="I1666" s="100" t="e">
        <f t="shared" ref="I1666:I1729" ca="1" si="300">IFERROR(__xludf.DUMMYFUNCTION("""COMPUTED_VALUE"""),5817721)</f>
        <v>#NAME?</v>
      </c>
      <c r="J1666" s="100" t="e">
        <f ca="1">IFERROR(__xludf.DUMMYFUNCTION("""COMPUTED_VALUE"""),"0")</f>
        <v>#NAME?</v>
      </c>
      <c r="K1666" s="100" t="e">
        <f t="shared" ref="K1666:K1729" ca="1" si="301">IFERROR(__xludf.DUMMYFUNCTION("""COMPUTED_VALUE"""),"22.04.2025 13:05:01")</f>
        <v>#NAME?</v>
      </c>
      <c r="L1666" s="100"/>
      <c r="M1666" s="100"/>
      <c r="N1666" s="100"/>
      <c r="O1666" s="100"/>
      <c r="P1666" s="100"/>
      <c r="Q1666" s="100"/>
      <c r="R1666" s="100"/>
      <c r="S1666" s="100"/>
      <c r="T1666" s="100"/>
      <c r="U1666" s="100"/>
      <c r="V1666" s="100"/>
      <c r="W1666" s="100"/>
      <c r="X1666" s="100"/>
      <c r="Y1666" s="100"/>
      <c r="Z1666" s="100"/>
    </row>
    <row r="1667" spans="1:26">
      <c r="A1667" s="100" t="e">
        <f ca="1">IFERROR(__xludf.DUMMYFUNCTION("""COMPUTED_VALUE"""),58785002)</f>
        <v>#NAME?</v>
      </c>
      <c r="B1667" s="100" t="e">
        <f ca="1">IFERROR(__xludf.DUMMYFUNCTION("""COMPUTED_VALUE"""),"AGLDBUSD")</f>
        <v>#NAME?</v>
      </c>
      <c r="C1667" s="100" t="e">
        <f ca="1">IFERROR(__xludf.DUMMYFUNCTION("""COMPUTED_VALUE"""),"0.82700000")</f>
        <v>#NAME?</v>
      </c>
      <c r="D1667" s="100" t="e">
        <f t="shared" ca="1" si="296"/>
        <v>#NAME?</v>
      </c>
      <c r="E1667" s="100" t="e">
        <f t="shared" ca="1" si="296"/>
        <v>#NAME?</v>
      </c>
      <c r="F1667" s="100" t="e">
        <f t="shared" ca="1" si="297"/>
        <v>#NAME?</v>
      </c>
      <c r="G1667" s="100" t="e">
        <f t="shared" ca="1" si="298"/>
        <v>#NAME?</v>
      </c>
      <c r="H1667" s="100" t="e">
        <f t="shared" ca="1" si="299"/>
        <v>#NAME?</v>
      </c>
      <c r="I1667" s="100" t="e">
        <f t="shared" ca="1" si="300"/>
        <v>#NAME?</v>
      </c>
      <c r="J1667" s="100" t="e">
        <f ca="1">IFERROR(__xludf.DUMMYFUNCTION("""COMPUTED_VALUE"""),"0")</f>
        <v>#NAME?</v>
      </c>
      <c r="K1667" s="100" t="e">
        <f t="shared" ca="1" si="301"/>
        <v>#NAME?</v>
      </c>
      <c r="L1667" s="100"/>
      <c r="M1667" s="100"/>
      <c r="N1667" s="100"/>
      <c r="O1667" s="100"/>
      <c r="P1667" s="100"/>
      <c r="Q1667" s="100"/>
      <c r="R1667" s="100"/>
      <c r="S1667" s="100"/>
      <c r="T1667" s="100"/>
      <c r="U1667" s="100"/>
      <c r="V1667" s="100"/>
      <c r="W1667" s="100"/>
      <c r="X1667" s="100"/>
      <c r="Y1667" s="100"/>
      <c r="Z1667" s="100"/>
    </row>
    <row r="1668" spans="1:26">
      <c r="A1668" s="100" t="e">
        <f ca="1">IFERROR(__xludf.DUMMYFUNCTION("""COMPUTED_VALUE"""),58785003)</f>
        <v>#NAME?</v>
      </c>
      <c r="B1668" s="100" t="e">
        <f ca="1">IFERROR(__xludf.DUMMYFUNCTION("""COMPUTED_VALUE"""),"AGLDUSDT")</f>
        <v>#NAME?</v>
      </c>
      <c r="C1668" s="100" t="e">
        <f ca="1">IFERROR(__xludf.DUMMYFUNCTION("""COMPUTED_VALUE"""),"0.82100000")</f>
        <v>#NAME?</v>
      </c>
      <c r="D1668" s="100" t="e">
        <f t="shared" ca="1" si="296"/>
        <v>#NAME?</v>
      </c>
      <c r="E1668" s="100" t="e">
        <f t="shared" ca="1" si="296"/>
        <v>#NAME?</v>
      </c>
      <c r="F1668" s="100" t="e">
        <f t="shared" ca="1" si="297"/>
        <v>#NAME?</v>
      </c>
      <c r="G1668" s="100" t="e">
        <f t="shared" ca="1" si="298"/>
        <v>#NAME?</v>
      </c>
      <c r="H1668" s="100" t="e">
        <f t="shared" ca="1" si="299"/>
        <v>#NAME?</v>
      </c>
      <c r="I1668" s="100" t="e">
        <f t="shared" ca="1" si="300"/>
        <v>#NAME?</v>
      </c>
      <c r="J1668" s="100" t="e">
        <f ca="1">IFERROR(__xludf.DUMMYFUNCTION("""COMPUTED_VALUE"""),"-2.494")</f>
        <v>#NAME?</v>
      </c>
      <c r="K1668" s="100" t="e">
        <f t="shared" ca="1" si="301"/>
        <v>#NAME?</v>
      </c>
      <c r="L1668" s="100"/>
      <c r="M1668" s="100"/>
      <c r="N1668" s="100"/>
      <c r="O1668" s="100"/>
      <c r="P1668" s="100"/>
      <c r="Q1668" s="100"/>
      <c r="R1668" s="100"/>
      <c r="S1668" s="100"/>
      <c r="T1668" s="100"/>
      <c r="U1668" s="100"/>
      <c r="V1668" s="100"/>
      <c r="W1668" s="100"/>
      <c r="X1668" s="100"/>
      <c r="Y1668" s="100"/>
      <c r="Z1668" s="100"/>
    </row>
    <row r="1669" spans="1:26">
      <c r="A1669" s="100" t="e">
        <f ca="1">IFERROR(__xludf.DUMMYFUNCTION("""COMPUTED_VALUE"""),58785004)</f>
        <v>#NAME?</v>
      </c>
      <c r="B1669" s="100" t="e">
        <f ca="1">IFERROR(__xludf.DUMMYFUNCTION("""COMPUTED_VALUE"""),"RADBTC")</f>
        <v>#NAME?</v>
      </c>
      <c r="C1669" s="100" t="e">
        <f ca="1">IFERROR(__xludf.DUMMYFUNCTION("""COMPUTED_VALUE"""),"0.00001387")</f>
        <v>#NAME?</v>
      </c>
      <c r="D1669" s="100" t="e">
        <f t="shared" ca="1" si="296"/>
        <v>#NAME?</v>
      </c>
      <c r="E1669" s="100" t="e">
        <f t="shared" ca="1" si="296"/>
        <v>#NAME?</v>
      </c>
      <c r="F1669" s="100" t="e">
        <f t="shared" ca="1" si="297"/>
        <v>#NAME?</v>
      </c>
      <c r="G1669" s="100" t="e">
        <f t="shared" ca="1" si="298"/>
        <v>#NAME?</v>
      </c>
      <c r="H1669" s="100" t="e">
        <f t="shared" ca="1" si="299"/>
        <v>#NAME?</v>
      </c>
      <c r="I1669" s="100" t="e">
        <f t="shared" ca="1" si="300"/>
        <v>#NAME?</v>
      </c>
      <c r="J1669" s="100" t="e">
        <f ca="1">IFERROR(__xludf.DUMMYFUNCTION("""COMPUTED_VALUE"""),"0")</f>
        <v>#NAME?</v>
      </c>
      <c r="K1669" s="100" t="e">
        <f t="shared" ca="1" si="301"/>
        <v>#NAME?</v>
      </c>
      <c r="L1669" s="100"/>
      <c r="M1669" s="100"/>
      <c r="N1669" s="100"/>
      <c r="O1669" s="100"/>
      <c r="P1669" s="100"/>
      <c r="Q1669" s="100"/>
      <c r="R1669" s="100"/>
      <c r="S1669" s="100"/>
      <c r="T1669" s="100"/>
      <c r="U1669" s="100"/>
      <c r="V1669" s="100"/>
      <c r="W1669" s="100"/>
      <c r="X1669" s="100"/>
      <c r="Y1669" s="100"/>
      <c r="Z1669" s="100"/>
    </row>
    <row r="1670" spans="1:26">
      <c r="A1670" s="100" t="e">
        <f ca="1">IFERROR(__xludf.DUMMYFUNCTION("""COMPUTED_VALUE"""),58785005)</f>
        <v>#NAME?</v>
      </c>
      <c r="B1670" s="100" t="e">
        <f ca="1">IFERROR(__xludf.DUMMYFUNCTION("""COMPUTED_VALUE"""),"RADBNB")</f>
        <v>#NAME?</v>
      </c>
      <c r="C1670" s="100" t="e">
        <f ca="1">IFERROR(__xludf.DUMMYFUNCTION("""COMPUTED_VALUE"""),"0.01032000")</f>
        <v>#NAME?</v>
      </c>
      <c r="D1670" s="100" t="e">
        <f t="shared" ca="1" si="296"/>
        <v>#NAME?</v>
      </c>
      <c r="E1670" s="100" t="e">
        <f t="shared" ca="1" si="296"/>
        <v>#NAME?</v>
      </c>
      <c r="F1670" s="100" t="e">
        <f t="shared" ca="1" si="297"/>
        <v>#NAME?</v>
      </c>
      <c r="G1670" s="100" t="e">
        <f t="shared" ca="1" si="298"/>
        <v>#NAME?</v>
      </c>
      <c r="H1670" s="100" t="e">
        <f t="shared" ca="1" si="299"/>
        <v>#NAME?</v>
      </c>
      <c r="I1670" s="100" t="e">
        <f t="shared" ca="1" si="300"/>
        <v>#NAME?</v>
      </c>
      <c r="J1670" s="100" t="e">
        <f ca="1">IFERROR(__xludf.DUMMYFUNCTION("""COMPUTED_VALUE"""),"0")</f>
        <v>#NAME?</v>
      </c>
      <c r="K1670" s="100" t="e">
        <f t="shared" ca="1" si="301"/>
        <v>#NAME?</v>
      </c>
      <c r="L1670" s="100"/>
      <c r="M1670" s="100"/>
      <c r="N1670" s="100"/>
      <c r="O1670" s="100"/>
      <c r="P1670" s="100"/>
      <c r="Q1670" s="100"/>
      <c r="R1670" s="100"/>
      <c r="S1670" s="100"/>
      <c r="T1670" s="100"/>
      <c r="U1670" s="100"/>
      <c r="V1670" s="100"/>
      <c r="W1670" s="100"/>
      <c r="X1670" s="100"/>
      <c r="Y1670" s="100"/>
      <c r="Z1670" s="100"/>
    </row>
    <row r="1671" spans="1:26">
      <c r="A1671" s="100" t="e">
        <f ca="1">IFERROR(__xludf.DUMMYFUNCTION("""COMPUTED_VALUE"""),58785006)</f>
        <v>#NAME?</v>
      </c>
      <c r="B1671" s="100" t="e">
        <f ca="1">IFERROR(__xludf.DUMMYFUNCTION("""COMPUTED_VALUE"""),"RADBUSD")</f>
        <v>#NAME?</v>
      </c>
      <c r="C1671" s="100" t="e">
        <f ca="1">IFERROR(__xludf.DUMMYFUNCTION("""COMPUTED_VALUE"""),"1.32100000")</f>
        <v>#NAME?</v>
      </c>
      <c r="D1671" s="100" t="e">
        <f t="shared" ca="1" si="296"/>
        <v>#NAME?</v>
      </c>
      <c r="E1671" s="100" t="e">
        <f t="shared" ca="1" si="296"/>
        <v>#NAME?</v>
      </c>
      <c r="F1671" s="100" t="e">
        <f t="shared" ca="1" si="297"/>
        <v>#NAME?</v>
      </c>
      <c r="G1671" s="100" t="e">
        <f t="shared" ca="1" si="298"/>
        <v>#NAME?</v>
      </c>
      <c r="H1671" s="100" t="e">
        <f t="shared" ca="1" si="299"/>
        <v>#NAME?</v>
      </c>
      <c r="I1671" s="100" t="e">
        <f t="shared" ca="1" si="300"/>
        <v>#NAME?</v>
      </c>
      <c r="J1671" s="100" t="e">
        <f ca="1">IFERROR(__xludf.DUMMYFUNCTION("""COMPUTED_VALUE"""),"0")</f>
        <v>#NAME?</v>
      </c>
      <c r="K1671" s="100" t="e">
        <f t="shared" ca="1" si="301"/>
        <v>#NAME?</v>
      </c>
      <c r="L1671" s="100"/>
      <c r="M1671" s="100"/>
      <c r="N1671" s="100"/>
      <c r="O1671" s="100"/>
      <c r="P1671" s="100"/>
      <c r="Q1671" s="100"/>
      <c r="R1671" s="100"/>
      <c r="S1671" s="100"/>
      <c r="T1671" s="100"/>
      <c r="U1671" s="100"/>
      <c r="V1671" s="100"/>
      <c r="W1671" s="100"/>
      <c r="X1671" s="100"/>
      <c r="Y1671" s="100"/>
      <c r="Z1671" s="100"/>
    </row>
    <row r="1672" spans="1:26">
      <c r="A1672" s="100" t="e">
        <f ca="1">IFERROR(__xludf.DUMMYFUNCTION("""COMPUTED_VALUE"""),58785007)</f>
        <v>#NAME?</v>
      </c>
      <c r="B1672" s="100" t="e">
        <f ca="1">IFERROR(__xludf.DUMMYFUNCTION("""COMPUTED_VALUE"""),"RADUSDT")</f>
        <v>#NAME?</v>
      </c>
      <c r="C1672" s="100" t="e">
        <f ca="1">IFERROR(__xludf.DUMMYFUNCTION("""COMPUTED_VALUE"""),"0.74600000")</f>
        <v>#NAME?</v>
      </c>
      <c r="D1672" s="100" t="e">
        <f t="shared" ca="1" si="296"/>
        <v>#NAME?</v>
      </c>
      <c r="E1672" s="100" t="e">
        <f t="shared" ca="1" si="296"/>
        <v>#NAME?</v>
      </c>
      <c r="F1672" s="100" t="e">
        <f t="shared" ca="1" si="297"/>
        <v>#NAME?</v>
      </c>
      <c r="G1672" s="100" t="e">
        <f t="shared" ca="1" si="298"/>
        <v>#NAME?</v>
      </c>
      <c r="H1672" s="100" t="e">
        <f t="shared" ca="1" si="299"/>
        <v>#NAME?</v>
      </c>
      <c r="I1672" s="100" t="e">
        <f t="shared" ca="1" si="300"/>
        <v>#NAME?</v>
      </c>
      <c r="J1672" s="100" t="e">
        <f ca="1">IFERROR(__xludf.DUMMYFUNCTION("""COMPUTED_VALUE"""),"0.675")</f>
        <v>#NAME?</v>
      </c>
      <c r="K1672" s="100" t="e">
        <f t="shared" ca="1" si="301"/>
        <v>#NAME?</v>
      </c>
      <c r="L1672" s="100"/>
      <c r="M1672" s="100"/>
      <c r="N1672" s="100"/>
      <c r="O1672" s="100"/>
      <c r="P1672" s="100"/>
      <c r="Q1672" s="100"/>
      <c r="R1672" s="100"/>
      <c r="S1672" s="100"/>
      <c r="T1672" s="100"/>
      <c r="U1672" s="100"/>
      <c r="V1672" s="100"/>
      <c r="W1672" s="100"/>
      <c r="X1672" s="100"/>
      <c r="Y1672" s="100"/>
      <c r="Z1672" s="100"/>
    </row>
    <row r="1673" spans="1:26">
      <c r="A1673" s="100" t="e">
        <f ca="1">IFERROR(__xludf.DUMMYFUNCTION("""COMPUTED_VALUE"""),58785008)</f>
        <v>#NAME?</v>
      </c>
      <c r="B1673" s="100" t="e">
        <f ca="1">IFERROR(__xludf.DUMMYFUNCTION("""COMPUTED_VALUE"""),"UNIAUD")</f>
        <v>#NAME?</v>
      </c>
      <c r="C1673" s="100" t="e">
        <f ca="1">IFERROR(__xludf.DUMMYFUNCTION("""COMPUTED_VALUE"""),"0.00000000")</f>
        <v>#NAME?</v>
      </c>
      <c r="D1673" s="100" t="e">
        <f t="shared" ca="1" si="296"/>
        <v>#NAME?</v>
      </c>
      <c r="E1673" s="100" t="e">
        <f t="shared" ca="1" si="296"/>
        <v>#NAME?</v>
      </c>
      <c r="F1673" s="100" t="e">
        <f t="shared" ca="1" si="297"/>
        <v>#NAME?</v>
      </c>
      <c r="G1673" s="100" t="e">
        <f t="shared" ca="1" si="298"/>
        <v>#NAME?</v>
      </c>
      <c r="H1673" s="100" t="e">
        <f t="shared" ca="1" si="299"/>
        <v>#NAME?</v>
      </c>
      <c r="I1673" s="100" t="e">
        <f t="shared" ca="1" si="300"/>
        <v>#NAME?</v>
      </c>
      <c r="J1673" s="100" t="e">
        <f t="shared" ref="J1673:J1678" ca="1" si="302">IFERROR(__xludf.DUMMYFUNCTION("""COMPUTED_VALUE"""),"0")</f>
        <v>#NAME?</v>
      </c>
      <c r="K1673" s="100" t="e">
        <f t="shared" ca="1" si="301"/>
        <v>#NAME?</v>
      </c>
      <c r="L1673" s="100"/>
      <c r="M1673" s="100"/>
      <c r="N1673" s="100"/>
      <c r="O1673" s="100"/>
      <c r="P1673" s="100"/>
      <c r="Q1673" s="100"/>
      <c r="R1673" s="100"/>
      <c r="S1673" s="100"/>
      <c r="T1673" s="100"/>
      <c r="U1673" s="100"/>
      <c r="V1673" s="100"/>
      <c r="W1673" s="100"/>
      <c r="X1673" s="100"/>
      <c r="Y1673" s="100"/>
      <c r="Z1673" s="100"/>
    </row>
    <row r="1674" spans="1:26">
      <c r="A1674" s="100" t="e">
        <f ca="1">IFERROR(__xludf.DUMMYFUNCTION("""COMPUTED_VALUE"""),58785009)</f>
        <v>#NAME?</v>
      </c>
      <c r="B1674" s="100" t="e">
        <f ca="1">IFERROR(__xludf.DUMMYFUNCTION("""COMPUTED_VALUE"""),"HIVEBUSD")</f>
        <v>#NAME?</v>
      </c>
      <c r="C1674" s="100" t="e">
        <f ca="1">IFERROR(__xludf.DUMMYFUNCTION("""COMPUTED_VALUE"""),"0.27580000")</f>
        <v>#NAME?</v>
      </c>
      <c r="D1674" s="100" t="e">
        <f t="shared" ca="1" si="296"/>
        <v>#NAME?</v>
      </c>
      <c r="E1674" s="100" t="e">
        <f t="shared" ca="1" si="296"/>
        <v>#NAME?</v>
      </c>
      <c r="F1674" s="100" t="e">
        <f t="shared" ca="1" si="297"/>
        <v>#NAME?</v>
      </c>
      <c r="G1674" s="100" t="e">
        <f t="shared" ca="1" si="298"/>
        <v>#NAME?</v>
      </c>
      <c r="H1674" s="100" t="e">
        <f t="shared" ca="1" si="299"/>
        <v>#NAME?</v>
      </c>
      <c r="I1674" s="100" t="e">
        <f t="shared" ca="1" si="300"/>
        <v>#NAME?</v>
      </c>
      <c r="J1674" s="100" t="e">
        <f t="shared" ca="1" si="302"/>
        <v>#NAME?</v>
      </c>
      <c r="K1674" s="100" t="e">
        <f t="shared" ca="1" si="301"/>
        <v>#NAME?</v>
      </c>
      <c r="L1674" s="100"/>
      <c r="M1674" s="100"/>
      <c r="N1674" s="100"/>
      <c r="O1674" s="100"/>
      <c r="P1674" s="100"/>
      <c r="Q1674" s="100"/>
      <c r="R1674" s="100"/>
      <c r="S1674" s="100"/>
      <c r="T1674" s="100"/>
      <c r="U1674" s="100"/>
      <c r="V1674" s="100"/>
      <c r="W1674" s="100"/>
      <c r="X1674" s="100"/>
      <c r="Y1674" s="100"/>
      <c r="Z1674" s="100"/>
    </row>
    <row r="1675" spans="1:26">
      <c r="A1675" s="100" t="e">
        <f ca="1">IFERROR(__xludf.DUMMYFUNCTION("""COMPUTED_VALUE"""),58785010)</f>
        <v>#NAME?</v>
      </c>
      <c r="B1675" s="100" t="e">
        <f ca="1">IFERROR(__xludf.DUMMYFUNCTION("""COMPUTED_VALUE"""),"STPTBUSD")</f>
        <v>#NAME?</v>
      </c>
      <c r="C1675" s="100" t="e">
        <f ca="1">IFERROR(__xludf.DUMMYFUNCTION("""COMPUTED_VALUE"""),"0.04185000")</f>
        <v>#NAME?</v>
      </c>
      <c r="D1675" s="100" t="e">
        <f t="shared" ca="1" si="296"/>
        <v>#NAME?</v>
      </c>
      <c r="E1675" s="100" t="e">
        <f t="shared" ca="1" si="296"/>
        <v>#NAME?</v>
      </c>
      <c r="F1675" s="100" t="e">
        <f t="shared" ca="1" si="297"/>
        <v>#NAME?</v>
      </c>
      <c r="G1675" s="100" t="e">
        <f t="shared" ca="1" si="298"/>
        <v>#NAME?</v>
      </c>
      <c r="H1675" s="100" t="e">
        <f t="shared" ca="1" si="299"/>
        <v>#NAME?</v>
      </c>
      <c r="I1675" s="100" t="e">
        <f t="shared" ca="1" si="300"/>
        <v>#NAME?</v>
      </c>
      <c r="J1675" s="100" t="e">
        <f t="shared" ca="1" si="302"/>
        <v>#NAME?</v>
      </c>
      <c r="K1675" s="100" t="e">
        <f t="shared" ca="1" si="301"/>
        <v>#NAME?</v>
      </c>
      <c r="L1675" s="100"/>
      <c r="M1675" s="100"/>
      <c r="N1675" s="100"/>
      <c r="O1675" s="100"/>
      <c r="P1675" s="100"/>
      <c r="Q1675" s="100"/>
      <c r="R1675" s="100"/>
      <c r="S1675" s="100"/>
      <c r="T1675" s="100"/>
      <c r="U1675" s="100"/>
      <c r="V1675" s="100"/>
      <c r="W1675" s="100"/>
      <c r="X1675" s="100"/>
      <c r="Y1675" s="100"/>
      <c r="Z1675" s="100"/>
    </row>
    <row r="1676" spans="1:26">
      <c r="A1676" s="100" t="e">
        <f ca="1">IFERROR(__xludf.DUMMYFUNCTION("""COMPUTED_VALUE"""),58785011)</f>
        <v>#NAME?</v>
      </c>
      <c r="B1676" s="100" t="e">
        <f ca="1">IFERROR(__xludf.DUMMYFUNCTION("""COMPUTED_VALUE"""),"BETABTC")</f>
        <v>#NAME?</v>
      </c>
      <c r="C1676" s="100" t="e">
        <f ca="1">IFERROR(__xludf.DUMMYFUNCTION("""COMPUTED_VALUE"""),"0.00000067")</f>
        <v>#NAME?</v>
      </c>
      <c r="D1676" s="100" t="e">
        <f t="shared" ca="1" si="296"/>
        <v>#NAME?</v>
      </c>
      <c r="E1676" s="100" t="e">
        <f t="shared" ca="1" si="296"/>
        <v>#NAME?</v>
      </c>
      <c r="F1676" s="100" t="e">
        <f t="shared" ca="1" si="297"/>
        <v>#NAME?</v>
      </c>
      <c r="G1676" s="100" t="e">
        <f t="shared" ca="1" si="298"/>
        <v>#NAME?</v>
      </c>
      <c r="H1676" s="100" t="e">
        <f t="shared" ca="1" si="299"/>
        <v>#NAME?</v>
      </c>
      <c r="I1676" s="100" t="e">
        <f t="shared" ca="1" si="300"/>
        <v>#NAME?</v>
      </c>
      <c r="J1676" s="100" t="e">
        <f t="shared" ca="1" si="302"/>
        <v>#NAME?</v>
      </c>
      <c r="K1676" s="100" t="e">
        <f t="shared" ca="1" si="301"/>
        <v>#NAME?</v>
      </c>
      <c r="L1676" s="100"/>
      <c r="M1676" s="100"/>
      <c r="N1676" s="100"/>
      <c r="O1676" s="100"/>
      <c r="P1676" s="100"/>
      <c r="Q1676" s="100"/>
      <c r="R1676" s="100"/>
      <c r="S1676" s="100"/>
      <c r="T1676" s="100"/>
      <c r="U1676" s="100"/>
      <c r="V1676" s="100"/>
      <c r="W1676" s="100"/>
      <c r="X1676" s="100"/>
      <c r="Y1676" s="100"/>
      <c r="Z1676" s="100"/>
    </row>
    <row r="1677" spans="1:26">
      <c r="A1677" s="100" t="e">
        <f ca="1">IFERROR(__xludf.DUMMYFUNCTION("""COMPUTED_VALUE"""),58785012)</f>
        <v>#NAME?</v>
      </c>
      <c r="B1677" s="100" t="e">
        <f ca="1">IFERROR(__xludf.DUMMYFUNCTION("""COMPUTED_VALUE"""),"BETABNB")</f>
        <v>#NAME?</v>
      </c>
      <c r="C1677" s="100" t="e">
        <f ca="1">IFERROR(__xludf.DUMMYFUNCTION("""COMPUTED_VALUE"""),"0.00033500")</f>
        <v>#NAME?</v>
      </c>
      <c r="D1677" s="100" t="e">
        <f t="shared" ca="1" si="296"/>
        <v>#NAME?</v>
      </c>
      <c r="E1677" s="100" t="e">
        <f t="shared" ca="1" si="296"/>
        <v>#NAME?</v>
      </c>
      <c r="F1677" s="100" t="e">
        <f t="shared" ca="1" si="297"/>
        <v>#NAME?</v>
      </c>
      <c r="G1677" s="100" t="e">
        <f t="shared" ca="1" si="298"/>
        <v>#NAME?</v>
      </c>
      <c r="H1677" s="100" t="e">
        <f t="shared" ca="1" si="299"/>
        <v>#NAME?</v>
      </c>
      <c r="I1677" s="100" t="e">
        <f t="shared" ca="1" si="300"/>
        <v>#NAME?</v>
      </c>
      <c r="J1677" s="100" t="e">
        <f t="shared" ca="1" si="302"/>
        <v>#NAME?</v>
      </c>
      <c r="K1677" s="100" t="e">
        <f t="shared" ca="1" si="301"/>
        <v>#NAME?</v>
      </c>
      <c r="L1677" s="100"/>
      <c r="M1677" s="100"/>
      <c r="N1677" s="100"/>
      <c r="O1677" s="100"/>
      <c r="P1677" s="100"/>
      <c r="Q1677" s="100"/>
      <c r="R1677" s="100"/>
      <c r="S1677" s="100"/>
      <c r="T1677" s="100"/>
      <c r="U1677" s="100"/>
      <c r="V1677" s="100"/>
      <c r="W1677" s="100"/>
      <c r="X1677" s="100"/>
      <c r="Y1677" s="100"/>
      <c r="Z1677" s="100"/>
    </row>
    <row r="1678" spans="1:26">
      <c r="A1678" s="100" t="e">
        <f ca="1">IFERROR(__xludf.DUMMYFUNCTION("""COMPUTED_VALUE"""),58785013)</f>
        <v>#NAME?</v>
      </c>
      <c r="B1678" s="100" t="e">
        <f ca="1">IFERROR(__xludf.DUMMYFUNCTION("""COMPUTED_VALUE"""),"BETABUSD")</f>
        <v>#NAME?</v>
      </c>
      <c r="C1678" s="100" t="e">
        <f ca="1">IFERROR(__xludf.DUMMYFUNCTION("""COMPUTED_VALUE"""),"0.06354000")</f>
        <v>#NAME?</v>
      </c>
      <c r="D1678" s="100" t="e">
        <f t="shared" ca="1" si="296"/>
        <v>#NAME?</v>
      </c>
      <c r="E1678" s="100" t="e">
        <f t="shared" ca="1" si="296"/>
        <v>#NAME?</v>
      </c>
      <c r="F1678" s="100" t="e">
        <f t="shared" ca="1" si="297"/>
        <v>#NAME?</v>
      </c>
      <c r="G1678" s="100" t="e">
        <f t="shared" ca="1" si="298"/>
        <v>#NAME?</v>
      </c>
      <c r="H1678" s="100" t="e">
        <f t="shared" ca="1" si="299"/>
        <v>#NAME?</v>
      </c>
      <c r="I1678" s="100" t="e">
        <f t="shared" ca="1" si="300"/>
        <v>#NAME?</v>
      </c>
      <c r="J1678" s="100" t="e">
        <f t="shared" ca="1" si="302"/>
        <v>#NAME?</v>
      </c>
      <c r="K1678" s="100" t="e">
        <f t="shared" ca="1" si="301"/>
        <v>#NAME?</v>
      </c>
      <c r="L1678" s="100"/>
      <c r="M1678" s="100"/>
      <c r="N1678" s="100"/>
      <c r="O1678" s="100"/>
      <c r="P1678" s="100"/>
      <c r="Q1678" s="100"/>
      <c r="R1678" s="100"/>
      <c r="S1678" s="100"/>
      <c r="T1678" s="100"/>
      <c r="U1678" s="100"/>
      <c r="V1678" s="100"/>
      <c r="W1678" s="100"/>
      <c r="X1678" s="100"/>
      <c r="Y1678" s="100"/>
      <c r="Z1678" s="100"/>
    </row>
    <row r="1679" spans="1:26">
      <c r="A1679" s="100" t="e">
        <f ca="1">IFERROR(__xludf.DUMMYFUNCTION("""COMPUTED_VALUE"""),58785014)</f>
        <v>#NAME?</v>
      </c>
      <c r="B1679" s="100" t="e">
        <f ca="1">IFERROR(__xludf.DUMMYFUNCTION("""COMPUTED_VALUE"""),"BETAUSDT")</f>
        <v>#NAME?</v>
      </c>
      <c r="C1679" s="100" t="e">
        <f ca="1">IFERROR(__xludf.DUMMYFUNCTION("""COMPUTED_VALUE"""),"0.00036000")</f>
        <v>#NAME?</v>
      </c>
      <c r="D1679" s="100" t="e">
        <f t="shared" ca="1" si="296"/>
        <v>#NAME?</v>
      </c>
      <c r="E1679" s="100" t="e">
        <f t="shared" ca="1" si="296"/>
        <v>#NAME?</v>
      </c>
      <c r="F1679" s="100" t="e">
        <f t="shared" ca="1" si="297"/>
        <v>#NAME?</v>
      </c>
      <c r="G1679" s="100" t="e">
        <f t="shared" ca="1" si="298"/>
        <v>#NAME?</v>
      </c>
      <c r="H1679" s="100" t="e">
        <f t="shared" ca="1" si="299"/>
        <v>#NAME?</v>
      </c>
      <c r="I1679" s="100" t="e">
        <f t="shared" ca="1" si="300"/>
        <v>#NAME?</v>
      </c>
      <c r="J1679" s="100" t="e">
        <f ca="1">IFERROR(__xludf.DUMMYFUNCTION("""COMPUTED_VALUE"""),"-62.105")</f>
        <v>#NAME?</v>
      </c>
      <c r="K1679" s="100" t="e">
        <f t="shared" ca="1" si="301"/>
        <v>#NAME?</v>
      </c>
      <c r="L1679" s="100"/>
      <c r="M1679" s="100"/>
      <c r="N1679" s="100"/>
      <c r="O1679" s="100"/>
      <c r="P1679" s="100"/>
      <c r="Q1679" s="100"/>
      <c r="R1679" s="100"/>
      <c r="S1679" s="100"/>
      <c r="T1679" s="100"/>
      <c r="U1679" s="100"/>
      <c r="V1679" s="100"/>
      <c r="W1679" s="100"/>
      <c r="X1679" s="100"/>
      <c r="Y1679" s="100"/>
      <c r="Z1679" s="100"/>
    </row>
    <row r="1680" spans="1:26">
      <c r="A1680" s="100" t="e">
        <f ca="1">IFERROR(__xludf.DUMMYFUNCTION("""COMPUTED_VALUE"""),58785015)</f>
        <v>#NAME?</v>
      </c>
      <c r="B1680" s="100" t="e">
        <f ca="1">IFERROR(__xludf.DUMMYFUNCTION("""COMPUTED_VALUE"""),"SHIBAUD")</f>
        <v>#NAME?</v>
      </c>
      <c r="C1680" s="100" t="e">
        <f ca="1">IFERROR(__xludf.DUMMYFUNCTION("""COMPUTED_VALUE"""),"0.00001121")</f>
        <v>#NAME?</v>
      </c>
      <c r="D1680" s="100" t="e">
        <f t="shared" ca="1" si="296"/>
        <v>#NAME?</v>
      </c>
      <c r="E1680" s="100" t="e">
        <f t="shared" ca="1" si="296"/>
        <v>#NAME?</v>
      </c>
      <c r="F1680" s="100" t="e">
        <f t="shared" ca="1" si="297"/>
        <v>#NAME?</v>
      </c>
      <c r="G1680" s="100" t="e">
        <f t="shared" ca="1" si="298"/>
        <v>#NAME?</v>
      </c>
      <c r="H1680" s="100" t="e">
        <f t="shared" ca="1" si="299"/>
        <v>#NAME?</v>
      </c>
      <c r="I1680" s="100" t="e">
        <f t="shared" ca="1" si="300"/>
        <v>#NAME?</v>
      </c>
      <c r="J1680" s="100" t="e">
        <f ca="1">IFERROR(__xludf.DUMMYFUNCTION("""COMPUTED_VALUE"""),"0")</f>
        <v>#NAME?</v>
      </c>
      <c r="K1680" s="100" t="e">
        <f t="shared" ca="1" si="301"/>
        <v>#NAME?</v>
      </c>
      <c r="L1680" s="100"/>
      <c r="M1680" s="100"/>
      <c r="N1680" s="100"/>
      <c r="O1680" s="100"/>
      <c r="P1680" s="100"/>
      <c r="Q1680" s="100"/>
      <c r="R1680" s="100"/>
      <c r="S1680" s="100"/>
      <c r="T1680" s="100"/>
      <c r="U1680" s="100"/>
      <c r="V1680" s="100"/>
      <c r="W1680" s="100"/>
      <c r="X1680" s="100"/>
      <c r="Y1680" s="100"/>
      <c r="Z1680" s="100"/>
    </row>
    <row r="1681" spans="1:26">
      <c r="A1681" s="100" t="e">
        <f ca="1">IFERROR(__xludf.DUMMYFUNCTION("""COMPUTED_VALUE"""),58785016)</f>
        <v>#NAME?</v>
      </c>
      <c r="B1681" s="100" t="e">
        <f ca="1">IFERROR(__xludf.DUMMYFUNCTION("""COMPUTED_VALUE"""),"RAREBTC")</f>
        <v>#NAME?</v>
      </c>
      <c r="C1681" s="100" t="e">
        <f ca="1">IFERROR(__xludf.DUMMYFUNCTION("""COMPUTED_VALUE"""),"0.00000064")</f>
        <v>#NAME?</v>
      </c>
      <c r="D1681" s="100" t="e">
        <f t="shared" ca="1" si="296"/>
        <v>#NAME?</v>
      </c>
      <c r="E1681" s="100" t="e">
        <f t="shared" ca="1" si="296"/>
        <v>#NAME?</v>
      </c>
      <c r="F1681" s="100" t="e">
        <f t="shared" ca="1" si="297"/>
        <v>#NAME?</v>
      </c>
      <c r="G1681" s="100" t="e">
        <f t="shared" ca="1" si="298"/>
        <v>#NAME?</v>
      </c>
      <c r="H1681" s="100" t="e">
        <f t="shared" ca="1" si="299"/>
        <v>#NAME?</v>
      </c>
      <c r="I1681" s="100" t="e">
        <f t="shared" ca="1" si="300"/>
        <v>#NAME?</v>
      </c>
      <c r="J1681" s="100" t="e">
        <f ca="1">IFERROR(__xludf.DUMMYFUNCTION("""COMPUTED_VALUE"""),"-4.478")</f>
        <v>#NAME?</v>
      </c>
      <c r="K1681" s="100" t="e">
        <f t="shared" ca="1" si="301"/>
        <v>#NAME?</v>
      </c>
      <c r="L1681" s="100"/>
      <c r="M1681" s="100"/>
      <c r="N1681" s="100"/>
      <c r="O1681" s="100"/>
      <c r="P1681" s="100"/>
      <c r="Q1681" s="100"/>
      <c r="R1681" s="100"/>
      <c r="S1681" s="100"/>
      <c r="T1681" s="100"/>
      <c r="U1681" s="100"/>
      <c r="V1681" s="100"/>
      <c r="W1681" s="100"/>
      <c r="X1681" s="100"/>
      <c r="Y1681" s="100"/>
      <c r="Z1681" s="100"/>
    </row>
    <row r="1682" spans="1:26">
      <c r="A1682" s="100" t="e">
        <f ca="1">IFERROR(__xludf.DUMMYFUNCTION("""COMPUTED_VALUE"""),58785017)</f>
        <v>#NAME?</v>
      </c>
      <c r="B1682" s="100" t="e">
        <f ca="1">IFERROR(__xludf.DUMMYFUNCTION("""COMPUTED_VALUE"""),"RAREBNB")</f>
        <v>#NAME?</v>
      </c>
      <c r="C1682" s="100" t="e">
        <f ca="1">IFERROR(__xludf.DUMMYFUNCTION("""COMPUTED_VALUE"""),"0.00069100")</f>
        <v>#NAME?</v>
      </c>
      <c r="D1682" s="100" t="e">
        <f t="shared" ref="D1682:E1701" ca="1" si="303">IFERROR(__xludf.DUMMYFUNCTION("""COMPUTED_VALUE"""),"-")</f>
        <v>#NAME?</v>
      </c>
      <c r="E1682" s="100" t="e">
        <f t="shared" ca="1" si="303"/>
        <v>#NAME?</v>
      </c>
      <c r="F1682" s="100" t="e">
        <f t="shared" ca="1" si="297"/>
        <v>#NAME?</v>
      </c>
      <c r="G1682" s="100" t="e">
        <f t="shared" ca="1" si="298"/>
        <v>#NAME?</v>
      </c>
      <c r="H1682" s="100" t="e">
        <f t="shared" ca="1" si="299"/>
        <v>#NAME?</v>
      </c>
      <c r="I1682" s="100" t="e">
        <f t="shared" ca="1" si="300"/>
        <v>#NAME?</v>
      </c>
      <c r="J1682" s="100" t="e">
        <f ca="1">IFERROR(__xludf.DUMMYFUNCTION("""COMPUTED_VALUE"""),"0")</f>
        <v>#NAME?</v>
      </c>
      <c r="K1682" s="100" t="e">
        <f t="shared" ca="1" si="301"/>
        <v>#NAME?</v>
      </c>
      <c r="L1682" s="100"/>
      <c r="M1682" s="100"/>
      <c r="N1682" s="100"/>
      <c r="O1682" s="100"/>
      <c r="P1682" s="100"/>
      <c r="Q1682" s="100"/>
      <c r="R1682" s="100"/>
      <c r="S1682" s="100"/>
      <c r="T1682" s="100"/>
      <c r="U1682" s="100"/>
      <c r="V1682" s="100"/>
      <c r="W1682" s="100"/>
      <c r="X1682" s="100"/>
      <c r="Y1682" s="100"/>
      <c r="Z1682" s="100"/>
    </row>
    <row r="1683" spans="1:26">
      <c r="A1683" s="100" t="e">
        <f ca="1">IFERROR(__xludf.DUMMYFUNCTION("""COMPUTED_VALUE"""),58785018)</f>
        <v>#NAME?</v>
      </c>
      <c r="B1683" s="100" t="e">
        <f ca="1">IFERROR(__xludf.DUMMYFUNCTION("""COMPUTED_VALUE"""),"RAREBUSD")</f>
        <v>#NAME?</v>
      </c>
      <c r="C1683" s="100" t="e">
        <f ca="1">IFERROR(__xludf.DUMMYFUNCTION("""COMPUTED_VALUE"""),"0.05960000")</f>
        <v>#NAME?</v>
      </c>
      <c r="D1683" s="100" t="e">
        <f t="shared" ca="1" si="303"/>
        <v>#NAME?</v>
      </c>
      <c r="E1683" s="100" t="e">
        <f t="shared" ca="1" si="303"/>
        <v>#NAME?</v>
      </c>
      <c r="F1683" s="100" t="e">
        <f t="shared" ca="1" si="297"/>
        <v>#NAME?</v>
      </c>
      <c r="G1683" s="100" t="e">
        <f t="shared" ca="1" si="298"/>
        <v>#NAME?</v>
      </c>
      <c r="H1683" s="100" t="e">
        <f t="shared" ca="1" si="299"/>
        <v>#NAME?</v>
      </c>
      <c r="I1683" s="100" t="e">
        <f t="shared" ca="1" si="300"/>
        <v>#NAME?</v>
      </c>
      <c r="J1683" s="100" t="e">
        <f ca="1">IFERROR(__xludf.DUMMYFUNCTION("""COMPUTED_VALUE"""),"0")</f>
        <v>#NAME?</v>
      </c>
      <c r="K1683" s="100" t="e">
        <f t="shared" ca="1" si="301"/>
        <v>#NAME?</v>
      </c>
      <c r="L1683" s="100"/>
      <c r="M1683" s="100"/>
      <c r="N1683" s="100"/>
      <c r="O1683" s="100"/>
      <c r="P1683" s="100"/>
      <c r="Q1683" s="100"/>
      <c r="R1683" s="100"/>
      <c r="S1683" s="100"/>
      <c r="T1683" s="100"/>
      <c r="U1683" s="100"/>
      <c r="V1683" s="100"/>
      <c r="W1683" s="100"/>
      <c r="X1683" s="100"/>
      <c r="Y1683" s="100"/>
      <c r="Z1683" s="100"/>
    </row>
    <row r="1684" spans="1:26">
      <c r="A1684" s="100" t="e">
        <f ca="1">IFERROR(__xludf.DUMMYFUNCTION("""COMPUTED_VALUE"""),58785019)</f>
        <v>#NAME?</v>
      </c>
      <c r="B1684" s="100" t="e">
        <f ca="1">IFERROR(__xludf.DUMMYFUNCTION("""COMPUTED_VALUE"""),"RAREUSDT")</f>
        <v>#NAME?</v>
      </c>
      <c r="C1684" s="100" t="e">
        <f ca="1">IFERROR(__xludf.DUMMYFUNCTION("""COMPUTED_VALUE"""),"0.05660000")</f>
        <v>#NAME?</v>
      </c>
      <c r="D1684" s="100" t="e">
        <f t="shared" ca="1" si="303"/>
        <v>#NAME?</v>
      </c>
      <c r="E1684" s="100" t="e">
        <f t="shared" ca="1" si="303"/>
        <v>#NAME?</v>
      </c>
      <c r="F1684" s="100" t="e">
        <f t="shared" ca="1" si="297"/>
        <v>#NAME?</v>
      </c>
      <c r="G1684" s="100" t="e">
        <f t="shared" ca="1" si="298"/>
        <v>#NAME?</v>
      </c>
      <c r="H1684" s="100" t="e">
        <f t="shared" ca="1" si="299"/>
        <v>#NAME?</v>
      </c>
      <c r="I1684" s="100" t="e">
        <f t="shared" ca="1" si="300"/>
        <v>#NAME?</v>
      </c>
      <c r="J1684" s="100" t="e">
        <f ca="1">IFERROR(__xludf.DUMMYFUNCTION("""COMPUTED_VALUE"""),"-2.916")</f>
        <v>#NAME?</v>
      </c>
      <c r="K1684" s="100" t="e">
        <f t="shared" ca="1" si="301"/>
        <v>#NAME?</v>
      </c>
      <c r="L1684" s="100"/>
      <c r="M1684" s="100"/>
      <c r="N1684" s="100"/>
      <c r="O1684" s="100"/>
      <c r="P1684" s="100"/>
      <c r="Q1684" s="100"/>
      <c r="R1684" s="100"/>
      <c r="S1684" s="100"/>
      <c r="T1684" s="100"/>
      <c r="U1684" s="100"/>
      <c r="V1684" s="100"/>
      <c r="W1684" s="100"/>
      <c r="X1684" s="100"/>
      <c r="Y1684" s="100"/>
      <c r="Z1684" s="100"/>
    </row>
    <row r="1685" spans="1:26">
      <c r="A1685" s="100" t="e">
        <f ca="1">IFERROR(__xludf.DUMMYFUNCTION("""COMPUTED_VALUE"""),58785020)</f>
        <v>#NAME?</v>
      </c>
      <c r="B1685" s="100" t="e">
        <f ca="1">IFERROR(__xludf.DUMMYFUNCTION("""COMPUTED_VALUE"""),"AVAXBRL")</f>
        <v>#NAME?</v>
      </c>
      <c r="C1685" s="100" t="e">
        <f ca="1">IFERROR(__xludf.DUMMYFUNCTION("""COMPUTED_VALUE"""),"117.60000000")</f>
        <v>#NAME?</v>
      </c>
      <c r="D1685" s="100" t="e">
        <f t="shared" ca="1" si="303"/>
        <v>#NAME?</v>
      </c>
      <c r="E1685" s="100" t="e">
        <f t="shared" ca="1" si="303"/>
        <v>#NAME?</v>
      </c>
      <c r="F1685" s="100" t="e">
        <f t="shared" ca="1" si="297"/>
        <v>#NAME?</v>
      </c>
      <c r="G1685" s="100" t="e">
        <f t="shared" ca="1" si="298"/>
        <v>#NAME?</v>
      </c>
      <c r="H1685" s="100" t="e">
        <f t="shared" ca="1" si="299"/>
        <v>#NAME?</v>
      </c>
      <c r="I1685" s="100" t="e">
        <f t="shared" ca="1" si="300"/>
        <v>#NAME?</v>
      </c>
      <c r="J1685" s="100" t="e">
        <f ca="1">IFERROR(__xludf.DUMMYFUNCTION("""COMPUTED_VALUE"""),"-1.836")</f>
        <v>#NAME?</v>
      </c>
      <c r="K1685" s="100" t="e">
        <f t="shared" ca="1" si="301"/>
        <v>#NAME?</v>
      </c>
      <c r="L1685" s="100"/>
      <c r="M1685" s="100"/>
      <c r="N1685" s="100"/>
      <c r="O1685" s="100"/>
      <c r="P1685" s="100"/>
      <c r="Q1685" s="100"/>
      <c r="R1685" s="100"/>
      <c r="S1685" s="100"/>
      <c r="T1685" s="100"/>
      <c r="U1685" s="100"/>
      <c r="V1685" s="100"/>
      <c r="W1685" s="100"/>
      <c r="X1685" s="100"/>
      <c r="Y1685" s="100"/>
      <c r="Z1685" s="100"/>
    </row>
    <row r="1686" spans="1:26">
      <c r="A1686" s="100" t="e">
        <f ca="1">IFERROR(__xludf.DUMMYFUNCTION("""COMPUTED_VALUE"""),58785021)</f>
        <v>#NAME?</v>
      </c>
      <c r="B1686" s="100" t="e">
        <f ca="1">IFERROR(__xludf.DUMMYFUNCTION("""COMPUTED_VALUE"""),"AVAXAUD")</f>
        <v>#NAME?</v>
      </c>
      <c r="C1686" s="100" t="e">
        <f ca="1">IFERROR(__xludf.DUMMYFUNCTION("""COMPUTED_VALUE"""),"17.91000000")</f>
        <v>#NAME?</v>
      </c>
      <c r="D1686" s="100" t="e">
        <f t="shared" ca="1" si="303"/>
        <v>#NAME?</v>
      </c>
      <c r="E1686" s="100" t="e">
        <f t="shared" ca="1" si="303"/>
        <v>#NAME?</v>
      </c>
      <c r="F1686" s="100" t="e">
        <f t="shared" ca="1" si="297"/>
        <v>#NAME?</v>
      </c>
      <c r="G1686" s="100" t="e">
        <f t="shared" ca="1" si="298"/>
        <v>#NAME?</v>
      </c>
      <c r="H1686" s="100" t="e">
        <f t="shared" ca="1" si="299"/>
        <v>#NAME?</v>
      </c>
      <c r="I1686" s="100" t="e">
        <f t="shared" ca="1" si="300"/>
        <v>#NAME?</v>
      </c>
      <c r="J1686" s="100" t="e">
        <f ca="1">IFERROR(__xludf.DUMMYFUNCTION("""COMPUTED_VALUE"""),"0")</f>
        <v>#NAME?</v>
      </c>
      <c r="K1686" s="100" t="e">
        <f t="shared" ca="1" si="301"/>
        <v>#NAME?</v>
      </c>
      <c r="L1686" s="100"/>
      <c r="M1686" s="100"/>
      <c r="N1686" s="100"/>
      <c r="O1686" s="100"/>
      <c r="P1686" s="100"/>
      <c r="Q1686" s="100"/>
      <c r="R1686" s="100"/>
      <c r="S1686" s="100"/>
      <c r="T1686" s="100"/>
      <c r="U1686" s="100"/>
      <c r="V1686" s="100"/>
      <c r="W1686" s="100"/>
      <c r="X1686" s="100"/>
      <c r="Y1686" s="100"/>
      <c r="Z1686" s="100"/>
    </row>
    <row r="1687" spans="1:26">
      <c r="A1687" s="100" t="e">
        <f ca="1">IFERROR(__xludf.DUMMYFUNCTION("""COMPUTED_VALUE"""),58785022)</f>
        <v>#NAME?</v>
      </c>
      <c r="B1687" s="100" t="e">
        <f ca="1">IFERROR(__xludf.DUMMYFUNCTION("""COMPUTED_VALUE"""),"LUNAAUD")</f>
        <v>#NAME?</v>
      </c>
      <c r="C1687" s="100" t="e">
        <f ca="1">IFERROR(__xludf.DUMMYFUNCTION("""COMPUTED_VALUE"""),"0.00000000")</f>
        <v>#NAME?</v>
      </c>
      <c r="D1687" s="100" t="e">
        <f t="shared" ca="1" si="303"/>
        <v>#NAME?</v>
      </c>
      <c r="E1687" s="100" t="e">
        <f t="shared" ca="1" si="303"/>
        <v>#NAME?</v>
      </c>
      <c r="F1687" s="100" t="e">
        <f t="shared" ca="1" si="297"/>
        <v>#NAME?</v>
      </c>
      <c r="G1687" s="100" t="e">
        <f t="shared" ca="1" si="298"/>
        <v>#NAME?</v>
      </c>
      <c r="H1687" s="100" t="e">
        <f t="shared" ca="1" si="299"/>
        <v>#NAME?</v>
      </c>
      <c r="I1687" s="100" t="e">
        <f t="shared" ca="1" si="300"/>
        <v>#NAME?</v>
      </c>
      <c r="J1687" s="100" t="e">
        <f ca="1">IFERROR(__xludf.DUMMYFUNCTION("""COMPUTED_VALUE"""),"0")</f>
        <v>#NAME?</v>
      </c>
      <c r="K1687" s="100" t="e">
        <f t="shared" ca="1" si="301"/>
        <v>#NAME?</v>
      </c>
      <c r="L1687" s="100"/>
      <c r="M1687" s="100"/>
      <c r="N1687" s="100"/>
      <c r="O1687" s="100"/>
      <c r="P1687" s="100"/>
      <c r="Q1687" s="100"/>
      <c r="R1687" s="100"/>
      <c r="S1687" s="100"/>
      <c r="T1687" s="100"/>
      <c r="U1687" s="100"/>
      <c r="V1687" s="100"/>
      <c r="W1687" s="100"/>
      <c r="X1687" s="100"/>
      <c r="Y1687" s="100"/>
      <c r="Z1687" s="100"/>
    </row>
    <row r="1688" spans="1:26">
      <c r="A1688" s="100" t="e">
        <f ca="1">IFERROR(__xludf.DUMMYFUNCTION("""COMPUTED_VALUE"""),58785023)</f>
        <v>#NAME?</v>
      </c>
      <c r="B1688" s="100" t="e">
        <f ca="1">IFERROR(__xludf.DUMMYFUNCTION("""COMPUTED_VALUE"""),"TROYBUSD")</f>
        <v>#NAME?</v>
      </c>
      <c r="C1688" s="100" t="e">
        <f ca="1">IFERROR(__xludf.DUMMYFUNCTION("""COMPUTED_VALUE"""),"0.00226900")</f>
        <v>#NAME?</v>
      </c>
      <c r="D1688" s="100" t="e">
        <f t="shared" ca="1" si="303"/>
        <v>#NAME?</v>
      </c>
      <c r="E1688" s="100" t="e">
        <f t="shared" ca="1" si="303"/>
        <v>#NAME?</v>
      </c>
      <c r="F1688" s="100" t="e">
        <f t="shared" ca="1" si="297"/>
        <v>#NAME?</v>
      </c>
      <c r="G1688" s="100" t="e">
        <f t="shared" ca="1" si="298"/>
        <v>#NAME?</v>
      </c>
      <c r="H1688" s="100" t="e">
        <f t="shared" ca="1" si="299"/>
        <v>#NAME?</v>
      </c>
      <c r="I1688" s="100" t="e">
        <f t="shared" ca="1" si="300"/>
        <v>#NAME?</v>
      </c>
      <c r="J1688" s="100" t="e">
        <f ca="1">IFERROR(__xludf.DUMMYFUNCTION("""COMPUTED_VALUE"""),"0")</f>
        <v>#NAME?</v>
      </c>
      <c r="K1688" s="100" t="e">
        <f t="shared" ca="1" si="301"/>
        <v>#NAME?</v>
      </c>
      <c r="L1688" s="100"/>
      <c r="M1688" s="100"/>
      <c r="N1688" s="100"/>
      <c r="O1688" s="100"/>
      <c r="P1688" s="100"/>
      <c r="Q1688" s="100"/>
      <c r="R1688" s="100"/>
      <c r="S1688" s="100"/>
      <c r="T1688" s="100"/>
      <c r="U1688" s="100"/>
      <c r="V1688" s="100"/>
      <c r="W1688" s="100"/>
      <c r="X1688" s="100"/>
      <c r="Y1688" s="100"/>
      <c r="Z1688" s="100"/>
    </row>
    <row r="1689" spans="1:26">
      <c r="A1689" s="100" t="e">
        <f ca="1">IFERROR(__xludf.DUMMYFUNCTION("""COMPUTED_VALUE"""),58785024)</f>
        <v>#NAME?</v>
      </c>
      <c r="B1689" s="100" t="e">
        <f ca="1">IFERROR(__xludf.DUMMYFUNCTION("""COMPUTED_VALUE"""),"AXSETH")</f>
        <v>#NAME?</v>
      </c>
      <c r="C1689" s="100" t="e">
        <f ca="1">IFERROR(__xludf.DUMMYFUNCTION("""COMPUTED_VALUE"""),"0.00140200")</f>
        <v>#NAME?</v>
      </c>
      <c r="D1689" s="100" t="e">
        <f t="shared" ca="1" si="303"/>
        <v>#NAME?</v>
      </c>
      <c r="E1689" s="100" t="e">
        <f t="shared" ca="1" si="303"/>
        <v>#NAME?</v>
      </c>
      <c r="F1689" s="100" t="e">
        <f t="shared" ca="1" si="297"/>
        <v>#NAME?</v>
      </c>
      <c r="G1689" s="100" t="e">
        <f t="shared" ca="1" si="298"/>
        <v>#NAME?</v>
      </c>
      <c r="H1689" s="100" t="e">
        <f t="shared" ca="1" si="299"/>
        <v>#NAME?</v>
      </c>
      <c r="I1689" s="100" t="e">
        <f t="shared" ca="1" si="300"/>
        <v>#NAME?</v>
      </c>
      <c r="J1689" s="100" t="e">
        <f ca="1">IFERROR(__xludf.DUMMYFUNCTION("""COMPUTED_VALUE"""),"-2.841")</f>
        <v>#NAME?</v>
      </c>
      <c r="K1689" s="100" t="e">
        <f t="shared" ca="1" si="301"/>
        <v>#NAME?</v>
      </c>
      <c r="L1689" s="100"/>
      <c r="M1689" s="100"/>
      <c r="N1689" s="100"/>
      <c r="O1689" s="100"/>
      <c r="P1689" s="100"/>
      <c r="Q1689" s="100"/>
      <c r="R1689" s="100"/>
      <c r="S1689" s="100"/>
      <c r="T1689" s="100"/>
      <c r="U1689" s="100"/>
      <c r="V1689" s="100"/>
      <c r="W1689" s="100"/>
      <c r="X1689" s="100"/>
      <c r="Y1689" s="100"/>
      <c r="Z1689" s="100"/>
    </row>
    <row r="1690" spans="1:26">
      <c r="A1690" s="100" t="e">
        <f ca="1">IFERROR(__xludf.DUMMYFUNCTION("""COMPUTED_VALUE"""),58785025)</f>
        <v>#NAME?</v>
      </c>
      <c r="B1690" s="100" t="e">
        <f ca="1">IFERROR(__xludf.DUMMYFUNCTION("""COMPUTED_VALUE"""),"FTMETH")</f>
        <v>#NAME?</v>
      </c>
      <c r="C1690" s="100" t="e">
        <f ca="1">IFERROR(__xludf.DUMMYFUNCTION("""COMPUTED_VALUE"""),"0.00021480")</f>
        <v>#NAME?</v>
      </c>
      <c r="D1690" s="100" t="e">
        <f t="shared" ca="1" si="303"/>
        <v>#NAME?</v>
      </c>
      <c r="E1690" s="100" t="e">
        <f t="shared" ca="1" si="303"/>
        <v>#NAME?</v>
      </c>
      <c r="F1690" s="100" t="e">
        <f t="shared" ca="1" si="297"/>
        <v>#NAME?</v>
      </c>
      <c r="G1690" s="100" t="e">
        <f t="shared" ca="1" si="298"/>
        <v>#NAME?</v>
      </c>
      <c r="H1690" s="100" t="e">
        <f t="shared" ca="1" si="299"/>
        <v>#NAME?</v>
      </c>
      <c r="I1690" s="100" t="e">
        <f t="shared" ca="1" si="300"/>
        <v>#NAME?</v>
      </c>
      <c r="J1690" s="100" t="e">
        <f ca="1">IFERROR(__xludf.DUMMYFUNCTION("""COMPUTED_VALUE"""),"0")</f>
        <v>#NAME?</v>
      </c>
      <c r="K1690" s="100" t="e">
        <f t="shared" ca="1" si="301"/>
        <v>#NAME?</v>
      </c>
      <c r="L1690" s="100"/>
      <c r="M1690" s="100"/>
      <c r="N1690" s="100"/>
      <c r="O1690" s="100"/>
      <c r="P1690" s="100"/>
      <c r="Q1690" s="100"/>
      <c r="R1690" s="100"/>
      <c r="S1690" s="100"/>
      <c r="T1690" s="100"/>
      <c r="U1690" s="100"/>
      <c r="V1690" s="100"/>
      <c r="W1690" s="100"/>
      <c r="X1690" s="100"/>
      <c r="Y1690" s="100"/>
      <c r="Z1690" s="100"/>
    </row>
    <row r="1691" spans="1:26">
      <c r="A1691" s="100" t="e">
        <f ca="1">IFERROR(__xludf.DUMMYFUNCTION("""COMPUTED_VALUE"""),58785026)</f>
        <v>#NAME?</v>
      </c>
      <c r="B1691" s="100" t="e">
        <f ca="1">IFERROR(__xludf.DUMMYFUNCTION("""COMPUTED_VALUE"""),"SOLETH")</f>
        <v>#NAME?</v>
      </c>
      <c r="C1691" s="100" t="e">
        <f ca="1">IFERROR(__xludf.DUMMYFUNCTION("""COMPUTED_VALUE"""),"0.08619000")</f>
        <v>#NAME?</v>
      </c>
      <c r="D1691" s="100" t="e">
        <f t="shared" ca="1" si="303"/>
        <v>#NAME?</v>
      </c>
      <c r="E1691" s="100" t="e">
        <f t="shared" ca="1" si="303"/>
        <v>#NAME?</v>
      </c>
      <c r="F1691" s="100" t="e">
        <f t="shared" ca="1" si="297"/>
        <v>#NAME?</v>
      </c>
      <c r="G1691" s="100" t="e">
        <f t="shared" ca="1" si="298"/>
        <v>#NAME?</v>
      </c>
      <c r="H1691" s="100" t="e">
        <f t="shared" ca="1" si="299"/>
        <v>#NAME?</v>
      </c>
      <c r="I1691" s="100" t="e">
        <f t="shared" ca="1" si="300"/>
        <v>#NAME?</v>
      </c>
      <c r="J1691" s="100" t="e">
        <f ca="1">IFERROR(__xludf.DUMMYFUNCTION("""COMPUTED_VALUE"""),"0.984")</f>
        <v>#NAME?</v>
      </c>
      <c r="K1691" s="100" t="e">
        <f t="shared" ca="1" si="301"/>
        <v>#NAME?</v>
      </c>
      <c r="L1691" s="100"/>
      <c r="M1691" s="100"/>
      <c r="N1691" s="100"/>
      <c r="O1691" s="100"/>
      <c r="P1691" s="100"/>
      <c r="Q1691" s="100"/>
      <c r="R1691" s="100"/>
      <c r="S1691" s="100"/>
      <c r="T1691" s="100"/>
      <c r="U1691" s="100"/>
      <c r="V1691" s="100"/>
      <c r="W1691" s="100"/>
      <c r="X1691" s="100"/>
      <c r="Y1691" s="100"/>
      <c r="Z1691" s="100"/>
    </row>
    <row r="1692" spans="1:26">
      <c r="A1692" s="100" t="e">
        <f ca="1">IFERROR(__xludf.DUMMYFUNCTION("""COMPUTED_VALUE"""),58785027)</f>
        <v>#NAME?</v>
      </c>
      <c r="B1692" s="100" t="e">
        <f ca="1">IFERROR(__xludf.DUMMYFUNCTION("""COMPUTED_VALUE"""),"SSVBTC")</f>
        <v>#NAME?</v>
      </c>
      <c r="C1692" s="100" t="e">
        <f ca="1">IFERROR(__xludf.DUMMYFUNCTION("""COMPUTED_VALUE"""),"0.00006420")</f>
        <v>#NAME?</v>
      </c>
      <c r="D1692" s="100" t="e">
        <f t="shared" ca="1" si="303"/>
        <v>#NAME?</v>
      </c>
      <c r="E1692" s="100" t="e">
        <f t="shared" ca="1" si="303"/>
        <v>#NAME?</v>
      </c>
      <c r="F1692" s="100" t="e">
        <f t="shared" ca="1" si="297"/>
        <v>#NAME?</v>
      </c>
      <c r="G1692" s="100" t="e">
        <f t="shared" ca="1" si="298"/>
        <v>#NAME?</v>
      </c>
      <c r="H1692" s="100" t="e">
        <f t="shared" ca="1" si="299"/>
        <v>#NAME?</v>
      </c>
      <c r="I1692" s="100" t="e">
        <f t="shared" ca="1" si="300"/>
        <v>#NAME?</v>
      </c>
      <c r="J1692" s="100" t="e">
        <f ca="1">IFERROR(__xludf.DUMMYFUNCTION("""COMPUTED_VALUE"""),"-2.727")</f>
        <v>#NAME?</v>
      </c>
      <c r="K1692" s="100" t="e">
        <f t="shared" ca="1" si="301"/>
        <v>#NAME?</v>
      </c>
      <c r="L1692" s="100"/>
      <c r="M1692" s="100"/>
      <c r="N1692" s="100"/>
      <c r="O1692" s="100"/>
      <c r="P1692" s="100"/>
      <c r="Q1692" s="100"/>
      <c r="R1692" s="100"/>
      <c r="S1692" s="100"/>
      <c r="T1692" s="100"/>
      <c r="U1692" s="100"/>
      <c r="V1692" s="100"/>
      <c r="W1692" s="100"/>
      <c r="X1692" s="100"/>
      <c r="Y1692" s="100"/>
      <c r="Z1692" s="100"/>
    </row>
    <row r="1693" spans="1:26">
      <c r="A1693" s="100" t="e">
        <f ca="1">IFERROR(__xludf.DUMMYFUNCTION("""COMPUTED_VALUE"""),58785028)</f>
        <v>#NAME?</v>
      </c>
      <c r="B1693" s="100" t="e">
        <f ca="1">IFERROR(__xludf.DUMMYFUNCTION("""COMPUTED_VALUE"""),"SSVETH")</f>
        <v>#NAME?</v>
      </c>
      <c r="C1693" s="100" t="e">
        <f ca="1">IFERROR(__xludf.DUMMYFUNCTION("""COMPUTED_VALUE"""),"0.00353500")</f>
        <v>#NAME?</v>
      </c>
      <c r="D1693" s="100" t="e">
        <f t="shared" ca="1" si="303"/>
        <v>#NAME?</v>
      </c>
      <c r="E1693" s="100" t="e">
        <f t="shared" ca="1" si="303"/>
        <v>#NAME?</v>
      </c>
      <c r="F1693" s="100" t="e">
        <f t="shared" ca="1" si="297"/>
        <v>#NAME?</v>
      </c>
      <c r="G1693" s="100" t="e">
        <f t="shared" ca="1" si="298"/>
        <v>#NAME?</v>
      </c>
      <c r="H1693" s="100" t="e">
        <f t="shared" ca="1" si="299"/>
        <v>#NAME?</v>
      </c>
      <c r="I1693" s="100" t="e">
        <f t="shared" ca="1" si="300"/>
        <v>#NAME?</v>
      </c>
      <c r="J1693" s="100" t="e">
        <f ca="1">IFERROR(__xludf.DUMMYFUNCTION("""COMPUTED_VALUE"""),"-0.198")</f>
        <v>#NAME?</v>
      </c>
      <c r="K1693" s="100" t="e">
        <f t="shared" ca="1" si="301"/>
        <v>#NAME?</v>
      </c>
      <c r="L1693" s="100"/>
      <c r="M1693" s="100"/>
      <c r="N1693" s="100"/>
      <c r="O1693" s="100"/>
      <c r="P1693" s="100"/>
      <c r="Q1693" s="100"/>
      <c r="R1693" s="100"/>
      <c r="S1693" s="100"/>
      <c r="T1693" s="100"/>
      <c r="U1693" s="100"/>
      <c r="V1693" s="100"/>
      <c r="W1693" s="100"/>
      <c r="X1693" s="100"/>
      <c r="Y1693" s="100"/>
      <c r="Z1693" s="100"/>
    </row>
    <row r="1694" spans="1:26">
      <c r="A1694" s="100" t="e">
        <f ca="1">IFERROR(__xludf.DUMMYFUNCTION("""COMPUTED_VALUE"""),58785029)</f>
        <v>#NAME?</v>
      </c>
      <c r="B1694" s="100" t="e">
        <f ca="1">IFERROR(__xludf.DUMMYFUNCTION("""COMPUTED_VALUE"""),"LAZIOTRY")</f>
        <v>#NAME?</v>
      </c>
      <c r="C1694" s="100" t="e">
        <f ca="1">IFERROR(__xludf.DUMMYFUNCTION("""COMPUTED_VALUE"""),"36.43000000")</f>
        <v>#NAME?</v>
      </c>
      <c r="D1694" s="100" t="e">
        <f t="shared" ca="1" si="303"/>
        <v>#NAME?</v>
      </c>
      <c r="E1694" s="100" t="e">
        <f t="shared" ca="1" si="303"/>
        <v>#NAME?</v>
      </c>
      <c r="F1694" s="100" t="e">
        <f t="shared" ca="1" si="297"/>
        <v>#NAME?</v>
      </c>
      <c r="G1694" s="100" t="e">
        <f t="shared" ca="1" si="298"/>
        <v>#NAME?</v>
      </c>
      <c r="H1694" s="100" t="e">
        <f t="shared" ca="1" si="299"/>
        <v>#NAME?</v>
      </c>
      <c r="I1694" s="100" t="e">
        <f t="shared" ca="1" si="300"/>
        <v>#NAME?</v>
      </c>
      <c r="J1694" s="100" t="e">
        <f ca="1">IFERROR(__xludf.DUMMYFUNCTION("""COMPUTED_VALUE"""),"0.248")</f>
        <v>#NAME?</v>
      </c>
      <c r="K1694" s="100" t="e">
        <f t="shared" ca="1" si="301"/>
        <v>#NAME?</v>
      </c>
      <c r="L1694" s="100"/>
      <c r="M1694" s="100"/>
      <c r="N1694" s="100"/>
      <c r="O1694" s="100"/>
      <c r="P1694" s="100"/>
      <c r="Q1694" s="100"/>
      <c r="R1694" s="100"/>
      <c r="S1694" s="100"/>
      <c r="T1694" s="100"/>
      <c r="U1694" s="100"/>
      <c r="V1694" s="100"/>
      <c r="W1694" s="100"/>
      <c r="X1694" s="100"/>
      <c r="Y1694" s="100"/>
      <c r="Z1694" s="100"/>
    </row>
    <row r="1695" spans="1:26">
      <c r="A1695" s="100" t="e">
        <f ca="1">IFERROR(__xludf.DUMMYFUNCTION("""COMPUTED_VALUE"""),58785030)</f>
        <v>#NAME?</v>
      </c>
      <c r="B1695" s="100" t="e">
        <f ca="1">IFERROR(__xludf.DUMMYFUNCTION("""COMPUTED_VALUE"""),"LAZIOEUR")</f>
        <v>#NAME?</v>
      </c>
      <c r="C1695" s="100" t="e">
        <f ca="1">IFERROR(__xludf.DUMMYFUNCTION("""COMPUTED_VALUE"""),"2.54800000")</f>
        <v>#NAME?</v>
      </c>
      <c r="D1695" s="100" t="e">
        <f t="shared" ca="1" si="303"/>
        <v>#NAME?</v>
      </c>
      <c r="E1695" s="100" t="e">
        <f t="shared" ca="1" si="303"/>
        <v>#NAME?</v>
      </c>
      <c r="F1695" s="100" t="e">
        <f t="shared" ca="1" si="297"/>
        <v>#NAME?</v>
      </c>
      <c r="G1695" s="100" t="e">
        <f t="shared" ca="1" si="298"/>
        <v>#NAME?</v>
      </c>
      <c r="H1695" s="100" t="e">
        <f t="shared" ca="1" si="299"/>
        <v>#NAME?</v>
      </c>
      <c r="I1695" s="100" t="e">
        <f t="shared" ca="1" si="300"/>
        <v>#NAME?</v>
      </c>
      <c r="J1695" s="100" t="e">
        <f ca="1">IFERROR(__xludf.DUMMYFUNCTION("""COMPUTED_VALUE"""),"0")</f>
        <v>#NAME?</v>
      </c>
      <c r="K1695" s="100" t="e">
        <f t="shared" ca="1" si="301"/>
        <v>#NAME?</v>
      </c>
      <c r="L1695" s="100"/>
      <c r="M1695" s="100"/>
      <c r="N1695" s="100"/>
      <c r="O1695" s="100"/>
      <c r="P1695" s="100"/>
      <c r="Q1695" s="100"/>
      <c r="R1695" s="100"/>
      <c r="S1695" s="100"/>
      <c r="T1695" s="100"/>
      <c r="U1695" s="100"/>
      <c r="V1695" s="100"/>
      <c r="W1695" s="100"/>
      <c r="X1695" s="100"/>
      <c r="Y1695" s="100"/>
      <c r="Z1695" s="100"/>
    </row>
    <row r="1696" spans="1:26">
      <c r="A1696" s="100" t="e">
        <f ca="1">IFERROR(__xludf.DUMMYFUNCTION("""COMPUTED_VALUE"""),58785031)</f>
        <v>#NAME?</v>
      </c>
      <c r="B1696" s="100" t="e">
        <f ca="1">IFERROR(__xludf.DUMMYFUNCTION("""COMPUTED_VALUE"""),"LAZIOBTC")</f>
        <v>#NAME?</v>
      </c>
      <c r="C1696" s="100" t="e">
        <f ca="1">IFERROR(__xludf.DUMMYFUNCTION("""COMPUTED_VALUE"""),"0.00003995")</f>
        <v>#NAME?</v>
      </c>
      <c r="D1696" s="100" t="e">
        <f t="shared" ca="1" si="303"/>
        <v>#NAME?</v>
      </c>
      <c r="E1696" s="100" t="e">
        <f t="shared" ca="1" si="303"/>
        <v>#NAME?</v>
      </c>
      <c r="F1696" s="100" t="e">
        <f t="shared" ca="1" si="297"/>
        <v>#NAME?</v>
      </c>
      <c r="G1696" s="100" t="e">
        <f t="shared" ca="1" si="298"/>
        <v>#NAME?</v>
      </c>
      <c r="H1696" s="100" t="e">
        <f t="shared" ca="1" si="299"/>
        <v>#NAME?</v>
      </c>
      <c r="I1696" s="100" t="e">
        <f t="shared" ca="1" si="300"/>
        <v>#NAME?</v>
      </c>
      <c r="J1696" s="100" t="e">
        <f ca="1">IFERROR(__xludf.DUMMYFUNCTION("""COMPUTED_VALUE"""),"0")</f>
        <v>#NAME?</v>
      </c>
      <c r="K1696" s="100" t="e">
        <f t="shared" ca="1" si="301"/>
        <v>#NAME?</v>
      </c>
      <c r="L1696" s="100"/>
      <c r="M1696" s="100"/>
      <c r="N1696" s="100"/>
      <c r="O1696" s="100"/>
      <c r="P1696" s="100"/>
      <c r="Q1696" s="100"/>
      <c r="R1696" s="100"/>
      <c r="S1696" s="100"/>
      <c r="T1696" s="100"/>
      <c r="U1696" s="100"/>
      <c r="V1696" s="100"/>
      <c r="W1696" s="100"/>
      <c r="X1696" s="100"/>
      <c r="Y1696" s="100"/>
      <c r="Z1696" s="100"/>
    </row>
    <row r="1697" spans="1:26">
      <c r="A1697" s="100" t="e">
        <f ca="1">IFERROR(__xludf.DUMMYFUNCTION("""COMPUTED_VALUE"""),58785032)</f>
        <v>#NAME?</v>
      </c>
      <c r="B1697" s="100" t="e">
        <f ca="1">IFERROR(__xludf.DUMMYFUNCTION("""COMPUTED_VALUE"""),"LAZIOUSDT")</f>
        <v>#NAME?</v>
      </c>
      <c r="C1697" s="100" t="e">
        <f ca="1">IFERROR(__xludf.DUMMYFUNCTION("""COMPUTED_VALUE"""),"0.95300000")</f>
        <v>#NAME?</v>
      </c>
      <c r="D1697" s="100" t="e">
        <f t="shared" ca="1" si="303"/>
        <v>#NAME?</v>
      </c>
      <c r="E1697" s="100" t="e">
        <f t="shared" ca="1" si="303"/>
        <v>#NAME?</v>
      </c>
      <c r="F1697" s="100" t="e">
        <f t="shared" ca="1" si="297"/>
        <v>#NAME?</v>
      </c>
      <c r="G1697" s="100" t="e">
        <f t="shared" ca="1" si="298"/>
        <v>#NAME?</v>
      </c>
      <c r="H1697" s="100" t="e">
        <f t="shared" ca="1" si="299"/>
        <v>#NAME?</v>
      </c>
      <c r="I1697" s="100" t="e">
        <f t="shared" ca="1" si="300"/>
        <v>#NAME?</v>
      </c>
      <c r="J1697" s="100" t="e">
        <f ca="1">IFERROR(__xludf.DUMMYFUNCTION("""COMPUTED_VALUE"""),"-0.105")</f>
        <v>#NAME?</v>
      </c>
      <c r="K1697" s="100" t="e">
        <f t="shared" ca="1" si="301"/>
        <v>#NAME?</v>
      </c>
      <c r="L1697" s="100"/>
      <c r="M1697" s="100"/>
      <c r="N1697" s="100"/>
      <c r="O1697" s="100"/>
      <c r="P1697" s="100"/>
      <c r="Q1697" s="100"/>
      <c r="R1697" s="100"/>
      <c r="S1697" s="100"/>
      <c r="T1697" s="100"/>
      <c r="U1697" s="100"/>
      <c r="V1697" s="100"/>
      <c r="W1697" s="100"/>
      <c r="X1697" s="100"/>
      <c r="Y1697" s="100"/>
      <c r="Z1697" s="100"/>
    </row>
    <row r="1698" spans="1:26">
      <c r="A1698" s="100" t="e">
        <f ca="1">IFERROR(__xludf.DUMMYFUNCTION("""COMPUTED_VALUE"""),58785033)</f>
        <v>#NAME?</v>
      </c>
      <c r="B1698" s="100" t="e">
        <f ca="1">IFERROR(__xludf.DUMMYFUNCTION("""COMPUTED_VALUE"""),"CHESSBTC")</f>
        <v>#NAME?</v>
      </c>
      <c r="C1698" s="100" t="e">
        <f ca="1">IFERROR(__xludf.DUMMYFUNCTION("""COMPUTED_VALUE"""),"0.00000272")</f>
        <v>#NAME?</v>
      </c>
      <c r="D1698" s="100" t="e">
        <f t="shared" ca="1" si="303"/>
        <v>#NAME?</v>
      </c>
      <c r="E1698" s="100" t="e">
        <f t="shared" ca="1" si="303"/>
        <v>#NAME?</v>
      </c>
      <c r="F1698" s="100" t="e">
        <f t="shared" ca="1" si="297"/>
        <v>#NAME?</v>
      </c>
      <c r="G1698" s="100" t="e">
        <f t="shared" ca="1" si="298"/>
        <v>#NAME?</v>
      </c>
      <c r="H1698" s="100" t="e">
        <f t="shared" ca="1" si="299"/>
        <v>#NAME?</v>
      </c>
      <c r="I1698" s="100" t="e">
        <f t="shared" ca="1" si="300"/>
        <v>#NAME?</v>
      </c>
      <c r="J1698" s="100" t="e">
        <f ca="1">IFERROR(__xludf.DUMMYFUNCTION("""COMPUTED_VALUE"""),"0")</f>
        <v>#NAME?</v>
      </c>
      <c r="K1698" s="100" t="e">
        <f t="shared" ca="1" si="301"/>
        <v>#NAME?</v>
      </c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</row>
    <row r="1699" spans="1:26">
      <c r="A1699" s="100" t="e">
        <f ca="1">IFERROR(__xludf.DUMMYFUNCTION("""COMPUTED_VALUE"""),58785034)</f>
        <v>#NAME?</v>
      </c>
      <c r="B1699" s="100" t="e">
        <f ca="1">IFERROR(__xludf.DUMMYFUNCTION("""COMPUTED_VALUE"""),"CHESSBNB")</f>
        <v>#NAME?</v>
      </c>
      <c r="C1699" s="100" t="e">
        <f ca="1">IFERROR(__xludf.DUMMYFUNCTION("""COMPUTED_VALUE"""),"0.00000000")</f>
        <v>#NAME?</v>
      </c>
      <c r="D1699" s="100" t="e">
        <f t="shared" ca="1" si="303"/>
        <v>#NAME?</v>
      </c>
      <c r="E1699" s="100" t="e">
        <f t="shared" ca="1" si="303"/>
        <v>#NAME?</v>
      </c>
      <c r="F1699" s="100" t="e">
        <f t="shared" ca="1" si="297"/>
        <v>#NAME?</v>
      </c>
      <c r="G1699" s="100" t="e">
        <f t="shared" ca="1" si="298"/>
        <v>#NAME?</v>
      </c>
      <c r="H1699" s="100" t="e">
        <f t="shared" ca="1" si="299"/>
        <v>#NAME?</v>
      </c>
      <c r="I1699" s="100" t="e">
        <f t="shared" ca="1" si="300"/>
        <v>#NAME?</v>
      </c>
      <c r="J1699" s="100" t="e">
        <f ca="1">IFERROR(__xludf.DUMMYFUNCTION("""COMPUTED_VALUE"""),"0")</f>
        <v>#NAME?</v>
      </c>
      <c r="K1699" s="100" t="e">
        <f t="shared" ca="1" si="301"/>
        <v>#NAME?</v>
      </c>
      <c r="L1699" s="100"/>
      <c r="M1699" s="100"/>
      <c r="N1699" s="100"/>
      <c r="O1699" s="100"/>
      <c r="P1699" s="100"/>
      <c r="Q1699" s="100"/>
      <c r="R1699" s="100"/>
      <c r="S1699" s="100"/>
      <c r="T1699" s="100"/>
      <c r="U1699" s="100"/>
      <c r="V1699" s="100"/>
      <c r="W1699" s="100"/>
      <c r="X1699" s="100"/>
      <c r="Y1699" s="100"/>
      <c r="Z1699" s="100"/>
    </row>
    <row r="1700" spans="1:26">
      <c r="A1700" s="100" t="e">
        <f ca="1">IFERROR(__xludf.DUMMYFUNCTION("""COMPUTED_VALUE"""),58785035)</f>
        <v>#NAME?</v>
      </c>
      <c r="B1700" s="100" t="e">
        <f ca="1">IFERROR(__xludf.DUMMYFUNCTION("""COMPUTED_VALUE"""),"CHESSBUSD")</f>
        <v>#NAME?</v>
      </c>
      <c r="C1700" s="100" t="e">
        <f ca="1">IFERROR(__xludf.DUMMYFUNCTION("""COMPUTED_VALUE"""),"0.12000000")</f>
        <v>#NAME?</v>
      </c>
      <c r="D1700" s="100" t="e">
        <f t="shared" ca="1" si="303"/>
        <v>#NAME?</v>
      </c>
      <c r="E1700" s="100" t="e">
        <f t="shared" ca="1" si="303"/>
        <v>#NAME?</v>
      </c>
      <c r="F1700" s="100" t="e">
        <f t="shared" ca="1" si="297"/>
        <v>#NAME?</v>
      </c>
      <c r="G1700" s="100" t="e">
        <f t="shared" ca="1" si="298"/>
        <v>#NAME?</v>
      </c>
      <c r="H1700" s="100" t="e">
        <f t="shared" ca="1" si="299"/>
        <v>#NAME?</v>
      </c>
      <c r="I1700" s="100" t="e">
        <f t="shared" ca="1" si="300"/>
        <v>#NAME?</v>
      </c>
      <c r="J1700" s="100" t="e">
        <f ca="1">IFERROR(__xludf.DUMMYFUNCTION("""COMPUTED_VALUE"""),"0")</f>
        <v>#NAME?</v>
      </c>
      <c r="K1700" s="100" t="e">
        <f t="shared" ca="1" si="301"/>
        <v>#NAME?</v>
      </c>
      <c r="L1700" s="100"/>
      <c r="M1700" s="100"/>
      <c r="N1700" s="100"/>
      <c r="O1700" s="100"/>
      <c r="P1700" s="100"/>
      <c r="Q1700" s="100"/>
      <c r="R1700" s="100"/>
      <c r="S1700" s="100"/>
      <c r="T1700" s="100"/>
      <c r="U1700" s="100"/>
      <c r="V1700" s="100"/>
      <c r="W1700" s="100"/>
      <c r="X1700" s="100"/>
      <c r="Y1700" s="100"/>
      <c r="Z1700" s="100"/>
    </row>
    <row r="1701" spans="1:26">
      <c r="A1701" s="100" t="e">
        <f ca="1">IFERROR(__xludf.DUMMYFUNCTION("""COMPUTED_VALUE"""),58785036)</f>
        <v>#NAME?</v>
      </c>
      <c r="B1701" s="100" t="e">
        <f ca="1">IFERROR(__xludf.DUMMYFUNCTION("""COMPUTED_VALUE"""),"CHESSUSDT")</f>
        <v>#NAME?</v>
      </c>
      <c r="C1701" s="100" t="e">
        <f ca="1">IFERROR(__xludf.DUMMYFUNCTION("""COMPUTED_VALUE"""),"0.05920000")</f>
        <v>#NAME?</v>
      </c>
      <c r="D1701" s="100" t="e">
        <f t="shared" ca="1" si="303"/>
        <v>#NAME?</v>
      </c>
      <c r="E1701" s="100" t="e">
        <f t="shared" ca="1" si="303"/>
        <v>#NAME?</v>
      </c>
      <c r="F1701" s="100" t="e">
        <f t="shared" ca="1" si="297"/>
        <v>#NAME?</v>
      </c>
      <c r="G1701" s="100" t="e">
        <f t="shared" ca="1" si="298"/>
        <v>#NAME?</v>
      </c>
      <c r="H1701" s="100" t="e">
        <f t="shared" ca="1" si="299"/>
        <v>#NAME?</v>
      </c>
      <c r="I1701" s="100" t="e">
        <f t="shared" ca="1" si="300"/>
        <v>#NAME?</v>
      </c>
      <c r="J1701" s="100" t="e">
        <f ca="1">IFERROR(__xludf.DUMMYFUNCTION("""COMPUTED_VALUE"""),"-0.169")</f>
        <v>#NAME?</v>
      </c>
      <c r="K1701" s="100" t="e">
        <f t="shared" ca="1" si="301"/>
        <v>#NAME?</v>
      </c>
      <c r="L1701" s="100"/>
      <c r="M1701" s="100"/>
      <c r="N1701" s="100"/>
      <c r="O1701" s="100"/>
      <c r="P1701" s="100"/>
      <c r="Q1701" s="100"/>
      <c r="R1701" s="100"/>
      <c r="S1701" s="100"/>
      <c r="T1701" s="100"/>
      <c r="U1701" s="100"/>
      <c r="V1701" s="100"/>
      <c r="W1701" s="100"/>
      <c r="X1701" s="100"/>
      <c r="Y1701" s="100"/>
      <c r="Z1701" s="100"/>
    </row>
    <row r="1702" spans="1:26">
      <c r="A1702" s="100" t="e">
        <f ca="1">IFERROR(__xludf.DUMMYFUNCTION("""COMPUTED_VALUE"""),58785037)</f>
        <v>#NAME?</v>
      </c>
      <c r="B1702" s="100" t="e">
        <f ca="1">IFERROR(__xludf.DUMMYFUNCTION("""COMPUTED_VALUE"""),"FTMAUD")</f>
        <v>#NAME?</v>
      </c>
      <c r="C1702" s="100" t="e">
        <f ca="1">IFERROR(__xludf.DUMMYFUNCTION("""COMPUTED_VALUE"""),"0.42000000")</f>
        <v>#NAME?</v>
      </c>
      <c r="D1702" s="100" t="e">
        <f t="shared" ref="D1702:E1721" ca="1" si="304">IFERROR(__xludf.DUMMYFUNCTION("""COMPUTED_VALUE"""),"-")</f>
        <v>#NAME?</v>
      </c>
      <c r="E1702" s="100" t="e">
        <f t="shared" ca="1" si="304"/>
        <v>#NAME?</v>
      </c>
      <c r="F1702" s="100" t="e">
        <f t="shared" ca="1" si="297"/>
        <v>#NAME?</v>
      </c>
      <c r="G1702" s="100" t="e">
        <f t="shared" ca="1" si="298"/>
        <v>#NAME?</v>
      </c>
      <c r="H1702" s="100" t="e">
        <f t="shared" ca="1" si="299"/>
        <v>#NAME?</v>
      </c>
      <c r="I1702" s="100" t="e">
        <f t="shared" ca="1" si="300"/>
        <v>#NAME?</v>
      </c>
      <c r="J1702" s="100" t="e">
        <f ca="1">IFERROR(__xludf.DUMMYFUNCTION("""COMPUTED_VALUE"""),"0")</f>
        <v>#NAME?</v>
      </c>
      <c r="K1702" s="100" t="e">
        <f t="shared" ca="1" si="301"/>
        <v>#NAME?</v>
      </c>
      <c r="L1702" s="100"/>
      <c r="M1702" s="100"/>
      <c r="N1702" s="100"/>
      <c r="O1702" s="100"/>
      <c r="P1702" s="100"/>
      <c r="Q1702" s="100"/>
      <c r="R1702" s="100"/>
      <c r="S1702" s="100"/>
      <c r="T1702" s="100"/>
      <c r="U1702" s="100"/>
      <c r="V1702" s="100"/>
      <c r="W1702" s="100"/>
      <c r="X1702" s="100"/>
      <c r="Y1702" s="100"/>
      <c r="Z1702" s="100"/>
    </row>
    <row r="1703" spans="1:26">
      <c r="A1703" s="100" t="e">
        <f ca="1">IFERROR(__xludf.DUMMYFUNCTION("""COMPUTED_VALUE"""),58785038)</f>
        <v>#NAME?</v>
      </c>
      <c r="B1703" s="100" t="e">
        <f ca="1">IFERROR(__xludf.DUMMYFUNCTION("""COMPUTED_VALUE"""),"FTMBRL")</f>
        <v>#NAME?</v>
      </c>
      <c r="C1703" s="100" t="e">
        <f ca="1">IFERROR(__xludf.DUMMYFUNCTION("""COMPUTED_VALUE"""),"1.92300000")</f>
        <v>#NAME?</v>
      </c>
      <c r="D1703" s="100" t="e">
        <f t="shared" ca="1" si="304"/>
        <v>#NAME?</v>
      </c>
      <c r="E1703" s="100" t="e">
        <f t="shared" ca="1" si="304"/>
        <v>#NAME?</v>
      </c>
      <c r="F1703" s="100" t="e">
        <f t="shared" ca="1" si="297"/>
        <v>#NAME?</v>
      </c>
      <c r="G1703" s="100" t="e">
        <f t="shared" ca="1" si="298"/>
        <v>#NAME?</v>
      </c>
      <c r="H1703" s="100" t="e">
        <f t="shared" ca="1" si="299"/>
        <v>#NAME?</v>
      </c>
      <c r="I1703" s="100" t="e">
        <f t="shared" ca="1" si="300"/>
        <v>#NAME?</v>
      </c>
      <c r="J1703" s="100" t="e">
        <f ca="1">IFERROR(__xludf.DUMMYFUNCTION("""COMPUTED_VALUE"""),"0")</f>
        <v>#NAME?</v>
      </c>
      <c r="K1703" s="100" t="e">
        <f t="shared" ca="1" si="301"/>
        <v>#NAME?</v>
      </c>
      <c r="L1703" s="100"/>
      <c r="M1703" s="100"/>
      <c r="N1703" s="100"/>
      <c r="O1703" s="100"/>
      <c r="P1703" s="100"/>
      <c r="Q1703" s="100"/>
      <c r="R1703" s="100"/>
      <c r="S1703" s="100"/>
      <c r="T1703" s="100"/>
      <c r="U1703" s="100"/>
      <c r="V1703" s="100"/>
      <c r="W1703" s="100"/>
      <c r="X1703" s="100"/>
      <c r="Y1703" s="100"/>
      <c r="Z1703" s="100"/>
    </row>
    <row r="1704" spans="1:26">
      <c r="A1704" s="100" t="e">
        <f ca="1">IFERROR(__xludf.DUMMYFUNCTION("""COMPUTED_VALUE"""),58785039)</f>
        <v>#NAME?</v>
      </c>
      <c r="B1704" s="100" t="e">
        <f ca="1">IFERROR(__xludf.DUMMYFUNCTION("""COMPUTED_VALUE"""),"SCRTBUSD")</f>
        <v>#NAME?</v>
      </c>
      <c r="C1704" s="100" t="e">
        <f ca="1">IFERROR(__xludf.DUMMYFUNCTION("""COMPUTED_VALUE"""),"0.26290000")</f>
        <v>#NAME?</v>
      </c>
      <c r="D1704" s="100" t="e">
        <f t="shared" ca="1" si="304"/>
        <v>#NAME?</v>
      </c>
      <c r="E1704" s="100" t="e">
        <f t="shared" ca="1" si="304"/>
        <v>#NAME?</v>
      </c>
      <c r="F1704" s="100" t="e">
        <f t="shared" ca="1" si="297"/>
        <v>#NAME?</v>
      </c>
      <c r="G1704" s="100" t="e">
        <f t="shared" ca="1" si="298"/>
        <v>#NAME?</v>
      </c>
      <c r="H1704" s="100" t="e">
        <f t="shared" ca="1" si="299"/>
        <v>#NAME?</v>
      </c>
      <c r="I1704" s="100" t="e">
        <f t="shared" ca="1" si="300"/>
        <v>#NAME?</v>
      </c>
      <c r="J1704" s="100" t="e">
        <f ca="1">IFERROR(__xludf.DUMMYFUNCTION("""COMPUTED_VALUE"""),"0")</f>
        <v>#NAME?</v>
      </c>
      <c r="K1704" s="100" t="e">
        <f t="shared" ca="1" si="301"/>
        <v>#NAME?</v>
      </c>
      <c r="L1704" s="100"/>
      <c r="M1704" s="100"/>
      <c r="N1704" s="100"/>
      <c r="O1704" s="100"/>
      <c r="P1704" s="100"/>
      <c r="Q1704" s="100"/>
      <c r="R1704" s="100"/>
      <c r="S1704" s="100"/>
      <c r="T1704" s="100"/>
      <c r="U1704" s="100"/>
      <c r="V1704" s="100"/>
      <c r="W1704" s="100"/>
      <c r="X1704" s="100"/>
      <c r="Y1704" s="100"/>
      <c r="Z1704" s="100"/>
    </row>
    <row r="1705" spans="1:26">
      <c r="A1705" s="100" t="e">
        <f ca="1">IFERROR(__xludf.DUMMYFUNCTION("""COMPUTED_VALUE"""),58785040)</f>
        <v>#NAME?</v>
      </c>
      <c r="B1705" s="100" t="e">
        <f ca="1">IFERROR(__xludf.DUMMYFUNCTION("""COMPUTED_VALUE"""),"ADXUSDT")</f>
        <v>#NAME?</v>
      </c>
      <c r="C1705" s="100" t="e">
        <f ca="1">IFERROR(__xludf.DUMMYFUNCTION("""COMPUTED_VALUE"""),"0.08860000")</f>
        <v>#NAME?</v>
      </c>
      <c r="D1705" s="100" t="e">
        <f t="shared" ca="1" si="304"/>
        <v>#NAME?</v>
      </c>
      <c r="E1705" s="100" t="e">
        <f t="shared" ca="1" si="304"/>
        <v>#NAME?</v>
      </c>
      <c r="F1705" s="100" t="e">
        <f t="shared" ca="1" si="297"/>
        <v>#NAME?</v>
      </c>
      <c r="G1705" s="100" t="e">
        <f t="shared" ca="1" si="298"/>
        <v>#NAME?</v>
      </c>
      <c r="H1705" s="100" t="e">
        <f t="shared" ca="1" si="299"/>
        <v>#NAME?</v>
      </c>
      <c r="I1705" s="100" t="e">
        <f t="shared" ca="1" si="300"/>
        <v>#NAME?</v>
      </c>
      <c r="J1705" s="100" t="e">
        <f ca="1">IFERROR(__xludf.DUMMYFUNCTION("""COMPUTED_VALUE"""),"0.113")</f>
        <v>#NAME?</v>
      </c>
      <c r="K1705" s="100" t="e">
        <f t="shared" ca="1" si="301"/>
        <v>#NAME?</v>
      </c>
      <c r="L1705" s="100"/>
      <c r="M1705" s="100"/>
      <c r="N1705" s="100"/>
      <c r="O1705" s="100"/>
      <c r="P1705" s="100"/>
      <c r="Q1705" s="100"/>
      <c r="R1705" s="100"/>
      <c r="S1705" s="100"/>
      <c r="T1705" s="100"/>
      <c r="U1705" s="100"/>
      <c r="V1705" s="100"/>
      <c r="W1705" s="100"/>
      <c r="X1705" s="100"/>
      <c r="Y1705" s="100"/>
      <c r="Z1705" s="100"/>
    </row>
    <row r="1706" spans="1:26">
      <c r="A1706" s="100" t="e">
        <f ca="1">IFERROR(__xludf.DUMMYFUNCTION("""COMPUTED_VALUE"""),58785041)</f>
        <v>#NAME?</v>
      </c>
      <c r="B1706" s="100" t="e">
        <f ca="1">IFERROR(__xludf.DUMMYFUNCTION("""COMPUTED_VALUE"""),"AUCTIONUSDT")</f>
        <v>#NAME?</v>
      </c>
      <c r="C1706" s="100" t="e">
        <f ca="1">IFERROR(__xludf.DUMMYFUNCTION("""COMPUTED_VALUE"""),"11.09000000")</f>
        <v>#NAME?</v>
      </c>
      <c r="D1706" s="100" t="e">
        <f t="shared" ca="1" si="304"/>
        <v>#NAME?</v>
      </c>
      <c r="E1706" s="100" t="e">
        <f t="shared" ca="1" si="304"/>
        <v>#NAME?</v>
      </c>
      <c r="F1706" s="100" t="e">
        <f t="shared" ca="1" si="297"/>
        <v>#NAME?</v>
      </c>
      <c r="G1706" s="100" t="e">
        <f t="shared" ca="1" si="298"/>
        <v>#NAME?</v>
      </c>
      <c r="H1706" s="100" t="e">
        <f t="shared" ca="1" si="299"/>
        <v>#NAME?</v>
      </c>
      <c r="I1706" s="100" t="e">
        <f t="shared" ca="1" si="300"/>
        <v>#NAME?</v>
      </c>
      <c r="J1706" s="100" t="e">
        <f ca="1">IFERROR(__xludf.DUMMYFUNCTION("""COMPUTED_VALUE"""),"-2.719")</f>
        <v>#NAME?</v>
      </c>
      <c r="K1706" s="100" t="e">
        <f t="shared" ca="1" si="301"/>
        <v>#NAME?</v>
      </c>
      <c r="L1706" s="100"/>
      <c r="M1706" s="100"/>
      <c r="N1706" s="100"/>
      <c r="O1706" s="100"/>
      <c r="P1706" s="100"/>
      <c r="Q1706" s="100"/>
      <c r="R1706" s="100"/>
      <c r="S1706" s="100"/>
      <c r="T1706" s="100"/>
      <c r="U1706" s="100"/>
      <c r="V1706" s="100"/>
      <c r="W1706" s="100"/>
      <c r="X1706" s="100"/>
      <c r="Y1706" s="100"/>
      <c r="Z1706" s="100"/>
    </row>
    <row r="1707" spans="1:26">
      <c r="A1707" s="100" t="e">
        <f ca="1">IFERROR(__xludf.DUMMYFUNCTION("""COMPUTED_VALUE"""),58785042)</f>
        <v>#NAME?</v>
      </c>
      <c r="B1707" s="100" t="e">
        <f ca="1">IFERROR(__xludf.DUMMYFUNCTION("""COMPUTED_VALUE"""),"CELOBUSD")</f>
        <v>#NAME?</v>
      </c>
      <c r="C1707" s="100" t="e">
        <f ca="1">IFERROR(__xludf.DUMMYFUNCTION("""COMPUTED_VALUE"""),"0.47000000")</f>
        <v>#NAME?</v>
      </c>
      <c r="D1707" s="100" t="e">
        <f t="shared" ca="1" si="304"/>
        <v>#NAME?</v>
      </c>
      <c r="E1707" s="100" t="e">
        <f t="shared" ca="1" si="304"/>
        <v>#NAME?</v>
      </c>
      <c r="F1707" s="100" t="e">
        <f t="shared" ca="1" si="297"/>
        <v>#NAME?</v>
      </c>
      <c r="G1707" s="100" t="e">
        <f t="shared" ca="1" si="298"/>
        <v>#NAME?</v>
      </c>
      <c r="H1707" s="100" t="e">
        <f t="shared" ca="1" si="299"/>
        <v>#NAME?</v>
      </c>
      <c r="I1707" s="100" t="e">
        <f t="shared" ca="1" si="300"/>
        <v>#NAME?</v>
      </c>
      <c r="J1707" s="100" t="e">
        <f t="shared" ref="J1707:J1712" ca="1" si="305">IFERROR(__xludf.DUMMYFUNCTION("""COMPUTED_VALUE"""),"0")</f>
        <v>#NAME?</v>
      </c>
      <c r="K1707" s="100" t="e">
        <f t="shared" ca="1" si="301"/>
        <v>#NAME?</v>
      </c>
      <c r="L1707" s="100"/>
      <c r="M1707" s="100"/>
      <c r="N1707" s="100"/>
      <c r="O1707" s="100"/>
      <c r="P1707" s="100"/>
      <c r="Q1707" s="100"/>
      <c r="R1707" s="100"/>
      <c r="S1707" s="100"/>
      <c r="T1707" s="100"/>
      <c r="U1707" s="100"/>
      <c r="V1707" s="100"/>
      <c r="W1707" s="100"/>
      <c r="X1707" s="100"/>
      <c r="Y1707" s="100"/>
      <c r="Z1707" s="100"/>
    </row>
    <row r="1708" spans="1:26">
      <c r="A1708" s="100" t="e">
        <f ca="1">IFERROR(__xludf.DUMMYFUNCTION("""COMPUTED_VALUE"""),58785043)</f>
        <v>#NAME?</v>
      </c>
      <c r="B1708" s="100" t="e">
        <f ca="1">IFERROR(__xludf.DUMMYFUNCTION("""COMPUTED_VALUE"""),"FTMRUB")</f>
        <v>#NAME?</v>
      </c>
      <c r="C1708" s="100" t="e">
        <f ca="1">IFERROR(__xludf.DUMMYFUNCTION("""COMPUTED_VALUE"""),"36.85000000")</f>
        <v>#NAME?</v>
      </c>
      <c r="D1708" s="100" t="e">
        <f t="shared" ca="1" si="304"/>
        <v>#NAME?</v>
      </c>
      <c r="E1708" s="100" t="e">
        <f t="shared" ca="1" si="304"/>
        <v>#NAME?</v>
      </c>
      <c r="F1708" s="100" t="e">
        <f t="shared" ca="1" si="297"/>
        <v>#NAME?</v>
      </c>
      <c r="G1708" s="100" t="e">
        <f t="shared" ca="1" si="298"/>
        <v>#NAME?</v>
      </c>
      <c r="H1708" s="100" t="e">
        <f t="shared" ca="1" si="299"/>
        <v>#NAME?</v>
      </c>
      <c r="I1708" s="100" t="e">
        <f t="shared" ca="1" si="300"/>
        <v>#NAME?</v>
      </c>
      <c r="J1708" s="100" t="e">
        <f t="shared" ca="1" si="305"/>
        <v>#NAME?</v>
      </c>
      <c r="K1708" s="100" t="e">
        <f t="shared" ca="1" si="301"/>
        <v>#NAME?</v>
      </c>
      <c r="L1708" s="100"/>
      <c r="M1708" s="100"/>
      <c r="N1708" s="100"/>
      <c r="O1708" s="100"/>
      <c r="P1708" s="100"/>
      <c r="Q1708" s="100"/>
      <c r="R1708" s="100"/>
      <c r="S1708" s="100"/>
      <c r="T1708" s="100"/>
      <c r="U1708" s="100"/>
      <c r="V1708" s="100"/>
      <c r="W1708" s="100"/>
      <c r="X1708" s="100"/>
      <c r="Y1708" s="100"/>
      <c r="Z1708" s="100"/>
    </row>
    <row r="1709" spans="1:26">
      <c r="A1709" s="100" t="e">
        <f ca="1">IFERROR(__xludf.DUMMYFUNCTION("""COMPUTED_VALUE"""),58785044)</f>
        <v>#NAME?</v>
      </c>
      <c r="B1709" s="100" t="e">
        <f ca="1">IFERROR(__xludf.DUMMYFUNCTION("""COMPUTED_VALUE"""),"NUAUD")</f>
        <v>#NAME?</v>
      </c>
      <c r="C1709" s="100" t="e">
        <f ca="1">IFERROR(__xludf.DUMMYFUNCTION("""COMPUTED_VALUE"""),"0.00000000")</f>
        <v>#NAME?</v>
      </c>
      <c r="D1709" s="100" t="e">
        <f t="shared" ca="1" si="304"/>
        <v>#NAME?</v>
      </c>
      <c r="E1709" s="100" t="e">
        <f t="shared" ca="1" si="304"/>
        <v>#NAME?</v>
      </c>
      <c r="F1709" s="100" t="e">
        <f t="shared" ca="1" si="297"/>
        <v>#NAME?</v>
      </c>
      <c r="G1709" s="100" t="e">
        <f t="shared" ca="1" si="298"/>
        <v>#NAME?</v>
      </c>
      <c r="H1709" s="100" t="e">
        <f t="shared" ca="1" si="299"/>
        <v>#NAME?</v>
      </c>
      <c r="I1709" s="100" t="e">
        <f t="shared" ca="1" si="300"/>
        <v>#NAME?</v>
      </c>
      <c r="J1709" s="100" t="e">
        <f t="shared" ca="1" si="305"/>
        <v>#NAME?</v>
      </c>
      <c r="K1709" s="100" t="e">
        <f t="shared" ca="1" si="301"/>
        <v>#NAME?</v>
      </c>
      <c r="L1709" s="100"/>
      <c r="M1709" s="100"/>
      <c r="N1709" s="100"/>
      <c r="O1709" s="100"/>
      <c r="P1709" s="100"/>
      <c r="Q1709" s="100"/>
      <c r="R1709" s="100"/>
      <c r="S1709" s="100"/>
      <c r="T1709" s="100"/>
      <c r="U1709" s="100"/>
      <c r="V1709" s="100"/>
      <c r="W1709" s="100"/>
      <c r="X1709" s="100"/>
      <c r="Y1709" s="100"/>
      <c r="Z1709" s="100"/>
    </row>
    <row r="1710" spans="1:26">
      <c r="A1710" s="100" t="e">
        <f ca="1">IFERROR(__xludf.DUMMYFUNCTION("""COMPUTED_VALUE"""),58785045)</f>
        <v>#NAME?</v>
      </c>
      <c r="B1710" s="100" t="e">
        <f ca="1">IFERROR(__xludf.DUMMYFUNCTION("""COMPUTED_VALUE"""),"NURUB")</f>
        <v>#NAME?</v>
      </c>
      <c r="C1710" s="100" t="e">
        <f ca="1">IFERROR(__xludf.DUMMYFUNCTION("""COMPUTED_VALUE"""),"0.00000000")</f>
        <v>#NAME?</v>
      </c>
      <c r="D1710" s="100" t="e">
        <f t="shared" ca="1" si="304"/>
        <v>#NAME?</v>
      </c>
      <c r="E1710" s="100" t="e">
        <f t="shared" ca="1" si="304"/>
        <v>#NAME?</v>
      </c>
      <c r="F1710" s="100" t="e">
        <f t="shared" ca="1" si="297"/>
        <v>#NAME?</v>
      </c>
      <c r="G1710" s="100" t="e">
        <f t="shared" ca="1" si="298"/>
        <v>#NAME?</v>
      </c>
      <c r="H1710" s="100" t="e">
        <f t="shared" ca="1" si="299"/>
        <v>#NAME?</v>
      </c>
      <c r="I1710" s="100" t="e">
        <f t="shared" ca="1" si="300"/>
        <v>#NAME?</v>
      </c>
      <c r="J1710" s="100" t="e">
        <f t="shared" ca="1" si="305"/>
        <v>#NAME?</v>
      </c>
      <c r="K1710" s="100" t="e">
        <f t="shared" ca="1" si="301"/>
        <v>#NAME?</v>
      </c>
      <c r="L1710" s="100"/>
      <c r="M1710" s="100"/>
      <c r="N1710" s="100"/>
      <c r="O1710" s="100"/>
      <c r="P1710" s="100"/>
      <c r="Q1710" s="100"/>
      <c r="R1710" s="100"/>
      <c r="S1710" s="100"/>
      <c r="T1710" s="100"/>
      <c r="U1710" s="100"/>
      <c r="V1710" s="100"/>
      <c r="W1710" s="100"/>
      <c r="X1710" s="100"/>
      <c r="Y1710" s="100"/>
      <c r="Z1710" s="100"/>
    </row>
    <row r="1711" spans="1:26">
      <c r="A1711" s="100" t="e">
        <f ca="1">IFERROR(__xludf.DUMMYFUNCTION("""COMPUTED_VALUE"""),58785046)</f>
        <v>#NAME?</v>
      </c>
      <c r="B1711" s="100" t="e">
        <f ca="1">IFERROR(__xludf.DUMMYFUNCTION("""COMPUTED_VALUE"""),"REEFTRY")</f>
        <v>#NAME?</v>
      </c>
      <c r="C1711" s="100" t="e">
        <f ca="1">IFERROR(__xludf.DUMMYFUNCTION("""COMPUTED_VALUE"""),"0.02349000")</f>
        <v>#NAME?</v>
      </c>
      <c r="D1711" s="100" t="e">
        <f t="shared" ca="1" si="304"/>
        <v>#NAME?</v>
      </c>
      <c r="E1711" s="100" t="e">
        <f t="shared" ca="1" si="304"/>
        <v>#NAME?</v>
      </c>
      <c r="F1711" s="100" t="e">
        <f t="shared" ca="1" si="297"/>
        <v>#NAME?</v>
      </c>
      <c r="G1711" s="100" t="e">
        <f t="shared" ca="1" si="298"/>
        <v>#NAME?</v>
      </c>
      <c r="H1711" s="100" t="e">
        <f t="shared" ca="1" si="299"/>
        <v>#NAME?</v>
      </c>
      <c r="I1711" s="100" t="e">
        <f t="shared" ca="1" si="300"/>
        <v>#NAME?</v>
      </c>
      <c r="J1711" s="100" t="e">
        <f t="shared" ca="1" si="305"/>
        <v>#NAME?</v>
      </c>
      <c r="K1711" s="100" t="e">
        <f t="shared" ca="1" si="301"/>
        <v>#NAME?</v>
      </c>
      <c r="L1711" s="100"/>
      <c r="M1711" s="100"/>
      <c r="N1711" s="100"/>
      <c r="O1711" s="100"/>
      <c r="P1711" s="100"/>
      <c r="Q1711" s="100"/>
      <c r="R1711" s="100"/>
      <c r="S1711" s="100"/>
      <c r="T1711" s="100"/>
      <c r="U1711" s="100"/>
      <c r="V1711" s="100"/>
      <c r="W1711" s="100"/>
      <c r="X1711" s="100"/>
      <c r="Y1711" s="100"/>
      <c r="Z1711" s="100"/>
    </row>
    <row r="1712" spans="1:26">
      <c r="A1712" s="100" t="e">
        <f ca="1">IFERROR(__xludf.DUMMYFUNCTION("""COMPUTED_VALUE"""),58785047)</f>
        <v>#NAME?</v>
      </c>
      <c r="B1712" s="100" t="e">
        <f ca="1">IFERROR(__xludf.DUMMYFUNCTION("""COMPUTED_VALUE"""),"REEFBIDR")</f>
        <v>#NAME?</v>
      </c>
      <c r="C1712" s="100" t="e">
        <f ca="1">IFERROR(__xludf.DUMMYFUNCTION("""COMPUTED_VALUE"""),"0.00")</f>
        <v>#NAME?</v>
      </c>
      <c r="D1712" s="100" t="e">
        <f t="shared" ca="1" si="304"/>
        <v>#NAME?</v>
      </c>
      <c r="E1712" s="100" t="e">
        <f t="shared" ca="1" si="304"/>
        <v>#NAME?</v>
      </c>
      <c r="F1712" s="100" t="e">
        <f t="shared" ca="1" si="297"/>
        <v>#NAME?</v>
      </c>
      <c r="G1712" s="100" t="e">
        <f t="shared" ca="1" si="298"/>
        <v>#NAME?</v>
      </c>
      <c r="H1712" s="100" t="e">
        <f t="shared" ca="1" si="299"/>
        <v>#NAME?</v>
      </c>
      <c r="I1712" s="100" t="e">
        <f t="shared" ca="1" si="300"/>
        <v>#NAME?</v>
      </c>
      <c r="J1712" s="100" t="e">
        <f t="shared" ca="1" si="305"/>
        <v>#NAME?</v>
      </c>
      <c r="K1712" s="100" t="e">
        <f t="shared" ca="1" si="301"/>
        <v>#NAME?</v>
      </c>
      <c r="L1712" s="100"/>
      <c r="M1712" s="100"/>
      <c r="N1712" s="100"/>
      <c r="O1712" s="100"/>
      <c r="P1712" s="100"/>
      <c r="Q1712" s="100"/>
      <c r="R1712" s="100"/>
      <c r="S1712" s="100"/>
      <c r="T1712" s="100"/>
      <c r="U1712" s="100"/>
      <c r="V1712" s="100"/>
      <c r="W1712" s="100"/>
      <c r="X1712" s="100"/>
      <c r="Y1712" s="100"/>
      <c r="Z1712" s="100"/>
    </row>
    <row r="1713" spans="1:26">
      <c r="A1713" s="100" t="e">
        <f ca="1">IFERROR(__xludf.DUMMYFUNCTION("""COMPUTED_VALUE"""),58785048)</f>
        <v>#NAME?</v>
      </c>
      <c r="B1713" s="100" t="e">
        <f ca="1">IFERROR(__xludf.DUMMYFUNCTION("""COMPUTED_VALUE"""),"SHIBDOGE")</f>
        <v>#NAME?</v>
      </c>
      <c r="C1713" s="100" t="e">
        <f ca="1">IFERROR(__xludf.DUMMYFUNCTION("""COMPUTED_VALUE"""),"0.00007650")</f>
        <v>#NAME?</v>
      </c>
      <c r="D1713" s="100" t="e">
        <f t="shared" ca="1" si="304"/>
        <v>#NAME?</v>
      </c>
      <c r="E1713" s="100" t="e">
        <f t="shared" ca="1" si="304"/>
        <v>#NAME?</v>
      </c>
      <c r="F1713" s="100" t="e">
        <f t="shared" ca="1" si="297"/>
        <v>#NAME?</v>
      </c>
      <c r="G1713" s="100" t="e">
        <f t="shared" ca="1" si="298"/>
        <v>#NAME?</v>
      </c>
      <c r="H1713" s="100" t="e">
        <f t="shared" ca="1" si="299"/>
        <v>#NAME?</v>
      </c>
      <c r="I1713" s="100" t="e">
        <f t="shared" ca="1" si="300"/>
        <v>#NAME?</v>
      </c>
      <c r="J1713" s="100" t="e">
        <f ca="1">IFERROR(__xludf.DUMMYFUNCTION("""COMPUTED_VALUE"""),"-1.923")</f>
        <v>#NAME?</v>
      </c>
      <c r="K1713" s="100" t="e">
        <f t="shared" ca="1" si="301"/>
        <v>#NAME?</v>
      </c>
      <c r="L1713" s="100"/>
      <c r="M1713" s="100"/>
      <c r="N1713" s="100"/>
      <c r="O1713" s="100"/>
      <c r="P1713" s="100"/>
      <c r="Q1713" s="100"/>
      <c r="R1713" s="100"/>
      <c r="S1713" s="100"/>
      <c r="T1713" s="100"/>
      <c r="U1713" s="100"/>
      <c r="V1713" s="100"/>
      <c r="W1713" s="100"/>
      <c r="X1713" s="100"/>
      <c r="Y1713" s="100"/>
      <c r="Z1713" s="100"/>
    </row>
    <row r="1714" spans="1:26">
      <c r="A1714" s="100" t="e">
        <f ca="1">IFERROR(__xludf.DUMMYFUNCTION("""COMPUTED_VALUE"""),58785049)</f>
        <v>#NAME?</v>
      </c>
      <c r="B1714" s="100" t="e">
        <f ca="1">IFERROR(__xludf.DUMMYFUNCTION("""COMPUTED_VALUE"""),"DARUSDT")</f>
        <v>#NAME?</v>
      </c>
      <c r="C1714" s="100" t="e">
        <f ca="1">IFERROR(__xludf.DUMMYFUNCTION("""COMPUTED_VALUE"""),"0.21707000")</f>
        <v>#NAME?</v>
      </c>
      <c r="D1714" s="100" t="e">
        <f t="shared" ca="1" si="304"/>
        <v>#NAME?</v>
      </c>
      <c r="E1714" s="100" t="e">
        <f t="shared" ca="1" si="304"/>
        <v>#NAME?</v>
      </c>
      <c r="F1714" s="100" t="e">
        <f t="shared" ca="1" si="297"/>
        <v>#NAME?</v>
      </c>
      <c r="G1714" s="100" t="e">
        <f t="shared" ca="1" si="298"/>
        <v>#NAME?</v>
      </c>
      <c r="H1714" s="100" t="e">
        <f t="shared" ca="1" si="299"/>
        <v>#NAME?</v>
      </c>
      <c r="I1714" s="100" t="e">
        <f t="shared" ca="1" si="300"/>
        <v>#NAME?</v>
      </c>
      <c r="J1714" s="100" t="e">
        <f t="shared" ref="J1714:J1727" ca="1" si="306">IFERROR(__xludf.DUMMYFUNCTION("""COMPUTED_VALUE"""),"0")</f>
        <v>#NAME?</v>
      </c>
      <c r="K1714" s="100" t="e">
        <f t="shared" ca="1" si="301"/>
        <v>#NAME?</v>
      </c>
      <c r="L1714" s="100"/>
      <c r="M1714" s="100"/>
      <c r="N1714" s="100"/>
      <c r="O1714" s="100"/>
      <c r="P1714" s="100"/>
      <c r="Q1714" s="100"/>
      <c r="R1714" s="100"/>
      <c r="S1714" s="100"/>
      <c r="T1714" s="100"/>
      <c r="U1714" s="100"/>
      <c r="V1714" s="100"/>
      <c r="W1714" s="100"/>
      <c r="X1714" s="100"/>
      <c r="Y1714" s="100"/>
      <c r="Z1714" s="100"/>
    </row>
    <row r="1715" spans="1:26">
      <c r="A1715" s="100" t="e">
        <f ca="1">IFERROR(__xludf.DUMMYFUNCTION("""COMPUTED_VALUE"""),58785050)</f>
        <v>#NAME?</v>
      </c>
      <c r="B1715" s="100" t="e">
        <f ca="1">IFERROR(__xludf.DUMMYFUNCTION("""COMPUTED_VALUE"""),"DARBUSD")</f>
        <v>#NAME?</v>
      </c>
      <c r="C1715" s="100" t="e">
        <f ca="1">IFERROR(__xludf.DUMMYFUNCTION("""COMPUTED_VALUE"""),"0.07995000")</f>
        <v>#NAME?</v>
      </c>
      <c r="D1715" s="100" t="e">
        <f t="shared" ca="1" si="304"/>
        <v>#NAME?</v>
      </c>
      <c r="E1715" s="100" t="e">
        <f t="shared" ca="1" si="304"/>
        <v>#NAME?</v>
      </c>
      <c r="F1715" s="100" t="e">
        <f t="shared" ca="1" si="297"/>
        <v>#NAME?</v>
      </c>
      <c r="G1715" s="100" t="e">
        <f t="shared" ca="1" si="298"/>
        <v>#NAME?</v>
      </c>
      <c r="H1715" s="100" t="e">
        <f t="shared" ca="1" si="299"/>
        <v>#NAME?</v>
      </c>
      <c r="I1715" s="100" t="e">
        <f t="shared" ca="1" si="300"/>
        <v>#NAME?</v>
      </c>
      <c r="J1715" s="100" t="e">
        <f t="shared" ca="1" si="306"/>
        <v>#NAME?</v>
      </c>
      <c r="K1715" s="100" t="e">
        <f t="shared" ca="1" si="301"/>
        <v>#NAME?</v>
      </c>
      <c r="L1715" s="100"/>
      <c r="M1715" s="100"/>
      <c r="N1715" s="100"/>
      <c r="O1715" s="100"/>
      <c r="P1715" s="100"/>
      <c r="Q1715" s="100"/>
      <c r="R1715" s="100"/>
      <c r="S1715" s="100"/>
      <c r="T1715" s="100"/>
      <c r="U1715" s="100"/>
      <c r="V1715" s="100"/>
      <c r="W1715" s="100"/>
      <c r="X1715" s="100"/>
      <c r="Y1715" s="100"/>
      <c r="Z1715" s="100"/>
    </row>
    <row r="1716" spans="1:26">
      <c r="A1716" s="100" t="e">
        <f ca="1">IFERROR(__xludf.DUMMYFUNCTION("""COMPUTED_VALUE"""),58785051)</f>
        <v>#NAME?</v>
      </c>
      <c r="B1716" s="100" t="e">
        <f ca="1">IFERROR(__xludf.DUMMYFUNCTION("""COMPUTED_VALUE"""),"DARBNB")</f>
        <v>#NAME?</v>
      </c>
      <c r="C1716" s="100" t="e">
        <f ca="1">IFERROR(__xludf.DUMMYFUNCTION("""COMPUTED_VALUE"""),"0.00037248")</f>
        <v>#NAME?</v>
      </c>
      <c r="D1716" s="100" t="e">
        <f t="shared" ca="1" si="304"/>
        <v>#NAME?</v>
      </c>
      <c r="E1716" s="100" t="e">
        <f t="shared" ca="1" si="304"/>
        <v>#NAME?</v>
      </c>
      <c r="F1716" s="100" t="e">
        <f t="shared" ca="1" si="297"/>
        <v>#NAME?</v>
      </c>
      <c r="G1716" s="100" t="e">
        <f t="shared" ca="1" si="298"/>
        <v>#NAME?</v>
      </c>
      <c r="H1716" s="100" t="e">
        <f t="shared" ca="1" si="299"/>
        <v>#NAME?</v>
      </c>
      <c r="I1716" s="100" t="e">
        <f t="shared" ca="1" si="300"/>
        <v>#NAME?</v>
      </c>
      <c r="J1716" s="100" t="e">
        <f t="shared" ca="1" si="306"/>
        <v>#NAME?</v>
      </c>
      <c r="K1716" s="100" t="e">
        <f t="shared" ca="1" si="301"/>
        <v>#NAME?</v>
      </c>
      <c r="L1716" s="100"/>
      <c r="M1716" s="100"/>
      <c r="N1716" s="100"/>
      <c r="O1716" s="100"/>
      <c r="P1716" s="100"/>
      <c r="Q1716" s="100"/>
      <c r="R1716" s="100"/>
      <c r="S1716" s="100"/>
      <c r="T1716" s="100"/>
      <c r="U1716" s="100"/>
      <c r="V1716" s="100"/>
      <c r="W1716" s="100"/>
      <c r="X1716" s="100"/>
      <c r="Y1716" s="100"/>
      <c r="Z1716" s="100"/>
    </row>
    <row r="1717" spans="1:26">
      <c r="A1717" s="100" t="e">
        <f ca="1">IFERROR(__xludf.DUMMYFUNCTION("""COMPUTED_VALUE"""),58785052)</f>
        <v>#NAME?</v>
      </c>
      <c r="B1717" s="100" t="e">
        <f ca="1">IFERROR(__xludf.DUMMYFUNCTION("""COMPUTED_VALUE"""),"DARBTC")</f>
        <v>#NAME?</v>
      </c>
      <c r="C1717" s="100" t="e">
        <f ca="1">IFERROR(__xludf.DUMMYFUNCTION("""COMPUTED_VALUE"""),"0.00000157")</f>
        <v>#NAME?</v>
      </c>
      <c r="D1717" s="100" t="e">
        <f t="shared" ca="1" si="304"/>
        <v>#NAME?</v>
      </c>
      <c r="E1717" s="100" t="e">
        <f t="shared" ca="1" si="304"/>
        <v>#NAME?</v>
      </c>
      <c r="F1717" s="100" t="e">
        <f t="shared" ca="1" si="297"/>
        <v>#NAME?</v>
      </c>
      <c r="G1717" s="100" t="e">
        <f t="shared" ca="1" si="298"/>
        <v>#NAME?</v>
      </c>
      <c r="H1717" s="100" t="e">
        <f t="shared" ca="1" si="299"/>
        <v>#NAME?</v>
      </c>
      <c r="I1717" s="100" t="e">
        <f t="shared" ca="1" si="300"/>
        <v>#NAME?</v>
      </c>
      <c r="J1717" s="100" t="e">
        <f t="shared" ca="1" si="306"/>
        <v>#NAME?</v>
      </c>
      <c r="K1717" s="100" t="e">
        <f t="shared" ca="1" si="301"/>
        <v>#NAME?</v>
      </c>
      <c r="L1717" s="100"/>
      <c r="M1717" s="100"/>
      <c r="N1717" s="100"/>
      <c r="O1717" s="100"/>
      <c r="P1717" s="100"/>
      <c r="Q1717" s="100"/>
      <c r="R1717" s="100"/>
      <c r="S1717" s="100"/>
      <c r="T1717" s="100"/>
      <c r="U1717" s="100"/>
      <c r="V1717" s="100"/>
      <c r="W1717" s="100"/>
      <c r="X1717" s="100"/>
      <c r="Y1717" s="100"/>
      <c r="Z1717" s="100"/>
    </row>
    <row r="1718" spans="1:26">
      <c r="A1718" s="100" t="e">
        <f ca="1">IFERROR(__xludf.DUMMYFUNCTION("""COMPUTED_VALUE"""),58785053)</f>
        <v>#NAME?</v>
      </c>
      <c r="B1718" s="100" t="e">
        <f ca="1">IFERROR(__xludf.DUMMYFUNCTION("""COMPUTED_VALUE"""),"BNXBTC")</f>
        <v>#NAME?</v>
      </c>
      <c r="C1718" s="100" t="e">
        <f ca="1">IFERROR(__xludf.DUMMYFUNCTION("""COMPUTED_VALUE"""),"0.00000384")</f>
        <v>#NAME?</v>
      </c>
      <c r="D1718" s="100" t="e">
        <f t="shared" ca="1" si="304"/>
        <v>#NAME?</v>
      </c>
      <c r="E1718" s="100" t="e">
        <f t="shared" ca="1" si="304"/>
        <v>#NAME?</v>
      </c>
      <c r="F1718" s="100" t="e">
        <f t="shared" ca="1" si="297"/>
        <v>#NAME?</v>
      </c>
      <c r="G1718" s="100" t="e">
        <f t="shared" ca="1" si="298"/>
        <v>#NAME?</v>
      </c>
      <c r="H1718" s="100" t="e">
        <f t="shared" ca="1" si="299"/>
        <v>#NAME?</v>
      </c>
      <c r="I1718" s="100" t="e">
        <f t="shared" ca="1" si="300"/>
        <v>#NAME?</v>
      </c>
      <c r="J1718" s="100" t="e">
        <f t="shared" ca="1" si="306"/>
        <v>#NAME?</v>
      </c>
      <c r="K1718" s="100" t="e">
        <f t="shared" ca="1" si="301"/>
        <v>#NAME?</v>
      </c>
      <c r="L1718" s="100"/>
      <c r="M1718" s="100"/>
      <c r="N1718" s="100"/>
      <c r="O1718" s="100"/>
      <c r="P1718" s="100"/>
      <c r="Q1718" s="100"/>
      <c r="R1718" s="100"/>
      <c r="S1718" s="100"/>
      <c r="T1718" s="100"/>
      <c r="U1718" s="100"/>
      <c r="V1718" s="100"/>
      <c r="W1718" s="100"/>
      <c r="X1718" s="100"/>
      <c r="Y1718" s="100"/>
      <c r="Z1718" s="100"/>
    </row>
    <row r="1719" spans="1:26">
      <c r="A1719" s="100" t="e">
        <f ca="1">IFERROR(__xludf.DUMMYFUNCTION("""COMPUTED_VALUE"""),58785054)</f>
        <v>#NAME?</v>
      </c>
      <c r="B1719" s="100" t="e">
        <f ca="1">IFERROR(__xludf.DUMMYFUNCTION("""COMPUTED_VALUE"""),"BNXBNB")</f>
        <v>#NAME?</v>
      </c>
      <c r="C1719" s="100" t="e">
        <f ca="1">IFERROR(__xludf.DUMMYFUNCTION("""COMPUTED_VALUE"""),"0.00122700")</f>
        <v>#NAME?</v>
      </c>
      <c r="D1719" s="100" t="e">
        <f t="shared" ca="1" si="304"/>
        <v>#NAME?</v>
      </c>
      <c r="E1719" s="100" t="e">
        <f t="shared" ca="1" si="304"/>
        <v>#NAME?</v>
      </c>
      <c r="F1719" s="100" t="e">
        <f t="shared" ca="1" si="297"/>
        <v>#NAME?</v>
      </c>
      <c r="G1719" s="100" t="e">
        <f t="shared" ca="1" si="298"/>
        <v>#NAME?</v>
      </c>
      <c r="H1719" s="100" t="e">
        <f t="shared" ca="1" si="299"/>
        <v>#NAME?</v>
      </c>
      <c r="I1719" s="100" t="e">
        <f t="shared" ca="1" si="300"/>
        <v>#NAME?</v>
      </c>
      <c r="J1719" s="100" t="e">
        <f t="shared" ca="1" si="306"/>
        <v>#NAME?</v>
      </c>
      <c r="K1719" s="100" t="e">
        <f t="shared" ca="1" si="301"/>
        <v>#NAME?</v>
      </c>
      <c r="L1719" s="100"/>
      <c r="M1719" s="100"/>
      <c r="N1719" s="100"/>
      <c r="O1719" s="100"/>
      <c r="P1719" s="100"/>
      <c r="Q1719" s="100"/>
      <c r="R1719" s="100"/>
      <c r="S1719" s="100"/>
      <c r="T1719" s="100"/>
      <c r="U1719" s="100"/>
      <c r="V1719" s="100"/>
      <c r="W1719" s="100"/>
      <c r="X1719" s="100"/>
      <c r="Y1719" s="100"/>
      <c r="Z1719" s="100"/>
    </row>
    <row r="1720" spans="1:26">
      <c r="A1720" s="100" t="e">
        <f ca="1">IFERROR(__xludf.DUMMYFUNCTION("""COMPUTED_VALUE"""),58785055)</f>
        <v>#NAME?</v>
      </c>
      <c r="B1720" s="100" t="e">
        <f ca="1">IFERROR(__xludf.DUMMYFUNCTION("""COMPUTED_VALUE"""),"BNXBUSD")</f>
        <v>#NAME?</v>
      </c>
      <c r="C1720" s="100" t="e">
        <f ca="1">IFERROR(__xludf.DUMMYFUNCTION("""COMPUTED_VALUE"""),"0.27430000")</f>
        <v>#NAME?</v>
      </c>
      <c r="D1720" s="100" t="e">
        <f t="shared" ca="1" si="304"/>
        <v>#NAME?</v>
      </c>
      <c r="E1720" s="100" t="e">
        <f t="shared" ca="1" si="304"/>
        <v>#NAME?</v>
      </c>
      <c r="F1720" s="100" t="e">
        <f t="shared" ca="1" si="297"/>
        <v>#NAME?</v>
      </c>
      <c r="G1720" s="100" t="e">
        <f t="shared" ca="1" si="298"/>
        <v>#NAME?</v>
      </c>
      <c r="H1720" s="100" t="e">
        <f t="shared" ca="1" si="299"/>
        <v>#NAME?</v>
      </c>
      <c r="I1720" s="100" t="e">
        <f t="shared" ca="1" si="300"/>
        <v>#NAME?</v>
      </c>
      <c r="J1720" s="100" t="e">
        <f t="shared" ca="1" si="306"/>
        <v>#NAME?</v>
      </c>
      <c r="K1720" s="100" t="e">
        <f t="shared" ca="1" si="301"/>
        <v>#NAME?</v>
      </c>
      <c r="L1720" s="100"/>
      <c r="M1720" s="100"/>
      <c r="N1720" s="100"/>
      <c r="O1720" s="100"/>
      <c r="P1720" s="100"/>
      <c r="Q1720" s="100"/>
      <c r="R1720" s="100"/>
      <c r="S1720" s="100"/>
      <c r="T1720" s="100"/>
      <c r="U1720" s="100"/>
      <c r="V1720" s="100"/>
      <c r="W1720" s="100"/>
      <c r="X1720" s="100"/>
      <c r="Y1720" s="100"/>
      <c r="Z1720" s="100"/>
    </row>
    <row r="1721" spans="1:26">
      <c r="A1721" s="100" t="e">
        <f ca="1">IFERROR(__xludf.DUMMYFUNCTION("""COMPUTED_VALUE"""),58785056)</f>
        <v>#NAME?</v>
      </c>
      <c r="B1721" s="100" t="e">
        <f ca="1">IFERROR(__xludf.DUMMYFUNCTION("""COMPUTED_VALUE"""),"BNXUSDT")</f>
        <v>#NAME?</v>
      </c>
      <c r="C1721" s="100" t="e">
        <f ca="1">IFERROR(__xludf.DUMMYFUNCTION("""COMPUTED_VALUE"""),"1.78190000")</f>
        <v>#NAME?</v>
      </c>
      <c r="D1721" s="100" t="e">
        <f t="shared" ca="1" si="304"/>
        <v>#NAME?</v>
      </c>
      <c r="E1721" s="100" t="e">
        <f t="shared" ca="1" si="304"/>
        <v>#NAME?</v>
      </c>
      <c r="F1721" s="100" t="e">
        <f t="shared" ca="1" si="297"/>
        <v>#NAME?</v>
      </c>
      <c r="G1721" s="100" t="e">
        <f t="shared" ca="1" si="298"/>
        <v>#NAME?</v>
      </c>
      <c r="H1721" s="100" t="e">
        <f t="shared" ca="1" si="299"/>
        <v>#NAME?</v>
      </c>
      <c r="I1721" s="100" t="e">
        <f t="shared" ca="1" si="300"/>
        <v>#NAME?</v>
      </c>
      <c r="J1721" s="100" t="e">
        <f t="shared" ca="1" si="306"/>
        <v>#NAME?</v>
      </c>
      <c r="K1721" s="100" t="e">
        <f t="shared" ca="1" si="301"/>
        <v>#NAME?</v>
      </c>
      <c r="L1721" s="100"/>
      <c r="M1721" s="100"/>
      <c r="N1721" s="100"/>
      <c r="O1721" s="100"/>
      <c r="P1721" s="100"/>
      <c r="Q1721" s="100"/>
      <c r="R1721" s="100"/>
      <c r="S1721" s="100"/>
      <c r="T1721" s="100"/>
      <c r="U1721" s="100"/>
      <c r="V1721" s="100"/>
      <c r="W1721" s="100"/>
      <c r="X1721" s="100"/>
      <c r="Y1721" s="100"/>
      <c r="Z1721" s="100"/>
    </row>
    <row r="1722" spans="1:26">
      <c r="A1722" s="100" t="e">
        <f ca="1">IFERROR(__xludf.DUMMYFUNCTION("""COMPUTED_VALUE"""),58785057)</f>
        <v>#NAME?</v>
      </c>
      <c r="B1722" s="100" t="e">
        <f ca="1">IFERROR(__xludf.DUMMYFUNCTION("""COMPUTED_VALUE"""),"RGTUSDT")</f>
        <v>#NAME?</v>
      </c>
      <c r="C1722" s="100" t="e">
        <f ca="1">IFERROR(__xludf.DUMMYFUNCTION("""COMPUTED_VALUE"""),"0.00000000")</f>
        <v>#NAME?</v>
      </c>
      <c r="D1722" s="100" t="e">
        <f t="shared" ref="D1722:E1741" ca="1" si="307">IFERROR(__xludf.DUMMYFUNCTION("""COMPUTED_VALUE"""),"-")</f>
        <v>#NAME?</v>
      </c>
      <c r="E1722" s="100" t="e">
        <f t="shared" ca="1" si="307"/>
        <v>#NAME?</v>
      </c>
      <c r="F1722" s="100" t="e">
        <f t="shared" ca="1" si="297"/>
        <v>#NAME?</v>
      </c>
      <c r="G1722" s="100" t="e">
        <f t="shared" ca="1" si="298"/>
        <v>#NAME?</v>
      </c>
      <c r="H1722" s="100" t="e">
        <f t="shared" ca="1" si="299"/>
        <v>#NAME?</v>
      </c>
      <c r="I1722" s="100" t="e">
        <f t="shared" ca="1" si="300"/>
        <v>#NAME?</v>
      </c>
      <c r="J1722" s="100" t="e">
        <f t="shared" ca="1" si="306"/>
        <v>#NAME?</v>
      </c>
      <c r="K1722" s="100" t="e">
        <f t="shared" ca="1" si="301"/>
        <v>#NAME?</v>
      </c>
      <c r="L1722" s="100"/>
      <c r="M1722" s="100"/>
      <c r="N1722" s="100"/>
      <c r="O1722" s="100"/>
      <c r="P1722" s="100"/>
      <c r="Q1722" s="100"/>
      <c r="R1722" s="100"/>
      <c r="S1722" s="100"/>
      <c r="T1722" s="100"/>
      <c r="U1722" s="100"/>
      <c r="V1722" s="100"/>
      <c r="W1722" s="100"/>
      <c r="X1722" s="100"/>
      <c r="Y1722" s="100"/>
      <c r="Z1722" s="100"/>
    </row>
    <row r="1723" spans="1:26">
      <c r="A1723" s="100" t="e">
        <f ca="1">IFERROR(__xludf.DUMMYFUNCTION("""COMPUTED_VALUE"""),58785058)</f>
        <v>#NAME?</v>
      </c>
      <c r="B1723" s="100" t="e">
        <f ca="1">IFERROR(__xludf.DUMMYFUNCTION("""COMPUTED_VALUE"""),"RGTBTC")</f>
        <v>#NAME?</v>
      </c>
      <c r="C1723" s="100" t="e">
        <f ca="1">IFERROR(__xludf.DUMMYFUNCTION("""COMPUTED_VALUE"""),"0.00000000")</f>
        <v>#NAME?</v>
      </c>
      <c r="D1723" s="100" t="e">
        <f t="shared" ca="1" si="307"/>
        <v>#NAME?</v>
      </c>
      <c r="E1723" s="100" t="e">
        <f t="shared" ca="1" si="307"/>
        <v>#NAME?</v>
      </c>
      <c r="F1723" s="100" t="e">
        <f t="shared" ca="1" si="297"/>
        <v>#NAME?</v>
      </c>
      <c r="G1723" s="100" t="e">
        <f t="shared" ca="1" si="298"/>
        <v>#NAME?</v>
      </c>
      <c r="H1723" s="100" t="e">
        <f t="shared" ca="1" si="299"/>
        <v>#NAME?</v>
      </c>
      <c r="I1723" s="100" t="e">
        <f t="shared" ca="1" si="300"/>
        <v>#NAME?</v>
      </c>
      <c r="J1723" s="100" t="e">
        <f t="shared" ca="1" si="306"/>
        <v>#NAME?</v>
      </c>
      <c r="K1723" s="100" t="e">
        <f t="shared" ca="1" si="301"/>
        <v>#NAME?</v>
      </c>
      <c r="L1723" s="100"/>
      <c r="M1723" s="100"/>
      <c r="N1723" s="100"/>
      <c r="O1723" s="100"/>
      <c r="P1723" s="100"/>
      <c r="Q1723" s="100"/>
      <c r="R1723" s="100"/>
      <c r="S1723" s="100"/>
      <c r="T1723" s="100"/>
      <c r="U1723" s="100"/>
      <c r="V1723" s="100"/>
      <c r="W1723" s="100"/>
      <c r="X1723" s="100"/>
      <c r="Y1723" s="100"/>
      <c r="Z1723" s="100"/>
    </row>
    <row r="1724" spans="1:26">
      <c r="A1724" s="100" t="e">
        <f ca="1">IFERROR(__xludf.DUMMYFUNCTION("""COMPUTED_VALUE"""),58785059)</f>
        <v>#NAME?</v>
      </c>
      <c r="B1724" s="100" t="e">
        <f ca="1">IFERROR(__xludf.DUMMYFUNCTION("""COMPUTED_VALUE"""),"RGTBUSD")</f>
        <v>#NAME?</v>
      </c>
      <c r="C1724" s="100" t="e">
        <f ca="1">IFERROR(__xludf.DUMMYFUNCTION("""COMPUTED_VALUE"""),"0.00000000")</f>
        <v>#NAME?</v>
      </c>
      <c r="D1724" s="100" t="e">
        <f t="shared" ca="1" si="307"/>
        <v>#NAME?</v>
      </c>
      <c r="E1724" s="100" t="e">
        <f t="shared" ca="1" si="307"/>
        <v>#NAME?</v>
      </c>
      <c r="F1724" s="100" t="e">
        <f t="shared" ca="1" si="297"/>
        <v>#NAME?</v>
      </c>
      <c r="G1724" s="100" t="e">
        <f t="shared" ca="1" si="298"/>
        <v>#NAME?</v>
      </c>
      <c r="H1724" s="100" t="e">
        <f t="shared" ca="1" si="299"/>
        <v>#NAME?</v>
      </c>
      <c r="I1724" s="100" t="e">
        <f t="shared" ca="1" si="300"/>
        <v>#NAME?</v>
      </c>
      <c r="J1724" s="100" t="e">
        <f t="shared" ca="1" si="306"/>
        <v>#NAME?</v>
      </c>
      <c r="K1724" s="100" t="e">
        <f t="shared" ca="1" si="301"/>
        <v>#NAME?</v>
      </c>
      <c r="L1724" s="100"/>
      <c r="M1724" s="100"/>
      <c r="N1724" s="100"/>
      <c r="O1724" s="100"/>
      <c r="P1724" s="100"/>
      <c r="Q1724" s="100"/>
      <c r="R1724" s="100"/>
      <c r="S1724" s="100"/>
      <c r="T1724" s="100"/>
      <c r="U1724" s="100"/>
      <c r="V1724" s="100"/>
      <c r="W1724" s="100"/>
      <c r="X1724" s="100"/>
      <c r="Y1724" s="100"/>
      <c r="Z1724" s="100"/>
    </row>
    <row r="1725" spans="1:26">
      <c r="A1725" s="100" t="e">
        <f ca="1">IFERROR(__xludf.DUMMYFUNCTION("""COMPUTED_VALUE"""),58785060)</f>
        <v>#NAME?</v>
      </c>
      <c r="B1725" s="100" t="e">
        <f ca="1">IFERROR(__xludf.DUMMYFUNCTION("""COMPUTED_VALUE"""),"RGTBNB")</f>
        <v>#NAME?</v>
      </c>
      <c r="C1725" s="100" t="e">
        <f ca="1">IFERROR(__xludf.DUMMYFUNCTION("""COMPUTED_VALUE"""),"0.00000000")</f>
        <v>#NAME?</v>
      </c>
      <c r="D1725" s="100" t="e">
        <f t="shared" ca="1" si="307"/>
        <v>#NAME?</v>
      </c>
      <c r="E1725" s="100" t="e">
        <f t="shared" ca="1" si="307"/>
        <v>#NAME?</v>
      </c>
      <c r="F1725" s="100" t="e">
        <f t="shared" ca="1" si="297"/>
        <v>#NAME?</v>
      </c>
      <c r="G1725" s="100" t="e">
        <f t="shared" ca="1" si="298"/>
        <v>#NAME?</v>
      </c>
      <c r="H1725" s="100" t="e">
        <f t="shared" ca="1" si="299"/>
        <v>#NAME?</v>
      </c>
      <c r="I1725" s="100" t="e">
        <f t="shared" ca="1" si="300"/>
        <v>#NAME?</v>
      </c>
      <c r="J1725" s="100" t="e">
        <f t="shared" ca="1" si="306"/>
        <v>#NAME?</v>
      </c>
      <c r="K1725" s="100" t="e">
        <f t="shared" ca="1" si="301"/>
        <v>#NAME?</v>
      </c>
      <c r="L1725" s="100"/>
      <c r="M1725" s="100"/>
      <c r="N1725" s="100"/>
      <c r="O1725" s="100"/>
      <c r="P1725" s="100"/>
      <c r="Q1725" s="100"/>
      <c r="R1725" s="100"/>
      <c r="S1725" s="100"/>
      <c r="T1725" s="100"/>
      <c r="U1725" s="100"/>
      <c r="V1725" s="100"/>
      <c r="W1725" s="100"/>
      <c r="X1725" s="100"/>
      <c r="Y1725" s="100"/>
      <c r="Z1725" s="100"/>
    </row>
    <row r="1726" spans="1:26">
      <c r="A1726" s="100" t="e">
        <f ca="1">IFERROR(__xludf.DUMMYFUNCTION("""COMPUTED_VALUE"""),58785061)</f>
        <v>#NAME?</v>
      </c>
      <c r="B1726" s="100" t="e">
        <f ca="1">IFERROR(__xludf.DUMMYFUNCTION("""COMPUTED_VALUE"""),"LAZIOBUSD")</f>
        <v>#NAME?</v>
      </c>
      <c r="C1726" s="100" t="e">
        <f ca="1">IFERROR(__xludf.DUMMYFUNCTION("""COMPUTED_VALUE"""),"1.64400000")</f>
        <v>#NAME?</v>
      </c>
      <c r="D1726" s="100" t="e">
        <f t="shared" ca="1" si="307"/>
        <v>#NAME?</v>
      </c>
      <c r="E1726" s="100" t="e">
        <f t="shared" ca="1" si="307"/>
        <v>#NAME?</v>
      </c>
      <c r="F1726" s="100" t="e">
        <f t="shared" ca="1" si="297"/>
        <v>#NAME?</v>
      </c>
      <c r="G1726" s="100" t="e">
        <f t="shared" ca="1" si="298"/>
        <v>#NAME?</v>
      </c>
      <c r="H1726" s="100" t="e">
        <f t="shared" ca="1" si="299"/>
        <v>#NAME?</v>
      </c>
      <c r="I1726" s="100" t="e">
        <f t="shared" ca="1" si="300"/>
        <v>#NAME?</v>
      </c>
      <c r="J1726" s="100" t="e">
        <f t="shared" ca="1" si="306"/>
        <v>#NAME?</v>
      </c>
      <c r="K1726" s="100" t="e">
        <f t="shared" ca="1" si="301"/>
        <v>#NAME?</v>
      </c>
      <c r="L1726" s="100"/>
      <c r="M1726" s="100"/>
      <c r="N1726" s="100"/>
      <c r="O1726" s="100"/>
      <c r="P1726" s="100"/>
      <c r="Q1726" s="100"/>
      <c r="R1726" s="100"/>
      <c r="S1726" s="100"/>
      <c r="T1726" s="100"/>
      <c r="U1726" s="100"/>
      <c r="V1726" s="100"/>
      <c r="W1726" s="100"/>
      <c r="X1726" s="100"/>
      <c r="Y1726" s="100"/>
      <c r="Z1726" s="100"/>
    </row>
    <row r="1727" spans="1:26">
      <c r="A1727" s="100" t="e">
        <f ca="1">IFERROR(__xludf.DUMMYFUNCTION("""COMPUTED_VALUE"""),58785062)</f>
        <v>#NAME?</v>
      </c>
      <c r="B1727" s="100" t="e">
        <f ca="1">IFERROR(__xludf.DUMMYFUNCTION("""COMPUTED_VALUE"""),"OXTBUSD")</f>
        <v>#NAME?</v>
      </c>
      <c r="C1727" s="100" t="e">
        <f ca="1">IFERROR(__xludf.DUMMYFUNCTION("""COMPUTED_VALUE"""),"0.05130000")</f>
        <v>#NAME?</v>
      </c>
      <c r="D1727" s="100" t="e">
        <f t="shared" ca="1" si="307"/>
        <v>#NAME?</v>
      </c>
      <c r="E1727" s="100" t="e">
        <f t="shared" ca="1" si="307"/>
        <v>#NAME?</v>
      </c>
      <c r="F1727" s="100" t="e">
        <f t="shared" ca="1" si="297"/>
        <v>#NAME?</v>
      </c>
      <c r="G1727" s="100" t="e">
        <f t="shared" ca="1" si="298"/>
        <v>#NAME?</v>
      </c>
      <c r="H1727" s="100" t="e">
        <f t="shared" ca="1" si="299"/>
        <v>#NAME?</v>
      </c>
      <c r="I1727" s="100" t="e">
        <f t="shared" ca="1" si="300"/>
        <v>#NAME?</v>
      </c>
      <c r="J1727" s="100" t="e">
        <f t="shared" ca="1" si="306"/>
        <v>#NAME?</v>
      </c>
      <c r="K1727" s="100" t="e">
        <f t="shared" ca="1" si="301"/>
        <v>#NAME?</v>
      </c>
      <c r="L1727" s="100"/>
      <c r="M1727" s="100"/>
      <c r="N1727" s="100"/>
      <c r="O1727" s="100"/>
      <c r="P1727" s="100"/>
      <c r="Q1727" s="100"/>
      <c r="R1727" s="100"/>
      <c r="S1727" s="100"/>
      <c r="T1727" s="100"/>
      <c r="U1727" s="100"/>
      <c r="V1727" s="100"/>
      <c r="W1727" s="100"/>
      <c r="X1727" s="100"/>
      <c r="Y1727" s="100"/>
      <c r="Z1727" s="100"/>
    </row>
    <row r="1728" spans="1:26">
      <c r="A1728" s="100" t="e">
        <f ca="1">IFERROR(__xludf.DUMMYFUNCTION("""COMPUTED_VALUE"""),58785063)</f>
        <v>#NAME?</v>
      </c>
      <c r="B1728" s="100" t="e">
        <f ca="1">IFERROR(__xludf.DUMMYFUNCTION("""COMPUTED_VALUE"""),"MANATRY")</f>
        <v>#NAME?</v>
      </c>
      <c r="C1728" s="100" t="e">
        <f ca="1">IFERROR(__xludf.DUMMYFUNCTION("""COMPUTED_VALUE"""),"11.44000000")</f>
        <v>#NAME?</v>
      </c>
      <c r="D1728" s="100" t="e">
        <f t="shared" ca="1" si="307"/>
        <v>#NAME?</v>
      </c>
      <c r="E1728" s="100" t="e">
        <f t="shared" ca="1" si="307"/>
        <v>#NAME?</v>
      </c>
      <c r="F1728" s="100" t="e">
        <f t="shared" ca="1" si="297"/>
        <v>#NAME?</v>
      </c>
      <c r="G1728" s="100" t="e">
        <f t="shared" ca="1" si="298"/>
        <v>#NAME?</v>
      </c>
      <c r="H1728" s="100" t="e">
        <f t="shared" ca="1" si="299"/>
        <v>#NAME?</v>
      </c>
      <c r="I1728" s="100" t="e">
        <f t="shared" ca="1" si="300"/>
        <v>#NAME?</v>
      </c>
      <c r="J1728" s="100" t="e">
        <f ca="1">IFERROR(__xludf.DUMMYFUNCTION("""COMPUTED_VALUE"""),"-3.785")</f>
        <v>#NAME?</v>
      </c>
      <c r="K1728" s="100" t="e">
        <f t="shared" ca="1" si="301"/>
        <v>#NAME?</v>
      </c>
      <c r="L1728" s="100"/>
      <c r="M1728" s="100"/>
      <c r="N1728" s="100"/>
      <c r="O1728" s="100"/>
      <c r="P1728" s="100"/>
      <c r="Q1728" s="100"/>
      <c r="R1728" s="100"/>
      <c r="S1728" s="100"/>
      <c r="T1728" s="100"/>
      <c r="U1728" s="100"/>
      <c r="V1728" s="100"/>
      <c r="W1728" s="100"/>
      <c r="X1728" s="100"/>
      <c r="Y1728" s="100"/>
      <c r="Z1728" s="100"/>
    </row>
    <row r="1729" spans="1:26">
      <c r="A1729" s="100" t="e">
        <f ca="1">IFERROR(__xludf.DUMMYFUNCTION("""COMPUTED_VALUE"""),58785064)</f>
        <v>#NAME?</v>
      </c>
      <c r="B1729" s="100" t="e">
        <f ca="1">IFERROR(__xludf.DUMMYFUNCTION("""COMPUTED_VALUE"""),"ALGORUB")</f>
        <v>#NAME?</v>
      </c>
      <c r="C1729" s="100" t="e">
        <f ca="1">IFERROR(__xludf.DUMMYFUNCTION("""COMPUTED_VALUE"""),"12.60000000")</f>
        <v>#NAME?</v>
      </c>
      <c r="D1729" s="100" t="e">
        <f t="shared" ca="1" si="307"/>
        <v>#NAME?</v>
      </c>
      <c r="E1729" s="100" t="e">
        <f t="shared" ca="1" si="307"/>
        <v>#NAME?</v>
      </c>
      <c r="F1729" s="100" t="e">
        <f t="shared" ca="1" si="297"/>
        <v>#NAME?</v>
      </c>
      <c r="G1729" s="100" t="e">
        <f t="shared" ca="1" si="298"/>
        <v>#NAME?</v>
      </c>
      <c r="H1729" s="100" t="e">
        <f t="shared" ca="1" si="299"/>
        <v>#NAME?</v>
      </c>
      <c r="I1729" s="100" t="e">
        <f t="shared" ca="1" si="300"/>
        <v>#NAME?</v>
      </c>
      <c r="J1729" s="100" t="e">
        <f ca="1">IFERROR(__xludf.DUMMYFUNCTION("""COMPUTED_VALUE"""),"0")</f>
        <v>#NAME?</v>
      </c>
      <c r="K1729" s="100" t="e">
        <f t="shared" ca="1" si="301"/>
        <v>#NAME?</v>
      </c>
      <c r="L1729" s="100"/>
      <c r="M1729" s="100"/>
      <c r="N1729" s="100"/>
      <c r="O1729" s="100"/>
      <c r="P1729" s="100"/>
      <c r="Q1729" s="100"/>
      <c r="R1729" s="100"/>
      <c r="S1729" s="100"/>
      <c r="T1729" s="100"/>
      <c r="U1729" s="100"/>
      <c r="V1729" s="100"/>
      <c r="W1729" s="100"/>
      <c r="X1729" s="100"/>
      <c r="Y1729" s="100"/>
      <c r="Z1729" s="100"/>
    </row>
    <row r="1730" spans="1:26">
      <c r="A1730" s="100" t="e">
        <f ca="1">IFERROR(__xludf.DUMMYFUNCTION("""COMPUTED_VALUE"""),58785065)</f>
        <v>#NAME?</v>
      </c>
      <c r="B1730" s="100" t="e">
        <f ca="1">IFERROR(__xludf.DUMMYFUNCTION("""COMPUTED_VALUE"""),"SHIBUAH")</f>
        <v>#NAME?</v>
      </c>
      <c r="C1730" s="100" t="e">
        <f ca="1">IFERROR(__xludf.DUMMYFUNCTION("""COMPUTED_VALUE"""),"0.00000000")</f>
        <v>#NAME?</v>
      </c>
      <c r="D1730" s="100" t="e">
        <f t="shared" ca="1" si="307"/>
        <v>#NAME?</v>
      </c>
      <c r="E1730" s="100" t="e">
        <f t="shared" ca="1" si="307"/>
        <v>#NAME?</v>
      </c>
      <c r="F1730" s="100" t="e">
        <f t="shared" ref="F1730:F1793" ca="1" si="308">IFERROR(__xludf.DUMMYFUNCTION("""COMPUTED_VALUE"""),20200)</f>
        <v>#NAME?</v>
      </c>
      <c r="G1730" s="100" t="e">
        <f t="shared" ref="G1730:G1793" ca="1" si="309">IFERROR(__xludf.DUMMYFUNCTION("""COMPUTED_VALUE"""),2885)</f>
        <v>#NAME?</v>
      </c>
      <c r="H1730" s="100" t="e">
        <f t="shared" ref="H1730:H1793" ca="1" si="310">IFERROR(__xludf.DUMMYFUNCTION("""COMPUTED_VALUE"""),663)</f>
        <v>#NAME?</v>
      </c>
      <c r="I1730" s="100" t="e">
        <f t="shared" ref="I1730:I1793" ca="1" si="311">IFERROR(__xludf.DUMMYFUNCTION("""COMPUTED_VALUE"""),5817721)</f>
        <v>#NAME?</v>
      </c>
      <c r="J1730" s="100" t="e">
        <f ca="1">IFERROR(__xludf.DUMMYFUNCTION("""COMPUTED_VALUE"""),"0")</f>
        <v>#NAME?</v>
      </c>
      <c r="K1730" s="100" t="e">
        <f t="shared" ref="K1730:K1793" ca="1" si="312">IFERROR(__xludf.DUMMYFUNCTION("""COMPUTED_VALUE"""),"22.04.2025 13:05:01")</f>
        <v>#NAME?</v>
      </c>
      <c r="L1730" s="100"/>
      <c r="M1730" s="100"/>
      <c r="N1730" s="100"/>
      <c r="O1730" s="100"/>
      <c r="P1730" s="100"/>
      <c r="Q1730" s="100"/>
      <c r="R1730" s="100"/>
      <c r="S1730" s="100"/>
      <c r="T1730" s="100"/>
      <c r="U1730" s="100"/>
      <c r="V1730" s="100"/>
      <c r="W1730" s="100"/>
      <c r="X1730" s="100"/>
      <c r="Y1730" s="100"/>
      <c r="Z1730" s="100"/>
    </row>
    <row r="1731" spans="1:26">
      <c r="A1731" s="100" t="e">
        <f ca="1">IFERROR(__xludf.DUMMYFUNCTION("""COMPUTED_VALUE"""),58785066)</f>
        <v>#NAME?</v>
      </c>
      <c r="B1731" s="100" t="e">
        <f ca="1">IFERROR(__xludf.DUMMYFUNCTION("""COMPUTED_VALUE"""),"LUNABIDR")</f>
        <v>#NAME?</v>
      </c>
      <c r="C1731" s="100" t="e">
        <f ca="1">IFERROR(__xludf.DUMMYFUNCTION("""COMPUTED_VALUE"""),"0.00")</f>
        <v>#NAME?</v>
      </c>
      <c r="D1731" s="100" t="e">
        <f t="shared" ca="1" si="307"/>
        <v>#NAME?</v>
      </c>
      <c r="E1731" s="100" t="e">
        <f t="shared" ca="1" si="307"/>
        <v>#NAME?</v>
      </c>
      <c r="F1731" s="100" t="e">
        <f t="shared" ca="1" si="308"/>
        <v>#NAME?</v>
      </c>
      <c r="G1731" s="100" t="e">
        <f t="shared" ca="1" si="309"/>
        <v>#NAME?</v>
      </c>
      <c r="H1731" s="100" t="e">
        <f t="shared" ca="1" si="310"/>
        <v>#NAME?</v>
      </c>
      <c r="I1731" s="100" t="e">
        <f t="shared" ca="1" si="311"/>
        <v>#NAME?</v>
      </c>
      <c r="J1731" s="100" t="e">
        <f ca="1">IFERROR(__xludf.DUMMYFUNCTION("""COMPUTED_VALUE"""),"0")</f>
        <v>#NAME?</v>
      </c>
      <c r="K1731" s="100" t="e">
        <f t="shared" ca="1" si="312"/>
        <v>#NAME?</v>
      </c>
      <c r="L1731" s="100"/>
      <c r="M1731" s="100"/>
      <c r="N1731" s="100"/>
      <c r="O1731" s="100"/>
      <c r="P1731" s="100"/>
      <c r="Q1731" s="100"/>
      <c r="R1731" s="100"/>
      <c r="S1731" s="100"/>
      <c r="T1731" s="100"/>
      <c r="U1731" s="100"/>
      <c r="V1731" s="100"/>
      <c r="W1731" s="100"/>
      <c r="X1731" s="100"/>
      <c r="Y1731" s="100"/>
      <c r="Z1731" s="100"/>
    </row>
    <row r="1732" spans="1:26">
      <c r="A1732" s="100" t="e">
        <f ca="1">IFERROR(__xludf.DUMMYFUNCTION("""COMPUTED_VALUE"""),58785067)</f>
        <v>#NAME?</v>
      </c>
      <c r="B1732" s="100" t="e">
        <f ca="1">IFERROR(__xludf.DUMMYFUNCTION("""COMPUTED_VALUE"""),"AUDUSDC")</f>
        <v>#NAME?</v>
      </c>
      <c r="C1732" s="100" t="e">
        <f ca="1">IFERROR(__xludf.DUMMYFUNCTION("""COMPUTED_VALUE"""),"0.64770000")</f>
        <v>#NAME?</v>
      </c>
      <c r="D1732" s="100" t="e">
        <f t="shared" ca="1" si="307"/>
        <v>#NAME?</v>
      </c>
      <c r="E1732" s="100" t="e">
        <f t="shared" ca="1" si="307"/>
        <v>#NAME?</v>
      </c>
      <c r="F1732" s="100" t="e">
        <f t="shared" ca="1" si="308"/>
        <v>#NAME?</v>
      </c>
      <c r="G1732" s="100" t="e">
        <f t="shared" ca="1" si="309"/>
        <v>#NAME?</v>
      </c>
      <c r="H1732" s="100" t="e">
        <f t="shared" ca="1" si="310"/>
        <v>#NAME?</v>
      </c>
      <c r="I1732" s="100" t="e">
        <f t="shared" ca="1" si="311"/>
        <v>#NAME?</v>
      </c>
      <c r="J1732" s="100" t="e">
        <f ca="1">IFERROR(__xludf.DUMMYFUNCTION("""COMPUTED_VALUE"""),"0")</f>
        <v>#NAME?</v>
      </c>
      <c r="K1732" s="100" t="e">
        <f t="shared" ca="1" si="312"/>
        <v>#NAME?</v>
      </c>
      <c r="L1732" s="100"/>
      <c r="M1732" s="100"/>
      <c r="N1732" s="100"/>
      <c r="O1732" s="100"/>
      <c r="P1732" s="100"/>
      <c r="Q1732" s="100"/>
      <c r="R1732" s="100"/>
      <c r="S1732" s="100"/>
      <c r="T1732" s="100"/>
      <c r="U1732" s="100"/>
      <c r="V1732" s="100"/>
      <c r="W1732" s="100"/>
      <c r="X1732" s="100"/>
      <c r="Y1732" s="100"/>
      <c r="Z1732" s="100"/>
    </row>
    <row r="1733" spans="1:26">
      <c r="A1733" s="100" t="e">
        <f ca="1">IFERROR(__xludf.DUMMYFUNCTION("""COMPUTED_VALUE"""),58785068)</f>
        <v>#NAME?</v>
      </c>
      <c r="B1733" s="100" t="e">
        <f ca="1">IFERROR(__xludf.DUMMYFUNCTION("""COMPUTED_VALUE"""),"MOVRBTC")</f>
        <v>#NAME?</v>
      </c>
      <c r="C1733" s="100" t="e">
        <f ca="1">IFERROR(__xludf.DUMMYFUNCTION("""COMPUTED_VALUE"""),"0.00006240")</f>
        <v>#NAME?</v>
      </c>
      <c r="D1733" s="100" t="e">
        <f t="shared" ca="1" si="307"/>
        <v>#NAME?</v>
      </c>
      <c r="E1733" s="100" t="e">
        <f t="shared" ca="1" si="307"/>
        <v>#NAME?</v>
      </c>
      <c r="F1733" s="100" t="e">
        <f t="shared" ca="1" si="308"/>
        <v>#NAME?</v>
      </c>
      <c r="G1733" s="100" t="e">
        <f t="shared" ca="1" si="309"/>
        <v>#NAME?</v>
      </c>
      <c r="H1733" s="100" t="e">
        <f t="shared" ca="1" si="310"/>
        <v>#NAME?</v>
      </c>
      <c r="I1733" s="100" t="e">
        <f t="shared" ca="1" si="311"/>
        <v>#NAME?</v>
      </c>
      <c r="J1733" s="100" t="e">
        <f ca="1">IFERROR(__xludf.DUMMYFUNCTION("""COMPUTED_VALUE"""),"-5.740")</f>
        <v>#NAME?</v>
      </c>
      <c r="K1733" s="100" t="e">
        <f t="shared" ca="1" si="312"/>
        <v>#NAME?</v>
      </c>
      <c r="L1733" s="100"/>
      <c r="M1733" s="100"/>
      <c r="N1733" s="100"/>
      <c r="O1733" s="100"/>
      <c r="P1733" s="100"/>
      <c r="Q1733" s="100"/>
      <c r="R1733" s="100"/>
      <c r="S1733" s="100"/>
      <c r="T1733" s="100"/>
      <c r="U1733" s="100"/>
      <c r="V1733" s="100"/>
      <c r="W1733" s="100"/>
      <c r="X1733" s="100"/>
      <c r="Y1733" s="100"/>
      <c r="Z1733" s="100"/>
    </row>
    <row r="1734" spans="1:26">
      <c r="A1734" s="100" t="e">
        <f ca="1">IFERROR(__xludf.DUMMYFUNCTION("""COMPUTED_VALUE"""),58785069)</f>
        <v>#NAME?</v>
      </c>
      <c r="B1734" s="100" t="e">
        <f ca="1">IFERROR(__xludf.DUMMYFUNCTION("""COMPUTED_VALUE"""),"MOVRBNB")</f>
        <v>#NAME?</v>
      </c>
      <c r="C1734" s="100" t="e">
        <f ca="1">IFERROR(__xludf.DUMMYFUNCTION("""COMPUTED_VALUE"""),"0.00000000")</f>
        <v>#NAME?</v>
      </c>
      <c r="D1734" s="100" t="e">
        <f t="shared" ca="1" si="307"/>
        <v>#NAME?</v>
      </c>
      <c r="E1734" s="100" t="e">
        <f t="shared" ca="1" si="307"/>
        <v>#NAME?</v>
      </c>
      <c r="F1734" s="100" t="e">
        <f t="shared" ca="1" si="308"/>
        <v>#NAME?</v>
      </c>
      <c r="G1734" s="100" t="e">
        <f t="shared" ca="1" si="309"/>
        <v>#NAME?</v>
      </c>
      <c r="H1734" s="100" t="e">
        <f t="shared" ca="1" si="310"/>
        <v>#NAME?</v>
      </c>
      <c r="I1734" s="100" t="e">
        <f t="shared" ca="1" si="311"/>
        <v>#NAME?</v>
      </c>
      <c r="J1734" s="100" t="e">
        <f ca="1">IFERROR(__xludf.DUMMYFUNCTION("""COMPUTED_VALUE"""),"0")</f>
        <v>#NAME?</v>
      </c>
      <c r="K1734" s="100" t="e">
        <f t="shared" ca="1" si="312"/>
        <v>#NAME?</v>
      </c>
      <c r="L1734" s="100"/>
      <c r="M1734" s="100"/>
      <c r="N1734" s="100"/>
      <c r="O1734" s="100"/>
      <c r="P1734" s="100"/>
      <c r="Q1734" s="100"/>
      <c r="R1734" s="100"/>
      <c r="S1734" s="100"/>
      <c r="T1734" s="100"/>
      <c r="U1734" s="100"/>
      <c r="V1734" s="100"/>
      <c r="W1734" s="100"/>
      <c r="X1734" s="100"/>
      <c r="Y1734" s="100"/>
      <c r="Z1734" s="100"/>
    </row>
    <row r="1735" spans="1:26">
      <c r="A1735" s="100" t="e">
        <f ca="1">IFERROR(__xludf.DUMMYFUNCTION("""COMPUTED_VALUE"""),58785070)</f>
        <v>#NAME?</v>
      </c>
      <c r="B1735" s="100" t="e">
        <f ca="1">IFERROR(__xludf.DUMMYFUNCTION("""COMPUTED_VALUE"""),"MOVRBUSD")</f>
        <v>#NAME?</v>
      </c>
      <c r="C1735" s="100" t="e">
        <f ca="1">IFERROR(__xludf.DUMMYFUNCTION("""COMPUTED_VALUE"""),"3.69000000")</f>
        <v>#NAME?</v>
      </c>
      <c r="D1735" s="100" t="e">
        <f t="shared" ca="1" si="307"/>
        <v>#NAME?</v>
      </c>
      <c r="E1735" s="100" t="e">
        <f t="shared" ca="1" si="307"/>
        <v>#NAME?</v>
      </c>
      <c r="F1735" s="100" t="e">
        <f t="shared" ca="1" si="308"/>
        <v>#NAME?</v>
      </c>
      <c r="G1735" s="100" t="e">
        <f t="shared" ca="1" si="309"/>
        <v>#NAME?</v>
      </c>
      <c r="H1735" s="100" t="e">
        <f t="shared" ca="1" si="310"/>
        <v>#NAME?</v>
      </c>
      <c r="I1735" s="100" t="e">
        <f t="shared" ca="1" si="311"/>
        <v>#NAME?</v>
      </c>
      <c r="J1735" s="100" t="e">
        <f ca="1">IFERROR(__xludf.DUMMYFUNCTION("""COMPUTED_VALUE"""),"0")</f>
        <v>#NAME?</v>
      </c>
      <c r="K1735" s="100" t="e">
        <f t="shared" ca="1" si="312"/>
        <v>#NAME?</v>
      </c>
      <c r="L1735" s="100"/>
      <c r="M1735" s="100"/>
      <c r="N1735" s="100"/>
      <c r="O1735" s="100"/>
      <c r="P1735" s="100"/>
      <c r="Q1735" s="100"/>
      <c r="R1735" s="100"/>
      <c r="S1735" s="100"/>
      <c r="T1735" s="100"/>
      <c r="U1735" s="100"/>
      <c r="V1735" s="100"/>
      <c r="W1735" s="100"/>
      <c r="X1735" s="100"/>
      <c r="Y1735" s="100"/>
      <c r="Z1735" s="100"/>
    </row>
    <row r="1736" spans="1:26">
      <c r="A1736" s="100" t="e">
        <f ca="1">IFERROR(__xludf.DUMMYFUNCTION("""COMPUTED_VALUE"""),58785071)</f>
        <v>#NAME?</v>
      </c>
      <c r="B1736" s="100" t="e">
        <f ca="1">IFERROR(__xludf.DUMMYFUNCTION("""COMPUTED_VALUE"""),"MOVRUSDT")</f>
        <v>#NAME?</v>
      </c>
      <c r="C1736" s="100" t="e">
        <f ca="1">IFERROR(__xludf.DUMMYFUNCTION("""COMPUTED_VALUE"""),"5.52100000")</f>
        <v>#NAME?</v>
      </c>
      <c r="D1736" s="100" t="e">
        <f t="shared" ca="1" si="307"/>
        <v>#NAME?</v>
      </c>
      <c r="E1736" s="100" t="e">
        <f t="shared" ca="1" si="307"/>
        <v>#NAME?</v>
      </c>
      <c r="F1736" s="100" t="e">
        <f t="shared" ca="1" si="308"/>
        <v>#NAME?</v>
      </c>
      <c r="G1736" s="100" t="e">
        <f t="shared" ca="1" si="309"/>
        <v>#NAME?</v>
      </c>
      <c r="H1736" s="100" t="e">
        <f t="shared" ca="1" si="310"/>
        <v>#NAME?</v>
      </c>
      <c r="I1736" s="100" t="e">
        <f t="shared" ca="1" si="311"/>
        <v>#NAME?</v>
      </c>
      <c r="J1736" s="100" t="e">
        <f ca="1">IFERROR(__xludf.DUMMYFUNCTION("""COMPUTED_VALUE"""),"-4.464")</f>
        <v>#NAME?</v>
      </c>
      <c r="K1736" s="100" t="e">
        <f t="shared" ca="1" si="312"/>
        <v>#NAME?</v>
      </c>
      <c r="L1736" s="100"/>
      <c r="M1736" s="100"/>
      <c r="N1736" s="100"/>
      <c r="O1736" s="100"/>
      <c r="P1736" s="100"/>
      <c r="Q1736" s="100"/>
      <c r="R1736" s="100"/>
      <c r="S1736" s="100"/>
      <c r="T1736" s="100"/>
      <c r="U1736" s="100"/>
      <c r="V1736" s="100"/>
      <c r="W1736" s="100"/>
      <c r="X1736" s="100"/>
      <c r="Y1736" s="100"/>
      <c r="Z1736" s="100"/>
    </row>
    <row r="1737" spans="1:26">
      <c r="A1737" s="100" t="e">
        <f ca="1">IFERROR(__xludf.DUMMYFUNCTION("""COMPUTED_VALUE"""),58785072)</f>
        <v>#NAME?</v>
      </c>
      <c r="B1737" s="100" t="e">
        <f ca="1">IFERROR(__xludf.DUMMYFUNCTION("""COMPUTED_VALUE"""),"CITYBTC")</f>
        <v>#NAME?</v>
      </c>
      <c r="C1737" s="100" t="e">
        <f ca="1">IFERROR(__xludf.DUMMYFUNCTION("""COMPUTED_VALUE"""),"0.00006030")</f>
        <v>#NAME?</v>
      </c>
      <c r="D1737" s="100" t="e">
        <f t="shared" ca="1" si="307"/>
        <v>#NAME?</v>
      </c>
      <c r="E1737" s="100" t="e">
        <f t="shared" ca="1" si="307"/>
        <v>#NAME?</v>
      </c>
      <c r="F1737" s="100" t="e">
        <f t="shared" ca="1" si="308"/>
        <v>#NAME?</v>
      </c>
      <c r="G1737" s="100" t="e">
        <f t="shared" ca="1" si="309"/>
        <v>#NAME?</v>
      </c>
      <c r="H1737" s="100" t="e">
        <f t="shared" ca="1" si="310"/>
        <v>#NAME?</v>
      </c>
      <c r="I1737" s="100" t="e">
        <f t="shared" ca="1" si="311"/>
        <v>#NAME?</v>
      </c>
      <c r="J1737" s="100" t="e">
        <f ca="1">IFERROR(__xludf.DUMMYFUNCTION("""COMPUTED_VALUE"""),"0")</f>
        <v>#NAME?</v>
      </c>
      <c r="K1737" s="100" t="e">
        <f t="shared" ca="1" si="312"/>
        <v>#NAME?</v>
      </c>
      <c r="L1737" s="100"/>
      <c r="M1737" s="100"/>
      <c r="N1737" s="100"/>
      <c r="O1737" s="100"/>
      <c r="P1737" s="100"/>
      <c r="Q1737" s="100"/>
      <c r="R1737" s="100"/>
      <c r="S1737" s="100"/>
      <c r="T1737" s="100"/>
      <c r="U1737" s="100"/>
      <c r="V1737" s="100"/>
      <c r="W1737" s="100"/>
      <c r="X1737" s="100"/>
      <c r="Y1737" s="100"/>
      <c r="Z1737" s="100"/>
    </row>
    <row r="1738" spans="1:26">
      <c r="A1738" s="100" t="e">
        <f ca="1">IFERROR(__xludf.DUMMYFUNCTION("""COMPUTED_VALUE"""),58785073)</f>
        <v>#NAME?</v>
      </c>
      <c r="B1738" s="100" t="e">
        <f ca="1">IFERROR(__xludf.DUMMYFUNCTION("""COMPUTED_VALUE"""),"CITYBNB")</f>
        <v>#NAME?</v>
      </c>
      <c r="C1738" s="100" t="e">
        <f ca="1">IFERROR(__xludf.DUMMYFUNCTION("""COMPUTED_VALUE"""),"0.01454000")</f>
        <v>#NAME?</v>
      </c>
      <c r="D1738" s="100" t="e">
        <f t="shared" ca="1" si="307"/>
        <v>#NAME?</v>
      </c>
      <c r="E1738" s="100" t="e">
        <f t="shared" ca="1" si="307"/>
        <v>#NAME?</v>
      </c>
      <c r="F1738" s="100" t="e">
        <f t="shared" ca="1" si="308"/>
        <v>#NAME?</v>
      </c>
      <c r="G1738" s="100" t="e">
        <f t="shared" ca="1" si="309"/>
        <v>#NAME?</v>
      </c>
      <c r="H1738" s="100" t="e">
        <f t="shared" ca="1" si="310"/>
        <v>#NAME?</v>
      </c>
      <c r="I1738" s="100" t="e">
        <f t="shared" ca="1" si="311"/>
        <v>#NAME?</v>
      </c>
      <c r="J1738" s="100" t="e">
        <f ca="1">IFERROR(__xludf.DUMMYFUNCTION("""COMPUTED_VALUE"""),"0")</f>
        <v>#NAME?</v>
      </c>
      <c r="K1738" s="100" t="e">
        <f t="shared" ca="1" si="312"/>
        <v>#NAME?</v>
      </c>
      <c r="L1738" s="100"/>
      <c r="M1738" s="100"/>
      <c r="N1738" s="100"/>
      <c r="O1738" s="100"/>
      <c r="P1738" s="100"/>
      <c r="Q1738" s="100"/>
      <c r="R1738" s="100"/>
      <c r="S1738" s="100"/>
      <c r="T1738" s="100"/>
      <c r="U1738" s="100"/>
      <c r="V1738" s="100"/>
      <c r="W1738" s="100"/>
      <c r="X1738" s="100"/>
      <c r="Y1738" s="100"/>
      <c r="Z1738" s="100"/>
    </row>
    <row r="1739" spans="1:26">
      <c r="A1739" s="100" t="e">
        <f ca="1">IFERROR(__xludf.DUMMYFUNCTION("""COMPUTED_VALUE"""),58785074)</f>
        <v>#NAME?</v>
      </c>
      <c r="B1739" s="100" t="e">
        <f ca="1">IFERROR(__xludf.DUMMYFUNCTION("""COMPUTED_VALUE"""),"CITYBUSD")</f>
        <v>#NAME?</v>
      </c>
      <c r="C1739" s="100" t="e">
        <f ca="1">IFERROR(__xludf.DUMMYFUNCTION("""COMPUTED_VALUE"""),"2.96400000")</f>
        <v>#NAME?</v>
      </c>
      <c r="D1739" s="100" t="e">
        <f t="shared" ca="1" si="307"/>
        <v>#NAME?</v>
      </c>
      <c r="E1739" s="100" t="e">
        <f t="shared" ca="1" si="307"/>
        <v>#NAME?</v>
      </c>
      <c r="F1739" s="100" t="e">
        <f t="shared" ca="1" si="308"/>
        <v>#NAME?</v>
      </c>
      <c r="G1739" s="100" t="e">
        <f t="shared" ca="1" si="309"/>
        <v>#NAME?</v>
      </c>
      <c r="H1739" s="100" t="e">
        <f t="shared" ca="1" si="310"/>
        <v>#NAME?</v>
      </c>
      <c r="I1739" s="100" t="e">
        <f t="shared" ca="1" si="311"/>
        <v>#NAME?</v>
      </c>
      <c r="J1739" s="100" t="e">
        <f ca="1">IFERROR(__xludf.DUMMYFUNCTION("""COMPUTED_VALUE"""),"0")</f>
        <v>#NAME?</v>
      </c>
      <c r="K1739" s="100" t="e">
        <f t="shared" ca="1" si="312"/>
        <v>#NAME?</v>
      </c>
      <c r="L1739" s="100"/>
      <c r="M1739" s="100"/>
      <c r="N1739" s="100"/>
      <c r="O1739" s="100"/>
      <c r="P1739" s="100"/>
      <c r="Q1739" s="100"/>
      <c r="R1739" s="100"/>
      <c r="S1739" s="100"/>
      <c r="T1739" s="100"/>
      <c r="U1739" s="100"/>
      <c r="V1739" s="100"/>
      <c r="W1739" s="100"/>
      <c r="X1739" s="100"/>
      <c r="Y1739" s="100"/>
      <c r="Z1739" s="100"/>
    </row>
    <row r="1740" spans="1:26">
      <c r="A1740" s="100" t="e">
        <f ca="1">IFERROR(__xludf.DUMMYFUNCTION("""COMPUTED_VALUE"""),58785075)</f>
        <v>#NAME?</v>
      </c>
      <c r="B1740" s="100" t="e">
        <f ca="1">IFERROR(__xludf.DUMMYFUNCTION("""COMPUTED_VALUE"""),"CITYUSDT")</f>
        <v>#NAME?</v>
      </c>
      <c r="C1740" s="100" t="e">
        <f ca="1">IFERROR(__xludf.DUMMYFUNCTION("""COMPUTED_VALUE"""),"1.03000000")</f>
        <v>#NAME?</v>
      </c>
      <c r="D1740" s="100" t="e">
        <f t="shared" ca="1" si="307"/>
        <v>#NAME?</v>
      </c>
      <c r="E1740" s="100" t="e">
        <f t="shared" ca="1" si="307"/>
        <v>#NAME?</v>
      </c>
      <c r="F1740" s="100" t="e">
        <f t="shared" ca="1" si="308"/>
        <v>#NAME?</v>
      </c>
      <c r="G1740" s="100" t="e">
        <f t="shared" ca="1" si="309"/>
        <v>#NAME?</v>
      </c>
      <c r="H1740" s="100" t="e">
        <f t="shared" ca="1" si="310"/>
        <v>#NAME?</v>
      </c>
      <c r="I1740" s="100" t="e">
        <f t="shared" ca="1" si="311"/>
        <v>#NAME?</v>
      </c>
      <c r="J1740" s="100" t="e">
        <f ca="1">IFERROR(__xludf.DUMMYFUNCTION("""COMPUTED_VALUE"""),"3.000")</f>
        <v>#NAME?</v>
      </c>
      <c r="K1740" s="100" t="e">
        <f t="shared" ca="1" si="312"/>
        <v>#NAME?</v>
      </c>
      <c r="L1740" s="100"/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</row>
    <row r="1741" spans="1:26">
      <c r="A1741" s="100" t="e">
        <f ca="1">IFERROR(__xludf.DUMMYFUNCTION("""COMPUTED_VALUE"""),58785076)</f>
        <v>#NAME?</v>
      </c>
      <c r="B1741" s="100" t="e">
        <f ca="1">IFERROR(__xludf.DUMMYFUNCTION("""COMPUTED_VALUE"""),"ENSBTC")</f>
        <v>#NAME?</v>
      </c>
      <c r="C1741" s="100" t="e">
        <f ca="1">IFERROR(__xludf.DUMMYFUNCTION("""COMPUTED_VALUE"""),"0.00017260")</f>
        <v>#NAME?</v>
      </c>
      <c r="D1741" s="100" t="e">
        <f t="shared" ca="1" si="307"/>
        <v>#NAME?</v>
      </c>
      <c r="E1741" s="100" t="e">
        <f t="shared" ca="1" si="307"/>
        <v>#NAME?</v>
      </c>
      <c r="F1741" s="100" t="e">
        <f t="shared" ca="1" si="308"/>
        <v>#NAME?</v>
      </c>
      <c r="G1741" s="100" t="e">
        <f t="shared" ca="1" si="309"/>
        <v>#NAME?</v>
      </c>
      <c r="H1741" s="100" t="e">
        <f t="shared" ca="1" si="310"/>
        <v>#NAME?</v>
      </c>
      <c r="I1741" s="100" t="e">
        <f t="shared" ca="1" si="311"/>
        <v>#NAME?</v>
      </c>
      <c r="J1741" s="100" t="e">
        <f ca="1">IFERROR(__xludf.DUMMYFUNCTION("""COMPUTED_VALUE"""),"-0.231")</f>
        <v>#NAME?</v>
      </c>
      <c r="K1741" s="100" t="e">
        <f t="shared" ca="1" si="312"/>
        <v>#NAME?</v>
      </c>
      <c r="L1741" s="100"/>
      <c r="M1741" s="100"/>
      <c r="N1741" s="100"/>
      <c r="O1741" s="100"/>
      <c r="P1741" s="100"/>
      <c r="Q1741" s="100"/>
      <c r="R1741" s="100"/>
      <c r="S1741" s="100"/>
      <c r="T1741" s="100"/>
      <c r="U1741" s="100"/>
      <c r="V1741" s="100"/>
      <c r="W1741" s="100"/>
      <c r="X1741" s="100"/>
      <c r="Y1741" s="100"/>
      <c r="Z1741" s="100"/>
    </row>
    <row r="1742" spans="1:26">
      <c r="A1742" s="100" t="e">
        <f ca="1">IFERROR(__xludf.DUMMYFUNCTION("""COMPUTED_VALUE"""),58785077)</f>
        <v>#NAME?</v>
      </c>
      <c r="B1742" s="100" t="e">
        <f ca="1">IFERROR(__xludf.DUMMYFUNCTION("""COMPUTED_VALUE"""),"ENSBNB")</f>
        <v>#NAME?</v>
      </c>
      <c r="C1742" s="100" t="e">
        <f ca="1">IFERROR(__xludf.DUMMYFUNCTION("""COMPUTED_VALUE"""),"0.03091000")</f>
        <v>#NAME?</v>
      </c>
      <c r="D1742" s="100" t="e">
        <f t="shared" ref="D1742:E1761" ca="1" si="313">IFERROR(__xludf.DUMMYFUNCTION("""COMPUTED_VALUE"""),"-")</f>
        <v>#NAME?</v>
      </c>
      <c r="E1742" s="100" t="e">
        <f t="shared" ca="1" si="313"/>
        <v>#NAME?</v>
      </c>
      <c r="F1742" s="100" t="e">
        <f t="shared" ca="1" si="308"/>
        <v>#NAME?</v>
      </c>
      <c r="G1742" s="100" t="e">
        <f t="shared" ca="1" si="309"/>
        <v>#NAME?</v>
      </c>
      <c r="H1742" s="100" t="e">
        <f t="shared" ca="1" si="310"/>
        <v>#NAME?</v>
      </c>
      <c r="I1742" s="100" t="e">
        <f t="shared" ca="1" si="311"/>
        <v>#NAME?</v>
      </c>
      <c r="J1742" s="100" t="e">
        <f ca="1">IFERROR(__xludf.DUMMYFUNCTION("""COMPUTED_VALUE"""),"0")</f>
        <v>#NAME?</v>
      </c>
      <c r="K1742" s="100" t="e">
        <f t="shared" ca="1" si="312"/>
        <v>#NAME?</v>
      </c>
      <c r="L1742" s="100"/>
      <c r="M1742" s="100"/>
      <c r="N1742" s="100"/>
      <c r="O1742" s="100"/>
      <c r="P1742" s="100"/>
      <c r="Q1742" s="100"/>
      <c r="R1742" s="100"/>
      <c r="S1742" s="100"/>
      <c r="T1742" s="100"/>
      <c r="U1742" s="100"/>
      <c r="V1742" s="100"/>
      <c r="W1742" s="100"/>
      <c r="X1742" s="100"/>
      <c r="Y1742" s="100"/>
      <c r="Z1742" s="100"/>
    </row>
    <row r="1743" spans="1:26">
      <c r="A1743" s="100" t="e">
        <f ca="1">IFERROR(__xludf.DUMMYFUNCTION("""COMPUTED_VALUE"""),58785078)</f>
        <v>#NAME?</v>
      </c>
      <c r="B1743" s="100" t="e">
        <f ca="1">IFERROR(__xludf.DUMMYFUNCTION("""COMPUTED_VALUE"""),"ENSBUSD")</f>
        <v>#NAME?</v>
      </c>
      <c r="C1743" s="100" t="e">
        <f ca="1">IFERROR(__xludf.DUMMYFUNCTION("""COMPUTED_VALUE"""),"6.96000000")</f>
        <v>#NAME?</v>
      </c>
      <c r="D1743" s="100" t="e">
        <f t="shared" ca="1" si="313"/>
        <v>#NAME?</v>
      </c>
      <c r="E1743" s="100" t="e">
        <f t="shared" ca="1" si="313"/>
        <v>#NAME?</v>
      </c>
      <c r="F1743" s="100" t="e">
        <f t="shared" ca="1" si="308"/>
        <v>#NAME?</v>
      </c>
      <c r="G1743" s="100" t="e">
        <f t="shared" ca="1" si="309"/>
        <v>#NAME?</v>
      </c>
      <c r="H1743" s="100" t="e">
        <f t="shared" ca="1" si="310"/>
        <v>#NAME?</v>
      </c>
      <c r="I1743" s="100" t="e">
        <f t="shared" ca="1" si="311"/>
        <v>#NAME?</v>
      </c>
      <c r="J1743" s="100" t="e">
        <f ca="1">IFERROR(__xludf.DUMMYFUNCTION("""COMPUTED_VALUE"""),"0")</f>
        <v>#NAME?</v>
      </c>
      <c r="K1743" s="100" t="e">
        <f t="shared" ca="1" si="312"/>
        <v>#NAME?</v>
      </c>
      <c r="L1743" s="100"/>
      <c r="M1743" s="100"/>
      <c r="N1743" s="100"/>
      <c r="O1743" s="100"/>
      <c r="P1743" s="100"/>
      <c r="Q1743" s="100"/>
      <c r="R1743" s="100"/>
      <c r="S1743" s="100"/>
      <c r="T1743" s="100"/>
      <c r="U1743" s="100"/>
      <c r="V1743" s="100"/>
      <c r="W1743" s="100"/>
      <c r="X1743" s="100"/>
      <c r="Y1743" s="100"/>
      <c r="Z1743" s="100"/>
    </row>
    <row r="1744" spans="1:26">
      <c r="A1744" s="100" t="e">
        <f ca="1">IFERROR(__xludf.DUMMYFUNCTION("""COMPUTED_VALUE"""),58785079)</f>
        <v>#NAME?</v>
      </c>
      <c r="B1744" s="100" t="e">
        <f ca="1">IFERROR(__xludf.DUMMYFUNCTION("""COMPUTED_VALUE"""),"ENSUSDT")</f>
        <v>#NAME?</v>
      </c>
      <c r="C1744" s="100" t="e">
        <f ca="1">IFERROR(__xludf.DUMMYFUNCTION("""COMPUTED_VALUE"""),"15.31000000")</f>
        <v>#NAME?</v>
      </c>
      <c r="D1744" s="100" t="e">
        <f t="shared" ca="1" si="313"/>
        <v>#NAME?</v>
      </c>
      <c r="E1744" s="100" t="e">
        <f t="shared" ca="1" si="313"/>
        <v>#NAME?</v>
      </c>
      <c r="F1744" s="100" t="e">
        <f t="shared" ca="1" si="308"/>
        <v>#NAME?</v>
      </c>
      <c r="G1744" s="100" t="e">
        <f t="shared" ca="1" si="309"/>
        <v>#NAME?</v>
      </c>
      <c r="H1744" s="100" t="e">
        <f t="shared" ca="1" si="310"/>
        <v>#NAME?</v>
      </c>
      <c r="I1744" s="100" t="e">
        <f t="shared" ca="1" si="311"/>
        <v>#NAME?</v>
      </c>
      <c r="J1744" s="100" t="e">
        <f ca="1">IFERROR(__xludf.DUMMYFUNCTION("""COMPUTED_VALUE"""),"1.056")</f>
        <v>#NAME?</v>
      </c>
      <c r="K1744" s="100" t="e">
        <f t="shared" ca="1" si="312"/>
        <v>#NAME?</v>
      </c>
      <c r="L1744" s="100"/>
      <c r="M1744" s="100"/>
      <c r="N1744" s="100"/>
      <c r="O1744" s="100"/>
      <c r="P1744" s="100"/>
      <c r="Q1744" s="100"/>
      <c r="R1744" s="100"/>
      <c r="S1744" s="100"/>
      <c r="T1744" s="100"/>
      <c r="U1744" s="100"/>
      <c r="V1744" s="100"/>
      <c r="W1744" s="100"/>
      <c r="X1744" s="100"/>
      <c r="Y1744" s="100"/>
      <c r="Z1744" s="100"/>
    </row>
    <row r="1745" spans="1:26">
      <c r="A1745" s="100" t="e">
        <f ca="1">IFERROR(__xludf.DUMMYFUNCTION("""COMPUTED_VALUE"""),58785080)</f>
        <v>#NAME?</v>
      </c>
      <c r="B1745" s="100" t="e">
        <f ca="1">IFERROR(__xludf.DUMMYFUNCTION("""COMPUTED_VALUE"""),"SANDETH")</f>
        <v>#NAME?</v>
      </c>
      <c r="C1745" s="100" t="e">
        <f ca="1">IFERROR(__xludf.DUMMYFUNCTION("""COMPUTED_VALUE"""),"0.00014660")</f>
        <v>#NAME?</v>
      </c>
      <c r="D1745" s="100" t="e">
        <f t="shared" ca="1" si="313"/>
        <v>#NAME?</v>
      </c>
      <c r="E1745" s="100" t="e">
        <f t="shared" ca="1" si="313"/>
        <v>#NAME?</v>
      </c>
      <c r="F1745" s="100" t="e">
        <f t="shared" ca="1" si="308"/>
        <v>#NAME?</v>
      </c>
      <c r="G1745" s="100" t="e">
        <f t="shared" ca="1" si="309"/>
        <v>#NAME?</v>
      </c>
      <c r="H1745" s="100" t="e">
        <f t="shared" ca="1" si="310"/>
        <v>#NAME?</v>
      </c>
      <c r="I1745" s="100" t="e">
        <f t="shared" ca="1" si="311"/>
        <v>#NAME?</v>
      </c>
      <c r="J1745" s="100" t="e">
        <f ca="1">IFERROR(__xludf.DUMMYFUNCTION("""COMPUTED_VALUE"""),"0")</f>
        <v>#NAME?</v>
      </c>
      <c r="K1745" s="100" t="e">
        <f t="shared" ca="1" si="312"/>
        <v>#NAME?</v>
      </c>
      <c r="L1745" s="100"/>
      <c r="M1745" s="100"/>
      <c r="N1745" s="100"/>
      <c r="O1745" s="100"/>
      <c r="P1745" s="100"/>
      <c r="Q1745" s="100"/>
      <c r="R1745" s="100"/>
      <c r="S1745" s="100"/>
      <c r="T1745" s="100"/>
      <c r="U1745" s="100"/>
      <c r="V1745" s="100"/>
      <c r="W1745" s="100"/>
      <c r="X1745" s="100"/>
      <c r="Y1745" s="100"/>
      <c r="Z1745" s="100"/>
    </row>
    <row r="1746" spans="1:26">
      <c r="A1746" s="100" t="e">
        <f ca="1">IFERROR(__xludf.DUMMYFUNCTION("""COMPUTED_VALUE"""),58785081)</f>
        <v>#NAME?</v>
      </c>
      <c r="B1746" s="100" t="e">
        <f ca="1">IFERROR(__xludf.DUMMYFUNCTION("""COMPUTED_VALUE"""),"DOTETH")</f>
        <v>#NAME?</v>
      </c>
      <c r="C1746" s="100" t="e">
        <f ca="1">IFERROR(__xludf.DUMMYFUNCTION("""COMPUTED_VALUE"""),"0.00230200")</f>
        <v>#NAME?</v>
      </c>
      <c r="D1746" s="100" t="e">
        <f t="shared" ca="1" si="313"/>
        <v>#NAME?</v>
      </c>
      <c r="E1746" s="100" t="e">
        <f t="shared" ca="1" si="313"/>
        <v>#NAME?</v>
      </c>
      <c r="F1746" s="100" t="e">
        <f t="shared" ca="1" si="308"/>
        <v>#NAME?</v>
      </c>
      <c r="G1746" s="100" t="e">
        <f t="shared" ca="1" si="309"/>
        <v>#NAME?</v>
      </c>
      <c r="H1746" s="100" t="e">
        <f t="shared" ca="1" si="310"/>
        <v>#NAME?</v>
      </c>
      <c r="I1746" s="100" t="e">
        <f t="shared" ca="1" si="311"/>
        <v>#NAME?</v>
      </c>
      <c r="J1746" s="100" t="e">
        <f ca="1">IFERROR(__xludf.DUMMYFUNCTION("""COMPUTED_VALUE"""),"-4.043")</f>
        <v>#NAME?</v>
      </c>
      <c r="K1746" s="100" t="e">
        <f t="shared" ca="1" si="312"/>
        <v>#NAME?</v>
      </c>
      <c r="L1746" s="100"/>
      <c r="M1746" s="100"/>
      <c r="N1746" s="100"/>
      <c r="O1746" s="100"/>
      <c r="P1746" s="100"/>
      <c r="Q1746" s="100"/>
      <c r="R1746" s="100"/>
      <c r="S1746" s="100"/>
      <c r="T1746" s="100"/>
      <c r="U1746" s="100"/>
      <c r="V1746" s="100"/>
      <c r="W1746" s="100"/>
      <c r="X1746" s="100"/>
      <c r="Y1746" s="100"/>
      <c r="Z1746" s="100"/>
    </row>
    <row r="1747" spans="1:26">
      <c r="A1747" s="100" t="e">
        <f ca="1">IFERROR(__xludf.DUMMYFUNCTION("""COMPUTED_VALUE"""),58785082)</f>
        <v>#NAME?</v>
      </c>
      <c r="B1747" s="100" t="e">
        <f ca="1">IFERROR(__xludf.DUMMYFUNCTION("""COMPUTED_VALUE"""),"MATICETH")</f>
        <v>#NAME?</v>
      </c>
      <c r="C1747" s="100" t="e">
        <f ca="1">IFERROR(__xludf.DUMMYFUNCTION("""COMPUTED_VALUE"""),"0.00016160")</f>
        <v>#NAME?</v>
      </c>
      <c r="D1747" s="100" t="e">
        <f t="shared" ca="1" si="313"/>
        <v>#NAME?</v>
      </c>
      <c r="E1747" s="100" t="e">
        <f t="shared" ca="1" si="313"/>
        <v>#NAME?</v>
      </c>
      <c r="F1747" s="100" t="e">
        <f t="shared" ca="1" si="308"/>
        <v>#NAME?</v>
      </c>
      <c r="G1747" s="100" t="e">
        <f t="shared" ca="1" si="309"/>
        <v>#NAME?</v>
      </c>
      <c r="H1747" s="100" t="e">
        <f t="shared" ca="1" si="310"/>
        <v>#NAME?</v>
      </c>
      <c r="I1747" s="100" t="e">
        <f t="shared" ca="1" si="311"/>
        <v>#NAME?</v>
      </c>
      <c r="J1747" s="100" t="e">
        <f ca="1">IFERROR(__xludf.DUMMYFUNCTION("""COMPUTED_VALUE"""),"0")</f>
        <v>#NAME?</v>
      </c>
      <c r="K1747" s="100" t="e">
        <f t="shared" ca="1" si="312"/>
        <v>#NAME?</v>
      </c>
      <c r="L1747" s="100"/>
      <c r="M1747" s="100"/>
      <c r="N1747" s="100"/>
      <c r="O1747" s="100"/>
      <c r="P1747" s="100"/>
      <c r="Q1747" s="100"/>
      <c r="R1747" s="100"/>
      <c r="S1747" s="100"/>
      <c r="T1747" s="100"/>
      <c r="U1747" s="100"/>
      <c r="V1747" s="100"/>
      <c r="W1747" s="100"/>
      <c r="X1747" s="100"/>
      <c r="Y1747" s="100"/>
      <c r="Z1747" s="100"/>
    </row>
    <row r="1748" spans="1:26">
      <c r="A1748" s="100" t="e">
        <f ca="1">IFERROR(__xludf.DUMMYFUNCTION("""COMPUTED_VALUE"""),58785083)</f>
        <v>#NAME?</v>
      </c>
      <c r="B1748" s="100" t="e">
        <f ca="1">IFERROR(__xludf.DUMMYFUNCTION("""COMPUTED_VALUE"""),"ANKRBUSD")</f>
        <v>#NAME?</v>
      </c>
      <c r="C1748" s="100" t="e">
        <f ca="1">IFERROR(__xludf.DUMMYFUNCTION("""COMPUTED_VALUE"""),"0.01906000")</f>
        <v>#NAME?</v>
      </c>
      <c r="D1748" s="100" t="e">
        <f t="shared" ca="1" si="313"/>
        <v>#NAME?</v>
      </c>
      <c r="E1748" s="100" t="e">
        <f t="shared" ca="1" si="313"/>
        <v>#NAME?</v>
      </c>
      <c r="F1748" s="100" t="e">
        <f t="shared" ca="1" si="308"/>
        <v>#NAME?</v>
      </c>
      <c r="G1748" s="100" t="e">
        <f t="shared" ca="1" si="309"/>
        <v>#NAME?</v>
      </c>
      <c r="H1748" s="100" t="e">
        <f t="shared" ca="1" si="310"/>
        <v>#NAME?</v>
      </c>
      <c r="I1748" s="100" t="e">
        <f t="shared" ca="1" si="311"/>
        <v>#NAME?</v>
      </c>
      <c r="J1748" s="100" t="e">
        <f ca="1">IFERROR(__xludf.DUMMYFUNCTION("""COMPUTED_VALUE"""),"0")</f>
        <v>#NAME?</v>
      </c>
      <c r="K1748" s="100" t="e">
        <f t="shared" ca="1" si="312"/>
        <v>#NAME?</v>
      </c>
      <c r="L1748" s="100"/>
      <c r="M1748" s="100"/>
      <c r="N1748" s="100"/>
      <c r="O1748" s="100"/>
      <c r="P1748" s="100"/>
      <c r="Q1748" s="100"/>
      <c r="R1748" s="100"/>
      <c r="S1748" s="100"/>
      <c r="T1748" s="100"/>
      <c r="U1748" s="100"/>
      <c r="V1748" s="100"/>
      <c r="W1748" s="100"/>
      <c r="X1748" s="100"/>
      <c r="Y1748" s="100"/>
      <c r="Z1748" s="100"/>
    </row>
    <row r="1749" spans="1:26">
      <c r="A1749" s="100" t="e">
        <f ca="1">IFERROR(__xludf.DUMMYFUNCTION("""COMPUTED_VALUE"""),58785084)</f>
        <v>#NAME?</v>
      </c>
      <c r="B1749" s="100" t="e">
        <f ca="1">IFERROR(__xludf.DUMMYFUNCTION("""COMPUTED_VALUE"""),"SANDTRY")</f>
        <v>#NAME?</v>
      </c>
      <c r="C1749" s="100" t="e">
        <f ca="1">IFERROR(__xludf.DUMMYFUNCTION("""COMPUTED_VALUE"""),"10.51000000")</f>
        <v>#NAME?</v>
      </c>
      <c r="D1749" s="100" t="e">
        <f t="shared" ca="1" si="313"/>
        <v>#NAME?</v>
      </c>
      <c r="E1749" s="100" t="e">
        <f t="shared" ca="1" si="313"/>
        <v>#NAME?</v>
      </c>
      <c r="F1749" s="100" t="e">
        <f t="shared" ca="1" si="308"/>
        <v>#NAME?</v>
      </c>
      <c r="G1749" s="100" t="e">
        <f t="shared" ca="1" si="309"/>
        <v>#NAME?</v>
      </c>
      <c r="H1749" s="100" t="e">
        <f t="shared" ca="1" si="310"/>
        <v>#NAME?</v>
      </c>
      <c r="I1749" s="100" t="e">
        <f t="shared" ca="1" si="311"/>
        <v>#NAME?</v>
      </c>
      <c r="J1749" s="100" t="e">
        <f ca="1">IFERROR(__xludf.DUMMYFUNCTION("""COMPUTED_VALUE"""),"-2.685")</f>
        <v>#NAME?</v>
      </c>
      <c r="K1749" s="100" t="e">
        <f t="shared" ca="1" si="312"/>
        <v>#NAME?</v>
      </c>
      <c r="L1749" s="100"/>
      <c r="M1749" s="100"/>
      <c r="N1749" s="100"/>
      <c r="O1749" s="100"/>
      <c r="P1749" s="100"/>
      <c r="Q1749" s="100"/>
      <c r="R1749" s="100"/>
      <c r="S1749" s="100"/>
      <c r="T1749" s="100"/>
      <c r="U1749" s="100"/>
      <c r="V1749" s="100"/>
      <c r="W1749" s="100"/>
      <c r="X1749" s="100"/>
      <c r="Y1749" s="100"/>
      <c r="Z1749" s="100"/>
    </row>
    <row r="1750" spans="1:26">
      <c r="A1750" s="100" t="e">
        <f ca="1">IFERROR(__xludf.DUMMYFUNCTION("""COMPUTED_VALUE"""),58785085)</f>
        <v>#NAME?</v>
      </c>
      <c r="B1750" s="100" t="e">
        <f ca="1">IFERROR(__xludf.DUMMYFUNCTION("""COMPUTED_VALUE"""),"MANABRL")</f>
        <v>#NAME?</v>
      </c>
      <c r="C1750" s="100" t="e">
        <f ca="1">IFERROR(__xludf.DUMMYFUNCTION("""COMPUTED_VALUE"""),"1.66100000")</f>
        <v>#NAME?</v>
      </c>
      <c r="D1750" s="100" t="e">
        <f t="shared" ca="1" si="313"/>
        <v>#NAME?</v>
      </c>
      <c r="E1750" s="100" t="e">
        <f t="shared" ca="1" si="313"/>
        <v>#NAME?</v>
      </c>
      <c r="F1750" s="100" t="e">
        <f t="shared" ca="1" si="308"/>
        <v>#NAME?</v>
      </c>
      <c r="G1750" s="100" t="e">
        <f t="shared" ca="1" si="309"/>
        <v>#NAME?</v>
      </c>
      <c r="H1750" s="100" t="e">
        <f t="shared" ca="1" si="310"/>
        <v>#NAME?</v>
      </c>
      <c r="I1750" s="100" t="e">
        <f t="shared" ca="1" si="311"/>
        <v>#NAME?</v>
      </c>
      <c r="J1750" s="100" t="e">
        <f ca="1">IFERROR(__xludf.DUMMYFUNCTION("""COMPUTED_VALUE"""),"0")</f>
        <v>#NAME?</v>
      </c>
      <c r="K1750" s="100" t="e">
        <f t="shared" ca="1" si="312"/>
        <v>#NAME?</v>
      </c>
      <c r="L1750" s="100"/>
      <c r="M1750" s="100"/>
      <c r="N1750" s="100"/>
      <c r="O1750" s="100"/>
      <c r="P1750" s="100"/>
      <c r="Q1750" s="100"/>
      <c r="R1750" s="100"/>
      <c r="S1750" s="100"/>
      <c r="T1750" s="100"/>
      <c r="U1750" s="100"/>
      <c r="V1750" s="100"/>
      <c r="W1750" s="100"/>
      <c r="X1750" s="100"/>
      <c r="Y1750" s="100"/>
      <c r="Z1750" s="100"/>
    </row>
    <row r="1751" spans="1:26">
      <c r="A1751" s="100" t="e">
        <f ca="1">IFERROR(__xludf.DUMMYFUNCTION("""COMPUTED_VALUE"""),58785086)</f>
        <v>#NAME?</v>
      </c>
      <c r="B1751" s="100" t="e">
        <f ca="1">IFERROR(__xludf.DUMMYFUNCTION("""COMPUTED_VALUE"""),"KP3RUSDT")</f>
        <v>#NAME?</v>
      </c>
      <c r="C1751" s="100" t="e">
        <f ca="1">IFERROR(__xludf.DUMMYFUNCTION("""COMPUTED_VALUE"""),"16.48000000")</f>
        <v>#NAME?</v>
      </c>
      <c r="D1751" s="100" t="e">
        <f t="shared" ca="1" si="313"/>
        <v>#NAME?</v>
      </c>
      <c r="E1751" s="100" t="e">
        <f t="shared" ca="1" si="313"/>
        <v>#NAME?</v>
      </c>
      <c r="F1751" s="100" t="e">
        <f t="shared" ca="1" si="308"/>
        <v>#NAME?</v>
      </c>
      <c r="G1751" s="100" t="e">
        <f t="shared" ca="1" si="309"/>
        <v>#NAME?</v>
      </c>
      <c r="H1751" s="100" t="e">
        <f t="shared" ca="1" si="310"/>
        <v>#NAME?</v>
      </c>
      <c r="I1751" s="100" t="e">
        <f t="shared" ca="1" si="311"/>
        <v>#NAME?</v>
      </c>
      <c r="J1751" s="100" t="e">
        <f ca="1">IFERROR(__xludf.DUMMYFUNCTION("""COMPUTED_VALUE"""),"0")</f>
        <v>#NAME?</v>
      </c>
      <c r="K1751" s="100" t="e">
        <f t="shared" ca="1" si="312"/>
        <v>#NAME?</v>
      </c>
      <c r="L1751" s="100"/>
      <c r="M1751" s="100"/>
      <c r="N1751" s="100"/>
      <c r="O1751" s="100"/>
      <c r="P1751" s="100"/>
      <c r="Q1751" s="100"/>
      <c r="R1751" s="100"/>
      <c r="S1751" s="100"/>
      <c r="T1751" s="100"/>
      <c r="U1751" s="100"/>
      <c r="V1751" s="100"/>
      <c r="W1751" s="100"/>
      <c r="X1751" s="100"/>
      <c r="Y1751" s="100"/>
      <c r="Z1751" s="100"/>
    </row>
    <row r="1752" spans="1:26">
      <c r="A1752" s="100" t="e">
        <f ca="1">IFERROR(__xludf.DUMMYFUNCTION("""COMPUTED_VALUE"""),58785087)</f>
        <v>#NAME?</v>
      </c>
      <c r="B1752" s="100" t="e">
        <f ca="1">IFERROR(__xludf.DUMMYFUNCTION("""COMPUTED_VALUE"""),"QIUSDT")</f>
        <v>#NAME?</v>
      </c>
      <c r="C1752" s="100" t="e">
        <f ca="1">IFERROR(__xludf.DUMMYFUNCTION("""COMPUTED_VALUE"""),"0.00847000")</f>
        <v>#NAME?</v>
      </c>
      <c r="D1752" s="100" t="e">
        <f t="shared" ca="1" si="313"/>
        <v>#NAME?</v>
      </c>
      <c r="E1752" s="100" t="e">
        <f t="shared" ca="1" si="313"/>
        <v>#NAME?</v>
      </c>
      <c r="F1752" s="100" t="e">
        <f t="shared" ca="1" si="308"/>
        <v>#NAME?</v>
      </c>
      <c r="G1752" s="100" t="e">
        <f t="shared" ca="1" si="309"/>
        <v>#NAME?</v>
      </c>
      <c r="H1752" s="100" t="e">
        <f t="shared" ca="1" si="310"/>
        <v>#NAME?</v>
      </c>
      <c r="I1752" s="100" t="e">
        <f t="shared" ca="1" si="311"/>
        <v>#NAME?</v>
      </c>
      <c r="J1752" s="100" t="e">
        <f ca="1">IFERROR(__xludf.DUMMYFUNCTION("""COMPUTED_VALUE"""),"-0.118")</f>
        <v>#NAME?</v>
      </c>
      <c r="K1752" s="100" t="e">
        <f t="shared" ca="1" si="312"/>
        <v>#NAME?</v>
      </c>
      <c r="L1752" s="100"/>
      <c r="M1752" s="100"/>
      <c r="N1752" s="100"/>
      <c r="O1752" s="100"/>
      <c r="P1752" s="100"/>
      <c r="Q1752" s="100"/>
      <c r="R1752" s="100"/>
      <c r="S1752" s="100"/>
      <c r="T1752" s="100"/>
      <c r="U1752" s="100"/>
      <c r="V1752" s="100"/>
      <c r="W1752" s="100"/>
      <c r="X1752" s="100"/>
      <c r="Y1752" s="100"/>
      <c r="Z1752" s="100"/>
    </row>
    <row r="1753" spans="1:26">
      <c r="A1753" s="100" t="e">
        <f ca="1">IFERROR(__xludf.DUMMYFUNCTION("""COMPUTED_VALUE"""),58785088)</f>
        <v>#NAME?</v>
      </c>
      <c r="B1753" s="100" t="e">
        <f ca="1">IFERROR(__xludf.DUMMYFUNCTION("""COMPUTED_VALUE"""),"QIBUSD")</f>
        <v>#NAME?</v>
      </c>
      <c r="C1753" s="100" t="e">
        <f ca="1">IFERROR(__xludf.DUMMYFUNCTION("""COMPUTED_VALUE"""),"0.00507000")</f>
        <v>#NAME?</v>
      </c>
      <c r="D1753" s="100" t="e">
        <f t="shared" ca="1" si="313"/>
        <v>#NAME?</v>
      </c>
      <c r="E1753" s="100" t="e">
        <f t="shared" ca="1" si="313"/>
        <v>#NAME?</v>
      </c>
      <c r="F1753" s="100" t="e">
        <f t="shared" ca="1" si="308"/>
        <v>#NAME?</v>
      </c>
      <c r="G1753" s="100" t="e">
        <f t="shared" ca="1" si="309"/>
        <v>#NAME?</v>
      </c>
      <c r="H1753" s="100" t="e">
        <f t="shared" ca="1" si="310"/>
        <v>#NAME?</v>
      </c>
      <c r="I1753" s="100" t="e">
        <f t="shared" ca="1" si="311"/>
        <v>#NAME?</v>
      </c>
      <c r="J1753" s="100" t="e">
        <f ca="1">IFERROR(__xludf.DUMMYFUNCTION("""COMPUTED_VALUE"""),"0")</f>
        <v>#NAME?</v>
      </c>
      <c r="K1753" s="100" t="e">
        <f t="shared" ca="1" si="312"/>
        <v>#NAME?</v>
      </c>
      <c r="L1753" s="100"/>
      <c r="M1753" s="100"/>
      <c r="N1753" s="100"/>
      <c r="O1753" s="100"/>
      <c r="P1753" s="100"/>
      <c r="Q1753" s="100"/>
      <c r="R1753" s="100"/>
      <c r="S1753" s="100"/>
      <c r="T1753" s="100"/>
      <c r="U1753" s="100"/>
      <c r="V1753" s="100"/>
      <c r="W1753" s="100"/>
      <c r="X1753" s="100"/>
      <c r="Y1753" s="100"/>
      <c r="Z1753" s="100"/>
    </row>
    <row r="1754" spans="1:26">
      <c r="A1754" s="100" t="e">
        <f ca="1">IFERROR(__xludf.DUMMYFUNCTION("""COMPUTED_VALUE"""),58785089)</f>
        <v>#NAME?</v>
      </c>
      <c r="B1754" s="100" t="e">
        <f ca="1">IFERROR(__xludf.DUMMYFUNCTION("""COMPUTED_VALUE"""),"QIBNB")</f>
        <v>#NAME?</v>
      </c>
      <c r="C1754" s="100" t="e">
        <f ca="1">IFERROR(__xludf.DUMMYFUNCTION("""COMPUTED_VALUE"""),"0.00000000")</f>
        <v>#NAME?</v>
      </c>
      <c r="D1754" s="100" t="e">
        <f t="shared" ca="1" si="313"/>
        <v>#NAME?</v>
      </c>
      <c r="E1754" s="100" t="e">
        <f t="shared" ca="1" si="313"/>
        <v>#NAME?</v>
      </c>
      <c r="F1754" s="100" t="e">
        <f t="shared" ca="1" si="308"/>
        <v>#NAME?</v>
      </c>
      <c r="G1754" s="100" t="e">
        <f t="shared" ca="1" si="309"/>
        <v>#NAME?</v>
      </c>
      <c r="H1754" s="100" t="e">
        <f t="shared" ca="1" si="310"/>
        <v>#NAME?</v>
      </c>
      <c r="I1754" s="100" t="e">
        <f t="shared" ca="1" si="311"/>
        <v>#NAME?</v>
      </c>
      <c r="J1754" s="100" t="e">
        <f ca="1">IFERROR(__xludf.DUMMYFUNCTION("""COMPUTED_VALUE"""),"0")</f>
        <v>#NAME?</v>
      </c>
      <c r="K1754" s="100" t="e">
        <f t="shared" ca="1" si="312"/>
        <v>#NAME?</v>
      </c>
      <c r="L1754" s="100"/>
      <c r="M1754" s="100"/>
      <c r="N1754" s="100"/>
      <c r="O1754" s="100"/>
      <c r="P1754" s="100"/>
      <c r="Q1754" s="100"/>
      <c r="R1754" s="100"/>
      <c r="S1754" s="100"/>
      <c r="T1754" s="100"/>
      <c r="U1754" s="100"/>
      <c r="V1754" s="100"/>
      <c r="W1754" s="100"/>
      <c r="X1754" s="100"/>
      <c r="Y1754" s="100"/>
      <c r="Z1754" s="100"/>
    </row>
    <row r="1755" spans="1:26">
      <c r="A1755" s="100" t="e">
        <f ca="1">IFERROR(__xludf.DUMMYFUNCTION("""COMPUTED_VALUE"""),58785090)</f>
        <v>#NAME?</v>
      </c>
      <c r="B1755" s="100" t="e">
        <f ca="1">IFERROR(__xludf.DUMMYFUNCTION("""COMPUTED_VALUE"""),"QIBTC")</f>
        <v>#NAME?</v>
      </c>
      <c r="C1755" s="100" t="e">
        <f ca="1">IFERROR(__xludf.DUMMYFUNCTION("""COMPUTED_VALUE"""),"0.00000012")</f>
        <v>#NAME?</v>
      </c>
      <c r="D1755" s="100" t="e">
        <f t="shared" ca="1" si="313"/>
        <v>#NAME?</v>
      </c>
      <c r="E1755" s="100" t="e">
        <f t="shared" ca="1" si="313"/>
        <v>#NAME?</v>
      </c>
      <c r="F1755" s="100" t="e">
        <f t="shared" ca="1" si="308"/>
        <v>#NAME?</v>
      </c>
      <c r="G1755" s="100" t="e">
        <f t="shared" ca="1" si="309"/>
        <v>#NAME?</v>
      </c>
      <c r="H1755" s="100" t="e">
        <f t="shared" ca="1" si="310"/>
        <v>#NAME?</v>
      </c>
      <c r="I1755" s="100" t="e">
        <f t="shared" ca="1" si="311"/>
        <v>#NAME?</v>
      </c>
      <c r="J1755" s="100" t="e">
        <f ca="1">IFERROR(__xludf.DUMMYFUNCTION("""COMPUTED_VALUE"""),"0")</f>
        <v>#NAME?</v>
      </c>
      <c r="K1755" s="100" t="e">
        <f t="shared" ca="1" si="312"/>
        <v>#NAME?</v>
      </c>
      <c r="L1755" s="100"/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</row>
    <row r="1756" spans="1:26">
      <c r="A1756" s="100" t="e">
        <f ca="1">IFERROR(__xludf.DUMMYFUNCTION("""COMPUTED_VALUE"""),58785091)</f>
        <v>#NAME?</v>
      </c>
      <c r="B1756" s="100" t="e">
        <f ca="1">IFERROR(__xludf.DUMMYFUNCTION("""COMPUTED_VALUE"""),"PORTOBTC")</f>
        <v>#NAME?</v>
      </c>
      <c r="C1756" s="100" t="e">
        <f ca="1">IFERROR(__xludf.DUMMYFUNCTION("""COMPUTED_VALUE"""),"0.00002103")</f>
        <v>#NAME?</v>
      </c>
      <c r="D1756" s="100" t="e">
        <f t="shared" ca="1" si="313"/>
        <v>#NAME?</v>
      </c>
      <c r="E1756" s="100" t="e">
        <f t="shared" ca="1" si="313"/>
        <v>#NAME?</v>
      </c>
      <c r="F1756" s="100" t="e">
        <f t="shared" ca="1" si="308"/>
        <v>#NAME?</v>
      </c>
      <c r="G1756" s="100" t="e">
        <f t="shared" ca="1" si="309"/>
        <v>#NAME?</v>
      </c>
      <c r="H1756" s="100" t="e">
        <f t="shared" ca="1" si="310"/>
        <v>#NAME?</v>
      </c>
      <c r="I1756" s="100" t="e">
        <f t="shared" ca="1" si="311"/>
        <v>#NAME?</v>
      </c>
      <c r="J1756" s="100" t="e">
        <f ca="1">IFERROR(__xludf.DUMMYFUNCTION("""COMPUTED_VALUE"""),"0")</f>
        <v>#NAME?</v>
      </c>
      <c r="K1756" s="100" t="e">
        <f t="shared" ca="1" si="312"/>
        <v>#NAME?</v>
      </c>
      <c r="L1756" s="100"/>
      <c r="M1756" s="100"/>
      <c r="N1756" s="100"/>
      <c r="O1756" s="100"/>
      <c r="P1756" s="100"/>
      <c r="Q1756" s="100"/>
      <c r="R1756" s="100"/>
      <c r="S1756" s="100"/>
      <c r="T1756" s="100"/>
      <c r="U1756" s="100"/>
      <c r="V1756" s="100"/>
      <c r="W1756" s="100"/>
      <c r="X1756" s="100"/>
      <c r="Y1756" s="100"/>
      <c r="Z1756" s="100"/>
    </row>
    <row r="1757" spans="1:26">
      <c r="A1757" s="100" t="e">
        <f ca="1">IFERROR(__xludf.DUMMYFUNCTION("""COMPUTED_VALUE"""),58785092)</f>
        <v>#NAME?</v>
      </c>
      <c r="B1757" s="100" t="e">
        <f ca="1">IFERROR(__xludf.DUMMYFUNCTION("""COMPUTED_VALUE"""),"PORTOUSDT")</f>
        <v>#NAME?</v>
      </c>
      <c r="C1757" s="100" t="e">
        <f ca="1">IFERROR(__xludf.DUMMYFUNCTION("""COMPUTED_VALUE"""),"0.96500000")</f>
        <v>#NAME?</v>
      </c>
      <c r="D1757" s="100" t="e">
        <f t="shared" ca="1" si="313"/>
        <v>#NAME?</v>
      </c>
      <c r="E1757" s="100" t="e">
        <f t="shared" ca="1" si="313"/>
        <v>#NAME?</v>
      </c>
      <c r="F1757" s="100" t="e">
        <f t="shared" ca="1" si="308"/>
        <v>#NAME?</v>
      </c>
      <c r="G1757" s="100" t="e">
        <f t="shared" ca="1" si="309"/>
        <v>#NAME?</v>
      </c>
      <c r="H1757" s="100" t="e">
        <f t="shared" ca="1" si="310"/>
        <v>#NAME?</v>
      </c>
      <c r="I1757" s="100" t="e">
        <f t="shared" ca="1" si="311"/>
        <v>#NAME?</v>
      </c>
      <c r="J1757" s="100" t="e">
        <f ca="1">IFERROR(__xludf.DUMMYFUNCTION("""COMPUTED_VALUE"""),"-1.430")</f>
        <v>#NAME?</v>
      </c>
      <c r="K1757" s="100" t="e">
        <f t="shared" ca="1" si="312"/>
        <v>#NAME?</v>
      </c>
      <c r="L1757" s="100"/>
      <c r="M1757" s="100"/>
      <c r="N1757" s="100"/>
      <c r="O1757" s="100"/>
      <c r="P1757" s="100"/>
      <c r="Q1757" s="100"/>
      <c r="R1757" s="100"/>
      <c r="S1757" s="100"/>
      <c r="T1757" s="100"/>
      <c r="U1757" s="100"/>
      <c r="V1757" s="100"/>
      <c r="W1757" s="100"/>
      <c r="X1757" s="100"/>
      <c r="Y1757" s="100"/>
      <c r="Z1757" s="100"/>
    </row>
    <row r="1758" spans="1:26">
      <c r="A1758" s="100" t="e">
        <f ca="1">IFERROR(__xludf.DUMMYFUNCTION("""COMPUTED_VALUE"""),58785093)</f>
        <v>#NAME?</v>
      </c>
      <c r="B1758" s="100" t="e">
        <f ca="1">IFERROR(__xludf.DUMMYFUNCTION("""COMPUTED_VALUE"""),"PORTOTRY")</f>
        <v>#NAME?</v>
      </c>
      <c r="C1758" s="100" t="e">
        <f ca="1">IFERROR(__xludf.DUMMYFUNCTION("""COMPUTED_VALUE"""),"37.01000000")</f>
        <v>#NAME?</v>
      </c>
      <c r="D1758" s="100" t="e">
        <f t="shared" ca="1" si="313"/>
        <v>#NAME?</v>
      </c>
      <c r="E1758" s="100" t="e">
        <f t="shared" ca="1" si="313"/>
        <v>#NAME?</v>
      </c>
      <c r="F1758" s="100" t="e">
        <f t="shared" ca="1" si="308"/>
        <v>#NAME?</v>
      </c>
      <c r="G1758" s="100" t="e">
        <f t="shared" ca="1" si="309"/>
        <v>#NAME?</v>
      </c>
      <c r="H1758" s="100" t="e">
        <f t="shared" ca="1" si="310"/>
        <v>#NAME?</v>
      </c>
      <c r="I1758" s="100" t="e">
        <f t="shared" ca="1" si="311"/>
        <v>#NAME?</v>
      </c>
      <c r="J1758" s="100" t="e">
        <f ca="1">IFERROR(__xludf.DUMMYFUNCTION("""COMPUTED_VALUE"""),"-0.884")</f>
        <v>#NAME?</v>
      </c>
      <c r="K1758" s="100" t="e">
        <f t="shared" ca="1" si="312"/>
        <v>#NAME?</v>
      </c>
      <c r="L1758" s="100"/>
      <c r="M1758" s="100"/>
      <c r="N1758" s="100"/>
      <c r="O1758" s="100"/>
      <c r="P1758" s="100"/>
      <c r="Q1758" s="100"/>
      <c r="R1758" s="100"/>
      <c r="S1758" s="100"/>
      <c r="T1758" s="100"/>
      <c r="U1758" s="100"/>
      <c r="V1758" s="100"/>
      <c r="W1758" s="100"/>
      <c r="X1758" s="100"/>
      <c r="Y1758" s="100"/>
      <c r="Z1758" s="100"/>
    </row>
    <row r="1759" spans="1:26">
      <c r="A1759" s="100" t="e">
        <f ca="1">IFERROR(__xludf.DUMMYFUNCTION("""COMPUTED_VALUE"""),58785094)</f>
        <v>#NAME?</v>
      </c>
      <c r="B1759" s="100" t="e">
        <f ca="1">IFERROR(__xludf.DUMMYFUNCTION("""COMPUTED_VALUE"""),"PORTOEUR")</f>
        <v>#NAME?</v>
      </c>
      <c r="C1759" s="100" t="e">
        <f ca="1">IFERROR(__xludf.DUMMYFUNCTION("""COMPUTED_VALUE"""),"2.71500000")</f>
        <v>#NAME?</v>
      </c>
      <c r="D1759" s="100" t="e">
        <f t="shared" ca="1" si="313"/>
        <v>#NAME?</v>
      </c>
      <c r="E1759" s="100" t="e">
        <f t="shared" ca="1" si="313"/>
        <v>#NAME?</v>
      </c>
      <c r="F1759" s="100" t="e">
        <f t="shared" ca="1" si="308"/>
        <v>#NAME?</v>
      </c>
      <c r="G1759" s="100" t="e">
        <f t="shared" ca="1" si="309"/>
        <v>#NAME?</v>
      </c>
      <c r="H1759" s="100" t="e">
        <f t="shared" ca="1" si="310"/>
        <v>#NAME?</v>
      </c>
      <c r="I1759" s="100" t="e">
        <f t="shared" ca="1" si="311"/>
        <v>#NAME?</v>
      </c>
      <c r="J1759" s="100" t="e">
        <f ca="1">IFERROR(__xludf.DUMMYFUNCTION("""COMPUTED_VALUE"""),"0")</f>
        <v>#NAME?</v>
      </c>
      <c r="K1759" s="100" t="e">
        <f t="shared" ca="1" si="312"/>
        <v>#NAME?</v>
      </c>
      <c r="L1759" s="100"/>
      <c r="M1759" s="100"/>
      <c r="N1759" s="100"/>
      <c r="O1759" s="100"/>
      <c r="P1759" s="100"/>
      <c r="Q1759" s="100"/>
      <c r="R1759" s="100"/>
      <c r="S1759" s="100"/>
      <c r="T1759" s="100"/>
      <c r="U1759" s="100"/>
      <c r="V1759" s="100"/>
      <c r="W1759" s="100"/>
      <c r="X1759" s="100"/>
      <c r="Y1759" s="100"/>
      <c r="Z1759" s="100"/>
    </row>
    <row r="1760" spans="1:26">
      <c r="A1760" s="100" t="e">
        <f ca="1">IFERROR(__xludf.DUMMYFUNCTION("""COMPUTED_VALUE"""),58785095)</f>
        <v>#NAME?</v>
      </c>
      <c r="B1760" s="100" t="e">
        <f ca="1">IFERROR(__xludf.DUMMYFUNCTION("""COMPUTED_VALUE"""),"POWRUSDT")</f>
        <v>#NAME?</v>
      </c>
      <c r="C1760" s="100" t="e">
        <f ca="1">IFERROR(__xludf.DUMMYFUNCTION("""COMPUTED_VALUE"""),"0.17930000")</f>
        <v>#NAME?</v>
      </c>
      <c r="D1760" s="100" t="e">
        <f t="shared" ca="1" si="313"/>
        <v>#NAME?</v>
      </c>
      <c r="E1760" s="100" t="e">
        <f t="shared" ca="1" si="313"/>
        <v>#NAME?</v>
      </c>
      <c r="F1760" s="100" t="e">
        <f t="shared" ca="1" si="308"/>
        <v>#NAME?</v>
      </c>
      <c r="G1760" s="100" t="e">
        <f t="shared" ca="1" si="309"/>
        <v>#NAME?</v>
      </c>
      <c r="H1760" s="100" t="e">
        <f t="shared" ca="1" si="310"/>
        <v>#NAME?</v>
      </c>
      <c r="I1760" s="100" t="e">
        <f t="shared" ca="1" si="311"/>
        <v>#NAME?</v>
      </c>
      <c r="J1760" s="100" t="e">
        <f ca="1">IFERROR(__xludf.DUMMYFUNCTION("""COMPUTED_VALUE"""),"-1.321")</f>
        <v>#NAME?</v>
      </c>
      <c r="K1760" s="100" t="e">
        <f t="shared" ca="1" si="312"/>
        <v>#NAME?</v>
      </c>
      <c r="L1760" s="100"/>
      <c r="M1760" s="100"/>
      <c r="N1760" s="100"/>
      <c r="O1760" s="100"/>
      <c r="P1760" s="100"/>
      <c r="Q1760" s="100"/>
      <c r="R1760" s="100"/>
      <c r="S1760" s="100"/>
      <c r="T1760" s="100"/>
      <c r="U1760" s="100"/>
      <c r="V1760" s="100"/>
      <c r="W1760" s="100"/>
      <c r="X1760" s="100"/>
      <c r="Y1760" s="100"/>
      <c r="Z1760" s="100"/>
    </row>
    <row r="1761" spans="1:26">
      <c r="A1761" s="100" t="e">
        <f ca="1">IFERROR(__xludf.DUMMYFUNCTION("""COMPUTED_VALUE"""),58785096)</f>
        <v>#NAME?</v>
      </c>
      <c r="B1761" s="100" t="e">
        <f ca="1">IFERROR(__xludf.DUMMYFUNCTION("""COMPUTED_VALUE"""),"POWRBUSD")</f>
        <v>#NAME?</v>
      </c>
      <c r="C1761" s="100" t="e">
        <f ca="1">IFERROR(__xludf.DUMMYFUNCTION("""COMPUTED_VALUE"""),"0.15040000")</f>
        <v>#NAME?</v>
      </c>
      <c r="D1761" s="100" t="e">
        <f t="shared" ca="1" si="313"/>
        <v>#NAME?</v>
      </c>
      <c r="E1761" s="100" t="e">
        <f t="shared" ca="1" si="313"/>
        <v>#NAME?</v>
      </c>
      <c r="F1761" s="100" t="e">
        <f t="shared" ca="1" si="308"/>
        <v>#NAME?</v>
      </c>
      <c r="G1761" s="100" t="e">
        <f t="shared" ca="1" si="309"/>
        <v>#NAME?</v>
      </c>
      <c r="H1761" s="100" t="e">
        <f t="shared" ca="1" si="310"/>
        <v>#NAME?</v>
      </c>
      <c r="I1761" s="100" t="e">
        <f t="shared" ca="1" si="311"/>
        <v>#NAME?</v>
      </c>
      <c r="J1761" s="100" t="e">
        <f ca="1">IFERROR(__xludf.DUMMYFUNCTION("""COMPUTED_VALUE"""),"0")</f>
        <v>#NAME?</v>
      </c>
      <c r="K1761" s="100" t="e">
        <f t="shared" ca="1" si="312"/>
        <v>#NAME?</v>
      </c>
      <c r="L1761" s="100"/>
      <c r="M1761" s="100"/>
      <c r="N1761" s="100"/>
      <c r="O1761" s="100"/>
      <c r="P1761" s="100"/>
      <c r="Q1761" s="100"/>
      <c r="R1761" s="100"/>
      <c r="S1761" s="100"/>
      <c r="T1761" s="100"/>
      <c r="U1761" s="100"/>
      <c r="V1761" s="100"/>
      <c r="W1761" s="100"/>
      <c r="X1761" s="100"/>
      <c r="Y1761" s="100"/>
      <c r="Z1761" s="100"/>
    </row>
    <row r="1762" spans="1:26">
      <c r="A1762" s="100" t="e">
        <f ca="1">IFERROR(__xludf.DUMMYFUNCTION("""COMPUTED_VALUE"""),58785097)</f>
        <v>#NAME?</v>
      </c>
      <c r="B1762" s="100" t="e">
        <f ca="1">IFERROR(__xludf.DUMMYFUNCTION("""COMPUTED_VALUE"""),"AVAXETH")</f>
        <v>#NAME?</v>
      </c>
      <c r="C1762" s="100" t="e">
        <f ca="1">IFERROR(__xludf.DUMMYFUNCTION("""COMPUTED_VALUE"""),"0.01243000")</f>
        <v>#NAME?</v>
      </c>
      <c r="D1762" s="100" t="e">
        <f t="shared" ref="D1762:E1781" ca="1" si="314">IFERROR(__xludf.DUMMYFUNCTION("""COMPUTED_VALUE"""),"-")</f>
        <v>#NAME?</v>
      </c>
      <c r="E1762" s="100" t="e">
        <f t="shared" ca="1" si="314"/>
        <v>#NAME?</v>
      </c>
      <c r="F1762" s="100" t="e">
        <f t="shared" ca="1" si="308"/>
        <v>#NAME?</v>
      </c>
      <c r="G1762" s="100" t="e">
        <f t="shared" ca="1" si="309"/>
        <v>#NAME?</v>
      </c>
      <c r="H1762" s="100" t="e">
        <f t="shared" ca="1" si="310"/>
        <v>#NAME?</v>
      </c>
      <c r="I1762" s="100" t="e">
        <f t="shared" ca="1" si="311"/>
        <v>#NAME?</v>
      </c>
      <c r="J1762" s="100" t="e">
        <f ca="1">IFERROR(__xludf.DUMMYFUNCTION("""COMPUTED_VALUE"""),"-1.035")</f>
        <v>#NAME?</v>
      </c>
      <c r="K1762" s="100" t="e">
        <f t="shared" ca="1" si="312"/>
        <v>#NAME?</v>
      </c>
      <c r="L1762" s="100"/>
      <c r="M1762" s="100"/>
      <c r="N1762" s="100"/>
      <c r="O1762" s="100"/>
      <c r="P1762" s="100"/>
      <c r="Q1762" s="100"/>
      <c r="R1762" s="100"/>
      <c r="S1762" s="100"/>
      <c r="T1762" s="100"/>
      <c r="U1762" s="100"/>
      <c r="V1762" s="100"/>
      <c r="W1762" s="100"/>
      <c r="X1762" s="100"/>
      <c r="Y1762" s="100"/>
      <c r="Z1762" s="100"/>
    </row>
    <row r="1763" spans="1:26">
      <c r="A1763" s="100" t="e">
        <f ca="1">IFERROR(__xludf.DUMMYFUNCTION("""COMPUTED_VALUE"""),58785098)</f>
        <v>#NAME?</v>
      </c>
      <c r="B1763" s="100" t="e">
        <f ca="1">IFERROR(__xludf.DUMMYFUNCTION("""COMPUTED_VALUE"""),"SLPTRY")</f>
        <v>#NAME?</v>
      </c>
      <c r="C1763" s="100" t="e">
        <f ca="1">IFERROR(__xludf.DUMMYFUNCTION("""COMPUTED_VALUE"""),"0.06238000")</f>
        <v>#NAME?</v>
      </c>
      <c r="D1763" s="100" t="e">
        <f t="shared" ca="1" si="314"/>
        <v>#NAME?</v>
      </c>
      <c r="E1763" s="100" t="e">
        <f t="shared" ca="1" si="314"/>
        <v>#NAME?</v>
      </c>
      <c r="F1763" s="100" t="e">
        <f t="shared" ca="1" si="308"/>
        <v>#NAME?</v>
      </c>
      <c r="G1763" s="100" t="e">
        <f t="shared" ca="1" si="309"/>
        <v>#NAME?</v>
      </c>
      <c r="H1763" s="100" t="e">
        <f t="shared" ca="1" si="310"/>
        <v>#NAME?</v>
      </c>
      <c r="I1763" s="100" t="e">
        <f t="shared" ca="1" si="311"/>
        <v>#NAME?</v>
      </c>
      <c r="J1763" s="100" t="e">
        <f ca="1">IFERROR(__xludf.DUMMYFUNCTION("""COMPUTED_VALUE"""),"3.949")</f>
        <v>#NAME?</v>
      </c>
      <c r="K1763" s="100" t="e">
        <f t="shared" ca="1" si="312"/>
        <v>#NAME?</v>
      </c>
      <c r="L1763" s="100"/>
      <c r="M1763" s="100"/>
      <c r="N1763" s="100"/>
      <c r="O1763" s="100"/>
      <c r="P1763" s="100"/>
      <c r="Q1763" s="100"/>
      <c r="R1763" s="100"/>
      <c r="S1763" s="100"/>
      <c r="T1763" s="100"/>
      <c r="U1763" s="100"/>
      <c r="V1763" s="100"/>
      <c r="W1763" s="100"/>
      <c r="X1763" s="100"/>
      <c r="Y1763" s="100"/>
      <c r="Z1763" s="100"/>
    </row>
    <row r="1764" spans="1:26">
      <c r="A1764" s="100" t="e">
        <f ca="1">IFERROR(__xludf.DUMMYFUNCTION("""COMPUTED_VALUE"""),58785099)</f>
        <v>#NAME?</v>
      </c>
      <c r="B1764" s="100" t="e">
        <f ca="1">IFERROR(__xludf.DUMMYFUNCTION("""COMPUTED_VALUE"""),"FISTRY")</f>
        <v>#NAME?</v>
      </c>
      <c r="C1764" s="100" t="e">
        <f ca="1">IFERROR(__xludf.DUMMYFUNCTION("""COMPUTED_VALUE"""),"0.00000000")</f>
        <v>#NAME?</v>
      </c>
      <c r="D1764" s="100" t="e">
        <f t="shared" ca="1" si="314"/>
        <v>#NAME?</v>
      </c>
      <c r="E1764" s="100" t="e">
        <f t="shared" ca="1" si="314"/>
        <v>#NAME?</v>
      </c>
      <c r="F1764" s="100" t="e">
        <f t="shared" ca="1" si="308"/>
        <v>#NAME?</v>
      </c>
      <c r="G1764" s="100" t="e">
        <f t="shared" ca="1" si="309"/>
        <v>#NAME?</v>
      </c>
      <c r="H1764" s="100" t="e">
        <f t="shared" ca="1" si="310"/>
        <v>#NAME?</v>
      </c>
      <c r="I1764" s="100" t="e">
        <f t="shared" ca="1" si="311"/>
        <v>#NAME?</v>
      </c>
      <c r="J1764" s="100" t="e">
        <f ca="1">IFERROR(__xludf.DUMMYFUNCTION("""COMPUTED_VALUE"""),"0")</f>
        <v>#NAME?</v>
      </c>
      <c r="K1764" s="100" t="e">
        <f t="shared" ca="1" si="312"/>
        <v>#NAME?</v>
      </c>
      <c r="L1764" s="100"/>
      <c r="M1764" s="100"/>
      <c r="N1764" s="100"/>
      <c r="O1764" s="100"/>
      <c r="P1764" s="100"/>
      <c r="Q1764" s="100"/>
      <c r="R1764" s="100"/>
      <c r="S1764" s="100"/>
      <c r="T1764" s="100"/>
      <c r="U1764" s="100"/>
      <c r="V1764" s="100"/>
      <c r="W1764" s="100"/>
      <c r="X1764" s="100"/>
      <c r="Y1764" s="100"/>
      <c r="Z1764" s="100"/>
    </row>
    <row r="1765" spans="1:26">
      <c r="A1765" s="100" t="e">
        <f ca="1">IFERROR(__xludf.DUMMYFUNCTION("""COMPUTED_VALUE"""),58785100)</f>
        <v>#NAME?</v>
      </c>
      <c r="B1765" s="100" t="e">
        <f ca="1">IFERROR(__xludf.DUMMYFUNCTION("""COMPUTED_VALUE"""),"LRCTRY")</f>
        <v>#NAME?</v>
      </c>
      <c r="C1765" s="100" t="e">
        <f ca="1">IFERROR(__xludf.DUMMYFUNCTION("""COMPUTED_VALUE"""),"3.59900000")</f>
        <v>#NAME?</v>
      </c>
      <c r="D1765" s="100" t="e">
        <f t="shared" ca="1" si="314"/>
        <v>#NAME?</v>
      </c>
      <c r="E1765" s="100" t="e">
        <f t="shared" ca="1" si="314"/>
        <v>#NAME?</v>
      </c>
      <c r="F1765" s="100" t="e">
        <f t="shared" ca="1" si="308"/>
        <v>#NAME?</v>
      </c>
      <c r="G1765" s="100" t="e">
        <f t="shared" ca="1" si="309"/>
        <v>#NAME?</v>
      </c>
      <c r="H1765" s="100" t="e">
        <f t="shared" ca="1" si="310"/>
        <v>#NAME?</v>
      </c>
      <c r="I1765" s="100" t="e">
        <f t="shared" ca="1" si="311"/>
        <v>#NAME?</v>
      </c>
      <c r="J1765" s="100" t="e">
        <f ca="1">IFERROR(__xludf.DUMMYFUNCTION("""COMPUTED_VALUE"""),"-1.559")</f>
        <v>#NAME?</v>
      </c>
      <c r="K1765" s="100" t="e">
        <f t="shared" ca="1" si="312"/>
        <v>#NAME?</v>
      </c>
      <c r="L1765" s="100"/>
      <c r="M1765" s="100"/>
      <c r="N1765" s="100"/>
      <c r="O1765" s="100"/>
      <c r="P1765" s="100"/>
      <c r="Q1765" s="100"/>
      <c r="R1765" s="100"/>
      <c r="S1765" s="100"/>
      <c r="T1765" s="100"/>
      <c r="U1765" s="100"/>
      <c r="V1765" s="100"/>
      <c r="W1765" s="100"/>
      <c r="X1765" s="100"/>
      <c r="Y1765" s="100"/>
      <c r="Z1765" s="100"/>
    </row>
    <row r="1766" spans="1:26">
      <c r="A1766" s="100" t="e">
        <f ca="1">IFERROR(__xludf.DUMMYFUNCTION("""COMPUTED_VALUE"""),58785101)</f>
        <v>#NAME?</v>
      </c>
      <c r="B1766" s="100" t="e">
        <f ca="1">IFERROR(__xludf.DUMMYFUNCTION("""COMPUTED_VALUE"""),"CHRETH")</f>
        <v>#NAME?</v>
      </c>
      <c r="C1766" s="100" t="e">
        <f ca="1">IFERROR(__xludf.DUMMYFUNCTION("""COMPUTED_VALUE"""),"0.00007080")</f>
        <v>#NAME?</v>
      </c>
      <c r="D1766" s="100" t="e">
        <f t="shared" ca="1" si="314"/>
        <v>#NAME?</v>
      </c>
      <c r="E1766" s="100" t="e">
        <f t="shared" ca="1" si="314"/>
        <v>#NAME?</v>
      </c>
      <c r="F1766" s="100" t="e">
        <f t="shared" ca="1" si="308"/>
        <v>#NAME?</v>
      </c>
      <c r="G1766" s="100" t="e">
        <f t="shared" ca="1" si="309"/>
        <v>#NAME?</v>
      </c>
      <c r="H1766" s="100" t="e">
        <f t="shared" ca="1" si="310"/>
        <v>#NAME?</v>
      </c>
      <c r="I1766" s="100" t="e">
        <f t="shared" ca="1" si="311"/>
        <v>#NAME?</v>
      </c>
      <c r="J1766" s="100" t="e">
        <f ca="1">IFERROR(__xludf.DUMMYFUNCTION("""COMPUTED_VALUE"""),"0")</f>
        <v>#NAME?</v>
      </c>
      <c r="K1766" s="100" t="e">
        <f t="shared" ca="1" si="312"/>
        <v>#NAME?</v>
      </c>
      <c r="L1766" s="100"/>
      <c r="M1766" s="100"/>
      <c r="N1766" s="100"/>
      <c r="O1766" s="100"/>
      <c r="P1766" s="100"/>
      <c r="Q1766" s="100"/>
      <c r="R1766" s="100"/>
      <c r="S1766" s="100"/>
      <c r="T1766" s="100"/>
      <c r="U1766" s="100"/>
      <c r="V1766" s="100"/>
      <c r="W1766" s="100"/>
      <c r="X1766" s="100"/>
      <c r="Y1766" s="100"/>
      <c r="Z1766" s="100"/>
    </row>
    <row r="1767" spans="1:26">
      <c r="A1767" s="100" t="e">
        <f ca="1">IFERROR(__xludf.DUMMYFUNCTION("""COMPUTED_VALUE"""),58785102)</f>
        <v>#NAME?</v>
      </c>
      <c r="B1767" s="100" t="e">
        <f ca="1">IFERROR(__xludf.DUMMYFUNCTION("""COMPUTED_VALUE"""),"FISBIDR")</f>
        <v>#NAME?</v>
      </c>
      <c r="C1767" s="100" t="e">
        <f ca="1">IFERROR(__xludf.DUMMYFUNCTION("""COMPUTED_VALUE"""),"0.00")</f>
        <v>#NAME?</v>
      </c>
      <c r="D1767" s="100" t="e">
        <f t="shared" ca="1" si="314"/>
        <v>#NAME?</v>
      </c>
      <c r="E1767" s="100" t="e">
        <f t="shared" ca="1" si="314"/>
        <v>#NAME?</v>
      </c>
      <c r="F1767" s="100" t="e">
        <f t="shared" ca="1" si="308"/>
        <v>#NAME?</v>
      </c>
      <c r="G1767" s="100" t="e">
        <f t="shared" ca="1" si="309"/>
        <v>#NAME?</v>
      </c>
      <c r="H1767" s="100" t="e">
        <f t="shared" ca="1" si="310"/>
        <v>#NAME?</v>
      </c>
      <c r="I1767" s="100" t="e">
        <f t="shared" ca="1" si="311"/>
        <v>#NAME?</v>
      </c>
      <c r="J1767" s="100" t="e">
        <f ca="1">IFERROR(__xludf.DUMMYFUNCTION("""COMPUTED_VALUE"""),"0")</f>
        <v>#NAME?</v>
      </c>
      <c r="K1767" s="100" t="e">
        <f t="shared" ca="1" si="312"/>
        <v>#NAME?</v>
      </c>
      <c r="L1767" s="100"/>
      <c r="M1767" s="100"/>
      <c r="N1767" s="100"/>
      <c r="O1767" s="100"/>
      <c r="P1767" s="100"/>
      <c r="Q1767" s="100"/>
      <c r="R1767" s="100"/>
      <c r="S1767" s="100"/>
      <c r="T1767" s="100"/>
      <c r="U1767" s="100"/>
      <c r="V1767" s="100"/>
      <c r="W1767" s="100"/>
      <c r="X1767" s="100"/>
      <c r="Y1767" s="100"/>
      <c r="Z1767" s="100"/>
    </row>
    <row r="1768" spans="1:26">
      <c r="A1768" s="100" t="e">
        <f ca="1">IFERROR(__xludf.DUMMYFUNCTION("""COMPUTED_VALUE"""),58785103)</f>
        <v>#NAME?</v>
      </c>
      <c r="B1768" s="100" t="e">
        <f ca="1">IFERROR(__xludf.DUMMYFUNCTION("""COMPUTED_VALUE"""),"VGXUSDT")</f>
        <v>#NAME?</v>
      </c>
      <c r="C1768" s="100" t="e">
        <f ca="1">IFERROR(__xludf.DUMMYFUNCTION("""COMPUTED_VALUE"""),"0.01800000")</f>
        <v>#NAME?</v>
      </c>
      <c r="D1768" s="100" t="e">
        <f t="shared" ca="1" si="314"/>
        <v>#NAME?</v>
      </c>
      <c r="E1768" s="100" t="e">
        <f t="shared" ca="1" si="314"/>
        <v>#NAME?</v>
      </c>
      <c r="F1768" s="100" t="e">
        <f t="shared" ca="1" si="308"/>
        <v>#NAME?</v>
      </c>
      <c r="G1768" s="100" t="e">
        <f t="shared" ca="1" si="309"/>
        <v>#NAME?</v>
      </c>
      <c r="H1768" s="100" t="e">
        <f t="shared" ca="1" si="310"/>
        <v>#NAME?</v>
      </c>
      <c r="I1768" s="100" t="e">
        <f t="shared" ca="1" si="311"/>
        <v>#NAME?</v>
      </c>
      <c r="J1768" s="100" t="e">
        <f ca="1">IFERROR(__xludf.DUMMYFUNCTION("""COMPUTED_VALUE"""),"0")</f>
        <v>#NAME?</v>
      </c>
      <c r="K1768" s="100" t="e">
        <f t="shared" ca="1" si="312"/>
        <v>#NAME?</v>
      </c>
      <c r="L1768" s="100"/>
      <c r="M1768" s="100"/>
      <c r="N1768" s="100"/>
      <c r="O1768" s="100"/>
      <c r="P1768" s="100"/>
      <c r="Q1768" s="100"/>
      <c r="R1768" s="100"/>
      <c r="S1768" s="100"/>
      <c r="T1768" s="100"/>
      <c r="U1768" s="100"/>
      <c r="V1768" s="100"/>
      <c r="W1768" s="100"/>
      <c r="X1768" s="100"/>
      <c r="Y1768" s="100"/>
      <c r="Z1768" s="100"/>
    </row>
    <row r="1769" spans="1:26">
      <c r="A1769" s="100" t="e">
        <f ca="1">IFERROR(__xludf.DUMMYFUNCTION("""COMPUTED_VALUE"""),58785104)</f>
        <v>#NAME?</v>
      </c>
      <c r="B1769" s="100" t="e">
        <f ca="1">IFERROR(__xludf.DUMMYFUNCTION("""COMPUTED_VALUE"""),"GALAETH")</f>
        <v>#NAME?</v>
      </c>
      <c r="C1769" s="100" t="e">
        <f ca="1">IFERROR(__xludf.DUMMYFUNCTION("""COMPUTED_VALUE"""),"0.00000981")</f>
        <v>#NAME?</v>
      </c>
      <c r="D1769" s="100" t="e">
        <f t="shared" ca="1" si="314"/>
        <v>#NAME?</v>
      </c>
      <c r="E1769" s="100" t="e">
        <f t="shared" ca="1" si="314"/>
        <v>#NAME?</v>
      </c>
      <c r="F1769" s="100" t="e">
        <f t="shared" ca="1" si="308"/>
        <v>#NAME?</v>
      </c>
      <c r="G1769" s="100" t="e">
        <f t="shared" ca="1" si="309"/>
        <v>#NAME?</v>
      </c>
      <c r="H1769" s="100" t="e">
        <f t="shared" ca="1" si="310"/>
        <v>#NAME?</v>
      </c>
      <c r="I1769" s="100" t="e">
        <f t="shared" ca="1" si="311"/>
        <v>#NAME?</v>
      </c>
      <c r="J1769" s="100" t="e">
        <f ca="1">IFERROR(__xludf.DUMMYFUNCTION("""COMPUTED_VALUE"""),"-1.605")</f>
        <v>#NAME?</v>
      </c>
      <c r="K1769" s="100" t="e">
        <f t="shared" ca="1" si="312"/>
        <v>#NAME?</v>
      </c>
      <c r="L1769" s="100"/>
      <c r="M1769" s="100"/>
      <c r="N1769" s="100"/>
      <c r="O1769" s="100"/>
      <c r="P1769" s="100"/>
      <c r="Q1769" s="100"/>
      <c r="R1769" s="100"/>
      <c r="S1769" s="100"/>
      <c r="T1769" s="100"/>
      <c r="U1769" s="100"/>
      <c r="V1769" s="100"/>
      <c r="W1769" s="100"/>
      <c r="X1769" s="100"/>
      <c r="Y1769" s="100"/>
      <c r="Z1769" s="100"/>
    </row>
    <row r="1770" spans="1:26">
      <c r="A1770" s="100" t="e">
        <f ca="1">IFERROR(__xludf.DUMMYFUNCTION("""COMPUTED_VALUE"""),58785105)</f>
        <v>#NAME?</v>
      </c>
      <c r="B1770" s="100" t="e">
        <f ca="1">IFERROR(__xludf.DUMMYFUNCTION("""COMPUTED_VALUE"""),"JASMYUSDT")</f>
        <v>#NAME?</v>
      </c>
      <c r="C1770" s="100" t="e">
        <f ca="1">IFERROR(__xludf.DUMMYFUNCTION("""COMPUTED_VALUE"""),"0.01417000")</f>
        <v>#NAME?</v>
      </c>
      <c r="D1770" s="100" t="e">
        <f t="shared" ca="1" si="314"/>
        <v>#NAME?</v>
      </c>
      <c r="E1770" s="100" t="e">
        <f t="shared" ca="1" si="314"/>
        <v>#NAME?</v>
      </c>
      <c r="F1770" s="100" t="e">
        <f t="shared" ca="1" si="308"/>
        <v>#NAME?</v>
      </c>
      <c r="G1770" s="100" t="e">
        <f t="shared" ca="1" si="309"/>
        <v>#NAME?</v>
      </c>
      <c r="H1770" s="100" t="e">
        <f t="shared" ca="1" si="310"/>
        <v>#NAME?</v>
      </c>
      <c r="I1770" s="100" t="e">
        <f t="shared" ca="1" si="311"/>
        <v>#NAME?</v>
      </c>
      <c r="J1770" s="100" t="e">
        <f ca="1">IFERROR(__xludf.DUMMYFUNCTION("""COMPUTED_VALUE"""),"-4.835")</f>
        <v>#NAME?</v>
      </c>
      <c r="K1770" s="100" t="e">
        <f t="shared" ca="1" si="312"/>
        <v>#NAME?</v>
      </c>
      <c r="L1770" s="100"/>
      <c r="M1770" s="100"/>
      <c r="N1770" s="100"/>
      <c r="O1770" s="100"/>
      <c r="P1770" s="100"/>
      <c r="Q1770" s="100"/>
      <c r="R1770" s="100"/>
      <c r="S1770" s="100"/>
      <c r="T1770" s="100"/>
      <c r="U1770" s="100"/>
      <c r="V1770" s="100"/>
      <c r="W1770" s="100"/>
      <c r="X1770" s="100"/>
      <c r="Y1770" s="100"/>
      <c r="Z1770" s="100"/>
    </row>
    <row r="1771" spans="1:26">
      <c r="A1771" s="100" t="e">
        <f ca="1">IFERROR(__xludf.DUMMYFUNCTION("""COMPUTED_VALUE"""),58785106)</f>
        <v>#NAME?</v>
      </c>
      <c r="B1771" s="100" t="e">
        <f ca="1">IFERROR(__xludf.DUMMYFUNCTION("""COMPUTED_VALUE"""),"JASMYBUSD")</f>
        <v>#NAME?</v>
      </c>
      <c r="C1771" s="100" t="e">
        <f ca="1">IFERROR(__xludf.DUMMYFUNCTION("""COMPUTED_VALUE"""),"0.00359300")</f>
        <v>#NAME?</v>
      </c>
      <c r="D1771" s="100" t="e">
        <f t="shared" ca="1" si="314"/>
        <v>#NAME?</v>
      </c>
      <c r="E1771" s="100" t="e">
        <f t="shared" ca="1" si="314"/>
        <v>#NAME?</v>
      </c>
      <c r="F1771" s="100" t="e">
        <f t="shared" ca="1" si="308"/>
        <v>#NAME?</v>
      </c>
      <c r="G1771" s="100" t="e">
        <f t="shared" ca="1" si="309"/>
        <v>#NAME?</v>
      </c>
      <c r="H1771" s="100" t="e">
        <f t="shared" ca="1" si="310"/>
        <v>#NAME?</v>
      </c>
      <c r="I1771" s="100" t="e">
        <f t="shared" ca="1" si="311"/>
        <v>#NAME?</v>
      </c>
      <c r="J1771" s="100" t="e">
        <f t="shared" ref="J1771:J1776" ca="1" si="315">IFERROR(__xludf.DUMMYFUNCTION("""COMPUTED_VALUE"""),"0")</f>
        <v>#NAME?</v>
      </c>
      <c r="K1771" s="100" t="e">
        <f t="shared" ca="1" si="312"/>
        <v>#NAME?</v>
      </c>
      <c r="L1771" s="100"/>
      <c r="M1771" s="100"/>
      <c r="N1771" s="100"/>
      <c r="O1771" s="100"/>
      <c r="P1771" s="100"/>
      <c r="Q1771" s="100"/>
      <c r="R1771" s="100"/>
      <c r="S1771" s="100"/>
      <c r="T1771" s="100"/>
      <c r="U1771" s="100"/>
      <c r="V1771" s="100"/>
      <c r="W1771" s="100"/>
      <c r="X1771" s="100"/>
      <c r="Y1771" s="100"/>
      <c r="Z1771" s="100"/>
    </row>
    <row r="1772" spans="1:26">
      <c r="A1772" s="100" t="e">
        <f ca="1">IFERROR(__xludf.DUMMYFUNCTION("""COMPUTED_VALUE"""),58785107)</f>
        <v>#NAME?</v>
      </c>
      <c r="B1772" s="100" t="e">
        <f ca="1">IFERROR(__xludf.DUMMYFUNCTION("""COMPUTED_VALUE"""),"JASMYBNB")</f>
        <v>#NAME?</v>
      </c>
      <c r="C1772" s="100" t="e">
        <f ca="1">IFERROR(__xludf.DUMMYFUNCTION("""COMPUTED_VALUE"""),"0.00001767")</f>
        <v>#NAME?</v>
      </c>
      <c r="D1772" s="100" t="e">
        <f t="shared" ca="1" si="314"/>
        <v>#NAME?</v>
      </c>
      <c r="E1772" s="100" t="e">
        <f t="shared" ca="1" si="314"/>
        <v>#NAME?</v>
      </c>
      <c r="F1772" s="100" t="e">
        <f t="shared" ca="1" si="308"/>
        <v>#NAME?</v>
      </c>
      <c r="G1772" s="100" t="e">
        <f t="shared" ca="1" si="309"/>
        <v>#NAME?</v>
      </c>
      <c r="H1772" s="100" t="e">
        <f t="shared" ca="1" si="310"/>
        <v>#NAME?</v>
      </c>
      <c r="I1772" s="100" t="e">
        <f t="shared" ca="1" si="311"/>
        <v>#NAME?</v>
      </c>
      <c r="J1772" s="100" t="e">
        <f t="shared" ca="1" si="315"/>
        <v>#NAME?</v>
      </c>
      <c r="K1772" s="100" t="e">
        <f t="shared" ca="1" si="312"/>
        <v>#NAME?</v>
      </c>
      <c r="L1772" s="100"/>
      <c r="M1772" s="100"/>
      <c r="N1772" s="100"/>
      <c r="O1772" s="100"/>
      <c r="P1772" s="100"/>
      <c r="Q1772" s="100"/>
      <c r="R1772" s="100"/>
      <c r="S1772" s="100"/>
      <c r="T1772" s="100"/>
      <c r="U1772" s="100"/>
      <c r="V1772" s="100"/>
      <c r="W1772" s="100"/>
      <c r="X1772" s="100"/>
      <c r="Y1772" s="100"/>
      <c r="Z1772" s="100"/>
    </row>
    <row r="1773" spans="1:26">
      <c r="A1773" s="100" t="e">
        <f ca="1">IFERROR(__xludf.DUMMYFUNCTION("""COMPUTED_VALUE"""),58785108)</f>
        <v>#NAME?</v>
      </c>
      <c r="B1773" s="100" t="e">
        <f ca="1">IFERROR(__xludf.DUMMYFUNCTION("""COMPUTED_VALUE"""),"JASMYBTC")</f>
        <v>#NAME?</v>
      </c>
      <c r="C1773" s="100" t="e">
        <f ca="1">IFERROR(__xludf.DUMMYFUNCTION("""COMPUTED_VALUE"""),"0.00000017")</f>
        <v>#NAME?</v>
      </c>
      <c r="D1773" s="100" t="e">
        <f t="shared" ca="1" si="314"/>
        <v>#NAME?</v>
      </c>
      <c r="E1773" s="100" t="e">
        <f t="shared" ca="1" si="314"/>
        <v>#NAME?</v>
      </c>
      <c r="F1773" s="100" t="e">
        <f t="shared" ca="1" si="308"/>
        <v>#NAME?</v>
      </c>
      <c r="G1773" s="100" t="e">
        <f t="shared" ca="1" si="309"/>
        <v>#NAME?</v>
      </c>
      <c r="H1773" s="100" t="e">
        <f t="shared" ca="1" si="310"/>
        <v>#NAME?</v>
      </c>
      <c r="I1773" s="100" t="e">
        <f t="shared" ca="1" si="311"/>
        <v>#NAME?</v>
      </c>
      <c r="J1773" s="100" t="e">
        <f t="shared" ca="1" si="315"/>
        <v>#NAME?</v>
      </c>
      <c r="K1773" s="100" t="e">
        <f t="shared" ca="1" si="312"/>
        <v>#NAME?</v>
      </c>
      <c r="L1773" s="100"/>
      <c r="M1773" s="100"/>
      <c r="N1773" s="100"/>
      <c r="O1773" s="100"/>
      <c r="P1773" s="100"/>
      <c r="Q1773" s="100"/>
      <c r="R1773" s="100"/>
      <c r="S1773" s="100"/>
      <c r="T1773" s="100"/>
      <c r="U1773" s="100"/>
      <c r="V1773" s="100"/>
      <c r="W1773" s="100"/>
      <c r="X1773" s="100"/>
      <c r="Y1773" s="100"/>
      <c r="Z1773" s="100"/>
    </row>
    <row r="1774" spans="1:26">
      <c r="A1774" s="100" t="e">
        <f ca="1">IFERROR(__xludf.DUMMYFUNCTION("""COMPUTED_VALUE"""),58785109)</f>
        <v>#NAME?</v>
      </c>
      <c r="B1774" s="100" t="e">
        <f ca="1">IFERROR(__xludf.DUMMYFUNCTION("""COMPUTED_VALUE"""),"AMPBTC")</f>
        <v>#NAME?</v>
      </c>
      <c r="C1774" s="100" t="e">
        <f ca="1">IFERROR(__xludf.DUMMYFUNCTION("""COMPUTED_VALUE"""),"0.00000010")</f>
        <v>#NAME?</v>
      </c>
      <c r="D1774" s="100" t="e">
        <f t="shared" ca="1" si="314"/>
        <v>#NAME?</v>
      </c>
      <c r="E1774" s="100" t="e">
        <f t="shared" ca="1" si="314"/>
        <v>#NAME?</v>
      </c>
      <c r="F1774" s="100" t="e">
        <f t="shared" ca="1" si="308"/>
        <v>#NAME?</v>
      </c>
      <c r="G1774" s="100" t="e">
        <f t="shared" ca="1" si="309"/>
        <v>#NAME?</v>
      </c>
      <c r="H1774" s="100" t="e">
        <f t="shared" ca="1" si="310"/>
        <v>#NAME?</v>
      </c>
      <c r="I1774" s="100" t="e">
        <f t="shared" ca="1" si="311"/>
        <v>#NAME?</v>
      </c>
      <c r="J1774" s="100" t="e">
        <f t="shared" ca="1" si="315"/>
        <v>#NAME?</v>
      </c>
      <c r="K1774" s="100" t="e">
        <f t="shared" ca="1" si="312"/>
        <v>#NAME?</v>
      </c>
      <c r="L1774" s="100"/>
      <c r="M1774" s="100"/>
      <c r="N1774" s="100"/>
      <c r="O1774" s="100"/>
      <c r="P1774" s="100"/>
      <c r="Q1774" s="100"/>
      <c r="R1774" s="100"/>
      <c r="S1774" s="100"/>
      <c r="T1774" s="100"/>
      <c r="U1774" s="100"/>
      <c r="V1774" s="100"/>
      <c r="W1774" s="100"/>
      <c r="X1774" s="100"/>
      <c r="Y1774" s="100"/>
      <c r="Z1774" s="100"/>
    </row>
    <row r="1775" spans="1:26">
      <c r="A1775" s="100" t="e">
        <f ca="1">IFERROR(__xludf.DUMMYFUNCTION("""COMPUTED_VALUE"""),58785110)</f>
        <v>#NAME?</v>
      </c>
      <c r="B1775" s="100" t="e">
        <f ca="1">IFERROR(__xludf.DUMMYFUNCTION("""COMPUTED_VALUE"""),"AMPBNB")</f>
        <v>#NAME?</v>
      </c>
      <c r="C1775" s="100" t="e">
        <f ca="1">IFERROR(__xludf.DUMMYFUNCTION("""COMPUTED_VALUE"""),"0.00000000")</f>
        <v>#NAME?</v>
      </c>
      <c r="D1775" s="100" t="e">
        <f t="shared" ca="1" si="314"/>
        <v>#NAME?</v>
      </c>
      <c r="E1775" s="100" t="e">
        <f t="shared" ca="1" si="314"/>
        <v>#NAME?</v>
      </c>
      <c r="F1775" s="100" t="e">
        <f t="shared" ca="1" si="308"/>
        <v>#NAME?</v>
      </c>
      <c r="G1775" s="100" t="e">
        <f t="shared" ca="1" si="309"/>
        <v>#NAME?</v>
      </c>
      <c r="H1775" s="100" t="e">
        <f t="shared" ca="1" si="310"/>
        <v>#NAME?</v>
      </c>
      <c r="I1775" s="100" t="e">
        <f t="shared" ca="1" si="311"/>
        <v>#NAME?</v>
      </c>
      <c r="J1775" s="100" t="e">
        <f t="shared" ca="1" si="315"/>
        <v>#NAME?</v>
      </c>
      <c r="K1775" s="100" t="e">
        <f t="shared" ca="1" si="312"/>
        <v>#NAME?</v>
      </c>
      <c r="L1775" s="100"/>
      <c r="M1775" s="100"/>
      <c r="N1775" s="100"/>
      <c r="O1775" s="100"/>
      <c r="P1775" s="100"/>
      <c r="Q1775" s="100"/>
      <c r="R1775" s="100"/>
      <c r="S1775" s="100"/>
      <c r="T1775" s="100"/>
      <c r="U1775" s="100"/>
      <c r="V1775" s="100"/>
      <c r="W1775" s="100"/>
      <c r="X1775" s="100"/>
      <c r="Y1775" s="100"/>
      <c r="Z1775" s="100"/>
    </row>
    <row r="1776" spans="1:26">
      <c r="A1776" s="100" t="e">
        <f ca="1">IFERROR(__xludf.DUMMYFUNCTION("""COMPUTED_VALUE"""),58785111)</f>
        <v>#NAME?</v>
      </c>
      <c r="B1776" s="100" t="e">
        <f ca="1">IFERROR(__xludf.DUMMYFUNCTION("""COMPUTED_VALUE"""),"AMPBUSD")</f>
        <v>#NAME?</v>
      </c>
      <c r="C1776" s="100" t="e">
        <f ca="1">IFERROR(__xludf.DUMMYFUNCTION("""COMPUTED_VALUE"""),"0.00142900")</f>
        <v>#NAME?</v>
      </c>
      <c r="D1776" s="100" t="e">
        <f t="shared" ca="1" si="314"/>
        <v>#NAME?</v>
      </c>
      <c r="E1776" s="100" t="e">
        <f t="shared" ca="1" si="314"/>
        <v>#NAME?</v>
      </c>
      <c r="F1776" s="100" t="e">
        <f t="shared" ca="1" si="308"/>
        <v>#NAME?</v>
      </c>
      <c r="G1776" s="100" t="e">
        <f t="shared" ca="1" si="309"/>
        <v>#NAME?</v>
      </c>
      <c r="H1776" s="100" t="e">
        <f t="shared" ca="1" si="310"/>
        <v>#NAME?</v>
      </c>
      <c r="I1776" s="100" t="e">
        <f t="shared" ca="1" si="311"/>
        <v>#NAME?</v>
      </c>
      <c r="J1776" s="100" t="e">
        <f t="shared" ca="1" si="315"/>
        <v>#NAME?</v>
      </c>
      <c r="K1776" s="100" t="e">
        <f t="shared" ca="1" si="312"/>
        <v>#NAME?</v>
      </c>
      <c r="L1776" s="100"/>
      <c r="M1776" s="100"/>
      <c r="N1776" s="100"/>
      <c r="O1776" s="100"/>
      <c r="P1776" s="100"/>
      <c r="Q1776" s="100"/>
      <c r="R1776" s="100"/>
      <c r="S1776" s="100"/>
      <c r="T1776" s="100"/>
      <c r="U1776" s="100"/>
      <c r="V1776" s="100"/>
      <c r="W1776" s="100"/>
      <c r="X1776" s="100"/>
      <c r="Y1776" s="100"/>
      <c r="Z1776" s="100"/>
    </row>
    <row r="1777" spans="1:26">
      <c r="A1777" s="100" t="e">
        <f ca="1">IFERROR(__xludf.DUMMYFUNCTION("""COMPUTED_VALUE"""),58785112)</f>
        <v>#NAME?</v>
      </c>
      <c r="B1777" s="100" t="e">
        <f ca="1">IFERROR(__xludf.DUMMYFUNCTION("""COMPUTED_VALUE"""),"AMPUSDT")</f>
        <v>#NAME?</v>
      </c>
      <c r="C1777" s="100" t="e">
        <f ca="1">IFERROR(__xludf.DUMMYFUNCTION("""COMPUTED_VALUE"""),"0.00397600")</f>
        <v>#NAME?</v>
      </c>
      <c r="D1777" s="100" t="e">
        <f t="shared" ca="1" si="314"/>
        <v>#NAME?</v>
      </c>
      <c r="E1777" s="100" t="e">
        <f t="shared" ca="1" si="314"/>
        <v>#NAME?</v>
      </c>
      <c r="F1777" s="100" t="e">
        <f t="shared" ca="1" si="308"/>
        <v>#NAME?</v>
      </c>
      <c r="G1777" s="100" t="e">
        <f t="shared" ca="1" si="309"/>
        <v>#NAME?</v>
      </c>
      <c r="H1777" s="100" t="e">
        <f t="shared" ca="1" si="310"/>
        <v>#NAME?</v>
      </c>
      <c r="I1777" s="100" t="e">
        <f t="shared" ca="1" si="311"/>
        <v>#NAME?</v>
      </c>
      <c r="J1777" s="100" t="e">
        <f ca="1">IFERROR(__xludf.DUMMYFUNCTION("""COMPUTED_VALUE"""),"7.692")</f>
        <v>#NAME?</v>
      </c>
      <c r="K1777" s="100" t="e">
        <f t="shared" ca="1" si="312"/>
        <v>#NAME?</v>
      </c>
      <c r="L1777" s="100"/>
      <c r="M1777" s="100"/>
      <c r="N1777" s="100"/>
      <c r="O1777" s="100"/>
      <c r="P1777" s="100"/>
      <c r="Q1777" s="100"/>
      <c r="R1777" s="100"/>
      <c r="S1777" s="100"/>
      <c r="T1777" s="100"/>
      <c r="U1777" s="100"/>
      <c r="V1777" s="100"/>
      <c r="W1777" s="100"/>
      <c r="X1777" s="100"/>
      <c r="Y1777" s="100"/>
      <c r="Z1777" s="100"/>
    </row>
    <row r="1778" spans="1:26">
      <c r="A1778" s="100" t="e">
        <f ca="1">IFERROR(__xludf.DUMMYFUNCTION("""COMPUTED_VALUE"""),58785113)</f>
        <v>#NAME?</v>
      </c>
      <c r="B1778" s="100" t="e">
        <f ca="1">IFERROR(__xludf.DUMMYFUNCTION("""COMPUTED_VALUE"""),"PLABTC")</f>
        <v>#NAME?</v>
      </c>
      <c r="C1778" s="100" t="e">
        <f ca="1">IFERROR(__xludf.DUMMYFUNCTION("""COMPUTED_VALUE"""),"0.00000465")</f>
        <v>#NAME?</v>
      </c>
      <c r="D1778" s="100" t="e">
        <f t="shared" ca="1" si="314"/>
        <v>#NAME?</v>
      </c>
      <c r="E1778" s="100" t="e">
        <f t="shared" ca="1" si="314"/>
        <v>#NAME?</v>
      </c>
      <c r="F1778" s="100" t="e">
        <f t="shared" ca="1" si="308"/>
        <v>#NAME?</v>
      </c>
      <c r="G1778" s="100" t="e">
        <f t="shared" ca="1" si="309"/>
        <v>#NAME?</v>
      </c>
      <c r="H1778" s="100" t="e">
        <f t="shared" ca="1" si="310"/>
        <v>#NAME?</v>
      </c>
      <c r="I1778" s="100" t="e">
        <f t="shared" ca="1" si="311"/>
        <v>#NAME?</v>
      </c>
      <c r="J1778" s="100" t="e">
        <f ca="1">IFERROR(__xludf.DUMMYFUNCTION("""COMPUTED_VALUE"""),"0")</f>
        <v>#NAME?</v>
      </c>
      <c r="K1778" s="100" t="e">
        <f t="shared" ca="1" si="312"/>
        <v>#NAME?</v>
      </c>
      <c r="L1778" s="100"/>
      <c r="M1778" s="100"/>
      <c r="N1778" s="100"/>
      <c r="O1778" s="100"/>
      <c r="P1778" s="100"/>
      <c r="Q1778" s="100"/>
      <c r="R1778" s="100"/>
      <c r="S1778" s="100"/>
      <c r="T1778" s="100"/>
      <c r="U1778" s="100"/>
      <c r="V1778" s="100"/>
      <c r="W1778" s="100"/>
      <c r="X1778" s="100"/>
      <c r="Y1778" s="100"/>
      <c r="Z1778" s="100"/>
    </row>
    <row r="1779" spans="1:26">
      <c r="A1779" s="100" t="e">
        <f ca="1">IFERROR(__xludf.DUMMYFUNCTION("""COMPUTED_VALUE"""),58785114)</f>
        <v>#NAME?</v>
      </c>
      <c r="B1779" s="100" t="e">
        <f ca="1">IFERROR(__xludf.DUMMYFUNCTION("""COMPUTED_VALUE"""),"PLABNB")</f>
        <v>#NAME?</v>
      </c>
      <c r="C1779" s="100" t="e">
        <f ca="1">IFERROR(__xludf.DUMMYFUNCTION("""COMPUTED_VALUE"""),"0.00069680")</f>
        <v>#NAME?</v>
      </c>
      <c r="D1779" s="100" t="e">
        <f t="shared" ca="1" si="314"/>
        <v>#NAME?</v>
      </c>
      <c r="E1779" s="100" t="e">
        <f t="shared" ca="1" si="314"/>
        <v>#NAME?</v>
      </c>
      <c r="F1779" s="100" t="e">
        <f t="shared" ca="1" si="308"/>
        <v>#NAME?</v>
      </c>
      <c r="G1779" s="100" t="e">
        <f t="shared" ca="1" si="309"/>
        <v>#NAME?</v>
      </c>
      <c r="H1779" s="100" t="e">
        <f t="shared" ca="1" si="310"/>
        <v>#NAME?</v>
      </c>
      <c r="I1779" s="100" t="e">
        <f t="shared" ca="1" si="311"/>
        <v>#NAME?</v>
      </c>
      <c r="J1779" s="100" t="e">
        <f ca="1">IFERROR(__xludf.DUMMYFUNCTION("""COMPUTED_VALUE"""),"0")</f>
        <v>#NAME?</v>
      </c>
      <c r="K1779" s="100" t="e">
        <f t="shared" ca="1" si="312"/>
        <v>#NAME?</v>
      </c>
      <c r="L1779" s="100"/>
      <c r="M1779" s="100"/>
      <c r="N1779" s="100"/>
      <c r="O1779" s="100"/>
      <c r="P1779" s="100"/>
      <c r="Q1779" s="100"/>
      <c r="R1779" s="100"/>
      <c r="S1779" s="100"/>
      <c r="T1779" s="100"/>
      <c r="U1779" s="100"/>
      <c r="V1779" s="100"/>
      <c r="W1779" s="100"/>
      <c r="X1779" s="100"/>
      <c r="Y1779" s="100"/>
      <c r="Z1779" s="100"/>
    </row>
    <row r="1780" spans="1:26">
      <c r="A1780" s="100" t="e">
        <f ca="1">IFERROR(__xludf.DUMMYFUNCTION("""COMPUTED_VALUE"""),58785115)</f>
        <v>#NAME?</v>
      </c>
      <c r="B1780" s="100" t="e">
        <f ca="1">IFERROR(__xludf.DUMMYFUNCTION("""COMPUTED_VALUE"""),"PLABUSD")</f>
        <v>#NAME?</v>
      </c>
      <c r="C1780" s="100" t="e">
        <f ca="1">IFERROR(__xludf.DUMMYFUNCTION("""COMPUTED_VALUE"""),"0.14770000")</f>
        <v>#NAME?</v>
      </c>
      <c r="D1780" s="100" t="e">
        <f t="shared" ca="1" si="314"/>
        <v>#NAME?</v>
      </c>
      <c r="E1780" s="100" t="e">
        <f t="shared" ca="1" si="314"/>
        <v>#NAME?</v>
      </c>
      <c r="F1780" s="100" t="e">
        <f t="shared" ca="1" si="308"/>
        <v>#NAME?</v>
      </c>
      <c r="G1780" s="100" t="e">
        <f t="shared" ca="1" si="309"/>
        <v>#NAME?</v>
      </c>
      <c r="H1780" s="100" t="e">
        <f t="shared" ca="1" si="310"/>
        <v>#NAME?</v>
      </c>
      <c r="I1780" s="100" t="e">
        <f t="shared" ca="1" si="311"/>
        <v>#NAME?</v>
      </c>
      <c r="J1780" s="100" t="e">
        <f ca="1">IFERROR(__xludf.DUMMYFUNCTION("""COMPUTED_VALUE"""),"0")</f>
        <v>#NAME?</v>
      </c>
      <c r="K1780" s="100" t="e">
        <f t="shared" ca="1" si="312"/>
        <v>#NAME?</v>
      </c>
      <c r="L1780" s="100"/>
      <c r="M1780" s="100"/>
      <c r="N1780" s="100"/>
      <c r="O1780" s="100"/>
      <c r="P1780" s="100"/>
      <c r="Q1780" s="100"/>
      <c r="R1780" s="100"/>
      <c r="S1780" s="100"/>
      <c r="T1780" s="100"/>
      <c r="U1780" s="100"/>
      <c r="V1780" s="100"/>
      <c r="W1780" s="100"/>
      <c r="X1780" s="100"/>
      <c r="Y1780" s="100"/>
      <c r="Z1780" s="100"/>
    </row>
    <row r="1781" spans="1:26">
      <c r="A1781" s="100" t="e">
        <f ca="1">IFERROR(__xludf.DUMMYFUNCTION("""COMPUTED_VALUE"""),58785116)</f>
        <v>#NAME?</v>
      </c>
      <c r="B1781" s="100" t="e">
        <f ca="1">IFERROR(__xludf.DUMMYFUNCTION("""COMPUTED_VALUE"""),"PLAUSDT")</f>
        <v>#NAME?</v>
      </c>
      <c r="C1781" s="100" t="e">
        <f ca="1">IFERROR(__xludf.DUMMYFUNCTION("""COMPUTED_VALUE"""),"0.23470000")</f>
        <v>#NAME?</v>
      </c>
      <c r="D1781" s="100" t="e">
        <f t="shared" ca="1" si="314"/>
        <v>#NAME?</v>
      </c>
      <c r="E1781" s="100" t="e">
        <f t="shared" ca="1" si="314"/>
        <v>#NAME?</v>
      </c>
      <c r="F1781" s="100" t="e">
        <f t="shared" ca="1" si="308"/>
        <v>#NAME?</v>
      </c>
      <c r="G1781" s="100" t="e">
        <f t="shared" ca="1" si="309"/>
        <v>#NAME?</v>
      </c>
      <c r="H1781" s="100" t="e">
        <f t="shared" ca="1" si="310"/>
        <v>#NAME?</v>
      </c>
      <c r="I1781" s="100" t="e">
        <f t="shared" ca="1" si="311"/>
        <v>#NAME?</v>
      </c>
      <c r="J1781" s="100" t="e">
        <f ca="1">IFERROR(__xludf.DUMMYFUNCTION("""COMPUTED_VALUE"""),"0")</f>
        <v>#NAME?</v>
      </c>
      <c r="K1781" s="100" t="e">
        <f t="shared" ca="1" si="312"/>
        <v>#NAME?</v>
      </c>
      <c r="L1781" s="100"/>
      <c r="M1781" s="100"/>
      <c r="N1781" s="100"/>
      <c r="O1781" s="100"/>
      <c r="P1781" s="100"/>
      <c r="Q1781" s="100"/>
      <c r="R1781" s="100"/>
      <c r="S1781" s="100"/>
      <c r="T1781" s="100"/>
      <c r="U1781" s="100"/>
      <c r="V1781" s="100"/>
      <c r="W1781" s="100"/>
      <c r="X1781" s="100"/>
      <c r="Y1781" s="100"/>
      <c r="Z1781" s="100"/>
    </row>
    <row r="1782" spans="1:26">
      <c r="A1782" s="100" t="e">
        <f ca="1">IFERROR(__xludf.DUMMYFUNCTION("""COMPUTED_VALUE"""),58785117)</f>
        <v>#NAME?</v>
      </c>
      <c r="B1782" s="100" t="e">
        <f ca="1">IFERROR(__xludf.DUMMYFUNCTION("""COMPUTED_VALUE"""),"PYRBTC")</f>
        <v>#NAME?</v>
      </c>
      <c r="C1782" s="100" t="e">
        <f ca="1">IFERROR(__xludf.DUMMYFUNCTION("""COMPUTED_VALUE"""),"0.00001390")</f>
        <v>#NAME?</v>
      </c>
      <c r="D1782" s="100" t="e">
        <f t="shared" ref="D1782:E1801" ca="1" si="316">IFERROR(__xludf.DUMMYFUNCTION("""COMPUTED_VALUE"""),"-")</f>
        <v>#NAME?</v>
      </c>
      <c r="E1782" s="100" t="e">
        <f t="shared" ca="1" si="316"/>
        <v>#NAME?</v>
      </c>
      <c r="F1782" s="100" t="e">
        <f t="shared" ca="1" si="308"/>
        <v>#NAME?</v>
      </c>
      <c r="G1782" s="100" t="e">
        <f t="shared" ca="1" si="309"/>
        <v>#NAME?</v>
      </c>
      <c r="H1782" s="100" t="e">
        <f t="shared" ca="1" si="310"/>
        <v>#NAME?</v>
      </c>
      <c r="I1782" s="100" t="e">
        <f t="shared" ca="1" si="311"/>
        <v>#NAME?</v>
      </c>
      <c r="J1782" s="100" t="e">
        <f ca="1">IFERROR(__xludf.DUMMYFUNCTION("""COMPUTED_VALUE"""),"-3.203")</f>
        <v>#NAME?</v>
      </c>
      <c r="K1782" s="100" t="e">
        <f t="shared" ca="1" si="312"/>
        <v>#NAME?</v>
      </c>
      <c r="L1782" s="100"/>
      <c r="M1782" s="100"/>
      <c r="N1782" s="100"/>
      <c r="O1782" s="100"/>
      <c r="P1782" s="100"/>
      <c r="Q1782" s="100"/>
      <c r="R1782" s="100"/>
      <c r="S1782" s="100"/>
      <c r="T1782" s="100"/>
      <c r="U1782" s="100"/>
      <c r="V1782" s="100"/>
      <c r="W1782" s="100"/>
      <c r="X1782" s="100"/>
      <c r="Y1782" s="100"/>
      <c r="Z1782" s="100"/>
    </row>
    <row r="1783" spans="1:26">
      <c r="A1783" s="100" t="e">
        <f ca="1">IFERROR(__xludf.DUMMYFUNCTION("""COMPUTED_VALUE"""),58785118)</f>
        <v>#NAME?</v>
      </c>
      <c r="B1783" s="100" t="e">
        <f ca="1">IFERROR(__xludf.DUMMYFUNCTION("""COMPUTED_VALUE"""),"PYRBUSD")</f>
        <v>#NAME?</v>
      </c>
      <c r="C1783" s="100" t="e">
        <f ca="1">IFERROR(__xludf.DUMMYFUNCTION("""COMPUTED_VALUE"""),"3.90300000")</f>
        <v>#NAME?</v>
      </c>
      <c r="D1783" s="100" t="e">
        <f t="shared" ca="1" si="316"/>
        <v>#NAME?</v>
      </c>
      <c r="E1783" s="100" t="e">
        <f t="shared" ca="1" si="316"/>
        <v>#NAME?</v>
      </c>
      <c r="F1783" s="100" t="e">
        <f t="shared" ca="1" si="308"/>
        <v>#NAME?</v>
      </c>
      <c r="G1783" s="100" t="e">
        <f t="shared" ca="1" si="309"/>
        <v>#NAME?</v>
      </c>
      <c r="H1783" s="100" t="e">
        <f t="shared" ca="1" si="310"/>
        <v>#NAME?</v>
      </c>
      <c r="I1783" s="100" t="e">
        <f t="shared" ca="1" si="311"/>
        <v>#NAME?</v>
      </c>
      <c r="J1783" s="100" t="e">
        <f ca="1">IFERROR(__xludf.DUMMYFUNCTION("""COMPUTED_VALUE"""),"0")</f>
        <v>#NAME?</v>
      </c>
      <c r="K1783" s="100" t="e">
        <f t="shared" ca="1" si="312"/>
        <v>#NAME?</v>
      </c>
      <c r="L1783" s="100"/>
      <c r="M1783" s="100"/>
      <c r="N1783" s="100"/>
      <c r="O1783" s="100"/>
      <c r="P1783" s="100"/>
      <c r="Q1783" s="100"/>
      <c r="R1783" s="100"/>
      <c r="S1783" s="100"/>
      <c r="T1783" s="100"/>
      <c r="U1783" s="100"/>
      <c r="V1783" s="100"/>
      <c r="W1783" s="100"/>
      <c r="X1783" s="100"/>
      <c r="Y1783" s="100"/>
      <c r="Z1783" s="100"/>
    </row>
    <row r="1784" spans="1:26">
      <c r="A1784" s="100" t="e">
        <f ca="1">IFERROR(__xludf.DUMMYFUNCTION("""COMPUTED_VALUE"""),58785119)</f>
        <v>#NAME?</v>
      </c>
      <c r="B1784" s="100" t="e">
        <f ca="1">IFERROR(__xludf.DUMMYFUNCTION("""COMPUTED_VALUE"""),"PYRUSDT")</f>
        <v>#NAME?</v>
      </c>
      <c r="C1784" s="100" t="e">
        <f ca="1">IFERROR(__xludf.DUMMYFUNCTION("""COMPUTED_VALUE"""),"1.23200000")</f>
        <v>#NAME?</v>
      </c>
      <c r="D1784" s="100" t="e">
        <f t="shared" ca="1" si="316"/>
        <v>#NAME?</v>
      </c>
      <c r="E1784" s="100" t="e">
        <f t="shared" ca="1" si="316"/>
        <v>#NAME?</v>
      </c>
      <c r="F1784" s="100" t="e">
        <f t="shared" ca="1" si="308"/>
        <v>#NAME?</v>
      </c>
      <c r="G1784" s="100" t="e">
        <f t="shared" ca="1" si="309"/>
        <v>#NAME?</v>
      </c>
      <c r="H1784" s="100" t="e">
        <f t="shared" ca="1" si="310"/>
        <v>#NAME?</v>
      </c>
      <c r="I1784" s="100" t="e">
        <f t="shared" ca="1" si="311"/>
        <v>#NAME?</v>
      </c>
      <c r="J1784" s="100" t="e">
        <f ca="1">IFERROR(__xludf.DUMMYFUNCTION("""COMPUTED_VALUE"""),"-1.989")</f>
        <v>#NAME?</v>
      </c>
      <c r="K1784" s="100" t="e">
        <f t="shared" ca="1" si="312"/>
        <v>#NAME?</v>
      </c>
      <c r="L1784" s="100"/>
      <c r="M1784" s="100"/>
      <c r="N1784" s="100"/>
      <c r="O1784" s="100"/>
      <c r="P1784" s="100"/>
      <c r="Q1784" s="100"/>
      <c r="R1784" s="100"/>
      <c r="S1784" s="100"/>
      <c r="T1784" s="100"/>
      <c r="U1784" s="100"/>
      <c r="V1784" s="100"/>
      <c r="W1784" s="100"/>
      <c r="X1784" s="100"/>
      <c r="Y1784" s="100"/>
      <c r="Z1784" s="100"/>
    </row>
    <row r="1785" spans="1:26">
      <c r="A1785" s="100" t="e">
        <f ca="1">IFERROR(__xludf.DUMMYFUNCTION("""COMPUTED_VALUE"""),58785120)</f>
        <v>#NAME?</v>
      </c>
      <c r="B1785" s="100" t="e">
        <f ca="1">IFERROR(__xludf.DUMMYFUNCTION("""COMPUTED_VALUE"""),"RNDRBTC")</f>
        <v>#NAME?</v>
      </c>
      <c r="C1785" s="100" t="e">
        <f ca="1">IFERROR(__xludf.DUMMYFUNCTION("""COMPUTED_VALUE"""),"0.00010320")</f>
        <v>#NAME?</v>
      </c>
      <c r="D1785" s="100" t="e">
        <f t="shared" ca="1" si="316"/>
        <v>#NAME?</v>
      </c>
      <c r="E1785" s="100" t="e">
        <f t="shared" ca="1" si="316"/>
        <v>#NAME?</v>
      </c>
      <c r="F1785" s="100" t="e">
        <f t="shared" ca="1" si="308"/>
        <v>#NAME?</v>
      </c>
      <c r="G1785" s="100" t="e">
        <f t="shared" ca="1" si="309"/>
        <v>#NAME?</v>
      </c>
      <c r="H1785" s="100" t="e">
        <f t="shared" ca="1" si="310"/>
        <v>#NAME?</v>
      </c>
      <c r="I1785" s="100" t="e">
        <f t="shared" ca="1" si="311"/>
        <v>#NAME?</v>
      </c>
      <c r="J1785" s="100" t="e">
        <f ca="1">IFERROR(__xludf.DUMMYFUNCTION("""COMPUTED_VALUE"""),"0")</f>
        <v>#NAME?</v>
      </c>
      <c r="K1785" s="100" t="e">
        <f t="shared" ca="1" si="312"/>
        <v>#NAME?</v>
      </c>
      <c r="L1785" s="100"/>
      <c r="M1785" s="100"/>
      <c r="N1785" s="100"/>
      <c r="O1785" s="100"/>
      <c r="P1785" s="100"/>
      <c r="Q1785" s="100"/>
      <c r="R1785" s="100"/>
      <c r="S1785" s="100"/>
      <c r="T1785" s="100"/>
      <c r="U1785" s="100"/>
      <c r="V1785" s="100"/>
      <c r="W1785" s="100"/>
      <c r="X1785" s="100"/>
      <c r="Y1785" s="100"/>
      <c r="Z1785" s="100"/>
    </row>
    <row r="1786" spans="1:26">
      <c r="A1786" s="100" t="e">
        <f ca="1">IFERROR(__xludf.DUMMYFUNCTION("""COMPUTED_VALUE"""),58785121)</f>
        <v>#NAME?</v>
      </c>
      <c r="B1786" s="100" t="e">
        <f ca="1">IFERROR(__xludf.DUMMYFUNCTION("""COMPUTED_VALUE"""),"RNDRUSDT")</f>
        <v>#NAME?</v>
      </c>
      <c r="C1786" s="100" t="e">
        <f ca="1">IFERROR(__xludf.DUMMYFUNCTION("""COMPUTED_VALUE"""),"7.03000000")</f>
        <v>#NAME?</v>
      </c>
      <c r="D1786" s="100" t="e">
        <f t="shared" ca="1" si="316"/>
        <v>#NAME?</v>
      </c>
      <c r="E1786" s="100" t="e">
        <f t="shared" ca="1" si="316"/>
        <v>#NAME?</v>
      </c>
      <c r="F1786" s="100" t="e">
        <f t="shared" ca="1" si="308"/>
        <v>#NAME?</v>
      </c>
      <c r="G1786" s="100" t="e">
        <f t="shared" ca="1" si="309"/>
        <v>#NAME?</v>
      </c>
      <c r="H1786" s="100" t="e">
        <f t="shared" ca="1" si="310"/>
        <v>#NAME?</v>
      </c>
      <c r="I1786" s="100" t="e">
        <f t="shared" ca="1" si="311"/>
        <v>#NAME?</v>
      </c>
      <c r="J1786" s="100" t="e">
        <f ca="1">IFERROR(__xludf.DUMMYFUNCTION("""COMPUTED_VALUE"""),"0")</f>
        <v>#NAME?</v>
      </c>
      <c r="K1786" s="100" t="e">
        <f t="shared" ca="1" si="312"/>
        <v>#NAME?</v>
      </c>
      <c r="L1786" s="100"/>
      <c r="M1786" s="100"/>
      <c r="N1786" s="100"/>
      <c r="O1786" s="100"/>
      <c r="P1786" s="100"/>
      <c r="Q1786" s="100"/>
      <c r="R1786" s="100"/>
      <c r="S1786" s="100"/>
      <c r="T1786" s="100"/>
      <c r="U1786" s="100"/>
      <c r="V1786" s="100"/>
      <c r="W1786" s="100"/>
      <c r="X1786" s="100"/>
      <c r="Y1786" s="100"/>
      <c r="Z1786" s="100"/>
    </row>
    <row r="1787" spans="1:26">
      <c r="A1787" s="100" t="e">
        <f ca="1">IFERROR(__xludf.DUMMYFUNCTION("""COMPUTED_VALUE"""),58785122)</f>
        <v>#NAME?</v>
      </c>
      <c r="B1787" s="100" t="e">
        <f ca="1">IFERROR(__xludf.DUMMYFUNCTION("""COMPUTED_VALUE"""),"RNDRBUSD")</f>
        <v>#NAME?</v>
      </c>
      <c r="C1787" s="100" t="e">
        <f ca="1">IFERROR(__xludf.DUMMYFUNCTION("""COMPUTED_VALUE"""),"3.04000000")</f>
        <v>#NAME?</v>
      </c>
      <c r="D1787" s="100" t="e">
        <f t="shared" ca="1" si="316"/>
        <v>#NAME?</v>
      </c>
      <c r="E1787" s="100" t="e">
        <f t="shared" ca="1" si="316"/>
        <v>#NAME?</v>
      </c>
      <c r="F1787" s="100" t="e">
        <f t="shared" ca="1" si="308"/>
        <v>#NAME?</v>
      </c>
      <c r="G1787" s="100" t="e">
        <f t="shared" ca="1" si="309"/>
        <v>#NAME?</v>
      </c>
      <c r="H1787" s="100" t="e">
        <f t="shared" ca="1" si="310"/>
        <v>#NAME?</v>
      </c>
      <c r="I1787" s="100" t="e">
        <f t="shared" ca="1" si="311"/>
        <v>#NAME?</v>
      </c>
      <c r="J1787" s="100" t="e">
        <f ca="1">IFERROR(__xludf.DUMMYFUNCTION("""COMPUTED_VALUE"""),"0")</f>
        <v>#NAME?</v>
      </c>
      <c r="K1787" s="100" t="e">
        <f t="shared" ca="1" si="312"/>
        <v>#NAME?</v>
      </c>
      <c r="L1787" s="100"/>
      <c r="M1787" s="100"/>
      <c r="N1787" s="100"/>
      <c r="O1787" s="100"/>
      <c r="P1787" s="100"/>
      <c r="Q1787" s="100"/>
      <c r="R1787" s="100"/>
      <c r="S1787" s="100"/>
      <c r="T1787" s="100"/>
      <c r="U1787" s="100"/>
      <c r="V1787" s="100"/>
      <c r="W1787" s="100"/>
      <c r="X1787" s="100"/>
      <c r="Y1787" s="100"/>
      <c r="Z1787" s="100"/>
    </row>
    <row r="1788" spans="1:26">
      <c r="A1788" s="100" t="e">
        <f ca="1">IFERROR(__xludf.DUMMYFUNCTION("""COMPUTED_VALUE"""),58785123)</f>
        <v>#NAME?</v>
      </c>
      <c r="B1788" s="100" t="e">
        <f ca="1">IFERROR(__xludf.DUMMYFUNCTION("""COMPUTED_VALUE"""),"ALCXBTC")</f>
        <v>#NAME?</v>
      </c>
      <c r="C1788" s="100" t="e">
        <f ca="1">IFERROR(__xludf.DUMMYFUNCTION("""COMPUTED_VALUE"""),"0.00023730")</f>
        <v>#NAME?</v>
      </c>
      <c r="D1788" s="100" t="e">
        <f t="shared" ca="1" si="316"/>
        <v>#NAME?</v>
      </c>
      <c r="E1788" s="100" t="e">
        <f t="shared" ca="1" si="316"/>
        <v>#NAME?</v>
      </c>
      <c r="F1788" s="100" t="e">
        <f t="shared" ca="1" si="308"/>
        <v>#NAME?</v>
      </c>
      <c r="G1788" s="100" t="e">
        <f t="shared" ca="1" si="309"/>
        <v>#NAME?</v>
      </c>
      <c r="H1788" s="100" t="e">
        <f t="shared" ca="1" si="310"/>
        <v>#NAME?</v>
      </c>
      <c r="I1788" s="100" t="e">
        <f t="shared" ca="1" si="311"/>
        <v>#NAME?</v>
      </c>
      <c r="J1788" s="100" t="e">
        <f ca="1">IFERROR(__xludf.DUMMYFUNCTION("""COMPUTED_VALUE"""),"0")</f>
        <v>#NAME?</v>
      </c>
      <c r="K1788" s="100" t="e">
        <f t="shared" ca="1" si="312"/>
        <v>#NAME?</v>
      </c>
      <c r="L1788" s="100"/>
      <c r="M1788" s="100"/>
      <c r="N1788" s="100"/>
      <c r="O1788" s="100"/>
      <c r="P1788" s="100"/>
      <c r="Q1788" s="100"/>
      <c r="R1788" s="100"/>
      <c r="S1788" s="100"/>
      <c r="T1788" s="100"/>
      <c r="U1788" s="100"/>
      <c r="V1788" s="100"/>
      <c r="W1788" s="100"/>
      <c r="X1788" s="100"/>
      <c r="Y1788" s="100"/>
      <c r="Z1788" s="100"/>
    </row>
    <row r="1789" spans="1:26">
      <c r="A1789" s="100" t="e">
        <f ca="1">IFERROR(__xludf.DUMMYFUNCTION("""COMPUTED_VALUE"""),58785124)</f>
        <v>#NAME?</v>
      </c>
      <c r="B1789" s="100" t="e">
        <f ca="1">IFERROR(__xludf.DUMMYFUNCTION("""COMPUTED_VALUE"""),"ALCXBUSD")</f>
        <v>#NAME?</v>
      </c>
      <c r="C1789" s="100" t="e">
        <f ca="1">IFERROR(__xludf.DUMMYFUNCTION("""COMPUTED_VALUE"""),"10.73000000")</f>
        <v>#NAME?</v>
      </c>
      <c r="D1789" s="100" t="e">
        <f t="shared" ca="1" si="316"/>
        <v>#NAME?</v>
      </c>
      <c r="E1789" s="100" t="e">
        <f t="shared" ca="1" si="316"/>
        <v>#NAME?</v>
      </c>
      <c r="F1789" s="100" t="e">
        <f t="shared" ca="1" si="308"/>
        <v>#NAME?</v>
      </c>
      <c r="G1789" s="100" t="e">
        <f t="shared" ca="1" si="309"/>
        <v>#NAME?</v>
      </c>
      <c r="H1789" s="100" t="e">
        <f t="shared" ca="1" si="310"/>
        <v>#NAME?</v>
      </c>
      <c r="I1789" s="100" t="e">
        <f t="shared" ca="1" si="311"/>
        <v>#NAME?</v>
      </c>
      <c r="J1789" s="100" t="e">
        <f ca="1">IFERROR(__xludf.DUMMYFUNCTION("""COMPUTED_VALUE"""),"0")</f>
        <v>#NAME?</v>
      </c>
      <c r="K1789" s="100" t="e">
        <f t="shared" ca="1" si="312"/>
        <v>#NAME?</v>
      </c>
      <c r="L1789" s="100"/>
      <c r="M1789" s="100"/>
      <c r="N1789" s="100"/>
      <c r="O1789" s="100"/>
      <c r="P1789" s="100"/>
      <c r="Q1789" s="100"/>
      <c r="R1789" s="100"/>
      <c r="S1789" s="100"/>
      <c r="T1789" s="100"/>
      <c r="U1789" s="100"/>
      <c r="V1789" s="100"/>
      <c r="W1789" s="100"/>
      <c r="X1789" s="100"/>
      <c r="Y1789" s="100"/>
      <c r="Z1789" s="100"/>
    </row>
    <row r="1790" spans="1:26">
      <c r="A1790" s="100" t="e">
        <f ca="1">IFERROR(__xludf.DUMMYFUNCTION("""COMPUTED_VALUE"""),58785125)</f>
        <v>#NAME?</v>
      </c>
      <c r="B1790" s="100" t="e">
        <f ca="1">IFERROR(__xludf.DUMMYFUNCTION("""COMPUTED_VALUE"""),"ALCXUSDT")</f>
        <v>#NAME?</v>
      </c>
      <c r="C1790" s="100" t="e">
        <f ca="1">IFERROR(__xludf.DUMMYFUNCTION("""COMPUTED_VALUE"""),"8.52000000")</f>
        <v>#NAME?</v>
      </c>
      <c r="D1790" s="100" t="e">
        <f t="shared" ca="1" si="316"/>
        <v>#NAME?</v>
      </c>
      <c r="E1790" s="100" t="e">
        <f t="shared" ca="1" si="316"/>
        <v>#NAME?</v>
      </c>
      <c r="F1790" s="100" t="e">
        <f t="shared" ca="1" si="308"/>
        <v>#NAME?</v>
      </c>
      <c r="G1790" s="100" t="e">
        <f t="shared" ca="1" si="309"/>
        <v>#NAME?</v>
      </c>
      <c r="H1790" s="100" t="e">
        <f t="shared" ca="1" si="310"/>
        <v>#NAME?</v>
      </c>
      <c r="I1790" s="100" t="e">
        <f t="shared" ca="1" si="311"/>
        <v>#NAME?</v>
      </c>
      <c r="J1790" s="100" t="e">
        <f ca="1">IFERROR(__xludf.DUMMYFUNCTION("""COMPUTED_VALUE"""),"-3.620")</f>
        <v>#NAME?</v>
      </c>
      <c r="K1790" s="100" t="e">
        <f t="shared" ca="1" si="312"/>
        <v>#NAME?</v>
      </c>
      <c r="L1790" s="100"/>
      <c r="M1790" s="100"/>
      <c r="N1790" s="100"/>
      <c r="O1790" s="100"/>
      <c r="P1790" s="100"/>
      <c r="Q1790" s="100"/>
      <c r="R1790" s="100"/>
      <c r="S1790" s="100"/>
      <c r="T1790" s="100"/>
      <c r="U1790" s="100"/>
      <c r="V1790" s="100"/>
      <c r="W1790" s="100"/>
      <c r="X1790" s="100"/>
      <c r="Y1790" s="100"/>
      <c r="Z1790" s="100"/>
    </row>
    <row r="1791" spans="1:26">
      <c r="A1791" s="100" t="e">
        <f ca="1">IFERROR(__xludf.DUMMYFUNCTION("""COMPUTED_VALUE"""),58785126)</f>
        <v>#NAME?</v>
      </c>
      <c r="B1791" s="100" t="e">
        <f ca="1">IFERROR(__xludf.DUMMYFUNCTION("""COMPUTED_VALUE"""),"SANTOSBTC")</f>
        <v>#NAME?</v>
      </c>
      <c r="C1791" s="100" t="e">
        <f ca="1">IFERROR(__xludf.DUMMYFUNCTION("""COMPUTED_VALUE"""),"0.00002653")</f>
        <v>#NAME?</v>
      </c>
      <c r="D1791" s="100" t="e">
        <f t="shared" ca="1" si="316"/>
        <v>#NAME?</v>
      </c>
      <c r="E1791" s="100" t="e">
        <f t="shared" ca="1" si="316"/>
        <v>#NAME?</v>
      </c>
      <c r="F1791" s="100" t="e">
        <f t="shared" ca="1" si="308"/>
        <v>#NAME?</v>
      </c>
      <c r="G1791" s="100" t="e">
        <f t="shared" ca="1" si="309"/>
        <v>#NAME?</v>
      </c>
      <c r="H1791" s="100" t="e">
        <f t="shared" ca="1" si="310"/>
        <v>#NAME?</v>
      </c>
      <c r="I1791" s="100" t="e">
        <f t="shared" ca="1" si="311"/>
        <v>#NAME?</v>
      </c>
      <c r="J1791" s="100" t="e">
        <f ca="1">IFERROR(__xludf.DUMMYFUNCTION("""COMPUTED_VALUE"""),"0.113")</f>
        <v>#NAME?</v>
      </c>
      <c r="K1791" s="100" t="e">
        <f t="shared" ca="1" si="312"/>
        <v>#NAME?</v>
      </c>
      <c r="L1791" s="100"/>
      <c r="M1791" s="100"/>
      <c r="N1791" s="100"/>
      <c r="O1791" s="100"/>
      <c r="P1791" s="100"/>
      <c r="Q1791" s="100"/>
      <c r="R1791" s="100"/>
      <c r="S1791" s="100"/>
      <c r="T1791" s="100"/>
      <c r="U1791" s="100"/>
      <c r="V1791" s="100"/>
      <c r="W1791" s="100"/>
      <c r="X1791" s="100"/>
      <c r="Y1791" s="100"/>
      <c r="Z1791" s="100"/>
    </row>
    <row r="1792" spans="1:26">
      <c r="A1792" s="100" t="e">
        <f ca="1">IFERROR(__xludf.DUMMYFUNCTION("""COMPUTED_VALUE"""),58785127)</f>
        <v>#NAME?</v>
      </c>
      <c r="B1792" s="100" t="e">
        <f ca="1">IFERROR(__xludf.DUMMYFUNCTION("""COMPUTED_VALUE"""),"SANTOSUSDT")</f>
        <v>#NAME?</v>
      </c>
      <c r="C1792" s="100" t="e">
        <f ca="1">IFERROR(__xludf.DUMMYFUNCTION("""COMPUTED_VALUE"""),"2.32800000")</f>
        <v>#NAME?</v>
      </c>
      <c r="D1792" s="100" t="e">
        <f t="shared" ca="1" si="316"/>
        <v>#NAME?</v>
      </c>
      <c r="E1792" s="100" t="e">
        <f t="shared" ca="1" si="316"/>
        <v>#NAME?</v>
      </c>
      <c r="F1792" s="100" t="e">
        <f t="shared" ca="1" si="308"/>
        <v>#NAME?</v>
      </c>
      <c r="G1792" s="100" t="e">
        <f t="shared" ca="1" si="309"/>
        <v>#NAME?</v>
      </c>
      <c r="H1792" s="100" t="e">
        <f t="shared" ca="1" si="310"/>
        <v>#NAME?</v>
      </c>
      <c r="I1792" s="100" t="e">
        <f t="shared" ca="1" si="311"/>
        <v>#NAME?</v>
      </c>
      <c r="J1792" s="100" t="e">
        <f ca="1">IFERROR(__xludf.DUMMYFUNCTION("""COMPUTED_VALUE"""),"-0.767")</f>
        <v>#NAME?</v>
      </c>
      <c r="K1792" s="100" t="e">
        <f t="shared" ca="1" si="312"/>
        <v>#NAME?</v>
      </c>
      <c r="L1792" s="100"/>
      <c r="M1792" s="100"/>
      <c r="N1792" s="100"/>
      <c r="O1792" s="100"/>
      <c r="P1792" s="100"/>
      <c r="Q1792" s="100"/>
      <c r="R1792" s="100"/>
      <c r="S1792" s="100"/>
      <c r="T1792" s="100"/>
      <c r="U1792" s="100"/>
      <c r="V1792" s="100"/>
      <c r="W1792" s="100"/>
      <c r="X1792" s="100"/>
      <c r="Y1792" s="100"/>
      <c r="Z1792" s="100"/>
    </row>
    <row r="1793" spans="1:26">
      <c r="A1793" s="100" t="e">
        <f ca="1">IFERROR(__xludf.DUMMYFUNCTION("""COMPUTED_VALUE"""),58785128)</f>
        <v>#NAME?</v>
      </c>
      <c r="B1793" s="100" t="e">
        <f ca="1">IFERROR(__xludf.DUMMYFUNCTION("""COMPUTED_VALUE"""),"SANTOSBRL")</f>
        <v>#NAME?</v>
      </c>
      <c r="C1793" s="100" t="e">
        <f ca="1">IFERROR(__xludf.DUMMYFUNCTION("""COMPUTED_VALUE"""),"20.00000000")</f>
        <v>#NAME?</v>
      </c>
      <c r="D1793" s="100" t="e">
        <f t="shared" ca="1" si="316"/>
        <v>#NAME?</v>
      </c>
      <c r="E1793" s="100" t="e">
        <f t="shared" ca="1" si="316"/>
        <v>#NAME?</v>
      </c>
      <c r="F1793" s="100" t="e">
        <f t="shared" ca="1" si="308"/>
        <v>#NAME?</v>
      </c>
      <c r="G1793" s="100" t="e">
        <f t="shared" ca="1" si="309"/>
        <v>#NAME?</v>
      </c>
      <c r="H1793" s="100" t="e">
        <f t="shared" ca="1" si="310"/>
        <v>#NAME?</v>
      </c>
      <c r="I1793" s="100" t="e">
        <f t="shared" ca="1" si="311"/>
        <v>#NAME?</v>
      </c>
      <c r="J1793" s="100" t="e">
        <f ca="1">IFERROR(__xludf.DUMMYFUNCTION("""COMPUTED_VALUE"""),"0")</f>
        <v>#NAME?</v>
      </c>
      <c r="K1793" s="100" t="e">
        <f t="shared" ca="1" si="312"/>
        <v>#NAME?</v>
      </c>
      <c r="L1793" s="100"/>
      <c r="M1793" s="100"/>
      <c r="N1793" s="100"/>
      <c r="O1793" s="100"/>
      <c r="P1793" s="100"/>
      <c r="Q1793" s="100"/>
      <c r="R1793" s="100"/>
      <c r="S1793" s="100"/>
      <c r="T1793" s="100"/>
      <c r="U1793" s="100"/>
      <c r="V1793" s="100"/>
      <c r="W1793" s="100"/>
      <c r="X1793" s="100"/>
      <c r="Y1793" s="100"/>
      <c r="Z1793" s="100"/>
    </row>
    <row r="1794" spans="1:26">
      <c r="A1794" s="100" t="e">
        <f ca="1">IFERROR(__xludf.DUMMYFUNCTION("""COMPUTED_VALUE"""),58785129)</f>
        <v>#NAME?</v>
      </c>
      <c r="B1794" s="100" t="e">
        <f ca="1">IFERROR(__xludf.DUMMYFUNCTION("""COMPUTED_VALUE"""),"SANTOSTRY")</f>
        <v>#NAME?</v>
      </c>
      <c r="C1794" s="100" t="e">
        <f ca="1">IFERROR(__xludf.DUMMYFUNCTION("""COMPUTED_VALUE"""),"88.89000000")</f>
        <v>#NAME?</v>
      </c>
      <c r="D1794" s="100" t="e">
        <f t="shared" ca="1" si="316"/>
        <v>#NAME?</v>
      </c>
      <c r="E1794" s="100" t="e">
        <f t="shared" ca="1" si="316"/>
        <v>#NAME?</v>
      </c>
      <c r="F1794" s="100" t="e">
        <f t="shared" ref="F1794:F1857" ca="1" si="317">IFERROR(__xludf.DUMMYFUNCTION("""COMPUTED_VALUE"""),20200)</f>
        <v>#NAME?</v>
      </c>
      <c r="G1794" s="100" t="e">
        <f t="shared" ref="G1794:G1857" ca="1" si="318">IFERROR(__xludf.DUMMYFUNCTION("""COMPUTED_VALUE"""),2885)</f>
        <v>#NAME?</v>
      </c>
      <c r="H1794" s="100" t="e">
        <f t="shared" ref="H1794:H1857" ca="1" si="319">IFERROR(__xludf.DUMMYFUNCTION("""COMPUTED_VALUE"""),663)</f>
        <v>#NAME?</v>
      </c>
      <c r="I1794" s="100" t="e">
        <f t="shared" ref="I1794:I1857" ca="1" si="320">IFERROR(__xludf.DUMMYFUNCTION("""COMPUTED_VALUE"""),5817721)</f>
        <v>#NAME?</v>
      </c>
      <c r="J1794" s="100" t="e">
        <f ca="1">IFERROR(__xludf.DUMMYFUNCTION("""COMPUTED_VALUE"""),"-0.892")</f>
        <v>#NAME?</v>
      </c>
      <c r="K1794" s="100" t="e">
        <f t="shared" ref="K1794:K1857" ca="1" si="321">IFERROR(__xludf.DUMMYFUNCTION("""COMPUTED_VALUE"""),"22.04.2025 13:05:01")</f>
        <v>#NAME?</v>
      </c>
      <c r="L1794" s="100"/>
      <c r="M1794" s="100"/>
      <c r="N1794" s="100"/>
      <c r="O1794" s="100"/>
      <c r="P1794" s="100"/>
      <c r="Q1794" s="100"/>
      <c r="R1794" s="100"/>
      <c r="S1794" s="100"/>
      <c r="T1794" s="100"/>
      <c r="U1794" s="100"/>
      <c r="V1794" s="100"/>
      <c r="W1794" s="100"/>
      <c r="X1794" s="100"/>
      <c r="Y1794" s="100"/>
      <c r="Z1794" s="100"/>
    </row>
    <row r="1795" spans="1:26">
      <c r="A1795" s="100" t="e">
        <f ca="1">IFERROR(__xludf.DUMMYFUNCTION("""COMPUTED_VALUE"""),58785130)</f>
        <v>#NAME?</v>
      </c>
      <c r="B1795" s="100" t="e">
        <f ca="1">IFERROR(__xludf.DUMMYFUNCTION("""COMPUTED_VALUE"""),"MCBTC")</f>
        <v>#NAME?</v>
      </c>
      <c r="C1795" s="100" t="e">
        <f ca="1">IFERROR(__xludf.DUMMYFUNCTION("""COMPUTED_VALUE"""),"0.00001400")</f>
        <v>#NAME?</v>
      </c>
      <c r="D1795" s="100" t="e">
        <f t="shared" ca="1" si="316"/>
        <v>#NAME?</v>
      </c>
      <c r="E1795" s="100" t="e">
        <f t="shared" ca="1" si="316"/>
        <v>#NAME?</v>
      </c>
      <c r="F1795" s="100" t="e">
        <f t="shared" ca="1" si="317"/>
        <v>#NAME?</v>
      </c>
      <c r="G1795" s="100" t="e">
        <f t="shared" ca="1" si="318"/>
        <v>#NAME?</v>
      </c>
      <c r="H1795" s="100" t="e">
        <f t="shared" ca="1" si="319"/>
        <v>#NAME?</v>
      </c>
      <c r="I1795" s="100" t="e">
        <f t="shared" ca="1" si="320"/>
        <v>#NAME?</v>
      </c>
      <c r="J1795" s="100" t="e">
        <f ca="1">IFERROR(__xludf.DUMMYFUNCTION("""COMPUTED_VALUE"""),"0")</f>
        <v>#NAME?</v>
      </c>
      <c r="K1795" s="100" t="e">
        <f t="shared" ca="1" si="321"/>
        <v>#NAME?</v>
      </c>
      <c r="L1795" s="100"/>
      <c r="M1795" s="100"/>
      <c r="N1795" s="100"/>
      <c r="O1795" s="100"/>
      <c r="P1795" s="100"/>
      <c r="Q1795" s="100"/>
      <c r="R1795" s="100"/>
      <c r="S1795" s="100"/>
      <c r="T1795" s="100"/>
      <c r="U1795" s="100"/>
      <c r="V1795" s="100"/>
      <c r="W1795" s="100"/>
      <c r="X1795" s="100"/>
      <c r="Y1795" s="100"/>
      <c r="Z1795" s="100"/>
    </row>
    <row r="1796" spans="1:26">
      <c r="A1796" s="100" t="e">
        <f ca="1">IFERROR(__xludf.DUMMYFUNCTION("""COMPUTED_VALUE"""),58785131)</f>
        <v>#NAME?</v>
      </c>
      <c r="B1796" s="100" t="e">
        <f ca="1">IFERROR(__xludf.DUMMYFUNCTION("""COMPUTED_VALUE"""),"MCBUSD")</f>
        <v>#NAME?</v>
      </c>
      <c r="C1796" s="100" t="e">
        <f ca="1">IFERROR(__xludf.DUMMYFUNCTION("""COMPUTED_VALUE"""),"0.26570000")</f>
        <v>#NAME?</v>
      </c>
      <c r="D1796" s="100" t="e">
        <f t="shared" ca="1" si="316"/>
        <v>#NAME?</v>
      </c>
      <c r="E1796" s="100" t="e">
        <f t="shared" ca="1" si="316"/>
        <v>#NAME?</v>
      </c>
      <c r="F1796" s="100" t="e">
        <f t="shared" ca="1" si="317"/>
        <v>#NAME?</v>
      </c>
      <c r="G1796" s="100" t="e">
        <f t="shared" ca="1" si="318"/>
        <v>#NAME?</v>
      </c>
      <c r="H1796" s="100" t="e">
        <f t="shared" ca="1" si="319"/>
        <v>#NAME?</v>
      </c>
      <c r="I1796" s="100" t="e">
        <f t="shared" ca="1" si="320"/>
        <v>#NAME?</v>
      </c>
      <c r="J1796" s="100" t="e">
        <f ca="1">IFERROR(__xludf.DUMMYFUNCTION("""COMPUTED_VALUE"""),"0")</f>
        <v>#NAME?</v>
      </c>
      <c r="K1796" s="100" t="e">
        <f t="shared" ca="1" si="321"/>
        <v>#NAME?</v>
      </c>
      <c r="L1796" s="100"/>
      <c r="M1796" s="100"/>
      <c r="N1796" s="100"/>
      <c r="O1796" s="100"/>
      <c r="P1796" s="100"/>
      <c r="Q1796" s="100"/>
      <c r="R1796" s="100"/>
      <c r="S1796" s="100"/>
      <c r="T1796" s="100"/>
      <c r="U1796" s="100"/>
      <c r="V1796" s="100"/>
      <c r="W1796" s="100"/>
      <c r="X1796" s="100"/>
      <c r="Y1796" s="100"/>
      <c r="Z1796" s="100"/>
    </row>
    <row r="1797" spans="1:26">
      <c r="A1797" s="100" t="e">
        <f ca="1">IFERROR(__xludf.DUMMYFUNCTION("""COMPUTED_VALUE"""),58785132)</f>
        <v>#NAME?</v>
      </c>
      <c r="B1797" s="100" t="e">
        <f ca="1">IFERROR(__xludf.DUMMYFUNCTION("""COMPUTED_VALUE"""),"MCUSDT")</f>
        <v>#NAME?</v>
      </c>
      <c r="C1797" s="100" t="e">
        <f ca="1">IFERROR(__xludf.DUMMYFUNCTION("""COMPUTED_VALUE"""),"0.48610000")</f>
        <v>#NAME?</v>
      </c>
      <c r="D1797" s="100" t="e">
        <f t="shared" ca="1" si="316"/>
        <v>#NAME?</v>
      </c>
      <c r="E1797" s="100" t="e">
        <f t="shared" ca="1" si="316"/>
        <v>#NAME?</v>
      </c>
      <c r="F1797" s="100" t="e">
        <f t="shared" ca="1" si="317"/>
        <v>#NAME?</v>
      </c>
      <c r="G1797" s="100" t="e">
        <f t="shared" ca="1" si="318"/>
        <v>#NAME?</v>
      </c>
      <c r="H1797" s="100" t="e">
        <f t="shared" ca="1" si="319"/>
        <v>#NAME?</v>
      </c>
      <c r="I1797" s="100" t="e">
        <f t="shared" ca="1" si="320"/>
        <v>#NAME?</v>
      </c>
      <c r="J1797" s="100" t="e">
        <f ca="1">IFERROR(__xludf.DUMMYFUNCTION("""COMPUTED_VALUE"""),"0")</f>
        <v>#NAME?</v>
      </c>
      <c r="K1797" s="100" t="e">
        <f t="shared" ca="1" si="321"/>
        <v>#NAME?</v>
      </c>
      <c r="L1797" s="100"/>
      <c r="M1797" s="100"/>
      <c r="N1797" s="100"/>
      <c r="O1797" s="100"/>
      <c r="P1797" s="100"/>
      <c r="Q1797" s="100"/>
      <c r="R1797" s="100"/>
      <c r="S1797" s="100"/>
      <c r="T1797" s="100"/>
      <c r="U1797" s="100"/>
      <c r="V1797" s="100"/>
      <c r="W1797" s="100"/>
      <c r="X1797" s="100"/>
      <c r="Y1797" s="100"/>
      <c r="Z1797" s="100"/>
    </row>
    <row r="1798" spans="1:26">
      <c r="A1798" s="100" t="e">
        <f ca="1">IFERROR(__xludf.DUMMYFUNCTION("""COMPUTED_VALUE"""),58785133)</f>
        <v>#NAME?</v>
      </c>
      <c r="B1798" s="100" t="e">
        <f ca="1">IFERROR(__xludf.DUMMYFUNCTION("""COMPUTED_VALUE"""),"BELTRY")</f>
        <v>#NAME?</v>
      </c>
      <c r="C1798" s="100" t="e">
        <f ca="1">IFERROR(__xludf.DUMMYFUNCTION("""COMPUTED_VALUE"""),"14.48000000")</f>
        <v>#NAME?</v>
      </c>
      <c r="D1798" s="100" t="e">
        <f t="shared" ca="1" si="316"/>
        <v>#NAME?</v>
      </c>
      <c r="E1798" s="100" t="e">
        <f t="shared" ca="1" si="316"/>
        <v>#NAME?</v>
      </c>
      <c r="F1798" s="100" t="e">
        <f t="shared" ca="1" si="317"/>
        <v>#NAME?</v>
      </c>
      <c r="G1798" s="100" t="e">
        <f t="shared" ca="1" si="318"/>
        <v>#NAME?</v>
      </c>
      <c r="H1798" s="100" t="e">
        <f t="shared" ca="1" si="319"/>
        <v>#NAME?</v>
      </c>
      <c r="I1798" s="100" t="e">
        <f t="shared" ca="1" si="320"/>
        <v>#NAME?</v>
      </c>
      <c r="J1798" s="100" t="e">
        <f ca="1">IFERROR(__xludf.DUMMYFUNCTION("""COMPUTED_VALUE"""),"-6.821")</f>
        <v>#NAME?</v>
      </c>
      <c r="K1798" s="100" t="e">
        <f t="shared" ca="1" si="321"/>
        <v>#NAME?</v>
      </c>
      <c r="L1798" s="100"/>
      <c r="M1798" s="100"/>
      <c r="N1798" s="100"/>
      <c r="O1798" s="100"/>
      <c r="P1798" s="100"/>
      <c r="Q1798" s="100"/>
      <c r="R1798" s="100"/>
      <c r="S1798" s="100"/>
      <c r="T1798" s="100"/>
      <c r="U1798" s="100"/>
      <c r="V1798" s="100"/>
      <c r="W1798" s="100"/>
      <c r="X1798" s="100"/>
      <c r="Y1798" s="100"/>
      <c r="Z1798" s="100"/>
    </row>
    <row r="1799" spans="1:26">
      <c r="A1799" s="100" t="e">
        <f ca="1">IFERROR(__xludf.DUMMYFUNCTION("""COMPUTED_VALUE"""),58785134)</f>
        <v>#NAME?</v>
      </c>
      <c r="B1799" s="100" t="e">
        <f ca="1">IFERROR(__xludf.DUMMYFUNCTION("""COMPUTED_VALUE"""),"COCOSBUSD")</f>
        <v>#NAME?</v>
      </c>
      <c r="C1799" s="100" t="e">
        <f ca="1">IFERROR(__xludf.DUMMYFUNCTION("""COMPUTED_VALUE"""),"1.75890000")</f>
        <v>#NAME?</v>
      </c>
      <c r="D1799" s="100" t="e">
        <f t="shared" ca="1" si="316"/>
        <v>#NAME?</v>
      </c>
      <c r="E1799" s="100" t="e">
        <f t="shared" ca="1" si="316"/>
        <v>#NAME?</v>
      </c>
      <c r="F1799" s="100" t="e">
        <f t="shared" ca="1" si="317"/>
        <v>#NAME?</v>
      </c>
      <c r="G1799" s="100" t="e">
        <f t="shared" ca="1" si="318"/>
        <v>#NAME?</v>
      </c>
      <c r="H1799" s="100" t="e">
        <f t="shared" ca="1" si="319"/>
        <v>#NAME?</v>
      </c>
      <c r="I1799" s="100" t="e">
        <f t="shared" ca="1" si="320"/>
        <v>#NAME?</v>
      </c>
      <c r="J1799" s="100" t="e">
        <f ca="1">IFERROR(__xludf.DUMMYFUNCTION("""COMPUTED_VALUE"""),"0")</f>
        <v>#NAME?</v>
      </c>
      <c r="K1799" s="100" t="e">
        <f t="shared" ca="1" si="321"/>
        <v>#NAME?</v>
      </c>
      <c r="L1799" s="100"/>
      <c r="M1799" s="100"/>
      <c r="N1799" s="100"/>
      <c r="O1799" s="100"/>
      <c r="P1799" s="100"/>
      <c r="Q1799" s="100"/>
      <c r="R1799" s="100"/>
      <c r="S1799" s="100"/>
      <c r="T1799" s="100"/>
      <c r="U1799" s="100"/>
      <c r="V1799" s="100"/>
      <c r="W1799" s="100"/>
      <c r="X1799" s="100"/>
      <c r="Y1799" s="100"/>
      <c r="Z1799" s="100"/>
    </row>
    <row r="1800" spans="1:26">
      <c r="A1800" s="100" t="e">
        <f ca="1">IFERROR(__xludf.DUMMYFUNCTION("""COMPUTED_VALUE"""),58785135)</f>
        <v>#NAME?</v>
      </c>
      <c r="B1800" s="100" t="e">
        <f ca="1">IFERROR(__xludf.DUMMYFUNCTION("""COMPUTED_VALUE"""),"DENTTRY")</f>
        <v>#NAME?</v>
      </c>
      <c r="C1800" s="100" t="e">
        <f ca="1">IFERROR(__xludf.DUMMYFUNCTION("""COMPUTED_VALUE"""),"0.02646000")</f>
        <v>#NAME?</v>
      </c>
      <c r="D1800" s="100" t="e">
        <f t="shared" ca="1" si="316"/>
        <v>#NAME?</v>
      </c>
      <c r="E1800" s="100" t="e">
        <f t="shared" ca="1" si="316"/>
        <v>#NAME?</v>
      </c>
      <c r="F1800" s="100" t="e">
        <f t="shared" ca="1" si="317"/>
        <v>#NAME?</v>
      </c>
      <c r="G1800" s="100" t="e">
        <f t="shared" ca="1" si="318"/>
        <v>#NAME?</v>
      </c>
      <c r="H1800" s="100" t="e">
        <f t="shared" ca="1" si="319"/>
        <v>#NAME?</v>
      </c>
      <c r="I1800" s="100" t="e">
        <f t="shared" ca="1" si="320"/>
        <v>#NAME?</v>
      </c>
      <c r="J1800" s="100" t="e">
        <f ca="1">IFERROR(__xludf.DUMMYFUNCTION("""COMPUTED_VALUE"""),"-1.121")</f>
        <v>#NAME?</v>
      </c>
      <c r="K1800" s="100" t="e">
        <f t="shared" ca="1" si="321"/>
        <v>#NAME?</v>
      </c>
      <c r="L1800" s="100"/>
      <c r="M1800" s="100"/>
      <c r="N1800" s="100"/>
      <c r="O1800" s="100"/>
      <c r="P1800" s="100"/>
      <c r="Q1800" s="100"/>
      <c r="R1800" s="100"/>
      <c r="S1800" s="100"/>
      <c r="T1800" s="100"/>
      <c r="U1800" s="100"/>
      <c r="V1800" s="100"/>
      <c r="W1800" s="100"/>
      <c r="X1800" s="100"/>
      <c r="Y1800" s="100"/>
      <c r="Z1800" s="100"/>
    </row>
    <row r="1801" spans="1:26">
      <c r="A1801" s="100" t="e">
        <f ca="1">IFERROR(__xludf.DUMMYFUNCTION("""COMPUTED_VALUE"""),58785136)</f>
        <v>#NAME?</v>
      </c>
      <c r="B1801" s="100" t="e">
        <f ca="1">IFERROR(__xludf.DUMMYFUNCTION("""COMPUTED_VALUE"""),"ENJTRY")</f>
        <v>#NAME?</v>
      </c>
      <c r="C1801" s="100" t="e">
        <f ca="1">IFERROR(__xludf.DUMMYFUNCTION("""COMPUTED_VALUE"""),"3.36300000")</f>
        <v>#NAME?</v>
      </c>
      <c r="D1801" s="100" t="e">
        <f t="shared" ca="1" si="316"/>
        <v>#NAME?</v>
      </c>
      <c r="E1801" s="100" t="e">
        <f t="shared" ca="1" si="316"/>
        <v>#NAME?</v>
      </c>
      <c r="F1801" s="100" t="e">
        <f t="shared" ca="1" si="317"/>
        <v>#NAME?</v>
      </c>
      <c r="G1801" s="100" t="e">
        <f t="shared" ca="1" si="318"/>
        <v>#NAME?</v>
      </c>
      <c r="H1801" s="100" t="e">
        <f t="shared" ca="1" si="319"/>
        <v>#NAME?</v>
      </c>
      <c r="I1801" s="100" t="e">
        <f t="shared" ca="1" si="320"/>
        <v>#NAME?</v>
      </c>
      <c r="J1801" s="100" t="e">
        <f ca="1">IFERROR(__xludf.DUMMYFUNCTION("""COMPUTED_VALUE"""),"-15.247")</f>
        <v>#NAME?</v>
      </c>
      <c r="K1801" s="100" t="e">
        <f t="shared" ca="1" si="321"/>
        <v>#NAME?</v>
      </c>
      <c r="L1801" s="100"/>
      <c r="M1801" s="100"/>
      <c r="N1801" s="100"/>
      <c r="O1801" s="100"/>
      <c r="P1801" s="100"/>
      <c r="Q1801" s="100"/>
      <c r="R1801" s="100"/>
      <c r="S1801" s="100"/>
      <c r="T1801" s="100"/>
      <c r="U1801" s="100"/>
      <c r="V1801" s="100"/>
      <c r="W1801" s="100"/>
      <c r="X1801" s="100"/>
      <c r="Y1801" s="100"/>
      <c r="Z1801" s="100"/>
    </row>
    <row r="1802" spans="1:26">
      <c r="A1802" s="100" t="e">
        <f ca="1">IFERROR(__xludf.DUMMYFUNCTION("""COMPUTED_VALUE"""),58785137)</f>
        <v>#NAME?</v>
      </c>
      <c r="B1802" s="100" t="e">
        <f ca="1">IFERROR(__xludf.DUMMYFUNCTION("""COMPUTED_VALUE"""),"NEORUB")</f>
        <v>#NAME?</v>
      </c>
      <c r="C1802" s="100" t="e">
        <f ca="1">IFERROR(__xludf.DUMMYFUNCTION("""COMPUTED_VALUE"""),"734.00000000")</f>
        <v>#NAME?</v>
      </c>
      <c r="D1802" s="100" t="e">
        <f t="shared" ref="D1802:E1821" ca="1" si="322">IFERROR(__xludf.DUMMYFUNCTION("""COMPUTED_VALUE"""),"-")</f>
        <v>#NAME?</v>
      </c>
      <c r="E1802" s="100" t="e">
        <f t="shared" ca="1" si="322"/>
        <v>#NAME?</v>
      </c>
      <c r="F1802" s="100" t="e">
        <f t="shared" ca="1" si="317"/>
        <v>#NAME?</v>
      </c>
      <c r="G1802" s="100" t="e">
        <f t="shared" ca="1" si="318"/>
        <v>#NAME?</v>
      </c>
      <c r="H1802" s="100" t="e">
        <f t="shared" ca="1" si="319"/>
        <v>#NAME?</v>
      </c>
      <c r="I1802" s="100" t="e">
        <f t="shared" ca="1" si="320"/>
        <v>#NAME?</v>
      </c>
      <c r="J1802" s="100" t="e">
        <f t="shared" ref="J1802:J1807" ca="1" si="323">IFERROR(__xludf.DUMMYFUNCTION("""COMPUTED_VALUE"""),"0")</f>
        <v>#NAME?</v>
      </c>
      <c r="K1802" s="100" t="e">
        <f t="shared" ca="1" si="321"/>
        <v>#NAME?</v>
      </c>
      <c r="L1802" s="100"/>
      <c r="M1802" s="100"/>
      <c r="N1802" s="100"/>
      <c r="O1802" s="100"/>
      <c r="P1802" s="100"/>
      <c r="Q1802" s="100"/>
      <c r="R1802" s="100"/>
      <c r="S1802" s="100"/>
      <c r="T1802" s="100"/>
      <c r="U1802" s="100"/>
      <c r="V1802" s="100"/>
      <c r="W1802" s="100"/>
      <c r="X1802" s="100"/>
      <c r="Y1802" s="100"/>
      <c r="Z1802" s="100"/>
    </row>
    <row r="1803" spans="1:26">
      <c r="A1803" s="100" t="e">
        <f ca="1">IFERROR(__xludf.DUMMYFUNCTION("""COMPUTED_VALUE"""),58785138)</f>
        <v>#NAME?</v>
      </c>
      <c r="B1803" s="100" t="e">
        <f ca="1">IFERROR(__xludf.DUMMYFUNCTION("""COMPUTED_VALUE"""),"SANDAUD")</f>
        <v>#NAME?</v>
      </c>
      <c r="C1803" s="100" t="e">
        <f ca="1">IFERROR(__xludf.DUMMYFUNCTION("""COMPUTED_VALUE"""),"0.63590000")</f>
        <v>#NAME?</v>
      </c>
      <c r="D1803" s="100" t="e">
        <f t="shared" ca="1" si="322"/>
        <v>#NAME?</v>
      </c>
      <c r="E1803" s="100" t="e">
        <f t="shared" ca="1" si="322"/>
        <v>#NAME?</v>
      </c>
      <c r="F1803" s="100" t="e">
        <f t="shared" ca="1" si="317"/>
        <v>#NAME?</v>
      </c>
      <c r="G1803" s="100" t="e">
        <f t="shared" ca="1" si="318"/>
        <v>#NAME?</v>
      </c>
      <c r="H1803" s="100" t="e">
        <f t="shared" ca="1" si="319"/>
        <v>#NAME?</v>
      </c>
      <c r="I1803" s="100" t="e">
        <f t="shared" ca="1" si="320"/>
        <v>#NAME?</v>
      </c>
      <c r="J1803" s="100" t="e">
        <f t="shared" ca="1" si="323"/>
        <v>#NAME?</v>
      </c>
      <c r="K1803" s="100" t="e">
        <f t="shared" ca="1" si="321"/>
        <v>#NAME?</v>
      </c>
      <c r="L1803" s="100"/>
      <c r="M1803" s="100"/>
      <c r="N1803" s="100"/>
      <c r="O1803" s="100"/>
      <c r="P1803" s="100"/>
      <c r="Q1803" s="100"/>
      <c r="R1803" s="100"/>
      <c r="S1803" s="100"/>
      <c r="T1803" s="100"/>
      <c r="U1803" s="100"/>
      <c r="V1803" s="100"/>
      <c r="W1803" s="100"/>
      <c r="X1803" s="100"/>
      <c r="Y1803" s="100"/>
      <c r="Z1803" s="100"/>
    </row>
    <row r="1804" spans="1:26">
      <c r="A1804" s="100" t="e">
        <f ca="1">IFERROR(__xludf.DUMMYFUNCTION("""COMPUTED_VALUE"""),58785139)</f>
        <v>#NAME?</v>
      </c>
      <c r="B1804" s="100" t="e">
        <f ca="1">IFERROR(__xludf.DUMMYFUNCTION("""COMPUTED_VALUE"""),"SLPBIDR")</f>
        <v>#NAME?</v>
      </c>
      <c r="C1804" s="100" t="e">
        <f ca="1">IFERROR(__xludf.DUMMYFUNCTION("""COMPUTED_VALUE"""),"32.30")</f>
        <v>#NAME?</v>
      </c>
      <c r="D1804" s="100" t="e">
        <f t="shared" ca="1" si="322"/>
        <v>#NAME?</v>
      </c>
      <c r="E1804" s="100" t="e">
        <f t="shared" ca="1" si="322"/>
        <v>#NAME?</v>
      </c>
      <c r="F1804" s="100" t="e">
        <f t="shared" ca="1" si="317"/>
        <v>#NAME?</v>
      </c>
      <c r="G1804" s="100" t="e">
        <f t="shared" ca="1" si="318"/>
        <v>#NAME?</v>
      </c>
      <c r="H1804" s="100" t="e">
        <f t="shared" ca="1" si="319"/>
        <v>#NAME?</v>
      </c>
      <c r="I1804" s="100" t="e">
        <f t="shared" ca="1" si="320"/>
        <v>#NAME?</v>
      </c>
      <c r="J1804" s="100" t="e">
        <f t="shared" ca="1" si="323"/>
        <v>#NAME?</v>
      </c>
      <c r="K1804" s="100" t="e">
        <f t="shared" ca="1" si="321"/>
        <v>#NAME?</v>
      </c>
      <c r="L1804" s="100"/>
      <c r="M1804" s="100"/>
      <c r="N1804" s="100"/>
      <c r="O1804" s="100"/>
      <c r="P1804" s="100"/>
      <c r="Q1804" s="100"/>
      <c r="R1804" s="100"/>
      <c r="S1804" s="100"/>
      <c r="T1804" s="100"/>
      <c r="U1804" s="100"/>
      <c r="V1804" s="100"/>
      <c r="W1804" s="100"/>
      <c r="X1804" s="100"/>
      <c r="Y1804" s="100"/>
      <c r="Z1804" s="100"/>
    </row>
    <row r="1805" spans="1:26">
      <c r="A1805" s="100" t="e">
        <f ca="1">IFERROR(__xludf.DUMMYFUNCTION("""COMPUTED_VALUE"""),58785140)</f>
        <v>#NAME?</v>
      </c>
      <c r="B1805" s="100" t="e">
        <f ca="1">IFERROR(__xludf.DUMMYFUNCTION("""COMPUTED_VALUE"""),"ANYBTC")</f>
        <v>#NAME?</v>
      </c>
      <c r="C1805" s="100" t="e">
        <f ca="1">IFERROR(__xludf.DUMMYFUNCTION("""COMPUTED_VALUE"""),"0.00000000")</f>
        <v>#NAME?</v>
      </c>
      <c r="D1805" s="100" t="e">
        <f t="shared" ca="1" si="322"/>
        <v>#NAME?</v>
      </c>
      <c r="E1805" s="100" t="e">
        <f t="shared" ca="1" si="322"/>
        <v>#NAME?</v>
      </c>
      <c r="F1805" s="100" t="e">
        <f t="shared" ca="1" si="317"/>
        <v>#NAME?</v>
      </c>
      <c r="G1805" s="100" t="e">
        <f t="shared" ca="1" si="318"/>
        <v>#NAME?</v>
      </c>
      <c r="H1805" s="100" t="e">
        <f t="shared" ca="1" si="319"/>
        <v>#NAME?</v>
      </c>
      <c r="I1805" s="100" t="e">
        <f t="shared" ca="1" si="320"/>
        <v>#NAME?</v>
      </c>
      <c r="J1805" s="100" t="e">
        <f t="shared" ca="1" si="323"/>
        <v>#NAME?</v>
      </c>
      <c r="K1805" s="100" t="e">
        <f t="shared" ca="1" si="321"/>
        <v>#NAME?</v>
      </c>
      <c r="L1805" s="100"/>
      <c r="M1805" s="100"/>
      <c r="N1805" s="100"/>
      <c r="O1805" s="100"/>
      <c r="P1805" s="100"/>
      <c r="Q1805" s="100"/>
      <c r="R1805" s="100"/>
      <c r="S1805" s="100"/>
      <c r="T1805" s="100"/>
      <c r="U1805" s="100"/>
      <c r="V1805" s="100"/>
      <c r="W1805" s="100"/>
      <c r="X1805" s="100"/>
      <c r="Y1805" s="100"/>
      <c r="Z1805" s="100"/>
    </row>
    <row r="1806" spans="1:26">
      <c r="A1806" s="100" t="e">
        <f ca="1">IFERROR(__xludf.DUMMYFUNCTION("""COMPUTED_VALUE"""),58785141)</f>
        <v>#NAME?</v>
      </c>
      <c r="B1806" s="100" t="e">
        <f ca="1">IFERROR(__xludf.DUMMYFUNCTION("""COMPUTED_VALUE"""),"ANYBUSD")</f>
        <v>#NAME?</v>
      </c>
      <c r="C1806" s="100" t="e">
        <f ca="1">IFERROR(__xludf.DUMMYFUNCTION("""COMPUTED_VALUE"""),"0.00000000")</f>
        <v>#NAME?</v>
      </c>
      <c r="D1806" s="100" t="e">
        <f t="shared" ca="1" si="322"/>
        <v>#NAME?</v>
      </c>
      <c r="E1806" s="100" t="e">
        <f t="shared" ca="1" si="322"/>
        <v>#NAME?</v>
      </c>
      <c r="F1806" s="100" t="e">
        <f t="shared" ca="1" si="317"/>
        <v>#NAME?</v>
      </c>
      <c r="G1806" s="100" t="e">
        <f t="shared" ca="1" si="318"/>
        <v>#NAME?</v>
      </c>
      <c r="H1806" s="100" t="e">
        <f t="shared" ca="1" si="319"/>
        <v>#NAME?</v>
      </c>
      <c r="I1806" s="100" t="e">
        <f t="shared" ca="1" si="320"/>
        <v>#NAME?</v>
      </c>
      <c r="J1806" s="100" t="e">
        <f t="shared" ca="1" si="323"/>
        <v>#NAME?</v>
      </c>
      <c r="K1806" s="100" t="e">
        <f t="shared" ca="1" si="321"/>
        <v>#NAME?</v>
      </c>
      <c r="L1806" s="100"/>
      <c r="M1806" s="100"/>
      <c r="N1806" s="100"/>
      <c r="O1806" s="100"/>
      <c r="P1806" s="100"/>
      <c r="Q1806" s="100"/>
      <c r="R1806" s="100"/>
      <c r="S1806" s="100"/>
      <c r="T1806" s="100"/>
      <c r="U1806" s="100"/>
      <c r="V1806" s="100"/>
      <c r="W1806" s="100"/>
      <c r="X1806" s="100"/>
      <c r="Y1806" s="100"/>
      <c r="Z1806" s="100"/>
    </row>
    <row r="1807" spans="1:26">
      <c r="A1807" s="100" t="e">
        <f ca="1">IFERROR(__xludf.DUMMYFUNCTION("""COMPUTED_VALUE"""),58785142)</f>
        <v>#NAME?</v>
      </c>
      <c r="B1807" s="100" t="e">
        <f ca="1">IFERROR(__xludf.DUMMYFUNCTION("""COMPUTED_VALUE"""),"ANYUSDT")</f>
        <v>#NAME?</v>
      </c>
      <c r="C1807" s="100" t="e">
        <f ca="1">IFERROR(__xludf.DUMMYFUNCTION("""COMPUTED_VALUE"""),"0.00000000")</f>
        <v>#NAME?</v>
      </c>
      <c r="D1807" s="100" t="e">
        <f t="shared" ca="1" si="322"/>
        <v>#NAME?</v>
      </c>
      <c r="E1807" s="100" t="e">
        <f t="shared" ca="1" si="322"/>
        <v>#NAME?</v>
      </c>
      <c r="F1807" s="100" t="e">
        <f t="shared" ca="1" si="317"/>
        <v>#NAME?</v>
      </c>
      <c r="G1807" s="100" t="e">
        <f t="shared" ca="1" si="318"/>
        <v>#NAME?</v>
      </c>
      <c r="H1807" s="100" t="e">
        <f t="shared" ca="1" si="319"/>
        <v>#NAME?</v>
      </c>
      <c r="I1807" s="100" t="e">
        <f t="shared" ca="1" si="320"/>
        <v>#NAME?</v>
      </c>
      <c r="J1807" s="100" t="e">
        <f t="shared" ca="1" si="323"/>
        <v>#NAME?</v>
      </c>
      <c r="K1807" s="100" t="e">
        <f t="shared" ca="1" si="321"/>
        <v>#NAME?</v>
      </c>
      <c r="L1807" s="100"/>
      <c r="M1807" s="100"/>
      <c r="N1807" s="100"/>
      <c r="O1807" s="100"/>
      <c r="P1807" s="100"/>
      <c r="Q1807" s="100"/>
      <c r="R1807" s="100"/>
      <c r="S1807" s="100"/>
      <c r="T1807" s="100"/>
      <c r="U1807" s="100"/>
      <c r="V1807" s="100"/>
      <c r="W1807" s="100"/>
      <c r="X1807" s="100"/>
      <c r="Y1807" s="100"/>
      <c r="Z1807" s="100"/>
    </row>
    <row r="1808" spans="1:26">
      <c r="A1808" s="100" t="e">
        <f ca="1">IFERROR(__xludf.DUMMYFUNCTION("""COMPUTED_VALUE"""),58785143)</f>
        <v>#NAME?</v>
      </c>
      <c r="B1808" s="100" t="e">
        <f ca="1">IFERROR(__xludf.DUMMYFUNCTION("""COMPUTED_VALUE"""),"BICOBTC")</f>
        <v>#NAME?</v>
      </c>
      <c r="C1808" s="100" t="e">
        <f ca="1">IFERROR(__xludf.DUMMYFUNCTION("""COMPUTED_VALUE"""),"0.00000127")</f>
        <v>#NAME?</v>
      </c>
      <c r="D1808" s="100" t="e">
        <f t="shared" ca="1" si="322"/>
        <v>#NAME?</v>
      </c>
      <c r="E1808" s="100" t="e">
        <f t="shared" ca="1" si="322"/>
        <v>#NAME?</v>
      </c>
      <c r="F1808" s="100" t="e">
        <f t="shared" ca="1" si="317"/>
        <v>#NAME?</v>
      </c>
      <c r="G1808" s="100" t="e">
        <f t="shared" ca="1" si="318"/>
        <v>#NAME?</v>
      </c>
      <c r="H1808" s="100" t="e">
        <f t="shared" ca="1" si="319"/>
        <v>#NAME?</v>
      </c>
      <c r="I1808" s="100" t="e">
        <f t="shared" ca="1" si="320"/>
        <v>#NAME?</v>
      </c>
      <c r="J1808" s="100" t="e">
        <f ca="1">IFERROR(__xludf.DUMMYFUNCTION("""COMPUTED_VALUE"""),"-3.053")</f>
        <v>#NAME?</v>
      </c>
      <c r="K1808" s="100" t="e">
        <f t="shared" ca="1" si="321"/>
        <v>#NAME?</v>
      </c>
      <c r="L1808" s="100"/>
      <c r="M1808" s="100"/>
      <c r="N1808" s="100"/>
      <c r="O1808" s="100"/>
      <c r="P1808" s="100"/>
      <c r="Q1808" s="100"/>
      <c r="R1808" s="100"/>
      <c r="S1808" s="100"/>
      <c r="T1808" s="100"/>
      <c r="U1808" s="100"/>
      <c r="V1808" s="100"/>
      <c r="W1808" s="100"/>
      <c r="X1808" s="100"/>
      <c r="Y1808" s="100"/>
      <c r="Z1808" s="100"/>
    </row>
    <row r="1809" spans="1:26">
      <c r="A1809" s="100" t="e">
        <f ca="1">IFERROR(__xludf.DUMMYFUNCTION("""COMPUTED_VALUE"""),58785144)</f>
        <v>#NAME?</v>
      </c>
      <c r="B1809" s="100" t="e">
        <f ca="1">IFERROR(__xludf.DUMMYFUNCTION("""COMPUTED_VALUE"""),"BICOBUSD")</f>
        <v>#NAME?</v>
      </c>
      <c r="C1809" s="100" t="e">
        <f ca="1">IFERROR(__xludf.DUMMYFUNCTION("""COMPUTED_VALUE"""),"0.25140000")</f>
        <v>#NAME?</v>
      </c>
      <c r="D1809" s="100" t="e">
        <f t="shared" ca="1" si="322"/>
        <v>#NAME?</v>
      </c>
      <c r="E1809" s="100" t="e">
        <f t="shared" ca="1" si="322"/>
        <v>#NAME?</v>
      </c>
      <c r="F1809" s="100" t="e">
        <f t="shared" ca="1" si="317"/>
        <v>#NAME?</v>
      </c>
      <c r="G1809" s="100" t="e">
        <f t="shared" ca="1" si="318"/>
        <v>#NAME?</v>
      </c>
      <c r="H1809" s="100" t="e">
        <f t="shared" ca="1" si="319"/>
        <v>#NAME?</v>
      </c>
      <c r="I1809" s="100" t="e">
        <f t="shared" ca="1" si="320"/>
        <v>#NAME?</v>
      </c>
      <c r="J1809" s="100" t="e">
        <f ca="1">IFERROR(__xludf.DUMMYFUNCTION("""COMPUTED_VALUE"""),"0")</f>
        <v>#NAME?</v>
      </c>
      <c r="K1809" s="100" t="e">
        <f t="shared" ca="1" si="321"/>
        <v>#NAME?</v>
      </c>
      <c r="L1809" s="100"/>
      <c r="M1809" s="100"/>
      <c r="N1809" s="100"/>
      <c r="O1809" s="100"/>
      <c r="P1809" s="100"/>
      <c r="Q1809" s="100"/>
      <c r="R1809" s="100"/>
      <c r="S1809" s="100"/>
      <c r="T1809" s="100"/>
      <c r="U1809" s="100"/>
      <c r="V1809" s="100"/>
      <c r="W1809" s="100"/>
      <c r="X1809" s="100"/>
      <c r="Y1809" s="100"/>
      <c r="Z1809" s="100"/>
    </row>
    <row r="1810" spans="1:26">
      <c r="A1810" s="100" t="e">
        <f ca="1">IFERROR(__xludf.DUMMYFUNCTION("""COMPUTED_VALUE"""),58785145)</f>
        <v>#NAME?</v>
      </c>
      <c r="B1810" s="100" t="e">
        <f ca="1">IFERROR(__xludf.DUMMYFUNCTION("""COMPUTED_VALUE"""),"BICOUSDT")</f>
        <v>#NAME?</v>
      </c>
      <c r="C1810" s="100" t="e">
        <f ca="1">IFERROR(__xludf.DUMMYFUNCTION("""COMPUTED_VALUE"""),"0.11200000")</f>
        <v>#NAME?</v>
      </c>
      <c r="D1810" s="100" t="e">
        <f t="shared" ca="1" si="322"/>
        <v>#NAME?</v>
      </c>
      <c r="E1810" s="100" t="e">
        <f t="shared" ca="1" si="322"/>
        <v>#NAME?</v>
      </c>
      <c r="F1810" s="100" t="e">
        <f t="shared" ca="1" si="317"/>
        <v>#NAME?</v>
      </c>
      <c r="G1810" s="100" t="e">
        <f t="shared" ca="1" si="318"/>
        <v>#NAME?</v>
      </c>
      <c r="H1810" s="100" t="e">
        <f t="shared" ca="1" si="319"/>
        <v>#NAME?</v>
      </c>
      <c r="I1810" s="100" t="e">
        <f t="shared" ca="1" si="320"/>
        <v>#NAME?</v>
      </c>
      <c r="J1810" s="100" t="e">
        <f ca="1">IFERROR(__xludf.DUMMYFUNCTION("""COMPUTED_VALUE"""),"-2.012")</f>
        <v>#NAME?</v>
      </c>
      <c r="K1810" s="100" t="e">
        <f t="shared" ca="1" si="321"/>
        <v>#NAME?</v>
      </c>
      <c r="L1810" s="100"/>
      <c r="M1810" s="100"/>
      <c r="N1810" s="100"/>
      <c r="O1810" s="100"/>
      <c r="P1810" s="100"/>
      <c r="Q1810" s="100"/>
      <c r="R1810" s="100"/>
      <c r="S1810" s="100"/>
      <c r="T1810" s="100"/>
      <c r="U1810" s="100"/>
      <c r="V1810" s="100"/>
      <c r="W1810" s="100"/>
      <c r="X1810" s="100"/>
      <c r="Y1810" s="100"/>
      <c r="Z1810" s="100"/>
    </row>
    <row r="1811" spans="1:26">
      <c r="A1811" s="100" t="e">
        <f ca="1">IFERROR(__xludf.DUMMYFUNCTION("""COMPUTED_VALUE"""),58785146)</f>
        <v>#NAME?</v>
      </c>
      <c r="B1811" s="100" t="e">
        <f ca="1">IFERROR(__xludf.DUMMYFUNCTION("""COMPUTED_VALUE"""),"FLUXBTC")</f>
        <v>#NAME?</v>
      </c>
      <c r="C1811" s="100" t="e">
        <f ca="1">IFERROR(__xludf.DUMMYFUNCTION("""COMPUTED_VALUE"""),"0.00000279")</f>
        <v>#NAME?</v>
      </c>
      <c r="D1811" s="100" t="e">
        <f t="shared" ca="1" si="322"/>
        <v>#NAME?</v>
      </c>
      <c r="E1811" s="100" t="e">
        <f t="shared" ca="1" si="322"/>
        <v>#NAME?</v>
      </c>
      <c r="F1811" s="100" t="e">
        <f t="shared" ca="1" si="317"/>
        <v>#NAME?</v>
      </c>
      <c r="G1811" s="100" t="e">
        <f t="shared" ca="1" si="318"/>
        <v>#NAME?</v>
      </c>
      <c r="H1811" s="100" t="e">
        <f t="shared" ca="1" si="319"/>
        <v>#NAME?</v>
      </c>
      <c r="I1811" s="100" t="e">
        <f t="shared" ca="1" si="320"/>
        <v>#NAME?</v>
      </c>
      <c r="J1811" s="100" t="e">
        <f ca="1">IFERROR(__xludf.DUMMYFUNCTION("""COMPUTED_VALUE"""),"-6.376")</f>
        <v>#NAME?</v>
      </c>
      <c r="K1811" s="100" t="e">
        <f t="shared" ca="1" si="321"/>
        <v>#NAME?</v>
      </c>
      <c r="L1811" s="100"/>
      <c r="M1811" s="100"/>
      <c r="N1811" s="100"/>
      <c r="O1811" s="100"/>
      <c r="P1811" s="100"/>
      <c r="Q1811" s="100"/>
      <c r="R1811" s="100"/>
      <c r="S1811" s="100"/>
      <c r="T1811" s="100"/>
      <c r="U1811" s="100"/>
      <c r="V1811" s="100"/>
      <c r="W1811" s="100"/>
      <c r="X1811" s="100"/>
      <c r="Y1811" s="100"/>
      <c r="Z1811" s="100"/>
    </row>
    <row r="1812" spans="1:26">
      <c r="A1812" s="100" t="e">
        <f ca="1">IFERROR(__xludf.DUMMYFUNCTION("""COMPUTED_VALUE"""),58785147)</f>
        <v>#NAME?</v>
      </c>
      <c r="B1812" s="100" t="e">
        <f ca="1">IFERROR(__xludf.DUMMYFUNCTION("""COMPUTED_VALUE"""),"FLUXBUSD")</f>
        <v>#NAME?</v>
      </c>
      <c r="C1812" s="100" t="e">
        <f ca="1">IFERROR(__xludf.DUMMYFUNCTION("""COMPUTED_VALUE"""),"0.32650000")</f>
        <v>#NAME?</v>
      </c>
      <c r="D1812" s="100" t="e">
        <f t="shared" ca="1" si="322"/>
        <v>#NAME?</v>
      </c>
      <c r="E1812" s="100" t="e">
        <f t="shared" ca="1" si="322"/>
        <v>#NAME?</v>
      </c>
      <c r="F1812" s="100" t="e">
        <f t="shared" ca="1" si="317"/>
        <v>#NAME?</v>
      </c>
      <c r="G1812" s="100" t="e">
        <f t="shared" ca="1" si="318"/>
        <v>#NAME?</v>
      </c>
      <c r="H1812" s="100" t="e">
        <f t="shared" ca="1" si="319"/>
        <v>#NAME?</v>
      </c>
      <c r="I1812" s="100" t="e">
        <f t="shared" ca="1" si="320"/>
        <v>#NAME?</v>
      </c>
      <c r="J1812" s="100" t="e">
        <f ca="1">IFERROR(__xludf.DUMMYFUNCTION("""COMPUTED_VALUE"""),"0")</f>
        <v>#NAME?</v>
      </c>
      <c r="K1812" s="100" t="e">
        <f t="shared" ca="1" si="321"/>
        <v>#NAME?</v>
      </c>
      <c r="L1812" s="100"/>
      <c r="M1812" s="100"/>
      <c r="N1812" s="100"/>
      <c r="O1812" s="100"/>
      <c r="P1812" s="100"/>
      <c r="Q1812" s="100"/>
      <c r="R1812" s="100"/>
      <c r="S1812" s="100"/>
      <c r="T1812" s="100"/>
      <c r="U1812" s="100"/>
      <c r="V1812" s="100"/>
      <c r="W1812" s="100"/>
      <c r="X1812" s="100"/>
      <c r="Y1812" s="100"/>
      <c r="Z1812" s="100"/>
    </row>
    <row r="1813" spans="1:26">
      <c r="A1813" s="100" t="e">
        <f ca="1">IFERROR(__xludf.DUMMYFUNCTION("""COMPUTED_VALUE"""),58785148)</f>
        <v>#NAME?</v>
      </c>
      <c r="B1813" s="100" t="e">
        <f ca="1">IFERROR(__xludf.DUMMYFUNCTION("""COMPUTED_VALUE"""),"FLUXUSDT")</f>
        <v>#NAME?</v>
      </c>
      <c r="C1813" s="100" t="e">
        <f ca="1">IFERROR(__xludf.DUMMYFUNCTION("""COMPUTED_VALUE"""),"0.24770000")</f>
        <v>#NAME?</v>
      </c>
      <c r="D1813" s="100" t="e">
        <f t="shared" ca="1" si="322"/>
        <v>#NAME?</v>
      </c>
      <c r="E1813" s="100" t="e">
        <f t="shared" ca="1" si="322"/>
        <v>#NAME?</v>
      </c>
      <c r="F1813" s="100" t="e">
        <f t="shared" ca="1" si="317"/>
        <v>#NAME?</v>
      </c>
      <c r="G1813" s="100" t="e">
        <f t="shared" ca="1" si="318"/>
        <v>#NAME?</v>
      </c>
      <c r="H1813" s="100" t="e">
        <f t="shared" ca="1" si="319"/>
        <v>#NAME?</v>
      </c>
      <c r="I1813" s="100" t="e">
        <f t="shared" ca="1" si="320"/>
        <v>#NAME?</v>
      </c>
      <c r="J1813" s="100" t="e">
        <f ca="1">IFERROR(__xludf.DUMMYFUNCTION("""COMPUTED_VALUE"""),"-5.132")</f>
        <v>#NAME?</v>
      </c>
      <c r="K1813" s="100" t="e">
        <f t="shared" ca="1" si="321"/>
        <v>#NAME?</v>
      </c>
      <c r="L1813" s="100"/>
      <c r="M1813" s="100"/>
      <c r="N1813" s="100"/>
      <c r="O1813" s="100"/>
      <c r="P1813" s="100"/>
      <c r="Q1813" s="100"/>
      <c r="R1813" s="100"/>
      <c r="S1813" s="100"/>
      <c r="T1813" s="100"/>
      <c r="U1813" s="100"/>
      <c r="V1813" s="100"/>
      <c r="W1813" s="100"/>
      <c r="X1813" s="100"/>
      <c r="Y1813" s="100"/>
      <c r="Z1813" s="100"/>
    </row>
    <row r="1814" spans="1:26">
      <c r="A1814" s="100" t="e">
        <f ca="1">IFERROR(__xludf.DUMMYFUNCTION("""COMPUTED_VALUE"""),58785149)</f>
        <v>#NAME?</v>
      </c>
      <c r="B1814" s="100" t="e">
        <f ca="1">IFERROR(__xludf.DUMMYFUNCTION("""COMPUTED_VALUE"""),"ALICETRY")</f>
        <v>#NAME?</v>
      </c>
      <c r="C1814" s="100" t="e">
        <f ca="1">IFERROR(__xludf.DUMMYFUNCTION("""COMPUTED_VALUE"""),"16.41000000")</f>
        <v>#NAME?</v>
      </c>
      <c r="D1814" s="100" t="e">
        <f t="shared" ca="1" si="322"/>
        <v>#NAME?</v>
      </c>
      <c r="E1814" s="100" t="e">
        <f t="shared" ca="1" si="322"/>
        <v>#NAME?</v>
      </c>
      <c r="F1814" s="100" t="e">
        <f t="shared" ca="1" si="317"/>
        <v>#NAME?</v>
      </c>
      <c r="G1814" s="100" t="e">
        <f t="shared" ca="1" si="318"/>
        <v>#NAME?</v>
      </c>
      <c r="H1814" s="100" t="e">
        <f t="shared" ca="1" si="319"/>
        <v>#NAME?</v>
      </c>
      <c r="I1814" s="100" t="e">
        <f t="shared" ca="1" si="320"/>
        <v>#NAME?</v>
      </c>
      <c r="J1814" s="100" t="e">
        <f ca="1">IFERROR(__xludf.DUMMYFUNCTION("""COMPUTED_VALUE"""),"-0.545")</f>
        <v>#NAME?</v>
      </c>
      <c r="K1814" s="100" t="e">
        <f t="shared" ca="1" si="321"/>
        <v>#NAME?</v>
      </c>
      <c r="L1814" s="100"/>
      <c r="M1814" s="100"/>
      <c r="N1814" s="100"/>
      <c r="O1814" s="100"/>
      <c r="P1814" s="100"/>
      <c r="Q1814" s="100"/>
      <c r="R1814" s="100"/>
      <c r="S1814" s="100"/>
      <c r="T1814" s="100"/>
      <c r="U1814" s="100"/>
      <c r="V1814" s="100"/>
      <c r="W1814" s="100"/>
      <c r="X1814" s="100"/>
      <c r="Y1814" s="100"/>
      <c r="Z1814" s="100"/>
    </row>
    <row r="1815" spans="1:26">
      <c r="A1815" s="100" t="e">
        <f ca="1">IFERROR(__xludf.DUMMYFUNCTION("""COMPUTED_VALUE"""),58785150)</f>
        <v>#NAME?</v>
      </c>
      <c r="B1815" s="100" t="e">
        <f ca="1">IFERROR(__xludf.DUMMYFUNCTION("""COMPUTED_VALUE"""),"FXSUSDT")</f>
        <v>#NAME?</v>
      </c>
      <c r="C1815" s="100" t="e">
        <f ca="1">IFERROR(__xludf.DUMMYFUNCTION("""COMPUTED_VALUE"""),"1.88200000")</f>
        <v>#NAME?</v>
      </c>
      <c r="D1815" s="100" t="e">
        <f t="shared" ca="1" si="322"/>
        <v>#NAME?</v>
      </c>
      <c r="E1815" s="100" t="e">
        <f t="shared" ca="1" si="322"/>
        <v>#NAME?</v>
      </c>
      <c r="F1815" s="100" t="e">
        <f t="shared" ca="1" si="317"/>
        <v>#NAME?</v>
      </c>
      <c r="G1815" s="100" t="e">
        <f t="shared" ca="1" si="318"/>
        <v>#NAME?</v>
      </c>
      <c r="H1815" s="100" t="e">
        <f t="shared" ca="1" si="319"/>
        <v>#NAME?</v>
      </c>
      <c r="I1815" s="100" t="e">
        <f t="shared" ca="1" si="320"/>
        <v>#NAME?</v>
      </c>
      <c r="J1815" s="100" t="e">
        <f ca="1">IFERROR(__xludf.DUMMYFUNCTION("""COMPUTED_VALUE"""),"-0.423")</f>
        <v>#NAME?</v>
      </c>
      <c r="K1815" s="100" t="e">
        <f t="shared" ca="1" si="321"/>
        <v>#NAME?</v>
      </c>
      <c r="L1815" s="100"/>
      <c r="M1815" s="100"/>
      <c r="N1815" s="100"/>
      <c r="O1815" s="100"/>
      <c r="P1815" s="100"/>
      <c r="Q1815" s="100"/>
      <c r="R1815" s="100"/>
      <c r="S1815" s="100"/>
      <c r="T1815" s="100"/>
      <c r="U1815" s="100"/>
      <c r="V1815" s="100"/>
      <c r="W1815" s="100"/>
      <c r="X1815" s="100"/>
      <c r="Y1815" s="100"/>
      <c r="Z1815" s="100"/>
    </row>
    <row r="1816" spans="1:26">
      <c r="A1816" s="100" t="e">
        <f ca="1">IFERROR(__xludf.DUMMYFUNCTION("""COMPUTED_VALUE"""),58785151)</f>
        <v>#NAME?</v>
      </c>
      <c r="B1816" s="100" t="e">
        <f ca="1">IFERROR(__xludf.DUMMYFUNCTION("""COMPUTED_VALUE"""),"GALABRL")</f>
        <v>#NAME?</v>
      </c>
      <c r="C1816" s="100" t="e">
        <f ca="1">IFERROR(__xludf.DUMMYFUNCTION("""COMPUTED_VALUE"""),"0.09250000")</f>
        <v>#NAME?</v>
      </c>
      <c r="D1816" s="100" t="e">
        <f t="shared" ca="1" si="322"/>
        <v>#NAME?</v>
      </c>
      <c r="E1816" s="100" t="e">
        <f t="shared" ca="1" si="322"/>
        <v>#NAME?</v>
      </c>
      <c r="F1816" s="100" t="e">
        <f t="shared" ca="1" si="317"/>
        <v>#NAME?</v>
      </c>
      <c r="G1816" s="100" t="e">
        <f t="shared" ca="1" si="318"/>
        <v>#NAME?</v>
      </c>
      <c r="H1816" s="100" t="e">
        <f t="shared" ca="1" si="319"/>
        <v>#NAME?</v>
      </c>
      <c r="I1816" s="100" t="e">
        <f t="shared" ca="1" si="320"/>
        <v>#NAME?</v>
      </c>
      <c r="J1816" s="100" t="e">
        <f ca="1">IFERROR(__xludf.DUMMYFUNCTION("""COMPUTED_VALUE"""),"-2.632")</f>
        <v>#NAME?</v>
      </c>
      <c r="K1816" s="100" t="e">
        <f t="shared" ca="1" si="321"/>
        <v>#NAME?</v>
      </c>
      <c r="L1816" s="100"/>
      <c r="M1816" s="100"/>
      <c r="N1816" s="100"/>
      <c r="O1816" s="100"/>
      <c r="P1816" s="100"/>
      <c r="Q1816" s="100"/>
      <c r="R1816" s="100"/>
      <c r="S1816" s="100"/>
      <c r="T1816" s="100"/>
      <c r="U1816" s="100"/>
      <c r="V1816" s="100"/>
      <c r="W1816" s="100"/>
      <c r="X1816" s="100"/>
      <c r="Y1816" s="100"/>
      <c r="Z1816" s="100"/>
    </row>
    <row r="1817" spans="1:26">
      <c r="A1817" s="100" t="e">
        <f ca="1">IFERROR(__xludf.DUMMYFUNCTION("""COMPUTED_VALUE"""),58785152)</f>
        <v>#NAME?</v>
      </c>
      <c r="B1817" s="100" t="e">
        <f ca="1">IFERROR(__xludf.DUMMYFUNCTION("""COMPUTED_VALUE"""),"GALATRY")</f>
        <v>#NAME?</v>
      </c>
      <c r="C1817" s="100" t="e">
        <f ca="1">IFERROR(__xludf.DUMMYFUNCTION("""COMPUTED_VALUE"""),"0.60930000")</f>
        <v>#NAME?</v>
      </c>
      <c r="D1817" s="100" t="e">
        <f t="shared" ca="1" si="322"/>
        <v>#NAME?</v>
      </c>
      <c r="E1817" s="100" t="e">
        <f t="shared" ca="1" si="322"/>
        <v>#NAME?</v>
      </c>
      <c r="F1817" s="100" t="e">
        <f t="shared" ca="1" si="317"/>
        <v>#NAME?</v>
      </c>
      <c r="G1817" s="100" t="e">
        <f t="shared" ca="1" si="318"/>
        <v>#NAME?</v>
      </c>
      <c r="H1817" s="100" t="e">
        <f t="shared" ca="1" si="319"/>
        <v>#NAME?</v>
      </c>
      <c r="I1817" s="100" t="e">
        <f t="shared" ca="1" si="320"/>
        <v>#NAME?</v>
      </c>
      <c r="J1817" s="100" t="e">
        <f ca="1">IFERROR(__xludf.DUMMYFUNCTION("""COMPUTED_VALUE"""),"-2.089")</f>
        <v>#NAME?</v>
      </c>
      <c r="K1817" s="100" t="e">
        <f t="shared" ca="1" si="321"/>
        <v>#NAME?</v>
      </c>
      <c r="L1817" s="100"/>
      <c r="M1817" s="100"/>
      <c r="N1817" s="100"/>
      <c r="O1817" s="100"/>
      <c r="P1817" s="100"/>
      <c r="Q1817" s="100"/>
      <c r="R1817" s="100"/>
      <c r="S1817" s="100"/>
      <c r="T1817" s="100"/>
      <c r="U1817" s="100"/>
      <c r="V1817" s="100"/>
      <c r="W1817" s="100"/>
      <c r="X1817" s="100"/>
      <c r="Y1817" s="100"/>
      <c r="Z1817" s="100"/>
    </row>
    <row r="1818" spans="1:26">
      <c r="A1818" s="100" t="e">
        <f ca="1">IFERROR(__xludf.DUMMYFUNCTION("""COMPUTED_VALUE"""),58785153)</f>
        <v>#NAME?</v>
      </c>
      <c r="B1818" s="100" t="e">
        <f ca="1">IFERROR(__xludf.DUMMYFUNCTION("""COMPUTED_VALUE"""),"LUNATRY")</f>
        <v>#NAME?</v>
      </c>
      <c r="C1818" s="100" t="e">
        <f ca="1">IFERROR(__xludf.DUMMYFUNCTION("""COMPUTED_VALUE"""),"6.30000000")</f>
        <v>#NAME?</v>
      </c>
      <c r="D1818" s="100" t="e">
        <f t="shared" ca="1" si="322"/>
        <v>#NAME?</v>
      </c>
      <c r="E1818" s="100" t="e">
        <f t="shared" ca="1" si="322"/>
        <v>#NAME?</v>
      </c>
      <c r="F1818" s="100" t="e">
        <f t="shared" ca="1" si="317"/>
        <v>#NAME?</v>
      </c>
      <c r="G1818" s="100" t="e">
        <f t="shared" ca="1" si="318"/>
        <v>#NAME?</v>
      </c>
      <c r="H1818" s="100" t="e">
        <f t="shared" ca="1" si="319"/>
        <v>#NAME?</v>
      </c>
      <c r="I1818" s="100" t="e">
        <f t="shared" ca="1" si="320"/>
        <v>#NAME?</v>
      </c>
      <c r="J1818" s="100" t="e">
        <f ca="1">IFERROR(__xludf.DUMMYFUNCTION("""COMPUTED_VALUE"""),"-3.817")</f>
        <v>#NAME?</v>
      </c>
      <c r="K1818" s="100" t="e">
        <f t="shared" ca="1" si="321"/>
        <v>#NAME?</v>
      </c>
      <c r="L1818" s="100"/>
      <c r="M1818" s="100"/>
      <c r="N1818" s="100"/>
      <c r="O1818" s="100"/>
      <c r="P1818" s="100"/>
      <c r="Q1818" s="100"/>
      <c r="R1818" s="100"/>
      <c r="S1818" s="100"/>
      <c r="T1818" s="100"/>
      <c r="U1818" s="100"/>
      <c r="V1818" s="100"/>
      <c r="W1818" s="100"/>
      <c r="X1818" s="100"/>
      <c r="Y1818" s="100"/>
      <c r="Z1818" s="100"/>
    </row>
    <row r="1819" spans="1:26">
      <c r="A1819" s="100" t="e">
        <f ca="1">IFERROR(__xludf.DUMMYFUNCTION("""COMPUTED_VALUE"""),58785154)</f>
        <v>#NAME?</v>
      </c>
      <c r="B1819" s="100" t="e">
        <f ca="1">IFERROR(__xludf.DUMMYFUNCTION("""COMPUTED_VALUE"""),"REQBUSD")</f>
        <v>#NAME?</v>
      </c>
      <c r="C1819" s="100" t="e">
        <f ca="1">IFERROR(__xludf.DUMMYFUNCTION("""COMPUTED_VALUE"""),"0.06330000")</f>
        <v>#NAME?</v>
      </c>
      <c r="D1819" s="100" t="e">
        <f t="shared" ca="1" si="322"/>
        <v>#NAME?</v>
      </c>
      <c r="E1819" s="100" t="e">
        <f t="shared" ca="1" si="322"/>
        <v>#NAME?</v>
      </c>
      <c r="F1819" s="100" t="e">
        <f t="shared" ca="1" si="317"/>
        <v>#NAME?</v>
      </c>
      <c r="G1819" s="100" t="e">
        <f t="shared" ca="1" si="318"/>
        <v>#NAME?</v>
      </c>
      <c r="H1819" s="100" t="e">
        <f t="shared" ca="1" si="319"/>
        <v>#NAME?</v>
      </c>
      <c r="I1819" s="100" t="e">
        <f t="shared" ca="1" si="320"/>
        <v>#NAME?</v>
      </c>
      <c r="J1819" s="100" t="e">
        <f t="shared" ref="J1819:J1825" ca="1" si="324">IFERROR(__xludf.DUMMYFUNCTION("""COMPUTED_VALUE"""),"0")</f>
        <v>#NAME?</v>
      </c>
      <c r="K1819" s="100" t="e">
        <f t="shared" ca="1" si="321"/>
        <v>#NAME?</v>
      </c>
      <c r="L1819" s="100"/>
      <c r="M1819" s="100"/>
      <c r="N1819" s="100"/>
      <c r="O1819" s="100"/>
      <c r="P1819" s="100"/>
      <c r="Q1819" s="100"/>
      <c r="R1819" s="100"/>
      <c r="S1819" s="100"/>
      <c r="T1819" s="100"/>
      <c r="U1819" s="100"/>
      <c r="V1819" s="100"/>
      <c r="W1819" s="100"/>
      <c r="X1819" s="100"/>
      <c r="Y1819" s="100"/>
      <c r="Z1819" s="100"/>
    </row>
    <row r="1820" spans="1:26">
      <c r="A1820" s="100" t="e">
        <f ca="1">IFERROR(__xludf.DUMMYFUNCTION("""COMPUTED_VALUE"""),58785155)</f>
        <v>#NAME?</v>
      </c>
      <c r="B1820" s="100" t="e">
        <f ca="1">IFERROR(__xludf.DUMMYFUNCTION("""COMPUTED_VALUE"""),"SANDBRL")</f>
        <v>#NAME?</v>
      </c>
      <c r="C1820" s="100" t="e">
        <f ca="1">IFERROR(__xludf.DUMMYFUNCTION("""COMPUTED_VALUE"""),"1.80700000")</f>
        <v>#NAME?</v>
      </c>
      <c r="D1820" s="100" t="e">
        <f t="shared" ca="1" si="322"/>
        <v>#NAME?</v>
      </c>
      <c r="E1820" s="100" t="e">
        <f t="shared" ca="1" si="322"/>
        <v>#NAME?</v>
      </c>
      <c r="F1820" s="100" t="e">
        <f t="shared" ca="1" si="317"/>
        <v>#NAME?</v>
      </c>
      <c r="G1820" s="100" t="e">
        <f t="shared" ca="1" si="318"/>
        <v>#NAME?</v>
      </c>
      <c r="H1820" s="100" t="e">
        <f t="shared" ca="1" si="319"/>
        <v>#NAME?</v>
      </c>
      <c r="I1820" s="100" t="e">
        <f t="shared" ca="1" si="320"/>
        <v>#NAME?</v>
      </c>
      <c r="J1820" s="100" t="e">
        <f t="shared" ca="1" si="324"/>
        <v>#NAME?</v>
      </c>
      <c r="K1820" s="100" t="e">
        <f t="shared" ca="1" si="321"/>
        <v>#NAME?</v>
      </c>
      <c r="L1820" s="100"/>
      <c r="M1820" s="100"/>
      <c r="N1820" s="100"/>
      <c r="O1820" s="100"/>
      <c r="P1820" s="100"/>
      <c r="Q1820" s="100"/>
      <c r="R1820" s="100"/>
      <c r="S1820" s="100"/>
      <c r="T1820" s="100"/>
      <c r="U1820" s="100"/>
      <c r="V1820" s="100"/>
      <c r="W1820" s="100"/>
      <c r="X1820" s="100"/>
      <c r="Y1820" s="100"/>
      <c r="Z1820" s="100"/>
    </row>
    <row r="1821" spans="1:26">
      <c r="A1821" s="100" t="e">
        <f ca="1">IFERROR(__xludf.DUMMYFUNCTION("""COMPUTED_VALUE"""),58785156)</f>
        <v>#NAME?</v>
      </c>
      <c r="B1821" s="100" t="e">
        <f ca="1">IFERROR(__xludf.DUMMYFUNCTION("""COMPUTED_VALUE"""),"MANABIDR")</f>
        <v>#NAME?</v>
      </c>
      <c r="C1821" s="100" t="e">
        <f ca="1">IFERROR(__xludf.DUMMYFUNCTION("""COMPUTED_VALUE"""),"10781.00")</f>
        <v>#NAME?</v>
      </c>
      <c r="D1821" s="100" t="e">
        <f t="shared" ca="1" si="322"/>
        <v>#NAME?</v>
      </c>
      <c r="E1821" s="100" t="e">
        <f t="shared" ca="1" si="322"/>
        <v>#NAME?</v>
      </c>
      <c r="F1821" s="100" t="e">
        <f t="shared" ca="1" si="317"/>
        <v>#NAME?</v>
      </c>
      <c r="G1821" s="100" t="e">
        <f t="shared" ca="1" si="318"/>
        <v>#NAME?</v>
      </c>
      <c r="H1821" s="100" t="e">
        <f t="shared" ca="1" si="319"/>
        <v>#NAME?</v>
      </c>
      <c r="I1821" s="100" t="e">
        <f t="shared" ca="1" si="320"/>
        <v>#NAME?</v>
      </c>
      <c r="J1821" s="100" t="e">
        <f t="shared" ca="1" si="324"/>
        <v>#NAME?</v>
      </c>
      <c r="K1821" s="100" t="e">
        <f t="shared" ca="1" si="321"/>
        <v>#NAME?</v>
      </c>
      <c r="L1821" s="100"/>
      <c r="M1821" s="100"/>
      <c r="N1821" s="100"/>
      <c r="O1821" s="100"/>
      <c r="P1821" s="100"/>
      <c r="Q1821" s="100"/>
      <c r="R1821" s="100"/>
      <c r="S1821" s="100"/>
      <c r="T1821" s="100"/>
      <c r="U1821" s="100"/>
      <c r="V1821" s="100"/>
      <c r="W1821" s="100"/>
      <c r="X1821" s="100"/>
      <c r="Y1821" s="100"/>
      <c r="Z1821" s="100"/>
    </row>
    <row r="1822" spans="1:26">
      <c r="A1822" s="100" t="e">
        <f ca="1">IFERROR(__xludf.DUMMYFUNCTION("""COMPUTED_VALUE"""),58785157)</f>
        <v>#NAME?</v>
      </c>
      <c r="B1822" s="100" t="e">
        <f ca="1">IFERROR(__xludf.DUMMYFUNCTION("""COMPUTED_VALUE"""),"SANDBIDR")</f>
        <v>#NAME?</v>
      </c>
      <c r="C1822" s="100" t="e">
        <f ca="1">IFERROR(__xludf.DUMMYFUNCTION("""COMPUTED_VALUE"""),"6598.00")</f>
        <v>#NAME?</v>
      </c>
      <c r="D1822" s="100" t="e">
        <f t="shared" ref="D1822:E1841" ca="1" si="325">IFERROR(__xludf.DUMMYFUNCTION("""COMPUTED_VALUE"""),"-")</f>
        <v>#NAME?</v>
      </c>
      <c r="E1822" s="100" t="e">
        <f t="shared" ca="1" si="325"/>
        <v>#NAME?</v>
      </c>
      <c r="F1822" s="100" t="e">
        <f t="shared" ca="1" si="317"/>
        <v>#NAME?</v>
      </c>
      <c r="G1822" s="100" t="e">
        <f t="shared" ca="1" si="318"/>
        <v>#NAME?</v>
      </c>
      <c r="H1822" s="100" t="e">
        <f t="shared" ca="1" si="319"/>
        <v>#NAME?</v>
      </c>
      <c r="I1822" s="100" t="e">
        <f t="shared" ca="1" si="320"/>
        <v>#NAME?</v>
      </c>
      <c r="J1822" s="100" t="e">
        <f t="shared" ca="1" si="324"/>
        <v>#NAME?</v>
      </c>
      <c r="K1822" s="100" t="e">
        <f t="shared" ca="1" si="321"/>
        <v>#NAME?</v>
      </c>
      <c r="L1822" s="100"/>
      <c r="M1822" s="100"/>
      <c r="N1822" s="100"/>
      <c r="O1822" s="100"/>
      <c r="P1822" s="100"/>
      <c r="Q1822" s="100"/>
      <c r="R1822" s="100"/>
      <c r="S1822" s="100"/>
      <c r="T1822" s="100"/>
      <c r="U1822" s="100"/>
      <c r="V1822" s="100"/>
      <c r="W1822" s="100"/>
      <c r="X1822" s="100"/>
      <c r="Y1822" s="100"/>
      <c r="Z1822" s="100"/>
    </row>
    <row r="1823" spans="1:26">
      <c r="A1823" s="100" t="e">
        <f ca="1">IFERROR(__xludf.DUMMYFUNCTION("""COMPUTED_VALUE"""),58785158)</f>
        <v>#NAME?</v>
      </c>
      <c r="B1823" s="100" t="e">
        <f ca="1">IFERROR(__xludf.DUMMYFUNCTION("""COMPUTED_VALUE"""),"VOXELBTC")</f>
        <v>#NAME?</v>
      </c>
      <c r="C1823" s="100" t="e">
        <f ca="1">IFERROR(__xludf.DUMMYFUNCTION("""COMPUTED_VALUE"""),"0.00000216")</f>
        <v>#NAME?</v>
      </c>
      <c r="D1823" s="100" t="e">
        <f t="shared" ca="1" si="325"/>
        <v>#NAME?</v>
      </c>
      <c r="E1823" s="100" t="e">
        <f t="shared" ca="1" si="325"/>
        <v>#NAME?</v>
      </c>
      <c r="F1823" s="100" t="e">
        <f t="shared" ca="1" si="317"/>
        <v>#NAME?</v>
      </c>
      <c r="G1823" s="100" t="e">
        <f t="shared" ca="1" si="318"/>
        <v>#NAME?</v>
      </c>
      <c r="H1823" s="100" t="e">
        <f t="shared" ca="1" si="319"/>
        <v>#NAME?</v>
      </c>
      <c r="I1823" s="100" t="e">
        <f t="shared" ca="1" si="320"/>
        <v>#NAME?</v>
      </c>
      <c r="J1823" s="100" t="e">
        <f t="shared" ca="1" si="324"/>
        <v>#NAME?</v>
      </c>
      <c r="K1823" s="100" t="e">
        <f t="shared" ca="1" si="321"/>
        <v>#NAME?</v>
      </c>
      <c r="L1823" s="100"/>
      <c r="M1823" s="100"/>
      <c r="N1823" s="100"/>
      <c r="O1823" s="100"/>
      <c r="P1823" s="100"/>
      <c r="Q1823" s="100"/>
      <c r="R1823" s="100"/>
      <c r="S1823" s="100"/>
      <c r="T1823" s="100"/>
      <c r="U1823" s="100"/>
      <c r="V1823" s="100"/>
      <c r="W1823" s="100"/>
      <c r="X1823" s="100"/>
      <c r="Y1823" s="100"/>
      <c r="Z1823" s="100"/>
    </row>
    <row r="1824" spans="1:26">
      <c r="A1824" s="100" t="e">
        <f ca="1">IFERROR(__xludf.DUMMYFUNCTION("""COMPUTED_VALUE"""),58785159)</f>
        <v>#NAME?</v>
      </c>
      <c r="B1824" s="100" t="e">
        <f ca="1">IFERROR(__xludf.DUMMYFUNCTION("""COMPUTED_VALUE"""),"VOXELBNB")</f>
        <v>#NAME?</v>
      </c>
      <c r="C1824" s="100" t="e">
        <f ca="1">IFERROR(__xludf.DUMMYFUNCTION("""COMPUTED_VALUE"""),"0.00069340")</f>
        <v>#NAME?</v>
      </c>
      <c r="D1824" s="100" t="e">
        <f t="shared" ca="1" si="325"/>
        <v>#NAME?</v>
      </c>
      <c r="E1824" s="100" t="e">
        <f t="shared" ca="1" si="325"/>
        <v>#NAME?</v>
      </c>
      <c r="F1824" s="100" t="e">
        <f t="shared" ca="1" si="317"/>
        <v>#NAME?</v>
      </c>
      <c r="G1824" s="100" t="e">
        <f t="shared" ca="1" si="318"/>
        <v>#NAME?</v>
      </c>
      <c r="H1824" s="100" t="e">
        <f t="shared" ca="1" si="319"/>
        <v>#NAME?</v>
      </c>
      <c r="I1824" s="100" t="e">
        <f t="shared" ca="1" si="320"/>
        <v>#NAME?</v>
      </c>
      <c r="J1824" s="100" t="e">
        <f t="shared" ca="1" si="324"/>
        <v>#NAME?</v>
      </c>
      <c r="K1824" s="100" t="e">
        <f t="shared" ca="1" si="321"/>
        <v>#NAME?</v>
      </c>
      <c r="L1824" s="100"/>
      <c r="M1824" s="100"/>
      <c r="N1824" s="100"/>
      <c r="O1824" s="100"/>
      <c r="P1824" s="100"/>
      <c r="Q1824" s="100"/>
      <c r="R1824" s="100"/>
      <c r="S1824" s="100"/>
      <c r="T1824" s="100"/>
      <c r="U1824" s="100"/>
      <c r="V1824" s="100"/>
      <c r="W1824" s="100"/>
      <c r="X1824" s="100"/>
      <c r="Y1824" s="100"/>
      <c r="Z1824" s="100"/>
    </row>
    <row r="1825" spans="1:26">
      <c r="A1825" s="100" t="e">
        <f ca="1">IFERROR(__xludf.DUMMYFUNCTION("""COMPUTED_VALUE"""),58785160)</f>
        <v>#NAME?</v>
      </c>
      <c r="B1825" s="100" t="e">
        <f ca="1">IFERROR(__xludf.DUMMYFUNCTION("""COMPUTED_VALUE"""),"VOXELBUSD")</f>
        <v>#NAME?</v>
      </c>
      <c r="C1825" s="100" t="e">
        <f ca="1">IFERROR(__xludf.DUMMYFUNCTION("""COMPUTED_VALUE"""),"0.13250000")</f>
        <v>#NAME?</v>
      </c>
      <c r="D1825" s="100" t="e">
        <f t="shared" ca="1" si="325"/>
        <v>#NAME?</v>
      </c>
      <c r="E1825" s="100" t="e">
        <f t="shared" ca="1" si="325"/>
        <v>#NAME?</v>
      </c>
      <c r="F1825" s="100" t="e">
        <f t="shared" ca="1" si="317"/>
        <v>#NAME?</v>
      </c>
      <c r="G1825" s="100" t="e">
        <f t="shared" ca="1" si="318"/>
        <v>#NAME?</v>
      </c>
      <c r="H1825" s="100" t="e">
        <f t="shared" ca="1" si="319"/>
        <v>#NAME?</v>
      </c>
      <c r="I1825" s="100" t="e">
        <f t="shared" ca="1" si="320"/>
        <v>#NAME?</v>
      </c>
      <c r="J1825" s="100" t="e">
        <f t="shared" ca="1" si="324"/>
        <v>#NAME?</v>
      </c>
      <c r="K1825" s="100" t="e">
        <f t="shared" ca="1" si="321"/>
        <v>#NAME?</v>
      </c>
      <c r="L1825" s="100"/>
      <c r="M1825" s="100"/>
      <c r="N1825" s="100"/>
      <c r="O1825" s="100"/>
      <c r="P1825" s="100"/>
      <c r="Q1825" s="100"/>
      <c r="R1825" s="100"/>
      <c r="S1825" s="100"/>
      <c r="T1825" s="100"/>
      <c r="U1825" s="100"/>
      <c r="V1825" s="100"/>
      <c r="W1825" s="100"/>
      <c r="X1825" s="100"/>
      <c r="Y1825" s="100"/>
      <c r="Z1825" s="100"/>
    </row>
    <row r="1826" spans="1:26">
      <c r="A1826" s="100" t="e">
        <f ca="1">IFERROR(__xludf.DUMMYFUNCTION("""COMPUTED_VALUE"""),58785161)</f>
        <v>#NAME?</v>
      </c>
      <c r="B1826" s="100" t="e">
        <f ca="1">IFERROR(__xludf.DUMMYFUNCTION("""COMPUTED_VALUE"""),"VOXELUSDT")</f>
        <v>#NAME?</v>
      </c>
      <c r="C1826" s="100" t="e">
        <f ca="1">IFERROR(__xludf.DUMMYFUNCTION("""COMPUTED_VALUE"""),"0.06370000")</f>
        <v>#NAME?</v>
      </c>
      <c r="D1826" s="100" t="e">
        <f t="shared" ca="1" si="325"/>
        <v>#NAME?</v>
      </c>
      <c r="E1826" s="100" t="e">
        <f t="shared" ca="1" si="325"/>
        <v>#NAME?</v>
      </c>
      <c r="F1826" s="100" t="e">
        <f t="shared" ca="1" si="317"/>
        <v>#NAME?</v>
      </c>
      <c r="G1826" s="100" t="e">
        <f t="shared" ca="1" si="318"/>
        <v>#NAME?</v>
      </c>
      <c r="H1826" s="100" t="e">
        <f t="shared" ca="1" si="319"/>
        <v>#NAME?</v>
      </c>
      <c r="I1826" s="100" t="e">
        <f t="shared" ca="1" si="320"/>
        <v>#NAME?</v>
      </c>
      <c r="J1826" s="100" t="e">
        <f ca="1">IFERROR(__xludf.DUMMYFUNCTION("""COMPUTED_VALUE"""),"-14.035")</f>
        <v>#NAME?</v>
      </c>
      <c r="K1826" s="100" t="e">
        <f t="shared" ca="1" si="321"/>
        <v>#NAME?</v>
      </c>
      <c r="L1826" s="100"/>
      <c r="M1826" s="100"/>
      <c r="N1826" s="100"/>
      <c r="O1826" s="100"/>
      <c r="P1826" s="100"/>
      <c r="Q1826" s="100"/>
      <c r="R1826" s="100"/>
      <c r="S1826" s="100"/>
      <c r="T1826" s="100"/>
      <c r="U1826" s="100"/>
      <c r="V1826" s="100"/>
      <c r="W1826" s="100"/>
      <c r="X1826" s="100"/>
      <c r="Y1826" s="100"/>
      <c r="Z1826" s="100"/>
    </row>
    <row r="1827" spans="1:26">
      <c r="A1827" s="100" t="e">
        <f ca="1">IFERROR(__xludf.DUMMYFUNCTION("""COMPUTED_VALUE"""),58785162)</f>
        <v>#NAME?</v>
      </c>
      <c r="B1827" s="100" t="e">
        <f ca="1">IFERROR(__xludf.DUMMYFUNCTION("""COMPUTED_VALUE"""),"COSBUSD")</f>
        <v>#NAME?</v>
      </c>
      <c r="C1827" s="100" t="e">
        <f ca="1">IFERROR(__xludf.DUMMYFUNCTION("""COMPUTED_VALUE"""),"0.00517000")</f>
        <v>#NAME?</v>
      </c>
      <c r="D1827" s="100" t="e">
        <f t="shared" ca="1" si="325"/>
        <v>#NAME?</v>
      </c>
      <c r="E1827" s="100" t="e">
        <f t="shared" ca="1" si="325"/>
        <v>#NAME?</v>
      </c>
      <c r="F1827" s="100" t="e">
        <f t="shared" ca="1" si="317"/>
        <v>#NAME?</v>
      </c>
      <c r="G1827" s="100" t="e">
        <f t="shared" ca="1" si="318"/>
        <v>#NAME?</v>
      </c>
      <c r="H1827" s="100" t="e">
        <f t="shared" ca="1" si="319"/>
        <v>#NAME?</v>
      </c>
      <c r="I1827" s="100" t="e">
        <f t="shared" ca="1" si="320"/>
        <v>#NAME?</v>
      </c>
      <c r="J1827" s="100" t="e">
        <f ca="1">IFERROR(__xludf.DUMMYFUNCTION("""COMPUTED_VALUE"""),"0")</f>
        <v>#NAME?</v>
      </c>
      <c r="K1827" s="100" t="e">
        <f t="shared" ca="1" si="321"/>
        <v>#NAME?</v>
      </c>
      <c r="L1827" s="100"/>
      <c r="M1827" s="100"/>
      <c r="N1827" s="100"/>
      <c r="O1827" s="100"/>
      <c r="P1827" s="100"/>
      <c r="Q1827" s="100"/>
      <c r="R1827" s="100"/>
      <c r="S1827" s="100"/>
      <c r="T1827" s="100"/>
      <c r="U1827" s="100"/>
      <c r="V1827" s="100"/>
      <c r="W1827" s="100"/>
      <c r="X1827" s="100"/>
      <c r="Y1827" s="100"/>
      <c r="Z1827" s="100"/>
    </row>
    <row r="1828" spans="1:26">
      <c r="A1828" s="100" t="e">
        <f ca="1">IFERROR(__xludf.DUMMYFUNCTION("""COMPUTED_VALUE"""),58785163)</f>
        <v>#NAME?</v>
      </c>
      <c r="B1828" s="100" t="e">
        <f ca="1">IFERROR(__xludf.DUMMYFUNCTION("""COMPUTED_VALUE"""),"CTXCBUSD")</f>
        <v>#NAME?</v>
      </c>
      <c r="C1828" s="100" t="e">
        <f ca="1">IFERROR(__xludf.DUMMYFUNCTION("""COMPUTED_VALUE"""),"0.11500000")</f>
        <v>#NAME?</v>
      </c>
      <c r="D1828" s="100" t="e">
        <f t="shared" ca="1" si="325"/>
        <v>#NAME?</v>
      </c>
      <c r="E1828" s="100" t="e">
        <f t="shared" ca="1" si="325"/>
        <v>#NAME?</v>
      </c>
      <c r="F1828" s="100" t="e">
        <f t="shared" ca="1" si="317"/>
        <v>#NAME?</v>
      </c>
      <c r="G1828" s="100" t="e">
        <f t="shared" ca="1" si="318"/>
        <v>#NAME?</v>
      </c>
      <c r="H1828" s="100" t="e">
        <f t="shared" ca="1" si="319"/>
        <v>#NAME?</v>
      </c>
      <c r="I1828" s="100" t="e">
        <f t="shared" ca="1" si="320"/>
        <v>#NAME?</v>
      </c>
      <c r="J1828" s="100" t="e">
        <f ca="1">IFERROR(__xludf.DUMMYFUNCTION("""COMPUTED_VALUE"""),"0")</f>
        <v>#NAME?</v>
      </c>
      <c r="K1828" s="100" t="e">
        <f t="shared" ca="1" si="321"/>
        <v>#NAME?</v>
      </c>
      <c r="L1828" s="100"/>
      <c r="M1828" s="100"/>
      <c r="N1828" s="100"/>
      <c r="O1828" s="100"/>
      <c r="P1828" s="100"/>
      <c r="Q1828" s="100"/>
      <c r="R1828" s="100"/>
      <c r="S1828" s="100"/>
      <c r="T1828" s="100"/>
      <c r="U1828" s="100"/>
      <c r="V1828" s="100"/>
      <c r="W1828" s="100"/>
      <c r="X1828" s="100"/>
      <c r="Y1828" s="100"/>
      <c r="Z1828" s="100"/>
    </row>
    <row r="1829" spans="1:26">
      <c r="A1829" s="100" t="e">
        <f ca="1">IFERROR(__xludf.DUMMYFUNCTION("""COMPUTED_VALUE"""),58785164)</f>
        <v>#NAME?</v>
      </c>
      <c r="B1829" s="100" t="e">
        <f ca="1">IFERROR(__xludf.DUMMYFUNCTION("""COMPUTED_VALUE"""),"FTMTRY")</f>
        <v>#NAME?</v>
      </c>
      <c r="C1829" s="100" t="e">
        <f ca="1">IFERROR(__xludf.DUMMYFUNCTION("""COMPUTED_VALUE"""),"24.82000000")</f>
        <v>#NAME?</v>
      </c>
      <c r="D1829" s="100" t="e">
        <f t="shared" ca="1" si="325"/>
        <v>#NAME?</v>
      </c>
      <c r="E1829" s="100" t="e">
        <f t="shared" ca="1" si="325"/>
        <v>#NAME?</v>
      </c>
      <c r="F1829" s="100" t="e">
        <f t="shared" ca="1" si="317"/>
        <v>#NAME?</v>
      </c>
      <c r="G1829" s="100" t="e">
        <f t="shared" ca="1" si="318"/>
        <v>#NAME?</v>
      </c>
      <c r="H1829" s="100" t="e">
        <f t="shared" ca="1" si="319"/>
        <v>#NAME?</v>
      </c>
      <c r="I1829" s="100" t="e">
        <f t="shared" ca="1" si="320"/>
        <v>#NAME?</v>
      </c>
      <c r="J1829" s="100" t="e">
        <f ca="1">IFERROR(__xludf.DUMMYFUNCTION("""COMPUTED_VALUE"""),"0")</f>
        <v>#NAME?</v>
      </c>
      <c r="K1829" s="100" t="e">
        <f t="shared" ca="1" si="321"/>
        <v>#NAME?</v>
      </c>
      <c r="L1829" s="100"/>
      <c r="M1829" s="100"/>
      <c r="N1829" s="100"/>
      <c r="O1829" s="100"/>
      <c r="P1829" s="100"/>
      <c r="Q1829" s="100"/>
      <c r="R1829" s="100"/>
      <c r="S1829" s="100"/>
      <c r="T1829" s="100"/>
      <c r="U1829" s="100"/>
      <c r="V1829" s="100"/>
      <c r="W1829" s="100"/>
      <c r="X1829" s="100"/>
      <c r="Y1829" s="100"/>
      <c r="Z1829" s="100"/>
    </row>
    <row r="1830" spans="1:26">
      <c r="A1830" s="100" t="e">
        <f ca="1">IFERROR(__xludf.DUMMYFUNCTION("""COMPUTED_VALUE"""),58785165)</f>
        <v>#NAME?</v>
      </c>
      <c r="B1830" s="100" t="e">
        <f ca="1">IFERROR(__xludf.DUMMYFUNCTION("""COMPUTED_VALUE"""),"MANABNB")</f>
        <v>#NAME?</v>
      </c>
      <c r="C1830" s="100" t="e">
        <f ca="1">IFERROR(__xludf.DUMMYFUNCTION("""COMPUTED_VALUE"""),"0.00155000")</f>
        <v>#NAME?</v>
      </c>
      <c r="D1830" s="100" t="e">
        <f t="shared" ca="1" si="325"/>
        <v>#NAME?</v>
      </c>
      <c r="E1830" s="100" t="e">
        <f t="shared" ca="1" si="325"/>
        <v>#NAME?</v>
      </c>
      <c r="F1830" s="100" t="e">
        <f t="shared" ca="1" si="317"/>
        <v>#NAME?</v>
      </c>
      <c r="G1830" s="100" t="e">
        <f t="shared" ca="1" si="318"/>
        <v>#NAME?</v>
      </c>
      <c r="H1830" s="100" t="e">
        <f t="shared" ca="1" si="319"/>
        <v>#NAME?</v>
      </c>
      <c r="I1830" s="100" t="e">
        <f t="shared" ca="1" si="320"/>
        <v>#NAME?</v>
      </c>
      <c r="J1830" s="100" t="e">
        <f ca="1">IFERROR(__xludf.DUMMYFUNCTION("""COMPUTED_VALUE"""),"0")</f>
        <v>#NAME?</v>
      </c>
      <c r="K1830" s="100" t="e">
        <f t="shared" ca="1" si="321"/>
        <v>#NAME?</v>
      </c>
      <c r="L1830" s="100"/>
      <c r="M1830" s="100"/>
      <c r="N1830" s="100"/>
      <c r="O1830" s="100"/>
      <c r="P1830" s="100"/>
      <c r="Q1830" s="100"/>
      <c r="R1830" s="100"/>
      <c r="S1830" s="100"/>
      <c r="T1830" s="100"/>
      <c r="U1830" s="100"/>
      <c r="V1830" s="100"/>
      <c r="W1830" s="100"/>
      <c r="X1830" s="100"/>
      <c r="Y1830" s="100"/>
      <c r="Z1830" s="100"/>
    </row>
    <row r="1831" spans="1:26">
      <c r="A1831" s="100" t="e">
        <f ca="1">IFERROR(__xludf.DUMMYFUNCTION("""COMPUTED_VALUE"""),58785166)</f>
        <v>#NAME?</v>
      </c>
      <c r="B1831" s="100" t="e">
        <f ca="1">IFERROR(__xludf.DUMMYFUNCTION("""COMPUTED_VALUE"""),"MINATRY")</f>
        <v>#NAME?</v>
      </c>
      <c r="C1831" s="100" t="e">
        <f ca="1">IFERROR(__xludf.DUMMYFUNCTION("""COMPUTED_VALUE"""),"8.39000000")</f>
        <v>#NAME?</v>
      </c>
      <c r="D1831" s="100" t="e">
        <f t="shared" ca="1" si="325"/>
        <v>#NAME?</v>
      </c>
      <c r="E1831" s="100" t="e">
        <f t="shared" ca="1" si="325"/>
        <v>#NAME?</v>
      </c>
      <c r="F1831" s="100" t="e">
        <f t="shared" ca="1" si="317"/>
        <v>#NAME?</v>
      </c>
      <c r="G1831" s="100" t="e">
        <f t="shared" ca="1" si="318"/>
        <v>#NAME?</v>
      </c>
      <c r="H1831" s="100" t="e">
        <f t="shared" ca="1" si="319"/>
        <v>#NAME?</v>
      </c>
      <c r="I1831" s="100" t="e">
        <f t="shared" ca="1" si="320"/>
        <v>#NAME?</v>
      </c>
      <c r="J1831" s="100" t="e">
        <f ca="1">IFERROR(__xludf.DUMMYFUNCTION("""COMPUTED_VALUE"""),"-1.526")</f>
        <v>#NAME?</v>
      </c>
      <c r="K1831" s="100" t="e">
        <f t="shared" ca="1" si="321"/>
        <v>#NAME?</v>
      </c>
      <c r="L1831" s="100"/>
      <c r="M1831" s="100"/>
      <c r="N1831" s="100"/>
      <c r="O1831" s="100"/>
      <c r="P1831" s="100"/>
      <c r="Q1831" s="100"/>
      <c r="R1831" s="100"/>
      <c r="S1831" s="100"/>
      <c r="T1831" s="100"/>
      <c r="U1831" s="100"/>
      <c r="V1831" s="100"/>
      <c r="W1831" s="100"/>
      <c r="X1831" s="100"/>
      <c r="Y1831" s="100"/>
      <c r="Z1831" s="100"/>
    </row>
    <row r="1832" spans="1:26">
      <c r="A1832" s="100" t="e">
        <f ca="1">IFERROR(__xludf.DUMMYFUNCTION("""COMPUTED_VALUE"""),58785167)</f>
        <v>#NAME?</v>
      </c>
      <c r="B1832" s="100" t="e">
        <f ca="1">IFERROR(__xludf.DUMMYFUNCTION("""COMPUTED_VALUE"""),"XTZTRY")</f>
        <v>#NAME?</v>
      </c>
      <c r="C1832" s="100" t="e">
        <f ca="1">IFERROR(__xludf.DUMMYFUNCTION("""COMPUTED_VALUE"""),"29.03000000")</f>
        <v>#NAME?</v>
      </c>
      <c r="D1832" s="100" t="e">
        <f t="shared" ca="1" si="325"/>
        <v>#NAME?</v>
      </c>
      <c r="E1832" s="100" t="e">
        <f t="shared" ca="1" si="325"/>
        <v>#NAME?</v>
      </c>
      <c r="F1832" s="100" t="e">
        <f t="shared" ca="1" si="317"/>
        <v>#NAME?</v>
      </c>
      <c r="G1832" s="100" t="e">
        <f t="shared" ca="1" si="318"/>
        <v>#NAME?</v>
      </c>
      <c r="H1832" s="100" t="e">
        <f t="shared" ca="1" si="319"/>
        <v>#NAME?</v>
      </c>
      <c r="I1832" s="100" t="e">
        <f t="shared" ca="1" si="320"/>
        <v>#NAME?</v>
      </c>
      <c r="J1832" s="100" t="e">
        <f ca="1">IFERROR(__xludf.DUMMYFUNCTION("""COMPUTED_VALUE"""),"0")</f>
        <v>#NAME?</v>
      </c>
      <c r="K1832" s="100" t="e">
        <f t="shared" ca="1" si="321"/>
        <v>#NAME?</v>
      </c>
      <c r="L1832" s="100"/>
      <c r="M1832" s="100"/>
      <c r="N1832" s="100"/>
      <c r="O1832" s="100"/>
      <c r="P1832" s="100"/>
      <c r="Q1832" s="100"/>
      <c r="R1832" s="100"/>
      <c r="S1832" s="100"/>
      <c r="T1832" s="100"/>
      <c r="U1832" s="100"/>
      <c r="V1832" s="100"/>
      <c r="W1832" s="100"/>
      <c r="X1832" s="100"/>
      <c r="Y1832" s="100"/>
      <c r="Z1832" s="100"/>
    </row>
    <row r="1833" spans="1:26">
      <c r="A1833" s="100" t="e">
        <f ca="1">IFERROR(__xludf.DUMMYFUNCTION("""COMPUTED_VALUE"""),58785168)</f>
        <v>#NAME?</v>
      </c>
      <c r="B1833" s="100" t="e">
        <f ca="1">IFERROR(__xludf.DUMMYFUNCTION("""COMPUTED_VALUE"""),"HIGHBTC")</f>
        <v>#NAME?</v>
      </c>
      <c r="C1833" s="100" t="e">
        <f ca="1">IFERROR(__xludf.DUMMYFUNCTION("""COMPUTED_VALUE"""),"0.00001415")</f>
        <v>#NAME?</v>
      </c>
      <c r="D1833" s="100" t="e">
        <f t="shared" ca="1" si="325"/>
        <v>#NAME?</v>
      </c>
      <c r="E1833" s="100" t="e">
        <f t="shared" ca="1" si="325"/>
        <v>#NAME?</v>
      </c>
      <c r="F1833" s="100" t="e">
        <f t="shared" ca="1" si="317"/>
        <v>#NAME?</v>
      </c>
      <c r="G1833" s="100" t="e">
        <f t="shared" ca="1" si="318"/>
        <v>#NAME?</v>
      </c>
      <c r="H1833" s="100" t="e">
        <f t="shared" ca="1" si="319"/>
        <v>#NAME?</v>
      </c>
      <c r="I1833" s="100" t="e">
        <f t="shared" ca="1" si="320"/>
        <v>#NAME?</v>
      </c>
      <c r="J1833" s="100" t="e">
        <f ca="1">IFERROR(__xludf.DUMMYFUNCTION("""COMPUTED_VALUE"""),"0")</f>
        <v>#NAME?</v>
      </c>
      <c r="K1833" s="100" t="e">
        <f t="shared" ca="1" si="321"/>
        <v>#NAME?</v>
      </c>
      <c r="L1833" s="100"/>
      <c r="M1833" s="100"/>
      <c r="N1833" s="100"/>
      <c r="O1833" s="100"/>
      <c r="P1833" s="100"/>
      <c r="Q1833" s="100"/>
      <c r="R1833" s="100"/>
      <c r="S1833" s="100"/>
      <c r="T1833" s="100"/>
      <c r="U1833" s="100"/>
      <c r="V1833" s="100"/>
      <c r="W1833" s="100"/>
      <c r="X1833" s="100"/>
      <c r="Y1833" s="100"/>
      <c r="Z1833" s="100"/>
    </row>
    <row r="1834" spans="1:26">
      <c r="A1834" s="100" t="e">
        <f ca="1">IFERROR(__xludf.DUMMYFUNCTION("""COMPUTED_VALUE"""),58785169)</f>
        <v>#NAME?</v>
      </c>
      <c r="B1834" s="100" t="e">
        <f ca="1">IFERROR(__xludf.DUMMYFUNCTION("""COMPUTED_VALUE"""),"HIGHBUSD")</f>
        <v>#NAME?</v>
      </c>
      <c r="C1834" s="100" t="e">
        <f ca="1">IFERROR(__xludf.DUMMYFUNCTION("""COMPUTED_VALUE"""),"1.42100000")</f>
        <v>#NAME?</v>
      </c>
      <c r="D1834" s="100" t="e">
        <f t="shared" ca="1" si="325"/>
        <v>#NAME?</v>
      </c>
      <c r="E1834" s="100" t="e">
        <f t="shared" ca="1" si="325"/>
        <v>#NAME?</v>
      </c>
      <c r="F1834" s="100" t="e">
        <f t="shared" ca="1" si="317"/>
        <v>#NAME?</v>
      </c>
      <c r="G1834" s="100" t="e">
        <f t="shared" ca="1" si="318"/>
        <v>#NAME?</v>
      </c>
      <c r="H1834" s="100" t="e">
        <f t="shared" ca="1" si="319"/>
        <v>#NAME?</v>
      </c>
      <c r="I1834" s="100" t="e">
        <f t="shared" ca="1" si="320"/>
        <v>#NAME?</v>
      </c>
      <c r="J1834" s="100" t="e">
        <f ca="1">IFERROR(__xludf.DUMMYFUNCTION("""COMPUTED_VALUE"""),"0")</f>
        <v>#NAME?</v>
      </c>
      <c r="K1834" s="100" t="e">
        <f t="shared" ca="1" si="321"/>
        <v>#NAME?</v>
      </c>
      <c r="L1834" s="100"/>
      <c r="M1834" s="100"/>
      <c r="N1834" s="100"/>
      <c r="O1834" s="100"/>
      <c r="P1834" s="100"/>
      <c r="Q1834" s="100"/>
      <c r="R1834" s="100"/>
      <c r="S1834" s="100"/>
      <c r="T1834" s="100"/>
      <c r="U1834" s="100"/>
      <c r="V1834" s="100"/>
      <c r="W1834" s="100"/>
      <c r="X1834" s="100"/>
      <c r="Y1834" s="100"/>
      <c r="Z1834" s="100"/>
    </row>
    <row r="1835" spans="1:26">
      <c r="A1835" s="100" t="e">
        <f ca="1">IFERROR(__xludf.DUMMYFUNCTION("""COMPUTED_VALUE"""),58785170)</f>
        <v>#NAME?</v>
      </c>
      <c r="B1835" s="100" t="e">
        <f ca="1">IFERROR(__xludf.DUMMYFUNCTION("""COMPUTED_VALUE"""),"HIGHUSDT")</f>
        <v>#NAME?</v>
      </c>
      <c r="C1835" s="100" t="e">
        <f ca="1">IFERROR(__xludf.DUMMYFUNCTION("""COMPUTED_VALUE"""),"0.46300000")</f>
        <v>#NAME?</v>
      </c>
      <c r="D1835" s="100" t="e">
        <f t="shared" ca="1" si="325"/>
        <v>#NAME?</v>
      </c>
      <c r="E1835" s="100" t="e">
        <f t="shared" ca="1" si="325"/>
        <v>#NAME?</v>
      </c>
      <c r="F1835" s="100" t="e">
        <f t="shared" ca="1" si="317"/>
        <v>#NAME?</v>
      </c>
      <c r="G1835" s="100" t="e">
        <f t="shared" ca="1" si="318"/>
        <v>#NAME?</v>
      </c>
      <c r="H1835" s="100" t="e">
        <f t="shared" ca="1" si="319"/>
        <v>#NAME?</v>
      </c>
      <c r="I1835" s="100" t="e">
        <f t="shared" ca="1" si="320"/>
        <v>#NAME?</v>
      </c>
      <c r="J1835" s="100" t="e">
        <f ca="1">IFERROR(__xludf.DUMMYFUNCTION("""COMPUTED_VALUE"""),"-7.214")</f>
        <v>#NAME?</v>
      </c>
      <c r="K1835" s="100" t="e">
        <f t="shared" ca="1" si="321"/>
        <v>#NAME?</v>
      </c>
      <c r="L1835" s="100"/>
      <c r="M1835" s="100"/>
      <c r="N1835" s="100"/>
      <c r="O1835" s="100"/>
      <c r="P1835" s="100"/>
      <c r="Q1835" s="100"/>
      <c r="R1835" s="100"/>
      <c r="S1835" s="100"/>
      <c r="T1835" s="100"/>
      <c r="U1835" s="100"/>
      <c r="V1835" s="100"/>
      <c r="W1835" s="100"/>
      <c r="X1835" s="100"/>
      <c r="Y1835" s="100"/>
      <c r="Z1835" s="100"/>
    </row>
    <row r="1836" spans="1:26">
      <c r="A1836" s="100" t="e">
        <f ca="1">IFERROR(__xludf.DUMMYFUNCTION("""COMPUTED_VALUE"""),58785171)</f>
        <v>#NAME?</v>
      </c>
      <c r="B1836" s="100" t="e">
        <f ca="1">IFERROR(__xludf.DUMMYFUNCTION("""COMPUTED_VALUE"""),"CVXBTC")</f>
        <v>#NAME?</v>
      </c>
      <c r="C1836" s="100" t="e">
        <f ca="1">IFERROR(__xludf.DUMMYFUNCTION("""COMPUTED_VALUE"""),"0.00008550")</f>
        <v>#NAME?</v>
      </c>
      <c r="D1836" s="100" t="e">
        <f t="shared" ca="1" si="325"/>
        <v>#NAME?</v>
      </c>
      <c r="E1836" s="100" t="e">
        <f t="shared" ca="1" si="325"/>
        <v>#NAME?</v>
      </c>
      <c r="F1836" s="100" t="e">
        <f t="shared" ca="1" si="317"/>
        <v>#NAME?</v>
      </c>
      <c r="G1836" s="100" t="e">
        <f t="shared" ca="1" si="318"/>
        <v>#NAME?</v>
      </c>
      <c r="H1836" s="100" t="e">
        <f t="shared" ca="1" si="319"/>
        <v>#NAME?</v>
      </c>
      <c r="I1836" s="100" t="e">
        <f t="shared" ca="1" si="320"/>
        <v>#NAME?</v>
      </c>
      <c r="J1836" s="100" t="e">
        <f ca="1">IFERROR(__xludf.DUMMYFUNCTION("""COMPUTED_VALUE"""),"0")</f>
        <v>#NAME?</v>
      </c>
      <c r="K1836" s="100" t="e">
        <f t="shared" ca="1" si="321"/>
        <v>#NAME?</v>
      </c>
      <c r="L1836" s="100"/>
      <c r="M1836" s="100"/>
      <c r="N1836" s="100"/>
      <c r="O1836" s="100"/>
      <c r="P1836" s="100"/>
      <c r="Q1836" s="100"/>
      <c r="R1836" s="100"/>
      <c r="S1836" s="100"/>
      <c r="T1836" s="100"/>
      <c r="U1836" s="100"/>
      <c r="V1836" s="100"/>
      <c r="W1836" s="100"/>
      <c r="X1836" s="100"/>
      <c r="Y1836" s="100"/>
      <c r="Z1836" s="100"/>
    </row>
    <row r="1837" spans="1:26">
      <c r="A1837" s="100" t="e">
        <f ca="1">IFERROR(__xludf.DUMMYFUNCTION("""COMPUTED_VALUE"""),58785172)</f>
        <v>#NAME?</v>
      </c>
      <c r="B1837" s="100" t="e">
        <f ca="1">IFERROR(__xludf.DUMMYFUNCTION("""COMPUTED_VALUE"""),"CVXBUSD")</f>
        <v>#NAME?</v>
      </c>
      <c r="C1837" s="100" t="e">
        <f ca="1">IFERROR(__xludf.DUMMYFUNCTION("""COMPUTED_VALUE"""),"2.59700000")</f>
        <v>#NAME?</v>
      </c>
      <c r="D1837" s="100" t="e">
        <f t="shared" ca="1" si="325"/>
        <v>#NAME?</v>
      </c>
      <c r="E1837" s="100" t="e">
        <f t="shared" ca="1" si="325"/>
        <v>#NAME?</v>
      </c>
      <c r="F1837" s="100" t="e">
        <f t="shared" ca="1" si="317"/>
        <v>#NAME?</v>
      </c>
      <c r="G1837" s="100" t="e">
        <f t="shared" ca="1" si="318"/>
        <v>#NAME?</v>
      </c>
      <c r="H1837" s="100" t="e">
        <f t="shared" ca="1" si="319"/>
        <v>#NAME?</v>
      </c>
      <c r="I1837" s="100" t="e">
        <f t="shared" ca="1" si="320"/>
        <v>#NAME?</v>
      </c>
      <c r="J1837" s="100" t="e">
        <f ca="1">IFERROR(__xludf.DUMMYFUNCTION("""COMPUTED_VALUE"""),"0")</f>
        <v>#NAME?</v>
      </c>
      <c r="K1837" s="100" t="e">
        <f t="shared" ca="1" si="321"/>
        <v>#NAME?</v>
      </c>
      <c r="L1837" s="100"/>
      <c r="M1837" s="100"/>
      <c r="N1837" s="100"/>
      <c r="O1837" s="100"/>
      <c r="P1837" s="100"/>
      <c r="Q1837" s="100"/>
      <c r="R1837" s="100"/>
      <c r="S1837" s="100"/>
      <c r="T1837" s="100"/>
      <c r="U1837" s="100"/>
      <c r="V1837" s="100"/>
      <c r="W1837" s="100"/>
      <c r="X1837" s="100"/>
      <c r="Y1837" s="100"/>
      <c r="Z1837" s="100"/>
    </row>
    <row r="1838" spans="1:26">
      <c r="A1838" s="100" t="e">
        <f ca="1">IFERROR(__xludf.DUMMYFUNCTION("""COMPUTED_VALUE"""),58785173)</f>
        <v>#NAME?</v>
      </c>
      <c r="B1838" s="100" t="e">
        <f ca="1">IFERROR(__xludf.DUMMYFUNCTION("""COMPUTED_VALUE"""),"CVXUSDT")</f>
        <v>#NAME?</v>
      </c>
      <c r="C1838" s="100" t="e">
        <f ca="1">IFERROR(__xludf.DUMMYFUNCTION("""COMPUTED_VALUE"""),"2.66100000")</f>
        <v>#NAME?</v>
      </c>
      <c r="D1838" s="100" t="e">
        <f t="shared" ca="1" si="325"/>
        <v>#NAME?</v>
      </c>
      <c r="E1838" s="100" t="e">
        <f t="shared" ca="1" si="325"/>
        <v>#NAME?</v>
      </c>
      <c r="F1838" s="100" t="e">
        <f t="shared" ca="1" si="317"/>
        <v>#NAME?</v>
      </c>
      <c r="G1838" s="100" t="e">
        <f t="shared" ca="1" si="318"/>
        <v>#NAME?</v>
      </c>
      <c r="H1838" s="100" t="e">
        <f t="shared" ca="1" si="319"/>
        <v>#NAME?</v>
      </c>
      <c r="I1838" s="100" t="e">
        <f t="shared" ca="1" si="320"/>
        <v>#NAME?</v>
      </c>
      <c r="J1838" s="100" t="e">
        <f ca="1">IFERROR(__xludf.DUMMYFUNCTION("""COMPUTED_VALUE"""),"1.798")</f>
        <v>#NAME?</v>
      </c>
      <c r="K1838" s="100" t="e">
        <f t="shared" ca="1" si="321"/>
        <v>#NAME?</v>
      </c>
      <c r="L1838" s="100"/>
      <c r="M1838" s="100"/>
      <c r="N1838" s="100"/>
      <c r="O1838" s="100"/>
      <c r="P1838" s="100"/>
      <c r="Q1838" s="100"/>
      <c r="R1838" s="100"/>
      <c r="S1838" s="100"/>
      <c r="T1838" s="100"/>
      <c r="U1838" s="100"/>
      <c r="V1838" s="100"/>
      <c r="W1838" s="100"/>
      <c r="X1838" s="100"/>
      <c r="Y1838" s="100"/>
      <c r="Z1838" s="100"/>
    </row>
    <row r="1839" spans="1:26">
      <c r="A1839" s="100" t="e">
        <f ca="1">IFERROR(__xludf.DUMMYFUNCTION("""COMPUTED_VALUE"""),58785174)</f>
        <v>#NAME?</v>
      </c>
      <c r="B1839" s="100" t="e">
        <f ca="1">IFERROR(__xludf.DUMMYFUNCTION("""COMPUTED_VALUE"""),"PEOPLEBTC")</f>
        <v>#NAME?</v>
      </c>
      <c r="C1839" s="100" t="e">
        <f ca="1">IFERROR(__xludf.DUMMYFUNCTION("""COMPUTED_VALUE"""),"0.00000013")</f>
        <v>#NAME?</v>
      </c>
      <c r="D1839" s="100" t="e">
        <f t="shared" ca="1" si="325"/>
        <v>#NAME?</v>
      </c>
      <c r="E1839" s="100" t="e">
        <f t="shared" ca="1" si="325"/>
        <v>#NAME?</v>
      </c>
      <c r="F1839" s="100" t="e">
        <f t="shared" ca="1" si="317"/>
        <v>#NAME?</v>
      </c>
      <c r="G1839" s="100" t="e">
        <f t="shared" ca="1" si="318"/>
        <v>#NAME?</v>
      </c>
      <c r="H1839" s="100" t="e">
        <f t="shared" ca="1" si="319"/>
        <v>#NAME?</v>
      </c>
      <c r="I1839" s="100" t="e">
        <f t="shared" ca="1" si="320"/>
        <v>#NAME?</v>
      </c>
      <c r="J1839" s="100" t="e">
        <f ca="1">IFERROR(__xludf.DUMMYFUNCTION("""COMPUTED_VALUE"""),"-13.333")</f>
        <v>#NAME?</v>
      </c>
      <c r="K1839" s="100" t="e">
        <f t="shared" ca="1" si="321"/>
        <v>#NAME?</v>
      </c>
      <c r="L1839" s="100"/>
      <c r="M1839" s="100"/>
      <c r="N1839" s="100"/>
      <c r="O1839" s="100"/>
      <c r="P1839" s="100"/>
      <c r="Q1839" s="100"/>
      <c r="R1839" s="100"/>
      <c r="S1839" s="100"/>
      <c r="T1839" s="100"/>
      <c r="U1839" s="100"/>
      <c r="V1839" s="100"/>
      <c r="W1839" s="100"/>
      <c r="X1839" s="100"/>
      <c r="Y1839" s="100"/>
      <c r="Z1839" s="100"/>
    </row>
    <row r="1840" spans="1:26">
      <c r="A1840" s="100" t="e">
        <f ca="1">IFERROR(__xludf.DUMMYFUNCTION("""COMPUTED_VALUE"""),58785175)</f>
        <v>#NAME?</v>
      </c>
      <c r="B1840" s="100" t="e">
        <f ca="1">IFERROR(__xludf.DUMMYFUNCTION("""COMPUTED_VALUE"""),"PEOPLEBUSD")</f>
        <v>#NAME?</v>
      </c>
      <c r="C1840" s="100" t="e">
        <f ca="1">IFERROR(__xludf.DUMMYFUNCTION("""COMPUTED_VALUE"""),"0.00950000")</f>
        <v>#NAME?</v>
      </c>
      <c r="D1840" s="100" t="e">
        <f t="shared" ca="1" si="325"/>
        <v>#NAME?</v>
      </c>
      <c r="E1840" s="100" t="e">
        <f t="shared" ca="1" si="325"/>
        <v>#NAME?</v>
      </c>
      <c r="F1840" s="100" t="e">
        <f t="shared" ca="1" si="317"/>
        <v>#NAME?</v>
      </c>
      <c r="G1840" s="100" t="e">
        <f t="shared" ca="1" si="318"/>
        <v>#NAME?</v>
      </c>
      <c r="H1840" s="100" t="e">
        <f t="shared" ca="1" si="319"/>
        <v>#NAME?</v>
      </c>
      <c r="I1840" s="100" t="e">
        <f t="shared" ca="1" si="320"/>
        <v>#NAME?</v>
      </c>
      <c r="J1840" s="100" t="e">
        <f ca="1">IFERROR(__xludf.DUMMYFUNCTION("""COMPUTED_VALUE"""),"0")</f>
        <v>#NAME?</v>
      </c>
      <c r="K1840" s="100" t="e">
        <f t="shared" ca="1" si="321"/>
        <v>#NAME?</v>
      </c>
      <c r="L1840" s="100"/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</row>
    <row r="1841" spans="1:26">
      <c r="A1841" s="100" t="e">
        <f ca="1">IFERROR(__xludf.DUMMYFUNCTION("""COMPUTED_VALUE"""),58785176)</f>
        <v>#NAME?</v>
      </c>
      <c r="B1841" s="100" t="e">
        <f ca="1">IFERROR(__xludf.DUMMYFUNCTION("""COMPUTED_VALUE"""),"PEOPLEUSDT")</f>
        <v>#NAME?</v>
      </c>
      <c r="C1841" s="100" t="e">
        <f ca="1">IFERROR(__xludf.DUMMYFUNCTION("""COMPUTED_VALUE"""),"0.01212000")</f>
        <v>#NAME?</v>
      </c>
      <c r="D1841" s="100" t="e">
        <f t="shared" ca="1" si="325"/>
        <v>#NAME?</v>
      </c>
      <c r="E1841" s="100" t="e">
        <f t="shared" ca="1" si="325"/>
        <v>#NAME?</v>
      </c>
      <c r="F1841" s="100" t="e">
        <f t="shared" ca="1" si="317"/>
        <v>#NAME?</v>
      </c>
      <c r="G1841" s="100" t="e">
        <f t="shared" ca="1" si="318"/>
        <v>#NAME?</v>
      </c>
      <c r="H1841" s="100" t="e">
        <f t="shared" ca="1" si="319"/>
        <v>#NAME?</v>
      </c>
      <c r="I1841" s="100" t="e">
        <f t="shared" ca="1" si="320"/>
        <v>#NAME?</v>
      </c>
      <c r="J1841" s="100" t="e">
        <f ca="1">IFERROR(__xludf.DUMMYFUNCTION("""COMPUTED_VALUE"""),"-3.426")</f>
        <v>#NAME?</v>
      </c>
      <c r="K1841" s="100" t="e">
        <f t="shared" ca="1" si="321"/>
        <v>#NAME?</v>
      </c>
      <c r="L1841" s="100"/>
      <c r="M1841" s="100"/>
      <c r="N1841" s="100"/>
      <c r="O1841" s="100"/>
      <c r="P1841" s="100"/>
      <c r="Q1841" s="100"/>
      <c r="R1841" s="100"/>
      <c r="S1841" s="100"/>
      <c r="T1841" s="100"/>
      <c r="U1841" s="100"/>
      <c r="V1841" s="100"/>
      <c r="W1841" s="100"/>
      <c r="X1841" s="100"/>
      <c r="Y1841" s="100"/>
      <c r="Z1841" s="100"/>
    </row>
    <row r="1842" spans="1:26">
      <c r="A1842" s="100" t="e">
        <f ca="1">IFERROR(__xludf.DUMMYFUNCTION("""COMPUTED_VALUE"""),58785177)</f>
        <v>#NAME?</v>
      </c>
      <c r="B1842" s="100" t="e">
        <f ca="1">IFERROR(__xludf.DUMMYFUNCTION("""COMPUTED_VALUE"""),"OOKIBUSD")</f>
        <v>#NAME?</v>
      </c>
      <c r="C1842" s="100" t="e">
        <f ca="1">IFERROR(__xludf.DUMMYFUNCTION("""COMPUTED_VALUE"""),"0.00162900")</f>
        <v>#NAME?</v>
      </c>
      <c r="D1842" s="100" t="e">
        <f t="shared" ref="D1842:E1861" ca="1" si="326">IFERROR(__xludf.DUMMYFUNCTION("""COMPUTED_VALUE"""),"-")</f>
        <v>#NAME?</v>
      </c>
      <c r="E1842" s="100" t="e">
        <f t="shared" ca="1" si="326"/>
        <v>#NAME?</v>
      </c>
      <c r="F1842" s="100" t="e">
        <f t="shared" ca="1" si="317"/>
        <v>#NAME?</v>
      </c>
      <c r="G1842" s="100" t="e">
        <f t="shared" ca="1" si="318"/>
        <v>#NAME?</v>
      </c>
      <c r="H1842" s="100" t="e">
        <f t="shared" ca="1" si="319"/>
        <v>#NAME?</v>
      </c>
      <c r="I1842" s="100" t="e">
        <f t="shared" ca="1" si="320"/>
        <v>#NAME?</v>
      </c>
      <c r="J1842" s="100" t="e">
        <f ca="1">IFERROR(__xludf.DUMMYFUNCTION("""COMPUTED_VALUE"""),"0")</f>
        <v>#NAME?</v>
      </c>
      <c r="K1842" s="100" t="e">
        <f t="shared" ca="1" si="321"/>
        <v>#NAME?</v>
      </c>
      <c r="L1842" s="100"/>
      <c r="M1842" s="100"/>
      <c r="N1842" s="100"/>
      <c r="O1842" s="100"/>
      <c r="P1842" s="100"/>
      <c r="Q1842" s="100"/>
      <c r="R1842" s="100"/>
      <c r="S1842" s="100"/>
      <c r="T1842" s="100"/>
      <c r="U1842" s="100"/>
      <c r="V1842" s="100"/>
      <c r="W1842" s="100"/>
      <c r="X1842" s="100"/>
      <c r="Y1842" s="100"/>
      <c r="Z1842" s="100"/>
    </row>
    <row r="1843" spans="1:26">
      <c r="A1843" s="100" t="e">
        <f ca="1">IFERROR(__xludf.DUMMYFUNCTION("""COMPUTED_VALUE"""),58785178)</f>
        <v>#NAME?</v>
      </c>
      <c r="B1843" s="100" t="e">
        <f ca="1">IFERROR(__xludf.DUMMYFUNCTION("""COMPUTED_VALUE"""),"OOKIUSDT")</f>
        <v>#NAME?</v>
      </c>
      <c r="C1843" s="100" t="e">
        <f ca="1">IFERROR(__xludf.DUMMYFUNCTION("""COMPUTED_VALUE"""),"0.00011900")</f>
        <v>#NAME?</v>
      </c>
      <c r="D1843" s="100" t="e">
        <f t="shared" ca="1" si="326"/>
        <v>#NAME?</v>
      </c>
      <c r="E1843" s="100" t="e">
        <f t="shared" ca="1" si="326"/>
        <v>#NAME?</v>
      </c>
      <c r="F1843" s="100" t="e">
        <f t="shared" ca="1" si="317"/>
        <v>#NAME?</v>
      </c>
      <c r="G1843" s="100" t="e">
        <f t="shared" ca="1" si="318"/>
        <v>#NAME?</v>
      </c>
      <c r="H1843" s="100" t="e">
        <f t="shared" ca="1" si="319"/>
        <v>#NAME?</v>
      </c>
      <c r="I1843" s="100" t="e">
        <f t="shared" ca="1" si="320"/>
        <v>#NAME?</v>
      </c>
      <c r="J1843" s="100" t="e">
        <f ca="1">IFERROR(__xludf.DUMMYFUNCTION("""COMPUTED_VALUE"""),"0")</f>
        <v>#NAME?</v>
      </c>
      <c r="K1843" s="100" t="e">
        <f t="shared" ca="1" si="321"/>
        <v>#NAME?</v>
      </c>
      <c r="L1843" s="100"/>
      <c r="M1843" s="100"/>
      <c r="N1843" s="100"/>
      <c r="O1843" s="100"/>
      <c r="P1843" s="100"/>
      <c r="Q1843" s="100"/>
      <c r="R1843" s="100"/>
      <c r="S1843" s="100"/>
      <c r="T1843" s="100"/>
      <c r="U1843" s="100"/>
      <c r="V1843" s="100"/>
      <c r="W1843" s="100"/>
      <c r="X1843" s="100"/>
      <c r="Y1843" s="100"/>
      <c r="Z1843" s="100"/>
    </row>
    <row r="1844" spans="1:26">
      <c r="A1844" s="100" t="e">
        <f ca="1">IFERROR(__xludf.DUMMYFUNCTION("""COMPUTED_VALUE"""),58785179)</f>
        <v>#NAME?</v>
      </c>
      <c r="B1844" s="100" t="e">
        <f ca="1">IFERROR(__xludf.DUMMYFUNCTION("""COMPUTED_VALUE"""),"COCOSTRY")</f>
        <v>#NAME?</v>
      </c>
      <c r="C1844" s="100" t="e">
        <f ca="1">IFERROR(__xludf.DUMMYFUNCTION("""COMPUTED_VALUE"""),"36.66000000")</f>
        <v>#NAME?</v>
      </c>
      <c r="D1844" s="100" t="e">
        <f t="shared" ca="1" si="326"/>
        <v>#NAME?</v>
      </c>
      <c r="E1844" s="100" t="e">
        <f t="shared" ca="1" si="326"/>
        <v>#NAME?</v>
      </c>
      <c r="F1844" s="100" t="e">
        <f t="shared" ca="1" si="317"/>
        <v>#NAME?</v>
      </c>
      <c r="G1844" s="100" t="e">
        <f t="shared" ca="1" si="318"/>
        <v>#NAME?</v>
      </c>
      <c r="H1844" s="100" t="e">
        <f t="shared" ca="1" si="319"/>
        <v>#NAME?</v>
      </c>
      <c r="I1844" s="100" t="e">
        <f t="shared" ca="1" si="320"/>
        <v>#NAME?</v>
      </c>
      <c r="J1844" s="100" t="e">
        <f ca="1">IFERROR(__xludf.DUMMYFUNCTION("""COMPUTED_VALUE"""),"0")</f>
        <v>#NAME?</v>
      </c>
      <c r="K1844" s="100" t="e">
        <f t="shared" ca="1" si="321"/>
        <v>#NAME?</v>
      </c>
      <c r="L1844" s="100"/>
      <c r="M1844" s="100"/>
      <c r="N1844" s="100"/>
      <c r="O1844" s="100"/>
      <c r="P1844" s="100"/>
      <c r="Q1844" s="100"/>
      <c r="R1844" s="100"/>
      <c r="S1844" s="100"/>
      <c r="T1844" s="100"/>
      <c r="U1844" s="100"/>
      <c r="V1844" s="100"/>
      <c r="W1844" s="100"/>
      <c r="X1844" s="100"/>
      <c r="Y1844" s="100"/>
      <c r="Z1844" s="100"/>
    </row>
    <row r="1845" spans="1:26">
      <c r="A1845" s="100" t="e">
        <f ca="1">IFERROR(__xludf.DUMMYFUNCTION("""COMPUTED_VALUE"""),58785180)</f>
        <v>#NAME?</v>
      </c>
      <c r="B1845" s="100" t="e">
        <f ca="1">IFERROR(__xludf.DUMMYFUNCTION("""COMPUTED_VALUE"""),"GXSBNB")</f>
        <v>#NAME?</v>
      </c>
      <c r="C1845" s="100" t="e">
        <f ca="1">IFERROR(__xludf.DUMMYFUNCTION("""COMPUTED_VALUE"""),"0.00000000")</f>
        <v>#NAME?</v>
      </c>
      <c r="D1845" s="100" t="e">
        <f t="shared" ca="1" si="326"/>
        <v>#NAME?</v>
      </c>
      <c r="E1845" s="100" t="e">
        <f t="shared" ca="1" si="326"/>
        <v>#NAME?</v>
      </c>
      <c r="F1845" s="100" t="e">
        <f t="shared" ca="1" si="317"/>
        <v>#NAME?</v>
      </c>
      <c r="G1845" s="100" t="e">
        <f t="shared" ca="1" si="318"/>
        <v>#NAME?</v>
      </c>
      <c r="H1845" s="100" t="e">
        <f t="shared" ca="1" si="319"/>
        <v>#NAME?</v>
      </c>
      <c r="I1845" s="100" t="e">
        <f t="shared" ca="1" si="320"/>
        <v>#NAME?</v>
      </c>
      <c r="J1845" s="100" t="e">
        <f ca="1">IFERROR(__xludf.DUMMYFUNCTION("""COMPUTED_VALUE"""),"0")</f>
        <v>#NAME?</v>
      </c>
      <c r="K1845" s="100" t="e">
        <f t="shared" ca="1" si="321"/>
        <v>#NAME?</v>
      </c>
      <c r="L1845" s="100"/>
      <c r="M1845" s="100"/>
      <c r="N1845" s="100"/>
      <c r="O1845" s="100"/>
      <c r="P1845" s="100"/>
      <c r="Q1845" s="100"/>
      <c r="R1845" s="100"/>
      <c r="S1845" s="100"/>
      <c r="T1845" s="100"/>
      <c r="U1845" s="100"/>
      <c r="V1845" s="100"/>
      <c r="W1845" s="100"/>
      <c r="X1845" s="100"/>
      <c r="Y1845" s="100"/>
      <c r="Z1845" s="100"/>
    </row>
    <row r="1846" spans="1:26">
      <c r="A1846" s="100" t="e">
        <f ca="1">IFERROR(__xludf.DUMMYFUNCTION("""COMPUTED_VALUE"""),58785181)</f>
        <v>#NAME?</v>
      </c>
      <c r="B1846" s="100" t="e">
        <f ca="1">IFERROR(__xludf.DUMMYFUNCTION("""COMPUTED_VALUE"""),"LINKBNB")</f>
        <v>#NAME?</v>
      </c>
      <c r="C1846" s="100" t="e">
        <f ca="1">IFERROR(__xludf.DUMMYFUNCTION("""COMPUTED_VALUE"""),"0.02197000")</f>
        <v>#NAME?</v>
      </c>
      <c r="D1846" s="100" t="e">
        <f t="shared" ca="1" si="326"/>
        <v>#NAME?</v>
      </c>
      <c r="E1846" s="100" t="e">
        <f t="shared" ca="1" si="326"/>
        <v>#NAME?</v>
      </c>
      <c r="F1846" s="100" t="e">
        <f t="shared" ca="1" si="317"/>
        <v>#NAME?</v>
      </c>
      <c r="G1846" s="100" t="e">
        <f t="shared" ca="1" si="318"/>
        <v>#NAME?</v>
      </c>
      <c r="H1846" s="100" t="e">
        <f t="shared" ca="1" si="319"/>
        <v>#NAME?</v>
      </c>
      <c r="I1846" s="100" t="e">
        <f t="shared" ca="1" si="320"/>
        <v>#NAME?</v>
      </c>
      <c r="J1846" s="100" t="e">
        <f ca="1">IFERROR(__xludf.DUMMYFUNCTION("""COMPUTED_VALUE"""),"-1.700")</f>
        <v>#NAME?</v>
      </c>
      <c r="K1846" s="100" t="e">
        <f t="shared" ca="1" si="321"/>
        <v>#NAME?</v>
      </c>
      <c r="L1846" s="100"/>
      <c r="M1846" s="100"/>
      <c r="N1846" s="100"/>
      <c r="O1846" s="100"/>
      <c r="P1846" s="100"/>
      <c r="Q1846" s="100"/>
      <c r="R1846" s="100"/>
      <c r="S1846" s="100"/>
      <c r="T1846" s="100"/>
      <c r="U1846" s="100"/>
      <c r="V1846" s="100"/>
      <c r="W1846" s="100"/>
      <c r="X1846" s="100"/>
      <c r="Y1846" s="100"/>
      <c r="Z1846" s="100"/>
    </row>
    <row r="1847" spans="1:26">
      <c r="A1847" s="100" t="e">
        <f ca="1">IFERROR(__xludf.DUMMYFUNCTION("""COMPUTED_VALUE"""),58785182)</f>
        <v>#NAME?</v>
      </c>
      <c r="B1847" s="100" t="e">
        <f ca="1">IFERROR(__xludf.DUMMYFUNCTION("""COMPUTED_VALUE"""),"LUNAETH")</f>
        <v>#NAME?</v>
      </c>
      <c r="C1847" s="100" t="e">
        <f ca="1">IFERROR(__xludf.DUMMYFUNCTION("""COMPUTED_VALUE"""),"0.00000000")</f>
        <v>#NAME?</v>
      </c>
      <c r="D1847" s="100" t="e">
        <f t="shared" ca="1" si="326"/>
        <v>#NAME?</v>
      </c>
      <c r="E1847" s="100" t="e">
        <f t="shared" ca="1" si="326"/>
        <v>#NAME?</v>
      </c>
      <c r="F1847" s="100" t="e">
        <f t="shared" ca="1" si="317"/>
        <v>#NAME?</v>
      </c>
      <c r="G1847" s="100" t="e">
        <f t="shared" ca="1" si="318"/>
        <v>#NAME?</v>
      </c>
      <c r="H1847" s="100" t="e">
        <f t="shared" ca="1" si="319"/>
        <v>#NAME?</v>
      </c>
      <c r="I1847" s="100" t="e">
        <f t="shared" ca="1" si="320"/>
        <v>#NAME?</v>
      </c>
      <c r="J1847" s="100" t="e">
        <f ca="1">IFERROR(__xludf.DUMMYFUNCTION("""COMPUTED_VALUE"""),"0")</f>
        <v>#NAME?</v>
      </c>
      <c r="K1847" s="100" t="e">
        <f t="shared" ca="1" si="321"/>
        <v>#NAME?</v>
      </c>
      <c r="L1847" s="100"/>
      <c r="M1847" s="100"/>
      <c r="N1847" s="100"/>
      <c r="O1847" s="100"/>
      <c r="P1847" s="100"/>
      <c r="Q1847" s="100"/>
      <c r="R1847" s="100"/>
      <c r="S1847" s="100"/>
      <c r="T1847" s="100"/>
      <c r="U1847" s="100"/>
      <c r="V1847" s="100"/>
      <c r="W1847" s="100"/>
      <c r="X1847" s="100"/>
      <c r="Y1847" s="100"/>
      <c r="Z1847" s="100"/>
    </row>
    <row r="1848" spans="1:26">
      <c r="A1848" s="100" t="e">
        <f ca="1">IFERROR(__xludf.DUMMYFUNCTION("""COMPUTED_VALUE"""),58785183)</f>
        <v>#NAME?</v>
      </c>
      <c r="B1848" s="100" t="e">
        <f ca="1">IFERROR(__xludf.DUMMYFUNCTION("""COMPUTED_VALUE"""),"MDTBUSD")</f>
        <v>#NAME?</v>
      </c>
      <c r="C1848" s="100" t="e">
        <f ca="1">IFERROR(__xludf.DUMMYFUNCTION("""COMPUTED_VALUE"""),"0.04578000")</f>
        <v>#NAME?</v>
      </c>
      <c r="D1848" s="100" t="e">
        <f t="shared" ca="1" si="326"/>
        <v>#NAME?</v>
      </c>
      <c r="E1848" s="100" t="e">
        <f t="shared" ca="1" si="326"/>
        <v>#NAME?</v>
      </c>
      <c r="F1848" s="100" t="e">
        <f t="shared" ca="1" si="317"/>
        <v>#NAME?</v>
      </c>
      <c r="G1848" s="100" t="e">
        <f t="shared" ca="1" si="318"/>
        <v>#NAME?</v>
      </c>
      <c r="H1848" s="100" t="e">
        <f t="shared" ca="1" si="319"/>
        <v>#NAME?</v>
      </c>
      <c r="I1848" s="100" t="e">
        <f t="shared" ca="1" si="320"/>
        <v>#NAME?</v>
      </c>
      <c r="J1848" s="100" t="e">
        <f ca="1">IFERROR(__xludf.DUMMYFUNCTION("""COMPUTED_VALUE"""),"0")</f>
        <v>#NAME?</v>
      </c>
      <c r="K1848" s="100" t="e">
        <f t="shared" ca="1" si="321"/>
        <v>#NAME?</v>
      </c>
      <c r="L1848" s="100"/>
      <c r="M1848" s="100"/>
      <c r="N1848" s="100"/>
      <c r="O1848" s="100"/>
      <c r="P1848" s="100"/>
      <c r="Q1848" s="100"/>
      <c r="R1848" s="100"/>
      <c r="S1848" s="100"/>
      <c r="T1848" s="100"/>
      <c r="U1848" s="100"/>
      <c r="V1848" s="100"/>
      <c r="W1848" s="100"/>
      <c r="X1848" s="100"/>
      <c r="Y1848" s="100"/>
      <c r="Z1848" s="100"/>
    </row>
    <row r="1849" spans="1:26">
      <c r="A1849" s="100" t="e">
        <f ca="1">IFERROR(__xludf.DUMMYFUNCTION("""COMPUTED_VALUE"""),58785184)</f>
        <v>#NAME?</v>
      </c>
      <c r="B1849" s="100" t="e">
        <f ca="1">IFERROR(__xludf.DUMMYFUNCTION("""COMPUTED_VALUE"""),"NULSBUSD")</f>
        <v>#NAME?</v>
      </c>
      <c r="C1849" s="100" t="e">
        <f ca="1">IFERROR(__xludf.DUMMYFUNCTION("""COMPUTED_VALUE"""),"0.17850000")</f>
        <v>#NAME?</v>
      </c>
      <c r="D1849" s="100" t="e">
        <f t="shared" ca="1" si="326"/>
        <v>#NAME?</v>
      </c>
      <c r="E1849" s="100" t="e">
        <f t="shared" ca="1" si="326"/>
        <v>#NAME?</v>
      </c>
      <c r="F1849" s="100" t="e">
        <f t="shared" ca="1" si="317"/>
        <v>#NAME?</v>
      </c>
      <c r="G1849" s="100" t="e">
        <f t="shared" ca="1" si="318"/>
        <v>#NAME?</v>
      </c>
      <c r="H1849" s="100" t="e">
        <f t="shared" ca="1" si="319"/>
        <v>#NAME?</v>
      </c>
      <c r="I1849" s="100" t="e">
        <f t="shared" ca="1" si="320"/>
        <v>#NAME?</v>
      </c>
      <c r="J1849" s="100" t="e">
        <f ca="1">IFERROR(__xludf.DUMMYFUNCTION("""COMPUTED_VALUE"""),"0")</f>
        <v>#NAME?</v>
      </c>
      <c r="K1849" s="100" t="e">
        <f t="shared" ca="1" si="321"/>
        <v>#NAME?</v>
      </c>
      <c r="L1849" s="100"/>
      <c r="M1849" s="100"/>
      <c r="N1849" s="100"/>
      <c r="O1849" s="100"/>
      <c r="P1849" s="100"/>
      <c r="Q1849" s="100"/>
      <c r="R1849" s="100"/>
      <c r="S1849" s="100"/>
      <c r="T1849" s="100"/>
      <c r="U1849" s="100"/>
      <c r="V1849" s="100"/>
      <c r="W1849" s="100"/>
      <c r="X1849" s="100"/>
      <c r="Y1849" s="100"/>
      <c r="Z1849" s="100"/>
    </row>
    <row r="1850" spans="1:26">
      <c r="A1850" s="100" t="e">
        <f ca="1">IFERROR(__xludf.DUMMYFUNCTION("""COMPUTED_VALUE"""),58785185)</f>
        <v>#NAME?</v>
      </c>
      <c r="B1850" s="100" t="e">
        <f ca="1">IFERROR(__xludf.DUMMYFUNCTION("""COMPUTED_VALUE"""),"SPELLBTC")</f>
        <v>#NAME?</v>
      </c>
      <c r="C1850" s="100" t="e">
        <f ca="1">IFERROR(__xludf.DUMMYFUNCTION("""COMPUTED_VALUE"""),"0.00000000")</f>
        <v>#NAME?</v>
      </c>
      <c r="D1850" s="100" t="e">
        <f t="shared" ca="1" si="326"/>
        <v>#NAME?</v>
      </c>
      <c r="E1850" s="100" t="e">
        <f t="shared" ca="1" si="326"/>
        <v>#NAME?</v>
      </c>
      <c r="F1850" s="100" t="e">
        <f t="shared" ca="1" si="317"/>
        <v>#NAME?</v>
      </c>
      <c r="G1850" s="100" t="e">
        <f t="shared" ca="1" si="318"/>
        <v>#NAME?</v>
      </c>
      <c r="H1850" s="100" t="e">
        <f t="shared" ca="1" si="319"/>
        <v>#NAME?</v>
      </c>
      <c r="I1850" s="100" t="e">
        <f t="shared" ca="1" si="320"/>
        <v>#NAME?</v>
      </c>
      <c r="J1850" s="100" t="e">
        <f ca="1">IFERROR(__xludf.DUMMYFUNCTION("""COMPUTED_VALUE"""),"0")</f>
        <v>#NAME?</v>
      </c>
      <c r="K1850" s="100" t="e">
        <f t="shared" ca="1" si="321"/>
        <v>#NAME?</v>
      </c>
      <c r="L1850" s="100"/>
      <c r="M1850" s="100"/>
      <c r="N1850" s="100"/>
      <c r="O1850" s="100"/>
      <c r="P1850" s="100"/>
      <c r="Q1850" s="100"/>
      <c r="R1850" s="100"/>
      <c r="S1850" s="100"/>
      <c r="T1850" s="100"/>
      <c r="U1850" s="100"/>
      <c r="V1850" s="100"/>
      <c r="W1850" s="100"/>
      <c r="X1850" s="100"/>
      <c r="Y1850" s="100"/>
      <c r="Z1850" s="100"/>
    </row>
    <row r="1851" spans="1:26">
      <c r="A1851" s="100" t="e">
        <f ca="1">IFERROR(__xludf.DUMMYFUNCTION("""COMPUTED_VALUE"""),58785186)</f>
        <v>#NAME?</v>
      </c>
      <c r="B1851" s="100" t="e">
        <f ca="1">IFERROR(__xludf.DUMMYFUNCTION("""COMPUTED_VALUE"""),"SPELLUSDT")</f>
        <v>#NAME?</v>
      </c>
      <c r="C1851" s="100" t="e">
        <f ca="1">IFERROR(__xludf.DUMMYFUNCTION("""COMPUTED_VALUE"""),"0.00055700")</f>
        <v>#NAME?</v>
      </c>
      <c r="D1851" s="100" t="e">
        <f t="shared" ca="1" si="326"/>
        <v>#NAME?</v>
      </c>
      <c r="E1851" s="100" t="e">
        <f t="shared" ca="1" si="326"/>
        <v>#NAME?</v>
      </c>
      <c r="F1851" s="100" t="e">
        <f t="shared" ca="1" si="317"/>
        <v>#NAME?</v>
      </c>
      <c r="G1851" s="100" t="e">
        <f t="shared" ca="1" si="318"/>
        <v>#NAME?</v>
      </c>
      <c r="H1851" s="100" t="e">
        <f t="shared" ca="1" si="319"/>
        <v>#NAME?</v>
      </c>
      <c r="I1851" s="100" t="e">
        <f t="shared" ca="1" si="320"/>
        <v>#NAME?</v>
      </c>
      <c r="J1851" s="100" t="e">
        <f ca="1">IFERROR(__xludf.DUMMYFUNCTION("""COMPUTED_VALUE"""),"2.692")</f>
        <v>#NAME?</v>
      </c>
      <c r="K1851" s="100" t="e">
        <f t="shared" ca="1" si="321"/>
        <v>#NAME?</v>
      </c>
      <c r="L1851" s="100"/>
      <c r="M1851" s="100"/>
      <c r="N1851" s="100"/>
      <c r="O1851" s="100"/>
      <c r="P1851" s="100"/>
      <c r="Q1851" s="100"/>
      <c r="R1851" s="100"/>
      <c r="S1851" s="100"/>
      <c r="T1851" s="100"/>
      <c r="U1851" s="100"/>
      <c r="V1851" s="100"/>
      <c r="W1851" s="100"/>
      <c r="X1851" s="100"/>
      <c r="Y1851" s="100"/>
      <c r="Z1851" s="100"/>
    </row>
    <row r="1852" spans="1:26">
      <c r="A1852" s="100" t="e">
        <f ca="1">IFERROR(__xludf.DUMMYFUNCTION("""COMPUTED_VALUE"""),58785187)</f>
        <v>#NAME?</v>
      </c>
      <c r="B1852" s="100" t="e">
        <f ca="1">IFERROR(__xludf.DUMMYFUNCTION("""COMPUTED_VALUE"""),"SPELLBUSD")</f>
        <v>#NAME?</v>
      </c>
      <c r="C1852" s="100" t="e">
        <f ca="1">IFERROR(__xludf.DUMMYFUNCTION("""COMPUTED_VALUE"""),"0.00039730")</f>
        <v>#NAME?</v>
      </c>
      <c r="D1852" s="100" t="e">
        <f t="shared" ca="1" si="326"/>
        <v>#NAME?</v>
      </c>
      <c r="E1852" s="100" t="e">
        <f t="shared" ca="1" si="326"/>
        <v>#NAME?</v>
      </c>
      <c r="F1852" s="100" t="e">
        <f t="shared" ca="1" si="317"/>
        <v>#NAME?</v>
      </c>
      <c r="G1852" s="100" t="e">
        <f t="shared" ca="1" si="318"/>
        <v>#NAME?</v>
      </c>
      <c r="H1852" s="100" t="e">
        <f t="shared" ca="1" si="319"/>
        <v>#NAME?</v>
      </c>
      <c r="I1852" s="100" t="e">
        <f t="shared" ca="1" si="320"/>
        <v>#NAME?</v>
      </c>
      <c r="J1852" s="100" t="e">
        <f ca="1">IFERROR(__xludf.DUMMYFUNCTION("""COMPUTED_VALUE"""),"0")</f>
        <v>#NAME?</v>
      </c>
      <c r="K1852" s="100" t="e">
        <f t="shared" ca="1" si="321"/>
        <v>#NAME?</v>
      </c>
      <c r="L1852" s="100"/>
      <c r="M1852" s="100"/>
      <c r="N1852" s="100"/>
      <c r="O1852" s="100"/>
      <c r="P1852" s="100"/>
      <c r="Q1852" s="100"/>
      <c r="R1852" s="100"/>
      <c r="S1852" s="100"/>
      <c r="T1852" s="100"/>
      <c r="U1852" s="100"/>
      <c r="V1852" s="100"/>
      <c r="W1852" s="100"/>
      <c r="X1852" s="100"/>
      <c r="Y1852" s="100"/>
      <c r="Z1852" s="100"/>
    </row>
    <row r="1853" spans="1:26">
      <c r="A1853" s="100" t="e">
        <f ca="1">IFERROR(__xludf.DUMMYFUNCTION("""COMPUTED_VALUE"""),58785188)</f>
        <v>#NAME?</v>
      </c>
      <c r="B1853" s="100" t="e">
        <f ca="1">IFERROR(__xludf.DUMMYFUNCTION("""COMPUTED_VALUE"""),"USTBTC")</f>
        <v>#NAME?</v>
      </c>
      <c r="C1853" s="100" t="e">
        <f ca="1">IFERROR(__xludf.DUMMYFUNCTION("""COMPUTED_VALUE"""),"0.00000000")</f>
        <v>#NAME?</v>
      </c>
      <c r="D1853" s="100" t="e">
        <f t="shared" ca="1" si="326"/>
        <v>#NAME?</v>
      </c>
      <c r="E1853" s="100" t="e">
        <f t="shared" ca="1" si="326"/>
        <v>#NAME?</v>
      </c>
      <c r="F1853" s="100" t="e">
        <f t="shared" ca="1" si="317"/>
        <v>#NAME?</v>
      </c>
      <c r="G1853" s="100" t="e">
        <f t="shared" ca="1" si="318"/>
        <v>#NAME?</v>
      </c>
      <c r="H1853" s="100" t="e">
        <f t="shared" ca="1" si="319"/>
        <v>#NAME?</v>
      </c>
      <c r="I1853" s="100" t="e">
        <f t="shared" ca="1" si="320"/>
        <v>#NAME?</v>
      </c>
      <c r="J1853" s="100" t="e">
        <f ca="1">IFERROR(__xludf.DUMMYFUNCTION("""COMPUTED_VALUE"""),"0")</f>
        <v>#NAME?</v>
      </c>
      <c r="K1853" s="100" t="e">
        <f t="shared" ca="1" si="321"/>
        <v>#NAME?</v>
      </c>
      <c r="L1853" s="100"/>
      <c r="M1853" s="100"/>
      <c r="N1853" s="100"/>
      <c r="O1853" s="100"/>
      <c r="P1853" s="100"/>
      <c r="Q1853" s="100"/>
      <c r="R1853" s="100"/>
      <c r="S1853" s="100"/>
      <c r="T1853" s="100"/>
      <c r="U1853" s="100"/>
      <c r="V1853" s="100"/>
      <c r="W1853" s="100"/>
      <c r="X1853" s="100"/>
      <c r="Y1853" s="100"/>
      <c r="Z1853" s="100"/>
    </row>
    <row r="1854" spans="1:26">
      <c r="A1854" s="100" t="e">
        <f ca="1">IFERROR(__xludf.DUMMYFUNCTION("""COMPUTED_VALUE"""),58785189)</f>
        <v>#NAME?</v>
      </c>
      <c r="B1854" s="100" t="e">
        <f ca="1">IFERROR(__xludf.DUMMYFUNCTION("""COMPUTED_VALUE"""),"USTBUSD")</f>
        <v>#NAME?</v>
      </c>
      <c r="C1854" s="100" t="e">
        <f ca="1">IFERROR(__xludf.DUMMYFUNCTION("""COMPUTED_VALUE"""),"0.00000000")</f>
        <v>#NAME?</v>
      </c>
      <c r="D1854" s="100" t="e">
        <f t="shared" ca="1" si="326"/>
        <v>#NAME?</v>
      </c>
      <c r="E1854" s="100" t="e">
        <f t="shared" ca="1" si="326"/>
        <v>#NAME?</v>
      </c>
      <c r="F1854" s="100" t="e">
        <f t="shared" ca="1" si="317"/>
        <v>#NAME?</v>
      </c>
      <c r="G1854" s="100" t="e">
        <f t="shared" ca="1" si="318"/>
        <v>#NAME?</v>
      </c>
      <c r="H1854" s="100" t="e">
        <f t="shared" ca="1" si="319"/>
        <v>#NAME?</v>
      </c>
      <c r="I1854" s="100" t="e">
        <f t="shared" ca="1" si="320"/>
        <v>#NAME?</v>
      </c>
      <c r="J1854" s="100" t="e">
        <f ca="1">IFERROR(__xludf.DUMMYFUNCTION("""COMPUTED_VALUE"""),"0")</f>
        <v>#NAME?</v>
      </c>
      <c r="K1854" s="100" t="e">
        <f t="shared" ca="1" si="321"/>
        <v>#NAME?</v>
      </c>
      <c r="L1854" s="100"/>
      <c r="M1854" s="100"/>
      <c r="N1854" s="100"/>
      <c r="O1854" s="100"/>
      <c r="P1854" s="100"/>
      <c r="Q1854" s="100"/>
      <c r="R1854" s="100"/>
      <c r="S1854" s="100"/>
      <c r="T1854" s="100"/>
      <c r="U1854" s="100"/>
      <c r="V1854" s="100"/>
      <c r="W1854" s="100"/>
      <c r="X1854" s="100"/>
      <c r="Y1854" s="100"/>
      <c r="Z1854" s="100"/>
    </row>
    <row r="1855" spans="1:26">
      <c r="A1855" s="100" t="e">
        <f ca="1">IFERROR(__xludf.DUMMYFUNCTION("""COMPUTED_VALUE"""),58785190)</f>
        <v>#NAME?</v>
      </c>
      <c r="B1855" s="100" t="e">
        <f ca="1">IFERROR(__xludf.DUMMYFUNCTION("""COMPUTED_VALUE"""),"USTUSDT")</f>
        <v>#NAME?</v>
      </c>
      <c r="C1855" s="100" t="e">
        <f ca="1">IFERROR(__xludf.DUMMYFUNCTION("""COMPUTED_VALUE"""),"0.00000000")</f>
        <v>#NAME?</v>
      </c>
      <c r="D1855" s="100" t="e">
        <f t="shared" ca="1" si="326"/>
        <v>#NAME?</v>
      </c>
      <c r="E1855" s="100" t="e">
        <f t="shared" ca="1" si="326"/>
        <v>#NAME?</v>
      </c>
      <c r="F1855" s="100" t="e">
        <f t="shared" ca="1" si="317"/>
        <v>#NAME?</v>
      </c>
      <c r="G1855" s="100" t="e">
        <f t="shared" ca="1" si="318"/>
        <v>#NAME?</v>
      </c>
      <c r="H1855" s="100" t="e">
        <f t="shared" ca="1" si="319"/>
        <v>#NAME?</v>
      </c>
      <c r="I1855" s="100" t="e">
        <f t="shared" ca="1" si="320"/>
        <v>#NAME?</v>
      </c>
      <c r="J1855" s="100" t="e">
        <f ca="1">IFERROR(__xludf.DUMMYFUNCTION("""COMPUTED_VALUE"""),"0")</f>
        <v>#NAME?</v>
      </c>
      <c r="K1855" s="100" t="e">
        <f t="shared" ca="1" si="321"/>
        <v>#NAME?</v>
      </c>
      <c r="L1855" s="100"/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</row>
    <row r="1856" spans="1:26">
      <c r="A1856" s="100" t="e">
        <f ca="1">IFERROR(__xludf.DUMMYFUNCTION("""COMPUTED_VALUE"""),58785191)</f>
        <v>#NAME?</v>
      </c>
      <c r="B1856" s="100" t="e">
        <f ca="1">IFERROR(__xludf.DUMMYFUNCTION("""COMPUTED_VALUE"""),"JOEBTC")</f>
        <v>#NAME?</v>
      </c>
      <c r="C1856" s="100" t="e">
        <f ca="1">IFERROR(__xludf.DUMMYFUNCTION("""COMPUTED_VALUE"""),"0.00000200")</f>
        <v>#NAME?</v>
      </c>
      <c r="D1856" s="100" t="e">
        <f t="shared" ca="1" si="326"/>
        <v>#NAME?</v>
      </c>
      <c r="E1856" s="100" t="e">
        <f t="shared" ca="1" si="326"/>
        <v>#NAME?</v>
      </c>
      <c r="F1856" s="100" t="e">
        <f t="shared" ca="1" si="317"/>
        <v>#NAME?</v>
      </c>
      <c r="G1856" s="100" t="e">
        <f t="shared" ca="1" si="318"/>
        <v>#NAME?</v>
      </c>
      <c r="H1856" s="100" t="e">
        <f t="shared" ca="1" si="319"/>
        <v>#NAME?</v>
      </c>
      <c r="I1856" s="100" t="e">
        <f t="shared" ca="1" si="320"/>
        <v>#NAME?</v>
      </c>
      <c r="J1856" s="100" t="e">
        <f ca="1">IFERROR(__xludf.DUMMYFUNCTION("""COMPUTED_VALUE"""),"-2.439")</f>
        <v>#NAME?</v>
      </c>
      <c r="K1856" s="100" t="e">
        <f t="shared" ca="1" si="321"/>
        <v>#NAME?</v>
      </c>
      <c r="L1856" s="100"/>
      <c r="M1856" s="100"/>
      <c r="N1856" s="100"/>
      <c r="O1856" s="100"/>
      <c r="P1856" s="100"/>
      <c r="Q1856" s="100"/>
      <c r="R1856" s="100"/>
      <c r="S1856" s="100"/>
      <c r="T1856" s="100"/>
      <c r="U1856" s="100"/>
      <c r="V1856" s="100"/>
      <c r="W1856" s="100"/>
      <c r="X1856" s="100"/>
      <c r="Y1856" s="100"/>
      <c r="Z1856" s="100"/>
    </row>
    <row r="1857" spans="1:26">
      <c r="A1857" s="100" t="e">
        <f ca="1">IFERROR(__xludf.DUMMYFUNCTION("""COMPUTED_VALUE"""),58785192)</f>
        <v>#NAME?</v>
      </c>
      <c r="B1857" s="100" t="e">
        <f ca="1">IFERROR(__xludf.DUMMYFUNCTION("""COMPUTED_VALUE"""),"JOEBUSD")</f>
        <v>#NAME?</v>
      </c>
      <c r="C1857" s="100" t="e">
        <f ca="1">IFERROR(__xludf.DUMMYFUNCTION("""COMPUTED_VALUE"""),"0.21880000")</f>
        <v>#NAME?</v>
      </c>
      <c r="D1857" s="100" t="e">
        <f t="shared" ca="1" si="326"/>
        <v>#NAME?</v>
      </c>
      <c r="E1857" s="100" t="e">
        <f t="shared" ca="1" si="326"/>
        <v>#NAME?</v>
      </c>
      <c r="F1857" s="100" t="e">
        <f t="shared" ca="1" si="317"/>
        <v>#NAME?</v>
      </c>
      <c r="G1857" s="100" t="e">
        <f t="shared" ca="1" si="318"/>
        <v>#NAME?</v>
      </c>
      <c r="H1857" s="100" t="e">
        <f t="shared" ca="1" si="319"/>
        <v>#NAME?</v>
      </c>
      <c r="I1857" s="100" t="e">
        <f t="shared" ca="1" si="320"/>
        <v>#NAME?</v>
      </c>
      <c r="J1857" s="100" t="e">
        <f ca="1">IFERROR(__xludf.DUMMYFUNCTION("""COMPUTED_VALUE"""),"0")</f>
        <v>#NAME?</v>
      </c>
      <c r="K1857" s="100" t="e">
        <f t="shared" ca="1" si="321"/>
        <v>#NAME?</v>
      </c>
      <c r="L1857" s="100"/>
      <c r="M1857" s="100"/>
      <c r="N1857" s="100"/>
      <c r="O1857" s="100"/>
      <c r="P1857" s="100"/>
      <c r="Q1857" s="100"/>
      <c r="R1857" s="100"/>
      <c r="S1857" s="100"/>
      <c r="T1857" s="100"/>
      <c r="U1857" s="100"/>
      <c r="V1857" s="100"/>
      <c r="W1857" s="100"/>
      <c r="X1857" s="100"/>
      <c r="Y1857" s="100"/>
      <c r="Z1857" s="100"/>
    </row>
    <row r="1858" spans="1:26">
      <c r="A1858" s="100" t="e">
        <f ca="1">IFERROR(__xludf.DUMMYFUNCTION("""COMPUTED_VALUE"""),58785193)</f>
        <v>#NAME?</v>
      </c>
      <c r="B1858" s="100" t="e">
        <f ca="1">IFERROR(__xludf.DUMMYFUNCTION("""COMPUTED_VALUE"""),"JOEUSDT")</f>
        <v>#NAME?</v>
      </c>
      <c r="C1858" s="100" t="e">
        <f ca="1">IFERROR(__xludf.DUMMYFUNCTION("""COMPUTED_VALUE"""),"0.17700000")</f>
        <v>#NAME?</v>
      </c>
      <c r="D1858" s="100" t="e">
        <f t="shared" ca="1" si="326"/>
        <v>#NAME?</v>
      </c>
      <c r="E1858" s="100" t="e">
        <f t="shared" ca="1" si="326"/>
        <v>#NAME?</v>
      </c>
      <c r="F1858" s="100" t="e">
        <f t="shared" ref="F1858:F1921" ca="1" si="327">IFERROR(__xludf.DUMMYFUNCTION("""COMPUTED_VALUE"""),20200)</f>
        <v>#NAME?</v>
      </c>
      <c r="G1858" s="100" t="e">
        <f t="shared" ref="G1858:G1921" ca="1" si="328">IFERROR(__xludf.DUMMYFUNCTION("""COMPUTED_VALUE"""),2885)</f>
        <v>#NAME?</v>
      </c>
      <c r="H1858" s="100" t="e">
        <f t="shared" ref="H1858:H1921" ca="1" si="329">IFERROR(__xludf.DUMMYFUNCTION("""COMPUTED_VALUE"""),663)</f>
        <v>#NAME?</v>
      </c>
      <c r="I1858" s="100" t="e">
        <f t="shared" ref="I1858:I1921" ca="1" si="330">IFERROR(__xludf.DUMMYFUNCTION("""COMPUTED_VALUE"""),5817721)</f>
        <v>#NAME?</v>
      </c>
      <c r="J1858" s="100" t="e">
        <f ca="1">IFERROR(__xludf.DUMMYFUNCTION("""COMPUTED_VALUE"""),"-1.612")</f>
        <v>#NAME?</v>
      </c>
      <c r="K1858" s="100" t="e">
        <f t="shared" ref="K1858:K1921" ca="1" si="331">IFERROR(__xludf.DUMMYFUNCTION("""COMPUTED_VALUE"""),"22.04.2025 13:05:01")</f>
        <v>#NAME?</v>
      </c>
      <c r="L1858" s="100"/>
      <c r="M1858" s="100"/>
      <c r="N1858" s="100"/>
      <c r="O1858" s="100"/>
      <c r="P1858" s="100"/>
      <c r="Q1858" s="100"/>
      <c r="R1858" s="100"/>
      <c r="S1858" s="100"/>
      <c r="T1858" s="100"/>
      <c r="U1858" s="100"/>
      <c r="V1858" s="100"/>
      <c r="W1858" s="100"/>
      <c r="X1858" s="100"/>
      <c r="Y1858" s="100"/>
      <c r="Z1858" s="100"/>
    </row>
    <row r="1859" spans="1:26">
      <c r="A1859" s="100" t="e">
        <f ca="1">IFERROR(__xludf.DUMMYFUNCTION("""COMPUTED_VALUE"""),58785194)</f>
        <v>#NAME?</v>
      </c>
      <c r="B1859" s="100" t="e">
        <f ca="1">IFERROR(__xludf.DUMMYFUNCTION("""COMPUTED_VALUE"""),"ATOMETH")</f>
        <v>#NAME?</v>
      </c>
      <c r="C1859" s="100" t="e">
        <f ca="1">IFERROR(__xludf.DUMMYFUNCTION("""COMPUTED_VALUE"""),"0.00251100")</f>
        <v>#NAME?</v>
      </c>
      <c r="D1859" s="100" t="e">
        <f t="shared" ca="1" si="326"/>
        <v>#NAME?</v>
      </c>
      <c r="E1859" s="100" t="e">
        <f t="shared" ca="1" si="326"/>
        <v>#NAME?</v>
      </c>
      <c r="F1859" s="100" t="e">
        <f t="shared" ca="1" si="327"/>
        <v>#NAME?</v>
      </c>
      <c r="G1859" s="100" t="e">
        <f t="shared" ca="1" si="328"/>
        <v>#NAME?</v>
      </c>
      <c r="H1859" s="100" t="e">
        <f t="shared" ca="1" si="329"/>
        <v>#NAME?</v>
      </c>
      <c r="I1859" s="100" t="e">
        <f t="shared" ca="1" si="330"/>
        <v>#NAME?</v>
      </c>
      <c r="J1859" s="100" t="e">
        <f ca="1">IFERROR(__xludf.DUMMYFUNCTION("""COMPUTED_VALUE"""),"-3.237")</f>
        <v>#NAME?</v>
      </c>
      <c r="K1859" s="100" t="e">
        <f t="shared" ca="1" si="331"/>
        <v>#NAME?</v>
      </c>
      <c r="L1859" s="100"/>
      <c r="M1859" s="100"/>
      <c r="N1859" s="100"/>
      <c r="O1859" s="100"/>
      <c r="P1859" s="100"/>
      <c r="Q1859" s="100"/>
      <c r="R1859" s="100"/>
      <c r="S1859" s="100"/>
      <c r="T1859" s="100"/>
      <c r="U1859" s="100"/>
      <c r="V1859" s="100"/>
      <c r="W1859" s="100"/>
      <c r="X1859" s="100"/>
      <c r="Y1859" s="100"/>
      <c r="Z1859" s="100"/>
    </row>
    <row r="1860" spans="1:26">
      <c r="A1860" s="100" t="e">
        <f ca="1">IFERROR(__xludf.DUMMYFUNCTION("""COMPUTED_VALUE"""),58785195)</f>
        <v>#NAME?</v>
      </c>
      <c r="B1860" s="100" t="e">
        <f ca="1">IFERROR(__xludf.DUMMYFUNCTION("""COMPUTED_VALUE"""),"DUSKBUSD")</f>
        <v>#NAME?</v>
      </c>
      <c r="C1860" s="100" t="e">
        <f ca="1">IFERROR(__xludf.DUMMYFUNCTION("""COMPUTED_VALUE"""),"0.14310000")</f>
        <v>#NAME?</v>
      </c>
      <c r="D1860" s="100" t="e">
        <f t="shared" ca="1" si="326"/>
        <v>#NAME?</v>
      </c>
      <c r="E1860" s="100" t="e">
        <f t="shared" ca="1" si="326"/>
        <v>#NAME?</v>
      </c>
      <c r="F1860" s="100" t="e">
        <f t="shared" ca="1" si="327"/>
        <v>#NAME?</v>
      </c>
      <c r="G1860" s="100" t="e">
        <f t="shared" ca="1" si="328"/>
        <v>#NAME?</v>
      </c>
      <c r="H1860" s="100" t="e">
        <f t="shared" ca="1" si="329"/>
        <v>#NAME?</v>
      </c>
      <c r="I1860" s="100" t="e">
        <f t="shared" ca="1" si="330"/>
        <v>#NAME?</v>
      </c>
      <c r="J1860" s="100" t="e">
        <f ca="1">IFERROR(__xludf.DUMMYFUNCTION("""COMPUTED_VALUE"""),"0")</f>
        <v>#NAME?</v>
      </c>
      <c r="K1860" s="100" t="e">
        <f t="shared" ca="1" si="331"/>
        <v>#NAME?</v>
      </c>
      <c r="L1860" s="100"/>
      <c r="M1860" s="100"/>
      <c r="N1860" s="100"/>
      <c r="O1860" s="100"/>
      <c r="P1860" s="100"/>
      <c r="Q1860" s="100"/>
      <c r="R1860" s="100"/>
      <c r="S1860" s="100"/>
      <c r="T1860" s="100"/>
      <c r="U1860" s="100"/>
      <c r="V1860" s="100"/>
      <c r="W1860" s="100"/>
      <c r="X1860" s="100"/>
      <c r="Y1860" s="100"/>
      <c r="Z1860" s="100"/>
    </row>
    <row r="1861" spans="1:26">
      <c r="A1861" s="100" t="e">
        <f ca="1">IFERROR(__xludf.DUMMYFUNCTION("""COMPUTED_VALUE"""),58785196)</f>
        <v>#NAME?</v>
      </c>
      <c r="B1861" s="100" t="e">
        <f ca="1">IFERROR(__xludf.DUMMYFUNCTION("""COMPUTED_VALUE"""),"EGLDETH")</f>
        <v>#NAME?</v>
      </c>
      <c r="C1861" s="100" t="e">
        <f ca="1">IFERROR(__xludf.DUMMYFUNCTION("""COMPUTED_VALUE"""),"0.00868000")</f>
        <v>#NAME?</v>
      </c>
      <c r="D1861" s="100" t="e">
        <f t="shared" ca="1" si="326"/>
        <v>#NAME?</v>
      </c>
      <c r="E1861" s="100" t="e">
        <f t="shared" ca="1" si="326"/>
        <v>#NAME?</v>
      </c>
      <c r="F1861" s="100" t="e">
        <f t="shared" ca="1" si="327"/>
        <v>#NAME?</v>
      </c>
      <c r="G1861" s="100" t="e">
        <f t="shared" ca="1" si="328"/>
        <v>#NAME?</v>
      </c>
      <c r="H1861" s="100" t="e">
        <f t="shared" ca="1" si="329"/>
        <v>#NAME?</v>
      </c>
      <c r="I1861" s="100" t="e">
        <f t="shared" ca="1" si="330"/>
        <v>#NAME?</v>
      </c>
      <c r="J1861" s="100" t="e">
        <f ca="1">IFERROR(__xludf.DUMMYFUNCTION("""COMPUTED_VALUE"""),"-1.587")</f>
        <v>#NAME?</v>
      </c>
      <c r="K1861" s="100" t="e">
        <f t="shared" ca="1" si="331"/>
        <v>#NAME?</v>
      </c>
      <c r="L1861" s="100"/>
      <c r="M1861" s="100"/>
      <c r="N1861" s="100"/>
      <c r="O1861" s="100"/>
      <c r="P1861" s="100"/>
      <c r="Q1861" s="100"/>
      <c r="R1861" s="100"/>
      <c r="S1861" s="100"/>
      <c r="T1861" s="100"/>
      <c r="U1861" s="100"/>
      <c r="V1861" s="100"/>
      <c r="W1861" s="100"/>
      <c r="X1861" s="100"/>
      <c r="Y1861" s="100"/>
      <c r="Z1861" s="100"/>
    </row>
    <row r="1862" spans="1:26">
      <c r="A1862" s="100" t="e">
        <f ca="1">IFERROR(__xludf.DUMMYFUNCTION("""COMPUTED_VALUE"""),58785197)</f>
        <v>#NAME?</v>
      </c>
      <c r="B1862" s="100" t="e">
        <f ca="1">IFERROR(__xludf.DUMMYFUNCTION("""COMPUTED_VALUE"""),"ICPETH")</f>
        <v>#NAME?</v>
      </c>
      <c r="C1862" s="100" t="e">
        <f ca="1">IFERROR(__xludf.DUMMYFUNCTION("""COMPUTED_VALUE"""),"0.00287400")</f>
        <v>#NAME?</v>
      </c>
      <c r="D1862" s="100" t="e">
        <f t="shared" ref="D1862:E1881" ca="1" si="332">IFERROR(__xludf.DUMMYFUNCTION("""COMPUTED_VALUE"""),"-")</f>
        <v>#NAME?</v>
      </c>
      <c r="E1862" s="100" t="e">
        <f t="shared" ca="1" si="332"/>
        <v>#NAME?</v>
      </c>
      <c r="F1862" s="100" t="e">
        <f t="shared" ca="1" si="327"/>
        <v>#NAME?</v>
      </c>
      <c r="G1862" s="100" t="e">
        <f t="shared" ca="1" si="328"/>
        <v>#NAME?</v>
      </c>
      <c r="H1862" s="100" t="e">
        <f t="shared" ca="1" si="329"/>
        <v>#NAME?</v>
      </c>
      <c r="I1862" s="100" t="e">
        <f t="shared" ca="1" si="330"/>
        <v>#NAME?</v>
      </c>
      <c r="J1862" s="100" t="e">
        <f ca="1">IFERROR(__xludf.DUMMYFUNCTION("""COMPUTED_VALUE"""),"-5.429")</f>
        <v>#NAME?</v>
      </c>
      <c r="K1862" s="100" t="e">
        <f t="shared" ca="1" si="331"/>
        <v>#NAME?</v>
      </c>
      <c r="L1862" s="100"/>
      <c r="M1862" s="100"/>
      <c r="N1862" s="100"/>
      <c r="O1862" s="100"/>
      <c r="P1862" s="100"/>
      <c r="Q1862" s="100"/>
      <c r="R1862" s="100"/>
      <c r="S1862" s="100"/>
      <c r="T1862" s="100"/>
      <c r="U1862" s="100"/>
      <c r="V1862" s="100"/>
      <c r="W1862" s="100"/>
      <c r="X1862" s="100"/>
      <c r="Y1862" s="100"/>
      <c r="Z1862" s="100"/>
    </row>
    <row r="1863" spans="1:26">
      <c r="A1863" s="100" t="e">
        <f ca="1">IFERROR(__xludf.DUMMYFUNCTION("""COMPUTED_VALUE"""),58785198)</f>
        <v>#NAME?</v>
      </c>
      <c r="B1863" s="100" t="e">
        <f ca="1">IFERROR(__xludf.DUMMYFUNCTION("""COMPUTED_VALUE"""),"LUNABRL")</f>
        <v>#NAME?</v>
      </c>
      <c r="C1863" s="100" t="e">
        <f ca="1">IFERROR(__xludf.DUMMYFUNCTION("""COMPUTED_VALUE"""),"0.00000000")</f>
        <v>#NAME?</v>
      </c>
      <c r="D1863" s="100" t="e">
        <f t="shared" ca="1" si="332"/>
        <v>#NAME?</v>
      </c>
      <c r="E1863" s="100" t="e">
        <f t="shared" ca="1" si="332"/>
        <v>#NAME?</v>
      </c>
      <c r="F1863" s="100" t="e">
        <f t="shared" ca="1" si="327"/>
        <v>#NAME?</v>
      </c>
      <c r="G1863" s="100" t="e">
        <f t="shared" ca="1" si="328"/>
        <v>#NAME?</v>
      </c>
      <c r="H1863" s="100" t="e">
        <f t="shared" ca="1" si="329"/>
        <v>#NAME?</v>
      </c>
      <c r="I1863" s="100" t="e">
        <f t="shared" ca="1" si="330"/>
        <v>#NAME?</v>
      </c>
      <c r="J1863" s="100" t="e">
        <f ca="1">IFERROR(__xludf.DUMMYFUNCTION("""COMPUTED_VALUE"""),"0")</f>
        <v>#NAME?</v>
      </c>
      <c r="K1863" s="100" t="e">
        <f t="shared" ca="1" si="331"/>
        <v>#NAME?</v>
      </c>
      <c r="L1863" s="100"/>
      <c r="M1863" s="100"/>
      <c r="N1863" s="100"/>
      <c r="O1863" s="100"/>
      <c r="P1863" s="100"/>
      <c r="Q1863" s="100"/>
      <c r="R1863" s="100"/>
      <c r="S1863" s="100"/>
      <c r="T1863" s="100"/>
      <c r="U1863" s="100"/>
      <c r="V1863" s="100"/>
      <c r="W1863" s="100"/>
      <c r="X1863" s="100"/>
      <c r="Y1863" s="100"/>
      <c r="Z1863" s="100"/>
    </row>
    <row r="1864" spans="1:26">
      <c r="A1864" s="100" t="e">
        <f ca="1">IFERROR(__xludf.DUMMYFUNCTION("""COMPUTED_VALUE"""),58785199)</f>
        <v>#NAME?</v>
      </c>
      <c r="B1864" s="100" t="e">
        <f ca="1">IFERROR(__xludf.DUMMYFUNCTION("""COMPUTED_VALUE"""),"LUNAUST")</f>
        <v>#NAME?</v>
      </c>
      <c r="C1864" s="100" t="e">
        <f ca="1">IFERROR(__xludf.DUMMYFUNCTION("""COMPUTED_VALUE"""),"0.00000000")</f>
        <v>#NAME?</v>
      </c>
      <c r="D1864" s="100" t="e">
        <f t="shared" ca="1" si="332"/>
        <v>#NAME?</v>
      </c>
      <c r="E1864" s="100" t="e">
        <f t="shared" ca="1" si="332"/>
        <v>#NAME?</v>
      </c>
      <c r="F1864" s="100" t="e">
        <f t="shared" ca="1" si="327"/>
        <v>#NAME?</v>
      </c>
      <c r="G1864" s="100" t="e">
        <f t="shared" ca="1" si="328"/>
        <v>#NAME?</v>
      </c>
      <c r="H1864" s="100" t="e">
        <f t="shared" ca="1" si="329"/>
        <v>#NAME?</v>
      </c>
      <c r="I1864" s="100" t="e">
        <f t="shared" ca="1" si="330"/>
        <v>#NAME?</v>
      </c>
      <c r="J1864" s="100" t="e">
        <f ca="1">IFERROR(__xludf.DUMMYFUNCTION("""COMPUTED_VALUE"""),"0")</f>
        <v>#NAME?</v>
      </c>
      <c r="K1864" s="100" t="e">
        <f t="shared" ca="1" si="331"/>
        <v>#NAME?</v>
      </c>
      <c r="L1864" s="100"/>
      <c r="M1864" s="100"/>
      <c r="N1864" s="100"/>
      <c r="O1864" s="100"/>
      <c r="P1864" s="100"/>
      <c r="Q1864" s="100"/>
      <c r="R1864" s="100"/>
      <c r="S1864" s="100"/>
      <c r="T1864" s="100"/>
      <c r="U1864" s="100"/>
      <c r="V1864" s="100"/>
      <c r="W1864" s="100"/>
      <c r="X1864" s="100"/>
      <c r="Y1864" s="100"/>
      <c r="Z1864" s="100"/>
    </row>
    <row r="1865" spans="1:26">
      <c r="A1865" s="100" t="e">
        <f ca="1">IFERROR(__xludf.DUMMYFUNCTION("""COMPUTED_VALUE"""),58785200)</f>
        <v>#NAME?</v>
      </c>
      <c r="B1865" s="100" t="e">
        <f ca="1">IFERROR(__xludf.DUMMYFUNCTION("""COMPUTED_VALUE"""),"NEARETH")</f>
        <v>#NAME?</v>
      </c>
      <c r="C1865" s="100" t="e">
        <f ca="1">IFERROR(__xludf.DUMMYFUNCTION("""COMPUTED_VALUE"""),"0.00134200")</f>
        <v>#NAME?</v>
      </c>
      <c r="D1865" s="100" t="e">
        <f t="shared" ca="1" si="332"/>
        <v>#NAME?</v>
      </c>
      <c r="E1865" s="100" t="e">
        <f t="shared" ca="1" si="332"/>
        <v>#NAME?</v>
      </c>
      <c r="F1865" s="100" t="e">
        <f t="shared" ca="1" si="327"/>
        <v>#NAME?</v>
      </c>
      <c r="G1865" s="100" t="e">
        <f t="shared" ca="1" si="328"/>
        <v>#NAME?</v>
      </c>
      <c r="H1865" s="100" t="e">
        <f t="shared" ca="1" si="329"/>
        <v>#NAME?</v>
      </c>
      <c r="I1865" s="100" t="e">
        <f t="shared" ca="1" si="330"/>
        <v>#NAME?</v>
      </c>
      <c r="J1865" s="100" t="e">
        <f ca="1">IFERROR(__xludf.DUMMYFUNCTION("""COMPUTED_VALUE"""),"-4.688")</f>
        <v>#NAME?</v>
      </c>
      <c r="K1865" s="100" t="e">
        <f t="shared" ca="1" si="331"/>
        <v>#NAME?</v>
      </c>
      <c r="L1865" s="100"/>
      <c r="M1865" s="100"/>
      <c r="N1865" s="100"/>
      <c r="O1865" s="100"/>
      <c r="P1865" s="100"/>
      <c r="Q1865" s="100"/>
      <c r="R1865" s="100"/>
      <c r="S1865" s="100"/>
      <c r="T1865" s="100"/>
      <c r="U1865" s="100"/>
      <c r="V1865" s="100"/>
      <c r="W1865" s="100"/>
      <c r="X1865" s="100"/>
      <c r="Y1865" s="100"/>
      <c r="Z1865" s="100"/>
    </row>
    <row r="1866" spans="1:26">
      <c r="A1866" s="100" t="e">
        <f ca="1">IFERROR(__xludf.DUMMYFUNCTION("""COMPUTED_VALUE"""),58785201)</f>
        <v>#NAME?</v>
      </c>
      <c r="B1866" s="100" t="e">
        <f ca="1">IFERROR(__xludf.DUMMYFUNCTION("""COMPUTED_VALUE"""),"ROSEBNB")</f>
        <v>#NAME?</v>
      </c>
      <c r="C1866" s="100" t="e">
        <f ca="1">IFERROR(__xludf.DUMMYFUNCTION("""COMPUTED_VALUE"""),"0.00015340")</f>
        <v>#NAME?</v>
      </c>
      <c r="D1866" s="100" t="e">
        <f t="shared" ca="1" si="332"/>
        <v>#NAME?</v>
      </c>
      <c r="E1866" s="100" t="e">
        <f t="shared" ca="1" si="332"/>
        <v>#NAME?</v>
      </c>
      <c r="F1866" s="100" t="e">
        <f t="shared" ca="1" si="327"/>
        <v>#NAME?</v>
      </c>
      <c r="G1866" s="100" t="e">
        <f t="shared" ca="1" si="328"/>
        <v>#NAME?</v>
      </c>
      <c r="H1866" s="100" t="e">
        <f t="shared" ca="1" si="329"/>
        <v>#NAME?</v>
      </c>
      <c r="I1866" s="100" t="e">
        <f t="shared" ca="1" si="330"/>
        <v>#NAME?</v>
      </c>
      <c r="J1866" s="100" t="e">
        <f ca="1">IFERROR(__xludf.DUMMYFUNCTION("""COMPUTED_VALUE"""),"0")</f>
        <v>#NAME?</v>
      </c>
      <c r="K1866" s="100" t="e">
        <f t="shared" ca="1" si="331"/>
        <v>#NAME?</v>
      </c>
      <c r="L1866" s="100"/>
      <c r="M1866" s="100"/>
      <c r="N1866" s="100"/>
      <c r="O1866" s="100"/>
      <c r="P1866" s="100"/>
      <c r="Q1866" s="100"/>
      <c r="R1866" s="100"/>
      <c r="S1866" s="100"/>
      <c r="T1866" s="100"/>
      <c r="U1866" s="100"/>
      <c r="V1866" s="100"/>
      <c r="W1866" s="100"/>
      <c r="X1866" s="100"/>
      <c r="Y1866" s="100"/>
      <c r="Z1866" s="100"/>
    </row>
    <row r="1867" spans="1:26">
      <c r="A1867" s="100" t="e">
        <f ca="1">IFERROR(__xludf.DUMMYFUNCTION("""COMPUTED_VALUE"""),58785202)</f>
        <v>#NAME?</v>
      </c>
      <c r="B1867" s="100" t="e">
        <f ca="1">IFERROR(__xludf.DUMMYFUNCTION("""COMPUTED_VALUE"""),"VOXELETH")</f>
        <v>#NAME?</v>
      </c>
      <c r="C1867" s="100" t="e">
        <f ca="1">IFERROR(__xludf.DUMMYFUNCTION("""COMPUTED_VALUE"""),"0.00020220")</f>
        <v>#NAME?</v>
      </c>
      <c r="D1867" s="100" t="e">
        <f t="shared" ca="1" si="332"/>
        <v>#NAME?</v>
      </c>
      <c r="E1867" s="100" t="e">
        <f t="shared" ca="1" si="332"/>
        <v>#NAME?</v>
      </c>
      <c r="F1867" s="100" t="e">
        <f t="shared" ca="1" si="327"/>
        <v>#NAME?</v>
      </c>
      <c r="G1867" s="100" t="e">
        <f t="shared" ca="1" si="328"/>
        <v>#NAME?</v>
      </c>
      <c r="H1867" s="100" t="e">
        <f t="shared" ca="1" si="329"/>
        <v>#NAME?</v>
      </c>
      <c r="I1867" s="100" t="e">
        <f t="shared" ca="1" si="330"/>
        <v>#NAME?</v>
      </c>
      <c r="J1867" s="100" t="e">
        <f ca="1">IFERROR(__xludf.DUMMYFUNCTION("""COMPUTED_VALUE"""),"0")</f>
        <v>#NAME?</v>
      </c>
      <c r="K1867" s="100" t="e">
        <f t="shared" ca="1" si="331"/>
        <v>#NAME?</v>
      </c>
      <c r="L1867" s="100"/>
      <c r="M1867" s="100"/>
      <c r="N1867" s="100"/>
      <c r="O1867" s="100"/>
      <c r="P1867" s="100"/>
      <c r="Q1867" s="100"/>
      <c r="R1867" s="100"/>
      <c r="S1867" s="100"/>
      <c r="T1867" s="100"/>
      <c r="U1867" s="100"/>
      <c r="V1867" s="100"/>
      <c r="W1867" s="100"/>
      <c r="X1867" s="100"/>
      <c r="Y1867" s="100"/>
      <c r="Z1867" s="100"/>
    </row>
    <row r="1868" spans="1:26">
      <c r="A1868" s="100" t="e">
        <f ca="1">IFERROR(__xludf.DUMMYFUNCTION("""COMPUTED_VALUE"""),58785203)</f>
        <v>#NAME?</v>
      </c>
      <c r="B1868" s="100" t="e">
        <f ca="1">IFERROR(__xludf.DUMMYFUNCTION("""COMPUTED_VALUE"""),"ALICEBNB")</f>
        <v>#NAME?</v>
      </c>
      <c r="C1868" s="100" t="e">
        <f ca="1">IFERROR(__xludf.DUMMYFUNCTION("""COMPUTED_VALUE"""),"0.00524000")</f>
        <v>#NAME?</v>
      </c>
      <c r="D1868" s="100" t="e">
        <f t="shared" ca="1" si="332"/>
        <v>#NAME?</v>
      </c>
      <c r="E1868" s="100" t="e">
        <f t="shared" ca="1" si="332"/>
        <v>#NAME?</v>
      </c>
      <c r="F1868" s="100" t="e">
        <f t="shared" ca="1" si="327"/>
        <v>#NAME?</v>
      </c>
      <c r="G1868" s="100" t="e">
        <f t="shared" ca="1" si="328"/>
        <v>#NAME?</v>
      </c>
      <c r="H1868" s="100" t="e">
        <f t="shared" ca="1" si="329"/>
        <v>#NAME?</v>
      </c>
      <c r="I1868" s="100" t="e">
        <f t="shared" ca="1" si="330"/>
        <v>#NAME?</v>
      </c>
      <c r="J1868" s="100" t="e">
        <f ca="1">IFERROR(__xludf.DUMMYFUNCTION("""COMPUTED_VALUE"""),"0")</f>
        <v>#NAME?</v>
      </c>
      <c r="K1868" s="100" t="e">
        <f t="shared" ca="1" si="331"/>
        <v>#NAME?</v>
      </c>
      <c r="L1868" s="100"/>
      <c r="M1868" s="100"/>
      <c r="N1868" s="100"/>
      <c r="O1868" s="100"/>
      <c r="P1868" s="100"/>
      <c r="Q1868" s="100"/>
      <c r="R1868" s="100"/>
      <c r="S1868" s="100"/>
      <c r="T1868" s="100"/>
      <c r="U1868" s="100"/>
      <c r="V1868" s="100"/>
      <c r="W1868" s="100"/>
      <c r="X1868" s="100"/>
      <c r="Y1868" s="100"/>
      <c r="Z1868" s="100"/>
    </row>
    <row r="1869" spans="1:26">
      <c r="A1869" s="100" t="e">
        <f ca="1">IFERROR(__xludf.DUMMYFUNCTION("""COMPUTED_VALUE"""),58785204)</f>
        <v>#NAME?</v>
      </c>
      <c r="B1869" s="100" t="e">
        <f ca="1">IFERROR(__xludf.DUMMYFUNCTION("""COMPUTED_VALUE"""),"ATOMTRY")</f>
        <v>#NAME?</v>
      </c>
      <c r="C1869" s="100" t="e">
        <f ca="1">IFERROR(__xludf.DUMMYFUNCTION("""COMPUTED_VALUE"""),"156.10000000")</f>
        <v>#NAME?</v>
      </c>
      <c r="D1869" s="100" t="e">
        <f t="shared" ca="1" si="332"/>
        <v>#NAME?</v>
      </c>
      <c r="E1869" s="100" t="e">
        <f t="shared" ca="1" si="332"/>
        <v>#NAME?</v>
      </c>
      <c r="F1869" s="100" t="e">
        <f t="shared" ca="1" si="327"/>
        <v>#NAME?</v>
      </c>
      <c r="G1869" s="100" t="e">
        <f t="shared" ca="1" si="328"/>
        <v>#NAME?</v>
      </c>
      <c r="H1869" s="100" t="e">
        <f t="shared" ca="1" si="329"/>
        <v>#NAME?</v>
      </c>
      <c r="I1869" s="100" t="e">
        <f t="shared" ca="1" si="330"/>
        <v>#NAME?</v>
      </c>
      <c r="J1869" s="100" t="e">
        <f ca="1">IFERROR(__xludf.DUMMYFUNCTION("""COMPUTED_VALUE"""),"-3.879")</f>
        <v>#NAME?</v>
      </c>
      <c r="K1869" s="100" t="e">
        <f t="shared" ca="1" si="331"/>
        <v>#NAME?</v>
      </c>
      <c r="L1869" s="100"/>
      <c r="M1869" s="100"/>
      <c r="N1869" s="100"/>
      <c r="O1869" s="100"/>
      <c r="P1869" s="100"/>
      <c r="Q1869" s="100"/>
      <c r="R1869" s="100"/>
      <c r="S1869" s="100"/>
      <c r="T1869" s="100"/>
      <c r="U1869" s="100"/>
      <c r="V1869" s="100"/>
      <c r="W1869" s="100"/>
      <c r="X1869" s="100"/>
      <c r="Y1869" s="100"/>
      <c r="Z1869" s="100"/>
    </row>
    <row r="1870" spans="1:26">
      <c r="A1870" s="100" t="e">
        <f ca="1">IFERROR(__xludf.DUMMYFUNCTION("""COMPUTED_VALUE"""),58785205)</f>
        <v>#NAME?</v>
      </c>
      <c r="B1870" s="100" t="e">
        <f ca="1">IFERROR(__xludf.DUMMYFUNCTION("""COMPUTED_VALUE"""),"ETHUST")</f>
        <v>#NAME?</v>
      </c>
      <c r="C1870" s="100" t="e">
        <f ca="1">IFERROR(__xludf.DUMMYFUNCTION("""COMPUTED_VALUE"""),"0.00000000")</f>
        <v>#NAME?</v>
      </c>
      <c r="D1870" s="100" t="e">
        <f t="shared" ca="1" si="332"/>
        <v>#NAME?</v>
      </c>
      <c r="E1870" s="100" t="e">
        <f t="shared" ca="1" si="332"/>
        <v>#NAME?</v>
      </c>
      <c r="F1870" s="100" t="e">
        <f t="shared" ca="1" si="327"/>
        <v>#NAME?</v>
      </c>
      <c r="G1870" s="100" t="e">
        <f t="shared" ca="1" si="328"/>
        <v>#NAME?</v>
      </c>
      <c r="H1870" s="100" t="e">
        <f t="shared" ca="1" si="329"/>
        <v>#NAME?</v>
      </c>
      <c r="I1870" s="100" t="e">
        <f t="shared" ca="1" si="330"/>
        <v>#NAME?</v>
      </c>
      <c r="J1870" s="100" t="e">
        <f ca="1">IFERROR(__xludf.DUMMYFUNCTION("""COMPUTED_VALUE"""),"0")</f>
        <v>#NAME?</v>
      </c>
      <c r="K1870" s="100" t="e">
        <f t="shared" ca="1" si="331"/>
        <v>#NAME?</v>
      </c>
      <c r="L1870" s="100"/>
      <c r="M1870" s="100"/>
      <c r="N1870" s="100"/>
      <c r="O1870" s="100"/>
      <c r="P1870" s="100"/>
      <c r="Q1870" s="100"/>
      <c r="R1870" s="100"/>
      <c r="S1870" s="100"/>
      <c r="T1870" s="100"/>
      <c r="U1870" s="100"/>
      <c r="V1870" s="100"/>
      <c r="W1870" s="100"/>
      <c r="X1870" s="100"/>
      <c r="Y1870" s="100"/>
      <c r="Z1870" s="100"/>
    </row>
    <row r="1871" spans="1:26">
      <c r="A1871" s="100" t="e">
        <f ca="1">IFERROR(__xludf.DUMMYFUNCTION("""COMPUTED_VALUE"""),58785206)</f>
        <v>#NAME?</v>
      </c>
      <c r="B1871" s="100" t="e">
        <f ca="1">IFERROR(__xludf.DUMMYFUNCTION("""COMPUTED_VALUE"""),"GALAAUD")</f>
        <v>#NAME?</v>
      </c>
      <c r="C1871" s="100" t="e">
        <f ca="1">IFERROR(__xludf.DUMMYFUNCTION("""COMPUTED_VALUE"""),"0.03960000")</f>
        <v>#NAME?</v>
      </c>
      <c r="D1871" s="100" t="e">
        <f t="shared" ca="1" si="332"/>
        <v>#NAME?</v>
      </c>
      <c r="E1871" s="100" t="e">
        <f t="shared" ca="1" si="332"/>
        <v>#NAME?</v>
      </c>
      <c r="F1871" s="100" t="e">
        <f t="shared" ca="1" si="327"/>
        <v>#NAME?</v>
      </c>
      <c r="G1871" s="100" t="e">
        <f t="shared" ca="1" si="328"/>
        <v>#NAME?</v>
      </c>
      <c r="H1871" s="100" t="e">
        <f t="shared" ca="1" si="329"/>
        <v>#NAME?</v>
      </c>
      <c r="I1871" s="100" t="e">
        <f t="shared" ca="1" si="330"/>
        <v>#NAME?</v>
      </c>
      <c r="J1871" s="100" t="e">
        <f ca="1">IFERROR(__xludf.DUMMYFUNCTION("""COMPUTED_VALUE"""),"0")</f>
        <v>#NAME?</v>
      </c>
      <c r="K1871" s="100" t="e">
        <f t="shared" ca="1" si="331"/>
        <v>#NAME?</v>
      </c>
      <c r="L1871" s="100"/>
      <c r="M1871" s="100"/>
      <c r="N1871" s="100"/>
      <c r="O1871" s="100"/>
      <c r="P1871" s="100"/>
      <c r="Q1871" s="100"/>
      <c r="R1871" s="100"/>
      <c r="S1871" s="100"/>
      <c r="T1871" s="100"/>
      <c r="U1871" s="100"/>
      <c r="V1871" s="100"/>
      <c r="W1871" s="100"/>
      <c r="X1871" s="100"/>
      <c r="Y1871" s="100"/>
      <c r="Z1871" s="100"/>
    </row>
    <row r="1872" spans="1:26">
      <c r="A1872" s="100" t="e">
        <f ca="1">IFERROR(__xludf.DUMMYFUNCTION("""COMPUTED_VALUE"""),58785207)</f>
        <v>#NAME?</v>
      </c>
      <c r="B1872" s="100" t="e">
        <f ca="1">IFERROR(__xludf.DUMMYFUNCTION("""COMPUTED_VALUE"""),"LRCBNB")</f>
        <v>#NAME?</v>
      </c>
      <c r="C1872" s="100" t="e">
        <f ca="1">IFERROR(__xludf.DUMMYFUNCTION("""COMPUTED_VALUE"""),"0.00083900")</f>
        <v>#NAME?</v>
      </c>
      <c r="D1872" s="100" t="e">
        <f t="shared" ca="1" si="332"/>
        <v>#NAME?</v>
      </c>
      <c r="E1872" s="100" t="e">
        <f t="shared" ca="1" si="332"/>
        <v>#NAME?</v>
      </c>
      <c r="F1872" s="100" t="e">
        <f t="shared" ca="1" si="327"/>
        <v>#NAME?</v>
      </c>
      <c r="G1872" s="100" t="e">
        <f t="shared" ca="1" si="328"/>
        <v>#NAME?</v>
      </c>
      <c r="H1872" s="100" t="e">
        <f t="shared" ca="1" si="329"/>
        <v>#NAME?</v>
      </c>
      <c r="I1872" s="100" t="e">
        <f t="shared" ca="1" si="330"/>
        <v>#NAME?</v>
      </c>
      <c r="J1872" s="100" t="e">
        <f ca="1">IFERROR(__xludf.DUMMYFUNCTION("""COMPUTED_VALUE"""),"0")</f>
        <v>#NAME?</v>
      </c>
      <c r="K1872" s="100" t="e">
        <f t="shared" ca="1" si="331"/>
        <v>#NAME?</v>
      </c>
      <c r="L1872" s="100"/>
      <c r="M1872" s="100"/>
      <c r="N1872" s="100"/>
      <c r="O1872" s="100"/>
      <c r="P1872" s="100"/>
      <c r="Q1872" s="100"/>
      <c r="R1872" s="100"/>
      <c r="S1872" s="100"/>
      <c r="T1872" s="100"/>
      <c r="U1872" s="100"/>
      <c r="V1872" s="100"/>
      <c r="W1872" s="100"/>
      <c r="X1872" s="100"/>
      <c r="Y1872" s="100"/>
      <c r="Z1872" s="100"/>
    </row>
    <row r="1873" spans="1:26">
      <c r="A1873" s="100" t="e">
        <f ca="1">IFERROR(__xludf.DUMMYFUNCTION("""COMPUTED_VALUE"""),58785208)</f>
        <v>#NAME?</v>
      </c>
      <c r="B1873" s="100" t="e">
        <f ca="1">IFERROR(__xludf.DUMMYFUNCTION("""COMPUTED_VALUE"""),"ONEETH")</f>
        <v>#NAME?</v>
      </c>
      <c r="C1873" s="100" t="e">
        <f ca="1">IFERROR(__xludf.DUMMYFUNCTION("""COMPUTED_VALUE"""),"0.00000617")</f>
        <v>#NAME?</v>
      </c>
      <c r="D1873" s="100" t="e">
        <f t="shared" ca="1" si="332"/>
        <v>#NAME?</v>
      </c>
      <c r="E1873" s="100" t="e">
        <f t="shared" ca="1" si="332"/>
        <v>#NAME?</v>
      </c>
      <c r="F1873" s="100" t="e">
        <f t="shared" ca="1" si="327"/>
        <v>#NAME?</v>
      </c>
      <c r="G1873" s="100" t="e">
        <f t="shared" ca="1" si="328"/>
        <v>#NAME?</v>
      </c>
      <c r="H1873" s="100" t="e">
        <f t="shared" ca="1" si="329"/>
        <v>#NAME?</v>
      </c>
      <c r="I1873" s="100" t="e">
        <f t="shared" ca="1" si="330"/>
        <v>#NAME?</v>
      </c>
      <c r="J1873" s="100" t="e">
        <f ca="1">IFERROR(__xludf.DUMMYFUNCTION("""COMPUTED_VALUE"""),"0")</f>
        <v>#NAME?</v>
      </c>
      <c r="K1873" s="100" t="e">
        <f t="shared" ca="1" si="331"/>
        <v>#NAME?</v>
      </c>
      <c r="L1873" s="100"/>
      <c r="M1873" s="100"/>
      <c r="N1873" s="100"/>
      <c r="O1873" s="100"/>
      <c r="P1873" s="100"/>
      <c r="Q1873" s="100"/>
      <c r="R1873" s="100"/>
      <c r="S1873" s="100"/>
      <c r="T1873" s="100"/>
      <c r="U1873" s="100"/>
      <c r="V1873" s="100"/>
      <c r="W1873" s="100"/>
      <c r="X1873" s="100"/>
      <c r="Y1873" s="100"/>
      <c r="Z1873" s="100"/>
    </row>
    <row r="1874" spans="1:26">
      <c r="A1874" s="100" t="e">
        <f ca="1">IFERROR(__xludf.DUMMYFUNCTION("""COMPUTED_VALUE"""),58785209)</f>
        <v>#NAME?</v>
      </c>
      <c r="B1874" s="100" t="e">
        <f ca="1">IFERROR(__xludf.DUMMYFUNCTION("""COMPUTED_VALUE"""),"OOKIBNB")</f>
        <v>#NAME?</v>
      </c>
      <c r="C1874" s="100" t="e">
        <f ca="1">IFERROR(__xludf.DUMMYFUNCTION("""COMPUTED_VALUE"""),"0.00001491")</f>
        <v>#NAME?</v>
      </c>
      <c r="D1874" s="100" t="e">
        <f t="shared" ca="1" si="332"/>
        <v>#NAME?</v>
      </c>
      <c r="E1874" s="100" t="e">
        <f t="shared" ca="1" si="332"/>
        <v>#NAME?</v>
      </c>
      <c r="F1874" s="100" t="e">
        <f t="shared" ca="1" si="327"/>
        <v>#NAME?</v>
      </c>
      <c r="G1874" s="100" t="e">
        <f t="shared" ca="1" si="328"/>
        <v>#NAME?</v>
      </c>
      <c r="H1874" s="100" t="e">
        <f t="shared" ca="1" si="329"/>
        <v>#NAME?</v>
      </c>
      <c r="I1874" s="100" t="e">
        <f t="shared" ca="1" si="330"/>
        <v>#NAME?</v>
      </c>
      <c r="J1874" s="100" t="e">
        <f ca="1">IFERROR(__xludf.DUMMYFUNCTION("""COMPUTED_VALUE"""),"0")</f>
        <v>#NAME?</v>
      </c>
      <c r="K1874" s="100" t="e">
        <f t="shared" ca="1" si="331"/>
        <v>#NAME?</v>
      </c>
      <c r="L1874" s="100"/>
      <c r="M1874" s="100"/>
      <c r="N1874" s="100"/>
      <c r="O1874" s="100"/>
      <c r="P1874" s="100"/>
      <c r="Q1874" s="100"/>
      <c r="R1874" s="100"/>
      <c r="S1874" s="100"/>
      <c r="T1874" s="100"/>
      <c r="U1874" s="100"/>
      <c r="V1874" s="100"/>
      <c r="W1874" s="100"/>
      <c r="X1874" s="100"/>
      <c r="Y1874" s="100"/>
      <c r="Z1874" s="100"/>
    </row>
    <row r="1875" spans="1:26">
      <c r="A1875" s="100" t="e">
        <f ca="1">IFERROR(__xludf.DUMMYFUNCTION("""COMPUTED_VALUE"""),58785210)</f>
        <v>#NAME?</v>
      </c>
      <c r="B1875" s="100" t="e">
        <f ca="1">IFERROR(__xludf.DUMMYFUNCTION("""COMPUTED_VALUE"""),"ACHBTC")</f>
        <v>#NAME?</v>
      </c>
      <c r="C1875" s="100" t="e">
        <f ca="1">IFERROR(__xludf.DUMMYFUNCTION("""COMPUTED_VALUE"""),"0.00000029")</f>
        <v>#NAME?</v>
      </c>
      <c r="D1875" s="100" t="e">
        <f t="shared" ca="1" si="332"/>
        <v>#NAME?</v>
      </c>
      <c r="E1875" s="100" t="e">
        <f t="shared" ca="1" si="332"/>
        <v>#NAME?</v>
      </c>
      <c r="F1875" s="100" t="e">
        <f t="shared" ca="1" si="327"/>
        <v>#NAME?</v>
      </c>
      <c r="G1875" s="100" t="e">
        <f t="shared" ca="1" si="328"/>
        <v>#NAME?</v>
      </c>
      <c r="H1875" s="100" t="e">
        <f t="shared" ca="1" si="329"/>
        <v>#NAME?</v>
      </c>
      <c r="I1875" s="100" t="e">
        <f t="shared" ca="1" si="330"/>
        <v>#NAME?</v>
      </c>
      <c r="J1875" s="100" t="e">
        <f ca="1">IFERROR(__xludf.DUMMYFUNCTION("""COMPUTED_VALUE"""),"-9.375")</f>
        <v>#NAME?</v>
      </c>
      <c r="K1875" s="100" t="e">
        <f t="shared" ca="1" si="331"/>
        <v>#NAME?</v>
      </c>
      <c r="L1875" s="100"/>
      <c r="M1875" s="100"/>
      <c r="N1875" s="100"/>
      <c r="O1875" s="100"/>
      <c r="P1875" s="100"/>
      <c r="Q1875" s="100"/>
      <c r="R1875" s="100"/>
      <c r="S1875" s="100"/>
      <c r="T1875" s="100"/>
      <c r="U1875" s="100"/>
      <c r="V1875" s="100"/>
      <c r="W1875" s="100"/>
      <c r="X1875" s="100"/>
      <c r="Y1875" s="100"/>
      <c r="Z1875" s="100"/>
    </row>
    <row r="1876" spans="1:26">
      <c r="A1876" s="100" t="e">
        <f ca="1">IFERROR(__xludf.DUMMYFUNCTION("""COMPUTED_VALUE"""),58785211)</f>
        <v>#NAME?</v>
      </c>
      <c r="B1876" s="100" t="e">
        <f ca="1">IFERROR(__xludf.DUMMYFUNCTION("""COMPUTED_VALUE"""),"ACHBUSD")</f>
        <v>#NAME?</v>
      </c>
      <c r="C1876" s="100" t="e">
        <f ca="1">IFERROR(__xludf.DUMMYFUNCTION("""COMPUTED_VALUE"""),"0.01646000")</f>
        <v>#NAME?</v>
      </c>
      <c r="D1876" s="100" t="e">
        <f t="shared" ca="1" si="332"/>
        <v>#NAME?</v>
      </c>
      <c r="E1876" s="100" t="e">
        <f t="shared" ca="1" si="332"/>
        <v>#NAME?</v>
      </c>
      <c r="F1876" s="100" t="e">
        <f t="shared" ca="1" si="327"/>
        <v>#NAME?</v>
      </c>
      <c r="G1876" s="100" t="e">
        <f t="shared" ca="1" si="328"/>
        <v>#NAME?</v>
      </c>
      <c r="H1876" s="100" t="e">
        <f t="shared" ca="1" si="329"/>
        <v>#NAME?</v>
      </c>
      <c r="I1876" s="100" t="e">
        <f t="shared" ca="1" si="330"/>
        <v>#NAME?</v>
      </c>
      <c r="J1876" s="100" t="e">
        <f ca="1">IFERROR(__xludf.DUMMYFUNCTION("""COMPUTED_VALUE"""),"0")</f>
        <v>#NAME?</v>
      </c>
      <c r="K1876" s="100" t="e">
        <f t="shared" ca="1" si="331"/>
        <v>#NAME?</v>
      </c>
      <c r="L1876" s="100"/>
      <c r="M1876" s="100"/>
      <c r="N1876" s="100"/>
      <c r="O1876" s="100"/>
      <c r="P1876" s="100"/>
      <c r="Q1876" s="100"/>
      <c r="R1876" s="100"/>
      <c r="S1876" s="100"/>
      <c r="T1876" s="100"/>
      <c r="U1876" s="100"/>
      <c r="V1876" s="100"/>
      <c r="W1876" s="100"/>
      <c r="X1876" s="100"/>
      <c r="Y1876" s="100"/>
      <c r="Z1876" s="100"/>
    </row>
    <row r="1877" spans="1:26">
      <c r="A1877" s="100" t="e">
        <f ca="1">IFERROR(__xludf.DUMMYFUNCTION("""COMPUTED_VALUE"""),58785212)</f>
        <v>#NAME?</v>
      </c>
      <c r="B1877" s="100" t="e">
        <f ca="1">IFERROR(__xludf.DUMMYFUNCTION("""COMPUTED_VALUE"""),"ACHUSDT")</f>
        <v>#NAME?</v>
      </c>
      <c r="C1877" s="100" t="e">
        <f ca="1">IFERROR(__xludf.DUMMYFUNCTION("""COMPUTED_VALUE"""),"0.02608000")</f>
        <v>#NAME?</v>
      </c>
      <c r="D1877" s="100" t="e">
        <f t="shared" ca="1" si="332"/>
        <v>#NAME?</v>
      </c>
      <c r="E1877" s="100" t="e">
        <f t="shared" ca="1" si="332"/>
        <v>#NAME?</v>
      </c>
      <c r="F1877" s="100" t="e">
        <f t="shared" ca="1" si="327"/>
        <v>#NAME?</v>
      </c>
      <c r="G1877" s="100" t="e">
        <f t="shared" ca="1" si="328"/>
        <v>#NAME?</v>
      </c>
      <c r="H1877" s="100" t="e">
        <f t="shared" ca="1" si="329"/>
        <v>#NAME?</v>
      </c>
      <c r="I1877" s="100" t="e">
        <f t="shared" ca="1" si="330"/>
        <v>#NAME?</v>
      </c>
      <c r="J1877" s="100" t="e">
        <f ca="1">IFERROR(__xludf.DUMMYFUNCTION("""COMPUTED_VALUE"""),"-5.644")</f>
        <v>#NAME?</v>
      </c>
      <c r="K1877" s="100" t="e">
        <f t="shared" ca="1" si="331"/>
        <v>#NAME?</v>
      </c>
      <c r="L1877" s="100"/>
      <c r="M1877" s="100"/>
      <c r="N1877" s="100"/>
      <c r="O1877" s="100"/>
      <c r="P1877" s="100"/>
      <c r="Q1877" s="100"/>
      <c r="R1877" s="100"/>
      <c r="S1877" s="100"/>
      <c r="T1877" s="100"/>
      <c r="U1877" s="100"/>
      <c r="V1877" s="100"/>
      <c r="W1877" s="100"/>
      <c r="X1877" s="100"/>
      <c r="Y1877" s="100"/>
      <c r="Z1877" s="100"/>
    </row>
    <row r="1878" spans="1:26">
      <c r="A1878" s="100" t="e">
        <f ca="1">IFERROR(__xludf.DUMMYFUNCTION("""COMPUTED_VALUE"""),58785213)</f>
        <v>#NAME?</v>
      </c>
      <c r="B1878" s="100" t="e">
        <f ca="1">IFERROR(__xludf.DUMMYFUNCTION("""COMPUTED_VALUE"""),"IMXBTC")</f>
        <v>#NAME?</v>
      </c>
      <c r="C1878" s="100" t="e">
        <f ca="1">IFERROR(__xludf.DUMMYFUNCTION("""COMPUTED_VALUE"""),"0.00000519")</f>
        <v>#NAME?</v>
      </c>
      <c r="D1878" s="100" t="e">
        <f t="shared" ca="1" si="332"/>
        <v>#NAME?</v>
      </c>
      <c r="E1878" s="100" t="e">
        <f t="shared" ca="1" si="332"/>
        <v>#NAME?</v>
      </c>
      <c r="F1878" s="100" t="e">
        <f t="shared" ca="1" si="327"/>
        <v>#NAME?</v>
      </c>
      <c r="G1878" s="100" t="e">
        <f t="shared" ca="1" si="328"/>
        <v>#NAME?</v>
      </c>
      <c r="H1878" s="100" t="e">
        <f t="shared" ca="1" si="329"/>
        <v>#NAME?</v>
      </c>
      <c r="I1878" s="100" t="e">
        <f t="shared" ca="1" si="330"/>
        <v>#NAME?</v>
      </c>
      <c r="J1878" s="100" t="e">
        <f ca="1">IFERROR(__xludf.DUMMYFUNCTION("""COMPUTED_VALUE"""),"-6.148")</f>
        <v>#NAME?</v>
      </c>
      <c r="K1878" s="100" t="e">
        <f t="shared" ca="1" si="331"/>
        <v>#NAME?</v>
      </c>
      <c r="L1878" s="100"/>
      <c r="M1878" s="100"/>
      <c r="N1878" s="100"/>
      <c r="O1878" s="100"/>
      <c r="P1878" s="100"/>
      <c r="Q1878" s="100"/>
      <c r="R1878" s="100"/>
      <c r="S1878" s="100"/>
      <c r="T1878" s="100"/>
      <c r="U1878" s="100"/>
      <c r="V1878" s="100"/>
      <c r="W1878" s="100"/>
      <c r="X1878" s="100"/>
      <c r="Y1878" s="100"/>
      <c r="Z1878" s="100"/>
    </row>
    <row r="1879" spans="1:26">
      <c r="A1879" s="100" t="e">
        <f ca="1">IFERROR(__xludf.DUMMYFUNCTION("""COMPUTED_VALUE"""),58785214)</f>
        <v>#NAME?</v>
      </c>
      <c r="B1879" s="100" t="e">
        <f ca="1">IFERROR(__xludf.DUMMYFUNCTION("""COMPUTED_VALUE"""),"IMXBUSD")</f>
        <v>#NAME?</v>
      </c>
      <c r="C1879" s="100" t="e">
        <f ca="1">IFERROR(__xludf.DUMMYFUNCTION("""COMPUTED_VALUE"""),"0.65080000")</f>
        <v>#NAME?</v>
      </c>
      <c r="D1879" s="100" t="e">
        <f t="shared" ca="1" si="332"/>
        <v>#NAME?</v>
      </c>
      <c r="E1879" s="100" t="e">
        <f t="shared" ca="1" si="332"/>
        <v>#NAME?</v>
      </c>
      <c r="F1879" s="100" t="e">
        <f t="shared" ca="1" si="327"/>
        <v>#NAME?</v>
      </c>
      <c r="G1879" s="100" t="e">
        <f t="shared" ca="1" si="328"/>
        <v>#NAME?</v>
      </c>
      <c r="H1879" s="100" t="e">
        <f t="shared" ca="1" si="329"/>
        <v>#NAME?</v>
      </c>
      <c r="I1879" s="100" t="e">
        <f t="shared" ca="1" si="330"/>
        <v>#NAME?</v>
      </c>
      <c r="J1879" s="100" t="e">
        <f ca="1">IFERROR(__xludf.DUMMYFUNCTION("""COMPUTED_VALUE"""),"0")</f>
        <v>#NAME?</v>
      </c>
      <c r="K1879" s="100" t="e">
        <f t="shared" ca="1" si="331"/>
        <v>#NAME?</v>
      </c>
      <c r="L1879" s="100"/>
      <c r="M1879" s="100"/>
      <c r="N1879" s="100"/>
      <c r="O1879" s="100"/>
      <c r="P1879" s="100"/>
      <c r="Q1879" s="100"/>
      <c r="R1879" s="100"/>
      <c r="S1879" s="100"/>
      <c r="T1879" s="100"/>
      <c r="U1879" s="100"/>
      <c r="V1879" s="100"/>
      <c r="W1879" s="100"/>
      <c r="X1879" s="100"/>
      <c r="Y1879" s="100"/>
      <c r="Z1879" s="100"/>
    </row>
    <row r="1880" spans="1:26">
      <c r="A1880" s="100" t="e">
        <f ca="1">IFERROR(__xludf.DUMMYFUNCTION("""COMPUTED_VALUE"""),58785215)</f>
        <v>#NAME?</v>
      </c>
      <c r="B1880" s="100" t="e">
        <f ca="1">IFERROR(__xludf.DUMMYFUNCTION("""COMPUTED_VALUE"""),"IMXUSDT")</f>
        <v>#NAME?</v>
      </c>
      <c r="C1880" s="100" t="e">
        <f ca="1">IFERROR(__xludf.DUMMYFUNCTION("""COMPUTED_VALUE"""),"0.45900000")</f>
        <v>#NAME?</v>
      </c>
      <c r="D1880" s="100" t="e">
        <f t="shared" ca="1" si="332"/>
        <v>#NAME?</v>
      </c>
      <c r="E1880" s="100" t="e">
        <f t="shared" ca="1" si="332"/>
        <v>#NAME?</v>
      </c>
      <c r="F1880" s="100" t="e">
        <f t="shared" ca="1" si="327"/>
        <v>#NAME?</v>
      </c>
      <c r="G1880" s="100" t="e">
        <f t="shared" ca="1" si="328"/>
        <v>#NAME?</v>
      </c>
      <c r="H1880" s="100" t="e">
        <f t="shared" ca="1" si="329"/>
        <v>#NAME?</v>
      </c>
      <c r="I1880" s="100" t="e">
        <f t="shared" ca="1" si="330"/>
        <v>#NAME?</v>
      </c>
      <c r="J1880" s="100" t="e">
        <f ca="1">IFERROR(__xludf.DUMMYFUNCTION("""COMPUTED_VALUE"""),"-5.165")</f>
        <v>#NAME?</v>
      </c>
      <c r="K1880" s="100" t="e">
        <f t="shared" ca="1" si="331"/>
        <v>#NAME?</v>
      </c>
      <c r="L1880" s="100"/>
      <c r="M1880" s="100"/>
      <c r="N1880" s="100"/>
      <c r="O1880" s="100"/>
      <c r="P1880" s="100"/>
      <c r="Q1880" s="100"/>
      <c r="R1880" s="100"/>
      <c r="S1880" s="100"/>
      <c r="T1880" s="100"/>
      <c r="U1880" s="100"/>
      <c r="V1880" s="100"/>
      <c r="W1880" s="100"/>
      <c r="X1880" s="100"/>
      <c r="Y1880" s="100"/>
      <c r="Z1880" s="100"/>
    </row>
    <row r="1881" spans="1:26">
      <c r="A1881" s="100" t="e">
        <f ca="1">IFERROR(__xludf.DUMMYFUNCTION("""COMPUTED_VALUE"""),58785216)</f>
        <v>#NAME?</v>
      </c>
      <c r="B1881" s="100" t="e">
        <f ca="1">IFERROR(__xludf.DUMMYFUNCTION("""COMPUTED_VALUE"""),"GLMRBTC")</f>
        <v>#NAME?</v>
      </c>
      <c r="C1881" s="100" t="e">
        <f ca="1">IFERROR(__xludf.DUMMYFUNCTION("""COMPUTED_VALUE"""),"0.00000079")</f>
        <v>#NAME?</v>
      </c>
      <c r="D1881" s="100" t="e">
        <f t="shared" ca="1" si="332"/>
        <v>#NAME?</v>
      </c>
      <c r="E1881" s="100" t="e">
        <f t="shared" ca="1" si="332"/>
        <v>#NAME?</v>
      </c>
      <c r="F1881" s="100" t="e">
        <f t="shared" ca="1" si="327"/>
        <v>#NAME?</v>
      </c>
      <c r="G1881" s="100" t="e">
        <f t="shared" ca="1" si="328"/>
        <v>#NAME?</v>
      </c>
      <c r="H1881" s="100" t="e">
        <f t="shared" ca="1" si="329"/>
        <v>#NAME?</v>
      </c>
      <c r="I1881" s="100" t="e">
        <f t="shared" ca="1" si="330"/>
        <v>#NAME?</v>
      </c>
      <c r="J1881" s="100" t="e">
        <f ca="1">IFERROR(__xludf.DUMMYFUNCTION("""COMPUTED_VALUE"""),"-4.819")</f>
        <v>#NAME?</v>
      </c>
      <c r="K1881" s="100" t="e">
        <f t="shared" ca="1" si="331"/>
        <v>#NAME?</v>
      </c>
      <c r="L1881" s="100"/>
      <c r="M1881" s="100"/>
      <c r="N1881" s="100"/>
      <c r="O1881" s="100"/>
      <c r="P1881" s="100"/>
      <c r="Q1881" s="100"/>
      <c r="R1881" s="100"/>
      <c r="S1881" s="100"/>
      <c r="T1881" s="100"/>
      <c r="U1881" s="100"/>
      <c r="V1881" s="100"/>
      <c r="W1881" s="100"/>
      <c r="X1881" s="100"/>
      <c r="Y1881" s="100"/>
      <c r="Z1881" s="100"/>
    </row>
    <row r="1882" spans="1:26">
      <c r="A1882" s="100" t="e">
        <f ca="1">IFERROR(__xludf.DUMMYFUNCTION("""COMPUTED_VALUE"""),58785217)</f>
        <v>#NAME?</v>
      </c>
      <c r="B1882" s="100" t="e">
        <f ca="1">IFERROR(__xludf.DUMMYFUNCTION("""COMPUTED_VALUE"""),"GLMRBUSD")</f>
        <v>#NAME?</v>
      </c>
      <c r="C1882" s="100" t="e">
        <f ca="1">IFERROR(__xludf.DUMMYFUNCTION("""COMPUTED_VALUE"""),"0.20650000")</f>
        <v>#NAME?</v>
      </c>
      <c r="D1882" s="100" t="e">
        <f t="shared" ref="D1882:E1901" ca="1" si="333">IFERROR(__xludf.DUMMYFUNCTION("""COMPUTED_VALUE"""),"-")</f>
        <v>#NAME?</v>
      </c>
      <c r="E1882" s="100" t="e">
        <f t="shared" ca="1" si="333"/>
        <v>#NAME?</v>
      </c>
      <c r="F1882" s="100" t="e">
        <f t="shared" ca="1" si="327"/>
        <v>#NAME?</v>
      </c>
      <c r="G1882" s="100" t="e">
        <f t="shared" ca="1" si="328"/>
        <v>#NAME?</v>
      </c>
      <c r="H1882" s="100" t="e">
        <f t="shared" ca="1" si="329"/>
        <v>#NAME?</v>
      </c>
      <c r="I1882" s="100" t="e">
        <f t="shared" ca="1" si="330"/>
        <v>#NAME?</v>
      </c>
      <c r="J1882" s="100" t="e">
        <f ca="1">IFERROR(__xludf.DUMMYFUNCTION("""COMPUTED_VALUE"""),"0")</f>
        <v>#NAME?</v>
      </c>
      <c r="K1882" s="100" t="e">
        <f t="shared" ca="1" si="331"/>
        <v>#NAME?</v>
      </c>
      <c r="L1882" s="100"/>
      <c r="M1882" s="100"/>
      <c r="N1882" s="100"/>
      <c r="O1882" s="100"/>
      <c r="P1882" s="100"/>
      <c r="Q1882" s="100"/>
      <c r="R1882" s="100"/>
      <c r="S1882" s="100"/>
      <c r="T1882" s="100"/>
      <c r="U1882" s="100"/>
      <c r="V1882" s="100"/>
      <c r="W1882" s="100"/>
      <c r="X1882" s="100"/>
      <c r="Y1882" s="100"/>
      <c r="Z1882" s="100"/>
    </row>
    <row r="1883" spans="1:26">
      <c r="A1883" s="100" t="e">
        <f ca="1">IFERROR(__xludf.DUMMYFUNCTION("""COMPUTED_VALUE"""),58785218)</f>
        <v>#NAME?</v>
      </c>
      <c r="B1883" s="100" t="e">
        <f ca="1">IFERROR(__xludf.DUMMYFUNCTION("""COMPUTED_VALUE"""),"GLMRUSDT")</f>
        <v>#NAME?</v>
      </c>
      <c r="C1883" s="100" t="e">
        <f ca="1">IFERROR(__xludf.DUMMYFUNCTION("""COMPUTED_VALUE"""),"0.07030000")</f>
        <v>#NAME?</v>
      </c>
      <c r="D1883" s="100" t="e">
        <f t="shared" ca="1" si="333"/>
        <v>#NAME?</v>
      </c>
      <c r="E1883" s="100" t="e">
        <f t="shared" ca="1" si="333"/>
        <v>#NAME?</v>
      </c>
      <c r="F1883" s="100" t="e">
        <f t="shared" ca="1" si="327"/>
        <v>#NAME?</v>
      </c>
      <c r="G1883" s="100" t="e">
        <f t="shared" ca="1" si="328"/>
        <v>#NAME?</v>
      </c>
      <c r="H1883" s="100" t="e">
        <f t="shared" ca="1" si="329"/>
        <v>#NAME?</v>
      </c>
      <c r="I1883" s="100" t="e">
        <f t="shared" ca="1" si="330"/>
        <v>#NAME?</v>
      </c>
      <c r="J1883" s="100" t="e">
        <f ca="1">IFERROR(__xludf.DUMMYFUNCTION("""COMPUTED_VALUE"""),"-3.567")</f>
        <v>#NAME?</v>
      </c>
      <c r="K1883" s="100" t="e">
        <f t="shared" ca="1" si="331"/>
        <v>#NAME?</v>
      </c>
      <c r="L1883" s="100"/>
      <c r="M1883" s="100"/>
      <c r="N1883" s="100"/>
      <c r="O1883" s="100"/>
      <c r="P1883" s="100"/>
      <c r="Q1883" s="100"/>
      <c r="R1883" s="100"/>
      <c r="S1883" s="100"/>
      <c r="T1883" s="100"/>
      <c r="U1883" s="100"/>
      <c r="V1883" s="100"/>
      <c r="W1883" s="100"/>
      <c r="X1883" s="100"/>
      <c r="Y1883" s="100"/>
      <c r="Z1883" s="100"/>
    </row>
    <row r="1884" spans="1:26">
      <c r="A1884" s="100" t="e">
        <f ca="1">IFERROR(__xludf.DUMMYFUNCTION("""COMPUTED_VALUE"""),58785219)</f>
        <v>#NAME?</v>
      </c>
      <c r="B1884" s="100" t="e">
        <f ca="1">IFERROR(__xludf.DUMMYFUNCTION("""COMPUTED_VALUE"""),"ATOMBIDR")</f>
        <v>#NAME?</v>
      </c>
      <c r="C1884" s="100" t="e">
        <f ca="1">IFERROR(__xludf.DUMMYFUNCTION("""COMPUTED_VALUE"""),"0.00")</f>
        <v>#NAME?</v>
      </c>
      <c r="D1884" s="100" t="e">
        <f t="shared" ca="1" si="333"/>
        <v>#NAME?</v>
      </c>
      <c r="E1884" s="100" t="e">
        <f t="shared" ca="1" si="333"/>
        <v>#NAME?</v>
      </c>
      <c r="F1884" s="100" t="e">
        <f t="shared" ca="1" si="327"/>
        <v>#NAME?</v>
      </c>
      <c r="G1884" s="100" t="e">
        <f t="shared" ca="1" si="328"/>
        <v>#NAME?</v>
      </c>
      <c r="H1884" s="100" t="e">
        <f t="shared" ca="1" si="329"/>
        <v>#NAME?</v>
      </c>
      <c r="I1884" s="100" t="e">
        <f t="shared" ca="1" si="330"/>
        <v>#NAME?</v>
      </c>
      <c r="J1884" s="100" t="e">
        <f ca="1">IFERROR(__xludf.DUMMYFUNCTION("""COMPUTED_VALUE"""),"0")</f>
        <v>#NAME?</v>
      </c>
      <c r="K1884" s="100" t="e">
        <f t="shared" ca="1" si="331"/>
        <v>#NAME?</v>
      </c>
      <c r="L1884" s="100"/>
      <c r="M1884" s="100"/>
      <c r="N1884" s="100"/>
      <c r="O1884" s="100"/>
      <c r="P1884" s="100"/>
      <c r="Q1884" s="100"/>
      <c r="R1884" s="100"/>
      <c r="S1884" s="100"/>
      <c r="T1884" s="100"/>
      <c r="U1884" s="100"/>
      <c r="V1884" s="100"/>
      <c r="W1884" s="100"/>
      <c r="X1884" s="100"/>
      <c r="Y1884" s="100"/>
      <c r="Z1884" s="100"/>
    </row>
    <row r="1885" spans="1:26">
      <c r="A1885" s="100" t="e">
        <f ca="1">IFERROR(__xludf.DUMMYFUNCTION("""COMPUTED_VALUE"""),58785220)</f>
        <v>#NAME?</v>
      </c>
      <c r="B1885" s="100" t="e">
        <f ca="1">IFERROR(__xludf.DUMMYFUNCTION("""COMPUTED_VALUE"""),"DYDXETH")</f>
        <v>#NAME?</v>
      </c>
      <c r="C1885" s="100" t="e">
        <f ca="1">IFERROR(__xludf.DUMMYFUNCTION("""COMPUTED_VALUE"""),"0.00000000")</f>
        <v>#NAME?</v>
      </c>
      <c r="D1885" s="100" t="e">
        <f t="shared" ca="1" si="333"/>
        <v>#NAME?</v>
      </c>
      <c r="E1885" s="100" t="e">
        <f t="shared" ca="1" si="333"/>
        <v>#NAME?</v>
      </c>
      <c r="F1885" s="100" t="e">
        <f t="shared" ca="1" si="327"/>
        <v>#NAME?</v>
      </c>
      <c r="G1885" s="100" t="e">
        <f t="shared" ca="1" si="328"/>
        <v>#NAME?</v>
      </c>
      <c r="H1885" s="100" t="e">
        <f t="shared" ca="1" si="329"/>
        <v>#NAME?</v>
      </c>
      <c r="I1885" s="100" t="e">
        <f t="shared" ca="1" si="330"/>
        <v>#NAME?</v>
      </c>
      <c r="J1885" s="100" t="e">
        <f ca="1">IFERROR(__xludf.DUMMYFUNCTION("""COMPUTED_VALUE"""),"0")</f>
        <v>#NAME?</v>
      </c>
      <c r="K1885" s="100" t="e">
        <f t="shared" ca="1" si="331"/>
        <v>#NAME?</v>
      </c>
      <c r="L1885" s="100"/>
      <c r="M1885" s="100"/>
      <c r="N1885" s="100"/>
      <c r="O1885" s="100"/>
      <c r="P1885" s="100"/>
      <c r="Q1885" s="100"/>
      <c r="R1885" s="100"/>
      <c r="S1885" s="100"/>
      <c r="T1885" s="100"/>
      <c r="U1885" s="100"/>
      <c r="V1885" s="100"/>
      <c r="W1885" s="100"/>
      <c r="X1885" s="100"/>
      <c r="Y1885" s="100"/>
      <c r="Z1885" s="100"/>
    </row>
    <row r="1886" spans="1:26">
      <c r="A1886" s="100" t="e">
        <f ca="1">IFERROR(__xludf.DUMMYFUNCTION("""COMPUTED_VALUE"""),58785221)</f>
        <v>#NAME?</v>
      </c>
      <c r="B1886" s="100" t="e">
        <f ca="1">IFERROR(__xludf.DUMMYFUNCTION("""COMPUTED_VALUE"""),"FARMETH")</f>
        <v>#NAME?</v>
      </c>
      <c r="C1886" s="100" t="e">
        <f ca="1">IFERROR(__xludf.DUMMYFUNCTION("""COMPUTED_VALUE"""),"0.00000000")</f>
        <v>#NAME?</v>
      </c>
      <c r="D1886" s="100" t="e">
        <f t="shared" ca="1" si="333"/>
        <v>#NAME?</v>
      </c>
      <c r="E1886" s="100" t="e">
        <f t="shared" ca="1" si="333"/>
        <v>#NAME?</v>
      </c>
      <c r="F1886" s="100" t="e">
        <f t="shared" ca="1" si="327"/>
        <v>#NAME?</v>
      </c>
      <c r="G1886" s="100" t="e">
        <f t="shared" ca="1" si="328"/>
        <v>#NAME?</v>
      </c>
      <c r="H1886" s="100" t="e">
        <f t="shared" ca="1" si="329"/>
        <v>#NAME?</v>
      </c>
      <c r="I1886" s="100" t="e">
        <f t="shared" ca="1" si="330"/>
        <v>#NAME?</v>
      </c>
      <c r="J1886" s="100" t="e">
        <f ca="1">IFERROR(__xludf.DUMMYFUNCTION("""COMPUTED_VALUE"""),"0")</f>
        <v>#NAME?</v>
      </c>
      <c r="K1886" s="100" t="e">
        <f t="shared" ca="1" si="331"/>
        <v>#NAME?</v>
      </c>
      <c r="L1886" s="100"/>
      <c r="M1886" s="100"/>
      <c r="N1886" s="100"/>
      <c r="O1886" s="100"/>
      <c r="P1886" s="100"/>
      <c r="Q1886" s="100"/>
      <c r="R1886" s="100"/>
      <c r="S1886" s="100"/>
      <c r="T1886" s="100"/>
      <c r="U1886" s="100"/>
      <c r="V1886" s="100"/>
      <c r="W1886" s="100"/>
      <c r="X1886" s="100"/>
      <c r="Y1886" s="100"/>
      <c r="Z1886" s="100"/>
    </row>
    <row r="1887" spans="1:26">
      <c r="A1887" s="100" t="e">
        <f ca="1">IFERROR(__xludf.DUMMYFUNCTION("""COMPUTED_VALUE"""),58785222)</f>
        <v>#NAME?</v>
      </c>
      <c r="B1887" s="100" t="e">
        <f ca="1">IFERROR(__xludf.DUMMYFUNCTION("""COMPUTED_VALUE"""),"FORBNB")</f>
        <v>#NAME?</v>
      </c>
      <c r="C1887" s="100" t="e">
        <f ca="1">IFERROR(__xludf.DUMMYFUNCTION("""COMPUTED_VALUE"""),"0.00000000")</f>
        <v>#NAME?</v>
      </c>
      <c r="D1887" s="100" t="e">
        <f t="shared" ca="1" si="333"/>
        <v>#NAME?</v>
      </c>
      <c r="E1887" s="100" t="e">
        <f t="shared" ca="1" si="333"/>
        <v>#NAME?</v>
      </c>
      <c r="F1887" s="100" t="e">
        <f t="shared" ca="1" si="327"/>
        <v>#NAME?</v>
      </c>
      <c r="G1887" s="100" t="e">
        <f t="shared" ca="1" si="328"/>
        <v>#NAME?</v>
      </c>
      <c r="H1887" s="100" t="e">
        <f t="shared" ca="1" si="329"/>
        <v>#NAME?</v>
      </c>
      <c r="I1887" s="100" t="e">
        <f t="shared" ca="1" si="330"/>
        <v>#NAME?</v>
      </c>
      <c r="J1887" s="100" t="e">
        <f ca="1">IFERROR(__xludf.DUMMYFUNCTION("""COMPUTED_VALUE"""),"0")</f>
        <v>#NAME?</v>
      </c>
      <c r="K1887" s="100" t="e">
        <f t="shared" ca="1" si="331"/>
        <v>#NAME?</v>
      </c>
      <c r="L1887" s="100"/>
      <c r="M1887" s="100"/>
      <c r="N1887" s="100"/>
      <c r="O1887" s="100"/>
      <c r="P1887" s="100"/>
      <c r="Q1887" s="100"/>
      <c r="R1887" s="100"/>
      <c r="S1887" s="100"/>
      <c r="T1887" s="100"/>
      <c r="U1887" s="100"/>
      <c r="V1887" s="100"/>
      <c r="W1887" s="100"/>
      <c r="X1887" s="100"/>
      <c r="Y1887" s="100"/>
      <c r="Z1887" s="100"/>
    </row>
    <row r="1888" spans="1:26">
      <c r="A1888" s="100" t="e">
        <f ca="1">IFERROR(__xludf.DUMMYFUNCTION("""COMPUTED_VALUE"""),58785223)</f>
        <v>#NAME?</v>
      </c>
      <c r="B1888" s="100" t="e">
        <f ca="1">IFERROR(__xludf.DUMMYFUNCTION("""COMPUTED_VALUE"""),"ICPTRY")</f>
        <v>#NAME?</v>
      </c>
      <c r="C1888" s="100" t="e">
        <f ca="1">IFERROR(__xludf.DUMMYFUNCTION("""COMPUTED_VALUE"""),"178.30000000")</f>
        <v>#NAME?</v>
      </c>
      <c r="D1888" s="100" t="e">
        <f t="shared" ca="1" si="333"/>
        <v>#NAME?</v>
      </c>
      <c r="E1888" s="100" t="e">
        <f t="shared" ca="1" si="333"/>
        <v>#NAME?</v>
      </c>
      <c r="F1888" s="100" t="e">
        <f t="shared" ca="1" si="327"/>
        <v>#NAME?</v>
      </c>
      <c r="G1888" s="100" t="e">
        <f t="shared" ca="1" si="328"/>
        <v>#NAME?</v>
      </c>
      <c r="H1888" s="100" t="e">
        <f t="shared" ca="1" si="329"/>
        <v>#NAME?</v>
      </c>
      <c r="I1888" s="100" t="e">
        <f t="shared" ca="1" si="330"/>
        <v>#NAME?</v>
      </c>
      <c r="J1888" s="100" t="e">
        <f ca="1">IFERROR(__xludf.DUMMYFUNCTION("""COMPUTED_VALUE"""),"-6.257")</f>
        <v>#NAME?</v>
      </c>
      <c r="K1888" s="100" t="e">
        <f t="shared" ca="1" si="331"/>
        <v>#NAME?</v>
      </c>
      <c r="L1888" s="100"/>
      <c r="M1888" s="100"/>
      <c r="N1888" s="100"/>
      <c r="O1888" s="100"/>
      <c r="P1888" s="100"/>
      <c r="Q1888" s="100"/>
      <c r="R1888" s="100"/>
      <c r="S1888" s="100"/>
      <c r="T1888" s="100"/>
      <c r="U1888" s="100"/>
      <c r="V1888" s="100"/>
      <c r="W1888" s="100"/>
      <c r="X1888" s="100"/>
      <c r="Y1888" s="100"/>
      <c r="Z1888" s="100"/>
    </row>
    <row r="1889" spans="1:26">
      <c r="A1889" s="100" t="e">
        <f ca="1">IFERROR(__xludf.DUMMYFUNCTION("""COMPUTED_VALUE"""),58785224)</f>
        <v>#NAME?</v>
      </c>
      <c r="B1889" s="100" t="e">
        <f ca="1">IFERROR(__xludf.DUMMYFUNCTION("""COMPUTED_VALUE"""),"JASMYETH")</f>
        <v>#NAME?</v>
      </c>
      <c r="C1889" s="100" t="e">
        <f ca="1">IFERROR(__xludf.DUMMYFUNCTION("""COMPUTED_VALUE"""),"0.00000302")</f>
        <v>#NAME?</v>
      </c>
      <c r="D1889" s="100" t="e">
        <f t="shared" ca="1" si="333"/>
        <v>#NAME?</v>
      </c>
      <c r="E1889" s="100" t="e">
        <f t="shared" ca="1" si="333"/>
        <v>#NAME?</v>
      </c>
      <c r="F1889" s="100" t="e">
        <f t="shared" ca="1" si="327"/>
        <v>#NAME?</v>
      </c>
      <c r="G1889" s="100" t="e">
        <f t="shared" ca="1" si="328"/>
        <v>#NAME?</v>
      </c>
      <c r="H1889" s="100" t="e">
        <f t="shared" ca="1" si="329"/>
        <v>#NAME?</v>
      </c>
      <c r="I1889" s="100" t="e">
        <f t="shared" ca="1" si="330"/>
        <v>#NAME?</v>
      </c>
      <c r="J1889" s="100" t="e">
        <f ca="1">IFERROR(__xludf.DUMMYFUNCTION("""COMPUTED_VALUE"""),"0")</f>
        <v>#NAME?</v>
      </c>
      <c r="K1889" s="100" t="e">
        <f t="shared" ca="1" si="331"/>
        <v>#NAME?</v>
      </c>
      <c r="L1889" s="100"/>
      <c r="M1889" s="100"/>
      <c r="N1889" s="100"/>
      <c r="O1889" s="100"/>
      <c r="P1889" s="100"/>
      <c r="Q1889" s="100"/>
      <c r="R1889" s="100"/>
      <c r="S1889" s="100"/>
      <c r="T1889" s="100"/>
      <c r="U1889" s="100"/>
      <c r="V1889" s="100"/>
      <c r="W1889" s="100"/>
      <c r="X1889" s="100"/>
      <c r="Y1889" s="100"/>
      <c r="Z1889" s="100"/>
    </row>
    <row r="1890" spans="1:26">
      <c r="A1890" s="100" t="e">
        <f ca="1">IFERROR(__xludf.DUMMYFUNCTION("""COMPUTED_VALUE"""),58785225)</f>
        <v>#NAME?</v>
      </c>
      <c r="B1890" s="100" t="e">
        <f ca="1">IFERROR(__xludf.DUMMYFUNCTION("""COMPUTED_VALUE"""),"LINABNB")</f>
        <v>#NAME?</v>
      </c>
      <c r="C1890" s="100" t="e">
        <f ca="1">IFERROR(__xludf.DUMMYFUNCTION("""COMPUTED_VALUE"""),"0.00000000")</f>
        <v>#NAME?</v>
      </c>
      <c r="D1890" s="100" t="e">
        <f t="shared" ca="1" si="333"/>
        <v>#NAME?</v>
      </c>
      <c r="E1890" s="100" t="e">
        <f t="shared" ca="1" si="333"/>
        <v>#NAME?</v>
      </c>
      <c r="F1890" s="100" t="e">
        <f t="shared" ca="1" si="327"/>
        <v>#NAME?</v>
      </c>
      <c r="G1890" s="100" t="e">
        <f t="shared" ca="1" si="328"/>
        <v>#NAME?</v>
      </c>
      <c r="H1890" s="100" t="e">
        <f t="shared" ca="1" si="329"/>
        <v>#NAME?</v>
      </c>
      <c r="I1890" s="100" t="e">
        <f t="shared" ca="1" si="330"/>
        <v>#NAME?</v>
      </c>
      <c r="J1890" s="100" t="e">
        <f ca="1">IFERROR(__xludf.DUMMYFUNCTION("""COMPUTED_VALUE"""),"0")</f>
        <v>#NAME?</v>
      </c>
      <c r="K1890" s="100" t="e">
        <f t="shared" ca="1" si="331"/>
        <v>#NAME?</v>
      </c>
      <c r="L1890" s="100"/>
      <c r="M1890" s="100"/>
      <c r="N1890" s="100"/>
      <c r="O1890" s="100"/>
      <c r="P1890" s="100"/>
      <c r="Q1890" s="100"/>
      <c r="R1890" s="100"/>
      <c r="S1890" s="100"/>
      <c r="T1890" s="100"/>
      <c r="U1890" s="100"/>
      <c r="V1890" s="100"/>
      <c r="W1890" s="100"/>
      <c r="X1890" s="100"/>
      <c r="Y1890" s="100"/>
      <c r="Z1890" s="100"/>
    </row>
    <row r="1891" spans="1:26">
      <c r="A1891" s="100" t="e">
        <f ca="1">IFERROR(__xludf.DUMMYFUNCTION("""COMPUTED_VALUE"""),58785226)</f>
        <v>#NAME?</v>
      </c>
      <c r="B1891" s="100" t="e">
        <f ca="1">IFERROR(__xludf.DUMMYFUNCTION("""COMPUTED_VALUE"""),"OOKIETH")</f>
        <v>#NAME?</v>
      </c>
      <c r="C1891" s="100" t="e">
        <f ca="1">IFERROR(__xludf.DUMMYFUNCTION("""COMPUTED_VALUE"""),"0.00000251")</f>
        <v>#NAME?</v>
      </c>
      <c r="D1891" s="100" t="e">
        <f t="shared" ca="1" si="333"/>
        <v>#NAME?</v>
      </c>
      <c r="E1891" s="100" t="e">
        <f t="shared" ca="1" si="333"/>
        <v>#NAME?</v>
      </c>
      <c r="F1891" s="100" t="e">
        <f t="shared" ca="1" si="327"/>
        <v>#NAME?</v>
      </c>
      <c r="G1891" s="100" t="e">
        <f t="shared" ca="1" si="328"/>
        <v>#NAME?</v>
      </c>
      <c r="H1891" s="100" t="e">
        <f t="shared" ca="1" si="329"/>
        <v>#NAME?</v>
      </c>
      <c r="I1891" s="100" t="e">
        <f t="shared" ca="1" si="330"/>
        <v>#NAME?</v>
      </c>
      <c r="J1891" s="100" t="e">
        <f ca="1">IFERROR(__xludf.DUMMYFUNCTION("""COMPUTED_VALUE"""),"0")</f>
        <v>#NAME?</v>
      </c>
      <c r="K1891" s="100" t="e">
        <f t="shared" ca="1" si="331"/>
        <v>#NAME?</v>
      </c>
      <c r="L1891" s="100"/>
      <c r="M1891" s="100"/>
      <c r="N1891" s="100"/>
      <c r="O1891" s="100"/>
      <c r="P1891" s="100"/>
      <c r="Q1891" s="100"/>
      <c r="R1891" s="100"/>
      <c r="S1891" s="100"/>
      <c r="T1891" s="100"/>
      <c r="U1891" s="100"/>
      <c r="V1891" s="100"/>
      <c r="W1891" s="100"/>
      <c r="X1891" s="100"/>
      <c r="Y1891" s="100"/>
      <c r="Z1891" s="100"/>
    </row>
    <row r="1892" spans="1:26">
      <c r="A1892" s="100" t="e">
        <f ca="1">IFERROR(__xludf.DUMMYFUNCTION("""COMPUTED_VALUE"""),58785227)</f>
        <v>#NAME?</v>
      </c>
      <c r="B1892" s="100" t="e">
        <f ca="1">IFERROR(__xludf.DUMMYFUNCTION("""COMPUTED_VALUE"""),"ROSEETH")</f>
        <v>#NAME?</v>
      </c>
      <c r="C1892" s="100" t="e">
        <f ca="1">IFERROR(__xludf.DUMMYFUNCTION("""COMPUTED_VALUE"""),"0.00001645")</f>
        <v>#NAME?</v>
      </c>
      <c r="D1892" s="100" t="e">
        <f t="shared" ca="1" si="333"/>
        <v>#NAME?</v>
      </c>
      <c r="E1892" s="100" t="e">
        <f t="shared" ca="1" si="333"/>
        <v>#NAME?</v>
      </c>
      <c r="F1892" s="100" t="e">
        <f t="shared" ca="1" si="327"/>
        <v>#NAME?</v>
      </c>
      <c r="G1892" s="100" t="e">
        <f t="shared" ca="1" si="328"/>
        <v>#NAME?</v>
      </c>
      <c r="H1892" s="100" t="e">
        <f t="shared" ca="1" si="329"/>
        <v>#NAME?</v>
      </c>
      <c r="I1892" s="100" t="e">
        <f t="shared" ca="1" si="330"/>
        <v>#NAME?</v>
      </c>
      <c r="J1892" s="100" t="e">
        <f ca="1">IFERROR(__xludf.DUMMYFUNCTION("""COMPUTED_VALUE"""),"0")</f>
        <v>#NAME?</v>
      </c>
      <c r="K1892" s="100" t="e">
        <f t="shared" ca="1" si="331"/>
        <v>#NAME?</v>
      </c>
      <c r="L1892" s="100"/>
      <c r="M1892" s="100"/>
      <c r="N1892" s="100"/>
      <c r="O1892" s="100"/>
      <c r="P1892" s="100"/>
      <c r="Q1892" s="100"/>
      <c r="R1892" s="100"/>
      <c r="S1892" s="100"/>
      <c r="T1892" s="100"/>
      <c r="U1892" s="100"/>
      <c r="V1892" s="100"/>
      <c r="W1892" s="100"/>
      <c r="X1892" s="100"/>
      <c r="Y1892" s="100"/>
      <c r="Z1892" s="100"/>
    </row>
    <row r="1893" spans="1:26">
      <c r="A1893" s="100" t="e">
        <f ca="1">IFERROR(__xludf.DUMMYFUNCTION("""COMPUTED_VALUE"""),58785228)</f>
        <v>#NAME?</v>
      </c>
      <c r="B1893" s="100" t="e">
        <f ca="1">IFERROR(__xludf.DUMMYFUNCTION("""COMPUTED_VALUE"""),"UMABUSD")</f>
        <v>#NAME?</v>
      </c>
      <c r="C1893" s="100" t="e">
        <f ca="1">IFERROR(__xludf.DUMMYFUNCTION("""COMPUTED_VALUE"""),"1.32700000")</f>
        <v>#NAME?</v>
      </c>
      <c r="D1893" s="100" t="e">
        <f t="shared" ca="1" si="333"/>
        <v>#NAME?</v>
      </c>
      <c r="E1893" s="100" t="e">
        <f t="shared" ca="1" si="333"/>
        <v>#NAME?</v>
      </c>
      <c r="F1893" s="100" t="e">
        <f t="shared" ca="1" si="327"/>
        <v>#NAME?</v>
      </c>
      <c r="G1893" s="100" t="e">
        <f t="shared" ca="1" si="328"/>
        <v>#NAME?</v>
      </c>
      <c r="H1893" s="100" t="e">
        <f t="shared" ca="1" si="329"/>
        <v>#NAME?</v>
      </c>
      <c r="I1893" s="100" t="e">
        <f t="shared" ca="1" si="330"/>
        <v>#NAME?</v>
      </c>
      <c r="J1893" s="100" t="e">
        <f ca="1">IFERROR(__xludf.DUMMYFUNCTION("""COMPUTED_VALUE"""),"0")</f>
        <v>#NAME?</v>
      </c>
      <c r="K1893" s="100" t="e">
        <f t="shared" ca="1" si="331"/>
        <v>#NAME?</v>
      </c>
      <c r="L1893" s="100"/>
      <c r="M1893" s="100"/>
      <c r="N1893" s="100"/>
      <c r="O1893" s="100"/>
      <c r="P1893" s="100"/>
      <c r="Q1893" s="100"/>
      <c r="R1893" s="100"/>
      <c r="S1893" s="100"/>
      <c r="T1893" s="100"/>
      <c r="U1893" s="100"/>
      <c r="V1893" s="100"/>
      <c r="W1893" s="100"/>
      <c r="X1893" s="100"/>
      <c r="Y1893" s="100"/>
      <c r="Z1893" s="100"/>
    </row>
    <row r="1894" spans="1:26">
      <c r="A1894" s="100" t="e">
        <f ca="1">IFERROR(__xludf.DUMMYFUNCTION("""COMPUTED_VALUE"""),58785229)</f>
        <v>#NAME?</v>
      </c>
      <c r="B1894" s="100" t="e">
        <f ca="1">IFERROR(__xludf.DUMMYFUNCTION("""COMPUTED_VALUE"""),"UNIETH")</f>
        <v>#NAME?</v>
      </c>
      <c r="C1894" s="100" t="e">
        <f ca="1">IFERROR(__xludf.DUMMYFUNCTION("""COMPUTED_VALUE"""),"0.00329900")</f>
        <v>#NAME?</v>
      </c>
      <c r="D1894" s="100" t="e">
        <f t="shared" ca="1" si="333"/>
        <v>#NAME?</v>
      </c>
      <c r="E1894" s="100" t="e">
        <f t="shared" ca="1" si="333"/>
        <v>#NAME?</v>
      </c>
      <c r="F1894" s="100" t="e">
        <f t="shared" ca="1" si="327"/>
        <v>#NAME?</v>
      </c>
      <c r="G1894" s="100" t="e">
        <f t="shared" ca="1" si="328"/>
        <v>#NAME?</v>
      </c>
      <c r="H1894" s="100" t="e">
        <f t="shared" ca="1" si="329"/>
        <v>#NAME?</v>
      </c>
      <c r="I1894" s="100" t="e">
        <f t="shared" ca="1" si="330"/>
        <v>#NAME?</v>
      </c>
      <c r="J1894" s="100" t="e">
        <f ca="1">IFERROR(__xludf.DUMMYFUNCTION("""COMPUTED_VALUE"""),"-0.483")</f>
        <v>#NAME?</v>
      </c>
      <c r="K1894" s="100" t="e">
        <f t="shared" ca="1" si="331"/>
        <v>#NAME?</v>
      </c>
      <c r="L1894" s="100"/>
      <c r="M1894" s="100"/>
      <c r="N1894" s="100"/>
      <c r="O1894" s="100"/>
      <c r="P1894" s="100"/>
      <c r="Q1894" s="100"/>
      <c r="R1894" s="100"/>
      <c r="S1894" s="100"/>
      <c r="T1894" s="100"/>
      <c r="U1894" s="100"/>
      <c r="V1894" s="100"/>
      <c r="W1894" s="100"/>
      <c r="X1894" s="100"/>
      <c r="Y1894" s="100"/>
      <c r="Z1894" s="100"/>
    </row>
    <row r="1895" spans="1:26">
      <c r="A1895" s="100" t="e">
        <f ca="1">IFERROR(__xludf.DUMMYFUNCTION("""COMPUTED_VALUE"""),58785230)</f>
        <v>#NAME?</v>
      </c>
      <c r="B1895" s="100" t="e">
        <f ca="1">IFERROR(__xludf.DUMMYFUNCTION("""COMPUTED_VALUE"""),"XTZETH")</f>
        <v>#NAME?</v>
      </c>
      <c r="C1895" s="100" t="e">
        <f ca="1">IFERROR(__xludf.DUMMYFUNCTION("""COMPUTED_VALUE"""),"0.00044000")</f>
        <v>#NAME?</v>
      </c>
      <c r="D1895" s="100" t="e">
        <f t="shared" ca="1" si="333"/>
        <v>#NAME?</v>
      </c>
      <c r="E1895" s="100" t="e">
        <f t="shared" ca="1" si="333"/>
        <v>#NAME?</v>
      </c>
      <c r="F1895" s="100" t="e">
        <f t="shared" ca="1" si="327"/>
        <v>#NAME?</v>
      </c>
      <c r="G1895" s="100" t="e">
        <f t="shared" ca="1" si="328"/>
        <v>#NAME?</v>
      </c>
      <c r="H1895" s="100" t="e">
        <f t="shared" ca="1" si="329"/>
        <v>#NAME?</v>
      </c>
      <c r="I1895" s="100" t="e">
        <f t="shared" ca="1" si="330"/>
        <v>#NAME?</v>
      </c>
      <c r="J1895" s="100" t="e">
        <f ca="1">IFERROR(__xludf.DUMMYFUNCTION("""COMPUTED_VALUE"""),"0")</f>
        <v>#NAME?</v>
      </c>
      <c r="K1895" s="100" t="e">
        <f t="shared" ca="1" si="331"/>
        <v>#NAME?</v>
      </c>
      <c r="L1895" s="100"/>
      <c r="M1895" s="100"/>
      <c r="N1895" s="100"/>
      <c r="O1895" s="100"/>
      <c r="P1895" s="100"/>
      <c r="Q1895" s="100"/>
      <c r="R1895" s="100"/>
      <c r="S1895" s="100"/>
      <c r="T1895" s="100"/>
      <c r="U1895" s="100"/>
      <c r="V1895" s="100"/>
      <c r="W1895" s="100"/>
      <c r="X1895" s="100"/>
      <c r="Y1895" s="100"/>
      <c r="Z1895" s="100"/>
    </row>
    <row r="1896" spans="1:26">
      <c r="A1896" s="100" t="e">
        <f ca="1">IFERROR(__xludf.DUMMYFUNCTION("""COMPUTED_VALUE"""),58785231)</f>
        <v>#NAME?</v>
      </c>
      <c r="B1896" s="100" t="e">
        <f ca="1">IFERROR(__xludf.DUMMYFUNCTION("""COMPUTED_VALUE"""),"LOKABTC")</f>
        <v>#NAME?</v>
      </c>
      <c r="C1896" s="100" t="e">
        <f ca="1">IFERROR(__xludf.DUMMYFUNCTION("""COMPUTED_VALUE"""),"0.00000093")</f>
        <v>#NAME?</v>
      </c>
      <c r="D1896" s="100" t="e">
        <f t="shared" ca="1" si="333"/>
        <v>#NAME?</v>
      </c>
      <c r="E1896" s="100" t="e">
        <f t="shared" ca="1" si="333"/>
        <v>#NAME?</v>
      </c>
      <c r="F1896" s="100" t="e">
        <f t="shared" ca="1" si="327"/>
        <v>#NAME?</v>
      </c>
      <c r="G1896" s="100" t="e">
        <f t="shared" ca="1" si="328"/>
        <v>#NAME?</v>
      </c>
      <c r="H1896" s="100" t="e">
        <f t="shared" ca="1" si="329"/>
        <v>#NAME?</v>
      </c>
      <c r="I1896" s="100" t="e">
        <f t="shared" ca="1" si="330"/>
        <v>#NAME?</v>
      </c>
      <c r="J1896" s="100" t="e">
        <f ca="1">IFERROR(__xludf.DUMMYFUNCTION("""COMPUTED_VALUE"""),"-6.061")</f>
        <v>#NAME?</v>
      </c>
      <c r="K1896" s="100" t="e">
        <f t="shared" ca="1" si="331"/>
        <v>#NAME?</v>
      </c>
      <c r="L1896" s="100"/>
      <c r="M1896" s="100"/>
      <c r="N1896" s="100"/>
      <c r="O1896" s="100"/>
      <c r="P1896" s="100"/>
      <c r="Q1896" s="100"/>
      <c r="R1896" s="100"/>
      <c r="S1896" s="100"/>
      <c r="T1896" s="100"/>
      <c r="U1896" s="100"/>
      <c r="V1896" s="100"/>
      <c r="W1896" s="100"/>
      <c r="X1896" s="100"/>
      <c r="Y1896" s="100"/>
      <c r="Z1896" s="100"/>
    </row>
    <row r="1897" spans="1:26">
      <c r="A1897" s="100" t="e">
        <f ca="1">IFERROR(__xludf.DUMMYFUNCTION("""COMPUTED_VALUE"""),58785232)</f>
        <v>#NAME?</v>
      </c>
      <c r="B1897" s="100" t="e">
        <f ca="1">IFERROR(__xludf.DUMMYFUNCTION("""COMPUTED_VALUE"""),"LOKABNB")</f>
        <v>#NAME?</v>
      </c>
      <c r="C1897" s="100" t="e">
        <f ca="1">IFERROR(__xludf.DUMMYFUNCTION("""COMPUTED_VALUE"""),"0.00104270")</f>
        <v>#NAME?</v>
      </c>
      <c r="D1897" s="100" t="e">
        <f t="shared" ca="1" si="333"/>
        <v>#NAME?</v>
      </c>
      <c r="E1897" s="100" t="e">
        <f t="shared" ca="1" si="333"/>
        <v>#NAME?</v>
      </c>
      <c r="F1897" s="100" t="e">
        <f t="shared" ca="1" si="327"/>
        <v>#NAME?</v>
      </c>
      <c r="G1897" s="100" t="e">
        <f t="shared" ca="1" si="328"/>
        <v>#NAME?</v>
      </c>
      <c r="H1897" s="100" t="e">
        <f t="shared" ca="1" si="329"/>
        <v>#NAME?</v>
      </c>
      <c r="I1897" s="100" t="e">
        <f t="shared" ca="1" si="330"/>
        <v>#NAME?</v>
      </c>
      <c r="J1897" s="100" t="e">
        <f ca="1">IFERROR(__xludf.DUMMYFUNCTION("""COMPUTED_VALUE"""),"0")</f>
        <v>#NAME?</v>
      </c>
      <c r="K1897" s="100" t="e">
        <f t="shared" ca="1" si="331"/>
        <v>#NAME?</v>
      </c>
      <c r="L1897" s="100"/>
      <c r="M1897" s="100"/>
      <c r="N1897" s="100"/>
      <c r="O1897" s="100"/>
      <c r="P1897" s="100"/>
      <c r="Q1897" s="100"/>
      <c r="R1897" s="100"/>
      <c r="S1897" s="100"/>
      <c r="T1897" s="100"/>
      <c r="U1897" s="100"/>
      <c r="V1897" s="100"/>
      <c r="W1897" s="100"/>
      <c r="X1897" s="100"/>
      <c r="Y1897" s="100"/>
      <c r="Z1897" s="100"/>
    </row>
    <row r="1898" spans="1:26">
      <c r="A1898" s="100" t="e">
        <f ca="1">IFERROR(__xludf.DUMMYFUNCTION("""COMPUTED_VALUE"""),58785233)</f>
        <v>#NAME?</v>
      </c>
      <c r="B1898" s="100" t="e">
        <f ca="1">IFERROR(__xludf.DUMMYFUNCTION("""COMPUTED_VALUE"""),"LOKABUSD")</f>
        <v>#NAME?</v>
      </c>
      <c r="C1898" s="100" t="e">
        <f ca="1">IFERROR(__xludf.DUMMYFUNCTION("""COMPUTED_VALUE"""),"0.18490000")</f>
        <v>#NAME?</v>
      </c>
      <c r="D1898" s="100" t="e">
        <f t="shared" ca="1" si="333"/>
        <v>#NAME?</v>
      </c>
      <c r="E1898" s="100" t="e">
        <f t="shared" ca="1" si="333"/>
        <v>#NAME?</v>
      </c>
      <c r="F1898" s="100" t="e">
        <f t="shared" ca="1" si="327"/>
        <v>#NAME?</v>
      </c>
      <c r="G1898" s="100" t="e">
        <f t="shared" ca="1" si="328"/>
        <v>#NAME?</v>
      </c>
      <c r="H1898" s="100" t="e">
        <f t="shared" ca="1" si="329"/>
        <v>#NAME?</v>
      </c>
      <c r="I1898" s="100" t="e">
        <f t="shared" ca="1" si="330"/>
        <v>#NAME?</v>
      </c>
      <c r="J1898" s="100" t="e">
        <f ca="1">IFERROR(__xludf.DUMMYFUNCTION("""COMPUTED_VALUE"""),"0")</f>
        <v>#NAME?</v>
      </c>
      <c r="K1898" s="100" t="e">
        <f t="shared" ca="1" si="331"/>
        <v>#NAME?</v>
      </c>
      <c r="L1898" s="100"/>
      <c r="M1898" s="100"/>
      <c r="N1898" s="100"/>
      <c r="O1898" s="100"/>
      <c r="P1898" s="100"/>
      <c r="Q1898" s="100"/>
      <c r="R1898" s="100"/>
      <c r="S1898" s="100"/>
      <c r="T1898" s="100"/>
      <c r="U1898" s="100"/>
      <c r="V1898" s="100"/>
      <c r="W1898" s="100"/>
      <c r="X1898" s="100"/>
      <c r="Y1898" s="100"/>
      <c r="Z1898" s="100"/>
    </row>
    <row r="1899" spans="1:26">
      <c r="A1899" s="100" t="e">
        <f ca="1">IFERROR(__xludf.DUMMYFUNCTION("""COMPUTED_VALUE"""),58785234)</f>
        <v>#NAME?</v>
      </c>
      <c r="B1899" s="100" t="e">
        <f ca="1">IFERROR(__xludf.DUMMYFUNCTION("""COMPUTED_VALUE"""),"LOKAUSDT")</f>
        <v>#NAME?</v>
      </c>
      <c r="C1899" s="100" t="e">
        <f ca="1">IFERROR(__xludf.DUMMYFUNCTION("""COMPUTED_VALUE"""),"0.08200000")</f>
        <v>#NAME?</v>
      </c>
      <c r="D1899" s="100" t="e">
        <f t="shared" ca="1" si="333"/>
        <v>#NAME?</v>
      </c>
      <c r="E1899" s="100" t="e">
        <f t="shared" ca="1" si="333"/>
        <v>#NAME?</v>
      </c>
      <c r="F1899" s="100" t="e">
        <f t="shared" ca="1" si="327"/>
        <v>#NAME?</v>
      </c>
      <c r="G1899" s="100" t="e">
        <f t="shared" ca="1" si="328"/>
        <v>#NAME?</v>
      </c>
      <c r="H1899" s="100" t="e">
        <f t="shared" ca="1" si="329"/>
        <v>#NAME?</v>
      </c>
      <c r="I1899" s="100" t="e">
        <f t="shared" ca="1" si="330"/>
        <v>#NAME?</v>
      </c>
      <c r="J1899" s="100" t="e">
        <f ca="1">IFERROR(__xludf.DUMMYFUNCTION("""COMPUTED_VALUE"""),"-4.317")</f>
        <v>#NAME?</v>
      </c>
      <c r="K1899" s="100" t="e">
        <f t="shared" ca="1" si="331"/>
        <v>#NAME?</v>
      </c>
      <c r="L1899" s="100"/>
      <c r="M1899" s="100"/>
      <c r="N1899" s="100"/>
      <c r="O1899" s="100"/>
      <c r="P1899" s="100"/>
      <c r="Q1899" s="100"/>
      <c r="R1899" s="100"/>
      <c r="S1899" s="100"/>
      <c r="T1899" s="100"/>
      <c r="U1899" s="100"/>
      <c r="V1899" s="100"/>
      <c r="W1899" s="100"/>
      <c r="X1899" s="100"/>
      <c r="Y1899" s="100"/>
      <c r="Z1899" s="100"/>
    </row>
    <row r="1900" spans="1:26">
      <c r="A1900" s="100" t="e">
        <f ca="1">IFERROR(__xludf.DUMMYFUNCTION("""COMPUTED_VALUE"""),58785235)</f>
        <v>#NAME?</v>
      </c>
      <c r="B1900" s="100" t="e">
        <f ca="1">IFERROR(__xludf.DUMMYFUNCTION("""COMPUTED_VALUE"""),"ATOMBRL")</f>
        <v>#NAME?</v>
      </c>
      <c r="C1900" s="100" t="e">
        <f ca="1">IFERROR(__xludf.DUMMYFUNCTION("""COMPUTED_VALUE"""),"66.35000000")</f>
        <v>#NAME?</v>
      </c>
      <c r="D1900" s="100" t="e">
        <f t="shared" ca="1" si="333"/>
        <v>#NAME?</v>
      </c>
      <c r="E1900" s="100" t="e">
        <f t="shared" ca="1" si="333"/>
        <v>#NAME?</v>
      </c>
      <c r="F1900" s="100" t="e">
        <f t="shared" ca="1" si="327"/>
        <v>#NAME?</v>
      </c>
      <c r="G1900" s="100" t="e">
        <f t="shared" ca="1" si="328"/>
        <v>#NAME?</v>
      </c>
      <c r="H1900" s="100" t="e">
        <f t="shared" ca="1" si="329"/>
        <v>#NAME?</v>
      </c>
      <c r="I1900" s="100" t="e">
        <f t="shared" ca="1" si="330"/>
        <v>#NAME?</v>
      </c>
      <c r="J1900" s="100" t="e">
        <f ca="1">IFERROR(__xludf.DUMMYFUNCTION("""COMPUTED_VALUE"""),"0")</f>
        <v>#NAME?</v>
      </c>
      <c r="K1900" s="100" t="e">
        <f t="shared" ca="1" si="331"/>
        <v>#NAME?</v>
      </c>
      <c r="L1900" s="100"/>
      <c r="M1900" s="100"/>
      <c r="N1900" s="100"/>
      <c r="O1900" s="100"/>
      <c r="P1900" s="100"/>
      <c r="Q1900" s="100"/>
      <c r="R1900" s="100"/>
      <c r="S1900" s="100"/>
      <c r="T1900" s="100"/>
      <c r="U1900" s="100"/>
      <c r="V1900" s="100"/>
      <c r="W1900" s="100"/>
      <c r="X1900" s="100"/>
      <c r="Y1900" s="100"/>
      <c r="Z1900" s="100"/>
    </row>
    <row r="1901" spans="1:26">
      <c r="A1901" s="100" t="e">
        <f ca="1">IFERROR(__xludf.DUMMYFUNCTION("""COMPUTED_VALUE"""),58785236)</f>
        <v>#NAME?</v>
      </c>
      <c r="B1901" s="100" t="e">
        <f ca="1">IFERROR(__xludf.DUMMYFUNCTION("""COMPUTED_VALUE"""),"BNBUST")</f>
        <v>#NAME?</v>
      </c>
      <c r="C1901" s="100" t="e">
        <f ca="1">IFERROR(__xludf.DUMMYFUNCTION("""COMPUTED_VALUE"""),"0.00000000")</f>
        <v>#NAME?</v>
      </c>
      <c r="D1901" s="100" t="e">
        <f t="shared" ca="1" si="333"/>
        <v>#NAME?</v>
      </c>
      <c r="E1901" s="100" t="e">
        <f t="shared" ca="1" si="333"/>
        <v>#NAME?</v>
      </c>
      <c r="F1901" s="100" t="e">
        <f t="shared" ca="1" si="327"/>
        <v>#NAME?</v>
      </c>
      <c r="G1901" s="100" t="e">
        <f t="shared" ca="1" si="328"/>
        <v>#NAME?</v>
      </c>
      <c r="H1901" s="100" t="e">
        <f t="shared" ca="1" si="329"/>
        <v>#NAME?</v>
      </c>
      <c r="I1901" s="100" t="e">
        <f t="shared" ca="1" si="330"/>
        <v>#NAME?</v>
      </c>
      <c r="J1901" s="100" t="e">
        <f ca="1">IFERROR(__xludf.DUMMYFUNCTION("""COMPUTED_VALUE"""),"0")</f>
        <v>#NAME?</v>
      </c>
      <c r="K1901" s="100" t="e">
        <f t="shared" ca="1" si="331"/>
        <v>#NAME?</v>
      </c>
      <c r="L1901" s="100"/>
      <c r="M1901" s="100"/>
      <c r="N1901" s="100"/>
      <c r="O1901" s="100"/>
      <c r="P1901" s="100"/>
      <c r="Q1901" s="100"/>
      <c r="R1901" s="100"/>
      <c r="S1901" s="100"/>
      <c r="T1901" s="100"/>
      <c r="U1901" s="100"/>
      <c r="V1901" s="100"/>
      <c r="W1901" s="100"/>
      <c r="X1901" s="100"/>
      <c r="Y1901" s="100"/>
      <c r="Z1901" s="100"/>
    </row>
    <row r="1902" spans="1:26">
      <c r="A1902" s="100" t="e">
        <f ca="1">IFERROR(__xludf.DUMMYFUNCTION("""COMPUTED_VALUE"""),58785237)</f>
        <v>#NAME?</v>
      </c>
      <c r="B1902" s="100" t="e">
        <f ca="1">IFERROR(__xludf.DUMMYFUNCTION("""COMPUTED_VALUE"""),"CRVETH")</f>
        <v>#NAME?</v>
      </c>
      <c r="C1902" s="100" t="e">
        <f ca="1">IFERROR(__xludf.DUMMYFUNCTION("""COMPUTED_VALUE"""),"0.00020780")</f>
        <v>#NAME?</v>
      </c>
      <c r="D1902" s="100" t="e">
        <f t="shared" ref="D1902:E1921" ca="1" si="334">IFERROR(__xludf.DUMMYFUNCTION("""COMPUTED_VALUE"""),"-")</f>
        <v>#NAME?</v>
      </c>
      <c r="E1902" s="100" t="e">
        <f t="shared" ca="1" si="334"/>
        <v>#NAME?</v>
      </c>
      <c r="F1902" s="100" t="e">
        <f t="shared" ca="1" si="327"/>
        <v>#NAME?</v>
      </c>
      <c r="G1902" s="100" t="e">
        <f t="shared" ca="1" si="328"/>
        <v>#NAME?</v>
      </c>
      <c r="H1902" s="100" t="e">
        <f t="shared" ca="1" si="329"/>
        <v>#NAME?</v>
      </c>
      <c r="I1902" s="100" t="e">
        <f t="shared" ca="1" si="330"/>
        <v>#NAME?</v>
      </c>
      <c r="J1902" s="100" t="e">
        <f ca="1">IFERROR(__xludf.DUMMYFUNCTION("""COMPUTED_VALUE"""),"0")</f>
        <v>#NAME?</v>
      </c>
      <c r="K1902" s="100" t="e">
        <f t="shared" ca="1" si="331"/>
        <v>#NAME?</v>
      </c>
      <c r="L1902" s="100"/>
      <c r="M1902" s="100"/>
      <c r="N1902" s="100"/>
      <c r="O1902" s="100"/>
      <c r="P1902" s="100"/>
      <c r="Q1902" s="100"/>
      <c r="R1902" s="100"/>
      <c r="S1902" s="100"/>
      <c r="T1902" s="100"/>
      <c r="U1902" s="100"/>
      <c r="V1902" s="100"/>
      <c r="W1902" s="100"/>
      <c r="X1902" s="100"/>
      <c r="Y1902" s="100"/>
      <c r="Z1902" s="100"/>
    </row>
    <row r="1903" spans="1:26">
      <c r="A1903" s="100" t="e">
        <f ca="1">IFERROR(__xludf.DUMMYFUNCTION("""COMPUTED_VALUE"""),58785238)</f>
        <v>#NAME?</v>
      </c>
      <c r="B1903" s="100" t="e">
        <f ca="1">IFERROR(__xludf.DUMMYFUNCTION("""COMPUTED_VALUE"""),"HIGHBNB")</f>
        <v>#NAME?</v>
      </c>
      <c r="C1903" s="100" t="e">
        <f ca="1">IFERROR(__xludf.DUMMYFUNCTION("""COMPUTED_VALUE"""),"0.00455700")</f>
        <v>#NAME?</v>
      </c>
      <c r="D1903" s="100" t="e">
        <f t="shared" ca="1" si="334"/>
        <v>#NAME?</v>
      </c>
      <c r="E1903" s="100" t="e">
        <f t="shared" ca="1" si="334"/>
        <v>#NAME?</v>
      </c>
      <c r="F1903" s="100" t="e">
        <f t="shared" ca="1" si="327"/>
        <v>#NAME?</v>
      </c>
      <c r="G1903" s="100" t="e">
        <f t="shared" ca="1" si="328"/>
        <v>#NAME?</v>
      </c>
      <c r="H1903" s="100" t="e">
        <f t="shared" ca="1" si="329"/>
        <v>#NAME?</v>
      </c>
      <c r="I1903" s="100" t="e">
        <f t="shared" ca="1" si="330"/>
        <v>#NAME?</v>
      </c>
      <c r="J1903" s="100" t="e">
        <f ca="1">IFERROR(__xludf.DUMMYFUNCTION("""COMPUTED_VALUE"""),"0")</f>
        <v>#NAME?</v>
      </c>
      <c r="K1903" s="100" t="e">
        <f t="shared" ca="1" si="331"/>
        <v>#NAME?</v>
      </c>
      <c r="L1903" s="100"/>
      <c r="M1903" s="100"/>
      <c r="N1903" s="100"/>
      <c r="O1903" s="100"/>
      <c r="P1903" s="100"/>
      <c r="Q1903" s="100"/>
      <c r="R1903" s="100"/>
      <c r="S1903" s="100"/>
      <c r="T1903" s="100"/>
      <c r="U1903" s="100"/>
      <c r="V1903" s="100"/>
      <c r="W1903" s="100"/>
      <c r="X1903" s="100"/>
      <c r="Y1903" s="100"/>
      <c r="Z1903" s="100"/>
    </row>
    <row r="1904" spans="1:26">
      <c r="A1904" s="100" t="e">
        <f ca="1">IFERROR(__xludf.DUMMYFUNCTION("""COMPUTED_VALUE"""),58785239)</f>
        <v>#NAME?</v>
      </c>
      <c r="B1904" s="100" t="e">
        <f ca="1">IFERROR(__xludf.DUMMYFUNCTION("""COMPUTED_VALUE"""),"NEARRUB")</f>
        <v>#NAME?</v>
      </c>
      <c r="C1904" s="100" t="e">
        <f ca="1">IFERROR(__xludf.DUMMYFUNCTION("""COMPUTED_VALUE"""),"183.40000000")</f>
        <v>#NAME?</v>
      </c>
      <c r="D1904" s="100" t="e">
        <f t="shared" ca="1" si="334"/>
        <v>#NAME?</v>
      </c>
      <c r="E1904" s="100" t="e">
        <f t="shared" ca="1" si="334"/>
        <v>#NAME?</v>
      </c>
      <c r="F1904" s="100" t="e">
        <f t="shared" ca="1" si="327"/>
        <v>#NAME?</v>
      </c>
      <c r="G1904" s="100" t="e">
        <f t="shared" ca="1" si="328"/>
        <v>#NAME?</v>
      </c>
      <c r="H1904" s="100" t="e">
        <f t="shared" ca="1" si="329"/>
        <v>#NAME?</v>
      </c>
      <c r="I1904" s="100" t="e">
        <f t="shared" ca="1" si="330"/>
        <v>#NAME?</v>
      </c>
      <c r="J1904" s="100" t="e">
        <f ca="1">IFERROR(__xludf.DUMMYFUNCTION("""COMPUTED_VALUE"""),"0")</f>
        <v>#NAME?</v>
      </c>
      <c r="K1904" s="100" t="e">
        <f t="shared" ca="1" si="331"/>
        <v>#NAME?</v>
      </c>
      <c r="L1904" s="100"/>
      <c r="M1904" s="100"/>
      <c r="N1904" s="100"/>
      <c r="O1904" s="100"/>
      <c r="P1904" s="100"/>
      <c r="Q1904" s="100"/>
      <c r="R1904" s="100"/>
      <c r="S1904" s="100"/>
      <c r="T1904" s="100"/>
      <c r="U1904" s="100"/>
      <c r="V1904" s="100"/>
      <c r="W1904" s="100"/>
      <c r="X1904" s="100"/>
      <c r="Y1904" s="100"/>
      <c r="Z1904" s="100"/>
    </row>
    <row r="1905" spans="1:26">
      <c r="A1905" s="100" t="e">
        <f ca="1">IFERROR(__xludf.DUMMYFUNCTION("""COMPUTED_VALUE"""),58785240)</f>
        <v>#NAME?</v>
      </c>
      <c r="B1905" s="100" t="e">
        <f ca="1">IFERROR(__xludf.DUMMYFUNCTION("""COMPUTED_VALUE"""),"ROSETRY")</f>
        <v>#NAME?</v>
      </c>
      <c r="C1905" s="100" t="e">
        <f ca="1">IFERROR(__xludf.DUMMYFUNCTION("""COMPUTED_VALUE"""),"1.00000000")</f>
        <v>#NAME?</v>
      </c>
      <c r="D1905" s="100" t="e">
        <f t="shared" ca="1" si="334"/>
        <v>#NAME?</v>
      </c>
      <c r="E1905" s="100" t="e">
        <f t="shared" ca="1" si="334"/>
        <v>#NAME?</v>
      </c>
      <c r="F1905" s="100" t="e">
        <f t="shared" ca="1" si="327"/>
        <v>#NAME?</v>
      </c>
      <c r="G1905" s="100" t="e">
        <f t="shared" ca="1" si="328"/>
        <v>#NAME?</v>
      </c>
      <c r="H1905" s="100" t="e">
        <f t="shared" ca="1" si="329"/>
        <v>#NAME?</v>
      </c>
      <c r="I1905" s="100" t="e">
        <f t="shared" ca="1" si="330"/>
        <v>#NAME?</v>
      </c>
      <c r="J1905" s="100" t="e">
        <f ca="1">IFERROR(__xludf.DUMMYFUNCTION("""COMPUTED_VALUE"""),"-3.568")</f>
        <v>#NAME?</v>
      </c>
      <c r="K1905" s="100" t="e">
        <f t="shared" ca="1" si="331"/>
        <v>#NAME?</v>
      </c>
      <c r="L1905" s="100"/>
      <c r="M1905" s="100"/>
      <c r="N1905" s="100"/>
      <c r="O1905" s="100"/>
      <c r="P1905" s="100"/>
      <c r="Q1905" s="100"/>
      <c r="R1905" s="100"/>
      <c r="S1905" s="100"/>
      <c r="T1905" s="100"/>
      <c r="U1905" s="100"/>
      <c r="V1905" s="100"/>
      <c r="W1905" s="100"/>
      <c r="X1905" s="100"/>
      <c r="Y1905" s="100"/>
      <c r="Z1905" s="100"/>
    </row>
    <row r="1906" spans="1:26">
      <c r="A1906" s="100" t="e">
        <f ca="1">IFERROR(__xludf.DUMMYFUNCTION("""COMPUTED_VALUE"""),58785241)</f>
        <v>#NAME?</v>
      </c>
      <c r="B1906" s="100" t="e">
        <f ca="1">IFERROR(__xludf.DUMMYFUNCTION("""COMPUTED_VALUE"""),"SCRTUSDT")</f>
        <v>#NAME?</v>
      </c>
      <c r="C1906" s="100" t="e">
        <f ca="1">IFERROR(__xludf.DUMMYFUNCTION("""COMPUTED_VALUE"""),"0.21850000")</f>
        <v>#NAME?</v>
      </c>
      <c r="D1906" s="100" t="e">
        <f t="shared" ca="1" si="334"/>
        <v>#NAME?</v>
      </c>
      <c r="E1906" s="100" t="e">
        <f t="shared" ca="1" si="334"/>
        <v>#NAME?</v>
      </c>
      <c r="F1906" s="100" t="e">
        <f t="shared" ca="1" si="327"/>
        <v>#NAME?</v>
      </c>
      <c r="G1906" s="100" t="e">
        <f t="shared" ca="1" si="328"/>
        <v>#NAME?</v>
      </c>
      <c r="H1906" s="100" t="e">
        <f t="shared" ca="1" si="329"/>
        <v>#NAME?</v>
      </c>
      <c r="I1906" s="100" t="e">
        <f t="shared" ca="1" si="330"/>
        <v>#NAME?</v>
      </c>
      <c r="J1906" s="100" t="e">
        <f ca="1">IFERROR(__xludf.DUMMYFUNCTION("""COMPUTED_VALUE"""),"1.345")</f>
        <v>#NAME?</v>
      </c>
      <c r="K1906" s="100" t="e">
        <f t="shared" ca="1" si="331"/>
        <v>#NAME?</v>
      </c>
      <c r="L1906" s="100"/>
      <c r="M1906" s="100"/>
      <c r="N1906" s="100"/>
      <c r="O1906" s="100"/>
      <c r="P1906" s="100"/>
      <c r="Q1906" s="100"/>
      <c r="R1906" s="100"/>
      <c r="S1906" s="100"/>
      <c r="T1906" s="100"/>
      <c r="U1906" s="100"/>
      <c r="V1906" s="100"/>
      <c r="W1906" s="100"/>
      <c r="X1906" s="100"/>
      <c r="Y1906" s="100"/>
      <c r="Z1906" s="100"/>
    </row>
    <row r="1907" spans="1:26">
      <c r="A1907" s="100" t="e">
        <f ca="1">IFERROR(__xludf.DUMMYFUNCTION("""COMPUTED_VALUE"""),58785242)</f>
        <v>#NAME?</v>
      </c>
      <c r="B1907" s="100" t="e">
        <f ca="1">IFERROR(__xludf.DUMMYFUNCTION("""COMPUTED_VALUE"""),"API3BTC")</f>
        <v>#NAME?</v>
      </c>
      <c r="C1907" s="100" t="e">
        <f ca="1">IFERROR(__xludf.DUMMYFUNCTION("""COMPUTED_VALUE"""),"0.00000816")</f>
        <v>#NAME?</v>
      </c>
      <c r="D1907" s="100" t="e">
        <f t="shared" ca="1" si="334"/>
        <v>#NAME?</v>
      </c>
      <c r="E1907" s="100" t="e">
        <f t="shared" ca="1" si="334"/>
        <v>#NAME?</v>
      </c>
      <c r="F1907" s="100" t="e">
        <f t="shared" ca="1" si="327"/>
        <v>#NAME?</v>
      </c>
      <c r="G1907" s="100" t="e">
        <f t="shared" ca="1" si="328"/>
        <v>#NAME?</v>
      </c>
      <c r="H1907" s="100" t="e">
        <f t="shared" ca="1" si="329"/>
        <v>#NAME?</v>
      </c>
      <c r="I1907" s="100" t="e">
        <f t="shared" ca="1" si="330"/>
        <v>#NAME?</v>
      </c>
      <c r="J1907" s="100" t="e">
        <f ca="1">IFERROR(__xludf.DUMMYFUNCTION("""COMPUTED_VALUE"""),"-3.203")</f>
        <v>#NAME?</v>
      </c>
      <c r="K1907" s="100" t="e">
        <f t="shared" ca="1" si="331"/>
        <v>#NAME?</v>
      </c>
      <c r="L1907" s="100"/>
      <c r="M1907" s="100"/>
      <c r="N1907" s="100"/>
      <c r="O1907" s="100"/>
      <c r="P1907" s="100"/>
      <c r="Q1907" s="100"/>
      <c r="R1907" s="100"/>
      <c r="S1907" s="100"/>
      <c r="T1907" s="100"/>
      <c r="U1907" s="100"/>
      <c r="V1907" s="100"/>
      <c r="W1907" s="100"/>
      <c r="X1907" s="100"/>
      <c r="Y1907" s="100"/>
      <c r="Z1907" s="100"/>
    </row>
    <row r="1908" spans="1:26">
      <c r="A1908" s="100" t="e">
        <f ca="1">IFERROR(__xludf.DUMMYFUNCTION("""COMPUTED_VALUE"""),58785243)</f>
        <v>#NAME?</v>
      </c>
      <c r="B1908" s="100" t="e">
        <f ca="1">IFERROR(__xludf.DUMMYFUNCTION("""COMPUTED_VALUE"""),"API3BUSD")</f>
        <v>#NAME?</v>
      </c>
      <c r="C1908" s="100" t="e">
        <f ca="1">IFERROR(__xludf.DUMMYFUNCTION("""COMPUTED_VALUE"""),"1.00000000")</f>
        <v>#NAME?</v>
      </c>
      <c r="D1908" s="100" t="e">
        <f t="shared" ca="1" si="334"/>
        <v>#NAME?</v>
      </c>
      <c r="E1908" s="100" t="e">
        <f t="shared" ca="1" si="334"/>
        <v>#NAME?</v>
      </c>
      <c r="F1908" s="100" t="e">
        <f t="shared" ca="1" si="327"/>
        <v>#NAME?</v>
      </c>
      <c r="G1908" s="100" t="e">
        <f t="shared" ca="1" si="328"/>
        <v>#NAME?</v>
      </c>
      <c r="H1908" s="100" t="e">
        <f t="shared" ca="1" si="329"/>
        <v>#NAME?</v>
      </c>
      <c r="I1908" s="100" t="e">
        <f t="shared" ca="1" si="330"/>
        <v>#NAME?</v>
      </c>
      <c r="J1908" s="100" t="e">
        <f ca="1">IFERROR(__xludf.DUMMYFUNCTION("""COMPUTED_VALUE"""),"0")</f>
        <v>#NAME?</v>
      </c>
      <c r="K1908" s="100" t="e">
        <f t="shared" ca="1" si="331"/>
        <v>#NAME?</v>
      </c>
      <c r="L1908" s="100"/>
      <c r="M1908" s="100"/>
      <c r="N1908" s="100"/>
      <c r="O1908" s="100"/>
      <c r="P1908" s="100"/>
      <c r="Q1908" s="100"/>
      <c r="R1908" s="100"/>
      <c r="S1908" s="100"/>
      <c r="T1908" s="100"/>
      <c r="U1908" s="100"/>
      <c r="V1908" s="100"/>
      <c r="W1908" s="100"/>
      <c r="X1908" s="100"/>
      <c r="Y1908" s="100"/>
      <c r="Z1908" s="100"/>
    </row>
    <row r="1909" spans="1:26">
      <c r="A1909" s="100" t="e">
        <f ca="1">IFERROR(__xludf.DUMMYFUNCTION("""COMPUTED_VALUE"""),58785244)</f>
        <v>#NAME?</v>
      </c>
      <c r="B1909" s="100" t="e">
        <f ca="1">IFERROR(__xludf.DUMMYFUNCTION("""COMPUTED_VALUE"""),"API3USDT")</f>
        <v>#NAME?</v>
      </c>
      <c r="C1909" s="100" t="e">
        <f ca="1">IFERROR(__xludf.DUMMYFUNCTION("""COMPUTED_VALUE"""),"0.72400000")</f>
        <v>#NAME?</v>
      </c>
      <c r="D1909" s="100" t="e">
        <f t="shared" ca="1" si="334"/>
        <v>#NAME?</v>
      </c>
      <c r="E1909" s="100" t="e">
        <f t="shared" ca="1" si="334"/>
        <v>#NAME?</v>
      </c>
      <c r="F1909" s="100" t="e">
        <f t="shared" ca="1" si="327"/>
        <v>#NAME?</v>
      </c>
      <c r="G1909" s="100" t="e">
        <f t="shared" ca="1" si="328"/>
        <v>#NAME?</v>
      </c>
      <c r="H1909" s="100" t="e">
        <f t="shared" ca="1" si="329"/>
        <v>#NAME?</v>
      </c>
      <c r="I1909" s="100" t="e">
        <f t="shared" ca="1" si="330"/>
        <v>#NAME?</v>
      </c>
      <c r="J1909" s="100" t="e">
        <f ca="1">IFERROR(__xludf.DUMMYFUNCTION("""COMPUTED_VALUE"""),"-1.897")</f>
        <v>#NAME?</v>
      </c>
      <c r="K1909" s="100" t="e">
        <f t="shared" ca="1" si="331"/>
        <v>#NAME?</v>
      </c>
      <c r="L1909" s="100"/>
      <c r="M1909" s="100"/>
      <c r="N1909" s="100"/>
      <c r="O1909" s="100"/>
      <c r="P1909" s="100"/>
      <c r="Q1909" s="100"/>
      <c r="R1909" s="100"/>
      <c r="S1909" s="100"/>
      <c r="T1909" s="100"/>
      <c r="U1909" s="100"/>
      <c r="V1909" s="100"/>
      <c r="W1909" s="100"/>
      <c r="X1909" s="100"/>
      <c r="Y1909" s="100"/>
      <c r="Z1909" s="100"/>
    </row>
    <row r="1910" spans="1:26">
      <c r="A1910" s="100" t="e">
        <f ca="1">IFERROR(__xludf.DUMMYFUNCTION("""COMPUTED_VALUE"""),58785245)</f>
        <v>#NAME?</v>
      </c>
      <c r="B1910" s="100" t="e">
        <f ca="1">IFERROR(__xludf.DUMMYFUNCTION("""COMPUTED_VALUE"""),"BTTCUSDT")</f>
        <v>#NAME?</v>
      </c>
      <c r="C1910" s="100" t="e">
        <f ca="1">IFERROR(__xludf.DUMMYFUNCTION("""COMPUTED_VALUE"""),"0.00000062")</f>
        <v>#NAME?</v>
      </c>
      <c r="D1910" s="100" t="e">
        <f t="shared" ca="1" si="334"/>
        <v>#NAME?</v>
      </c>
      <c r="E1910" s="100" t="e">
        <f t="shared" ca="1" si="334"/>
        <v>#NAME?</v>
      </c>
      <c r="F1910" s="100" t="e">
        <f t="shared" ca="1" si="327"/>
        <v>#NAME?</v>
      </c>
      <c r="G1910" s="100" t="e">
        <f t="shared" ca="1" si="328"/>
        <v>#NAME?</v>
      </c>
      <c r="H1910" s="100" t="e">
        <f t="shared" ca="1" si="329"/>
        <v>#NAME?</v>
      </c>
      <c r="I1910" s="100" t="e">
        <f t="shared" ca="1" si="330"/>
        <v>#NAME?</v>
      </c>
      <c r="J1910" s="100" t="e">
        <f ca="1">IFERROR(__xludf.DUMMYFUNCTION("""COMPUTED_VALUE"""),"0.000")</f>
        <v>#NAME?</v>
      </c>
      <c r="K1910" s="100" t="e">
        <f t="shared" ca="1" si="331"/>
        <v>#NAME?</v>
      </c>
      <c r="L1910" s="100"/>
      <c r="M1910" s="100"/>
      <c r="N1910" s="100"/>
      <c r="O1910" s="100"/>
      <c r="P1910" s="100"/>
      <c r="Q1910" s="100"/>
      <c r="R1910" s="100"/>
      <c r="S1910" s="100"/>
      <c r="T1910" s="100"/>
      <c r="U1910" s="100"/>
      <c r="V1910" s="100"/>
      <c r="W1910" s="100"/>
      <c r="X1910" s="100"/>
      <c r="Y1910" s="100"/>
      <c r="Z1910" s="100"/>
    </row>
    <row r="1911" spans="1:26">
      <c r="A1911" s="100" t="e">
        <f ca="1">IFERROR(__xludf.DUMMYFUNCTION("""COMPUTED_VALUE"""),58785246)</f>
        <v>#NAME?</v>
      </c>
      <c r="B1911" s="100" t="e">
        <f ca="1">IFERROR(__xludf.DUMMYFUNCTION("""COMPUTED_VALUE"""),"BTTCUSDC")</f>
        <v>#NAME?</v>
      </c>
      <c r="C1911" s="100" t="e">
        <f ca="1">IFERROR(__xludf.DUMMYFUNCTION("""COMPUTED_VALUE"""),"0.00000078")</f>
        <v>#NAME?</v>
      </c>
      <c r="D1911" s="100" t="e">
        <f t="shared" ca="1" si="334"/>
        <v>#NAME?</v>
      </c>
      <c r="E1911" s="100" t="e">
        <f t="shared" ca="1" si="334"/>
        <v>#NAME?</v>
      </c>
      <c r="F1911" s="100" t="e">
        <f t="shared" ca="1" si="327"/>
        <v>#NAME?</v>
      </c>
      <c r="G1911" s="100" t="e">
        <f t="shared" ca="1" si="328"/>
        <v>#NAME?</v>
      </c>
      <c r="H1911" s="100" t="e">
        <f t="shared" ca="1" si="329"/>
        <v>#NAME?</v>
      </c>
      <c r="I1911" s="100" t="e">
        <f t="shared" ca="1" si="330"/>
        <v>#NAME?</v>
      </c>
      <c r="J1911" s="100" t="e">
        <f ca="1">IFERROR(__xludf.DUMMYFUNCTION("""COMPUTED_VALUE"""),"0")</f>
        <v>#NAME?</v>
      </c>
      <c r="K1911" s="100" t="e">
        <f t="shared" ca="1" si="331"/>
        <v>#NAME?</v>
      </c>
      <c r="L1911" s="100"/>
      <c r="M1911" s="100"/>
      <c r="N1911" s="100"/>
      <c r="O1911" s="100"/>
      <c r="P1911" s="100"/>
      <c r="Q1911" s="100"/>
      <c r="R1911" s="100"/>
      <c r="S1911" s="100"/>
      <c r="T1911" s="100"/>
      <c r="U1911" s="100"/>
      <c r="V1911" s="100"/>
      <c r="W1911" s="100"/>
      <c r="X1911" s="100"/>
      <c r="Y1911" s="100"/>
      <c r="Z1911" s="100"/>
    </row>
    <row r="1912" spans="1:26">
      <c r="A1912" s="100" t="e">
        <f ca="1">IFERROR(__xludf.DUMMYFUNCTION("""COMPUTED_VALUE"""),58785247)</f>
        <v>#NAME?</v>
      </c>
      <c r="B1912" s="100" t="e">
        <f ca="1">IFERROR(__xludf.DUMMYFUNCTION("""COMPUTED_VALUE"""),"BTTCTRY")</f>
        <v>#NAME?</v>
      </c>
      <c r="C1912" s="100" t="e">
        <f ca="1">IFERROR(__xludf.DUMMYFUNCTION("""COMPUTED_VALUE"""),"0.00002339")</f>
        <v>#NAME?</v>
      </c>
      <c r="D1912" s="100" t="e">
        <f t="shared" ca="1" si="334"/>
        <v>#NAME?</v>
      </c>
      <c r="E1912" s="100" t="e">
        <f t="shared" ca="1" si="334"/>
        <v>#NAME?</v>
      </c>
      <c r="F1912" s="100" t="e">
        <f t="shared" ca="1" si="327"/>
        <v>#NAME?</v>
      </c>
      <c r="G1912" s="100" t="e">
        <f t="shared" ca="1" si="328"/>
        <v>#NAME?</v>
      </c>
      <c r="H1912" s="100" t="e">
        <f t="shared" ca="1" si="329"/>
        <v>#NAME?</v>
      </c>
      <c r="I1912" s="100" t="e">
        <f t="shared" ca="1" si="330"/>
        <v>#NAME?</v>
      </c>
      <c r="J1912" s="100" t="e">
        <f ca="1">IFERROR(__xludf.DUMMYFUNCTION("""COMPUTED_VALUE"""),"-0.213")</f>
        <v>#NAME?</v>
      </c>
      <c r="K1912" s="100" t="e">
        <f t="shared" ca="1" si="331"/>
        <v>#NAME?</v>
      </c>
      <c r="L1912" s="100"/>
      <c r="M1912" s="100"/>
      <c r="N1912" s="100"/>
      <c r="O1912" s="100"/>
      <c r="P1912" s="100"/>
      <c r="Q1912" s="100"/>
      <c r="R1912" s="100"/>
      <c r="S1912" s="100"/>
      <c r="T1912" s="100"/>
      <c r="U1912" s="100"/>
      <c r="V1912" s="100"/>
      <c r="W1912" s="100"/>
      <c r="X1912" s="100"/>
      <c r="Y1912" s="100"/>
      <c r="Z1912" s="100"/>
    </row>
    <row r="1913" spans="1:26">
      <c r="A1913" s="100" t="e">
        <f ca="1">IFERROR(__xludf.DUMMYFUNCTION("""COMPUTED_VALUE"""),58785248)</f>
        <v>#NAME?</v>
      </c>
      <c r="B1913" s="100" t="e">
        <f ca="1">IFERROR(__xludf.DUMMYFUNCTION("""COMPUTED_VALUE"""),"ACABTC")</f>
        <v>#NAME?</v>
      </c>
      <c r="C1913" s="100" t="e">
        <f ca="1">IFERROR(__xludf.DUMMYFUNCTION("""COMPUTED_VALUE"""),"0.00000035")</f>
        <v>#NAME?</v>
      </c>
      <c r="D1913" s="100" t="e">
        <f t="shared" ca="1" si="334"/>
        <v>#NAME?</v>
      </c>
      <c r="E1913" s="100" t="e">
        <f t="shared" ca="1" si="334"/>
        <v>#NAME?</v>
      </c>
      <c r="F1913" s="100" t="e">
        <f t="shared" ca="1" si="327"/>
        <v>#NAME?</v>
      </c>
      <c r="G1913" s="100" t="e">
        <f t="shared" ca="1" si="328"/>
        <v>#NAME?</v>
      </c>
      <c r="H1913" s="100" t="e">
        <f t="shared" ca="1" si="329"/>
        <v>#NAME?</v>
      </c>
      <c r="I1913" s="100" t="e">
        <f t="shared" ca="1" si="330"/>
        <v>#NAME?</v>
      </c>
      <c r="J1913" s="100" t="e">
        <f ca="1">IFERROR(__xludf.DUMMYFUNCTION("""COMPUTED_VALUE"""),"-2.778")</f>
        <v>#NAME?</v>
      </c>
      <c r="K1913" s="100" t="e">
        <f t="shared" ca="1" si="331"/>
        <v>#NAME?</v>
      </c>
      <c r="L1913" s="100"/>
      <c r="M1913" s="100"/>
      <c r="N1913" s="100"/>
      <c r="O1913" s="100"/>
      <c r="P1913" s="100"/>
      <c r="Q1913" s="100"/>
      <c r="R1913" s="100"/>
      <c r="S1913" s="100"/>
      <c r="T1913" s="100"/>
      <c r="U1913" s="100"/>
      <c r="V1913" s="100"/>
      <c r="W1913" s="100"/>
      <c r="X1913" s="100"/>
      <c r="Y1913" s="100"/>
      <c r="Z1913" s="100"/>
    </row>
    <row r="1914" spans="1:26">
      <c r="A1914" s="100" t="e">
        <f ca="1">IFERROR(__xludf.DUMMYFUNCTION("""COMPUTED_VALUE"""),58785249)</f>
        <v>#NAME?</v>
      </c>
      <c r="B1914" s="100" t="e">
        <f ca="1">IFERROR(__xludf.DUMMYFUNCTION("""COMPUTED_VALUE"""),"ACABUSD")</f>
        <v>#NAME?</v>
      </c>
      <c r="C1914" s="100" t="e">
        <f ca="1">IFERROR(__xludf.DUMMYFUNCTION("""COMPUTED_VALUE"""),"0.04640000")</f>
        <v>#NAME?</v>
      </c>
      <c r="D1914" s="100" t="e">
        <f t="shared" ca="1" si="334"/>
        <v>#NAME?</v>
      </c>
      <c r="E1914" s="100" t="e">
        <f t="shared" ca="1" si="334"/>
        <v>#NAME?</v>
      </c>
      <c r="F1914" s="100" t="e">
        <f t="shared" ca="1" si="327"/>
        <v>#NAME?</v>
      </c>
      <c r="G1914" s="100" t="e">
        <f t="shared" ca="1" si="328"/>
        <v>#NAME?</v>
      </c>
      <c r="H1914" s="100" t="e">
        <f t="shared" ca="1" si="329"/>
        <v>#NAME?</v>
      </c>
      <c r="I1914" s="100" t="e">
        <f t="shared" ca="1" si="330"/>
        <v>#NAME?</v>
      </c>
      <c r="J1914" s="100" t="e">
        <f ca="1">IFERROR(__xludf.DUMMYFUNCTION("""COMPUTED_VALUE"""),"0")</f>
        <v>#NAME?</v>
      </c>
      <c r="K1914" s="100" t="e">
        <f t="shared" ca="1" si="331"/>
        <v>#NAME?</v>
      </c>
      <c r="L1914" s="100"/>
      <c r="M1914" s="100"/>
      <c r="N1914" s="100"/>
      <c r="O1914" s="100"/>
      <c r="P1914" s="100"/>
      <c r="Q1914" s="100"/>
      <c r="R1914" s="100"/>
      <c r="S1914" s="100"/>
      <c r="T1914" s="100"/>
      <c r="U1914" s="100"/>
      <c r="V1914" s="100"/>
      <c r="W1914" s="100"/>
      <c r="X1914" s="100"/>
      <c r="Y1914" s="100"/>
      <c r="Z1914" s="100"/>
    </row>
    <row r="1915" spans="1:26">
      <c r="A1915" s="100" t="e">
        <f ca="1">IFERROR(__xludf.DUMMYFUNCTION("""COMPUTED_VALUE"""),58785250)</f>
        <v>#NAME?</v>
      </c>
      <c r="B1915" s="100" t="e">
        <f ca="1">IFERROR(__xludf.DUMMYFUNCTION("""COMPUTED_VALUE"""),"ACAUSDT")</f>
        <v>#NAME?</v>
      </c>
      <c r="C1915" s="100" t="e">
        <f ca="1">IFERROR(__xludf.DUMMYFUNCTION("""COMPUTED_VALUE"""),"0.03080000")</f>
        <v>#NAME?</v>
      </c>
      <c r="D1915" s="100" t="e">
        <f t="shared" ca="1" si="334"/>
        <v>#NAME?</v>
      </c>
      <c r="E1915" s="100" t="e">
        <f t="shared" ca="1" si="334"/>
        <v>#NAME?</v>
      </c>
      <c r="F1915" s="100" t="e">
        <f t="shared" ca="1" si="327"/>
        <v>#NAME?</v>
      </c>
      <c r="G1915" s="100" t="e">
        <f t="shared" ca="1" si="328"/>
        <v>#NAME?</v>
      </c>
      <c r="H1915" s="100" t="e">
        <f t="shared" ca="1" si="329"/>
        <v>#NAME?</v>
      </c>
      <c r="I1915" s="100" t="e">
        <f t="shared" ca="1" si="330"/>
        <v>#NAME?</v>
      </c>
      <c r="J1915" s="100" t="e">
        <f ca="1">IFERROR(__xludf.DUMMYFUNCTION("""COMPUTED_VALUE"""),"-2.839")</f>
        <v>#NAME?</v>
      </c>
      <c r="K1915" s="100" t="e">
        <f t="shared" ca="1" si="331"/>
        <v>#NAME?</v>
      </c>
      <c r="L1915" s="100"/>
      <c r="M1915" s="100"/>
      <c r="N1915" s="100"/>
      <c r="O1915" s="100"/>
      <c r="P1915" s="100"/>
      <c r="Q1915" s="100"/>
      <c r="R1915" s="100"/>
      <c r="S1915" s="100"/>
      <c r="T1915" s="100"/>
      <c r="U1915" s="100"/>
      <c r="V1915" s="100"/>
      <c r="W1915" s="100"/>
      <c r="X1915" s="100"/>
      <c r="Y1915" s="100"/>
      <c r="Z1915" s="100"/>
    </row>
    <row r="1916" spans="1:26">
      <c r="A1916" s="100" t="e">
        <f ca="1">IFERROR(__xludf.DUMMYFUNCTION("""COMPUTED_VALUE"""),58785251)</f>
        <v>#NAME?</v>
      </c>
      <c r="B1916" s="100" t="e">
        <f ca="1">IFERROR(__xludf.DUMMYFUNCTION("""COMPUTED_VALUE"""),"ANCBTC")</f>
        <v>#NAME?</v>
      </c>
      <c r="C1916" s="100" t="e">
        <f ca="1">IFERROR(__xludf.DUMMYFUNCTION("""COMPUTED_VALUE"""),"0.00000186")</f>
        <v>#NAME?</v>
      </c>
      <c r="D1916" s="100" t="e">
        <f t="shared" ca="1" si="334"/>
        <v>#NAME?</v>
      </c>
      <c r="E1916" s="100" t="e">
        <f t="shared" ca="1" si="334"/>
        <v>#NAME?</v>
      </c>
      <c r="F1916" s="100" t="e">
        <f t="shared" ca="1" si="327"/>
        <v>#NAME?</v>
      </c>
      <c r="G1916" s="100" t="e">
        <f t="shared" ca="1" si="328"/>
        <v>#NAME?</v>
      </c>
      <c r="H1916" s="100" t="e">
        <f t="shared" ca="1" si="329"/>
        <v>#NAME?</v>
      </c>
      <c r="I1916" s="100" t="e">
        <f t="shared" ca="1" si="330"/>
        <v>#NAME?</v>
      </c>
      <c r="J1916" s="100" t="e">
        <f ca="1">IFERROR(__xludf.DUMMYFUNCTION("""COMPUTED_VALUE"""),"0")</f>
        <v>#NAME?</v>
      </c>
      <c r="K1916" s="100" t="e">
        <f t="shared" ca="1" si="331"/>
        <v>#NAME?</v>
      </c>
      <c r="L1916" s="100"/>
      <c r="M1916" s="100"/>
      <c r="N1916" s="100"/>
      <c r="O1916" s="100"/>
      <c r="P1916" s="100"/>
      <c r="Q1916" s="100"/>
      <c r="R1916" s="100"/>
      <c r="S1916" s="100"/>
      <c r="T1916" s="100"/>
      <c r="U1916" s="100"/>
      <c r="V1916" s="100"/>
      <c r="W1916" s="100"/>
      <c r="X1916" s="100"/>
      <c r="Y1916" s="100"/>
      <c r="Z1916" s="100"/>
    </row>
    <row r="1917" spans="1:26">
      <c r="A1917" s="100" t="e">
        <f ca="1">IFERROR(__xludf.DUMMYFUNCTION("""COMPUTED_VALUE"""),58785252)</f>
        <v>#NAME?</v>
      </c>
      <c r="B1917" s="100" t="e">
        <f ca="1">IFERROR(__xludf.DUMMYFUNCTION("""COMPUTED_VALUE"""),"ANCBUSD")</f>
        <v>#NAME?</v>
      </c>
      <c r="C1917" s="100" t="e">
        <f ca="1">IFERROR(__xludf.DUMMYFUNCTION("""COMPUTED_VALUE"""),"0.02872000")</f>
        <v>#NAME?</v>
      </c>
      <c r="D1917" s="100" t="e">
        <f t="shared" ca="1" si="334"/>
        <v>#NAME?</v>
      </c>
      <c r="E1917" s="100" t="e">
        <f t="shared" ca="1" si="334"/>
        <v>#NAME?</v>
      </c>
      <c r="F1917" s="100" t="e">
        <f t="shared" ca="1" si="327"/>
        <v>#NAME?</v>
      </c>
      <c r="G1917" s="100" t="e">
        <f t="shared" ca="1" si="328"/>
        <v>#NAME?</v>
      </c>
      <c r="H1917" s="100" t="e">
        <f t="shared" ca="1" si="329"/>
        <v>#NAME?</v>
      </c>
      <c r="I1917" s="100" t="e">
        <f t="shared" ca="1" si="330"/>
        <v>#NAME?</v>
      </c>
      <c r="J1917" s="100" t="e">
        <f ca="1">IFERROR(__xludf.DUMMYFUNCTION("""COMPUTED_VALUE"""),"0")</f>
        <v>#NAME?</v>
      </c>
      <c r="K1917" s="100" t="e">
        <f t="shared" ca="1" si="331"/>
        <v>#NAME?</v>
      </c>
      <c r="L1917" s="100"/>
      <c r="M1917" s="100"/>
      <c r="N1917" s="100"/>
      <c r="O1917" s="100"/>
      <c r="P1917" s="100"/>
      <c r="Q1917" s="100"/>
      <c r="R1917" s="100"/>
      <c r="S1917" s="100"/>
      <c r="T1917" s="100"/>
      <c r="U1917" s="100"/>
      <c r="V1917" s="100"/>
      <c r="W1917" s="100"/>
      <c r="X1917" s="100"/>
      <c r="Y1917" s="100"/>
      <c r="Z1917" s="100"/>
    </row>
    <row r="1918" spans="1:26">
      <c r="A1918" s="100" t="e">
        <f ca="1">IFERROR(__xludf.DUMMYFUNCTION("""COMPUTED_VALUE"""),58785253)</f>
        <v>#NAME?</v>
      </c>
      <c r="B1918" s="100" t="e">
        <f ca="1">IFERROR(__xludf.DUMMYFUNCTION("""COMPUTED_VALUE"""),"ANCUSDT")</f>
        <v>#NAME?</v>
      </c>
      <c r="C1918" s="100" t="e">
        <f ca="1">IFERROR(__xludf.DUMMYFUNCTION("""COMPUTED_VALUE"""),"0.03151000")</f>
        <v>#NAME?</v>
      </c>
      <c r="D1918" s="100" t="e">
        <f t="shared" ca="1" si="334"/>
        <v>#NAME?</v>
      </c>
      <c r="E1918" s="100" t="e">
        <f t="shared" ca="1" si="334"/>
        <v>#NAME?</v>
      </c>
      <c r="F1918" s="100" t="e">
        <f t="shared" ca="1" si="327"/>
        <v>#NAME?</v>
      </c>
      <c r="G1918" s="100" t="e">
        <f t="shared" ca="1" si="328"/>
        <v>#NAME?</v>
      </c>
      <c r="H1918" s="100" t="e">
        <f t="shared" ca="1" si="329"/>
        <v>#NAME?</v>
      </c>
      <c r="I1918" s="100" t="e">
        <f t="shared" ca="1" si="330"/>
        <v>#NAME?</v>
      </c>
      <c r="J1918" s="100" t="e">
        <f ca="1">IFERROR(__xludf.DUMMYFUNCTION("""COMPUTED_VALUE"""),"0")</f>
        <v>#NAME?</v>
      </c>
      <c r="K1918" s="100" t="e">
        <f t="shared" ca="1" si="331"/>
        <v>#NAME?</v>
      </c>
      <c r="L1918" s="100"/>
      <c r="M1918" s="100"/>
      <c r="N1918" s="100"/>
      <c r="O1918" s="100"/>
      <c r="P1918" s="100"/>
      <c r="Q1918" s="100"/>
      <c r="R1918" s="100"/>
      <c r="S1918" s="100"/>
      <c r="T1918" s="100"/>
      <c r="U1918" s="100"/>
      <c r="V1918" s="100"/>
      <c r="W1918" s="100"/>
      <c r="X1918" s="100"/>
      <c r="Y1918" s="100"/>
      <c r="Z1918" s="100"/>
    </row>
    <row r="1919" spans="1:26">
      <c r="A1919" s="100" t="e">
        <f ca="1">IFERROR(__xludf.DUMMYFUNCTION("""COMPUTED_VALUE"""),58785254)</f>
        <v>#NAME?</v>
      </c>
      <c r="B1919" s="100" t="e">
        <f ca="1">IFERROR(__xludf.DUMMYFUNCTION("""COMPUTED_VALUE"""),"BDOTDOT")</f>
        <v>#NAME?</v>
      </c>
      <c r="C1919" s="100" t="e">
        <f ca="1">IFERROR(__xludf.DUMMYFUNCTION("""COMPUTED_VALUE"""),"0.99820000")</f>
        <v>#NAME?</v>
      </c>
      <c r="D1919" s="100" t="e">
        <f t="shared" ca="1" si="334"/>
        <v>#NAME?</v>
      </c>
      <c r="E1919" s="100" t="e">
        <f t="shared" ca="1" si="334"/>
        <v>#NAME?</v>
      </c>
      <c r="F1919" s="100" t="e">
        <f t="shared" ca="1" si="327"/>
        <v>#NAME?</v>
      </c>
      <c r="G1919" s="100" t="e">
        <f t="shared" ca="1" si="328"/>
        <v>#NAME?</v>
      </c>
      <c r="H1919" s="100" t="e">
        <f t="shared" ca="1" si="329"/>
        <v>#NAME?</v>
      </c>
      <c r="I1919" s="100" t="e">
        <f t="shared" ca="1" si="330"/>
        <v>#NAME?</v>
      </c>
      <c r="J1919" s="100" t="e">
        <f ca="1">IFERROR(__xludf.DUMMYFUNCTION("""COMPUTED_VALUE"""),"0")</f>
        <v>#NAME?</v>
      </c>
      <c r="K1919" s="100" t="e">
        <f t="shared" ca="1" si="331"/>
        <v>#NAME?</v>
      </c>
      <c r="L1919" s="100"/>
      <c r="M1919" s="100"/>
      <c r="N1919" s="100"/>
      <c r="O1919" s="100"/>
      <c r="P1919" s="100"/>
      <c r="Q1919" s="100"/>
      <c r="R1919" s="100"/>
      <c r="S1919" s="100"/>
      <c r="T1919" s="100"/>
      <c r="U1919" s="100"/>
      <c r="V1919" s="100"/>
      <c r="W1919" s="100"/>
      <c r="X1919" s="100"/>
      <c r="Y1919" s="100"/>
      <c r="Z1919" s="100"/>
    </row>
    <row r="1920" spans="1:26">
      <c r="A1920" s="100" t="e">
        <f ca="1">IFERROR(__xludf.DUMMYFUNCTION("""COMPUTED_VALUE"""),58785255)</f>
        <v>#NAME?</v>
      </c>
      <c r="B1920" s="100" t="e">
        <f ca="1">IFERROR(__xludf.DUMMYFUNCTION("""COMPUTED_VALUE"""),"XNOBTC")</f>
        <v>#NAME?</v>
      </c>
      <c r="C1920" s="100" t="e">
        <f ca="1">IFERROR(__xludf.DUMMYFUNCTION("""COMPUTED_VALUE"""),"0.00001054")</f>
        <v>#NAME?</v>
      </c>
      <c r="D1920" s="100" t="e">
        <f t="shared" ca="1" si="334"/>
        <v>#NAME?</v>
      </c>
      <c r="E1920" s="100" t="e">
        <f t="shared" ca="1" si="334"/>
        <v>#NAME?</v>
      </c>
      <c r="F1920" s="100" t="e">
        <f t="shared" ca="1" si="327"/>
        <v>#NAME?</v>
      </c>
      <c r="G1920" s="100" t="e">
        <f t="shared" ca="1" si="328"/>
        <v>#NAME?</v>
      </c>
      <c r="H1920" s="100" t="e">
        <f t="shared" ca="1" si="329"/>
        <v>#NAME?</v>
      </c>
      <c r="I1920" s="100" t="e">
        <f t="shared" ca="1" si="330"/>
        <v>#NAME?</v>
      </c>
      <c r="J1920" s="100" t="e">
        <f ca="1">IFERROR(__xludf.DUMMYFUNCTION("""COMPUTED_VALUE"""),"-3.832")</f>
        <v>#NAME?</v>
      </c>
      <c r="K1920" s="100" t="e">
        <f t="shared" ca="1" si="331"/>
        <v>#NAME?</v>
      </c>
      <c r="L1920" s="100"/>
      <c r="M1920" s="100"/>
      <c r="N1920" s="100"/>
      <c r="O1920" s="100"/>
      <c r="P1920" s="100"/>
      <c r="Q1920" s="100"/>
      <c r="R1920" s="100"/>
      <c r="S1920" s="100"/>
      <c r="T1920" s="100"/>
      <c r="U1920" s="100"/>
      <c r="V1920" s="100"/>
      <c r="W1920" s="100"/>
      <c r="X1920" s="100"/>
      <c r="Y1920" s="100"/>
      <c r="Z1920" s="100"/>
    </row>
    <row r="1921" spans="1:26">
      <c r="A1921" s="100" t="e">
        <f ca="1">IFERROR(__xludf.DUMMYFUNCTION("""COMPUTED_VALUE"""),58785256)</f>
        <v>#NAME?</v>
      </c>
      <c r="B1921" s="100" t="e">
        <f ca="1">IFERROR(__xludf.DUMMYFUNCTION("""COMPUTED_VALUE"""),"XNOETH")</f>
        <v>#NAME?</v>
      </c>
      <c r="C1921" s="100" t="e">
        <f ca="1">IFERROR(__xludf.DUMMYFUNCTION("""COMPUTED_VALUE"""),"0.00050170")</f>
        <v>#NAME?</v>
      </c>
      <c r="D1921" s="100" t="e">
        <f t="shared" ca="1" si="334"/>
        <v>#NAME?</v>
      </c>
      <c r="E1921" s="100" t="e">
        <f t="shared" ca="1" si="334"/>
        <v>#NAME?</v>
      </c>
      <c r="F1921" s="100" t="e">
        <f t="shared" ca="1" si="327"/>
        <v>#NAME?</v>
      </c>
      <c r="G1921" s="100" t="e">
        <f t="shared" ca="1" si="328"/>
        <v>#NAME?</v>
      </c>
      <c r="H1921" s="100" t="e">
        <f t="shared" ca="1" si="329"/>
        <v>#NAME?</v>
      </c>
      <c r="I1921" s="100" t="e">
        <f t="shared" ca="1" si="330"/>
        <v>#NAME?</v>
      </c>
      <c r="J1921" s="100" t="e">
        <f ca="1">IFERROR(__xludf.DUMMYFUNCTION("""COMPUTED_VALUE"""),"0")</f>
        <v>#NAME?</v>
      </c>
      <c r="K1921" s="100" t="e">
        <f t="shared" ca="1" si="331"/>
        <v>#NAME?</v>
      </c>
      <c r="L1921" s="100"/>
      <c r="M1921" s="100"/>
      <c r="N1921" s="100"/>
      <c r="O1921" s="100"/>
      <c r="P1921" s="100"/>
      <c r="Q1921" s="100"/>
      <c r="R1921" s="100"/>
      <c r="S1921" s="100"/>
      <c r="T1921" s="100"/>
      <c r="U1921" s="100"/>
      <c r="V1921" s="100"/>
      <c r="W1921" s="100"/>
      <c r="X1921" s="100"/>
      <c r="Y1921" s="100"/>
      <c r="Z1921" s="100"/>
    </row>
    <row r="1922" spans="1:26">
      <c r="A1922" s="100" t="e">
        <f ca="1">IFERROR(__xludf.DUMMYFUNCTION("""COMPUTED_VALUE"""),58785257)</f>
        <v>#NAME?</v>
      </c>
      <c r="B1922" s="100" t="e">
        <f ca="1">IFERROR(__xludf.DUMMYFUNCTION("""COMPUTED_VALUE"""),"XNOBUSD")</f>
        <v>#NAME?</v>
      </c>
      <c r="C1922" s="100" t="e">
        <f ca="1">IFERROR(__xludf.DUMMYFUNCTION("""COMPUTED_VALUE"""),"0.66300000")</f>
        <v>#NAME?</v>
      </c>
      <c r="D1922" s="100" t="e">
        <f t="shared" ref="D1922:E1941" ca="1" si="335">IFERROR(__xludf.DUMMYFUNCTION("""COMPUTED_VALUE"""),"-")</f>
        <v>#NAME?</v>
      </c>
      <c r="E1922" s="100" t="e">
        <f t="shared" ca="1" si="335"/>
        <v>#NAME?</v>
      </c>
      <c r="F1922" s="100" t="e">
        <f t="shared" ref="F1922:F1985" ca="1" si="336">IFERROR(__xludf.DUMMYFUNCTION("""COMPUTED_VALUE"""),20200)</f>
        <v>#NAME?</v>
      </c>
      <c r="G1922" s="100" t="e">
        <f t="shared" ref="G1922:G1985" ca="1" si="337">IFERROR(__xludf.DUMMYFUNCTION("""COMPUTED_VALUE"""),2885)</f>
        <v>#NAME?</v>
      </c>
      <c r="H1922" s="100" t="e">
        <f t="shared" ref="H1922:H1985" ca="1" si="338">IFERROR(__xludf.DUMMYFUNCTION("""COMPUTED_VALUE"""),663)</f>
        <v>#NAME?</v>
      </c>
      <c r="I1922" s="100" t="e">
        <f t="shared" ref="I1922:I1985" ca="1" si="339">IFERROR(__xludf.DUMMYFUNCTION("""COMPUTED_VALUE"""),5817721)</f>
        <v>#NAME?</v>
      </c>
      <c r="J1922" s="100" t="e">
        <f ca="1">IFERROR(__xludf.DUMMYFUNCTION("""COMPUTED_VALUE"""),"0")</f>
        <v>#NAME?</v>
      </c>
      <c r="K1922" s="100" t="e">
        <f t="shared" ref="K1922:K1985" ca="1" si="340">IFERROR(__xludf.DUMMYFUNCTION("""COMPUTED_VALUE"""),"22.04.2025 13:05:01")</f>
        <v>#NAME?</v>
      </c>
      <c r="L1922" s="100"/>
      <c r="M1922" s="100"/>
      <c r="N1922" s="100"/>
      <c r="O1922" s="100"/>
      <c r="P1922" s="100"/>
      <c r="Q1922" s="100"/>
      <c r="R1922" s="100"/>
      <c r="S1922" s="100"/>
      <c r="T1922" s="100"/>
      <c r="U1922" s="100"/>
      <c r="V1922" s="100"/>
      <c r="W1922" s="100"/>
      <c r="X1922" s="100"/>
      <c r="Y1922" s="100"/>
      <c r="Z1922" s="100"/>
    </row>
    <row r="1923" spans="1:26">
      <c r="A1923" s="100" t="e">
        <f ca="1">IFERROR(__xludf.DUMMYFUNCTION("""COMPUTED_VALUE"""),58785258)</f>
        <v>#NAME?</v>
      </c>
      <c r="B1923" s="100" t="e">
        <f ca="1">IFERROR(__xludf.DUMMYFUNCTION("""COMPUTED_VALUE"""),"XNOUSDT")</f>
        <v>#NAME?</v>
      </c>
      <c r="C1923" s="100" t="e">
        <f ca="1">IFERROR(__xludf.DUMMYFUNCTION("""COMPUTED_VALUE"""),"0.93100000")</f>
        <v>#NAME?</v>
      </c>
      <c r="D1923" s="100" t="e">
        <f t="shared" ca="1" si="335"/>
        <v>#NAME?</v>
      </c>
      <c r="E1923" s="100" t="e">
        <f t="shared" ca="1" si="335"/>
        <v>#NAME?</v>
      </c>
      <c r="F1923" s="100" t="e">
        <f t="shared" ca="1" si="336"/>
        <v>#NAME?</v>
      </c>
      <c r="G1923" s="100" t="e">
        <f t="shared" ca="1" si="337"/>
        <v>#NAME?</v>
      </c>
      <c r="H1923" s="100" t="e">
        <f t="shared" ca="1" si="338"/>
        <v>#NAME?</v>
      </c>
      <c r="I1923" s="100" t="e">
        <f t="shared" ca="1" si="339"/>
        <v>#NAME?</v>
      </c>
      <c r="J1923" s="100" t="e">
        <f ca="1">IFERROR(__xludf.DUMMYFUNCTION("""COMPUTED_VALUE"""),"-2.615")</f>
        <v>#NAME?</v>
      </c>
      <c r="K1923" s="100" t="e">
        <f t="shared" ca="1" si="340"/>
        <v>#NAME?</v>
      </c>
      <c r="L1923" s="100"/>
      <c r="M1923" s="100"/>
      <c r="N1923" s="100"/>
      <c r="O1923" s="100"/>
      <c r="P1923" s="100"/>
      <c r="Q1923" s="100"/>
      <c r="R1923" s="100"/>
      <c r="S1923" s="100"/>
      <c r="T1923" s="100"/>
      <c r="U1923" s="100"/>
      <c r="V1923" s="100"/>
      <c r="W1923" s="100"/>
      <c r="X1923" s="100"/>
      <c r="Y1923" s="100"/>
      <c r="Z1923" s="100"/>
    </row>
    <row r="1924" spans="1:26">
      <c r="A1924" s="100" t="e">
        <f ca="1">IFERROR(__xludf.DUMMYFUNCTION("""COMPUTED_VALUE"""),58785259)</f>
        <v>#NAME?</v>
      </c>
      <c r="B1924" s="100" t="e">
        <f ca="1">IFERROR(__xludf.DUMMYFUNCTION("""COMPUTED_VALUE"""),"COSTRY")</f>
        <v>#NAME?</v>
      </c>
      <c r="C1924" s="100" t="e">
        <f ca="1">IFERROR(__xludf.DUMMYFUNCTION("""COMPUTED_VALUE"""),"0.12500000")</f>
        <v>#NAME?</v>
      </c>
      <c r="D1924" s="100" t="e">
        <f t="shared" ca="1" si="335"/>
        <v>#NAME?</v>
      </c>
      <c r="E1924" s="100" t="e">
        <f t="shared" ca="1" si="335"/>
        <v>#NAME?</v>
      </c>
      <c r="F1924" s="100" t="e">
        <f t="shared" ca="1" si="336"/>
        <v>#NAME?</v>
      </c>
      <c r="G1924" s="100" t="e">
        <f t="shared" ca="1" si="337"/>
        <v>#NAME?</v>
      </c>
      <c r="H1924" s="100" t="e">
        <f t="shared" ca="1" si="338"/>
        <v>#NAME?</v>
      </c>
      <c r="I1924" s="100" t="e">
        <f t="shared" ca="1" si="339"/>
        <v>#NAME?</v>
      </c>
      <c r="J1924" s="100" t="e">
        <f ca="1">IFERROR(__xludf.DUMMYFUNCTION("""COMPUTED_VALUE"""),"-0.398")</f>
        <v>#NAME?</v>
      </c>
      <c r="K1924" s="100" t="e">
        <f t="shared" ca="1" si="340"/>
        <v>#NAME?</v>
      </c>
      <c r="L1924" s="100"/>
      <c r="M1924" s="100"/>
      <c r="N1924" s="100"/>
      <c r="O1924" s="100"/>
      <c r="P1924" s="100"/>
      <c r="Q1924" s="100"/>
      <c r="R1924" s="100"/>
      <c r="S1924" s="100"/>
      <c r="T1924" s="100"/>
      <c r="U1924" s="100"/>
      <c r="V1924" s="100"/>
      <c r="W1924" s="100"/>
      <c r="X1924" s="100"/>
      <c r="Y1924" s="100"/>
      <c r="Z1924" s="100"/>
    </row>
    <row r="1925" spans="1:26">
      <c r="A1925" s="100" t="e">
        <f ca="1">IFERROR(__xludf.DUMMYFUNCTION("""COMPUTED_VALUE"""),58785260)</f>
        <v>#NAME?</v>
      </c>
      <c r="B1925" s="100" t="e">
        <f ca="1">IFERROR(__xludf.DUMMYFUNCTION("""COMPUTED_VALUE"""),"KAVAETH")</f>
        <v>#NAME?</v>
      </c>
      <c r="C1925" s="100" t="e">
        <f ca="1">IFERROR(__xludf.DUMMYFUNCTION("""COMPUTED_VALUE"""),"0.00030660")</f>
        <v>#NAME?</v>
      </c>
      <c r="D1925" s="100" t="e">
        <f t="shared" ca="1" si="335"/>
        <v>#NAME?</v>
      </c>
      <c r="E1925" s="100" t="e">
        <f t="shared" ca="1" si="335"/>
        <v>#NAME?</v>
      </c>
      <c r="F1925" s="100" t="e">
        <f t="shared" ca="1" si="336"/>
        <v>#NAME?</v>
      </c>
      <c r="G1925" s="100" t="e">
        <f t="shared" ca="1" si="337"/>
        <v>#NAME?</v>
      </c>
      <c r="H1925" s="100" t="e">
        <f t="shared" ca="1" si="338"/>
        <v>#NAME?</v>
      </c>
      <c r="I1925" s="100" t="e">
        <f t="shared" ca="1" si="339"/>
        <v>#NAME?</v>
      </c>
      <c r="J1925" s="100" t="e">
        <f ca="1">IFERROR(__xludf.DUMMYFUNCTION("""COMPUTED_VALUE"""),"0")</f>
        <v>#NAME?</v>
      </c>
      <c r="K1925" s="100" t="e">
        <f t="shared" ca="1" si="340"/>
        <v>#NAME?</v>
      </c>
      <c r="L1925" s="100"/>
      <c r="M1925" s="100"/>
      <c r="N1925" s="100"/>
      <c r="O1925" s="100"/>
      <c r="P1925" s="100"/>
      <c r="Q1925" s="100"/>
      <c r="R1925" s="100"/>
      <c r="S1925" s="100"/>
      <c r="T1925" s="100"/>
      <c r="U1925" s="100"/>
      <c r="V1925" s="100"/>
      <c r="W1925" s="100"/>
      <c r="X1925" s="100"/>
      <c r="Y1925" s="100"/>
      <c r="Z1925" s="100"/>
    </row>
    <row r="1926" spans="1:26">
      <c r="A1926" s="100" t="e">
        <f ca="1">IFERROR(__xludf.DUMMYFUNCTION("""COMPUTED_VALUE"""),58785261)</f>
        <v>#NAME?</v>
      </c>
      <c r="B1926" s="100" t="e">
        <f ca="1">IFERROR(__xludf.DUMMYFUNCTION("""COMPUTED_VALUE"""),"MCBNB")</f>
        <v>#NAME?</v>
      </c>
      <c r="C1926" s="100" t="e">
        <f ca="1">IFERROR(__xludf.DUMMYFUNCTION("""COMPUTED_VALUE"""),"0.00069800")</f>
        <v>#NAME?</v>
      </c>
      <c r="D1926" s="100" t="e">
        <f t="shared" ca="1" si="335"/>
        <v>#NAME?</v>
      </c>
      <c r="E1926" s="100" t="e">
        <f t="shared" ca="1" si="335"/>
        <v>#NAME?</v>
      </c>
      <c r="F1926" s="100" t="e">
        <f t="shared" ca="1" si="336"/>
        <v>#NAME?</v>
      </c>
      <c r="G1926" s="100" t="e">
        <f t="shared" ca="1" si="337"/>
        <v>#NAME?</v>
      </c>
      <c r="H1926" s="100" t="e">
        <f t="shared" ca="1" si="338"/>
        <v>#NAME?</v>
      </c>
      <c r="I1926" s="100" t="e">
        <f t="shared" ca="1" si="339"/>
        <v>#NAME?</v>
      </c>
      <c r="J1926" s="100" t="e">
        <f ca="1">IFERROR(__xludf.DUMMYFUNCTION("""COMPUTED_VALUE"""),"0")</f>
        <v>#NAME?</v>
      </c>
      <c r="K1926" s="100" t="e">
        <f t="shared" ca="1" si="340"/>
        <v>#NAME?</v>
      </c>
      <c r="L1926" s="100"/>
      <c r="M1926" s="100"/>
      <c r="N1926" s="100"/>
      <c r="O1926" s="100"/>
      <c r="P1926" s="100"/>
      <c r="Q1926" s="100"/>
      <c r="R1926" s="100"/>
      <c r="S1926" s="100"/>
      <c r="T1926" s="100"/>
      <c r="U1926" s="100"/>
      <c r="V1926" s="100"/>
      <c r="W1926" s="100"/>
      <c r="X1926" s="100"/>
      <c r="Y1926" s="100"/>
      <c r="Z1926" s="100"/>
    </row>
    <row r="1927" spans="1:26">
      <c r="A1927" s="100" t="e">
        <f ca="1">IFERROR(__xludf.DUMMYFUNCTION("""COMPUTED_VALUE"""),58785262)</f>
        <v>#NAME?</v>
      </c>
      <c r="B1927" s="100" t="e">
        <f ca="1">IFERROR(__xludf.DUMMYFUNCTION("""COMPUTED_VALUE"""),"ONETRY")</f>
        <v>#NAME?</v>
      </c>
      <c r="C1927" s="100" t="e">
        <f ca="1">IFERROR(__xludf.DUMMYFUNCTION("""COMPUTED_VALUE"""),"0.44440000")</f>
        <v>#NAME?</v>
      </c>
      <c r="D1927" s="100" t="e">
        <f t="shared" ca="1" si="335"/>
        <v>#NAME?</v>
      </c>
      <c r="E1927" s="100" t="e">
        <f t="shared" ca="1" si="335"/>
        <v>#NAME?</v>
      </c>
      <c r="F1927" s="100" t="e">
        <f t="shared" ca="1" si="336"/>
        <v>#NAME?</v>
      </c>
      <c r="G1927" s="100" t="e">
        <f t="shared" ca="1" si="337"/>
        <v>#NAME?</v>
      </c>
      <c r="H1927" s="100" t="e">
        <f t="shared" ca="1" si="338"/>
        <v>#NAME?</v>
      </c>
      <c r="I1927" s="100" t="e">
        <f t="shared" ca="1" si="339"/>
        <v>#NAME?</v>
      </c>
      <c r="J1927" s="100" t="e">
        <f ca="1">IFERROR(__xludf.DUMMYFUNCTION("""COMPUTED_VALUE"""),"0.158")</f>
        <v>#NAME?</v>
      </c>
      <c r="K1927" s="100" t="e">
        <f t="shared" ca="1" si="340"/>
        <v>#NAME?</v>
      </c>
      <c r="L1927" s="100"/>
      <c r="M1927" s="100"/>
      <c r="N1927" s="100"/>
      <c r="O1927" s="100"/>
      <c r="P1927" s="100"/>
      <c r="Q1927" s="100"/>
      <c r="R1927" s="100"/>
      <c r="S1927" s="100"/>
      <c r="T1927" s="100"/>
      <c r="U1927" s="100"/>
      <c r="V1927" s="100"/>
      <c r="W1927" s="100"/>
      <c r="X1927" s="100"/>
      <c r="Y1927" s="100"/>
      <c r="Z1927" s="100"/>
    </row>
    <row r="1928" spans="1:26">
      <c r="A1928" s="100" t="e">
        <f ca="1">IFERROR(__xludf.DUMMYFUNCTION("""COMPUTED_VALUE"""),58785263)</f>
        <v>#NAME?</v>
      </c>
      <c r="B1928" s="100" t="e">
        <f ca="1">IFERROR(__xludf.DUMMYFUNCTION("""COMPUTED_VALUE"""),"WOOBTC")</f>
        <v>#NAME?</v>
      </c>
      <c r="C1928" s="100" t="e">
        <f ca="1">IFERROR(__xludf.DUMMYFUNCTION("""COMPUTED_VALUE"""),"0.00000064")</f>
        <v>#NAME?</v>
      </c>
      <c r="D1928" s="100" t="e">
        <f t="shared" ca="1" si="335"/>
        <v>#NAME?</v>
      </c>
      <c r="E1928" s="100" t="e">
        <f t="shared" ca="1" si="335"/>
        <v>#NAME?</v>
      </c>
      <c r="F1928" s="100" t="e">
        <f t="shared" ca="1" si="336"/>
        <v>#NAME?</v>
      </c>
      <c r="G1928" s="100" t="e">
        <f t="shared" ca="1" si="337"/>
        <v>#NAME?</v>
      </c>
      <c r="H1928" s="100" t="e">
        <f t="shared" ca="1" si="338"/>
        <v>#NAME?</v>
      </c>
      <c r="I1928" s="100" t="e">
        <f t="shared" ca="1" si="339"/>
        <v>#NAME?</v>
      </c>
      <c r="J1928" s="100" t="e">
        <f ca="1">IFERROR(__xludf.DUMMYFUNCTION("""COMPUTED_VALUE"""),"-1.538")</f>
        <v>#NAME?</v>
      </c>
      <c r="K1928" s="100" t="e">
        <f t="shared" ca="1" si="340"/>
        <v>#NAME?</v>
      </c>
      <c r="L1928" s="100"/>
      <c r="M1928" s="100"/>
      <c r="N1928" s="100"/>
      <c r="O1928" s="100"/>
      <c r="P1928" s="100"/>
      <c r="Q1928" s="100"/>
      <c r="R1928" s="100"/>
      <c r="S1928" s="100"/>
      <c r="T1928" s="100"/>
      <c r="U1928" s="100"/>
      <c r="V1928" s="100"/>
      <c r="W1928" s="100"/>
      <c r="X1928" s="100"/>
      <c r="Y1928" s="100"/>
      <c r="Z1928" s="100"/>
    </row>
    <row r="1929" spans="1:26">
      <c r="A1929" s="100" t="e">
        <f ca="1">IFERROR(__xludf.DUMMYFUNCTION("""COMPUTED_VALUE"""),58785264)</f>
        <v>#NAME?</v>
      </c>
      <c r="B1929" s="100" t="e">
        <f ca="1">IFERROR(__xludf.DUMMYFUNCTION("""COMPUTED_VALUE"""),"WOOBNB")</f>
        <v>#NAME?</v>
      </c>
      <c r="C1929" s="100" t="e">
        <f ca="1">IFERROR(__xludf.DUMMYFUNCTION("""COMPUTED_VALUE"""),"0.00114100")</f>
        <v>#NAME?</v>
      </c>
      <c r="D1929" s="100" t="e">
        <f t="shared" ca="1" si="335"/>
        <v>#NAME?</v>
      </c>
      <c r="E1929" s="100" t="e">
        <f t="shared" ca="1" si="335"/>
        <v>#NAME?</v>
      </c>
      <c r="F1929" s="100" t="e">
        <f t="shared" ca="1" si="336"/>
        <v>#NAME?</v>
      </c>
      <c r="G1929" s="100" t="e">
        <f t="shared" ca="1" si="337"/>
        <v>#NAME?</v>
      </c>
      <c r="H1929" s="100" t="e">
        <f t="shared" ca="1" si="338"/>
        <v>#NAME?</v>
      </c>
      <c r="I1929" s="100" t="e">
        <f t="shared" ca="1" si="339"/>
        <v>#NAME?</v>
      </c>
      <c r="J1929" s="100" t="e">
        <f ca="1">IFERROR(__xludf.DUMMYFUNCTION("""COMPUTED_VALUE"""),"0")</f>
        <v>#NAME?</v>
      </c>
      <c r="K1929" s="100" t="e">
        <f t="shared" ca="1" si="340"/>
        <v>#NAME?</v>
      </c>
      <c r="L1929" s="100"/>
      <c r="M1929" s="100"/>
      <c r="N1929" s="100"/>
      <c r="O1929" s="100"/>
      <c r="P1929" s="100"/>
      <c r="Q1929" s="100"/>
      <c r="R1929" s="100"/>
      <c r="S1929" s="100"/>
      <c r="T1929" s="100"/>
      <c r="U1929" s="100"/>
      <c r="V1929" s="100"/>
      <c r="W1929" s="100"/>
      <c r="X1929" s="100"/>
      <c r="Y1929" s="100"/>
      <c r="Z1929" s="100"/>
    </row>
    <row r="1930" spans="1:26">
      <c r="A1930" s="100" t="e">
        <f ca="1">IFERROR(__xludf.DUMMYFUNCTION("""COMPUTED_VALUE"""),58785265)</f>
        <v>#NAME?</v>
      </c>
      <c r="B1930" s="100" t="e">
        <f ca="1">IFERROR(__xludf.DUMMYFUNCTION("""COMPUTED_VALUE"""),"WOOBUSD")</f>
        <v>#NAME?</v>
      </c>
      <c r="C1930" s="100" t="e">
        <f ca="1">IFERROR(__xludf.DUMMYFUNCTION("""COMPUTED_VALUE"""),"0.16450000")</f>
        <v>#NAME?</v>
      </c>
      <c r="D1930" s="100" t="e">
        <f t="shared" ca="1" si="335"/>
        <v>#NAME?</v>
      </c>
      <c r="E1930" s="100" t="e">
        <f t="shared" ca="1" si="335"/>
        <v>#NAME?</v>
      </c>
      <c r="F1930" s="100" t="e">
        <f t="shared" ca="1" si="336"/>
        <v>#NAME?</v>
      </c>
      <c r="G1930" s="100" t="e">
        <f t="shared" ca="1" si="337"/>
        <v>#NAME?</v>
      </c>
      <c r="H1930" s="100" t="e">
        <f t="shared" ca="1" si="338"/>
        <v>#NAME?</v>
      </c>
      <c r="I1930" s="100" t="e">
        <f t="shared" ca="1" si="339"/>
        <v>#NAME?</v>
      </c>
      <c r="J1930" s="100" t="e">
        <f ca="1">IFERROR(__xludf.DUMMYFUNCTION("""COMPUTED_VALUE"""),"0")</f>
        <v>#NAME?</v>
      </c>
      <c r="K1930" s="100" t="e">
        <f t="shared" ca="1" si="340"/>
        <v>#NAME?</v>
      </c>
      <c r="L1930" s="100"/>
      <c r="M1930" s="100"/>
      <c r="N1930" s="100"/>
      <c r="O1930" s="100"/>
      <c r="P1930" s="100"/>
      <c r="Q1930" s="100"/>
      <c r="R1930" s="100"/>
      <c r="S1930" s="100"/>
      <c r="T1930" s="100"/>
      <c r="U1930" s="100"/>
      <c r="V1930" s="100"/>
      <c r="W1930" s="100"/>
      <c r="X1930" s="100"/>
      <c r="Y1930" s="100"/>
      <c r="Z1930" s="100"/>
    </row>
    <row r="1931" spans="1:26">
      <c r="A1931" s="100" t="e">
        <f ca="1">IFERROR(__xludf.DUMMYFUNCTION("""COMPUTED_VALUE"""),58785266)</f>
        <v>#NAME?</v>
      </c>
      <c r="B1931" s="100" t="e">
        <f ca="1">IFERROR(__xludf.DUMMYFUNCTION("""COMPUTED_VALUE"""),"WOOUSDT")</f>
        <v>#NAME?</v>
      </c>
      <c r="C1931" s="100" t="e">
        <f ca="1">IFERROR(__xludf.DUMMYFUNCTION("""COMPUTED_VALUE"""),"0.06200000")</f>
        <v>#NAME?</v>
      </c>
      <c r="D1931" s="100" t="e">
        <f t="shared" ca="1" si="335"/>
        <v>#NAME?</v>
      </c>
      <c r="E1931" s="100" t="e">
        <f t="shared" ca="1" si="335"/>
        <v>#NAME?</v>
      </c>
      <c r="F1931" s="100" t="e">
        <f t="shared" ca="1" si="336"/>
        <v>#NAME?</v>
      </c>
      <c r="G1931" s="100" t="e">
        <f t="shared" ca="1" si="337"/>
        <v>#NAME?</v>
      </c>
      <c r="H1931" s="100" t="e">
        <f t="shared" ca="1" si="338"/>
        <v>#NAME?</v>
      </c>
      <c r="I1931" s="100" t="e">
        <f t="shared" ca="1" si="339"/>
        <v>#NAME?</v>
      </c>
      <c r="J1931" s="100" t="e">
        <f ca="1">IFERROR(__xludf.DUMMYFUNCTION("""COMPUTED_VALUE"""),"-1.274")</f>
        <v>#NAME?</v>
      </c>
      <c r="K1931" s="100" t="e">
        <f t="shared" ca="1" si="340"/>
        <v>#NAME?</v>
      </c>
      <c r="L1931" s="100"/>
      <c r="M1931" s="100"/>
      <c r="N1931" s="100"/>
      <c r="O1931" s="100"/>
      <c r="P1931" s="100"/>
      <c r="Q1931" s="100"/>
      <c r="R1931" s="100"/>
      <c r="S1931" s="100"/>
      <c r="T1931" s="100"/>
      <c r="U1931" s="100"/>
      <c r="V1931" s="100"/>
      <c r="W1931" s="100"/>
      <c r="X1931" s="100"/>
      <c r="Y1931" s="100"/>
      <c r="Z1931" s="100"/>
    </row>
    <row r="1932" spans="1:26">
      <c r="A1932" s="100" t="e">
        <f ca="1">IFERROR(__xludf.DUMMYFUNCTION("""COMPUTED_VALUE"""),58785267)</f>
        <v>#NAME?</v>
      </c>
      <c r="B1932" s="100" t="e">
        <f ca="1">IFERROR(__xludf.DUMMYFUNCTION("""COMPUTED_VALUE"""),"CELRETH")</f>
        <v>#NAME?</v>
      </c>
      <c r="C1932" s="100" t="e">
        <f ca="1">IFERROR(__xludf.DUMMYFUNCTION("""COMPUTED_VALUE"""),"0.00000789")</f>
        <v>#NAME?</v>
      </c>
      <c r="D1932" s="100" t="e">
        <f t="shared" ca="1" si="335"/>
        <v>#NAME?</v>
      </c>
      <c r="E1932" s="100" t="e">
        <f t="shared" ca="1" si="335"/>
        <v>#NAME?</v>
      </c>
      <c r="F1932" s="100" t="e">
        <f t="shared" ca="1" si="336"/>
        <v>#NAME?</v>
      </c>
      <c r="G1932" s="100" t="e">
        <f t="shared" ca="1" si="337"/>
        <v>#NAME?</v>
      </c>
      <c r="H1932" s="100" t="e">
        <f t="shared" ca="1" si="338"/>
        <v>#NAME?</v>
      </c>
      <c r="I1932" s="100" t="e">
        <f t="shared" ca="1" si="339"/>
        <v>#NAME?</v>
      </c>
      <c r="J1932" s="100" t="e">
        <f ca="1">IFERROR(__xludf.DUMMYFUNCTION("""COMPUTED_VALUE"""),"0")</f>
        <v>#NAME?</v>
      </c>
      <c r="K1932" s="100" t="e">
        <f t="shared" ca="1" si="340"/>
        <v>#NAME?</v>
      </c>
      <c r="L1932" s="100"/>
      <c r="M1932" s="100"/>
      <c r="N1932" s="100"/>
      <c r="O1932" s="100"/>
      <c r="P1932" s="100"/>
      <c r="Q1932" s="100"/>
      <c r="R1932" s="100"/>
      <c r="S1932" s="100"/>
      <c r="T1932" s="100"/>
      <c r="U1932" s="100"/>
      <c r="V1932" s="100"/>
      <c r="W1932" s="100"/>
      <c r="X1932" s="100"/>
      <c r="Y1932" s="100"/>
      <c r="Z1932" s="100"/>
    </row>
    <row r="1933" spans="1:26">
      <c r="A1933" s="100" t="e">
        <f ca="1">IFERROR(__xludf.DUMMYFUNCTION("""COMPUTED_VALUE"""),58785268)</f>
        <v>#NAME?</v>
      </c>
      <c r="B1933" s="100" t="e">
        <f ca="1">IFERROR(__xludf.DUMMYFUNCTION("""COMPUTED_VALUE"""),"PEOPLEBNB")</f>
        <v>#NAME?</v>
      </c>
      <c r="C1933" s="100" t="e">
        <f ca="1">IFERROR(__xludf.DUMMYFUNCTION("""COMPUTED_VALUE"""),"0.00004675")</f>
        <v>#NAME?</v>
      </c>
      <c r="D1933" s="100" t="e">
        <f t="shared" ca="1" si="335"/>
        <v>#NAME?</v>
      </c>
      <c r="E1933" s="100" t="e">
        <f t="shared" ca="1" si="335"/>
        <v>#NAME?</v>
      </c>
      <c r="F1933" s="100" t="e">
        <f t="shared" ca="1" si="336"/>
        <v>#NAME?</v>
      </c>
      <c r="G1933" s="100" t="e">
        <f t="shared" ca="1" si="337"/>
        <v>#NAME?</v>
      </c>
      <c r="H1933" s="100" t="e">
        <f t="shared" ca="1" si="338"/>
        <v>#NAME?</v>
      </c>
      <c r="I1933" s="100" t="e">
        <f t="shared" ca="1" si="339"/>
        <v>#NAME?</v>
      </c>
      <c r="J1933" s="100" t="e">
        <f ca="1">IFERROR(__xludf.DUMMYFUNCTION("""COMPUTED_VALUE"""),"0")</f>
        <v>#NAME?</v>
      </c>
      <c r="K1933" s="100" t="e">
        <f t="shared" ca="1" si="340"/>
        <v>#NAME?</v>
      </c>
      <c r="L1933" s="100"/>
      <c r="M1933" s="100"/>
      <c r="N1933" s="100"/>
      <c r="O1933" s="100"/>
      <c r="P1933" s="100"/>
      <c r="Q1933" s="100"/>
      <c r="R1933" s="100"/>
      <c r="S1933" s="100"/>
      <c r="T1933" s="100"/>
      <c r="U1933" s="100"/>
      <c r="V1933" s="100"/>
      <c r="W1933" s="100"/>
      <c r="X1933" s="100"/>
      <c r="Y1933" s="100"/>
      <c r="Z1933" s="100"/>
    </row>
    <row r="1934" spans="1:26">
      <c r="A1934" s="100" t="e">
        <f ca="1">IFERROR(__xludf.DUMMYFUNCTION("""COMPUTED_VALUE"""),58785269)</f>
        <v>#NAME?</v>
      </c>
      <c r="B1934" s="100" t="e">
        <f ca="1">IFERROR(__xludf.DUMMYFUNCTION("""COMPUTED_VALUE"""),"SLPBNB")</f>
        <v>#NAME?</v>
      </c>
      <c r="C1934" s="100" t="e">
        <f ca="1">IFERROR(__xludf.DUMMYFUNCTION("""COMPUTED_VALUE"""),"0.00000884")</f>
        <v>#NAME?</v>
      </c>
      <c r="D1934" s="100" t="e">
        <f t="shared" ca="1" si="335"/>
        <v>#NAME?</v>
      </c>
      <c r="E1934" s="100" t="e">
        <f t="shared" ca="1" si="335"/>
        <v>#NAME?</v>
      </c>
      <c r="F1934" s="100" t="e">
        <f t="shared" ca="1" si="336"/>
        <v>#NAME?</v>
      </c>
      <c r="G1934" s="100" t="e">
        <f t="shared" ca="1" si="337"/>
        <v>#NAME?</v>
      </c>
      <c r="H1934" s="100" t="e">
        <f t="shared" ca="1" si="338"/>
        <v>#NAME?</v>
      </c>
      <c r="I1934" s="100" t="e">
        <f t="shared" ca="1" si="339"/>
        <v>#NAME?</v>
      </c>
      <c r="J1934" s="100" t="e">
        <f ca="1">IFERROR(__xludf.DUMMYFUNCTION("""COMPUTED_VALUE"""),"0")</f>
        <v>#NAME?</v>
      </c>
      <c r="K1934" s="100" t="e">
        <f t="shared" ca="1" si="340"/>
        <v>#NAME?</v>
      </c>
      <c r="L1934" s="100"/>
      <c r="M1934" s="100"/>
      <c r="N1934" s="100"/>
      <c r="O1934" s="100"/>
      <c r="P1934" s="100"/>
      <c r="Q1934" s="100"/>
      <c r="R1934" s="100"/>
      <c r="S1934" s="100"/>
      <c r="T1934" s="100"/>
      <c r="U1934" s="100"/>
      <c r="V1934" s="100"/>
      <c r="W1934" s="100"/>
      <c r="X1934" s="100"/>
      <c r="Y1934" s="100"/>
      <c r="Z1934" s="100"/>
    </row>
    <row r="1935" spans="1:26">
      <c r="A1935" s="100" t="e">
        <f ca="1">IFERROR(__xludf.DUMMYFUNCTION("""COMPUTED_VALUE"""),58785270)</f>
        <v>#NAME?</v>
      </c>
      <c r="B1935" s="100" t="e">
        <f ca="1">IFERROR(__xludf.DUMMYFUNCTION("""COMPUTED_VALUE"""),"SPELLBNB")</f>
        <v>#NAME?</v>
      </c>
      <c r="C1935" s="100" t="e">
        <f ca="1">IFERROR(__xludf.DUMMYFUNCTION("""COMPUTED_VALUE"""),"0.00000000")</f>
        <v>#NAME?</v>
      </c>
      <c r="D1935" s="100" t="e">
        <f t="shared" ca="1" si="335"/>
        <v>#NAME?</v>
      </c>
      <c r="E1935" s="100" t="e">
        <f t="shared" ca="1" si="335"/>
        <v>#NAME?</v>
      </c>
      <c r="F1935" s="100" t="e">
        <f t="shared" ca="1" si="336"/>
        <v>#NAME?</v>
      </c>
      <c r="G1935" s="100" t="e">
        <f t="shared" ca="1" si="337"/>
        <v>#NAME?</v>
      </c>
      <c r="H1935" s="100" t="e">
        <f t="shared" ca="1" si="338"/>
        <v>#NAME?</v>
      </c>
      <c r="I1935" s="100" t="e">
        <f t="shared" ca="1" si="339"/>
        <v>#NAME?</v>
      </c>
      <c r="J1935" s="100" t="e">
        <f ca="1">IFERROR(__xludf.DUMMYFUNCTION("""COMPUTED_VALUE"""),"0")</f>
        <v>#NAME?</v>
      </c>
      <c r="K1935" s="100" t="e">
        <f t="shared" ca="1" si="340"/>
        <v>#NAME?</v>
      </c>
      <c r="L1935" s="100"/>
      <c r="M1935" s="100"/>
      <c r="N1935" s="100"/>
      <c r="O1935" s="100"/>
      <c r="P1935" s="100"/>
      <c r="Q1935" s="100"/>
      <c r="R1935" s="100"/>
      <c r="S1935" s="100"/>
      <c r="T1935" s="100"/>
      <c r="U1935" s="100"/>
      <c r="V1935" s="100"/>
      <c r="W1935" s="100"/>
      <c r="X1935" s="100"/>
      <c r="Y1935" s="100"/>
      <c r="Z1935" s="100"/>
    </row>
    <row r="1936" spans="1:26">
      <c r="A1936" s="100" t="e">
        <f ca="1">IFERROR(__xludf.DUMMYFUNCTION("""COMPUTED_VALUE"""),58785271)</f>
        <v>#NAME?</v>
      </c>
      <c r="B1936" s="100" t="e">
        <f ca="1">IFERROR(__xludf.DUMMYFUNCTION("""COMPUTED_VALUE"""),"SPELLTRY")</f>
        <v>#NAME?</v>
      </c>
      <c r="C1936" s="100" t="e">
        <f ca="1">IFERROR(__xludf.DUMMYFUNCTION("""COMPUTED_VALUE"""),"0.02128000")</f>
        <v>#NAME?</v>
      </c>
      <c r="D1936" s="100" t="e">
        <f t="shared" ca="1" si="335"/>
        <v>#NAME?</v>
      </c>
      <c r="E1936" s="100" t="e">
        <f t="shared" ca="1" si="335"/>
        <v>#NAME?</v>
      </c>
      <c r="F1936" s="100" t="e">
        <f t="shared" ca="1" si="336"/>
        <v>#NAME?</v>
      </c>
      <c r="G1936" s="100" t="e">
        <f t="shared" ca="1" si="337"/>
        <v>#NAME?</v>
      </c>
      <c r="H1936" s="100" t="e">
        <f t="shared" ca="1" si="338"/>
        <v>#NAME?</v>
      </c>
      <c r="I1936" s="100" t="e">
        <f t="shared" ca="1" si="339"/>
        <v>#NAME?</v>
      </c>
      <c r="J1936" s="100" t="e">
        <f ca="1">IFERROR(__xludf.DUMMYFUNCTION("""COMPUTED_VALUE"""),"2.604")</f>
        <v>#NAME?</v>
      </c>
      <c r="K1936" s="100" t="e">
        <f t="shared" ca="1" si="340"/>
        <v>#NAME?</v>
      </c>
      <c r="L1936" s="100"/>
      <c r="M1936" s="100"/>
      <c r="N1936" s="100"/>
      <c r="O1936" s="100"/>
      <c r="P1936" s="100"/>
      <c r="Q1936" s="100"/>
      <c r="R1936" s="100"/>
      <c r="S1936" s="100"/>
      <c r="T1936" s="100"/>
      <c r="U1936" s="100"/>
      <c r="V1936" s="100"/>
      <c r="W1936" s="100"/>
      <c r="X1936" s="100"/>
      <c r="Y1936" s="100"/>
      <c r="Z1936" s="100"/>
    </row>
    <row r="1937" spans="1:26">
      <c r="A1937" s="100" t="e">
        <f ca="1">IFERROR(__xludf.DUMMYFUNCTION("""COMPUTED_VALUE"""),58785272)</f>
        <v>#NAME?</v>
      </c>
      <c r="B1937" s="100" t="e">
        <f ca="1">IFERROR(__xludf.DUMMYFUNCTION("""COMPUTED_VALUE"""),"TFUELBUSD")</f>
        <v>#NAME?</v>
      </c>
      <c r="C1937" s="100" t="e">
        <f ca="1">IFERROR(__xludf.DUMMYFUNCTION("""COMPUTED_VALUE"""),"0.04390000")</f>
        <v>#NAME?</v>
      </c>
      <c r="D1937" s="100" t="e">
        <f t="shared" ca="1" si="335"/>
        <v>#NAME?</v>
      </c>
      <c r="E1937" s="100" t="e">
        <f t="shared" ca="1" si="335"/>
        <v>#NAME?</v>
      </c>
      <c r="F1937" s="100" t="e">
        <f t="shared" ca="1" si="336"/>
        <v>#NAME?</v>
      </c>
      <c r="G1937" s="100" t="e">
        <f t="shared" ca="1" si="337"/>
        <v>#NAME?</v>
      </c>
      <c r="H1937" s="100" t="e">
        <f t="shared" ca="1" si="338"/>
        <v>#NAME?</v>
      </c>
      <c r="I1937" s="100" t="e">
        <f t="shared" ca="1" si="339"/>
        <v>#NAME?</v>
      </c>
      <c r="J1937" s="100" t="e">
        <f ca="1">IFERROR(__xludf.DUMMYFUNCTION("""COMPUTED_VALUE"""),"0")</f>
        <v>#NAME?</v>
      </c>
      <c r="K1937" s="100" t="e">
        <f t="shared" ca="1" si="340"/>
        <v>#NAME?</v>
      </c>
      <c r="L1937" s="100"/>
      <c r="M1937" s="100"/>
      <c r="N1937" s="100"/>
      <c r="O1937" s="100"/>
      <c r="P1937" s="100"/>
      <c r="Q1937" s="100"/>
      <c r="R1937" s="100"/>
      <c r="S1937" s="100"/>
      <c r="T1937" s="100"/>
      <c r="U1937" s="100"/>
      <c r="V1937" s="100"/>
      <c r="W1937" s="100"/>
      <c r="X1937" s="100"/>
      <c r="Y1937" s="100"/>
      <c r="Z1937" s="100"/>
    </row>
    <row r="1938" spans="1:26">
      <c r="A1938" s="100" t="e">
        <f ca="1">IFERROR(__xludf.DUMMYFUNCTION("""COMPUTED_VALUE"""),58785273)</f>
        <v>#NAME?</v>
      </c>
      <c r="B1938" s="100" t="e">
        <f ca="1">IFERROR(__xludf.DUMMYFUNCTION("""COMPUTED_VALUE"""),"AXSTRY")</f>
        <v>#NAME?</v>
      </c>
      <c r="C1938" s="100" t="e">
        <f ca="1">IFERROR(__xludf.DUMMYFUNCTION("""COMPUTED_VALUE"""),"87.00000000")</f>
        <v>#NAME?</v>
      </c>
      <c r="D1938" s="100" t="e">
        <f t="shared" ca="1" si="335"/>
        <v>#NAME?</v>
      </c>
      <c r="E1938" s="100" t="e">
        <f t="shared" ca="1" si="335"/>
        <v>#NAME?</v>
      </c>
      <c r="F1938" s="100" t="e">
        <f t="shared" ca="1" si="336"/>
        <v>#NAME?</v>
      </c>
      <c r="G1938" s="100" t="e">
        <f t="shared" ca="1" si="337"/>
        <v>#NAME?</v>
      </c>
      <c r="H1938" s="100" t="e">
        <f t="shared" ca="1" si="338"/>
        <v>#NAME?</v>
      </c>
      <c r="I1938" s="100" t="e">
        <f t="shared" ca="1" si="339"/>
        <v>#NAME?</v>
      </c>
      <c r="J1938" s="100" t="e">
        <f ca="1">IFERROR(__xludf.DUMMYFUNCTION("""COMPUTED_VALUE"""),"-3.867")</f>
        <v>#NAME?</v>
      </c>
      <c r="K1938" s="100" t="e">
        <f t="shared" ca="1" si="340"/>
        <v>#NAME?</v>
      </c>
      <c r="L1938" s="100"/>
      <c r="M1938" s="100"/>
      <c r="N1938" s="100"/>
      <c r="O1938" s="100"/>
      <c r="P1938" s="100"/>
      <c r="Q1938" s="100"/>
      <c r="R1938" s="100"/>
      <c r="S1938" s="100"/>
      <c r="T1938" s="100"/>
      <c r="U1938" s="100"/>
      <c r="V1938" s="100"/>
      <c r="W1938" s="100"/>
      <c r="X1938" s="100"/>
      <c r="Y1938" s="100"/>
      <c r="Z1938" s="100"/>
    </row>
    <row r="1939" spans="1:26">
      <c r="A1939" s="100" t="e">
        <f ca="1">IFERROR(__xludf.DUMMYFUNCTION("""COMPUTED_VALUE"""),58785274)</f>
        <v>#NAME?</v>
      </c>
      <c r="B1939" s="100" t="e">
        <f ca="1">IFERROR(__xludf.DUMMYFUNCTION("""COMPUTED_VALUE"""),"DARTRY")</f>
        <v>#NAME?</v>
      </c>
      <c r="C1939" s="100" t="e">
        <f ca="1">IFERROR(__xludf.DUMMYFUNCTION("""COMPUTED_VALUE"""),"7.66600000")</f>
        <v>#NAME?</v>
      </c>
      <c r="D1939" s="100" t="e">
        <f t="shared" ca="1" si="335"/>
        <v>#NAME?</v>
      </c>
      <c r="E1939" s="100" t="e">
        <f t="shared" ca="1" si="335"/>
        <v>#NAME?</v>
      </c>
      <c r="F1939" s="100" t="e">
        <f t="shared" ca="1" si="336"/>
        <v>#NAME?</v>
      </c>
      <c r="G1939" s="100" t="e">
        <f t="shared" ca="1" si="337"/>
        <v>#NAME?</v>
      </c>
      <c r="H1939" s="100" t="e">
        <f t="shared" ca="1" si="338"/>
        <v>#NAME?</v>
      </c>
      <c r="I1939" s="100" t="e">
        <f t="shared" ca="1" si="339"/>
        <v>#NAME?</v>
      </c>
      <c r="J1939" s="100" t="e">
        <f ca="1">IFERROR(__xludf.DUMMYFUNCTION("""COMPUTED_VALUE"""),"0")</f>
        <v>#NAME?</v>
      </c>
      <c r="K1939" s="100" t="e">
        <f t="shared" ca="1" si="340"/>
        <v>#NAME?</v>
      </c>
      <c r="L1939" s="100"/>
      <c r="M1939" s="100"/>
      <c r="N1939" s="100"/>
      <c r="O1939" s="100"/>
      <c r="P1939" s="100"/>
      <c r="Q1939" s="100"/>
      <c r="R1939" s="100"/>
      <c r="S1939" s="100"/>
      <c r="T1939" s="100"/>
      <c r="U1939" s="100"/>
      <c r="V1939" s="100"/>
      <c r="W1939" s="100"/>
      <c r="X1939" s="100"/>
      <c r="Y1939" s="100"/>
      <c r="Z1939" s="100"/>
    </row>
    <row r="1940" spans="1:26">
      <c r="A1940" s="100" t="e">
        <f ca="1">IFERROR(__xludf.DUMMYFUNCTION("""COMPUTED_VALUE"""),58785275)</f>
        <v>#NAME?</v>
      </c>
      <c r="B1940" s="100" t="e">
        <f ca="1">IFERROR(__xludf.DUMMYFUNCTION("""COMPUTED_VALUE"""),"NEARTRY")</f>
        <v>#NAME?</v>
      </c>
      <c r="C1940" s="100" t="e">
        <f ca="1">IFERROR(__xludf.DUMMYFUNCTION("""COMPUTED_VALUE"""),"83.60000000")</f>
        <v>#NAME?</v>
      </c>
      <c r="D1940" s="100" t="e">
        <f t="shared" ca="1" si="335"/>
        <v>#NAME?</v>
      </c>
      <c r="E1940" s="100" t="e">
        <f t="shared" ca="1" si="335"/>
        <v>#NAME?</v>
      </c>
      <c r="F1940" s="100" t="e">
        <f t="shared" ca="1" si="336"/>
        <v>#NAME?</v>
      </c>
      <c r="G1940" s="100" t="e">
        <f t="shared" ca="1" si="337"/>
        <v>#NAME?</v>
      </c>
      <c r="H1940" s="100" t="e">
        <f t="shared" ca="1" si="338"/>
        <v>#NAME?</v>
      </c>
      <c r="I1940" s="100" t="e">
        <f t="shared" ca="1" si="339"/>
        <v>#NAME?</v>
      </c>
      <c r="J1940" s="100" t="e">
        <f ca="1">IFERROR(__xludf.DUMMYFUNCTION("""COMPUTED_VALUE"""),"-5.215")</f>
        <v>#NAME?</v>
      </c>
      <c r="K1940" s="100" t="e">
        <f t="shared" ca="1" si="340"/>
        <v>#NAME?</v>
      </c>
      <c r="L1940" s="100"/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</row>
    <row r="1941" spans="1:26">
      <c r="A1941" s="100" t="e">
        <f ca="1">IFERROR(__xludf.DUMMYFUNCTION("""COMPUTED_VALUE"""),58785276)</f>
        <v>#NAME?</v>
      </c>
      <c r="B1941" s="100" t="e">
        <f ca="1">IFERROR(__xludf.DUMMYFUNCTION("""COMPUTED_VALUE"""),"IDEXBNB")</f>
        <v>#NAME?</v>
      </c>
      <c r="C1941" s="100" t="e">
        <f ca="1">IFERROR(__xludf.DUMMYFUNCTION("""COMPUTED_VALUE"""),"0.00019820")</f>
        <v>#NAME?</v>
      </c>
      <c r="D1941" s="100" t="e">
        <f t="shared" ca="1" si="335"/>
        <v>#NAME?</v>
      </c>
      <c r="E1941" s="100" t="e">
        <f t="shared" ca="1" si="335"/>
        <v>#NAME?</v>
      </c>
      <c r="F1941" s="100" t="e">
        <f t="shared" ca="1" si="336"/>
        <v>#NAME?</v>
      </c>
      <c r="G1941" s="100" t="e">
        <f t="shared" ca="1" si="337"/>
        <v>#NAME?</v>
      </c>
      <c r="H1941" s="100" t="e">
        <f t="shared" ca="1" si="338"/>
        <v>#NAME?</v>
      </c>
      <c r="I1941" s="100" t="e">
        <f t="shared" ca="1" si="339"/>
        <v>#NAME?</v>
      </c>
      <c r="J1941" s="100" t="e">
        <f ca="1">IFERROR(__xludf.DUMMYFUNCTION("""COMPUTED_VALUE"""),"0")</f>
        <v>#NAME?</v>
      </c>
      <c r="K1941" s="100" t="e">
        <f t="shared" ca="1" si="340"/>
        <v>#NAME?</v>
      </c>
      <c r="L1941" s="100"/>
      <c r="M1941" s="100"/>
      <c r="N1941" s="100"/>
      <c r="O1941" s="100"/>
      <c r="P1941" s="100"/>
      <c r="Q1941" s="100"/>
      <c r="R1941" s="100"/>
      <c r="S1941" s="100"/>
      <c r="T1941" s="100"/>
      <c r="U1941" s="100"/>
      <c r="V1941" s="100"/>
      <c r="W1941" s="100"/>
      <c r="X1941" s="100"/>
      <c r="Y1941" s="100"/>
      <c r="Z1941" s="100"/>
    </row>
    <row r="1942" spans="1:26">
      <c r="A1942" s="100" t="e">
        <f ca="1">IFERROR(__xludf.DUMMYFUNCTION("""COMPUTED_VALUE"""),58785277)</f>
        <v>#NAME?</v>
      </c>
      <c r="B1942" s="100" t="e">
        <f ca="1">IFERROR(__xludf.DUMMYFUNCTION("""COMPUTED_VALUE"""),"ALPINEEUR")</f>
        <v>#NAME?</v>
      </c>
      <c r="C1942" s="100" t="e">
        <f ca="1">IFERROR(__xludf.DUMMYFUNCTION("""COMPUTED_VALUE"""),"2.19600000")</f>
        <v>#NAME?</v>
      </c>
      <c r="D1942" s="100" t="e">
        <f t="shared" ref="D1942:E1961" ca="1" si="341">IFERROR(__xludf.DUMMYFUNCTION("""COMPUTED_VALUE"""),"-")</f>
        <v>#NAME?</v>
      </c>
      <c r="E1942" s="100" t="e">
        <f t="shared" ca="1" si="341"/>
        <v>#NAME?</v>
      </c>
      <c r="F1942" s="100" t="e">
        <f t="shared" ca="1" si="336"/>
        <v>#NAME?</v>
      </c>
      <c r="G1942" s="100" t="e">
        <f t="shared" ca="1" si="337"/>
        <v>#NAME?</v>
      </c>
      <c r="H1942" s="100" t="e">
        <f t="shared" ca="1" si="338"/>
        <v>#NAME?</v>
      </c>
      <c r="I1942" s="100" t="e">
        <f t="shared" ca="1" si="339"/>
        <v>#NAME?</v>
      </c>
      <c r="J1942" s="100" t="e">
        <f ca="1">IFERROR(__xludf.DUMMYFUNCTION("""COMPUTED_VALUE"""),"0")</f>
        <v>#NAME?</v>
      </c>
      <c r="K1942" s="100" t="e">
        <f t="shared" ca="1" si="340"/>
        <v>#NAME?</v>
      </c>
      <c r="L1942" s="100"/>
      <c r="M1942" s="100"/>
      <c r="N1942" s="100"/>
      <c r="O1942" s="100"/>
      <c r="P1942" s="100"/>
      <c r="Q1942" s="100"/>
      <c r="R1942" s="100"/>
      <c r="S1942" s="100"/>
      <c r="T1942" s="100"/>
      <c r="U1942" s="100"/>
      <c r="V1942" s="100"/>
      <c r="W1942" s="100"/>
      <c r="X1942" s="100"/>
      <c r="Y1942" s="100"/>
      <c r="Z1942" s="100"/>
    </row>
    <row r="1943" spans="1:26">
      <c r="A1943" s="100" t="e">
        <f ca="1">IFERROR(__xludf.DUMMYFUNCTION("""COMPUTED_VALUE"""),58785278)</f>
        <v>#NAME?</v>
      </c>
      <c r="B1943" s="100" t="e">
        <f ca="1">IFERROR(__xludf.DUMMYFUNCTION("""COMPUTED_VALUE"""),"ALPINETRY")</f>
        <v>#NAME?</v>
      </c>
      <c r="C1943" s="100" t="e">
        <f ca="1">IFERROR(__xludf.DUMMYFUNCTION("""COMPUTED_VALUE"""),"28.66000000")</f>
        <v>#NAME?</v>
      </c>
      <c r="D1943" s="100" t="e">
        <f t="shared" ca="1" si="341"/>
        <v>#NAME?</v>
      </c>
      <c r="E1943" s="100" t="e">
        <f t="shared" ca="1" si="341"/>
        <v>#NAME?</v>
      </c>
      <c r="F1943" s="100" t="e">
        <f t="shared" ca="1" si="336"/>
        <v>#NAME?</v>
      </c>
      <c r="G1943" s="100" t="e">
        <f t="shared" ca="1" si="337"/>
        <v>#NAME?</v>
      </c>
      <c r="H1943" s="100" t="e">
        <f t="shared" ca="1" si="338"/>
        <v>#NAME?</v>
      </c>
      <c r="I1943" s="100" t="e">
        <f t="shared" ca="1" si="339"/>
        <v>#NAME?</v>
      </c>
      <c r="J1943" s="100" t="e">
        <f ca="1">IFERROR(__xludf.DUMMYFUNCTION("""COMPUTED_VALUE"""),"-0.139")</f>
        <v>#NAME?</v>
      </c>
      <c r="K1943" s="100" t="e">
        <f t="shared" ca="1" si="340"/>
        <v>#NAME?</v>
      </c>
      <c r="L1943" s="100"/>
      <c r="M1943" s="100"/>
      <c r="N1943" s="100"/>
      <c r="O1943" s="100"/>
      <c r="P1943" s="100"/>
      <c r="Q1943" s="100"/>
      <c r="R1943" s="100"/>
      <c r="S1943" s="100"/>
      <c r="T1943" s="100"/>
      <c r="U1943" s="100"/>
      <c r="V1943" s="100"/>
      <c r="W1943" s="100"/>
      <c r="X1943" s="100"/>
      <c r="Y1943" s="100"/>
      <c r="Z1943" s="100"/>
    </row>
    <row r="1944" spans="1:26">
      <c r="A1944" s="100" t="e">
        <f ca="1">IFERROR(__xludf.DUMMYFUNCTION("""COMPUTED_VALUE"""),58785279)</f>
        <v>#NAME?</v>
      </c>
      <c r="B1944" s="100" t="e">
        <f ca="1">IFERROR(__xludf.DUMMYFUNCTION("""COMPUTED_VALUE"""),"ALPINEUSDT")</f>
        <v>#NAME?</v>
      </c>
      <c r="C1944" s="100" t="e">
        <f ca="1">IFERROR(__xludf.DUMMYFUNCTION("""COMPUTED_VALUE"""),"0.75200000")</f>
        <v>#NAME?</v>
      </c>
      <c r="D1944" s="100" t="e">
        <f t="shared" ca="1" si="341"/>
        <v>#NAME?</v>
      </c>
      <c r="E1944" s="100" t="e">
        <f t="shared" ca="1" si="341"/>
        <v>#NAME?</v>
      </c>
      <c r="F1944" s="100" t="e">
        <f t="shared" ca="1" si="336"/>
        <v>#NAME?</v>
      </c>
      <c r="G1944" s="100" t="e">
        <f t="shared" ca="1" si="337"/>
        <v>#NAME?</v>
      </c>
      <c r="H1944" s="100" t="e">
        <f t="shared" ca="1" si="338"/>
        <v>#NAME?</v>
      </c>
      <c r="I1944" s="100" t="e">
        <f t="shared" ca="1" si="339"/>
        <v>#NAME?</v>
      </c>
      <c r="J1944" s="100" t="e">
        <f ca="1">IFERROR(__xludf.DUMMYFUNCTION("""COMPUTED_VALUE"""),"-0.133")</f>
        <v>#NAME?</v>
      </c>
      <c r="K1944" s="100" t="e">
        <f t="shared" ca="1" si="340"/>
        <v>#NAME?</v>
      </c>
      <c r="L1944" s="100"/>
      <c r="M1944" s="100"/>
      <c r="N1944" s="100"/>
      <c r="O1944" s="100"/>
      <c r="P1944" s="100"/>
      <c r="Q1944" s="100"/>
      <c r="R1944" s="100"/>
      <c r="S1944" s="100"/>
      <c r="T1944" s="100"/>
      <c r="U1944" s="100"/>
      <c r="V1944" s="100"/>
      <c r="W1944" s="100"/>
      <c r="X1944" s="100"/>
      <c r="Y1944" s="100"/>
      <c r="Z1944" s="100"/>
    </row>
    <row r="1945" spans="1:26">
      <c r="A1945" s="100" t="e">
        <f ca="1">IFERROR(__xludf.DUMMYFUNCTION("""COMPUTED_VALUE"""),58785280)</f>
        <v>#NAME?</v>
      </c>
      <c r="B1945" s="100" t="e">
        <f ca="1">IFERROR(__xludf.DUMMYFUNCTION("""COMPUTED_VALUE"""),"ALPINEBTC")</f>
        <v>#NAME?</v>
      </c>
      <c r="C1945" s="100" t="e">
        <f ca="1">IFERROR(__xludf.DUMMYFUNCTION("""COMPUTED_VALUE"""),"0.00002994")</f>
        <v>#NAME?</v>
      </c>
      <c r="D1945" s="100" t="e">
        <f t="shared" ca="1" si="341"/>
        <v>#NAME?</v>
      </c>
      <c r="E1945" s="100" t="e">
        <f t="shared" ca="1" si="341"/>
        <v>#NAME?</v>
      </c>
      <c r="F1945" s="100" t="e">
        <f t="shared" ca="1" si="336"/>
        <v>#NAME?</v>
      </c>
      <c r="G1945" s="100" t="e">
        <f t="shared" ca="1" si="337"/>
        <v>#NAME?</v>
      </c>
      <c r="H1945" s="100" t="e">
        <f t="shared" ca="1" si="338"/>
        <v>#NAME?</v>
      </c>
      <c r="I1945" s="100" t="e">
        <f t="shared" ca="1" si="339"/>
        <v>#NAME?</v>
      </c>
      <c r="J1945" s="100" t="e">
        <f ca="1">IFERROR(__xludf.DUMMYFUNCTION("""COMPUTED_VALUE"""),"0")</f>
        <v>#NAME?</v>
      </c>
      <c r="K1945" s="100" t="e">
        <f t="shared" ca="1" si="340"/>
        <v>#NAME?</v>
      </c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</row>
    <row r="1946" spans="1:26">
      <c r="A1946" s="100" t="e">
        <f ca="1">IFERROR(__xludf.DUMMYFUNCTION("""COMPUTED_VALUE"""),58785281)</f>
        <v>#NAME?</v>
      </c>
      <c r="B1946" s="100" t="e">
        <f ca="1">IFERROR(__xludf.DUMMYFUNCTION("""COMPUTED_VALUE"""),"TUSDT")</f>
        <v>#NAME?</v>
      </c>
      <c r="C1946" s="100" t="e">
        <f ca="1">IFERROR(__xludf.DUMMYFUNCTION("""COMPUTED_VALUE"""),"0.01687000")</f>
        <v>#NAME?</v>
      </c>
      <c r="D1946" s="100" t="e">
        <f t="shared" ca="1" si="341"/>
        <v>#NAME?</v>
      </c>
      <c r="E1946" s="100" t="e">
        <f t="shared" ca="1" si="341"/>
        <v>#NAME?</v>
      </c>
      <c r="F1946" s="100" t="e">
        <f t="shared" ca="1" si="336"/>
        <v>#NAME?</v>
      </c>
      <c r="G1946" s="100" t="e">
        <f t="shared" ca="1" si="337"/>
        <v>#NAME?</v>
      </c>
      <c r="H1946" s="100" t="e">
        <f t="shared" ca="1" si="338"/>
        <v>#NAME?</v>
      </c>
      <c r="I1946" s="100" t="e">
        <f t="shared" ca="1" si="339"/>
        <v>#NAME?</v>
      </c>
      <c r="J1946" s="100" t="e">
        <f ca="1">IFERROR(__xludf.DUMMYFUNCTION("""COMPUTED_VALUE"""),"-6.226")</f>
        <v>#NAME?</v>
      </c>
      <c r="K1946" s="100" t="e">
        <f t="shared" ca="1" si="340"/>
        <v>#NAME?</v>
      </c>
      <c r="L1946" s="100"/>
      <c r="M1946" s="100"/>
      <c r="N1946" s="100"/>
      <c r="O1946" s="100"/>
      <c r="P1946" s="100"/>
      <c r="Q1946" s="100"/>
      <c r="R1946" s="100"/>
      <c r="S1946" s="100"/>
      <c r="T1946" s="100"/>
      <c r="U1946" s="100"/>
      <c r="V1946" s="100"/>
      <c r="W1946" s="100"/>
      <c r="X1946" s="100"/>
      <c r="Y1946" s="100"/>
      <c r="Z1946" s="100"/>
    </row>
    <row r="1947" spans="1:26">
      <c r="A1947" s="100" t="e">
        <f ca="1">IFERROR(__xludf.DUMMYFUNCTION("""COMPUTED_VALUE"""),58785282)</f>
        <v>#NAME?</v>
      </c>
      <c r="B1947" s="100" t="e">
        <f ca="1">IFERROR(__xludf.DUMMYFUNCTION("""COMPUTED_VALUE"""),"TBUSD")</f>
        <v>#NAME?</v>
      </c>
      <c r="C1947" s="100" t="e">
        <f ca="1">IFERROR(__xludf.DUMMYFUNCTION("""COMPUTED_VALUE"""),"0.02312000")</f>
        <v>#NAME?</v>
      </c>
      <c r="D1947" s="100" t="e">
        <f t="shared" ca="1" si="341"/>
        <v>#NAME?</v>
      </c>
      <c r="E1947" s="100" t="e">
        <f t="shared" ca="1" si="341"/>
        <v>#NAME?</v>
      </c>
      <c r="F1947" s="100" t="e">
        <f t="shared" ca="1" si="336"/>
        <v>#NAME?</v>
      </c>
      <c r="G1947" s="100" t="e">
        <f t="shared" ca="1" si="337"/>
        <v>#NAME?</v>
      </c>
      <c r="H1947" s="100" t="e">
        <f t="shared" ca="1" si="338"/>
        <v>#NAME?</v>
      </c>
      <c r="I1947" s="100" t="e">
        <f t="shared" ca="1" si="339"/>
        <v>#NAME?</v>
      </c>
      <c r="J1947" s="100" t="e">
        <f ca="1">IFERROR(__xludf.DUMMYFUNCTION("""COMPUTED_VALUE"""),"0")</f>
        <v>#NAME?</v>
      </c>
      <c r="K1947" s="100" t="e">
        <f t="shared" ca="1" si="340"/>
        <v>#NAME?</v>
      </c>
      <c r="L1947" s="100"/>
      <c r="M1947" s="100"/>
      <c r="N1947" s="100"/>
      <c r="O1947" s="100"/>
      <c r="P1947" s="100"/>
      <c r="Q1947" s="100"/>
      <c r="R1947" s="100"/>
      <c r="S1947" s="100"/>
      <c r="T1947" s="100"/>
      <c r="U1947" s="100"/>
      <c r="V1947" s="100"/>
      <c r="W1947" s="100"/>
      <c r="X1947" s="100"/>
      <c r="Y1947" s="100"/>
      <c r="Z1947" s="100"/>
    </row>
    <row r="1948" spans="1:26">
      <c r="A1948" s="100" t="e">
        <f ca="1">IFERROR(__xludf.DUMMYFUNCTION("""COMPUTED_VALUE"""),58785283)</f>
        <v>#NAME?</v>
      </c>
      <c r="B1948" s="100" t="e">
        <f ca="1">IFERROR(__xludf.DUMMYFUNCTION("""COMPUTED_VALUE"""),"API3BNB")</f>
        <v>#NAME?</v>
      </c>
      <c r="C1948" s="100" t="e">
        <f ca="1">IFERROR(__xludf.DUMMYFUNCTION("""COMPUTED_VALUE"""),"0.00000000")</f>
        <v>#NAME?</v>
      </c>
      <c r="D1948" s="100" t="e">
        <f t="shared" ca="1" si="341"/>
        <v>#NAME?</v>
      </c>
      <c r="E1948" s="100" t="e">
        <f t="shared" ca="1" si="341"/>
        <v>#NAME?</v>
      </c>
      <c r="F1948" s="100" t="e">
        <f t="shared" ca="1" si="336"/>
        <v>#NAME?</v>
      </c>
      <c r="G1948" s="100" t="e">
        <f t="shared" ca="1" si="337"/>
        <v>#NAME?</v>
      </c>
      <c r="H1948" s="100" t="e">
        <f t="shared" ca="1" si="338"/>
        <v>#NAME?</v>
      </c>
      <c r="I1948" s="100" t="e">
        <f t="shared" ca="1" si="339"/>
        <v>#NAME?</v>
      </c>
      <c r="J1948" s="100" t="e">
        <f ca="1">IFERROR(__xludf.DUMMYFUNCTION("""COMPUTED_VALUE"""),"0")</f>
        <v>#NAME?</v>
      </c>
      <c r="K1948" s="100" t="e">
        <f t="shared" ca="1" si="340"/>
        <v>#NAME?</v>
      </c>
      <c r="L1948" s="100"/>
      <c r="M1948" s="100"/>
      <c r="N1948" s="100"/>
      <c r="O1948" s="100"/>
      <c r="P1948" s="100"/>
      <c r="Q1948" s="100"/>
      <c r="R1948" s="100"/>
      <c r="S1948" s="100"/>
      <c r="T1948" s="100"/>
      <c r="U1948" s="100"/>
      <c r="V1948" s="100"/>
      <c r="W1948" s="100"/>
      <c r="X1948" s="100"/>
      <c r="Y1948" s="100"/>
      <c r="Z1948" s="100"/>
    </row>
    <row r="1949" spans="1:26">
      <c r="A1949" s="100" t="e">
        <f ca="1">IFERROR(__xludf.DUMMYFUNCTION("""COMPUTED_VALUE"""),58785284)</f>
        <v>#NAME?</v>
      </c>
      <c r="B1949" s="100" t="e">
        <f ca="1">IFERROR(__xludf.DUMMYFUNCTION("""COMPUTED_VALUE"""),"BETAETH")</f>
        <v>#NAME?</v>
      </c>
      <c r="C1949" s="100" t="e">
        <f ca="1">IFERROR(__xludf.DUMMYFUNCTION("""COMPUTED_VALUE"""),"0.00003349")</f>
        <v>#NAME?</v>
      </c>
      <c r="D1949" s="100" t="e">
        <f t="shared" ca="1" si="341"/>
        <v>#NAME?</v>
      </c>
      <c r="E1949" s="100" t="e">
        <f t="shared" ca="1" si="341"/>
        <v>#NAME?</v>
      </c>
      <c r="F1949" s="100" t="e">
        <f t="shared" ca="1" si="336"/>
        <v>#NAME?</v>
      </c>
      <c r="G1949" s="100" t="e">
        <f t="shared" ca="1" si="337"/>
        <v>#NAME?</v>
      </c>
      <c r="H1949" s="100" t="e">
        <f t="shared" ca="1" si="338"/>
        <v>#NAME?</v>
      </c>
      <c r="I1949" s="100" t="e">
        <f t="shared" ca="1" si="339"/>
        <v>#NAME?</v>
      </c>
      <c r="J1949" s="100" t="e">
        <f ca="1">IFERROR(__xludf.DUMMYFUNCTION("""COMPUTED_VALUE"""),"0")</f>
        <v>#NAME?</v>
      </c>
      <c r="K1949" s="100" t="e">
        <f t="shared" ca="1" si="340"/>
        <v>#NAME?</v>
      </c>
      <c r="L1949" s="100"/>
      <c r="M1949" s="100"/>
      <c r="N1949" s="100"/>
      <c r="O1949" s="100"/>
      <c r="P1949" s="100"/>
      <c r="Q1949" s="100"/>
      <c r="R1949" s="100"/>
      <c r="S1949" s="100"/>
      <c r="T1949" s="100"/>
      <c r="U1949" s="100"/>
      <c r="V1949" s="100"/>
      <c r="W1949" s="100"/>
      <c r="X1949" s="100"/>
      <c r="Y1949" s="100"/>
      <c r="Z1949" s="100"/>
    </row>
    <row r="1950" spans="1:26">
      <c r="A1950" s="100" t="e">
        <f ca="1">IFERROR(__xludf.DUMMYFUNCTION("""COMPUTED_VALUE"""),58785285)</f>
        <v>#NAME?</v>
      </c>
      <c r="B1950" s="100" t="e">
        <f ca="1">IFERROR(__xludf.DUMMYFUNCTION("""COMPUTED_VALUE"""),"INJTRY")</f>
        <v>#NAME?</v>
      </c>
      <c r="C1950" s="100" t="e">
        <f ca="1">IFERROR(__xludf.DUMMYFUNCTION("""COMPUTED_VALUE"""),"324.60000000")</f>
        <v>#NAME?</v>
      </c>
      <c r="D1950" s="100" t="e">
        <f t="shared" ca="1" si="341"/>
        <v>#NAME?</v>
      </c>
      <c r="E1950" s="100" t="e">
        <f t="shared" ca="1" si="341"/>
        <v>#NAME?</v>
      </c>
      <c r="F1950" s="100" t="e">
        <f t="shared" ca="1" si="336"/>
        <v>#NAME?</v>
      </c>
      <c r="G1950" s="100" t="e">
        <f t="shared" ca="1" si="337"/>
        <v>#NAME?</v>
      </c>
      <c r="H1950" s="100" t="e">
        <f t="shared" ca="1" si="338"/>
        <v>#NAME?</v>
      </c>
      <c r="I1950" s="100" t="e">
        <f t="shared" ca="1" si="339"/>
        <v>#NAME?</v>
      </c>
      <c r="J1950" s="100" t="e">
        <f ca="1">IFERROR(__xludf.DUMMYFUNCTION("""COMPUTED_VALUE"""),"-4.949")</f>
        <v>#NAME?</v>
      </c>
      <c r="K1950" s="100" t="e">
        <f t="shared" ca="1" si="340"/>
        <v>#NAME?</v>
      </c>
      <c r="L1950" s="100"/>
      <c r="M1950" s="100"/>
      <c r="N1950" s="100"/>
      <c r="O1950" s="100"/>
      <c r="P1950" s="100"/>
      <c r="Q1950" s="100"/>
      <c r="R1950" s="100"/>
      <c r="S1950" s="100"/>
      <c r="T1950" s="100"/>
      <c r="U1950" s="100"/>
      <c r="V1950" s="100"/>
      <c r="W1950" s="100"/>
      <c r="X1950" s="100"/>
      <c r="Y1950" s="100"/>
      <c r="Z1950" s="100"/>
    </row>
    <row r="1951" spans="1:26">
      <c r="A1951" s="100" t="e">
        <f ca="1">IFERROR(__xludf.DUMMYFUNCTION("""COMPUTED_VALUE"""),58785286)</f>
        <v>#NAME?</v>
      </c>
      <c r="B1951" s="100" t="e">
        <f ca="1">IFERROR(__xludf.DUMMYFUNCTION("""COMPUTED_VALUE"""),"TLMBNB")</f>
        <v>#NAME?</v>
      </c>
      <c r="C1951" s="100" t="e">
        <f ca="1">IFERROR(__xludf.DUMMYFUNCTION("""COMPUTED_VALUE"""),"0.00000000")</f>
        <v>#NAME?</v>
      </c>
      <c r="D1951" s="100" t="e">
        <f t="shared" ca="1" si="341"/>
        <v>#NAME?</v>
      </c>
      <c r="E1951" s="100" t="e">
        <f t="shared" ca="1" si="341"/>
        <v>#NAME?</v>
      </c>
      <c r="F1951" s="100" t="e">
        <f t="shared" ca="1" si="336"/>
        <v>#NAME?</v>
      </c>
      <c r="G1951" s="100" t="e">
        <f t="shared" ca="1" si="337"/>
        <v>#NAME?</v>
      </c>
      <c r="H1951" s="100" t="e">
        <f t="shared" ca="1" si="338"/>
        <v>#NAME?</v>
      </c>
      <c r="I1951" s="100" t="e">
        <f t="shared" ca="1" si="339"/>
        <v>#NAME?</v>
      </c>
      <c r="J1951" s="100" t="e">
        <f ca="1">IFERROR(__xludf.DUMMYFUNCTION("""COMPUTED_VALUE"""),"0")</f>
        <v>#NAME?</v>
      </c>
      <c r="K1951" s="100" t="e">
        <f t="shared" ca="1" si="340"/>
        <v>#NAME?</v>
      </c>
      <c r="L1951" s="100"/>
      <c r="M1951" s="100"/>
      <c r="N1951" s="100"/>
      <c r="O1951" s="100"/>
      <c r="P1951" s="100"/>
      <c r="Q1951" s="100"/>
      <c r="R1951" s="100"/>
      <c r="S1951" s="100"/>
      <c r="T1951" s="100"/>
      <c r="U1951" s="100"/>
      <c r="V1951" s="100"/>
      <c r="W1951" s="100"/>
      <c r="X1951" s="100"/>
      <c r="Y1951" s="100"/>
      <c r="Z1951" s="100"/>
    </row>
    <row r="1952" spans="1:26">
      <c r="A1952" s="100" t="e">
        <f ca="1">IFERROR(__xludf.DUMMYFUNCTION("""COMPUTED_VALUE"""),58785287)</f>
        <v>#NAME?</v>
      </c>
      <c r="B1952" s="100" t="e">
        <f ca="1">IFERROR(__xludf.DUMMYFUNCTION("""COMPUTED_VALUE"""),"ASTRBUSD")</f>
        <v>#NAME?</v>
      </c>
      <c r="C1952" s="100" t="e">
        <f ca="1">IFERROR(__xludf.DUMMYFUNCTION("""COMPUTED_VALUE"""),"0.05000000")</f>
        <v>#NAME?</v>
      </c>
      <c r="D1952" s="100" t="e">
        <f t="shared" ca="1" si="341"/>
        <v>#NAME?</v>
      </c>
      <c r="E1952" s="100" t="e">
        <f t="shared" ca="1" si="341"/>
        <v>#NAME?</v>
      </c>
      <c r="F1952" s="100" t="e">
        <f t="shared" ca="1" si="336"/>
        <v>#NAME?</v>
      </c>
      <c r="G1952" s="100" t="e">
        <f t="shared" ca="1" si="337"/>
        <v>#NAME?</v>
      </c>
      <c r="H1952" s="100" t="e">
        <f t="shared" ca="1" si="338"/>
        <v>#NAME?</v>
      </c>
      <c r="I1952" s="100" t="e">
        <f t="shared" ca="1" si="339"/>
        <v>#NAME?</v>
      </c>
      <c r="J1952" s="100" t="e">
        <f ca="1">IFERROR(__xludf.DUMMYFUNCTION("""COMPUTED_VALUE"""),"0")</f>
        <v>#NAME?</v>
      </c>
      <c r="K1952" s="100" t="e">
        <f t="shared" ca="1" si="340"/>
        <v>#NAME?</v>
      </c>
      <c r="L1952" s="100"/>
      <c r="M1952" s="100"/>
      <c r="N1952" s="100"/>
      <c r="O1952" s="100"/>
      <c r="P1952" s="100"/>
      <c r="Q1952" s="100"/>
      <c r="R1952" s="100"/>
      <c r="S1952" s="100"/>
      <c r="T1952" s="100"/>
      <c r="U1952" s="100"/>
      <c r="V1952" s="100"/>
      <c r="W1952" s="100"/>
      <c r="X1952" s="100"/>
      <c r="Y1952" s="100"/>
      <c r="Z1952" s="100"/>
    </row>
    <row r="1953" spans="1:26">
      <c r="A1953" s="100" t="e">
        <f ca="1">IFERROR(__xludf.DUMMYFUNCTION("""COMPUTED_VALUE"""),58785288)</f>
        <v>#NAME?</v>
      </c>
      <c r="B1953" s="100" t="e">
        <f ca="1">IFERROR(__xludf.DUMMYFUNCTION("""COMPUTED_VALUE"""),"ASTRUSDT")</f>
        <v>#NAME?</v>
      </c>
      <c r="C1953" s="100" t="e">
        <f ca="1">IFERROR(__xludf.DUMMYFUNCTION("""COMPUTED_VALUE"""),"0.02689000")</f>
        <v>#NAME?</v>
      </c>
      <c r="D1953" s="100" t="e">
        <f t="shared" ca="1" si="341"/>
        <v>#NAME?</v>
      </c>
      <c r="E1953" s="100" t="e">
        <f t="shared" ca="1" si="341"/>
        <v>#NAME?</v>
      </c>
      <c r="F1953" s="100" t="e">
        <f t="shared" ca="1" si="336"/>
        <v>#NAME?</v>
      </c>
      <c r="G1953" s="100" t="e">
        <f t="shared" ca="1" si="337"/>
        <v>#NAME?</v>
      </c>
      <c r="H1953" s="100" t="e">
        <f t="shared" ca="1" si="338"/>
        <v>#NAME?</v>
      </c>
      <c r="I1953" s="100" t="e">
        <f t="shared" ca="1" si="339"/>
        <v>#NAME?</v>
      </c>
      <c r="J1953" s="100" t="e">
        <f ca="1">IFERROR(__xludf.DUMMYFUNCTION("""COMPUTED_VALUE"""),"-2.784")</f>
        <v>#NAME?</v>
      </c>
      <c r="K1953" s="100" t="e">
        <f t="shared" ca="1" si="340"/>
        <v>#NAME?</v>
      </c>
      <c r="L1953" s="100"/>
      <c r="M1953" s="100"/>
      <c r="N1953" s="100"/>
      <c r="O1953" s="100"/>
      <c r="P1953" s="100"/>
      <c r="Q1953" s="100"/>
      <c r="R1953" s="100"/>
      <c r="S1953" s="100"/>
      <c r="T1953" s="100"/>
      <c r="U1953" s="100"/>
      <c r="V1953" s="100"/>
      <c r="W1953" s="100"/>
      <c r="X1953" s="100"/>
      <c r="Y1953" s="100"/>
      <c r="Z1953" s="100"/>
    </row>
    <row r="1954" spans="1:26">
      <c r="A1954" s="100" t="e">
        <f ca="1">IFERROR(__xludf.DUMMYFUNCTION("""COMPUTED_VALUE"""),58785289)</f>
        <v>#NAME?</v>
      </c>
      <c r="B1954" s="100" t="e">
        <f ca="1">IFERROR(__xludf.DUMMYFUNCTION("""COMPUTED_VALUE"""),"API3TRY")</f>
        <v>#NAME?</v>
      </c>
      <c r="C1954" s="100" t="e">
        <f ca="1">IFERROR(__xludf.DUMMYFUNCTION("""COMPUTED_VALUE"""),"27.63000000")</f>
        <v>#NAME?</v>
      </c>
      <c r="D1954" s="100" t="e">
        <f t="shared" ca="1" si="341"/>
        <v>#NAME?</v>
      </c>
      <c r="E1954" s="100" t="e">
        <f t="shared" ca="1" si="341"/>
        <v>#NAME?</v>
      </c>
      <c r="F1954" s="100" t="e">
        <f t="shared" ca="1" si="336"/>
        <v>#NAME?</v>
      </c>
      <c r="G1954" s="100" t="e">
        <f t="shared" ca="1" si="337"/>
        <v>#NAME?</v>
      </c>
      <c r="H1954" s="100" t="e">
        <f t="shared" ca="1" si="338"/>
        <v>#NAME?</v>
      </c>
      <c r="I1954" s="100" t="e">
        <f t="shared" ca="1" si="339"/>
        <v>#NAME?</v>
      </c>
      <c r="J1954" s="100" t="e">
        <f ca="1">IFERROR(__xludf.DUMMYFUNCTION("""COMPUTED_VALUE"""),"-1.952")</f>
        <v>#NAME?</v>
      </c>
      <c r="K1954" s="100" t="e">
        <f t="shared" ca="1" si="340"/>
        <v>#NAME?</v>
      </c>
      <c r="L1954" s="100"/>
      <c r="M1954" s="100"/>
      <c r="N1954" s="100"/>
      <c r="O1954" s="100"/>
      <c r="P1954" s="100"/>
      <c r="Q1954" s="100"/>
      <c r="R1954" s="100"/>
      <c r="S1954" s="100"/>
      <c r="T1954" s="100"/>
      <c r="U1954" s="100"/>
      <c r="V1954" s="100"/>
      <c r="W1954" s="100"/>
      <c r="X1954" s="100"/>
      <c r="Y1954" s="100"/>
      <c r="Z1954" s="100"/>
    </row>
    <row r="1955" spans="1:26">
      <c r="A1955" s="100" t="e">
        <f ca="1">IFERROR(__xludf.DUMMYFUNCTION("""COMPUTED_VALUE"""),58785290)</f>
        <v>#NAME?</v>
      </c>
      <c r="B1955" s="100" t="e">
        <f ca="1">IFERROR(__xludf.DUMMYFUNCTION("""COMPUTED_VALUE"""),"GLMRBNB")</f>
        <v>#NAME?</v>
      </c>
      <c r="C1955" s="100" t="e">
        <f ca="1">IFERROR(__xludf.DUMMYFUNCTION("""COMPUTED_VALUE"""),"0.00102100")</f>
        <v>#NAME?</v>
      </c>
      <c r="D1955" s="100" t="e">
        <f t="shared" ca="1" si="341"/>
        <v>#NAME?</v>
      </c>
      <c r="E1955" s="100" t="e">
        <f t="shared" ca="1" si="341"/>
        <v>#NAME?</v>
      </c>
      <c r="F1955" s="100" t="e">
        <f t="shared" ca="1" si="336"/>
        <v>#NAME?</v>
      </c>
      <c r="G1955" s="100" t="e">
        <f t="shared" ca="1" si="337"/>
        <v>#NAME?</v>
      </c>
      <c r="H1955" s="100" t="e">
        <f t="shared" ca="1" si="338"/>
        <v>#NAME?</v>
      </c>
      <c r="I1955" s="100" t="e">
        <f t="shared" ca="1" si="339"/>
        <v>#NAME?</v>
      </c>
      <c r="J1955" s="100" t="e">
        <f ca="1">IFERROR(__xludf.DUMMYFUNCTION("""COMPUTED_VALUE"""),"0")</f>
        <v>#NAME?</v>
      </c>
      <c r="K1955" s="100" t="e">
        <f t="shared" ca="1" si="340"/>
        <v>#NAME?</v>
      </c>
      <c r="L1955" s="100"/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</row>
    <row r="1956" spans="1:26">
      <c r="A1956" s="100" t="e">
        <f ca="1">IFERROR(__xludf.DUMMYFUNCTION("""COMPUTED_VALUE"""),58785291)</f>
        <v>#NAME?</v>
      </c>
      <c r="B1956" s="100" t="e">
        <f ca="1">IFERROR(__xludf.DUMMYFUNCTION("""COMPUTED_VALUE"""),"MBOXTRY")</f>
        <v>#NAME?</v>
      </c>
      <c r="C1956" s="100" t="e">
        <f ca="1">IFERROR(__xludf.DUMMYFUNCTION("""COMPUTED_VALUE"""),"1.98100000")</f>
        <v>#NAME?</v>
      </c>
      <c r="D1956" s="100" t="e">
        <f t="shared" ca="1" si="341"/>
        <v>#NAME?</v>
      </c>
      <c r="E1956" s="100" t="e">
        <f t="shared" ca="1" si="341"/>
        <v>#NAME?</v>
      </c>
      <c r="F1956" s="100" t="e">
        <f t="shared" ca="1" si="336"/>
        <v>#NAME?</v>
      </c>
      <c r="G1956" s="100" t="e">
        <f t="shared" ca="1" si="337"/>
        <v>#NAME?</v>
      </c>
      <c r="H1956" s="100" t="e">
        <f t="shared" ca="1" si="338"/>
        <v>#NAME?</v>
      </c>
      <c r="I1956" s="100" t="e">
        <f t="shared" ca="1" si="339"/>
        <v>#NAME?</v>
      </c>
      <c r="J1956" s="100" t="e">
        <f ca="1">IFERROR(__xludf.DUMMYFUNCTION("""COMPUTED_VALUE"""),"-9.295")</f>
        <v>#NAME?</v>
      </c>
      <c r="K1956" s="100" t="e">
        <f t="shared" ca="1" si="340"/>
        <v>#NAME?</v>
      </c>
      <c r="L1956" s="100"/>
      <c r="M1956" s="100"/>
      <c r="N1956" s="100"/>
      <c r="O1956" s="100"/>
      <c r="P1956" s="100"/>
      <c r="Q1956" s="100"/>
      <c r="R1956" s="100"/>
      <c r="S1956" s="100"/>
      <c r="T1956" s="100"/>
      <c r="U1956" s="100"/>
      <c r="V1956" s="100"/>
      <c r="W1956" s="100"/>
      <c r="X1956" s="100"/>
      <c r="Y1956" s="100"/>
      <c r="Z1956" s="100"/>
    </row>
    <row r="1957" spans="1:26">
      <c r="A1957" s="100" t="e">
        <f ca="1">IFERROR(__xludf.DUMMYFUNCTION("""COMPUTED_VALUE"""),58785292)</f>
        <v>#NAME?</v>
      </c>
      <c r="B1957" s="100" t="e">
        <f ca="1">IFERROR(__xludf.DUMMYFUNCTION("""COMPUTED_VALUE"""),"NBTBIDR")</f>
        <v>#NAME?</v>
      </c>
      <c r="C1957" s="100" t="e">
        <f ca="1">IFERROR(__xludf.DUMMYFUNCTION("""COMPUTED_VALUE"""),"39.10")</f>
        <v>#NAME?</v>
      </c>
      <c r="D1957" s="100" t="e">
        <f t="shared" ca="1" si="341"/>
        <v>#NAME?</v>
      </c>
      <c r="E1957" s="100" t="e">
        <f t="shared" ca="1" si="341"/>
        <v>#NAME?</v>
      </c>
      <c r="F1957" s="100" t="e">
        <f t="shared" ca="1" si="336"/>
        <v>#NAME?</v>
      </c>
      <c r="G1957" s="100" t="e">
        <f t="shared" ca="1" si="337"/>
        <v>#NAME?</v>
      </c>
      <c r="H1957" s="100" t="e">
        <f t="shared" ca="1" si="338"/>
        <v>#NAME?</v>
      </c>
      <c r="I1957" s="100" t="e">
        <f t="shared" ca="1" si="339"/>
        <v>#NAME?</v>
      </c>
      <c r="J1957" s="100" t="e">
        <f ca="1">IFERROR(__xludf.DUMMYFUNCTION("""COMPUTED_VALUE"""),"0")</f>
        <v>#NAME?</v>
      </c>
      <c r="K1957" s="100" t="e">
        <f t="shared" ca="1" si="340"/>
        <v>#NAME?</v>
      </c>
      <c r="L1957" s="100"/>
      <c r="M1957" s="100"/>
      <c r="N1957" s="100"/>
      <c r="O1957" s="100"/>
      <c r="P1957" s="100"/>
      <c r="Q1957" s="100"/>
      <c r="R1957" s="100"/>
      <c r="S1957" s="100"/>
      <c r="T1957" s="100"/>
      <c r="U1957" s="100"/>
      <c r="V1957" s="100"/>
      <c r="W1957" s="100"/>
      <c r="X1957" s="100"/>
      <c r="Y1957" s="100"/>
      <c r="Z1957" s="100"/>
    </row>
    <row r="1958" spans="1:26">
      <c r="A1958" s="100" t="e">
        <f ca="1">IFERROR(__xludf.DUMMYFUNCTION("""COMPUTED_VALUE"""),58785293)</f>
        <v>#NAME?</v>
      </c>
      <c r="B1958" s="100" t="e">
        <f ca="1">IFERROR(__xludf.DUMMYFUNCTION("""COMPUTED_VALUE"""),"NBTUSDT")</f>
        <v>#NAME?</v>
      </c>
      <c r="C1958" s="100" t="e">
        <f ca="1">IFERROR(__xludf.DUMMYFUNCTION("""COMPUTED_VALUE"""),"0.00252000")</f>
        <v>#NAME?</v>
      </c>
      <c r="D1958" s="100" t="e">
        <f t="shared" ca="1" si="341"/>
        <v>#NAME?</v>
      </c>
      <c r="E1958" s="100" t="e">
        <f t="shared" ca="1" si="341"/>
        <v>#NAME?</v>
      </c>
      <c r="F1958" s="100" t="e">
        <f t="shared" ca="1" si="336"/>
        <v>#NAME?</v>
      </c>
      <c r="G1958" s="100" t="e">
        <f t="shared" ca="1" si="337"/>
        <v>#NAME?</v>
      </c>
      <c r="H1958" s="100" t="e">
        <f t="shared" ca="1" si="338"/>
        <v>#NAME?</v>
      </c>
      <c r="I1958" s="100" t="e">
        <f t="shared" ca="1" si="339"/>
        <v>#NAME?</v>
      </c>
      <c r="J1958" s="100" t="e">
        <f ca="1">IFERROR(__xludf.DUMMYFUNCTION("""COMPUTED_VALUE"""),"0")</f>
        <v>#NAME?</v>
      </c>
      <c r="K1958" s="100" t="e">
        <f t="shared" ca="1" si="340"/>
        <v>#NAME?</v>
      </c>
      <c r="L1958" s="100"/>
      <c r="M1958" s="100"/>
      <c r="N1958" s="100"/>
      <c r="O1958" s="100"/>
      <c r="P1958" s="100"/>
      <c r="Q1958" s="100"/>
      <c r="R1958" s="100"/>
      <c r="S1958" s="100"/>
      <c r="T1958" s="100"/>
      <c r="U1958" s="100"/>
      <c r="V1958" s="100"/>
      <c r="W1958" s="100"/>
      <c r="X1958" s="100"/>
      <c r="Y1958" s="100"/>
      <c r="Z1958" s="100"/>
    </row>
    <row r="1959" spans="1:26">
      <c r="A1959" s="100" t="e">
        <f ca="1">IFERROR(__xludf.DUMMYFUNCTION("""COMPUTED_VALUE"""),58785294)</f>
        <v>#NAME?</v>
      </c>
      <c r="B1959" s="100" t="e">
        <f ca="1">IFERROR(__xludf.DUMMYFUNCTION("""COMPUTED_VALUE"""),"GMTBTC")</f>
        <v>#NAME?</v>
      </c>
      <c r="C1959" s="100" t="e">
        <f ca="1">IFERROR(__xludf.DUMMYFUNCTION("""COMPUTED_VALUE"""),"0.00000068")</f>
        <v>#NAME?</v>
      </c>
      <c r="D1959" s="100" t="e">
        <f t="shared" ca="1" si="341"/>
        <v>#NAME?</v>
      </c>
      <c r="E1959" s="100" t="e">
        <f t="shared" ca="1" si="341"/>
        <v>#NAME?</v>
      </c>
      <c r="F1959" s="100" t="e">
        <f t="shared" ca="1" si="336"/>
        <v>#NAME?</v>
      </c>
      <c r="G1959" s="100" t="e">
        <f t="shared" ca="1" si="337"/>
        <v>#NAME?</v>
      </c>
      <c r="H1959" s="100" t="e">
        <f t="shared" ca="1" si="338"/>
        <v>#NAME?</v>
      </c>
      <c r="I1959" s="100" t="e">
        <f t="shared" ca="1" si="339"/>
        <v>#NAME?</v>
      </c>
      <c r="J1959" s="100" t="e">
        <f ca="1">IFERROR(__xludf.DUMMYFUNCTION("""COMPUTED_VALUE"""),"7.937")</f>
        <v>#NAME?</v>
      </c>
      <c r="K1959" s="100" t="e">
        <f t="shared" ca="1" si="340"/>
        <v>#NAME?</v>
      </c>
      <c r="L1959" s="100"/>
      <c r="M1959" s="100"/>
      <c r="N1959" s="100"/>
      <c r="O1959" s="100"/>
      <c r="P1959" s="100"/>
      <c r="Q1959" s="100"/>
      <c r="R1959" s="100"/>
      <c r="S1959" s="100"/>
      <c r="T1959" s="100"/>
      <c r="U1959" s="100"/>
      <c r="V1959" s="100"/>
      <c r="W1959" s="100"/>
      <c r="X1959" s="100"/>
      <c r="Y1959" s="100"/>
      <c r="Z1959" s="100"/>
    </row>
    <row r="1960" spans="1:26">
      <c r="A1960" s="100" t="e">
        <f ca="1">IFERROR(__xludf.DUMMYFUNCTION("""COMPUTED_VALUE"""),58785295)</f>
        <v>#NAME?</v>
      </c>
      <c r="B1960" s="100" t="e">
        <f ca="1">IFERROR(__xludf.DUMMYFUNCTION("""COMPUTED_VALUE"""),"GMTBNB")</f>
        <v>#NAME?</v>
      </c>
      <c r="C1960" s="100" t="e">
        <f ca="1">IFERROR(__xludf.DUMMYFUNCTION("""COMPUTED_VALUE"""),"0.00076900")</f>
        <v>#NAME?</v>
      </c>
      <c r="D1960" s="100" t="e">
        <f t="shared" ca="1" si="341"/>
        <v>#NAME?</v>
      </c>
      <c r="E1960" s="100" t="e">
        <f t="shared" ca="1" si="341"/>
        <v>#NAME?</v>
      </c>
      <c r="F1960" s="100" t="e">
        <f t="shared" ca="1" si="336"/>
        <v>#NAME?</v>
      </c>
      <c r="G1960" s="100" t="e">
        <f t="shared" ca="1" si="337"/>
        <v>#NAME?</v>
      </c>
      <c r="H1960" s="100" t="e">
        <f t="shared" ca="1" si="338"/>
        <v>#NAME?</v>
      </c>
      <c r="I1960" s="100" t="e">
        <f t="shared" ca="1" si="339"/>
        <v>#NAME?</v>
      </c>
      <c r="J1960" s="100" t="e">
        <f ca="1">IFERROR(__xludf.DUMMYFUNCTION("""COMPUTED_VALUE"""),"0")</f>
        <v>#NAME?</v>
      </c>
      <c r="K1960" s="100" t="e">
        <f t="shared" ca="1" si="340"/>
        <v>#NAME?</v>
      </c>
      <c r="L1960" s="100"/>
      <c r="M1960" s="100"/>
      <c r="N1960" s="100"/>
      <c r="O1960" s="100"/>
      <c r="P1960" s="100"/>
      <c r="Q1960" s="100"/>
      <c r="R1960" s="100"/>
      <c r="S1960" s="100"/>
      <c r="T1960" s="100"/>
      <c r="U1960" s="100"/>
      <c r="V1960" s="100"/>
      <c r="W1960" s="100"/>
      <c r="X1960" s="100"/>
      <c r="Y1960" s="100"/>
      <c r="Z1960" s="100"/>
    </row>
    <row r="1961" spans="1:26">
      <c r="A1961" s="100" t="e">
        <f ca="1">IFERROR(__xludf.DUMMYFUNCTION("""COMPUTED_VALUE"""),58785296)</f>
        <v>#NAME?</v>
      </c>
      <c r="B1961" s="100" t="e">
        <f ca="1">IFERROR(__xludf.DUMMYFUNCTION("""COMPUTED_VALUE"""),"GMTBUSD")</f>
        <v>#NAME?</v>
      </c>
      <c r="C1961" s="100" t="e">
        <f ca="1">IFERROR(__xludf.DUMMYFUNCTION("""COMPUTED_VALUE"""),"0.22700000")</f>
        <v>#NAME?</v>
      </c>
      <c r="D1961" s="100" t="e">
        <f t="shared" ca="1" si="341"/>
        <v>#NAME?</v>
      </c>
      <c r="E1961" s="100" t="e">
        <f t="shared" ca="1" si="341"/>
        <v>#NAME?</v>
      </c>
      <c r="F1961" s="100" t="e">
        <f t="shared" ca="1" si="336"/>
        <v>#NAME?</v>
      </c>
      <c r="G1961" s="100" t="e">
        <f t="shared" ca="1" si="337"/>
        <v>#NAME?</v>
      </c>
      <c r="H1961" s="100" t="e">
        <f t="shared" ca="1" si="338"/>
        <v>#NAME?</v>
      </c>
      <c r="I1961" s="100" t="e">
        <f t="shared" ca="1" si="339"/>
        <v>#NAME?</v>
      </c>
      <c r="J1961" s="100" t="e">
        <f ca="1">IFERROR(__xludf.DUMMYFUNCTION("""COMPUTED_VALUE"""),"0")</f>
        <v>#NAME?</v>
      </c>
      <c r="K1961" s="100" t="e">
        <f t="shared" ca="1" si="340"/>
        <v>#NAME?</v>
      </c>
      <c r="L1961" s="100"/>
      <c r="M1961" s="100"/>
      <c r="N1961" s="100"/>
      <c r="O1961" s="100"/>
      <c r="P1961" s="100"/>
      <c r="Q1961" s="100"/>
      <c r="R1961" s="100"/>
      <c r="S1961" s="100"/>
      <c r="T1961" s="100"/>
      <c r="U1961" s="100"/>
      <c r="V1961" s="100"/>
      <c r="W1961" s="100"/>
      <c r="X1961" s="100"/>
      <c r="Y1961" s="100"/>
      <c r="Z1961" s="100"/>
    </row>
    <row r="1962" spans="1:26">
      <c r="A1962" s="100" t="e">
        <f ca="1">IFERROR(__xludf.DUMMYFUNCTION("""COMPUTED_VALUE"""),58785297)</f>
        <v>#NAME?</v>
      </c>
      <c r="B1962" s="100" t="e">
        <f ca="1">IFERROR(__xludf.DUMMYFUNCTION("""COMPUTED_VALUE"""),"GMTUSDT")</f>
        <v>#NAME?</v>
      </c>
      <c r="C1962" s="100" t="e">
        <f ca="1">IFERROR(__xludf.DUMMYFUNCTION("""COMPUTED_VALUE"""),"0.06000000")</f>
        <v>#NAME?</v>
      </c>
      <c r="D1962" s="100" t="e">
        <f t="shared" ref="D1962:E1981" ca="1" si="342">IFERROR(__xludf.DUMMYFUNCTION("""COMPUTED_VALUE"""),"-")</f>
        <v>#NAME?</v>
      </c>
      <c r="E1962" s="100" t="e">
        <f t="shared" ca="1" si="342"/>
        <v>#NAME?</v>
      </c>
      <c r="F1962" s="100" t="e">
        <f t="shared" ca="1" si="336"/>
        <v>#NAME?</v>
      </c>
      <c r="G1962" s="100" t="e">
        <f t="shared" ca="1" si="337"/>
        <v>#NAME?</v>
      </c>
      <c r="H1962" s="100" t="e">
        <f t="shared" ca="1" si="338"/>
        <v>#NAME?</v>
      </c>
      <c r="I1962" s="100" t="e">
        <f t="shared" ca="1" si="339"/>
        <v>#NAME?</v>
      </c>
      <c r="J1962" s="100" t="e">
        <f ca="1">IFERROR(__xludf.DUMMYFUNCTION("""COMPUTED_VALUE"""),"9.091")</f>
        <v>#NAME?</v>
      </c>
      <c r="K1962" s="100" t="e">
        <f t="shared" ca="1" si="340"/>
        <v>#NAME?</v>
      </c>
      <c r="L1962" s="100"/>
      <c r="M1962" s="100"/>
      <c r="N1962" s="100"/>
      <c r="O1962" s="100"/>
      <c r="P1962" s="100"/>
      <c r="Q1962" s="100"/>
      <c r="R1962" s="100"/>
      <c r="S1962" s="100"/>
      <c r="T1962" s="100"/>
      <c r="U1962" s="100"/>
      <c r="V1962" s="100"/>
      <c r="W1962" s="100"/>
      <c r="X1962" s="100"/>
      <c r="Y1962" s="100"/>
      <c r="Z1962" s="100"/>
    </row>
    <row r="1963" spans="1:26">
      <c r="A1963" s="100" t="e">
        <f ca="1">IFERROR(__xludf.DUMMYFUNCTION("""COMPUTED_VALUE"""),58785298)</f>
        <v>#NAME?</v>
      </c>
      <c r="B1963" s="100" t="e">
        <f ca="1">IFERROR(__xludf.DUMMYFUNCTION("""COMPUTED_VALUE"""),"ANCBNB")</f>
        <v>#NAME?</v>
      </c>
      <c r="C1963" s="100" t="e">
        <f ca="1">IFERROR(__xludf.DUMMYFUNCTION("""COMPUTED_VALUE"""),"0.00012880")</f>
        <v>#NAME?</v>
      </c>
      <c r="D1963" s="100" t="e">
        <f t="shared" ca="1" si="342"/>
        <v>#NAME?</v>
      </c>
      <c r="E1963" s="100" t="e">
        <f t="shared" ca="1" si="342"/>
        <v>#NAME?</v>
      </c>
      <c r="F1963" s="100" t="e">
        <f t="shared" ca="1" si="336"/>
        <v>#NAME?</v>
      </c>
      <c r="G1963" s="100" t="e">
        <f t="shared" ca="1" si="337"/>
        <v>#NAME?</v>
      </c>
      <c r="H1963" s="100" t="e">
        <f t="shared" ca="1" si="338"/>
        <v>#NAME?</v>
      </c>
      <c r="I1963" s="100" t="e">
        <f t="shared" ca="1" si="339"/>
        <v>#NAME?</v>
      </c>
      <c r="J1963" s="100" t="e">
        <f ca="1">IFERROR(__xludf.DUMMYFUNCTION("""COMPUTED_VALUE"""),"0")</f>
        <v>#NAME?</v>
      </c>
      <c r="K1963" s="100" t="e">
        <f t="shared" ca="1" si="340"/>
        <v>#NAME?</v>
      </c>
      <c r="L1963" s="100"/>
      <c r="M1963" s="100"/>
      <c r="N1963" s="100"/>
      <c r="O1963" s="100"/>
      <c r="P1963" s="100"/>
      <c r="Q1963" s="100"/>
      <c r="R1963" s="100"/>
      <c r="S1963" s="100"/>
      <c r="T1963" s="100"/>
      <c r="U1963" s="100"/>
      <c r="V1963" s="100"/>
      <c r="W1963" s="100"/>
      <c r="X1963" s="100"/>
      <c r="Y1963" s="100"/>
      <c r="Z1963" s="100"/>
    </row>
    <row r="1964" spans="1:26">
      <c r="A1964" s="100" t="e">
        <f ca="1">IFERROR(__xludf.DUMMYFUNCTION("""COMPUTED_VALUE"""),58785299)</f>
        <v>#NAME?</v>
      </c>
      <c r="B1964" s="100" t="e">
        <f ca="1">IFERROR(__xludf.DUMMYFUNCTION("""COMPUTED_VALUE"""),"ATOMEUR")</f>
        <v>#NAME?</v>
      </c>
      <c r="C1964" s="100" t="e">
        <f ca="1">IFERROR(__xludf.DUMMYFUNCTION("""COMPUTED_VALUE"""),"3.56100000")</f>
        <v>#NAME?</v>
      </c>
      <c r="D1964" s="100" t="e">
        <f t="shared" ca="1" si="342"/>
        <v>#NAME?</v>
      </c>
      <c r="E1964" s="100" t="e">
        <f t="shared" ca="1" si="342"/>
        <v>#NAME?</v>
      </c>
      <c r="F1964" s="100" t="e">
        <f t="shared" ca="1" si="336"/>
        <v>#NAME?</v>
      </c>
      <c r="G1964" s="100" t="e">
        <f t="shared" ca="1" si="337"/>
        <v>#NAME?</v>
      </c>
      <c r="H1964" s="100" t="e">
        <f t="shared" ca="1" si="338"/>
        <v>#NAME?</v>
      </c>
      <c r="I1964" s="100" t="e">
        <f t="shared" ca="1" si="339"/>
        <v>#NAME?</v>
      </c>
      <c r="J1964" s="100" t="e">
        <f ca="1">IFERROR(__xludf.DUMMYFUNCTION("""COMPUTED_VALUE"""),"-3.470")</f>
        <v>#NAME?</v>
      </c>
      <c r="K1964" s="100" t="e">
        <f t="shared" ca="1" si="340"/>
        <v>#NAME?</v>
      </c>
      <c r="L1964" s="100"/>
      <c r="M1964" s="100"/>
      <c r="N1964" s="100"/>
      <c r="O1964" s="100"/>
      <c r="P1964" s="100"/>
      <c r="Q1964" s="100"/>
      <c r="R1964" s="100"/>
      <c r="S1964" s="100"/>
      <c r="T1964" s="100"/>
      <c r="U1964" s="100"/>
      <c r="V1964" s="100"/>
      <c r="W1964" s="100"/>
      <c r="X1964" s="100"/>
      <c r="Y1964" s="100"/>
      <c r="Z1964" s="100"/>
    </row>
    <row r="1965" spans="1:26">
      <c r="A1965" s="100" t="e">
        <f ca="1">IFERROR(__xludf.DUMMYFUNCTION("""COMPUTED_VALUE"""),58785300)</f>
        <v>#NAME?</v>
      </c>
      <c r="B1965" s="100" t="e">
        <f ca="1">IFERROR(__xludf.DUMMYFUNCTION("""COMPUTED_VALUE"""),"GALAEUR")</f>
        <v>#NAME?</v>
      </c>
      <c r="C1965" s="100" t="e">
        <f ca="1">IFERROR(__xludf.DUMMYFUNCTION("""COMPUTED_VALUE"""),"0.01378000")</f>
        <v>#NAME?</v>
      </c>
      <c r="D1965" s="100" t="e">
        <f t="shared" ca="1" si="342"/>
        <v>#NAME?</v>
      </c>
      <c r="E1965" s="100" t="e">
        <f t="shared" ca="1" si="342"/>
        <v>#NAME?</v>
      </c>
      <c r="F1965" s="100" t="e">
        <f t="shared" ca="1" si="336"/>
        <v>#NAME?</v>
      </c>
      <c r="G1965" s="100" t="e">
        <f t="shared" ca="1" si="337"/>
        <v>#NAME?</v>
      </c>
      <c r="H1965" s="100" t="e">
        <f t="shared" ca="1" si="338"/>
        <v>#NAME?</v>
      </c>
      <c r="I1965" s="100" t="e">
        <f t="shared" ca="1" si="339"/>
        <v>#NAME?</v>
      </c>
      <c r="J1965" s="100" t="e">
        <f ca="1">IFERROR(__xludf.DUMMYFUNCTION("""COMPUTED_VALUE"""),"-2.615")</f>
        <v>#NAME?</v>
      </c>
      <c r="K1965" s="100" t="e">
        <f t="shared" ca="1" si="340"/>
        <v>#NAME?</v>
      </c>
      <c r="L1965" s="100"/>
      <c r="M1965" s="100"/>
      <c r="N1965" s="100"/>
      <c r="O1965" s="100"/>
      <c r="P1965" s="100"/>
      <c r="Q1965" s="100"/>
      <c r="R1965" s="100"/>
      <c r="S1965" s="100"/>
      <c r="T1965" s="100"/>
      <c r="U1965" s="100"/>
      <c r="V1965" s="100"/>
      <c r="W1965" s="100"/>
      <c r="X1965" s="100"/>
      <c r="Y1965" s="100"/>
      <c r="Z1965" s="100"/>
    </row>
    <row r="1966" spans="1:26">
      <c r="A1966" s="100" t="e">
        <f ca="1">IFERROR(__xludf.DUMMYFUNCTION("""COMPUTED_VALUE"""),58785301)</f>
        <v>#NAME?</v>
      </c>
      <c r="B1966" s="100" t="e">
        <f ca="1">IFERROR(__xludf.DUMMYFUNCTION("""COMPUTED_VALUE"""),"KSMETH")</f>
        <v>#NAME?</v>
      </c>
      <c r="C1966" s="100" t="e">
        <f ca="1">IFERROR(__xludf.DUMMYFUNCTION("""COMPUTED_VALUE"""),"0.02114000")</f>
        <v>#NAME?</v>
      </c>
      <c r="D1966" s="100" t="e">
        <f t="shared" ca="1" si="342"/>
        <v>#NAME?</v>
      </c>
      <c r="E1966" s="100" t="e">
        <f t="shared" ca="1" si="342"/>
        <v>#NAME?</v>
      </c>
      <c r="F1966" s="100" t="e">
        <f t="shared" ca="1" si="336"/>
        <v>#NAME?</v>
      </c>
      <c r="G1966" s="100" t="e">
        <f t="shared" ca="1" si="337"/>
        <v>#NAME?</v>
      </c>
      <c r="H1966" s="100" t="e">
        <f t="shared" ca="1" si="338"/>
        <v>#NAME?</v>
      </c>
      <c r="I1966" s="100" t="e">
        <f t="shared" ca="1" si="339"/>
        <v>#NAME?</v>
      </c>
      <c r="J1966" s="100" t="e">
        <f ca="1">IFERROR(__xludf.DUMMYFUNCTION("""COMPUTED_VALUE"""),"0")</f>
        <v>#NAME?</v>
      </c>
      <c r="K1966" s="100" t="e">
        <f t="shared" ca="1" si="340"/>
        <v>#NAME?</v>
      </c>
      <c r="L1966" s="100"/>
      <c r="M1966" s="100"/>
      <c r="N1966" s="100"/>
      <c r="O1966" s="100"/>
      <c r="P1966" s="100"/>
      <c r="Q1966" s="100"/>
      <c r="R1966" s="100"/>
      <c r="S1966" s="100"/>
      <c r="T1966" s="100"/>
      <c r="U1966" s="100"/>
      <c r="V1966" s="100"/>
      <c r="W1966" s="100"/>
      <c r="X1966" s="100"/>
      <c r="Y1966" s="100"/>
      <c r="Z1966" s="100"/>
    </row>
    <row r="1967" spans="1:26">
      <c r="A1967" s="100" t="e">
        <f ca="1">IFERROR(__xludf.DUMMYFUNCTION("""COMPUTED_VALUE"""),58785302)</f>
        <v>#NAME?</v>
      </c>
      <c r="B1967" s="100" t="e">
        <f ca="1">IFERROR(__xludf.DUMMYFUNCTION("""COMPUTED_VALUE"""),"UMATRY")</f>
        <v>#NAME?</v>
      </c>
      <c r="C1967" s="100" t="e">
        <f ca="1">IFERROR(__xludf.DUMMYFUNCTION("""COMPUTED_VALUE"""),"42.60000000")</f>
        <v>#NAME?</v>
      </c>
      <c r="D1967" s="100" t="e">
        <f t="shared" ca="1" si="342"/>
        <v>#NAME?</v>
      </c>
      <c r="E1967" s="100" t="e">
        <f t="shared" ca="1" si="342"/>
        <v>#NAME?</v>
      </c>
      <c r="F1967" s="100" t="e">
        <f t="shared" ca="1" si="336"/>
        <v>#NAME?</v>
      </c>
      <c r="G1967" s="100" t="e">
        <f t="shared" ca="1" si="337"/>
        <v>#NAME?</v>
      </c>
      <c r="H1967" s="100" t="e">
        <f t="shared" ca="1" si="338"/>
        <v>#NAME?</v>
      </c>
      <c r="I1967" s="100" t="e">
        <f t="shared" ca="1" si="339"/>
        <v>#NAME?</v>
      </c>
      <c r="J1967" s="100" t="e">
        <f ca="1">IFERROR(__xludf.DUMMYFUNCTION("""COMPUTED_VALUE"""),"-2.517")</f>
        <v>#NAME?</v>
      </c>
      <c r="K1967" s="100" t="e">
        <f t="shared" ca="1" si="340"/>
        <v>#NAME?</v>
      </c>
      <c r="L1967" s="100"/>
      <c r="M1967" s="100"/>
      <c r="N1967" s="100"/>
      <c r="O1967" s="100"/>
      <c r="P1967" s="100"/>
      <c r="Q1967" s="100"/>
      <c r="R1967" s="100"/>
      <c r="S1967" s="100"/>
      <c r="T1967" s="100"/>
      <c r="U1967" s="100"/>
      <c r="V1967" s="100"/>
      <c r="W1967" s="100"/>
      <c r="X1967" s="100"/>
      <c r="Y1967" s="100"/>
      <c r="Z1967" s="100"/>
    </row>
    <row r="1968" spans="1:26">
      <c r="A1968" s="100" t="e">
        <f ca="1">IFERROR(__xludf.DUMMYFUNCTION("""COMPUTED_VALUE"""),58785303)</f>
        <v>#NAME?</v>
      </c>
      <c r="B1968" s="100" t="e">
        <f ca="1">IFERROR(__xludf.DUMMYFUNCTION("""COMPUTED_VALUE"""),"KDABTC")</f>
        <v>#NAME?</v>
      </c>
      <c r="C1968" s="100" t="e">
        <f ca="1">IFERROR(__xludf.DUMMYFUNCTION("""COMPUTED_VALUE"""),"0.00000526")</f>
        <v>#NAME?</v>
      </c>
      <c r="D1968" s="100" t="e">
        <f t="shared" ca="1" si="342"/>
        <v>#NAME?</v>
      </c>
      <c r="E1968" s="100" t="e">
        <f t="shared" ca="1" si="342"/>
        <v>#NAME?</v>
      </c>
      <c r="F1968" s="100" t="e">
        <f t="shared" ca="1" si="336"/>
        <v>#NAME?</v>
      </c>
      <c r="G1968" s="100" t="e">
        <f t="shared" ca="1" si="337"/>
        <v>#NAME?</v>
      </c>
      <c r="H1968" s="100" t="e">
        <f t="shared" ca="1" si="338"/>
        <v>#NAME?</v>
      </c>
      <c r="I1968" s="100" t="e">
        <f t="shared" ca="1" si="339"/>
        <v>#NAME?</v>
      </c>
      <c r="J1968" s="100" t="e">
        <f ca="1">IFERROR(__xludf.DUMMYFUNCTION("""COMPUTED_VALUE"""),"-4.537")</f>
        <v>#NAME?</v>
      </c>
      <c r="K1968" s="100" t="e">
        <f t="shared" ca="1" si="340"/>
        <v>#NAME?</v>
      </c>
      <c r="L1968" s="100"/>
      <c r="M1968" s="100"/>
      <c r="N1968" s="100"/>
      <c r="O1968" s="100"/>
      <c r="P1968" s="100"/>
      <c r="Q1968" s="100"/>
      <c r="R1968" s="100"/>
      <c r="S1968" s="100"/>
      <c r="T1968" s="100"/>
      <c r="U1968" s="100"/>
      <c r="V1968" s="100"/>
      <c r="W1968" s="100"/>
      <c r="X1968" s="100"/>
      <c r="Y1968" s="100"/>
      <c r="Z1968" s="100"/>
    </row>
    <row r="1969" spans="1:26">
      <c r="A1969" s="100" t="e">
        <f ca="1">IFERROR(__xludf.DUMMYFUNCTION("""COMPUTED_VALUE"""),58785304)</f>
        <v>#NAME?</v>
      </c>
      <c r="B1969" s="100" t="e">
        <f ca="1">IFERROR(__xludf.DUMMYFUNCTION("""COMPUTED_VALUE"""),"KDABUSD")</f>
        <v>#NAME?</v>
      </c>
      <c r="C1969" s="100" t="e">
        <f ca="1">IFERROR(__xludf.DUMMYFUNCTION("""COMPUTED_VALUE"""),"0.42000000")</f>
        <v>#NAME?</v>
      </c>
      <c r="D1969" s="100" t="e">
        <f t="shared" ca="1" si="342"/>
        <v>#NAME?</v>
      </c>
      <c r="E1969" s="100" t="e">
        <f t="shared" ca="1" si="342"/>
        <v>#NAME?</v>
      </c>
      <c r="F1969" s="100" t="e">
        <f t="shared" ca="1" si="336"/>
        <v>#NAME?</v>
      </c>
      <c r="G1969" s="100" t="e">
        <f t="shared" ca="1" si="337"/>
        <v>#NAME?</v>
      </c>
      <c r="H1969" s="100" t="e">
        <f t="shared" ca="1" si="338"/>
        <v>#NAME?</v>
      </c>
      <c r="I1969" s="100" t="e">
        <f t="shared" ca="1" si="339"/>
        <v>#NAME?</v>
      </c>
      <c r="J1969" s="100" t="e">
        <f ca="1">IFERROR(__xludf.DUMMYFUNCTION("""COMPUTED_VALUE"""),"0")</f>
        <v>#NAME?</v>
      </c>
      <c r="K1969" s="100" t="e">
        <f t="shared" ca="1" si="340"/>
        <v>#NAME?</v>
      </c>
      <c r="L1969" s="100"/>
      <c r="M1969" s="100"/>
      <c r="N1969" s="100"/>
      <c r="O1969" s="100"/>
      <c r="P1969" s="100"/>
      <c r="Q1969" s="100"/>
      <c r="R1969" s="100"/>
      <c r="S1969" s="100"/>
      <c r="T1969" s="100"/>
      <c r="U1969" s="100"/>
      <c r="V1969" s="100"/>
      <c r="W1969" s="100"/>
      <c r="X1969" s="100"/>
      <c r="Y1969" s="100"/>
      <c r="Z1969" s="100"/>
    </row>
    <row r="1970" spans="1:26">
      <c r="A1970" s="100" t="e">
        <f ca="1">IFERROR(__xludf.DUMMYFUNCTION("""COMPUTED_VALUE"""),58785305)</f>
        <v>#NAME?</v>
      </c>
      <c r="B1970" s="100" t="e">
        <f ca="1">IFERROR(__xludf.DUMMYFUNCTION("""COMPUTED_VALUE"""),"KDAUSDT")</f>
        <v>#NAME?</v>
      </c>
      <c r="C1970" s="100" t="e">
        <f ca="1">IFERROR(__xludf.DUMMYFUNCTION("""COMPUTED_VALUE"""),"0.46200000")</f>
        <v>#NAME?</v>
      </c>
      <c r="D1970" s="100" t="e">
        <f t="shared" ca="1" si="342"/>
        <v>#NAME?</v>
      </c>
      <c r="E1970" s="100" t="e">
        <f t="shared" ca="1" si="342"/>
        <v>#NAME?</v>
      </c>
      <c r="F1970" s="100" t="e">
        <f t="shared" ca="1" si="336"/>
        <v>#NAME?</v>
      </c>
      <c r="G1970" s="100" t="e">
        <f t="shared" ca="1" si="337"/>
        <v>#NAME?</v>
      </c>
      <c r="H1970" s="100" t="e">
        <f t="shared" ca="1" si="338"/>
        <v>#NAME?</v>
      </c>
      <c r="I1970" s="100" t="e">
        <f t="shared" ca="1" si="339"/>
        <v>#NAME?</v>
      </c>
      <c r="J1970" s="100" t="e">
        <f ca="1">IFERROR(__xludf.DUMMYFUNCTION("""COMPUTED_VALUE"""),"-4.010")</f>
        <v>#NAME?</v>
      </c>
      <c r="K1970" s="100" t="e">
        <f t="shared" ca="1" si="340"/>
        <v>#NAME?</v>
      </c>
      <c r="L1970" s="100"/>
      <c r="M1970" s="100"/>
      <c r="N1970" s="100"/>
      <c r="O1970" s="100"/>
      <c r="P1970" s="100"/>
      <c r="Q1970" s="100"/>
      <c r="R1970" s="100"/>
      <c r="S1970" s="100"/>
      <c r="T1970" s="100"/>
      <c r="U1970" s="100"/>
      <c r="V1970" s="100"/>
      <c r="W1970" s="100"/>
      <c r="X1970" s="100"/>
      <c r="Y1970" s="100"/>
      <c r="Z1970" s="100"/>
    </row>
    <row r="1971" spans="1:26">
      <c r="A1971" s="100" t="e">
        <f ca="1">IFERROR(__xludf.DUMMYFUNCTION("""COMPUTED_VALUE"""),58785306)</f>
        <v>#NAME?</v>
      </c>
      <c r="B1971" s="100" t="e">
        <f ca="1">IFERROR(__xludf.DUMMYFUNCTION("""COMPUTED_VALUE"""),"APEUSDT")</f>
        <v>#NAME?</v>
      </c>
      <c r="C1971" s="100" t="e">
        <f ca="1">IFERROR(__xludf.DUMMYFUNCTION("""COMPUTED_VALUE"""),"0.46170000")</f>
        <v>#NAME?</v>
      </c>
      <c r="D1971" s="100" t="e">
        <f t="shared" ca="1" si="342"/>
        <v>#NAME?</v>
      </c>
      <c r="E1971" s="100" t="e">
        <f t="shared" ca="1" si="342"/>
        <v>#NAME?</v>
      </c>
      <c r="F1971" s="100" t="e">
        <f t="shared" ca="1" si="336"/>
        <v>#NAME?</v>
      </c>
      <c r="G1971" s="100" t="e">
        <f t="shared" ca="1" si="337"/>
        <v>#NAME?</v>
      </c>
      <c r="H1971" s="100" t="e">
        <f t="shared" ca="1" si="338"/>
        <v>#NAME?</v>
      </c>
      <c r="I1971" s="100" t="e">
        <f t="shared" ca="1" si="339"/>
        <v>#NAME?</v>
      </c>
      <c r="J1971" s="100" t="e">
        <f ca="1">IFERROR(__xludf.DUMMYFUNCTION("""COMPUTED_VALUE"""),"-2.368")</f>
        <v>#NAME?</v>
      </c>
      <c r="K1971" s="100" t="e">
        <f t="shared" ca="1" si="340"/>
        <v>#NAME?</v>
      </c>
      <c r="L1971" s="100"/>
      <c r="M1971" s="100"/>
      <c r="N1971" s="100"/>
      <c r="O1971" s="100"/>
      <c r="P1971" s="100"/>
      <c r="Q1971" s="100"/>
      <c r="R1971" s="100"/>
      <c r="S1971" s="100"/>
      <c r="T1971" s="100"/>
      <c r="U1971" s="100"/>
      <c r="V1971" s="100"/>
      <c r="W1971" s="100"/>
      <c r="X1971" s="100"/>
      <c r="Y1971" s="100"/>
      <c r="Z1971" s="100"/>
    </row>
    <row r="1972" spans="1:26">
      <c r="A1972" s="100" t="e">
        <f ca="1">IFERROR(__xludf.DUMMYFUNCTION("""COMPUTED_VALUE"""),58785307)</f>
        <v>#NAME?</v>
      </c>
      <c r="B1972" s="100" t="e">
        <f ca="1">IFERROR(__xludf.DUMMYFUNCTION("""COMPUTED_VALUE"""),"APEBUSD")</f>
        <v>#NAME?</v>
      </c>
      <c r="C1972" s="100" t="e">
        <f ca="1">IFERROR(__xludf.DUMMYFUNCTION("""COMPUTED_VALUE"""),"1.42300000")</f>
        <v>#NAME?</v>
      </c>
      <c r="D1972" s="100" t="e">
        <f t="shared" ca="1" si="342"/>
        <v>#NAME?</v>
      </c>
      <c r="E1972" s="100" t="e">
        <f t="shared" ca="1" si="342"/>
        <v>#NAME?</v>
      </c>
      <c r="F1972" s="100" t="e">
        <f t="shared" ca="1" si="336"/>
        <v>#NAME?</v>
      </c>
      <c r="G1972" s="100" t="e">
        <f t="shared" ca="1" si="337"/>
        <v>#NAME?</v>
      </c>
      <c r="H1972" s="100" t="e">
        <f t="shared" ca="1" si="338"/>
        <v>#NAME?</v>
      </c>
      <c r="I1972" s="100" t="e">
        <f t="shared" ca="1" si="339"/>
        <v>#NAME?</v>
      </c>
      <c r="J1972" s="100" t="e">
        <f ca="1">IFERROR(__xludf.DUMMYFUNCTION("""COMPUTED_VALUE"""),"0")</f>
        <v>#NAME?</v>
      </c>
      <c r="K1972" s="100" t="e">
        <f t="shared" ca="1" si="340"/>
        <v>#NAME?</v>
      </c>
      <c r="L1972" s="100"/>
      <c r="M1972" s="100"/>
      <c r="N1972" s="100"/>
      <c r="O1972" s="100"/>
      <c r="P1972" s="100"/>
      <c r="Q1972" s="100"/>
      <c r="R1972" s="100"/>
      <c r="S1972" s="100"/>
      <c r="T1972" s="100"/>
      <c r="U1972" s="100"/>
      <c r="V1972" s="100"/>
      <c r="W1972" s="100"/>
      <c r="X1972" s="100"/>
      <c r="Y1972" s="100"/>
      <c r="Z1972" s="100"/>
    </row>
    <row r="1973" spans="1:26">
      <c r="A1973" s="100" t="e">
        <f ca="1">IFERROR(__xludf.DUMMYFUNCTION("""COMPUTED_VALUE"""),58785308)</f>
        <v>#NAME?</v>
      </c>
      <c r="B1973" s="100" t="e">
        <f ca="1">IFERROR(__xludf.DUMMYFUNCTION("""COMPUTED_VALUE"""),"APEBTC")</f>
        <v>#NAME?</v>
      </c>
      <c r="C1973" s="100" t="e">
        <f ca="1">IFERROR(__xludf.DUMMYFUNCTION("""COMPUTED_VALUE"""),"0.00000521")</f>
        <v>#NAME?</v>
      </c>
      <c r="D1973" s="100" t="e">
        <f t="shared" ca="1" si="342"/>
        <v>#NAME?</v>
      </c>
      <c r="E1973" s="100" t="e">
        <f t="shared" ca="1" si="342"/>
        <v>#NAME?</v>
      </c>
      <c r="F1973" s="100" t="e">
        <f t="shared" ca="1" si="336"/>
        <v>#NAME?</v>
      </c>
      <c r="G1973" s="100" t="e">
        <f t="shared" ca="1" si="337"/>
        <v>#NAME?</v>
      </c>
      <c r="H1973" s="100" t="e">
        <f t="shared" ca="1" si="338"/>
        <v>#NAME?</v>
      </c>
      <c r="I1973" s="100" t="e">
        <f t="shared" ca="1" si="339"/>
        <v>#NAME?</v>
      </c>
      <c r="J1973" s="100" t="e">
        <f ca="1">IFERROR(__xludf.DUMMYFUNCTION("""COMPUTED_VALUE"""),"-3.697")</f>
        <v>#NAME?</v>
      </c>
      <c r="K1973" s="100" t="e">
        <f t="shared" ca="1" si="340"/>
        <v>#NAME?</v>
      </c>
      <c r="L1973" s="100"/>
      <c r="M1973" s="100"/>
      <c r="N1973" s="100"/>
      <c r="O1973" s="100"/>
      <c r="P1973" s="100"/>
      <c r="Q1973" s="100"/>
      <c r="R1973" s="100"/>
      <c r="S1973" s="100"/>
      <c r="T1973" s="100"/>
      <c r="U1973" s="100"/>
      <c r="V1973" s="100"/>
      <c r="W1973" s="100"/>
      <c r="X1973" s="100"/>
      <c r="Y1973" s="100"/>
      <c r="Z1973" s="100"/>
    </row>
    <row r="1974" spans="1:26">
      <c r="A1974" s="100" t="e">
        <f ca="1">IFERROR(__xludf.DUMMYFUNCTION("""COMPUTED_VALUE"""),58785309)</f>
        <v>#NAME?</v>
      </c>
      <c r="B1974" s="100" t="e">
        <f ca="1">IFERROR(__xludf.DUMMYFUNCTION("""COMPUTED_VALUE"""),"ALPINEBUSD")</f>
        <v>#NAME?</v>
      </c>
      <c r="C1974" s="100" t="e">
        <f ca="1">IFERROR(__xludf.DUMMYFUNCTION("""COMPUTED_VALUE"""),"1.74900000")</f>
        <v>#NAME?</v>
      </c>
      <c r="D1974" s="100" t="e">
        <f t="shared" ca="1" si="342"/>
        <v>#NAME?</v>
      </c>
      <c r="E1974" s="100" t="e">
        <f t="shared" ca="1" si="342"/>
        <v>#NAME?</v>
      </c>
      <c r="F1974" s="100" t="e">
        <f t="shared" ca="1" si="336"/>
        <v>#NAME?</v>
      </c>
      <c r="G1974" s="100" t="e">
        <f t="shared" ca="1" si="337"/>
        <v>#NAME?</v>
      </c>
      <c r="H1974" s="100" t="e">
        <f t="shared" ca="1" si="338"/>
        <v>#NAME?</v>
      </c>
      <c r="I1974" s="100" t="e">
        <f t="shared" ca="1" si="339"/>
        <v>#NAME?</v>
      </c>
      <c r="J1974" s="100" t="e">
        <f ca="1">IFERROR(__xludf.DUMMYFUNCTION("""COMPUTED_VALUE"""),"0")</f>
        <v>#NAME?</v>
      </c>
      <c r="K1974" s="100" t="e">
        <f t="shared" ca="1" si="340"/>
        <v>#NAME?</v>
      </c>
      <c r="L1974" s="100"/>
      <c r="M1974" s="100"/>
      <c r="N1974" s="100"/>
      <c r="O1974" s="100"/>
      <c r="P1974" s="100"/>
      <c r="Q1974" s="100"/>
      <c r="R1974" s="100"/>
      <c r="S1974" s="100"/>
      <c r="T1974" s="100"/>
      <c r="U1974" s="100"/>
      <c r="V1974" s="100"/>
      <c r="W1974" s="100"/>
      <c r="X1974" s="100"/>
      <c r="Y1974" s="100"/>
      <c r="Z1974" s="100"/>
    </row>
    <row r="1975" spans="1:26">
      <c r="A1975" s="100" t="e">
        <f ca="1">IFERROR(__xludf.DUMMYFUNCTION("""COMPUTED_VALUE"""),58785310)</f>
        <v>#NAME?</v>
      </c>
      <c r="B1975" s="100" t="e">
        <f ca="1">IFERROR(__xludf.DUMMYFUNCTION("""COMPUTED_VALUE"""),"LUNAGBP")</f>
        <v>#NAME?</v>
      </c>
      <c r="C1975" s="100" t="e">
        <f ca="1">IFERROR(__xludf.DUMMYFUNCTION("""COMPUTED_VALUE"""),"0.00000000")</f>
        <v>#NAME?</v>
      </c>
      <c r="D1975" s="100" t="e">
        <f t="shared" ca="1" si="342"/>
        <v>#NAME?</v>
      </c>
      <c r="E1975" s="100" t="e">
        <f t="shared" ca="1" si="342"/>
        <v>#NAME?</v>
      </c>
      <c r="F1975" s="100" t="e">
        <f t="shared" ca="1" si="336"/>
        <v>#NAME?</v>
      </c>
      <c r="G1975" s="100" t="e">
        <f t="shared" ca="1" si="337"/>
        <v>#NAME?</v>
      </c>
      <c r="H1975" s="100" t="e">
        <f t="shared" ca="1" si="338"/>
        <v>#NAME?</v>
      </c>
      <c r="I1975" s="100" t="e">
        <f t="shared" ca="1" si="339"/>
        <v>#NAME?</v>
      </c>
      <c r="J1975" s="100" t="e">
        <f ca="1">IFERROR(__xludf.DUMMYFUNCTION("""COMPUTED_VALUE"""),"0")</f>
        <v>#NAME?</v>
      </c>
      <c r="K1975" s="100" t="e">
        <f t="shared" ca="1" si="340"/>
        <v>#NAME?</v>
      </c>
      <c r="L1975" s="100"/>
      <c r="M1975" s="100"/>
      <c r="N1975" s="100"/>
      <c r="O1975" s="100"/>
      <c r="P1975" s="100"/>
      <c r="Q1975" s="100"/>
      <c r="R1975" s="100"/>
      <c r="S1975" s="100"/>
      <c r="T1975" s="100"/>
      <c r="U1975" s="100"/>
      <c r="V1975" s="100"/>
      <c r="W1975" s="100"/>
      <c r="X1975" s="100"/>
      <c r="Y1975" s="100"/>
      <c r="Z1975" s="100"/>
    </row>
    <row r="1976" spans="1:26">
      <c r="A1976" s="100" t="e">
        <f ca="1">IFERROR(__xludf.DUMMYFUNCTION("""COMPUTED_VALUE"""),58785311)</f>
        <v>#NAME?</v>
      </c>
      <c r="B1976" s="100" t="e">
        <f ca="1">IFERROR(__xludf.DUMMYFUNCTION("""COMPUTED_VALUE"""),"NEAREUR")</f>
        <v>#NAME?</v>
      </c>
      <c r="C1976" s="100" t="e">
        <f ca="1">IFERROR(__xludf.DUMMYFUNCTION("""COMPUTED_VALUE"""),"1.90400000")</f>
        <v>#NAME?</v>
      </c>
      <c r="D1976" s="100" t="e">
        <f t="shared" ca="1" si="342"/>
        <v>#NAME?</v>
      </c>
      <c r="E1976" s="100" t="e">
        <f t="shared" ca="1" si="342"/>
        <v>#NAME?</v>
      </c>
      <c r="F1976" s="100" t="e">
        <f t="shared" ca="1" si="336"/>
        <v>#NAME?</v>
      </c>
      <c r="G1976" s="100" t="e">
        <f t="shared" ca="1" si="337"/>
        <v>#NAME?</v>
      </c>
      <c r="H1976" s="100" t="e">
        <f t="shared" ca="1" si="338"/>
        <v>#NAME?</v>
      </c>
      <c r="I1976" s="100" t="e">
        <f t="shared" ca="1" si="339"/>
        <v>#NAME?</v>
      </c>
      <c r="J1976" s="100" t="e">
        <f ca="1">IFERROR(__xludf.DUMMYFUNCTION("""COMPUTED_VALUE"""),"-4.848")</f>
        <v>#NAME?</v>
      </c>
      <c r="K1976" s="100" t="e">
        <f t="shared" ca="1" si="340"/>
        <v>#NAME?</v>
      </c>
      <c r="L1976" s="100"/>
      <c r="M1976" s="100"/>
      <c r="N1976" s="100"/>
      <c r="O1976" s="100"/>
      <c r="P1976" s="100"/>
      <c r="Q1976" s="100"/>
      <c r="R1976" s="100"/>
      <c r="S1976" s="100"/>
      <c r="T1976" s="100"/>
      <c r="U1976" s="100"/>
      <c r="V1976" s="100"/>
      <c r="W1976" s="100"/>
      <c r="X1976" s="100"/>
      <c r="Y1976" s="100"/>
      <c r="Z1976" s="100"/>
    </row>
    <row r="1977" spans="1:26">
      <c r="A1977" s="100" t="e">
        <f ca="1">IFERROR(__xludf.DUMMYFUNCTION("""COMPUTED_VALUE"""),58785312)</f>
        <v>#NAME?</v>
      </c>
      <c r="B1977" s="100" t="e">
        <f ca="1">IFERROR(__xludf.DUMMYFUNCTION("""COMPUTED_VALUE"""),"TWTTRY")</f>
        <v>#NAME?</v>
      </c>
      <c r="C1977" s="100" t="e">
        <f ca="1">IFERROR(__xludf.DUMMYFUNCTION("""COMPUTED_VALUE"""),"29.75000000")</f>
        <v>#NAME?</v>
      </c>
      <c r="D1977" s="100" t="e">
        <f t="shared" ca="1" si="342"/>
        <v>#NAME?</v>
      </c>
      <c r="E1977" s="100" t="e">
        <f t="shared" ca="1" si="342"/>
        <v>#NAME?</v>
      </c>
      <c r="F1977" s="100" t="e">
        <f t="shared" ca="1" si="336"/>
        <v>#NAME?</v>
      </c>
      <c r="G1977" s="100" t="e">
        <f t="shared" ca="1" si="337"/>
        <v>#NAME?</v>
      </c>
      <c r="H1977" s="100" t="e">
        <f t="shared" ca="1" si="338"/>
        <v>#NAME?</v>
      </c>
      <c r="I1977" s="100" t="e">
        <f t="shared" ca="1" si="339"/>
        <v>#NAME?</v>
      </c>
      <c r="J1977" s="100" t="e">
        <f ca="1">IFERROR(__xludf.DUMMYFUNCTION("""COMPUTED_VALUE"""),"-1.130")</f>
        <v>#NAME?</v>
      </c>
      <c r="K1977" s="100" t="e">
        <f t="shared" ca="1" si="340"/>
        <v>#NAME?</v>
      </c>
      <c r="L1977" s="100"/>
      <c r="M1977" s="100"/>
      <c r="N1977" s="100"/>
      <c r="O1977" s="100"/>
      <c r="P1977" s="100"/>
      <c r="Q1977" s="100"/>
      <c r="R1977" s="100"/>
      <c r="S1977" s="100"/>
      <c r="T1977" s="100"/>
      <c r="U1977" s="100"/>
      <c r="V1977" s="100"/>
      <c r="W1977" s="100"/>
      <c r="X1977" s="100"/>
      <c r="Y1977" s="100"/>
      <c r="Z1977" s="100"/>
    </row>
    <row r="1978" spans="1:26">
      <c r="A1978" s="100" t="e">
        <f ca="1">IFERROR(__xludf.DUMMYFUNCTION("""COMPUTED_VALUE"""),58785313)</f>
        <v>#NAME?</v>
      </c>
      <c r="B1978" s="100" t="e">
        <f ca="1">IFERROR(__xludf.DUMMYFUNCTION("""COMPUTED_VALUE"""),"WAVESEUR")</f>
        <v>#NAME?</v>
      </c>
      <c r="C1978" s="100" t="e">
        <f ca="1">IFERROR(__xludf.DUMMYFUNCTION("""COMPUTED_VALUE"""),"1.35400000")</f>
        <v>#NAME?</v>
      </c>
      <c r="D1978" s="100" t="e">
        <f t="shared" ca="1" si="342"/>
        <v>#NAME?</v>
      </c>
      <c r="E1978" s="100" t="e">
        <f t="shared" ca="1" si="342"/>
        <v>#NAME?</v>
      </c>
      <c r="F1978" s="100" t="e">
        <f t="shared" ca="1" si="336"/>
        <v>#NAME?</v>
      </c>
      <c r="G1978" s="100" t="e">
        <f t="shared" ca="1" si="337"/>
        <v>#NAME?</v>
      </c>
      <c r="H1978" s="100" t="e">
        <f t="shared" ca="1" si="338"/>
        <v>#NAME?</v>
      </c>
      <c r="I1978" s="100" t="e">
        <f t="shared" ca="1" si="339"/>
        <v>#NAME?</v>
      </c>
      <c r="J1978" s="100" t="e">
        <f ca="1">IFERROR(__xludf.DUMMYFUNCTION("""COMPUTED_VALUE"""),"0")</f>
        <v>#NAME?</v>
      </c>
      <c r="K1978" s="100" t="e">
        <f t="shared" ca="1" si="340"/>
        <v>#NAME?</v>
      </c>
      <c r="L1978" s="100"/>
      <c r="M1978" s="100"/>
      <c r="N1978" s="100"/>
      <c r="O1978" s="100"/>
      <c r="P1978" s="100"/>
      <c r="Q1978" s="100"/>
      <c r="R1978" s="100"/>
      <c r="S1978" s="100"/>
      <c r="T1978" s="100"/>
      <c r="U1978" s="100"/>
      <c r="V1978" s="100"/>
      <c r="W1978" s="100"/>
      <c r="X1978" s="100"/>
      <c r="Y1978" s="100"/>
      <c r="Z1978" s="100"/>
    </row>
    <row r="1979" spans="1:26">
      <c r="A1979" s="100" t="e">
        <f ca="1">IFERROR(__xludf.DUMMYFUNCTION("""COMPUTED_VALUE"""),58785314)</f>
        <v>#NAME?</v>
      </c>
      <c r="B1979" s="100" t="e">
        <f ca="1">IFERROR(__xludf.DUMMYFUNCTION("""COMPUTED_VALUE"""),"APEEUR")</f>
        <v>#NAME?</v>
      </c>
      <c r="C1979" s="100" t="e">
        <f ca="1">IFERROR(__xludf.DUMMYFUNCTION("""COMPUTED_VALUE"""),"1.50800000")</f>
        <v>#NAME?</v>
      </c>
      <c r="D1979" s="100" t="e">
        <f t="shared" ca="1" si="342"/>
        <v>#NAME?</v>
      </c>
      <c r="E1979" s="100" t="e">
        <f t="shared" ca="1" si="342"/>
        <v>#NAME?</v>
      </c>
      <c r="F1979" s="100" t="e">
        <f t="shared" ca="1" si="336"/>
        <v>#NAME?</v>
      </c>
      <c r="G1979" s="100" t="e">
        <f t="shared" ca="1" si="337"/>
        <v>#NAME?</v>
      </c>
      <c r="H1979" s="100" t="e">
        <f t="shared" ca="1" si="338"/>
        <v>#NAME?</v>
      </c>
      <c r="I1979" s="100" t="e">
        <f t="shared" ca="1" si="339"/>
        <v>#NAME?</v>
      </c>
      <c r="J1979" s="100" t="e">
        <f ca="1">IFERROR(__xludf.DUMMYFUNCTION("""COMPUTED_VALUE"""),"0")</f>
        <v>#NAME?</v>
      </c>
      <c r="K1979" s="100" t="e">
        <f t="shared" ca="1" si="340"/>
        <v>#NAME?</v>
      </c>
      <c r="L1979" s="100"/>
      <c r="M1979" s="100"/>
      <c r="N1979" s="100"/>
      <c r="O1979" s="100"/>
      <c r="P1979" s="100"/>
      <c r="Q1979" s="100"/>
      <c r="R1979" s="100"/>
      <c r="S1979" s="100"/>
      <c r="T1979" s="100"/>
      <c r="U1979" s="100"/>
      <c r="V1979" s="100"/>
      <c r="W1979" s="100"/>
      <c r="X1979" s="100"/>
      <c r="Y1979" s="100"/>
      <c r="Z1979" s="100"/>
    </row>
    <row r="1980" spans="1:26">
      <c r="A1980" s="100" t="e">
        <f ca="1">IFERROR(__xludf.DUMMYFUNCTION("""COMPUTED_VALUE"""),58785315)</f>
        <v>#NAME?</v>
      </c>
      <c r="B1980" s="100" t="e">
        <f ca="1">IFERROR(__xludf.DUMMYFUNCTION("""COMPUTED_VALUE"""),"APEGBP")</f>
        <v>#NAME?</v>
      </c>
      <c r="C1980" s="100" t="e">
        <f ca="1">IFERROR(__xludf.DUMMYFUNCTION("""COMPUTED_VALUE"""),"3.30500000")</f>
        <v>#NAME?</v>
      </c>
      <c r="D1980" s="100" t="e">
        <f t="shared" ca="1" si="342"/>
        <v>#NAME?</v>
      </c>
      <c r="E1980" s="100" t="e">
        <f t="shared" ca="1" si="342"/>
        <v>#NAME?</v>
      </c>
      <c r="F1980" s="100" t="e">
        <f t="shared" ca="1" si="336"/>
        <v>#NAME?</v>
      </c>
      <c r="G1980" s="100" t="e">
        <f t="shared" ca="1" si="337"/>
        <v>#NAME?</v>
      </c>
      <c r="H1980" s="100" t="e">
        <f t="shared" ca="1" si="338"/>
        <v>#NAME?</v>
      </c>
      <c r="I1980" s="100" t="e">
        <f t="shared" ca="1" si="339"/>
        <v>#NAME?</v>
      </c>
      <c r="J1980" s="100" t="e">
        <f ca="1">IFERROR(__xludf.DUMMYFUNCTION("""COMPUTED_VALUE"""),"0")</f>
        <v>#NAME?</v>
      </c>
      <c r="K1980" s="100" t="e">
        <f t="shared" ca="1" si="340"/>
        <v>#NAME?</v>
      </c>
      <c r="L1980" s="100"/>
      <c r="M1980" s="100"/>
      <c r="N1980" s="100"/>
      <c r="O1980" s="100"/>
      <c r="P1980" s="100"/>
      <c r="Q1980" s="100"/>
      <c r="R1980" s="100"/>
      <c r="S1980" s="100"/>
      <c r="T1980" s="100"/>
      <c r="U1980" s="100"/>
      <c r="V1980" s="100"/>
      <c r="W1980" s="100"/>
      <c r="X1980" s="100"/>
      <c r="Y1980" s="100"/>
      <c r="Z1980" s="100"/>
    </row>
    <row r="1981" spans="1:26">
      <c r="A1981" s="100" t="e">
        <f ca="1">IFERROR(__xludf.DUMMYFUNCTION("""COMPUTED_VALUE"""),58785316)</f>
        <v>#NAME?</v>
      </c>
      <c r="B1981" s="100" t="e">
        <f ca="1">IFERROR(__xludf.DUMMYFUNCTION("""COMPUTED_VALUE"""),"APETRY")</f>
        <v>#NAME?</v>
      </c>
      <c r="C1981" s="100" t="e">
        <f ca="1">IFERROR(__xludf.DUMMYFUNCTION("""COMPUTED_VALUE"""),"17.64000000")</f>
        <v>#NAME?</v>
      </c>
      <c r="D1981" s="100" t="e">
        <f t="shared" ca="1" si="342"/>
        <v>#NAME?</v>
      </c>
      <c r="E1981" s="100" t="e">
        <f t="shared" ca="1" si="342"/>
        <v>#NAME?</v>
      </c>
      <c r="F1981" s="100" t="e">
        <f t="shared" ca="1" si="336"/>
        <v>#NAME?</v>
      </c>
      <c r="G1981" s="100" t="e">
        <f t="shared" ca="1" si="337"/>
        <v>#NAME?</v>
      </c>
      <c r="H1981" s="100" t="e">
        <f t="shared" ca="1" si="338"/>
        <v>#NAME?</v>
      </c>
      <c r="I1981" s="100" t="e">
        <f t="shared" ca="1" si="339"/>
        <v>#NAME?</v>
      </c>
      <c r="J1981" s="100" t="e">
        <f ca="1">IFERROR(__xludf.DUMMYFUNCTION("""COMPUTED_VALUE"""),"-2.326")</f>
        <v>#NAME?</v>
      </c>
      <c r="K1981" s="100" t="e">
        <f t="shared" ca="1" si="340"/>
        <v>#NAME?</v>
      </c>
      <c r="L1981" s="100"/>
      <c r="M1981" s="100"/>
      <c r="N1981" s="100"/>
      <c r="O1981" s="100"/>
      <c r="P1981" s="100"/>
      <c r="Q1981" s="100"/>
      <c r="R1981" s="100"/>
      <c r="S1981" s="100"/>
      <c r="T1981" s="100"/>
      <c r="U1981" s="100"/>
      <c r="V1981" s="100"/>
      <c r="W1981" s="100"/>
      <c r="X1981" s="100"/>
      <c r="Y1981" s="100"/>
      <c r="Z1981" s="100"/>
    </row>
    <row r="1982" spans="1:26">
      <c r="A1982" s="100" t="e">
        <f ca="1">IFERROR(__xludf.DUMMYFUNCTION("""COMPUTED_VALUE"""),58785317)</f>
        <v>#NAME?</v>
      </c>
      <c r="B1982" s="100" t="e">
        <f ca="1">IFERROR(__xludf.DUMMYFUNCTION("""COMPUTED_VALUE"""),"BSWUSDT")</f>
        <v>#NAME?</v>
      </c>
      <c r="C1982" s="100" t="e">
        <f ca="1">IFERROR(__xludf.DUMMYFUNCTION("""COMPUTED_VALUE"""),"0.01790000")</f>
        <v>#NAME?</v>
      </c>
      <c r="D1982" s="100" t="e">
        <f t="shared" ref="D1982:E2001" ca="1" si="343">IFERROR(__xludf.DUMMYFUNCTION("""COMPUTED_VALUE"""),"-")</f>
        <v>#NAME?</v>
      </c>
      <c r="E1982" s="100" t="e">
        <f t="shared" ca="1" si="343"/>
        <v>#NAME?</v>
      </c>
      <c r="F1982" s="100" t="e">
        <f t="shared" ca="1" si="336"/>
        <v>#NAME?</v>
      </c>
      <c r="G1982" s="100" t="e">
        <f t="shared" ca="1" si="337"/>
        <v>#NAME?</v>
      </c>
      <c r="H1982" s="100" t="e">
        <f t="shared" ca="1" si="338"/>
        <v>#NAME?</v>
      </c>
      <c r="I1982" s="100" t="e">
        <f t="shared" ca="1" si="339"/>
        <v>#NAME?</v>
      </c>
      <c r="J1982" s="100" t="e">
        <f ca="1">IFERROR(__xludf.DUMMYFUNCTION("""COMPUTED_VALUE"""),"-17.890")</f>
        <v>#NAME?</v>
      </c>
      <c r="K1982" s="100" t="e">
        <f t="shared" ca="1" si="340"/>
        <v>#NAME?</v>
      </c>
      <c r="L1982" s="100"/>
      <c r="M1982" s="100"/>
      <c r="N1982" s="100"/>
      <c r="O1982" s="100"/>
      <c r="P1982" s="100"/>
      <c r="Q1982" s="100"/>
      <c r="R1982" s="100"/>
      <c r="S1982" s="100"/>
      <c r="T1982" s="100"/>
      <c r="U1982" s="100"/>
      <c r="V1982" s="100"/>
      <c r="W1982" s="100"/>
      <c r="X1982" s="100"/>
      <c r="Y1982" s="100"/>
      <c r="Z1982" s="100"/>
    </row>
    <row r="1983" spans="1:26">
      <c r="A1983" s="100" t="e">
        <f ca="1">IFERROR(__xludf.DUMMYFUNCTION("""COMPUTED_VALUE"""),58785318)</f>
        <v>#NAME?</v>
      </c>
      <c r="B1983" s="100" t="e">
        <f ca="1">IFERROR(__xludf.DUMMYFUNCTION("""COMPUTED_VALUE"""),"BSWBUSD")</f>
        <v>#NAME?</v>
      </c>
      <c r="C1983" s="100" t="e">
        <f ca="1">IFERROR(__xludf.DUMMYFUNCTION("""COMPUTED_VALUE"""),"0.06700000")</f>
        <v>#NAME?</v>
      </c>
      <c r="D1983" s="100" t="e">
        <f t="shared" ca="1" si="343"/>
        <v>#NAME?</v>
      </c>
      <c r="E1983" s="100" t="e">
        <f t="shared" ca="1" si="343"/>
        <v>#NAME?</v>
      </c>
      <c r="F1983" s="100" t="e">
        <f t="shared" ca="1" si="336"/>
        <v>#NAME?</v>
      </c>
      <c r="G1983" s="100" t="e">
        <f t="shared" ca="1" si="337"/>
        <v>#NAME?</v>
      </c>
      <c r="H1983" s="100" t="e">
        <f t="shared" ca="1" si="338"/>
        <v>#NAME?</v>
      </c>
      <c r="I1983" s="100" t="e">
        <f t="shared" ca="1" si="339"/>
        <v>#NAME?</v>
      </c>
      <c r="J1983" s="100" t="e">
        <f ca="1">IFERROR(__xludf.DUMMYFUNCTION("""COMPUTED_VALUE"""),"0")</f>
        <v>#NAME?</v>
      </c>
      <c r="K1983" s="100" t="e">
        <f t="shared" ca="1" si="340"/>
        <v>#NAME?</v>
      </c>
      <c r="L1983" s="100"/>
      <c r="M1983" s="100"/>
      <c r="N1983" s="100"/>
      <c r="O1983" s="100"/>
      <c r="P1983" s="100"/>
      <c r="Q1983" s="100"/>
      <c r="R1983" s="100"/>
      <c r="S1983" s="100"/>
      <c r="T1983" s="100"/>
      <c r="U1983" s="100"/>
      <c r="V1983" s="100"/>
      <c r="W1983" s="100"/>
      <c r="X1983" s="100"/>
      <c r="Y1983" s="100"/>
      <c r="Z1983" s="100"/>
    </row>
    <row r="1984" spans="1:26">
      <c r="A1984" s="100" t="e">
        <f ca="1">IFERROR(__xludf.DUMMYFUNCTION("""COMPUTED_VALUE"""),58785319)</f>
        <v>#NAME?</v>
      </c>
      <c r="B1984" s="100" t="e">
        <f ca="1">IFERROR(__xludf.DUMMYFUNCTION("""COMPUTED_VALUE"""),"BSWBNB")</f>
        <v>#NAME?</v>
      </c>
      <c r="C1984" s="100" t="e">
        <f ca="1">IFERROR(__xludf.DUMMYFUNCTION("""COMPUTED_VALUE"""),"0.00029870")</f>
        <v>#NAME?</v>
      </c>
      <c r="D1984" s="100" t="e">
        <f t="shared" ca="1" si="343"/>
        <v>#NAME?</v>
      </c>
      <c r="E1984" s="100" t="e">
        <f t="shared" ca="1" si="343"/>
        <v>#NAME?</v>
      </c>
      <c r="F1984" s="100" t="e">
        <f t="shared" ca="1" si="336"/>
        <v>#NAME?</v>
      </c>
      <c r="G1984" s="100" t="e">
        <f t="shared" ca="1" si="337"/>
        <v>#NAME?</v>
      </c>
      <c r="H1984" s="100" t="e">
        <f t="shared" ca="1" si="338"/>
        <v>#NAME?</v>
      </c>
      <c r="I1984" s="100" t="e">
        <f t="shared" ca="1" si="339"/>
        <v>#NAME?</v>
      </c>
      <c r="J1984" s="100" t="e">
        <f ca="1">IFERROR(__xludf.DUMMYFUNCTION("""COMPUTED_VALUE"""),"0")</f>
        <v>#NAME?</v>
      </c>
      <c r="K1984" s="100" t="e">
        <f t="shared" ca="1" si="340"/>
        <v>#NAME?</v>
      </c>
      <c r="L1984" s="100"/>
      <c r="M1984" s="100"/>
      <c r="N1984" s="100"/>
      <c r="O1984" s="100"/>
      <c r="P1984" s="100"/>
      <c r="Q1984" s="100"/>
      <c r="R1984" s="100"/>
      <c r="S1984" s="100"/>
      <c r="T1984" s="100"/>
      <c r="U1984" s="100"/>
      <c r="V1984" s="100"/>
      <c r="W1984" s="100"/>
      <c r="X1984" s="100"/>
      <c r="Y1984" s="100"/>
      <c r="Z1984" s="100"/>
    </row>
    <row r="1985" spans="1:26">
      <c r="A1985" s="100" t="e">
        <f ca="1">IFERROR(__xludf.DUMMYFUNCTION("""COMPUTED_VALUE"""),58785320)</f>
        <v>#NAME?</v>
      </c>
      <c r="B1985" s="100" t="e">
        <f ca="1">IFERROR(__xludf.DUMMYFUNCTION("""COMPUTED_VALUE"""),"APEBNB")</f>
        <v>#NAME?</v>
      </c>
      <c r="C1985" s="100" t="e">
        <f ca="1">IFERROR(__xludf.DUMMYFUNCTION("""COMPUTED_VALUE"""),"0.00527700")</f>
        <v>#NAME?</v>
      </c>
      <c r="D1985" s="100" t="e">
        <f t="shared" ca="1" si="343"/>
        <v>#NAME?</v>
      </c>
      <c r="E1985" s="100" t="e">
        <f t="shared" ca="1" si="343"/>
        <v>#NAME?</v>
      </c>
      <c r="F1985" s="100" t="e">
        <f t="shared" ca="1" si="336"/>
        <v>#NAME?</v>
      </c>
      <c r="G1985" s="100" t="e">
        <f t="shared" ca="1" si="337"/>
        <v>#NAME?</v>
      </c>
      <c r="H1985" s="100" t="e">
        <f t="shared" ca="1" si="338"/>
        <v>#NAME?</v>
      </c>
      <c r="I1985" s="100" t="e">
        <f t="shared" ca="1" si="339"/>
        <v>#NAME?</v>
      </c>
      <c r="J1985" s="100" t="e">
        <f ca="1">IFERROR(__xludf.DUMMYFUNCTION("""COMPUTED_VALUE"""),"0")</f>
        <v>#NAME?</v>
      </c>
      <c r="K1985" s="100" t="e">
        <f t="shared" ca="1" si="340"/>
        <v>#NAME?</v>
      </c>
      <c r="L1985" s="100"/>
      <c r="M1985" s="100"/>
      <c r="N1985" s="100"/>
      <c r="O1985" s="100"/>
      <c r="P1985" s="100"/>
      <c r="Q1985" s="100"/>
      <c r="R1985" s="100"/>
      <c r="S1985" s="100"/>
      <c r="T1985" s="100"/>
      <c r="U1985" s="100"/>
      <c r="V1985" s="100"/>
      <c r="W1985" s="100"/>
      <c r="X1985" s="100"/>
      <c r="Y1985" s="100"/>
      <c r="Z1985" s="100"/>
    </row>
    <row r="1986" spans="1:26">
      <c r="A1986" s="100" t="e">
        <f ca="1">IFERROR(__xludf.DUMMYFUNCTION("""COMPUTED_VALUE"""),58785321)</f>
        <v>#NAME?</v>
      </c>
      <c r="B1986" s="100" t="e">
        <f ca="1">IFERROR(__xludf.DUMMYFUNCTION("""COMPUTED_VALUE"""),"GMTBRL")</f>
        <v>#NAME?</v>
      </c>
      <c r="C1986" s="100" t="e">
        <f ca="1">IFERROR(__xludf.DUMMYFUNCTION("""COMPUTED_VALUE"""),"1.32500000")</f>
        <v>#NAME?</v>
      </c>
      <c r="D1986" s="100" t="e">
        <f t="shared" ca="1" si="343"/>
        <v>#NAME?</v>
      </c>
      <c r="E1986" s="100" t="e">
        <f t="shared" ca="1" si="343"/>
        <v>#NAME?</v>
      </c>
      <c r="F1986" s="100" t="e">
        <f t="shared" ref="F1986:F2049" ca="1" si="344">IFERROR(__xludf.DUMMYFUNCTION("""COMPUTED_VALUE"""),20200)</f>
        <v>#NAME?</v>
      </c>
      <c r="G1986" s="100" t="e">
        <f t="shared" ref="G1986:G2049" ca="1" si="345">IFERROR(__xludf.DUMMYFUNCTION("""COMPUTED_VALUE"""),2885)</f>
        <v>#NAME?</v>
      </c>
      <c r="H1986" s="100" t="e">
        <f t="shared" ref="H1986:H2049" ca="1" si="346">IFERROR(__xludf.DUMMYFUNCTION("""COMPUTED_VALUE"""),663)</f>
        <v>#NAME?</v>
      </c>
      <c r="I1986" s="100" t="e">
        <f t="shared" ref="I1986:I2049" ca="1" si="347">IFERROR(__xludf.DUMMYFUNCTION("""COMPUTED_VALUE"""),5817721)</f>
        <v>#NAME?</v>
      </c>
      <c r="J1986" s="100" t="e">
        <f ca="1">IFERROR(__xludf.DUMMYFUNCTION("""COMPUTED_VALUE"""),"0")</f>
        <v>#NAME?</v>
      </c>
      <c r="K1986" s="100" t="e">
        <f t="shared" ref="K1986:K2049" ca="1" si="348">IFERROR(__xludf.DUMMYFUNCTION("""COMPUTED_VALUE"""),"22.04.2025 13:05:01")</f>
        <v>#NAME?</v>
      </c>
      <c r="L1986" s="100"/>
      <c r="M1986" s="100"/>
      <c r="N1986" s="100"/>
      <c r="O1986" s="100"/>
      <c r="P1986" s="100"/>
      <c r="Q1986" s="100"/>
      <c r="R1986" s="100"/>
      <c r="S1986" s="100"/>
      <c r="T1986" s="100"/>
      <c r="U1986" s="100"/>
      <c r="V1986" s="100"/>
      <c r="W1986" s="100"/>
      <c r="X1986" s="100"/>
      <c r="Y1986" s="100"/>
      <c r="Z1986" s="100"/>
    </row>
    <row r="1987" spans="1:26">
      <c r="A1987" s="100" t="e">
        <f ca="1">IFERROR(__xludf.DUMMYFUNCTION("""COMPUTED_VALUE"""),58785322)</f>
        <v>#NAME?</v>
      </c>
      <c r="B1987" s="100" t="e">
        <f ca="1">IFERROR(__xludf.DUMMYFUNCTION("""COMPUTED_VALUE"""),"GMTETH")</f>
        <v>#NAME?</v>
      </c>
      <c r="C1987" s="100" t="e">
        <f ca="1">IFERROR(__xludf.DUMMYFUNCTION("""COMPUTED_VALUE"""),"0.00010150")</f>
        <v>#NAME?</v>
      </c>
      <c r="D1987" s="100" t="e">
        <f t="shared" ca="1" si="343"/>
        <v>#NAME?</v>
      </c>
      <c r="E1987" s="100" t="e">
        <f t="shared" ca="1" si="343"/>
        <v>#NAME?</v>
      </c>
      <c r="F1987" s="100" t="e">
        <f t="shared" ca="1" si="344"/>
        <v>#NAME?</v>
      </c>
      <c r="G1987" s="100" t="e">
        <f t="shared" ca="1" si="345"/>
        <v>#NAME?</v>
      </c>
      <c r="H1987" s="100" t="e">
        <f t="shared" ca="1" si="346"/>
        <v>#NAME?</v>
      </c>
      <c r="I1987" s="100" t="e">
        <f t="shared" ca="1" si="347"/>
        <v>#NAME?</v>
      </c>
      <c r="J1987" s="100" t="e">
        <f ca="1">IFERROR(__xludf.DUMMYFUNCTION("""COMPUTED_VALUE"""),"0")</f>
        <v>#NAME?</v>
      </c>
      <c r="K1987" s="100" t="e">
        <f t="shared" ca="1" si="348"/>
        <v>#NAME?</v>
      </c>
      <c r="L1987" s="100"/>
      <c r="M1987" s="100"/>
      <c r="N1987" s="100"/>
      <c r="O1987" s="100"/>
      <c r="P1987" s="100"/>
      <c r="Q1987" s="100"/>
      <c r="R1987" s="100"/>
      <c r="S1987" s="100"/>
      <c r="T1987" s="100"/>
      <c r="U1987" s="100"/>
      <c r="V1987" s="100"/>
      <c r="W1987" s="100"/>
      <c r="X1987" s="100"/>
      <c r="Y1987" s="100"/>
      <c r="Z1987" s="100"/>
    </row>
    <row r="1988" spans="1:26">
      <c r="A1988" s="100" t="e">
        <f ca="1">IFERROR(__xludf.DUMMYFUNCTION("""COMPUTED_VALUE"""),58785323)</f>
        <v>#NAME?</v>
      </c>
      <c r="B1988" s="100" t="e">
        <f ca="1">IFERROR(__xludf.DUMMYFUNCTION("""COMPUTED_VALUE"""),"JASMYTRY")</f>
        <v>#NAME?</v>
      </c>
      <c r="C1988" s="100" t="e">
        <f ca="1">IFERROR(__xludf.DUMMYFUNCTION("""COMPUTED_VALUE"""),"0.54300000")</f>
        <v>#NAME?</v>
      </c>
      <c r="D1988" s="100" t="e">
        <f t="shared" ca="1" si="343"/>
        <v>#NAME?</v>
      </c>
      <c r="E1988" s="100" t="e">
        <f t="shared" ca="1" si="343"/>
        <v>#NAME?</v>
      </c>
      <c r="F1988" s="100" t="e">
        <f t="shared" ca="1" si="344"/>
        <v>#NAME?</v>
      </c>
      <c r="G1988" s="100" t="e">
        <f t="shared" ca="1" si="345"/>
        <v>#NAME?</v>
      </c>
      <c r="H1988" s="100" t="e">
        <f t="shared" ca="1" si="346"/>
        <v>#NAME?</v>
      </c>
      <c r="I1988" s="100" t="e">
        <f t="shared" ca="1" si="347"/>
        <v>#NAME?</v>
      </c>
      <c r="J1988" s="100" t="e">
        <f ca="1">IFERROR(__xludf.DUMMYFUNCTION("""COMPUTED_VALUE"""),"-4.569")</f>
        <v>#NAME?</v>
      </c>
      <c r="K1988" s="100" t="e">
        <f t="shared" ca="1" si="348"/>
        <v>#NAME?</v>
      </c>
      <c r="L1988" s="100"/>
      <c r="M1988" s="100"/>
      <c r="N1988" s="100"/>
      <c r="O1988" s="100"/>
      <c r="P1988" s="100"/>
      <c r="Q1988" s="100"/>
      <c r="R1988" s="100"/>
      <c r="S1988" s="100"/>
      <c r="T1988" s="100"/>
      <c r="U1988" s="100"/>
      <c r="V1988" s="100"/>
      <c r="W1988" s="100"/>
      <c r="X1988" s="100"/>
      <c r="Y1988" s="100"/>
      <c r="Z1988" s="100"/>
    </row>
    <row r="1989" spans="1:26">
      <c r="A1989" s="100" t="e">
        <f ca="1">IFERROR(__xludf.DUMMYFUNCTION("""COMPUTED_VALUE"""),58785324)</f>
        <v>#NAME?</v>
      </c>
      <c r="B1989" s="100" t="e">
        <f ca="1">IFERROR(__xludf.DUMMYFUNCTION("""COMPUTED_VALUE"""),"SANTOSBUSD")</f>
        <v>#NAME?</v>
      </c>
      <c r="C1989" s="100" t="e">
        <f ca="1">IFERROR(__xludf.DUMMYFUNCTION("""COMPUTED_VALUE"""),"2.91700000")</f>
        <v>#NAME?</v>
      </c>
      <c r="D1989" s="100" t="e">
        <f t="shared" ca="1" si="343"/>
        <v>#NAME?</v>
      </c>
      <c r="E1989" s="100" t="e">
        <f t="shared" ca="1" si="343"/>
        <v>#NAME?</v>
      </c>
      <c r="F1989" s="100" t="e">
        <f t="shared" ca="1" si="344"/>
        <v>#NAME?</v>
      </c>
      <c r="G1989" s="100" t="e">
        <f t="shared" ca="1" si="345"/>
        <v>#NAME?</v>
      </c>
      <c r="H1989" s="100" t="e">
        <f t="shared" ca="1" si="346"/>
        <v>#NAME?</v>
      </c>
      <c r="I1989" s="100" t="e">
        <f t="shared" ca="1" si="347"/>
        <v>#NAME?</v>
      </c>
      <c r="J1989" s="100" t="e">
        <f ca="1">IFERROR(__xludf.DUMMYFUNCTION("""COMPUTED_VALUE"""),"0")</f>
        <v>#NAME?</v>
      </c>
      <c r="K1989" s="100" t="e">
        <f t="shared" ca="1" si="348"/>
        <v>#NAME?</v>
      </c>
      <c r="L1989" s="100"/>
      <c r="M1989" s="100"/>
      <c r="N1989" s="100"/>
      <c r="O1989" s="100"/>
      <c r="P1989" s="100"/>
      <c r="Q1989" s="100"/>
      <c r="R1989" s="100"/>
      <c r="S1989" s="100"/>
      <c r="T1989" s="100"/>
      <c r="U1989" s="100"/>
      <c r="V1989" s="100"/>
      <c r="W1989" s="100"/>
      <c r="X1989" s="100"/>
      <c r="Y1989" s="100"/>
      <c r="Z1989" s="100"/>
    </row>
    <row r="1990" spans="1:26">
      <c r="A1990" s="100" t="e">
        <f ca="1">IFERROR(__xludf.DUMMYFUNCTION("""COMPUTED_VALUE"""),58785325)</f>
        <v>#NAME?</v>
      </c>
      <c r="B1990" s="100" t="e">
        <f ca="1">IFERROR(__xludf.DUMMYFUNCTION("""COMPUTED_VALUE"""),"APEAUD")</f>
        <v>#NAME?</v>
      </c>
      <c r="C1990" s="100" t="e">
        <f ca="1">IFERROR(__xludf.DUMMYFUNCTION("""COMPUTED_VALUE"""),"4.07200000")</f>
        <v>#NAME?</v>
      </c>
      <c r="D1990" s="100" t="e">
        <f t="shared" ca="1" si="343"/>
        <v>#NAME?</v>
      </c>
      <c r="E1990" s="100" t="e">
        <f t="shared" ca="1" si="343"/>
        <v>#NAME?</v>
      </c>
      <c r="F1990" s="100" t="e">
        <f t="shared" ca="1" si="344"/>
        <v>#NAME?</v>
      </c>
      <c r="G1990" s="100" t="e">
        <f t="shared" ca="1" si="345"/>
        <v>#NAME?</v>
      </c>
      <c r="H1990" s="100" t="e">
        <f t="shared" ca="1" si="346"/>
        <v>#NAME?</v>
      </c>
      <c r="I1990" s="100" t="e">
        <f t="shared" ca="1" si="347"/>
        <v>#NAME?</v>
      </c>
      <c r="J1990" s="100" t="e">
        <f ca="1">IFERROR(__xludf.DUMMYFUNCTION("""COMPUTED_VALUE"""),"0")</f>
        <v>#NAME?</v>
      </c>
      <c r="K1990" s="100" t="e">
        <f t="shared" ca="1" si="348"/>
        <v>#NAME?</v>
      </c>
      <c r="L1990" s="100"/>
      <c r="M1990" s="100"/>
      <c r="N1990" s="100"/>
      <c r="O1990" s="100"/>
      <c r="P1990" s="100"/>
      <c r="Q1990" s="100"/>
      <c r="R1990" s="100"/>
      <c r="S1990" s="100"/>
      <c r="T1990" s="100"/>
      <c r="U1990" s="100"/>
      <c r="V1990" s="100"/>
      <c r="W1990" s="100"/>
      <c r="X1990" s="100"/>
      <c r="Y1990" s="100"/>
      <c r="Z1990" s="100"/>
    </row>
    <row r="1991" spans="1:26">
      <c r="A1991" s="100" t="e">
        <f ca="1">IFERROR(__xludf.DUMMYFUNCTION("""COMPUTED_VALUE"""),58785326)</f>
        <v>#NAME?</v>
      </c>
      <c r="B1991" s="100" t="e">
        <f ca="1">IFERROR(__xludf.DUMMYFUNCTION("""COMPUTED_VALUE"""),"BIFIUSDT")</f>
        <v>#NAME?</v>
      </c>
      <c r="C1991" s="100" t="e">
        <f ca="1">IFERROR(__xludf.DUMMYFUNCTION("""COMPUTED_VALUE"""),"161.80000000")</f>
        <v>#NAME?</v>
      </c>
      <c r="D1991" s="100" t="e">
        <f t="shared" ca="1" si="343"/>
        <v>#NAME?</v>
      </c>
      <c r="E1991" s="100" t="e">
        <f t="shared" ca="1" si="343"/>
        <v>#NAME?</v>
      </c>
      <c r="F1991" s="100" t="e">
        <f t="shared" ca="1" si="344"/>
        <v>#NAME?</v>
      </c>
      <c r="G1991" s="100" t="e">
        <f t="shared" ca="1" si="345"/>
        <v>#NAME?</v>
      </c>
      <c r="H1991" s="100" t="e">
        <f t="shared" ca="1" si="346"/>
        <v>#NAME?</v>
      </c>
      <c r="I1991" s="100" t="e">
        <f t="shared" ca="1" si="347"/>
        <v>#NAME?</v>
      </c>
      <c r="J1991" s="100" t="e">
        <f ca="1">IFERROR(__xludf.DUMMYFUNCTION("""COMPUTED_VALUE"""),"0.559")</f>
        <v>#NAME?</v>
      </c>
      <c r="K1991" s="100" t="e">
        <f t="shared" ca="1" si="348"/>
        <v>#NAME?</v>
      </c>
      <c r="L1991" s="100"/>
      <c r="M1991" s="100"/>
      <c r="N1991" s="100"/>
      <c r="O1991" s="100"/>
      <c r="P1991" s="100"/>
      <c r="Q1991" s="100"/>
      <c r="R1991" s="100"/>
      <c r="S1991" s="100"/>
      <c r="T1991" s="100"/>
      <c r="U1991" s="100"/>
      <c r="V1991" s="100"/>
      <c r="W1991" s="100"/>
      <c r="X1991" s="100"/>
      <c r="Y1991" s="100"/>
      <c r="Z1991" s="100"/>
    </row>
    <row r="1992" spans="1:26">
      <c r="A1992" s="100" t="e">
        <f ca="1">IFERROR(__xludf.DUMMYFUNCTION("""COMPUTED_VALUE"""),58785327)</f>
        <v>#NAME?</v>
      </c>
      <c r="B1992" s="100" t="e">
        <f ca="1">IFERROR(__xludf.DUMMYFUNCTION("""COMPUTED_VALUE"""),"GMTEUR")</f>
        <v>#NAME?</v>
      </c>
      <c r="C1992" s="100" t="e">
        <f ca="1">IFERROR(__xludf.DUMMYFUNCTION("""COMPUTED_VALUE"""),"0.05230000")</f>
        <v>#NAME?</v>
      </c>
      <c r="D1992" s="100" t="e">
        <f t="shared" ca="1" si="343"/>
        <v>#NAME?</v>
      </c>
      <c r="E1992" s="100" t="e">
        <f t="shared" ca="1" si="343"/>
        <v>#NAME?</v>
      </c>
      <c r="F1992" s="100" t="e">
        <f t="shared" ca="1" si="344"/>
        <v>#NAME?</v>
      </c>
      <c r="G1992" s="100" t="e">
        <f t="shared" ca="1" si="345"/>
        <v>#NAME?</v>
      </c>
      <c r="H1992" s="100" t="e">
        <f t="shared" ca="1" si="346"/>
        <v>#NAME?</v>
      </c>
      <c r="I1992" s="100" t="e">
        <f t="shared" ca="1" si="347"/>
        <v>#NAME?</v>
      </c>
      <c r="J1992" s="100" t="e">
        <f ca="1">IFERROR(__xludf.DUMMYFUNCTION("""COMPUTED_VALUE"""),"8.732")</f>
        <v>#NAME?</v>
      </c>
      <c r="K1992" s="100" t="e">
        <f t="shared" ca="1" si="348"/>
        <v>#NAME?</v>
      </c>
      <c r="L1992" s="100"/>
      <c r="M1992" s="100"/>
      <c r="N1992" s="100"/>
      <c r="O1992" s="100"/>
      <c r="P1992" s="100"/>
      <c r="Q1992" s="100"/>
      <c r="R1992" s="100"/>
      <c r="S1992" s="100"/>
      <c r="T1992" s="100"/>
      <c r="U1992" s="100"/>
      <c r="V1992" s="100"/>
      <c r="W1992" s="100"/>
      <c r="X1992" s="100"/>
      <c r="Y1992" s="100"/>
      <c r="Z1992" s="100"/>
    </row>
    <row r="1993" spans="1:26">
      <c r="A1993" s="100" t="e">
        <f ca="1">IFERROR(__xludf.DUMMYFUNCTION("""COMPUTED_VALUE"""),58785328)</f>
        <v>#NAME?</v>
      </c>
      <c r="B1993" s="100" t="e">
        <f ca="1">IFERROR(__xludf.DUMMYFUNCTION("""COMPUTED_VALUE"""),"IMXBNB")</f>
        <v>#NAME?</v>
      </c>
      <c r="C1993" s="100" t="e">
        <f ca="1">IFERROR(__xludf.DUMMYFUNCTION("""COMPUTED_VALUE"""),"0.00236200")</f>
        <v>#NAME?</v>
      </c>
      <c r="D1993" s="100" t="e">
        <f t="shared" ca="1" si="343"/>
        <v>#NAME?</v>
      </c>
      <c r="E1993" s="100" t="e">
        <f t="shared" ca="1" si="343"/>
        <v>#NAME?</v>
      </c>
      <c r="F1993" s="100" t="e">
        <f t="shared" ca="1" si="344"/>
        <v>#NAME?</v>
      </c>
      <c r="G1993" s="100" t="e">
        <f t="shared" ca="1" si="345"/>
        <v>#NAME?</v>
      </c>
      <c r="H1993" s="100" t="e">
        <f t="shared" ca="1" si="346"/>
        <v>#NAME?</v>
      </c>
      <c r="I1993" s="100" t="e">
        <f t="shared" ca="1" si="347"/>
        <v>#NAME?</v>
      </c>
      <c r="J1993" s="100" t="e">
        <f ca="1">IFERROR(__xludf.DUMMYFUNCTION("""COMPUTED_VALUE"""),"0")</f>
        <v>#NAME?</v>
      </c>
      <c r="K1993" s="100" t="e">
        <f t="shared" ca="1" si="348"/>
        <v>#NAME?</v>
      </c>
      <c r="L1993" s="100"/>
      <c r="M1993" s="100"/>
      <c r="N1993" s="100"/>
      <c r="O1993" s="100"/>
      <c r="P1993" s="100"/>
      <c r="Q1993" s="100"/>
      <c r="R1993" s="100"/>
      <c r="S1993" s="100"/>
      <c r="T1993" s="100"/>
      <c r="U1993" s="100"/>
      <c r="V1993" s="100"/>
      <c r="W1993" s="100"/>
      <c r="X1993" s="100"/>
      <c r="Y1993" s="100"/>
      <c r="Z1993" s="100"/>
    </row>
    <row r="1994" spans="1:26">
      <c r="A1994" s="100" t="e">
        <f ca="1">IFERROR(__xludf.DUMMYFUNCTION("""COMPUTED_VALUE"""),58785329)</f>
        <v>#NAME?</v>
      </c>
      <c r="B1994" s="100" t="e">
        <f ca="1">IFERROR(__xludf.DUMMYFUNCTION("""COMPUTED_VALUE"""),"RUNEETH")</f>
        <v>#NAME?</v>
      </c>
      <c r="C1994" s="100" t="e">
        <f ca="1">IFERROR(__xludf.DUMMYFUNCTION("""COMPUTED_VALUE"""),"0.00076650")</f>
        <v>#NAME?</v>
      </c>
      <c r="D1994" s="100" t="e">
        <f t="shared" ca="1" si="343"/>
        <v>#NAME?</v>
      </c>
      <c r="E1994" s="100" t="e">
        <f t="shared" ca="1" si="343"/>
        <v>#NAME?</v>
      </c>
      <c r="F1994" s="100" t="e">
        <f t="shared" ca="1" si="344"/>
        <v>#NAME?</v>
      </c>
      <c r="G1994" s="100" t="e">
        <f t="shared" ca="1" si="345"/>
        <v>#NAME?</v>
      </c>
      <c r="H1994" s="100" t="e">
        <f t="shared" ca="1" si="346"/>
        <v>#NAME?</v>
      </c>
      <c r="I1994" s="100" t="e">
        <f t="shared" ca="1" si="347"/>
        <v>#NAME?</v>
      </c>
      <c r="J1994" s="100" t="e">
        <f ca="1">IFERROR(__xludf.DUMMYFUNCTION("""COMPUTED_VALUE"""),"0.869")</f>
        <v>#NAME?</v>
      </c>
      <c r="K1994" s="100" t="e">
        <f t="shared" ca="1" si="348"/>
        <v>#NAME?</v>
      </c>
      <c r="L1994" s="100"/>
      <c r="M1994" s="100"/>
      <c r="N1994" s="100"/>
      <c r="O1994" s="100"/>
      <c r="P1994" s="100"/>
      <c r="Q1994" s="100"/>
      <c r="R1994" s="100"/>
      <c r="S1994" s="100"/>
      <c r="T1994" s="100"/>
      <c r="U1994" s="100"/>
      <c r="V1994" s="100"/>
      <c r="W1994" s="100"/>
      <c r="X1994" s="100"/>
      <c r="Y1994" s="100"/>
      <c r="Z1994" s="100"/>
    </row>
    <row r="1995" spans="1:26">
      <c r="A1995" s="100" t="e">
        <f ca="1">IFERROR(__xludf.DUMMYFUNCTION("""COMPUTED_VALUE"""),58785330)</f>
        <v>#NAME?</v>
      </c>
      <c r="B1995" s="100" t="e">
        <f ca="1">IFERROR(__xludf.DUMMYFUNCTION("""COMPUTED_VALUE"""),"AVAXGBP")</f>
        <v>#NAME?</v>
      </c>
      <c r="C1995" s="100" t="e">
        <f ca="1">IFERROR(__xludf.DUMMYFUNCTION("""COMPUTED_VALUE"""),"14.18000000")</f>
        <v>#NAME?</v>
      </c>
      <c r="D1995" s="100" t="e">
        <f t="shared" ca="1" si="343"/>
        <v>#NAME?</v>
      </c>
      <c r="E1995" s="100" t="e">
        <f t="shared" ca="1" si="343"/>
        <v>#NAME?</v>
      </c>
      <c r="F1995" s="100" t="e">
        <f t="shared" ca="1" si="344"/>
        <v>#NAME?</v>
      </c>
      <c r="G1995" s="100" t="e">
        <f t="shared" ca="1" si="345"/>
        <v>#NAME?</v>
      </c>
      <c r="H1995" s="100" t="e">
        <f t="shared" ca="1" si="346"/>
        <v>#NAME?</v>
      </c>
      <c r="I1995" s="100" t="e">
        <f t="shared" ca="1" si="347"/>
        <v>#NAME?</v>
      </c>
      <c r="J1995" s="100" t="e">
        <f t="shared" ref="J1995:J2000" ca="1" si="349">IFERROR(__xludf.DUMMYFUNCTION("""COMPUTED_VALUE"""),"0")</f>
        <v>#NAME?</v>
      </c>
      <c r="K1995" s="100" t="e">
        <f t="shared" ca="1" si="348"/>
        <v>#NAME?</v>
      </c>
      <c r="L1995" s="100"/>
      <c r="M1995" s="100"/>
      <c r="N1995" s="100"/>
      <c r="O1995" s="100"/>
      <c r="P1995" s="100"/>
      <c r="Q1995" s="100"/>
      <c r="R1995" s="100"/>
      <c r="S1995" s="100"/>
      <c r="T1995" s="100"/>
      <c r="U1995" s="100"/>
      <c r="V1995" s="100"/>
      <c r="W1995" s="100"/>
      <c r="X1995" s="100"/>
      <c r="Y1995" s="100"/>
      <c r="Z1995" s="100"/>
    </row>
    <row r="1996" spans="1:26">
      <c r="A1996" s="100" t="e">
        <f ca="1">IFERROR(__xludf.DUMMYFUNCTION("""COMPUTED_VALUE"""),58785331)</f>
        <v>#NAME?</v>
      </c>
      <c r="B1996" s="100" t="e">
        <f ca="1">IFERROR(__xludf.DUMMYFUNCTION("""COMPUTED_VALUE"""),"MULTIBTC")</f>
        <v>#NAME?</v>
      </c>
      <c r="C1996" s="100" t="e">
        <f ca="1">IFERROR(__xludf.DUMMYFUNCTION("""COMPUTED_VALUE"""),"0.00003673")</f>
        <v>#NAME?</v>
      </c>
      <c r="D1996" s="100" t="e">
        <f t="shared" ca="1" si="343"/>
        <v>#NAME?</v>
      </c>
      <c r="E1996" s="100" t="e">
        <f t="shared" ca="1" si="343"/>
        <v>#NAME?</v>
      </c>
      <c r="F1996" s="100" t="e">
        <f t="shared" ca="1" si="344"/>
        <v>#NAME?</v>
      </c>
      <c r="G1996" s="100" t="e">
        <f t="shared" ca="1" si="345"/>
        <v>#NAME?</v>
      </c>
      <c r="H1996" s="100" t="e">
        <f t="shared" ca="1" si="346"/>
        <v>#NAME?</v>
      </c>
      <c r="I1996" s="100" t="e">
        <f t="shared" ca="1" si="347"/>
        <v>#NAME?</v>
      </c>
      <c r="J1996" s="100" t="e">
        <f t="shared" ca="1" si="349"/>
        <v>#NAME?</v>
      </c>
      <c r="K1996" s="100" t="e">
        <f t="shared" ca="1" si="348"/>
        <v>#NAME?</v>
      </c>
      <c r="L1996" s="100"/>
      <c r="M1996" s="100"/>
      <c r="N1996" s="100"/>
      <c r="O1996" s="100"/>
      <c r="P1996" s="100"/>
      <c r="Q1996" s="100"/>
      <c r="R1996" s="100"/>
      <c r="S1996" s="100"/>
      <c r="T1996" s="100"/>
      <c r="U1996" s="100"/>
      <c r="V1996" s="100"/>
      <c r="W1996" s="100"/>
      <c r="X1996" s="100"/>
      <c r="Y1996" s="100"/>
      <c r="Z1996" s="100"/>
    </row>
    <row r="1997" spans="1:26">
      <c r="A1997" s="100" t="e">
        <f ca="1">IFERROR(__xludf.DUMMYFUNCTION("""COMPUTED_VALUE"""),58785332)</f>
        <v>#NAME?</v>
      </c>
      <c r="B1997" s="100" t="e">
        <f ca="1">IFERROR(__xludf.DUMMYFUNCTION("""COMPUTED_VALUE"""),"MULTIBUSD")</f>
        <v>#NAME?</v>
      </c>
      <c r="C1997" s="100" t="e">
        <f ca="1">IFERROR(__xludf.DUMMYFUNCTION("""COMPUTED_VALUE"""),"2.09700000")</f>
        <v>#NAME?</v>
      </c>
      <c r="D1997" s="100" t="e">
        <f t="shared" ca="1" si="343"/>
        <v>#NAME?</v>
      </c>
      <c r="E1997" s="100" t="e">
        <f t="shared" ca="1" si="343"/>
        <v>#NAME?</v>
      </c>
      <c r="F1997" s="100" t="e">
        <f t="shared" ca="1" si="344"/>
        <v>#NAME?</v>
      </c>
      <c r="G1997" s="100" t="e">
        <f t="shared" ca="1" si="345"/>
        <v>#NAME?</v>
      </c>
      <c r="H1997" s="100" t="e">
        <f t="shared" ca="1" si="346"/>
        <v>#NAME?</v>
      </c>
      <c r="I1997" s="100" t="e">
        <f t="shared" ca="1" si="347"/>
        <v>#NAME?</v>
      </c>
      <c r="J1997" s="100" t="e">
        <f t="shared" ca="1" si="349"/>
        <v>#NAME?</v>
      </c>
      <c r="K1997" s="100" t="e">
        <f t="shared" ca="1" si="348"/>
        <v>#NAME?</v>
      </c>
      <c r="L1997" s="100"/>
      <c r="M1997" s="100"/>
      <c r="N1997" s="100"/>
      <c r="O1997" s="100"/>
      <c r="P1997" s="100"/>
      <c r="Q1997" s="100"/>
      <c r="R1997" s="100"/>
      <c r="S1997" s="100"/>
      <c r="T1997" s="100"/>
      <c r="U1997" s="100"/>
      <c r="V1997" s="100"/>
      <c r="W1997" s="100"/>
      <c r="X1997" s="100"/>
      <c r="Y1997" s="100"/>
      <c r="Z1997" s="100"/>
    </row>
    <row r="1998" spans="1:26">
      <c r="A1998" s="100" t="e">
        <f ca="1">IFERROR(__xludf.DUMMYFUNCTION("""COMPUTED_VALUE"""),58785333)</f>
        <v>#NAME?</v>
      </c>
      <c r="B1998" s="100" t="e">
        <f ca="1">IFERROR(__xludf.DUMMYFUNCTION("""COMPUTED_VALUE"""),"MULTIUSDT")</f>
        <v>#NAME?</v>
      </c>
      <c r="C1998" s="100" t="e">
        <f ca="1">IFERROR(__xludf.DUMMYFUNCTION("""COMPUTED_VALUE"""),"0.83400000")</f>
        <v>#NAME?</v>
      </c>
      <c r="D1998" s="100" t="e">
        <f t="shared" ca="1" si="343"/>
        <v>#NAME?</v>
      </c>
      <c r="E1998" s="100" t="e">
        <f t="shared" ca="1" si="343"/>
        <v>#NAME?</v>
      </c>
      <c r="F1998" s="100" t="e">
        <f t="shared" ca="1" si="344"/>
        <v>#NAME?</v>
      </c>
      <c r="G1998" s="100" t="e">
        <f t="shared" ca="1" si="345"/>
        <v>#NAME?</v>
      </c>
      <c r="H1998" s="100" t="e">
        <f t="shared" ca="1" si="346"/>
        <v>#NAME?</v>
      </c>
      <c r="I1998" s="100" t="e">
        <f t="shared" ca="1" si="347"/>
        <v>#NAME?</v>
      </c>
      <c r="J1998" s="100" t="e">
        <f t="shared" ca="1" si="349"/>
        <v>#NAME?</v>
      </c>
      <c r="K1998" s="100" t="e">
        <f t="shared" ca="1" si="348"/>
        <v>#NAME?</v>
      </c>
      <c r="L1998" s="100"/>
      <c r="M1998" s="100"/>
      <c r="N1998" s="100"/>
      <c r="O1998" s="100"/>
      <c r="P1998" s="100"/>
      <c r="Q1998" s="100"/>
      <c r="R1998" s="100"/>
      <c r="S1998" s="100"/>
      <c r="T1998" s="100"/>
      <c r="U1998" s="100"/>
      <c r="V1998" s="100"/>
      <c r="W1998" s="100"/>
      <c r="X1998" s="100"/>
      <c r="Y1998" s="100"/>
      <c r="Z1998" s="100"/>
    </row>
    <row r="1999" spans="1:26">
      <c r="A1999" s="100" t="e">
        <f ca="1">IFERROR(__xludf.DUMMYFUNCTION("""COMPUTED_VALUE"""),58785334)</f>
        <v>#NAME?</v>
      </c>
      <c r="B1999" s="100" t="e">
        <f ca="1">IFERROR(__xludf.DUMMYFUNCTION("""COMPUTED_VALUE"""),"APEETH")</f>
        <v>#NAME?</v>
      </c>
      <c r="C1999" s="100" t="e">
        <f ca="1">IFERROR(__xludf.DUMMYFUNCTION("""COMPUTED_VALUE"""),"0.00029190")</f>
        <v>#NAME?</v>
      </c>
      <c r="D1999" s="100" t="e">
        <f t="shared" ca="1" si="343"/>
        <v>#NAME?</v>
      </c>
      <c r="E1999" s="100" t="e">
        <f t="shared" ca="1" si="343"/>
        <v>#NAME?</v>
      </c>
      <c r="F1999" s="100" t="e">
        <f t="shared" ca="1" si="344"/>
        <v>#NAME?</v>
      </c>
      <c r="G1999" s="100" t="e">
        <f t="shared" ca="1" si="345"/>
        <v>#NAME?</v>
      </c>
      <c r="H1999" s="100" t="e">
        <f t="shared" ca="1" si="346"/>
        <v>#NAME?</v>
      </c>
      <c r="I1999" s="100" t="e">
        <f t="shared" ca="1" si="347"/>
        <v>#NAME?</v>
      </c>
      <c r="J1999" s="100" t="e">
        <f t="shared" ca="1" si="349"/>
        <v>#NAME?</v>
      </c>
      <c r="K1999" s="100" t="e">
        <f t="shared" ca="1" si="348"/>
        <v>#NAME?</v>
      </c>
      <c r="L1999" s="100"/>
      <c r="M1999" s="100"/>
      <c r="N1999" s="100"/>
      <c r="O1999" s="100"/>
      <c r="P1999" s="100"/>
      <c r="Q1999" s="100"/>
      <c r="R1999" s="100"/>
      <c r="S1999" s="100"/>
      <c r="T1999" s="100"/>
      <c r="U1999" s="100"/>
      <c r="V1999" s="100"/>
      <c r="W1999" s="100"/>
      <c r="X1999" s="100"/>
      <c r="Y1999" s="100"/>
      <c r="Z1999" s="100"/>
    </row>
    <row r="2000" spans="1:26">
      <c r="A2000" s="100" t="e">
        <f ca="1">IFERROR(__xludf.DUMMYFUNCTION("""COMPUTED_VALUE"""),58785335)</f>
        <v>#NAME?</v>
      </c>
      <c r="B2000" s="100" t="e">
        <f ca="1">IFERROR(__xludf.DUMMYFUNCTION("""COMPUTED_VALUE"""),"BSWETH")</f>
        <v>#NAME?</v>
      </c>
      <c r="C2000" s="100" t="e">
        <f ca="1">IFERROR(__xludf.DUMMYFUNCTION("""COMPUTED_VALUE"""),"0.00013660")</f>
        <v>#NAME?</v>
      </c>
      <c r="D2000" s="100" t="e">
        <f t="shared" ca="1" si="343"/>
        <v>#NAME?</v>
      </c>
      <c r="E2000" s="100" t="e">
        <f t="shared" ca="1" si="343"/>
        <v>#NAME?</v>
      </c>
      <c r="F2000" s="100" t="e">
        <f t="shared" ca="1" si="344"/>
        <v>#NAME?</v>
      </c>
      <c r="G2000" s="100" t="e">
        <f t="shared" ca="1" si="345"/>
        <v>#NAME?</v>
      </c>
      <c r="H2000" s="100" t="e">
        <f t="shared" ca="1" si="346"/>
        <v>#NAME?</v>
      </c>
      <c r="I2000" s="100" t="e">
        <f t="shared" ca="1" si="347"/>
        <v>#NAME?</v>
      </c>
      <c r="J2000" s="100" t="e">
        <f t="shared" ca="1" si="349"/>
        <v>#NAME?</v>
      </c>
      <c r="K2000" s="100" t="e">
        <f t="shared" ca="1" si="348"/>
        <v>#NAME?</v>
      </c>
      <c r="L2000" s="100"/>
      <c r="M2000" s="100"/>
      <c r="N2000" s="100"/>
      <c r="O2000" s="100"/>
      <c r="P2000" s="100"/>
      <c r="Q2000" s="100"/>
      <c r="R2000" s="100"/>
      <c r="S2000" s="100"/>
      <c r="T2000" s="100"/>
      <c r="U2000" s="100"/>
      <c r="V2000" s="100"/>
      <c r="W2000" s="100"/>
      <c r="X2000" s="100"/>
      <c r="Y2000" s="100"/>
      <c r="Z2000" s="100"/>
    </row>
    <row r="2001" spans="1:26">
      <c r="A2001" s="100" t="e">
        <f ca="1">IFERROR(__xludf.DUMMYFUNCTION("""COMPUTED_VALUE"""),58785336)</f>
        <v>#NAME?</v>
      </c>
      <c r="B2001" s="100" t="e">
        <f ca="1">IFERROR(__xludf.DUMMYFUNCTION("""COMPUTED_VALUE"""),"FILTRY")</f>
        <v>#NAME?</v>
      </c>
      <c r="C2001" s="100" t="e">
        <f ca="1">IFERROR(__xludf.DUMMYFUNCTION("""COMPUTED_VALUE"""),"95.49000000")</f>
        <v>#NAME?</v>
      </c>
      <c r="D2001" s="100" t="e">
        <f t="shared" ca="1" si="343"/>
        <v>#NAME?</v>
      </c>
      <c r="E2001" s="100" t="e">
        <f t="shared" ca="1" si="343"/>
        <v>#NAME?</v>
      </c>
      <c r="F2001" s="100" t="e">
        <f t="shared" ca="1" si="344"/>
        <v>#NAME?</v>
      </c>
      <c r="G2001" s="100" t="e">
        <f t="shared" ca="1" si="345"/>
        <v>#NAME?</v>
      </c>
      <c r="H2001" s="100" t="e">
        <f t="shared" ca="1" si="346"/>
        <v>#NAME?</v>
      </c>
      <c r="I2001" s="100" t="e">
        <f t="shared" ca="1" si="347"/>
        <v>#NAME?</v>
      </c>
      <c r="J2001" s="100" t="e">
        <f ca="1">IFERROR(__xludf.DUMMYFUNCTION("""COMPUTED_VALUE"""),"-6.657")</f>
        <v>#NAME?</v>
      </c>
      <c r="K2001" s="100" t="e">
        <f t="shared" ca="1" si="348"/>
        <v>#NAME?</v>
      </c>
      <c r="L2001" s="100"/>
      <c r="M2001" s="100"/>
      <c r="N2001" s="100"/>
      <c r="O2001" s="100"/>
      <c r="P2001" s="100"/>
      <c r="Q2001" s="100"/>
      <c r="R2001" s="100"/>
      <c r="S2001" s="100"/>
      <c r="T2001" s="100"/>
      <c r="U2001" s="100"/>
      <c r="V2001" s="100"/>
      <c r="W2001" s="100"/>
      <c r="X2001" s="100"/>
      <c r="Y2001" s="100"/>
      <c r="Z2001" s="100"/>
    </row>
    <row r="2002" spans="1:26">
      <c r="A2002" s="100" t="e">
        <f ca="1">IFERROR(__xludf.DUMMYFUNCTION("""COMPUTED_VALUE"""),58785337)</f>
        <v>#NAME?</v>
      </c>
      <c r="B2002" s="100" t="e">
        <f ca="1">IFERROR(__xludf.DUMMYFUNCTION("""COMPUTED_VALUE"""),"FTMEUR")</f>
        <v>#NAME?</v>
      </c>
      <c r="C2002" s="100" t="e">
        <f ca="1">IFERROR(__xludf.DUMMYFUNCTION("""COMPUTED_VALUE"""),"0.68090000")</f>
        <v>#NAME?</v>
      </c>
      <c r="D2002" s="100" t="e">
        <f t="shared" ref="D2002:E2021" ca="1" si="350">IFERROR(__xludf.DUMMYFUNCTION("""COMPUTED_VALUE"""),"-")</f>
        <v>#NAME?</v>
      </c>
      <c r="E2002" s="100" t="e">
        <f t="shared" ca="1" si="350"/>
        <v>#NAME?</v>
      </c>
      <c r="F2002" s="100" t="e">
        <f t="shared" ca="1" si="344"/>
        <v>#NAME?</v>
      </c>
      <c r="G2002" s="100" t="e">
        <f t="shared" ca="1" si="345"/>
        <v>#NAME?</v>
      </c>
      <c r="H2002" s="100" t="e">
        <f t="shared" ca="1" si="346"/>
        <v>#NAME?</v>
      </c>
      <c r="I2002" s="100" t="e">
        <f t="shared" ca="1" si="347"/>
        <v>#NAME?</v>
      </c>
      <c r="J2002" s="100" t="e">
        <f ca="1">IFERROR(__xludf.DUMMYFUNCTION("""COMPUTED_VALUE"""),"0")</f>
        <v>#NAME?</v>
      </c>
      <c r="K2002" s="100" t="e">
        <f t="shared" ca="1" si="348"/>
        <v>#NAME?</v>
      </c>
      <c r="L2002" s="100"/>
      <c r="M2002" s="100"/>
      <c r="N2002" s="100"/>
      <c r="O2002" s="100"/>
      <c r="P2002" s="100"/>
      <c r="Q2002" s="100"/>
      <c r="R2002" s="100"/>
      <c r="S2002" s="100"/>
      <c r="T2002" s="100"/>
      <c r="U2002" s="100"/>
      <c r="V2002" s="100"/>
      <c r="W2002" s="100"/>
      <c r="X2002" s="100"/>
      <c r="Y2002" s="100"/>
      <c r="Z2002" s="100"/>
    </row>
    <row r="2003" spans="1:26">
      <c r="A2003" s="100" t="e">
        <f ca="1">IFERROR(__xludf.DUMMYFUNCTION("""COMPUTED_VALUE"""),58785338)</f>
        <v>#NAME?</v>
      </c>
      <c r="B2003" s="100" t="e">
        <f ca="1">IFERROR(__xludf.DUMMYFUNCTION("""COMPUTED_VALUE"""),"GMTGBP")</f>
        <v>#NAME?</v>
      </c>
      <c r="C2003" s="100" t="e">
        <f ca="1">IFERROR(__xludf.DUMMYFUNCTION("""COMPUTED_VALUE"""),"0.21070000")</f>
        <v>#NAME?</v>
      </c>
      <c r="D2003" s="100" t="e">
        <f t="shared" ca="1" si="350"/>
        <v>#NAME?</v>
      </c>
      <c r="E2003" s="100" t="e">
        <f t="shared" ca="1" si="350"/>
        <v>#NAME?</v>
      </c>
      <c r="F2003" s="100" t="e">
        <f t="shared" ca="1" si="344"/>
        <v>#NAME?</v>
      </c>
      <c r="G2003" s="100" t="e">
        <f t="shared" ca="1" si="345"/>
        <v>#NAME?</v>
      </c>
      <c r="H2003" s="100" t="e">
        <f t="shared" ca="1" si="346"/>
        <v>#NAME?</v>
      </c>
      <c r="I2003" s="100" t="e">
        <f t="shared" ca="1" si="347"/>
        <v>#NAME?</v>
      </c>
      <c r="J2003" s="100" t="e">
        <f ca="1">IFERROR(__xludf.DUMMYFUNCTION("""COMPUTED_VALUE"""),"0")</f>
        <v>#NAME?</v>
      </c>
      <c r="K2003" s="100" t="e">
        <f t="shared" ca="1" si="348"/>
        <v>#NAME?</v>
      </c>
      <c r="L2003" s="100"/>
      <c r="M2003" s="100"/>
      <c r="N2003" s="100"/>
      <c r="O2003" s="100"/>
      <c r="P2003" s="100"/>
      <c r="Q2003" s="100"/>
      <c r="R2003" s="100"/>
      <c r="S2003" s="100"/>
      <c r="T2003" s="100"/>
      <c r="U2003" s="100"/>
      <c r="V2003" s="100"/>
      <c r="W2003" s="100"/>
      <c r="X2003" s="100"/>
      <c r="Y2003" s="100"/>
      <c r="Z2003" s="100"/>
    </row>
    <row r="2004" spans="1:26">
      <c r="A2004" s="100" t="e">
        <f ca="1">IFERROR(__xludf.DUMMYFUNCTION("""COMPUTED_VALUE"""),58785339)</f>
        <v>#NAME?</v>
      </c>
      <c r="B2004" s="100" t="e">
        <f ca="1">IFERROR(__xludf.DUMMYFUNCTION("""COMPUTED_VALUE"""),"ZILTRY")</f>
        <v>#NAME?</v>
      </c>
      <c r="C2004" s="100" t="e">
        <f ca="1">IFERROR(__xludf.DUMMYFUNCTION("""COMPUTED_VALUE"""),"0.45380000")</f>
        <v>#NAME?</v>
      </c>
      <c r="D2004" s="100" t="e">
        <f t="shared" ca="1" si="350"/>
        <v>#NAME?</v>
      </c>
      <c r="E2004" s="100" t="e">
        <f t="shared" ca="1" si="350"/>
        <v>#NAME?</v>
      </c>
      <c r="F2004" s="100" t="e">
        <f t="shared" ca="1" si="344"/>
        <v>#NAME?</v>
      </c>
      <c r="G2004" s="100" t="e">
        <f t="shared" ca="1" si="345"/>
        <v>#NAME?</v>
      </c>
      <c r="H2004" s="100" t="e">
        <f t="shared" ca="1" si="346"/>
        <v>#NAME?</v>
      </c>
      <c r="I2004" s="100" t="e">
        <f t="shared" ca="1" si="347"/>
        <v>#NAME?</v>
      </c>
      <c r="J2004" s="100" t="e">
        <f ca="1">IFERROR(__xludf.DUMMYFUNCTION("""COMPUTED_VALUE"""),"-1.025")</f>
        <v>#NAME?</v>
      </c>
      <c r="K2004" s="100" t="e">
        <f t="shared" ca="1" si="348"/>
        <v>#NAME?</v>
      </c>
      <c r="L2004" s="100"/>
      <c r="M2004" s="100"/>
      <c r="N2004" s="100"/>
      <c r="O2004" s="100"/>
      <c r="P2004" s="100"/>
      <c r="Q2004" s="100"/>
      <c r="R2004" s="100"/>
      <c r="S2004" s="100"/>
      <c r="T2004" s="100"/>
      <c r="U2004" s="100"/>
      <c r="V2004" s="100"/>
      <c r="W2004" s="100"/>
      <c r="X2004" s="100"/>
      <c r="Y2004" s="100"/>
      <c r="Z2004" s="100"/>
    </row>
    <row r="2005" spans="1:26">
      <c r="A2005" s="100" t="e">
        <f ca="1">IFERROR(__xludf.DUMMYFUNCTION("""COMPUTED_VALUE"""),58785340)</f>
        <v>#NAME?</v>
      </c>
      <c r="B2005" s="100" t="e">
        <f ca="1">IFERROR(__xludf.DUMMYFUNCTION("""COMPUTED_VALUE"""),"GMTTRY")</f>
        <v>#NAME?</v>
      </c>
      <c r="C2005" s="100" t="e">
        <f ca="1">IFERROR(__xludf.DUMMYFUNCTION("""COMPUTED_VALUE"""),"2.29200000")</f>
        <v>#NAME?</v>
      </c>
      <c r="D2005" s="100" t="e">
        <f t="shared" ca="1" si="350"/>
        <v>#NAME?</v>
      </c>
      <c r="E2005" s="100" t="e">
        <f t="shared" ca="1" si="350"/>
        <v>#NAME?</v>
      </c>
      <c r="F2005" s="100" t="e">
        <f t="shared" ca="1" si="344"/>
        <v>#NAME?</v>
      </c>
      <c r="G2005" s="100" t="e">
        <f t="shared" ca="1" si="345"/>
        <v>#NAME?</v>
      </c>
      <c r="H2005" s="100" t="e">
        <f t="shared" ca="1" si="346"/>
        <v>#NAME?</v>
      </c>
      <c r="I2005" s="100" t="e">
        <f t="shared" ca="1" si="347"/>
        <v>#NAME?</v>
      </c>
      <c r="J2005" s="100" t="e">
        <f ca="1">IFERROR(__xludf.DUMMYFUNCTION("""COMPUTED_VALUE"""),"8.832")</f>
        <v>#NAME?</v>
      </c>
      <c r="K2005" s="100" t="e">
        <f t="shared" ca="1" si="348"/>
        <v>#NAME?</v>
      </c>
      <c r="L2005" s="100"/>
      <c r="M2005" s="100"/>
      <c r="N2005" s="100"/>
      <c r="O2005" s="100"/>
      <c r="P2005" s="100"/>
      <c r="Q2005" s="100"/>
      <c r="R2005" s="100"/>
      <c r="S2005" s="100"/>
      <c r="T2005" s="100"/>
      <c r="U2005" s="100"/>
      <c r="V2005" s="100"/>
      <c r="W2005" s="100"/>
      <c r="X2005" s="100"/>
      <c r="Y2005" s="100"/>
      <c r="Z2005" s="100"/>
    </row>
    <row r="2006" spans="1:26">
      <c r="A2006" s="100" t="e">
        <f ca="1">IFERROR(__xludf.DUMMYFUNCTION("""COMPUTED_VALUE"""),58785341)</f>
        <v>#NAME?</v>
      </c>
      <c r="B2006" s="100" t="e">
        <f ca="1">IFERROR(__xludf.DUMMYFUNCTION("""COMPUTED_VALUE"""),"WAVESTRY")</f>
        <v>#NAME?</v>
      </c>
      <c r="C2006" s="100" t="e">
        <f ca="1">IFERROR(__xludf.DUMMYFUNCTION("""COMPUTED_VALUE"""),"36.02000000")</f>
        <v>#NAME?</v>
      </c>
      <c r="D2006" s="100" t="e">
        <f t="shared" ca="1" si="350"/>
        <v>#NAME?</v>
      </c>
      <c r="E2006" s="100" t="e">
        <f t="shared" ca="1" si="350"/>
        <v>#NAME?</v>
      </c>
      <c r="F2006" s="100" t="e">
        <f t="shared" ca="1" si="344"/>
        <v>#NAME?</v>
      </c>
      <c r="G2006" s="100" t="e">
        <f t="shared" ca="1" si="345"/>
        <v>#NAME?</v>
      </c>
      <c r="H2006" s="100" t="e">
        <f t="shared" ca="1" si="346"/>
        <v>#NAME?</v>
      </c>
      <c r="I2006" s="100" t="e">
        <f t="shared" ca="1" si="347"/>
        <v>#NAME?</v>
      </c>
      <c r="J2006" s="100" t="e">
        <f ca="1">IFERROR(__xludf.DUMMYFUNCTION("""COMPUTED_VALUE"""),"0")</f>
        <v>#NAME?</v>
      </c>
      <c r="K2006" s="100" t="e">
        <f t="shared" ca="1" si="348"/>
        <v>#NAME?</v>
      </c>
      <c r="L2006" s="100"/>
      <c r="M2006" s="100"/>
      <c r="N2006" s="100"/>
      <c r="O2006" s="100"/>
      <c r="P2006" s="100"/>
      <c r="Q2006" s="100"/>
      <c r="R2006" s="100"/>
      <c r="S2006" s="100"/>
      <c r="T2006" s="100"/>
      <c r="U2006" s="100"/>
      <c r="V2006" s="100"/>
      <c r="W2006" s="100"/>
      <c r="X2006" s="100"/>
      <c r="Y2006" s="100"/>
      <c r="Z2006" s="100"/>
    </row>
    <row r="2007" spans="1:26">
      <c r="A2007" s="100" t="e">
        <f ca="1">IFERROR(__xludf.DUMMYFUNCTION("""COMPUTED_VALUE"""),58785342)</f>
        <v>#NAME?</v>
      </c>
      <c r="B2007" s="100" t="e">
        <f ca="1">IFERROR(__xludf.DUMMYFUNCTION("""COMPUTED_VALUE"""),"BTCUST")</f>
        <v>#NAME?</v>
      </c>
      <c r="C2007" s="100" t="e">
        <f ca="1">IFERROR(__xludf.DUMMYFUNCTION("""COMPUTED_VALUE"""),"0.00000000")</f>
        <v>#NAME?</v>
      </c>
      <c r="D2007" s="100" t="e">
        <f t="shared" ca="1" si="350"/>
        <v>#NAME?</v>
      </c>
      <c r="E2007" s="100" t="e">
        <f t="shared" ca="1" si="350"/>
        <v>#NAME?</v>
      </c>
      <c r="F2007" s="100" t="e">
        <f t="shared" ca="1" si="344"/>
        <v>#NAME?</v>
      </c>
      <c r="G2007" s="100" t="e">
        <f t="shared" ca="1" si="345"/>
        <v>#NAME?</v>
      </c>
      <c r="H2007" s="100" t="e">
        <f t="shared" ca="1" si="346"/>
        <v>#NAME?</v>
      </c>
      <c r="I2007" s="100" t="e">
        <f t="shared" ca="1" si="347"/>
        <v>#NAME?</v>
      </c>
      <c r="J2007" s="100" t="e">
        <f ca="1">IFERROR(__xludf.DUMMYFUNCTION("""COMPUTED_VALUE"""),"0")</f>
        <v>#NAME?</v>
      </c>
      <c r="K2007" s="100" t="e">
        <f t="shared" ca="1" si="348"/>
        <v>#NAME?</v>
      </c>
      <c r="L2007" s="100"/>
      <c r="M2007" s="100"/>
      <c r="N2007" s="100"/>
      <c r="O2007" s="100"/>
      <c r="P2007" s="100"/>
      <c r="Q2007" s="100"/>
      <c r="R2007" s="100"/>
      <c r="S2007" s="100"/>
      <c r="T2007" s="100"/>
      <c r="U2007" s="100"/>
      <c r="V2007" s="100"/>
      <c r="W2007" s="100"/>
      <c r="X2007" s="100"/>
      <c r="Y2007" s="100"/>
      <c r="Z2007" s="100"/>
    </row>
    <row r="2008" spans="1:26">
      <c r="A2008" s="100" t="e">
        <f ca="1">IFERROR(__xludf.DUMMYFUNCTION("""COMPUTED_VALUE"""),58785343)</f>
        <v>#NAME?</v>
      </c>
      <c r="B2008" s="100" t="e">
        <f ca="1">IFERROR(__xludf.DUMMYFUNCTION("""COMPUTED_VALUE"""),"ASTRBTC")</f>
        <v>#NAME?</v>
      </c>
      <c r="C2008" s="100" t="e">
        <f ca="1">IFERROR(__xludf.DUMMYFUNCTION("""COMPUTED_VALUE"""),"0.00000030")</f>
        <v>#NAME?</v>
      </c>
      <c r="D2008" s="100" t="e">
        <f t="shared" ca="1" si="350"/>
        <v>#NAME?</v>
      </c>
      <c r="E2008" s="100" t="e">
        <f t="shared" ca="1" si="350"/>
        <v>#NAME?</v>
      </c>
      <c r="F2008" s="100" t="e">
        <f t="shared" ca="1" si="344"/>
        <v>#NAME?</v>
      </c>
      <c r="G2008" s="100" t="e">
        <f t="shared" ca="1" si="345"/>
        <v>#NAME?</v>
      </c>
      <c r="H2008" s="100" t="e">
        <f t="shared" ca="1" si="346"/>
        <v>#NAME?</v>
      </c>
      <c r="I2008" s="100" t="e">
        <f t="shared" ca="1" si="347"/>
        <v>#NAME?</v>
      </c>
      <c r="J2008" s="100" t="e">
        <f ca="1">IFERROR(__xludf.DUMMYFUNCTION("""COMPUTED_VALUE"""),"-6.250")</f>
        <v>#NAME?</v>
      </c>
      <c r="K2008" s="100" t="e">
        <f t="shared" ca="1" si="348"/>
        <v>#NAME?</v>
      </c>
      <c r="L2008" s="100"/>
      <c r="M2008" s="100"/>
      <c r="N2008" s="100"/>
      <c r="O2008" s="100"/>
      <c r="P2008" s="100"/>
      <c r="Q2008" s="100"/>
      <c r="R2008" s="100"/>
      <c r="S2008" s="100"/>
      <c r="T2008" s="100"/>
      <c r="U2008" s="100"/>
      <c r="V2008" s="100"/>
      <c r="W2008" s="100"/>
      <c r="X2008" s="100"/>
      <c r="Y2008" s="100"/>
      <c r="Z2008" s="100"/>
    </row>
    <row r="2009" spans="1:26">
      <c r="A2009" s="100" t="e">
        <f ca="1">IFERROR(__xludf.DUMMYFUNCTION("""COMPUTED_VALUE"""),58785344)</f>
        <v>#NAME?</v>
      </c>
      <c r="B2009" s="100" t="e">
        <f ca="1">IFERROR(__xludf.DUMMYFUNCTION("""COMPUTED_VALUE"""),"ASTRETH")</f>
        <v>#NAME?</v>
      </c>
      <c r="C2009" s="100" t="e">
        <f ca="1">IFERROR(__xludf.DUMMYFUNCTION("""COMPUTED_VALUE"""),"0.00003108")</f>
        <v>#NAME?</v>
      </c>
      <c r="D2009" s="100" t="e">
        <f t="shared" ca="1" si="350"/>
        <v>#NAME?</v>
      </c>
      <c r="E2009" s="100" t="e">
        <f t="shared" ca="1" si="350"/>
        <v>#NAME?</v>
      </c>
      <c r="F2009" s="100" t="e">
        <f t="shared" ca="1" si="344"/>
        <v>#NAME?</v>
      </c>
      <c r="G2009" s="100" t="e">
        <f t="shared" ca="1" si="345"/>
        <v>#NAME?</v>
      </c>
      <c r="H2009" s="100" t="e">
        <f t="shared" ca="1" si="346"/>
        <v>#NAME?</v>
      </c>
      <c r="I2009" s="100" t="e">
        <f t="shared" ca="1" si="347"/>
        <v>#NAME?</v>
      </c>
      <c r="J2009" s="100" t="e">
        <f ca="1">IFERROR(__xludf.DUMMYFUNCTION("""COMPUTED_VALUE"""),"0")</f>
        <v>#NAME?</v>
      </c>
      <c r="K2009" s="100" t="e">
        <f t="shared" ca="1" si="348"/>
        <v>#NAME?</v>
      </c>
      <c r="L2009" s="100"/>
      <c r="M2009" s="100"/>
      <c r="N2009" s="100"/>
      <c r="O2009" s="100"/>
      <c r="P2009" s="100"/>
      <c r="Q2009" s="100"/>
      <c r="R2009" s="100"/>
      <c r="S2009" s="100"/>
      <c r="T2009" s="100"/>
      <c r="U2009" s="100"/>
      <c r="V2009" s="100"/>
      <c r="W2009" s="100"/>
      <c r="X2009" s="100"/>
      <c r="Y2009" s="100"/>
      <c r="Z2009" s="100"/>
    </row>
    <row r="2010" spans="1:26">
      <c r="A2010" s="100" t="e">
        <f ca="1">IFERROR(__xludf.DUMMYFUNCTION("""COMPUTED_VALUE"""),58785345)</f>
        <v>#NAME?</v>
      </c>
      <c r="B2010" s="100" t="e">
        <f ca="1">IFERROR(__xludf.DUMMYFUNCTION("""COMPUTED_VALUE"""),"BSWTRY")</f>
        <v>#NAME?</v>
      </c>
      <c r="C2010" s="100" t="e">
        <f ca="1">IFERROR(__xludf.DUMMYFUNCTION("""COMPUTED_VALUE"""),"0.68200000")</f>
        <v>#NAME?</v>
      </c>
      <c r="D2010" s="100" t="e">
        <f t="shared" ca="1" si="350"/>
        <v>#NAME?</v>
      </c>
      <c r="E2010" s="100" t="e">
        <f t="shared" ca="1" si="350"/>
        <v>#NAME?</v>
      </c>
      <c r="F2010" s="100" t="e">
        <f t="shared" ca="1" si="344"/>
        <v>#NAME?</v>
      </c>
      <c r="G2010" s="100" t="e">
        <f t="shared" ca="1" si="345"/>
        <v>#NAME?</v>
      </c>
      <c r="H2010" s="100" t="e">
        <f t="shared" ca="1" si="346"/>
        <v>#NAME?</v>
      </c>
      <c r="I2010" s="100" t="e">
        <f t="shared" ca="1" si="347"/>
        <v>#NAME?</v>
      </c>
      <c r="J2010" s="100" t="e">
        <f ca="1">IFERROR(__xludf.DUMMYFUNCTION("""COMPUTED_VALUE"""),"-18.029")</f>
        <v>#NAME?</v>
      </c>
      <c r="K2010" s="100" t="e">
        <f t="shared" ca="1" si="348"/>
        <v>#NAME?</v>
      </c>
      <c r="L2010" s="100"/>
      <c r="M2010" s="100"/>
      <c r="N2010" s="100"/>
      <c r="O2010" s="100"/>
      <c r="P2010" s="100"/>
      <c r="Q2010" s="100"/>
      <c r="R2010" s="100"/>
      <c r="S2010" s="100"/>
      <c r="T2010" s="100"/>
      <c r="U2010" s="100"/>
      <c r="V2010" s="100"/>
      <c r="W2010" s="100"/>
      <c r="X2010" s="100"/>
      <c r="Y2010" s="100"/>
      <c r="Z2010" s="100"/>
    </row>
    <row r="2011" spans="1:26">
      <c r="A2011" s="100" t="e">
        <f ca="1">IFERROR(__xludf.DUMMYFUNCTION("""COMPUTED_VALUE"""),58785346)</f>
        <v>#NAME?</v>
      </c>
      <c r="B2011" s="100" t="e">
        <f ca="1">IFERROR(__xludf.DUMMYFUNCTION("""COMPUTED_VALUE"""),"FTTETH")</f>
        <v>#NAME?</v>
      </c>
      <c r="C2011" s="100" t="e">
        <f ca="1">IFERROR(__xludf.DUMMYFUNCTION("""COMPUTED_VALUE"""),"0.00114100")</f>
        <v>#NAME?</v>
      </c>
      <c r="D2011" s="100" t="e">
        <f t="shared" ca="1" si="350"/>
        <v>#NAME?</v>
      </c>
      <c r="E2011" s="100" t="e">
        <f t="shared" ca="1" si="350"/>
        <v>#NAME?</v>
      </c>
      <c r="F2011" s="100" t="e">
        <f t="shared" ca="1" si="344"/>
        <v>#NAME?</v>
      </c>
      <c r="G2011" s="100" t="e">
        <f t="shared" ca="1" si="345"/>
        <v>#NAME?</v>
      </c>
      <c r="H2011" s="100" t="e">
        <f t="shared" ca="1" si="346"/>
        <v>#NAME?</v>
      </c>
      <c r="I2011" s="100" t="e">
        <f t="shared" ca="1" si="347"/>
        <v>#NAME?</v>
      </c>
      <c r="J2011" s="100" t="e">
        <f ca="1">IFERROR(__xludf.DUMMYFUNCTION("""COMPUTED_VALUE"""),"0")</f>
        <v>#NAME?</v>
      </c>
      <c r="K2011" s="100" t="e">
        <f t="shared" ca="1" si="348"/>
        <v>#NAME?</v>
      </c>
      <c r="L2011" s="100"/>
      <c r="M2011" s="100"/>
      <c r="N2011" s="100"/>
      <c r="O2011" s="100"/>
      <c r="P2011" s="100"/>
      <c r="Q2011" s="100"/>
      <c r="R2011" s="100"/>
      <c r="S2011" s="100"/>
      <c r="T2011" s="100"/>
      <c r="U2011" s="100"/>
      <c r="V2011" s="100"/>
      <c r="W2011" s="100"/>
      <c r="X2011" s="100"/>
      <c r="Y2011" s="100"/>
      <c r="Z2011" s="100"/>
    </row>
    <row r="2012" spans="1:26">
      <c r="A2012" s="100" t="e">
        <f ca="1">IFERROR(__xludf.DUMMYFUNCTION("""COMPUTED_VALUE"""),58785347)</f>
        <v>#NAME?</v>
      </c>
      <c r="B2012" s="100" t="e">
        <f ca="1">IFERROR(__xludf.DUMMYFUNCTION("""COMPUTED_VALUE"""),"FUNBNB")</f>
        <v>#NAME?</v>
      </c>
      <c r="C2012" s="100" t="e">
        <f ca="1">IFERROR(__xludf.DUMMYFUNCTION("""COMPUTED_VALUE"""),"0.00001888")</f>
        <v>#NAME?</v>
      </c>
      <c r="D2012" s="100" t="e">
        <f t="shared" ca="1" si="350"/>
        <v>#NAME?</v>
      </c>
      <c r="E2012" s="100" t="e">
        <f t="shared" ca="1" si="350"/>
        <v>#NAME?</v>
      </c>
      <c r="F2012" s="100" t="e">
        <f t="shared" ca="1" si="344"/>
        <v>#NAME?</v>
      </c>
      <c r="G2012" s="100" t="e">
        <f t="shared" ca="1" si="345"/>
        <v>#NAME?</v>
      </c>
      <c r="H2012" s="100" t="e">
        <f t="shared" ca="1" si="346"/>
        <v>#NAME?</v>
      </c>
      <c r="I2012" s="100" t="e">
        <f t="shared" ca="1" si="347"/>
        <v>#NAME?</v>
      </c>
      <c r="J2012" s="100" t="e">
        <f ca="1">IFERROR(__xludf.DUMMYFUNCTION("""COMPUTED_VALUE"""),"0")</f>
        <v>#NAME?</v>
      </c>
      <c r="K2012" s="100" t="e">
        <f t="shared" ca="1" si="348"/>
        <v>#NAME?</v>
      </c>
      <c r="L2012" s="100"/>
      <c r="M2012" s="100"/>
      <c r="N2012" s="100"/>
      <c r="O2012" s="100"/>
      <c r="P2012" s="100"/>
      <c r="Q2012" s="100"/>
      <c r="R2012" s="100"/>
      <c r="S2012" s="100"/>
      <c r="T2012" s="100"/>
      <c r="U2012" s="100"/>
      <c r="V2012" s="100"/>
      <c r="W2012" s="100"/>
      <c r="X2012" s="100"/>
      <c r="Y2012" s="100"/>
      <c r="Z2012" s="100"/>
    </row>
    <row r="2013" spans="1:26">
      <c r="A2013" s="100" t="e">
        <f ca="1">IFERROR(__xludf.DUMMYFUNCTION("""COMPUTED_VALUE"""),58785348)</f>
        <v>#NAME?</v>
      </c>
      <c r="B2013" s="100" t="e">
        <f ca="1">IFERROR(__xludf.DUMMYFUNCTION("""COMPUTED_VALUE"""),"PORTOBUSD")</f>
        <v>#NAME?</v>
      </c>
      <c r="C2013" s="100" t="e">
        <f ca="1">IFERROR(__xludf.DUMMYFUNCTION("""COMPUTED_VALUE"""),"1.75700000")</f>
        <v>#NAME?</v>
      </c>
      <c r="D2013" s="100" t="e">
        <f t="shared" ca="1" si="350"/>
        <v>#NAME?</v>
      </c>
      <c r="E2013" s="100" t="e">
        <f t="shared" ca="1" si="350"/>
        <v>#NAME?</v>
      </c>
      <c r="F2013" s="100" t="e">
        <f t="shared" ca="1" si="344"/>
        <v>#NAME?</v>
      </c>
      <c r="G2013" s="100" t="e">
        <f t="shared" ca="1" si="345"/>
        <v>#NAME?</v>
      </c>
      <c r="H2013" s="100" t="e">
        <f t="shared" ca="1" si="346"/>
        <v>#NAME?</v>
      </c>
      <c r="I2013" s="100" t="e">
        <f t="shared" ca="1" si="347"/>
        <v>#NAME?</v>
      </c>
      <c r="J2013" s="100" t="e">
        <f ca="1">IFERROR(__xludf.DUMMYFUNCTION("""COMPUTED_VALUE"""),"0")</f>
        <v>#NAME?</v>
      </c>
      <c r="K2013" s="100" t="e">
        <f t="shared" ca="1" si="348"/>
        <v>#NAME?</v>
      </c>
      <c r="L2013" s="100"/>
      <c r="M2013" s="100"/>
      <c r="N2013" s="100"/>
      <c r="O2013" s="100"/>
      <c r="P2013" s="100"/>
      <c r="Q2013" s="100"/>
      <c r="R2013" s="100"/>
      <c r="S2013" s="100"/>
      <c r="T2013" s="100"/>
      <c r="U2013" s="100"/>
      <c r="V2013" s="100"/>
      <c r="W2013" s="100"/>
      <c r="X2013" s="100"/>
      <c r="Y2013" s="100"/>
      <c r="Z2013" s="100"/>
    </row>
    <row r="2014" spans="1:26">
      <c r="A2014" s="100" t="e">
        <f ca="1">IFERROR(__xludf.DUMMYFUNCTION("""COMPUTED_VALUE"""),58785349)</f>
        <v>#NAME?</v>
      </c>
      <c r="B2014" s="100" t="e">
        <f ca="1">IFERROR(__xludf.DUMMYFUNCTION("""COMPUTED_VALUE"""),"STEEMUSDT")</f>
        <v>#NAME?</v>
      </c>
      <c r="C2014" s="100" t="e">
        <f ca="1">IFERROR(__xludf.DUMMYFUNCTION("""COMPUTED_VALUE"""),"0.14170000")</f>
        <v>#NAME?</v>
      </c>
      <c r="D2014" s="100" t="e">
        <f t="shared" ca="1" si="350"/>
        <v>#NAME?</v>
      </c>
      <c r="E2014" s="100" t="e">
        <f t="shared" ca="1" si="350"/>
        <v>#NAME?</v>
      </c>
      <c r="F2014" s="100" t="e">
        <f t="shared" ca="1" si="344"/>
        <v>#NAME?</v>
      </c>
      <c r="G2014" s="100" t="e">
        <f t="shared" ca="1" si="345"/>
        <v>#NAME?</v>
      </c>
      <c r="H2014" s="100" t="e">
        <f t="shared" ca="1" si="346"/>
        <v>#NAME?</v>
      </c>
      <c r="I2014" s="100" t="e">
        <f t="shared" ca="1" si="347"/>
        <v>#NAME?</v>
      </c>
      <c r="J2014" s="100" t="e">
        <f ca="1">IFERROR(__xludf.DUMMYFUNCTION("""COMPUTED_VALUE"""),"-3.408")</f>
        <v>#NAME?</v>
      </c>
      <c r="K2014" s="100" t="e">
        <f t="shared" ca="1" si="348"/>
        <v>#NAME?</v>
      </c>
      <c r="L2014" s="100"/>
      <c r="M2014" s="100"/>
      <c r="N2014" s="100"/>
      <c r="O2014" s="100"/>
      <c r="P2014" s="100"/>
      <c r="Q2014" s="100"/>
      <c r="R2014" s="100"/>
      <c r="S2014" s="100"/>
      <c r="T2014" s="100"/>
      <c r="U2014" s="100"/>
      <c r="V2014" s="100"/>
      <c r="W2014" s="100"/>
      <c r="X2014" s="100"/>
      <c r="Y2014" s="100"/>
      <c r="Z2014" s="100"/>
    </row>
    <row r="2015" spans="1:26">
      <c r="A2015" s="100" t="e">
        <f ca="1">IFERROR(__xludf.DUMMYFUNCTION("""COMPUTED_VALUE"""),58785350)</f>
        <v>#NAME?</v>
      </c>
      <c r="B2015" s="100" t="e">
        <f ca="1">IFERROR(__xludf.DUMMYFUNCTION("""COMPUTED_VALUE"""),"ZILEUR")</f>
        <v>#NAME?</v>
      </c>
      <c r="C2015" s="100" t="e">
        <f ca="1">IFERROR(__xludf.DUMMYFUNCTION("""COMPUTED_VALUE"""),"0.02063000")</f>
        <v>#NAME?</v>
      </c>
      <c r="D2015" s="100" t="e">
        <f t="shared" ca="1" si="350"/>
        <v>#NAME?</v>
      </c>
      <c r="E2015" s="100" t="e">
        <f t="shared" ca="1" si="350"/>
        <v>#NAME?</v>
      </c>
      <c r="F2015" s="100" t="e">
        <f t="shared" ca="1" si="344"/>
        <v>#NAME?</v>
      </c>
      <c r="G2015" s="100" t="e">
        <f t="shared" ca="1" si="345"/>
        <v>#NAME?</v>
      </c>
      <c r="H2015" s="100" t="e">
        <f t="shared" ca="1" si="346"/>
        <v>#NAME?</v>
      </c>
      <c r="I2015" s="100" t="e">
        <f t="shared" ca="1" si="347"/>
        <v>#NAME?</v>
      </c>
      <c r="J2015" s="100" t="e">
        <f ca="1">IFERROR(__xludf.DUMMYFUNCTION("""COMPUTED_VALUE"""),"0")</f>
        <v>#NAME?</v>
      </c>
      <c r="K2015" s="100" t="e">
        <f t="shared" ca="1" si="348"/>
        <v>#NAME?</v>
      </c>
      <c r="L2015" s="100"/>
      <c r="M2015" s="100"/>
      <c r="N2015" s="100"/>
      <c r="O2015" s="100"/>
      <c r="P2015" s="100"/>
      <c r="Q2015" s="100"/>
      <c r="R2015" s="100"/>
      <c r="S2015" s="100"/>
      <c r="T2015" s="100"/>
      <c r="U2015" s="100"/>
      <c r="V2015" s="100"/>
      <c r="W2015" s="100"/>
      <c r="X2015" s="100"/>
      <c r="Y2015" s="100"/>
      <c r="Z2015" s="100"/>
    </row>
    <row r="2016" spans="1:26">
      <c r="A2016" s="100" t="e">
        <f ca="1">IFERROR(__xludf.DUMMYFUNCTION("""COMPUTED_VALUE"""),58785351)</f>
        <v>#NAME?</v>
      </c>
      <c r="B2016" s="100" t="e">
        <f ca="1">IFERROR(__xludf.DUMMYFUNCTION("""COMPUTED_VALUE"""),"APEBRL")</f>
        <v>#NAME?</v>
      </c>
      <c r="C2016" s="100" t="e">
        <f ca="1">IFERROR(__xludf.DUMMYFUNCTION("""COMPUTED_VALUE"""),"22.16000000")</f>
        <v>#NAME?</v>
      </c>
      <c r="D2016" s="100" t="e">
        <f t="shared" ca="1" si="350"/>
        <v>#NAME?</v>
      </c>
      <c r="E2016" s="100" t="e">
        <f t="shared" ca="1" si="350"/>
        <v>#NAME?</v>
      </c>
      <c r="F2016" s="100" t="e">
        <f t="shared" ca="1" si="344"/>
        <v>#NAME?</v>
      </c>
      <c r="G2016" s="100" t="e">
        <f t="shared" ca="1" si="345"/>
        <v>#NAME?</v>
      </c>
      <c r="H2016" s="100" t="e">
        <f t="shared" ca="1" si="346"/>
        <v>#NAME?</v>
      </c>
      <c r="I2016" s="100" t="e">
        <f t="shared" ca="1" si="347"/>
        <v>#NAME?</v>
      </c>
      <c r="J2016" s="100" t="e">
        <f ca="1">IFERROR(__xludf.DUMMYFUNCTION("""COMPUTED_VALUE"""),"0")</f>
        <v>#NAME?</v>
      </c>
      <c r="K2016" s="100" t="e">
        <f t="shared" ca="1" si="348"/>
        <v>#NAME?</v>
      </c>
      <c r="L2016" s="100"/>
      <c r="M2016" s="100"/>
      <c r="N2016" s="100"/>
      <c r="O2016" s="100"/>
      <c r="P2016" s="100"/>
      <c r="Q2016" s="100"/>
      <c r="R2016" s="100"/>
      <c r="S2016" s="100"/>
      <c r="T2016" s="100"/>
      <c r="U2016" s="100"/>
      <c r="V2016" s="100"/>
      <c r="W2016" s="100"/>
      <c r="X2016" s="100"/>
      <c r="Y2016" s="100"/>
      <c r="Z2016" s="100"/>
    </row>
    <row r="2017" spans="1:26">
      <c r="A2017" s="100" t="e">
        <f ca="1">IFERROR(__xludf.DUMMYFUNCTION("""COMPUTED_VALUE"""),58785352)</f>
        <v>#NAME?</v>
      </c>
      <c r="B2017" s="100" t="e">
        <f ca="1">IFERROR(__xludf.DUMMYFUNCTION("""COMPUTED_VALUE"""),"AUDIOTRY")</f>
        <v>#NAME?</v>
      </c>
      <c r="C2017" s="100" t="e">
        <f ca="1">IFERROR(__xludf.DUMMYFUNCTION("""COMPUTED_VALUE"""),"3.16700000")</f>
        <v>#NAME?</v>
      </c>
      <c r="D2017" s="100" t="e">
        <f t="shared" ca="1" si="350"/>
        <v>#NAME?</v>
      </c>
      <c r="E2017" s="100" t="e">
        <f t="shared" ca="1" si="350"/>
        <v>#NAME?</v>
      </c>
      <c r="F2017" s="100" t="e">
        <f t="shared" ca="1" si="344"/>
        <v>#NAME?</v>
      </c>
      <c r="G2017" s="100" t="e">
        <f t="shared" ca="1" si="345"/>
        <v>#NAME?</v>
      </c>
      <c r="H2017" s="100" t="e">
        <f t="shared" ca="1" si="346"/>
        <v>#NAME?</v>
      </c>
      <c r="I2017" s="100" t="e">
        <f t="shared" ca="1" si="347"/>
        <v>#NAME?</v>
      </c>
      <c r="J2017" s="100" t="e">
        <f ca="1">IFERROR(__xludf.DUMMYFUNCTION("""COMPUTED_VALUE"""),"26.883")</f>
        <v>#NAME?</v>
      </c>
      <c r="K2017" s="100" t="e">
        <f t="shared" ca="1" si="348"/>
        <v>#NAME?</v>
      </c>
      <c r="L2017" s="100"/>
      <c r="M2017" s="100"/>
      <c r="N2017" s="100"/>
      <c r="O2017" s="100"/>
      <c r="P2017" s="100"/>
      <c r="Q2017" s="100"/>
      <c r="R2017" s="100"/>
      <c r="S2017" s="100"/>
      <c r="T2017" s="100"/>
      <c r="U2017" s="100"/>
      <c r="V2017" s="100"/>
      <c r="W2017" s="100"/>
      <c r="X2017" s="100"/>
      <c r="Y2017" s="100"/>
      <c r="Z2017" s="100"/>
    </row>
    <row r="2018" spans="1:26">
      <c r="A2018" s="100" t="e">
        <f ca="1">IFERROR(__xludf.DUMMYFUNCTION("""COMPUTED_VALUE"""),58785353)</f>
        <v>#NAME?</v>
      </c>
      <c r="B2018" s="100" t="e">
        <f ca="1">IFERROR(__xludf.DUMMYFUNCTION("""COMPUTED_VALUE"""),"BTTCBUSD")</f>
        <v>#NAME?</v>
      </c>
      <c r="C2018" s="100" t="e">
        <f ca="1">IFERROR(__xludf.DUMMYFUNCTION("""COMPUTED_VALUE"""),"0.00000045")</f>
        <v>#NAME?</v>
      </c>
      <c r="D2018" s="100" t="e">
        <f t="shared" ca="1" si="350"/>
        <v>#NAME?</v>
      </c>
      <c r="E2018" s="100" t="e">
        <f t="shared" ca="1" si="350"/>
        <v>#NAME?</v>
      </c>
      <c r="F2018" s="100" t="e">
        <f t="shared" ca="1" si="344"/>
        <v>#NAME?</v>
      </c>
      <c r="G2018" s="100" t="e">
        <f t="shared" ca="1" si="345"/>
        <v>#NAME?</v>
      </c>
      <c r="H2018" s="100" t="e">
        <f t="shared" ca="1" si="346"/>
        <v>#NAME?</v>
      </c>
      <c r="I2018" s="100" t="e">
        <f t="shared" ca="1" si="347"/>
        <v>#NAME?</v>
      </c>
      <c r="J2018" s="100" t="e">
        <f t="shared" ref="J2018:J2023" ca="1" si="351">IFERROR(__xludf.DUMMYFUNCTION("""COMPUTED_VALUE"""),"0")</f>
        <v>#NAME?</v>
      </c>
      <c r="K2018" s="100" t="e">
        <f t="shared" ca="1" si="348"/>
        <v>#NAME?</v>
      </c>
      <c r="L2018" s="100"/>
      <c r="M2018" s="100"/>
      <c r="N2018" s="100"/>
      <c r="O2018" s="100"/>
      <c r="P2018" s="100"/>
      <c r="Q2018" s="100"/>
      <c r="R2018" s="100"/>
      <c r="S2018" s="100"/>
      <c r="T2018" s="100"/>
      <c r="U2018" s="100"/>
      <c r="V2018" s="100"/>
      <c r="W2018" s="100"/>
      <c r="X2018" s="100"/>
      <c r="Y2018" s="100"/>
      <c r="Z2018" s="100"/>
    </row>
    <row r="2019" spans="1:26">
      <c r="A2019" s="100" t="e">
        <f ca="1">IFERROR(__xludf.DUMMYFUNCTION("""COMPUTED_VALUE"""),58785354)</f>
        <v>#NAME?</v>
      </c>
      <c r="B2019" s="100" t="e">
        <f ca="1">IFERROR(__xludf.DUMMYFUNCTION("""COMPUTED_VALUE"""),"GMTAUD")</f>
        <v>#NAME?</v>
      </c>
      <c r="C2019" s="100" t="e">
        <f ca="1">IFERROR(__xludf.DUMMYFUNCTION("""COMPUTED_VALUE"""),"0.56950000")</f>
        <v>#NAME?</v>
      </c>
      <c r="D2019" s="100" t="e">
        <f t="shared" ca="1" si="350"/>
        <v>#NAME?</v>
      </c>
      <c r="E2019" s="100" t="e">
        <f t="shared" ca="1" si="350"/>
        <v>#NAME?</v>
      </c>
      <c r="F2019" s="100" t="e">
        <f t="shared" ca="1" si="344"/>
        <v>#NAME?</v>
      </c>
      <c r="G2019" s="100" t="e">
        <f t="shared" ca="1" si="345"/>
        <v>#NAME?</v>
      </c>
      <c r="H2019" s="100" t="e">
        <f t="shared" ca="1" si="346"/>
        <v>#NAME?</v>
      </c>
      <c r="I2019" s="100" t="e">
        <f t="shared" ca="1" si="347"/>
        <v>#NAME?</v>
      </c>
      <c r="J2019" s="100" t="e">
        <f t="shared" ca="1" si="351"/>
        <v>#NAME?</v>
      </c>
      <c r="K2019" s="100" t="e">
        <f t="shared" ca="1" si="348"/>
        <v>#NAME?</v>
      </c>
      <c r="L2019" s="100"/>
      <c r="M2019" s="100"/>
      <c r="N2019" s="100"/>
      <c r="O2019" s="100"/>
      <c r="P2019" s="100"/>
      <c r="Q2019" s="100"/>
      <c r="R2019" s="100"/>
      <c r="S2019" s="100"/>
      <c r="T2019" s="100"/>
      <c r="U2019" s="100"/>
      <c r="V2019" s="100"/>
      <c r="W2019" s="100"/>
      <c r="X2019" s="100"/>
      <c r="Y2019" s="100"/>
      <c r="Z2019" s="100"/>
    </row>
    <row r="2020" spans="1:26">
      <c r="A2020" s="100" t="e">
        <f ca="1">IFERROR(__xludf.DUMMYFUNCTION("""COMPUTED_VALUE"""),58785355)</f>
        <v>#NAME?</v>
      </c>
      <c r="B2020" s="100" t="e">
        <f ca="1">IFERROR(__xludf.DUMMYFUNCTION("""COMPUTED_VALUE"""),"MBLBUSD")</f>
        <v>#NAME?</v>
      </c>
      <c r="C2020" s="100" t="e">
        <f ca="1">IFERROR(__xludf.DUMMYFUNCTION("""COMPUTED_VALUE"""),"0.00265800")</f>
        <v>#NAME?</v>
      </c>
      <c r="D2020" s="100" t="e">
        <f t="shared" ca="1" si="350"/>
        <v>#NAME?</v>
      </c>
      <c r="E2020" s="100" t="e">
        <f t="shared" ca="1" si="350"/>
        <v>#NAME?</v>
      </c>
      <c r="F2020" s="100" t="e">
        <f t="shared" ca="1" si="344"/>
        <v>#NAME?</v>
      </c>
      <c r="G2020" s="100" t="e">
        <f t="shared" ca="1" si="345"/>
        <v>#NAME?</v>
      </c>
      <c r="H2020" s="100" t="e">
        <f t="shared" ca="1" si="346"/>
        <v>#NAME?</v>
      </c>
      <c r="I2020" s="100" t="e">
        <f t="shared" ca="1" si="347"/>
        <v>#NAME?</v>
      </c>
      <c r="J2020" s="100" t="e">
        <f t="shared" ca="1" si="351"/>
        <v>#NAME?</v>
      </c>
      <c r="K2020" s="100" t="e">
        <f t="shared" ca="1" si="348"/>
        <v>#NAME?</v>
      </c>
      <c r="L2020" s="100"/>
      <c r="M2020" s="100"/>
      <c r="N2020" s="100"/>
      <c r="O2020" s="100"/>
      <c r="P2020" s="100"/>
      <c r="Q2020" s="100"/>
      <c r="R2020" s="100"/>
      <c r="S2020" s="100"/>
      <c r="T2020" s="100"/>
      <c r="U2020" s="100"/>
      <c r="V2020" s="100"/>
      <c r="W2020" s="100"/>
      <c r="X2020" s="100"/>
      <c r="Y2020" s="100"/>
      <c r="Z2020" s="100"/>
    </row>
    <row r="2021" spans="1:26">
      <c r="A2021" s="100" t="e">
        <f ca="1">IFERROR(__xludf.DUMMYFUNCTION("""COMPUTED_VALUE"""),58785356)</f>
        <v>#NAME?</v>
      </c>
      <c r="B2021" s="100" t="e">
        <f ca="1">IFERROR(__xludf.DUMMYFUNCTION("""COMPUTED_VALUE"""),"MOBUSDT")</f>
        <v>#NAME?</v>
      </c>
      <c r="C2021" s="100" t="e">
        <f ca="1">IFERROR(__xludf.DUMMYFUNCTION("""COMPUTED_VALUE"""),"0.06230000")</f>
        <v>#NAME?</v>
      </c>
      <c r="D2021" s="100" t="e">
        <f t="shared" ca="1" si="350"/>
        <v>#NAME?</v>
      </c>
      <c r="E2021" s="100" t="e">
        <f t="shared" ca="1" si="350"/>
        <v>#NAME?</v>
      </c>
      <c r="F2021" s="100" t="e">
        <f t="shared" ca="1" si="344"/>
        <v>#NAME?</v>
      </c>
      <c r="G2021" s="100" t="e">
        <f t="shared" ca="1" si="345"/>
        <v>#NAME?</v>
      </c>
      <c r="H2021" s="100" t="e">
        <f t="shared" ca="1" si="346"/>
        <v>#NAME?</v>
      </c>
      <c r="I2021" s="100" t="e">
        <f t="shared" ca="1" si="347"/>
        <v>#NAME?</v>
      </c>
      <c r="J2021" s="100" t="e">
        <f t="shared" ca="1" si="351"/>
        <v>#NAME?</v>
      </c>
      <c r="K2021" s="100" t="e">
        <f t="shared" ca="1" si="348"/>
        <v>#NAME?</v>
      </c>
      <c r="L2021" s="100"/>
      <c r="M2021" s="100"/>
      <c r="N2021" s="100"/>
      <c r="O2021" s="100"/>
      <c r="P2021" s="100"/>
      <c r="Q2021" s="100"/>
      <c r="R2021" s="100"/>
      <c r="S2021" s="100"/>
      <c r="T2021" s="100"/>
      <c r="U2021" s="100"/>
      <c r="V2021" s="100"/>
      <c r="W2021" s="100"/>
      <c r="X2021" s="100"/>
      <c r="Y2021" s="100"/>
      <c r="Z2021" s="100"/>
    </row>
    <row r="2022" spans="1:26">
      <c r="A2022" s="100" t="e">
        <f ca="1">IFERROR(__xludf.DUMMYFUNCTION("""COMPUTED_VALUE"""),58785357)</f>
        <v>#NAME?</v>
      </c>
      <c r="B2022" s="100" t="e">
        <f ca="1">IFERROR(__xludf.DUMMYFUNCTION("""COMPUTED_VALUE"""),"MOBBUSD")</f>
        <v>#NAME?</v>
      </c>
      <c r="C2022" s="100" t="e">
        <f ca="1">IFERROR(__xludf.DUMMYFUNCTION("""COMPUTED_VALUE"""),"0.55000000")</f>
        <v>#NAME?</v>
      </c>
      <c r="D2022" s="100" t="e">
        <f t="shared" ref="D2022:E2041" ca="1" si="352">IFERROR(__xludf.DUMMYFUNCTION("""COMPUTED_VALUE"""),"-")</f>
        <v>#NAME?</v>
      </c>
      <c r="E2022" s="100" t="e">
        <f t="shared" ca="1" si="352"/>
        <v>#NAME?</v>
      </c>
      <c r="F2022" s="100" t="e">
        <f t="shared" ca="1" si="344"/>
        <v>#NAME?</v>
      </c>
      <c r="G2022" s="100" t="e">
        <f t="shared" ca="1" si="345"/>
        <v>#NAME?</v>
      </c>
      <c r="H2022" s="100" t="e">
        <f t="shared" ca="1" si="346"/>
        <v>#NAME?</v>
      </c>
      <c r="I2022" s="100" t="e">
        <f t="shared" ca="1" si="347"/>
        <v>#NAME?</v>
      </c>
      <c r="J2022" s="100" t="e">
        <f t="shared" ca="1" si="351"/>
        <v>#NAME?</v>
      </c>
      <c r="K2022" s="100" t="e">
        <f t="shared" ca="1" si="348"/>
        <v>#NAME?</v>
      </c>
      <c r="L2022" s="100"/>
      <c r="M2022" s="100"/>
      <c r="N2022" s="100"/>
      <c r="O2022" s="100"/>
      <c r="P2022" s="100"/>
      <c r="Q2022" s="100"/>
      <c r="R2022" s="100"/>
      <c r="S2022" s="100"/>
      <c r="T2022" s="100"/>
      <c r="U2022" s="100"/>
      <c r="V2022" s="100"/>
      <c r="W2022" s="100"/>
      <c r="X2022" s="100"/>
      <c r="Y2022" s="100"/>
      <c r="Z2022" s="100"/>
    </row>
    <row r="2023" spans="1:26">
      <c r="A2023" s="100" t="e">
        <f ca="1">IFERROR(__xludf.DUMMYFUNCTION("""COMPUTED_VALUE"""),58785358)</f>
        <v>#NAME?</v>
      </c>
      <c r="B2023" s="100" t="e">
        <f ca="1">IFERROR(__xludf.DUMMYFUNCTION("""COMPUTED_VALUE"""),"MOBBTC")</f>
        <v>#NAME?</v>
      </c>
      <c r="C2023" s="100" t="e">
        <f ca="1">IFERROR(__xludf.DUMMYFUNCTION("""COMPUTED_VALUE"""),"0.00000094")</f>
        <v>#NAME?</v>
      </c>
      <c r="D2023" s="100" t="e">
        <f t="shared" ca="1" si="352"/>
        <v>#NAME?</v>
      </c>
      <c r="E2023" s="100" t="e">
        <f t="shared" ca="1" si="352"/>
        <v>#NAME?</v>
      </c>
      <c r="F2023" s="100" t="e">
        <f t="shared" ca="1" si="344"/>
        <v>#NAME?</v>
      </c>
      <c r="G2023" s="100" t="e">
        <f t="shared" ca="1" si="345"/>
        <v>#NAME?</v>
      </c>
      <c r="H2023" s="100" t="e">
        <f t="shared" ca="1" si="346"/>
        <v>#NAME?</v>
      </c>
      <c r="I2023" s="100" t="e">
        <f t="shared" ca="1" si="347"/>
        <v>#NAME?</v>
      </c>
      <c r="J2023" s="100" t="e">
        <f t="shared" ca="1" si="351"/>
        <v>#NAME?</v>
      </c>
      <c r="K2023" s="100" t="e">
        <f t="shared" ca="1" si="348"/>
        <v>#NAME?</v>
      </c>
      <c r="L2023" s="100"/>
      <c r="M2023" s="100"/>
      <c r="N2023" s="100"/>
      <c r="O2023" s="100"/>
      <c r="P2023" s="100"/>
      <c r="Q2023" s="100"/>
      <c r="R2023" s="100"/>
      <c r="S2023" s="100"/>
      <c r="T2023" s="100"/>
      <c r="U2023" s="100"/>
      <c r="V2023" s="100"/>
      <c r="W2023" s="100"/>
      <c r="X2023" s="100"/>
      <c r="Y2023" s="100"/>
      <c r="Z2023" s="100"/>
    </row>
    <row r="2024" spans="1:26">
      <c r="A2024" s="100" t="e">
        <f ca="1">IFERROR(__xludf.DUMMYFUNCTION("""COMPUTED_VALUE"""),58785359)</f>
        <v>#NAME?</v>
      </c>
      <c r="B2024" s="100" t="e">
        <f ca="1">IFERROR(__xludf.DUMMYFUNCTION("""COMPUTED_VALUE"""),"NEXOUSDT")</f>
        <v>#NAME?</v>
      </c>
      <c r="C2024" s="100" t="e">
        <f ca="1">IFERROR(__xludf.DUMMYFUNCTION("""COMPUTED_VALUE"""),"1.05300000")</f>
        <v>#NAME?</v>
      </c>
      <c r="D2024" s="100" t="e">
        <f t="shared" ca="1" si="352"/>
        <v>#NAME?</v>
      </c>
      <c r="E2024" s="100" t="e">
        <f t="shared" ca="1" si="352"/>
        <v>#NAME?</v>
      </c>
      <c r="F2024" s="100" t="e">
        <f t="shared" ca="1" si="344"/>
        <v>#NAME?</v>
      </c>
      <c r="G2024" s="100" t="e">
        <f t="shared" ca="1" si="345"/>
        <v>#NAME?</v>
      </c>
      <c r="H2024" s="100" t="e">
        <f t="shared" ca="1" si="346"/>
        <v>#NAME?</v>
      </c>
      <c r="I2024" s="100" t="e">
        <f t="shared" ca="1" si="347"/>
        <v>#NAME?</v>
      </c>
      <c r="J2024" s="100" t="e">
        <f ca="1">IFERROR(__xludf.DUMMYFUNCTION("""COMPUTED_VALUE"""),"1.543")</f>
        <v>#NAME?</v>
      </c>
      <c r="K2024" s="100" t="e">
        <f t="shared" ca="1" si="348"/>
        <v>#NAME?</v>
      </c>
      <c r="L2024" s="100"/>
      <c r="M2024" s="100"/>
      <c r="N2024" s="100"/>
      <c r="O2024" s="100"/>
      <c r="P2024" s="100"/>
      <c r="Q2024" s="100"/>
      <c r="R2024" s="100"/>
      <c r="S2024" s="100"/>
      <c r="T2024" s="100"/>
      <c r="U2024" s="100"/>
      <c r="V2024" s="100"/>
      <c r="W2024" s="100"/>
      <c r="X2024" s="100"/>
      <c r="Y2024" s="100"/>
      <c r="Z2024" s="100"/>
    </row>
    <row r="2025" spans="1:26">
      <c r="A2025" s="100" t="e">
        <f ca="1">IFERROR(__xludf.DUMMYFUNCTION("""COMPUTED_VALUE"""),58785360)</f>
        <v>#NAME?</v>
      </c>
      <c r="B2025" s="100" t="e">
        <f ca="1">IFERROR(__xludf.DUMMYFUNCTION("""COMPUTED_VALUE"""),"NEXOBUSD")</f>
        <v>#NAME?</v>
      </c>
      <c r="C2025" s="100" t="e">
        <f ca="1">IFERROR(__xludf.DUMMYFUNCTION("""COMPUTED_VALUE"""),"0.62700000")</f>
        <v>#NAME?</v>
      </c>
      <c r="D2025" s="100" t="e">
        <f t="shared" ca="1" si="352"/>
        <v>#NAME?</v>
      </c>
      <c r="E2025" s="100" t="e">
        <f t="shared" ca="1" si="352"/>
        <v>#NAME?</v>
      </c>
      <c r="F2025" s="100" t="e">
        <f t="shared" ca="1" si="344"/>
        <v>#NAME?</v>
      </c>
      <c r="G2025" s="100" t="e">
        <f t="shared" ca="1" si="345"/>
        <v>#NAME?</v>
      </c>
      <c r="H2025" s="100" t="e">
        <f t="shared" ca="1" si="346"/>
        <v>#NAME?</v>
      </c>
      <c r="I2025" s="100" t="e">
        <f t="shared" ca="1" si="347"/>
        <v>#NAME?</v>
      </c>
      <c r="J2025" s="100" t="e">
        <f ca="1">IFERROR(__xludf.DUMMYFUNCTION("""COMPUTED_VALUE"""),"0")</f>
        <v>#NAME?</v>
      </c>
      <c r="K2025" s="100" t="e">
        <f t="shared" ca="1" si="348"/>
        <v>#NAME?</v>
      </c>
      <c r="L2025" s="100"/>
      <c r="M2025" s="100"/>
      <c r="N2025" s="100"/>
      <c r="O2025" s="100"/>
      <c r="P2025" s="100"/>
      <c r="Q2025" s="100"/>
      <c r="R2025" s="100"/>
      <c r="S2025" s="100"/>
      <c r="T2025" s="100"/>
      <c r="U2025" s="100"/>
      <c r="V2025" s="100"/>
      <c r="W2025" s="100"/>
      <c r="X2025" s="100"/>
      <c r="Y2025" s="100"/>
      <c r="Z2025" s="100"/>
    </row>
    <row r="2026" spans="1:26">
      <c r="A2026" s="100" t="e">
        <f ca="1">IFERROR(__xludf.DUMMYFUNCTION("""COMPUTED_VALUE"""),58785361)</f>
        <v>#NAME?</v>
      </c>
      <c r="B2026" s="100" t="e">
        <f ca="1">IFERROR(__xludf.DUMMYFUNCTION("""COMPUTED_VALUE"""),"NEXOBTC")</f>
        <v>#NAME?</v>
      </c>
      <c r="C2026" s="100" t="e">
        <f ca="1">IFERROR(__xludf.DUMMYFUNCTION("""COMPUTED_VALUE"""),"0.00001188")</f>
        <v>#NAME?</v>
      </c>
      <c r="D2026" s="100" t="e">
        <f t="shared" ca="1" si="352"/>
        <v>#NAME?</v>
      </c>
      <c r="E2026" s="100" t="e">
        <f t="shared" ca="1" si="352"/>
        <v>#NAME?</v>
      </c>
      <c r="F2026" s="100" t="e">
        <f t="shared" ca="1" si="344"/>
        <v>#NAME?</v>
      </c>
      <c r="G2026" s="100" t="e">
        <f t="shared" ca="1" si="345"/>
        <v>#NAME?</v>
      </c>
      <c r="H2026" s="100" t="e">
        <f t="shared" ca="1" si="346"/>
        <v>#NAME?</v>
      </c>
      <c r="I2026" s="100" t="e">
        <f t="shared" ca="1" si="347"/>
        <v>#NAME?</v>
      </c>
      <c r="J2026" s="100" t="e">
        <f ca="1">IFERROR(__xludf.DUMMYFUNCTION("""COMPUTED_VALUE"""),"0.169")</f>
        <v>#NAME?</v>
      </c>
      <c r="K2026" s="100" t="e">
        <f t="shared" ca="1" si="348"/>
        <v>#NAME?</v>
      </c>
      <c r="L2026" s="100"/>
      <c r="M2026" s="100"/>
      <c r="N2026" s="100"/>
      <c r="O2026" s="100"/>
      <c r="P2026" s="100"/>
      <c r="Q2026" s="100"/>
      <c r="R2026" s="100"/>
      <c r="S2026" s="100"/>
      <c r="T2026" s="100"/>
      <c r="U2026" s="100"/>
      <c r="V2026" s="100"/>
      <c r="W2026" s="100"/>
      <c r="X2026" s="100"/>
      <c r="Y2026" s="100"/>
      <c r="Z2026" s="100"/>
    </row>
    <row r="2027" spans="1:26">
      <c r="A2027" s="100" t="e">
        <f ca="1">IFERROR(__xludf.DUMMYFUNCTION("""COMPUTED_VALUE"""),58785362)</f>
        <v>#NAME?</v>
      </c>
      <c r="B2027" s="100" t="e">
        <f ca="1">IFERROR(__xludf.DUMMYFUNCTION("""COMPUTED_VALUE"""),"REIUSDT")</f>
        <v>#NAME?</v>
      </c>
      <c r="C2027" s="100" t="e">
        <f ca="1">IFERROR(__xludf.DUMMYFUNCTION("""COMPUTED_VALUE"""),"0.02393000")</f>
        <v>#NAME?</v>
      </c>
      <c r="D2027" s="100" t="e">
        <f t="shared" ca="1" si="352"/>
        <v>#NAME?</v>
      </c>
      <c r="E2027" s="100" t="e">
        <f t="shared" ca="1" si="352"/>
        <v>#NAME?</v>
      </c>
      <c r="F2027" s="100" t="e">
        <f t="shared" ca="1" si="344"/>
        <v>#NAME?</v>
      </c>
      <c r="G2027" s="100" t="e">
        <f t="shared" ca="1" si="345"/>
        <v>#NAME?</v>
      </c>
      <c r="H2027" s="100" t="e">
        <f t="shared" ca="1" si="346"/>
        <v>#NAME?</v>
      </c>
      <c r="I2027" s="100" t="e">
        <f t="shared" ca="1" si="347"/>
        <v>#NAME?</v>
      </c>
      <c r="J2027" s="100" t="e">
        <f ca="1">IFERROR(__xludf.DUMMYFUNCTION("""COMPUTED_VALUE"""),"-2.047")</f>
        <v>#NAME?</v>
      </c>
      <c r="K2027" s="100" t="e">
        <f t="shared" ca="1" si="348"/>
        <v>#NAME?</v>
      </c>
      <c r="L2027" s="100"/>
      <c r="M2027" s="100"/>
      <c r="N2027" s="100"/>
      <c r="O2027" s="100"/>
      <c r="P2027" s="100"/>
      <c r="Q2027" s="100"/>
      <c r="R2027" s="100"/>
      <c r="S2027" s="100"/>
      <c r="T2027" s="100"/>
      <c r="U2027" s="100"/>
      <c r="V2027" s="100"/>
      <c r="W2027" s="100"/>
      <c r="X2027" s="100"/>
      <c r="Y2027" s="100"/>
      <c r="Z2027" s="100"/>
    </row>
    <row r="2028" spans="1:26">
      <c r="A2028" s="100" t="e">
        <f ca="1">IFERROR(__xludf.DUMMYFUNCTION("""COMPUTED_VALUE"""),58785363)</f>
        <v>#NAME?</v>
      </c>
      <c r="B2028" s="100" t="e">
        <f ca="1">IFERROR(__xludf.DUMMYFUNCTION("""COMPUTED_VALUE"""),"REIBNB")</f>
        <v>#NAME?</v>
      </c>
      <c r="C2028" s="100" t="e">
        <f ca="1">IFERROR(__xludf.DUMMYFUNCTION("""COMPUTED_VALUE"""),"0.00008210")</f>
        <v>#NAME?</v>
      </c>
      <c r="D2028" s="100" t="e">
        <f t="shared" ca="1" si="352"/>
        <v>#NAME?</v>
      </c>
      <c r="E2028" s="100" t="e">
        <f t="shared" ca="1" si="352"/>
        <v>#NAME?</v>
      </c>
      <c r="F2028" s="100" t="e">
        <f t="shared" ca="1" si="344"/>
        <v>#NAME?</v>
      </c>
      <c r="G2028" s="100" t="e">
        <f t="shared" ca="1" si="345"/>
        <v>#NAME?</v>
      </c>
      <c r="H2028" s="100" t="e">
        <f t="shared" ca="1" si="346"/>
        <v>#NAME?</v>
      </c>
      <c r="I2028" s="100" t="e">
        <f t="shared" ca="1" si="347"/>
        <v>#NAME?</v>
      </c>
      <c r="J2028" s="100" t="e">
        <f t="shared" ref="J2028:J2039" ca="1" si="353">IFERROR(__xludf.DUMMYFUNCTION("""COMPUTED_VALUE"""),"0")</f>
        <v>#NAME?</v>
      </c>
      <c r="K2028" s="100" t="e">
        <f t="shared" ca="1" si="348"/>
        <v>#NAME?</v>
      </c>
      <c r="L2028" s="100"/>
      <c r="M2028" s="100"/>
      <c r="N2028" s="100"/>
      <c r="O2028" s="100"/>
      <c r="P2028" s="100"/>
      <c r="Q2028" s="100"/>
      <c r="R2028" s="100"/>
      <c r="S2028" s="100"/>
      <c r="T2028" s="100"/>
      <c r="U2028" s="100"/>
      <c r="V2028" s="100"/>
      <c r="W2028" s="100"/>
      <c r="X2028" s="100"/>
      <c r="Y2028" s="100"/>
      <c r="Z2028" s="100"/>
    </row>
    <row r="2029" spans="1:26">
      <c r="A2029" s="100" t="e">
        <f ca="1">IFERROR(__xludf.DUMMYFUNCTION("""COMPUTED_VALUE"""),58785364)</f>
        <v>#NAME?</v>
      </c>
      <c r="B2029" s="100" t="e">
        <f ca="1">IFERROR(__xludf.DUMMYFUNCTION("""COMPUTED_VALUE"""),"REIETH")</f>
        <v>#NAME?</v>
      </c>
      <c r="C2029" s="100" t="e">
        <f ca="1">IFERROR(__xludf.DUMMYFUNCTION("""COMPUTED_VALUE"""),"0.00001928")</f>
        <v>#NAME?</v>
      </c>
      <c r="D2029" s="100" t="e">
        <f t="shared" ca="1" si="352"/>
        <v>#NAME?</v>
      </c>
      <c r="E2029" s="100" t="e">
        <f t="shared" ca="1" si="352"/>
        <v>#NAME?</v>
      </c>
      <c r="F2029" s="100" t="e">
        <f t="shared" ca="1" si="344"/>
        <v>#NAME?</v>
      </c>
      <c r="G2029" s="100" t="e">
        <f t="shared" ca="1" si="345"/>
        <v>#NAME?</v>
      </c>
      <c r="H2029" s="100" t="e">
        <f t="shared" ca="1" si="346"/>
        <v>#NAME?</v>
      </c>
      <c r="I2029" s="100" t="e">
        <f t="shared" ca="1" si="347"/>
        <v>#NAME?</v>
      </c>
      <c r="J2029" s="100" t="e">
        <f t="shared" ca="1" si="353"/>
        <v>#NAME?</v>
      </c>
      <c r="K2029" s="100" t="e">
        <f t="shared" ca="1" si="348"/>
        <v>#NAME?</v>
      </c>
      <c r="L2029" s="100"/>
      <c r="M2029" s="100"/>
      <c r="N2029" s="100"/>
      <c r="O2029" s="100"/>
      <c r="P2029" s="100"/>
      <c r="Q2029" s="100"/>
      <c r="R2029" s="100"/>
      <c r="S2029" s="100"/>
      <c r="T2029" s="100"/>
      <c r="U2029" s="100"/>
      <c r="V2029" s="100"/>
      <c r="W2029" s="100"/>
      <c r="X2029" s="100"/>
      <c r="Y2029" s="100"/>
      <c r="Z2029" s="100"/>
    </row>
    <row r="2030" spans="1:26">
      <c r="A2030" s="100" t="e">
        <f ca="1">IFERROR(__xludf.DUMMYFUNCTION("""COMPUTED_VALUE"""),58785365)</f>
        <v>#NAME?</v>
      </c>
      <c r="B2030" s="100" t="e">
        <f ca="1">IFERROR(__xludf.DUMMYFUNCTION("""COMPUTED_VALUE"""),"GALUSDT")</f>
        <v>#NAME?</v>
      </c>
      <c r="C2030" s="100" t="e">
        <f ca="1">IFERROR(__xludf.DUMMYFUNCTION("""COMPUTED_VALUE"""),"2.54200000")</f>
        <v>#NAME?</v>
      </c>
      <c r="D2030" s="100" t="e">
        <f t="shared" ca="1" si="352"/>
        <v>#NAME?</v>
      </c>
      <c r="E2030" s="100" t="e">
        <f t="shared" ca="1" si="352"/>
        <v>#NAME?</v>
      </c>
      <c r="F2030" s="100" t="e">
        <f t="shared" ca="1" si="344"/>
        <v>#NAME?</v>
      </c>
      <c r="G2030" s="100" t="e">
        <f t="shared" ca="1" si="345"/>
        <v>#NAME?</v>
      </c>
      <c r="H2030" s="100" t="e">
        <f t="shared" ca="1" si="346"/>
        <v>#NAME?</v>
      </c>
      <c r="I2030" s="100" t="e">
        <f t="shared" ca="1" si="347"/>
        <v>#NAME?</v>
      </c>
      <c r="J2030" s="100" t="e">
        <f t="shared" ca="1" si="353"/>
        <v>#NAME?</v>
      </c>
      <c r="K2030" s="100" t="e">
        <f t="shared" ca="1" si="348"/>
        <v>#NAME?</v>
      </c>
      <c r="L2030" s="100"/>
      <c r="M2030" s="100"/>
      <c r="N2030" s="100"/>
      <c r="O2030" s="100"/>
      <c r="P2030" s="100"/>
      <c r="Q2030" s="100"/>
      <c r="R2030" s="100"/>
      <c r="S2030" s="100"/>
      <c r="T2030" s="100"/>
      <c r="U2030" s="100"/>
      <c r="V2030" s="100"/>
      <c r="W2030" s="100"/>
      <c r="X2030" s="100"/>
      <c r="Y2030" s="100"/>
      <c r="Z2030" s="100"/>
    </row>
    <row r="2031" spans="1:26">
      <c r="A2031" s="100" t="e">
        <f ca="1">IFERROR(__xludf.DUMMYFUNCTION("""COMPUTED_VALUE"""),58785366)</f>
        <v>#NAME?</v>
      </c>
      <c r="B2031" s="100" t="e">
        <f ca="1">IFERROR(__xludf.DUMMYFUNCTION("""COMPUTED_VALUE"""),"GALBUSD")</f>
        <v>#NAME?</v>
      </c>
      <c r="C2031" s="100" t="e">
        <f ca="1">IFERROR(__xludf.DUMMYFUNCTION("""COMPUTED_VALUE"""),"1.35100000")</f>
        <v>#NAME?</v>
      </c>
      <c r="D2031" s="100" t="e">
        <f t="shared" ca="1" si="352"/>
        <v>#NAME?</v>
      </c>
      <c r="E2031" s="100" t="e">
        <f t="shared" ca="1" si="352"/>
        <v>#NAME?</v>
      </c>
      <c r="F2031" s="100" t="e">
        <f t="shared" ca="1" si="344"/>
        <v>#NAME?</v>
      </c>
      <c r="G2031" s="100" t="e">
        <f t="shared" ca="1" si="345"/>
        <v>#NAME?</v>
      </c>
      <c r="H2031" s="100" t="e">
        <f t="shared" ca="1" si="346"/>
        <v>#NAME?</v>
      </c>
      <c r="I2031" s="100" t="e">
        <f t="shared" ca="1" si="347"/>
        <v>#NAME?</v>
      </c>
      <c r="J2031" s="100" t="e">
        <f t="shared" ca="1" si="353"/>
        <v>#NAME?</v>
      </c>
      <c r="K2031" s="100" t="e">
        <f t="shared" ca="1" si="348"/>
        <v>#NAME?</v>
      </c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</row>
    <row r="2032" spans="1:26">
      <c r="A2032" s="100" t="e">
        <f ca="1">IFERROR(__xludf.DUMMYFUNCTION("""COMPUTED_VALUE"""),58785367)</f>
        <v>#NAME?</v>
      </c>
      <c r="B2032" s="100" t="e">
        <f ca="1">IFERROR(__xludf.DUMMYFUNCTION("""COMPUTED_VALUE"""),"GALBNB")</f>
        <v>#NAME?</v>
      </c>
      <c r="C2032" s="100" t="e">
        <f ca="1">IFERROR(__xludf.DUMMYFUNCTION("""COMPUTED_VALUE"""),"0.00489300")</f>
        <v>#NAME?</v>
      </c>
      <c r="D2032" s="100" t="e">
        <f t="shared" ca="1" si="352"/>
        <v>#NAME?</v>
      </c>
      <c r="E2032" s="100" t="e">
        <f t="shared" ca="1" si="352"/>
        <v>#NAME?</v>
      </c>
      <c r="F2032" s="100" t="e">
        <f t="shared" ca="1" si="344"/>
        <v>#NAME?</v>
      </c>
      <c r="G2032" s="100" t="e">
        <f t="shared" ca="1" si="345"/>
        <v>#NAME?</v>
      </c>
      <c r="H2032" s="100" t="e">
        <f t="shared" ca="1" si="346"/>
        <v>#NAME?</v>
      </c>
      <c r="I2032" s="100" t="e">
        <f t="shared" ca="1" si="347"/>
        <v>#NAME?</v>
      </c>
      <c r="J2032" s="100" t="e">
        <f t="shared" ca="1" si="353"/>
        <v>#NAME?</v>
      </c>
      <c r="K2032" s="100" t="e">
        <f t="shared" ca="1" si="348"/>
        <v>#NAME?</v>
      </c>
      <c r="L2032" s="100"/>
      <c r="M2032" s="100"/>
      <c r="N2032" s="100"/>
      <c r="O2032" s="100"/>
      <c r="P2032" s="100"/>
      <c r="Q2032" s="100"/>
      <c r="R2032" s="100"/>
      <c r="S2032" s="100"/>
      <c r="T2032" s="100"/>
      <c r="U2032" s="100"/>
      <c r="V2032" s="100"/>
      <c r="W2032" s="100"/>
      <c r="X2032" s="100"/>
      <c r="Y2032" s="100"/>
      <c r="Z2032" s="100"/>
    </row>
    <row r="2033" spans="1:26">
      <c r="A2033" s="100" t="e">
        <f ca="1">IFERROR(__xludf.DUMMYFUNCTION("""COMPUTED_VALUE"""),58785368)</f>
        <v>#NAME?</v>
      </c>
      <c r="B2033" s="100" t="e">
        <f ca="1">IFERROR(__xludf.DUMMYFUNCTION("""COMPUTED_VALUE"""),"GALBTC")</f>
        <v>#NAME?</v>
      </c>
      <c r="C2033" s="100" t="e">
        <f ca="1">IFERROR(__xludf.DUMMYFUNCTION("""COMPUTED_VALUE"""),"0.00004073")</f>
        <v>#NAME?</v>
      </c>
      <c r="D2033" s="100" t="e">
        <f t="shared" ca="1" si="352"/>
        <v>#NAME?</v>
      </c>
      <c r="E2033" s="100" t="e">
        <f t="shared" ca="1" si="352"/>
        <v>#NAME?</v>
      </c>
      <c r="F2033" s="100" t="e">
        <f t="shared" ca="1" si="344"/>
        <v>#NAME?</v>
      </c>
      <c r="G2033" s="100" t="e">
        <f t="shared" ca="1" si="345"/>
        <v>#NAME?</v>
      </c>
      <c r="H2033" s="100" t="e">
        <f t="shared" ca="1" si="346"/>
        <v>#NAME?</v>
      </c>
      <c r="I2033" s="100" t="e">
        <f t="shared" ca="1" si="347"/>
        <v>#NAME?</v>
      </c>
      <c r="J2033" s="100" t="e">
        <f t="shared" ca="1" si="353"/>
        <v>#NAME?</v>
      </c>
      <c r="K2033" s="100" t="e">
        <f t="shared" ca="1" si="348"/>
        <v>#NAME?</v>
      </c>
      <c r="L2033" s="100"/>
      <c r="M2033" s="100"/>
      <c r="N2033" s="100"/>
      <c r="O2033" s="100"/>
      <c r="P2033" s="100"/>
      <c r="Q2033" s="100"/>
      <c r="R2033" s="100"/>
      <c r="S2033" s="100"/>
      <c r="T2033" s="100"/>
      <c r="U2033" s="100"/>
      <c r="V2033" s="100"/>
      <c r="W2033" s="100"/>
      <c r="X2033" s="100"/>
      <c r="Y2033" s="100"/>
      <c r="Z2033" s="100"/>
    </row>
    <row r="2034" spans="1:26">
      <c r="A2034" s="100" t="e">
        <f ca="1">IFERROR(__xludf.DUMMYFUNCTION("""COMPUTED_VALUE"""),58785369)</f>
        <v>#NAME?</v>
      </c>
      <c r="B2034" s="100" t="e">
        <f ca="1">IFERROR(__xludf.DUMMYFUNCTION("""COMPUTED_VALUE"""),"JASMYEUR")</f>
        <v>#NAME?</v>
      </c>
      <c r="C2034" s="100" t="e">
        <f ca="1">IFERROR(__xludf.DUMMYFUNCTION("""COMPUTED_VALUE"""),"0.00456800")</f>
        <v>#NAME?</v>
      </c>
      <c r="D2034" s="100" t="e">
        <f t="shared" ca="1" si="352"/>
        <v>#NAME?</v>
      </c>
      <c r="E2034" s="100" t="e">
        <f t="shared" ca="1" si="352"/>
        <v>#NAME?</v>
      </c>
      <c r="F2034" s="100" t="e">
        <f t="shared" ca="1" si="344"/>
        <v>#NAME?</v>
      </c>
      <c r="G2034" s="100" t="e">
        <f t="shared" ca="1" si="345"/>
        <v>#NAME?</v>
      </c>
      <c r="H2034" s="100" t="e">
        <f t="shared" ca="1" si="346"/>
        <v>#NAME?</v>
      </c>
      <c r="I2034" s="100" t="e">
        <f t="shared" ca="1" si="347"/>
        <v>#NAME?</v>
      </c>
      <c r="J2034" s="100" t="e">
        <f t="shared" ca="1" si="353"/>
        <v>#NAME?</v>
      </c>
      <c r="K2034" s="100" t="e">
        <f t="shared" ca="1" si="348"/>
        <v>#NAME?</v>
      </c>
      <c r="L2034" s="100"/>
      <c r="M2034" s="100"/>
      <c r="N2034" s="100"/>
      <c r="O2034" s="100"/>
      <c r="P2034" s="100"/>
      <c r="Q2034" s="100"/>
      <c r="R2034" s="100"/>
      <c r="S2034" s="100"/>
      <c r="T2034" s="100"/>
      <c r="U2034" s="100"/>
      <c r="V2034" s="100"/>
      <c r="W2034" s="100"/>
      <c r="X2034" s="100"/>
      <c r="Y2034" s="100"/>
      <c r="Z2034" s="100"/>
    </row>
    <row r="2035" spans="1:26">
      <c r="A2035" s="100" t="e">
        <f ca="1">IFERROR(__xludf.DUMMYFUNCTION("""COMPUTED_VALUE"""),58785370)</f>
        <v>#NAME?</v>
      </c>
      <c r="B2035" s="100" t="e">
        <f ca="1">IFERROR(__xludf.DUMMYFUNCTION("""COMPUTED_VALUE"""),"KNCBNB")</f>
        <v>#NAME?</v>
      </c>
      <c r="C2035" s="100" t="e">
        <f ca="1">IFERROR(__xludf.DUMMYFUNCTION("""COMPUTED_VALUE"""),"0.00255000")</f>
        <v>#NAME?</v>
      </c>
      <c r="D2035" s="100" t="e">
        <f t="shared" ca="1" si="352"/>
        <v>#NAME?</v>
      </c>
      <c r="E2035" s="100" t="e">
        <f t="shared" ca="1" si="352"/>
        <v>#NAME?</v>
      </c>
      <c r="F2035" s="100" t="e">
        <f t="shared" ca="1" si="344"/>
        <v>#NAME?</v>
      </c>
      <c r="G2035" s="100" t="e">
        <f t="shared" ca="1" si="345"/>
        <v>#NAME?</v>
      </c>
      <c r="H2035" s="100" t="e">
        <f t="shared" ca="1" si="346"/>
        <v>#NAME?</v>
      </c>
      <c r="I2035" s="100" t="e">
        <f t="shared" ca="1" si="347"/>
        <v>#NAME?</v>
      </c>
      <c r="J2035" s="100" t="e">
        <f t="shared" ca="1" si="353"/>
        <v>#NAME?</v>
      </c>
      <c r="K2035" s="100" t="e">
        <f t="shared" ca="1" si="348"/>
        <v>#NAME?</v>
      </c>
      <c r="L2035" s="100"/>
      <c r="M2035" s="100"/>
      <c r="N2035" s="100"/>
      <c r="O2035" s="100"/>
      <c r="P2035" s="100"/>
      <c r="Q2035" s="100"/>
      <c r="R2035" s="100"/>
      <c r="S2035" s="100"/>
      <c r="T2035" s="100"/>
      <c r="U2035" s="100"/>
      <c r="V2035" s="100"/>
      <c r="W2035" s="100"/>
      <c r="X2035" s="100"/>
      <c r="Y2035" s="100"/>
      <c r="Z2035" s="100"/>
    </row>
    <row r="2036" spans="1:26">
      <c r="A2036" s="100" t="e">
        <f ca="1">IFERROR(__xludf.DUMMYFUNCTION("""COMPUTED_VALUE"""),58785371)</f>
        <v>#NAME?</v>
      </c>
      <c r="B2036" s="100" t="e">
        <f ca="1">IFERROR(__xludf.DUMMYFUNCTION("""COMPUTED_VALUE"""),"SHIBGBP")</f>
        <v>#NAME?</v>
      </c>
      <c r="C2036" s="100" t="e">
        <f ca="1">IFERROR(__xludf.DUMMYFUNCTION("""COMPUTED_VALUE"""),"0.00000696")</f>
        <v>#NAME?</v>
      </c>
      <c r="D2036" s="100" t="e">
        <f t="shared" ca="1" si="352"/>
        <v>#NAME?</v>
      </c>
      <c r="E2036" s="100" t="e">
        <f t="shared" ca="1" si="352"/>
        <v>#NAME?</v>
      </c>
      <c r="F2036" s="100" t="e">
        <f t="shared" ca="1" si="344"/>
        <v>#NAME?</v>
      </c>
      <c r="G2036" s="100" t="e">
        <f t="shared" ca="1" si="345"/>
        <v>#NAME?</v>
      </c>
      <c r="H2036" s="100" t="e">
        <f t="shared" ca="1" si="346"/>
        <v>#NAME?</v>
      </c>
      <c r="I2036" s="100" t="e">
        <f t="shared" ca="1" si="347"/>
        <v>#NAME?</v>
      </c>
      <c r="J2036" s="100" t="e">
        <f t="shared" ca="1" si="353"/>
        <v>#NAME?</v>
      </c>
      <c r="K2036" s="100" t="e">
        <f t="shared" ca="1" si="348"/>
        <v>#NAME?</v>
      </c>
      <c r="L2036" s="100"/>
      <c r="M2036" s="100"/>
      <c r="N2036" s="100"/>
      <c r="O2036" s="100"/>
      <c r="P2036" s="100"/>
      <c r="Q2036" s="100"/>
      <c r="R2036" s="100"/>
      <c r="S2036" s="100"/>
      <c r="T2036" s="100"/>
      <c r="U2036" s="100"/>
      <c r="V2036" s="100"/>
      <c r="W2036" s="100"/>
      <c r="X2036" s="100"/>
      <c r="Y2036" s="100"/>
      <c r="Z2036" s="100"/>
    </row>
    <row r="2037" spans="1:26">
      <c r="A2037" s="100" t="e">
        <f ca="1">IFERROR(__xludf.DUMMYFUNCTION("""COMPUTED_VALUE"""),58785372)</f>
        <v>#NAME?</v>
      </c>
      <c r="B2037" s="100" t="e">
        <f ca="1">IFERROR(__xludf.DUMMYFUNCTION("""COMPUTED_VALUE"""),"GALEUR")</f>
        <v>#NAME?</v>
      </c>
      <c r="C2037" s="100" t="e">
        <f ca="1">IFERROR(__xludf.DUMMYFUNCTION("""COMPUTED_VALUE"""),"0.99500000")</f>
        <v>#NAME?</v>
      </c>
      <c r="D2037" s="100" t="e">
        <f t="shared" ca="1" si="352"/>
        <v>#NAME?</v>
      </c>
      <c r="E2037" s="100" t="e">
        <f t="shared" ca="1" si="352"/>
        <v>#NAME?</v>
      </c>
      <c r="F2037" s="100" t="e">
        <f t="shared" ca="1" si="344"/>
        <v>#NAME?</v>
      </c>
      <c r="G2037" s="100" t="e">
        <f t="shared" ca="1" si="345"/>
        <v>#NAME?</v>
      </c>
      <c r="H2037" s="100" t="e">
        <f t="shared" ca="1" si="346"/>
        <v>#NAME?</v>
      </c>
      <c r="I2037" s="100" t="e">
        <f t="shared" ca="1" si="347"/>
        <v>#NAME?</v>
      </c>
      <c r="J2037" s="100" t="e">
        <f t="shared" ca="1" si="353"/>
        <v>#NAME?</v>
      </c>
      <c r="K2037" s="100" t="e">
        <f t="shared" ca="1" si="348"/>
        <v>#NAME?</v>
      </c>
      <c r="L2037" s="100"/>
      <c r="M2037" s="100"/>
      <c r="N2037" s="100"/>
      <c r="O2037" s="100"/>
      <c r="P2037" s="100"/>
      <c r="Q2037" s="100"/>
      <c r="R2037" s="100"/>
      <c r="S2037" s="100"/>
      <c r="T2037" s="100"/>
      <c r="U2037" s="100"/>
      <c r="V2037" s="100"/>
      <c r="W2037" s="100"/>
      <c r="X2037" s="100"/>
      <c r="Y2037" s="100"/>
      <c r="Z2037" s="100"/>
    </row>
    <row r="2038" spans="1:26">
      <c r="A2038" s="100" t="e">
        <f ca="1">IFERROR(__xludf.DUMMYFUNCTION("""COMPUTED_VALUE"""),58785373)</f>
        <v>#NAME?</v>
      </c>
      <c r="B2038" s="100" t="e">
        <f ca="1">IFERROR(__xludf.DUMMYFUNCTION("""COMPUTED_VALUE"""),"GALTRY")</f>
        <v>#NAME?</v>
      </c>
      <c r="C2038" s="100" t="e">
        <f ca="1">IFERROR(__xludf.DUMMYFUNCTION("""COMPUTED_VALUE"""),"84.24000000")</f>
        <v>#NAME?</v>
      </c>
      <c r="D2038" s="100" t="e">
        <f t="shared" ca="1" si="352"/>
        <v>#NAME?</v>
      </c>
      <c r="E2038" s="100" t="e">
        <f t="shared" ca="1" si="352"/>
        <v>#NAME?</v>
      </c>
      <c r="F2038" s="100" t="e">
        <f t="shared" ca="1" si="344"/>
        <v>#NAME?</v>
      </c>
      <c r="G2038" s="100" t="e">
        <f t="shared" ca="1" si="345"/>
        <v>#NAME?</v>
      </c>
      <c r="H2038" s="100" t="e">
        <f t="shared" ca="1" si="346"/>
        <v>#NAME?</v>
      </c>
      <c r="I2038" s="100" t="e">
        <f t="shared" ca="1" si="347"/>
        <v>#NAME?</v>
      </c>
      <c r="J2038" s="100" t="e">
        <f t="shared" ca="1" si="353"/>
        <v>#NAME?</v>
      </c>
      <c r="K2038" s="100" t="e">
        <f t="shared" ca="1" si="348"/>
        <v>#NAME?</v>
      </c>
      <c r="L2038" s="100"/>
      <c r="M2038" s="100"/>
      <c r="N2038" s="100"/>
      <c r="O2038" s="100"/>
      <c r="P2038" s="100"/>
      <c r="Q2038" s="100"/>
      <c r="R2038" s="100"/>
      <c r="S2038" s="100"/>
      <c r="T2038" s="100"/>
      <c r="U2038" s="100"/>
      <c r="V2038" s="100"/>
      <c r="W2038" s="100"/>
      <c r="X2038" s="100"/>
      <c r="Y2038" s="100"/>
      <c r="Z2038" s="100"/>
    </row>
    <row r="2039" spans="1:26">
      <c r="A2039" s="100" t="e">
        <f ca="1">IFERROR(__xludf.DUMMYFUNCTION("""COMPUTED_VALUE"""),58785374)</f>
        <v>#NAME?</v>
      </c>
      <c r="B2039" s="100" t="e">
        <f ca="1">IFERROR(__xludf.DUMMYFUNCTION("""COMPUTED_VALUE"""),"LDOBUSD")</f>
        <v>#NAME?</v>
      </c>
      <c r="C2039" s="100" t="e">
        <f ca="1">IFERROR(__xludf.DUMMYFUNCTION("""COMPUTED_VALUE"""),"1.74400000")</f>
        <v>#NAME?</v>
      </c>
      <c r="D2039" s="100" t="e">
        <f t="shared" ca="1" si="352"/>
        <v>#NAME?</v>
      </c>
      <c r="E2039" s="100" t="e">
        <f t="shared" ca="1" si="352"/>
        <v>#NAME?</v>
      </c>
      <c r="F2039" s="100" t="e">
        <f t="shared" ca="1" si="344"/>
        <v>#NAME?</v>
      </c>
      <c r="G2039" s="100" t="e">
        <f t="shared" ca="1" si="345"/>
        <v>#NAME?</v>
      </c>
      <c r="H2039" s="100" t="e">
        <f t="shared" ca="1" si="346"/>
        <v>#NAME?</v>
      </c>
      <c r="I2039" s="100" t="e">
        <f t="shared" ca="1" si="347"/>
        <v>#NAME?</v>
      </c>
      <c r="J2039" s="100" t="e">
        <f t="shared" ca="1" si="353"/>
        <v>#NAME?</v>
      </c>
      <c r="K2039" s="100" t="e">
        <f t="shared" ca="1" si="348"/>
        <v>#NAME?</v>
      </c>
      <c r="L2039" s="100"/>
      <c r="M2039" s="100"/>
      <c r="N2039" s="100"/>
      <c r="O2039" s="100"/>
      <c r="P2039" s="100"/>
      <c r="Q2039" s="100"/>
      <c r="R2039" s="100"/>
      <c r="S2039" s="100"/>
      <c r="T2039" s="100"/>
      <c r="U2039" s="100"/>
      <c r="V2039" s="100"/>
      <c r="W2039" s="100"/>
      <c r="X2039" s="100"/>
      <c r="Y2039" s="100"/>
      <c r="Z2039" s="100"/>
    </row>
    <row r="2040" spans="1:26">
      <c r="A2040" s="100" t="e">
        <f ca="1">IFERROR(__xludf.DUMMYFUNCTION("""COMPUTED_VALUE"""),58785375)</f>
        <v>#NAME?</v>
      </c>
      <c r="B2040" s="100" t="e">
        <f ca="1">IFERROR(__xludf.DUMMYFUNCTION("""COMPUTED_VALUE"""),"LDOUSDT")</f>
        <v>#NAME?</v>
      </c>
      <c r="C2040" s="100" t="e">
        <f ca="1">IFERROR(__xludf.DUMMYFUNCTION("""COMPUTED_VALUE"""),"0.72900000")</f>
        <v>#NAME?</v>
      </c>
      <c r="D2040" s="100" t="e">
        <f t="shared" ca="1" si="352"/>
        <v>#NAME?</v>
      </c>
      <c r="E2040" s="100" t="e">
        <f t="shared" ca="1" si="352"/>
        <v>#NAME?</v>
      </c>
      <c r="F2040" s="100" t="e">
        <f t="shared" ca="1" si="344"/>
        <v>#NAME?</v>
      </c>
      <c r="G2040" s="100" t="e">
        <f t="shared" ca="1" si="345"/>
        <v>#NAME?</v>
      </c>
      <c r="H2040" s="100" t="e">
        <f t="shared" ca="1" si="346"/>
        <v>#NAME?</v>
      </c>
      <c r="I2040" s="100" t="e">
        <f t="shared" ca="1" si="347"/>
        <v>#NAME?</v>
      </c>
      <c r="J2040" s="100" t="e">
        <f ca="1">IFERROR(__xludf.DUMMYFUNCTION("""COMPUTED_VALUE"""),"-1.353")</f>
        <v>#NAME?</v>
      </c>
      <c r="K2040" s="100" t="e">
        <f t="shared" ca="1" si="348"/>
        <v>#NAME?</v>
      </c>
      <c r="L2040" s="100"/>
      <c r="M2040" s="100"/>
      <c r="N2040" s="100"/>
      <c r="O2040" s="100"/>
      <c r="P2040" s="100"/>
      <c r="Q2040" s="100"/>
      <c r="R2040" s="100"/>
      <c r="S2040" s="100"/>
      <c r="T2040" s="100"/>
      <c r="U2040" s="100"/>
      <c r="V2040" s="100"/>
      <c r="W2040" s="100"/>
      <c r="X2040" s="100"/>
      <c r="Y2040" s="100"/>
      <c r="Z2040" s="100"/>
    </row>
    <row r="2041" spans="1:26">
      <c r="A2041" s="100" t="e">
        <f ca="1">IFERROR(__xludf.DUMMYFUNCTION("""COMPUTED_VALUE"""),58785376)</f>
        <v>#NAME?</v>
      </c>
      <c r="B2041" s="100" t="e">
        <f ca="1">IFERROR(__xludf.DUMMYFUNCTION("""COMPUTED_VALUE"""),"LDOBTC")</f>
        <v>#NAME?</v>
      </c>
      <c r="C2041" s="100" t="e">
        <f ca="1">IFERROR(__xludf.DUMMYFUNCTION("""COMPUTED_VALUE"""),"0.00000826")</f>
        <v>#NAME?</v>
      </c>
      <c r="D2041" s="100" t="e">
        <f t="shared" ca="1" si="352"/>
        <v>#NAME?</v>
      </c>
      <c r="E2041" s="100" t="e">
        <f t="shared" ca="1" si="352"/>
        <v>#NAME?</v>
      </c>
      <c r="F2041" s="100" t="e">
        <f t="shared" ca="1" si="344"/>
        <v>#NAME?</v>
      </c>
      <c r="G2041" s="100" t="e">
        <f t="shared" ca="1" si="345"/>
        <v>#NAME?</v>
      </c>
      <c r="H2041" s="100" t="e">
        <f t="shared" ca="1" si="346"/>
        <v>#NAME?</v>
      </c>
      <c r="I2041" s="100" t="e">
        <f t="shared" ca="1" si="347"/>
        <v>#NAME?</v>
      </c>
      <c r="J2041" s="100" t="e">
        <f ca="1">IFERROR(__xludf.DUMMYFUNCTION("""COMPUTED_VALUE"""),"-1.900")</f>
        <v>#NAME?</v>
      </c>
      <c r="K2041" s="100" t="e">
        <f t="shared" ca="1" si="348"/>
        <v>#NAME?</v>
      </c>
      <c r="L2041" s="100"/>
      <c r="M2041" s="100"/>
      <c r="N2041" s="100"/>
      <c r="O2041" s="100"/>
      <c r="P2041" s="100"/>
      <c r="Q2041" s="100"/>
      <c r="R2041" s="100"/>
      <c r="S2041" s="100"/>
      <c r="T2041" s="100"/>
      <c r="U2041" s="100"/>
      <c r="V2041" s="100"/>
      <c r="W2041" s="100"/>
      <c r="X2041" s="100"/>
      <c r="Y2041" s="100"/>
      <c r="Z2041" s="100"/>
    </row>
    <row r="2042" spans="1:26">
      <c r="A2042" s="100" t="e">
        <f ca="1">IFERROR(__xludf.DUMMYFUNCTION("""COMPUTED_VALUE"""),58785377)</f>
        <v>#NAME?</v>
      </c>
      <c r="B2042" s="100" t="e">
        <f ca="1">IFERROR(__xludf.DUMMYFUNCTION("""COMPUTED_VALUE"""),"ENSTRY")</f>
        <v>#NAME?</v>
      </c>
      <c r="C2042" s="100" t="e">
        <f ca="1">IFERROR(__xludf.DUMMYFUNCTION("""COMPUTED_VALUE"""),"584.00000000")</f>
        <v>#NAME?</v>
      </c>
      <c r="D2042" s="100" t="e">
        <f t="shared" ref="D2042:E2061" ca="1" si="354">IFERROR(__xludf.DUMMYFUNCTION("""COMPUTED_VALUE"""),"-")</f>
        <v>#NAME?</v>
      </c>
      <c r="E2042" s="100" t="e">
        <f t="shared" ca="1" si="354"/>
        <v>#NAME?</v>
      </c>
      <c r="F2042" s="100" t="e">
        <f t="shared" ca="1" si="344"/>
        <v>#NAME?</v>
      </c>
      <c r="G2042" s="100" t="e">
        <f t="shared" ca="1" si="345"/>
        <v>#NAME?</v>
      </c>
      <c r="H2042" s="100" t="e">
        <f t="shared" ca="1" si="346"/>
        <v>#NAME?</v>
      </c>
      <c r="I2042" s="100" t="e">
        <f t="shared" ca="1" si="347"/>
        <v>#NAME?</v>
      </c>
      <c r="J2042" s="100" t="e">
        <f ca="1">IFERROR(__xludf.DUMMYFUNCTION("""COMPUTED_VALUE"""),"0.898")</f>
        <v>#NAME?</v>
      </c>
      <c r="K2042" s="100" t="e">
        <f t="shared" ca="1" si="348"/>
        <v>#NAME?</v>
      </c>
      <c r="L2042" s="100"/>
      <c r="M2042" s="100"/>
      <c r="N2042" s="100"/>
      <c r="O2042" s="100"/>
      <c r="P2042" s="100"/>
      <c r="Q2042" s="100"/>
      <c r="R2042" s="100"/>
      <c r="S2042" s="100"/>
      <c r="T2042" s="100"/>
      <c r="U2042" s="100"/>
      <c r="V2042" s="100"/>
      <c r="W2042" s="100"/>
      <c r="X2042" s="100"/>
      <c r="Y2042" s="100"/>
      <c r="Z2042" s="100"/>
    </row>
    <row r="2043" spans="1:26">
      <c r="A2043" s="100" t="e">
        <f ca="1">IFERROR(__xludf.DUMMYFUNCTION("""COMPUTED_VALUE"""),58785378)</f>
        <v>#NAME?</v>
      </c>
      <c r="B2043" s="100" t="e">
        <f ca="1">IFERROR(__xludf.DUMMYFUNCTION("""COMPUTED_VALUE"""),"DAREUR")</f>
        <v>#NAME?</v>
      </c>
      <c r="C2043" s="100" t="e">
        <f ca="1">IFERROR(__xludf.DUMMYFUNCTION("""COMPUTED_VALUE"""),"0.12133000")</f>
        <v>#NAME?</v>
      </c>
      <c r="D2043" s="100" t="e">
        <f t="shared" ca="1" si="354"/>
        <v>#NAME?</v>
      </c>
      <c r="E2043" s="100" t="e">
        <f t="shared" ca="1" si="354"/>
        <v>#NAME?</v>
      </c>
      <c r="F2043" s="100" t="e">
        <f t="shared" ca="1" si="344"/>
        <v>#NAME?</v>
      </c>
      <c r="G2043" s="100" t="e">
        <f t="shared" ca="1" si="345"/>
        <v>#NAME?</v>
      </c>
      <c r="H2043" s="100" t="e">
        <f t="shared" ca="1" si="346"/>
        <v>#NAME?</v>
      </c>
      <c r="I2043" s="100" t="e">
        <f t="shared" ca="1" si="347"/>
        <v>#NAME?</v>
      </c>
      <c r="J2043" s="100" t="e">
        <f ca="1">IFERROR(__xludf.DUMMYFUNCTION("""COMPUTED_VALUE"""),"0")</f>
        <v>#NAME?</v>
      </c>
      <c r="K2043" s="100" t="e">
        <f t="shared" ca="1" si="348"/>
        <v>#NAME?</v>
      </c>
      <c r="L2043" s="100"/>
      <c r="M2043" s="100"/>
      <c r="N2043" s="100"/>
      <c r="O2043" s="100"/>
      <c r="P2043" s="100"/>
      <c r="Q2043" s="100"/>
      <c r="R2043" s="100"/>
      <c r="S2043" s="100"/>
      <c r="T2043" s="100"/>
      <c r="U2043" s="100"/>
      <c r="V2043" s="100"/>
      <c r="W2043" s="100"/>
      <c r="X2043" s="100"/>
      <c r="Y2043" s="100"/>
      <c r="Z2043" s="100"/>
    </row>
    <row r="2044" spans="1:26">
      <c r="A2044" s="100" t="e">
        <f ca="1">IFERROR(__xludf.DUMMYFUNCTION("""COMPUTED_VALUE"""),58785379)</f>
        <v>#NAME?</v>
      </c>
      <c r="B2044" s="100" t="e">
        <f ca="1">IFERROR(__xludf.DUMMYFUNCTION("""COMPUTED_VALUE"""),"DARETH")</f>
        <v>#NAME?</v>
      </c>
      <c r="C2044" s="100" t="e">
        <f ca="1">IFERROR(__xludf.DUMMYFUNCTION("""COMPUTED_VALUE"""),"0.00010140")</f>
        <v>#NAME?</v>
      </c>
      <c r="D2044" s="100" t="e">
        <f t="shared" ca="1" si="354"/>
        <v>#NAME?</v>
      </c>
      <c r="E2044" s="100" t="e">
        <f t="shared" ca="1" si="354"/>
        <v>#NAME?</v>
      </c>
      <c r="F2044" s="100" t="e">
        <f t="shared" ca="1" si="344"/>
        <v>#NAME?</v>
      </c>
      <c r="G2044" s="100" t="e">
        <f t="shared" ca="1" si="345"/>
        <v>#NAME?</v>
      </c>
      <c r="H2044" s="100" t="e">
        <f t="shared" ca="1" si="346"/>
        <v>#NAME?</v>
      </c>
      <c r="I2044" s="100" t="e">
        <f t="shared" ca="1" si="347"/>
        <v>#NAME?</v>
      </c>
      <c r="J2044" s="100" t="e">
        <f ca="1">IFERROR(__xludf.DUMMYFUNCTION("""COMPUTED_VALUE"""),"0")</f>
        <v>#NAME?</v>
      </c>
      <c r="K2044" s="100" t="e">
        <f t="shared" ca="1" si="348"/>
        <v>#NAME?</v>
      </c>
      <c r="L2044" s="100"/>
      <c r="M2044" s="100"/>
      <c r="N2044" s="100"/>
      <c r="O2044" s="100"/>
      <c r="P2044" s="100"/>
      <c r="Q2044" s="100"/>
      <c r="R2044" s="100"/>
      <c r="S2044" s="100"/>
      <c r="T2044" s="100"/>
      <c r="U2044" s="100"/>
      <c r="V2044" s="100"/>
      <c r="W2044" s="100"/>
      <c r="X2044" s="100"/>
      <c r="Y2044" s="100"/>
      <c r="Z2044" s="100"/>
    </row>
    <row r="2045" spans="1:26">
      <c r="A2045" s="100" t="e">
        <f ca="1">IFERROR(__xludf.DUMMYFUNCTION("""COMPUTED_VALUE"""),58785380)</f>
        <v>#NAME?</v>
      </c>
      <c r="B2045" s="100" t="e">
        <f ca="1">IFERROR(__xludf.DUMMYFUNCTION("""COMPUTED_VALUE"""),"ALGOETH")</f>
        <v>#NAME?</v>
      </c>
      <c r="C2045" s="100" t="e">
        <f ca="1">IFERROR(__xludf.DUMMYFUNCTION("""COMPUTED_VALUE"""),"0.00004447")</f>
        <v>#NAME?</v>
      </c>
      <c r="D2045" s="100" t="e">
        <f t="shared" ca="1" si="354"/>
        <v>#NAME?</v>
      </c>
      <c r="E2045" s="100" t="e">
        <f t="shared" ca="1" si="354"/>
        <v>#NAME?</v>
      </c>
      <c r="F2045" s="100" t="e">
        <f t="shared" ca="1" si="344"/>
        <v>#NAME?</v>
      </c>
      <c r="G2045" s="100" t="e">
        <f t="shared" ca="1" si="345"/>
        <v>#NAME?</v>
      </c>
      <c r="H2045" s="100" t="e">
        <f t="shared" ca="1" si="346"/>
        <v>#NAME?</v>
      </c>
      <c r="I2045" s="100" t="e">
        <f t="shared" ca="1" si="347"/>
        <v>#NAME?</v>
      </c>
      <c r="J2045" s="100" t="e">
        <f ca="1">IFERROR(__xludf.DUMMYFUNCTION("""COMPUTED_VALUE"""),"0")</f>
        <v>#NAME?</v>
      </c>
      <c r="K2045" s="100" t="e">
        <f t="shared" ca="1" si="348"/>
        <v>#NAME?</v>
      </c>
      <c r="L2045" s="100"/>
      <c r="M2045" s="100"/>
      <c r="N2045" s="100"/>
      <c r="O2045" s="100"/>
      <c r="P2045" s="100"/>
      <c r="Q2045" s="100"/>
      <c r="R2045" s="100"/>
      <c r="S2045" s="100"/>
      <c r="T2045" s="100"/>
      <c r="U2045" s="100"/>
      <c r="V2045" s="100"/>
      <c r="W2045" s="100"/>
      <c r="X2045" s="100"/>
      <c r="Y2045" s="100"/>
      <c r="Z2045" s="100"/>
    </row>
    <row r="2046" spans="1:26">
      <c r="A2046" s="100" t="e">
        <f ca="1">IFERROR(__xludf.DUMMYFUNCTION("""COMPUTED_VALUE"""),58785381)</f>
        <v>#NAME?</v>
      </c>
      <c r="B2046" s="100" t="e">
        <f ca="1">IFERROR(__xludf.DUMMYFUNCTION("""COMPUTED_VALUE"""),"ALGOTRY")</f>
        <v>#NAME?</v>
      </c>
      <c r="C2046" s="100" t="e">
        <f ca="1">IFERROR(__xludf.DUMMYFUNCTION("""COMPUTED_VALUE"""),"7.35800000")</f>
        <v>#NAME?</v>
      </c>
      <c r="D2046" s="100" t="e">
        <f t="shared" ca="1" si="354"/>
        <v>#NAME?</v>
      </c>
      <c r="E2046" s="100" t="e">
        <f t="shared" ca="1" si="354"/>
        <v>#NAME?</v>
      </c>
      <c r="F2046" s="100" t="e">
        <f t="shared" ca="1" si="344"/>
        <v>#NAME?</v>
      </c>
      <c r="G2046" s="100" t="e">
        <f t="shared" ca="1" si="345"/>
        <v>#NAME?</v>
      </c>
      <c r="H2046" s="100" t="e">
        <f t="shared" ca="1" si="346"/>
        <v>#NAME?</v>
      </c>
      <c r="I2046" s="100" t="e">
        <f t="shared" ca="1" si="347"/>
        <v>#NAME?</v>
      </c>
      <c r="J2046" s="100" t="e">
        <f ca="1">IFERROR(__xludf.DUMMYFUNCTION("""COMPUTED_VALUE"""),"-4.218")</f>
        <v>#NAME?</v>
      </c>
      <c r="K2046" s="100" t="e">
        <f t="shared" ca="1" si="348"/>
        <v>#NAME?</v>
      </c>
      <c r="L2046" s="100"/>
      <c r="M2046" s="100"/>
      <c r="N2046" s="100"/>
      <c r="O2046" s="100"/>
      <c r="P2046" s="100"/>
      <c r="Q2046" s="100"/>
      <c r="R2046" s="100"/>
      <c r="S2046" s="100"/>
      <c r="T2046" s="100"/>
      <c r="U2046" s="100"/>
      <c r="V2046" s="100"/>
      <c r="W2046" s="100"/>
      <c r="X2046" s="100"/>
      <c r="Y2046" s="100"/>
      <c r="Z2046" s="100"/>
    </row>
    <row r="2047" spans="1:26">
      <c r="A2047" s="100" t="e">
        <f ca="1">IFERROR(__xludf.DUMMYFUNCTION("""COMPUTED_VALUE"""),58785382)</f>
        <v>#NAME?</v>
      </c>
      <c r="B2047" s="100" t="e">
        <f ca="1">IFERROR(__xludf.DUMMYFUNCTION("""COMPUTED_VALUE"""),"GALETH")</f>
        <v>#NAME?</v>
      </c>
      <c r="C2047" s="100" t="e">
        <f ca="1">IFERROR(__xludf.DUMMYFUNCTION("""COMPUTED_VALUE"""),"0.00076200")</f>
        <v>#NAME?</v>
      </c>
      <c r="D2047" s="100" t="e">
        <f t="shared" ca="1" si="354"/>
        <v>#NAME?</v>
      </c>
      <c r="E2047" s="100" t="e">
        <f t="shared" ca="1" si="354"/>
        <v>#NAME?</v>
      </c>
      <c r="F2047" s="100" t="e">
        <f t="shared" ca="1" si="344"/>
        <v>#NAME?</v>
      </c>
      <c r="G2047" s="100" t="e">
        <f t="shared" ca="1" si="345"/>
        <v>#NAME?</v>
      </c>
      <c r="H2047" s="100" t="e">
        <f t="shared" ca="1" si="346"/>
        <v>#NAME?</v>
      </c>
      <c r="I2047" s="100" t="e">
        <f t="shared" ca="1" si="347"/>
        <v>#NAME?</v>
      </c>
      <c r="J2047" s="100" t="e">
        <f t="shared" ref="J2047:J2059" ca="1" si="355">IFERROR(__xludf.DUMMYFUNCTION("""COMPUTED_VALUE"""),"0")</f>
        <v>#NAME?</v>
      </c>
      <c r="K2047" s="100" t="e">
        <f t="shared" ca="1" si="348"/>
        <v>#NAME?</v>
      </c>
      <c r="L2047" s="100"/>
      <c r="M2047" s="100"/>
      <c r="N2047" s="100"/>
      <c r="O2047" s="100"/>
      <c r="P2047" s="100"/>
      <c r="Q2047" s="100"/>
      <c r="R2047" s="100"/>
      <c r="S2047" s="100"/>
      <c r="T2047" s="100"/>
      <c r="U2047" s="100"/>
      <c r="V2047" s="100"/>
      <c r="W2047" s="100"/>
      <c r="X2047" s="100"/>
      <c r="Y2047" s="100"/>
      <c r="Z2047" s="100"/>
    </row>
    <row r="2048" spans="1:26">
      <c r="A2048" s="100" t="e">
        <f ca="1">IFERROR(__xludf.DUMMYFUNCTION("""COMPUTED_VALUE"""),58785383)</f>
        <v>#NAME?</v>
      </c>
      <c r="B2048" s="100" t="e">
        <f ca="1">IFERROR(__xludf.DUMMYFUNCTION("""COMPUTED_VALUE"""),"EPXUSDT")</f>
        <v>#NAME?</v>
      </c>
      <c r="C2048" s="100" t="e">
        <f ca="1">IFERROR(__xludf.DUMMYFUNCTION("""COMPUTED_VALUE"""),"0.00001940")</f>
        <v>#NAME?</v>
      </c>
      <c r="D2048" s="100" t="e">
        <f t="shared" ca="1" si="354"/>
        <v>#NAME?</v>
      </c>
      <c r="E2048" s="100" t="e">
        <f t="shared" ca="1" si="354"/>
        <v>#NAME?</v>
      </c>
      <c r="F2048" s="100" t="e">
        <f t="shared" ca="1" si="344"/>
        <v>#NAME?</v>
      </c>
      <c r="G2048" s="100" t="e">
        <f t="shared" ca="1" si="345"/>
        <v>#NAME?</v>
      </c>
      <c r="H2048" s="100" t="e">
        <f t="shared" ca="1" si="346"/>
        <v>#NAME?</v>
      </c>
      <c r="I2048" s="100" t="e">
        <f t="shared" ca="1" si="347"/>
        <v>#NAME?</v>
      </c>
      <c r="J2048" s="100" t="e">
        <f t="shared" ca="1" si="355"/>
        <v>#NAME?</v>
      </c>
      <c r="K2048" s="100" t="e">
        <f t="shared" ca="1" si="348"/>
        <v>#NAME?</v>
      </c>
      <c r="L2048" s="100"/>
      <c r="M2048" s="100"/>
      <c r="N2048" s="100"/>
      <c r="O2048" s="100"/>
      <c r="P2048" s="100"/>
      <c r="Q2048" s="100"/>
      <c r="R2048" s="100"/>
      <c r="S2048" s="100"/>
      <c r="T2048" s="100"/>
      <c r="U2048" s="100"/>
      <c r="V2048" s="100"/>
      <c r="W2048" s="100"/>
      <c r="X2048" s="100"/>
      <c r="Y2048" s="100"/>
      <c r="Z2048" s="100"/>
    </row>
    <row r="2049" spans="1:26">
      <c r="A2049" s="100" t="e">
        <f ca="1">IFERROR(__xludf.DUMMYFUNCTION("""COMPUTED_VALUE"""),58785384)</f>
        <v>#NAME?</v>
      </c>
      <c r="B2049" s="100" t="e">
        <f ca="1">IFERROR(__xludf.DUMMYFUNCTION("""COMPUTED_VALUE"""),"EPXBUSD")</f>
        <v>#NAME?</v>
      </c>
      <c r="C2049" s="100" t="e">
        <f ca="1">IFERROR(__xludf.DUMMYFUNCTION("""COMPUTED_VALUE"""),"0.00016980")</f>
        <v>#NAME?</v>
      </c>
      <c r="D2049" s="100" t="e">
        <f t="shared" ca="1" si="354"/>
        <v>#NAME?</v>
      </c>
      <c r="E2049" s="100" t="e">
        <f t="shared" ca="1" si="354"/>
        <v>#NAME?</v>
      </c>
      <c r="F2049" s="100" t="e">
        <f t="shared" ca="1" si="344"/>
        <v>#NAME?</v>
      </c>
      <c r="G2049" s="100" t="e">
        <f t="shared" ca="1" si="345"/>
        <v>#NAME?</v>
      </c>
      <c r="H2049" s="100" t="e">
        <f t="shared" ca="1" si="346"/>
        <v>#NAME?</v>
      </c>
      <c r="I2049" s="100" t="e">
        <f t="shared" ca="1" si="347"/>
        <v>#NAME?</v>
      </c>
      <c r="J2049" s="100" t="e">
        <f t="shared" ca="1" si="355"/>
        <v>#NAME?</v>
      </c>
      <c r="K2049" s="100" t="e">
        <f t="shared" ca="1" si="348"/>
        <v>#NAME?</v>
      </c>
      <c r="L2049" s="100"/>
      <c r="M2049" s="100"/>
      <c r="N2049" s="100"/>
      <c r="O2049" s="100"/>
      <c r="P2049" s="100"/>
      <c r="Q2049" s="100"/>
      <c r="R2049" s="100"/>
      <c r="S2049" s="100"/>
      <c r="T2049" s="100"/>
      <c r="U2049" s="100"/>
      <c r="V2049" s="100"/>
      <c r="W2049" s="100"/>
      <c r="X2049" s="100"/>
      <c r="Y2049" s="100"/>
      <c r="Z2049" s="100"/>
    </row>
    <row r="2050" spans="1:26">
      <c r="A2050" s="100" t="e">
        <f ca="1">IFERROR(__xludf.DUMMYFUNCTION("""COMPUTED_VALUE"""),58785385)</f>
        <v>#NAME?</v>
      </c>
      <c r="B2050" s="100" t="e">
        <f ca="1">IFERROR(__xludf.DUMMYFUNCTION("""COMPUTED_VALUE"""),"RUNETRY")</f>
        <v>#NAME?</v>
      </c>
      <c r="C2050" s="100" t="e">
        <f ca="1">IFERROR(__xludf.DUMMYFUNCTION("""COMPUTED_VALUE"""),"31.38000000")</f>
        <v>#NAME?</v>
      </c>
      <c r="D2050" s="100" t="e">
        <f t="shared" ca="1" si="354"/>
        <v>#NAME?</v>
      </c>
      <c r="E2050" s="100" t="e">
        <f t="shared" ca="1" si="354"/>
        <v>#NAME?</v>
      </c>
      <c r="F2050" s="100" t="e">
        <f t="shared" ref="F2050:F2113" ca="1" si="356">IFERROR(__xludf.DUMMYFUNCTION("""COMPUTED_VALUE"""),20200)</f>
        <v>#NAME?</v>
      </c>
      <c r="G2050" s="100" t="e">
        <f t="shared" ref="G2050:G2113" ca="1" si="357">IFERROR(__xludf.DUMMYFUNCTION("""COMPUTED_VALUE"""),2885)</f>
        <v>#NAME?</v>
      </c>
      <c r="H2050" s="100" t="e">
        <f t="shared" ref="H2050:H2113" ca="1" si="358">IFERROR(__xludf.DUMMYFUNCTION("""COMPUTED_VALUE"""),663)</f>
        <v>#NAME?</v>
      </c>
      <c r="I2050" s="100" t="e">
        <f t="shared" ref="I2050:I2113" ca="1" si="359">IFERROR(__xludf.DUMMYFUNCTION("""COMPUTED_VALUE"""),5817721)</f>
        <v>#NAME?</v>
      </c>
      <c r="J2050" s="100" t="e">
        <f t="shared" ca="1" si="355"/>
        <v>#NAME?</v>
      </c>
      <c r="K2050" s="100" t="e">
        <f t="shared" ref="K2050:K2113" ca="1" si="360">IFERROR(__xludf.DUMMYFUNCTION("""COMPUTED_VALUE"""),"22.04.2025 13:05:01")</f>
        <v>#NAME?</v>
      </c>
      <c r="L2050" s="100"/>
      <c r="M2050" s="100"/>
      <c r="N2050" s="100"/>
      <c r="O2050" s="100"/>
      <c r="P2050" s="100"/>
      <c r="Q2050" s="100"/>
      <c r="R2050" s="100"/>
      <c r="S2050" s="100"/>
      <c r="T2050" s="100"/>
      <c r="U2050" s="100"/>
      <c r="V2050" s="100"/>
      <c r="W2050" s="100"/>
      <c r="X2050" s="100"/>
      <c r="Y2050" s="100"/>
      <c r="Z2050" s="100"/>
    </row>
    <row r="2051" spans="1:26">
      <c r="A2051" s="100" t="e">
        <f ca="1">IFERROR(__xludf.DUMMYFUNCTION("""COMPUTED_VALUE"""),58785386)</f>
        <v>#NAME?</v>
      </c>
      <c r="B2051" s="100" t="e">
        <f ca="1">IFERROR(__xludf.DUMMYFUNCTION("""COMPUTED_VALUE"""),"GALBRL")</f>
        <v>#NAME?</v>
      </c>
      <c r="C2051" s="100" t="e">
        <f ca="1">IFERROR(__xludf.DUMMYFUNCTION("""COMPUTED_VALUE"""),"8.68000000")</f>
        <v>#NAME?</v>
      </c>
      <c r="D2051" s="100" t="e">
        <f t="shared" ca="1" si="354"/>
        <v>#NAME?</v>
      </c>
      <c r="E2051" s="100" t="e">
        <f t="shared" ca="1" si="354"/>
        <v>#NAME?</v>
      </c>
      <c r="F2051" s="100" t="e">
        <f t="shared" ca="1" si="356"/>
        <v>#NAME?</v>
      </c>
      <c r="G2051" s="100" t="e">
        <f t="shared" ca="1" si="357"/>
        <v>#NAME?</v>
      </c>
      <c r="H2051" s="100" t="e">
        <f t="shared" ca="1" si="358"/>
        <v>#NAME?</v>
      </c>
      <c r="I2051" s="100" t="e">
        <f t="shared" ca="1" si="359"/>
        <v>#NAME?</v>
      </c>
      <c r="J2051" s="100" t="e">
        <f t="shared" ca="1" si="355"/>
        <v>#NAME?</v>
      </c>
      <c r="K2051" s="100" t="e">
        <f t="shared" ca="1" si="360"/>
        <v>#NAME?</v>
      </c>
      <c r="L2051" s="100"/>
      <c r="M2051" s="100"/>
      <c r="N2051" s="100"/>
      <c r="O2051" s="100"/>
      <c r="P2051" s="100"/>
      <c r="Q2051" s="100"/>
      <c r="R2051" s="100"/>
      <c r="S2051" s="100"/>
      <c r="T2051" s="100"/>
      <c r="U2051" s="100"/>
      <c r="V2051" s="100"/>
      <c r="W2051" s="100"/>
      <c r="X2051" s="100"/>
      <c r="Y2051" s="100"/>
      <c r="Z2051" s="100"/>
    </row>
    <row r="2052" spans="1:26">
      <c r="A2052" s="100" t="e">
        <f ca="1">IFERROR(__xludf.DUMMYFUNCTION("""COMPUTED_VALUE"""),58785387)</f>
        <v>#NAME?</v>
      </c>
      <c r="B2052" s="100" t="e">
        <f ca="1">IFERROR(__xludf.DUMMYFUNCTION("""COMPUTED_VALUE"""),"STEEMBUSD")</f>
        <v>#NAME?</v>
      </c>
      <c r="C2052" s="100" t="e">
        <f ca="1">IFERROR(__xludf.DUMMYFUNCTION("""COMPUTED_VALUE"""),"0.18470000")</f>
        <v>#NAME?</v>
      </c>
      <c r="D2052" s="100" t="e">
        <f t="shared" ca="1" si="354"/>
        <v>#NAME?</v>
      </c>
      <c r="E2052" s="100" t="e">
        <f t="shared" ca="1" si="354"/>
        <v>#NAME?</v>
      </c>
      <c r="F2052" s="100" t="e">
        <f t="shared" ca="1" si="356"/>
        <v>#NAME?</v>
      </c>
      <c r="G2052" s="100" t="e">
        <f t="shared" ca="1" si="357"/>
        <v>#NAME?</v>
      </c>
      <c r="H2052" s="100" t="e">
        <f t="shared" ca="1" si="358"/>
        <v>#NAME?</v>
      </c>
      <c r="I2052" s="100" t="e">
        <f t="shared" ca="1" si="359"/>
        <v>#NAME?</v>
      </c>
      <c r="J2052" s="100" t="e">
        <f t="shared" ca="1" si="355"/>
        <v>#NAME?</v>
      </c>
      <c r="K2052" s="100" t="e">
        <f t="shared" ca="1" si="360"/>
        <v>#NAME?</v>
      </c>
      <c r="L2052" s="100"/>
      <c r="M2052" s="100"/>
      <c r="N2052" s="100"/>
      <c r="O2052" s="100"/>
      <c r="P2052" s="100"/>
      <c r="Q2052" s="100"/>
      <c r="R2052" s="100"/>
      <c r="S2052" s="100"/>
      <c r="T2052" s="100"/>
      <c r="U2052" s="100"/>
      <c r="V2052" s="100"/>
      <c r="W2052" s="100"/>
      <c r="X2052" s="100"/>
      <c r="Y2052" s="100"/>
      <c r="Z2052" s="100"/>
    </row>
    <row r="2053" spans="1:26">
      <c r="A2053" s="100" t="e">
        <f ca="1">IFERROR(__xludf.DUMMYFUNCTION("""COMPUTED_VALUE"""),58785388)</f>
        <v>#NAME?</v>
      </c>
      <c r="B2053" s="100" t="e">
        <f ca="1">IFERROR(__xludf.DUMMYFUNCTION("""COMPUTED_VALUE"""),"CVCBUSD")</f>
        <v>#NAME?</v>
      </c>
      <c r="C2053" s="100" t="e">
        <f ca="1">IFERROR(__xludf.DUMMYFUNCTION("""COMPUTED_VALUE"""),"0.06880000")</f>
        <v>#NAME?</v>
      </c>
      <c r="D2053" s="100" t="e">
        <f t="shared" ca="1" si="354"/>
        <v>#NAME?</v>
      </c>
      <c r="E2053" s="100" t="e">
        <f t="shared" ca="1" si="354"/>
        <v>#NAME?</v>
      </c>
      <c r="F2053" s="100" t="e">
        <f t="shared" ca="1" si="356"/>
        <v>#NAME?</v>
      </c>
      <c r="G2053" s="100" t="e">
        <f t="shared" ca="1" si="357"/>
        <v>#NAME?</v>
      </c>
      <c r="H2053" s="100" t="e">
        <f t="shared" ca="1" si="358"/>
        <v>#NAME?</v>
      </c>
      <c r="I2053" s="100" t="e">
        <f t="shared" ca="1" si="359"/>
        <v>#NAME?</v>
      </c>
      <c r="J2053" s="100" t="e">
        <f t="shared" ca="1" si="355"/>
        <v>#NAME?</v>
      </c>
      <c r="K2053" s="100" t="e">
        <f t="shared" ca="1" si="360"/>
        <v>#NAME?</v>
      </c>
      <c r="L2053" s="100"/>
      <c r="M2053" s="100"/>
      <c r="N2053" s="100"/>
      <c r="O2053" s="100"/>
      <c r="P2053" s="100"/>
      <c r="Q2053" s="100"/>
      <c r="R2053" s="100"/>
      <c r="S2053" s="100"/>
      <c r="T2053" s="100"/>
      <c r="U2053" s="100"/>
      <c r="V2053" s="100"/>
      <c r="W2053" s="100"/>
      <c r="X2053" s="100"/>
      <c r="Y2053" s="100"/>
      <c r="Z2053" s="100"/>
    </row>
    <row r="2054" spans="1:26">
      <c r="A2054" s="100" t="e">
        <f ca="1">IFERROR(__xludf.DUMMYFUNCTION("""COMPUTED_VALUE"""),58785389)</f>
        <v>#NAME?</v>
      </c>
      <c r="B2054" s="100" t="e">
        <f ca="1">IFERROR(__xludf.DUMMYFUNCTION("""COMPUTED_VALUE"""),"REIBUSD")</f>
        <v>#NAME?</v>
      </c>
      <c r="C2054" s="100" t="e">
        <f ca="1">IFERROR(__xludf.DUMMYFUNCTION("""COMPUTED_VALUE"""),"0.03079000")</f>
        <v>#NAME?</v>
      </c>
      <c r="D2054" s="100" t="e">
        <f t="shared" ca="1" si="354"/>
        <v>#NAME?</v>
      </c>
      <c r="E2054" s="100" t="e">
        <f t="shared" ca="1" si="354"/>
        <v>#NAME?</v>
      </c>
      <c r="F2054" s="100" t="e">
        <f t="shared" ca="1" si="356"/>
        <v>#NAME?</v>
      </c>
      <c r="G2054" s="100" t="e">
        <f t="shared" ca="1" si="357"/>
        <v>#NAME?</v>
      </c>
      <c r="H2054" s="100" t="e">
        <f t="shared" ca="1" si="358"/>
        <v>#NAME?</v>
      </c>
      <c r="I2054" s="100" t="e">
        <f t="shared" ca="1" si="359"/>
        <v>#NAME?</v>
      </c>
      <c r="J2054" s="100" t="e">
        <f t="shared" ca="1" si="355"/>
        <v>#NAME?</v>
      </c>
      <c r="K2054" s="100" t="e">
        <f t="shared" ca="1" si="360"/>
        <v>#NAME?</v>
      </c>
      <c r="L2054" s="100"/>
      <c r="M2054" s="100"/>
      <c r="N2054" s="100"/>
      <c r="O2054" s="100"/>
      <c r="P2054" s="100"/>
      <c r="Q2054" s="100"/>
      <c r="R2054" s="100"/>
      <c r="S2054" s="100"/>
      <c r="T2054" s="100"/>
      <c r="U2054" s="100"/>
      <c r="V2054" s="100"/>
      <c r="W2054" s="100"/>
      <c r="X2054" s="100"/>
      <c r="Y2054" s="100"/>
      <c r="Z2054" s="100"/>
    </row>
    <row r="2055" spans="1:26">
      <c r="A2055" s="100" t="e">
        <f ca="1">IFERROR(__xludf.DUMMYFUNCTION("""COMPUTED_VALUE"""),58785390)</f>
        <v>#NAME?</v>
      </c>
      <c r="B2055" s="100" t="e">
        <f ca="1">IFERROR(__xludf.DUMMYFUNCTION("""COMPUTED_VALUE"""),"DREPBUSD")</f>
        <v>#NAME?</v>
      </c>
      <c r="C2055" s="100" t="e">
        <f ca="1">IFERROR(__xludf.DUMMYFUNCTION("""COMPUTED_VALUE"""),"0.25360000")</f>
        <v>#NAME?</v>
      </c>
      <c r="D2055" s="100" t="e">
        <f t="shared" ca="1" si="354"/>
        <v>#NAME?</v>
      </c>
      <c r="E2055" s="100" t="e">
        <f t="shared" ca="1" si="354"/>
        <v>#NAME?</v>
      </c>
      <c r="F2055" s="100" t="e">
        <f t="shared" ca="1" si="356"/>
        <v>#NAME?</v>
      </c>
      <c r="G2055" s="100" t="e">
        <f t="shared" ca="1" si="357"/>
        <v>#NAME?</v>
      </c>
      <c r="H2055" s="100" t="e">
        <f t="shared" ca="1" si="358"/>
        <v>#NAME?</v>
      </c>
      <c r="I2055" s="100" t="e">
        <f t="shared" ca="1" si="359"/>
        <v>#NAME?</v>
      </c>
      <c r="J2055" s="100" t="e">
        <f t="shared" ca="1" si="355"/>
        <v>#NAME?</v>
      </c>
      <c r="K2055" s="100" t="e">
        <f t="shared" ca="1" si="360"/>
        <v>#NAME?</v>
      </c>
      <c r="L2055" s="100"/>
      <c r="M2055" s="100"/>
      <c r="N2055" s="100"/>
      <c r="O2055" s="100"/>
      <c r="P2055" s="100"/>
      <c r="Q2055" s="100"/>
      <c r="R2055" s="100"/>
      <c r="S2055" s="100"/>
      <c r="T2055" s="100"/>
      <c r="U2055" s="100"/>
      <c r="V2055" s="100"/>
      <c r="W2055" s="100"/>
      <c r="X2055" s="100"/>
      <c r="Y2055" s="100"/>
      <c r="Z2055" s="100"/>
    </row>
    <row r="2056" spans="1:26">
      <c r="A2056" s="100" t="e">
        <f ca="1">IFERROR(__xludf.DUMMYFUNCTION("""COMPUTED_VALUE"""),58785391)</f>
        <v>#NAME?</v>
      </c>
      <c r="B2056" s="100" t="e">
        <f ca="1">IFERROR(__xludf.DUMMYFUNCTION("""COMPUTED_VALUE"""),"AKROBUSD")</f>
        <v>#NAME?</v>
      </c>
      <c r="C2056" s="100" t="e">
        <f ca="1">IFERROR(__xludf.DUMMYFUNCTION("""COMPUTED_VALUE"""),"0.00618000")</f>
        <v>#NAME?</v>
      </c>
      <c r="D2056" s="100" t="e">
        <f t="shared" ca="1" si="354"/>
        <v>#NAME?</v>
      </c>
      <c r="E2056" s="100" t="e">
        <f t="shared" ca="1" si="354"/>
        <v>#NAME?</v>
      </c>
      <c r="F2056" s="100" t="e">
        <f t="shared" ca="1" si="356"/>
        <v>#NAME?</v>
      </c>
      <c r="G2056" s="100" t="e">
        <f t="shared" ca="1" si="357"/>
        <v>#NAME?</v>
      </c>
      <c r="H2056" s="100" t="e">
        <f t="shared" ca="1" si="358"/>
        <v>#NAME?</v>
      </c>
      <c r="I2056" s="100" t="e">
        <f t="shared" ca="1" si="359"/>
        <v>#NAME?</v>
      </c>
      <c r="J2056" s="100" t="e">
        <f t="shared" ca="1" si="355"/>
        <v>#NAME?</v>
      </c>
      <c r="K2056" s="100" t="e">
        <f t="shared" ca="1" si="360"/>
        <v>#NAME?</v>
      </c>
      <c r="L2056" s="100"/>
      <c r="M2056" s="100"/>
      <c r="N2056" s="100"/>
      <c r="O2056" s="100"/>
      <c r="P2056" s="100"/>
      <c r="Q2056" s="100"/>
      <c r="R2056" s="100"/>
      <c r="S2056" s="100"/>
      <c r="T2056" s="100"/>
      <c r="U2056" s="100"/>
      <c r="V2056" s="100"/>
      <c r="W2056" s="100"/>
      <c r="X2056" s="100"/>
      <c r="Y2056" s="100"/>
      <c r="Z2056" s="100"/>
    </row>
    <row r="2057" spans="1:26">
      <c r="A2057" s="100" t="e">
        <f ca="1">IFERROR(__xludf.DUMMYFUNCTION("""COMPUTED_VALUE"""),58785392)</f>
        <v>#NAME?</v>
      </c>
      <c r="B2057" s="100" t="e">
        <f ca="1">IFERROR(__xludf.DUMMYFUNCTION("""COMPUTED_VALUE"""),"PUNDIXBUSD")</f>
        <v>#NAME?</v>
      </c>
      <c r="C2057" s="100" t="e">
        <f ca="1">IFERROR(__xludf.DUMMYFUNCTION("""COMPUTED_VALUE"""),"0.33360000")</f>
        <v>#NAME?</v>
      </c>
      <c r="D2057" s="100" t="e">
        <f t="shared" ca="1" si="354"/>
        <v>#NAME?</v>
      </c>
      <c r="E2057" s="100" t="e">
        <f t="shared" ca="1" si="354"/>
        <v>#NAME?</v>
      </c>
      <c r="F2057" s="100" t="e">
        <f t="shared" ca="1" si="356"/>
        <v>#NAME?</v>
      </c>
      <c r="G2057" s="100" t="e">
        <f t="shared" ca="1" si="357"/>
        <v>#NAME?</v>
      </c>
      <c r="H2057" s="100" t="e">
        <f t="shared" ca="1" si="358"/>
        <v>#NAME?</v>
      </c>
      <c r="I2057" s="100" t="e">
        <f t="shared" ca="1" si="359"/>
        <v>#NAME?</v>
      </c>
      <c r="J2057" s="100" t="e">
        <f t="shared" ca="1" si="355"/>
        <v>#NAME?</v>
      </c>
      <c r="K2057" s="100" t="e">
        <f t="shared" ca="1" si="360"/>
        <v>#NAME?</v>
      </c>
      <c r="L2057" s="100"/>
      <c r="M2057" s="100"/>
      <c r="N2057" s="100"/>
      <c r="O2057" s="100"/>
      <c r="P2057" s="100"/>
      <c r="Q2057" s="100"/>
      <c r="R2057" s="100"/>
      <c r="S2057" s="100"/>
      <c r="T2057" s="100"/>
      <c r="U2057" s="100"/>
      <c r="V2057" s="100"/>
      <c r="W2057" s="100"/>
      <c r="X2057" s="100"/>
      <c r="Y2057" s="100"/>
      <c r="Z2057" s="100"/>
    </row>
    <row r="2058" spans="1:26">
      <c r="A2058" s="100" t="e">
        <f ca="1">IFERROR(__xludf.DUMMYFUNCTION("""COMPUTED_VALUE"""),58785393)</f>
        <v>#NAME?</v>
      </c>
      <c r="B2058" s="100" t="e">
        <f ca="1">IFERROR(__xludf.DUMMYFUNCTION("""COMPUTED_VALUE"""),"LUNCBUSD")</f>
        <v>#NAME?</v>
      </c>
      <c r="C2058" s="100" t="e">
        <f ca="1">IFERROR(__xludf.DUMMYFUNCTION("""COMPUTED_VALUE"""),"0.00017100")</f>
        <v>#NAME?</v>
      </c>
      <c r="D2058" s="100" t="e">
        <f t="shared" ca="1" si="354"/>
        <v>#NAME?</v>
      </c>
      <c r="E2058" s="100" t="e">
        <f t="shared" ca="1" si="354"/>
        <v>#NAME?</v>
      </c>
      <c r="F2058" s="100" t="e">
        <f t="shared" ca="1" si="356"/>
        <v>#NAME?</v>
      </c>
      <c r="G2058" s="100" t="e">
        <f t="shared" ca="1" si="357"/>
        <v>#NAME?</v>
      </c>
      <c r="H2058" s="100" t="e">
        <f t="shared" ca="1" si="358"/>
        <v>#NAME?</v>
      </c>
      <c r="I2058" s="100" t="e">
        <f t="shared" ca="1" si="359"/>
        <v>#NAME?</v>
      </c>
      <c r="J2058" s="100" t="e">
        <f t="shared" ca="1" si="355"/>
        <v>#NAME?</v>
      </c>
      <c r="K2058" s="100" t="e">
        <f t="shared" ca="1" si="360"/>
        <v>#NAME?</v>
      </c>
      <c r="L2058" s="100"/>
      <c r="M2058" s="100"/>
      <c r="N2058" s="100"/>
      <c r="O2058" s="100"/>
      <c r="P2058" s="100"/>
      <c r="Q2058" s="100"/>
      <c r="R2058" s="100"/>
      <c r="S2058" s="100"/>
      <c r="T2058" s="100"/>
      <c r="U2058" s="100"/>
      <c r="V2058" s="100"/>
      <c r="W2058" s="100"/>
      <c r="X2058" s="100"/>
      <c r="Y2058" s="100"/>
      <c r="Z2058" s="100"/>
    </row>
    <row r="2059" spans="1:26">
      <c r="A2059" s="100" t="e">
        <f ca="1">IFERROR(__xludf.DUMMYFUNCTION("""COMPUTED_VALUE"""),58785394)</f>
        <v>#NAME?</v>
      </c>
      <c r="B2059" s="100" t="e">
        <f ca="1">IFERROR(__xludf.DUMMYFUNCTION("""COMPUTED_VALUE"""),"USTCBUSD")</f>
        <v>#NAME?</v>
      </c>
      <c r="C2059" s="100" t="e">
        <f ca="1">IFERROR(__xludf.DUMMYFUNCTION("""COMPUTED_VALUE"""),"0.01326580")</f>
        <v>#NAME?</v>
      </c>
      <c r="D2059" s="100" t="e">
        <f t="shared" ca="1" si="354"/>
        <v>#NAME?</v>
      </c>
      <c r="E2059" s="100" t="e">
        <f t="shared" ca="1" si="354"/>
        <v>#NAME?</v>
      </c>
      <c r="F2059" s="100" t="e">
        <f t="shared" ca="1" si="356"/>
        <v>#NAME?</v>
      </c>
      <c r="G2059" s="100" t="e">
        <f t="shared" ca="1" si="357"/>
        <v>#NAME?</v>
      </c>
      <c r="H2059" s="100" t="e">
        <f t="shared" ca="1" si="358"/>
        <v>#NAME?</v>
      </c>
      <c r="I2059" s="100" t="e">
        <f t="shared" ca="1" si="359"/>
        <v>#NAME?</v>
      </c>
      <c r="J2059" s="100" t="e">
        <f t="shared" ca="1" si="355"/>
        <v>#NAME?</v>
      </c>
      <c r="K2059" s="100" t="e">
        <f t="shared" ca="1" si="360"/>
        <v>#NAME?</v>
      </c>
      <c r="L2059" s="100"/>
      <c r="M2059" s="100"/>
      <c r="N2059" s="100"/>
      <c r="O2059" s="100"/>
      <c r="P2059" s="100"/>
      <c r="Q2059" s="100"/>
      <c r="R2059" s="100"/>
      <c r="S2059" s="100"/>
      <c r="T2059" s="100"/>
      <c r="U2059" s="100"/>
      <c r="V2059" s="100"/>
      <c r="W2059" s="100"/>
      <c r="X2059" s="100"/>
      <c r="Y2059" s="100"/>
      <c r="Z2059" s="100"/>
    </row>
    <row r="2060" spans="1:26">
      <c r="A2060" s="100" t="e">
        <f ca="1">IFERROR(__xludf.DUMMYFUNCTION("""COMPUTED_VALUE"""),58785395)</f>
        <v>#NAME?</v>
      </c>
      <c r="B2060" s="100" t="e">
        <f ca="1">IFERROR(__xludf.DUMMYFUNCTION("""COMPUTED_VALUE"""),"OPBTC")</f>
        <v>#NAME?</v>
      </c>
      <c r="C2060" s="100" t="e">
        <f ca="1">IFERROR(__xludf.DUMMYFUNCTION("""COMPUTED_VALUE"""),"0.00000780")</f>
        <v>#NAME?</v>
      </c>
      <c r="D2060" s="100" t="e">
        <f t="shared" ca="1" si="354"/>
        <v>#NAME?</v>
      </c>
      <c r="E2060" s="100" t="e">
        <f t="shared" ca="1" si="354"/>
        <v>#NAME?</v>
      </c>
      <c r="F2060" s="100" t="e">
        <f t="shared" ca="1" si="356"/>
        <v>#NAME?</v>
      </c>
      <c r="G2060" s="100" t="e">
        <f t="shared" ca="1" si="357"/>
        <v>#NAME?</v>
      </c>
      <c r="H2060" s="100" t="e">
        <f t="shared" ca="1" si="358"/>
        <v>#NAME?</v>
      </c>
      <c r="I2060" s="100" t="e">
        <f t="shared" ca="1" si="359"/>
        <v>#NAME?</v>
      </c>
      <c r="J2060" s="100" t="e">
        <f ca="1">IFERROR(__xludf.DUMMYFUNCTION("""COMPUTED_VALUE"""),"-6.024")</f>
        <v>#NAME?</v>
      </c>
      <c r="K2060" s="100" t="e">
        <f t="shared" ca="1" si="360"/>
        <v>#NAME?</v>
      </c>
      <c r="L2060" s="100"/>
      <c r="M2060" s="100"/>
      <c r="N2060" s="100"/>
      <c r="O2060" s="100"/>
      <c r="P2060" s="100"/>
      <c r="Q2060" s="100"/>
      <c r="R2060" s="100"/>
      <c r="S2060" s="100"/>
      <c r="T2060" s="100"/>
      <c r="U2060" s="100"/>
      <c r="V2060" s="100"/>
      <c r="W2060" s="100"/>
      <c r="X2060" s="100"/>
      <c r="Y2060" s="100"/>
      <c r="Z2060" s="100"/>
    </row>
    <row r="2061" spans="1:26">
      <c r="A2061" s="100" t="e">
        <f ca="1">IFERROR(__xludf.DUMMYFUNCTION("""COMPUTED_VALUE"""),58785396)</f>
        <v>#NAME?</v>
      </c>
      <c r="B2061" s="100" t="e">
        <f ca="1">IFERROR(__xludf.DUMMYFUNCTION("""COMPUTED_VALUE"""),"OPBUSD")</f>
        <v>#NAME?</v>
      </c>
      <c r="C2061" s="100" t="e">
        <f ca="1">IFERROR(__xludf.DUMMYFUNCTION("""COMPUTED_VALUE"""),"1.80300000")</f>
        <v>#NAME?</v>
      </c>
      <c r="D2061" s="100" t="e">
        <f t="shared" ca="1" si="354"/>
        <v>#NAME?</v>
      </c>
      <c r="E2061" s="100" t="e">
        <f t="shared" ca="1" si="354"/>
        <v>#NAME?</v>
      </c>
      <c r="F2061" s="100" t="e">
        <f t="shared" ca="1" si="356"/>
        <v>#NAME?</v>
      </c>
      <c r="G2061" s="100" t="e">
        <f t="shared" ca="1" si="357"/>
        <v>#NAME?</v>
      </c>
      <c r="H2061" s="100" t="e">
        <f t="shared" ca="1" si="358"/>
        <v>#NAME?</v>
      </c>
      <c r="I2061" s="100" t="e">
        <f t="shared" ca="1" si="359"/>
        <v>#NAME?</v>
      </c>
      <c r="J2061" s="100" t="e">
        <f ca="1">IFERROR(__xludf.DUMMYFUNCTION("""COMPUTED_VALUE"""),"0")</f>
        <v>#NAME?</v>
      </c>
      <c r="K2061" s="100" t="e">
        <f t="shared" ca="1" si="360"/>
        <v>#NAME?</v>
      </c>
      <c r="L2061" s="100"/>
      <c r="M2061" s="100"/>
      <c r="N2061" s="100"/>
      <c r="O2061" s="100"/>
      <c r="P2061" s="100"/>
      <c r="Q2061" s="100"/>
      <c r="R2061" s="100"/>
      <c r="S2061" s="100"/>
      <c r="T2061" s="100"/>
      <c r="U2061" s="100"/>
      <c r="V2061" s="100"/>
      <c r="W2061" s="100"/>
      <c r="X2061" s="100"/>
      <c r="Y2061" s="100"/>
      <c r="Z2061" s="100"/>
    </row>
    <row r="2062" spans="1:26">
      <c r="A2062" s="100" t="e">
        <f ca="1">IFERROR(__xludf.DUMMYFUNCTION("""COMPUTED_VALUE"""),58785397)</f>
        <v>#NAME?</v>
      </c>
      <c r="B2062" s="100" t="e">
        <f ca="1">IFERROR(__xludf.DUMMYFUNCTION("""COMPUTED_VALUE"""),"OPUSDT")</f>
        <v>#NAME?</v>
      </c>
      <c r="C2062" s="100" t="e">
        <f ca="1">IFERROR(__xludf.DUMMYFUNCTION("""COMPUTED_VALUE"""),"0.69100000")</f>
        <v>#NAME?</v>
      </c>
      <c r="D2062" s="100" t="e">
        <f t="shared" ref="D2062:E2081" ca="1" si="361">IFERROR(__xludf.DUMMYFUNCTION("""COMPUTED_VALUE"""),"-")</f>
        <v>#NAME?</v>
      </c>
      <c r="E2062" s="100" t="e">
        <f t="shared" ca="1" si="361"/>
        <v>#NAME?</v>
      </c>
      <c r="F2062" s="100" t="e">
        <f t="shared" ca="1" si="356"/>
        <v>#NAME?</v>
      </c>
      <c r="G2062" s="100" t="e">
        <f t="shared" ca="1" si="357"/>
        <v>#NAME?</v>
      </c>
      <c r="H2062" s="100" t="e">
        <f t="shared" ca="1" si="358"/>
        <v>#NAME?</v>
      </c>
      <c r="I2062" s="100" t="e">
        <f t="shared" ca="1" si="359"/>
        <v>#NAME?</v>
      </c>
      <c r="J2062" s="100" t="e">
        <f ca="1">IFERROR(__xludf.DUMMYFUNCTION("""COMPUTED_VALUE"""),"-4.821")</f>
        <v>#NAME?</v>
      </c>
      <c r="K2062" s="100" t="e">
        <f t="shared" ca="1" si="360"/>
        <v>#NAME?</v>
      </c>
      <c r="L2062" s="100"/>
      <c r="M2062" s="100"/>
      <c r="N2062" s="100"/>
      <c r="O2062" s="100"/>
      <c r="P2062" s="100"/>
      <c r="Q2062" s="100"/>
      <c r="R2062" s="100"/>
      <c r="S2062" s="100"/>
      <c r="T2062" s="100"/>
      <c r="U2062" s="100"/>
      <c r="V2062" s="100"/>
      <c r="W2062" s="100"/>
      <c r="X2062" s="100"/>
      <c r="Y2062" s="100"/>
      <c r="Z2062" s="100"/>
    </row>
    <row r="2063" spans="1:26">
      <c r="A2063" s="100" t="e">
        <f ca="1">IFERROR(__xludf.DUMMYFUNCTION("""COMPUTED_VALUE"""),58785398)</f>
        <v>#NAME?</v>
      </c>
      <c r="B2063" s="100" t="e">
        <f ca="1">IFERROR(__xludf.DUMMYFUNCTION("""COMPUTED_VALUE"""),"OGBUSD")</f>
        <v>#NAME?</v>
      </c>
      <c r="C2063" s="100" t="e">
        <f ca="1">IFERROR(__xludf.DUMMYFUNCTION("""COMPUTED_VALUE"""),"4.41600000")</f>
        <v>#NAME?</v>
      </c>
      <c r="D2063" s="100" t="e">
        <f t="shared" ca="1" si="361"/>
        <v>#NAME?</v>
      </c>
      <c r="E2063" s="100" t="e">
        <f t="shared" ca="1" si="361"/>
        <v>#NAME?</v>
      </c>
      <c r="F2063" s="100" t="e">
        <f t="shared" ca="1" si="356"/>
        <v>#NAME?</v>
      </c>
      <c r="G2063" s="100" t="e">
        <f t="shared" ca="1" si="357"/>
        <v>#NAME?</v>
      </c>
      <c r="H2063" s="100" t="e">
        <f t="shared" ca="1" si="358"/>
        <v>#NAME?</v>
      </c>
      <c r="I2063" s="100" t="e">
        <f t="shared" ca="1" si="359"/>
        <v>#NAME?</v>
      </c>
      <c r="J2063" s="100" t="e">
        <f t="shared" ref="J2063:J2068" ca="1" si="362">IFERROR(__xludf.DUMMYFUNCTION("""COMPUTED_VALUE"""),"0")</f>
        <v>#NAME?</v>
      </c>
      <c r="K2063" s="100" t="e">
        <f t="shared" ca="1" si="360"/>
        <v>#NAME?</v>
      </c>
      <c r="L2063" s="100"/>
      <c r="M2063" s="100"/>
      <c r="N2063" s="100"/>
      <c r="O2063" s="100"/>
      <c r="P2063" s="100"/>
      <c r="Q2063" s="100"/>
      <c r="R2063" s="100"/>
      <c r="S2063" s="100"/>
      <c r="T2063" s="100"/>
      <c r="U2063" s="100"/>
      <c r="V2063" s="100"/>
      <c r="W2063" s="100"/>
      <c r="X2063" s="100"/>
      <c r="Y2063" s="100"/>
      <c r="Z2063" s="100"/>
    </row>
    <row r="2064" spans="1:26">
      <c r="A2064" s="100" t="e">
        <f ca="1">IFERROR(__xludf.DUMMYFUNCTION("""COMPUTED_VALUE"""),58785399)</f>
        <v>#NAME?</v>
      </c>
      <c r="B2064" s="100" t="e">
        <f ca="1">IFERROR(__xludf.DUMMYFUNCTION("""COMPUTED_VALUE"""),"KEYBUSD")</f>
        <v>#NAME?</v>
      </c>
      <c r="C2064" s="100" t="e">
        <f ca="1">IFERROR(__xludf.DUMMYFUNCTION("""COMPUTED_VALUE"""),"0.00543000")</f>
        <v>#NAME?</v>
      </c>
      <c r="D2064" s="100" t="e">
        <f t="shared" ca="1" si="361"/>
        <v>#NAME?</v>
      </c>
      <c r="E2064" s="100" t="e">
        <f t="shared" ca="1" si="361"/>
        <v>#NAME?</v>
      </c>
      <c r="F2064" s="100" t="e">
        <f t="shared" ca="1" si="356"/>
        <v>#NAME?</v>
      </c>
      <c r="G2064" s="100" t="e">
        <f t="shared" ca="1" si="357"/>
        <v>#NAME?</v>
      </c>
      <c r="H2064" s="100" t="e">
        <f t="shared" ca="1" si="358"/>
        <v>#NAME?</v>
      </c>
      <c r="I2064" s="100" t="e">
        <f t="shared" ca="1" si="359"/>
        <v>#NAME?</v>
      </c>
      <c r="J2064" s="100" t="e">
        <f t="shared" ca="1" si="362"/>
        <v>#NAME?</v>
      </c>
      <c r="K2064" s="100" t="e">
        <f t="shared" ca="1" si="360"/>
        <v>#NAME?</v>
      </c>
      <c r="L2064" s="100"/>
      <c r="M2064" s="100"/>
      <c r="N2064" s="100"/>
      <c r="O2064" s="100"/>
      <c r="P2064" s="100"/>
      <c r="Q2064" s="100"/>
      <c r="R2064" s="100"/>
      <c r="S2064" s="100"/>
      <c r="T2064" s="100"/>
      <c r="U2064" s="100"/>
      <c r="V2064" s="100"/>
      <c r="W2064" s="100"/>
      <c r="X2064" s="100"/>
      <c r="Y2064" s="100"/>
      <c r="Z2064" s="100"/>
    </row>
    <row r="2065" spans="1:26">
      <c r="A2065" s="100" t="e">
        <f ca="1">IFERROR(__xludf.DUMMYFUNCTION("""COMPUTED_VALUE"""),58785400)</f>
        <v>#NAME?</v>
      </c>
      <c r="B2065" s="100" t="e">
        <f ca="1">IFERROR(__xludf.DUMMYFUNCTION("""COMPUTED_VALUE"""),"ASRBUSD")</f>
        <v>#NAME?</v>
      </c>
      <c r="C2065" s="100" t="e">
        <f ca="1">IFERROR(__xludf.DUMMYFUNCTION("""COMPUTED_VALUE"""),"2.15900000")</f>
        <v>#NAME?</v>
      </c>
      <c r="D2065" s="100" t="e">
        <f t="shared" ca="1" si="361"/>
        <v>#NAME?</v>
      </c>
      <c r="E2065" s="100" t="e">
        <f t="shared" ca="1" si="361"/>
        <v>#NAME?</v>
      </c>
      <c r="F2065" s="100" t="e">
        <f t="shared" ca="1" si="356"/>
        <v>#NAME?</v>
      </c>
      <c r="G2065" s="100" t="e">
        <f t="shared" ca="1" si="357"/>
        <v>#NAME?</v>
      </c>
      <c r="H2065" s="100" t="e">
        <f t="shared" ca="1" si="358"/>
        <v>#NAME?</v>
      </c>
      <c r="I2065" s="100" t="e">
        <f t="shared" ca="1" si="359"/>
        <v>#NAME?</v>
      </c>
      <c r="J2065" s="100" t="e">
        <f t="shared" ca="1" si="362"/>
        <v>#NAME?</v>
      </c>
      <c r="K2065" s="100" t="e">
        <f t="shared" ca="1" si="360"/>
        <v>#NAME?</v>
      </c>
      <c r="L2065" s="100"/>
      <c r="M2065" s="100"/>
      <c r="N2065" s="100"/>
      <c r="O2065" s="100"/>
      <c r="P2065" s="100"/>
      <c r="Q2065" s="100"/>
      <c r="R2065" s="100"/>
      <c r="S2065" s="100"/>
      <c r="T2065" s="100"/>
      <c r="U2065" s="100"/>
      <c r="V2065" s="100"/>
      <c r="W2065" s="100"/>
      <c r="X2065" s="100"/>
      <c r="Y2065" s="100"/>
      <c r="Z2065" s="100"/>
    </row>
    <row r="2066" spans="1:26">
      <c r="A2066" s="100" t="e">
        <f ca="1">IFERROR(__xludf.DUMMYFUNCTION("""COMPUTED_VALUE"""),58785401)</f>
        <v>#NAME?</v>
      </c>
      <c r="B2066" s="100" t="e">
        <f ca="1">IFERROR(__xludf.DUMMYFUNCTION("""COMPUTED_VALUE"""),"FIROBUSD")</f>
        <v>#NAME?</v>
      </c>
      <c r="C2066" s="100" t="e">
        <f ca="1">IFERROR(__xludf.DUMMYFUNCTION("""COMPUTED_VALUE"""),"1.44100000")</f>
        <v>#NAME?</v>
      </c>
      <c r="D2066" s="100" t="e">
        <f t="shared" ca="1" si="361"/>
        <v>#NAME?</v>
      </c>
      <c r="E2066" s="100" t="e">
        <f t="shared" ca="1" si="361"/>
        <v>#NAME?</v>
      </c>
      <c r="F2066" s="100" t="e">
        <f t="shared" ca="1" si="356"/>
        <v>#NAME?</v>
      </c>
      <c r="G2066" s="100" t="e">
        <f t="shared" ca="1" si="357"/>
        <v>#NAME?</v>
      </c>
      <c r="H2066" s="100" t="e">
        <f t="shared" ca="1" si="358"/>
        <v>#NAME?</v>
      </c>
      <c r="I2066" s="100" t="e">
        <f t="shared" ca="1" si="359"/>
        <v>#NAME?</v>
      </c>
      <c r="J2066" s="100" t="e">
        <f t="shared" ca="1" si="362"/>
        <v>#NAME?</v>
      </c>
      <c r="K2066" s="100" t="e">
        <f t="shared" ca="1" si="360"/>
        <v>#NAME?</v>
      </c>
      <c r="L2066" s="100"/>
      <c r="M2066" s="100"/>
      <c r="N2066" s="100"/>
      <c r="O2066" s="100"/>
      <c r="P2066" s="100"/>
      <c r="Q2066" s="100"/>
      <c r="R2066" s="100"/>
      <c r="S2066" s="100"/>
      <c r="T2066" s="100"/>
      <c r="U2066" s="100"/>
      <c r="V2066" s="100"/>
      <c r="W2066" s="100"/>
      <c r="X2066" s="100"/>
      <c r="Y2066" s="100"/>
      <c r="Z2066" s="100"/>
    </row>
    <row r="2067" spans="1:26">
      <c r="A2067" s="100" t="e">
        <f ca="1">IFERROR(__xludf.DUMMYFUNCTION("""COMPUTED_VALUE"""),58785402)</f>
        <v>#NAME?</v>
      </c>
      <c r="B2067" s="100" t="e">
        <f ca="1">IFERROR(__xludf.DUMMYFUNCTION("""COMPUTED_VALUE"""),"NKNBUSD")</f>
        <v>#NAME?</v>
      </c>
      <c r="C2067" s="100" t="e">
        <f ca="1">IFERROR(__xludf.DUMMYFUNCTION("""COMPUTED_VALUE"""),"0.09720000")</f>
        <v>#NAME?</v>
      </c>
      <c r="D2067" s="100" t="e">
        <f t="shared" ca="1" si="361"/>
        <v>#NAME?</v>
      </c>
      <c r="E2067" s="100" t="e">
        <f t="shared" ca="1" si="361"/>
        <v>#NAME?</v>
      </c>
      <c r="F2067" s="100" t="e">
        <f t="shared" ca="1" si="356"/>
        <v>#NAME?</v>
      </c>
      <c r="G2067" s="100" t="e">
        <f t="shared" ca="1" si="357"/>
        <v>#NAME?</v>
      </c>
      <c r="H2067" s="100" t="e">
        <f t="shared" ca="1" si="358"/>
        <v>#NAME?</v>
      </c>
      <c r="I2067" s="100" t="e">
        <f t="shared" ca="1" si="359"/>
        <v>#NAME?</v>
      </c>
      <c r="J2067" s="100" t="e">
        <f t="shared" ca="1" si="362"/>
        <v>#NAME?</v>
      </c>
      <c r="K2067" s="100" t="e">
        <f t="shared" ca="1" si="360"/>
        <v>#NAME?</v>
      </c>
      <c r="L2067" s="100"/>
      <c r="M2067" s="100"/>
      <c r="N2067" s="100"/>
      <c r="O2067" s="100"/>
      <c r="P2067" s="100"/>
      <c r="Q2067" s="100"/>
      <c r="R2067" s="100"/>
      <c r="S2067" s="100"/>
      <c r="T2067" s="100"/>
      <c r="U2067" s="100"/>
      <c r="V2067" s="100"/>
      <c r="W2067" s="100"/>
      <c r="X2067" s="100"/>
      <c r="Y2067" s="100"/>
      <c r="Z2067" s="100"/>
    </row>
    <row r="2068" spans="1:26">
      <c r="A2068" s="100" t="e">
        <f ca="1">IFERROR(__xludf.DUMMYFUNCTION("""COMPUTED_VALUE"""),58785403)</f>
        <v>#NAME?</v>
      </c>
      <c r="B2068" s="100" t="e">
        <f ca="1">IFERROR(__xludf.DUMMYFUNCTION("""COMPUTED_VALUE"""),"OPBNB")</f>
        <v>#NAME?</v>
      </c>
      <c r="C2068" s="100" t="e">
        <f ca="1">IFERROR(__xludf.DUMMYFUNCTION("""COMPUTED_VALUE"""),"0.00281800")</f>
        <v>#NAME?</v>
      </c>
      <c r="D2068" s="100" t="e">
        <f t="shared" ca="1" si="361"/>
        <v>#NAME?</v>
      </c>
      <c r="E2068" s="100" t="e">
        <f t="shared" ca="1" si="361"/>
        <v>#NAME?</v>
      </c>
      <c r="F2068" s="100" t="e">
        <f t="shared" ca="1" si="356"/>
        <v>#NAME?</v>
      </c>
      <c r="G2068" s="100" t="e">
        <f t="shared" ca="1" si="357"/>
        <v>#NAME?</v>
      </c>
      <c r="H2068" s="100" t="e">
        <f t="shared" ca="1" si="358"/>
        <v>#NAME?</v>
      </c>
      <c r="I2068" s="100" t="e">
        <f t="shared" ca="1" si="359"/>
        <v>#NAME?</v>
      </c>
      <c r="J2068" s="100" t="e">
        <f t="shared" ca="1" si="362"/>
        <v>#NAME?</v>
      </c>
      <c r="K2068" s="100" t="e">
        <f t="shared" ca="1" si="360"/>
        <v>#NAME?</v>
      </c>
      <c r="L2068" s="100"/>
      <c r="M2068" s="100"/>
      <c r="N2068" s="100"/>
      <c r="O2068" s="100"/>
      <c r="P2068" s="100"/>
      <c r="Q2068" s="100"/>
      <c r="R2068" s="100"/>
      <c r="S2068" s="100"/>
      <c r="T2068" s="100"/>
      <c r="U2068" s="100"/>
      <c r="V2068" s="100"/>
      <c r="W2068" s="100"/>
      <c r="X2068" s="100"/>
      <c r="Y2068" s="100"/>
      <c r="Z2068" s="100"/>
    </row>
    <row r="2069" spans="1:26">
      <c r="A2069" s="100" t="e">
        <f ca="1">IFERROR(__xludf.DUMMYFUNCTION("""COMPUTED_VALUE"""),58785404)</f>
        <v>#NAME?</v>
      </c>
      <c r="B2069" s="100" t="e">
        <f ca="1">IFERROR(__xludf.DUMMYFUNCTION("""COMPUTED_VALUE"""),"OPEUR")</f>
        <v>#NAME?</v>
      </c>
      <c r="C2069" s="100" t="e">
        <f ca="1">IFERROR(__xludf.DUMMYFUNCTION("""COMPUTED_VALUE"""),"0.60200000")</f>
        <v>#NAME?</v>
      </c>
      <c r="D2069" s="100" t="e">
        <f t="shared" ca="1" si="361"/>
        <v>#NAME?</v>
      </c>
      <c r="E2069" s="100" t="e">
        <f t="shared" ca="1" si="361"/>
        <v>#NAME?</v>
      </c>
      <c r="F2069" s="100" t="e">
        <f t="shared" ca="1" si="356"/>
        <v>#NAME?</v>
      </c>
      <c r="G2069" s="100" t="e">
        <f t="shared" ca="1" si="357"/>
        <v>#NAME?</v>
      </c>
      <c r="H2069" s="100" t="e">
        <f t="shared" ca="1" si="358"/>
        <v>#NAME?</v>
      </c>
      <c r="I2069" s="100" t="e">
        <f t="shared" ca="1" si="359"/>
        <v>#NAME?</v>
      </c>
      <c r="J2069" s="100" t="e">
        <f ca="1">IFERROR(__xludf.DUMMYFUNCTION("""COMPUTED_VALUE"""),"-4.444")</f>
        <v>#NAME?</v>
      </c>
      <c r="K2069" s="100" t="e">
        <f t="shared" ca="1" si="360"/>
        <v>#NAME?</v>
      </c>
      <c r="L2069" s="100"/>
      <c r="M2069" s="100"/>
      <c r="N2069" s="100"/>
      <c r="O2069" s="100"/>
      <c r="P2069" s="100"/>
      <c r="Q2069" s="100"/>
      <c r="R2069" s="100"/>
      <c r="S2069" s="100"/>
      <c r="T2069" s="100"/>
      <c r="U2069" s="100"/>
      <c r="V2069" s="100"/>
      <c r="W2069" s="100"/>
      <c r="X2069" s="100"/>
      <c r="Y2069" s="100"/>
      <c r="Z2069" s="100"/>
    </row>
    <row r="2070" spans="1:26">
      <c r="A2070" s="100" t="e">
        <f ca="1">IFERROR(__xludf.DUMMYFUNCTION("""COMPUTED_VALUE"""),58785405)</f>
        <v>#NAME?</v>
      </c>
      <c r="B2070" s="100" t="e">
        <f ca="1">IFERROR(__xludf.DUMMYFUNCTION("""COMPUTED_VALUE"""),"GTOBUSD")</f>
        <v>#NAME?</v>
      </c>
      <c r="C2070" s="100" t="e">
        <f ca="1">IFERROR(__xludf.DUMMYFUNCTION("""COMPUTED_VALUE"""),"0.02863000")</f>
        <v>#NAME?</v>
      </c>
      <c r="D2070" s="100" t="e">
        <f t="shared" ca="1" si="361"/>
        <v>#NAME?</v>
      </c>
      <c r="E2070" s="100" t="e">
        <f t="shared" ca="1" si="361"/>
        <v>#NAME?</v>
      </c>
      <c r="F2070" s="100" t="e">
        <f t="shared" ca="1" si="356"/>
        <v>#NAME?</v>
      </c>
      <c r="G2070" s="100" t="e">
        <f t="shared" ca="1" si="357"/>
        <v>#NAME?</v>
      </c>
      <c r="H2070" s="100" t="e">
        <f t="shared" ca="1" si="358"/>
        <v>#NAME?</v>
      </c>
      <c r="I2070" s="100" t="e">
        <f t="shared" ca="1" si="359"/>
        <v>#NAME?</v>
      </c>
      <c r="J2070" s="100" t="e">
        <f ca="1">IFERROR(__xludf.DUMMYFUNCTION("""COMPUTED_VALUE"""),"0")</f>
        <v>#NAME?</v>
      </c>
      <c r="K2070" s="100" t="e">
        <f t="shared" ca="1" si="360"/>
        <v>#NAME?</v>
      </c>
      <c r="L2070" s="100"/>
      <c r="M2070" s="100"/>
      <c r="N2070" s="100"/>
      <c r="O2070" s="100"/>
      <c r="P2070" s="100"/>
      <c r="Q2070" s="100"/>
      <c r="R2070" s="100"/>
      <c r="S2070" s="100"/>
      <c r="T2070" s="100"/>
      <c r="U2070" s="100"/>
      <c r="V2070" s="100"/>
      <c r="W2070" s="100"/>
      <c r="X2070" s="100"/>
      <c r="Y2070" s="100"/>
      <c r="Z2070" s="100"/>
    </row>
    <row r="2071" spans="1:26">
      <c r="A2071" s="100" t="e">
        <f ca="1">IFERROR(__xludf.DUMMYFUNCTION("""COMPUTED_VALUE"""),58785406)</f>
        <v>#NAME?</v>
      </c>
      <c r="B2071" s="100" t="e">
        <f ca="1">IFERROR(__xludf.DUMMYFUNCTION("""COMPUTED_VALUE"""),"SNXETH")</f>
        <v>#NAME?</v>
      </c>
      <c r="C2071" s="100" t="e">
        <f ca="1">IFERROR(__xludf.DUMMYFUNCTION("""COMPUTED_VALUE"""),"0.00076800")</f>
        <v>#NAME?</v>
      </c>
      <c r="D2071" s="100" t="e">
        <f t="shared" ca="1" si="361"/>
        <v>#NAME?</v>
      </c>
      <c r="E2071" s="100" t="e">
        <f t="shared" ca="1" si="361"/>
        <v>#NAME?</v>
      </c>
      <c r="F2071" s="100" t="e">
        <f t="shared" ca="1" si="356"/>
        <v>#NAME?</v>
      </c>
      <c r="G2071" s="100" t="e">
        <f t="shared" ca="1" si="357"/>
        <v>#NAME?</v>
      </c>
      <c r="H2071" s="100" t="e">
        <f t="shared" ca="1" si="358"/>
        <v>#NAME?</v>
      </c>
      <c r="I2071" s="100" t="e">
        <f t="shared" ca="1" si="359"/>
        <v>#NAME?</v>
      </c>
      <c r="J2071" s="100" t="e">
        <f ca="1">IFERROR(__xludf.DUMMYFUNCTION("""COMPUTED_VALUE"""),"0")</f>
        <v>#NAME?</v>
      </c>
      <c r="K2071" s="100" t="e">
        <f t="shared" ca="1" si="360"/>
        <v>#NAME?</v>
      </c>
      <c r="L2071" s="100"/>
      <c r="M2071" s="100"/>
      <c r="N2071" s="100"/>
      <c r="O2071" s="100"/>
      <c r="P2071" s="100"/>
      <c r="Q2071" s="100"/>
      <c r="R2071" s="100"/>
      <c r="S2071" s="100"/>
      <c r="T2071" s="100"/>
      <c r="U2071" s="100"/>
      <c r="V2071" s="100"/>
      <c r="W2071" s="100"/>
      <c r="X2071" s="100"/>
      <c r="Y2071" s="100"/>
      <c r="Z2071" s="100"/>
    </row>
    <row r="2072" spans="1:26">
      <c r="A2072" s="100" t="e">
        <f ca="1">IFERROR(__xludf.DUMMYFUNCTION("""COMPUTED_VALUE"""),58785407)</f>
        <v>#NAME?</v>
      </c>
      <c r="B2072" s="100" t="e">
        <f ca="1">IFERROR(__xludf.DUMMYFUNCTION("""COMPUTED_VALUE"""),"WBTCBUSD")</f>
        <v>#NAME?</v>
      </c>
      <c r="C2072" s="100" t="e">
        <f ca="1">IFERROR(__xludf.DUMMYFUNCTION("""COMPUTED_VALUE"""),"40760.13000000")</f>
        <v>#NAME?</v>
      </c>
      <c r="D2072" s="100" t="e">
        <f t="shared" ca="1" si="361"/>
        <v>#NAME?</v>
      </c>
      <c r="E2072" s="100" t="e">
        <f t="shared" ca="1" si="361"/>
        <v>#NAME?</v>
      </c>
      <c r="F2072" s="100" t="e">
        <f t="shared" ca="1" si="356"/>
        <v>#NAME?</v>
      </c>
      <c r="G2072" s="100" t="e">
        <f t="shared" ca="1" si="357"/>
        <v>#NAME?</v>
      </c>
      <c r="H2072" s="100" t="e">
        <f t="shared" ca="1" si="358"/>
        <v>#NAME?</v>
      </c>
      <c r="I2072" s="100" t="e">
        <f t="shared" ca="1" si="359"/>
        <v>#NAME?</v>
      </c>
      <c r="J2072" s="100" t="e">
        <f ca="1">IFERROR(__xludf.DUMMYFUNCTION("""COMPUTED_VALUE"""),"0")</f>
        <v>#NAME?</v>
      </c>
      <c r="K2072" s="100" t="e">
        <f t="shared" ca="1" si="360"/>
        <v>#NAME?</v>
      </c>
      <c r="L2072" s="100"/>
      <c r="M2072" s="100"/>
      <c r="N2072" s="100"/>
      <c r="O2072" s="100"/>
      <c r="P2072" s="100"/>
      <c r="Q2072" s="100"/>
      <c r="R2072" s="100"/>
      <c r="S2072" s="100"/>
      <c r="T2072" s="100"/>
      <c r="U2072" s="100"/>
      <c r="V2072" s="100"/>
      <c r="W2072" s="100"/>
      <c r="X2072" s="100"/>
      <c r="Y2072" s="100"/>
      <c r="Z2072" s="100"/>
    </row>
    <row r="2073" spans="1:26">
      <c r="A2073" s="100" t="e">
        <f ca="1">IFERROR(__xludf.DUMMYFUNCTION("""COMPUTED_VALUE"""),58785408)</f>
        <v>#NAME?</v>
      </c>
      <c r="B2073" s="100" t="e">
        <f ca="1">IFERROR(__xludf.DUMMYFUNCTION("""COMPUTED_VALUE"""),"BELETH")</f>
        <v>#NAME?</v>
      </c>
      <c r="C2073" s="100" t="e">
        <f ca="1">IFERROR(__xludf.DUMMYFUNCTION("""COMPUTED_VALUE"""),"0.00041170")</f>
        <v>#NAME?</v>
      </c>
      <c r="D2073" s="100" t="e">
        <f t="shared" ca="1" si="361"/>
        <v>#NAME?</v>
      </c>
      <c r="E2073" s="100" t="e">
        <f t="shared" ca="1" si="361"/>
        <v>#NAME?</v>
      </c>
      <c r="F2073" s="100" t="e">
        <f t="shared" ca="1" si="356"/>
        <v>#NAME?</v>
      </c>
      <c r="G2073" s="100" t="e">
        <f t="shared" ca="1" si="357"/>
        <v>#NAME?</v>
      </c>
      <c r="H2073" s="100" t="e">
        <f t="shared" ca="1" si="358"/>
        <v>#NAME?</v>
      </c>
      <c r="I2073" s="100" t="e">
        <f t="shared" ca="1" si="359"/>
        <v>#NAME?</v>
      </c>
      <c r="J2073" s="100" t="e">
        <f ca="1">IFERROR(__xludf.DUMMYFUNCTION("""COMPUTED_VALUE"""),"0")</f>
        <v>#NAME?</v>
      </c>
      <c r="K2073" s="100" t="e">
        <f t="shared" ca="1" si="360"/>
        <v>#NAME?</v>
      </c>
      <c r="L2073" s="100"/>
      <c r="M2073" s="100"/>
      <c r="N2073" s="100"/>
      <c r="O2073" s="100"/>
      <c r="P2073" s="100"/>
      <c r="Q2073" s="100"/>
      <c r="R2073" s="100"/>
      <c r="S2073" s="100"/>
      <c r="T2073" s="100"/>
      <c r="U2073" s="100"/>
      <c r="V2073" s="100"/>
      <c r="W2073" s="100"/>
      <c r="X2073" s="100"/>
      <c r="Y2073" s="100"/>
      <c r="Z2073" s="100"/>
    </row>
    <row r="2074" spans="1:26">
      <c r="A2074" s="100" t="e">
        <f ca="1">IFERROR(__xludf.DUMMYFUNCTION("""COMPUTED_VALUE"""),58785409)</f>
        <v>#NAME?</v>
      </c>
      <c r="B2074" s="100" t="e">
        <f ca="1">IFERROR(__xludf.DUMMYFUNCTION("""COMPUTED_VALUE"""),"LITETH")</f>
        <v>#NAME?</v>
      </c>
      <c r="C2074" s="100" t="e">
        <f ca="1">IFERROR(__xludf.DUMMYFUNCTION("""COMPUTED_VALUE"""),"0.00035510")</f>
        <v>#NAME?</v>
      </c>
      <c r="D2074" s="100" t="e">
        <f t="shared" ca="1" si="361"/>
        <v>#NAME?</v>
      </c>
      <c r="E2074" s="100" t="e">
        <f t="shared" ca="1" si="361"/>
        <v>#NAME?</v>
      </c>
      <c r="F2074" s="100" t="e">
        <f t="shared" ca="1" si="356"/>
        <v>#NAME?</v>
      </c>
      <c r="G2074" s="100" t="e">
        <f t="shared" ca="1" si="357"/>
        <v>#NAME?</v>
      </c>
      <c r="H2074" s="100" t="e">
        <f t="shared" ca="1" si="358"/>
        <v>#NAME?</v>
      </c>
      <c r="I2074" s="100" t="e">
        <f t="shared" ca="1" si="359"/>
        <v>#NAME?</v>
      </c>
      <c r="J2074" s="100" t="e">
        <f ca="1">IFERROR(__xludf.DUMMYFUNCTION("""COMPUTED_VALUE"""),"0")</f>
        <v>#NAME?</v>
      </c>
      <c r="K2074" s="100" t="e">
        <f t="shared" ca="1" si="360"/>
        <v>#NAME?</v>
      </c>
      <c r="L2074" s="100"/>
      <c r="M2074" s="100"/>
      <c r="N2074" s="100"/>
      <c r="O2074" s="100"/>
      <c r="P2074" s="100"/>
      <c r="Q2074" s="100"/>
      <c r="R2074" s="100"/>
      <c r="S2074" s="100"/>
      <c r="T2074" s="100"/>
      <c r="U2074" s="100"/>
      <c r="V2074" s="100"/>
      <c r="W2074" s="100"/>
      <c r="X2074" s="100"/>
      <c r="Y2074" s="100"/>
      <c r="Z2074" s="100"/>
    </row>
    <row r="2075" spans="1:26">
      <c r="A2075" s="100" t="e">
        <f ca="1">IFERROR(__xludf.DUMMYFUNCTION("""COMPUTED_VALUE"""),58785410)</f>
        <v>#NAME?</v>
      </c>
      <c r="B2075" s="100" t="e">
        <f ca="1">IFERROR(__xludf.DUMMYFUNCTION("""COMPUTED_VALUE"""),"LEVERUSDT")</f>
        <v>#NAME?</v>
      </c>
      <c r="C2075" s="100" t="e">
        <f ca="1">IFERROR(__xludf.DUMMYFUNCTION("""COMPUTED_VALUE"""),"0.00045700")</f>
        <v>#NAME?</v>
      </c>
      <c r="D2075" s="100" t="e">
        <f t="shared" ca="1" si="361"/>
        <v>#NAME?</v>
      </c>
      <c r="E2075" s="100" t="e">
        <f t="shared" ca="1" si="361"/>
        <v>#NAME?</v>
      </c>
      <c r="F2075" s="100" t="e">
        <f t="shared" ca="1" si="356"/>
        <v>#NAME?</v>
      </c>
      <c r="G2075" s="100" t="e">
        <f t="shared" ca="1" si="357"/>
        <v>#NAME?</v>
      </c>
      <c r="H2075" s="100" t="e">
        <f t="shared" ca="1" si="358"/>
        <v>#NAME?</v>
      </c>
      <c r="I2075" s="100" t="e">
        <f t="shared" ca="1" si="359"/>
        <v>#NAME?</v>
      </c>
      <c r="J2075" s="100" t="e">
        <f ca="1">IFERROR(__xludf.DUMMYFUNCTION("""COMPUTED_VALUE"""),"-5.187")</f>
        <v>#NAME?</v>
      </c>
      <c r="K2075" s="100" t="e">
        <f t="shared" ca="1" si="360"/>
        <v>#NAME?</v>
      </c>
      <c r="L2075" s="100"/>
      <c r="M2075" s="100"/>
      <c r="N2075" s="100"/>
      <c r="O2075" s="100"/>
      <c r="P2075" s="100"/>
      <c r="Q2075" s="100"/>
      <c r="R2075" s="100"/>
      <c r="S2075" s="100"/>
      <c r="T2075" s="100"/>
      <c r="U2075" s="100"/>
      <c r="V2075" s="100"/>
      <c r="W2075" s="100"/>
      <c r="X2075" s="100"/>
      <c r="Y2075" s="100"/>
      <c r="Z2075" s="100"/>
    </row>
    <row r="2076" spans="1:26">
      <c r="A2076" s="100" t="e">
        <f ca="1">IFERROR(__xludf.DUMMYFUNCTION("""COMPUTED_VALUE"""),58785411)</f>
        <v>#NAME?</v>
      </c>
      <c r="B2076" s="100" t="e">
        <f ca="1">IFERROR(__xludf.DUMMYFUNCTION("""COMPUTED_VALUE"""),"LEVERBUSD")</f>
        <v>#NAME?</v>
      </c>
      <c r="C2076" s="100" t="e">
        <f ca="1">IFERROR(__xludf.DUMMYFUNCTION("""COMPUTED_VALUE"""),"0.00130800")</f>
        <v>#NAME?</v>
      </c>
      <c r="D2076" s="100" t="e">
        <f t="shared" ca="1" si="361"/>
        <v>#NAME?</v>
      </c>
      <c r="E2076" s="100" t="e">
        <f t="shared" ca="1" si="361"/>
        <v>#NAME?</v>
      </c>
      <c r="F2076" s="100" t="e">
        <f t="shared" ca="1" si="356"/>
        <v>#NAME?</v>
      </c>
      <c r="G2076" s="100" t="e">
        <f t="shared" ca="1" si="357"/>
        <v>#NAME?</v>
      </c>
      <c r="H2076" s="100" t="e">
        <f t="shared" ca="1" si="358"/>
        <v>#NAME?</v>
      </c>
      <c r="I2076" s="100" t="e">
        <f t="shared" ca="1" si="359"/>
        <v>#NAME?</v>
      </c>
      <c r="J2076" s="100" t="e">
        <f ca="1">IFERROR(__xludf.DUMMYFUNCTION("""COMPUTED_VALUE"""),"0")</f>
        <v>#NAME?</v>
      </c>
      <c r="K2076" s="100" t="e">
        <f t="shared" ca="1" si="360"/>
        <v>#NAME?</v>
      </c>
      <c r="L2076" s="100"/>
      <c r="M2076" s="100"/>
      <c r="N2076" s="100"/>
      <c r="O2076" s="100"/>
      <c r="P2076" s="100"/>
      <c r="Q2076" s="100"/>
      <c r="R2076" s="100"/>
      <c r="S2076" s="100"/>
      <c r="T2076" s="100"/>
      <c r="U2076" s="100"/>
      <c r="V2076" s="100"/>
      <c r="W2076" s="100"/>
      <c r="X2076" s="100"/>
      <c r="Y2076" s="100"/>
      <c r="Z2076" s="100"/>
    </row>
    <row r="2077" spans="1:26">
      <c r="A2077" s="100" t="e">
        <f ca="1">IFERROR(__xludf.DUMMYFUNCTION("""COMPUTED_VALUE"""),58785412)</f>
        <v>#NAME?</v>
      </c>
      <c r="B2077" s="100" t="e">
        <f ca="1">IFERROR(__xludf.DUMMYFUNCTION("""COMPUTED_VALUE"""),"BURGERETH")</f>
        <v>#NAME?</v>
      </c>
      <c r="C2077" s="100" t="e">
        <f ca="1">IFERROR(__xludf.DUMMYFUNCTION("""COMPUTED_VALUE"""),"0.00045000")</f>
        <v>#NAME?</v>
      </c>
      <c r="D2077" s="100" t="e">
        <f t="shared" ca="1" si="361"/>
        <v>#NAME?</v>
      </c>
      <c r="E2077" s="100" t="e">
        <f t="shared" ca="1" si="361"/>
        <v>#NAME?</v>
      </c>
      <c r="F2077" s="100" t="e">
        <f t="shared" ca="1" si="356"/>
        <v>#NAME?</v>
      </c>
      <c r="G2077" s="100" t="e">
        <f t="shared" ca="1" si="357"/>
        <v>#NAME?</v>
      </c>
      <c r="H2077" s="100" t="e">
        <f t="shared" ca="1" si="358"/>
        <v>#NAME?</v>
      </c>
      <c r="I2077" s="100" t="e">
        <f t="shared" ca="1" si="359"/>
        <v>#NAME?</v>
      </c>
      <c r="J2077" s="100" t="e">
        <f ca="1">IFERROR(__xludf.DUMMYFUNCTION("""COMPUTED_VALUE"""),"0")</f>
        <v>#NAME?</v>
      </c>
      <c r="K2077" s="100" t="e">
        <f t="shared" ca="1" si="360"/>
        <v>#NAME?</v>
      </c>
      <c r="L2077" s="100"/>
      <c r="M2077" s="100"/>
      <c r="N2077" s="100"/>
      <c r="O2077" s="100"/>
      <c r="P2077" s="100"/>
      <c r="Q2077" s="100"/>
      <c r="R2077" s="100"/>
      <c r="S2077" s="100"/>
      <c r="T2077" s="100"/>
      <c r="U2077" s="100"/>
      <c r="V2077" s="100"/>
      <c r="W2077" s="100"/>
      <c r="X2077" s="100"/>
      <c r="Y2077" s="100"/>
      <c r="Z2077" s="100"/>
    </row>
    <row r="2078" spans="1:26">
      <c r="A2078" s="100" t="e">
        <f ca="1">IFERROR(__xludf.DUMMYFUNCTION("""COMPUTED_VALUE"""),58785413)</f>
        <v>#NAME?</v>
      </c>
      <c r="B2078" s="100" t="e">
        <f ca="1">IFERROR(__xludf.DUMMYFUNCTION("""COMPUTED_VALUE"""),"PEOPLEETH")</f>
        <v>#NAME?</v>
      </c>
      <c r="C2078" s="100" t="e">
        <f ca="1">IFERROR(__xludf.DUMMYFUNCTION("""COMPUTED_VALUE"""),"0.00000668")</f>
        <v>#NAME?</v>
      </c>
      <c r="D2078" s="100" t="e">
        <f t="shared" ca="1" si="361"/>
        <v>#NAME?</v>
      </c>
      <c r="E2078" s="100" t="e">
        <f t="shared" ca="1" si="361"/>
        <v>#NAME?</v>
      </c>
      <c r="F2078" s="100" t="e">
        <f t="shared" ca="1" si="356"/>
        <v>#NAME?</v>
      </c>
      <c r="G2078" s="100" t="e">
        <f t="shared" ca="1" si="357"/>
        <v>#NAME?</v>
      </c>
      <c r="H2078" s="100" t="e">
        <f t="shared" ca="1" si="358"/>
        <v>#NAME?</v>
      </c>
      <c r="I2078" s="100" t="e">
        <f t="shared" ca="1" si="359"/>
        <v>#NAME?</v>
      </c>
      <c r="J2078" s="100" t="e">
        <f ca="1">IFERROR(__xludf.DUMMYFUNCTION("""COMPUTED_VALUE"""),"0")</f>
        <v>#NAME?</v>
      </c>
      <c r="K2078" s="100" t="e">
        <f t="shared" ca="1" si="360"/>
        <v>#NAME?</v>
      </c>
      <c r="L2078" s="100"/>
      <c r="M2078" s="100"/>
      <c r="N2078" s="100"/>
      <c r="O2078" s="100"/>
      <c r="P2078" s="100"/>
      <c r="Q2078" s="100"/>
      <c r="R2078" s="100"/>
      <c r="S2078" s="100"/>
      <c r="T2078" s="100"/>
      <c r="U2078" s="100"/>
      <c r="V2078" s="100"/>
      <c r="W2078" s="100"/>
      <c r="X2078" s="100"/>
      <c r="Y2078" s="100"/>
      <c r="Z2078" s="100"/>
    </row>
    <row r="2079" spans="1:26">
      <c r="A2079" s="100" t="e">
        <f ca="1">IFERROR(__xludf.DUMMYFUNCTION("""COMPUTED_VALUE"""),58785414)</f>
        <v>#NAME?</v>
      </c>
      <c r="B2079" s="100" t="e">
        <f ca="1">IFERROR(__xludf.DUMMYFUNCTION("""COMPUTED_VALUE"""),"UNFIETH")</f>
        <v>#NAME?</v>
      </c>
      <c r="C2079" s="100" t="e">
        <f ca="1">IFERROR(__xludf.DUMMYFUNCTION("""COMPUTED_VALUE"""),"0.00224100")</f>
        <v>#NAME?</v>
      </c>
      <c r="D2079" s="100" t="e">
        <f t="shared" ca="1" si="361"/>
        <v>#NAME?</v>
      </c>
      <c r="E2079" s="100" t="e">
        <f t="shared" ca="1" si="361"/>
        <v>#NAME?</v>
      </c>
      <c r="F2079" s="100" t="e">
        <f t="shared" ca="1" si="356"/>
        <v>#NAME?</v>
      </c>
      <c r="G2079" s="100" t="e">
        <f t="shared" ca="1" si="357"/>
        <v>#NAME?</v>
      </c>
      <c r="H2079" s="100" t="e">
        <f t="shared" ca="1" si="358"/>
        <v>#NAME?</v>
      </c>
      <c r="I2079" s="100" t="e">
        <f t="shared" ca="1" si="359"/>
        <v>#NAME?</v>
      </c>
      <c r="J2079" s="100" t="e">
        <f ca="1">IFERROR(__xludf.DUMMYFUNCTION("""COMPUTED_VALUE"""),"0")</f>
        <v>#NAME?</v>
      </c>
      <c r="K2079" s="100" t="e">
        <f t="shared" ca="1" si="360"/>
        <v>#NAME?</v>
      </c>
      <c r="L2079" s="100"/>
      <c r="M2079" s="100"/>
      <c r="N2079" s="100"/>
      <c r="O2079" s="100"/>
      <c r="P2079" s="100"/>
      <c r="Q2079" s="100"/>
      <c r="R2079" s="100"/>
      <c r="S2079" s="100"/>
      <c r="T2079" s="100"/>
      <c r="U2079" s="100"/>
      <c r="V2079" s="100"/>
      <c r="W2079" s="100"/>
      <c r="X2079" s="100"/>
      <c r="Y2079" s="100"/>
      <c r="Z2079" s="100"/>
    </row>
    <row r="2080" spans="1:26">
      <c r="A2080" s="100" t="e">
        <f ca="1">IFERROR(__xludf.DUMMYFUNCTION("""COMPUTED_VALUE"""),58785415)</f>
        <v>#NAME?</v>
      </c>
      <c r="B2080" s="100" t="e">
        <f ca="1">IFERROR(__xludf.DUMMYFUNCTION("""COMPUTED_VALUE"""),"BONDETH")</f>
        <v>#NAME?</v>
      </c>
      <c r="C2080" s="100" t="e">
        <f ca="1">IFERROR(__xludf.DUMMYFUNCTION("""COMPUTED_VALUE"""),"0.00266500")</f>
        <v>#NAME?</v>
      </c>
      <c r="D2080" s="100" t="e">
        <f t="shared" ca="1" si="361"/>
        <v>#NAME?</v>
      </c>
      <c r="E2080" s="100" t="e">
        <f t="shared" ca="1" si="361"/>
        <v>#NAME?</v>
      </c>
      <c r="F2080" s="100" t="e">
        <f t="shared" ca="1" si="356"/>
        <v>#NAME?</v>
      </c>
      <c r="G2080" s="100" t="e">
        <f t="shared" ca="1" si="357"/>
        <v>#NAME?</v>
      </c>
      <c r="H2080" s="100" t="e">
        <f t="shared" ca="1" si="358"/>
        <v>#NAME?</v>
      </c>
      <c r="I2080" s="100" t="e">
        <f t="shared" ca="1" si="359"/>
        <v>#NAME?</v>
      </c>
      <c r="J2080" s="100" t="e">
        <f ca="1">IFERROR(__xludf.DUMMYFUNCTION("""COMPUTED_VALUE"""),"0")</f>
        <v>#NAME?</v>
      </c>
      <c r="K2080" s="100" t="e">
        <f t="shared" ca="1" si="360"/>
        <v>#NAME?</v>
      </c>
      <c r="L2080" s="100"/>
      <c r="M2080" s="100"/>
      <c r="N2080" s="100"/>
      <c r="O2080" s="100"/>
      <c r="P2080" s="100"/>
      <c r="Q2080" s="100"/>
      <c r="R2080" s="100"/>
      <c r="S2080" s="100"/>
      <c r="T2080" s="100"/>
      <c r="U2080" s="100"/>
      <c r="V2080" s="100"/>
      <c r="W2080" s="100"/>
      <c r="X2080" s="100"/>
      <c r="Y2080" s="100"/>
      <c r="Z2080" s="100"/>
    </row>
    <row r="2081" spans="1:26">
      <c r="A2081" s="100" t="e">
        <f ca="1">IFERROR(__xludf.DUMMYFUNCTION("""COMPUTED_VALUE"""),58785416)</f>
        <v>#NAME?</v>
      </c>
      <c r="B2081" s="100" t="e">
        <f ca="1">IFERROR(__xludf.DUMMYFUNCTION("""COMPUTED_VALUE"""),"STORJTRY")</f>
        <v>#NAME?</v>
      </c>
      <c r="C2081" s="100" t="e">
        <f ca="1">IFERROR(__xludf.DUMMYFUNCTION("""COMPUTED_VALUE"""),"11.11000000")</f>
        <v>#NAME?</v>
      </c>
      <c r="D2081" s="100" t="e">
        <f t="shared" ca="1" si="361"/>
        <v>#NAME?</v>
      </c>
      <c r="E2081" s="100" t="e">
        <f t="shared" ca="1" si="361"/>
        <v>#NAME?</v>
      </c>
      <c r="F2081" s="100" t="e">
        <f t="shared" ca="1" si="356"/>
        <v>#NAME?</v>
      </c>
      <c r="G2081" s="100" t="e">
        <f t="shared" ca="1" si="357"/>
        <v>#NAME?</v>
      </c>
      <c r="H2081" s="100" t="e">
        <f t="shared" ca="1" si="358"/>
        <v>#NAME?</v>
      </c>
      <c r="I2081" s="100" t="e">
        <f t="shared" ca="1" si="359"/>
        <v>#NAME?</v>
      </c>
      <c r="J2081" s="100" t="e">
        <f ca="1">IFERROR(__xludf.DUMMYFUNCTION("""COMPUTED_VALUE"""),"-2.885")</f>
        <v>#NAME?</v>
      </c>
      <c r="K2081" s="100" t="e">
        <f t="shared" ca="1" si="360"/>
        <v>#NAME?</v>
      </c>
      <c r="L2081" s="100"/>
      <c r="M2081" s="100"/>
      <c r="N2081" s="100"/>
      <c r="O2081" s="100"/>
      <c r="P2081" s="100"/>
      <c r="Q2081" s="100"/>
      <c r="R2081" s="100"/>
      <c r="S2081" s="100"/>
      <c r="T2081" s="100"/>
      <c r="U2081" s="100"/>
      <c r="V2081" s="100"/>
      <c r="W2081" s="100"/>
      <c r="X2081" s="100"/>
      <c r="Y2081" s="100"/>
      <c r="Z2081" s="100"/>
    </row>
    <row r="2082" spans="1:26">
      <c r="A2082" s="100" t="e">
        <f ca="1">IFERROR(__xludf.DUMMYFUNCTION("""COMPUTED_VALUE"""),58785417)</f>
        <v>#NAME?</v>
      </c>
      <c r="B2082" s="100" t="e">
        <f ca="1">IFERROR(__xludf.DUMMYFUNCTION("""COMPUTED_VALUE"""),"OPETH")</f>
        <v>#NAME?</v>
      </c>
      <c r="C2082" s="100" t="e">
        <f ca="1">IFERROR(__xludf.DUMMYFUNCTION("""COMPUTED_VALUE"""),"0.00042500")</f>
        <v>#NAME?</v>
      </c>
      <c r="D2082" s="100" t="e">
        <f t="shared" ref="D2082:E2101" ca="1" si="363">IFERROR(__xludf.DUMMYFUNCTION("""COMPUTED_VALUE"""),"-")</f>
        <v>#NAME?</v>
      </c>
      <c r="E2082" s="100" t="e">
        <f t="shared" ca="1" si="363"/>
        <v>#NAME?</v>
      </c>
      <c r="F2082" s="100" t="e">
        <f t="shared" ca="1" si="356"/>
        <v>#NAME?</v>
      </c>
      <c r="G2082" s="100" t="e">
        <f t="shared" ca="1" si="357"/>
        <v>#NAME?</v>
      </c>
      <c r="H2082" s="100" t="e">
        <f t="shared" ca="1" si="358"/>
        <v>#NAME?</v>
      </c>
      <c r="I2082" s="100" t="e">
        <f t="shared" ca="1" si="359"/>
        <v>#NAME?</v>
      </c>
      <c r="J2082" s="100" t="e">
        <f ca="1">IFERROR(__xludf.DUMMYFUNCTION("""COMPUTED_VALUE"""),"-3.846")</f>
        <v>#NAME?</v>
      </c>
      <c r="K2082" s="100" t="e">
        <f t="shared" ca="1" si="360"/>
        <v>#NAME?</v>
      </c>
      <c r="L2082" s="100"/>
      <c r="M2082" s="100"/>
      <c r="N2082" s="100"/>
      <c r="O2082" s="100"/>
      <c r="P2082" s="100"/>
      <c r="Q2082" s="100"/>
      <c r="R2082" s="100"/>
      <c r="S2082" s="100"/>
      <c r="T2082" s="100"/>
      <c r="U2082" s="100"/>
      <c r="V2082" s="100"/>
      <c r="W2082" s="100"/>
      <c r="X2082" s="100"/>
      <c r="Y2082" s="100"/>
      <c r="Z2082" s="100"/>
    </row>
    <row r="2083" spans="1:26">
      <c r="A2083" s="100" t="e">
        <f ca="1">IFERROR(__xludf.DUMMYFUNCTION("""COMPUTED_VALUE"""),58785418)</f>
        <v>#NAME?</v>
      </c>
      <c r="B2083" s="100" t="e">
        <f ca="1">IFERROR(__xludf.DUMMYFUNCTION("""COMPUTED_VALUE"""),"ETCTRY")</f>
        <v>#NAME?</v>
      </c>
      <c r="C2083" s="100" t="e">
        <f ca="1">IFERROR(__xludf.DUMMYFUNCTION("""COMPUTED_VALUE"""),"595.60000000")</f>
        <v>#NAME?</v>
      </c>
      <c r="D2083" s="100" t="e">
        <f t="shared" ca="1" si="363"/>
        <v>#NAME?</v>
      </c>
      <c r="E2083" s="100" t="e">
        <f t="shared" ca="1" si="363"/>
        <v>#NAME?</v>
      </c>
      <c r="F2083" s="100" t="e">
        <f t="shared" ca="1" si="356"/>
        <v>#NAME?</v>
      </c>
      <c r="G2083" s="100" t="e">
        <f t="shared" ca="1" si="357"/>
        <v>#NAME?</v>
      </c>
      <c r="H2083" s="100" t="e">
        <f t="shared" ca="1" si="358"/>
        <v>#NAME?</v>
      </c>
      <c r="I2083" s="100" t="e">
        <f t="shared" ca="1" si="359"/>
        <v>#NAME?</v>
      </c>
      <c r="J2083" s="100" t="e">
        <f ca="1">IFERROR(__xludf.DUMMYFUNCTION("""COMPUTED_VALUE"""),"-3.202")</f>
        <v>#NAME?</v>
      </c>
      <c r="K2083" s="100" t="e">
        <f t="shared" ca="1" si="360"/>
        <v>#NAME?</v>
      </c>
      <c r="L2083" s="100"/>
      <c r="M2083" s="100"/>
      <c r="N2083" s="100"/>
      <c r="O2083" s="100"/>
      <c r="P2083" s="100"/>
      <c r="Q2083" s="100"/>
      <c r="R2083" s="100"/>
      <c r="S2083" s="100"/>
      <c r="T2083" s="100"/>
      <c r="U2083" s="100"/>
      <c r="V2083" s="100"/>
      <c r="W2083" s="100"/>
      <c r="X2083" s="100"/>
      <c r="Y2083" s="100"/>
      <c r="Z2083" s="100"/>
    </row>
    <row r="2084" spans="1:26">
      <c r="A2084" s="100" t="e">
        <f ca="1">IFERROR(__xludf.DUMMYFUNCTION("""COMPUTED_VALUE"""),58785419)</f>
        <v>#NAME?</v>
      </c>
      <c r="B2084" s="100" t="e">
        <f ca="1">IFERROR(__xludf.DUMMYFUNCTION("""COMPUTED_VALUE"""),"WINGETH")</f>
        <v>#NAME?</v>
      </c>
      <c r="C2084" s="100" t="e">
        <f ca="1">IFERROR(__xludf.DUMMYFUNCTION("""COMPUTED_VALUE"""),"0.00352100")</f>
        <v>#NAME?</v>
      </c>
      <c r="D2084" s="100" t="e">
        <f t="shared" ca="1" si="363"/>
        <v>#NAME?</v>
      </c>
      <c r="E2084" s="100" t="e">
        <f t="shared" ca="1" si="363"/>
        <v>#NAME?</v>
      </c>
      <c r="F2084" s="100" t="e">
        <f t="shared" ca="1" si="356"/>
        <v>#NAME?</v>
      </c>
      <c r="G2084" s="100" t="e">
        <f t="shared" ca="1" si="357"/>
        <v>#NAME?</v>
      </c>
      <c r="H2084" s="100" t="e">
        <f t="shared" ca="1" si="358"/>
        <v>#NAME?</v>
      </c>
      <c r="I2084" s="100" t="e">
        <f t="shared" ca="1" si="359"/>
        <v>#NAME?</v>
      </c>
      <c r="J2084" s="100" t="e">
        <f ca="1">IFERROR(__xludf.DUMMYFUNCTION("""COMPUTED_VALUE"""),"0")</f>
        <v>#NAME?</v>
      </c>
      <c r="K2084" s="100" t="e">
        <f t="shared" ca="1" si="360"/>
        <v>#NAME?</v>
      </c>
      <c r="L2084" s="100"/>
      <c r="M2084" s="100"/>
      <c r="N2084" s="100"/>
      <c r="O2084" s="100"/>
      <c r="P2084" s="100"/>
      <c r="Q2084" s="100"/>
      <c r="R2084" s="100"/>
      <c r="S2084" s="100"/>
      <c r="T2084" s="100"/>
      <c r="U2084" s="100"/>
      <c r="V2084" s="100"/>
      <c r="W2084" s="100"/>
      <c r="X2084" s="100"/>
      <c r="Y2084" s="100"/>
      <c r="Z2084" s="100"/>
    </row>
    <row r="2085" spans="1:26">
      <c r="A2085" s="100" t="e">
        <f ca="1">IFERROR(__xludf.DUMMYFUNCTION("""COMPUTED_VALUE"""),58785420)</f>
        <v>#NAME?</v>
      </c>
      <c r="B2085" s="100" t="e">
        <f ca="1">IFERROR(__xludf.DUMMYFUNCTION("""COMPUTED_VALUE"""),"FILETH")</f>
        <v>#NAME?</v>
      </c>
      <c r="C2085" s="100" t="e">
        <f ca="1">IFERROR(__xludf.DUMMYFUNCTION("""COMPUTED_VALUE"""),"0.00153600")</f>
        <v>#NAME?</v>
      </c>
      <c r="D2085" s="100" t="e">
        <f t="shared" ca="1" si="363"/>
        <v>#NAME?</v>
      </c>
      <c r="E2085" s="100" t="e">
        <f t="shared" ca="1" si="363"/>
        <v>#NAME?</v>
      </c>
      <c r="F2085" s="100" t="e">
        <f t="shared" ca="1" si="356"/>
        <v>#NAME?</v>
      </c>
      <c r="G2085" s="100" t="e">
        <f t="shared" ca="1" si="357"/>
        <v>#NAME?</v>
      </c>
      <c r="H2085" s="100" t="e">
        <f t="shared" ca="1" si="358"/>
        <v>#NAME?</v>
      </c>
      <c r="I2085" s="100" t="e">
        <f t="shared" ca="1" si="359"/>
        <v>#NAME?</v>
      </c>
      <c r="J2085" s="100" t="e">
        <f ca="1">IFERROR(__xludf.DUMMYFUNCTION("""COMPUTED_VALUE"""),"-5.882")</f>
        <v>#NAME?</v>
      </c>
      <c r="K2085" s="100" t="e">
        <f t="shared" ca="1" si="360"/>
        <v>#NAME?</v>
      </c>
      <c r="L2085" s="100"/>
      <c r="M2085" s="100"/>
      <c r="N2085" s="100"/>
      <c r="O2085" s="100"/>
      <c r="P2085" s="100"/>
      <c r="Q2085" s="100"/>
      <c r="R2085" s="100"/>
      <c r="S2085" s="100"/>
      <c r="T2085" s="100"/>
      <c r="U2085" s="100"/>
      <c r="V2085" s="100"/>
      <c r="W2085" s="100"/>
      <c r="X2085" s="100"/>
      <c r="Y2085" s="100"/>
      <c r="Z2085" s="100"/>
    </row>
    <row r="2086" spans="1:26">
      <c r="A2086" s="100" t="e">
        <f ca="1">IFERROR(__xludf.DUMMYFUNCTION("""COMPUTED_VALUE"""),58785421)</f>
        <v>#NAME?</v>
      </c>
      <c r="B2086" s="100" t="e">
        <f ca="1">IFERROR(__xludf.DUMMYFUNCTION("""COMPUTED_VALUE"""),"GLMBUSD")</f>
        <v>#NAME?</v>
      </c>
      <c r="C2086" s="100" t="e">
        <f ca="1">IFERROR(__xludf.DUMMYFUNCTION("""COMPUTED_VALUE"""),"0.17860000")</f>
        <v>#NAME?</v>
      </c>
      <c r="D2086" s="100" t="e">
        <f t="shared" ca="1" si="363"/>
        <v>#NAME?</v>
      </c>
      <c r="E2086" s="100" t="e">
        <f t="shared" ca="1" si="363"/>
        <v>#NAME?</v>
      </c>
      <c r="F2086" s="100" t="e">
        <f t="shared" ca="1" si="356"/>
        <v>#NAME?</v>
      </c>
      <c r="G2086" s="100" t="e">
        <f t="shared" ca="1" si="357"/>
        <v>#NAME?</v>
      </c>
      <c r="H2086" s="100" t="e">
        <f t="shared" ca="1" si="358"/>
        <v>#NAME?</v>
      </c>
      <c r="I2086" s="100" t="e">
        <f t="shared" ca="1" si="359"/>
        <v>#NAME?</v>
      </c>
      <c r="J2086" s="100" t="e">
        <f ca="1">IFERROR(__xludf.DUMMYFUNCTION("""COMPUTED_VALUE"""),"0")</f>
        <v>#NAME?</v>
      </c>
      <c r="K2086" s="100" t="e">
        <f t="shared" ca="1" si="360"/>
        <v>#NAME?</v>
      </c>
      <c r="L2086" s="100"/>
      <c r="M2086" s="100"/>
      <c r="N2086" s="100"/>
      <c r="O2086" s="100"/>
      <c r="P2086" s="100"/>
      <c r="Q2086" s="100"/>
      <c r="R2086" s="100"/>
      <c r="S2086" s="100"/>
      <c r="T2086" s="100"/>
      <c r="U2086" s="100"/>
      <c r="V2086" s="100"/>
      <c r="W2086" s="100"/>
      <c r="X2086" s="100"/>
      <c r="Y2086" s="100"/>
      <c r="Z2086" s="100"/>
    </row>
    <row r="2087" spans="1:26">
      <c r="A2087" s="100" t="e">
        <f ca="1">IFERROR(__xludf.DUMMYFUNCTION("""COMPUTED_VALUE"""),58785422)</f>
        <v>#NAME?</v>
      </c>
      <c r="B2087" s="100" t="e">
        <f ca="1">IFERROR(__xludf.DUMMYFUNCTION("""COMPUTED_VALUE"""),"SSVBUSD")</f>
        <v>#NAME?</v>
      </c>
      <c r="C2087" s="100" t="e">
        <f ca="1">IFERROR(__xludf.DUMMYFUNCTION("""COMPUTED_VALUE"""),"15.74000000")</f>
        <v>#NAME?</v>
      </c>
      <c r="D2087" s="100" t="e">
        <f t="shared" ca="1" si="363"/>
        <v>#NAME?</v>
      </c>
      <c r="E2087" s="100" t="e">
        <f t="shared" ca="1" si="363"/>
        <v>#NAME?</v>
      </c>
      <c r="F2087" s="100" t="e">
        <f t="shared" ca="1" si="356"/>
        <v>#NAME?</v>
      </c>
      <c r="G2087" s="100" t="e">
        <f t="shared" ca="1" si="357"/>
        <v>#NAME?</v>
      </c>
      <c r="H2087" s="100" t="e">
        <f t="shared" ca="1" si="358"/>
        <v>#NAME?</v>
      </c>
      <c r="I2087" s="100" t="e">
        <f t="shared" ca="1" si="359"/>
        <v>#NAME?</v>
      </c>
      <c r="J2087" s="100" t="e">
        <f ca="1">IFERROR(__xludf.DUMMYFUNCTION("""COMPUTED_VALUE"""),"0")</f>
        <v>#NAME?</v>
      </c>
      <c r="K2087" s="100" t="e">
        <f t="shared" ca="1" si="360"/>
        <v>#NAME?</v>
      </c>
      <c r="L2087" s="100"/>
      <c r="M2087" s="100"/>
      <c r="N2087" s="100"/>
      <c r="O2087" s="100"/>
      <c r="P2087" s="100"/>
      <c r="Q2087" s="100"/>
      <c r="R2087" s="100"/>
      <c r="S2087" s="100"/>
      <c r="T2087" s="100"/>
      <c r="U2087" s="100"/>
      <c r="V2087" s="100"/>
      <c r="W2087" s="100"/>
      <c r="X2087" s="100"/>
      <c r="Y2087" s="100"/>
      <c r="Z2087" s="100"/>
    </row>
    <row r="2088" spans="1:26">
      <c r="A2088" s="100" t="e">
        <f ca="1">IFERROR(__xludf.DUMMYFUNCTION("""COMPUTED_VALUE"""),58785423)</f>
        <v>#NAME?</v>
      </c>
      <c r="B2088" s="100" t="e">
        <f ca="1">IFERROR(__xludf.DUMMYFUNCTION("""COMPUTED_VALUE"""),"STGBTC")</f>
        <v>#NAME?</v>
      </c>
      <c r="C2088" s="100" t="e">
        <f ca="1">IFERROR(__xludf.DUMMYFUNCTION("""COMPUTED_VALUE"""),"0.00000217")</f>
        <v>#NAME?</v>
      </c>
      <c r="D2088" s="100" t="e">
        <f t="shared" ca="1" si="363"/>
        <v>#NAME?</v>
      </c>
      <c r="E2088" s="100" t="e">
        <f t="shared" ca="1" si="363"/>
        <v>#NAME?</v>
      </c>
      <c r="F2088" s="100" t="e">
        <f t="shared" ca="1" si="356"/>
        <v>#NAME?</v>
      </c>
      <c r="G2088" s="100" t="e">
        <f t="shared" ca="1" si="357"/>
        <v>#NAME?</v>
      </c>
      <c r="H2088" s="100" t="e">
        <f t="shared" ca="1" si="358"/>
        <v>#NAME?</v>
      </c>
      <c r="I2088" s="100" t="e">
        <f t="shared" ca="1" si="359"/>
        <v>#NAME?</v>
      </c>
      <c r="J2088" s="100" t="e">
        <f ca="1">IFERROR(__xludf.DUMMYFUNCTION("""COMPUTED_VALUE"""),"-2.691")</f>
        <v>#NAME?</v>
      </c>
      <c r="K2088" s="100" t="e">
        <f t="shared" ca="1" si="360"/>
        <v>#NAME?</v>
      </c>
      <c r="L2088" s="100"/>
      <c r="M2088" s="100"/>
      <c r="N2088" s="100"/>
      <c r="O2088" s="100"/>
      <c r="P2088" s="100"/>
      <c r="Q2088" s="100"/>
      <c r="R2088" s="100"/>
      <c r="S2088" s="100"/>
      <c r="T2088" s="100"/>
      <c r="U2088" s="100"/>
      <c r="V2088" s="100"/>
      <c r="W2088" s="100"/>
      <c r="X2088" s="100"/>
      <c r="Y2088" s="100"/>
      <c r="Z2088" s="100"/>
    </row>
    <row r="2089" spans="1:26">
      <c r="A2089" s="100" t="e">
        <f ca="1">IFERROR(__xludf.DUMMYFUNCTION("""COMPUTED_VALUE"""),58785424)</f>
        <v>#NAME?</v>
      </c>
      <c r="B2089" s="100" t="e">
        <f ca="1">IFERROR(__xludf.DUMMYFUNCTION("""COMPUTED_VALUE"""),"STGBUSD")</f>
        <v>#NAME?</v>
      </c>
      <c r="C2089" s="100" t="e">
        <f ca="1">IFERROR(__xludf.DUMMYFUNCTION("""COMPUTED_VALUE"""),"0.41400000")</f>
        <v>#NAME?</v>
      </c>
      <c r="D2089" s="100" t="e">
        <f t="shared" ca="1" si="363"/>
        <v>#NAME?</v>
      </c>
      <c r="E2089" s="100" t="e">
        <f t="shared" ca="1" si="363"/>
        <v>#NAME?</v>
      </c>
      <c r="F2089" s="100" t="e">
        <f t="shared" ca="1" si="356"/>
        <v>#NAME?</v>
      </c>
      <c r="G2089" s="100" t="e">
        <f t="shared" ca="1" si="357"/>
        <v>#NAME?</v>
      </c>
      <c r="H2089" s="100" t="e">
        <f t="shared" ca="1" si="358"/>
        <v>#NAME?</v>
      </c>
      <c r="I2089" s="100" t="e">
        <f t="shared" ca="1" si="359"/>
        <v>#NAME?</v>
      </c>
      <c r="J2089" s="100" t="e">
        <f ca="1">IFERROR(__xludf.DUMMYFUNCTION("""COMPUTED_VALUE"""),"0")</f>
        <v>#NAME?</v>
      </c>
      <c r="K2089" s="100" t="e">
        <f t="shared" ca="1" si="360"/>
        <v>#NAME?</v>
      </c>
      <c r="L2089" s="100"/>
      <c r="M2089" s="100"/>
      <c r="N2089" s="100"/>
      <c r="O2089" s="100"/>
      <c r="P2089" s="100"/>
      <c r="Q2089" s="100"/>
      <c r="R2089" s="100"/>
      <c r="S2089" s="100"/>
      <c r="T2089" s="100"/>
      <c r="U2089" s="100"/>
      <c r="V2089" s="100"/>
      <c r="W2089" s="100"/>
      <c r="X2089" s="100"/>
      <c r="Y2089" s="100"/>
      <c r="Z2089" s="100"/>
    </row>
    <row r="2090" spans="1:26">
      <c r="A2090" s="100" t="e">
        <f ca="1">IFERROR(__xludf.DUMMYFUNCTION("""COMPUTED_VALUE"""),58785425)</f>
        <v>#NAME?</v>
      </c>
      <c r="B2090" s="100" t="e">
        <f ca="1">IFERROR(__xludf.DUMMYFUNCTION("""COMPUTED_VALUE"""),"STGUSDT")</f>
        <v>#NAME?</v>
      </c>
      <c r="C2090" s="100" t="e">
        <f ca="1">IFERROR(__xludf.DUMMYFUNCTION("""COMPUTED_VALUE"""),"0.19190000")</f>
        <v>#NAME?</v>
      </c>
      <c r="D2090" s="100" t="e">
        <f t="shared" ca="1" si="363"/>
        <v>#NAME?</v>
      </c>
      <c r="E2090" s="100" t="e">
        <f t="shared" ca="1" si="363"/>
        <v>#NAME?</v>
      </c>
      <c r="F2090" s="100" t="e">
        <f t="shared" ca="1" si="356"/>
        <v>#NAME?</v>
      </c>
      <c r="G2090" s="100" t="e">
        <f t="shared" ca="1" si="357"/>
        <v>#NAME?</v>
      </c>
      <c r="H2090" s="100" t="e">
        <f t="shared" ca="1" si="358"/>
        <v>#NAME?</v>
      </c>
      <c r="I2090" s="100" t="e">
        <f t="shared" ca="1" si="359"/>
        <v>#NAME?</v>
      </c>
      <c r="J2090" s="100" t="e">
        <f ca="1">IFERROR(__xludf.DUMMYFUNCTION("""COMPUTED_VALUE"""),"-1.235")</f>
        <v>#NAME?</v>
      </c>
      <c r="K2090" s="100" t="e">
        <f t="shared" ca="1" si="360"/>
        <v>#NAME?</v>
      </c>
      <c r="L2090" s="100"/>
      <c r="M2090" s="100"/>
      <c r="N2090" s="100"/>
      <c r="O2090" s="100"/>
      <c r="P2090" s="100"/>
      <c r="Q2090" s="100"/>
      <c r="R2090" s="100"/>
      <c r="S2090" s="100"/>
      <c r="T2090" s="100"/>
      <c r="U2090" s="100"/>
      <c r="V2090" s="100"/>
      <c r="W2090" s="100"/>
      <c r="X2090" s="100"/>
      <c r="Y2090" s="100"/>
      <c r="Z2090" s="100"/>
    </row>
    <row r="2091" spans="1:26">
      <c r="A2091" s="100" t="e">
        <f ca="1">IFERROR(__xludf.DUMMYFUNCTION("""COMPUTED_VALUE"""),58785426)</f>
        <v>#NAME?</v>
      </c>
      <c r="B2091" s="100" t="e">
        <f ca="1">IFERROR(__xludf.DUMMYFUNCTION("""COMPUTED_VALUE"""),"ANKRTRY")</f>
        <v>#NAME?</v>
      </c>
      <c r="C2091" s="100" t="e">
        <f ca="1">IFERROR(__xludf.DUMMYFUNCTION("""COMPUTED_VALUE"""),"0.70550000")</f>
        <v>#NAME?</v>
      </c>
      <c r="D2091" s="100" t="e">
        <f t="shared" ca="1" si="363"/>
        <v>#NAME?</v>
      </c>
      <c r="E2091" s="100" t="e">
        <f t="shared" ca="1" si="363"/>
        <v>#NAME?</v>
      </c>
      <c r="F2091" s="100" t="e">
        <f t="shared" ca="1" si="356"/>
        <v>#NAME?</v>
      </c>
      <c r="G2091" s="100" t="e">
        <f t="shared" ca="1" si="357"/>
        <v>#NAME?</v>
      </c>
      <c r="H2091" s="100" t="e">
        <f t="shared" ca="1" si="358"/>
        <v>#NAME?</v>
      </c>
      <c r="I2091" s="100" t="e">
        <f t="shared" ca="1" si="359"/>
        <v>#NAME?</v>
      </c>
      <c r="J2091" s="100" t="e">
        <f ca="1">IFERROR(__xludf.DUMMYFUNCTION("""COMPUTED_VALUE"""),"-2.299")</f>
        <v>#NAME?</v>
      </c>
      <c r="K2091" s="100" t="e">
        <f t="shared" ca="1" si="360"/>
        <v>#NAME?</v>
      </c>
      <c r="L2091" s="100"/>
      <c r="M2091" s="100"/>
      <c r="N2091" s="100"/>
      <c r="O2091" s="100"/>
      <c r="P2091" s="100"/>
      <c r="Q2091" s="100"/>
      <c r="R2091" s="100"/>
      <c r="S2091" s="100"/>
      <c r="T2091" s="100"/>
      <c r="U2091" s="100"/>
      <c r="V2091" s="100"/>
      <c r="W2091" s="100"/>
      <c r="X2091" s="100"/>
      <c r="Y2091" s="100"/>
      <c r="Z2091" s="100"/>
    </row>
    <row r="2092" spans="1:26">
      <c r="A2092" s="100" t="e">
        <f ca="1">IFERROR(__xludf.DUMMYFUNCTION("""COMPUTED_VALUE"""),58785427)</f>
        <v>#NAME?</v>
      </c>
      <c r="B2092" s="100" t="e">
        <f ca="1">IFERROR(__xludf.DUMMYFUNCTION("""COMPUTED_VALUE"""),"ARKBUSD")</f>
        <v>#NAME?</v>
      </c>
      <c r="C2092" s="100" t="e">
        <f ca="1">IFERROR(__xludf.DUMMYFUNCTION("""COMPUTED_VALUE"""),"0.53560000")</f>
        <v>#NAME?</v>
      </c>
      <c r="D2092" s="100" t="e">
        <f t="shared" ca="1" si="363"/>
        <v>#NAME?</v>
      </c>
      <c r="E2092" s="100" t="e">
        <f t="shared" ca="1" si="363"/>
        <v>#NAME?</v>
      </c>
      <c r="F2092" s="100" t="e">
        <f t="shared" ca="1" si="356"/>
        <v>#NAME?</v>
      </c>
      <c r="G2092" s="100" t="e">
        <f t="shared" ca="1" si="357"/>
        <v>#NAME?</v>
      </c>
      <c r="H2092" s="100" t="e">
        <f t="shared" ca="1" si="358"/>
        <v>#NAME?</v>
      </c>
      <c r="I2092" s="100" t="e">
        <f t="shared" ca="1" si="359"/>
        <v>#NAME?</v>
      </c>
      <c r="J2092" s="100" t="e">
        <f ca="1">IFERROR(__xludf.DUMMYFUNCTION("""COMPUTED_VALUE"""),"0")</f>
        <v>#NAME?</v>
      </c>
      <c r="K2092" s="100" t="e">
        <f t="shared" ca="1" si="360"/>
        <v>#NAME?</v>
      </c>
      <c r="L2092" s="100"/>
      <c r="M2092" s="100"/>
      <c r="N2092" s="100"/>
      <c r="O2092" s="100"/>
      <c r="P2092" s="100"/>
      <c r="Q2092" s="100"/>
      <c r="R2092" s="100"/>
      <c r="S2092" s="100"/>
      <c r="T2092" s="100"/>
      <c r="U2092" s="100"/>
      <c r="V2092" s="100"/>
      <c r="W2092" s="100"/>
      <c r="X2092" s="100"/>
      <c r="Y2092" s="100"/>
      <c r="Z2092" s="100"/>
    </row>
    <row r="2093" spans="1:26">
      <c r="A2093" s="100" t="e">
        <f ca="1">IFERROR(__xludf.DUMMYFUNCTION("""COMPUTED_VALUE"""),58785428)</f>
        <v>#NAME?</v>
      </c>
      <c r="B2093" s="100" t="e">
        <f ca="1">IFERROR(__xludf.DUMMYFUNCTION("""COMPUTED_VALUE"""),"BETHBUSD")</f>
        <v>#NAME?</v>
      </c>
      <c r="C2093" s="100" t="e">
        <f ca="1">IFERROR(__xludf.DUMMYFUNCTION("""COMPUTED_VALUE"""),"1551.73000000")</f>
        <v>#NAME?</v>
      </c>
      <c r="D2093" s="100" t="e">
        <f t="shared" ca="1" si="363"/>
        <v>#NAME?</v>
      </c>
      <c r="E2093" s="100" t="e">
        <f t="shared" ca="1" si="363"/>
        <v>#NAME?</v>
      </c>
      <c r="F2093" s="100" t="e">
        <f t="shared" ca="1" si="356"/>
        <v>#NAME?</v>
      </c>
      <c r="G2093" s="100" t="e">
        <f t="shared" ca="1" si="357"/>
        <v>#NAME?</v>
      </c>
      <c r="H2093" s="100" t="e">
        <f t="shared" ca="1" si="358"/>
        <v>#NAME?</v>
      </c>
      <c r="I2093" s="100" t="e">
        <f t="shared" ca="1" si="359"/>
        <v>#NAME?</v>
      </c>
      <c r="J2093" s="100" t="e">
        <f ca="1">IFERROR(__xludf.DUMMYFUNCTION("""COMPUTED_VALUE"""),"0")</f>
        <v>#NAME?</v>
      </c>
      <c r="K2093" s="100" t="e">
        <f t="shared" ca="1" si="360"/>
        <v>#NAME?</v>
      </c>
      <c r="L2093" s="100"/>
      <c r="M2093" s="100"/>
      <c r="N2093" s="100"/>
      <c r="O2093" s="100"/>
      <c r="P2093" s="100"/>
      <c r="Q2093" s="100"/>
      <c r="R2093" s="100"/>
      <c r="S2093" s="100"/>
      <c r="T2093" s="100"/>
      <c r="U2093" s="100"/>
      <c r="V2093" s="100"/>
      <c r="W2093" s="100"/>
      <c r="X2093" s="100"/>
      <c r="Y2093" s="100"/>
      <c r="Z2093" s="100"/>
    </row>
    <row r="2094" spans="1:26">
      <c r="A2094" s="100" t="e">
        <f ca="1">IFERROR(__xludf.DUMMYFUNCTION("""COMPUTED_VALUE"""),58785429)</f>
        <v>#NAME?</v>
      </c>
      <c r="B2094" s="100" t="e">
        <f ca="1">IFERROR(__xludf.DUMMYFUNCTION("""COMPUTED_VALUE"""),"LOOMBUSD")</f>
        <v>#NAME?</v>
      </c>
      <c r="C2094" s="100" t="e">
        <f ca="1">IFERROR(__xludf.DUMMYFUNCTION("""COMPUTED_VALUE"""),"0.04003000")</f>
        <v>#NAME?</v>
      </c>
      <c r="D2094" s="100" t="e">
        <f t="shared" ca="1" si="363"/>
        <v>#NAME?</v>
      </c>
      <c r="E2094" s="100" t="e">
        <f t="shared" ca="1" si="363"/>
        <v>#NAME?</v>
      </c>
      <c r="F2094" s="100" t="e">
        <f t="shared" ca="1" si="356"/>
        <v>#NAME?</v>
      </c>
      <c r="G2094" s="100" t="e">
        <f t="shared" ca="1" si="357"/>
        <v>#NAME?</v>
      </c>
      <c r="H2094" s="100" t="e">
        <f t="shared" ca="1" si="358"/>
        <v>#NAME?</v>
      </c>
      <c r="I2094" s="100" t="e">
        <f t="shared" ca="1" si="359"/>
        <v>#NAME?</v>
      </c>
      <c r="J2094" s="100" t="e">
        <f ca="1">IFERROR(__xludf.DUMMYFUNCTION("""COMPUTED_VALUE"""),"0")</f>
        <v>#NAME?</v>
      </c>
      <c r="K2094" s="100" t="e">
        <f t="shared" ca="1" si="360"/>
        <v>#NAME?</v>
      </c>
      <c r="L2094" s="100"/>
      <c r="M2094" s="100"/>
      <c r="N2094" s="100"/>
      <c r="O2094" s="100"/>
      <c r="P2094" s="100"/>
      <c r="Q2094" s="100"/>
      <c r="R2094" s="100"/>
      <c r="S2094" s="100"/>
      <c r="T2094" s="100"/>
      <c r="U2094" s="100"/>
      <c r="V2094" s="100"/>
      <c r="W2094" s="100"/>
      <c r="X2094" s="100"/>
      <c r="Y2094" s="100"/>
      <c r="Z2094" s="100"/>
    </row>
    <row r="2095" spans="1:26">
      <c r="A2095" s="100" t="e">
        <f ca="1">IFERROR(__xludf.DUMMYFUNCTION("""COMPUTED_VALUE"""),58785430)</f>
        <v>#NAME?</v>
      </c>
      <c r="B2095" s="100" t="e">
        <f ca="1">IFERROR(__xludf.DUMMYFUNCTION("""COMPUTED_VALUE"""),"SNMBUSD")</f>
        <v>#NAME?</v>
      </c>
      <c r="C2095" s="100" t="e">
        <f ca="1">IFERROR(__xludf.DUMMYFUNCTION("""COMPUTED_VALUE"""),"0.01470000")</f>
        <v>#NAME?</v>
      </c>
      <c r="D2095" s="100" t="e">
        <f t="shared" ca="1" si="363"/>
        <v>#NAME?</v>
      </c>
      <c r="E2095" s="100" t="e">
        <f t="shared" ca="1" si="363"/>
        <v>#NAME?</v>
      </c>
      <c r="F2095" s="100" t="e">
        <f t="shared" ca="1" si="356"/>
        <v>#NAME?</v>
      </c>
      <c r="G2095" s="100" t="e">
        <f t="shared" ca="1" si="357"/>
        <v>#NAME?</v>
      </c>
      <c r="H2095" s="100" t="e">
        <f t="shared" ca="1" si="358"/>
        <v>#NAME?</v>
      </c>
      <c r="I2095" s="100" t="e">
        <f t="shared" ca="1" si="359"/>
        <v>#NAME?</v>
      </c>
      <c r="J2095" s="100" t="e">
        <f ca="1">IFERROR(__xludf.DUMMYFUNCTION("""COMPUTED_VALUE"""),"0")</f>
        <v>#NAME?</v>
      </c>
      <c r="K2095" s="100" t="e">
        <f t="shared" ca="1" si="360"/>
        <v>#NAME?</v>
      </c>
      <c r="L2095" s="100"/>
      <c r="M2095" s="100"/>
      <c r="N2095" s="100"/>
      <c r="O2095" s="100"/>
      <c r="P2095" s="100"/>
      <c r="Q2095" s="100"/>
      <c r="R2095" s="100"/>
      <c r="S2095" s="100"/>
      <c r="T2095" s="100"/>
      <c r="U2095" s="100"/>
      <c r="V2095" s="100"/>
      <c r="W2095" s="100"/>
      <c r="X2095" s="100"/>
      <c r="Y2095" s="100"/>
      <c r="Z2095" s="100"/>
    </row>
    <row r="2096" spans="1:26">
      <c r="A2096" s="100" t="e">
        <f ca="1">IFERROR(__xludf.DUMMYFUNCTION("""COMPUTED_VALUE"""),58785431)</f>
        <v>#NAME?</v>
      </c>
      <c r="B2096" s="100" t="e">
        <f ca="1">IFERROR(__xludf.DUMMYFUNCTION("""COMPUTED_VALUE"""),"AMBBUSD")</f>
        <v>#NAME?</v>
      </c>
      <c r="C2096" s="100" t="e">
        <f ca="1">IFERROR(__xludf.DUMMYFUNCTION("""COMPUTED_VALUE"""),"0.00796000")</f>
        <v>#NAME?</v>
      </c>
      <c r="D2096" s="100" t="e">
        <f t="shared" ca="1" si="363"/>
        <v>#NAME?</v>
      </c>
      <c r="E2096" s="100" t="e">
        <f t="shared" ca="1" si="363"/>
        <v>#NAME?</v>
      </c>
      <c r="F2096" s="100" t="e">
        <f t="shared" ca="1" si="356"/>
        <v>#NAME?</v>
      </c>
      <c r="G2096" s="100" t="e">
        <f t="shared" ca="1" si="357"/>
        <v>#NAME?</v>
      </c>
      <c r="H2096" s="100" t="e">
        <f t="shared" ca="1" si="358"/>
        <v>#NAME?</v>
      </c>
      <c r="I2096" s="100" t="e">
        <f t="shared" ca="1" si="359"/>
        <v>#NAME?</v>
      </c>
      <c r="J2096" s="100" t="e">
        <f ca="1">IFERROR(__xludf.DUMMYFUNCTION("""COMPUTED_VALUE"""),"0")</f>
        <v>#NAME?</v>
      </c>
      <c r="K2096" s="100" t="e">
        <f t="shared" ca="1" si="360"/>
        <v>#NAME?</v>
      </c>
      <c r="L2096" s="100"/>
      <c r="M2096" s="100"/>
      <c r="N2096" s="100"/>
      <c r="O2096" s="100"/>
      <c r="P2096" s="100"/>
      <c r="Q2096" s="100"/>
      <c r="R2096" s="100"/>
      <c r="S2096" s="100"/>
      <c r="T2096" s="100"/>
      <c r="U2096" s="100"/>
      <c r="V2096" s="100"/>
      <c r="W2096" s="100"/>
      <c r="X2096" s="100"/>
      <c r="Y2096" s="100"/>
      <c r="Z2096" s="100"/>
    </row>
    <row r="2097" spans="1:26">
      <c r="A2097" s="100" t="e">
        <f ca="1">IFERROR(__xludf.DUMMYFUNCTION("""COMPUTED_VALUE"""),58785432)</f>
        <v>#NAME?</v>
      </c>
      <c r="B2097" s="100" t="e">
        <f ca="1">IFERROR(__xludf.DUMMYFUNCTION("""COMPUTED_VALUE"""),"LUNCUSDT")</f>
        <v>#NAME?</v>
      </c>
      <c r="C2097" s="100" t="e">
        <f ca="1">IFERROR(__xludf.DUMMYFUNCTION("""COMPUTED_VALUE"""),"0.00006035")</f>
        <v>#NAME?</v>
      </c>
      <c r="D2097" s="100" t="e">
        <f t="shared" ca="1" si="363"/>
        <v>#NAME?</v>
      </c>
      <c r="E2097" s="100" t="e">
        <f t="shared" ca="1" si="363"/>
        <v>#NAME?</v>
      </c>
      <c r="F2097" s="100" t="e">
        <f t="shared" ca="1" si="356"/>
        <v>#NAME?</v>
      </c>
      <c r="G2097" s="100" t="e">
        <f t="shared" ca="1" si="357"/>
        <v>#NAME?</v>
      </c>
      <c r="H2097" s="100" t="e">
        <f t="shared" ca="1" si="358"/>
        <v>#NAME?</v>
      </c>
      <c r="I2097" s="100" t="e">
        <f t="shared" ca="1" si="359"/>
        <v>#NAME?</v>
      </c>
      <c r="J2097" s="100" t="e">
        <f ca="1">IFERROR(__xludf.DUMMYFUNCTION("""COMPUTED_VALUE"""),"-3.409")</f>
        <v>#NAME?</v>
      </c>
      <c r="K2097" s="100" t="e">
        <f t="shared" ca="1" si="360"/>
        <v>#NAME?</v>
      </c>
      <c r="L2097" s="100"/>
      <c r="M2097" s="100"/>
      <c r="N2097" s="100"/>
      <c r="O2097" s="100"/>
      <c r="P2097" s="100"/>
      <c r="Q2097" s="100"/>
      <c r="R2097" s="100"/>
      <c r="S2097" s="100"/>
      <c r="T2097" s="100"/>
      <c r="U2097" s="100"/>
      <c r="V2097" s="100"/>
      <c r="W2097" s="100"/>
      <c r="X2097" s="100"/>
      <c r="Y2097" s="100"/>
      <c r="Z2097" s="100"/>
    </row>
    <row r="2098" spans="1:26">
      <c r="A2098" s="100" t="e">
        <f ca="1">IFERROR(__xludf.DUMMYFUNCTION("""COMPUTED_VALUE"""),58785433)</f>
        <v>#NAME?</v>
      </c>
      <c r="B2098" s="100" t="e">
        <f ca="1">IFERROR(__xludf.DUMMYFUNCTION("""COMPUTED_VALUE"""),"PHBBUSD")</f>
        <v>#NAME?</v>
      </c>
      <c r="C2098" s="100" t="e">
        <f ca="1">IFERROR(__xludf.DUMMYFUNCTION("""COMPUTED_VALUE"""),"0.65880000")</f>
        <v>#NAME?</v>
      </c>
      <c r="D2098" s="100" t="e">
        <f t="shared" ca="1" si="363"/>
        <v>#NAME?</v>
      </c>
      <c r="E2098" s="100" t="e">
        <f t="shared" ca="1" si="363"/>
        <v>#NAME?</v>
      </c>
      <c r="F2098" s="100" t="e">
        <f t="shared" ca="1" si="356"/>
        <v>#NAME?</v>
      </c>
      <c r="G2098" s="100" t="e">
        <f t="shared" ca="1" si="357"/>
        <v>#NAME?</v>
      </c>
      <c r="H2098" s="100" t="e">
        <f t="shared" ca="1" si="358"/>
        <v>#NAME?</v>
      </c>
      <c r="I2098" s="100" t="e">
        <f t="shared" ca="1" si="359"/>
        <v>#NAME?</v>
      </c>
      <c r="J2098" s="100" t="e">
        <f t="shared" ref="J2098:J2104" ca="1" si="364">IFERROR(__xludf.DUMMYFUNCTION("""COMPUTED_VALUE"""),"0")</f>
        <v>#NAME?</v>
      </c>
      <c r="K2098" s="100" t="e">
        <f t="shared" ca="1" si="360"/>
        <v>#NAME?</v>
      </c>
      <c r="L2098" s="100"/>
      <c r="M2098" s="100"/>
      <c r="N2098" s="100"/>
      <c r="O2098" s="100"/>
      <c r="P2098" s="100"/>
      <c r="Q2098" s="100"/>
      <c r="R2098" s="100"/>
      <c r="S2098" s="100"/>
      <c r="T2098" s="100"/>
      <c r="U2098" s="100"/>
      <c r="V2098" s="100"/>
      <c r="W2098" s="100"/>
      <c r="X2098" s="100"/>
      <c r="Y2098" s="100"/>
      <c r="Z2098" s="100"/>
    </row>
    <row r="2099" spans="1:26">
      <c r="A2099" s="100" t="e">
        <f ca="1">IFERROR(__xludf.DUMMYFUNCTION("""COMPUTED_VALUE"""),58785434)</f>
        <v>#NAME?</v>
      </c>
      <c r="B2099" s="100" t="e">
        <f ca="1">IFERROR(__xludf.DUMMYFUNCTION("""COMPUTED_VALUE"""),"GASBUSD")</f>
        <v>#NAME?</v>
      </c>
      <c r="C2099" s="100" t="e">
        <f ca="1">IFERROR(__xludf.DUMMYFUNCTION("""COMPUTED_VALUE"""),"9.21600000")</f>
        <v>#NAME?</v>
      </c>
      <c r="D2099" s="100" t="e">
        <f t="shared" ca="1" si="363"/>
        <v>#NAME?</v>
      </c>
      <c r="E2099" s="100" t="e">
        <f t="shared" ca="1" si="363"/>
        <v>#NAME?</v>
      </c>
      <c r="F2099" s="100" t="e">
        <f t="shared" ca="1" si="356"/>
        <v>#NAME?</v>
      </c>
      <c r="G2099" s="100" t="e">
        <f t="shared" ca="1" si="357"/>
        <v>#NAME?</v>
      </c>
      <c r="H2099" s="100" t="e">
        <f t="shared" ca="1" si="358"/>
        <v>#NAME?</v>
      </c>
      <c r="I2099" s="100" t="e">
        <f t="shared" ca="1" si="359"/>
        <v>#NAME?</v>
      </c>
      <c r="J2099" s="100" t="e">
        <f t="shared" ca="1" si="364"/>
        <v>#NAME?</v>
      </c>
      <c r="K2099" s="100" t="e">
        <f t="shared" ca="1" si="360"/>
        <v>#NAME?</v>
      </c>
      <c r="L2099" s="100"/>
      <c r="M2099" s="100"/>
      <c r="N2099" s="100"/>
      <c r="O2099" s="100"/>
      <c r="P2099" s="100"/>
      <c r="Q2099" s="100"/>
      <c r="R2099" s="100"/>
      <c r="S2099" s="100"/>
      <c r="T2099" s="100"/>
      <c r="U2099" s="100"/>
      <c r="V2099" s="100"/>
      <c r="W2099" s="100"/>
      <c r="X2099" s="100"/>
      <c r="Y2099" s="100"/>
      <c r="Z2099" s="100"/>
    </row>
    <row r="2100" spans="1:26">
      <c r="A2100" s="100" t="e">
        <f ca="1">IFERROR(__xludf.DUMMYFUNCTION("""COMPUTED_VALUE"""),58785435)</f>
        <v>#NAME?</v>
      </c>
      <c r="B2100" s="100" t="e">
        <f ca="1">IFERROR(__xludf.DUMMYFUNCTION("""COMPUTED_VALUE"""),"NEBLBUSD")</f>
        <v>#NAME?</v>
      </c>
      <c r="C2100" s="100" t="e">
        <f ca="1">IFERROR(__xludf.DUMMYFUNCTION("""COMPUTED_VALUE"""),"0.35400000")</f>
        <v>#NAME?</v>
      </c>
      <c r="D2100" s="100" t="e">
        <f t="shared" ca="1" si="363"/>
        <v>#NAME?</v>
      </c>
      <c r="E2100" s="100" t="e">
        <f t="shared" ca="1" si="363"/>
        <v>#NAME?</v>
      </c>
      <c r="F2100" s="100" t="e">
        <f t="shared" ca="1" si="356"/>
        <v>#NAME?</v>
      </c>
      <c r="G2100" s="100" t="e">
        <f t="shared" ca="1" si="357"/>
        <v>#NAME?</v>
      </c>
      <c r="H2100" s="100" t="e">
        <f t="shared" ca="1" si="358"/>
        <v>#NAME?</v>
      </c>
      <c r="I2100" s="100" t="e">
        <f t="shared" ca="1" si="359"/>
        <v>#NAME?</v>
      </c>
      <c r="J2100" s="100" t="e">
        <f t="shared" ca="1" si="364"/>
        <v>#NAME?</v>
      </c>
      <c r="K2100" s="100" t="e">
        <f t="shared" ca="1" si="360"/>
        <v>#NAME?</v>
      </c>
      <c r="L2100" s="100"/>
      <c r="M2100" s="100"/>
      <c r="N2100" s="100"/>
      <c r="O2100" s="100"/>
      <c r="P2100" s="100"/>
      <c r="Q2100" s="100"/>
      <c r="R2100" s="100"/>
      <c r="S2100" s="100"/>
      <c r="T2100" s="100"/>
      <c r="U2100" s="100"/>
      <c r="V2100" s="100"/>
      <c r="W2100" s="100"/>
      <c r="X2100" s="100"/>
      <c r="Y2100" s="100"/>
      <c r="Z2100" s="100"/>
    </row>
    <row r="2101" spans="1:26">
      <c r="A2101" s="100" t="e">
        <f ca="1">IFERROR(__xludf.DUMMYFUNCTION("""COMPUTED_VALUE"""),58785436)</f>
        <v>#NAME?</v>
      </c>
      <c r="B2101" s="100" t="e">
        <f ca="1">IFERROR(__xludf.DUMMYFUNCTION("""COMPUTED_VALUE"""),"PROSBUSD")</f>
        <v>#NAME?</v>
      </c>
      <c r="C2101" s="100" t="e">
        <f ca="1">IFERROR(__xludf.DUMMYFUNCTION("""COMPUTED_VALUE"""),"0.31500000")</f>
        <v>#NAME?</v>
      </c>
      <c r="D2101" s="100" t="e">
        <f t="shared" ca="1" si="363"/>
        <v>#NAME?</v>
      </c>
      <c r="E2101" s="100" t="e">
        <f t="shared" ca="1" si="363"/>
        <v>#NAME?</v>
      </c>
      <c r="F2101" s="100" t="e">
        <f t="shared" ca="1" si="356"/>
        <v>#NAME?</v>
      </c>
      <c r="G2101" s="100" t="e">
        <f t="shared" ca="1" si="357"/>
        <v>#NAME?</v>
      </c>
      <c r="H2101" s="100" t="e">
        <f t="shared" ca="1" si="358"/>
        <v>#NAME?</v>
      </c>
      <c r="I2101" s="100" t="e">
        <f t="shared" ca="1" si="359"/>
        <v>#NAME?</v>
      </c>
      <c r="J2101" s="100" t="e">
        <f t="shared" ca="1" si="364"/>
        <v>#NAME?</v>
      </c>
      <c r="K2101" s="100" t="e">
        <f t="shared" ca="1" si="360"/>
        <v>#NAME?</v>
      </c>
      <c r="L2101" s="100"/>
      <c r="M2101" s="100"/>
      <c r="N2101" s="100"/>
      <c r="O2101" s="100"/>
      <c r="P2101" s="100"/>
      <c r="Q2101" s="100"/>
      <c r="R2101" s="100"/>
      <c r="S2101" s="100"/>
      <c r="T2101" s="100"/>
      <c r="U2101" s="100"/>
      <c r="V2101" s="100"/>
      <c r="W2101" s="100"/>
      <c r="X2101" s="100"/>
      <c r="Y2101" s="100"/>
      <c r="Z2101" s="100"/>
    </row>
    <row r="2102" spans="1:26">
      <c r="A2102" s="100" t="e">
        <f ca="1">IFERROR(__xludf.DUMMYFUNCTION("""COMPUTED_VALUE"""),58785437)</f>
        <v>#NAME?</v>
      </c>
      <c r="B2102" s="100" t="e">
        <f ca="1">IFERROR(__xludf.DUMMYFUNCTION("""COMPUTED_VALUE"""),"VIBBUSD")</f>
        <v>#NAME?</v>
      </c>
      <c r="C2102" s="100" t="e">
        <f ca="1">IFERROR(__xludf.DUMMYFUNCTION("""COMPUTED_VALUE"""),"0.04217000")</f>
        <v>#NAME?</v>
      </c>
      <c r="D2102" s="100" t="e">
        <f t="shared" ref="D2102:E2121" ca="1" si="365">IFERROR(__xludf.DUMMYFUNCTION("""COMPUTED_VALUE"""),"-")</f>
        <v>#NAME?</v>
      </c>
      <c r="E2102" s="100" t="e">
        <f t="shared" ca="1" si="365"/>
        <v>#NAME?</v>
      </c>
      <c r="F2102" s="100" t="e">
        <f t="shared" ca="1" si="356"/>
        <v>#NAME?</v>
      </c>
      <c r="G2102" s="100" t="e">
        <f t="shared" ca="1" si="357"/>
        <v>#NAME?</v>
      </c>
      <c r="H2102" s="100" t="e">
        <f t="shared" ca="1" si="358"/>
        <v>#NAME?</v>
      </c>
      <c r="I2102" s="100" t="e">
        <f t="shared" ca="1" si="359"/>
        <v>#NAME?</v>
      </c>
      <c r="J2102" s="100" t="e">
        <f t="shared" ca="1" si="364"/>
        <v>#NAME?</v>
      </c>
      <c r="K2102" s="100" t="e">
        <f t="shared" ca="1" si="360"/>
        <v>#NAME?</v>
      </c>
      <c r="L2102" s="100"/>
      <c r="M2102" s="100"/>
      <c r="N2102" s="100"/>
      <c r="O2102" s="100"/>
      <c r="P2102" s="100"/>
      <c r="Q2102" s="100"/>
      <c r="R2102" s="100"/>
      <c r="S2102" s="100"/>
      <c r="T2102" s="100"/>
      <c r="U2102" s="100"/>
      <c r="V2102" s="100"/>
      <c r="W2102" s="100"/>
      <c r="X2102" s="100"/>
      <c r="Y2102" s="100"/>
      <c r="Z2102" s="100"/>
    </row>
    <row r="2103" spans="1:26">
      <c r="A2103" s="100" t="e">
        <f ca="1">IFERROR(__xludf.DUMMYFUNCTION("""COMPUTED_VALUE"""),58785438)</f>
        <v>#NAME?</v>
      </c>
      <c r="B2103" s="100" t="e">
        <f ca="1">IFERROR(__xludf.DUMMYFUNCTION("""COMPUTED_VALUE"""),"GMXBTC")</f>
        <v>#NAME?</v>
      </c>
      <c r="C2103" s="100" t="e">
        <f ca="1">IFERROR(__xludf.DUMMYFUNCTION("""COMPUTED_VALUE"""),"0.00033200")</f>
        <v>#NAME?</v>
      </c>
      <c r="D2103" s="100" t="e">
        <f t="shared" ca="1" si="365"/>
        <v>#NAME?</v>
      </c>
      <c r="E2103" s="100" t="e">
        <f t="shared" ca="1" si="365"/>
        <v>#NAME?</v>
      </c>
      <c r="F2103" s="100" t="e">
        <f t="shared" ca="1" si="356"/>
        <v>#NAME?</v>
      </c>
      <c r="G2103" s="100" t="e">
        <f t="shared" ca="1" si="357"/>
        <v>#NAME?</v>
      </c>
      <c r="H2103" s="100" t="e">
        <f t="shared" ca="1" si="358"/>
        <v>#NAME?</v>
      </c>
      <c r="I2103" s="100" t="e">
        <f t="shared" ca="1" si="359"/>
        <v>#NAME?</v>
      </c>
      <c r="J2103" s="100" t="e">
        <f t="shared" ca="1" si="364"/>
        <v>#NAME?</v>
      </c>
      <c r="K2103" s="100" t="e">
        <f t="shared" ca="1" si="360"/>
        <v>#NAME?</v>
      </c>
      <c r="L2103" s="100"/>
      <c r="M2103" s="100"/>
      <c r="N2103" s="100"/>
      <c r="O2103" s="100"/>
      <c r="P2103" s="100"/>
      <c r="Q2103" s="100"/>
      <c r="R2103" s="100"/>
      <c r="S2103" s="100"/>
      <c r="T2103" s="100"/>
      <c r="U2103" s="100"/>
      <c r="V2103" s="100"/>
      <c r="W2103" s="100"/>
      <c r="X2103" s="100"/>
      <c r="Y2103" s="100"/>
      <c r="Z2103" s="100"/>
    </row>
    <row r="2104" spans="1:26">
      <c r="A2104" s="100" t="e">
        <f ca="1">IFERROR(__xludf.DUMMYFUNCTION("""COMPUTED_VALUE"""),58785439)</f>
        <v>#NAME?</v>
      </c>
      <c r="B2104" s="100" t="e">
        <f ca="1">IFERROR(__xludf.DUMMYFUNCTION("""COMPUTED_VALUE"""),"GMXBUSD")</f>
        <v>#NAME?</v>
      </c>
      <c r="C2104" s="100" t="e">
        <f ca="1">IFERROR(__xludf.DUMMYFUNCTION("""COMPUTED_VALUE"""),"31.67000000")</f>
        <v>#NAME?</v>
      </c>
      <c r="D2104" s="100" t="e">
        <f t="shared" ca="1" si="365"/>
        <v>#NAME?</v>
      </c>
      <c r="E2104" s="100" t="e">
        <f t="shared" ca="1" si="365"/>
        <v>#NAME?</v>
      </c>
      <c r="F2104" s="100" t="e">
        <f t="shared" ca="1" si="356"/>
        <v>#NAME?</v>
      </c>
      <c r="G2104" s="100" t="e">
        <f t="shared" ca="1" si="357"/>
        <v>#NAME?</v>
      </c>
      <c r="H2104" s="100" t="e">
        <f t="shared" ca="1" si="358"/>
        <v>#NAME?</v>
      </c>
      <c r="I2104" s="100" t="e">
        <f t="shared" ca="1" si="359"/>
        <v>#NAME?</v>
      </c>
      <c r="J2104" s="100" t="e">
        <f t="shared" ca="1" si="364"/>
        <v>#NAME?</v>
      </c>
      <c r="K2104" s="100" t="e">
        <f t="shared" ca="1" si="360"/>
        <v>#NAME?</v>
      </c>
      <c r="L2104" s="100"/>
      <c r="M2104" s="100"/>
      <c r="N2104" s="100"/>
      <c r="O2104" s="100"/>
      <c r="P2104" s="100"/>
      <c r="Q2104" s="100"/>
      <c r="R2104" s="100"/>
      <c r="S2104" s="100"/>
      <c r="T2104" s="100"/>
      <c r="U2104" s="100"/>
      <c r="V2104" s="100"/>
      <c r="W2104" s="100"/>
      <c r="X2104" s="100"/>
      <c r="Y2104" s="100"/>
      <c r="Z2104" s="100"/>
    </row>
    <row r="2105" spans="1:26">
      <c r="A2105" s="100" t="e">
        <f ca="1">IFERROR(__xludf.DUMMYFUNCTION("""COMPUTED_VALUE"""),58785440)</f>
        <v>#NAME?</v>
      </c>
      <c r="B2105" s="100" t="e">
        <f ca="1">IFERROR(__xludf.DUMMYFUNCTION("""COMPUTED_VALUE"""),"GMXUSDT")</f>
        <v>#NAME?</v>
      </c>
      <c r="C2105" s="100" t="e">
        <f ca="1">IFERROR(__xludf.DUMMYFUNCTION("""COMPUTED_VALUE"""),"13.64000000")</f>
        <v>#NAME?</v>
      </c>
      <c r="D2105" s="100" t="e">
        <f t="shared" ca="1" si="365"/>
        <v>#NAME?</v>
      </c>
      <c r="E2105" s="100" t="e">
        <f t="shared" ca="1" si="365"/>
        <v>#NAME?</v>
      </c>
      <c r="F2105" s="100" t="e">
        <f t="shared" ca="1" si="356"/>
        <v>#NAME?</v>
      </c>
      <c r="G2105" s="100" t="e">
        <f t="shared" ca="1" si="357"/>
        <v>#NAME?</v>
      </c>
      <c r="H2105" s="100" t="e">
        <f t="shared" ca="1" si="358"/>
        <v>#NAME?</v>
      </c>
      <c r="I2105" s="100" t="e">
        <f t="shared" ca="1" si="359"/>
        <v>#NAME?</v>
      </c>
      <c r="J2105" s="100" t="e">
        <f ca="1">IFERROR(__xludf.DUMMYFUNCTION("""COMPUTED_VALUE"""),"-8.824")</f>
        <v>#NAME?</v>
      </c>
      <c r="K2105" s="100" t="e">
        <f t="shared" ca="1" si="360"/>
        <v>#NAME?</v>
      </c>
      <c r="L2105" s="100"/>
      <c r="M2105" s="100"/>
      <c r="N2105" s="100"/>
      <c r="O2105" s="100"/>
      <c r="P2105" s="100"/>
      <c r="Q2105" s="100"/>
      <c r="R2105" s="100"/>
      <c r="S2105" s="100"/>
      <c r="T2105" s="100"/>
      <c r="U2105" s="100"/>
      <c r="V2105" s="100"/>
      <c r="W2105" s="100"/>
      <c r="X2105" s="100"/>
      <c r="Y2105" s="100"/>
      <c r="Z2105" s="100"/>
    </row>
    <row r="2106" spans="1:26">
      <c r="A2106" s="100" t="e">
        <f ca="1">IFERROR(__xludf.DUMMYFUNCTION("""COMPUTED_VALUE"""),58785441)</f>
        <v>#NAME?</v>
      </c>
      <c r="B2106" s="100" t="e">
        <f ca="1">IFERROR(__xludf.DUMMYFUNCTION("""COMPUTED_VALUE"""),"AGIXBUSD")</f>
        <v>#NAME?</v>
      </c>
      <c r="C2106" s="100" t="e">
        <f ca="1">IFERROR(__xludf.DUMMYFUNCTION("""COMPUTED_VALUE"""),"0.29947000")</f>
        <v>#NAME?</v>
      </c>
      <c r="D2106" s="100" t="e">
        <f t="shared" ca="1" si="365"/>
        <v>#NAME?</v>
      </c>
      <c r="E2106" s="100" t="e">
        <f t="shared" ca="1" si="365"/>
        <v>#NAME?</v>
      </c>
      <c r="F2106" s="100" t="e">
        <f t="shared" ca="1" si="356"/>
        <v>#NAME?</v>
      </c>
      <c r="G2106" s="100" t="e">
        <f t="shared" ca="1" si="357"/>
        <v>#NAME?</v>
      </c>
      <c r="H2106" s="100" t="e">
        <f t="shared" ca="1" si="358"/>
        <v>#NAME?</v>
      </c>
      <c r="I2106" s="100" t="e">
        <f t="shared" ca="1" si="359"/>
        <v>#NAME?</v>
      </c>
      <c r="J2106" s="100" t="e">
        <f ca="1">IFERROR(__xludf.DUMMYFUNCTION("""COMPUTED_VALUE"""),"0")</f>
        <v>#NAME?</v>
      </c>
      <c r="K2106" s="100" t="e">
        <f t="shared" ca="1" si="360"/>
        <v>#NAME?</v>
      </c>
      <c r="L2106" s="100"/>
      <c r="M2106" s="100"/>
      <c r="N2106" s="100"/>
      <c r="O2106" s="100"/>
      <c r="P2106" s="100"/>
      <c r="Q2106" s="100"/>
      <c r="R2106" s="100"/>
      <c r="S2106" s="100"/>
      <c r="T2106" s="100"/>
      <c r="U2106" s="100"/>
      <c r="V2106" s="100"/>
      <c r="W2106" s="100"/>
      <c r="X2106" s="100"/>
      <c r="Y2106" s="100"/>
      <c r="Z2106" s="100"/>
    </row>
    <row r="2107" spans="1:26">
      <c r="A2107" s="100" t="e">
        <f ca="1">IFERROR(__xludf.DUMMYFUNCTION("""COMPUTED_VALUE"""),58785442)</f>
        <v>#NAME?</v>
      </c>
      <c r="B2107" s="100" t="e">
        <f ca="1">IFERROR(__xludf.DUMMYFUNCTION("""COMPUTED_VALUE"""),"NEBLUSDT")</f>
        <v>#NAME?</v>
      </c>
      <c r="C2107" s="100" t="e">
        <f ca="1">IFERROR(__xludf.DUMMYFUNCTION("""COMPUTED_VALUE"""),"0.35500000")</f>
        <v>#NAME?</v>
      </c>
      <c r="D2107" s="100" t="e">
        <f t="shared" ca="1" si="365"/>
        <v>#NAME?</v>
      </c>
      <c r="E2107" s="100" t="e">
        <f t="shared" ca="1" si="365"/>
        <v>#NAME?</v>
      </c>
      <c r="F2107" s="100" t="e">
        <f t="shared" ca="1" si="356"/>
        <v>#NAME?</v>
      </c>
      <c r="G2107" s="100" t="e">
        <f t="shared" ca="1" si="357"/>
        <v>#NAME?</v>
      </c>
      <c r="H2107" s="100" t="e">
        <f t="shared" ca="1" si="358"/>
        <v>#NAME?</v>
      </c>
      <c r="I2107" s="100" t="e">
        <f t="shared" ca="1" si="359"/>
        <v>#NAME?</v>
      </c>
      <c r="J2107" s="100" t="e">
        <f ca="1">IFERROR(__xludf.DUMMYFUNCTION("""COMPUTED_VALUE"""),"0")</f>
        <v>#NAME?</v>
      </c>
      <c r="K2107" s="100" t="e">
        <f t="shared" ca="1" si="360"/>
        <v>#NAME?</v>
      </c>
      <c r="L2107" s="100"/>
      <c r="M2107" s="100"/>
      <c r="N2107" s="100"/>
      <c r="O2107" s="100"/>
      <c r="P2107" s="100"/>
      <c r="Q2107" s="100"/>
      <c r="R2107" s="100"/>
      <c r="S2107" s="100"/>
      <c r="T2107" s="100"/>
      <c r="U2107" s="100"/>
      <c r="V2107" s="100"/>
      <c r="W2107" s="100"/>
      <c r="X2107" s="100"/>
      <c r="Y2107" s="100"/>
      <c r="Z2107" s="100"/>
    </row>
    <row r="2108" spans="1:26">
      <c r="A2108" s="100" t="e">
        <f ca="1">IFERROR(__xludf.DUMMYFUNCTION("""COMPUTED_VALUE"""),58785443)</f>
        <v>#NAME?</v>
      </c>
      <c r="B2108" s="100" t="e">
        <f ca="1">IFERROR(__xludf.DUMMYFUNCTION("""COMPUTED_VALUE"""),"SNTBUSD")</f>
        <v>#NAME?</v>
      </c>
      <c r="C2108" s="100" t="e">
        <f ca="1">IFERROR(__xludf.DUMMYFUNCTION("""COMPUTED_VALUE"""),"0.02283000")</f>
        <v>#NAME?</v>
      </c>
      <c r="D2108" s="100" t="e">
        <f t="shared" ca="1" si="365"/>
        <v>#NAME?</v>
      </c>
      <c r="E2108" s="100" t="e">
        <f t="shared" ca="1" si="365"/>
        <v>#NAME?</v>
      </c>
      <c r="F2108" s="100" t="e">
        <f t="shared" ca="1" si="356"/>
        <v>#NAME?</v>
      </c>
      <c r="G2108" s="100" t="e">
        <f t="shared" ca="1" si="357"/>
        <v>#NAME?</v>
      </c>
      <c r="H2108" s="100" t="e">
        <f t="shared" ca="1" si="358"/>
        <v>#NAME?</v>
      </c>
      <c r="I2108" s="100" t="e">
        <f t="shared" ca="1" si="359"/>
        <v>#NAME?</v>
      </c>
      <c r="J2108" s="100" t="e">
        <f ca="1">IFERROR(__xludf.DUMMYFUNCTION("""COMPUTED_VALUE"""),"0")</f>
        <v>#NAME?</v>
      </c>
      <c r="K2108" s="100" t="e">
        <f t="shared" ca="1" si="360"/>
        <v>#NAME?</v>
      </c>
      <c r="L2108" s="100"/>
      <c r="M2108" s="100"/>
      <c r="N2108" s="100"/>
      <c r="O2108" s="100"/>
      <c r="P2108" s="100"/>
      <c r="Q2108" s="100"/>
      <c r="R2108" s="100"/>
      <c r="S2108" s="100"/>
      <c r="T2108" s="100"/>
      <c r="U2108" s="100"/>
      <c r="V2108" s="100"/>
      <c r="W2108" s="100"/>
      <c r="X2108" s="100"/>
      <c r="Y2108" s="100"/>
      <c r="Z2108" s="100"/>
    </row>
    <row r="2109" spans="1:26">
      <c r="A2109" s="100" t="e">
        <f ca="1">IFERROR(__xludf.DUMMYFUNCTION("""COMPUTED_VALUE"""),58785444)</f>
        <v>#NAME?</v>
      </c>
      <c r="B2109" s="100" t="e">
        <f ca="1">IFERROR(__xludf.DUMMYFUNCTION("""COMPUTED_VALUE"""),"POLYXBTC")</f>
        <v>#NAME?</v>
      </c>
      <c r="C2109" s="100" t="e">
        <f ca="1">IFERROR(__xludf.DUMMYFUNCTION("""COMPUTED_VALUE"""),"0.00000175")</f>
        <v>#NAME?</v>
      </c>
      <c r="D2109" s="100" t="e">
        <f t="shared" ca="1" si="365"/>
        <v>#NAME?</v>
      </c>
      <c r="E2109" s="100" t="e">
        <f t="shared" ca="1" si="365"/>
        <v>#NAME?</v>
      </c>
      <c r="F2109" s="100" t="e">
        <f t="shared" ca="1" si="356"/>
        <v>#NAME?</v>
      </c>
      <c r="G2109" s="100" t="e">
        <f t="shared" ca="1" si="357"/>
        <v>#NAME?</v>
      </c>
      <c r="H2109" s="100" t="e">
        <f t="shared" ca="1" si="358"/>
        <v>#NAME?</v>
      </c>
      <c r="I2109" s="100" t="e">
        <f t="shared" ca="1" si="359"/>
        <v>#NAME?</v>
      </c>
      <c r="J2109" s="100" t="e">
        <f ca="1">IFERROR(__xludf.DUMMYFUNCTION("""COMPUTED_VALUE"""),"0.575")</f>
        <v>#NAME?</v>
      </c>
      <c r="K2109" s="100" t="e">
        <f t="shared" ca="1" si="360"/>
        <v>#NAME?</v>
      </c>
      <c r="L2109" s="100"/>
      <c r="M2109" s="100"/>
      <c r="N2109" s="100"/>
      <c r="O2109" s="100"/>
      <c r="P2109" s="100"/>
      <c r="Q2109" s="100"/>
      <c r="R2109" s="100"/>
      <c r="S2109" s="100"/>
      <c r="T2109" s="100"/>
      <c r="U2109" s="100"/>
      <c r="V2109" s="100"/>
      <c r="W2109" s="100"/>
      <c r="X2109" s="100"/>
      <c r="Y2109" s="100"/>
      <c r="Z2109" s="100"/>
    </row>
    <row r="2110" spans="1:26">
      <c r="A2110" s="100" t="e">
        <f ca="1">IFERROR(__xludf.DUMMYFUNCTION("""COMPUTED_VALUE"""),58785445)</f>
        <v>#NAME?</v>
      </c>
      <c r="B2110" s="100" t="e">
        <f ca="1">IFERROR(__xludf.DUMMYFUNCTION("""COMPUTED_VALUE"""),"POLYXBUSD")</f>
        <v>#NAME?</v>
      </c>
      <c r="C2110" s="100" t="e">
        <f ca="1">IFERROR(__xludf.DUMMYFUNCTION("""COMPUTED_VALUE"""),"0.12170000")</f>
        <v>#NAME?</v>
      </c>
      <c r="D2110" s="100" t="e">
        <f t="shared" ca="1" si="365"/>
        <v>#NAME?</v>
      </c>
      <c r="E2110" s="100" t="e">
        <f t="shared" ca="1" si="365"/>
        <v>#NAME?</v>
      </c>
      <c r="F2110" s="100" t="e">
        <f t="shared" ca="1" si="356"/>
        <v>#NAME?</v>
      </c>
      <c r="G2110" s="100" t="e">
        <f t="shared" ca="1" si="357"/>
        <v>#NAME?</v>
      </c>
      <c r="H2110" s="100" t="e">
        <f t="shared" ca="1" si="358"/>
        <v>#NAME?</v>
      </c>
      <c r="I2110" s="100" t="e">
        <f t="shared" ca="1" si="359"/>
        <v>#NAME?</v>
      </c>
      <c r="J2110" s="100" t="e">
        <f ca="1">IFERROR(__xludf.DUMMYFUNCTION("""COMPUTED_VALUE"""),"0")</f>
        <v>#NAME?</v>
      </c>
      <c r="K2110" s="100" t="e">
        <f t="shared" ca="1" si="360"/>
        <v>#NAME?</v>
      </c>
      <c r="L2110" s="100"/>
      <c r="M2110" s="100"/>
      <c r="N2110" s="100"/>
      <c r="O2110" s="100"/>
      <c r="P2110" s="100"/>
      <c r="Q2110" s="100"/>
      <c r="R2110" s="100"/>
      <c r="S2110" s="100"/>
      <c r="T2110" s="100"/>
      <c r="U2110" s="100"/>
      <c r="V2110" s="100"/>
      <c r="W2110" s="100"/>
      <c r="X2110" s="100"/>
      <c r="Y2110" s="100"/>
      <c r="Z2110" s="100"/>
    </row>
    <row r="2111" spans="1:26">
      <c r="A2111" s="100" t="e">
        <f ca="1">IFERROR(__xludf.DUMMYFUNCTION("""COMPUTED_VALUE"""),58785446)</f>
        <v>#NAME?</v>
      </c>
      <c r="B2111" s="100" t="e">
        <f ca="1">IFERROR(__xludf.DUMMYFUNCTION("""COMPUTED_VALUE"""),"POLYXUSDT")</f>
        <v>#NAME?</v>
      </c>
      <c r="C2111" s="100" t="e">
        <f ca="1">IFERROR(__xludf.DUMMYFUNCTION("""COMPUTED_VALUE"""),"0.15540000")</f>
        <v>#NAME?</v>
      </c>
      <c r="D2111" s="100" t="e">
        <f t="shared" ca="1" si="365"/>
        <v>#NAME?</v>
      </c>
      <c r="E2111" s="100" t="e">
        <f t="shared" ca="1" si="365"/>
        <v>#NAME?</v>
      </c>
      <c r="F2111" s="100" t="e">
        <f t="shared" ca="1" si="356"/>
        <v>#NAME?</v>
      </c>
      <c r="G2111" s="100" t="e">
        <f t="shared" ca="1" si="357"/>
        <v>#NAME?</v>
      </c>
      <c r="H2111" s="100" t="e">
        <f t="shared" ca="1" si="358"/>
        <v>#NAME?</v>
      </c>
      <c r="I2111" s="100" t="e">
        <f t="shared" ca="1" si="359"/>
        <v>#NAME?</v>
      </c>
      <c r="J2111" s="100" t="e">
        <f ca="1">IFERROR(__xludf.DUMMYFUNCTION("""COMPUTED_VALUE"""),"1.502")</f>
        <v>#NAME?</v>
      </c>
      <c r="K2111" s="100" t="e">
        <f t="shared" ca="1" si="360"/>
        <v>#NAME?</v>
      </c>
      <c r="L2111" s="100"/>
      <c r="M2111" s="100"/>
      <c r="N2111" s="100"/>
      <c r="O2111" s="100"/>
      <c r="P2111" s="100"/>
      <c r="Q2111" s="100"/>
      <c r="R2111" s="100"/>
      <c r="S2111" s="100"/>
      <c r="T2111" s="100"/>
      <c r="U2111" s="100"/>
      <c r="V2111" s="100"/>
      <c r="W2111" s="100"/>
      <c r="X2111" s="100"/>
      <c r="Y2111" s="100"/>
      <c r="Z2111" s="100"/>
    </row>
    <row r="2112" spans="1:26">
      <c r="A2112" s="100" t="e">
        <f ca="1">IFERROR(__xludf.DUMMYFUNCTION("""COMPUTED_VALUE"""),58785447)</f>
        <v>#NAME?</v>
      </c>
      <c r="B2112" s="100" t="e">
        <f ca="1">IFERROR(__xludf.DUMMYFUNCTION("""COMPUTED_VALUE"""),"APTBTC")</f>
        <v>#NAME?</v>
      </c>
      <c r="C2112" s="100" t="e">
        <f ca="1">IFERROR(__xludf.DUMMYFUNCTION("""COMPUTED_VALUE"""),"0.00005483")</f>
        <v>#NAME?</v>
      </c>
      <c r="D2112" s="100" t="e">
        <f t="shared" ca="1" si="365"/>
        <v>#NAME?</v>
      </c>
      <c r="E2112" s="100" t="e">
        <f t="shared" ca="1" si="365"/>
        <v>#NAME?</v>
      </c>
      <c r="F2112" s="100" t="e">
        <f t="shared" ca="1" si="356"/>
        <v>#NAME?</v>
      </c>
      <c r="G2112" s="100" t="e">
        <f t="shared" ca="1" si="357"/>
        <v>#NAME?</v>
      </c>
      <c r="H2112" s="100" t="e">
        <f t="shared" ca="1" si="358"/>
        <v>#NAME?</v>
      </c>
      <c r="I2112" s="100" t="e">
        <f t="shared" ca="1" si="359"/>
        <v>#NAME?</v>
      </c>
      <c r="J2112" s="100" t="e">
        <f ca="1">IFERROR(__xludf.DUMMYFUNCTION("""COMPUTED_VALUE"""),"-7.538")</f>
        <v>#NAME?</v>
      </c>
      <c r="K2112" s="100" t="e">
        <f t="shared" ca="1" si="360"/>
        <v>#NAME?</v>
      </c>
      <c r="L2112" s="100"/>
      <c r="M2112" s="100"/>
      <c r="N2112" s="100"/>
      <c r="O2112" s="100"/>
      <c r="P2112" s="100"/>
      <c r="Q2112" s="100"/>
      <c r="R2112" s="100"/>
      <c r="S2112" s="100"/>
      <c r="T2112" s="100"/>
      <c r="U2112" s="100"/>
      <c r="V2112" s="100"/>
      <c r="W2112" s="100"/>
      <c r="X2112" s="100"/>
      <c r="Y2112" s="100"/>
      <c r="Z2112" s="100"/>
    </row>
    <row r="2113" spans="1:26">
      <c r="A2113" s="100" t="e">
        <f ca="1">IFERROR(__xludf.DUMMYFUNCTION("""COMPUTED_VALUE"""),58785448)</f>
        <v>#NAME?</v>
      </c>
      <c r="B2113" s="100" t="e">
        <f ca="1">IFERROR(__xludf.DUMMYFUNCTION("""COMPUTED_VALUE"""),"APTUSDT")</f>
        <v>#NAME?</v>
      </c>
      <c r="C2113" s="100" t="e">
        <f ca="1">IFERROR(__xludf.DUMMYFUNCTION("""COMPUTED_VALUE"""),"4.86400000")</f>
        <v>#NAME?</v>
      </c>
      <c r="D2113" s="100" t="e">
        <f t="shared" ca="1" si="365"/>
        <v>#NAME?</v>
      </c>
      <c r="E2113" s="100" t="e">
        <f t="shared" ca="1" si="365"/>
        <v>#NAME?</v>
      </c>
      <c r="F2113" s="100" t="e">
        <f t="shared" ca="1" si="356"/>
        <v>#NAME?</v>
      </c>
      <c r="G2113" s="100" t="e">
        <f t="shared" ca="1" si="357"/>
        <v>#NAME?</v>
      </c>
      <c r="H2113" s="100" t="e">
        <f t="shared" ca="1" si="358"/>
        <v>#NAME?</v>
      </c>
      <c r="I2113" s="100" t="e">
        <f t="shared" ca="1" si="359"/>
        <v>#NAME?</v>
      </c>
      <c r="J2113" s="100" t="e">
        <f ca="1">IFERROR(__xludf.DUMMYFUNCTION("""COMPUTED_VALUE"""),"-6.137")</f>
        <v>#NAME?</v>
      </c>
      <c r="K2113" s="100" t="e">
        <f t="shared" ca="1" si="360"/>
        <v>#NAME?</v>
      </c>
      <c r="L2113" s="100"/>
      <c r="M2113" s="100"/>
      <c r="N2113" s="100"/>
      <c r="O2113" s="100"/>
      <c r="P2113" s="100"/>
      <c r="Q2113" s="100"/>
      <c r="R2113" s="100"/>
      <c r="S2113" s="100"/>
      <c r="T2113" s="100"/>
      <c r="U2113" s="100"/>
      <c r="V2113" s="100"/>
      <c r="W2113" s="100"/>
      <c r="X2113" s="100"/>
      <c r="Y2113" s="100"/>
      <c r="Z2113" s="100"/>
    </row>
    <row r="2114" spans="1:26">
      <c r="A2114" s="100" t="e">
        <f ca="1">IFERROR(__xludf.DUMMYFUNCTION("""COMPUTED_VALUE"""),58785449)</f>
        <v>#NAME?</v>
      </c>
      <c r="B2114" s="100" t="e">
        <f ca="1">IFERROR(__xludf.DUMMYFUNCTION("""COMPUTED_VALUE"""),"APTBUSD")</f>
        <v>#NAME?</v>
      </c>
      <c r="C2114" s="100" t="e">
        <f ca="1">IFERROR(__xludf.DUMMYFUNCTION("""COMPUTED_VALUE"""),"7.31980000")</f>
        <v>#NAME?</v>
      </c>
      <c r="D2114" s="100" t="e">
        <f t="shared" ca="1" si="365"/>
        <v>#NAME?</v>
      </c>
      <c r="E2114" s="100" t="e">
        <f t="shared" ca="1" si="365"/>
        <v>#NAME?</v>
      </c>
      <c r="F2114" s="100" t="e">
        <f t="shared" ref="F2114:F2177" ca="1" si="366">IFERROR(__xludf.DUMMYFUNCTION("""COMPUTED_VALUE"""),20200)</f>
        <v>#NAME?</v>
      </c>
      <c r="G2114" s="100" t="e">
        <f t="shared" ref="G2114:G2177" ca="1" si="367">IFERROR(__xludf.DUMMYFUNCTION("""COMPUTED_VALUE"""),2885)</f>
        <v>#NAME?</v>
      </c>
      <c r="H2114" s="100" t="e">
        <f t="shared" ref="H2114:H2177" ca="1" si="368">IFERROR(__xludf.DUMMYFUNCTION("""COMPUTED_VALUE"""),663)</f>
        <v>#NAME?</v>
      </c>
      <c r="I2114" s="100" t="e">
        <f t="shared" ref="I2114:I2177" ca="1" si="369">IFERROR(__xludf.DUMMYFUNCTION("""COMPUTED_VALUE"""),5817721)</f>
        <v>#NAME?</v>
      </c>
      <c r="J2114" s="100" t="e">
        <f ca="1">IFERROR(__xludf.DUMMYFUNCTION("""COMPUTED_VALUE"""),"0")</f>
        <v>#NAME?</v>
      </c>
      <c r="K2114" s="100" t="e">
        <f t="shared" ref="K2114:K2177" ca="1" si="370">IFERROR(__xludf.DUMMYFUNCTION("""COMPUTED_VALUE"""),"22.04.2025 13:05:01")</f>
        <v>#NAME?</v>
      </c>
      <c r="L2114" s="100"/>
      <c r="M2114" s="100"/>
      <c r="N2114" s="100"/>
      <c r="O2114" s="100"/>
      <c r="P2114" s="100"/>
      <c r="Q2114" s="100"/>
      <c r="R2114" s="100"/>
      <c r="S2114" s="100"/>
      <c r="T2114" s="100"/>
      <c r="U2114" s="100"/>
      <c r="V2114" s="100"/>
      <c r="W2114" s="100"/>
      <c r="X2114" s="100"/>
      <c r="Y2114" s="100"/>
      <c r="Z2114" s="100"/>
    </row>
    <row r="2115" spans="1:26">
      <c r="A2115" s="100" t="e">
        <f ca="1">IFERROR(__xludf.DUMMYFUNCTION("""COMPUTED_VALUE"""),58785450)</f>
        <v>#NAME?</v>
      </c>
      <c r="B2115" s="100" t="e">
        <f ca="1">IFERROR(__xludf.DUMMYFUNCTION("""COMPUTED_VALUE"""),"BTCPLN")</f>
        <v>#NAME?</v>
      </c>
      <c r="C2115" s="100" t="e">
        <f ca="1">IFERROR(__xludf.DUMMYFUNCTION("""COMPUTED_VALUE"""),"330574.00000000")</f>
        <v>#NAME?</v>
      </c>
      <c r="D2115" s="100" t="e">
        <f t="shared" ca="1" si="365"/>
        <v>#NAME?</v>
      </c>
      <c r="E2115" s="100" t="e">
        <f t="shared" ca="1" si="365"/>
        <v>#NAME?</v>
      </c>
      <c r="F2115" s="100" t="e">
        <f t="shared" ca="1" si="366"/>
        <v>#NAME?</v>
      </c>
      <c r="G2115" s="100" t="e">
        <f t="shared" ca="1" si="367"/>
        <v>#NAME?</v>
      </c>
      <c r="H2115" s="100" t="e">
        <f t="shared" ca="1" si="368"/>
        <v>#NAME?</v>
      </c>
      <c r="I2115" s="100" t="e">
        <f t="shared" ca="1" si="369"/>
        <v>#NAME?</v>
      </c>
      <c r="J2115" s="100" t="e">
        <f ca="1">IFERROR(__xludf.DUMMYFUNCTION("""COMPUTED_VALUE"""),"1.709")</f>
        <v>#NAME?</v>
      </c>
      <c r="K2115" s="100" t="e">
        <f t="shared" ca="1" si="370"/>
        <v>#NAME?</v>
      </c>
      <c r="L2115" s="100"/>
      <c r="M2115" s="100"/>
      <c r="N2115" s="100"/>
      <c r="O2115" s="100"/>
      <c r="P2115" s="100"/>
      <c r="Q2115" s="100"/>
      <c r="R2115" s="100"/>
      <c r="S2115" s="100"/>
      <c r="T2115" s="100"/>
      <c r="U2115" s="100"/>
      <c r="V2115" s="100"/>
      <c r="W2115" s="100"/>
      <c r="X2115" s="100"/>
      <c r="Y2115" s="100"/>
      <c r="Z2115" s="100"/>
    </row>
    <row r="2116" spans="1:26">
      <c r="A2116" s="100" t="e">
        <f ca="1">IFERROR(__xludf.DUMMYFUNCTION("""COMPUTED_VALUE"""),58785451)</f>
        <v>#NAME?</v>
      </c>
      <c r="B2116" s="100" t="e">
        <f ca="1">IFERROR(__xludf.DUMMYFUNCTION("""COMPUTED_VALUE"""),"ETHPLN")</f>
        <v>#NAME?</v>
      </c>
      <c r="C2116" s="100" t="e">
        <f ca="1">IFERROR(__xludf.DUMMYFUNCTION("""COMPUTED_VALUE"""),"6066.00000000")</f>
        <v>#NAME?</v>
      </c>
      <c r="D2116" s="100" t="e">
        <f t="shared" ca="1" si="365"/>
        <v>#NAME?</v>
      </c>
      <c r="E2116" s="100" t="e">
        <f t="shared" ca="1" si="365"/>
        <v>#NAME?</v>
      </c>
      <c r="F2116" s="100" t="e">
        <f t="shared" ca="1" si="366"/>
        <v>#NAME?</v>
      </c>
      <c r="G2116" s="100" t="e">
        <f t="shared" ca="1" si="367"/>
        <v>#NAME?</v>
      </c>
      <c r="H2116" s="100" t="e">
        <f t="shared" ca="1" si="368"/>
        <v>#NAME?</v>
      </c>
      <c r="I2116" s="100" t="e">
        <f t="shared" ca="1" si="369"/>
        <v>#NAME?</v>
      </c>
      <c r="J2116" s="100" t="e">
        <f ca="1">IFERROR(__xludf.DUMMYFUNCTION("""COMPUTED_VALUE"""),"-0.557")</f>
        <v>#NAME?</v>
      </c>
      <c r="K2116" s="100" t="e">
        <f t="shared" ca="1" si="370"/>
        <v>#NAME?</v>
      </c>
      <c r="L2116" s="100"/>
      <c r="M2116" s="100"/>
      <c r="N2116" s="100"/>
      <c r="O2116" s="100"/>
      <c r="P2116" s="100"/>
      <c r="Q2116" s="100"/>
      <c r="R2116" s="100"/>
      <c r="S2116" s="100"/>
      <c r="T2116" s="100"/>
      <c r="U2116" s="100"/>
      <c r="V2116" s="100"/>
      <c r="W2116" s="100"/>
      <c r="X2116" s="100"/>
      <c r="Y2116" s="100"/>
      <c r="Z2116" s="100"/>
    </row>
    <row r="2117" spans="1:26">
      <c r="A2117" s="100" t="e">
        <f ca="1">IFERROR(__xludf.DUMMYFUNCTION("""COMPUTED_VALUE"""),58785452)</f>
        <v>#NAME?</v>
      </c>
      <c r="B2117" s="100" t="e">
        <f ca="1">IFERROR(__xludf.DUMMYFUNCTION("""COMPUTED_VALUE"""),"BUSDPLN")</f>
        <v>#NAME?</v>
      </c>
      <c r="C2117" s="100" t="e">
        <f ca="1">IFERROR(__xludf.DUMMYFUNCTION("""COMPUTED_VALUE"""),"4.06500000")</f>
        <v>#NAME?</v>
      </c>
      <c r="D2117" s="100" t="e">
        <f t="shared" ca="1" si="365"/>
        <v>#NAME?</v>
      </c>
      <c r="E2117" s="100" t="e">
        <f t="shared" ca="1" si="365"/>
        <v>#NAME?</v>
      </c>
      <c r="F2117" s="100" t="e">
        <f t="shared" ca="1" si="366"/>
        <v>#NAME?</v>
      </c>
      <c r="G2117" s="100" t="e">
        <f t="shared" ca="1" si="367"/>
        <v>#NAME?</v>
      </c>
      <c r="H2117" s="100" t="e">
        <f t="shared" ca="1" si="368"/>
        <v>#NAME?</v>
      </c>
      <c r="I2117" s="100" t="e">
        <f t="shared" ca="1" si="369"/>
        <v>#NAME?</v>
      </c>
      <c r="J2117" s="100" t="e">
        <f ca="1">IFERROR(__xludf.DUMMYFUNCTION("""COMPUTED_VALUE"""),"0")</f>
        <v>#NAME?</v>
      </c>
      <c r="K2117" s="100" t="e">
        <f t="shared" ca="1" si="370"/>
        <v>#NAME?</v>
      </c>
      <c r="L2117" s="100"/>
      <c r="M2117" s="100"/>
      <c r="N2117" s="100"/>
      <c r="O2117" s="100"/>
      <c r="P2117" s="100"/>
      <c r="Q2117" s="100"/>
      <c r="R2117" s="100"/>
      <c r="S2117" s="100"/>
      <c r="T2117" s="100"/>
      <c r="U2117" s="100"/>
      <c r="V2117" s="100"/>
      <c r="W2117" s="100"/>
      <c r="X2117" s="100"/>
      <c r="Y2117" s="100"/>
      <c r="Z2117" s="100"/>
    </row>
    <row r="2118" spans="1:26">
      <c r="A2118" s="100" t="e">
        <f ca="1">IFERROR(__xludf.DUMMYFUNCTION("""COMPUTED_VALUE"""),58785453)</f>
        <v>#NAME?</v>
      </c>
      <c r="B2118" s="100" t="e">
        <f ca="1">IFERROR(__xludf.DUMMYFUNCTION("""COMPUTED_VALUE"""),"APTEUR")</f>
        <v>#NAME?</v>
      </c>
      <c r="C2118" s="100" t="e">
        <f ca="1">IFERROR(__xludf.DUMMYFUNCTION("""COMPUTED_VALUE"""),"4.23000000")</f>
        <v>#NAME?</v>
      </c>
      <c r="D2118" s="100" t="e">
        <f t="shared" ca="1" si="365"/>
        <v>#NAME?</v>
      </c>
      <c r="E2118" s="100" t="e">
        <f t="shared" ca="1" si="365"/>
        <v>#NAME?</v>
      </c>
      <c r="F2118" s="100" t="e">
        <f t="shared" ca="1" si="366"/>
        <v>#NAME?</v>
      </c>
      <c r="G2118" s="100" t="e">
        <f t="shared" ca="1" si="367"/>
        <v>#NAME?</v>
      </c>
      <c r="H2118" s="100" t="e">
        <f t="shared" ca="1" si="368"/>
        <v>#NAME?</v>
      </c>
      <c r="I2118" s="100" t="e">
        <f t="shared" ca="1" si="369"/>
        <v>#NAME?</v>
      </c>
      <c r="J2118" s="100" t="e">
        <f ca="1">IFERROR(__xludf.DUMMYFUNCTION("""COMPUTED_VALUE"""),"-5.728")</f>
        <v>#NAME?</v>
      </c>
      <c r="K2118" s="100" t="e">
        <f t="shared" ca="1" si="370"/>
        <v>#NAME?</v>
      </c>
      <c r="L2118" s="100"/>
      <c r="M2118" s="100"/>
      <c r="N2118" s="100"/>
      <c r="O2118" s="100"/>
      <c r="P2118" s="100"/>
      <c r="Q2118" s="100"/>
      <c r="R2118" s="100"/>
      <c r="S2118" s="100"/>
      <c r="T2118" s="100"/>
      <c r="U2118" s="100"/>
      <c r="V2118" s="100"/>
      <c r="W2118" s="100"/>
      <c r="X2118" s="100"/>
      <c r="Y2118" s="100"/>
      <c r="Z2118" s="100"/>
    </row>
    <row r="2119" spans="1:26">
      <c r="A2119" s="100" t="e">
        <f ca="1">IFERROR(__xludf.DUMMYFUNCTION("""COMPUTED_VALUE"""),58785454)</f>
        <v>#NAME?</v>
      </c>
      <c r="B2119" s="100" t="e">
        <f ca="1">IFERROR(__xludf.DUMMYFUNCTION("""COMPUTED_VALUE"""),"APTTRY")</f>
        <v>#NAME?</v>
      </c>
      <c r="C2119" s="100" t="e">
        <f ca="1">IFERROR(__xludf.DUMMYFUNCTION("""COMPUTED_VALUE"""),"186.00000000")</f>
        <v>#NAME?</v>
      </c>
      <c r="D2119" s="100" t="e">
        <f t="shared" ca="1" si="365"/>
        <v>#NAME?</v>
      </c>
      <c r="E2119" s="100" t="e">
        <f t="shared" ca="1" si="365"/>
        <v>#NAME?</v>
      </c>
      <c r="F2119" s="100" t="e">
        <f t="shared" ca="1" si="366"/>
        <v>#NAME?</v>
      </c>
      <c r="G2119" s="100" t="e">
        <f t="shared" ca="1" si="367"/>
        <v>#NAME?</v>
      </c>
      <c r="H2119" s="100" t="e">
        <f t="shared" ca="1" si="368"/>
        <v>#NAME?</v>
      </c>
      <c r="I2119" s="100" t="e">
        <f t="shared" ca="1" si="369"/>
        <v>#NAME?</v>
      </c>
      <c r="J2119" s="100" t="e">
        <f ca="1">IFERROR(__xludf.DUMMYFUNCTION("""COMPUTED_VALUE"""),"-6.013")</f>
        <v>#NAME?</v>
      </c>
      <c r="K2119" s="100" t="e">
        <f t="shared" ca="1" si="370"/>
        <v>#NAME?</v>
      </c>
      <c r="L2119" s="100"/>
      <c r="M2119" s="100"/>
      <c r="N2119" s="100"/>
      <c r="O2119" s="100"/>
      <c r="P2119" s="100"/>
      <c r="Q2119" s="100"/>
      <c r="R2119" s="100"/>
      <c r="S2119" s="100"/>
      <c r="T2119" s="100"/>
      <c r="U2119" s="100"/>
      <c r="V2119" s="100"/>
      <c r="W2119" s="100"/>
      <c r="X2119" s="100"/>
      <c r="Y2119" s="100"/>
      <c r="Z2119" s="100"/>
    </row>
    <row r="2120" spans="1:26">
      <c r="A2120" s="100" t="e">
        <f ca="1">IFERROR(__xludf.DUMMYFUNCTION("""COMPUTED_VALUE"""),58785455)</f>
        <v>#NAME?</v>
      </c>
      <c r="B2120" s="100" t="e">
        <f ca="1">IFERROR(__xludf.DUMMYFUNCTION("""COMPUTED_VALUE"""),"APTBRL")</f>
        <v>#NAME?</v>
      </c>
      <c r="C2120" s="100" t="e">
        <f ca="1">IFERROR(__xludf.DUMMYFUNCTION("""COMPUTED_VALUE"""),"39.76000000")</f>
        <v>#NAME?</v>
      </c>
      <c r="D2120" s="100" t="e">
        <f t="shared" ca="1" si="365"/>
        <v>#NAME?</v>
      </c>
      <c r="E2120" s="100" t="e">
        <f t="shared" ca="1" si="365"/>
        <v>#NAME?</v>
      </c>
      <c r="F2120" s="100" t="e">
        <f t="shared" ca="1" si="366"/>
        <v>#NAME?</v>
      </c>
      <c r="G2120" s="100" t="e">
        <f t="shared" ca="1" si="367"/>
        <v>#NAME?</v>
      </c>
      <c r="H2120" s="100" t="e">
        <f t="shared" ca="1" si="368"/>
        <v>#NAME?</v>
      </c>
      <c r="I2120" s="100" t="e">
        <f t="shared" ca="1" si="369"/>
        <v>#NAME?</v>
      </c>
      <c r="J2120" s="100" t="e">
        <f ca="1">IFERROR(__xludf.DUMMYFUNCTION("""COMPUTED_VALUE"""),"0")</f>
        <v>#NAME?</v>
      </c>
      <c r="K2120" s="100" t="e">
        <f t="shared" ca="1" si="370"/>
        <v>#NAME?</v>
      </c>
      <c r="L2120" s="100"/>
      <c r="M2120" s="100"/>
      <c r="N2120" s="100"/>
      <c r="O2120" s="100"/>
      <c r="P2120" s="100"/>
      <c r="Q2120" s="100"/>
      <c r="R2120" s="100"/>
      <c r="S2120" s="100"/>
      <c r="T2120" s="100"/>
      <c r="U2120" s="100"/>
      <c r="V2120" s="100"/>
      <c r="W2120" s="100"/>
      <c r="X2120" s="100"/>
      <c r="Y2120" s="100"/>
      <c r="Z2120" s="100"/>
    </row>
    <row r="2121" spans="1:26">
      <c r="A2121" s="100" t="e">
        <f ca="1">IFERROR(__xludf.DUMMYFUNCTION("""COMPUTED_VALUE"""),58785456)</f>
        <v>#NAME?</v>
      </c>
      <c r="B2121" s="100" t="e">
        <f ca="1">IFERROR(__xludf.DUMMYFUNCTION("""COMPUTED_VALUE"""),"QKCBUSD")</f>
        <v>#NAME?</v>
      </c>
      <c r="C2121" s="100" t="e">
        <f ca="1">IFERROR(__xludf.DUMMYFUNCTION("""COMPUTED_VALUE"""),"0.00869500")</f>
        <v>#NAME?</v>
      </c>
      <c r="D2121" s="100" t="e">
        <f t="shared" ca="1" si="365"/>
        <v>#NAME?</v>
      </c>
      <c r="E2121" s="100" t="e">
        <f t="shared" ca="1" si="365"/>
        <v>#NAME?</v>
      </c>
      <c r="F2121" s="100" t="e">
        <f t="shared" ca="1" si="366"/>
        <v>#NAME?</v>
      </c>
      <c r="G2121" s="100" t="e">
        <f t="shared" ca="1" si="367"/>
        <v>#NAME?</v>
      </c>
      <c r="H2121" s="100" t="e">
        <f t="shared" ca="1" si="368"/>
        <v>#NAME?</v>
      </c>
      <c r="I2121" s="100" t="e">
        <f t="shared" ca="1" si="369"/>
        <v>#NAME?</v>
      </c>
      <c r="J2121" s="100" t="e">
        <f ca="1">IFERROR(__xludf.DUMMYFUNCTION("""COMPUTED_VALUE"""),"0")</f>
        <v>#NAME?</v>
      </c>
      <c r="K2121" s="100" t="e">
        <f t="shared" ca="1" si="370"/>
        <v>#NAME?</v>
      </c>
      <c r="L2121" s="100"/>
      <c r="M2121" s="100"/>
      <c r="N2121" s="100"/>
      <c r="O2121" s="100"/>
      <c r="P2121" s="100"/>
      <c r="Q2121" s="100"/>
      <c r="R2121" s="100"/>
      <c r="S2121" s="100"/>
      <c r="T2121" s="100"/>
      <c r="U2121" s="100"/>
      <c r="V2121" s="100"/>
      <c r="W2121" s="100"/>
      <c r="X2121" s="100"/>
      <c r="Y2121" s="100"/>
      <c r="Z2121" s="100"/>
    </row>
    <row r="2122" spans="1:26">
      <c r="A2122" s="100" t="e">
        <f ca="1">IFERROR(__xludf.DUMMYFUNCTION("""COMPUTED_VALUE"""),58785457)</f>
        <v>#NAME?</v>
      </c>
      <c r="B2122" s="100" t="e">
        <f ca="1">IFERROR(__xludf.DUMMYFUNCTION("""COMPUTED_VALUE"""),"OSMOBTC")</f>
        <v>#NAME?</v>
      </c>
      <c r="C2122" s="100" t="e">
        <f ca="1">IFERROR(__xludf.DUMMYFUNCTION("""COMPUTED_VALUE"""),"0.00000884")</f>
        <v>#NAME?</v>
      </c>
      <c r="D2122" s="100" t="e">
        <f t="shared" ref="D2122:E2141" ca="1" si="371">IFERROR(__xludf.DUMMYFUNCTION("""COMPUTED_VALUE"""),"-")</f>
        <v>#NAME?</v>
      </c>
      <c r="E2122" s="100" t="e">
        <f t="shared" ca="1" si="371"/>
        <v>#NAME?</v>
      </c>
      <c r="F2122" s="100" t="e">
        <f t="shared" ca="1" si="366"/>
        <v>#NAME?</v>
      </c>
      <c r="G2122" s="100" t="e">
        <f t="shared" ca="1" si="367"/>
        <v>#NAME?</v>
      </c>
      <c r="H2122" s="100" t="e">
        <f t="shared" ca="1" si="368"/>
        <v>#NAME?</v>
      </c>
      <c r="I2122" s="100" t="e">
        <f t="shared" ca="1" si="369"/>
        <v>#NAME?</v>
      </c>
      <c r="J2122" s="100" t="e">
        <f ca="1">IFERROR(__xludf.DUMMYFUNCTION("""COMPUTED_VALUE"""),"0")</f>
        <v>#NAME?</v>
      </c>
      <c r="K2122" s="100" t="e">
        <f t="shared" ca="1" si="370"/>
        <v>#NAME?</v>
      </c>
      <c r="L2122" s="100"/>
      <c r="M2122" s="100"/>
      <c r="N2122" s="100"/>
      <c r="O2122" s="100"/>
      <c r="P2122" s="100"/>
      <c r="Q2122" s="100"/>
      <c r="R2122" s="100"/>
      <c r="S2122" s="100"/>
      <c r="T2122" s="100"/>
      <c r="U2122" s="100"/>
      <c r="V2122" s="100"/>
      <c r="W2122" s="100"/>
      <c r="X2122" s="100"/>
      <c r="Y2122" s="100"/>
      <c r="Z2122" s="100"/>
    </row>
    <row r="2123" spans="1:26">
      <c r="A2123" s="100" t="e">
        <f ca="1">IFERROR(__xludf.DUMMYFUNCTION("""COMPUTED_VALUE"""),58785458)</f>
        <v>#NAME?</v>
      </c>
      <c r="B2123" s="100" t="e">
        <f ca="1">IFERROR(__xludf.DUMMYFUNCTION("""COMPUTED_VALUE"""),"OSMOUSDT")</f>
        <v>#NAME?</v>
      </c>
      <c r="C2123" s="100" t="e">
        <f ca="1">IFERROR(__xludf.DUMMYFUNCTION("""COMPUTED_VALUE"""),"0.21930000")</f>
        <v>#NAME?</v>
      </c>
      <c r="D2123" s="100" t="e">
        <f t="shared" ca="1" si="371"/>
        <v>#NAME?</v>
      </c>
      <c r="E2123" s="100" t="e">
        <f t="shared" ca="1" si="371"/>
        <v>#NAME?</v>
      </c>
      <c r="F2123" s="100" t="e">
        <f t="shared" ca="1" si="366"/>
        <v>#NAME?</v>
      </c>
      <c r="G2123" s="100" t="e">
        <f t="shared" ca="1" si="367"/>
        <v>#NAME?</v>
      </c>
      <c r="H2123" s="100" t="e">
        <f t="shared" ca="1" si="368"/>
        <v>#NAME?</v>
      </c>
      <c r="I2123" s="100" t="e">
        <f t="shared" ca="1" si="369"/>
        <v>#NAME?</v>
      </c>
      <c r="J2123" s="100" t="e">
        <f ca="1">IFERROR(__xludf.DUMMYFUNCTION("""COMPUTED_VALUE"""),"-2.186")</f>
        <v>#NAME?</v>
      </c>
      <c r="K2123" s="100" t="e">
        <f t="shared" ca="1" si="370"/>
        <v>#NAME?</v>
      </c>
      <c r="L2123" s="100"/>
      <c r="M2123" s="100"/>
      <c r="N2123" s="100"/>
      <c r="O2123" s="100"/>
      <c r="P2123" s="100"/>
      <c r="Q2123" s="100"/>
      <c r="R2123" s="100"/>
      <c r="S2123" s="100"/>
      <c r="T2123" s="100"/>
      <c r="U2123" s="100"/>
      <c r="V2123" s="100"/>
      <c r="W2123" s="100"/>
      <c r="X2123" s="100"/>
      <c r="Y2123" s="100"/>
      <c r="Z2123" s="100"/>
    </row>
    <row r="2124" spans="1:26">
      <c r="A2124" s="100" t="e">
        <f ca="1">IFERROR(__xludf.DUMMYFUNCTION("""COMPUTED_VALUE"""),58785459)</f>
        <v>#NAME?</v>
      </c>
      <c r="B2124" s="100" t="e">
        <f ca="1">IFERROR(__xludf.DUMMYFUNCTION("""COMPUTED_VALUE"""),"OSMOBUSD")</f>
        <v>#NAME?</v>
      </c>
      <c r="C2124" s="100" t="e">
        <f ca="1">IFERROR(__xludf.DUMMYFUNCTION("""COMPUTED_VALUE"""),"0.46400000")</f>
        <v>#NAME?</v>
      </c>
      <c r="D2124" s="100" t="e">
        <f t="shared" ca="1" si="371"/>
        <v>#NAME?</v>
      </c>
      <c r="E2124" s="100" t="e">
        <f t="shared" ca="1" si="371"/>
        <v>#NAME?</v>
      </c>
      <c r="F2124" s="100" t="e">
        <f t="shared" ca="1" si="366"/>
        <v>#NAME?</v>
      </c>
      <c r="G2124" s="100" t="e">
        <f t="shared" ca="1" si="367"/>
        <v>#NAME?</v>
      </c>
      <c r="H2124" s="100" t="e">
        <f t="shared" ca="1" si="368"/>
        <v>#NAME?</v>
      </c>
      <c r="I2124" s="100" t="e">
        <f t="shared" ca="1" si="369"/>
        <v>#NAME?</v>
      </c>
      <c r="J2124" s="100" t="e">
        <f ca="1">IFERROR(__xludf.DUMMYFUNCTION("""COMPUTED_VALUE"""),"0")</f>
        <v>#NAME?</v>
      </c>
      <c r="K2124" s="100" t="e">
        <f t="shared" ca="1" si="370"/>
        <v>#NAME?</v>
      </c>
      <c r="L2124" s="100"/>
      <c r="M2124" s="100"/>
      <c r="N2124" s="100"/>
      <c r="O2124" s="100"/>
      <c r="P2124" s="100"/>
      <c r="Q2124" s="100"/>
      <c r="R2124" s="100"/>
      <c r="S2124" s="100"/>
      <c r="T2124" s="100"/>
      <c r="U2124" s="100"/>
      <c r="V2124" s="100"/>
      <c r="W2124" s="100"/>
      <c r="X2124" s="100"/>
      <c r="Y2124" s="100"/>
      <c r="Z2124" s="100"/>
    </row>
    <row r="2125" spans="1:26">
      <c r="A2125" s="100" t="e">
        <f ca="1">IFERROR(__xludf.DUMMYFUNCTION("""COMPUTED_VALUE"""),58785460)</f>
        <v>#NAME?</v>
      </c>
      <c r="B2125" s="100" t="e">
        <f ca="1">IFERROR(__xludf.DUMMYFUNCTION("""COMPUTED_VALUE"""),"HFTBTC")</f>
        <v>#NAME?</v>
      </c>
      <c r="C2125" s="100" t="e">
        <f ca="1">IFERROR(__xludf.DUMMYFUNCTION("""COMPUTED_VALUE"""),"0.00000072")</f>
        <v>#NAME?</v>
      </c>
      <c r="D2125" s="100" t="e">
        <f t="shared" ca="1" si="371"/>
        <v>#NAME?</v>
      </c>
      <c r="E2125" s="100" t="e">
        <f t="shared" ca="1" si="371"/>
        <v>#NAME?</v>
      </c>
      <c r="F2125" s="100" t="e">
        <f t="shared" ca="1" si="366"/>
        <v>#NAME?</v>
      </c>
      <c r="G2125" s="100" t="e">
        <f t="shared" ca="1" si="367"/>
        <v>#NAME?</v>
      </c>
      <c r="H2125" s="100" t="e">
        <f t="shared" ca="1" si="368"/>
        <v>#NAME?</v>
      </c>
      <c r="I2125" s="100" t="e">
        <f t="shared" ca="1" si="369"/>
        <v>#NAME?</v>
      </c>
      <c r="J2125" s="100" t="e">
        <f ca="1">IFERROR(__xludf.DUMMYFUNCTION("""COMPUTED_VALUE"""),"-5.263")</f>
        <v>#NAME?</v>
      </c>
      <c r="K2125" s="100" t="e">
        <f t="shared" ca="1" si="370"/>
        <v>#NAME?</v>
      </c>
      <c r="L2125" s="100"/>
      <c r="M2125" s="100"/>
      <c r="N2125" s="100"/>
      <c r="O2125" s="100"/>
      <c r="P2125" s="100"/>
      <c r="Q2125" s="100"/>
      <c r="R2125" s="100"/>
      <c r="S2125" s="100"/>
      <c r="T2125" s="100"/>
      <c r="U2125" s="100"/>
      <c r="V2125" s="100"/>
      <c r="W2125" s="100"/>
      <c r="X2125" s="100"/>
      <c r="Y2125" s="100"/>
      <c r="Z2125" s="100"/>
    </row>
    <row r="2126" spans="1:26">
      <c r="A2126" s="100" t="e">
        <f ca="1">IFERROR(__xludf.DUMMYFUNCTION("""COMPUTED_VALUE"""),58785461)</f>
        <v>#NAME?</v>
      </c>
      <c r="B2126" s="100" t="e">
        <f ca="1">IFERROR(__xludf.DUMMYFUNCTION("""COMPUTED_VALUE"""),"HFTBUSD")</f>
        <v>#NAME?</v>
      </c>
      <c r="C2126" s="100" t="e">
        <f ca="1">IFERROR(__xludf.DUMMYFUNCTION("""COMPUTED_VALUE"""),"0.25890000")</f>
        <v>#NAME?</v>
      </c>
      <c r="D2126" s="100" t="e">
        <f t="shared" ca="1" si="371"/>
        <v>#NAME?</v>
      </c>
      <c r="E2126" s="100" t="e">
        <f t="shared" ca="1" si="371"/>
        <v>#NAME?</v>
      </c>
      <c r="F2126" s="100" t="e">
        <f t="shared" ca="1" si="366"/>
        <v>#NAME?</v>
      </c>
      <c r="G2126" s="100" t="e">
        <f t="shared" ca="1" si="367"/>
        <v>#NAME?</v>
      </c>
      <c r="H2126" s="100" t="e">
        <f t="shared" ca="1" si="368"/>
        <v>#NAME?</v>
      </c>
      <c r="I2126" s="100" t="e">
        <f t="shared" ca="1" si="369"/>
        <v>#NAME?</v>
      </c>
      <c r="J2126" s="100" t="e">
        <f ca="1">IFERROR(__xludf.DUMMYFUNCTION("""COMPUTED_VALUE"""),"0")</f>
        <v>#NAME?</v>
      </c>
      <c r="K2126" s="100" t="e">
        <f t="shared" ca="1" si="370"/>
        <v>#NAME?</v>
      </c>
      <c r="L2126" s="100"/>
      <c r="M2126" s="100"/>
      <c r="N2126" s="100"/>
      <c r="O2126" s="100"/>
      <c r="P2126" s="100"/>
      <c r="Q2126" s="100"/>
      <c r="R2126" s="100"/>
      <c r="S2126" s="100"/>
      <c r="T2126" s="100"/>
      <c r="U2126" s="100"/>
      <c r="V2126" s="100"/>
      <c r="W2126" s="100"/>
      <c r="X2126" s="100"/>
      <c r="Y2126" s="100"/>
      <c r="Z2126" s="100"/>
    </row>
    <row r="2127" spans="1:26">
      <c r="A2127" s="100" t="e">
        <f ca="1">IFERROR(__xludf.DUMMYFUNCTION("""COMPUTED_VALUE"""),58785462)</f>
        <v>#NAME?</v>
      </c>
      <c r="B2127" s="100" t="e">
        <f ca="1">IFERROR(__xludf.DUMMYFUNCTION("""COMPUTED_VALUE"""),"HFTUSDT")</f>
        <v>#NAME?</v>
      </c>
      <c r="C2127" s="100" t="e">
        <f ca="1">IFERROR(__xludf.DUMMYFUNCTION("""COMPUTED_VALUE"""),"0.06380000")</f>
        <v>#NAME?</v>
      </c>
      <c r="D2127" s="100" t="e">
        <f t="shared" ca="1" si="371"/>
        <v>#NAME?</v>
      </c>
      <c r="E2127" s="100" t="e">
        <f t="shared" ca="1" si="371"/>
        <v>#NAME?</v>
      </c>
      <c r="F2127" s="100" t="e">
        <f t="shared" ca="1" si="366"/>
        <v>#NAME?</v>
      </c>
      <c r="G2127" s="100" t="e">
        <f t="shared" ca="1" si="367"/>
        <v>#NAME?</v>
      </c>
      <c r="H2127" s="100" t="e">
        <f t="shared" ca="1" si="368"/>
        <v>#NAME?</v>
      </c>
      <c r="I2127" s="100" t="e">
        <f t="shared" ca="1" si="369"/>
        <v>#NAME?</v>
      </c>
      <c r="J2127" s="100" t="e">
        <f ca="1">IFERROR(__xludf.DUMMYFUNCTION("""COMPUTED_VALUE"""),"-4.491")</f>
        <v>#NAME?</v>
      </c>
      <c r="K2127" s="100" t="e">
        <f t="shared" ca="1" si="370"/>
        <v>#NAME?</v>
      </c>
      <c r="L2127" s="100"/>
      <c r="M2127" s="100"/>
      <c r="N2127" s="100"/>
      <c r="O2127" s="100"/>
      <c r="P2127" s="100"/>
      <c r="Q2127" s="100"/>
      <c r="R2127" s="100"/>
      <c r="S2127" s="100"/>
      <c r="T2127" s="100"/>
      <c r="U2127" s="100"/>
      <c r="V2127" s="100"/>
      <c r="W2127" s="100"/>
      <c r="X2127" s="100"/>
      <c r="Y2127" s="100"/>
      <c r="Z2127" s="100"/>
    </row>
    <row r="2128" spans="1:26">
      <c r="A2128" s="100" t="e">
        <f ca="1">IFERROR(__xludf.DUMMYFUNCTION("""COMPUTED_VALUE"""),58785463)</f>
        <v>#NAME?</v>
      </c>
      <c r="B2128" s="100" t="e">
        <f ca="1">IFERROR(__xludf.DUMMYFUNCTION("""COMPUTED_VALUE"""),"ARPAETH")</f>
        <v>#NAME?</v>
      </c>
      <c r="C2128" s="100" t="e">
        <f ca="1">IFERROR(__xludf.DUMMYFUNCTION("""COMPUTED_VALUE"""),"0.00002363")</f>
        <v>#NAME?</v>
      </c>
      <c r="D2128" s="100" t="e">
        <f t="shared" ca="1" si="371"/>
        <v>#NAME?</v>
      </c>
      <c r="E2128" s="100" t="e">
        <f t="shared" ca="1" si="371"/>
        <v>#NAME?</v>
      </c>
      <c r="F2128" s="100" t="e">
        <f t="shared" ca="1" si="366"/>
        <v>#NAME?</v>
      </c>
      <c r="G2128" s="100" t="e">
        <f t="shared" ca="1" si="367"/>
        <v>#NAME?</v>
      </c>
      <c r="H2128" s="100" t="e">
        <f t="shared" ca="1" si="368"/>
        <v>#NAME?</v>
      </c>
      <c r="I2128" s="100" t="e">
        <f t="shared" ca="1" si="369"/>
        <v>#NAME?</v>
      </c>
      <c r="J2128" s="100" t="e">
        <f ca="1">IFERROR(__xludf.DUMMYFUNCTION("""COMPUTED_VALUE"""),"0")</f>
        <v>#NAME?</v>
      </c>
      <c r="K2128" s="100" t="e">
        <f t="shared" ca="1" si="370"/>
        <v>#NAME?</v>
      </c>
      <c r="L2128" s="100"/>
      <c r="M2128" s="100"/>
      <c r="N2128" s="100"/>
      <c r="O2128" s="100"/>
      <c r="P2128" s="100"/>
      <c r="Q2128" s="100"/>
      <c r="R2128" s="100"/>
      <c r="S2128" s="100"/>
      <c r="T2128" s="100"/>
      <c r="U2128" s="100"/>
      <c r="V2128" s="100"/>
      <c r="W2128" s="100"/>
      <c r="X2128" s="100"/>
      <c r="Y2128" s="100"/>
      <c r="Z2128" s="100"/>
    </row>
    <row r="2129" spans="1:26">
      <c r="A2129" s="100" t="e">
        <f ca="1">IFERROR(__xludf.DUMMYFUNCTION("""COMPUTED_VALUE"""),58785464)</f>
        <v>#NAME?</v>
      </c>
      <c r="B2129" s="100" t="e">
        <f ca="1">IFERROR(__xludf.DUMMYFUNCTION("""COMPUTED_VALUE"""),"PHBUSDT")</f>
        <v>#NAME?</v>
      </c>
      <c r="C2129" s="100" t="e">
        <f ca="1">IFERROR(__xludf.DUMMYFUNCTION("""COMPUTED_VALUE"""),"0.46200000")</f>
        <v>#NAME?</v>
      </c>
      <c r="D2129" s="100" t="e">
        <f t="shared" ca="1" si="371"/>
        <v>#NAME?</v>
      </c>
      <c r="E2129" s="100" t="e">
        <f t="shared" ca="1" si="371"/>
        <v>#NAME?</v>
      </c>
      <c r="F2129" s="100" t="e">
        <f t="shared" ca="1" si="366"/>
        <v>#NAME?</v>
      </c>
      <c r="G2129" s="100" t="e">
        <f t="shared" ca="1" si="367"/>
        <v>#NAME?</v>
      </c>
      <c r="H2129" s="100" t="e">
        <f t="shared" ca="1" si="368"/>
        <v>#NAME?</v>
      </c>
      <c r="I2129" s="100" t="e">
        <f t="shared" ca="1" si="369"/>
        <v>#NAME?</v>
      </c>
      <c r="J2129" s="100" t="e">
        <f ca="1">IFERROR(__xludf.DUMMYFUNCTION("""COMPUTED_VALUE"""),"-3.145")</f>
        <v>#NAME?</v>
      </c>
      <c r="K2129" s="100" t="e">
        <f t="shared" ca="1" si="370"/>
        <v>#NAME?</v>
      </c>
      <c r="L2129" s="100"/>
      <c r="M2129" s="100"/>
      <c r="N2129" s="100"/>
      <c r="O2129" s="100"/>
      <c r="P2129" s="100"/>
      <c r="Q2129" s="100"/>
      <c r="R2129" s="100"/>
      <c r="S2129" s="100"/>
      <c r="T2129" s="100"/>
      <c r="U2129" s="100"/>
      <c r="V2129" s="100"/>
      <c r="W2129" s="100"/>
      <c r="X2129" s="100"/>
      <c r="Y2129" s="100"/>
      <c r="Z2129" s="100"/>
    </row>
    <row r="2130" spans="1:26">
      <c r="A2130" s="100" t="e">
        <f ca="1">IFERROR(__xludf.DUMMYFUNCTION("""COMPUTED_VALUE"""),58785465)</f>
        <v>#NAME?</v>
      </c>
      <c r="B2130" s="100" t="e">
        <f ca="1">IFERROR(__xludf.DUMMYFUNCTION("""COMPUTED_VALUE"""),"VITEBUSD")</f>
        <v>#NAME?</v>
      </c>
      <c r="C2130" s="100" t="e">
        <f ca="1">IFERROR(__xludf.DUMMYFUNCTION("""COMPUTED_VALUE"""),"0.01726000")</f>
        <v>#NAME?</v>
      </c>
      <c r="D2130" s="100" t="e">
        <f t="shared" ca="1" si="371"/>
        <v>#NAME?</v>
      </c>
      <c r="E2130" s="100" t="e">
        <f t="shared" ca="1" si="371"/>
        <v>#NAME?</v>
      </c>
      <c r="F2130" s="100" t="e">
        <f t="shared" ca="1" si="366"/>
        <v>#NAME?</v>
      </c>
      <c r="G2130" s="100" t="e">
        <f t="shared" ca="1" si="367"/>
        <v>#NAME?</v>
      </c>
      <c r="H2130" s="100" t="e">
        <f t="shared" ca="1" si="368"/>
        <v>#NAME?</v>
      </c>
      <c r="I2130" s="100" t="e">
        <f t="shared" ca="1" si="369"/>
        <v>#NAME?</v>
      </c>
      <c r="J2130" s="100" t="e">
        <f ca="1">IFERROR(__xludf.DUMMYFUNCTION("""COMPUTED_VALUE"""),"0")</f>
        <v>#NAME?</v>
      </c>
      <c r="K2130" s="100" t="e">
        <f t="shared" ca="1" si="370"/>
        <v>#NAME?</v>
      </c>
      <c r="L2130" s="100"/>
      <c r="M2130" s="100"/>
      <c r="N2130" s="100"/>
      <c r="O2130" s="100"/>
      <c r="P2130" s="100"/>
      <c r="Q2130" s="100"/>
      <c r="R2130" s="100"/>
      <c r="S2130" s="100"/>
      <c r="T2130" s="100"/>
      <c r="U2130" s="100"/>
      <c r="V2130" s="100"/>
      <c r="W2130" s="100"/>
      <c r="X2130" s="100"/>
      <c r="Y2130" s="100"/>
      <c r="Z2130" s="100"/>
    </row>
    <row r="2131" spans="1:26">
      <c r="A2131" s="100" t="e">
        <f ca="1">IFERROR(__xludf.DUMMYFUNCTION("""COMPUTED_VALUE"""),58785466)</f>
        <v>#NAME?</v>
      </c>
      <c r="B2131" s="100" t="e">
        <f ca="1">IFERROR(__xludf.DUMMYFUNCTION("""COMPUTED_VALUE"""),"HOOKBTC")</f>
        <v>#NAME?</v>
      </c>
      <c r="C2131" s="100" t="e">
        <f ca="1">IFERROR(__xludf.DUMMYFUNCTION("""COMPUTED_VALUE"""),"0.00000788")</f>
        <v>#NAME?</v>
      </c>
      <c r="D2131" s="100" t="e">
        <f t="shared" ca="1" si="371"/>
        <v>#NAME?</v>
      </c>
      <c r="E2131" s="100" t="e">
        <f t="shared" ca="1" si="371"/>
        <v>#NAME?</v>
      </c>
      <c r="F2131" s="100" t="e">
        <f t="shared" ca="1" si="366"/>
        <v>#NAME?</v>
      </c>
      <c r="G2131" s="100" t="e">
        <f t="shared" ca="1" si="367"/>
        <v>#NAME?</v>
      </c>
      <c r="H2131" s="100" t="e">
        <f t="shared" ca="1" si="368"/>
        <v>#NAME?</v>
      </c>
      <c r="I2131" s="100" t="e">
        <f t="shared" ca="1" si="369"/>
        <v>#NAME?</v>
      </c>
      <c r="J2131" s="100" t="e">
        <f ca="1">IFERROR(__xludf.DUMMYFUNCTION("""COMPUTED_VALUE"""),"0")</f>
        <v>#NAME?</v>
      </c>
      <c r="K2131" s="100" t="e">
        <f t="shared" ca="1" si="370"/>
        <v>#NAME?</v>
      </c>
      <c r="L2131" s="100"/>
      <c r="M2131" s="100"/>
      <c r="N2131" s="100"/>
      <c r="O2131" s="100"/>
      <c r="P2131" s="100"/>
      <c r="Q2131" s="100"/>
      <c r="R2131" s="100"/>
      <c r="S2131" s="100"/>
      <c r="T2131" s="100"/>
      <c r="U2131" s="100"/>
      <c r="V2131" s="100"/>
      <c r="W2131" s="100"/>
      <c r="X2131" s="100"/>
      <c r="Y2131" s="100"/>
      <c r="Z2131" s="100"/>
    </row>
    <row r="2132" spans="1:26">
      <c r="A2132" s="100" t="e">
        <f ca="1">IFERROR(__xludf.DUMMYFUNCTION("""COMPUTED_VALUE"""),58785467)</f>
        <v>#NAME?</v>
      </c>
      <c r="B2132" s="100" t="e">
        <f ca="1">IFERROR(__xludf.DUMMYFUNCTION("""COMPUTED_VALUE"""),"HOOKUSDT")</f>
        <v>#NAME?</v>
      </c>
      <c r="C2132" s="100" t="e">
        <f ca="1">IFERROR(__xludf.DUMMYFUNCTION("""COMPUTED_VALUE"""),"0.12900000")</f>
        <v>#NAME?</v>
      </c>
      <c r="D2132" s="100" t="e">
        <f t="shared" ca="1" si="371"/>
        <v>#NAME?</v>
      </c>
      <c r="E2132" s="100" t="e">
        <f t="shared" ca="1" si="371"/>
        <v>#NAME?</v>
      </c>
      <c r="F2132" s="100" t="e">
        <f t="shared" ca="1" si="366"/>
        <v>#NAME?</v>
      </c>
      <c r="G2132" s="100" t="e">
        <f t="shared" ca="1" si="367"/>
        <v>#NAME?</v>
      </c>
      <c r="H2132" s="100" t="e">
        <f t="shared" ca="1" si="368"/>
        <v>#NAME?</v>
      </c>
      <c r="I2132" s="100" t="e">
        <f t="shared" ca="1" si="369"/>
        <v>#NAME?</v>
      </c>
      <c r="J2132" s="100" t="e">
        <f ca="1">IFERROR(__xludf.DUMMYFUNCTION("""COMPUTED_VALUE"""),"-2.861")</f>
        <v>#NAME?</v>
      </c>
      <c r="K2132" s="100" t="e">
        <f t="shared" ca="1" si="370"/>
        <v>#NAME?</v>
      </c>
      <c r="L2132" s="100"/>
      <c r="M2132" s="100"/>
      <c r="N2132" s="100"/>
      <c r="O2132" s="100"/>
      <c r="P2132" s="100"/>
      <c r="Q2132" s="100"/>
      <c r="R2132" s="100"/>
      <c r="S2132" s="100"/>
      <c r="T2132" s="100"/>
      <c r="U2132" s="100"/>
      <c r="V2132" s="100"/>
      <c r="W2132" s="100"/>
      <c r="X2132" s="100"/>
      <c r="Y2132" s="100"/>
      <c r="Z2132" s="100"/>
    </row>
    <row r="2133" spans="1:26">
      <c r="A2133" s="100" t="e">
        <f ca="1">IFERROR(__xludf.DUMMYFUNCTION("""COMPUTED_VALUE"""),58785468)</f>
        <v>#NAME?</v>
      </c>
      <c r="B2133" s="100" t="e">
        <f ca="1">IFERROR(__xludf.DUMMYFUNCTION("""COMPUTED_VALUE"""),"HOOKBUSD")</f>
        <v>#NAME?</v>
      </c>
      <c r="C2133" s="100" t="e">
        <f ca="1">IFERROR(__xludf.DUMMYFUNCTION("""COMPUTED_VALUE"""),"0.89410000")</f>
        <v>#NAME?</v>
      </c>
      <c r="D2133" s="100" t="e">
        <f t="shared" ca="1" si="371"/>
        <v>#NAME?</v>
      </c>
      <c r="E2133" s="100" t="e">
        <f t="shared" ca="1" si="371"/>
        <v>#NAME?</v>
      </c>
      <c r="F2133" s="100" t="e">
        <f t="shared" ca="1" si="366"/>
        <v>#NAME?</v>
      </c>
      <c r="G2133" s="100" t="e">
        <f t="shared" ca="1" si="367"/>
        <v>#NAME?</v>
      </c>
      <c r="H2133" s="100" t="e">
        <f t="shared" ca="1" si="368"/>
        <v>#NAME?</v>
      </c>
      <c r="I2133" s="100" t="e">
        <f t="shared" ca="1" si="369"/>
        <v>#NAME?</v>
      </c>
      <c r="J2133" s="100" t="e">
        <f ca="1">IFERROR(__xludf.DUMMYFUNCTION("""COMPUTED_VALUE"""),"0")</f>
        <v>#NAME?</v>
      </c>
      <c r="K2133" s="100" t="e">
        <f t="shared" ca="1" si="370"/>
        <v>#NAME?</v>
      </c>
      <c r="L2133" s="100"/>
      <c r="M2133" s="100"/>
      <c r="N2133" s="100"/>
      <c r="O2133" s="100"/>
      <c r="P2133" s="100"/>
      <c r="Q2133" s="100"/>
      <c r="R2133" s="100"/>
      <c r="S2133" s="100"/>
      <c r="T2133" s="100"/>
      <c r="U2133" s="100"/>
      <c r="V2133" s="100"/>
      <c r="W2133" s="100"/>
      <c r="X2133" s="100"/>
      <c r="Y2133" s="100"/>
      <c r="Z2133" s="100"/>
    </row>
    <row r="2134" spans="1:26">
      <c r="A2134" s="100" t="e">
        <f ca="1">IFERROR(__xludf.DUMMYFUNCTION("""COMPUTED_VALUE"""),58785469)</f>
        <v>#NAME?</v>
      </c>
      <c r="B2134" s="100" t="e">
        <f ca="1">IFERROR(__xludf.DUMMYFUNCTION("""COMPUTED_VALUE"""),"HOOKBNB")</f>
        <v>#NAME?</v>
      </c>
      <c r="C2134" s="100" t="e">
        <f ca="1">IFERROR(__xludf.DUMMYFUNCTION("""COMPUTED_VALUE"""),"0.00319530")</f>
        <v>#NAME?</v>
      </c>
      <c r="D2134" s="100" t="e">
        <f t="shared" ca="1" si="371"/>
        <v>#NAME?</v>
      </c>
      <c r="E2134" s="100" t="e">
        <f t="shared" ca="1" si="371"/>
        <v>#NAME?</v>
      </c>
      <c r="F2134" s="100" t="e">
        <f t="shared" ca="1" si="366"/>
        <v>#NAME?</v>
      </c>
      <c r="G2134" s="100" t="e">
        <f t="shared" ca="1" si="367"/>
        <v>#NAME?</v>
      </c>
      <c r="H2134" s="100" t="e">
        <f t="shared" ca="1" si="368"/>
        <v>#NAME?</v>
      </c>
      <c r="I2134" s="100" t="e">
        <f t="shared" ca="1" si="369"/>
        <v>#NAME?</v>
      </c>
      <c r="J2134" s="100" t="e">
        <f ca="1">IFERROR(__xludf.DUMMYFUNCTION("""COMPUTED_VALUE"""),"0")</f>
        <v>#NAME?</v>
      </c>
      <c r="K2134" s="100" t="e">
        <f t="shared" ca="1" si="370"/>
        <v>#NAME?</v>
      </c>
      <c r="L2134" s="100"/>
      <c r="M2134" s="100"/>
      <c r="N2134" s="100"/>
      <c r="O2134" s="100"/>
      <c r="P2134" s="100"/>
      <c r="Q2134" s="100"/>
      <c r="R2134" s="100"/>
      <c r="S2134" s="100"/>
      <c r="T2134" s="100"/>
      <c r="U2134" s="100"/>
      <c r="V2134" s="100"/>
      <c r="W2134" s="100"/>
      <c r="X2134" s="100"/>
      <c r="Y2134" s="100"/>
      <c r="Z2134" s="100"/>
    </row>
    <row r="2135" spans="1:26">
      <c r="A2135" s="100" t="e">
        <f ca="1">IFERROR(__xludf.DUMMYFUNCTION("""COMPUTED_VALUE"""),58785470)</f>
        <v>#NAME?</v>
      </c>
      <c r="B2135" s="100" t="e">
        <f ca="1">IFERROR(__xludf.DUMMYFUNCTION("""COMPUTED_VALUE"""),"MAGICBTC")</f>
        <v>#NAME?</v>
      </c>
      <c r="C2135" s="100" t="e">
        <f ca="1">IFERROR(__xludf.DUMMYFUNCTION("""COMPUTED_VALUE"""),"0.00000287")</f>
        <v>#NAME?</v>
      </c>
      <c r="D2135" s="100" t="e">
        <f t="shared" ca="1" si="371"/>
        <v>#NAME?</v>
      </c>
      <c r="E2135" s="100" t="e">
        <f t="shared" ca="1" si="371"/>
        <v>#NAME?</v>
      </c>
      <c r="F2135" s="100" t="e">
        <f t="shared" ca="1" si="366"/>
        <v>#NAME?</v>
      </c>
      <c r="G2135" s="100" t="e">
        <f t="shared" ca="1" si="367"/>
        <v>#NAME?</v>
      </c>
      <c r="H2135" s="100" t="e">
        <f t="shared" ca="1" si="368"/>
        <v>#NAME?</v>
      </c>
      <c r="I2135" s="100" t="e">
        <f t="shared" ca="1" si="369"/>
        <v>#NAME?</v>
      </c>
      <c r="J2135" s="100" t="e">
        <f ca="1">IFERROR(__xludf.DUMMYFUNCTION("""COMPUTED_VALUE"""),"7.491")</f>
        <v>#NAME?</v>
      </c>
      <c r="K2135" s="100" t="e">
        <f t="shared" ca="1" si="370"/>
        <v>#NAME?</v>
      </c>
      <c r="L2135" s="100"/>
      <c r="M2135" s="100"/>
      <c r="N2135" s="100"/>
      <c r="O2135" s="100"/>
      <c r="P2135" s="100"/>
      <c r="Q2135" s="100"/>
      <c r="R2135" s="100"/>
      <c r="S2135" s="100"/>
      <c r="T2135" s="100"/>
      <c r="U2135" s="100"/>
      <c r="V2135" s="100"/>
      <c r="W2135" s="100"/>
      <c r="X2135" s="100"/>
      <c r="Y2135" s="100"/>
      <c r="Z2135" s="100"/>
    </row>
    <row r="2136" spans="1:26">
      <c r="A2136" s="100" t="e">
        <f ca="1">IFERROR(__xludf.DUMMYFUNCTION("""COMPUTED_VALUE"""),58785471)</f>
        <v>#NAME?</v>
      </c>
      <c r="B2136" s="100" t="e">
        <f ca="1">IFERROR(__xludf.DUMMYFUNCTION("""COMPUTED_VALUE"""),"MAGICBUSD")</f>
        <v>#NAME?</v>
      </c>
      <c r="C2136" s="100" t="e">
        <f ca="1">IFERROR(__xludf.DUMMYFUNCTION("""COMPUTED_VALUE"""),"0.55850000")</f>
        <v>#NAME?</v>
      </c>
      <c r="D2136" s="100" t="e">
        <f t="shared" ca="1" si="371"/>
        <v>#NAME?</v>
      </c>
      <c r="E2136" s="100" t="e">
        <f t="shared" ca="1" si="371"/>
        <v>#NAME?</v>
      </c>
      <c r="F2136" s="100" t="e">
        <f t="shared" ca="1" si="366"/>
        <v>#NAME?</v>
      </c>
      <c r="G2136" s="100" t="e">
        <f t="shared" ca="1" si="367"/>
        <v>#NAME?</v>
      </c>
      <c r="H2136" s="100" t="e">
        <f t="shared" ca="1" si="368"/>
        <v>#NAME?</v>
      </c>
      <c r="I2136" s="100" t="e">
        <f t="shared" ca="1" si="369"/>
        <v>#NAME?</v>
      </c>
      <c r="J2136" s="100" t="e">
        <f ca="1">IFERROR(__xludf.DUMMYFUNCTION("""COMPUTED_VALUE"""),"0")</f>
        <v>#NAME?</v>
      </c>
      <c r="K2136" s="100" t="e">
        <f t="shared" ca="1" si="370"/>
        <v>#NAME?</v>
      </c>
      <c r="L2136" s="100"/>
      <c r="M2136" s="100"/>
      <c r="N2136" s="100"/>
      <c r="O2136" s="100"/>
      <c r="P2136" s="100"/>
      <c r="Q2136" s="100"/>
      <c r="R2136" s="100"/>
      <c r="S2136" s="100"/>
      <c r="T2136" s="100"/>
      <c r="U2136" s="100"/>
      <c r="V2136" s="100"/>
      <c r="W2136" s="100"/>
      <c r="X2136" s="100"/>
      <c r="Y2136" s="100"/>
      <c r="Z2136" s="100"/>
    </row>
    <row r="2137" spans="1:26">
      <c r="A2137" s="100" t="e">
        <f ca="1">IFERROR(__xludf.DUMMYFUNCTION("""COMPUTED_VALUE"""),58785472)</f>
        <v>#NAME?</v>
      </c>
      <c r="B2137" s="100" t="e">
        <f ca="1">IFERROR(__xludf.DUMMYFUNCTION("""COMPUTED_VALUE"""),"MAGICUSDT")</f>
        <v>#NAME?</v>
      </c>
      <c r="C2137" s="100" t="e">
        <f ca="1">IFERROR(__xludf.DUMMYFUNCTION("""COMPUTED_VALUE"""),"0.25400000")</f>
        <v>#NAME?</v>
      </c>
      <c r="D2137" s="100" t="e">
        <f t="shared" ca="1" si="371"/>
        <v>#NAME?</v>
      </c>
      <c r="E2137" s="100" t="e">
        <f t="shared" ca="1" si="371"/>
        <v>#NAME?</v>
      </c>
      <c r="F2137" s="100" t="e">
        <f t="shared" ca="1" si="366"/>
        <v>#NAME?</v>
      </c>
      <c r="G2137" s="100" t="e">
        <f t="shared" ca="1" si="367"/>
        <v>#NAME?</v>
      </c>
      <c r="H2137" s="100" t="e">
        <f t="shared" ca="1" si="368"/>
        <v>#NAME?</v>
      </c>
      <c r="I2137" s="100" t="e">
        <f t="shared" ca="1" si="369"/>
        <v>#NAME?</v>
      </c>
      <c r="J2137" s="100" t="e">
        <f ca="1">IFERROR(__xludf.DUMMYFUNCTION("""COMPUTED_VALUE"""),"8.826")</f>
        <v>#NAME?</v>
      </c>
      <c r="K2137" s="100" t="e">
        <f t="shared" ca="1" si="370"/>
        <v>#NAME?</v>
      </c>
      <c r="L2137" s="100"/>
      <c r="M2137" s="100"/>
      <c r="N2137" s="100"/>
      <c r="O2137" s="100"/>
      <c r="P2137" s="100"/>
      <c r="Q2137" s="100"/>
      <c r="R2137" s="100"/>
      <c r="S2137" s="100"/>
      <c r="T2137" s="100"/>
      <c r="U2137" s="100"/>
      <c r="V2137" s="100"/>
      <c r="W2137" s="100"/>
      <c r="X2137" s="100"/>
      <c r="Y2137" s="100"/>
      <c r="Z2137" s="100"/>
    </row>
    <row r="2138" spans="1:26">
      <c r="A2138" s="100" t="e">
        <f ca="1">IFERROR(__xludf.DUMMYFUNCTION("""COMPUTED_VALUE"""),58785473)</f>
        <v>#NAME?</v>
      </c>
      <c r="B2138" s="100" t="e">
        <f ca="1">IFERROR(__xludf.DUMMYFUNCTION("""COMPUTED_VALUE"""),"BUSDRON")</f>
        <v>#NAME?</v>
      </c>
      <c r="C2138" s="100" t="e">
        <f ca="1">IFERROR(__xludf.DUMMYFUNCTION("""COMPUTED_VALUE"""),"4.62800000")</f>
        <v>#NAME?</v>
      </c>
      <c r="D2138" s="100" t="e">
        <f t="shared" ca="1" si="371"/>
        <v>#NAME?</v>
      </c>
      <c r="E2138" s="100" t="e">
        <f t="shared" ca="1" si="371"/>
        <v>#NAME?</v>
      </c>
      <c r="F2138" s="100" t="e">
        <f t="shared" ca="1" si="366"/>
        <v>#NAME?</v>
      </c>
      <c r="G2138" s="100" t="e">
        <f t="shared" ca="1" si="367"/>
        <v>#NAME?</v>
      </c>
      <c r="H2138" s="100" t="e">
        <f t="shared" ca="1" si="368"/>
        <v>#NAME?</v>
      </c>
      <c r="I2138" s="100" t="e">
        <f t="shared" ca="1" si="369"/>
        <v>#NAME?</v>
      </c>
      <c r="J2138" s="100" t="e">
        <f ca="1">IFERROR(__xludf.DUMMYFUNCTION("""COMPUTED_VALUE"""),"0")</f>
        <v>#NAME?</v>
      </c>
      <c r="K2138" s="100" t="e">
        <f t="shared" ca="1" si="370"/>
        <v>#NAME?</v>
      </c>
      <c r="L2138" s="100"/>
      <c r="M2138" s="100"/>
      <c r="N2138" s="100"/>
      <c r="O2138" s="100"/>
      <c r="P2138" s="100"/>
      <c r="Q2138" s="100"/>
      <c r="R2138" s="100"/>
      <c r="S2138" s="100"/>
      <c r="T2138" s="100"/>
      <c r="U2138" s="100"/>
      <c r="V2138" s="100"/>
      <c r="W2138" s="100"/>
      <c r="X2138" s="100"/>
      <c r="Y2138" s="100"/>
      <c r="Z2138" s="100"/>
    </row>
    <row r="2139" spans="1:26">
      <c r="A2139" s="100" t="e">
        <f ca="1">IFERROR(__xludf.DUMMYFUNCTION("""COMPUTED_VALUE"""),58785474)</f>
        <v>#NAME?</v>
      </c>
      <c r="B2139" s="100" t="e">
        <f ca="1">IFERROR(__xludf.DUMMYFUNCTION("""COMPUTED_VALUE"""),"HIFIETH")</f>
        <v>#NAME?</v>
      </c>
      <c r="C2139" s="100" t="e">
        <f ca="1">IFERROR(__xludf.DUMMYFUNCTION("""COMPUTED_VALUE"""),"0.00025310")</f>
        <v>#NAME?</v>
      </c>
      <c r="D2139" s="100" t="e">
        <f t="shared" ca="1" si="371"/>
        <v>#NAME?</v>
      </c>
      <c r="E2139" s="100" t="e">
        <f t="shared" ca="1" si="371"/>
        <v>#NAME?</v>
      </c>
      <c r="F2139" s="100" t="e">
        <f t="shared" ca="1" si="366"/>
        <v>#NAME?</v>
      </c>
      <c r="G2139" s="100" t="e">
        <f t="shared" ca="1" si="367"/>
        <v>#NAME?</v>
      </c>
      <c r="H2139" s="100" t="e">
        <f t="shared" ca="1" si="368"/>
        <v>#NAME?</v>
      </c>
      <c r="I2139" s="100" t="e">
        <f t="shared" ca="1" si="369"/>
        <v>#NAME?</v>
      </c>
      <c r="J2139" s="100" t="e">
        <f ca="1">IFERROR(__xludf.DUMMYFUNCTION("""COMPUTED_VALUE"""),"0")</f>
        <v>#NAME?</v>
      </c>
      <c r="K2139" s="100" t="e">
        <f t="shared" ca="1" si="370"/>
        <v>#NAME?</v>
      </c>
      <c r="L2139" s="100"/>
      <c r="M2139" s="100"/>
      <c r="N2139" s="100"/>
      <c r="O2139" s="100"/>
      <c r="P2139" s="100"/>
      <c r="Q2139" s="100"/>
      <c r="R2139" s="100"/>
      <c r="S2139" s="100"/>
      <c r="T2139" s="100"/>
      <c r="U2139" s="100"/>
      <c r="V2139" s="100"/>
      <c r="W2139" s="100"/>
      <c r="X2139" s="100"/>
      <c r="Y2139" s="100"/>
      <c r="Z2139" s="100"/>
    </row>
    <row r="2140" spans="1:26">
      <c r="A2140" s="100" t="e">
        <f ca="1">IFERROR(__xludf.DUMMYFUNCTION("""COMPUTED_VALUE"""),58785475)</f>
        <v>#NAME?</v>
      </c>
      <c r="B2140" s="100" t="e">
        <f ca="1">IFERROR(__xludf.DUMMYFUNCTION("""COMPUTED_VALUE"""),"HIFIUSDT")</f>
        <v>#NAME?</v>
      </c>
      <c r="C2140" s="100" t="e">
        <f ca="1">IFERROR(__xludf.DUMMYFUNCTION("""COMPUTED_VALUE"""),"0.15580000")</f>
        <v>#NAME?</v>
      </c>
      <c r="D2140" s="100" t="e">
        <f t="shared" ca="1" si="371"/>
        <v>#NAME?</v>
      </c>
      <c r="E2140" s="100" t="e">
        <f t="shared" ca="1" si="371"/>
        <v>#NAME?</v>
      </c>
      <c r="F2140" s="100" t="e">
        <f t="shared" ca="1" si="366"/>
        <v>#NAME?</v>
      </c>
      <c r="G2140" s="100" t="e">
        <f t="shared" ca="1" si="367"/>
        <v>#NAME?</v>
      </c>
      <c r="H2140" s="100" t="e">
        <f t="shared" ca="1" si="368"/>
        <v>#NAME?</v>
      </c>
      <c r="I2140" s="100" t="e">
        <f t="shared" ca="1" si="369"/>
        <v>#NAME?</v>
      </c>
      <c r="J2140" s="100" t="e">
        <f ca="1">IFERROR(__xludf.DUMMYFUNCTION("""COMPUTED_VALUE"""),"5.699")</f>
        <v>#NAME?</v>
      </c>
      <c r="K2140" s="100" t="e">
        <f t="shared" ca="1" si="370"/>
        <v>#NAME?</v>
      </c>
      <c r="L2140" s="100"/>
      <c r="M2140" s="100"/>
      <c r="N2140" s="100"/>
      <c r="O2140" s="100"/>
      <c r="P2140" s="100"/>
      <c r="Q2140" s="100"/>
      <c r="R2140" s="100"/>
      <c r="S2140" s="100"/>
      <c r="T2140" s="100"/>
      <c r="U2140" s="100"/>
      <c r="V2140" s="100"/>
      <c r="W2140" s="100"/>
      <c r="X2140" s="100"/>
      <c r="Y2140" s="100"/>
      <c r="Z2140" s="100"/>
    </row>
    <row r="2141" spans="1:26">
      <c r="A2141" s="100" t="e">
        <f ca="1">IFERROR(__xludf.DUMMYFUNCTION("""COMPUTED_VALUE"""),58785476)</f>
        <v>#NAME?</v>
      </c>
      <c r="B2141" s="100" t="e">
        <f ca="1">IFERROR(__xludf.DUMMYFUNCTION("""COMPUTED_VALUE"""),"RPLBTC")</f>
        <v>#NAME?</v>
      </c>
      <c r="C2141" s="100" t="e">
        <f ca="1">IFERROR(__xludf.DUMMYFUNCTION("""COMPUTED_VALUE"""),"0.00064100")</f>
        <v>#NAME?</v>
      </c>
      <c r="D2141" s="100" t="e">
        <f t="shared" ca="1" si="371"/>
        <v>#NAME?</v>
      </c>
      <c r="E2141" s="100" t="e">
        <f t="shared" ca="1" si="371"/>
        <v>#NAME?</v>
      </c>
      <c r="F2141" s="100" t="e">
        <f t="shared" ca="1" si="366"/>
        <v>#NAME?</v>
      </c>
      <c r="G2141" s="100" t="e">
        <f t="shared" ca="1" si="367"/>
        <v>#NAME?</v>
      </c>
      <c r="H2141" s="100" t="e">
        <f t="shared" ca="1" si="368"/>
        <v>#NAME?</v>
      </c>
      <c r="I2141" s="100" t="e">
        <f t="shared" ca="1" si="369"/>
        <v>#NAME?</v>
      </c>
      <c r="J2141" s="100" t="e">
        <f ca="1">IFERROR(__xludf.DUMMYFUNCTION("""COMPUTED_VALUE"""),"0")</f>
        <v>#NAME?</v>
      </c>
      <c r="K2141" s="100" t="e">
        <f t="shared" ca="1" si="370"/>
        <v>#NAME?</v>
      </c>
      <c r="L2141" s="100"/>
      <c r="M2141" s="100"/>
      <c r="N2141" s="100"/>
      <c r="O2141" s="100"/>
      <c r="P2141" s="100"/>
      <c r="Q2141" s="100"/>
      <c r="R2141" s="100"/>
      <c r="S2141" s="100"/>
      <c r="T2141" s="100"/>
      <c r="U2141" s="100"/>
      <c r="V2141" s="100"/>
      <c r="W2141" s="100"/>
      <c r="X2141" s="100"/>
      <c r="Y2141" s="100"/>
      <c r="Z2141" s="100"/>
    </row>
    <row r="2142" spans="1:26">
      <c r="A2142" s="100" t="e">
        <f ca="1">IFERROR(__xludf.DUMMYFUNCTION("""COMPUTED_VALUE"""),58785477)</f>
        <v>#NAME?</v>
      </c>
      <c r="B2142" s="100" t="e">
        <f ca="1">IFERROR(__xludf.DUMMYFUNCTION("""COMPUTED_VALUE"""),"RPLBUSD")</f>
        <v>#NAME?</v>
      </c>
      <c r="C2142" s="100" t="e">
        <f ca="1">IFERROR(__xludf.DUMMYFUNCTION("""COMPUTED_VALUE"""),"24.17000000")</f>
        <v>#NAME?</v>
      </c>
      <c r="D2142" s="100" t="e">
        <f t="shared" ref="D2142:E2161" ca="1" si="372">IFERROR(__xludf.DUMMYFUNCTION("""COMPUTED_VALUE"""),"-")</f>
        <v>#NAME?</v>
      </c>
      <c r="E2142" s="100" t="e">
        <f t="shared" ca="1" si="372"/>
        <v>#NAME?</v>
      </c>
      <c r="F2142" s="100" t="e">
        <f t="shared" ca="1" si="366"/>
        <v>#NAME?</v>
      </c>
      <c r="G2142" s="100" t="e">
        <f t="shared" ca="1" si="367"/>
        <v>#NAME?</v>
      </c>
      <c r="H2142" s="100" t="e">
        <f t="shared" ca="1" si="368"/>
        <v>#NAME?</v>
      </c>
      <c r="I2142" s="100" t="e">
        <f t="shared" ca="1" si="369"/>
        <v>#NAME?</v>
      </c>
      <c r="J2142" s="100" t="e">
        <f ca="1">IFERROR(__xludf.DUMMYFUNCTION("""COMPUTED_VALUE"""),"0")</f>
        <v>#NAME?</v>
      </c>
      <c r="K2142" s="100" t="e">
        <f t="shared" ca="1" si="370"/>
        <v>#NAME?</v>
      </c>
      <c r="L2142" s="100"/>
      <c r="M2142" s="100"/>
      <c r="N2142" s="100"/>
      <c r="O2142" s="100"/>
      <c r="P2142" s="100"/>
      <c r="Q2142" s="100"/>
      <c r="R2142" s="100"/>
      <c r="S2142" s="100"/>
      <c r="T2142" s="100"/>
      <c r="U2142" s="100"/>
      <c r="V2142" s="100"/>
      <c r="W2142" s="100"/>
      <c r="X2142" s="100"/>
      <c r="Y2142" s="100"/>
      <c r="Z2142" s="100"/>
    </row>
    <row r="2143" spans="1:26">
      <c r="A2143" s="100" t="e">
        <f ca="1">IFERROR(__xludf.DUMMYFUNCTION("""COMPUTED_VALUE"""),58785478)</f>
        <v>#NAME?</v>
      </c>
      <c r="B2143" s="100" t="e">
        <f ca="1">IFERROR(__xludf.DUMMYFUNCTION("""COMPUTED_VALUE"""),"RPLUSDT")</f>
        <v>#NAME?</v>
      </c>
      <c r="C2143" s="100" t="e">
        <f ca="1">IFERROR(__xludf.DUMMYFUNCTION("""COMPUTED_VALUE"""),"4.04000000")</f>
        <v>#NAME?</v>
      </c>
      <c r="D2143" s="100" t="e">
        <f t="shared" ca="1" si="372"/>
        <v>#NAME?</v>
      </c>
      <c r="E2143" s="100" t="e">
        <f t="shared" ca="1" si="372"/>
        <v>#NAME?</v>
      </c>
      <c r="F2143" s="100" t="e">
        <f t="shared" ca="1" si="366"/>
        <v>#NAME?</v>
      </c>
      <c r="G2143" s="100" t="e">
        <f t="shared" ca="1" si="367"/>
        <v>#NAME?</v>
      </c>
      <c r="H2143" s="100" t="e">
        <f t="shared" ca="1" si="368"/>
        <v>#NAME?</v>
      </c>
      <c r="I2143" s="100" t="e">
        <f t="shared" ca="1" si="369"/>
        <v>#NAME?</v>
      </c>
      <c r="J2143" s="100" t="e">
        <f ca="1">IFERROR(__xludf.DUMMYFUNCTION("""COMPUTED_VALUE"""),"-6.481")</f>
        <v>#NAME?</v>
      </c>
      <c r="K2143" s="100" t="e">
        <f t="shared" ca="1" si="370"/>
        <v>#NAME?</v>
      </c>
      <c r="L2143" s="100"/>
      <c r="M2143" s="100"/>
      <c r="N2143" s="100"/>
      <c r="O2143" s="100"/>
      <c r="P2143" s="100"/>
      <c r="Q2143" s="100"/>
      <c r="R2143" s="100"/>
      <c r="S2143" s="100"/>
      <c r="T2143" s="100"/>
      <c r="U2143" s="100"/>
      <c r="V2143" s="100"/>
      <c r="W2143" s="100"/>
      <c r="X2143" s="100"/>
      <c r="Y2143" s="100"/>
      <c r="Z2143" s="100"/>
    </row>
    <row r="2144" spans="1:26">
      <c r="A2144" s="100" t="e">
        <f ca="1">IFERROR(__xludf.DUMMYFUNCTION("""COMPUTED_VALUE"""),58785479)</f>
        <v>#NAME?</v>
      </c>
      <c r="B2144" s="100" t="e">
        <f ca="1">IFERROR(__xludf.DUMMYFUNCTION("""COMPUTED_VALUE"""),"PROSUSDT")</f>
        <v>#NAME?</v>
      </c>
      <c r="C2144" s="100" t="e">
        <f ca="1">IFERROR(__xludf.DUMMYFUNCTION("""COMPUTED_VALUE"""),"0.03720000")</f>
        <v>#NAME?</v>
      </c>
      <c r="D2144" s="100" t="e">
        <f t="shared" ca="1" si="372"/>
        <v>#NAME?</v>
      </c>
      <c r="E2144" s="100" t="e">
        <f t="shared" ca="1" si="372"/>
        <v>#NAME?</v>
      </c>
      <c r="F2144" s="100" t="e">
        <f t="shared" ca="1" si="366"/>
        <v>#NAME?</v>
      </c>
      <c r="G2144" s="100" t="e">
        <f t="shared" ca="1" si="367"/>
        <v>#NAME?</v>
      </c>
      <c r="H2144" s="100" t="e">
        <f t="shared" ca="1" si="368"/>
        <v>#NAME?</v>
      </c>
      <c r="I2144" s="100" t="e">
        <f t="shared" ca="1" si="369"/>
        <v>#NAME?</v>
      </c>
      <c r="J2144" s="100" t="e">
        <f ca="1">IFERROR(__xludf.DUMMYFUNCTION("""COMPUTED_VALUE"""),"23.588")</f>
        <v>#NAME?</v>
      </c>
      <c r="K2144" s="100" t="e">
        <f t="shared" ca="1" si="370"/>
        <v>#NAME?</v>
      </c>
      <c r="L2144" s="100"/>
      <c r="M2144" s="100"/>
      <c r="N2144" s="100"/>
      <c r="O2144" s="100"/>
      <c r="P2144" s="100"/>
      <c r="Q2144" s="100"/>
      <c r="R2144" s="100"/>
      <c r="S2144" s="100"/>
      <c r="T2144" s="100"/>
      <c r="U2144" s="100"/>
      <c r="V2144" s="100"/>
      <c r="W2144" s="100"/>
      <c r="X2144" s="100"/>
      <c r="Y2144" s="100"/>
      <c r="Z2144" s="100"/>
    </row>
    <row r="2145" spans="1:26">
      <c r="A2145" s="100" t="e">
        <f ca="1">IFERROR(__xludf.DUMMYFUNCTION("""COMPUTED_VALUE"""),58785480)</f>
        <v>#NAME?</v>
      </c>
      <c r="B2145" s="100" t="e">
        <f ca="1">IFERROR(__xludf.DUMMYFUNCTION("""COMPUTED_VALUE"""),"FETTRY")</f>
        <v>#NAME?</v>
      </c>
      <c r="C2145" s="100" t="e">
        <f ca="1">IFERROR(__xludf.DUMMYFUNCTION("""COMPUTED_VALUE"""),"22.61000000")</f>
        <v>#NAME?</v>
      </c>
      <c r="D2145" s="100" t="e">
        <f t="shared" ca="1" si="372"/>
        <v>#NAME?</v>
      </c>
      <c r="E2145" s="100" t="e">
        <f t="shared" ca="1" si="372"/>
        <v>#NAME?</v>
      </c>
      <c r="F2145" s="100" t="e">
        <f t="shared" ca="1" si="366"/>
        <v>#NAME?</v>
      </c>
      <c r="G2145" s="100" t="e">
        <f t="shared" ca="1" si="367"/>
        <v>#NAME?</v>
      </c>
      <c r="H2145" s="100" t="e">
        <f t="shared" ca="1" si="368"/>
        <v>#NAME?</v>
      </c>
      <c r="I2145" s="100" t="e">
        <f t="shared" ca="1" si="369"/>
        <v>#NAME?</v>
      </c>
      <c r="J2145" s="100" t="e">
        <f ca="1">IFERROR(__xludf.DUMMYFUNCTION("""COMPUTED_VALUE"""),"-4.519")</f>
        <v>#NAME?</v>
      </c>
      <c r="K2145" s="100" t="e">
        <f t="shared" ca="1" si="370"/>
        <v>#NAME?</v>
      </c>
      <c r="L2145" s="100"/>
      <c r="M2145" s="100"/>
      <c r="N2145" s="100"/>
      <c r="O2145" s="100"/>
      <c r="P2145" s="100"/>
      <c r="Q2145" s="100"/>
      <c r="R2145" s="100"/>
      <c r="S2145" s="100"/>
      <c r="T2145" s="100"/>
      <c r="U2145" s="100"/>
      <c r="V2145" s="100"/>
      <c r="W2145" s="100"/>
      <c r="X2145" s="100"/>
      <c r="Y2145" s="100"/>
      <c r="Z2145" s="100"/>
    </row>
    <row r="2146" spans="1:26">
      <c r="A2146" s="100" t="e">
        <f ca="1">IFERROR(__xludf.DUMMYFUNCTION("""COMPUTED_VALUE"""),58785481)</f>
        <v>#NAME?</v>
      </c>
      <c r="B2146" s="100" t="e">
        <f ca="1">IFERROR(__xludf.DUMMYFUNCTION("""COMPUTED_VALUE"""),"GFTBUSD")</f>
        <v>#NAME?</v>
      </c>
      <c r="C2146" s="100" t="e">
        <f ca="1">IFERROR(__xludf.DUMMYFUNCTION("""COMPUTED_VALUE"""),"0.02911000")</f>
        <v>#NAME?</v>
      </c>
      <c r="D2146" s="100" t="e">
        <f t="shared" ca="1" si="372"/>
        <v>#NAME?</v>
      </c>
      <c r="E2146" s="100" t="e">
        <f t="shared" ca="1" si="372"/>
        <v>#NAME?</v>
      </c>
      <c r="F2146" s="100" t="e">
        <f t="shared" ca="1" si="366"/>
        <v>#NAME?</v>
      </c>
      <c r="G2146" s="100" t="e">
        <f t="shared" ca="1" si="367"/>
        <v>#NAME?</v>
      </c>
      <c r="H2146" s="100" t="e">
        <f t="shared" ca="1" si="368"/>
        <v>#NAME?</v>
      </c>
      <c r="I2146" s="100" t="e">
        <f t="shared" ca="1" si="369"/>
        <v>#NAME?</v>
      </c>
      <c r="J2146" s="100" t="e">
        <f ca="1">IFERROR(__xludf.DUMMYFUNCTION("""COMPUTED_VALUE"""),"0")</f>
        <v>#NAME?</v>
      </c>
      <c r="K2146" s="100" t="e">
        <f t="shared" ca="1" si="370"/>
        <v>#NAME?</v>
      </c>
      <c r="L2146" s="100"/>
      <c r="M2146" s="100"/>
      <c r="N2146" s="100"/>
      <c r="O2146" s="100"/>
      <c r="P2146" s="100"/>
      <c r="Q2146" s="100"/>
      <c r="R2146" s="100"/>
      <c r="S2146" s="100"/>
      <c r="T2146" s="100"/>
      <c r="U2146" s="100"/>
      <c r="V2146" s="100"/>
      <c r="W2146" s="100"/>
      <c r="X2146" s="100"/>
      <c r="Y2146" s="100"/>
      <c r="Z2146" s="100"/>
    </row>
    <row r="2147" spans="1:26">
      <c r="A2147" s="100" t="e">
        <f ca="1">IFERROR(__xludf.DUMMYFUNCTION("""COMPUTED_VALUE"""),58785482)</f>
        <v>#NAME?</v>
      </c>
      <c r="B2147" s="100" t="e">
        <f ca="1">IFERROR(__xludf.DUMMYFUNCTION("""COMPUTED_VALUE"""),"AGIXUSDT")</f>
        <v>#NAME?</v>
      </c>
      <c r="C2147" s="100" t="e">
        <f ca="1">IFERROR(__xludf.DUMMYFUNCTION("""COMPUTED_VALUE"""),"0.61410000")</f>
        <v>#NAME?</v>
      </c>
      <c r="D2147" s="100" t="e">
        <f t="shared" ca="1" si="372"/>
        <v>#NAME?</v>
      </c>
      <c r="E2147" s="100" t="e">
        <f t="shared" ca="1" si="372"/>
        <v>#NAME?</v>
      </c>
      <c r="F2147" s="100" t="e">
        <f t="shared" ca="1" si="366"/>
        <v>#NAME?</v>
      </c>
      <c r="G2147" s="100" t="e">
        <f t="shared" ca="1" si="367"/>
        <v>#NAME?</v>
      </c>
      <c r="H2147" s="100" t="e">
        <f t="shared" ca="1" si="368"/>
        <v>#NAME?</v>
      </c>
      <c r="I2147" s="100" t="e">
        <f t="shared" ca="1" si="369"/>
        <v>#NAME?</v>
      </c>
      <c r="J2147" s="100" t="e">
        <f ca="1">IFERROR(__xludf.DUMMYFUNCTION("""COMPUTED_VALUE"""),"0")</f>
        <v>#NAME?</v>
      </c>
      <c r="K2147" s="100" t="e">
        <f t="shared" ca="1" si="370"/>
        <v>#NAME?</v>
      </c>
      <c r="L2147" s="100"/>
      <c r="M2147" s="100"/>
      <c r="N2147" s="100"/>
      <c r="O2147" s="100"/>
      <c r="P2147" s="100"/>
      <c r="Q2147" s="100"/>
      <c r="R2147" s="100"/>
      <c r="S2147" s="100"/>
      <c r="T2147" s="100"/>
      <c r="U2147" s="100"/>
      <c r="V2147" s="100"/>
      <c r="W2147" s="100"/>
      <c r="X2147" s="100"/>
      <c r="Y2147" s="100"/>
      <c r="Z2147" s="100"/>
    </row>
    <row r="2148" spans="1:26">
      <c r="A2148" s="100" t="e">
        <f ca="1">IFERROR(__xludf.DUMMYFUNCTION("""COMPUTED_VALUE"""),58785483)</f>
        <v>#NAME?</v>
      </c>
      <c r="B2148" s="100" t="e">
        <f ca="1">IFERROR(__xludf.DUMMYFUNCTION("""COMPUTED_VALUE"""),"APTETH")</f>
        <v>#NAME?</v>
      </c>
      <c r="C2148" s="100" t="e">
        <f ca="1">IFERROR(__xludf.DUMMYFUNCTION("""COMPUTED_VALUE"""),"0.00298700")</f>
        <v>#NAME?</v>
      </c>
      <c r="D2148" s="100" t="e">
        <f t="shared" ca="1" si="372"/>
        <v>#NAME?</v>
      </c>
      <c r="E2148" s="100" t="e">
        <f t="shared" ca="1" si="372"/>
        <v>#NAME?</v>
      </c>
      <c r="F2148" s="100" t="e">
        <f t="shared" ca="1" si="366"/>
        <v>#NAME?</v>
      </c>
      <c r="G2148" s="100" t="e">
        <f t="shared" ca="1" si="367"/>
        <v>#NAME?</v>
      </c>
      <c r="H2148" s="100" t="e">
        <f t="shared" ca="1" si="368"/>
        <v>#NAME?</v>
      </c>
      <c r="I2148" s="100" t="e">
        <f t="shared" ca="1" si="369"/>
        <v>#NAME?</v>
      </c>
      <c r="J2148" s="100" t="e">
        <f ca="1">IFERROR(__xludf.DUMMYFUNCTION("""COMPUTED_VALUE"""),"-5.445")</f>
        <v>#NAME?</v>
      </c>
      <c r="K2148" s="100" t="e">
        <f t="shared" ca="1" si="370"/>
        <v>#NAME?</v>
      </c>
      <c r="L2148" s="100"/>
      <c r="M2148" s="100"/>
      <c r="N2148" s="100"/>
      <c r="O2148" s="100"/>
      <c r="P2148" s="100"/>
      <c r="Q2148" s="100"/>
      <c r="R2148" s="100"/>
      <c r="S2148" s="100"/>
      <c r="T2148" s="100"/>
      <c r="U2148" s="100"/>
      <c r="V2148" s="100"/>
      <c r="W2148" s="100"/>
      <c r="X2148" s="100"/>
      <c r="Y2148" s="100"/>
      <c r="Z2148" s="100"/>
    </row>
    <row r="2149" spans="1:26">
      <c r="A2149" s="100" t="e">
        <f ca="1">IFERROR(__xludf.DUMMYFUNCTION("""COMPUTED_VALUE"""),58785484)</f>
        <v>#NAME?</v>
      </c>
      <c r="B2149" s="100" t="e">
        <f ca="1">IFERROR(__xludf.DUMMYFUNCTION("""COMPUTED_VALUE"""),"BTCRON")</f>
        <v>#NAME?</v>
      </c>
      <c r="C2149" s="100" t="e">
        <f ca="1">IFERROR(__xludf.DUMMYFUNCTION("""COMPUTED_VALUE"""),"383458.00000000")</f>
        <v>#NAME?</v>
      </c>
      <c r="D2149" s="100" t="e">
        <f t="shared" ca="1" si="372"/>
        <v>#NAME?</v>
      </c>
      <c r="E2149" s="100" t="e">
        <f t="shared" ca="1" si="372"/>
        <v>#NAME?</v>
      </c>
      <c r="F2149" s="100" t="e">
        <f t="shared" ca="1" si="366"/>
        <v>#NAME?</v>
      </c>
      <c r="G2149" s="100" t="e">
        <f t="shared" ca="1" si="367"/>
        <v>#NAME?</v>
      </c>
      <c r="H2149" s="100" t="e">
        <f t="shared" ca="1" si="368"/>
        <v>#NAME?</v>
      </c>
      <c r="I2149" s="100" t="e">
        <f t="shared" ca="1" si="369"/>
        <v>#NAME?</v>
      </c>
      <c r="J2149" s="100" t="e">
        <f ca="1">IFERROR(__xludf.DUMMYFUNCTION("""COMPUTED_VALUE"""),"-0.140")</f>
        <v>#NAME?</v>
      </c>
      <c r="K2149" s="100" t="e">
        <f t="shared" ca="1" si="370"/>
        <v>#NAME?</v>
      </c>
      <c r="L2149" s="100"/>
      <c r="M2149" s="100"/>
      <c r="N2149" s="100"/>
      <c r="O2149" s="100"/>
      <c r="P2149" s="100"/>
      <c r="Q2149" s="100"/>
      <c r="R2149" s="100"/>
      <c r="S2149" s="100"/>
      <c r="T2149" s="100"/>
      <c r="U2149" s="100"/>
      <c r="V2149" s="100"/>
      <c r="W2149" s="100"/>
      <c r="X2149" s="100"/>
      <c r="Y2149" s="100"/>
      <c r="Z2149" s="100"/>
    </row>
    <row r="2150" spans="1:26">
      <c r="A2150" s="100" t="e">
        <f ca="1">IFERROR(__xludf.DUMMYFUNCTION("""COMPUTED_VALUE"""),58785485)</f>
        <v>#NAME?</v>
      </c>
      <c r="B2150" s="100" t="e">
        <f ca="1">IFERROR(__xludf.DUMMYFUNCTION("""COMPUTED_VALUE"""),"GNSUSDT")</f>
        <v>#NAME?</v>
      </c>
      <c r="C2150" s="100" t="e">
        <f ca="1">IFERROR(__xludf.DUMMYFUNCTION("""COMPUTED_VALUE"""),"1.44400000")</f>
        <v>#NAME?</v>
      </c>
      <c r="D2150" s="100" t="e">
        <f t="shared" ca="1" si="372"/>
        <v>#NAME?</v>
      </c>
      <c r="E2150" s="100" t="e">
        <f t="shared" ca="1" si="372"/>
        <v>#NAME?</v>
      </c>
      <c r="F2150" s="100" t="e">
        <f t="shared" ca="1" si="366"/>
        <v>#NAME?</v>
      </c>
      <c r="G2150" s="100" t="e">
        <f t="shared" ca="1" si="367"/>
        <v>#NAME?</v>
      </c>
      <c r="H2150" s="100" t="e">
        <f t="shared" ca="1" si="368"/>
        <v>#NAME?</v>
      </c>
      <c r="I2150" s="100" t="e">
        <f t="shared" ca="1" si="369"/>
        <v>#NAME?</v>
      </c>
      <c r="J2150" s="100" t="e">
        <f ca="1">IFERROR(__xludf.DUMMYFUNCTION("""COMPUTED_VALUE"""),"-1.028")</f>
        <v>#NAME?</v>
      </c>
      <c r="K2150" s="100" t="e">
        <f t="shared" ca="1" si="370"/>
        <v>#NAME?</v>
      </c>
      <c r="L2150" s="100"/>
      <c r="M2150" s="100"/>
      <c r="N2150" s="100"/>
      <c r="O2150" s="100"/>
      <c r="P2150" s="100"/>
      <c r="Q2150" s="100"/>
      <c r="R2150" s="100"/>
      <c r="S2150" s="100"/>
      <c r="T2150" s="100"/>
      <c r="U2150" s="100"/>
      <c r="V2150" s="100"/>
      <c r="W2150" s="100"/>
      <c r="X2150" s="100"/>
      <c r="Y2150" s="100"/>
      <c r="Z2150" s="100"/>
    </row>
    <row r="2151" spans="1:26">
      <c r="A2151" s="100" t="e">
        <f ca="1">IFERROR(__xludf.DUMMYFUNCTION("""COMPUTED_VALUE"""),58785486)</f>
        <v>#NAME?</v>
      </c>
      <c r="B2151" s="100" t="e">
        <f ca="1">IFERROR(__xludf.DUMMYFUNCTION("""COMPUTED_VALUE"""),"GNSBTC")</f>
        <v>#NAME?</v>
      </c>
      <c r="C2151" s="100" t="e">
        <f ca="1">IFERROR(__xludf.DUMMYFUNCTION("""COMPUTED_VALUE"""),"0.00007210")</f>
        <v>#NAME?</v>
      </c>
      <c r="D2151" s="100" t="e">
        <f t="shared" ca="1" si="372"/>
        <v>#NAME?</v>
      </c>
      <c r="E2151" s="100" t="e">
        <f t="shared" ca="1" si="372"/>
        <v>#NAME?</v>
      </c>
      <c r="F2151" s="100" t="e">
        <f t="shared" ca="1" si="366"/>
        <v>#NAME?</v>
      </c>
      <c r="G2151" s="100" t="e">
        <f t="shared" ca="1" si="367"/>
        <v>#NAME?</v>
      </c>
      <c r="H2151" s="100" t="e">
        <f t="shared" ca="1" si="368"/>
        <v>#NAME?</v>
      </c>
      <c r="I2151" s="100" t="e">
        <f t="shared" ca="1" si="369"/>
        <v>#NAME?</v>
      </c>
      <c r="J2151" s="100" t="e">
        <f ca="1">IFERROR(__xludf.DUMMYFUNCTION("""COMPUTED_VALUE"""),"0")</f>
        <v>#NAME?</v>
      </c>
      <c r="K2151" s="100" t="e">
        <f t="shared" ca="1" si="370"/>
        <v>#NAME?</v>
      </c>
      <c r="L2151" s="100"/>
      <c r="M2151" s="100"/>
      <c r="N2151" s="100"/>
      <c r="O2151" s="100"/>
      <c r="P2151" s="100"/>
      <c r="Q2151" s="100"/>
      <c r="R2151" s="100"/>
      <c r="S2151" s="100"/>
      <c r="T2151" s="100"/>
      <c r="U2151" s="100"/>
      <c r="V2151" s="100"/>
      <c r="W2151" s="100"/>
      <c r="X2151" s="100"/>
      <c r="Y2151" s="100"/>
      <c r="Z2151" s="100"/>
    </row>
    <row r="2152" spans="1:26">
      <c r="A2152" s="100" t="e">
        <f ca="1">IFERROR(__xludf.DUMMYFUNCTION("""COMPUTED_VALUE"""),58785487)</f>
        <v>#NAME?</v>
      </c>
      <c r="B2152" s="100" t="e">
        <f ca="1">IFERROR(__xludf.DUMMYFUNCTION("""COMPUTED_VALUE"""),"SYNBTC")</f>
        <v>#NAME?</v>
      </c>
      <c r="C2152" s="100" t="e">
        <f ca="1">IFERROR(__xludf.DUMMYFUNCTION("""COMPUTED_VALUE"""),"0.00001152")</f>
        <v>#NAME?</v>
      </c>
      <c r="D2152" s="100" t="e">
        <f t="shared" ca="1" si="372"/>
        <v>#NAME?</v>
      </c>
      <c r="E2152" s="100" t="e">
        <f t="shared" ca="1" si="372"/>
        <v>#NAME?</v>
      </c>
      <c r="F2152" s="100" t="e">
        <f t="shared" ca="1" si="366"/>
        <v>#NAME?</v>
      </c>
      <c r="G2152" s="100" t="e">
        <f t="shared" ca="1" si="367"/>
        <v>#NAME?</v>
      </c>
      <c r="H2152" s="100" t="e">
        <f t="shared" ca="1" si="368"/>
        <v>#NAME?</v>
      </c>
      <c r="I2152" s="100" t="e">
        <f t="shared" ca="1" si="369"/>
        <v>#NAME?</v>
      </c>
      <c r="J2152" s="100" t="e">
        <f ca="1">IFERROR(__xludf.DUMMYFUNCTION("""COMPUTED_VALUE"""),"0")</f>
        <v>#NAME?</v>
      </c>
      <c r="K2152" s="100" t="e">
        <f t="shared" ca="1" si="370"/>
        <v>#NAME?</v>
      </c>
      <c r="L2152" s="100"/>
      <c r="M2152" s="100"/>
      <c r="N2152" s="100"/>
      <c r="O2152" s="100"/>
      <c r="P2152" s="100"/>
      <c r="Q2152" s="100"/>
      <c r="R2152" s="100"/>
      <c r="S2152" s="100"/>
      <c r="T2152" s="100"/>
      <c r="U2152" s="100"/>
      <c r="V2152" s="100"/>
      <c r="W2152" s="100"/>
      <c r="X2152" s="100"/>
      <c r="Y2152" s="100"/>
      <c r="Z2152" s="100"/>
    </row>
    <row r="2153" spans="1:26">
      <c r="A2153" s="100" t="e">
        <f ca="1">IFERROR(__xludf.DUMMYFUNCTION("""COMPUTED_VALUE"""),58785488)</f>
        <v>#NAME?</v>
      </c>
      <c r="B2153" s="100" t="e">
        <f ca="1">IFERROR(__xludf.DUMMYFUNCTION("""COMPUTED_VALUE"""),"SYNUSDT")</f>
        <v>#NAME?</v>
      </c>
      <c r="C2153" s="100" t="e">
        <f ca="1">IFERROR(__xludf.DUMMYFUNCTION("""COMPUTED_VALUE"""),"0.22040000")</f>
        <v>#NAME?</v>
      </c>
      <c r="D2153" s="100" t="e">
        <f t="shared" ca="1" si="372"/>
        <v>#NAME?</v>
      </c>
      <c r="E2153" s="100" t="e">
        <f t="shared" ca="1" si="372"/>
        <v>#NAME?</v>
      </c>
      <c r="F2153" s="100" t="e">
        <f t="shared" ca="1" si="366"/>
        <v>#NAME?</v>
      </c>
      <c r="G2153" s="100" t="e">
        <f t="shared" ca="1" si="367"/>
        <v>#NAME?</v>
      </c>
      <c r="H2153" s="100" t="e">
        <f t="shared" ca="1" si="368"/>
        <v>#NAME?</v>
      </c>
      <c r="I2153" s="100" t="e">
        <f t="shared" ca="1" si="369"/>
        <v>#NAME?</v>
      </c>
      <c r="J2153" s="100" t="e">
        <f ca="1">IFERROR(__xludf.DUMMYFUNCTION("""COMPUTED_VALUE"""),"17.861")</f>
        <v>#NAME?</v>
      </c>
      <c r="K2153" s="100" t="e">
        <f t="shared" ca="1" si="370"/>
        <v>#NAME?</v>
      </c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</row>
    <row r="2154" spans="1:26">
      <c r="A2154" s="100" t="e">
        <f ca="1">IFERROR(__xludf.DUMMYFUNCTION("""COMPUTED_VALUE"""),58785489)</f>
        <v>#NAME?</v>
      </c>
      <c r="B2154" s="100" t="e">
        <f ca="1">IFERROR(__xludf.DUMMYFUNCTION("""COMPUTED_VALUE"""),"VIBUSDT")</f>
        <v>#NAME?</v>
      </c>
      <c r="C2154" s="100" t="e">
        <f ca="1">IFERROR(__xludf.DUMMYFUNCTION("""COMPUTED_VALUE"""),"0.02099000")</f>
        <v>#NAME?</v>
      </c>
      <c r="D2154" s="100" t="e">
        <f t="shared" ca="1" si="372"/>
        <v>#NAME?</v>
      </c>
      <c r="E2154" s="100" t="e">
        <f t="shared" ca="1" si="372"/>
        <v>#NAME?</v>
      </c>
      <c r="F2154" s="100" t="e">
        <f t="shared" ca="1" si="366"/>
        <v>#NAME?</v>
      </c>
      <c r="G2154" s="100" t="e">
        <f t="shared" ca="1" si="367"/>
        <v>#NAME?</v>
      </c>
      <c r="H2154" s="100" t="e">
        <f t="shared" ca="1" si="368"/>
        <v>#NAME?</v>
      </c>
      <c r="I2154" s="100" t="e">
        <f t="shared" ca="1" si="369"/>
        <v>#NAME?</v>
      </c>
      <c r="J2154" s="100" t="e">
        <f ca="1">IFERROR(__xludf.DUMMYFUNCTION("""COMPUTED_VALUE"""),"-9.409")</f>
        <v>#NAME?</v>
      </c>
      <c r="K2154" s="100" t="e">
        <f t="shared" ca="1" si="370"/>
        <v>#NAME?</v>
      </c>
      <c r="L2154" s="100"/>
      <c r="M2154" s="100"/>
      <c r="N2154" s="100"/>
      <c r="O2154" s="100"/>
      <c r="P2154" s="100"/>
      <c r="Q2154" s="100"/>
      <c r="R2154" s="100"/>
      <c r="S2154" s="100"/>
      <c r="T2154" s="100"/>
      <c r="U2154" s="100"/>
      <c r="V2154" s="100"/>
      <c r="W2154" s="100"/>
      <c r="X2154" s="100"/>
      <c r="Y2154" s="100"/>
      <c r="Z2154" s="100"/>
    </row>
    <row r="2155" spans="1:26">
      <c r="A2155" s="100" t="e">
        <f ca="1">IFERROR(__xludf.DUMMYFUNCTION("""COMPUTED_VALUE"""),58785490)</f>
        <v>#NAME?</v>
      </c>
      <c r="B2155" s="100" t="e">
        <f ca="1">IFERROR(__xludf.DUMMYFUNCTION("""COMPUTED_VALUE"""),"SSVUSDT")</f>
        <v>#NAME?</v>
      </c>
      <c r="C2155" s="100" t="e">
        <f ca="1">IFERROR(__xludf.DUMMYFUNCTION("""COMPUTED_VALUE"""),"5.69000000")</f>
        <v>#NAME?</v>
      </c>
      <c r="D2155" s="100" t="e">
        <f t="shared" ca="1" si="372"/>
        <v>#NAME?</v>
      </c>
      <c r="E2155" s="100" t="e">
        <f t="shared" ca="1" si="372"/>
        <v>#NAME?</v>
      </c>
      <c r="F2155" s="100" t="e">
        <f t="shared" ca="1" si="366"/>
        <v>#NAME?</v>
      </c>
      <c r="G2155" s="100" t="e">
        <f t="shared" ca="1" si="367"/>
        <v>#NAME?</v>
      </c>
      <c r="H2155" s="100" t="e">
        <f t="shared" ca="1" si="368"/>
        <v>#NAME?</v>
      </c>
      <c r="I2155" s="100" t="e">
        <f t="shared" ca="1" si="369"/>
        <v>#NAME?</v>
      </c>
      <c r="J2155" s="100" t="e">
        <f ca="1">IFERROR(__xludf.DUMMYFUNCTION("""COMPUTED_VALUE"""),"-1.386")</f>
        <v>#NAME?</v>
      </c>
      <c r="K2155" s="100" t="e">
        <f t="shared" ca="1" si="370"/>
        <v>#NAME?</v>
      </c>
      <c r="L2155" s="100"/>
      <c r="M2155" s="100"/>
      <c r="N2155" s="100"/>
      <c r="O2155" s="100"/>
      <c r="P2155" s="100"/>
      <c r="Q2155" s="100"/>
      <c r="R2155" s="100"/>
      <c r="S2155" s="100"/>
      <c r="T2155" s="100"/>
      <c r="U2155" s="100"/>
      <c r="V2155" s="100"/>
      <c r="W2155" s="100"/>
      <c r="X2155" s="100"/>
      <c r="Y2155" s="100"/>
      <c r="Z2155" s="100"/>
    </row>
    <row r="2156" spans="1:26">
      <c r="A2156" s="100" t="e">
        <f ca="1">IFERROR(__xludf.DUMMYFUNCTION("""COMPUTED_VALUE"""),58785491)</f>
        <v>#NAME?</v>
      </c>
      <c r="B2156" s="100" t="e">
        <f ca="1">IFERROR(__xludf.DUMMYFUNCTION("""COMPUTED_VALUE"""),"LQTYUSDT")</f>
        <v>#NAME?</v>
      </c>
      <c r="C2156" s="100" t="e">
        <f ca="1">IFERROR(__xludf.DUMMYFUNCTION("""COMPUTED_VALUE"""),"0.60000000")</f>
        <v>#NAME?</v>
      </c>
      <c r="D2156" s="100" t="e">
        <f t="shared" ca="1" si="372"/>
        <v>#NAME?</v>
      </c>
      <c r="E2156" s="100" t="e">
        <f t="shared" ca="1" si="372"/>
        <v>#NAME?</v>
      </c>
      <c r="F2156" s="100" t="e">
        <f t="shared" ca="1" si="366"/>
        <v>#NAME?</v>
      </c>
      <c r="G2156" s="100" t="e">
        <f t="shared" ca="1" si="367"/>
        <v>#NAME?</v>
      </c>
      <c r="H2156" s="100" t="e">
        <f t="shared" ca="1" si="368"/>
        <v>#NAME?</v>
      </c>
      <c r="I2156" s="100" t="e">
        <f t="shared" ca="1" si="369"/>
        <v>#NAME?</v>
      </c>
      <c r="J2156" s="100" t="e">
        <f ca="1">IFERROR(__xludf.DUMMYFUNCTION("""COMPUTED_VALUE"""),"-2.280")</f>
        <v>#NAME?</v>
      </c>
      <c r="K2156" s="100" t="e">
        <f t="shared" ca="1" si="370"/>
        <v>#NAME?</v>
      </c>
      <c r="L2156" s="100"/>
      <c r="M2156" s="100"/>
      <c r="N2156" s="100"/>
      <c r="O2156" s="100"/>
      <c r="P2156" s="100"/>
      <c r="Q2156" s="100"/>
      <c r="R2156" s="100"/>
      <c r="S2156" s="100"/>
      <c r="T2156" s="100"/>
      <c r="U2156" s="100"/>
      <c r="V2156" s="100"/>
      <c r="W2156" s="100"/>
      <c r="X2156" s="100"/>
      <c r="Y2156" s="100"/>
      <c r="Z2156" s="100"/>
    </row>
    <row r="2157" spans="1:26">
      <c r="A2157" s="100" t="e">
        <f ca="1">IFERROR(__xludf.DUMMYFUNCTION("""COMPUTED_VALUE"""),58785492)</f>
        <v>#NAME?</v>
      </c>
      <c r="B2157" s="100" t="e">
        <f ca="1">IFERROR(__xludf.DUMMYFUNCTION("""COMPUTED_VALUE"""),"LQTYBTC")</f>
        <v>#NAME?</v>
      </c>
      <c r="C2157" s="100" t="e">
        <f ca="1">IFERROR(__xludf.DUMMYFUNCTION("""COMPUTED_VALUE"""),"0.00000841")</f>
        <v>#NAME?</v>
      </c>
      <c r="D2157" s="100" t="e">
        <f t="shared" ca="1" si="372"/>
        <v>#NAME?</v>
      </c>
      <c r="E2157" s="100" t="e">
        <f t="shared" ca="1" si="372"/>
        <v>#NAME?</v>
      </c>
      <c r="F2157" s="100" t="e">
        <f t="shared" ca="1" si="366"/>
        <v>#NAME?</v>
      </c>
      <c r="G2157" s="100" t="e">
        <f t="shared" ca="1" si="367"/>
        <v>#NAME?</v>
      </c>
      <c r="H2157" s="100" t="e">
        <f t="shared" ca="1" si="368"/>
        <v>#NAME?</v>
      </c>
      <c r="I2157" s="100" t="e">
        <f t="shared" ca="1" si="369"/>
        <v>#NAME?</v>
      </c>
      <c r="J2157" s="100" t="e">
        <f ca="1">IFERROR(__xludf.DUMMYFUNCTION("""COMPUTED_VALUE"""),"0")</f>
        <v>#NAME?</v>
      </c>
      <c r="K2157" s="100" t="e">
        <f t="shared" ca="1" si="370"/>
        <v>#NAME?</v>
      </c>
      <c r="L2157" s="100"/>
      <c r="M2157" s="100"/>
      <c r="N2157" s="100"/>
      <c r="O2157" s="100"/>
      <c r="P2157" s="100"/>
      <c r="Q2157" s="100"/>
      <c r="R2157" s="100"/>
      <c r="S2157" s="100"/>
      <c r="T2157" s="100"/>
      <c r="U2157" s="100"/>
      <c r="V2157" s="100"/>
      <c r="W2157" s="100"/>
      <c r="X2157" s="100"/>
      <c r="Y2157" s="100"/>
      <c r="Z2157" s="100"/>
    </row>
    <row r="2158" spans="1:26">
      <c r="A2158" s="100" t="e">
        <f ca="1">IFERROR(__xludf.DUMMYFUNCTION("""COMPUTED_VALUE"""),58785493)</f>
        <v>#NAME?</v>
      </c>
      <c r="B2158" s="100" t="e">
        <f ca="1">IFERROR(__xludf.DUMMYFUNCTION("""COMPUTED_VALUE"""),"AMBUSDT")</f>
        <v>#NAME?</v>
      </c>
      <c r="C2158" s="100" t="e">
        <f ca="1">IFERROR(__xludf.DUMMYFUNCTION("""COMPUTED_VALUE"""),"0.00032000")</f>
        <v>#NAME?</v>
      </c>
      <c r="D2158" s="100" t="e">
        <f t="shared" ca="1" si="372"/>
        <v>#NAME?</v>
      </c>
      <c r="E2158" s="100" t="e">
        <f t="shared" ca="1" si="372"/>
        <v>#NAME?</v>
      </c>
      <c r="F2158" s="100" t="e">
        <f t="shared" ca="1" si="366"/>
        <v>#NAME?</v>
      </c>
      <c r="G2158" s="100" t="e">
        <f t="shared" ca="1" si="367"/>
        <v>#NAME?</v>
      </c>
      <c r="H2158" s="100" t="e">
        <f t="shared" ca="1" si="368"/>
        <v>#NAME?</v>
      </c>
      <c r="I2158" s="100" t="e">
        <f t="shared" ca="1" si="369"/>
        <v>#NAME?</v>
      </c>
      <c r="J2158" s="100" t="e">
        <f ca="1">IFERROR(__xludf.DUMMYFUNCTION("""COMPUTED_VALUE"""),"0")</f>
        <v>#NAME?</v>
      </c>
      <c r="K2158" s="100" t="e">
        <f t="shared" ca="1" si="370"/>
        <v>#NAME?</v>
      </c>
      <c r="L2158" s="100"/>
      <c r="M2158" s="100"/>
      <c r="N2158" s="100"/>
      <c r="O2158" s="100"/>
      <c r="P2158" s="100"/>
      <c r="Q2158" s="100"/>
      <c r="R2158" s="100"/>
      <c r="S2158" s="100"/>
      <c r="T2158" s="100"/>
      <c r="U2158" s="100"/>
      <c r="V2158" s="100"/>
      <c r="W2158" s="100"/>
      <c r="X2158" s="100"/>
      <c r="Y2158" s="100"/>
      <c r="Z2158" s="100"/>
    </row>
    <row r="2159" spans="1:26">
      <c r="A2159" s="100" t="e">
        <f ca="1">IFERROR(__xludf.DUMMYFUNCTION("""COMPUTED_VALUE"""),58785494)</f>
        <v>#NAME?</v>
      </c>
      <c r="B2159" s="100" t="e">
        <f ca="1">IFERROR(__xludf.DUMMYFUNCTION("""COMPUTED_VALUE"""),"BETHUSDT")</f>
        <v>#NAME?</v>
      </c>
      <c r="C2159" s="100" t="e">
        <f ca="1">IFERROR(__xludf.DUMMYFUNCTION("""COMPUTED_VALUE"""),"1556.27000000")</f>
        <v>#NAME?</v>
      </c>
      <c r="D2159" s="100" t="e">
        <f t="shared" ca="1" si="372"/>
        <v>#NAME?</v>
      </c>
      <c r="E2159" s="100" t="e">
        <f t="shared" ca="1" si="372"/>
        <v>#NAME?</v>
      </c>
      <c r="F2159" s="100" t="e">
        <f t="shared" ca="1" si="366"/>
        <v>#NAME?</v>
      </c>
      <c r="G2159" s="100" t="e">
        <f t="shared" ca="1" si="367"/>
        <v>#NAME?</v>
      </c>
      <c r="H2159" s="100" t="e">
        <f t="shared" ca="1" si="368"/>
        <v>#NAME?</v>
      </c>
      <c r="I2159" s="100" t="e">
        <f t="shared" ca="1" si="369"/>
        <v>#NAME?</v>
      </c>
      <c r="J2159" s="100" t="e">
        <f ca="1">IFERROR(__xludf.DUMMYFUNCTION("""COMPUTED_VALUE"""),"0")</f>
        <v>#NAME?</v>
      </c>
      <c r="K2159" s="100" t="e">
        <f t="shared" ca="1" si="370"/>
        <v>#NAME?</v>
      </c>
      <c r="L2159" s="100"/>
      <c r="M2159" s="100"/>
      <c r="N2159" s="100"/>
      <c r="O2159" s="100"/>
      <c r="P2159" s="100"/>
      <c r="Q2159" s="100"/>
      <c r="R2159" s="100"/>
      <c r="S2159" s="100"/>
      <c r="T2159" s="100"/>
      <c r="U2159" s="100"/>
      <c r="V2159" s="100"/>
      <c r="W2159" s="100"/>
      <c r="X2159" s="100"/>
      <c r="Y2159" s="100"/>
      <c r="Z2159" s="100"/>
    </row>
    <row r="2160" spans="1:26">
      <c r="A2160" s="100" t="e">
        <f ca="1">IFERROR(__xludf.DUMMYFUNCTION("""COMPUTED_VALUE"""),58785495)</f>
        <v>#NAME?</v>
      </c>
      <c r="B2160" s="100" t="e">
        <f ca="1">IFERROR(__xludf.DUMMYFUNCTION("""COMPUTED_VALUE"""),"CFXTRY")</f>
        <v>#NAME?</v>
      </c>
      <c r="C2160" s="100" t="e">
        <f ca="1">IFERROR(__xludf.DUMMYFUNCTION("""COMPUTED_VALUE"""),"2.72900000")</f>
        <v>#NAME?</v>
      </c>
      <c r="D2160" s="100" t="e">
        <f t="shared" ca="1" si="372"/>
        <v>#NAME?</v>
      </c>
      <c r="E2160" s="100" t="e">
        <f t="shared" ca="1" si="372"/>
        <v>#NAME?</v>
      </c>
      <c r="F2160" s="100" t="e">
        <f t="shared" ca="1" si="366"/>
        <v>#NAME?</v>
      </c>
      <c r="G2160" s="100" t="e">
        <f t="shared" ca="1" si="367"/>
        <v>#NAME?</v>
      </c>
      <c r="H2160" s="100" t="e">
        <f t="shared" ca="1" si="368"/>
        <v>#NAME?</v>
      </c>
      <c r="I2160" s="100" t="e">
        <f t="shared" ca="1" si="369"/>
        <v>#NAME?</v>
      </c>
      <c r="J2160" s="100" t="e">
        <f ca="1">IFERROR(__xludf.DUMMYFUNCTION("""COMPUTED_VALUE"""),"-1.658")</f>
        <v>#NAME?</v>
      </c>
      <c r="K2160" s="100" t="e">
        <f t="shared" ca="1" si="370"/>
        <v>#NAME?</v>
      </c>
      <c r="L2160" s="100"/>
      <c r="M2160" s="100"/>
      <c r="N2160" s="100"/>
      <c r="O2160" s="100"/>
      <c r="P2160" s="100"/>
      <c r="Q2160" s="100"/>
      <c r="R2160" s="100"/>
      <c r="S2160" s="100"/>
      <c r="T2160" s="100"/>
      <c r="U2160" s="100"/>
      <c r="V2160" s="100"/>
      <c r="W2160" s="100"/>
      <c r="X2160" s="100"/>
      <c r="Y2160" s="100"/>
      <c r="Z2160" s="100"/>
    </row>
    <row r="2161" spans="1:26">
      <c r="A2161" s="100" t="e">
        <f ca="1">IFERROR(__xludf.DUMMYFUNCTION("""COMPUTED_VALUE"""),58785496)</f>
        <v>#NAME?</v>
      </c>
      <c r="B2161" s="100" t="e">
        <f ca="1">IFERROR(__xludf.DUMMYFUNCTION("""COMPUTED_VALUE"""),"STXTRY")</f>
        <v>#NAME?</v>
      </c>
      <c r="C2161" s="100" t="e">
        <f ca="1">IFERROR(__xludf.DUMMYFUNCTION("""COMPUTED_VALUE"""),"28.62000000")</f>
        <v>#NAME?</v>
      </c>
      <c r="D2161" s="100" t="e">
        <f t="shared" ca="1" si="372"/>
        <v>#NAME?</v>
      </c>
      <c r="E2161" s="100" t="e">
        <f t="shared" ca="1" si="372"/>
        <v>#NAME?</v>
      </c>
      <c r="F2161" s="100" t="e">
        <f t="shared" ca="1" si="366"/>
        <v>#NAME?</v>
      </c>
      <c r="G2161" s="100" t="e">
        <f t="shared" ca="1" si="367"/>
        <v>#NAME?</v>
      </c>
      <c r="H2161" s="100" t="e">
        <f t="shared" ca="1" si="368"/>
        <v>#NAME?</v>
      </c>
      <c r="I2161" s="100" t="e">
        <f t="shared" ca="1" si="369"/>
        <v>#NAME?</v>
      </c>
      <c r="J2161" s="100" t="e">
        <f ca="1">IFERROR(__xludf.DUMMYFUNCTION("""COMPUTED_VALUE"""),"6.751")</f>
        <v>#NAME?</v>
      </c>
      <c r="K2161" s="100" t="e">
        <f t="shared" ca="1" si="370"/>
        <v>#NAME?</v>
      </c>
      <c r="L2161" s="100"/>
      <c r="M2161" s="100"/>
      <c r="N2161" s="100"/>
      <c r="O2161" s="100"/>
      <c r="P2161" s="100"/>
      <c r="Q2161" s="100"/>
      <c r="R2161" s="100"/>
      <c r="S2161" s="100"/>
      <c r="T2161" s="100"/>
      <c r="U2161" s="100"/>
      <c r="V2161" s="100"/>
      <c r="W2161" s="100"/>
      <c r="X2161" s="100"/>
      <c r="Y2161" s="100"/>
      <c r="Z2161" s="100"/>
    </row>
    <row r="2162" spans="1:26">
      <c r="A2162" s="100" t="e">
        <f ca="1">IFERROR(__xludf.DUMMYFUNCTION("""COMPUTED_VALUE"""),58785497)</f>
        <v>#NAME?</v>
      </c>
      <c r="B2162" s="100" t="e">
        <f ca="1">IFERROR(__xludf.DUMMYFUNCTION("""COMPUTED_VALUE"""),"USTCUSDT")</f>
        <v>#NAME?</v>
      </c>
      <c r="C2162" s="100" t="e">
        <f ca="1">IFERROR(__xludf.DUMMYFUNCTION("""COMPUTED_VALUE"""),"0.01198000")</f>
        <v>#NAME?</v>
      </c>
      <c r="D2162" s="100" t="e">
        <f t="shared" ref="D2162:E2181" ca="1" si="373">IFERROR(__xludf.DUMMYFUNCTION("""COMPUTED_VALUE"""),"-")</f>
        <v>#NAME?</v>
      </c>
      <c r="E2162" s="100" t="e">
        <f t="shared" ca="1" si="373"/>
        <v>#NAME?</v>
      </c>
      <c r="F2162" s="100" t="e">
        <f t="shared" ca="1" si="366"/>
        <v>#NAME?</v>
      </c>
      <c r="G2162" s="100" t="e">
        <f t="shared" ca="1" si="367"/>
        <v>#NAME?</v>
      </c>
      <c r="H2162" s="100" t="e">
        <f t="shared" ca="1" si="368"/>
        <v>#NAME?</v>
      </c>
      <c r="I2162" s="100" t="e">
        <f t="shared" ca="1" si="369"/>
        <v>#NAME?</v>
      </c>
      <c r="J2162" s="100" t="e">
        <f ca="1">IFERROR(__xludf.DUMMYFUNCTION("""COMPUTED_VALUE"""),"-3.309")</f>
        <v>#NAME?</v>
      </c>
      <c r="K2162" s="100" t="e">
        <f t="shared" ca="1" si="370"/>
        <v>#NAME?</v>
      </c>
      <c r="L2162" s="100"/>
      <c r="M2162" s="100"/>
      <c r="N2162" s="100"/>
      <c r="O2162" s="100"/>
      <c r="P2162" s="100"/>
      <c r="Q2162" s="100"/>
      <c r="R2162" s="100"/>
      <c r="S2162" s="100"/>
      <c r="T2162" s="100"/>
      <c r="U2162" s="100"/>
      <c r="V2162" s="100"/>
      <c r="W2162" s="100"/>
      <c r="X2162" s="100"/>
      <c r="Y2162" s="100"/>
      <c r="Z2162" s="100"/>
    </row>
    <row r="2163" spans="1:26">
      <c r="A2163" s="100" t="e">
        <f ca="1">IFERROR(__xludf.DUMMYFUNCTION("""COMPUTED_VALUE"""),58785498)</f>
        <v>#NAME?</v>
      </c>
      <c r="B2163" s="100" t="e">
        <f ca="1">IFERROR(__xludf.DUMMYFUNCTION("""COMPUTED_VALUE"""),"GASUSDT")</f>
        <v>#NAME?</v>
      </c>
      <c r="C2163" s="100" t="e">
        <f ca="1">IFERROR(__xludf.DUMMYFUNCTION("""COMPUTED_VALUE"""),"3.26200000")</f>
        <v>#NAME?</v>
      </c>
      <c r="D2163" s="100" t="e">
        <f t="shared" ca="1" si="373"/>
        <v>#NAME?</v>
      </c>
      <c r="E2163" s="100" t="e">
        <f t="shared" ca="1" si="373"/>
        <v>#NAME?</v>
      </c>
      <c r="F2163" s="100" t="e">
        <f t="shared" ca="1" si="366"/>
        <v>#NAME?</v>
      </c>
      <c r="G2163" s="100" t="e">
        <f t="shared" ca="1" si="367"/>
        <v>#NAME?</v>
      </c>
      <c r="H2163" s="100" t="e">
        <f t="shared" ca="1" si="368"/>
        <v>#NAME?</v>
      </c>
      <c r="I2163" s="100" t="e">
        <f t="shared" ca="1" si="369"/>
        <v>#NAME?</v>
      </c>
      <c r="J2163" s="100" t="e">
        <f ca="1">IFERROR(__xludf.DUMMYFUNCTION("""COMPUTED_VALUE"""),"-8.009")</f>
        <v>#NAME?</v>
      </c>
      <c r="K2163" s="100" t="e">
        <f t="shared" ca="1" si="370"/>
        <v>#NAME?</v>
      </c>
      <c r="L2163" s="100"/>
      <c r="M2163" s="100"/>
      <c r="N2163" s="100"/>
      <c r="O2163" s="100"/>
      <c r="P2163" s="100"/>
      <c r="Q2163" s="100"/>
      <c r="R2163" s="100"/>
      <c r="S2163" s="100"/>
      <c r="T2163" s="100"/>
      <c r="U2163" s="100"/>
      <c r="V2163" s="100"/>
      <c r="W2163" s="100"/>
      <c r="X2163" s="100"/>
      <c r="Y2163" s="100"/>
      <c r="Z2163" s="100"/>
    </row>
    <row r="2164" spans="1:26">
      <c r="A2164" s="100" t="e">
        <f ca="1">IFERROR(__xludf.DUMMYFUNCTION("""COMPUTED_VALUE"""),58785499)</f>
        <v>#NAME?</v>
      </c>
      <c r="B2164" s="100" t="e">
        <f ca="1">IFERROR(__xludf.DUMMYFUNCTION("""COMPUTED_VALUE"""),"GLMUSDT")</f>
        <v>#NAME?</v>
      </c>
      <c r="C2164" s="100" t="e">
        <f ca="1">IFERROR(__xludf.DUMMYFUNCTION("""COMPUTED_VALUE"""),"0.25930000")</f>
        <v>#NAME?</v>
      </c>
      <c r="D2164" s="100" t="e">
        <f t="shared" ca="1" si="373"/>
        <v>#NAME?</v>
      </c>
      <c r="E2164" s="100" t="e">
        <f t="shared" ca="1" si="373"/>
        <v>#NAME?</v>
      </c>
      <c r="F2164" s="100" t="e">
        <f t="shared" ca="1" si="366"/>
        <v>#NAME?</v>
      </c>
      <c r="G2164" s="100" t="e">
        <f t="shared" ca="1" si="367"/>
        <v>#NAME?</v>
      </c>
      <c r="H2164" s="100" t="e">
        <f t="shared" ca="1" si="368"/>
        <v>#NAME?</v>
      </c>
      <c r="I2164" s="100" t="e">
        <f t="shared" ca="1" si="369"/>
        <v>#NAME?</v>
      </c>
      <c r="J2164" s="100" t="e">
        <f ca="1">IFERROR(__xludf.DUMMYFUNCTION("""COMPUTED_VALUE"""),"-3.354")</f>
        <v>#NAME?</v>
      </c>
      <c r="K2164" s="100" t="e">
        <f t="shared" ca="1" si="370"/>
        <v>#NAME?</v>
      </c>
      <c r="L2164" s="100"/>
      <c r="M2164" s="100"/>
      <c r="N2164" s="100"/>
      <c r="O2164" s="100"/>
      <c r="P2164" s="100"/>
      <c r="Q2164" s="100"/>
      <c r="R2164" s="100"/>
      <c r="S2164" s="100"/>
      <c r="T2164" s="100"/>
      <c r="U2164" s="100"/>
      <c r="V2164" s="100"/>
      <c r="W2164" s="100"/>
      <c r="X2164" s="100"/>
      <c r="Y2164" s="100"/>
      <c r="Z2164" s="100"/>
    </row>
    <row r="2165" spans="1:26">
      <c r="A2165" s="100" t="e">
        <f ca="1">IFERROR(__xludf.DUMMYFUNCTION("""COMPUTED_VALUE"""),58785500)</f>
        <v>#NAME?</v>
      </c>
      <c r="B2165" s="100" t="e">
        <f ca="1">IFERROR(__xludf.DUMMYFUNCTION("""COMPUTED_VALUE"""),"PROMUSDT")</f>
        <v>#NAME?</v>
      </c>
      <c r="C2165" s="100" t="e">
        <f ca="1">IFERROR(__xludf.DUMMYFUNCTION("""COMPUTED_VALUE"""),"5.79900000")</f>
        <v>#NAME?</v>
      </c>
      <c r="D2165" s="100" t="e">
        <f t="shared" ca="1" si="373"/>
        <v>#NAME?</v>
      </c>
      <c r="E2165" s="100" t="e">
        <f t="shared" ca="1" si="373"/>
        <v>#NAME?</v>
      </c>
      <c r="F2165" s="100" t="e">
        <f t="shared" ca="1" si="366"/>
        <v>#NAME?</v>
      </c>
      <c r="G2165" s="100" t="e">
        <f t="shared" ca="1" si="367"/>
        <v>#NAME?</v>
      </c>
      <c r="H2165" s="100" t="e">
        <f t="shared" ca="1" si="368"/>
        <v>#NAME?</v>
      </c>
      <c r="I2165" s="100" t="e">
        <f t="shared" ca="1" si="369"/>
        <v>#NAME?</v>
      </c>
      <c r="J2165" s="100" t="e">
        <f ca="1">IFERROR(__xludf.DUMMYFUNCTION("""COMPUTED_VALUE"""),"-1.378")</f>
        <v>#NAME?</v>
      </c>
      <c r="K2165" s="100" t="e">
        <f t="shared" ca="1" si="370"/>
        <v>#NAME?</v>
      </c>
      <c r="L2165" s="100"/>
      <c r="M2165" s="100"/>
      <c r="N2165" s="100"/>
      <c r="O2165" s="100"/>
      <c r="P2165" s="100"/>
      <c r="Q2165" s="100"/>
      <c r="R2165" s="100"/>
      <c r="S2165" s="100"/>
      <c r="T2165" s="100"/>
      <c r="U2165" s="100"/>
      <c r="V2165" s="100"/>
      <c r="W2165" s="100"/>
      <c r="X2165" s="100"/>
      <c r="Y2165" s="100"/>
      <c r="Z2165" s="100"/>
    </row>
    <row r="2166" spans="1:26">
      <c r="A2166" s="100" t="e">
        <f ca="1">IFERROR(__xludf.DUMMYFUNCTION("""COMPUTED_VALUE"""),58785501)</f>
        <v>#NAME?</v>
      </c>
      <c r="B2166" s="100" t="e">
        <f ca="1">IFERROR(__xludf.DUMMYFUNCTION("""COMPUTED_VALUE"""),"QKCUSDT")</f>
        <v>#NAME?</v>
      </c>
      <c r="C2166" s="100" t="e">
        <f ca="1">IFERROR(__xludf.DUMMYFUNCTION("""COMPUTED_VALUE"""),"0.00762500")</f>
        <v>#NAME?</v>
      </c>
      <c r="D2166" s="100" t="e">
        <f t="shared" ca="1" si="373"/>
        <v>#NAME?</v>
      </c>
      <c r="E2166" s="100" t="e">
        <f t="shared" ca="1" si="373"/>
        <v>#NAME?</v>
      </c>
      <c r="F2166" s="100" t="e">
        <f t="shared" ca="1" si="366"/>
        <v>#NAME?</v>
      </c>
      <c r="G2166" s="100" t="e">
        <f t="shared" ca="1" si="367"/>
        <v>#NAME?</v>
      </c>
      <c r="H2166" s="100" t="e">
        <f t="shared" ca="1" si="368"/>
        <v>#NAME?</v>
      </c>
      <c r="I2166" s="100" t="e">
        <f t="shared" ca="1" si="369"/>
        <v>#NAME?</v>
      </c>
      <c r="J2166" s="100" t="e">
        <f ca="1">IFERROR(__xludf.DUMMYFUNCTION("""COMPUTED_VALUE"""),"-2.193")</f>
        <v>#NAME?</v>
      </c>
      <c r="K2166" s="100" t="e">
        <f t="shared" ca="1" si="370"/>
        <v>#NAME?</v>
      </c>
      <c r="L2166" s="100"/>
      <c r="M2166" s="100"/>
      <c r="N2166" s="100"/>
      <c r="O2166" s="100"/>
      <c r="P2166" s="100"/>
      <c r="Q2166" s="100"/>
      <c r="R2166" s="100"/>
      <c r="S2166" s="100"/>
      <c r="T2166" s="100"/>
      <c r="U2166" s="100"/>
      <c r="V2166" s="100"/>
      <c r="W2166" s="100"/>
      <c r="X2166" s="100"/>
      <c r="Y2166" s="100"/>
      <c r="Z2166" s="100"/>
    </row>
    <row r="2167" spans="1:26">
      <c r="A2167" s="100" t="e">
        <f ca="1">IFERROR(__xludf.DUMMYFUNCTION("""COMPUTED_VALUE"""),58785502)</f>
        <v>#NAME?</v>
      </c>
      <c r="B2167" s="100" t="e">
        <f ca="1">IFERROR(__xludf.DUMMYFUNCTION("""COMPUTED_VALUE"""),"UFTUSDT")</f>
        <v>#NAME?</v>
      </c>
      <c r="C2167" s="100" t="e">
        <f ca="1">IFERROR(__xludf.DUMMYFUNCTION("""COMPUTED_VALUE"""),"0.00890000")</f>
        <v>#NAME?</v>
      </c>
      <c r="D2167" s="100" t="e">
        <f t="shared" ca="1" si="373"/>
        <v>#NAME?</v>
      </c>
      <c r="E2167" s="100" t="e">
        <f t="shared" ca="1" si="373"/>
        <v>#NAME?</v>
      </c>
      <c r="F2167" s="100" t="e">
        <f t="shared" ca="1" si="366"/>
        <v>#NAME?</v>
      </c>
      <c r="G2167" s="100" t="e">
        <f t="shared" ca="1" si="367"/>
        <v>#NAME?</v>
      </c>
      <c r="H2167" s="100" t="e">
        <f t="shared" ca="1" si="368"/>
        <v>#NAME?</v>
      </c>
      <c r="I2167" s="100" t="e">
        <f t="shared" ca="1" si="369"/>
        <v>#NAME?</v>
      </c>
      <c r="J2167" s="100" t="e">
        <f ca="1">IFERROR(__xludf.DUMMYFUNCTION("""COMPUTED_VALUE"""),"-30.469")</f>
        <v>#NAME?</v>
      </c>
      <c r="K2167" s="100" t="e">
        <f t="shared" ca="1" si="370"/>
        <v>#NAME?</v>
      </c>
      <c r="L2167" s="100"/>
      <c r="M2167" s="100"/>
      <c r="N2167" s="100"/>
      <c r="O2167" s="100"/>
      <c r="P2167" s="100"/>
      <c r="Q2167" s="100"/>
      <c r="R2167" s="100"/>
      <c r="S2167" s="100"/>
      <c r="T2167" s="100"/>
      <c r="U2167" s="100"/>
      <c r="V2167" s="100"/>
      <c r="W2167" s="100"/>
      <c r="X2167" s="100"/>
      <c r="Y2167" s="100"/>
      <c r="Z2167" s="100"/>
    </row>
    <row r="2168" spans="1:26">
      <c r="A2168" s="100" t="e">
        <f ca="1">IFERROR(__xludf.DUMMYFUNCTION("""COMPUTED_VALUE"""),58785503)</f>
        <v>#NAME?</v>
      </c>
      <c r="B2168" s="100" t="e">
        <f ca="1">IFERROR(__xludf.DUMMYFUNCTION("""COMPUTED_VALUE"""),"IDBTC")</f>
        <v>#NAME?</v>
      </c>
      <c r="C2168" s="100" t="e">
        <f ca="1">IFERROR(__xludf.DUMMYFUNCTION("""COMPUTED_VALUE"""),"0.00000204")</f>
        <v>#NAME?</v>
      </c>
      <c r="D2168" s="100" t="e">
        <f t="shared" ca="1" si="373"/>
        <v>#NAME?</v>
      </c>
      <c r="E2168" s="100" t="e">
        <f t="shared" ca="1" si="373"/>
        <v>#NAME?</v>
      </c>
      <c r="F2168" s="100" t="e">
        <f t="shared" ca="1" si="366"/>
        <v>#NAME?</v>
      </c>
      <c r="G2168" s="100" t="e">
        <f t="shared" ca="1" si="367"/>
        <v>#NAME?</v>
      </c>
      <c r="H2168" s="100" t="e">
        <f t="shared" ca="1" si="368"/>
        <v>#NAME?</v>
      </c>
      <c r="I2168" s="100" t="e">
        <f t="shared" ca="1" si="369"/>
        <v>#NAME?</v>
      </c>
      <c r="J2168" s="100" t="e">
        <f ca="1">IFERROR(__xludf.DUMMYFUNCTION("""COMPUTED_VALUE"""),"-4.225")</f>
        <v>#NAME?</v>
      </c>
      <c r="K2168" s="100" t="e">
        <f t="shared" ca="1" si="370"/>
        <v>#NAME?</v>
      </c>
      <c r="L2168" s="100"/>
      <c r="M2168" s="100"/>
      <c r="N2168" s="100"/>
      <c r="O2168" s="100"/>
      <c r="P2168" s="100"/>
      <c r="Q2168" s="100"/>
      <c r="R2168" s="100"/>
      <c r="S2168" s="100"/>
      <c r="T2168" s="100"/>
      <c r="U2168" s="100"/>
      <c r="V2168" s="100"/>
      <c r="W2168" s="100"/>
      <c r="X2168" s="100"/>
      <c r="Y2168" s="100"/>
      <c r="Z2168" s="100"/>
    </row>
    <row r="2169" spans="1:26">
      <c r="A2169" s="100" t="e">
        <f ca="1">IFERROR(__xludf.DUMMYFUNCTION("""COMPUTED_VALUE"""),58785504)</f>
        <v>#NAME?</v>
      </c>
      <c r="B2169" s="100" t="e">
        <f ca="1">IFERROR(__xludf.DUMMYFUNCTION("""COMPUTED_VALUE"""),"IDBNB")</f>
        <v>#NAME?</v>
      </c>
      <c r="C2169" s="100" t="e">
        <f ca="1">IFERROR(__xludf.DUMMYFUNCTION("""COMPUTED_VALUE"""),"0.00094930")</f>
        <v>#NAME?</v>
      </c>
      <c r="D2169" s="100" t="e">
        <f t="shared" ca="1" si="373"/>
        <v>#NAME?</v>
      </c>
      <c r="E2169" s="100" t="e">
        <f t="shared" ca="1" si="373"/>
        <v>#NAME?</v>
      </c>
      <c r="F2169" s="100" t="e">
        <f t="shared" ca="1" si="366"/>
        <v>#NAME?</v>
      </c>
      <c r="G2169" s="100" t="e">
        <f t="shared" ca="1" si="367"/>
        <v>#NAME?</v>
      </c>
      <c r="H2169" s="100" t="e">
        <f t="shared" ca="1" si="368"/>
        <v>#NAME?</v>
      </c>
      <c r="I2169" s="100" t="e">
        <f t="shared" ca="1" si="369"/>
        <v>#NAME?</v>
      </c>
      <c r="J2169" s="100" t="e">
        <f ca="1">IFERROR(__xludf.DUMMYFUNCTION("""COMPUTED_VALUE"""),"0")</f>
        <v>#NAME?</v>
      </c>
      <c r="K2169" s="100" t="e">
        <f t="shared" ca="1" si="370"/>
        <v>#NAME?</v>
      </c>
      <c r="L2169" s="100"/>
      <c r="M2169" s="100"/>
      <c r="N2169" s="100"/>
      <c r="O2169" s="100"/>
      <c r="P2169" s="100"/>
      <c r="Q2169" s="100"/>
      <c r="R2169" s="100"/>
      <c r="S2169" s="100"/>
      <c r="T2169" s="100"/>
      <c r="U2169" s="100"/>
      <c r="V2169" s="100"/>
      <c r="W2169" s="100"/>
      <c r="X2169" s="100"/>
      <c r="Y2169" s="100"/>
      <c r="Z2169" s="100"/>
    </row>
    <row r="2170" spans="1:26">
      <c r="A2170" s="100" t="e">
        <f ca="1">IFERROR(__xludf.DUMMYFUNCTION("""COMPUTED_VALUE"""),58785505)</f>
        <v>#NAME?</v>
      </c>
      <c r="B2170" s="100" t="e">
        <f ca="1">IFERROR(__xludf.DUMMYFUNCTION("""COMPUTED_VALUE"""),"IDUSDT")</f>
        <v>#NAME?</v>
      </c>
      <c r="C2170" s="100" t="e">
        <f ca="1">IFERROR(__xludf.DUMMYFUNCTION("""COMPUTED_VALUE"""),"0.18100000")</f>
        <v>#NAME?</v>
      </c>
      <c r="D2170" s="100" t="e">
        <f t="shared" ca="1" si="373"/>
        <v>#NAME?</v>
      </c>
      <c r="E2170" s="100" t="e">
        <f t="shared" ca="1" si="373"/>
        <v>#NAME?</v>
      </c>
      <c r="F2170" s="100" t="e">
        <f t="shared" ca="1" si="366"/>
        <v>#NAME?</v>
      </c>
      <c r="G2170" s="100" t="e">
        <f t="shared" ca="1" si="367"/>
        <v>#NAME?</v>
      </c>
      <c r="H2170" s="100" t="e">
        <f t="shared" ca="1" si="368"/>
        <v>#NAME?</v>
      </c>
      <c r="I2170" s="100" t="e">
        <f t="shared" ca="1" si="369"/>
        <v>#NAME?</v>
      </c>
      <c r="J2170" s="100" t="e">
        <f ca="1">IFERROR(__xludf.DUMMYFUNCTION("""COMPUTED_VALUE"""),"-2.426")</f>
        <v>#NAME?</v>
      </c>
      <c r="K2170" s="100" t="e">
        <f t="shared" ca="1" si="370"/>
        <v>#NAME?</v>
      </c>
      <c r="L2170" s="100"/>
      <c r="M2170" s="100"/>
      <c r="N2170" s="100"/>
      <c r="O2170" s="100"/>
      <c r="P2170" s="100"/>
      <c r="Q2170" s="100"/>
      <c r="R2170" s="100"/>
      <c r="S2170" s="100"/>
      <c r="T2170" s="100"/>
      <c r="U2170" s="100"/>
      <c r="V2170" s="100"/>
      <c r="W2170" s="100"/>
      <c r="X2170" s="100"/>
      <c r="Y2170" s="100"/>
      <c r="Z2170" s="100"/>
    </row>
    <row r="2171" spans="1:26">
      <c r="A2171" s="100" t="e">
        <f ca="1">IFERROR(__xludf.DUMMYFUNCTION("""COMPUTED_VALUE"""),58785506)</f>
        <v>#NAME?</v>
      </c>
      <c r="B2171" s="100" t="e">
        <f ca="1">IFERROR(__xludf.DUMMYFUNCTION("""COMPUTED_VALUE"""),"ARBBTC")</f>
        <v>#NAME?</v>
      </c>
      <c r="C2171" s="100" t="e">
        <f ca="1">IFERROR(__xludf.DUMMYFUNCTION("""COMPUTED_VALUE"""),"0.00000339")</f>
        <v>#NAME?</v>
      </c>
      <c r="D2171" s="100" t="e">
        <f t="shared" ca="1" si="373"/>
        <v>#NAME?</v>
      </c>
      <c r="E2171" s="100" t="e">
        <f t="shared" ca="1" si="373"/>
        <v>#NAME?</v>
      </c>
      <c r="F2171" s="100" t="e">
        <f t="shared" ca="1" si="366"/>
        <v>#NAME?</v>
      </c>
      <c r="G2171" s="100" t="e">
        <f t="shared" ca="1" si="367"/>
        <v>#NAME?</v>
      </c>
      <c r="H2171" s="100" t="e">
        <f t="shared" ca="1" si="368"/>
        <v>#NAME?</v>
      </c>
      <c r="I2171" s="100" t="e">
        <f t="shared" ca="1" si="369"/>
        <v>#NAME?</v>
      </c>
      <c r="J2171" s="100" t="e">
        <f ca="1">IFERROR(__xludf.DUMMYFUNCTION("""COMPUTED_VALUE"""),"-5.042")</f>
        <v>#NAME?</v>
      </c>
      <c r="K2171" s="100" t="e">
        <f t="shared" ca="1" si="370"/>
        <v>#NAME?</v>
      </c>
      <c r="L2171" s="100"/>
      <c r="M2171" s="100"/>
      <c r="N2171" s="100"/>
      <c r="O2171" s="100"/>
      <c r="P2171" s="100"/>
      <c r="Q2171" s="100"/>
      <c r="R2171" s="100"/>
      <c r="S2171" s="100"/>
      <c r="T2171" s="100"/>
      <c r="U2171" s="100"/>
      <c r="V2171" s="100"/>
      <c r="W2171" s="100"/>
      <c r="X2171" s="100"/>
      <c r="Y2171" s="100"/>
      <c r="Z2171" s="100"/>
    </row>
    <row r="2172" spans="1:26">
      <c r="A2172" s="100" t="e">
        <f ca="1">IFERROR(__xludf.DUMMYFUNCTION("""COMPUTED_VALUE"""),58785507)</f>
        <v>#NAME?</v>
      </c>
      <c r="B2172" s="100" t="e">
        <f ca="1">IFERROR(__xludf.DUMMYFUNCTION("""COMPUTED_VALUE"""),"ARBUSDT")</f>
        <v>#NAME?</v>
      </c>
      <c r="C2172" s="100" t="e">
        <f ca="1">IFERROR(__xludf.DUMMYFUNCTION("""COMPUTED_VALUE"""),"0.30060000")</f>
        <v>#NAME?</v>
      </c>
      <c r="D2172" s="100" t="e">
        <f t="shared" ca="1" si="373"/>
        <v>#NAME?</v>
      </c>
      <c r="E2172" s="100" t="e">
        <f t="shared" ca="1" si="373"/>
        <v>#NAME?</v>
      </c>
      <c r="F2172" s="100" t="e">
        <f t="shared" ca="1" si="366"/>
        <v>#NAME?</v>
      </c>
      <c r="G2172" s="100" t="e">
        <f t="shared" ca="1" si="367"/>
        <v>#NAME?</v>
      </c>
      <c r="H2172" s="100" t="e">
        <f t="shared" ca="1" si="368"/>
        <v>#NAME?</v>
      </c>
      <c r="I2172" s="100" t="e">
        <f t="shared" ca="1" si="369"/>
        <v>#NAME?</v>
      </c>
      <c r="J2172" s="100" t="e">
        <f ca="1">IFERROR(__xludf.DUMMYFUNCTION("""COMPUTED_VALUE"""),"-3.686")</f>
        <v>#NAME?</v>
      </c>
      <c r="K2172" s="100" t="e">
        <f t="shared" ca="1" si="370"/>
        <v>#NAME?</v>
      </c>
      <c r="L2172" s="100"/>
      <c r="M2172" s="100"/>
      <c r="N2172" s="100"/>
      <c r="O2172" s="100"/>
      <c r="P2172" s="100"/>
      <c r="Q2172" s="100"/>
      <c r="R2172" s="100"/>
      <c r="S2172" s="100"/>
      <c r="T2172" s="100"/>
      <c r="U2172" s="100"/>
      <c r="V2172" s="100"/>
      <c r="W2172" s="100"/>
      <c r="X2172" s="100"/>
      <c r="Y2172" s="100"/>
      <c r="Z2172" s="100"/>
    </row>
    <row r="2173" spans="1:26">
      <c r="A2173" s="100" t="e">
        <f ca="1">IFERROR(__xludf.DUMMYFUNCTION("""COMPUTED_VALUE"""),58785508)</f>
        <v>#NAME?</v>
      </c>
      <c r="B2173" s="100" t="e">
        <f ca="1">IFERROR(__xludf.DUMMYFUNCTION("""COMPUTED_VALUE"""),"AGIXTRY")</f>
        <v>#NAME?</v>
      </c>
      <c r="C2173" s="100" t="e">
        <f ca="1">IFERROR(__xludf.DUMMYFUNCTION("""COMPUTED_VALUE"""),"20.14000000")</f>
        <v>#NAME?</v>
      </c>
      <c r="D2173" s="100" t="e">
        <f t="shared" ca="1" si="373"/>
        <v>#NAME?</v>
      </c>
      <c r="E2173" s="100" t="e">
        <f t="shared" ca="1" si="373"/>
        <v>#NAME?</v>
      </c>
      <c r="F2173" s="100" t="e">
        <f t="shared" ca="1" si="366"/>
        <v>#NAME?</v>
      </c>
      <c r="G2173" s="100" t="e">
        <f t="shared" ca="1" si="367"/>
        <v>#NAME?</v>
      </c>
      <c r="H2173" s="100" t="e">
        <f t="shared" ca="1" si="368"/>
        <v>#NAME?</v>
      </c>
      <c r="I2173" s="100" t="e">
        <f t="shared" ca="1" si="369"/>
        <v>#NAME?</v>
      </c>
      <c r="J2173" s="100" t="e">
        <f ca="1">IFERROR(__xludf.DUMMYFUNCTION("""COMPUTED_VALUE"""),"0")</f>
        <v>#NAME?</v>
      </c>
      <c r="K2173" s="100" t="e">
        <f t="shared" ca="1" si="370"/>
        <v>#NAME?</v>
      </c>
      <c r="L2173" s="100"/>
      <c r="M2173" s="100"/>
      <c r="N2173" s="100"/>
      <c r="O2173" s="100"/>
      <c r="P2173" s="100"/>
      <c r="Q2173" s="100"/>
      <c r="R2173" s="100"/>
      <c r="S2173" s="100"/>
      <c r="T2173" s="100"/>
      <c r="U2173" s="100"/>
      <c r="V2173" s="100"/>
      <c r="W2173" s="100"/>
      <c r="X2173" s="100"/>
      <c r="Y2173" s="100"/>
      <c r="Z2173" s="100"/>
    </row>
    <row r="2174" spans="1:26">
      <c r="A2174" s="100" t="e">
        <f ca="1">IFERROR(__xludf.DUMMYFUNCTION("""COMPUTED_VALUE"""),58785509)</f>
        <v>#NAME?</v>
      </c>
      <c r="B2174" s="100" t="e">
        <f ca="1">IFERROR(__xludf.DUMMYFUNCTION("""COMPUTED_VALUE"""),"LOOMUSDT")</f>
        <v>#NAME?</v>
      </c>
      <c r="C2174" s="100" t="e">
        <f ca="1">IFERROR(__xludf.DUMMYFUNCTION("""COMPUTED_VALUE"""),"0.04831000")</f>
        <v>#NAME?</v>
      </c>
      <c r="D2174" s="100" t="e">
        <f t="shared" ca="1" si="373"/>
        <v>#NAME?</v>
      </c>
      <c r="E2174" s="100" t="e">
        <f t="shared" ca="1" si="373"/>
        <v>#NAME?</v>
      </c>
      <c r="F2174" s="100" t="e">
        <f t="shared" ca="1" si="366"/>
        <v>#NAME?</v>
      </c>
      <c r="G2174" s="100" t="e">
        <f t="shared" ca="1" si="367"/>
        <v>#NAME?</v>
      </c>
      <c r="H2174" s="100" t="e">
        <f t="shared" ca="1" si="368"/>
        <v>#NAME?</v>
      </c>
      <c r="I2174" s="100" t="e">
        <f t="shared" ca="1" si="369"/>
        <v>#NAME?</v>
      </c>
      <c r="J2174" s="100" t="e">
        <f ca="1">IFERROR(__xludf.DUMMYFUNCTION("""COMPUTED_VALUE"""),"0")</f>
        <v>#NAME?</v>
      </c>
      <c r="K2174" s="100" t="e">
        <f t="shared" ca="1" si="370"/>
        <v>#NAME?</v>
      </c>
      <c r="L2174" s="100"/>
      <c r="M2174" s="100"/>
      <c r="N2174" s="100"/>
      <c r="O2174" s="100"/>
      <c r="P2174" s="100"/>
      <c r="Q2174" s="100"/>
      <c r="R2174" s="100"/>
      <c r="S2174" s="100"/>
      <c r="T2174" s="100"/>
      <c r="U2174" s="100"/>
      <c r="V2174" s="100"/>
      <c r="W2174" s="100"/>
      <c r="X2174" s="100"/>
      <c r="Y2174" s="100"/>
      <c r="Z2174" s="100"/>
    </row>
    <row r="2175" spans="1:26">
      <c r="A2175" s="100" t="e">
        <f ca="1">IFERROR(__xludf.DUMMYFUNCTION("""COMPUTED_VALUE"""),58785510)</f>
        <v>#NAME?</v>
      </c>
      <c r="B2175" s="100" t="e">
        <f ca="1">IFERROR(__xludf.DUMMYFUNCTION("""COMPUTED_VALUE"""),"OAXUSDT")</f>
        <v>#NAME?</v>
      </c>
      <c r="C2175" s="100" t="e">
        <f ca="1">IFERROR(__xludf.DUMMYFUNCTION("""COMPUTED_VALUE"""),"0.03580000")</f>
        <v>#NAME?</v>
      </c>
      <c r="D2175" s="100" t="e">
        <f t="shared" ca="1" si="373"/>
        <v>#NAME?</v>
      </c>
      <c r="E2175" s="100" t="e">
        <f t="shared" ca="1" si="373"/>
        <v>#NAME?</v>
      </c>
      <c r="F2175" s="100" t="e">
        <f t="shared" ca="1" si="366"/>
        <v>#NAME?</v>
      </c>
      <c r="G2175" s="100" t="e">
        <f t="shared" ca="1" si="367"/>
        <v>#NAME?</v>
      </c>
      <c r="H2175" s="100" t="e">
        <f t="shared" ca="1" si="368"/>
        <v>#NAME?</v>
      </c>
      <c r="I2175" s="100" t="e">
        <f t="shared" ca="1" si="369"/>
        <v>#NAME?</v>
      </c>
      <c r="J2175" s="100" t="e">
        <f ca="1">IFERROR(__xludf.DUMMYFUNCTION("""COMPUTED_VALUE"""),"0")</f>
        <v>#NAME?</v>
      </c>
      <c r="K2175" s="100" t="e">
        <f t="shared" ca="1" si="370"/>
        <v>#NAME?</v>
      </c>
      <c r="L2175" s="100"/>
      <c r="M2175" s="100"/>
      <c r="N2175" s="100"/>
      <c r="O2175" s="100"/>
      <c r="P2175" s="100"/>
      <c r="Q2175" s="100"/>
      <c r="R2175" s="100"/>
      <c r="S2175" s="100"/>
      <c r="T2175" s="100"/>
      <c r="U2175" s="100"/>
      <c r="V2175" s="100"/>
      <c r="W2175" s="100"/>
      <c r="X2175" s="100"/>
      <c r="Y2175" s="100"/>
      <c r="Z2175" s="100"/>
    </row>
    <row r="2176" spans="1:26">
      <c r="A2176" s="100" t="e">
        <f ca="1">IFERROR(__xludf.DUMMYFUNCTION("""COMPUTED_VALUE"""),58785511)</f>
        <v>#NAME?</v>
      </c>
      <c r="B2176" s="100" t="e">
        <f ca="1">IFERROR(__xludf.DUMMYFUNCTION("""COMPUTED_VALUE"""),"ARBTUSD")</f>
        <v>#NAME?</v>
      </c>
      <c r="C2176" s="100" t="e">
        <f ca="1">IFERROR(__xludf.DUMMYFUNCTION("""COMPUTED_VALUE"""),"0.30110000")</f>
        <v>#NAME?</v>
      </c>
      <c r="D2176" s="100" t="e">
        <f t="shared" ca="1" si="373"/>
        <v>#NAME?</v>
      </c>
      <c r="E2176" s="100" t="e">
        <f t="shared" ca="1" si="373"/>
        <v>#NAME?</v>
      </c>
      <c r="F2176" s="100" t="e">
        <f t="shared" ca="1" si="366"/>
        <v>#NAME?</v>
      </c>
      <c r="G2176" s="100" t="e">
        <f t="shared" ca="1" si="367"/>
        <v>#NAME?</v>
      </c>
      <c r="H2176" s="100" t="e">
        <f t="shared" ca="1" si="368"/>
        <v>#NAME?</v>
      </c>
      <c r="I2176" s="100" t="e">
        <f t="shared" ca="1" si="369"/>
        <v>#NAME?</v>
      </c>
      <c r="J2176" s="100" t="e">
        <f ca="1">IFERROR(__xludf.DUMMYFUNCTION("""COMPUTED_VALUE"""),"-3.586")</f>
        <v>#NAME?</v>
      </c>
      <c r="K2176" s="100" t="e">
        <f t="shared" ca="1" si="370"/>
        <v>#NAME?</v>
      </c>
      <c r="L2176" s="100"/>
      <c r="M2176" s="100"/>
      <c r="N2176" s="100"/>
      <c r="O2176" s="100"/>
      <c r="P2176" s="100"/>
      <c r="Q2176" s="100"/>
      <c r="R2176" s="100"/>
      <c r="S2176" s="100"/>
      <c r="T2176" s="100"/>
      <c r="U2176" s="100"/>
      <c r="V2176" s="100"/>
      <c r="W2176" s="100"/>
      <c r="X2176" s="100"/>
      <c r="Y2176" s="100"/>
      <c r="Z2176" s="100"/>
    </row>
    <row r="2177" spans="1:26">
      <c r="A2177" s="100" t="e">
        <f ca="1">IFERROR(__xludf.DUMMYFUNCTION("""COMPUTED_VALUE"""),58785512)</f>
        <v>#NAME?</v>
      </c>
      <c r="B2177" s="100" t="e">
        <f ca="1">IFERROR(__xludf.DUMMYFUNCTION("""COMPUTED_VALUE"""),"ARBTRY")</f>
        <v>#NAME?</v>
      </c>
      <c r="C2177" s="100" t="e">
        <f ca="1">IFERROR(__xludf.DUMMYFUNCTION("""COMPUTED_VALUE"""),"11.49000000")</f>
        <v>#NAME?</v>
      </c>
      <c r="D2177" s="100" t="e">
        <f t="shared" ca="1" si="373"/>
        <v>#NAME?</v>
      </c>
      <c r="E2177" s="100" t="e">
        <f t="shared" ca="1" si="373"/>
        <v>#NAME?</v>
      </c>
      <c r="F2177" s="100" t="e">
        <f t="shared" ca="1" si="366"/>
        <v>#NAME?</v>
      </c>
      <c r="G2177" s="100" t="e">
        <f t="shared" ca="1" si="367"/>
        <v>#NAME?</v>
      </c>
      <c r="H2177" s="100" t="e">
        <f t="shared" ca="1" si="368"/>
        <v>#NAME?</v>
      </c>
      <c r="I2177" s="100" t="e">
        <f t="shared" ca="1" si="369"/>
        <v>#NAME?</v>
      </c>
      <c r="J2177" s="100" t="e">
        <f ca="1">IFERROR(__xludf.DUMMYFUNCTION("""COMPUTED_VALUE"""),"-3.688")</f>
        <v>#NAME?</v>
      </c>
      <c r="K2177" s="100" t="e">
        <f t="shared" ca="1" si="370"/>
        <v>#NAME?</v>
      </c>
      <c r="L2177" s="100"/>
      <c r="M2177" s="100"/>
      <c r="N2177" s="100"/>
      <c r="O2177" s="100"/>
      <c r="P2177" s="100"/>
      <c r="Q2177" s="100"/>
      <c r="R2177" s="100"/>
      <c r="S2177" s="100"/>
      <c r="T2177" s="100"/>
      <c r="U2177" s="100"/>
      <c r="V2177" s="100"/>
      <c r="W2177" s="100"/>
      <c r="X2177" s="100"/>
      <c r="Y2177" s="100"/>
      <c r="Z2177" s="100"/>
    </row>
    <row r="2178" spans="1:26">
      <c r="A2178" s="100" t="e">
        <f ca="1">IFERROR(__xludf.DUMMYFUNCTION("""COMPUTED_VALUE"""),58785513)</f>
        <v>#NAME?</v>
      </c>
      <c r="B2178" s="100" t="e">
        <f ca="1">IFERROR(__xludf.DUMMYFUNCTION("""COMPUTED_VALUE"""),"ARBEUR")</f>
        <v>#NAME?</v>
      </c>
      <c r="C2178" s="100" t="e">
        <f ca="1">IFERROR(__xludf.DUMMYFUNCTION("""COMPUTED_VALUE"""),"0.26150000")</f>
        <v>#NAME?</v>
      </c>
      <c r="D2178" s="100" t="e">
        <f t="shared" ca="1" si="373"/>
        <v>#NAME?</v>
      </c>
      <c r="E2178" s="100" t="e">
        <f t="shared" ca="1" si="373"/>
        <v>#NAME?</v>
      </c>
      <c r="F2178" s="100" t="e">
        <f t="shared" ref="F2178:F2241" ca="1" si="374">IFERROR(__xludf.DUMMYFUNCTION("""COMPUTED_VALUE"""),20200)</f>
        <v>#NAME?</v>
      </c>
      <c r="G2178" s="100" t="e">
        <f t="shared" ref="G2178:G2241" ca="1" si="375">IFERROR(__xludf.DUMMYFUNCTION("""COMPUTED_VALUE"""),2885)</f>
        <v>#NAME?</v>
      </c>
      <c r="H2178" s="100" t="e">
        <f t="shared" ref="H2178:H2241" ca="1" si="376">IFERROR(__xludf.DUMMYFUNCTION("""COMPUTED_VALUE"""),663)</f>
        <v>#NAME?</v>
      </c>
      <c r="I2178" s="100" t="e">
        <f t="shared" ref="I2178:I2241" ca="1" si="377">IFERROR(__xludf.DUMMYFUNCTION("""COMPUTED_VALUE"""),5817721)</f>
        <v>#NAME?</v>
      </c>
      <c r="J2178" s="100" t="e">
        <f ca="1">IFERROR(__xludf.DUMMYFUNCTION("""COMPUTED_VALUE"""),"-3.541")</f>
        <v>#NAME?</v>
      </c>
      <c r="K2178" s="100" t="e">
        <f t="shared" ref="K2178:K2241" ca="1" si="378">IFERROR(__xludf.DUMMYFUNCTION("""COMPUTED_VALUE"""),"22.04.2025 13:05:01")</f>
        <v>#NAME?</v>
      </c>
      <c r="L2178" s="100"/>
      <c r="M2178" s="100"/>
      <c r="N2178" s="100"/>
      <c r="O2178" s="100"/>
      <c r="P2178" s="100"/>
      <c r="Q2178" s="100"/>
      <c r="R2178" s="100"/>
      <c r="S2178" s="100"/>
      <c r="T2178" s="100"/>
      <c r="U2178" s="100"/>
      <c r="V2178" s="100"/>
      <c r="W2178" s="100"/>
      <c r="X2178" s="100"/>
      <c r="Y2178" s="100"/>
      <c r="Z2178" s="100"/>
    </row>
    <row r="2179" spans="1:26">
      <c r="A2179" s="100" t="e">
        <f ca="1">IFERROR(__xludf.DUMMYFUNCTION("""COMPUTED_VALUE"""),58785514)</f>
        <v>#NAME?</v>
      </c>
      <c r="B2179" s="100" t="e">
        <f ca="1">IFERROR(__xludf.DUMMYFUNCTION("""COMPUTED_VALUE"""),"IDTUSD")</f>
        <v>#NAME?</v>
      </c>
      <c r="C2179" s="100" t="e">
        <f ca="1">IFERROR(__xludf.DUMMYFUNCTION("""COMPUTED_VALUE"""),"0.88208000")</f>
        <v>#NAME?</v>
      </c>
      <c r="D2179" s="100" t="e">
        <f t="shared" ca="1" si="373"/>
        <v>#NAME?</v>
      </c>
      <c r="E2179" s="100" t="e">
        <f t="shared" ca="1" si="373"/>
        <v>#NAME?</v>
      </c>
      <c r="F2179" s="100" t="e">
        <f t="shared" ca="1" si="374"/>
        <v>#NAME?</v>
      </c>
      <c r="G2179" s="100" t="e">
        <f t="shared" ca="1" si="375"/>
        <v>#NAME?</v>
      </c>
      <c r="H2179" s="100" t="e">
        <f t="shared" ca="1" si="376"/>
        <v>#NAME?</v>
      </c>
      <c r="I2179" s="100" t="e">
        <f t="shared" ca="1" si="377"/>
        <v>#NAME?</v>
      </c>
      <c r="J2179" s="100" t="e">
        <f ca="1">IFERROR(__xludf.DUMMYFUNCTION("""COMPUTED_VALUE"""),"0")</f>
        <v>#NAME?</v>
      </c>
      <c r="K2179" s="100" t="e">
        <f t="shared" ca="1" si="378"/>
        <v>#NAME?</v>
      </c>
      <c r="L2179" s="100"/>
      <c r="M2179" s="100"/>
      <c r="N2179" s="100"/>
      <c r="O2179" s="100"/>
      <c r="P2179" s="100"/>
      <c r="Q2179" s="100"/>
      <c r="R2179" s="100"/>
      <c r="S2179" s="100"/>
      <c r="T2179" s="100"/>
      <c r="U2179" s="100"/>
      <c r="V2179" s="100"/>
      <c r="W2179" s="100"/>
      <c r="X2179" s="100"/>
      <c r="Y2179" s="100"/>
      <c r="Z2179" s="100"/>
    </row>
    <row r="2180" spans="1:26">
      <c r="A2180" s="100" t="e">
        <f ca="1">IFERROR(__xludf.DUMMYFUNCTION("""COMPUTED_VALUE"""),58785515)</f>
        <v>#NAME?</v>
      </c>
      <c r="B2180" s="100" t="e">
        <f ca="1">IFERROR(__xludf.DUMMYFUNCTION("""COMPUTED_VALUE"""),"IDTRY")</f>
        <v>#NAME?</v>
      </c>
      <c r="C2180" s="100" t="e">
        <f ca="1">IFERROR(__xludf.DUMMYFUNCTION("""COMPUTED_VALUE"""),"6.92000000")</f>
        <v>#NAME?</v>
      </c>
      <c r="D2180" s="100" t="e">
        <f t="shared" ca="1" si="373"/>
        <v>#NAME?</v>
      </c>
      <c r="E2180" s="100" t="e">
        <f t="shared" ca="1" si="373"/>
        <v>#NAME?</v>
      </c>
      <c r="F2180" s="100" t="e">
        <f t="shared" ca="1" si="374"/>
        <v>#NAME?</v>
      </c>
      <c r="G2180" s="100" t="e">
        <f t="shared" ca="1" si="375"/>
        <v>#NAME?</v>
      </c>
      <c r="H2180" s="100" t="e">
        <f t="shared" ca="1" si="376"/>
        <v>#NAME?</v>
      </c>
      <c r="I2180" s="100" t="e">
        <f t="shared" ca="1" si="377"/>
        <v>#NAME?</v>
      </c>
      <c r="J2180" s="100" t="e">
        <f ca="1">IFERROR(__xludf.DUMMYFUNCTION("""COMPUTED_VALUE"""),"-2.535")</f>
        <v>#NAME?</v>
      </c>
      <c r="K2180" s="100" t="e">
        <f t="shared" ca="1" si="378"/>
        <v>#NAME?</v>
      </c>
      <c r="L2180" s="100"/>
      <c r="M2180" s="100"/>
      <c r="N2180" s="100"/>
      <c r="O2180" s="100"/>
      <c r="P2180" s="100"/>
      <c r="Q2180" s="100"/>
      <c r="R2180" s="100"/>
      <c r="S2180" s="100"/>
      <c r="T2180" s="100"/>
      <c r="U2180" s="100"/>
      <c r="V2180" s="100"/>
      <c r="W2180" s="100"/>
      <c r="X2180" s="100"/>
      <c r="Y2180" s="100"/>
      <c r="Z2180" s="100"/>
    </row>
    <row r="2181" spans="1:26">
      <c r="A2181" s="100" t="e">
        <f ca="1">IFERROR(__xludf.DUMMYFUNCTION("""COMPUTED_VALUE"""),58785516)</f>
        <v>#NAME?</v>
      </c>
      <c r="B2181" s="100" t="e">
        <f ca="1">IFERROR(__xludf.DUMMYFUNCTION("""COMPUTED_VALUE"""),"IDEUR")</f>
        <v>#NAME?</v>
      </c>
      <c r="C2181" s="100" t="e">
        <f ca="1">IFERROR(__xludf.DUMMYFUNCTION("""COMPUTED_VALUE"""),"0.18769000")</f>
        <v>#NAME?</v>
      </c>
      <c r="D2181" s="100" t="e">
        <f t="shared" ca="1" si="373"/>
        <v>#NAME?</v>
      </c>
      <c r="E2181" s="100" t="e">
        <f t="shared" ca="1" si="373"/>
        <v>#NAME?</v>
      </c>
      <c r="F2181" s="100" t="e">
        <f t="shared" ca="1" si="374"/>
        <v>#NAME?</v>
      </c>
      <c r="G2181" s="100" t="e">
        <f t="shared" ca="1" si="375"/>
        <v>#NAME?</v>
      </c>
      <c r="H2181" s="100" t="e">
        <f t="shared" ca="1" si="376"/>
        <v>#NAME?</v>
      </c>
      <c r="I2181" s="100" t="e">
        <f t="shared" ca="1" si="377"/>
        <v>#NAME?</v>
      </c>
      <c r="J2181" s="100" t="e">
        <f ca="1">IFERROR(__xludf.DUMMYFUNCTION("""COMPUTED_VALUE"""),"0")</f>
        <v>#NAME?</v>
      </c>
      <c r="K2181" s="100" t="e">
        <f t="shared" ca="1" si="378"/>
        <v>#NAME?</v>
      </c>
      <c r="L2181" s="100"/>
      <c r="M2181" s="100"/>
      <c r="N2181" s="100"/>
      <c r="O2181" s="100"/>
      <c r="P2181" s="100"/>
      <c r="Q2181" s="100"/>
      <c r="R2181" s="100"/>
      <c r="S2181" s="100"/>
      <c r="T2181" s="100"/>
      <c r="U2181" s="100"/>
      <c r="V2181" s="100"/>
      <c r="W2181" s="100"/>
      <c r="X2181" s="100"/>
      <c r="Y2181" s="100"/>
      <c r="Z2181" s="100"/>
    </row>
    <row r="2182" spans="1:26">
      <c r="A2182" s="100" t="e">
        <f ca="1">IFERROR(__xludf.DUMMYFUNCTION("""COMPUTED_VALUE"""),58785517)</f>
        <v>#NAME?</v>
      </c>
      <c r="B2182" s="100" t="e">
        <f ca="1">IFERROR(__xludf.DUMMYFUNCTION("""COMPUTED_VALUE"""),"LDOTUSD")</f>
        <v>#NAME?</v>
      </c>
      <c r="C2182" s="100" t="e">
        <f ca="1">IFERROR(__xludf.DUMMYFUNCTION("""COMPUTED_VALUE"""),"2.46700000")</f>
        <v>#NAME?</v>
      </c>
      <c r="D2182" s="100" t="e">
        <f t="shared" ref="D2182:E2201" ca="1" si="379">IFERROR(__xludf.DUMMYFUNCTION("""COMPUTED_VALUE"""),"-")</f>
        <v>#NAME?</v>
      </c>
      <c r="E2182" s="100" t="e">
        <f t="shared" ca="1" si="379"/>
        <v>#NAME?</v>
      </c>
      <c r="F2182" s="100" t="e">
        <f t="shared" ca="1" si="374"/>
        <v>#NAME?</v>
      </c>
      <c r="G2182" s="100" t="e">
        <f t="shared" ca="1" si="375"/>
        <v>#NAME?</v>
      </c>
      <c r="H2182" s="100" t="e">
        <f t="shared" ca="1" si="376"/>
        <v>#NAME?</v>
      </c>
      <c r="I2182" s="100" t="e">
        <f t="shared" ca="1" si="377"/>
        <v>#NAME?</v>
      </c>
      <c r="J2182" s="100" t="e">
        <f ca="1">IFERROR(__xludf.DUMMYFUNCTION("""COMPUTED_VALUE"""),"0")</f>
        <v>#NAME?</v>
      </c>
      <c r="K2182" s="100" t="e">
        <f t="shared" ca="1" si="378"/>
        <v>#NAME?</v>
      </c>
      <c r="L2182" s="100"/>
      <c r="M2182" s="100"/>
      <c r="N2182" s="100"/>
      <c r="O2182" s="100"/>
      <c r="P2182" s="100"/>
      <c r="Q2182" s="100"/>
      <c r="R2182" s="100"/>
      <c r="S2182" s="100"/>
      <c r="T2182" s="100"/>
      <c r="U2182" s="100"/>
      <c r="V2182" s="100"/>
      <c r="W2182" s="100"/>
      <c r="X2182" s="100"/>
      <c r="Y2182" s="100"/>
      <c r="Z2182" s="100"/>
    </row>
    <row r="2183" spans="1:26">
      <c r="A2183" s="100" t="e">
        <f ca="1">IFERROR(__xludf.DUMMYFUNCTION("""COMPUTED_VALUE"""),58785518)</f>
        <v>#NAME?</v>
      </c>
      <c r="B2183" s="100" t="e">
        <f ca="1">IFERROR(__xludf.DUMMYFUNCTION("""COMPUTED_VALUE"""),"MATICTUSD")</f>
        <v>#NAME?</v>
      </c>
      <c r="C2183" s="100" t="e">
        <f ca="1">IFERROR(__xludf.DUMMYFUNCTION("""COMPUTED_VALUE"""),"0.50430000")</f>
        <v>#NAME?</v>
      </c>
      <c r="D2183" s="100" t="e">
        <f t="shared" ca="1" si="379"/>
        <v>#NAME?</v>
      </c>
      <c r="E2183" s="100" t="e">
        <f t="shared" ca="1" si="379"/>
        <v>#NAME?</v>
      </c>
      <c r="F2183" s="100" t="e">
        <f t="shared" ca="1" si="374"/>
        <v>#NAME?</v>
      </c>
      <c r="G2183" s="100" t="e">
        <f t="shared" ca="1" si="375"/>
        <v>#NAME?</v>
      </c>
      <c r="H2183" s="100" t="e">
        <f t="shared" ca="1" si="376"/>
        <v>#NAME?</v>
      </c>
      <c r="I2183" s="100" t="e">
        <f t="shared" ca="1" si="377"/>
        <v>#NAME?</v>
      </c>
      <c r="J2183" s="100" t="e">
        <f ca="1">IFERROR(__xludf.DUMMYFUNCTION("""COMPUTED_VALUE"""),"0")</f>
        <v>#NAME?</v>
      </c>
      <c r="K2183" s="100" t="e">
        <f t="shared" ca="1" si="378"/>
        <v>#NAME?</v>
      </c>
      <c r="L2183" s="100"/>
      <c r="M2183" s="100"/>
      <c r="N2183" s="100"/>
      <c r="O2183" s="100"/>
      <c r="P2183" s="100"/>
      <c r="Q2183" s="100"/>
      <c r="R2183" s="100"/>
      <c r="S2183" s="100"/>
      <c r="T2183" s="100"/>
      <c r="U2183" s="100"/>
      <c r="V2183" s="100"/>
      <c r="W2183" s="100"/>
      <c r="X2183" s="100"/>
      <c r="Y2183" s="100"/>
      <c r="Z2183" s="100"/>
    </row>
    <row r="2184" spans="1:26">
      <c r="A2184" s="100" t="e">
        <f ca="1">IFERROR(__xludf.DUMMYFUNCTION("""COMPUTED_VALUE"""),58785519)</f>
        <v>#NAME?</v>
      </c>
      <c r="B2184" s="100" t="e">
        <f ca="1">IFERROR(__xludf.DUMMYFUNCTION("""COMPUTED_VALUE"""),"OPTUSD")</f>
        <v>#NAME?</v>
      </c>
      <c r="C2184" s="100" t="e">
        <f ca="1">IFERROR(__xludf.DUMMYFUNCTION("""COMPUTED_VALUE"""),"2.99700000")</f>
        <v>#NAME?</v>
      </c>
      <c r="D2184" s="100" t="e">
        <f t="shared" ca="1" si="379"/>
        <v>#NAME?</v>
      </c>
      <c r="E2184" s="100" t="e">
        <f t="shared" ca="1" si="379"/>
        <v>#NAME?</v>
      </c>
      <c r="F2184" s="100" t="e">
        <f t="shared" ca="1" si="374"/>
        <v>#NAME?</v>
      </c>
      <c r="G2184" s="100" t="e">
        <f t="shared" ca="1" si="375"/>
        <v>#NAME?</v>
      </c>
      <c r="H2184" s="100" t="e">
        <f t="shared" ca="1" si="376"/>
        <v>#NAME?</v>
      </c>
      <c r="I2184" s="100" t="e">
        <f t="shared" ca="1" si="377"/>
        <v>#NAME?</v>
      </c>
      <c r="J2184" s="100" t="e">
        <f ca="1">IFERROR(__xludf.DUMMYFUNCTION("""COMPUTED_VALUE"""),"0")</f>
        <v>#NAME?</v>
      </c>
      <c r="K2184" s="100" t="e">
        <f t="shared" ca="1" si="378"/>
        <v>#NAME?</v>
      </c>
      <c r="L2184" s="100"/>
      <c r="M2184" s="100"/>
      <c r="N2184" s="100"/>
      <c r="O2184" s="100"/>
      <c r="P2184" s="100"/>
      <c r="Q2184" s="100"/>
      <c r="R2184" s="100"/>
      <c r="S2184" s="100"/>
      <c r="T2184" s="100"/>
      <c r="U2184" s="100"/>
      <c r="V2184" s="100"/>
      <c r="W2184" s="100"/>
      <c r="X2184" s="100"/>
      <c r="Y2184" s="100"/>
      <c r="Z2184" s="100"/>
    </row>
    <row r="2185" spans="1:26">
      <c r="A2185" s="100" t="e">
        <f ca="1">IFERROR(__xludf.DUMMYFUNCTION("""COMPUTED_VALUE"""),58785520)</f>
        <v>#NAME?</v>
      </c>
      <c r="B2185" s="100" t="e">
        <f ca="1">IFERROR(__xludf.DUMMYFUNCTION("""COMPUTED_VALUE"""),"SOLTUSD")</f>
        <v>#NAME?</v>
      </c>
      <c r="C2185" s="100" t="e">
        <f ca="1">IFERROR(__xludf.DUMMYFUNCTION("""COMPUTED_VALUE"""),"140.01000000")</f>
        <v>#NAME?</v>
      </c>
      <c r="D2185" s="100" t="e">
        <f t="shared" ca="1" si="379"/>
        <v>#NAME?</v>
      </c>
      <c r="E2185" s="100" t="e">
        <f t="shared" ca="1" si="379"/>
        <v>#NAME?</v>
      </c>
      <c r="F2185" s="100" t="e">
        <f t="shared" ca="1" si="374"/>
        <v>#NAME?</v>
      </c>
      <c r="G2185" s="100" t="e">
        <f t="shared" ca="1" si="375"/>
        <v>#NAME?</v>
      </c>
      <c r="H2185" s="100" t="e">
        <f t="shared" ca="1" si="376"/>
        <v>#NAME?</v>
      </c>
      <c r="I2185" s="100" t="e">
        <f t="shared" ca="1" si="377"/>
        <v>#NAME?</v>
      </c>
      <c r="J2185" s="100" t="e">
        <f ca="1">IFERROR(__xludf.DUMMYFUNCTION("""COMPUTED_VALUE"""),"-0.036")</f>
        <v>#NAME?</v>
      </c>
      <c r="K2185" s="100" t="e">
        <f t="shared" ca="1" si="378"/>
        <v>#NAME?</v>
      </c>
      <c r="L2185" s="100"/>
      <c r="M2185" s="100"/>
      <c r="N2185" s="100"/>
      <c r="O2185" s="100"/>
      <c r="P2185" s="100"/>
      <c r="Q2185" s="100"/>
      <c r="R2185" s="100"/>
      <c r="S2185" s="100"/>
      <c r="T2185" s="100"/>
      <c r="U2185" s="100"/>
      <c r="V2185" s="100"/>
      <c r="W2185" s="100"/>
      <c r="X2185" s="100"/>
      <c r="Y2185" s="100"/>
      <c r="Z2185" s="100"/>
    </row>
    <row r="2186" spans="1:26">
      <c r="A2186" s="100" t="e">
        <f ca="1">IFERROR(__xludf.DUMMYFUNCTION("""COMPUTED_VALUE"""),58785521)</f>
        <v>#NAME?</v>
      </c>
      <c r="B2186" s="100" t="e">
        <f ca="1">IFERROR(__xludf.DUMMYFUNCTION("""COMPUTED_VALUE"""),"SSVTUSD")</f>
        <v>#NAME?</v>
      </c>
      <c r="C2186" s="100" t="e">
        <f ca="1">IFERROR(__xludf.DUMMYFUNCTION("""COMPUTED_VALUE"""),"45.55000000")</f>
        <v>#NAME?</v>
      </c>
      <c r="D2186" s="100" t="e">
        <f t="shared" ca="1" si="379"/>
        <v>#NAME?</v>
      </c>
      <c r="E2186" s="100" t="e">
        <f t="shared" ca="1" si="379"/>
        <v>#NAME?</v>
      </c>
      <c r="F2186" s="100" t="e">
        <f t="shared" ca="1" si="374"/>
        <v>#NAME?</v>
      </c>
      <c r="G2186" s="100" t="e">
        <f t="shared" ca="1" si="375"/>
        <v>#NAME?</v>
      </c>
      <c r="H2186" s="100" t="e">
        <f t="shared" ca="1" si="376"/>
        <v>#NAME?</v>
      </c>
      <c r="I2186" s="100" t="e">
        <f t="shared" ca="1" si="377"/>
        <v>#NAME?</v>
      </c>
      <c r="J2186" s="100" t="e">
        <f ca="1">IFERROR(__xludf.DUMMYFUNCTION("""COMPUTED_VALUE"""),"0")</f>
        <v>#NAME?</v>
      </c>
      <c r="K2186" s="100" t="e">
        <f t="shared" ca="1" si="378"/>
        <v>#NAME?</v>
      </c>
      <c r="L2186" s="100"/>
      <c r="M2186" s="100"/>
      <c r="N2186" s="100"/>
      <c r="O2186" s="100"/>
      <c r="P2186" s="100"/>
      <c r="Q2186" s="100"/>
      <c r="R2186" s="100"/>
      <c r="S2186" s="100"/>
      <c r="T2186" s="100"/>
      <c r="U2186" s="100"/>
      <c r="V2186" s="100"/>
      <c r="W2186" s="100"/>
      <c r="X2186" s="100"/>
      <c r="Y2186" s="100"/>
      <c r="Z2186" s="100"/>
    </row>
    <row r="2187" spans="1:26">
      <c r="A2187" s="100" t="e">
        <f ca="1">IFERROR(__xludf.DUMMYFUNCTION("""COMPUTED_VALUE"""),58785522)</f>
        <v>#NAME?</v>
      </c>
      <c r="B2187" s="100" t="e">
        <f ca="1">IFERROR(__xludf.DUMMYFUNCTION("""COMPUTED_VALUE"""),"RDNTBTC")</f>
        <v>#NAME?</v>
      </c>
      <c r="C2187" s="100" t="e">
        <f ca="1">IFERROR(__xludf.DUMMYFUNCTION("""COMPUTED_VALUE"""),"0.00000107")</f>
        <v>#NAME?</v>
      </c>
      <c r="D2187" s="100" t="e">
        <f t="shared" ca="1" si="379"/>
        <v>#NAME?</v>
      </c>
      <c r="E2187" s="100" t="e">
        <f t="shared" ca="1" si="379"/>
        <v>#NAME?</v>
      </c>
      <c r="F2187" s="100" t="e">
        <f t="shared" ca="1" si="374"/>
        <v>#NAME?</v>
      </c>
      <c r="G2187" s="100" t="e">
        <f t="shared" ca="1" si="375"/>
        <v>#NAME?</v>
      </c>
      <c r="H2187" s="100" t="e">
        <f t="shared" ca="1" si="376"/>
        <v>#NAME?</v>
      </c>
      <c r="I2187" s="100" t="e">
        <f t="shared" ca="1" si="377"/>
        <v>#NAME?</v>
      </c>
      <c r="J2187" s="100" t="e">
        <f ca="1">IFERROR(__xludf.DUMMYFUNCTION("""COMPUTED_VALUE"""),"0")</f>
        <v>#NAME?</v>
      </c>
      <c r="K2187" s="100" t="e">
        <f t="shared" ca="1" si="378"/>
        <v>#NAME?</v>
      </c>
      <c r="L2187" s="100"/>
      <c r="M2187" s="100"/>
      <c r="N2187" s="100"/>
      <c r="O2187" s="100"/>
      <c r="P2187" s="100"/>
      <c r="Q2187" s="100"/>
      <c r="R2187" s="100"/>
      <c r="S2187" s="100"/>
      <c r="T2187" s="100"/>
      <c r="U2187" s="100"/>
      <c r="V2187" s="100"/>
      <c r="W2187" s="100"/>
      <c r="X2187" s="100"/>
      <c r="Y2187" s="100"/>
      <c r="Z2187" s="100"/>
    </row>
    <row r="2188" spans="1:26">
      <c r="A2188" s="100" t="e">
        <f ca="1">IFERROR(__xludf.DUMMYFUNCTION("""COMPUTED_VALUE"""),58785523)</f>
        <v>#NAME?</v>
      </c>
      <c r="B2188" s="100" t="e">
        <f ca="1">IFERROR(__xludf.DUMMYFUNCTION("""COMPUTED_VALUE"""),"RDNTUSDT")</f>
        <v>#NAME?</v>
      </c>
      <c r="C2188" s="100" t="e">
        <f ca="1">IFERROR(__xludf.DUMMYFUNCTION("""COMPUTED_VALUE"""),"0.02097000")</f>
        <v>#NAME?</v>
      </c>
      <c r="D2188" s="100" t="e">
        <f t="shared" ca="1" si="379"/>
        <v>#NAME?</v>
      </c>
      <c r="E2188" s="100" t="e">
        <f t="shared" ca="1" si="379"/>
        <v>#NAME?</v>
      </c>
      <c r="F2188" s="100" t="e">
        <f t="shared" ca="1" si="374"/>
        <v>#NAME?</v>
      </c>
      <c r="G2188" s="100" t="e">
        <f t="shared" ca="1" si="375"/>
        <v>#NAME?</v>
      </c>
      <c r="H2188" s="100" t="e">
        <f t="shared" ca="1" si="376"/>
        <v>#NAME?</v>
      </c>
      <c r="I2188" s="100" t="e">
        <f t="shared" ca="1" si="377"/>
        <v>#NAME?</v>
      </c>
      <c r="J2188" s="100" t="e">
        <f ca="1">IFERROR(__xludf.DUMMYFUNCTION("""COMPUTED_VALUE"""),"-2.329")</f>
        <v>#NAME?</v>
      </c>
      <c r="K2188" s="100" t="e">
        <f t="shared" ca="1" si="378"/>
        <v>#NAME?</v>
      </c>
      <c r="L2188" s="100"/>
      <c r="M2188" s="100"/>
      <c r="N2188" s="100"/>
      <c r="O2188" s="100"/>
      <c r="P2188" s="100"/>
      <c r="Q2188" s="100"/>
      <c r="R2188" s="100"/>
      <c r="S2188" s="100"/>
      <c r="T2188" s="100"/>
      <c r="U2188" s="100"/>
      <c r="V2188" s="100"/>
      <c r="W2188" s="100"/>
      <c r="X2188" s="100"/>
      <c r="Y2188" s="100"/>
      <c r="Z2188" s="100"/>
    </row>
    <row r="2189" spans="1:26">
      <c r="A2189" s="100" t="e">
        <f ca="1">IFERROR(__xludf.DUMMYFUNCTION("""COMPUTED_VALUE"""),58785524)</f>
        <v>#NAME?</v>
      </c>
      <c r="B2189" s="100" t="e">
        <f ca="1">IFERROR(__xludf.DUMMYFUNCTION("""COMPUTED_VALUE"""),"RDNTTUSD")</f>
        <v>#NAME?</v>
      </c>
      <c r="C2189" s="100" t="e">
        <f ca="1">IFERROR(__xludf.DUMMYFUNCTION("""COMPUTED_VALUE"""),"0.30100000")</f>
        <v>#NAME?</v>
      </c>
      <c r="D2189" s="100" t="e">
        <f t="shared" ca="1" si="379"/>
        <v>#NAME?</v>
      </c>
      <c r="E2189" s="100" t="e">
        <f t="shared" ca="1" si="379"/>
        <v>#NAME?</v>
      </c>
      <c r="F2189" s="100" t="e">
        <f t="shared" ca="1" si="374"/>
        <v>#NAME?</v>
      </c>
      <c r="G2189" s="100" t="e">
        <f t="shared" ca="1" si="375"/>
        <v>#NAME?</v>
      </c>
      <c r="H2189" s="100" t="e">
        <f t="shared" ca="1" si="376"/>
        <v>#NAME?</v>
      </c>
      <c r="I2189" s="100" t="e">
        <f t="shared" ca="1" si="377"/>
        <v>#NAME?</v>
      </c>
      <c r="J2189" s="100" t="e">
        <f ca="1">IFERROR(__xludf.DUMMYFUNCTION("""COMPUTED_VALUE"""),"0")</f>
        <v>#NAME?</v>
      </c>
      <c r="K2189" s="100" t="e">
        <f t="shared" ca="1" si="378"/>
        <v>#NAME?</v>
      </c>
      <c r="L2189" s="100"/>
      <c r="M2189" s="100"/>
      <c r="N2189" s="100"/>
      <c r="O2189" s="100"/>
      <c r="P2189" s="100"/>
      <c r="Q2189" s="100"/>
      <c r="R2189" s="100"/>
      <c r="S2189" s="100"/>
      <c r="T2189" s="100"/>
      <c r="U2189" s="100"/>
      <c r="V2189" s="100"/>
      <c r="W2189" s="100"/>
      <c r="X2189" s="100"/>
      <c r="Y2189" s="100"/>
      <c r="Z2189" s="100"/>
    </row>
    <row r="2190" spans="1:26">
      <c r="A2190" s="100" t="e">
        <f ca="1">IFERROR(__xludf.DUMMYFUNCTION("""COMPUTED_VALUE"""),58785525)</f>
        <v>#NAME?</v>
      </c>
      <c r="B2190" s="100" t="e">
        <f ca="1">IFERROR(__xludf.DUMMYFUNCTION("""COMPUTED_VALUE"""),"ARBRUB")</f>
        <v>#NAME?</v>
      </c>
      <c r="C2190" s="100" t="e">
        <f ca="1">IFERROR(__xludf.DUMMYFUNCTION("""COMPUTED_VALUE"""),"95.10000000")</f>
        <v>#NAME?</v>
      </c>
      <c r="D2190" s="100" t="e">
        <f t="shared" ca="1" si="379"/>
        <v>#NAME?</v>
      </c>
      <c r="E2190" s="100" t="e">
        <f t="shared" ca="1" si="379"/>
        <v>#NAME?</v>
      </c>
      <c r="F2190" s="100" t="e">
        <f t="shared" ca="1" si="374"/>
        <v>#NAME?</v>
      </c>
      <c r="G2190" s="100" t="e">
        <f t="shared" ca="1" si="375"/>
        <v>#NAME?</v>
      </c>
      <c r="H2190" s="100" t="e">
        <f t="shared" ca="1" si="376"/>
        <v>#NAME?</v>
      </c>
      <c r="I2190" s="100" t="e">
        <f t="shared" ca="1" si="377"/>
        <v>#NAME?</v>
      </c>
      <c r="J2190" s="100" t="e">
        <f ca="1">IFERROR(__xludf.DUMMYFUNCTION("""COMPUTED_VALUE"""),"0")</f>
        <v>#NAME?</v>
      </c>
      <c r="K2190" s="100" t="e">
        <f t="shared" ca="1" si="378"/>
        <v>#NAME?</v>
      </c>
      <c r="L2190" s="100"/>
      <c r="M2190" s="100"/>
      <c r="N2190" s="100"/>
      <c r="O2190" s="100"/>
      <c r="P2190" s="100"/>
      <c r="Q2190" s="100"/>
      <c r="R2190" s="100"/>
      <c r="S2190" s="100"/>
      <c r="T2190" s="100"/>
      <c r="U2190" s="100"/>
      <c r="V2190" s="100"/>
      <c r="W2190" s="100"/>
      <c r="X2190" s="100"/>
      <c r="Y2190" s="100"/>
      <c r="Z2190" s="100"/>
    </row>
    <row r="2191" spans="1:26">
      <c r="A2191" s="100" t="e">
        <f ca="1">IFERROR(__xludf.DUMMYFUNCTION("""COMPUTED_VALUE"""),58785526)</f>
        <v>#NAME?</v>
      </c>
      <c r="B2191" s="100" t="e">
        <f ca="1">IFERROR(__xludf.DUMMYFUNCTION("""COMPUTED_VALUE"""),"JOETRY")</f>
        <v>#NAME?</v>
      </c>
      <c r="C2191" s="100" t="e">
        <f ca="1">IFERROR(__xludf.DUMMYFUNCTION("""COMPUTED_VALUE"""),"12.22000000")</f>
        <v>#NAME?</v>
      </c>
      <c r="D2191" s="100" t="e">
        <f t="shared" ca="1" si="379"/>
        <v>#NAME?</v>
      </c>
      <c r="E2191" s="100" t="e">
        <f t="shared" ca="1" si="379"/>
        <v>#NAME?</v>
      </c>
      <c r="F2191" s="100" t="e">
        <f t="shared" ca="1" si="374"/>
        <v>#NAME?</v>
      </c>
      <c r="G2191" s="100" t="e">
        <f t="shared" ca="1" si="375"/>
        <v>#NAME?</v>
      </c>
      <c r="H2191" s="100" t="e">
        <f t="shared" ca="1" si="376"/>
        <v>#NAME?</v>
      </c>
      <c r="I2191" s="100" t="e">
        <f t="shared" ca="1" si="377"/>
        <v>#NAME?</v>
      </c>
      <c r="J2191" s="100" t="e">
        <f ca="1">IFERROR(__xludf.DUMMYFUNCTION("""COMPUTED_VALUE"""),"0")</f>
        <v>#NAME?</v>
      </c>
      <c r="K2191" s="100" t="e">
        <f t="shared" ca="1" si="378"/>
        <v>#NAME?</v>
      </c>
      <c r="L2191" s="100"/>
      <c r="M2191" s="100"/>
      <c r="N2191" s="100"/>
      <c r="O2191" s="100"/>
      <c r="P2191" s="100"/>
      <c r="Q2191" s="100"/>
      <c r="R2191" s="100"/>
      <c r="S2191" s="100"/>
      <c r="T2191" s="100"/>
      <c r="U2191" s="100"/>
      <c r="V2191" s="100"/>
      <c r="W2191" s="100"/>
      <c r="X2191" s="100"/>
      <c r="Y2191" s="100"/>
      <c r="Z2191" s="100"/>
    </row>
    <row r="2192" spans="1:26">
      <c r="A2192" s="100" t="e">
        <f ca="1">IFERROR(__xludf.DUMMYFUNCTION("""COMPUTED_VALUE"""),58785527)</f>
        <v>#NAME?</v>
      </c>
      <c r="B2192" s="100" t="e">
        <f ca="1">IFERROR(__xludf.DUMMYFUNCTION("""COMPUTED_VALUE"""),"MAGICTRY")</f>
        <v>#NAME?</v>
      </c>
      <c r="C2192" s="100" t="e">
        <f ca="1">IFERROR(__xludf.DUMMYFUNCTION("""COMPUTED_VALUE"""),"9.72000000")</f>
        <v>#NAME?</v>
      </c>
      <c r="D2192" s="100" t="e">
        <f t="shared" ca="1" si="379"/>
        <v>#NAME?</v>
      </c>
      <c r="E2192" s="100" t="e">
        <f t="shared" ca="1" si="379"/>
        <v>#NAME?</v>
      </c>
      <c r="F2192" s="100" t="e">
        <f t="shared" ca="1" si="374"/>
        <v>#NAME?</v>
      </c>
      <c r="G2192" s="100" t="e">
        <f t="shared" ca="1" si="375"/>
        <v>#NAME?</v>
      </c>
      <c r="H2192" s="100" t="e">
        <f t="shared" ca="1" si="376"/>
        <v>#NAME?</v>
      </c>
      <c r="I2192" s="100" t="e">
        <f t="shared" ca="1" si="377"/>
        <v>#NAME?</v>
      </c>
      <c r="J2192" s="100" t="e">
        <f ca="1">IFERROR(__xludf.DUMMYFUNCTION("""COMPUTED_VALUE"""),"8.969")</f>
        <v>#NAME?</v>
      </c>
      <c r="K2192" s="100" t="e">
        <f t="shared" ca="1" si="378"/>
        <v>#NAME?</v>
      </c>
      <c r="L2192" s="100"/>
      <c r="M2192" s="100"/>
      <c r="N2192" s="100"/>
      <c r="O2192" s="100"/>
      <c r="P2192" s="100"/>
      <c r="Q2192" s="100"/>
      <c r="R2192" s="100"/>
      <c r="S2192" s="100"/>
      <c r="T2192" s="100"/>
      <c r="U2192" s="100"/>
      <c r="V2192" s="100"/>
      <c r="W2192" s="100"/>
      <c r="X2192" s="100"/>
      <c r="Y2192" s="100"/>
      <c r="Z2192" s="100"/>
    </row>
    <row r="2193" spans="1:26">
      <c r="A2193" s="100" t="e">
        <f ca="1">IFERROR(__xludf.DUMMYFUNCTION("""COMPUTED_VALUE"""),58785528)</f>
        <v>#NAME?</v>
      </c>
      <c r="B2193" s="100" t="e">
        <f ca="1">IFERROR(__xludf.DUMMYFUNCTION("""COMPUTED_VALUE"""),"USDTPLN")</f>
        <v>#NAME?</v>
      </c>
      <c r="C2193" s="100" t="e">
        <f ca="1">IFERROR(__xludf.DUMMYFUNCTION("""COMPUTED_VALUE"""),"3.73300000")</f>
        <v>#NAME?</v>
      </c>
      <c r="D2193" s="100" t="e">
        <f t="shared" ca="1" si="379"/>
        <v>#NAME?</v>
      </c>
      <c r="E2193" s="100" t="e">
        <f t="shared" ca="1" si="379"/>
        <v>#NAME?</v>
      </c>
      <c r="F2193" s="100" t="e">
        <f t="shared" ca="1" si="374"/>
        <v>#NAME?</v>
      </c>
      <c r="G2193" s="100" t="e">
        <f t="shared" ca="1" si="375"/>
        <v>#NAME?</v>
      </c>
      <c r="H2193" s="100" t="e">
        <f t="shared" ca="1" si="376"/>
        <v>#NAME?</v>
      </c>
      <c r="I2193" s="100" t="e">
        <f t="shared" ca="1" si="377"/>
        <v>#NAME?</v>
      </c>
      <c r="J2193" s="100" t="e">
        <f ca="1">IFERROR(__xludf.DUMMYFUNCTION("""COMPUTED_VALUE"""),"0.485")</f>
        <v>#NAME?</v>
      </c>
      <c r="K2193" s="100" t="e">
        <f t="shared" ca="1" si="378"/>
        <v>#NAME?</v>
      </c>
      <c r="L2193" s="100"/>
      <c r="M2193" s="100"/>
      <c r="N2193" s="100"/>
      <c r="O2193" s="100"/>
      <c r="P2193" s="100"/>
      <c r="Q2193" s="100"/>
      <c r="R2193" s="100"/>
      <c r="S2193" s="100"/>
      <c r="T2193" s="100"/>
      <c r="U2193" s="100"/>
      <c r="V2193" s="100"/>
      <c r="W2193" s="100"/>
      <c r="X2193" s="100"/>
      <c r="Y2193" s="100"/>
      <c r="Z2193" s="100"/>
    </row>
    <row r="2194" spans="1:26">
      <c r="A2194" s="100" t="e">
        <f ca="1">IFERROR(__xludf.DUMMYFUNCTION("""COMPUTED_VALUE"""),58785529)</f>
        <v>#NAME?</v>
      </c>
      <c r="B2194" s="100" t="e">
        <f ca="1">IFERROR(__xludf.DUMMYFUNCTION("""COMPUTED_VALUE"""),"ACHTRY")</f>
        <v>#NAME?</v>
      </c>
      <c r="C2194" s="100" t="e">
        <f ca="1">IFERROR(__xludf.DUMMYFUNCTION("""COMPUTED_VALUE"""),"0.99720000")</f>
        <v>#NAME?</v>
      </c>
      <c r="D2194" s="100" t="e">
        <f t="shared" ca="1" si="379"/>
        <v>#NAME?</v>
      </c>
      <c r="E2194" s="100" t="e">
        <f t="shared" ca="1" si="379"/>
        <v>#NAME?</v>
      </c>
      <c r="F2194" s="100" t="e">
        <f t="shared" ca="1" si="374"/>
        <v>#NAME?</v>
      </c>
      <c r="G2194" s="100" t="e">
        <f t="shared" ca="1" si="375"/>
        <v>#NAME?</v>
      </c>
      <c r="H2194" s="100" t="e">
        <f t="shared" ca="1" si="376"/>
        <v>#NAME?</v>
      </c>
      <c r="I2194" s="100" t="e">
        <f t="shared" ca="1" si="377"/>
        <v>#NAME?</v>
      </c>
      <c r="J2194" s="100" t="e">
        <f ca="1">IFERROR(__xludf.DUMMYFUNCTION("""COMPUTED_VALUE"""),"-5.586")</f>
        <v>#NAME?</v>
      </c>
      <c r="K2194" s="100" t="e">
        <f t="shared" ca="1" si="378"/>
        <v>#NAME?</v>
      </c>
      <c r="L2194" s="100"/>
      <c r="M2194" s="100"/>
      <c r="N2194" s="100"/>
      <c r="O2194" s="100"/>
      <c r="P2194" s="100"/>
      <c r="Q2194" s="100"/>
      <c r="R2194" s="100"/>
      <c r="S2194" s="100"/>
      <c r="T2194" s="100"/>
      <c r="U2194" s="100"/>
      <c r="V2194" s="100"/>
      <c r="W2194" s="100"/>
      <c r="X2194" s="100"/>
      <c r="Y2194" s="100"/>
      <c r="Z2194" s="100"/>
    </row>
    <row r="2195" spans="1:26">
      <c r="A2195" s="100" t="e">
        <f ca="1">IFERROR(__xludf.DUMMYFUNCTION("""COMPUTED_VALUE"""),58785530)</f>
        <v>#NAME?</v>
      </c>
      <c r="B2195" s="100" t="e">
        <f ca="1">IFERROR(__xludf.DUMMYFUNCTION("""COMPUTED_VALUE"""),"XVSTRY")</f>
        <v>#NAME?</v>
      </c>
      <c r="C2195" s="100" t="e">
        <f ca="1">IFERROR(__xludf.DUMMYFUNCTION("""COMPUTED_VALUE"""),"199.10000000")</f>
        <v>#NAME?</v>
      </c>
      <c r="D2195" s="100" t="e">
        <f t="shared" ca="1" si="379"/>
        <v>#NAME?</v>
      </c>
      <c r="E2195" s="100" t="e">
        <f t="shared" ca="1" si="379"/>
        <v>#NAME?</v>
      </c>
      <c r="F2195" s="100" t="e">
        <f t="shared" ca="1" si="374"/>
        <v>#NAME?</v>
      </c>
      <c r="G2195" s="100" t="e">
        <f t="shared" ca="1" si="375"/>
        <v>#NAME?</v>
      </c>
      <c r="H2195" s="100" t="e">
        <f t="shared" ca="1" si="376"/>
        <v>#NAME?</v>
      </c>
      <c r="I2195" s="100" t="e">
        <f t="shared" ca="1" si="377"/>
        <v>#NAME?</v>
      </c>
      <c r="J2195" s="100" t="e">
        <f ca="1">IFERROR(__xludf.DUMMYFUNCTION("""COMPUTED_VALUE"""),"0.454")</f>
        <v>#NAME?</v>
      </c>
      <c r="K2195" s="100" t="e">
        <f t="shared" ca="1" si="378"/>
        <v>#NAME?</v>
      </c>
      <c r="L2195" s="100"/>
      <c r="M2195" s="100"/>
      <c r="N2195" s="100"/>
      <c r="O2195" s="100"/>
      <c r="P2195" s="100"/>
      <c r="Q2195" s="100"/>
      <c r="R2195" s="100"/>
      <c r="S2195" s="100"/>
      <c r="T2195" s="100"/>
      <c r="U2195" s="100"/>
      <c r="V2195" s="100"/>
      <c r="W2195" s="100"/>
      <c r="X2195" s="100"/>
      <c r="Y2195" s="100"/>
      <c r="Z2195" s="100"/>
    </row>
    <row r="2196" spans="1:26">
      <c r="A2196" s="100" t="e">
        <f ca="1">IFERROR(__xludf.DUMMYFUNCTION("""COMPUTED_VALUE"""),58785531)</f>
        <v>#NAME?</v>
      </c>
      <c r="B2196" s="100" t="e">
        <f ca="1">IFERROR(__xludf.DUMMYFUNCTION("""COMPUTED_VALUE"""),"EGLDRON")</f>
        <v>#NAME?</v>
      </c>
      <c r="C2196" s="100" t="e">
        <f ca="1">IFERROR(__xludf.DUMMYFUNCTION("""COMPUTED_VALUE"""),"60.40000000")</f>
        <v>#NAME?</v>
      </c>
      <c r="D2196" s="100" t="e">
        <f t="shared" ca="1" si="379"/>
        <v>#NAME?</v>
      </c>
      <c r="E2196" s="100" t="e">
        <f t="shared" ca="1" si="379"/>
        <v>#NAME?</v>
      </c>
      <c r="F2196" s="100" t="e">
        <f t="shared" ca="1" si="374"/>
        <v>#NAME?</v>
      </c>
      <c r="G2196" s="100" t="e">
        <f t="shared" ca="1" si="375"/>
        <v>#NAME?</v>
      </c>
      <c r="H2196" s="100" t="e">
        <f t="shared" ca="1" si="376"/>
        <v>#NAME?</v>
      </c>
      <c r="I2196" s="100" t="e">
        <f t="shared" ca="1" si="377"/>
        <v>#NAME?</v>
      </c>
      <c r="J2196" s="100" t="e">
        <f ca="1">IFERROR(__xludf.DUMMYFUNCTION("""COMPUTED_VALUE"""),"-3.514")</f>
        <v>#NAME?</v>
      </c>
      <c r="K2196" s="100" t="e">
        <f t="shared" ca="1" si="378"/>
        <v>#NAME?</v>
      </c>
      <c r="L2196" s="100"/>
      <c r="M2196" s="100"/>
      <c r="N2196" s="100"/>
      <c r="O2196" s="100"/>
      <c r="P2196" s="100"/>
      <c r="Q2196" s="100"/>
      <c r="R2196" s="100"/>
      <c r="S2196" s="100"/>
      <c r="T2196" s="100"/>
      <c r="U2196" s="100"/>
      <c r="V2196" s="100"/>
      <c r="W2196" s="100"/>
      <c r="X2196" s="100"/>
      <c r="Y2196" s="100"/>
      <c r="Z2196" s="100"/>
    </row>
    <row r="2197" spans="1:26">
      <c r="A2197" s="100" t="e">
        <f ca="1">IFERROR(__xludf.DUMMYFUNCTION("""COMPUTED_VALUE"""),58785532)</f>
        <v>#NAME?</v>
      </c>
      <c r="B2197" s="100" t="e">
        <f ca="1">IFERROR(__xludf.DUMMYFUNCTION("""COMPUTED_VALUE"""),"USDTRON")</f>
        <v>#NAME?</v>
      </c>
      <c r="C2197" s="100" t="e">
        <f ca="1">IFERROR(__xludf.DUMMYFUNCTION("""COMPUTED_VALUE"""),"4.59800000")</f>
        <v>#NAME?</v>
      </c>
      <c r="D2197" s="100" t="e">
        <f t="shared" ca="1" si="379"/>
        <v>#NAME?</v>
      </c>
      <c r="E2197" s="100" t="e">
        <f t="shared" ca="1" si="379"/>
        <v>#NAME?</v>
      </c>
      <c r="F2197" s="100" t="e">
        <f t="shared" ca="1" si="374"/>
        <v>#NAME?</v>
      </c>
      <c r="G2197" s="100" t="e">
        <f t="shared" ca="1" si="375"/>
        <v>#NAME?</v>
      </c>
      <c r="H2197" s="100" t="e">
        <f t="shared" ca="1" si="376"/>
        <v>#NAME?</v>
      </c>
      <c r="I2197" s="100" t="e">
        <f t="shared" ca="1" si="377"/>
        <v>#NAME?</v>
      </c>
      <c r="J2197" s="100" t="e">
        <f ca="1">IFERROR(__xludf.DUMMYFUNCTION("""COMPUTED_VALUE"""),"0")</f>
        <v>#NAME?</v>
      </c>
      <c r="K2197" s="100" t="e">
        <f t="shared" ca="1" si="378"/>
        <v>#NAME?</v>
      </c>
      <c r="L2197" s="100"/>
      <c r="M2197" s="100"/>
      <c r="N2197" s="100"/>
      <c r="O2197" s="100"/>
      <c r="P2197" s="100"/>
      <c r="Q2197" s="100"/>
      <c r="R2197" s="100"/>
      <c r="S2197" s="100"/>
      <c r="T2197" s="100"/>
      <c r="U2197" s="100"/>
      <c r="V2197" s="100"/>
      <c r="W2197" s="100"/>
      <c r="X2197" s="100"/>
      <c r="Y2197" s="100"/>
      <c r="Z2197" s="100"/>
    </row>
    <row r="2198" spans="1:26">
      <c r="A2198" s="100" t="e">
        <f ca="1">IFERROR(__xludf.DUMMYFUNCTION("""COMPUTED_VALUE"""),58785533)</f>
        <v>#NAME?</v>
      </c>
      <c r="B2198" s="100" t="e">
        <f ca="1">IFERROR(__xludf.DUMMYFUNCTION("""COMPUTED_VALUE"""),"USDTARS")</f>
        <v>#NAME?</v>
      </c>
      <c r="C2198" s="100" t="e">
        <f ca="1">IFERROR(__xludf.DUMMYFUNCTION("""COMPUTED_VALUE"""),"1146.90000000")</f>
        <v>#NAME?</v>
      </c>
      <c r="D2198" s="100" t="e">
        <f t="shared" ca="1" si="379"/>
        <v>#NAME?</v>
      </c>
      <c r="E2198" s="100" t="e">
        <f t="shared" ca="1" si="379"/>
        <v>#NAME?</v>
      </c>
      <c r="F2198" s="100" t="e">
        <f t="shared" ca="1" si="374"/>
        <v>#NAME?</v>
      </c>
      <c r="G2198" s="100" t="e">
        <f t="shared" ca="1" si="375"/>
        <v>#NAME?</v>
      </c>
      <c r="H2198" s="100" t="e">
        <f t="shared" ca="1" si="376"/>
        <v>#NAME?</v>
      </c>
      <c r="I2198" s="100" t="e">
        <f t="shared" ca="1" si="377"/>
        <v>#NAME?</v>
      </c>
      <c r="J2198" s="100" t="e">
        <f ca="1">IFERROR(__xludf.DUMMYFUNCTION("""COMPUTED_VALUE"""),"-3.516")</f>
        <v>#NAME?</v>
      </c>
      <c r="K2198" s="100" t="e">
        <f t="shared" ca="1" si="378"/>
        <v>#NAME?</v>
      </c>
      <c r="L2198" s="100"/>
      <c r="M2198" s="100"/>
      <c r="N2198" s="100"/>
      <c r="O2198" s="100"/>
      <c r="P2198" s="100"/>
      <c r="Q2198" s="100"/>
      <c r="R2198" s="100"/>
      <c r="S2198" s="100"/>
      <c r="T2198" s="100"/>
      <c r="U2198" s="100"/>
      <c r="V2198" s="100"/>
      <c r="W2198" s="100"/>
      <c r="X2198" s="100"/>
      <c r="Y2198" s="100"/>
      <c r="Z2198" s="100"/>
    </row>
    <row r="2199" spans="1:26">
      <c r="A2199" s="100" t="e">
        <f ca="1">IFERROR(__xludf.DUMMYFUNCTION("""COMPUTED_VALUE"""),58785534)</f>
        <v>#NAME?</v>
      </c>
      <c r="B2199" s="100" t="e">
        <f ca="1">IFERROR(__xludf.DUMMYFUNCTION("""COMPUTED_VALUE"""),"DOGETUSD")</f>
        <v>#NAME?</v>
      </c>
      <c r="C2199" s="100" t="e">
        <f ca="1">IFERROR(__xludf.DUMMYFUNCTION("""COMPUTED_VALUE"""),"0.16467000")</f>
        <v>#NAME?</v>
      </c>
      <c r="D2199" s="100" t="e">
        <f t="shared" ca="1" si="379"/>
        <v>#NAME?</v>
      </c>
      <c r="E2199" s="100" t="e">
        <f t="shared" ca="1" si="379"/>
        <v>#NAME?</v>
      </c>
      <c r="F2199" s="100" t="e">
        <f t="shared" ca="1" si="374"/>
        <v>#NAME?</v>
      </c>
      <c r="G2199" s="100" t="e">
        <f t="shared" ca="1" si="375"/>
        <v>#NAME?</v>
      </c>
      <c r="H2199" s="100" t="e">
        <f t="shared" ca="1" si="376"/>
        <v>#NAME?</v>
      </c>
      <c r="I2199" s="100" t="e">
        <f t="shared" ca="1" si="377"/>
        <v>#NAME?</v>
      </c>
      <c r="J2199" s="100" t="e">
        <f ca="1">IFERROR(__xludf.DUMMYFUNCTION("""COMPUTED_VALUE"""),"2.553")</f>
        <v>#NAME?</v>
      </c>
      <c r="K2199" s="100" t="e">
        <f t="shared" ca="1" si="378"/>
        <v>#NAME?</v>
      </c>
      <c r="L2199" s="100"/>
      <c r="M2199" s="100"/>
      <c r="N2199" s="100"/>
      <c r="O2199" s="100"/>
      <c r="P2199" s="100"/>
      <c r="Q2199" s="100"/>
      <c r="R2199" s="100"/>
      <c r="S2199" s="100"/>
      <c r="T2199" s="100"/>
      <c r="U2199" s="100"/>
      <c r="V2199" s="100"/>
      <c r="W2199" s="100"/>
      <c r="X2199" s="100"/>
      <c r="Y2199" s="100"/>
      <c r="Z2199" s="100"/>
    </row>
    <row r="2200" spans="1:26">
      <c r="A2200" s="100" t="e">
        <f ca="1">IFERROR(__xludf.DUMMYFUNCTION("""COMPUTED_VALUE"""),58785535)</f>
        <v>#NAME?</v>
      </c>
      <c r="B2200" s="100" t="e">
        <f ca="1">IFERROR(__xludf.DUMMYFUNCTION("""COMPUTED_VALUE"""),"WBTCUSDT")</f>
        <v>#NAME?</v>
      </c>
      <c r="C2200" s="100" t="e">
        <f ca="1">IFERROR(__xludf.DUMMYFUNCTION("""COMPUTED_VALUE"""),"88529.61000000")</f>
        <v>#NAME?</v>
      </c>
      <c r="D2200" s="100" t="e">
        <f t="shared" ca="1" si="379"/>
        <v>#NAME?</v>
      </c>
      <c r="E2200" s="100" t="e">
        <f t="shared" ca="1" si="379"/>
        <v>#NAME?</v>
      </c>
      <c r="F2200" s="100" t="e">
        <f t="shared" ca="1" si="374"/>
        <v>#NAME?</v>
      </c>
      <c r="G2200" s="100" t="e">
        <f t="shared" ca="1" si="375"/>
        <v>#NAME?</v>
      </c>
      <c r="H2200" s="100" t="e">
        <f t="shared" ca="1" si="376"/>
        <v>#NAME?</v>
      </c>
      <c r="I2200" s="100" t="e">
        <f t="shared" ca="1" si="377"/>
        <v>#NAME?</v>
      </c>
      <c r="J2200" s="100" t="e">
        <f ca="1">IFERROR(__xludf.DUMMYFUNCTION("""COMPUTED_VALUE"""),"1.278")</f>
        <v>#NAME?</v>
      </c>
      <c r="K2200" s="100" t="e">
        <f t="shared" ca="1" si="378"/>
        <v>#NAME?</v>
      </c>
      <c r="L2200" s="100"/>
      <c r="M2200" s="100"/>
      <c r="N2200" s="100"/>
      <c r="O2200" s="100"/>
      <c r="P2200" s="100"/>
      <c r="Q2200" s="100"/>
      <c r="R2200" s="100"/>
      <c r="S2200" s="100"/>
      <c r="T2200" s="100"/>
      <c r="U2200" s="100"/>
      <c r="V2200" s="100"/>
      <c r="W2200" s="100"/>
      <c r="X2200" s="100"/>
      <c r="Y2200" s="100"/>
      <c r="Z2200" s="100"/>
    </row>
    <row r="2201" spans="1:26">
      <c r="A2201" s="100" t="e">
        <f ca="1">IFERROR(__xludf.DUMMYFUNCTION("""COMPUTED_VALUE"""),58785536)</f>
        <v>#NAME?</v>
      </c>
      <c r="B2201" s="100" t="e">
        <f ca="1">IFERROR(__xludf.DUMMYFUNCTION("""COMPUTED_VALUE"""),"EDUUSDT")</f>
        <v>#NAME?</v>
      </c>
      <c r="C2201" s="100" t="e">
        <f ca="1">IFERROR(__xludf.DUMMYFUNCTION("""COMPUTED_VALUE"""),"0.12210000")</f>
        <v>#NAME?</v>
      </c>
      <c r="D2201" s="100" t="e">
        <f t="shared" ca="1" si="379"/>
        <v>#NAME?</v>
      </c>
      <c r="E2201" s="100" t="e">
        <f t="shared" ca="1" si="379"/>
        <v>#NAME?</v>
      </c>
      <c r="F2201" s="100" t="e">
        <f t="shared" ca="1" si="374"/>
        <v>#NAME?</v>
      </c>
      <c r="G2201" s="100" t="e">
        <f t="shared" ca="1" si="375"/>
        <v>#NAME?</v>
      </c>
      <c r="H2201" s="100" t="e">
        <f t="shared" ca="1" si="376"/>
        <v>#NAME?</v>
      </c>
      <c r="I2201" s="100" t="e">
        <f t="shared" ca="1" si="377"/>
        <v>#NAME?</v>
      </c>
      <c r="J2201" s="100" t="e">
        <f ca="1">IFERROR(__xludf.DUMMYFUNCTION("""COMPUTED_VALUE"""),"-0.327")</f>
        <v>#NAME?</v>
      </c>
      <c r="K2201" s="100" t="e">
        <f t="shared" ca="1" si="378"/>
        <v>#NAME?</v>
      </c>
      <c r="L2201" s="100"/>
      <c r="M2201" s="100"/>
      <c r="N2201" s="100"/>
      <c r="O2201" s="100"/>
      <c r="P2201" s="100"/>
      <c r="Q2201" s="100"/>
      <c r="R2201" s="100"/>
      <c r="S2201" s="100"/>
      <c r="T2201" s="100"/>
      <c r="U2201" s="100"/>
      <c r="V2201" s="100"/>
      <c r="W2201" s="100"/>
      <c r="X2201" s="100"/>
      <c r="Y2201" s="100"/>
      <c r="Z2201" s="100"/>
    </row>
    <row r="2202" spans="1:26">
      <c r="A2202" s="100" t="e">
        <f ca="1">IFERROR(__xludf.DUMMYFUNCTION("""COMPUTED_VALUE"""),58785537)</f>
        <v>#NAME?</v>
      </c>
      <c r="B2202" s="100" t="e">
        <f ca="1">IFERROR(__xludf.DUMMYFUNCTION("""COMPUTED_VALUE"""),"EDUTUSD")</f>
        <v>#NAME?</v>
      </c>
      <c r="C2202" s="100" t="e">
        <f ca="1">IFERROR(__xludf.DUMMYFUNCTION("""COMPUTED_VALUE"""),"1.06098000")</f>
        <v>#NAME?</v>
      </c>
      <c r="D2202" s="100" t="e">
        <f t="shared" ref="D2202:E2221" ca="1" si="380">IFERROR(__xludf.DUMMYFUNCTION("""COMPUTED_VALUE"""),"-")</f>
        <v>#NAME?</v>
      </c>
      <c r="E2202" s="100" t="e">
        <f t="shared" ca="1" si="380"/>
        <v>#NAME?</v>
      </c>
      <c r="F2202" s="100" t="e">
        <f t="shared" ca="1" si="374"/>
        <v>#NAME?</v>
      </c>
      <c r="G2202" s="100" t="e">
        <f t="shared" ca="1" si="375"/>
        <v>#NAME?</v>
      </c>
      <c r="H2202" s="100" t="e">
        <f t="shared" ca="1" si="376"/>
        <v>#NAME?</v>
      </c>
      <c r="I2202" s="100" t="e">
        <f t="shared" ca="1" si="377"/>
        <v>#NAME?</v>
      </c>
      <c r="J2202" s="100" t="e">
        <f ca="1">IFERROR(__xludf.DUMMYFUNCTION("""COMPUTED_VALUE"""),"0")</f>
        <v>#NAME?</v>
      </c>
      <c r="K2202" s="100" t="e">
        <f t="shared" ca="1" si="378"/>
        <v>#NAME?</v>
      </c>
      <c r="L2202" s="100"/>
      <c r="M2202" s="100"/>
      <c r="N2202" s="100"/>
      <c r="O2202" s="100"/>
      <c r="P2202" s="100"/>
      <c r="Q2202" s="100"/>
      <c r="R2202" s="100"/>
      <c r="S2202" s="100"/>
      <c r="T2202" s="100"/>
      <c r="U2202" s="100"/>
      <c r="V2202" s="100"/>
      <c r="W2202" s="100"/>
      <c r="X2202" s="100"/>
      <c r="Y2202" s="100"/>
      <c r="Z2202" s="100"/>
    </row>
    <row r="2203" spans="1:26">
      <c r="A2203" s="100" t="e">
        <f ca="1">IFERROR(__xludf.DUMMYFUNCTION("""COMPUTED_VALUE"""),58785538)</f>
        <v>#NAME?</v>
      </c>
      <c r="B2203" s="100" t="e">
        <f ca="1">IFERROR(__xludf.DUMMYFUNCTION("""COMPUTED_VALUE"""),"EDUBNB")</f>
        <v>#NAME?</v>
      </c>
      <c r="C2203" s="100" t="e">
        <f ca="1">IFERROR(__xludf.DUMMYFUNCTION("""COMPUTED_VALUE"""),"0.00181050")</f>
        <v>#NAME?</v>
      </c>
      <c r="D2203" s="100" t="e">
        <f t="shared" ca="1" si="380"/>
        <v>#NAME?</v>
      </c>
      <c r="E2203" s="100" t="e">
        <f t="shared" ca="1" si="380"/>
        <v>#NAME?</v>
      </c>
      <c r="F2203" s="100" t="e">
        <f t="shared" ca="1" si="374"/>
        <v>#NAME?</v>
      </c>
      <c r="G2203" s="100" t="e">
        <f t="shared" ca="1" si="375"/>
        <v>#NAME?</v>
      </c>
      <c r="H2203" s="100" t="e">
        <f t="shared" ca="1" si="376"/>
        <v>#NAME?</v>
      </c>
      <c r="I2203" s="100" t="e">
        <f t="shared" ca="1" si="377"/>
        <v>#NAME?</v>
      </c>
      <c r="J2203" s="100" t="e">
        <f ca="1">IFERROR(__xludf.DUMMYFUNCTION("""COMPUTED_VALUE"""),"0")</f>
        <v>#NAME?</v>
      </c>
      <c r="K2203" s="100" t="e">
        <f t="shared" ca="1" si="378"/>
        <v>#NAME?</v>
      </c>
      <c r="L2203" s="100"/>
      <c r="M2203" s="100"/>
      <c r="N2203" s="100"/>
      <c r="O2203" s="100"/>
      <c r="P2203" s="100"/>
      <c r="Q2203" s="100"/>
      <c r="R2203" s="100"/>
      <c r="S2203" s="100"/>
      <c r="T2203" s="100"/>
      <c r="U2203" s="100"/>
      <c r="V2203" s="100"/>
      <c r="W2203" s="100"/>
      <c r="X2203" s="100"/>
      <c r="Y2203" s="100"/>
      <c r="Z2203" s="100"/>
    </row>
    <row r="2204" spans="1:26">
      <c r="A2204" s="100" t="e">
        <f ca="1">IFERROR(__xludf.DUMMYFUNCTION("""COMPUTED_VALUE"""),58785539)</f>
        <v>#NAME?</v>
      </c>
      <c r="B2204" s="100" t="e">
        <f ca="1">IFERROR(__xludf.DUMMYFUNCTION("""COMPUTED_VALUE"""),"EDUBTC")</f>
        <v>#NAME?</v>
      </c>
      <c r="C2204" s="100" t="e">
        <f ca="1">IFERROR(__xludf.DUMMYFUNCTION("""COMPUTED_VALUE"""),"0.00000324")</f>
        <v>#NAME?</v>
      </c>
      <c r="D2204" s="100" t="e">
        <f t="shared" ca="1" si="380"/>
        <v>#NAME?</v>
      </c>
      <c r="E2204" s="100" t="e">
        <f t="shared" ca="1" si="380"/>
        <v>#NAME?</v>
      </c>
      <c r="F2204" s="100" t="e">
        <f t="shared" ca="1" si="374"/>
        <v>#NAME?</v>
      </c>
      <c r="G2204" s="100" t="e">
        <f t="shared" ca="1" si="375"/>
        <v>#NAME?</v>
      </c>
      <c r="H2204" s="100" t="e">
        <f t="shared" ca="1" si="376"/>
        <v>#NAME?</v>
      </c>
      <c r="I2204" s="100" t="e">
        <f t="shared" ca="1" si="377"/>
        <v>#NAME?</v>
      </c>
      <c r="J2204" s="100" t="e">
        <f ca="1">IFERROR(__xludf.DUMMYFUNCTION("""COMPUTED_VALUE"""),"0")</f>
        <v>#NAME?</v>
      </c>
      <c r="K2204" s="100" t="e">
        <f t="shared" ca="1" si="378"/>
        <v>#NAME?</v>
      </c>
      <c r="L2204" s="100"/>
      <c r="M2204" s="100"/>
      <c r="N2204" s="100"/>
      <c r="O2204" s="100"/>
      <c r="P2204" s="100"/>
      <c r="Q2204" s="100"/>
      <c r="R2204" s="100"/>
      <c r="S2204" s="100"/>
      <c r="T2204" s="100"/>
      <c r="U2204" s="100"/>
      <c r="V2204" s="100"/>
      <c r="W2204" s="100"/>
      <c r="X2204" s="100"/>
      <c r="Y2204" s="100"/>
      <c r="Z2204" s="100"/>
    </row>
    <row r="2205" spans="1:26">
      <c r="A2205" s="100" t="e">
        <f ca="1">IFERROR(__xludf.DUMMYFUNCTION("""COMPUTED_VALUE"""),58785540)</f>
        <v>#NAME?</v>
      </c>
      <c r="B2205" s="100" t="e">
        <f ca="1">IFERROR(__xludf.DUMMYFUNCTION("""COMPUTED_VALUE"""),"EDUEUR")</f>
        <v>#NAME?</v>
      </c>
      <c r="C2205" s="100" t="e">
        <f ca="1">IFERROR(__xludf.DUMMYFUNCTION("""COMPUTED_VALUE"""),"0.47455000")</f>
        <v>#NAME?</v>
      </c>
      <c r="D2205" s="100" t="e">
        <f t="shared" ca="1" si="380"/>
        <v>#NAME?</v>
      </c>
      <c r="E2205" s="100" t="e">
        <f t="shared" ca="1" si="380"/>
        <v>#NAME?</v>
      </c>
      <c r="F2205" s="100" t="e">
        <f t="shared" ca="1" si="374"/>
        <v>#NAME?</v>
      </c>
      <c r="G2205" s="100" t="e">
        <f t="shared" ca="1" si="375"/>
        <v>#NAME?</v>
      </c>
      <c r="H2205" s="100" t="e">
        <f t="shared" ca="1" si="376"/>
        <v>#NAME?</v>
      </c>
      <c r="I2205" s="100" t="e">
        <f t="shared" ca="1" si="377"/>
        <v>#NAME?</v>
      </c>
      <c r="J2205" s="100" t="e">
        <f ca="1">IFERROR(__xludf.DUMMYFUNCTION("""COMPUTED_VALUE"""),"0")</f>
        <v>#NAME?</v>
      </c>
      <c r="K2205" s="100" t="e">
        <f t="shared" ca="1" si="378"/>
        <v>#NAME?</v>
      </c>
      <c r="L2205" s="100"/>
      <c r="M2205" s="100"/>
      <c r="N2205" s="100"/>
      <c r="O2205" s="100"/>
      <c r="P2205" s="100"/>
      <c r="Q2205" s="100"/>
      <c r="R2205" s="100"/>
      <c r="S2205" s="100"/>
      <c r="T2205" s="100"/>
      <c r="U2205" s="100"/>
      <c r="V2205" s="100"/>
      <c r="W2205" s="100"/>
      <c r="X2205" s="100"/>
      <c r="Y2205" s="100"/>
      <c r="Z2205" s="100"/>
    </row>
    <row r="2206" spans="1:26">
      <c r="A2206" s="100" t="e">
        <f ca="1">IFERROR(__xludf.DUMMYFUNCTION("""COMPUTED_VALUE"""),58785541)</f>
        <v>#NAME?</v>
      </c>
      <c r="B2206" s="100" t="e">
        <f ca="1">IFERROR(__xludf.DUMMYFUNCTION("""COMPUTED_VALUE"""),"EDUTRY")</f>
        <v>#NAME?</v>
      </c>
      <c r="C2206" s="100" t="e">
        <f ca="1">IFERROR(__xludf.DUMMYFUNCTION("""COMPUTED_VALUE"""),"4.65000000")</f>
        <v>#NAME?</v>
      </c>
      <c r="D2206" s="100" t="e">
        <f t="shared" ca="1" si="380"/>
        <v>#NAME?</v>
      </c>
      <c r="E2206" s="100" t="e">
        <f t="shared" ca="1" si="380"/>
        <v>#NAME?</v>
      </c>
      <c r="F2206" s="100" t="e">
        <f t="shared" ca="1" si="374"/>
        <v>#NAME?</v>
      </c>
      <c r="G2206" s="100" t="e">
        <f t="shared" ca="1" si="375"/>
        <v>#NAME?</v>
      </c>
      <c r="H2206" s="100" t="e">
        <f t="shared" ca="1" si="376"/>
        <v>#NAME?</v>
      </c>
      <c r="I2206" s="100" t="e">
        <f t="shared" ca="1" si="377"/>
        <v>#NAME?</v>
      </c>
      <c r="J2206" s="100" t="e">
        <f ca="1">IFERROR(__xludf.DUMMYFUNCTION("""COMPUTED_VALUE"""),"-0.641")</f>
        <v>#NAME?</v>
      </c>
      <c r="K2206" s="100" t="e">
        <f t="shared" ca="1" si="378"/>
        <v>#NAME?</v>
      </c>
      <c r="L2206" s="100"/>
      <c r="M2206" s="100"/>
      <c r="N2206" s="100"/>
      <c r="O2206" s="100"/>
      <c r="P2206" s="100"/>
      <c r="Q2206" s="100"/>
      <c r="R2206" s="100"/>
      <c r="S2206" s="100"/>
      <c r="T2206" s="100"/>
      <c r="U2206" s="100"/>
      <c r="V2206" s="100"/>
      <c r="W2206" s="100"/>
      <c r="X2206" s="100"/>
      <c r="Y2206" s="100"/>
      <c r="Z2206" s="100"/>
    </row>
    <row r="2207" spans="1:26">
      <c r="A2207" s="100" t="e">
        <f ca="1">IFERROR(__xludf.DUMMYFUNCTION("""COMPUTED_VALUE"""),58785542)</f>
        <v>#NAME?</v>
      </c>
      <c r="B2207" s="100" t="e">
        <f ca="1">IFERROR(__xludf.DUMMYFUNCTION("""COMPUTED_VALUE"""),"SUIUSDT")</f>
        <v>#NAME?</v>
      </c>
      <c r="C2207" s="100" t="e">
        <f ca="1">IFERROR(__xludf.DUMMYFUNCTION("""COMPUTED_VALUE"""),"2.31580000")</f>
        <v>#NAME?</v>
      </c>
      <c r="D2207" s="100" t="e">
        <f t="shared" ca="1" si="380"/>
        <v>#NAME?</v>
      </c>
      <c r="E2207" s="100" t="e">
        <f t="shared" ca="1" si="380"/>
        <v>#NAME?</v>
      </c>
      <c r="F2207" s="100" t="e">
        <f t="shared" ca="1" si="374"/>
        <v>#NAME?</v>
      </c>
      <c r="G2207" s="100" t="e">
        <f t="shared" ca="1" si="375"/>
        <v>#NAME?</v>
      </c>
      <c r="H2207" s="100" t="e">
        <f t="shared" ca="1" si="376"/>
        <v>#NAME?</v>
      </c>
      <c r="I2207" s="100" t="e">
        <f t="shared" ca="1" si="377"/>
        <v>#NAME?</v>
      </c>
      <c r="J2207" s="100" t="e">
        <f ca="1">IFERROR(__xludf.DUMMYFUNCTION("""COMPUTED_VALUE"""),"2.022")</f>
        <v>#NAME?</v>
      </c>
      <c r="K2207" s="100" t="e">
        <f t="shared" ca="1" si="378"/>
        <v>#NAME?</v>
      </c>
      <c r="L2207" s="100"/>
      <c r="M2207" s="100"/>
      <c r="N2207" s="100"/>
      <c r="O2207" s="100"/>
      <c r="P2207" s="100"/>
      <c r="Q2207" s="100"/>
      <c r="R2207" s="100"/>
      <c r="S2207" s="100"/>
      <c r="T2207" s="100"/>
      <c r="U2207" s="100"/>
      <c r="V2207" s="100"/>
      <c r="W2207" s="100"/>
      <c r="X2207" s="100"/>
      <c r="Y2207" s="100"/>
      <c r="Z2207" s="100"/>
    </row>
    <row r="2208" spans="1:26">
      <c r="A2208" s="100" t="e">
        <f ca="1">IFERROR(__xludf.DUMMYFUNCTION("""COMPUTED_VALUE"""),58785543)</f>
        <v>#NAME?</v>
      </c>
      <c r="B2208" s="100" t="e">
        <f ca="1">IFERROR(__xludf.DUMMYFUNCTION("""COMPUTED_VALUE"""),"SUITUSD")</f>
        <v>#NAME?</v>
      </c>
      <c r="C2208" s="100" t="e">
        <f ca="1">IFERROR(__xludf.DUMMYFUNCTION("""COMPUTED_VALUE"""),"4.06690000")</f>
        <v>#NAME?</v>
      </c>
      <c r="D2208" s="100" t="e">
        <f t="shared" ca="1" si="380"/>
        <v>#NAME?</v>
      </c>
      <c r="E2208" s="100" t="e">
        <f t="shared" ca="1" si="380"/>
        <v>#NAME?</v>
      </c>
      <c r="F2208" s="100" t="e">
        <f t="shared" ca="1" si="374"/>
        <v>#NAME?</v>
      </c>
      <c r="G2208" s="100" t="e">
        <f t="shared" ca="1" si="375"/>
        <v>#NAME?</v>
      </c>
      <c r="H2208" s="100" t="e">
        <f t="shared" ca="1" si="376"/>
        <v>#NAME?</v>
      </c>
      <c r="I2208" s="100" t="e">
        <f t="shared" ca="1" si="377"/>
        <v>#NAME?</v>
      </c>
      <c r="J2208" s="100" t="e">
        <f ca="1">IFERROR(__xludf.DUMMYFUNCTION("""COMPUTED_VALUE"""),"0")</f>
        <v>#NAME?</v>
      </c>
      <c r="K2208" s="100" t="e">
        <f t="shared" ca="1" si="378"/>
        <v>#NAME?</v>
      </c>
      <c r="L2208" s="100"/>
      <c r="M2208" s="100"/>
      <c r="N2208" s="100"/>
      <c r="O2208" s="100"/>
      <c r="P2208" s="100"/>
      <c r="Q2208" s="100"/>
      <c r="R2208" s="100"/>
      <c r="S2208" s="100"/>
      <c r="T2208" s="100"/>
      <c r="U2208" s="100"/>
      <c r="V2208" s="100"/>
      <c r="W2208" s="100"/>
      <c r="X2208" s="100"/>
      <c r="Y2208" s="100"/>
      <c r="Z2208" s="100"/>
    </row>
    <row r="2209" spans="1:26">
      <c r="A2209" s="100" t="e">
        <f ca="1">IFERROR(__xludf.DUMMYFUNCTION("""COMPUTED_VALUE"""),58785544)</f>
        <v>#NAME?</v>
      </c>
      <c r="B2209" s="100" t="e">
        <f ca="1">IFERROR(__xludf.DUMMYFUNCTION("""COMPUTED_VALUE"""),"SUIBTC")</f>
        <v>#NAME?</v>
      </c>
      <c r="C2209" s="100" t="e">
        <f ca="1">IFERROR(__xludf.DUMMYFUNCTION("""COMPUTED_VALUE"""),"0.00002615")</f>
        <v>#NAME?</v>
      </c>
      <c r="D2209" s="100" t="e">
        <f t="shared" ca="1" si="380"/>
        <v>#NAME?</v>
      </c>
      <c r="E2209" s="100" t="e">
        <f t="shared" ca="1" si="380"/>
        <v>#NAME?</v>
      </c>
      <c r="F2209" s="100" t="e">
        <f t="shared" ca="1" si="374"/>
        <v>#NAME?</v>
      </c>
      <c r="G2209" s="100" t="e">
        <f t="shared" ca="1" si="375"/>
        <v>#NAME?</v>
      </c>
      <c r="H2209" s="100" t="e">
        <f t="shared" ca="1" si="376"/>
        <v>#NAME?</v>
      </c>
      <c r="I2209" s="100" t="e">
        <f t="shared" ca="1" si="377"/>
        <v>#NAME?</v>
      </c>
      <c r="J2209" s="100" t="e">
        <f ca="1">IFERROR(__xludf.DUMMYFUNCTION("""COMPUTED_VALUE"""),"0.732")</f>
        <v>#NAME?</v>
      </c>
      <c r="K2209" s="100" t="e">
        <f t="shared" ca="1" si="378"/>
        <v>#NAME?</v>
      </c>
      <c r="L2209" s="100"/>
      <c r="M2209" s="100"/>
      <c r="N2209" s="100"/>
      <c r="O2209" s="100"/>
      <c r="P2209" s="100"/>
      <c r="Q2209" s="100"/>
      <c r="R2209" s="100"/>
      <c r="S2209" s="100"/>
      <c r="T2209" s="100"/>
      <c r="U2209" s="100"/>
      <c r="V2209" s="100"/>
      <c r="W2209" s="100"/>
      <c r="X2209" s="100"/>
      <c r="Y2209" s="100"/>
      <c r="Z2209" s="100"/>
    </row>
    <row r="2210" spans="1:26">
      <c r="A2210" s="100" t="e">
        <f ca="1">IFERROR(__xludf.DUMMYFUNCTION("""COMPUTED_VALUE"""),58785545)</f>
        <v>#NAME?</v>
      </c>
      <c r="B2210" s="100" t="e">
        <f ca="1">IFERROR(__xludf.DUMMYFUNCTION("""COMPUTED_VALUE"""),"SUIBNB")</f>
        <v>#NAME?</v>
      </c>
      <c r="C2210" s="100" t="e">
        <f ca="1">IFERROR(__xludf.DUMMYFUNCTION("""COMPUTED_VALUE"""),"0.00382100")</f>
        <v>#NAME?</v>
      </c>
      <c r="D2210" s="100" t="e">
        <f t="shared" ca="1" si="380"/>
        <v>#NAME?</v>
      </c>
      <c r="E2210" s="100" t="e">
        <f t="shared" ca="1" si="380"/>
        <v>#NAME?</v>
      </c>
      <c r="F2210" s="100" t="e">
        <f t="shared" ca="1" si="374"/>
        <v>#NAME?</v>
      </c>
      <c r="G2210" s="100" t="e">
        <f t="shared" ca="1" si="375"/>
        <v>#NAME?</v>
      </c>
      <c r="H2210" s="100" t="e">
        <f t="shared" ca="1" si="376"/>
        <v>#NAME?</v>
      </c>
      <c r="I2210" s="100" t="e">
        <f t="shared" ca="1" si="377"/>
        <v>#NAME?</v>
      </c>
      <c r="J2210" s="100" t="e">
        <f ca="1">IFERROR(__xludf.DUMMYFUNCTION("""COMPUTED_VALUE"""),"1.921")</f>
        <v>#NAME?</v>
      </c>
      <c r="K2210" s="100" t="e">
        <f t="shared" ca="1" si="378"/>
        <v>#NAME?</v>
      </c>
      <c r="L2210" s="100"/>
      <c r="M2210" s="100"/>
      <c r="N2210" s="100"/>
      <c r="O2210" s="100"/>
      <c r="P2210" s="100"/>
      <c r="Q2210" s="100"/>
      <c r="R2210" s="100"/>
      <c r="S2210" s="100"/>
      <c r="T2210" s="100"/>
      <c r="U2210" s="100"/>
      <c r="V2210" s="100"/>
      <c r="W2210" s="100"/>
      <c r="X2210" s="100"/>
      <c r="Y2210" s="100"/>
      <c r="Z2210" s="100"/>
    </row>
    <row r="2211" spans="1:26">
      <c r="A2211" s="100" t="e">
        <f ca="1">IFERROR(__xludf.DUMMYFUNCTION("""COMPUTED_VALUE"""),58785546)</f>
        <v>#NAME?</v>
      </c>
      <c r="B2211" s="100" t="e">
        <f ca="1">IFERROR(__xludf.DUMMYFUNCTION("""COMPUTED_VALUE"""),"SUIEUR")</f>
        <v>#NAME?</v>
      </c>
      <c r="C2211" s="100" t="e">
        <f ca="1">IFERROR(__xludf.DUMMYFUNCTION("""COMPUTED_VALUE"""),"2.01650000")</f>
        <v>#NAME?</v>
      </c>
      <c r="D2211" s="100" t="e">
        <f t="shared" ca="1" si="380"/>
        <v>#NAME?</v>
      </c>
      <c r="E2211" s="100" t="e">
        <f t="shared" ca="1" si="380"/>
        <v>#NAME?</v>
      </c>
      <c r="F2211" s="100" t="e">
        <f t="shared" ca="1" si="374"/>
        <v>#NAME?</v>
      </c>
      <c r="G2211" s="100" t="e">
        <f t="shared" ca="1" si="375"/>
        <v>#NAME?</v>
      </c>
      <c r="H2211" s="100" t="e">
        <f t="shared" ca="1" si="376"/>
        <v>#NAME?</v>
      </c>
      <c r="I2211" s="100" t="e">
        <f t="shared" ca="1" si="377"/>
        <v>#NAME?</v>
      </c>
      <c r="J2211" s="100" t="e">
        <f ca="1">IFERROR(__xludf.DUMMYFUNCTION("""COMPUTED_VALUE"""),"2.804")</f>
        <v>#NAME?</v>
      </c>
      <c r="K2211" s="100" t="e">
        <f t="shared" ca="1" si="378"/>
        <v>#NAME?</v>
      </c>
      <c r="L2211" s="100"/>
      <c r="M2211" s="100"/>
      <c r="N2211" s="100"/>
      <c r="O2211" s="100"/>
      <c r="P2211" s="100"/>
      <c r="Q2211" s="100"/>
      <c r="R2211" s="100"/>
      <c r="S2211" s="100"/>
      <c r="T2211" s="100"/>
      <c r="U2211" s="100"/>
      <c r="V2211" s="100"/>
      <c r="W2211" s="100"/>
      <c r="X2211" s="100"/>
      <c r="Y2211" s="100"/>
      <c r="Z2211" s="100"/>
    </row>
    <row r="2212" spans="1:26">
      <c r="A2212" s="100" t="e">
        <f ca="1">IFERROR(__xludf.DUMMYFUNCTION("""COMPUTED_VALUE"""),58785547)</f>
        <v>#NAME?</v>
      </c>
      <c r="B2212" s="100" t="e">
        <f ca="1">IFERROR(__xludf.DUMMYFUNCTION("""COMPUTED_VALUE"""),"SUITRY")</f>
        <v>#NAME?</v>
      </c>
      <c r="C2212" s="100" t="e">
        <f ca="1">IFERROR(__xludf.DUMMYFUNCTION("""COMPUTED_VALUE"""),"88.53000000")</f>
        <v>#NAME?</v>
      </c>
      <c r="D2212" s="100" t="e">
        <f t="shared" ca="1" si="380"/>
        <v>#NAME?</v>
      </c>
      <c r="E2212" s="100" t="e">
        <f t="shared" ca="1" si="380"/>
        <v>#NAME?</v>
      </c>
      <c r="F2212" s="100" t="e">
        <f t="shared" ca="1" si="374"/>
        <v>#NAME?</v>
      </c>
      <c r="G2212" s="100" t="e">
        <f t="shared" ca="1" si="375"/>
        <v>#NAME?</v>
      </c>
      <c r="H2212" s="100" t="e">
        <f t="shared" ca="1" si="376"/>
        <v>#NAME?</v>
      </c>
      <c r="I2212" s="100" t="e">
        <f t="shared" ca="1" si="377"/>
        <v>#NAME?</v>
      </c>
      <c r="J2212" s="100" t="e">
        <f ca="1">IFERROR(__xludf.DUMMYFUNCTION("""COMPUTED_VALUE"""),"2.028")</f>
        <v>#NAME?</v>
      </c>
      <c r="K2212" s="100" t="e">
        <f t="shared" ca="1" si="378"/>
        <v>#NAME?</v>
      </c>
      <c r="L2212" s="100"/>
      <c r="M2212" s="100"/>
      <c r="N2212" s="100"/>
      <c r="O2212" s="100"/>
      <c r="P2212" s="100"/>
      <c r="Q2212" s="100"/>
      <c r="R2212" s="100"/>
      <c r="S2212" s="100"/>
      <c r="T2212" s="100"/>
      <c r="U2212" s="100"/>
      <c r="V2212" s="100"/>
      <c r="W2212" s="100"/>
      <c r="X2212" s="100"/>
      <c r="Y2212" s="100"/>
      <c r="Z2212" s="100"/>
    </row>
    <row r="2213" spans="1:26">
      <c r="A2213" s="100" t="e">
        <f ca="1">IFERROR(__xludf.DUMMYFUNCTION("""COMPUTED_VALUE"""),58785548)</f>
        <v>#NAME?</v>
      </c>
      <c r="B2213" s="100" t="e">
        <f ca="1">IFERROR(__xludf.DUMMYFUNCTION("""COMPUTED_VALUE"""),"AERGOUSDT")</f>
        <v>#NAME?</v>
      </c>
      <c r="C2213" s="100" t="e">
        <f ca="1">IFERROR(__xludf.DUMMYFUNCTION("""COMPUTED_VALUE"""),"0.06350000")</f>
        <v>#NAME?</v>
      </c>
      <c r="D2213" s="100" t="e">
        <f t="shared" ca="1" si="380"/>
        <v>#NAME?</v>
      </c>
      <c r="E2213" s="100" t="e">
        <f t="shared" ca="1" si="380"/>
        <v>#NAME?</v>
      </c>
      <c r="F2213" s="100" t="e">
        <f t="shared" ca="1" si="374"/>
        <v>#NAME?</v>
      </c>
      <c r="G2213" s="100" t="e">
        <f t="shared" ca="1" si="375"/>
        <v>#NAME?</v>
      </c>
      <c r="H2213" s="100" t="e">
        <f t="shared" ca="1" si="376"/>
        <v>#NAME?</v>
      </c>
      <c r="I2213" s="100" t="e">
        <f t="shared" ca="1" si="377"/>
        <v>#NAME?</v>
      </c>
      <c r="J2213" s="100" t="e">
        <f ca="1">IFERROR(__xludf.DUMMYFUNCTION("""COMPUTED_VALUE"""),"0")</f>
        <v>#NAME?</v>
      </c>
      <c r="K2213" s="100" t="e">
        <f t="shared" ca="1" si="378"/>
        <v>#NAME?</v>
      </c>
      <c r="L2213" s="100"/>
      <c r="M2213" s="100"/>
      <c r="N2213" s="100"/>
      <c r="O2213" s="100"/>
      <c r="P2213" s="100"/>
      <c r="Q2213" s="100"/>
      <c r="R2213" s="100"/>
      <c r="S2213" s="100"/>
      <c r="T2213" s="100"/>
      <c r="U2213" s="100"/>
      <c r="V2213" s="100"/>
      <c r="W2213" s="100"/>
      <c r="X2213" s="100"/>
      <c r="Y2213" s="100"/>
      <c r="Z2213" s="100"/>
    </row>
    <row r="2214" spans="1:26">
      <c r="A2214" s="100" t="e">
        <f ca="1">IFERROR(__xludf.DUMMYFUNCTION("""COMPUTED_VALUE"""),58785549)</f>
        <v>#NAME?</v>
      </c>
      <c r="B2214" s="100" t="e">
        <f ca="1">IFERROR(__xludf.DUMMYFUNCTION("""COMPUTED_VALUE"""),"RNDRTRY")</f>
        <v>#NAME?</v>
      </c>
      <c r="C2214" s="100" t="e">
        <f ca="1">IFERROR(__xludf.DUMMYFUNCTION("""COMPUTED_VALUE"""),"233.63000000")</f>
        <v>#NAME?</v>
      </c>
      <c r="D2214" s="100" t="e">
        <f t="shared" ca="1" si="380"/>
        <v>#NAME?</v>
      </c>
      <c r="E2214" s="100" t="e">
        <f t="shared" ca="1" si="380"/>
        <v>#NAME?</v>
      </c>
      <c r="F2214" s="100" t="e">
        <f t="shared" ca="1" si="374"/>
        <v>#NAME?</v>
      </c>
      <c r="G2214" s="100" t="e">
        <f t="shared" ca="1" si="375"/>
        <v>#NAME?</v>
      </c>
      <c r="H2214" s="100" t="e">
        <f t="shared" ca="1" si="376"/>
        <v>#NAME?</v>
      </c>
      <c r="I2214" s="100" t="e">
        <f t="shared" ca="1" si="377"/>
        <v>#NAME?</v>
      </c>
      <c r="J2214" s="100" t="e">
        <f ca="1">IFERROR(__xludf.DUMMYFUNCTION("""COMPUTED_VALUE"""),"0")</f>
        <v>#NAME?</v>
      </c>
      <c r="K2214" s="100" t="e">
        <f t="shared" ca="1" si="378"/>
        <v>#NAME?</v>
      </c>
      <c r="L2214" s="100"/>
      <c r="M2214" s="100"/>
      <c r="N2214" s="100"/>
      <c r="O2214" s="100"/>
      <c r="P2214" s="100"/>
      <c r="Q2214" s="100"/>
      <c r="R2214" s="100"/>
      <c r="S2214" s="100"/>
      <c r="T2214" s="100"/>
      <c r="U2214" s="100"/>
      <c r="V2214" s="100"/>
      <c r="W2214" s="100"/>
      <c r="X2214" s="100"/>
      <c r="Y2214" s="100"/>
      <c r="Z2214" s="100"/>
    </row>
    <row r="2215" spans="1:26">
      <c r="A2215" s="100" t="e">
        <f ca="1">IFERROR(__xludf.DUMMYFUNCTION("""COMPUTED_VALUE"""),58785550)</f>
        <v>#NAME?</v>
      </c>
      <c r="B2215" s="100" t="e">
        <f ca="1">IFERROR(__xludf.DUMMYFUNCTION("""COMPUTED_VALUE"""),"PEPEUSDT")</f>
        <v>#NAME?</v>
      </c>
      <c r="C2215" s="100" t="e">
        <f ca="1">IFERROR(__xludf.DUMMYFUNCTION("""COMPUTED_VALUE"""),"0.00000811")</f>
        <v>#NAME?</v>
      </c>
      <c r="D2215" s="100" t="e">
        <f t="shared" ca="1" si="380"/>
        <v>#NAME?</v>
      </c>
      <c r="E2215" s="100" t="e">
        <f t="shared" ca="1" si="380"/>
        <v>#NAME?</v>
      </c>
      <c r="F2215" s="100" t="e">
        <f t="shared" ca="1" si="374"/>
        <v>#NAME?</v>
      </c>
      <c r="G2215" s="100" t="e">
        <f t="shared" ca="1" si="375"/>
        <v>#NAME?</v>
      </c>
      <c r="H2215" s="100" t="e">
        <f t="shared" ca="1" si="376"/>
        <v>#NAME?</v>
      </c>
      <c r="I2215" s="100" t="e">
        <f t="shared" ca="1" si="377"/>
        <v>#NAME?</v>
      </c>
      <c r="J2215" s="100" t="e">
        <f ca="1">IFERROR(__xludf.DUMMYFUNCTION("""COMPUTED_VALUE"""),"3.571")</f>
        <v>#NAME?</v>
      </c>
      <c r="K2215" s="100" t="e">
        <f t="shared" ca="1" si="378"/>
        <v>#NAME?</v>
      </c>
      <c r="L2215" s="100"/>
      <c r="M2215" s="100"/>
      <c r="N2215" s="100"/>
      <c r="O2215" s="100"/>
      <c r="P2215" s="100"/>
      <c r="Q2215" s="100"/>
      <c r="R2215" s="100"/>
      <c r="S2215" s="100"/>
      <c r="T2215" s="100"/>
      <c r="U2215" s="100"/>
      <c r="V2215" s="100"/>
      <c r="W2215" s="100"/>
      <c r="X2215" s="100"/>
      <c r="Y2215" s="100"/>
      <c r="Z2215" s="100"/>
    </row>
    <row r="2216" spans="1:26">
      <c r="A2216" s="100" t="e">
        <f ca="1">IFERROR(__xludf.DUMMYFUNCTION("""COMPUTED_VALUE"""),58785551)</f>
        <v>#NAME?</v>
      </c>
      <c r="B2216" s="100" t="e">
        <f ca="1">IFERROR(__xludf.DUMMYFUNCTION("""COMPUTED_VALUE"""),"PEPETUSD")</f>
        <v>#NAME?</v>
      </c>
      <c r="C2216" s="100" t="e">
        <f ca="1">IFERROR(__xludf.DUMMYFUNCTION("""COMPUTED_VALUE"""),"0.00002351")</f>
        <v>#NAME?</v>
      </c>
      <c r="D2216" s="100" t="e">
        <f t="shared" ca="1" si="380"/>
        <v>#NAME?</v>
      </c>
      <c r="E2216" s="100" t="e">
        <f t="shared" ca="1" si="380"/>
        <v>#NAME?</v>
      </c>
      <c r="F2216" s="100" t="e">
        <f t="shared" ca="1" si="374"/>
        <v>#NAME?</v>
      </c>
      <c r="G2216" s="100" t="e">
        <f t="shared" ca="1" si="375"/>
        <v>#NAME?</v>
      </c>
      <c r="H2216" s="100" t="e">
        <f t="shared" ca="1" si="376"/>
        <v>#NAME?</v>
      </c>
      <c r="I2216" s="100" t="e">
        <f t="shared" ca="1" si="377"/>
        <v>#NAME?</v>
      </c>
      <c r="J2216" s="100" t="e">
        <f ca="1">IFERROR(__xludf.DUMMYFUNCTION("""COMPUTED_VALUE"""),"0")</f>
        <v>#NAME?</v>
      </c>
      <c r="K2216" s="100" t="e">
        <f t="shared" ca="1" si="378"/>
        <v>#NAME?</v>
      </c>
      <c r="L2216" s="100"/>
      <c r="M2216" s="100"/>
      <c r="N2216" s="100"/>
      <c r="O2216" s="100"/>
      <c r="P2216" s="100"/>
      <c r="Q2216" s="100"/>
      <c r="R2216" s="100"/>
      <c r="S2216" s="100"/>
      <c r="T2216" s="100"/>
      <c r="U2216" s="100"/>
      <c r="V2216" s="100"/>
      <c r="W2216" s="100"/>
      <c r="X2216" s="100"/>
      <c r="Y2216" s="100"/>
      <c r="Z2216" s="100"/>
    </row>
    <row r="2217" spans="1:26">
      <c r="A2217" s="100" t="e">
        <f ca="1">IFERROR(__xludf.DUMMYFUNCTION("""COMPUTED_VALUE"""),58785552)</f>
        <v>#NAME?</v>
      </c>
      <c r="B2217" s="100" t="e">
        <f ca="1">IFERROR(__xludf.DUMMYFUNCTION("""COMPUTED_VALUE"""),"FLOKIUSDT")</f>
        <v>#NAME?</v>
      </c>
      <c r="C2217" s="100" t="e">
        <f ca="1">IFERROR(__xludf.DUMMYFUNCTION("""COMPUTED_VALUE"""),"0.00005884")</f>
        <v>#NAME?</v>
      </c>
      <c r="D2217" s="100" t="e">
        <f t="shared" ca="1" si="380"/>
        <v>#NAME?</v>
      </c>
      <c r="E2217" s="100" t="e">
        <f t="shared" ca="1" si="380"/>
        <v>#NAME?</v>
      </c>
      <c r="F2217" s="100" t="e">
        <f t="shared" ca="1" si="374"/>
        <v>#NAME?</v>
      </c>
      <c r="G2217" s="100" t="e">
        <f t="shared" ca="1" si="375"/>
        <v>#NAME?</v>
      </c>
      <c r="H2217" s="100" t="e">
        <f t="shared" ca="1" si="376"/>
        <v>#NAME?</v>
      </c>
      <c r="I2217" s="100" t="e">
        <f t="shared" ca="1" si="377"/>
        <v>#NAME?</v>
      </c>
      <c r="J2217" s="100" t="e">
        <f ca="1">IFERROR(__xludf.DUMMYFUNCTION("""COMPUTED_VALUE"""),"-0.943")</f>
        <v>#NAME?</v>
      </c>
      <c r="K2217" s="100" t="e">
        <f t="shared" ca="1" si="378"/>
        <v>#NAME?</v>
      </c>
      <c r="L2217" s="100"/>
      <c r="M2217" s="100"/>
      <c r="N2217" s="100"/>
      <c r="O2217" s="100"/>
      <c r="P2217" s="100"/>
      <c r="Q2217" s="100"/>
      <c r="R2217" s="100"/>
      <c r="S2217" s="100"/>
      <c r="T2217" s="100"/>
      <c r="U2217" s="100"/>
      <c r="V2217" s="100"/>
      <c r="W2217" s="100"/>
      <c r="X2217" s="100"/>
      <c r="Y2217" s="100"/>
      <c r="Z2217" s="100"/>
    </row>
    <row r="2218" spans="1:26">
      <c r="A2218" s="100" t="e">
        <f ca="1">IFERROR(__xludf.DUMMYFUNCTION("""COMPUTED_VALUE"""),58785553)</f>
        <v>#NAME?</v>
      </c>
      <c r="B2218" s="100" t="e">
        <f ca="1">IFERROR(__xludf.DUMMYFUNCTION("""COMPUTED_VALUE"""),"FLOKITUSD")</f>
        <v>#NAME?</v>
      </c>
      <c r="C2218" s="100" t="e">
        <f ca="1">IFERROR(__xludf.DUMMYFUNCTION("""COMPUTED_VALUE"""),"0.00003203")</f>
        <v>#NAME?</v>
      </c>
      <c r="D2218" s="100" t="e">
        <f t="shared" ca="1" si="380"/>
        <v>#NAME?</v>
      </c>
      <c r="E2218" s="100" t="e">
        <f t="shared" ca="1" si="380"/>
        <v>#NAME?</v>
      </c>
      <c r="F2218" s="100" t="e">
        <f t="shared" ca="1" si="374"/>
        <v>#NAME?</v>
      </c>
      <c r="G2218" s="100" t="e">
        <f t="shared" ca="1" si="375"/>
        <v>#NAME?</v>
      </c>
      <c r="H2218" s="100" t="e">
        <f t="shared" ca="1" si="376"/>
        <v>#NAME?</v>
      </c>
      <c r="I2218" s="100" t="e">
        <f t="shared" ca="1" si="377"/>
        <v>#NAME?</v>
      </c>
      <c r="J2218" s="100" t="e">
        <f ca="1">IFERROR(__xludf.DUMMYFUNCTION("""COMPUTED_VALUE"""),"0")</f>
        <v>#NAME?</v>
      </c>
      <c r="K2218" s="100" t="e">
        <f t="shared" ca="1" si="378"/>
        <v>#NAME?</v>
      </c>
      <c r="L2218" s="100"/>
      <c r="M2218" s="100"/>
      <c r="N2218" s="100"/>
      <c r="O2218" s="100"/>
      <c r="P2218" s="100"/>
      <c r="Q2218" s="100"/>
      <c r="R2218" s="100"/>
      <c r="S2218" s="100"/>
      <c r="T2218" s="100"/>
      <c r="U2218" s="100"/>
      <c r="V2218" s="100"/>
      <c r="W2218" s="100"/>
      <c r="X2218" s="100"/>
      <c r="Y2218" s="100"/>
      <c r="Z2218" s="100"/>
    </row>
    <row r="2219" spans="1:26">
      <c r="A2219" s="100" t="e">
        <f ca="1">IFERROR(__xludf.DUMMYFUNCTION("""COMPUTED_VALUE"""),58785554)</f>
        <v>#NAME?</v>
      </c>
      <c r="B2219" s="100" t="e">
        <f ca="1">IFERROR(__xludf.DUMMYFUNCTION("""COMPUTED_VALUE"""),"OGTRY")</f>
        <v>#NAME?</v>
      </c>
      <c r="C2219" s="100" t="e">
        <f ca="1">IFERROR(__xludf.DUMMYFUNCTION("""COMPUTED_VALUE"""),"148.90000000")</f>
        <v>#NAME?</v>
      </c>
      <c r="D2219" s="100" t="e">
        <f t="shared" ca="1" si="380"/>
        <v>#NAME?</v>
      </c>
      <c r="E2219" s="100" t="e">
        <f t="shared" ca="1" si="380"/>
        <v>#NAME?</v>
      </c>
      <c r="F2219" s="100" t="e">
        <f t="shared" ca="1" si="374"/>
        <v>#NAME?</v>
      </c>
      <c r="G2219" s="100" t="e">
        <f t="shared" ca="1" si="375"/>
        <v>#NAME?</v>
      </c>
      <c r="H2219" s="100" t="e">
        <f t="shared" ca="1" si="376"/>
        <v>#NAME?</v>
      </c>
      <c r="I2219" s="100" t="e">
        <f t="shared" ca="1" si="377"/>
        <v>#NAME?</v>
      </c>
      <c r="J2219" s="100" t="e">
        <f ca="1">IFERROR(__xludf.DUMMYFUNCTION("""COMPUTED_VALUE"""),"0.000")</f>
        <v>#NAME?</v>
      </c>
      <c r="K2219" s="100" t="e">
        <f t="shared" ca="1" si="378"/>
        <v>#NAME?</v>
      </c>
      <c r="L2219" s="100"/>
      <c r="M2219" s="100"/>
      <c r="N2219" s="100"/>
      <c r="O2219" s="100"/>
      <c r="P2219" s="100"/>
      <c r="Q2219" s="100"/>
      <c r="R2219" s="100"/>
      <c r="S2219" s="100"/>
      <c r="T2219" s="100"/>
      <c r="U2219" s="100"/>
      <c r="V2219" s="100"/>
      <c r="W2219" s="100"/>
      <c r="X2219" s="100"/>
      <c r="Y2219" s="100"/>
      <c r="Z2219" s="100"/>
    </row>
    <row r="2220" spans="1:26">
      <c r="A2220" s="100" t="e">
        <f ca="1">IFERROR(__xludf.DUMMYFUNCTION("""COMPUTED_VALUE"""),58785555)</f>
        <v>#NAME?</v>
      </c>
      <c r="B2220" s="100" t="e">
        <f ca="1">IFERROR(__xludf.DUMMYFUNCTION("""COMPUTED_VALUE"""),"PEPETRY")</f>
        <v>#NAME?</v>
      </c>
      <c r="C2220" s="100" t="e">
        <f ca="1">IFERROR(__xludf.DUMMYFUNCTION("""COMPUTED_VALUE"""),"0.00031027")</f>
        <v>#NAME?</v>
      </c>
      <c r="D2220" s="100" t="e">
        <f t="shared" ca="1" si="380"/>
        <v>#NAME?</v>
      </c>
      <c r="E2220" s="100" t="e">
        <f t="shared" ca="1" si="380"/>
        <v>#NAME?</v>
      </c>
      <c r="F2220" s="100" t="e">
        <f t="shared" ca="1" si="374"/>
        <v>#NAME?</v>
      </c>
      <c r="G2220" s="100" t="e">
        <f t="shared" ca="1" si="375"/>
        <v>#NAME?</v>
      </c>
      <c r="H2220" s="100" t="e">
        <f t="shared" ca="1" si="376"/>
        <v>#NAME?</v>
      </c>
      <c r="I2220" s="100" t="e">
        <f t="shared" ca="1" si="377"/>
        <v>#NAME?</v>
      </c>
      <c r="J2220" s="100" t="e">
        <f ca="1">IFERROR(__xludf.DUMMYFUNCTION("""COMPUTED_VALUE"""),"3.561")</f>
        <v>#NAME?</v>
      </c>
      <c r="K2220" s="100" t="e">
        <f t="shared" ca="1" si="378"/>
        <v>#NAME?</v>
      </c>
      <c r="L2220" s="100"/>
      <c r="M2220" s="100"/>
      <c r="N2220" s="100"/>
      <c r="O2220" s="100"/>
      <c r="P2220" s="100"/>
      <c r="Q2220" s="100"/>
      <c r="R2220" s="100"/>
      <c r="S2220" s="100"/>
      <c r="T2220" s="100"/>
      <c r="U2220" s="100"/>
      <c r="V2220" s="100"/>
      <c r="W2220" s="100"/>
      <c r="X2220" s="100"/>
      <c r="Y2220" s="100"/>
      <c r="Z2220" s="100"/>
    </row>
    <row r="2221" spans="1:26">
      <c r="A2221" s="100" t="e">
        <f ca="1">IFERROR(__xludf.DUMMYFUNCTION("""COMPUTED_VALUE"""),58785556)</f>
        <v>#NAME?</v>
      </c>
      <c r="B2221" s="100" t="e">
        <f ca="1">IFERROR(__xludf.DUMMYFUNCTION("""COMPUTED_VALUE"""),"WBETHETH")</f>
        <v>#NAME?</v>
      </c>
      <c r="C2221" s="100" t="e">
        <f ca="1">IFERROR(__xludf.DUMMYFUNCTION("""COMPUTED_VALUE"""),"1.06800000")</f>
        <v>#NAME?</v>
      </c>
      <c r="D2221" s="100" t="e">
        <f t="shared" ca="1" si="380"/>
        <v>#NAME?</v>
      </c>
      <c r="E2221" s="100" t="e">
        <f t="shared" ca="1" si="380"/>
        <v>#NAME?</v>
      </c>
      <c r="F2221" s="100" t="e">
        <f t="shared" ca="1" si="374"/>
        <v>#NAME?</v>
      </c>
      <c r="G2221" s="100" t="e">
        <f t="shared" ca="1" si="375"/>
        <v>#NAME?</v>
      </c>
      <c r="H2221" s="100" t="e">
        <f t="shared" ca="1" si="376"/>
        <v>#NAME?</v>
      </c>
      <c r="I2221" s="100" t="e">
        <f t="shared" ca="1" si="377"/>
        <v>#NAME?</v>
      </c>
      <c r="J2221" s="100" t="e">
        <f ca="1">IFERROR(__xludf.DUMMYFUNCTION("""COMPUTED_VALUE"""),"0.009")</f>
        <v>#NAME?</v>
      </c>
      <c r="K2221" s="100" t="e">
        <f t="shared" ca="1" si="378"/>
        <v>#NAME?</v>
      </c>
      <c r="L2221" s="100"/>
      <c r="M2221" s="100"/>
      <c r="N2221" s="100"/>
      <c r="O2221" s="100"/>
      <c r="P2221" s="100"/>
      <c r="Q2221" s="100"/>
      <c r="R2221" s="100"/>
      <c r="S2221" s="100"/>
      <c r="T2221" s="100"/>
      <c r="U2221" s="100"/>
      <c r="V2221" s="100"/>
      <c r="W2221" s="100"/>
      <c r="X2221" s="100"/>
      <c r="Y2221" s="100"/>
      <c r="Z2221" s="100"/>
    </row>
    <row r="2222" spans="1:26">
      <c r="A2222" s="100" t="e">
        <f ca="1">IFERROR(__xludf.DUMMYFUNCTION("""COMPUTED_VALUE"""),58785557)</f>
        <v>#NAME?</v>
      </c>
      <c r="B2222" s="100" t="e">
        <f ca="1">IFERROR(__xludf.DUMMYFUNCTION("""COMPUTED_VALUE"""),"ASTUSDT")</f>
        <v>#NAME?</v>
      </c>
      <c r="C2222" s="100" t="e">
        <f ca="1">IFERROR(__xludf.DUMMYFUNCTION("""COMPUTED_VALUE"""),"0.02610000")</f>
        <v>#NAME?</v>
      </c>
      <c r="D2222" s="100" t="e">
        <f t="shared" ref="D2222:E2241" ca="1" si="381">IFERROR(__xludf.DUMMYFUNCTION("""COMPUTED_VALUE"""),"-")</f>
        <v>#NAME?</v>
      </c>
      <c r="E2222" s="100" t="e">
        <f t="shared" ca="1" si="381"/>
        <v>#NAME?</v>
      </c>
      <c r="F2222" s="100" t="e">
        <f t="shared" ca="1" si="374"/>
        <v>#NAME?</v>
      </c>
      <c r="G2222" s="100" t="e">
        <f t="shared" ca="1" si="375"/>
        <v>#NAME?</v>
      </c>
      <c r="H2222" s="100" t="e">
        <f t="shared" ca="1" si="376"/>
        <v>#NAME?</v>
      </c>
      <c r="I2222" s="100" t="e">
        <f t="shared" ca="1" si="377"/>
        <v>#NAME?</v>
      </c>
      <c r="J2222" s="100" t="e">
        <f ca="1">IFERROR(__xludf.DUMMYFUNCTION("""COMPUTED_VALUE"""),"0")</f>
        <v>#NAME?</v>
      </c>
      <c r="K2222" s="100" t="e">
        <f t="shared" ca="1" si="378"/>
        <v>#NAME?</v>
      </c>
      <c r="L2222" s="100"/>
      <c r="M2222" s="100"/>
      <c r="N2222" s="100"/>
      <c r="O2222" s="100"/>
      <c r="P2222" s="100"/>
      <c r="Q2222" s="100"/>
      <c r="R2222" s="100"/>
      <c r="S2222" s="100"/>
      <c r="T2222" s="100"/>
      <c r="U2222" s="100"/>
      <c r="V2222" s="100"/>
      <c r="W2222" s="100"/>
      <c r="X2222" s="100"/>
      <c r="Y2222" s="100"/>
      <c r="Z2222" s="100"/>
    </row>
    <row r="2223" spans="1:26">
      <c r="A2223" s="100" t="e">
        <f ca="1">IFERROR(__xludf.DUMMYFUNCTION("""COMPUTED_VALUE"""),58785558)</f>
        <v>#NAME?</v>
      </c>
      <c r="B2223" s="100" t="e">
        <f ca="1">IFERROR(__xludf.DUMMYFUNCTION("""COMPUTED_VALUE"""),"SNTUSDT")</f>
        <v>#NAME?</v>
      </c>
      <c r="C2223" s="100" t="e">
        <f ca="1">IFERROR(__xludf.DUMMYFUNCTION("""COMPUTED_VALUE"""),"0.02720000")</f>
        <v>#NAME?</v>
      </c>
      <c r="D2223" s="100" t="e">
        <f t="shared" ca="1" si="381"/>
        <v>#NAME?</v>
      </c>
      <c r="E2223" s="100" t="e">
        <f t="shared" ca="1" si="381"/>
        <v>#NAME?</v>
      </c>
      <c r="F2223" s="100" t="e">
        <f t="shared" ca="1" si="374"/>
        <v>#NAME?</v>
      </c>
      <c r="G2223" s="100" t="e">
        <f t="shared" ca="1" si="375"/>
        <v>#NAME?</v>
      </c>
      <c r="H2223" s="100" t="e">
        <f t="shared" ca="1" si="376"/>
        <v>#NAME?</v>
      </c>
      <c r="I2223" s="100" t="e">
        <f t="shared" ca="1" si="377"/>
        <v>#NAME?</v>
      </c>
      <c r="J2223" s="100" t="e">
        <f ca="1">IFERROR(__xludf.DUMMYFUNCTION("""COMPUTED_VALUE"""),"44.912")</f>
        <v>#NAME?</v>
      </c>
      <c r="K2223" s="100" t="e">
        <f t="shared" ca="1" si="378"/>
        <v>#NAME?</v>
      </c>
      <c r="L2223" s="100"/>
      <c r="M2223" s="100"/>
      <c r="N2223" s="100"/>
      <c r="O2223" s="100"/>
      <c r="P2223" s="100"/>
      <c r="Q2223" s="100"/>
      <c r="R2223" s="100"/>
      <c r="S2223" s="100"/>
      <c r="T2223" s="100"/>
      <c r="U2223" s="100"/>
      <c r="V2223" s="100"/>
      <c r="W2223" s="100"/>
      <c r="X2223" s="100"/>
      <c r="Y2223" s="100"/>
      <c r="Z2223" s="100"/>
    </row>
    <row r="2224" spans="1:26">
      <c r="A2224" s="100" t="e">
        <f ca="1">IFERROR(__xludf.DUMMYFUNCTION("""COMPUTED_VALUE"""),58785559)</f>
        <v>#NAME?</v>
      </c>
      <c r="B2224" s="100" t="e">
        <f ca="1">IFERROR(__xludf.DUMMYFUNCTION("""COMPUTED_VALUE"""),"FLOKITRY")</f>
        <v>#NAME?</v>
      </c>
      <c r="C2224" s="100" t="e">
        <f ca="1">IFERROR(__xludf.DUMMYFUNCTION("""COMPUTED_VALUE"""),"0.00224900")</f>
        <v>#NAME?</v>
      </c>
      <c r="D2224" s="100" t="e">
        <f t="shared" ca="1" si="381"/>
        <v>#NAME?</v>
      </c>
      <c r="E2224" s="100" t="e">
        <f t="shared" ca="1" si="381"/>
        <v>#NAME?</v>
      </c>
      <c r="F2224" s="100" t="e">
        <f t="shared" ca="1" si="374"/>
        <v>#NAME?</v>
      </c>
      <c r="G2224" s="100" t="e">
        <f t="shared" ca="1" si="375"/>
        <v>#NAME?</v>
      </c>
      <c r="H2224" s="100" t="e">
        <f t="shared" ca="1" si="376"/>
        <v>#NAME?</v>
      </c>
      <c r="I2224" s="100" t="e">
        <f t="shared" ca="1" si="377"/>
        <v>#NAME?</v>
      </c>
      <c r="J2224" s="100" t="e">
        <f ca="1">IFERROR(__xludf.DUMMYFUNCTION("""COMPUTED_VALUE"""),"-0.881")</f>
        <v>#NAME?</v>
      </c>
      <c r="K2224" s="100" t="e">
        <f t="shared" ca="1" si="378"/>
        <v>#NAME?</v>
      </c>
      <c r="L2224" s="100"/>
      <c r="M2224" s="100"/>
      <c r="N2224" s="100"/>
      <c r="O2224" s="100"/>
      <c r="P2224" s="100"/>
      <c r="Q2224" s="100"/>
      <c r="R2224" s="100"/>
      <c r="S2224" s="100"/>
      <c r="T2224" s="100"/>
      <c r="U2224" s="100"/>
      <c r="V2224" s="100"/>
      <c r="W2224" s="100"/>
      <c r="X2224" s="100"/>
      <c r="Y2224" s="100"/>
      <c r="Z2224" s="100"/>
    </row>
    <row r="2225" spans="1:26">
      <c r="A2225" s="100" t="e">
        <f ca="1">IFERROR(__xludf.DUMMYFUNCTION("""COMPUTED_VALUE"""),58785560)</f>
        <v>#NAME?</v>
      </c>
      <c r="B2225" s="100" t="e">
        <f ca="1">IFERROR(__xludf.DUMMYFUNCTION("""COMPUTED_VALUE"""),"CITYTRY")</f>
        <v>#NAME?</v>
      </c>
      <c r="C2225" s="100" t="e">
        <f ca="1">IFERROR(__xludf.DUMMYFUNCTION("""COMPUTED_VALUE"""),"39.50000000")</f>
        <v>#NAME?</v>
      </c>
      <c r="D2225" s="100" t="e">
        <f t="shared" ca="1" si="381"/>
        <v>#NAME?</v>
      </c>
      <c r="E2225" s="100" t="e">
        <f t="shared" ca="1" si="381"/>
        <v>#NAME?</v>
      </c>
      <c r="F2225" s="100" t="e">
        <f t="shared" ca="1" si="374"/>
        <v>#NAME?</v>
      </c>
      <c r="G2225" s="100" t="e">
        <f t="shared" ca="1" si="375"/>
        <v>#NAME?</v>
      </c>
      <c r="H2225" s="100" t="e">
        <f t="shared" ca="1" si="376"/>
        <v>#NAME?</v>
      </c>
      <c r="I2225" s="100" t="e">
        <f t="shared" ca="1" si="377"/>
        <v>#NAME?</v>
      </c>
      <c r="J2225" s="100" t="e">
        <f ca="1">IFERROR(__xludf.DUMMYFUNCTION("""COMPUTED_VALUE"""),"3.675")</f>
        <v>#NAME?</v>
      </c>
      <c r="K2225" s="100" t="e">
        <f t="shared" ca="1" si="378"/>
        <v>#NAME?</v>
      </c>
      <c r="L2225" s="100"/>
      <c r="M2225" s="100"/>
      <c r="N2225" s="100"/>
      <c r="O2225" s="100"/>
      <c r="P2225" s="100"/>
      <c r="Q2225" s="100"/>
      <c r="R2225" s="100"/>
      <c r="S2225" s="100"/>
      <c r="T2225" s="100"/>
      <c r="U2225" s="100"/>
      <c r="V2225" s="100"/>
      <c r="W2225" s="100"/>
      <c r="X2225" s="100"/>
      <c r="Y2225" s="100"/>
      <c r="Z2225" s="100"/>
    </row>
    <row r="2226" spans="1:26">
      <c r="A2226" s="100" t="e">
        <f ca="1">IFERROR(__xludf.DUMMYFUNCTION("""COMPUTED_VALUE"""),58785561)</f>
        <v>#NAME?</v>
      </c>
      <c r="B2226" s="100" t="e">
        <f ca="1">IFERROR(__xludf.DUMMYFUNCTION("""COMPUTED_VALUE"""),"COMBOUSDT")</f>
        <v>#NAME?</v>
      </c>
      <c r="C2226" s="100" t="e">
        <f ca="1">IFERROR(__xludf.DUMMYFUNCTION("""COMPUTED_VALUE"""),"0.02760000")</f>
        <v>#NAME?</v>
      </c>
      <c r="D2226" s="100" t="e">
        <f t="shared" ca="1" si="381"/>
        <v>#NAME?</v>
      </c>
      <c r="E2226" s="100" t="e">
        <f t="shared" ca="1" si="381"/>
        <v>#NAME?</v>
      </c>
      <c r="F2226" s="100" t="e">
        <f t="shared" ca="1" si="374"/>
        <v>#NAME?</v>
      </c>
      <c r="G2226" s="100" t="e">
        <f t="shared" ca="1" si="375"/>
        <v>#NAME?</v>
      </c>
      <c r="H2226" s="100" t="e">
        <f t="shared" ca="1" si="376"/>
        <v>#NAME?</v>
      </c>
      <c r="I2226" s="100" t="e">
        <f t="shared" ca="1" si="377"/>
        <v>#NAME?</v>
      </c>
      <c r="J2226" s="100" t="e">
        <f ca="1">IFERROR(__xludf.DUMMYFUNCTION("""COMPUTED_VALUE"""),"0")</f>
        <v>#NAME?</v>
      </c>
      <c r="K2226" s="100" t="e">
        <f t="shared" ca="1" si="378"/>
        <v>#NAME?</v>
      </c>
      <c r="L2226" s="100"/>
      <c r="M2226" s="100"/>
      <c r="N2226" s="100"/>
      <c r="O2226" s="100"/>
      <c r="P2226" s="100"/>
      <c r="Q2226" s="100"/>
      <c r="R2226" s="100"/>
      <c r="S2226" s="100"/>
      <c r="T2226" s="100"/>
      <c r="U2226" s="100"/>
      <c r="V2226" s="100"/>
      <c r="W2226" s="100"/>
      <c r="X2226" s="100"/>
      <c r="Y2226" s="100"/>
      <c r="Z2226" s="100"/>
    </row>
    <row r="2227" spans="1:26">
      <c r="A2227" s="100" t="e">
        <f ca="1">IFERROR(__xludf.DUMMYFUNCTION("""COMPUTED_VALUE"""),58785562)</f>
        <v>#NAME?</v>
      </c>
      <c r="B2227" s="100" t="e">
        <f ca="1">IFERROR(__xludf.DUMMYFUNCTION("""COMPUTED_VALUE"""),"COMBOBNB")</f>
        <v>#NAME?</v>
      </c>
      <c r="C2227" s="100" t="e">
        <f ca="1">IFERROR(__xludf.DUMMYFUNCTION("""COMPUTED_VALUE"""),"0.00227200")</f>
        <v>#NAME?</v>
      </c>
      <c r="D2227" s="100" t="e">
        <f t="shared" ca="1" si="381"/>
        <v>#NAME?</v>
      </c>
      <c r="E2227" s="100" t="e">
        <f t="shared" ca="1" si="381"/>
        <v>#NAME?</v>
      </c>
      <c r="F2227" s="100" t="e">
        <f t="shared" ca="1" si="374"/>
        <v>#NAME?</v>
      </c>
      <c r="G2227" s="100" t="e">
        <f t="shared" ca="1" si="375"/>
        <v>#NAME?</v>
      </c>
      <c r="H2227" s="100" t="e">
        <f t="shared" ca="1" si="376"/>
        <v>#NAME?</v>
      </c>
      <c r="I2227" s="100" t="e">
        <f t="shared" ca="1" si="377"/>
        <v>#NAME?</v>
      </c>
      <c r="J2227" s="100" t="e">
        <f ca="1">IFERROR(__xludf.DUMMYFUNCTION("""COMPUTED_VALUE"""),"0")</f>
        <v>#NAME?</v>
      </c>
      <c r="K2227" s="100" t="e">
        <f t="shared" ca="1" si="378"/>
        <v>#NAME?</v>
      </c>
      <c r="L2227" s="100"/>
      <c r="M2227" s="100"/>
      <c r="N2227" s="100"/>
      <c r="O2227" s="100"/>
      <c r="P2227" s="100"/>
      <c r="Q2227" s="100"/>
      <c r="R2227" s="100"/>
      <c r="S2227" s="100"/>
      <c r="T2227" s="100"/>
      <c r="U2227" s="100"/>
      <c r="V2227" s="100"/>
      <c r="W2227" s="100"/>
      <c r="X2227" s="100"/>
      <c r="Y2227" s="100"/>
      <c r="Z2227" s="100"/>
    </row>
    <row r="2228" spans="1:26">
      <c r="A2228" s="100" t="e">
        <f ca="1">IFERROR(__xludf.DUMMYFUNCTION("""COMPUTED_VALUE"""),58785563)</f>
        <v>#NAME?</v>
      </c>
      <c r="B2228" s="100" t="e">
        <f ca="1">IFERROR(__xludf.DUMMYFUNCTION("""COMPUTED_VALUE"""),"COMBOTRY")</f>
        <v>#NAME?</v>
      </c>
      <c r="C2228" s="100" t="e">
        <f ca="1">IFERROR(__xludf.DUMMYFUNCTION("""COMPUTED_VALUE"""),"1.05000000")</f>
        <v>#NAME?</v>
      </c>
      <c r="D2228" s="100" t="e">
        <f t="shared" ca="1" si="381"/>
        <v>#NAME?</v>
      </c>
      <c r="E2228" s="100" t="e">
        <f t="shared" ca="1" si="381"/>
        <v>#NAME?</v>
      </c>
      <c r="F2228" s="100" t="e">
        <f t="shared" ca="1" si="374"/>
        <v>#NAME?</v>
      </c>
      <c r="G2228" s="100" t="e">
        <f t="shared" ca="1" si="375"/>
        <v>#NAME?</v>
      </c>
      <c r="H2228" s="100" t="e">
        <f t="shared" ca="1" si="376"/>
        <v>#NAME?</v>
      </c>
      <c r="I2228" s="100" t="e">
        <f t="shared" ca="1" si="377"/>
        <v>#NAME?</v>
      </c>
      <c r="J2228" s="100" t="e">
        <f ca="1">IFERROR(__xludf.DUMMYFUNCTION("""COMPUTED_VALUE"""),"0")</f>
        <v>#NAME?</v>
      </c>
      <c r="K2228" s="100" t="e">
        <f t="shared" ca="1" si="378"/>
        <v>#NAME?</v>
      </c>
      <c r="L2228" s="100"/>
      <c r="M2228" s="100"/>
      <c r="N2228" s="100"/>
      <c r="O2228" s="100"/>
      <c r="P2228" s="100"/>
      <c r="Q2228" s="100"/>
      <c r="R2228" s="100"/>
      <c r="S2228" s="100"/>
      <c r="T2228" s="100"/>
      <c r="U2228" s="100"/>
      <c r="V2228" s="100"/>
      <c r="W2228" s="100"/>
      <c r="X2228" s="100"/>
      <c r="Y2228" s="100"/>
      <c r="Z2228" s="100"/>
    </row>
    <row r="2229" spans="1:26">
      <c r="A2229" s="100" t="e">
        <f ca="1">IFERROR(__xludf.DUMMYFUNCTION("""COMPUTED_VALUE"""),58785564)</f>
        <v>#NAME?</v>
      </c>
      <c r="B2229" s="100" t="e">
        <f ca="1">IFERROR(__xludf.DUMMYFUNCTION("""COMPUTED_VALUE"""),"LTCTRY")</f>
        <v>#NAME?</v>
      </c>
      <c r="C2229" s="100" t="e">
        <f ca="1">IFERROR(__xludf.DUMMYFUNCTION("""COMPUTED_VALUE"""),"3036.00000000")</f>
        <v>#NAME?</v>
      </c>
      <c r="D2229" s="100" t="e">
        <f t="shared" ca="1" si="381"/>
        <v>#NAME?</v>
      </c>
      <c r="E2229" s="100" t="e">
        <f t="shared" ca="1" si="381"/>
        <v>#NAME?</v>
      </c>
      <c r="F2229" s="100" t="e">
        <f t="shared" ca="1" si="374"/>
        <v>#NAME?</v>
      </c>
      <c r="G2229" s="100" t="e">
        <f t="shared" ca="1" si="375"/>
        <v>#NAME?</v>
      </c>
      <c r="H2229" s="100" t="e">
        <f t="shared" ca="1" si="376"/>
        <v>#NAME?</v>
      </c>
      <c r="I2229" s="100" t="e">
        <f t="shared" ca="1" si="377"/>
        <v>#NAME?</v>
      </c>
      <c r="J2229" s="100" t="e">
        <f ca="1">IFERROR(__xludf.DUMMYFUNCTION("""COMPUTED_VALUE"""),"-1.779")</f>
        <v>#NAME?</v>
      </c>
      <c r="K2229" s="100" t="e">
        <f t="shared" ca="1" si="378"/>
        <v>#NAME?</v>
      </c>
      <c r="L2229" s="100"/>
      <c r="M2229" s="100"/>
      <c r="N2229" s="100"/>
      <c r="O2229" s="100"/>
      <c r="P2229" s="100"/>
      <c r="Q2229" s="100"/>
      <c r="R2229" s="100"/>
      <c r="S2229" s="100"/>
      <c r="T2229" s="100"/>
      <c r="U2229" s="100"/>
      <c r="V2229" s="100"/>
      <c r="W2229" s="100"/>
      <c r="X2229" s="100"/>
      <c r="Y2229" s="100"/>
      <c r="Z2229" s="100"/>
    </row>
    <row r="2230" spans="1:26">
      <c r="A2230" s="100" t="e">
        <f ca="1">IFERROR(__xludf.DUMMYFUNCTION("""COMPUTED_VALUE"""),58785565)</f>
        <v>#NAME?</v>
      </c>
      <c r="B2230" s="100" t="e">
        <f ca="1">IFERROR(__xludf.DUMMYFUNCTION("""COMPUTED_VALUE"""),"RADTRY")</f>
        <v>#NAME?</v>
      </c>
      <c r="C2230" s="100" t="e">
        <f ca="1">IFERROR(__xludf.DUMMYFUNCTION("""COMPUTED_VALUE"""),"28.47000000")</f>
        <v>#NAME?</v>
      </c>
      <c r="D2230" s="100" t="e">
        <f t="shared" ca="1" si="381"/>
        <v>#NAME?</v>
      </c>
      <c r="E2230" s="100" t="e">
        <f t="shared" ca="1" si="381"/>
        <v>#NAME?</v>
      </c>
      <c r="F2230" s="100" t="e">
        <f t="shared" ca="1" si="374"/>
        <v>#NAME?</v>
      </c>
      <c r="G2230" s="100" t="e">
        <f t="shared" ca="1" si="375"/>
        <v>#NAME?</v>
      </c>
      <c r="H2230" s="100" t="e">
        <f t="shared" ca="1" si="376"/>
        <v>#NAME?</v>
      </c>
      <c r="I2230" s="100" t="e">
        <f t="shared" ca="1" si="377"/>
        <v>#NAME?</v>
      </c>
      <c r="J2230" s="100" t="e">
        <f ca="1">IFERROR(__xludf.DUMMYFUNCTION("""COMPUTED_VALUE"""),"0.388")</f>
        <v>#NAME?</v>
      </c>
      <c r="K2230" s="100" t="e">
        <f t="shared" ca="1" si="378"/>
        <v>#NAME?</v>
      </c>
      <c r="L2230" s="100"/>
      <c r="M2230" s="100"/>
      <c r="N2230" s="100"/>
      <c r="O2230" s="100"/>
      <c r="P2230" s="100"/>
      <c r="Q2230" s="100"/>
      <c r="R2230" s="100"/>
      <c r="S2230" s="100"/>
      <c r="T2230" s="100"/>
      <c r="U2230" s="100"/>
      <c r="V2230" s="100"/>
      <c r="W2230" s="100"/>
      <c r="X2230" s="100"/>
      <c r="Y2230" s="100"/>
      <c r="Z2230" s="100"/>
    </row>
    <row r="2231" spans="1:26">
      <c r="A2231" s="100" t="e">
        <f ca="1">IFERROR(__xludf.DUMMYFUNCTION("""COMPUTED_VALUE"""),58785566)</f>
        <v>#NAME?</v>
      </c>
      <c r="B2231" s="100" t="e">
        <f ca="1">IFERROR(__xludf.DUMMYFUNCTION("""COMPUTED_VALUE"""),"BTCARS")</f>
        <v>#NAME?</v>
      </c>
      <c r="C2231" s="100" t="e">
        <f ca="1">IFERROR(__xludf.DUMMYFUNCTION("""COMPUTED_VALUE"""),"101479574.00000000")</f>
        <v>#NAME?</v>
      </c>
      <c r="D2231" s="100" t="e">
        <f t="shared" ca="1" si="381"/>
        <v>#NAME?</v>
      </c>
      <c r="E2231" s="100" t="e">
        <f t="shared" ca="1" si="381"/>
        <v>#NAME?</v>
      </c>
      <c r="F2231" s="100" t="e">
        <f t="shared" ca="1" si="374"/>
        <v>#NAME?</v>
      </c>
      <c r="G2231" s="100" t="e">
        <f t="shared" ca="1" si="375"/>
        <v>#NAME?</v>
      </c>
      <c r="H2231" s="100" t="e">
        <f t="shared" ca="1" si="376"/>
        <v>#NAME?</v>
      </c>
      <c r="I2231" s="100" t="e">
        <f t="shared" ca="1" si="377"/>
        <v>#NAME?</v>
      </c>
      <c r="J2231" s="100" t="e">
        <f ca="1">IFERROR(__xludf.DUMMYFUNCTION("""COMPUTED_VALUE"""),"-2.569")</f>
        <v>#NAME?</v>
      </c>
      <c r="K2231" s="100" t="e">
        <f t="shared" ca="1" si="378"/>
        <v>#NAME?</v>
      </c>
      <c r="L2231" s="100"/>
      <c r="M2231" s="100"/>
      <c r="N2231" s="100"/>
      <c r="O2231" s="100"/>
      <c r="P2231" s="100"/>
      <c r="Q2231" s="100"/>
      <c r="R2231" s="100"/>
      <c r="S2231" s="100"/>
      <c r="T2231" s="100"/>
      <c r="U2231" s="100"/>
      <c r="V2231" s="100"/>
      <c r="W2231" s="100"/>
      <c r="X2231" s="100"/>
      <c r="Y2231" s="100"/>
      <c r="Z2231" s="100"/>
    </row>
    <row r="2232" spans="1:26">
      <c r="A2232" s="100" t="e">
        <f ca="1">IFERROR(__xludf.DUMMYFUNCTION("""COMPUTED_VALUE"""),58785567)</f>
        <v>#NAME?</v>
      </c>
      <c r="B2232" s="100" t="e">
        <f ca="1">IFERROR(__xludf.DUMMYFUNCTION("""COMPUTED_VALUE"""),"OPTRY")</f>
        <v>#NAME?</v>
      </c>
      <c r="C2232" s="100" t="e">
        <f ca="1">IFERROR(__xludf.DUMMYFUNCTION("""COMPUTED_VALUE"""),"26.39000000")</f>
        <v>#NAME?</v>
      </c>
      <c r="D2232" s="100" t="e">
        <f t="shared" ca="1" si="381"/>
        <v>#NAME?</v>
      </c>
      <c r="E2232" s="100" t="e">
        <f t="shared" ca="1" si="381"/>
        <v>#NAME?</v>
      </c>
      <c r="F2232" s="100" t="e">
        <f t="shared" ca="1" si="374"/>
        <v>#NAME?</v>
      </c>
      <c r="G2232" s="100" t="e">
        <f t="shared" ca="1" si="375"/>
        <v>#NAME?</v>
      </c>
      <c r="H2232" s="100" t="e">
        <f t="shared" ca="1" si="376"/>
        <v>#NAME?</v>
      </c>
      <c r="I2232" s="100" t="e">
        <f t="shared" ca="1" si="377"/>
        <v>#NAME?</v>
      </c>
      <c r="J2232" s="100" t="e">
        <f ca="1">IFERROR(__xludf.DUMMYFUNCTION("""COMPUTED_VALUE"""),"-4.832")</f>
        <v>#NAME?</v>
      </c>
      <c r="K2232" s="100" t="e">
        <f t="shared" ca="1" si="378"/>
        <v>#NAME?</v>
      </c>
      <c r="L2232" s="100"/>
      <c r="M2232" s="100"/>
      <c r="N2232" s="100"/>
      <c r="O2232" s="100"/>
      <c r="P2232" s="100"/>
      <c r="Q2232" s="100"/>
      <c r="R2232" s="100"/>
      <c r="S2232" s="100"/>
      <c r="T2232" s="100"/>
      <c r="U2232" s="100"/>
      <c r="V2232" s="100"/>
      <c r="W2232" s="100"/>
      <c r="X2232" s="100"/>
      <c r="Y2232" s="100"/>
      <c r="Z2232" s="100"/>
    </row>
    <row r="2233" spans="1:26">
      <c r="A2233" s="100" t="e">
        <f ca="1">IFERROR(__xludf.DUMMYFUNCTION("""COMPUTED_VALUE"""),58785568)</f>
        <v>#NAME?</v>
      </c>
      <c r="B2233" s="100" t="e">
        <f ca="1">IFERROR(__xludf.DUMMYFUNCTION("""COMPUTED_VALUE"""),"PAXGTRY")</f>
        <v>#NAME?</v>
      </c>
      <c r="C2233" s="100" t="e">
        <f ca="1">IFERROR(__xludf.DUMMYFUNCTION("""COMPUTED_VALUE"""),"133102.00000000")</f>
        <v>#NAME?</v>
      </c>
      <c r="D2233" s="100" t="e">
        <f t="shared" ca="1" si="381"/>
        <v>#NAME?</v>
      </c>
      <c r="E2233" s="100" t="e">
        <f t="shared" ca="1" si="381"/>
        <v>#NAME?</v>
      </c>
      <c r="F2233" s="100" t="e">
        <f t="shared" ca="1" si="374"/>
        <v>#NAME?</v>
      </c>
      <c r="G2233" s="100" t="e">
        <f t="shared" ca="1" si="375"/>
        <v>#NAME?</v>
      </c>
      <c r="H2233" s="100" t="e">
        <f t="shared" ca="1" si="376"/>
        <v>#NAME?</v>
      </c>
      <c r="I2233" s="100" t="e">
        <f t="shared" ca="1" si="377"/>
        <v>#NAME?</v>
      </c>
      <c r="J2233" s="100" t="e">
        <f ca="1">IFERROR(__xludf.DUMMYFUNCTION("""COMPUTED_VALUE"""),"1.653")</f>
        <v>#NAME?</v>
      </c>
      <c r="K2233" s="100" t="e">
        <f t="shared" ca="1" si="378"/>
        <v>#NAME?</v>
      </c>
      <c r="L2233" s="100"/>
      <c r="M2233" s="100"/>
      <c r="N2233" s="100"/>
      <c r="O2233" s="100"/>
      <c r="P2233" s="100"/>
      <c r="Q2233" s="100"/>
      <c r="R2233" s="100"/>
      <c r="S2233" s="100"/>
      <c r="T2233" s="100"/>
      <c r="U2233" s="100"/>
      <c r="V2233" s="100"/>
      <c r="W2233" s="100"/>
      <c r="X2233" s="100"/>
      <c r="Y2233" s="100"/>
      <c r="Z2233" s="100"/>
    </row>
    <row r="2234" spans="1:26">
      <c r="A2234" s="100" t="e">
        <f ca="1">IFERROR(__xludf.DUMMYFUNCTION("""COMPUTED_VALUE"""),58785569)</f>
        <v>#NAME?</v>
      </c>
      <c r="B2234" s="100" t="e">
        <f ca="1">IFERROR(__xludf.DUMMYFUNCTION("""COMPUTED_VALUE"""),"MAVBTC")</f>
        <v>#NAME?</v>
      </c>
      <c r="C2234" s="100" t="e">
        <f ca="1">IFERROR(__xludf.DUMMYFUNCTION("""COMPUTED_VALUE"""),"0.00000062")</f>
        <v>#NAME?</v>
      </c>
      <c r="D2234" s="100" t="e">
        <f t="shared" ca="1" si="381"/>
        <v>#NAME?</v>
      </c>
      <c r="E2234" s="100" t="e">
        <f t="shared" ca="1" si="381"/>
        <v>#NAME?</v>
      </c>
      <c r="F2234" s="100" t="e">
        <f t="shared" ca="1" si="374"/>
        <v>#NAME?</v>
      </c>
      <c r="G2234" s="100" t="e">
        <f t="shared" ca="1" si="375"/>
        <v>#NAME?</v>
      </c>
      <c r="H2234" s="100" t="e">
        <f t="shared" ca="1" si="376"/>
        <v>#NAME?</v>
      </c>
      <c r="I2234" s="100" t="e">
        <f t="shared" ca="1" si="377"/>
        <v>#NAME?</v>
      </c>
      <c r="J2234" s="100" t="e">
        <f ca="1">IFERROR(__xludf.DUMMYFUNCTION("""COMPUTED_VALUE"""),"-3.125")</f>
        <v>#NAME?</v>
      </c>
      <c r="K2234" s="100" t="e">
        <f t="shared" ca="1" si="378"/>
        <v>#NAME?</v>
      </c>
      <c r="L2234" s="100"/>
      <c r="M2234" s="100"/>
      <c r="N2234" s="100"/>
      <c r="O2234" s="100"/>
      <c r="P2234" s="100"/>
      <c r="Q2234" s="100"/>
      <c r="R2234" s="100"/>
      <c r="S2234" s="100"/>
      <c r="T2234" s="100"/>
      <c r="U2234" s="100"/>
      <c r="V2234" s="100"/>
      <c r="W2234" s="100"/>
      <c r="X2234" s="100"/>
      <c r="Y2234" s="100"/>
      <c r="Z2234" s="100"/>
    </row>
    <row r="2235" spans="1:26">
      <c r="A2235" s="100" t="e">
        <f ca="1">IFERROR(__xludf.DUMMYFUNCTION("""COMPUTED_VALUE"""),58785570)</f>
        <v>#NAME?</v>
      </c>
      <c r="B2235" s="100" t="e">
        <f ca="1">IFERROR(__xludf.DUMMYFUNCTION("""COMPUTED_VALUE"""),"MAVUSDT")</f>
        <v>#NAME?</v>
      </c>
      <c r="C2235" s="100" t="e">
        <f ca="1">IFERROR(__xludf.DUMMYFUNCTION("""COMPUTED_VALUE"""),"0.05479000")</f>
        <v>#NAME?</v>
      </c>
      <c r="D2235" s="100" t="e">
        <f t="shared" ca="1" si="381"/>
        <v>#NAME?</v>
      </c>
      <c r="E2235" s="100" t="e">
        <f t="shared" ca="1" si="381"/>
        <v>#NAME?</v>
      </c>
      <c r="F2235" s="100" t="e">
        <f t="shared" ca="1" si="374"/>
        <v>#NAME?</v>
      </c>
      <c r="G2235" s="100" t="e">
        <f t="shared" ca="1" si="375"/>
        <v>#NAME?</v>
      </c>
      <c r="H2235" s="100" t="e">
        <f t="shared" ca="1" si="376"/>
        <v>#NAME?</v>
      </c>
      <c r="I2235" s="100" t="e">
        <f t="shared" ca="1" si="377"/>
        <v>#NAME?</v>
      </c>
      <c r="J2235" s="100" t="e">
        <f ca="1">IFERROR(__xludf.DUMMYFUNCTION("""COMPUTED_VALUE"""),"-2.265")</f>
        <v>#NAME?</v>
      </c>
      <c r="K2235" s="100" t="e">
        <f t="shared" ca="1" si="378"/>
        <v>#NAME?</v>
      </c>
      <c r="L2235" s="100"/>
      <c r="M2235" s="100"/>
      <c r="N2235" s="100"/>
      <c r="O2235" s="100"/>
      <c r="P2235" s="100"/>
      <c r="Q2235" s="100"/>
      <c r="R2235" s="100"/>
      <c r="S2235" s="100"/>
      <c r="T2235" s="100"/>
      <c r="U2235" s="100"/>
      <c r="V2235" s="100"/>
      <c r="W2235" s="100"/>
      <c r="X2235" s="100"/>
      <c r="Y2235" s="100"/>
      <c r="Z2235" s="100"/>
    </row>
    <row r="2236" spans="1:26">
      <c r="A2236" s="100" t="e">
        <f ca="1">IFERROR(__xludf.DUMMYFUNCTION("""COMPUTED_VALUE"""),58785571)</f>
        <v>#NAME?</v>
      </c>
      <c r="B2236" s="100" t="e">
        <f ca="1">IFERROR(__xludf.DUMMYFUNCTION("""COMPUTED_VALUE"""),"MAVTUSD")</f>
        <v>#NAME?</v>
      </c>
      <c r="C2236" s="100" t="e">
        <f ca="1">IFERROR(__xludf.DUMMYFUNCTION("""COMPUTED_VALUE"""),"0.21940000")</f>
        <v>#NAME?</v>
      </c>
      <c r="D2236" s="100" t="e">
        <f t="shared" ca="1" si="381"/>
        <v>#NAME?</v>
      </c>
      <c r="E2236" s="100" t="e">
        <f t="shared" ca="1" si="381"/>
        <v>#NAME?</v>
      </c>
      <c r="F2236" s="100" t="e">
        <f t="shared" ca="1" si="374"/>
        <v>#NAME?</v>
      </c>
      <c r="G2236" s="100" t="e">
        <f t="shared" ca="1" si="375"/>
        <v>#NAME?</v>
      </c>
      <c r="H2236" s="100" t="e">
        <f t="shared" ca="1" si="376"/>
        <v>#NAME?</v>
      </c>
      <c r="I2236" s="100" t="e">
        <f t="shared" ca="1" si="377"/>
        <v>#NAME?</v>
      </c>
      <c r="J2236" s="100" t="e">
        <f ca="1">IFERROR(__xludf.DUMMYFUNCTION("""COMPUTED_VALUE"""),"0")</f>
        <v>#NAME?</v>
      </c>
      <c r="K2236" s="100" t="e">
        <f t="shared" ca="1" si="378"/>
        <v>#NAME?</v>
      </c>
      <c r="L2236" s="100"/>
      <c r="M2236" s="100"/>
      <c r="N2236" s="100"/>
      <c r="O2236" s="100"/>
      <c r="P2236" s="100"/>
      <c r="Q2236" s="100"/>
      <c r="R2236" s="100"/>
      <c r="S2236" s="100"/>
      <c r="T2236" s="100"/>
      <c r="U2236" s="100"/>
      <c r="V2236" s="100"/>
      <c r="W2236" s="100"/>
      <c r="X2236" s="100"/>
      <c r="Y2236" s="100"/>
      <c r="Z2236" s="100"/>
    </row>
    <row r="2237" spans="1:26">
      <c r="A2237" s="100" t="e">
        <f ca="1">IFERROR(__xludf.DUMMYFUNCTION("""COMPUTED_VALUE"""),58785572)</f>
        <v>#NAME?</v>
      </c>
      <c r="B2237" s="100" t="e">
        <f ca="1">IFERROR(__xludf.DUMMYFUNCTION("""COMPUTED_VALUE"""),"CFXTUSD")</f>
        <v>#NAME?</v>
      </c>
      <c r="C2237" s="100" t="e">
        <f ca="1">IFERROR(__xludf.DUMMYFUNCTION("""COMPUTED_VALUE"""),"0.22120000")</f>
        <v>#NAME?</v>
      </c>
      <c r="D2237" s="100" t="e">
        <f t="shared" ca="1" si="381"/>
        <v>#NAME?</v>
      </c>
      <c r="E2237" s="100" t="e">
        <f t="shared" ca="1" si="381"/>
        <v>#NAME?</v>
      </c>
      <c r="F2237" s="100" t="e">
        <f t="shared" ca="1" si="374"/>
        <v>#NAME?</v>
      </c>
      <c r="G2237" s="100" t="e">
        <f t="shared" ca="1" si="375"/>
        <v>#NAME?</v>
      </c>
      <c r="H2237" s="100" t="e">
        <f t="shared" ca="1" si="376"/>
        <v>#NAME?</v>
      </c>
      <c r="I2237" s="100" t="e">
        <f t="shared" ca="1" si="377"/>
        <v>#NAME?</v>
      </c>
      <c r="J2237" s="100" t="e">
        <f ca="1">IFERROR(__xludf.DUMMYFUNCTION("""COMPUTED_VALUE"""),"0")</f>
        <v>#NAME?</v>
      </c>
      <c r="K2237" s="100" t="e">
        <f t="shared" ca="1" si="378"/>
        <v>#NAME?</v>
      </c>
      <c r="L2237" s="100"/>
      <c r="M2237" s="100"/>
      <c r="N2237" s="100"/>
      <c r="O2237" s="100"/>
      <c r="P2237" s="100"/>
      <c r="Q2237" s="100"/>
      <c r="R2237" s="100"/>
      <c r="S2237" s="100"/>
      <c r="T2237" s="100"/>
      <c r="U2237" s="100"/>
      <c r="V2237" s="100"/>
      <c r="W2237" s="100"/>
      <c r="X2237" s="100"/>
      <c r="Y2237" s="100"/>
      <c r="Z2237" s="100"/>
    </row>
    <row r="2238" spans="1:26">
      <c r="A2238" s="100" t="e">
        <f ca="1">IFERROR(__xludf.DUMMYFUNCTION("""COMPUTED_VALUE"""),58785573)</f>
        <v>#NAME?</v>
      </c>
      <c r="B2238" s="100" t="e">
        <f ca="1">IFERROR(__xludf.DUMMYFUNCTION("""COMPUTED_VALUE"""),"PENDLEBTC")</f>
        <v>#NAME?</v>
      </c>
      <c r="C2238" s="100" t="e">
        <f ca="1">IFERROR(__xludf.DUMMYFUNCTION("""COMPUTED_VALUE"""),"0.00003761")</f>
        <v>#NAME?</v>
      </c>
      <c r="D2238" s="100" t="e">
        <f t="shared" ca="1" si="381"/>
        <v>#NAME?</v>
      </c>
      <c r="E2238" s="100" t="e">
        <f t="shared" ca="1" si="381"/>
        <v>#NAME?</v>
      </c>
      <c r="F2238" s="100" t="e">
        <f t="shared" ca="1" si="374"/>
        <v>#NAME?</v>
      </c>
      <c r="G2238" s="100" t="e">
        <f t="shared" ca="1" si="375"/>
        <v>#NAME?</v>
      </c>
      <c r="H2238" s="100" t="e">
        <f t="shared" ca="1" si="376"/>
        <v>#NAME?</v>
      </c>
      <c r="I2238" s="100" t="e">
        <f t="shared" ca="1" si="377"/>
        <v>#NAME?</v>
      </c>
      <c r="J2238" s="100" t="e">
        <f ca="1">IFERROR(__xludf.DUMMYFUNCTION("""COMPUTED_VALUE"""),"-0.080")</f>
        <v>#NAME?</v>
      </c>
      <c r="K2238" s="100" t="e">
        <f t="shared" ca="1" si="378"/>
        <v>#NAME?</v>
      </c>
      <c r="L2238" s="100"/>
      <c r="M2238" s="100"/>
      <c r="N2238" s="100"/>
      <c r="O2238" s="100"/>
      <c r="P2238" s="100"/>
      <c r="Q2238" s="100"/>
      <c r="R2238" s="100"/>
      <c r="S2238" s="100"/>
      <c r="T2238" s="100"/>
      <c r="U2238" s="100"/>
      <c r="V2238" s="100"/>
      <c r="W2238" s="100"/>
      <c r="X2238" s="100"/>
      <c r="Y2238" s="100"/>
      <c r="Z2238" s="100"/>
    </row>
    <row r="2239" spans="1:26">
      <c r="A2239" s="100" t="e">
        <f ca="1">IFERROR(__xludf.DUMMYFUNCTION("""COMPUTED_VALUE"""),58785574)</f>
        <v>#NAME?</v>
      </c>
      <c r="B2239" s="100" t="e">
        <f ca="1">IFERROR(__xludf.DUMMYFUNCTION("""COMPUTED_VALUE"""),"PENDLEUSDT")</f>
        <v>#NAME?</v>
      </c>
      <c r="C2239" s="100" t="e">
        <f ca="1">IFERROR(__xludf.DUMMYFUNCTION("""COMPUTED_VALUE"""),"3.33100000")</f>
        <v>#NAME?</v>
      </c>
      <c r="D2239" s="100" t="e">
        <f t="shared" ca="1" si="381"/>
        <v>#NAME?</v>
      </c>
      <c r="E2239" s="100" t="e">
        <f t="shared" ca="1" si="381"/>
        <v>#NAME?</v>
      </c>
      <c r="F2239" s="100" t="e">
        <f t="shared" ca="1" si="374"/>
        <v>#NAME?</v>
      </c>
      <c r="G2239" s="100" t="e">
        <f t="shared" ca="1" si="375"/>
        <v>#NAME?</v>
      </c>
      <c r="H2239" s="100" t="e">
        <f t="shared" ca="1" si="376"/>
        <v>#NAME?</v>
      </c>
      <c r="I2239" s="100" t="e">
        <f t="shared" ca="1" si="377"/>
        <v>#NAME?</v>
      </c>
      <c r="J2239" s="100" t="e">
        <f ca="1">IFERROR(__xludf.DUMMYFUNCTION("""COMPUTED_VALUE"""),"1.246")</f>
        <v>#NAME?</v>
      </c>
      <c r="K2239" s="100" t="e">
        <f t="shared" ca="1" si="378"/>
        <v>#NAME?</v>
      </c>
      <c r="L2239" s="100"/>
      <c r="M2239" s="100"/>
      <c r="N2239" s="100"/>
      <c r="O2239" s="100"/>
      <c r="P2239" s="100"/>
      <c r="Q2239" s="100"/>
      <c r="R2239" s="100"/>
      <c r="S2239" s="100"/>
      <c r="T2239" s="100"/>
      <c r="U2239" s="100"/>
      <c r="V2239" s="100"/>
      <c r="W2239" s="100"/>
      <c r="X2239" s="100"/>
      <c r="Y2239" s="100"/>
      <c r="Z2239" s="100"/>
    </row>
    <row r="2240" spans="1:26">
      <c r="A2240" s="100" t="e">
        <f ca="1">IFERROR(__xludf.DUMMYFUNCTION("""COMPUTED_VALUE"""),58785575)</f>
        <v>#NAME?</v>
      </c>
      <c r="B2240" s="100" t="e">
        <f ca="1">IFERROR(__xludf.DUMMYFUNCTION("""COMPUTED_VALUE"""),"PENDLETUSD")</f>
        <v>#NAME?</v>
      </c>
      <c r="C2240" s="100" t="e">
        <f ca="1">IFERROR(__xludf.DUMMYFUNCTION("""COMPUTED_VALUE"""),"2.70440000")</f>
        <v>#NAME?</v>
      </c>
      <c r="D2240" s="100" t="e">
        <f t="shared" ca="1" si="381"/>
        <v>#NAME?</v>
      </c>
      <c r="E2240" s="100" t="e">
        <f t="shared" ca="1" si="381"/>
        <v>#NAME?</v>
      </c>
      <c r="F2240" s="100" t="e">
        <f t="shared" ca="1" si="374"/>
        <v>#NAME?</v>
      </c>
      <c r="G2240" s="100" t="e">
        <f t="shared" ca="1" si="375"/>
        <v>#NAME?</v>
      </c>
      <c r="H2240" s="100" t="e">
        <f t="shared" ca="1" si="376"/>
        <v>#NAME?</v>
      </c>
      <c r="I2240" s="100" t="e">
        <f t="shared" ca="1" si="377"/>
        <v>#NAME?</v>
      </c>
      <c r="J2240" s="100" t="e">
        <f ca="1">IFERROR(__xludf.DUMMYFUNCTION("""COMPUTED_VALUE"""),"0")</f>
        <v>#NAME?</v>
      </c>
      <c r="K2240" s="100" t="e">
        <f t="shared" ca="1" si="378"/>
        <v>#NAME?</v>
      </c>
      <c r="L2240" s="100"/>
      <c r="M2240" s="100"/>
      <c r="N2240" s="100"/>
      <c r="O2240" s="100"/>
      <c r="P2240" s="100"/>
      <c r="Q2240" s="100"/>
      <c r="R2240" s="100"/>
      <c r="S2240" s="100"/>
      <c r="T2240" s="100"/>
      <c r="U2240" s="100"/>
      <c r="V2240" s="100"/>
      <c r="W2240" s="100"/>
      <c r="X2240" s="100"/>
      <c r="Y2240" s="100"/>
      <c r="Z2240" s="100"/>
    </row>
    <row r="2241" spans="1:26">
      <c r="A2241" s="100" t="e">
        <f ca="1">IFERROR(__xludf.DUMMYFUNCTION("""COMPUTED_VALUE"""),58785576)</f>
        <v>#NAME?</v>
      </c>
      <c r="B2241" s="100" t="e">
        <f ca="1">IFERROR(__xludf.DUMMYFUNCTION("""COMPUTED_VALUE"""),"MAVTRY")</f>
        <v>#NAME?</v>
      </c>
      <c r="C2241" s="100" t="e">
        <f ca="1">IFERROR(__xludf.DUMMYFUNCTION("""COMPUTED_VALUE"""),"2.10000000")</f>
        <v>#NAME?</v>
      </c>
      <c r="D2241" s="100" t="e">
        <f t="shared" ca="1" si="381"/>
        <v>#NAME?</v>
      </c>
      <c r="E2241" s="100" t="e">
        <f t="shared" ca="1" si="381"/>
        <v>#NAME?</v>
      </c>
      <c r="F2241" s="100" t="e">
        <f t="shared" ca="1" si="374"/>
        <v>#NAME?</v>
      </c>
      <c r="G2241" s="100" t="e">
        <f t="shared" ca="1" si="375"/>
        <v>#NAME?</v>
      </c>
      <c r="H2241" s="100" t="e">
        <f t="shared" ca="1" si="376"/>
        <v>#NAME?</v>
      </c>
      <c r="I2241" s="100" t="e">
        <f t="shared" ca="1" si="377"/>
        <v>#NAME?</v>
      </c>
      <c r="J2241" s="100" t="e">
        <f ca="1">IFERROR(__xludf.DUMMYFUNCTION("""COMPUTED_VALUE"""),"-1.869")</f>
        <v>#NAME?</v>
      </c>
      <c r="K2241" s="100" t="e">
        <f t="shared" ca="1" si="378"/>
        <v>#NAME?</v>
      </c>
      <c r="L2241" s="100"/>
      <c r="M2241" s="100"/>
      <c r="N2241" s="100"/>
      <c r="O2241" s="100"/>
      <c r="P2241" s="100"/>
      <c r="Q2241" s="100"/>
      <c r="R2241" s="100"/>
      <c r="S2241" s="100"/>
      <c r="T2241" s="100"/>
      <c r="U2241" s="100"/>
      <c r="V2241" s="100"/>
      <c r="W2241" s="100"/>
      <c r="X2241" s="100"/>
      <c r="Y2241" s="100"/>
      <c r="Z2241" s="100"/>
    </row>
    <row r="2242" spans="1:26">
      <c r="A2242" s="100" t="e">
        <f ca="1">IFERROR(__xludf.DUMMYFUNCTION("""COMPUTED_VALUE"""),58785577)</f>
        <v>#NAME?</v>
      </c>
      <c r="B2242" s="100" t="e">
        <f ca="1">IFERROR(__xludf.DUMMYFUNCTION("""COMPUTED_VALUE"""),"OCEANTRY")</f>
        <v>#NAME?</v>
      </c>
      <c r="C2242" s="100" t="e">
        <f ca="1">IFERROR(__xludf.DUMMYFUNCTION("""COMPUTED_VALUE"""),"20.10000000")</f>
        <v>#NAME?</v>
      </c>
      <c r="D2242" s="100" t="e">
        <f t="shared" ref="D2242:E2261" ca="1" si="382">IFERROR(__xludf.DUMMYFUNCTION("""COMPUTED_VALUE"""),"-")</f>
        <v>#NAME?</v>
      </c>
      <c r="E2242" s="100" t="e">
        <f t="shared" ca="1" si="382"/>
        <v>#NAME?</v>
      </c>
      <c r="F2242" s="100" t="e">
        <f t="shared" ref="F2242:F2305" ca="1" si="383">IFERROR(__xludf.DUMMYFUNCTION("""COMPUTED_VALUE"""),20200)</f>
        <v>#NAME?</v>
      </c>
      <c r="G2242" s="100" t="e">
        <f t="shared" ref="G2242:G2305" ca="1" si="384">IFERROR(__xludf.DUMMYFUNCTION("""COMPUTED_VALUE"""),2885)</f>
        <v>#NAME?</v>
      </c>
      <c r="H2242" s="100" t="e">
        <f t="shared" ref="H2242:H2305" ca="1" si="385">IFERROR(__xludf.DUMMYFUNCTION("""COMPUTED_VALUE"""),663)</f>
        <v>#NAME?</v>
      </c>
      <c r="I2242" s="100" t="e">
        <f t="shared" ref="I2242:I2305" ca="1" si="386">IFERROR(__xludf.DUMMYFUNCTION("""COMPUTED_VALUE"""),5817721)</f>
        <v>#NAME?</v>
      </c>
      <c r="J2242" s="100" t="e">
        <f ca="1">IFERROR(__xludf.DUMMYFUNCTION("""COMPUTED_VALUE"""),"0")</f>
        <v>#NAME?</v>
      </c>
      <c r="K2242" s="100" t="e">
        <f t="shared" ref="K2242:K2305" ca="1" si="387">IFERROR(__xludf.DUMMYFUNCTION("""COMPUTED_VALUE"""),"22.04.2025 13:05:01")</f>
        <v>#NAME?</v>
      </c>
      <c r="L2242" s="100"/>
      <c r="M2242" s="100"/>
      <c r="N2242" s="100"/>
      <c r="O2242" s="100"/>
      <c r="P2242" s="100"/>
      <c r="Q2242" s="100"/>
      <c r="R2242" s="100"/>
      <c r="S2242" s="100"/>
      <c r="T2242" s="100"/>
      <c r="U2242" s="100"/>
      <c r="V2242" s="100"/>
      <c r="W2242" s="100"/>
      <c r="X2242" s="100"/>
      <c r="Y2242" s="100"/>
      <c r="Z2242" s="100"/>
    </row>
    <row r="2243" spans="1:26">
      <c r="A2243" s="100" t="e">
        <f ca="1">IFERROR(__xludf.DUMMYFUNCTION("""COMPUTED_VALUE"""),58785578)</f>
        <v>#NAME?</v>
      </c>
      <c r="B2243" s="100" t="e">
        <f ca="1">IFERROR(__xludf.DUMMYFUNCTION("""COMPUTED_VALUE"""),"TUSDTRY")</f>
        <v>#NAME?</v>
      </c>
      <c r="C2243" s="100" t="e">
        <f ca="1">IFERROR(__xludf.DUMMYFUNCTION("""COMPUTED_VALUE"""),"35.34000000")</f>
        <v>#NAME?</v>
      </c>
      <c r="D2243" s="100" t="e">
        <f t="shared" ca="1" si="382"/>
        <v>#NAME?</v>
      </c>
      <c r="E2243" s="100" t="e">
        <f t="shared" ca="1" si="382"/>
        <v>#NAME?</v>
      </c>
      <c r="F2243" s="100" t="e">
        <f t="shared" ca="1" si="383"/>
        <v>#NAME?</v>
      </c>
      <c r="G2243" s="100" t="e">
        <f t="shared" ca="1" si="384"/>
        <v>#NAME?</v>
      </c>
      <c r="H2243" s="100" t="e">
        <f t="shared" ca="1" si="385"/>
        <v>#NAME?</v>
      </c>
      <c r="I2243" s="100" t="e">
        <f t="shared" ca="1" si="386"/>
        <v>#NAME?</v>
      </c>
      <c r="J2243" s="100" t="e">
        <f ca="1">IFERROR(__xludf.DUMMYFUNCTION("""COMPUTED_VALUE"""),"0")</f>
        <v>#NAME?</v>
      </c>
      <c r="K2243" s="100" t="e">
        <f t="shared" ca="1" si="387"/>
        <v>#NAME?</v>
      </c>
      <c r="L2243" s="100"/>
      <c r="M2243" s="100"/>
      <c r="N2243" s="100"/>
      <c r="O2243" s="100"/>
      <c r="P2243" s="100"/>
      <c r="Q2243" s="100"/>
      <c r="R2243" s="100"/>
      <c r="S2243" s="100"/>
      <c r="T2243" s="100"/>
      <c r="U2243" s="100"/>
      <c r="V2243" s="100"/>
      <c r="W2243" s="100"/>
      <c r="X2243" s="100"/>
      <c r="Y2243" s="100"/>
      <c r="Z2243" s="100"/>
    </row>
    <row r="2244" spans="1:26">
      <c r="A2244" s="100" t="e">
        <f ca="1">IFERROR(__xludf.DUMMYFUNCTION("""COMPUTED_VALUE"""),58785579)</f>
        <v>#NAME?</v>
      </c>
      <c r="B2244" s="100" t="e">
        <f ca="1">IFERROR(__xludf.DUMMYFUNCTION("""COMPUTED_VALUE"""),"ARBETH")</f>
        <v>#NAME?</v>
      </c>
      <c r="C2244" s="100" t="e">
        <f ca="1">IFERROR(__xludf.DUMMYFUNCTION("""COMPUTED_VALUE"""),"0.00018500")</f>
        <v>#NAME?</v>
      </c>
      <c r="D2244" s="100" t="e">
        <f t="shared" ca="1" si="382"/>
        <v>#NAME?</v>
      </c>
      <c r="E2244" s="100" t="e">
        <f t="shared" ca="1" si="382"/>
        <v>#NAME?</v>
      </c>
      <c r="F2244" s="100" t="e">
        <f t="shared" ca="1" si="383"/>
        <v>#NAME?</v>
      </c>
      <c r="G2244" s="100" t="e">
        <f t="shared" ca="1" si="384"/>
        <v>#NAME?</v>
      </c>
      <c r="H2244" s="100" t="e">
        <f t="shared" ca="1" si="385"/>
        <v>#NAME?</v>
      </c>
      <c r="I2244" s="100" t="e">
        <f t="shared" ca="1" si="386"/>
        <v>#NAME?</v>
      </c>
      <c r="J2244" s="100" t="e">
        <f ca="1">IFERROR(__xludf.DUMMYFUNCTION("""COMPUTED_VALUE"""),"-2.785")</f>
        <v>#NAME?</v>
      </c>
      <c r="K2244" s="100" t="e">
        <f t="shared" ca="1" si="387"/>
        <v>#NAME?</v>
      </c>
      <c r="L2244" s="100"/>
      <c r="M2244" s="100"/>
      <c r="N2244" s="100"/>
      <c r="O2244" s="100"/>
      <c r="P2244" s="100"/>
      <c r="Q2244" s="100"/>
      <c r="R2244" s="100"/>
      <c r="S2244" s="100"/>
      <c r="T2244" s="100"/>
      <c r="U2244" s="100"/>
      <c r="V2244" s="100"/>
      <c r="W2244" s="100"/>
      <c r="X2244" s="100"/>
      <c r="Y2244" s="100"/>
      <c r="Z2244" s="100"/>
    </row>
    <row r="2245" spans="1:26">
      <c r="A2245" s="100" t="e">
        <f ca="1">IFERROR(__xludf.DUMMYFUNCTION("""COMPUTED_VALUE"""),58785580)</f>
        <v>#NAME?</v>
      </c>
      <c r="B2245" s="100" t="e">
        <f ca="1">IFERROR(__xludf.DUMMYFUNCTION("""COMPUTED_VALUE"""),"BCHTRY")</f>
        <v>#NAME?</v>
      </c>
      <c r="C2245" s="100" t="e">
        <f ca="1">IFERROR(__xludf.DUMMYFUNCTION("""COMPUTED_VALUE"""),"13325.00000000")</f>
        <v>#NAME?</v>
      </c>
      <c r="D2245" s="100" t="e">
        <f t="shared" ca="1" si="382"/>
        <v>#NAME?</v>
      </c>
      <c r="E2245" s="100" t="e">
        <f t="shared" ca="1" si="382"/>
        <v>#NAME?</v>
      </c>
      <c r="F2245" s="100" t="e">
        <f t="shared" ca="1" si="383"/>
        <v>#NAME?</v>
      </c>
      <c r="G2245" s="100" t="e">
        <f t="shared" ca="1" si="384"/>
        <v>#NAME?</v>
      </c>
      <c r="H2245" s="100" t="e">
        <f t="shared" ca="1" si="385"/>
        <v>#NAME?</v>
      </c>
      <c r="I2245" s="100" t="e">
        <f t="shared" ca="1" si="386"/>
        <v>#NAME?</v>
      </c>
      <c r="J2245" s="100" t="e">
        <f ca="1">IFERROR(__xludf.DUMMYFUNCTION("""COMPUTED_VALUE"""),"2.013")</f>
        <v>#NAME?</v>
      </c>
      <c r="K2245" s="100" t="e">
        <f t="shared" ca="1" si="387"/>
        <v>#NAME?</v>
      </c>
      <c r="L2245" s="100"/>
      <c r="M2245" s="100"/>
      <c r="N2245" s="100"/>
      <c r="O2245" s="100"/>
      <c r="P2245" s="100"/>
      <c r="Q2245" s="100"/>
      <c r="R2245" s="100"/>
      <c r="S2245" s="100"/>
      <c r="T2245" s="100"/>
      <c r="U2245" s="100"/>
      <c r="V2245" s="100"/>
      <c r="W2245" s="100"/>
      <c r="X2245" s="100"/>
      <c r="Y2245" s="100"/>
      <c r="Z2245" s="100"/>
    </row>
    <row r="2246" spans="1:26">
      <c r="A2246" s="100" t="e">
        <f ca="1">IFERROR(__xludf.DUMMYFUNCTION("""COMPUTED_VALUE"""),58785581)</f>
        <v>#NAME?</v>
      </c>
      <c r="B2246" s="100" t="e">
        <f ca="1">IFERROR(__xludf.DUMMYFUNCTION("""COMPUTED_VALUE"""),"XVGTRY")</f>
        <v>#NAME?</v>
      </c>
      <c r="C2246" s="100" t="e">
        <f ca="1">IFERROR(__xludf.DUMMYFUNCTION("""COMPUTED_VALUE"""),"0.17700000")</f>
        <v>#NAME?</v>
      </c>
      <c r="D2246" s="100" t="e">
        <f t="shared" ca="1" si="382"/>
        <v>#NAME?</v>
      </c>
      <c r="E2246" s="100" t="e">
        <f t="shared" ca="1" si="382"/>
        <v>#NAME?</v>
      </c>
      <c r="F2246" s="100" t="e">
        <f t="shared" ca="1" si="383"/>
        <v>#NAME?</v>
      </c>
      <c r="G2246" s="100" t="e">
        <f t="shared" ca="1" si="384"/>
        <v>#NAME?</v>
      </c>
      <c r="H2246" s="100" t="e">
        <f t="shared" ca="1" si="385"/>
        <v>#NAME?</v>
      </c>
      <c r="I2246" s="100" t="e">
        <f t="shared" ca="1" si="386"/>
        <v>#NAME?</v>
      </c>
      <c r="J2246" s="100" t="e">
        <f ca="1">IFERROR(__xludf.DUMMYFUNCTION("""COMPUTED_VALUE"""),"0.568")</f>
        <v>#NAME?</v>
      </c>
      <c r="K2246" s="100" t="e">
        <f t="shared" ca="1" si="387"/>
        <v>#NAME?</v>
      </c>
      <c r="L2246" s="100"/>
      <c r="M2246" s="100"/>
      <c r="N2246" s="100"/>
      <c r="O2246" s="100"/>
      <c r="P2246" s="100"/>
      <c r="Q2246" s="100"/>
      <c r="R2246" s="100"/>
      <c r="S2246" s="100"/>
      <c r="T2246" s="100"/>
      <c r="U2246" s="100"/>
      <c r="V2246" s="100"/>
      <c r="W2246" s="100"/>
      <c r="X2246" s="100"/>
      <c r="Y2246" s="100"/>
      <c r="Z2246" s="100"/>
    </row>
    <row r="2247" spans="1:26">
      <c r="A2247" s="100" t="e">
        <f ca="1">IFERROR(__xludf.DUMMYFUNCTION("""COMPUTED_VALUE"""),58785582)</f>
        <v>#NAME?</v>
      </c>
      <c r="B2247" s="100" t="e">
        <f ca="1">IFERROR(__xludf.DUMMYFUNCTION("""COMPUTED_VALUE"""),"XVGTUSD")</f>
        <v>#NAME?</v>
      </c>
      <c r="C2247" s="100" t="e">
        <f ca="1">IFERROR(__xludf.DUMMYFUNCTION("""COMPUTED_VALUE"""),"0.00626900")</f>
        <v>#NAME?</v>
      </c>
      <c r="D2247" s="100" t="e">
        <f t="shared" ca="1" si="382"/>
        <v>#NAME?</v>
      </c>
      <c r="E2247" s="100" t="e">
        <f t="shared" ca="1" si="382"/>
        <v>#NAME?</v>
      </c>
      <c r="F2247" s="100" t="e">
        <f t="shared" ca="1" si="383"/>
        <v>#NAME?</v>
      </c>
      <c r="G2247" s="100" t="e">
        <f t="shared" ca="1" si="384"/>
        <v>#NAME?</v>
      </c>
      <c r="H2247" s="100" t="e">
        <f t="shared" ca="1" si="385"/>
        <v>#NAME?</v>
      </c>
      <c r="I2247" s="100" t="e">
        <f t="shared" ca="1" si="386"/>
        <v>#NAME?</v>
      </c>
      <c r="J2247" s="100" t="e">
        <f ca="1">IFERROR(__xludf.DUMMYFUNCTION("""COMPUTED_VALUE"""),"0")</f>
        <v>#NAME?</v>
      </c>
      <c r="K2247" s="100" t="e">
        <f t="shared" ca="1" si="387"/>
        <v>#NAME?</v>
      </c>
      <c r="L2247" s="100"/>
      <c r="M2247" s="100"/>
      <c r="N2247" s="100"/>
      <c r="O2247" s="100"/>
      <c r="P2247" s="100"/>
      <c r="Q2247" s="100"/>
      <c r="R2247" s="100"/>
      <c r="S2247" s="100"/>
      <c r="T2247" s="100"/>
      <c r="U2247" s="100"/>
      <c r="V2247" s="100"/>
      <c r="W2247" s="100"/>
      <c r="X2247" s="100"/>
      <c r="Y2247" s="100"/>
      <c r="Z2247" s="100"/>
    </row>
    <row r="2248" spans="1:26">
      <c r="A2248" s="100" t="e">
        <f ca="1">IFERROR(__xludf.DUMMYFUNCTION("""COMPUTED_VALUE"""),58785583)</f>
        <v>#NAME?</v>
      </c>
      <c r="B2248" s="100" t="e">
        <f ca="1">IFERROR(__xludf.DUMMYFUNCTION("""COMPUTED_VALUE"""),"ARKMUSDT")</f>
        <v>#NAME?</v>
      </c>
      <c r="C2248" s="100" t="e">
        <f ca="1">IFERROR(__xludf.DUMMYFUNCTION("""COMPUTED_VALUE"""),"0.50300000")</f>
        <v>#NAME?</v>
      </c>
      <c r="D2248" s="100" t="e">
        <f t="shared" ca="1" si="382"/>
        <v>#NAME?</v>
      </c>
      <c r="E2248" s="100" t="e">
        <f t="shared" ca="1" si="382"/>
        <v>#NAME?</v>
      </c>
      <c r="F2248" s="100" t="e">
        <f t="shared" ca="1" si="383"/>
        <v>#NAME?</v>
      </c>
      <c r="G2248" s="100" t="e">
        <f t="shared" ca="1" si="384"/>
        <v>#NAME?</v>
      </c>
      <c r="H2248" s="100" t="e">
        <f t="shared" ca="1" si="385"/>
        <v>#NAME?</v>
      </c>
      <c r="I2248" s="100" t="e">
        <f t="shared" ca="1" si="386"/>
        <v>#NAME?</v>
      </c>
      <c r="J2248" s="100" t="e">
        <f ca="1">IFERROR(__xludf.DUMMYFUNCTION("""COMPUTED_VALUE"""),"-4.554")</f>
        <v>#NAME?</v>
      </c>
      <c r="K2248" s="100" t="e">
        <f t="shared" ca="1" si="387"/>
        <v>#NAME?</v>
      </c>
      <c r="L2248" s="100"/>
      <c r="M2248" s="100"/>
      <c r="N2248" s="100"/>
      <c r="O2248" s="100"/>
      <c r="P2248" s="100"/>
      <c r="Q2248" s="100"/>
      <c r="R2248" s="100"/>
      <c r="S2248" s="100"/>
      <c r="T2248" s="100"/>
      <c r="U2248" s="100"/>
      <c r="V2248" s="100"/>
      <c r="W2248" s="100"/>
      <c r="X2248" s="100"/>
      <c r="Y2248" s="100"/>
      <c r="Z2248" s="100"/>
    </row>
    <row r="2249" spans="1:26">
      <c r="A2249" s="100" t="e">
        <f ca="1">IFERROR(__xludf.DUMMYFUNCTION("""COMPUTED_VALUE"""),58785584)</f>
        <v>#NAME?</v>
      </c>
      <c r="B2249" s="100" t="e">
        <f ca="1">IFERROR(__xludf.DUMMYFUNCTION("""COMPUTED_VALUE"""),"ARKMTUSD")</f>
        <v>#NAME?</v>
      </c>
      <c r="C2249" s="100" t="e">
        <f ca="1">IFERROR(__xludf.DUMMYFUNCTION("""COMPUTED_VALUE"""),"1.15100000")</f>
        <v>#NAME?</v>
      </c>
      <c r="D2249" s="100" t="e">
        <f t="shared" ca="1" si="382"/>
        <v>#NAME?</v>
      </c>
      <c r="E2249" s="100" t="e">
        <f t="shared" ca="1" si="382"/>
        <v>#NAME?</v>
      </c>
      <c r="F2249" s="100" t="e">
        <f t="shared" ca="1" si="383"/>
        <v>#NAME?</v>
      </c>
      <c r="G2249" s="100" t="e">
        <f t="shared" ca="1" si="384"/>
        <v>#NAME?</v>
      </c>
      <c r="H2249" s="100" t="e">
        <f t="shared" ca="1" si="385"/>
        <v>#NAME?</v>
      </c>
      <c r="I2249" s="100" t="e">
        <f t="shared" ca="1" si="386"/>
        <v>#NAME?</v>
      </c>
      <c r="J2249" s="100" t="e">
        <f ca="1">IFERROR(__xludf.DUMMYFUNCTION("""COMPUTED_VALUE"""),"0")</f>
        <v>#NAME?</v>
      </c>
      <c r="K2249" s="100" t="e">
        <f t="shared" ca="1" si="387"/>
        <v>#NAME?</v>
      </c>
      <c r="L2249" s="100"/>
      <c r="M2249" s="100"/>
      <c r="N2249" s="100"/>
      <c r="O2249" s="100"/>
      <c r="P2249" s="100"/>
      <c r="Q2249" s="100"/>
      <c r="R2249" s="100"/>
      <c r="S2249" s="100"/>
      <c r="T2249" s="100"/>
      <c r="U2249" s="100"/>
      <c r="V2249" s="100"/>
      <c r="W2249" s="100"/>
      <c r="X2249" s="100"/>
      <c r="Y2249" s="100"/>
      <c r="Z2249" s="100"/>
    </row>
    <row r="2250" spans="1:26">
      <c r="A2250" s="100" t="e">
        <f ca="1">IFERROR(__xludf.DUMMYFUNCTION("""COMPUTED_VALUE"""),58785585)</f>
        <v>#NAME?</v>
      </c>
      <c r="B2250" s="100" t="e">
        <f ca="1">IFERROR(__xludf.DUMMYFUNCTION("""COMPUTED_VALUE"""),"ARKMTRY")</f>
        <v>#NAME?</v>
      </c>
      <c r="C2250" s="100" t="e">
        <f ca="1">IFERROR(__xludf.DUMMYFUNCTION("""COMPUTED_VALUE"""),"19.22000000")</f>
        <v>#NAME?</v>
      </c>
      <c r="D2250" s="100" t="e">
        <f t="shared" ca="1" si="382"/>
        <v>#NAME?</v>
      </c>
      <c r="E2250" s="100" t="e">
        <f t="shared" ca="1" si="382"/>
        <v>#NAME?</v>
      </c>
      <c r="F2250" s="100" t="e">
        <f t="shared" ca="1" si="383"/>
        <v>#NAME?</v>
      </c>
      <c r="G2250" s="100" t="e">
        <f t="shared" ca="1" si="384"/>
        <v>#NAME?</v>
      </c>
      <c r="H2250" s="100" t="e">
        <f t="shared" ca="1" si="385"/>
        <v>#NAME?</v>
      </c>
      <c r="I2250" s="100" t="e">
        <f t="shared" ca="1" si="386"/>
        <v>#NAME?</v>
      </c>
      <c r="J2250" s="100" t="e">
        <f ca="1">IFERROR(__xludf.DUMMYFUNCTION("""COMPUTED_VALUE"""),"-4.568")</f>
        <v>#NAME?</v>
      </c>
      <c r="K2250" s="100" t="e">
        <f t="shared" ca="1" si="387"/>
        <v>#NAME?</v>
      </c>
      <c r="L2250" s="100"/>
      <c r="M2250" s="100"/>
      <c r="N2250" s="100"/>
      <c r="O2250" s="100"/>
      <c r="P2250" s="100"/>
      <c r="Q2250" s="100"/>
      <c r="R2250" s="100"/>
      <c r="S2250" s="100"/>
      <c r="T2250" s="100"/>
      <c r="U2250" s="100"/>
      <c r="V2250" s="100"/>
      <c r="W2250" s="100"/>
      <c r="X2250" s="100"/>
      <c r="Y2250" s="100"/>
      <c r="Z2250" s="100"/>
    </row>
    <row r="2251" spans="1:26">
      <c r="A2251" s="100" t="e">
        <f ca="1">IFERROR(__xludf.DUMMYFUNCTION("""COMPUTED_VALUE"""),58785586)</f>
        <v>#NAME?</v>
      </c>
      <c r="B2251" s="100" t="e">
        <f ca="1">IFERROR(__xludf.DUMMYFUNCTION("""COMPUTED_VALUE"""),"ARKMBNB")</f>
        <v>#NAME?</v>
      </c>
      <c r="C2251" s="100" t="e">
        <f ca="1">IFERROR(__xludf.DUMMYFUNCTION("""COMPUTED_VALUE"""),"0.00082900")</f>
        <v>#NAME?</v>
      </c>
      <c r="D2251" s="100" t="e">
        <f t="shared" ca="1" si="382"/>
        <v>#NAME?</v>
      </c>
      <c r="E2251" s="100" t="e">
        <f t="shared" ca="1" si="382"/>
        <v>#NAME?</v>
      </c>
      <c r="F2251" s="100" t="e">
        <f t="shared" ca="1" si="383"/>
        <v>#NAME?</v>
      </c>
      <c r="G2251" s="100" t="e">
        <f t="shared" ca="1" si="384"/>
        <v>#NAME?</v>
      </c>
      <c r="H2251" s="100" t="e">
        <f t="shared" ca="1" si="385"/>
        <v>#NAME?</v>
      </c>
      <c r="I2251" s="100" t="e">
        <f t="shared" ca="1" si="386"/>
        <v>#NAME?</v>
      </c>
      <c r="J2251" s="100" t="e">
        <f ca="1">IFERROR(__xludf.DUMMYFUNCTION("""COMPUTED_VALUE"""),"-4.822")</f>
        <v>#NAME?</v>
      </c>
      <c r="K2251" s="100" t="e">
        <f t="shared" ca="1" si="387"/>
        <v>#NAME?</v>
      </c>
      <c r="L2251" s="100"/>
      <c r="M2251" s="100"/>
      <c r="N2251" s="100"/>
      <c r="O2251" s="100"/>
      <c r="P2251" s="100"/>
      <c r="Q2251" s="100"/>
      <c r="R2251" s="100"/>
      <c r="S2251" s="100"/>
      <c r="T2251" s="100"/>
      <c r="U2251" s="100"/>
      <c r="V2251" s="100"/>
      <c r="W2251" s="100"/>
      <c r="X2251" s="100"/>
      <c r="Y2251" s="100"/>
      <c r="Z2251" s="100"/>
    </row>
    <row r="2252" spans="1:26">
      <c r="A2252" s="100" t="e">
        <f ca="1">IFERROR(__xludf.DUMMYFUNCTION("""COMPUTED_VALUE"""),58785587)</f>
        <v>#NAME?</v>
      </c>
      <c r="B2252" s="100" t="e">
        <f ca="1">IFERROR(__xludf.DUMMYFUNCTION("""COMPUTED_VALUE"""),"ARKMBTC")</f>
        <v>#NAME?</v>
      </c>
      <c r="C2252" s="100" t="e">
        <f ca="1">IFERROR(__xludf.DUMMYFUNCTION("""COMPUTED_VALUE"""),"0.00000568")</f>
        <v>#NAME?</v>
      </c>
      <c r="D2252" s="100" t="e">
        <f t="shared" ca="1" si="382"/>
        <v>#NAME?</v>
      </c>
      <c r="E2252" s="100" t="e">
        <f t="shared" ca="1" si="382"/>
        <v>#NAME?</v>
      </c>
      <c r="F2252" s="100" t="e">
        <f t="shared" ca="1" si="383"/>
        <v>#NAME?</v>
      </c>
      <c r="G2252" s="100" t="e">
        <f t="shared" ca="1" si="384"/>
        <v>#NAME?</v>
      </c>
      <c r="H2252" s="100" t="e">
        <f t="shared" ca="1" si="385"/>
        <v>#NAME?</v>
      </c>
      <c r="I2252" s="100" t="e">
        <f t="shared" ca="1" si="386"/>
        <v>#NAME?</v>
      </c>
      <c r="J2252" s="100" t="e">
        <f ca="1">IFERROR(__xludf.DUMMYFUNCTION("""COMPUTED_VALUE"""),"-5.804")</f>
        <v>#NAME?</v>
      </c>
      <c r="K2252" s="100" t="e">
        <f t="shared" ca="1" si="387"/>
        <v>#NAME?</v>
      </c>
      <c r="L2252" s="100"/>
      <c r="M2252" s="100"/>
      <c r="N2252" s="100"/>
      <c r="O2252" s="100"/>
      <c r="P2252" s="100"/>
      <c r="Q2252" s="100"/>
      <c r="R2252" s="100"/>
      <c r="S2252" s="100"/>
      <c r="T2252" s="100"/>
      <c r="U2252" s="100"/>
      <c r="V2252" s="100"/>
      <c r="W2252" s="100"/>
      <c r="X2252" s="100"/>
      <c r="Y2252" s="100"/>
      <c r="Z2252" s="100"/>
    </row>
    <row r="2253" spans="1:26">
      <c r="A2253" s="100" t="e">
        <f ca="1">IFERROR(__xludf.DUMMYFUNCTION("""COMPUTED_VALUE"""),58785588)</f>
        <v>#NAME?</v>
      </c>
      <c r="B2253" s="100" t="e">
        <f ca="1">IFERROR(__xludf.DUMMYFUNCTION("""COMPUTED_VALUE"""),"WBETHUSDT")</f>
        <v>#NAME?</v>
      </c>
      <c r="C2253" s="100" t="e">
        <f ca="1">IFERROR(__xludf.DUMMYFUNCTION("""COMPUTED_VALUE"""),"1735.91000000")</f>
        <v>#NAME?</v>
      </c>
      <c r="D2253" s="100" t="e">
        <f t="shared" ca="1" si="382"/>
        <v>#NAME?</v>
      </c>
      <c r="E2253" s="100" t="e">
        <f t="shared" ca="1" si="382"/>
        <v>#NAME?</v>
      </c>
      <c r="F2253" s="100" t="e">
        <f t="shared" ca="1" si="383"/>
        <v>#NAME?</v>
      </c>
      <c r="G2253" s="100" t="e">
        <f t="shared" ca="1" si="384"/>
        <v>#NAME?</v>
      </c>
      <c r="H2253" s="100" t="e">
        <f t="shared" ca="1" si="385"/>
        <v>#NAME?</v>
      </c>
      <c r="I2253" s="100" t="e">
        <f t="shared" ca="1" si="386"/>
        <v>#NAME?</v>
      </c>
      <c r="J2253" s="100" t="e">
        <f ca="1">IFERROR(__xludf.DUMMYFUNCTION("""COMPUTED_VALUE"""),"-0.889")</f>
        <v>#NAME?</v>
      </c>
      <c r="K2253" s="100" t="e">
        <f t="shared" ca="1" si="387"/>
        <v>#NAME?</v>
      </c>
      <c r="L2253" s="100"/>
      <c r="M2253" s="100"/>
      <c r="N2253" s="100"/>
      <c r="O2253" s="100"/>
      <c r="P2253" s="100"/>
      <c r="Q2253" s="100"/>
      <c r="R2253" s="100"/>
      <c r="S2253" s="100"/>
      <c r="T2253" s="100"/>
      <c r="U2253" s="100"/>
      <c r="V2253" s="100"/>
      <c r="W2253" s="100"/>
      <c r="X2253" s="100"/>
      <c r="Y2253" s="100"/>
      <c r="Z2253" s="100"/>
    </row>
    <row r="2254" spans="1:26">
      <c r="A2254" s="100" t="e">
        <f ca="1">IFERROR(__xludf.DUMMYFUNCTION("""COMPUTED_VALUE"""),58785589)</f>
        <v>#NAME?</v>
      </c>
      <c r="B2254" s="100" t="e">
        <f ca="1">IFERROR(__xludf.DUMMYFUNCTION("""COMPUTED_VALUE"""),"ACATRY")</f>
        <v>#NAME?</v>
      </c>
      <c r="C2254" s="100" t="e">
        <f ca="1">IFERROR(__xludf.DUMMYFUNCTION("""COMPUTED_VALUE"""),"1.17900000")</f>
        <v>#NAME?</v>
      </c>
      <c r="D2254" s="100" t="e">
        <f t="shared" ca="1" si="382"/>
        <v>#NAME?</v>
      </c>
      <c r="E2254" s="100" t="e">
        <f t="shared" ca="1" si="382"/>
        <v>#NAME?</v>
      </c>
      <c r="F2254" s="100" t="e">
        <f t="shared" ca="1" si="383"/>
        <v>#NAME?</v>
      </c>
      <c r="G2254" s="100" t="e">
        <f t="shared" ca="1" si="384"/>
        <v>#NAME?</v>
      </c>
      <c r="H2254" s="100" t="e">
        <f t="shared" ca="1" si="385"/>
        <v>#NAME?</v>
      </c>
      <c r="I2254" s="100" t="e">
        <f t="shared" ca="1" si="386"/>
        <v>#NAME?</v>
      </c>
      <c r="J2254" s="100" t="e">
        <f ca="1">IFERROR(__xludf.DUMMYFUNCTION("""COMPUTED_VALUE"""),"-2.723")</f>
        <v>#NAME?</v>
      </c>
      <c r="K2254" s="100" t="e">
        <f t="shared" ca="1" si="387"/>
        <v>#NAME?</v>
      </c>
      <c r="L2254" s="100"/>
      <c r="M2254" s="100"/>
      <c r="N2254" s="100"/>
      <c r="O2254" s="100"/>
      <c r="P2254" s="100"/>
      <c r="Q2254" s="100"/>
      <c r="R2254" s="100"/>
      <c r="S2254" s="100"/>
      <c r="T2254" s="100"/>
      <c r="U2254" s="100"/>
      <c r="V2254" s="100"/>
      <c r="W2254" s="100"/>
      <c r="X2254" s="100"/>
      <c r="Y2254" s="100"/>
      <c r="Z2254" s="100"/>
    </row>
    <row r="2255" spans="1:26">
      <c r="A2255" s="100" t="e">
        <f ca="1">IFERROR(__xludf.DUMMYFUNCTION("""COMPUTED_VALUE"""),58785590)</f>
        <v>#NAME?</v>
      </c>
      <c r="B2255" s="100" t="e">
        <f ca="1">IFERROR(__xludf.DUMMYFUNCTION("""COMPUTED_VALUE"""),"AVAXTUSD")</f>
        <v>#NAME?</v>
      </c>
      <c r="C2255" s="100" t="e">
        <f ca="1">IFERROR(__xludf.DUMMYFUNCTION("""COMPUTED_VALUE"""),"27.66000000")</f>
        <v>#NAME?</v>
      </c>
      <c r="D2255" s="100" t="e">
        <f t="shared" ca="1" si="382"/>
        <v>#NAME?</v>
      </c>
      <c r="E2255" s="100" t="e">
        <f t="shared" ca="1" si="382"/>
        <v>#NAME?</v>
      </c>
      <c r="F2255" s="100" t="e">
        <f t="shared" ca="1" si="383"/>
        <v>#NAME?</v>
      </c>
      <c r="G2255" s="100" t="e">
        <f t="shared" ca="1" si="384"/>
        <v>#NAME?</v>
      </c>
      <c r="H2255" s="100" t="e">
        <f t="shared" ca="1" si="385"/>
        <v>#NAME?</v>
      </c>
      <c r="I2255" s="100" t="e">
        <f t="shared" ca="1" si="386"/>
        <v>#NAME?</v>
      </c>
      <c r="J2255" s="100" t="e">
        <f ca="1">IFERROR(__xludf.DUMMYFUNCTION("""COMPUTED_VALUE"""),"0")</f>
        <v>#NAME?</v>
      </c>
      <c r="K2255" s="100" t="e">
        <f t="shared" ca="1" si="387"/>
        <v>#NAME?</v>
      </c>
      <c r="L2255" s="100"/>
      <c r="M2255" s="100"/>
      <c r="N2255" s="100"/>
      <c r="O2255" s="100"/>
      <c r="P2255" s="100"/>
      <c r="Q2255" s="100"/>
      <c r="R2255" s="100"/>
      <c r="S2255" s="100"/>
      <c r="T2255" s="100"/>
      <c r="U2255" s="100"/>
      <c r="V2255" s="100"/>
      <c r="W2255" s="100"/>
      <c r="X2255" s="100"/>
      <c r="Y2255" s="100"/>
      <c r="Z2255" s="100"/>
    </row>
    <row r="2256" spans="1:26">
      <c r="A2256" s="100" t="e">
        <f ca="1">IFERROR(__xludf.DUMMYFUNCTION("""COMPUTED_VALUE"""),58785591)</f>
        <v>#NAME?</v>
      </c>
      <c r="B2256" s="100" t="e">
        <f ca="1">IFERROR(__xludf.DUMMYFUNCTION("""COMPUTED_VALUE"""),"COMPTUSD")</f>
        <v>#NAME?</v>
      </c>
      <c r="C2256" s="100" t="e">
        <f ca="1">IFERROR(__xludf.DUMMYFUNCTION("""COMPUTED_VALUE"""),"84.22000000")</f>
        <v>#NAME?</v>
      </c>
      <c r="D2256" s="100" t="e">
        <f t="shared" ca="1" si="382"/>
        <v>#NAME?</v>
      </c>
      <c r="E2256" s="100" t="e">
        <f t="shared" ca="1" si="382"/>
        <v>#NAME?</v>
      </c>
      <c r="F2256" s="100" t="e">
        <f t="shared" ca="1" si="383"/>
        <v>#NAME?</v>
      </c>
      <c r="G2256" s="100" t="e">
        <f t="shared" ca="1" si="384"/>
        <v>#NAME?</v>
      </c>
      <c r="H2256" s="100" t="e">
        <f t="shared" ca="1" si="385"/>
        <v>#NAME?</v>
      </c>
      <c r="I2256" s="100" t="e">
        <f t="shared" ca="1" si="386"/>
        <v>#NAME?</v>
      </c>
      <c r="J2256" s="100" t="e">
        <f ca="1">IFERROR(__xludf.DUMMYFUNCTION("""COMPUTED_VALUE"""),"0")</f>
        <v>#NAME?</v>
      </c>
      <c r="K2256" s="100" t="e">
        <f t="shared" ca="1" si="387"/>
        <v>#NAME?</v>
      </c>
      <c r="L2256" s="100"/>
      <c r="M2256" s="100"/>
      <c r="N2256" s="100"/>
      <c r="O2256" s="100"/>
      <c r="P2256" s="100"/>
      <c r="Q2256" s="100"/>
      <c r="R2256" s="100"/>
      <c r="S2256" s="100"/>
      <c r="T2256" s="100"/>
      <c r="U2256" s="100"/>
      <c r="V2256" s="100"/>
      <c r="W2256" s="100"/>
      <c r="X2256" s="100"/>
      <c r="Y2256" s="100"/>
      <c r="Z2256" s="100"/>
    </row>
    <row r="2257" spans="1:26">
      <c r="A2257" s="100" t="e">
        <f ca="1">IFERROR(__xludf.DUMMYFUNCTION("""COMPUTED_VALUE"""),58785592)</f>
        <v>#NAME?</v>
      </c>
      <c r="B2257" s="100" t="e">
        <f ca="1">IFERROR(__xludf.DUMMYFUNCTION("""COMPUTED_VALUE"""),"COMPTRY")</f>
        <v>#NAME?</v>
      </c>
      <c r="C2257" s="100" t="e">
        <f ca="1">IFERROR(__xludf.DUMMYFUNCTION("""COMPUTED_VALUE"""),"1521.00000000")</f>
        <v>#NAME?</v>
      </c>
      <c r="D2257" s="100" t="e">
        <f t="shared" ca="1" si="382"/>
        <v>#NAME?</v>
      </c>
      <c r="E2257" s="100" t="e">
        <f t="shared" ca="1" si="382"/>
        <v>#NAME?</v>
      </c>
      <c r="F2257" s="100" t="e">
        <f t="shared" ca="1" si="383"/>
        <v>#NAME?</v>
      </c>
      <c r="G2257" s="100" t="e">
        <f t="shared" ca="1" si="384"/>
        <v>#NAME?</v>
      </c>
      <c r="H2257" s="100" t="e">
        <f t="shared" ca="1" si="385"/>
        <v>#NAME?</v>
      </c>
      <c r="I2257" s="100" t="e">
        <f t="shared" ca="1" si="386"/>
        <v>#NAME?</v>
      </c>
      <c r="J2257" s="100" t="e">
        <f ca="1">IFERROR(__xludf.DUMMYFUNCTION("""COMPUTED_VALUE"""),"-3.183")</f>
        <v>#NAME?</v>
      </c>
      <c r="K2257" s="100" t="e">
        <f t="shared" ca="1" si="387"/>
        <v>#NAME?</v>
      </c>
      <c r="L2257" s="100"/>
      <c r="M2257" s="100"/>
      <c r="N2257" s="100"/>
      <c r="O2257" s="100"/>
      <c r="P2257" s="100"/>
      <c r="Q2257" s="100"/>
      <c r="R2257" s="100"/>
      <c r="S2257" s="100"/>
      <c r="T2257" s="100"/>
      <c r="U2257" s="100"/>
      <c r="V2257" s="100"/>
      <c r="W2257" s="100"/>
      <c r="X2257" s="100"/>
      <c r="Y2257" s="100"/>
      <c r="Z2257" s="100"/>
    </row>
    <row r="2258" spans="1:26">
      <c r="A2258" s="100" t="e">
        <f ca="1">IFERROR(__xludf.DUMMYFUNCTION("""COMPUTED_VALUE"""),58785593)</f>
        <v>#NAME?</v>
      </c>
      <c r="B2258" s="100" t="e">
        <f ca="1">IFERROR(__xludf.DUMMYFUNCTION("""COMPUTED_VALUE"""),"XECTRY")</f>
        <v>#NAME?</v>
      </c>
      <c r="C2258" s="100" t="e">
        <f ca="1">IFERROR(__xludf.DUMMYFUNCTION("""COMPUTED_VALUE"""),"0.00079480")</f>
        <v>#NAME?</v>
      </c>
      <c r="D2258" s="100" t="e">
        <f t="shared" ca="1" si="382"/>
        <v>#NAME?</v>
      </c>
      <c r="E2258" s="100" t="e">
        <f t="shared" ca="1" si="382"/>
        <v>#NAME?</v>
      </c>
      <c r="F2258" s="100" t="e">
        <f t="shared" ca="1" si="383"/>
        <v>#NAME?</v>
      </c>
      <c r="G2258" s="100" t="e">
        <f t="shared" ca="1" si="384"/>
        <v>#NAME?</v>
      </c>
      <c r="H2258" s="100" t="e">
        <f t="shared" ca="1" si="385"/>
        <v>#NAME?</v>
      </c>
      <c r="I2258" s="100" t="e">
        <f t="shared" ca="1" si="386"/>
        <v>#NAME?</v>
      </c>
      <c r="J2258" s="100" t="e">
        <f ca="1">IFERROR(__xludf.DUMMYFUNCTION("""COMPUTED_VALUE"""),"-0.638")</f>
        <v>#NAME?</v>
      </c>
      <c r="K2258" s="100" t="e">
        <f t="shared" ca="1" si="387"/>
        <v>#NAME?</v>
      </c>
      <c r="L2258" s="100"/>
      <c r="M2258" s="100"/>
      <c r="N2258" s="100"/>
      <c r="O2258" s="100"/>
      <c r="P2258" s="100"/>
      <c r="Q2258" s="100"/>
      <c r="R2258" s="100"/>
      <c r="S2258" s="100"/>
      <c r="T2258" s="100"/>
      <c r="U2258" s="100"/>
      <c r="V2258" s="100"/>
      <c r="W2258" s="100"/>
      <c r="X2258" s="100"/>
      <c r="Y2258" s="100"/>
      <c r="Z2258" s="100"/>
    </row>
    <row r="2259" spans="1:26">
      <c r="A2259" s="100" t="e">
        <f ca="1">IFERROR(__xludf.DUMMYFUNCTION("""COMPUTED_VALUE"""),58785594)</f>
        <v>#NAME?</v>
      </c>
      <c r="B2259" s="100" t="e">
        <f ca="1">IFERROR(__xludf.DUMMYFUNCTION("""COMPUTED_VALUE"""),"QUICKTUSD")</f>
        <v>#NAME?</v>
      </c>
      <c r="C2259" s="100" t="e">
        <f ca="1">IFERROR(__xludf.DUMMYFUNCTION("""COMPUTED_VALUE"""),"0.04668000")</f>
        <v>#NAME?</v>
      </c>
      <c r="D2259" s="100" t="e">
        <f t="shared" ca="1" si="382"/>
        <v>#NAME?</v>
      </c>
      <c r="E2259" s="100" t="e">
        <f t="shared" ca="1" si="382"/>
        <v>#NAME?</v>
      </c>
      <c r="F2259" s="100" t="e">
        <f t="shared" ca="1" si="383"/>
        <v>#NAME?</v>
      </c>
      <c r="G2259" s="100" t="e">
        <f t="shared" ca="1" si="384"/>
        <v>#NAME?</v>
      </c>
      <c r="H2259" s="100" t="e">
        <f t="shared" ca="1" si="385"/>
        <v>#NAME?</v>
      </c>
      <c r="I2259" s="100" t="e">
        <f t="shared" ca="1" si="386"/>
        <v>#NAME?</v>
      </c>
      <c r="J2259" s="100" t="e">
        <f ca="1">IFERROR(__xludf.DUMMYFUNCTION("""COMPUTED_VALUE"""),"0")</f>
        <v>#NAME?</v>
      </c>
      <c r="K2259" s="100" t="e">
        <f t="shared" ca="1" si="387"/>
        <v>#NAME?</v>
      </c>
      <c r="L2259" s="100"/>
      <c r="M2259" s="100"/>
      <c r="N2259" s="100"/>
      <c r="O2259" s="100"/>
      <c r="P2259" s="100"/>
      <c r="Q2259" s="100"/>
      <c r="R2259" s="100"/>
      <c r="S2259" s="100"/>
      <c r="T2259" s="100"/>
      <c r="U2259" s="100"/>
      <c r="V2259" s="100"/>
      <c r="W2259" s="100"/>
      <c r="X2259" s="100"/>
      <c r="Y2259" s="100"/>
      <c r="Z2259" s="100"/>
    </row>
    <row r="2260" spans="1:26">
      <c r="A2260" s="100" t="e">
        <f ca="1">IFERROR(__xludf.DUMMYFUNCTION("""COMPUTED_VALUE"""),58785595)</f>
        <v>#NAME?</v>
      </c>
      <c r="B2260" s="100" t="e">
        <f ca="1">IFERROR(__xludf.DUMMYFUNCTION("""COMPUTED_VALUE"""),"WLDUSDT")</f>
        <v>#NAME?</v>
      </c>
      <c r="C2260" s="100" t="e">
        <f ca="1">IFERROR(__xludf.DUMMYFUNCTION("""COMPUTED_VALUE"""),"0.77800000")</f>
        <v>#NAME?</v>
      </c>
      <c r="D2260" s="100" t="e">
        <f t="shared" ca="1" si="382"/>
        <v>#NAME?</v>
      </c>
      <c r="E2260" s="100" t="e">
        <f t="shared" ca="1" si="382"/>
        <v>#NAME?</v>
      </c>
      <c r="F2260" s="100" t="e">
        <f t="shared" ca="1" si="383"/>
        <v>#NAME?</v>
      </c>
      <c r="G2260" s="100" t="e">
        <f t="shared" ca="1" si="384"/>
        <v>#NAME?</v>
      </c>
      <c r="H2260" s="100" t="e">
        <f t="shared" ca="1" si="385"/>
        <v>#NAME?</v>
      </c>
      <c r="I2260" s="100" t="e">
        <f t="shared" ca="1" si="386"/>
        <v>#NAME?</v>
      </c>
      <c r="J2260" s="100" t="e">
        <f ca="1">IFERROR(__xludf.DUMMYFUNCTION("""COMPUTED_VALUE"""),"-1.643")</f>
        <v>#NAME?</v>
      </c>
      <c r="K2260" s="100" t="e">
        <f t="shared" ca="1" si="387"/>
        <v>#NAME?</v>
      </c>
      <c r="L2260" s="100"/>
      <c r="M2260" s="100"/>
      <c r="N2260" s="100"/>
      <c r="O2260" s="100"/>
      <c r="P2260" s="100"/>
      <c r="Q2260" s="100"/>
      <c r="R2260" s="100"/>
      <c r="S2260" s="100"/>
      <c r="T2260" s="100"/>
      <c r="U2260" s="100"/>
      <c r="V2260" s="100"/>
      <c r="W2260" s="100"/>
      <c r="X2260" s="100"/>
      <c r="Y2260" s="100"/>
      <c r="Z2260" s="100"/>
    </row>
    <row r="2261" spans="1:26">
      <c r="A2261" s="100" t="e">
        <f ca="1">IFERROR(__xludf.DUMMYFUNCTION("""COMPUTED_VALUE"""),58785596)</f>
        <v>#NAME?</v>
      </c>
      <c r="B2261" s="100" t="e">
        <f ca="1">IFERROR(__xludf.DUMMYFUNCTION("""COMPUTED_VALUE"""),"WLDBTC")</f>
        <v>#NAME?</v>
      </c>
      <c r="C2261" s="100" t="e">
        <f ca="1">IFERROR(__xludf.DUMMYFUNCTION("""COMPUTED_VALUE"""),"0.00000878")</f>
        <v>#NAME?</v>
      </c>
      <c r="D2261" s="100" t="e">
        <f t="shared" ca="1" si="382"/>
        <v>#NAME?</v>
      </c>
      <c r="E2261" s="100" t="e">
        <f t="shared" ca="1" si="382"/>
        <v>#NAME?</v>
      </c>
      <c r="F2261" s="100" t="e">
        <f t="shared" ca="1" si="383"/>
        <v>#NAME?</v>
      </c>
      <c r="G2261" s="100" t="e">
        <f t="shared" ca="1" si="384"/>
        <v>#NAME?</v>
      </c>
      <c r="H2261" s="100" t="e">
        <f t="shared" ca="1" si="385"/>
        <v>#NAME?</v>
      </c>
      <c r="I2261" s="100" t="e">
        <f t="shared" ca="1" si="386"/>
        <v>#NAME?</v>
      </c>
      <c r="J2261" s="100" t="e">
        <f ca="1">IFERROR(__xludf.DUMMYFUNCTION("""COMPUTED_VALUE"""),"-2.769")</f>
        <v>#NAME?</v>
      </c>
      <c r="K2261" s="100" t="e">
        <f t="shared" ca="1" si="387"/>
        <v>#NAME?</v>
      </c>
      <c r="L2261" s="100"/>
      <c r="M2261" s="100"/>
      <c r="N2261" s="100"/>
      <c r="O2261" s="100"/>
      <c r="P2261" s="100"/>
      <c r="Q2261" s="100"/>
      <c r="R2261" s="100"/>
      <c r="S2261" s="100"/>
      <c r="T2261" s="100"/>
      <c r="U2261" s="100"/>
      <c r="V2261" s="100"/>
      <c r="W2261" s="100"/>
      <c r="X2261" s="100"/>
      <c r="Y2261" s="100"/>
      <c r="Z2261" s="100"/>
    </row>
    <row r="2262" spans="1:26">
      <c r="A2262" s="100" t="e">
        <f ca="1">IFERROR(__xludf.DUMMYFUNCTION("""COMPUTED_VALUE"""),58785597)</f>
        <v>#NAME?</v>
      </c>
      <c r="B2262" s="100" t="e">
        <f ca="1">IFERROR(__xludf.DUMMYFUNCTION("""COMPUTED_VALUE"""),"BNBFDUSD")</f>
        <v>#NAME?</v>
      </c>
      <c r="C2262" s="100" t="e">
        <f ca="1">IFERROR(__xludf.DUMMYFUNCTION("""COMPUTED_VALUE"""),"607.24000000")</f>
        <v>#NAME?</v>
      </c>
      <c r="D2262" s="100" t="e">
        <f t="shared" ref="D2262:E2281" ca="1" si="388">IFERROR(__xludf.DUMMYFUNCTION("""COMPUTED_VALUE"""),"-")</f>
        <v>#NAME?</v>
      </c>
      <c r="E2262" s="100" t="e">
        <f t="shared" ca="1" si="388"/>
        <v>#NAME?</v>
      </c>
      <c r="F2262" s="100" t="e">
        <f t="shared" ca="1" si="383"/>
        <v>#NAME?</v>
      </c>
      <c r="G2262" s="100" t="e">
        <f t="shared" ca="1" si="384"/>
        <v>#NAME?</v>
      </c>
      <c r="H2262" s="100" t="e">
        <f t="shared" ca="1" si="385"/>
        <v>#NAME?</v>
      </c>
      <c r="I2262" s="100" t="e">
        <f t="shared" ca="1" si="386"/>
        <v>#NAME?</v>
      </c>
      <c r="J2262" s="100" t="e">
        <f ca="1">IFERROR(__xludf.DUMMYFUNCTION("""COMPUTED_VALUE"""),"0.377")</f>
        <v>#NAME?</v>
      </c>
      <c r="K2262" s="100" t="e">
        <f t="shared" ca="1" si="387"/>
        <v>#NAME?</v>
      </c>
      <c r="L2262" s="100"/>
      <c r="M2262" s="100"/>
      <c r="N2262" s="100"/>
      <c r="O2262" s="100"/>
      <c r="P2262" s="100"/>
      <c r="Q2262" s="100"/>
      <c r="R2262" s="100"/>
      <c r="S2262" s="100"/>
      <c r="T2262" s="100"/>
      <c r="U2262" s="100"/>
      <c r="V2262" s="100"/>
      <c r="W2262" s="100"/>
      <c r="X2262" s="100"/>
      <c r="Y2262" s="100"/>
      <c r="Z2262" s="100"/>
    </row>
    <row r="2263" spans="1:26">
      <c r="A2263" s="100" t="e">
        <f ca="1">IFERROR(__xludf.DUMMYFUNCTION("""COMPUTED_VALUE"""),58785598)</f>
        <v>#NAME?</v>
      </c>
      <c r="B2263" s="100" t="e">
        <f ca="1">IFERROR(__xludf.DUMMYFUNCTION("""COMPUTED_VALUE"""),"FDUSDBUSD")</f>
        <v>#NAME?</v>
      </c>
      <c r="C2263" s="100" t="e">
        <f ca="1">IFERROR(__xludf.DUMMYFUNCTION("""COMPUTED_VALUE"""),"1.00000000")</f>
        <v>#NAME?</v>
      </c>
      <c r="D2263" s="100" t="e">
        <f t="shared" ca="1" si="388"/>
        <v>#NAME?</v>
      </c>
      <c r="E2263" s="100" t="e">
        <f t="shared" ca="1" si="388"/>
        <v>#NAME?</v>
      </c>
      <c r="F2263" s="100" t="e">
        <f t="shared" ca="1" si="383"/>
        <v>#NAME?</v>
      </c>
      <c r="G2263" s="100" t="e">
        <f t="shared" ca="1" si="384"/>
        <v>#NAME?</v>
      </c>
      <c r="H2263" s="100" t="e">
        <f t="shared" ca="1" si="385"/>
        <v>#NAME?</v>
      </c>
      <c r="I2263" s="100" t="e">
        <f t="shared" ca="1" si="386"/>
        <v>#NAME?</v>
      </c>
      <c r="J2263" s="100" t="e">
        <f ca="1">IFERROR(__xludf.DUMMYFUNCTION("""COMPUTED_VALUE"""),"0")</f>
        <v>#NAME?</v>
      </c>
      <c r="K2263" s="100" t="e">
        <f t="shared" ca="1" si="387"/>
        <v>#NAME?</v>
      </c>
      <c r="L2263" s="100"/>
      <c r="M2263" s="100"/>
      <c r="N2263" s="100"/>
      <c r="O2263" s="100"/>
      <c r="P2263" s="100"/>
      <c r="Q2263" s="100"/>
      <c r="R2263" s="100"/>
      <c r="S2263" s="100"/>
      <c r="T2263" s="100"/>
      <c r="U2263" s="100"/>
      <c r="V2263" s="100"/>
      <c r="W2263" s="100"/>
      <c r="X2263" s="100"/>
      <c r="Y2263" s="100"/>
      <c r="Z2263" s="100"/>
    </row>
    <row r="2264" spans="1:26">
      <c r="A2264" s="100" t="e">
        <f ca="1">IFERROR(__xludf.DUMMYFUNCTION("""COMPUTED_VALUE"""),58785599)</f>
        <v>#NAME?</v>
      </c>
      <c r="B2264" s="100" t="e">
        <f ca="1">IFERROR(__xludf.DUMMYFUNCTION("""COMPUTED_VALUE"""),"FDUSDUSDT")</f>
        <v>#NAME?</v>
      </c>
      <c r="C2264" s="100" t="e">
        <f ca="1">IFERROR(__xludf.DUMMYFUNCTION("""COMPUTED_VALUE"""),"0.99820000")</f>
        <v>#NAME?</v>
      </c>
      <c r="D2264" s="100" t="e">
        <f t="shared" ca="1" si="388"/>
        <v>#NAME?</v>
      </c>
      <c r="E2264" s="100" t="e">
        <f t="shared" ca="1" si="388"/>
        <v>#NAME?</v>
      </c>
      <c r="F2264" s="100" t="e">
        <f t="shared" ca="1" si="383"/>
        <v>#NAME?</v>
      </c>
      <c r="G2264" s="100" t="e">
        <f t="shared" ca="1" si="384"/>
        <v>#NAME?</v>
      </c>
      <c r="H2264" s="100" t="e">
        <f t="shared" ca="1" si="385"/>
        <v>#NAME?</v>
      </c>
      <c r="I2264" s="100" t="e">
        <f t="shared" ca="1" si="386"/>
        <v>#NAME?</v>
      </c>
      <c r="J2264" s="100" t="e">
        <f ca="1">IFERROR(__xludf.DUMMYFUNCTION("""COMPUTED_VALUE"""),"-0.090")</f>
        <v>#NAME?</v>
      </c>
      <c r="K2264" s="100" t="e">
        <f t="shared" ca="1" si="387"/>
        <v>#NAME?</v>
      </c>
      <c r="L2264" s="100"/>
      <c r="M2264" s="100"/>
      <c r="N2264" s="100"/>
      <c r="O2264" s="100"/>
      <c r="P2264" s="100"/>
      <c r="Q2264" s="100"/>
      <c r="R2264" s="100"/>
      <c r="S2264" s="100"/>
      <c r="T2264" s="100"/>
      <c r="U2264" s="100"/>
      <c r="V2264" s="100"/>
      <c r="W2264" s="100"/>
      <c r="X2264" s="100"/>
      <c r="Y2264" s="100"/>
      <c r="Z2264" s="100"/>
    </row>
    <row r="2265" spans="1:26">
      <c r="A2265" s="100" t="e">
        <f ca="1">IFERROR(__xludf.DUMMYFUNCTION("""COMPUTED_VALUE"""),58785600)</f>
        <v>#NAME?</v>
      </c>
      <c r="B2265" s="100" t="e">
        <f ca="1">IFERROR(__xludf.DUMMYFUNCTION("""COMPUTED_VALUE"""),"ARKMRUB")</f>
        <v>#NAME?</v>
      </c>
      <c r="C2265" s="100" t="e">
        <f ca="1">IFERROR(__xludf.DUMMYFUNCTION("""COMPUTED_VALUE"""),"40.11000000")</f>
        <v>#NAME?</v>
      </c>
      <c r="D2265" s="100" t="e">
        <f t="shared" ca="1" si="388"/>
        <v>#NAME?</v>
      </c>
      <c r="E2265" s="100" t="e">
        <f t="shared" ca="1" si="388"/>
        <v>#NAME?</v>
      </c>
      <c r="F2265" s="100" t="e">
        <f t="shared" ca="1" si="383"/>
        <v>#NAME?</v>
      </c>
      <c r="G2265" s="100" t="e">
        <f t="shared" ca="1" si="384"/>
        <v>#NAME?</v>
      </c>
      <c r="H2265" s="100" t="e">
        <f t="shared" ca="1" si="385"/>
        <v>#NAME?</v>
      </c>
      <c r="I2265" s="100" t="e">
        <f t="shared" ca="1" si="386"/>
        <v>#NAME?</v>
      </c>
      <c r="J2265" s="100" t="e">
        <f ca="1">IFERROR(__xludf.DUMMYFUNCTION("""COMPUTED_VALUE"""),"0")</f>
        <v>#NAME?</v>
      </c>
      <c r="K2265" s="100" t="e">
        <f t="shared" ca="1" si="387"/>
        <v>#NAME?</v>
      </c>
      <c r="L2265" s="100"/>
      <c r="M2265" s="100"/>
      <c r="N2265" s="100"/>
      <c r="O2265" s="100"/>
      <c r="P2265" s="100"/>
      <c r="Q2265" s="100"/>
      <c r="R2265" s="100"/>
      <c r="S2265" s="100"/>
      <c r="T2265" s="100"/>
      <c r="U2265" s="100"/>
      <c r="V2265" s="100"/>
      <c r="W2265" s="100"/>
      <c r="X2265" s="100"/>
      <c r="Y2265" s="100"/>
      <c r="Z2265" s="100"/>
    </row>
    <row r="2266" spans="1:26">
      <c r="A2266" s="100" t="e">
        <f ca="1">IFERROR(__xludf.DUMMYFUNCTION("""COMPUTED_VALUE"""),58785601)</f>
        <v>#NAME?</v>
      </c>
      <c r="B2266" s="100" t="e">
        <f ca="1">IFERROR(__xludf.DUMMYFUNCTION("""COMPUTED_VALUE"""),"WLDTRY")</f>
        <v>#NAME?</v>
      </c>
      <c r="C2266" s="100" t="e">
        <f ca="1">IFERROR(__xludf.DUMMYFUNCTION("""COMPUTED_VALUE"""),"29.74000000")</f>
        <v>#NAME?</v>
      </c>
      <c r="D2266" s="100" t="e">
        <f t="shared" ca="1" si="388"/>
        <v>#NAME?</v>
      </c>
      <c r="E2266" s="100" t="e">
        <f t="shared" ca="1" si="388"/>
        <v>#NAME?</v>
      </c>
      <c r="F2266" s="100" t="e">
        <f t="shared" ca="1" si="383"/>
        <v>#NAME?</v>
      </c>
      <c r="G2266" s="100" t="e">
        <f t="shared" ca="1" si="384"/>
        <v>#NAME?</v>
      </c>
      <c r="H2266" s="100" t="e">
        <f t="shared" ca="1" si="385"/>
        <v>#NAME?</v>
      </c>
      <c r="I2266" s="100" t="e">
        <f t="shared" ca="1" si="386"/>
        <v>#NAME?</v>
      </c>
      <c r="J2266" s="100" t="e">
        <f ca="1">IFERROR(__xludf.DUMMYFUNCTION("""COMPUTED_VALUE"""),"-1.458")</f>
        <v>#NAME?</v>
      </c>
      <c r="K2266" s="100" t="e">
        <f t="shared" ca="1" si="387"/>
        <v>#NAME?</v>
      </c>
      <c r="L2266" s="100"/>
      <c r="M2266" s="100"/>
      <c r="N2266" s="100"/>
      <c r="O2266" s="100"/>
      <c r="P2266" s="100"/>
      <c r="Q2266" s="100"/>
      <c r="R2266" s="100"/>
      <c r="S2266" s="100"/>
      <c r="T2266" s="100"/>
      <c r="U2266" s="100"/>
      <c r="V2266" s="100"/>
      <c r="W2266" s="100"/>
      <c r="X2266" s="100"/>
      <c r="Y2266" s="100"/>
      <c r="Z2266" s="100"/>
    </row>
    <row r="2267" spans="1:26">
      <c r="A2267" s="100" t="e">
        <f ca="1">IFERROR(__xludf.DUMMYFUNCTION("""COMPUTED_VALUE"""),58785602)</f>
        <v>#NAME?</v>
      </c>
      <c r="B2267" s="100" t="e">
        <f ca="1">IFERROR(__xludf.DUMMYFUNCTION("""COMPUTED_VALUE"""),"WLDRUB")</f>
        <v>#NAME?</v>
      </c>
      <c r="C2267" s="100" t="e">
        <f ca="1">IFERROR(__xludf.DUMMYFUNCTION("""COMPUTED_VALUE"""),"218.30000000")</f>
        <v>#NAME?</v>
      </c>
      <c r="D2267" s="100" t="e">
        <f t="shared" ca="1" si="388"/>
        <v>#NAME?</v>
      </c>
      <c r="E2267" s="100" t="e">
        <f t="shared" ca="1" si="388"/>
        <v>#NAME?</v>
      </c>
      <c r="F2267" s="100" t="e">
        <f t="shared" ca="1" si="383"/>
        <v>#NAME?</v>
      </c>
      <c r="G2267" s="100" t="e">
        <f t="shared" ca="1" si="384"/>
        <v>#NAME?</v>
      </c>
      <c r="H2267" s="100" t="e">
        <f t="shared" ca="1" si="385"/>
        <v>#NAME?</v>
      </c>
      <c r="I2267" s="100" t="e">
        <f t="shared" ca="1" si="386"/>
        <v>#NAME?</v>
      </c>
      <c r="J2267" s="100" t="e">
        <f ca="1">IFERROR(__xludf.DUMMYFUNCTION("""COMPUTED_VALUE"""),"0")</f>
        <v>#NAME?</v>
      </c>
      <c r="K2267" s="100" t="e">
        <f t="shared" ca="1" si="387"/>
        <v>#NAME?</v>
      </c>
      <c r="L2267" s="100"/>
      <c r="M2267" s="100"/>
      <c r="N2267" s="100"/>
      <c r="O2267" s="100"/>
      <c r="P2267" s="100"/>
      <c r="Q2267" s="100"/>
      <c r="R2267" s="100"/>
      <c r="S2267" s="100"/>
      <c r="T2267" s="100"/>
      <c r="U2267" s="100"/>
      <c r="V2267" s="100"/>
      <c r="W2267" s="100"/>
      <c r="X2267" s="100"/>
      <c r="Y2267" s="100"/>
      <c r="Z2267" s="100"/>
    </row>
    <row r="2268" spans="1:26">
      <c r="A2268" s="100" t="e">
        <f ca="1">IFERROR(__xludf.DUMMYFUNCTION("""COMPUTED_VALUE"""),58785603)</f>
        <v>#NAME?</v>
      </c>
      <c r="B2268" s="100" t="e">
        <f ca="1">IFERROR(__xludf.DUMMYFUNCTION("""COMPUTED_VALUE"""),"AMPTRY")</f>
        <v>#NAME?</v>
      </c>
      <c r="C2268" s="100" t="e">
        <f ca="1">IFERROR(__xludf.DUMMYFUNCTION("""COMPUTED_VALUE"""),"0.15180000")</f>
        <v>#NAME?</v>
      </c>
      <c r="D2268" s="100" t="e">
        <f t="shared" ca="1" si="388"/>
        <v>#NAME?</v>
      </c>
      <c r="E2268" s="100" t="e">
        <f t="shared" ca="1" si="388"/>
        <v>#NAME?</v>
      </c>
      <c r="F2268" s="100" t="e">
        <f t="shared" ca="1" si="383"/>
        <v>#NAME?</v>
      </c>
      <c r="G2268" s="100" t="e">
        <f t="shared" ca="1" si="384"/>
        <v>#NAME?</v>
      </c>
      <c r="H2268" s="100" t="e">
        <f t="shared" ca="1" si="385"/>
        <v>#NAME?</v>
      </c>
      <c r="I2268" s="100" t="e">
        <f t="shared" ca="1" si="386"/>
        <v>#NAME?</v>
      </c>
      <c r="J2268" s="100" t="e">
        <f ca="1">IFERROR(__xludf.DUMMYFUNCTION("""COMPUTED_VALUE"""),"7.660")</f>
        <v>#NAME?</v>
      </c>
      <c r="K2268" s="100" t="e">
        <f t="shared" ca="1" si="387"/>
        <v>#NAME?</v>
      </c>
      <c r="L2268" s="100"/>
      <c r="M2268" s="100"/>
      <c r="N2268" s="100"/>
      <c r="O2268" s="100"/>
      <c r="P2268" s="100"/>
      <c r="Q2268" s="100"/>
      <c r="R2268" s="100"/>
      <c r="S2268" s="100"/>
      <c r="T2268" s="100"/>
      <c r="U2268" s="100"/>
      <c r="V2268" s="100"/>
      <c r="W2268" s="100"/>
      <c r="X2268" s="100"/>
      <c r="Y2268" s="100"/>
      <c r="Z2268" s="100"/>
    </row>
    <row r="2269" spans="1:26">
      <c r="A2269" s="100" t="e">
        <f ca="1">IFERROR(__xludf.DUMMYFUNCTION("""COMPUTED_VALUE"""),58785604)</f>
        <v>#NAME?</v>
      </c>
      <c r="B2269" s="100" t="e">
        <f ca="1">IFERROR(__xludf.DUMMYFUNCTION("""COMPUTED_VALUE"""),"OGNTRY")</f>
        <v>#NAME?</v>
      </c>
      <c r="C2269" s="100" t="e">
        <f ca="1">IFERROR(__xludf.DUMMYFUNCTION("""COMPUTED_VALUE"""),"2.20600000")</f>
        <v>#NAME?</v>
      </c>
      <c r="D2269" s="100" t="e">
        <f t="shared" ca="1" si="388"/>
        <v>#NAME?</v>
      </c>
      <c r="E2269" s="100" t="e">
        <f t="shared" ca="1" si="388"/>
        <v>#NAME?</v>
      </c>
      <c r="F2269" s="100" t="e">
        <f t="shared" ca="1" si="383"/>
        <v>#NAME?</v>
      </c>
      <c r="G2269" s="100" t="e">
        <f t="shared" ca="1" si="384"/>
        <v>#NAME?</v>
      </c>
      <c r="H2269" s="100" t="e">
        <f t="shared" ca="1" si="385"/>
        <v>#NAME?</v>
      </c>
      <c r="I2269" s="100" t="e">
        <f t="shared" ca="1" si="386"/>
        <v>#NAME?</v>
      </c>
      <c r="J2269" s="100" t="e">
        <f ca="1">IFERROR(__xludf.DUMMYFUNCTION("""COMPUTED_VALUE"""),"-5.241")</f>
        <v>#NAME?</v>
      </c>
      <c r="K2269" s="100" t="e">
        <f t="shared" ca="1" si="387"/>
        <v>#NAME?</v>
      </c>
      <c r="L2269" s="100"/>
      <c r="M2269" s="100"/>
      <c r="N2269" s="100"/>
      <c r="O2269" s="100"/>
      <c r="P2269" s="100"/>
      <c r="Q2269" s="100"/>
      <c r="R2269" s="100"/>
      <c r="S2269" s="100"/>
      <c r="T2269" s="100"/>
      <c r="U2269" s="100"/>
      <c r="V2269" s="100"/>
      <c r="W2269" s="100"/>
      <c r="X2269" s="100"/>
      <c r="Y2269" s="100"/>
      <c r="Z2269" s="100"/>
    </row>
    <row r="2270" spans="1:26">
      <c r="A2270" s="100" t="e">
        <f ca="1">IFERROR(__xludf.DUMMYFUNCTION("""COMPUTED_VALUE"""),58785605)</f>
        <v>#NAME?</v>
      </c>
      <c r="B2270" s="100" t="e">
        <f ca="1">IFERROR(__xludf.DUMMYFUNCTION("""COMPUTED_VALUE"""),"BTCFDUSD")</f>
        <v>#NAME?</v>
      </c>
      <c r="C2270" s="100" t="e">
        <f ca="1">IFERROR(__xludf.DUMMYFUNCTION("""COMPUTED_VALUE"""),"88737.03000000")</f>
        <v>#NAME?</v>
      </c>
      <c r="D2270" s="100" t="e">
        <f t="shared" ca="1" si="388"/>
        <v>#NAME?</v>
      </c>
      <c r="E2270" s="100" t="e">
        <f t="shared" ca="1" si="388"/>
        <v>#NAME?</v>
      </c>
      <c r="F2270" s="100" t="e">
        <f t="shared" ca="1" si="383"/>
        <v>#NAME?</v>
      </c>
      <c r="G2270" s="100" t="e">
        <f t="shared" ca="1" si="384"/>
        <v>#NAME?</v>
      </c>
      <c r="H2270" s="100" t="e">
        <f t="shared" ca="1" si="385"/>
        <v>#NAME?</v>
      </c>
      <c r="I2270" s="100" t="e">
        <f t="shared" ca="1" si="386"/>
        <v>#NAME?</v>
      </c>
      <c r="J2270" s="100" t="e">
        <f ca="1">IFERROR(__xludf.DUMMYFUNCTION("""COMPUTED_VALUE"""),"1.368")</f>
        <v>#NAME?</v>
      </c>
      <c r="K2270" s="100" t="e">
        <f t="shared" ca="1" si="387"/>
        <v>#NAME?</v>
      </c>
      <c r="L2270" s="100"/>
      <c r="M2270" s="100"/>
      <c r="N2270" s="100"/>
      <c r="O2270" s="100"/>
      <c r="P2270" s="100"/>
      <c r="Q2270" s="100"/>
      <c r="R2270" s="100"/>
      <c r="S2270" s="100"/>
      <c r="T2270" s="100"/>
      <c r="U2270" s="100"/>
      <c r="V2270" s="100"/>
      <c r="W2270" s="100"/>
      <c r="X2270" s="100"/>
      <c r="Y2270" s="100"/>
      <c r="Z2270" s="100"/>
    </row>
    <row r="2271" spans="1:26">
      <c r="A2271" s="100" t="e">
        <f ca="1">IFERROR(__xludf.DUMMYFUNCTION("""COMPUTED_VALUE"""),58785606)</f>
        <v>#NAME?</v>
      </c>
      <c r="B2271" s="100" t="e">
        <f ca="1">IFERROR(__xludf.DUMMYFUNCTION("""COMPUTED_VALUE"""),"ETHFDUSD")</f>
        <v>#NAME?</v>
      </c>
      <c r="C2271" s="100" t="e">
        <f ca="1">IFERROR(__xludf.DUMMYFUNCTION("""COMPUTED_VALUE"""),"1627.91000000")</f>
        <v>#NAME?</v>
      </c>
      <c r="D2271" s="100" t="e">
        <f t="shared" ca="1" si="388"/>
        <v>#NAME?</v>
      </c>
      <c r="E2271" s="100" t="e">
        <f t="shared" ca="1" si="388"/>
        <v>#NAME?</v>
      </c>
      <c r="F2271" s="100" t="e">
        <f t="shared" ca="1" si="383"/>
        <v>#NAME?</v>
      </c>
      <c r="G2271" s="100" t="e">
        <f t="shared" ca="1" si="384"/>
        <v>#NAME?</v>
      </c>
      <c r="H2271" s="100" t="e">
        <f t="shared" ca="1" si="385"/>
        <v>#NAME?</v>
      </c>
      <c r="I2271" s="100" t="e">
        <f t="shared" ca="1" si="386"/>
        <v>#NAME?</v>
      </c>
      <c r="J2271" s="100" t="e">
        <f ca="1">IFERROR(__xludf.DUMMYFUNCTION("""COMPUTED_VALUE"""),"-0.892")</f>
        <v>#NAME?</v>
      </c>
      <c r="K2271" s="100" t="e">
        <f t="shared" ca="1" si="387"/>
        <v>#NAME?</v>
      </c>
      <c r="L2271" s="100"/>
      <c r="M2271" s="100"/>
      <c r="N2271" s="100"/>
      <c r="O2271" s="100"/>
      <c r="P2271" s="100"/>
      <c r="Q2271" s="100"/>
      <c r="R2271" s="100"/>
      <c r="S2271" s="100"/>
      <c r="T2271" s="100"/>
      <c r="U2271" s="100"/>
      <c r="V2271" s="100"/>
      <c r="W2271" s="100"/>
      <c r="X2271" s="100"/>
      <c r="Y2271" s="100"/>
      <c r="Z2271" s="100"/>
    </row>
    <row r="2272" spans="1:26">
      <c r="A2272" s="100" t="e">
        <f ca="1">IFERROR(__xludf.DUMMYFUNCTION("""COMPUTED_VALUE"""),58785607)</f>
        <v>#NAME?</v>
      </c>
      <c r="B2272" s="100" t="e">
        <f ca="1">IFERROR(__xludf.DUMMYFUNCTION("""COMPUTED_VALUE"""),"ASRTRY")</f>
        <v>#NAME?</v>
      </c>
      <c r="C2272" s="100" t="e">
        <f ca="1">IFERROR(__xludf.DUMMYFUNCTION("""COMPUTED_VALUE"""),"41.07000000")</f>
        <v>#NAME?</v>
      </c>
      <c r="D2272" s="100" t="e">
        <f t="shared" ca="1" si="388"/>
        <v>#NAME?</v>
      </c>
      <c r="E2272" s="100" t="e">
        <f t="shared" ca="1" si="388"/>
        <v>#NAME?</v>
      </c>
      <c r="F2272" s="100" t="e">
        <f t="shared" ca="1" si="383"/>
        <v>#NAME?</v>
      </c>
      <c r="G2272" s="100" t="e">
        <f t="shared" ca="1" si="384"/>
        <v>#NAME?</v>
      </c>
      <c r="H2272" s="100" t="e">
        <f t="shared" ca="1" si="385"/>
        <v>#NAME?</v>
      </c>
      <c r="I2272" s="100" t="e">
        <f t="shared" ca="1" si="386"/>
        <v>#NAME?</v>
      </c>
      <c r="J2272" s="100" t="e">
        <f ca="1">IFERROR(__xludf.DUMMYFUNCTION("""COMPUTED_VALUE"""),"0.884")</f>
        <v>#NAME?</v>
      </c>
      <c r="K2272" s="100" t="e">
        <f t="shared" ca="1" si="387"/>
        <v>#NAME?</v>
      </c>
      <c r="L2272" s="100"/>
      <c r="M2272" s="100"/>
      <c r="N2272" s="100"/>
      <c r="O2272" s="100"/>
      <c r="P2272" s="100"/>
      <c r="Q2272" s="100"/>
      <c r="R2272" s="100"/>
      <c r="S2272" s="100"/>
      <c r="T2272" s="100"/>
      <c r="U2272" s="100"/>
      <c r="V2272" s="100"/>
      <c r="W2272" s="100"/>
      <c r="X2272" s="100"/>
      <c r="Y2272" s="100"/>
      <c r="Z2272" s="100"/>
    </row>
    <row r="2273" spans="1:26">
      <c r="A2273" s="100" t="e">
        <f ca="1">IFERROR(__xludf.DUMMYFUNCTION("""COMPUTED_VALUE"""),58785608)</f>
        <v>#NAME?</v>
      </c>
      <c r="B2273" s="100" t="e">
        <f ca="1">IFERROR(__xludf.DUMMYFUNCTION("""COMPUTED_VALUE"""),"ATMTRY")</f>
        <v>#NAME?</v>
      </c>
      <c r="C2273" s="100" t="e">
        <f ca="1">IFERROR(__xludf.DUMMYFUNCTION("""COMPUTED_VALUE"""),"41.38000000")</f>
        <v>#NAME?</v>
      </c>
      <c r="D2273" s="100" t="e">
        <f t="shared" ca="1" si="388"/>
        <v>#NAME?</v>
      </c>
      <c r="E2273" s="100" t="e">
        <f t="shared" ca="1" si="388"/>
        <v>#NAME?</v>
      </c>
      <c r="F2273" s="100" t="e">
        <f t="shared" ca="1" si="383"/>
        <v>#NAME?</v>
      </c>
      <c r="G2273" s="100" t="e">
        <f t="shared" ca="1" si="384"/>
        <v>#NAME?</v>
      </c>
      <c r="H2273" s="100" t="e">
        <f t="shared" ca="1" si="385"/>
        <v>#NAME?</v>
      </c>
      <c r="I2273" s="100" t="e">
        <f t="shared" ca="1" si="386"/>
        <v>#NAME?</v>
      </c>
      <c r="J2273" s="100" t="e">
        <f ca="1">IFERROR(__xludf.DUMMYFUNCTION("""COMPUTED_VALUE"""),"0.853")</f>
        <v>#NAME?</v>
      </c>
      <c r="K2273" s="100" t="e">
        <f t="shared" ca="1" si="387"/>
        <v>#NAME?</v>
      </c>
      <c r="L2273" s="100"/>
      <c r="M2273" s="100"/>
      <c r="N2273" s="100"/>
      <c r="O2273" s="100"/>
      <c r="P2273" s="100"/>
      <c r="Q2273" s="100"/>
      <c r="R2273" s="100"/>
      <c r="S2273" s="100"/>
      <c r="T2273" s="100"/>
      <c r="U2273" s="100"/>
      <c r="V2273" s="100"/>
      <c r="W2273" s="100"/>
      <c r="X2273" s="100"/>
      <c r="Y2273" s="100"/>
      <c r="Z2273" s="100"/>
    </row>
    <row r="2274" spans="1:26">
      <c r="A2274" s="100" t="e">
        <f ca="1">IFERROR(__xludf.DUMMYFUNCTION("""COMPUTED_VALUE"""),58785609)</f>
        <v>#NAME?</v>
      </c>
      <c r="B2274" s="100" t="e">
        <f ca="1">IFERROR(__xludf.DUMMYFUNCTION("""COMPUTED_VALUE"""),"ACMTRY")</f>
        <v>#NAME?</v>
      </c>
      <c r="C2274" s="100" t="e">
        <f ca="1">IFERROR(__xludf.DUMMYFUNCTION("""COMPUTED_VALUE"""),"55.29000000")</f>
        <v>#NAME?</v>
      </c>
      <c r="D2274" s="100" t="e">
        <f t="shared" ca="1" si="388"/>
        <v>#NAME?</v>
      </c>
      <c r="E2274" s="100" t="e">
        <f t="shared" ca="1" si="388"/>
        <v>#NAME?</v>
      </c>
      <c r="F2274" s="100" t="e">
        <f t="shared" ca="1" si="383"/>
        <v>#NAME?</v>
      </c>
      <c r="G2274" s="100" t="e">
        <f t="shared" ca="1" si="384"/>
        <v>#NAME?</v>
      </c>
      <c r="H2274" s="100" t="e">
        <f t="shared" ca="1" si="385"/>
        <v>#NAME?</v>
      </c>
      <c r="I2274" s="100" t="e">
        <f t="shared" ca="1" si="386"/>
        <v>#NAME?</v>
      </c>
      <c r="J2274" s="100" t="e">
        <f ca="1">IFERROR(__xludf.DUMMYFUNCTION("""COMPUTED_VALUE"""),"0")</f>
        <v>#NAME?</v>
      </c>
      <c r="K2274" s="100" t="e">
        <f t="shared" ca="1" si="387"/>
        <v>#NAME?</v>
      </c>
      <c r="L2274" s="100"/>
      <c r="M2274" s="100"/>
      <c r="N2274" s="100"/>
      <c r="O2274" s="100"/>
      <c r="P2274" s="100"/>
      <c r="Q2274" s="100"/>
      <c r="R2274" s="100"/>
      <c r="S2274" s="100"/>
      <c r="T2274" s="100"/>
      <c r="U2274" s="100"/>
      <c r="V2274" s="100"/>
      <c r="W2274" s="100"/>
      <c r="X2274" s="100"/>
      <c r="Y2274" s="100"/>
      <c r="Z2274" s="100"/>
    </row>
    <row r="2275" spans="1:26">
      <c r="A2275" s="100" t="e">
        <f ca="1">IFERROR(__xludf.DUMMYFUNCTION("""COMPUTED_VALUE"""),58785610)</f>
        <v>#NAME?</v>
      </c>
      <c r="B2275" s="100" t="e">
        <f ca="1">IFERROR(__xludf.DUMMYFUNCTION("""COMPUTED_VALUE"""),"BARTRY")</f>
        <v>#NAME?</v>
      </c>
      <c r="C2275" s="100" t="e">
        <f ca="1">IFERROR(__xludf.DUMMYFUNCTION("""COMPUTED_VALUE"""),"69.22000000")</f>
        <v>#NAME?</v>
      </c>
      <c r="D2275" s="100" t="e">
        <f t="shared" ca="1" si="388"/>
        <v>#NAME?</v>
      </c>
      <c r="E2275" s="100" t="e">
        <f t="shared" ca="1" si="388"/>
        <v>#NAME?</v>
      </c>
      <c r="F2275" s="100" t="e">
        <f t="shared" ca="1" si="383"/>
        <v>#NAME?</v>
      </c>
      <c r="G2275" s="100" t="e">
        <f t="shared" ca="1" si="384"/>
        <v>#NAME?</v>
      </c>
      <c r="H2275" s="100" t="e">
        <f t="shared" ca="1" si="385"/>
        <v>#NAME?</v>
      </c>
      <c r="I2275" s="100" t="e">
        <f t="shared" ca="1" si="386"/>
        <v>#NAME?</v>
      </c>
      <c r="J2275" s="100" t="e">
        <f ca="1">IFERROR(__xludf.DUMMYFUNCTION("""COMPUTED_VALUE"""),"10.397")</f>
        <v>#NAME?</v>
      </c>
      <c r="K2275" s="100" t="e">
        <f t="shared" ca="1" si="387"/>
        <v>#NAME?</v>
      </c>
      <c r="L2275" s="100"/>
      <c r="M2275" s="100"/>
      <c r="N2275" s="100"/>
      <c r="O2275" s="100"/>
      <c r="P2275" s="100"/>
      <c r="Q2275" s="100"/>
      <c r="R2275" s="100"/>
      <c r="S2275" s="100"/>
      <c r="T2275" s="100"/>
      <c r="U2275" s="100"/>
      <c r="V2275" s="100"/>
      <c r="W2275" s="100"/>
      <c r="X2275" s="100"/>
      <c r="Y2275" s="100"/>
      <c r="Z2275" s="100"/>
    </row>
    <row r="2276" spans="1:26">
      <c r="A2276" s="100" t="e">
        <f ca="1">IFERROR(__xludf.DUMMYFUNCTION("""COMPUTED_VALUE"""),58785611)</f>
        <v>#NAME?</v>
      </c>
      <c r="B2276" s="100" t="e">
        <f ca="1">IFERROR(__xludf.DUMMYFUNCTION("""COMPUTED_VALUE"""),"JUVTRY")</f>
        <v>#NAME?</v>
      </c>
      <c r="C2276" s="100" t="e">
        <f ca="1">IFERROR(__xludf.DUMMYFUNCTION("""COMPUTED_VALUE"""),"37.70000000")</f>
        <v>#NAME?</v>
      </c>
      <c r="D2276" s="100" t="e">
        <f t="shared" ca="1" si="388"/>
        <v>#NAME?</v>
      </c>
      <c r="E2276" s="100" t="e">
        <f t="shared" ca="1" si="388"/>
        <v>#NAME?</v>
      </c>
      <c r="F2276" s="100" t="e">
        <f t="shared" ca="1" si="383"/>
        <v>#NAME?</v>
      </c>
      <c r="G2276" s="100" t="e">
        <f t="shared" ca="1" si="384"/>
        <v>#NAME?</v>
      </c>
      <c r="H2276" s="100" t="e">
        <f t="shared" ca="1" si="385"/>
        <v>#NAME?</v>
      </c>
      <c r="I2276" s="100" t="e">
        <f t="shared" ca="1" si="386"/>
        <v>#NAME?</v>
      </c>
      <c r="J2276" s="100" t="e">
        <f ca="1">IFERROR(__xludf.DUMMYFUNCTION("""COMPUTED_VALUE"""),"0.937")</f>
        <v>#NAME?</v>
      </c>
      <c r="K2276" s="100" t="e">
        <f t="shared" ca="1" si="387"/>
        <v>#NAME?</v>
      </c>
      <c r="L2276" s="100"/>
      <c r="M2276" s="100"/>
      <c r="N2276" s="100"/>
      <c r="O2276" s="100"/>
      <c r="P2276" s="100"/>
      <c r="Q2276" s="100"/>
      <c r="R2276" s="100"/>
      <c r="S2276" s="100"/>
      <c r="T2276" s="100"/>
      <c r="U2276" s="100"/>
      <c r="V2276" s="100"/>
      <c r="W2276" s="100"/>
      <c r="X2276" s="100"/>
      <c r="Y2276" s="100"/>
      <c r="Z2276" s="100"/>
    </row>
    <row r="2277" spans="1:26">
      <c r="A2277" s="100" t="e">
        <f ca="1">IFERROR(__xludf.DUMMYFUNCTION("""COMPUTED_VALUE"""),58785612)</f>
        <v>#NAME?</v>
      </c>
      <c r="B2277" s="100" t="e">
        <f ca="1">IFERROR(__xludf.DUMMYFUNCTION("""COMPUTED_VALUE"""),"PSGTRY")</f>
        <v>#NAME?</v>
      </c>
      <c r="C2277" s="100" t="e">
        <f ca="1">IFERROR(__xludf.DUMMYFUNCTION("""COMPUTED_VALUE"""),"76.20000000")</f>
        <v>#NAME?</v>
      </c>
      <c r="D2277" s="100" t="e">
        <f t="shared" ca="1" si="388"/>
        <v>#NAME?</v>
      </c>
      <c r="E2277" s="100" t="e">
        <f t="shared" ca="1" si="388"/>
        <v>#NAME?</v>
      </c>
      <c r="F2277" s="100" t="e">
        <f t="shared" ca="1" si="383"/>
        <v>#NAME?</v>
      </c>
      <c r="G2277" s="100" t="e">
        <f t="shared" ca="1" si="384"/>
        <v>#NAME?</v>
      </c>
      <c r="H2277" s="100" t="e">
        <f t="shared" ca="1" si="385"/>
        <v>#NAME?</v>
      </c>
      <c r="I2277" s="100" t="e">
        <f t="shared" ca="1" si="386"/>
        <v>#NAME?</v>
      </c>
      <c r="J2277" s="100" t="e">
        <f ca="1">IFERROR(__xludf.DUMMYFUNCTION("""COMPUTED_VALUE"""),"3.801")</f>
        <v>#NAME?</v>
      </c>
      <c r="K2277" s="100" t="e">
        <f t="shared" ca="1" si="387"/>
        <v>#NAME?</v>
      </c>
      <c r="L2277" s="100"/>
      <c r="M2277" s="100"/>
      <c r="N2277" s="100"/>
      <c r="O2277" s="100"/>
      <c r="P2277" s="100"/>
      <c r="Q2277" s="100"/>
      <c r="R2277" s="100"/>
      <c r="S2277" s="100"/>
      <c r="T2277" s="100"/>
      <c r="U2277" s="100"/>
      <c r="V2277" s="100"/>
      <c r="W2277" s="100"/>
      <c r="X2277" s="100"/>
      <c r="Y2277" s="100"/>
      <c r="Z2277" s="100"/>
    </row>
    <row r="2278" spans="1:26">
      <c r="A2278" s="100" t="e">
        <f ca="1">IFERROR(__xludf.DUMMYFUNCTION("""COMPUTED_VALUE"""),58785613)</f>
        <v>#NAME?</v>
      </c>
      <c r="B2278" s="100" t="e">
        <f ca="1">IFERROR(__xludf.DUMMYFUNCTION("""COMPUTED_VALUE"""),"SEIBNB")</f>
        <v>#NAME?</v>
      </c>
      <c r="C2278" s="100" t="e">
        <f ca="1">IFERROR(__xludf.DUMMYFUNCTION("""COMPUTED_VALUE"""),"0.00029660")</f>
        <v>#NAME?</v>
      </c>
      <c r="D2278" s="100" t="e">
        <f t="shared" ca="1" si="388"/>
        <v>#NAME?</v>
      </c>
      <c r="E2278" s="100" t="e">
        <f t="shared" ca="1" si="388"/>
        <v>#NAME?</v>
      </c>
      <c r="F2278" s="100" t="e">
        <f t="shared" ca="1" si="383"/>
        <v>#NAME?</v>
      </c>
      <c r="G2278" s="100" t="e">
        <f t="shared" ca="1" si="384"/>
        <v>#NAME?</v>
      </c>
      <c r="H2278" s="100" t="e">
        <f t="shared" ca="1" si="385"/>
        <v>#NAME?</v>
      </c>
      <c r="I2278" s="100" t="e">
        <f t="shared" ca="1" si="386"/>
        <v>#NAME?</v>
      </c>
      <c r="J2278" s="100" t="e">
        <f ca="1">IFERROR(__xludf.DUMMYFUNCTION("""COMPUTED_VALUE"""),"-0.369")</f>
        <v>#NAME?</v>
      </c>
      <c r="K2278" s="100" t="e">
        <f t="shared" ca="1" si="387"/>
        <v>#NAME?</v>
      </c>
      <c r="L2278" s="100"/>
      <c r="M2278" s="100"/>
      <c r="N2278" s="100"/>
      <c r="O2278" s="100"/>
      <c r="P2278" s="100"/>
      <c r="Q2278" s="100"/>
      <c r="R2278" s="100"/>
      <c r="S2278" s="100"/>
      <c r="T2278" s="100"/>
      <c r="U2278" s="100"/>
      <c r="V2278" s="100"/>
      <c r="W2278" s="100"/>
      <c r="X2278" s="100"/>
      <c r="Y2278" s="100"/>
      <c r="Z2278" s="100"/>
    </row>
    <row r="2279" spans="1:26">
      <c r="A2279" s="100" t="e">
        <f ca="1">IFERROR(__xludf.DUMMYFUNCTION("""COMPUTED_VALUE"""),58785614)</f>
        <v>#NAME?</v>
      </c>
      <c r="B2279" s="100" t="e">
        <f ca="1">IFERROR(__xludf.DUMMYFUNCTION("""COMPUTED_VALUE"""),"SEIBTC")</f>
        <v>#NAME?</v>
      </c>
      <c r="C2279" s="100" t="e">
        <f ca="1">IFERROR(__xludf.DUMMYFUNCTION("""COMPUTED_VALUE"""),"0.00000203")</f>
        <v>#NAME?</v>
      </c>
      <c r="D2279" s="100" t="e">
        <f t="shared" ca="1" si="388"/>
        <v>#NAME?</v>
      </c>
      <c r="E2279" s="100" t="e">
        <f t="shared" ca="1" si="388"/>
        <v>#NAME?</v>
      </c>
      <c r="F2279" s="100" t="e">
        <f t="shared" ca="1" si="383"/>
        <v>#NAME?</v>
      </c>
      <c r="G2279" s="100" t="e">
        <f t="shared" ca="1" si="384"/>
        <v>#NAME?</v>
      </c>
      <c r="H2279" s="100" t="e">
        <f t="shared" ca="1" si="385"/>
        <v>#NAME?</v>
      </c>
      <c r="I2279" s="100" t="e">
        <f t="shared" ca="1" si="386"/>
        <v>#NAME?</v>
      </c>
      <c r="J2279" s="100" t="e">
        <f ca="1">IFERROR(__xludf.DUMMYFUNCTION("""COMPUTED_VALUE"""),"-1.456")</f>
        <v>#NAME?</v>
      </c>
      <c r="K2279" s="100" t="e">
        <f t="shared" ca="1" si="387"/>
        <v>#NAME?</v>
      </c>
      <c r="L2279" s="100"/>
      <c r="M2279" s="100"/>
      <c r="N2279" s="100"/>
      <c r="O2279" s="100"/>
      <c r="P2279" s="100"/>
      <c r="Q2279" s="100"/>
      <c r="R2279" s="100"/>
      <c r="S2279" s="100"/>
      <c r="T2279" s="100"/>
      <c r="U2279" s="100"/>
      <c r="V2279" s="100"/>
      <c r="W2279" s="100"/>
      <c r="X2279" s="100"/>
      <c r="Y2279" s="100"/>
      <c r="Z2279" s="100"/>
    </row>
    <row r="2280" spans="1:26">
      <c r="A2280" s="100" t="e">
        <f ca="1">IFERROR(__xludf.DUMMYFUNCTION("""COMPUTED_VALUE"""),58785615)</f>
        <v>#NAME?</v>
      </c>
      <c r="B2280" s="100" t="e">
        <f ca="1">IFERROR(__xludf.DUMMYFUNCTION("""COMPUTED_VALUE"""),"SEIFDUSD")</f>
        <v>#NAME?</v>
      </c>
      <c r="C2280" s="100" t="e">
        <f ca="1">IFERROR(__xludf.DUMMYFUNCTION("""COMPUTED_VALUE"""),"0.17990000")</f>
        <v>#NAME?</v>
      </c>
      <c r="D2280" s="100" t="e">
        <f t="shared" ca="1" si="388"/>
        <v>#NAME?</v>
      </c>
      <c r="E2280" s="100" t="e">
        <f t="shared" ca="1" si="388"/>
        <v>#NAME?</v>
      </c>
      <c r="F2280" s="100" t="e">
        <f t="shared" ca="1" si="383"/>
        <v>#NAME?</v>
      </c>
      <c r="G2280" s="100" t="e">
        <f t="shared" ca="1" si="384"/>
        <v>#NAME?</v>
      </c>
      <c r="H2280" s="100" t="e">
        <f t="shared" ca="1" si="385"/>
        <v>#NAME?</v>
      </c>
      <c r="I2280" s="100" t="e">
        <f t="shared" ca="1" si="386"/>
        <v>#NAME?</v>
      </c>
      <c r="J2280" s="100" t="e">
        <f ca="1">IFERROR(__xludf.DUMMYFUNCTION("""COMPUTED_VALUE"""),"0.111")</f>
        <v>#NAME?</v>
      </c>
      <c r="K2280" s="100" t="e">
        <f t="shared" ca="1" si="387"/>
        <v>#NAME?</v>
      </c>
      <c r="L2280" s="100"/>
      <c r="M2280" s="100"/>
      <c r="N2280" s="100"/>
      <c r="O2280" s="100"/>
      <c r="P2280" s="100"/>
      <c r="Q2280" s="100"/>
      <c r="R2280" s="100"/>
      <c r="S2280" s="100"/>
      <c r="T2280" s="100"/>
      <c r="U2280" s="100"/>
      <c r="V2280" s="100"/>
      <c r="W2280" s="100"/>
      <c r="X2280" s="100"/>
      <c r="Y2280" s="100"/>
      <c r="Z2280" s="100"/>
    </row>
    <row r="2281" spans="1:26">
      <c r="A2281" s="100" t="e">
        <f ca="1">IFERROR(__xludf.DUMMYFUNCTION("""COMPUTED_VALUE"""),58785616)</f>
        <v>#NAME?</v>
      </c>
      <c r="B2281" s="100" t="e">
        <f ca="1">IFERROR(__xludf.DUMMYFUNCTION("""COMPUTED_VALUE"""),"SEITRY")</f>
        <v>#NAME?</v>
      </c>
      <c r="C2281" s="100" t="e">
        <f ca="1">IFERROR(__xludf.DUMMYFUNCTION("""COMPUTED_VALUE"""),"6.87300000")</f>
        <v>#NAME?</v>
      </c>
      <c r="D2281" s="100" t="e">
        <f t="shared" ca="1" si="388"/>
        <v>#NAME?</v>
      </c>
      <c r="E2281" s="100" t="e">
        <f t="shared" ca="1" si="388"/>
        <v>#NAME?</v>
      </c>
      <c r="F2281" s="100" t="e">
        <f t="shared" ca="1" si="383"/>
        <v>#NAME?</v>
      </c>
      <c r="G2281" s="100" t="e">
        <f t="shared" ca="1" si="384"/>
        <v>#NAME?</v>
      </c>
      <c r="H2281" s="100" t="e">
        <f t="shared" ca="1" si="385"/>
        <v>#NAME?</v>
      </c>
      <c r="I2281" s="100" t="e">
        <f t="shared" ca="1" si="386"/>
        <v>#NAME?</v>
      </c>
      <c r="J2281" s="100" t="e">
        <f ca="1">IFERROR(__xludf.DUMMYFUNCTION("""COMPUTED_VALUE"""),"0.263")</f>
        <v>#NAME?</v>
      </c>
      <c r="K2281" s="100" t="e">
        <f t="shared" ca="1" si="387"/>
        <v>#NAME?</v>
      </c>
      <c r="L2281" s="100"/>
      <c r="M2281" s="100"/>
      <c r="N2281" s="100"/>
      <c r="O2281" s="100"/>
      <c r="P2281" s="100"/>
      <c r="Q2281" s="100"/>
      <c r="R2281" s="100"/>
      <c r="S2281" s="100"/>
      <c r="T2281" s="100"/>
      <c r="U2281" s="100"/>
      <c r="V2281" s="100"/>
      <c r="W2281" s="100"/>
      <c r="X2281" s="100"/>
      <c r="Y2281" s="100"/>
      <c r="Z2281" s="100"/>
    </row>
    <row r="2282" spans="1:26">
      <c r="A2282" s="100" t="e">
        <f ca="1">IFERROR(__xludf.DUMMYFUNCTION("""COMPUTED_VALUE"""),58785617)</f>
        <v>#NAME?</v>
      </c>
      <c r="B2282" s="100" t="e">
        <f ca="1">IFERROR(__xludf.DUMMYFUNCTION("""COMPUTED_VALUE"""),"SEIUSDT")</f>
        <v>#NAME?</v>
      </c>
      <c r="C2282" s="100" t="e">
        <f ca="1">IFERROR(__xludf.DUMMYFUNCTION("""COMPUTED_VALUE"""),"0.17960000")</f>
        <v>#NAME?</v>
      </c>
      <c r="D2282" s="100" t="e">
        <f t="shared" ref="D2282:E2301" ca="1" si="389">IFERROR(__xludf.DUMMYFUNCTION("""COMPUTED_VALUE"""),"-")</f>
        <v>#NAME?</v>
      </c>
      <c r="E2282" s="100" t="e">
        <f t="shared" ca="1" si="389"/>
        <v>#NAME?</v>
      </c>
      <c r="F2282" s="100" t="e">
        <f t="shared" ca="1" si="383"/>
        <v>#NAME?</v>
      </c>
      <c r="G2282" s="100" t="e">
        <f t="shared" ca="1" si="384"/>
        <v>#NAME?</v>
      </c>
      <c r="H2282" s="100" t="e">
        <f t="shared" ca="1" si="385"/>
        <v>#NAME?</v>
      </c>
      <c r="I2282" s="100" t="e">
        <f t="shared" ca="1" si="386"/>
        <v>#NAME?</v>
      </c>
      <c r="J2282" s="100" t="e">
        <f ca="1">IFERROR(__xludf.DUMMYFUNCTION("""COMPUTED_VALUE"""),"0.000")</f>
        <v>#NAME?</v>
      </c>
      <c r="K2282" s="100" t="e">
        <f t="shared" ca="1" si="387"/>
        <v>#NAME?</v>
      </c>
      <c r="L2282" s="100"/>
      <c r="M2282" s="100"/>
      <c r="N2282" s="100"/>
      <c r="O2282" s="100"/>
      <c r="P2282" s="100"/>
      <c r="Q2282" s="100"/>
      <c r="R2282" s="100"/>
      <c r="S2282" s="100"/>
      <c r="T2282" s="100"/>
      <c r="U2282" s="100"/>
      <c r="V2282" s="100"/>
      <c r="W2282" s="100"/>
      <c r="X2282" s="100"/>
      <c r="Y2282" s="100"/>
      <c r="Z2282" s="100"/>
    </row>
    <row r="2283" spans="1:26">
      <c r="A2283" s="100" t="e">
        <f ca="1">IFERROR(__xludf.DUMMYFUNCTION("""COMPUTED_VALUE"""),58785618)</f>
        <v>#NAME?</v>
      </c>
      <c r="B2283" s="100" t="e">
        <f ca="1">IFERROR(__xludf.DUMMYFUNCTION("""COMPUTED_VALUE"""),"CYBERBNB")</f>
        <v>#NAME?</v>
      </c>
      <c r="C2283" s="100" t="e">
        <f ca="1">IFERROR(__xludf.DUMMYFUNCTION("""COMPUTED_VALUE"""),"0.00197800")</f>
        <v>#NAME?</v>
      </c>
      <c r="D2283" s="100" t="e">
        <f t="shared" ca="1" si="389"/>
        <v>#NAME?</v>
      </c>
      <c r="E2283" s="100" t="e">
        <f t="shared" ca="1" si="389"/>
        <v>#NAME?</v>
      </c>
      <c r="F2283" s="100" t="e">
        <f t="shared" ca="1" si="383"/>
        <v>#NAME?</v>
      </c>
      <c r="G2283" s="100" t="e">
        <f t="shared" ca="1" si="384"/>
        <v>#NAME?</v>
      </c>
      <c r="H2283" s="100" t="e">
        <f t="shared" ca="1" si="385"/>
        <v>#NAME?</v>
      </c>
      <c r="I2283" s="100" t="e">
        <f t="shared" ca="1" si="386"/>
        <v>#NAME?</v>
      </c>
      <c r="J2283" s="100" t="e">
        <f ca="1">IFERROR(__xludf.DUMMYFUNCTION("""COMPUTED_VALUE"""),"-2.657")</f>
        <v>#NAME?</v>
      </c>
      <c r="K2283" s="100" t="e">
        <f t="shared" ca="1" si="387"/>
        <v>#NAME?</v>
      </c>
      <c r="L2283" s="100"/>
      <c r="M2283" s="100"/>
      <c r="N2283" s="100"/>
      <c r="O2283" s="100"/>
      <c r="P2283" s="100"/>
      <c r="Q2283" s="100"/>
      <c r="R2283" s="100"/>
      <c r="S2283" s="100"/>
      <c r="T2283" s="100"/>
      <c r="U2283" s="100"/>
      <c r="V2283" s="100"/>
      <c r="W2283" s="100"/>
      <c r="X2283" s="100"/>
      <c r="Y2283" s="100"/>
      <c r="Z2283" s="100"/>
    </row>
    <row r="2284" spans="1:26">
      <c r="A2284" s="100" t="e">
        <f ca="1">IFERROR(__xludf.DUMMYFUNCTION("""COMPUTED_VALUE"""),58785619)</f>
        <v>#NAME?</v>
      </c>
      <c r="B2284" s="100" t="e">
        <f ca="1">IFERROR(__xludf.DUMMYFUNCTION("""COMPUTED_VALUE"""),"CYBERBTC")</f>
        <v>#NAME?</v>
      </c>
      <c r="C2284" s="100" t="e">
        <f ca="1">IFERROR(__xludf.DUMMYFUNCTION("""COMPUTED_VALUE"""),"0.00001349")</f>
        <v>#NAME?</v>
      </c>
      <c r="D2284" s="100" t="e">
        <f t="shared" ca="1" si="389"/>
        <v>#NAME?</v>
      </c>
      <c r="E2284" s="100" t="e">
        <f t="shared" ca="1" si="389"/>
        <v>#NAME?</v>
      </c>
      <c r="F2284" s="100" t="e">
        <f t="shared" ca="1" si="383"/>
        <v>#NAME?</v>
      </c>
      <c r="G2284" s="100" t="e">
        <f t="shared" ca="1" si="384"/>
        <v>#NAME?</v>
      </c>
      <c r="H2284" s="100" t="e">
        <f t="shared" ca="1" si="385"/>
        <v>#NAME?</v>
      </c>
      <c r="I2284" s="100" t="e">
        <f t="shared" ca="1" si="386"/>
        <v>#NAME?</v>
      </c>
      <c r="J2284" s="100" t="e">
        <f ca="1">IFERROR(__xludf.DUMMYFUNCTION("""COMPUTED_VALUE"""),"-3.917")</f>
        <v>#NAME?</v>
      </c>
      <c r="K2284" s="100" t="e">
        <f t="shared" ca="1" si="387"/>
        <v>#NAME?</v>
      </c>
      <c r="L2284" s="100"/>
      <c r="M2284" s="100"/>
      <c r="N2284" s="100"/>
      <c r="O2284" s="100"/>
      <c r="P2284" s="100"/>
      <c r="Q2284" s="100"/>
      <c r="R2284" s="100"/>
      <c r="S2284" s="100"/>
      <c r="T2284" s="100"/>
      <c r="U2284" s="100"/>
      <c r="V2284" s="100"/>
      <c r="W2284" s="100"/>
      <c r="X2284" s="100"/>
      <c r="Y2284" s="100"/>
      <c r="Z2284" s="100"/>
    </row>
    <row r="2285" spans="1:26">
      <c r="A2285" s="100" t="e">
        <f ca="1">IFERROR(__xludf.DUMMYFUNCTION("""COMPUTED_VALUE"""),58785620)</f>
        <v>#NAME?</v>
      </c>
      <c r="B2285" s="100" t="e">
        <f ca="1">IFERROR(__xludf.DUMMYFUNCTION("""COMPUTED_VALUE"""),"CYBERFDUSD")</f>
        <v>#NAME?</v>
      </c>
      <c r="C2285" s="100" t="e">
        <f ca="1">IFERROR(__xludf.DUMMYFUNCTION("""COMPUTED_VALUE"""),"1.19900000")</f>
        <v>#NAME?</v>
      </c>
      <c r="D2285" s="100" t="e">
        <f t="shared" ca="1" si="389"/>
        <v>#NAME?</v>
      </c>
      <c r="E2285" s="100" t="e">
        <f t="shared" ca="1" si="389"/>
        <v>#NAME?</v>
      </c>
      <c r="F2285" s="100" t="e">
        <f t="shared" ca="1" si="383"/>
        <v>#NAME?</v>
      </c>
      <c r="G2285" s="100" t="e">
        <f t="shared" ca="1" si="384"/>
        <v>#NAME?</v>
      </c>
      <c r="H2285" s="100" t="e">
        <f t="shared" ca="1" si="385"/>
        <v>#NAME?</v>
      </c>
      <c r="I2285" s="100" t="e">
        <f t="shared" ca="1" si="386"/>
        <v>#NAME?</v>
      </c>
      <c r="J2285" s="100" t="e">
        <f ca="1">IFERROR(__xludf.DUMMYFUNCTION("""COMPUTED_VALUE"""),"-2.282")</f>
        <v>#NAME?</v>
      </c>
      <c r="K2285" s="100" t="e">
        <f t="shared" ca="1" si="387"/>
        <v>#NAME?</v>
      </c>
      <c r="L2285" s="100"/>
      <c r="M2285" s="100"/>
      <c r="N2285" s="100"/>
      <c r="O2285" s="100"/>
      <c r="P2285" s="100"/>
      <c r="Q2285" s="100"/>
      <c r="R2285" s="100"/>
      <c r="S2285" s="100"/>
      <c r="T2285" s="100"/>
      <c r="U2285" s="100"/>
      <c r="V2285" s="100"/>
      <c r="W2285" s="100"/>
      <c r="X2285" s="100"/>
      <c r="Y2285" s="100"/>
      <c r="Z2285" s="100"/>
    </row>
    <row r="2286" spans="1:26">
      <c r="A2286" s="100" t="e">
        <f ca="1">IFERROR(__xludf.DUMMYFUNCTION("""COMPUTED_VALUE"""),58785621)</f>
        <v>#NAME?</v>
      </c>
      <c r="B2286" s="100" t="e">
        <f ca="1">IFERROR(__xludf.DUMMYFUNCTION("""COMPUTED_VALUE"""),"CYBERTRY")</f>
        <v>#NAME?</v>
      </c>
      <c r="C2286" s="100" t="e">
        <f ca="1">IFERROR(__xludf.DUMMYFUNCTION("""COMPUTED_VALUE"""),"45.70000000")</f>
        <v>#NAME?</v>
      </c>
      <c r="D2286" s="100" t="e">
        <f t="shared" ca="1" si="389"/>
        <v>#NAME?</v>
      </c>
      <c r="E2286" s="100" t="e">
        <f t="shared" ca="1" si="389"/>
        <v>#NAME?</v>
      </c>
      <c r="F2286" s="100" t="e">
        <f t="shared" ca="1" si="383"/>
        <v>#NAME?</v>
      </c>
      <c r="G2286" s="100" t="e">
        <f t="shared" ca="1" si="384"/>
        <v>#NAME?</v>
      </c>
      <c r="H2286" s="100" t="e">
        <f t="shared" ca="1" si="385"/>
        <v>#NAME?</v>
      </c>
      <c r="I2286" s="100" t="e">
        <f t="shared" ca="1" si="386"/>
        <v>#NAME?</v>
      </c>
      <c r="J2286" s="100" t="e">
        <f ca="1">IFERROR(__xludf.DUMMYFUNCTION("""COMPUTED_VALUE"""),"-2.766")</f>
        <v>#NAME?</v>
      </c>
      <c r="K2286" s="100" t="e">
        <f t="shared" ca="1" si="387"/>
        <v>#NAME?</v>
      </c>
      <c r="L2286" s="100"/>
      <c r="M2286" s="100"/>
      <c r="N2286" s="100"/>
      <c r="O2286" s="100"/>
      <c r="P2286" s="100"/>
      <c r="Q2286" s="100"/>
      <c r="R2286" s="100"/>
      <c r="S2286" s="100"/>
      <c r="T2286" s="100"/>
      <c r="U2286" s="100"/>
      <c r="V2286" s="100"/>
      <c r="W2286" s="100"/>
      <c r="X2286" s="100"/>
      <c r="Y2286" s="100"/>
      <c r="Z2286" s="100"/>
    </row>
    <row r="2287" spans="1:26">
      <c r="A2287" s="100" t="e">
        <f ca="1">IFERROR(__xludf.DUMMYFUNCTION("""COMPUTED_VALUE"""),58785622)</f>
        <v>#NAME?</v>
      </c>
      <c r="B2287" s="100" t="e">
        <f ca="1">IFERROR(__xludf.DUMMYFUNCTION("""COMPUTED_VALUE"""),"CYBERUSDT")</f>
        <v>#NAME?</v>
      </c>
      <c r="C2287" s="100" t="e">
        <f ca="1">IFERROR(__xludf.DUMMYFUNCTION("""COMPUTED_VALUE"""),"1.19500000")</f>
        <v>#NAME?</v>
      </c>
      <c r="D2287" s="100" t="e">
        <f t="shared" ca="1" si="389"/>
        <v>#NAME?</v>
      </c>
      <c r="E2287" s="100" t="e">
        <f t="shared" ca="1" si="389"/>
        <v>#NAME?</v>
      </c>
      <c r="F2287" s="100" t="e">
        <f t="shared" ca="1" si="383"/>
        <v>#NAME?</v>
      </c>
      <c r="G2287" s="100" t="e">
        <f t="shared" ca="1" si="384"/>
        <v>#NAME?</v>
      </c>
      <c r="H2287" s="100" t="e">
        <f t="shared" ca="1" si="385"/>
        <v>#NAME?</v>
      </c>
      <c r="I2287" s="100" t="e">
        <f t="shared" ca="1" si="386"/>
        <v>#NAME?</v>
      </c>
      <c r="J2287" s="100" t="e">
        <f ca="1">IFERROR(__xludf.DUMMYFUNCTION("""COMPUTED_VALUE"""),"-2.608")</f>
        <v>#NAME?</v>
      </c>
      <c r="K2287" s="100" t="e">
        <f t="shared" ca="1" si="387"/>
        <v>#NAME?</v>
      </c>
      <c r="L2287" s="100"/>
      <c r="M2287" s="100"/>
      <c r="N2287" s="100"/>
      <c r="O2287" s="100"/>
      <c r="P2287" s="100"/>
      <c r="Q2287" s="100"/>
      <c r="R2287" s="100"/>
      <c r="S2287" s="100"/>
      <c r="T2287" s="100"/>
      <c r="U2287" s="100"/>
      <c r="V2287" s="100"/>
      <c r="W2287" s="100"/>
      <c r="X2287" s="100"/>
      <c r="Y2287" s="100"/>
      <c r="Z2287" s="100"/>
    </row>
    <row r="2288" spans="1:26">
      <c r="A2288" s="100" t="e">
        <f ca="1">IFERROR(__xludf.DUMMYFUNCTION("""COMPUTED_VALUE"""),58785623)</f>
        <v>#NAME?</v>
      </c>
      <c r="B2288" s="100" t="e">
        <f ca="1">IFERROR(__xludf.DUMMYFUNCTION("""COMPUTED_VALUE"""),"CYBERTUSD")</f>
        <v>#NAME?</v>
      </c>
      <c r="C2288" s="100" t="e">
        <f ca="1">IFERROR(__xludf.DUMMYFUNCTION("""COMPUTED_VALUE"""),"3.76500000")</f>
        <v>#NAME?</v>
      </c>
      <c r="D2288" s="100" t="e">
        <f t="shared" ca="1" si="389"/>
        <v>#NAME?</v>
      </c>
      <c r="E2288" s="100" t="e">
        <f t="shared" ca="1" si="389"/>
        <v>#NAME?</v>
      </c>
      <c r="F2288" s="100" t="e">
        <f t="shared" ca="1" si="383"/>
        <v>#NAME?</v>
      </c>
      <c r="G2288" s="100" t="e">
        <f t="shared" ca="1" si="384"/>
        <v>#NAME?</v>
      </c>
      <c r="H2288" s="100" t="e">
        <f t="shared" ca="1" si="385"/>
        <v>#NAME?</v>
      </c>
      <c r="I2288" s="100" t="e">
        <f t="shared" ca="1" si="386"/>
        <v>#NAME?</v>
      </c>
      <c r="J2288" s="100" t="e">
        <f ca="1">IFERROR(__xludf.DUMMYFUNCTION("""COMPUTED_VALUE"""),"0")</f>
        <v>#NAME?</v>
      </c>
      <c r="K2288" s="100" t="e">
        <f t="shared" ca="1" si="387"/>
        <v>#NAME?</v>
      </c>
      <c r="L2288" s="100"/>
      <c r="M2288" s="100"/>
      <c r="N2288" s="100"/>
      <c r="O2288" s="100"/>
      <c r="P2288" s="100"/>
      <c r="Q2288" s="100"/>
      <c r="R2288" s="100"/>
      <c r="S2288" s="100"/>
      <c r="T2288" s="100"/>
      <c r="U2288" s="100"/>
      <c r="V2288" s="100"/>
      <c r="W2288" s="100"/>
      <c r="X2288" s="100"/>
      <c r="Y2288" s="100"/>
      <c r="Z2288" s="100"/>
    </row>
    <row r="2289" spans="1:26">
      <c r="A2289" s="100" t="e">
        <f ca="1">IFERROR(__xludf.DUMMYFUNCTION("""COMPUTED_VALUE"""),58785624)</f>
        <v>#NAME?</v>
      </c>
      <c r="B2289" s="100" t="e">
        <f ca="1">IFERROR(__xludf.DUMMYFUNCTION("""COMPUTED_VALUE"""),"SEITUSD")</f>
        <v>#NAME?</v>
      </c>
      <c r="C2289" s="100" t="e">
        <f ca="1">IFERROR(__xludf.DUMMYFUNCTION("""COMPUTED_VALUE"""),"0.36330000")</f>
        <v>#NAME?</v>
      </c>
      <c r="D2289" s="100" t="e">
        <f t="shared" ca="1" si="389"/>
        <v>#NAME?</v>
      </c>
      <c r="E2289" s="100" t="e">
        <f t="shared" ca="1" si="389"/>
        <v>#NAME?</v>
      </c>
      <c r="F2289" s="100" t="e">
        <f t="shared" ca="1" si="383"/>
        <v>#NAME?</v>
      </c>
      <c r="G2289" s="100" t="e">
        <f t="shared" ca="1" si="384"/>
        <v>#NAME?</v>
      </c>
      <c r="H2289" s="100" t="e">
        <f t="shared" ca="1" si="385"/>
        <v>#NAME?</v>
      </c>
      <c r="I2289" s="100" t="e">
        <f t="shared" ca="1" si="386"/>
        <v>#NAME?</v>
      </c>
      <c r="J2289" s="100" t="e">
        <f ca="1">IFERROR(__xludf.DUMMYFUNCTION("""COMPUTED_VALUE"""),"0")</f>
        <v>#NAME?</v>
      </c>
      <c r="K2289" s="100" t="e">
        <f t="shared" ca="1" si="387"/>
        <v>#NAME?</v>
      </c>
      <c r="L2289" s="100"/>
      <c r="M2289" s="100"/>
      <c r="N2289" s="100"/>
      <c r="O2289" s="100"/>
      <c r="P2289" s="100"/>
      <c r="Q2289" s="100"/>
      <c r="R2289" s="100"/>
      <c r="S2289" s="100"/>
      <c r="T2289" s="100"/>
      <c r="U2289" s="100"/>
      <c r="V2289" s="100"/>
      <c r="W2289" s="100"/>
      <c r="X2289" s="100"/>
      <c r="Y2289" s="100"/>
      <c r="Z2289" s="100"/>
    </row>
    <row r="2290" spans="1:26">
      <c r="A2290" s="100" t="e">
        <f ca="1">IFERROR(__xludf.DUMMYFUNCTION("""COMPUTED_VALUE"""),58785625)</f>
        <v>#NAME?</v>
      </c>
      <c r="B2290" s="100" t="e">
        <f ca="1">IFERROR(__xludf.DUMMYFUNCTION("""COMPUTED_VALUE"""),"LPTTRY")</f>
        <v>#NAME?</v>
      </c>
      <c r="C2290" s="100" t="e">
        <f ca="1">IFERROR(__xludf.DUMMYFUNCTION("""COMPUTED_VALUE"""),"158.70000000")</f>
        <v>#NAME?</v>
      </c>
      <c r="D2290" s="100" t="e">
        <f t="shared" ca="1" si="389"/>
        <v>#NAME?</v>
      </c>
      <c r="E2290" s="100" t="e">
        <f t="shared" ca="1" si="389"/>
        <v>#NAME?</v>
      </c>
      <c r="F2290" s="100" t="e">
        <f t="shared" ca="1" si="383"/>
        <v>#NAME?</v>
      </c>
      <c r="G2290" s="100" t="e">
        <f t="shared" ca="1" si="384"/>
        <v>#NAME?</v>
      </c>
      <c r="H2290" s="100" t="e">
        <f t="shared" ca="1" si="385"/>
        <v>#NAME?</v>
      </c>
      <c r="I2290" s="100" t="e">
        <f t="shared" ca="1" si="386"/>
        <v>#NAME?</v>
      </c>
      <c r="J2290" s="100" t="e">
        <f ca="1">IFERROR(__xludf.DUMMYFUNCTION("""COMPUTED_VALUE"""),"-2.037")</f>
        <v>#NAME?</v>
      </c>
      <c r="K2290" s="100" t="e">
        <f t="shared" ca="1" si="387"/>
        <v>#NAME?</v>
      </c>
      <c r="L2290" s="100"/>
      <c r="M2290" s="100"/>
      <c r="N2290" s="100"/>
      <c r="O2290" s="100"/>
      <c r="P2290" s="100"/>
      <c r="Q2290" s="100"/>
      <c r="R2290" s="100"/>
      <c r="S2290" s="100"/>
      <c r="T2290" s="100"/>
      <c r="U2290" s="100"/>
      <c r="V2290" s="100"/>
      <c r="W2290" s="100"/>
      <c r="X2290" s="100"/>
      <c r="Y2290" s="100"/>
      <c r="Z2290" s="100"/>
    </row>
    <row r="2291" spans="1:26">
      <c r="A2291" s="100" t="e">
        <f ca="1">IFERROR(__xludf.DUMMYFUNCTION("""COMPUTED_VALUE"""),58785626)</f>
        <v>#NAME?</v>
      </c>
      <c r="B2291" s="100" t="e">
        <f ca="1">IFERROR(__xludf.DUMMYFUNCTION("""COMPUTED_VALUE"""),"UNITRY")</f>
        <v>#NAME?</v>
      </c>
      <c r="C2291" s="100" t="e">
        <f ca="1">IFERROR(__xludf.DUMMYFUNCTION("""COMPUTED_VALUE"""),"204.90000000")</f>
        <v>#NAME?</v>
      </c>
      <c r="D2291" s="100" t="e">
        <f t="shared" ca="1" si="389"/>
        <v>#NAME?</v>
      </c>
      <c r="E2291" s="100" t="e">
        <f t="shared" ca="1" si="389"/>
        <v>#NAME?</v>
      </c>
      <c r="F2291" s="100" t="e">
        <f t="shared" ca="1" si="383"/>
        <v>#NAME?</v>
      </c>
      <c r="G2291" s="100" t="e">
        <f t="shared" ca="1" si="384"/>
        <v>#NAME?</v>
      </c>
      <c r="H2291" s="100" t="e">
        <f t="shared" ca="1" si="385"/>
        <v>#NAME?</v>
      </c>
      <c r="I2291" s="100" t="e">
        <f t="shared" ca="1" si="386"/>
        <v>#NAME?</v>
      </c>
      <c r="J2291" s="100" t="e">
        <f ca="1">IFERROR(__xludf.DUMMYFUNCTION("""COMPUTED_VALUE"""),"-1.205")</f>
        <v>#NAME?</v>
      </c>
      <c r="K2291" s="100" t="e">
        <f t="shared" ca="1" si="387"/>
        <v>#NAME?</v>
      </c>
      <c r="L2291" s="100"/>
      <c r="M2291" s="100"/>
      <c r="N2291" s="100"/>
      <c r="O2291" s="100"/>
      <c r="P2291" s="100"/>
      <c r="Q2291" s="100"/>
      <c r="R2291" s="100"/>
      <c r="S2291" s="100"/>
      <c r="T2291" s="100"/>
      <c r="U2291" s="100"/>
      <c r="V2291" s="100"/>
      <c r="W2291" s="100"/>
      <c r="X2291" s="100"/>
      <c r="Y2291" s="100"/>
      <c r="Z2291" s="100"/>
    </row>
    <row r="2292" spans="1:26">
      <c r="A2292" s="100" t="e">
        <f ca="1">IFERROR(__xludf.DUMMYFUNCTION("""COMPUTED_VALUE"""),58785627)</f>
        <v>#NAME?</v>
      </c>
      <c r="B2292" s="100" t="e">
        <f ca="1">IFERROR(__xludf.DUMMYFUNCTION("""COMPUTED_VALUE"""),"SOLFDUSD")</f>
        <v>#NAME?</v>
      </c>
      <c r="C2292" s="100" t="e">
        <f ca="1">IFERROR(__xludf.DUMMYFUNCTION("""COMPUTED_VALUE"""),"140.33000000")</f>
        <v>#NAME?</v>
      </c>
      <c r="D2292" s="100" t="e">
        <f t="shared" ca="1" si="389"/>
        <v>#NAME?</v>
      </c>
      <c r="E2292" s="100" t="e">
        <f t="shared" ca="1" si="389"/>
        <v>#NAME?</v>
      </c>
      <c r="F2292" s="100" t="e">
        <f t="shared" ca="1" si="383"/>
        <v>#NAME?</v>
      </c>
      <c r="G2292" s="100" t="e">
        <f t="shared" ca="1" si="384"/>
        <v>#NAME?</v>
      </c>
      <c r="H2292" s="100" t="e">
        <f t="shared" ca="1" si="385"/>
        <v>#NAME?</v>
      </c>
      <c r="I2292" s="100" t="e">
        <f t="shared" ca="1" si="386"/>
        <v>#NAME?</v>
      </c>
      <c r="J2292" s="100" t="e">
        <f ca="1">IFERROR(__xludf.DUMMYFUNCTION("""COMPUTED_VALUE"""),"0.093")</f>
        <v>#NAME?</v>
      </c>
      <c r="K2292" s="100" t="e">
        <f t="shared" ca="1" si="387"/>
        <v>#NAME?</v>
      </c>
      <c r="L2292" s="100"/>
      <c r="M2292" s="100"/>
      <c r="N2292" s="100"/>
      <c r="O2292" s="100"/>
      <c r="P2292" s="100"/>
      <c r="Q2292" s="100"/>
      <c r="R2292" s="100"/>
      <c r="S2292" s="100"/>
      <c r="T2292" s="100"/>
      <c r="U2292" s="100"/>
      <c r="V2292" s="100"/>
      <c r="W2292" s="100"/>
      <c r="X2292" s="100"/>
      <c r="Y2292" s="100"/>
      <c r="Z2292" s="100"/>
    </row>
    <row r="2293" spans="1:26">
      <c r="A2293" s="100" t="e">
        <f ca="1">IFERROR(__xludf.DUMMYFUNCTION("""COMPUTED_VALUE"""),58785628)</f>
        <v>#NAME?</v>
      </c>
      <c r="B2293" s="100" t="e">
        <f ca="1">IFERROR(__xludf.DUMMYFUNCTION("""COMPUTED_VALUE"""),"TOMOTRY")</f>
        <v>#NAME?</v>
      </c>
      <c r="C2293" s="100" t="e">
        <f ca="1">IFERROR(__xludf.DUMMYFUNCTION("""COMPUTED_VALUE"""),"40.26000000")</f>
        <v>#NAME?</v>
      </c>
      <c r="D2293" s="100" t="e">
        <f t="shared" ca="1" si="389"/>
        <v>#NAME?</v>
      </c>
      <c r="E2293" s="100" t="e">
        <f t="shared" ca="1" si="389"/>
        <v>#NAME?</v>
      </c>
      <c r="F2293" s="100" t="e">
        <f t="shared" ca="1" si="383"/>
        <v>#NAME?</v>
      </c>
      <c r="G2293" s="100" t="e">
        <f t="shared" ca="1" si="384"/>
        <v>#NAME?</v>
      </c>
      <c r="H2293" s="100" t="e">
        <f t="shared" ca="1" si="385"/>
        <v>#NAME?</v>
      </c>
      <c r="I2293" s="100" t="e">
        <f t="shared" ca="1" si="386"/>
        <v>#NAME?</v>
      </c>
      <c r="J2293" s="100" t="e">
        <f ca="1">IFERROR(__xludf.DUMMYFUNCTION("""COMPUTED_VALUE"""),"0")</f>
        <v>#NAME?</v>
      </c>
      <c r="K2293" s="100" t="e">
        <f t="shared" ca="1" si="387"/>
        <v>#NAME?</v>
      </c>
      <c r="L2293" s="100"/>
      <c r="M2293" s="100"/>
      <c r="N2293" s="100"/>
      <c r="O2293" s="100"/>
      <c r="P2293" s="100"/>
      <c r="Q2293" s="100"/>
      <c r="R2293" s="100"/>
      <c r="S2293" s="100"/>
      <c r="T2293" s="100"/>
      <c r="U2293" s="100"/>
      <c r="V2293" s="100"/>
      <c r="W2293" s="100"/>
      <c r="X2293" s="100"/>
      <c r="Y2293" s="100"/>
      <c r="Z2293" s="100"/>
    </row>
    <row r="2294" spans="1:26">
      <c r="A2294" s="100" t="e">
        <f ca="1">IFERROR(__xludf.DUMMYFUNCTION("""COMPUTED_VALUE"""),58785629)</f>
        <v>#NAME?</v>
      </c>
      <c r="B2294" s="100" t="e">
        <f ca="1">IFERROR(__xludf.DUMMYFUNCTION("""COMPUTED_VALUE"""),"UNFITRY")</f>
        <v>#NAME?</v>
      </c>
      <c r="C2294" s="100" t="e">
        <f ca="1">IFERROR(__xludf.DUMMYFUNCTION("""COMPUTED_VALUE"""),"46.10000000")</f>
        <v>#NAME?</v>
      </c>
      <c r="D2294" s="100" t="e">
        <f t="shared" ca="1" si="389"/>
        <v>#NAME?</v>
      </c>
      <c r="E2294" s="100" t="e">
        <f t="shared" ca="1" si="389"/>
        <v>#NAME?</v>
      </c>
      <c r="F2294" s="100" t="e">
        <f t="shared" ca="1" si="383"/>
        <v>#NAME?</v>
      </c>
      <c r="G2294" s="100" t="e">
        <f t="shared" ca="1" si="384"/>
        <v>#NAME?</v>
      </c>
      <c r="H2294" s="100" t="e">
        <f t="shared" ca="1" si="385"/>
        <v>#NAME?</v>
      </c>
      <c r="I2294" s="100" t="e">
        <f t="shared" ca="1" si="386"/>
        <v>#NAME?</v>
      </c>
      <c r="J2294" s="100" t="e">
        <f ca="1">IFERROR(__xludf.DUMMYFUNCTION("""COMPUTED_VALUE"""),"0")</f>
        <v>#NAME?</v>
      </c>
      <c r="K2294" s="100" t="e">
        <f t="shared" ca="1" si="387"/>
        <v>#NAME?</v>
      </c>
      <c r="L2294" s="100"/>
      <c r="M2294" s="100"/>
      <c r="N2294" s="100"/>
      <c r="O2294" s="100"/>
      <c r="P2294" s="100"/>
      <c r="Q2294" s="100"/>
      <c r="R2294" s="100"/>
      <c r="S2294" s="100"/>
      <c r="T2294" s="100"/>
      <c r="U2294" s="100"/>
      <c r="V2294" s="100"/>
      <c r="W2294" s="100"/>
      <c r="X2294" s="100"/>
      <c r="Y2294" s="100"/>
      <c r="Z2294" s="100"/>
    </row>
    <row r="2295" spans="1:26">
      <c r="A2295" s="100" t="e">
        <f ca="1">IFERROR(__xludf.DUMMYFUNCTION("""COMPUTED_VALUE"""),58785630)</f>
        <v>#NAME?</v>
      </c>
      <c r="B2295" s="100" t="e">
        <f ca="1">IFERROR(__xludf.DUMMYFUNCTION("""COMPUTED_VALUE"""),"XRPFDUSD")</f>
        <v>#NAME?</v>
      </c>
      <c r="C2295" s="100" t="e">
        <f ca="1">IFERROR(__xludf.DUMMYFUNCTION("""COMPUTED_VALUE"""),"2.10820000")</f>
        <v>#NAME?</v>
      </c>
      <c r="D2295" s="100" t="e">
        <f t="shared" ca="1" si="389"/>
        <v>#NAME?</v>
      </c>
      <c r="E2295" s="100" t="e">
        <f t="shared" ca="1" si="389"/>
        <v>#NAME?</v>
      </c>
      <c r="F2295" s="100" t="e">
        <f t="shared" ca="1" si="383"/>
        <v>#NAME?</v>
      </c>
      <c r="G2295" s="100" t="e">
        <f t="shared" ca="1" si="384"/>
        <v>#NAME?</v>
      </c>
      <c r="H2295" s="100" t="e">
        <f t="shared" ca="1" si="385"/>
        <v>#NAME?</v>
      </c>
      <c r="I2295" s="100" t="e">
        <f t="shared" ca="1" si="386"/>
        <v>#NAME?</v>
      </c>
      <c r="J2295" s="100" t="e">
        <f ca="1">IFERROR(__xludf.DUMMYFUNCTION("""COMPUTED_VALUE"""),"-0.907")</f>
        <v>#NAME?</v>
      </c>
      <c r="K2295" s="100" t="e">
        <f t="shared" ca="1" si="387"/>
        <v>#NAME?</v>
      </c>
      <c r="L2295" s="100"/>
      <c r="M2295" s="100"/>
      <c r="N2295" s="100"/>
      <c r="O2295" s="100"/>
      <c r="P2295" s="100"/>
      <c r="Q2295" s="100"/>
      <c r="R2295" s="100"/>
      <c r="S2295" s="100"/>
      <c r="T2295" s="100"/>
      <c r="U2295" s="100"/>
      <c r="V2295" s="100"/>
      <c r="W2295" s="100"/>
      <c r="X2295" s="100"/>
      <c r="Y2295" s="100"/>
      <c r="Z2295" s="100"/>
    </row>
    <row r="2296" spans="1:26">
      <c r="A2296" s="100" t="e">
        <f ca="1">IFERROR(__xludf.DUMMYFUNCTION("""COMPUTED_VALUE"""),58785631)</f>
        <v>#NAME?</v>
      </c>
      <c r="B2296" s="100" t="e">
        <f ca="1">IFERROR(__xludf.DUMMYFUNCTION("""COMPUTED_VALUE"""),"DOGEFDUSD")</f>
        <v>#NAME?</v>
      </c>
      <c r="C2296" s="100" t="e">
        <f ca="1">IFERROR(__xludf.DUMMYFUNCTION("""COMPUTED_VALUE"""),"0.16402000")</f>
        <v>#NAME?</v>
      </c>
      <c r="D2296" s="100" t="e">
        <f t="shared" ca="1" si="389"/>
        <v>#NAME?</v>
      </c>
      <c r="E2296" s="100" t="e">
        <f t="shared" ca="1" si="389"/>
        <v>#NAME?</v>
      </c>
      <c r="F2296" s="100" t="e">
        <f t="shared" ca="1" si="383"/>
        <v>#NAME?</v>
      </c>
      <c r="G2296" s="100" t="e">
        <f t="shared" ca="1" si="384"/>
        <v>#NAME?</v>
      </c>
      <c r="H2296" s="100" t="e">
        <f t="shared" ca="1" si="385"/>
        <v>#NAME?</v>
      </c>
      <c r="I2296" s="100" t="e">
        <f t="shared" ca="1" si="386"/>
        <v>#NAME?</v>
      </c>
      <c r="J2296" s="100" t="e">
        <f ca="1">IFERROR(__xludf.DUMMYFUNCTION("""COMPUTED_VALUE"""),"1.041")</f>
        <v>#NAME?</v>
      </c>
      <c r="K2296" s="100" t="e">
        <f t="shared" ca="1" si="387"/>
        <v>#NAME?</v>
      </c>
      <c r="L2296" s="100"/>
      <c r="M2296" s="100"/>
      <c r="N2296" s="100"/>
      <c r="O2296" s="100"/>
      <c r="P2296" s="100"/>
      <c r="Q2296" s="100"/>
      <c r="R2296" s="100"/>
      <c r="S2296" s="100"/>
      <c r="T2296" s="100"/>
      <c r="U2296" s="100"/>
      <c r="V2296" s="100"/>
      <c r="W2296" s="100"/>
      <c r="X2296" s="100"/>
      <c r="Y2296" s="100"/>
      <c r="Z2296" s="100"/>
    </row>
    <row r="2297" spans="1:26">
      <c r="A2297" s="100" t="e">
        <f ca="1">IFERROR(__xludf.DUMMYFUNCTION("""COMPUTED_VALUE"""),58785632)</f>
        <v>#NAME?</v>
      </c>
      <c r="B2297" s="100" t="e">
        <f ca="1">IFERROR(__xludf.DUMMYFUNCTION("""COMPUTED_VALUE"""),"CYBERETH")</f>
        <v>#NAME?</v>
      </c>
      <c r="C2297" s="100" t="e">
        <f ca="1">IFERROR(__xludf.DUMMYFUNCTION("""COMPUTED_VALUE"""),"0.00073500")</f>
        <v>#NAME?</v>
      </c>
      <c r="D2297" s="100" t="e">
        <f t="shared" ca="1" si="389"/>
        <v>#NAME?</v>
      </c>
      <c r="E2297" s="100" t="e">
        <f t="shared" ca="1" si="389"/>
        <v>#NAME?</v>
      </c>
      <c r="F2297" s="100" t="e">
        <f t="shared" ca="1" si="383"/>
        <v>#NAME?</v>
      </c>
      <c r="G2297" s="100" t="e">
        <f t="shared" ca="1" si="384"/>
        <v>#NAME?</v>
      </c>
      <c r="H2297" s="100" t="e">
        <f t="shared" ca="1" si="385"/>
        <v>#NAME?</v>
      </c>
      <c r="I2297" s="100" t="e">
        <f t="shared" ca="1" si="386"/>
        <v>#NAME?</v>
      </c>
      <c r="J2297" s="100" t="e">
        <f ca="1">IFERROR(__xludf.DUMMYFUNCTION("""COMPUTED_VALUE"""),"-1.869")</f>
        <v>#NAME?</v>
      </c>
      <c r="K2297" s="100" t="e">
        <f t="shared" ca="1" si="387"/>
        <v>#NAME?</v>
      </c>
      <c r="L2297" s="100"/>
      <c r="M2297" s="100"/>
      <c r="N2297" s="100"/>
      <c r="O2297" s="100"/>
      <c r="P2297" s="100"/>
      <c r="Q2297" s="100"/>
      <c r="R2297" s="100"/>
      <c r="S2297" s="100"/>
      <c r="T2297" s="100"/>
      <c r="U2297" s="100"/>
      <c r="V2297" s="100"/>
      <c r="W2297" s="100"/>
      <c r="X2297" s="100"/>
      <c r="Y2297" s="100"/>
      <c r="Z2297" s="100"/>
    </row>
    <row r="2298" spans="1:26">
      <c r="A2298" s="100" t="e">
        <f ca="1">IFERROR(__xludf.DUMMYFUNCTION("""COMPUTED_VALUE"""),58785633)</f>
        <v>#NAME?</v>
      </c>
      <c r="B2298" s="100" t="e">
        <f ca="1">IFERROR(__xludf.DUMMYFUNCTION("""COMPUTED_VALUE"""),"MTLTRY")</f>
        <v>#NAME?</v>
      </c>
      <c r="C2298" s="100" t="e">
        <f ca="1">IFERROR(__xludf.DUMMYFUNCTION("""COMPUTED_VALUE"""),"38.80000000")</f>
        <v>#NAME?</v>
      </c>
      <c r="D2298" s="100" t="e">
        <f t="shared" ca="1" si="389"/>
        <v>#NAME?</v>
      </c>
      <c r="E2298" s="100" t="e">
        <f t="shared" ca="1" si="389"/>
        <v>#NAME?</v>
      </c>
      <c r="F2298" s="100" t="e">
        <f t="shared" ca="1" si="383"/>
        <v>#NAME?</v>
      </c>
      <c r="G2298" s="100" t="e">
        <f t="shared" ca="1" si="384"/>
        <v>#NAME?</v>
      </c>
      <c r="H2298" s="100" t="e">
        <f t="shared" ca="1" si="385"/>
        <v>#NAME?</v>
      </c>
      <c r="I2298" s="100" t="e">
        <f t="shared" ca="1" si="386"/>
        <v>#NAME?</v>
      </c>
      <c r="J2298" s="100" t="e">
        <f ca="1">IFERROR(__xludf.DUMMYFUNCTION("""COMPUTED_VALUE"""),"0")</f>
        <v>#NAME?</v>
      </c>
      <c r="K2298" s="100" t="e">
        <f t="shared" ca="1" si="387"/>
        <v>#NAME?</v>
      </c>
      <c r="L2298" s="100"/>
      <c r="M2298" s="100"/>
      <c r="N2298" s="100"/>
      <c r="O2298" s="100"/>
      <c r="P2298" s="100"/>
      <c r="Q2298" s="100"/>
      <c r="R2298" s="100"/>
      <c r="S2298" s="100"/>
      <c r="T2298" s="100"/>
      <c r="U2298" s="100"/>
      <c r="V2298" s="100"/>
      <c r="W2298" s="100"/>
      <c r="X2298" s="100"/>
      <c r="Y2298" s="100"/>
      <c r="Z2298" s="100"/>
    </row>
    <row r="2299" spans="1:26">
      <c r="A2299" s="100" t="e">
        <f ca="1">IFERROR(__xludf.DUMMYFUNCTION("""COMPUTED_VALUE"""),58785634)</f>
        <v>#NAME?</v>
      </c>
      <c r="B2299" s="100" t="e">
        <f ca="1">IFERROR(__xludf.DUMMYFUNCTION("""COMPUTED_VALUE"""),"ARKUSDT")</f>
        <v>#NAME?</v>
      </c>
      <c r="C2299" s="100" t="e">
        <f ca="1">IFERROR(__xludf.DUMMYFUNCTION("""COMPUTED_VALUE"""),"0.45850000")</f>
        <v>#NAME?</v>
      </c>
      <c r="D2299" s="100" t="e">
        <f t="shared" ca="1" si="389"/>
        <v>#NAME?</v>
      </c>
      <c r="E2299" s="100" t="e">
        <f t="shared" ca="1" si="389"/>
        <v>#NAME?</v>
      </c>
      <c r="F2299" s="100" t="e">
        <f t="shared" ca="1" si="383"/>
        <v>#NAME?</v>
      </c>
      <c r="G2299" s="100" t="e">
        <f t="shared" ca="1" si="384"/>
        <v>#NAME?</v>
      </c>
      <c r="H2299" s="100" t="e">
        <f t="shared" ca="1" si="385"/>
        <v>#NAME?</v>
      </c>
      <c r="I2299" s="100" t="e">
        <f t="shared" ca="1" si="386"/>
        <v>#NAME?</v>
      </c>
      <c r="J2299" s="100" t="e">
        <f ca="1">IFERROR(__xludf.DUMMYFUNCTION("""COMPUTED_VALUE"""),"-5.131")</f>
        <v>#NAME?</v>
      </c>
      <c r="K2299" s="100" t="e">
        <f t="shared" ca="1" si="387"/>
        <v>#NAME?</v>
      </c>
      <c r="L2299" s="100"/>
      <c r="M2299" s="100"/>
      <c r="N2299" s="100"/>
      <c r="O2299" s="100"/>
      <c r="P2299" s="100"/>
      <c r="Q2299" s="100"/>
      <c r="R2299" s="100"/>
      <c r="S2299" s="100"/>
      <c r="T2299" s="100"/>
      <c r="U2299" s="100"/>
      <c r="V2299" s="100"/>
      <c r="W2299" s="100"/>
      <c r="X2299" s="100"/>
      <c r="Y2299" s="100"/>
      <c r="Z2299" s="100"/>
    </row>
    <row r="2300" spans="1:26">
      <c r="A2300" s="100" t="e">
        <f ca="1">IFERROR(__xludf.DUMMYFUNCTION("""COMPUTED_VALUE"""),58785635)</f>
        <v>#NAME?</v>
      </c>
      <c r="B2300" s="100" t="e">
        <f ca="1">IFERROR(__xludf.DUMMYFUNCTION("""COMPUTED_VALUE"""),"CREAMUSDT")</f>
        <v>#NAME?</v>
      </c>
      <c r="C2300" s="100" t="e">
        <f ca="1">IFERROR(__xludf.DUMMYFUNCTION("""COMPUTED_VALUE"""),"2.10000000")</f>
        <v>#NAME?</v>
      </c>
      <c r="D2300" s="100" t="e">
        <f t="shared" ca="1" si="389"/>
        <v>#NAME?</v>
      </c>
      <c r="E2300" s="100" t="e">
        <f t="shared" ca="1" si="389"/>
        <v>#NAME?</v>
      </c>
      <c r="F2300" s="100" t="e">
        <f t="shared" ca="1" si="383"/>
        <v>#NAME?</v>
      </c>
      <c r="G2300" s="100" t="e">
        <f t="shared" ca="1" si="384"/>
        <v>#NAME?</v>
      </c>
      <c r="H2300" s="100" t="e">
        <f t="shared" ca="1" si="385"/>
        <v>#NAME?</v>
      </c>
      <c r="I2300" s="100" t="e">
        <f t="shared" ca="1" si="386"/>
        <v>#NAME?</v>
      </c>
      <c r="J2300" s="100" t="e">
        <f ca="1">IFERROR(__xludf.DUMMYFUNCTION("""COMPUTED_VALUE"""),"87.500")</f>
        <v>#NAME?</v>
      </c>
      <c r="K2300" s="100" t="e">
        <f t="shared" ca="1" si="387"/>
        <v>#NAME?</v>
      </c>
      <c r="L2300" s="100"/>
      <c r="M2300" s="100"/>
      <c r="N2300" s="100"/>
      <c r="O2300" s="100"/>
      <c r="P2300" s="100"/>
      <c r="Q2300" s="100"/>
      <c r="R2300" s="100"/>
      <c r="S2300" s="100"/>
      <c r="T2300" s="100"/>
      <c r="U2300" s="100"/>
      <c r="V2300" s="100"/>
      <c r="W2300" s="100"/>
      <c r="X2300" s="100"/>
      <c r="Y2300" s="100"/>
      <c r="Z2300" s="100"/>
    </row>
    <row r="2301" spans="1:26">
      <c r="A2301" s="100" t="e">
        <f ca="1">IFERROR(__xludf.DUMMYFUNCTION("""COMPUTED_VALUE"""),58785636)</f>
        <v>#NAME?</v>
      </c>
      <c r="B2301" s="100" t="e">
        <f ca="1">IFERROR(__xludf.DUMMYFUNCTION("""COMPUTED_VALUE"""),"GFTUSDT")</f>
        <v>#NAME?</v>
      </c>
      <c r="C2301" s="100" t="e">
        <f ca="1">IFERROR(__xludf.DUMMYFUNCTION("""COMPUTED_VALUE"""),"0.00196000")</f>
        <v>#NAME?</v>
      </c>
      <c r="D2301" s="100" t="e">
        <f t="shared" ca="1" si="389"/>
        <v>#NAME?</v>
      </c>
      <c r="E2301" s="100" t="e">
        <f t="shared" ca="1" si="389"/>
        <v>#NAME?</v>
      </c>
      <c r="F2301" s="100" t="e">
        <f t="shared" ca="1" si="383"/>
        <v>#NAME?</v>
      </c>
      <c r="G2301" s="100" t="e">
        <f t="shared" ca="1" si="384"/>
        <v>#NAME?</v>
      </c>
      <c r="H2301" s="100" t="e">
        <f t="shared" ca="1" si="385"/>
        <v>#NAME?</v>
      </c>
      <c r="I2301" s="100" t="e">
        <f t="shared" ca="1" si="386"/>
        <v>#NAME?</v>
      </c>
      <c r="J2301" s="100" t="e">
        <f ca="1">IFERROR(__xludf.DUMMYFUNCTION("""COMPUTED_VALUE"""),"0")</f>
        <v>#NAME?</v>
      </c>
      <c r="K2301" s="100" t="e">
        <f t="shared" ca="1" si="387"/>
        <v>#NAME?</v>
      </c>
      <c r="L2301" s="100"/>
      <c r="M2301" s="100"/>
      <c r="N2301" s="100"/>
      <c r="O2301" s="100"/>
      <c r="P2301" s="100"/>
      <c r="Q2301" s="100"/>
      <c r="R2301" s="100"/>
      <c r="S2301" s="100"/>
      <c r="T2301" s="100"/>
      <c r="U2301" s="100"/>
      <c r="V2301" s="100"/>
      <c r="W2301" s="100"/>
      <c r="X2301" s="100"/>
      <c r="Y2301" s="100"/>
      <c r="Z2301" s="100"/>
    </row>
    <row r="2302" spans="1:26">
      <c r="A2302" s="100" t="e">
        <f ca="1">IFERROR(__xludf.DUMMYFUNCTION("""COMPUTED_VALUE"""),58785637)</f>
        <v>#NAME?</v>
      </c>
      <c r="B2302" s="100" t="e">
        <f ca="1">IFERROR(__xludf.DUMMYFUNCTION("""COMPUTED_VALUE"""),"IQUSDT")</f>
        <v>#NAME?</v>
      </c>
      <c r="C2302" s="100" t="e">
        <f ca="1">IFERROR(__xludf.DUMMYFUNCTION("""COMPUTED_VALUE"""),"0.00422100")</f>
        <v>#NAME?</v>
      </c>
      <c r="D2302" s="100" t="e">
        <f t="shared" ref="D2302:E2321" ca="1" si="390">IFERROR(__xludf.DUMMYFUNCTION("""COMPUTED_VALUE"""),"-")</f>
        <v>#NAME?</v>
      </c>
      <c r="E2302" s="100" t="e">
        <f t="shared" ca="1" si="390"/>
        <v>#NAME?</v>
      </c>
      <c r="F2302" s="100" t="e">
        <f t="shared" ca="1" si="383"/>
        <v>#NAME?</v>
      </c>
      <c r="G2302" s="100" t="e">
        <f t="shared" ca="1" si="384"/>
        <v>#NAME?</v>
      </c>
      <c r="H2302" s="100" t="e">
        <f t="shared" ca="1" si="385"/>
        <v>#NAME?</v>
      </c>
      <c r="I2302" s="100" t="e">
        <f t="shared" ca="1" si="386"/>
        <v>#NAME?</v>
      </c>
      <c r="J2302" s="100" t="e">
        <f ca="1">IFERROR(__xludf.DUMMYFUNCTION("""COMPUTED_VALUE"""),"-2.201")</f>
        <v>#NAME?</v>
      </c>
      <c r="K2302" s="100" t="e">
        <f t="shared" ca="1" si="387"/>
        <v>#NAME?</v>
      </c>
      <c r="L2302" s="100"/>
      <c r="M2302" s="100"/>
      <c r="N2302" s="100"/>
      <c r="O2302" s="100"/>
      <c r="P2302" s="100"/>
      <c r="Q2302" s="100"/>
      <c r="R2302" s="100"/>
      <c r="S2302" s="100"/>
      <c r="T2302" s="100"/>
      <c r="U2302" s="100"/>
      <c r="V2302" s="100"/>
      <c r="W2302" s="100"/>
      <c r="X2302" s="100"/>
      <c r="Y2302" s="100"/>
      <c r="Z2302" s="100"/>
    </row>
    <row r="2303" spans="1:26">
      <c r="A2303" s="100" t="e">
        <f ca="1">IFERROR(__xludf.DUMMYFUNCTION("""COMPUTED_VALUE"""),58785638)</f>
        <v>#NAME?</v>
      </c>
      <c r="B2303" s="100" t="e">
        <f ca="1">IFERROR(__xludf.DUMMYFUNCTION("""COMPUTED_VALUE"""),"USDTVAI")</f>
        <v>#NAME?</v>
      </c>
      <c r="C2303" s="100" t="e">
        <f ca="1">IFERROR(__xludf.DUMMYFUNCTION("""COMPUTED_VALUE"""),"1.01300000")</f>
        <v>#NAME?</v>
      </c>
      <c r="D2303" s="100" t="e">
        <f t="shared" ca="1" si="390"/>
        <v>#NAME?</v>
      </c>
      <c r="E2303" s="100" t="e">
        <f t="shared" ca="1" si="390"/>
        <v>#NAME?</v>
      </c>
      <c r="F2303" s="100" t="e">
        <f t="shared" ca="1" si="383"/>
        <v>#NAME?</v>
      </c>
      <c r="G2303" s="100" t="e">
        <f t="shared" ca="1" si="384"/>
        <v>#NAME?</v>
      </c>
      <c r="H2303" s="100" t="e">
        <f t="shared" ca="1" si="385"/>
        <v>#NAME?</v>
      </c>
      <c r="I2303" s="100" t="e">
        <f t="shared" ca="1" si="386"/>
        <v>#NAME?</v>
      </c>
      <c r="J2303" s="100" t="e">
        <f ca="1">IFERROR(__xludf.DUMMYFUNCTION("""COMPUTED_VALUE"""),"0")</f>
        <v>#NAME?</v>
      </c>
      <c r="K2303" s="100" t="e">
        <f t="shared" ca="1" si="387"/>
        <v>#NAME?</v>
      </c>
      <c r="L2303" s="100"/>
      <c r="M2303" s="100"/>
      <c r="N2303" s="100"/>
      <c r="O2303" s="100"/>
      <c r="P2303" s="100"/>
      <c r="Q2303" s="100"/>
      <c r="R2303" s="100"/>
      <c r="S2303" s="100"/>
      <c r="T2303" s="100"/>
      <c r="U2303" s="100"/>
      <c r="V2303" s="100"/>
      <c r="W2303" s="100"/>
      <c r="X2303" s="100"/>
      <c r="Y2303" s="100"/>
      <c r="Z2303" s="100"/>
    </row>
    <row r="2304" spans="1:26">
      <c r="A2304" s="100" t="e">
        <f ca="1">IFERROR(__xludf.DUMMYFUNCTION("""COMPUTED_VALUE"""),58785639)</f>
        <v>#NAME?</v>
      </c>
      <c r="B2304" s="100" t="e">
        <f ca="1">IFERROR(__xludf.DUMMYFUNCTION("""COMPUTED_VALUE"""),"ARBFDUSD")</f>
        <v>#NAME?</v>
      </c>
      <c r="C2304" s="100" t="e">
        <f ca="1">IFERROR(__xludf.DUMMYFUNCTION("""COMPUTED_VALUE"""),"0.30110000")</f>
        <v>#NAME?</v>
      </c>
      <c r="D2304" s="100" t="e">
        <f t="shared" ca="1" si="390"/>
        <v>#NAME?</v>
      </c>
      <c r="E2304" s="100" t="e">
        <f t="shared" ca="1" si="390"/>
        <v>#NAME?</v>
      </c>
      <c r="F2304" s="100" t="e">
        <f t="shared" ca="1" si="383"/>
        <v>#NAME?</v>
      </c>
      <c r="G2304" s="100" t="e">
        <f t="shared" ca="1" si="384"/>
        <v>#NAME?</v>
      </c>
      <c r="H2304" s="100" t="e">
        <f t="shared" ca="1" si="385"/>
        <v>#NAME?</v>
      </c>
      <c r="I2304" s="100" t="e">
        <f t="shared" ca="1" si="386"/>
        <v>#NAME?</v>
      </c>
      <c r="J2304" s="100" t="e">
        <f ca="1">IFERROR(__xludf.DUMMYFUNCTION("""COMPUTED_VALUE"""),"-3.586")</f>
        <v>#NAME?</v>
      </c>
      <c r="K2304" s="100" t="e">
        <f t="shared" ca="1" si="387"/>
        <v>#NAME?</v>
      </c>
      <c r="L2304" s="100"/>
      <c r="M2304" s="100"/>
      <c r="N2304" s="100"/>
      <c r="O2304" s="100"/>
      <c r="P2304" s="100"/>
      <c r="Q2304" s="100"/>
      <c r="R2304" s="100"/>
      <c r="S2304" s="100"/>
      <c r="T2304" s="100"/>
      <c r="U2304" s="100"/>
      <c r="V2304" s="100"/>
      <c r="W2304" s="100"/>
      <c r="X2304" s="100"/>
      <c r="Y2304" s="100"/>
      <c r="Z2304" s="100"/>
    </row>
    <row r="2305" spans="1:26">
      <c r="A2305" s="100" t="e">
        <f ca="1">IFERROR(__xludf.DUMMYFUNCTION("""COMPUTED_VALUE"""),58785640)</f>
        <v>#NAME?</v>
      </c>
      <c r="B2305" s="100" t="e">
        <f ca="1">IFERROR(__xludf.DUMMYFUNCTION("""COMPUTED_VALUE"""),"FDUSDTRY")</f>
        <v>#NAME?</v>
      </c>
      <c r="C2305" s="100" t="e">
        <f ca="1">IFERROR(__xludf.DUMMYFUNCTION("""COMPUTED_VALUE"""),"38.16000000")</f>
        <v>#NAME?</v>
      </c>
      <c r="D2305" s="100" t="e">
        <f t="shared" ca="1" si="390"/>
        <v>#NAME?</v>
      </c>
      <c r="E2305" s="100" t="e">
        <f t="shared" ca="1" si="390"/>
        <v>#NAME?</v>
      </c>
      <c r="F2305" s="100" t="e">
        <f t="shared" ca="1" si="383"/>
        <v>#NAME?</v>
      </c>
      <c r="G2305" s="100" t="e">
        <f t="shared" ca="1" si="384"/>
        <v>#NAME?</v>
      </c>
      <c r="H2305" s="100" t="e">
        <f t="shared" ca="1" si="385"/>
        <v>#NAME?</v>
      </c>
      <c r="I2305" s="100" t="e">
        <f t="shared" ca="1" si="386"/>
        <v>#NAME?</v>
      </c>
      <c r="J2305" s="100" t="e">
        <f ca="1">IFERROR(__xludf.DUMMYFUNCTION("""COMPUTED_VALUE"""),"-0.052")</f>
        <v>#NAME?</v>
      </c>
      <c r="K2305" s="100" t="e">
        <f t="shared" ca="1" si="387"/>
        <v>#NAME?</v>
      </c>
      <c r="L2305" s="100"/>
      <c r="M2305" s="100"/>
      <c r="N2305" s="100"/>
      <c r="O2305" s="100"/>
      <c r="P2305" s="100"/>
      <c r="Q2305" s="100"/>
      <c r="R2305" s="100"/>
      <c r="S2305" s="100"/>
      <c r="T2305" s="100"/>
      <c r="U2305" s="100"/>
      <c r="V2305" s="100"/>
      <c r="W2305" s="100"/>
      <c r="X2305" s="100"/>
      <c r="Y2305" s="100"/>
      <c r="Z2305" s="100"/>
    </row>
    <row r="2306" spans="1:26">
      <c r="A2306" s="100" t="e">
        <f ca="1">IFERROR(__xludf.DUMMYFUNCTION("""COMPUTED_VALUE"""),58785641)</f>
        <v>#NAME?</v>
      </c>
      <c r="B2306" s="100" t="e">
        <f ca="1">IFERROR(__xludf.DUMMYFUNCTION("""COMPUTED_VALUE"""),"FRONTTRY")</f>
        <v>#NAME?</v>
      </c>
      <c r="C2306" s="100" t="e">
        <f ca="1">IFERROR(__xludf.DUMMYFUNCTION("""COMPUTED_VALUE"""),"30.14000000")</f>
        <v>#NAME?</v>
      </c>
      <c r="D2306" s="100" t="e">
        <f t="shared" ca="1" si="390"/>
        <v>#NAME?</v>
      </c>
      <c r="E2306" s="100" t="e">
        <f t="shared" ca="1" si="390"/>
        <v>#NAME?</v>
      </c>
      <c r="F2306" s="100" t="e">
        <f t="shared" ref="F2306:F2369" ca="1" si="391">IFERROR(__xludf.DUMMYFUNCTION("""COMPUTED_VALUE"""),20200)</f>
        <v>#NAME?</v>
      </c>
      <c r="G2306" s="100" t="e">
        <f t="shared" ref="G2306:G2369" ca="1" si="392">IFERROR(__xludf.DUMMYFUNCTION("""COMPUTED_VALUE"""),2885)</f>
        <v>#NAME?</v>
      </c>
      <c r="H2306" s="100" t="e">
        <f t="shared" ref="H2306:H2369" ca="1" si="393">IFERROR(__xludf.DUMMYFUNCTION("""COMPUTED_VALUE"""),663)</f>
        <v>#NAME?</v>
      </c>
      <c r="I2306" s="100" t="e">
        <f t="shared" ref="I2306:I2369" ca="1" si="394">IFERROR(__xludf.DUMMYFUNCTION("""COMPUTED_VALUE"""),5817721)</f>
        <v>#NAME?</v>
      </c>
      <c r="J2306" s="100" t="e">
        <f ca="1">IFERROR(__xludf.DUMMYFUNCTION("""COMPUTED_VALUE"""),"0")</f>
        <v>#NAME?</v>
      </c>
      <c r="K2306" s="100" t="e">
        <f t="shared" ref="K2306:K2369" ca="1" si="395">IFERROR(__xludf.DUMMYFUNCTION("""COMPUTED_VALUE"""),"22.04.2025 13:05:01")</f>
        <v>#NAME?</v>
      </c>
      <c r="L2306" s="100"/>
      <c r="M2306" s="100"/>
      <c r="N2306" s="100"/>
      <c r="O2306" s="100"/>
      <c r="P2306" s="100"/>
      <c r="Q2306" s="100"/>
      <c r="R2306" s="100"/>
      <c r="S2306" s="100"/>
      <c r="T2306" s="100"/>
      <c r="U2306" s="100"/>
      <c r="V2306" s="100"/>
      <c r="W2306" s="100"/>
      <c r="X2306" s="100"/>
      <c r="Y2306" s="100"/>
      <c r="Z2306" s="100"/>
    </row>
    <row r="2307" spans="1:26">
      <c r="A2307" s="100" t="e">
        <f ca="1">IFERROR(__xludf.DUMMYFUNCTION("""COMPUTED_VALUE"""),58785642)</f>
        <v>#NAME?</v>
      </c>
      <c r="B2307" s="100" t="e">
        <f ca="1">IFERROR(__xludf.DUMMYFUNCTION("""COMPUTED_VALUE"""),"SUIFDUSD")</f>
        <v>#NAME?</v>
      </c>
      <c r="C2307" s="100" t="e">
        <f ca="1">IFERROR(__xludf.DUMMYFUNCTION("""COMPUTED_VALUE"""),"2.31680000")</f>
        <v>#NAME?</v>
      </c>
      <c r="D2307" s="100" t="e">
        <f t="shared" ca="1" si="390"/>
        <v>#NAME?</v>
      </c>
      <c r="E2307" s="100" t="e">
        <f t="shared" ca="1" si="390"/>
        <v>#NAME?</v>
      </c>
      <c r="F2307" s="100" t="e">
        <f t="shared" ca="1" si="391"/>
        <v>#NAME?</v>
      </c>
      <c r="G2307" s="100" t="e">
        <f t="shared" ca="1" si="392"/>
        <v>#NAME?</v>
      </c>
      <c r="H2307" s="100" t="e">
        <f t="shared" ca="1" si="393"/>
        <v>#NAME?</v>
      </c>
      <c r="I2307" s="100" t="e">
        <f t="shared" ca="1" si="394"/>
        <v>#NAME?</v>
      </c>
      <c r="J2307" s="100" t="e">
        <f ca="1">IFERROR(__xludf.DUMMYFUNCTION("""COMPUTED_VALUE"""),"2.003")</f>
        <v>#NAME?</v>
      </c>
      <c r="K2307" s="100" t="e">
        <f t="shared" ca="1" si="395"/>
        <v>#NAME?</v>
      </c>
      <c r="L2307" s="100"/>
      <c r="M2307" s="100"/>
      <c r="N2307" s="100"/>
      <c r="O2307" s="100"/>
      <c r="P2307" s="100"/>
      <c r="Q2307" s="100"/>
      <c r="R2307" s="100"/>
      <c r="S2307" s="100"/>
      <c r="T2307" s="100"/>
      <c r="U2307" s="100"/>
      <c r="V2307" s="100"/>
      <c r="W2307" s="100"/>
      <c r="X2307" s="100"/>
      <c r="Y2307" s="100"/>
      <c r="Z2307" s="100"/>
    </row>
    <row r="2308" spans="1:26">
      <c r="A2308" s="100" t="e">
        <f ca="1">IFERROR(__xludf.DUMMYFUNCTION("""COMPUTED_VALUE"""),58785643)</f>
        <v>#NAME?</v>
      </c>
      <c r="B2308" s="100" t="e">
        <f ca="1">IFERROR(__xludf.DUMMYFUNCTION("""COMPUTED_VALUE"""),"NTRNBTC")</f>
        <v>#NAME?</v>
      </c>
      <c r="C2308" s="100" t="e">
        <f ca="1">IFERROR(__xludf.DUMMYFUNCTION("""COMPUTED_VALUE"""),"0.00000621")</f>
        <v>#NAME?</v>
      </c>
      <c r="D2308" s="100" t="e">
        <f t="shared" ca="1" si="390"/>
        <v>#NAME?</v>
      </c>
      <c r="E2308" s="100" t="e">
        <f t="shared" ca="1" si="390"/>
        <v>#NAME?</v>
      </c>
      <c r="F2308" s="100" t="e">
        <f t="shared" ca="1" si="391"/>
        <v>#NAME?</v>
      </c>
      <c r="G2308" s="100" t="e">
        <f t="shared" ca="1" si="392"/>
        <v>#NAME?</v>
      </c>
      <c r="H2308" s="100" t="e">
        <f t="shared" ca="1" si="393"/>
        <v>#NAME?</v>
      </c>
      <c r="I2308" s="100" t="e">
        <f t="shared" ca="1" si="394"/>
        <v>#NAME?</v>
      </c>
      <c r="J2308" s="100" t="e">
        <f ca="1">IFERROR(__xludf.DUMMYFUNCTION("""COMPUTED_VALUE"""),"0")</f>
        <v>#NAME?</v>
      </c>
      <c r="K2308" s="100" t="e">
        <f t="shared" ca="1" si="395"/>
        <v>#NAME?</v>
      </c>
      <c r="L2308" s="100"/>
      <c r="M2308" s="100"/>
      <c r="N2308" s="100"/>
      <c r="O2308" s="100"/>
      <c r="P2308" s="100"/>
      <c r="Q2308" s="100"/>
      <c r="R2308" s="100"/>
      <c r="S2308" s="100"/>
      <c r="T2308" s="100"/>
      <c r="U2308" s="100"/>
      <c r="V2308" s="100"/>
      <c r="W2308" s="100"/>
      <c r="X2308" s="100"/>
      <c r="Y2308" s="100"/>
      <c r="Z2308" s="100"/>
    </row>
    <row r="2309" spans="1:26">
      <c r="A2309" s="100" t="e">
        <f ca="1">IFERROR(__xludf.DUMMYFUNCTION("""COMPUTED_VALUE"""),58785644)</f>
        <v>#NAME?</v>
      </c>
      <c r="B2309" s="100" t="e">
        <f ca="1">IFERROR(__xludf.DUMMYFUNCTION("""COMPUTED_VALUE"""),"NTRNUSDT")</f>
        <v>#NAME?</v>
      </c>
      <c r="C2309" s="100" t="e">
        <f ca="1">IFERROR(__xludf.DUMMYFUNCTION("""COMPUTED_VALUE"""),"0.12880000")</f>
        <v>#NAME?</v>
      </c>
      <c r="D2309" s="100" t="e">
        <f t="shared" ca="1" si="390"/>
        <v>#NAME?</v>
      </c>
      <c r="E2309" s="100" t="e">
        <f t="shared" ca="1" si="390"/>
        <v>#NAME?</v>
      </c>
      <c r="F2309" s="100" t="e">
        <f t="shared" ca="1" si="391"/>
        <v>#NAME?</v>
      </c>
      <c r="G2309" s="100" t="e">
        <f t="shared" ca="1" si="392"/>
        <v>#NAME?</v>
      </c>
      <c r="H2309" s="100" t="e">
        <f t="shared" ca="1" si="393"/>
        <v>#NAME?</v>
      </c>
      <c r="I2309" s="100" t="e">
        <f t="shared" ca="1" si="394"/>
        <v>#NAME?</v>
      </c>
      <c r="J2309" s="100" t="e">
        <f ca="1">IFERROR(__xludf.DUMMYFUNCTION("""COMPUTED_VALUE"""),"-3.665")</f>
        <v>#NAME?</v>
      </c>
      <c r="K2309" s="100" t="e">
        <f t="shared" ca="1" si="395"/>
        <v>#NAME?</v>
      </c>
      <c r="L2309" s="100"/>
      <c r="M2309" s="100"/>
      <c r="N2309" s="100"/>
      <c r="O2309" s="100"/>
      <c r="P2309" s="100"/>
      <c r="Q2309" s="100"/>
      <c r="R2309" s="100"/>
      <c r="S2309" s="100"/>
      <c r="T2309" s="100"/>
      <c r="U2309" s="100"/>
      <c r="V2309" s="100"/>
      <c r="W2309" s="100"/>
      <c r="X2309" s="100"/>
      <c r="Y2309" s="100"/>
      <c r="Z2309" s="100"/>
    </row>
    <row r="2310" spans="1:26">
      <c r="A2310" s="100" t="e">
        <f ca="1">IFERROR(__xludf.DUMMYFUNCTION("""COMPUTED_VALUE"""),58785645)</f>
        <v>#NAME?</v>
      </c>
      <c r="B2310" s="100" t="e">
        <f ca="1">IFERROR(__xludf.DUMMYFUNCTION("""COMPUTED_VALUE"""),"NTRNBNB")</f>
        <v>#NAME?</v>
      </c>
      <c r="C2310" s="100" t="e">
        <f ca="1">IFERROR(__xludf.DUMMYFUNCTION("""COMPUTED_VALUE"""),"0.00021300")</f>
        <v>#NAME?</v>
      </c>
      <c r="D2310" s="100" t="e">
        <f t="shared" ca="1" si="390"/>
        <v>#NAME?</v>
      </c>
      <c r="E2310" s="100" t="e">
        <f t="shared" ca="1" si="390"/>
        <v>#NAME?</v>
      </c>
      <c r="F2310" s="100" t="e">
        <f t="shared" ca="1" si="391"/>
        <v>#NAME?</v>
      </c>
      <c r="G2310" s="100" t="e">
        <f t="shared" ca="1" si="392"/>
        <v>#NAME?</v>
      </c>
      <c r="H2310" s="100" t="e">
        <f t="shared" ca="1" si="393"/>
        <v>#NAME?</v>
      </c>
      <c r="I2310" s="100" t="e">
        <f t="shared" ca="1" si="394"/>
        <v>#NAME?</v>
      </c>
      <c r="J2310" s="100" t="e">
        <f ca="1">IFERROR(__xludf.DUMMYFUNCTION("""COMPUTED_VALUE"""),"-4.054")</f>
        <v>#NAME?</v>
      </c>
      <c r="K2310" s="100" t="e">
        <f t="shared" ca="1" si="395"/>
        <v>#NAME?</v>
      </c>
      <c r="L2310" s="100"/>
      <c r="M2310" s="100"/>
      <c r="N2310" s="100"/>
      <c r="O2310" s="100"/>
      <c r="P2310" s="100"/>
      <c r="Q2310" s="100"/>
      <c r="R2310" s="100"/>
      <c r="S2310" s="100"/>
      <c r="T2310" s="100"/>
      <c r="U2310" s="100"/>
      <c r="V2310" s="100"/>
      <c r="W2310" s="100"/>
      <c r="X2310" s="100"/>
      <c r="Y2310" s="100"/>
      <c r="Z2310" s="100"/>
    </row>
    <row r="2311" spans="1:26">
      <c r="A2311" s="100" t="e">
        <f ca="1">IFERROR(__xludf.DUMMYFUNCTION("""COMPUTED_VALUE"""),58785646)</f>
        <v>#NAME?</v>
      </c>
      <c r="B2311" s="100" t="e">
        <f ca="1">IFERROR(__xludf.DUMMYFUNCTION("""COMPUTED_VALUE"""),"FILFDUSD")</f>
        <v>#NAME?</v>
      </c>
      <c r="C2311" s="100" t="e">
        <f ca="1">IFERROR(__xludf.DUMMYFUNCTION("""COMPUTED_VALUE"""),"2.50000000")</f>
        <v>#NAME?</v>
      </c>
      <c r="D2311" s="100" t="e">
        <f t="shared" ca="1" si="390"/>
        <v>#NAME?</v>
      </c>
      <c r="E2311" s="100" t="e">
        <f t="shared" ca="1" si="390"/>
        <v>#NAME?</v>
      </c>
      <c r="F2311" s="100" t="e">
        <f t="shared" ca="1" si="391"/>
        <v>#NAME?</v>
      </c>
      <c r="G2311" s="100" t="e">
        <f t="shared" ca="1" si="392"/>
        <v>#NAME?</v>
      </c>
      <c r="H2311" s="100" t="e">
        <f t="shared" ca="1" si="393"/>
        <v>#NAME?</v>
      </c>
      <c r="I2311" s="100" t="e">
        <f t="shared" ca="1" si="394"/>
        <v>#NAME?</v>
      </c>
      <c r="J2311" s="100" t="e">
        <f ca="1">IFERROR(__xludf.DUMMYFUNCTION("""COMPUTED_VALUE"""),"-6.647")</f>
        <v>#NAME?</v>
      </c>
      <c r="K2311" s="100" t="e">
        <f t="shared" ca="1" si="395"/>
        <v>#NAME?</v>
      </c>
      <c r="L2311" s="100"/>
      <c r="M2311" s="100"/>
      <c r="N2311" s="100"/>
      <c r="O2311" s="100"/>
      <c r="P2311" s="100"/>
      <c r="Q2311" s="100"/>
      <c r="R2311" s="100"/>
      <c r="S2311" s="100"/>
      <c r="T2311" s="100"/>
      <c r="U2311" s="100"/>
      <c r="V2311" s="100"/>
      <c r="W2311" s="100"/>
      <c r="X2311" s="100"/>
      <c r="Y2311" s="100"/>
      <c r="Z2311" s="100"/>
    </row>
    <row r="2312" spans="1:26">
      <c r="A2312" s="100" t="e">
        <f ca="1">IFERROR(__xludf.DUMMYFUNCTION("""COMPUTED_VALUE"""),58785647)</f>
        <v>#NAME?</v>
      </c>
      <c r="B2312" s="100" t="e">
        <f ca="1">IFERROR(__xludf.DUMMYFUNCTION("""COMPUTED_VALUE"""),"FRONTTUSD")</f>
        <v>#NAME?</v>
      </c>
      <c r="C2312" s="100" t="e">
        <f ca="1">IFERROR(__xludf.DUMMYFUNCTION("""COMPUTED_VALUE"""),"0.91380000")</f>
        <v>#NAME?</v>
      </c>
      <c r="D2312" s="100" t="e">
        <f t="shared" ca="1" si="390"/>
        <v>#NAME?</v>
      </c>
      <c r="E2312" s="100" t="e">
        <f t="shared" ca="1" si="390"/>
        <v>#NAME?</v>
      </c>
      <c r="F2312" s="100" t="e">
        <f t="shared" ca="1" si="391"/>
        <v>#NAME?</v>
      </c>
      <c r="G2312" s="100" t="e">
        <f t="shared" ca="1" si="392"/>
        <v>#NAME?</v>
      </c>
      <c r="H2312" s="100" t="e">
        <f t="shared" ca="1" si="393"/>
        <v>#NAME?</v>
      </c>
      <c r="I2312" s="100" t="e">
        <f t="shared" ca="1" si="394"/>
        <v>#NAME?</v>
      </c>
      <c r="J2312" s="100" t="e">
        <f ca="1">IFERROR(__xludf.DUMMYFUNCTION("""COMPUTED_VALUE"""),"0")</f>
        <v>#NAME?</v>
      </c>
      <c r="K2312" s="100" t="e">
        <f t="shared" ca="1" si="395"/>
        <v>#NAME?</v>
      </c>
      <c r="L2312" s="100"/>
      <c r="M2312" s="100"/>
      <c r="N2312" s="100"/>
      <c r="O2312" s="100"/>
      <c r="P2312" s="100"/>
      <c r="Q2312" s="100"/>
      <c r="R2312" s="100"/>
      <c r="S2312" s="100"/>
      <c r="T2312" s="100"/>
      <c r="U2312" s="100"/>
      <c r="V2312" s="100"/>
      <c r="W2312" s="100"/>
      <c r="X2312" s="100"/>
      <c r="Y2312" s="100"/>
      <c r="Z2312" s="100"/>
    </row>
    <row r="2313" spans="1:26">
      <c r="A2313" s="100" t="e">
        <f ca="1">IFERROR(__xludf.DUMMYFUNCTION("""COMPUTED_VALUE"""),58785648)</f>
        <v>#NAME?</v>
      </c>
      <c r="B2313" s="100" t="e">
        <f ca="1">IFERROR(__xludf.DUMMYFUNCTION("""COMPUTED_VALUE"""),"LEVERTRY")</f>
        <v>#NAME?</v>
      </c>
      <c r="C2313" s="100" t="e">
        <f ca="1">IFERROR(__xludf.DUMMYFUNCTION("""COMPUTED_VALUE"""),"0.01747000")</f>
        <v>#NAME?</v>
      </c>
      <c r="D2313" s="100" t="e">
        <f t="shared" ca="1" si="390"/>
        <v>#NAME?</v>
      </c>
      <c r="E2313" s="100" t="e">
        <f t="shared" ca="1" si="390"/>
        <v>#NAME?</v>
      </c>
      <c r="F2313" s="100" t="e">
        <f t="shared" ca="1" si="391"/>
        <v>#NAME?</v>
      </c>
      <c r="G2313" s="100" t="e">
        <f t="shared" ca="1" si="392"/>
        <v>#NAME?</v>
      </c>
      <c r="H2313" s="100" t="e">
        <f t="shared" ca="1" si="393"/>
        <v>#NAME?</v>
      </c>
      <c r="I2313" s="100" t="e">
        <f t="shared" ca="1" si="394"/>
        <v>#NAME?</v>
      </c>
      <c r="J2313" s="100" t="e">
        <f ca="1">IFERROR(__xludf.DUMMYFUNCTION("""COMPUTED_VALUE"""),"-5.209")</f>
        <v>#NAME?</v>
      </c>
      <c r="K2313" s="100" t="e">
        <f t="shared" ca="1" si="395"/>
        <v>#NAME?</v>
      </c>
      <c r="L2313" s="100"/>
      <c r="M2313" s="100"/>
      <c r="N2313" s="100"/>
      <c r="O2313" s="100"/>
      <c r="P2313" s="100"/>
      <c r="Q2313" s="100"/>
      <c r="R2313" s="100"/>
      <c r="S2313" s="100"/>
      <c r="T2313" s="100"/>
      <c r="U2313" s="100"/>
      <c r="V2313" s="100"/>
      <c r="W2313" s="100"/>
      <c r="X2313" s="100"/>
      <c r="Y2313" s="100"/>
      <c r="Z2313" s="100"/>
    </row>
    <row r="2314" spans="1:26">
      <c r="A2314" s="100" t="e">
        <f ca="1">IFERROR(__xludf.DUMMYFUNCTION("""COMPUTED_VALUE"""),58785649)</f>
        <v>#NAME?</v>
      </c>
      <c r="B2314" s="100" t="e">
        <f ca="1">IFERROR(__xludf.DUMMYFUNCTION("""COMPUTED_VALUE"""),"LTCFDUSD")</f>
        <v>#NAME?</v>
      </c>
      <c r="C2314" s="100" t="e">
        <f ca="1">IFERROR(__xludf.DUMMYFUNCTION("""COMPUTED_VALUE"""),"79.50000000")</f>
        <v>#NAME?</v>
      </c>
      <c r="D2314" s="100" t="e">
        <f t="shared" ca="1" si="390"/>
        <v>#NAME?</v>
      </c>
      <c r="E2314" s="100" t="e">
        <f t="shared" ca="1" si="390"/>
        <v>#NAME?</v>
      </c>
      <c r="F2314" s="100" t="e">
        <f t="shared" ca="1" si="391"/>
        <v>#NAME?</v>
      </c>
      <c r="G2314" s="100" t="e">
        <f t="shared" ca="1" si="392"/>
        <v>#NAME?</v>
      </c>
      <c r="H2314" s="100" t="e">
        <f t="shared" ca="1" si="393"/>
        <v>#NAME?</v>
      </c>
      <c r="I2314" s="100" t="e">
        <f t="shared" ca="1" si="394"/>
        <v>#NAME?</v>
      </c>
      <c r="J2314" s="100" t="e">
        <f ca="1">IFERROR(__xludf.DUMMYFUNCTION("""COMPUTED_VALUE"""),"-1.779")</f>
        <v>#NAME?</v>
      </c>
      <c r="K2314" s="100" t="e">
        <f t="shared" ca="1" si="395"/>
        <v>#NAME?</v>
      </c>
      <c r="L2314" s="100"/>
      <c r="M2314" s="100"/>
      <c r="N2314" s="100"/>
      <c r="O2314" s="100"/>
      <c r="P2314" s="100"/>
      <c r="Q2314" s="100"/>
      <c r="R2314" s="100"/>
      <c r="S2314" s="100"/>
      <c r="T2314" s="100"/>
      <c r="U2314" s="100"/>
      <c r="V2314" s="100"/>
      <c r="W2314" s="100"/>
      <c r="X2314" s="100"/>
      <c r="Y2314" s="100"/>
      <c r="Z2314" s="100"/>
    </row>
    <row r="2315" spans="1:26">
      <c r="A2315" s="100" t="e">
        <f ca="1">IFERROR(__xludf.DUMMYFUNCTION("""COMPUTED_VALUE"""),58785650)</f>
        <v>#NAME?</v>
      </c>
      <c r="B2315" s="100" t="e">
        <f ca="1">IFERROR(__xludf.DUMMYFUNCTION("""COMPUTED_VALUE"""),"ADAFDUSD")</f>
        <v>#NAME?</v>
      </c>
      <c r="C2315" s="100" t="e">
        <f ca="1">IFERROR(__xludf.DUMMYFUNCTION("""COMPUTED_VALUE"""),"0.64110000")</f>
        <v>#NAME?</v>
      </c>
      <c r="D2315" s="100" t="e">
        <f t="shared" ca="1" si="390"/>
        <v>#NAME?</v>
      </c>
      <c r="E2315" s="100" t="e">
        <f t="shared" ca="1" si="390"/>
        <v>#NAME?</v>
      </c>
      <c r="F2315" s="100" t="e">
        <f t="shared" ca="1" si="391"/>
        <v>#NAME?</v>
      </c>
      <c r="G2315" s="100" t="e">
        <f t="shared" ca="1" si="392"/>
        <v>#NAME?</v>
      </c>
      <c r="H2315" s="100" t="e">
        <f t="shared" ca="1" si="393"/>
        <v>#NAME?</v>
      </c>
      <c r="I2315" s="100" t="e">
        <f t="shared" ca="1" si="394"/>
        <v>#NAME?</v>
      </c>
      <c r="J2315" s="100" t="e">
        <f ca="1">IFERROR(__xludf.DUMMYFUNCTION("""COMPUTED_VALUE"""),"-0.973")</f>
        <v>#NAME?</v>
      </c>
      <c r="K2315" s="100" t="e">
        <f t="shared" ca="1" si="395"/>
        <v>#NAME?</v>
      </c>
      <c r="L2315" s="100"/>
      <c r="M2315" s="100"/>
      <c r="N2315" s="100"/>
      <c r="O2315" s="100"/>
      <c r="P2315" s="100"/>
      <c r="Q2315" s="100"/>
      <c r="R2315" s="100"/>
      <c r="S2315" s="100"/>
      <c r="T2315" s="100"/>
      <c r="U2315" s="100"/>
      <c r="V2315" s="100"/>
      <c r="W2315" s="100"/>
      <c r="X2315" s="100"/>
      <c r="Y2315" s="100"/>
      <c r="Z2315" s="100"/>
    </row>
    <row r="2316" spans="1:26">
      <c r="A2316" s="100" t="e">
        <f ca="1">IFERROR(__xludf.DUMMYFUNCTION("""COMPUTED_VALUE"""),58785651)</f>
        <v>#NAME?</v>
      </c>
      <c r="B2316" s="100" t="e">
        <f ca="1">IFERROR(__xludf.DUMMYFUNCTION("""COMPUTED_VALUE"""),"RUNETUSD")</f>
        <v>#NAME?</v>
      </c>
      <c r="C2316" s="100" t="e">
        <f ca="1">IFERROR(__xludf.DUMMYFUNCTION("""COMPUTED_VALUE"""),"5.50100000")</f>
        <v>#NAME?</v>
      </c>
      <c r="D2316" s="100" t="e">
        <f t="shared" ca="1" si="390"/>
        <v>#NAME?</v>
      </c>
      <c r="E2316" s="100" t="e">
        <f t="shared" ca="1" si="390"/>
        <v>#NAME?</v>
      </c>
      <c r="F2316" s="100" t="e">
        <f t="shared" ca="1" si="391"/>
        <v>#NAME?</v>
      </c>
      <c r="G2316" s="100" t="e">
        <f t="shared" ca="1" si="392"/>
        <v>#NAME?</v>
      </c>
      <c r="H2316" s="100" t="e">
        <f t="shared" ca="1" si="393"/>
        <v>#NAME?</v>
      </c>
      <c r="I2316" s="100" t="e">
        <f t="shared" ca="1" si="394"/>
        <v>#NAME?</v>
      </c>
      <c r="J2316" s="100" t="e">
        <f ca="1">IFERROR(__xludf.DUMMYFUNCTION("""COMPUTED_VALUE"""),"0")</f>
        <v>#NAME?</v>
      </c>
      <c r="K2316" s="100" t="e">
        <f t="shared" ca="1" si="395"/>
        <v>#NAME?</v>
      </c>
      <c r="L2316" s="100"/>
      <c r="M2316" s="100"/>
      <c r="N2316" s="100"/>
      <c r="O2316" s="100"/>
      <c r="P2316" s="100"/>
      <c r="Q2316" s="100"/>
      <c r="R2316" s="100"/>
      <c r="S2316" s="100"/>
      <c r="T2316" s="100"/>
      <c r="U2316" s="100"/>
      <c r="V2316" s="100"/>
      <c r="W2316" s="100"/>
      <c r="X2316" s="100"/>
      <c r="Y2316" s="100"/>
      <c r="Z2316" s="100"/>
    </row>
    <row r="2317" spans="1:26">
      <c r="A2317" s="100" t="e">
        <f ca="1">IFERROR(__xludf.DUMMYFUNCTION("""COMPUTED_VALUE"""),58785652)</f>
        <v>#NAME?</v>
      </c>
      <c r="B2317" s="100" t="e">
        <f ca="1">IFERROR(__xludf.DUMMYFUNCTION("""COMPUTED_VALUE"""),"TRBTRY")</f>
        <v>#NAME?</v>
      </c>
      <c r="C2317" s="100" t="e">
        <f ca="1">IFERROR(__xludf.DUMMYFUNCTION("""COMPUTED_VALUE"""),"989.00000000")</f>
        <v>#NAME?</v>
      </c>
      <c r="D2317" s="100" t="e">
        <f t="shared" ca="1" si="390"/>
        <v>#NAME?</v>
      </c>
      <c r="E2317" s="100" t="e">
        <f t="shared" ca="1" si="390"/>
        <v>#NAME?</v>
      </c>
      <c r="F2317" s="100" t="e">
        <f t="shared" ca="1" si="391"/>
        <v>#NAME?</v>
      </c>
      <c r="G2317" s="100" t="e">
        <f t="shared" ca="1" si="392"/>
        <v>#NAME?</v>
      </c>
      <c r="H2317" s="100" t="e">
        <f t="shared" ca="1" si="393"/>
        <v>#NAME?</v>
      </c>
      <c r="I2317" s="100" t="e">
        <f t="shared" ca="1" si="394"/>
        <v>#NAME?</v>
      </c>
      <c r="J2317" s="100" t="e">
        <f ca="1">IFERROR(__xludf.DUMMYFUNCTION("""COMPUTED_VALUE"""),"-3.324")</f>
        <v>#NAME?</v>
      </c>
      <c r="K2317" s="100" t="e">
        <f t="shared" ca="1" si="395"/>
        <v>#NAME?</v>
      </c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</row>
    <row r="2318" spans="1:26">
      <c r="A2318" s="100" t="e">
        <f ca="1">IFERROR(__xludf.DUMMYFUNCTION("""COMPUTED_VALUE"""),58785653)</f>
        <v>#NAME?</v>
      </c>
      <c r="B2318" s="100" t="e">
        <f ca="1">IFERROR(__xludf.DUMMYFUNCTION("""COMPUTED_VALUE"""),"ATOMFDUSD")</f>
        <v>#NAME?</v>
      </c>
      <c r="C2318" s="100" t="e">
        <f ca="1">IFERROR(__xludf.DUMMYFUNCTION("""COMPUTED_VALUE"""),"4.09100000")</f>
        <v>#NAME?</v>
      </c>
      <c r="D2318" s="100" t="e">
        <f t="shared" ca="1" si="390"/>
        <v>#NAME?</v>
      </c>
      <c r="E2318" s="100" t="e">
        <f t="shared" ca="1" si="390"/>
        <v>#NAME?</v>
      </c>
      <c r="F2318" s="100" t="e">
        <f t="shared" ca="1" si="391"/>
        <v>#NAME?</v>
      </c>
      <c r="G2318" s="100" t="e">
        <f t="shared" ca="1" si="392"/>
        <v>#NAME?</v>
      </c>
      <c r="H2318" s="100" t="e">
        <f t="shared" ca="1" si="393"/>
        <v>#NAME?</v>
      </c>
      <c r="I2318" s="100" t="e">
        <f t="shared" ca="1" si="394"/>
        <v>#NAME?</v>
      </c>
      <c r="J2318" s="100" t="e">
        <f ca="1">IFERROR(__xludf.DUMMYFUNCTION("""COMPUTED_VALUE"""),"-4.012")</f>
        <v>#NAME?</v>
      </c>
      <c r="K2318" s="100" t="e">
        <f t="shared" ca="1" si="395"/>
        <v>#NAME?</v>
      </c>
      <c r="L2318" s="100"/>
      <c r="M2318" s="100"/>
      <c r="N2318" s="100"/>
      <c r="O2318" s="100"/>
      <c r="P2318" s="100"/>
      <c r="Q2318" s="100"/>
      <c r="R2318" s="100"/>
      <c r="S2318" s="100"/>
      <c r="T2318" s="100"/>
      <c r="U2318" s="100"/>
      <c r="V2318" s="100"/>
      <c r="W2318" s="100"/>
      <c r="X2318" s="100"/>
      <c r="Y2318" s="100"/>
      <c r="Z2318" s="100"/>
    </row>
    <row r="2319" spans="1:26">
      <c r="A2319" s="100" t="e">
        <f ca="1">IFERROR(__xludf.DUMMYFUNCTION("""COMPUTED_VALUE"""),58785654)</f>
        <v>#NAME?</v>
      </c>
      <c r="B2319" s="100" t="e">
        <f ca="1">IFERROR(__xludf.DUMMYFUNCTION("""COMPUTED_VALUE"""),"AVAXFDUSD")</f>
        <v>#NAME?</v>
      </c>
      <c r="C2319" s="100" t="e">
        <f ca="1">IFERROR(__xludf.DUMMYFUNCTION("""COMPUTED_VALUE"""),"20.21000000")</f>
        <v>#NAME?</v>
      </c>
      <c r="D2319" s="100" t="e">
        <f t="shared" ca="1" si="390"/>
        <v>#NAME?</v>
      </c>
      <c r="E2319" s="100" t="e">
        <f t="shared" ca="1" si="390"/>
        <v>#NAME?</v>
      </c>
      <c r="F2319" s="100" t="e">
        <f t="shared" ca="1" si="391"/>
        <v>#NAME?</v>
      </c>
      <c r="G2319" s="100" t="e">
        <f t="shared" ca="1" si="392"/>
        <v>#NAME?</v>
      </c>
      <c r="H2319" s="100" t="e">
        <f t="shared" ca="1" si="393"/>
        <v>#NAME?</v>
      </c>
      <c r="I2319" s="100" t="e">
        <f t="shared" ca="1" si="394"/>
        <v>#NAME?</v>
      </c>
      <c r="J2319" s="100" t="e">
        <f ca="1">IFERROR(__xludf.DUMMYFUNCTION("""COMPUTED_VALUE"""),"-2.131")</f>
        <v>#NAME?</v>
      </c>
      <c r="K2319" s="100" t="e">
        <f t="shared" ca="1" si="395"/>
        <v>#NAME?</v>
      </c>
      <c r="L2319" s="100"/>
      <c r="M2319" s="100"/>
      <c r="N2319" s="100"/>
      <c r="O2319" s="100"/>
      <c r="P2319" s="100"/>
      <c r="Q2319" s="100"/>
      <c r="R2319" s="100"/>
      <c r="S2319" s="100"/>
      <c r="T2319" s="100"/>
      <c r="U2319" s="100"/>
      <c r="V2319" s="100"/>
      <c r="W2319" s="100"/>
      <c r="X2319" s="100"/>
      <c r="Y2319" s="100"/>
      <c r="Z2319" s="100"/>
    </row>
    <row r="2320" spans="1:26">
      <c r="A2320" s="100" t="e">
        <f ca="1">IFERROR(__xludf.DUMMYFUNCTION("""COMPUTED_VALUE"""),58785655)</f>
        <v>#NAME?</v>
      </c>
      <c r="B2320" s="100" t="e">
        <f ca="1">IFERROR(__xludf.DUMMYFUNCTION("""COMPUTED_VALUE"""),"BANDTRY")</f>
        <v>#NAME?</v>
      </c>
      <c r="C2320" s="100" t="e">
        <f ca="1">IFERROR(__xludf.DUMMYFUNCTION("""COMPUTED_VALUE"""),"37.91000000")</f>
        <v>#NAME?</v>
      </c>
      <c r="D2320" s="100" t="e">
        <f t="shared" ca="1" si="390"/>
        <v>#NAME?</v>
      </c>
      <c r="E2320" s="100" t="e">
        <f t="shared" ca="1" si="390"/>
        <v>#NAME?</v>
      </c>
      <c r="F2320" s="100" t="e">
        <f t="shared" ca="1" si="391"/>
        <v>#NAME?</v>
      </c>
      <c r="G2320" s="100" t="e">
        <f t="shared" ca="1" si="392"/>
        <v>#NAME?</v>
      </c>
      <c r="H2320" s="100" t="e">
        <f t="shared" ca="1" si="393"/>
        <v>#NAME?</v>
      </c>
      <c r="I2320" s="100" t="e">
        <f t="shared" ca="1" si="394"/>
        <v>#NAME?</v>
      </c>
      <c r="J2320" s="100" t="e">
        <f ca="1">IFERROR(__xludf.DUMMYFUNCTION("""COMPUTED_VALUE"""),"0")</f>
        <v>#NAME?</v>
      </c>
      <c r="K2320" s="100" t="e">
        <f t="shared" ca="1" si="395"/>
        <v>#NAME?</v>
      </c>
      <c r="L2320" s="100"/>
      <c r="M2320" s="100"/>
      <c r="N2320" s="100"/>
      <c r="O2320" s="100"/>
      <c r="P2320" s="100"/>
      <c r="Q2320" s="100"/>
      <c r="R2320" s="100"/>
      <c r="S2320" s="100"/>
      <c r="T2320" s="100"/>
      <c r="U2320" s="100"/>
      <c r="V2320" s="100"/>
      <c r="W2320" s="100"/>
      <c r="X2320" s="100"/>
      <c r="Y2320" s="100"/>
      <c r="Z2320" s="100"/>
    </row>
    <row r="2321" spans="1:26">
      <c r="A2321" s="100" t="e">
        <f ca="1">IFERROR(__xludf.DUMMYFUNCTION("""COMPUTED_VALUE"""),58785656)</f>
        <v>#NAME?</v>
      </c>
      <c r="B2321" s="100" t="e">
        <f ca="1">IFERROR(__xludf.DUMMYFUNCTION("""COMPUTED_VALUE"""),"BCHFDUSD")</f>
        <v>#NAME?</v>
      </c>
      <c r="C2321" s="100" t="e">
        <f ca="1">IFERROR(__xludf.DUMMYFUNCTION("""COMPUTED_VALUE"""),"347.10000000")</f>
        <v>#NAME?</v>
      </c>
      <c r="D2321" s="100" t="e">
        <f t="shared" ca="1" si="390"/>
        <v>#NAME?</v>
      </c>
      <c r="E2321" s="100" t="e">
        <f t="shared" ca="1" si="390"/>
        <v>#NAME?</v>
      </c>
      <c r="F2321" s="100" t="e">
        <f t="shared" ca="1" si="391"/>
        <v>#NAME?</v>
      </c>
      <c r="G2321" s="100" t="e">
        <f t="shared" ca="1" si="392"/>
        <v>#NAME?</v>
      </c>
      <c r="H2321" s="100" t="e">
        <f t="shared" ca="1" si="393"/>
        <v>#NAME?</v>
      </c>
      <c r="I2321" s="100" t="e">
        <f t="shared" ca="1" si="394"/>
        <v>#NAME?</v>
      </c>
      <c r="J2321" s="100" t="e">
        <f ca="1">IFERROR(__xludf.DUMMYFUNCTION("""COMPUTED_VALUE"""),"1.490")</f>
        <v>#NAME?</v>
      </c>
      <c r="K2321" s="100" t="e">
        <f t="shared" ca="1" si="395"/>
        <v>#NAME?</v>
      </c>
      <c r="L2321" s="100"/>
      <c r="M2321" s="100"/>
      <c r="N2321" s="100"/>
      <c r="O2321" s="100"/>
      <c r="P2321" s="100"/>
      <c r="Q2321" s="100"/>
      <c r="R2321" s="100"/>
      <c r="S2321" s="100"/>
      <c r="T2321" s="100"/>
      <c r="U2321" s="100"/>
      <c r="V2321" s="100"/>
      <c r="W2321" s="100"/>
      <c r="X2321" s="100"/>
      <c r="Y2321" s="100"/>
      <c r="Z2321" s="100"/>
    </row>
    <row r="2322" spans="1:26">
      <c r="A2322" s="100" t="e">
        <f ca="1">IFERROR(__xludf.DUMMYFUNCTION("""COMPUTED_VALUE"""),58785657)</f>
        <v>#NAME?</v>
      </c>
      <c r="B2322" s="100" t="e">
        <f ca="1">IFERROR(__xludf.DUMMYFUNCTION("""COMPUTED_VALUE"""),"LOOMTRY")</f>
        <v>#NAME?</v>
      </c>
      <c r="C2322" s="100" t="e">
        <f ca="1">IFERROR(__xludf.DUMMYFUNCTION("""COMPUTED_VALUE"""),"1.65400000")</f>
        <v>#NAME?</v>
      </c>
      <c r="D2322" s="100" t="e">
        <f t="shared" ref="D2322:E2341" ca="1" si="396">IFERROR(__xludf.DUMMYFUNCTION("""COMPUTED_VALUE"""),"-")</f>
        <v>#NAME?</v>
      </c>
      <c r="E2322" s="100" t="e">
        <f t="shared" ca="1" si="396"/>
        <v>#NAME?</v>
      </c>
      <c r="F2322" s="100" t="e">
        <f t="shared" ca="1" si="391"/>
        <v>#NAME?</v>
      </c>
      <c r="G2322" s="100" t="e">
        <f t="shared" ca="1" si="392"/>
        <v>#NAME?</v>
      </c>
      <c r="H2322" s="100" t="e">
        <f t="shared" ca="1" si="393"/>
        <v>#NAME?</v>
      </c>
      <c r="I2322" s="100" t="e">
        <f t="shared" ca="1" si="394"/>
        <v>#NAME?</v>
      </c>
      <c r="J2322" s="100" t="e">
        <f ca="1">IFERROR(__xludf.DUMMYFUNCTION("""COMPUTED_VALUE"""),"0")</f>
        <v>#NAME?</v>
      </c>
      <c r="K2322" s="100" t="e">
        <f t="shared" ca="1" si="395"/>
        <v>#NAME?</v>
      </c>
      <c r="L2322" s="100"/>
      <c r="M2322" s="100"/>
      <c r="N2322" s="100"/>
      <c r="O2322" s="100"/>
      <c r="P2322" s="100"/>
      <c r="Q2322" s="100"/>
      <c r="R2322" s="100"/>
      <c r="S2322" s="100"/>
      <c r="T2322" s="100"/>
      <c r="U2322" s="100"/>
      <c r="V2322" s="100"/>
      <c r="W2322" s="100"/>
      <c r="X2322" s="100"/>
      <c r="Y2322" s="100"/>
      <c r="Z2322" s="100"/>
    </row>
    <row r="2323" spans="1:26">
      <c r="A2323" s="100" t="e">
        <f ca="1">IFERROR(__xludf.DUMMYFUNCTION("""COMPUTED_VALUE"""),58785658)</f>
        <v>#NAME?</v>
      </c>
      <c r="B2323" s="100" t="e">
        <f ca="1">IFERROR(__xludf.DUMMYFUNCTION("""COMPUTED_VALUE"""),"MATICFDUSD")</f>
        <v>#NAME?</v>
      </c>
      <c r="C2323" s="100" t="e">
        <f ca="1">IFERROR(__xludf.DUMMYFUNCTION("""COMPUTED_VALUE"""),"0.37950000")</f>
        <v>#NAME?</v>
      </c>
      <c r="D2323" s="100" t="e">
        <f t="shared" ca="1" si="396"/>
        <v>#NAME?</v>
      </c>
      <c r="E2323" s="100" t="e">
        <f t="shared" ca="1" si="396"/>
        <v>#NAME?</v>
      </c>
      <c r="F2323" s="100" t="e">
        <f t="shared" ca="1" si="391"/>
        <v>#NAME?</v>
      </c>
      <c r="G2323" s="100" t="e">
        <f t="shared" ca="1" si="392"/>
        <v>#NAME?</v>
      </c>
      <c r="H2323" s="100" t="e">
        <f t="shared" ca="1" si="393"/>
        <v>#NAME?</v>
      </c>
      <c r="I2323" s="100" t="e">
        <f t="shared" ca="1" si="394"/>
        <v>#NAME?</v>
      </c>
      <c r="J2323" s="100" t="e">
        <f ca="1">IFERROR(__xludf.DUMMYFUNCTION("""COMPUTED_VALUE"""),"0")</f>
        <v>#NAME?</v>
      </c>
      <c r="K2323" s="100" t="e">
        <f t="shared" ca="1" si="395"/>
        <v>#NAME?</v>
      </c>
      <c r="L2323" s="100"/>
      <c r="M2323" s="100"/>
      <c r="N2323" s="100"/>
      <c r="O2323" s="100"/>
      <c r="P2323" s="100"/>
      <c r="Q2323" s="100"/>
      <c r="R2323" s="100"/>
      <c r="S2323" s="100"/>
      <c r="T2323" s="100"/>
      <c r="U2323" s="100"/>
      <c r="V2323" s="100"/>
      <c r="W2323" s="100"/>
      <c r="X2323" s="100"/>
      <c r="Y2323" s="100"/>
      <c r="Z2323" s="100"/>
    </row>
    <row r="2324" spans="1:26">
      <c r="A2324" s="100" t="e">
        <f ca="1">IFERROR(__xludf.DUMMYFUNCTION("""COMPUTED_VALUE"""),58785659)</f>
        <v>#NAME?</v>
      </c>
      <c r="B2324" s="100" t="e">
        <f ca="1">IFERROR(__xludf.DUMMYFUNCTION("""COMPUTED_VALUE"""),"ALGOFDUSD")</f>
        <v>#NAME?</v>
      </c>
      <c r="C2324" s="100" t="e">
        <f ca="1">IFERROR(__xludf.DUMMYFUNCTION("""COMPUTED_VALUE"""),"0.12140000")</f>
        <v>#NAME?</v>
      </c>
      <c r="D2324" s="100" t="e">
        <f t="shared" ca="1" si="396"/>
        <v>#NAME?</v>
      </c>
      <c r="E2324" s="100" t="e">
        <f t="shared" ca="1" si="396"/>
        <v>#NAME?</v>
      </c>
      <c r="F2324" s="100" t="e">
        <f t="shared" ca="1" si="391"/>
        <v>#NAME?</v>
      </c>
      <c r="G2324" s="100" t="e">
        <f t="shared" ca="1" si="392"/>
        <v>#NAME?</v>
      </c>
      <c r="H2324" s="100" t="e">
        <f t="shared" ca="1" si="393"/>
        <v>#NAME?</v>
      </c>
      <c r="I2324" s="100" t="e">
        <f t="shared" ca="1" si="394"/>
        <v>#NAME?</v>
      </c>
      <c r="J2324" s="100" t="e">
        <f ca="1">IFERROR(__xludf.DUMMYFUNCTION("""COMPUTED_VALUE"""),"0")</f>
        <v>#NAME?</v>
      </c>
      <c r="K2324" s="100" t="e">
        <f t="shared" ca="1" si="395"/>
        <v>#NAME?</v>
      </c>
      <c r="L2324" s="100"/>
      <c r="M2324" s="100"/>
      <c r="N2324" s="100"/>
      <c r="O2324" s="100"/>
      <c r="P2324" s="100"/>
      <c r="Q2324" s="100"/>
      <c r="R2324" s="100"/>
      <c r="S2324" s="100"/>
      <c r="T2324" s="100"/>
      <c r="U2324" s="100"/>
      <c r="V2324" s="100"/>
      <c r="W2324" s="100"/>
      <c r="X2324" s="100"/>
      <c r="Y2324" s="100"/>
      <c r="Z2324" s="100"/>
    </row>
    <row r="2325" spans="1:26">
      <c r="A2325" s="100" t="e">
        <f ca="1">IFERROR(__xludf.DUMMYFUNCTION("""COMPUTED_VALUE"""),58785660)</f>
        <v>#NAME?</v>
      </c>
      <c r="B2325" s="100" t="e">
        <f ca="1">IFERROR(__xludf.DUMMYFUNCTION("""COMPUTED_VALUE"""),"DOTFDUSD")</f>
        <v>#NAME?</v>
      </c>
      <c r="C2325" s="100" t="e">
        <f ca="1">IFERROR(__xludf.DUMMYFUNCTION("""COMPUTED_VALUE"""),"3.74500000")</f>
        <v>#NAME?</v>
      </c>
      <c r="D2325" s="100" t="e">
        <f t="shared" ca="1" si="396"/>
        <v>#NAME?</v>
      </c>
      <c r="E2325" s="100" t="e">
        <f t="shared" ca="1" si="396"/>
        <v>#NAME?</v>
      </c>
      <c r="F2325" s="100" t="e">
        <f t="shared" ca="1" si="391"/>
        <v>#NAME?</v>
      </c>
      <c r="G2325" s="100" t="e">
        <f t="shared" ca="1" si="392"/>
        <v>#NAME?</v>
      </c>
      <c r="H2325" s="100" t="e">
        <f t="shared" ca="1" si="393"/>
        <v>#NAME?</v>
      </c>
      <c r="I2325" s="100" t="e">
        <f t="shared" ca="1" si="394"/>
        <v>#NAME?</v>
      </c>
      <c r="J2325" s="100" t="e">
        <f ca="1">IFERROR(__xludf.DUMMYFUNCTION("""COMPUTED_VALUE"""),"-4.586")</f>
        <v>#NAME?</v>
      </c>
      <c r="K2325" s="100" t="e">
        <f t="shared" ca="1" si="395"/>
        <v>#NAME?</v>
      </c>
      <c r="L2325" s="100"/>
      <c r="M2325" s="100"/>
      <c r="N2325" s="100"/>
      <c r="O2325" s="100"/>
      <c r="P2325" s="100"/>
      <c r="Q2325" s="100"/>
      <c r="R2325" s="100"/>
      <c r="S2325" s="100"/>
      <c r="T2325" s="100"/>
      <c r="U2325" s="100"/>
      <c r="V2325" s="100"/>
      <c r="W2325" s="100"/>
      <c r="X2325" s="100"/>
      <c r="Y2325" s="100"/>
      <c r="Z2325" s="100"/>
    </row>
    <row r="2326" spans="1:26">
      <c r="A2326" s="100" t="e">
        <f ca="1">IFERROR(__xludf.DUMMYFUNCTION("""COMPUTED_VALUE"""),58785661)</f>
        <v>#NAME?</v>
      </c>
      <c r="B2326" s="100" t="e">
        <f ca="1">IFERROR(__xludf.DUMMYFUNCTION("""COMPUTED_VALUE"""),"FTMFDUSD")</f>
        <v>#NAME?</v>
      </c>
      <c r="C2326" s="100" t="e">
        <f ca="1">IFERROR(__xludf.DUMMYFUNCTION("""COMPUTED_VALUE"""),"0.70080000")</f>
        <v>#NAME?</v>
      </c>
      <c r="D2326" s="100" t="e">
        <f t="shared" ca="1" si="396"/>
        <v>#NAME?</v>
      </c>
      <c r="E2326" s="100" t="e">
        <f t="shared" ca="1" si="396"/>
        <v>#NAME?</v>
      </c>
      <c r="F2326" s="100" t="e">
        <f t="shared" ca="1" si="391"/>
        <v>#NAME?</v>
      </c>
      <c r="G2326" s="100" t="e">
        <f t="shared" ca="1" si="392"/>
        <v>#NAME?</v>
      </c>
      <c r="H2326" s="100" t="e">
        <f t="shared" ca="1" si="393"/>
        <v>#NAME?</v>
      </c>
      <c r="I2326" s="100" t="e">
        <f t="shared" ca="1" si="394"/>
        <v>#NAME?</v>
      </c>
      <c r="J2326" s="100" t="e">
        <f ca="1">IFERROR(__xludf.DUMMYFUNCTION("""COMPUTED_VALUE"""),"0")</f>
        <v>#NAME?</v>
      </c>
      <c r="K2326" s="100" t="e">
        <f t="shared" ca="1" si="395"/>
        <v>#NAME?</v>
      </c>
      <c r="L2326" s="100"/>
      <c r="M2326" s="100"/>
      <c r="N2326" s="100"/>
      <c r="O2326" s="100"/>
      <c r="P2326" s="100"/>
      <c r="Q2326" s="100"/>
      <c r="R2326" s="100"/>
      <c r="S2326" s="100"/>
      <c r="T2326" s="100"/>
      <c r="U2326" s="100"/>
      <c r="V2326" s="100"/>
      <c r="W2326" s="100"/>
      <c r="X2326" s="100"/>
      <c r="Y2326" s="100"/>
      <c r="Z2326" s="100"/>
    </row>
    <row r="2327" spans="1:26">
      <c r="A2327" s="100" t="e">
        <f ca="1">IFERROR(__xludf.DUMMYFUNCTION("""COMPUTED_VALUE"""),58785662)</f>
        <v>#NAME?</v>
      </c>
      <c r="B2327" s="100" t="e">
        <f ca="1">IFERROR(__xludf.DUMMYFUNCTION("""COMPUTED_VALUE"""),"LINKFDUSD")</f>
        <v>#NAME?</v>
      </c>
      <c r="C2327" s="100" t="e">
        <f ca="1">IFERROR(__xludf.DUMMYFUNCTION("""COMPUTED_VALUE"""),"13.33000000")</f>
        <v>#NAME?</v>
      </c>
      <c r="D2327" s="100" t="e">
        <f t="shared" ca="1" si="396"/>
        <v>#NAME?</v>
      </c>
      <c r="E2327" s="100" t="e">
        <f t="shared" ca="1" si="396"/>
        <v>#NAME?</v>
      </c>
      <c r="F2327" s="100" t="e">
        <f t="shared" ca="1" si="391"/>
        <v>#NAME?</v>
      </c>
      <c r="G2327" s="100" t="e">
        <f t="shared" ca="1" si="392"/>
        <v>#NAME?</v>
      </c>
      <c r="H2327" s="100" t="e">
        <f t="shared" ca="1" si="393"/>
        <v>#NAME?</v>
      </c>
      <c r="I2327" s="100" t="e">
        <f t="shared" ca="1" si="394"/>
        <v>#NAME?</v>
      </c>
      <c r="J2327" s="100" t="e">
        <f ca="1">IFERROR(__xludf.DUMMYFUNCTION("""COMPUTED_VALUE"""),"-1.405")</f>
        <v>#NAME?</v>
      </c>
      <c r="K2327" s="100" t="e">
        <f t="shared" ca="1" si="395"/>
        <v>#NAME?</v>
      </c>
      <c r="L2327" s="100"/>
      <c r="M2327" s="100"/>
      <c r="N2327" s="100"/>
      <c r="O2327" s="100"/>
      <c r="P2327" s="100"/>
      <c r="Q2327" s="100"/>
      <c r="R2327" s="100"/>
      <c r="S2327" s="100"/>
      <c r="T2327" s="100"/>
      <c r="U2327" s="100"/>
      <c r="V2327" s="100"/>
      <c r="W2327" s="100"/>
      <c r="X2327" s="100"/>
      <c r="Y2327" s="100"/>
      <c r="Z2327" s="100"/>
    </row>
    <row r="2328" spans="1:26">
      <c r="A2328" s="100" t="e">
        <f ca="1">IFERROR(__xludf.DUMMYFUNCTION("""COMPUTED_VALUE"""),58785663)</f>
        <v>#NAME?</v>
      </c>
      <c r="B2328" s="100" t="e">
        <f ca="1">IFERROR(__xludf.DUMMYFUNCTION("""COMPUTED_VALUE"""),"NEARFDUSD")</f>
        <v>#NAME?</v>
      </c>
      <c r="C2328" s="100" t="e">
        <f ca="1">IFERROR(__xludf.DUMMYFUNCTION("""COMPUTED_VALUE"""),"2.19400000")</f>
        <v>#NAME?</v>
      </c>
      <c r="D2328" s="100" t="e">
        <f t="shared" ca="1" si="396"/>
        <v>#NAME?</v>
      </c>
      <c r="E2328" s="100" t="e">
        <f t="shared" ca="1" si="396"/>
        <v>#NAME?</v>
      </c>
      <c r="F2328" s="100" t="e">
        <f t="shared" ca="1" si="391"/>
        <v>#NAME?</v>
      </c>
      <c r="G2328" s="100" t="e">
        <f t="shared" ca="1" si="392"/>
        <v>#NAME?</v>
      </c>
      <c r="H2328" s="100" t="e">
        <f t="shared" ca="1" si="393"/>
        <v>#NAME?</v>
      </c>
      <c r="I2328" s="100" t="e">
        <f t="shared" ca="1" si="394"/>
        <v>#NAME?</v>
      </c>
      <c r="J2328" s="100" t="e">
        <f ca="1">IFERROR(__xludf.DUMMYFUNCTION("""COMPUTED_VALUE"""),"-5.063")</f>
        <v>#NAME?</v>
      </c>
      <c r="K2328" s="100" t="e">
        <f t="shared" ca="1" si="395"/>
        <v>#NAME?</v>
      </c>
      <c r="L2328" s="100"/>
      <c r="M2328" s="100"/>
      <c r="N2328" s="100"/>
      <c r="O2328" s="100"/>
      <c r="P2328" s="100"/>
      <c r="Q2328" s="100"/>
      <c r="R2328" s="100"/>
      <c r="S2328" s="100"/>
      <c r="T2328" s="100"/>
      <c r="U2328" s="100"/>
      <c r="V2328" s="100"/>
      <c r="W2328" s="100"/>
      <c r="X2328" s="100"/>
      <c r="Y2328" s="100"/>
      <c r="Z2328" s="100"/>
    </row>
    <row r="2329" spans="1:26">
      <c r="A2329" s="100" t="e">
        <f ca="1">IFERROR(__xludf.DUMMYFUNCTION("""COMPUTED_VALUE"""),58785664)</f>
        <v>#NAME?</v>
      </c>
      <c r="B2329" s="100" t="e">
        <f ca="1">IFERROR(__xludf.DUMMYFUNCTION("""COMPUTED_VALUE"""),"STRAXTRY")</f>
        <v>#NAME?</v>
      </c>
      <c r="C2329" s="100" t="e">
        <f ca="1">IFERROR(__xludf.DUMMYFUNCTION("""COMPUTED_VALUE"""),"2.09600000")</f>
        <v>#NAME?</v>
      </c>
      <c r="D2329" s="100" t="e">
        <f t="shared" ca="1" si="396"/>
        <v>#NAME?</v>
      </c>
      <c r="E2329" s="100" t="e">
        <f t="shared" ca="1" si="396"/>
        <v>#NAME?</v>
      </c>
      <c r="F2329" s="100" t="e">
        <f t="shared" ca="1" si="391"/>
        <v>#NAME?</v>
      </c>
      <c r="G2329" s="100" t="e">
        <f t="shared" ca="1" si="392"/>
        <v>#NAME?</v>
      </c>
      <c r="H2329" s="100" t="e">
        <f t="shared" ca="1" si="393"/>
        <v>#NAME?</v>
      </c>
      <c r="I2329" s="100" t="e">
        <f t="shared" ca="1" si="394"/>
        <v>#NAME?</v>
      </c>
      <c r="J2329" s="100" t="e">
        <f ca="1">IFERROR(__xludf.DUMMYFUNCTION("""COMPUTED_VALUE"""),"-7.787")</f>
        <v>#NAME?</v>
      </c>
      <c r="K2329" s="100" t="e">
        <f t="shared" ca="1" si="395"/>
        <v>#NAME?</v>
      </c>
      <c r="L2329" s="100"/>
      <c r="M2329" s="100"/>
      <c r="N2329" s="100"/>
      <c r="O2329" s="100"/>
      <c r="P2329" s="100"/>
      <c r="Q2329" s="100"/>
      <c r="R2329" s="100"/>
      <c r="S2329" s="100"/>
      <c r="T2329" s="100"/>
      <c r="U2329" s="100"/>
      <c r="V2329" s="100"/>
      <c r="W2329" s="100"/>
      <c r="X2329" s="100"/>
      <c r="Y2329" s="100"/>
      <c r="Z2329" s="100"/>
    </row>
    <row r="2330" spans="1:26">
      <c r="A2330" s="100" t="e">
        <f ca="1">IFERROR(__xludf.DUMMYFUNCTION("""COMPUTED_VALUE"""),58785665)</f>
        <v>#NAME?</v>
      </c>
      <c r="B2330" s="100" t="e">
        <f ca="1">IFERROR(__xludf.DUMMYFUNCTION("""COMPUTED_VALUE"""),"TIABTC")</f>
        <v>#NAME?</v>
      </c>
      <c r="C2330" s="100" t="e">
        <f ca="1">IFERROR(__xludf.DUMMYFUNCTION("""COMPUTED_VALUE"""),"0.00002850")</f>
        <v>#NAME?</v>
      </c>
      <c r="D2330" s="100" t="e">
        <f t="shared" ca="1" si="396"/>
        <v>#NAME?</v>
      </c>
      <c r="E2330" s="100" t="e">
        <f t="shared" ca="1" si="396"/>
        <v>#NAME?</v>
      </c>
      <c r="F2330" s="100" t="e">
        <f t="shared" ca="1" si="391"/>
        <v>#NAME?</v>
      </c>
      <c r="G2330" s="100" t="e">
        <f t="shared" ca="1" si="392"/>
        <v>#NAME?</v>
      </c>
      <c r="H2330" s="100" t="e">
        <f t="shared" ca="1" si="393"/>
        <v>#NAME?</v>
      </c>
      <c r="I2330" s="100" t="e">
        <f t="shared" ca="1" si="394"/>
        <v>#NAME?</v>
      </c>
      <c r="J2330" s="100" t="e">
        <f ca="1">IFERROR(__xludf.DUMMYFUNCTION("""COMPUTED_VALUE"""),"-4.362")</f>
        <v>#NAME?</v>
      </c>
      <c r="K2330" s="100" t="e">
        <f t="shared" ca="1" si="395"/>
        <v>#NAME?</v>
      </c>
      <c r="L2330" s="100"/>
      <c r="M2330" s="100"/>
      <c r="N2330" s="100"/>
      <c r="O2330" s="100"/>
      <c r="P2330" s="100"/>
      <c r="Q2330" s="100"/>
      <c r="R2330" s="100"/>
      <c r="S2330" s="100"/>
      <c r="T2330" s="100"/>
      <c r="U2330" s="100"/>
      <c r="V2330" s="100"/>
      <c r="W2330" s="100"/>
      <c r="X2330" s="100"/>
      <c r="Y2330" s="100"/>
      <c r="Z2330" s="100"/>
    </row>
    <row r="2331" spans="1:26">
      <c r="A2331" s="100" t="e">
        <f ca="1">IFERROR(__xludf.DUMMYFUNCTION("""COMPUTED_VALUE"""),58785666)</f>
        <v>#NAME?</v>
      </c>
      <c r="B2331" s="100" t="e">
        <f ca="1">IFERROR(__xludf.DUMMYFUNCTION("""COMPUTED_VALUE"""),"TIAUSDT")</f>
        <v>#NAME?</v>
      </c>
      <c r="C2331" s="100" t="e">
        <f ca="1">IFERROR(__xludf.DUMMYFUNCTION("""COMPUTED_VALUE"""),"2.52600000")</f>
        <v>#NAME?</v>
      </c>
      <c r="D2331" s="100" t="e">
        <f t="shared" ca="1" si="396"/>
        <v>#NAME?</v>
      </c>
      <c r="E2331" s="100" t="e">
        <f t="shared" ca="1" si="396"/>
        <v>#NAME?</v>
      </c>
      <c r="F2331" s="100" t="e">
        <f t="shared" ca="1" si="391"/>
        <v>#NAME?</v>
      </c>
      <c r="G2331" s="100" t="e">
        <f t="shared" ca="1" si="392"/>
        <v>#NAME?</v>
      </c>
      <c r="H2331" s="100" t="e">
        <f t="shared" ca="1" si="393"/>
        <v>#NAME?</v>
      </c>
      <c r="I2331" s="100" t="e">
        <f t="shared" ca="1" si="394"/>
        <v>#NAME?</v>
      </c>
      <c r="J2331" s="100" t="e">
        <f ca="1">IFERROR(__xludf.DUMMYFUNCTION("""COMPUTED_VALUE"""),"-2.995")</f>
        <v>#NAME?</v>
      </c>
      <c r="K2331" s="100" t="e">
        <f t="shared" ca="1" si="395"/>
        <v>#NAME?</v>
      </c>
      <c r="L2331" s="100"/>
      <c r="M2331" s="100"/>
      <c r="N2331" s="100"/>
      <c r="O2331" s="100"/>
      <c r="P2331" s="100"/>
      <c r="Q2331" s="100"/>
      <c r="R2331" s="100"/>
      <c r="S2331" s="100"/>
      <c r="T2331" s="100"/>
      <c r="U2331" s="100"/>
      <c r="V2331" s="100"/>
      <c r="W2331" s="100"/>
      <c r="X2331" s="100"/>
      <c r="Y2331" s="100"/>
      <c r="Z2331" s="100"/>
    </row>
    <row r="2332" spans="1:26">
      <c r="A2332" s="100" t="e">
        <f ca="1">IFERROR(__xludf.DUMMYFUNCTION("""COMPUTED_VALUE"""),58785667)</f>
        <v>#NAME?</v>
      </c>
      <c r="B2332" s="100" t="e">
        <f ca="1">IFERROR(__xludf.DUMMYFUNCTION("""COMPUTED_VALUE"""),"TIATRY")</f>
        <v>#NAME?</v>
      </c>
      <c r="C2332" s="100" t="e">
        <f ca="1">IFERROR(__xludf.DUMMYFUNCTION("""COMPUTED_VALUE"""),"96.60000000")</f>
        <v>#NAME?</v>
      </c>
      <c r="D2332" s="100" t="e">
        <f t="shared" ca="1" si="396"/>
        <v>#NAME?</v>
      </c>
      <c r="E2332" s="100" t="e">
        <f t="shared" ca="1" si="396"/>
        <v>#NAME?</v>
      </c>
      <c r="F2332" s="100" t="e">
        <f t="shared" ca="1" si="391"/>
        <v>#NAME?</v>
      </c>
      <c r="G2332" s="100" t="e">
        <f t="shared" ca="1" si="392"/>
        <v>#NAME?</v>
      </c>
      <c r="H2332" s="100" t="e">
        <f t="shared" ca="1" si="393"/>
        <v>#NAME?</v>
      </c>
      <c r="I2332" s="100" t="e">
        <f t="shared" ca="1" si="394"/>
        <v>#NAME?</v>
      </c>
      <c r="J2332" s="100" t="e">
        <f ca="1">IFERROR(__xludf.DUMMYFUNCTION("""COMPUTED_VALUE"""),"-2.915")</f>
        <v>#NAME?</v>
      </c>
      <c r="K2332" s="100" t="e">
        <f t="shared" ca="1" si="395"/>
        <v>#NAME?</v>
      </c>
      <c r="L2332" s="100"/>
      <c r="M2332" s="100"/>
      <c r="N2332" s="100"/>
      <c r="O2332" s="100"/>
      <c r="P2332" s="100"/>
      <c r="Q2332" s="100"/>
      <c r="R2332" s="100"/>
      <c r="S2332" s="100"/>
      <c r="T2332" s="100"/>
      <c r="U2332" s="100"/>
      <c r="V2332" s="100"/>
      <c r="W2332" s="100"/>
      <c r="X2332" s="100"/>
      <c r="Y2332" s="100"/>
      <c r="Z2332" s="100"/>
    </row>
    <row r="2333" spans="1:26">
      <c r="A2333" s="100" t="e">
        <f ca="1">IFERROR(__xludf.DUMMYFUNCTION("""COMPUTED_VALUE"""),58785668)</f>
        <v>#NAME?</v>
      </c>
      <c r="B2333" s="100" t="e">
        <f ca="1">IFERROR(__xludf.DUMMYFUNCTION("""COMPUTED_VALUE"""),"MEMEBNB")</f>
        <v>#NAME?</v>
      </c>
      <c r="C2333" s="100" t="e">
        <f ca="1">IFERROR(__xludf.DUMMYFUNCTION("""COMPUTED_VALUE"""),"0.00004107")</f>
        <v>#NAME?</v>
      </c>
      <c r="D2333" s="100" t="e">
        <f t="shared" ca="1" si="396"/>
        <v>#NAME?</v>
      </c>
      <c r="E2333" s="100" t="e">
        <f t="shared" ca="1" si="396"/>
        <v>#NAME?</v>
      </c>
      <c r="F2333" s="100" t="e">
        <f t="shared" ca="1" si="391"/>
        <v>#NAME?</v>
      </c>
      <c r="G2333" s="100" t="e">
        <f t="shared" ca="1" si="392"/>
        <v>#NAME?</v>
      </c>
      <c r="H2333" s="100" t="e">
        <f t="shared" ca="1" si="393"/>
        <v>#NAME?</v>
      </c>
      <c r="I2333" s="100" t="e">
        <f t="shared" ca="1" si="394"/>
        <v>#NAME?</v>
      </c>
      <c r="J2333" s="100" t="e">
        <f ca="1">IFERROR(__xludf.DUMMYFUNCTION("""COMPUTED_VALUE"""),"0")</f>
        <v>#NAME?</v>
      </c>
      <c r="K2333" s="100" t="e">
        <f t="shared" ca="1" si="395"/>
        <v>#NAME?</v>
      </c>
      <c r="L2333" s="100"/>
      <c r="M2333" s="100"/>
      <c r="N2333" s="100"/>
      <c r="O2333" s="100"/>
      <c r="P2333" s="100"/>
      <c r="Q2333" s="100"/>
      <c r="R2333" s="100"/>
      <c r="S2333" s="100"/>
      <c r="T2333" s="100"/>
      <c r="U2333" s="100"/>
      <c r="V2333" s="100"/>
      <c r="W2333" s="100"/>
      <c r="X2333" s="100"/>
      <c r="Y2333" s="100"/>
      <c r="Z2333" s="100"/>
    </row>
    <row r="2334" spans="1:26">
      <c r="A2334" s="100" t="e">
        <f ca="1">IFERROR(__xludf.DUMMYFUNCTION("""COMPUTED_VALUE"""),58785669)</f>
        <v>#NAME?</v>
      </c>
      <c r="B2334" s="100" t="e">
        <f ca="1">IFERROR(__xludf.DUMMYFUNCTION("""COMPUTED_VALUE"""),"MEMEUSDT")</f>
        <v>#NAME?</v>
      </c>
      <c r="C2334" s="100" t="e">
        <f ca="1">IFERROR(__xludf.DUMMYFUNCTION("""COMPUTED_VALUE"""),"0.00194900")</f>
        <v>#NAME?</v>
      </c>
      <c r="D2334" s="100" t="e">
        <f t="shared" ca="1" si="396"/>
        <v>#NAME?</v>
      </c>
      <c r="E2334" s="100" t="e">
        <f t="shared" ca="1" si="396"/>
        <v>#NAME?</v>
      </c>
      <c r="F2334" s="100" t="e">
        <f t="shared" ca="1" si="391"/>
        <v>#NAME?</v>
      </c>
      <c r="G2334" s="100" t="e">
        <f t="shared" ca="1" si="392"/>
        <v>#NAME?</v>
      </c>
      <c r="H2334" s="100" t="e">
        <f t="shared" ca="1" si="393"/>
        <v>#NAME?</v>
      </c>
      <c r="I2334" s="100" t="e">
        <f t="shared" ca="1" si="394"/>
        <v>#NAME?</v>
      </c>
      <c r="J2334" s="100" t="e">
        <f ca="1">IFERROR(__xludf.DUMMYFUNCTION("""COMPUTED_VALUE"""),"-10.432")</f>
        <v>#NAME?</v>
      </c>
      <c r="K2334" s="100" t="e">
        <f t="shared" ca="1" si="395"/>
        <v>#NAME?</v>
      </c>
      <c r="L2334" s="100"/>
      <c r="M2334" s="100"/>
      <c r="N2334" s="100"/>
      <c r="O2334" s="100"/>
      <c r="P2334" s="100"/>
      <c r="Q2334" s="100"/>
      <c r="R2334" s="100"/>
      <c r="S2334" s="100"/>
      <c r="T2334" s="100"/>
      <c r="U2334" s="100"/>
      <c r="V2334" s="100"/>
      <c r="W2334" s="100"/>
      <c r="X2334" s="100"/>
      <c r="Y2334" s="100"/>
      <c r="Z2334" s="100"/>
    </row>
    <row r="2335" spans="1:26">
      <c r="A2335" s="100" t="e">
        <f ca="1">IFERROR(__xludf.DUMMYFUNCTION("""COMPUTED_VALUE"""),58785670)</f>
        <v>#NAME?</v>
      </c>
      <c r="B2335" s="100" t="e">
        <f ca="1">IFERROR(__xludf.DUMMYFUNCTION("""COMPUTED_VALUE"""),"MEMEFDUSD")</f>
        <v>#NAME?</v>
      </c>
      <c r="C2335" s="100" t="e">
        <f ca="1">IFERROR(__xludf.DUMMYFUNCTION("""COMPUTED_VALUE"""),"0.00195400")</f>
        <v>#NAME?</v>
      </c>
      <c r="D2335" s="100" t="e">
        <f t="shared" ca="1" si="396"/>
        <v>#NAME?</v>
      </c>
      <c r="E2335" s="100" t="e">
        <f t="shared" ca="1" si="396"/>
        <v>#NAME?</v>
      </c>
      <c r="F2335" s="100" t="e">
        <f t="shared" ca="1" si="391"/>
        <v>#NAME?</v>
      </c>
      <c r="G2335" s="100" t="e">
        <f t="shared" ca="1" si="392"/>
        <v>#NAME?</v>
      </c>
      <c r="H2335" s="100" t="e">
        <f t="shared" ca="1" si="393"/>
        <v>#NAME?</v>
      </c>
      <c r="I2335" s="100" t="e">
        <f t="shared" ca="1" si="394"/>
        <v>#NAME?</v>
      </c>
      <c r="J2335" s="100" t="e">
        <f ca="1">IFERROR(__xludf.DUMMYFUNCTION("""COMPUTED_VALUE"""),"-10.202")</f>
        <v>#NAME?</v>
      </c>
      <c r="K2335" s="100" t="e">
        <f t="shared" ca="1" si="395"/>
        <v>#NAME?</v>
      </c>
      <c r="L2335" s="100"/>
      <c r="M2335" s="100"/>
      <c r="N2335" s="100"/>
      <c r="O2335" s="100"/>
      <c r="P2335" s="100"/>
      <c r="Q2335" s="100"/>
      <c r="R2335" s="100"/>
      <c r="S2335" s="100"/>
      <c r="T2335" s="100"/>
      <c r="U2335" s="100"/>
      <c r="V2335" s="100"/>
      <c r="W2335" s="100"/>
      <c r="X2335" s="100"/>
      <c r="Y2335" s="100"/>
      <c r="Z2335" s="100"/>
    </row>
    <row r="2336" spans="1:26">
      <c r="A2336" s="100" t="e">
        <f ca="1">IFERROR(__xludf.DUMMYFUNCTION("""COMPUTED_VALUE"""),58785671)</f>
        <v>#NAME?</v>
      </c>
      <c r="B2336" s="100" t="e">
        <f ca="1">IFERROR(__xludf.DUMMYFUNCTION("""COMPUTED_VALUE"""),"MEMETUSD")</f>
        <v>#NAME?</v>
      </c>
      <c r="C2336" s="100" t="e">
        <f ca="1">IFERROR(__xludf.DUMMYFUNCTION("""COMPUTED_VALUE"""),"0.02722000")</f>
        <v>#NAME?</v>
      </c>
      <c r="D2336" s="100" t="e">
        <f t="shared" ca="1" si="396"/>
        <v>#NAME?</v>
      </c>
      <c r="E2336" s="100" t="e">
        <f t="shared" ca="1" si="396"/>
        <v>#NAME?</v>
      </c>
      <c r="F2336" s="100" t="e">
        <f t="shared" ca="1" si="391"/>
        <v>#NAME?</v>
      </c>
      <c r="G2336" s="100" t="e">
        <f t="shared" ca="1" si="392"/>
        <v>#NAME?</v>
      </c>
      <c r="H2336" s="100" t="e">
        <f t="shared" ca="1" si="393"/>
        <v>#NAME?</v>
      </c>
      <c r="I2336" s="100" t="e">
        <f t="shared" ca="1" si="394"/>
        <v>#NAME?</v>
      </c>
      <c r="J2336" s="100" t="e">
        <f ca="1">IFERROR(__xludf.DUMMYFUNCTION("""COMPUTED_VALUE"""),"0")</f>
        <v>#NAME?</v>
      </c>
      <c r="K2336" s="100" t="e">
        <f t="shared" ca="1" si="395"/>
        <v>#NAME?</v>
      </c>
      <c r="L2336" s="100"/>
      <c r="M2336" s="100"/>
      <c r="N2336" s="100"/>
      <c r="O2336" s="100"/>
      <c r="P2336" s="100"/>
      <c r="Q2336" s="100"/>
      <c r="R2336" s="100"/>
      <c r="S2336" s="100"/>
      <c r="T2336" s="100"/>
      <c r="U2336" s="100"/>
      <c r="V2336" s="100"/>
      <c r="W2336" s="100"/>
      <c r="X2336" s="100"/>
      <c r="Y2336" s="100"/>
      <c r="Z2336" s="100"/>
    </row>
    <row r="2337" spans="1:26">
      <c r="A2337" s="100" t="e">
        <f ca="1">IFERROR(__xludf.DUMMYFUNCTION("""COMPUTED_VALUE"""),58785672)</f>
        <v>#NAME?</v>
      </c>
      <c r="B2337" s="100" t="e">
        <f ca="1">IFERROR(__xludf.DUMMYFUNCTION("""COMPUTED_VALUE"""),"MEMETRY")</f>
        <v>#NAME?</v>
      </c>
      <c r="C2337" s="100" t="e">
        <f ca="1">IFERROR(__xludf.DUMMYFUNCTION("""COMPUTED_VALUE"""),"0.07460000")</f>
        <v>#NAME?</v>
      </c>
      <c r="D2337" s="100" t="e">
        <f t="shared" ca="1" si="396"/>
        <v>#NAME?</v>
      </c>
      <c r="E2337" s="100" t="e">
        <f t="shared" ca="1" si="396"/>
        <v>#NAME?</v>
      </c>
      <c r="F2337" s="100" t="e">
        <f t="shared" ca="1" si="391"/>
        <v>#NAME?</v>
      </c>
      <c r="G2337" s="100" t="e">
        <f t="shared" ca="1" si="392"/>
        <v>#NAME?</v>
      </c>
      <c r="H2337" s="100" t="e">
        <f t="shared" ca="1" si="393"/>
        <v>#NAME?</v>
      </c>
      <c r="I2337" s="100" t="e">
        <f t="shared" ca="1" si="394"/>
        <v>#NAME?</v>
      </c>
      <c r="J2337" s="100" t="e">
        <f ca="1">IFERROR(__xludf.DUMMYFUNCTION("""COMPUTED_VALUE"""),"-10.337")</f>
        <v>#NAME?</v>
      </c>
      <c r="K2337" s="100" t="e">
        <f t="shared" ca="1" si="395"/>
        <v>#NAME?</v>
      </c>
      <c r="L2337" s="100"/>
      <c r="M2337" s="100"/>
      <c r="N2337" s="100"/>
      <c r="O2337" s="100"/>
      <c r="P2337" s="100"/>
      <c r="Q2337" s="100"/>
      <c r="R2337" s="100"/>
      <c r="S2337" s="100"/>
      <c r="T2337" s="100"/>
      <c r="U2337" s="100"/>
      <c r="V2337" s="100"/>
      <c r="W2337" s="100"/>
      <c r="X2337" s="100"/>
      <c r="Y2337" s="100"/>
      <c r="Z2337" s="100"/>
    </row>
    <row r="2338" spans="1:26">
      <c r="A2338" s="100" t="e">
        <f ca="1">IFERROR(__xludf.DUMMYFUNCTION("""COMPUTED_VALUE"""),58785673)</f>
        <v>#NAME?</v>
      </c>
      <c r="B2338" s="100" t="e">
        <f ca="1">IFERROR(__xludf.DUMMYFUNCTION("""COMPUTED_VALUE"""),"ORDIBTC")</f>
        <v>#NAME?</v>
      </c>
      <c r="C2338" s="100" t="e">
        <f ca="1">IFERROR(__xludf.DUMMYFUNCTION("""COMPUTED_VALUE"""),"0.00007510")</f>
        <v>#NAME?</v>
      </c>
      <c r="D2338" s="100" t="e">
        <f t="shared" ca="1" si="396"/>
        <v>#NAME?</v>
      </c>
      <c r="E2338" s="100" t="e">
        <f t="shared" ca="1" si="396"/>
        <v>#NAME?</v>
      </c>
      <c r="F2338" s="100" t="e">
        <f t="shared" ca="1" si="391"/>
        <v>#NAME?</v>
      </c>
      <c r="G2338" s="100" t="e">
        <f t="shared" ca="1" si="392"/>
        <v>#NAME?</v>
      </c>
      <c r="H2338" s="100" t="e">
        <f t="shared" ca="1" si="393"/>
        <v>#NAME?</v>
      </c>
      <c r="I2338" s="100" t="e">
        <f t="shared" ca="1" si="394"/>
        <v>#NAME?</v>
      </c>
      <c r="J2338" s="100" t="e">
        <f ca="1">IFERROR(__xludf.DUMMYFUNCTION("""COMPUTED_VALUE"""),"-2.468")</f>
        <v>#NAME?</v>
      </c>
      <c r="K2338" s="100" t="e">
        <f t="shared" ca="1" si="395"/>
        <v>#NAME?</v>
      </c>
      <c r="L2338" s="100"/>
      <c r="M2338" s="100"/>
      <c r="N2338" s="100"/>
      <c r="O2338" s="100"/>
      <c r="P2338" s="100"/>
      <c r="Q2338" s="100"/>
      <c r="R2338" s="100"/>
      <c r="S2338" s="100"/>
      <c r="T2338" s="100"/>
      <c r="U2338" s="100"/>
      <c r="V2338" s="100"/>
      <c r="W2338" s="100"/>
      <c r="X2338" s="100"/>
      <c r="Y2338" s="100"/>
      <c r="Z2338" s="100"/>
    </row>
    <row r="2339" spans="1:26">
      <c r="A2339" s="100" t="e">
        <f ca="1">IFERROR(__xludf.DUMMYFUNCTION("""COMPUTED_VALUE"""),58785674)</f>
        <v>#NAME?</v>
      </c>
      <c r="B2339" s="100" t="e">
        <f ca="1">IFERROR(__xludf.DUMMYFUNCTION("""COMPUTED_VALUE"""),"ORDIUSDT")</f>
        <v>#NAME?</v>
      </c>
      <c r="C2339" s="100" t="e">
        <f ca="1">IFERROR(__xludf.DUMMYFUNCTION("""COMPUTED_VALUE"""),"6.64000000")</f>
        <v>#NAME?</v>
      </c>
      <c r="D2339" s="100" t="e">
        <f t="shared" ca="1" si="396"/>
        <v>#NAME?</v>
      </c>
      <c r="E2339" s="100" t="e">
        <f t="shared" ca="1" si="396"/>
        <v>#NAME?</v>
      </c>
      <c r="F2339" s="100" t="e">
        <f t="shared" ca="1" si="391"/>
        <v>#NAME?</v>
      </c>
      <c r="G2339" s="100" t="e">
        <f t="shared" ca="1" si="392"/>
        <v>#NAME?</v>
      </c>
      <c r="H2339" s="100" t="e">
        <f t="shared" ca="1" si="393"/>
        <v>#NAME?</v>
      </c>
      <c r="I2339" s="100" t="e">
        <f t="shared" ca="1" si="394"/>
        <v>#NAME?</v>
      </c>
      <c r="J2339" s="100" t="e">
        <f ca="1">IFERROR(__xludf.DUMMYFUNCTION("""COMPUTED_VALUE"""),"-1.775")</f>
        <v>#NAME?</v>
      </c>
      <c r="K2339" s="100" t="e">
        <f t="shared" ca="1" si="395"/>
        <v>#NAME?</v>
      </c>
      <c r="L2339" s="100"/>
      <c r="M2339" s="100"/>
      <c r="N2339" s="100"/>
      <c r="O2339" s="100"/>
      <c r="P2339" s="100"/>
      <c r="Q2339" s="100"/>
      <c r="R2339" s="100"/>
      <c r="S2339" s="100"/>
      <c r="T2339" s="100"/>
      <c r="U2339" s="100"/>
      <c r="V2339" s="100"/>
      <c r="W2339" s="100"/>
      <c r="X2339" s="100"/>
      <c r="Y2339" s="100"/>
      <c r="Z2339" s="100"/>
    </row>
    <row r="2340" spans="1:26">
      <c r="A2340" s="100" t="e">
        <f ca="1">IFERROR(__xludf.DUMMYFUNCTION("""COMPUTED_VALUE"""),58785675)</f>
        <v>#NAME?</v>
      </c>
      <c r="B2340" s="100" t="e">
        <f ca="1">IFERROR(__xludf.DUMMYFUNCTION("""COMPUTED_VALUE"""),"ORDITRY")</f>
        <v>#NAME?</v>
      </c>
      <c r="C2340" s="100" t="e">
        <f ca="1">IFERROR(__xludf.DUMMYFUNCTION("""COMPUTED_VALUE"""),"254.00000000")</f>
        <v>#NAME?</v>
      </c>
      <c r="D2340" s="100" t="e">
        <f t="shared" ca="1" si="396"/>
        <v>#NAME?</v>
      </c>
      <c r="E2340" s="100" t="e">
        <f t="shared" ca="1" si="396"/>
        <v>#NAME?</v>
      </c>
      <c r="F2340" s="100" t="e">
        <f t="shared" ca="1" si="391"/>
        <v>#NAME?</v>
      </c>
      <c r="G2340" s="100" t="e">
        <f t="shared" ca="1" si="392"/>
        <v>#NAME?</v>
      </c>
      <c r="H2340" s="100" t="e">
        <f t="shared" ca="1" si="393"/>
        <v>#NAME?</v>
      </c>
      <c r="I2340" s="100" t="e">
        <f t="shared" ca="1" si="394"/>
        <v>#NAME?</v>
      </c>
      <c r="J2340" s="100" t="e">
        <f ca="1">IFERROR(__xludf.DUMMYFUNCTION("""COMPUTED_VALUE"""),"-1.167")</f>
        <v>#NAME?</v>
      </c>
      <c r="K2340" s="100" t="e">
        <f t="shared" ca="1" si="395"/>
        <v>#NAME?</v>
      </c>
      <c r="L2340" s="100"/>
      <c r="M2340" s="100"/>
      <c r="N2340" s="100"/>
      <c r="O2340" s="100"/>
      <c r="P2340" s="100"/>
      <c r="Q2340" s="100"/>
      <c r="R2340" s="100"/>
      <c r="S2340" s="100"/>
      <c r="T2340" s="100"/>
      <c r="U2340" s="100"/>
      <c r="V2340" s="100"/>
      <c r="W2340" s="100"/>
      <c r="X2340" s="100"/>
      <c r="Y2340" s="100"/>
      <c r="Z2340" s="100"/>
    </row>
    <row r="2341" spans="1:26">
      <c r="A2341" s="100" t="e">
        <f ca="1">IFERROR(__xludf.DUMMYFUNCTION("""COMPUTED_VALUE"""),58785676)</f>
        <v>#NAME?</v>
      </c>
      <c r="B2341" s="100" t="e">
        <f ca="1">IFERROR(__xludf.DUMMYFUNCTION("""COMPUTED_VALUE"""),"EGLDFDUSD")</f>
        <v>#NAME?</v>
      </c>
      <c r="C2341" s="100" t="e">
        <f ca="1">IFERROR(__xludf.DUMMYFUNCTION("""COMPUTED_VALUE"""),"14.10000000")</f>
        <v>#NAME?</v>
      </c>
      <c r="D2341" s="100" t="e">
        <f t="shared" ca="1" si="396"/>
        <v>#NAME?</v>
      </c>
      <c r="E2341" s="100" t="e">
        <f t="shared" ca="1" si="396"/>
        <v>#NAME?</v>
      </c>
      <c r="F2341" s="100" t="e">
        <f t="shared" ca="1" si="391"/>
        <v>#NAME?</v>
      </c>
      <c r="G2341" s="100" t="e">
        <f t="shared" ca="1" si="392"/>
        <v>#NAME?</v>
      </c>
      <c r="H2341" s="100" t="e">
        <f t="shared" ca="1" si="393"/>
        <v>#NAME?</v>
      </c>
      <c r="I2341" s="100" t="e">
        <f t="shared" ca="1" si="394"/>
        <v>#NAME?</v>
      </c>
      <c r="J2341" s="100" t="e">
        <f ca="1">IFERROR(__xludf.DUMMYFUNCTION("""COMPUTED_VALUE"""),"-2.692")</f>
        <v>#NAME?</v>
      </c>
      <c r="K2341" s="100" t="e">
        <f t="shared" ca="1" si="395"/>
        <v>#NAME?</v>
      </c>
      <c r="L2341" s="100"/>
      <c r="M2341" s="100"/>
      <c r="N2341" s="100"/>
      <c r="O2341" s="100"/>
      <c r="P2341" s="100"/>
      <c r="Q2341" s="100"/>
      <c r="R2341" s="100"/>
      <c r="S2341" s="100"/>
      <c r="T2341" s="100"/>
      <c r="U2341" s="100"/>
      <c r="V2341" s="100"/>
      <c r="W2341" s="100"/>
      <c r="X2341" s="100"/>
      <c r="Y2341" s="100"/>
      <c r="Z2341" s="100"/>
    </row>
    <row r="2342" spans="1:26">
      <c r="A2342" s="100" t="e">
        <f ca="1">IFERROR(__xludf.DUMMYFUNCTION("""COMPUTED_VALUE"""),58785677)</f>
        <v>#NAME?</v>
      </c>
      <c r="B2342" s="100" t="e">
        <f ca="1">IFERROR(__xludf.DUMMYFUNCTION("""COMPUTED_VALUE"""),"FETFDUSD")</f>
        <v>#NAME?</v>
      </c>
      <c r="C2342" s="100" t="e">
        <f ca="1">IFERROR(__xludf.DUMMYFUNCTION("""COMPUTED_VALUE"""),"0.59200000")</f>
        <v>#NAME?</v>
      </c>
      <c r="D2342" s="100" t="e">
        <f t="shared" ref="D2342:E2361" ca="1" si="397">IFERROR(__xludf.DUMMYFUNCTION("""COMPUTED_VALUE"""),"-")</f>
        <v>#NAME?</v>
      </c>
      <c r="E2342" s="100" t="e">
        <f t="shared" ca="1" si="397"/>
        <v>#NAME?</v>
      </c>
      <c r="F2342" s="100" t="e">
        <f t="shared" ca="1" si="391"/>
        <v>#NAME?</v>
      </c>
      <c r="G2342" s="100" t="e">
        <f t="shared" ca="1" si="392"/>
        <v>#NAME?</v>
      </c>
      <c r="H2342" s="100" t="e">
        <f t="shared" ca="1" si="393"/>
        <v>#NAME?</v>
      </c>
      <c r="I2342" s="100" t="e">
        <f t="shared" ca="1" si="394"/>
        <v>#NAME?</v>
      </c>
      <c r="J2342" s="100" t="e">
        <f ca="1">IFERROR(__xludf.DUMMYFUNCTION("""COMPUTED_VALUE"""),"-4.670")</f>
        <v>#NAME?</v>
      </c>
      <c r="K2342" s="100" t="e">
        <f t="shared" ca="1" si="395"/>
        <v>#NAME?</v>
      </c>
      <c r="L2342" s="100"/>
      <c r="M2342" s="100"/>
      <c r="N2342" s="100"/>
      <c r="O2342" s="100"/>
      <c r="P2342" s="100"/>
      <c r="Q2342" s="100"/>
      <c r="R2342" s="100"/>
      <c r="S2342" s="100"/>
      <c r="T2342" s="100"/>
      <c r="U2342" s="100"/>
      <c r="V2342" s="100"/>
      <c r="W2342" s="100"/>
      <c r="X2342" s="100"/>
      <c r="Y2342" s="100"/>
      <c r="Z2342" s="100"/>
    </row>
    <row r="2343" spans="1:26">
      <c r="A2343" s="100" t="e">
        <f ca="1">IFERROR(__xludf.DUMMYFUNCTION("""COMPUTED_VALUE"""),58785678)</f>
        <v>#NAME?</v>
      </c>
      <c r="B2343" s="100" t="e">
        <f ca="1">IFERROR(__xludf.DUMMYFUNCTION("""COMPUTED_VALUE"""),"GASFDUSD")</f>
        <v>#NAME?</v>
      </c>
      <c r="C2343" s="100" t="e">
        <f ca="1">IFERROR(__xludf.DUMMYFUNCTION("""COMPUTED_VALUE"""),"2.78500000")</f>
        <v>#NAME?</v>
      </c>
      <c r="D2343" s="100" t="e">
        <f t="shared" ca="1" si="397"/>
        <v>#NAME?</v>
      </c>
      <c r="E2343" s="100" t="e">
        <f t="shared" ca="1" si="397"/>
        <v>#NAME?</v>
      </c>
      <c r="F2343" s="100" t="e">
        <f t="shared" ca="1" si="391"/>
        <v>#NAME?</v>
      </c>
      <c r="G2343" s="100" t="e">
        <f t="shared" ca="1" si="392"/>
        <v>#NAME?</v>
      </c>
      <c r="H2343" s="100" t="e">
        <f t="shared" ca="1" si="393"/>
        <v>#NAME?</v>
      </c>
      <c r="I2343" s="100" t="e">
        <f t="shared" ca="1" si="394"/>
        <v>#NAME?</v>
      </c>
      <c r="J2343" s="100" t="e">
        <f ca="1">IFERROR(__xludf.DUMMYFUNCTION("""COMPUTED_VALUE"""),"0")</f>
        <v>#NAME?</v>
      </c>
      <c r="K2343" s="100" t="e">
        <f t="shared" ca="1" si="395"/>
        <v>#NAME?</v>
      </c>
      <c r="L2343" s="100"/>
      <c r="M2343" s="100"/>
      <c r="N2343" s="100"/>
      <c r="O2343" s="100"/>
      <c r="P2343" s="100"/>
      <c r="Q2343" s="100"/>
      <c r="R2343" s="100"/>
      <c r="S2343" s="100"/>
      <c r="T2343" s="100"/>
      <c r="U2343" s="100"/>
      <c r="V2343" s="100"/>
      <c r="W2343" s="100"/>
      <c r="X2343" s="100"/>
      <c r="Y2343" s="100"/>
      <c r="Z2343" s="100"/>
    </row>
    <row r="2344" spans="1:26">
      <c r="A2344" s="100" t="e">
        <f ca="1">IFERROR(__xludf.DUMMYFUNCTION("""COMPUTED_VALUE"""),58785679)</f>
        <v>#NAME?</v>
      </c>
      <c r="B2344" s="100" t="e">
        <f ca="1">IFERROR(__xludf.DUMMYFUNCTION("""COMPUTED_VALUE"""),"INJETH")</f>
        <v>#NAME?</v>
      </c>
      <c r="C2344" s="100" t="e">
        <f ca="1">IFERROR(__xludf.DUMMYFUNCTION("""COMPUTED_VALUE"""),"0.00522200")</f>
        <v>#NAME?</v>
      </c>
      <c r="D2344" s="100" t="e">
        <f t="shared" ca="1" si="397"/>
        <v>#NAME?</v>
      </c>
      <c r="E2344" s="100" t="e">
        <f t="shared" ca="1" si="397"/>
        <v>#NAME?</v>
      </c>
      <c r="F2344" s="100" t="e">
        <f t="shared" ca="1" si="391"/>
        <v>#NAME?</v>
      </c>
      <c r="G2344" s="100" t="e">
        <f t="shared" ca="1" si="392"/>
        <v>#NAME?</v>
      </c>
      <c r="H2344" s="100" t="e">
        <f t="shared" ca="1" si="393"/>
        <v>#NAME?</v>
      </c>
      <c r="I2344" s="100" t="e">
        <f t="shared" ca="1" si="394"/>
        <v>#NAME?</v>
      </c>
      <c r="J2344" s="100" t="e">
        <f ca="1">IFERROR(__xludf.DUMMYFUNCTION("""COMPUTED_VALUE"""),"-4.060")</f>
        <v>#NAME?</v>
      </c>
      <c r="K2344" s="100" t="e">
        <f t="shared" ca="1" si="395"/>
        <v>#NAME?</v>
      </c>
      <c r="L2344" s="100"/>
      <c r="M2344" s="100"/>
      <c r="N2344" s="100"/>
      <c r="O2344" s="100"/>
      <c r="P2344" s="100"/>
      <c r="Q2344" s="100"/>
      <c r="R2344" s="100"/>
      <c r="S2344" s="100"/>
      <c r="T2344" s="100"/>
      <c r="U2344" s="100"/>
      <c r="V2344" s="100"/>
      <c r="W2344" s="100"/>
      <c r="X2344" s="100"/>
      <c r="Y2344" s="100"/>
      <c r="Z2344" s="100"/>
    </row>
    <row r="2345" spans="1:26">
      <c r="A2345" s="100" t="e">
        <f ca="1">IFERROR(__xludf.DUMMYFUNCTION("""COMPUTED_VALUE"""),58785680)</f>
        <v>#NAME?</v>
      </c>
      <c r="B2345" s="100" t="e">
        <f ca="1">IFERROR(__xludf.DUMMYFUNCTION("""COMPUTED_VALUE"""),"INJTUSD")</f>
        <v>#NAME?</v>
      </c>
      <c r="C2345" s="100" t="e">
        <f ca="1">IFERROR(__xludf.DUMMYFUNCTION("""COMPUTED_VALUE"""),"26.23000000")</f>
        <v>#NAME?</v>
      </c>
      <c r="D2345" s="100" t="e">
        <f t="shared" ca="1" si="397"/>
        <v>#NAME?</v>
      </c>
      <c r="E2345" s="100" t="e">
        <f t="shared" ca="1" si="397"/>
        <v>#NAME?</v>
      </c>
      <c r="F2345" s="100" t="e">
        <f t="shared" ca="1" si="391"/>
        <v>#NAME?</v>
      </c>
      <c r="G2345" s="100" t="e">
        <f t="shared" ca="1" si="392"/>
        <v>#NAME?</v>
      </c>
      <c r="H2345" s="100" t="e">
        <f t="shared" ca="1" si="393"/>
        <v>#NAME?</v>
      </c>
      <c r="I2345" s="100" t="e">
        <f t="shared" ca="1" si="394"/>
        <v>#NAME?</v>
      </c>
      <c r="J2345" s="100" t="e">
        <f ca="1">IFERROR(__xludf.DUMMYFUNCTION("""COMPUTED_VALUE"""),"0")</f>
        <v>#NAME?</v>
      </c>
      <c r="K2345" s="100" t="e">
        <f t="shared" ca="1" si="395"/>
        <v>#NAME?</v>
      </c>
      <c r="L2345" s="100"/>
      <c r="M2345" s="100"/>
      <c r="N2345" s="100"/>
      <c r="O2345" s="100"/>
      <c r="P2345" s="100"/>
      <c r="Q2345" s="100"/>
      <c r="R2345" s="100"/>
      <c r="S2345" s="100"/>
      <c r="T2345" s="100"/>
      <c r="U2345" s="100"/>
      <c r="V2345" s="100"/>
      <c r="W2345" s="100"/>
      <c r="X2345" s="100"/>
      <c r="Y2345" s="100"/>
      <c r="Z2345" s="100"/>
    </row>
    <row r="2346" spans="1:26">
      <c r="A2346" s="100" t="e">
        <f ca="1">IFERROR(__xludf.DUMMYFUNCTION("""COMPUTED_VALUE"""),58785681)</f>
        <v>#NAME?</v>
      </c>
      <c r="B2346" s="100" t="e">
        <f ca="1">IFERROR(__xludf.DUMMYFUNCTION("""COMPUTED_VALUE"""),"OPFDUSD")</f>
        <v>#NAME?</v>
      </c>
      <c r="C2346" s="100" t="e">
        <f ca="1">IFERROR(__xludf.DUMMYFUNCTION("""COMPUTED_VALUE"""),"0.69100000")</f>
        <v>#NAME?</v>
      </c>
      <c r="D2346" s="100" t="e">
        <f t="shared" ca="1" si="397"/>
        <v>#NAME?</v>
      </c>
      <c r="E2346" s="100" t="e">
        <f t="shared" ca="1" si="397"/>
        <v>#NAME?</v>
      </c>
      <c r="F2346" s="100" t="e">
        <f t="shared" ca="1" si="391"/>
        <v>#NAME?</v>
      </c>
      <c r="G2346" s="100" t="e">
        <f t="shared" ca="1" si="392"/>
        <v>#NAME?</v>
      </c>
      <c r="H2346" s="100" t="e">
        <f t="shared" ca="1" si="393"/>
        <v>#NAME?</v>
      </c>
      <c r="I2346" s="100" t="e">
        <f t="shared" ca="1" si="394"/>
        <v>#NAME?</v>
      </c>
      <c r="J2346" s="100" t="e">
        <f ca="1">IFERROR(__xludf.DUMMYFUNCTION("""COMPUTED_VALUE"""),"-4.821")</f>
        <v>#NAME?</v>
      </c>
      <c r="K2346" s="100" t="e">
        <f t="shared" ca="1" si="395"/>
        <v>#NAME?</v>
      </c>
      <c r="L2346" s="100"/>
      <c r="M2346" s="100"/>
      <c r="N2346" s="100"/>
      <c r="O2346" s="100"/>
      <c r="P2346" s="100"/>
      <c r="Q2346" s="100"/>
      <c r="R2346" s="100"/>
      <c r="S2346" s="100"/>
      <c r="T2346" s="100"/>
      <c r="U2346" s="100"/>
      <c r="V2346" s="100"/>
      <c r="W2346" s="100"/>
      <c r="X2346" s="100"/>
      <c r="Y2346" s="100"/>
      <c r="Z2346" s="100"/>
    </row>
    <row r="2347" spans="1:26">
      <c r="A2347" s="100" t="e">
        <f ca="1">IFERROR(__xludf.DUMMYFUNCTION("""COMPUTED_VALUE"""),58785682)</f>
        <v>#NAME?</v>
      </c>
      <c r="B2347" s="100" t="e">
        <f ca="1">IFERROR(__xludf.DUMMYFUNCTION("""COMPUTED_VALUE"""),"ORDIFDUSD")</f>
        <v>#NAME?</v>
      </c>
      <c r="C2347" s="100" t="e">
        <f ca="1">IFERROR(__xludf.DUMMYFUNCTION("""COMPUTED_VALUE"""),"6.66000000")</f>
        <v>#NAME?</v>
      </c>
      <c r="D2347" s="100" t="e">
        <f t="shared" ca="1" si="397"/>
        <v>#NAME?</v>
      </c>
      <c r="E2347" s="100" t="e">
        <f t="shared" ca="1" si="397"/>
        <v>#NAME?</v>
      </c>
      <c r="F2347" s="100" t="e">
        <f t="shared" ca="1" si="391"/>
        <v>#NAME?</v>
      </c>
      <c r="G2347" s="100" t="e">
        <f t="shared" ca="1" si="392"/>
        <v>#NAME?</v>
      </c>
      <c r="H2347" s="100" t="e">
        <f t="shared" ca="1" si="393"/>
        <v>#NAME?</v>
      </c>
      <c r="I2347" s="100" t="e">
        <f t="shared" ca="1" si="394"/>
        <v>#NAME?</v>
      </c>
      <c r="J2347" s="100" t="e">
        <f ca="1">IFERROR(__xludf.DUMMYFUNCTION("""COMPUTED_VALUE"""),"-0.893")</f>
        <v>#NAME?</v>
      </c>
      <c r="K2347" s="100" t="e">
        <f t="shared" ca="1" si="395"/>
        <v>#NAME?</v>
      </c>
      <c r="L2347" s="100"/>
      <c r="M2347" s="100"/>
      <c r="N2347" s="100"/>
      <c r="O2347" s="100"/>
      <c r="P2347" s="100"/>
      <c r="Q2347" s="100"/>
      <c r="R2347" s="100"/>
      <c r="S2347" s="100"/>
      <c r="T2347" s="100"/>
      <c r="U2347" s="100"/>
      <c r="V2347" s="100"/>
      <c r="W2347" s="100"/>
      <c r="X2347" s="100"/>
      <c r="Y2347" s="100"/>
      <c r="Z2347" s="100"/>
    </row>
    <row r="2348" spans="1:26">
      <c r="A2348" s="100" t="e">
        <f ca="1">IFERROR(__xludf.DUMMYFUNCTION("""COMPUTED_VALUE"""),58785683)</f>
        <v>#NAME?</v>
      </c>
      <c r="B2348" s="100" t="e">
        <f ca="1">IFERROR(__xludf.DUMMYFUNCTION("""COMPUTED_VALUE"""),"ORDITUSD")</f>
        <v>#NAME?</v>
      </c>
      <c r="C2348" s="100" t="e">
        <f ca="1">IFERROR(__xludf.DUMMYFUNCTION("""COMPUTED_VALUE"""),"36.89000000")</f>
        <v>#NAME?</v>
      </c>
      <c r="D2348" s="100" t="e">
        <f t="shared" ca="1" si="397"/>
        <v>#NAME?</v>
      </c>
      <c r="E2348" s="100" t="e">
        <f t="shared" ca="1" si="397"/>
        <v>#NAME?</v>
      </c>
      <c r="F2348" s="100" t="e">
        <f t="shared" ca="1" si="391"/>
        <v>#NAME?</v>
      </c>
      <c r="G2348" s="100" t="e">
        <f t="shared" ca="1" si="392"/>
        <v>#NAME?</v>
      </c>
      <c r="H2348" s="100" t="e">
        <f t="shared" ca="1" si="393"/>
        <v>#NAME?</v>
      </c>
      <c r="I2348" s="100" t="e">
        <f t="shared" ca="1" si="394"/>
        <v>#NAME?</v>
      </c>
      <c r="J2348" s="100" t="e">
        <f ca="1">IFERROR(__xludf.DUMMYFUNCTION("""COMPUTED_VALUE"""),"0")</f>
        <v>#NAME?</v>
      </c>
      <c r="K2348" s="100" t="e">
        <f t="shared" ca="1" si="395"/>
        <v>#NAME?</v>
      </c>
      <c r="L2348" s="100"/>
      <c r="M2348" s="100"/>
      <c r="N2348" s="100"/>
      <c r="O2348" s="100"/>
      <c r="P2348" s="100"/>
      <c r="Q2348" s="100"/>
      <c r="R2348" s="100"/>
      <c r="S2348" s="100"/>
      <c r="T2348" s="100"/>
      <c r="U2348" s="100"/>
      <c r="V2348" s="100"/>
      <c r="W2348" s="100"/>
      <c r="X2348" s="100"/>
      <c r="Y2348" s="100"/>
      <c r="Z2348" s="100"/>
    </row>
    <row r="2349" spans="1:26">
      <c r="A2349" s="100" t="e">
        <f ca="1">IFERROR(__xludf.DUMMYFUNCTION("""COMPUTED_VALUE"""),58785684)</f>
        <v>#NAME?</v>
      </c>
      <c r="B2349" s="100" t="e">
        <f ca="1">IFERROR(__xludf.DUMMYFUNCTION("""COMPUTED_VALUE"""),"RNDRFDUSD")</f>
        <v>#NAME?</v>
      </c>
      <c r="C2349" s="100" t="e">
        <f ca="1">IFERROR(__xludf.DUMMYFUNCTION("""COMPUTED_VALUE"""),"7.02900000")</f>
        <v>#NAME?</v>
      </c>
      <c r="D2349" s="100" t="e">
        <f t="shared" ca="1" si="397"/>
        <v>#NAME?</v>
      </c>
      <c r="E2349" s="100" t="e">
        <f t="shared" ca="1" si="397"/>
        <v>#NAME?</v>
      </c>
      <c r="F2349" s="100" t="e">
        <f t="shared" ca="1" si="391"/>
        <v>#NAME?</v>
      </c>
      <c r="G2349" s="100" t="e">
        <f t="shared" ca="1" si="392"/>
        <v>#NAME?</v>
      </c>
      <c r="H2349" s="100" t="e">
        <f t="shared" ca="1" si="393"/>
        <v>#NAME?</v>
      </c>
      <c r="I2349" s="100" t="e">
        <f t="shared" ca="1" si="394"/>
        <v>#NAME?</v>
      </c>
      <c r="J2349" s="100" t="e">
        <f ca="1">IFERROR(__xludf.DUMMYFUNCTION("""COMPUTED_VALUE"""),"0")</f>
        <v>#NAME?</v>
      </c>
      <c r="K2349" s="100" t="e">
        <f t="shared" ca="1" si="395"/>
        <v>#NAME?</v>
      </c>
      <c r="L2349" s="100"/>
      <c r="M2349" s="100"/>
      <c r="N2349" s="100"/>
      <c r="O2349" s="100"/>
      <c r="P2349" s="100"/>
      <c r="Q2349" s="100"/>
      <c r="R2349" s="100"/>
      <c r="S2349" s="100"/>
      <c r="T2349" s="100"/>
      <c r="U2349" s="100"/>
      <c r="V2349" s="100"/>
      <c r="W2349" s="100"/>
      <c r="X2349" s="100"/>
      <c r="Y2349" s="100"/>
      <c r="Z2349" s="100"/>
    </row>
    <row r="2350" spans="1:26">
      <c r="A2350" s="100" t="e">
        <f ca="1">IFERROR(__xludf.DUMMYFUNCTION("""COMPUTED_VALUE"""),58785685)</f>
        <v>#NAME?</v>
      </c>
      <c r="B2350" s="100" t="e">
        <f ca="1">IFERROR(__xludf.DUMMYFUNCTION("""COMPUTED_VALUE"""),"SHIBTUSD")</f>
        <v>#NAME?</v>
      </c>
      <c r="C2350" s="100" t="e">
        <f ca="1">IFERROR(__xludf.DUMMYFUNCTION("""COMPUTED_VALUE"""),"0.00001766")</f>
        <v>#NAME?</v>
      </c>
      <c r="D2350" s="100" t="e">
        <f t="shared" ca="1" si="397"/>
        <v>#NAME?</v>
      </c>
      <c r="E2350" s="100" t="e">
        <f t="shared" ca="1" si="397"/>
        <v>#NAME?</v>
      </c>
      <c r="F2350" s="100" t="e">
        <f t="shared" ca="1" si="391"/>
        <v>#NAME?</v>
      </c>
      <c r="G2350" s="100" t="e">
        <f t="shared" ca="1" si="392"/>
        <v>#NAME?</v>
      </c>
      <c r="H2350" s="100" t="e">
        <f t="shared" ca="1" si="393"/>
        <v>#NAME?</v>
      </c>
      <c r="I2350" s="100" t="e">
        <f t="shared" ca="1" si="394"/>
        <v>#NAME?</v>
      </c>
      <c r="J2350" s="100" t="e">
        <f ca="1">IFERROR(__xludf.DUMMYFUNCTION("""COMPUTED_VALUE"""),"0")</f>
        <v>#NAME?</v>
      </c>
      <c r="K2350" s="100" t="e">
        <f t="shared" ca="1" si="395"/>
        <v>#NAME?</v>
      </c>
      <c r="L2350" s="100"/>
      <c r="M2350" s="100"/>
      <c r="N2350" s="100"/>
      <c r="O2350" s="100"/>
      <c r="P2350" s="100"/>
      <c r="Q2350" s="100"/>
      <c r="R2350" s="100"/>
      <c r="S2350" s="100"/>
      <c r="T2350" s="100"/>
      <c r="U2350" s="100"/>
      <c r="V2350" s="100"/>
      <c r="W2350" s="100"/>
      <c r="X2350" s="100"/>
      <c r="Y2350" s="100"/>
      <c r="Z2350" s="100"/>
    </row>
    <row r="2351" spans="1:26">
      <c r="A2351" s="100" t="e">
        <f ca="1">IFERROR(__xludf.DUMMYFUNCTION("""COMPUTED_VALUE"""),58785686)</f>
        <v>#NAME?</v>
      </c>
      <c r="B2351" s="100" t="e">
        <f ca="1">IFERROR(__xludf.DUMMYFUNCTION("""COMPUTED_VALUE"""),"BEAMXUSDT")</f>
        <v>#NAME?</v>
      </c>
      <c r="C2351" s="100" t="e">
        <f ca="1">IFERROR(__xludf.DUMMYFUNCTION("""COMPUTED_VALUE"""),"0.00632000")</f>
        <v>#NAME?</v>
      </c>
      <c r="D2351" s="100" t="e">
        <f t="shared" ca="1" si="397"/>
        <v>#NAME?</v>
      </c>
      <c r="E2351" s="100" t="e">
        <f t="shared" ca="1" si="397"/>
        <v>#NAME?</v>
      </c>
      <c r="F2351" s="100" t="e">
        <f t="shared" ca="1" si="391"/>
        <v>#NAME?</v>
      </c>
      <c r="G2351" s="100" t="e">
        <f t="shared" ca="1" si="392"/>
        <v>#NAME?</v>
      </c>
      <c r="H2351" s="100" t="e">
        <f t="shared" ca="1" si="393"/>
        <v>#NAME?</v>
      </c>
      <c r="I2351" s="100" t="e">
        <f t="shared" ca="1" si="394"/>
        <v>#NAME?</v>
      </c>
      <c r="J2351" s="100" t="e">
        <f ca="1">IFERROR(__xludf.DUMMYFUNCTION("""COMPUTED_VALUE"""),"-4.097")</f>
        <v>#NAME?</v>
      </c>
      <c r="K2351" s="100" t="e">
        <f t="shared" ca="1" si="395"/>
        <v>#NAME?</v>
      </c>
      <c r="L2351" s="100"/>
      <c r="M2351" s="100"/>
      <c r="N2351" s="100"/>
      <c r="O2351" s="100"/>
      <c r="P2351" s="100"/>
      <c r="Q2351" s="100"/>
      <c r="R2351" s="100"/>
      <c r="S2351" s="100"/>
      <c r="T2351" s="100"/>
      <c r="U2351" s="100"/>
      <c r="V2351" s="100"/>
      <c r="W2351" s="100"/>
      <c r="X2351" s="100"/>
      <c r="Y2351" s="100"/>
      <c r="Z2351" s="100"/>
    </row>
    <row r="2352" spans="1:26">
      <c r="A2352" s="100" t="e">
        <f ca="1">IFERROR(__xludf.DUMMYFUNCTION("""COMPUTED_VALUE"""),58785687)</f>
        <v>#NAME?</v>
      </c>
      <c r="B2352" s="100" t="e">
        <f ca="1">IFERROR(__xludf.DUMMYFUNCTION("""COMPUTED_VALUE"""),"ARKTRY")</f>
        <v>#NAME?</v>
      </c>
      <c r="C2352" s="100" t="e">
        <f ca="1">IFERROR(__xludf.DUMMYFUNCTION("""COMPUTED_VALUE"""),"17.52000000")</f>
        <v>#NAME?</v>
      </c>
      <c r="D2352" s="100" t="e">
        <f t="shared" ca="1" si="397"/>
        <v>#NAME?</v>
      </c>
      <c r="E2352" s="100" t="e">
        <f t="shared" ca="1" si="397"/>
        <v>#NAME?</v>
      </c>
      <c r="F2352" s="100" t="e">
        <f t="shared" ca="1" si="391"/>
        <v>#NAME?</v>
      </c>
      <c r="G2352" s="100" t="e">
        <f t="shared" ca="1" si="392"/>
        <v>#NAME?</v>
      </c>
      <c r="H2352" s="100" t="e">
        <f t="shared" ca="1" si="393"/>
        <v>#NAME?</v>
      </c>
      <c r="I2352" s="100" t="e">
        <f t="shared" ca="1" si="394"/>
        <v>#NAME?</v>
      </c>
      <c r="J2352" s="100" t="e">
        <f ca="1">IFERROR(__xludf.DUMMYFUNCTION("""COMPUTED_VALUE"""),"-5.246")</f>
        <v>#NAME?</v>
      </c>
      <c r="K2352" s="100" t="e">
        <f t="shared" ca="1" si="395"/>
        <v>#NAME?</v>
      </c>
      <c r="L2352" s="100"/>
      <c r="M2352" s="100"/>
      <c r="N2352" s="100"/>
      <c r="O2352" s="100"/>
      <c r="P2352" s="100"/>
      <c r="Q2352" s="100"/>
      <c r="R2352" s="100"/>
      <c r="S2352" s="100"/>
      <c r="T2352" s="100"/>
      <c r="U2352" s="100"/>
      <c r="V2352" s="100"/>
      <c r="W2352" s="100"/>
      <c r="X2352" s="100"/>
      <c r="Y2352" s="100"/>
      <c r="Z2352" s="100"/>
    </row>
    <row r="2353" spans="1:26">
      <c r="A2353" s="100" t="e">
        <f ca="1">IFERROR(__xludf.DUMMYFUNCTION("""COMPUTED_VALUE"""),58785688)</f>
        <v>#NAME?</v>
      </c>
      <c r="B2353" s="100" t="e">
        <f ca="1">IFERROR(__xludf.DUMMYFUNCTION("""COMPUTED_VALUE"""),"BEAMXTRY")</f>
        <v>#NAME?</v>
      </c>
      <c r="C2353" s="100" t="e">
        <f ca="1">IFERROR(__xludf.DUMMYFUNCTION("""COMPUTED_VALUE"""),"0.24090000")</f>
        <v>#NAME?</v>
      </c>
      <c r="D2353" s="100" t="e">
        <f t="shared" ca="1" si="397"/>
        <v>#NAME?</v>
      </c>
      <c r="E2353" s="100" t="e">
        <f t="shared" ca="1" si="397"/>
        <v>#NAME?</v>
      </c>
      <c r="F2353" s="100" t="e">
        <f t="shared" ca="1" si="391"/>
        <v>#NAME?</v>
      </c>
      <c r="G2353" s="100" t="e">
        <f t="shared" ca="1" si="392"/>
        <v>#NAME?</v>
      </c>
      <c r="H2353" s="100" t="e">
        <f t="shared" ca="1" si="393"/>
        <v>#NAME?</v>
      </c>
      <c r="I2353" s="100" t="e">
        <f t="shared" ca="1" si="394"/>
        <v>#NAME?</v>
      </c>
      <c r="J2353" s="100" t="e">
        <f ca="1">IFERROR(__xludf.DUMMYFUNCTION("""COMPUTED_VALUE"""),"-4.367")</f>
        <v>#NAME?</v>
      </c>
      <c r="K2353" s="100" t="e">
        <f t="shared" ca="1" si="395"/>
        <v>#NAME?</v>
      </c>
      <c r="L2353" s="100"/>
      <c r="M2353" s="100"/>
      <c r="N2353" s="100"/>
      <c r="O2353" s="100"/>
      <c r="P2353" s="100"/>
      <c r="Q2353" s="100"/>
      <c r="R2353" s="100"/>
      <c r="S2353" s="100"/>
      <c r="T2353" s="100"/>
      <c r="U2353" s="100"/>
      <c r="V2353" s="100"/>
      <c r="W2353" s="100"/>
      <c r="X2353" s="100"/>
      <c r="Y2353" s="100"/>
      <c r="Z2353" s="100"/>
    </row>
    <row r="2354" spans="1:26">
      <c r="A2354" s="100" t="e">
        <f ca="1">IFERROR(__xludf.DUMMYFUNCTION("""COMPUTED_VALUE"""),58785689)</f>
        <v>#NAME?</v>
      </c>
      <c r="B2354" s="100" t="e">
        <f ca="1">IFERROR(__xludf.DUMMYFUNCTION("""COMPUTED_VALUE"""),"CAKETRY")</f>
        <v>#NAME?</v>
      </c>
      <c r="C2354" s="100" t="e">
        <f ca="1">IFERROR(__xludf.DUMMYFUNCTION("""COMPUTED_VALUE"""),"74.09000000")</f>
        <v>#NAME?</v>
      </c>
      <c r="D2354" s="100" t="e">
        <f t="shared" ca="1" si="397"/>
        <v>#NAME?</v>
      </c>
      <c r="E2354" s="100" t="e">
        <f t="shared" ca="1" si="397"/>
        <v>#NAME?</v>
      </c>
      <c r="F2354" s="100" t="e">
        <f t="shared" ca="1" si="391"/>
        <v>#NAME?</v>
      </c>
      <c r="G2354" s="100" t="e">
        <f t="shared" ca="1" si="392"/>
        <v>#NAME?</v>
      </c>
      <c r="H2354" s="100" t="e">
        <f t="shared" ca="1" si="393"/>
        <v>#NAME?</v>
      </c>
      <c r="I2354" s="100" t="e">
        <f t="shared" ca="1" si="394"/>
        <v>#NAME?</v>
      </c>
      <c r="J2354" s="100" t="e">
        <f ca="1">IFERROR(__xludf.DUMMYFUNCTION("""COMPUTED_VALUE"""),"-2.667")</f>
        <v>#NAME?</v>
      </c>
      <c r="K2354" s="100" t="e">
        <f t="shared" ca="1" si="395"/>
        <v>#NAME?</v>
      </c>
      <c r="L2354" s="100"/>
      <c r="M2354" s="100"/>
      <c r="N2354" s="100"/>
      <c r="O2354" s="100"/>
      <c r="P2354" s="100"/>
      <c r="Q2354" s="100"/>
      <c r="R2354" s="100"/>
      <c r="S2354" s="100"/>
      <c r="T2354" s="100"/>
      <c r="U2354" s="100"/>
      <c r="V2354" s="100"/>
      <c r="W2354" s="100"/>
      <c r="X2354" s="100"/>
      <c r="Y2354" s="100"/>
      <c r="Z2354" s="100"/>
    </row>
    <row r="2355" spans="1:26">
      <c r="A2355" s="100" t="e">
        <f ca="1">IFERROR(__xludf.DUMMYFUNCTION("""COMPUTED_VALUE"""),58785690)</f>
        <v>#NAME?</v>
      </c>
      <c r="B2355" s="100" t="e">
        <f ca="1">IFERROR(__xludf.DUMMYFUNCTION("""COMPUTED_VALUE"""),"CAKETUSD")</f>
        <v>#NAME?</v>
      </c>
      <c r="C2355" s="100" t="e">
        <f ca="1">IFERROR(__xludf.DUMMYFUNCTION("""COMPUTED_VALUE"""),"2.77400000")</f>
        <v>#NAME?</v>
      </c>
      <c r="D2355" s="100" t="e">
        <f t="shared" ca="1" si="397"/>
        <v>#NAME?</v>
      </c>
      <c r="E2355" s="100" t="e">
        <f t="shared" ca="1" si="397"/>
        <v>#NAME?</v>
      </c>
      <c r="F2355" s="100" t="e">
        <f t="shared" ca="1" si="391"/>
        <v>#NAME?</v>
      </c>
      <c r="G2355" s="100" t="e">
        <f t="shared" ca="1" si="392"/>
        <v>#NAME?</v>
      </c>
      <c r="H2355" s="100" t="e">
        <f t="shared" ca="1" si="393"/>
        <v>#NAME?</v>
      </c>
      <c r="I2355" s="100" t="e">
        <f t="shared" ca="1" si="394"/>
        <v>#NAME?</v>
      </c>
      <c r="J2355" s="100" t="e">
        <f ca="1">IFERROR(__xludf.DUMMYFUNCTION("""COMPUTED_VALUE"""),"0")</f>
        <v>#NAME?</v>
      </c>
      <c r="K2355" s="100" t="e">
        <f t="shared" ca="1" si="395"/>
        <v>#NAME?</v>
      </c>
      <c r="L2355" s="100"/>
      <c r="M2355" s="100"/>
      <c r="N2355" s="100"/>
      <c r="O2355" s="100"/>
      <c r="P2355" s="100"/>
      <c r="Q2355" s="100"/>
      <c r="R2355" s="100"/>
      <c r="S2355" s="100"/>
      <c r="T2355" s="100"/>
      <c r="U2355" s="100"/>
      <c r="V2355" s="100"/>
      <c r="W2355" s="100"/>
      <c r="X2355" s="100"/>
      <c r="Y2355" s="100"/>
      <c r="Z2355" s="100"/>
    </row>
    <row r="2356" spans="1:26">
      <c r="A2356" s="100" t="e">
        <f ca="1">IFERROR(__xludf.DUMMYFUNCTION("""COMPUTED_VALUE"""),58785691)</f>
        <v>#NAME?</v>
      </c>
      <c r="B2356" s="100" t="e">
        <f ca="1">IFERROR(__xludf.DUMMYFUNCTION("""COMPUTED_VALUE"""),"DYDXFDUSD")</f>
        <v>#NAME?</v>
      </c>
      <c r="C2356" s="100" t="e">
        <f ca="1">IFERROR(__xludf.DUMMYFUNCTION("""COMPUTED_VALUE"""),"0.58470000")</f>
        <v>#NAME?</v>
      </c>
      <c r="D2356" s="100" t="e">
        <f t="shared" ca="1" si="397"/>
        <v>#NAME?</v>
      </c>
      <c r="E2356" s="100" t="e">
        <f t="shared" ca="1" si="397"/>
        <v>#NAME?</v>
      </c>
      <c r="F2356" s="100" t="e">
        <f t="shared" ca="1" si="391"/>
        <v>#NAME?</v>
      </c>
      <c r="G2356" s="100" t="e">
        <f t="shared" ca="1" si="392"/>
        <v>#NAME?</v>
      </c>
      <c r="H2356" s="100" t="e">
        <f t="shared" ca="1" si="393"/>
        <v>#NAME?</v>
      </c>
      <c r="I2356" s="100" t="e">
        <f t="shared" ca="1" si="394"/>
        <v>#NAME?</v>
      </c>
      <c r="J2356" s="100" t="e">
        <f ca="1">IFERROR(__xludf.DUMMYFUNCTION("""COMPUTED_VALUE"""),"-3.243")</f>
        <v>#NAME?</v>
      </c>
      <c r="K2356" s="100" t="e">
        <f t="shared" ca="1" si="395"/>
        <v>#NAME?</v>
      </c>
      <c r="L2356" s="100"/>
      <c r="M2356" s="100"/>
      <c r="N2356" s="100"/>
      <c r="O2356" s="100"/>
      <c r="P2356" s="100"/>
      <c r="Q2356" s="100"/>
      <c r="R2356" s="100"/>
      <c r="S2356" s="100"/>
      <c r="T2356" s="100"/>
      <c r="U2356" s="100"/>
      <c r="V2356" s="100"/>
      <c r="W2356" s="100"/>
      <c r="X2356" s="100"/>
      <c r="Y2356" s="100"/>
      <c r="Z2356" s="100"/>
    </row>
    <row r="2357" spans="1:26">
      <c r="A2357" s="100" t="e">
        <f ca="1">IFERROR(__xludf.DUMMYFUNCTION("""COMPUTED_VALUE"""),58785692)</f>
        <v>#NAME?</v>
      </c>
      <c r="B2357" s="100" t="e">
        <f ca="1">IFERROR(__xludf.DUMMYFUNCTION("""COMPUTED_VALUE"""),"PIVXUSDT")</f>
        <v>#NAME?</v>
      </c>
      <c r="C2357" s="100" t="e">
        <f ca="1">IFERROR(__xludf.DUMMYFUNCTION("""COMPUTED_VALUE"""),"0.13180000")</f>
        <v>#NAME?</v>
      </c>
      <c r="D2357" s="100" t="e">
        <f t="shared" ca="1" si="397"/>
        <v>#NAME?</v>
      </c>
      <c r="E2357" s="100" t="e">
        <f t="shared" ca="1" si="397"/>
        <v>#NAME?</v>
      </c>
      <c r="F2357" s="100" t="e">
        <f t="shared" ca="1" si="391"/>
        <v>#NAME?</v>
      </c>
      <c r="G2357" s="100" t="e">
        <f t="shared" ca="1" si="392"/>
        <v>#NAME?</v>
      </c>
      <c r="H2357" s="100" t="e">
        <f t="shared" ca="1" si="393"/>
        <v>#NAME?</v>
      </c>
      <c r="I2357" s="100" t="e">
        <f t="shared" ca="1" si="394"/>
        <v>#NAME?</v>
      </c>
      <c r="J2357" s="100" t="e">
        <f ca="1">IFERROR(__xludf.DUMMYFUNCTION("""COMPUTED_VALUE"""),"-0.678")</f>
        <v>#NAME?</v>
      </c>
      <c r="K2357" s="100" t="e">
        <f t="shared" ca="1" si="395"/>
        <v>#NAME?</v>
      </c>
      <c r="L2357" s="100"/>
      <c r="M2357" s="100"/>
      <c r="N2357" s="100"/>
      <c r="O2357" s="100"/>
      <c r="P2357" s="100"/>
      <c r="Q2357" s="100"/>
      <c r="R2357" s="100"/>
      <c r="S2357" s="100"/>
      <c r="T2357" s="100"/>
      <c r="U2357" s="100"/>
      <c r="V2357" s="100"/>
      <c r="W2357" s="100"/>
      <c r="X2357" s="100"/>
      <c r="Y2357" s="100"/>
      <c r="Z2357" s="100"/>
    </row>
    <row r="2358" spans="1:26">
      <c r="A2358" s="100" t="e">
        <f ca="1">IFERROR(__xludf.DUMMYFUNCTION("""COMPUTED_VALUE"""),58785693)</f>
        <v>#NAME?</v>
      </c>
      <c r="B2358" s="100" t="e">
        <f ca="1">IFERROR(__xludf.DUMMYFUNCTION("""COMPUTED_VALUE"""),"RUNEFDUSD")</f>
        <v>#NAME?</v>
      </c>
      <c r="C2358" s="100" t="e">
        <f ca="1">IFERROR(__xludf.DUMMYFUNCTION("""COMPUTED_VALUE"""),"1.25100000")</f>
        <v>#NAME?</v>
      </c>
      <c r="D2358" s="100" t="e">
        <f t="shared" ca="1" si="397"/>
        <v>#NAME?</v>
      </c>
      <c r="E2358" s="100" t="e">
        <f t="shared" ca="1" si="397"/>
        <v>#NAME?</v>
      </c>
      <c r="F2358" s="100" t="e">
        <f t="shared" ca="1" si="391"/>
        <v>#NAME?</v>
      </c>
      <c r="G2358" s="100" t="e">
        <f t="shared" ca="1" si="392"/>
        <v>#NAME?</v>
      </c>
      <c r="H2358" s="100" t="e">
        <f t="shared" ca="1" si="393"/>
        <v>#NAME?</v>
      </c>
      <c r="I2358" s="100" t="e">
        <f t="shared" ca="1" si="394"/>
        <v>#NAME?</v>
      </c>
      <c r="J2358" s="100" t="e">
        <f ca="1">IFERROR(__xludf.DUMMYFUNCTION("""COMPUTED_VALUE"""),"0.482")</f>
        <v>#NAME?</v>
      </c>
      <c r="K2358" s="100" t="e">
        <f t="shared" ca="1" si="395"/>
        <v>#NAME?</v>
      </c>
      <c r="L2358" s="100"/>
      <c r="M2358" s="100"/>
      <c r="N2358" s="100"/>
      <c r="O2358" s="100"/>
      <c r="P2358" s="100"/>
      <c r="Q2358" s="100"/>
      <c r="R2358" s="100"/>
      <c r="S2358" s="100"/>
      <c r="T2358" s="100"/>
      <c r="U2358" s="100"/>
      <c r="V2358" s="100"/>
      <c r="W2358" s="100"/>
      <c r="X2358" s="100"/>
      <c r="Y2358" s="100"/>
      <c r="Z2358" s="100"/>
    </row>
    <row r="2359" spans="1:26">
      <c r="A2359" s="100" t="e">
        <f ca="1">IFERROR(__xludf.DUMMYFUNCTION("""COMPUTED_VALUE"""),58785694)</f>
        <v>#NAME?</v>
      </c>
      <c r="B2359" s="100" t="e">
        <f ca="1">IFERROR(__xludf.DUMMYFUNCTION("""COMPUTED_VALUE"""),"TIATUSD")</f>
        <v>#NAME?</v>
      </c>
      <c r="C2359" s="100" t="e">
        <f ca="1">IFERROR(__xludf.DUMMYFUNCTION("""COMPUTED_VALUE"""),"6.40000000")</f>
        <v>#NAME?</v>
      </c>
      <c r="D2359" s="100" t="e">
        <f t="shared" ca="1" si="397"/>
        <v>#NAME?</v>
      </c>
      <c r="E2359" s="100" t="e">
        <f t="shared" ca="1" si="397"/>
        <v>#NAME?</v>
      </c>
      <c r="F2359" s="100" t="e">
        <f t="shared" ca="1" si="391"/>
        <v>#NAME?</v>
      </c>
      <c r="G2359" s="100" t="e">
        <f t="shared" ca="1" si="392"/>
        <v>#NAME?</v>
      </c>
      <c r="H2359" s="100" t="e">
        <f t="shared" ca="1" si="393"/>
        <v>#NAME?</v>
      </c>
      <c r="I2359" s="100" t="e">
        <f t="shared" ca="1" si="394"/>
        <v>#NAME?</v>
      </c>
      <c r="J2359" s="100" t="e">
        <f ca="1">IFERROR(__xludf.DUMMYFUNCTION("""COMPUTED_VALUE"""),"0")</f>
        <v>#NAME?</v>
      </c>
      <c r="K2359" s="100" t="e">
        <f t="shared" ca="1" si="395"/>
        <v>#NAME?</v>
      </c>
      <c r="L2359" s="100"/>
      <c r="M2359" s="100"/>
      <c r="N2359" s="100"/>
      <c r="O2359" s="100"/>
      <c r="P2359" s="100"/>
      <c r="Q2359" s="100"/>
      <c r="R2359" s="100"/>
      <c r="S2359" s="100"/>
      <c r="T2359" s="100"/>
      <c r="U2359" s="100"/>
      <c r="V2359" s="100"/>
      <c r="W2359" s="100"/>
      <c r="X2359" s="100"/>
      <c r="Y2359" s="100"/>
      <c r="Z2359" s="100"/>
    </row>
    <row r="2360" spans="1:26">
      <c r="A2360" s="100" t="e">
        <f ca="1">IFERROR(__xludf.DUMMYFUNCTION("""COMPUTED_VALUE"""),58785695)</f>
        <v>#NAME?</v>
      </c>
      <c r="B2360" s="100" t="e">
        <f ca="1">IFERROR(__xludf.DUMMYFUNCTION("""COMPUTED_VALUE"""),"DOTTUSD")</f>
        <v>#NAME?</v>
      </c>
      <c r="C2360" s="100" t="e">
        <f ca="1">IFERROR(__xludf.DUMMYFUNCTION("""COMPUTED_VALUE"""),"7.09800000")</f>
        <v>#NAME?</v>
      </c>
      <c r="D2360" s="100" t="e">
        <f t="shared" ca="1" si="397"/>
        <v>#NAME?</v>
      </c>
      <c r="E2360" s="100" t="e">
        <f t="shared" ca="1" si="397"/>
        <v>#NAME?</v>
      </c>
      <c r="F2360" s="100" t="e">
        <f t="shared" ca="1" si="391"/>
        <v>#NAME?</v>
      </c>
      <c r="G2360" s="100" t="e">
        <f t="shared" ca="1" si="392"/>
        <v>#NAME?</v>
      </c>
      <c r="H2360" s="100" t="e">
        <f t="shared" ca="1" si="393"/>
        <v>#NAME?</v>
      </c>
      <c r="I2360" s="100" t="e">
        <f t="shared" ca="1" si="394"/>
        <v>#NAME?</v>
      </c>
      <c r="J2360" s="100" t="e">
        <f ca="1">IFERROR(__xludf.DUMMYFUNCTION("""COMPUTED_VALUE"""),"0")</f>
        <v>#NAME?</v>
      </c>
      <c r="K2360" s="100" t="e">
        <f t="shared" ca="1" si="395"/>
        <v>#NAME?</v>
      </c>
      <c r="L2360" s="100"/>
      <c r="M2360" s="100"/>
      <c r="N2360" s="100"/>
      <c r="O2360" s="100"/>
      <c r="P2360" s="100"/>
      <c r="Q2360" s="100"/>
      <c r="R2360" s="100"/>
      <c r="S2360" s="100"/>
      <c r="T2360" s="100"/>
      <c r="U2360" s="100"/>
      <c r="V2360" s="100"/>
      <c r="W2360" s="100"/>
      <c r="X2360" s="100"/>
      <c r="Y2360" s="100"/>
      <c r="Z2360" s="100"/>
    </row>
    <row r="2361" spans="1:26">
      <c r="A2361" s="100" t="e">
        <f ca="1">IFERROR(__xludf.DUMMYFUNCTION("""COMPUTED_VALUE"""),58785696)</f>
        <v>#NAME?</v>
      </c>
      <c r="B2361" s="100" t="e">
        <f ca="1">IFERROR(__xludf.DUMMYFUNCTION("""COMPUTED_VALUE"""),"GALAFDUSD")</f>
        <v>#NAME?</v>
      </c>
      <c r="C2361" s="100" t="e">
        <f ca="1">IFERROR(__xludf.DUMMYFUNCTION("""COMPUTED_VALUE"""),"0.01591000")</f>
        <v>#NAME?</v>
      </c>
      <c r="D2361" s="100" t="e">
        <f t="shared" ca="1" si="397"/>
        <v>#NAME?</v>
      </c>
      <c r="E2361" s="100" t="e">
        <f t="shared" ca="1" si="397"/>
        <v>#NAME?</v>
      </c>
      <c r="F2361" s="100" t="e">
        <f t="shared" ca="1" si="391"/>
        <v>#NAME?</v>
      </c>
      <c r="G2361" s="100" t="e">
        <f t="shared" ca="1" si="392"/>
        <v>#NAME?</v>
      </c>
      <c r="H2361" s="100" t="e">
        <f t="shared" ca="1" si="393"/>
        <v>#NAME?</v>
      </c>
      <c r="I2361" s="100" t="e">
        <f t="shared" ca="1" si="394"/>
        <v>#NAME?</v>
      </c>
      <c r="J2361" s="100" t="e">
        <f ca="1">IFERROR(__xludf.DUMMYFUNCTION("""COMPUTED_VALUE"""),"-2.213")</f>
        <v>#NAME?</v>
      </c>
      <c r="K2361" s="100" t="e">
        <f t="shared" ca="1" si="395"/>
        <v>#NAME?</v>
      </c>
      <c r="L2361" s="100"/>
      <c r="M2361" s="100"/>
      <c r="N2361" s="100"/>
      <c r="O2361" s="100"/>
      <c r="P2361" s="100"/>
      <c r="Q2361" s="100"/>
      <c r="R2361" s="100"/>
      <c r="S2361" s="100"/>
      <c r="T2361" s="100"/>
      <c r="U2361" s="100"/>
      <c r="V2361" s="100"/>
      <c r="W2361" s="100"/>
      <c r="X2361" s="100"/>
      <c r="Y2361" s="100"/>
      <c r="Z2361" s="100"/>
    </row>
    <row r="2362" spans="1:26">
      <c r="A2362" s="100" t="e">
        <f ca="1">IFERROR(__xludf.DUMMYFUNCTION("""COMPUTED_VALUE"""),58785697)</f>
        <v>#NAME?</v>
      </c>
      <c r="B2362" s="100" t="e">
        <f ca="1">IFERROR(__xludf.DUMMYFUNCTION("""COMPUTED_VALUE"""),"WLDFDUSD")</f>
        <v>#NAME?</v>
      </c>
      <c r="C2362" s="100" t="e">
        <f ca="1">IFERROR(__xludf.DUMMYFUNCTION("""COMPUTED_VALUE"""),"0.78000000")</f>
        <v>#NAME?</v>
      </c>
      <c r="D2362" s="100" t="e">
        <f t="shared" ref="D2362:E2381" ca="1" si="398">IFERROR(__xludf.DUMMYFUNCTION("""COMPUTED_VALUE"""),"-")</f>
        <v>#NAME?</v>
      </c>
      <c r="E2362" s="100" t="e">
        <f t="shared" ca="1" si="398"/>
        <v>#NAME?</v>
      </c>
      <c r="F2362" s="100" t="e">
        <f t="shared" ca="1" si="391"/>
        <v>#NAME?</v>
      </c>
      <c r="G2362" s="100" t="e">
        <f t="shared" ca="1" si="392"/>
        <v>#NAME?</v>
      </c>
      <c r="H2362" s="100" t="e">
        <f t="shared" ca="1" si="393"/>
        <v>#NAME?</v>
      </c>
      <c r="I2362" s="100" t="e">
        <f t="shared" ca="1" si="394"/>
        <v>#NAME?</v>
      </c>
      <c r="J2362" s="100" t="e">
        <f ca="1">IFERROR(__xludf.DUMMYFUNCTION("""COMPUTED_VALUE"""),"-1.391")</f>
        <v>#NAME?</v>
      </c>
      <c r="K2362" s="100" t="e">
        <f t="shared" ca="1" si="395"/>
        <v>#NAME?</v>
      </c>
      <c r="L2362" s="100"/>
      <c r="M2362" s="100"/>
      <c r="N2362" s="100"/>
      <c r="O2362" s="100"/>
      <c r="P2362" s="100"/>
      <c r="Q2362" s="100"/>
      <c r="R2362" s="100"/>
      <c r="S2362" s="100"/>
      <c r="T2362" s="100"/>
      <c r="U2362" s="100"/>
      <c r="V2362" s="100"/>
      <c r="W2362" s="100"/>
      <c r="X2362" s="100"/>
      <c r="Y2362" s="100"/>
      <c r="Z2362" s="100"/>
    </row>
    <row r="2363" spans="1:26">
      <c r="A2363" s="100" t="e">
        <f ca="1">IFERROR(__xludf.DUMMYFUNCTION("""COMPUTED_VALUE"""),58785698)</f>
        <v>#NAME?</v>
      </c>
      <c r="B2363" s="100" t="e">
        <f ca="1">IFERROR(__xludf.DUMMYFUNCTION("""COMPUTED_VALUE"""),"GASTRY")</f>
        <v>#NAME?</v>
      </c>
      <c r="C2363" s="100" t="e">
        <f ca="1">IFERROR(__xludf.DUMMYFUNCTION("""COMPUTED_VALUE"""),"124.50000000")</f>
        <v>#NAME?</v>
      </c>
      <c r="D2363" s="100" t="e">
        <f t="shared" ca="1" si="398"/>
        <v>#NAME?</v>
      </c>
      <c r="E2363" s="100" t="e">
        <f t="shared" ca="1" si="398"/>
        <v>#NAME?</v>
      </c>
      <c r="F2363" s="100" t="e">
        <f t="shared" ca="1" si="391"/>
        <v>#NAME?</v>
      </c>
      <c r="G2363" s="100" t="e">
        <f t="shared" ca="1" si="392"/>
        <v>#NAME?</v>
      </c>
      <c r="H2363" s="100" t="e">
        <f t="shared" ca="1" si="393"/>
        <v>#NAME?</v>
      </c>
      <c r="I2363" s="100" t="e">
        <f t="shared" ca="1" si="394"/>
        <v>#NAME?</v>
      </c>
      <c r="J2363" s="100" t="e">
        <f ca="1">IFERROR(__xludf.DUMMYFUNCTION("""COMPUTED_VALUE"""),"-8.186")</f>
        <v>#NAME?</v>
      </c>
      <c r="K2363" s="100" t="e">
        <f t="shared" ca="1" si="395"/>
        <v>#NAME?</v>
      </c>
      <c r="L2363" s="100"/>
      <c r="M2363" s="100"/>
      <c r="N2363" s="100"/>
      <c r="O2363" s="100"/>
      <c r="P2363" s="100"/>
      <c r="Q2363" s="100"/>
      <c r="R2363" s="100"/>
      <c r="S2363" s="100"/>
      <c r="T2363" s="100"/>
      <c r="U2363" s="100"/>
      <c r="V2363" s="100"/>
      <c r="W2363" s="100"/>
      <c r="X2363" s="100"/>
      <c r="Y2363" s="100"/>
      <c r="Z2363" s="100"/>
    </row>
    <row r="2364" spans="1:26">
      <c r="A2364" s="100" t="e">
        <f ca="1">IFERROR(__xludf.DUMMYFUNCTION("""COMPUTED_VALUE"""),58785699)</f>
        <v>#NAME?</v>
      </c>
      <c r="B2364" s="100" t="e">
        <f ca="1">IFERROR(__xludf.DUMMYFUNCTION("""COMPUTED_VALUE"""),"NTRNTRY")</f>
        <v>#NAME?</v>
      </c>
      <c r="C2364" s="100" t="e">
        <f ca="1">IFERROR(__xludf.DUMMYFUNCTION("""COMPUTED_VALUE"""),"4.91000000")</f>
        <v>#NAME?</v>
      </c>
      <c r="D2364" s="100" t="e">
        <f t="shared" ca="1" si="398"/>
        <v>#NAME?</v>
      </c>
      <c r="E2364" s="100" t="e">
        <f t="shared" ca="1" si="398"/>
        <v>#NAME?</v>
      </c>
      <c r="F2364" s="100" t="e">
        <f t="shared" ca="1" si="391"/>
        <v>#NAME?</v>
      </c>
      <c r="G2364" s="100" t="e">
        <f t="shared" ca="1" si="392"/>
        <v>#NAME?</v>
      </c>
      <c r="H2364" s="100" t="e">
        <f t="shared" ca="1" si="393"/>
        <v>#NAME?</v>
      </c>
      <c r="I2364" s="100" t="e">
        <f t="shared" ca="1" si="394"/>
        <v>#NAME?</v>
      </c>
      <c r="J2364" s="100" t="e">
        <f ca="1">IFERROR(__xludf.DUMMYFUNCTION("""COMPUTED_VALUE"""),"-3.725")</f>
        <v>#NAME?</v>
      </c>
      <c r="K2364" s="100" t="e">
        <f t="shared" ca="1" si="395"/>
        <v>#NAME?</v>
      </c>
      <c r="L2364" s="100"/>
      <c r="M2364" s="100"/>
      <c r="N2364" s="100"/>
      <c r="O2364" s="100"/>
      <c r="P2364" s="100"/>
      <c r="Q2364" s="100"/>
      <c r="R2364" s="100"/>
      <c r="S2364" s="100"/>
      <c r="T2364" s="100"/>
      <c r="U2364" s="100"/>
      <c r="V2364" s="100"/>
      <c r="W2364" s="100"/>
      <c r="X2364" s="100"/>
      <c r="Y2364" s="100"/>
      <c r="Z2364" s="100"/>
    </row>
    <row r="2365" spans="1:26">
      <c r="A2365" s="100" t="e">
        <f ca="1">IFERROR(__xludf.DUMMYFUNCTION("""COMPUTED_VALUE"""),58785700)</f>
        <v>#NAME?</v>
      </c>
      <c r="B2365" s="100" t="e">
        <f ca="1">IFERROR(__xludf.DUMMYFUNCTION("""COMPUTED_VALUE"""),"VICBTC")</f>
        <v>#NAME?</v>
      </c>
      <c r="C2365" s="100" t="e">
        <f ca="1">IFERROR(__xludf.DUMMYFUNCTION("""COMPUTED_VALUE"""),"0.00000276")</f>
        <v>#NAME?</v>
      </c>
      <c r="D2365" s="100" t="e">
        <f t="shared" ca="1" si="398"/>
        <v>#NAME?</v>
      </c>
      <c r="E2365" s="100" t="e">
        <f t="shared" ca="1" si="398"/>
        <v>#NAME?</v>
      </c>
      <c r="F2365" s="100" t="e">
        <f t="shared" ca="1" si="391"/>
        <v>#NAME?</v>
      </c>
      <c r="G2365" s="100" t="e">
        <f t="shared" ca="1" si="392"/>
        <v>#NAME?</v>
      </c>
      <c r="H2365" s="100" t="e">
        <f t="shared" ca="1" si="393"/>
        <v>#NAME?</v>
      </c>
      <c r="I2365" s="100" t="e">
        <f t="shared" ca="1" si="394"/>
        <v>#NAME?</v>
      </c>
      <c r="J2365" s="100" t="e">
        <f ca="1">IFERROR(__xludf.DUMMYFUNCTION("""COMPUTED_VALUE"""),"0")</f>
        <v>#NAME?</v>
      </c>
      <c r="K2365" s="100" t="e">
        <f t="shared" ca="1" si="395"/>
        <v>#NAME?</v>
      </c>
      <c r="L2365" s="100"/>
      <c r="M2365" s="100"/>
      <c r="N2365" s="100"/>
      <c r="O2365" s="100"/>
      <c r="P2365" s="100"/>
      <c r="Q2365" s="100"/>
      <c r="R2365" s="100"/>
      <c r="S2365" s="100"/>
      <c r="T2365" s="100"/>
      <c r="U2365" s="100"/>
      <c r="V2365" s="100"/>
      <c r="W2365" s="100"/>
      <c r="X2365" s="100"/>
      <c r="Y2365" s="100"/>
      <c r="Z2365" s="100"/>
    </row>
    <row r="2366" spans="1:26">
      <c r="A2366" s="100" t="e">
        <f ca="1">IFERROR(__xludf.DUMMYFUNCTION("""COMPUTED_VALUE"""),58785701)</f>
        <v>#NAME?</v>
      </c>
      <c r="B2366" s="100" t="e">
        <f ca="1">IFERROR(__xludf.DUMMYFUNCTION("""COMPUTED_VALUE"""),"VICUSDT")</f>
        <v>#NAME?</v>
      </c>
      <c r="C2366" s="100" t="e">
        <f ca="1">IFERROR(__xludf.DUMMYFUNCTION("""COMPUTED_VALUE"""),"0.20400000")</f>
        <v>#NAME?</v>
      </c>
      <c r="D2366" s="100" t="e">
        <f t="shared" ca="1" si="398"/>
        <v>#NAME?</v>
      </c>
      <c r="E2366" s="100" t="e">
        <f t="shared" ca="1" si="398"/>
        <v>#NAME?</v>
      </c>
      <c r="F2366" s="100" t="e">
        <f t="shared" ca="1" si="391"/>
        <v>#NAME?</v>
      </c>
      <c r="G2366" s="100" t="e">
        <f t="shared" ca="1" si="392"/>
        <v>#NAME?</v>
      </c>
      <c r="H2366" s="100" t="e">
        <f t="shared" ca="1" si="393"/>
        <v>#NAME?</v>
      </c>
      <c r="I2366" s="100" t="e">
        <f t="shared" ca="1" si="394"/>
        <v>#NAME?</v>
      </c>
      <c r="J2366" s="100" t="e">
        <f ca="1">IFERROR(__xludf.DUMMYFUNCTION("""COMPUTED_VALUE"""),"-4.450")</f>
        <v>#NAME?</v>
      </c>
      <c r="K2366" s="100" t="e">
        <f t="shared" ca="1" si="395"/>
        <v>#NAME?</v>
      </c>
      <c r="L2366" s="100"/>
      <c r="M2366" s="100"/>
      <c r="N2366" s="100"/>
      <c r="O2366" s="100"/>
      <c r="P2366" s="100"/>
      <c r="Q2366" s="100"/>
      <c r="R2366" s="100"/>
      <c r="S2366" s="100"/>
      <c r="T2366" s="100"/>
      <c r="U2366" s="100"/>
      <c r="V2366" s="100"/>
      <c r="W2366" s="100"/>
      <c r="X2366" s="100"/>
      <c r="Y2366" s="100"/>
      <c r="Z2366" s="100"/>
    </row>
    <row r="2367" spans="1:26">
      <c r="A2367" s="100" t="e">
        <f ca="1">IFERROR(__xludf.DUMMYFUNCTION("""COMPUTED_VALUE"""),58785702)</f>
        <v>#NAME?</v>
      </c>
      <c r="B2367" s="100" t="e">
        <f ca="1">IFERROR(__xludf.DUMMYFUNCTION("""COMPUTED_VALUE"""),"VICTRY")</f>
        <v>#NAME?</v>
      </c>
      <c r="C2367" s="100" t="e">
        <f ca="1">IFERROR(__xludf.DUMMYFUNCTION("""COMPUTED_VALUE"""),"7.76000000")</f>
        <v>#NAME?</v>
      </c>
      <c r="D2367" s="100" t="e">
        <f t="shared" ca="1" si="398"/>
        <v>#NAME?</v>
      </c>
      <c r="E2367" s="100" t="e">
        <f t="shared" ca="1" si="398"/>
        <v>#NAME?</v>
      </c>
      <c r="F2367" s="100" t="e">
        <f t="shared" ca="1" si="391"/>
        <v>#NAME?</v>
      </c>
      <c r="G2367" s="100" t="e">
        <f t="shared" ca="1" si="392"/>
        <v>#NAME?</v>
      </c>
      <c r="H2367" s="100" t="e">
        <f t="shared" ca="1" si="393"/>
        <v>#NAME?</v>
      </c>
      <c r="I2367" s="100" t="e">
        <f t="shared" ca="1" si="394"/>
        <v>#NAME?</v>
      </c>
      <c r="J2367" s="100" t="e">
        <f ca="1">IFERROR(__xludf.DUMMYFUNCTION("""COMPUTED_VALUE"""),"-4.902")</f>
        <v>#NAME?</v>
      </c>
      <c r="K2367" s="100" t="e">
        <f t="shared" ca="1" si="395"/>
        <v>#NAME?</v>
      </c>
      <c r="L2367" s="100"/>
      <c r="M2367" s="100"/>
      <c r="N2367" s="100"/>
      <c r="O2367" s="100"/>
      <c r="P2367" s="100"/>
      <c r="Q2367" s="100"/>
      <c r="R2367" s="100"/>
      <c r="S2367" s="100"/>
      <c r="T2367" s="100"/>
      <c r="U2367" s="100"/>
      <c r="V2367" s="100"/>
      <c r="W2367" s="100"/>
      <c r="X2367" s="100"/>
      <c r="Y2367" s="100"/>
      <c r="Z2367" s="100"/>
    </row>
    <row r="2368" spans="1:26">
      <c r="A2368" s="100" t="e">
        <f ca="1">IFERROR(__xludf.DUMMYFUNCTION("""COMPUTED_VALUE"""),58785703)</f>
        <v>#NAME?</v>
      </c>
      <c r="B2368" s="100" t="e">
        <f ca="1">IFERROR(__xludf.DUMMYFUNCTION("""COMPUTED_VALUE"""),"BLURBTC")</f>
        <v>#NAME?</v>
      </c>
      <c r="C2368" s="100" t="e">
        <f ca="1">IFERROR(__xludf.DUMMYFUNCTION("""COMPUTED_VALUE"""),"0.00000117")</f>
        <v>#NAME?</v>
      </c>
      <c r="D2368" s="100" t="e">
        <f t="shared" ca="1" si="398"/>
        <v>#NAME?</v>
      </c>
      <c r="E2368" s="100" t="e">
        <f t="shared" ca="1" si="398"/>
        <v>#NAME?</v>
      </c>
      <c r="F2368" s="100" t="e">
        <f t="shared" ca="1" si="391"/>
        <v>#NAME?</v>
      </c>
      <c r="G2368" s="100" t="e">
        <f t="shared" ca="1" si="392"/>
        <v>#NAME?</v>
      </c>
      <c r="H2368" s="100" t="e">
        <f t="shared" ca="1" si="393"/>
        <v>#NAME?</v>
      </c>
      <c r="I2368" s="100" t="e">
        <f t="shared" ca="1" si="394"/>
        <v>#NAME?</v>
      </c>
      <c r="J2368" s="100" t="e">
        <f ca="1">IFERROR(__xludf.DUMMYFUNCTION("""COMPUTED_VALUE"""),"2.632")</f>
        <v>#NAME?</v>
      </c>
      <c r="K2368" s="100" t="e">
        <f t="shared" ca="1" si="395"/>
        <v>#NAME?</v>
      </c>
      <c r="L2368" s="100"/>
      <c r="M2368" s="100"/>
      <c r="N2368" s="100"/>
      <c r="O2368" s="100"/>
      <c r="P2368" s="100"/>
      <c r="Q2368" s="100"/>
      <c r="R2368" s="100"/>
      <c r="S2368" s="100"/>
      <c r="T2368" s="100"/>
      <c r="U2368" s="100"/>
      <c r="V2368" s="100"/>
      <c r="W2368" s="100"/>
      <c r="X2368" s="100"/>
      <c r="Y2368" s="100"/>
      <c r="Z2368" s="100"/>
    </row>
    <row r="2369" spans="1:26">
      <c r="A2369" s="100" t="e">
        <f ca="1">IFERROR(__xludf.DUMMYFUNCTION("""COMPUTED_VALUE"""),58785704)</f>
        <v>#NAME?</v>
      </c>
      <c r="B2369" s="100" t="e">
        <f ca="1">IFERROR(__xludf.DUMMYFUNCTION("""COMPUTED_VALUE"""),"BLURUSDT")</f>
        <v>#NAME?</v>
      </c>
      <c r="C2369" s="100" t="e">
        <f ca="1">IFERROR(__xludf.DUMMYFUNCTION("""COMPUTED_VALUE"""),"0.10450000")</f>
        <v>#NAME?</v>
      </c>
      <c r="D2369" s="100" t="e">
        <f t="shared" ca="1" si="398"/>
        <v>#NAME?</v>
      </c>
      <c r="E2369" s="100" t="e">
        <f t="shared" ca="1" si="398"/>
        <v>#NAME?</v>
      </c>
      <c r="F2369" s="100" t="e">
        <f t="shared" ca="1" si="391"/>
        <v>#NAME?</v>
      </c>
      <c r="G2369" s="100" t="e">
        <f t="shared" ca="1" si="392"/>
        <v>#NAME?</v>
      </c>
      <c r="H2369" s="100" t="e">
        <f t="shared" ca="1" si="393"/>
        <v>#NAME?</v>
      </c>
      <c r="I2369" s="100" t="e">
        <f t="shared" ca="1" si="394"/>
        <v>#NAME?</v>
      </c>
      <c r="J2369" s="100" t="e">
        <f ca="1">IFERROR(__xludf.DUMMYFUNCTION("""COMPUTED_VALUE"""),"-2.971")</f>
        <v>#NAME?</v>
      </c>
      <c r="K2369" s="100" t="e">
        <f t="shared" ca="1" si="395"/>
        <v>#NAME?</v>
      </c>
      <c r="L2369" s="100"/>
      <c r="M2369" s="100"/>
      <c r="N2369" s="100"/>
      <c r="O2369" s="100"/>
      <c r="P2369" s="100"/>
      <c r="Q2369" s="100"/>
      <c r="R2369" s="100"/>
      <c r="S2369" s="100"/>
      <c r="T2369" s="100"/>
      <c r="U2369" s="100"/>
      <c r="V2369" s="100"/>
      <c r="W2369" s="100"/>
      <c r="X2369" s="100"/>
      <c r="Y2369" s="100"/>
      <c r="Z2369" s="100"/>
    </row>
    <row r="2370" spans="1:26">
      <c r="A2370" s="100" t="e">
        <f ca="1">IFERROR(__xludf.DUMMYFUNCTION("""COMPUTED_VALUE"""),58785705)</f>
        <v>#NAME?</v>
      </c>
      <c r="B2370" s="100" t="e">
        <f ca="1">IFERROR(__xludf.DUMMYFUNCTION("""COMPUTED_VALUE"""),"BLURTRY")</f>
        <v>#NAME?</v>
      </c>
      <c r="C2370" s="100" t="e">
        <f ca="1">IFERROR(__xludf.DUMMYFUNCTION("""COMPUTED_VALUE"""),"3.99000000")</f>
        <v>#NAME?</v>
      </c>
      <c r="D2370" s="100" t="e">
        <f t="shared" ca="1" si="398"/>
        <v>#NAME?</v>
      </c>
      <c r="E2370" s="100" t="e">
        <f t="shared" ca="1" si="398"/>
        <v>#NAME?</v>
      </c>
      <c r="F2370" s="100" t="e">
        <f t="shared" ref="F2370:F2433" ca="1" si="399">IFERROR(__xludf.DUMMYFUNCTION("""COMPUTED_VALUE"""),20200)</f>
        <v>#NAME?</v>
      </c>
      <c r="G2370" s="100" t="e">
        <f t="shared" ref="G2370:G2433" ca="1" si="400">IFERROR(__xludf.DUMMYFUNCTION("""COMPUTED_VALUE"""),2885)</f>
        <v>#NAME?</v>
      </c>
      <c r="H2370" s="100" t="e">
        <f t="shared" ref="H2370:H2433" ca="1" si="401">IFERROR(__xludf.DUMMYFUNCTION("""COMPUTED_VALUE"""),663)</f>
        <v>#NAME?</v>
      </c>
      <c r="I2370" s="100" t="e">
        <f t="shared" ref="I2370:I2433" ca="1" si="402">IFERROR(__xludf.DUMMYFUNCTION("""COMPUTED_VALUE"""),5817721)</f>
        <v>#NAME?</v>
      </c>
      <c r="J2370" s="100" t="e">
        <f ca="1">IFERROR(__xludf.DUMMYFUNCTION("""COMPUTED_VALUE"""),"-2.683")</f>
        <v>#NAME?</v>
      </c>
      <c r="K2370" s="100" t="e">
        <f t="shared" ref="K2370:K2433" ca="1" si="403">IFERROR(__xludf.DUMMYFUNCTION("""COMPUTED_VALUE"""),"22.04.2025 13:05:01")</f>
        <v>#NAME?</v>
      </c>
      <c r="L2370" s="100"/>
      <c r="M2370" s="100"/>
      <c r="N2370" s="100"/>
      <c r="O2370" s="100"/>
      <c r="P2370" s="100"/>
      <c r="Q2370" s="100"/>
      <c r="R2370" s="100"/>
      <c r="S2370" s="100"/>
      <c r="T2370" s="100"/>
      <c r="U2370" s="100"/>
      <c r="V2370" s="100"/>
      <c r="W2370" s="100"/>
      <c r="X2370" s="100"/>
      <c r="Y2370" s="100"/>
      <c r="Z2370" s="100"/>
    </row>
    <row r="2371" spans="1:26">
      <c r="A2371" s="100" t="e">
        <f ca="1">IFERROR(__xludf.DUMMYFUNCTION("""COMPUTED_VALUE"""),58785706)</f>
        <v>#NAME?</v>
      </c>
      <c r="B2371" s="100" t="e">
        <f ca="1">IFERROR(__xludf.DUMMYFUNCTION("""COMPUTED_VALUE"""),"BLURFDUSD")</f>
        <v>#NAME?</v>
      </c>
      <c r="C2371" s="100" t="e">
        <f ca="1">IFERROR(__xludf.DUMMYFUNCTION("""COMPUTED_VALUE"""),"0.20900000")</f>
        <v>#NAME?</v>
      </c>
      <c r="D2371" s="100" t="e">
        <f t="shared" ca="1" si="398"/>
        <v>#NAME?</v>
      </c>
      <c r="E2371" s="100" t="e">
        <f t="shared" ca="1" si="398"/>
        <v>#NAME?</v>
      </c>
      <c r="F2371" s="100" t="e">
        <f t="shared" ca="1" si="399"/>
        <v>#NAME?</v>
      </c>
      <c r="G2371" s="100" t="e">
        <f t="shared" ca="1" si="400"/>
        <v>#NAME?</v>
      </c>
      <c r="H2371" s="100" t="e">
        <f t="shared" ca="1" si="401"/>
        <v>#NAME?</v>
      </c>
      <c r="I2371" s="100" t="e">
        <f t="shared" ca="1" si="402"/>
        <v>#NAME?</v>
      </c>
      <c r="J2371" s="100" t="e">
        <f ca="1">IFERROR(__xludf.DUMMYFUNCTION("""COMPUTED_VALUE"""),"0")</f>
        <v>#NAME?</v>
      </c>
      <c r="K2371" s="100" t="e">
        <f t="shared" ca="1" si="403"/>
        <v>#NAME?</v>
      </c>
      <c r="L2371" s="100"/>
      <c r="M2371" s="100"/>
      <c r="N2371" s="100"/>
      <c r="O2371" s="100"/>
      <c r="P2371" s="100"/>
      <c r="Q2371" s="100"/>
      <c r="R2371" s="100"/>
      <c r="S2371" s="100"/>
      <c r="T2371" s="100"/>
      <c r="U2371" s="100"/>
      <c r="V2371" s="100"/>
      <c r="W2371" s="100"/>
      <c r="X2371" s="100"/>
      <c r="Y2371" s="100"/>
      <c r="Z2371" s="100"/>
    </row>
    <row r="2372" spans="1:26">
      <c r="A2372" s="100" t="e">
        <f ca="1">IFERROR(__xludf.DUMMYFUNCTION("""COMPUTED_VALUE"""),58785707)</f>
        <v>#NAME?</v>
      </c>
      <c r="B2372" s="100" t="e">
        <f ca="1">IFERROR(__xludf.DUMMYFUNCTION("""COMPUTED_VALUE"""),"SUPERFDUSD")</f>
        <v>#NAME?</v>
      </c>
      <c r="C2372" s="100" t="e">
        <f ca="1">IFERROR(__xludf.DUMMYFUNCTION("""COMPUTED_VALUE"""),"0.60120000")</f>
        <v>#NAME?</v>
      </c>
      <c r="D2372" s="100" t="e">
        <f t="shared" ca="1" si="398"/>
        <v>#NAME?</v>
      </c>
      <c r="E2372" s="100" t="e">
        <f t="shared" ca="1" si="398"/>
        <v>#NAME?</v>
      </c>
      <c r="F2372" s="100" t="e">
        <f t="shared" ca="1" si="399"/>
        <v>#NAME?</v>
      </c>
      <c r="G2372" s="100" t="e">
        <f t="shared" ca="1" si="400"/>
        <v>#NAME?</v>
      </c>
      <c r="H2372" s="100" t="e">
        <f t="shared" ca="1" si="401"/>
        <v>#NAME?</v>
      </c>
      <c r="I2372" s="100" t="e">
        <f t="shared" ca="1" si="402"/>
        <v>#NAME?</v>
      </c>
      <c r="J2372" s="100" t="e">
        <f ca="1">IFERROR(__xludf.DUMMYFUNCTION("""COMPUTED_VALUE"""),"0")</f>
        <v>#NAME?</v>
      </c>
      <c r="K2372" s="100" t="e">
        <f t="shared" ca="1" si="403"/>
        <v>#NAME?</v>
      </c>
      <c r="L2372" s="100"/>
      <c r="M2372" s="100"/>
      <c r="N2372" s="100"/>
      <c r="O2372" s="100"/>
      <c r="P2372" s="100"/>
      <c r="Q2372" s="100"/>
      <c r="R2372" s="100"/>
      <c r="S2372" s="100"/>
      <c r="T2372" s="100"/>
      <c r="U2372" s="100"/>
      <c r="V2372" s="100"/>
      <c r="W2372" s="100"/>
      <c r="X2372" s="100"/>
      <c r="Y2372" s="100"/>
      <c r="Z2372" s="100"/>
    </row>
    <row r="2373" spans="1:26">
      <c r="A2373" s="100" t="e">
        <f ca="1">IFERROR(__xludf.DUMMYFUNCTION("""COMPUTED_VALUE"""),58785708)</f>
        <v>#NAME?</v>
      </c>
      <c r="B2373" s="100" t="e">
        <f ca="1">IFERROR(__xludf.DUMMYFUNCTION("""COMPUTED_VALUE"""),"USTCFDUSD")</f>
        <v>#NAME?</v>
      </c>
      <c r="C2373" s="100" t="e">
        <f ca="1">IFERROR(__xludf.DUMMYFUNCTION("""COMPUTED_VALUE"""),"0.01829000")</f>
        <v>#NAME?</v>
      </c>
      <c r="D2373" s="100" t="e">
        <f t="shared" ca="1" si="398"/>
        <v>#NAME?</v>
      </c>
      <c r="E2373" s="100" t="e">
        <f t="shared" ca="1" si="398"/>
        <v>#NAME?</v>
      </c>
      <c r="F2373" s="100" t="e">
        <f t="shared" ca="1" si="399"/>
        <v>#NAME?</v>
      </c>
      <c r="G2373" s="100" t="e">
        <f t="shared" ca="1" si="400"/>
        <v>#NAME?</v>
      </c>
      <c r="H2373" s="100" t="e">
        <f t="shared" ca="1" si="401"/>
        <v>#NAME?</v>
      </c>
      <c r="I2373" s="100" t="e">
        <f t="shared" ca="1" si="402"/>
        <v>#NAME?</v>
      </c>
      <c r="J2373" s="100" t="e">
        <f ca="1">IFERROR(__xludf.DUMMYFUNCTION("""COMPUTED_VALUE"""),"0")</f>
        <v>#NAME?</v>
      </c>
      <c r="K2373" s="100" t="e">
        <f t="shared" ca="1" si="403"/>
        <v>#NAME?</v>
      </c>
      <c r="L2373" s="100"/>
      <c r="M2373" s="100"/>
      <c r="N2373" s="100"/>
      <c r="O2373" s="100"/>
      <c r="P2373" s="100"/>
      <c r="Q2373" s="100"/>
      <c r="R2373" s="100"/>
      <c r="S2373" s="100"/>
      <c r="T2373" s="100"/>
      <c r="U2373" s="100"/>
      <c r="V2373" s="100"/>
      <c r="W2373" s="100"/>
      <c r="X2373" s="100"/>
      <c r="Y2373" s="100"/>
      <c r="Z2373" s="100"/>
    </row>
    <row r="2374" spans="1:26">
      <c r="A2374" s="100" t="e">
        <f ca="1">IFERROR(__xludf.DUMMYFUNCTION("""COMPUTED_VALUE"""),58785709)</f>
        <v>#NAME?</v>
      </c>
      <c r="B2374" s="100" t="e">
        <f ca="1">IFERROR(__xludf.DUMMYFUNCTION("""COMPUTED_VALUE"""),"USTCTRY")</f>
        <v>#NAME?</v>
      </c>
      <c r="C2374" s="100" t="e">
        <f ca="1">IFERROR(__xludf.DUMMYFUNCTION("""COMPUTED_VALUE"""),"0.45750000")</f>
        <v>#NAME?</v>
      </c>
      <c r="D2374" s="100" t="e">
        <f t="shared" ca="1" si="398"/>
        <v>#NAME?</v>
      </c>
      <c r="E2374" s="100" t="e">
        <f t="shared" ca="1" si="398"/>
        <v>#NAME?</v>
      </c>
      <c r="F2374" s="100" t="e">
        <f t="shared" ca="1" si="399"/>
        <v>#NAME?</v>
      </c>
      <c r="G2374" s="100" t="e">
        <f t="shared" ca="1" si="400"/>
        <v>#NAME?</v>
      </c>
      <c r="H2374" s="100" t="e">
        <f t="shared" ca="1" si="401"/>
        <v>#NAME?</v>
      </c>
      <c r="I2374" s="100" t="e">
        <f t="shared" ca="1" si="402"/>
        <v>#NAME?</v>
      </c>
      <c r="J2374" s="100" t="e">
        <f ca="1">IFERROR(__xludf.DUMMYFUNCTION("""COMPUTED_VALUE"""),"-3.297")</f>
        <v>#NAME?</v>
      </c>
      <c r="K2374" s="100" t="e">
        <f t="shared" ca="1" si="403"/>
        <v>#NAME?</v>
      </c>
      <c r="L2374" s="100"/>
      <c r="M2374" s="100"/>
      <c r="N2374" s="100"/>
      <c r="O2374" s="100"/>
      <c r="P2374" s="100"/>
      <c r="Q2374" s="100"/>
      <c r="R2374" s="100"/>
      <c r="S2374" s="100"/>
      <c r="T2374" s="100"/>
      <c r="U2374" s="100"/>
      <c r="V2374" s="100"/>
      <c r="W2374" s="100"/>
      <c r="X2374" s="100"/>
      <c r="Y2374" s="100"/>
      <c r="Z2374" s="100"/>
    </row>
    <row r="2375" spans="1:26">
      <c r="A2375" s="100" t="e">
        <f ca="1">IFERROR(__xludf.DUMMYFUNCTION("""COMPUTED_VALUE"""),58785710)</f>
        <v>#NAME?</v>
      </c>
      <c r="B2375" s="100" t="e">
        <f ca="1">IFERROR(__xludf.DUMMYFUNCTION("""COMPUTED_VALUE"""),"DYDXTRY")</f>
        <v>#NAME?</v>
      </c>
      <c r="C2375" s="100" t="e">
        <f ca="1">IFERROR(__xludf.DUMMYFUNCTION("""COMPUTED_VALUE"""),"22.47000000")</f>
        <v>#NAME?</v>
      </c>
      <c r="D2375" s="100" t="e">
        <f t="shared" ca="1" si="398"/>
        <v>#NAME?</v>
      </c>
      <c r="E2375" s="100" t="e">
        <f t="shared" ca="1" si="398"/>
        <v>#NAME?</v>
      </c>
      <c r="F2375" s="100" t="e">
        <f t="shared" ca="1" si="399"/>
        <v>#NAME?</v>
      </c>
      <c r="G2375" s="100" t="e">
        <f t="shared" ca="1" si="400"/>
        <v>#NAME?</v>
      </c>
      <c r="H2375" s="100" t="e">
        <f t="shared" ca="1" si="401"/>
        <v>#NAME?</v>
      </c>
      <c r="I2375" s="100" t="e">
        <f t="shared" ca="1" si="402"/>
        <v>#NAME?</v>
      </c>
      <c r="J2375" s="100" t="e">
        <f ca="1">IFERROR(__xludf.DUMMYFUNCTION("""COMPUTED_VALUE"""),"-2.643")</f>
        <v>#NAME?</v>
      </c>
      <c r="K2375" s="100" t="e">
        <f t="shared" ca="1" si="403"/>
        <v>#NAME?</v>
      </c>
      <c r="L2375" s="100"/>
      <c r="M2375" s="100"/>
      <c r="N2375" s="100"/>
      <c r="O2375" s="100"/>
      <c r="P2375" s="100"/>
      <c r="Q2375" s="100"/>
      <c r="R2375" s="100"/>
      <c r="S2375" s="100"/>
      <c r="T2375" s="100"/>
      <c r="U2375" s="100"/>
      <c r="V2375" s="100"/>
      <c r="W2375" s="100"/>
      <c r="X2375" s="100"/>
      <c r="Y2375" s="100"/>
      <c r="Z2375" s="100"/>
    </row>
    <row r="2376" spans="1:26">
      <c r="A2376" s="100" t="e">
        <f ca="1">IFERROR(__xludf.DUMMYFUNCTION("""COMPUTED_VALUE"""),58785711)</f>
        <v>#NAME?</v>
      </c>
      <c r="B2376" s="100" t="e">
        <f ca="1">IFERROR(__xludf.DUMMYFUNCTION("""COMPUTED_VALUE"""),"VANRYUSDT")</f>
        <v>#NAME?</v>
      </c>
      <c r="C2376" s="100" t="e">
        <f ca="1">IFERROR(__xludf.DUMMYFUNCTION("""COMPUTED_VALUE"""),"0.02560000")</f>
        <v>#NAME?</v>
      </c>
      <c r="D2376" s="100" t="e">
        <f t="shared" ca="1" si="398"/>
        <v>#NAME?</v>
      </c>
      <c r="E2376" s="100" t="e">
        <f t="shared" ca="1" si="398"/>
        <v>#NAME?</v>
      </c>
      <c r="F2376" s="100" t="e">
        <f t="shared" ca="1" si="399"/>
        <v>#NAME?</v>
      </c>
      <c r="G2376" s="100" t="e">
        <f t="shared" ca="1" si="400"/>
        <v>#NAME?</v>
      </c>
      <c r="H2376" s="100" t="e">
        <f t="shared" ca="1" si="401"/>
        <v>#NAME?</v>
      </c>
      <c r="I2376" s="100" t="e">
        <f t="shared" ca="1" si="402"/>
        <v>#NAME?</v>
      </c>
      <c r="J2376" s="100" t="e">
        <f ca="1">IFERROR(__xludf.DUMMYFUNCTION("""COMPUTED_VALUE"""),"-1.538")</f>
        <v>#NAME?</v>
      </c>
      <c r="K2376" s="100" t="e">
        <f t="shared" ca="1" si="403"/>
        <v>#NAME?</v>
      </c>
      <c r="L2376" s="100"/>
      <c r="M2376" s="100"/>
      <c r="N2376" s="100"/>
      <c r="O2376" s="100"/>
      <c r="P2376" s="100"/>
      <c r="Q2376" s="100"/>
      <c r="R2376" s="100"/>
      <c r="S2376" s="100"/>
      <c r="T2376" s="100"/>
      <c r="U2376" s="100"/>
      <c r="V2376" s="100"/>
      <c r="W2376" s="100"/>
      <c r="X2376" s="100"/>
      <c r="Y2376" s="100"/>
      <c r="Z2376" s="100"/>
    </row>
    <row r="2377" spans="1:26">
      <c r="A2377" s="100" t="e">
        <f ca="1">IFERROR(__xludf.DUMMYFUNCTION("""COMPUTED_VALUE"""),58785712)</f>
        <v>#NAME?</v>
      </c>
      <c r="B2377" s="100" t="e">
        <f ca="1">IFERROR(__xludf.DUMMYFUNCTION("""COMPUTED_VALUE"""),"VANRYBTC")</f>
        <v>#NAME?</v>
      </c>
      <c r="C2377" s="100" t="e">
        <f ca="1">IFERROR(__xludf.DUMMYFUNCTION("""COMPUTED_VALUE"""),"0.00000027")</f>
        <v>#NAME?</v>
      </c>
      <c r="D2377" s="100" t="e">
        <f t="shared" ca="1" si="398"/>
        <v>#NAME?</v>
      </c>
      <c r="E2377" s="100" t="e">
        <f t="shared" ca="1" si="398"/>
        <v>#NAME?</v>
      </c>
      <c r="F2377" s="100" t="e">
        <f t="shared" ca="1" si="399"/>
        <v>#NAME?</v>
      </c>
      <c r="G2377" s="100" t="e">
        <f t="shared" ca="1" si="400"/>
        <v>#NAME?</v>
      </c>
      <c r="H2377" s="100" t="e">
        <f t="shared" ca="1" si="401"/>
        <v>#NAME?</v>
      </c>
      <c r="I2377" s="100" t="e">
        <f t="shared" ca="1" si="402"/>
        <v>#NAME?</v>
      </c>
      <c r="J2377" s="100" t="e">
        <f ca="1">IFERROR(__xludf.DUMMYFUNCTION("""COMPUTED_VALUE"""),"-3.571")</f>
        <v>#NAME?</v>
      </c>
      <c r="K2377" s="100" t="e">
        <f t="shared" ca="1" si="403"/>
        <v>#NAME?</v>
      </c>
      <c r="L2377" s="100"/>
      <c r="M2377" s="100"/>
      <c r="N2377" s="100"/>
      <c r="O2377" s="100"/>
      <c r="P2377" s="100"/>
      <c r="Q2377" s="100"/>
      <c r="R2377" s="100"/>
      <c r="S2377" s="100"/>
      <c r="T2377" s="100"/>
      <c r="U2377" s="100"/>
      <c r="V2377" s="100"/>
      <c r="W2377" s="100"/>
      <c r="X2377" s="100"/>
      <c r="Y2377" s="100"/>
      <c r="Z2377" s="100"/>
    </row>
    <row r="2378" spans="1:26">
      <c r="A2378" s="100" t="e">
        <f ca="1">IFERROR(__xludf.DUMMYFUNCTION("""COMPUTED_VALUE"""),58785713)</f>
        <v>#NAME?</v>
      </c>
      <c r="B2378" s="100" t="e">
        <f ca="1">IFERROR(__xludf.DUMMYFUNCTION("""COMPUTED_VALUE"""),"BTCAEUR")</f>
        <v>#NAME?</v>
      </c>
      <c r="C2378" s="100" t="e">
        <f ca="1">IFERROR(__xludf.DUMMYFUNCTION("""COMPUTED_VALUE"""),"51466.50000000")</f>
        <v>#NAME?</v>
      </c>
      <c r="D2378" s="100" t="e">
        <f t="shared" ca="1" si="398"/>
        <v>#NAME?</v>
      </c>
      <c r="E2378" s="100" t="e">
        <f t="shared" ca="1" si="398"/>
        <v>#NAME?</v>
      </c>
      <c r="F2378" s="100" t="e">
        <f t="shared" ca="1" si="399"/>
        <v>#NAME?</v>
      </c>
      <c r="G2378" s="100" t="e">
        <f t="shared" ca="1" si="400"/>
        <v>#NAME?</v>
      </c>
      <c r="H2378" s="100" t="e">
        <f t="shared" ca="1" si="401"/>
        <v>#NAME?</v>
      </c>
      <c r="I2378" s="100" t="e">
        <f t="shared" ca="1" si="402"/>
        <v>#NAME?</v>
      </c>
      <c r="J2378" s="100" t="e">
        <f ca="1">IFERROR(__xludf.DUMMYFUNCTION("""COMPUTED_VALUE"""),"0")</f>
        <v>#NAME?</v>
      </c>
      <c r="K2378" s="100" t="e">
        <f t="shared" ca="1" si="403"/>
        <v>#NAME?</v>
      </c>
      <c r="L2378" s="100"/>
      <c r="M2378" s="100"/>
      <c r="N2378" s="100"/>
      <c r="O2378" s="100"/>
      <c r="P2378" s="100"/>
      <c r="Q2378" s="100"/>
      <c r="R2378" s="100"/>
      <c r="S2378" s="100"/>
      <c r="T2378" s="100"/>
      <c r="U2378" s="100"/>
      <c r="V2378" s="100"/>
      <c r="W2378" s="100"/>
      <c r="X2378" s="100"/>
      <c r="Y2378" s="100"/>
      <c r="Z2378" s="100"/>
    </row>
    <row r="2379" spans="1:26">
      <c r="A2379" s="100" t="e">
        <f ca="1">IFERROR(__xludf.DUMMYFUNCTION("""COMPUTED_VALUE"""),58785714)</f>
        <v>#NAME?</v>
      </c>
      <c r="B2379" s="100" t="e">
        <f ca="1">IFERROR(__xludf.DUMMYFUNCTION("""COMPUTED_VALUE"""),"AEURUSDT")</f>
        <v>#NAME?</v>
      </c>
      <c r="C2379" s="100" t="e">
        <f ca="1">IFERROR(__xludf.DUMMYFUNCTION("""COMPUTED_VALUE"""),"1.04640000")</f>
        <v>#NAME?</v>
      </c>
      <c r="D2379" s="100" t="e">
        <f t="shared" ca="1" si="398"/>
        <v>#NAME?</v>
      </c>
      <c r="E2379" s="100" t="e">
        <f t="shared" ca="1" si="398"/>
        <v>#NAME?</v>
      </c>
      <c r="F2379" s="100" t="e">
        <f t="shared" ca="1" si="399"/>
        <v>#NAME?</v>
      </c>
      <c r="G2379" s="100" t="e">
        <f t="shared" ca="1" si="400"/>
        <v>#NAME?</v>
      </c>
      <c r="H2379" s="100" t="e">
        <f t="shared" ca="1" si="401"/>
        <v>#NAME?</v>
      </c>
      <c r="I2379" s="100" t="e">
        <f t="shared" ca="1" si="402"/>
        <v>#NAME?</v>
      </c>
      <c r="J2379" s="100" t="e">
        <f ca="1">IFERROR(__xludf.DUMMYFUNCTION("""COMPUTED_VALUE"""),"-0.219")</f>
        <v>#NAME?</v>
      </c>
      <c r="K2379" s="100" t="e">
        <f t="shared" ca="1" si="403"/>
        <v>#NAME?</v>
      </c>
      <c r="L2379" s="100"/>
      <c r="M2379" s="100"/>
      <c r="N2379" s="100"/>
      <c r="O2379" s="100"/>
      <c r="P2379" s="100"/>
      <c r="Q2379" s="100"/>
      <c r="R2379" s="100"/>
      <c r="S2379" s="100"/>
      <c r="T2379" s="100"/>
      <c r="U2379" s="100"/>
      <c r="V2379" s="100"/>
      <c r="W2379" s="100"/>
      <c r="X2379" s="100"/>
      <c r="Y2379" s="100"/>
      <c r="Z2379" s="100"/>
    </row>
    <row r="2380" spans="1:26">
      <c r="A2380" s="100" t="e">
        <f ca="1">IFERROR(__xludf.DUMMYFUNCTION("""COMPUTED_VALUE"""),58785715)</f>
        <v>#NAME?</v>
      </c>
      <c r="B2380" s="100" t="e">
        <f ca="1">IFERROR(__xludf.DUMMYFUNCTION("""COMPUTED_VALUE"""),"ETHAEUR")</f>
        <v>#NAME?</v>
      </c>
      <c r="C2380" s="100" t="e">
        <f ca="1">IFERROR(__xludf.DUMMYFUNCTION("""COMPUTED_VALUE"""),"2700.00000000")</f>
        <v>#NAME?</v>
      </c>
      <c r="D2380" s="100" t="e">
        <f t="shared" ca="1" si="398"/>
        <v>#NAME?</v>
      </c>
      <c r="E2380" s="100" t="e">
        <f t="shared" ca="1" si="398"/>
        <v>#NAME?</v>
      </c>
      <c r="F2380" s="100" t="e">
        <f t="shared" ca="1" si="399"/>
        <v>#NAME?</v>
      </c>
      <c r="G2380" s="100" t="e">
        <f t="shared" ca="1" si="400"/>
        <v>#NAME?</v>
      </c>
      <c r="H2380" s="100" t="e">
        <f t="shared" ca="1" si="401"/>
        <v>#NAME?</v>
      </c>
      <c r="I2380" s="100" t="e">
        <f t="shared" ca="1" si="402"/>
        <v>#NAME?</v>
      </c>
      <c r="J2380" s="100" t="e">
        <f ca="1">IFERROR(__xludf.DUMMYFUNCTION("""COMPUTED_VALUE"""),"0")</f>
        <v>#NAME?</v>
      </c>
      <c r="K2380" s="100" t="e">
        <f t="shared" ca="1" si="403"/>
        <v>#NAME?</v>
      </c>
      <c r="L2380" s="100"/>
      <c r="M2380" s="100"/>
      <c r="N2380" s="100"/>
      <c r="O2380" s="100"/>
      <c r="P2380" s="100"/>
      <c r="Q2380" s="100"/>
      <c r="R2380" s="100"/>
      <c r="S2380" s="100"/>
      <c r="T2380" s="100"/>
      <c r="U2380" s="100"/>
      <c r="V2380" s="100"/>
      <c r="W2380" s="100"/>
      <c r="X2380" s="100"/>
      <c r="Y2380" s="100"/>
      <c r="Z2380" s="100"/>
    </row>
    <row r="2381" spans="1:26">
      <c r="A2381" s="100" t="e">
        <f ca="1">IFERROR(__xludf.DUMMYFUNCTION("""COMPUTED_VALUE"""),58785716)</f>
        <v>#NAME?</v>
      </c>
      <c r="B2381" s="100" t="e">
        <f ca="1">IFERROR(__xludf.DUMMYFUNCTION("""COMPUTED_VALUE"""),"EURAEUR")</f>
        <v>#NAME?</v>
      </c>
      <c r="C2381" s="100" t="e">
        <f ca="1">IFERROR(__xludf.DUMMYFUNCTION("""COMPUTED_VALUE"""),"1.08310000")</f>
        <v>#NAME?</v>
      </c>
      <c r="D2381" s="100" t="e">
        <f t="shared" ca="1" si="398"/>
        <v>#NAME?</v>
      </c>
      <c r="E2381" s="100" t="e">
        <f t="shared" ca="1" si="398"/>
        <v>#NAME?</v>
      </c>
      <c r="F2381" s="100" t="e">
        <f t="shared" ca="1" si="399"/>
        <v>#NAME?</v>
      </c>
      <c r="G2381" s="100" t="e">
        <f t="shared" ca="1" si="400"/>
        <v>#NAME?</v>
      </c>
      <c r="H2381" s="100" t="e">
        <f t="shared" ca="1" si="401"/>
        <v>#NAME?</v>
      </c>
      <c r="I2381" s="100" t="e">
        <f t="shared" ca="1" si="402"/>
        <v>#NAME?</v>
      </c>
      <c r="J2381" s="100" t="e">
        <f ca="1">IFERROR(__xludf.DUMMYFUNCTION("""COMPUTED_VALUE"""),"0")</f>
        <v>#NAME?</v>
      </c>
      <c r="K2381" s="100" t="e">
        <f t="shared" ca="1" si="403"/>
        <v>#NAME?</v>
      </c>
      <c r="L2381" s="100"/>
      <c r="M2381" s="100"/>
      <c r="N2381" s="100"/>
      <c r="O2381" s="100"/>
      <c r="P2381" s="100"/>
      <c r="Q2381" s="100"/>
      <c r="R2381" s="100"/>
      <c r="S2381" s="100"/>
      <c r="T2381" s="100"/>
      <c r="U2381" s="100"/>
      <c r="V2381" s="100"/>
      <c r="W2381" s="100"/>
      <c r="X2381" s="100"/>
      <c r="Y2381" s="100"/>
      <c r="Z2381" s="100"/>
    </row>
    <row r="2382" spans="1:26">
      <c r="A2382" s="100" t="e">
        <f ca="1">IFERROR(__xludf.DUMMYFUNCTION("""COMPUTED_VALUE"""),58785717)</f>
        <v>#NAME?</v>
      </c>
      <c r="B2382" s="100" t="e">
        <f ca="1">IFERROR(__xludf.DUMMYFUNCTION("""COMPUTED_VALUE"""),"AUCTIONFDUSD")</f>
        <v>#NAME?</v>
      </c>
      <c r="C2382" s="100" t="e">
        <f ca="1">IFERROR(__xludf.DUMMYFUNCTION("""COMPUTED_VALUE"""),"11.11000000")</f>
        <v>#NAME?</v>
      </c>
      <c r="D2382" s="100" t="e">
        <f t="shared" ref="D2382:E2401" ca="1" si="404">IFERROR(__xludf.DUMMYFUNCTION("""COMPUTED_VALUE"""),"-")</f>
        <v>#NAME?</v>
      </c>
      <c r="E2382" s="100" t="e">
        <f t="shared" ca="1" si="404"/>
        <v>#NAME?</v>
      </c>
      <c r="F2382" s="100" t="e">
        <f t="shared" ca="1" si="399"/>
        <v>#NAME?</v>
      </c>
      <c r="G2382" s="100" t="e">
        <f t="shared" ca="1" si="400"/>
        <v>#NAME?</v>
      </c>
      <c r="H2382" s="100" t="e">
        <f t="shared" ca="1" si="401"/>
        <v>#NAME?</v>
      </c>
      <c r="I2382" s="100" t="e">
        <f t="shared" ca="1" si="402"/>
        <v>#NAME?</v>
      </c>
      <c r="J2382" s="100" t="e">
        <f ca="1">IFERROR(__xludf.DUMMYFUNCTION("""COMPUTED_VALUE"""),"-3.475")</f>
        <v>#NAME?</v>
      </c>
      <c r="K2382" s="100" t="e">
        <f t="shared" ca="1" si="403"/>
        <v>#NAME?</v>
      </c>
      <c r="L2382" s="100"/>
      <c r="M2382" s="100"/>
      <c r="N2382" s="100"/>
      <c r="O2382" s="100"/>
      <c r="P2382" s="100"/>
      <c r="Q2382" s="100"/>
      <c r="R2382" s="100"/>
      <c r="S2382" s="100"/>
      <c r="T2382" s="100"/>
      <c r="U2382" s="100"/>
      <c r="V2382" s="100"/>
      <c r="W2382" s="100"/>
      <c r="X2382" s="100"/>
      <c r="Y2382" s="100"/>
      <c r="Z2382" s="100"/>
    </row>
    <row r="2383" spans="1:26">
      <c r="A2383" s="100" t="e">
        <f ca="1">IFERROR(__xludf.DUMMYFUNCTION("""COMPUTED_VALUE"""),58785718)</f>
        <v>#NAME?</v>
      </c>
      <c r="B2383" s="100" t="e">
        <f ca="1">IFERROR(__xludf.DUMMYFUNCTION("""COMPUTED_VALUE"""),"IOTAFDUSD")</f>
        <v>#NAME?</v>
      </c>
      <c r="C2383" s="100" t="e">
        <f ca="1">IFERROR(__xludf.DUMMYFUNCTION("""COMPUTED_VALUE"""),"0.14040000")</f>
        <v>#NAME?</v>
      </c>
      <c r="D2383" s="100" t="e">
        <f t="shared" ca="1" si="404"/>
        <v>#NAME?</v>
      </c>
      <c r="E2383" s="100" t="e">
        <f t="shared" ca="1" si="404"/>
        <v>#NAME?</v>
      </c>
      <c r="F2383" s="100" t="e">
        <f t="shared" ca="1" si="399"/>
        <v>#NAME?</v>
      </c>
      <c r="G2383" s="100" t="e">
        <f t="shared" ca="1" si="400"/>
        <v>#NAME?</v>
      </c>
      <c r="H2383" s="100" t="e">
        <f t="shared" ca="1" si="401"/>
        <v>#NAME?</v>
      </c>
      <c r="I2383" s="100" t="e">
        <f t="shared" ca="1" si="402"/>
        <v>#NAME?</v>
      </c>
      <c r="J2383" s="100" t="e">
        <f ca="1">IFERROR(__xludf.DUMMYFUNCTION("""COMPUTED_VALUE"""),"0")</f>
        <v>#NAME?</v>
      </c>
      <c r="K2383" s="100" t="e">
        <f t="shared" ca="1" si="403"/>
        <v>#NAME?</v>
      </c>
      <c r="L2383" s="100"/>
      <c r="M2383" s="100"/>
      <c r="N2383" s="100"/>
      <c r="O2383" s="100"/>
      <c r="P2383" s="100"/>
      <c r="Q2383" s="100"/>
      <c r="R2383" s="100"/>
      <c r="S2383" s="100"/>
      <c r="T2383" s="100"/>
      <c r="U2383" s="100"/>
      <c r="V2383" s="100"/>
      <c r="W2383" s="100"/>
      <c r="X2383" s="100"/>
      <c r="Y2383" s="100"/>
      <c r="Z2383" s="100"/>
    </row>
    <row r="2384" spans="1:26">
      <c r="A2384" s="100" t="e">
        <f ca="1">IFERROR(__xludf.DUMMYFUNCTION("""COMPUTED_VALUE"""),58785719)</f>
        <v>#NAME?</v>
      </c>
      <c r="B2384" s="100" t="e">
        <f ca="1">IFERROR(__xludf.DUMMYFUNCTION("""COMPUTED_VALUE"""),"LUNCTRY")</f>
        <v>#NAME?</v>
      </c>
      <c r="C2384" s="100" t="e">
        <f ca="1">IFERROR(__xludf.DUMMYFUNCTION("""COMPUTED_VALUE"""),"0.00230500")</f>
        <v>#NAME?</v>
      </c>
      <c r="D2384" s="100" t="e">
        <f t="shared" ca="1" si="404"/>
        <v>#NAME?</v>
      </c>
      <c r="E2384" s="100" t="e">
        <f t="shared" ca="1" si="404"/>
        <v>#NAME?</v>
      </c>
      <c r="F2384" s="100" t="e">
        <f t="shared" ca="1" si="399"/>
        <v>#NAME?</v>
      </c>
      <c r="G2384" s="100" t="e">
        <f t="shared" ca="1" si="400"/>
        <v>#NAME?</v>
      </c>
      <c r="H2384" s="100" t="e">
        <f t="shared" ca="1" si="401"/>
        <v>#NAME?</v>
      </c>
      <c r="I2384" s="100" t="e">
        <f t="shared" ca="1" si="402"/>
        <v>#NAME?</v>
      </c>
      <c r="J2384" s="100" t="e">
        <f ca="1">IFERROR(__xludf.DUMMYFUNCTION("""COMPUTED_VALUE"""),"-3.516")</f>
        <v>#NAME?</v>
      </c>
      <c r="K2384" s="100" t="e">
        <f t="shared" ca="1" si="403"/>
        <v>#NAME?</v>
      </c>
      <c r="L2384" s="100"/>
      <c r="M2384" s="100"/>
      <c r="N2384" s="100"/>
      <c r="O2384" s="100"/>
      <c r="P2384" s="100"/>
      <c r="Q2384" s="100"/>
      <c r="R2384" s="100"/>
      <c r="S2384" s="100"/>
      <c r="T2384" s="100"/>
      <c r="U2384" s="100"/>
      <c r="V2384" s="100"/>
      <c r="W2384" s="100"/>
      <c r="X2384" s="100"/>
      <c r="Y2384" s="100"/>
      <c r="Z2384" s="100"/>
    </row>
    <row r="2385" spans="1:26">
      <c r="A2385" s="100" t="e">
        <f ca="1">IFERROR(__xludf.DUMMYFUNCTION("""COMPUTED_VALUE"""),58785720)</f>
        <v>#NAME?</v>
      </c>
      <c r="B2385" s="100" t="e">
        <f ca="1">IFERROR(__xludf.DUMMYFUNCTION("""COMPUTED_VALUE"""),"SUPERTRY")</f>
        <v>#NAME?</v>
      </c>
      <c r="C2385" s="100" t="e">
        <f ca="1">IFERROR(__xludf.DUMMYFUNCTION("""COMPUTED_VALUE"""),"21.40000000")</f>
        <v>#NAME?</v>
      </c>
      <c r="D2385" s="100" t="e">
        <f t="shared" ca="1" si="404"/>
        <v>#NAME?</v>
      </c>
      <c r="E2385" s="100" t="e">
        <f t="shared" ca="1" si="404"/>
        <v>#NAME?</v>
      </c>
      <c r="F2385" s="100" t="e">
        <f t="shared" ca="1" si="399"/>
        <v>#NAME?</v>
      </c>
      <c r="G2385" s="100" t="e">
        <f t="shared" ca="1" si="400"/>
        <v>#NAME?</v>
      </c>
      <c r="H2385" s="100" t="e">
        <f t="shared" ca="1" si="401"/>
        <v>#NAME?</v>
      </c>
      <c r="I2385" s="100" t="e">
        <f t="shared" ca="1" si="402"/>
        <v>#NAME?</v>
      </c>
      <c r="J2385" s="100" t="e">
        <f ca="1">IFERROR(__xludf.DUMMYFUNCTION("""COMPUTED_VALUE"""),"-0.093")</f>
        <v>#NAME?</v>
      </c>
      <c r="K2385" s="100" t="e">
        <f t="shared" ca="1" si="403"/>
        <v>#NAME?</v>
      </c>
      <c r="L2385" s="100"/>
      <c r="M2385" s="100"/>
      <c r="N2385" s="100"/>
      <c r="O2385" s="100"/>
      <c r="P2385" s="100"/>
      <c r="Q2385" s="100"/>
      <c r="R2385" s="100"/>
      <c r="S2385" s="100"/>
      <c r="T2385" s="100"/>
      <c r="U2385" s="100"/>
      <c r="V2385" s="100"/>
      <c r="W2385" s="100"/>
      <c r="X2385" s="100"/>
      <c r="Y2385" s="100"/>
      <c r="Z2385" s="100"/>
    </row>
    <row r="2386" spans="1:26">
      <c r="A2386" s="100" t="e">
        <f ca="1">IFERROR(__xludf.DUMMYFUNCTION("""COMPUTED_VALUE"""),58785721)</f>
        <v>#NAME?</v>
      </c>
      <c r="B2386" s="100" t="e">
        <f ca="1">IFERROR(__xludf.DUMMYFUNCTION("""COMPUTED_VALUE"""),"JTOUSDT")</f>
        <v>#NAME?</v>
      </c>
      <c r="C2386" s="100" t="e">
        <f ca="1">IFERROR(__xludf.DUMMYFUNCTION("""COMPUTED_VALUE"""),"1.71600000")</f>
        <v>#NAME?</v>
      </c>
      <c r="D2386" s="100" t="e">
        <f t="shared" ca="1" si="404"/>
        <v>#NAME?</v>
      </c>
      <c r="E2386" s="100" t="e">
        <f t="shared" ca="1" si="404"/>
        <v>#NAME?</v>
      </c>
      <c r="F2386" s="100" t="e">
        <f t="shared" ca="1" si="399"/>
        <v>#NAME?</v>
      </c>
      <c r="G2386" s="100" t="e">
        <f t="shared" ca="1" si="400"/>
        <v>#NAME?</v>
      </c>
      <c r="H2386" s="100" t="e">
        <f t="shared" ca="1" si="401"/>
        <v>#NAME?</v>
      </c>
      <c r="I2386" s="100" t="e">
        <f t="shared" ca="1" si="402"/>
        <v>#NAME?</v>
      </c>
      <c r="J2386" s="100" t="e">
        <f ca="1">IFERROR(__xludf.DUMMYFUNCTION("""COMPUTED_VALUE"""),"1.840")</f>
        <v>#NAME?</v>
      </c>
      <c r="K2386" s="100" t="e">
        <f t="shared" ca="1" si="403"/>
        <v>#NAME?</v>
      </c>
      <c r="L2386" s="100"/>
      <c r="M2386" s="100"/>
      <c r="N2386" s="100"/>
      <c r="O2386" s="100"/>
      <c r="P2386" s="100"/>
      <c r="Q2386" s="100"/>
      <c r="R2386" s="100"/>
      <c r="S2386" s="100"/>
      <c r="T2386" s="100"/>
      <c r="U2386" s="100"/>
      <c r="V2386" s="100"/>
      <c r="W2386" s="100"/>
      <c r="X2386" s="100"/>
      <c r="Y2386" s="100"/>
      <c r="Z2386" s="100"/>
    </row>
    <row r="2387" spans="1:26">
      <c r="A2387" s="100" t="e">
        <f ca="1">IFERROR(__xludf.DUMMYFUNCTION("""COMPUTED_VALUE"""),58785722)</f>
        <v>#NAME?</v>
      </c>
      <c r="B2387" s="100" t="e">
        <f ca="1">IFERROR(__xludf.DUMMYFUNCTION("""COMPUTED_VALUE"""),"JTOFDUSD")</f>
        <v>#NAME?</v>
      </c>
      <c r="C2387" s="100" t="e">
        <f ca="1">IFERROR(__xludf.DUMMYFUNCTION("""COMPUTED_VALUE"""),"1.70700000")</f>
        <v>#NAME?</v>
      </c>
      <c r="D2387" s="100" t="e">
        <f t="shared" ca="1" si="404"/>
        <v>#NAME?</v>
      </c>
      <c r="E2387" s="100" t="e">
        <f t="shared" ca="1" si="404"/>
        <v>#NAME?</v>
      </c>
      <c r="F2387" s="100" t="e">
        <f t="shared" ca="1" si="399"/>
        <v>#NAME?</v>
      </c>
      <c r="G2387" s="100" t="e">
        <f t="shared" ca="1" si="400"/>
        <v>#NAME?</v>
      </c>
      <c r="H2387" s="100" t="e">
        <f t="shared" ca="1" si="401"/>
        <v>#NAME?</v>
      </c>
      <c r="I2387" s="100" t="e">
        <f t="shared" ca="1" si="402"/>
        <v>#NAME?</v>
      </c>
      <c r="J2387" s="100" t="e">
        <f ca="1">IFERROR(__xludf.DUMMYFUNCTION("""COMPUTED_VALUE"""),"1.366")</f>
        <v>#NAME?</v>
      </c>
      <c r="K2387" s="100" t="e">
        <f t="shared" ca="1" si="403"/>
        <v>#NAME?</v>
      </c>
      <c r="L2387" s="100"/>
      <c r="M2387" s="100"/>
      <c r="N2387" s="100"/>
      <c r="O2387" s="100"/>
      <c r="P2387" s="100"/>
      <c r="Q2387" s="100"/>
      <c r="R2387" s="100"/>
      <c r="S2387" s="100"/>
      <c r="T2387" s="100"/>
      <c r="U2387" s="100"/>
      <c r="V2387" s="100"/>
      <c r="W2387" s="100"/>
      <c r="X2387" s="100"/>
      <c r="Y2387" s="100"/>
      <c r="Z2387" s="100"/>
    </row>
    <row r="2388" spans="1:26">
      <c r="A2388" s="100" t="e">
        <f ca="1">IFERROR(__xludf.DUMMYFUNCTION("""COMPUTED_VALUE"""),58785723)</f>
        <v>#NAME?</v>
      </c>
      <c r="B2388" s="100" t="e">
        <f ca="1">IFERROR(__xludf.DUMMYFUNCTION("""COMPUTED_VALUE"""),"JTOTRY")</f>
        <v>#NAME?</v>
      </c>
      <c r="C2388" s="100" t="e">
        <f ca="1">IFERROR(__xludf.DUMMYFUNCTION("""COMPUTED_VALUE"""),"65.50000000")</f>
        <v>#NAME?</v>
      </c>
      <c r="D2388" s="100" t="e">
        <f t="shared" ca="1" si="404"/>
        <v>#NAME?</v>
      </c>
      <c r="E2388" s="100" t="e">
        <f t="shared" ca="1" si="404"/>
        <v>#NAME?</v>
      </c>
      <c r="F2388" s="100" t="e">
        <f t="shared" ca="1" si="399"/>
        <v>#NAME?</v>
      </c>
      <c r="G2388" s="100" t="e">
        <f t="shared" ca="1" si="400"/>
        <v>#NAME?</v>
      </c>
      <c r="H2388" s="100" t="e">
        <f t="shared" ca="1" si="401"/>
        <v>#NAME?</v>
      </c>
      <c r="I2388" s="100" t="e">
        <f t="shared" ca="1" si="402"/>
        <v>#NAME?</v>
      </c>
      <c r="J2388" s="100" t="e">
        <f ca="1">IFERROR(__xludf.DUMMYFUNCTION("""COMPUTED_VALUE"""),"1.708")</f>
        <v>#NAME?</v>
      </c>
      <c r="K2388" s="100" t="e">
        <f t="shared" ca="1" si="403"/>
        <v>#NAME?</v>
      </c>
      <c r="L2388" s="100"/>
      <c r="M2388" s="100"/>
      <c r="N2388" s="100"/>
      <c r="O2388" s="100"/>
      <c r="P2388" s="100"/>
      <c r="Q2388" s="100"/>
      <c r="R2388" s="100"/>
      <c r="S2388" s="100"/>
      <c r="T2388" s="100"/>
      <c r="U2388" s="100"/>
      <c r="V2388" s="100"/>
      <c r="W2388" s="100"/>
      <c r="X2388" s="100"/>
      <c r="Y2388" s="100"/>
      <c r="Z2388" s="100"/>
    </row>
    <row r="2389" spans="1:26">
      <c r="A2389" s="100" t="e">
        <f ca="1">IFERROR(__xludf.DUMMYFUNCTION("""COMPUTED_VALUE"""),58785724)</f>
        <v>#NAME?</v>
      </c>
      <c r="B2389" s="100" t="e">
        <f ca="1">IFERROR(__xludf.DUMMYFUNCTION("""COMPUTED_VALUE"""),"1000SATSUSDT")</f>
        <v>#NAME?</v>
      </c>
      <c r="C2389" s="100" t="e">
        <f ca="1">IFERROR(__xludf.DUMMYFUNCTION("""COMPUTED_VALUE"""),"0.00003860")</f>
        <v>#NAME?</v>
      </c>
      <c r="D2389" s="100" t="e">
        <f t="shared" ca="1" si="404"/>
        <v>#NAME?</v>
      </c>
      <c r="E2389" s="100" t="e">
        <f t="shared" ca="1" si="404"/>
        <v>#NAME?</v>
      </c>
      <c r="F2389" s="100" t="e">
        <f t="shared" ca="1" si="399"/>
        <v>#NAME?</v>
      </c>
      <c r="G2389" s="100" t="e">
        <f t="shared" ca="1" si="400"/>
        <v>#NAME?</v>
      </c>
      <c r="H2389" s="100" t="e">
        <f t="shared" ca="1" si="401"/>
        <v>#NAME?</v>
      </c>
      <c r="I2389" s="100" t="e">
        <f t="shared" ca="1" si="402"/>
        <v>#NAME?</v>
      </c>
      <c r="J2389" s="100" t="e">
        <f ca="1">IFERROR(__xludf.DUMMYFUNCTION("""COMPUTED_VALUE"""),"-6.083")</f>
        <v>#NAME?</v>
      </c>
      <c r="K2389" s="100" t="e">
        <f t="shared" ca="1" si="403"/>
        <v>#NAME?</v>
      </c>
      <c r="L2389" s="100"/>
      <c r="M2389" s="100"/>
      <c r="N2389" s="100"/>
      <c r="O2389" s="100"/>
      <c r="P2389" s="100"/>
      <c r="Q2389" s="100"/>
      <c r="R2389" s="100"/>
      <c r="S2389" s="100"/>
      <c r="T2389" s="100"/>
      <c r="U2389" s="100"/>
      <c r="V2389" s="100"/>
      <c r="W2389" s="100"/>
      <c r="X2389" s="100"/>
      <c r="Y2389" s="100"/>
      <c r="Z2389" s="100"/>
    </row>
    <row r="2390" spans="1:26">
      <c r="A2390" s="100" t="e">
        <f ca="1">IFERROR(__xludf.DUMMYFUNCTION("""COMPUTED_VALUE"""),58785725)</f>
        <v>#NAME?</v>
      </c>
      <c r="B2390" s="100" t="e">
        <f ca="1">IFERROR(__xludf.DUMMYFUNCTION("""COMPUTED_VALUE"""),"1000SATSFDUSD")</f>
        <v>#NAME?</v>
      </c>
      <c r="C2390" s="100" t="e">
        <f ca="1">IFERROR(__xludf.DUMMYFUNCTION("""COMPUTED_VALUE"""),"0.00003870")</f>
        <v>#NAME?</v>
      </c>
      <c r="D2390" s="100" t="e">
        <f t="shared" ca="1" si="404"/>
        <v>#NAME?</v>
      </c>
      <c r="E2390" s="100" t="e">
        <f t="shared" ca="1" si="404"/>
        <v>#NAME?</v>
      </c>
      <c r="F2390" s="100" t="e">
        <f t="shared" ca="1" si="399"/>
        <v>#NAME?</v>
      </c>
      <c r="G2390" s="100" t="e">
        <f t="shared" ca="1" si="400"/>
        <v>#NAME?</v>
      </c>
      <c r="H2390" s="100" t="e">
        <f t="shared" ca="1" si="401"/>
        <v>#NAME?</v>
      </c>
      <c r="I2390" s="100" t="e">
        <f t="shared" ca="1" si="402"/>
        <v>#NAME?</v>
      </c>
      <c r="J2390" s="100" t="e">
        <f ca="1">IFERROR(__xludf.DUMMYFUNCTION("""COMPUTED_VALUE"""),"-5.610")</f>
        <v>#NAME?</v>
      </c>
      <c r="K2390" s="100" t="e">
        <f t="shared" ca="1" si="403"/>
        <v>#NAME?</v>
      </c>
      <c r="L2390" s="100"/>
      <c r="M2390" s="100"/>
      <c r="N2390" s="100"/>
      <c r="O2390" s="100"/>
      <c r="P2390" s="100"/>
      <c r="Q2390" s="100"/>
      <c r="R2390" s="100"/>
      <c r="S2390" s="100"/>
      <c r="T2390" s="100"/>
      <c r="U2390" s="100"/>
      <c r="V2390" s="100"/>
      <c r="W2390" s="100"/>
      <c r="X2390" s="100"/>
      <c r="Y2390" s="100"/>
      <c r="Z2390" s="100"/>
    </row>
    <row r="2391" spans="1:26">
      <c r="A2391" s="100" t="e">
        <f ca="1">IFERROR(__xludf.DUMMYFUNCTION("""COMPUTED_VALUE"""),58785726)</f>
        <v>#NAME?</v>
      </c>
      <c r="B2391" s="100" t="e">
        <f ca="1">IFERROR(__xludf.DUMMYFUNCTION("""COMPUTED_VALUE"""),"1000SATSTRY")</f>
        <v>#NAME?</v>
      </c>
      <c r="C2391" s="100" t="e">
        <f ca="1">IFERROR(__xludf.DUMMYFUNCTION("""COMPUTED_VALUE"""),"0.00147300")</f>
        <v>#NAME?</v>
      </c>
      <c r="D2391" s="100" t="e">
        <f t="shared" ca="1" si="404"/>
        <v>#NAME?</v>
      </c>
      <c r="E2391" s="100" t="e">
        <f t="shared" ca="1" si="404"/>
        <v>#NAME?</v>
      </c>
      <c r="F2391" s="100" t="e">
        <f t="shared" ca="1" si="399"/>
        <v>#NAME?</v>
      </c>
      <c r="G2391" s="100" t="e">
        <f t="shared" ca="1" si="400"/>
        <v>#NAME?</v>
      </c>
      <c r="H2391" s="100" t="e">
        <f t="shared" ca="1" si="401"/>
        <v>#NAME?</v>
      </c>
      <c r="I2391" s="100" t="e">
        <f t="shared" ca="1" si="402"/>
        <v>#NAME?</v>
      </c>
      <c r="J2391" s="100" t="e">
        <f ca="1">IFERROR(__xludf.DUMMYFUNCTION("""COMPUTED_VALUE"""),"-6.238")</f>
        <v>#NAME?</v>
      </c>
      <c r="K2391" s="100" t="e">
        <f t="shared" ca="1" si="403"/>
        <v>#NAME?</v>
      </c>
      <c r="L2391" s="100"/>
      <c r="M2391" s="100"/>
      <c r="N2391" s="100"/>
      <c r="O2391" s="100"/>
      <c r="P2391" s="100"/>
      <c r="Q2391" s="100"/>
      <c r="R2391" s="100"/>
      <c r="S2391" s="100"/>
      <c r="T2391" s="100"/>
      <c r="U2391" s="100"/>
      <c r="V2391" s="100"/>
      <c r="W2391" s="100"/>
      <c r="X2391" s="100"/>
      <c r="Y2391" s="100"/>
      <c r="Z2391" s="100"/>
    </row>
    <row r="2392" spans="1:26">
      <c r="A2392" s="100" t="e">
        <f ca="1">IFERROR(__xludf.DUMMYFUNCTION("""COMPUTED_VALUE"""),58785727)</f>
        <v>#NAME?</v>
      </c>
      <c r="B2392" s="100" t="e">
        <f ca="1">IFERROR(__xludf.DUMMYFUNCTION("""COMPUTED_VALUE"""),"SHIBFDUSD")</f>
        <v>#NAME?</v>
      </c>
      <c r="C2392" s="100" t="e">
        <f ca="1">IFERROR(__xludf.DUMMYFUNCTION("""COMPUTED_VALUE"""),"0.00001254")</f>
        <v>#NAME?</v>
      </c>
      <c r="D2392" s="100" t="e">
        <f t="shared" ca="1" si="404"/>
        <v>#NAME?</v>
      </c>
      <c r="E2392" s="100" t="e">
        <f t="shared" ca="1" si="404"/>
        <v>#NAME?</v>
      </c>
      <c r="F2392" s="100" t="e">
        <f t="shared" ca="1" si="399"/>
        <v>#NAME?</v>
      </c>
      <c r="G2392" s="100" t="e">
        <f t="shared" ca="1" si="400"/>
        <v>#NAME?</v>
      </c>
      <c r="H2392" s="100" t="e">
        <f t="shared" ca="1" si="401"/>
        <v>#NAME?</v>
      </c>
      <c r="I2392" s="100" t="e">
        <f t="shared" ca="1" si="402"/>
        <v>#NAME?</v>
      </c>
      <c r="J2392" s="100" t="e">
        <f ca="1">IFERROR(__xludf.DUMMYFUNCTION("""COMPUTED_VALUE"""),"-0.791")</f>
        <v>#NAME?</v>
      </c>
      <c r="K2392" s="100" t="e">
        <f t="shared" ca="1" si="403"/>
        <v>#NAME?</v>
      </c>
      <c r="L2392" s="100"/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</row>
    <row r="2393" spans="1:26">
      <c r="A2393" s="100" t="e">
        <f ca="1">IFERROR(__xludf.DUMMYFUNCTION("""COMPUTED_VALUE"""),58785728)</f>
        <v>#NAME?</v>
      </c>
      <c r="B2393" s="100" t="e">
        <f ca="1">IFERROR(__xludf.DUMMYFUNCTION("""COMPUTED_VALUE"""),"SANDFDUSD")</f>
        <v>#NAME?</v>
      </c>
      <c r="C2393" s="100" t="e">
        <f ca="1">IFERROR(__xludf.DUMMYFUNCTION("""COMPUTED_VALUE"""),"0.27540000")</f>
        <v>#NAME?</v>
      </c>
      <c r="D2393" s="100" t="e">
        <f t="shared" ca="1" si="404"/>
        <v>#NAME?</v>
      </c>
      <c r="E2393" s="100" t="e">
        <f t="shared" ca="1" si="404"/>
        <v>#NAME?</v>
      </c>
      <c r="F2393" s="100" t="e">
        <f t="shared" ca="1" si="399"/>
        <v>#NAME?</v>
      </c>
      <c r="G2393" s="100" t="e">
        <f t="shared" ca="1" si="400"/>
        <v>#NAME?</v>
      </c>
      <c r="H2393" s="100" t="e">
        <f t="shared" ca="1" si="401"/>
        <v>#NAME?</v>
      </c>
      <c r="I2393" s="100" t="e">
        <f t="shared" ca="1" si="402"/>
        <v>#NAME?</v>
      </c>
      <c r="J2393" s="100" t="e">
        <f ca="1">IFERROR(__xludf.DUMMYFUNCTION("""COMPUTED_VALUE"""),"-2.548")</f>
        <v>#NAME?</v>
      </c>
      <c r="K2393" s="100" t="e">
        <f t="shared" ca="1" si="403"/>
        <v>#NAME?</v>
      </c>
      <c r="L2393" s="100"/>
      <c r="M2393" s="100"/>
      <c r="N2393" s="100"/>
      <c r="O2393" s="100"/>
      <c r="P2393" s="100"/>
      <c r="Q2393" s="100"/>
      <c r="R2393" s="100"/>
      <c r="S2393" s="100"/>
      <c r="T2393" s="100"/>
      <c r="U2393" s="100"/>
      <c r="V2393" s="100"/>
      <c r="W2393" s="100"/>
      <c r="X2393" s="100"/>
      <c r="Y2393" s="100"/>
      <c r="Z2393" s="100"/>
    </row>
    <row r="2394" spans="1:26">
      <c r="A2394" s="100" t="e">
        <f ca="1">IFERROR(__xludf.DUMMYFUNCTION("""COMPUTED_VALUE"""),58785729)</f>
        <v>#NAME?</v>
      </c>
      <c r="B2394" s="100" t="e">
        <f ca="1">IFERROR(__xludf.DUMMYFUNCTION("""COMPUTED_VALUE"""),"MEMEETH")</f>
        <v>#NAME?</v>
      </c>
      <c r="C2394" s="100" t="e">
        <f ca="1">IFERROR(__xludf.DUMMYFUNCTION("""COMPUTED_VALUE"""),"0.00000576")</f>
        <v>#NAME?</v>
      </c>
      <c r="D2394" s="100" t="e">
        <f t="shared" ca="1" si="404"/>
        <v>#NAME?</v>
      </c>
      <c r="E2394" s="100" t="e">
        <f t="shared" ca="1" si="404"/>
        <v>#NAME?</v>
      </c>
      <c r="F2394" s="100" t="e">
        <f t="shared" ca="1" si="399"/>
        <v>#NAME?</v>
      </c>
      <c r="G2394" s="100" t="e">
        <f t="shared" ca="1" si="400"/>
        <v>#NAME?</v>
      </c>
      <c r="H2394" s="100" t="e">
        <f t="shared" ca="1" si="401"/>
        <v>#NAME?</v>
      </c>
      <c r="I2394" s="100" t="e">
        <f t="shared" ca="1" si="402"/>
        <v>#NAME?</v>
      </c>
      <c r="J2394" s="100" t="e">
        <f ca="1">IFERROR(__xludf.DUMMYFUNCTION("""COMPUTED_VALUE"""),"0")</f>
        <v>#NAME?</v>
      </c>
      <c r="K2394" s="100" t="e">
        <f t="shared" ca="1" si="403"/>
        <v>#NAME?</v>
      </c>
      <c r="L2394" s="100"/>
      <c r="M2394" s="100"/>
      <c r="N2394" s="100"/>
      <c r="O2394" s="100"/>
      <c r="P2394" s="100"/>
      <c r="Q2394" s="100"/>
      <c r="R2394" s="100"/>
      <c r="S2394" s="100"/>
      <c r="T2394" s="100"/>
      <c r="U2394" s="100"/>
      <c r="V2394" s="100"/>
      <c r="W2394" s="100"/>
      <c r="X2394" s="100"/>
      <c r="Y2394" s="100"/>
      <c r="Z2394" s="100"/>
    </row>
    <row r="2395" spans="1:26">
      <c r="A2395" s="100" t="e">
        <f ca="1">IFERROR(__xludf.DUMMYFUNCTION("""COMPUTED_VALUE"""),58785730)</f>
        <v>#NAME?</v>
      </c>
      <c r="B2395" s="100" t="e">
        <f ca="1">IFERROR(__xludf.DUMMYFUNCTION("""COMPUTED_VALUE"""),"IOTATRY")</f>
        <v>#NAME?</v>
      </c>
      <c r="C2395" s="100" t="e">
        <f ca="1">IFERROR(__xludf.DUMMYFUNCTION("""COMPUTED_VALUE"""),"6.57000000")</f>
        <v>#NAME?</v>
      </c>
      <c r="D2395" s="100" t="e">
        <f t="shared" ca="1" si="404"/>
        <v>#NAME?</v>
      </c>
      <c r="E2395" s="100" t="e">
        <f t="shared" ca="1" si="404"/>
        <v>#NAME?</v>
      </c>
      <c r="F2395" s="100" t="e">
        <f t="shared" ca="1" si="399"/>
        <v>#NAME?</v>
      </c>
      <c r="G2395" s="100" t="e">
        <f t="shared" ca="1" si="400"/>
        <v>#NAME?</v>
      </c>
      <c r="H2395" s="100" t="e">
        <f t="shared" ca="1" si="401"/>
        <v>#NAME?</v>
      </c>
      <c r="I2395" s="100" t="e">
        <f t="shared" ca="1" si="402"/>
        <v>#NAME?</v>
      </c>
      <c r="J2395" s="100" t="e">
        <f ca="1">IFERROR(__xludf.DUMMYFUNCTION("""COMPUTED_VALUE"""),"0.536")</f>
        <v>#NAME?</v>
      </c>
      <c r="K2395" s="100" t="e">
        <f t="shared" ca="1" si="403"/>
        <v>#NAME?</v>
      </c>
      <c r="L2395" s="100"/>
      <c r="M2395" s="100"/>
      <c r="N2395" s="100"/>
      <c r="O2395" s="100"/>
      <c r="P2395" s="100"/>
      <c r="Q2395" s="100"/>
      <c r="R2395" s="100"/>
      <c r="S2395" s="100"/>
      <c r="T2395" s="100"/>
      <c r="U2395" s="100"/>
      <c r="V2395" s="100"/>
      <c r="W2395" s="100"/>
      <c r="X2395" s="100"/>
      <c r="Y2395" s="100"/>
      <c r="Z2395" s="100"/>
    </row>
    <row r="2396" spans="1:26">
      <c r="A2396" s="100" t="e">
        <f ca="1">IFERROR(__xludf.DUMMYFUNCTION("""COMPUTED_VALUE"""),58785731)</f>
        <v>#NAME?</v>
      </c>
      <c r="B2396" s="100" t="e">
        <f ca="1">IFERROR(__xludf.DUMMYFUNCTION("""COMPUTED_VALUE"""),"INJFDUSD")</f>
        <v>#NAME?</v>
      </c>
      <c r="C2396" s="100" t="e">
        <f ca="1">IFERROR(__xludf.DUMMYFUNCTION("""COMPUTED_VALUE"""),"8.49000000")</f>
        <v>#NAME?</v>
      </c>
      <c r="D2396" s="100" t="e">
        <f t="shared" ca="1" si="404"/>
        <v>#NAME?</v>
      </c>
      <c r="E2396" s="100" t="e">
        <f t="shared" ca="1" si="404"/>
        <v>#NAME?</v>
      </c>
      <c r="F2396" s="100" t="e">
        <f t="shared" ca="1" si="399"/>
        <v>#NAME?</v>
      </c>
      <c r="G2396" s="100" t="e">
        <f t="shared" ca="1" si="400"/>
        <v>#NAME?</v>
      </c>
      <c r="H2396" s="100" t="e">
        <f t="shared" ca="1" si="401"/>
        <v>#NAME?</v>
      </c>
      <c r="I2396" s="100" t="e">
        <f t="shared" ca="1" si="402"/>
        <v>#NAME?</v>
      </c>
      <c r="J2396" s="100" t="e">
        <f ca="1">IFERROR(__xludf.DUMMYFUNCTION("""COMPUTED_VALUE"""),"-4.821")</f>
        <v>#NAME?</v>
      </c>
      <c r="K2396" s="100" t="e">
        <f t="shared" ca="1" si="403"/>
        <v>#NAME?</v>
      </c>
      <c r="L2396" s="100"/>
      <c r="M2396" s="100"/>
      <c r="N2396" s="100"/>
      <c r="O2396" s="100"/>
      <c r="P2396" s="100"/>
      <c r="Q2396" s="100"/>
      <c r="R2396" s="100"/>
      <c r="S2396" s="100"/>
      <c r="T2396" s="100"/>
      <c r="U2396" s="100"/>
      <c r="V2396" s="100"/>
      <c r="W2396" s="100"/>
      <c r="X2396" s="100"/>
      <c r="Y2396" s="100"/>
      <c r="Z2396" s="100"/>
    </row>
    <row r="2397" spans="1:26">
      <c r="A2397" s="100" t="e">
        <f ca="1">IFERROR(__xludf.DUMMYFUNCTION("""COMPUTED_VALUE"""),58785732)</f>
        <v>#NAME?</v>
      </c>
      <c r="B2397" s="100" t="e">
        <f ca="1">IFERROR(__xludf.DUMMYFUNCTION("""COMPUTED_VALUE"""),"FIDATRY")</f>
        <v>#NAME?</v>
      </c>
      <c r="C2397" s="100" t="e">
        <f ca="1">IFERROR(__xludf.DUMMYFUNCTION("""COMPUTED_VALUE"""),"2.80100000")</f>
        <v>#NAME?</v>
      </c>
      <c r="D2397" s="100" t="e">
        <f t="shared" ca="1" si="404"/>
        <v>#NAME?</v>
      </c>
      <c r="E2397" s="100" t="e">
        <f t="shared" ca="1" si="404"/>
        <v>#NAME?</v>
      </c>
      <c r="F2397" s="100" t="e">
        <f t="shared" ca="1" si="399"/>
        <v>#NAME?</v>
      </c>
      <c r="G2397" s="100" t="e">
        <f t="shared" ca="1" si="400"/>
        <v>#NAME?</v>
      </c>
      <c r="H2397" s="100" t="e">
        <f t="shared" ca="1" si="401"/>
        <v>#NAME?</v>
      </c>
      <c r="I2397" s="100" t="e">
        <f t="shared" ca="1" si="402"/>
        <v>#NAME?</v>
      </c>
      <c r="J2397" s="100" t="e">
        <f ca="1">IFERROR(__xludf.DUMMYFUNCTION("""COMPUTED_VALUE"""),"0.107")</f>
        <v>#NAME?</v>
      </c>
      <c r="K2397" s="100" t="e">
        <f t="shared" ca="1" si="403"/>
        <v>#NAME?</v>
      </c>
      <c r="L2397" s="100"/>
      <c r="M2397" s="100"/>
      <c r="N2397" s="100"/>
      <c r="O2397" s="100"/>
      <c r="P2397" s="100"/>
      <c r="Q2397" s="100"/>
      <c r="R2397" s="100"/>
      <c r="S2397" s="100"/>
      <c r="T2397" s="100"/>
      <c r="U2397" s="100"/>
      <c r="V2397" s="100"/>
      <c r="W2397" s="100"/>
      <c r="X2397" s="100"/>
      <c r="Y2397" s="100"/>
      <c r="Z2397" s="100"/>
    </row>
    <row r="2398" spans="1:26">
      <c r="A2398" s="100" t="e">
        <f ca="1">IFERROR(__xludf.DUMMYFUNCTION("""COMPUTED_VALUE"""),58785733)</f>
        <v>#NAME?</v>
      </c>
      <c r="B2398" s="100" t="e">
        <f ca="1">IFERROR(__xludf.DUMMYFUNCTION("""COMPUTED_VALUE"""),"BONKUSDT")</f>
        <v>#NAME?</v>
      </c>
      <c r="C2398" s="100" t="e">
        <f ca="1">IFERROR(__xludf.DUMMYFUNCTION("""COMPUTED_VALUE"""),"0.00001298")</f>
        <v>#NAME?</v>
      </c>
      <c r="D2398" s="100" t="e">
        <f t="shared" ca="1" si="404"/>
        <v>#NAME?</v>
      </c>
      <c r="E2398" s="100" t="e">
        <f t="shared" ca="1" si="404"/>
        <v>#NAME?</v>
      </c>
      <c r="F2398" s="100" t="e">
        <f t="shared" ca="1" si="399"/>
        <v>#NAME?</v>
      </c>
      <c r="G2398" s="100" t="e">
        <f t="shared" ca="1" si="400"/>
        <v>#NAME?</v>
      </c>
      <c r="H2398" s="100" t="e">
        <f t="shared" ca="1" si="401"/>
        <v>#NAME?</v>
      </c>
      <c r="I2398" s="100" t="e">
        <f t="shared" ca="1" si="402"/>
        <v>#NAME?</v>
      </c>
      <c r="J2398" s="100" t="e">
        <f ca="1">IFERROR(__xludf.DUMMYFUNCTION("""COMPUTED_VALUE"""),"2.528")</f>
        <v>#NAME?</v>
      </c>
      <c r="K2398" s="100" t="e">
        <f t="shared" ca="1" si="403"/>
        <v>#NAME?</v>
      </c>
      <c r="L2398" s="100"/>
      <c r="M2398" s="100"/>
      <c r="N2398" s="100"/>
      <c r="O2398" s="100"/>
      <c r="P2398" s="100"/>
      <c r="Q2398" s="100"/>
      <c r="R2398" s="100"/>
      <c r="S2398" s="100"/>
      <c r="T2398" s="100"/>
      <c r="U2398" s="100"/>
      <c r="V2398" s="100"/>
      <c r="W2398" s="100"/>
      <c r="X2398" s="100"/>
      <c r="Y2398" s="100"/>
      <c r="Z2398" s="100"/>
    </row>
    <row r="2399" spans="1:26">
      <c r="A2399" s="100" t="e">
        <f ca="1">IFERROR(__xludf.DUMMYFUNCTION("""COMPUTED_VALUE"""),58785734)</f>
        <v>#NAME?</v>
      </c>
      <c r="B2399" s="100" t="e">
        <f ca="1">IFERROR(__xludf.DUMMYFUNCTION("""COMPUTED_VALUE"""),"BONKFDUSD")</f>
        <v>#NAME?</v>
      </c>
      <c r="C2399" s="100" t="e">
        <f ca="1">IFERROR(__xludf.DUMMYFUNCTION("""COMPUTED_VALUE"""),"0.00001301")</f>
        <v>#NAME?</v>
      </c>
      <c r="D2399" s="100" t="e">
        <f t="shared" ca="1" si="404"/>
        <v>#NAME?</v>
      </c>
      <c r="E2399" s="100" t="e">
        <f t="shared" ca="1" si="404"/>
        <v>#NAME?</v>
      </c>
      <c r="F2399" s="100" t="e">
        <f t="shared" ca="1" si="399"/>
        <v>#NAME?</v>
      </c>
      <c r="G2399" s="100" t="e">
        <f t="shared" ca="1" si="400"/>
        <v>#NAME?</v>
      </c>
      <c r="H2399" s="100" t="e">
        <f t="shared" ca="1" si="401"/>
        <v>#NAME?</v>
      </c>
      <c r="I2399" s="100" t="e">
        <f t="shared" ca="1" si="402"/>
        <v>#NAME?</v>
      </c>
      <c r="J2399" s="100" t="e">
        <f ca="1">IFERROR(__xludf.DUMMYFUNCTION("""COMPUTED_VALUE"""),"2.765")</f>
        <v>#NAME?</v>
      </c>
      <c r="K2399" s="100" t="e">
        <f t="shared" ca="1" si="403"/>
        <v>#NAME?</v>
      </c>
      <c r="L2399" s="100"/>
      <c r="M2399" s="100"/>
      <c r="N2399" s="100"/>
      <c r="O2399" s="100"/>
      <c r="P2399" s="100"/>
      <c r="Q2399" s="100"/>
      <c r="R2399" s="100"/>
      <c r="S2399" s="100"/>
      <c r="T2399" s="100"/>
      <c r="U2399" s="100"/>
      <c r="V2399" s="100"/>
      <c r="W2399" s="100"/>
      <c r="X2399" s="100"/>
      <c r="Y2399" s="100"/>
      <c r="Z2399" s="100"/>
    </row>
    <row r="2400" spans="1:26">
      <c r="A2400" s="100" t="e">
        <f ca="1">IFERROR(__xludf.DUMMYFUNCTION("""COMPUTED_VALUE"""),58785735)</f>
        <v>#NAME?</v>
      </c>
      <c r="B2400" s="100" t="e">
        <f ca="1">IFERROR(__xludf.DUMMYFUNCTION("""COMPUTED_VALUE"""),"BONKTRY")</f>
        <v>#NAME?</v>
      </c>
      <c r="C2400" s="100" t="e">
        <f ca="1">IFERROR(__xludf.DUMMYFUNCTION("""COMPUTED_VALUE"""),"0.00049630")</f>
        <v>#NAME?</v>
      </c>
      <c r="D2400" s="100" t="e">
        <f t="shared" ca="1" si="404"/>
        <v>#NAME?</v>
      </c>
      <c r="E2400" s="100" t="e">
        <f t="shared" ca="1" si="404"/>
        <v>#NAME?</v>
      </c>
      <c r="F2400" s="100" t="e">
        <f t="shared" ca="1" si="399"/>
        <v>#NAME?</v>
      </c>
      <c r="G2400" s="100" t="e">
        <f t="shared" ca="1" si="400"/>
        <v>#NAME?</v>
      </c>
      <c r="H2400" s="100" t="e">
        <f t="shared" ca="1" si="401"/>
        <v>#NAME?</v>
      </c>
      <c r="I2400" s="100" t="e">
        <f t="shared" ca="1" si="402"/>
        <v>#NAME?</v>
      </c>
      <c r="J2400" s="100" t="e">
        <f ca="1">IFERROR(__xludf.DUMMYFUNCTION("""COMPUTED_VALUE"""),"2.541")</f>
        <v>#NAME?</v>
      </c>
      <c r="K2400" s="100" t="e">
        <f t="shared" ca="1" si="403"/>
        <v>#NAME?</v>
      </c>
      <c r="L2400" s="100"/>
      <c r="M2400" s="100"/>
      <c r="N2400" s="100"/>
      <c r="O2400" s="100"/>
      <c r="P2400" s="100"/>
      <c r="Q2400" s="100"/>
      <c r="R2400" s="100"/>
      <c r="S2400" s="100"/>
      <c r="T2400" s="100"/>
      <c r="U2400" s="100"/>
      <c r="V2400" s="100"/>
      <c r="W2400" s="100"/>
      <c r="X2400" s="100"/>
      <c r="Y2400" s="100"/>
      <c r="Z2400" s="100"/>
    </row>
    <row r="2401" spans="1:26">
      <c r="A2401" s="100" t="e">
        <f ca="1">IFERROR(__xludf.DUMMYFUNCTION("""COMPUTED_VALUE"""),58785736)</f>
        <v>#NAME?</v>
      </c>
      <c r="B2401" s="100" t="e">
        <f ca="1">IFERROR(__xludf.DUMMYFUNCTION("""COMPUTED_VALUE"""),"ACEFDUSD")</f>
        <v>#NAME?</v>
      </c>
      <c r="C2401" s="100" t="e">
        <f ca="1">IFERROR(__xludf.DUMMYFUNCTION("""COMPUTED_VALUE"""),"2.02200000")</f>
        <v>#NAME?</v>
      </c>
      <c r="D2401" s="100" t="e">
        <f t="shared" ca="1" si="404"/>
        <v>#NAME?</v>
      </c>
      <c r="E2401" s="100" t="e">
        <f t="shared" ca="1" si="404"/>
        <v>#NAME?</v>
      </c>
      <c r="F2401" s="100" t="e">
        <f t="shared" ca="1" si="399"/>
        <v>#NAME?</v>
      </c>
      <c r="G2401" s="100" t="e">
        <f t="shared" ca="1" si="400"/>
        <v>#NAME?</v>
      </c>
      <c r="H2401" s="100" t="e">
        <f t="shared" ca="1" si="401"/>
        <v>#NAME?</v>
      </c>
      <c r="I2401" s="100" t="e">
        <f t="shared" ca="1" si="402"/>
        <v>#NAME?</v>
      </c>
      <c r="J2401" s="100" t="e">
        <f ca="1">IFERROR(__xludf.DUMMYFUNCTION("""COMPUTED_VALUE"""),"0")</f>
        <v>#NAME?</v>
      </c>
      <c r="K2401" s="100" t="e">
        <f t="shared" ca="1" si="403"/>
        <v>#NAME?</v>
      </c>
      <c r="L2401" s="100"/>
      <c r="M2401" s="100"/>
      <c r="N2401" s="100"/>
      <c r="O2401" s="100"/>
      <c r="P2401" s="100"/>
      <c r="Q2401" s="100"/>
      <c r="R2401" s="100"/>
      <c r="S2401" s="100"/>
      <c r="T2401" s="100"/>
      <c r="U2401" s="100"/>
      <c r="V2401" s="100"/>
      <c r="W2401" s="100"/>
      <c r="X2401" s="100"/>
      <c r="Y2401" s="100"/>
      <c r="Z2401" s="100"/>
    </row>
    <row r="2402" spans="1:26">
      <c r="A2402" s="100" t="e">
        <f ca="1">IFERROR(__xludf.DUMMYFUNCTION("""COMPUTED_VALUE"""),58785737)</f>
        <v>#NAME?</v>
      </c>
      <c r="B2402" s="100" t="e">
        <f ca="1">IFERROR(__xludf.DUMMYFUNCTION("""COMPUTED_VALUE"""),"ACEUSDT")</f>
        <v>#NAME?</v>
      </c>
      <c r="C2402" s="100" t="e">
        <f ca="1">IFERROR(__xludf.DUMMYFUNCTION("""COMPUTED_VALUE"""),"0.63100000")</f>
        <v>#NAME?</v>
      </c>
      <c r="D2402" s="100" t="e">
        <f t="shared" ref="D2402:E2421" ca="1" si="405">IFERROR(__xludf.DUMMYFUNCTION("""COMPUTED_VALUE"""),"-")</f>
        <v>#NAME?</v>
      </c>
      <c r="E2402" s="100" t="e">
        <f t="shared" ca="1" si="405"/>
        <v>#NAME?</v>
      </c>
      <c r="F2402" s="100" t="e">
        <f t="shared" ca="1" si="399"/>
        <v>#NAME?</v>
      </c>
      <c r="G2402" s="100" t="e">
        <f t="shared" ca="1" si="400"/>
        <v>#NAME?</v>
      </c>
      <c r="H2402" s="100" t="e">
        <f t="shared" ca="1" si="401"/>
        <v>#NAME?</v>
      </c>
      <c r="I2402" s="100" t="e">
        <f t="shared" ca="1" si="402"/>
        <v>#NAME?</v>
      </c>
      <c r="J2402" s="100" t="e">
        <f ca="1">IFERROR(__xludf.DUMMYFUNCTION("""COMPUTED_VALUE"""),"9.549")</f>
        <v>#NAME?</v>
      </c>
      <c r="K2402" s="100" t="e">
        <f t="shared" ca="1" si="403"/>
        <v>#NAME?</v>
      </c>
      <c r="L2402" s="100"/>
      <c r="M2402" s="100"/>
      <c r="N2402" s="100"/>
      <c r="O2402" s="100"/>
      <c r="P2402" s="100"/>
      <c r="Q2402" s="100"/>
      <c r="R2402" s="100"/>
      <c r="S2402" s="100"/>
      <c r="T2402" s="100"/>
      <c r="U2402" s="100"/>
      <c r="V2402" s="100"/>
      <c r="W2402" s="100"/>
      <c r="X2402" s="100"/>
      <c r="Y2402" s="100"/>
      <c r="Z2402" s="100"/>
    </row>
    <row r="2403" spans="1:26">
      <c r="A2403" s="100" t="e">
        <f ca="1">IFERROR(__xludf.DUMMYFUNCTION("""COMPUTED_VALUE"""),58785738)</f>
        <v>#NAME?</v>
      </c>
      <c r="B2403" s="100" t="e">
        <f ca="1">IFERROR(__xludf.DUMMYFUNCTION("""COMPUTED_VALUE"""),"ACEBNB")</f>
        <v>#NAME?</v>
      </c>
      <c r="C2403" s="100" t="e">
        <f ca="1">IFERROR(__xludf.DUMMYFUNCTION("""COMPUTED_VALUE"""),"0.00894000")</f>
        <v>#NAME?</v>
      </c>
      <c r="D2403" s="100" t="e">
        <f t="shared" ca="1" si="405"/>
        <v>#NAME?</v>
      </c>
      <c r="E2403" s="100" t="e">
        <f t="shared" ca="1" si="405"/>
        <v>#NAME?</v>
      </c>
      <c r="F2403" s="100" t="e">
        <f t="shared" ca="1" si="399"/>
        <v>#NAME?</v>
      </c>
      <c r="G2403" s="100" t="e">
        <f t="shared" ca="1" si="400"/>
        <v>#NAME?</v>
      </c>
      <c r="H2403" s="100" t="e">
        <f t="shared" ca="1" si="401"/>
        <v>#NAME?</v>
      </c>
      <c r="I2403" s="100" t="e">
        <f t="shared" ca="1" si="402"/>
        <v>#NAME?</v>
      </c>
      <c r="J2403" s="100" t="e">
        <f ca="1">IFERROR(__xludf.DUMMYFUNCTION("""COMPUTED_VALUE"""),"0")</f>
        <v>#NAME?</v>
      </c>
      <c r="K2403" s="100" t="e">
        <f t="shared" ca="1" si="403"/>
        <v>#NAME?</v>
      </c>
      <c r="L2403" s="100"/>
      <c r="M2403" s="100"/>
      <c r="N2403" s="100"/>
      <c r="O2403" s="100"/>
      <c r="P2403" s="100"/>
      <c r="Q2403" s="100"/>
      <c r="R2403" s="100"/>
      <c r="S2403" s="100"/>
      <c r="T2403" s="100"/>
      <c r="U2403" s="100"/>
      <c r="V2403" s="100"/>
      <c r="W2403" s="100"/>
      <c r="X2403" s="100"/>
      <c r="Y2403" s="100"/>
      <c r="Z2403" s="100"/>
    </row>
    <row r="2404" spans="1:26">
      <c r="A2404" s="100" t="e">
        <f ca="1">IFERROR(__xludf.DUMMYFUNCTION("""COMPUTED_VALUE"""),58785739)</f>
        <v>#NAME?</v>
      </c>
      <c r="B2404" s="100" t="e">
        <f ca="1">IFERROR(__xludf.DUMMYFUNCTION("""COMPUTED_VALUE"""),"ACEBTC")</f>
        <v>#NAME?</v>
      </c>
      <c r="C2404" s="100" t="e">
        <f ca="1">IFERROR(__xludf.DUMMYFUNCTION("""COMPUTED_VALUE"""),"0.00002169")</f>
        <v>#NAME?</v>
      </c>
      <c r="D2404" s="100" t="e">
        <f t="shared" ca="1" si="405"/>
        <v>#NAME?</v>
      </c>
      <c r="E2404" s="100" t="e">
        <f t="shared" ca="1" si="405"/>
        <v>#NAME?</v>
      </c>
      <c r="F2404" s="100" t="e">
        <f t="shared" ca="1" si="399"/>
        <v>#NAME?</v>
      </c>
      <c r="G2404" s="100" t="e">
        <f t="shared" ca="1" si="400"/>
        <v>#NAME?</v>
      </c>
      <c r="H2404" s="100" t="e">
        <f t="shared" ca="1" si="401"/>
        <v>#NAME?</v>
      </c>
      <c r="I2404" s="100" t="e">
        <f t="shared" ca="1" si="402"/>
        <v>#NAME?</v>
      </c>
      <c r="J2404" s="100" t="e">
        <f ca="1">IFERROR(__xludf.DUMMYFUNCTION("""COMPUTED_VALUE"""),"0")</f>
        <v>#NAME?</v>
      </c>
      <c r="K2404" s="100" t="e">
        <f t="shared" ca="1" si="403"/>
        <v>#NAME?</v>
      </c>
      <c r="L2404" s="100"/>
      <c r="M2404" s="100"/>
      <c r="N2404" s="100"/>
      <c r="O2404" s="100"/>
      <c r="P2404" s="100"/>
      <c r="Q2404" s="100"/>
      <c r="R2404" s="100"/>
      <c r="S2404" s="100"/>
      <c r="T2404" s="100"/>
      <c r="U2404" s="100"/>
      <c r="V2404" s="100"/>
      <c r="W2404" s="100"/>
      <c r="X2404" s="100"/>
      <c r="Y2404" s="100"/>
      <c r="Z2404" s="100"/>
    </row>
    <row r="2405" spans="1:26">
      <c r="A2405" s="100" t="e">
        <f ca="1">IFERROR(__xludf.DUMMYFUNCTION("""COMPUTED_VALUE"""),58785740)</f>
        <v>#NAME?</v>
      </c>
      <c r="B2405" s="100" t="e">
        <f ca="1">IFERROR(__xludf.DUMMYFUNCTION("""COMPUTED_VALUE"""),"ACETRY")</f>
        <v>#NAME?</v>
      </c>
      <c r="C2405" s="100" t="e">
        <f ca="1">IFERROR(__xludf.DUMMYFUNCTION("""COMPUTED_VALUE"""),"24.10000000")</f>
        <v>#NAME?</v>
      </c>
      <c r="D2405" s="100" t="e">
        <f t="shared" ca="1" si="405"/>
        <v>#NAME?</v>
      </c>
      <c r="E2405" s="100" t="e">
        <f t="shared" ca="1" si="405"/>
        <v>#NAME?</v>
      </c>
      <c r="F2405" s="100" t="e">
        <f t="shared" ca="1" si="399"/>
        <v>#NAME?</v>
      </c>
      <c r="G2405" s="100" t="e">
        <f t="shared" ca="1" si="400"/>
        <v>#NAME?</v>
      </c>
      <c r="H2405" s="100" t="e">
        <f t="shared" ca="1" si="401"/>
        <v>#NAME?</v>
      </c>
      <c r="I2405" s="100" t="e">
        <f t="shared" ca="1" si="402"/>
        <v>#NAME?</v>
      </c>
      <c r="J2405" s="100" t="e">
        <f ca="1">IFERROR(__xludf.DUMMYFUNCTION("""COMPUTED_VALUE"""),"9.347")</f>
        <v>#NAME?</v>
      </c>
      <c r="K2405" s="100" t="e">
        <f t="shared" ca="1" si="403"/>
        <v>#NAME?</v>
      </c>
      <c r="L2405" s="100"/>
      <c r="M2405" s="100"/>
      <c r="N2405" s="100"/>
      <c r="O2405" s="100"/>
      <c r="P2405" s="100"/>
      <c r="Q2405" s="100"/>
      <c r="R2405" s="100"/>
      <c r="S2405" s="100"/>
      <c r="T2405" s="100"/>
      <c r="U2405" s="100"/>
      <c r="V2405" s="100"/>
      <c r="W2405" s="100"/>
      <c r="X2405" s="100"/>
      <c r="Y2405" s="100"/>
      <c r="Z2405" s="100"/>
    </row>
    <row r="2406" spans="1:26">
      <c r="A2406" s="100" t="e">
        <f ca="1">IFERROR(__xludf.DUMMYFUNCTION("""COMPUTED_VALUE"""),58785741)</f>
        <v>#NAME?</v>
      </c>
      <c r="B2406" s="100" t="e">
        <f ca="1">IFERROR(__xludf.DUMMYFUNCTION("""COMPUTED_VALUE"""),"BLZFDUSD")</f>
        <v>#NAME?</v>
      </c>
      <c r="C2406" s="100" t="e">
        <f ca="1">IFERROR(__xludf.DUMMYFUNCTION("""COMPUTED_VALUE"""),"0.12600000")</f>
        <v>#NAME?</v>
      </c>
      <c r="D2406" s="100" t="e">
        <f t="shared" ca="1" si="405"/>
        <v>#NAME?</v>
      </c>
      <c r="E2406" s="100" t="e">
        <f t="shared" ca="1" si="405"/>
        <v>#NAME?</v>
      </c>
      <c r="F2406" s="100" t="e">
        <f t="shared" ca="1" si="399"/>
        <v>#NAME?</v>
      </c>
      <c r="G2406" s="100" t="e">
        <f t="shared" ca="1" si="400"/>
        <v>#NAME?</v>
      </c>
      <c r="H2406" s="100" t="e">
        <f t="shared" ca="1" si="401"/>
        <v>#NAME?</v>
      </c>
      <c r="I2406" s="100" t="e">
        <f t="shared" ca="1" si="402"/>
        <v>#NAME?</v>
      </c>
      <c r="J2406" s="100" t="e">
        <f ca="1">IFERROR(__xludf.DUMMYFUNCTION("""COMPUTED_VALUE"""),"0")</f>
        <v>#NAME?</v>
      </c>
      <c r="K2406" s="100" t="e">
        <f t="shared" ca="1" si="403"/>
        <v>#NAME?</v>
      </c>
      <c r="L2406" s="100"/>
      <c r="M2406" s="100"/>
      <c r="N2406" s="100"/>
      <c r="O2406" s="100"/>
      <c r="P2406" s="100"/>
      <c r="Q2406" s="100"/>
      <c r="R2406" s="100"/>
      <c r="S2406" s="100"/>
      <c r="T2406" s="100"/>
      <c r="U2406" s="100"/>
      <c r="V2406" s="100"/>
      <c r="W2406" s="100"/>
      <c r="X2406" s="100"/>
      <c r="Y2406" s="100"/>
      <c r="Z2406" s="100"/>
    </row>
    <row r="2407" spans="1:26">
      <c r="A2407" s="100" t="e">
        <f ca="1">IFERROR(__xludf.DUMMYFUNCTION("""COMPUTED_VALUE"""),58785742)</f>
        <v>#NAME?</v>
      </c>
      <c r="B2407" s="100" t="e">
        <f ca="1">IFERROR(__xludf.DUMMYFUNCTION("""COMPUTED_VALUE"""),"RARETRY")</f>
        <v>#NAME?</v>
      </c>
      <c r="C2407" s="100" t="e">
        <f ca="1">IFERROR(__xludf.DUMMYFUNCTION("""COMPUTED_VALUE"""),"2.16400000")</f>
        <v>#NAME?</v>
      </c>
      <c r="D2407" s="100" t="e">
        <f t="shared" ca="1" si="405"/>
        <v>#NAME?</v>
      </c>
      <c r="E2407" s="100" t="e">
        <f t="shared" ca="1" si="405"/>
        <v>#NAME?</v>
      </c>
      <c r="F2407" s="100" t="e">
        <f t="shared" ca="1" si="399"/>
        <v>#NAME?</v>
      </c>
      <c r="G2407" s="100" t="e">
        <f t="shared" ca="1" si="400"/>
        <v>#NAME?</v>
      </c>
      <c r="H2407" s="100" t="e">
        <f t="shared" ca="1" si="401"/>
        <v>#NAME?</v>
      </c>
      <c r="I2407" s="100" t="e">
        <f t="shared" ca="1" si="402"/>
        <v>#NAME?</v>
      </c>
      <c r="J2407" s="100" t="e">
        <f ca="1">IFERROR(__xludf.DUMMYFUNCTION("""COMPUTED_VALUE"""),"-2.742")</f>
        <v>#NAME?</v>
      </c>
      <c r="K2407" s="100" t="e">
        <f t="shared" ca="1" si="403"/>
        <v>#NAME?</v>
      </c>
      <c r="L2407" s="100"/>
      <c r="M2407" s="100"/>
      <c r="N2407" s="100"/>
      <c r="O2407" s="100"/>
      <c r="P2407" s="100"/>
      <c r="Q2407" s="100"/>
      <c r="R2407" s="100"/>
      <c r="S2407" s="100"/>
      <c r="T2407" s="100"/>
      <c r="U2407" s="100"/>
      <c r="V2407" s="100"/>
      <c r="W2407" s="100"/>
      <c r="X2407" s="100"/>
      <c r="Y2407" s="100"/>
      <c r="Z2407" s="100"/>
    </row>
    <row r="2408" spans="1:26">
      <c r="A2408" s="100" t="e">
        <f ca="1">IFERROR(__xludf.DUMMYFUNCTION("""COMPUTED_VALUE"""),58785743)</f>
        <v>#NAME?</v>
      </c>
      <c r="B2408" s="100" t="e">
        <f ca="1">IFERROR(__xludf.DUMMYFUNCTION("""COMPUTED_VALUE"""),"VANRYTRY")</f>
        <v>#NAME?</v>
      </c>
      <c r="C2408" s="100" t="e">
        <f ca="1">IFERROR(__xludf.DUMMYFUNCTION("""COMPUTED_VALUE"""),"0.98100000")</f>
        <v>#NAME?</v>
      </c>
      <c r="D2408" s="100" t="e">
        <f t="shared" ca="1" si="405"/>
        <v>#NAME?</v>
      </c>
      <c r="E2408" s="100" t="e">
        <f t="shared" ca="1" si="405"/>
        <v>#NAME?</v>
      </c>
      <c r="F2408" s="100" t="e">
        <f t="shared" ca="1" si="399"/>
        <v>#NAME?</v>
      </c>
      <c r="G2408" s="100" t="e">
        <f t="shared" ca="1" si="400"/>
        <v>#NAME?</v>
      </c>
      <c r="H2408" s="100" t="e">
        <f t="shared" ca="1" si="401"/>
        <v>#NAME?</v>
      </c>
      <c r="I2408" s="100" t="e">
        <f t="shared" ca="1" si="402"/>
        <v>#NAME?</v>
      </c>
      <c r="J2408" s="100" t="e">
        <f ca="1">IFERROR(__xludf.DUMMYFUNCTION("""COMPUTED_VALUE"""),"-1.308")</f>
        <v>#NAME?</v>
      </c>
      <c r="K2408" s="100" t="e">
        <f t="shared" ca="1" si="403"/>
        <v>#NAME?</v>
      </c>
      <c r="L2408" s="100"/>
      <c r="M2408" s="100"/>
      <c r="N2408" s="100"/>
      <c r="O2408" s="100"/>
      <c r="P2408" s="100"/>
      <c r="Q2408" s="100"/>
      <c r="R2408" s="100"/>
      <c r="S2408" s="100"/>
      <c r="T2408" s="100"/>
      <c r="U2408" s="100"/>
      <c r="V2408" s="100"/>
      <c r="W2408" s="100"/>
      <c r="X2408" s="100"/>
      <c r="Y2408" s="100"/>
      <c r="Z2408" s="100"/>
    </row>
    <row r="2409" spans="1:26">
      <c r="A2409" s="100" t="e">
        <f ca="1">IFERROR(__xludf.DUMMYFUNCTION("""COMPUTED_VALUE"""),58785744)</f>
        <v>#NAME?</v>
      </c>
      <c r="B2409" s="100" t="e">
        <f ca="1">IFERROR(__xludf.DUMMYFUNCTION("""COMPUTED_VALUE"""),"NFPBTC")</f>
        <v>#NAME?</v>
      </c>
      <c r="C2409" s="100" t="e">
        <f ca="1">IFERROR(__xludf.DUMMYFUNCTION("""COMPUTED_VALUE"""),"0.00000080")</f>
        <v>#NAME?</v>
      </c>
      <c r="D2409" s="100" t="e">
        <f t="shared" ca="1" si="405"/>
        <v>#NAME?</v>
      </c>
      <c r="E2409" s="100" t="e">
        <f t="shared" ca="1" si="405"/>
        <v>#NAME?</v>
      </c>
      <c r="F2409" s="100" t="e">
        <f t="shared" ca="1" si="399"/>
        <v>#NAME?</v>
      </c>
      <c r="G2409" s="100" t="e">
        <f t="shared" ca="1" si="400"/>
        <v>#NAME?</v>
      </c>
      <c r="H2409" s="100" t="e">
        <f t="shared" ca="1" si="401"/>
        <v>#NAME?</v>
      </c>
      <c r="I2409" s="100" t="e">
        <f t="shared" ca="1" si="402"/>
        <v>#NAME?</v>
      </c>
      <c r="J2409" s="100" t="e">
        <f ca="1">IFERROR(__xludf.DUMMYFUNCTION("""COMPUTED_VALUE"""),"-2.439")</f>
        <v>#NAME?</v>
      </c>
      <c r="K2409" s="100" t="e">
        <f t="shared" ca="1" si="403"/>
        <v>#NAME?</v>
      </c>
      <c r="L2409" s="100"/>
      <c r="M2409" s="100"/>
      <c r="N2409" s="100"/>
      <c r="O2409" s="100"/>
      <c r="P2409" s="100"/>
      <c r="Q2409" s="100"/>
      <c r="R2409" s="100"/>
      <c r="S2409" s="100"/>
      <c r="T2409" s="100"/>
      <c r="U2409" s="100"/>
      <c r="V2409" s="100"/>
      <c r="W2409" s="100"/>
      <c r="X2409" s="100"/>
      <c r="Y2409" s="100"/>
      <c r="Z2409" s="100"/>
    </row>
    <row r="2410" spans="1:26">
      <c r="A2410" s="100" t="e">
        <f ca="1">IFERROR(__xludf.DUMMYFUNCTION("""COMPUTED_VALUE"""),58785745)</f>
        <v>#NAME?</v>
      </c>
      <c r="B2410" s="100" t="e">
        <f ca="1">IFERROR(__xludf.DUMMYFUNCTION("""COMPUTED_VALUE"""),"NFPUSDT")</f>
        <v>#NAME?</v>
      </c>
      <c r="C2410" s="100" t="e">
        <f ca="1">IFERROR(__xludf.DUMMYFUNCTION("""COMPUTED_VALUE"""),"0.07150000")</f>
        <v>#NAME?</v>
      </c>
      <c r="D2410" s="100" t="e">
        <f t="shared" ca="1" si="405"/>
        <v>#NAME?</v>
      </c>
      <c r="E2410" s="100" t="e">
        <f t="shared" ca="1" si="405"/>
        <v>#NAME?</v>
      </c>
      <c r="F2410" s="100" t="e">
        <f t="shared" ca="1" si="399"/>
        <v>#NAME?</v>
      </c>
      <c r="G2410" s="100" t="e">
        <f t="shared" ca="1" si="400"/>
        <v>#NAME?</v>
      </c>
      <c r="H2410" s="100" t="e">
        <f t="shared" ca="1" si="401"/>
        <v>#NAME?</v>
      </c>
      <c r="I2410" s="100" t="e">
        <f t="shared" ca="1" si="402"/>
        <v>#NAME?</v>
      </c>
      <c r="J2410" s="100" t="e">
        <f ca="1">IFERROR(__xludf.DUMMYFUNCTION("""COMPUTED_VALUE"""),"-0.140")</f>
        <v>#NAME?</v>
      </c>
      <c r="K2410" s="100" t="e">
        <f t="shared" ca="1" si="403"/>
        <v>#NAME?</v>
      </c>
      <c r="L2410" s="100"/>
      <c r="M2410" s="100"/>
      <c r="N2410" s="100"/>
      <c r="O2410" s="100"/>
      <c r="P2410" s="100"/>
      <c r="Q2410" s="100"/>
      <c r="R2410" s="100"/>
      <c r="S2410" s="100"/>
      <c r="T2410" s="100"/>
      <c r="U2410" s="100"/>
      <c r="V2410" s="100"/>
      <c r="W2410" s="100"/>
      <c r="X2410" s="100"/>
      <c r="Y2410" s="100"/>
      <c r="Z2410" s="100"/>
    </row>
    <row r="2411" spans="1:26">
      <c r="A2411" s="100" t="e">
        <f ca="1">IFERROR(__xludf.DUMMYFUNCTION("""COMPUTED_VALUE"""),58785746)</f>
        <v>#NAME?</v>
      </c>
      <c r="B2411" s="100" t="e">
        <f ca="1">IFERROR(__xludf.DUMMYFUNCTION("""COMPUTED_VALUE"""),"NFPBNB")</f>
        <v>#NAME?</v>
      </c>
      <c r="C2411" s="100" t="e">
        <f ca="1">IFERROR(__xludf.DUMMYFUNCTION("""COMPUTED_VALUE"""),"0.00056200")</f>
        <v>#NAME?</v>
      </c>
      <c r="D2411" s="100" t="e">
        <f t="shared" ca="1" si="405"/>
        <v>#NAME?</v>
      </c>
      <c r="E2411" s="100" t="e">
        <f t="shared" ca="1" si="405"/>
        <v>#NAME?</v>
      </c>
      <c r="F2411" s="100" t="e">
        <f t="shared" ca="1" si="399"/>
        <v>#NAME?</v>
      </c>
      <c r="G2411" s="100" t="e">
        <f t="shared" ca="1" si="400"/>
        <v>#NAME?</v>
      </c>
      <c r="H2411" s="100" t="e">
        <f t="shared" ca="1" si="401"/>
        <v>#NAME?</v>
      </c>
      <c r="I2411" s="100" t="e">
        <f t="shared" ca="1" si="402"/>
        <v>#NAME?</v>
      </c>
      <c r="J2411" s="100" t="e">
        <f ca="1">IFERROR(__xludf.DUMMYFUNCTION("""COMPUTED_VALUE"""),"0")</f>
        <v>#NAME?</v>
      </c>
      <c r="K2411" s="100" t="e">
        <f t="shared" ca="1" si="403"/>
        <v>#NAME?</v>
      </c>
      <c r="L2411" s="100"/>
      <c r="M2411" s="100"/>
      <c r="N2411" s="100"/>
      <c r="O2411" s="100"/>
      <c r="P2411" s="100"/>
      <c r="Q2411" s="100"/>
      <c r="R2411" s="100"/>
      <c r="S2411" s="100"/>
      <c r="T2411" s="100"/>
      <c r="U2411" s="100"/>
      <c r="V2411" s="100"/>
      <c r="W2411" s="100"/>
      <c r="X2411" s="100"/>
      <c r="Y2411" s="100"/>
      <c r="Z2411" s="100"/>
    </row>
    <row r="2412" spans="1:26">
      <c r="A2412" s="100" t="e">
        <f ca="1">IFERROR(__xludf.DUMMYFUNCTION("""COMPUTED_VALUE"""),58785747)</f>
        <v>#NAME?</v>
      </c>
      <c r="B2412" s="100" t="e">
        <f ca="1">IFERROR(__xludf.DUMMYFUNCTION("""COMPUTED_VALUE"""),"NFPFDUSD")</f>
        <v>#NAME?</v>
      </c>
      <c r="C2412" s="100" t="e">
        <f ca="1">IFERROR(__xludf.DUMMYFUNCTION("""COMPUTED_VALUE"""),"0.07110000")</f>
        <v>#NAME?</v>
      </c>
      <c r="D2412" s="100" t="e">
        <f t="shared" ca="1" si="405"/>
        <v>#NAME?</v>
      </c>
      <c r="E2412" s="100" t="e">
        <f t="shared" ca="1" si="405"/>
        <v>#NAME?</v>
      </c>
      <c r="F2412" s="100" t="e">
        <f t="shared" ca="1" si="399"/>
        <v>#NAME?</v>
      </c>
      <c r="G2412" s="100" t="e">
        <f t="shared" ca="1" si="400"/>
        <v>#NAME?</v>
      </c>
      <c r="H2412" s="100" t="e">
        <f t="shared" ca="1" si="401"/>
        <v>#NAME?</v>
      </c>
      <c r="I2412" s="100" t="e">
        <f t="shared" ca="1" si="402"/>
        <v>#NAME?</v>
      </c>
      <c r="J2412" s="100" t="e">
        <f ca="1">IFERROR(__xludf.DUMMYFUNCTION("""COMPUTED_VALUE"""),"-1.250")</f>
        <v>#NAME?</v>
      </c>
      <c r="K2412" s="100" t="e">
        <f t="shared" ca="1" si="403"/>
        <v>#NAME?</v>
      </c>
      <c r="L2412" s="100"/>
      <c r="M2412" s="100"/>
      <c r="N2412" s="100"/>
      <c r="O2412" s="100"/>
      <c r="P2412" s="100"/>
      <c r="Q2412" s="100"/>
      <c r="R2412" s="100"/>
      <c r="S2412" s="100"/>
      <c r="T2412" s="100"/>
      <c r="U2412" s="100"/>
      <c r="V2412" s="100"/>
      <c r="W2412" s="100"/>
      <c r="X2412" s="100"/>
      <c r="Y2412" s="100"/>
      <c r="Z2412" s="100"/>
    </row>
    <row r="2413" spans="1:26">
      <c r="A2413" s="100" t="e">
        <f ca="1">IFERROR(__xludf.DUMMYFUNCTION("""COMPUTED_VALUE"""),58785748)</f>
        <v>#NAME?</v>
      </c>
      <c r="B2413" s="100" t="e">
        <f ca="1">IFERROR(__xludf.DUMMYFUNCTION("""COMPUTED_VALUE"""),"NFPTUSD")</f>
        <v>#NAME?</v>
      </c>
      <c r="C2413" s="100" t="e">
        <f ca="1">IFERROR(__xludf.DUMMYFUNCTION("""COMPUTED_VALUE"""),"0.39750000")</f>
        <v>#NAME?</v>
      </c>
      <c r="D2413" s="100" t="e">
        <f t="shared" ca="1" si="405"/>
        <v>#NAME?</v>
      </c>
      <c r="E2413" s="100" t="e">
        <f t="shared" ca="1" si="405"/>
        <v>#NAME?</v>
      </c>
      <c r="F2413" s="100" t="e">
        <f t="shared" ca="1" si="399"/>
        <v>#NAME?</v>
      </c>
      <c r="G2413" s="100" t="e">
        <f t="shared" ca="1" si="400"/>
        <v>#NAME?</v>
      </c>
      <c r="H2413" s="100" t="e">
        <f t="shared" ca="1" si="401"/>
        <v>#NAME?</v>
      </c>
      <c r="I2413" s="100" t="e">
        <f t="shared" ca="1" si="402"/>
        <v>#NAME?</v>
      </c>
      <c r="J2413" s="100" t="e">
        <f ca="1">IFERROR(__xludf.DUMMYFUNCTION("""COMPUTED_VALUE"""),"0")</f>
        <v>#NAME?</v>
      </c>
      <c r="K2413" s="100" t="e">
        <f t="shared" ca="1" si="403"/>
        <v>#NAME?</v>
      </c>
      <c r="L2413" s="100"/>
      <c r="M2413" s="100"/>
      <c r="N2413" s="100"/>
      <c r="O2413" s="100"/>
      <c r="P2413" s="100"/>
      <c r="Q2413" s="100"/>
      <c r="R2413" s="100"/>
      <c r="S2413" s="100"/>
      <c r="T2413" s="100"/>
      <c r="U2413" s="100"/>
      <c r="V2413" s="100"/>
      <c r="W2413" s="100"/>
      <c r="X2413" s="100"/>
      <c r="Y2413" s="100"/>
      <c r="Z2413" s="100"/>
    </row>
    <row r="2414" spans="1:26">
      <c r="A2414" s="100" t="e">
        <f ca="1">IFERROR(__xludf.DUMMYFUNCTION("""COMPUTED_VALUE"""),58785749)</f>
        <v>#NAME?</v>
      </c>
      <c r="B2414" s="100" t="e">
        <f ca="1">IFERROR(__xludf.DUMMYFUNCTION("""COMPUTED_VALUE"""),"NFPTRY")</f>
        <v>#NAME?</v>
      </c>
      <c r="C2414" s="100" t="e">
        <f ca="1">IFERROR(__xludf.DUMMYFUNCTION("""COMPUTED_VALUE"""),"2.73000000")</f>
        <v>#NAME?</v>
      </c>
      <c r="D2414" s="100" t="e">
        <f t="shared" ca="1" si="405"/>
        <v>#NAME?</v>
      </c>
      <c r="E2414" s="100" t="e">
        <f t="shared" ca="1" si="405"/>
        <v>#NAME?</v>
      </c>
      <c r="F2414" s="100" t="e">
        <f t="shared" ca="1" si="399"/>
        <v>#NAME?</v>
      </c>
      <c r="G2414" s="100" t="e">
        <f t="shared" ca="1" si="400"/>
        <v>#NAME?</v>
      </c>
      <c r="H2414" s="100" t="e">
        <f t="shared" ca="1" si="401"/>
        <v>#NAME?</v>
      </c>
      <c r="I2414" s="100" t="e">
        <f t="shared" ca="1" si="402"/>
        <v>#NAME?</v>
      </c>
      <c r="J2414" s="100" t="e">
        <f ca="1">IFERROR(__xludf.DUMMYFUNCTION("""COMPUTED_VALUE"""),"0.000")</f>
        <v>#NAME?</v>
      </c>
      <c r="K2414" s="100" t="e">
        <f t="shared" ca="1" si="403"/>
        <v>#NAME?</v>
      </c>
      <c r="L2414" s="100"/>
      <c r="M2414" s="100"/>
      <c r="N2414" s="100"/>
      <c r="O2414" s="100"/>
      <c r="P2414" s="100"/>
      <c r="Q2414" s="100"/>
      <c r="R2414" s="100"/>
      <c r="S2414" s="100"/>
      <c r="T2414" s="100"/>
      <c r="U2414" s="100"/>
      <c r="V2414" s="100"/>
      <c r="W2414" s="100"/>
      <c r="X2414" s="100"/>
      <c r="Y2414" s="100"/>
      <c r="Z2414" s="100"/>
    </row>
    <row r="2415" spans="1:26">
      <c r="A2415" s="100" t="e">
        <f ca="1">IFERROR(__xludf.DUMMYFUNCTION("""COMPUTED_VALUE"""),58785750)</f>
        <v>#NAME?</v>
      </c>
      <c r="B2415" s="100" t="e">
        <f ca="1">IFERROR(__xludf.DUMMYFUNCTION("""COMPUTED_VALUE"""),"ARBUSDC")</f>
        <v>#NAME?</v>
      </c>
      <c r="C2415" s="100" t="e">
        <f ca="1">IFERROR(__xludf.DUMMYFUNCTION("""COMPUTED_VALUE"""),"0.30040000")</f>
        <v>#NAME?</v>
      </c>
      <c r="D2415" s="100" t="e">
        <f t="shared" ca="1" si="405"/>
        <v>#NAME?</v>
      </c>
      <c r="E2415" s="100" t="e">
        <f t="shared" ca="1" si="405"/>
        <v>#NAME?</v>
      </c>
      <c r="F2415" s="100" t="e">
        <f t="shared" ca="1" si="399"/>
        <v>#NAME?</v>
      </c>
      <c r="G2415" s="100" t="e">
        <f t="shared" ca="1" si="400"/>
        <v>#NAME?</v>
      </c>
      <c r="H2415" s="100" t="e">
        <f t="shared" ca="1" si="401"/>
        <v>#NAME?</v>
      </c>
      <c r="I2415" s="100" t="e">
        <f t="shared" ca="1" si="402"/>
        <v>#NAME?</v>
      </c>
      <c r="J2415" s="100" t="e">
        <f ca="1">IFERROR(__xludf.DUMMYFUNCTION("""COMPUTED_VALUE"""),"-3.718")</f>
        <v>#NAME?</v>
      </c>
      <c r="K2415" s="100" t="e">
        <f t="shared" ca="1" si="403"/>
        <v>#NAME?</v>
      </c>
      <c r="L2415" s="100"/>
      <c r="M2415" s="100"/>
      <c r="N2415" s="100"/>
      <c r="O2415" s="100"/>
      <c r="P2415" s="100"/>
      <c r="Q2415" s="100"/>
      <c r="R2415" s="100"/>
      <c r="S2415" s="100"/>
      <c r="T2415" s="100"/>
      <c r="U2415" s="100"/>
      <c r="V2415" s="100"/>
      <c r="W2415" s="100"/>
      <c r="X2415" s="100"/>
      <c r="Y2415" s="100"/>
      <c r="Z2415" s="100"/>
    </row>
    <row r="2416" spans="1:26">
      <c r="A2416" s="100" t="e">
        <f ca="1">IFERROR(__xludf.DUMMYFUNCTION("""COMPUTED_VALUE"""),58785751)</f>
        <v>#NAME?</v>
      </c>
      <c r="B2416" s="100" t="e">
        <f ca="1">IFERROR(__xludf.DUMMYFUNCTION("""COMPUTED_VALUE"""),"AVAXUSDC")</f>
        <v>#NAME?</v>
      </c>
      <c r="C2416" s="100" t="e">
        <f ca="1">IFERROR(__xludf.DUMMYFUNCTION("""COMPUTED_VALUE"""),"20.18000000")</f>
        <v>#NAME?</v>
      </c>
      <c r="D2416" s="100" t="e">
        <f t="shared" ca="1" si="405"/>
        <v>#NAME?</v>
      </c>
      <c r="E2416" s="100" t="e">
        <f t="shared" ca="1" si="405"/>
        <v>#NAME?</v>
      </c>
      <c r="F2416" s="100" t="e">
        <f t="shared" ca="1" si="399"/>
        <v>#NAME?</v>
      </c>
      <c r="G2416" s="100" t="e">
        <f t="shared" ca="1" si="400"/>
        <v>#NAME?</v>
      </c>
      <c r="H2416" s="100" t="e">
        <f t="shared" ca="1" si="401"/>
        <v>#NAME?</v>
      </c>
      <c r="I2416" s="100" t="e">
        <f t="shared" ca="1" si="402"/>
        <v>#NAME?</v>
      </c>
      <c r="J2416" s="100" t="e">
        <f ca="1">IFERROR(__xludf.DUMMYFUNCTION("""COMPUTED_VALUE"""),"-2.181")</f>
        <v>#NAME?</v>
      </c>
      <c r="K2416" s="100" t="e">
        <f t="shared" ca="1" si="403"/>
        <v>#NAME?</v>
      </c>
      <c r="L2416" s="100"/>
      <c r="M2416" s="100"/>
      <c r="N2416" s="100"/>
      <c r="O2416" s="100"/>
      <c r="P2416" s="100"/>
      <c r="Q2416" s="100"/>
      <c r="R2416" s="100"/>
      <c r="S2416" s="100"/>
      <c r="T2416" s="100"/>
      <c r="U2416" s="100"/>
      <c r="V2416" s="100"/>
      <c r="W2416" s="100"/>
      <c r="X2416" s="100"/>
      <c r="Y2416" s="100"/>
      <c r="Z2416" s="100"/>
    </row>
    <row r="2417" spans="1:26">
      <c r="A2417" s="100" t="e">
        <f ca="1">IFERROR(__xludf.DUMMYFUNCTION("""COMPUTED_VALUE"""),58785752)</f>
        <v>#NAME?</v>
      </c>
      <c r="B2417" s="100" t="e">
        <f ca="1">IFERROR(__xludf.DUMMYFUNCTION("""COMPUTED_VALUE"""),"DOTUSDC")</f>
        <v>#NAME?</v>
      </c>
      <c r="C2417" s="100" t="e">
        <f ca="1">IFERROR(__xludf.DUMMYFUNCTION("""COMPUTED_VALUE"""),"3.74200000")</f>
        <v>#NAME?</v>
      </c>
      <c r="D2417" s="100" t="e">
        <f t="shared" ca="1" si="405"/>
        <v>#NAME?</v>
      </c>
      <c r="E2417" s="100" t="e">
        <f t="shared" ca="1" si="405"/>
        <v>#NAME?</v>
      </c>
      <c r="F2417" s="100" t="e">
        <f t="shared" ca="1" si="399"/>
        <v>#NAME?</v>
      </c>
      <c r="G2417" s="100" t="e">
        <f t="shared" ca="1" si="400"/>
        <v>#NAME?</v>
      </c>
      <c r="H2417" s="100" t="e">
        <f t="shared" ca="1" si="401"/>
        <v>#NAME?</v>
      </c>
      <c r="I2417" s="100" t="e">
        <f t="shared" ca="1" si="402"/>
        <v>#NAME?</v>
      </c>
      <c r="J2417" s="100" t="e">
        <f ca="1">IFERROR(__xludf.DUMMYFUNCTION("""COMPUTED_VALUE"""),"-4.589")</f>
        <v>#NAME?</v>
      </c>
      <c r="K2417" s="100" t="e">
        <f t="shared" ca="1" si="403"/>
        <v>#NAME?</v>
      </c>
      <c r="L2417" s="100"/>
      <c r="M2417" s="100"/>
      <c r="N2417" s="100"/>
      <c r="O2417" s="100"/>
      <c r="P2417" s="100"/>
      <c r="Q2417" s="100"/>
      <c r="R2417" s="100"/>
      <c r="S2417" s="100"/>
      <c r="T2417" s="100"/>
      <c r="U2417" s="100"/>
      <c r="V2417" s="100"/>
      <c r="W2417" s="100"/>
      <c r="X2417" s="100"/>
      <c r="Y2417" s="100"/>
      <c r="Z2417" s="100"/>
    </row>
    <row r="2418" spans="1:26">
      <c r="A2418" s="100" t="e">
        <f ca="1">IFERROR(__xludf.DUMMYFUNCTION("""COMPUTED_VALUE"""),58785753)</f>
        <v>#NAME?</v>
      </c>
      <c r="B2418" s="100" t="e">
        <f ca="1">IFERROR(__xludf.DUMMYFUNCTION("""COMPUTED_VALUE"""),"INJUSDC")</f>
        <v>#NAME?</v>
      </c>
      <c r="C2418" s="100" t="e">
        <f ca="1">IFERROR(__xludf.DUMMYFUNCTION("""COMPUTED_VALUE"""),"8.49000000")</f>
        <v>#NAME?</v>
      </c>
      <c r="D2418" s="100" t="e">
        <f t="shared" ca="1" si="405"/>
        <v>#NAME?</v>
      </c>
      <c r="E2418" s="100" t="e">
        <f t="shared" ca="1" si="405"/>
        <v>#NAME?</v>
      </c>
      <c r="F2418" s="100" t="e">
        <f t="shared" ca="1" si="399"/>
        <v>#NAME?</v>
      </c>
      <c r="G2418" s="100" t="e">
        <f t="shared" ca="1" si="400"/>
        <v>#NAME?</v>
      </c>
      <c r="H2418" s="100" t="e">
        <f t="shared" ca="1" si="401"/>
        <v>#NAME?</v>
      </c>
      <c r="I2418" s="100" t="e">
        <f t="shared" ca="1" si="402"/>
        <v>#NAME?</v>
      </c>
      <c r="J2418" s="100" t="e">
        <f ca="1">IFERROR(__xludf.DUMMYFUNCTION("""COMPUTED_VALUE"""),"-5.034")</f>
        <v>#NAME?</v>
      </c>
      <c r="K2418" s="100" t="e">
        <f t="shared" ca="1" si="403"/>
        <v>#NAME?</v>
      </c>
      <c r="L2418" s="100"/>
      <c r="M2418" s="100"/>
      <c r="N2418" s="100"/>
      <c r="O2418" s="100"/>
      <c r="P2418" s="100"/>
      <c r="Q2418" s="100"/>
      <c r="R2418" s="100"/>
      <c r="S2418" s="100"/>
      <c r="T2418" s="100"/>
      <c r="U2418" s="100"/>
      <c r="V2418" s="100"/>
      <c r="W2418" s="100"/>
      <c r="X2418" s="100"/>
      <c r="Y2418" s="100"/>
      <c r="Z2418" s="100"/>
    </row>
    <row r="2419" spans="1:26">
      <c r="A2419" s="100" t="e">
        <f ca="1">IFERROR(__xludf.DUMMYFUNCTION("""COMPUTED_VALUE"""),58785754)</f>
        <v>#NAME?</v>
      </c>
      <c r="B2419" s="100" t="e">
        <f ca="1">IFERROR(__xludf.DUMMYFUNCTION("""COMPUTED_VALUE"""),"MATICUSDC")</f>
        <v>#NAME?</v>
      </c>
      <c r="C2419" s="100" t="e">
        <f ca="1">IFERROR(__xludf.DUMMYFUNCTION("""COMPUTED_VALUE"""),"0.37910000")</f>
        <v>#NAME?</v>
      </c>
      <c r="D2419" s="100" t="e">
        <f t="shared" ca="1" si="405"/>
        <v>#NAME?</v>
      </c>
      <c r="E2419" s="100" t="e">
        <f t="shared" ca="1" si="405"/>
        <v>#NAME?</v>
      </c>
      <c r="F2419" s="100" t="e">
        <f t="shared" ca="1" si="399"/>
        <v>#NAME?</v>
      </c>
      <c r="G2419" s="100" t="e">
        <f t="shared" ca="1" si="400"/>
        <v>#NAME?</v>
      </c>
      <c r="H2419" s="100" t="e">
        <f t="shared" ca="1" si="401"/>
        <v>#NAME?</v>
      </c>
      <c r="I2419" s="100" t="e">
        <f t="shared" ca="1" si="402"/>
        <v>#NAME?</v>
      </c>
      <c r="J2419" s="100" t="e">
        <f ca="1">IFERROR(__xludf.DUMMYFUNCTION("""COMPUTED_VALUE"""),"0")</f>
        <v>#NAME?</v>
      </c>
      <c r="K2419" s="100" t="e">
        <f t="shared" ca="1" si="403"/>
        <v>#NAME?</v>
      </c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</row>
    <row r="2420" spans="1:26">
      <c r="A2420" s="100" t="e">
        <f ca="1">IFERROR(__xludf.DUMMYFUNCTION("""COMPUTED_VALUE"""),58785755)</f>
        <v>#NAME?</v>
      </c>
      <c r="B2420" s="100" t="e">
        <f ca="1">IFERROR(__xludf.DUMMYFUNCTION("""COMPUTED_VALUE"""),"OPUSDC")</f>
        <v>#NAME?</v>
      </c>
      <c r="C2420" s="100" t="e">
        <f ca="1">IFERROR(__xludf.DUMMYFUNCTION("""COMPUTED_VALUE"""),"0.69100000")</f>
        <v>#NAME?</v>
      </c>
      <c r="D2420" s="100" t="e">
        <f t="shared" ca="1" si="405"/>
        <v>#NAME?</v>
      </c>
      <c r="E2420" s="100" t="e">
        <f t="shared" ca="1" si="405"/>
        <v>#NAME?</v>
      </c>
      <c r="F2420" s="100" t="e">
        <f t="shared" ca="1" si="399"/>
        <v>#NAME?</v>
      </c>
      <c r="G2420" s="100" t="e">
        <f t="shared" ca="1" si="400"/>
        <v>#NAME?</v>
      </c>
      <c r="H2420" s="100" t="e">
        <f t="shared" ca="1" si="401"/>
        <v>#NAME?</v>
      </c>
      <c r="I2420" s="100" t="e">
        <f t="shared" ca="1" si="402"/>
        <v>#NAME?</v>
      </c>
      <c r="J2420" s="100" t="e">
        <f ca="1">IFERROR(__xludf.DUMMYFUNCTION("""COMPUTED_VALUE"""),"-4.821")</f>
        <v>#NAME?</v>
      </c>
      <c r="K2420" s="100" t="e">
        <f t="shared" ca="1" si="403"/>
        <v>#NAME?</v>
      </c>
      <c r="L2420" s="100"/>
      <c r="M2420" s="100"/>
      <c r="N2420" s="100"/>
      <c r="O2420" s="100"/>
      <c r="P2420" s="100"/>
      <c r="Q2420" s="100"/>
      <c r="R2420" s="100"/>
      <c r="S2420" s="100"/>
      <c r="T2420" s="100"/>
      <c r="U2420" s="100"/>
      <c r="V2420" s="100"/>
      <c r="W2420" s="100"/>
      <c r="X2420" s="100"/>
      <c r="Y2420" s="100"/>
      <c r="Z2420" s="100"/>
    </row>
    <row r="2421" spans="1:26">
      <c r="A2421" s="100" t="e">
        <f ca="1">IFERROR(__xludf.DUMMYFUNCTION("""COMPUTED_VALUE"""),58785756)</f>
        <v>#NAME?</v>
      </c>
      <c r="B2421" s="100" t="e">
        <f ca="1">IFERROR(__xludf.DUMMYFUNCTION("""COMPUTED_VALUE"""),"ORDIUSDC")</f>
        <v>#NAME?</v>
      </c>
      <c r="C2421" s="100" t="e">
        <f ca="1">IFERROR(__xludf.DUMMYFUNCTION("""COMPUTED_VALUE"""),"6.65000000")</f>
        <v>#NAME?</v>
      </c>
      <c r="D2421" s="100" t="e">
        <f t="shared" ca="1" si="405"/>
        <v>#NAME?</v>
      </c>
      <c r="E2421" s="100" t="e">
        <f t="shared" ca="1" si="405"/>
        <v>#NAME?</v>
      </c>
      <c r="F2421" s="100" t="e">
        <f t="shared" ca="1" si="399"/>
        <v>#NAME?</v>
      </c>
      <c r="G2421" s="100" t="e">
        <f t="shared" ca="1" si="400"/>
        <v>#NAME?</v>
      </c>
      <c r="H2421" s="100" t="e">
        <f t="shared" ca="1" si="401"/>
        <v>#NAME?</v>
      </c>
      <c r="I2421" s="100" t="e">
        <f t="shared" ca="1" si="402"/>
        <v>#NAME?</v>
      </c>
      <c r="J2421" s="100" t="e">
        <f ca="1">IFERROR(__xludf.DUMMYFUNCTION("""COMPUTED_VALUE"""),"-1.627")</f>
        <v>#NAME?</v>
      </c>
      <c r="K2421" s="100" t="e">
        <f t="shared" ca="1" si="403"/>
        <v>#NAME?</v>
      </c>
      <c r="L2421" s="100"/>
      <c r="M2421" s="100"/>
      <c r="N2421" s="100"/>
      <c r="O2421" s="100"/>
      <c r="P2421" s="100"/>
      <c r="Q2421" s="100"/>
      <c r="R2421" s="100"/>
      <c r="S2421" s="100"/>
      <c r="T2421" s="100"/>
      <c r="U2421" s="100"/>
      <c r="V2421" s="100"/>
      <c r="W2421" s="100"/>
      <c r="X2421" s="100"/>
      <c r="Y2421" s="100"/>
      <c r="Z2421" s="100"/>
    </row>
    <row r="2422" spans="1:26">
      <c r="A2422" s="100" t="e">
        <f ca="1">IFERROR(__xludf.DUMMYFUNCTION("""COMPUTED_VALUE"""),58785757)</f>
        <v>#NAME?</v>
      </c>
      <c r="B2422" s="100" t="e">
        <f ca="1">IFERROR(__xludf.DUMMYFUNCTION("""COMPUTED_VALUE"""),"AIBTC")</f>
        <v>#NAME?</v>
      </c>
      <c r="C2422" s="100" t="e">
        <f ca="1">IFERROR(__xludf.DUMMYFUNCTION("""COMPUTED_VALUE"""),"0.00000172")</f>
        <v>#NAME?</v>
      </c>
      <c r="D2422" s="100" t="e">
        <f t="shared" ref="D2422:E2441" ca="1" si="406">IFERROR(__xludf.DUMMYFUNCTION("""COMPUTED_VALUE"""),"-")</f>
        <v>#NAME?</v>
      </c>
      <c r="E2422" s="100" t="e">
        <f t="shared" ca="1" si="406"/>
        <v>#NAME?</v>
      </c>
      <c r="F2422" s="100" t="e">
        <f t="shared" ca="1" si="399"/>
        <v>#NAME?</v>
      </c>
      <c r="G2422" s="100" t="e">
        <f t="shared" ca="1" si="400"/>
        <v>#NAME?</v>
      </c>
      <c r="H2422" s="100" t="e">
        <f t="shared" ca="1" si="401"/>
        <v>#NAME?</v>
      </c>
      <c r="I2422" s="100" t="e">
        <f t="shared" ca="1" si="402"/>
        <v>#NAME?</v>
      </c>
      <c r="J2422" s="100" t="e">
        <f ca="1">IFERROR(__xludf.DUMMYFUNCTION("""COMPUTED_VALUE"""),"4.878")</f>
        <v>#NAME?</v>
      </c>
      <c r="K2422" s="100" t="e">
        <f t="shared" ca="1" si="403"/>
        <v>#NAME?</v>
      </c>
      <c r="L2422" s="100"/>
      <c r="M2422" s="100"/>
      <c r="N2422" s="100"/>
      <c r="O2422" s="100"/>
      <c r="P2422" s="100"/>
      <c r="Q2422" s="100"/>
      <c r="R2422" s="100"/>
      <c r="S2422" s="100"/>
      <c r="T2422" s="100"/>
      <c r="U2422" s="100"/>
      <c r="V2422" s="100"/>
      <c r="W2422" s="100"/>
      <c r="X2422" s="100"/>
      <c r="Y2422" s="100"/>
      <c r="Z2422" s="100"/>
    </row>
    <row r="2423" spans="1:26">
      <c r="A2423" s="100" t="e">
        <f ca="1">IFERROR(__xludf.DUMMYFUNCTION("""COMPUTED_VALUE"""),58785758)</f>
        <v>#NAME?</v>
      </c>
      <c r="B2423" s="100" t="e">
        <f ca="1">IFERROR(__xludf.DUMMYFUNCTION("""COMPUTED_VALUE"""),"AIUSDT")</f>
        <v>#NAME?</v>
      </c>
      <c r="C2423" s="100" t="e">
        <f ca="1">IFERROR(__xludf.DUMMYFUNCTION("""COMPUTED_VALUE"""),"0.15170000")</f>
        <v>#NAME?</v>
      </c>
      <c r="D2423" s="100" t="e">
        <f t="shared" ca="1" si="406"/>
        <v>#NAME?</v>
      </c>
      <c r="E2423" s="100" t="e">
        <f t="shared" ca="1" si="406"/>
        <v>#NAME?</v>
      </c>
      <c r="F2423" s="100" t="e">
        <f t="shared" ca="1" si="399"/>
        <v>#NAME?</v>
      </c>
      <c r="G2423" s="100" t="e">
        <f t="shared" ca="1" si="400"/>
        <v>#NAME?</v>
      </c>
      <c r="H2423" s="100" t="e">
        <f t="shared" ca="1" si="401"/>
        <v>#NAME?</v>
      </c>
      <c r="I2423" s="100" t="e">
        <f t="shared" ca="1" si="402"/>
        <v>#NAME?</v>
      </c>
      <c r="J2423" s="100" t="e">
        <f ca="1">IFERROR(__xludf.DUMMYFUNCTION("""COMPUTED_VALUE"""),"6.158")</f>
        <v>#NAME?</v>
      </c>
      <c r="K2423" s="100" t="e">
        <f t="shared" ca="1" si="403"/>
        <v>#NAME?</v>
      </c>
      <c r="L2423" s="100"/>
      <c r="M2423" s="100"/>
      <c r="N2423" s="100"/>
      <c r="O2423" s="100"/>
      <c r="P2423" s="100"/>
      <c r="Q2423" s="100"/>
      <c r="R2423" s="100"/>
      <c r="S2423" s="100"/>
      <c r="T2423" s="100"/>
      <c r="U2423" s="100"/>
      <c r="V2423" s="100"/>
      <c r="W2423" s="100"/>
      <c r="X2423" s="100"/>
      <c r="Y2423" s="100"/>
      <c r="Z2423" s="100"/>
    </row>
    <row r="2424" spans="1:26">
      <c r="A2424" s="100" t="e">
        <f ca="1">IFERROR(__xludf.DUMMYFUNCTION("""COMPUTED_VALUE"""),58785759)</f>
        <v>#NAME?</v>
      </c>
      <c r="B2424" s="100" t="e">
        <f ca="1">IFERROR(__xludf.DUMMYFUNCTION("""COMPUTED_VALUE"""),"AIBNB")</f>
        <v>#NAME?</v>
      </c>
      <c r="C2424" s="100" t="e">
        <f ca="1">IFERROR(__xludf.DUMMYFUNCTION("""COMPUTED_VALUE"""),"0.00025110")</f>
        <v>#NAME?</v>
      </c>
      <c r="D2424" s="100" t="e">
        <f t="shared" ca="1" si="406"/>
        <v>#NAME?</v>
      </c>
      <c r="E2424" s="100" t="e">
        <f t="shared" ca="1" si="406"/>
        <v>#NAME?</v>
      </c>
      <c r="F2424" s="100" t="e">
        <f t="shared" ca="1" si="399"/>
        <v>#NAME?</v>
      </c>
      <c r="G2424" s="100" t="e">
        <f t="shared" ca="1" si="400"/>
        <v>#NAME?</v>
      </c>
      <c r="H2424" s="100" t="e">
        <f t="shared" ca="1" si="401"/>
        <v>#NAME?</v>
      </c>
      <c r="I2424" s="100" t="e">
        <f t="shared" ca="1" si="402"/>
        <v>#NAME?</v>
      </c>
      <c r="J2424" s="100" t="e">
        <f ca="1">IFERROR(__xludf.DUMMYFUNCTION("""COMPUTED_VALUE"""),"5.771")</f>
        <v>#NAME?</v>
      </c>
      <c r="K2424" s="100" t="e">
        <f t="shared" ca="1" si="403"/>
        <v>#NAME?</v>
      </c>
      <c r="L2424" s="100"/>
      <c r="M2424" s="100"/>
      <c r="N2424" s="100"/>
      <c r="O2424" s="100"/>
      <c r="P2424" s="100"/>
      <c r="Q2424" s="100"/>
      <c r="R2424" s="100"/>
      <c r="S2424" s="100"/>
      <c r="T2424" s="100"/>
      <c r="U2424" s="100"/>
      <c r="V2424" s="100"/>
      <c r="W2424" s="100"/>
      <c r="X2424" s="100"/>
      <c r="Y2424" s="100"/>
      <c r="Z2424" s="100"/>
    </row>
    <row r="2425" spans="1:26">
      <c r="A2425" s="100" t="e">
        <f ca="1">IFERROR(__xludf.DUMMYFUNCTION("""COMPUTED_VALUE"""),58785760)</f>
        <v>#NAME?</v>
      </c>
      <c r="B2425" s="100" t="e">
        <f ca="1">IFERROR(__xludf.DUMMYFUNCTION("""COMPUTED_VALUE"""),"AIFDUSD")</f>
        <v>#NAME?</v>
      </c>
      <c r="C2425" s="100" t="e">
        <f ca="1">IFERROR(__xludf.DUMMYFUNCTION("""COMPUTED_VALUE"""),"0.15180000")</f>
        <v>#NAME?</v>
      </c>
      <c r="D2425" s="100" t="e">
        <f t="shared" ca="1" si="406"/>
        <v>#NAME?</v>
      </c>
      <c r="E2425" s="100" t="e">
        <f t="shared" ca="1" si="406"/>
        <v>#NAME?</v>
      </c>
      <c r="F2425" s="100" t="e">
        <f t="shared" ca="1" si="399"/>
        <v>#NAME?</v>
      </c>
      <c r="G2425" s="100" t="e">
        <f t="shared" ca="1" si="400"/>
        <v>#NAME?</v>
      </c>
      <c r="H2425" s="100" t="e">
        <f t="shared" ca="1" si="401"/>
        <v>#NAME?</v>
      </c>
      <c r="I2425" s="100" t="e">
        <f t="shared" ca="1" si="402"/>
        <v>#NAME?</v>
      </c>
      <c r="J2425" s="100" t="e">
        <f ca="1">IFERROR(__xludf.DUMMYFUNCTION("""COMPUTED_VALUE"""),"5.563")</f>
        <v>#NAME?</v>
      </c>
      <c r="K2425" s="100" t="e">
        <f t="shared" ca="1" si="403"/>
        <v>#NAME?</v>
      </c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</row>
    <row r="2426" spans="1:26">
      <c r="A2426" s="100" t="e">
        <f ca="1">IFERROR(__xludf.DUMMYFUNCTION("""COMPUTED_VALUE"""),58785761)</f>
        <v>#NAME?</v>
      </c>
      <c r="B2426" s="100" t="e">
        <f ca="1">IFERROR(__xludf.DUMMYFUNCTION("""COMPUTED_VALUE"""),"AITUSD")</f>
        <v>#NAME?</v>
      </c>
      <c r="C2426" s="100" t="e">
        <f ca="1">IFERROR(__xludf.DUMMYFUNCTION("""COMPUTED_VALUE"""),"0.51400000")</f>
        <v>#NAME?</v>
      </c>
      <c r="D2426" s="100" t="e">
        <f t="shared" ca="1" si="406"/>
        <v>#NAME?</v>
      </c>
      <c r="E2426" s="100" t="e">
        <f t="shared" ca="1" si="406"/>
        <v>#NAME?</v>
      </c>
      <c r="F2426" s="100" t="e">
        <f t="shared" ca="1" si="399"/>
        <v>#NAME?</v>
      </c>
      <c r="G2426" s="100" t="e">
        <f t="shared" ca="1" si="400"/>
        <v>#NAME?</v>
      </c>
      <c r="H2426" s="100" t="e">
        <f t="shared" ca="1" si="401"/>
        <v>#NAME?</v>
      </c>
      <c r="I2426" s="100" t="e">
        <f t="shared" ca="1" si="402"/>
        <v>#NAME?</v>
      </c>
      <c r="J2426" s="100" t="e">
        <f ca="1">IFERROR(__xludf.DUMMYFUNCTION("""COMPUTED_VALUE"""),"0")</f>
        <v>#NAME?</v>
      </c>
      <c r="K2426" s="100" t="e">
        <f t="shared" ca="1" si="403"/>
        <v>#NAME?</v>
      </c>
      <c r="L2426" s="100"/>
      <c r="M2426" s="100"/>
      <c r="N2426" s="100"/>
      <c r="O2426" s="100"/>
      <c r="P2426" s="100"/>
      <c r="Q2426" s="100"/>
      <c r="R2426" s="100"/>
      <c r="S2426" s="100"/>
      <c r="T2426" s="100"/>
      <c r="U2426" s="100"/>
      <c r="V2426" s="100"/>
      <c r="W2426" s="100"/>
      <c r="X2426" s="100"/>
      <c r="Y2426" s="100"/>
      <c r="Z2426" s="100"/>
    </row>
    <row r="2427" spans="1:26">
      <c r="A2427" s="100" t="e">
        <f ca="1">IFERROR(__xludf.DUMMYFUNCTION("""COMPUTED_VALUE"""),58785762)</f>
        <v>#NAME?</v>
      </c>
      <c r="B2427" s="100" t="e">
        <f ca="1">IFERROR(__xludf.DUMMYFUNCTION("""COMPUTED_VALUE"""),"AITRY")</f>
        <v>#NAME?</v>
      </c>
      <c r="C2427" s="100" t="e">
        <f ca="1">IFERROR(__xludf.DUMMYFUNCTION("""COMPUTED_VALUE"""),"5.80000000")</f>
        <v>#NAME?</v>
      </c>
      <c r="D2427" s="100" t="e">
        <f t="shared" ca="1" si="406"/>
        <v>#NAME?</v>
      </c>
      <c r="E2427" s="100" t="e">
        <f t="shared" ca="1" si="406"/>
        <v>#NAME?</v>
      </c>
      <c r="F2427" s="100" t="e">
        <f t="shared" ca="1" si="399"/>
        <v>#NAME?</v>
      </c>
      <c r="G2427" s="100" t="e">
        <f t="shared" ca="1" si="400"/>
        <v>#NAME?</v>
      </c>
      <c r="H2427" s="100" t="e">
        <f t="shared" ca="1" si="401"/>
        <v>#NAME?</v>
      </c>
      <c r="I2427" s="100" t="e">
        <f t="shared" ca="1" si="402"/>
        <v>#NAME?</v>
      </c>
      <c r="J2427" s="100" t="e">
        <f ca="1">IFERROR(__xludf.DUMMYFUNCTION("""COMPUTED_VALUE"""),"6.227")</f>
        <v>#NAME?</v>
      </c>
      <c r="K2427" s="100" t="e">
        <f t="shared" ca="1" si="403"/>
        <v>#NAME?</v>
      </c>
      <c r="L2427" s="100"/>
      <c r="M2427" s="100"/>
      <c r="N2427" s="100"/>
      <c r="O2427" s="100"/>
      <c r="P2427" s="100"/>
      <c r="Q2427" s="100"/>
      <c r="R2427" s="100"/>
      <c r="S2427" s="100"/>
      <c r="T2427" s="100"/>
      <c r="U2427" s="100"/>
      <c r="V2427" s="100"/>
      <c r="W2427" s="100"/>
      <c r="X2427" s="100"/>
      <c r="Y2427" s="100"/>
      <c r="Z2427" s="100"/>
    </row>
    <row r="2428" spans="1:26">
      <c r="A2428" s="100" t="e">
        <f ca="1">IFERROR(__xludf.DUMMYFUNCTION("""COMPUTED_VALUE"""),58785763)</f>
        <v>#NAME?</v>
      </c>
      <c r="B2428" s="100" t="e">
        <f ca="1">IFERROR(__xludf.DUMMYFUNCTION("""COMPUTED_VALUE"""),"ICPFDUSD")</f>
        <v>#NAME?</v>
      </c>
      <c r="C2428" s="100" t="e">
        <f ca="1">IFERROR(__xludf.DUMMYFUNCTION("""COMPUTED_VALUE"""),"4.67300000")</f>
        <v>#NAME?</v>
      </c>
      <c r="D2428" s="100" t="e">
        <f t="shared" ca="1" si="406"/>
        <v>#NAME?</v>
      </c>
      <c r="E2428" s="100" t="e">
        <f t="shared" ca="1" si="406"/>
        <v>#NAME?</v>
      </c>
      <c r="F2428" s="100" t="e">
        <f t="shared" ca="1" si="399"/>
        <v>#NAME?</v>
      </c>
      <c r="G2428" s="100" t="e">
        <f t="shared" ca="1" si="400"/>
        <v>#NAME?</v>
      </c>
      <c r="H2428" s="100" t="e">
        <f t="shared" ca="1" si="401"/>
        <v>#NAME?</v>
      </c>
      <c r="I2428" s="100" t="e">
        <f t="shared" ca="1" si="402"/>
        <v>#NAME?</v>
      </c>
      <c r="J2428" s="100" t="e">
        <f ca="1">IFERROR(__xludf.DUMMYFUNCTION("""COMPUTED_VALUE"""),"-6.259")</f>
        <v>#NAME?</v>
      </c>
      <c r="K2428" s="100" t="e">
        <f t="shared" ca="1" si="403"/>
        <v>#NAME?</v>
      </c>
      <c r="L2428" s="100"/>
      <c r="M2428" s="100"/>
      <c r="N2428" s="100"/>
      <c r="O2428" s="100"/>
      <c r="P2428" s="100"/>
      <c r="Q2428" s="100"/>
      <c r="R2428" s="100"/>
      <c r="S2428" s="100"/>
      <c r="T2428" s="100"/>
      <c r="U2428" s="100"/>
      <c r="V2428" s="100"/>
      <c r="W2428" s="100"/>
      <c r="X2428" s="100"/>
      <c r="Y2428" s="100"/>
      <c r="Z2428" s="100"/>
    </row>
    <row r="2429" spans="1:26">
      <c r="A2429" s="100" t="e">
        <f ca="1">IFERROR(__xludf.DUMMYFUNCTION("""COMPUTED_VALUE"""),58785764)</f>
        <v>#NAME?</v>
      </c>
      <c r="B2429" s="100" t="e">
        <f ca="1">IFERROR(__xludf.DUMMYFUNCTION("""COMPUTED_VALUE"""),"LDOFDUSD")</f>
        <v>#NAME?</v>
      </c>
      <c r="C2429" s="100" t="e">
        <f ca="1">IFERROR(__xludf.DUMMYFUNCTION("""COMPUTED_VALUE"""),"0.73000000")</f>
        <v>#NAME?</v>
      </c>
      <c r="D2429" s="100" t="e">
        <f t="shared" ca="1" si="406"/>
        <v>#NAME?</v>
      </c>
      <c r="E2429" s="100" t="e">
        <f t="shared" ca="1" si="406"/>
        <v>#NAME?</v>
      </c>
      <c r="F2429" s="100" t="e">
        <f t="shared" ca="1" si="399"/>
        <v>#NAME?</v>
      </c>
      <c r="G2429" s="100" t="e">
        <f t="shared" ca="1" si="400"/>
        <v>#NAME?</v>
      </c>
      <c r="H2429" s="100" t="e">
        <f t="shared" ca="1" si="401"/>
        <v>#NAME?</v>
      </c>
      <c r="I2429" s="100" t="e">
        <f t="shared" ca="1" si="402"/>
        <v>#NAME?</v>
      </c>
      <c r="J2429" s="100" t="e">
        <f ca="1">IFERROR(__xludf.DUMMYFUNCTION("""COMPUTED_VALUE"""),"-1.351")</f>
        <v>#NAME?</v>
      </c>
      <c r="K2429" s="100" t="e">
        <f t="shared" ca="1" si="403"/>
        <v>#NAME?</v>
      </c>
      <c r="L2429" s="100"/>
      <c r="M2429" s="100"/>
      <c r="N2429" s="100"/>
      <c r="O2429" s="100"/>
      <c r="P2429" s="100"/>
      <c r="Q2429" s="100"/>
      <c r="R2429" s="100"/>
      <c r="S2429" s="100"/>
      <c r="T2429" s="100"/>
      <c r="U2429" s="100"/>
      <c r="V2429" s="100"/>
      <c r="W2429" s="100"/>
      <c r="X2429" s="100"/>
      <c r="Y2429" s="100"/>
      <c r="Z2429" s="100"/>
    </row>
    <row r="2430" spans="1:26">
      <c r="A2430" s="100" t="e">
        <f ca="1">IFERROR(__xludf.DUMMYFUNCTION("""COMPUTED_VALUE"""),58785765)</f>
        <v>#NAME?</v>
      </c>
      <c r="B2430" s="100" t="e">
        <f ca="1">IFERROR(__xludf.DUMMYFUNCTION("""COMPUTED_VALUE"""),"MOVRTRY")</f>
        <v>#NAME?</v>
      </c>
      <c r="C2430" s="100" t="e">
        <f ca="1">IFERROR(__xludf.DUMMYFUNCTION("""COMPUTED_VALUE"""),"210.70000000")</f>
        <v>#NAME?</v>
      </c>
      <c r="D2430" s="100" t="e">
        <f t="shared" ca="1" si="406"/>
        <v>#NAME?</v>
      </c>
      <c r="E2430" s="100" t="e">
        <f t="shared" ca="1" si="406"/>
        <v>#NAME?</v>
      </c>
      <c r="F2430" s="100" t="e">
        <f t="shared" ca="1" si="399"/>
        <v>#NAME?</v>
      </c>
      <c r="G2430" s="100" t="e">
        <f t="shared" ca="1" si="400"/>
        <v>#NAME?</v>
      </c>
      <c r="H2430" s="100" t="e">
        <f t="shared" ca="1" si="401"/>
        <v>#NAME?</v>
      </c>
      <c r="I2430" s="100" t="e">
        <f t="shared" ca="1" si="402"/>
        <v>#NAME?</v>
      </c>
      <c r="J2430" s="100" t="e">
        <f ca="1">IFERROR(__xludf.DUMMYFUNCTION("""COMPUTED_VALUE"""),"-4.790")</f>
        <v>#NAME?</v>
      </c>
      <c r="K2430" s="100" t="e">
        <f t="shared" ca="1" si="403"/>
        <v>#NAME?</v>
      </c>
      <c r="L2430" s="100"/>
      <c r="M2430" s="100"/>
      <c r="N2430" s="100"/>
      <c r="O2430" s="100"/>
      <c r="P2430" s="100"/>
      <c r="Q2430" s="100"/>
      <c r="R2430" s="100"/>
      <c r="S2430" s="100"/>
      <c r="T2430" s="100"/>
      <c r="U2430" s="100"/>
      <c r="V2430" s="100"/>
      <c r="W2430" s="100"/>
      <c r="X2430" s="100"/>
      <c r="Y2430" s="100"/>
      <c r="Z2430" s="100"/>
    </row>
    <row r="2431" spans="1:26">
      <c r="A2431" s="100" t="e">
        <f ca="1">IFERROR(__xludf.DUMMYFUNCTION("""COMPUTED_VALUE"""),58785766)</f>
        <v>#NAME?</v>
      </c>
      <c r="B2431" s="100" t="e">
        <f ca="1">IFERROR(__xludf.DUMMYFUNCTION("""COMPUTED_VALUE"""),"XAIBTC")</f>
        <v>#NAME?</v>
      </c>
      <c r="C2431" s="100" t="e">
        <f ca="1">IFERROR(__xludf.DUMMYFUNCTION("""COMPUTED_VALUE"""),"0.00000089")</f>
        <v>#NAME?</v>
      </c>
      <c r="D2431" s="100" t="e">
        <f t="shared" ca="1" si="406"/>
        <v>#NAME?</v>
      </c>
      <c r="E2431" s="100" t="e">
        <f t="shared" ca="1" si="406"/>
        <v>#NAME?</v>
      </c>
      <c r="F2431" s="100" t="e">
        <f t="shared" ca="1" si="399"/>
        <v>#NAME?</v>
      </c>
      <c r="G2431" s="100" t="e">
        <f t="shared" ca="1" si="400"/>
        <v>#NAME?</v>
      </c>
      <c r="H2431" s="100" t="e">
        <f t="shared" ca="1" si="401"/>
        <v>#NAME?</v>
      </c>
      <c r="I2431" s="100" t="e">
        <f t="shared" ca="1" si="402"/>
        <v>#NAME?</v>
      </c>
      <c r="J2431" s="100" t="e">
        <f ca="1">IFERROR(__xludf.DUMMYFUNCTION("""COMPUTED_VALUE"""),"0")</f>
        <v>#NAME?</v>
      </c>
      <c r="K2431" s="100" t="e">
        <f t="shared" ca="1" si="403"/>
        <v>#NAME?</v>
      </c>
      <c r="L2431" s="100"/>
      <c r="M2431" s="100"/>
      <c r="N2431" s="100"/>
      <c r="O2431" s="100"/>
      <c r="P2431" s="100"/>
      <c r="Q2431" s="100"/>
      <c r="R2431" s="100"/>
      <c r="S2431" s="100"/>
      <c r="T2431" s="100"/>
      <c r="U2431" s="100"/>
      <c r="V2431" s="100"/>
      <c r="W2431" s="100"/>
      <c r="X2431" s="100"/>
      <c r="Y2431" s="100"/>
      <c r="Z2431" s="100"/>
    </row>
    <row r="2432" spans="1:26">
      <c r="A2432" s="100" t="e">
        <f ca="1">IFERROR(__xludf.DUMMYFUNCTION("""COMPUTED_VALUE"""),58785767)</f>
        <v>#NAME?</v>
      </c>
      <c r="B2432" s="100" t="e">
        <f ca="1">IFERROR(__xludf.DUMMYFUNCTION("""COMPUTED_VALUE"""),"XAIUSDT")</f>
        <v>#NAME?</v>
      </c>
      <c r="C2432" s="100" t="e">
        <f ca="1">IFERROR(__xludf.DUMMYFUNCTION("""COMPUTED_VALUE"""),"0.05660000")</f>
        <v>#NAME?</v>
      </c>
      <c r="D2432" s="100" t="e">
        <f t="shared" ca="1" si="406"/>
        <v>#NAME?</v>
      </c>
      <c r="E2432" s="100" t="e">
        <f t="shared" ca="1" si="406"/>
        <v>#NAME?</v>
      </c>
      <c r="F2432" s="100" t="e">
        <f t="shared" ca="1" si="399"/>
        <v>#NAME?</v>
      </c>
      <c r="G2432" s="100" t="e">
        <f t="shared" ca="1" si="400"/>
        <v>#NAME?</v>
      </c>
      <c r="H2432" s="100" t="e">
        <f t="shared" ca="1" si="401"/>
        <v>#NAME?</v>
      </c>
      <c r="I2432" s="100" t="e">
        <f t="shared" ca="1" si="402"/>
        <v>#NAME?</v>
      </c>
      <c r="J2432" s="100" t="e">
        <f ca="1">IFERROR(__xludf.DUMMYFUNCTION("""COMPUTED_VALUE"""),"0.000")</f>
        <v>#NAME?</v>
      </c>
      <c r="K2432" s="100" t="e">
        <f t="shared" ca="1" si="403"/>
        <v>#NAME?</v>
      </c>
      <c r="L2432" s="100"/>
      <c r="M2432" s="100"/>
      <c r="N2432" s="100"/>
      <c r="O2432" s="100"/>
      <c r="P2432" s="100"/>
      <c r="Q2432" s="100"/>
      <c r="R2432" s="100"/>
      <c r="S2432" s="100"/>
      <c r="T2432" s="100"/>
      <c r="U2432" s="100"/>
      <c r="V2432" s="100"/>
      <c r="W2432" s="100"/>
      <c r="X2432" s="100"/>
      <c r="Y2432" s="100"/>
      <c r="Z2432" s="100"/>
    </row>
    <row r="2433" spans="1:26">
      <c r="A2433" s="100" t="e">
        <f ca="1">IFERROR(__xludf.DUMMYFUNCTION("""COMPUTED_VALUE"""),58785768)</f>
        <v>#NAME?</v>
      </c>
      <c r="B2433" s="100" t="e">
        <f ca="1">IFERROR(__xludf.DUMMYFUNCTION("""COMPUTED_VALUE"""),"XAIBNB")</f>
        <v>#NAME?</v>
      </c>
      <c r="C2433" s="100" t="e">
        <f ca="1">IFERROR(__xludf.DUMMYFUNCTION("""COMPUTED_VALUE"""),"0.00103800")</f>
        <v>#NAME?</v>
      </c>
      <c r="D2433" s="100" t="e">
        <f t="shared" ca="1" si="406"/>
        <v>#NAME?</v>
      </c>
      <c r="E2433" s="100" t="e">
        <f t="shared" ca="1" si="406"/>
        <v>#NAME?</v>
      </c>
      <c r="F2433" s="100" t="e">
        <f t="shared" ca="1" si="399"/>
        <v>#NAME?</v>
      </c>
      <c r="G2433" s="100" t="e">
        <f t="shared" ca="1" si="400"/>
        <v>#NAME?</v>
      </c>
      <c r="H2433" s="100" t="e">
        <f t="shared" ca="1" si="401"/>
        <v>#NAME?</v>
      </c>
      <c r="I2433" s="100" t="e">
        <f t="shared" ca="1" si="402"/>
        <v>#NAME?</v>
      </c>
      <c r="J2433" s="100" t="e">
        <f ca="1">IFERROR(__xludf.DUMMYFUNCTION("""COMPUTED_VALUE"""),"0")</f>
        <v>#NAME?</v>
      </c>
      <c r="K2433" s="100" t="e">
        <f t="shared" ca="1" si="403"/>
        <v>#NAME?</v>
      </c>
      <c r="L2433" s="100"/>
      <c r="M2433" s="100"/>
      <c r="N2433" s="100"/>
      <c r="O2433" s="100"/>
      <c r="P2433" s="100"/>
      <c r="Q2433" s="100"/>
      <c r="R2433" s="100"/>
      <c r="S2433" s="100"/>
      <c r="T2433" s="100"/>
      <c r="U2433" s="100"/>
      <c r="V2433" s="100"/>
      <c r="W2433" s="100"/>
      <c r="X2433" s="100"/>
      <c r="Y2433" s="100"/>
      <c r="Z2433" s="100"/>
    </row>
    <row r="2434" spans="1:26">
      <c r="A2434" s="100" t="e">
        <f ca="1">IFERROR(__xludf.DUMMYFUNCTION("""COMPUTED_VALUE"""),58785769)</f>
        <v>#NAME?</v>
      </c>
      <c r="B2434" s="100" t="e">
        <f ca="1">IFERROR(__xludf.DUMMYFUNCTION("""COMPUTED_VALUE"""),"XAIFDUSD")</f>
        <v>#NAME?</v>
      </c>
      <c r="C2434" s="100" t="e">
        <f ca="1">IFERROR(__xludf.DUMMYFUNCTION("""COMPUTED_VALUE"""),"0.05540000")</f>
        <v>#NAME?</v>
      </c>
      <c r="D2434" s="100" t="e">
        <f t="shared" ca="1" si="406"/>
        <v>#NAME?</v>
      </c>
      <c r="E2434" s="100" t="e">
        <f t="shared" ca="1" si="406"/>
        <v>#NAME?</v>
      </c>
      <c r="F2434" s="100" t="e">
        <f t="shared" ref="F2434:F2497" ca="1" si="407">IFERROR(__xludf.DUMMYFUNCTION("""COMPUTED_VALUE"""),20200)</f>
        <v>#NAME?</v>
      </c>
      <c r="G2434" s="100" t="e">
        <f t="shared" ref="G2434:G2497" ca="1" si="408">IFERROR(__xludf.DUMMYFUNCTION("""COMPUTED_VALUE"""),2885)</f>
        <v>#NAME?</v>
      </c>
      <c r="H2434" s="100" t="e">
        <f t="shared" ref="H2434:H2497" ca="1" si="409">IFERROR(__xludf.DUMMYFUNCTION("""COMPUTED_VALUE"""),663)</f>
        <v>#NAME?</v>
      </c>
      <c r="I2434" s="100" t="e">
        <f t="shared" ref="I2434:I2497" ca="1" si="410">IFERROR(__xludf.DUMMYFUNCTION("""COMPUTED_VALUE"""),5817721)</f>
        <v>#NAME?</v>
      </c>
      <c r="J2434" s="100" t="e">
        <f ca="1">IFERROR(__xludf.DUMMYFUNCTION("""COMPUTED_VALUE"""),"-1.947")</f>
        <v>#NAME?</v>
      </c>
      <c r="K2434" s="100" t="e">
        <f t="shared" ref="K2434:K2497" ca="1" si="411">IFERROR(__xludf.DUMMYFUNCTION("""COMPUTED_VALUE"""),"22.04.2025 13:05:01")</f>
        <v>#NAME?</v>
      </c>
      <c r="L2434" s="100"/>
      <c r="M2434" s="100"/>
      <c r="N2434" s="100"/>
      <c r="O2434" s="100"/>
      <c r="P2434" s="100"/>
      <c r="Q2434" s="100"/>
      <c r="R2434" s="100"/>
      <c r="S2434" s="100"/>
      <c r="T2434" s="100"/>
      <c r="U2434" s="100"/>
      <c r="V2434" s="100"/>
      <c r="W2434" s="100"/>
      <c r="X2434" s="100"/>
      <c r="Y2434" s="100"/>
      <c r="Z2434" s="100"/>
    </row>
    <row r="2435" spans="1:26">
      <c r="A2435" s="100" t="e">
        <f ca="1">IFERROR(__xludf.DUMMYFUNCTION("""COMPUTED_VALUE"""),58785770)</f>
        <v>#NAME?</v>
      </c>
      <c r="B2435" s="100" t="e">
        <f ca="1">IFERROR(__xludf.DUMMYFUNCTION("""COMPUTED_VALUE"""),"XAITUSD")</f>
        <v>#NAME?</v>
      </c>
      <c r="C2435" s="100" t="e">
        <f ca="1">IFERROR(__xludf.DUMMYFUNCTION("""COMPUTED_VALUE"""),"0.89860000")</f>
        <v>#NAME?</v>
      </c>
      <c r="D2435" s="100" t="e">
        <f t="shared" ca="1" si="406"/>
        <v>#NAME?</v>
      </c>
      <c r="E2435" s="100" t="e">
        <f t="shared" ca="1" si="406"/>
        <v>#NAME?</v>
      </c>
      <c r="F2435" s="100" t="e">
        <f t="shared" ca="1" si="407"/>
        <v>#NAME?</v>
      </c>
      <c r="G2435" s="100" t="e">
        <f t="shared" ca="1" si="408"/>
        <v>#NAME?</v>
      </c>
      <c r="H2435" s="100" t="e">
        <f t="shared" ca="1" si="409"/>
        <v>#NAME?</v>
      </c>
      <c r="I2435" s="100" t="e">
        <f t="shared" ca="1" si="410"/>
        <v>#NAME?</v>
      </c>
      <c r="J2435" s="100" t="e">
        <f ca="1">IFERROR(__xludf.DUMMYFUNCTION("""COMPUTED_VALUE"""),"0")</f>
        <v>#NAME?</v>
      </c>
      <c r="K2435" s="100" t="e">
        <f t="shared" ca="1" si="411"/>
        <v>#NAME?</v>
      </c>
      <c r="L2435" s="100"/>
      <c r="M2435" s="100"/>
      <c r="N2435" s="100"/>
      <c r="O2435" s="100"/>
      <c r="P2435" s="100"/>
      <c r="Q2435" s="100"/>
      <c r="R2435" s="100"/>
      <c r="S2435" s="100"/>
      <c r="T2435" s="100"/>
      <c r="U2435" s="100"/>
      <c r="V2435" s="100"/>
      <c r="W2435" s="100"/>
      <c r="X2435" s="100"/>
      <c r="Y2435" s="100"/>
      <c r="Z2435" s="100"/>
    </row>
    <row r="2436" spans="1:26">
      <c r="A2436" s="100" t="e">
        <f ca="1">IFERROR(__xludf.DUMMYFUNCTION("""COMPUTED_VALUE"""),58785771)</f>
        <v>#NAME?</v>
      </c>
      <c r="B2436" s="100" t="e">
        <f ca="1">IFERROR(__xludf.DUMMYFUNCTION("""COMPUTED_VALUE"""),"XAITRY")</f>
        <v>#NAME?</v>
      </c>
      <c r="C2436" s="100" t="e">
        <f ca="1">IFERROR(__xludf.DUMMYFUNCTION("""COMPUTED_VALUE"""),"2.17000000")</f>
        <v>#NAME?</v>
      </c>
      <c r="D2436" s="100" t="e">
        <f t="shared" ca="1" si="406"/>
        <v>#NAME?</v>
      </c>
      <c r="E2436" s="100" t="e">
        <f t="shared" ca="1" si="406"/>
        <v>#NAME?</v>
      </c>
      <c r="F2436" s="100" t="e">
        <f t="shared" ca="1" si="407"/>
        <v>#NAME?</v>
      </c>
      <c r="G2436" s="100" t="e">
        <f t="shared" ca="1" si="408"/>
        <v>#NAME?</v>
      </c>
      <c r="H2436" s="100" t="e">
        <f t="shared" ca="1" si="409"/>
        <v>#NAME?</v>
      </c>
      <c r="I2436" s="100" t="e">
        <f t="shared" ca="1" si="410"/>
        <v>#NAME?</v>
      </c>
      <c r="J2436" s="100" t="e">
        <f ca="1">IFERROR(__xludf.DUMMYFUNCTION("""COMPUTED_VALUE"""),"0.000")</f>
        <v>#NAME?</v>
      </c>
      <c r="K2436" s="100" t="e">
        <f t="shared" ca="1" si="411"/>
        <v>#NAME?</v>
      </c>
      <c r="L2436" s="100"/>
      <c r="M2436" s="100"/>
      <c r="N2436" s="100"/>
      <c r="O2436" s="100"/>
      <c r="P2436" s="100"/>
      <c r="Q2436" s="100"/>
      <c r="R2436" s="100"/>
      <c r="S2436" s="100"/>
      <c r="T2436" s="100"/>
      <c r="U2436" s="100"/>
      <c r="V2436" s="100"/>
      <c r="W2436" s="100"/>
      <c r="X2436" s="100"/>
      <c r="Y2436" s="100"/>
      <c r="Z2436" s="100"/>
    </row>
    <row r="2437" spans="1:26">
      <c r="A2437" s="100" t="e">
        <f ca="1">IFERROR(__xludf.DUMMYFUNCTION("""COMPUTED_VALUE"""),58785772)</f>
        <v>#NAME?</v>
      </c>
      <c r="B2437" s="100" t="e">
        <f ca="1">IFERROR(__xludf.DUMMYFUNCTION("""COMPUTED_VALUE"""),"SKLTRY")</f>
        <v>#NAME?</v>
      </c>
      <c r="C2437" s="100" t="e">
        <f ca="1">IFERROR(__xludf.DUMMYFUNCTION("""COMPUTED_VALUE"""),"0.85300000")</f>
        <v>#NAME?</v>
      </c>
      <c r="D2437" s="100" t="e">
        <f t="shared" ca="1" si="406"/>
        <v>#NAME?</v>
      </c>
      <c r="E2437" s="100" t="e">
        <f t="shared" ca="1" si="406"/>
        <v>#NAME?</v>
      </c>
      <c r="F2437" s="100" t="e">
        <f t="shared" ca="1" si="407"/>
        <v>#NAME?</v>
      </c>
      <c r="G2437" s="100" t="e">
        <f t="shared" ca="1" si="408"/>
        <v>#NAME?</v>
      </c>
      <c r="H2437" s="100" t="e">
        <f t="shared" ca="1" si="409"/>
        <v>#NAME?</v>
      </c>
      <c r="I2437" s="100" t="e">
        <f t="shared" ca="1" si="410"/>
        <v>#NAME?</v>
      </c>
      <c r="J2437" s="100" t="e">
        <f ca="1">IFERROR(__xludf.DUMMYFUNCTION("""COMPUTED_VALUE"""),"-15.124")</f>
        <v>#NAME?</v>
      </c>
      <c r="K2437" s="100" t="e">
        <f t="shared" ca="1" si="411"/>
        <v>#NAME?</v>
      </c>
      <c r="L2437" s="100"/>
      <c r="M2437" s="100"/>
      <c r="N2437" s="100"/>
      <c r="O2437" s="100"/>
      <c r="P2437" s="100"/>
      <c r="Q2437" s="100"/>
      <c r="R2437" s="100"/>
      <c r="S2437" s="100"/>
      <c r="T2437" s="100"/>
      <c r="U2437" s="100"/>
      <c r="V2437" s="100"/>
      <c r="W2437" s="100"/>
      <c r="X2437" s="100"/>
      <c r="Y2437" s="100"/>
      <c r="Z2437" s="100"/>
    </row>
    <row r="2438" spans="1:26">
      <c r="A2438" s="100" t="e">
        <f ca="1">IFERROR(__xludf.DUMMYFUNCTION("""COMPUTED_VALUE"""),58785773)</f>
        <v>#NAME?</v>
      </c>
      <c r="B2438" s="100" t="e">
        <f ca="1">IFERROR(__xludf.DUMMYFUNCTION("""COMPUTED_VALUE"""),"STXFDUSD")</f>
        <v>#NAME?</v>
      </c>
      <c r="C2438" s="100" t="e">
        <f ca="1">IFERROR(__xludf.DUMMYFUNCTION("""COMPUTED_VALUE"""),"0.74900000")</f>
        <v>#NAME?</v>
      </c>
      <c r="D2438" s="100" t="e">
        <f t="shared" ca="1" si="406"/>
        <v>#NAME?</v>
      </c>
      <c r="E2438" s="100" t="e">
        <f t="shared" ca="1" si="406"/>
        <v>#NAME?</v>
      </c>
      <c r="F2438" s="100" t="e">
        <f t="shared" ca="1" si="407"/>
        <v>#NAME?</v>
      </c>
      <c r="G2438" s="100" t="e">
        <f t="shared" ca="1" si="408"/>
        <v>#NAME?</v>
      </c>
      <c r="H2438" s="100" t="e">
        <f t="shared" ca="1" si="409"/>
        <v>#NAME?</v>
      </c>
      <c r="I2438" s="100" t="e">
        <f t="shared" ca="1" si="410"/>
        <v>#NAME?</v>
      </c>
      <c r="J2438" s="100" t="e">
        <f ca="1">IFERROR(__xludf.DUMMYFUNCTION("""COMPUTED_VALUE"""),"6.695")</f>
        <v>#NAME?</v>
      </c>
      <c r="K2438" s="100" t="e">
        <f t="shared" ca="1" si="411"/>
        <v>#NAME?</v>
      </c>
      <c r="L2438" s="100"/>
      <c r="M2438" s="100"/>
      <c r="N2438" s="100"/>
      <c r="O2438" s="100"/>
      <c r="P2438" s="100"/>
      <c r="Q2438" s="100"/>
      <c r="R2438" s="100"/>
      <c r="S2438" s="100"/>
      <c r="T2438" s="100"/>
      <c r="U2438" s="100"/>
      <c r="V2438" s="100"/>
      <c r="W2438" s="100"/>
      <c r="X2438" s="100"/>
      <c r="Y2438" s="100"/>
      <c r="Z2438" s="100"/>
    </row>
    <row r="2439" spans="1:26">
      <c r="A2439" s="100" t="e">
        <f ca="1">IFERROR(__xludf.DUMMYFUNCTION("""COMPUTED_VALUE"""),58785774)</f>
        <v>#NAME?</v>
      </c>
      <c r="B2439" s="100" t="e">
        <f ca="1">IFERROR(__xludf.DUMMYFUNCTION("""COMPUTED_VALUE"""),"TIAFDUSD")</f>
        <v>#NAME?</v>
      </c>
      <c r="C2439" s="100" t="e">
        <f ca="1">IFERROR(__xludf.DUMMYFUNCTION("""COMPUTED_VALUE"""),"2.52400000")</f>
        <v>#NAME?</v>
      </c>
      <c r="D2439" s="100" t="e">
        <f t="shared" ca="1" si="406"/>
        <v>#NAME?</v>
      </c>
      <c r="E2439" s="100" t="e">
        <f t="shared" ca="1" si="406"/>
        <v>#NAME?</v>
      </c>
      <c r="F2439" s="100" t="e">
        <f t="shared" ca="1" si="407"/>
        <v>#NAME?</v>
      </c>
      <c r="G2439" s="100" t="e">
        <f t="shared" ca="1" si="408"/>
        <v>#NAME?</v>
      </c>
      <c r="H2439" s="100" t="e">
        <f t="shared" ca="1" si="409"/>
        <v>#NAME?</v>
      </c>
      <c r="I2439" s="100" t="e">
        <f t="shared" ca="1" si="410"/>
        <v>#NAME?</v>
      </c>
      <c r="J2439" s="100" t="e">
        <f ca="1">IFERROR(__xludf.DUMMYFUNCTION("""COMPUTED_VALUE"""),"-3.184")</f>
        <v>#NAME?</v>
      </c>
      <c r="K2439" s="100" t="e">
        <f t="shared" ca="1" si="411"/>
        <v>#NAME?</v>
      </c>
      <c r="L2439" s="100"/>
      <c r="M2439" s="100"/>
      <c r="N2439" s="100"/>
      <c r="O2439" s="100"/>
      <c r="P2439" s="100"/>
      <c r="Q2439" s="100"/>
      <c r="R2439" s="100"/>
      <c r="S2439" s="100"/>
      <c r="T2439" s="100"/>
      <c r="U2439" s="100"/>
      <c r="V2439" s="100"/>
      <c r="W2439" s="100"/>
      <c r="X2439" s="100"/>
      <c r="Y2439" s="100"/>
      <c r="Z2439" s="100"/>
    </row>
    <row r="2440" spans="1:26">
      <c r="A2440" s="100" t="e">
        <f ca="1">IFERROR(__xludf.DUMMYFUNCTION("""COMPUTED_VALUE"""),58785775)</f>
        <v>#NAME?</v>
      </c>
      <c r="B2440" s="100" t="e">
        <f ca="1">IFERROR(__xludf.DUMMYFUNCTION("""COMPUTED_VALUE"""),"MANTABTC")</f>
        <v>#NAME?</v>
      </c>
      <c r="C2440" s="100" t="e">
        <f ca="1">IFERROR(__xludf.DUMMYFUNCTION("""COMPUTED_VALUE"""),"0.00000236")</f>
        <v>#NAME?</v>
      </c>
      <c r="D2440" s="100" t="e">
        <f t="shared" ca="1" si="406"/>
        <v>#NAME?</v>
      </c>
      <c r="E2440" s="100" t="e">
        <f t="shared" ca="1" si="406"/>
        <v>#NAME?</v>
      </c>
      <c r="F2440" s="100" t="e">
        <f t="shared" ca="1" si="407"/>
        <v>#NAME?</v>
      </c>
      <c r="G2440" s="100" t="e">
        <f t="shared" ca="1" si="408"/>
        <v>#NAME?</v>
      </c>
      <c r="H2440" s="100" t="e">
        <f t="shared" ca="1" si="409"/>
        <v>#NAME?</v>
      </c>
      <c r="I2440" s="100" t="e">
        <f t="shared" ca="1" si="410"/>
        <v>#NAME?</v>
      </c>
      <c r="J2440" s="100" t="e">
        <f ca="1">IFERROR(__xludf.DUMMYFUNCTION("""COMPUTED_VALUE"""),"-1.667")</f>
        <v>#NAME?</v>
      </c>
      <c r="K2440" s="100" t="e">
        <f t="shared" ca="1" si="411"/>
        <v>#NAME?</v>
      </c>
      <c r="L2440" s="100"/>
      <c r="M2440" s="100"/>
      <c r="N2440" s="100"/>
      <c r="O2440" s="100"/>
      <c r="P2440" s="100"/>
      <c r="Q2440" s="100"/>
      <c r="R2440" s="100"/>
      <c r="S2440" s="100"/>
      <c r="T2440" s="100"/>
      <c r="U2440" s="100"/>
      <c r="V2440" s="100"/>
      <c r="W2440" s="100"/>
      <c r="X2440" s="100"/>
      <c r="Y2440" s="100"/>
      <c r="Z2440" s="100"/>
    </row>
    <row r="2441" spans="1:26">
      <c r="A2441" s="100" t="e">
        <f ca="1">IFERROR(__xludf.DUMMYFUNCTION("""COMPUTED_VALUE"""),58785776)</f>
        <v>#NAME?</v>
      </c>
      <c r="B2441" s="100" t="e">
        <f ca="1">IFERROR(__xludf.DUMMYFUNCTION("""COMPUTED_VALUE"""),"MANTAUSDT")</f>
        <v>#NAME?</v>
      </c>
      <c r="C2441" s="100" t="e">
        <f ca="1">IFERROR(__xludf.DUMMYFUNCTION("""COMPUTED_VALUE"""),"0.20900000")</f>
        <v>#NAME?</v>
      </c>
      <c r="D2441" s="100" t="e">
        <f t="shared" ca="1" si="406"/>
        <v>#NAME?</v>
      </c>
      <c r="E2441" s="100" t="e">
        <f t="shared" ca="1" si="406"/>
        <v>#NAME?</v>
      </c>
      <c r="F2441" s="100" t="e">
        <f t="shared" ca="1" si="407"/>
        <v>#NAME?</v>
      </c>
      <c r="G2441" s="100" t="e">
        <f t="shared" ca="1" si="408"/>
        <v>#NAME?</v>
      </c>
      <c r="H2441" s="100" t="e">
        <f t="shared" ca="1" si="409"/>
        <v>#NAME?</v>
      </c>
      <c r="I2441" s="100" t="e">
        <f t="shared" ca="1" si="410"/>
        <v>#NAME?</v>
      </c>
      <c r="J2441" s="100" t="e">
        <f ca="1">IFERROR(__xludf.DUMMYFUNCTION("""COMPUTED_VALUE"""),"-0.476")</f>
        <v>#NAME?</v>
      </c>
      <c r="K2441" s="100" t="e">
        <f t="shared" ca="1" si="411"/>
        <v>#NAME?</v>
      </c>
      <c r="L2441" s="100"/>
      <c r="M2441" s="100"/>
      <c r="N2441" s="100"/>
      <c r="O2441" s="100"/>
      <c r="P2441" s="100"/>
      <c r="Q2441" s="100"/>
      <c r="R2441" s="100"/>
      <c r="S2441" s="100"/>
      <c r="T2441" s="100"/>
      <c r="U2441" s="100"/>
      <c r="V2441" s="100"/>
      <c r="W2441" s="100"/>
      <c r="X2441" s="100"/>
      <c r="Y2441" s="100"/>
      <c r="Z2441" s="100"/>
    </row>
    <row r="2442" spans="1:26">
      <c r="A2442" s="100" t="e">
        <f ca="1">IFERROR(__xludf.DUMMYFUNCTION("""COMPUTED_VALUE"""),58785777)</f>
        <v>#NAME?</v>
      </c>
      <c r="B2442" s="100" t="e">
        <f ca="1">IFERROR(__xludf.DUMMYFUNCTION("""COMPUTED_VALUE"""),"MANTABNB")</f>
        <v>#NAME?</v>
      </c>
      <c r="C2442" s="100" t="e">
        <f ca="1">IFERROR(__xludf.DUMMYFUNCTION("""COMPUTED_VALUE"""),"0.00157000")</f>
        <v>#NAME?</v>
      </c>
      <c r="D2442" s="100" t="e">
        <f t="shared" ref="D2442:E2461" ca="1" si="412">IFERROR(__xludf.DUMMYFUNCTION("""COMPUTED_VALUE"""),"-")</f>
        <v>#NAME?</v>
      </c>
      <c r="E2442" s="100" t="e">
        <f t="shared" ca="1" si="412"/>
        <v>#NAME?</v>
      </c>
      <c r="F2442" s="100" t="e">
        <f t="shared" ca="1" si="407"/>
        <v>#NAME?</v>
      </c>
      <c r="G2442" s="100" t="e">
        <f t="shared" ca="1" si="408"/>
        <v>#NAME?</v>
      </c>
      <c r="H2442" s="100" t="e">
        <f t="shared" ca="1" si="409"/>
        <v>#NAME?</v>
      </c>
      <c r="I2442" s="100" t="e">
        <f t="shared" ca="1" si="410"/>
        <v>#NAME?</v>
      </c>
      <c r="J2442" s="100" t="e">
        <f ca="1">IFERROR(__xludf.DUMMYFUNCTION("""COMPUTED_VALUE"""),"0")</f>
        <v>#NAME?</v>
      </c>
      <c r="K2442" s="100" t="e">
        <f t="shared" ca="1" si="411"/>
        <v>#NAME?</v>
      </c>
      <c r="L2442" s="100"/>
      <c r="M2442" s="100"/>
      <c r="N2442" s="100"/>
      <c r="O2442" s="100"/>
      <c r="P2442" s="100"/>
      <c r="Q2442" s="100"/>
      <c r="R2442" s="100"/>
      <c r="S2442" s="100"/>
      <c r="T2442" s="100"/>
      <c r="U2442" s="100"/>
      <c r="V2442" s="100"/>
      <c r="W2442" s="100"/>
      <c r="X2442" s="100"/>
      <c r="Y2442" s="100"/>
      <c r="Z2442" s="100"/>
    </row>
    <row r="2443" spans="1:26">
      <c r="A2443" s="100" t="e">
        <f ca="1">IFERROR(__xludf.DUMMYFUNCTION("""COMPUTED_VALUE"""),58785778)</f>
        <v>#NAME?</v>
      </c>
      <c r="B2443" s="100" t="e">
        <f ca="1">IFERROR(__xludf.DUMMYFUNCTION("""COMPUTED_VALUE"""),"MANTAFDUSD")</f>
        <v>#NAME?</v>
      </c>
      <c r="C2443" s="100" t="e">
        <f ca="1">IFERROR(__xludf.DUMMYFUNCTION("""COMPUTED_VALUE"""),"0.20900000")</f>
        <v>#NAME?</v>
      </c>
      <c r="D2443" s="100" t="e">
        <f t="shared" ca="1" si="412"/>
        <v>#NAME?</v>
      </c>
      <c r="E2443" s="100" t="e">
        <f t="shared" ca="1" si="412"/>
        <v>#NAME?</v>
      </c>
      <c r="F2443" s="100" t="e">
        <f t="shared" ca="1" si="407"/>
        <v>#NAME?</v>
      </c>
      <c r="G2443" s="100" t="e">
        <f t="shared" ca="1" si="408"/>
        <v>#NAME?</v>
      </c>
      <c r="H2443" s="100" t="e">
        <f t="shared" ca="1" si="409"/>
        <v>#NAME?</v>
      </c>
      <c r="I2443" s="100" t="e">
        <f t="shared" ca="1" si="410"/>
        <v>#NAME?</v>
      </c>
      <c r="J2443" s="100" t="e">
        <f ca="1">IFERROR(__xludf.DUMMYFUNCTION("""COMPUTED_VALUE"""),"-0.476")</f>
        <v>#NAME?</v>
      </c>
      <c r="K2443" s="100" t="e">
        <f t="shared" ca="1" si="411"/>
        <v>#NAME?</v>
      </c>
      <c r="L2443" s="100"/>
      <c r="M2443" s="100"/>
      <c r="N2443" s="100"/>
      <c r="O2443" s="100"/>
      <c r="P2443" s="100"/>
      <c r="Q2443" s="100"/>
      <c r="R2443" s="100"/>
      <c r="S2443" s="100"/>
      <c r="T2443" s="100"/>
      <c r="U2443" s="100"/>
      <c r="V2443" s="100"/>
      <c r="W2443" s="100"/>
      <c r="X2443" s="100"/>
      <c r="Y2443" s="100"/>
      <c r="Z2443" s="100"/>
    </row>
    <row r="2444" spans="1:26">
      <c r="A2444" s="100" t="e">
        <f ca="1">IFERROR(__xludf.DUMMYFUNCTION("""COMPUTED_VALUE"""),58785779)</f>
        <v>#NAME?</v>
      </c>
      <c r="B2444" s="100" t="e">
        <f ca="1">IFERROR(__xludf.DUMMYFUNCTION("""COMPUTED_VALUE"""),"MANTATRY")</f>
        <v>#NAME?</v>
      </c>
      <c r="C2444" s="100" t="e">
        <f ca="1">IFERROR(__xludf.DUMMYFUNCTION("""COMPUTED_VALUE"""),"7.98000000")</f>
        <v>#NAME?</v>
      </c>
      <c r="D2444" s="100" t="e">
        <f t="shared" ca="1" si="412"/>
        <v>#NAME?</v>
      </c>
      <c r="E2444" s="100" t="e">
        <f t="shared" ca="1" si="412"/>
        <v>#NAME?</v>
      </c>
      <c r="F2444" s="100" t="e">
        <f t="shared" ca="1" si="407"/>
        <v>#NAME?</v>
      </c>
      <c r="G2444" s="100" t="e">
        <f t="shared" ca="1" si="408"/>
        <v>#NAME?</v>
      </c>
      <c r="H2444" s="100" t="e">
        <f t="shared" ca="1" si="409"/>
        <v>#NAME?</v>
      </c>
      <c r="I2444" s="100" t="e">
        <f t="shared" ca="1" si="410"/>
        <v>#NAME?</v>
      </c>
      <c r="J2444" s="100" t="e">
        <f ca="1">IFERROR(__xludf.DUMMYFUNCTION("""COMPUTED_VALUE"""),"-0.250")</f>
        <v>#NAME?</v>
      </c>
      <c r="K2444" s="100" t="e">
        <f t="shared" ca="1" si="411"/>
        <v>#NAME?</v>
      </c>
      <c r="L2444" s="100"/>
      <c r="M2444" s="100"/>
      <c r="N2444" s="100"/>
      <c r="O2444" s="100"/>
      <c r="P2444" s="100"/>
      <c r="Q2444" s="100"/>
      <c r="R2444" s="100"/>
      <c r="S2444" s="100"/>
      <c r="T2444" s="100"/>
      <c r="U2444" s="100"/>
      <c r="V2444" s="100"/>
      <c r="W2444" s="100"/>
      <c r="X2444" s="100"/>
      <c r="Y2444" s="100"/>
      <c r="Z2444" s="100"/>
    </row>
    <row r="2445" spans="1:26">
      <c r="A2445" s="100" t="e">
        <f ca="1">IFERROR(__xludf.DUMMYFUNCTION("""COMPUTED_VALUE"""),58785780)</f>
        <v>#NAME?</v>
      </c>
      <c r="B2445" s="100" t="e">
        <f ca="1">IFERROR(__xludf.DUMMYFUNCTION("""COMPUTED_VALUE"""),"ENSFDUSD")</f>
        <v>#NAME?</v>
      </c>
      <c r="C2445" s="100" t="e">
        <f ca="1">IFERROR(__xludf.DUMMYFUNCTION("""COMPUTED_VALUE"""),"15.30000000")</f>
        <v>#NAME?</v>
      </c>
      <c r="D2445" s="100" t="e">
        <f t="shared" ca="1" si="412"/>
        <v>#NAME?</v>
      </c>
      <c r="E2445" s="100" t="e">
        <f t="shared" ca="1" si="412"/>
        <v>#NAME?</v>
      </c>
      <c r="F2445" s="100" t="e">
        <f t="shared" ca="1" si="407"/>
        <v>#NAME?</v>
      </c>
      <c r="G2445" s="100" t="e">
        <f t="shared" ca="1" si="408"/>
        <v>#NAME?</v>
      </c>
      <c r="H2445" s="100" t="e">
        <f t="shared" ca="1" si="409"/>
        <v>#NAME?</v>
      </c>
      <c r="I2445" s="100" t="e">
        <f t="shared" ca="1" si="410"/>
        <v>#NAME?</v>
      </c>
      <c r="J2445" s="100" t="e">
        <f ca="1">IFERROR(__xludf.DUMMYFUNCTION("""COMPUTED_VALUE"""),"0.990")</f>
        <v>#NAME?</v>
      </c>
      <c r="K2445" s="100" t="e">
        <f t="shared" ca="1" si="411"/>
        <v>#NAME?</v>
      </c>
      <c r="L2445" s="100"/>
      <c r="M2445" s="100"/>
      <c r="N2445" s="100"/>
      <c r="O2445" s="100"/>
      <c r="P2445" s="100"/>
      <c r="Q2445" s="100"/>
      <c r="R2445" s="100"/>
      <c r="S2445" s="100"/>
      <c r="T2445" s="100"/>
      <c r="U2445" s="100"/>
      <c r="V2445" s="100"/>
      <c r="W2445" s="100"/>
      <c r="X2445" s="100"/>
      <c r="Y2445" s="100"/>
      <c r="Z2445" s="100"/>
    </row>
    <row r="2446" spans="1:26">
      <c r="A2446" s="100" t="e">
        <f ca="1">IFERROR(__xludf.DUMMYFUNCTION("""COMPUTED_VALUE"""),58785781)</f>
        <v>#NAME?</v>
      </c>
      <c r="B2446" s="100" t="e">
        <f ca="1">IFERROR(__xludf.DUMMYFUNCTION("""COMPUTED_VALUE"""),"ETCFDUSD")</f>
        <v>#NAME?</v>
      </c>
      <c r="C2446" s="100" t="e">
        <f ca="1">IFERROR(__xludf.DUMMYFUNCTION("""COMPUTED_VALUE"""),"15.63000000")</f>
        <v>#NAME?</v>
      </c>
      <c r="D2446" s="100" t="e">
        <f t="shared" ca="1" si="412"/>
        <v>#NAME?</v>
      </c>
      <c r="E2446" s="100" t="e">
        <f t="shared" ca="1" si="412"/>
        <v>#NAME?</v>
      </c>
      <c r="F2446" s="100" t="e">
        <f t="shared" ca="1" si="407"/>
        <v>#NAME?</v>
      </c>
      <c r="G2446" s="100" t="e">
        <f t="shared" ca="1" si="408"/>
        <v>#NAME?</v>
      </c>
      <c r="H2446" s="100" t="e">
        <f t="shared" ca="1" si="409"/>
        <v>#NAME?</v>
      </c>
      <c r="I2446" s="100" t="e">
        <f t="shared" ca="1" si="410"/>
        <v>#NAME?</v>
      </c>
      <c r="J2446" s="100" t="e">
        <f ca="1">IFERROR(__xludf.DUMMYFUNCTION("""COMPUTED_VALUE"""),"-3.160")</f>
        <v>#NAME?</v>
      </c>
      <c r="K2446" s="100" t="e">
        <f t="shared" ca="1" si="411"/>
        <v>#NAME?</v>
      </c>
      <c r="L2446" s="100"/>
      <c r="M2446" s="100"/>
      <c r="N2446" s="100"/>
      <c r="O2446" s="100"/>
      <c r="P2446" s="100"/>
      <c r="Q2446" s="100"/>
      <c r="R2446" s="100"/>
      <c r="S2446" s="100"/>
      <c r="T2446" s="100"/>
      <c r="U2446" s="100"/>
      <c r="V2446" s="100"/>
      <c r="W2446" s="100"/>
      <c r="X2446" s="100"/>
      <c r="Y2446" s="100"/>
      <c r="Z2446" s="100"/>
    </row>
    <row r="2447" spans="1:26">
      <c r="A2447" s="100" t="e">
        <f ca="1">IFERROR(__xludf.DUMMYFUNCTION("""COMPUTED_VALUE"""),58785782)</f>
        <v>#NAME?</v>
      </c>
      <c r="B2447" s="100" t="e">
        <f ca="1">IFERROR(__xludf.DUMMYFUNCTION("""COMPUTED_VALUE"""),"SUIUSDC")</f>
        <v>#NAME?</v>
      </c>
      <c r="C2447" s="100" t="e">
        <f ca="1">IFERROR(__xludf.DUMMYFUNCTION("""COMPUTED_VALUE"""),"2.31620000")</f>
        <v>#NAME?</v>
      </c>
      <c r="D2447" s="100" t="e">
        <f t="shared" ca="1" si="412"/>
        <v>#NAME?</v>
      </c>
      <c r="E2447" s="100" t="e">
        <f t="shared" ca="1" si="412"/>
        <v>#NAME?</v>
      </c>
      <c r="F2447" s="100" t="e">
        <f t="shared" ca="1" si="407"/>
        <v>#NAME?</v>
      </c>
      <c r="G2447" s="100" t="e">
        <f t="shared" ca="1" si="408"/>
        <v>#NAME?</v>
      </c>
      <c r="H2447" s="100" t="e">
        <f t="shared" ca="1" si="409"/>
        <v>#NAME?</v>
      </c>
      <c r="I2447" s="100" t="e">
        <f t="shared" ca="1" si="410"/>
        <v>#NAME?</v>
      </c>
      <c r="J2447" s="100" t="e">
        <f ca="1">IFERROR(__xludf.DUMMYFUNCTION("""COMPUTED_VALUE"""),"2.008")</f>
        <v>#NAME?</v>
      </c>
      <c r="K2447" s="100" t="e">
        <f t="shared" ca="1" si="411"/>
        <v>#NAME?</v>
      </c>
      <c r="L2447" s="100"/>
      <c r="M2447" s="100"/>
      <c r="N2447" s="100"/>
      <c r="O2447" s="100"/>
      <c r="P2447" s="100"/>
      <c r="Q2447" s="100"/>
      <c r="R2447" s="100"/>
      <c r="S2447" s="100"/>
      <c r="T2447" s="100"/>
      <c r="U2447" s="100"/>
      <c r="V2447" s="100"/>
      <c r="W2447" s="100"/>
      <c r="X2447" s="100"/>
      <c r="Y2447" s="100"/>
      <c r="Z2447" s="100"/>
    </row>
    <row r="2448" spans="1:26">
      <c r="A2448" s="100" t="e">
        <f ca="1">IFERROR(__xludf.DUMMYFUNCTION("""COMPUTED_VALUE"""),58785783)</f>
        <v>#NAME?</v>
      </c>
      <c r="B2448" s="100" t="e">
        <f ca="1">IFERROR(__xludf.DUMMYFUNCTION("""COMPUTED_VALUE"""),"TIAUSDC")</f>
        <v>#NAME?</v>
      </c>
      <c r="C2448" s="100" t="e">
        <f ca="1">IFERROR(__xludf.DUMMYFUNCTION("""COMPUTED_VALUE"""),"2.52600000")</f>
        <v>#NAME?</v>
      </c>
      <c r="D2448" s="100" t="e">
        <f t="shared" ca="1" si="412"/>
        <v>#NAME?</v>
      </c>
      <c r="E2448" s="100" t="e">
        <f t="shared" ca="1" si="412"/>
        <v>#NAME?</v>
      </c>
      <c r="F2448" s="100" t="e">
        <f t="shared" ca="1" si="407"/>
        <v>#NAME?</v>
      </c>
      <c r="G2448" s="100" t="e">
        <f t="shared" ca="1" si="408"/>
        <v>#NAME?</v>
      </c>
      <c r="H2448" s="100" t="e">
        <f t="shared" ca="1" si="409"/>
        <v>#NAME?</v>
      </c>
      <c r="I2448" s="100" t="e">
        <f t="shared" ca="1" si="410"/>
        <v>#NAME?</v>
      </c>
      <c r="J2448" s="100" t="e">
        <f ca="1">IFERROR(__xludf.DUMMYFUNCTION("""COMPUTED_VALUE"""),"-2.995")</f>
        <v>#NAME?</v>
      </c>
      <c r="K2448" s="100" t="e">
        <f t="shared" ca="1" si="411"/>
        <v>#NAME?</v>
      </c>
      <c r="L2448" s="100"/>
      <c r="M2448" s="100"/>
      <c r="N2448" s="100"/>
      <c r="O2448" s="100"/>
      <c r="P2448" s="100"/>
      <c r="Q2448" s="100"/>
      <c r="R2448" s="100"/>
      <c r="S2448" s="100"/>
      <c r="T2448" s="100"/>
      <c r="U2448" s="100"/>
      <c r="V2448" s="100"/>
      <c r="W2448" s="100"/>
      <c r="X2448" s="100"/>
      <c r="Y2448" s="100"/>
      <c r="Z2448" s="100"/>
    </row>
    <row r="2449" spans="1:26">
      <c r="A2449" s="100" t="e">
        <f ca="1">IFERROR(__xludf.DUMMYFUNCTION("""COMPUTED_VALUE"""),58785784)</f>
        <v>#NAME?</v>
      </c>
      <c r="B2449" s="100" t="e">
        <f ca="1">IFERROR(__xludf.DUMMYFUNCTION("""COMPUTED_VALUE"""),"CHZFDUSD")</f>
        <v>#NAME?</v>
      </c>
      <c r="C2449" s="100" t="e">
        <f ca="1">IFERROR(__xludf.DUMMYFUNCTION("""COMPUTED_VALUE"""),"0.08760000")</f>
        <v>#NAME?</v>
      </c>
      <c r="D2449" s="100" t="e">
        <f t="shared" ca="1" si="412"/>
        <v>#NAME?</v>
      </c>
      <c r="E2449" s="100" t="e">
        <f t="shared" ca="1" si="412"/>
        <v>#NAME?</v>
      </c>
      <c r="F2449" s="100" t="e">
        <f t="shared" ca="1" si="407"/>
        <v>#NAME?</v>
      </c>
      <c r="G2449" s="100" t="e">
        <f t="shared" ca="1" si="408"/>
        <v>#NAME?</v>
      </c>
      <c r="H2449" s="100" t="e">
        <f t="shared" ca="1" si="409"/>
        <v>#NAME?</v>
      </c>
      <c r="I2449" s="100" t="e">
        <f t="shared" ca="1" si="410"/>
        <v>#NAME?</v>
      </c>
      <c r="J2449" s="100" t="e">
        <f ca="1">IFERROR(__xludf.DUMMYFUNCTION("""COMPUTED_VALUE"""),"0")</f>
        <v>#NAME?</v>
      </c>
      <c r="K2449" s="100" t="e">
        <f t="shared" ca="1" si="411"/>
        <v>#NAME?</v>
      </c>
      <c r="L2449" s="100"/>
      <c r="M2449" s="100"/>
      <c r="N2449" s="100"/>
      <c r="O2449" s="100"/>
      <c r="P2449" s="100"/>
      <c r="Q2449" s="100"/>
      <c r="R2449" s="100"/>
      <c r="S2449" s="100"/>
      <c r="T2449" s="100"/>
      <c r="U2449" s="100"/>
      <c r="V2449" s="100"/>
      <c r="W2449" s="100"/>
      <c r="X2449" s="100"/>
      <c r="Y2449" s="100"/>
      <c r="Z2449" s="100"/>
    </row>
    <row r="2450" spans="1:26">
      <c r="A2450" s="100" t="e">
        <f ca="1">IFERROR(__xludf.DUMMYFUNCTION("""COMPUTED_VALUE"""),58785785)</f>
        <v>#NAME?</v>
      </c>
      <c r="B2450" s="100" t="e">
        <f ca="1">IFERROR(__xludf.DUMMYFUNCTION("""COMPUTED_VALUE"""),"MANTAUSDC")</f>
        <v>#NAME?</v>
      </c>
      <c r="C2450" s="100" t="e">
        <f ca="1">IFERROR(__xludf.DUMMYFUNCTION("""COMPUTED_VALUE"""),"0.20900000")</f>
        <v>#NAME?</v>
      </c>
      <c r="D2450" s="100" t="e">
        <f t="shared" ca="1" si="412"/>
        <v>#NAME?</v>
      </c>
      <c r="E2450" s="100" t="e">
        <f t="shared" ca="1" si="412"/>
        <v>#NAME?</v>
      </c>
      <c r="F2450" s="100" t="e">
        <f t="shared" ca="1" si="407"/>
        <v>#NAME?</v>
      </c>
      <c r="G2450" s="100" t="e">
        <f t="shared" ca="1" si="408"/>
        <v>#NAME?</v>
      </c>
      <c r="H2450" s="100" t="e">
        <f t="shared" ca="1" si="409"/>
        <v>#NAME?</v>
      </c>
      <c r="I2450" s="100" t="e">
        <f t="shared" ca="1" si="410"/>
        <v>#NAME?</v>
      </c>
      <c r="J2450" s="100" t="e">
        <f ca="1">IFERROR(__xludf.DUMMYFUNCTION("""COMPUTED_VALUE"""),"0.000")</f>
        <v>#NAME?</v>
      </c>
      <c r="K2450" s="100" t="e">
        <f t="shared" ca="1" si="411"/>
        <v>#NAME?</v>
      </c>
      <c r="L2450" s="100"/>
      <c r="M2450" s="100"/>
      <c r="N2450" s="100"/>
      <c r="O2450" s="100"/>
      <c r="P2450" s="100"/>
      <c r="Q2450" s="100"/>
      <c r="R2450" s="100"/>
      <c r="S2450" s="100"/>
      <c r="T2450" s="100"/>
      <c r="U2450" s="100"/>
      <c r="V2450" s="100"/>
      <c r="W2450" s="100"/>
      <c r="X2450" s="100"/>
      <c r="Y2450" s="100"/>
      <c r="Z2450" s="100"/>
    </row>
    <row r="2451" spans="1:26">
      <c r="A2451" s="100" t="e">
        <f ca="1">IFERROR(__xludf.DUMMYFUNCTION("""COMPUTED_VALUE"""),58785786)</f>
        <v>#NAME?</v>
      </c>
      <c r="B2451" s="100" t="e">
        <f ca="1">IFERROR(__xludf.DUMMYFUNCTION("""COMPUTED_VALUE"""),"ALTBTC")</f>
        <v>#NAME?</v>
      </c>
      <c r="C2451" s="100" t="e">
        <f ca="1">IFERROR(__xludf.DUMMYFUNCTION("""COMPUTED_VALUE"""),"0.00000033")</f>
        <v>#NAME?</v>
      </c>
      <c r="D2451" s="100" t="e">
        <f t="shared" ca="1" si="412"/>
        <v>#NAME?</v>
      </c>
      <c r="E2451" s="100" t="e">
        <f t="shared" ca="1" si="412"/>
        <v>#NAME?</v>
      </c>
      <c r="F2451" s="100" t="e">
        <f t="shared" ca="1" si="407"/>
        <v>#NAME?</v>
      </c>
      <c r="G2451" s="100" t="e">
        <f t="shared" ca="1" si="408"/>
        <v>#NAME?</v>
      </c>
      <c r="H2451" s="100" t="e">
        <f t="shared" ca="1" si="409"/>
        <v>#NAME?</v>
      </c>
      <c r="I2451" s="100" t="e">
        <f t="shared" ca="1" si="410"/>
        <v>#NAME?</v>
      </c>
      <c r="J2451" s="100" t="e">
        <f ca="1">IFERROR(__xludf.DUMMYFUNCTION("""COMPUTED_VALUE"""),"-2.941")</f>
        <v>#NAME?</v>
      </c>
      <c r="K2451" s="100" t="e">
        <f t="shared" ca="1" si="411"/>
        <v>#NAME?</v>
      </c>
      <c r="L2451" s="100"/>
      <c r="M2451" s="100"/>
      <c r="N2451" s="100"/>
      <c r="O2451" s="100"/>
      <c r="P2451" s="100"/>
      <c r="Q2451" s="100"/>
      <c r="R2451" s="100"/>
      <c r="S2451" s="100"/>
      <c r="T2451" s="100"/>
      <c r="U2451" s="100"/>
      <c r="V2451" s="100"/>
      <c r="W2451" s="100"/>
      <c r="X2451" s="100"/>
      <c r="Y2451" s="100"/>
      <c r="Z2451" s="100"/>
    </row>
    <row r="2452" spans="1:26">
      <c r="A2452" s="100" t="e">
        <f ca="1">IFERROR(__xludf.DUMMYFUNCTION("""COMPUTED_VALUE"""),58785787)</f>
        <v>#NAME?</v>
      </c>
      <c r="B2452" s="100" t="e">
        <f ca="1">IFERROR(__xludf.DUMMYFUNCTION("""COMPUTED_VALUE"""),"ALTUSDT")</f>
        <v>#NAME?</v>
      </c>
      <c r="C2452" s="100" t="e">
        <f ca="1">IFERROR(__xludf.DUMMYFUNCTION("""COMPUTED_VALUE"""),"0.02861000")</f>
        <v>#NAME?</v>
      </c>
      <c r="D2452" s="100" t="e">
        <f t="shared" ca="1" si="412"/>
        <v>#NAME?</v>
      </c>
      <c r="E2452" s="100" t="e">
        <f t="shared" ca="1" si="412"/>
        <v>#NAME?</v>
      </c>
      <c r="F2452" s="100" t="e">
        <f t="shared" ca="1" si="407"/>
        <v>#NAME?</v>
      </c>
      <c r="G2452" s="100" t="e">
        <f t="shared" ca="1" si="408"/>
        <v>#NAME?</v>
      </c>
      <c r="H2452" s="100" t="e">
        <f t="shared" ca="1" si="409"/>
        <v>#NAME?</v>
      </c>
      <c r="I2452" s="100" t="e">
        <f t="shared" ca="1" si="410"/>
        <v>#NAME?</v>
      </c>
      <c r="J2452" s="100" t="e">
        <f ca="1">IFERROR(__xludf.DUMMYFUNCTION("""COMPUTED_VALUE"""),"-3.181")</f>
        <v>#NAME?</v>
      </c>
      <c r="K2452" s="100" t="e">
        <f t="shared" ca="1" si="411"/>
        <v>#NAME?</v>
      </c>
      <c r="L2452" s="100"/>
      <c r="M2452" s="100"/>
      <c r="N2452" s="100"/>
      <c r="O2452" s="100"/>
      <c r="P2452" s="100"/>
      <c r="Q2452" s="100"/>
      <c r="R2452" s="100"/>
      <c r="S2452" s="100"/>
      <c r="T2452" s="100"/>
      <c r="U2452" s="100"/>
      <c r="V2452" s="100"/>
      <c r="W2452" s="100"/>
      <c r="X2452" s="100"/>
      <c r="Y2452" s="100"/>
      <c r="Z2452" s="100"/>
    </row>
    <row r="2453" spans="1:26">
      <c r="A2453" s="100" t="e">
        <f ca="1">IFERROR(__xludf.DUMMYFUNCTION("""COMPUTED_VALUE"""),58785788)</f>
        <v>#NAME?</v>
      </c>
      <c r="B2453" s="100" t="e">
        <f ca="1">IFERROR(__xludf.DUMMYFUNCTION("""COMPUTED_VALUE"""),"ALTBNB")</f>
        <v>#NAME?</v>
      </c>
      <c r="C2453" s="100" t="e">
        <f ca="1">IFERROR(__xludf.DUMMYFUNCTION("""COMPUTED_VALUE"""),"0.00004720")</f>
        <v>#NAME?</v>
      </c>
      <c r="D2453" s="100" t="e">
        <f t="shared" ca="1" si="412"/>
        <v>#NAME?</v>
      </c>
      <c r="E2453" s="100" t="e">
        <f t="shared" ca="1" si="412"/>
        <v>#NAME?</v>
      </c>
      <c r="F2453" s="100" t="e">
        <f t="shared" ca="1" si="407"/>
        <v>#NAME?</v>
      </c>
      <c r="G2453" s="100" t="e">
        <f t="shared" ca="1" si="408"/>
        <v>#NAME?</v>
      </c>
      <c r="H2453" s="100" t="e">
        <f t="shared" ca="1" si="409"/>
        <v>#NAME?</v>
      </c>
      <c r="I2453" s="100" t="e">
        <f t="shared" ca="1" si="410"/>
        <v>#NAME?</v>
      </c>
      <c r="J2453" s="100" t="e">
        <f ca="1">IFERROR(__xludf.DUMMYFUNCTION("""COMPUTED_VALUE"""),"-3.476")</f>
        <v>#NAME?</v>
      </c>
      <c r="K2453" s="100" t="e">
        <f t="shared" ca="1" si="411"/>
        <v>#NAME?</v>
      </c>
      <c r="L2453" s="100"/>
      <c r="M2453" s="100"/>
      <c r="N2453" s="100"/>
      <c r="O2453" s="100"/>
      <c r="P2453" s="100"/>
      <c r="Q2453" s="100"/>
      <c r="R2453" s="100"/>
      <c r="S2453" s="100"/>
      <c r="T2453" s="100"/>
      <c r="U2453" s="100"/>
      <c r="V2453" s="100"/>
      <c r="W2453" s="100"/>
      <c r="X2453" s="100"/>
      <c r="Y2453" s="100"/>
      <c r="Z2453" s="100"/>
    </row>
    <row r="2454" spans="1:26">
      <c r="A2454" s="100" t="e">
        <f ca="1">IFERROR(__xludf.DUMMYFUNCTION("""COMPUTED_VALUE"""),58785789)</f>
        <v>#NAME?</v>
      </c>
      <c r="B2454" s="100" t="e">
        <f ca="1">IFERROR(__xludf.DUMMYFUNCTION("""COMPUTED_VALUE"""),"ALTFDUSD")</f>
        <v>#NAME?</v>
      </c>
      <c r="C2454" s="100" t="e">
        <f ca="1">IFERROR(__xludf.DUMMYFUNCTION("""COMPUTED_VALUE"""),"0.02865000")</f>
        <v>#NAME?</v>
      </c>
      <c r="D2454" s="100" t="e">
        <f t="shared" ca="1" si="412"/>
        <v>#NAME?</v>
      </c>
      <c r="E2454" s="100" t="e">
        <f t="shared" ca="1" si="412"/>
        <v>#NAME?</v>
      </c>
      <c r="F2454" s="100" t="e">
        <f t="shared" ca="1" si="407"/>
        <v>#NAME?</v>
      </c>
      <c r="G2454" s="100" t="e">
        <f t="shared" ca="1" si="408"/>
        <v>#NAME?</v>
      </c>
      <c r="H2454" s="100" t="e">
        <f t="shared" ca="1" si="409"/>
        <v>#NAME?</v>
      </c>
      <c r="I2454" s="100" t="e">
        <f t="shared" ca="1" si="410"/>
        <v>#NAME?</v>
      </c>
      <c r="J2454" s="100" t="e">
        <f ca="1">IFERROR(__xludf.DUMMYFUNCTION("""COMPUTED_VALUE"""),"-3.078")</f>
        <v>#NAME?</v>
      </c>
      <c r="K2454" s="100" t="e">
        <f t="shared" ca="1" si="411"/>
        <v>#NAME?</v>
      </c>
      <c r="L2454" s="100"/>
      <c r="M2454" s="100"/>
      <c r="N2454" s="100"/>
      <c r="O2454" s="100"/>
      <c r="P2454" s="100"/>
      <c r="Q2454" s="100"/>
      <c r="R2454" s="100"/>
      <c r="S2454" s="100"/>
      <c r="T2454" s="100"/>
      <c r="U2454" s="100"/>
      <c r="V2454" s="100"/>
      <c r="W2454" s="100"/>
      <c r="X2454" s="100"/>
      <c r="Y2454" s="100"/>
      <c r="Z2454" s="100"/>
    </row>
    <row r="2455" spans="1:26">
      <c r="A2455" s="100" t="e">
        <f ca="1">IFERROR(__xludf.DUMMYFUNCTION("""COMPUTED_VALUE"""),58785790)</f>
        <v>#NAME?</v>
      </c>
      <c r="B2455" s="100" t="e">
        <f ca="1">IFERROR(__xludf.DUMMYFUNCTION("""COMPUTED_VALUE"""),"ALTTRY")</f>
        <v>#NAME?</v>
      </c>
      <c r="C2455" s="100" t="e">
        <f ca="1">IFERROR(__xludf.DUMMYFUNCTION("""COMPUTED_VALUE"""),"1.09300000")</f>
        <v>#NAME?</v>
      </c>
      <c r="D2455" s="100" t="e">
        <f t="shared" ca="1" si="412"/>
        <v>#NAME?</v>
      </c>
      <c r="E2455" s="100" t="e">
        <f t="shared" ca="1" si="412"/>
        <v>#NAME?</v>
      </c>
      <c r="F2455" s="100" t="e">
        <f t="shared" ca="1" si="407"/>
        <v>#NAME?</v>
      </c>
      <c r="G2455" s="100" t="e">
        <f t="shared" ca="1" si="408"/>
        <v>#NAME?</v>
      </c>
      <c r="H2455" s="100" t="e">
        <f t="shared" ca="1" si="409"/>
        <v>#NAME?</v>
      </c>
      <c r="I2455" s="100" t="e">
        <f t="shared" ca="1" si="410"/>
        <v>#NAME?</v>
      </c>
      <c r="J2455" s="100" t="e">
        <f ca="1">IFERROR(__xludf.DUMMYFUNCTION("""COMPUTED_VALUE"""),"-3.189")</f>
        <v>#NAME?</v>
      </c>
      <c r="K2455" s="100" t="e">
        <f t="shared" ca="1" si="411"/>
        <v>#NAME?</v>
      </c>
      <c r="L2455" s="100"/>
      <c r="M2455" s="100"/>
      <c r="N2455" s="100"/>
      <c r="O2455" s="100"/>
      <c r="P2455" s="100"/>
      <c r="Q2455" s="100"/>
      <c r="R2455" s="100"/>
      <c r="S2455" s="100"/>
      <c r="T2455" s="100"/>
      <c r="U2455" s="100"/>
      <c r="V2455" s="100"/>
      <c r="W2455" s="100"/>
      <c r="X2455" s="100"/>
      <c r="Y2455" s="100"/>
      <c r="Z2455" s="100"/>
    </row>
    <row r="2456" spans="1:26">
      <c r="A2456" s="100" t="e">
        <f ca="1">IFERROR(__xludf.DUMMYFUNCTION("""COMPUTED_VALUE"""),58785791)</f>
        <v>#NAME?</v>
      </c>
      <c r="B2456" s="100" t="e">
        <f ca="1">IFERROR(__xludf.DUMMYFUNCTION("""COMPUTED_VALUE"""),"APTFDUSD")</f>
        <v>#NAME?</v>
      </c>
      <c r="C2456" s="100" t="e">
        <f ca="1">IFERROR(__xludf.DUMMYFUNCTION("""COMPUTED_VALUE"""),"4.87000000")</f>
        <v>#NAME?</v>
      </c>
      <c r="D2456" s="100" t="e">
        <f t="shared" ca="1" si="412"/>
        <v>#NAME?</v>
      </c>
      <c r="E2456" s="100" t="e">
        <f t="shared" ca="1" si="412"/>
        <v>#NAME?</v>
      </c>
      <c r="F2456" s="100" t="e">
        <f t="shared" ca="1" si="407"/>
        <v>#NAME?</v>
      </c>
      <c r="G2456" s="100" t="e">
        <f t="shared" ca="1" si="408"/>
        <v>#NAME?</v>
      </c>
      <c r="H2456" s="100" t="e">
        <f t="shared" ca="1" si="409"/>
        <v>#NAME?</v>
      </c>
      <c r="I2456" s="100" t="e">
        <f t="shared" ca="1" si="410"/>
        <v>#NAME?</v>
      </c>
      <c r="J2456" s="100" t="e">
        <f ca="1">IFERROR(__xludf.DUMMYFUNCTION("""COMPUTED_VALUE"""),"-6.166")</f>
        <v>#NAME?</v>
      </c>
      <c r="K2456" s="100" t="e">
        <f t="shared" ca="1" si="411"/>
        <v>#NAME?</v>
      </c>
      <c r="L2456" s="100"/>
      <c r="M2456" s="100"/>
      <c r="N2456" s="100"/>
      <c r="O2456" s="100"/>
      <c r="P2456" s="100"/>
      <c r="Q2456" s="100"/>
      <c r="R2456" s="100"/>
      <c r="S2456" s="100"/>
      <c r="T2456" s="100"/>
      <c r="U2456" s="100"/>
      <c r="V2456" s="100"/>
      <c r="W2456" s="100"/>
      <c r="X2456" s="100"/>
      <c r="Y2456" s="100"/>
      <c r="Z2456" s="100"/>
    </row>
    <row r="2457" spans="1:26">
      <c r="A2457" s="100" t="e">
        <f ca="1">IFERROR(__xludf.DUMMYFUNCTION("""COMPUTED_VALUE"""),58785792)</f>
        <v>#NAME?</v>
      </c>
      <c r="B2457" s="100" t="e">
        <f ca="1">IFERROR(__xludf.DUMMYFUNCTION("""COMPUTED_VALUE"""),"BLURUSDC")</f>
        <v>#NAME?</v>
      </c>
      <c r="C2457" s="100" t="e">
        <f ca="1">IFERROR(__xludf.DUMMYFUNCTION("""COMPUTED_VALUE"""),"0.10470000")</f>
        <v>#NAME?</v>
      </c>
      <c r="D2457" s="100" t="e">
        <f t="shared" ca="1" si="412"/>
        <v>#NAME?</v>
      </c>
      <c r="E2457" s="100" t="e">
        <f t="shared" ca="1" si="412"/>
        <v>#NAME?</v>
      </c>
      <c r="F2457" s="100" t="e">
        <f t="shared" ca="1" si="407"/>
        <v>#NAME?</v>
      </c>
      <c r="G2457" s="100" t="e">
        <f t="shared" ca="1" si="408"/>
        <v>#NAME?</v>
      </c>
      <c r="H2457" s="100" t="e">
        <f t="shared" ca="1" si="409"/>
        <v>#NAME?</v>
      </c>
      <c r="I2457" s="100" t="e">
        <f t="shared" ca="1" si="410"/>
        <v>#NAME?</v>
      </c>
      <c r="J2457" s="100" t="e">
        <f ca="1">IFERROR(__xludf.DUMMYFUNCTION("""COMPUTED_VALUE"""),"-2.695")</f>
        <v>#NAME?</v>
      </c>
      <c r="K2457" s="100" t="e">
        <f t="shared" ca="1" si="411"/>
        <v>#NAME?</v>
      </c>
      <c r="L2457" s="100"/>
      <c r="M2457" s="100"/>
      <c r="N2457" s="100"/>
      <c r="O2457" s="100"/>
      <c r="P2457" s="100"/>
      <c r="Q2457" s="100"/>
      <c r="R2457" s="100"/>
      <c r="S2457" s="100"/>
      <c r="T2457" s="100"/>
      <c r="U2457" s="100"/>
      <c r="V2457" s="100"/>
      <c r="W2457" s="100"/>
      <c r="X2457" s="100"/>
      <c r="Y2457" s="100"/>
      <c r="Z2457" s="100"/>
    </row>
    <row r="2458" spans="1:26">
      <c r="A2458" s="100" t="e">
        <f ca="1">IFERROR(__xludf.DUMMYFUNCTION("""COMPUTED_VALUE"""),58785793)</f>
        <v>#NAME?</v>
      </c>
      <c r="B2458" s="100" t="e">
        <f ca="1">IFERROR(__xludf.DUMMYFUNCTION("""COMPUTED_VALUE"""),"JUPUSDT")</f>
        <v>#NAME?</v>
      </c>
      <c r="C2458" s="100" t="e">
        <f ca="1">IFERROR(__xludf.DUMMYFUNCTION("""COMPUTED_VALUE"""),"0.40570000")</f>
        <v>#NAME?</v>
      </c>
      <c r="D2458" s="100" t="e">
        <f t="shared" ca="1" si="412"/>
        <v>#NAME?</v>
      </c>
      <c r="E2458" s="100" t="e">
        <f t="shared" ca="1" si="412"/>
        <v>#NAME?</v>
      </c>
      <c r="F2458" s="100" t="e">
        <f t="shared" ca="1" si="407"/>
        <v>#NAME?</v>
      </c>
      <c r="G2458" s="100" t="e">
        <f t="shared" ca="1" si="408"/>
        <v>#NAME?</v>
      </c>
      <c r="H2458" s="100" t="e">
        <f t="shared" ca="1" si="409"/>
        <v>#NAME?</v>
      </c>
      <c r="I2458" s="100" t="e">
        <f t="shared" ca="1" si="410"/>
        <v>#NAME?</v>
      </c>
      <c r="J2458" s="100" t="e">
        <f ca="1">IFERROR(__xludf.DUMMYFUNCTION("""COMPUTED_VALUE"""),"1.756")</f>
        <v>#NAME?</v>
      </c>
      <c r="K2458" s="100" t="e">
        <f t="shared" ca="1" si="411"/>
        <v>#NAME?</v>
      </c>
      <c r="L2458" s="100"/>
      <c r="M2458" s="100"/>
      <c r="N2458" s="100"/>
      <c r="O2458" s="100"/>
      <c r="P2458" s="100"/>
      <c r="Q2458" s="100"/>
      <c r="R2458" s="100"/>
      <c r="S2458" s="100"/>
      <c r="T2458" s="100"/>
      <c r="U2458" s="100"/>
      <c r="V2458" s="100"/>
      <c r="W2458" s="100"/>
      <c r="X2458" s="100"/>
      <c r="Y2458" s="100"/>
      <c r="Z2458" s="100"/>
    </row>
    <row r="2459" spans="1:26">
      <c r="A2459" s="100" t="e">
        <f ca="1">IFERROR(__xludf.DUMMYFUNCTION("""COMPUTED_VALUE"""),58785794)</f>
        <v>#NAME?</v>
      </c>
      <c r="B2459" s="100" t="e">
        <f ca="1">IFERROR(__xludf.DUMMYFUNCTION("""COMPUTED_VALUE"""),"JUPFDUSD")</f>
        <v>#NAME?</v>
      </c>
      <c r="C2459" s="100" t="e">
        <f ca="1">IFERROR(__xludf.DUMMYFUNCTION("""COMPUTED_VALUE"""),"0.40640000")</f>
        <v>#NAME?</v>
      </c>
      <c r="D2459" s="100" t="e">
        <f t="shared" ca="1" si="412"/>
        <v>#NAME?</v>
      </c>
      <c r="E2459" s="100" t="e">
        <f t="shared" ca="1" si="412"/>
        <v>#NAME?</v>
      </c>
      <c r="F2459" s="100" t="e">
        <f t="shared" ca="1" si="407"/>
        <v>#NAME?</v>
      </c>
      <c r="G2459" s="100" t="e">
        <f t="shared" ca="1" si="408"/>
        <v>#NAME?</v>
      </c>
      <c r="H2459" s="100" t="e">
        <f t="shared" ca="1" si="409"/>
        <v>#NAME?</v>
      </c>
      <c r="I2459" s="100" t="e">
        <f t="shared" ca="1" si="410"/>
        <v>#NAME?</v>
      </c>
      <c r="J2459" s="100" t="e">
        <f ca="1">IFERROR(__xludf.DUMMYFUNCTION("""COMPUTED_VALUE"""),"1.855")</f>
        <v>#NAME?</v>
      </c>
      <c r="K2459" s="100" t="e">
        <f t="shared" ca="1" si="411"/>
        <v>#NAME?</v>
      </c>
      <c r="L2459" s="100"/>
      <c r="M2459" s="100"/>
      <c r="N2459" s="100"/>
      <c r="O2459" s="100"/>
      <c r="P2459" s="100"/>
      <c r="Q2459" s="100"/>
      <c r="R2459" s="100"/>
      <c r="S2459" s="100"/>
      <c r="T2459" s="100"/>
      <c r="U2459" s="100"/>
      <c r="V2459" s="100"/>
      <c r="W2459" s="100"/>
      <c r="X2459" s="100"/>
      <c r="Y2459" s="100"/>
      <c r="Z2459" s="100"/>
    </row>
    <row r="2460" spans="1:26">
      <c r="A2460" s="100" t="e">
        <f ca="1">IFERROR(__xludf.DUMMYFUNCTION("""COMPUTED_VALUE"""),58785795)</f>
        <v>#NAME?</v>
      </c>
      <c r="B2460" s="100" t="e">
        <f ca="1">IFERROR(__xludf.DUMMYFUNCTION("""COMPUTED_VALUE"""),"JUPTRY")</f>
        <v>#NAME?</v>
      </c>
      <c r="C2460" s="100" t="e">
        <f ca="1">IFERROR(__xludf.DUMMYFUNCTION("""COMPUTED_VALUE"""),"15.50000000")</f>
        <v>#NAME?</v>
      </c>
      <c r="D2460" s="100" t="e">
        <f t="shared" ca="1" si="412"/>
        <v>#NAME?</v>
      </c>
      <c r="E2460" s="100" t="e">
        <f t="shared" ca="1" si="412"/>
        <v>#NAME?</v>
      </c>
      <c r="F2460" s="100" t="e">
        <f t="shared" ca="1" si="407"/>
        <v>#NAME?</v>
      </c>
      <c r="G2460" s="100" t="e">
        <f t="shared" ca="1" si="408"/>
        <v>#NAME?</v>
      </c>
      <c r="H2460" s="100" t="e">
        <f t="shared" ca="1" si="409"/>
        <v>#NAME?</v>
      </c>
      <c r="I2460" s="100" t="e">
        <f t="shared" ca="1" si="410"/>
        <v>#NAME?</v>
      </c>
      <c r="J2460" s="100" t="e">
        <f ca="1">IFERROR(__xludf.DUMMYFUNCTION("""COMPUTED_VALUE"""),"1.907")</f>
        <v>#NAME?</v>
      </c>
      <c r="K2460" s="100" t="e">
        <f t="shared" ca="1" si="411"/>
        <v>#NAME?</v>
      </c>
      <c r="L2460" s="100"/>
      <c r="M2460" s="100"/>
      <c r="N2460" s="100"/>
      <c r="O2460" s="100"/>
      <c r="P2460" s="100"/>
      <c r="Q2460" s="100"/>
      <c r="R2460" s="100"/>
      <c r="S2460" s="100"/>
      <c r="T2460" s="100"/>
      <c r="U2460" s="100"/>
      <c r="V2460" s="100"/>
      <c r="W2460" s="100"/>
      <c r="X2460" s="100"/>
      <c r="Y2460" s="100"/>
      <c r="Z2460" s="100"/>
    </row>
    <row r="2461" spans="1:26">
      <c r="A2461" s="100" t="e">
        <f ca="1">IFERROR(__xludf.DUMMYFUNCTION("""COMPUTED_VALUE"""),58785796)</f>
        <v>#NAME?</v>
      </c>
      <c r="B2461" s="100" t="e">
        <f ca="1">IFERROR(__xludf.DUMMYFUNCTION("""COMPUTED_VALUE"""),"ALTUSDC")</f>
        <v>#NAME?</v>
      </c>
      <c r="C2461" s="100" t="e">
        <f ca="1">IFERROR(__xludf.DUMMYFUNCTION("""COMPUTED_VALUE"""),"0.02857000")</f>
        <v>#NAME?</v>
      </c>
      <c r="D2461" s="100" t="e">
        <f t="shared" ca="1" si="412"/>
        <v>#NAME?</v>
      </c>
      <c r="E2461" s="100" t="e">
        <f t="shared" ca="1" si="412"/>
        <v>#NAME?</v>
      </c>
      <c r="F2461" s="100" t="e">
        <f t="shared" ca="1" si="407"/>
        <v>#NAME?</v>
      </c>
      <c r="G2461" s="100" t="e">
        <f t="shared" ca="1" si="408"/>
        <v>#NAME?</v>
      </c>
      <c r="H2461" s="100" t="e">
        <f t="shared" ca="1" si="409"/>
        <v>#NAME?</v>
      </c>
      <c r="I2461" s="100" t="e">
        <f t="shared" ca="1" si="410"/>
        <v>#NAME?</v>
      </c>
      <c r="J2461" s="100" t="e">
        <f ca="1">IFERROR(__xludf.DUMMYFUNCTION("""COMPUTED_VALUE"""),"-3.349")</f>
        <v>#NAME?</v>
      </c>
      <c r="K2461" s="100" t="e">
        <f t="shared" ca="1" si="411"/>
        <v>#NAME?</v>
      </c>
      <c r="L2461" s="100"/>
      <c r="M2461" s="100"/>
      <c r="N2461" s="100"/>
      <c r="O2461" s="100"/>
      <c r="P2461" s="100"/>
      <c r="Q2461" s="100"/>
      <c r="R2461" s="100"/>
      <c r="S2461" s="100"/>
      <c r="T2461" s="100"/>
      <c r="U2461" s="100"/>
      <c r="V2461" s="100"/>
      <c r="W2461" s="100"/>
      <c r="X2461" s="100"/>
      <c r="Y2461" s="100"/>
      <c r="Z2461" s="100"/>
    </row>
    <row r="2462" spans="1:26">
      <c r="A2462" s="100" t="e">
        <f ca="1">IFERROR(__xludf.DUMMYFUNCTION("""COMPUTED_VALUE"""),58785797)</f>
        <v>#NAME?</v>
      </c>
      <c r="B2462" s="100" t="e">
        <f ca="1">IFERROR(__xludf.DUMMYFUNCTION("""COMPUTED_VALUE"""),"MAGICFDUSD")</f>
        <v>#NAME?</v>
      </c>
      <c r="C2462" s="100" t="e">
        <f ca="1">IFERROR(__xludf.DUMMYFUNCTION("""COMPUTED_VALUE"""),"0.90500000")</f>
        <v>#NAME?</v>
      </c>
      <c r="D2462" s="100" t="e">
        <f t="shared" ref="D2462:E2481" ca="1" si="413">IFERROR(__xludf.DUMMYFUNCTION("""COMPUTED_VALUE"""),"-")</f>
        <v>#NAME?</v>
      </c>
      <c r="E2462" s="100" t="e">
        <f t="shared" ca="1" si="413"/>
        <v>#NAME?</v>
      </c>
      <c r="F2462" s="100" t="e">
        <f t="shared" ca="1" si="407"/>
        <v>#NAME?</v>
      </c>
      <c r="G2462" s="100" t="e">
        <f t="shared" ca="1" si="408"/>
        <v>#NAME?</v>
      </c>
      <c r="H2462" s="100" t="e">
        <f t="shared" ca="1" si="409"/>
        <v>#NAME?</v>
      </c>
      <c r="I2462" s="100" t="e">
        <f t="shared" ca="1" si="410"/>
        <v>#NAME?</v>
      </c>
      <c r="J2462" s="100" t="e">
        <f ca="1">IFERROR(__xludf.DUMMYFUNCTION("""COMPUTED_VALUE"""),"0")</f>
        <v>#NAME?</v>
      </c>
      <c r="K2462" s="100" t="e">
        <f t="shared" ca="1" si="411"/>
        <v>#NAME?</v>
      </c>
      <c r="L2462" s="100"/>
      <c r="M2462" s="100"/>
      <c r="N2462" s="100"/>
      <c r="O2462" s="100"/>
      <c r="P2462" s="100"/>
      <c r="Q2462" s="100"/>
      <c r="R2462" s="100"/>
      <c r="S2462" s="100"/>
      <c r="T2462" s="100"/>
      <c r="U2462" s="100"/>
      <c r="V2462" s="100"/>
      <c r="W2462" s="100"/>
      <c r="X2462" s="100"/>
      <c r="Y2462" s="100"/>
      <c r="Z2462" s="100"/>
    </row>
    <row r="2463" spans="1:26">
      <c r="A2463" s="100" t="e">
        <f ca="1">IFERROR(__xludf.DUMMYFUNCTION("""COMPUTED_VALUE"""),58785798)</f>
        <v>#NAME?</v>
      </c>
      <c r="B2463" s="100" t="e">
        <f ca="1">IFERROR(__xludf.DUMMYFUNCTION("""COMPUTED_VALUE"""),"SEIUSDC")</f>
        <v>#NAME?</v>
      </c>
      <c r="C2463" s="100" t="e">
        <f ca="1">IFERROR(__xludf.DUMMYFUNCTION("""COMPUTED_VALUE"""),"0.17980000")</f>
        <v>#NAME?</v>
      </c>
      <c r="D2463" s="100" t="e">
        <f t="shared" ca="1" si="413"/>
        <v>#NAME?</v>
      </c>
      <c r="E2463" s="100" t="e">
        <f t="shared" ca="1" si="413"/>
        <v>#NAME?</v>
      </c>
      <c r="F2463" s="100" t="e">
        <f t="shared" ca="1" si="407"/>
        <v>#NAME?</v>
      </c>
      <c r="G2463" s="100" t="e">
        <f t="shared" ca="1" si="408"/>
        <v>#NAME?</v>
      </c>
      <c r="H2463" s="100" t="e">
        <f t="shared" ca="1" si="409"/>
        <v>#NAME?</v>
      </c>
      <c r="I2463" s="100" t="e">
        <f t="shared" ca="1" si="410"/>
        <v>#NAME?</v>
      </c>
      <c r="J2463" s="100" t="e">
        <f ca="1">IFERROR(__xludf.DUMMYFUNCTION("""COMPUTED_VALUE"""),"0.167")</f>
        <v>#NAME?</v>
      </c>
      <c r="K2463" s="100" t="e">
        <f t="shared" ca="1" si="411"/>
        <v>#NAME?</v>
      </c>
      <c r="L2463" s="100"/>
      <c r="M2463" s="100"/>
      <c r="N2463" s="100"/>
      <c r="O2463" s="100"/>
      <c r="P2463" s="100"/>
      <c r="Q2463" s="100"/>
      <c r="R2463" s="100"/>
      <c r="S2463" s="100"/>
      <c r="T2463" s="100"/>
      <c r="U2463" s="100"/>
      <c r="V2463" s="100"/>
      <c r="W2463" s="100"/>
      <c r="X2463" s="100"/>
      <c r="Y2463" s="100"/>
      <c r="Z2463" s="100"/>
    </row>
    <row r="2464" spans="1:26">
      <c r="A2464" s="100" t="e">
        <f ca="1">IFERROR(__xludf.DUMMYFUNCTION("""COMPUTED_VALUE"""),58785799)</f>
        <v>#NAME?</v>
      </c>
      <c r="B2464" s="100" t="e">
        <f ca="1">IFERROR(__xludf.DUMMYFUNCTION("""COMPUTED_VALUE"""),"PYTHBTC")</f>
        <v>#NAME?</v>
      </c>
      <c r="C2464" s="100" t="e">
        <f ca="1">IFERROR(__xludf.DUMMYFUNCTION("""COMPUTED_VALUE"""),"0.00000160")</f>
        <v>#NAME?</v>
      </c>
      <c r="D2464" s="100" t="e">
        <f t="shared" ca="1" si="413"/>
        <v>#NAME?</v>
      </c>
      <c r="E2464" s="100" t="e">
        <f t="shared" ca="1" si="413"/>
        <v>#NAME?</v>
      </c>
      <c r="F2464" s="100" t="e">
        <f t="shared" ca="1" si="407"/>
        <v>#NAME?</v>
      </c>
      <c r="G2464" s="100" t="e">
        <f t="shared" ca="1" si="408"/>
        <v>#NAME?</v>
      </c>
      <c r="H2464" s="100" t="e">
        <f t="shared" ca="1" si="409"/>
        <v>#NAME?</v>
      </c>
      <c r="I2464" s="100" t="e">
        <f t="shared" ca="1" si="410"/>
        <v>#NAME?</v>
      </c>
      <c r="J2464" s="100" t="e">
        <f ca="1">IFERROR(__xludf.DUMMYFUNCTION("""COMPUTED_VALUE"""),"-4.192")</f>
        <v>#NAME?</v>
      </c>
      <c r="K2464" s="100" t="e">
        <f t="shared" ca="1" si="411"/>
        <v>#NAME?</v>
      </c>
      <c r="L2464" s="100"/>
      <c r="M2464" s="100"/>
      <c r="N2464" s="100"/>
      <c r="O2464" s="100"/>
      <c r="P2464" s="100"/>
      <c r="Q2464" s="100"/>
      <c r="R2464" s="100"/>
      <c r="S2464" s="100"/>
      <c r="T2464" s="100"/>
      <c r="U2464" s="100"/>
      <c r="V2464" s="100"/>
      <c r="W2464" s="100"/>
      <c r="X2464" s="100"/>
      <c r="Y2464" s="100"/>
      <c r="Z2464" s="100"/>
    </row>
    <row r="2465" spans="1:26">
      <c r="A2465" s="100" t="e">
        <f ca="1">IFERROR(__xludf.DUMMYFUNCTION("""COMPUTED_VALUE"""),58785800)</f>
        <v>#NAME?</v>
      </c>
      <c r="B2465" s="100" t="e">
        <f ca="1">IFERROR(__xludf.DUMMYFUNCTION("""COMPUTED_VALUE"""),"PYTHUSDT")</f>
        <v>#NAME?</v>
      </c>
      <c r="C2465" s="100" t="e">
        <f ca="1">IFERROR(__xludf.DUMMYFUNCTION("""COMPUTED_VALUE"""),"0.14150000")</f>
        <v>#NAME?</v>
      </c>
      <c r="D2465" s="100" t="e">
        <f t="shared" ca="1" si="413"/>
        <v>#NAME?</v>
      </c>
      <c r="E2465" s="100" t="e">
        <f t="shared" ca="1" si="413"/>
        <v>#NAME?</v>
      </c>
      <c r="F2465" s="100" t="e">
        <f t="shared" ca="1" si="407"/>
        <v>#NAME?</v>
      </c>
      <c r="G2465" s="100" t="e">
        <f t="shared" ca="1" si="408"/>
        <v>#NAME?</v>
      </c>
      <c r="H2465" s="100" t="e">
        <f t="shared" ca="1" si="409"/>
        <v>#NAME?</v>
      </c>
      <c r="I2465" s="100" t="e">
        <f t="shared" ca="1" si="410"/>
        <v>#NAME?</v>
      </c>
      <c r="J2465" s="100" t="e">
        <f ca="1">IFERROR(__xludf.DUMMYFUNCTION("""COMPUTED_VALUE"""),"-2.346")</f>
        <v>#NAME?</v>
      </c>
      <c r="K2465" s="100" t="e">
        <f t="shared" ca="1" si="411"/>
        <v>#NAME?</v>
      </c>
      <c r="L2465" s="100"/>
      <c r="M2465" s="100"/>
      <c r="N2465" s="100"/>
      <c r="O2465" s="100"/>
      <c r="P2465" s="100"/>
      <c r="Q2465" s="100"/>
      <c r="R2465" s="100"/>
      <c r="S2465" s="100"/>
      <c r="T2465" s="100"/>
      <c r="U2465" s="100"/>
      <c r="V2465" s="100"/>
      <c r="W2465" s="100"/>
      <c r="X2465" s="100"/>
      <c r="Y2465" s="100"/>
      <c r="Z2465" s="100"/>
    </row>
    <row r="2466" spans="1:26">
      <c r="A2466" s="100" t="e">
        <f ca="1">IFERROR(__xludf.DUMMYFUNCTION("""COMPUTED_VALUE"""),58785801)</f>
        <v>#NAME?</v>
      </c>
      <c r="B2466" s="100" t="e">
        <f ca="1">IFERROR(__xludf.DUMMYFUNCTION("""COMPUTED_VALUE"""),"PYTHFDUSD")</f>
        <v>#NAME?</v>
      </c>
      <c r="C2466" s="100" t="e">
        <f ca="1">IFERROR(__xludf.DUMMYFUNCTION("""COMPUTED_VALUE"""),"0.14190000")</f>
        <v>#NAME?</v>
      </c>
      <c r="D2466" s="100" t="e">
        <f t="shared" ca="1" si="413"/>
        <v>#NAME?</v>
      </c>
      <c r="E2466" s="100" t="e">
        <f t="shared" ca="1" si="413"/>
        <v>#NAME?</v>
      </c>
      <c r="F2466" s="100" t="e">
        <f t="shared" ca="1" si="407"/>
        <v>#NAME?</v>
      </c>
      <c r="G2466" s="100" t="e">
        <f t="shared" ca="1" si="408"/>
        <v>#NAME?</v>
      </c>
      <c r="H2466" s="100" t="e">
        <f t="shared" ca="1" si="409"/>
        <v>#NAME?</v>
      </c>
      <c r="I2466" s="100" t="e">
        <f t="shared" ca="1" si="410"/>
        <v>#NAME?</v>
      </c>
      <c r="J2466" s="100" t="e">
        <f ca="1">IFERROR(__xludf.DUMMYFUNCTION("""COMPUTED_VALUE"""),"-2.340")</f>
        <v>#NAME?</v>
      </c>
      <c r="K2466" s="100" t="e">
        <f t="shared" ca="1" si="411"/>
        <v>#NAME?</v>
      </c>
      <c r="L2466" s="100"/>
      <c r="M2466" s="100"/>
      <c r="N2466" s="100"/>
      <c r="O2466" s="100"/>
      <c r="P2466" s="100"/>
      <c r="Q2466" s="100"/>
      <c r="R2466" s="100"/>
      <c r="S2466" s="100"/>
      <c r="T2466" s="100"/>
      <c r="U2466" s="100"/>
      <c r="V2466" s="100"/>
      <c r="W2466" s="100"/>
      <c r="X2466" s="100"/>
      <c r="Y2466" s="100"/>
      <c r="Z2466" s="100"/>
    </row>
    <row r="2467" spans="1:26">
      <c r="A2467" s="100" t="e">
        <f ca="1">IFERROR(__xludf.DUMMYFUNCTION("""COMPUTED_VALUE"""),58785802)</f>
        <v>#NAME?</v>
      </c>
      <c r="B2467" s="100" t="e">
        <f ca="1">IFERROR(__xludf.DUMMYFUNCTION("""COMPUTED_VALUE"""),"PYTHTRY")</f>
        <v>#NAME?</v>
      </c>
      <c r="C2467" s="100" t="e">
        <f ca="1">IFERROR(__xludf.DUMMYFUNCTION("""COMPUTED_VALUE"""),"5.42000000")</f>
        <v>#NAME?</v>
      </c>
      <c r="D2467" s="100" t="e">
        <f t="shared" ca="1" si="413"/>
        <v>#NAME?</v>
      </c>
      <c r="E2467" s="100" t="e">
        <f t="shared" ca="1" si="413"/>
        <v>#NAME?</v>
      </c>
      <c r="F2467" s="100" t="e">
        <f t="shared" ca="1" si="407"/>
        <v>#NAME?</v>
      </c>
      <c r="G2467" s="100" t="e">
        <f t="shared" ca="1" si="408"/>
        <v>#NAME?</v>
      </c>
      <c r="H2467" s="100" t="e">
        <f t="shared" ca="1" si="409"/>
        <v>#NAME?</v>
      </c>
      <c r="I2467" s="100" t="e">
        <f t="shared" ca="1" si="410"/>
        <v>#NAME?</v>
      </c>
      <c r="J2467" s="100" t="e">
        <f ca="1">IFERROR(__xludf.DUMMYFUNCTION("""COMPUTED_VALUE"""),"-2.342")</f>
        <v>#NAME?</v>
      </c>
      <c r="K2467" s="100" t="e">
        <f t="shared" ca="1" si="411"/>
        <v>#NAME?</v>
      </c>
      <c r="L2467" s="100"/>
      <c r="M2467" s="100"/>
      <c r="N2467" s="100"/>
      <c r="O2467" s="100"/>
      <c r="P2467" s="100"/>
      <c r="Q2467" s="100"/>
      <c r="R2467" s="100"/>
      <c r="S2467" s="100"/>
      <c r="T2467" s="100"/>
      <c r="U2467" s="100"/>
      <c r="V2467" s="100"/>
      <c r="W2467" s="100"/>
      <c r="X2467" s="100"/>
      <c r="Y2467" s="100"/>
      <c r="Z2467" s="100"/>
    </row>
    <row r="2468" spans="1:26">
      <c r="A2468" s="100" t="e">
        <f ca="1">IFERROR(__xludf.DUMMYFUNCTION("""COMPUTED_VALUE"""),58785803)</f>
        <v>#NAME?</v>
      </c>
      <c r="B2468" s="100" t="e">
        <f ca="1">IFERROR(__xludf.DUMMYFUNCTION("""COMPUTED_VALUE"""),"RONINBTC")</f>
        <v>#NAME?</v>
      </c>
      <c r="C2468" s="100" t="e">
        <f ca="1">IFERROR(__xludf.DUMMYFUNCTION("""COMPUTED_VALUE"""),"0.00000597")</f>
        <v>#NAME?</v>
      </c>
      <c r="D2468" s="100" t="e">
        <f t="shared" ca="1" si="413"/>
        <v>#NAME?</v>
      </c>
      <c r="E2468" s="100" t="e">
        <f t="shared" ca="1" si="413"/>
        <v>#NAME?</v>
      </c>
      <c r="F2468" s="100" t="e">
        <f t="shared" ca="1" si="407"/>
        <v>#NAME?</v>
      </c>
      <c r="G2468" s="100" t="e">
        <f t="shared" ca="1" si="408"/>
        <v>#NAME?</v>
      </c>
      <c r="H2468" s="100" t="e">
        <f t="shared" ca="1" si="409"/>
        <v>#NAME?</v>
      </c>
      <c r="I2468" s="100" t="e">
        <f t="shared" ca="1" si="410"/>
        <v>#NAME?</v>
      </c>
      <c r="J2468" s="100" t="e">
        <f ca="1">IFERROR(__xludf.DUMMYFUNCTION("""COMPUTED_VALUE"""),"1.015")</f>
        <v>#NAME?</v>
      </c>
      <c r="K2468" s="100" t="e">
        <f t="shared" ca="1" si="411"/>
        <v>#NAME?</v>
      </c>
      <c r="L2468" s="100"/>
      <c r="M2468" s="100"/>
      <c r="N2468" s="100"/>
      <c r="O2468" s="100"/>
      <c r="P2468" s="100"/>
      <c r="Q2468" s="100"/>
      <c r="R2468" s="100"/>
      <c r="S2468" s="100"/>
      <c r="T2468" s="100"/>
      <c r="U2468" s="100"/>
      <c r="V2468" s="100"/>
      <c r="W2468" s="100"/>
      <c r="X2468" s="100"/>
      <c r="Y2468" s="100"/>
      <c r="Z2468" s="100"/>
    </row>
    <row r="2469" spans="1:26">
      <c r="A2469" s="100" t="e">
        <f ca="1">IFERROR(__xludf.DUMMYFUNCTION("""COMPUTED_VALUE"""),58785804)</f>
        <v>#NAME?</v>
      </c>
      <c r="B2469" s="100" t="e">
        <f ca="1">IFERROR(__xludf.DUMMYFUNCTION("""COMPUTED_VALUE"""),"RONINUSDT")</f>
        <v>#NAME?</v>
      </c>
      <c r="C2469" s="100" t="e">
        <f ca="1">IFERROR(__xludf.DUMMYFUNCTION("""COMPUTED_VALUE"""),"0.52900000")</f>
        <v>#NAME?</v>
      </c>
      <c r="D2469" s="100" t="e">
        <f t="shared" ca="1" si="413"/>
        <v>#NAME?</v>
      </c>
      <c r="E2469" s="100" t="e">
        <f t="shared" ca="1" si="413"/>
        <v>#NAME?</v>
      </c>
      <c r="F2469" s="100" t="e">
        <f t="shared" ca="1" si="407"/>
        <v>#NAME?</v>
      </c>
      <c r="G2469" s="100" t="e">
        <f t="shared" ca="1" si="408"/>
        <v>#NAME?</v>
      </c>
      <c r="H2469" s="100" t="e">
        <f t="shared" ca="1" si="409"/>
        <v>#NAME?</v>
      </c>
      <c r="I2469" s="100" t="e">
        <f t="shared" ca="1" si="410"/>
        <v>#NAME?</v>
      </c>
      <c r="J2469" s="100" t="e">
        <f ca="1">IFERROR(__xludf.DUMMYFUNCTION("""COMPUTED_VALUE"""),"2.321")</f>
        <v>#NAME?</v>
      </c>
      <c r="K2469" s="100" t="e">
        <f t="shared" ca="1" si="411"/>
        <v>#NAME?</v>
      </c>
      <c r="L2469" s="100"/>
      <c r="M2469" s="100"/>
      <c r="N2469" s="100"/>
      <c r="O2469" s="100"/>
      <c r="P2469" s="100"/>
      <c r="Q2469" s="100"/>
      <c r="R2469" s="100"/>
      <c r="S2469" s="100"/>
      <c r="T2469" s="100"/>
      <c r="U2469" s="100"/>
      <c r="V2469" s="100"/>
      <c r="W2469" s="100"/>
      <c r="X2469" s="100"/>
      <c r="Y2469" s="100"/>
      <c r="Z2469" s="100"/>
    </row>
    <row r="2470" spans="1:26">
      <c r="A2470" s="100" t="e">
        <f ca="1">IFERROR(__xludf.DUMMYFUNCTION("""COMPUTED_VALUE"""),58785805)</f>
        <v>#NAME?</v>
      </c>
      <c r="B2470" s="100" t="e">
        <f ca="1">IFERROR(__xludf.DUMMYFUNCTION("""COMPUTED_VALUE"""),"RONINFDUSD")</f>
        <v>#NAME?</v>
      </c>
      <c r="C2470" s="100" t="e">
        <f ca="1">IFERROR(__xludf.DUMMYFUNCTION("""COMPUTED_VALUE"""),"0.52900000")</f>
        <v>#NAME?</v>
      </c>
      <c r="D2470" s="100" t="e">
        <f t="shared" ca="1" si="413"/>
        <v>#NAME?</v>
      </c>
      <c r="E2470" s="100" t="e">
        <f t="shared" ca="1" si="413"/>
        <v>#NAME?</v>
      </c>
      <c r="F2470" s="100" t="e">
        <f t="shared" ca="1" si="407"/>
        <v>#NAME?</v>
      </c>
      <c r="G2470" s="100" t="e">
        <f t="shared" ca="1" si="408"/>
        <v>#NAME?</v>
      </c>
      <c r="H2470" s="100" t="e">
        <f t="shared" ca="1" si="409"/>
        <v>#NAME?</v>
      </c>
      <c r="I2470" s="100" t="e">
        <f t="shared" ca="1" si="410"/>
        <v>#NAME?</v>
      </c>
      <c r="J2470" s="100" t="e">
        <f ca="1">IFERROR(__xludf.DUMMYFUNCTION("""COMPUTED_VALUE"""),"2.519")</f>
        <v>#NAME?</v>
      </c>
      <c r="K2470" s="100" t="e">
        <f t="shared" ca="1" si="411"/>
        <v>#NAME?</v>
      </c>
      <c r="L2470" s="100"/>
      <c r="M2470" s="100"/>
      <c r="N2470" s="100"/>
      <c r="O2470" s="100"/>
      <c r="P2470" s="100"/>
      <c r="Q2470" s="100"/>
      <c r="R2470" s="100"/>
      <c r="S2470" s="100"/>
      <c r="T2470" s="100"/>
      <c r="U2470" s="100"/>
      <c r="V2470" s="100"/>
      <c r="W2470" s="100"/>
      <c r="X2470" s="100"/>
      <c r="Y2470" s="100"/>
      <c r="Z2470" s="100"/>
    </row>
    <row r="2471" spans="1:26">
      <c r="A2471" s="100" t="e">
        <f ca="1">IFERROR(__xludf.DUMMYFUNCTION("""COMPUTED_VALUE"""),58785806)</f>
        <v>#NAME?</v>
      </c>
      <c r="B2471" s="100" t="e">
        <f ca="1">IFERROR(__xludf.DUMMYFUNCTION("""COMPUTED_VALUE"""),"RONINTRY")</f>
        <v>#NAME?</v>
      </c>
      <c r="C2471" s="100" t="e">
        <f ca="1">IFERROR(__xludf.DUMMYFUNCTION("""COMPUTED_VALUE"""),"20.21000000")</f>
        <v>#NAME?</v>
      </c>
      <c r="D2471" s="100" t="e">
        <f t="shared" ca="1" si="413"/>
        <v>#NAME?</v>
      </c>
      <c r="E2471" s="100" t="e">
        <f t="shared" ca="1" si="413"/>
        <v>#NAME?</v>
      </c>
      <c r="F2471" s="100" t="e">
        <f t="shared" ca="1" si="407"/>
        <v>#NAME?</v>
      </c>
      <c r="G2471" s="100" t="e">
        <f t="shared" ca="1" si="408"/>
        <v>#NAME?</v>
      </c>
      <c r="H2471" s="100" t="e">
        <f t="shared" ca="1" si="409"/>
        <v>#NAME?</v>
      </c>
      <c r="I2471" s="100" t="e">
        <f t="shared" ca="1" si="410"/>
        <v>#NAME?</v>
      </c>
      <c r="J2471" s="100" t="e">
        <f ca="1">IFERROR(__xludf.DUMMYFUNCTION("""COMPUTED_VALUE"""),"2.433")</f>
        <v>#NAME?</v>
      </c>
      <c r="K2471" s="100" t="e">
        <f t="shared" ca="1" si="411"/>
        <v>#NAME?</v>
      </c>
      <c r="L2471" s="100"/>
      <c r="M2471" s="100"/>
      <c r="N2471" s="100"/>
      <c r="O2471" s="100"/>
      <c r="P2471" s="100"/>
      <c r="Q2471" s="100"/>
      <c r="R2471" s="100"/>
      <c r="S2471" s="100"/>
      <c r="T2471" s="100"/>
      <c r="U2471" s="100"/>
      <c r="V2471" s="100"/>
      <c r="W2471" s="100"/>
      <c r="X2471" s="100"/>
      <c r="Y2471" s="100"/>
      <c r="Z2471" s="100"/>
    </row>
    <row r="2472" spans="1:26">
      <c r="A2472" s="100" t="e">
        <f ca="1">IFERROR(__xludf.DUMMYFUNCTION("""COMPUTED_VALUE"""),58785807)</f>
        <v>#NAME?</v>
      </c>
      <c r="B2472" s="100" t="e">
        <f ca="1">IFERROR(__xludf.DUMMYFUNCTION("""COMPUTED_VALUE"""),"DYMBTC")</f>
        <v>#NAME?</v>
      </c>
      <c r="C2472" s="100" t="e">
        <f ca="1">IFERROR(__xludf.DUMMYFUNCTION("""COMPUTED_VALUE"""),"0.00001452")</f>
        <v>#NAME?</v>
      </c>
      <c r="D2472" s="100" t="e">
        <f t="shared" ca="1" si="413"/>
        <v>#NAME?</v>
      </c>
      <c r="E2472" s="100" t="e">
        <f t="shared" ca="1" si="413"/>
        <v>#NAME?</v>
      </c>
      <c r="F2472" s="100" t="e">
        <f t="shared" ca="1" si="407"/>
        <v>#NAME?</v>
      </c>
      <c r="G2472" s="100" t="e">
        <f t="shared" ca="1" si="408"/>
        <v>#NAME?</v>
      </c>
      <c r="H2472" s="100" t="e">
        <f t="shared" ca="1" si="409"/>
        <v>#NAME?</v>
      </c>
      <c r="I2472" s="100" t="e">
        <f t="shared" ca="1" si="410"/>
        <v>#NAME?</v>
      </c>
      <c r="J2472" s="100" t="e">
        <f ca="1">IFERROR(__xludf.DUMMYFUNCTION("""COMPUTED_VALUE"""),"0")</f>
        <v>#NAME?</v>
      </c>
      <c r="K2472" s="100" t="e">
        <f t="shared" ca="1" si="411"/>
        <v>#NAME?</v>
      </c>
      <c r="L2472" s="100"/>
      <c r="M2472" s="100"/>
      <c r="N2472" s="100"/>
      <c r="O2472" s="100"/>
      <c r="P2472" s="100"/>
      <c r="Q2472" s="100"/>
      <c r="R2472" s="100"/>
      <c r="S2472" s="100"/>
      <c r="T2472" s="100"/>
      <c r="U2472" s="100"/>
      <c r="V2472" s="100"/>
      <c r="W2472" s="100"/>
      <c r="X2472" s="100"/>
      <c r="Y2472" s="100"/>
      <c r="Z2472" s="100"/>
    </row>
    <row r="2473" spans="1:26">
      <c r="A2473" s="100" t="e">
        <f ca="1">IFERROR(__xludf.DUMMYFUNCTION("""COMPUTED_VALUE"""),58785808)</f>
        <v>#NAME?</v>
      </c>
      <c r="B2473" s="100" t="e">
        <f ca="1">IFERROR(__xludf.DUMMYFUNCTION("""COMPUTED_VALUE"""),"DYMUSDT")</f>
        <v>#NAME?</v>
      </c>
      <c r="C2473" s="100" t="e">
        <f ca="1">IFERROR(__xludf.DUMMYFUNCTION("""COMPUTED_VALUE"""),"0.27500000")</f>
        <v>#NAME?</v>
      </c>
      <c r="D2473" s="100" t="e">
        <f t="shared" ca="1" si="413"/>
        <v>#NAME?</v>
      </c>
      <c r="E2473" s="100" t="e">
        <f t="shared" ca="1" si="413"/>
        <v>#NAME?</v>
      </c>
      <c r="F2473" s="100" t="e">
        <f t="shared" ca="1" si="407"/>
        <v>#NAME?</v>
      </c>
      <c r="G2473" s="100" t="e">
        <f t="shared" ca="1" si="408"/>
        <v>#NAME?</v>
      </c>
      <c r="H2473" s="100" t="e">
        <f t="shared" ca="1" si="409"/>
        <v>#NAME?</v>
      </c>
      <c r="I2473" s="100" t="e">
        <f t="shared" ca="1" si="410"/>
        <v>#NAME?</v>
      </c>
      <c r="J2473" s="100" t="e">
        <f ca="1">IFERROR(__xludf.DUMMYFUNCTION("""COMPUTED_VALUE"""),"-4.514")</f>
        <v>#NAME?</v>
      </c>
      <c r="K2473" s="100" t="e">
        <f t="shared" ca="1" si="411"/>
        <v>#NAME?</v>
      </c>
      <c r="L2473" s="100"/>
      <c r="M2473" s="100"/>
      <c r="N2473" s="100"/>
      <c r="O2473" s="100"/>
      <c r="P2473" s="100"/>
      <c r="Q2473" s="100"/>
      <c r="R2473" s="100"/>
      <c r="S2473" s="100"/>
      <c r="T2473" s="100"/>
      <c r="U2473" s="100"/>
      <c r="V2473" s="100"/>
      <c r="W2473" s="100"/>
      <c r="X2473" s="100"/>
      <c r="Y2473" s="100"/>
      <c r="Z2473" s="100"/>
    </row>
    <row r="2474" spans="1:26">
      <c r="A2474" s="100" t="e">
        <f ca="1">IFERROR(__xludf.DUMMYFUNCTION("""COMPUTED_VALUE"""),58785809)</f>
        <v>#NAME?</v>
      </c>
      <c r="B2474" s="100" t="e">
        <f ca="1">IFERROR(__xludf.DUMMYFUNCTION("""COMPUTED_VALUE"""),"DYMFDUSD")</f>
        <v>#NAME?</v>
      </c>
      <c r="C2474" s="100" t="e">
        <f ca="1">IFERROR(__xludf.DUMMYFUNCTION("""COMPUTED_VALUE"""),"1.34000000")</f>
        <v>#NAME?</v>
      </c>
      <c r="D2474" s="100" t="e">
        <f t="shared" ca="1" si="413"/>
        <v>#NAME?</v>
      </c>
      <c r="E2474" s="100" t="e">
        <f t="shared" ca="1" si="413"/>
        <v>#NAME?</v>
      </c>
      <c r="F2474" s="100" t="e">
        <f t="shared" ca="1" si="407"/>
        <v>#NAME?</v>
      </c>
      <c r="G2474" s="100" t="e">
        <f t="shared" ca="1" si="408"/>
        <v>#NAME?</v>
      </c>
      <c r="H2474" s="100" t="e">
        <f t="shared" ca="1" si="409"/>
        <v>#NAME?</v>
      </c>
      <c r="I2474" s="100" t="e">
        <f t="shared" ca="1" si="410"/>
        <v>#NAME?</v>
      </c>
      <c r="J2474" s="100" t="e">
        <f ca="1">IFERROR(__xludf.DUMMYFUNCTION("""COMPUTED_VALUE"""),"0")</f>
        <v>#NAME?</v>
      </c>
      <c r="K2474" s="100" t="e">
        <f t="shared" ca="1" si="411"/>
        <v>#NAME?</v>
      </c>
      <c r="L2474" s="100"/>
      <c r="M2474" s="100"/>
      <c r="N2474" s="100"/>
      <c r="O2474" s="100"/>
      <c r="P2474" s="100"/>
      <c r="Q2474" s="100"/>
      <c r="R2474" s="100"/>
      <c r="S2474" s="100"/>
      <c r="T2474" s="100"/>
      <c r="U2474" s="100"/>
      <c r="V2474" s="100"/>
      <c r="W2474" s="100"/>
      <c r="X2474" s="100"/>
      <c r="Y2474" s="100"/>
      <c r="Z2474" s="100"/>
    </row>
    <row r="2475" spans="1:26">
      <c r="A2475" s="100" t="e">
        <f ca="1">IFERROR(__xludf.DUMMYFUNCTION("""COMPUTED_VALUE"""),58785810)</f>
        <v>#NAME?</v>
      </c>
      <c r="B2475" s="100" t="e">
        <f ca="1">IFERROR(__xludf.DUMMYFUNCTION("""COMPUTED_VALUE"""),"DYMTRY")</f>
        <v>#NAME?</v>
      </c>
      <c r="C2475" s="100" t="e">
        <f ca="1">IFERROR(__xludf.DUMMYFUNCTION("""COMPUTED_VALUE"""),"10.55000000")</f>
        <v>#NAME?</v>
      </c>
      <c r="D2475" s="100" t="e">
        <f t="shared" ca="1" si="413"/>
        <v>#NAME?</v>
      </c>
      <c r="E2475" s="100" t="e">
        <f t="shared" ca="1" si="413"/>
        <v>#NAME?</v>
      </c>
      <c r="F2475" s="100" t="e">
        <f t="shared" ca="1" si="407"/>
        <v>#NAME?</v>
      </c>
      <c r="G2475" s="100" t="e">
        <f t="shared" ca="1" si="408"/>
        <v>#NAME?</v>
      </c>
      <c r="H2475" s="100" t="e">
        <f t="shared" ca="1" si="409"/>
        <v>#NAME?</v>
      </c>
      <c r="I2475" s="100" t="e">
        <f t="shared" ca="1" si="410"/>
        <v>#NAME?</v>
      </c>
      <c r="J2475" s="100" t="e">
        <f ca="1">IFERROR(__xludf.DUMMYFUNCTION("""COMPUTED_VALUE"""),"-4.352")</f>
        <v>#NAME?</v>
      </c>
      <c r="K2475" s="100" t="e">
        <f t="shared" ca="1" si="411"/>
        <v>#NAME?</v>
      </c>
      <c r="L2475" s="100"/>
      <c r="M2475" s="100"/>
      <c r="N2475" s="100"/>
      <c r="O2475" s="100"/>
      <c r="P2475" s="100"/>
      <c r="Q2475" s="100"/>
      <c r="R2475" s="100"/>
      <c r="S2475" s="100"/>
      <c r="T2475" s="100"/>
      <c r="U2475" s="100"/>
      <c r="V2475" s="100"/>
      <c r="W2475" s="100"/>
      <c r="X2475" s="100"/>
      <c r="Y2475" s="100"/>
      <c r="Z2475" s="100"/>
    </row>
    <row r="2476" spans="1:26">
      <c r="A2476" s="100" t="e">
        <f ca="1">IFERROR(__xludf.DUMMYFUNCTION("""COMPUTED_VALUE"""),58785811)</f>
        <v>#NAME?</v>
      </c>
      <c r="B2476" s="100" t="e">
        <f ca="1">IFERROR(__xludf.DUMMYFUNCTION("""COMPUTED_VALUE"""),"JUPUSDC")</f>
        <v>#NAME?</v>
      </c>
      <c r="C2476" s="100" t="e">
        <f ca="1">IFERROR(__xludf.DUMMYFUNCTION("""COMPUTED_VALUE"""),"0.40560000")</f>
        <v>#NAME?</v>
      </c>
      <c r="D2476" s="100" t="e">
        <f t="shared" ca="1" si="413"/>
        <v>#NAME?</v>
      </c>
      <c r="E2476" s="100" t="e">
        <f t="shared" ca="1" si="413"/>
        <v>#NAME?</v>
      </c>
      <c r="F2476" s="100" t="e">
        <f t="shared" ca="1" si="407"/>
        <v>#NAME?</v>
      </c>
      <c r="G2476" s="100" t="e">
        <f t="shared" ca="1" si="408"/>
        <v>#NAME?</v>
      </c>
      <c r="H2476" s="100" t="e">
        <f t="shared" ca="1" si="409"/>
        <v>#NAME?</v>
      </c>
      <c r="I2476" s="100" t="e">
        <f t="shared" ca="1" si="410"/>
        <v>#NAME?</v>
      </c>
      <c r="J2476" s="100" t="e">
        <f ca="1">IFERROR(__xludf.DUMMYFUNCTION("""COMPUTED_VALUE"""),"1.756")</f>
        <v>#NAME?</v>
      </c>
      <c r="K2476" s="100" t="e">
        <f t="shared" ca="1" si="411"/>
        <v>#NAME?</v>
      </c>
      <c r="L2476" s="100"/>
      <c r="M2476" s="100"/>
      <c r="N2476" s="100"/>
      <c r="O2476" s="100"/>
      <c r="P2476" s="100"/>
      <c r="Q2476" s="100"/>
      <c r="R2476" s="100"/>
      <c r="S2476" s="100"/>
      <c r="T2476" s="100"/>
      <c r="U2476" s="100"/>
      <c r="V2476" s="100"/>
      <c r="W2476" s="100"/>
      <c r="X2476" s="100"/>
      <c r="Y2476" s="100"/>
      <c r="Z2476" s="100"/>
    </row>
    <row r="2477" spans="1:26">
      <c r="A2477" s="100" t="e">
        <f ca="1">IFERROR(__xludf.DUMMYFUNCTION("""COMPUTED_VALUE"""),58785812)</f>
        <v>#NAME?</v>
      </c>
      <c r="B2477" s="100" t="e">
        <f ca="1">IFERROR(__xludf.DUMMYFUNCTION("""COMPUTED_VALUE"""),"PENDLEFDUSD")</f>
        <v>#NAME?</v>
      </c>
      <c r="C2477" s="100" t="e">
        <f ca="1">IFERROR(__xludf.DUMMYFUNCTION("""COMPUTED_VALUE"""),"3.33900000")</f>
        <v>#NAME?</v>
      </c>
      <c r="D2477" s="100" t="e">
        <f t="shared" ca="1" si="413"/>
        <v>#NAME?</v>
      </c>
      <c r="E2477" s="100" t="e">
        <f t="shared" ca="1" si="413"/>
        <v>#NAME?</v>
      </c>
      <c r="F2477" s="100" t="e">
        <f t="shared" ca="1" si="407"/>
        <v>#NAME?</v>
      </c>
      <c r="G2477" s="100" t="e">
        <f t="shared" ca="1" si="408"/>
        <v>#NAME?</v>
      </c>
      <c r="H2477" s="100" t="e">
        <f t="shared" ca="1" si="409"/>
        <v>#NAME?</v>
      </c>
      <c r="I2477" s="100" t="e">
        <f t="shared" ca="1" si="410"/>
        <v>#NAME?</v>
      </c>
      <c r="J2477" s="100" t="e">
        <f ca="1">IFERROR(__xludf.DUMMYFUNCTION("""COMPUTED_VALUE"""),"1.706")</f>
        <v>#NAME?</v>
      </c>
      <c r="K2477" s="100" t="e">
        <f t="shared" ca="1" si="411"/>
        <v>#NAME?</v>
      </c>
      <c r="L2477" s="100"/>
      <c r="M2477" s="100"/>
      <c r="N2477" s="100"/>
      <c r="O2477" s="100"/>
      <c r="P2477" s="100"/>
      <c r="Q2477" s="100"/>
      <c r="R2477" s="100"/>
      <c r="S2477" s="100"/>
      <c r="T2477" s="100"/>
      <c r="U2477" s="100"/>
      <c r="V2477" s="100"/>
      <c r="W2477" s="100"/>
      <c r="X2477" s="100"/>
      <c r="Y2477" s="100"/>
      <c r="Z2477" s="100"/>
    </row>
    <row r="2478" spans="1:26">
      <c r="A2478" s="100" t="e">
        <f ca="1">IFERROR(__xludf.DUMMYFUNCTION("""COMPUTED_VALUE"""),58785813)</f>
        <v>#NAME?</v>
      </c>
      <c r="B2478" s="100" t="e">
        <f ca="1">IFERROR(__xludf.DUMMYFUNCTION("""COMPUTED_VALUE"""),"PIXELBTC")</f>
        <v>#NAME?</v>
      </c>
      <c r="C2478" s="100" t="e">
        <f ca="1">IFERROR(__xludf.DUMMYFUNCTION("""COMPUTED_VALUE"""),"0.00000146")</f>
        <v>#NAME?</v>
      </c>
      <c r="D2478" s="100" t="e">
        <f t="shared" ca="1" si="413"/>
        <v>#NAME?</v>
      </c>
      <c r="E2478" s="100" t="e">
        <f t="shared" ca="1" si="413"/>
        <v>#NAME?</v>
      </c>
      <c r="F2478" s="100" t="e">
        <f t="shared" ca="1" si="407"/>
        <v>#NAME?</v>
      </c>
      <c r="G2478" s="100" t="e">
        <f t="shared" ca="1" si="408"/>
        <v>#NAME?</v>
      </c>
      <c r="H2478" s="100" t="e">
        <f t="shared" ca="1" si="409"/>
        <v>#NAME?</v>
      </c>
      <c r="I2478" s="100" t="e">
        <f t="shared" ca="1" si="410"/>
        <v>#NAME?</v>
      </c>
      <c r="J2478" s="100" t="e">
        <f ca="1">IFERROR(__xludf.DUMMYFUNCTION("""COMPUTED_VALUE"""),"0")</f>
        <v>#NAME?</v>
      </c>
      <c r="K2478" s="100" t="e">
        <f t="shared" ca="1" si="411"/>
        <v>#NAME?</v>
      </c>
      <c r="L2478" s="100"/>
      <c r="M2478" s="100"/>
      <c r="N2478" s="100"/>
      <c r="O2478" s="100"/>
      <c r="P2478" s="100"/>
      <c r="Q2478" s="100"/>
      <c r="R2478" s="100"/>
      <c r="S2478" s="100"/>
      <c r="T2478" s="100"/>
      <c r="U2478" s="100"/>
      <c r="V2478" s="100"/>
      <c r="W2478" s="100"/>
      <c r="X2478" s="100"/>
      <c r="Y2478" s="100"/>
      <c r="Z2478" s="100"/>
    </row>
    <row r="2479" spans="1:26">
      <c r="A2479" s="100" t="e">
        <f ca="1">IFERROR(__xludf.DUMMYFUNCTION("""COMPUTED_VALUE"""),58785814)</f>
        <v>#NAME?</v>
      </c>
      <c r="B2479" s="100" t="e">
        <f ca="1">IFERROR(__xludf.DUMMYFUNCTION("""COMPUTED_VALUE"""),"PIXELBNB")</f>
        <v>#NAME?</v>
      </c>
      <c r="C2479" s="100" t="e">
        <f ca="1">IFERROR(__xludf.DUMMYFUNCTION("""COMPUTED_VALUE"""),"0.00022800")</f>
        <v>#NAME?</v>
      </c>
      <c r="D2479" s="100" t="e">
        <f t="shared" ca="1" si="413"/>
        <v>#NAME?</v>
      </c>
      <c r="E2479" s="100" t="e">
        <f t="shared" ca="1" si="413"/>
        <v>#NAME?</v>
      </c>
      <c r="F2479" s="100" t="e">
        <f t="shared" ca="1" si="407"/>
        <v>#NAME?</v>
      </c>
      <c r="G2479" s="100" t="e">
        <f t="shared" ca="1" si="408"/>
        <v>#NAME?</v>
      </c>
      <c r="H2479" s="100" t="e">
        <f t="shared" ca="1" si="409"/>
        <v>#NAME?</v>
      </c>
      <c r="I2479" s="100" t="e">
        <f t="shared" ca="1" si="410"/>
        <v>#NAME?</v>
      </c>
      <c r="J2479" s="100" t="e">
        <f ca="1">IFERROR(__xludf.DUMMYFUNCTION("""COMPUTED_VALUE"""),"0")</f>
        <v>#NAME?</v>
      </c>
      <c r="K2479" s="100" t="e">
        <f t="shared" ca="1" si="411"/>
        <v>#NAME?</v>
      </c>
      <c r="L2479" s="100"/>
      <c r="M2479" s="100"/>
      <c r="N2479" s="100"/>
      <c r="O2479" s="100"/>
      <c r="P2479" s="100"/>
      <c r="Q2479" s="100"/>
      <c r="R2479" s="100"/>
      <c r="S2479" s="100"/>
      <c r="T2479" s="100"/>
      <c r="U2479" s="100"/>
      <c r="V2479" s="100"/>
      <c r="W2479" s="100"/>
      <c r="X2479" s="100"/>
      <c r="Y2479" s="100"/>
      <c r="Z2479" s="100"/>
    </row>
    <row r="2480" spans="1:26">
      <c r="A2480" s="100" t="e">
        <f ca="1">IFERROR(__xludf.DUMMYFUNCTION("""COMPUTED_VALUE"""),58785815)</f>
        <v>#NAME?</v>
      </c>
      <c r="B2480" s="100" t="e">
        <f ca="1">IFERROR(__xludf.DUMMYFUNCTION("""COMPUTED_VALUE"""),"PIXELUSDT")</f>
        <v>#NAME?</v>
      </c>
      <c r="C2480" s="100" t="e">
        <f ca="1">IFERROR(__xludf.DUMMYFUNCTION("""COMPUTED_VALUE"""),"0.04346000")</f>
        <v>#NAME?</v>
      </c>
      <c r="D2480" s="100" t="e">
        <f t="shared" ca="1" si="413"/>
        <v>#NAME?</v>
      </c>
      <c r="E2480" s="100" t="e">
        <f t="shared" ca="1" si="413"/>
        <v>#NAME?</v>
      </c>
      <c r="F2480" s="100" t="e">
        <f t="shared" ca="1" si="407"/>
        <v>#NAME?</v>
      </c>
      <c r="G2480" s="100" t="e">
        <f t="shared" ca="1" si="408"/>
        <v>#NAME?</v>
      </c>
      <c r="H2480" s="100" t="e">
        <f t="shared" ca="1" si="409"/>
        <v>#NAME?</v>
      </c>
      <c r="I2480" s="100" t="e">
        <f t="shared" ca="1" si="410"/>
        <v>#NAME?</v>
      </c>
      <c r="J2480" s="100" t="e">
        <f ca="1">IFERROR(__xludf.DUMMYFUNCTION("""COMPUTED_VALUE"""),"33.641")</f>
        <v>#NAME?</v>
      </c>
      <c r="K2480" s="100" t="e">
        <f t="shared" ca="1" si="411"/>
        <v>#NAME?</v>
      </c>
      <c r="L2480" s="100"/>
      <c r="M2480" s="100"/>
      <c r="N2480" s="100"/>
      <c r="O2480" s="100"/>
      <c r="P2480" s="100"/>
      <c r="Q2480" s="100"/>
      <c r="R2480" s="100"/>
      <c r="S2480" s="100"/>
      <c r="T2480" s="100"/>
      <c r="U2480" s="100"/>
      <c r="V2480" s="100"/>
      <c r="W2480" s="100"/>
      <c r="X2480" s="100"/>
      <c r="Y2480" s="100"/>
      <c r="Z2480" s="100"/>
    </row>
    <row r="2481" spans="1:26">
      <c r="A2481" s="100" t="e">
        <f ca="1">IFERROR(__xludf.DUMMYFUNCTION("""COMPUTED_VALUE"""),58785816)</f>
        <v>#NAME?</v>
      </c>
      <c r="B2481" s="100" t="e">
        <f ca="1">IFERROR(__xludf.DUMMYFUNCTION("""COMPUTED_VALUE"""),"PIXELFDUSD")</f>
        <v>#NAME?</v>
      </c>
      <c r="C2481" s="100" t="e">
        <f ca="1">IFERROR(__xludf.DUMMYFUNCTION("""COMPUTED_VALUE"""),"0.15530000")</f>
        <v>#NAME?</v>
      </c>
      <c r="D2481" s="100" t="e">
        <f t="shared" ca="1" si="413"/>
        <v>#NAME?</v>
      </c>
      <c r="E2481" s="100" t="e">
        <f t="shared" ca="1" si="413"/>
        <v>#NAME?</v>
      </c>
      <c r="F2481" s="100" t="e">
        <f t="shared" ca="1" si="407"/>
        <v>#NAME?</v>
      </c>
      <c r="G2481" s="100" t="e">
        <f t="shared" ca="1" si="408"/>
        <v>#NAME?</v>
      </c>
      <c r="H2481" s="100" t="e">
        <f t="shared" ca="1" si="409"/>
        <v>#NAME?</v>
      </c>
      <c r="I2481" s="100" t="e">
        <f t="shared" ca="1" si="410"/>
        <v>#NAME?</v>
      </c>
      <c r="J2481" s="100" t="e">
        <f ca="1">IFERROR(__xludf.DUMMYFUNCTION("""COMPUTED_VALUE"""),"0")</f>
        <v>#NAME?</v>
      </c>
      <c r="K2481" s="100" t="e">
        <f t="shared" ca="1" si="411"/>
        <v>#NAME?</v>
      </c>
      <c r="L2481" s="100"/>
      <c r="M2481" s="100"/>
      <c r="N2481" s="100"/>
      <c r="O2481" s="100"/>
      <c r="P2481" s="100"/>
      <c r="Q2481" s="100"/>
      <c r="R2481" s="100"/>
      <c r="S2481" s="100"/>
      <c r="T2481" s="100"/>
      <c r="U2481" s="100"/>
      <c r="V2481" s="100"/>
      <c r="W2481" s="100"/>
      <c r="X2481" s="100"/>
      <c r="Y2481" s="100"/>
      <c r="Z2481" s="100"/>
    </row>
    <row r="2482" spans="1:26">
      <c r="A2482" s="100" t="e">
        <f ca="1">IFERROR(__xludf.DUMMYFUNCTION("""COMPUTED_VALUE"""),58785817)</f>
        <v>#NAME?</v>
      </c>
      <c r="B2482" s="100" t="e">
        <f ca="1">IFERROR(__xludf.DUMMYFUNCTION("""COMPUTED_VALUE"""),"PIXELTRY")</f>
        <v>#NAME?</v>
      </c>
      <c r="C2482" s="100" t="e">
        <f ca="1">IFERROR(__xludf.DUMMYFUNCTION("""COMPUTED_VALUE"""),"1.65800000")</f>
        <v>#NAME?</v>
      </c>
      <c r="D2482" s="100" t="e">
        <f t="shared" ref="D2482:E2501" ca="1" si="414">IFERROR(__xludf.DUMMYFUNCTION("""COMPUTED_VALUE"""),"-")</f>
        <v>#NAME?</v>
      </c>
      <c r="E2482" s="100" t="e">
        <f t="shared" ca="1" si="414"/>
        <v>#NAME?</v>
      </c>
      <c r="F2482" s="100" t="e">
        <f t="shared" ca="1" si="407"/>
        <v>#NAME?</v>
      </c>
      <c r="G2482" s="100" t="e">
        <f t="shared" ca="1" si="408"/>
        <v>#NAME?</v>
      </c>
      <c r="H2482" s="100" t="e">
        <f t="shared" ca="1" si="409"/>
        <v>#NAME?</v>
      </c>
      <c r="I2482" s="100" t="e">
        <f t="shared" ca="1" si="410"/>
        <v>#NAME?</v>
      </c>
      <c r="J2482" s="100" t="e">
        <f ca="1">IFERROR(__xludf.DUMMYFUNCTION("""COMPUTED_VALUE"""),"32.640")</f>
        <v>#NAME?</v>
      </c>
      <c r="K2482" s="100" t="e">
        <f t="shared" ca="1" si="411"/>
        <v>#NAME?</v>
      </c>
      <c r="L2482" s="100"/>
      <c r="M2482" s="100"/>
      <c r="N2482" s="100"/>
      <c r="O2482" s="100"/>
      <c r="P2482" s="100"/>
      <c r="Q2482" s="100"/>
      <c r="R2482" s="100"/>
      <c r="S2482" s="100"/>
      <c r="T2482" s="100"/>
      <c r="U2482" s="100"/>
      <c r="V2482" s="100"/>
      <c r="W2482" s="100"/>
      <c r="X2482" s="100"/>
      <c r="Y2482" s="100"/>
      <c r="Z2482" s="100"/>
    </row>
    <row r="2483" spans="1:26">
      <c r="A2483" s="100" t="e">
        <f ca="1">IFERROR(__xludf.DUMMYFUNCTION("""COMPUTED_VALUE"""),58785818)</f>
        <v>#NAME?</v>
      </c>
      <c r="B2483" s="100" t="e">
        <f ca="1">IFERROR(__xludf.DUMMYFUNCTION("""COMPUTED_VALUE"""),"STRKBTC")</f>
        <v>#NAME?</v>
      </c>
      <c r="C2483" s="100" t="e">
        <f ca="1">IFERROR(__xludf.DUMMYFUNCTION("""COMPUTED_VALUE"""),"0.00000153")</f>
        <v>#NAME?</v>
      </c>
      <c r="D2483" s="100" t="e">
        <f t="shared" ca="1" si="414"/>
        <v>#NAME?</v>
      </c>
      <c r="E2483" s="100" t="e">
        <f t="shared" ca="1" si="414"/>
        <v>#NAME?</v>
      </c>
      <c r="F2483" s="100" t="e">
        <f t="shared" ca="1" si="407"/>
        <v>#NAME?</v>
      </c>
      <c r="G2483" s="100" t="e">
        <f t="shared" ca="1" si="408"/>
        <v>#NAME?</v>
      </c>
      <c r="H2483" s="100" t="e">
        <f t="shared" ca="1" si="409"/>
        <v>#NAME?</v>
      </c>
      <c r="I2483" s="100" t="e">
        <f t="shared" ca="1" si="410"/>
        <v>#NAME?</v>
      </c>
      <c r="J2483" s="100" t="e">
        <f ca="1">IFERROR(__xludf.DUMMYFUNCTION("""COMPUTED_VALUE"""),"-2.548")</f>
        <v>#NAME?</v>
      </c>
      <c r="K2483" s="100" t="e">
        <f t="shared" ca="1" si="411"/>
        <v>#NAME?</v>
      </c>
      <c r="L2483" s="100"/>
      <c r="M2483" s="100"/>
      <c r="N2483" s="100"/>
      <c r="O2483" s="100"/>
      <c r="P2483" s="100"/>
      <c r="Q2483" s="100"/>
      <c r="R2483" s="100"/>
      <c r="S2483" s="100"/>
      <c r="T2483" s="100"/>
      <c r="U2483" s="100"/>
      <c r="V2483" s="100"/>
      <c r="W2483" s="100"/>
      <c r="X2483" s="100"/>
      <c r="Y2483" s="100"/>
      <c r="Z2483" s="100"/>
    </row>
    <row r="2484" spans="1:26">
      <c r="A2484" s="100" t="e">
        <f ca="1">IFERROR(__xludf.DUMMYFUNCTION("""COMPUTED_VALUE"""),58785819)</f>
        <v>#NAME?</v>
      </c>
      <c r="B2484" s="100" t="e">
        <f ca="1">IFERROR(__xludf.DUMMYFUNCTION("""COMPUTED_VALUE"""),"STRKUSDT")</f>
        <v>#NAME?</v>
      </c>
      <c r="C2484" s="100" t="e">
        <f ca="1">IFERROR(__xludf.DUMMYFUNCTION("""COMPUTED_VALUE"""),"0.13520000")</f>
        <v>#NAME?</v>
      </c>
      <c r="D2484" s="100" t="e">
        <f t="shared" ca="1" si="414"/>
        <v>#NAME?</v>
      </c>
      <c r="E2484" s="100" t="e">
        <f t="shared" ca="1" si="414"/>
        <v>#NAME?</v>
      </c>
      <c r="F2484" s="100" t="e">
        <f t="shared" ca="1" si="407"/>
        <v>#NAME?</v>
      </c>
      <c r="G2484" s="100" t="e">
        <f t="shared" ca="1" si="408"/>
        <v>#NAME?</v>
      </c>
      <c r="H2484" s="100" t="e">
        <f t="shared" ca="1" si="409"/>
        <v>#NAME?</v>
      </c>
      <c r="I2484" s="100" t="e">
        <f t="shared" ca="1" si="410"/>
        <v>#NAME?</v>
      </c>
      <c r="J2484" s="100" t="e">
        <f ca="1">IFERROR(__xludf.DUMMYFUNCTION("""COMPUTED_VALUE"""),"-1.314")</f>
        <v>#NAME?</v>
      </c>
      <c r="K2484" s="100" t="e">
        <f t="shared" ca="1" si="411"/>
        <v>#NAME?</v>
      </c>
      <c r="L2484" s="100"/>
      <c r="M2484" s="100"/>
      <c r="N2484" s="100"/>
      <c r="O2484" s="100"/>
      <c r="P2484" s="100"/>
      <c r="Q2484" s="100"/>
      <c r="R2484" s="100"/>
      <c r="S2484" s="100"/>
      <c r="T2484" s="100"/>
      <c r="U2484" s="100"/>
      <c r="V2484" s="100"/>
      <c r="W2484" s="100"/>
      <c r="X2484" s="100"/>
      <c r="Y2484" s="100"/>
      <c r="Z2484" s="100"/>
    </row>
    <row r="2485" spans="1:26">
      <c r="A2485" s="100" t="e">
        <f ca="1">IFERROR(__xludf.DUMMYFUNCTION("""COMPUTED_VALUE"""),58785820)</f>
        <v>#NAME?</v>
      </c>
      <c r="B2485" s="100" t="e">
        <f ca="1">IFERROR(__xludf.DUMMYFUNCTION("""COMPUTED_VALUE"""),"STRKFDUSD")</f>
        <v>#NAME?</v>
      </c>
      <c r="C2485" s="100" t="e">
        <f ca="1">IFERROR(__xludf.DUMMYFUNCTION("""COMPUTED_VALUE"""),"0.13540000")</f>
        <v>#NAME?</v>
      </c>
      <c r="D2485" s="100" t="e">
        <f t="shared" ca="1" si="414"/>
        <v>#NAME?</v>
      </c>
      <c r="E2485" s="100" t="e">
        <f t="shared" ca="1" si="414"/>
        <v>#NAME?</v>
      </c>
      <c r="F2485" s="100" t="e">
        <f t="shared" ca="1" si="407"/>
        <v>#NAME?</v>
      </c>
      <c r="G2485" s="100" t="e">
        <f t="shared" ca="1" si="408"/>
        <v>#NAME?</v>
      </c>
      <c r="H2485" s="100" t="e">
        <f t="shared" ca="1" si="409"/>
        <v>#NAME?</v>
      </c>
      <c r="I2485" s="100" t="e">
        <f t="shared" ca="1" si="410"/>
        <v>#NAME?</v>
      </c>
      <c r="J2485" s="100" t="e">
        <f ca="1">IFERROR(__xludf.DUMMYFUNCTION("""COMPUTED_VALUE"""),"-1.168")</f>
        <v>#NAME?</v>
      </c>
      <c r="K2485" s="100" t="e">
        <f t="shared" ca="1" si="411"/>
        <v>#NAME?</v>
      </c>
      <c r="L2485" s="100"/>
      <c r="M2485" s="100"/>
      <c r="N2485" s="100"/>
      <c r="O2485" s="100"/>
      <c r="P2485" s="100"/>
      <c r="Q2485" s="100"/>
      <c r="R2485" s="100"/>
      <c r="S2485" s="100"/>
      <c r="T2485" s="100"/>
      <c r="U2485" s="100"/>
      <c r="V2485" s="100"/>
      <c r="W2485" s="100"/>
      <c r="X2485" s="100"/>
      <c r="Y2485" s="100"/>
      <c r="Z2485" s="100"/>
    </row>
    <row r="2486" spans="1:26">
      <c r="A2486" s="100" t="e">
        <f ca="1">IFERROR(__xludf.DUMMYFUNCTION("""COMPUTED_VALUE"""),58785821)</f>
        <v>#NAME?</v>
      </c>
      <c r="B2486" s="100" t="e">
        <f ca="1">IFERROR(__xludf.DUMMYFUNCTION("""COMPUTED_VALUE"""),"STRKTRY")</f>
        <v>#NAME?</v>
      </c>
      <c r="C2486" s="100" t="e">
        <f ca="1">IFERROR(__xludf.DUMMYFUNCTION("""COMPUTED_VALUE"""),"5.16000000")</f>
        <v>#NAME?</v>
      </c>
      <c r="D2486" s="100" t="e">
        <f t="shared" ca="1" si="414"/>
        <v>#NAME?</v>
      </c>
      <c r="E2486" s="100" t="e">
        <f t="shared" ca="1" si="414"/>
        <v>#NAME?</v>
      </c>
      <c r="F2486" s="100" t="e">
        <f t="shared" ca="1" si="407"/>
        <v>#NAME?</v>
      </c>
      <c r="G2486" s="100" t="e">
        <f t="shared" ca="1" si="408"/>
        <v>#NAME?</v>
      </c>
      <c r="H2486" s="100" t="e">
        <f t="shared" ca="1" si="409"/>
        <v>#NAME?</v>
      </c>
      <c r="I2486" s="100" t="e">
        <f t="shared" ca="1" si="410"/>
        <v>#NAME?</v>
      </c>
      <c r="J2486" s="100" t="e">
        <f ca="1">IFERROR(__xludf.DUMMYFUNCTION("""COMPUTED_VALUE"""),"-1.338")</f>
        <v>#NAME?</v>
      </c>
      <c r="K2486" s="100" t="e">
        <f t="shared" ca="1" si="411"/>
        <v>#NAME?</v>
      </c>
      <c r="L2486" s="100"/>
      <c r="M2486" s="100"/>
      <c r="N2486" s="100"/>
      <c r="O2486" s="100"/>
      <c r="P2486" s="100"/>
      <c r="Q2486" s="100"/>
      <c r="R2486" s="100"/>
      <c r="S2486" s="100"/>
      <c r="T2486" s="100"/>
      <c r="U2486" s="100"/>
      <c r="V2486" s="100"/>
      <c r="W2486" s="100"/>
      <c r="X2486" s="100"/>
      <c r="Y2486" s="100"/>
      <c r="Z2486" s="100"/>
    </row>
    <row r="2487" spans="1:26">
      <c r="A2487" s="100" t="e">
        <f ca="1">IFERROR(__xludf.DUMMYFUNCTION("""COMPUTED_VALUE"""),58785822)</f>
        <v>#NAME?</v>
      </c>
      <c r="B2487" s="100" t="e">
        <f ca="1">IFERROR(__xludf.DUMMYFUNCTION("""COMPUTED_VALUE"""),"FILUSDC")</f>
        <v>#NAME?</v>
      </c>
      <c r="C2487" s="100" t="e">
        <f ca="1">IFERROR(__xludf.DUMMYFUNCTION("""COMPUTED_VALUE"""),"2.49600000")</f>
        <v>#NAME?</v>
      </c>
      <c r="D2487" s="100" t="e">
        <f t="shared" ca="1" si="414"/>
        <v>#NAME?</v>
      </c>
      <c r="E2487" s="100" t="e">
        <f t="shared" ca="1" si="414"/>
        <v>#NAME?</v>
      </c>
      <c r="F2487" s="100" t="e">
        <f t="shared" ca="1" si="407"/>
        <v>#NAME?</v>
      </c>
      <c r="G2487" s="100" t="e">
        <f t="shared" ca="1" si="408"/>
        <v>#NAME?</v>
      </c>
      <c r="H2487" s="100" t="e">
        <f t="shared" ca="1" si="409"/>
        <v>#NAME?</v>
      </c>
      <c r="I2487" s="100" t="e">
        <f t="shared" ca="1" si="410"/>
        <v>#NAME?</v>
      </c>
      <c r="J2487" s="100" t="e">
        <f ca="1">IFERROR(__xludf.DUMMYFUNCTION("""COMPUTED_VALUE"""),"-6.622")</f>
        <v>#NAME?</v>
      </c>
      <c r="K2487" s="100" t="e">
        <f t="shared" ca="1" si="411"/>
        <v>#NAME?</v>
      </c>
      <c r="L2487" s="100"/>
      <c r="M2487" s="100"/>
      <c r="N2487" s="100"/>
      <c r="O2487" s="100"/>
      <c r="P2487" s="100"/>
      <c r="Q2487" s="100"/>
      <c r="R2487" s="100"/>
      <c r="S2487" s="100"/>
      <c r="T2487" s="100"/>
      <c r="U2487" s="100"/>
      <c r="V2487" s="100"/>
      <c r="W2487" s="100"/>
      <c r="X2487" s="100"/>
      <c r="Y2487" s="100"/>
      <c r="Z2487" s="100"/>
    </row>
    <row r="2488" spans="1:26">
      <c r="A2488" s="100" t="e">
        <f ca="1">IFERROR(__xludf.DUMMYFUNCTION("""COMPUTED_VALUE"""),58785823)</f>
        <v>#NAME?</v>
      </c>
      <c r="B2488" s="100" t="e">
        <f ca="1">IFERROR(__xludf.DUMMYFUNCTION("""COMPUTED_VALUE"""),"HBARTRY")</f>
        <v>#NAME?</v>
      </c>
      <c r="C2488" s="100" t="e">
        <f ca="1">IFERROR(__xludf.DUMMYFUNCTION("""COMPUTED_VALUE"""),"6.59100000")</f>
        <v>#NAME?</v>
      </c>
      <c r="D2488" s="100" t="e">
        <f t="shared" ca="1" si="414"/>
        <v>#NAME?</v>
      </c>
      <c r="E2488" s="100" t="e">
        <f t="shared" ca="1" si="414"/>
        <v>#NAME?</v>
      </c>
      <c r="F2488" s="100" t="e">
        <f t="shared" ca="1" si="407"/>
        <v>#NAME?</v>
      </c>
      <c r="G2488" s="100" t="e">
        <f t="shared" ca="1" si="408"/>
        <v>#NAME?</v>
      </c>
      <c r="H2488" s="100" t="e">
        <f t="shared" ca="1" si="409"/>
        <v>#NAME?</v>
      </c>
      <c r="I2488" s="100" t="e">
        <f t="shared" ca="1" si="410"/>
        <v>#NAME?</v>
      </c>
      <c r="J2488" s="100" t="e">
        <f ca="1">IFERROR(__xludf.DUMMYFUNCTION("""COMPUTED_VALUE"""),"0.076")</f>
        <v>#NAME?</v>
      </c>
      <c r="K2488" s="100" t="e">
        <f t="shared" ca="1" si="411"/>
        <v>#NAME?</v>
      </c>
      <c r="L2488" s="100"/>
      <c r="M2488" s="100"/>
      <c r="N2488" s="100"/>
      <c r="O2488" s="100"/>
      <c r="P2488" s="100"/>
      <c r="Q2488" s="100"/>
      <c r="R2488" s="100"/>
      <c r="S2488" s="100"/>
      <c r="T2488" s="100"/>
      <c r="U2488" s="100"/>
      <c r="V2488" s="100"/>
      <c r="W2488" s="100"/>
      <c r="X2488" s="100"/>
      <c r="Y2488" s="100"/>
      <c r="Z2488" s="100"/>
    </row>
    <row r="2489" spans="1:26">
      <c r="A2489" s="100" t="e">
        <f ca="1">IFERROR(__xludf.DUMMYFUNCTION("""COMPUTED_VALUE"""),58785824)</f>
        <v>#NAME?</v>
      </c>
      <c r="B2489" s="100" t="e">
        <f ca="1">IFERROR(__xludf.DUMMYFUNCTION("""COMPUTED_VALUE"""),"PENDLETRY")</f>
        <v>#NAME?</v>
      </c>
      <c r="C2489" s="100" t="e">
        <f ca="1">IFERROR(__xludf.DUMMYFUNCTION("""COMPUTED_VALUE"""),"127.10000000")</f>
        <v>#NAME?</v>
      </c>
      <c r="D2489" s="100" t="e">
        <f t="shared" ca="1" si="414"/>
        <v>#NAME?</v>
      </c>
      <c r="E2489" s="100" t="e">
        <f t="shared" ca="1" si="414"/>
        <v>#NAME?</v>
      </c>
      <c r="F2489" s="100" t="e">
        <f t="shared" ca="1" si="407"/>
        <v>#NAME?</v>
      </c>
      <c r="G2489" s="100" t="e">
        <f t="shared" ca="1" si="408"/>
        <v>#NAME?</v>
      </c>
      <c r="H2489" s="100" t="e">
        <f t="shared" ca="1" si="409"/>
        <v>#NAME?</v>
      </c>
      <c r="I2489" s="100" t="e">
        <f t="shared" ca="1" si="410"/>
        <v>#NAME?</v>
      </c>
      <c r="J2489" s="100" t="e">
        <f ca="1">IFERROR(__xludf.DUMMYFUNCTION("""COMPUTED_VALUE"""),"0.793")</f>
        <v>#NAME?</v>
      </c>
      <c r="K2489" s="100" t="e">
        <f t="shared" ca="1" si="411"/>
        <v>#NAME?</v>
      </c>
      <c r="L2489" s="100"/>
      <c r="M2489" s="100"/>
      <c r="N2489" s="100"/>
      <c r="O2489" s="100"/>
      <c r="P2489" s="100"/>
      <c r="Q2489" s="100"/>
      <c r="R2489" s="100"/>
      <c r="S2489" s="100"/>
      <c r="T2489" s="100"/>
      <c r="U2489" s="100"/>
      <c r="V2489" s="100"/>
      <c r="W2489" s="100"/>
      <c r="X2489" s="100"/>
      <c r="Y2489" s="100"/>
      <c r="Z2489" s="100"/>
    </row>
    <row r="2490" spans="1:26">
      <c r="A2490" s="100" t="e">
        <f ca="1">IFERROR(__xludf.DUMMYFUNCTION("""COMPUTED_VALUE"""),58785825)</f>
        <v>#NAME?</v>
      </c>
      <c r="B2490" s="100" t="e">
        <f ca="1">IFERROR(__xludf.DUMMYFUNCTION("""COMPUTED_VALUE"""),"WLDUSDC")</f>
        <v>#NAME?</v>
      </c>
      <c r="C2490" s="100" t="e">
        <f ca="1">IFERROR(__xludf.DUMMYFUNCTION("""COMPUTED_VALUE"""),"0.77900000")</f>
        <v>#NAME?</v>
      </c>
      <c r="D2490" s="100" t="e">
        <f t="shared" ca="1" si="414"/>
        <v>#NAME?</v>
      </c>
      <c r="E2490" s="100" t="e">
        <f t="shared" ca="1" si="414"/>
        <v>#NAME?</v>
      </c>
      <c r="F2490" s="100" t="e">
        <f t="shared" ca="1" si="407"/>
        <v>#NAME?</v>
      </c>
      <c r="G2490" s="100" t="e">
        <f t="shared" ca="1" si="408"/>
        <v>#NAME?</v>
      </c>
      <c r="H2490" s="100" t="e">
        <f t="shared" ca="1" si="409"/>
        <v>#NAME?</v>
      </c>
      <c r="I2490" s="100" t="e">
        <f t="shared" ca="1" si="410"/>
        <v>#NAME?</v>
      </c>
      <c r="J2490" s="100" t="e">
        <f ca="1">IFERROR(__xludf.DUMMYFUNCTION("""COMPUTED_VALUE"""),"-1.392")</f>
        <v>#NAME?</v>
      </c>
      <c r="K2490" s="100" t="e">
        <f t="shared" ca="1" si="411"/>
        <v>#NAME?</v>
      </c>
      <c r="L2490" s="100"/>
      <c r="M2490" s="100"/>
      <c r="N2490" s="100"/>
      <c r="O2490" s="100"/>
      <c r="P2490" s="100"/>
      <c r="Q2490" s="100"/>
      <c r="R2490" s="100"/>
      <c r="S2490" s="100"/>
      <c r="T2490" s="100"/>
      <c r="U2490" s="100"/>
      <c r="V2490" s="100"/>
      <c r="W2490" s="100"/>
      <c r="X2490" s="100"/>
      <c r="Y2490" s="100"/>
      <c r="Z2490" s="100"/>
    </row>
    <row r="2491" spans="1:26">
      <c r="A2491" s="100" t="e">
        <f ca="1">IFERROR(__xludf.DUMMYFUNCTION("""COMPUTED_VALUE"""),58785826)</f>
        <v>#NAME?</v>
      </c>
      <c r="B2491" s="100" t="e">
        <f ca="1">IFERROR(__xludf.DUMMYFUNCTION("""COMPUTED_VALUE"""),"CKBTRY")</f>
        <v>#NAME?</v>
      </c>
      <c r="C2491" s="100" t="e">
        <f ca="1">IFERROR(__xludf.DUMMYFUNCTION("""COMPUTED_VALUE"""),"0.17610000")</f>
        <v>#NAME?</v>
      </c>
      <c r="D2491" s="100" t="e">
        <f t="shared" ca="1" si="414"/>
        <v>#NAME?</v>
      </c>
      <c r="E2491" s="100" t="e">
        <f t="shared" ca="1" si="414"/>
        <v>#NAME?</v>
      </c>
      <c r="F2491" s="100" t="e">
        <f t="shared" ca="1" si="407"/>
        <v>#NAME?</v>
      </c>
      <c r="G2491" s="100" t="e">
        <f t="shared" ca="1" si="408"/>
        <v>#NAME?</v>
      </c>
      <c r="H2491" s="100" t="e">
        <f t="shared" ca="1" si="409"/>
        <v>#NAME?</v>
      </c>
      <c r="I2491" s="100" t="e">
        <f t="shared" ca="1" si="410"/>
        <v>#NAME?</v>
      </c>
      <c r="J2491" s="100" t="e">
        <f ca="1">IFERROR(__xludf.DUMMYFUNCTION("""COMPUTED_VALUE"""),"-5.373")</f>
        <v>#NAME?</v>
      </c>
      <c r="K2491" s="100" t="e">
        <f t="shared" ca="1" si="411"/>
        <v>#NAME?</v>
      </c>
      <c r="L2491" s="100"/>
      <c r="M2491" s="100"/>
      <c r="N2491" s="100"/>
      <c r="O2491" s="100"/>
      <c r="P2491" s="100"/>
      <c r="Q2491" s="100"/>
      <c r="R2491" s="100"/>
      <c r="S2491" s="100"/>
      <c r="T2491" s="100"/>
      <c r="U2491" s="100"/>
      <c r="V2491" s="100"/>
      <c r="W2491" s="100"/>
      <c r="X2491" s="100"/>
      <c r="Y2491" s="100"/>
      <c r="Z2491" s="100"/>
    </row>
    <row r="2492" spans="1:26">
      <c r="A2492" s="100" t="e">
        <f ca="1">IFERROR(__xludf.DUMMYFUNCTION("""COMPUTED_VALUE"""),58785827)</f>
        <v>#NAME?</v>
      </c>
      <c r="B2492" s="100" t="e">
        <f ca="1">IFERROR(__xludf.DUMMYFUNCTION("""COMPUTED_VALUE"""),"COTITRY")</f>
        <v>#NAME?</v>
      </c>
      <c r="C2492" s="100" t="e">
        <f ca="1">IFERROR(__xludf.DUMMYFUNCTION("""COMPUTED_VALUE"""),"2.62200000")</f>
        <v>#NAME?</v>
      </c>
      <c r="D2492" s="100" t="e">
        <f t="shared" ca="1" si="414"/>
        <v>#NAME?</v>
      </c>
      <c r="E2492" s="100" t="e">
        <f t="shared" ca="1" si="414"/>
        <v>#NAME?</v>
      </c>
      <c r="F2492" s="100" t="e">
        <f t="shared" ca="1" si="407"/>
        <v>#NAME?</v>
      </c>
      <c r="G2492" s="100" t="e">
        <f t="shared" ca="1" si="408"/>
        <v>#NAME?</v>
      </c>
      <c r="H2492" s="100" t="e">
        <f t="shared" ca="1" si="409"/>
        <v>#NAME?</v>
      </c>
      <c r="I2492" s="100" t="e">
        <f t="shared" ca="1" si="410"/>
        <v>#NAME?</v>
      </c>
      <c r="J2492" s="100" t="e">
        <f ca="1">IFERROR(__xludf.DUMMYFUNCTION("""COMPUTED_VALUE"""),"-2.997")</f>
        <v>#NAME?</v>
      </c>
      <c r="K2492" s="100" t="e">
        <f t="shared" ca="1" si="411"/>
        <v>#NAME?</v>
      </c>
      <c r="L2492" s="100"/>
      <c r="M2492" s="100"/>
      <c r="N2492" s="100"/>
      <c r="O2492" s="100"/>
      <c r="P2492" s="100"/>
      <c r="Q2492" s="100"/>
      <c r="R2492" s="100"/>
      <c r="S2492" s="100"/>
      <c r="T2492" s="100"/>
      <c r="U2492" s="100"/>
      <c r="V2492" s="100"/>
      <c r="W2492" s="100"/>
      <c r="X2492" s="100"/>
      <c r="Y2492" s="100"/>
      <c r="Z2492" s="100"/>
    </row>
    <row r="2493" spans="1:26">
      <c r="A2493" s="100" t="e">
        <f ca="1">IFERROR(__xludf.DUMMYFUNCTION("""COMPUTED_VALUE"""),58785828)</f>
        <v>#NAME?</v>
      </c>
      <c r="B2493" s="100" t="e">
        <f ca="1">IFERROR(__xludf.DUMMYFUNCTION("""COMPUTED_VALUE"""),"LDOTRY")</f>
        <v>#NAME?</v>
      </c>
      <c r="C2493" s="100" t="e">
        <f ca="1">IFERROR(__xludf.DUMMYFUNCTION("""COMPUTED_VALUE"""),"27.86000000")</f>
        <v>#NAME?</v>
      </c>
      <c r="D2493" s="100" t="e">
        <f t="shared" ca="1" si="414"/>
        <v>#NAME?</v>
      </c>
      <c r="E2493" s="100" t="e">
        <f t="shared" ca="1" si="414"/>
        <v>#NAME?</v>
      </c>
      <c r="F2493" s="100" t="e">
        <f t="shared" ca="1" si="407"/>
        <v>#NAME?</v>
      </c>
      <c r="G2493" s="100" t="e">
        <f t="shared" ca="1" si="408"/>
        <v>#NAME?</v>
      </c>
      <c r="H2493" s="100" t="e">
        <f t="shared" ca="1" si="409"/>
        <v>#NAME?</v>
      </c>
      <c r="I2493" s="100" t="e">
        <f t="shared" ca="1" si="410"/>
        <v>#NAME?</v>
      </c>
      <c r="J2493" s="100" t="e">
        <f ca="1">IFERROR(__xludf.DUMMYFUNCTION("""COMPUTED_VALUE"""),"-1.346")</f>
        <v>#NAME?</v>
      </c>
      <c r="K2493" s="100" t="e">
        <f t="shared" ca="1" si="411"/>
        <v>#NAME?</v>
      </c>
      <c r="L2493" s="100"/>
      <c r="M2493" s="100"/>
      <c r="N2493" s="100"/>
      <c r="O2493" s="100"/>
      <c r="P2493" s="100"/>
      <c r="Q2493" s="100"/>
      <c r="R2493" s="100"/>
      <c r="S2493" s="100"/>
      <c r="T2493" s="100"/>
      <c r="U2493" s="100"/>
      <c r="V2493" s="100"/>
      <c r="W2493" s="100"/>
      <c r="X2493" s="100"/>
      <c r="Y2493" s="100"/>
      <c r="Z2493" s="100"/>
    </row>
    <row r="2494" spans="1:26">
      <c r="A2494" s="100" t="e">
        <f ca="1">IFERROR(__xludf.DUMMYFUNCTION("""COMPUTED_VALUE"""),58785829)</f>
        <v>#NAME?</v>
      </c>
      <c r="B2494" s="100" t="e">
        <f ca="1">IFERROR(__xludf.DUMMYFUNCTION("""COMPUTED_VALUE"""),"UNIUSDC")</f>
        <v>#NAME?</v>
      </c>
      <c r="C2494" s="100" t="e">
        <f ca="1">IFERROR(__xludf.DUMMYFUNCTION("""COMPUTED_VALUE"""),"5.36000000")</f>
        <v>#NAME?</v>
      </c>
      <c r="D2494" s="100" t="e">
        <f t="shared" ca="1" si="414"/>
        <v>#NAME?</v>
      </c>
      <c r="E2494" s="100" t="e">
        <f t="shared" ca="1" si="414"/>
        <v>#NAME?</v>
      </c>
      <c r="F2494" s="100" t="e">
        <f t="shared" ca="1" si="407"/>
        <v>#NAME?</v>
      </c>
      <c r="G2494" s="100" t="e">
        <f t="shared" ca="1" si="408"/>
        <v>#NAME?</v>
      </c>
      <c r="H2494" s="100" t="e">
        <f t="shared" ca="1" si="409"/>
        <v>#NAME?</v>
      </c>
      <c r="I2494" s="100" t="e">
        <f t="shared" ca="1" si="410"/>
        <v>#NAME?</v>
      </c>
      <c r="J2494" s="100" t="e">
        <f ca="1">IFERROR(__xludf.DUMMYFUNCTION("""COMPUTED_VALUE"""),"-1.344")</f>
        <v>#NAME?</v>
      </c>
      <c r="K2494" s="100" t="e">
        <f t="shared" ca="1" si="411"/>
        <v>#NAME?</v>
      </c>
      <c r="L2494" s="100"/>
      <c r="M2494" s="100"/>
      <c r="N2494" s="100"/>
      <c r="O2494" s="100"/>
      <c r="P2494" s="100"/>
      <c r="Q2494" s="100"/>
      <c r="R2494" s="100"/>
      <c r="S2494" s="100"/>
      <c r="T2494" s="100"/>
      <c r="U2494" s="100"/>
      <c r="V2494" s="100"/>
      <c r="W2494" s="100"/>
      <c r="X2494" s="100"/>
      <c r="Y2494" s="100"/>
      <c r="Z2494" s="100"/>
    </row>
    <row r="2495" spans="1:26">
      <c r="A2495" s="100" t="e">
        <f ca="1">IFERROR(__xludf.DUMMYFUNCTION("""COMPUTED_VALUE"""),58785830)</f>
        <v>#NAME?</v>
      </c>
      <c r="B2495" s="100" t="e">
        <f ca="1">IFERROR(__xludf.DUMMYFUNCTION("""COMPUTED_VALUE"""),"PORTALBTC")</f>
        <v>#NAME?</v>
      </c>
      <c r="C2495" s="100" t="e">
        <f ca="1">IFERROR(__xludf.DUMMYFUNCTION("""COMPUTED_VALUE"""),"0.00000101")</f>
        <v>#NAME?</v>
      </c>
      <c r="D2495" s="100" t="e">
        <f t="shared" ca="1" si="414"/>
        <v>#NAME?</v>
      </c>
      <c r="E2495" s="100" t="e">
        <f t="shared" ca="1" si="414"/>
        <v>#NAME?</v>
      </c>
      <c r="F2495" s="100" t="e">
        <f t="shared" ca="1" si="407"/>
        <v>#NAME?</v>
      </c>
      <c r="G2495" s="100" t="e">
        <f t="shared" ca="1" si="408"/>
        <v>#NAME?</v>
      </c>
      <c r="H2495" s="100" t="e">
        <f t="shared" ca="1" si="409"/>
        <v>#NAME?</v>
      </c>
      <c r="I2495" s="100" t="e">
        <f t="shared" ca="1" si="410"/>
        <v>#NAME?</v>
      </c>
      <c r="J2495" s="100" t="e">
        <f ca="1">IFERROR(__xludf.DUMMYFUNCTION("""COMPUTED_VALUE"""),"3.061")</f>
        <v>#NAME?</v>
      </c>
      <c r="K2495" s="100" t="e">
        <f t="shared" ca="1" si="411"/>
        <v>#NAME?</v>
      </c>
      <c r="L2495" s="100"/>
      <c r="M2495" s="100"/>
      <c r="N2495" s="100"/>
      <c r="O2495" s="100"/>
      <c r="P2495" s="100"/>
      <c r="Q2495" s="100"/>
      <c r="R2495" s="100"/>
      <c r="S2495" s="100"/>
      <c r="T2495" s="100"/>
      <c r="U2495" s="100"/>
      <c r="V2495" s="100"/>
      <c r="W2495" s="100"/>
      <c r="X2495" s="100"/>
      <c r="Y2495" s="100"/>
      <c r="Z2495" s="100"/>
    </row>
    <row r="2496" spans="1:26">
      <c r="A2496" s="100" t="e">
        <f ca="1">IFERROR(__xludf.DUMMYFUNCTION("""COMPUTED_VALUE"""),58785831)</f>
        <v>#NAME?</v>
      </c>
      <c r="B2496" s="100" t="e">
        <f ca="1">IFERROR(__xludf.DUMMYFUNCTION("""COMPUTED_VALUE"""),"PORTALUSDT")</f>
        <v>#NAME?</v>
      </c>
      <c r="C2496" s="100" t="e">
        <f ca="1">IFERROR(__xludf.DUMMYFUNCTION("""COMPUTED_VALUE"""),"0.08950000")</f>
        <v>#NAME?</v>
      </c>
      <c r="D2496" s="100" t="e">
        <f t="shared" ca="1" si="414"/>
        <v>#NAME?</v>
      </c>
      <c r="E2496" s="100" t="e">
        <f t="shared" ca="1" si="414"/>
        <v>#NAME?</v>
      </c>
      <c r="F2496" s="100" t="e">
        <f t="shared" ca="1" si="407"/>
        <v>#NAME?</v>
      </c>
      <c r="G2496" s="100" t="e">
        <f t="shared" ca="1" si="408"/>
        <v>#NAME?</v>
      </c>
      <c r="H2496" s="100" t="e">
        <f t="shared" ca="1" si="409"/>
        <v>#NAME?</v>
      </c>
      <c r="I2496" s="100" t="e">
        <f t="shared" ca="1" si="410"/>
        <v>#NAME?</v>
      </c>
      <c r="J2496" s="100" t="e">
        <f ca="1">IFERROR(__xludf.DUMMYFUNCTION("""COMPUTED_VALUE"""),"4.556")</f>
        <v>#NAME?</v>
      </c>
      <c r="K2496" s="100" t="e">
        <f t="shared" ca="1" si="411"/>
        <v>#NAME?</v>
      </c>
      <c r="L2496" s="100"/>
      <c r="M2496" s="100"/>
      <c r="N2496" s="100"/>
      <c r="O2496" s="100"/>
      <c r="P2496" s="100"/>
      <c r="Q2496" s="100"/>
      <c r="R2496" s="100"/>
      <c r="S2496" s="100"/>
      <c r="T2496" s="100"/>
      <c r="U2496" s="100"/>
      <c r="V2496" s="100"/>
      <c r="W2496" s="100"/>
      <c r="X2496" s="100"/>
      <c r="Y2496" s="100"/>
      <c r="Z2496" s="100"/>
    </row>
    <row r="2497" spans="1:26">
      <c r="A2497" s="100" t="e">
        <f ca="1">IFERROR(__xludf.DUMMYFUNCTION("""COMPUTED_VALUE"""),58785832)</f>
        <v>#NAME?</v>
      </c>
      <c r="B2497" s="100" t="e">
        <f ca="1">IFERROR(__xludf.DUMMYFUNCTION("""COMPUTED_VALUE"""),"PORTALBNB")</f>
        <v>#NAME?</v>
      </c>
      <c r="C2497" s="100" t="e">
        <f ca="1">IFERROR(__xludf.DUMMYFUNCTION("""COMPUTED_VALUE"""),"0.00014740")</f>
        <v>#NAME?</v>
      </c>
      <c r="D2497" s="100" t="e">
        <f t="shared" ca="1" si="414"/>
        <v>#NAME?</v>
      </c>
      <c r="E2497" s="100" t="e">
        <f t="shared" ca="1" si="414"/>
        <v>#NAME?</v>
      </c>
      <c r="F2497" s="100" t="e">
        <f t="shared" ca="1" si="407"/>
        <v>#NAME?</v>
      </c>
      <c r="G2497" s="100" t="e">
        <f t="shared" ca="1" si="408"/>
        <v>#NAME?</v>
      </c>
      <c r="H2497" s="100" t="e">
        <f t="shared" ca="1" si="409"/>
        <v>#NAME?</v>
      </c>
      <c r="I2497" s="100" t="e">
        <f t="shared" ca="1" si="410"/>
        <v>#NAME?</v>
      </c>
      <c r="J2497" s="100" t="e">
        <f ca="1">IFERROR(__xludf.DUMMYFUNCTION("""COMPUTED_VALUE"""),"3.584")</f>
        <v>#NAME?</v>
      </c>
      <c r="K2497" s="100" t="e">
        <f t="shared" ca="1" si="411"/>
        <v>#NAME?</v>
      </c>
      <c r="L2497" s="100"/>
      <c r="M2497" s="100"/>
      <c r="N2497" s="100"/>
      <c r="O2497" s="100"/>
      <c r="P2497" s="100"/>
      <c r="Q2497" s="100"/>
      <c r="R2497" s="100"/>
      <c r="S2497" s="100"/>
      <c r="T2497" s="100"/>
      <c r="U2497" s="100"/>
      <c r="V2497" s="100"/>
      <c r="W2497" s="100"/>
      <c r="X2497" s="100"/>
      <c r="Y2497" s="100"/>
      <c r="Z2497" s="100"/>
    </row>
    <row r="2498" spans="1:26">
      <c r="A2498" s="100" t="e">
        <f ca="1">IFERROR(__xludf.DUMMYFUNCTION("""COMPUTED_VALUE"""),58785833)</f>
        <v>#NAME?</v>
      </c>
      <c r="B2498" s="100" t="e">
        <f ca="1">IFERROR(__xludf.DUMMYFUNCTION("""COMPUTED_VALUE"""),"PORTALFDUSD")</f>
        <v>#NAME?</v>
      </c>
      <c r="C2498" s="100" t="e">
        <f ca="1">IFERROR(__xludf.DUMMYFUNCTION("""COMPUTED_VALUE"""),"0.08940000")</f>
        <v>#NAME?</v>
      </c>
      <c r="D2498" s="100" t="e">
        <f t="shared" ca="1" si="414"/>
        <v>#NAME?</v>
      </c>
      <c r="E2498" s="100" t="e">
        <f t="shared" ca="1" si="414"/>
        <v>#NAME?</v>
      </c>
      <c r="F2498" s="100" t="e">
        <f t="shared" ref="F2498:F2561" ca="1" si="415">IFERROR(__xludf.DUMMYFUNCTION("""COMPUTED_VALUE"""),20200)</f>
        <v>#NAME?</v>
      </c>
      <c r="G2498" s="100" t="e">
        <f t="shared" ref="G2498:G2561" ca="1" si="416">IFERROR(__xludf.DUMMYFUNCTION("""COMPUTED_VALUE"""),2885)</f>
        <v>#NAME?</v>
      </c>
      <c r="H2498" s="100" t="e">
        <f t="shared" ref="H2498:H2561" ca="1" si="417">IFERROR(__xludf.DUMMYFUNCTION("""COMPUTED_VALUE"""),663)</f>
        <v>#NAME?</v>
      </c>
      <c r="I2498" s="100" t="e">
        <f t="shared" ref="I2498:I2561" ca="1" si="418">IFERROR(__xludf.DUMMYFUNCTION("""COMPUTED_VALUE"""),5817721)</f>
        <v>#NAME?</v>
      </c>
      <c r="J2498" s="100" t="e">
        <f ca="1">IFERROR(__xludf.DUMMYFUNCTION("""COMPUTED_VALUE"""),"4.439")</f>
        <v>#NAME?</v>
      </c>
      <c r="K2498" s="100" t="e">
        <f t="shared" ref="K2498:K2561" ca="1" si="419">IFERROR(__xludf.DUMMYFUNCTION("""COMPUTED_VALUE"""),"22.04.2025 13:05:01")</f>
        <v>#NAME?</v>
      </c>
      <c r="L2498" s="100"/>
      <c r="M2498" s="100"/>
      <c r="N2498" s="100"/>
      <c r="O2498" s="100"/>
      <c r="P2498" s="100"/>
      <c r="Q2498" s="100"/>
      <c r="R2498" s="100"/>
      <c r="S2498" s="100"/>
      <c r="T2498" s="100"/>
      <c r="U2498" s="100"/>
      <c r="V2498" s="100"/>
      <c r="W2498" s="100"/>
      <c r="X2498" s="100"/>
      <c r="Y2498" s="100"/>
      <c r="Z2498" s="100"/>
    </row>
    <row r="2499" spans="1:26">
      <c r="A2499" s="100" t="e">
        <f ca="1">IFERROR(__xludf.DUMMYFUNCTION("""COMPUTED_VALUE"""),58785834)</f>
        <v>#NAME?</v>
      </c>
      <c r="B2499" s="100" t="e">
        <f ca="1">IFERROR(__xludf.DUMMYFUNCTION("""COMPUTED_VALUE"""),"PORTALTRY")</f>
        <v>#NAME?</v>
      </c>
      <c r="C2499" s="100" t="e">
        <f ca="1">IFERROR(__xludf.DUMMYFUNCTION("""COMPUTED_VALUE"""),"3.41500000")</f>
        <v>#NAME?</v>
      </c>
      <c r="D2499" s="100" t="e">
        <f t="shared" ca="1" si="414"/>
        <v>#NAME?</v>
      </c>
      <c r="E2499" s="100" t="e">
        <f t="shared" ca="1" si="414"/>
        <v>#NAME?</v>
      </c>
      <c r="F2499" s="100" t="e">
        <f t="shared" ca="1" si="415"/>
        <v>#NAME?</v>
      </c>
      <c r="G2499" s="100" t="e">
        <f t="shared" ca="1" si="416"/>
        <v>#NAME?</v>
      </c>
      <c r="H2499" s="100" t="e">
        <f t="shared" ca="1" si="417"/>
        <v>#NAME?</v>
      </c>
      <c r="I2499" s="100" t="e">
        <f t="shared" ca="1" si="418"/>
        <v>#NAME?</v>
      </c>
      <c r="J2499" s="100" t="e">
        <f ca="1">IFERROR(__xludf.DUMMYFUNCTION("""COMPUTED_VALUE"""),"4.052")</f>
        <v>#NAME?</v>
      </c>
      <c r="K2499" s="100" t="e">
        <f t="shared" ca="1" si="419"/>
        <v>#NAME?</v>
      </c>
      <c r="L2499" s="100"/>
      <c r="M2499" s="100"/>
      <c r="N2499" s="100"/>
      <c r="O2499" s="100"/>
      <c r="P2499" s="100"/>
      <c r="Q2499" s="100"/>
      <c r="R2499" s="100"/>
      <c r="S2499" s="100"/>
      <c r="T2499" s="100"/>
      <c r="U2499" s="100"/>
      <c r="V2499" s="100"/>
      <c r="W2499" s="100"/>
      <c r="X2499" s="100"/>
      <c r="Y2499" s="100"/>
      <c r="Z2499" s="100"/>
    </row>
    <row r="2500" spans="1:26">
      <c r="A2500" s="100" t="e">
        <f ca="1">IFERROR(__xludf.DUMMYFUNCTION("""COMPUTED_VALUE"""),58785835)</f>
        <v>#NAME?</v>
      </c>
      <c r="B2500" s="100" t="e">
        <f ca="1">IFERROR(__xludf.DUMMYFUNCTION("""COMPUTED_VALUE"""),"PDABTC")</f>
        <v>#NAME?</v>
      </c>
      <c r="C2500" s="100" t="e">
        <f ca="1">IFERROR(__xludf.DUMMYFUNCTION("""COMPUTED_VALUE"""),"0.00000079")</f>
        <v>#NAME?</v>
      </c>
      <c r="D2500" s="100" t="e">
        <f t="shared" ca="1" si="414"/>
        <v>#NAME?</v>
      </c>
      <c r="E2500" s="100" t="e">
        <f t="shared" ca="1" si="414"/>
        <v>#NAME?</v>
      </c>
      <c r="F2500" s="100" t="e">
        <f t="shared" ca="1" si="415"/>
        <v>#NAME?</v>
      </c>
      <c r="G2500" s="100" t="e">
        <f t="shared" ca="1" si="416"/>
        <v>#NAME?</v>
      </c>
      <c r="H2500" s="100" t="e">
        <f t="shared" ca="1" si="417"/>
        <v>#NAME?</v>
      </c>
      <c r="I2500" s="100" t="e">
        <f t="shared" ca="1" si="418"/>
        <v>#NAME?</v>
      </c>
      <c r="J2500" s="100" t="e">
        <f ca="1">IFERROR(__xludf.DUMMYFUNCTION("""COMPUTED_VALUE"""),"0")</f>
        <v>#NAME?</v>
      </c>
      <c r="K2500" s="100" t="e">
        <f t="shared" ca="1" si="419"/>
        <v>#NAME?</v>
      </c>
      <c r="L2500" s="100"/>
      <c r="M2500" s="100"/>
      <c r="N2500" s="100"/>
      <c r="O2500" s="100"/>
      <c r="P2500" s="100"/>
      <c r="Q2500" s="100"/>
      <c r="R2500" s="100"/>
      <c r="S2500" s="100"/>
      <c r="T2500" s="100"/>
      <c r="U2500" s="100"/>
      <c r="V2500" s="100"/>
      <c r="W2500" s="100"/>
      <c r="X2500" s="100"/>
      <c r="Y2500" s="100"/>
      <c r="Z2500" s="100"/>
    </row>
    <row r="2501" spans="1:26">
      <c r="A2501" s="100" t="e">
        <f ca="1">IFERROR(__xludf.DUMMYFUNCTION("""COMPUTED_VALUE"""),58785836)</f>
        <v>#NAME?</v>
      </c>
      <c r="B2501" s="100" t="e">
        <f ca="1">IFERROR(__xludf.DUMMYFUNCTION("""COMPUTED_VALUE"""),"PDAUSDT")</f>
        <v>#NAME?</v>
      </c>
      <c r="C2501" s="100" t="e">
        <f ca="1">IFERROR(__xludf.DUMMYFUNCTION("""COMPUTED_VALUE"""),"0.01267000")</f>
        <v>#NAME?</v>
      </c>
      <c r="D2501" s="100" t="e">
        <f t="shared" ca="1" si="414"/>
        <v>#NAME?</v>
      </c>
      <c r="E2501" s="100" t="e">
        <f t="shared" ca="1" si="414"/>
        <v>#NAME?</v>
      </c>
      <c r="F2501" s="100" t="e">
        <f t="shared" ca="1" si="415"/>
        <v>#NAME?</v>
      </c>
      <c r="G2501" s="100" t="e">
        <f t="shared" ca="1" si="416"/>
        <v>#NAME?</v>
      </c>
      <c r="H2501" s="100" t="e">
        <f t="shared" ca="1" si="417"/>
        <v>#NAME?</v>
      </c>
      <c r="I2501" s="100" t="e">
        <f t="shared" ca="1" si="418"/>
        <v>#NAME?</v>
      </c>
      <c r="J2501" s="100" t="e">
        <f ca="1">IFERROR(__xludf.DUMMYFUNCTION("""COMPUTED_VALUE"""),"-12.560")</f>
        <v>#NAME?</v>
      </c>
      <c r="K2501" s="100" t="e">
        <f t="shared" ca="1" si="419"/>
        <v>#NAME?</v>
      </c>
      <c r="L2501" s="100"/>
      <c r="M2501" s="100"/>
      <c r="N2501" s="100"/>
      <c r="O2501" s="100"/>
      <c r="P2501" s="100"/>
      <c r="Q2501" s="100"/>
      <c r="R2501" s="100"/>
      <c r="S2501" s="100"/>
      <c r="T2501" s="100"/>
      <c r="U2501" s="100"/>
      <c r="V2501" s="100"/>
      <c r="W2501" s="100"/>
      <c r="X2501" s="100"/>
      <c r="Y2501" s="100"/>
      <c r="Z2501" s="100"/>
    </row>
    <row r="2502" spans="1:26">
      <c r="A2502" s="100" t="e">
        <f ca="1">IFERROR(__xludf.DUMMYFUNCTION("""COMPUTED_VALUE"""),58785837)</f>
        <v>#NAME?</v>
      </c>
      <c r="B2502" s="100" t="e">
        <f ca="1">IFERROR(__xludf.DUMMYFUNCTION("""COMPUTED_VALUE"""),"AXLBTC")</f>
        <v>#NAME?</v>
      </c>
      <c r="C2502" s="100" t="e">
        <f ca="1">IFERROR(__xludf.DUMMYFUNCTION("""COMPUTED_VALUE"""),"0.00000344")</f>
        <v>#NAME?</v>
      </c>
      <c r="D2502" s="100" t="e">
        <f t="shared" ref="D2502:E2521" ca="1" si="420">IFERROR(__xludf.DUMMYFUNCTION("""COMPUTED_VALUE"""),"-")</f>
        <v>#NAME?</v>
      </c>
      <c r="E2502" s="100" t="e">
        <f t="shared" ca="1" si="420"/>
        <v>#NAME?</v>
      </c>
      <c r="F2502" s="100" t="e">
        <f t="shared" ca="1" si="415"/>
        <v>#NAME?</v>
      </c>
      <c r="G2502" s="100" t="e">
        <f t="shared" ca="1" si="416"/>
        <v>#NAME?</v>
      </c>
      <c r="H2502" s="100" t="e">
        <f t="shared" ca="1" si="417"/>
        <v>#NAME?</v>
      </c>
      <c r="I2502" s="100" t="e">
        <f t="shared" ca="1" si="418"/>
        <v>#NAME?</v>
      </c>
      <c r="J2502" s="100" t="e">
        <f ca="1">IFERROR(__xludf.DUMMYFUNCTION("""COMPUTED_VALUE"""),"-2.273")</f>
        <v>#NAME?</v>
      </c>
      <c r="K2502" s="100" t="e">
        <f t="shared" ca="1" si="419"/>
        <v>#NAME?</v>
      </c>
      <c r="L2502" s="100"/>
      <c r="M2502" s="100"/>
      <c r="N2502" s="100"/>
      <c r="O2502" s="100"/>
      <c r="P2502" s="100"/>
      <c r="Q2502" s="100"/>
      <c r="R2502" s="100"/>
      <c r="S2502" s="100"/>
      <c r="T2502" s="100"/>
      <c r="U2502" s="100"/>
      <c r="V2502" s="100"/>
      <c r="W2502" s="100"/>
      <c r="X2502" s="100"/>
      <c r="Y2502" s="100"/>
      <c r="Z2502" s="100"/>
    </row>
    <row r="2503" spans="1:26">
      <c r="A2503" s="100" t="e">
        <f ca="1">IFERROR(__xludf.DUMMYFUNCTION("""COMPUTED_VALUE"""),58785838)</f>
        <v>#NAME?</v>
      </c>
      <c r="B2503" s="100" t="e">
        <f ca="1">IFERROR(__xludf.DUMMYFUNCTION("""COMPUTED_VALUE"""),"AXLUSDT")</f>
        <v>#NAME?</v>
      </c>
      <c r="C2503" s="100" t="e">
        <f ca="1">IFERROR(__xludf.DUMMYFUNCTION("""COMPUTED_VALUE"""),"0.30480000")</f>
        <v>#NAME?</v>
      </c>
      <c r="D2503" s="100" t="e">
        <f t="shared" ca="1" si="420"/>
        <v>#NAME?</v>
      </c>
      <c r="E2503" s="100" t="e">
        <f t="shared" ca="1" si="420"/>
        <v>#NAME?</v>
      </c>
      <c r="F2503" s="100" t="e">
        <f t="shared" ca="1" si="415"/>
        <v>#NAME?</v>
      </c>
      <c r="G2503" s="100" t="e">
        <f t="shared" ca="1" si="416"/>
        <v>#NAME?</v>
      </c>
      <c r="H2503" s="100" t="e">
        <f t="shared" ca="1" si="417"/>
        <v>#NAME?</v>
      </c>
      <c r="I2503" s="100" t="e">
        <f t="shared" ca="1" si="418"/>
        <v>#NAME?</v>
      </c>
      <c r="J2503" s="100" t="e">
        <f ca="1">IFERROR(__xludf.DUMMYFUNCTION("""COMPUTED_VALUE"""),"-0.619")</f>
        <v>#NAME?</v>
      </c>
      <c r="K2503" s="100" t="e">
        <f t="shared" ca="1" si="419"/>
        <v>#NAME?</v>
      </c>
      <c r="L2503" s="100"/>
      <c r="M2503" s="100"/>
      <c r="N2503" s="100"/>
      <c r="O2503" s="100"/>
      <c r="P2503" s="100"/>
      <c r="Q2503" s="100"/>
      <c r="R2503" s="100"/>
      <c r="S2503" s="100"/>
      <c r="T2503" s="100"/>
      <c r="U2503" s="100"/>
      <c r="V2503" s="100"/>
      <c r="W2503" s="100"/>
      <c r="X2503" s="100"/>
      <c r="Y2503" s="100"/>
      <c r="Z2503" s="100"/>
    </row>
    <row r="2504" spans="1:26">
      <c r="A2504" s="100" t="e">
        <f ca="1">IFERROR(__xludf.DUMMYFUNCTION("""COMPUTED_VALUE"""),58785839)</f>
        <v>#NAME?</v>
      </c>
      <c r="B2504" s="100" t="e">
        <f ca="1">IFERROR(__xludf.DUMMYFUNCTION("""COMPUTED_VALUE"""),"AXLFDUSD")</f>
        <v>#NAME?</v>
      </c>
      <c r="C2504" s="100" t="e">
        <f ca="1">IFERROR(__xludf.DUMMYFUNCTION("""COMPUTED_VALUE"""),"0.61060000")</f>
        <v>#NAME?</v>
      </c>
      <c r="D2504" s="100" t="e">
        <f t="shared" ca="1" si="420"/>
        <v>#NAME?</v>
      </c>
      <c r="E2504" s="100" t="e">
        <f t="shared" ca="1" si="420"/>
        <v>#NAME?</v>
      </c>
      <c r="F2504" s="100" t="e">
        <f t="shared" ca="1" si="415"/>
        <v>#NAME?</v>
      </c>
      <c r="G2504" s="100" t="e">
        <f t="shared" ca="1" si="416"/>
        <v>#NAME?</v>
      </c>
      <c r="H2504" s="100" t="e">
        <f t="shared" ca="1" si="417"/>
        <v>#NAME?</v>
      </c>
      <c r="I2504" s="100" t="e">
        <f t="shared" ca="1" si="418"/>
        <v>#NAME?</v>
      </c>
      <c r="J2504" s="100" t="e">
        <f ca="1">IFERROR(__xludf.DUMMYFUNCTION("""COMPUTED_VALUE"""),"0")</f>
        <v>#NAME?</v>
      </c>
      <c r="K2504" s="100" t="e">
        <f t="shared" ca="1" si="419"/>
        <v>#NAME?</v>
      </c>
      <c r="L2504" s="100"/>
      <c r="M2504" s="100"/>
      <c r="N2504" s="100"/>
      <c r="O2504" s="100"/>
      <c r="P2504" s="100"/>
      <c r="Q2504" s="100"/>
      <c r="R2504" s="100"/>
      <c r="S2504" s="100"/>
      <c r="T2504" s="100"/>
      <c r="U2504" s="100"/>
      <c r="V2504" s="100"/>
      <c r="W2504" s="100"/>
      <c r="X2504" s="100"/>
      <c r="Y2504" s="100"/>
      <c r="Z2504" s="100"/>
    </row>
    <row r="2505" spans="1:26">
      <c r="A2505" s="100" t="e">
        <f ca="1">IFERROR(__xludf.DUMMYFUNCTION("""COMPUTED_VALUE"""),58785840)</f>
        <v>#NAME?</v>
      </c>
      <c r="B2505" s="100" t="e">
        <f ca="1">IFERROR(__xludf.DUMMYFUNCTION("""COMPUTED_VALUE"""),"AXLTRY")</f>
        <v>#NAME?</v>
      </c>
      <c r="C2505" s="100" t="e">
        <f ca="1">IFERROR(__xludf.DUMMYFUNCTION("""COMPUTED_VALUE"""),"11.67000000")</f>
        <v>#NAME?</v>
      </c>
      <c r="D2505" s="100" t="e">
        <f t="shared" ca="1" si="420"/>
        <v>#NAME?</v>
      </c>
      <c r="E2505" s="100" t="e">
        <f t="shared" ca="1" si="420"/>
        <v>#NAME?</v>
      </c>
      <c r="F2505" s="100" t="e">
        <f t="shared" ca="1" si="415"/>
        <v>#NAME?</v>
      </c>
      <c r="G2505" s="100" t="e">
        <f t="shared" ca="1" si="416"/>
        <v>#NAME?</v>
      </c>
      <c r="H2505" s="100" t="e">
        <f t="shared" ca="1" si="417"/>
        <v>#NAME?</v>
      </c>
      <c r="I2505" s="100" t="e">
        <f t="shared" ca="1" si="418"/>
        <v>#NAME?</v>
      </c>
      <c r="J2505" s="100" t="e">
        <f ca="1">IFERROR(__xludf.DUMMYFUNCTION("""COMPUTED_VALUE"""),"-0.256")</f>
        <v>#NAME?</v>
      </c>
      <c r="K2505" s="100" t="e">
        <f t="shared" ca="1" si="419"/>
        <v>#NAME?</v>
      </c>
      <c r="L2505" s="100"/>
      <c r="M2505" s="100"/>
      <c r="N2505" s="100"/>
      <c r="O2505" s="100"/>
      <c r="P2505" s="100"/>
      <c r="Q2505" s="100"/>
      <c r="R2505" s="100"/>
      <c r="S2505" s="100"/>
      <c r="T2505" s="100"/>
      <c r="U2505" s="100"/>
      <c r="V2505" s="100"/>
      <c r="W2505" s="100"/>
      <c r="X2505" s="100"/>
      <c r="Y2505" s="100"/>
      <c r="Z2505" s="100"/>
    </row>
    <row r="2506" spans="1:26">
      <c r="A2506" s="100" t="e">
        <f ca="1">IFERROR(__xludf.DUMMYFUNCTION("""COMPUTED_VALUE"""),58785841)</f>
        <v>#NAME?</v>
      </c>
      <c r="B2506" s="100" t="e">
        <f ca="1">IFERROR(__xludf.DUMMYFUNCTION("""COMPUTED_VALUE"""),"PEPEFDUSD")</f>
        <v>#NAME?</v>
      </c>
      <c r="C2506" s="100" t="e">
        <f ca="1">IFERROR(__xludf.DUMMYFUNCTION("""COMPUTED_VALUE"""),"0.00000813")</f>
        <v>#NAME?</v>
      </c>
      <c r="D2506" s="100" t="e">
        <f t="shared" ca="1" si="420"/>
        <v>#NAME?</v>
      </c>
      <c r="E2506" s="100" t="e">
        <f t="shared" ca="1" si="420"/>
        <v>#NAME?</v>
      </c>
      <c r="F2506" s="100" t="e">
        <f t="shared" ca="1" si="415"/>
        <v>#NAME?</v>
      </c>
      <c r="G2506" s="100" t="e">
        <f t="shared" ca="1" si="416"/>
        <v>#NAME?</v>
      </c>
      <c r="H2506" s="100" t="e">
        <f t="shared" ca="1" si="417"/>
        <v>#NAME?</v>
      </c>
      <c r="I2506" s="100" t="e">
        <f t="shared" ca="1" si="418"/>
        <v>#NAME?</v>
      </c>
      <c r="J2506" s="100" t="e">
        <f ca="1">IFERROR(__xludf.DUMMYFUNCTION("""COMPUTED_VALUE"""),"3.699")</f>
        <v>#NAME?</v>
      </c>
      <c r="K2506" s="100" t="e">
        <f t="shared" ca="1" si="419"/>
        <v>#NAME?</v>
      </c>
      <c r="L2506" s="100"/>
      <c r="M2506" s="100"/>
      <c r="N2506" s="100"/>
      <c r="O2506" s="100"/>
      <c r="P2506" s="100"/>
      <c r="Q2506" s="100"/>
      <c r="R2506" s="100"/>
      <c r="S2506" s="100"/>
      <c r="T2506" s="100"/>
      <c r="U2506" s="100"/>
      <c r="V2506" s="100"/>
      <c r="W2506" s="100"/>
      <c r="X2506" s="100"/>
      <c r="Y2506" s="100"/>
      <c r="Z2506" s="100"/>
    </row>
    <row r="2507" spans="1:26">
      <c r="A2507" s="100" t="e">
        <f ca="1">IFERROR(__xludf.DUMMYFUNCTION("""COMPUTED_VALUE"""),58785842)</f>
        <v>#NAME?</v>
      </c>
      <c r="B2507" s="100" t="e">
        <f ca="1">IFERROR(__xludf.DUMMYFUNCTION("""COMPUTED_VALUE"""),"PIXELUSDC")</f>
        <v>#NAME?</v>
      </c>
      <c r="C2507" s="100" t="e">
        <f ca="1">IFERROR(__xludf.DUMMYFUNCTION("""COMPUTED_VALUE"""),"0.04354000")</f>
        <v>#NAME?</v>
      </c>
      <c r="D2507" s="100" t="e">
        <f t="shared" ca="1" si="420"/>
        <v>#NAME?</v>
      </c>
      <c r="E2507" s="100" t="e">
        <f t="shared" ca="1" si="420"/>
        <v>#NAME?</v>
      </c>
      <c r="F2507" s="100" t="e">
        <f t="shared" ca="1" si="415"/>
        <v>#NAME?</v>
      </c>
      <c r="G2507" s="100" t="e">
        <f t="shared" ca="1" si="416"/>
        <v>#NAME?</v>
      </c>
      <c r="H2507" s="100" t="e">
        <f t="shared" ca="1" si="417"/>
        <v>#NAME?</v>
      </c>
      <c r="I2507" s="100" t="e">
        <f t="shared" ca="1" si="418"/>
        <v>#NAME?</v>
      </c>
      <c r="J2507" s="100" t="e">
        <f ca="1">IFERROR(__xludf.DUMMYFUNCTION("""COMPUTED_VALUE"""),"33.681")</f>
        <v>#NAME?</v>
      </c>
      <c r="K2507" s="100" t="e">
        <f t="shared" ca="1" si="419"/>
        <v>#NAME?</v>
      </c>
      <c r="L2507" s="100"/>
      <c r="M2507" s="100"/>
      <c r="N2507" s="100"/>
      <c r="O2507" s="100"/>
      <c r="P2507" s="100"/>
      <c r="Q2507" s="100"/>
      <c r="R2507" s="100"/>
      <c r="S2507" s="100"/>
      <c r="T2507" s="100"/>
      <c r="U2507" s="100"/>
      <c r="V2507" s="100"/>
      <c r="W2507" s="100"/>
      <c r="X2507" s="100"/>
      <c r="Y2507" s="100"/>
      <c r="Z2507" s="100"/>
    </row>
    <row r="2508" spans="1:26">
      <c r="A2508" s="100" t="e">
        <f ca="1">IFERROR(__xludf.DUMMYFUNCTION("""COMPUTED_VALUE"""),58785843)</f>
        <v>#NAME?</v>
      </c>
      <c r="B2508" s="100" t="e">
        <f ca="1">IFERROR(__xludf.DUMMYFUNCTION("""COMPUTED_VALUE"""),"STRKUSDC")</f>
        <v>#NAME?</v>
      </c>
      <c r="C2508" s="100" t="e">
        <f ca="1">IFERROR(__xludf.DUMMYFUNCTION("""COMPUTED_VALUE"""),"0.13520000")</f>
        <v>#NAME?</v>
      </c>
      <c r="D2508" s="100" t="e">
        <f t="shared" ca="1" si="420"/>
        <v>#NAME?</v>
      </c>
      <c r="E2508" s="100" t="e">
        <f t="shared" ca="1" si="420"/>
        <v>#NAME?</v>
      </c>
      <c r="F2508" s="100" t="e">
        <f t="shared" ca="1" si="415"/>
        <v>#NAME?</v>
      </c>
      <c r="G2508" s="100" t="e">
        <f t="shared" ca="1" si="416"/>
        <v>#NAME?</v>
      </c>
      <c r="H2508" s="100" t="e">
        <f t="shared" ca="1" si="417"/>
        <v>#NAME?</v>
      </c>
      <c r="I2508" s="100" t="e">
        <f t="shared" ca="1" si="418"/>
        <v>#NAME?</v>
      </c>
      <c r="J2508" s="100" t="e">
        <f ca="1">IFERROR(__xludf.DUMMYFUNCTION("""COMPUTED_VALUE"""),"-1.314")</f>
        <v>#NAME?</v>
      </c>
      <c r="K2508" s="100" t="e">
        <f t="shared" ca="1" si="419"/>
        <v>#NAME?</v>
      </c>
      <c r="L2508" s="100"/>
      <c r="M2508" s="100"/>
      <c r="N2508" s="100"/>
      <c r="O2508" s="100"/>
      <c r="P2508" s="100"/>
      <c r="Q2508" s="100"/>
      <c r="R2508" s="100"/>
      <c r="S2508" s="100"/>
      <c r="T2508" s="100"/>
      <c r="U2508" s="100"/>
      <c r="V2508" s="100"/>
      <c r="W2508" s="100"/>
      <c r="X2508" s="100"/>
      <c r="Y2508" s="100"/>
      <c r="Z2508" s="100"/>
    </row>
    <row r="2509" spans="1:26">
      <c r="A2509" s="100" t="e">
        <f ca="1">IFERROR(__xludf.DUMMYFUNCTION("""COMPUTED_VALUE"""),58785844)</f>
        <v>#NAME?</v>
      </c>
      <c r="B2509" s="100" t="e">
        <f ca="1">IFERROR(__xludf.DUMMYFUNCTION("""COMPUTED_VALUE"""),"UNIFDUSD")</f>
        <v>#NAME?</v>
      </c>
      <c r="C2509" s="100" t="e">
        <f ca="1">IFERROR(__xludf.DUMMYFUNCTION("""COMPUTED_VALUE"""),"5.36400000")</f>
        <v>#NAME?</v>
      </c>
      <c r="D2509" s="100" t="e">
        <f t="shared" ca="1" si="420"/>
        <v>#NAME?</v>
      </c>
      <c r="E2509" s="100" t="e">
        <f t="shared" ca="1" si="420"/>
        <v>#NAME?</v>
      </c>
      <c r="F2509" s="100" t="e">
        <f t="shared" ca="1" si="415"/>
        <v>#NAME?</v>
      </c>
      <c r="G2509" s="100" t="e">
        <f t="shared" ca="1" si="416"/>
        <v>#NAME?</v>
      </c>
      <c r="H2509" s="100" t="e">
        <f t="shared" ca="1" si="417"/>
        <v>#NAME?</v>
      </c>
      <c r="I2509" s="100" t="e">
        <f t="shared" ca="1" si="418"/>
        <v>#NAME?</v>
      </c>
      <c r="J2509" s="100" t="e">
        <f ca="1">IFERROR(__xludf.DUMMYFUNCTION("""COMPUTED_VALUE"""),"-1.488")</f>
        <v>#NAME?</v>
      </c>
      <c r="K2509" s="100" t="e">
        <f t="shared" ca="1" si="419"/>
        <v>#NAME?</v>
      </c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</row>
    <row r="2510" spans="1:26">
      <c r="A2510" s="100" t="e">
        <f ca="1">IFERROR(__xludf.DUMMYFUNCTION("""COMPUTED_VALUE"""),58785845)</f>
        <v>#NAME?</v>
      </c>
      <c r="B2510" s="100" t="e">
        <f ca="1">IFERROR(__xludf.DUMMYFUNCTION("""COMPUTED_VALUE"""),"OMTRY")</f>
        <v>#NAME?</v>
      </c>
      <c r="C2510" s="100" t="e">
        <f ca="1">IFERROR(__xludf.DUMMYFUNCTION("""COMPUTED_VALUE"""),"20.62000000")</f>
        <v>#NAME?</v>
      </c>
      <c r="D2510" s="100" t="e">
        <f t="shared" ca="1" si="420"/>
        <v>#NAME?</v>
      </c>
      <c r="E2510" s="100" t="e">
        <f t="shared" ca="1" si="420"/>
        <v>#NAME?</v>
      </c>
      <c r="F2510" s="100" t="e">
        <f t="shared" ca="1" si="415"/>
        <v>#NAME?</v>
      </c>
      <c r="G2510" s="100" t="e">
        <f t="shared" ca="1" si="416"/>
        <v>#NAME?</v>
      </c>
      <c r="H2510" s="100" t="e">
        <f t="shared" ca="1" si="417"/>
        <v>#NAME?</v>
      </c>
      <c r="I2510" s="100" t="e">
        <f t="shared" ca="1" si="418"/>
        <v>#NAME?</v>
      </c>
      <c r="J2510" s="100" t="e">
        <f ca="1">IFERROR(__xludf.DUMMYFUNCTION("""COMPUTED_VALUE"""),"7.676")</f>
        <v>#NAME?</v>
      </c>
      <c r="K2510" s="100" t="e">
        <f t="shared" ca="1" si="419"/>
        <v>#NAME?</v>
      </c>
      <c r="L2510" s="100"/>
      <c r="M2510" s="100"/>
      <c r="N2510" s="100"/>
      <c r="O2510" s="100"/>
      <c r="P2510" s="100"/>
      <c r="Q2510" s="100"/>
      <c r="R2510" s="100"/>
      <c r="S2510" s="100"/>
      <c r="T2510" s="100"/>
      <c r="U2510" s="100"/>
      <c r="V2510" s="100"/>
      <c r="W2510" s="100"/>
      <c r="X2510" s="100"/>
      <c r="Y2510" s="100"/>
      <c r="Z2510" s="100"/>
    </row>
    <row r="2511" spans="1:26">
      <c r="A2511" s="100" t="e">
        <f ca="1">IFERROR(__xludf.DUMMYFUNCTION("""COMPUTED_VALUE"""),58785846)</f>
        <v>#NAME?</v>
      </c>
      <c r="B2511" s="100" t="e">
        <f ca="1">IFERROR(__xludf.DUMMYFUNCTION("""COMPUTED_VALUE"""),"THETATRY")</f>
        <v>#NAME?</v>
      </c>
      <c r="C2511" s="100" t="e">
        <f ca="1">IFERROR(__xludf.DUMMYFUNCTION("""COMPUTED_VALUE"""),"23.88000000")</f>
        <v>#NAME?</v>
      </c>
      <c r="D2511" s="100" t="e">
        <f t="shared" ca="1" si="420"/>
        <v>#NAME?</v>
      </c>
      <c r="E2511" s="100" t="e">
        <f t="shared" ca="1" si="420"/>
        <v>#NAME?</v>
      </c>
      <c r="F2511" s="100" t="e">
        <f t="shared" ca="1" si="415"/>
        <v>#NAME?</v>
      </c>
      <c r="G2511" s="100" t="e">
        <f t="shared" ca="1" si="416"/>
        <v>#NAME?</v>
      </c>
      <c r="H2511" s="100" t="e">
        <f t="shared" ca="1" si="417"/>
        <v>#NAME?</v>
      </c>
      <c r="I2511" s="100" t="e">
        <f t="shared" ca="1" si="418"/>
        <v>#NAME?</v>
      </c>
      <c r="J2511" s="100" t="e">
        <f ca="1">IFERROR(__xludf.DUMMYFUNCTION("""COMPUTED_VALUE"""),"-5.984")</f>
        <v>#NAME?</v>
      </c>
      <c r="K2511" s="100" t="e">
        <f t="shared" ca="1" si="419"/>
        <v>#NAME?</v>
      </c>
      <c r="L2511" s="100"/>
      <c r="M2511" s="100"/>
      <c r="N2511" s="100"/>
      <c r="O2511" s="100"/>
      <c r="P2511" s="100"/>
      <c r="Q2511" s="100"/>
      <c r="R2511" s="100"/>
      <c r="S2511" s="100"/>
      <c r="T2511" s="100"/>
      <c r="U2511" s="100"/>
      <c r="V2511" s="100"/>
      <c r="W2511" s="100"/>
      <c r="X2511" s="100"/>
      <c r="Y2511" s="100"/>
      <c r="Z2511" s="100"/>
    </row>
    <row r="2512" spans="1:26">
      <c r="A2512" s="100" t="e">
        <f ca="1">IFERROR(__xludf.DUMMYFUNCTION("""COMPUTED_VALUE"""),58785847)</f>
        <v>#NAME?</v>
      </c>
      <c r="B2512" s="100" t="e">
        <f ca="1">IFERROR(__xludf.DUMMYFUNCTION("""COMPUTED_VALUE"""),"WIFBTC")</f>
        <v>#NAME?</v>
      </c>
      <c r="C2512" s="100" t="e">
        <f ca="1">IFERROR(__xludf.DUMMYFUNCTION("""COMPUTED_VALUE"""),"0.00000492")</f>
        <v>#NAME?</v>
      </c>
      <c r="D2512" s="100" t="e">
        <f t="shared" ca="1" si="420"/>
        <v>#NAME?</v>
      </c>
      <c r="E2512" s="100" t="e">
        <f t="shared" ca="1" si="420"/>
        <v>#NAME?</v>
      </c>
      <c r="F2512" s="100" t="e">
        <f t="shared" ca="1" si="415"/>
        <v>#NAME?</v>
      </c>
      <c r="G2512" s="100" t="e">
        <f t="shared" ca="1" si="416"/>
        <v>#NAME?</v>
      </c>
      <c r="H2512" s="100" t="e">
        <f t="shared" ca="1" si="417"/>
        <v>#NAME?</v>
      </c>
      <c r="I2512" s="100" t="e">
        <f t="shared" ca="1" si="418"/>
        <v>#NAME?</v>
      </c>
      <c r="J2512" s="100" t="e">
        <f ca="1">IFERROR(__xludf.DUMMYFUNCTION("""COMPUTED_VALUE"""),"-2.187")</f>
        <v>#NAME?</v>
      </c>
      <c r="K2512" s="100" t="e">
        <f t="shared" ca="1" si="419"/>
        <v>#NAME?</v>
      </c>
      <c r="L2512" s="100"/>
      <c r="M2512" s="100"/>
      <c r="N2512" s="100"/>
      <c r="O2512" s="100"/>
      <c r="P2512" s="100"/>
      <c r="Q2512" s="100"/>
      <c r="R2512" s="100"/>
      <c r="S2512" s="100"/>
      <c r="T2512" s="100"/>
      <c r="U2512" s="100"/>
      <c r="V2512" s="100"/>
      <c r="W2512" s="100"/>
      <c r="X2512" s="100"/>
      <c r="Y2512" s="100"/>
      <c r="Z2512" s="100"/>
    </row>
    <row r="2513" spans="1:26">
      <c r="A2513" s="100" t="e">
        <f ca="1">IFERROR(__xludf.DUMMYFUNCTION("""COMPUTED_VALUE"""),58785848)</f>
        <v>#NAME?</v>
      </c>
      <c r="B2513" s="100" t="e">
        <f ca="1">IFERROR(__xludf.DUMMYFUNCTION("""COMPUTED_VALUE"""),"WIFUSDT")</f>
        <v>#NAME?</v>
      </c>
      <c r="C2513" s="100" t="e">
        <f ca="1">IFERROR(__xludf.DUMMYFUNCTION("""COMPUTED_VALUE"""),"0.43500000")</f>
        <v>#NAME?</v>
      </c>
      <c r="D2513" s="100" t="e">
        <f t="shared" ca="1" si="420"/>
        <v>#NAME?</v>
      </c>
      <c r="E2513" s="100" t="e">
        <f t="shared" ca="1" si="420"/>
        <v>#NAME?</v>
      </c>
      <c r="F2513" s="100" t="e">
        <f t="shared" ca="1" si="415"/>
        <v>#NAME?</v>
      </c>
      <c r="G2513" s="100" t="e">
        <f t="shared" ca="1" si="416"/>
        <v>#NAME?</v>
      </c>
      <c r="H2513" s="100" t="e">
        <f t="shared" ca="1" si="417"/>
        <v>#NAME?</v>
      </c>
      <c r="I2513" s="100" t="e">
        <f t="shared" ca="1" si="418"/>
        <v>#NAME?</v>
      </c>
      <c r="J2513" s="100" t="e">
        <f ca="1">IFERROR(__xludf.DUMMYFUNCTION("""COMPUTED_VALUE"""),"-1.136")</f>
        <v>#NAME?</v>
      </c>
      <c r="K2513" s="100" t="e">
        <f t="shared" ca="1" si="419"/>
        <v>#NAME?</v>
      </c>
      <c r="L2513" s="100"/>
      <c r="M2513" s="100"/>
      <c r="N2513" s="100"/>
      <c r="O2513" s="100"/>
      <c r="P2513" s="100"/>
      <c r="Q2513" s="100"/>
      <c r="R2513" s="100"/>
      <c r="S2513" s="100"/>
      <c r="T2513" s="100"/>
      <c r="U2513" s="100"/>
      <c r="V2513" s="100"/>
      <c r="W2513" s="100"/>
      <c r="X2513" s="100"/>
      <c r="Y2513" s="100"/>
      <c r="Z2513" s="100"/>
    </row>
    <row r="2514" spans="1:26">
      <c r="A2514" s="100" t="e">
        <f ca="1">IFERROR(__xludf.DUMMYFUNCTION("""COMPUTED_VALUE"""),58785849)</f>
        <v>#NAME?</v>
      </c>
      <c r="B2514" s="100" t="e">
        <f ca="1">IFERROR(__xludf.DUMMYFUNCTION("""COMPUTED_VALUE"""),"WIFFDUSD")</f>
        <v>#NAME?</v>
      </c>
      <c r="C2514" s="100" t="e">
        <f ca="1">IFERROR(__xludf.DUMMYFUNCTION("""COMPUTED_VALUE"""),"0.43800000")</f>
        <v>#NAME?</v>
      </c>
      <c r="D2514" s="100" t="e">
        <f t="shared" ca="1" si="420"/>
        <v>#NAME?</v>
      </c>
      <c r="E2514" s="100" t="e">
        <f t="shared" ca="1" si="420"/>
        <v>#NAME?</v>
      </c>
      <c r="F2514" s="100" t="e">
        <f t="shared" ca="1" si="415"/>
        <v>#NAME?</v>
      </c>
      <c r="G2514" s="100" t="e">
        <f t="shared" ca="1" si="416"/>
        <v>#NAME?</v>
      </c>
      <c r="H2514" s="100" t="e">
        <f t="shared" ca="1" si="417"/>
        <v>#NAME?</v>
      </c>
      <c r="I2514" s="100" t="e">
        <f t="shared" ca="1" si="418"/>
        <v>#NAME?</v>
      </c>
      <c r="J2514" s="100" t="e">
        <f ca="1">IFERROR(__xludf.DUMMYFUNCTION("""COMPUTED_VALUE"""),"-0.680")</f>
        <v>#NAME?</v>
      </c>
      <c r="K2514" s="100" t="e">
        <f t="shared" ca="1" si="419"/>
        <v>#NAME?</v>
      </c>
      <c r="L2514" s="100"/>
      <c r="M2514" s="100"/>
      <c r="N2514" s="100"/>
      <c r="O2514" s="100"/>
      <c r="P2514" s="100"/>
      <c r="Q2514" s="100"/>
      <c r="R2514" s="100"/>
      <c r="S2514" s="100"/>
      <c r="T2514" s="100"/>
      <c r="U2514" s="100"/>
      <c r="V2514" s="100"/>
      <c r="W2514" s="100"/>
      <c r="X2514" s="100"/>
      <c r="Y2514" s="100"/>
      <c r="Z2514" s="100"/>
    </row>
    <row r="2515" spans="1:26">
      <c r="A2515" s="100" t="e">
        <f ca="1">IFERROR(__xludf.DUMMYFUNCTION("""COMPUTED_VALUE"""),58785850)</f>
        <v>#NAME?</v>
      </c>
      <c r="B2515" s="100" t="e">
        <f ca="1">IFERROR(__xludf.DUMMYFUNCTION("""COMPUTED_VALUE"""),"WIFTRY")</f>
        <v>#NAME?</v>
      </c>
      <c r="C2515" s="100" t="e">
        <f ca="1">IFERROR(__xludf.DUMMYFUNCTION("""COMPUTED_VALUE"""),"16.66000000")</f>
        <v>#NAME?</v>
      </c>
      <c r="D2515" s="100" t="e">
        <f t="shared" ca="1" si="420"/>
        <v>#NAME?</v>
      </c>
      <c r="E2515" s="100" t="e">
        <f t="shared" ca="1" si="420"/>
        <v>#NAME?</v>
      </c>
      <c r="F2515" s="100" t="e">
        <f t="shared" ca="1" si="415"/>
        <v>#NAME?</v>
      </c>
      <c r="G2515" s="100" t="e">
        <f t="shared" ca="1" si="416"/>
        <v>#NAME?</v>
      </c>
      <c r="H2515" s="100" t="e">
        <f t="shared" ca="1" si="417"/>
        <v>#NAME?</v>
      </c>
      <c r="I2515" s="100" t="e">
        <f t="shared" ca="1" si="418"/>
        <v>#NAME?</v>
      </c>
      <c r="J2515" s="100" t="e">
        <f ca="1">IFERROR(__xludf.DUMMYFUNCTION("""COMPUTED_VALUE"""),"-0.892")</f>
        <v>#NAME?</v>
      </c>
      <c r="K2515" s="100" t="e">
        <f t="shared" ca="1" si="419"/>
        <v>#NAME?</v>
      </c>
      <c r="L2515" s="100"/>
      <c r="M2515" s="100"/>
      <c r="N2515" s="100"/>
      <c r="O2515" s="100"/>
      <c r="P2515" s="100"/>
      <c r="Q2515" s="100"/>
      <c r="R2515" s="100"/>
      <c r="S2515" s="100"/>
      <c r="T2515" s="100"/>
      <c r="U2515" s="100"/>
      <c r="V2515" s="100"/>
      <c r="W2515" s="100"/>
      <c r="X2515" s="100"/>
      <c r="Y2515" s="100"/>
      <c r="Z2515" s="100"/>
    </row>
    <row r="2516" spans="1:26">
      <c r="A2516" s="100" t="e">
        <f ca="1">IFERROR(__xludf.DUMMYFUNCTION("""COMPUTED_VALUE"""),58785851)</f>
        <v>#NAME?</v>
      </c>
      <c r="B2516" s="100" t="e">
        <f ca="1">IFERROR(__xludf.DUMMYFUNCTION("""COMPUTED_VALUE"""),"AGIXFDUSD")</f>
        <v>#NAME?</v>
      </c>
      <c r="C2516" s="100" t="e">
        <f ca="1">IFERROR(__xludf.DUMMYFUNCTION("""COMPUTED_VALUE"""),"0.61880000")</f>
        <v>#NAME?</v>
      </c>
      <c r="D2516" s="100" t="e">
        <f t="shared" ca="1" si="420"/>
        <v>#NAME?</v>
      </c>
      <c r="E2516" s="100" t="e">
        <f t="shared" ca="1" si="420"/>
        <v>#NAME?</v>
      </c>
      <c r="F2516" s="100" t="e">
        <f t="shared" ca="1" si="415"/>
        <v>#NAME?</v>
      </c>
      <c r="G2516" s="100" t="e">
        <f t="shared" ca="1" si="416"/>
        <v>#NAME?</v>
      </c>
      <c r="H2516" s="100" t="e">
        <f t="shared" ca="1" si="417"/>
        <v>#NAME?</v>
      </c>
      <c r="I2516" s="100" t="e">
        <f t="shared" ca="1" si="418"/>
        <v>#NAME?</v>
      </c>
      <c r="J2516" s="100" t="e">
        <f ca="1">IFERROR(__xludf.DUMMYFUNCTION("""COMPUTED_VALUE"""),"0")</f>
        <v>#NAME?</v>
      </c>
      <c r="K2516" s="100" t="e">
        <f t="shared" ca="1" si="419"/>
        <v>#NAME?</v>
      </c>
      <c r="L2516" s="100"/>
      <c r="M2516" s="100"/>
      <c r="N2516" s="100"/>
      <c r="O2516" s="100"/>
      <c r="P2516" s="100"/>
      <c r="Q2516" s="100"/>
      <c r="R2516" s="100"/>
      <c r="S2516" s="100"/>
      <c r="T2516" s="100"/>
      <c r="U2516" s="100"/>
      <c r="V2516" s="100"/>
      <c r="W2516" s="100"/>
      <c r="X2516" s="100"/>
      <c r="Y2516" s="100"/>
      <c r="Z2516" s="100"/>
    </row>
    <row r="2517" spans="1:26">
      <c r="A2517" s="100" t="e">
        <f ca="1">IFERROR(__xludf.DUMMYFUNCTION("""COMPUTED_VALUE"""),58785852)</f>
        <v>#NAME?</v>
      </c>
      <c r="B2517" s="100" t="e">
        <f ca="1">IFERROR(__xludf.DUMMYFUNCTION("""COMPUTED_VALUE"""),"PEPEUSDC")</f>
        <v>#NAME?</v>
      </c>
      <c r="C2517" s="100" t="e">
        <f ca="1">IFERROR(__xludf.DUMMYFUNCTION("""COMPUTED_VALUE"""),"0.00000812")</f>
        <v>#NAME?</v>
      </c>
      <c r="D2517" s="100" t="e">
        <f t="shared" ca="1" si="420"/>
        <v>#NAME?</v>
      </c>
      <c r="E2517" s="100" t="e">
        <f t="shared" ca="1" si="420"/>
        <v>#NAME?</v>
      </c>
      <c r="F2517" s="100" t="e">
        <f t="shared" ca="1" si="415"/>
        <v>#NAME?</v>
      </c>
      <c r="G2517" s="100" t="e">
        <f t="shared" ca="1" si="416"/>
        <v>#NAME?</v>
      </c>
      <c r="H2517" s="100" t="e">
        <f t="shared" ca="1" si="417"/>
        <v>#NAME?</v>
      </c>
      <c r="I2517" s="100" t="e">
        <f t="shared" ca="1" si="418"/>
        <v>#NAME?</v>
      </c>
      <c r="J2517" s="100" t="e">
        <f ca="1">IFERROR(__xludf.DUMMYFUNCTION("""COMPUTED_VALUE"""),"3.571")</f>
        <v>#NAME?</v>
      </c>
      <c r="K2517" s="100" t="e">
        <f t="shared" ca="1" si="419"/>
        <v>#NAME?</v>
      </c>
      <c r="L2517" s="100"/>
      <c r="M2517" s="100"/>
      <c r="N2517" s="100"/>
      <c r="O2517" s="100"/>
      <c r="P2517" s="100"/>
      <c r="Q2517" s="100"/>
      <c r="R2517" s="100"/>
      <c r="S2517" s="100"/>
      <c r="T2517" s="100"/>
      <c r="U2517" s="100"/>
      <c r="V2517" s="100"/>
      <c r="W2517" s="100"/>
      <c r="X2517" s="100"/>
      <c r="Y2517" s="100"/>
      <c r="Z2517" s="100"/>
    </row>
    <row r="2518" spans="1:26">
      <c r="A2518" s="100" t="e">
        <f ca="1">IFERROR(__xludf.DUMMYFUNCTION("""COMPUTED_VALUE"""),58785853)</f>
        <v>#NAME?</v>
      </c>
      <c r="B2518" s="100" t="e">
        <f ca="1">IFERROR(__xludf.DUMMYFUNCTION("""COMPUTED_VALUE"""),"SHIBUSDC")</f>
        <v>#NAME?</v>
      </c>
      <c r="C2518" s="100" t="e">
        <f ca="1">IFERROR(__xludf.DUMMYFUNCTION("""COMPUTED_VALUE"""),"0.00001252")</f>
        <v>#NAME?</v>
      </c>
      <c r="D2518" s="100" t="e">
        <f t="shared" ca="1" si="420"/>
        <v>#NAME?</v>
      </c>
      <c r="E2518" s="100" t="e">
        <f t="shared" ca="1" si="420"/>
        <v>#NAME?</v>
      </c>
      <c r="F2518" s="100" t="e">
        <f t="shared" ca="1" si="415"/>
        <v>#NAME?</v>
      </c>
      <c r="G2518" s="100" t="e">
        <f t="shared" ca="1" si="416"/>
        <v>#NAME?</v>
      </c>
      <c r="H2518" s="100" t="e">
        <f t="shared" ca="1" si="417"/>
        <v>#NAME?</v>
      </c>
      <c r="I2518" s="100" t="e">
        <f t="shared" ca="1" si="418"/>
        <v>#NAME?</v>
      </c>
      <c r="J2518" s="100" t="e">
        <f ca="1">IFERROR(__xludf.DUMMYFUNCTION("""COMPUTED_VALUE"""),"-0.871")</f>
        <v>#NAME?</v>
      </c>
      <c r="K2518" s="100" t="e">
        <f t="shared" ca="1" si="419"/>
        <v>#NAME?</v>
      </c>
      <c r="L2518" s="100"/>
      <c r="M2518" s="100"/>
      <c r="N2518" s="100"/>
      <c r="O2518" s="100"/>
      <c r="P2518" s="100"/>
      <c r="Q2518" s="100"/>
      <c r="R2518" s="100"/>
      <c r="S2518" s="100"/>
      <c r="T2518" s="100"/>
      <c r="U2518" s="100"/>
      <c r="V2518" s="100"/>
      <c r="W2518" s="100"/>
      <c r="X2518" s="100"/>
      <c r="Y2518" s="100"/>
      <c r="Z2518" s="100"/>
    </row>
    <row r="2519" spans="1:26">
      <c r="A2519" s="100" t="e">
        <f ca="1">IFERROR(__xludf.DUMMYFUNCTION("""COMPUTED_VALUE"""),58785854)</f>
        <v>#NAME?</v>
      </c>
      <c r="B2519" s="100" t="e">
        <f ca="1">IFERROR(__xludf.DUMMYFUNCTION("""COMPUTED_VALUE"""),"THETAFDUSD")</f>
        <v>#NAME?</v>
      </c>
      <c r="C2519" s="100" t="e">
        <f ca="1">IFERROR(__xludf.DUMMYFUNCTION("""COMPUTED_VALUE"""),"0.61400000")</f>
        <v>#NAME?</v>
      </c>
      <c r="D2519" s="100" t="e">
        <f t="shared" ca="1" si="420"/>
        <v>#NAME?</v>
      </c>
      <c r="E2519" s="100" t="e">
        <f t="shared" ca="1" si="420"/>
        <v>#NAME?</v>
      </c>
      <c r="F2519" s="100" t="e">
        <f t="shared" ca="1" si="415"/>
        <v>#NAME?</v>
      </c>
      <c r="G2519" s="100" t="e">
        <f t="shared" ca="1" si="416"/>
        <v>#NAME?</v>
      </c>
      <c r="H2519" s="100" t="e">
        <f t="shared" ca="1" si="417"/>
        <v>#NAME?</v>
      </c>
      <c r="I2519" s="100" t="e">
        <f t="shared" ca="1" si="418"/>
        <v>#NAME?</v>
      </c>
      <c r="J2519" s="100" t="e">
        <f ca="1">IFERROR(__xludf.DUMMYFUNCTION("""COMPUTED_VALUE"""),"-7.808")</f>
        <v>#NAME?</v>
      </c>
      <c r="K2519" s="100" t="e">
        <f t="shared" ca="1" si="419"/>
        <v>#NAME?</v>
      </c>
      <c r="L2519" s="100"/>
      <c r="M2519" s="100"/>
      <c r="N2519" s="100"/>
      <c r="O2519" s="100"/>
      <c r="P2519" s="100"/>
      <c r="Q2519" s="100"/>
      <c r="R2519" s="100"/>
      <c r="S2519" s="100"/>
      <c r="T2519" s="100"/>
      <c r="U2519" s="100"/>
      <c r="V2519" s="100"/>
      <c r="W2519" s="100"/>
      <c r="X2519" s="100"/>
      <c r="Y2519" s="100"/>
      <c r="Z2519" s="100"/>
    </row>
    <row r="2520" spans="1:26">
      <c r="A2520" s="100" t="e">
        <f ca="1">IFERROR(__xludf.DUMMYFUNCTION("""COMPUTED_VALUE"""),58785855)</f>
        <v>#NAME?</v>
      </c>
      <c r="B2520" s="100" t="e">
        <f ca="1">IFERROR(__xludf.DUMMYFUNCTION("""COMPUTED_VALUE"""),"ARTRY")</f>
        <v>#NAME?</v>
      </c>
      <c r="C2520" s="100" t="e">
        <f ca="1">IFERROR(__xludf.DUMMYFUNCTION("""COMPUTED_VALUE"""),"211.80000000")</f>
        <v>#NAME?</v>
      </c>
      <c r="D2520" s="100" t="e">
        <f t="shared" ca="1" si="420"/>
        <v>#NAME?</v>
      </c>
      <c r="E2520" s="100" t="e">
        <f t="shared" ca="1" si="420"/>
        <v>#NAME?</v>
      </c>
      <c r="F2520" s="100" t="e">
        <f t="shared" ca="1" si="415"/>
        <v>#NAME?</v>
      </c>
      <c r="G2520" s="100" t="e">
        <f t="shared" ca="1" si="416"/>
        <v>#NAME?</v>
      </c>
      <c r="H2520" s="100" t="e">
        <f t="shared" ca="1" si="417"/>
        <v>#NAME?</v>
      </c>
      <c r="I2520" s="100" t="e">
        <f t="shared" ca="1" si="418"/>
        <v>#NAME?</v>
      </c>
      <c r="J2520" s="100" t="e">
        <f ca="1">IFERROR(__xludf.DUMMYFUNCTION("""COMPUTED_VALUE"""),"-1.763")</f>
        <v>#NAME?</v>
      </c>
      <c r="K2520" s="100" t="e">
        <f t="shared" ca="1" si="419"/>
        <v>#NAME?</v>
      </c>
      <c r="L2520" s="100"/>
      <c r="M2520" s="100"/>
      <c r="N2520" s="100"/>
      <c r="O2520" s="100"/>
      <c r="P2520" s="100"/>
      <c r="Q2520" s="100"/>
      <c r="R2520" s="100"/>
      <c r="S2520" s="100"/>
      <c r="T2520" s="100"/>
      <c r="U2520" s="100"/>
      <c r="V2520" s="100"/>
      <c r="W2520" s="100"/>
      <c r="X2520" s="100"/>
      <c r="Y2520" s="100"/>
      <c r="Z2520" s="100"/>
    </row>
    <row r="2521" spans="1:26">
      <c r="A2521" s="100" t="e">
        <f ca="1">IFERROR(__xludf.DUMMYFUNCTION("""COMPUTED_VALUE"""),58785856)</f>
        <v>#NAME?</v>
      </c>
      <c r="B2521" s="100" t="e">
        <f ca="1">IFERROR(__xludf.DUMMYFUNCTION("""COMPUTED_VALUE"""),"METISBTC")</f>
        <v>#NAME?</v>
      </c>
      <c r="C2521" s="100" t="e">
        <f ca="1">IFERROR(__xludf.DUMMYFUNCTION("""COMPUTED_VALUE"""),"0.00053900")</f>
        <v>#NAME?</v>
      </c>
      <c r="D2521" s="100" t="e">
        <f t="shared" ca="1" si="420"/>
        <v>#NAME?</v>
      </c>
      <c r="E2521" s="100" t="e">
        <f t="shared" ca="1" si="420"/>
        <v>#NAME?</v>
      </c>
      <c r="F2521" s="100" t="e">
        <f t="shared" ca="1" si="415"/>
        <v>#NAME?</v>
      </c>
      <c r="G2521" s="100" t="e">
        <f t="shared" ca="1" si="416"/>
        <v>#NAME?</v>
      </c>
      <c r="H2521" s="100" t="e">
        <f t="shared" ca="1" si="417"/>
        <v>#NAME?</v>
      </c>
      <c r="I2521" s="100" t="e">
        <f t="shared" ca="1" si="418"/>
        <v>#NAME?</v>
      </c>
      <c r="J2521" s="100" t="e">
        <f ca="1">IFERROR(__xludf.DUMMYFUNCTION("""COMPUTED_VALUE"""),"0")</f>
        <v>#NAME?</v>
      </c>
      <c r="K2521" s="100" t="e">
        <f t="shared" ca="1" si="419"/>
        <v>#NAME?</v>
      </c>
      <c r="L2521" s="100"/>
      <c r="M2521" s="100"/>
      <c r="N2521" s="100"/>
      <c r="O2521" s="100"/>
      <c r="P2521" s="100"/>
      <c r="Q2521" s="100"/>
      <c r="R2521" s="100"/>
      <c r="S2521" s="100"/>
      <c r="T2521" s="100"/>
      <c r="U2521" s="100"/>
      <c r="V2521" s="100"/>
      <c r="W2521" s="100"/>
      <c r="X2521" s="100"/>
      <c r="Y2521" s="100"/>
      <c r="Z2521" s="100"/>
    </row>
    <row r="2522" spans="1:26">
      <c r="A2522" s="100" t="e">
        <f ca="1">IFERROR(__xludf.DUMMYFUNCTION("""COMPUTED_VALUE"""),58785857)</f>
        <v>#NAME?</v>
      </c>
      <c r="B2522" s="100" t="e">
        <f ca="1">IFERROR(__xludf.DUMMYFUNCTION("""COMPUTED_VALUE"""),"METISUSDT")</f>
        <v>#NAME?</v>
      </c>
      <c r="C2522" s="100" t="e">
        <f ca="1">IFERROR(__xludf.DUMMYFUNCTION("""COMPUTED_VALUE"""),"14.27000000")</f>
        <v>#NAME?</v>
      </c>
      <c r="D2522" s="100" t="e">
        <f t="shared" ref="D2522:E2541" ca="1" si="421">IFERROR(__xludf.DUMMYFUNCTION("""COMPUTED_VALUE"""),"-")</f>
        <v>#NAME?</v>
      </c>
      <c r="E2522" s="100" t="e">
        <f t="shared" ca="1" si="421"/>
        <v>#NAME?</v>
      </c>
      <c r="F2522" s="100" t="e">
        <f t="shared" ca="1" si="415"/>
        <v>#NAME?</v>
      </c>
      <c r="G2522" s="100" t="e">
        <f t="shared" ca="1" si="416"/>
        <v>#NAME?</v>
      </c>
      <c r="H2522" s="100" t="e">
        <f t="shared" ca="1" si="417"/>
        <v>#NAME?</v>
      </c>
      <c r="I2522" s="100" t="e">
        <f t="shared" ca="1" si="418"/>
        <v>#NAME?</v>
      </c>
      <c r="J2522" s="100" t="e">
        <f ca="1">IFERROR(__xludf.DUMMYFUNCTION("""COMPUTED_VALUE"""),"-0.765")</f>
        <v>#NAME?</v>
      </c>
      <c r="K2522" s="100" t="e">
        <f t="shared" ca="1" si="419"/>
        <v>#NAME?</v>
      </c>
      <c r="L2522" s="100"/>
      <c r="M2522" s="100"/>
      <c r="N2522" s="100"/>
      <c r="O2522" s="100"/>
      <c r="P2522" s="100"/>
      <c r="Q2522" s="100"/>
      <c r="R2522" s="100"/>
      <c r="S2522" s="100"/>
      <c r="T2522" s="100"/>
      <c r="U2522" s="100"/>
      <c r="V2522" s="100"/>
      <c r="W2522" s="100"/>
      <c r="X2522" s="100"/>
      <c r="Y2522" s="100"/>
      <c r="Z2522" s="100"/>
    </row>
    <row r="2523" spans="1:26">
      <c r="A2523" s="100" t="e">
        <f ca="1">IFERROR(__xludf.DUMMYFUNCTION("""COMPUTED_VALUE"""),58785858)</f>
        <v>#NAME?</v>
      </c>
      <c r="B2523" s="100" t="e">
        <f ca="1">IFERROR(__xludf.DUMMYFUNCTION("""COMPUTED_VALUE"""),"METISFDUSD")</f>
        <v>#NAME?</v>
      </c>
      <c r="C2523" s="100" t="e">
        <f ca="1">IFERROR(__xludf.DUMMYFUNCTION("""COMPUTED_VALUE"""),"49.49000000")</f>
        <v>#NAME?</v>
      </c>
      <c r="D2523" s="100" t="e">
        <f t="shared" ca="1" si="421"/>
        <v>#NAME?</v>
      </c>
      <c r="E2523" s="100" t="e">
        <f t="shared" ca="1" si="421"/>
        <v>#NAME?</v>
      </c>
      <c r="F2523" s="100" t="e">
        <f t="shared" ca="1" si="415"/>
        <v>#NAME?</v>
      </c>
      <c r="G2523" s="100" t="e">
        <f t="shared" ca="1" si="416"/>
        <v>#NAME?</v>
      </c>
      <c r="H2523" s="100" t="e">
        <f t="shared" ca="1" si="417"/>
        <v>#NAME?</v>
      </c>
      <c r="I2523" s="100" t="e">
        <f t="shared" ca="1" si="418"/>
        <v>#NAME?</v>
      </c>
      <c r="J2523" s="100" t="e">
        <f ca="1">IFERROR(__xludf.DUMMYFUNCTION("""COMPUTED_VALUE"""),"0")</f>
        <v>#NAME?</v>
      </c>
      <c r="K2523" s="100" t="e">
        <f t="shared" ca="1" si="419"/>
        <v>#NAME?</v>
      </c>
      <c r="L2523" s="100"/>
      <c r="M2523" s="100"/>
      <c r="N2523" s="100"/>
      <c r="O2523" s="100"/>
      <c r="P2523" s="100"/>
      <c r="Q2523" s="100"/>
      <c r="R2523" s="100"/>
      <c r="S2523" s="100"/>
      <c r="T2523" s="100"/>
      <c r="U2523" s="100"/>
      <c r="V2523" s="100"/>
      <c r="W2523" s="100"/>
      <c r="X2523" s="100"/>
      <c r="Y2523" s="100"/>
      <c r="Z2523" s="100"/>
    </row>
    <row r="2524" spans="1:26">
      <c r="A2524" s="100" t="e">
        <f ca="1">IFERROR(__xludf.DUMMYFUNCTION("""COMPUTED_VALUE"""),58785859)</f>
        <v>#NAME?</v>
      </c>
      <c r="B2524" s="100" t="e">
        <f ca="1">IFERROR(__xludf.DUMMYFUNCTION("""COMPUTED_VALUE"""),"METISTRY")</f>
        <v>#NAME?</v>
      </c>
      <c r="C2524" s="100" t="e">
        <f ca="1">IFERROR(__xludf.DUMMYFUNCTION("""COMPUTED_VALUE"""),"545.00000000")</f>
        <v>#NAME?</v>
      </c>
      <c r="D2524" s="100" t="e">
        <f t="shared" ca="1" si="421"/>
        <v>#NAME?</v>
      </c>
      <c r="E2524" s="100" t="e">
        <f t="shared" ca="1" si="421"/>
        <v>#NAME?</v>
      </c>
      <c r="F2524" s="100" t="e">
        <f t="shared" ca="1" si="415"/>
        <v>#NAME?</v>
      </c>
      <c r="G2524" s="100" t="e">
        <f t="shared" ca="1" si="416"/>
        <v>#NAME?</v>
      </c>
      <c r="H2524" s="100" t="e">
        <f t="shared" ca="1" si="417"/>
        <v>#NAME?</v>
      </c>
      <c r="I2524" s="100" t="e">
        <f t="shared" ca="1" si="418"/>
        <v>#NAME?</v>
      </c>
      <c r="J2524" s="100" t="e">
        <f ca="1">IFERROR(__xludf.DUMMYFUNCTION("""COMPUTED_VALUE"""),"-0.547")</f>
        <v>#NAME?</v>
      </c>
      <c r="K2524" s="100" t="e">
        <f t="shared" ca="1" si="419"/>
        <v>#NAME?</v>
      </c>
      <c r="L2524" s="100"/>
      <c r="M2524" s="100"/>
      <c r="N2524" s="100"/>
      <c r="O2524" s="100"/>
      <c r="P2524" s="100"/>
      <c r="Q2524" s="100"/>
      <c r="R2524" s="100"/>
      <c r="S2524" s="100"/>
      <c r="T2524" s="100"/>
      <c r="U2524" s="100"/>
      <c r="V2524" s="100"/>
      <c r="W2524" s="100"/>
      <c r="X2524" s="100"/>
      <c r="Y2524" s="100"/>
      <c r="Z2524" s="100"/>
    </row>
    <row r="2525" spans="1:26">
      <c r="A2525" s="100" t="e">
        <f ca="1">IFERROR(__xludf.DUMMYFUNCTION("""COMPUTED_VALUE"""),58785860)</f>
        <v>#NAME?</v>
      </c>
      <c r="B2525" s="100" t="e">
        <f ca="1">IFERROR(__xludf.DUMMYFUNCTION("""COMPUTED_VALUE"""),"BNBJPY")</f>
        <v>#NAME?</v>
      </c>
      <c r="C2525" s="100" t="e">
        <f ca="1">IFERROR(__xludf.DUMMYFUNCTION("""COMPUTED_VALUE"""),"85320.00000000")</f>
        <v>#NAME?</v>
      </c>
      <c r="D2525" s="100" t="e">
        <f t="shared" ca="1" si="421"/>
        <v>#NAME?</v>
      </c>
      <c r="E2525" s="100" t="e">
        <f t="shared" ca="1" si="421"/>
        <v>#NAME?</v>
      </c>
      <c r="F2525" s="100" t="e">
        <f t="shared" ca="1" si="415"/>
        <v>#NAME?</v>
      </c>
      <c r="G2525" s="100" t="e">
        <f t="shared" ca="1" si="416"/>
        <v>#NAME?</v>
      </c>
      <c r="H2525" s="100" t="e">
        <f t="shared" ca="1" si="417"/>
        <v>#NAME?</v>
      </c>
      <c r="I2525" s="100" t="e">
        <f t="shared" ca="1" si="418"/>
        <v>#NAME?</v>
      </c>
      <c r="J2525" s="100" t="e">
        <f ca="1">IFERROR(__xludf.DUMMYFUNCTION("""COMPUTED_VALUE"""),"0.154")</f>
        <v>#NAME?</v>
      </c>
      <c r="K2525" s="100" t="e">
        <f t="shared" ca="1" si="419"/>
        <v>#NAME?</v>
      </c>
      <c r="L2525" s="100"/>
      <c r="M2525" s="100"/>
      <c r="N2525" s="100"/>
      <c r="O2525" s="100"/>
      <c r="P2525" s="100"/>
      <c r="Q2525" s="100"/>
      <c r="R2525" s="100"/>
      <c r="S2525" s="100"/>
      <c r="T2525" s="100"/>
      <c r="U2525" s="100"/>
      <c r="V2525" s="100"/>
      <c r="W2525" s="100"/>
      <c r="X2525" s="100"/>
      <c r="Y2525" s="100"/>
      <c r="Z2525" s="100"/>
    </row>
    <row r="2526" spans="1:26">
      <c r="A2526" s="100" t="e">
        <f ca="1">IFERROR(__xludf.DUMMYFUNCTION("""COMPUTED_VALUE"""),58785861)</f>
        <v>#NAME?</v>
      </c>
      <c r="B2526" s="100" t="e">
        <f ca="1">IFERROR(__xludf.DUMMYFUNCTION("""COMPUTED_VALUE"""),"BTCJPY")</f>
        <v>#NAME?</v>
      </c>
      <c r="C2526" s="100" t="e">
        <f ca="1">IFERROR(__xludf.DUMMYFUNCTION("""COMPUTED_VALUE"""),"12464756.00000000")</f>
        <v>#NAME?</v>
      </c>
      <c r="D2526" s="100" t="e">
        <f t="shared" ca="1" si="421"/>
        <v>#NAME?</v>
      </c>
      <c r="E2526" s="100" t="e">
        <f t="shared" ca="1" si="421"/>
        <v>#NAME?</v>
      </c>
      <c r="F2526" s="100" t="e">
        <f t="shared" ca="1" si="415"/>
        <v>#NAME?</v>
      </c>
      <c r="G2526" s="100" t="e">
        <f t="shared" ca="1" si="416"/>
        <v>#NAME?</v>
      </c>
      <c r="H2526" s="100" t="e">
        <f t="shared" ca="1" si="417"/>
        <v>#NAME?</v>
      </c>
      <c r="I2526" s="100" t="e">
        <f t="shared" ca="1" si="418"/>
        <v>#NAME?</v>
      </c>
      <c r="J2526" s="100" t="e">
        <f ca="1">IFERROR(__xludf.DUMMYFUNCTION("""COMPUTED_VALUE"""),"1.133")</f>
        <v>#NAME?</v>
      </c>
      <c r="K2526" s="100" t="e">
        <f t="shared" ca="1" si="419"/>
        <v>#NAME?</v>
      </c>
      <c r="L2526" s="100"/>
      <c r="M2526" s="100"/>
      <c r="N2526" s="100"/>
      <c r="O2526" s="100"/>
      <c r="P2526" s="100"/>
      <c r="Q2526" s="100"/>
      <c r="R2526" s="100"/>
      <c r="S2526" s="100"/>
      <c r="T2526" s="100"/>
      <c r="U2526" s="100"/>
      <c r="V2526" s="100"/>
      <c r="W2526" s="100"/>
      <c r="X2526" s="100"/>
      <c r="Y2526" s="100"/>
      <c r="Z2526" s="100"/>
    </row>
    <row r="2527" spans="1:26">
      <c r="A2527" s="100" t="e">
        <f ca="1">IFERROR(__xludf.DUMMYFUNCTION("""COMPUTED_VALUE"""),58785862)</f>
        <v>#NAME?</v>
      </c>
      <c r="B2527" s="100" t="e">
        <f ca="1">IFERROR(__xludf.DUMMYFUNCTION("""COMPUTED_VALUE"""),"ETHJPY")</f>
        <v>#NAME?</v>
      </c>
      <c r="C2527" s="100" t="e">
        <f ca="1">IFERROR(__xludf.DUMMYFUNCTION("""COMPUTED_VALUE"""),"228659.00000000")</f>
        <v>#NAME?</v>
      </c>
      <c r="D2527" s="100" t="e">
        <f t="shared" ca="1" si="421"/>
        <v>#NAME?</v>
      </c>
      <c r="E2527" s="100" t="e">
        <f t="shared" ca="1" si="421"/>
        <v>#NAME?</v>
      </c>
      <c r="F2527" s="100" t="e">
        <f t="shared" ca="1" si="415"/>
        <v>#NAME?</v>
      </c>
      <c r="G2527" s="100" t="e">
        <f t="shared" ca="1" si="416"/>
        <v>#NAME?</v>
      </c>
      <c r="H2527" s="100" t="e">
        <f t="shared" ca="1" si="417"/>
        <v>#NAME?</v>
      </c>
      <c r="I2527" s="100" t="e">
        <f t="shared" ca="1" si="418"/>
        <v>#NAME?</v>
      </c>
      <c r="J2527" s="100" t="e">
        <f ca="1">IFERROR(__xludf.DUMMYFUNCTION("""COMPUTED_VALUE"""),"-1.138")</f>
        <v>#NAME?</v>
      </c>
      <c r="K2527" s="100" t="e">
        <f t="shared" ca="1" si="419"/>
        <v>#NAME?</v>
      </c>
      <c r="L2527" s="100"/>
      <c r="M2527" s="100"/>
      <c r="N2527" s="100"/>
      <c r="O2527" s="100"/>
      <c r="P2527" s="100"/>
      <c r="Q2527" s="100"/>
      <c r="R2527" s="100"/>
      <c r="S2527" s="100"/>
      <c r="T2527" s="100"/>
      <c r="U2527" s="100"/>
      <c r="V2527" s="100"/>
      <c r="W2527" s="100"/>
      <c r="X2527" s="100"/>
      <c r="Y2527" s="100"/>
      <c r="Z2527" s="100"/>
    </row>
    <row r="2528" spans="1:26">
      <c r="A2528" s="100" t="e">
        <f ca="1">IFERROR(__xludf.DUMMYFUNCTION("""COMPUTED_VALUE"""),58785863)</f>
        <v>#NAME?</v>
      </c>
      <c r="B2528" s="100" t="e">
        <f ca="1">IFERROR(__xludf.DUMMYFUNCTION("""COMPUTED_VALUE"""),"FLOKIFDUSD")</f>
        <v>#NAME?</v>
      </c>
      <c r="C2528" s="100" t="e">
        <f ca="1">IFERROR(__xludf.DUMMYFUNCTION("""COMPUTED_VALUE"""),"0.00005895")</f>
        <v>#NAME?</v>
      </c>
      <c r="D2528" s="100" t="e">
        <f t="shared" ca="1" si="421"/>
        <v>#NAME?</v>
      </c>
      <c r="E2528" s="100" t="e">
        <f t="shared" ca="1" si="421"/>
        <v>#NAME?</v>
      </c>
      <c r="F2528" s="100" t="e">
        <f t="shared" ca="1" si="415"/>
        <v>#NAME?</v>
      </c>
      <c r="G2528" s="100" t="e">
        <f t="shared" ca="1" si="416"/>
        <v>#NAME?</v>
      </c>
      <c r="H2528" s="100" t="e">
        <f t="shared" ca="1" si="417"/>
        <v>#NAME?</v>
      </c>
      <c r="I2528" s="100" t="e">
        <f t="shared" ca="1" si="418"/>
        <v>#NAME?</v>
      </c>
      <c r="J2528" s="100" t="e">
        <f ca="1">IFERROR(__xludf.DUMMYFUNCTION("""COMPUTED_VALUE"""),"-0.724")</f>
        <v>#NAME?</v>
      </c>
      <c r="K2528" s="100" t="e">
        <f t="shared" ca="1" si="419"/>
        <v>#NAME?</v>
      </c>
      <c r="L2528" s="100"/>
      <c r="M2528" s="100"/>
      <c r="N2528" s="100"/>
      <c r="O2528" s="100"/>
      <c r="P2528" s="100"/>
      <c r="Q2528" s="100"/>
      <c r="R2528" s="100"/>
      <c r="S2528" s="100"/>
      <c r="T2528" s="100"/>
      <c r="U2528" s="100"/>
      <c r="V2528" s="100"/>
      <c r="W2528" s="100"/>
      <c r="X2528" s="100"/>
      <c r="Y2528" s="100"/>
      <c r="Z2528" s="100"/>
    </row>
    <row r="2529" spans="1:26">
      <c r="A2529" s="100" t="e">
        <f ca="1">IFERROR(__xludf.DUMMYFUNCTION("""COMPUTED_VALUE"""),58785864)</f>
        <v>#NAME?</v>
      </c>
      <c r="B2529" s="100" t="e">
        <f ca="1">IFERROR(__xludf.DUMMYFUNCTION("""COMPUTED_VALUE"""),"GRTFDUSD")</f>
        <v>#NAME?</v>
      </c>
      <c r="C2529" s="100" t="e">
        <f ca="1">IFERROR(__xludf.DUMMYFUNCTION("""COMPUTED_VALUE"""),"0.08410000")</f>
        <v>#NAME?</v>
      </c>
      <c r="D2529" s="100" t="e">
        <f t="shared" ca="1" si="421"/>
        <v>#NAME?</v>
      </c>
      <c r="E2529" s="100" t="e">
        <f t="shared" ca="1" si="421"/>
        <v>#NAME?</v>
      </c>
      <c r="F2529" s="100" t="e">
        <f t="shared" ca="1" si="415"/>
        <v>#NAME?</v>
      </c>
      <c r="G2529" s="100" t="e">
        <f t="shared" ca="1" si="416"/>
        <v>#NAME?</v>
      </c>
      <c r="H2529" s="100" t="e">
        <f t="shared" ca="1" si="417"/>
        <v>#NAME?</v>
      </c>
      <c r="I2529" s="100" t="e">
        <f t="shared" ca="1" si="418"/>
        <v>#NAME?</v>
      </c>
      <c r="J2529" s="100" t="e">
        <f ca="1">IFERROR(__xludf.DUMMYFUNCTION("""COMPUTED_VALUE"""),"-1.637")</f>
        <v>#NAME?</v>
      </c>
      <c r="K2529" s="100" t="e">
        <f t="shared" ca="1" si="419"/>
        <v>#NAME?</v>
      </c>
      <c r="L2529" s="100"/>
      <c r="M2529" s="100"/>
      <c r="N2529" s="100"/>
      <c r="O2529" s="100"/>
      <c r="P2529" s="100"/>
      <c r="Q2529" s="100"/>
      <c r="R2529" s="100"/>
      <c r="S2529" s="100"/>
      <c r="T2529" s="100"/>
      <c r="U2529" s="100"/>
      <c r="V2529" s="100"/>
      <c r="W2529" s="100"/>
      <c r="X2529" s="100"/>
      <c r="Y2529" s="100"/>
      <c r="Z2529" s="100"/>
    </row>
    <row r="2530" spans="1:26">
      <c r="A2530" s="100" t="e">
        <f ca="1">IFERROR(__xludf.DUMMYFUNCTION("""COMPUTED_VALUE"""),58785865)</f>
        <v>#NAME?</v>
      </c>
      <c r="B2530" s="100" t="e">
        <f ca="1">IFERROR(__xludf.DUMMYFUNCTION("""COMPUTED_VALUE"""),"NEARUSDC")</f>
        <v>#NAME?</v>
      </c>
      <c r="C2530" s="100" t="e">
        <f ca="1">IFERROR(__xludf.DUMMYFUNCTION("""COMPUTED_VALUE"""),"2.19000000")</f>
        <v>#NAME?</v>
      </c>
      <c r="D2530" s="100" t="e">
        <f t="shared" ca="1" si="421"/>
        <v>#NAME?</v>
      </c>
      <c r="E2530" s="100" t="e">
        <f t="shared" ca="1" si="421"/>
        <v>#NAME?</v>
      </c>
      <c r="F2530" s="100" t="e">
        <f t="shared" ca="1" si="415"/>
        <v>#NAME?</v>
      </c>
      <c r="G2530" s="100" t="e">
        <f t="shared" ca="1" si="416"/>
        <v>#NAME?</v>
      </c>
      <c r="H2530" s="100" t="e">
        <f t="shared" ca="1" si="417"/>
        <v>#NAME?</v>
      </c>
      <c r="I2530" s="100" t="e">
        <f t="shared" ca="1" si="418"/>
        <v>#NAME?</v>
      </c>
      <c r="J2530" s="100" t="e">
        <f ca="1">IFERROR(__xludf.DUMMYFUNCTION("""COMPUTED_VALUE"""),"-5.318")</f>
        <v>#NAME?</v>
      </c>
      <c r="K2530" s="100" t="e">
        <f t="shared" ca="1" si="419"/>
        <v>#NAME?</v>
      </c>
      <c r="L2530" s="100"/>
      <c r="M2530" s="100"/>
      <c r="N2530" s="100"/>
      <c r="O2530" s="100"/>
      <c r="P2530" s="100"/>
      <c r="Q2530" s="100"/>
      <c r="R2530" s="100"/>
      <c r="S2530" s="100"/>
      <c r="T2530" s="100"/>
      <c r="U2530" s="100"/>
      <c r="V2530" s="100"/>
      <c r="W2530" s="100"/>
      <c r="X2530" s="100"/>
      <c r="Y2530" s="100"/>
      <c r="Z2530" s="100"/>
    </row>
    <row r="2531" spans="1:26">
      <c r="A2531" s="100" t="e">
        <f ca="1">IFERROR(__xludf.DUMMYFUNCTION("""COMPUTED_VALUE"""),58785866)</f>
        <v>#NAME?</v>
      </c>
      <c r="B2531" s="100" t="e">
        <f ca="1">IFERROR(__xludf.DUMMYFUNCTION("""COMPUTED_VALUE"""),"SNXTRY")</f>
        <v>#NAME?</v>
      </c>
      <c r="C2531" s="100" t="e">
        <f ca="1">IFERROR(__xludf.DUMMYFUNCTION("""COMPUTED_VALUE"""),"25.50000000")</f>
        <v>#NAME?</v>
      </c>
      <c r="D2531" s="100" t="e">
        <f t="shared" ca="1" si="421"/>
        <v>#NAME?</v>
      </c>
      <c r="E2531" s="100" t="e">
        <f t="shared" ca="1" si="421"/>
        <v>#NAME?</v>
      </c>
      <c r="F2531" s="100" t="e">
        <f t="shared" ca="1" si="415"/>
        <v>#NAME?</v>
      </c>
      <c r="G2531" s="100" t="e">
        <f t="shared" ca="1" si="416"/>
        <v>#NAME?</v>
      </c>
      <c r="H2531" s="100" t="e">
        <f t="shared" ca="1" si="417"/>
        <v>#NAME?</v>
      </c>
      <c r="I2531" s="100" t="e">
        <f t="shared" ca="1" si="418"/>
        <v>#NAME?</v>
      </c>
      <c r="J2531" s="100" t="e">
        <f ca="1">IFERROR(__xludf.DUMMYFUNCTION("""COMPUTED_VALUE"""),"-1.163")</f>
        <v>#NAME?</v>
      </c>
      <c r="K2531" s="100" t="e">
        <f t="shared" ca="1" si="419"/>
        <v>#NAME?</v>
      </c>
      <c r="L2531" s="100"/>
      <c r="M2531" s="100"/>
      <c r="N2531" s="100"/>
      <c r="O2531" s="100"/>
      <c r="P2531" s="100"/>
      <c r="Q2531" s="100"/>
      <c r="R2531" s="100"/>
      <c r="S2531" s="100"/>
      <c r="T2531" s="100"/>
      <c r="U2531" s="100"/>
      <c r="V2531" s="100"/>
      <c r="W2531" s="100"/>
      <c r="X2531" s="100"/>
      <c r="Y2531" s="100"/>
      <c r="Z2531" s="100"/>
    </row>
    <row r="2532" spans="1:26">
      <c r="A2532" s="100" t="e">
        <f ca="1">IFERROR(__xludf.DUMMYFUNCTION("""COMPUTED_VALUE"""),58785867)</f>
        <v>#NAME?</v>
      </c>
      <c r="B2532" s="100" t="e">
        <f ca="1">IFERROR(__xludf.DUMMYFUNCTION("""COMPUTED_VALUE"""),"AEVOBTC")</f>
        <v>#NAME?</v>
      </c>
      <c r="C2532" s="100" t="e">
        <f ca="1">IFERROR(__xludf.DUMMYFUNCTION("""COMPUTED_VALUE"""),"0.00000110")</f>
        <v>#NAME?</v>
      </c>
      <c r="D2532" s="100" t="e">
        <f t="shared" ca="1" si="421"/>
        <v>#NAME?</v>
      </c>
      <c r="E2532" s="100" t="e">
        <f t="shared" ca="1" si="421"/>
        <v>#NAME?</v>
      </c>
      <c r="F2532" s="100" t="e">
        <f t="shared" ca="1" si="415"/>
        <v>#NAME?</v>
      </c>
      <c r="G2532" s="100" t="e">
        <f t="shared" ca="1" si="416"/>
        <v>#NAME?</v>
      </c>
      <c r="H2532" s="100" t="e">
        <f t="shared" ca="1" si="417"/>
        <v>#NAME?</v>
      </c>
      <c r="I2532" s="100" t="e">
        <f t="shared" ca="1" si="418"/>
        <v>#NAME?</v>
      </c>
      <c r="J2532" s="100" t="e">
        <f ca="1">IFERROR(__xludf.DUMMYFUNCTION("""COMPUTED_VALUE"""),"-2.655")</f>
        <v>#NAME?</v>
      </c>
      <c r="K2532" s="100" t="e">
        <f t="shared" ca="1" si="419"/>
        <v>#NAME?</v>
      </c>
      <c r="L2532" s="100"/>
      <c r="M2532" s="100"/>
      <c r="N2532" s="100"/>
      <c r="O2532" s="100"/>
      <c r="P2532" s="100"/>
      <c r="Q2532" s="100"/>
      <c r="R2532" s="100"/>
      <c r="S2532" s="100"/>
      <c r="T2532" s="100"/>
      <c r="U2532" s="100"/>
      <c r="V2532" s="100"/>
      <c r="W2532" s="100"/>
      <c r="X2532" s="100"/>
      <c r="Y2532" s="100"/>
      <c r="Z2532" s="100"/>
    </row>
    <row r="2533" spans="1:26">
      <c r="A2533" s="100" t="e">
        <f ca="1">IFERROR(__xludf.DUMMYFUNCTION("""COMPUTED_VALUE"""),58785868)</f>
        <v>#NAME?</v>
      </c>
      <c r="B2533" s="100" t="e">
        <f ca="1">IFERROR(__xludf.DUMMYFUNCTION("""COMPUTED_VALUE"""),"AEVOUSDT")</f>
        <v>#NAME?</v>
      </c>
      <c r="C2533" s="100" t="e">
        <f ca="1">IFERROR(__xludf.DUMMYFUNCTION("""COMPUTED_VALUE"""),"0.09770000")</f>
        <v>#NAME?</v>
      </c>
      <c r="D2533" s="100" t="e">
        <f t="shared" ca="1" si="421"/>
        <v>#NAME?</v>
      </c>
      <c r="E2533" s="100" t="e">
        <f t="shared" ca="1" si="421"/>
        <v>#NAME?</v>
      </c>
      <c r="F2533" s="100" t="e">
        <f t="shared" ca="1" si="415"/>
        <v>#NAME?</v>
      </c>
      <c r="G2533" s="100" t="e">
        <f t="shared" ca="1" si="416"/>
        <v>#NAME?</v>
      </c>
      <c r="H2533" s="100" t="e">
        <f t="shared" ca="1" si="417"/>
        <v>#NAME?</v>
      </c>
      <c r="I2533" s="100" t="e">
        <f t="shared" ca="1" si="418"/>
        <v>#NAME?</v>
      </c>
      <c r="J2533" s="100" t="e">
        <f ca="1">IFERROR(__xludf.DUMMYFUNCTION("""COMPUTED_VALUE"""),"-0.711")</f>
        <v>#NAME?</v>
      </c>
      <c r="K2533" s="100" t="e">
        <f t="shared" ca="1" si="419"/>
        <v>#NAME?</v>
      </c>
      <c r="L2533" s="100"/>
      <c r="M2533" s="100"/>
      <c r="N2533" s="100"/>
      <c r="O2533" s="100"/>
      <c r="P2533" s="100"/>
      <c r="Q2533" s="100"/>
      <c r="R2533" s="100"/>
      <c r="S2533" s="100"/>
      <c r="T2533" s="100"/>
      <c r="U2533" s="100"/>
      <c r="V2533" s="100"/>
      <c r="W2533" s="100"/>
      <c r="X2533" s="100"/>
      <c r="Y2533" s="100"/>
      <c r="Z2533" s="100"/>
    </row>
    <row r="2534" spans="1:26">
      <c r="A2534" s="100" t="e">
        <f ca="1">IFERROR(__xludf.DUMMYFUNCTION("""COMPUTED_VALUE"""),58785869)</f>
        <v>#NAME?</v>
      </c>
      <c r="B2534" s="100" t="e">
        <f ca="1">IFERROR(__xludf.DUMMYFUNCTION("""COMPUTED_VALUE"""),"AEVOBNB")</f>
        <v>#NAME?</v>
      </c>
      <c r="C2534" s="100" t="e">
        <f ca="1">IFERROR(__xludf.DUMMYFUNCTION("""COMPUTED_VALUE"""),"0.00077700")</f>
        <v>#NAME?</v>
      </c>
      <c r="D2534" s="100" t="e">
        <f t="shared" ca="1" si="421"/>
        <v>#NAME?</v>
      </c>
      <c r="E2534" s="100" t="e">
        <f t="shared" ca="1" si="421"/>
        <v>#NAME?</v>
      </c>
      <c r="F2534" s="100" t="e">
        <f t="shared" ca="1" si="415"/>
        <v>#NAME?</v>
      </c>
      <c r="G2534" s="100" t="e">
        <f t="shared" ca="1" si="416"/>
        <v>#NAME?</v>
      </c>
      <c r="H2534" s="100" t="e">
        <f t="shared" ca="1" si="417"/>
        <v>#NAME?</v>
      </c>
      <c r="I2534" s="100" t="e">
        <f t="shared" ca="1" si="418"/>
        <v>#NAME?</v>
      </c>
      <c r="J2534" s="100" t="e">
        <f ca="1">IFERROR(__xludf.DUMMYFUNCTION("""COMPUTED_VALUE"""),"0")</f>
        <v>#NAME?</v>
      </c>
      <c r="K2534" s="100" t="e">
        <f t="shared" ca="1" si="419"/>
        <v>#NAME?</v>
      </c>
      <c r="L2534" s="100"/>
      <c r="M2534" s="100"/>
      <c r="N2534" s="100"/>
      <c r="O2534" s="100"/>
      <c r="P2534" s="100"/>
      <c r="Q2534" s="100"/>
      <c r="R2534" s="100"/>
      <c r="S2534" s="100"/>
      <c r="T2534" s="100"/>
      <c r="U2534" s="100"/>
      <c r="V2534" s="100"/>
      <c r="W2534" s="100"/>
      <c r="X2534" s="100"/>
      <c r="Y2534" s="100"/>
      <c r="Z2534" s="100"/>
    </row>
    <row r="2535" spans="1:26">
      <c r="A2535" s="100" t="e">
        <f ca="1">IFERROR(__xludf.DUMMYFUNCTION("""COMPUTED_VALUE"""),58785870)</f>
        <v>#NAME?</v>
      </c>
      <c r="B2535" s="100" t="e">
        <f ca="1">IFERROR(__xludf.DUMMYFUNCTION("""COMPUTED_VALUE"""),"AEVOFDUSD")</f>
        <v>#NAME?</v>
      </c>
      <c r="C2535" s="100" t="e">
        <f ca="1">IFERROR(__xludf.DUMMYFUNCTION("""COMPUTED_VALUE"""),"0.09780000")</f>
        <v>#NAME?</v>
      </c>
      <c r="D2535" s="100" t="e">
        <f t="shared" ca="1" si="421"/>
        <v>#NAME?</v>
      </c>
      <c r="E2535" s="100" t="e">
        <f t="shared" ca="1" si="421"/>
        <v>#NAME?</v>
      </c>
      <c r="F2535" s="100" t="e">
        <f t="shared" ca="1" si="415"/>
        <v>#NAME?</v>
      </c>
      <c r="G2535" s="100" t="e">
        <f t="shared" ca="1" si="416"/>
        <v>#NAME?</v>
      </c>
      <c r="H2535" s="100" t="e">
        <f t="shared" ca="1" si="417"/>
        <v>#NAME?</v>
      </c>
      <c r="I2535" s="100" t="e">
        <f t="shared" ca="1" si="418"/>
        <v>#NAME?</v>
      </c>
      <c r="J2535" s="100" t="e">
        <f ca="1">IFERROR(__xludf.DUMMYFUNCTION("""COMPUTED_VALUE"""),"-0.912")</f>
        <v>#NAME?</v>
      </c>
      <c r="K2535" s="100" t="e">
        <f t="shared" ca="1" si="419"/>
        <v>#NAME?</v>
      </c>
      <c r="L2535" s="100"/>
      <c r="M2535" s="100"/>
      <c r="N2535" s="100"/>
      <c r="O2535" s="100"/>
      <c r="P2535" s="100"/>
      <c r="Q2535" s="100"/>
      <c r="R2535" s="100"/>
      <c r="S2535" s="100"/>
      <c r="T2535" s="100"/>
      <c r="U2535" s="100"/>
      <c r="V2535" s="100"/>
      <c r="W2535" s="100"/>
      <c r="X2535" s="100"/>
      <c r="Y2535" s="100"/>
      <c r="Z2535" s="100"/>
    </row>
    <row r="2536" spans="1:26">
      <c r="A2536" s="100" t="e">
        <f ca="1">IFERROR(__xludf.DUMMYFUNCTION("""COMPUTED_VALUE"""),58785871)</f>
        <v>#NAME?</v>
      </c>
      <c r="B2536" s="100" t="e">
        <f ca="1">IFERROR(__xludf.DUMMYFUNCTION("""COMPUTED_VALUE"""),"AEVOTRY")</f>
        <v>#NAME?</v>
      </c>
      <c r="C2536" s="100" t="e">
        <f ca="1">IFERROR(__xludf.DUMMYFUNCTION("""COMPUTED_VALUE"""),"3.74000000")</f>
        <v>#NAME?</v>
      </c>
      <c r="D2536" s="100" t="e">
        <f t="shared" ca="1" si="421"/>
        <v>#NAME?</v>
      </c>
      <c r="E2536" s="100" t="e">
        <f t="shared" ca="1" si="421"/>
        <v>#NAME?</v>
      </c>
      <c r="F2536" s="100" t="e">
        <f t="shared" ca="1" si="415"/>
        <v>#NAME?</v>
      </c>
      <c r="G2536" s="100" t="e">
        <f t="shared" ca="1" si="416"/>
        <v>#NAME?</v>
      </c>
      <c r="H2536" s="100" t="e">
        <f t="shared" ca="1" si="417"/>
        <v>#NAME?</v>
      </c>
      <c r="I2536" s="100" t="e">
        <f t="shared" ca="1" si="418"/>
        <v>#NAME?</v>
      </c>
      <c r="J2536" s="100" t="e">
        <f ca="1">IFERROR(__xludf.DUMMYFUNCTION("""COMPUTED_VALUE"""),"-0.532")</f>
        <v>#NAME?</v>
      </c>
      <c r="K2536" s="100" t="e">
        <f t="shared" ca="1" si="419"/>
        <v>#NAME?</v>
      </c>
      <c r="L2536" s="100"/>
      <c r="M2536" s="100"/>
      <c r="N2536" s="100"/>
      <c r="O2536" s="100"/>
      <c r="P2536" s="100"/>
      <c r="Q2536" s="100"/>
      <c r="R2536" s="100"/>
      <c r="S2536" s="100"/>
      <c r="T2536" s="100"/>
      <c r="U2536" s="100"/>
      <c r="V2536" s="100"/>
      <c r="W2536" s="100"/>
      <c r="X2536" s="100"/>
      <c r="Y2536" s="100"/>
      <c r="Z2536" s="100"/>
    </row>
    <row r="2537" spans="1:26">
      <c r="A2537" s="100" t="e">
        <f ca="1">IFERROR(__xludf.DUMMYFUNCTION("""COMPUTED_VALUE"""),58785872)</f>
        <v>#NAME?</v>
      </c>
      <c r="B2537" s="100" t="e">
        <f ca="1">IFERROR(__xludf.DUMMYFUNCTION("""COMPUTED_VALUE"""),"FETUSDC")</f>
        <v>#NAME?</v>
      </c>
      <c r="C2537" s="100" t="e">
        <f ca="1">IFERROR(__xludf.DUMMYFUNCTION("""COMPUTED_VALUE"""),"0.59200000")</f>
        <v>#NAME?</v>
      </c>
      <c r="D2537" s="100" t="e">
        <f t="shared" ca="1" si="421"/>
        <v>#NAME?</v>
      </c>
      <c r="E2537" s="100" t="e">
        <f t="shared" ca="1" si="421"/>
        <v>#NAME?</v>
      </c>
      <c r="F2537" s="100" t="e">
        <f t="shared" ca="1" si="415"/>
        <v>#NAME?</v>
      </c>
      <c r="G2537" s="100" t="e">
        <f t="shared" ca="1" si="416"/>
        <v>#NAME?</v>
      </c>
      <c r="H2537" s="100" t="e">
        <f t="shared" ca="1" si="417"/>
        <v>#NAME?</v>
      </c>
      <c r="I2537" s="100" t="e">
        <f t="shared" ca="1" si="418"/>
        <v>#NAME?</v>
      </c>
      <c r="J2537" s="100" t="e">
        <f ca="1">IFERROR(__xludf.DUMMYFUNCTION("""COMPUTED_VALUE"""),"-4.362")</f>
        <v>#NAME?</v>
      </c>
      <c r="K2537" s="100" t="e">
        <f t="shared" ca="1" si="419"/>
        <v>#NAME?</v>
      </c>
      <c r="L2537" s="100"/>
      <c r="M2537" s="100"/>
      <c r="N2537" s="100"/>
      <c r="O2537" s="100"/>
      <c r="P2537" s="100"/>
      <c r="Q2537" s="100"/>
      <c r="R2537" s="100"/>
      <c r="S2537" s="100"/>
      <c r="T2537" s="100"/>
      <c r="U2537" s="100"/>
      <c r="V2537" s="100"/>
      <c r="W2537" s="100"/>
      <c r="X2537" s="100"/>
      <c r="Y2537" s="100"/>
      <c r="Z2537" s="100"/>
    </row>
    <row r="2538" spans="1:26">
      <c r="A2538" s="100" t="e">
        <f ca="1">IFERROR(__xludf.DUMMYFUNCTION("""COMPUTED_VALUE"""),58785873)</f>
        <v>#NAME?</v>
      </c>
      <c r="B2538" s="100" t="e">
        <f ca="1">IFERROR(__xludf.DUMMYFUNCTION("""COMPUTED_VALUE"""),"IMXTRY")</f>
        <v>#NAME?</v>
      </c>
      <c r="C2538" s="100" t="e">
        <f ca="1">IFERROR(__xludf.DUMMYFUNCTION("""COMPUTED_VALUE"""),"38.57000000")</f>
        <v>#NAME?</v>
      </c>
      <c r="D2538" s="100" t="e">
        <f t="shared" ca="1" si="421"/>
        <v>#NAME?</v>
      </c>
      <c r="E2538" s="100" t="e">
        <f t="shared" ca="1" si="421"/>
        <v>#NAME?</v>
      </c>
      <c r="F2538" s="100" t="e">
        <f t="shared" ca="1" si="415"/>
        <v>#NAME?</v>
      </c>
      <c r="G2538" s="100" t="e">
        <f t="shared" ca="1" si="416"/>
        <v>#NAME?</v>
      </c>
      <c r="H2538" s="100" t="e">
        <f t="shared" ca="1" si="417"/>
        <v>#NAME?</v>
      </c>
      <c r="I2538" s="100" t="e">
        <f t="shared" ca="1" si="418"/>
        <v>#NAME?</v>
      </c>
      <c r="J2538" s="100" t="e">
        <f ca="1">IFERROR(__xludf.DUMMYFUNCTION("""COMPUTED_VALUE"""),"0")</f>
        <v>#NAME?</v>
      </c>
      <c r="K2538" s="100" t="e">
        <f t="shared" ca="1" si="419"/>
        <v>#NAME?</v>
      </c>
      <c r="L2538" s="100"/>
      <c r="M2538" s="100"/>
      <c r="N2538" s="100"/>
      <c r="O2538" s="100"/>
      <c r="P2538" s="100"/>
      <c r="Q2538" s="100"/>
      <c r="R2538" s="100"/>
      <c r="S2538" s="100"/>
      <c r="T2538" s="100"/>
      <c r="U2538" s="100"/>
      <c r="V2538" s="100"/>
      <c r="W2538" s="100"/>
      <c r="X2538" s="100"/>
      <c r="Y2538" s="100"/>
      <c r="Z2538" s="100"/>
    </row>
    <row r="2539" spans="1:26">
      <c r="A2539" s="100" t="e">
        <f ca="1">IFERROR(__xludf.DUMMYFUNCTION("""COMPUTED_VALUE"""),58785874)</f>
        <v>#NAME?</v>
      </c>
      <c r="B2539" s="100" t="e">
        <f ca="1">IFERROR(__xludf.DUMMYFUNCTION("""COMPUTED_VALUE"""),"EURUSDC")</f>
        <v>#NAME?</v>
      </c>
      <c r="C2539" s="100" t="e">
        <f ca="1">IFERROR(__xludf.DUMMYFUNCTION("""COMPUTED_VALUE"""),"1.14890000")</f>
        <v>#NAME?</v>
      </c>
      <c r="D2539" s="100" t="e">
        <f t="shared" ca="1" si="421"/>
        <v>#NAME?</v>
      </c>
      <c r="E2539" s="100" t="e">
        <f t="shared" ca="1" si="421"/>
        <v>#NAME?</v>
      </c>
      <c r="F2539" s="100" t="e">
        <f t="shared" ca="1" si="415"/>
        <v>#NAME?</v>
      </c>
      <c r="G2539" s="100" t="e">
        <f t="shared" ca="1" si="416"/>
        <v>#NAME?</v>
      </c>
      <c r="H2539" s="100" t="e">
        <f t="shared" ca="1" si="417"/>
        <v>#NAME?</v>
      </c>
      <c r="I2539" s="100" t="e">
        <f t="shared" ca="1" si="418"/>
        <v>#NAME?</v>
      </c>
      <c r="J2539" s="100" t="e">
        <f ca="1">IFERROR(__xludf.DUMMYFUNCTION("""COMPUTED_VALUE"""),"-0.485")</f>
        <v>#NAME?</v>
      </c>
      <c r="K2539" s="100" t="e">
        <f t="shared" ca="1" si="419"/>
        <v>#NAME?</v>
      </c>
      <c r="L2539" s="100"/>
      <c r="M2539" s="100"/>
      <c r="N2539" s="100"/>
      <c r="O2539" s="100"/>
      <c r="P2539" s="100"/>
      <c r="Q2539" s="100"/>
      <c r="R2539" s="100"/>
      <c r="S2539" s="100"/>
      <c r="T2539" s="100"/>
      <c r="U2539" s="100"/>
      <c r="V2539" s="100"/>
      <c r="W2539" s="100"/>
      <c r="X2539" s="100"/>
      <c r="Y2539" s="100"/>
      <c r="Z2539" s="100"/>
    </row>
    <row r="2540" spans="1:26">
      <c r="A2540" s="100" t="e">
        <f ca="1">IFERROR(__xludf.DUMMYFUNCTION("""COMPUTED_VALUE"""),58785875)</f>
        <v>#NAME?</v>
      </c>
      <c r="B2540" s="100" t="e">
        <f ca="1">IFERROR(__xludf.DUMMYFUNCTION("""COMPUTED_VALUE"""),"BOMETRY")</f>
        <v>#NAME?</v>
      </c>
      <c r="C2540" s="100" t="e">
        <f ca="1">IFERROR(__xludf.DUMMYFUNCTION("""COMPUTED_VALUE"""),"0.04900000")</f>
        <v>#NAME?</v>
      </c>
      <c r="D2540" s="100" t="e">
        <f t="shared" ca="1" si="421"/>
        <v>#NAME?</v>
      </c>
      <c r="E2540" s="100" t="e">
        <f t="shared" ca="1" si="421"/>
        <v>#NAME?</v>
      </c>
      <c r="F2540" s="100" t="e">
        <f t="shared" ca="1" si="415"/>
        <v>#NAME?</v>
      </c>
      <c r="G2540" s="100" t="e">
        <f t="shared" ca="1" si="416"/>
        <v>#NAME?</v>
      </c>
      <c r="H2540" s="100" t="e">
        <f t="shared" ca="1" si="417"/>
        <v>#NAME?</v>
      </c>
      <c r="I2540" s="100" t="e">
        <f t="shared" ca="1" si="418"/>
        <v>#NAME?</v>
      </c>
      <c r="J2540" s="100" t="e">
        <f ca="1">IFERROR(__xludf.DUMMYFUNCTION("""COMPUTED_VALUE"""),"0.000")</f>
        <v>#NAME?</v>
      </c>
      <c r="K2540" s="100" t="e">
        <f t="shared" ca="1" si="419"/>
        <v>#NAME?</v>
      </c>
      <c r="L2540" s="100"/>
      <c r="M2540" s="100"/>
      <c r="N2540" s="100"/>
      <c r="O2540" s="100"/>
      <c r="P2540" s="100"/>
      <c r="Q2540" s="100"/>
      <c r="R2540" s="100"/>
      <c r="S2540" s="100"/>
      <c r="T2540" s="100"/>
      <c r="U2540" s="100"/>
      <c r="V2540" s="100"/>
      <c r="W2540" s="100"/>
      <c r="X2540" s="100"/>
      <c r="Y2540" s="100"/>
      <c r="Z2540" s="100"/>
    </row>
    <row r="2541" spans="1:26">
      <c r="A2541" s="100" t="e">
        <f ca="1">IFERROR(__xludf.DUMMYFUNCTION("""COMPUTED_VALUE"""),58785876)</f>
        <v>#NAME?</v>
      </c>
      <c r="B2541" s="100" t="e">
        <f ca="1">IFERROR(__xludf.DUMMYFUNCTION("""COMPUTED_VALUE"""),"BOMEBTC")</f>
        <v>#NAME?</v>
      </c>
      <c r="C2541" s="100" t="e">
        <f ca="1">IFERROR(__xludf.DUMMYFUNCTION("""COMPUTED_VALUE"""),"0.00000006")</f>
        <v>#NAME?</v>
      </c>
      <c r="D2541" s="100" t="e">
        <f t="shared" ca="1" si="421"/>
        <v>#NAME?</v>
      </c>
      <c r="E2541" s="100" t="e">
        <f t="shared" ca="1" si="421"/>
        <v>#NAME?</v>
      </c>
      <c r="F2541" s="100" t="e">
        <f t="shared" ca="1" si="415"/>
        <v>#NAME?</v>
      </c>
      <c r="G2541" s="100" t="e">
        <f t="shared" ca="1" si="416"/>
        <v>#NAME?</v>
      </c>
      <c r="H2541" s="100" t="e">
        <f t="shared" ca="1" si="417"/>
        <v>#NAME?</v>
      </c>
      <c r="I2541" s="100" t="e">
        <f t="shared" ca="1" si="418"/>
        <v>#NAME?</v>
      </c>
      <c r="J2541" s="100" t="e">
        <f ca="1">IFERROR(__xludf.DUMMYFUNCTION("""COMPUTED_VALUE"""),"0")</f>
        <v>#NAME?</v>
      </c>
      <c r="K2541" s="100" t="e">
        <f t="shared" ca="1" si="419"/>
        <v>#NAME?</v>
      </c>
      <c r="L2541" s="100"/>
      <c r="M2541" s="100"/>
      <c r="N2541" s="100"/>
      <c r="O2541" s="100"/>
      <c r="P2541" s="100"/>
      <c r="Q2541" s="100"/>
      <c r="R2541" s="100"/>
      <c r="S2541" s="100"/>
      <c r="T2541" s="100"/>
      <c r="U2541" s="100"/>
      <c r="V2541" s="100"/>
      <c r="W2541" s="100"/>
      <c r="X2541" s="100"/>
      <c r="Y2541" s="100"/>
      <c r="Z2541" s="100"/>
    </row>
    <row r="2542" spans="1:26">
      <c r="A2542" s="100" t="e">
        <f ca="1">IFERROR(__xludf.DUMMYFUNCTION("""COMPUTED_VALUE"""),58785877)</f>
        <v>#NAME?</v>
      </c>
      <c r="B2542" s="100" t="e">
        <f ca="1">IFERROR(__xludf.DUMMYFUNCTION("""COMPUTED_VALUE"""),"BOMEUSDT")</f>
        <v>#NAME?</v>
      </c>
      <c r="C2542" s="100" t="e">
        <f ca="1">IFERROR(__xludf.DUMMYFUNCTION("""COMPUTED_VALUE"""),"0.00128300")</f>
        <v>#NAME?</v>
      </c>
      <c r="D2542" s="100" t="e">
        <f t="shared" ref="D2542:E2561" ca="1" si="422">IFERROR(__xludf.DUMMYFUNCTION("""COMPUTED_VALUE"""),"-")</f>
        <v>#NAME?</v>
      </c>
      <c r="E2542" s="100" t="e">
        <f t="shared" ca="1" si="422"/>
        <v>#NAME?</v>
      </c>
      <c r="F2542" s="100" t="e">
        <f t="shared" ca="1" si="415"/>
        <v>#NAME?</v>
      </c>
      <c r="G2542" s="100" t="e">
        <f t="shared" ca="1" si="416"/>
        <v>#NAME?</v>
      </c>
      <c r="H2542" s="100" t="e">
        <f t="shared" ca="1" si="417"/>
        <v>#NAME?</v>
      </c>
      <c r="I2542" s="100" t="e">
        <f t="shared" ca="1" si="418"/>
        <v>#NAME?</v>
      </c>
      <c r="J2542" s="100" t="e">
        <f ca="1">IFERROR(__xludf.DUMMYFUNCTION("""COMPUTED_VALUE"""),"-0.078")</f>
        <v>#NAME?</v>
      </c>
      <c r="K2542" s="100" t="e">
        <f t="shared" ca="1" si="419"/>
        <v>#NAME?</v>
      </c>
      <c r="L2542" s="100"/>
      <c r="M2542" s="100"/>
      <c r="N2542" s="100"/>
      <c r="O2542" s="100"/>
      <c r="P2542" s="100"/>
      <c r="Q2542" s="100"/>
      <c r="R2542" s="100"/>
      <c r="S2542" s="100"/>
      <c r="T2542" s="100"/>
      <c r="U2542" s="100"/>
      <c r="V2542" s="100"/>
      <c r="W2542" s="100"/>
      <c r="X2542" s="100"/>
      <c r="Y2542" s="100"/>
      <c r="Z2542" s="100"/>
    </row>
    <row r="2543" spans="1:26">
      <c r="A2543" s="100" t="e">
        <f ca="1">IFERROR(__xludf.DUMMYFUNCTION("""COMPUTED_VALUE"""),58785878)</f>
        <v>#NAME?</v>
      </c>
      <c r="B2543" s="100" t="e">
        <f ca="1">IFERROR(__xludf.DUMMYFUNCTION("""COMPUTED_VALUE"""),"BOMEFDUSD")</f>
        <v>#NAME?</v>
      </c>
      <c r="C2543" s="100" t="e">
        <f ca="1">IFERROR(__xludf.DUMMYFUNCTION("""COMPUTED_VALUE"""),"0.00128500")</f>
        <v>#NAME?</v>
      </c>
      <c r="D2543" s="100" t="e">
        <f t="shared" ca="1" si="422"/>
        <v>#NAME?</v>
      </c>
      <c r="E2543" s="100" t="e">
        <f t="shared" ca="1" si="422"/>
        <v>#NAME?</v>
      </c>
      <c r="F2543" s="100" t="e">
        <f t="shared" ca="1" si="415"/>
        <v>#NAME?</v>
      </c>
      <c r="G2543" s="100" t="e">
        <f t="shared" ca="1" si="416"/>
        <v>#NAME?</v>
      </c>
      <c r="H2543" s="100" t="e">
        <f t="shared" ca="1" si="417"/>
        <v>#NAME?</v>
      </c>
      <c r="I2543" s="100" t="e">
        <f t="shared" ca="1" si="418"/>
        <v>#NAME?</v>
      </c>
      <c r="J2543" s="100" t="e">
        <f ca="1">IFERROR(__xludf.DUMMYFUNCTION("""COMPUTED_VALUE"""),"0.156")</f>
        <v>#NAME?</v>
      </c>
      <c r="K2543" s="100" t="e">
        <f t="shared" ca="1" si="419"/>
        <v>#NAME?</v>
      </c>
      <c r="L2543" s="100"/>
      <c r="M2543" s="100"/>
      <c r="N2543" s="100"/>
      <c r="O2543" s="100"/>
      <c r="P2543" s="100"/>
      <c r="Q2543" s="100"/>
      <c r="R2543" s="100"/>
      <c r="S2543" s="100"/>
      <c r="T2543" s="100"/>
      <c r="U2543" s="100"/>
      <c r="V2543" s="100"/>
      <c r="W2543" s="100"/>
      <c r="X2543" s="100"/>
      <c r="Y2543" s="100"/>
      <c r="Z2543" s="100"/>
    </row>
    <row r="2544" spans="1:26">
      <c r="A2544" s="100" t="e">
        <f ca="1">IFERROR(__xludf.DUMMYFUNCTION("""COMPUTED_VALUE"""),58785879)</f>
        <v>#NAME?</v>
      </c>
      <c r="B2544" s="100" t="e">
        <f ca="1">IFERROR(__xludf.DUMMYFUNCTION("""COMPUTED_VALUE"""),"ETHFIBTC")</f>
        <v>#NAME?</v>
      </c>
      <c r="C2544" s="100" t="e">
        <f ca="1">IFERROR(__xludf.DUMMYFUNCTION("""COMPUTED_VALUE"""),"0.00000790")</f>
        <v>#NAME?</v>
      </c>
      <c r="D2544" s="100" t="e">
        <f t="shared" ca="1" si="422"/>
        <v>#NAME?</v>
      </c>
      <c r="E2544" s="100" t="e">
        <f t="shared" ca="1" si="422"/>
        <v>#NAME?</v>
      </c>
      <c r="F2544" s="100" t="e">
        <f t="shared" ca="1" si="415"/>
        <v>#NAME?</v>
      </c>
      <c r="G2544" s="100" t="e">
        <f t="shared" ca="1" si="416"/>
        <v>#NAME?</v>
      </c>
      <c r="H2544" s="100" t="e">
        <f t="shared" ca="1" si="417"/>
        <v>#NAME?</v>
      </c>
      <c r="I2544" s="100" t="e">
        <f t="shared" ca="1" si="418"/>
        <v>#NAME?</v>
      </c>
      <c r="J2544" s="100" t="e">
        <f ca="1">IFERROR(__xludf.DUMMYFUNCTION("""COMPUTED_VALUE"""),"0")</f>
        <v>#NAME?</v>
      </c>
      <c r="K2544" s="100" t="e">
        <f t="shared" ca="1" si="419"/>
        <v>#NAME?</v>
      </c>
      <c r="L2544" s="100"/>
      <c r="M2544" s="100"/>
      <c r="N2544" s="100"/>
      <c r="O2544" s="100"/>
      <c r="P2544" s="100"/>
      <c r="Q2544" s="100"/>
      <c r="R2544" s="100"/>
      <c r="S2544" s="100"/>
      <c r="T2544" s="100"/>
      <c r="U2544" s="100"/>
      <c r="V2544" s="100"/>
      <c r="W2544" s="100"/>
      <c r="X2544" s="100"/>
      <c r="Y2544" s="100"/>
      <c r="Z2544" s="100"/>
    </row>
    <row r="2545" spans="1:26">
      <c r="A2545" s="100" t="e">
        <f ca="1">IFERROR(__xludf.DUMMYFUNCTION("""COMPUTED_VALUE"""),58785880)</f>
        <v>#NAME?</v>
      </c>
      <c r="B2545" s="100" t="e">
        <f ca="1">IFERROR(__xludf.DUMMYFUNCTION("""COMPUTED_VALUE"""),"ETHFIUSDT")</f>
        <v>#NAME?</v>
      </c>
      <c r="C2545" s="100" t="e">
        <f ca="1">IFERROR(__xludf.DUMMYFUNCTION("""COMPUTED_VALUE"""),"0.51400000")</f>
        <v>#NAME?</v>
      </c>
      <c r="D2545" s="100" t="e">
        <f t="shared" ca="1" si="422"/>
        <v>#NAME?</v>
      </c>
      <c r="E2545" s="100" t="e">
        <f t="shared" ca="1" si="422"/>
        <v>#NAME?</v>
      </c>
      <c r="F2545" s="100" t="e">
        <f t="shared" ca="1" si="415"/>
        <v>#NAME?</v>
      </c>
      <c r="G2545" s="100" t="e">
        <f t="shared" ca="1" si="416"/>
        <v>#NAME?</v>
      </c>
      <c r="H2545" s="100" t="e">
        <f t="shared" ca="1" si="417"/>
        <v>#NAME?</v>
      </c>
      <c r="I2545" s="100" t="e">
        <f t="shared" ca="1" si="418"/>
        <v>#NAME?</v>
      </c>
      <c r="J2545" s="100" t="e">
        <f ca="1">IFERROR(__xludf.DUMMYFUNCTION("""COMPUTED_VALUE"""),"3.213")</f>
        <v>#NAME?</v>
      </c>
      <c r="K2545" s="100" t="e">
        <f t="shared" ca="1" si="419"/>
        <v>#NAME?</v>
      </c>
      <c r="L2545" s="100"/>
      <c r="M2545" s="100"/>
      <c r="N2545" s="100"/>
      <c r="O2545" s="100"/>
      <c r="P2545" s="100"/>
      <c r="Q2545" s="100"/>
      <c r="R2545" s="100"/>
      <c r="S2545" s="100"/>
      <c r="T2545" s="100"/>
      <c r="U2545" s="100"/>
      <c r="V2545" s="100"/>
      <c r="W2545" s="100"/>
      <c r="X2545" s="100"/>
      <c r="Y2545" s="100"/>
      <c r="Z2545" s="100"/>
    </row>
    <row r="2546" spans="1:26">
      <c r="A2546" s="100" t="e">
        <f ca="1">IFERROR(__xludf.DUMMYFUNCTION("""COMPUTED_VALUE"""),58785881)</f>
        <v>#NAME?</v>
      </c>
      <c r="B2546" s="100" t="e">
        <f ca="1">IFERROR(__xludf.DUMMYFUNCTION("""COMPUTED_VALUE"""),"ETHFIBNB")</f>
        <v>#NAME?</v>
      </c>
      <c r="C2546" s="100" t="e">
        <f ca="1">IFERROR(__xludf.DUMMYFUNCTION("""COMPUTED_VALUE"""),"0.00252300")</f>
        <v>#NAME?</v>
      </c>
      <c r="D2546" s="100" t="e">
        <f t="shared" ca="1" si="422"/>
        <v>#NAME?</v>
      </c>
      <c r="E2546" s="100" t="e">
        <f t="shared" ca="1" si="422"/>
        <v>#NAME?</v>
      </c>
      <c r="F2546" s="100" t="e">
        <f t="shared" ca="1" si="415"/>
        <v>#NAME?</v>
      </c>
      <c r="G2546" s="100" t="e">
        <f t="shared" ca="1" si="416"/>
        <v>#NAME?</v>
      </c>
      <c r="H2546" s="100" t="e">
        <f t="shared" ca="1" si="417"/>
        <v>#NAME?</v>
      </c>
      <c r="I2546" s="100" t="e">
        <f t="shared" ca="1" si="418"/>
        <v>#NAME?</v>
      </c>
      <c r="J2546" s="100" t="e">
        <f ca="1">IFERROR(__xludf.DUMMYFUNCTION("""COMPUTED_VALUE"""),"0")</f>
        <v>#NAME?</v>
      </c>
      <c r="K2546" s="100" t="e">
        <f t="shared" ca="1" si="419"/>
        <v>#NAME?</v>
      </c>
      <c r="L2546" s="100"/>
      <c r="M2546" s="100"/>
      <c r="N2546" s="100"/>
      <c r="O2546" s="100"/>
      <c r="P2546" s="100"/>
      <c r="Q2546" s="100"/>
      <c r="R2546" s="100"/>
      <c r="S2546" s="100"/>
      <c r="T2546" s="100"/>
      <c r="U2546" s="100"/>
      <c r="V2546" s="100"/>
      <c r="W2546" s="100"/>
      <c r="X2546" s="100"/>
      <c r="Y2546" s="100"/>
      <c r="Z2546" s="100"/>
    </row>
    <row r="2547" spans="1:26">
      <c r="A2547" s="100" t="e">
        <f ca="1">IFERROR(__xludf.DUMMYFUNCTION("""COMPUTED_VALUE"""),58785882)</f>
        <v>#NAME?</v>
      </c>
      <c r="B2547" s="100" t="e">
        <f ca="1">IFERROR(__xludf.DUMMYFUNCTION("""COMPUTED_VALUE"""),"ETHFIFDUSD")</f>
        <v>#NAME?</v>
      </c>
      <c r="C2547" s="100" t="e">
        <f ca="1">IFERROR(__xludf.DUMMYFUNCTION("""COMPUTED_VALUE"""),"0.51600000")</f>
        <v>#NAME?</v>
      </c>
      <c r="D2547" s="100" t="e">
        <f t="shared" ca="1" si="422"/>
        <v>#NAME?</v>
      </c>
      <c r="E2547" s="100" t="e">
        <f t="shared" ca="1" si="422"/>
        <v>#NAME?</v>
      </c>
      <c r="F2547" s="100" t="e">
        <f t="shared" ca="1" si="415"/>
        <v>#NAME?</v>
      </c>
      <c r="G2547" s="100" t="e">
        <f t="shared" ca="1" si="416"/>
        <v>#NAME?</v>
      </c>
      <c r="H2547" s="100" t="e">
        <f t="shared" ca="1" si="417"/>
        <v>#NAME?</v>
      </c>
      <c r="I2547" s="100" t="e">
        <f t="shared" ca="1" si="418"/>
        <v>#NAME?</v>
      </c>
      <c r="J2547" s="100" t="e">
        <f ca="1">IFERROR(__xludf.DUMMYFUNCTION("""COMPUTED_VALUE"""),"2.789")</f>
        <v>#NAME?</v>
      </c>
      <c r="K2547" s="100" t="e">
        <f t="shared" ca="1" si="419"/>
        <v>#NAME?</v>
      </c>
      <c r="L2547" s="100"/>
      <c r="M2547" s="100"/>
      <c r="N2547" s="100"/>
      <c r="O2547" s="100"/>
      <c r="P2547" s="100"/>
      <c r="Q2547" s="100"/>
      <c r="R2547" s="100"/>
      <c r="S2547" s="100"/>
      <c r="T2547" s="100"/>
      <c r="U2547" s="100"/>
      <c r="V2547" s="100"/>
      <c r="W2547" s="100"/>
      <c r="X2547" s="100"/>
      <c r="Y2547" s="100"/>
      <c r="Z2547" s="100"/>
    </row>
    <row r="2548" spans="1:26">
      <c r="A2548" s="100" t="e">
        <f ca="1">IFERROR(__xludf.DUMMYFUNCTION("""COMPUTED_VALUE"""),58785883)</f>
        <v>#NAME?</v>
      </c>
      <c r="B2548" s="100" t="e">
        <f ca="1">IFERROR(__xludf.DUMMYFUNCTION("""COMPUTED_VALUE"""),"ETHFITRY")</f>
        <v>#NAME?</v>
      </c>
      <c r="C2548" s="100" t="e">
        <f ca="1">IFERROR(__xludf.DUMMYFUNCTION("""COMPUTED_VALUE"""),"19.64000000")</f>
        <v>#NAME?</v>
      </c>
      <c r="D2548" s="100" t="e">
        <f t="shared" ca="1" si="422"/>
        <v>#NAME?</v>
      </c>
      <c r="E2548" s="100" t="e">
        <f t="shared" ca="1" si="422"/>
        <v>#NAME?</v>
      </c>
      <c r="F2548" s="100" t="e">
        <f t="shared" ca="1" si="415"/>
        <v>#NAME?</v>
      </c>
      <c r="G2548" s="100" t="e">
        <f t="shared" ca="1" si="416"/>
        <v>#NAME?</v>
      </c>
      <c r="H2548" s="100" t="e">
        <f t="shared" ca="1" si="417"/>
        <v>#NAME?</v>
      </c>
      <c r="I2548" s="100" t="e">
        <f t="shared" ca="1" si="418"/>
        <v>#NAME?</v>
      </c>
      <c r="J2548" s="100" t="e">
        <f ca="1">IFERROR(__xludf.DUMMYFUNCTION("""COMPUTED_VALUE"""),"3.423")</f>
        <v>#NAME?</v>
      </c>
      <c r="K2548" s="100" t="e">
        <f t="shared" ca="1" si="419"/>
        <v>#NAME?</v>
      </c>
      <c r="L2548" s="100"/>
      <c r="M2548" s="100"/>
      <c r="N2548" s="100"/>
      <c r="O2548" s="100"/>
      <c r="P2548" s="100"/>
      <c r="Q2548" s="100"/>
      <c r="R2548" s="100"/>
      <c r="S2548" s="100"/>
      <c r="T2548" s="100"/>
      <c r="U2548" s="100"/>
      <c r="V2548" s="100"/>
      <c r="W2548" s="100"/>
      <c r="X2548" s="100"/>
      <c r="Y2548" s="100"/>
      <c r="Z2548" s="100"/>
    </row>
    <row r="2549" spans="1:26">
      <c r="A2549" s="100" t="e">
        <f ca="1">IFERROR(__xludf.DUMMYFUNCTION("""COMPUTED_VALUE"""),58785884)</f>
        <v>#NAME?</v>
      </c>
      <c r="B2549" s="100" t="e">
        <f ca="1">IFERROR(__xludf.DUMMYFUNCTION("""COMPUTED_VALUE"""),"AAVETRY")</f>
        <v>#NAME?</v>
      </c>
      <c r="C2549" s="100" t="e">
        <f ca="1">IFERROR(__xludf.DUMMYFUNCTION("""COMPUTED_VALUE"""),"5606.00000000")</f>
        <v>#NAME?</v>
      </c>
      <c r="D2549" s="100" t="e">
        <f t="shared" ca="1" si="422"/>
        <v>#NAME?</v>
      </c>
      <c r="E2549" s="100" t="e">
        <f t="shared" ca="1" si="422"/>
        <v>#NAME?</v>
      </c>
      <c r="F2549" s="100" t="e">
        <f t="shared" ca="1" si="415"/>
        <v>#NAME?</v>
      </c>
      <c r="G2549" s="100" t="e">
        <f t="shared" ca="1" si="416"/>
        <v>#NAME?</v>
      </c>
      <c r="H2549" s="100" t="e">
        <f t="shared" ca="1" si="417"/>
        <v>#NAME?</v>
      </c>
      <c r="I2549" s="100" t="e">
        <f t="shared" ca="1" si="418"/>
        <v>#NAME?</v>
      </c>
      <c r="J2549" s="100" t="e">
        <f ca="1">IFERROR(__xludf.DUMMYFUNCTION("""COMPUTED_VALUE"""),"1.246")</f>
        <v>#NAME?</v>
      </c>
      <c r="K2549" s="100" t="e">
        <f t="shared" ca="1" si="419"/>
        <v>#NAME?</v>
      </c>
      <c r="L2549" s="100"/>
      <c r="M2549" s="100"/>
      <c r="N2549" s="100"/>
      <c r="O2549" s="100"/>
      <c r="P2549" s="100"/>
      <c r="Q2549" s="100"/>
      <c r="R2549" s="100"/>
      <c r="S2549" s="100"/>
      <c r="T2549" s="100"/>
      <c r="U2549" s="100"/>
      <c r="V2549" s="100"/>
      <c r="W2549" s="100"/>
      <c r="X2549" s="100"/>
      <c r="Y2549" s="100"/>
      <c r="Z2549" s="100"/>
    </row>
    <row r="2550" spans="1:26">
      <c r="A2550" s="100" t="e">
        <f ca="1">IFERROR(__xludf.DUMMYFUNCTION("""COMPUTED_VALUE"""),58785885)</f>
        <v>#NAME?</v>
      </c>
      <c r="B2550" s="100" t="e">
        <f ca="1">IFERROR(__xludf.DUMMYFUNCTION("""COMPUTED_VALUE"""),"ARKMFDUSD")</f>
        <v>#NAME?</v>
      </c>
      <c r="C2550" s="100" t="e">
        <f ca="1">IFERROR(__xludf.DUMMYFUNCTION("""COMPUTED_VALUE"""),"0.50400000")</f>
        <v>#NAME?</v>
      </c>
      <c r="D2550" s="100" t="e">
        <f t="shared" ca="1" si="422"/>
        <v>#NAME?</v>
      </c>
      <c r="E2550" s="100" t="e">
        <f t="shared" ca="1" si="422"/>
        <v>#NAME?</v>
      </c>
      <c r="F2550" s="100" t="e">
        <f t="shared" ca="1" si="415"/>
        <v>#NAME?</v>
      </c>
      <c r="G2550" s="100" t="e">
        <f t="shared" ca="1" si="416"/>
        <v>#NAME?</v>
      </c>
      <c r="H2550" s="100" t="e">
        <f t="shared" ca="1" si="417"/>
        <v>#NAME?</v>
      </c>
      <c r="I2550" s="100" t="e">
        <f t="shared" ca="1" si="418"/>
        <v>#NAME?</v>
      </c>
      <c r="J2550" s="100" t="e">
        <f ca="1">IFERROR(__xludf.DUMMYFUNCTION("""COMPUTED_VALUE"""),"-4.545")</f>
        <v>#NAME?</v>
      </c>
      <c r="K2550" s="100" t="e">
        <f t="shared" ca="1" si="419"/>
        <v>#NAME?</v>
      </c>
      <c r="L2550" s="100"/>
      <c r="M2550" s="100"/>
      <c r="N2550" s="100"/>
      <c r="O2550" s="100"/>
      <c r="P2550" s="100"/>
      <c r="Q2550" s="100"/>
      <c r="R2550" s="100"/>
      <c r="S2550" s="100"/>
      <c r="T2550" s="100"/>
      <c r="U2550" s="100"/>
      <c r="V2550" s="100"/>
      <c r="W2550" s="100"/>
      <c r="X2550" s="100"/>
      <c r="Y2550" s="100"/>
      <c r="Z2550" s="100"/>
    </row>
    <row r="2551" spans="1:26">
      <c r="A2551" s="100" t="e">
        <f ca="1">IFERROR(__xludf.DUMMYFUNCTION("""COMPUTED_VALUE"""),58785886)</f>
        <v>#NAME?</v>
      </c>
      <c r="B2551" s="100" t="e">
        <f ca="1">IFERROR(__xludf.DUMMYFUNCTION("""COMPUTED_VALUE"""),"CRVTRY")</f>
        <v>#NAME?</v>
      </c>
      <c r="C2551" s="100" t="e">
        <f ca="1">IFERROR(__xludf.DUMMYFUNCTION("""COMPUTED_VALUE"""),"23.48000000")</f>
        <v>#NAME?</v>
      </c>
      <c r="D2551" s="100" t="e">
        <f t="shared" ca="1" si="422"/>
        <v>#NAME?</v>
      </c>
      <c r="E2551" s="100" t="e">
        <f t="shared" ca="1" si="422"/>
        <v>#NAME?</v>
      </c>
      <c r="F2551" s="100" t="e">
        <f t="shared" ca="1" si="415"/>
        <v>#NAME?</v>
      </c>
      <c r="G2551" s="100" t="e">
        <f t="shared" ca="1" si="416"/>
        <v>#NAME?</v>
      </c>
      <c r="H2551" s="100" t="e">
        <f t="shared" ca="1" si="417"/>
        <v>#NAME?</v>
      </c>
      <c r="I2551" s="100" t="e">
        <f t="shared" ca="1" si="418"/>
        <v>#NAME?</v>
      </c>
      <c r="J2551" s="100" t="e">
        <f ca="1">IFERROR(__xludf.DUMMYFUNCTION("""COMPUTED_VALUE"""),"-0.508")</f>
        <v>#NAME?</v>
      </c>
      <c r="K2551" s="100" t="e">
        <f t="shared" ca="1" si="419"/>
        <v>#NAME?</v>
      </c>
      <c r="L2551" s="100"/>
      <c r="M2551" s="100"/>
      <c r="N2551" s="100"/>
      <c r="O2551" s="100"/>
      <c r="P2551" s="100"/>
      <c r="Q2551" s="100"/>
      <c r="R2551" s="100"/>
      <c r="S2551" s="100"/>
      <c r="T2551" s="100"/>
      <c r="U2551" s="100"/>
      <c r="V2551" s="100"/>
      <c r="W2551" s="100"/>
      <c r="X2551" s="100"/>
      <c r="Y2551" s="100"/>
      <c r="Z2551" s="100"/>
    </row>
    <row r="2552" spans="1:26">
      <c r="A2552" s="100" t="e">
        <f ca="1">IFERROR(__xludf.DUMMYFUNCTION("""COMPUTED_VALUE"""),58785887)</f>
        <v>#NAME?</v>
      </c>
      <c r="B2552" s="100" t="e">
        <f ca="1">IFERROR(__xludf.DUMMYFUNCTION("""COMPUTED_VALUE"""),"FETBRL")</f>
        <v>#NAME?</v>
      </c>
      <c r="C2552" s="100" t="e">
        <f ca="1">IFERROR(__xludf.DUMMYFUNCTION("""COMPUTED_VALUE"""),"4.33000000")</f>
        <v>#NAME?</v>
      </c>
      <c r="D2552" s="100" t="e">
        <f t="shared" ca="1" si="422"/>
        <v>#NAME?</v>
      </c>
      <c r="E2552" s="100" t="e">
        <f t="shared" ca="1" si="422"/>
        <v>#NAME?</v>
      </c>
      <c r="F2552" s="100" t="e">
        <f t="shared" ca="1" si="415"/>
        <v>#NAME?</v>
      </c>
      <c r="G2552" s="100" t="e">
        <f t="shared" ca="1" si="416"/>
        <v>#NAME?</v>
      </c>
      <c r="H2552" s="100" t="e">
        <f t="shared" ca="1" si="417"/>
        <v>#NAME?</v>
      </c>
      <c r="I2552" s="100" t="e">
        <f t="shared" ca="1" si="418"/>
        <v>#NAME?</v>
      </c>
      <c r="J2552" s="100" t="e">
        <f ca="1">IFERROR(__xludf.DUMMYFUNCTION("""COMPUTED_VALUE"""),"0")</f>
        <v>#NAME?</v>
      </c>
      <c r="K2552" s="100" t="e">
        <f t="shared" ca="1" si="419"/>
        <v>#NAME?</v>
      </c>
      <c r="L2552" s="100"/>
      <c r="M2552" s="100"/>
      <c r="N2552" s="100"/>
      <c r="O2552" s="100"/>
      <c r="P2552" s="100"/>
      <c r="Q2552" s="100"/>
      <c r="R2552" s="100"/>
      <c r="S2552" s="100"/>
      <c r="T2552" s="100"/>
      <c r="U2552" s="100"/>
      <c r="V2552" s="100"/>
      <c r="W2552" s="100"/>
      <c r="X2552" s="100"/>
      <c r="Y2552" s="100"/>
      <c r="Z2552" s="100"/>
    </row>
    <row r="2553" spans="1:26">
      <c r="A2553" s="100" t="e">
        <f ca="1">IFERROR(__xludf.DUMMYFUNCTION("""COMPUTED_VALUE"""),58785888)</f>
        <v>#NAME?</v>
      </c>
      <c r="B2553" s="100" t="e">
        <f ca="1">IFERROR(__xludf.DUMMYFUNCTION("""COMPUTED_VALUE"""),"RAYFDUSD")</f>
        <v>#NAME?</v>
      </c>
      <c r="C2553" s="100" t="e">
        <f ca="1">IFERROR(__xludf.DUMMYFUNCTION("""COMPUTED_VALUE"""),"2.35800000")</f>
        <v>#NAME?</v>
      </c>
      <c r="D2553" s="100" t="e">
        <f t="shared" ca="1" si="422"/>
        <v>#NAME?</v>
      </c>
      <c r="E2553" s="100" t="e">
        <f t="shared" ca="1" si="422"/>
        <v>#NAME?</v>
      </c>
      <c r="F2553" s="100" t="e">
        <f t="shared" ca="1" si="415"/>
        <v>#NAME?</v>
      </c>
      <c r="G2553" s="100" t="e">
        <f t="shared" ca="1" si="416"/>
        <v>#NAME?</v>
      </c>
      <c r="H2553" s="100" t="e">
        <f t="shared" ca="1" si="417"/>
        <v>#NAME?</v>
      </c>
      <c r="I2553" s="100" t="e">
        <f t="shared" ca="1" si="418"/>
        <v>#NAME?</v>
      </c>
      <c r="J2553" s="100" t="e">
        <f ca="1">IFERROR(__xludf.DUMMYFUNCTION("""COMPUTED_VALUE"""),"3.831")</f>
        <v>#NAME?</v>
      </c>
      <c r="K2553" s="100" t="e">
        <f t="shared" ca="1" si="419"/>
        <v>#NAME?</v>
      </c>
      <c r="L2553" s="100"/>
      <c r="M2553" s="100"/>
      <c r="N2553" s="100"/>
      <c r="O2553" s="100"/>
      <c r="P2553" s="100"/>
      <c r="Q2553" s="100"/>
      <c r="R2553" s="100"/>
      <c r="S2553" s="100"/>
      <c r="T2553" s="100"/>
      <c r="U2553" s="100"/>
      <c r="V2553" s="100"/>
      <c r="W2553" s="100"/>
      <c r="X2553" s="100"/>
      <c r="Y2553" s="100"/>
      <c r="Z2553" s="100"/>
    </row>
    <row r="2554" spans="1:26">
      <c r="A2554" s="100" t="e">
        <f ca="1">IFERROR(__xludf.DUMMYFUNCTION("""COMPUTED_VALUE"""),58785889)</f>
        <v>#NAME?</v>
      </c>
      <c r="B2554" s="100" t="e">
        <f ca="1">IFERROR(__xludf.DUMMYFUNCTION("""COMPUTED_VALUE"""),"RNDREUR")</f>
        <v>#NAME?</v>
      </c>
      <c r="C2554" s="100" t="e">
        <f ca="1">IFERROR(__xludf.DUMMYFUNCTION("""COMPUTED_VALUE"""),"6.47500000")</f>
        <v>#NAME?</v>
      </c>
      <c r="D2554" s="100" t="e">
        <f t="shared" ca="1" si="422"/>
        <v>#NAME?</v>
      </c>
      <c r="E2554" s="100" t="e">
        <f t="shared" ca="1" si="422"/>
        <v>#NAME?</v>
      </c>
      <c r="F2554" s="100" t="e">
        <f t="shared" ca="1" si="415"/>
        <v>#NAME?</v>
      </c>
      <c r="G2554" s="100" t="e">
        <f t="shared" ca="1" si="416"/>
        <v>#NAME?</v>
      </c>
      <c r="H2554" s="100" t="e">
        <f t="shared" ca="1" si="417"/>
        <v>#NAME?</v>
      </c>
      <c r="I2554" s="100" t="e">
        <f t="shared" ca="1" si="418"/>
        <v>#NAME?</v>
      </c>
      <c r="J2554" s="100" t="e">
        <f ca="1">IFERROR(__xludf.DUMMYFUNCTION("""COMPUTED_VALUE"""),"0")</f>
        <v>#NAME?</v>
      </c>
      <c r="K2554" s="100" t="e">
        <f t="shared" ca="1" si="419"/>
        <v>#NAME?</v>
      </c>
      <c r="L2554" s="100"/>
      <c r="M2554" s="100"/>
      <c r="N2554" s="100"/>
      <c r="O2554" s="100"/>
      <c r="P2554" s="100"/>
      <c r="Q2554" s="100"/>
      <c r="R2554" s="100"/>
      <c r="S2554" s="100"/>
      <c r="T2554" s="100"/>
      <c r="U2554" s="100"/>
      <c r="V2554" s="100"/>
      <c r="W2554" s="100"/>
      <c r="X2554" s="100"/>
      <c r="Y2554" s="100"/>
      <c r="Z2554" s="100"/>
    </row>
    <row r="2555" spans="1:26">
      <c r="A2555" s="100" t="e">
        <f ca="1">IFERROR(__xludf.DUMMYFUNCTION("""COMPUTED_VALUE"""),58785890)</f>
        <v>#NAME?</v>
      </c>
      <c r="B2555" s="100" t="e">
        <f ca="1">IFERROR(__xludf.DUMMYFUNCTION("""COMPUTED_VALUE"""),"BONKUSDC")</f>
        <v>#NAME?</v>
      </c>
      <c r="C2555" s="100" t="e">
        <f ca="1">IFERROR(__xludf.DUMMYFUNCTION("""COMPUTED_VALUE"""),"0.00001298")</f>
        <v>#NAME?</v>
      </c>
      <c r="D2555" s="100" t="e">
        <f t="shared" ca="1" si="422"/>
        <v>#NAME?</v>
      </c>
      <c r="E2555" s="100" t="e">
        <f t="shared" ca="1" si="422"/>
        <v>#NAME?</v>
      </c>
      <c r="F2555" s="100" t="e">
        <f t="shared" ca="1" si="415"/>
        <v>#NAME?</v>
      </c>
      <c r="G2555" s="100" t="e">
        <f t="shared" ca="1" si="416"/>
        <v>#NAME?</v>
      </c>
      <c r="H2555" s="100" t="e">
        <f t="shared" ca="1" si="417"/>
        <v>#NAME?</v>
      </c>
      <c r="I2555" s="100" t="e">
        <f t="shared" ca="1" si="418"/>
        <v>#NAME?</v>
      </c>
      <c r="J2555" s="100" t="e">
        <f ca="1">IFERROR(__xludf.DUMMYFUNCTION("""COMPUTED_VALUE"""),"2.528")</f>
        <v>#NAME?</v>
      </c>
      <c r="K2555" s="100" t="e">
        <f t="shared" ca="1" si="419"/>
        <v>#NAME?</v>
      </c>
      <c r="L2555" s="100"/>
      <c r="M2555" s="100"/>
      <c r="N2555" s="100"/>
      <c r="O2555" s="100"/>
      <c r="P2555" s="100"/>
      <c r="Q2555" s="100"/>
      <c r="R2555" s="100"/>
      <c r="S2555" s="100"/>
      <c r="T2555" s="100"/>
      <c r="U2555" s="100"/>
      <c r="V2555" s="100"/>
      <c r="W2555" s="100"/>
      <c r="X2555" s="100"/>
      <c r="Y2555" s="100"/>
      <c r="Z2555" s="100"/>
    </row>
    <row r="2556" spans="1:26">
      <c r="A2556" s="100" t="e">
        <f ca="1">IFERROR(__xludf.DUMMYFUNCTION("""COMPUTED_VALUE"""),58785891)</f>
        <v>#NAME?</v>
      </c>
      <c r="B2556" s="100" t="e">
        <f ca="1">IFERROR(__xludf.DUMMYFUNCTION("""COMPUTED_VALUE"""),"FLOKIUSDC")</f>
        <v>#NAME?</v>
      </c>
      <c r="C2556" s="100" t="e">
        <f ca="1">IFERROR(__xludf.DUMMYFUNCTION("""COMPUTED_VALUE"""),"0.00005887")</f>
        <v>#NAME?</v>
      </c>
      <c r="D2556" s="100" t="e">
        <f t="shared" ca="1" si="422"/>
        <v>#NAME?</v>
      </c>
      <c r="E2556" s="100" t="e">
        <f t="shared" ca="1" si="422"/>
        <v>#NAME?</v>
      </c>
      <c r="F2556" s="100" t="e">
        <f t="shared" ca="1" si="415"/>
        <v>#NAME?</v>
      </c>
      <c r="G2556" s="100" t="e">
        <f t="shared" ca="1" si="416"/>
        <v>#NAME?</v>
      </c>
      <c r="H2556" s="100" t="e">
        <f t="shared" ca="1" si="417"/>
        <v>#NAME?</v>
      </c>
      <c r="I2556" s="100" t="e">
        <f t="shared" ca="1" si="418"/>
        <v>#NAME?</v>
      </c>
      <c r="J2556" s="100" t="e">
        <f ca="1">IFERROR(__xludf.DUMMYFUNCTION("""COMPUTED_VALUE"""),"-0.892")</f>
        <v>#NAME?</v>
      </c>
      <c r="K2556" s="100" t="e">
        <f t="shared" ca="1" si="419"/>
        <v>#NAME?</v>
      </c>
      <c r="L2556" s="100"/>
      <c r="M2556" s="100"/>
      <c r="N2556" s="100"/>
      <c r="O2556" s="100"/>
      <c r="P2556" s="100"/>
      <c r="Q2556" s="100"/>
      <c r="R2556" s="100"/>
      <c r="S2556" s="100"/>
      <c r="T2556" s="100"/>
      <c r="U2556" s="100"/>
      <c r="V2556" s="100"/>
      <c r="W2556" s="100"/>
      <c r="X2556" s="100"/>
      <c r="Y2556" s="100"/>
      <c r="Z2556" s="100"/>
    </row>
    <row r="2557" spans="1:26">
      <c r="A2557" s="100" t="e">
        <f ca="1">IFERROR(__xludf.DUMMYFUNCTION("""COMPUTED_VALUE"""),58785892)</f>
        <v>#NAME?</v>
      </c>
      <c r="B2557" s="100" t="e">
        <f ca="1">IFERROR(__xludf.DUMMYFUNCTION("""COMPUTED_VALUE"""),"MKRTRY")</f>
        <v>#NAME?</v>
      </c>
      <c r="C2557" s="100" t="e">
        <f ca="1">IFERROR(__xludf.DUMMYFUNCTION("""COMPUTED_VALUE"""),"53064.00000000")</f>
        <v>#NAME?</v>
      </c>
      <c r="D2557" s="100" t="e">
        <f t="shared" ca="1" si="422"/>
        <v>#NAME?</v>
      </c>
      <c r="E2557" s="100" t="e">
        <f t="shared" ca="1" si="422"/>
        <v>#NAME?</v>
      </c>
      <c r="F2557" s="100" t="e">
        <f t="shared" ca="1" si="415"/>
        <v>#NAME?</v>
      </c>
      <c r="G2557" s="100" t="e">
        <f t="shared" ca="1" si="416"/>
        <v>#NAME?</v>
      </c>
      <c r="H2557" s="100" t="e">
        <f t="shared" ca="1" si="417"/>
        <v>#NAME?</v>
      </c>
      <c r="I2557" s="100" t="e">
        <f t="shared" ca="1" si="418"/>
        <v>#NAME?</v>
      </c>
      <c r="J2557" s="100" t="e">
        <f ca="1">IFERROR(__xludf.DUMMYFUNCTION("""COMPUTED_VALUE"""),"-0.325")</f>
        <v>#NAME?</v>
      </c>
      <c r="K2557" s="100" t="e">
        <f t="shared" ca="1" si="419"/>
        <v>#NAME?</v>
      </c>
      <c r="L2557" s="100"/>
      <c r="M2557" s="100"/>
      <c r="N2557" s="100"/>
      <c r="O2557" s="100"/>
      <c r="P2557" s="100"/>
      <c r="Q2557" s="100"/>
      <c r="R2557" s="100"/>
      <c r="S2557" s="100"/>
      <c r="T2557" s="100"/>
      <c r="U2557" s="100"/>
      <c r="V2557" s="100"/>
      <c r="W2557" s="100"/>
      <c r="X2557" s="100"/>
      <c r="Y2557" s="100"/>
      <c r="Z2557" s="100"/>
    </row>
    <row r="2558" spans="1:26">
      <c r="A2558" s="100" t="e">
        <f ca="1">IFERROR(__xludf.DUMMYFUNCTION("""COMPUTED_VALUE"""),58785893)</f>
        <v>#NAME?</v>
      </c>
      <c r="B2558" s="100" t="e">
        <f ca="1">IFERROR(__xludf.DUMMYFUNCTION("""COMPUTED_VALUE"""),"RAYTRY")</f>
        <v>#NAME?</v>
      </c>
      <c r="C2558" s="100" t="e">
        <f ca="1">IFERROR(__xludf.DUMMYFUNCTION("""COMPUTED_VALUE"""),"89.93000000")</f>
        <v>#NAME?</v>
      </c>
      <c r="D2558" s="100" t="e">
        <f t="shared" ca="1" si="422"/>
        <v>#NAME?</v>
      </c>
      <c r="E2558" s="100" t="e">
        <f t="shared" ca="1" si="422"/>
        <v>#NAME?</v>
      </c>
      <c r="F2558" s="100" t="e">
        <f t="shared" ca="1" si="415"/>
        <v>#NAME?</v>
      </c>
      <c r="G2558" s="100" t="e">
        <f t="shared" ca="1" si="416"/>
        <v>#NAME?</v>
      </c>
      <c r="H2558" s="100" t="e">
        <f t="shared" ca="1" si="417"/>
        <v>#NAME?</v>
      </c>
      <c r="I2558" s="100" t="e">
        <f t="shared" ca="1" si="418"/>
        <v>#NAME?</v>
      </c>
      <c r="J2558" s="100" t="e">
        <f ca="1">IFERROR(__xludf.DUMMYFUNCTION("""COMPUTED_VALUE"""),"3.737")</f>
        <v>#NAME?</v>
      </c>
      <c r="K2558" s="100" t="e">
        <f t="shared" ca="1" si="419"/>
        <v>#NAME?</v>
      </c>
      <c r="L2558" s="100"/>
      <c r="M2558" s="100"/>
      <c r="N2558" s="100"/>
      <c r="O2558" s="100"/>
      <c r="P2558" s="100"/>
      <c r="Q2558" s="100"/>
      <c r="R2558" s="100"/>
      <c r="S2558" s="100"/>
      <c r="T2558" s="100"/>
      <c r="U2558" s="100"/>
      <c r="V2558" s="100"/>
      <c r="W2558" s="100"/>
      <c r="X2558" s="100"/>
      <c r="Y2558" s="100"/>
      <c r="Z2558" s="100"/>
    </row>
    <row r="2559" spans="1:26">
      <c r="A2559" s="100" t="e">
        <f ca="1">IFERROR(__xludf.DUMMYFUNCTION("""COMPUTED_VALUE"""),58785894)</f>
        <v>#NAME?</v>
      </c>
      <c r="B2559" s="100" t="e">
        <f ca="1">IFERROR(__xludf.DUMMYFUNCTION("""COMPUTED_VALUE"""),"RNDRBRL")</f>
        <v>#NAME?</v>
      </c>
      <c r="C2559" s="100" t="e">
        <f ca="1">IFERROR(__xludf.DUMMYFUNCTION("""COMPUTED_VALUE"""),"39.58000000")</f>
        <v>#NAME?</v>
      </c>
      <c r="D2559" s="100" t="e">
        <f t="shared" ca="1" si="422"/>
        <v>#NAME?</v>
      </c>
      <c r="E2559" s="100" t="e">
        <f t="shared" ca="1" si="422"/>
        <v>#NAME?</v>
      </c>
      <c r="F2559" s="100" t="e">
        <f t="shared" ca="1" si="415"/>
        <v>#NAME?</v>
      </c>
      <c r="G2559" s="100" t="e">
        <f t="shared" ca="1" si="416"/>
        <v>#NAME?</v>
      </c>
      <c r="H2559" s="100" t="e">
        <f t="shared" ca="1" si="417"/>
        <v>#NAME?</v>
      </c>
      <c r="I2559" s="100" t="e">
        <f t="shared" ca="1" si="418"/>
        <v>#NAME?</v>
      </c>
      <c r="J2559" s="100" t="e">
        <f ca="1">IFERROR(__xludf.DUMMYFUNCTION("""COMPUTED_VALUE"""),"0")</f>
        <v>#NAME?</v>
      </c>
      <c r="K2559" s="100" t="e">
        <f t="shared" ca="1" si="419"/>
        <v>#NAME?</v>
      </c>
      <c r="L2559" s="100"/>
      <c r="M2559" s="100"/>
      <c r="N2559" s="100"/>
      <c r="O2559" s="100"/>
      <c r="P2559" s="100"/>
      <c r="Q2559" s="100"/>
      <c r="R2559" s="100"/>
      <c r="S2559" s="100"/>
      <c r="T2559" s="100"/>
      <c r="U2559" s="100"/>
      <c r="V2559" s="100"/>
      <c r="W2559" s="100"/>
      <c r="X2559" s="100"/>
      <c r="Y2559" s="100"/>
      <c r="Z2559" s="100"/>
    </row>
    <row r="2560" spans="1:26">
      <c r="A2560" s="100" t="e">
        <f ca="1">IFERROR(__xludf.DUMMYFUNCTION("""COMPUTED_VALUE"""),58785895)</f>
        <v>#NAME?</v>
      </c>
      <c r="B2560" s="100" t="e">
        <f ca="1">IFERROR(__xludf.DUMMYFUNCTION("""COMPUTED_VALUE"""),"ENABTC")</f>
        <v>#NAME?</v>
      </c>
      <c r="C2560" s="100" t="e">
        <f ca="1">IFERROR(__xludf.DUMMYFUNCTION("""COMPUTED_VALUE"""),"0.00000329")</f>
        <v>#NAME?</v>
      </c>
      <c r="D2560" s="100" t="e">
        <f t="shared" ca="1" si="422"/>
        <v>#NAME?</v>
      </c>
      <c r="E2560" s="100" t="e">
        <f t="shared" ca="1" si="422"/>
        <v>#NAME?</v>
      </c>
      <c r="F2560" s="100" t="e">
        <f t="shared" ca="1" si="415"/>
        <v>#NAME?</v>
      </c>
      <c r="G2560" s="100" t="e">
        <f t="shared" ca="1" si="416"/>
        <v>#NAME?</v>
      </c>
      <c r="H2560" s="100" t="e">
        <f t="shared" ca="1" si="417"/>
        <v>#NAME?</v>
      </c>
      <c r="I2560" s="100" t="e">
        <f t="shared" ca="1" si="418"/>
        <v>#NAME?</v>
      </c>
      <c r="J2560" s="100" t="e">
        <f ca="1">IFERROR(__xludf.DUMMYFUNCTION("""COMPUTED_VALUE"""),"-3.519")</f>
        <v>#NAME?</v>
      </c>
      <c r="K2560" s="100" t="e">
        <f t="shared" ca="1" si="419"/>
        <v>#NAME?</v>
      </c>
      <c r="L2560" s="100"/>
      <c r="M2560" s="100"/>
      <c r="N2560" s="100"/>
      <c r="O2560" s="100"/>
      <c r="P2560" s="100"/>
      <c r="Q2560" s="100"/>
      <c r="R2560" s="100"/>
      <c r="S2560" s="100"/>
      <c r="T2560" s="100"/>
      <c r="U2560" s="100"/>
      <c r="V2560" s="100"/>
      <c r="W2560" s="100"/>
      <c r="X2560" s="100"/>
      <c r="Y2560" s="100"/>
      <c r="Z2560" s="100"/>
    </row>
    <row r="2561" spans="1:26">
      <c r="A2561" s="100" t="e">
        <f ca="1">IFERROR(__xludf.DUMMYFUNCTION("""COMPUTED_VALUE"""),58785896)</f>
        <v>#NAME?</v>
      </c>
      <c r="B2561" s="100" t="e">
        <f ca="1">IFERROR(__xludf.DUMMYFUNCTION("""COMPUTED_VALUE"""),"ENAUSDT")</f>
        <v>#NAME?</v>
      </c>
      <c r="C2561" s="100" t="e">
        <f ca="1">IFERROR(__xludf.DUMMYFUNCTION("""COMPUTED_VALUE"""),"0.29320000")</f>
        <v>#NAME?</v>
      </c>
      <c r="D2561" s="100" t="e">
        <f t="shared" ca="1" si="422"/>
        <v>#NAME?</v>
      </c>
      <c r="E2561" s="100" t="e">
        <f t="shared" ca="1" si="422"/>
        <v>#NAME?</v>
      </c>
      <c r="F2561" s="100" t="e">
        <f t="shared" ca="1" si="415"/>
        <v>#NAME?</v>
      </c>
      <c r="G2561" s="100" t="e">
        <f t="shared" ca="1" si="416"/>
        <v>#NAME?</v>
      </c>
      <c r="H2561" s="100" t="e">
        <f t="shared" ca="1" si="417"/>
        <v>#NAME?</v>
      </c>
      <c r="I2561" s="100" t="e">
        <f t="shared" ca="1" si="418"/>
        <v>#NAME?</v>
      </c>
      <c r="J2561" s="100" t="e">
        <f ca="1">IFERROR(__xludf.DUMMYFUNCTION("""COMPUTED_VALUE"""),"-1.841")</f>
        <v>#NAME?</v>
      </c>
      <c r="K2561" s="100" t="e">
        <f t="shared" ca="1" si="419"/>
        <v>#NAME?</v>
      </c>
      <c r="L2561" s="100"/>
      <c r="M2561" s="100"/>
      <c r="N2561" s="100"/>
      <c r="O2561" s="100"/>
      <c r="P2561" s="100"/>
      <c r="Q2561" s="100"/>
      <c r="R2561" s="100"/>
      <c r="S2561" s="100"/>
      <c r="T2561" s="100"/>
      <c r="U2561" s="100"/>
      <c r="V2561" s="100"/>
      <c r="W2561" s="100"/>
      <c r="X2561" s="100"/>
      <c r="Y2561" s="100"/>
      <c r="Z2561" s="100"/>
    </row>
    <row r="2562" spans="1:26">
      <c r="A2562" s="100" t="e">
        <f ca="1">IFERROR(__xludf.DUMMYFUNCTION("""COMPUTED_VALUE"""),58785897)</f>
        <v>#NAME?</v>
      </c>
      <c r="B2562" s="100" t="e">
        <f ca="1">IFERROR(__xludf.DUMMYFUNCTION("""COMPUTED_VALUE"""),"ENABNB")</f>
        <v>#NAME?</v>
      </c>
      <c r="C2562" s="100" t="e">
        <f ca="1">IFERROR(__xludf.DUMMYFUNCTION("""COMPUTED_VALUE"""),"0.00048430")</f>
        <v>#NAME?</v>
      </c>
      <c r="D2562" s="100" t="e">
        <f t="shared" ref="D2562:E2581" ca="1" si="423">IFERROR(__xludf.DUMMYFUNCTION("""COMPUTED_VALUE"""),"-")</f>
        <v>#NAME?</v>
      </c>
      <c r="E2562" s="100" t="e">
        <f t="shared" ca="1" si="423"/>
        <v>#NAME?</v>
      </c>
      <c r="F2562" s="100" t="e">
        <f t="shared" ref="F2562:F2625" ca="1" si="424">IFERROR(__xludf.DUMMYFUNCTION("""COMPUTED_VALUE"""),20200)</f>
        <v>#NAME?</v>
      </c>
      <c r="G2562" s="100" t="e">
        <f t="shared" ref="G2562:G2625" ca="1" si="425">IFERROR(__xludf.DUMMYFUNCTION("""COMPUTED_VALUE"""),2885)</f>
        <v>#NAME?</v>
      </c>
      <c r="H2562" s="100" t="e">
        <f t="shared" ref="H2562:H2625" ca="1" si="426">IFERROR(__xludf.DUMMYFUNCTION("""COMPUTED_VALUE"""),663)</f>
        <v>#NAME?</v>
      </c>
      <c r="I2562" s="100" t="e">
        <f t="shared" ref="I2562:I2625" ca="1" si="427">IFERROR(__xludf.DUMMYFUNCTION("""COMPUTED_VALUE"""),5817721)</f>
        <v>#NAME?</v>
      </c>
      <c r="J2562" s="100" t="e">
        <f ca="1">IFERROR(__xludf.DUMMYFUNCTION("""COMPUTED_VALUE"""),"-2.221")</f>
        <v>#NAME?</v>
      </c>
      <c r="K2562" s="100" t="e">
        <f t="shared" ref="K2562:K2625" ca="1" si="428">IFERROR(__xludf.DUMMYFUNCTION("""COMPUTED_VALUE"""),"22.04.2025 13:05:01")</f>
        <v>#NAME?</v>
      </c>
      <c r="L2562" s="100"/>
      <c r="M2562" s="100"/>
      <c r="N2562" s="100"/>
      <c r="O2562" s="100"/>
      <c r="P2562" s="100"/>
      <c r="Q2562" s="100"/>
      <c r="R2562" s="100"/>
      <c r="S2562" s="100"/>
      <c r="T2562" s="100"/>
      <c r="U2562" s="100"/>
      <c r="V2562" s="100"/>
      <c r="W2562" s="100"/>
      <c r="X2562" s="100"/>
      <c r="Y2562" s="100"/>
      <c r="Z2562" s="100"/>
    </row>
    <row r="2563" spans="1:26">
      <c r="A2563" s="100" t="e">
        <f ca="1">IFERROR(__xludf.DUMMYFUNCTION("""COMPUTED_VALUE"""),58785898)</f>
        <v>#NAME?</v>
      </c>
      <c r="B2563" s="100" t="e">
        <f ca="1">IFERROR(__xludf.DUMMYFUNCTION("""COMPUTED_VALUE"""),"ENAFDUSD")</f>
        <v>#NAME?</v>
      </c>
      <c r="C2563" s="100" t="e">
        <f ca="1">IFERROR(__xludf.DUMMYFUNCTION("""COMPUTED_VALUE"""),"0.29360000")</f>
        <v>#NAME?</v>
      </c>
      <c r="D2563" s="100" t="e">
        <f t="shared" ca="1" si="423"/>
        <v>#NAME?</v>
      </c>
      <c r="E2563" s="100" t="e">
        <f t="shared" ca="1" si="423"/>
        <v>#NAME?</v>
      </c>
      <c r="F2563" s="100" t="e">
        <f t="shared" ca="1" si="424"/>
        <v>#NAME?</v>
      </c>
      <c r="G2563" s="100" t="e">
        <f t="shared" ca="1" si="425"/>
        <v>#NAME?</v>
      </c>
      <c r="H2563" s="100" t="e">
        <f t="shared" ca="1" si="426"/>
        <v>#NAME?</v>
      </c>
      <c r="I2563" s="100" t="e">
        <f t="shared" ca="1" si="427"/>
        <v>#NAME?</v>
      </c>
      <c r="J2563" s="100" t="e">
        <f ca="1">IFERROR(__xludf.DUMMYFUNCTION("""COMPUTED_VALUE"""),"-1.740")</f>
        <v>#NAME?</v>
      </c>
      <c r="K2563" s="100" t="e">
        <f t="shared" ca="1" si="428"/>
        <v>#NAME?</v>
      </c>
      <c r="L2563" s="100"/>
      <c r="M2563" s="100"/>
      <c r="N2563" s="100"/>
      <c r="O2563" s="100"/>
      <c r="P2563" s="100"/>
      <c r="Q2563" s="100"/>
      <c r="R2563" s="100"/>
      <c r="S2563" s="100"/>
      <c r="T2563" s="100"/>
      <c r="U2563" s="100"/>
      <c r="V2563" s="100"/>
      <c r="W2563" s="100"/>
      <c r="X2563" s="100"/>
      <c r="Y2563" s="100"/>
      <c r="Z2563" s="100"/>
    </row>
    <row r="2564" spans="1:26">
      <c r="A2564" s="100" t="e">
        <f ca="1">IFERROR(__xludf.DUMMYFUNCTION("""COMPUTED_VALUE"""),58785899)</f>
        <v>#NAME?</v>
      </c>
      <c r="B2564" s="100" t="e">
        <f ca="1">IFERROR(__xludf.DUMMYFUNCTION("""COMPUTED_VALUE"""),"ENATRY")</f>
        <v>#NAME?</v>
      </c>
      <c r="C2564" s="100" t="e">
        <f ca="1">IFERROR(__xludf.DUMMYFUNCTION("""COMPUTED_VALUE"""),"11.20000000")</f>
        <v>#NAME?</v>
      </c>
      <c r="D2564" s="100" t="e">
        <f t="shared" ca="1" si="423"/>
        <v>#NAME?</v>
      </c>
      <c r="E2564" s="100" t="e">
        <f t="shared" ca="1" si="423"/>
        <v>#NAME?</v>
      </c>
      <c r="F2564" s="100" t="e">
        <f t="shared" ca="1" si="424"/>
        <v>#NAME?</v>
      </c>
      <c r="G2564" s="100" t="e">
        <f t="shared" ca="1" si="425"/>
        <v>#NAME?</v>
      </c>
      <c r="H2564" s="100" t="e">
        <f t="shared" ca="1" si="426"/>
        <v>#NAME?</v>
      </c>
      <c r="I2564" s="100" t="e">
        <f t="shared" ca="1" si="427"/>
        <v>#NAME?</v>
      </c>
      <c r="J2564" s="100" t="e">
        <f ca="1">IFERROR(__xludf.DUMMYFUNCTION("""COMPUTED_VALUE"""),"-1.849")</f>
        <v>#NAME?</v>
      </c>
      <c r="K2564" s="100" t="e">
        <f t="shared" ca="1" si="428"/>
        <v>#NAME?</v>
      </c>
      <c r="L2564" s="100"/>
      <c r="M2564" s="100"/>
      <c r="N2564" s="100"/>
      <c r="O2564" s="100"/>
      <c r="P2564" s="100"/>
      <c r="Q2564" s="100"/>
      <c r="R2564" s="100"/>
      <c r="S2564" s="100"/>
      <c r="T2564" s="100"/>
      <c r="U2564" s="100"/>
      <c r="V2564" s="100"/>
      <c r="W2564" s="100"/>
      <c r="X2564" s="100"/>
      <c r="Y2564" s="100"/>
      <c r="Z2564" s="100"/>
    </row>
    <row r="2565" spans="1:26">
      <c r="A2565" s="100" t="e">
        <f ca="1">IFERROR(__xludf.DUMMYFUNCTION("""COMPUTED_VALUE"""),58785900)</f>
        <v>#NAME?</v>
      </c>
      <c r="B2565" s="100" t="e">
        <f ca="1">IFERROR(__xludf.DUMMYFUNCTION("""COMPUTED_VALUE"""),"LQTYFDUSD")</f>
        <v>#NAME?</v>
      </c>
      <c r="C2565" s="100" t="e">
        <f ca="1">IFERROR(__xludf.DUMMYFUNCTION("""COMPUTED_VALUE"""),"0.65100000")</f>
        <v>#NAME?</v>
      </c>
      <c r="D2565" s="100" t="e">
        <f t="shared" ca="1" si="423"/>
        <v>#NAME?</v>
      </c>
      <c r="E2565" s="100" t="e">
        <f t="shared" ca="1" si="423"/>
        <v>#NAME?</v>
      </c>
      <c r="F2565" s="100" t="e">
        <f t="shared" ca="1" si="424"/>
        <v>#NAME?</v>
      </c>
      <c r="G2565" s="100" t="e">
        <f t="shared" ca="1" si="425"/>
        <v>#NAME?</v>
      </c>
      <c r="H2565" s="100" t="e">
        <f t="shared" ca="1" si="426"/>
        <v>#NAME?</v>
      </c>
      <c r="I2565" s="100" t="e">
        <f t="shared" ca="1" si="427"/>
        <v>#NAME?</v>
      </c>
      <c r="J2565" s="100" t="e">
        <f ca="1">IFERROR(__xludf.DUMMYFUNCTION("""COMPUTED_VALUE"""),"0")</f>
        <v>#NAME?</v>
      </c>
      <c r="K2565" s="100" t="e">
        <f t="shared" ca="1" si="428"/>
        <v>#NAME?</v>
      </c>
      <c r="L2565" s="100"/>
      <c r="M2565" s="100"/>
      <c r="N2565" s="100"/>
      <c r="O2565" s="100"/>
      <c r="P2565" s="100"/>
      <c r="Q2565" s="100"/>
      <c r="R2565" s="100"/>
      <c r="S2565" s="100"/>
      <c r="T2565" s="100"/>
      <c r="U2565" s="100"/>
      <c r="V2565" s="100"/>
      <c r="W2565" s="100"/>
      <c r="X2565" s="100"/>
      <c r="Y2565" s="100"/>
      <c r="Z2565" s="100"/>
    </row>
    <row r="2566" spans="1:26">
      <c r="A2566" s="100" t="e">
        <f ca="1">IFERROR(__xludf.DUMMYFUNCTION("""COMPUTED_VALUE"""),58785901)</f>
        <v>#NAME?</v>
      </c>
      <c r="B2566" s="100" t="e">
        <f ca="1">IFERROR(__xludf.DUMMYFUNCTION("""COMPUTED_VALUE"""),"MASKTRY")</f>
        <v>#NAME?</v>
      </c>
      <c r="C2566" s="100" t="e">
        <f ca="1">IFERROR(__xludf.DUMMYFUNCTION("""COMPUTED_VALUE"""),"40.19000000")</f>
        <v>#NAME?</v>
      </c>
      <c r="D2566" s="100" t="e">
        <f t="shared" ca="1" si="423"/>
        <v>#NAME?</v>
      </c>
      <c r="E2566" s="100" t="e">
        <f t="shared" ca="1" si="423"/>
        <v>#NAME?</v>
      </c>
      <c r="F2566" s="100" t="e">
        <f t="shared" ca="1" si="424"/>
        <v>#NAME?</v>
      </c>
      <c r="G2566" s="100" t="e">
        <f t="shared" ca="1" si="425"/>
        <v>#NAME?</v>
      </c>
      <c r="H2566" s="100" t="e">
        <f t="shared" ca="1" si="426"/>
        <v>#NAME?</v>
      </c>
      <c r="I2566" s="100" t="e">
        <f t="shared" ca="1" si="427"/>
        <v>#NAME?</v>
      </c>
      <c r="J2566" s="100" t="e">
        <f ca="1">IFERROR(__xludf.DUMMYFUNCTION("""COMPUTED_VALUE"""),"-3.250")</f>
        <v>#NAME?</v>
      </c>
      <c r="K2566" s="100" t="e">
        <f t="shared" ca="1" si="428"/>
        <v>#NAME?</v>
      </c>
      <c r="L2566" s="100"/>
      <c r="M2566" s="100"/>
      <c r="N2566" s="100"/>
      <c r="O2566" s="100"/>
      <c r="P2566" s="100"/>
      <c r="Q2566" s="100"/>
      <c r="R2566" s="100"/>
      <c r="S2566" s="100"/>
      <c r="T2566" s="100"/>
      <c r="U2566" s="100"/>
      <c r="V2566" s="100"/>
      <c r="W2566" s="100"/>
      <c r="X2566" s="100"/>
      <c r="Y2566" s="100"/>
      <c r="Z2566" s="100"/>
    </row>
    <row r="2567" spans="1:26">
      <c r="A2567" s="100" t="e">
        <f ca="1">IFERROR(__xludf.DUMMYFUNCTION("""COMPUTED_VALUE"""),58785902)</f>
        <v>#NAME?</v>
      </c>
      <c r="B2567" s="100" t="e">
        <f ca="1">IFERROR(__xludf.DUMMYFUNCTION("""COMPUTED_VALUE"""),"PENDLEUSDC")</f>
        <v>#NAME?</v>
      </c>
      <c r="C2567" s="100" t="e">
        <f ca="1">IFERROR(__xludf.DUMMYFUNCTION("""COMPUTED_VALUE"""),"3.32900000")</f>
        <v>#NAME?</v>
      </c>
      <c r="D2567" s="100" t="e">
        <f t="shared" ca="1" si="423"/>
        <v>#NAME?</v>
      </c>
      <c r="E2567" s="100" t="e">
        <f t="shared" ca="1" si="423"/>
        <v>#NAME?</v>
      </c>
      <c r="F2567" s="100" t="e">
        <f t="shared" ca="1" si="424"/>
        <v>#NAME?</v>
      </c>
      <c r="G2567" s="100" t="e">
        <f t="shared" ca="1" si="425"/>
        <v>#NAME?</v>
      </c>
      <c r="H2567" s="100" t="e">
        <f t="shared" ca="1" si="426"/>
        <v>#NAME?</v>
      </c>
      <c r="I2567" s="100" t="e">
        <f t="shared" ca="1" si="427"/>
        <v>#NAME?</v>
      </c>
      <c r="J2567" s="100" t="e">
        <f ca="1">IFERROR(__xludf.DUMMYFUNCTION("""COMPUTED_VALUE"""),"1.155")</f>
        <v>#NAME?</v>
      </c>
      <c r="K2567" s="100" t="e">
        <f t="shared" ca="1" si="428"/>
        <v>#NAME?</v>
      </c>
      <c r="L2567" s="100"/>
      <c r="M2567" s="100"/>
      <c r="N2567" s="100"/>
      <c r="O2567" s="100"/>
      <c r="P2567" s="100"/>
      <c r="Q2567" s="100"/>
      <c r="R2567" s="100"/>
      <c r="S2567" s="100"/>
      <c r="T2567" s="100"/>
      <c r="U2567" s="100"/>
      <c r="V2567" s="100"/>
      <c r="W2567" s="100"/>
      <c r="X2567" s="100"/>
      <c r="Y2567" s="100"/>
      <c r="Z2567" s="100"/>
    </row>
    <row r="2568" spans="1:26">
      <c r="A2568" s="100" t="e">
        <f ca="1">IFERROR(__xludf.DUMMYFUNCTION("""COMPUTED_VALUE"""),58785903)</f>
        <v>#NAME?</v>
      </c>
      <c r="B2568" s="100" t="e">
        <f ca="1">IFERROR(__xludf.DUMMYFUNCTION("""COMPUTED_VALUE"""),"RDNTTRY")</f>
        <v>#NAME?</v>
      </c>
      <c r="C2568" s="100" t="e">
        <f ca="1">IFERROR(__xludf.DUMMYFUNCTION("""COMPUTED_VALUE"""),"0.79900000")</f>
        <v>#NAME?</v>
      </c>
      <c r="D2568" s="100" t="e">
        <f t="shared" ca="1" si="423"/>
        <v>#NAME?</v>
      </c>
      <c r="E2568" s="100" t="e">
        <f t="shared" ca="1" si="423"/>
        <v>#NAME?</v>
      </c>
      <c r="F2568" s="100" t="e">
        <f t="shared" ca="1" si="424"/>
        <v>#NAME?</v>
      </c>
      <c r="G2568" s="100" t="e">
        <f t="shared" ca="1" si="425"/>
        <v>#NAME?</v>
      </c>
      <c r="H2568" s="100" t="e">
        <f t="shared" ca="1" si="426"/>
        <v>#NAME?</v>
      </c>
      <c r="I2568" s="100" t="e">
        <f t="shared" ca="1" si="427"/>
        <v>#NAME?</v>
      </c>
      <c r="J2568" s="100" t="e">
        <f ca="1">IFERROR(__xludf.DUMMYFUNCTION("""COMPUTED_VALUE"""),"-2.442")</f>
        <v>#NAME?</v>
      </c>
      <c r="K2568" s="100" t="e">
        <f t="shared" ca="1" si="428"/>
        <v>#NAME?</v>
      </c>
      <c r="L2568" s="100"/>
      <c r="M2568" s="100"/>
      <c r="N2568" s="100"/>
      <c r="O2568" s="100"/>
      <c r="P2568" s="100"/>
      <c r="Q2568" s="100"/>
      <c r="R2568" s="100"/>
      <c r="S2568" s="100"/>
      <c r="T2568" s="100"/>
      <c r="U2568" s="100"/>
      <c r="V2568" s="100"/>
      <c r="W2568" s="100"/>
      <c r="X2568" s="100"/>
      <c r="Y2568" s="100"/>
      <c r="Z2568" s="100"/>
    </row>
    <row r="2569" spans="1:26">
      <c r="A2569" s="100" t="e">
        <f ca="1">IFERROR(__xludf.DUMMYFUNCTION("""COMPUTED_VALUE"""),58785904)</f>
        <v>#NAME?</v>
      </c>
      <c r="B2569" s="100" t="e">
        <f ca="1">IFERROR(__xludf.DUMMYFUNCTION("""COMPUTED_VALUE"""),"WBTC")</f>
        <v>#NAME?</v>
      </c>
      <c r="C2569" s="100" t="e">
        <f ca="1">IFERROR(__xludf.DUMMYFUNCTION("""COMPUTED_VALUE"""),"0.00000086")</f>
        <v>#NAME?</v>
      </c>
      <c r="D2569" s="100" t="e">
        <f t="shared" ca="1" si="423"/>
        <v>#NAME?</v>
      </c>
      <c r="E2569" s="100" t="e">
        <f t="shared" ca="1" si="423"/>
        <v>#NAME?</v>
      </c>
      <c r="F2569" s="100" t="e">
        <f t="shared" ca="1" si="424"/>
        <v>#NAME?</v>
      </c>
      <c r="G2569" s="100" t="e">
        <f t="shared" ca="1" si="425"/>
        <v>#NAME?</v>
      </c>
      <c r="H2569" s="100" t="e">
        <f t="shared" ca="1" si="426"/>
        <v>#NAME?</v>
      </c>
      <c r="I2569" s="100" t="e">
        <f t="shared" ca="1" si="427"/>
        <v>#NAME?</v>
      </c>
      <c r="J2569" s="100" t="e">
        <f ca="1">IFERROR(__xludf.DUMMYFUNCTION("""COMPUTED_VALUE"""),"-8.511")</f>
        <v>#NAME?</v>
      </c>
      <c r="K2569" s="100" t="e">
        <f t="shared" ca="1" si="428"/>
        <v>#NAME?</v>
      </c>
      <c r="L2569" s="100"/>
      <c r="M2569" s="100"/>
      <c r="N2569" s="100"/>
      <c r="O2569" s="100"/>
      <c r="P2569" s="100"/>
      <c r="Q2569" s="100"/>
      <c r="R2569" s="100"/>
      <c r="S2569" s="100"/>
      <c r="T2569" s="100"/>
      <c r="U2569" s="100"/>
      <c r="V2569" s="100"/>
      <c r="W2569" s="100"/>
      <c r="X2569" s="100"/>
      <c r="Y2569" s="100"/>
      <c r="Z2569" s="100"/>
    </row>
    <row r="2570" spans="1:26">
      <c r="A2570" s="100" t="e">
        <f ca="1">IFERROR(__xludf.DUMMYFUNCTION("""COMPUTED_VALUE"""),58785905)</f>
        <v>#NAME?</v>
      </c>
      <c r="B2570" s="100" t="e">
        <f ca="1">IFERROR(__xludf.DUMMYFUNCTION("""COMPUTED_VALUE"""),"WUSDT")</f>
        <v>#NAME?</v>
      </c>
      <c r="C2570" s="100" t="e">
        <f ca="1">IFERROR(__xludf.DUMMYFUNCTION("""COMPUTED_VALUE"""),"0.07620000")</f>
        <v>#NAME?</v>
      </c>
      <c r="D2570" s="100" t="e">
        <f t="shared" ca="1" si="423"/>
        <v>#NAME?</v>
      </c>
      <c r="E2570" s="100" t="e">
        <f t="shared" ca="1" si="423"/>
        <v>#NAME?</v>
      </c>
      <c r="F2570" s="100" t="e">
        <f t="shared" ca="1" si="424"/>
        <v>#NAME?</v>
      </c>
      <c r="G2570" s="100" t="e">
        <f t="shared" ca="1" si="425"/>
        <v>#NAME?</v>
      </c>
      <c r="H2570" s="100" t="e">
        <f t="shared" ca="1" si="426"/>
        <v>#NAME?</v>
      </c>
      <c r="I2570" s="100" t="e">
        <f t="shared" ca="1" si="427"/>
        <v>#NAME?</v>
      </c>
      <c r="J2570" s="100" t="e">
        <f ca="1">IFERROR(__xludf.DUMMYFUNCTION("""COMPUTED_VALUE"""),"-6.846")</f>
        <v>#NAME?</v>
      </c>
      <c r="K2570" s="100" t="e">
        <f t="shared" ca="1" si="428"/>
        <v>#NAME?</v>
      </c>
      <c r="L2570" s="100"/>
      <c r="M2570" s="100"/>
      <c r="N2570" s="100"/>
      <c r="O2570" s="100"/>
      <c r="P2570" s="100"/>
      <c r="Q2570" s="100"/>
      <c r="R2570" s="100"/>
      <c r="S2570" s="100"/>
      <c r="T2570" s="100"/>
      <c r="U2570" s="100"/>
      <c r="V2570" s="100"/>
      <c r="W2570" s="100"/>
      <c r="X2570" s="100"/>
      <c r="Y2570" s="100"/>
      <c r="Z2570" s="100"/>
    </row>
    <row r="2571" spans="1:26">
      <c r="A2571" s="100" t="e">
        <f ca="1">IFERROR(__xludf.DUMMYFUNCTION("""COMPUTED_VALUE"""),58785906)</f>
        <v>#NAME?</v>
      </c>
      <c r="B2571" s="100" t="e">
        <f ca="1">IFERROR(__xludf.DUMMYFUNCTION("""COMPUTED_VALUE"""),"WFDUSD")</f>
        <v>#NAME?</v>
      </c>
      <c r="C2571" s="100" t="e">
        <f ca="1">IFERROR(__xludf.DUMMYFUNCTION("""COMPUTED_VALUE"""),"0.07610000")</f>
        <v>#NAME?</v>
      </c>
      <c r="D2571" s="100" t="e">
        <f t="shared" ca="1" si="423"/>
        <v>#NAME?</v>
      </c>
      <c r="E2571" s="100" t="e">
        <f t="shared" ca="1" si="423"/>
        <v>#NAME?</v>
      </c>
      <c r="F2571" s="100" t="e">
        <f t="shared" ca="1" si="424"/>
        <v>#NAME?</v>
      </c>
      <c r="G2571" s="100" t="e">
        <f t="shared" ca="1" si="425"/>
        <v>#NAME?</v>
      </c>
      <c r="H2571" s="100" t="e">
        <f t="shared" ca="1" si="426"/>
        <v>#NAME?</v>
      </c>
      <c r="I2571" s="100" t="e">
        <f t="shared" ca="1" si="427"/>
        <v>#NAME?</v>
      </c>
      <c r="J2571" s="100" t="e">
        <f ca="1">IFERROR(__xludf.DUMMYFUNCTION("""COMPUTED_VALUE"""),"-6.968")</f>
        <v>#NAME?</v>
      </c>
      <c r="K2571" s="100" t="e">
        <f t="shared" ca="1" si="428"/>
        <v>#NAME?</v>
      </c>
      <c r="L2571" s="100"/>
      <c r="M2571" s="100"/>
      <c r="N2571" s="100"/>
      <c r="O2571" s="100"/>
      <c r="P2571" s="100"/>
      <c r="Q2571" s="100"/>
      <c r="R2571" s="100"/>
      <c r="S2571" s="100"/>
      <c r="T2571" s="100"/>
      <c r="U2571" s="100"/>
      <c r="V2571" s="100"/>
      <c r="W2571" s="100"/>
      <c r="X2571" s="100"/>
      <c r="Y2571" s="100"/>
      <c r="Z2571" s="100"/>
    </row>
    <row r="2572" spans="1:26">
      <c r="A2572" s="100" t="e">
        <f ca="1">IFERROR(__xludf.DUMMYFUNCTION("""COMPUTED_VALUE"""),58785907)</f>
        <v>#NAME?</v>
      </c>
      <c r="B2572" s="100" t="e">
        <f ca="1">IFERROR(__xludf.DUMMYFUNCTION("""COMPUTED_VALUE"""),"WTRY")</f>
        <v>#NAME?</v>
      </c>
      <c r="C2572" s="100" t="e">
        <f ca="1">IFERROR(__xludf.DUMMYFUNCTION("""COMPUTED_VALUE"""),"2.90800000")</f>
        <v>#NAME?</v>
      </c>
      <c r="D2572" s="100" t="e">
        <f t="shared" ca="1" si="423"/>
        <v>#NAME?</v>
      </c>
      <c r="E2572" s="100" t="e">
        <f t="shared" ca="1" si="423"/>
        <v>#NAME?</v>
      </c>
      <c r="F2572" s="100" t="e">
        <f t="shared" ca="1" si="424"/>
        <v>#NAME?</v>
      </c>
      <c r="G2572" s="100" t="e">
        <f t="shared" ca="1" si="425"/>
        <v>#NAME?</v>
      </c>
      <c r="H2572" s="100" t="e">
        <f t="shared" ca="1" si="426"/>
        <v>#NAME?</v>
      </c>
      <c r="I2572" s="100" t="e">
        <f t="shared" ca="1" si="427"/>
        <v>#NAME?</v>
      </c>
      <c r="J2572" s="100" t="e">
        <f ca="1">IFERROR(__xludf.DUMMYFUNCTION("""COMPUTED_VALUE"""),"-7.004")</f>
        <v>#NAME?</v>
      </c>
      <c r="K2572" s="100" t="e">
        <f t="shared" ca="1" si="428"/>
        <v>#NAME?</v>
      </c>
      <c r="L2572" s="100"/>
      <c r="M2572" s="100"/>
      <c r="N2572" s="100"/>
      <c r="O2572" s="100"/>
      <c r="P2572" s="100"/>
      <c r="Q2572" s="100"/>
      <c r="R2572" s="100"/>
      <c r="S2572" s="100"/>
      <c r="T2572" s="100"/>
      <c r="U2572" s="100"/>
      <c r="V2572" s="100"/>
      <c r="W2572" s="100"/>
      <c r="X2572" s="100"/>
      <c r="Y2572" s="100"/>
      <c r="Z2572" s="100"/>
    </row>
    <row r="2573" spans="1:26">
      <c r="A2573" s="100" t="e">
        <f ca="1">IFERROR(__xludf.DUMMYFUNCTION("""COMPUTED_VALUE"""),58785908)</f>
        <v>#NAME?</v>
      </c>
      <c r="B2573" s="100" t="e">
        <f ca="1">IFERROR(__xludf.DUMMYFUNCTION("""COMPUTED_VALUE"""),"BOMEUSDC")</f>
        <v>#NAME?</v>
      </c>
      <c r="C2573" s="100" t="e">
        <f ca="1">IFERROR(__xludf.DUMMYFUNCTION("""COMPUTED_VALUE"""),"0.00128300")</f>
        <v>#NAME?</v>
      </c>
      <c r="D2573" s="100" t="e">
        <f t="shared" ca="1" si="423"/>
        <v>#NAME?</v>
      </c>
      <c r="E2573" s="100" t="e">
        <f t="shared" ca="1" si="423"/>
        <v>#NAME?</v>
      </c>
      <c r="F2573" s="100" t="e">
        <f t="shared" ca="1" si="424"/>
        <v>#NAME?</v>
      </c>
      <c r="G2573" s="100" t="e">
        <f t="shared" ca="1" si="425"/>
        <v>#NAME?</v>
      </c>
      <c r="H2573" s="100" t="e">
        <f t="shared" ca="1" si="426"/>
        <v>#NAME?</v>
      </c>
      <c r="I2573" s="100" t="e">
        <f t="shared" ca="1" si="427"/>
        <v>#NAME?</v>
      </c>
      <c r="J2573" s="100" t="e">
        <f ca="1">IFERROR(__xludf.DUMMYFUNCTION("""COMPUTED_VALUE"""),"0.000")</f>
        <v>#NAME?</v>
      </c>
      <c r="K2573" s="100" t="e">
        <f t="shared" ca="1" si="428"/>
        <v>#NAME?</v>
      </c>
      <c r="L2573" s="100"/>
      <c r="M2573" s="100"/>
      <c r="N2573" s="100"/>
      <c r="O2573" s="100"/>
      <c r="P2573" s="100"/>
      <c r="Q2573" s="100"/>
      <c r="R2573" s="100"/>
      <c r="S2573" s="100"/>
      <c r="T2573" s="100"/>
      <c r="U2573" s="100"/>
      <c r="V2573" s="100"/>
      <c r="W2573" s="100"/>
      <c r="X2573" s="100"/>
      <c r="Y2573" s="100"/>
      <c r="Z2573" s="100"/>
    </row>
    <row r="2574" spans="1:26">
      <c r="A2574" s="100" t="e">
        <f ca="1">IFERROR(__xludf.DUMMYFUNCTION("""COMPUTED_VALUE"""),58785909)</f>
        <v>#NAME?</v>
      </c>
      <c r="B2574" s="100" t="e">
        <f ca="1">IFERROR(__xludf.DUMMYFUNCTION("""COMPUTED_VALUE"""),"JTOUSDC")</f>
        <v>#NAME?</v>
      </c>
      <c r="C2574" s="100" t="e">
        <f ca="1">IFERROR(__xludf.DUMMYFUNCTION("""COMPUTED_VALUE"""),"1.71500000")</f>
        <v>#NAME?</v>
      </c>
      <c r="D2574" s="100" t="e">
        <f t="shared" ca="1" si="423"/>
        <v>#NAME?</v>
      </c>
      <c r="E2574" s="100" t="e">
        <f t="shared" ca="1" si="423"/>
        <v>#NAME?</v>
      </c>
      <c r="F2574" s="100" t="e">
        <f t="shared" ca="1" si="424"/>
        <v>#NAME?</v>
      </c>
      <c r="G2574" s="100" t="e">
        <f t="shared" ca="1" si="425"/>
        <v>#NAME?</v>
      </c>
      <c r="H2574" s="100" t="e">
        <f t="shared" ca="1" si="426"/>
        <v>#NAME?</v>
      </c>
      <c r="I2574" s="100" t="e">
        <f t="shared" ca="1" si="427"/>
        <v>#NAME?</v>
      </c>
      <c r="J2574" s="100" t="e">
        <f ca="1">IFERROR(__xludf.DUMMYFUNCTION("""COMPUTED_VALUE"""),"1.841")</f>
        <v>#NAME?</v>
      </c>
      <c r="K2574" s="100" t="e">
        <f t="shared" ca="1" si="428"/>
        <v>#NAME?</v>
      </c>
      <c r="L2574" s="100"/>
      <c r="M2574" s="100"/>
      <c r="N2574" s="100"/>
      <c r="O2574" s="100"/>
      <c r="P2574" s="100"/>
      <c r="Q2574" s="100"/>
      <c r="R2574" s="100"/>
      <c r="S2574" s="100"/>
      <c r="T2574" s="100"/>
      <c r="U2574" s="100"/>
      <c r="V2574" s="100"/>
      <c r="W2574" s="100"/>
      <c r="X2574" s="100"/>
      <c r="Y2574" s="100"/>
      <c r="Z2574" s="100"/>
    </row>
    <row r="2575" spans="1:26">
      <c r="A2575" s="100" t="e">
        <f ca="1">IFERROR(__xludf.DUMMYFUNCTION("""COMPUTED_VALUE"""),58785910)</f>
        <v>#NAME?</v>
      </c>
      <c r="B2575" s="100" t="e">
        <f ca="1">IFERROR(__xludf.DUMMYFUNCTION("""COMPUTED_VALUE"""),"WIFUSDC")</f>
        <v>#NAME?</v>
      </c>
      <c r="C2575" s="100" t="e">
        <f ca="1">IFERROR(__xludf.DUMMYFUNCTION("""COMPUTED_VALUE"""),"0.43500000")</f>
        <v>#NAME?</v>
      </c>
      <c r="D2575" s="100" t="e">
        <f t="shared" ca="1" si="423"/>
        <v>#NAME?</v>
      </c>
      <c r="E2575" s="100" t="e">
        <f t="shared" ca="1" si="423"/>
        <v>#NAME?</v>
      </c>
      <c r="F2575" s="100" t="e">
        <f t="shared" ca="1" si="424"/>
        <v>#NAME?</v>
      </c>
      <c r="G2575" s="100" t="e">
        <f t="shared" ca="1" si="425"/>
        <v>#NAME?</v>
      </c>
      <c r="H2575" s="100" t="e">
        <f t="shared" ca="1" si="426"/>
        <v>#NAME?</v>
      </c>
      <c r="I2575" s="100" t="e">
        <f t="shared" ca="1" si="427"/>
        <v>#NAME?</v>
      </c>
      <c r="J2575" s="100" t="e">
        <f ca="1">IFERROR(__xludf.DUMMYFUNCTION("""COMPUTED_VALUE"""),"-1.136")</f>
        <v>#NAME?</v>
      </c>
      <c r="K2575" s="100" t="e">
        <f t="shared" ca="1" si="428"/>
        <v>#NAME?</v>
      </c>
      <c r="L2575" s="100"/>
      <c r="M2575" s="100"/>
      <c r="N2575" s="100"/>
      <c r="O2575" s="100"/>
      <c r="P2575" s="100"/>
      <c r="Q2575" s="100"/>
      <c r="R2575" s="100"/>
      <c r="S2575" s="100"/>
      <c r="T2575" s="100"/>
      <c r="U2575" s="100"/>
      <c r="V2575" s="100"/>
      <c r="W2575" s="100"/>
      <c r="X2575" s="100"/>
      <c r="Y2575" s="100"/>
      <c r="Z2575" s="100"/>
    </row>
    <row r="2576" spans="1:26">
      <c r="A2576" s="100" t="e">
        <f ca="1">IFERROR(__xludf.DUMMYFUNCTION("""COMPUTED_VALUE"""),58785911)</f>
        <v>#NAME?</v>
      </c>
      <c r="B2576" s="100" t="e">
        <f ca="1">IFERROR(__xludf.DUMMYFUNCTION("""COMPUTED_VALUE"""),"TNSRBTC")</f>
        <v>#NAME?</v>
      </c>
      <c r="C2576" s="100" t="e">
        <f ca="1">IFERROR(__xludf.DUMMYFUNCTION("""COMPUTED_VALUE"""),"0.00000142")</f>
        <v>#NAME?</v>
      </c>
      <c r="D2576" s="100" t="e">
        <f t="shared" ca="1" si="423"/>
        <v>#NAME?</v>
      </c>
      <c r="E2576" s="100" t="e">
        <f t="shared" ca="1" si="423"/>
        <v>#NAME?</v>
      </c>
      <c r="F2576" s="100" t="e">
        <f t="shared" ca="1" si="424"/>
        <v>#NAME?</v>
      </c>
      <c r="G2576" s="100" t="e">
        <f t="shared" ca="1" si="425"/>
        <v>#NAME?</v>
      </c>
      <c r="H2576" s="100" t="e">
        <f t="shared" ca="1" si="426"/>
        <v>#NAME?</v>
      </c>
      <c r="I2576" s="100" t="e">
        <f t="shared" ca="1" si="427"/>
        <v>#NAME?</v>
      </c>
      <c r="J2576" s="100" t="e">
        <f ca="1">IFERROR(__xludf.DUMMYFUNCTION("""COMPUTED_VALUE"""),"-0.699")</f>
        <v>#NAME?</v>
      </c>
      <c r="K2576" s="100" t="e">
        <f t="shared" ca="1" si="428"/>
        <v>#NAME?</v>
      </c>
      <c r="L2576" s="100"/>
      <c r="M2576" s="100"/>
      <c r="N2576" s="100"/>
      <c r="O2576" s="100"/>
      <c r="P2576" s="100"/>
      <c r="Q2576" s="100"/>
      <c r="R2576" s="100"/>
      <c r="S2576" s="100"/>
      <c r="T2576" s="100"/>
      <c r="U2576" s="100"/>
      <c r="V2576" s="100"/>
      <c r="W2576" s="100"/>
      <c r="X2576" s="100"/>
      <c r="Y2576" s="100"/>
      <c r="Z2576" s="100"/>
    </row>
    <row r="2577" spans="1:26">
      <c r="A2577" s="100" t="e">
        <f ca="1">IFERROR(__xludf.DUMMYFUNCTION("""COMPUTED_VALUE"""),58785912)</f>
        <v>#NAME?</v>
      </c>
      <c r="B2577" s="100" t="e">
        <f ca="1">IFERROR(__xludf.DUMMYFUNCTION("""COMPUTED_VALUE"""),"TNSRUSDT")</f>
        <v>#NAME?</v>
      </c>
      <c r="C2577" s="100" t="e">
        <f ca="1">IFERROR(__xludf.DUMMYFUNCTION("""COMPUTED_VALUE"""),"0.14400000")</f>
        <v>#NAME?</v>
      </c>
      <c r="D2577" s="100" t="e">
        <f t="shared" ca="1" si="423"/>
        <v>#NAME?</v>
      </c>
      <c r="E2577" s="100" t="e">
        <f t="shared" ca="1" si="423"/>
        <v>#NAME?</v>
      </c>
      <c r="F2577" s="100" t="e">
        <f t="shared" ca="1" si="424"/>
        <v>#NAME?</v>
      </c>
      <c r="G2577" s="100" t="e">
        <f t="shared" ca="1" si="425"/>
        <v>#NAME?</v>
      </c>
      <c r="H2577" s="100" t="e">
        <f t="shared" ca="1" si="426"/>
        <v>#NAME?</v>
      </c>
      <c r="I2577" s="100" t="e">
        <f t="shared" ca="1" si="427"/>
        <v>#NAME?</v>
      </c>
      <c r="J2577" s="100" t="e">
        <f ca="1">IFERROR(__xludf.DUMMYFUNCTION("""COMPUTED_VALUE"""),"7.143")</f>
        <v>#NAME?</v>
      </c>
      <c r="K2577" s="100" t="e">
        <f t="shared" ca="1" si="428"/>
        <v>#NAME?</v>
      </c>
      <c r="L2577" s="100"/>
      <c r="M2577" s="100"/>
      <c r="N2577" s="100"/>
      <c r="O2577" s="100"/>
      <c r="P2577" s="100"/>
      <c r="Q2577" s="100"/>
      <c r="R2577" s="100"/>
      <c r="S2577" s="100"/>
      <c r="T2577" s="100"/>
      <c r="U2577" s="100"/>
      <c r="V2577" s="100"/>
      <c r="W2577" s="100"/>
      <c r="X2577" s="100"/>
      <c r="Y2577" s="100"/>
      <c r="Z2577" s="100"/>
    </row>
    <row r="2578" spans="1:26">
      <c r="A2578" s="100" t="e">
        <f ca="1">IFERROR(__xludf.DUMMYFUNCTION("""COMPUTED_VALUE"""),58785913)</f>
        <v>#NAME?</v>
      </c>
      <c r="B2578" s="100" t="e">
        <f ca="1">IFERROR(__xludf.DUMMYFUNCTION("""COMPUTED_VALUE"""),"TNSRFDUSD")</f>
        <v>#NAME?</v>
      </c>
      <c r="C2578" s="100" t="e">
        <f ca="1">IFERROR(__xludf.DUMMYFUNCTION("""COMPUTED_VALUE"""),"0.14380000")</f>
        <v>#NAME?</v>
      </c>
      <c r="D2578" s="100" t="e">
        <f t="shared" ca="1" si="423"/>
        <v>#NAME?</v>
      </c>
      <c r="E2578" s="100" t="e">
        <f t="shared" ca="1" si="423"/>
        <v>#NAME?</v>
      </c>
      <c r="F2578" s="100" t="e">
        <f t="shared" ca="1" si="424"/>
        <v>#NAME?</v>
      </c>
      <c r="G2578" s="100" t="e">
        <f t="shared" ca="1" si="425"/>
        <v>#NAME?</v>
      </c>
      <c r="H2578" s="100" t="e">
        <f t="shared" ca="1" si="426"/>
        <v>#NAME?</v>
      </c>
      <c r="I2578" s="100" t="e">
        <f t="shared" ca="1" si="427"/>
        <v>#NAME?</v>
      </c>
      <c r="J2578" s="100" t="e">
        <f ca="1">IFERROR(__xludf.DUMMYFUNCTION("""COMPUTED_VALUE"""),"6.835")</f>
        <v>#NAME?</v>
      </c>
      <c r="K2578" s="100" t="e">
        <f t="shared" ca="1" si="428"/>
        <v>#NAME?</v>
      </c>
      <c r="L2578" s="100"/>
      <c r="M2578" s="100"/>
      <c r="N2578" s="100"/>
      <c r="O2578" s="100"/>
      <c r="P2578" s="100"/>
      <c r="Q2578" s="100"/>
      <c r="R2578" s="100"/>
      <c r="S2578" s="100"/>
      <c r="T2578" s="100"/>
      <c r="U2578" s="100"/>
      <c r="V2578" s="100"/>
      <c r="W2578" s="100"/>
      <c r="X2578" s="100"/>
      <c r="Y2578" s="100"/>
      <c r="Z2578" s="100"/>
    </row>
    <row r="2579" spans="1:26">
      <c r="A2579" s="100" t="e">
        <f ca="1">IFERROR(__xludf.DUMMYFUNCTION("""COMPUTED_VALUE"""),58785914)</f>
        <v>#NAME?</v>
      </c>
      <c r="B2579" s="100" t="e">
        <f ca="1">IFERROR(__xludf.DUMMYFUNCTION("""COMPUTED_VALUE"""),"TNSRTRY")</f>
        <v>#NAME?</v>
      </c>
      <c r="C2579" s="100" t="e">
        <f ca="1">IFERROR(__xludf.DUMMYFUNCTION("""COMPUTED_VALUE"""),"5.50000000")</f>
        <v>#NAME?</v>
      </c>
      <c r="D2579" s="100" t="e">
        <f t="shared" ca="1" si="423"/>
        <v>#NAME?</v>
      </c>
      <c r="E2579" s="100" t="e">
        <f t="shared" ca="1" si="423"/>
        <v>#NAME?</v>
      </c>
      <c r="F2579" s="100" t="e">
        <f t="shared" ca="1" si="424"/>
        <v>#NAME?</v>
      </c>
      <c r="G2579" s="100" t="e">
        <f t="shared" ca="1" si="425"/>
        <v>#NAME?</v>
      </c>
      <c r="H2579" s="100" t="e">
        <f t="shared" ca="1" si="426"/>
        <v>#NAME?</v>
      </c>
      <c r="I2579" s="100" t="e">
        <f t="shared" ca="1" si="427"/>
        <v>#NAME?</v>
      </c>
      <c r="J2579" s="100" t="e">
        <f ca="1">IFERROR(__xludf.DUMMYFUNCTION("""COMPUTED_VALUE"""),"7.004")</f>
        <v>#NAME?</v>
      </c>
      <c r="K2579" s="100" t="e">
        <f t="shared" ca="1" si="428"/>
        <v>#NAME?</v>
      </c>
      <c r="L2579" s="100"/>
      <c r="M2579" s="100"/>
      <c r="N2579" s="100"/>
      <c r="O2579" s="100"/>
      <c r="P2579" s="100"/>
      <c r="Q2579" s="100"/>
      <c r="R2579" s="100"/>
      <c r="S2579" s="100"/>
      <c r="T2579" s="100"/>
      <c r="U2579" s="100"/>
      <c r="V2579" s="100"/>
      <c r="W2579" s="100"/>
      <c r="X2579" s="100"/>
      <c r="Y2579" s="100"/>
      <c r="Z2579" s="100"/>
    </row>
    <row r="2580" spans="1:26">
      <c r="A2580" s="100" t="e">
        <f ca="1">IFERROR(__xludf.DUMMYFUNCTION("""COMPUTED_VALUE"""),58785915)</f>
        <v>#NAME?</v>
      </c>
      <c r="B2580" s="100" t="e">
        <f ca="1">IFERROR(__xludf.DUMMYFUNCTION("""COMPUTED_VALUE"""),"SAGABTC")</f>
        <v>#NAME?</v>
      </c>
      <c r="C2580" s="100" t="e">
        <f ca="1">IFERROR(__xludf.DUMMYFUNCTION("""COMPUTED_VALUE"""),"0.00000262")</f>
        <v>#NAME?</v>
      </c>
      <c r="D2580" s="100" t="e">
        <f t="shared" ca="1" si="423"/>
        <v>#NAME?</v>
      </c>
      <c r="E2580" s="100" t="e">
        <f t="shared" ca="1" si="423"/>
        <v>#NAME?</v>
      </c>
      <c r="F2580" s="100" t="e">
        <f t="shared" ca="1" si="424"/>
        <v>#NAME?</v>
      </c>
      <c r="G2580" s="100" t="e">
        <f t="shared" ca="1" si="425"/>
        <v>#NAME?</v>
      </c>
      <c r="H2580" s="100" t="e">
        <f t="shared" ca="1" si="426"/>
        <v>#NAME?</v>
      </c>
      <c r="I2580" s="100" t="e">
        <f t="shared" ca="1" si="427"/>
        <v>#NAME?</v>
      </c>
      <c r="J2580" s="100" t="e">
        <f ca="1">IFERROR(__xludf.DUMMYFUNCTION("""COMPUTED_VALUE"""),"-2.239")</f>
        <v>#NAME?</v>
      </c>
      <c r="K2580" s="100" t="e">
        <f t="shared" ca="1" si="428"/>
        <v>#NAME?</v>
      </c>
      <c r="L2580" s="100"/>
      <c r="M2580" s="100"/>
      <c r="N2580" s="100"/>
      <c r="O2580" s="100"/>
      <c r="P2580" s="100"/>
      <c r="Q2580" s="100"/>
      <c r="R2580" s="100"/>
      <c r="S2580" s="100"/>
      <c r="T2580" s="100"/>
      <c r="U2580" s="100"/>
      <c r="V2580" s="100"/>
      <c r="W2580" s="100"/>
      <c r="X2580" s="100"/>
      <c r="Y2580" s="100"/>
      <c r="Z2580" s="100"/>
    </row>
    <row r="2581" spans="1:26">
      <c r="A2581" s="100" t="e">
        <f ca="1">IFERROR(__xludf.DUMMYFUNCTION("""COMPUTED_VALUE"""),58785916)</f>
        <v>#NAME?</v>
      </c>
      <c r="B2581" s="100" t="e">
        <f ca="1">IFERROR(__xludf.DUMMYFUNCTION("""COMPUTED_VALUE"""),"SAGAUSDT")</f>
        <v>#NAME?</v>
      </c>
      <c r="C2581" s="100" t="e">
        <f ca="1">IFERROR(__xludf.DUMMYFUNCTION("""COMPUTED_VALUE"""),"0.23200000")</f>
        <v>#NAME?</v>
      </c>
      <c r="D2581" s="100" t="e">
        <f t="shared" ca="1" si="423"/>
        <v>#NAME?</v>
      </c>
      <c r="E2581" s="100" t="e">
        <f t="shared" ca="1" si="423"/>
        <v>#NAME?</v>
      </c>
      <c r="F2581" s="100" t="e">
        <f t="shared" ca="1" si="424"/>
        <v>#NAME?</v>
      </c>
      <c r="G2581" s="100" t="e">
        <f t="shared" ca="1" si="425"/>
        <v>#NAME?</v>
      </c>
      <c r="H2581" s="100" t="e">
        <f t="shared" ca="1" si="426"/>
        <v>#NAME?</v>
      </c>
      <c r="I2581" s="100" t="e">
        <f t="shared" ca="1" si="427"/>
        <v>#NAME?</v>
      </c>
      <c r="J2581" s="100" t="e">
        <f ca="1">IFERROR(__xludf.DUMMYFUNCTION("""COMPUTED_VALUE"""),"-0.812")</f>
        <v>#NAME?</v>
      </c>
      <c r="K2581" s="100" t="e">
        <f t="shared" ca="1" si="428"/>
        <v>#NAME?</v>
      </c>
      <c r="L2581" s="100"/>
      <c r="M2581" s="100"/>
      <c r="N2581" s="100"/>
      <c r="O2581" s="100"/>
      <c r="P2581" s="100"/>
      <c r="Q2581" s="100"/>
      <c r="R2581" s="100"/>
      <c r="S2581" s="100"/>
      <c r="T2581" s="100"/>
      <c r="U2581" s="100"/>
      <c r="V2581" s="100"/>
      <c r="W2581" s="100"/>
      <c r="X2581" s="100"/>
      <c r="Y2581" s="100"/>
      <c r="Z2581" s="100"/>
    </row>
    <row r="2582" spans="1:26">
      <c r="A2582" s="100" t="e">
        <f ca="1">IFERROR(__xludf.DUMMYFUNCTION("""COMPUTED_VALUE"""),58785917)</f>
        <v>#NAME?</v>
      </c>
      <c r="B2582" s="100" t="e">
        <f ca="1">IFERROR(__xludf.DUMMYFUNCTION("""COMPUTED_VALUE"""),"SAGABNB")</f>
        <v>#NAME?</v>
      </c>
      <c r="C2582" s="100" t="e">
        <f ca="1">IFERROR(__xludf.DUMMYFUNCTION("""COMPUTED_VALUE"""),"0.00038300")</f>
        <v>#NAME?</v>
      </c>
      <c r="D2582" s="100" t="e">
        <f t="shared" ref="D2582:E2601" ca="1" si="429">IFERROR(__xludf.DUMMYFUNCTION("""COMPUTED_VALUE"""),"-")</f>
        <v>#NAME?</v>
      </c>
      <c r="E2582" s="100" t="e">
        <f t="shared" ca="1" si="429"/>
        <v>#NAME?</v>
      </c>
      <c r="F2582" s="100" t="e">
        <f t="shared" ca="1" si="424"/>
        <v>#NAME?</v>
      </c>
      <c r="G2582" s="100" t="e">
        <f t="shared" ca="1" si="425"/>
        <v>#NAME?</v>
      </c>
      <c r="H2582" s="100" t="e">
        <f t="shared" ca="1" si="426"/>
        <v>#NAME?</v>
      </c>
      <c r="I2582" s="100" t="e">
        <f t="shared" ca="1" si="427"/>
        <v>#NAME?</v>
      </c>
      <c r="J2582" s="100" t="e">
        <f ca="1">IFERROR(__xludf.DUMMYFUNCTION("""COMPUTED_VALUE"""),"-1.034")</f>
        <v>#NAME?</v>
      </c>
      <c r="K2582" s="100" t="e">
        <f t="shared" ca="1" si="428"/>
        <v>#NAME?</v>
      </c>
      <c r="L2582" s="100"/>
      <c r="M2582" s="100"/>
      <c r="N2582" s="100"/>
      <c r="O2582" s="100"/>
      <c r="P2582" s="100"/>
      <c r="Q2582" s="100"/>
      <c r="R2582" s="100"/>
      <c r="S2582" s="100"/>
      <c r="T2582" s="100"/>
      <c r="U2582" s="100"/>
      <c r="V2582" s="100"/>
      <c r="W2582" s="100"/>
      <c r="X2582" s="100"/>
      <c r="Y2582" s="100"/>
      <c r="Z2582" s="100"/>
    </row>
    <row r="2583" spans="1:26">
      <c r="A2583" s="100" t="e">
        <f ca="1">IFERROR(__xludf.DUMMYFUNCTION("""COMPUTED_VALUE"""),58785918)</f>
        <v>#NAME?</v>
      </c>
      <c r="B2583" s="100" t="e">
        <f ca="1">IFERROR(__xludf.DUMMYFUNCTION("""COMPUTED_VALUE"""),"SAGAFDUSD")</f>
        <v>#NAME?</v>
      </c>
      <c r="C2583" s="100" t="e">
        <f ca="1">IFERROR(__xludf.DUMMYFUNCTION("""COMPUTED_VALUE"""),"0.23270000")</f>
        <v>#NAME?</v>
      </c>
      <c r="D2583" s="100" t="e">
        <f t="shared" ca="1" si="429"/>
        <v>#NAME?</v>
      </c>
      <c r="E2583" s="100" t="e">
        <f t="shared" ca="1" si="429"/>
        <v>#NAME?</v>
      </c>
      <c r="F2583" s="100" t="e">
        <f t="shared" ca="1" si="424"/>
        <v>#NAME?</v>
      </c>
      <c r="G2583" s="100" t="e">
        <f t="shared" ca="1" si="425"/>
        <v>#NAME?</v>
      </c>
      <c r="H2583" s="100" t="e">
        <f t="shared" ca="1" si="426"/>
        <v>#NAME?</v>
      </c>
      <c r="I2583" s="100" t="e">
        <f t="shared" ca="1" si="427"/>
        <v>#NAME?</v>
      </c>
      <c r="J2583" s="100" t="e">
        <f ca="1">IFERROR(__xludf.DUMMYFUNCTION("""COMPUTED_VALUE"""),"-0.683")</f>
        <v>#NAME?</v>
      </c>
      <c r="K2583" s="100" t="e">
        <f t="shared" ca="1" si="428"/>
        <v>#NAME?</v>
      </c>
      <c r="L2583" s="100"/>
      <c r="M2583" s="100"/>
      <c r="N2583" s="100"/>
      <c r="O2583" s="100"/>
      <c r="P2583" s="100"/>
      <c r="Q2583" s="100"/>
      <c r="R2583" s="100"/>
      <c r="S2583" s="100"/>
      <c r="T2583" s="100"/>
      <c r="U2583" s="100"/>
      <c r="V2583" s="100"/>
      <c r="W2583" s="100"/>
      <c r="X2583" s="100"/>
      <c r="Y2583" s="100"/>
      <c r="Z2583" s="100"/>
    </row>
    <row r="2584" spans="1:26">
      <c r="A2584" s="100" t="e">
        <f ca="1">IFERROR(__xludf.DUMMYFUNCTION("""COMPUTED_VALUE"""),58785919)</f>
        <v>#NAME?</v>
      </c>
      <c r="B2584" s="100" t="e">
        <f ca="1">IFERROR(__xludf.DUMMYFUNCTION("""COMPUTED_VALUE"""),"SAGATRY")</f>
        <v>#NAME?</v>
      </c>
      <c r="C2584" s="100" t="e">
        <f ca="1">IFERROR(__xludf.DUMMYFUNCTION("""COMPUTED_VALUE"""),"8.87000000")</f>
        <v>#NAME?</v>
      </c>
      <c r="D2584" s="100" t="e">
        <f t="shared" ca="1" si="429"/>
        <v>#NAME?</v>
      </c>
      <c r="E2584" s="100" t="e">
        <f t="shared" ca="1" si="429"/>
        <v>#NAME?</v>
      </c>
      <c r="F2584" s="100" t="e">
        <f t="shared" ca="1" si="424"/>
        <v>#NAME?</v>
      </c>
      <c r="G2584" s="100" t="e">
        <f t="shared" ca="1" si="425"/>
        <v>#NAME?</v>
      </c>
      <c r="H2584" s="100" t="e">
        <f t="shared" ca="1" si="426"/>
        <v>#NAME?</v>
      </c>
      <c r="I2584" s="100" t="e">
        <f t="shared" ca="1" si="427"/>
        <v>#NAME?</v>
      </c>
      <c r="J2584" s="100" t="e">
        <f ca="1">IFERROR(__xludf.DUMMYFUNCTION("""COMPUTED_VALUE"""),"-0.561")</f>
        <v>#NAME?</v>
      </c>
      <c r="K2584" s="100" t="e">
        <f t="shared" ca="1" si="428"/>
        <v>#NAME?</v>
      </c>
      <c r="L2584" s="100"/>
      <c r="M2584" s="100"/>
      <c r="N2584" s="100"/>
      <c r="O2584" s="100"/>
      <c r="P2584" s="100"/>
      <c r="Q2584" s="100"/>
      <c r="R2584" s="100"/>
      <c r="S2584" s="100"/>
      <c r="T2584" s="100"/>
      <c r="U2584" s="100"/>
      <c r="V2584" s="100"/>
      <c r="W2584" s="100"/>
      <c r="X2584" s="100"/>
      <c r="Y2584" s="100"/>
      <c r="Z2584" s="100"/>
    </row>
    <row r="2585" spans="1:26">
      <c r="A2585" s="100" t="e">
        <f ca="1">IFERROR(__xludf.DUMMYFUNCTION("""COMPUTED_VALUE"""),58785920)</f>
        <v>#NAME?</v>
      </c>
      <c r="B2585" s="100" t="e">
        <f ca="1">IFERROR(__xludf.DUMMYFUNCTION("""COMPUTED_VALUE"""),"USDTMXN")</f>
        <v>#NAME?</v>
      </c>
      <c r="C2585" s="100" t="e">
        <f ca="1">IFERROR(__xludf.DUMMYFUNCTION("""COMPUTED_VALUE"""),"19.85000000")</f>
        <v>#NAME?</v>
      </c>
      <c r="D2585" s="100" t="e">
        <f t="shared" ca="1" si="429"/>
        <v>#NAME?</v>
      </c>
      <c r="E2585" s="100" t="e">
        <f t="shared" ca="1" si="429"/>
        <v>#NAME?</v>
      </c>
      <c r="F2585" s="100" t="e">
        <f t="shared" ca="1" si="424"/>
        <v>#NAME?</v>
      </c>
      <c r="G2585" s="100" t="e">
        <f t="shared" ca="1" si="425"/>
        <v>#NAME?</v>
      </c>
      <c r="H2585" s="100" t="e">
        <f t="shared" ca="1" si="426"/>
        <v>#NAME?</v>
      </c>
      <c r="I2585" s="100" t="e">
        <f t="shared" ca="1" si="427"/>
        <v>#NAME?</v>
      </c>
      <c r="J2585" s="100" t="e">
        <f ca="1">IFERROR(__xludf.DUMMYFUNCTION("""COMPUTED_VALUE"""),"0.101")</f>
        <v>#NAME?</v>
      </c>
      <c r="K2585" s="100" t="e">
        <f t="shared" ca="1" si="428"/>
        <v>#NAME?</v>
      </c>
      <c r="L2585" s="100"/>
      <c r="M2585" s="100"/>
      <c r="N2585" s="100"/>
      <c r="O2585" s="100"/>
      <c r="P2585" s="100"/>
      <c r="Q2585" s="100"/>
      <c r="R2585" s="100"/>
      <c r="S2585" s="100"/>
      <c r="T2585" s="100"/>
      <c r="U2585" s="100"/>
      <c r="V2585" s="100"/>
      <c r="W2585" s="100"/>
      <c r="X2585" s="100"/>
      <c r="Y2585" s="100"/>
      <c r="Z2585" s="100"/>
    </row>
    <row r="2586" spans="1:26">
      <c r="A2586" s="100" t="e">
        <f ca="1">IFERROR(__xludf.DUMMYFUNCTION("""COMPUTED_VALUE"""),58785921)</f>
        <v>#NAME?</v>
      </c>
      <c r="B2586" s="100" t="e">
        <f ca="1">IFERROR(__xludf.DUMMYFUNCTION("""COMPUTED_VALUE"""),"CKBUSDC")</f>
        <v>#NAME?</v>
      </c>
      <c r="C2586" s="100" t="e">
        <f ca="1">IFERROR(__xludf.DUMMYFUNCTION("""COMPUTED_VALUE"""),"0.00460400")</f>
        <v>#NAME?</v>
      </c>
      <c r="D2586" s="100" t="e">
        <f t="shared" ca="1" si="429"/>
        <v>#NAME?</v>
      </c>
      <c r="E2586" s="100" t="e">
        <f t="shared" ca="1" si="429"/>
        <v>#NAME?</v>
      </c>
      <c r="F2586" s="100" t="e">
        <f t="shared" ca="1" si="424"/>
        <v>#NAME?</v>
      </c>
      <c r="G2586" s="100" t="e">
        <f t="shared" ca="1" si="425"/>
        <v>#NAME?</v>
      </c>
      <c r="H2586" s="100" t="e">
        <f t="shared" ca="1" si="426"/>
        <v>#NAME?</v>
      </c>
      <c r="I2586" s="100" t="e">
        <f t="shared" ca="1" si="427"/>
        <v>#NAME?</v>
      </c>
      <c r="J2586" s="100" t="e">
        <f ca="1">IFERROR(__xludf.DUMMYFUNCTION("""COMPUTED_VALUE"""),"-5.559")</f>
        <v>#NAME?</v>
      </c>
      <c r="K2586" s="100" t="e">
        <f t="shared" ca="1" si="428"/>
        <v>#NAME?</v>
      </c>
      <c r="L2586" s="100"/>
      <c r="M2586" s="100"/>
      <c r="N2586" s="100"/>
      <c r="O2586" s="100"/>
      <c r="P2586" s="100"/>
      <c r="Q2586" s="100"/>
      <c r="R2586" s="100"/>
      <c r="S2586" s="100"/>
      <c r="T2586" s="100"/>
      <c r="U2586" s="100"/>
      <c r="V2586" s="100"/>
      <c r="W2586" s="100"/>
      <c r="X2586" s="100"/>
      <c r="Y2586" s="100"/>
      <c r="Z2586" s="100"/>
    </row>
    <row r="2587" spans="1:26">
      <c r="A2587" s="100" t="e">
        <f ca="1">IFERROR(__xludf.DUMMYFUNCTION("""COMPUTED_VALUE"""),58785922)</f>
        <v>#NAME?</v>
      </c>
      <c r="B2587" s="100" t="e">
        <f ca="1">IFERROR(__xludf.DUMMYFUNCTION("""COMPUTED_VALUE"""),"ENAUSDC")</f>
        <v>#NAME?</v>
      </c>
      <c r="C2587" s="100" t="e">
        <f ca="1">IFERROR(__xludf.DUMMYFUNCTION("""COMPUTED_VALUE"""),"0.29300000")</f>
        <v>#NAME?</v>
      </c>
      <c r="D2587" s="100" t="e">
        <f t="shared" ca="1" si="429"/>
        <v>#NAME?</v>
      </c>
      <c r="E2587" s="100" t="e">
        <f t="shared" ca="1" si="429"/>
        <v>#NAME?</v>
      </c>
      <c r="F2587" s="100" t="e">
        <f t="shared" ca="1" si="424"/>
        <v>#NAME?</v>
      </c>
      <c r="G2587" s="100" t="e">
        <f t="shared" ca="1" si="425"/>
        <v>#NAME?</v>
      </c>
      <c r="H2587" s="100" t="e">
        <f t="shared" ca="1" si="426"/>
        <v>#NAME?</v>
      </c>
      <c r="I2587" s="100" t="e">
        <f t="shared" ca="1" si="427"/>
        <v>#NAME?</v>
      </c>
      <c r="J2587" s="100" t="e">
        <f ca="1">IFERROR(__xludf.DUMMYFUNCTION("""COMPUTED_VALUE"""),"-1.941")</f>
        <v>#NAME?</v>
      </c>
      <c r="K2587" s="100" t="e">
        <f t="shared" ca="1" si="428"/>
        <v>#NAME?</v>
      </c>
      <c r="L2587" s="100"/>
      <c r="M2587" s="100"/>
      <c r="N2587" s="100"/>
      <c r="O2587" s="100"/>
      <c r="P2587" s="100"/>
      <c r="Q2587" s="100"/>
      <c r="R2587" s="100"/>
      <c r="S2587" s="100"/>
      <c r="T2587" s="100"/>
      <c r="U2587" s="100"/>
      <c r="V2587" s="100"/>
      <c r="W2587" s="100"/>
      <c r="X2587" s="100"/>
      <c r="Y2587" s="100"/>
      <c r="Z2587" s="100"/>
    </row>
    <row r="2588" spans="1:26">
      <c r="A2588" s="100" t="e">
        <f ca="1">IFERROR(__xludf.DUMMYFUNCTION("""COMPUTED_VALUE"""),58785923)</f>
        <v>#NAME?</v>
      </c>
      <c r="B2588" s="100" t="e">
        <f ca="1">IFERROR(__xludf.DUMMYFUNCTION("""COMPUTED_VALUE"""),"ETHFIUSDC")</f>
        <v>#NAME?</v>
      </c>
      <c r="C2588" s="100" t="e">
        <f ca="1">IFERROR(__xludf.DUMMYFUNCTION("""COMPUTED_VALUE"""),"0.51400000")</f>
        <v>#NAME?</v>
      </c>
      <c r="D2588" s="100" t="e">
        <f t="shared" ca="1" si="429"/>
        <v>#NAME?</v>
      </c>
      <c r="E2588" s="100" t="e">
        <f t="shared" ca="1" si="429"/>
        <v>#NAME?</v>
      </c>
      <c r="F2588" s="100" t="e">
        <f t="shared" ca="1" si="424"/>
        <v>#NAME?</v>
      </c>
      <c r="G2588" s="100" t="e">
        <f t="shared" ca="1" si="425"/>
        <v>#NAME?</v>
      </c>
      <c r="H2588" s="100" t="e">
        <f t="shared" ca="1" si="426"/>
        <v>#NAME?</v>
      </c>
      <c r="I2588" s="100" t="e">
        <f t="shared" ca="1" si="427"/>
        <v>#NAME?</v>
      </c>
      <c r="J2588" s="100" t="e">
        <f ca="1">IFERROR(__xludf.DUMMYFUNCTION("""COMPUTED_VALUE"""),"3.629")</f>
        <v>#NAME?</v>
      </c>
      <c r="K2588" s="100" t="e">
        <f t="shared" ca="1" si="428"/>
        <v>#NAME?</v>
      </c>
      <c r="L2588" s="100"/>
      <c r="M2588" s="100"/>
      <c r="N2588" s="100"/>
      <c r="O2588" s="100"/>
      <c r="P2588" s="100"/>
      <c r="Q2588" s="100"/>
      <c r="R2588" s="100"/>
      <c r="S2588" s="100"/>
      <c r="T2588" s="100"/>
      <c r="U2588" s="100"/>
      <c r="V2588" s="100"/>
      <c r="W2588" s="100"/>
      <c r="X2588" s="100"/>
      <c r="Y2588" s="100"/>
      <c r="Z2588" s="100"/>
    </row>
    <row r="2589" spans="1:26">
      <c r="A2589" s="100" t="e">
        <f ca="1">IFERROR(__xludf.DUMMYFUNCTION("""COMPUTED_VALUE"""),58785924)</f>
        <v>#NAME?</v>
      </c>
      <c r="B2589" s="100" t="e">
        <f ca="1">IFERROR(__xludf.DUMMYFUNCTION("""COMPUTED_VALUE"""),"YGGUSDC")</f>
        <v>#NAME?</v>
      </c>
      <c r="C2589" s="100" t="e">
        <f ca="1">IFERROR(__xludf.DUMMYFUNCTION("""COMPUTED_VALUE"""),"0.18200000")</f>
        <v>#NAME?</v>
      </c>
      <c r="D2589" s="100" t="e">
        <f t="shared" ca="1" si="429"/>
        <v>#NAME?</v>
      </c>
      <c r="E2589" s="100" t="e">
        <f t="shared" ca="1" si="429"/>
        <v>#NAME?</v>
      </c>
      <c r="F2589" s="100" t="e">
        <f t="shared" ca="1" si="424"/>
        <v>#NAME?</v>
      </c>
      <c r="G2589" s="100" t="e">
        <f t="shared" ca="1" si="425"/>
        <v>#NAME?</v>
      </c>
      <c r="H2589" s="100" t="e">
        <f t="shared" ca="1" si="426"/>
        <v>#NAME?</v>
      </c>
      <c r="I2589" s="100" t="e">
        <f t="shared" ca="1" si="427"/>
        <v>#NAME?</v>
      </c>
      <c r="J2589" s="100" t="e">
        <f ca="1">IFERROR(__xludf.DUMMYFUNCTION("""COMPUTED_VALUE"""),"-3.037")</f>
        <v>#NAME?</v>
      </c>
      <c r="K2589" s="100" t="e">
        <f t="shared" ca="1" si="428"/>
        <v>#NAME?</v>
      </c>
      <c r="L2589" s="100"/>
      <c r="M2589" s="100"/>
      <c r="N2589" s="100"/>
      <c r="O2589" s="100"/>
      <c r="P2589" s="100"/>
      <c r="Q2589" s="100"/>
      <c r="R2589" s="100"/>
      <c r="S2589" s="100"/>
      <c r="T2589" s="100"/>
      <c r="U2589" s="100"/>
      <c r="V2589" s="100"/>
      <c r="W2589" s="100"/>
      <c r="X2589" s="100"/>
      <c r="Y2589" s="100"/>
      <c r="Z2589" s="100"/>
    </row>
    <row r="2590" spans="1:26">
      <c r="A2590" s="100" t="e">
        <f ca="1">IFERROR(__xludf.DUMMYFUNCTION("""COMPUTED_VALUE"""),58785925)</f>
        <v>#NAME?</v>
      </c>
      <c r="B2590" s="100" t="e">
        <f ca="1">IFERROR(__xludf.DUMMYFUNCTION("""COMPUTED_VALUE"""),"USDTCZK")</f>
        <v>#NAME?</v>
      </c>
      <c r="C2590" s="100" t="e">
        <f ca="1">IFERROR(__xludf.DUMMYFUNCTION("""COMPUTED_VALUE"""),"22.90000000")</f>
        <v>#NAME?</v>
      </c>
      <c r="D2590" s="100" t="e">
        <f t="shared" ca="1" si="429"/>
        <v>#NAME?</v>
      </c>
      <c r="E2590" s="100" t="e">
        <f t="shared" ca="1" si="429"/>
        <v>#NAME?</v>
      </c>
      <c r="F2590" s="100" t="e">
        <f t="shared" ca="1" si="424"/>
        <v>#NAME?</v>
      </c>
      <c r="G2590" s="100" t="e">
        <f t="shared" ca="1" si="425"/>
        <v>#NAME?</v>
      </c>
      <c r="H2590" s="100" t="e">
        <f t="shared" ca="1" si="426"/>
        <v>#NAME?</v>
      </c>
      <c r="I2590" s="100" t="e">
        <f t="shared" ca="1" si="427"/>
        <v>#NAME?</v>
      </c>
      <c r="J2590" s="100" t="e">
        <f ca="1">IFERROR(__xludf.DUMMYFUNCTION("""COMPUTED_VALUE"""),"0")</f>
        <v>#NAME?</v>
      </c>
      <c r="K2590" s="100" t="e">
        <f t="shared" ca="1" si="428"/>
        <v>#NAME?</v>
      </c>
      <c r="L2590" s="100"/>
      <c r="M2590" s="100"/>
      <c r="N2590" s="100"/>
      <c r="O2590" s="100"/>
      <c r="P2590" s="100"/>
      <c r="Q2590" s="100"/>
      <c r="R2590" s="100"/>
      <c r="S2590" s="100"/>
      <c r="T2590" s="100"/>
      <c r="U2590" s="100"/>
      <c r="V2590" s="100"/>
      <c r="W2590" s="100"/>
      <c r="X2590" s="100"/>
      <c r="Y2590" s="100"/>
      <c r="Z2590" s="100"/>
    </row>
    <row r="2591" spans="1:26">
      <c r="A2591" s="100" t="e">
        <f ca="1">IFERROR(__xludf.DUMMYFUNCTION("""COMPUTED_VALUE"""),58785926)</f>
        <v>#NAME?</v>
      </c>
      <c r="B2591" s="100" t="e">
        <f ca="1">IFERROR(__xludf.DUMMYFUNCTION("""COMPUTED_VALUE"""),"TAOBTC")</f>
        <v>#NAME?</v>
      </c>
      <c r="C2591" s="100" t="e">
        <f ca="1">IFERROR(__xludf.DUMMYFUNCTION("""COMPUTED_VALUE"""),"0.00367500")</f>
        <v>#NAME?</v>
      </c>
      <c r="D2591" s="100" t="e">
        <f t="shared" ca="1" si="429"/>
        <v>#NAME?</v>
      </c>
      <c r="E2591" s="100" t="e">
        <f t="shared" ca="1" si="429"/>
        <v>#NAME?</v>
      </c>
      <c r="F2591" s="100" t="e">
        <f t="shared" ca="1" si="424"/>
        <v>#NAME?</v>
      </c>
      <c r="G2591" s="100" t="e">
        <f t="shared" ca="1" si="425"/>
        <v>#NAME?</v>
      </c>
      <c r="H2591" s="100" t="e">
        <f t="shared" ca="1" si="426"/>
        <v>#NAME?</v>
      </c>
      <c r="I2591" s="100" t="e">
        <f t="shared" ca="1" si="427"/>
        <v>#NAME?</v>
      </c>
      <c r="J2591" s="100" t="e">
        <f ca="1">IFERROR(__xludf.DUMMYFUNCTION("""COMPUTED_VALUE"""),"0.630")</f>
        <v>#NAME?</v>
      </c>
      <c r="K2591" s="100" t="e">
        <f t="shared" ca="1" si="428"/>
        <v>#NAME?</v>
      </c>
      <c r="L2591" s="100"/>
      <c r="M2591" s="100"/>
      <c r="N2591" s="100"/>
      <c r="O2591" s="100"/>
      <c r="P2591" s="100"/>
      <c r="Q2591" s="100"/>
      <c r="R2591" s="100"/>
      <c r="S2591" s="100"/>
      <c r="T2591" s="100"/>
      <c r="U2591" s="100"/>
      <c r="V2591" s="100"/>
      <c r="W2591" s="100"/>
      <c r="X2591" s="100"/>
      <c r="Y2591" s="100"/>
      <c r="Z2591" s="100"/>
    </row>
    <row r="2592" spans="1:26">
      <c r="A2592" s="100" t="e">
        <f ca="1">IFERROR(__xludf.DUMMYFUNCTION("""COMPUTED_VALUE"""),58785927)</f>
        <v>#NAME?</v>
      </c>
      <c r="B2592" s="100" t="e">
        <f ca="1">IFERROR(__xludf.DUMMYFUNCTION("""COMPUTED_VALUE"""),"TAOUSDT")</f>
        <v>#NAME?</v>
      </c>
      <c r="C2592" s="100" t="e">
        <f ca="1">IFERROR(__xludf.DUMMYFUNCTION("""COMPUTED_VALUE"""),"325.40000000")</f>
        <v>#NAME?</v>
      </c>
      <c r="D2592" s="100" t="e">
        <f t="shared" ca="1" si="429"/>
        <v>#NAME?</v>
      </c>
      <c r="E2592" s="100" t="e">
        <f t="shared" ca="1" si="429"/>
        <v>#NAME?</v>
      </c>
      <c r="F2592" s="100" t="e">
        <f t="shared" ca="1" si="424"/>
        <v>#NAME?</v>
      </c>
      <c r="G2592" s="100" t="e">
        <f t="shared" ca="1" si="425"/>
        <v>#NAME?</v>
      </c>
      <c r="H2592" s="100" t="e">
        <f t="shared" ca="1" si="426"/>
        <v>#NAME?</v>
      </c>
      <c r="I2592" s="100" t="e">
        <f t="shared" ca="1" si="427"/>
        <v>#NAME?</v>
      </c>
      <c r="J2592" s="100" t="e">
        <f ca="1">IFERROR(__xludf.DUMMYFUNCTION("""COMPUTED_VALUE"""),"1.879")</f>
        <v>#NAME?</v>
      </c>
      <c r="K2592" s="100" t="e">
        <f t="shared" ca="1" si="428"/>
        <v>#NAME?</v>
      </c>
      <c r="L2592" s="100"/>
      <c r="M2592" s="100"/>
      <c r="N2592" s="100"/>
      <c r="O2592" s="100"/>
      <c r="P2592" s="100"/>
      <c r="Q2592" s="100"/>
      <c r="R2592" s="100"/>
      <c r="S2592" s="100"/>
      <c r="T2592" s="100"/>
      <c r="U2592" s="100"/>
      <c r="V2592" s="100"/>
      <c r="W2592" s="100"/>
      <c r="X2592" s="100"/>
      <c r="Y2592" s="100"/>
      <c r="Z2592" s="100"/>
    </row>
    <row r="2593" spans="1:26">
      <c r="A2593" s="100" t="e">
        <f ca="1">IFERROR(__xludf.DUMMYFUNCTION("""COMPUTED_VALUE"""),58785928)</f>
        <v>#NAME?</v>
      </c>
      <c r="B2593" s="100" t="e">
        <f ca="1">IFERROR(__xludf.DUMMYFUNCTION("""COMPUTED_VALUE"""),"TAOFDUSD")</f>
        <v>#NAME?</v>
      </c>
      <c r="C2593" s="100" t="e">
        <f ca="1">IFERROR(__xludf.DUMMYFUNCTION("""COMPUTED_VALUE"""),"325.80000000")</f>
        <v>#NAME?</v>
      </c>
      <c r="D2593" s="100" t="e">
        <f t="shared" ca="1" si="429"/>
        <v>#NAME?</v>
      </c>
      <c r="E2593" s="100" t="e">
        <f t="shared" ca="1" si="429"/>
        <v>#NAME?</v>
      </c>
      <c r="F2593" s="100" t="e">
        <f t="shared" ca="1" si="424"/>
        <v>#NAME?</v>
      </c>
      <c r="G2593" s="100" t="e">
        <f t="shared" ca="1" si="425"/>
        <v>#NAME?</v>
      </c>
      <c r="H2593" s="100" t="e">
        <f t="shared" ca="1" si="426"/>
        <v>#NAME?</v>
      </c>
      <c r="I2593" s="100" t="e">
        <f t="shared" ca="1" si="427"/>
        <v>#NAME?</v>
      </c>
      <c r="J2593" s="100" t="e">
        <f ca="1">IFERROR(__xludf.DUMMYFUNCTION("""COMPUTED_VALUE"""),"1.908")</f>
        <v>#NAME?</v>
      </c>
      <c r="K2593" s="100" t="e">
        <f t="shared" ca="1" si="428"/>
        <v>#NAME?</v>
      </c>
      <c r="L2593" s="100"/>
      <c r="M2593" s="100"/>
      <c r="N2593" s="100"/>
      <c r="O2593" s="100"/>
      <c r="P2593" s="100"/>
      <c r="Q2593" s="100"/>
      <c r="R2593" s="100"/>
      <c r="S2593" s="100"/>
      <c r="T2593" s="100"/>
      <c r="U2593" s="100"/>
      <c r="V2593" s="100"/>
      <c r="W2593" s="100"/>
      <c r="X2593" s="100"/>
      <c r="Y2593" s="100"/>
      <c r="Z2593" s="100"/>
    </row>
    <row r="2594" spans="1:26">
      <c r="A2594" s="100" t="e">
        <f ca="1">IFERROR(__xludf.DUMMYFUNCTION("""COMPUTED_VALUE"""),58785929)</f>
        <v>#NAME?</v>
      </c>
      <c r="B2594" s="100" t="e">
        <f ca="1">IFERROR(__xludf.DUMMYFUNCTION("""COMPUTED_VALUE"""),"TAOTRY")</f>
        <v>#NAME?</v>
      </c>
      <c r="C2594" s="100" t="e">
        <f ca="1">IFERROR(__xludf.DUMMYFUNCTION("""COMPUTED_VALUE"""),"12434.00000000")</f>
        <v>#NAME?</v>
      </c>
      <c r="D2594" s="100" t="e">
        <f t="shared" ca="1" si="429"/>
        <v>#NAME?</v>
      </c>
      <c r="E2594" s="100" t="e">
        <f t="shared" ca="1" si="429"/>
        <v>#NAME?</v>
      </c>
      <c r="F2594" s="100" t="e">
        <f t="shared" ca="1" si="424"/>
        <v>#NAME?</v>
      </c>
      <c r="G2594" s="100" t="e">
        <f t="shared" ca="1" si="425"/>
        <v>#NAME?</v>
      </c>
      <c r="H2594" s="100" t="e">
        <f t="shared" ca="1" si="426"/>
        <v>#NAME?</v>
      </c>
      <c r="I2594" s="100" t="e">
        <f t="shared" ca="1" si="427"/>
        <v>#NAME?</v>
      </c>
      <c r="J2594" s="100" t="e">
        <f ca="1">IFERROR(__xludf.DUMMYFUNCTION("""COMPUTED_VALUE"""),"2.043")</f>
        <v>#NAME?</v>
      </c>
      <c r="K2594" s="100" t="e">
        <f t="shared" ca="1" si="428"/>
        <v>#NAME?</v>
      </c>
      <c r="L2594" s="100"/>
      <c r="M2594" s="100"/>
      <c r="N2594" s="100"/>
      <c r="O2594" s="100"/>
      <c r="P2594" s="100"/>
      <c r="Q2594" s="100"/>
      <c r="R2594" s="100"/>
      <c r="S2594" s="100"/>
      <c r="T2594" s="100"/>
      <c r="U2594" s="100"/>
      <c r="V2594" s="100"/>
      <c r="W2594" s="100"/>
      <c r="X2594" s="100"/>
      <c r="Y2594" s="100"/>
      <c r="Z2594" s="100"/>
    </row>
    <row r="2595" spans="1:26">
      <c r="A2595" s="100" t="e">
        <f ca="1">IFERROR(__xludf.DUMMYFUNCTION("""COMPUTED_VALUE"""),58785930)</f>
        <v>#NAME?</v>
      </c>
      <c r="B2595" s="100" t="e">
        <f ca="1">IFERROR(__xludf.DUMMYFUNCTION("""COMPUTED_VALUE"""),"CFXUSDC")</f>
        <v>#NAME?</v>
      </c>
      <c r="C2595" s="100" t="e">
        <f ca="1">IFERROR(__xludf.DUMMYFUNCTION("""COMPUTED_VALUE"""),"0.07140000")</f>
        <v>#NAME?</v>
      </c>
      <c r="D2595" s="100" t="e">
        <f t="shared" ca="1" si="429"/>
        <v>#NAME?</v>
      </c>
      <c r="E2595" s="100" t="e">
        <f t="shared" ca="1" si="429"/>
        <v>#NAME?</v>
      </c>
      <c r="F2595" s="100" t="e">
        <f t="shared" ca="1" si="424"/>
        <v>#NAME?</v>
      </c>
      <c r="G2595" s="100" t="e">
        <f t="shared" ca="1" si="425"/>
        <v>#NAME?</v>
      </c>
      <c r="H2595" s="100" t="e">
        <f t="shared" ca="1" si="426"/>
        <v>#NAME?</v>
      </c>
      <c r="I2595" s="100" t="e">
        <f t="shared" ca="1" si="427"/>
        <v>#NAME?</v>
      </c>
      <c r="J2595" s="100" t="e">
        <f ca="1">IFERROR(__xludf.DUMMYFUNCTION("""COMPUTED_VALUE"""),"-1.653")</f>
        <v>#NAME?</v>
      </c>
      <c r="K2595" s="100" t="e">
        <f t="shared" ca="1" si="428"/>
        <v>#NAME?</v>
      </c>
      <c r="L2595" s="100"/>
      <c r="M2595" s="100"/>
      <c r="N2595" s="100"/>
      <c r="O2595" s="100"/>
      <c r="P2595" s="100"/>
      <c r="Q2595" s="100"/>
      <c r="R2595" s="100"/>
      <c r="S2595" s="100"/>
      <c r="T2595" s="100"/>
      <c r="U2595" s="100"/>
      <c r="V2595" s="100"/>
      <c r="W2595" s="100"/>
      <c r="X2595" s="100"/>
      <c r="Y2595" s="100"/>
      <c r="Z2595" s="100"/>
    </row>
    <row r="2596" spans="1:26">
      <c r="A2596" s="100" t="e">
        <f ca="1">IFERROR(__xludf.DUMMYFUNCTION("""COMPUTED_VALUE"""),58785931)</f>
        <v>#NAME?</v>
      </c>
      <c r="B2596" s="100" t="e">
        <f ca="1">IFERROR(__xludf.DUMMYFUNCTION("""COMPUTED_VALUE"""),"RNDRUSDC")</f>
        <v>#NAME?</v>
      </c>
      <c r="C2596" s="100" t="e">
        <f ca="1">IFERROR(__xludf.DUMMYFUNCTION("""COMPUTED_VALUE"""),"7.04100000")</f>
        <v>#NAME?</v>
      </c>
      <c r="D2596" s="100" t="e">
        <f t="shared" ca="1" si="429"/>
        <v>#NAME?</v>
      </c>
      <c r="E2596" s="100" t="e">
        <f t="shared" ca="1" si="429"/>
        <v>#NAME?</v>
      </c>
      <c r="F2596" s="100" t="e">
        <f t="shared" ca="1" si="424"/>
        <v>#NAME?</v>
      </c>
      <c r="G2596" s="100" t="e">
        <f t="shared" ca="1" si="425"/>
        <v>#NAME?</v>
      </c>
      <c r="H2596" s="100" t="e">
        <f t="shared" ca="1" si="426"/>
        <v>#NAME?</v>
      </c>
      <c r="I2596" s="100" t="e">
        <f t="shared" ca="1" si="427"/>
        <v>#NAME?</v>
      </c>
      <c r="J2596" s="100" t="e">
        <f ca="1">IFERROR(__xludf.DUMMYFUNCTION("""COMPUTED_VALUE"""),"0")</f>
        <v>#NAME?</v>
      </c>
      <c r="K2596" s="100" t="e">
        <f t="shared" ca="1" si="428"/>
        <v>#NAME?</v>
      </c>
      <c r="L2596" s="100"/>
      <c r="M2596" s="100"/>
      <c r="N2596" s="100"/>
      <c r="O2596" s="100"/>
      <c r="P2596" s="100"/>
      <c r="Q2596" s="100"/>
      <c r="R2596" s="100"/>
      <c r="S2596" s="100"/>
      <c r="T2596" s="100"/>
      <c r="U2596" s="100"/>
      <c r="V2596" s="100"/>
      <c r="W2596" s="100"/>
      <c r="X2596" s="100"/>
      <c r="Y2596" s="100"/>
      <c r="Z2596" s="100"/>
    </row>
    <row r="2597" spans="1:26">
      <c r="A2597" s="100" t="e">
        <f ca="1">IFERROR(__xludf.DUMMYFUNCTION("""COMPUTED_VALUE"""),58785932)</f>
        <v>#NAME?</v>
      </c>
      <c r="B2597" s="100" t="e">
        <f ca="1">IFERROR(__xludf.DUMMYFUNCTION("""COMPUTED_VALUE"""),"RUNEUSDC")</f>
        <v>#NAME?</v>
      </c>
      <c r="C2597" s="100" t="e">
        <f ca="1">IFERROR(__xludf.DUMMYFUNCTION("""COMPUTED_VALUE"""),"1.24600000")</f>
        <v>#NAME?</v>
      </c>
      <c r="D2597" s="100" t="e">
        <f t="shared" ca="1" si="429"/>
        <v>#NAME?</v>
      </c>
      <c r="E2597" s="100" t="e">
        <f t="shared" ca="1" si="429"/>
        <v>#NAME?</v>
      </c>
      <c r="F2597" s="100" t="e">
        <f t="shared" ca="1" si="424"/>
        <v>#NAME?</v>
      </c>
      <c r="G2597" s="100" t="e">
        <f t="shared" ca="1" si="425"/>
        <v>#NAME?</v>
      </c>
      <c r="H2597" s="100" t="e">
        <f t="shared" ca="1" si="426"/>
        <v>#NAME?</v>
      </c>
      <c r="I2597" s="100" t="e">
        <f t="shared" ca="1" si="427"/>
        <v>#NAME?</v>
      </c>
      <c r="J2597" s="100" t="e">
        <f ca="1">IFERROR(__xludf.DUMMYFUNCTION("""COMPUTED_VALUE"""),"0.241")</f>
        <v>#NAME?</v>
      </c>
      <c r="K2597" s="100" t="e">
        <f t="shared" ca="1" si="428"/>
        <v>#NAME?</v>
      </c>
      <c r="L2597" s="100"/>
      <c r="M2597" s="100"/>
      <c r="N2597" s="100"/>
      <c r="O2597" s="100"/>
      <c r="P2597" s="100"/>
      <c r="Q2597" s="100"/>
      <c r="R2597" s="100"/>
      <c r="S2597" s="100"/>
      <c r="T2597" s="100"/>
      <c r="U2597" s="100"/>
      <c r="V2597" s="100"/>
      <c r="W2597" s="100"/>
      <c r="X2597" s="100"/>
      <c r="Y2597" s="100"/>
      <c r="Z2597" s="100"/>
    </row>
    <row r="2598" spans="1:26">
      <c r="A2598" s="100" t="e">
        <f ca="1">IFERROR(__xludf.DUMMYFUNCTION("""COMPUTED_VALUE"""),58785933)</f>
        <v>#NAME?</v>
      </c>
      <c r="B2598" s="100" t="e">
        <f ca="1">IFERROR(__xludf.DUMMYFUNCTION("""COMPUTED_VALUE"""),"SAGAUSDC")</f>
        <v>#NAME?</v>
      </c>
      <c r="C2598" s="100" t="e">
        <f ca="1">IFERROR(__xludf.DUMMYFUNCTION("""COMPUTED_VALUE"""),"0.23200000")</f>
        <v>#NAME?</v>
      </c>
      <c r="D2598" s="100" t="e">
        <f t="shared" ca="1" si="429"/>
        <v>#NAME?</v>
      </c>
      <c r="E2598" s="100" t="e">
        <f t="shared" ca="1" si="429"/>
        <v>#NAME?</v>
      </c>
      <c r="F2598" s="100" t="e">
        <f t="shared" ca="1" si="424"/>
        <v>#NAME?</v>
      </c>
      <c r="G2598" s="100" t="e">
        <f t="shared" ca="1" si="425"/>
        <v>#NAME?</v>
      </c>
      <c r="H2598" s="100" t="e">
        <f t="shared" ca="1" si="426"/>
        <v>#NAME?</v>
      </c>
      <c r="I2598" s="100" t="e">
        <f t="shared" ca="1" si="427"/>
        <v>#NAME?</v>
      </c>
      <c r="J2598" s="100" t="e">
        <f ca="1">IFERROR(__xludf.DUMMYFUNCTION("""COMPUTED_VALUE"""),"-0.982")</f>
        <v>#NAME?</v>
      </c>
      <c r="K2598" s="100" t="e">
        <f t="shared" ca="1" si="428"/>
        <v>#NAME?</v>
      </c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</row>
    <row r="2599" spans="1:26">
      <c r="A2599" s="100" t="e">
        <f ca="1">IFERROR(__xludf.DUMMYFUNCTION("""COMPUTED_VALUE"""),58785934)</f>
        <v>#NAME?</v>
      </c>
      <c r="B2599" s="100" t="e">
        <f ca="1">IFERROR(__xludf.DUMMYFUNCTION("""COMPUTED_VALUE"""),"POLYXTRY")</f>
        <v>#NAME?</v>
      </c>
      <c r="C2599" s="100" t="e">
        <f ca="1">IFERROR(__xludf.DUMMYFUNCTION("""COMPUTED_VALUE"""),"5.93000000")</f>
        <v>#NAME?</v>
      </c>
      <c r="D2599" s="100" t="e">
        <f t="shared" ca="1" si="429"/>
        <v>#NAME?</v>
      </c>
      <c r="E2599" s="100" t="e">
        <f t="shared" ca="1" si="429"/>
        <v>#NAME?</v>
      </c>
      <c r="F2599" s="100" t="e">
        <f t="shared" ca="1" si="424"/>
        <v>#NAME?</v>
      </c>
      <c r="G2599" s="100" t="e">
        <f t="shared" ca="1" si="425"/>
        <v>#NAME?</v>
      </c>
      <c r="H2599" s="100" t="e">
        <f t="shared" ca="1" si="426"/>
        <v>#NAME?</v>
      </c>
      <c r="I2599" s="100" t="e">
        <f t="shared" ca="1" si="427"/>
        <v>#NAME?</v>
      </c>
      <c r="J2599" s="100" t="e">
        <f ca="1">IFERROR(__xludf.DUMMYFUNCTION("""COMPUTED_VALUE"""),"2.418")</f>
        <v>#NAME?</v>
      </c>
      <c r="K2599" s="100" t="e">
        <f t="shared" ca="1" si="428"/>
        <v>#NAME?</v>
      </c>
      <c r="L2599" s="100"/>
      <c r="M2599" s="100"/>
      <c r="N2599" s="100"/>
      <c r="O2599" s="100"/>
      <c r="P2599" s="100"/>
      <c r="Q2599" s="100"/>
      <c r="R2599" s="100"/>
      <c r="S2599" s="100"/>
      <c r="T2599" s="100"/>
      <c r="U2599" s="100"/>
      <c r="V2599" s="100"/>
      <c r="W2599" s="100"/>
      <c r="X2599" s="100"/>
      <c r="Y2599" s="100"/>
      <c r="Z2599" s="100"/>
    </row>
    <row r="2600" spans="1:26">
      <c r="A2600" s="100" t="e">
        <f ca="1">IFERROR(__xludf.DUMMYFUNCTION("""COMPUTED_VALUE"""),58785935)</f>
        <v>#NAME?</v>
      </c>
      <c r="B2600" s="100" t="e">
        <f ca="1">IFERROR(__xludf.DUMMYFUNCTION("""COMPUTED_VALUE"""),"OMNIBTC")</f>
        <v>#NAME?</v>
      </c>
      <c r="C2600" s="100" t="e">
        <f ca="1">IFERROR(__xludf.DUMMYFUNCTION("""COMPUTED_VALUE"""),"0.00002510")</f>
        <v>#NAME?</v>
      </c>
      <c r="D2600" s="100" t="e">
        <f t="shared" ca="1" si="429"/>
        <v>#NAME?</v>
      </c>
      <c r="E2600" s="100" t="e">
        <f t="shared" ca="1" si="429"/>
        <v>#NAME?</v>
      </c>
      <c r="F2600" s="100" t="e">
        <f t="shared" ca="1" si="424"/>
        <v>#NAME?</v>
      </c>
      <c r="G2600" s="100" t="e">
        <f t="shared" ca="1" si="425"/>
        <v>#NAME?</v>
      </c>
      <c r="H2600" s="100" t="e">
        <f t="shared" ca="1" si="426"/>
        <v>#NAME?</v>
      </c>
      <c r="I2600" s="100" t="e">
        <f t="shared" ca="1" si="427"/>
        <v>#NAME?</v>
      </c>
      <c r="J2600" s="100" t="e">
        <f ca="1">IFERROR(__xludf.DUMMYFUNCTION("""COMPUTED_VALUE"""),"0.803")</f>
        <v>#NAME?</v>
      </c>
      <c r="K2600" s="100" t="e">
        <f t="shared" ca="1" si="428"/>
        <v>#NAME?</v>
      </c>
      <c r="L2600" s="100"/>
      <c r="M2600" s="100"/>
      <c r="N2600" s="100"/>
      <c r="O2600" s="100"/>
      <c r="P2600" s="100"/>
      <c r="Q2600" s="100"/>
      <c r="R2600" s="100"/>
      <c r="S2600" s="100"/>
      <c r="T2600" s="100"/>
      <c r="U2600" s="100"/>
      <c r="V2600" s="100"/>
      <c r="W2600" s="100"/>
      <c r="X2600" s="100"/>
      <c r="Y2600" s="100"/>
      <c r="Z2600" s="100"/>
    </row>
    <row r="2601" spans="1:26">
      <c r="A2601" s="100" t="e">
        <f ca="1">IFERROR(__xludf.DUMMYFUNCTION("""COMPUTED_VALUE"""),58785936)</f>
        <v>#NAME?</v>
      </c>
      <c r="B2601" s="100" t="e">
        <f ca="1">IFERROR(__xludf.DUMMYFUNCTION("""COMPUTED_VALUE"""),"OMNIUSDT")</f>
        <v>#NAME?</v>
      </c>
      <c r="C2601" s="100" t="e">
        <f ca="1">IFERROR(__xludf.DUMMYFUNCTION("""COMPUTED_VALUE"""),"2.23000000")</f>
        <v>#NAME?</v>
      </c>
      <c r="D2601" s="100" t="e">
        <f t="shared" ca="1" si="429"/>
        <v>#NAME?</v>
      </c>
      <c r="E2601" s="100" t="e">
        <f t="shared" ca="1" si="429"/>
        <v>#NAME?</v>
      </c>
      <c r="F2601" s="100" t="e">
        <f t="shared" ca="1" si="424"/>
        <v>#NAME?</v>
      </c>
      <c r="G2601" s="100" t="e">
        <f t="shared" ca="1" si="425"/>
        <v>#NAME?</v>
      </c>
      <c r="H2601" s="100" t="e">
        <f t="shared" ca="1" si="426"/>
        <v>#NAME?</v>
      </c>
      <c r="I2601" s="100" t="e">
        <f t="shared" ca="1" si="427"/>
        <v>#NAME?</v>
      </c>
      <c r="J2601" s="100" t="e">
        <f ca="1">IFERROR(__xludf.DUMMYFUNCTION("""COMPUTED_VALUE"""),"2.765")</f>
        <v>#NAME?</v>
      </c>
      <c r="K2601" s="100" t="e">
        <f t="shared" ca="1" si="428"/>
        <v>#NAME?</v>
      </c>
      <c r="L2601" s="100"/>
      <c r="M2601" s="100"/>
      <c r="N2601" s="100"/>
      <c r="O2601" s="100"/>
      <c r="P2601" s="100"/>
      <c r="Q2601" s="100"/>
      <c r="R2601" s="100"/>
      <c r="S2601" s="100"/>
      <c r="T2601" s="100"/>
      <c r="U2601" s="100"/>
      <c r="V2601" s="100"/>
      <c r="W2601" s="100"/>
      <c r="X2601" s="100"/>
      <c r="Y2601" s="100"/>
      <c r="Z2601" s="100"/>
    </row>
    <row r="2602" spans="1:26">
      <c r="A2602" s="100" t="e">
        <f ca="1">IFERROR(__xludf.DUMMYFUNCTION("""COMPUTED_VALUE"""),58785937)</f>
        <v>#NAME?</v>
      </c>
      <c r="B2602" s="100" t="e">
        <f ca="1">IFERROR(__xludf.DUMMYFUNCTION("""COMPUTED_VALUE"""),"OMNIBNB")</f>
        <v>#NAME?</v>
      </c>
      <c r="C2602" s="100" t="e">
        <f ca="1">IFERROR(__xludf.DUMMYFUNCTION("""COMPUTED_VALUE"""),"0.01361000")</f>
        <v>#NAME?</v>
      </c>
      <c r="D2602" s="100" t="e">
        <f t="shared" ref="D2602:E2621" ca="1" si="430">IFERROR(__xludf.DUMMYFUNCTION("""COMPUTED_VALUE"""),"-")</f>
        <v>#NAME?</v>
      </c>
      <c r="E2602" s="100" t="e">
        <f t="shared" ca="1" si="430"/>
        <v>#NAME?</v>
      </c>
      <c r="F2602" s="100" t="e">
        <f t="shared" ca="1" si="424"/>
        <v>#NAME?</v>
      </c>
      <c r="G2602" s="100" t="e">
        <f t="shared" ca="1" si="425"/>
        <v>#NAME?</v>
      </c>
      <c r="H2602" s="100" t="e">
        <f t="shared" ca="1" si="426"/>
        <v>#NAME?</v>
      </c>
      <c r="I2602" s="100" t="e">
        <f t="shared" ca="1" si="427"/>
        <v>#NAME?</v>
      </c>
      <c r="J2602" s="100" t="e">
        <f ca="1">IFERROR(__xludf.DUMMYFUNCTION("""COMPUTED_VALUE"""),"0")</f>
        <v>#NAME?</v>
      </c>
      <c r="K2602" s="100" t="e">
        <f t="shared" ca="1" si="428"/>
        <v>#NAME?</v>
      </c>
      <c r="L2602" s="100"/>
      <c r="M2602" s="100"/>
      <c r="N2602" s="100"/>
      <c r="O2602" s="100"/>
      <c r="P2602" s="100"/>
      <c r="Q2602" s="100"/>
      <c r="R2602" s="100"/>
      <c r="S2602" s="100"/>
      <c r="T2602" s="100"/>
      <c r="U2602" s="100"/>
      <c r="V2602" s="100"/>
      <c r="W2602" s="100"/>
      <c r="X2602" s="100"/>
      <c r="Y2602" s="100"/>
      <c r="Z2602" s="100"/>
    </row>
    <row r="2603" spans="1:26">
      <c r="A2603" s="100" t="e">
        <f ca="1">IFERROR(__xludf.DUMMYFUNCTION("""COMPUTED_VALUE"""),58785938)</f>
        <v>#NAME?</v>
      </c>
      <c r="B2603" s="100" t="e">
        <f ca="1">IFERROR(__xludf.DUMMYFUNCTION("""COMPUTED_VALUE"""),"OMNIFDUSD")</f>
        <v>#NAME?</v>
      </c>
      <c r="C2603" s="100" t="e">
        <f ca="1">IFERROR(__xludf.DUMMYFUNCTION("""COMPUTED_VALUE"""),"2.23000000")</f>
        <v>#NAME?</v>
      </c>
      <c r="D2603" s="100" t="e">
        <f t="shared" ca="1" si="430"/>
        <v>#NAME?</v>
      </c>
      <c r="E2603" s="100" t="e">
        <f t="shared" ca="1" si="430"/>
        <v>#NAME?</v>
      </c>
      <c r="F2603" s="100" t="e">
        <f t="shared" ca="1" si="424"/>
        <v>#NAME?</v>
      </c>
      <c r="G2603" s="100" t="e">
        <f t="shared" ca="1" si="425"/>
        <v>#NAME?</v>
      </c>
      <c r="H2603" s="100" t="e">
        <f t="shared" ca="1" si="426"/>
        <v>#NAME?</v>
      </c>
      <c r="I2603" s="100" t="e">
        <f t="shared" ca="1" si="427"/>
        <v>#NAME?</v>
      </c>
      <c r="J2603" s="100" t="e">
        <f ca="1">IFERROR(__xludf.DUMMYFUNCTION("""COMPUTED_VALUE"""),"2.294")</f>
        <v>#NAME?</v>
      </c>
      <c r="K2603" s="100" t="e">
        <f t="shared" ca="1" si="428"/>
        <v>#NAME?</v>
      </c>
      <c r="L2603" s="100"/>
      <c r="M2603" s="100"/>
      <c r="N2603" s="100"/>
      <c r="O2603" s="100"/>
      <c r="P2603" s="100"/>
      <c r="Q2603" s="100"/>
      <c r="R2603" s="100"/>
      <c r="S2603" s="100"/>
      <c r="T2603" s="100"/>
      <c r="U2603" s="100"/>
      <c r="V2603" s="100"/>
      <c r="W2603" s="100"/>
      <c r="X2603" s="100"/>
      <c r="Y2603" s="100"/>
      <c r="Z2603" s="100"/>
    </row>
    <row r="2604" spans="1:26">
      <c r="A2604" s="100" t="e">
        <f ca="1">IFERROR(__xludf.DUMMYFUNCTION("""COMPUTED_VALUE"""),58785939)</f>
        <v>#NAME?</v>
      </c>
      <c r="B2604" s="100" t="e">
        <f ca="1">IFERROR(__xludf.DUMMYFUNCTION("""COMPUTED_VALUE"""),"OMNITRY")</f>
        <v>#NAME?</v>
      </c>
      <c r="C2604" s="100" t="e">
        <f ca="1">IFERROR(__xludf.DUMMYFUNCTION("""COMPUTED_VALUE"""),"85.20000000")</f>
        <v>#NAME?</v>
      </c>
      <c r="D2604" s="100" t="e">
        <f t="shared" ca="1" si="430"/>
        <v>#NAME?</v>
      </c>
      <c r="E2604" s="100" t="e">
        <f t="shared" ca="1" si="430"/>
        <v>#NAME?</v>
      </c>
      <c r="F2604" s="100" t="e">
        <f t="shared" ca="1" si="424"/>
        <v>#NAME?</v>
      </c>
      <c r="G2604" s="100" t="e">
        <f t="shared" ca="1" si="425"/>
        <v>#NAME?</v>
      </c>
      <c r="H2604" s="100" t="e">
        <f t="shared" ca="1" si="426"/>
        <v>#NAME?</v>
      </c>
      <c r="I2604" s="100" t="e">
        <f t="shared" ca="1" si="427"/>
        <v>#NAME?</v>
      </c>
      <c r="J2604" s="100" t="e">
        <f ca="1">IFERROR(__xludf.DUMMYFUNCTION("""COMPUTED_VALUE"""),"2.651")</f>
        <v>#NAME?</v>
      </c>
      <c r="K2604" s="100" t="e">
        <f t="shared" ca="1" si="428"/>
        <v>#NAME?</v>
      </c>
      <c r="L2604" s="100"/>
      <c r="M2604" s="100"/>
      <c r="N2604" s="100"/>
      <c r="O2604" s="100"/>
      <c r="P2604" s="100"/>
      <c r="Q2604" s="100"/>
      <c r="R2604" s="100"/>
      <c r="S2604" s="100"/>
      <c r="T2604" s="100"/>
      <c r="U2604" s="100"/>
      <c r="V2604" s="100"/>
      <c r="W2604" s="100"/>
      <c r="X2604" s="100"/>
      <c r="Y2604" s="100"/>
      <c r="Z2604" s="100"/>
    </row>
    <row r="2605" spans="1:26">
      <c r="A2605" s="100" t="e">
        <f ca="1">IFERROR(__xludf.DUMMYFUNCTION("""COMPUTED_VALUE"""),58785940)</f>
        <v>#NAME?</v>
      </c>
      <c r="B2605" s="100" t="e">
        <f ca="1">IFERROR(__xludf.DUMMYFUNCTION("""COMPUTED_VALUE"""),"APTUSDC")</f>
        <v>#NAME?</v>
      </c>
      <c r="C2605" s="100" t="e">
        <f ca="1">IFERROR(__xludf.DUMMYFUNCTION("""COMPUTED_VALUE"""),"4.86200000")</f>
        <v>#NAME?</v>
      </c>
      <c r="D2605" s="100" t="e">
        <f t="shared" ca="1" si="430"/>
        <v>#NAME?</v>
      </c>
      <c r="E2605" s="100" t="e">
        <f t="shared" ca="1" si="430"/>
        <v>#NAME?</v>
      </c>
      <c r="F2605" s="100" t="e">
        <f t="shared" ca="1" si="424"/>
        <v>#NAME?</v>
      </c>
      <c r="G2605" s="100" t="e">
        <f t="shared" ca="1" si="425"/>
        <v>#NAME?</v>
      </c>
      <c r="H2605" s="100" t="e">
        <f t="shared" ca="1" si="426"/>
        <v>#NAME?</v>
      </c>
      <c r="I2605" s="100" t="e">
        <f t="shared" ca="1" si="427"/>
        <v>#NAME?</v>
      </c>
      <c r="J2605" s="100" t="e">
        <f ca="1">IFERROR(__xludf.DUMMYFUNCTION("""COMPUTED_VALUE"""),"-6.193")</f>
        <v>#NAME?</v>
      </c>
      <c r="K2605" s="100" t="e">
        <f t="shared" ca="1" si="428"/>
        <v>#NAME?</v>
      </c>
      <c r="L2605" s="100"/>
      <c r="M2605" s="100"/>
      <c r="N2605" s="100"/>
      <c r="O2605" s="100"/>
      <c r="P2605" s="100"/>
      <c r="Q2605" s="100"/>
      <c r="R2605" s="100"/>
      <c r="S2605" s="100"/>
      <c r="T2605" s="100"/>
      <c r="U2605" s="100"/>
      <c r="V2605" s="100"/>
      <c r="W2605" s="100"/>
      <c r="X2605" s="100"/>
      <c r="Y2605" s="100"/>
      <c r="Z2605" s="100"/>
    </row>
    <row r="2606" spans="1:26">
      <c r="A2606" s="100" t="e">
        <f ca="1">IFERROR(__xludf.DUMMYFUNCTION("""COMPUTED_VALUE"""),58785941)</f>
        <v>#NAME?</v>
      </c>
      <c r="B2606" s="100" t="e">
        <f ca="1">IFERROR(__xludf.DUMMYFUNCTION("""COMPUTED_VALUE"""),"GALAUSDC")</f>
        <v>#NAME?</v>
      </c>
      <c r="C2606" s="100" t="e">
        <f ca="1">IFERROR(__xludf.DUMMYFUNCTION("""COMPUTED_VALUE"""),"0.01595000")</f>
        <v>#NAME?</v>
      </c>
      <c r="D2606" s="100" t="e">
        <f t="shared" ca="1" si="430"/>
        <v>#NAME?</v>
      </c>
      <c r="E2606" s="100" t="e">
        <f t="shared" ca="1" si="430"/>
        <v>#NAME?</v>
      </c>
      <c r="F2606" s="100" t="e">
        <f t="shared" ca="1" si="424"/>
        <v>#NAME?</v>
      </c>
      <c r="G2606" s="100" t="e">
        <f t="shared" ca="1" si="425"/>
        <v>#NAME?</v>
      </c>
      <c r="H2606" s="100" t="e">
        <f t="shared" ca="1" si="426"/>
        <v>#NAME?</v>
      </c>
      <c r="I2606" s="100" t="e">
        <f t="shared" ca="1" si="427"/>
        <v>#NAME?</v>
      </c>
      <c r="J2606" s="100" t="e">
        <f ca="1">IFERROR(__xludf.DUMMYFUNCTION("""COMPUTED_VALUE"""),"-1.967")</f>
        <v>#NAME?</v>
      </c>
      <c r="K2606" s="100" t="e">
        <f t="shared" ca="1" si="428"/>
        <v>#NAME?</v>
      </c>
      <c r="L2606" s="100"/>
      <c r="M2606" s="100"/>
      <c r="N2606" s="100"/>
      <c r="O2606" s="100"/>
      <c r="P2606" s="100"/>
      <c r="Q2606" s="100"/>
      <c r="R2606" s="100"/>
      <c r="S2606" s="100"/>
      <c r="T2606" s="100"/>
      <c r="U2606" s="100"/>
      <c r="V2606" s="100"/>
      <c r="W2606" s="100"/>
      <c r="X2606" s="100"/>
      <c r="Y2606" s="100"/>
      <c r="Z2606" s="100"/>
    </row>
    <row r="2607" spans="1:26">
      <c r="A2607" s="100" t="e">
        <f ca="1">IFERROR(__xludf.DUMMYFUNCTION("""COMPUTED_VALUE"""),58785942)</f>
        <v>#NAME?</v>
      </c>
      <c r="B2607" s="100" t="e">
        <f ca="1">IFERROR(__xludf.DUMMYFUNCTION("""COMPUTED_VALUE"""),"OMNIBRL")</f>
        <v>#NAME?</v>
      </c>
      <c r="C2607" s="100" t="e">
        <f ca="1">IFERROR(__xludf.DUMMYFUNCTION("""COMPUTED_VALUE"""),"40.20000000")</f>
        <v>#NAME?</v>
      </c>
      <c r="D2607" s="100" t="e">
        <f t="shared" ca="1" si="430"/>
        <v>#NAME?</v>
      </c>
      <c r="E2607" s="100" t="e">
        <f t="shared" ca="1" si="430"/>
        <v>#NAME?</v>
      </c>
      <c r="F2607" s="100" t="e">
        <f t="shared" ca="1" si="424"/>
        <v>#NAME?</v>
      </c>
      <c r="G2607" s="100" t="e">
        <f t="shared" ca="1" si="425"/>
        <v>#NAME?</v>
      </c>
      <c r="H2607" s="100" t="e">
        <f t="shared" ca="1" si="426"/>
        <v>#NAME?</v>
      </c>
      <c r="I2607" s="100" t="e">
        <f t="shared" ca="1" si="427"/>
        <v>#NAME?</v>
      </c>
      <c r="J2607" s="100" t="e">
        <f ca="1">IFERROR(__xludf.DUMMYFUNCTION("""COMPUTED_VALUE"""),"0")</f>
        <v>#NAME?</v>
      </c>
      <c r="K2607" s="100" t="e">
        <f t="shared" ca="1" si="428"/>
        <v>#NAME?</v>
      </c>
      <c r="L2607" s="100"/>
      <c r="M2607" s="100"/>
      <c r="N2607" s="100"/>
      <c r="O2607" s="100"/>
      <c r="P2607" s="100"/>
      <c r="Q2607" s="100"/>
      <c r="R2607" s="100"/>
      <c r="S2607" s="100"/>
      <c r="T2607" s="100"/>
      <c r="U2607" s="100"/>
      <c r="V2607" s="100"/>
      <c r="W2607" s="100"/>
      <c r="X2607" s="100"/>
      <c r="Y2607" s="100"/>
      <c r="Z2607" s="100"/>
    </row>
    <row r="2608" spans="1:26">
      <c r="A2608" s="100" t="e">
        <f ca="1">IFERROR(__xludf.DUMMYFUNCTION("""COMPUTED_VALUE"""),58785943)</f>
        <v>#NAME?</v>
      </c>
      <c r="B2608" s="100" t="e">
        <f ca="1">IFERROR(__xludf.DUMMYFUNCTION("""COMPUTED_VALUE"""),"STXUSDC")</f>
        <v>#NAME?</v>
      </c>
      <c r="C2608" s="100" t="e">
        <f ca="1">IFERROR(__xludf.DUMMYFUNCTION("""COMPUTED_VALUE"""),"0.74900000")</f>
        <v>#NAME?</v>
      </c>
      <c r="D2608" s="100" t="e">
        <f t="shared" ca="1" si="430"/>
        <v>#NAME?</v>
      </c>
      <c r="E2608" s="100" t="e">
        <f t="shared" ca="1" si="430"/>
        <v>#NAME?</v>
      </c>
      <c r="F2608" s="100" t="e">
        <f t="shared" ca="1" si="424"/>
        <v>#NAME?</v>
      </c>
      <c r="G2608" s="100" t="e">
        <f t="shared" ca="1" si="425"/>
        <v>#NAME?</v>
      </c>
      <c r="H2608" s="100" t="e">
        <f t="shared" ca="1" si="426"/>
        <v>#NAME?</v>
      </c>
      <c r="I2608" s="100" t="e">
        <f t="shared" ca="1" si="427"/>
        <v>#NAME?</v>
      </c>
      <c r="J2608" s="100" t="e">
        <f ca="1">IFERROR(__xludf.DUMMYFUNCTION("""COMPUTED_VALUE"""),"6.847")</f>
        <v>#NAME?</v>
      </c>
      <c r="K2608" s="100" t="e">
        <f t="shared" ca="1" si="428"/>
        <v>#NAME?</v>
      </c>
      <c r="L2608" s="100"/>
      <c r="M2608" s="100"/>
      <c r="N2608" s="100"/>
      <c r="O2608" s="100"/>
      <c r="P2608" s="100"/>
      <c r="Q2608" s="100"/>
      <c r="R2608" s="100"/>
      <c r="S2608" s="100"/>
      <c r="T2608" s="100"/>
      <c r="U2608" s="100"/>
      <c r="V2608" s="100"/>
      <c r="W2608" s="100"/>
      <c r="X2608" s="100"/>
      <c r="Y2608" s="100"/>
      <c r="Z2608" s="100"/>
    </row>
    <row r="2609" spans="1:26">
      <c r="A2609" s="100" t="e">
        <f ca="1">IFERROR(__xludf.DUMMYFUNCTION("""COMPUTED_VALUE"""),58785944)</f>
        <v>#NAME?</v>
      </c>
      <c r="B2609" s="100" t="e">
        <f ca="1">IFERROR(__xludf.DUMMYFUNCTION("""COMPUTED_VALUE"""),"ICPUSDC")</f>
        <v>#NAME?</v>
      </c>
      <c r="C2609" s="100" t="e">
        <f ca="1">IFERROR(__xludf.DUMMYFUNCTION("""COMPUTED_VALUE"""),"4.67300000")</f>
        <v>#NAME?</v>
      </c>
      <c r="D2609" s="100" t="e">
        <f t="shared" ca="1" si="430"/>
        <v>#NAME?</v>
      </c>
      <c r="E2609" s="100" t="e">
        <f t="shared" ca="1" si="430"/>
        <v>#NAME?</v>
      </c>
      <c r="F2609" s="100" t="e">
        <f t="shared" ca="1" si="424"/>
        <v>#NAME?</v>
      </c>
      <c r="G2609" s="100" t="e">
        <f t="shared" ca="1" si="425"/>
        <v>#NAME?</v>
      </c>
      <c r="H2609" s="100" t="e">
        <f t="shared" ca="1" si="426"/>
        <v>#NAME?</v>
      </c>
      <c r="I2609" s="100" t="e">
        <f t="shared" ca="1" si="427"/>
        <v>#NAME?</v>
      </c>
      <c r="J2609" s="100" t="e">
        <f ca="1">IFERROR(__xludf.DUMMYFUNCTION("""COMPUTED_VALUE"""),"-6.089")</f>
        <v>#NAME?</v>
      </c>
      <c r="K2609" s="100" t="e">
        <f t="shared" ca="1" si="428"/>
        <v>#NAME?</v>
      </c>
      <c r="L2609" s="100"/>
      <c r="M2609" s="100"/>
      <c r="N2609" s="100"/>
      <c r="O2609" s="100"/>
      <c r="P2609" s="100"/>
      <c r="Q2609" s="100"/>
      <c r="R2609" s="100"/>
      <c r="S2609" s="100"/>
      <c r="T2609" s="100"/>
      <c r="U2609" s="100"/>
      <c r="V2609" s="100"/>
      <c r="W2609" s="100"/>
      <c r="X2609" s="100"/>
      <c r="Y2609" s="100"/>
      <c r="Z2609" s="100"/>
    </row>
    <row r="2610" spans="1:26">
      <c r="A2610" s="100" t="e">
        <f ca="1">IFERROR(__xludf.DUMMYFUNCTION("""COMPUTED_VALUE"""),58785945)</f>
        <v>#NAME?</v>
      </c>
      <c r="B2610" s="100" t="e">
        <f ca="1">IFERROR(__xludf.DUMMYFUNCTION("""COMPUTED_VALUE"""),"OMNIUSDC")</f>
        <v>#NAME?</v>
      </c>
      <c r="C2610" s="100" t="e">
        <f ca="1">IFERROR(__xludf.DUMMYFUNCTION("""COMPUTED_VALUE"""),"2.22000000")</f>
        <v>#NAME?</v>
      </c>
      <c r="D2610" s="100" t="e">
        <f t="shared" ca="1" si="430"/>
        <v>#NAME?</v>
      </c>
      <c r="E2610" s="100" t="e">
        <f t="shared" ca="1" si="430"/>
        <v>#NAME?</v>
      </c>
      <c r="F2610" s="100" t="e">
        <f t="shared" ca="1" si="424"/>
        <v>#NAME?</v>
      </c>
      <c r="G2610" s="100" t="e">
        <f t="shared" ca="1" si="425"/>
        <v>#NAME?</v>
      </c>
      <c r="H2610" s="100" t="e">
        <f t="shared" ca="1" si="426"/>
        <v>#NAME?</v>
      </c>
      <c r="I2610" s="100" t="e">
        <f t="shared" ca="1" si="427"/>
        <v>#NAME?</v>
      </c>
      <c r="J2610" s="100" t="e">
        <f ca="1">IFERROR(__xludf.DUMMYFUNCTION("""COMPUTED_VALUE"""),"2.304")</f>
        <v>#NAME?</v>
      </c>
      <c r="K2610" s="100" t="e">
        <f t="shared" ca="1" si="428"/>
        <v>#NAME?</v>
      </c>
      <c r="L2610" s="100"/>
      <c r="M2610" s="100"/>
      <c r="N2610" s="100"/>
      <c r="O2610" s="100"/>
      <c r="P2610" s="100"/>
      <c r="Q2610" s="100"/>
      <c r="R2610" s="100"/>
      <c r="S2610" s="100"/>
      <c r="T2610" s="100"/>
      <c r="U2610" s="100"/>
      <c r="V2610" s="100"/>
      <c r="W2610" s="100"/>
      <c r="X2610" s="100"/>
      <c r="Y2610" s="100"/>
      <c r="Z2610" s="100"/>
    </row>
    <row r="2611" spans="1:26">
      <c r="A2611" s="100" t="e">
        <f ca="1">IFERROR(__xludf.DUMMYFUNCTION("""COMPUTED_VALUE"""),58785946)</f>
        <v>#NAME?</v>
      </c>
      <c r="B2611" s="100" t="e">
        <f ca="1">IFERROR(__xludf.DUMMYFUNCTION("""COMPUTED_VALUE"""),"PEPEBRL")</f>
        <v>#NAME?</v>
      </c>
      <c r="C2611" s="100" t="e">
        <f ca="1">IFERROR(__xludf.DUMMYFUNCTION("""COMPUTED_VALUE"""),"0.00004730")</f>
        <v>#NAME?</v>
      </c>
      <c r="D2611" s="100" t="e">
        <f t="shared" ca="1" si="430"/>
        <v>#NAME?</v>
      </c>
      <c r="E2611" s="100" t="e">
        <f t="shared" ca="1" si="430"/>
        <v>#NAME?</v>
      </c>
      <c r="F2611" s="100" t="e">
        <f t="shared" ca="1" si="424"/>
        <v>#NAME?</v>
      </c>
      <c r="G2611" s="100" t="e">
        <f t="shared" ca="1" si="425"/>
        <v>#NAME?</v>
      </c>
      <c r="H2611" s="100" t="e">
        <f t="shared" ca="1" si="426"/>
        <v>#NAME?</v>
      </c>
      <c r="I2611" s="100" t="e">
        <f t="shared" ca="1" si="427"/>
        <v>#NAME?</v>
      </c>
      <c r="J2611" s="100" t="e">
        <f ca="1">IFERROR(__xludf.DUMMYFUNCTION("""COMPUTED_VALUE"""),"3.524")</f>
        <v>#NAME?</v>
      </c>
      <c r="K2611" s="100" t="e">
        <f t="shared" ca="1" si="428"/>
        <v>#NAME?</v>
      </c>
      <c r="L2611" s="100"/>
      <c r="M2611" s="100"/>
      <c r="N2611" s="100"/>
      <c r="O2611" s="100"/>
      <c r="P2611" s="100"/>
      <c r="Q2611" s="100"/>
      <c r="R2611" s="100"/>
      <c r="S2611" s="100"/>
      <c r="T2611" s="100"/>
      <c r="U2611" s="100"/>
      <c r="V2611" s="100"/>
      <c r="W2611" s="100"/>
      <c r="X2611" s="100"/>
      <c r="Y2611" s="100"/>
      <c r="Z2611" s="100"/>
    </row>
    <row r="2612" spans="1:26">
      <c r="A2612" s="100" t="e">
        <f ca="1">IFERROR(__xludf.DUMMYFUNCTION("""COMPUTED_VALUE"""),58785947)</f>
        <v>#NAME?</v>
      </c>
      <c r="B2612" s="100" t="e">
        <f ca="1">IFERROR(__xludf.DUMMYFUNCTION("""COMPUTED_VALUE"""),"YGGTRY")</f>
        <v>#NAME?</v>
      </c>
      <c r="C2612" s="100" t="e">
        <f ca="1">IFERROR(__xludf.DUMMYFUNCTION("""COMPUTED_VALUE"""),"6.93000000")</f>
        <v>#NAME?</v>
      </c>
      <c r="D2612" s="100" t="e">
        <f t="shared" ca="1" si="430"/>
        <v>#NAME?</v>
      </c>
      <c r="E2612" s="100" t="e">
        <f t="shared" ca="1" si="430"/>
        <v>#NAME?</v>
      </c>
      <c r="F2612" s="100" t="e">
        <f t="shared" ca="1" si="424"/>
        <v>#NAME?</v>
      </c>
      <c r="G2612" s="100" t="e">
        <f t="shared" ca="1" si="425"/>
        <v>#NAME?</v>
      </c>
      <c r="H2612" s="100" t="e">
        <f t="shared" ca="1" si="426"/>
        <v>#NAME?</v>
      </c>
      <c r="I2612" s="100" t="e">
        <f t="shared" ca="1" si="427"/>
        <v>#NAME?</v>
      </c>
      <c r="J2612" s="100" t="e">
        <f ca="1">IFERROR(__xludf.DUMMYFUNCTION("""COMPUTED_VALUE"""),"-3.616")</f>
        <v>#NAME?</v>
      </c>
      <c r="K2612" s="100" t="e">
        <f t="shared" ca="1" si="428"/>
        <v>#NAME?</v>
      </c>
      <c r="L2612" s="100"/>
      <c r="M2612" s="100"/>
      <c r="N2612" s="100"/>
      <c r="O2612" s="100"/>
      <c r="P2612" s="100"/>
      <c r="Q2612" s="100"/>
      <c r="R2612" s="100"/>
      <c r="S2612" s="100"/>
      <c r="T2612" s="100"/>
      <c r="U2612" s="100"/>
      <c r="V2612" s="100"/>
      <c r="W2612" s="100"/>
      <c r="X2612" s="100"/>
      <c r="Y2612" s="100"/>
      <c r="Z2612" s="100"/>
    </row>
    <row r="2613" spans="1:26">
      <c r="A2613" s="100" t="e">
        <f ca="1">IFERROR(__xludf.DUMMYFUNCTION("""COMPUTED_VALUE"""),58785948)</f>
        <v>#NAME?</v>
      </c>
      <c r="B2613" s="100" t="e">
        <f ca="1">IFERROR(__xludf.DUMMYFUNCTION("""COMPUTED_VALUE"""),"ADAJPY")</f>
        <v>#NAME?</v>
      </c>
      <c r="C2613" s="100" t="e">
        <f ca="1">IFERROR(__xludf.DUMMYFUNCTION("""COMPUTED_VALUE"""),"90.09000000")</f>
        <v>#NAME?</v>
      </c>
      <c r="D2613" s="100" t="e">
        <f t="shared" ca="1" si="430"/>
        <v>#NAME?</v>
      </c>
      <c r="E2613" s="100" t="e">
        <f t="shared" ca="1" si="430"/>
        <v>#NAME?</v>
      </c>
      <c r="F2613" s="100" t="e">
        <f t="shared" ca="1" si="424"/>
        <v>#NAME?</v>
      </c>
      <c r="G2613" s="100" t="e">
        <f t="shared" ca="1" si="425"/>
        <v>#NAME?</v>
      </c>
      <c r="H2613" s="100" t="e">
        <f t="shared" ca="1" si="426"/>
        <v>#NAME?</v>
      </c>
      <c r="I2613" s="100" t="e">
        <f t="shared" ca="1" si="427"/>
        <v>#NAME?</v>
      </c>
      <c r="J2613" s="100" t="e">
        <f ca="1">IFERROR(__xludf.DUMMYFUNCTION("""COMPUTED_VALUE"""),"-1.163")</f>
        <v>#NAME?</v>
      </c>
      <c r="K2613" s="100" t="e">
        <f t="shared" ca="1" si="428"/>
        <v>#NAME?</v>
      </c>
      <c r="L2613" s="100"/>
      <c r="M2613" s="100"/>
      <c r="N2613" s="100"/>
      <c r="O2613" s="100"/>
      <c r="P2613" s="100"/>
      <c r="Q2613" s="100"/>
      <c r="R2613" s="100"/>
      <c r="S2613" s="100"/>
      <c r="T2613" s="100"/>
      <c r="U2613" s="100"/>
      <c r="V2613" s="100"/>
      <c r="W2613" s="100"/>
      <c r="X2613" s="100"/>
      <c r="Y2613" s="100"/>
      <c r="Z2613" s="100"/>
    </row>
    <row r="2614" spans="1:26">
      <c r="A2614" s="100" t="e">
        <f ca="1">IFERROR(__xludf.DUMMYFUNCTION("""COMPUTED_VALUE"""),58785949)</f>
        <v>#NAME?</v>
      </c>
      <c r="B2614" s="100" t="e">
        <f ca="1">IFERROR(__xludf.DUMMYFUNCTION("""COMPUTED_VALUE"""),"SHIBJPY")</f>
        <v>#NAME?</v>
      </c>
      <c r="C2614" s="100" t="e">
        <f ca="1">IFERROR(__xludf.DUMMYFUNCTION("""COMPUTED_VALUE"""),"0.00176200")</f>
        <v>#NAME?</v>
      </c>
      <c r="D2614" s="100" t="e">
        <f t="shared" ca="1" si="430"/>
        <v>#NAME?</v>
      </c>
      <c r="E2614" s="100" t="e">
        <f t="shared" ca="1" si="430"/>
        <v>#NAME?</v>
      </c>
      <c r="F2614" s="100" t="e">
        <f t="shared" ca="1" si="424"/>
        <v>#NAME?</v>
      </c>
      <c r="G2614" s="100" t="e">
        <f t="shared" ca="1" si="425"/>
        <v>#NAME?</v>
      </c>
      <c r="H2614" s="100" t="e">
        <f t="shared" ca="1" si="426"/>
        <v>#NAME?</v>
      </c>
      <c r="I2614" s="100" t="e">
        <f t="shared" ca="1" si="427"/>
        <v>#NAME?</v>
      </c>
      <c r="J2614" s="100" t="e">
        <f ca="1">IFERROR(__xludf.DUMMYFUNCTION("""COMPUTED_VALUE"""),"-0.956")</f>
        <v>#NAME?</v>
      </c>
      <c r="K2614" s="100" t="e">
        <f t="shared" ca="1" si="428"/>
        <v>#NAME?</v>
      </c>
      <c r="L2614" s="100"/>
      <c r="M2614" s="100"/>
      <c r="N2614" s="100"/>
      <c r="O2614" s="100"/>
      <c r="P2614" s="100"/>
      <c r="Q2614" s="100"/>
      <c r="R2614" s="100"/>
      <c r="S2614" s="100"/>
      <c r="T2614" s="100"/>
      <c r="U2614" s="100"/>
      <c r="V2614" s="100"/>
      <c r="W2614" s="100"/>
      <c r="X2614" s="100"/>
      <c r="Y2614" s="100"/>
      <c r="Z2614" s="100"/>
    </row>
    <row r="2615" spans="1:26">
      <c r="A2615" s="100" t="e">
        <f ca="1">IFERROR(__xludf.DUMMYFUNCTION("""COMPUTED_VALUE"""),58785950)</f>
        <v>#NAME?</v>
      </c>
      <c r="B2615" s="100" t="e">
        <f ca="1">IFERROR(__xludf.DUMMYFUNCTION("""COMPUTED_VALUE"""),"SOLJPY")</f>
        <v>#NAME?</v>
      </c>
      <c r="C2615" s="100" t="e">
        <f ca="1">IFERROR(__xludf.DUMMYFUNCTION("""COMPUTED_VALUE"""),"19710.00000000")</f>
        <v>#NAME?</v>
      </c>
      <c r="D2615" s="100" t="e">
        <f t="shared" ca="1" si="430"/>
        <v>#NAME?</v>
      </c>
      <c r="E2615" s="100" t="e">
        <f t="shared" ca="1" si="430"/>
        <v>#NAME?</v>
      </c>
      <c r="F2615" s="100" t="e">
        <f t="shared" ca="1" si="424"/>
        <v>#NAME?</v>
      </c>
      <c r="G2615" s="100" t="e">
        <f t="shared" ca="1" si="425"/>
        <v>#NAME?</v>
      </c>
      <c r="H2615" s="100" t="e">
        <f t="shared" ca="1" si="426"/>
        <v>#NAME?</v>
      </c>
      <c r="I2615" s="100" t="e">
        <f t="shared" ca="1" si="427"/>
        <v>#NAME?</v>
      </c>
      <c r="J2615" s="100" t="e">
        <f ca="1">IFERROR(__xludf.DUMMYFUNCTION("""COMPUTED_VALUE"""),"-0.177")</f>
        <v>#NAME?</v>
      </c>
      <c r="K2615" s="100" t="e">
        <f t="shared" ca="1" si="428"/>
        <v>#NAME?</v>
      </c>
      <c r="L2615" s="100"/>
      <c r="M2615" s="100"/>
      <c r="N2615" s="100"/>
      <c r="O2615" s="100"/>
      <c r="P2615" s="100"/>
      <c r="Q2615" s="100"/>
      <c r="R2615" s="100"/>
      <c r="S2615" s="100"/>
      <c r="T2615" s="100"/>
      <c r="U2615" s="100"/>
      <c r="V2615" s="100"/>
      <c r="W2615" s="100"/>
      <c r="X2615" s="100"/>
      <c r="Y2615" s="100"/>
      <c r="Z2615" s="100"/>
    </row>
    <row r="2616" spans="1:26">
      <c r="A2616" s="100" t="e">
        <f ca="1">IFERROR(__xludf.DUMMYFUNCTION("""COMPUTED_VALUE"""),58785951)</f>
        <v>#NAME?</v>
      </c>
      <c r="B2616" s="100" t="e">
        <f ca="1">IFERROR(__xludf.DUMMYFUNCTION("""COMPUTED_VALUE"""),"XRPJPY")</f>
        <v>#NAME?</v>
      </c>
      <c r="C2616" s="100" t="e">
        <f ca="1">IFERROR(__xludf.DUMMYFUNCTION("""COMPUTED_VALUE"""),"296.31000000")</f>
        <v>#NAME?</v>
      </c>
      <c r="D2616" s="100" t="e">
        <f t="shared" ca="1" si="430"/>
        <v>#NAME?</v>
      </c>
      <c r="E2616" s="100" t="e">
        <f t="shared" ca="1" si="430"/>
        <v>#NAME?</v>
      </c>
      <c r="F2616" s="100" t="e">
        <f t="shared" ca="1" si="424"/>
        <v>#NAME?</v>
      </c>
      <c r="G2616" s="100" t="e">
        <f t="shared" ca="1" si="425"/>
        <v>#NAME?</v>
      </c>
      <c r="H2616" s="100" t="e">
        <f t="shared" ca="1" si="426"/>
        <v>#NAME?</v>
      </c>
      <c r="I2616" s="100" t="e">
        <f t="shared" ca="1" si="427"/>
        <v>#NAME?</v>
      </c>
      <c r="J2616" s="100" t="e">
        <f ca="1">IFERROR(__xludf.DUMMYFUNCTION("""COMPUTED_VALUE"""),"-1.108")</f>
        <v>#NAME?</v>
      </c>
      <c r="K2616" s="100" t="e">
        <f t="shared" ca="1" si="428"/>
        <v>#NAME?</v>
      </c>
      <c r="L2616" s="100"/>
      <c r="M2616" s="100"/>
      <c r="N2616" s="100"/>
      <c r="O2616" s="100"/>
      <c r="P2616" s="100"/>
      <c r="Q2616" s="100"/>
      <c r="R2616" s="100"/>
      <c r="S2616" s="100"/>
      <c r="T2616" s="100"/>
      <c r="U2616" s="100"/>
      <c r="V2616" s="100"/>
      <c r="W2616" s="100"/>
      <c r="X2616" s="100"/>
      <c r="Y2616" s="100"/>
      <c r="Z2616" s="100"/>
    </row>
    <row r="2617" spans="1:26">
      <c r="A2617" s="100" t="e">
        <f ca="1">IFERROR(__xludf.DUMMYFUNCTION("""COMPUTED_VALUE"""),58785952)</f>
        <v>#NAME?</v>
      </c>
      <c r="B2617" s="100" t="e">
        <f ca="1">IFERROR(__xludf.DUMMYFUNCTION("""COMPUTED_VALUE"""),"REZBTC")</f>
        <v>#NAME?</v>
      </c>
      <c r="C2617" s="100" t="e">
        <f ca="1">IFERROR(__xludf.DUMMYFUNCTION("""COMPUTED_VALUE"""),"0.00000018")</f>
        <v>#NAME?</v>
      </c>
      <c r="D2617" s="100" t="e">
        <f t="shared" ca="1" si="430"/>
        <v>#NAME?</v>
      </c>
      <c r="E2617" s="100" t="e">
        <f t="shared" ca="1" si="430"/>
        <v>#NAME?</v>
      </c>
      <c r="F2617" s="100" t="e">
        <f t="shared" ca="1" si="424"/>
        <v>#NAME?</v>
      </c>
      <c r="G2617" s="100" t="e">
        <f t="shared" ca="1" si="425"/>
        <v>#NAME?</v>
      </c>
      <c r="H2617" s="100" t="e">
        <f t="shared" ca="1" si="426"/>
        <v>#NAME?</v>
      </c>
      <c r="I2617" s="100" t="e">
        <f t="shared" ca="1" si="427"/>
        <v>#NAME?</v>
      </c>
      <c r="J2617" s="100" t="e">
        <f ca="1">IFERROR(__xludf.DUMMYFUNCTION("""COMPUTED_VALUE"""),"0")</f>
        <v>#NAME?</v>
      </c>
      <c r="K2617" s="100" t="e">
        <f t="shared" ca="1" si="428"/>
        <v>#NAME?</v>
      </c>
      <c r="L2617" s="100"/>
      <c r="M2617" s="100"/>
      <c r="N2617" s="100"/>
      <c r="O2617" s="100"/>
      <c r="P2617" s="100"/>
      <c r="Q2617" s="100"/>
      <c r="R2617" s="100"/>
      <c r="S2617" s="100"/>
      <c r="T2617" s="100"/>
      <c r="U2617" s="100"/>
      <c r="V2617" s="100"/>
      <c r="W2617" s="100"/>
      <c r="X2617" s="100"/>
      <c r="Y2617" s="100"/>
      <c r="Z2617" s="100"/>
    </row>
    <row r="2618" spans="1:26">
      <c r="A2618" s="100" t="e">
        <f ca="1">IFERROR(__xludf.DUMMYFUNCTION("""COMPUTED_VALUE"""),58785953)</f>
        <v>#NAME?</v>
      </c>
      <c r="B2618" s="100" t="e">
        <f ca="1">IFERROR(__xludf.DUMMYFUNCTION("""COMPUTED_VALUE"""),"REZUSDT")</f>
        <v>#NAME?</v>
      </c>
      <c r="C2618" s="100" t="e">
        <f ca="1">IFERROR(__xludf.DUMMYFUNCTION("""COMPUTED_VALUE"""),"0.01273000")</f>
        <v>#NAME?</v>
      </c>
      <c r="D2618" s="100" t="e">
        <f t="shared" ca="1" si="430"/>
        <v>#NAME?</v>
      </c>
      <c r="E2618" s="100" t="e">
        <f t="shared" ca="1" si="430"/>
        <v>#NAME?</v>
      </c>
      <c r="F2618" s="100" t="e">
        <f t="shared" ca="1" si="424"/>
        <v>#NAME?</v>
      </c>
      <c r="G2618" s="100" t="e">
        <f t="shared" ca="1" si="425"/>
        <v>#NAME?</v>
      </c>
      <c r="H2618" s="100" t="e">
        <f t="shared" ca="1" si="426"/>
        <v>#NAME?</v>
      </c>
      <c r="I2618" s="100" t="e">
        <f t="shared" ca="1" si="427"/>
        <v>#NAME?</v>
      </c>
      <c r="J2618" s="100" t="e">
        <f ca="1">IFERROR(__xludf.DUMMYFUNCTION("""COMPUTED_VALUE"""),"-4.069")</f>
        <v>#NAME?</v>
      </c>
      <c r="K2618" s="100" t="e">
        <f t="shared" ca="1" si="428"/>
        <v>#NAME?</v>
      </c>
      <c r="L2618" s="100"/>
      <c r="M2618" s="100"/>
      <c r="N2618" s="100"/>
      <c r="O2618" s="100"/>
      <c r="P2618" s="100"/>
      <c r="Q2618" s="100"/>
      <c r="R2618" s="100"/>
      <c r="S2618" s="100"/>
      <c r="T2618" s="100"/>
      <c r="U2618" s="100"/>
      <c r="V2618" s="100"/>
      <c r="W2618" s="100"/>
      <c r="X2618" s="100"/>
      <c r="Y2618" s="100"/>
      <c r="Z2618" s="100"/>
    </row>
    <row r="2619" spans="1:26">
      <c r="A2619" s="100" t="e">
        <f ca="1">IFERROR(__xludf.DUMMYFUNCTION("""COMPUTED_VALUE"""),58785954)</f>
        <v>#NAME?</v>
      </c>
      <c r="B2619" s="100" t="e">
        <f ca="1">IFERROR(__xludf.DUMMYFUNCTION("""COMPUTED_VALUE"""),"REZBNB")</f>
        <v>#NAME?</v>
      </c>
      <c r="C2619" s="100" t="e">
        <f ca="1">IFERROR(__xludf.DUMMYFUNCTION("""COMPUTED_VALUE"""),"0.00008310")</f>
        <v>#NAME?</v>
      </c>
      <c r="D2619" s="100" t="e">
        <f t="shared" ca="1" si="430"/>
        <v>#NAME?</v>
      </c>
      <c r="E2619" s="100" t="e">
        <f t="shared" ca="1" si="430"/>
        <v>#NAME?</v>
      </c>
      <c r="F2619" s="100" t="e">
        <f t="shared" ca="1" si="424"/>
        <v>#NAME?</v>
      </c>
      <c r="G2619" s="100" t="e">
        <f t="shared" ca="1" si="425"/>
        <v>#NAME?</v>
      </c>
      <c r="H2619" s="100" t="e">
        <f t="shared" ca="1" si="426"/>
        <v>#NAME?</v>
      </c>
      <c r="I2619" s="100" t="e">
        <f t="shared" ca="1" si="427"/>
        <v>#NAME?</v>
      </c>
      <c r="J2619" s="100" t="e">
        <f ca="1">IFERROR(__xludf.DUMMYFUNCTION("""COMPUTED_VALUE"""),"0")</f>
        <v>#NAME?</v>
      </c>
      <c r="K2619" s="100" t="e">
        <f t="shared" ca="1" si="428"/>
        <v>#NAME?</v>
      </c>
      <c r="L2619" s="100"/>
      <c r="M2619" s="100"/>
      <c r="N2619" s="100"/>
      <c r="O2619" s="100"/>
      <c r="P2619" s="100"/>
      <c r="Q2619" s="100"/>
      <c r="R2619" s="100"/>
      <c r="S2619" s="100"/>
      <c r="T2619" s="100"/>
      <c r="U2619" s="100"/>
      <c r="V2619" s="100"/>
      <c r="W2619" s="100"/>
      <c r="X2619" s="100"/>
      <c r="Y2619" s="100"/>
      <c r="Z2619" s="100"/>
    </row>
    <row r="2620" spans="1:26">
      <c r="A2620" s="100" t="e">
        <f ca="1">IFERROR(__xludf.DUMMYFUNCTION("""COMPUTED_VALUE"""),58785955)</f>
        <v>#NAME?</v>
      </c>
      <c r="B2620" s="100" t="e">
        <f ca="1">IFERROR(__xludf.DUMMYFUNCTION("""COMPUTED_VALUE"""),"REZFDUSD")</f>
        <v>#NAME?</v>
      </c>
      <c r="C2620" s="100" t="e">
        <f ca="1">IFERROR(__xludf.DUMMYFUNCTION("""COMPUTED_VALUE"""),"0.03438000")</f>
        <v>#NAME?</v>
      </c>
      <c r="D2620" s="100" t="e">
        <f t="shared" ca="1" si="430"/>
        <v>#NAME?</v>
      </c>
      <c r="E2620" s="100" t="e">
        <f t="shared" ca="1" si="430"/>
        <v>#NAME?</v>
      </c>
      <c r="F2620" s="100" t="e">
        <f t="shared" ca="1" si="424"/>
        <v>#NAME?</v>
      </c>
      <c r="G2620" s="100" t="e">
        <f t="shared" ca="1" si="425"/>
        <v>#NAME?</v>
      </c>
      <c r="H2620" s="100" t="e">
        <f t="shared" ca="1" si="426"/>
        <v>#NAME?</v>
      </c>
      <c r="I2620" s="100" t="e">
        <f t="shared" ca="1" si="427"/>
        <v>#NAME?</v>
      </c>
      <c r="J2620" s="100" t="e">
        <f ca="1">IFERROR(__xludf.DUMMYFUNCTION("""COMPUTED_VALUE"""),"0")</f>
        <v>#NAME?</v>
      </c>
      <c r="K2620" s="100" t="e">
        <f t="shared" ca="1" si="428"/>
        <v>#NAME?</v>
      </c>
      <c r="L2620" s="100"/>
      <c r="M2620" s="100"/>
      <c r="N2620" s="100"/>
      <c r="O2620" s="100"/>
      <c r="P2620" s="100"/>
      <c r="Q2620" s="100"/>
      <c r="R2620" s="100"/>
      <c r="S2620" s="100"/>
      <c r="T2620" s="100"/>
      <c r="U2620" s="100"/>
      <c r="V2620" s="100"/>
      <c r="W2620" s="100"/>
      <c r="X2620" s="100"/>
      <c r="Y2620" s="100"/>
      <c r="Z2620" s="100"/>
    </row>
    <row r="2621" spans="1:26">
      <c r="A2621" s="100" t="e">
        <f ca="1">IFERROR(__xludf.DUMMYFUNCTION("""COMPUTED_VALUE"""),58785956)</f>
        <v>#NAME?</v>
      </c>
      <c r="B2621" s="100" t="e">
        <f ca="1">IFERROR(__xludf.DUMMYFUNCTION("""COMPUTED_VALUE"""),"REZTRY")</f>
        <v>#NAME?</v>
      </c>
      <c r="C2621" s="100" t="e">
        <f ca="1">IFERROR(__xludf.DUMMYFUNCTION("""COMPUTED_VALUE"""),"0.48700000")</f>
        <v>#NAME?</v>
      </c>
      <c r="D2621" s="100" t="e">
        <f t="shared" ca="1" si="430"/>
        <v>#NAME?</v>
      </c>
      <c r="E2621" s="100" t="e">
        <f t="shared" ca="1" si="430"/>
        <v>#NAME?</v>
      </c>
      <c r="F2621" s="100" t="e">
        <f t="shared" ca="1" si="424"/>
        <v>#NAME?</v>
      </c>
      <c r="G2621" s="100" t="e">
        <f t="shared" ca="1" si="425"/>
        <v>#NAME?</v>
      </c>
      <c r="H2621" s="100" t="e">
        <f t="shared" ca="1" si="426"/>
        <v>#NAME?</v>
      </c>
      <c r="I2621" s="100" t="e">
        <f t="shared" ca="1" si="427"/>
        <v>#NAME?</v>
      </c>
      <c r="J2621" s="100" t="e">
        <f ca="1">IFERROR(__xludf.DUMMYFUNCTION("""COMPUTED_VALUE"""),"-3.945")</f>
        <v>#NAME?</v>
      </c>
      <c r="K2621" s="100" t="e">
        <f t="shared" ca="1" si="428"/>
        <v>#NAME?</v>
      </c>
      <c r="L2621" s="100"/>
      <c r="M2621" s="100"/>
      <c r="N2621" s="100"/>
      <c r="O2621" s="100"/>
      <c r="P2621" s="100"/>
      <c r="Q2621" s="100"/>
      <c r="R2621" s="100"/>
      <c r="S2621" s="100"/>
      <c r="T2621" s="100"/>
      <c r="U2621" s="100"/>
      <c r="V2621" s="100"/>
      <c r="W2621" s="100"/>
      <c r="X2621" s="100"/>
      <c r="Y2621" s="100"/>
      <c r="Z2621" s="100"/>
    </row>
    <row r="2622" spans="1:26">
      <c r="A2622" s="100" t="e">
        <f ca="1">IFERROR(__xludf.DUMMYFUNCTION("""COMPUTED_VALUE"""),58785957)</f>
        <v>#NAME?</v>
      </c>
      <c r="B2622" s="100" t="e">
        <f ca="1">IFERROR(__xludf.DUMMYFUNCTION("""COMPUTED_VALUE"""),"EGLDTRY")</f>
        <v>#NAME?</v>
      </c>
      <c r="C2622" s="100" t="e">
        <f ca="1">IFERROR(__xludf.DUMMYFUNCTION("""COMPUTED_VALUE"""),"538.80000000")</f>
        <v>#NAME?</v>
      </c>
      <c r="D2622" s="100" t="e">
        <f t="shared" ref="D2622:E2641" ca="1" si="431">IFERROR(__xludf.DUMMYFUNCTION("""COMPUTED_VALUE"""),"-")</f>
        <v>#NAME?</v>
      </c>
      <c r="E2622" s="100" t="e">
        <f t="shared" ca="1" si="431"/>
        <v>#NAME?</v>
      </c>
      <c r="F2622" s="100" t="e">
        <f t="shared" ca="1" si="424"/>
        <v>#NAME?</v>
      </c>
      <c r="G2622" s="100" t="e">
        <f t="shared" ca="1" si="425"/>
        <v>#NAME?</v>
      </c>
      <c r="H2622" s="100" t="e">
        <f t="shared" ca="1" si="426"/>
        <v>#NAME?</v>
      </c>
      <c r="I2622" s="100" t="e">
        <f t="shared" ca="1" si="427"/>
        <v>#NAME?</v>
      </c>
      <c r="J2622" s="100" t="e">
        <f ca="1">IFERROR(__xludf.DUMMYFUNCTION("""COMPUTED_VALUE"""),"-2.585")</f>
        <v>#NAME?</v>
      </c>
      <c r="K2622" s="100" t="e">
        <f t="shared" ca="1" si="428"/>
        <v>#NAME?</v>
      </c>
      <c r="L2622" s="100"/>
      <c r="M2622" s="100"/>
      <c r="N2622" s="100"/>
      <c r="O2622" s="100"/>
      <c r="P2622" s="100"/>
      <c r="Q2622" s="100"/>
      <c r="R2622" s="100"/>
      <c r="S2622" s="100"/>
      <c r="T2622" s="100"/>
      <c r="U2622" s="100"/>
      <c r="V2622" s="100"/>
      <c r="W2622" s="100"/>
      <c r="X2622" s="100"/>
      <c r="Y2622" s="100"/>
      <c r="Z2622" s="100"/>
    </row>
    <row r="2623" spans="1:26">
      <c r="A2623" s="100" t="e">
        <f ca="1">IFERROR(__xludf.DUMMYFUNCTION("""COMPUTED_VALUE"""),58785958)</f>
        <v>#NAME?</v>
      </c>
      <c r="B2623" s="100" t="e">
        <f ca="1">IFERROR(__xludf.DUMMYFUNCTION("""COMPUTED_VALUE"""),"PHBTRY")</f>
        <v>#NAME?</v>
      </c>
      <c r="C2623" s="100" t="e">
        <f ca="1">IFERROR(__xludf.DUMMYFUNCTION("""COMPUTED_VALUE"""),"17.65000000")</f>
        <v>#NAME?</v>
      </c>
      <c r="D2623" s="100" t="e">
        <f t="shared" ca="1" si="431"/>
        <v>#NAME?</v>
      </c>
      <c r="E2623" s="100" t="e">
        <f t="shared" ca="1" si="431"/>
        <v>#NAME?</v>
      </c>
      <c r="F2623" s="100" t="e">
        <f t="shared" ca="1" si="424"/>
        <v>#NAME?</v>
      </c>
      <c r="G2623" s="100" t="e">
        <f t="shared" ca="1" si="425"/>
        <v>#NAME?</v>
      </c>
      <c r="H2623" s="100" t="e">
        <f t="shared" ca="1" si="426"/>
        <v>#NAME?</v>
      </c>
      <c r="I2623" s="100" t="e">
        <f t="shared" ca="1" si="427"/>
        <v>#NAME?</v>
      </c>
      <c r="J2623" s="100" t="e">
        <f ca="1">IFERROR(__xludf.DUMMYFUNCTION("""COMPUTED_VALUE"""),"-3.075")</f>
        <v>#NAME?</v>
      </c>
      <c r="K2623" s="100" t="e">
        <f t="shared" ca="1" si="428"/>
        <v>#NAME?</v>
      </c>
      <c r="L2623" s="100"/>
      <c r="M2623" s="100"/>
      <c r="N2623" s="100"/>
      <c r="O2623" s="100"/>
      <c r="P2623" s="100"/>
      <c r="Q2623" s="100"/>
      <c r="R2623" s="100"/>
      <c r="S2623" s="100"/>
      <c r="T2623" s="100"/>
      <c r="U2623" s="100"/>
      <c r="V2623" s="100"/>
      <c r="W2623" s="100"/>
      <c r="X2623" s="100"/>
      <c r="Y2623" s="100"/>
      <c r="Z2623" s="100"/>
    </row>
    <row r="2624" spans="1:26">
      <c r="A2624" s="100" t="e">
        <f ca="1">IFERROR(__xludf.DUMMYFUNCTION("""COMPUTED_VALUE"""),58785959)</f>
        <v>#NAME?</v>
      </c>
      <c r="B2624" s="100" t="e">
        <f ca="1">IFERROR(__xludf.DUMMYFUNCTION("""COMPUTED_VALUE"""),"RSRTRY")</f>
        <v>#NAME?</v>
      </c>
      <c r="C2624" s="100" t="e">
        <f ca="1">IFERROR(__xludf.DUMMYFUNCTION("""COMPUTED_VALUE"""),"0.31870000")</f>
        <v>#NAME?</v>
      </c>
      <c r="D2624" s="100" t="e">
        <f t="shared" ca="1" si="431"/>
        <v>#NAME?</v>
      </c>
      <c r="E2624" s="100" t="e">
        <f t="shared" ca="1" si="431"/>
        <v>#NAME?</v>
      </c>
      <c r="F2624" s="100" t="e">
        <f t="shared" ca="1" si="424"/>
        <v>#NAME?</v>
      </c>
      <c r="G2624" s="100" t="e">
        <f t="shared" ca="1" si="425"/>
        <v>#NAME?</v>
      </c>
      <c r="H2624" s="100" t="e">
        <f t="shared" ca="1" si="426"/>
        <v>#NAME?</v>
      </c>
      <c r="I2624" s="100" t="e">
        <f t="shared" ca="1" si="427"/>
        <v>#NAME?</v>
      </c>
      <c r="J2624" s="100" t="e">
        <f ca="1">IFERROR(__xludf.DUMMYFUNCTION("""COMPUTED_VALUE"""),"10.399")</f>
        <v>#NAME?</v>
      </c>
      <c r="K2624" s="100" t="e">
        <f t="shared" ca="1" si="428"/>
        <v>#NAME?</v>
      </c>
      <c r="L2624" s="100"/>
      <c r="M2624" s="100"/>
      <c r="N2624" s="100"/>
      <c r="O2624" s="100"/>
      <c r="P2624" s="100"/>
      <c r="Q2624" s="100"/>
      <c r="R2624" s="100"/>
      <c r="S2624" s="100"/>
      <c r="T2624" s="100"/>
      <c r="U2624" s="100"/>
      <c r="V2624" s="100"/>
      <c r="W2624" s="100"/>
      <c r="X2624" s="100"/>
      <c r="Y2624" s="100"/>
      <c r="Z2624" s="100"/>
    </row>
    <row r="2625" spans="1:26">
      <c r="A2625" s="100" t="e">
        <f ca="1">IFERROR(__xludf.DUMMYFUNCTION("""COMPUTED_VALUE"""),58785960)</f>
        <v>#NAME?</v>
      </c>
      <c r="B2625" s="100" t="e">
        <f ca="1">IFERROR(__xludf.DUMMYFUNCTION("""COMPUTED_VALUE"""),"BBBTC")</f>
        <v>#NAME?</v>
      </c>
      <c r="C2625" s="100" t="e">
        <f ca="1">IFERROR(__xludf.DUMMYFUNCTION("""COMPUTED_VALUE"""),"0.00000123")</f>
        <v>#NAME?</v>
      </c>
      <c r="D2625" s="100" t="e">
        <f t="shared" ca="1" si="431"/>
        <v>#NAME?</v>
      </c>
      <c r="E2625" s="100" t="e">
        <f t="shared" ca="1" si="431"/>
        <v>#NAME?</v>
      </c>
      <c r="F2625" s="100" t="e">
        <f t="shared" ca="1" si="424"/>
        <v>#NAME?</v>
      </c>
      <c r="G2625" s="100" t="e">
        <f t="shared" ca="1" si="425"/>
        <v>#NAME?</v>
      </c>
      <c r="H2625" s="100" t="e">
        <f t="shared" ca="1" si="426"/>
        <v>#NAME?</v>
      </c>
      <c r="I2625" s="100" t="e">
        <f t="shared" ca="1" si="427"/>
        <v>#NAME?</v>
      </c>
      <c r="J2625" s="100" t="e">
        <f ca="1">IFERROR(__xludf.DUMMYFUNCTION("""COMPUTED_VALUE"""),"-2.381")</f>
        <v>#NAME?</v>
      </c>
      <c r="K2625" s="100" t="e">
        <f t="shared" ca="1" si="428"/>
        <v>#NAME?</v>
      </c>
      <c r="L2625" s="100"/>
      <c r="M2625" s="100"/>
      <c r="N2625" s="100"/>
      <c r="O2625" s="100"/>
      <c r="P2625" s="100"/>
      <c r="Q2625" s="100"/>
      <c r="R2625" s="100"/>
      <c r="S2625" s="100"/>
      <c r="T2625" s="100"/>
      <c r="U2625" s="100"/>
      <c r="V2625" s="100"/>
      <c r="W2625" s="100"/>
      <c r="X2625" s="100"/>
      <c r="Y2625" s="100"/>
      <c r="Z2625" s="100"/>
    </row>
    <row r="2626" spans="1:26">
      <c r="A2626" s="100" t="e">
        <f ca="1">IFERROR(__xludf.DUMMYFUNCTION("""COMPUTED_VALUE"""),58785961)</f>
        <v>#NAME?</v>
      </c>
      <c r="B2626" s="100" t="e">
        <f ca="1">IFERROR(__xludf.DUMMYFUNCTION("""COMPUTED_VALUE"""),"BBUSDT")</f>
        <v>#NAME?</v>
      </c>
      <c r="C2626" s="100" t="e">
        <f ca="1">IFERROR(__xludf.DUMMYFUNCTION("""COMPUTED_VALUE"""),"0.10850000")</f>
        <v>#NAME?</v>
      </c>
      <c r="D2626" s="100" t="e">
        <f t="shared" ca="1" si="431"/>
        <v>#NAME?</v>
      </c>
      <c r="E2626" s="100" t="e">
        <f t="shared" ca="1" si="431"/>
        <v>#NAME?</v>
      </c>
      <c r="F2626" s="100" t="e">
        <f t="shared" ref="F2626:F2689" ca="1" si="432">IFERROR(__xludf.DUMMYFUNCTION("""COMPUTED_VALUE"""),20200)</f>
        <v>#NAME?</v>
      </c>
      <c r="G2626" s="100" t="e">
        <f t="shared" ref="G2626:G2689" ca="1" si="433">IFERROR(__xludf.DUMMYFUNCTION("""COMPUTED_VALUE"""),2885)</f>
        <v>#NAME?</v>
      </c>
      <c r="H2626" s="100" t="e">
        <f t="shared" ref="H2626:H2689" ca="1" si="434">IFERROR(__xludf.DUMMYFUNCTION("""COMPUTED_VALUE"""),663)</f>
        <v>#NAME?</v>
      </c>
      <c r="I2626" s="100" t="e">
        <f t="shared" ref="I2626:I2689" ca="1" si="435">IFERROR(__xludf.DUMMYFUNCTION("""COMPUTED_VALUE"""),5817721)</f>
        <v>#NAME?</v>
      </c>
      <c r="J2626" s="100" t="e">
        <f ca="1">IFERROR(__xludf.DUMMYFUNCTION("""COMPUTED_VALUE"""),"-1.810")</f>
        <v>#NAME?</v>
      </c>
      <c r="K2626" s="100" t="e">
        <f t="shared" ref="K2626:K2689" ca="1" si="436">IFERROR(__xludf.DUMMYFUNCTION("""COMPUTED_VALUE"""),"22.04.2025 13:05:01")</f>
        <v>#NAME?</v>
      </c>
      <c r="L2626" s="100"/>
      <c r="M2626" s="100"/>
      <c r="N2626" s="100"/>
      <c r="O2626" s="100"/>
      <c r="P2626" s="100"/>
      <c r="Q2626" s="100"/>
      <c r="R2626" s="100"/>
      <c r="S2626" s="100"/>
      <c r="T2626" s="100"/>
      <c r="U2626" s="100"/>
      <c r="V2626" s="100"/>
      <c r="W2626" s="100"/>
      <c r="X2626" s="100"/>
      <c r="Y2626" s="100"/>
      <c r="Z2626" s="100"/>
    </row>
    <row r="2627" spans="1:26">
      <c r="A2627" s="100" t="e">
        <f ca="1">IFERROR(__xludf.DUMMYFUNCTION("""COMPUTED_VALUE"""),58785962)</f>
        <v>#NAME?</v>
      </c>
      <c r="B2627" s="100" t="e">
        <f ca="1">IFERROR(__xludf.DUMMYFUNCTION("""COMPUTED_VALUE"""),"BBBNB")</f>
        <v>#NAME?</v>
      </c>
      <c r="C2627" s="100" t="e">
        <f ca="1">IFERROR(__xludf.DUMMYFUNCTION("""COMPUTED_VALUE"""),"0.00017910")</f>
        <v>#NAME?</v>
      </c>
      <c r="D2627" s="100" t="e">
        <f t="shared" ca="1" si="431"/>
        <v>#NAME?</v>
      </c>
      <c r="E2627" s="100" t="e">
        <f t="shared" ca="1" si="431"/>
        <v>#NAME?</v>
      </c>
      <c r="F2627" s="100" t="e">
        <f t="shared" ca="1" si="432"/>
        <v>#NAME?</v>
      </c>
      <c r="G2627" s="100" t="e">
        <f t="shared" ca="1" si="433"/>
        <v>#NAME?</v>
      </c>
      <c r="H2627" s="100" t="e">
        <f t="shared" ca="1" si="434"/>
        <v>#NAME?</v>
      </c>
      <c r="I2627" s="100" t="e">
        <f t="shared" ca="1" si="435"/>
        <v>#NAME?</v>
      </c>
      <c r="J2627" s="100" t="e">
        <f ca="1">IFERROR(__xludf.DUMMYFUNCTION("""COMPUTED_VALUE"""),"-1.809")</f>
        <v>#NAME?</v>
      </c>
      <c r="K2627" s="100" t="e">
        <f t="shared" ca="1" si="436"/>
        <v>#NAME?</v>
      </c>
      <c r="L2627" s="100"/>
      <c r="M2627" s="100"/>
      <c r="N2627" s="100"/>
      <c r="O2627" s="100"/>
      <c r="P2627" s="100"/>
      <c r="Q2627" s="100"/>
      <c r="R2627" s="100"/>
      <c r="S2627" s="100"/>
      <c r="T2627" s="100"/>
      <c r="U2627" s="100"/>
      <c r="V2627" s="100"/>
      <c r="W2627" s="100"/>
      <c r="X2627" s="100"/>
      <c r="Y2627" s="100"/>
      <c r="Z2627" s="100"/>
    </row>
    <row r="2628" spans="1:26">
      <c r="A2628" s="100" t="e">
        <f ca="1">IFERROR(__xludf.DUMMYFUNCTION("""COMPUTED_VALUE"""),58785963)</f>
        <v>#NAME?</v>
      </c>
      <c r="B2628" s="100" t="e">
        <f ca="1">IFERROR(__xludf.DUMMYFUNCTION("""COMPUTED_VALUE"""),"BBFDUSD")</f>
        <v>#NAME?</v>
      </c>
      <c r="C2628" s="100" t="e">
        <f ca="1">IFERROR(__xludf.DUMMYFUNCTION("""COMPUTED_VALUE"""),"0.10870000")</f>
        <v>#NAME?</v>
      </c>
      <c r="D2628" s="100" t="e">
        <f t="shared" ca="1" si="431"/>
        <v>#NAME?</v>
      </c>
      <c r="E2628" s="100" t="e">
        <f t="shared" ca="1" si="431"/>
        <v>#NAME?</v>
      </c>
      <c r="F2628" s="100" t="e">
        <f t="shared" ca="1" si="432"/>
        <v>#NAME?</v>
      </c>
      <c r="G2628" s="100" t="e">
        <f t="shared" ca="1" si="433"/>
        <v>#NAME?</v>
      </c>
      <c r="H2628" s="100" t="e">
        <f t="shared" ca="1" si="434"/>
        <v>#NAME?</v>
      </c>
      <c r="I2628" s="100" t="e">
        <f t="shared" ca="1" si="435"/>
        <v>#NAME?</v>
      </c>
      <c r="J2628" s="100" t="e">
        <f ca="1">IFERROR(__xludf.DUMMYFUNCTION("""COMPUTED_VALUE"""),"-1.451")</f>
        <v>#NAME?</v>
      </c>
      <c r="K2628" s="100" t="e">
        <f t="shared" ca="1" si="436"/>
        <v>#NAME?</v>
      </c>
      <c r="L2628" s="100"/>
      <c r="M2628" s="100"/>
      <c r="N2628" s="100"/>
      <c r="O2628" s="100"/>
      <c r="P2628" s="100"/>
      <c r="Q2628" s="100"/>
      <c r="R2628" s="100"/>
      <c r="S2628" s="100"/>
      <c r="T2628" s="100"/>
      <c r="U2628" s="100"/>
      <c r="V2628" s="100"/>
      <c r="W2628" s="100"/>
      <c r="X2628" s="100"/>
      <c r="Y2628" s="100"/>
      <c r="Z2628" s="100"/>
    </row>
    <row r="2629" spans="1:26">
      <c r="A2629" s="100" t="e">
        <f ca="1">IFERROR(__xludf.DUMMYFUNCTION("""COMPUTED_VALUE"""),58785964)</f>
        <v>#NAME?</v>
      </c>
      <c r="B2629" s="100" t="e">
        <f ca="1">IFERROR(__xludf.DUMMYFUNCTION("""COMPUTED_VALUE"""),"BBTRY")</f>
        <v>#NAME?</v>
      </c>
      <c r="C2629" s="100" t="e">
        <f ca="1">IFERROR(__xludf.DUMMYFUNCTION("""COMPUTED_VALUE"""),"4.14900000")</f>
        <v>#NAME?</v>
      </c>
      <c r="D2629" s="100" t="e">
        <f t="shared" ca="1" si="431"/>
        <v>#NAME?</v>
      </c>
      <c r="E2629" s="100" t="e">
        <f t="shared" ca="1" si="431"/>
        <v>#NAME?</v>
      </c>
      <c r="F2629" s="100" t="e">
        <f t="shared" ca="1" si="432"/>
        <v>#NAME?</v>
      </c>
      <c r="G2629" s="100" t="e">
        <f t="shared" ca="1" si="433"/>
        <v>#NAME?</v>
      </c>
      <c r="H2629" s="100" t="e">
        <f t="shared" ca="1" si="434"/>
        <v>#NAME?</v>
      </c>
      <c r="I2629" s="100" t="e">
        <f t="shared" ca="1" si="435"/>
        <v>#NAME?</v>
      </c>
      <c r="J2629" s="100" t="e">
        <f ca="1">IFERROR(__xludf.DUMMYFUNCTION("""COMPUTED_VALUE"""),"-1.589")</f>
        <v>#NAME?</v>
      </c>
      <c r="K2629" s="100" t="e">
        <f t="shared" ca="1" si="436"/>
        <v>#NAME?</v>
      </c>
      <c r="L2629" s="100"/>
      <c r="M2629" s="100"/>
      <c r="N2629" s="100"/>
      <c r="O2629" s="100"/>
      <c r="P2629" s="100"/>
      <c r="Q2629" s="100"/>
      <c r="R2629" s="100"/>
      <c r="S2629" s="100"/>
      <c r="T2629" s="100"/>
      <c r="U2629" s="100"/>
      <c r="V2629" s="100"/>
      <c r="W2629" s="100"/>
      <c r="X2629" s="100"/>
      <c r="Y2629" s="100"/>
      <c r="Z2629" s="100"/>
    </row>
    <row r="2630" spans="1:26">
      <c r="A2630" s="100" t="e">
        <f ca="1">IFERROR(__xludf.DUMMYFUNCTION("""COMPUTED_VALUE"""),58785965)</f>
        <v>#NAME?</v>
      </c>
      <c r="B2630" s="100" t="e">
        <f ca="1">IFERROR(__xludf.DUMMYFUNCTION("""COMPUTED_VALUE"""),"FRONTUSDC")</f>
        <v>#NAME?</v>
      </c>
      <c r="C2630" s="100" t="e">
        <f ca="1">IFERROR(__xludf.DUMMYFUNCTION("""COMPUTED_VALUE"""),"0.88300000")</f>
        <v>#NAME?</v>
      </c>
      <c r="D2630" s="100" t="e">
        <f t="shared" ca="1" si="431"/>
        <v>#NAME?</v>
      </c>
      <c r="E2630" s="100" t="e">
        <f t="shared" ca="1" si="431"/>
        <v>#NAME?</v>
      </c>
      <c r="F2630" s="100" t="e">
        <f t="shared" ca="1" si="432"/>
        <v>#NAME?</v>
      </c>
      <c r="G2630" s="100" t="e">
        <f t="shared" ca="1" si="433"/>
        <v>#NAME?</v>
      </c>
      <c r="H2630" s="100" t="e">
        <f t="shared" ca="1" si="434"/>
        <v>#NAME?</v>
      </c>
      <c r="I2630" s="100" t="e">
        <f t="shared" ca="1" si="435"/>
        <v>#NAME?</v>
      </c>
      <c r="J2630" s="100" t="e">
        <f ca="1">IFERROR(__xludf.DUMMYFUNCTION("""COMPUTED_VALUE"""),"0")</f>
        <v>#NAME?</v>
      </c>
      <c r="K2630" s="100" t="e">
        <f t="shared" ca="1" si="436"/>
        <v>#NAME?</v>
      </c>
      <c r="L2630" s="100"/>
      <c r="M2630" s="100"/>
      <c r="N2630" s="100"/>
      <c r="O2630" s="100"/>
      <c r="P2630" s="100"/>
      <c r="Q2630" s="100"/>
      <c r="R2630" s="100"/>
      <c r="S2630" s="100"/>
      <c r="T2630" s="100"/>
      <c r="U2630" s="100"/>
      <c r="V2630" s="100"/>
      <c r="W2630" s="100"/>
      <c r="X2630" s="100"/>
      <c r="Y2630" s="100"/>
      <c r="Z2630" s="100"/>
    </row>
    <row r="2631" spans="1:26">
      <c r="A2631" s="100" t="e">
        <f ca="1">IFERROR(__xludf.DUMMYFUNCTION("""COMPUTED_VALUE"""),58785966)</f>
        <v>#NAME?</v>
      </c>
      <c r="B2631" s="100" t="e">
        <f ca="1">IFERROR(__xludf.DUMMYFUNCTION("""COMPUTED_VALUE"""),"PEOPLETRY")</f>
        <v>#NAME?</v>
      </c>
      <c r="C2631" s="100" t="e">
        <f ca="1">IFERROR(__xludf.DUMMYFUNCTION("""COMPUTED_VALUE"""),"0.46300000")</f>
        <v>#NAME?</v>
      </c>
      <c r="D2631" s="100" t="e">
        <f t="shared" ca="1" si="431"/>
        <v>#NAME?</v>
      </c>
      <c r="E2631" s="100" t="e">
        <f t="shared" ca="1" si="431"/>
        <v>#NAME?</v>
      </c>
      <c r="F2631" s="100" t="e">
        <f t="shared" ca="1" si="432"/>
        <v>#NAME?</v>
      </c>
      <c r="G2631" s="100" t="e">
        <f t="shared" ca="1" si="433"/>
        <v>#NAME?</v>
      </c>
      <c r="H2631" s="100" t="e">
        <f t="shared" ca="1" si="434"/>
        <v>#NAME?</v>
      </c>
      <c r="I2631" s="100" t="e">
        <f t="shared" ca="1" si="435"/>
        <v>#NAME?</v>
      </c>
      <c r="J2631" s="100" t="e">
        <f ca="1">IFERROR(__xludf.DUMMYFUNCTION("""COMPUTED_VALUE"""),"-3.742")</f>
        <v>#NAME?</v>
      </c>
      <c r="K2631" s="100" t="e">
        <f t="shared" ca="1" si="436"/>
        <v>#NAME?</v>
      </c>
      <c r="L2631" s="100"/>
      <c r="M2631" s="100"/>
      <c r="N2631" s="100"/>
      <c r="O2631" s="100"/>
      <c r="P2631" s="100"/>
      <c r="Q2631" s="100"/>
      <c r="R2631" s="100"/>
      <c r="S2631" s="100"/>
      <c r="T2631" s="100"/>
      <c r="U2631" s="100"/>
      <c r="V2631" s="100"/>
      <c r="W2631" s="100"/>
      <c r="X2631" s="100"/>
      <c r="Y2631" s="100"/>
      <c r="Z2631" s="100"/>
    </row>
    <row r="2632" spans="1:26">
      <c r="A2632" s="100" t="e">
        <f ca="1">IFERROR(__xludf.DUMMYFUNCTION("""COMPUTED_VALUE"""),58785967)</f>
        <v>#NAME?</v>
      </c>
      <c r="B2632" s="100" t="e">
        <f ca="1">IFERROR(__xludf.DUMMYFUNCTION("""COMPUTED_VALUE"""),"TRBUSDC")</f>
        <v>#NAME?</v>
      </c>
      <c r="C2632" s="100" t="e">
        <f ca="1">IFERROR(__xludf.DUMMYFUNCTION("""COMPUTED_VALUE"""),"25.81000000")</f>
        <v>#NAME?</v>
      </c>
      <c r="D2632" s="100" t="e">
        <f t="shared" ca="1" si="431"/>
        <v>#NAME?</v>
      </c>
      <c r="E2632" s="100" t="e">
        <f t="shared" ca="1" si="431"/>
        <v>#NAME?</v>
      </c>
      <c r="F2632" s="100" t="e">
        <f t="shared" ca="1" si="432"/>
        <v>#NAME?</v>
      </c>
      <c r="G2632" s="100" t="e">
        <f t="shared" ca="1" si="433"/>
        <v>#NAME?</v>
      </c>
      <c r="H2632" s="100" t="e">
        <f t="shared" ca="1" si="434"/>
        <v>#NAME?</v>
      </c>
      <c r="I2632" s="100" t="e">
        <f t="shared" ca="1" si="435"/>
        <v>#NAME?</v>
      </c>
      <c r="J2632" s="100" t="e">
        <f ca="1">IFERROR(__xludf.DUMMYFUNCTION("""COMPUTED_VALUE"""),"-3.586")</f>
        <v>#NAME?</v>
      </c>
      <c r="K2632" s="100" t="e">
        <f t="shared" ca="1" si="436"/>
        <v>#NAME?</v>
      </c>
      <c r="L2632" s="100"/>
      <c r="M2632" s="100"/>
      <c r="N2632" s="100"/>
      <c r="O2632" s="100"/>
      <c r="P2632" s="100"/>
      <c r="Q2632" s="100"/>
      <c r="R2632" s="100"/>
      <c r="S2632" s="100"/>
      <c r="T2632" s="100"/>
      <c r="U2632" s="100"/>
      <c r="V2632" s="100"/>
      <c r="W2632" s="100"/>
      <c r="X2632" s="100"/>
      <c r="Y2632" s="100"/>
      <c r="Z2632" s="100"/>
    </row>
    <row r="2633" spans="1:26">
      <c r="A2633" s="100" t="e">
        <f ca="1">IFERROR(__xludf.DUMMYFUNCTION("""COMPUTED_VALUE"""),58785968)</f>
        <v>#NAME?</v>
      </c>
      <c r="B2633" s="100" t="e">
        <f ca="1">IFERROR(__xludf.DUMMYFUNCTION("""COMPUTED_VALUE"""),"NOTUSDT")</f>
        <v>#NAME?</v>
      </c>
      <c r="C2633" s="100" t="e">
        <f ca="1">IFERROR(__xludf.DUMMYFUNCTION("""COMPUTED_VALUE"""),"0.00192300")</f>
        <v>#NAME?</v>
      </c>
      <c r="D2633" s="100" t="e">
        <f t="shared" ca="1" si="431"/>
        <v>#NAME?</v>
      </c>
      <c r="E2633" s="100" t="e">
        <f t="shared" ca="1" si="431"/>
        <v>#NAME?</v>
      </c>
      <c r="F2633" s="100" t="e">
        <f t="shared" ca="1" si="432"/>
        <v>#NAME?</v>
      </c>
      <c r="G2633" s="100" t="e">
        <f t="shared" ca="1" si="433"/>
        <v>#NAME?</v>
      </c>
      <c r="H2633" s="100" t="e">
        <f t="shared" ca="1" si="434"/>
        <v>#NAME?</v>
      </c>
      <c r="I2633" s="100" t="e">
        <f t="shared" ca="1" si="435"/>
        <v>#NAME?</v>
      </c>
      <c r="J2633" s="100" t="e">
        <f ca="1">IFERROR(__xludf.DUMMYFUNCTION("""COMPUTED_VALUE"""),"-1.182")</f>
        <v>#NAME?</v>
      </c>
      <c r="K2633" s="100" t="e">
        <f t="shared" ca="1" si="436"/>
        <v>#NAME?</v>
      </c>
      <c r="L2633" s="100"/>
      <c r="M2633" s="100"/>
      <c r="N2633" s="100"/>
      <c r="O2633" s="100"/>
      <c r="P2633" s="100"/>
      <c r="Q2633" s="100"/>
      <c r="R2633" s="100"/>
      <c r="S2633" s="100"/>
      <c r="T2633" s="100"/>
      <c r="U2633" s="100"/>
      <c r="V2633" s="100"/>
      <c r="W2633" s="100"/>
      <c r="X2633" s="100"/>
      <c r="Y2633" s="100"/>
      <c r="Z2633" s="100"/>
    </row>
    <row r="2634" spans="1:26">
      <c r="A2634" s="100" t="e">
        <f ca="1">IFERROR(__xludf.DUMMYFUNCTION("""COMPUTED_VALUE"""),58785969)</f>
        <v>#NAME?</v>
      </c>
      <c r="B2634" s="100" t="e">
        <f ca="1">IFERROR(__xludf.DUMMYFUNCTION("""COMPUTED_VALUE"""),"NOTBNB")</f>
        <v>#NAME?</v>
      </c>
      <c r="C2634" s="100" t="e">
        <f ca="1">IFERROR(__xludf.DUMMYFUNCTION("""COMPUTED_VALUE"""),"0.00001353")</f>
        <v>#NAME?</v>
      </c>
      <c r="D2634" s="100" t="e">
        <f t="shared" ca="1" si="431"/>
        <v>#NAME?</v>
      </c>
      <c r="E2634" s="100" t="e">
        <f t="shared" ca="1" si="431"/>
        <v>#NAME?</v>
      </c>
      <c r="F2634" s="100" t="e">
        <f t="shared" ca="1" si="432"/>
        <v>#NAME?</v>
      </c>
      <c r="G2634" s="100" t="e">
        <f t="shared" ca="1" si="433"/>
        <v>#NAME?</v>
      </c>
      <c r="H2634" s="100" t="e">
        <f t="shared" ca="1" si="434"/>
        <v>#NAME?</v>
      </c>
      <c r="I2634" s="100" t="e">
        <f t="shared" ca="1" si="435"/>
        <v>#NAME?</v>
      </c>
      <c r="J2634" s="100" t="e">
        <f ca="1">IFERROR(__xludf.DUMMYFUNCTION("""COMPUTED_VALUE"""),"0")</f>
        <v>#NAME?</v>
      </c>
      <c r="K2634" s="100" t="e">
        <f t="shared" ca="1" si="436"/>
        <v>#NAME?</v>
      </c>
      <c r="L2634" s="100"/>
      <c r="M2634" s="100"/>
      <c r="N2634" s="100"/>
      <c r="O2634" s="100"/>
      <c r="P2634" s="100"/>
      <c r="Q2634" s="100"/>
      <c r="R2634" s="100"/>
      <c r="S2634" s="100"/>
      <c r="T2634" s="100"/>
      <c r="U2634" s="100"/>
      <c r="V2634" s="100"/>
      <c r="W2634" s="100"/>
      <c r="X2634" s="100"/>
      <c r="Y2634" s="100"/>
      <c r="Z2634" s="100"/>
    </row>
    <row r="2635" spans="1:26">
      <c r="A2635" s="100" t="e">
        <f ca="1">IFERROR(__xludf.DUMMYFUNCTION("""COMPUTED_VALUE"""),58785970)</f>
        <v>#NAME?</v>
      </c>
      <c r="B2635" s="100" t="e">
        <f ca="1">IFERROR(__xludf.DUMMYFUNCTION("""COMPUTED_VALUE"""),"NOTFDUSD")</f>
        <v>#NAME?</v>
      </c>
      <c r="C2635" s="100" t="e">
        <f ca="1">IFERROR(__xludf.DUMMYFUNCTION("""COMPUTED_VALUE"""),"0.00192600")</f>
        <v>#NAME?</v>
      </c>
      <c r="D2635" s="100" t="e">
        <f t="shared" ca="1" si="431"/>
        <v>#NAME?</v>
      </c>
      <c r="E2635" s="100" t="e">
        <f t="shared" ca="1" si="431"/>
        <v>#NAME?</v>
      </c>
      <c r="F2635" s="100" t="e">
        <f t="shared" ca="1" si="432"/>
        <v>#NAME?</v>
      </c>
      <c r="G2635" s="100" t="e">
        <f t="shared" ca="1" si="433"/>
        <v>#NAME?</v>
      </c>
      <c r="H2635" s="100" t="e">
        <f t="shared" ca="1" si="434"/>
        <v>#NAME?</v>
      </c>
      <c r="I2635" s="100" t="e">
        <f t="shared" ca="1" si="435"/>
        <v>#NAME?</v>
      </c>
      <c r="J2635" s="100" t="e">
        <f ca="1">IFERROR(__xludf.DUMMYFUNCTION("""COMPUTED_VALUE"""),"-1.180")</f>
        <v>#NAME?</v>
      </c>
      <c r="K2635" s="100" t="e">
        <f t="shared" ca="1" si="436"/>
        <v>#NAME?</v>
      </c>
      <c r="L2635" s="100"/>
      <c r="M2635" s="100"/>
      <c r="N2635" s="100"/>
      <c r="O2635" s="100"/>
      <c r="P2635" s="100"/>
      <c r="Q2635" s="100"/>
      <c r="R2635" s="100"/>
      <c r="S2635" s="100"/>
      <c r="T2635" s="100"/>
      <c r="U2635" s="100"/>
      <c r="V2635" s="100"/>
      <c r="W2635" s="100"/>
      <c r="X2635" s="100"/>
      <c r="Y2635" s="100"/>
      <c r="Z2635" s="100"/>
    </row>
    <row r="2636" spans="1:26">
      <c r="A2636" s="100" t="e">
        <f ca="1">IFERROR(__xludf.DUMMYFUNCTION("""COMPUTED_VALUE"""),58785971)</f>
        <v>#NAME?</v>
      </c>
      <c r="B2636" s="100" t="e">
        <f ca="1">IFERROR(__xludf.DUMMYFUNCTION("""COMPUTED_VALUE"""),"NOTTRY")</f>
        <v>#NAME?</v>
      </c>
      <c r="C2636" s="100" t="e">
        <f ca="1">IFERROR(__xludf.DUMMYFUNCTION("""COMPUTED_VALUE"""),"0.07350000")</f>
        <v>#NAME?</v>
      </c>
      <c r="D2636" s="100" t="e">
        <f t="shared" ca="1" si="431"/>
        <v>#NAME?</v>
      </c>
      <c r="E2636" s="100" t="e">
        <f t="shared" ca="1" si="431"/>
        <v>#NAME?</v>
      </c>
      <c r="F2636" s="100" t="e">
        <f t="shared" ca="1" si="432"/>
        <v>#NAME?</v>
      </c>
      <c r="G2636" s="100" t="e">
        <f t="shared" ca="1" si="433"/>
        <v>#NAME?</v>
      </c>
      <c r="H2636" s="100" t="e">
        <f t="shared" ca="1" si="434"/>
        <v>#NAME?</v>
      </c>
      <c r="I2636" s="100" t="e">
        <f t="shared" ca="1" si="435"/>
        <v>#NAME?</v>
      </c>
      <c r="J2636" s="100" t="e">
        <f ca="1">IFERROR(__xludf.DUMMYFUNCTION("""COMPUTED_VALUE"""),"-1.210")</f>
        <v>#NAME?</v>
      </c>
      <c r="K2636" s="100" t="e">
        <f t="shared" ca="1" si="436"/>
        <v>#NAME?</v>
      </c>
      <c r="L2636" s="100"/>
      <c r="M2636" s="100"/>
      <c r="N2636" s="100"/>
      <c r="O2636" s="100"/>
      <c r="P2636" s="100"/>
      <c r="Q2636" s="100"/>
      <c r="R2636" s="100"/>
      <c r="S2636" s="100"/>
      <c r="T2636" s="100"/>
      <c r="U2636" s="100"/>
      <c r="V2636" s="100"/>
      <c r="W2636" s="100"/>
      <c r="X2636" s="100"/>
      <c r="Y2636" s="100"/>
      <c r="Z2636" s="100"/>
    </row>
    <row r="2637" spans="1:26">
      <c r="A2637" s="100" t="e">
        <f ca="1">IFERROR(__xludf.DUMMYFUNCTION("""COMPUTED_VALUE"""),58785972)</f>
        <v>#NAME?</v>
      </c>
      <c r="B2637" s="100" t="e">
        <f ca="1">IFERROR(__xludf.DUMMYFUNCTION("""COMPUTED_VALUE"""),"ARKMUSDC")</f>
        <v>#NAME?</v>
      </c>
      <c r="C2637" s="100" t="e">
        <f ca="1">IFERROR(__xludf.DUMMYFUNCTION("""COMPUTED_VALUE"""),"0.50300000")</f>
        <v>#NAME?</v>
      </c>
      <c r="D2637" s="100" t="e">
        <f t="shared" ca="1" si="431"/>
        <v>#NAME?</v>
      </c>
      <c r="E2637" s="100" t="e">
        <f t="shared" ca="1" si="431"/>
        <v>#NAME?</v>
      </c>
      <c r="F2637" s="100" t="e">
        <f t="shared" ca="1" si="432"/>
        <v>#NAME?</v>
      </c>
      <c r="G2637" s="100" t="e">
        <f t="shared" ca="1" si="433"/>
        <v>#NAME?</v>
      </c>
      <c r="H2637" s="100" t="e">
        <f t="shared" ca="1" si="434"/>
        <v>#NAME?</v>
      </c>
      <c r="I2637" s="100" t="e">
        <f t="shared" ca="1" si="435"/>
        <v>#NAME?</v>
      </c>
      <c r="J2637" s="100" t="e">
        <f ca="1">IFERROR(__xludf.DUMMYFUNCTION("""COMPUTED_VALUE"""),"-4.373")</f>
        <v>#NAME?</v>
      </c>
      <c r="K2637" s="100" t="e">
        <f t="shared" ca="1" si="436"/>
        <v>#NAME?</v>
      </c>
      <c r="L2637" s="100"/>
      <c r="M2637" s="100"/>
      <c r="N2637" s="100"/>
      <c r="O2637" s="100"/>
      <c r="P2637" s="100"/>
      <c r="Q2637" s="100"/>
      <c r="R2637" s="100"/>
      <c r="S2637" s="100"/>
      <c r="T2637" s="100"/>
      <c r="U2637" s="100"/>
      <c r="V2637" s="100"/>
      <c r="W2637" s="100"/>
      <c r="X2637" s="100"/>
      <c r="Y2637" s="100"/>
      <c r="Z2637" s="100"/>
    </row>
    <row r="2638" spans="1:26">
      <c r="A2638" s="100" t="e">
        <f ca="1">IFERROR(__xludf.DUMMYFUNCTION("""COMPUTED_VALUE"""),58785973)</f>
        <v>#NAME?</v>
      </c>
      <c r="B2638" s="100" t="e">
        <f ca="1">IFERROR(__xludf.DUMMYFUNCTION("""COMPUTED_VALUE"""),"ARUSDC")</f>
        <v>#NAME?</v>
      </c>
      <c r="C2638" s="100" t="e">
        <f ca="1">IFERROR(__xludf.DUMMYFUNCTION("""COMPUTED_VALUE"""),"5.54000000")</f>
        <v>#NAME?</v>
      </c>
      <c r="D2638" s="100" t="e">
        <f t="shared" ca="1" si="431"/>
        <v>#NAME?</v>
      </c>
      <c r="E2638" s="100" t="e">
        <f t="shared" ca="1" si="431"/>
        <v>#NAME?</v>
      </c>
      <c r="F2638" s="100" t="e">
        <f t="shared" ca="1" si="432"/>
        <v>#NAME?</v>
      </c>
      <c r="G2638" s="100" t="e">
        <f t="shared" ca="1" si="433"/>
        <v>#NAME?</v>
      </c>
      <c r="H2638" s="100" t="e">
        <f t="shared" ca="1" si="434"/>
        <v>#NAME?</v>
      </c>
      <c r="I2638" s="100" t="e">
        <f t="shared" ca="1" si="435"/>
        <v>#NAME?</v>
      </c>
      <c r="J2638" s="100" t="e">
        <f ca="1">IFERROR(__xludf.DUMMYFUNCTION("""COMPUTED_VALUE"""),"-1.773")</f>
        <v>#NAME?</v>
      </c>
      <c r="K2638" s="100" t="e">
        <f t="shared" ca="1" si="436"/>
        <v>#NAME?</v>
      </c>
      <c r="L2638" s="100"/>
      <c r="M2638" s="100"/>
      <c r="N2638" s="100"/>
      <c r="O2638" s="100"/>
      <c r="P2638" s="100"/>
      <c r="Q2638" s="100"/>
      <c r="R2638" s="100"/>
      <c r="S2638" s="100"/>
      <c r="T2638" s="100"/>
      <c r="U2638" s="100"/>
      <c r="V2638" s="100"/>
      <c r="W2638" s="100"/>
      <c r="X2638" s="100"/>
      <c r="Y2638" s="100"/>
      <c r="Z2638" s="100"/>
    </row>
    <row r="2639" spans="1:26">
      <c r="A2639" s="100" t="e">
        <f ca="1">IFERROR(__xludf.DUMMYFUNCTION("""COMPUTED_VALUE"""),58785974)</f>
        <v>#NAME?</v>
      </c>
      <c r="B2639" s="100" t="e">
        <f ca="1">IFERROR(__xludf.DUMMYFUNCTION("""COMPUTED_VALUE"""),"BBUSDC")</f>
        <v>#NAME?</v>
      </c>
      <c r="C2639" s="100" t="e">
        <f ca="1">IFERROR(__xludf.DUMMYFUNCTION("""COMPUTED_VALUE"""),"0.10850000")</f>
        <v>#NAME?</v>
      </c>
      <c r="D2639" s="100" t="e">
        <f t="shared" ca="1" si="431"/>
        <v>#NAME?</v>
      </c>
      <c r="E2639" s="100" t="e">
        <f t="shared" ca="1" si="431"/>
        <v>#NAME?</v>
      </c>
      <c r="F2639" s="100" t="e">
        <f t="shared" ca="1" si="432"/>
        <v>#NAME?</v>
      </c>
      <c r="G2639" s="100" t="e">
        <f t="shared" ca="1" si="433"/>
        <v>#NAME?</v>
      </c>
      <c r="H2639" s="100" t="e">
        <f t="shared" ca="1" si="434"/>
        <v>#NAME?</v>
      </c>
      <c r="I2639" s="100" t="e">
        <f t="shared" ca="1" si="435"/>
        <v>#NAME?</v>
      </c>
      <c r="J2639" s="100" t="e">
        <f ca="1">IFERROR(__xludf.DUMMYFUNCTION("""COMPUTED_VALUE"""),"-1.453")</f>
        <v>#NAME?</v>
      </c>
      <c r="K2639" s="100" t="e">
        <f t="shared" ca="1" si="436"/>
        <v>#NAME?</v>
      </c>
      <c r="L2639" s="100"/>
      <c r="M2639" s="100"/>
      <c r="N2639" s="100"/>
      <c r="O2639" s="100"/>
      <c r="P2639" s="100"/>
      <c r="Q2639" s="100"/>
      <c r="R2639" s="100"/>
      <c r="S2639" s="100"/>
      <c r="T2639" s="100"/>
      <c r="U2639" s="100"/>
      <c r="V2639" s="100"/>
      <c r="W2639" s="100"/>
      <c r="X2639" s="100"/>
      <c r="Y2639" s="100"/>
      <c r="Z2639" s="100"/>
    </row>
    <row r="2640" spans="1:26">
      <c r="A2640" s="100" t="e">
        <f ca="1">IFERROR(__xludf.DUMMYFUNCTION("""COMPUTED_VALUE"""),58785975)</f>
        <v>#NAME?</v>
      </c>
      <c r="B2640" s="100" t="e">
        <f ca="1">IFERROR(__xludf.DUMMYFUNCTION("""COMPUTED_VALUE"""),"CRVUSDC")</f>
        <v>#NAME?</v>
      </c>
      <c r="C2640" s="100" t="e">
        <f ca="1">IFERROR(__xludf.DUMMYFUNCTION("""COMPUTED_VALUE"""),"0.61370000")</f>
        <v>#NAME?</v>
      </c>
      <c r="D2640" s="100" t="e">
        <f t="shared" ca="1" si="431"/>
        <v>#NAME?</v>
      </c>
      <c r="E2640" s="100" t="e">
        <f t="shared" ca="1" si="431"/>
        <v>#NAME?</v>
      </c>
      <c r="F2640" s="100" t="e">
        <f t="shared" ca="1" si="432"/>
        <v>#NAME?</v>
      </c>
      <c r="G2640" s="100" t="e">
        <f t="shared" ca="1" si="433"/>
        <v>#NAME?</v>
      </c>
      <c r="H2640" s="100" t="e">
        <f t="shared" ca="1" si="434"/>
        <v>#NAME?</v>
      </c>
      <c r="I2640" s="100" t="e">
        <f t="shared" ca="1" si="435"/>
        <v>#NAME?</v>
      </c>
      <c r="J2640" s="100" t="e">
        <f ca="1">IFERROR(__xludf.DUMMYFUNCTION("""COMPUTED_VALUE"""),"-0.583")</f>
        <v>#NAME?</v>
      </c>
      <c r="K2640" s="100" t="e">
        <f t="shared" ca="1" si="436"/>
        <v>#NAME?</v>
      </c>
      <c r="L2640" s="100"/>
      <c r="M2640" s="100"/>
      <c r="N2640" s="100"/>
      <c r="O2640" s="100"/>
      <c r="P2640" s="100"/>
      <c r="Q2640" s="100"/>
      <c r="R2640" s="100"/>
      <c r="S2640" s="100"/>
      <c r="T2640" s="100"/>
      <c r="U2640" s="100"/>
      <c r="V2640" s="100"/>
      <c r="W2640" s="100"/>
      <c r="X2640" s="100"/>
      <c r="Y2640" s="100"/>
      <c r="Z2640" s="100"/>
    </row>
    <row r="2641" spans="1:26">
      <c r="A2641" s="100" t="e">
        <f ca="1">IFERROR(__xludf.DUMMYFUNCTION("""COMPUTED_VALUE"""),58785976)</f>
        <v>#NAME?</v>
      </c>
      <c r="B2641" s="100" t="e">
        <f ca="1">IFERROR(__xludf.DUMMYFUNCTION("""COMPUTED_VALUE"""),"PEOPLEUSDC")</f>
        <v>#NAME?</v>
      </c>
      <c r="C2641" s="100" t="e">
        <f ca="1">IFERROR(__xludf.DUMMYFUNCTION("""COMPUTED_VALUE"""),"0.01211000")</f>
        <v>#NAME?</v>
      </c>
      <c r="D2641" s="100" t="e">
        <f t="shared" ca="1" si="431"/>
        <v>#NAME?</v>
      </c>
      <c r="E2641" s="100" t="e">
        <f t="shared" ca="1" si="431"/>
        <v>#NAME?</v>
      </c>
      <c r="F2641" s="100" t="e">
        <f t="shared" ca="1" si="432"/>
        <v>#NAME?</v>
      </c>
      <c r="G2641" s="100" t="e">
        <f t="shared" ca="1" si="433"/>
        <v>#NAME?</v>
      </c>
      <c r="H2641" s="100" t="e">
        <f t="shared" ca="1" si="434"/>
        <v>#NAME?</v>
      </c>
      <c r="I2641" s="100" t="e">
        <f t="shared" ca="1" si="435"/>
        <v>#NAME?</v>
      </c>
      <c r="J2641" s="100" t="e">
        <f ca="1">IFERROR(__xludf.DUMMYFUNCTION("""COMPUTED_VALUE"""),"-3.813")</f>
        <v>#NAME?</v>
      </c>
      <c r="K2641" s="100" t="e">
        <f t="shared" ca="1" si="436"/>
        <v>#NAME?</v>
      </c>
      <c r="L2641" s="100"/>
      <c r="M2641" s="100"/>
      <c r="N2641" s="100"/>
      <c r="O2641" s="100"/>
      <c r="P2641" s="100"/>
      <c r="Q2641" s="100"/>
      <c r="R2641" s="100"/>
      <c r="S2641" s="100"/>
      <c r="T2641" s="100"/>
      <c r="U2641" s="100"/>
      <c r="V2641" s="100"/>
      <c r="W2641" s="100"/>
      <c r="X2641" s="100"/>
      <c r="Y2641" s="100"/>
      <c r="Z2641" s="100"/>
    </row>
    <row r="2642" spans="1:26">
      <c r="A2642" s="100" t="e">
        <f ca="1">IFERROR(__xludf.DUMMYFUNCTION("""COMPUTED_VALUE"""),58785977)</f>
        <v>#NAME?</v>
      </c>
      <c r="B2642" s="100" t="e">
        <f ca="1">IFERROR(__xludf.DUMMYFUNCTION("""COMPUTED_VALUE"""),"ARFDUSD")</f>
        <v>#NAME?</v>
      </c>
      <c r="C2642" s="100" t="e">
        <f ca="1">IFERROR(__xludf.DUMMYFUNCTION("""COMPUTED_VALUE"""),"5.54000000")</f>
        <v>#NAME?</v>
      </c>
      <c r="D2642" s="100" t="e">
        <f t="shared" ref="D2642:E2661" ca="1" si="437">IFERROR(__xludf.DUMMYFUNCTION("""COMPUTED_VALUE"""),"-")</f>
        <v>#NAME?</v>
      </c>
      <c r="E2642" s="100" t="e">
        <f t="shared" ca="1" si="437"/>
        <v>#NAME?</v>
      </c>
      <c r="F2642" s="100" t="e">
        <f t="shared" ca="1" si="432"/>
        <v>#NAME?</v>
      </c>
      <c r="G2642" s="100" t="e">
        <f t="shared" ca="1" si="433"/>
        <v>#NAME?</v>
      </c>
      <c r="H2642" s="100" t="e">
        <f t="shared" ca="1" si="434"/>
        <v>#NAME?</v>
      </c>
      <c r="I2642" s="100" t="e">
        <f t="shared" ca="1" si="435"/>
        <v>#NAME?</v>
      </c>
      <c r="J2642" s="100" t="e">
        <f ca="1">IFERROR(__xludf.DUMMYFUNCTION("""COMPUTED_VALUE"""),"-1.773")</f>
        <v>#NAME?</v>
      </c>
      <c r="K2642" s="100" t="e">
        <f t="shared" ca="1" si="436"/>
        <v>#NAME?</v>
      </c>
      <c r="L2642" s="100"/>
      <c r="M2642" s="100"/>
      <c r="N2642" s="100"/>
      <c r="O2642" s="100"/>
      <c r="P2642" s="100"/>
      <c r="Q2642" s="100"/>
      <c r="R2642" s="100"/>
      <c r="S2642" s="100"/>
      <c r="T2642" s="100"/>
      <c r="U2642" s="100"/>
      <c r="V2642" s="100"/>
      <c r="W2642" s="100"/>
      <c r="X2642" s="100"/>
      <c r="Y2642" s="100"/>
      <c r="Z2642" s="100"/>
    </row>
    <row r="2643" spans="1:26">
      <c r="A2643" s="100" t="e">
        <f ca="1">IFERROR(__xludf.DUMMYFUNCTION("""COMPUTED_VALUE"""),58785978)</f>
        <v>#NAME?</v>
      </c>
      <c r="B2643" s="100" t="e">
        <f ca="1">IFERROR(__xludf.DUMMYFUNCTION("""COMPUTED_VALUE"""),"ENAEUR")</f>
        <v>#NAME?</v>
      </c>
      <c r="C2643" s="100" t="e">
        <f ca="1">IFERROR(__xludf.DUMMYFUNCTION("""COMPUTED_VALUE"""),"0.27700000")</f>
        <v>#NAME?</v>
      </c>
      <c r="D2643" s="100" t="e">
        <f t="shared" ca="1" si="437"/>
        <v>#NAME?</v>
      </c>
      <c r="E2643" s="100" t="e">
        <f t="shared" ca="1" si="437"/>
        <v>#NAME?</v>
      </c>
      <c r="F2643" s="100" t="e">
        <f t="shared" ca="1" si="432"/>
        <v>#NAME?</v>
      </c>
      <c r="G2643" s="100" t="e">
        <f t="shared" ca="1" si="433"/>
        <v>#NAME?</v>
      </c>
      <c r="H2643" s="100" t="e">
        <f t="shared" ca="1" si="434"/>
        <v>#NAME?</v>
      </c>
      <c r="I2643" s="100" t="e">
        <f t="shared" ca="1" si="435"/>
        <v>#NAME?</v>
      </c>
      <c r="J2643" s="100" t="e">
        <f ca="1">IFERROR(__xludf.DUMMYFUNCTION("""COMPUTED_VALUE"""),"0")</f>
        <v>#NAME?</v>
      </c>
      <c r="K2643" s="100" t="e">
        <f t="shared" ca="1" si="436"/>
        <v>#NAME?</v>
      </c>
      <c r="L2643" s="100"/>
      <c r="M2643" s="100"/>
      <c r="N2643" s="100"/>
      <c r="O2643" s="100"/>
      <c r="P2643" s="100"/>
      <c r="Q2643" s="100"/>
      <c r="R2643" s="100"/>
      <c r="S2643" s="100"/>
      <c r="T2643" s="100"/>
      <c r="U2643" s="100"/>
      <c r="V2643" s="100"/>
      <c r="W2643" s="100"/>
      <c r="X2643" s="100"/>
      <c r="Y2643" s="100"/>
      <c r="Z2643" s="100"/>
    </row>
    <row r="2644" spans="1:26">
      <c r="A2644" s="100" t="e">
        <f ca="1">IFERROR(__xludf.DUMMYFUNCTION("""COMPUTED_VALUE"""),58785979)</f>
        <v>#NAME?</v>
      </c>
      <c r="B2644" s="100" t="e">
        <f ca="1">IFERROR(__xludf.DUMMYFUNCTION("""COMPUTED_VALUE"""),"PEPEEUR")</f>
        <v>#NAME?</v>
      </c>
      <c r="C2644" s="100" t="e">
        <f ca="1">IFERROR(__xludf.DUMMYFUNCTION("""COMPUTED_VALUE"""),"0.00000707")</f>
        <v>#NAME?</v>
      </c>
      <c r="D2644" s="100" t="e">
        <f t="shared" ca="1" si="437"/>
        <v>#NAME?</v>
      </c>
      <c r="E2644" s="100" t="e">
        <f t="shared" ca="1" si="437"/>
        <v>#NAME?</v>
      </c>
      <c r="F2644" s="100" t="e">
        <f t="shared" ca="1" si="432"/>
        <v>#NAME?</v>
      </c>
      <c r="G2644" s="100" t="e">
        <f t="shared" ca="1" si="433"/>
        <v>#NAME?</v>
      </c>
      <c r="H2644" s="100" t="e">
        <f t="shared" ca="1" si="434"/>
        <v>#NAME?</v>
      </c>
      <c r="I2644" s="100" t="e">
        <f t="shared" ca="1" si="435"/>
        <v>#NAME?</v>
      </c>
      <c r="J2644" s="100" t="e">
        <f ca="1">IFERROR(__xludf.DUMMYFUNCTION("""COMPUTED_VALUE"""),"4.124")</f>
        <v>#NAME?</v>
      </c>
      <c r="K2644" s="100" t="e">
        <f t="shared" ca="1" si="436"/>
        <v>#NAME?</v>
      </c>
      <c r="L2644" s="100"/>
      <c r="M2644" s="100"/>
      <c r="N2644" s="100"/>
      <c r="O2644" s="100"/>
      <c r="P2644" s="100"/>
      <c r="Q2644" s="100"/>
      <c r="R2644" s="100"/>
      <c r="S2644" s="100"/>
      <c r="T2644" s="100"/>
      <c r="U2644" s="100"/>
      <c r="V2644" s="100"/>
      <c r="W2644" s="100"/>
      <c r="X2644" s="100"/>
      <c r="Y2644" s="100"/>
      <c r="Z2644" s="100"/>
    </row>
    <row r="2645" spans="1:26">
      <c r="A2645" s="100" t="e">
        <f ca="1">IFERROR(__xludf.DUMMYFUNCTION("""COMPUTED_VALUE"""),58785980)</f>
        <v>#NAME?</v>
      </c>
      <c r="B2645" s="100" t="e">
        <f ca="1">IFERROR(__xludf.DUMMYFUNCTION("""COMPUTED_VALUE"""),"REZUSDC")</f>
        <v>#NAME?</v>
      </c>
      <c r="C2645" s="100" t="e">
        <f ca="1">IFERROR(__xludf.DUMMYFUNCTION("""COMPUTED_VALUE"""),"0.01273000")</f>
        <v>#NAME?</v>
      </c>
      <c r="D2645" s="100" t="e">
        <f t="shared" ca="1" si="437"/>
        <v>#NAME?</v>
      </c>
      <c r="E2645" s="100" t="e">
        <f t="shared" ca="1" si="437"/>
        <v>#NAME?</v>
      </c>
      <c r="F2645" s="100" t="e">
        <f t="shared" ca="1" si="432"/>
        <v>#NAME?</v>
      </c>
      <c r="G2645" s="100" t="e">
        <f t="shared" ca="1" si="433"/>
        <v>#NAME?</v>
      </c>
      <c r="H2645" s="100" t="e">
        <f t="shared" ca="1" si="434"/>
        <v>#NAME?</v>
      </c>
      <c r="I2645" s="100" t="e">
        <f t="shared" ca="1" si="435"/>
        <v>#NAME?</v>
      </c>
      <c r="J2645" s="100" t="e">
        <f ca="1">IFERROR(__xludf.DUMMYFUNCTION("""COMPUTED_VALUE"""),"-4.142")</f>
        <v>#NAME?</v>
      </c>
      <c r="K2645" s="100" t="e">
        <f t="shared" ca="1" si="436"/>
        <v>#NAME?</v>
      </c>
      <c r="L2645" s="100"/>
      <c r="M2645" s="100"/>
      <c r="N2645" s="100"/>
      <c r="O2645" s="100"/>
      <c r="P2645" s="100"/>
      <c r="Q2645" s="100"/>
      <c r="R2645" s="100"/>
      <c r="S2645" s="100"/>
      <c r="T2645" s="100"/>
      <c r="U2645" s="100"/>
      <c r="V2645" s="100"/>
      <c r="W2645" s="100"/>
      <c r="X2645" s="100"/>
      <c r="Y2645" s="100"/>
      <c r="Z2645" s="100"/>
    </row>
    <row r="2646" spans="1:26">
      <c r="A2646" s="100" t="e">
        <f ca="1">IFERROR(__xludf.DUMMYFUNCTION("""COMPUTED_VALUE"""),58785981)</f>
        <v>#NAME?</v>
      </c>
      <c r="B2646" s="100" t="e">
        <f ca="1">IFERROR(__xludf.DUMMYFUNCTION("""COMPUTED_VALUE"""),"TRBFDUSD")</f>
        <v>#NAME?</v>
      </c>
      <c r="C2646" s="100" t="e">
        <f ca="1">IFERROR(__xludf.DUMMYFUNCTION("""COMPUTED_VALUE"""),"59.44000000")</f>
        <v>#NAME?</v>
      </c>
      <c r="D2646" s="100" t="e">
        <f t="shared" ca="1" si="437"/>
        <v>#NAME?</v>
      </c>
      <c r="E2646" s="100" t="e">
        <f t="shared" ca="1" si="437"/>
        <v>#NAME?</v>
      </c>
      <c r="F2646" s="100" t="e">
        <f t="shared" ca="1" si="432"/>
        <v>#NAME?</v>
      </c>
      <c r="G2646" s="100" t="e">
        <f t="shared" ca="1" si="433"/>
        <v>#NAME?</v>
      </c>
      <c r="H2646" s="100" t="e">
        <f t="shared" ca="1" si="434"/>
        <v>#NAME?</v>
      </c>
      <c r="I2646" s="100" t="e">
        <f t="shared" ca="1" si="435"/>
        <v>#NAME?</v>
      </c>
      <c r="J2646" s="100" t="e">
        <f ca="1">IFERROR(__xludf.DUMMYFUNCTION("""COMPUTED_VALUE"""),"0")</f>
        <v>#NAME?</v>
      </c>
      <c r="K2646" s="100" t="e">
        <f t="shared" ca="1" si="436"/>
        <v>#NAME?</v>
      </c>
      <c r="L2646" s="100"/>
      <c r="M2646" s="100"/>
      <c r="N2646" s="100"/>
      <c r="O2646" s="100"/>
      <c r="P2646" s="100"/>
      <c r="Q2646" s="100"/>
      <c r="R2646" s="100"/>
      <c r="S2646" s="100"/>
      <c r="T2646" s="100"/>
      <c r="U2646" s="100"/>
      <c r="V2646" s="100"/>
      <c r="W2646" s="100"/>
      <c r="X2646" s="100"/>
      <c r="Y2646" s="100"/>
      <c r="Z2646" s="100"/>
    </row>
    <row r="2647" spans="1:26">
      <c r="A2647" s="100" t="e">
        <f ca="1">IFERROR(__xludf.DUMMYFUNCTION("""COMPUTED_VALUE"""),58785982)</f>
        <v>#NAME?</v>
      </c>
      <c r="B2647" s="100" t="e">
        <f ca="1">IFERROR(__xludf.DUMMYFUNCTION("""COMPUTED_VALUE"""),"USDCTRY")</f>
        <v>#NAME?</v>
      </c>
      <c r="C2647" s="100" t="e">
        <f ca="1">IFERROR(__xludf.DUMMYFUNCTION("""COMPUTED_VALUE"""),"38.22000000")</f>
        <v>#NAME?</v>
      </c>
      <c r="D2647" s="100" t="e">
        <f t="shared" ca="1" si="437"/>
        <v>#NAME?</v>
      </c>
      <c r="E2647" s="100" t="e">
        <f t="shared" ca="1" si="437"/>
        <v>#NAME?</v>
      </c>
      <c r="F2647" s="100" t="e">
        <f t="shared" ca="1" si="432"/>
        <v>#NAME?</v>
      </c>
      <c r="G2647" s="100" t="e">
        <f t="shared" ca="1" si="433"/>
        <v>#NAME?</v>
      </c>
      <c r="H2647" s="100" t="e">
        <f t="shared" ca="1" si="434"/>
        <v>#NAME?</v>
      </c>
      <c r="I2647" s="100" t="e">
        <f t="shared" ca="1" si="435"/>
        <v>#NAME?</v>
      </c>
      <c r="J2647" s="100" t="e">
        <f ca="1">IFERROR(__xludf.DUMMYFUNCTION("""COMPUTED_VALUE"""),"0.000")</f>
        <v>#NAME?</v>
      </c>
      <c r="K2647" s="100" t="e">
        <f t="shared" ca="1" si="436"/>
        <v>#NAME?</v>
      </c>
      <c r="L2647" s="100"/>
      <c r="M2647" s="100"/>
      <c r="N2647" s="100"/>
      <c r="O2647" s="100"/>
      <c r="P2647" s="100"/>
      <c r="Q2647" s="100"/>
      <c r="R2647" s="100"/>
      <c r="S2647" s="100"/>
      <c r="T2647" s="100"/>
      <c r="U2647" s="100"/>
      <c r="V2647" s="100"/>
      <c r="W2647" s="100"/>
      <c r="X2647" s="100"/>
      <c r="Y2647" s="100"/>
      <c r="Z2647" s="100"/>
    </row>
    <row r="2648" spans="1:26">
      <c r="A2648" s="100" t="e">
        <f ca="1">IFERROR(__xludf.DUMMYFUNCTION("""COMPUTED_VALUE"""),58785983)</f>
        <v>#NAME?</v>
      </c>
      <c r="B2648" s="100" t="e">
        <f ca="1">IFERROR(__xludf.DUMMYFUNCTION("""COMPUTED_VALUE"""),"BTCMXN")</f>
        <v>#NAME?</v>
      </c>
      <c r="C2648" s="100" t="e">
        <f ca="1">IFERROR(__xludf.DUMMYFUNCTION("""COMPUTED_VALUE"""),"1753102.00000000")</f>
        <v>#NAME?</v>
      </c>
      <c r="D2648" s="100" t="e">
        <f t="shared" ca="1" si="437"/>
        <v>#NAME?</v>
      </c>
      <c r="E2648" s="100" t="e">
        <f t="shared" ca="1" si="437"/>
        <v>#NAME?</v>
      </c>
      <c r="F2648" s="100" t="e">
        <f t="shared" ca="1" si="432"/>
        <v>#NAME?</v>
      </c>
      <c r="G2648" s="100" t="e">
        <f t="shared" ca="1" si="433"/>
        <v>#NAME?</v>
      </c>
      <c r="H2648" s="100" t="e">
        <f t="shared" ca="1" si="434"/>
        <v>#NAME?</v>
      </c>
      <c r="I2648" s="100" t="e">
        <f t="shared" ca="1" si="435"/>
        <v>#NAME?</v>
      </c>
      <c r="J2648" s="100" t="e">
        <f ca="1">IFERROR(__xludf.DUMMYFUNCTION("""COMPUTED_VALUE"""),"0.986")</f>
        <v>#NAME?</v>
      </c>
      <c r="K2648" s="100" t="e">
        <f t="shared" ca="1" si="436"/>
        <v>#NAME?</v>
      </c>
      <c r="L2648" s="100"/>
      <c r="M2648" s="100"/>
      <c r="N2648" s="100"/>
      <c r="O2648" s="100"/>
      <c r="P2648" s="100"/>
      <c r="Q2648" s="100"/>
      <c r="R2648" s="100"/>
      <c r="S2648" s="100"/>
      <c r="T2648" s="100"/>
      <c r="U2648" s="100"/>
      <c r="V2648" s="100"/>
      <c r="W2648" s="100"/>
      <c r="X2648" s="100"/>
      <c r="Y2648" s="100"/>
      <c r="Z2648" s="100"/>
    </row>
    <row r="2649" spans="1:26">
      <c r="A2649" s="100" t="e">
        <f ca="1">IFERROR(__xludf.DUMMYFUNCTION("""COMPUTED_VALUE"""),58785984)</f>
        <v>#NAME?</v>
      </c>
      <c r="B2649" s="100" t="e">
        <f ca="1">IFERROR(__xludf.DUMMYFUNCTION("""COMPUTED_VALUE"""),"XRPMXN")</f>
        <v>#NAME?</v>
      </c>
      <c r="C2649" s="100" t="e">
        <f ca="1">IFERROR(__xludf.DUMMYFUNCTION("""COMPUTED_VALUE"""),"41.40700000")</f>
        <v>#NAME?</v>
      </c>
      <c r="D2649" s="100" t="e">
        <f t="shared" ca="1" si="437"/>
        <v>#NAME?</v>
      </c>
      <c r="E2649" s="100" t="e">
        <f t="shared" ca="1" si="437"/>
        <v>#NAME?</v>
      </c>
      <c r="F2649" s="100" t="e">
        <f t="shared" ca="1" si="432"/>
        <v>#NAME?</v>
      </c>
      <c r="G2649" s="100" t="e">
        <f t="shared" ca="1" si="433"/>
        <v>#NAME?</v>
      </c>
      <c r="H2649" s="100" t="e">
        <f t="shared" ca="1" si="434"/>
        <v>#NAME?</v>
      </c>
      <c r="I2649" s="100" t="e">
        <f t="shared" ca="1" si="435"/>
        <v>#NAME?</v>
      </c>
      <c r="J2649" s="100" t="e">
        <f ca="1">IFERROR(__xludf.DUMMYFUNCTION("""COMPUTED_VALUE"""),"-1.353")</f>
        <v>#NAME?</v>
      </c>
      <c r="K2649" s="100" t="e">
        <f t="shared" ca="1" si="436"/>
        <v>#NAME?</v>
      </c>
      <c r="L2649" s="100"/>
      <c r="M2649" s="100"/>
      <c r="N2649" s="100"/>
      <c r="O2649" s="100"/>
      <c r="P2649" s="100"/>
      <c r="Q2649" s="100"/>
      <c r="R2649" s="100"/>
      <c r="S2649" s="100"/>
      <c r="T2649" s="100"/>
      <c r="U2649" s="100"/>
      <c r="V2649" s="100"/>
      <c r="W2649" s="100"/>
      <c r="X2649" s="100"/>
      <c r="Y2649" s="100"/>
      <c r="Z2649" s="100"/>
    </row>
    <row r="2650" spans="1:26">
      <c r="A2650" s="100" t="e">
        <f ca="1">IFERROR(__xludf.DUMMYFUNCTION("""COMPUTED_VALUE"""),58785985)</f>
        <v>#NAME?</v>
      </c>
      <c r="B2650" s="100" t="e">
        <f ca="1">IFERROR(__xludf.DUMMYFUNCTION("""COMPUTED_VALUE"""),"ENSUSDC")</f>
        <v>#NAME?</v>
      </c>
      <c r="C2650" s="100" t="e">
        <f ca="1">IFERROR(__xludf.DUMMYFUNCTION("""COMPUTED_VALUE"""),"15.31000000")</f>
        <v>#NAME?</v>
      </c>
      <c r="D2650" s="100" t="e">
        <f t="shared" ca="1" si="437"/>
        <v>#NAME?</v>
      </c>
      <c r="E2650" s="100" t="e">
        <f t="shared" ca="1" si="437"/>
        <v>#NAME?</v>
      </c>
      <c r="F2650" s="100" t="e">
        <f t="shared" ca="1" si="432"/>
        <v>#NAME?</v>
      </c>
      <c r="G2650" s="100" t="e">
        <f t="shared" ca="1" si="433"/>
        <v>#NAME?</v>
      </c>
      <c r="H2650" s="100" t="e">
        <f t="shared" ca="1" si="434"/>
        <v>#NAME?</v>
      </c>
      <c r="I2650" s="100" t="e">
        <f t="shared" ca="1" si="435"/>
        <v>#NAME?</v>
      </c>
      <c r="J2650" s="100" t="e">
        <f ca="1">IFERROR(__xludf.DUMMYFUNCTION("""COMPUTED_VALUE"""),"1.123")</f>
        <v>#NAME?</v>
      </c>
      <c r="K2650" s="100" t="e">
        <f t="shared" ca="1" si="436"/>
        <v>#NAME?</v>
      </c>
      <c r="L2650" s="100"/>
      <c r="M2650" s="100"/>
      <c r="N2650" s="100"/>
      <c r="O2650" s="100"/>
      <c r="P2650" s="100"/>
      <c r="Q2650" s="100"/>
      <c r="R2650" s="100"/>
      <c r="S2650" s="100"/>
      <c r="T2650" s="100"/>
      <c r="U2650" s="100"/>
      <c r="V2650" s="100"/>
      <c r="W2650" s="100"/>
      <c r="X2650" s="100"/>
      <c r="Y2650" s="100"/>
      <c r="Z2650" s="100"/>
    </row>
    <row r="2651" spans="1:26">
      <c r="A2651" s="100" t="e">
        <f ca="1">IFERROR(__xludf.DUMMYFUNCTION("""COMPUTED_VALUE"""),58785986)</f>
        <v>#NAME?</v>
      </c>
      <c r="B2651" s="100" t="e">
        <f ca="1">IFERROR(__xludf.DUMMYFUNCTION("""COMPUTED_VALUE"""),"LDOUSDC")</f>
        <v>#NAME?</v>
      </c>
      <c r="C2651" s="100" t="e">
        <f ca="1">IFERROR(__xludf.DUMMYFUNCTION("""COMPUTED_VALUE"""),"0.72900000")</f>
        <v>#NAME?</v>
      </c>
      <c r="D2651" s="100" t="e">
        <f t="shared" ca="1" si="437"/>
        <v>#NAME?</v>
      </c>
      <c r="E2651" s="100" t="e">
        <f t="shared" ca="1" si="437"/>
        <v>#NAME?</v>
      </c>
      <c r="F2651" s="100" t="e">
        <f t="shared" ca="1" si="432"/>
        <v>#NAME?</v>
      </c>
      <c r="G2651" s="100" t="e">
        <f t="shared" ca="1" si="433"/>
        <v>#NAME?</v>
      </c>
      <c r="H2651" s="100" t="e">
        <f t="shared" ca="1" si="434"/>
        <v>#NAME?</v>
      </c>
      <c r="I2651" s="100" t="e">
        <f t="shared" ca="1" si="435"/>
        <v>#NAME?</v>
      </c>
      <c r="J2651" s="100" t="e">
        <f ca="1">IFERROR(__xludf.DUMMYFUNCTION("""COMPUTED_VALUE"""),"-1.353")</f>
        <v>#NAME?</v>
      </c>
      <c r="K2651" s="100" t="e">
        <f t="shared" ca="1" si="436"/>
        <v>#NAME?</v>
      </c>
      <c r="L2651" s="100"/>
      <c r="M2651" s="100"/>
      <c r="N2651" s="100"/>
      <c r="O2651" s="100"/>
      <c r="P2651" s="100"/>
      <c r="Q2651" s="100"/>
      <c r="R2651" s="100"/>
      <c r="S2651" s="100"/>
      <c r="T2651" s="100"/>
      <c r="U2651" s="100"/>
      <c r="V2651" s="100"/>
      <c r="W2651" s="100"/>
      <c r="X2651" s="100"/>
      <c r="Y2651" s="100"/>
      <c r="Z2651" s="100"/>
    </row>
    <row r="2652" spans="1:26">
      <c r="A2652" s="100" t="e">
        <f ca="1">IFERROR(__xludf.DUMMYFUNCTION("""COMPUTED_VALUE"""),58785987)</f>
        <v>#NAME?</v>
      </c>
      <c r="B2652" s="100" t="e">
        <f ca="1">IFERROR(__xludf.DUMMYFUNCTION("""COMPUTED_VALUE"""),"NOTUSDC")</f>
        <v>#NAME?</v>
      </c>
      <c r="C2652" s="100" t="e">
        <f ca="1">IFERROR(__xludf.DUMMYFUNCTION("""COMPUTED_VALUE"""),"0.00192200")</f>
        <v>#NAME?</v>
      </c>
      <c r="D2652" s="100" t="e">
        <f t="shared" ca="1" si="437"/>
        <v>#NAME?</v>
      </c>
      <c r="E2652" s="100" t="e">
        <f t="shared" ca="1" si="437"/>
        <v>#NAME?</v>
      </c>
      <c r="F2652" s="100" t="e">
        <f t="shared" ca="1" si="432"/>
        <v>#NAME?</v>
      </c>
      <c r="G2652" s="100" t="e">
        <f t="shared" ca="1" si="433"/>
        <v>#NAME?</v>
      </c>
      <c r="H2652" s="100" t="e">
        <f t="shared" ca="1" si="434"/>
        <v>#NAME?</v>
      </c>
      <c r="I2652" s="100" t="e">
        <f t="shared" ca="1" si="435"/>
        <v>#NAME?</v>
      </c>
      <c r="J2652" s="100" t="e">
        <f ca="1">IFERROR(__xludf.DUMMYFUNCTION("""COMPUTED_VALUE"""),"-1.284")</f>
        <v>#NAME?</v>
      </c>
      <c r="K2652" s="100" t="e">
        <f t="shared" ca="1" si="436"/>
        <v>#NAME?</v>
      </c>
      <c r="L2652" s="100"/>
      <c r="M2652" s="100"/>
      <c r="N2652" s="100"/>
      <c r="O2652" s="100"/>
      <c r="P2652" s="100"/>
      <c r="Q2652" s="100"/>
      <c r="R2652" s="100"/>
      <c r="S2652" s="100"/>
      <c r="T2652" s="100"/>
      <c r="U2652" s="100"/>
      <c r="V2652" s="100"/>
      <c r="W2652" s="100"/>
      <c r="X2652" s="100"/>
      <c r="Y2652" s="100"/>
      <c r="Z2652" s="100"/>
    </row>
    <row r="2653" spans="1:26">
      <c r="A2653" s="100" t="e">
        <f ca="1">IFERROR(__xludf.DUMMYFUNCTION("""COMPUTED_VALUE"""),58785988)</f>
        <v>#NAME?</v>
      </c>
      <c r="B2653" s="100" t="e">
        <f ca="1">IFERROR(__xludf.DUMMYFUNCTION("""COMPUTED_VALUE"""),"NEARBRL")</f>
        <v>#NAME?</v>
      </c>
      <c r="C2653" s="100" t="e">
        <f ca="1">IFERROR(__xludf.DUMMYFUNCTION("""COMPUTED_VALUE"""),"12.75000000")</f>
        <v>#NAME?</v>
      </c>
      <c r="D2653" s="100" t="e">
        <f t="shared" ca="1" si="437"/>
        <v>#NAME?</v>
      </c>
      <c r="E2653" s="100" t="e">
        <f t="shared" ca="1" si="437"/>
        <v>#NAME?</v>
      </c>
      <c r="F2653" s="100" t="e">
        <f t="shared" ca="1" si="432"/>
        <v>#NAME?</v>
      </c>
      <c r="G2653" s="100" t="e">
        <f t="shared" ca="1" si="433"/>
        <v>#NAME?</v>
      </c>
      <c r="H2653" s="100" t="e">
        <f t="shared" ca="1" si="434"/>
        <v>#NAME?</v>
      </c>
      <c r="I2653" s="100" t="e">
        <f t="shared" ca="1" si="435"/>
        <v>#NAME?</v>
      </c>
      <c r="J2653" s="100" t="e">
        <f ca="1">IFERROR(__xludf.DUMMYFUNCTION("""COMPUTED_VALUE"""),"-5.204")</f>
        <v>#NAME?</v>
      </c>
      <c r="K2653" s="100" t="e">
        <f t="shared" ca="1" si="436"/>
        <v>#NAME?</v>
      </c>
      <c r="L2653" s="100"/>
      <c r="M2653" s="100"/>
      <c r="N2653" s="100"/>
      <c r="O2653" s="100"/>
      <c r="P2653" s="100"/>
      <c r="Q2653" s="100"/>
      <c r="R2653" s="100"/>
      <c r="S2653" s="100"/>
      <c r="T2653" s="100"/>
      <c r="U2653" s="100"/>
      <c r="V2653" s="100"/>
      <c r="W2653" s="100"/>
      <c r="X2653" s="100"/>
      <c r="Y2653" s="100"/>
      <c r="Z2653" s="100"/>
    </row>
    <row r="2654" spans="1:26">
      <c r="A2654" s="100" t="e">
        <f ca="1">IFERROR(__xludf.DUMMYFUNCTION("""COMPUTED_VALUE"""),58785989)</f>
        <v>#NAME?</v>
      </c>
      <c r="B2654" s="100" t="e">
        <f ca="1">IFERROR(__xludf.DUMMYFUNCTION("""COMPUTED_VALUE"""),"HIGHTRY")</f>
        <v>#NAME?</v>
      </c>
      <c r="C2654" s="100" t="e">
        <f ca="1">IFERROR(__xludf.DUMMYFUNCTION("""COMPUTED_VALUE"""),"17.68000000")</f>
        <v>#NAME?</v>
      </c>
      <c r="D2654" s="100" t="e">
        <f t="shared" ca="1" si="437"/>
        <v>#NAME?</v>
      </c>
      <c r="E2654" s="100" t="e">
        <f t="shared" ca="1" si="437"/>
        <v>#NAME?</v>
      </c>
      <c r="F2654" s="100" t="e">
        <f t="shared" ca="1" si="432"/>
        <v>#NAME?</v>
      </c>
      <c r="G2654" s="100" t="e">
        <f t="shared" ca="1" si="433"/>
        <v>#NAME?</v>
      </c>
      <c r="H2654" s="100" t="e">
        <f t="shared" ca="1" si="434"/>
        <v>#NAME?</v>
      </c>
      <c r="I2654" s="100" t="e">
        <f t="shared" ca="1" si="435"/>
        <v>#NAME?</v>
      </c>
      <c r="J2654" s="100" t="e">
        <f ca="1">IFERROR(__xludf.DUMMYFUNCTION("""COMPUTED_VALUE"""),"-7.386")</f>
        <v>#NAME?</v>
      </c>
      <c r="K2654" s="100" t="e">
        <f t="shared" ca="1" si="436"/>
        <v>#NAME?</v>
      </c>
      <c r="L2654" s="100"/>
      <c r="M2654" s="100"/>
      <c r="N2654" s="100"/>
      <c r="O2654" s="100"/>
      <c r="P2654" s="100"/>
      <c r="Q2654" s="100"/>
      <c r="R2654" s="100"/>
      <c r="S2654" s="100"/>
      <c r="T2654" s="100"/>
      <c r="U2654" s="100"/>
      <c r="V2654" s="100"/>
      <c r="W2654" s="100"/>
      <c r="X2654" s="100"/>
      <c r="Y2654" s="100"/>
      <c r="Z2654" s="100"/>
    </row>
    <row r="2655" spans="1:26">
      <c r="A2655" s="100" t="e">
        <f ca="1">IFERROR(__xludf.DUMMYFUNCTION("""COMPUTED_VALUE"""),58785990)</f>
        <v>#NAME?</v>
      </c>
      <c r="B2655" s="100" t="e">
        <f ca="1">IFERROR(__xludf.DUMMYFUNCTION("""COMPUTED_VALUE"""),"PEOPLEFDUSD")</f>
        <v>#NAME?</v>
      </c>
      <c r="C2655" s="100" t="e">
        <f ca="1">IFERROR(__xludf.DUMMYFUNCTION("""COMPUTED_VALUE"""),"0.01207000")</f>
        <v>#NAME?</v>
      </c>
      <c r="D2655" s="100" t="e">
        <f t="shared" ca="1" si="437"/>
        <v>#NAME?</v>
      </c>
      <c r="E2655" s="100" t="e">
        <f t="shared" ca="1" si="437"/>
        <v>#NAME?</v>
      </c>
      <c r="F2655" s="100" t="e">
        <f t="shared" ca="1" si="432"/>
        <v>#NAME?</v>
      </c>
      <c r="G2655" s="100" t="e">
        <f t="shared" ca="1" si="433"/>
        <v>#NAME?</v>
      </c>
      <c r="H2655" s="100" t="e">
        <f t="shared" ca="1" si="434"/>
        <v>#NAME?</v>
      </c>
      <c r="I2655" s="100" t="e">
        <f t="shared" ca="1" si="435"/>
        <v>#NAME?</v>
      </c>
      <c r="J2655" s="100" t="e">
        <f ca="1">IFERROR(__xludf.DUMMYFUNCTION("""COMPUTED_VALUE"""),"-4.509")</f>
        <v>#NAME?</v>
      </c>
      <c r="K2655" s="100" t="e">
        <f t="shared" ca="1" si="436"/>
        <v>#NAME?</v>
      </c>
      <c r="L2655" s="100"/>
      <c r="M2655" s="100"/>
      <c r="N2655" s="100"/>
      <c r="O2655" s="100"/>
      <c r="P2655" s="100"/>
      <c r="Q2655" s="100"/>
      <c r="R2655" s="100"/>
      <c r="S2655" s="100"/>
      <c r="T2655" s="100"/>
      <c r="U2655" s="100"/>
      <c r="V2655" s="100"/>
      <c r="W2655" s="100"/>
      <c r="X2655" s="100"/>
      <c r="Y2655" s="100"/>
      <c r="Z2655" s="100"/>
    </row>
    <row r="2656" spans="1:26">
      <c r="A2656" s="100" t="e">
        <f ca="1">IFERROR(__xludf.DUMMYFUNCTION("""COMPUTED_VALUE"""),58785991)</f>
        <v>#NAME?</v>
      </c>
      <c r="B2656" s="100" t="e">
        <f ca="1">IFERROR(__xludf.DUMMYFUNCTION("""COMPUTED_VALUE"""),"TNSRUSDC")</f>
        <v>#NAME?</v>
      </c>
      <c r="C2656" s="100" t="e">
        <f ca="1">IFERROR(__xludf.DUMMYFUNCTION("""COMPUTED_VALUE"""),"0.14400000")</f>
        <v>#NAME?</v>
      </c>
      <c r="D2656" s="100" t="e">
        <f t="shared" ca="1" si="437"/>
        <v>#NAME?</v>
      </c>
      <c r="E2656" s="100" t="e">
        <f t="shared" ca="1" si="437"/>
        <v>#NAME?</v>
      </c>
      <c r="F2656" s="100" t="e">
        <f t="shared" ca="1" si="432"/>
        <v>#NAME?</v>
      </c>
      <c r="G2656" s="100" t="e">
        <f t="shared" ca="1" si="433"/>
        <v>#NAME?</v>
      </c>
      <c r="H2656" s="100" t="e">
        <f t="shared" ca="1" si="434"/>
        <v>#NAME?</v>
      </c>
      <c r="I2656" s="100" t="e">
        <f t="shared" ca="1" si="435"/>
        <v>#NAME?</v>
      </c>
      <c r="J2656" s="100" t="e">
        <f ca="1">IFERROR(__xludf.DUMMYFUNCTION("""COMPUTED_VALUE"""),"6.904")</f>
        <v>#NAME?</v>
      </c>
      <c r="K2656" s="100" t="e">
        <f t="shared" ca="1" si="436"/>
        <v>#NAME?</v>
      </c>
      <c r="L2656" s="100"/>
      <c r="M2656" s="100"/>
      <c r="N2656" s="100"/>
      <c r="O2656" s="100"/>
      <c r="P2656" s="100"/>
      <c r="Q2656" s="100"/>
      <c r="R2656" s="100"/>
      <c r="S2656" s="100"/>
      <c r="T2656" s="100"/>
      <c r="U2656" s="100"/>
      <c r="V2656" s="100"/>
      <c r="W2656" s="100"/>
      <c r="X2656" s="100"/>
      <c r="Y2656" s="100"/>
      <c r="Z2656" s="100"/>
    </row>
    <row r="2657" spans="1:26">
      <c r="A2657" s="100" t="e">
        <f ca="1">IFERROR(__xludf.DUMMYFUNCTION("""COMPUTED_VALUE"""),58785992)</f>
        <v>#NAME?</v>
      </c>
      <c r="B2657" s="100" t="e">
        <f ca="1">IFERROR(__xludf.DUMMYFUNCTION("""COMPUTED_VALUE"""),"USDTCOP")</f>
        <v>#NAME?</v>
      </c>
      <c r="C2657" s="100" t="e">
        <f ca="1">IFERROR(__xludf.DUMMYFUNCTION("""COMPUTED_VALUE"""),"4232.00000000")</f>
        <v>#NAME?</v>
      </c>
      <c r="D2657" s="100" t="e">
        <f t="shared" ca="1" si="437"/>
        <v>#NAME?</v>
      </c>
      <c r="E2657" s="100" t="e">
        <f t="shared" ca="1" si="437"/>
        <v>#NAME?</v>
      </c>
      <c r="F2657" s="100" t="e">
        <f t="shared" ca="1" si="432"/>
        <v>#NAME?</v>
      </c>
      <c r="G2657" s="100" t="e">
        <f t="shared" ca="1" si="433"/>
        <v>#NAME?</v>
      </c>
      <c r="H2657" s="100" t="e">
        <f t="shared" ca="1" si="434"/>
        <v>#NAME?</v>
      </c>
      <c r="I2657" s="100" t="e">
        <f t="shared" ca="1" si="435"/>
        <v>#NAME?</v>
      </c>
      <c r="J2657" s="100" t="e">
        <f ca="1">IFERROR(__xludf.DUMMYFUNCTION("""COMPUTED_VALUE"""),"-0.400")</f>
        <v>#NAME?</v>
      </c>
      <c r="K2657" s="100" t="e">
        <f t="shared" ca="1" si="436"/>
        <v>#NAME?</v>
      </c>
      <c r="L2657" s="100"/>
      <c r="M2657" s="100"/>
      <c r="N2657" s="100"/>
      <c r="O2657" s="100"/>
      <c r="P2657" s="100"/>
      <c r="Q2657" s="100"/>
      <c r="R2657" s="100"/>
      <c r="S2657" s="100"/>
      <c r="T2657" s="100"/>
      <c r="U2657" s="100"/>
      <c r="V2657" s="100"/>
      <c r="W2657" s="100"/>
      <c r="X2657" s="100"/>
      <c r="Y2657" s="100"/>
      <c r="Z2657" s="100"/>
    </row>
    <row r="2658" spans="1:26">
      <c r="A2658" s="100" t="e">
        <f ca="1">IFERROR(__xludf.DUMMYFUNCTION("""COMPUTED_VALUE"""),58785993)</f>
        <v>#NAME?</v>
      </c>
      <c r="B2658" s="100" t="e">
        <f ca="1">IFERROR(__xludf.DUMMYFUNCTION("""COMPUTED_VALUE"""),"IOBTC")</f>
        <v>#NAME?</v>
      </c>
      <c r="C2658" s="100" t="e">
        <f ca="1">IFERROR(__xludf.DUMMYFUNCTION("""COMPUTED_VALUE"""),"0.00000727")</f>
        <v>#NAME?</v>
      </c>
      <c r="D2658" s="100" t="e">
        <f t="shared" ca="1" si="437"/>
        <v>#NAME?</v>
      </c>
      <c r="E2658" s="100" t="e">
        <f t="shared" ca="1" si="437"/>
        <v>#NAME?</v>
      </c>
      <c r="F2658" s="100" t="e">
        <f t="shared" ca="1" si="432"/>
        <v>#NAME?</v>
      </c>
      <c r="G2658" s="100" t="e">
        <f t="shared" ca="1" si="433"/>
        <v>#NAME?</v>
      </c>
      <c r="H2658" s="100" t="e">
        <f t="shared" ca="1" si="434"/>
        <v>#NAME?</v>
      </c>
      <c r="I2658" s="100" t="e">
        <f t="shared" ca="1" si="435"/>
        <v>#NAME?</v>
      </c>
      <c r="J2658" s="100" t="e">
        <f ca="1">IFERROR(__xludf.DUMMYFUNCTION("""COMPUTED_VALUE"""),"-4.843")</f>
        <v>#NAME?</v>
      </c>
      <c r="K2658" s="100" t="e">
        <f t="shared" ca="1" si="436"/>
        <v>#NAME?</v>
      </c>
      <c r="L2658" s="100"/>
      <c r="M2658" s="100"/>
      <c r="N2658" s="100"/>
      <c r="O2658" s="100"/>
      <c r="P2658" s="100"/>
      <c r="Q2658" s="100"/>
      <c r="R2658" s="100"/>
      <c r="S2658" s="100"/>
      <c r="T2658" s="100"/>
      <c r="U2658" s="100"/>
      <c r="V2658" s="100"/>
      <c r="W2658" s="100"/>
      <c r="X2658" s="100"/>
      <c r="Y2658" s="100"/>
      <c r="Z2658" s="100"/>
    </row>
    <row r="2659" spans="1:26">
      <c r="A2659" s="100" t="e">
        <f ca="1">IFERROR(__xludf.DUMMYFUNCTION("""COMPUTED_VALUE"""),58785994)</f>
        <v>#NAME?</v>
      </c>
      <c r="B2659" s="100" t="e">
        <f ca="1">IFERROR(__xludf.DUMMYFUNCTION("""COMPUTED_VALUE"""),"IOUSDT")</f>
        <v>#NAME?</v>
      </c>
      <c r="C2659" s="100" t="e">
        <f ca="1">IFERROR(__xludf.DUMMYFUNCTION("""COMPUTED_VALUE"""),"0.64400000")</f>
        <v>#NAME?</v>
      </c>
      <c r="D2659" s="100" t="e">
        <f t="shared" ca="1" si="437"/>
        <v>#NAME?</v>
      </c>
      <c r="E2659" s="100" t="e">
        <f t="shared" ca="1" si="437"/>
        <v>#NAME?</v>
      </c>
      <c r="F2659" s="100" t="e">
        <f t="shared" ca="1" si="432"/>
        <v>#NAME?</v>
      </c>
      <c r="G2659" s="100" t="e">
        <f t="shared" ca="1" si="433"/>
        <v>#NAME?</v>
      </c>
      <c r="H2659" s="100" t="e">
        <f t="shared" ca="1" si="434"/>
        <v>#NAME?</v>
      </c>
      <c r="I2659" s="100" t="e">
        <f t="shared" ca="1" si="435"/>
        <v>#NAME?</v>
      </c>
      <c r="J2659" s="100" t="e">
        <f ca="1">IFERROR(__xludf.DUMMYFUNCTION("""COMPUTED_VALUE"""),"-3.593")</f>
        <v>#NAME?</v>
      </c>
      <c r="K2659" s="100" t="e">
        <f t="shared" ca="1" si="436"/>
        <v>#NAME?</v>
      </c>
      <c r="L2659" s="100"/>
      <c r="M2659" s="100"/>
      <c r="N2659" s="100"/>
      <c r="O2659" s="100"/>
      <c r="P2659" s="100"/>
      <c r="Q2659" s="100"/>
      <c r="R2659" s="100"/>
      <c r="S2659" s="100"/>
      <c r="T2659" s="100"/>
      <c r="U2659" s="100"/>
      <c r="V2659" s="100"/>
      <c r="W2659" s="100"/>
      <c r="X2659" s="100"/>
      <c r="Y2659" s="100"/>
      <c r="Z2659" s="100"/>
    </row>
    <row r="2660" spans="1:26">
      <c r="A2660" s="100" t="e">
        <f ca="1">IFERROR(__xludf.DUMMYFUNCTION("""COMPUTED_VALUE"""),58785995)</f>
        <v>#NAME?</v>
      </c>
      <c r="B2660" s="100" t="e">
        <f ca="1">IFERROR(__xludf.DUMMYFUNCTION("""COMPUTED_VALUE"""),"IOBNB")</f>
        <v>#NAME?</v>
      </c>
      <c r="C2660" s="100" t="e">
        <f ca="1">IFERROR(__xludf.DUMMYFUNCTION("""COMPUTED_VALUE"""),"0.00105800")</f>
        <v>#NAME?</v>
      </c>
      <c r="D2660" s="100" t="e">
        <f t="shared" ca="1" si="437"/>
        <v>#NAME?</v>
      </c>
      <c r="E2660" s="100" t="e">
        <f t="shared" ca="1" si="437"/>
        <v>#NAME?</v>
      </c>
      <c r="F2660" s="100" t="e">
        <f t="shared" ca="1" si="432"/>
        <v>#NAME?</v>
      </c>
      <c r="G2660" s="100" t="e">
        <f t="shared" ca="1" si="433"/>
        <v>#NAME?</v>
      </c>
      <c r="H2660" s="100" t="e">
        <f t="shared" ca="1" si="434"/>
        <v>#NAME?</v>
      </c>
      <c r="I2660" s="100" t="e">
        <f t="shared" ca="1" si="435"/>
        <v>#NAME?</v>
      </c>
      <c r="J2660" s="100" t="e">
        <f ca="1">IFERROR(__xludf.DUMMYFUNCTION("""COMPUTED_VALUE"""),"-4.770")</f>
        <v>#NAME?</v>
      </c>
      <c r="K2660" s="100" t="e">
        <f t="shared" ca="1" si="436"/>
        <v>#NAME?</v>
      </c>
      <c r="L2660" s="100"/>
      <c r="M2660" s="100"/>
      <c r="N2660" s="100"/>
      <c r="O2660" s="100"/>
      <c r="P2660" s="100"/>
      <c r="Q2660" s="100"/>
      <c r="R2660" s="100"/>
      <c r="S2660" s="100"/>
      <c r="T2660" s="100"/>
      <c r="U2660" s="100"/>
      <c r="V2660" s="100"/>
      <c r="W2660" s="100"/>
      <c r="X2660" s="100"/>
      <c r="Y2660" s="100"/>
      <c r="Z2660" s="100"/>
    </row>
    <row r="2661" spans="1:26">
      <c r="A2661" s="100" t="e">
        <f ca="1">IFERROR(__xludf.DUMMYFUNCTION("""COMPUTED_VALUE"""),58785996)</f>
        <v>#NAME?</v>
      </c>
      <c r="B2661" s="100" t="e">
        <f ca="1">IFERROR(__xludf.DUMMYFUNCTION("""COMPUTED_VALUE"""),"IOFDUSD")</f>
        <v>#NAME?</v>
      </c>
      <c r="C2661" s="100" t="e">
        <f ca="1">IFERROR(__xludf.DUMMYFUNCTION("""COMPUTED_VALUE"""),"0.64500000")</f>
        <v>#NAME?</v>
      </c>
      <c r="D2661" s="100" t="e">
        <f t="shared" ca="1" si="437"/>
        <v>#NAME?</v>
      </c>
      <c r="E2661" s="100" t="e">
        <f t="shared" ca="1" si="437"/>
        <v>#NAME?</v>
      </c>
      <c r="F2661" s="100" t="e">
        <f t="shared" ca="1" si="432"/>
        <v>#NAME?</v>
      </c>
      <c r="G2661" s="100" t="e">
        <f t="shared" ca="1" si="433"/>
        <v>#NAME?</v>
      </c>
      <c r="H2661" s="100" t="e">
        <f t="shared" ca="1" si="434"/>
        <v>#NAME?</v>
      </c>
      <c r="I2661" s="100" t="e">
        <f t="shared" ca="1" si="435"/>
        <v>#NAME?</v>
      </c>
      <c r="J2661" s="100" t="e">
        <f ca="1">IFERROR(__xludf.DUMMYFUNCTION("""COMPUTED_VALUE"""),"-3.587")</f>
        <v>#NAME?</v>
      </c>
      <c r="K2661" s="100" t="e">
        <f t="shared" ca="1" si="436"/>
        <v>#NAME?</v>
      </c>
      <c r="L2661" s="100"/>
      <c r="M2661" s="100"/>
      <c r="N2661" s="100"/>
      <c r="O2661" s="100"/>
      <c r="P2661" s="100"/>
      <c r="Q2661" s="100"/>
      <c r="R2661" s="100"/>
      <c r="S2661" s="100"/>
      <c r="T2661" s="100"/>
      <c r="U2661" s="100"/>
      <c r="V2661" s="100"/>
      <c r="W2661" s="100"/>
      <c r="X2661" s="100"/>
      <c r="Y2661" s="100"/>
      <c r="Z2661" s="100"/>
    </row>
    <row r="2662" spans="1:26">
      <c r="A2662" s="100" t="e">
        <f ca="1">IFERROR(__xludf.DUMMYFUNCTION("""COMPUTED_VALUE"""),58785997)</f>
        <v>#NAME?</v>
      </c>
      <c r="B2662" s="100" t="e">
        <f ca="1">IFERROR(__xludf.DUMMYFUNCTION("""COMPUTED_VALUE"""),"IOTRY")</f>
        <v>#NAME?</v>
      </c>
      <c r="C2662" s="100" t="e">
        <f ca="1">IFERROR(__xludf.DUMMYFUNCTION("""COMPUTED_VALUE"""),"24.61000000")</f>
        <v>#NAME?</v>
      </c>
      <c r="D2662" s="100" t="e">
        <f t="shared" ref="D2662:E2681" ca="1" si="438">IFERROR(__xludf.DUMMYFUNCTION("""COMPUTED_VALUE"""),"-")</f>
        <v>#NAME?</v>
      </c>
      <c r="E2662" s="100" t="e">
        <f t="shared" ca="1" si="438"/>
        <v>#NAME?</v>
      </c>
      <c r="F2662" s="100" t="e">
        <f t="shared" ca="1" si="432"/>
        <v>#NAME?</v>
      </c>
      <c r="G2662" s="100" t="e">
        <f t="shared" ca="1" si="433"/>
        <v>#NAME?</v>
      </c>
      <c r="H2662" s="100" t="e">
        <f t="shared" ca="1" si="434"/>
        <v>#NAME?</v>
      </c>
      <c r="I2662" s="100" t="e">
        <f t="shared" ca="1" si="435"/>
        <v>#NAME?</v>
      </c>
      <c r="J2662" s="100" t="e">
        <f ca="1">IFERROR(__xludf.DUMMYFUNCTION("""COMPUTED_VALUE"""),"-3.717")</f>
        <v>#NAME?</v>
      </c>
      <c r="K2662" s="100" t="e">
        <f t="shared" ca="1" si="436"/>
        <v>#NAME?</v>
      </c>
      <c r="L2662" s="100"/>
      <c r="M2662" s="100"/>
      <c r="N2662" s="100"/>
      <c r="O2662" s="100"/>
      <c r="P2662" s="100"/>
      <c r="Q2662" s="100"/>
      <c r="R2662" s="100"/>
      <c r="S2662" s="100"/>
      <c r="T2662" s="100"/>
      <c r="U2662" s="100"/>
      <c r="V2662" s="100"/>
      <c r="W2662" s="100"/>
      <c r="X2662" s="100"/>
      <c r="Y2662" s="100"/>
      <c r="Z2662" s="100"/>
    </row>
    <row r="2663" spans="1:26">
      <c r="A2663" s="100" t="e">
        <f ca="1">IFERROR(__xludf.DUMMYFUNCTION("""COMPUTED_VALUE"""),58785998)</f>
        <v>#NAME?</v>
      </c>
      <c r="B2663" s="100" t="e">
        <f ca="1">IFERROR(__xludf.DUMMYFUNCTION("""COMPUTED_VALUE"""),"NOTBRL")</f>
        <v>#NAME?</v>
      </c>
      <c r="C2663" s="100" t="e">
        <f ca="1">IFERROR(__xludf.DUMMYFUNCTION("""COMPUTED_VALUE"""),"0.03755000")</f>
        <v>#NAME?</v>
      </c>
      <c r="D2663" s="100" t="e">
        <f t="shared" ca="1" si="438"/>
        <v>#NAME?</v>
      </c>
      <c r="E2663" s="100" t="e">
        <f t="shared" ca="1" si="438"/>
        <v>#NAME?</v>
      </c>
      <c r="F2663" s="100" t="e">
        <f t="shared" ca="1" si="432"/>
        <v>#NAME?</v>
      </c>
      <c r="G2663" s="100" t="e">
        <f t="shared" ca="1" si="433"/>
        <v>#NAME?</v>
      </c>
      <c r="H2663" s="100" t="e">
        <f t="shared" ca="1" si="434"/>
        <v>#NAME?</v>
      </c>
      <c r="I2663" s="100" t="e">
        <f t="shared" ca="1" si="435"/>
        <v>#NAME?</v>
      </c>
      <c r="J2663" s="100" t="e">
        <f ca="1">IFERROR(__xludf.DUMMYFUNCTION("""COMPUTED_VALUE"""),"0")</f>
        <v>#NAME?</v>
      </c>
      <c r="K2663" s="100" t="e">
        <f t="shared" ca="1" si="436"/>
        <v>#NAME?</v>
      </c>
      <c r="L2663" s="100"/>
      <c r="M2663" s="100"/>
      <c r="N2663" s="100"/>
      <c r="O2663" s="100"/>
      <c r="P2663" s="100"/>
      <c r="Q2663" s="100"/>
      <c r="R2663" s="100"/>
      <c r="S2663" s="100"/>
      <c r="T2663" s="100"/>
      <c r="U2663" s="100"/>
      <c r="V2663" s="100"/>
      <c r="W2663" s="100"/>
      <c r="X2663" s="100"/>
      <c r="Y2663" s="100"/>
      <c r="Z2663" s="100"/>
    </row>
    <row r="2664" spans="1:26">
      <c r="A2664" s="100" t="e">
        <f ca="1">IFERROR(__xludf.DUMMYFUNCTION("""COMPUTED_VALUE"""),58785999)</f>
        <v>#NAME?</v>
      </c>
      <c r="B2664" s="100" t="e">
        <f ca="1">IFERROR(__xludf.DUMMYFUNCTION("""COMPUTED_VALUE"""),"TRUTRY")</f>
        <v>#NAME?</v>
      </c>
      <c r="C2664" s="100" t="e">
        <f ca="1">IFERROR(__xludf.DUMMYFUNCTION("""COMPUTED_VALUE"""),"1.33400000")</f>
        <v>#NAME?</v>
      </c>
      <c r="D2664" s="100" t="e">
        <f t="shared" ca="1" si="438"/>
        <v>#NAME?</v>
      </c>
      <c r="E2664" s="100" t="e">
        <f t="shared" ca="1" si="438"/>
        <v>#NAME?</v>
      </c>
      <c r="F2664" s="100" t="e">
        <f t="shared" ca="1" si="432"/>
        <v>#NAME?</v>
      </c>
      <c r="G2664" s="100" t="e">
        <f t="shared" ca="1" si="433"/>
        <v>#NAME?</v>
      </c>
      <c r="H2664" s="100" t="e">
        <f t="shared" ca="1" si="434"/>
        <v>#NAME?</v>
      </c>
      <c r="I2664" s="100" t="e">
        <f t="shared" ca="1" si="435"/>
        <v>#NAME?</v>
      </c>
      <c r="J2664" s="100" t="e">
        <f ca="1">IFERROR(__xludf.DUMMYFUNCTION("""COMPUTED_VALUE"""),"-1.112")</f>
        <v>#NAME?</v>
      </c>
      <c r="K2664" s="100" t="e">
        <f t="shared" ca="1" si="436"/>
        <v>#NAME?</v>
      </c>
      <c r="L2664" s="100"/>
      <c r="M2664" s="100"/>
      <c r="N2664" s="100"/>
      <c r="O2664" s="100"/>
      <c r="P2664" s="100"/>
      <c r="Q2664" s="100"/>
      <c r="R2664" s="100"/>
      <c r="S2664" s="100"/>
      <c r="T2664" s="100"/>
      <c r="U2664" s="100"/>
      <c r="V2664" s="100"/>
      <c r="W2664" s="100"/>
      <c r="X2664" s="100"/>
      <c r="Y2664" s="100"/>
      <c r="Z2664" s="100"/>
    </row>
    <row r="2665" spans="1:26">
      <c r="A2665" s="100" t="e">
        <f ca="1">IFERROR(__xludf.DUMMYFUNCTION("""COMPUTED_VALUE"""),58786000)</f>
        <v>#NAME?</v>
      </c>
      <c r="B2665" s="100" t="e">
        <f ca="1">IFERROR(__xludf.DUMMYFUNCTION("""COMPUTED_VALUE"""),"WIFEUR")</f>
        <v>#NAME?</v>
      </c>
      <c r="C2665" s="100" t="e">
        <f ca="1">IFERROR(__xludf.DUMMYFUNCTION("""COMPUTED_VALUE"""),"0.38000000")</f>
        <v>#NAME?</v>
      </c>
      <c r="D2665" s="100" t="e">
        <f t="shared" ca="1" si="438"/>
        <v>#NAME?</v>
      </c>
      <c r="E2665" s="100" t="e">
        <f t="shared" ca="1" si="438"/>
        <v>#NAME?</v>
      </c>
      <c r="F2665" s="100" t="e">
        <f t="shared" ca="1" si="432"/>
        <v>#NAME?</v>
      </c>
      <c r="G2665" s="100" t="e">
        <f t="shared" ca="1" si="433"/>
        <v>#NAME?</v>
      </c>
      <c r="H2665" s="100" t="e">
        <f t="shared" ca="1" si="434"/>
        <v>#NAME?</v>
      </c>
      <c r="I2665" s="100" t="e">
        <f t="shared" ca="1" si="435"/>
        <v>#NAME?</v>
      </c>
      <c r="J2665" s="100" t="e">
        <f ca="1">IFERROR(__xludf.DUMMYFUNCTION("""COMPUTED_VALUE"""),"-0.524")</f>
        <v>#NAME?</v>
      </c>
      <c r="K2665" s="100" t="e">
        <f t="shared" ca="1" si="436"/>
        <v>#NAME?</v>
      </c>
      <c r="L2665" s="100"/>
      <c r="M2665" s="100"/>
      <c r="N2665" s="100"/>
      <c r="O2665" s="100"/>
      <c r="P2665" s="100"/>
      <c r="Q2665" s="100"/>
      <c r="R2665" s="100"/>
      <c r="S2665" s="100"/>
      <c r="T2665" s="100"/>
      <c r="U2665" s="100"/>
      <c r="V2665" s="100"/>
      <c r="W2665" s="100"/>
      <c r="X2665" s="100"/>
      <c r="Y2665" s="100"/>
      <c r="Z2665" s="100"/>
    </row>
    <row r="2666" spans="1:26">
      <c r="A2666" s="100" t="e">
        <f ca="1">IFERROR(__xludf.DUMMYFUNCTION("""COMPUTED_VALUE"""),58786001)</f>
        <v>#NAME?</v>
      </c>
      <c r="B2666" s="100" t="e">
        <f ca="1">IFERROR(__xludf.DUMMYFUNCTION("""COMPUTED_VALUE"""),"ZKBTC")</f>
        <v>#NAME?</v>
      </c>
      <c r="C2666" s="100" t="e">
        <f ca="1">IFERROR(__xludf.DUMMYFUNCTION("""COMPUTED_VALUE"""),"0.00000059")</f>
        <v>#NAME?</v>
      </c>
      <c r="D2666" s="100" t="e">
        <f t="shared" ca="1" si="438"/>
        <v>#NAME?</v>
      </c>
      <c r="E2666" s="100" t="e">
        <f t="shared" ca="1" si="438"/>
        <v>#NAME?</v>
      </c>
      <c r="F2666" s="100" t="e">
        <f t="shared" ca="1" si="432"/>
        <v>#NAME?</v>
      </c>
      <c r="G2666" s="100" t="e">
        <f t="shared" ca="1" si="433"/>
        <v>#NAME?</v>
      </c>
      <c r="H2666" s="100" t="e">
        <f t="shared" ca="1" si="434"/>
        <v>#NAME?</v>
      </c>
      <c r="I2666" s="100" t="e">
        <f t="shared" ca="1" si="435"/>
        <v>#NAME?</v>
      </c>
      <c r="J2666" s="100" t="e">
        <f ca="1">IFERROR(__xludf.DUMMYFUNCTION("""COMPUTED_VALUE"""),"-1.667")</f>
        <v>#NAME?</v>
      </c>
      <c r="K2666" s="100" t="e">
        <f t="shared" ca="1" si="436"/>
        <v>#NAME?</v>
      </c>
      <c r="L2666" s="100"/>
      <c r="M2666" s="100"/>
      <c r="N2666" s="100"/>
      <c r="O2666" s="100"/>
      <c r="P2666" s="100"/>
      <c r="Q2666" s="100"/>
      <c r="R2666" s="100"/>
      <c r="S2666" s="100"/>
      <c r="T2666" s="100"/>
      <c r="U2666" s="100"/>
      <c r="V2666" s="100"/>
      <c r="W2666" s="100"/>
      <c r="X2666" s="100"/>
      <c r="Y2666" s="100"/>
      <c r="Z2666" s="100"/>
    </row>
    <row r="2667" spans="1:26">
      <c r="A2667" s="100" t="e">
        <f ca="1">IFERROR(__xludf.DUMMYFUNCTION("""COMPUTED_VALUE"""),58786002)</f>
        <v>#NAME?</v>
      </c>
      <c r="B2667" s="100" t="e">
        <f ca="1">IFERROR(__xludf.DUMMYFUNCTION("""COMPUTED_VALUE"""),"ZKUSDT")</f>
        <v>#NAME?</v>
      </c>
      <c r="C2667" s="100" t="e">
        <f ca="1">IFERROR(__xludf.DUMMYFUNCTION("""COMPUTED_VALUE"""),"0.05170000")</f>
        <v>#NAME?</v>
      </c>
      <c r="D2667" s="100" t="e">
        <f t="shared" ca="1" si="438"/>
        <v>#NAME?</v>
      </c>
      <c r="E2667" s="100" t="e">
        <f t="shared" ca="1" si="438"/>
        <v>#NAME?</v>
      </c>
      <c r="F2667" s="100" t="e">
        <f t="shared" ca="1" si="432"/>
        <v>#NAME?</v>
      </c>
      <c r="G2667" s="100" t="e">
        <f t="shared" ca="1" si="433"/>
        <v>#NAME?</v>
      </c>
      <c r="H2667" s="100" t="e">
        <f t="shared" ca="1" si="434"/>
        <v>#NAME?</v>
      </c>
      <c r="I2667" s="100" t="e">
        <f t="shared" ca="1" si="435"/>
        <v>#NAME?</v>
      </c>
      <c r="J2667" s="100" t="e">
        <f ca="1">IFERROR(__xludf.DUMMYFUNCTION("""COMPUTED_VALUE"""),"-1.147")</f>
        <v>#NAME?</v>
      </c>
      <c r="K2667" s="100" t="e">
        <f t="shared" ca="1" si="436"/>
        <v>#NAME?</v>
      </c>
      <c r="L2667" s="100"/>
      <c r="M2667" s="100"/>
      <c r="N2667" s="100"/>
      <c r="O2667" s="100"/>
      <c r="P2667" s="100"/>
      <c r="Q2667" s="100"/>
      <c r="R2667" s="100"/>
      <c r="S2667" s="100"/>
      <c r="T2667" s="100"/>
      <c r="U2667" s="100"/>
      <c r="V2667" s="100"/>
      <c r="W2667" s="100"/>
      <c r="X2667" s="100"/>
      <c r="Y2667" s="100"/>
      <c r="Z2667" s="100"/>
    </row>
    <row r="2668" spans="1:26">
      <c r="A2668" s="100" t="e">
        <f ca="1">IFERROR(__xludf.DUMMYFUNCTION("""COMPUTED_VALUE"""),58786003)</f>
        <v>#NAME?</v>
      </c>
      <c r="B2668" s="100" t="e">
        <f ca="1">IFERROR(__xludf.DUMMYFUNCTION("""COMPUTED_VALUE"""),"ZKFDUSD")</f>
        <v>#NAME?</v>
      </c>
      <c r="C2668" s="100" t="e">
        <f ca="1">IFERROR(__xludf.DUMMYFUNCTION("""COMPUTED_VALUE"""),"0.05180000")</f>
        <v>#NAME?</v>
      </c>
      <c r="D2668" s="100" t="e">
        <f t="shared" ca="1" si="438"/>
        <v>#NAME?</v>
      </c>
      <c r="E2668" s="100" t="e">
        <f t="shared" ca="1" si="438"/>
        <v>#NAME?</v>
      </c>
      <c r="F2668" s="100" t="e">
        <f t="shared" ca="1" si="432"/>
        <v>#NAME?</v>
      </c>
      <c r="G2668" s="100" t="e">
        <f t="shared" ca="1" si="433"/>
        <v>#NAME?</v>
      </c>
      <c r="H2668" s="100" t="e">
        <f t="shared" ca="1" si="434"/>
        <v>#NAME?</v>
      </c>
      <c r="I2668" s="100" t="e">
        <f t="shared" ca="1" si="435"/>
        <v>#NAME?</v>
      </c>
      <c r="J2668" s="100" t="e">
        <f ca="1">IFERROR(__xludf.DUMMYFUNCTION("""COMPUTED_VALUE"""),"-1.145")</f>
        <v>#NAME?</v>
      </c>
      <c r="K2668" s="100" t="e">
        <f t="shared" ca="1" si="436"/>
        <v>#NAME?</v>
      </c>
      <c r="L2668" s="100"/>
      <c r="M2668" s="100"/>
      <c r="N2668" s="100"/>
      <c r="O2668" s="100"/>
      <c r="P2668" s="100"/>
      <c r="Q2668" s="100"/>
      <c r="R2668" s="100"/>
      <c r="S2668" s="100"/>
      <c r="T2668" s="100"/>
      <c r="U2668" s="100"/>
      <c r="V2668" s="100"/>
      <c r="W2668" s="100"/>
      <c r="X2668" s="100"/>
      <c r="Y2668" s="100"/>
      <c r="Z2668" s="100"/>
    </row>
    <row r="2669" spans="1:26">
      <c r="A2669" s="100" t="e">
        <f ca="1">IFERROR(__xludf.DUMMYFUNCTION("""COMPUTED_VALUE"""),58786004)</f>
        <v>#NAME?</v>
      </c>
      <c r="B2669" s="100" t="e">
        <f ca="1">IFERROR(__xludf.DUMMYFUNCTION("""COMPUTED_VALUE"""),"ZKTRY")</f>
        <v>#NAME?</v>
      </c>
      <c r="C2669" s="100" t="e">
        <f ca="1">IFERROR(__xludf.DUMMYFUNCTION("""COMPUTED_VALUE"""),"1.97500000")</f>
        <v>#NAME?</v>
      </c>
      <c r="D2669" s="100" t="e">
        <f t="shared" ca="1" si="438"/>
        <v>#NAME?</v>
      </c>
      <c r="E2669" s="100" t="e">
        <f t="shared" ca="1" si="438"/>
        <v>#NAME?</v>
      </c>
      <c r="F2669" s="100" t="e">
        <f t="shared" ca="1" si="432"/>
        <v>#NAME?</v>
      </c>
      <c r="G2669" s="100" t="e">
        <f t="shared" ca="1" si="433"/>
        <v>#NAME?</v>
      </c>
      <c r="H2669" s="100" t="e">
        <f t="shared" ca="1" si="434"/>
        <v>#NAME?</v>
      </c>
      <c r="I2669" s="100" t="e">
        <f t="shared" ca="1" si="435"/>
        <v>#NAME?</v>
      </c>
      <c r="J2669" s="100" t="e">
        <f ca="1">IFERROR(__xludf.DUMMYFUNCTION("""COMPUTED_VALUE"""),"-1.201")</f>
        <v>#NAME?</v>
      </c>
      <c r="K2669" s="100" t="e">
        <f t="shared" ca="1" si="436"/>
        <v>#NAME?</v>
      </c>
      <c r="L2669" s="100"/>
      <c r="M2669" s="100"/>
      <c r="N2669" s="100"/>
      <c r="O2669" s="100"/>
      <c r="P2669" s="100"/>
      <c r="Q2669" s="100"/>
      <c r="R2669" s="100"/>
      <c r="S2669" s="100"/>
      <c r="T2669" s="100"/>
      <c r="U2669" s="100"/>
      <c r="V2669" s="100"/>
      <c r="W2669" s="100"/>
      <c r="X2669" s="100"/>
      <c r="Y2669" s="100"/>
      <c r="Z2669" s="100"/>
    </row>
    <row r="2670" spans="1:26">
      <c r="A2670" s="100" t="e">
        <f ca="1">IFERROR(__xludf.DUMMYFUNCTION("""COMPUTED_VALUE"""),58786005)</f>
        <v>#NAME?</v>
      </c>
      <c r="B2670" s="100" t="e">
        <f ca="1">IFERROR(__xludf.DUMMYFUNCTION("""COMPUTED_VALUE"""),"LISTAUSDT")</f>
        <v>#NAME?</v>
      </c>
      <c r="C2670" s="100" t="e">
        <f ca="1">IFERROR(__xludf.DUMMYFUNCTION("""COMPUTED_VALUE"""),"0.18120000")</f>
        <v>#NAME?</v>
      </c>
      <c r="D2670" s="100" t="e">
        <f t="shared" ca="1" si="438"/>
        <v>#NAME?</v>
      </c>
      <c r="E2670" s="100" t="e">
        <f t="shared" ca="1" si="438"/>
        <v>#NAME?</v>
      </c>
      <c r="F2670" s="100" t="e">
        <f t="shared" ca="1" si="432"/>
        <v>#NAME?</v>
      </c>
      <c r="G2670" s="100" t="e">
        <f t="shared" ca="1" si="433"/>
        <v>#NAME?</v>
      </c>
      <c r="H2670" s="100" t="e">
        <f t="shared" ca="1" si="434"/>
        <v>#NAME?</v>
      </c>
      <c r="I2670" s="100" t="e">
        <f t="shared" ca="1" si="435"/>
        <v>#NAME?</v>
      </c>
      <c r="J2670" s="100" t="e">
        <f ca="1">IFERROR(__xludf.DUMMYFUNCTION("""COMPUTED_VALUE"""),"-5.576")</f>
        <v>#NAME?</v>
      </c>
      <c r="K2670" s="100" t="e">
        <f t="shared" ca="1" si="436"/>
        <v>#NAME?</v>
      </c>
      <c r="L2670" s="100"/>
      <c r="M2670" s="100"/>
      <c r="N2670" s="100"/>
      <c r="O2670" s="100"/>
      <c r="P2670" s="100"/>
      <c r="Q2670" s="100"/>
      <c r="R2670" s="100"/>
      <c r="S2670" s="100"/>
      <c r="T2670" s="100"/>
      <c r="U2670" s="100"/>
      <c r="V2670" s="100"/>
      <c r="W2670" s="100"/>
      <c r="X2670" s="100"/>
      <c r="Y2670" s="100"/>
      <c r="Z2670" s="100"/>
    </row>
    <row r="2671" spans="1:26">
      <c r="A2671" s="100" t="e">
        <f ca="1">IFERROR(__xludf.DUMMYFUNCTION("""COMPUTED_VALUE"""),58786006)</f>
        <v>#NAME?</v>
      </c>
      <c r="B2671" s="100" t="e">
        <f ca="1">IFERROR(__xludf.DUMMYFUNCTION("""COMPUTED_VALUE"""),"LISTABNB")</f>
        <v>#NAME?</v>
      </c>
      <c r="C2671" s="100" t="e">
        <f ca="1">IFERROR(__xludf.DUMMYFUNCTION("""COMPUTED_VALUE"""),"0.00029760")</f>
        <v>#NAME?</v>
      </c>
      <c r="D2671" s="100" t="e">
        <f t="shared" ca="1" si="438"/>
        <v>#NAME?</v>
      </c>
      <c r="E2671" s="100" t="e">
        <f t="shared" ca="1" si="438"/>
        <v>#NAME?</v>
      </c>
      <c r="F2671" s="100" t="e">
        <f t="shared" ca="1" si="432"/>
        <v>#NAME?</v>
      </c>
      <c r="G2671" s="100" t="e">
        <f t="shared" ca="1" si="433"/>
        <v>#NAME?</v>
      </c>
      <c r="H2671" s="100" t="e">
        <f t="shared" ca="1" si="434"/>
        <v>#NAME?</v>
      </c>
      <c r="I2671" s="100" t="e">
        <f t="shared" ca="1" si="435"/>
        <v>#NAME?</v>
      </c>
      <c r="J2671" s="100" t="e">
        <f ca="1">IFERROR(__xludf.DUMMYFUNCTION("""COMPUTED_VALUE"""),"-6.179")</f>
        <v>#NAME?</v>
      </c>
      <c r="K2671" s="100" t="e">
        <f t="shared" ca="1" si="436"/>
        <v>#NAME?</v>
      </c>
      <c r="L2671" s="100"/>
      <c r="M2671" s="100"/>
      <c r="N2671" s="100"/>
      <c r="O2671" s="100"/>
      <c r="P2671" s="100"/>
      <c r="Q2671" s="100"/>
      <c r="R2671" s="100"/>
      <c r="S2671" s="100"/>
      <c r="T2671" s="100"/>
      <c r="U2671" s="100"/>
      <c r="V2671" s="100"/>
      <c r="W2671" s="100"/>
      <c r="X2671" s="100"/>
      <c r="Y2671" s="100"/>
      <c r="Z2671" s="100"/>
    </row>
    <row r="2672" spans="1:26">
      <c r="A2672" s="100" t="e">
        <f ca="1">IFERROR(__xludf.DUMMYFUNCTION("""COMPUTED_VALUE"""),58786007)</f>
        <v>#NAME?</v>
      </c>
      <c r="B2672" s="100" t="e">
        <f ca="1">IFERROR(__xludf.DUMMYFUNCTION("""COMPUTED_VALUE"""),"LISTAFDUSD")</f>
        <v>#NAME?</v>
      </c>
      <c r="C2672" s="100" t="e">
        <f ca="1">IFERROR(__xludf.DUMMYFUNCTION("""COMPUTED_VALUE"""),"0.18130000")</f>
        <v>#NAME?</v>
      </c>
      <c r="D2672" s="100" t="e">
        <f t="shared" ca="1" si="438"/>
        <v>#NAME?</v>
      </c>
      <c r="E2672" s="100" t="e">
        <f t="shared" ca="1" si="438"/>
        <v>#NAME?</v>
      </c>
      <c r="F2672" s="100" t="e">
        <f t="shared" ca="1" si="432"/>
        <v>#NAME?</v>
      </c>
      <c r="G2672" s="100" t="e">
        <f t="shared" ca="1" si="433"/>
        <v>#NAME?</v>
      </c>
      <c r="H2672" s="100" t="e">
        <f t="shared" ca="1" si="434"/>
        <v>#NAME?</v>
      </c>
      <c r="I2672" s="100" t="e">
        <f t="shared" ca="1" si="435"/>
        <v>#NAME?</v>
      </c>
      <c r="J2672" s="100" t="e">
        <f ca="1">IFERROR(__xludf.DUMMYFUNCTION("""COMPUTED_VALUE"""),"-4.378")</f>
        <v>#NAME?</v>
      </c>
      <c r="K2672" s="100" t="e">
        <f t="shared" ca="1" si="436"/>
        <v>#NAME?</v>
      </c>
      <c r="L2672" s="100"/>
      <c r="M2672" s="100"/>
      <c r="N2672" s="100"/>
      <c r="O2672" s="100"/>
      <c r="P2672" s="100"/>
      <c r="Q2672" s="100"/>
      <c r="R2672" s="100"/>
      <c r="S2672" s="100"/>
      <c r="T2672" s="100"/>
      <c r="U2672" s="100"/>
      <c r="V2672" s="100"/>
      <c r="W2672" s="100"/>
      <c r="X2672" s="100"/>
      <c r="Y2672" s="100"/>
      <c r="Z2672" s="100"/>
    </row>
    <row r="2673" spans="1:26">
      <c r="A2673" s="100" t="e">
        <f ca="1">IFERROR(__xludf.DUMMYFUNCTION("""COMPUTED_VALUE"""),58786008)</f>
        <v>#NAME?</v>
      </c>
      <c r="B2673" s="100" t="e">
        <f ca="1">IFERROR(__xludf.DUMMYFUNCTION("""COMPUTED_VALUE"""),"LISTATRY")</f>
        <v>#NAME?</v>
      </c>
      <c r="C2673" s="100" t="e">
        <f ca="1">IFERROR(__xludf.DUMMYFUNCTION("""COMPUTED_VALUE"""),"6.91000000")</f>
        <v>#NAME?</v>
      </c>
      <c r="D2673" s="100" t="e">
        <f t="shared" ca="1" si="438"/>
        <v>#NAME?</v>
      </c>
      <c r="E2673" s="100" t="e">
        <f t="shared" ca="1" si="438"/>
        <v>#NAME?</v>
      </c>
      <c r="F2673" s="100" t="e">
        <f t="shared" ca="1" si="432"/>
        <v>#NAME?</v>
      </c>
      <c r="G2673" s="100" t="e">
        <f t="shared" ca="1" si="433"/>
        <v>#NAME?</v>
      </c>
      <c r="H2673" s="100" t="e">
        <f t="shared" ca="1" si="434"/>
        <v>#NAME?</v>
      </c>
      <c r="I2673" s="100" t="e">
        <f t="shared" ca="1" si="435"/>
        <v>#NAME?</v>
      </c>
      <c r="J2673" s="100" t="e">
        <f ca="1">IFERROR(__xludf.DUMMYFUNCTION("""COMPUTED_VALUE"""),"-5.730")</f>
        <v>#NAME?</v>
      </c>
      <c r="K2673" s="100" t="e">
        <f t="shared" ca="1" si="436"/>
        <v>#NAME?</v>
      </c>
      <c r="L2673" s="100"/>
      <c r="M2673" s="100"/>
      <c r="N2673" s="100"/>
      <c r="O2673" s="100"/>
      <c r="P2673" s="100"/>
      <c r="Q2673" s="100"/>
      <c r="R2673" s="100"/>
      <c r="S2673" s="100"/>
      <c r="T2673" s="100"/>
      <c r="U2673" s="100"/>
      <c r="V2673" s="100"/>
      <c r="W2673" s="100"/>
      <c r="X2673" s="100"/>
      <c r="Y2673" s="100"/>
      <c r="Z2673" s="100"/>
    </row>
    <row r="2674" spans="1:26">
      <c r="A2674" s="100" t="e">
        <f ca="1">IFERROR(__xludf.DUMMYFUNCTION("""COMPUTED_VALUE"""),58786009)</f>
        <v>#NAME?</v>
      </c>
      <c r="B2674" s="100" t="e">
        <f ca="1">IFERROR(__xludf.DUMMYFUNCTION("""COMPUTED_VALUE"""),"ZROBTC")</f>
        <v>#NAME?</v>
      </c>
      <c r="C2674" s="100" t="e">
        <f ca="1">IFERROR(__xludf.DUMMYFUNCTION("""COMPUTED_VALUE"""),"0.00002807")</f>
        <v>#NAME?</v>
      </c>
      <c r="D2674" s="100" t="e">
        <f t="shared" ca="1" si="438"/>
        <v>#NAME?</v>
      </c>
      <c r="E2674" s="100" t="e">
        <f t="shared" ca="1" si="438"/>
        <v>#NAME?</v>
      </c>
      <c r="F2674" s="100" t="e">
        <f t="shared" ca="1" si="432"/>
        <v>#NAME?</v>
      </c>
      <c r="G2674" s="100" t="e">
        <f t="shared" ca="1" si="433"/>
        <v>#NAME?</v>
      </c>
      <c r="H2674" s="100" t="e">
        <f t="shared" ca="1" si="434"/>
        <v>#NAME?</v>
      </c>
      <c r="I2674" s="100" t="e">
        <f t="shared" ca="1" si="435"/>
        <v>#NAME?</v>
      </c>
      <c r="J2674" s="100" t="e">
        <f ca="1">IFERROR(__xludf.DUMMYFUNCTION("""COMPUTED_VALUE"""),"-4.815")</f>
        <v>#NAME?</v>
      </c>
      <c r="K2674" s="100" t="e">
        <f t="shared" ca="1" si="436"/>
        <v>#NAME?</v>
      </c>
      <c r="L2674" s="100"/>
      <c r="M2674" s="100"/>
      <c r="N2674" s="100"/>
      <c r="O2674" s="100"/>
      <c r="P2674" s="100"/>
      <c r="Q2674" s="100"/>
      <c r="R2674" s="100"/>
      <c r="S2674" s="100"/>
      <c r="T2674" s="100"/>
      <c r="U2674" s="100"/>
      <c r="V2674" s="100"/>
      <c r="W2674" s="100"/>
      <c r="X2674" s="100"/>
      <c r="Y2674" s="100"/>
      <c r="Z2674" s="100"/>
    </row>
    <row r="2675" spans="1:26">
      <c r="A2675" s="100" t="e">
        <f ca="1">IFERROR(__xludf.DUMMYFUNCTION("""COMPUTED_VALUE"""),58786010)</f>
        <v>#NAME?</v>
      </c>
      <c r="B2675" s="100" t="e">
        <f ca="1">IFERROR(__xludf.DUMMYFUNCTION("""COMPUTED_VALUE"""),"ZROUSDT")</f>
        <v>#NAME?</v>
      </c>
      <c r="C2675" s="100" t="e">
        <f ca="1">IFERROR(__xludf.DUMMYFUNCTION("""COMPUTED_VALUE"""),"2.48800000")</f>
        <v>#NAME?</v>
      </c>
      <c r="D2675" s="100" t="e">
        <f t="shared" ca="1" si="438"/>
        <v>#NAME?</v>
      </c>
      <c r="E2675" s="100" t="e">
        <f t="shared" ca="1" si="438"/>
        <v>#NAME?</v>
      </c>
      <c r="F2675" s="100" t="e">
        <f t="shared" ca="1" si="432"/>
        <v>#NAME?</v>
      </c>
      <c r="G2675" s="100" t="e">
        <f t="shared" ca="1" si="433"/>
        <v>#NAME?</v>
      </c>
      <c r="H2675" s="100" t="e">
        <f t="shared" ca="1" si="434"/>
        <v>#NAME?</v>
      </c>
      <c r="I2675" s="100" t="e">
        <f t="shared" ca="1" si="435"/>
        <v>#NAME?</v>
      </c>
      <c r="J2675" s="100" t="e">
        <f ca="1">IFERROR(__xludf.DUMMYFUNCTION("""COMPUTED_VALUE"""),"-3.603")</f>
        <v>#NAME?</v>
      </c>
      <c r="K2675" s="100" t="e">
        <f t="shared" ca="1" si="436"/>
        <v>#NAME?</v>
      </c>
      <c r="L2675" s="100"/>
      <c r="M2675" s="100"/>
      <c r="N2675" s="100"/>
      <c r="O2675" s="100"/>
      <c r="P2675" s="100"/>
      <c r="Q2675" s="100"/>
      <c r="R2675" s="100"/>
      <c r="S2675" s="100"/>
      <c r="T2675" s="100"/>
      <c r="U2675" s="100"/>
      <c r="V2675" s="100"/>
      <c r="W2675" s="100"/>
      <c r="X2675" s="100"/>
      <c r="Y2675" s="100"/>
      <c r="Z2675" s="100"/>
    </row>
    <row r="2676" spans="1:26">
      <c r="A2676" s="100" t="e">
        <f ca="1">IFERROR(__xludf.DUMMYFUNCTION("""COMPUTED_VALUE"""),58786011)</f>
        <v>#NAME?</v>
      </c>
      <c r="B2676" s="100" t="e">
        <f ca="1">IFERROR(__xludf.DUMMYFUNCTION("""COMPUTED_VALUE"""),"ZROFDUSD")</f>
        <v>#NAME?</v>
      </c>
      <c r="C2676" s="100" t="e">
        <f ca="1">IFERROR(__xludf.DUMMYFUNCTION("""COMPUTED_VALUE"""),"2.47700000")</f>
        <v>#NAME?</v>
      </c>
      <c r="D2676" s="100" t="e">
        <f t="shared" ca="1" si="438"/>
        <v>#NAME?</v>
      </c>
      <c r="E2676" s="100" t="e">
        <f t="shared" ca="1" si="438"/>
        <v>#NAME?</v>
      </c>
      <c r="F2676" s="100" t="e">
        <f t="shared" ca="1" si="432"/>
        <v>#NAME?</v>
      </c>
      <c r="G2676" s="100" t="e">
        <f t="shared" ca="1" si="433"/>
        <v>#NAME?</v>
      </c>
      <c r="H2676" s="100" t="e">
        <f t="shared" ca="1" si="434"/>
        <v>#NAME?</v>
      </c>
      <c r="I2676" s="100" t="e">
        <f t="shared" ca="1" si="435"/>
        <v>#NAME?</v>
      </c>
      <c r="J2676" s="100" t="e">
        <f ca="1">IFERROR(__xludf.DUMMYFUNCTION("""COMPUTED_VALUE"""),"-4.363")</f>
        <v>#NAME?</v>
      </c>
      <c r="K2676" s="100" t="e">
        <f t="shared" ca="1" si="436"/>
        <v>#NAME?</v>
      </c>
      <c r="L2676" s="100"/>
      <c r="M2676" s="100"/>
      <c r="N2676" s="100"/>
      <c r="O2676" s="100"/>
      <c r="P2676" s="100"/>
      <c r="Q2676" s="100"/>
      <c r="R2676" s="100"/>
      <c r="S2676" s="100"/>
      <c r="T2676" s="100"/>
      <c r="U2676" s="100"/>
      <c r="V2676" s="100"/>
      <c r="W2676" s="100"/>
      <c r="X2676" s="100"/>
      <c r="Y2676" s="100"/>
      <c r="Z2676" s="100"/>
    </row>
    <row r="2677" spans="1:26">
      <c r="A2677" s="100" t="e">
        <f ca="1">IFERROR(__xludf.DUMMYFUNCTION("""COMPUTED_VALUE"""),58786012)</f>
        <v>#NAME?</v>
      </c>
      <c r="B2677" s="100" t="e">
        <f ca="1">IFERROR(__xludf.DUMMYFUNCTION("""COMPUTED_VALUE"""),"ZROTRY")</f>
        <v>#NAME?</v>
      </c>
      <c r="C2677" s="100" t="e">
        <f ca="1">IFERROR(__xludf.DUMMYFUNCTION("""COMPUTED_VALUE"""),"95.10000000")</f>
        <v>#NAME?</v>
      </c>
      <c r="D2677" s="100" t="e">
        <f t="shared" ca="1" si="438"/>
        <v>#NAME?</v>
      </c>
      <c r="E2677" s="100" t="e">
        <f t="shared" ca="1" si="438"/>
        <v>#NAME?</v>
      </c>
      <c r="F2677" s="100" t="e">
        <f t="shared" ca="1" si="432"/>
        <v>#NAME?</v>
      </c>
      <c r="G2677" s="100" t="e">
        <f t="shared" ca="1" si="433"/>
        <v>#NAME?</v>
      </c>
      <c r="H2677" s="100" t="e">
        <f t="shared" ca="1" si="434"/>
        <v>#NAME?</v>
      </c>
      <c r="I2677" s="100" t="e">
        <f t="shared" ca="1" si="435"/>
        <v>#NAME?</v>
      </c>
      <c r="J2677" s="100" t="e">
        <f ca="1">IFERROR(__xludf.DUMMYFUNCTION("""COMPUTED_VALUE"""),"-3.452")</f>
        <v>#NAME?</v>
      </c>
      <c r="K2677" s="100" t="e">
        <f t="shared" ca="1" si="436"/>
        <v>#NAME?</v>
      </c>
      <c r="L2677" s="100"/>
      <c r="M2677" s="100"/>
      <c r="N2677" s="100"/>
      <c r="O2677" s="100"/>
      <c r="P2677" s="100"/>
      <c r="Q2677" s="100"/>
      <c r="R2677" s="100"/>
      <c r="S2677" s="100"/>
      <c r="T2677" s="100"/>
      <c r="U2677" s="100"/>
      <c r="V2677" s="100"/>
      <c r="W2677" s="100"/>
      <c r="X2677" s="100"/>
      <c r="Y2677" s="100"/>
      <c r="Z2677" s="100"/>
    </row>
    <row r="2678" spans="1:26">
      <c r="A2678" s="100" t="e">
        <f ca="1">IFERROR(__xludf.DUMMYFUNCTION("""COMPUTED_VALUE"""),58786013)</f>
        <v>#NAME?</v>
      </c>
      <c r="B2678" s="100" t="e">
        <f ca="1">IFERROR(__xludf.DUMMYFUNCTION("""COMPUTED_VALUE"""),"LISTABRL")</f>
        <v>#NAME?</v>
      </c>
      <c r="C2678" s="100" t="e">
        <f ca="1">IFERROR(__xludf.DUMMYFUNCTION("""COMPUTED_VALUE"""),"2.17600000")</f>
        <v>#NAME?</v>
      </c>
      <c r="D2678" s="100" t="e">
        <f t="shared" ca="1" si="438"/>
        <v>#NAME?</v>
      </c>
      <c r="E2678" s="100" t="e">
        <f t="shared" ca="1" si="438"/>
        <v>#NAME?</v>
      </c>
      <c r="F2678" s="100" t="e">
        <f t="shared" ca="1" si="432"/>
        <v>#NAME?</v>
      </c>
      <c r="G2678" s="100" t="e">
        <f t="shared" ca="1" si="433"/>
        <v>#NAME?</v>
      </c>
      <c r="H2678" s="100" t="e">
        <f t="shared" ca="1" si="434"/>
        <v>#NAME?</v>
      </c>
      <c r="I2678" s="100" t="e">
        <f t="shared" ca="1" si="435"/>
        <v>#NAME?</v>
      </c>
      <c r="J2678" s="100" t="e">
        <f ca="1">IFERROR(__xludf.DUMMYFUNCTION("""COMPUTED_VALUE"""),"0")</f>
        <v>#NAME?</v>
      </c>
      <c r="K2678" s="100" t="e">
        <f t="shared" ca="1" si="436"/>
        <v>#NAME?</v>
      </c>
      <c r="L2678" s="100"/>
      <c r="M2678" s="100"/>
      <c r="N2678" s="100"/>
      <c r="O2678" s="100"/>
      <c r="P2678" s="100"/>
      <c r="Q2678" s="100"/>
      <c r="R2678" s="100"/>
      <c r="S2678" s="100"/>
      <c r="T2678" s="100"/>
      <c r="U2678" s="100"/>
      <c r="V2678" s="100"/>
      <c r="W2678" s="100"/>
      <c r="X2678" s="100"/>
      <c r="Y2678" s="100"/>
      <c r="Z2678" s="100"/>
    </row>
    <row r="2679" spans="1:26">
      <c r="A2679" s="100" t="e">
        <f ca="1">IFERROR(__xludf.DUMMYFUNCTION("""COMPUTED_VALUE"""),58786014)</f>
        <v>#NAME?</v>
      </c>
      <c r="B2679" s="100" t="e">
        <f ca="1">IFERROR(__xludf.DUMMYFUNCTION("""COMPUTED_VALUE"""),"BAKETRY")</f>
        <v>#NAME?</v>
      </c>
      <c r="C2679" s="100" t="e">
        <f ca="1">IFERROR(__xludf.DUMMYFUNCTION("""COMPUTED_VALUE"""),"4.74000000")</f>
        <v>#NAME?</v>
      </c>
      <c r="D2679" s="100" t="e">
        <f t="shared" ca="1" si="438"/>
        <v>#NAME?</v>
      </c>
      <c r="E2679" s="100" t="e">
        <f t="shared" ca="1" si="438"/>
        <v>#NAME?</v>
      </c>
      <c r="F2679" s="100" t="e">
        <f t="shared" ca="1" si="432"/>
        <v>#NAME?</v>
      </c>
      <c r="G2679" s="100" t="e">
        <f t="shared" ca="1" si="433"/>
        <v>#NAME?</v>
      </c>
      <c r="H2679" s="100" t="e">
        <f t="shared" ca="1" si="434"/>
        <v>#NAME?</v>
      </c>
      <c r="I2679" s="100" t="e">
        <f t="shared" ca="1" si="435"/>
        <v>#NAME?</v>
      </c>
      <c r="J2679" s="100" t="e">
        <f ca="1">IFERROR(__xludf.DUMMYFUNCTION("""COMPUTED_VALUE"""),"-3.462")</f>
        <v>#NAME?</v>
      </c>
      <c r="K2679" s="100" t="e">
        <f t="shared" ca="1" si="436"/>
        <v>#NAME?</v>
      </c>
      <c r="L2679" s="100"/>
      <c r="M2679" s="100"/>
      <c r="N2679" s="100"/>
      <c r="O2679" s="100"/>
      <c r="P2679" s="100"/>
      <c r="Q2679" s="100"/>
      <c r="R2679" s="100"/>
      <c r="S2679" s="100"/>
      <c r="T2679" s="100"/>
      <c r="U2679" s="100"/>
      <c r="V2679" s="100"/>
      <c r="W2679" s="100"/>
      <c r="X2679" s="100"/>
      <c r="Y2679" s="100"/>
      <c r="Z2679" s="100"/>
    </row>
    <row r="2680" spans="1:26">
      <c r="A2680" s="100" t="e">
        <f ca="1">IFERROR(__xludf.DUMMYFUNCTION("""COMPUTED_VALUE"""),58786015)</f>
        <v>#NAME?</v>
      </c>
      <c r="B2680" s="100" t="e">
        <f ca="1">IFERROR(__xludf.DUMMYFUNCTION("""COMPUTED_VALUE"""),"WIFBRL")</f>
        <v>#NAME?</v>
      </c>
      <c r="C2680" s="100" t="e">
        <f ca="1">IFERROR(__xludf.DUMMYFUNCTION("""COMPUTED_VALUE"""),"2.54000000")</f>
        <v>#NAME?</v>
      </c>
      <c r="D2680" s="100" t="e">
        <f t="shared" ca="1" si="438"/>
        <v>#NAME?</v>
      </c>
      <c r="E2680" s="100" t="e">
        <f t="shared" ca="1" si="438"/>
        <v>#NAME?</v>
      </c>
      <c r="F2680" s="100" t="e">
        <f t="shared" ca="1" si="432"/>
        <v>#NAME?</v>
      </c>
      <c r="G2680" s="100" t="e">
        <f t="shared" ca="1" si="433"/>
        <v>#NAME?</v>
      </c>
      <c r="H2680" s="100" t="e">
        <f t="shared" ca="1" si="434"/>
        <v>#NAME?</v>
      </c>
      <c r="I2680" s="100" t="e">
        <f t="shared" ca="1" si="435"/>
        <v>#NAME?</v>
      </c>
      <c r="J2680" s="100" t="e">
        <f ca="1">IFERROR(__xludf.DUMMYFUNCTION("""COMPUTED_VALUE"""),"-0.392")</f>
        <v>#NAME?</v>
      </c>
      <c r="K2680" s="100" t="e">
        <f t="shared" ca="1" si="436"/>
        <v>#NAME?</v>
      </c>
      <c r="L2680" s="100"/>
      <c r="M2680" s="100"/>
      <c r="N2680" s="100"/>
      <c r="O2680" s="100"/>
      <c r="P2680" s="100"/>
      <c r="Q2680" s="100"/>
      <c r="R2680" s="100"/>
      <c r="S2680" s="100"/>
      <c r="T2680" s="100"/>
      <c r="U2680" s="100"/>
      <c r="V2680" s="100"/>
      <c r="W2680" s="100"/>
      <c r="X2680" s="100"/>
      <c r="Y2680" s="100"/>
      <c r="Z2680" s="100"/>
    </row>
    <row r="2681" spans="1:26">
      <c r="A2681" s="100" t="e">
        <f ca="1">IFERROR(__xludf.DUMMYFUNCTION("""COMPUTED_VALUE"""),58786016)</f>
        <v>#NAME?</v>
      </c>
      <c r="B2681" s="100" t="e">
        <f ca="1">IFERROR(__xludf.DUMMYFUNCTION("""COMPUTED_VALUE"""),"ZKUSDC")</f>
        <v>#NAME?</v>
      </c>
      <c r="C2681" s="100" t="e">
        <f ca="1">IFERROR(__xludf.DUMMYFUNCTION("""COMPUTED_VALUE"""),"0.05170000")</f>
        <v>#NAME?</v>
      </c>
      <c r="D2681" s="100" t="e">
        <f t="shared" ca="1" si="438"/>
        <v>#NAME?</v>
      </c>
      <c r="E2681" s="100" t="e">
        <f t="shared" ca="1" si="438"/>
        <v>#NAME?</v>
      </c>
      <c r="F2681" s="100" t="e">
        <f t="shared" ca="1" si="432"/>
        <v>#NAME?</v>
      </c>
      <c r="G2681" s="100" t="e">
        <f t="shared" ca="1" si="433"/>
        <v>#NAME?</v>
      </c>
      <c r="H2681" s="100" t="e">
        <f t="shared" ca="1" si="434"/>
        <v>#NAME?</v>
      </c>
      <c r="I2681" s="100" t="e">
        <f t="shared" ca="1" si="435"/>
        <v>#NAME?</v>
      </c>
      <c r="J2681" s="100" t="e">
        <f ca="1">IFERROR(__xludf.DUMMYFUNCTION("""COMPUTED_VALUE"""),"-1.147")</f>
        <v>#NAME?</v>
      </c>
      <c r="K2681" s="100" t="e">
        <f t="shared" ca="1" si="436"/>
        <v>#NAME?</v>
      </c>
      <c r="L2681" s="100"/>
      <c r="M2681" s="100"/>
      <c r="N2681" s="100"/>
      <c r="O2681" s="100"/>
      <c r="P2681" s="100"/>
      <c r="Q2681" s="100"/>
      <c r="R2681" s="100"/>
      <c r="S2681" s="100"/>
      <c r="T2681" s="100"/>
      <c r="U2681" s="100"/>
      <c r="V2681" s="100"/>
      <c r="W2681" s="100"/>
      <c r="X2681" s="100"/>
      <c r="Y2681" s="100"/>
      <c r="Z2681" s="100"/>
    </row>
    <row r="2682" spans="1:26">
      <c r="A2682" s="100" t="e">
        <f ca="1">IFERROR(__xludf.DUMMYFUNCTION("""COMPUTED_VALUE"""),58786017)</f>
        <v>#NAME?</v>
      </c>
      <c r="B2682" s="100" t="e">
        <f ca="1">IFERROR(__xludf.DUMMYFUNCTION("""COMPUTED_VALUE"""),"ZROUSDC")</f>
        <v>#NAME?</v>
      </c>
      <c r="C2682" s="100" t="e">
        <f ca="1">IFERROR(__xludf.DUMMYFUNCTION("""COMPUTED_VALUE"""),"2.48800000")</f>
        <v>#NAME?</v>
      </c>
      <c r="D2682" s="100" t="e">
        <f t="shared" ref="D2682:E2701" ca="1" si="439">IFERROR(__xludf.DUMMYFUNCTION("""COMPUTED_VALUE"""),"-")</f>
        <v>#NAME?</v>
      </c>
      <c r="E2682" s="100" t="e">
        <f t="shared" ca="1" si="439"/>
        <v>#NAME?</v>
      </c>
      <c r="F2682" s="100" t="e">
        <f t="shared" ca="1" si="432"/>
        <v>#NAME?</v>
      </c>
      <c r="G2682" s="100" t="e">
        <f t="shared" ca="1" si="433"/>
        <v>#NAME?</v>
      </c>
      <c r="H2682" s="100" t="e">
        <f t="shared" ca="1" si="434"/>
        <v>#NAME?</v>
      </c>
      <c r="I2682" s="100" t="e">
        <f t="shared" ca="1" si="435"/>
        <v>#NAME?</v>
      </c>
      <c r="J2682" s="100" t="e">
        <f ca="1">IFERROR(__xludf.DUMMYFUNCTION("""COMPUTED_VALUE"""),"-3.603")</f>
        <v>#NAME?</v>
      </c>
      <c r="K2682" s="100" t="e">
        <f t="shared" ca="1" si="436"/>
        <v>#NAME?</v>
      </c>
      <c r="L2682" s="100"/>
      <c r="M2682" s="100"/>
      <c r="N2682" s="100"/>
      <c r="O2682" s="100"/>
      <c r="P2682" s="100"/>
      <c r="Q2682" s="100"/>
      <c r="R2682" s="100"/>
      <c r="S2682" s="100"/>
      <c r="T2682" s="100"/>
      <c r="U2682" s="100"/>
      <c r="V2682" s="100"/>
      <c r="W2682" s="100"/>
      <c r="X2682" s="100"/>
      <c r="Y2682" s="100"/>
      <c r="Z2682" s="100"/>
    </row>
    <row r="2683" spans="1:26">
      <c r="A2683" s="100" t="e">
        <f ca="1">IFERROR(__xludf.DUMMYFUNCTION("""COMPUTED_VALUE"""),58786018)</f>
        <v>#NAME?</v>
      </c>
      <c r="B2683" s="100" t="e">
        <f ca="1">IFERROR(__xludf.DUMMYFUNCTION("""COMPUTED_VALUE"""),"IOUSDC")</f>
        <v>#NAME?</v>
      </c>
      <c r="C2683" s="100" t="e">
        <f ca="1">IFERROR(__xludf.DUMMYFUNCTION("""COMPUTED_VALUE"""),"0.64300000")</f>
        <v>#NAME?</v>
      </c>
      <c r="D2683" s="100" t="e">
        <f t="shared" ca="1" si="439"/>
        <v>#NAME?</v>
      </c>
      <c r="E2683" s="100" t="e">
        <f t="shared" ca="1" si="439"/>
        <v>#NAME?</v>
      </c>
      <c r="F2683" s="100" t="e">
        <f t="shared" ca="1" si="432"/>
        <v>#NAME?</v>
      </c>
      <c r="G2683" s="100" t="e">
        <f t="shared" ca="1" si="433"/>
        <v>#NAME?</v>
      </c>
      <c r="H2683" s="100" t="e">
        <f t="shared" ca="1" si="434"/>
        <v>#NAME?</v>
      </c>
      <c r="I2683" s="100" t="e">
        <f t="shared" ca="1" si="435"/>
        <v>#NAME?</v>
      </c>
      <c r="J2683" s="100" t="e">
        <f ca="1">IFERROR(__xludf.DUMMYFUNCTION("""COMPUTED_VALUE"""),"-3.886")</f>
        <v>#NAME?</v>
      </c>
      <c r="K2683" s="100" t="e">
        <f t="shared" ca="1" si="436"/>
        <v>#NAME?</v>
      </c>
      <c r="L2683" s="100"/>
      <c r="M2683" s="100"/>
      <c r="N2683" s="100"/>
      <c r="O2683" s="100"/>
      <c r="P2683" s="100"/>
      <c r="Q2683" s="100"/>
      <c r="R2683" s="100"/>
      <c r="S2683" s="100"/>
      <c r="T2683" s="100"/>
      <c r="U2683" s="100"/>
      <c r="V2683" s="100"/>
      <c r="W2683" s="100"/>
      <c r="X2683" s="100"/>
      <c r="Y2683" s="100"/>
      <c r="Z2683" s="100"/>
    </row>
    <row r="2684" spans="1:26">
      <c r="A2684" s="100" t="e">
        <f ca="1">IFERROR(__xludf.DUMMYFUNCTION("""COMPUTED_VALUE"""),58786019)</f>
        <v>#NAME?</v>
      </c>
      <c r="B2684" s="100" t="e">
        <f ca="1">IFERROR(__xludf.DUMMYFUNCTION("""COMPUTED_VALUE"""),"1000SATSUSDC")</f>
        <v>#NAME?</v>
      </c>
      <c r="C2684" s="100" t="e">
        <f ca="1">IFERROR(__xludf.DUMMYFUNCTION("""COMPUTED_VALUE"""),"0.00003860")</f>
        <v>#NAME?</v>
      </c>
      <c r="D2684" s="100" t="e">
        <f t="shared" ca="1" si="439"/>
        <v>#NAME?</v>
      </c>
      <c r="E2684" s="100" t="e">
        <f t="shared" ca="1" si="439"/>
        <v>#NAME?</v>
      </c>
      <c r="F2684" s="100" t="e">
        <f t="shared" ca="1" si="432"/>
        <v>#NAME?</v>
      </c>
      <c r="G2684" s="100" t="e">
        <f t="shared" ca="1" si="433"/>
        <v>#NAME?</v>
      </c>
      <c r="H2684" s="100" t="e">
        <f t="shared" ca="1" si="434"/>
        <v>#NAME?</v>
      </c>
      <c r="I2684" s="100" t="e">
        <f t="shared" ca="1" si="435"/>
        <v>#NAME?</v>
      </c>
      <c r="J2684" s="100" t="e">
        <f ca="1">IFERROR(__xludf.DUMMYFUNCTION("""COMPUTED_VALUE"""),"-6.083")</f>
        <v>#NAME?</v>
      </c>
      <c r="K2684" s="100" t="e">
        <f t="shared" ca="1" si="436"/>
        <v>#NAME?</v>
      </c>
      <c r="L2684" s="100"/>
      <c r="M2684" s="100"/>
      <c r="N2684" s="100"/>
      <c r="O2684" s="100"/>
      <c r="P2684" s="100"/>
      <c r="Q2684" s="100"/>
      <c r="R2684" s="100"/>
      <c r="S2684" s="100"/>
      <c r="T2684" s="100"/>
      <c r="U2684" s="100"/>
      <c r="V2684" s="100"/>
      <c r="W2684" s="100"/>
      <c r="X2684" s="100"/>
      <c r="Y2684" s="100"/>
      <c r="Z2684" s="100"/>
    </row>
    <row r="2685" spans="1:26">
      <c r="A2685" s="100" t="e">
        <f ca="1">IFERROR(__xludf.DUMMYFUNCTION("""COMPUTED_VALUE"""),58786020)</f>
        <v>#NAME?</v>
      </c>
      <c r="B2685" s="100" t="e">
        <f ca="1">IFERROR(__xludf.DUMMYFUNCTION("""COMPUTED_VALUE"""),"BNXTRY")</f>
        <v>#NAME?</v>
      </c>
      <c r="C2685" s="100" t="e">
        <f ca="1">IFERROR(__xludf.DUMMYFUNCTION("""COMPUTED_VALUE"""),"65.30000000")</f>
        <v>#NAME?</v>
      </c>
      <c r="D2685" s="100" t="e">
        <f t="shared" ca="1" si="439"/>
        <v>#NAME?</v>
      </c>
      <c r="E2685" s="100" t="e">
        <f t="shared" ca="1" si="439"/>
        <v>#NAME?</v>
      </c>
      <c r="F2685" s="100" t="e">
        <f t="shared" ca="1" si="432"/>
        <v>#NAME?</v>
      </c>
      <c r="G2685" s="100" t="e">
        <f t="shared" ca="1" si="433"/>
        <v>#NAME?</v>
      </c>
      <c r="H2685" s="100" t="e">
        <f t="shared" ca="1" si="434"/>
        <v>#NAME?</v>
      </c>
      <c r="I2685" s="100" t="e">
        <f t="shared" ca="1" si="435"/>
        <v>#NAME?</v>
      </c>
      <c r="J2685" s="100" t="e">
        <f ca="1">IFERROR(__xludf.DUMMYFUNCTION("""COMPUTED_VALUE"""),"0")</f>
        <v>#NAME?</v>
      </c>
      <c r="K2685" s="100" t="e">
        <f t="shared" ca="1" si="436"/>
        <v>#NAME?</v>
      </c>
      <c r="L2685" s="100"/>
      <c r="M2685" s="100"/>
      <c r="N2685" s="100"/>
      <c r="O2685" s="100"/>
      <c r="P2685" s="100"/>
      <c r="Q2685" s="100"/>
      <c r="R2685" s="100"/>
      <c r="S2685" s="100"/>
      <c r="T2685" s="100"/>
      <c r="U2685" s="100"/>
      <c r="V2685" s="100"/>
      <c r="W2685" s="100"/>
      <c r="X2685" s="100"/>
      <c r="Y2685" s="100"/>
      <c r="Z2685" s="100"/>
    </row>
    <row r="2686" spans="1:26">
      <c r="A2686" s="100" t="e">
        <f ca="1">IFERROR(__xludf.DUMMYFUNCTION("""COMPUTED_VALUE"""),58786021)</f>
        <v>#NAME?</v>
      </c>
      <c r="B2686" s="100" t="e">
        <f ca="1">IFERROR(__xludf.DUMMYFUNCTION("""COMPUTED_VALUE"""),"ETHARS")</f>
        <v>#NAME?</v>
      </c>
      <c r="C2686" s="100" t="e">
        <f ca="1">IFERROR(__xludf.DUMMYFUNCTION("""COMPUTED_VALUE"""),"1867030.00000000")</f>
        <v>#NAME?</v>
      </c>
      <c r="D2686" s="100" t="e">
        <f t="shared" ca="1" si="439"/>
        <v>#NAME?</v>
      </c>
      <c r="E2686" s="100" t="e">
        <f t="shared" ca="1" si="439"/>
        <v>#NAME?</v>
      </c>
      <c r="F2686" s="100" t="e">
        <f t="shared" ca="1" si="432"/>
        <v>#NAME?</v>
      </c>
      <c r="G2686" s="100" t="e">
        <f t="shared" ca="1" si="433"/>
        <v>#NAME?</v>
      </c>
      <c r="H2686" s="100" t="e">
        <f t="shared" ca="1" si="434"/>
        <v>#NAME?</v>
      </c>
      <c r="I2686" s="100" t="e">
        <f t="shared" ca="1" si="435"/>
        <v>#NAME?</v>
      </c>
      <c r="J2686" s="100" t="e">
        <f ca="1">IFERROR(__xludf.DUMMYFUNCTION("""COMPUTED_VALUE"""),"-3.656")</f>
        <v>#NAME?</v>
      </c>
      <c r="K2686" s="100" t="e">
        <f t="shared" ca="1" si="436"/>
        <v>#NAME?</v>
      </c>
      <c r="L2686" s="100"/>
      <c r="M2686" s="100"/>
      <c r="N2686" s="100"/>
      <c r="O2686" s="100"/>
      <c r="P2686" s="100"/>
      <c r="Q2686" s="100"/>
      <c r="R2686" s="100"/>
      <c r="S2686" s="100"/>
      <c r="T2686" s="100"/>
      <c r="U2686" s="100"/>
      <c r="V2686" s="100"/>
      <c r="W2686" s="100"/>
      <c r="X2686" s="100"/>
      <c r="Y2686" s="100"/>
      <c r="Z2686" s="100"/>
    </row>
    <row r="2687" spans="1:26">
      <c r="A2687" s="100" t="e">
        <f ca="1">IFERROR(__xludf.DUMMYFUNCTION("""COMPUTED_VALUE"""),58786022)</f>
        <v>#NAME?</v>
      </c>
      <c r="B2687" s="100" t="e">
        <f ca="1">IFERROR(__xludf.DUMMYFUNCTION("""COMPUTED_VALUE"""),"GUSDT")</f>
        <v>#NAME?</v>
      </c>
      <c r="C2687" s="100" t="e">
        <f ca="1">IFERROR(__xludf.DUMMYFUNCTION("""COMPUTED_VALUE"""),"0.01394000")</f>
        <v>#NAME?</v>
      </c>
      <c r="D2687" s="100" t="e">
        <f t="shared" ca="1" si="439"/>
        <v>#NAME?</v>
      </c>
      <c r="E2687" s="100" t="e">
        <f t="shared" ca="1" si="439"/>
        <v>#NAME?</v>
      </c>
      <c r="F2687" s="100" t="e">
        <f t="shared" ca="1" si="432"/>
        <v>#NAME?</v>
      </c>
      <c r="G2687" s="100" t="e">
        <f t="shared" ca="1" si="433"/>
        <v>#NAME?</v>
      </c>
      <c r="H2687" s="100" t="e">
        <f t="shared" ca="1" si="434"/>
        <v>#NAME?</v>
      </c>
      <c r="I2687" s="100" t="e">
        <f t="shared" ca="1" si="435"/>
        <v>#NAME?</v>
      </c>
      <c r="J2687" s="100" t="e">
        <f ca="1">IFERROR(__xludf.DUMMYFUNCTION("""COMPUTED_VALUE"""),"-1.969")</f>
        <v>#NAME?</v>
      </c>
      <c r="K2687" s="100" t="e">
        <f t="shared" ca="1" si="436"/>
        <v>#NAME?</v>
      </c>
      <c r="L2687" s="100"/>
      <c r="M2687" s="100"/>
      <c r="N2687" s="100"/>
      <c r="O2687" s="100"/>
      <c r="P2687" s="100"/>
      <c r="Q2687" s="100"/>
      <c r="R2687" s="100"/>
      <c r="S2687" s="100"/>
      <c r="T2687" s="100"/>
      <c r="U2687" s="100"/>
      <c r="V2687" s="100"/>
      <c r="W2687" s="100"/>
      <c r="X2687" s="100"/>
      <c r="Y2687" s="100"/>
      <c r="Z2687" s="100"/>
    </row>
    <row r="2688" spans="1:26">
      <c r="A2688" s="100" t="e">
        <f ca="1">IFERROR(__xludf.DUMMYFUNCTION("""COMPUTED_VALUE"""),58786023)</f>
        <v>#NAME?</v>
      </c>
      <c r="B2688" s="100" t="e">
        <f ca="1">IFERROR(__xludf.DUMMYFUNCTION("""COMPUTED_VALUE"""),"GTRY")</f>
        <v>#NAME?</v>
      </c>
      <c r="C2688" s="100" t="e">
        <f ca="1">IFERROR(__xludf.DUMMYFUNCTION("""COMPUTED_VALUE"""),"0.53300000")</f>
        <v>#NAME?</v>
      </c>
      <c r="D2688" s="100" t="e">
        <f t="shared" ca="1" si="439"/>
        <v>#NAME?</v>
      </c>
      <c r="E2688" s="100" t="e">
        <f t="shared" ca="1" si="439"/>
        <v>#NAME?</v>
      </c>
      <c r="F2688" s="100" t="e">
        <f t="shared" ca="1" si="432"/>
        <v>#NAME?</v>
      </c>
      <c r="G2688" s="100" t="e">
        <f t="shared" ca="1" si="433"/>
        <v>#NAME?</v>
      </c>
      <c r="H2688" s="100" t="e">
        <f t="shared" ca="1" si="434"/>
        <v>#NAME?</v>
      </c>
      <c r="I2688" s="100" t="e">
        <f t="shared" ca="1" si="435"/>
        <v>#NAME?</v>
      </c>
      <c r="J2688" s="100" t="e">
        <f ca="1">IFERROR(__xludf.DUMMYFUNCTION("""COMPUTED_VALUE"""),"-2.202")</f>
        <v>#NAME?</v>
      </c>
      <c r="K2688" s="100" t="e">
        <f t="shared" ca="1" si="436"/>
        <v>#NAME?</v>
      </c>
      <c r="L2688" s="100"/>
      <c r="M2688" s="100"/>
      <c r="N2688" s="100"/>
      <c r="O2688" s="100"/>
      <c r="P2688" s="100"/>
      <c r="Q2688" s="100"/>
      <c r="R2688" s="100"/>
      <c r="S2688" s="100"/>
      <c r="T2688" s="100"/>
      <c r="U2688" s="100"/>
      <c r="V2688" s="100"/>
      <c r="W2688" s="100"/>
      <c r="X2688" s="100"/>
      <c r="Y2688" s="100"/>
      <c r="Z2688" s="100"/>
    </row>
    <row r="2689" spans="1:26">
      <c r="A2689" s="100" t="e">
        <f ca="1">IFERROR(__xludf.DUMMYFUNCTION("""COMPUTED_VALUE"""),58786024)</f>
        <v>#NAME?</v>
      </c>
      <c r="B2689" s="100" t="e">
        <f ca="1">IFERROR(__xludf.DUMMYFUNCTION("""COMPUTED_VALUE"""),"BANANABTC")</f>
        <v>#NAME?</v>
      </c>
      <c r="C2689" s="100" t="e">
        <f ca="1">IFERROR(__xludf.DUMMYFUNCTION("""COMPUTED_VALUE"""),"0.00019610")</f>
        <v>#NAME?</v>
      </c>
      <c r="D2689" s="100" t="e">
        <f t="shared" ca="1" si="439"/>
        <v>#NAME?</v>
      </c>
      <c r="E2689" s="100" t="e">
        <f t="shared" ca="1" si="439"/>
        <v>#NAME?</v>
      </c>
      <c r="F2689" s="100" t="e">
        <f t="shared" ca="1" si="432"/>
        <v>#NAME?</v>
      </c>
      <c r="G2689" s="100" t="e">
        <f t="shared" ca="1" si="433"/>
        <v>#NAME?</v>
      </c>
      <c r="H2689" s="100" t="e">
        <f t="shared" ca="1" si="434"/>
        <v>#NAME?</v>
      </c>
      <c r="I2689" s="100" t="e">
        <f t="shared" ca="1" si="435"/>
        <v>#NAME?</v>
      </c>
      <c r="J2689" s="100" t="e">
        <f ca="1">IFERROR(__xludf.DUMMYFUNCTION("""COMPUTED_VALUE"""),"-4.667")</f>
        <v>#NAME?</v>
      </c>
      <c r="K2689" s="100" t="e">
        <f t="shared" ca="1" si="436"/>
        <v>#NAME?</v>
      </c>
      <c r="L2689" s="100"/>
      <c r="M2689" s="100"/>
      <c r="N2689" s="100"/>
      <c r="O2689" s="100"/>
      <c r="P2689" s="100"/>
      <c r="Q2689" s="100"/>
      <c r="R2689" s="100"/>
      <c r="S2689" s="100"/>
      <c r="T2689" s="100"/>
      <c r="U2689" s="100"/>
      <c r="V2689" s="100"/>
      <c r="W2689" s="100"/>
      <c r="X2689" s="100"/>
      <c r="Y2689" s="100"/>
      <c r="Z2689" s="100"/>
    </row>
    <row r="2690" spans="1:26">
      <c r="A2690" s="100" t="e">
        <f ca="1">IFERROR(__xludf.DUMMYFUNCTION("""COMPUTED_VALUE"""),58786025)</f>
        <v>#NAME?</v>
      </c>
      <c r="B2690" s="100" t="e">
        <f ca="1">IFERROR(__xludf.DUMMYFUNCTION("""COMPUTED_VALUE"""),"BANANAUSDT")</f>
        <v>#NAME?</v>
      </c>
      <c r="C2690" s="100" t="e">
        <f ca="1">IFERROR(__xludf.DUMMYFUNCTION("""COMPUTED_VALUE"""),"17.31000000")</f>
        <v>#NAME?</v>
      </c>
      <c r="D2690" s="100" t="e">
        <f t="shared" ca="1" si="439"/>
        <v>#NAME?</v>
      </c>
      <c r="E2690" s="100" t="e">
        <f t="shared" ca="1" si="439"/>
        <v>#NAME?</v>
      </c>
      <c r="F2690" s="100" t="e">
        <f t="shared" ref="F2690:F2753" ca="1" si="440">IFERROR(__xludf.DUMMYFUNCTION("""COMPUTED_VALUE"""),20200)</f>
        <v>#NAME?</v>
      </c>
      <c r="G2690" s="100" t="e">
        <f t="shared" ref="G2690:G2753" ca="1" si="441">IFERROR(__xludf.DUMMYFUNCTION("""COMPUTED_VALUE"""),2885)</f>
        <v>#NAME?</v>
      </c>
      <c r="H2690" s="100" t="e">
        <f t="shared" ref="H2690:H2753" ca="1" si="442">IFERROR(__xludf.DUMMYFUNCTION("""COMPUTED_VALUE"""),663)</f>
        <v>#NAME?</v>
      </c>
      <c r="I2690" s="100" t="e">
        <f t="shared" ref="I2690:I2753" ca="1" si="443">IFERROR(__xludf.DUMMYFUNCTION("""COMPUTED_VALUE"""),5817721)</f>
        <v>#NAME?</v>
      </c>
      <c r="J2690" s="100" t="e">
        <f ca="1">IFERROR(__xludf.DUMMYFUNCTION("""COMPUTED_VALUE"""),"-3.080")</f>
        <v>#NAME?</v>
      </c>
      <c r="K2690" s="100" t="e">
        <f t="shared" ref="K2690:K2753" ca="1" si="444">IFERROR(__xludf.DUMMYFUNCTION("""COMPUTED_VALUE"""),"22.04.2025 13:05:01")</f>
        <v>#NAME?</v>
      </c>
      <c r="L2690" s="100"/>
      <c r="M2690" s="100"/>
      <c r="N2690" s="100"/>
      <c r="O2690" s="100"/>
      <c r="P2690" s="100"/>
      <c r="Q2690" s="100"/>
      <c r="R2690" s="100"/>
      <c r="S2690" s="100"/>
      <c r="T2690" s="100"/>
      <c r="U2690" s="100"/>
      <c r="V2690" s="100"/>
      <c r="W2690" s="100"/>
      <c r="X2690" s="100"/>
      <c r="Y2690" s="100"/>
      <c r="Z2690" s="100"/>
    </row>
    <row r="2691" spans="1:26">
      <c r="A2691" s="100" t="e">
        <f ca="1">IFERROR(__xludf.DUMMYFUNCTION("""COMPUTED_VALUE"""),58786026)</f>
        <v>#NAME?</v>
      </c>
      <c r="B2691" s="100" t="e">
        <f ca="1">IFERROR(__xludf.DUMMYFUNCTION("""COMPUTED_VALUE"""),"BANANABNB")</f>
        <v>#NAME?</v>
      </c>
      <c r="C2691" s="100" t="e">
        <f ca="1">IFERROR(__xludf.DUMMYFUNCTION("""COMPUTED_VALUE"""),"0.02864000")</f>
        <v>#NAME?</v>
      </c>
      <c r="D2691" s="100" t="e">
        <f t="shared" ca="1" si="439"/>
        <v>#NAME?</v>
      </c>
      <c r="E2691" s="100" t="e">
        <f t="shared" ca="1" si="439"/>
        <v>#NAME?</v>
      </c>
      <c r="F2691" s="100" t="e">
        <f t="shared" ca="1" si="440"/>
        <v>#NAME?</v>
      </c>
      <c r="G2691" s="100" t="e">
        <f t="shared" ca="1" si="441"/>
        <v>#NAME?</v>
      </c>
      <c r="H2691" s="100" t="e">
        <f t="shared" ca="1" si="442"/>
        <v>#NAME?</v>
      </c>
      <c r="I2691" s="100" t="e">
        <f t="shared" ca="1" si="443"/>
        <v>#NAME?</v>
      </c>
      <c r="J2691" s="100" t="e">
        <f ca="1">IFERROR(__xludf.DUMMYFUNCTION("""COMPUTED_VALUE"""),"-5.479")</f>
        <v>#NAME?</v>
      </c>
      <c r="K2691" s="100" t="e">
        <f t="shared" ca="1" si="444"/>
        <v>#NAME?</v>
      </c>
      <c r="L2691" s="100"/>
      <c r="M2691" s="100"/>
      <c r="N2691" s="100"/>
      <c r="O2691" s="100"/>
      <c r="P2691" s="100"/>
      <c r="Q2691" s="100"/>
      <c r="R2691" s="100"/>
      <c r="S2691" s="100"/>
      <c r="T2691" s="100"/>
      <c r="U2691" s="100"/>
      <c r="V2691" s="100"/>
      <c r="W2691" s="100"/>
      <c r="X2691" s="100"/>
      <c r="Y2691" s="100"/>
      <c r="Z2691" s="100"/>
    </row>
    <row r="2692" spans="1:26">
      <c r="A2692" s="100" t="e">
        <f ca="1">IFERROR(__xludf.DUMMYFUNCTION("""COMPUTED_VALUE"""),58786027)</f>
        <v>#NAME?</v>
      </c>
      <c r="B2692" s="100" t="e">
        <f ca="1">IFERROR(__xludf.DUMMYFUNCTION("""COMPUTED_VALUE"""),"BANANAFDUSD")</f>
        <v>#NAME?</v>
      </c>
      <c r="C2692" s="100" t="e">
        <f ca="1">IFERROR(__xludf.DUMMYFUNCTION("""COMPUTED_VALUE"""),"17.66000000")</f>
        <v>#NAME?</v>
      </c>
      <c r="D2692" s="100" t="e">
        <f t="shared" ca="1" si="439"/>
        <v>#NAME?</v>
      </c>
      <c r="E2692" s="100" t="e">
        <f t="shared" ca="1" si="439"/>
        <v>#NAME?</v>
      </c>
      <c r="F2692" s="100" t="e">
        <f t="shared" ca="1" si="440"/>
        <v>#NAME?</v>
      </c>
      <c r="G2692" s="100" t="e">
        <f t="shared" ca="1" si="441"/>
        <v>#NAME?</v>
      </c>
      <c r="H2692" s="100" t="e">
        <f t="shared" ca="1" si="442"/>
        <v>#NAME?</v>
      </c>
      <c r="I2692" s="100" t="e">
        <f t="shared" ca="1" si="443"/>
        <v>#NAME?</v>
      </c>
      <c r="J2692" s="100" t="e">
        <f ca="1">IFERROR(__xludf.DUMMYFUNCTION("""COMPUTED_VALUE"""),"-1.780")</f>
        <v>#NAME?</v>
      </c>
      <c r="K2692" s="100" t="e">
        <f t="shared" ca="1" si="444"/>
        <v>#NAME?</v>
      </c>
      <c r="L2692" s="100"/>
      <c r="M2692" s="100"/>
      <c r="N2692" s="100"/>
      <c r="O2692" s="100"/>
      <c r="P2692" s="100"/>
      <c r="Q2692" s="100"/>
      <c r="R2692" s="100"/>
      <c r="S2692" s="100"/>
      <c r="T2692" s="100"/>
      <c r="U2692" s="100"/>
      <c r="V2692" s="100"/>
      <c r="W2692" s="100"/>
      <c r="X2692" s="100"/>
      <c r="Y2692" s="100"/>
      <c r="Z2692" s="100"/>
    </row>
    <row r="2693" spans="1:26">
      <c r="A2693" s="100" t="e">
        <f ca="1">IFERROR(__xludf.DUMMYFUNCTION("""COMPUTED_VALUE"""),58786028)</f>
        <v>#NAME?</v>
      </c>
      <c r="B2693" s="100" t="e">
        <f ca="1">IFERROR(__xludf.DUMMYFUNCTION("""COMPUTED_VALUE"""),"BANANATRY")</f>
        <v>#NAME?</v>
      </c>
      <c r="C2693" s="100" t="e">
        <f ca="1">IFERROR(__xludf.DUMMYFUNCTION("""COMPUTED_VALUE"""),"661.00000000")</f>
        <v>#NAME?</v>
      </c>
      <c r="D2693" s="100" t="e">
        <f t="shared" ca="1" si="439"/>
        <v>#NAME?</v>
      </c>
      <c r="E2693" s="100" t="e">
        <f t="shared" ca="1" si="439"/>
        <v>#NAME?</v>
      </c>
      <c r="F2693" s="100" t="e">
        <f t="shared" ca="1" si="440"/>
        <v>#NAME?</v>
      </c>
      <c r="G2693" s="100" t="e">
        <f t="shared" ca="1" si="441"/>
        <v>#NAME?</v>
      </c>
      <c r="H2693" s="100" t="e">
        <f t="shared" ca="1" si="442"/>
        <v>#NAME?</v>
      </c>
      <c r="I2693" s="100" t="e">
        <f t="shared" ca="1" si="443"/>
        <v>#NAME?</v>
      </c>
      <c r="J2693" s="100" t="e">
        <f ca="1">IFERROR(__xludf.DUMMYFUNCTION("""COMPUTED_VALUE"""),"-3.221")</f>
        <v>#NAME?</v>
      </c>
      <c r="K2693" s="100" t="e">
        <f t="shared" ca="1" si="444"/>
        <v>#NAME?</v>
      </c>
      <c r="L2693" s="100"/>
      <c r="M2693" s="100"/>
      <c r="N2693" s="100"/>
      <c r="O2693" s="100"/>
      <c r="P2693" s="100"/>
      <c r="Q2693" s="100"/>
      <c r="R2693" s="100"/>
      <c r="S2693" s="100"/>
      <c r="T2693" s="100"/>
      <c r="U2693" s="100"/>
      <c r="V2693" s="100"/>
      <c r="W2693" s="100"/>
      <c r="X2693" s="100"/>
      <c r="Y2693" s="100"/>
      <c r="Z2693" s="100"/>
    </row>
    <row r="2694" spans="1:26">
      <c r="A2694" s="100" t="e">
        <f ca="1">IFERROR(__xludf.DUMMYFUNCTION("""COMPUTED_VALUE"""),58786029)</f>
        <v>#NAME?</v>
      </c>
      <c r="B2694" s="100" t="e">
        <f ca="1">IFERROR(__xludf.DUMMYFUNCTION("""COMPUTED_VALUE"""),"RENDERBTC")</f>
        <v>#NAME?</v>
      </c>
      <c r="C2694" s="100" t="e">
        <f ca="1">IFERROR(__xludf.DUMMYFUNCTION("""COMPUTED_VALUE"""),"0.00004952")</f>
        <v>#NAME?</v>
      </c>
      <c r="D2694" s="100" t="e">
        <f t="shared" ca="1" si="439"/>
        <v>#NAME?</v>
      </c>
      <c r="E2694" s="100" t="e">
        <f t="shared" ca="1" si="439"/>
        <v>#NAME?</v>
      </c>
      <c r="F2694" s="100" t="e">
        <f t="shared" ca="1" si="440"/>
        <v>#NAME?</v>
      </c>
      <c r="G2694" s="100" t="e">
        <f t="shared" ca="1" si="441"/>
        <v>#NAME?</v>
      </c>
      <c r="H2694" s="100" t="e">
        <f t="shared" ca="1" si="442"/>
        <v>#NAME?</v>
      </c>
      <c r="I2694" s="100" t="e">
        <f t="shared" ca="1" si="443"/>
        <v>#NAME?</v>
      </c>
      <c r="J2694" s="100" t="e">
        <f ca="1">IFERROR(__xludf.DUMMYFUNCTION("""COMPUTED_VALUE"""),"-3.016")</f>
        <v>#NAME?</v>
      </c>
      <c r="K2694" s="100" t="e">
        <f t="shared" ca="1" si="444"/>
        <v>#NAME?</v>
      </c>
      <c r="L2694" s="100"/>
      <c r="M2694" s="100"/>
      <c r="N2694" s="100"/>
      <c r="O2694" s="100"/>
      <c r="P2694" s="100"/>
      <c r="Q2694" s="100"/>
      <c r="R2694" s="100"/>
      <c r="S2694" s="100"/>
      <c r="T2694" s="100"/>
      <c r="U2694" s="100"/>
      <c r="V2694" s="100"/>
      <c r="W2694" s="100"/>
      <c r="X2694" s="100"/>
      <c r="Y2694" s="100"/>
      <c r="Z2694" s="100"/>
    </row>
    <row r="2695" spans="1:26">
      <c r="A2695" s="100" t="e">
        <f ca="1">IFERROR(__xludf.DUMMYFUNCTION("""COMPUTED_VALUE"""),58786030)</f>
        <v>#NAME?</v>
      </c>
      <c r="B2695" s="100" t="e">
        <f ca="1">IFERROR(__xludf.DUMMYFUNCTION("""COMPUTED_VALUE"""),"RENDERUSDT")</f>
        <v>#NAME?</v>
      </c>
      <c r="C2695" s="100" t="e">
        <f ca="1">IFERROR(__xludf.DUMMYFUNCTION("""COMPUTED_VALUE"""),"4.38800000")</f>
        <v>#NAME?</v>
      </c>
      <c r="D2695" s="100" t="e">
        <f t="shared" ca="1" si="439"/>
        <v>#NAME?</v>
      </c>
      <c r="E2695" s="100" t="e">
        <f t="shared" ca="1" si="439"/>
        <v>#NAME?</v>
      </c>
      <c r="F2695" s="100" t="e">
        <f t="shared" ca="1" si="440"/>
        <v>#NAME?</v>
      </c>
      <c r="G2695" s="100" t="e">
        <f t="shared" ca="1" si="441"/>
        <v>#NAME?</v>
      </c>
      <c r="H2695" s="100" t="e">
        <f t="shared" ca="1" si="442"/>
        <v>#NAME?</v>
      </c>
      <c r="I2695" s="100" t="e">
        <f t="shared" ca="1" si="443"/>
        <v>#NAME?</v>
      </c>
      <c r="J2695" s="100" t="e">
        <f ca="1">IFERROR(__xludf.DUMMYFUNCTION("""COMPUTED_VALUE"""),"-1.570")</f>
        <v>#NAME?</v>
      </c>
      <c r="K2695" s="100" t="e">
        <f t="shared" ca="1" si="444"/>
        <v>#NAME?</v>
      </c>
      <c r="L2695" s="100"/>
      <c r="M2695" s="100"/>
      <c r="N2695" s="100"/>
      <c r="O2695" s="100"/>
      <c r="P2695" s="100"/>
      <c r="Q2695" s="100"/>
      <c r="R2695" s="100"/>
      <c r="S2695" s="100"/>
      <c r="T2695" s="100"/>
      <c r="U2695" s="100"/>
      <c r="V2695" s="100"/>
      <c r="W2695" s="100"/>
      <c r="X2695" s="100"/>
      <c r="Y2695" s="100"/>
      <c r="Z2695" s="100"/>
    </row>
    <row r="2696" spans="1:26">
      <c r="A2696" s="100" t="e">
        <f ca="1">IFERROR(__xludf.DUMMYFUNCTION("""COMPUTED_VALUE"""),58786031)</f>
        <v>#NAME?</v>
      </c>
      <c r="B2696" s="100" t="e">
        <f ca="1">IFERROR(__xludf.DUMMYFUNCTION("""COMPUTED_VALUE"""),"RENDERFDUSD")</f>
        <v>#NAME?</v>
      </c>
      <c r="C2696" s="100" t="e">
        <f ca="1">IFERROR(__xludf.DUMMYFUNCTION("""COMPUTED_VALUE"""),"4.39200000")</f>
        <v>#NAME?</v>
      </c>
      <c r="D2696" s="100" t="e">
        <f t="shared" ca="1" si="439"/>
        <v>#NAME?</v>
      </c>
      <c r="E2696" s="100" t="e">
        <f t="shared" ca="1" si="439"/>
        <v>#NAME?</v>
      </c>
      <c r="F2696" s="100" t="e">
        <f t="shared" ca="1" si="440"/>
        <v>#NAME?</v>
      </c>
      <c r="G2696" s="100" t="e">
        <f t="shared" ca="1" si="441"/>
        <v>#NAME?</v>
      </c>
      <c r="H2696" s="100" t="e">
        <f t="shared" ca="1" si="442"/>
        <v>#NAME?</v>
      </c>
      <c r="I2696" s="100" t="e">
        <f t="shared" ca="1" si="443"/>
        <v>#NAME?</v>
      </c>
      <c r="J2696" s="100" t="e">
        <f ca="1">IFERROR(__xludf.DUMMYFUNCTION("""COMPUTED_VALUE"""),"-1.591")</f>
        <v>#NAME?</v>
      </c>
      <c r="K2696" s="100" t="e">
        <f t="shared" ca="1" si="444"/>
        <v>#NAME?</v>
      </c>
      <c r="L2696" s="100"/>
      <c r="M2696" s="100"/>
      <c r="N2696" s="100"/>
      <c r="O2696" s="100"/>
      <c r="P2696" s="100"/>
      <c r="Q2696" s="100"/>
      <c r="R2696" s="100"/>
      <c r="S2696" s="100"/>
      <c r="T2696" s="100"/>
      <c r="U2696" s="100"/>
      <c r="V2696" s="100"/>
      <c r="W2696" s="100"/>
      <c r="X2696" s="100"/>
      <c r="Y2696" s="100"/>
      <c r="Z2696" s="100"/>
    </row>
    <row r="2697" spans="1:26">
      <c r="A2697" s="100" t="e">
        <f ca="1">IFERROR(__xludf.DUMMYFUNCTION("""COMPUTED_VALUE"""),58786032)</f>
        <v>#NAME?</v>
      </c>
      <c r="B2697" s="100" t="e">
        <f ca="1">IFERROR(__xludf.DUMMYFUNCTION("""COMPUTED_VALUE"""),"RENDERUSDC")</f>
        <v>#NAME?</v>
      </c>
      <c r="C2697" s="100" t="e">
        <f ca="1">IFERROR(__xludf.DUMMYFUNCTION("""COMPUTED_VALUE"""),"4.38900000")</f>
        <v>#NAME?</v>
      </c>
      <c r="D2697" s="100" t="e">
        <f t="shared" ca="1" si="439"/>
        <v>#NAME?</v>
      </c>
      <c r="E2697" s="100" t="e">
        <f t="shared" ca="1" si="439"/>
        <v>#NAME?</v>
      </c>
      <c r="F2697" s="100" t="e">
        <f t="shared" ca="1" si="440"/>
        <v>#NAME?</v>
      </c>
      <c r="G2697" s="100" t="e">
        <f t="shared" ca="1" si="441"/>
        <v>#NAME?</v>
      </c>
      <c r="H2697" s="100" t="e">
        <f t="shared" ca="1" si="442"/>
        <v>#NAME?</v>
      </c>
      <c r="I2697" s="100" t="e">
        <f t="shared" ca="1" si="443"/>
        <v>#NAME?</v>
      </c>
      <c r="J2697" s="100" t="e">
        <f ca="1">IFERROR(__xludf.DUMMYFUNCTION("""COMPUTED_VALUE"""),"-1.548")</f>
        <v>#NAME?</v>
      </c>
      <c r="K2697" s="100" t="e">
        <f t="shared" ca="1" si="444"/>
        <v>#NAME?</v>
      </c>
      <c r="L2697" s="100"/>
      <c r="M2697" s="100"/>
      <c r="N2697" s="100"/>
      <c r="O2697" s="100"/>
      <c r="P2697" s="100"/>
      <c r="Q2697" s="100"/>
      <c r="R2697" s="100"/>
      <c r="S2697" s="100"/>
      <c r="T2697" s="100"/>
      <c r="U2697" s="100"/>
      <c r="V2697" s="100"/>
      <c r="W2697" s="100"/>
      <c r="X2697" s="100"/>
      <c r="Y2697" s="100"/>
      <c r="Z2697" s="100"/>
    </row>
    <row r="2698" spans="1:26">
      <c r="A2698" s="100" t="e">
        <f ca="1">IFERROR(__xludf.DUMMYFUNCTION("""COMPUTED_VALUE"""),58786033)</f>
        <v>#NAME?</v>
      </c>
      <c r="B2698" s="100" t="e">
        <f ca="1">IFERROR(__xludf.DUMMYFUNCTION("""COMPUTED_VALUE"""),"RENDERTRY")</f>
        <v>#NAME?</v>
      </c>
      <c r="C2698" s="100" t="e">
        <f ca="1">IFERROR(__xludf.DUMMYFUNCTION("""COMPUTED_VALUE"""),"167.50000000")</f>
        <v>#NAME?</v>
      </c>
      <c r="D2698" s="100" t="e">
        <f t="shared" ca="1" si="439"/>
        <v>#NAME?</v>
      </c>
      <c r="E2698" s="100" t="e">
        <f t="shared" ca="1" si="439"/>
        <v>#NAME?</v>
      </c>
      <c r="F2698" s="100" t="e">
        <f t="shared" ca="1" si="440"/>
        <v>#NAME?</v>
      </c>
      <c r="G2698" s="100" t="e">
        <f t="shared" ca="1" si="441"/>
        <v>#NAME?</v>
      </c>
      <c r="H2698" s="100" t="e">
        <f t="shared" ca="1" si="442"/>
        <v>#NAME?</v>
      </c>
      <c r="I2698" s="100" t="e">
        <f t="shared" ca="1" si="443"/>
        <v>#NAME?</v>
      </c>
      <c r="J2698" s="100" t="e">
        <f ca="1">IFERROR(__xludf.DUMMYFUNCTION("""COMPUTED_VALUE"""),"-1.760")</f>
        <v>#NAME?</v>
      </c>
      <c r="K2698" s="100" t="e">
        <f t="shared" ca="1" si="444"/>
        <v>#NAME?</v>
      </c>
      <c r="L2698" s="100"/>
      <c r="M2698" s="100"/>
      <c r="N2698" s="100"/>
      <c r="O2698" s="100"/>
      <c r="P2698" s="100"/>
      <c r="Q2698" s="100"/>
      <c r="R2698" s="100"/>
      <c r="S2698" s="100"/>
      <c r="T2698" s="100"/>
      <c r="U2698" s="100"/>
      <c r="V2698" s="100"/>
      <c r="W2698" s="100"/>
      <c r="X2698" s="100"/>
      <c r="Y2698" s="100"/>
      <c r="Z2698" s="100"/>
    </row>
    <row r="2699" spans="1:26">
      <c r="A2699" s="100" t="e">
        <f ca="1">IFERROR(__xludf.DUMMYFUNCTION("""COMPUTED_VALUE"""),58786034)</f>
        <v>#NAME?</v>
      </c>
      <c r="B2699" s="100" t="e">
        <f ca="1">IFERROR(__xludf.DUMMYFUNCTION("""COMPUTED_VALUE"""),"RENDEREUR")</f>
        <v>#NAME?</v>
      </c>
      <c r="C2699" s="100" t="e">
        <f ca="1">IFERROR(__xludf.DUMMYFUNCTION("""COMPUTED_VALUE"""),"3.79700000")</f>
        <v>#NAME?</v>
      </c>
      <c r="D2699" s="100" t="e">
        <f t="shared" ca="1" si="439"/>
        <v>#NAME?</v>
      </c>
      <c r="E2699" s="100" t="e">
        <f t="shared" ca="1" si="439"/>
        <v>#NAME?</v>
      </c>
      <c r="F2699" s="100" t="e">
        <f t="shared" ca="1" si="440"/>
        <v>#NAME?</v>
      </c>
      <c r="G2699" s="100" t="e">
        <f t="shared" ca="1" si="441"/>
        <v>#NAME?</v>
      </c>
      <c r="H2699" s="100" t="e">
        <f t="shared" ca="1" si="442"/>
        <v>#NAME?</v>
      </c>
      <c r="I2699" s="100" t="e">
        <f t="shared" ca="1" si="443"/>
        <v>#NAME?</v>
      </c>
      <c r="J2699" s="100" t="e">
        <f ca="1">IFERROR(__xludf.DUMMYFUNCTION("""COMPUTED_VALUE"""),"-1.886")</f>
        <v>#NAME?</v>
      </c>
      <c r="K2699" s="100" t="e">
        <f t="shared" ca="1" si="444"/>
        <v>#NAME?</v>
      </c>
      <c r="L2699" s="100"/>
      <c r="M2699" s="100"/>
      <c r="N2699" s="100"/>
      <c r="O2699" s="100"/>
      <c r="P2699" s="100"/>
      <c r="Q2699" s="100"/>
      <c r="R2699" s="100"/>
      <c r="S2699" s="100"/>
      <c r="T2699" s="100"/>
      <c r="U2699" s="100"/>
      <c r="V2699" s="100"/>
      <c r="W2699" s="100"/>
      <c r="X2699" s="100"/>
      <c r="Y2699" s="100"/>
      <c r="Z2699" s="100"/>
    </row>
    <row r="2700" spans="1:26">
      <c r="A2700" s="100" t="e">
        <f ca="1">IFERROR(__xludf.DUMMYFUNCTION("""COMPUTED_VALUE"""),58786035)</f>
        <v>#NAME?</v>
      </c>
      <c r="B2700" s="100" t="e">
        <f ca="1">IFERROR(__xludf.DUMMYFUNCTION("""COMPUTED_VALUE"""),"RENDERBRL")</f>
        <v>#NAME?</v>
      </c>
      <c r="C2700" s="100" t="e">
        <f ca="1">IFERROR(__xludf.DUMMYFUNCTION("""COMPUTED_VALUE"""),"25.41000000")</f>
        <v>#NAME?</v>
      </c>
      <c r="D2700" s="100" t="e">
        <f t="shared" ca="1" si="439"/>
        <v>#NAME?</v>
      </c>
      <c r="E2700" s="100" t="e">
        <f t="shared" ca="1" si="439"/>
        <v>#NAME?</v>
      </c>
      <c r="F2700" s="100" t="e">
        <f t="shared" ca="1" si="440"/>
        <v>#NAME?</v>
      </c>
      <c r="G2700" s="100" t="e">
        <f t="shared" ca="1" si="441"/>
        <v>#NAME?</v>
      </c>
      <c r="H2700" s="100" t="e">
        <f t="shared" ca="1" si="442"/>
        <v>#NAME?</v>
      </c>
      <c r="I2700" s="100" t="e">
        <f t="shared" ca="1" si="443"/>
        <v>#NAME?</v>
      </c>
      <c r="J2700" s="100" t="e">
        <f ca="1">IFERROR(__xludf.DUMMYFUNCTION("""COMPUTED_VALUE"""),"-2.644")</f>
        <v>#NAME?</v>
      </c>
      <c r="K2700" s="100" t="e">
        <f t="shared" ca="1" si="444"/>
        <v>#NAME?</v>
      </c>
      <c r="L2700" s="100"/>
      <c r="M2700" s="100"/>
      <c r="N2700" s="100"/>
      <c r="O2700" s="100"/>
      <c r="P2700" s="100"/>
      <c r="Q2700" s="100"/>
      <c r="R2700" s="100"/>
      <c r="S2700" s="100"/>
      <c r="T2700" s="100"/>
      <c r="U2700" s="100"/>
      <c r="V2700" s="100"/>
      <c r="W2700" s="100"/>
      <c r="X2700" s="100"/>
      <c r="Y2700" s="100"/>
      <c r="Z2700" s="100"/>
    </row>
    <row r="2701" spans="1:26">
      <c r="A2701" s="100" t="e">
        <f ca="1">IFERROR(__xludf.DUMMYFUNCTION("""COMPUTED_VALUE"""),58786036)</f>
        <v>#NAME?</v>
      </c>
      <c r="B2701" s="100" t="e">
        <f ca="1">IFERROR(__xludf.DUMMYFUNCTION("""COMPUTED_VALUE"""),"TONBTC")</f>
        <v>#NAME?</v>
      </c>
      <c r="C2701" s="100" t="e">
        <f ca="1">IFERROR(__xludf.DUMMYFUNCTION("""COMPUTED_VALUE"""),"0.00003290")</f>
        <v>#NAME?</v>
      </c>
      <c r="D2701" s="100" t="e">
        <f t="shared" ca="1" si="439"/>
        <v>#NAME?</v>
      </c>
      <c r="E2701" s="100" t="e">
        <f t="shared" ca="1" si="439"/>
        <v>#NAME?</v>
      </c>
      <c r="F2701" s="100" t="e">
        <f t="shared" ca="1" si="440"/>
        <v>#NAME?</v>
      </c>
      <c r="G2701" s="100" t="e">
        <f t="shared" ca="1" si="441"/>
        <v>#NAME?</v>
      </c>
      <c r="H2701" s="100" t="e">
        <f t="shared" ca="1" si="442"/>
        <v>#NAME?</v>
      </c>
      <c r="I2701" s="100" t="e">
        <f t="shared" ca="1" si="443"/>
        <v>#NAME?</v>
      </c>
      <c r="J2701" s="100" t="e">
        <f ca="1">IFERROR(__xludf.DUMMYFUNCTION("""COMPUTED_VALUE"""),"-4.388")</f>
        <v>#NAME?</v>
      </c>
      <c r="K2701" s="100" t="e">
        <f t="shared" ca="1" si="444"/>
        <v>#NAME?</v>
      </c>
      <c r="L2701" s="100"/>
      <c r="M2701" s="100"/>
      <c r="N2701" s="100"/>
      <c r="O2701" s="100"/>
      <c r="P2701" s="100"/>
      <c r="Q2701" s="100"/>
      <c r="R2701" s="100"/>
      <c r="S2701" s="100"/>
      <c r="T2701" s="100"/>
      <c r="U2701" s="100"/>
      <c r="V2701" s="100"/>
      <c r="W2701" s="100"/>
      <c r="X2701" s="100"/>
      <c r="Y2701" s="100"/>
      <c r="Z2701" s="100"/>
    </row>
    <row r="2702" spans="1:26">
      <c r="A2702" s="100" t="e">
        <f ca="1">IFERROR(__xludf.DUMMYFUNCTION("""COMPUTED_VALUE"""),58786037)</f>
        <v>#NAME?</v>
      </c>
      <c r="B2702" s="100" t="e">
        <f ca="1">IFERROR(__xludf.DUMMYFUNCTION("""COMPUTED_VALUE"""),"TONUSDT")</f>
        <v>#NAME?</v>
      </c>
      <c r="C2702" s="100" t="e">
        <f ca="1">IFERROR(__xludf.DUMMYFUNCTION("""COMPUTED_VALUE"""),"2.91300000")</f>
        <v>#NAME?</v>
      </c>
      <c r="D2702" s="100" t="e">
        <f t="shared" ref="D2702:E2721" ca="1" si="445">IFERROR(__xludf.DUMMYFUNCTION("""COMPUTED_VALUE"""),"-")</f>
        <v>#NAME?</v>
      </c>
      <c r="E2702" s="100" t="e">
        <f t="shared" ca="1" si="445"/>
        <v>#NAME?</v>
      </c>
      <c r="F2702" s="100" t="e">
        <f t="shared" ca="1" si="440"/>
        <v>#NAME?</v>
      </c>
      <c r="G2702" s="100" t="e">
        <f t="shared" ca="1" si="441"/>
        <v>#NAME?</v>
      </c>
      <c r="H2702" s="100" t="e">
        <f t="shared" ca="1" si="442"/>
        <v>#NAME?</v>
      </c>
      <c r="I2702" s="100" t="e">
        <f t="shared" ca="1" si="443"/>
        <v>#NAME?</v>
      </c>
      <c r="J2702" s="100" t="e">
        <f ca="1">IFERROR(__xludf.DUMMYFUNCTION("""COMPUTED_VALUE"""),"-3.223")</f>
        <v>#NAME?</v>
      </c>
      <c r="K2702" s="100" t="e">
        <f t="shared" ca="1" si="444"/>
        <v>#NAME?</v>
      </c>
      <c r="L2702" s="100"/>
      <c r="M2702" s="100"/>
      <c r="N2702" s="100"/>
      <c r="O2702" s="100"/>
      <c r="P2702" s="100"/>
      <c r="Q2702" s="100"/>
      <c r="R2702" s="100"/>
      <c r="S2702" s="100"/>
      <c r="T2702" s="100"/>
      <c r="U2702" s="100"/>
      <c r="V2702" s="100"/>
      <c r="W2702" s="100"/>
      <c r="X2702" s="100"/>
      <c r="Y2702" s="100"/>
      <c r="Z2702" s="100"/>
    </row>
    <row r="2703" spans="1:26">
      <c r="A2703" s="100" t="e">
        <f ca="1">IFERROR(__xludf.DUMMYFUNCTION("""COMPUTED_VALUE"""),58786038)</f>
        <v>#NAME?</v>
      </c>
      <c r="B2703" s="100" t="e">
        <f ca="1">IFERROR(__xludf.DUMMYFUNCTION("""COMPUTED_VALUE"""),"TONFDUSD")</f>
        <v>#NAME?</v>
      </c>
      <c r="C2703" s="100" t="e">
        <f ca="1">IFERROR(__xludf.DUMMYFUNCTION("""COMPUTED_VALUE"""),"2.92100000")</f>
        <v>#NAME?</v>
      </c>
      <c r="D2703" s="100" t="e">
        <f t="shared" ca="1" si="445"/>
        <v>#NAME?</v>
      </c>
      <c r="E2703" s="100" t="e">
        <f t="shared" ca="1" si="445"/>
        <v>#NAME?</v>
      </c>
      <c r="F2703" s="100" t="e">
        <f t="shared" ca="1" si="440"/>
        <v>#NAME?</v>
      </c>
      <c r="G2703" s="100" t="e">
        <f t="shared" ca="1" si="441"/>
        <v>#NAME?</v>
      </c>
      <c r="H2703" s="100" t="e">
        <f t="shared" ca="1" si="442"/>
        <v>#NAME?</v>
      </c>
      <c r="I2703" s="100" t="e">
        <f t="shared" ca="1" si="443"/>
        <v>#NAME?</v>
      </c>
      <c r="J2703" s="100" t="e">
        <f ca="1">IFERROR(__xludf.DUMMYFUNCTION("""COMPUTED_VALUE"""),"-2.957")</f>
        <v>#NAME?</v>
      </c>
      <c r="K2703" s="100" t="e">
        <f t="shared" ca="1" si="444"/>
        <v>#NAME?</v>
      </c>
      <c r="L2703" s="100"/>
      <c r="M2703" s="100"/>
      <c r="N2703" s="100"/>
      <c r="O2703" s="100"/>
      <c r="P2703" s="100"/>
      <c r="Q2703" s="100"/>
      <c r="R2703" s="100"/>
      <c r="S2703" s="100"/>
      <c r="T2703" s="100"/>
      <c r="U2703" s="100"/>
      <c r="V2703" s="100"/>
      <c r="W2703" s="100"/>
      <c r="X2703" s="100"/>
      <c r="Y2703" s="100"/>
      <c r="Z2703" s="100"/>
    </row>
    <row r="2704" spans="1:26">
      <c r="A2704" s="100" t="e">
        <f ca="1">IFERROR(__xludf.DUMMYFUNCTION("""COMPUTED_VALUE"""),58786039)</f>
        <v>#NAME?</v>
      </c>
      <c r="B2704" s="100" t="e">
        <f ca="1">IFERROR(__xludf.DUMMYFUNCTION("""COMPUTED_VALUE"""),"TONTRY")</f>
        <v>#NAME?</v>
      </c>
      <c r="C2704" s="100" t="e">
        <f ca="1">IFERROR(__xludf.DUMMYFUNCTION("""COMPUTED_VALUE"""),"111.40000000")</f>
        <v>#NAME?</v>
      </c>
      <c r="D2704" s="100" t="e">
        <f t="shared" ca="1" si="445"/>
        <v>#NAME?</v>
      </c>
      <c r="E2704" s="100" t="e">
        <f t="shared" ca="1" si="445"/>
        <v>#NAME?</v>
      </c>
      <c r="F2704" s="100" t="e">
        <f t="shared" ca="1" si="440"/>
        <v>#NAME?</v>
      </c>
      <c r="G2704" s="100" t="e">
        <f t="shared" ca="1" si="441"/>
        <v>#NAME?</v>
      </c>
      <c r="H2704" s="100" t="e">
        <f t="shared" ca="1" si="442"/>
        <v>#NAME?</v>
      </c>
      <c r="I2704" s="100" t="e">
        <f t="shared" ca="1" si="443"/>
        <v>#NAME?</v>
      </c>
      <c r="J2704" s="100" t="e">
        <f ca="1">IFERROR(__xludf.DUMMYFUNCTION("""COMPUTED_VALUE"""),"-3.215")</f>
        <v>#NAME?</v>
      </c>
      <c r="K2704" s="100" t="e">
        <f t="shared" ca="1" si="444"/>
        <v>#NAME?</v>
      </c>
      <c r="L2704" s="100"/>
      <c r="M2704" s="100"/>
      <c r="N2704" s="100"/>
      <c r="O2704" s="100"/>
      <c r="P2704" s="100"/>
      <c r="Q2704" s="100"/>
      <c r="R2704" s="100"/>
      <c r="S2704" s="100"/>
      <c r="T2704" s="100"/>
      <c r="U2704" s="100"/>
      <c r="V2704" s="100"/>
      <c r="W2704" s="100"/>
      <c r="X2704" s="100"/>
      <c r="Y2704" s="100"/>
      <c r="Z2704" s="100"/>
    </row>
    <row r="2705" spans="1:26">
      <c r="A2705" s="100" t="e">
        <f ca="1">IFERROR(__xludf.DUMMYFUNCTION("""COMPUTED_VALUE"""),58786040)</f>
        <v>#NAME?</v>
      </c>
      <c r="B2705" s="100" t="e">
        <f ca="1">IFERROR(__xludf.DUMMYFUNCTION("""COMPUTED_VALUE"""),"BONKBRL")</f>
        <v>#NAME?</v>
      </c>
      <c r="C2705" s="100" t="e">
        <f ca="1">IFERROR(__xludf.DUMMYFUNCTION("""COMPUTED_VALUE"""),"0.00007549")</f>
        <v>#NAME?</v>
      </c>
      <c r="D2705" s="100" t="e">
        <f t="shared" ca="1" si="445"/>
        <v>#NAME?</v>
      </c>
      <c r="E2705" s="100" t="e">
        <f t="shared" ca="1" si="445"/>
        <v>#NAME?</v>
      </c>
      <c r="F2705" s="100" t="e">
        <f t="shared" ca="1" si="440"/>
        <v>#NAME?</v>
      </c>
      <c r="G2705" s="100" t="e">
        <f t="shared" ca="1" si="441"/>
        <v>#NAME?</v>
      </c>
      <c r="H2705" s="100" t="e">
        <f t="shared" ca="1" si="442"/>
        <v>#NAME?</v>
      </c>
      <c r="I2705" s="100" t="e">
        <f t="shared" ca="1" si="443"/>
        <v>#NAME?</v>
      </c>
      <c r="J2705" s="100" t="e">
        <f ca="1">IFERROR(__xludf.DUMMYFUNCTION("""COMPUTED_VALUE"""),"2.276")</f>
        <v>#NAME?</v>
      </c>
      <c r="K2705" s="100" t="e">
        <f t="shared" ca="1" si="444"/>
        <v>#NAME?</v>
      </c>
      <c r="L2705" s="100"/>
      <c r="M2705" s="100"/>
      <c r="N2705" s="100"/>
      <c r="O2705" s="100"/>
      <c r="P2705" s="100"/>
      <c r="Q2705" s="100"/>
      <c r="R2705" s="100"/>
      <c r="S2705" s="100"/>
      <c r="T2705" s="100"/>
      <c r="U2705" s="100"/>
      <c r="V2705" s="100"/>
      <c r="W2705" s="100"/>
      <c r="X2705" s="100"/>
      <c r="Y2705" s="100"/>
      <c r="Z2705" s="100"/>
    </row>
    <row r="2706" spans="1:26">
      <c r="A2706" s="100" t="e">
        <f ca="1">IFERROR(__xludf.DUMMYFUNCTION("""COMPUTED_VALUE"""),58786041)</f>
        <v>#NAME?</v>
      </c>
      <c r="B2706" s="100" t="e">
        <f ca="1">IFERROR(__xludf.DUMMYFUNCTION("""COMPUTED_VALUE"""),"NOTEUR")</f>
        <v>#NAME?</v>
      </c>
      <c r="C2706" s="100" t="e">
        <f ca="1">IFERROR(__xludf.DUMMYFUNCTION("""COMPUTED_VALUE"""),"0.00283000")</f>
        <v>#NAME?</v>
      </c>
      <c r="D2706" s="100" t="e">
        <f t="shared" ca="1" si="445"/>
        <v>#NAME?</v>
      </c>
      <c r="E2706" s="100" t="e">
        <f t="shared" ca="1" si="445"/>
        <v>#NAME?</v>
      </c>
      <c r="F2706" s="100" t="e">
        <f t="shared" ca="1" si="440"/>
        <v>#NAME?</v>
      </c>
      <c r="G2706" s="100" t="e">
        <f t="shared" ca="1" si="441"/>
        <v>#NAME?</v>
      </c>
      <c r="H2706" s="100" t="e">
        <f t="shared" ca="1" si="442"/>
        <v>#NAME?</v>
      </c>
      <c r="I2706" s="100" t="e">
        <f t="shared" ca="1" si="443"/>
        <v>#NAME?</v>
      </c>
      <c r="J2706" s="100" t="e">
        <f ca="1">IFERROR(__xludf.DUMMYFUNCTION("""COMPUTED_VALUE"""),"0")</f>
        <v>#NAME?</v>
      </c>
      <c r="K2706" s="100" t="e">
        <f t="shared" ca="1" si="444"/>
        <v>#NAME?</v>
      </c>
      <c r="L2706" s="100"/>
      <c r="M2706" s="100"/>
      <c r="N2706" s="100"/>
      <c r="O2706" s="100"/>
      <c r="P2706" s="100"/>
      <c r="Q2706" s="100"/>
      <c r="R2706" s="100"/>
      <c r="S2706" s="100"/>
      <c r="T2706" s="100"/>
      <c r="U2706" s="100"/>
      <c r="V2706" s="100"/>
      <c r="W2706" s="100"/>
      <c r="X2706" s="100"/>
      <c r="Y2706" s="100"/>
      <c r="Z2706" s="100"/>
    </row>
    <row r="2707" spans="1:26">
      <c r="A2707" s="100" t="e">
        <f ca="1">IFERROR(__xludf.DUMMYFUNCTION("""COMPUTED_VALUE"""),58786042)</f>
        <v>#NAME?</v>
      </c>
      <c r="B2707" s="100" t="e">
        <f ca="1">IFERROR(__xludf.DUMMYFUNCTION("""COMPUTED_VALUE"""),"DOGEJPY")</f>
        <v>#NAME?</v>
      </c>
      <c r="C2707" s="100" t="e">
        <f ca="1">IFERROR(__xludf.DUMMYFUNCTION("""COMPUTED_VALUE"""),"23.03000000")</f>
        <v>#NAME?</v>
      </c>
      <c r="D2707" s="100" t="e">
        <f t="shared" ca="1" si="445"/>
        <v>#NAME?</v>
      </c>
      <c r="E2707" s="100" t="e">
        <f t="shared" ca="1" si="445"/>
        <v>#NAME?</v>
      </c>
      <c r="F2707" s="100" t="e">
        <f t="shared" ca="1" si="440"/>
        <v>#NAME?</v>
      </c>
      <c r="G2707" s="100" t="e">
        <f t="shared" ca="1" si="441"/>
        <v>#NAME?</v>
      </c>
      <c r="H2707" s="100" t="e">
        <f t="shared" ca="1" si="442"/>
        <v>#NAME?</v>
      </c>
      <c r="I2707" s="100" t="e">
        <f t="shared" ca="1" si="443"/>
        <v>#NAME?</v>
      </c>
      <c r="J2707" s="100" t="e">
        <f ca="1">IFERROR(__xludf.DUMMYFUNCTION("""COMPUTED_VALUE"""),"0.788")</f>
        <v>#NAME?</v>
      </c>
      <c r="K2707" s="100" t="e">
        <f t="shared" ca="1" si="444"/>
        <v>#NAME?</v>
      </c>
      <c r="L2707" s="100"/>
      <c r="M2707" s="100"/>
      <c r="N2707" s="100"/>
      <c r="O2707" s="100"/>
      <c r="P2707" s="100"/>
      <c r="Q2707" s="100"/>
      <c r="R2707" s="100"/>
      <c r="S2707" s="100"/>
      <c r="T2707" s="100"/>
      <c r="U2707" s="100"/>
      <c r="V2707" s="100"/>
      <c r="W2707" s="100"/>
      <c r="X2707" s="100"/>
      <c r="Y2707" s="100"/>
      <c r="Z2707" s="100"/>
    </row>
    <row r="2708" spans="1:26">
      <c r="A2708" s="100" t="e">
        <f ca="1">IFERROR(__xludf.DUMMYFUNCTION("""COMPUTED_VALUE"""),58786043)</f>
        <v>#NAME?</v>
      </c>
      <c r="B2708" s="100" t="e">
        <f ca="1">IFERROR(__xludf.DUMMYFUNCTION("""COMPUTED_VALUE"""),"MATICJPY")</f>
        <v>#NAME?</v>
      </c>
      <c r="C2708" s="100" t="e">
        <f ca="1">IFERROR(__xludf.DUMMYFUNCTION("""COMPUTED_VALUE"""),"54.46000000")</f>
        <v>#NAME?</v>
      </c>
      <c r="D2708" s="100" t="e">
        <f t="shared" ca="1" si="445"/>
        <v>#NAME?</v>
      </c>
      <c r="E2708" s="100" t="e">
        <f t="shared" ca="1" si="445"/>
        <v>#NAME?</v>
      </c>
      <c r="F2708" s="100" t="e">
        <f t="shared" ca="1" si="440"/>
        <v>#NAME?</v>
      </c>
      <c r="G2708" s="100" t="e">
        <f t="shared" ca="1" si="441"/>
        <v>#NAME?</v>
      </c>
      <c r="H2708" s="100" t="e">
        <f t="shared" ca="1" si="442"/>
        <v>#NAME?</v>
      </c>
      <c r="I2708" s="100" t="e">
        <f t="shared" ca="1" si="443"/>
        <v>#NAME?</v>
      </c>
      <c r="J2708" s="100" t="e">
        <f ca="1">IFERROR(__xludf.DUMMYFUNCTION("""COMPUTED_VALUE"""),"0")</f>
        <v>#NAME?</v>
      </c>
      <c r="K2708" s="100" t="e">
        <f t="shared" ca="1" si="444"/>
        <v>#NAME?</v>
      </c>
      <c r="L2708" s="100"/>
      <c r="M2708" s="100"/>
      <c r="N2708" s="100"/>
      <c r="O2708" s="100"/>
      <c r="P2708" s="100"/>
      <c r="Q2708" s="100"/>
      <c r="R2708" s="100"/>
      <c r="S2708" s="100"/>
      <c r="T2708" s="100"/>
      <c r="U2708" s="100"/>
      <c r="V2708" s="100"/>
      <c r="W2708" s="100"/>
      <c r="X2708" s="100"/>
      <c r="Y2708" s="100"/>
      <c r="Z2708" s="100"/>
    </row>
    <row r="2709" spans="1:26">
      <c r="A2709" s="100" t="e">
        <f ca="1">IFERROR(__xludf.DUMMYFUNCTION("""COMPUTED_VALUE"""),58786044)</f>
        <v>#NAME?</v>
      </c>
      <c r="B2709" s="100" t="e">
        <f ca="1">IFERROR(__xludf.DUMMYFUNCTION("""COMPUTED_VALUE"""),"NEARJPY")</f>
        <v>#NAME?</v>
      </c>
      <c r="C2709" s="100" t="e">
        <f ca="1">IFERROR(__xludf.DUMMYFUNCTION("""COMPUTED_VALUE"""),"308.30000000")</f>
        <v>#NAME?</v>
      </c>
      <c r="D2709" s="100" t="e">
        <f t="shared" ca="1" si="445"/>
        <v>#NAME?</v>
      </c>
      <c r="E2709" s="100" t="e">
        <f t="shared" ca="1" si="445"/>
        <v>#NAME?</v>
      </c>
      <c r="F2709" s="100" t="e">
        <f t="shared" ca="1" si="440"/>
        <v>#NAME?</v>
      </c>
      <c r="G2709" s="100" t="e">
        <f t="shared" ca="1" si="441"/>
        <v>#NAME?</v>
      </c>
      <c r="H2709" s="100" t="e">
        <f t="shared" ca="1" si="442"/>
        <v>#NAME?</v>
      </c>
      <c r="I2709" s="100" t="e">
        <f t="shared" ca="1" si="443"/>
        <v>#NAME?</v>
      </c>
      <c r="J2709" s="100" t="e">
        <f ca="1">IFERROR(__xludf.DUMMYFUNCTION("""COMPUTED_VALUE"""),"-5.226")</f>
        <v>#NAME?</v>
      </c>
      <c r="K2709" s="100" t="e">
        <f t="shared" ca="1" si="444"/>
        <v>#NAME?</v>
      </c>
      <c r="L2709" s="100"/>
      <c r="M2709" s="100"/>
      <c r="N2709" s="100"/>
      <c r="O2709" s="100"/>
      <c r="P2709" s="100"/>
      <c r="Q2709" s="100"/>
      <c r="R2709" s="100"/>
      <c r="S2709" s="100"/>
      <c r="T2709" s="100"/>
      <c r="U2709" s="100"/>
      <c r="V2709" s="100"/>
      <c r="W2709" s="100"/>
      <c r="X2709" s="100"/>
      <c r="Y2709" s="100"/>
      <c r="Z2709" s="100"/>
    </row>
    <row r="2710" spans="1:26">
      <c r="A2710" s="100" t="e">
        <f ca="1">IFERROR(__xludf.DUMMYFUNCTION("""COMPUTED_VALUE"""),58786045)</f>
        <v>#NAME?</v>
      </c>
      <c r="B2710" s="100" t="e">
        <f ca="1">IFERROR(__xludf.DUMMYFUNCTION("""COMPUTED_VALUE"""),"TONUSDC")</f>
        <v>#NAME?</v>
      </c>
      <c r="C2710" s="100" t="e">
        <f ca="1">IFERROR(__xludf.DUMMYFUNCTION("""COMPUTED_VALUE"""),"2.91300000")</f>
        <v>#NAME?</v>
      </c>
      <c r="D2710" s="100" t="e">
        <f t="shared" ca="1" si="445"/>
        <v>#NAME?</v>
      </c>
      <c r="E2710" s="100" t="e">
        <f t="shared" ca="1" si="445"/>
        <v>#NAME?</v>
      </c>
      <c r="F2710" s="100" t="e">
        <f t="shared" ca="1" si="440"/>
        <v>#NAME?</v>
      </c>
      <c r="G2710" s="100" t="e">
        <f t="shared" ca="1" si="441"/>
        <v>#NAME?</v>
      </c>
      <c r="H2710" s="100" t="e">
        <f t="shared" ca="1" si="442"/>
        <v>#NAME?</v>
      </c>
      <c r="I2710" s="100" t="e">
        <f t="shared" ca="1" si="443"/>
        <v>#NAME?</v>
      </c>
      <c r="J2710" s="100" t="e">
        <f ca="1">IFERROR(__xludf.DUMMYFUNCTION("""COMPUTED_VALUE"""),"-3.223")</f>
        <v>#NAME?</v>
      </c>
      <c r="K2710" s="100" t="e">
        <f t="shared" ca="1" si="444"/>
        <v>#NAME?</v>
      </c>
      <c r="L2710" s="100"/>
      <c r="M2710" s="100"/>
      <c r="N2710" s="100"/>
      <c r="O2710" s="100"/>
      <c r="P2710" s="100"/>
      <c r="Q2710" s="100"/>
      <c r="R2710" s="100"/>
      <c r="S2710" s="100"/>
      <c r="T2710" s="100"/>
      <c r="U2710" s="100"/>
      <c r="V2710" s="100"/>
      <c r="W2710" s="100"/>
      <c r="X2710" s="100"/>
      <c r="Y2710" s="100"/>
      <c r="Z2710" s="100"/>
    </row>
    <row r="2711" spans="1:26">
      <c r="A2711" s="100" t="e">
        <f ca="1">IFERROR(__xludf.DUMMYFUNCTION("""COMPUTED_VALUE"""),58786046)</f>
        <v>#NAME?</v>
      </c>
      <c r="B2711" s="100" t="e">
        <f ca="1">IFERROR(__xludf.DUMMYFUNCTION("""COMPUTED_VALUE"""),"AAVEFDUSD")</f>
        <v>#NAME?</v>
      </c>
      <c r="C2711" s="100" t="e">
        <f ca="1">IFERROR(__xludf.DUMMYFUNCTION("""COMPUTED_VALUE"""),"146.84000000")</f>
        <v>#NAME?</v>
      </c>
      <c r="D2711" s="100" t="e">
        <f t="shared" ca="1" si="445"/>
        <v>#NAME?</v>
      </c>
      <c r="E2711" s="100" t="e">
        <f t="shared" ca="1" si="445"/>
        <v>#NAME?</v>
      </c>
      <c r="F2711" s="100" t="e">
        <f t="shared" ca="1" si="440"/>
        <v>#NAME?</v>
      </c>
      <c r="G2711" s="100" t="e">
        <f t="shared" ca="1" si="441"/>
        <v>#NAME?</v>
      </c>
      <c r="H2711" s="100" t="e">
        <f t="shared" ca="1" si="442"/>
        <v>#NAME?</v>
      </c>
      <c r="I2711" s="100" t="e">
        <f t="shared" ca="1" si="443"/>
        <v>#NAME?</v>
      </c>
      <c r="J2711" s="100" t="e">
        <f ca="1">IFERROR(__xludf.DUMMYFUNCTION("""COMPUTED_VALUE"""),"1.102")</f>
        <v>#NAME?</v>
      </c>
      <c r="K2711" s="100" t="e">
        <f t="shared" ca="1" si="444"/>
        <v>#NAME?</v>
      </c>
      <c r="L2711" s="100"/>
      <c r="M2711" s="100"/>
      <c r="N2711" s="100"/>
      <c r="O2711" s="100"/>
      <c r="P2711" s="100"/>
      <c r="Q2711" s="100"/>
      <c r="R2711" s="100"/>
      <c r="S2711" s="100"/>
      <c r="T2711" s="100"/>
      <c r="U2711" s="100"/>
      <c r="V2711" s="100"/>
      <c r="W2711" s="100"/>
      <c r="X2711" s="100"/>
      <c r="Y2711" s="100"/>
      <c r="Z2711" s="100"/>
    </row>
    <row r="2712" spans="1:26">
      <c r="A2712" s="100" t="e">
        <f ca="1">IFERROR(__xludf.DUMMYFUNCTION("""COMPUTED_VALUE"""),58786047)</f>
        <v>#NAME?</v>
      </c>
      <c r="B2712" s="100" t="e">
        <f ca="1">IFERROR(__xludf.DUMMYFUNCTION("""COMPUTED_VALUE"""),"DOGSUSDT")</f>
        <v>#NAME?</v>
      </c>
      <c r="C2712" s="100" t="e">
        <f ca="1">IFERROR(__xludf.DUMMYFUNCTION("""COMPUTED_VALUE"""),"0.00011940")</f>
        <v>#NAME?</v>
      </c>
      <c r="D2712" s="100" t="e">
        <f t="shared" ca="1" si="445"/>
        <v>#NAME?</v>
      </c>
      <c r="E2712" s="100" t="e">
        <f t="shared" ca="1" si="445"/>
        <v>#NAME?</v>
      </c>
      <c r="F2712" s="100" t="e">
        <f t="shared" ca="1" si="440"/>
        <v>#NAME?</v>
      </c>
      <c r="G2712" s="100" t="e">
        <f t="shared" ca="1" si="441"/>
        <v>#NAME?</v>
      </c>
      <c r="H2712" s="100" t="e">
        <f t="shared" ca="1" si="442"/>
        <v>#NAME?</v>
      </c>
      <c r="I2712" s="100" t="e">
        <f t="shared" ca="1" si="443"/>
        <v>#NAME?</v>
      </c>
      <c r="J2712" s="100" t="e">
        <f ca="1">IFERROR(__xludf.DUMMYFUNCTION("""COMPUTED_VALUE"""),"-2.371")</f>
        <v>#NAME?</v>
      </c>
      <c r="K2712" s="100" t="e">
        <f t="shared" ca="1" si="444"/>
        <v>#NAME?</v>
      </c>
      <c r="L2712" s="100"/>
      <c r="M2712" s="100"/>
      <c r="N2712" s="100"/>
      <c r="O2712" s="100"/>
      <c r="P2712" s="100"/>
      <c r="Q2712" s="100"/>
      <c r="R2712" s="100"/>
      <c r="S2712" s="100"/>
      <c r="T2712" s="100"/>
      <c r="U2712" s="100"/>
      <c r="V2712" s="100"/>
      <c r="W2712" s="100"/>
      <c r="X2712" s="100"/>
      <c r="Y2712" s="100"/>
      <c r="Z2712" s="100"/>
    </row>
    <row r="2713" spans="1:26">
      <c r="A2713" s="100" t="e">
        <f ca="1">IFERROR(__xludf.DUMMYFUNCTION("""COMPUTED_VALUE"""),58786048)</f>
        <v>#NAME?</v>
      </c>
      <c r="B2713" s="100" t="e">
        <f ca="1">IFERROR(__xludf.DUMMYFUNCTION("""COMPUTED_VALUE"""),"DOGSBNB")</f>
        <v>#NAME?</v>
      </c>
      <c r="C2713" s="100" t="e">
        <f ca="1">IFERROR(__xludf.DUMMYFUNCTION("""COMPUTED_VALUE"""),"0.00000064")</f>
        <v>#NAME?</v>
      </c>
      <c r="D2713" s="100" t="e">
        <f t="shared" ca="1" si="445"/>
        <v>#NAME?</v>
      </c>
      <c r="E2713" s="100" t="e">
        <f t="shared" ca="1" si="445"/>
        <v>#NAME?</v>
      </c>
      <c r="F2713" s="100" t="e">
        <f t="shared" ca="1" si="440"/>
        <v>#NAME?</v>
      </c>
      <c r="G2713" s="100" t="e">
        <f t="shared" ca="1" si="441"/>
        <v>#NAME?</v>
      </c>
      <c r="H2713" s="100" t="e">
        <f t="shared" ca="1" si="442"/>
        <v>#NAME?</v>
      </c>
      <c r="I2713" s="100" t="e">
        <f t="shared" ca="1" si="443"/>
        <v>#NAME?</v>
      </c>
      <c r="J2713" s="100" t="e">
        <f ca="1">IFERROR(__xludf.DUMMYFUNCTION("""COMPUTED_VALUE"""),"0")</f>
        <v>#NAME?</v>
      </c>
      <c r="K2713" s="100" t="e">
        <f t="shared" ca="1" si="444"/>
        <v>#NAME?</v>
      </c>
      <c r="L2713" s="100"/>
      <c r="M2713" s="100"/>
      <c r="N2713" s="100"/>
      <c r="O2713" s="100"/>
      <c r="P2713" s="100"/>
      <c r="Q2713" s="100"/>
      <c r="R2713" s="100"/>
      <c r="S2713" s="100"/>
      <c r="T2713" s="100"/>
      <c r="U2713" s="100"/>
      <c r="V2713" s="100"/>
      <c r="W2713" s="100"/>
      <c r="X2713" s="100"/>
      <c r="Y2713" s="100"/>
      <c r="Z2713" s="100"/>
    </row>
    <row r="2714" spans="1:26">
      <c r="A2714" s="100" t="e">
        <f ca="1">IFERROR(__xludf.DUMMYFUNCTION("""COMPUTED_VALUE"""),58786049)</f>
        <v>#NAME?</v>
      </c>
      <c r="B2714" s="100" t="e">
        <f ca="1">IFERROR(__xludf.DUMMYFUNCTION("""COMPUTED_VALUE"""),"DOGSFDUSD")</f>
        <v>#NAME?</v>
      </c>
      <c r="C2714" s="100" t="e">
        <f ca="1">IFERROR(__xludf.DUMMYFUNCTION("""COMPUTED_VALUE"""),"0.00011960")</f>
        <v>#NAME?</v>
      </c>
      <c r="D2714" s="100" t="e">
        <f t="shared" ca="1" si="445"/>
        <v>#NAME?</v>
      </c>
      <c r="E2714" s="100" t="e">
        <f t="shared" ca="1" si="445"/>
        <v>#NAME?</v>
      </c>
      <c r="F2714" s="100" t="e">
        <f t="shared" ca="1" si="440"/>
        <v>#NAME?</v>
      </c>
      <c r="G2714" s="100" t="e">
        <f t="shared" ca="1" si="441"/>
        <v>#NAME?</v>
      </c>
      <c r="H2714" s="100" t="e">
        <f t="shared" ca="1" si="442"/>
        <v>#NAME?</v>
      </c>
      <c r="I2714" s="100" t="e">
        <f t="shared" ca="1" si="443"/>
        <v>#NAME?</v>
      </c>
      <c r="J2714" s="100" t="e">
        <f ca="1">IFERROR(__xludf.DUMMYFUNCTION("""COMPUTED_VALUE"""),"-2.288")</f>
        <v>#NAME?</v>
      </c>
      <c r="K2714" s="100" t="e">
        <f t="shared" ca="1" si="444"/>
        <v>#NAME?</v>
      </c>
      <c r="L2714" s="100"/>
      <c r="M2714" s="100"/>
      <c r="N2714" s="100"/>
      <c r="O2714" s="100"/>
      <c r="P2714" s="100"/>
      <c r="Q2714" s="100"/>
      <c r="R2714" s="100"/>
      <c r="S2714" s="100"/>
      <c r="T2714" s="100"/>
      <c r="U2714" s="100"/>
      <c r="V2714" s="100"/>
      <c r="W2714" s="100"/>
      <c r="X2714" s="100"/>
      <c r="Y2714" s="100"/>
      <c r="Z2714" s="100"/>
    </row>
    <row r="2715" spans="1:26">
      <c r="A2715" s="100" t="e">
        <f ca="1">IFERROR(__xludf.DUMMYFUNCTION("""COMPUTED_VALUE"""),58786050)</f>
        <v>#NAME?</v>
      </c>
      <c r="B2715" s="100" t="e">
        <f ca="1">IFERROR(__xludf.DUMMYFUNCTION("""COMPUTED_VALUE"""),"DOGSTRY")</f>
        <v>#NAME?</v>
      </c>
      <c r="C2715" s="100" t="e">
        <f ca="1">IFERROR(__xludf.DUMMYFUNCTION("""COMPUTED_VALUE"""),"0.00457000")</f>
        <v>#NAME?</v>
      </c>
      <c r="D2715" s="100" t="e">
        <f t="shared" ca="1" si="445"/>
        <v>#NAME?</v>
      </c>
      <c r="E2715" s="100" t="e">
        <f t="shared" ca="1" si="445"/>
        <v>#NAME?</v>
      </c>
      <c r="F2715" s="100" t="e">
        <f t="shared" ca="1" si="440"/>
        <v>#NAME?</v>
      </c>
      <c r="G2715" s="100" t="e">
        <f t="shared" ca="1" si="441"/>
        <v>#NAME?</v>
      </c>
      <c r="H2715" s="100" t="e">
        <f t="shared" ca="1" si="442"/>
        <v>#NAME?</v>
      </c>
      <c r="I2715" s="100" t="e">
        <f t="shared" ca="1" si="443"/>
        <v>#NAME?</v>
      </c>
      <c r="J2715" s="100" t="e">
        <f ca="1">IFERROR(__xludf.DUMMYFUNCTION("""COMPUTED_VALUE"""),"-2.141")</f>
        <v>#NAME?</v>
      </c>
      <c r="K2715" s="100" t="e">
        <f t="shared" ca="1" si="444"/>
        <v>#NAME?</v>
      </c>
      <c r="L2715" s="100"/>
      <c r="M2715" s="100"/>
      <c r="N2715" s="100"/>
      <c r="O2715" s="100"/>
      <c r="P2715" s="100"/>
      <c r="Q2715" s="100"/>
      <c r="R2715" s="100"/>
      <c r="S2715" s="100"/>
      <c r="T2715" s="100"/>
      <c r="U2715" s="100"/>
      <c r="V2715" s="100"/>
      <c r="W2715" s="100"/>
      <c r="X2715" s="100"/>
      <c r="Y2715" s="100"/>
      <c r="Z2715" s="100"/>
    </row>
    <row r="2716" spans="1:26">
      <c r="A2716" s="100" t="e">
        <f ca="1">IFERROR(__xludf.DUMMYFUNCTION("""COMPUTED_VALUE"""),58786051)</f>
        <v>#NAME?</v>
      </c>
      <c r="B2716" s="100" t="e">
        <f ca="1">IFERROR(__xludf.DUMMYFUNCTION("""COMPUTED_VALUE"""),"EUREURI")</f>
        <v>#NAME?</v>
      </c>
      <c r="C2716" s="100" t="e">
        <f ca="1">IFERROR(__xludf.DUMMYFUNCTION("""COMPUTED_VALUE"""),"0.99990000")</f>
        <v>#NAME?</v>
      </c>
      <c r="D2716" s="100" t="e">
        <f t="shared" ca="1" si="445"/>
        <v>#NAME?</v>
      </c>
      <c r="E2716" s="100" t="e">
        <f t="shared" ca="1" si="445"/>
        <v>#NAME?</v>
      </c>
      <c r="F2716" s="100" t="e">
        <f t="shared" ca="1" si="440"/>
        <v>#NAME?</v>
      </c>
      <c r="G2716" s="100" t="e">
        <f t="shared" ca="1" si="441"/>
        <v>#NAME?</v>
      </c>
      <c r="H2716" s="100" t="e">
        <f t="shared" ca="1" si="442"/>
        <v>#NAME?</v>
      </c>
      <c r="I2716" s="100" t="e">
        <f t="shared" ca="1" si="443"/>
        <v>#NAME?</v>
      </c>
      <c r="J2716" s="100" t="e">
        <f ca="1">IFERROR(__xludf.DUMMYFUNCTION("""COMPUTED_VALUE"""),"0.000")</f>
        <v>#NAME?</v>
      </c>
      <c r="K2716" s="100" t="e">
        <f t="shared" ca="1" si="444"/>
        <v>#NAME?</v>
      </c>
      <c r="L2716" s="100"/>
      <c r="M2716" s="100"/>
      <c r="N2716" s="100"/>
      <c r="O2716" s="100"/>
      <c r="P2716" s="100"/>
      <c r="Q2716" s="100"/>
      <c r="R2716" s="100"/>
      <c r="S2716" s="100"/>
      <c r="T2716" s="100"/>
      <c r="U2716" s="100"/>
      <c r="V2716" s="100"/>
      <c r="W2716" s="100"/>
      <c r="X2716" s="100"/>
      <c r="Y2716" s="100"/>
      <c r="Z2716" s="100"/>
    </row>
    <row r="2717" spans="1:26">
      <c r="A2717" s="100" t="e">
        <f ca="1">IFERROR(__xludf.DUMMYFUNCTION("""COMPUTED_VALUE"""),58786052)</f>
        <v>#NAME?</v>
      </c>
      <c r="B2717" s="100" t="e">
        <f ca="1">IFERROR(__xludf.DUMMYFUNCTION("""COMPUTED_VALUE"""),"EURIUSDT")</f>
        <v>#NAME?</v>
      </c>
      <c r="C2717" s="100" t="e">
        <f ca="1">IFERROR(__xludf.DUMMYFUNCTION("""COMPUTED_VALUE"""),"1.14890000")</f>
        <v>#NAME?</v>
      </c>
      <c r="D2717" s="100" t="e">
        <f t="shared" ca="1" si="445"/>
        <v>#NAME?</v>
      </c>
      <c r="E2717" s="100" t="e">
        <f t="shared" ca="1" si="445"/>
        <v>#NAME?</v>
      </c>
      <c r="F2717" s="100" t="e">
        <f t="shared" ca="1" si="440"/>
        <v>#NAME?</v>
      </c>
      <c r="G2717" s="100" t="e">
        <f t="shared" ca="1" si="441"/>
        <v>#NAME?</v>
      </c>
      <c r="H2717" s="100" t="e">
        <f t="shared" ca="1" si="442"/>
        <v>#NAME?</v>
      </c>
      <c r="I2717" s="100" t="e">
        <f t="shared" ca="1" si="443"/>
        <v>#NAME?</v>
      </c>
      <c r="J2717" s="100" t="e">
        <f ca="1">IFERROR(__xludf.DUMMYFUNCTION("""COMPUTED_VALUE"""),"-0.494")</f>
        <v>#NAME?</v>
      </c>
      <c r="K2717" s="100" t="e">
        <f t="shared" ca="1" si="444"/>
        <v>#NAME?</v>
      </c>
      <c r="L2717" s="100"/>
      <c r="M2717" s="100"/>
      <c r="N2717" s="100"/>
      <c r="O2717" s="100"/>
      <c r="P2717" s="100"/>
      <c r="Q2717" s="100"/>
      <c r="R2717" s="100"/>
      <c r="S2717" s="100"/>
      <c r="T2717" s="100"/>
      <c r="U2717" s="100"/>
      <c r="V2717" s="100"/>
      <c r="W2717" s="100"/>
      <c r="X2717" s="100"/>
      <c r="Y2717" s="100"/>
      <c r="Z2717" s="100"/>
    </row>
    <row r="2718" spans="1:26">
      <c r="A2718" s="100" t="e">
        <f ca="1">IFERROR(__xludf.DUMMYFUNCTION("""COMPUTED_VALUE"""),58786053)</f>
        <v>#NAME?</v>
      </c>
      <c r="B2718" s="100" t="e">
        <f ca="1">IFERROR(__xludf.DUMMYFUNCTION("""COMPUTED_VALUE"""),"DOGSBRL")</f>
        <v>#NAME?</v>
      </c>
      <c r="C2718" s="100" t="e">
        <f ca="1">IFERROR(__xludf.DUMMYFUNCTION("""COMPUTED_VALUE"""),"0.00100600")</f>
        <v>#NAME?</v>
      </c>
      <c r="D2718" s="100" t="e">
        <f t="shared" ca="1" si="445"/>
        <v>#NAME?</v>
      </c>
      <c r="E2718" s="100" t="e">
        <f t="shared" ca="1" si="445"/>
        <v>#NAME?</v>
      </c>
      <c r="F2718" s="100" t="e">
        <f t="shared" ca="1" si="440"/>
        <v>#NAME?</v>
      </c>
      <c r="G2718" s="100" t="e">
        <f t="shared" ca="1" si="441"/>
        <v>#NAME?</v>
      </c>
      <c r="H2718" s="100" t="e">
        <f t="shared" ca="1" si="442"/>
        <v>#NAME?</v>
      </c>
      <c r="I2718" s="100" t="e">
        <f t="shared" ca="1" si="443"/>
        <v>#NAME?</v>
      </c>
      <c r="J2718" s="100" t="e">
        <f ca="1">IFERROR(__xludf.DUMMYFUNCTION("""COMPUTED_VALUE"""),"0")</f>
        <v>#NAME?</v>
      </c>
      <c r="K2718" s="100" t="e">
        <f t="shared" ca="1" si="444"/>
        <v>#NAME?</v>
      </c>
      <c r="L2718" s="100"/>
      <c r="M2718" s="100"/>
      <c r="N2718" s="100"/>
      <c r="O2718" s="100"/>
      <c r="P2718" s="100"/>
      <c r="Q2718" s="100"/>
      <c r="R2718" s="100"/>
      <c r="S2718" s="100"/>
      <c r="T2718" s="100"/>
      <c r="U2718" s="100"/>
      <c r="V2718" s="100"/>
      <c r="W2718" s="100"/>
      <c r="X2718" s="100"/>
      <c r="Y2718" s="100"/>
      <c r="Z2718" s="100"/>
    </row>
    <row r="2719" spans="1:26">
      <c r="A2719" s="100" t="e">
        <f ca="1">IFERROR(__xludf.DUMMYFUNCTION("""COMPUTED_VALUE"""),58786054)</f>
        <v>#NAME?</v>
      </c>
      <c r="B2719" s="100" t="e">
        <f ca="1">IFERROR(__xludf.DUMMYFUNCTION("""COMPUTED_VALUE"""),"DOGSUSDC")</f>
        <v>#NAME?</v>
      </c>
      <c r="C2719" s="100" t="e">
        <f ca="1">IFERROR(__xludf.DUMMYFUNCTION("""COMPUTED_VALUE"""),"0.00011930")</f>
        <v>#NAME?</v>
      </c>
      <c r="D2719" s="100" t="e">
        <f t="shared" ca="1" si="445"/>
        <v>#NAME?</v>
      </c>
      <c r="E2719" s="100" t="e">
        <f t="shared" ca="1" si="445"/>
        <v>#NAME?</v>
      </c>
      <c r="F2719" s="100" t="e">
        <f t="shared" ca="1" si="440"/>
        <v>#NAME?</v>
      </c>
      <c r="G2719" s="100" t="e">
        <f t="shared" ca="1" si="441"/>
        <v>#NAME?</v>
      </c>
      <c r="H2719" s="100" t="e">
        <f t="shared" ca="1" si="442"/>
        <v>#NAME?</v>
      </c>
      <c r="I2719" s="100" t="e">
        <f t="shared" ca="1" si="443"/>
        <v>#NAME?</v>
      </c>
      <c r="J2719" s="100" t="e">
        <f ca="1">IFERROR(__xludf.DUMMYFUNCTION("""COMPUTED_VALUE"""),"-2.453")</f>
        <v>#NAME?</v>
      </c>
      <c r="K2719" s="100" t="e">
        <f t="shared" ca="1" si="444"/>
        <v>#NAME?</v>
      </c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</row>
    <row r="2720" spans="1:26">
      <c r="A2720" s="100" t="e">
        <f ca="1">IFERROR(__xludf.DUMMYFUNCTION("""COMPUTED_VALUE"""),58786055)</f>
        <v>#NAME?</v>
      </c>
      <c r="B2720" s="100" t="e">
        <f ca="1">IFERROR(__xludf.DUMMYFUNCTION("""COMPUTED_VALUE"""),"RAREBRL")</f>
        <v>#NAME?</v>
      </c>
      <c r="C2720" s="100" t="e">
        <f ca="1">IFERROR(__xludf.DUMMYFUNCTION("""COMPUTED_VALUE"""),"0.68690000")</f>
        <v>#NAME?</v>
      </c>
      <c r="D2720" s="100" t="e">
        <f t="shared" ca="1" si="445"/>
        <v>#NAME?</v>
      </c>
      <c r="E2720" s="100" t="e">
        <f t="shared" ca="1" si="445"/>
        <v>#NAME?</v>
      </c>
      <c r="F2720" s="100" t="e">
        <f t="shared" ca="1" si="440"/>
        <v>#NAME?</v>
      </c>
      <c r="G2720" s="100" t="e">
        <f t="shared" ca="1" si="441"/>
        <v>#NAME?</v>
      </c>
      <c r="H2720" s="100" t="e">
        <f t="shared" ca="1" si="442"/>
        <v>#NAME?</v>
      </c>
      <c r="I2720" s="100" t="e">
        <f t="shared" ca="1" si="443"/>
        <v>#NAME?</v>
      </c>
      <c r="J2720" s="100" t="e">
        <f ca="1">IFERROR(__xludf.DUMMYFUNCTION("""COMPUTED_VALUE"""),"0")</f>
        <v>#NAME?</v>
      </c>
      <c r="K2720" s="100" t="e">
        <f t="shared" ca="1" si="444"/>
        <v>#NAME?</v>
      </c>
      <c r="L2720" s="100"/>
      <c r="M2720" s="100"/>
      <c r="N2720" s="100"/>
      <c r="O2720" s="100"/>
      <c r="P2720" s="100"/>
      <c r="Q2720" s="100"/>
      <c r="R2720" s="100"/>
      <c r="S2720" s="100"/>
      <c r="T2720" s="100"/>
      <c r="U2720" s="100"/>
      <c r="V2720" s="100"/>
      <c r="W2720" s="100"/>
      <c r="X2720" s="100"/>
      <c r="Y2720" s="100"/>
      <c r="Z2720" s="100"/>
    </row>
    <row r="2721" spans="1:26">
      <c r="A2721" s="100" t="e">
        <f ca="1">IFERROR(__xludf.DUMMYFUNCTION("""COMPUTED_VALUE"""),58786056)</f>
        <v>#NAME?</v>
      </c>
      <c r="B2721" s="100" t="e">
        <f ca="1">IFERROR(__xludf.DUMMYFUNCTION("""COMPUTED_VALUE"""),"RAREUSDC")</f>
        <v>#NAME?</v>
      </c>
      <c r="C2721" s="100" t="e">
        <f ca="1">IFERROR(__xludf.DUMMYFUNCTION("""COMPUTED_VALUE"""),"0.05670000")</f>
        <v>#NAME?</v>
      </c>
      <c r="D2721" s="100" t="e">
        <f t="shared" ca="1" si="445"/>
        <v>#NAME?</v>
      </c>
      <c r="E2721" s="100" t="e">
        <f t="shared" ca="1" si="445"/>
        <v>#NAME?</v>
      </c>
      <c r="F2721" s="100" t="e">
        <f t="shared" ca="1" si="440"/>
        <v>#NAME?</v>
      </c>
      <c r="G2721" s="100" t="e">
        <f t="shared" ca="1" si="441"/>
        <v>#NAME?</v>
      </c>
      <c r="H2721" s="100" t="e">
        <f t="shared" ca="1" si="442"/>
        <v>#NAME?</v>
      </c>
      <c r="I2721" s="100" t="e">
        <f t="shared" ca="1" si="443"/>
        <v>#NAME?</v>
      </c>
      <c r="J2721" s="100" t="e">
        <f ca="1">IFERROR(__xludf.DUMMYFUNCTION("""COMPUTED_VALUE"""),"-2.577")</f>
        <v>#NAME?</v>
      </c>
      <c r="K2721" s="100" t="e">
        <f t="shared" ca="1" si="444"/>
        <v>#NAME?</v>
      </c>
      <c r="L2721" s="100"/>
      <c r="M2721" s="100"/>
      <c r="N2721" s="100"/>
      <c r="O2721" s="100"/>
      <c r="P2721" s="100"/>
      <c r="Q2721" s="100"/>
      <c r="R2721" s="100"/>
      <c r="S2721" s="100"/>
      <c r="T2721" s="100"/>
      <c r="U2721" s="100"/>
      <c r="V2721" s="100"/>
      <c r="W2721" s="100"/>
      <c r="X2721" s="100"/>
      <c r="Y2721" s="100"/>
      <c r="Z2721" s="100"/>
    </row>
    <row r="2722" spans="1:26">
      <c r="A2722" s="100" t="e">
        <f ca="1">IFERROR(__xludf.DUMMYFUNCTION("""COMPUTED_VALUE"""),58786057)</f>
        <v>#NAME?</v>
      </c>
      <c r="B2722" s="100" t="e">
        <f ca="1">IFERROR(__xludf.DUMMYFUNCTION("""COMPUTED_VALUE"""),"SLFBTC")</f>
        <v>#NAME?</v>
      </c>
      <c r="C2722" s="100" t="e">
        <f ca="1">IFERROR(__xludf.DUMMYFUNCTION("""COMPUTED_VALUE"""),"0.00000229")</f>
        <v>#NAME?</v>
      </c>
      <c r="D2722" s="100" t="e">
        <f t="shared" ref="D2722:E2741" ca="1" si="446">IFERROR(__xludf.DUMMYFUNCTION("""COMPUTED_VALUE"""),"-")</f>
        <v>#NAME?</v>
      </c>
      <c r="E2722" s="100" t="e">
        <f t="shared" ca="1" si="446"/>
        <v>#NAME?</v>
      </c>
      <c r="F2722" s="100" t="e">
        <f t="shared" ca="1" si="440"/>
        <v>#NAME?</v>
      </c>
      <c r="G2722" s="100" t="e">
        <f t="shared" ca="1" si="441"/>
        <v>#NAME?</v>
      </c>
      <c r="H2722" s="100" t="e">
        <f t="shared" ca="1" si="442"/>
        <v>#NAME?</v>
      </c>
      <c r="I2722" s="100" t="e">
        <f t="shared" ca="1" si="443"/>
        <v>#NAME?</v>
      </c>
      <c r="J2722" s="100" t="e">
        <f ca="1">IFERROR(__xludf.DUMMYFUNCTION("""COMPUTED_VALUE"""),"-7.661")</f>
        <v>#NAME?</v>
      </c>
      <c r="K2722" s="100" t="e">
        <f t="shared" ca="1" si="444"/>
        <v>#NAME?</v>
      </c>
      <c r="L2722" s="100"/>
      <c r="M2722" s="100"/>
      <c r="N2722" s="100"/>
      <c r="O2722" s="100"/>
      <c r="P2722" s="100"/>
      <c r="Q2722" s="100"/>
      <c r="R2722" s="100"/>
      <c r="S2722" s="100"/>
      <c r="T2722" s="100"/>
      <c r="U2722" s="100"/>
      <c r="V2722" s="100"/>
      <c r="W2722" s="100"/>
      <c r="X2722" s="100"/>
      <c r="Y2722" s="100"/>
      <c r="Z2722" s="100"/>
    </row>
    <row r="2723" spans="1:26">
      <c r="A2723" s="100" t="e">
        <f ca="1">IFERROR(__xludf.DUMMYFUNCTION("""COMPUTED_VALUE"""),58786058)</f>
        <v>#NAME?</v>
      </c>
      <c r="B2723" s="100" t="e">
        <f ca="1">IFERROR(__xludf.DUMMYFUNCTION("""COMPUTED_VALUE"""),"SLFTRY")</f>
        <v>#NAME?</v>
      </c>
      <c r="C2723" s="100" t="e">
        <f ca="1">IFERROR(__xludf.DUMMYFUNCTION("""COMPUTED_VALUE"""),"7.77000000")</f>
        <v>#NAME?</v>
      </c>
      <c r="D2723" s="100" t="e">
        <f t="shared" ca="1" si="446"/>
        <v>#NAME?</v>
      </c>
      <c r="E2723" s="100" t="e">
        <f t="shared" ca="1" si="446"/>
        <v>#NAME?</v>
      </c>
      <c r="F2723" s="100" t="e">
        <f t="shared" ca="1" si="440"/>
        <v>#NAME?</v>
      </c>
      <c r="G2723" s="100" t="e">
        <f t="shared" ca="1" si="441"/>
        <v>#NAME?</v>
      </c>
      <c r="H2723" s="100" t="e">
        <f t="shared" ca="1" si="442"/>
        <v>#NAME?</v>
      </c>
      <c r="I2723" s="100" t="e">
        <f t="shared" ca="1" si="443"/>
        <v>#NAME?</v>
      </c>
      <c r="J2723" s="100" t="e">
        <f ca="1">IFERROR(__xludf.DUMMYFUNCTION("""COMPUTED_VALUE"""),"-6.273")</f>
        <v>#NAME?</v>
      </c>
      <c r="K2723" s="100" t="e">
        <f t="shared" ca="1" si="444"/>
        <v>#NAME?</v>
      </c>
      <c r="L2723" s="100"/>
      <c r="M2723" s="100"/>
      <c r="N2723" s="100"/>
      <c r="O2723" s="100"/>
      <c r="P2723" s="100"/>
      <c r="Q2723" s="100"/>
      <c r="R2723" s="100"/>
      <c r="S2723" s="100"/>
      <c r="T2723" s="100"/>
      <c r="U2723" s="100"/>
      <c r="V2723" s="100"/>
      <c r="W2723" s="100"/>
      <c r="X2723" s="100"/>
      <c r="Y2723" s="100"/>
      <c r="Z2723" s="100"/>
    </row>
    <row r="2724" spans="1:26">
      <c r="A2724" s="100" t="e">
        <f ca="1">IFERROR(__xludf.DUMMYFUNCTION("""COMPUTED_VALUE"""),58786059)</f>
        <v>#NAME?</v>
      </c>
      <c r="B2724" s="100" t="e">
        <f ca="1">IFERROR(__xludf.DUMMYFUNCTION("""COMPUTED_VALUE"""),"SLFUSDC")</f>
        <v>#NAME?</v>
      </c>
      <c r="C2724" s="100" t="e">
        <f ca="1">IFERROR(__xludf.DUMMYFUNCTION("""COMPUTED_VALUE"""),"0.20350000")</f>
        <v>#NAME?</v>
      </c>
      <c r="D2724" s="100" t="e">
        <f t="shared" ca="1" si="446"/>
        <v>#NAME?</v>
      </c>
      <c r="E2724" s="100" t="e">
        <f t="shared" ca="1" si="446"/>
        <v>#NAME?</v>
      </c>
      <c r="F2724" s="100" t="e">
        <f t="shared" ca="1" si="440"/>
        <v>#NAME?</v>
      </c>
      <c r="G2724" s="100" t="e">
        <f t="shared" ca="1" si="441"/>
        <v>#NAME?</v>
      </c>
      <c r="H2724" s="100" t="e">
        <f t="shared" ca="1" si="442"/>
        <v>#NAME?</v>
      </c>
      <c r="I2724" s="100" t="e">
        <f t="shared" ca="1" si="443"/>
        <v>#NAME?</v>
      </c>
      <c r="J2724" s="100" t="e">
        <f ca="1">IFERROR(__xludf.DUMMYFUNCTION("""COMPUTED_VALUE"""),"-5.874")</f>
        <v>#NAME?</v>
      </c>
      <c r="K2724" s="100" t="e">
        <f t="shared" ca="1" si="444"/>
        <v>#NAME?</v>
      </c>
      <c r="L2724" s="100"/>
      <c r="M2724" s="100"/>
      <c r="N2724" s="100"/>
      <c r="O2724" s="100"/>
      <c r="P2724" s="100"/>
      <c r="Q2724" s="100"/>
      <c r="R2724" s="100"/>
      <c r="S2724" s="100"/>
      <c r="T2724" s="100"/>
      <c r="U2724" s="100"/>
      <c r="V2724" s="100"/>
      <c r="W2724" s="100"/>
      <c r="X2724" s="100"/>
      <c r="Y2724" s="100"/>
      <c r="Z2724" s="100"/>
    </row>
    <row r="2725" spans="1:26">
      <c r="A2725" s="100" t="e">
        <f ca="1">IFERROR(__xludf.DUMMYFUNCTION("""COMPUTED_VALUE"""),58786060)</f>
        <v>#NAME?</v>
      </c>
      <c r="B2725" s="100" t="e">
        <f ca="1">IFERROR(__xludf.DUMMYFUNCTION("""COMPUTED_VALUE"""),"SLFUSDT")</f>
        <v>#NAME?</v>
      </c>
      <c r="C2725" s="100" t="e">
        <f ca="1">IFERROR(__xludf.DUMMYFUNCTION("""COMPUTED_VALUE"""),"0.20300000")</f>
        <v>#NAME?</v>
      </c>
      <c r="D2725" s="100" t="e">
        <f t="shared" ca="1" si="446"/>
        <v>#NAME?</v>
      </c>
      <c r="E2725" s="100" t="e">
        <f t="shared" ca="1" si="446"/>
        <v>#NAME?</v>
      </c>
      <c r="F2725" s="100" t="e">
        <f t="shared" ca="1" si="440"/>
        <v>#NAME?</v>
      </c>
      <c r="G2725" s="100" t="e">
        <f t="shared" ca="1" si="441"/>
        <v>#NAME?</v>
      </c>
      <c r="H2725" s="100" t="e">
        <f t="shared" ca="1" si="442"/>
        <v>#NAME?</v>
      </c>
      <c r="I2725" s="100" t="e">
        <f t="shared" ca="1" si="443"/>
        <v>#NAME?</v>
      </c>
      <c r="J2725" s="100" t="e">
        <f ca="1">IFERROR(__xludf.DUMMYFUNCTION("""COMPUTED_VALUE"""),"-6.581")</f>
        <v>#NAME?</v>
      </c>
      <c r="K2725" s="100" t="e">
        <f t="shared" ca="1" si="444"/>
        <v>#NAME?</v>
      </c>
      <c r="L2725" s="100"/>
      <c r="M2725" s="100"/>
      <c r="N2725" s="100"/>
      <c r="O2725" s="100"/>
      <c r="P2725" s="100"/>
      <c r="Q2725" s="100"/>
      <c r="R2725" s="100"/>
      <c r="S2725" s="100"/>
      <c r="T2725" s="100"/>
      <c r="U2725" s="100"/>
      <c r="V2725" s="100"/>
      <c r="W2725" s="100"/>
      <c r="X2725" s="100"/>
      <c r="Y2725" s="100"/>
      <c r="Z2725" s="100"/>
    </row>
    <row r="2726" spans="1:26">
      <c r="A2726" s="100" t="e">
        <f ca="1">IFERROR(__xludf.DUMMYFUNCTION("""COMPUTED_VALUE"""),58786061)</f>
        <v>#NAME?</v>
      </c>
      <c r="B2726" s="100" t="e">
        <f ca="1">IFERROR(__xludf.DUMMYFUNCTION("""COMPUTED_VALUE"""),"AAVEUSDC")</f>
        <v>#NAME?</v>
      </c>
      <c r="C2726" s="100" t="e">
        <f ca="1">IFERROR(__xludf.DUMMYFUNCTION("""COMPUTED_VALUE"""),"146.54000000")</f>
        <v>#NAME?</v>
      </c>
      <c r="D2726" s="100" t="e">
        <f t="shared" ca="1" si="446"/>
        <v>#NAME?</v>
      </c>
      <c r="E2726" s="100" t="e">
        <f t="shared" ca="1" si="446"/>
        <v>#NAME?</v>
      </c>
      <c r="F2726" s="100" t="e">
        <f t="shared" ca="1" si="440"/>
        <v>#NAME?</v>
      </c>
      <c r="G2726" s="100" t="e">
        <f t="shared" ca="1" si="441"/>
        <v>#NAME?</v>
      </c>
      <c r="H2726" s="100" t="e">
        <f t="shared" ca="1" si="442"/>
        <v>#NAME?</v>
      </c>
      <c r="I2726" s="100" t="e">
        <f t="shared" ca="1" si="443"/>
        <v>#NAME?</v>
      </c>
      <c r="J2726" s="100" t="e">
        <f ca="1">IFERROR(__xludf.DUMMYFUNCTION("""COMPUTED_VALUE"""),"1.027")</f>
        <v>#NAME?</v>
      </c>
      <c r="K2726" s="100" t="e">
        <f t="shared" ca="1" si="444"/>
        <v>#NAME?</v>
      </c>
      <c r="L2726" s="100"/>
      <c r="M2726" s="100"/>
      <c r="N2726" s="100"/>
      <c r="O2726" s="100"/>
      <c r="P2726" s="100"/>
      <c r="Q2726" s="100"/>
      <c r="R2726" s="100"/>
      <c r="S2726" s="100"/>
      <c r="T2726" s="100"/>
      <c r="U2726" s="100"/>
      <c r="V2726" s="100"/>
      <c r="W2726" s="100"/>
      <c r="X2726" s="100"/>
      <c r="Y2726" s="100"/>
      <c r="Z2726" s="100"/>
    </row>
    <row r="2727" spans="1:26">
      <c r="A2727" s="100" t="e">
        <f ca="1">IFERROR(__xludf.DUMMYFUNCTION("""COMPUTED_VALUE"""),58786062)</f>
        <v>#NAME?</v>
      </c>
      <c r="B2727" s="100" t="e">
        <f ca="1">IFERROR(__xludf.DUMMYFUNCTION("""COMPUTED_VALUE"""),"SUNTRY")</f>
        <v>#NAME?</v>
      </c>
      <c r="C2727" s="100" t="e">
        <f ca="1">IFERROR(__xludf.DUMMYFUNCTION("""COMPUTED_VALUE"""),"0.66110000")</f>
        <v>#NAME?</v>
      </c>
      <c r="D2727" s="100" t="e">
        <f t="shared" ca="1" si="446"/>
        <v>#NAME?</v>
      </c>
      <c r="E2727" s="100" t="e">
        <f t="shared" ca="1" si="446"/>
        <v>#NAME?</v>
      </c>
      <c r="F2727" s="100" t="e">
        <f t="shared" ca="1" si="440"/>
        <v>#NAME?</v>
      </c>
      <c r="G2727" s="100" t="e">
        <f t="shared" ca="1" si="441"/>
        <v>#NAME?</v>
      </c>
      <c r="H2727" s="100" t="e">
        <f t="shared" ca="1" si="442"/>
        <v>#NAME?</v>
      </c>
      <c r="I2727" s="100" t="e">
        <f t="shared" ca="1" si="443"/>
        <v>#NAME?</v>
      </c>
      <c r="J2727" s="100" t="e">
        <f ca="1">IFERROR(__xludf.DUMMYFUNCTION("""COMPUTED_VALUE"""),"2.607")</f>
        <v>#NAME?</v>
      </c>
      <c r="K2727" s="100" t="e">
        <f t="shared" ca="1" si="444"/>
        <v>#NAME?</v>
      </c>
      <c r="L2727" s="100"/>
      <c r="M2727" s="100"/>
      <c r="N2727" s="100"/>
      <c r="O2727" s="100"/>
      <c r="P2727" s="100"/>
      <c r="Q2727" s="100"/>
      <c r="R2727" s="100"/>
      <c r="S2727" s="100"/>
      <c r="T2727" s="100"/>
      <c r="U2727" s="100"/>
      <c r="V2727" s="100"/>
      <c r="W2727" s="100"/>
      <c r="X2727" s="100"/>
      <c r="Y2727" s="100"/>
      <c r="Z2727" s="100"/>
    </row>
    <row r="2728" spans="1:26">
      <c r="A2728" s="100" t="e">
        <f ca="1">IFERROR(__xludf.DUMMYFUNCTION("""COMPUTED_VALUE"""),58786063)</f>
        <v>#NAME?</v>
      </c>
      <c r="B2728" s="100" t="e">
        <f ca="1">IFERROR(__xludf.DUMMYFUNCTION("""COMPUTED_VALUE"""),"STMXTRY")</f>
        <v>#NAME?</v>
      </c>
      <c r="C2728" s="100" t="e">
        <f ca="1">IFERROR(__xludf.DUMMYFUNCTION("""COMPUTED_VALUE"""),"0.16520000")</f>
        <v>#NAME?</v>
      </c>
      <c r="D2728" s="100" t="e">
        <f t="shared" ca="1" si="446"/>
        <v>#NAME?</v>
      </c>
      <c r="E2728" s="100" t="e">
        <f t="shared" ca="1" si="446"/>
        <v>#NAME?</v>
      </c>
      <c r="F2728" s="100" t="e">
        <f t="shared" ca="1" si="440"/>
        <v>#NAME?</v>
      </c>
      <c r="G2728" s="100" t="e">
        <f t="shared" ca="1" si="441"/>
        <v>#NAME?</v>
      </c>
      <c r="H2728" s="100" t="e">
        <f t="shared" ca="1" si="442"/>
        <v>#NAME?</v>
      </c>
      <c r="I2728" s="100" t="e">
        <f t="shared" ca="1" si="443"/>
        <v>#NAME?</v>
      </c>
      <c r="J2728" s="100" t="e">
        <f ca="1">IFERROR(__xludf.DUMMYFUNCTION("""COMPUTED_VALUE"""),"0")</f>
        <v>#NAME?</v>
      </c>
      <c r="K2728" s="100" t="e">
        <f t="shared" ca="1" si="444"/>
        <v>#NAME?</v>
      </c>
      <c r="L2728" s="100"/>
      <c r="M2728" s="100"/>
      <c r="N2728" s="100"/>
      <c r="O2728" s="100"/>
      <c r="P2728" s="100"/>
      <c r="Q2728" s="100"/>
      <c r="R2728" s="100"/>
      <c r="S2728" s="100"/>
      <c r="T2728" s="100"/>
      <c r="U2728" s="100"/>
      <c r="V2728" s="100"/>
      <c r="W2728" s="100"/>
      <c r="X2728" s="100"/>
      <c r="Y2728" s="100"/>
      <c r="Z2728" s="100"/>
    </row>
    <row r="2729" spans="1:26">
      <c r="A2729" s="100" t="e">
        <f ca="1">IFERROR(__xludf.DUMMYFUNCTION("""COMPUTED_VALUE"""),58786064)</f>
        <v>#NAME?</v>
      </c>
      <c r="B2729" s="100" t="e">
        <f ca="1">IFERROR(__xludf.DUMMYFUNCTION("""COMPUTED_VALUE"""),"POLBNB")</f>
        <v>#NAME?</v>
      </c>
      <c r="C2729" s="100" t="e">
        <f ca="1">IFERROR(__xludf.DUMMYFUNCTION("""COMPUTED_VALUE"""),"0.00035890")</f>
        <v>#NAME?</v>
      </c>
      <c r="D2729" s="100" t="e">
        <f t="shared" ca="1" si="446"/>
        <v>#NAME?</v>
      </c>
      <c r="E2729" s="100" t="e">
        <f t="shared" ca="1" si="446"/>
        <v>#NAME?</v>
      </c>
      <c r="F2729" s="100" t="e">
        <f t="shared" ca="1" si="440"/>
        <v>#NAME?</v>
      </c>
      <c r="G2729" s="100" t="e">
        <f t="shared" ca="1" si="441"/>
        <v>#NAME?</v>
      </c>
      <c r="H2729" s="100" t="e">
        <f t="shared" ca="1" si="442"/>
        <v>#NAME?</v>
      </c>
      <c r="I2729" s="100" t="e">
        <f t="shared" ca="1" si="443"/>
        <v>#NAME?</v>
      </c>
      <c r="J2729" s="100" t="e">
        <f ca="1">IFERROR(__xludf.DUMMYFUNCTION("""COMPUTED_VALUE"""),"10.295")</f>
        <v>#NAME?</v>
      </c>
      <c r="K2729" s="100" t="e">
        <f t="shared" ca="1" si="444"/>
        <v>#NAME?</v>
      </c>
      <c r="L2729" s="100"/>
      <c r="M2729" s="100"/>
      <c r="N2729" s="100"/>
      <c r="O2729" s="100"/>
      <c r="P2729" s="100"/>
      <c r="Q2729" s="100"/>
      <c r="R2729" s="100"/>
      <c r="S2729" s="100"/>
      <c r="T2729" s="100"/>
      <c r="U2729" s="100"/>
      <c r="V2729" s="100"/>
      <c r="W2729" s="100"/>
      <c r="X2729" s="100"/>
      <c r="Y2729" s="100"/>
      <c r="Z2729" s="100"/>
    </row>
    <row r="2730" spans="1:26">
      <c r="A2730" s="100" t="e">
        <f ca="1">IFERROR(__xludf.DUMMYFUNCTION("""COMPUTED_VALUE"""),58786065)</f>
        <v>#NAME?</v>
      </c>
      <c r="B2730" s="100" t="e">
        <f ca="1">IFERROR(__xludf.DUMMYFUNCTION("""COMPUTED_VALUE"""),"POLBRL")</f>
        <v>#NAME?</v>
      </c>
      <c r="C2730" s="100" t="e">
        <f ca="1">IFERROR(__xludf.DUMMYFUNCTION("""COMPUTED_VALUE"""),"1.25800000")</f>
        <v>#NAME?</v>
      </c>
      <c r="D2730" s="100" t="e">
        <f t="shared" ca="1" si="446"/>
        <v>#NAME?</v>
      </c>
      <c r="E2730" s="100" t="e">
        <f t="shared" ca="1" si="446"/>
        <v>#NAME?</v>
      </c>
      <c r="F2730" s="100" t="e">
        <f t="shared" ca="1" si="440"/>
        <v>#NAME?</v>
      </c>
      <c r="G2730" s="100" t="e">
        <f t="shared" ca="1" si="441"/>
        <v>#NAME?</v>
      </c>
      <c r="H2730" s="100" t="e">
        <f t="shared" ca="1" si="442"/>
        <v>#NAME?</v>
      </c>
      <c r="I2730" s="100" t="e">
        <f t="shared" ca="1" si="443"/>
        <v>#NAME?</v>
      </c>
      <c r="J2730" s="100" t="e">
        <f ca="1">IFERROR(__xludf.DUMMYFUNCTION("""COMPUTED_VALUE"""),"9.773")</f>
        <v>#NAME?</v>
      </c>
      <c r="K2730" s="100" t="e">
        <f t="shared" ca="1" si="444"/>
        <v>#NAME?</v>
      </c>
      <c r="L2730" s="100"/>
      <c r="M2730" s="100"/>
      <c r="N2730" s="100"/>
      <c r="O2730" s="100"/>
      <c r="P2730" s="100"/>
      <c r="Q2730" s="100"/>
      <c r="R2730" s="100"/>
      <c r="S2730" s="100"/>
      <c r="T2730" s="100"/>
      <c r="U2730" s="100"/>
      <c r="V2730" s="100"/>
      <c r="W2730" s="100"/>
      <c r="X2730" s="100"/>
      <c r="Y2730" s="100"/>
      <c r="Z2730" s="100"/>
    </row>
    <row r="2731" spans="1:26">
      <c r="A2731" s="100" t="e">
        <f ca="1">IFERROR(__xludf.DUMMYFUNCTION("""COMPUTED_VALUE"""),58786066)</f>
        <v>#NAME?</v>
      </c>
      <c r="B2731" s="100" t="e">
        <f ca="1">IFERROR(__xludf.DUMMYFUNCTION("""COMPUTED_VALUE"""),"POLBTC")</f>
        <v>#NAME?</v>
      </c>
      <c r="C2731" s="100" t="e">
        <f ca="1">IFERROR(__xludf.DUMMYFUNCTION("""COMPUTED_VALUE"""),"0.00000244")</f>
        <v>#NAME?</v>
      </c>
      <c r="D2731" s="100" t="e">
        <f t="shared" ca="1" si="446"/>
        <v>#NAME?</v>
      </c>
      <c r="E2731" s="100" t="e">
        <f t="shared" ca="1" si="446"/>
        <v>#NAME?</v>
      </c>
      <c r="F2731" s="100" t="e">
        <f t="shared" ca="1" si="440"/>
        <v>#NAME?</v>
      </c>
      <c r="G2731" s="100" t="e">
        <f t="shared" ca="1" si="441"/>
        <v>#NAME?</v>
      </c>
      <c r="H2731" s="100" t="e">
        <f t="shared" ca="1" si="442"/>
        <v>#NAME?</v>
      </c>
      <c r="I2731" s="100" t="e">
        <f t="shared" ca="1" si="443"/>
        <v>#NAME?</v>
      </c>
      <c r="J2731" s="100" t="e">
        <f ca="1">IFERROR(__xludf.DUMMYFUNCTION("""COMPUTED_VALUE"""),"8.444")</f>
        <v>#NAME?</v>
      </c>
      <c r="K2731" s="100" t="e">
        <f t="shared" ca="1" si="444"/>
        <v>#NAME?</v>
      </c>
      <c r="L2731" s="100"/>
      <c r="M2731" s="100"/>
      <c r="N2731" s="100"/>
      <c r="O2731" s="100"/>
      <c r="P2731" s="100"/>
      <c r="Q2731" s="100"/>
      <c r="R2731" s="100"/>
      <c r="S2731" s="100"/>
      <c r="T2731" s="100"/>
      <c r="U2731" s="100"/>
      <c r="V2731" s="100"/>
      <c r="W2731" s="100"/>
      <c r="X2731" s="100"/>
      <c r="Y2731" s="100"/>
      <c r="Z2731" s="100"/>
    </row>
    <row r="2732" spans="1:26">
      <c r="A2732" s="100" t="e">
        <f ca="1">IFERROR(__xludf.DUMMYFUNCTION("""COMPUTED_VALUE"""),58786067)</f>
        <v>#NAME?</v>
      </c>
      <c r="B2732" s="100" t="e">
        <f ca="1">IFERROR(__xludf.DUMMYFUNCTION("""COMPUTED_VALUE"""),"POLETH")</f>
        <v>#NAME?</v>
      </c>
      <c r="C2732" s="100" t="e">
        <f ca="1">IFERROR(__xludf.DUMMYFUNCTION("""COMPUTED_VALUE"""),"0.00013280")</f>
        <v>#NAME?</v>
      </c>
      <c r="D2732" s="100" t="e">
        <f t="shared" ca="1" si="446"/>
        <v>#NAME?</v>
      </c>
      <c r="E2732" s="100" t="e">
        <f t="shared" ca="1" si="446"/>
        <v>#NAME?</v>
      </c>
      <c r="F2732" s="100" t="e">
        <f t="shared" ca="1" si="440"/>
        <v>#NAME?</v>
      </c>
      <c r="G2732" s="100" t="e">
        <f t="shared" ca="1" si="441"/>
        <v>#NAME?</v>
      </c>
      <c r="H2732" s="100" t="e">
        <f t="shared" ca="1" si="442"/>
        <v>#NAME?</v>
      </c>
      <c r="I2732" s="100" t="e">
        <f t="shared" ca="1" si="443"/>
        <v>#NAME?</v>
      </c>
      <c r="J2732" s="100" t="e">
        <f ca="1">IFERROR(__xludf.DUMMYFUNCTION("""COMPUTED_VALUE"""),"10.667")</f>
        <v>#NAME?</v>
      </c>
      <c r="K2732" s="100" t="e">
        <f t="shared" ca="1" si="444"/>
        <v>#NAME?</v>
      </c>
      <c r="L2732" s="100"/>
      <c r="M2732" s="100"/>
      <c r="N2732" s="100"/>
      <c r="O2732" s="100"/>
      <c r="P2732" s="100"/>
      <c r="Q2732" s="100"/>
      <c r="R2732" s="100"/>
      <c r="S2732" s="100"/>
      <c r="T2732" s="100"/>
      <c r="U2732" s="100"/>
      <c r="V2732" s="100"/>
      <c r="W2732" s="100"/>
      <c r="X2732" s="100"/>
      <c r="Y2732" s="100"/>
      <c r="Z2732" s="100"/>
    </row>
    <row r="2733" spans="1:26">
      <c r="A2733" s="100" t="e">
        <f ca="1">IFERROR(__xludf.DUMMYFUNCTION("""COMPUTED_VALUE"""),58786068)</f>
        <v>#NAME?</v>
      </c>
      <c r="B2733" s="100" t="e">
        <f ca="1">IFERROR(__xludf.DUMMYFUNCTION("""COMPUTED_VALUE"""),"POLEUR")</f>
        <v>#NAME?</v>
      </c>
      <c r="C2733" s="100" t="e">
        <f ca="1">IFERROR(__xludf.DUMMYFUNCTION("""COMPUTED_VALUE"""),"0.18770000")</f>
        <v>#NAME?</v>
      </c>
      <c r="D2733" s="100" t="e">
        <f t="shared" ca="1" si="446"/>
        <v>#NAME?</v>
      </c>
      <c r="E2733" s="100" t="e">
        <f t="shared" ca="1" si="446"/>
        <v>#NAME?</v>
      </c>
      <c r="F2733" s="100" t="e">
        <f t="shared" ca="1" si="440"/>
        <v>#NAME?</v>
      </c>
      <c r="G2733" s="100" t="e">
        <f t="shared" ca="1" si="441"/>
        <v>#NAME?</v>
      </c>
      <c r="H2733" s="100" t="e">
        <f t="shared" ca="1" si="442"/>
        <v>#NAME?</v>
      </c>
      <c r="I2733" s="100" t="e">
        <f t="shared" ca="1" si="443"/>
        <v>#NAME?</v>
      </c>
      <c r="J2733" s="100" t="e">
        <f ca="1">IFERROR(__xludf.DUMMYFUNCTION("""COMPUTED_VALUE"""),"10.217")</f>
        <v>#NAME?</v>
      </c>
      <c r="K2733" s="100" t="e">
        <f t="shared" ca="1" si="444"/>
        <v>#NAME?</v>
      </c>
      <c r="L2733" s="100"/>
      <c r="M2733" s="100"/>
      <c r="N2733" s="100"/>
      <c r="O2733" s="100"/>
      <c r="P2733" s="100"/>
      <c r="Q2733" s="100"/>
      <c r="R2733" s="100"/>
      <c r="S2733" s="100"/>
      <c r="T2733" s="100"/>
      <c r="U2733" s="100"/>
      <c r="V2733" s="100"/>
      <c r="W2733" s="100"/>
      <c r="X2733" s="100"/>
      <c r="Y2733" s="100"/>
      <c r="Z2733" s="100"/>
    </row>
    <row r="2734" spans="1:26">
      <c r="A2734" s="100" t="e">
        <f ca="1">IFERROR(__xludf.DUMMYFUNCTION("""COMPUTED_VALUE"""),58786069)</f>
        <v>#NAME?</v>
      </c>
      <c r="B2734" s="100" t="e">
        <f ca="1">IFERROR(__xludf.DUMMYFUNCTION("""COMPUTED_VALUE"""),"POLFDUSD")</f>
        <v>#NAME?</v>
      </c>
      <c r="C2734" s="100" t="e">
        <f ca="1">IFERROR(__xludf.DUMMYFUNCTION("""COMPUTED_VALUE"""),"0.21690000")</f>
        <v>#NAME?</v>
      </c>
      <c r="D2734" s="100" t="e">
        <f t="shared" ca="1" si="446"/>
        <v>#NAME?</v>
      </c>
      <c r="E2734" s="100" t="e">
        <f t="shared" ca="1" si="446"/>
        <v>#NAME?</v>
      </c>
      <c r="F2734" s="100" t="e">
        <f t="shared" ca="1" si="440"/>
        <v>#NAME?</v>
      </c>
      <c r="G2734" s="100" t="e">
        <f t="shared" ca="1" si="441"/>
        <v>#NAME?</v>
      </c>
      <c r="H2734" s="100" t="e">
        <f t="shared" ca="1" si="442"/>
        <v>#NAME?</v>
      </c>
      <c r="I2734" s="100" t="e">
        <f t="shared" ca="1" si="443"/>
        <v>#NAME?</v>
      </c>
      <c r="J2734" s="100" t="e">
        <f ca="1">IFERROR(__xludf.DUMMYFUNCTION("""COMPUTED_VALUE"""),"10.157")</f>
        <v>#NAME?</v>
      </c>
      <c r="K2734" s="100" t="e">
        <f t="shared" ca="1" si="444"/>
        <v>#NAME?</v>
      </c>
      <c r="L2734" s="100"/>
      <c r="M2734" s="100"/>
      <c r="N2734" s="100"/>
      <c r="O2734" s="100"/>
      <c r="P2734" s="100"/>
      <c r="Q2734" s="100"/>
      <c r="R2734" s="100"/>
      <c r="S2734" s="100"/>
      <c r="T2734" s="100"/>
      <c r="U2734" s="100"/>
      <c r="V2734" s="100"/>
      <c r="W2734" s="100"/>
      <c r="X2734" s="100"/>
      <c r="Y2734" s="100"/>
      <c r="Z2734" s="100"/>
    </row>
    <row r="2735" spans="1:26">
      <c r="A2735" s="100" t="e">
        <f ca="1">IFERROR(__xludf.DUMMYFUNCTION("""COMPUTED_VALUE"""),58786070)</f>
        <v>#NAME?</v>
      </c>
      <c r="B2735" s="100" t="e">
        <f ca="1">IFERROR(__xludf.DUMMYFUNCTION("""COMPUTED_VALUE"""),"POLJPY")</f>
        <v>#NAME?</v>
      </c>
      <c r="C2735" s="100" t="e">
        <f ca="1">IFERROR(__xludf.DUMMYFUNCTION("""COMPUTED_VALUE"""),"30.44000000")</f>
        <v>#NAME?</v>
      </c>
      <c r="D2735" s="100" t="e">
        <f t="shared" ca="1" si="446"/>
        <v>#NAME?</v>
      </c>
      <c r="E2735" s="100" t="e">
        <f t="shared" ca="1" si="446"/>
        <v>#NAME?</v>
      </c>
      <c r="F2735" s="100" t="e">
        <f t="shared" ca="1" si="440"/>
        <v>#NAME?</v>
      </c>
      <c r="G2735" s="100" t="e">
        <f t="shared" ca="1" si="441"/>
        <v>#NAME?</v>
      </c>
      <c r="H2735" s="100" t="e">
        <f t="shared" ca="1" si="442"/>
        <v>#NAME?</v>
      </c>
      <c r="I2735" s="100" t="e">
        <f t="shared" ca="1" si="443"/>
        <v>#NAME?</v>
      </c>
      <c r="J2735" s="100" t="e">
        <f ca="1">IFERROR(__xludf.DUMMYFUNCTION("""COMPUTED_VALUE"""),"9.575")</f>
        <v>#NAME?</v>
      </c>
      <c r="K2735" s="100" t="e">
        <f t="shared" ca="1" si="444"/>
        <v>#NAME?</v>
      </c>
      <c r="L2735" s="100"/>
      <c r="M2735" s="100"/>
      <c r="N2735" s="100"/>
      <c r="O2735" s="100"/>
      <c r="P2735" s="100"/>
      <c r="Q2735" s="100"/>
      <c r="R2735" s="100"/>
      <c r="S2735" s="100"/>
      <c r="T2735" s="100"/>
      <c r="U2735" s="100"/>
      <c r="V2735" s="100"/>
      <c r="W2735" s="100"/>
      <c r="X2735" s="100"/>
      <c r="Y2735" s="100"/>
      <c r="Z2735" s="100"/>
    </row>
    <row r="2736" spans="1:26">
      <c r="A2736" s="100" t="e">
        <f ca="1">IFERROR(__xludf.DUMMYFUNCTION("""COMPUTED_VALUE"""),58786071)</f>
        <v>#NAME?</v>
      </c>
      <c r="B2736" s="100" t="e">
        <f ca="1">IFERROR(__xludf.DUMMYFUNCTION("""COMPUTED_VALUE"""),"POLTRY")</f>
        <v>#NAME?</v>
      </c>
      <c r="C2736" s="100" t="e">
        <f ca="1">IFERROR(__xludf.DUMMYFUNCTION("""COMPUTED_VALUE"""),"8.27000000")</f>
        <v>#NAME?</v>
      </c>
      <c r="D2736" s="100" t="e">
        <f t="shared" ca="1" si="446"/>
        <v>#NAME?</v>
      </c>
      <c r="E2736" s="100" t="e">
        <f t="shared" ca="1" si="446"/>
        <v>#NAME?</v>
      </c>
      <c r="F2736" s="100" t="e">
        <f t="shared" ca="1" si="440"/>
        <v>#NAME?</v>
      </c>
      <c r="G2736" s="100" t="e">
        <f t="shared" ca="1" si="441"/>
        <v>#NAME?</v>
      </c>
      <c r="H2736" s="100" t="e">
        <f t="shared" ca="1" si="442"/>
        <v>#NAME?</v>
      </c>
      <c r="I2736" s="100" t="e">
        <f t="shared" ca="1" si="443"/>
        <v>#NAME?</v>
      </c>
      <c r="J2736" s="100" t="e">
        <f ca="1">IFERROR(__xludf.DUMMYFUNCTION("""COMPUTED_VALUE"""),"9.973")</f>
        <v>#NAME?</v>
      </c>
      <c r="K2736" s="100" t="e">
        <f t="shared" ca="1" si="444"/>
        <v>#NAME?</v>
      </c>
      <c r="L2736" s="100"/>
      <c r="M2736" s="100"/>
      <c r="N2736" s="100"/>
      <c r="O2736" s="100"/>
      <c r="P2736" s="100"/>
      <c r="Q2736" s="100"/>
      <c r="R2736" s="100"/>
      <c r="S2736" s="100"/>
      <c r="T2736" s="100"/>
      <c r="U2736" s="100"/>
      <c r="V2736" s="100"/>
      <c r="W2736" s="100"/>
      <c r="X2736" s="100"/>
      <c r="Y2736" s="100"/>
      <c r="Z2736" s="100"/>
    </row>
    <row r="2737" spans="1:26">
      <c r="A2737" s="100" t="e">
        <f ca="1">IFERROR(__xludf.DUMMYFUNCTION("""COMPUTED_VALUE"""),58786072)</f>
        <v>#NAME?</v>
      </c>
      <c r="B2737" s="100" t="e">
        <f ca="1">IFERROR(__xludf.DUMMYFUNCTION("""COMPUTED_VALUE"""),"POLUSDC")</f>
        <v>#NAME?</v>
      </c>
      <c r="C2737" s="100" t="e">
        <f ca="1">IFERROR(__xludf.DUMMYFUNCTION("""COMPUTED_VALUE"""),"0.21640000")</f>
        <v>#NAME?</v>
      </c>
      <c r="D2737" s="100" t="e">
        <f t="shared" ca="1" si="446"/>
        <v>#NAME?</v>
      </c>
      <c r="E2737" s="100" t="e">
        <f t="shared" ca="1" si="446"/>
        <v>#NAME?</v>
      </c>
      <c r="F2737" s="100" t="e">
        <f t="shared" ca="1" si="440"/>
        <v>#NAME?</v>
      </c>
      <c r="G2737" s="100" t="e">
        <f t="shared" ca="1" si="441"/>
        <v>#NAME?</v>
      </c>
      <c r="H2737" s="100" t="e">
        <f t="shared" ca="1" si="442"/>
        <v>#NAME?</v>
      </c>
      <c r="I2737" s="100" t="e">
        <f t="shared" ca="1" si="443"/>
        <v>#NAME?</v>
      </c>
      <c r="J2737" s="100" t="e">
        <f ca="1">IFERROR(__xludf.DUMMYFUNCTION("""COMPUTED_VALUE"""),"10.015")</f>
        <v>#NAME?</v>
      </c>
      <c r="K2737" s="100" t="e">
        <f t="shared" ca="1" si="444"/>
        <v>#NAME?</v>
      </c>
      <c r="L2737" s="100"/>
      <c r="M2737" s="100"/>
      <c r="N2737" s="100"/>
      <c r="O2737" s="100"/>
      <c r="P2737" s="100"/>
      <c r="Q2737" s="100"/>
      <c r="R2737" s="100"/>
      <c r="S2737" s="100"/>
      <c r="T2737" s="100"/>
      <c r="U2737" s="100"/>
      <c r="V2737" s="100"/>
      <c r="W2737" s="100"/>
      <c r="X2737" s="100"/>
      <c r="Y2737" s="100"/>
      <c r="Z2737" s="100"/>
    </row>
    <row r="2738" spans="1:26">
      <c r="A2738" s="100" t="e">
        <f ca="1">IFERROR(__xludf.DUMMYFUNCTION("""COMPUTED_VALUE"""),58786073)</f>
        <v>#NAME?</v>
      </c>
      <c r="B2738" s="100" t="e">
        <f ca="1">IFERROR(__xludf.DUMMYFUNCTION("""COMPUTED_VALUE"""),"POLUSDT")</f>
        <v>#NAME?</v>
      </c>
      <c r="C2738" s="100" t="e">
        <f ca="1">IFERROR(__xludf.DUMMYFUNCTION("""COMPUTED_VALUE"""),"0.21650000")</f>
        <v>#NAME?</v>
      </c>
      <c r="D2738" s="100" t="e">
        <f t="shared" ca="1" si="446"/>
        <v>#NAME?</v>
      </c>
      <c r="E2738" s="100" t="e">
        <f t="shared" ca="1" si="446"/>
        <v>#NAME?</v>
      </c>
      <c r="F2738" s="100" t="e">
        <f t="shared" ca="1" si="440"/>
        <v>#NAME?</v>
      </c>
      <c r="G2738" s="100" t="e">
        <f t="shared" ca="1" si="441"/>
        <v>#NAME?</v>
      </c>
      <c r="H2738" s="100" t="e">
        <f t="shared" ca="1" si="442"/>
        <v>#NAME?</v>
      </c>
      <c r="I2738" s="100" t="e">
        <f t="shared" ca="1" si="443"/>
        <v>#NAME?</v>
      </c>
      <c r="J2738" s="100" t="e">
        <f ca="1">IFERROR(__xludf.DUMMYFUNCTION("""COMPUTED_VALUE"""),"10.066")</f>
        <v>#NAME?</v>
      </c>
      <c r="K2738" s="100" t="e">
        <f t="shared" ca="1" si="444"/>
        <v>#NAME?</v>
      </c>
      <c r="L2738" s="100"/>
      <c r="M2738" s="100"/>
      <c r="N2738" s="100"/>
      <c r="O2738" s="100"/>
      <c r="P2738" s="100"/>
      <c r="Q2738" s="100"/>
      <c r="R2738" s="100"/>
      <c r="S2738" s="100"/>
      <c r="T2738" s="100"/>
      <c r="U2738" s="100"/>
      <c r="V2738" s="100"/>
      <c r="W2738" s="100"/>
      <c r="X2738" s="100"/>
      <c r="Y2738" s="100"/>
      <c r="Z2738" s="100"/>
    </row>
    <row r="2739" spans="1:26">
      <c r="A2739" s="100" t="e">
        <f ca="1">IFERROR(__xludf.DUMMYFUNCTION("""COMPUTED_VALUE"""),58786074)</f>
        <v>#NAME?</v>
      </c>
      <c r="B2739" s="100" t="e">
        <f ca="1">IFERROR(__xludf.DUMMYFUNCTION("""COMPUTED_VALUE"""),"NEIROUSDT")</f>
        <v>#NAME?</v>
      </c>
      <c r="C2739" s="100" t="e">
        <f ca="1">IFERROR(__xludf.DUMMYFUNCTION("""COMPUTED_VALUE"""),"0.00019250")</f>
        <v>#NAME?</v>
      </c>
      <c r="D2739" s="100" t="e">
        <f t="shared" ca="1" si="446"/>
        <v>#NAME?</v>
      </c>
      <c r="E2739" s="100" t="e">
        <f t="shared" ca="1" si="446"/>
        <v>#NAME?</v>
      </c>
      <c r="F2739" s="100" t="e">
        <f t="shared" ca="1" si="440"/>
        <v>#NAME?</v>
      </c>
      <c r="G2739" s="100" t="e">
        <f t="shared" ca="1" si="441"/>
        <v>#NAME?</v>
      </c>
      <c r="H2739" s="100" t="e">
        <f t="shared" ca="1" si="442"/>
        <v>#NAME?</v>
      </c>
      <c r="I2739" s="100" t="e">
        <f t="shared" ca="1" si="443"/>
        <v>#NAME?</v>
      </c>
      <c r="J2739" s="100" t="e">
        <f ca="1">IFERROR(__xludf.DUMMYFUNCTION("""COMPUTED_VALUE"""),"-0.223")</f>
        <v>#NAME?</v>
      </c>
      <c r="K2739" s="100" t="e">
        <f t="shared" ca="1" si="444"/>
        <v>#NAME?</v>
      </c>
      <c r="L2739" s="100"/>
      <c r="M2739" s="100"/>
      <c r="N2739" s="100"/>
      <c r="O2739" s="100"/>
      <c r="P2739" s="100"/>
      <c r="Q2739" s="100"/>
      <c r="R2739" s="100"/>
      <c r="S2739" s="100"/>
      <c r="T2739" s="100"/>
      <c r="U2739" s="100"/>
      <c r="V2739" s="100"/>
      <c r="W2739" s="100"/>
      <c r="X2739" s="100"/>
      <c r="Y2739" s="100"/>
      <c r="Z2739" s="100"/>
    </row>
    <row r="2740" spans="1:26">
      <c r="A2740" s="100" t="e">
        <f ca="1">IFERROR(__xludf.DUMMYFUNCTION("""COMPUTED_VALUE"""),58786075)</f>
        <v>#NAME?</v>
      </c>
      <c r="B2740" s="100" t="e">
        <f ca="1">IFERROR(__xludf.DUMMYFUNCTION("""COMPUTED_VALUE"""),"TURBOUSDT")</f>
        <v>#NAME?</v>
      </c>
      <c r="C2740" s="100" t="e">
        <f ca="1">IFERROR(__xludf.DUMMYFUNCTION("""COMPUTED_VALUE"""),"0.00254600")</f>
        <v>#NAME?</v>
      </c>
      <c r="D2740" s="100" t="e">
        <f t="shared" ca="1" si="446"/>
        <v>#NAME?</v>
      </c>
      <c r="E2740" s="100" t="e">
        <f t="shared" ca="1" si="446"/>
        <v>#NAME?</v>
      </c>
      <c r="F2740" s="100" t="e">
        <f t="shared" ca="1" si="440"/>
        <v>#NAME?</v>
      </c>
      <c r="G2740" s="100" t="e">
        <f t="shared" ca="1" si="441"/>
        <v>#NAME?</v>
      </c>
      <c r="H2740" s="100" t="e">
        <f t="shared" ca="1" si="442"/>
        <v>#NAME?</v>
      </c>
      <c r="I2740" s="100" t="e">
        <f t="shared" ca="1" si="443"/>
        <v>#NAME?</v>
      </c>
      <c r="J2740" s="100" t="e">
        <f ca="1">IFERROR(__xludf.DUMMYFUNCTION("""COMPUTED_VALUE"""),"13.711")</f>
        <v>#NAME?</v>
      </c>
      <c r="K2740" s="100" t="e">
        <f t="shared" ca="1" si="444"/>
        <v>#NAME?</v>
      </c>
      <c r="L2740" s="100"/>
      <c r="M2740" s="100"/>
      <c r="N2740" s="100"/>
      <c r="O2740" s="100"/>
      <c r="P2740" s="100"/>
      <c r="Q2740" s="100"/>
      <c r="R2740" s="100"/>
      <c r="S2740" s="100"/>
      <c r="T2740" s="100"/>
      <c r="U2740" s="100"/>
      <c r="V2740" s="100"/>
      <c r="W2740" s="100"/>
      <c r="X2740" s="100"/>
      <c r="Y2740" s="100"/>
      <c r="Z2740" s="100"/>
    </row>
    <row r="2741" spans="1:26">
      <c r="A2741" s="100" t="e">
        <f ca="1">IFERROR(__xludf.DUMMYFUNCTION("""COMPUTED_VALUE"""),58786076)</f>
        <v>#NAME?</v>
      </c>
      <c r="B2741" s="100" t="e">
        <f ca="1">IFERROR(__xludf.DUMMYFUNCTION("""COMPUTED_VALUE"""),"1MBABYDOGEUSDT")</f>
        <v>#NAME?</v>
      </c>
      <c r="C2741" s="100" t="e">
        <f ca="1">IFERROR(__xludf.DUMMYFUNCTION("""COMPUTED_VALUE"""),"0.00129130")</f>
        <v>#NAME?</v>
      </c>
      <c r="D2741" s="100" t="e">
        <f t="shared" ca="1" si="446"/>
        <v>#NAME?</v>
      </c>
      <c r="E2741" s="100" t="e">
        <f t="shared" ca="1" si="446"/>
        <v>#NAME?</v>
      </c>
      <c r="F2741" s="100" t="e">
        <f t="shared" ca="1" si="440"/>
        <v>#NAME?</v>
      </c>
      <c r="G2741" s="100" t="e">
        <f t="shared" ca="1" si="441"/>
        <v>#NAME?</v>
      </c>
      <c r="H2741" s="100" t="e">
        <f t="shared" ca="1" si="442"/>
        <v>#NAME?</v>
      </c>
      <c r="I2741" s="100" t="e">
        <f t="shared" ca="1" si="443"/>
        <v>#NAME?</v>
      </c>
      <c r="J2741" s="100" t="e">
        <f ca="1">IFERROR(__xludf.DUMMYFUNCTION("""COMPUTED_VALUE"""),"-0.486")</f>
        <v>#NAME?</v>
      </c>
      <c r="K2741" s="100" t="e">
        <f t="shared" ca="1" si="444"/>
        <v>#NAME?</v>
      </c>
      <c r="L2741" s="100"/>
      <c r="M2741" s="100"/>
      <c r="N2741" s="100"/>
      <c r="O2741" s="100"/>
      <c r="P2741" s="100"/>
      <c r="Q2741" s="100"/>
      <c r="R2741" s="100"/>
      <c r="S2741" s="100"/>
      <c r="T2741" s="100"/>
      <c r="U2741" s="100"/>
      <c r="V2741" s="100"/>
      <c r="W2741" s="100"/>
      <c r="X2741" s="100"/>
      <c r="Y2741" s="100"/>
      <c r="Z2741" s="100"/>
    </row>
    <row r="2742" spans="1:26">
      <c r="A2742" s="100" t="e">
        <f ca="1">IFERROR(__xludf.DUMMYFUNCTION("""COMPUTED_VALUE"""),58786077)</f>
        <v>#NAME?</v>
      </c>
      <c r="B2742" s="100" t="e">
        <f ca="1">IFERROR(__xludf.DUMMYFUNCTION("""COMPUTED_VALUE"""),"CATIUSDT")</f>
        <v>#NAME?</v>
      </c>
      <c r="C2742" s="100" t="e">
        <f ca="1">IFERROR(__xludf.DUMMYFUNCTION("""COMPUTED_VALUE"""),"0.08350000")</f>
        <v>#NAME?</v>
      </c>
      <c r="D2742" s="100" t="e">
        <f t="shared" ref="D2742:E2761" ca="1" si="447">IFERROR(__xludf.DUMMYFUNCTION("""COMPUTED_VALUE"""),"-")</f>
        <v>#NAME?</v>
      </c>
      <c r="E2742" s="100" t="e">
        <f t="shared" ca="1" si="447"/>
        <v>#NAME?</v>
      </c>
      <c r="F2742" s="100" t="e">
        <f t="shared" ca="1" si="440"/>
        <v>#NAME?</v>
      </c>
      <c r="G2742" s="100" t="e">
        <f t="shared" ca="1" si="441"/>
        <v>#NAME?</v>
      </c>
      <c r="H2742" s="100" t="e">
        <f t="shared" ca="1" si="442"/>
        <v>#NAME?</v>
      </c>
      <c r="I2742" s="100" t="e">
        <f t="shared" ca="1" si="443"/>
        <v>#NAME?</v>
      </c>
      <c r="J2742" s="100" t="e">
        <f ca="1">IFERROR(__xludf.DUMMYFUNCTION("""COMPUTED_VALUE"""),"-2.110")</f>
        <v>#NAME?</v>
      </c>
      <c r="K2742" s="100" t="e">
        <f t="shared" ca="1" si="444"/>
        <v>#NAME?</v>
      </c>
      <c r="L2742" s="100"/>
      <c r="M2742" s="100"/>
      <c r="N2742" s="100"/>
      <c r="O2742" s="100"/>
      <c r="P2742" s="100"/>
      <c r="Q2742" s="100"/>
      <c r="R2742" s="100"/>
      <c r="S2742" s="100"/>
      <c r="T2742" s="100"/>
      <c r="U2742" s="100"/>
      <c r="V2742" s="100"/>
      <c r="W2742" s="100"/>
      <c r="X2742" s="100"/>
      <c r="Y2742" s="100"/>
      <c r="Z2742" s="100"/>
    </row>
    <row r="2743" spans="1:26">
      <c r="A2743" s="100" t="e">
        <f ca="1">IFERROR(__xludf.DUMMYFUNCTION("""COMPUTED_VALUE"""),58786078)</f>
        <v>#NAME?</v>
      </c>
      <c r="B2743" s="100" t="e">
        <f ca="1">IFERROR(__xludf.DUMMYFUNCTION("""COMPUTED_VALUE"""),"CATIBNB")</f>
        <v>#NAME?</v>
      </c>
      <c r="C2743" s="100" t="e">
        <f ca="1">IFERROR(__xludf.DUMMYFUNCTION("""COMPUTED_VALUE"""),"0.00045600")</f>
        <v>#NAME?</v>
      </c>
      <c r="D2743" s="100" t="e">
        <f t="shared" ca="1" si="447"/>
        <v>#NAME?</v>
      </c>
      <c r="E2743" s="100" t="e">
        <f t="shared" ca="1" si="447"/>
        <v>#NAME?</v>
      </c>
      <c r="F2743" s="100" t="e">
        <f t="shared" ca="1" si="440"/>
        <v>#NAME?</v>
      </c>
      <c r="G2743" s="100" t="e">
        <f t="shared" ca="1" si="441"/>
        <v>#NAME?</v>
      </c>
      <c r="H2743" s="100" t="e">
        <f t="shared" ca="1" si="442"/>
        <v>#NAME?</v>
      </c>
      <c r="I2743" s="100" t="e">
        <f t="shared" ca="1" si="443"/>
        <v>#NAME?</v>
      </c>
      <c r="J2743" s="100" t="e">
        <f ca="1">IFERROR(__xludf.DUMMYFUNCTION("""COMPUTED_VALUE"""),"0")</f>
        <v>#NAME?</v>
      </c>
      <c r="K2743" s="100" t="e">
        <f t="shared" ca="1" si="444"/>
        <v>#NAME?</v>
      </c>
      <c r="L2743" s="100"/>
      <c r="M2743" s="100"/>
      <c r="N2743" s="100"/>
      <c r="O2743" s="100"/>
      <c r="P2743" s="100"/>
      <c r="Q2743" s="100"/>
      <c r="R2743" s="100"/>
      <c r="S2743" s="100"/>
      <c r="T2743" s="100"/>
      <c r="U2743" s="100"/>
      <c r="V2743" s="100"/>
      <c r="W2743" s="100"/>
      <c r="X2743" s="100"/>
      <c r="Y2743" s="100"/>
      <c r="Z2743" s="100"/>
    </row>
    <row r="2744" spans="1:26">
      <c r="A2744" s="100" t="e">
        <f ca="1">IFERROR(__xludf.DUMMYFUNCTION("""COMPUTED_VALUE"""),58786079)</f>
        <v>#NAME?</v>
      </c>
      <c r="B2744" s="100" t="e">
        <f ca="1">IFERROR(__xludf.DUMMYFUNCTION("""COMPUTED_VALUE"""),"CATIFDUSD")</f>
        <v>#NAME?</v>
      </c>
      <c r="C2744" s="100" t="e">
        <f ca="1">IFERROR(__xludf.DUMMYFUNCTION("""COMPUTED_VALUE"""),"0.08430000")</f>
        <v>#NAME?</v>
      </c>
      <c r="D2744" s="100" t="e">
        <f t="shared" ca="1" si="447"/>
        <v>#NAME?</v>
      </c>
      <c r="E2744" s="100" t="e">
        <f t="shared" ca="1" si="447"/>
        <v>#NAME?</v>
      </c>
      <c r="F2744" s="100" t="e">
        <f t="shared" ca="1" si="440"/>
        <v>#NAME?</v>
      </c>
      <c r="G2744" s="100" t="e">
        <f t="shared" ca="1" si="441"/>
        <v>#NAME?</v>
      </c>
      <c r="H2744" s="100" t="e">
        <f t="shared" ca="1" si="442"/>
        <v>#NAME?</v>
      </c>
      <c r="I2744" s="100" t="e">
        <f t="shared" ca="1" si="443"/>
        <v>#NAME?</v>
      </c>
      <c r="J2744" s="100" t="e">
        <f ca="1">IFERROR(__xludf.DUMMYFUNCTION("""COMPUTED_VALUE"""),"-1.288")</f>
        <v>#NAME?</v>
      </c>
      <c r="K2744" s="100" t="e">
        <f t="shared" ca="1" si="444"/>
        <v>#NAME?</v>
      </c>
      <c r="L2744" s="100"/>
      <c r="M2744" s="100"/>
      <c r="N2744" s="100"/>
      <c r="O2744" s="100"/>
      <c r="P2744" s="100"/>
      <c r="Q2744" s="100"/>
      <c r="R2744" s="100"/>
      <c r="S2744" s="100"/>
      <c r="T2744" s="100"/>
      <c r="U2744" s="100"/>
      <c r="V2744" s="100"/>
      <c r="W2744" s="100"/>
      <c r="X2744" s="100"/>
      <c r="Y2744" s="100"/>
      <c r="Z2744" s="100"/>
    </row>
    <row r="2745" spans="1:26">
      <c r="A2745" s="100" t="e">
        <f ca="1">IFERROR(__xludf.DUMMYFUNCTION("""COMPUTED_VALUE"""),58786080)</f>
        <v>#NAME?</v>
      </c>
      <c r="B2745" s="100" t="e">
        <f ca="1">IFERROR(__xludf.DUMMYFUNCTION("""COMPUTED_VALUE"""),"CATITRY")</f>
        <v>#NAME?</v>
      </c>
      <c r="C2745" s="100" t="e">
        <f ca="1">IFERROR(__xludf.DUMMYFUNCTION("""COMPUTED_VALUE"""),"3.18000000")</f>
        <v>#NAME?</v>
      </c>
      <c r="D2745" s="100" t="e">
        <f t="shared" ca="1" si="447"/>
        <v>#NAME?</v>
      </c>
      <c r="E2745" s="100" t="e">
        <f t="shared" ca="1" si="447"/>
        <v>#NAME?</v>
      </c>
      <c r="F2745" s="100" t="e">
        <f t="shared" ca="1" si="440"/>
        <v>#NAME?</v>
      </c>
      <c r="G2745" s="100" t="e">
        <f t="shared" ca="1" si="441"/>
        <v>#NAME?</v>
      </c>
      <c r="H2745" s="100" t="e">
        <f t="shared" ca="1" si="442"/>
        <v>#NAME?</v>
      </c>
      <c r="I2745" s="100" t="e">
        <f t="shared" ca="1" si="443"/>
        <v>#NAME?</v>
      </c>
      <c r="J2745" s="100" t="e">
        <f ca="1">IFERROR(__xludf.DUMMYFUNCTION("""COMPUTED_VALUE"""),"-2.454")</f>
        <v>#NAME?</v>
      </c>
      <c r="K2745" s="100" t="e">
        <f t="shared" ca="1" si="444"/>
        <v>#NAME?</v>
      </c>
      <c r="L2745" s="100"/>
      <c r="M2745" s="100"/>
      <c r="N2745" s="100"/>
      <c r="O2745" s="100"/>
      <c r="P2745" s="100"/>
      <c r="Q2745" s="100"/>
      <c r="R2745" s="100"/>
      <c r="S2745" s="100"/>
      <c r="T2745" s="100"/>
      <c r="U2745" s="100"/>
      <c r="V2745" s="100"/>
      <c r="W2745" s="100"/>
      <c r="X2745" s="100"/>
      <c r="Y2745" s="100"/>
      <c r="Z2745" s="100"/>
    </row>
    <row r="2746" spans="1:26">
      <c r="A2746" s="100" t="e">
        <f ca="1">IFERROR(__xludf.DUMMYFUNCTION("""COMPUTED_VALUE"""),58786081)</f>
        <v>#NAME?</v>
      </c>
      <c r="B2746" s="100" t="e">
        <f ca="1">IFERROR(__xludf.DUMMYFUNCTION("""COMPUTED_VALUE"""),"1MBABYDOGEFDUSD")</f>
        <v>#NAME?</v>
      </c>
      <c r="C2746" s="100" t="e">
        <f ca="1">IFERROR(__xludf.DUMMYFUNCTION("""COMPUTED_VALUE"""),"0.00129200")</f>
        <v>#NAME?</v>
      </c>
      <c r="D2746" s="100" t="e">
        <f t="shared" ca="1" si="447"/>
        <v>#NAME?</v>
      </c>
      <c r="E2746" s="100" t="e">
        <f t="shared" ca="1" si="447"/>
        <v>#NAME?</v>
      </c>
      <c r="F2746" s="100" t="e">
        <f t="shared" ca="1" si="440"/>
        <v>#NAME?</v>
      </c>
      <c r="G2746" s="100" t="e">
        <f t="shared" ca="1" si="441"/>
        <v>#NAME?</v>
      </c>
      <c r="H2746" s="100" t="e">
        <f t="shared" ca="1" si="442"/>
        <v>#NAME?</v>
      </c>
      <c r="I2746" s="100" t="e">
        <f t="shared" ca="1" si="443"/>
        <v>#NAME?</v>
      </c>
      <c r="J2746" s="100" t="e">
        <f ca="1">IFERROR(__xludf.DUMMYFUNCTION("""COMPUTED_VALUE"""),"-0.585")</f>
        <v>#NAME?</v>
      </c>
      <c r="K2746" s="100" t="e">
        <f t="shared" ca="1" si="444"/>
        <v>#NAME?</v>
      </c>
      <c r="L2746" s="100"/>
      <c r="M2746" s="100"/>
      <c r="N2746" s="100"/>
      <c r="O2746" s="100"/>
      <c r="P2746" s="100"/>
      <c r="Q2746" s="100"/>
      <c r="R2746" s="100"/>
      <c r="S2746" s="100"/>
      <c r="T2746" s="100"/>
      <c r="U2746" s="100"/>
      <c r="V2746" s="100"/>
      <c r="W2746" s="100"/>
      <c r="X2746" s="100"/>
      <c r="Y2746" s="100"/>
      <c r="Z2746" s="100"/>
    </row>
    <row r="2747" spans="1:26">
      <c r="A2747" s="100" t="e">
        <f ca="1">IFERROR(__xludf.DUMMYFUNCTION("""COMPUTED_VALUE"""),58786082)</f>
        <v>#NAME?</v>
      </c>
      <c r="B2747" s="100" t="e">
        <f ca="1">IFERROR(__xludf.DUMMYFUNCTION("""COMPUTED_VALUE"""),"1MBABYDOGETRY")</f>
        <v>#NAME?</v>
      </c>
      <c r="C2747" s="100" t="e">
        <f ca="1">IFERROR(__xludf.DUMMYFUNCTION("""COMPUTED_VALUE"""),"0.04939000")</f>
        <v>#NAME?</v>
      </c>
      <c r="D2747" s="100" t="e">
        <f t="shared" ca="1" si="447"/>
        <v>#NAME?</v>
      </c>
      <c r="E2747" s="100" t="e">
        <f t="shared" ca="1" si="447"/>
        <v>#NAME?</v>
      </c>
      <c r="F2747" s="100" t="e">
        <f t="shared" ca="1" si="440"/>
        <v>#NAME?</v>
      </c>
      <c r="G2747" s="100" t="e">
        <f t="shared" ca="1" si="441"/>
        <v>#NAME?</v>
      </c>
      <c r="H2747" s="100" t="e">
        <f t="shared" ca="1" si="442"/>
        <v>#NAME?</v>
      </c>
      <c r="I2747" s="100" t="e">
        <f t="shared" ca="1" si="443"/>
        <v>#NAME?</v>
      </c>
      <c r="J2747" s="100" t="e">
        <f ca="1">IFERROR(__xludf.DUMMYFUNCTION("""COMPUTED_VALUE"""),"-0.464")</f>
        <v>#NAME?</v>
      </c>
      <c r="K2747" s="100" t="e">
        <f t="shared" ca="1" si="444"/>
        <v>#NAME?</v>
      </c>
      <c r="L2747" s="100"/>
      <c r="M2747" s="100"/>
      <c r="N2747" s="100"/>
      <c r="O2747" s="100"/>
      <c r="P2747" s="100"/>
      <c r="Q2747" s="100"/>
      <c r="R2747" s="100"/>
      <c r="S2747" s="100"/>
      <c r="T2747" s="100"/>
      <c r="U2747" s="100"/>
      <c r="V2747" s="100"/>
      <c r="W2747" s="100"/>
      <c r="X2747" s="100"/>
      <c r="Y2747" s="100"/>
      <c r="Z2747" s="100"/>
    </row>
    <row r="2748" spans="1:26">
      <c r="A2748" s="100" t="e">
        <f ca="1">IFERROR(__xludf.DUMMYFUNCTION("""COMPUTED_VALUE"""),58786083)</f>
        <v>#NAME?</v>
      </c>
      <c r="B2748" s="100" t="e">
        <f ca="1">IFERROR(__xludf.DUMMYFUNCTION("""COMPUTED_VALUE"""),"CATIBRL")</f>
        <v>#NAME?</v>
      </c>
      <c r="C2748" s="100" t="e">
        <f ca="1">IFERROR(__xludf.DUMMYFUNCTION("""COMPUTED_VALUE"""),"1.91000000")</f>
        <v>#NAME?</v>
      </c>
      <c r="D2748" s="100" t="e">
        <f t="shared" ca="1" si="447"/>
        <v>#NAME?</v>
      </c>
      <c r="E2748" s="100" t="e">
        <f t="shared" ca="1" si="447"/>
        <v>#NAME?</v>
      </c>
      <c r="F2748" s="100" t="e">
        <f t="shared" ca="1" si="440"/>
        <v>#NAME?</v>
      </c>
      <c r="G2748" s="100" t="e">
        <f t="shared" ca="1" si="441"/>
        <v>#NAME?</v>
      </c>
      <c r="H2748" s="100" t="e">
        <f t="shared" ca="1" si="442"/>
        <v>#NAME?</v>
      </c>
      <c r="I2748" s="100" t="e">
        <f t="shared" ca="1" si="443"/>
        <v>#NAME?</v>
      </c>
      <c r="J2748" s="100" t="e">
        <f ca="1">IFERROR(__xludf.DUMMYFUNCTION("""COMPUTED_VALUE"""),"0")</f>
        <v>#NAME?</v>
      </c>
      <c r="K2748" s="100" t="e">
        <f t="shared" ca="1" si="444"/>
        <v>#NAME?</v>
      </c>
      <c r="L2748" s="100"/>
      <c r="M2748" s="100"/>
      <c r="N2748" s="100"/>
      <c r="O2748" s="100"/>
      <c r="P2748" s="100"/>
      <c r="Q2748" s="100"/>
      <c r="R2748" s="100"/>
      <c r="S2748" s="100"/>
      <c r="T2748" s="100"/>
      <c r="U2748" s="100"/>
      <c r="V2748" s="100"/>
      <c r="W2748" s="100"/>
      <c r="X2748" s="100"/>
      <c r="Y2748" s="100"/>
      <c r="Z2748" s="100"/>
    </row>
    <row r="2749" spans="1:26">
      <c r="A2749" s="100" t="e">
        <f ca="1">IFERROR(__xludf.DUMMYFUNCTION("""COMPUTED_VALUE"""),58786084)</f>
        <v>#NAME?</v>
      </c>
      <c r="B2749" s="100" t="e">
        <f ca="1">IFERROR(__xludf.DUMMYFUNCTION("""COMPUTED_VALUE"""),"BTCEURI")</f>
        <v>#NAME?</v>
      </c>
      <c r="C2749" s="100" t="e">
        <f ca="1">IFERROR(__xludf.DUMMYFUNCTION("""COMPUTED_VALUE"""),"77056.70000000")</f>
        <v>#NAME?</v>
      </c>
      <c r="D2749" s="100" t="e">
        <f t="shared" ca="1" si="447"/>
        <v>#NAME?</v>
      </c>
      <c r="E2749" s="100" t="e">
        <f t="shared" ca="1" si="447"/>
        <v>#NAME?</v>
      </c>
      <c r="F2749" s="100" t="e">
        <f t="shared" ca="1" si="440"/>
        <v>#NAME?</v>
      </c>
      <c r="G2749" s="100" t="e">
        <f t="shared" ca="1" si="441"/>
        <v>#NAME?</v>
      </c>
      <c r="H2749" s="100" t="e">
        <f t="shared" ca="1" si="442"/>
        <v>#NAME?</v>
      </c>
      <c r="I2749" s="100" t="e">
        <f t="shared" ca="1" si="443"/>
        <v>#NAME?</v>
      </c>
      <c r="J2749" s="100" t="e">
        <f ca="1">IFERROR(__xludf.DUMMYFUNCTION("""COMPUTED_VALUE"""),"1.693")</f>
        <v>#NAME?</v>
      </c>
      <c r="K2749" s="100" t="e">
        <f t="shared" ca="1" si="444"/>
        <v>#NAME?</v>
      </c>
      <c r="L2749" s="100"/>
      <c r="M2749" s="100"/>
      <c r="N2749" s="100"/>
      <c r="O2749" s="100"/>
      <c r="P2749" s="100"/>
      <c r="Q2749" s="100"/>
      <c r="R2749" s="100"/>
      <c r="S2749" s="100"/>
      <c r="T2749" s="100"/>
      <c r="U2749" s="100"/>
      <c r="V2749" s="100"/>
      <c r="W2749" s="100"/>
      <c r="X2749" s="100"/>
      <c r="Y2749" s="100"/>
      <c r="Z2749" s="100"/>
    </row>
    <row r="2750" spans="1:26">
      <c r="A2750" s="100" t="e">
        <f ca="1">IFERROR(__xludf.DUMMYFUNCTION("""COMPUTED_VALUE"""),58786085)</f>
        <v>#NAME?</v>
      </c>
      <c r="B2750" s="100" t="e">
        <f ca="1">IFERROR(__xludf.DUMMYFUNCTION("""COMPUTED_VALUE"""),"NEIROFDUSD")</f>
        <v>#NAME?</v>
      </c>
      <c r="C2750" s="100" t="e">
        <f ca="1">IFERROR(__xludf.DUMMYFUNCTION("""COMPUTED_VALUE"""),"0.00019300")</f>
        <v>#NAME?</v>
      </c>
      <c r="D2750" s="100" t="e">
        <f t="shared" ca="1" si="447"/>
        <v>#NAME?</v>
      </c>
      <c r="E2750" s="100" t="e">
        <f t="shared" ca="1" si="447"/>
        <v>#NAME?</v>
      </c>
      <c r="F2750" s="100" t="e">
        <f t="shared" ca="1" si="440"/>
        <v>#NAME?</v>
      </c>
      <c r="G2750" s="100" t="e">
        <f t="shared" ca="1" si="441"/>
        <v>#NAME?</v>
      </c>
      <c r="H2750" s="100" t="e">
        <f t="shared" ca="1" si="442"/>
        <v>#NAME?</v>
      </c>
      <c r="I2750" s="100" t="e">
        <f t="shared" ca="1" si="443"/>
        <v>#NAME?</v>
      </c>
      <c r="J2750" s="100" t="e">
        <f ca="1">IFERROR(__xludf.DUMMYFUNCTION("""COMPUTED_VALUE"""),"0.255")</f>
        <v>#NAME?</v>
      </c>
      <c r="K2750" s="100" t="e">
        <f t="shared" ca="1" si="444"/>
        <v>#NAME?</v>
      </c>
      <c r="L2750" s="100"/>
      <c r="M2750" s="100"/>
      <c r="N2750" s="100"/>
      <c r="O2750" s="100"/>
      <c r="P2750" s="100"/>
      <c r="Q2750" s="100"/>
      <c r="R2750" s="100"/>
      <c r="S2750" s="100"/>
      <c r="T2750" s="100"/>
      <c r="U2750" s="100"/>
      <c r="V2750" s="100"/>
      <c r="W2750" s="100"/>
      <c r="X2750" s="100"/>
      <c r="Y2750" s="100"/>
      <c r="Z2750" s="100"/>
    </row>
    <row r="2751" spans="1:26">
      <c r="A2751" s="100" t="e">
        <f ca="1">IFERROR(__xludf.DUMMYFUNCTION("""COMPUTED_VALUE"""),58786086)</f>
        <v>#NAME?</v>
      </c>
      <c r="B2751" s="100" t="e">
        <f ca="1">IFERROR(__xludf.DUMMYFUNCTION("""COMPUTED_VALUE"""),"NEIROTRY")</f>
        <v>#NAME?</v>
      </c>
      <c r="C2751" s="100" t="e">
        <f ca="1">IFERROR(__xludf.DUMMYFUNCTION("""COMPUTED_VALUE"""),"0.00735000")</f>
        <v>#NAME?</v>
      </c>
      <c r="D2751" s="100" t="e">
        <f t="shared" ca="1" si="447"/>
        <v>#NAME?</v>
      </c>
      <c r="E2751" s="100" t="e">
        <f t="shared" ca="1" si="447"/>
        <v>#NAME?</v>
      </c>
      <c r="F2751" s="100" t="e">
        <f t="shared" ca="1" si="440"/>
        <v>#NAME?</v>
      </c>
      <c r="G2751" s="100" t="e">
        <f t="shared" ca="1" si="441"/>
        <v>#NAME?</v>
      </c>
      <c r="H2751" s="100" t="e">
        <f t="shared" ca="1" si="442"/>
        <v>#NAME?</v>
      </c>
      <c r="I2751" s="100" t="e">
        <f t="shared" ca="1" si="443"/>
        <v>#NAME?</v>
      </c>
      <c r="J2751" s="100" t="e">
        <f ca="1">IFERROR(__xludf.DUMMYFUNCTION("""COMPUTED_VALUE"""),"-0.271")</f>
        <v>#NAME?</v>
      </c>
      <c r="K2751" s="100" t="e">
        <f t="shared" ca="1" si="444"/>
        <v>#NAME?</v>
      </c>
      <c r="L2751" s="100"/>
      <c r="M2751" s="100"/>
      <c r="N2751" s="100"/>
      <c r="O2751" s="100"/>
      <c r="P2751" s="100"/>
      <c r="Q2751" s="100"/>
      <c r="R2751" s="100"/>
      <c r="S2751" s="100"/>
      <c r="T2751" s="100"/>
      <c r="U2751" s="100"/>
      <c r="V2751" s="100"/>
      <c r="W2751" s="100"/>
      <c r="X2751" s="100"/>
      <c r="Y2751" s="100"/>
      <c r="Z2751" s="100"/>
    </row>
    <row r="2752" spans="1:26">
      <c r="A2752" s="100" t="e">
        <f ca="1">IFERROR(__xludf.DUMMYFUNCTION("""COMPUTED_VALUE"""),58786087)</f>
        <v>#NAME?</v>
      </c>
      <c r="B2752" s="100" t="e">
        <f ca="1">IFERROR(__xludf.DUMMYFUNCTION("""COMPUTED_VALUE"""),"HMSTRUSDT")</f>
        <v>#NAME?</v>
      </c>
      <c r="C2752" s="100" t="e">
        <f ca="1">IFERROR(__xludf.DUMMYFUNCTION("""COMPUTED_VALUE"""),"0.00260600")</f>
        <v>#NAME?</v>
      </c>
      <c r="D2752" s="100" t="e">
        <f t="shared" ca="1" si="447"/>
        <v>#NAME?</v>
      </c>
      <c r="E2752" s="100" t="e">
        <f t="shared" ca="1" si="447"/>
        <v>#NAME?</v>
      </c>
      <c r="F2752" s="100" t="e">
        <f t="shared" ca="1" si="440"/>
        <v>#NAME?</v>
      </c>
      <c r="G2752" s="100" t="e">
        <f t="shared" ca="1" si="441"/>
        <v>#NAME?</v>
      </c>
      <c r="H2752" s="100" t="e">
        <f t="shared" ca="1" si="442"/>
        <v>#NAME?</v>
      </c>
      <c r="I2752" s="100" t="e">
        <f t="shared" ca="1" si="443"/>
        <v>#NAME?</v>
      </c>
      <c r="J2752" s="100" t="e">
        <f ca="1">IFERROR(__xludf.DUMMYFUNCTION("""COMPUTED_VALUE"""),"-1.288")</f>
        <v>#NAME?</v>
      </c>
      <c r="K2752" s="100" t="e">
        <f t="shared" ca="1" si="444"/>
        <v>#NAME?</v>
      </c>
      <c r="L2752" s="100"/>
      <c r="M2752" s="100"/>
      <c r="N2752" s="100"/>
      <c r="O2752" s="100"/>
      <c r="P2752" s="100"/>
      <c r="Q2752" s="100"/>
      <c r="R2752" s="100"/>
      <c r="S2752" s="100"/>
      <c r="T2752" s="100"/>
      <c r="U2752" s="100"/>
      <c r="V2752" s="100"/>
      <c r="W2752" s="100"/>
      <c r="X2752" s="100"/>
      <c r="Y2752" s="100"/>
      <c r="Z2752" s="100"/>
    </row>
    <row r="2753" spans="1:26">
      <c r="A2753" s="100" t="e">
        <f ca="1">IFERROR(__xludf.DUMMYFUNCTION("""COMPUTED_VALUE"""),58786088)</f>
        <v>#NAME?</v>
      </c>
      <c r="B2753" s="100" t="e">
        <f ca="1">IFERROR(__xludf.DUMMYFUNCTION("""COMPUTED_VALUE"""),"HMSTRBNB")</f>
        <v>#NAME?</v>
      </c>
      <c r="C2753" s="100" t="e">
        <f ca="1">IFERROR(__xludf.DUMMYFUNCTION("""COMPUTED_VALUE"""),"0.00000387")</f>
        <v>#NAME?</v>
      </c>
      <c r="D2753" s="100" t="e">
        <f t="shared" ca="1" si="447"/>
        <v>#NAME?</v>
      </c>
      <c r="E2753" s="100" t="e">
        <f t="shared" ca="1" si="447"/>
        <v>#NAME?</v>
      </c>
      <c r="F2753" s="100" t="e">
        <f t="shared" ca="1" si="440"/>
        <v>#NAME?</v>
      </c>
      <c r="G2753" s="100" t="e">
        <f t="shared" ca="1" si="441"/>
        <v>#NAME?</v>
      </c>
      <c r="H2753" s="100" t="e">
        <f t="shared" ca="1" si="442"/>
        <v>#NAME?</v>
      </c>
      <c r="I2753" s="100" t="e">
        <f t="shared" ca="1" si="443"/>
        <v>#NAME?</v>
      </c>
      <c r="J2753" s="100" t="e">
        <f ca="1">IFERROR(__xludf.DUMMYFUNCTION("""COMPUTED_VALUE"""),"0")</f>
        <v>#NAME?</v>
      </c>
      <c r="K2753" s="100" t="e">
        <f t="shared" ca="1" si="444"/>
        <v>#NAME?</v>
      </c>
      <c r="L2753" s="100"/>
      <c r="M2753" s="100"/>
      <c r="N2753" s="100"/>
      <c r="O2753" s="100"/>
      <c r="P2753" s="100"/>
      <c r="Q2753" s="100"/>
      <c r="R2753" s="100"/>
      <c r="S2753" s="100"/>
      <c r="T2753" s="100"/>
      <c r="U2753" s="100"/>
      <c r="V2753" s="100"/>
      <c r="W2753" s="100"/>
      <c r="X2753" s="100"/>
      <c r="Y2753" s="100"/>
      <c r="Z2753" s="100"/>
    </row>
    <row r="2754" spans="1:26">
      <c r="A2754" s="100" t="e">
        <f ca="1">IFERROR(__xludf.DUMMYFUNCTION("""COMPUTED_VALUE"""),58786089)</f>
        <v>#NAME?</v>
      </c>
      <c r="B2754" s="100" t="e">
        <f ca="1">IFERROR(__xludf.DUMMYFUNCTION("""COMPUTED_VALUE"""),"HMSTRFDUSD")</f>
        <v>#NAME?</v>
      </c>
      <c r="C2754" s="100" t="e">
        <f ca="1">IFERROR(__xludf.DUMMYFUNCTION("""COMPUTED_VALUE"""),"0.00261400")</f>
        <v>#NAME?</v>
      </c>
      <c r="D2754" s="100" t="e">
        <f t="shared" ca="1" si="447"/>
        <v>#NAME?</v>
      </c>
      <c r="E2754" s="100" t="e">
        <f t="shared" ca="1" si="447"/>
        <v>#NAME?</v>
      </c>
      <c r="F2754" s="100" t="e">
        <f t="shared" ref="F2754:F2817" ca="1" si="448">IFERROR(__xludf.DUMMYFUNCTION("""COMPUTED_VALUE"""),20200)</f>
        <v>#NAME?</v>
      </c>
      <c r="G2754" s="100" t="e">
        <f t="shared" ref="G2754:G2817" ca="1" si="449">IFERROR(__xludf.DUMMYFUNCTION("""COMPUTED_VALUE"""),2885)</f>
        <v>#NAME?</v>
      </c>
      <c r="H2754" s="100" t="e">
        <f t="shared" ref="H2754:H2817" ca="1" si="450">IFERROR(__xludf.DUMMYFUNCTION("""COMPUTED_VALUE"""),663)</f>
        <v>#NAME?</v>
      </c>
      <c r="I2754" s="100" t="e">
        <f t="shared" ref="I2754:I2817" ca="1" si="451">IFERROR(__xludf.DUMMYFUNCTION("""COMPUTED_VALUE"""),5817721)</f>
        <v>#NAME?</v>
      </c>
      <c r="J2754" s="100" t="e">
        <f ca="1">IFERROR(__xludf.DUMMYFUNCTION("""COMPUTED_VALUE"""),"-1.209")</f>
        <v>#NAME?</v>
      </c>
      <c r="K2754" s="100" t="e">
        <f t="shared" ref="K2754:K2817" ca="1" si="452">IFERROR(__xludf.DUMMYFUNCTION("""COMPUTED_VALUE"""),"22.04.2025 13:05:01")</f>
        <v>#NAME?</v>
      </c>
      <c r="L2754" s="100"/>
      <c r="M2754" s="100"/>
      <c r="N2754" s="100"/>
      <c r="O2754" s="100"/>
      <c r="P2754" s="100"/>
      <c r="Q2754" s="100"/>
      <c r="R2754" s="100"/>
      <c r="S2754" s="100"/>
      <c r="T2754" s="100"/>
      <c r="U2754" s="100"/>
      <c r="V2754" s="100"/>
      <c r="W2754" s="100"/>
      <c r="X2754" s="100"/>
      <c r="Y2754" s="100"/>
      <c r="Z2754" s="100"/>
    </row>
    <row r="2755" spans="1:26">
      <c r="A2755" s="100" t="e">
        <f ca="1">IFERROR(__xludf.DUMMYFUNCTION("""COMPUTED_VALUE"""),58786090)</f>
        <v>#NAME?</v>
      </c>
      <c r="B2755" s="100" t="e">
        <f ca="1">IFERROR(__xludf.DUMMYFUNCTION("""COMPUTED_VALUE"""),"HMSTRTRY")</f>
        <v>#NAME?</v>
      </c>
      <c r="C2755" s="100" t="e">
        <f ca="1">IFERROR(__xludf.DUMMYFUNCTION("""COMPUTED_VALUE"""),"0.09970000")</f>
        <v>#NAME?</v>
      </c>
      <c r="D2755" s="100" t="e">
        <f t="shared" ca="1" si="447"/>
        <v>#NAME?</v>
      </c>
      <c r="E2755" s="100" t="e">
        <f t="shared" ca="1" si="447"/>
        <v>#NAME?</v>
      </c>
      <c r="F2755" s="100" t="e">
        <f t="shared" ca="1" si="448"/>
        <v>#NAME?</v>
      </c>
      <c r="G2755" s="100" t="e">
        <f t="shared" ca="1" si="449"/>
        <v>#NAME?</v>
      </c>
      <c r="H2755" s="100" t="e">
        <f t="shared" ca="1" si="450"/>
        <v>#NAME?</v>
      </c>
      <c r="I2755" s="100" t="e">
        <f t="shared" ca="1" si="451"/>
        <v>#NAME?</v>
      </c>
      <c r="J2755" s="100" t="e">
        <f ca="1">IFERROR(__xludf.DUMMYFUNCTION("""COMPUTED_VALUE"""),"-1.189")</f>
        <v>#NAME?</v>
      </c>
      <c r="K2755" s="100" t="e">
        <f t="shared" ca="1" si="452"/>
        <v>#NAME?</v>
      </c>
      <c r="L2755" s="100"/>
      <c r="M2755" s="100"/>
      <c r="N2755" s="100"/>
      <c r="O2755" s="100"/>
      <c r="P2755" s="100"/>
      <c r="Q2755" s="100"/>
      <c r="R2755" s="100"/>
      <c r="S2755" s="100"/>
      <c r="T2755" s="100"/>
      <c r="U2755" s="100"/>
      <c r="V2755" s="100"/>
      <c r="W2755" s="100"/>
      <c r="X2755" s="100"/>
      <c r="Y2755" s="100"/>
      <c r="Z2755" s="100"/>
    </row>
    <row r="2756" spans="1:26">
      <c r="A2756" s="100" t="e">
        <f ca="1">IFERROR(__xludf.DUMMYFUNCTION("""COMPUTED_VALUE"""),58786091)</f>
        <v>#NAME?</v>
      </c>
      <c r="B2756" s="100" t="e">
        <f ca="1">IFERROR(__xludf.DUMMYFUNCTION("""COMPUTED_VALUE"""),"EIGENBTC")</f>
        <v>#NAME?</v>
      </c>
      <c r="C2756" s="100" t="e">
        <f ca="1">IFERROR(__xludf.DUMMYFUNCTION("""COMPUTED_VALUE"""),"0.00000948")</f>
        <v>#NAME?</v>
      </c>
      <c r="D2756" s="100" t="e">
        <f t="shared" ca="1" si="447"/>
        <v>#NAME?</v>
      </c>
      <c r="E2756" s="100" t="e">
        <f t="shared" ca="1" si="447"/>
        <v>#NAME?</v>
      </c>
      <c r="F2756" s="100" t="e">
        <f t="shared" ca="1" si="448"/>
        <v>#NAME?</v>
      </c>
      <c r="G2756" s="100" t="e">
        <f t="shared" ca="1" si="449"/>
        <v>#NAME?</v>
      </c>
      <c r="H2756" s="100" t="e">
        <f t="shared" ca="1" si="450"/>
        <v>#NAME?</v>
      </c>
      <c r="I2756" s="100" t="e">
        <f t="shared" ca="1" si="451"/>
        <v>#NAME?</v>
      </c>
      <c r="J2756" s="100" t="e">
        <f ca="1">IFERROR(__xludf.DUMMYFUNCTION("""COMPUTED_VALUE"""),"-4.339")</f>
        <v>#NAME?</v>
      </c>
      <c r="K2756" s="100" t="e">
        <f t="shared" ca="1" si="452"/>
        <v>#NAME?</v>
      </c>
      <c r="L2756" s="100"/>
      <c r="M2756" s="100"/>
      <c r="N2756" s="100"/>
      <c r="O2756" s="100"/>
      <c r="P2756" s="100"/>
      <c r="Q2756" s="100"/>
      <c r="R2756" s="100"/>
      <c r="S2756" s="100"/>
      <c r="T2756" s="100"/>
      <c r="U2756" s="100"/>
      <c r="V2756" s="100"/>
      <c r="W2756" s="100"/>
      <c r="X2756" s="100"/>
      <c r="Y2756" s="100"/>
      <c r="Z2756" s="100"/>
    </row>
    <row r="2757" spans="1:26">
      <c r="A2757" s="100" t="e">
        <f ca="1">IFERROR(__xludf.DUMMYFUNCTION("""COMPUTED_VALUE"""),58786092)</f>
        <v>#NAME?</v>
      </c>
      <c r="B2757" s="100" t="e">
        <f ca="1">IFERROR(__xludf.DUMMYFUNCTION("""COMPUTED_VALUE"""),"EIGENUSDT")</f>
        <v>#NAME?</v>
      </c>
      <c r="C2757" s="100" t="e">
        <f ca="1">IFERROR(__xludf.DUMMYFUNCTION("""COMPUTED_VALUE"""),"0.84600000")</f>
        <v>#NAME?</v>
      </c>
      <c r="D2757" s="100" t="e">
        <f t="shared" ca="1" si="447"/>
        <v>#NAME?</v>
      </c>
      <c r="E2757" s="100" t="e">
        <f t="shared" ca="1" si="447"/>
        <v>#NAME?</v>
      </c>
      <c r="F2757" s="100" t="e">
        <f t="shared" ca="1" si="448"/>
        <v>#NAME?</v>
      </c>
      <c r="G2757" s="100" t="e">
        <f t="shared" ca="1" si="449"/>
        <v>#NAME?</v>
      </c>
      <c r="H2757" s="100" t="e">
        <f t="shared" ca="1" si="450"/>
        <v>#NAME?</v>
      </c>
      <c r="I2757" s="100" t="e">
        <f t="shared" ca="1" si="451"/>
        <v>#NAME?</v>
      </c>
      <c r="J2757" s="100" t="e">
        <f ca="1">IFERROR(__xludf.DUMMYFUNCTION("""COMPUTED_VALUE"""),"-1.399")</f>
        <v>#NAME?</v>
      </c>
      <c r="K2757" s="100" t="e">
        <f t="shared" ca="1" si="452"/>
        <v>#NAME?</v>
      </c>
      <c r="L2757" s="100"/>
      <c r="M2757" s="100"/>
      <c r="N2757" s="100"/>
      <c r="O2757" s="100"/>
      <c r="P2757" s="100"/>
      <c r="Q2757" s="100"/>
      <c r="R2757" s="100"/>
      <c r="S2757" s="100"/>
      <c r="T2757" s="100"/>
      <c r="U2757" s="100"/>
      <c r="V2757" s="100"/>
      <c r="W2757" s="100"/>
      <c r="X2757" s="100"/>
      <c r="Y2757" s="100"/>
      <c r="Z2757" s="100"/>
    </row>
    <row r="2758" spans="1:26">
      <c r="A2758" s="100" t="e">
        <f ca="1">IFERROR(__xludf.DUMMYFUNCTION("""COMPUTED_VALUE"""),58786093)</f>
        <v>#NAME?</v>
      </c>
      <c r="B2758" s="100" t="e">
        <f ca="1">IFERROR(__xludf.DUMMYFUNCTION("""COMPUTED_VALUE"""),"EIGENFDUSD")</f>
        <v>#NAME?</v>
      </c>
      <c r="C2758" s="100" t="e">
        <f ca="1">IFERROR(__xludf.DUMMYFUNCTION("""COMPUTED_VALUE"""),"0.84700000")</f>
        <v>#NAME?</v>
      </c>
      <c r="D2758" s="100" t="e">
        <f t="shared" ca="1" si="447"/>
        <v>#NAME?</v>
      </c>
      <c r="E2758" s="100" t="e">
        <f t="shared" ca="1" si="447"/>
        <v>#NAME?</v>
      </c>
      <c r="F2758" s="100" t="e">
        <f t="shared" ca="1" si="448"/>
        <v>#NAME?</v>
      </c>
      <c r="G2758" s="100" t="e">
        <f t="shared" ca="1" si="449"/>
        <v>#NAME?</v>
      </c>
      <c r="H2758" s="100" t="e">
        <f t="shared" ca="1" si="450"/>
        <v>#NAME?</v>
      </c>
      <c r="I2758" s="100" t="e">
        <f t="shared" ca="1" si="451"/>
        <v>#NAME?</v>
      </c>
      <c r="J2758" s="100" t="e">
        <f ca="1">IFERROR(__xludf.DUMMYFUNCTION("""COMPUTED_VALUE"""),"-1.282")</f>
        <v>#NAME?</v>
      </c>
      <c r="K2758" s="100" t="e">
        <f t="shared" ca="1" si="452"/>
        <v>#NAME?</v>
      </c>
      <c r="L2758" s="100"/>
      <c r="M2758" s="100"/>
      <c r="N2758" s="100"/>
      <c r="O2758" s="100"/>
      <c r="P2758" s="100"/>
      <c r="Q2758" s="100"/>
      <c r="R2758" s="100"/>
      <c r="S2758" s="100"/>
      <c r="T2758" s="100"/>
      <c r="U2758" s="100"/>
      <c r="V2758" s="100"/>
      <c r="W2758" s="100"/>
      <c r="X2758" s="100"/>
      <c r="Y2758" s="100"/>
      <c r="Z2758" s="100"/>
    </row>
    <row r="2759" spans="1:26">
      <c r="A2759" s="100" t="e">
        <f ca="1">IFERROR(__xludf.DUMMYFUNCTION("""COMPUTED_VALUE"""),58786094)</f>
        <v>#NAME?</v>
      </c>
      <c r="B2759" s="100" t="e">
        <f ca="1">IFERROR(__xludf.DUMMYFUNCTION("""COMPUTED_VALUE"""),"EIGENTRY")</f>
        <v>#NAME?</v>
      </c>
      <c r="C2759" s="100" t="e">
        <f ca="1">IFERROR(__xludf.DUMMYFUNCTION("""COMPUTED_VALUE"""),"32.33000000")</f>
        <v>#NAME?</v>
      </c>
      <c r="D2759" s="100" t="e">
        <f t="shared" ca="1" si="447"/>
        <v>#NAME?</v>
      </c>
      <c r="E2759" s="100" t="e">
        <f t="shared" ca="1" si="447"/>
        <v>#NAME?</v>
      </c>
      <c r="F2759" s="100" t="e">
        <f t="shared" ca="1" si="448"/>
        <v>#NAME?</v>
      </c>
      <c r="G2759" s="100" t="e">
        <f t="shared" ca="1" si="449"/>
        <v>#NAME?</v>
      </c>
      <c r="H2759" s="100" t="e">
        <f t="shared" ca="1" si="450"/>
        <v>#NAME?</v>
      </c>
      <c r="I2759" s="100" t="e">
        <f t="shared" ca="1" si="451"/>
        <v>#NAME?</v>
      </c>
      <c r="J2759" s="100" t="e">
        <f ca="1">IFERROR(__xludf.DUMMYFUNCTION("""COMPUTED_VALUE"""),"-1.433")</f>
        <v>#NAME?</v>
      </c>
      <c r="K2759" s="100" t="e">
        <f t="shared" ca="1" si="452"/>
        <v>#NAME?</v>
      </c>
      <c r="L2759" s="100"/>
      <c r="M2759" s="100"/>
      <c r="N2759" s="100"/>
      <c r="O2759" s="100"/>
      <c r="P2759" s="100"/>
      <c r="Q2759" s="100"/>
      <c r="R2759" s="100"/>
      <c r="S2759" s="100"/>
      <c r="T2759" s="100"/>
      <c r="U2759" s="100"/>
      <c r="V2759" s="100"/>
      <c r="W2759" s="100"/>
      <c r="X2759" s="100"/>
      <c r="Y2759" s="100"/>
      <c r="Z2759" s="100"/>
    </row>
    <row r="2760" spans="1:26">
      <c r="A2760" s="100" t="e">
        <f ca="1">IFERROR(__xludf.DUMMYFUNCTION("""COMPUTED_VALUE"""),58786095)</f>
        <v>#NAME?</v>
      </c>
      <c r="B2760" s="100" t="e">
        <f ca="1">IFERROR(__xludf.DUMMYFUNCTION("""COMPUTED_VALUE"""),"NEIROBRL")</f>
        <v>#NAME?</v>
      </c>
      <c r="C2760" s="100" t="e">
        <f ca="1">IFERROR(__xludf.DUMMYFUNCTION("""COMPUTED_VALUE"""),"0.00205300")</f>
        <v>#NAME?</v>
      </c>
      <c r="D2760" s="100" t="e">
        <f t="shared" ca="1" si="447"/>
        <v>#NAME?</v>
      </c>
      <c r="E2760" s="100" t="e">
        <f t="shared" ca="1" si="447"/>
        <v>#NAME?</v>
      </c>
      <c r="F2760" s="100" t="e">
        <f t="shared" ca="1" si="448"/>
        <v>#NAME?</v>
      </c>
      <c r="G2760" s="100" t="e">
        <f t="shared" ca="1" si="449"/>
        <v>#NAME?</v>
      </c>
      <c r="H2760" s="100" t="e">
        <f t="shared" ca="1" si="450"/>
        <v>#NAME?</v>
      </c>
      <c r="I2760" s="100" t="e">
        <f t="shared" ca="1" si="451"/>
        <v>#NAME?</v>
      </c>
      <c r="J2760" s="100" t="e">
        <f ca="1">IFERROR(__xludf.DUMMYFUNCTION("""COMPUTED_VALUE"""),"0")</f>
        <v>#NAME?</v>
      </c>
      <c r="K2760" s="100" t="e">
        <f t="shared" ca="1" si="452"/>
        <v>#NAME?</v>
      </c>
      <c r="L2760" s="100"/>
      <c r="M2760" s="100"/>
      <c r="N2760" s="100"/>
      <c r="O2760" s="100"/>
      <c r="P2760" s="100"/>
      <c r="Q2760" s="100"/>
      <c r="R2760" s="100"/>
      <c r="S2760" s="100"/>
      <c r="T2760" s="100"/>
      <c r="U2760" s="100"/>
      <c r="V2760" s="100"/>
      <c r="W2760" s="100"/>
      <c r="X2760" s="100"/>
      <c r="Y2760" s="100"/>
      <c r="Z2760" s="100"/>
    </row>
    <row r="2761" spans="1:26">
      <c r="A2761" s="100" t="e">
        <f ca="1">IFERROR(__xludf.DUMMYFUNCTION("""COMPUTED_VALUE"""),58786096)</f>
        <v>#NAME?</v>
      </c>
      <c r="B2761" s="100" t="e">
        <f ca="1">IFERROR(__xludf.DUMMYFUNCTION("""COMPUTED_VALUE"""),"NEIROEUR")</f>
        <v>#NAME?</v>
      </c>
      <c r="C2761" s="100" t="e">
        <f ca="1">IFERROR(__xludf.DUMMYFUNCTION("""COMPUTED_VALUE"""),"0.00034972")</f>
        <v>#NAME?</v>
      </c>
      <c r="D2761" s="100" t="e">
        <f t="shared" ca="1" si="447"/>
        <v>#NAME?</v>
      </c>
      <c r="E2761" s="100" t="e">
        <f t="shared" ca="1" si="447"/>
        <v>#NAME?</v>
      </c>
      <c r="F2761" s="100" t="e">
        <f t="shared" ca="1" si="448"/>
        <v>#NAME?</v>
      </c>
      <c r="G2761" s="100" t="e">
        <f t="shared" ca="1" si="449"/>
        <v>#NAME?</v>
      </c>
      <c r="H2761" s="100" t="e">
        <f t="shared" ca="1" si="450"/>
        <v>#NAME?</v>
      </c>
      <c r="I2761" s="100" t="e">
        <f t="shared" ca="1" si="451"/>
        <v>#NAME?</v>
      </c>
      <c r="J2761" s="100" t="e">
        <f ca="1">IFERROR(__xludf.DUMMYFUNCTION("""COMPUTED_VALUE"""),"0")</f>
        <v>#NAME?</v>
      </c>
      <c r="K2761" s="100" t="e">
        <f t="shared" ca="1" si="452"/>
        <v>#NAME?</v>
      </c>
      <c r="L2761" s="100"/>
      <c r="M2761" s="100"/>
      <c r="N2761" s="100"/>
      <c r="O2761" s="100"/>
      <c r="P2761" s="100"/>
      <c r="Q2761" s="100"/>
      <c r="R2761" s="100"/>
      <c r="S2761" s="100"/>
      <c r="T2761" s="100"/>
      <c r="U2761" s="100"/>
      <c r="V2761" s="100"/>
      <c r="W2761" s="100"/>
      <c r="X2761" s="100"/>
      <c r="Y2761" s="100"/>
      <c r="Z2761" s="100"/>
    </row>
    <row r="2762" spans="1:26">
      <c r="A2762" s="100" t="e">
        <f ca="1">IFERROR(__xludf.DUMMYFUNCTION("""COMPUTED_VALUE"""),58786097)</f>
        <v>#NAME?</v>
      </c>
      <c r="B2762" s="100" t="e">
        <f ca="1">IFERROR(__xludf.DUMMYFUNCTION("""COMPUTED_VALUE"""),"BNSOLSOL")</f>
        <v>#NAME?</v>
      </c>
      <c r="C2762" s="100" t="e">
        <f ca="1">IFERROR(__xludf.DUMMYFUNCTION("""COMPUTED_VALUE"""),"1.04670000")</f>
        <v>#NAME?</v>
      </c>
      <c r="D2762" s="100" t="e">
        <f t="shared" ref="D2762:E2781" ca="1" si="453">IFERROR(__xludf.DUMMYFUNCTION("""COMPUTED_VALUE"""),"-")</f>
        <v>#NAME?</v>
      </c>
      <c r="E2762" s="100" t="e">
        <f t="shared" ca="1" si="453"/>
        <v>#NAME?</v>
      </c>
      <c r="F2762" s="100" t="e">
        <f t="shared" ca="1" si="448"/>
        <v>#NAME?</v>
      </c>
      <c r="G2762" s="100" t="e">
        <f t="shared" ca="1" si="449"/>
        <v>#NAME?</v>
      </c>
      <c r="H2762" s="100" t="e">
        <f t="shared" ca="1" si="450"/>
        <v>#NAME?</v>
      </c>
      <c r="I2762" s="100" t="e">
        <f t="shared" ca="1" si="451"/>
        <v>#NAME?</v>
      </c>
      <c r="J2762" s="100" t="e">
        <f ca="1">IFERROR(__xludf.DUMMYFUNCTION("""COMPUTED_VALUE"""),"0.048")</f>
        <v>#NAME?</v>
      </c>
      <c r="K2762" s="100" t="e">
        <f t="shared" ca="1" si="452"/>
        <v>#NAME?</v>
      </c>
      <c r="L2762" s="100"/>
      <c r="M2762" s="100"/>
      <c r="N2762" s="100"/>
      <c r="O2762" s="100"/>
      <c r="P2762" s="100"/>
      <c r="Q2762" s="100"/>
      <c r="R2762" s="100"/>
      <c r="S2762" s="100"/>
      <c r="T2762" s="100"/>
      <c r="U2762" s="100"/>
      <c r="V2762" s="100"/>
      <c r="W2762" s="100"/>
      <c r="X2762" s="100"/>
      <c r="Y2762" s="100"/>
      <c r="Z2762" s="100"/>
    </row>
    <row r="2763" spans="1:26">
      <c r="A2763" s="100" t="e">
        <f ca="1">IFERROR(__xludf.DUMMYFUNCTION("""COMPUTED_VALUE"""),58786098)</f>
        <v>#NAME?</v>
      </c>
      <c r="B2763" s="100" t="e">
        <f ca="1">IFERROR(__xludf.DUMMYFUNCTION("""COMPUTED_VALUE"""),"SCRUSDT")</f>
        <v>#NAME?</v>
      </c>
      <c r="C2763" s="100" t="e">
        <f ca="1">IFERROR(__xludf.DUMMYFUNCTION("""COMPUTED_VALUE"""),"0.25200000")</f>
        <v>#NAME?</v>
      </c>
      <c r="D2763" s="100" t="e">
        <f t="shared" ca="1" si="453"/>
        <v>#NAME?</v>
      </c>
      <c r="E2763" s="100" t="e">
        <f t="shared" ca="1" si="453"/>
        <v>#NAME?</v>
      </c>
      <c r="F2763" s="100" t="e">
        <f t="shared" ca="1" si="448"/>
        <v>#NAME?</v>
      </c>
      <c r="G2763" s="100" t="e">
        <f t="shared" ca="1" si="449"/>
        <v>#NAME?</v>
      </c>
      <c r="H2763" s="100" t="e">
        <f t="shared" ca="1" si="450"/>
        <v>#NAME?</v>
      </c>
      <c r="I2763" s="100" t="e">
        <f t="shared" ca="1" si="451"/>
        <v>#NAME?</v>
      </c>
      <c r="J2763" s="100" t="e">
        <f ca="1">IFERROR(__xludf.DUMMYFUNCTION("""COMPUTED_VALUE"""),"-1.563")</f>
        <v>#NAME?</v>
      </c>
      <c r="K2763" s="100" t="e">
        <f t="shared" ca="1" si="452"/>
        <v>#NAME?</v>
      </c>
      <c r="L2763" s="100"/>
      <c r="M2763" s="100"/>
      <c r="N2763" s="100"/>
      <c r="O2763" s="100"/>
      <c r="P2763" s="100"/>
      <c r="Q2763" s="100"/>
      <c r="R2763" s="100"/>
      <c r="S2763" s="100"/>
      <c r="T2763" s="100"/>
      <c r="U2763" s="100"/>
      <c r="V2763" s="100"/>
      <c r="W2763" s="100"/>
      <c r="X2763" s="100"/>
      <c r="Y2763" s="100"/>
      <c r="Z2763" s="100"/>
    </row>
    <row r="2764" spans="1:26">
      <c r="A2764" s="100" t="e">
        <f ca="1">IFERROR(__xludf.DUMMYFUNCTION("""COMPUTED_VALUE"""),58786099)</f>
        <v>#NAME?</v>
      </c>
      <c r="B2764" s="100" t="e">
        <f ca="1">IFERROR(__xludf.DUMMYFUNCTION("""COMPUTED_VALUE"""),"SUIBRL")</f>
        <v>#NAME?</v>
      </c>
      <c r="C2764" s="100" t="e">
        <f ca="1">IFERROR(__xludf.DUMMYFUNCTION("""COMPUTED_VALUE"""),"13.43000000")</f>
        <v>#NAME?</v>
      </c>
      <c r="D2764" s="100" t="e">
        <f t="shared" ca="1" si="453"/>
        <v>#NAME?</v>
      </c>
      <c r="E2764" s="100" t="e">
        <f t="shared" ca="1" si="453"/>
        <v>#NAME?</v>
      </c>
      <c r="F2764" s="100" t="e">
        <f t="shared" ca="1" si="448"/>
        <v>#NAME?</v>
      </c>
      <c r="G2764" s="100" t="e">
        <f t="shared" ca="1" si="449"/>
        <v>#NAME?</v>
      </c>
      <c r="H2764" s="100" t="e">
        <f t="shared" ca="1" si="450"/>
        <v>#NAME?</v>
      </c>
      <c r="I2764" s="100" t="e">
        <f t="shared" ca="1" si="451"/>
        <v>#NAME?</v>
      </c>
      <c r="J2764" s="100" t="e">
        <f ca="1">IFERROR(__xludf.DUMMYFUNCTION("""COMPUTED_VALUE"""),"1.435")</f>
        <v>#NAME?</v>
      </c>
      <c r="K2764" s="100" t="e">
        <f t="shared" ca="1" si="452"/>
        <v>#NAME?</v>
      </c>
      <c r="L2764" s="100"/>
      <c r="M2764" s="100"/>
      <c r="N2764" s="100"/>
      <c r="O2764" s="100"/>
      <c r="P2764" s="100"/>
      <c r="Q2764" s="100"/>
      <c r="R2764" s="100"/>
      <c r="S2764" s="100"/>
      <c r="T2764" s="100"/>
      <c r="U2764" s="100"/>
      <c r="V2764" s="100"/>
      <c r="W2764" s="100"/>
      <c r="X2764" s="100"/>
      <c r="Y2764" s="100"/>
      <c r="Z2764" s="100"/>
    </row>
    <row r="2765" spans="1:26">
      <c r="A2765" s="100" t="e">
        <f ca="1">IFERROR(__xludf.DUMMYFUNCTION("""COMPUTED_VALUE"""),58786100)</f>
        <v>#NAME?</v>
      </c>
      <c r="B2765" s="100" t="e">
        <f ca="1">IFERROR(__xludf.DUMMYFUNCTION("""COMPUTED_VALUE"""),"TURBOTRY")</f>
        <v>#NAME?</v>
      </c>
      <c r="C2765" s="100" t="e">
        <f ca="1">IFERROR(__xludf.DUMMYFUNCTION("""COMPUTED_VALUE"""),"0.09730000")</f>
        <v>#NAME?</v>
      </c>
      <c r="D2765" s="100" t="e">
        <f t="shared" ca="1" si="453"/>
        <v>#NAME?</v>
      </c>
      <c r="E2765" s="100" t="e">
        <f t="shared" ca="1" si="453"/>
        <v>#NAME?</v>
      </c>
      <c r="F2765" s="100" t="e">
        <f t="shared" ca="1" si="448"/>
        <v>#NAME?</v>
      </c>
      <c r="G2765" s="100" t="e">
        <f t="shared" ca="1" si="449"/>
        <v>#NAME?</v>
      </c>
      <c r="H2765" s="100" t="e">
        <f t="shared" ca="1" si="450"/>
        <v>#NAME?</v>
      </c>
      <c r="I2765" s="100" t="e">
        <f t="shared" ca="1" si="451"/>
        <v>#NAME?</v>
      </c>
      <c r="J2765" s="100" t="e">
        <f ca="1">IFERROR(__xludf.DUMMYFUNCTION("""COMPUTED_VALUE"""),"13.668")</f>
        <v>#NAME?</v>
      </c>
      <c r="K2765" s="100" t="e">
        <f t="shared" ca="1" si="452"/>
        <v>#NAME?</v>
      </c>
      <c r="L2765" s="100"/>
      <c r="M2765" s="100"/>
      <c r="N2765" s="100"/>
      <c r="O2765" s="100"/>
      <c r="P2765" s="100"/>
      <c r="Q2765" s="100"/>
      <c r="R2765" s="100"/>
      <c r="S2765" s="100"/>
      <c r="T2765" s="100"/>
      <c r="U2765" s="100"/>
      <c r="V2765" s="100"/>
      <c r="W2765" s="100"/>
      <c r="X2765" s="100"/>
      <c r="Y2765" s="100"/>
      <c r="Z2765" s="100"/>
    </row>
    <row r="2766" spans="1:26">
      <c r="A2766" s="100" t="e">
        <f ca="1">IFERROR(__xludf.DUMMYFUNCTION("""COMPUTED_VALUE"""),58786101)</f>
        <v>#NAME?</v>
      </c>
      <c r="B2766" s="100" t="e">
        <f ca="1">IFERROR(__xludf.DUMMYFUNCTION("""COMPUTED_VALUE"""),"BNSOLUSDT")</f>
        <v>#NAME?</v>
      </c>
      <c r="C2766" s="100" t="e">
        <f ca="1">IFERROR(__xludf.DUMMYFUNCTION("""COMPUTED_VALUE"""),"146.50000000")</f>
        <v>#NAME?</v>
      </c>
      <c r="D2766" s="100" t="e">
        <f t="shared" ca="1" si="453"/>
        <v>#NAME?</v>
      </c>
      <c r="E2766" s="100" t="e">
        <f t="shared" ca="1" si="453"/>
        <v>#NAME?</v>
      </c>
      <c r="F2766" s="100" t="e">
        <f t="shared" ca="1" si="448"/>
        <v>#NAME?</v>
      </c>
      <c r="G2766" s="100" t="e">
        <f t="shared" ca="1" si="449"/>
        <v>#NAME?</v>
      </c>
      <c r="H2766" s="100" t="e">
        <f t="shared" ca="1" si="450"/>
        <v>#NAME?</v>
      </c>
      <c r="I2766" s="100" t="e">
        <f t="shared" ca="1" si="451"/>
        <v>#NAME?</v>
      </c>
      <c r="J2766" s="100" t="e">
        <f ca="1">IFERROR(__xludf.DUMMYFUNCTION("""COMPUTED_VALUE"""),"0.068")</f>
        <v>#NAME?</v>
      </c>
      <c r="K2766" s="100" t="e">
        <f t="shared" ca="1" si="452"/>
        <v>#NAME?</v>
      </c>
      <c r="L2766" s="100"/>
      <c r="M2766" s="100"/>
      <c r="N2766" s="100"/>
      <c r="O2766" s="100"/>
      <c r="P2766" s="100"/>
      <c r="Q2766" s="100"/>
      <c r="R2766" s="100"/>
      <c r="S2766" s="100"/>
      <c r="T2766" s="100"/>
      <c r="U2766" s="100"/>
      <c r="V2766" s="100"/>
      <c r="W2766" s="100"/>
      <c r="X2766" s="100"/>
      <c r="Y2766" s="100"/>
      <c r="Z2766" s="100"/>
    </row>
    <row r="2767" spans="1:26">
      <c r="A2767" s="100" t="e">
        <f ca="1">IFERROR(__xludf.DUMMYFUNCTION("""COMPUTED_VALUE"""),58786102)</f>
        <v>#NAME?</v>
      </c>
      <c r="B2767" s="100" t="e">
        <f ca="1">IFERROR(__xludf.DUMMYFUNCTION("""COMPUTED_VALUE"""),"LUMIAUSDT")</f>
        <v>#NAME?</v>
      </c>
      <c r="C2767" s="100" t="e">
        <f ca="1">IFERROR(__xludf.DUMMYFUNCTION("""COMPUTED_VALUE"""),"0.32000000")</f>
        <v>#NAME?</v>
      </c>
      <c r="D2767" s="100" t="e">
        <f t="shared" ca="1" si="453"/>
        <v>#NAME?</v>
      </c>
      <c r="E2767" s="100" t="e">
        <f t="shared" ca="1" si="453"/>
        <v>#NAME?</v>
      </c>
      <c r="F2767" s="100" t="e">
        <f t="shared" ca="1" si="448"/>
        <v>#NAME?</v>
      </c>
      <c r="G2767" s="100" t="e">
        <f t="shared" ca="1" si="449"/>
        <v>#NAME?</v>
      </c>
      <c r="H2767" s="100" t="e">
        <f t="shared" ca="1" si="450"/>
        <v>#NAME?</v>
      </c>
      <c r="I2767" s="100" t="e">
        <f t="shared" ca="1" si="451"/>
        <v>#NAME?</v>
      </c>
      <c r="J2767" s="100" t="e">
        <f ca="1">IFERROR(__xludf.DUMMYFUNCTION("""COMPUTED_VALUE"""),"-0.312")</f>
        <v>#NAME?</v>
      </c>
      <c r="K2767" s="100" t="e">
        <f t="shared" ca="1" si="452"/>
        <v>#NAME?</v>
      </c>
      <c r="L2767" s="100"/>
      <c r="M2767" s="100"/>
      <c r="N2767" s="100"/>
      <c r="O2767" s="100"/>
      <c r="P2767" s="100"/>
      <c r="Q2767" s="100"/>
      <c r="R2767" s="100"/>
      <c r="S2767" s="100"/>
      <c r="T2767" s="100"/>
      <c r="U2767" s="100"/>
      <c r="V2767" s="100"/>
      <c r="W2767" s="100"/>
      <c r="X2767" s="100"/>
      <c r="Y2767" s="100"/>
      <c r="Z2767" s="100"/>
    </row>
    <row r="2768" spans="1:26">
      <c r="A2768" s="100" t="e">
        <f ca="1">IFERROR(__xludf.DUMMYFUNCTION("""COMPUTED_VALUE"""),58786103)</f>
        <v>#NAME?</v>
      </c>
      <c r="B2768" s="100" t="e">
        <f ca="1">IFERROR(__xludf.DUMMYFUNCTION("""COMPUTED_VALUE"""),"SCRBTC")</f>
        <v>#NAME?</v>
      </c>
      <c r="C2768" s="100" t="e">
        <f ca="1">IFERROR(__xludf.DUMMYFUNCTION("""COMPUTED_VALUE"""),"0.00000284")</f>
        <v>#NAME?</v>
      </c>
      <c r="D2768" s="100" t="e">
        <f t="shared" ca="1" si="453"/>
        <v>#NAME?</v>
      </c>
      <c r="E2768" s="100" t="e">
        <f t="shared" ca="1" si="453"/>
        <v>#NAME?</v>
      </c>
      <c r="F2768" s="100" t="e">
        <f t="shared" ca="1" si="448"/>
        <v>#NAME?</v>
      </c>
      <c r="G2768" s="100" t="e">
        <f t="shared" ca="1" si="449"/>
        <v>#NAME?</v>
      </c>
      <c r="H2768" s="100" t="e">
        <f t="shared" ca="1" si="450"/>
        <v>#NAME?</v>
      </c>
      <c r="I2768" s="100" t="e">
        <f t="shared" ca="1" si="451"/>
        <v>#NAME?</v>
      </c>
      <c r="J2768" s="100" t="e">
        <f ca="1">IFERROR(__xludf.DUMMYFUNCTION("""COMPUTED_VALUE"""),"-3.072")</f>
        <v>#NAME?</v>
      </c>
      <c r="K2768" s="100" t="e">
        <f t="shared" ca="1" si="452"/>
        <v>#NAME?</v>
      </c>
      <c r="L2768" s="100"/>
      <c r="M2768" s="100"/>
      <c r="N2768" s="100"/>
      <c r="O2768" s="100"/>
      <c r="P2768" s="100"/>
      <c r="Q2768" s="100"/>
      <c r="R2768" s="100"/>
      <c r="S2768" s="100"/>
      <c r="T2768" s="100"/>
      <c r="U2768" s="100"/>
      <c r="V2768" s="100"/>
      <c r="W2768" s="100"/>
      <c r="X2768" s="100"/>
      <c r="Y2768" s="100"/>
      <c r="Z2768" s="100"/>
    </row>
    <row r="2769" spans="1:26">
      <c r="A2769" s="100" t="e">
        <f ca="1">IFERROR(__xludf.DUMMYFUNCTION("""COMPUTED_VALUE"""),58786104)</f>
        <v>#NAME?</v>
      </c>
      <c r="B2769" s="100" t="e">
        <f ca="1">IFERROR(__xludf.DUMMYFUNCTION("""COMPUTED_VALUE"""),"SCRFDUSD")</f>
        <v>#NAME?</v>
      </c>
      <c r="C2769" s="100" t="e">
        <f ca="1">IFERROR(__xludf.DUMMYFUNCTION("""COMPUTED_VALUE"""),"0.25200000")</f>
        <v>#NAME?</v>
      </c>
      <c r="D2769" s="100" t="e">
        <f t="shared" ca="1" si="453"/>
        <v>#NAME?</v>
      </c>
      <c r="E2769" s="100" t="e">
        <f t="shared" ca="1" si="453"/>
        <v>#NAME?</v>
      </c>
      <c r="F2769" s="100" t="e">
        <f t="shared" ca="1" si="448"/>
        <v>#NAME?</v>
      </c>
      <c r="G2769" s="100" t="e">
        <f t="shared" ca="1" si="449"/>
        <v>#NAME?</v>
      </c>
      <c r="H2769" s="100" t="e">
        <f t="shared" ca="1" si="450"/>
        <v>#NAME?</v>
      </c>
      <c r="I2769" s="100" t="e">
        <f t="shared" ca="1" si="451"/>
        <v>#NAME?</v>
      </c>
      <c r="J2769" s="100" t="e">
        <f ca="1">IFERROR(__xludf.DUMMYFUNCTION("""COMPUTED_VALUE"""),"-1.563")</f>
        <v>#NAME?</v>
      </c>
      <c r="K2769" s="100" t="e">
        <f t="shared" ca="1" si="452"/>
        <v>#NAME?</v>
      </c>
      <c r="L2769" s="100"/>
      <c r="M2769" s="100"/>
      <c r="N2769" s="100"/>
      <c r="O2769" s="100"/>
      <c r="P2769" s="100"/>
      <c r="Q2769" s="100"/>
      <c r="R2769" s="100"/>
      <c r="S2769" s="100"/>
      <c r="T2769" s="100"/>
      <c r="U2769" s="100"/>
      <c r="V2769" s="100"/>
      <c r="W2769" s="100"/>
      <c r="X2769" s="100"/>
      <c r="Y2769" s="100"/>
      <c r="Z2769" s="100"/>
    </row>
    <row r="2770" spans="1:26">
      <c r="A2770" s="100" t="e">
        <f ca="1">IFERROR(__xludf.DUMMYFUNCTION("""COMPUTED_VALUE"""),58786105)</f>
        <v>#NAME?</v>
      </c>
      <c r="B2770" s="100" t="e">
        <f ca="1">IFERROR(__xludf.DUMMYFUNCTION("""COMPUTED_VALUE"""),"SCRTRY")</f>
        <v>#NAME?</v>
      </c>
      <c r="C2770" s="100" t="e">
        <f ca="1">IFERROR(__xludf.DUMMYFUNCTION("""COMPUTED_VALUE"""),"9.65000000")</f>
        <v>#NAME?</v>
      </c>
      <c r="D2770" s="100" t="e">
        <f t="shared" ca="1" si="453"/>
        <v>#NAME?</v>
      </c>
      <c r="E2770" s="100" t="e">
        <f t="shared" ca="1" si="453"/>
        <v>#NAME?</v>
      </c>
      <c r="F2770" s="100" t="e">
        <f t="shared" ca="1" si="448"/>
        <v>#NAME?</v>
      </c>
      <c r="G2770" s="100" t="e">
        <f t="shared" ca="1" si="449"/>
        <v>#NAME?</v>
      </c>
      <c r="H2770" s="100" t="e">
        <f t="shared" ca="1" si="450"/>
        <v>#NAME?</v>
      </c>
      <c r="I2770" s="100" t="e">
        <f t="shared" ca="1" si="451"/>
        <v>#NAME?</v>
      </c>
      <c r="J2770" s="100" t="e">
        <f ca="1">IFERROR(__xludf.DUMMYFUNCTION("""COMPUTED_VALUE"""),"-1.127")</f>
        <v>#NAME?</v>
      </c>
      <c r="K2770" s="100" t="e">
        <f t="shared" ca="1" si="452"/>
        <v>#NAME?</v>
      </c>
      <c r="L2770" s="100"/>
      <c r="M2770" s="100"/>
      <c r="N2770" s="100"/>
      <c r="O2770" s="100"/>
      <c r="P2770" s="100"/>
      <c r="Q2770" s="100"/>
      <c r="R2770" s="100"/>
      <c r="S2770" s="100"/>
      <c r="T2770" s="100"/>
      <c r="U2770" s="100"/>
      <c r="V2770" s="100"/>
      <c r="W2770" s="100"/>
      <c r="X2770" s="100"/>
      <c r="Y2770" s="100"/>
      <c r="Z2770" s="100"/>
    </row>
    <row r="2771" spans="1:26">
      <c r="A2771" s="100" t="e">
        <f ca="1">IFERROR(__xludf.DUMMYFUNCTION("""COMPUTED_VALUE"""),58786106)</f>
        <v>#NAME?</v>
      </c>
      <c r="B2771" s="100" t="e">
        <f ca="1">IFERROR(__xludf.DUMMYFUNCTION("""COMPUTED_VALUE"""),"KAIAUSDT")</f>
        <v>#NAME?</v>
      </c>
      <c r="C2771" s="100" t="e">
        <f ca="1">IFERROR(__xludf.DUMMYFUNCTION("""COMPUTED_VALUE"""),"0.11300000")</f>
        <v>#NAME?</v>
      </c>
      <c r="D2771" s="100" t="e">
        <f t="shared" ca="1" si="453"/>
        <v>#NAME?</v>
      </c>
      <c r="E2771" s="100" t="e">
        <f t="shared" ca="1" si="453"/>
        <v>#NAME?</v>
      </c>
      <c r="F2771" s="100" t="e">
        <f t="shared" ca="1" si="448"/>
        <v>#NAME?</v>
      </c>
      <c r="G2771" s="100" t="e">
        <f t="shared" ca="1" si="449"/>
        <v>#NAME?</v>
      </c>
      <c r="H2771" s="100" t="e">
        <f t="shared" ca="1" si="450"/>
        <v>#NAME?</v>
      </c>
      <c r="I2771" s="100" t="e">
        <f t="shared" ca="1" si="451"/>
        <v>#NAME?</v>
      </c>
      <c r="J2771" s="100" t="e">
        <f ca="1">IFERROR(__xludf.DUMMYFUNCTION("""COMPUTED_VALUE"""),"4.727")</f>
        <v>#NAME?</v>
      </c>
      <c r="K2771" s="100" t="e">
        <f t="shared" ca="1" si="452"/>
        <v>#NAME?</v>
      </c>
      <c r="L2771" s="100"/>
      <c r="M2771" s="100"/>
      <c r="N2771" s="100"/>
      <c r="O2771" s="100"/>
      <c r="P2771" s="100"/>
      <c r="Q2771" s="100"/>
      <c r="R2771" s="100"/>
      <c r="S2771" s="100"/>
      <c r="T2771" s="100"/>
      <c r="U2771" s="100"/>
      <c r="V2771" s="100"/>
      <c r="W2771" s="100"/>
      <c r="X2771" s="100"/>
      <c r="Y2771" s="100"/>
      <c r="Z2771" s="100"/>
    </row>
    <row r="2772" spans="1:26">
      <c r="A2772" s="100" t="e">
        <f ca="1">IFERROR(__xludf.DUMMYFUNCTION("""COMPUTED_VALUE"""),58786107)</f>
        <v>#NAME?</v>
      </c>
      <c r="B2772" s="100" t="e">
        <f ca="1">IFERROR(__xludf.DUMMYFUNCTION("""COMPUTED_VALUE"""),"COWUSDT")</f>
        <v>#NAME?</v>
      </c>
      <c r="C2772" s="100" t="e">
        <f ca="1">IFERROR(__xludf.DUMMYFUNCTION("""COMPUTED_VALUE"""),"0.27920000")</f>
        <v>#NAME?</v>
      </c>
      <c r="D2772" s="100" t="e">
        <f t="shared" ca="1" si="453"/>
        <v>#NAME?</v>
      </c>
      <c r="E2772" s="100" t="e">
        <f t="shared" ca="1" si="453"/>
        <v>#NAME?</v>
      </c>
      <c r="F2772" s="100" t="e">
        <f t="shared" ca="1" si="448"/>
        <v>#NAME?</v>
      </c>
      <c r="G2772" s="100" t="e">
        <f t="shared" ca="1" si="449"/>
        <v>#NAME?</v>
      </c>
      <c r="H2772" s="100" t="e">
        <f t="shared" ca="1" si="450"/>
        <v>#NAME?</v>
      </c>
      <c r="I2772" s="100" t="e">
        <f t="shared" ca="1" si="451"/>
        <v>#NAME?</v>
      </c>
      <c r="J2772" s="100" t="e">
        <f ca="1">IFERROR(__xludf.DUMMYFUNCTION("""COMPUTED_VALUE"""),"-3.190")</f>
        <v>#NAME?</v>
      </c>
      <c r="K2772" s="100" t="e">
        <f t="shared" ca="1" si="452"/>
        <v>#NAME?</v>
      </c>
      <c r="L2772" s="100"/>
      <c r="M2772" s="100"/>
      <c r="N2772" s="100"/>
      <c r="O2772" s="100"/>
      <c r="P2772" s="100"/>
      <c r="Q2772" s="100"/>
      <c r="R2772" s="100"/>
      <c r="S2772" s="100"/>
      <c r="T2772" s="100"/>
      <c r="U2772" s="100"/>
      <c r="V2772" s="100"/>
      <c r="W2772" s="100"/>
      <c r="X2772" s="100"/>
      <c r="Y2772" s="100"/>
      <c r="Z2772" s="100"/>
    </row>
    <row r="2773" spans="1:26">
      <c r="A2773" s="100" t="e">
        <f ca="1">IFERROR(__xludf.DUMMYFUNCTION("""COMPUTED_VALUE"""),58786108)</f>
        <v>#NAME?</v>
      </c>
      <c r="B2773" s="100" t="e">
        <f ca="1">IFERROR(__xludf.DUMMYFUNCTION("""COMPUTED_VALUE"""),"CETUSUSDT")</f>
        <v>#NAME?</v>
      </c>
      <c r="C2773" s="100" t="e">
        <f ca="1">IFERROR(__xludf.DUMMYFUNCTION("""COMPUTED_VALUE"""),"0.10760000")</f>
        <v>#NAME?</v>
      </c>
      <c r="D2773" s="100" t="e">
        <f t="shared" ca="1" si="453"/>
        <v>#NAME?</v>
      </c>
      <c r="E2773" s="100" t="e">
        <f t="shared" ca="1" si="453"/>
        <v>#NAME?</v>
      </c>
      <c r="F2773" s="100" t="e">
        <f t="shared" ca="1" si="448"/>
        <v>#NAME?</v>
      </c>
      <c r="G2773" s="100" t="e">
        <f t="shared" ca="1" si="449"/>
        <v>#NAME?</v>
      </c>
      <c r="H2773" s="100" t="e">
        <f t="shared" ca="1" si="450"/>
        <v>#NAME?</v>
      </c>
      <c r="I2773" s="100" t="e">
        <f t="shared" ca="1" si="451"/>
        <v>#NAME?</v>
      </c>
      <c r="J2773" s="100" t="e">
        <f ca="1">IFERROR(__xludf.DUMMYFUNCTION("""COMPUTED_VALUE"""),"-1.012")</f>
        <v>#NAME?</v>
      </c>
      <c r="K2773" s="100" t="e">
        <f t="shared" ca="1" si="452"/>
        <v>#NAME?</v>
      </c>
      <c r="L2773" s="100"/>
      <c r="M2773" s="100"/>
      <c r="N2773" s="100"/>
      <c r="O2773" s="100"/>
      <c r="P2773" s="100"/>
      <c r="Q2773" s="100"/>
      <c r="R2773" s="100"/>
      <c r="S2773" s="100"/>
      <c r="T2773" s="100"/>
      <c r="U2773" s="100"/>
      <c r="V2773" s="100"/>
      <c r="W2773" s="100"/>
      <c r="X2773" s="100"/>
      <c r="Y2773" s="100"/>
      <c r="Z2773" s="100"/>
    </row>
    <row r="2774" spans="1:26">
      <c r="A2774" s="100" t="e">
        <f ca="1">IFERROR(__xludf.DUMMYFUNCTION("""COMPUTED_VALUE"""),58786109)</f>
        <v>#NAME?</v>
      </c>
      <c r="B2774" s="100" t="e">
        <f ca="1">IFERROR(__xludf.DUMMYFUNCTION("""COMPUTED_VALUE"""),"PNUTUSDT")</f>
        <v>#NAME?</v>
      </c>
      <c r="C2774" s="100" t="e">
        <f ca="1">IFERROR(__xludf.DUMMYFUNCTION("""COMPUTED_VALUE"""),"0.13090000")</f>
        <v>#NAME?</v>
      </c>
      <c r="D2774" s="100" t="e">
        <f t="shared" ca="1" si="453"/>
        <v>#NAME?</v>
      </c>
      <c r="E2774" s="100" t="e">
        <f t="shared" ca="1" si="453"/>
        <v>#NAME?</v>
      </c>
      <c r="F2774" s="100" t="e">
        <f t="shared" ca="1" si="448"/>
        <v>#NAME?</v>
      </c>
      <c r="G2774" s="100" t="e">
        <f t="shared" ca="1" si="449"/>
        <v>#NAME?</v>
      </c>
      <c r="H2774" s="100" t="e">
        <f t="shared" ca="1" si="450"/>
        <v>#NAME?</v>
      </c>
      <c r="I2774" s="100" t="e">
        <f t="shared" ca="1" si="451"/>
        <v>#NAME?</v>
      </c>
      <c r="J2774" s="100" t="e">
        <f ca="1">IFERROR(__xludf.DUMMYFUNCTION("""COMPUTED_VALUE"""),"-3.537")</f>
        <v>#NAME?</v>
      </c>
      <c r="K2774" s="100" t="e">
        <f t="shared" ca="1" si="452"/>
        <v>#NAME?</v>
      </c>
      <c r="L2774" s="100"/>
      <c r="M2774" s="100"/>
      <c r="N2774" s="100"/>
      <c r="O2774" s="100"/>
      <c r="P2774" s="100"/>
      <c r="Q2774" s="100"/>
      <c r="R2774" s="100"/>
      <c r="S2774" s="100"/>
      <c r="T2774" s="100"/>
      <c r="U2774" s="100"/>
      <c r="V2774" s="100"/>
      <c r="W2774" s="100"/>
      <c r="X2774" s="100"/>
      <c r="Y2774" s="100"/>
      <c r="Z2774" s="100"/>
    </row>
    <row r="2775" spans="1:26">
      <c r="A2775" s="100" t="e">
        <f ca="1">IFERROR(__xludf.DUMMYFUNCTION("""COMPUTED_VALUE"""),58786110)</f>
        <v>#NAME?</v>
      </c>
      <c r="B2775" s="100" t="e">
        <f ca="1">IFERROR(__xludf.DUMMYFUNCTION("""COMPUTED_VALUE"""),"ACTUSDT")</f>
        <v>#NAME?</v>
      </c>
      <c r="C2775" s="100" t="e">
        <f ca="1">IFERROR(__xludf.DUMMYFUNCTION("""COMPUTED_VALUE"""),"0.05540000")</f>
        <v>#NAME?</v>
      </c>
      <c r="D2775" s="100" t="e">
        <f t="shared" ca="1" si="453"/>
        <v>#NAME?</v>
      </c>
      <c r="E2775" s="100" t="e">
        <f t="shared" ca="1" si="453"/>
        <v>#NAME?</v>
      </c>
      <c r="F2775" s="100" t="e">
        <f t="shared" ca="1" si="448"/>
        <v>#NAME?</v>
      </c>
      <c r="G2775" s="100" t="e">
        <f t="shared" ca="1" si="449"/>
        <v>#NAME?</v>
      </c>
      <c r="H2775" s="100" t="e">
        <f t="shared" ca="1" si="450"/>
        <v>#NAME?</v>
      </c>
      <c r="I2775" s="100" t="e">
        <f t="shared" ca="1" si="451"/>
        <v>#NAME?</v>
      </c>
      <c r="J2775" s="100" t="e">
        <f ca="1">IFERROR(__xludf.DUMMYFUNCTION("""COMPUTED_VALUE"""),"-3.316")</f>
        <v>#NAME?</v>
      </c>
      <c r="K2775" s="100" t="e">
        <f t="shared" ca="1" si="452"/>
        <v>#NAME?</v>
      </c>
      <c r="L2775" s="100"/>
      <c r="M2775" s="100"/>
      <c r="N2775" s="100"/>
      <c r="O2775" s="100"/>
      <c r="P2775" s="100"/>
      <c r="Q2775" s="100"/>
      <c r="R2775" s="100"/>
      <c r="S2775" s="100"/>
      <c r="T2775" s="100"/>
      <c r="U2775" s="100"/>
      <c r="V2775" s="100"/>
      <c r="W2775" s="100"/>
      <c r="X2775" s="100"/>
      <c r="Y2775" s="100"/>
      <c r="Z2775" s="100"/>
    </row>
    <row r="2776" spans="1:26">
      <c r="A2776" s="100" t="e">
        <f ca="1">IFERROR(__xludf.DUMMYFUNCTION("""COMPUTED_VALUE"""),58786111)</f>
        <v>#NAME?</v>
      </c>
      <c r="B2776" s="100" t="e">
        <f ca="1">IFERROR(__xludf.DUMMYFUNCTION("""COMPUTED_VALUE"""),"ACTTRY")</f>
        <v>#NAME?</v>
      </c>
      <c r="C2776" s="100" t="e">
        <f ca="1">IFERROR(__xludf.DUMMYFUNCTION("""COMPUTED_VALUE"""),"2.12000000")</f>
        <v>#NAME?</v>
      </c>
      <c r="D2776" s="100" t="e">
        <f t="shared" ca="1" si="453"/>
        <v>#NAME?</v>
      </c>
      <c r="E2776" s="100" t="e">
        <f t="shared" ca="1" si="453"/>
        <v>#NAME?</v>
      </c>
      <c r="F2776" s="100" t="e">
        <f t="shared" ca="1" si="448"/>
        <v>#NAME?</v>
      </c>
      <c r="G2776" s="100" t="e">
        <f t="shared" ca="1" si="449"/>
        <v>#NAME?</v>
      </c>
      <c r="H2776" s="100" t="e">
        <f t="shared" ca="1" si="450"/>
        <v>#NAME?</v>
      </c>
      <c r="I2776" s="100" t="e">
        <f t="shared" ca="1" si="451"/>
        <v>#NAME?</v>
      </c>
      <c r="J2776" s="100" t="e">
        <f ca="1">IFERROR(__xludf.DUMMYFUNCTION("""COMPUTED_VALUE"""),"-3.196")</f>
        <v>#NAME?</v>
      </c>
      <c r="K2776" s="100" t="e">
        <f t="shared" ca="1" si="452"/>
        <v>#NAME?</v>
      </c>
      <c r="L2776" s="100"/>
      <c r="M2776" s="100"/>
      <c r="N2776" s="100"/>
      <c r="O2776" s="100"/>
      <c r="P2776" s="100"/>
      <c r="Q2776" s="100"/>
      <c r="R2776" s="100"/>
      <c r="S2776" s="100"/>
      <c r="T2776" s="100"/>
      <c r="U2776" s="100"/>
      <c r="V2776" s="100"/>
      <c r="W2776" s="100"/>
      <c r="X2776" s="100"/>
      <c r="Y2776" s="100"/>
      <c r="Z2776" s="100"/>
    </row>
    <row r="2777" spans="1:26">
      <c r="A2777" s="100" t="e">
        <f ca="1">IFERROR(__xludf.DUMMYFUNCTION("""COMPUTED_VALUE"""),58786112)</f>
        <v>#NAME?</v>
      </c>
      <c r="B2777" s="100" t="e">
        <f ca="1">IFERROR(__xludf.DUMMYFUNCTION("""COMPUTED_VALUE"""),"COWTRY")</f>
        <v>#NAME?</v>
      </c>
      <c r="C2777" s="100" t="e">
        <f ca="1">IFERROR(__xludf.DUMMYFUNCTION("""COMPUTED_VALUE"""),"10.66000000")</f>
        <v>#NAME?</v>
      </c>
      <c r="D2777" s="100" t="e">
        <f t="shared" ca="1" si="453"/>
        <v>#NAME?</v>
      </c>
      <c r="E2777" s="100" t="e">
        <f t="shared" ca="1" si="453"/>
        <v>#NAME?</v>
      </c>
      <c r="F2777" s="100" t="e">
        <f t="shared" ca="1" si="448"/>
        <v>#NAME?</v>
      </c>
      <c r="G2777" s="100" t="e">
        <f t="shared" ca="1" si="449"/>
        <v>#NAME?</v>
      </c>
      <c r="H2777" s="100" t="e">
        <f t="shared" ca="1" si="450"/>
        <v>#NAME?</v>
      </c>
      <c r="I2777" s="100" t="e">
        <f t="shared" ca="1" si="451"/>
        <v>#NAME?</v>
      </c>
      <c r="J2777" s="100" t="e">
        <f ca="1">IFERROR(__xludf.DUMMYFUNCTION("""COMPUTED_VALUE"""),"-3.267")</f>
        <v>#NAME?</v>
      </c>
      <c r="K2777" s="100" t="e">
        <f t="shared" ca="1" si="452"/>
        <v>#NAME?</v>
      </c>
      <c r="L2777" s="100"/>
      <c r="M2777" s="100"/>
      <c r="N2777" s="100"/>
      <c r="O2777" s="100"/>
      <c r="P2777" s="100"/>
      <c r="Q2777" s="100"/>
      <c r="R2777" s="100"/>
      <c r="S2777" s="100"/>
      <c r="T2777" s="100"/>
      <c r="U2777" s="100"/>
      <c r="V2777" s="100"/>
      <c r="W2777" s="100"/>
      <c r="X2777" s="100"/>
      <c r="Y2777" s="100"/>
      <c r="Z2777" s="100"/>
    </row>
    <row r="2778" spans="1:26">
      <c r="A2778" s="100" t="e">
        <f ca="1">IFERROR(__xludf.DUMMYFUNCTION("""COMPUTED_VALUE"""),58786113)</f>
        <v>#NAME?</v>
      </c>
      <c r="B2778" s="100" t="e">
        <f ca="1">IFERROR(__xludf.DUMMYFUNCTION("""COMPUTED_VALUE"""),"CETUSTRY")</f>
        <v>#NAME?</v>
      </c>
      <c r="C2778" s="100" t="e">
        <f ca="1">IFERROR(__xludf.DUMMYFUNCTION("""COMPUTED_VALUE"""),"4.11000000")</f>
        <v>#NAME?</v>
      </c>
      <c r="D2778" s="100" t="e">
        <f t="shared" ca="1" si="453"/>
        <v>#NAME?</v>
      </c>
      <c r="E2778" s="100" t="e">
        <f t="shared" ca="1" si="453"/>
        <v>#NAME?</v>
      </c>
      <c r="F2778" s="100" t="e">
        <f t="shared" ca="1" si="448"/>
        <v>#NAME?</v>
      </c>
      <c r="G2778" s="100" t="e">
        <f t="shared" ca="1" si="449"/>
        <v>#NAME?</v>
      </c>
      <c r="H2778" s="100" t="e">
        <f t="shared" ca="1" si="450"/>
        <v>#NAME?</v>
      </c>
      <c r="I2778" s="100" t="e">
        <f t="shared" ca="1" si="451"/>
        <v>#NAME?</v>
      </c>
      <c r="J2778" s="100" t="e">
        <f ca="1">IFERROR(__xludf.DUMMYFUNCTION("""COMPUTED_VALUE"""),"-0.725")</f>
        <v>#NAME?</v>
      </c>
      <c r="K2778" s="100" t="e">
        <f t="shared" ca="1" si="452"/>
        <v>#NAME?</v>
      </c>
      <c r="L2778" s="100"/>
      <c r="M2778" s="100"/>
      <c r="N2778" s="100"/>
      <c r="O2778" s="100"/>
      <c r="P2778" s="100"/>
      <c r="Q2778" s="100"/>
      <c r="R2778" s="100"/>
      <c r="S2778" s="100"/>
      <c r="T2778" s="100"/>
      <c r="U2778" s="100"/>
      <c r="V2778" s="100"/>
      <c r="W2778" s="100"/>
      <c r="X2778" s="100"/>
      <c r="Y2778" s="100"/>
      <c r="Z2778" s="100"/>
    </row>
    <row r="2779" spans="1:26">
      <c r="A2779" s="100" t="e">
        <f ca="1">IFERROR(__xludf.DUMMYFUNCTION("""COMPUTED_VALUE"""),58786114)</f>
        <v>#NAME?</v>
      </c>
      <c r="B2779" s="100" t="e">
        <f ca="1">IFERROR(__xludf.DUMMYFUNCTION("""COMPUTED_VALUE"""),"TROYTRY")</f>
        <v>#NAME?</v>
      </c>
      <c r="C2779" s="100" t="e">
        <f ca="1">IFERROR(__xludf.DUMMYFUNCTION("""COMPUTED_VALUE"""),"0.00240000")</f>
        <v>#NAME?</v>
      </c>
      <c r="D2779" s="100" t="e">
        <f t="shared" ca="1" si="453"/>
        <v>#NAME?</v>
      </c>
      <c r="E2779" s="100" t="e">
        <f t="shared" ca="1" si="453"/>
        <v>#NAME?</v>
      </c>
      <c r="F2779" s="100" t="e">
        <f t="shared" ca="1" si="448"/>
        <v>#NAME?</v>
      </c>
      <c r="G2779" s="100" t="e">
        <f t="shared" ca="1" si="449"/>
        <v>#NAME?</v>
      </c>
      <c r="H2779" s="100" t="e">
        <f t="shared" ca="1" si="450"/>
        <v>#NAME?</v>
      </c>
      <c r="I2779" s="100" t="e">
        <f t="shared" ca="1" si="451"/>
        <v>#NAME?</v>
      </c>
      <c r="J2779" s="100" t="e">
        <f ca="1">IFERROR(__xludf.DUMMYFUNCTION("""COMPUTED_VALUE"""),"-54.717")</f>
        <v>#NAME?</v>
      </c>
      <c r="K2779" s="100" t="e">
        <f t="shared" ca="1" si="452"/>
        <v>#NAME?</v>
      </c>
      <c r="L2779" s="100"/>
      <c r="M2779" s="100"/>
      <c r="N2779" s="100"/>
      <c r="O2779" s="100"/>
      <c r="P2779" s="100"/>
      <c r="Q2779" s="100"/>
      <c r="R2779" s="100"/>
      <c r="S2779" s="100"/>
      <c r="T2779" s="100"/>
      <c r="U2779" s="100"/>
      <c r="V2779" s="100"/>
      <c r="W2779" s="100"/>
      <c r="X2779" s="100"/>
      <c r="Y2779" s="100"/>
      <c r="Z2779" s="100"/>
    </row>
    <row r="2780" spans="1:26">
      <c r="A2780" s="100" t="e">
        <f ca="1">IFERROR(__xludf.DUMMYFUNCTION("""COMPUTED_VALUE"""),58786115)</f>
        <v>#NAME?</v>
      </c>
      <c r="B2780" s="100" t="e">
        <f ca="1">IFERROR(__xludf.DUMMYFUNCTION("""COMPUTED_VALUE"""),"PNUTTRY")</f>
        <v>#NAME?</v>
      </c>
      <c r="C2780" s="100" t="e">
        <f ca="1">IFERROR(__xludf.DUMMYFUNCTION("""COMPUTED_VALUE"""),"5.00000000")</f>
        <v>#NAME?</v>
      </c>
      <c r="D2780" s="100" t="e">
        <f t="shared" ca="1" si="453"/>
        <v>#NAME?</v>
      </c>
      <c r="E2780" s="100" t="e">
        <f t="shared" ca="1" si="453"/>
        <v>#NAME?</v>
      </c>
      <c r="F2780" s="100" t="e">
        <f t="shared" ca="1" si="448"/>
        <v>#NAME?</v>
      </c>
      <c r="G2780" s="100" t="e">
        <f t="shared" ca="1" si="449"/>
        <v>#NAME?</v>
      </c>
      <c r="H2780" s="100" t="e">
        <f t="shared" ca="1" si="450"/>
        <v>#NAME?</v>
      </c>
      <c r="I2780" s="100" t="e">
        <f t="shared" ca="1" si="451"/>
        <v>#NAME?</v>
      </c>
      <c r="J2780" s="100" t="e">
        <f ca="1">IFERROR(__xludf.DUMMYFUNCTION("""COMPUTED_VALUE"""),"-3.661")</f>
        <v>#NAME?</v>
      </c>
      <c r="K2780" s="100" t="e">
        <f t="shared" ca="1" si="452"/>
        <v>#NAME?</v>
      </c>
      <c r="L2780" s="100"/>
      <c r="M2780" s="100"/>
      <c r="N2780" s="100"/>
      <c r="O2780" s="100"/>
      <c r="P2780" s="100"/>
      <c r="Q2780" s="100"/>
      <c r="R2780" s="100"/>
      <c r="S2780" s="100"/>
      <c r="T2780" s="100"/>
      <c r="U2780" s="100"/>
      <c r="V2780" s="100"/>
      <c r="W2780" s="100"/>
      <c r="X2780" s="100"/>
      <c r="Y2780" s="100"/>
      <c r="Z2780" s="100"/>
    </row>
    <row r="2781" spans="1:26">
      <c r="A2781" s="100" t="e">
        <f ca="1">IFERROR(__xludf.DUMMYFUNCTION("""COMPUTED_VALUE"""),58786116)</f>
        <v>#NAME?</v>
      </c>
      <c r="B2781" s="100" t="e">
        <f ca="1">IFERROR(__xludf.DUMMYFUNCTION("""COMPUTED_VALUE"""),"ACTFDUSD")</f>
        <v>#NAME?</v>
      </c>
      <c r="C2781" s="100" t="e">
        <f ca="1">IFERROR(__xludf.DUMMYFUNCTION("""COMPUTED_VALUE"""),"0.05540000")</f>
        <v>#NAME?</v>
      </c>
      <c r="D2781" s="100" t="e">
        <f t="shared" ca="1" si="453"/>
        <v>#NAME?</v>
      </c>
      <c r="E2781" s="100" t="e">
        <f t="shared" ca="1" si="453"/>
        <v>#NAME?</v>
      </c>
      <c r="F2781" s="100" t="e">
        <f t="shared" ca="1" si="448"/>
        <v>#NAME?</v>
      </c>
      <c r="G2781" s="100" t="e">
        <f t="shared" ca="1" si="449"/>
        <v>#NAME?</v>
      </c>
      <c r="H2781" s="100" t="e">
        <f t="shared" ca="1" si="450"/>
        <v>#NAME?</v>
      </c>
      <c r="I2781" s="100" t="e">
        <f t="shared" ca="1" si="451"/>
        <v>#NAME?</v>
      </c>
      <c r="J2781" s="100" t="e">
        <f ca="1">IFERROR(__xludf.DUMMYFUNCTION("""COMPUTED_VALUE"""),"-2.807")</f>
        <v>#NAME?</v>
      </c>
      <c r="K2781" s="100" t="e">
        <f t="shared" ca="1" si="452"/>
        <v>#NAME?</v>
      </c>
      <c r="L2781" s="100"/>
      <c r="M2781" s="100"/>
      <c r="N2781" s="100"/>
      <c r="O2781" s="100"/>
      <c r="P2781" s="100"/>
      <c r="Q2781" s="100"/>
      <c r="R2781" s="100"/>
      <c r="S2781" s="100"/>
      <c r="T2781" s="100"/>
      <c r="U2781" s="100"/>
      <c r="V2781" s="100"/>
      <c r="W2781" s="100"/>
      <c r="X2781" s="100"/>
      <c r="Y2781" s="100"/>
      <c r="Z2781" s="100"/>
    </row>
    <row r="2782" spans="1:26">
      <c r="A2782" s="100" t="e">
        <f ca="1">IFERROR(__xludf.DUMMYFUNCTION("""COMPUTED_VALUE"""),58786117)</f>
        <v>#NAME?</v>
      </c>
      <c r="B2782" s="100" t="e">
        <f ca="1">IFERROR(__xludf.DUMMYFUNCTION("""COMPUTED_VALUE"""),"ACTUSDC")</f>
        <v>#NAME?</v>
      </c>
      <c r="C2782" s="100" t="e">
        <f ca="1">IFERROR(__xludf.DUMMYFUNCTION("""COMPUTED_VALUE"""),"0.05540000")</f>
        <v>#NAME?</v>
      </c>
      <c r="D2782" s="100" t="e">
        <f t="shared" ref="D2782:E2801" ca="1" si="454">IFERROR(__xludf.DUMMYFUNCTION("""COMPUTED_VALUE"""),"-")</f>
        <v>#NAME?</v>
      </c>
      <c r="E2782" s="100" t="e">
        <f t="shared" ca="1" si="454"/>
        <v>#NAME?</v>
      </c>
      <c r="F2782" s="100" t="e">
        <f t="shared" ca="1" si="448"/>
        <v>#NAME?</v>
      </c>
      <c r="G2782" s="100" t="e">
        <f t="shared" ca="1" si="449"/>
        <v>#NAME?</v>
      </c>
      <c r="H2782" s="100" t="e">
        <f t="shared" ca="1" si="450"/>
        <v>#NAME?</v>
      </c>
      <c r="I2782" s="100" t="e">
        <f t="shared" ca="1" si="451"/>
        <v>#NAME?</v>
      </c>
      <c r="J2782" s="100" t="e">
        <f ca="1">IFERROR(__xludf.DUMMYFUNCTION("""COMPUTED_VALUE"""),"-3.484")</f>
        <v>#NAME?</v>
      </c>
      <c r="K2782" s="100" t="e">
        <f t="shared" ca="1" si="452"/>
        <v>#NAME?</v>
      </c>
      <c r="L2782" s="100"/>
      <c r="M2782" s="100"/>
      <c r="N2782" s="100"/>
      <c r="O2782" s="100"/>
      <c r="P2782" s="100"/>
      <c r="Q2782" s="100"/>
      <c r="R2782" s="100"/>
      <c r="S2782" s="100"/>
      <c r="T2782" s="100"/>
      <c r="U2782" s="100"/>
      <c r="V2782" s="100"/>
      <c r="W2782" s="100"/>
      <c r="X2782" s="100"/>
      <c r="Y2782" s="100"/>
      <c r="Z2782" s="100"/>
    </row>
    <row r="2783" spans="1:26">
      <c r="A2783" s="100" t="e">
        <f ca="1">IFERROR(__xludf.DUMMYFUNCTION("""COMPUTED_VALUE"""),58786118)</f>
        <v>#NAME?</v>
      </c>
      <c r="B2783" s="100" t="e">
        <f ca="1">IFERROR(__xludf.DUMMYFUNCTION("""COMPUTED_VALUE"""),"NEIROUSDC")</f>
        <v>#NAME?</v>
      </c>
      <c r="C2783" s="100" t="e">
        <f ca="1">IFERROR(__xludf.DUMMYFUNCTION("""COMPUTED_VALUE"""),"0.00019230")</f>
        <v>#NAME?</v>
      </c>
      <c r="D2783" s="100" t="e">
        <f t="shared" ca="1" si="454"/>
        <v>#NAME?</v>
      </c>
      <c r="E2783" s="100" t="e">
        <f t="shared" ca="1" si="454"/>
        <v>#NAME?</v>
      </c>
      <c r="F2783" s="100" t="e">
        <f t="shared" ca="1" si="448"/>
        <v>#NAME?</v>
      </c>
      <c r="G2783" s="100" t="e">
        <f t="shared" ca="1" si="449"/>
        <v>#NAME?</v>
      </c>
      <c r="H2783" s="100" t="e">
        <f t="shared" ca="1" si="450"/>
        <v>#NAME?</v>
      </c>
      <c r="I2783" s="100" t="e">
        <f t="shared" ca="1" si="451"/>
        <v>#NAME?</v>
      </c>
      <c r="J2783" s="100" t="e">
        <f ca="1">IFERROR(__xludf.DUMMYFUNCTION("""COMPUTED_VALUE"""),"0.068")</f>
        <v>#NAME?</v>
      </c>
      <c r="K2783" s="100" t="e">
        <f t="shared" ca="1" si="452"/>
        <v>#NAME?</v>
      </c>
      <c r="L2783" s="100"/>
      <c r="M2783" s="100"/>
      <c r="N2783" s="100"/>
      <c r="O2783" s="100"/>
      <c r="P2783" s="100"/>
      <c r="Q2783" s="100"/>
      <c r="R2783" s="100"/>
      <c r="S2783" s="100"/>
      <c r="T2783" s="100"/>
      <c r="U2783" s="100"/>
      <c r="V2783" s="100"/>
      <c r="W2783" s="100"/>
      <c r="X2783" s="100"/>
      <c r="Y2783" s="100"/>
      <c r="Z2783" s="100"/>
    </row>
    <row r="2784" spans="1:26">
      <c r="A2784" s="100" t="e">
        <f ca="1">IFERROR(__xludf.DUMMYFUNCTION("""COMPUTED_VALUE"""),58786119)</f>
        <v>#NAME?</v>
      </c>
      <c r="B2784" s="100" t="e">
        <f ca="1">IFERROR(__xludf.DUMMYFUNCTION("""COMPUTED_VALUE"""),"PNUTBTC")</f>
        <v>#NAME?</v>
      </c>
      <c r="C2784" s="100" t="e">
        <f ca="1">IFERROR(__xludf.DUMMYFUNCTION("""COMPUTED_VALUE"""),"0.00000148")</f>
        <v>#NAME?</v>
      </c>
      <c r="D2784" s="100" t="e">
        <f t="shared" ca="1" si="454"/>
        <v>#NAME?</v>
      </c>
      <c r="E2784" s="100" t="e">
        <f t="shared" ca="1" si="454"/>
        <v>#NAME?</v>
      </c>
      <c r="F2784" s="100" t="e">
        <f t="shared" ca="1" si="448"/>
        <v>#NAME?</v>
      </c>
      <c r="G2784" s="100" t="e">
        <f t="shared" ca="1" si="449"/>
        <v>#NAME?</v>
      </c>
      <c r="H2784" s="100" t="e">
        <f t="shared" ca="1" si="450"/>
        <v>#NAME?</v>
      </c>
      <c r="I2784" s="100" t="e">
        <f t="shared" ca="1" si="451"/>
        <v>#NAME?</v>
      </c>
      <c r="J2784" s="100" t="e">
        <f ca="1">IFERROR(__xludf.DUMMYFUNCTION("""COMPUTED_VALUE"""),"-4.516")</f>
        <v>#NAME?</v>
      </c>
      <c r="K2784" s="100" t="e">
        <f t="shared" ca="1" si="452"/>
        <v>#NAME?</v>
      </c>
      <c r="L2784" s="100"/>
      <c r="M2784" s="100"/>
      <c r="N2784" s="100"/>
      <c r="O2784" s="100"/>
      <c r="P2784" s="100"/>
      <c r="Q2784" s="100"/>
      <c r="R2784" s="100"/>
      <c r="S2784" s="100"/>
      <c r="T2784" s="100"/>
      <c r="U2784" s="100"/>
      <c r="V2784" s="100"/>
      <c r="W2784" s="100"/>
      <c r="X2784" s="100"/>
      <c r="Y2784" s="100"/>
      <c r="Z2784" s="100"/>
    </row>
    <row r="2785" spans="1:26">
      <c r="A2785" s="100" t="e">
        <f ca="1">IFERROR(__xludf.DUMMYFUNCTION("""COMPUTED_VALUE"""),58786120)</f>
        <v>#NAME?</v>
      </c>
      <c r="B2785" s="100" t="e">
        <f ca="1">IFERROR(__xludf.DUMMYFUNCTION("""COMPUTED_VALUE"""),"PNUTFDUSD")</f>
        <v>#NAME?</v>
      </c>
      <c r="C2785" s="100" t="e">
        <f ca="1">IFERROR(__xludf.DUMMYFUNCTION("""COMPUTED_VALUE"""),"0.13140000")</f>
        <v>#NAME?</v>
      </c>
      <c r="D2785" s="100" t="e">
        <f t="shared" ca="1" si="454"/>
        <v>#NAME?</v>
      </c>
      <c r="E2785" s="100" t="e">
        <f t="shared" ca="1" si="454"/>
        <v>#NAME?</v>
      </c>
      <c r="F2785" s="100" t="e">
        <f t="shared" ca="1" si="448"/>
        <v>#NAME?</v>
      </c>
      <c r="G2785" s="100" t="e">
        <f t="shared" ca="1" si="449"/>
        <v>#NAME?</v>
      </c>
      <c r="H2785" s="100" t="e">
        <f t="shared" ca="1" si="450"/>
        <v>#NAME?</v>
      </c>
      <c r="I2785" s="100" t="e">
        <f t="shared" ca="1" si="451"/>
        <v>#NAME?</v>
      </c>
      <c r="J2785" s="100" t="e">
        <f ca="1">IFERROR(__xludf.DUMMYFUNCTION("""COMPUTED_VALUE"""),"-2.882")</f>
        <v>#NAME?</v>
      </c>
      <c r="K2785" s="100" t="e">
        <f t="shared" ca="1" si="452"/>
        <v>#NAME?</v>
      </c>
      <c r="L2785" s="100"/>
      <c r="M2785" s="100"/>
      <c r="N2785" s="100"/>
      <c r="O2785" s="100"/>
      <c r="P2785" s="100"/>
      <c r="Q2785" s="100"/>
      <c r="R2785" s="100"/>
      <c r="S2785" s="100"/>
      <c r="T2785" s="100"/>
      <c r="U2785" s="100"/>
      <c r="V2785" s="100"/>
      <c r="W2785" s="100"/>
      <c r="X2785" s="100"/>
      <c r="Y2785" s="100"/>
      <c r="Z2785" s="100"/>
    </row>
    <row r="2786" spans="1:26">
      <c r="A2786" s="100" t="e">
        <f ca="1">IFERROR(__xludf.DUMMYFUNCTION("""COMPUTED_VALUE"""),58786121)</f>
        <v>#NAME?</v>
      </c>
      <c r="B2786" s="100" t="e">
        <f ca="1">IFERROR(__xludf.DUMMYFUNCTION("""COMPUTED_VALUE"""),"PNUTUSDC")</f>
        <v>#NAME?</v>
      </c>
      <c r="C2786" s="100" t="e">
        <f ca="1">IFERROR(__xludf.DUMMYFUNCTION("""COMPUTED_VALUE"""),"0.13090000")</f>
        <v>#NAME?</v>
      </c>
      <c r="D2786" s="100" t="e">
        <f t="shared" ca="1" si="454"/>
        <v>#NAME?</v>
      </c>
      <c r="E2786" s="100" t="e">
        <f t="shared" ca="1" si="454"/>
        <v>#NAME?</v>
      </c>
      <c r="F2786" s="100" t="e">
        <f t="shared" ca="1" si="448"/>
        <v>#NAME?</v>
      </c>
      <c r="G2786" s="100" t="e">
        <f t="shared" ca="1" si="449"/>
        <v>#NAME?</v>
      </c>
      <c r="H2786" s="100" t="e">
        <f t="shared" ca="1" si="450"/>
        <v>#NAME?</v>
      </c>
      <c r="I2786" s="100" t="e">
        <f t="shared" ca="1" si="451"/>
        <v>#NAME?</v>
      </c>
      <c r="J2786" s="100" t="e">
        <f ca="1">IFERROR(__xludf.DUMMYFUNCTION("""COMPUTED_VALUE"""),"-3.466")</f>
        <v>#NAME?</v>
      </c>
      <c r="K2786" s="100" t="e">
        <f t="shared" ca="1" si="452"/>
        <v>#NAME?</v>
      </c>
      <c r="L2786" s="100"/>
      <c r="M2786" s="100"/>
      <c r="N2786" s="100"/>
      <c r="O2786" s="100"/>
      <c r="P2786" s="100"/>
      <c r="Q2786" s="100"/>
      <c r="R2786" s="100"/>
      <c r="S2786" s="100"/>
      <c r="T2786" s="100"/>
      <c r="U2786" s="100"/>
      <c r="V2786" s="100"/>
      <c r="W2786" s="100"/>
      <c r="X2786" s="100"/>
      <c r="Y2786" s="100"/>
      <c r="Z2786" s="100"/>
    </row>
    <row r="2787" spans="1:26">
      <c r="A2787" s="100" t="e">
        <f ca="1">IFERROR(__xludf.DUMMYFUNCTION("""COMPUTED_VALUE"""),58786122)</f>
        <v>#NAME?</v>
      </c>
      <c r="B2787" s="100" t="e">
        <f ca="1">IFERROR(__xludf.DUMMYFUNCTION("""COMPUTED_VALUE"""),"USUALUSDT")</f>
        <v>#NAME?</v>
      </c>
      <c r="C2787" s="100" t="e">
        <f ca="1">IFERROR(__xludf.DUMMYFUNCTION("""COMPUTED_VALUE"""),"0.13140000")</f>
        <v>#NAME?</v>
      </c>
      <c r="D2787" s="100" t="e">
        <f t="shared" ca="1" si="454"/>
        <v>#NAME?</v>
      </c>
      <c r="E2787" s="100" t="e">
        <f t="shared" ca="1" si="454"/>
        <v>#NAME?</v>
      </c>
      <c r="F2787" s="100" t="e">
        <f t="shared" ca="1" si="448"/>
        <v>#NAME?</v>
      </c>
      <c r="G2787" s="100" t="e">
        <f t="shared" ca="1" si="449"/>
        <v>#NAME?</v>
      </c>
      <c r="H2787" s="100" t="e">
        <f t="shared" ca="1" si="450"/>
        <v>#NAME?</v>
      </c>
      <c r="I2787" s="100" t="e">
        <f t="shared" ca="1" si="451"/>
        <v>#NAME?</v>
      </c>
      <c r="J2787" s="100" t="e">
        <f ca="1">IFERROR(__xludf.DUMMYFUNCTION("""COMPUTED_VALUE"""),"1.467")</f>
        <v>#NAME?</v>
      </c>
      <c r="K2787" s="100" t="e">
        <f t="shared" ca="1" si="452"/>
        <v>#NAME?</v>
      </c>
      <c r="L2787" s="100"/>
      <c r="M2787" s="100"/>
      <c r="N2787" s="100"/>
      <c r="O2787" s="100"/>
      <c r="P2787" s="100"/>
      <c r="Q2787" s="100"/>
      <c r="R2787" s="100"/>
      <c r="S2787" s="100"/>
      <c r="T2787" s="100"/>
      <c r="U2787" s="100"/>
      <c r="V2787" s="100"/>
      <c r="W2787" s="100"/>
      <c r="X2787" s="100"/>
      <c r="Y2787" s="100"/>
      <c r="Z2787" s="100"/>
    </row>
    <row r="2788" spans="1:26">
      <c r="A2788" s="100" t="e">
        <f ca="1">IFERROR(__xludf.DUMMYFUNCTION("""COMPUTED_VALUE"""),58786123)</f>
        <v>#NAME?</v>
      </c>
      <c r="B2788" s="100" t="e">
        <f ca="1">IFERROR(__xludf.DUMMYFUNCTION("""COMPUTED_VALUE"""),"ACTBRL")</f>
        <v>#NAME?</v>
      </c>
      <c r="C2788" s="100" t="e">
        <f ca="1">IFERROR(__xludf.DUMMYFUNCTION("""COMPUTED_VALUE"""),"0.32200000")</f>
        <v>#NAME?</v>
      </c>
      <c r="D2788" s="100" t="e">
        <f t="shared" ca="1" si="454"/>
        <v>#NAME?</v>
      </c>
      <c r="E2788" s="100" t="e">
        <f t="shared" ca="1" si="454"/>
        <v>#NAME?</v>
      </c>
      <c r="F2788" s="100" t="e">
        <f t="shared" ca="1" si="448"/>
        <v>#NAME?</v>
      </c>
      <c r="G2788" s="100" t="e">
        <f t="shared" ca="1" si="449"/>
        <v>#NAME?</v>
      </c>
      <c r="H2788" s="100" t="e">
        <f t="shared" ca="1" si="450"/>
        <v>#NAME?</v>
      </c>
      <c r="I2788" s="100" t="e">
        <f t="shared" ca="1" si="451"/>
        <v>#NAME?</v>
      </c>
      <c r="J2788" s="100" t="e">
        <f ca="1">IFERROR(__xludf.DUMMYFUNCTION("""COMPUTED_VALUE"""),"-0.617")</f>
        <v>#NAME?</v>
      </c>
      <c r="K2788" s="100" t="e">
        <f t="shared" ca="1" si="452"/>
        <v>#NAME?</v>
      </c>
      <c r="L2788" s="100"/>
      <c r="M2788" s="100"/>
      <c r="N2788" s="100"/>
      <c r="O2788" s="100"/>
      <c r="P2788" s="100"/>
      <c r="Q2788" s="100"/>
      <c r="R2788" s="100"/>
      <c r="S2788" s="100"/>
      <c r="T2788" s="100"/>
      <c r="U2788" s="100"/>
      <c r="V2788" s="100"/>
      <c r="W2788" s="100"/>
      <c r="X2788" s="100"/>
      <c r="Y2788" s="100"/>
      <c r="Z2788" s="100"/>
    </row>
    <row r="2789" spans="1:26">
      <c r="A2789" s="100" t="e">
        <f ca="1">IFERROR(__xludf.DUMMYFUNCTION("""COMPUTED_VALUE"""),58786124)</f>
        <v>#NAME?</v>
      </c>
      <c r="B2789" s="100" t="e">
        <f ca="1">IFERROR(__xludf.DUMMYFUNCTION("""COMPUTED_VALUE"""),"ACTEUR")</f>
        <v>#NAME?</v>
      </c>
      <c r="C2789" s="100" t="e">
        <f ca="1">IFERROR(__xludf.DUMMYFUNCTION("""COMPUTED_VALUE"""),"0.04850000")</f>
        <v>#NAME?</v>
      </c>
      <c r="D2789" s="100" t="e">
        <f t="shared" ca="1" si="454"/>
        <v>#NAME?</v>
      </c>
      <c r="E2789" s="100" t="e">
        <f t="shared" ca="1" si="454"/>
        <v>#NAME?</v>
      </c>
      <c r="F2789" s="100" t="e">
        <f t="shared" ca="1" si="448"/>
        <v>#NAME?</v>
      </c>
      <c r="G2789" s="100" t="e">
        <f t="shared" ca="1" si="449"/>
        <v>#NAME?</v>
      </c>
      <c r="H2789" s="100" t="e">
        <f t="shared" ca="1" si="450"/>
        <v>#NAME?</v>
      </c>
      <c r="I2789" s="100" t="e">
        <f t="shared" ca="1" si="451"/>
        <v>#NAME?</v>
      </c>
      <c r="J2789" s="100" t="e">
        <f ca="1">IFERROR(__xludf.DUMMYFUNCTION("""COMPUTED_VALUE"""),"-2.020")</f>
        <v>#NAME?</v>
      </c>
      <c r="K2789" s="100" t="e">
        <f t="shared" ca="1" si="452"/>
        <v>#NAME?</v>
      </c>
      <c r="L2789" s="100"/>
      <c r="M2789" s="100"/>
      <c r="N2789" s="100"/>
      <c r="O2789" s="100"/>
      <c r="P2789" s="100"/>
      <c r="Q2789" s="100"/>
      <c r="R2789" s="100"/>
      <c r="S2789" s="100"/>
      <c r="T2789" s="100"/>
      <c r="U2789" s="100"/>
      <c r="V2789" s="100"/>
      <c r="W2789" s="100"/>
      <c r="X2789" s="100"/>
      <c r="Y2789" s="100"/>
      <c r="Z2789" s="100"/>
    </row>
    <row r="2790" spans="1:26">
      <c r="A2790" s="100" t="e">
        <f ca="1">IFERROR(__xludf.DUMMYFUNCTION("""COMPUTED_VALUE"""),58786125)</f>
        <v>#NAME?</v>
      </c>
      <c r="B2790" s="100" t="e">
        <f ca="1">IFERROR(__xludf.DUMMYFUNCTION("""COMPUTED_VALUE"""),"CATIUSDC")</f>
        <v>#NAME?</v>
      </c>
      <c r="C2790" s="100" t="e">
        <f ca="1">IFERROR(__xludf.DUMMYFUNCTION("""COMPUTED_VALUE"""),"0.08340000")</f>
        <v>#NAME?</v>
      </c>
      <c r="D2790" s="100" t="e">
        <f t="shared" ca="1" si="454"/>
        <v>#NAME?</v>
      </c>
      <c r="E2790" s="100" t="e">
        <f t="shared" ca="1" si="454"/>
        <v>#NAME?</v>
      </c>
      <c r="F2790" s="100" t="e">
        <f t="shared" ca="1" si="448"/>
        <v>#NAME?</v>
      </c>
      <c r="G2790" s="100" t="e">
        <f t="shared" ca="1" si="449"/>
        <v>#NAME?</v>
      </c>
      <c r="H2790" s="100" t="e">
        <f t="shared" ca="1" si="450"/>
        <v>#NAME?</v>
      </c>
      <c r="I2790" s="100" t="e">
        <f t="shared" ca="1" si="451"/>
        <v>#NAME?</v>
      </c>
      <c r="J2790" s="100" t="e">
        <f ca="1">IFERROR(__xludf.DUMMYFUNCTION("""COMPUTED_VALUE"""),"-2.342")</f>
        <v>#NAME?</v>
      </c>
      <c r="K2790" s="100" t="e">
        <f t="shared" ca="1" si="452"/>
        <v>#NAME?</v>
      </c>
      <c r="L2790" s="100"/>
      <c r="M2790" s="100"/>
      <c r="N2790" s="100"/>
      <c r="O2790" s="100"/>
      <c r="P2790" s="100"/>
      <c r="Q2790" s="100"/>
      <c r="R2790" s="100"/>
      <c r="S2790" s="100"/>
      <c r="T2790" s="100"/>
      <c r="U2790" s="100"/>
      <c r="V2790" s="100"/>
      <c r="W2790" s="100"/>
      <c r="X2790" s="100"/>
      <c r="Y2790" s="100"/>
      <c r="Z2790" s="100"/>
    </row>
    <row r="2791" spans="1:26">
      <c r="A2791" s="100" t="e">
        <f ca="1">IFERROR(__xludf.DUMMYFUNCTION("""COMPUTED_VALUE"""),58786126)</f>
        <v>#NAME?</v>
      </c>
      <c r="B2791" s="100" t="e">
        <f ca="1">IFERROR(__xludf.DUMMYFUNCTION("""COMPUTED_VALUE"""),"ETHEURI")</f>
        <v>#NAME?</v>
      </c>
      <c r="C2791" s="100" t="e">
        <f ca="1">IFERROR(__xludf.DUMMYFUNCTION("""COMPUTED_VALUE"""),"1414.16000000")</f>
        <v>#NAME?</v>
      </c>
      <c r="D2791" s="100" t="e">
        <f t="shared" ca="1" si="454"/>
        <v>#NAME?</v>
      </c>
      <c r="E2791" s="100" t="e">
        <f t="shared" ca="1" si="454"/>
        <v>#NAME?</v>
      </c>
      <c r="F2791" s="100" t="e">
        <f t="shared" ca="1" si="448"/>
        <v>#NAME?</v>
      </c>
      <c r="G2791" s="100" t="e">
        <f t="shared" ca="1" si="449"/>
        <v>#NAME?</v>
      </c>
      <c r="H2791" s="100" t="e">
        <f t="shared" ca="1" si="450"/>
        <v>#NAME?</v>
      </c>
      <c r="I2791" s="100" t="e">
        <f t="shared" ca="1" si="451"/>
        <v>#NAME?</v>
      </c>
      <c r="J2791" s="100" t="e">
        <f ca="1">IFERROR(__xludf.DUMMYFUNCTION("""COMPUTED_VALUE"""),"-0.535")</f>
        <v>#NAME?</v>
      </c>
      <c r="K2791" s="100" t="e">
        <f t="shared" ca="1" si="452"/>
        <v>#NAME?</v>
      </c>
      <c r="L2791" s="100"/>
      <c r="M2791" s="100"/>
      <c r="N2791" s="100"/>
      <c r="O2791" s="100"/>
      <c r="P2791" s="100"/>
      <c r="Q2791" s="100"/>
      <c r="R2791" s="100"/>
      <c r="S2791" s="100"/>
      <c r="T2791" s="100"/>
      <c r="U2791" s="100"/>
      <c r="V2791" s="100"/>
      <c r="W2791" s="100"/>
      <c r="X2791" s="100"/>
      <c r="Y2791" s="100"/>
      <c r="Z2791" s="100"/>
    </row>
    <row r="2792" spans="1:26">
      <c r="A2792" s="100" t="e">
        <f ca="1">IFERROR(__xludf.DUMMYFUNCTION("""COMPUTED_VALUE"""),58786127)</f>
        <v>#NAME?</v>
      </c>
      <c r="B2792" s="100" t="e">
        <f ca="1">IFERROR(__xludf.DUMMYFUNCTION("""COMPUTED_VALUE"""),"LUMIATRY")</f>
        <v>#NAME?</v>
      </c>
      <c r="C2792" s="100" t="e">
        <f ca="1">IFERROR(__xludf.DUMMYFUNCTION("""COMPUTED_VALUE"""),"12.26000000")</f>
        <v>#NAME?</v>
      </c>
      <c r="D2792" s="100" t="e">
        <f t="shared" ca="1" si="454"/>
        <v>#NAME?</v>
      </c>
      <c r="E2792" s="100" t="e">
        <f t="shared" ca="1" si="454"/>
        <v>#NAME?</v>
      </c>
      <c r="F2792" s="100" t="e">
        <f t="shared" ca="1" si="448"/>
        <v>#NAME?</v>
      </c>
      <c r="G2792" s="100" t="e">
        <f t="shared" ca="1" si="449"/>
        <v>#NAME?</v>
      </c>
      <c r="H2792" s="100" t="e">
        <f t="shared" ca="1" si="450"/>
        <v>#NAME?</v>
      </c>
      <c r="I2792" s="100" t="e">
        <f t="shared" ca="1" si="451"/>
        <v>#NAME?</v>
      </c>
      <c r="J2792" s="100" t="e">
        <f ca="1">IFERROR(__xludf.DUMMYFUNCTION("""COMPUTED_VALUE"""),"-0.487")</f>
        <v>#NAME?</v>
      </c>
      <c r="K2792" s="100" t="e">
        <f t="shared" ca="1" si="452"/>
        <v>#NAME?</v>
      </c>
      <c r="L2792" s="100"/>
      <c r="M2792" s="100"/>
      <c r="N2792" s="100"/>
      <c r="O2792" s="100"/>
      <c r="P2792" s="100"/>
      <c r="Q2792" s="100"/>
      <c r="R2792" s="100"/>
      <c r="S2792" s="100"/>
      <c r="T2792" s="100"/>
      <c r="U2792" s="100"/>
      <c r="V2792" s="100"/>
      <c r="W2792" s="100"/>
      <c r="X2792" s="100"/>
      <c r="Y2792" s="100"/>
      <c r="Z2792" s="100"/>
    </row>
    <row r="2793" spans="1:26">
      <c r="A2793" s="100" t="e">
        <f ca="1">IFERROR(__xludf.DUMMYFUNCTION("""COMPUTED_VALUE"""),58786128)</f>
        <v>#NAME?</v>
      </c>
      <c r="B2793" s="100" t="e">
        <f ca="1">IFERROR(__xludf.DUMMYFUNCTION("""COMPUTED_VALUE"""),"PNUTBRL")</f>
        <v>#NAME?</v>
      </c>
      <c r="C2793" s="100" t="e">
        <f ca="1">IFERROR(__xludf.DUMMYFUNCTION("""COMPUTED_VALUE"""),"0.76300000")</f>
        <v>#NAME?</v>
      </c>
      <c r="D2793" s="100" t="e">
        <f t="shared" ca="1" si="454"/>
        <v>#NAME?</v>
      </c>
      <c r="E2793" s="100" t="e">
        <f t="shared" ca="1" si="454"/>
        <v>#NAME?</v>
      </c>
      <c r="F2793" s="100" t="e">
        <f t="shared" ca="1" si="448"/>
        <v>#NAME?</v>
      </c>
      <c r="G2793" s="100" t="e">
        <f t="shared" ca="1" si="449"/>
        <v>#NAME?</v>
      </c>
      <c r="H2793" s="100" t="e">
        <f t="shared" ca="1" si="450"/>
        <v>#NAME?</v>
      </c>
      <c r="I2793" s="100" t="e">
        <f t="shared" ca="1" si="451"/>
        <v>#NAME?</v>
      </c>
      <c r="J2793" s="100" t="e">
        <f ca="1">IFERROR(__xludf.DUMMYFUNCTION("""COMPUTED_VALUE"""),"-3.662")</f>
        <v>#NAME?</v>
      </c>
      <c r="K2793" s="100" t="e">
        <f t="shared" ca="1" si="452"/>
        <v>#NAME?</v>
      </c>
      <c r="L2793" s="100"/>
      <c r="M2793" s="100"/>
      <c r="N2793" s="100"/>
      <c r="O2793" s="100"/>
      <c r="P2793" s="100"/>
      <c r="Q2793" s="100"/>
      <c r="R2793" s="100"/>
      <c r="S2793" s="100"/>
      <c r="T2793" s="100"/>
      <c r="U2793" s="100"/>
      <c r="V2793" s="100"/>
      <c r="W2793" s="100"/>
      <c r="X2793" s="100"/>
      <c r="Y2793" s="100"/>
      <c r="Z2793" s="100"/>
    </row>
    <row r="2794" spans="1:26">
      <c r="A2794" s="100" t="e">
        <f ca="1">IFERROR(__xludf.DUMMYFUNCTION("""COMPUTED_VALUE"""),58786129)</f>
        <v>#NAME?</v>
      </c>
      <c r="B2794" s="100" t="e">
        <f ca="1">IFERROR(__xludf.DUMMYFUNCTION("""COMPUTED_VALUE"""),"PNUTEUR")</f>
        <v>#NAME?</v>
      </c>
      <c r="C2794" s="100" t="e">
        <f ca="1">IFERROR(__xludf.DUMMYFUNCTION("""COMPUTED_VALUE"""),"0.11470000")</f>
        <v>#NAME?</v>
      </c>
      <c r="D2794" s="100" t="e">
        <f t="shared" ca="1" si="454"/>
        <v>#NAME?</v>
      </c>
      <c r="E2794" s="100" t="e">
        <f t="shared" ca="1" si="454"/>
        <v>#NAME?</v>
      </c>
      <c r="F2794" s="100" t="e">
        <f t="shared" ca="1" si="448"/>
        <v>#NAME?</v>
      </c>
      <c r="G2794" s="100" t="e">
        <f t="shared" ca="1" si="449"/>
        <v>#NAME?</v>
      </c>
      <c r="H2794" s="100" t="e">
        <f t="shared" ca="1" si="450"/>
        <v>#NAME?</v>
      </c>
      <c r="I2794" s="100" t="e">
        <f t="shared" ca="1" si="451"/>
        <v>#NAME?</v>
      </c>
      <c r="J2794" s="100" t="e">
        <f ca="1">IFERROR(__xludf.DUMMYFUNCTION("""COMPUTED_VALUE"""),"-2.133")</f>
        <v>#NAME?</v>
      </c>
      <c r="K2794" s="100" t="e">
        <f t="shared" ca="1" si="452"/>
        <v>#NAME?</v>
      </c>
      <c r="L2794" s="100"/>
      <c r="M2794" s="100"/>
      <c r="N2794" s="100"/>
      <c r="O2794" s="100"/>
      <c r="P2794" s="100"/>
      <c r="Q2794" s="100"/>
      <c r="R2794" s="100"/>
      <c r="S2794" s="100"/>
      <c r="T2794" s="100"/>
      <c r="U2794" s="100"/>
      <c r="V2794" s="100"/>
      <c r="W2794" s="100"/>
      <c r="X2794" s="100"/>
      <c r="Y2794" s="100"/>
      <c r="Z2794" s="100"/>
    </row>
    <row r="2795" spans="1:26">
      <c r="A2795" s="100" t="e">
        <f ca="1">IFERROR(__xludf.DUMMYFUNCTION("""COMPUTED_VALUE"""),58786130)</f>
        <v>#NAME?</v>
      </c>
      <c r="B2795" s="100" t="e">
        <f ca="1">IFERROR(__xludf.DUMMYFUNCTION("""COMPUTED_VALUE"""),"APEFDUSD")</f>
        <v>#NAME?</v>
      </c>
      <c r="C2795" s="100" t="e">
        <f ca="1">IFERROR(__xludf.DUMMYFUNCTION("""COMPUTED_VALUE"""),"0.46260000")</f>
        <v>#NAME?</v>
      </c>
      <c r="D2795" s="100" t="e">
        <f t="shared" ca="1" si="454"/>
        <v>#NAME?</v>
      </c>
      <c r="E2795" s="100" t="e">
        <f t="shared" ca="1" si="454"/>
        <v>#NAME?</v>
      </c>
      <c r="F2795" s="100" t="e">
        <f t="shared" ca="1" si="448"/>
        <v>#NAME?</v>
      </c>
      <c r="G2795" s="100" t="e">
        <f t="shared" ca="1" si="449"/>
        <v>#NAME?</v>
      </c>
      <c r="H2795" s="100" t="e">
        <f t="shared" ca="1" si="450"/>
        <v>#NAME?</v>
      </c>
      <c r="I2795" s="100" t="e">
        <f t="shared" ca="1" si="451"/>
        <v>#NAME?</v>
      </c>
      <c r="J2795" s="100" t="e">
        <f ca="1">IFERROR(__xludf.DUMMYFUNCTION("""COMPUTED_VALUE"""),"-2.528")</f>
        <v>#NAME?</v>
      </c>
      <c r="K2795" s="100" t="e">
        <f t="shared" ca="1" si="452"/>
        <v>#NAME?</v>
      </c>
      <c r="L2795" s="100"/>
      <c r="M2795" s="100"/>
      <c r="N2795" s="100"/>
      <c r="O2795" s="100"/>
      <c r="P2795" s="100"/>
      <c r="Q2795" s="100"/>
      <c r="R2795" s="100"/>
      <c r="S2795" s="100"/>
      <c r="T2795" s="100"/>
      <c r="U2795" s="100"/>
      <c r="V2795" s="100"/>
      <c r="W2795" s="100"/>
      <c r="X2795" s="100"/>
      <c r="Y2795" s="100"/>
      <c r="Z2795" s="100"/>
    </row>
    <row r="2796" spans="1:26">
      <c r="A2796" s="100" t="e">
        <f ca="1">IFERROR(__xludf.DUMMYFUNCTION("""COMPUTED_VALUE"""),58786131)</f>
        <v>#NAME?</v>
      </c>
      <c r="B2796" s="100" t="e">
        <f ca="1">IFERROR(__xludf.DUMMYFUNCTION("""COMPUTED_VALUE"""),"FDUSDUSDC")</f>
        <v>#NAME?</v>
      </c>
      <c r="C2796" s="100" t="e">
        <f ca="1">IFERROR(__xludf.DUMMYFUNCTION("""COMPUTED_VALUE"""),"0.99820000")</f>
        <v>#NAME?</v>
      </c>
      <c r="D2796" s="100" t="e">
        <f t="shared" ca="1" si="454"/>
        <v>#NAME?</v>
      </c>
      <c r="E2796" s="100" t="e">
        <f t="shared" ca="1" si="454"/>
        <v>#NAME?</v>
      </c>
      <c r="F2796" s="100" t="e">
        <f t="shared" ca="1" si="448"/>
        <v>#NAME?</v>
      </c>
      <c r="G2796" s="100" t="e">
        <f t="shared" ca="1" si="449"/>
        <v>#NAME?</v>
      </c>
      <c r="H2796" s="100" t="e">
        <f t="shared" ca="1" si="450"/>
        <v>#NAME?</v>
      </c>
      <c r="I2796" s="100" t="e">
        <f t="shared" ca="1" si="451"/>
        <v>#NAME?</v>
      </c>
      <c r="J2796" s="100" t="e">
        <f ca="1">IFERROR(__xludf.DUMMYFUNCTION("""COMPUTED_VALUE"""),"-0.090")</f>
        <v>#NAME?</v>
      </c>
      <c r="K2796" s="100" t="e">
        <f t="shared" ca="1" si="452"/>
        <v>#NAME?</v>
      </c>
      <c r="L2796" s="100"/>
      <c r="M2796" s="100"/>
      <c r="N2796" s="100"/>
      <c r="O2796" s="100"/>
      <c r="P2796" s="100"/>
      <c r="Q2796" s="100"/>
      <c r="R2796" s="100"/>
      <c r="S2796" s="100"/>
      <c r="T2796" s="100"/>
      <c r="U2796" s="100"/>
      <c r="V2796" s="100"/>
      <c r="W2796" s="100"/>
      <c r="X2796" s="100"/>
      <c r="Y2796" s="100"/>
      <c r="Z2796" s="100"/>
    </row>
    <row r="2797" spans="1:26">
      <c r="A2797" s="100" t="e">
        <f ca="1">IFERROR(__xludf.DUMMYFUNCTION("""COMPUTED_VALUE"""),58786132)</f>
        <v>#NAME?</v>
      </c>
      <c r="B2797" s="100" t="e">
        <f ca="1">IFERROR(__xludf.DUMMYFUNCTION("""COMPUTED_VALUE"""),"HBARUSDC")</f>
        <v>#NAME?</v>
      </c>
      <c r="C2797" s="100" t="e">
        <f ca="1">IFERROR(__xludf.DUMMYFUNCTION("""COMPUTED_VALUE"""),"0.17254000")</f>
        <v>#NAME?</v>
      </c>
      <c r="D2797" s="100" t="e">
        <f t="shared" ca="1" si="454"/>
        <v>#NAME?</v>
      </c>
      <c r="E2797" s="100" t="e">
        <f t="shared" ca="1" si="454"/>
        <v>#NAME?</v>
      </c>
      <c r="F2797" s="100" t="e">
        <f t="shared" ca="1" si="448"/>
        <v>#NAME?</v>
      </c>
      <c r="G2797" s="100" t="e">
        <f t="shared" ca="1" si="449"/>
        <v>#NAME?</v>
      </c>
      <c r="H2797" s="100" t="e">
        <f t="shared" ca="1" si="450"/>
        <v>#NAME?</v>
      </c>
      <c r="I2797" s="100" t="e">
        <f t="shared" ca="1" si="451"/>
        <v>#NAME?</v>
      </c>
      <c r="J2797" s="100" t="e">
        <f ca="1">IFERROR(__xludf.DUMMYFUNCTION("""COMPUTED_VALUE"""),"0.250")</f>
        <v>#NAME?</v>
      </c>
      <c r="K2797" s="100" t="e">
        <f t="shared" ca="1" si="452"/>
        <v>#NAME?</v>
      </c>
      <c r="L2797" s="100"/>
      <c r="M2797" s="100"/>
      <c r="N2797" s="100"/>
      <c r="O2797" s="100"/>
      <c r="P2797" s="100"/>
      <c r="Q2797" s="100"/>
      <c r="R2797" s="100"/>
      <c r="S2797" s="100"/>
      <c r="T2797" s="100"/>
      <c r="U2797" s="100"/>
      <c r="V2797" s="100"/>
      <c r="W2797" s="100"/>
      <c r="X2797" s="100"/>
      <c r="Y2797" s="100"/>
      <c r="Z2797" s="100"/>
    </row>
    <row r="2798" spans="1:26">
      <c r="A2798" s="100" t="e">
        <f ca="1">IFERROR(__xludf.DUMMYFUNCTION("""COMPUTED_VALUE"""),58786133)</f>
        <v>#NAME?</v>
      </c>
      <c r="B2798" s="100" t="e">
        <f ca="1">IFERROR(__xludf.DUMMYFUNCTION("""COMPUTED_VALUE"""),"OMUSDC")</f>
        <v>#NAME?</v>
      </c>
      <c r="C2798" s="100" t="e">
        <f ca="1">IFERROR(__xludf.DUMMYFUNCTION("""COMPUTED_VALUE"""),"0.53970000")</f>
        <v>#NAME?</v>
      </c>
      <c r="D2798" s="100" t="e">
        <f t="shared" ca="1" si="454"/>
        <v>#NAME?</v>
      </c>
      <c r="E2798" s="100" t="e">
        <f t="shared" ca="1" si="454"/>
        <v>#NAME?</v>
      </c>
      <c r="F2798" s="100" t="e">
        <f t="shared" ca="1" si="448"/>
        <v>#NAME?</v>
      </c>
      <c r="G2798" s="100" t="e">
        <f t="shared" ca="1" si="449"/>
        <v>#NAME?</v>
      </c>
      <c r="H2798" s="100" t="e">
        <f t="shared" ca="1" si="450"/>
        <v>#NAME?</v>
      </c>
      <c r="I2798" s="100" t="e">
        <f t="shared" ca="1" si="451"/>
        <v>#NAME?</v>
      </c>
      <c r="J2798" s="100" t="e">
        <f ca="1">IFERROR(__xludf.DUMMYFUNCTION("""COMPUTED_VALUE"""),"7.725")</f>
        <v>#NAME?</v>
      </c>
      <c r="K2798" s="100" t="e">
        <f t="shared" ca="1" si="452"/>
        <v>#NAME?</v>
      </c>
      <c r="L2798" s="100"/>
      <c r="M2798" s="100"/>
      <c r="N2798" s="100"/>
      <c r="O2798" s="100"/>
      <c r="P2798" s="100"/>
      <c r="Q2798" s="100"/>
      <c r="R2798" s="100"/>
      <c r="S2798" s="100"/>
      <c r="T2798" s="100"/>
      <c r="U2798" s="100"/>
      <c r="V2798" s="100"/>
      <c r="W2798" s="100"/>
      <c r="X2798" s="100"/>
      <c r="Y2798" s="100"/>
      <c r="Z2798" s="100"/>
    </row>
    <row r="2799" spans="1:26">
      <c r="A2799" s="100" t="e">
        <f ca="1">IFERROR(__xludf.DUMMYFUNCTION("""COMPUTED_VALUE"""),58786134)</f>
        <v>#NAME?</v>
      </c>
      <c r="B2799" s="100" t="e">
        <f ca="1">IFERROR(__xludf.DUMMYFUNCTION("""COMPUTED_VALUE"""),"RAYUSDC")</f>
        <v>#NAME?</v>
      </c>
      <c r="C2799" s="100" t="e">
        <f ca="1">IFERROR(__xludf.DUMMYFUNCTION("""COMPUTED_VALUE"""),"2.35200000")</f>
        <v>#NAME?</v>
      </c>
      <c r="D2799" s="100" t="e">
        <f t="shared" ca="1" si="454"/>
        <v>#NAME?</v>
      </c>
      <c r="E2799" s="100" t="e">
        <f t="shared" ca="1" si="454"/>
        <v>#NAME?</v>
      </c>
      <c r="F2799" s="100" t="e">
        <f t="shared" ca="1" si="448"/>
        <v>#NAME?</v>
      </c>
      <c r="G2799" s="100" t="e">
        <f t="shared" ca="1" si="449"/>
        <v>#NAME?</v>
      </c>
      <c r="H2799" s="100" t="e">
        <f t="shared" ca="1" si="450"/>
        <v>#NAME?</v>
      </c>
      <c r="I2799" s="100" t="e">
        <f t="shared" ca="1" si="451"/>
        <v>#NAME?</v>
      </c>
      <c r="J2799" s="100" t="e">
        <f ca="1">IFERROR(__xludf.DUMMYFUNCTION("""COMPUTED_VALUE"""),"3.749")</f>
        <v>#NAME?</v>
      </c>
      <c r="K2799" s="100" t="e">
        <f t="shared" ca="1" si="452"/>
        <v>#NAME?</v>
      </c>
      <c r="L2799" s="100"/>
      <c r="M2799" s="100"/>
      <c r="N2799" s="100"/>
      <c r="O2799" s="100"/>
      <c r="P2799" s="100"/>
      <c r="Q2799" s="100"/>
      <c r="R2799" s="100"/>
      <c r="S2799" s="100"/>
      <c r="T2799" s="100"/>
      <c r="U2799" s="100"/>
      <c r="V2799" s="100"/>
      <c r="W2799" s="100"/>
      <c r="X2799" s="100"/>
      <c r="Y2799" s="100"/>
      <c r="Z2799" s="100"/>
    </row>
    <row r="2800" spans="1:26">
      <c r="A2800" s="100" t="e">
        <f ca="1">IFERROR(__xludf.DUMMYFUNCTION("""COMPUTED_VALUE"""),58786135)</f>
        <v>#NAME?</v>
      </c>
      <c r="B2800" s="100" t="e">
        <f ca="1">IFERROR(__xludf.DUMMYFUNCTION("""COMPUTED_VALUE"""),"TAOUSDC")</f>
        <v>#NAME?</v>
      </c>
      <c r="C2800" s="100" t="e">
        <f ca="1">IFERROR(__xludf.DUMMYFUNCTION("""COMPUTED_VALUE"""),"325.40000000")</f>
        <v>#NAME?</v>
      </c>
      <c r="D2800" s="100" t="e">
        <f t="shared" ca="1" si="454"/>
        <v>#NAME?</v>
      </c>
      <c r="E2800" s="100" t="e">
        <f t="shared" ca="1" si="454"/>
        <v>#NAME?</v>
      </c>
      <c r="F2800" s="100" t="e">
        <f t="shared" ca="1" si="448"/>
        <v>#NAME?</v>
      </c>
      <c r="G2800" s="100" t="e">
        <f t="shared" ca="1" si="449"/>
        <v>#NAME?</v>
      </c>
      <c r="H2800" s="100" t="e">
        <f t="shared" ca="1" si="450"/>
        <v>#NAME?</v>
      </c>
      <c r="I2800" s="100" t="e">
        <f t="shared" ca="1" si="451"/>
        <v>#NAME?</v>
      </c>
      <c r="J2800" s="100" t="e">
        <f ca="1">IFERROR(__xludf.DUMMYFUNCTION("""COMPUTED_VALUE"""),"1.879")</f>
        <v>#NAME?</v>
      </c>
      <c r="K2800" s="100" t="e">
        <f t="shared" ca="1" si="452"/>
        <v>#NAME?</v>
      </c>
      <c r="L2800" s="100"/>
      <c r="M2800" s="100"/>
      <c r="N2800" s="100"/>
      <c r="O2800" s="100"/>
      <c r="P2800" s="100"/>
      <c r="Q2800" s="100"/>
      <c r="R2800" s="100"/>
      <c r="S2800" s="100"/>
      <c r="T2800" s="100"/>
      <c r="U2800" s="100"/>
      <c r="V2800" s="100"/>
      <c r="W2800" s="100"/>
      <c r="X2800" s="100"/>
      <c r="Y2800" s="100"/>
      <c r="Z2800" s="100"/>
    </row>
    <row r="2801" spans="1:26">
      <c r="A2801" s="100" t="e">
        <f ca="1">IFERROR(__xludf.DUMMYFUNCTION("""COMPUTED_VALUE"""),58786136)</f>
        <v>#NAME?</v>
      </c>
      <c r="B2801" s="100" t="e">
        <f ca="1">IFERROR(__xludf.DUMMYFUNCTION("""COMPUTED_VALUE"""),"TURBOFDUSD")</f>
        <v>#NAME?</v>
      </c>
      <c r="C2801" s="100" t="e">
        <f ca="1">IFERROR(__xludf.DUMMYFUNCTION("""COMPUTED_VALUE"""),"0.00230900")</f>
        <v>#NAME?</v>
      </c>
      <c r="D2801" s="100" t="e">
        <f t="shared" ca="1" si="454"/>
        <v>#NAME?</v>
      </c>
      <c r="E2801" s="100" t="e">
        <f t="shared" ca="1" si="454"/>
        <v>#NAME?</v>
      </c>
      <c r="F2801" s="100" t="e">
        <f t="shared" ca="1" si="448"/>
        <v>#NAME?</v>
      </c>
      <c r="G2801" s="100" t="e">
        <f t="shared" ca="1" si="449"/>
        <v>#NAME?</v>
      </c>
      <c r="H2801" s="100" t="e">
        <f t="shared" ca="1" si="450"/>
        <v>#NAME?</v>
      </c>
      <c r="I2801" s="100" t="e">
        <f t="shared" ca="1" si="451"/>
        <v>#NAME?</v>
      </c>
      <c r="J2801" s="100" t="e">
        <f ca="1">IFERROR(__xludf.DUMMYFUNCTION("""COMPUTED_VALUE"""),"0")</f>
        <v>#NAME?</v>
      </c>
      <c r="K2801" s="100" t="e">
        <f t="shared" ca="1" si="452"/>
        <v>#NAME?</v>
      </c>
      <c r="L2801" s="100"/>
      <c r="M2801" s="100"/>
      <c r="N2801" s="100"/>
      <c r="O2801" s="100"/>
      <c r="P2801" s="100"/>
      <c r="Q2801" s="100"/>
      <c r="R2801" s="100"/>
      <c r="S2801" s="100"/>
      <c r="T2801" s="100"/>
      <c r="U2801" s="100"/>
      <c r="V2801" s="100"/>
      <c r="W2801" s="100"/>
      <c r="X2801" s="100"/>
      <c r="Y2801" s="100"/>
      <c r="Z2801" s="100"/>
    </row>
    <row r="2802" spans="1:26">
      <c r="A2802" s="100" t="e">
        <f ca="1">IFERROR(__xludf.DUMMYFUNCTION("""COMPUTED_VALUE"""),58786137)</f>
        <v>#NAME?</v>
      </c>
      <c r="B2802" s="100" t="e">
        <f ca="1">IFERROR(__xludf.DUMMYFUNCTION("""COMPUTED_VALUE"""),"THEBTC")</f>
        <v>#NAME?</v>
      </c>
      <c r="C2802" s="100" t="e">
        <f ca="1">IFERROR(__xludf.DUMMYFUNCTION("""COMPUTED_VALUE"""),"0.00000280")</f>
        <v>#NAME?</v>
      </c>
      <c r="D2802" s="100" t="e">
        <f t="shared" ref="D2802:E2821" ca="1" si="455">IFERROR(__xludf.DUMMYFUNCTION("""COMPUTED_VALUE"""),"-")</f>
        <v>#NAME?</v>
      </c>
      <c r="E2802" s="100" t="e">
        <f t="shared" ca="1" si="455"/>
        <v>#NAME?</v>
      </c>
      <c r="F2802" s="100" t="e">
        <f t="shared" ca="1" si="448"/>
        <v>#NAME?</v>
      </c>
      <c r="G2802" s="100" t="e">
        <f t="shared" ca="1" si="449"/>
        <v>#NAME?</v>
      </c>
      <c r="H2802" s="100" t="e">
        <f t="shared" ca="1" si="450"/>
        <v>#NAME?</v>
      </c>
      <c r="I2802" s="100" t="e">
        <f t="shared" ca="1" si="451"/>
        <v>#NAME?</v>
      </c>
      <c r="J2802" s="100" t="e">
        <f ca="1">IFERROR(__xludf.DUMMYFUNCTION("""COMPUTED_VALUE"""),"-3.114")</f>
        <v>#NAME?</v>
      </c>
      <c r="K2802" s="100" t="e">
        <f t="shared" ca="1" si="452"/>
        <v>#NAME?</v>
      </c>
      <c r="L2802" s="100"/>
      <c r="M2802" s="100"/>
      <c r="N2802" s="100"/>
      <c r="O2802" s="100"/>
      <c r="P2802" s="100"/>
      <c r="Q2802" s="100"/>
      <c r="R2802" s="100"/>
      <c r="S2802" s="100"/>
      <c r="T2802" s="100"/>
      <c r="U2802" s="100"/>
      <c r="V2802" s="100"/>
      <c r="W2802" s="100"/>
      <c r="X2802" s="100"/>
      <c r="Y2802" s="100"/>
      <c r="Z2802" s="100"/>
    </row>
    <row r="2803" spans="1:26">
      <c r="A2803" s="100" t="e">
        <f ca="1">IFERROR(__xludf.DUMMYFUNCTION("""COMPUTED_VALUE"""),58786138)</f>
        <v>#NAME?</v>
      </c>
      <c r="B2803" s="100" t="e">
        <f ca="1">IFERROR(__xludf.DUMMYFUNCTION("""COMPUTED_VALUE"""),"THEBNB")</f>
        <v>#NAME?</v>
      </c>
      <c r="C2803" s="100" t="e">
        <f ca="1">IFERROR(__xludf.DUMMYFUNCTION("""COMPUTED_VALUE"""),"0.00060430")</f>
        <v>#NAME?</v>
      </c>
      <c r="D2803" s="100" t="e">
        <f t="shared" ca="1" si="455"/>
        <v>#NAME?</v>
      </c>
      <c r="E2803" s="100" t="e">
        <f t="shared" ca="1" si="455"/>
        <v>#NAME?</v>
      </c>
      <c r="F2803" s="100" t="e">
        <f t="shared" ca="1" si="448"/>
        <v>#NAME?</v>
      </c>
      <c r="G2803" s="100" t="e">
        <f t="shared" ca="1" si="449"/>
        <v>#NAME?</v>
      </c>
      <c r="H2803" s="100" t="e">
        <f t="shared" ca="1" si="450"/>
        <v>#NAME?</v>
      </c>
      <c r="I2803" s="100" t="e">
        <f t="shared" ca="1" si="451"/>
        <v>#NAME?</v>
      </c>
      <c r="J2803" s="100" t="e">
        <f ca="1">IFERROR(__xludf.DUMMYFUNCTION("""COMPUTED_VALUE"""),"0")</f>
        <v>#NAME?</v>
      </c>
      <c r="K2803" s="100" t="e">
        <f t="shared" ca="1" si="452"/>
        <v>#NAME?</v>
      </c>
      <c r="L2803" s="100"/>
      <c r="M2803" s="100"/>
      <c r="N2803" s="100"/>
      <c r="O2803" s="100"/>
      <c r="P2803" s="100"/>
      <c r="Q2803" s="100"/>
      <c r="R2803" s="100"/>
      <c r="S2803" s="100"/>
      <c r="T2803" s="100"/>
      <c r="U2803" s="100"/>
      <c r="V2803" s="100"/>
      <c r="W2803" s="100"/>
      <c r="X2803" s="100"/>
      <c r="Y2803" s="100"/>
      <c r="Z2803" s="100"/>
    </row>
    <row r="2804" spans="1:26">
      <c r="A2804" s="100" t="e">
        <f ca="1">IFERROR(__xludf.DUMMYFUNCTION("""COMPUTED_VALUE"""),58786139)</f>
        <v>#NAME?</v>
      </c>
      <c r="B2804" s="100" t="e">
        <f ca="1">IFERROR(__xludf.DUMMYFUNCTION("""COMPUTED_VALUE"""),"THEFDUSD")</f>
        <v>#NAME?</v>
      </c>
      <c r="C2804" s="100" t="e">
        <f ca="1">IFERROR(__xludf.DUMMYFUNCTION("""COMPUTED_VALUE"""),"0.24850000")</f>
        <v>#NAME?</v>
      </c>
      <c r="D2804" s="100" t="e">
        <f t="shared" ca="1" si="455"/>
        <v>#NAME?</v>
      </c>
      <c r="E2804" s="100" t="e">
        <f t="shared" ca="1" si="455"/>
        <v>#NAME?</v>
      </c>
      <c r="F2804" s="100" t="e">
        <f t="shared" ca="1" si="448"/>
        <v>#NAME?</v>
      </c>
      <c r="G2804" s="100" t="e">
        <f t="shared" ca="1" si="449"/>
        <v>#NAME?</v>
      </c>
      <c r="H2804" s="100" t="e">
        <f t="shared" ca="1" si="450"/>
        <v>#NAME?</v>
      </c>
      <c r="I2804" s="100" t="e">
        <f t="shared" ca="1" si="451"/>
        <v>#NAME?</v>
      </c>
      <c r="J2804" s="100" t="e">
        <f ca="1">IFERROR(__xludf.DUMMYFUNCTION("""COMPUTED_VALUE"""),"-3.719")</f>
        <v>#NAME?</v>
      </c>
      <c r="K2804" s="100" t="e">
        <f t="shared" ca="1" si="452"/>
        <v>#NAME?</v>
      </c>
      <c r="L2804" s="100"/>
      <c r="M2804" s="100"/>
      <c r="N2804" s="100"/>
      <c r="O2804" s="100"/>
      <c r="P2804" s="100"/>
      <c r="Q2804" s="100"/>
      <c r="R2804" s="100"/>
      <c r="S2804" s="100"/>
      <c r="T2804" s="100"/>
      <c r="U2804" s="100"/>
      <c r="V2804" s="100"/>
      <c r="W2804" s="100"/>
      <c r="X2804" s="100"/>
      <c r="Y2804" s="100"/>
      <c r="Z2804" s="100"/>
    </row>
    <row r="2805" spans="1:26">
      <c r="A2805" s="100" t="e">
        <f ca="1">IFERROR(__xludf.DUMMYFUNCTION("""COMPUTED_VALUE"""),58786140)</f>
        <v>#NAME?</v>
      </c>
      <c r="B2805" s="100" t="e">
        <f ca="1">IFERROR(__xludf.DUMMYFUNCTION("""COMPUTED_VALUE"""),"THETRY")</f>
        <v>#NAME?</v>
      </c>
      <c r="C2805" s="100" t="e">
        <f ca="1">IFERROR(__xludf.DUMMYFUNCTION("""COMPUTED_VALUE"""),"9.49900000")</f>
        <v>#NAME?</v>
      </c>
      <c r="D2805" s="100" t="e">
        <f t="shared" ca="1" si="455"/>
        <v>#NAME?</v>
      </c>
      <c r="E2805" s="100" t="e">
        <f t="shared" ca="1" si="455"/>
        <v>#NAME?</v>
      </c>
      <c r="F2805" s="100" t="e">
        <f t="shared" ca="1" si="448"/>
        <v>#NAME?</v>
      </c>
      <c r="G2805" s="100" t="e">
        <f t="shared" ca="1" si="449"/>
        <v>#NAME?</v>
      </c>
      <c r="H2805" s="100" t="e">
        <f t="shared" ca="1" si="450"/>
        <v>#NAME?</v>
      </c>
      <c r="I2805" s="100" t="e">
        <f t="shared" ca="1" si="451"/>
        <v>#NAME?</v>
      </c>
      <c r="J2805" s="100" t="e">
        <f ca="1">IFERROR(__xludf.DUMMYFUNCTION("""COMPUTED_VALUE"""),"-1.687")</f>
        <v>#NAME?</v>
      </c>
      <c r="K2805" s="100" t="e">
        <f t="shared" ca="1" si="452"/>
        <v>#NAME?</v>
      </c>
      <c r="L2805" s="100"/>
      <c r="M2805" s="100"/>
      <c r="N2805" s="100"/>
      <c r="O2805" s="100"/>
      <c r="P2805" s="100"/>
      <c r="Q2805" s="100"/>
      <c r="R2805" s="100"/>
      <c r="S2805" s="100"/>
      <c r="T2805" s="100"/>
      <c r="U2805" s="100"/>
      <c r="V2805" s="100"/>
      <c r="W2805" s="100"/>
      <c r="X2805" s="100"/>
      <c r="Y2805" s="100"/>
      <c r="Z2805" s="100"/>
    </row>
    <row r="2806" spans="1:26">
      <c r="A2806" s="100" t="e">
        <f ca="1">IFERROR(__xludf.DUMMYFUNCTION("""COMPUTED_VALUE"""),58786141)</f>
        <v>#NAME?</v>
      </c>
      <c r="B2806" s="100" t="e">
        <f ca="1">IFERROR(__xludf.DUMMYFUNCTION("""COMPUTED_VALUE"""),"THEUSDT")</f>
        <v>#NAME?</v>
      </c>
      <c r="C2806" s="100" t="e">
        <f ca="1">IFERROR(__xludf.DUMMYFUNCTION("""COMPUTED_VALUE"""),"0.24840000")</f>
        <v>#NAME?</v>
      </c>
      <c r="D2806" s="100" t="e">
        <f t="shared" ca="1" si="455"/>
        <v>#NAME?</v>
      </c>
      <c r="E2806" s="100" t="e">
        <f t="shared" ca="1" si="455"/>
        <v>#NAME?</v>
      </c>
      <c r="F2806" s="100" t="e">
        <f t="shared" ca="1" si="448"/>
        <v>#NAME?</v>
      </c>
      <c r="G2806" s="100" t="e">
        <f t="shared" ca="1" si="449"/>
        <v>#NAME?</v>
      </c>
      <c r="H2806" s="100" t="e">
        <f t="shared" ca="1" si="450"/>
        <v>#NAME?</v>
      </c>
      <c r="I2806" s="100" t="e">
        <f t="shared" ca="1" si="451"/>
        <v>#NAME?</v>
      </c>
      <c r="J2806" s="100" t="e">
        <f ca="1">IFERROR(__xludf.DUMMYFUNCTION("""COMPUTED_VALUE"""),"-1.818")</f>
        <v>#NAME?</v>
      </c>
      <c r="K2806" s="100" t="e">
        <f t="shared" ca="1" si="452"/>
        <v>#NAME?</v>
      </c>
      <c r="L2806" s="100"/>
      <c r="M2806" s="100"/>
      <c r="N2806" s="100"/>
      <c r="O2806" s="100"/>
      <c r="P2806" s="100"/>
      <c r="Q2806" s="100"/>
      <c r="R2806" s="100"/>
      <c r="S2806" s="100"/>
      <c r="T2806" s="100"/>
      <c r="U2806" s="100"/>
      <c r="V2806" s="100"/>
      <c r="W2806" s="100"/>
      <c r="X2806" s="100"/>
      <c r="Y2806" s="100"/>
      <c r="Z2806" s="100"/>
    </row>
    <row r="2807" spans="1:26">
      <c r="A2807" s="100" t="e">
        <f ca="1">IFERROR(__xludf.DUMMYFUNCTION("""COMPUTED_VALUE"""),58786142)</f>
        <v>#NAME?</v>
      </c>
      <c r="B2807" s="100" t="e">
        <f ca="1">IFERROR(__xludf.DUMMYFUNCTION("""COMPUTED_VALUE"""),"APEUSDC")</f>
        <v>#NAME?</v>
      </c>
      <c r="C2807" s="100" t="e">
        <f ca="1">IFERROR(__xludf.DUMMYFUNCTION("""COMPUTED_VALUE"""),"0.46180000")</f>
        <v>#NAME?</v>
      </c>
      <c r="D2807" s="100" t="e">
        <f t="shared" ca="1" si="455"/>
        <v>#NAME?</v>
      </c>
      <c r="E2807" s="100" t="e">
        <f t="shared" ca="1" si="455"/>
        <v>#NAME?</v>
      </c>
      <c r="F2807" s="100" t="e">
        <f t="shared" ca="1" si="448"/>
        <v>#NAME?</v>
      </c>
      <c r="G2807" s="100" t="e">
        <f t="shared" ca="1" si="449"/>
        <v>#NAME?</v>
      </c>
      <c r="H2807" s="100" t="e">
        <f t="shared" ca="1" si="450"/>
        <v>#NAME?</v>
      </c>
      <c r="I2807" s="100" t="e">
        <f t="shared" ca="1" si="451"/>
        <v>#NAME?</v>
      </c>
      <c r="J2807" s="100" t="e">
        <f ca="1">IFERROR(__xludf.DUMMYFUNCTION("""COMPUTED_VALUE"""),"-2.368")</f>
        <v>#NAME?</v>
      </c>
      <c r="K2807" s="100" t="e">
        <f t="shared" ca="1" si="452"/>
        <v>#NAME?</v>
      </c>
      <c r="L2807" s="100"/>
      <c r="M2807" s="100"/>
      <c r="N2807" s="100"/>
      <c r="O2807" s="100"/>
      <c r="P2807" s="100"/>
      <c r="Q2807" s="100"/>
      <c r="R2807" s="100"/>
      <c r="S2807" s="100"/>
      <c r="T2807" s="100"/>
      <c r="U2807" s="100"/>
      <c r="V2807" s="100"/>
      <c r="W2807" s="100"/>
      <c r="X2807" s="100"/>
      <c r="Y2807" s="100"/>
      <c r="Z2807" s="100"/>
    </row>
    <row r="2808" spans="1:26">
      <c r="A2808" s="100" t="e">
        <f ca="1">IFERROR(__xludf.DUMMYFUNCTION("""COMPUTED_VALUE"""),58786143)</f>
        <v>#NAME?</v>
      </c>
      <c r="B2808" s="100" t="e">
        <f ca="1">IFERROR(__xludf.DUMMYFUNCTION("""COMPUTED_VALUE"""),"BOMEEUR")</f>
        <v>#NAME?</v>
      </c>
      <c r="C2808" s="100" t="e">
        <f ca="1">IFERROR(__xludf.DUMMYFUNCTION("""COMPUTED_VALUE"""),"0.00111600")</f>
        <v>#NAME?</v>
      </c>
      <c r="D2808" s="100" t="e">
        <f t="shared" ca="1" si="455"/>
        <v>#NAME?</v>
      </c>
      <c r="E2808" s="100" t="e">
        <f t="shared" ca="1" si="455"/>
        <v>#NAME?</v>
      </c>
      <c r="F2808" s="100" t="e">
        <f t="shared" ca="1" si="448"/>
        <v>#NAME?</v>
      </c>
      <c r="G2808" s="100" t="e">
        <f t="shared" ca="1" si="449"/>
        <v>#NAME?</v>
      </c>
      <c r="H2808" s="100" t="e">
        <f t="shared" ca="1" si="450"/>
        <v>#NAME?</v>
      </c>
      <c r="I2808" s="100" t="e">
        <f t="shared" ca="1" si="451"/>
        <v>#NAME?</v>
      </c>
      <c r="J2808" s="100" t="e">
        <f ca="1">IFERROR(__xludf.DUMMYFUNCTION("""COMPUTED_VALUE"""),"0.450")</f>
        <v>#NAME?</v>
      </c>
      <c r="K2808" s="100" t="e">
        <f t="shared" ca="1" si="452"/>
        <v>#NAME?</v>
      </c>
      <c r="L2808" s="100"/>
      <c r="M2808" s="100"/>
      <c r="N2808" s="100"/>
      <c r="O2808" s="100"/>
      <c r="P2808" s="100"/>
      <c r="Q2808" s="100"/>
      <c r="R2808" s="100"/>
      <c r="S2808" s="100"/>
      <c r="T2808" s="100"/>
      <c r="U2808" s="100"/>
      <c r="V2808" s="100"/>
      <c r="W2808" s="100"/>
      <c r="X2808" s="100"/>
      <c r="Y2808" s="100"/>
      <c r="Z2808" s="100"/>
    </row>
    <row r="2809" spans="1:26">
      <c r="A2809" s="100" t="e">
        <f ca="1">IFERROR(__xludf.DUMMYFUNCTION("""COMPUTED_VALUE"""),58786144)</f>
        <v>#NAME?</v>
      </c>
      <c r="B2809" s="100" t="e">
        <f ca="1">IFERROR(__xludf.DUMMYFUNCTION("""COMPUTED_VALUE"""),"EIGENUSDC")</f>
        <v>#NAME?</v>
      </c>
      <c r="C2809" s="100" t="e">
        <f ca="1">IFERROR(__xludf.DUMMYFUNCTION("""COMPUTED_VALUE"""),"0.84500000")</f>
        <v>#NAME?</v>
      </c>
      <c r="D2809" s="100" t="e">
        <f t="shared" ca="1" si="455"/>
        <v>#NAME?</v>
      </c>
      <c r="E2809" s="100" t="e">
        <f t="shared" ca="1" si="455"/>
        <v>#NAME?</v>
      </c>
      <c r="F2809" s="100" t="e">
        <f t="shared" ca="1" si="448"/>
        <v>#NAME?</v>
      </c>
      <c r="G2809" s="100" t="e">
        <f t="shared" ca="1" si="449"/>
        <v>#NAME?</v>
      </c>
      <c r="H2809" s="100" t="e">
        <f t="shared" ca="1" si="450"/>
        <v>#NAME?</v>
      </c>
      <c r="I2809" s="100" t="e">
        <f t="shared" ca="1" si="451"/>
        <v>#NAME?</v>
      </c>
      <c r="J2809" s="100" t="e">
        <f ca="1">IFERROR(__xludf.DUMMYFUNCTION("""COMPUTED_VALUE"""),"-1.515")</f>
        <v>#NAME?</v>
      </c>
      <c r="K2809" s="100" t="e">
        <f t="shared" ca="1" si="452"/>
        <v>#NAME?</v>
      </c>
      <c r="L2809" s="100"/>
      <c r="M2809" s="100"/>
      <c r="N2809" s="100"/>
      <c r="O2809" s="100"/>
      <c r="P2809" s="100"/>
      <c r="Q2809" s="100"/>
      <c r="R2809" s="100"/>
      <c r="S2809" s="100"/>
      <c r="T2809" s="100"/>
      <c r="U2809" s="100"/>
      <c r="V2809" s="100"/>
      <c r="W2809" s="100"/>
      <c r="X2809" s="100"/>
      <c r="Y2809" s="100"/>
      <c r="Z2809" s="100"/>
    </row>
    <row r="2810" spans="1:26">
      <c r="A2810" s="100" t="e">
        <f ca="1">IFERROR(__xludf.DUMMYFUNCTION("""COMPUTED_VALUE"""),58786145)</f>
        <v>#NAME?</v>
      </c>
      <c r="B2810" s="100" t="e">
        <f ca="1">IFERROR(__xludf.DUMMYFUNCTION("""COMPUTED_VALUE"""),"HBARFDUSD")</f>
        <v>#NAME?</v>
      </c>
      <c r="C2810" s="100" t="e">
        <f ca="1">IFERROR(__xludf.DUMMYFUNCTION("""COMPUTED_VALUE"""),"0.17316000")</f>
        <v>#NAME?</v>
      </c>
      <c r="D2810" s="100" t="e">
        <f t="shared" ca="1" si="455"/>
        <v>#NAME?</v>
      </c>
      <c r="E2810" s="100" t="e">
        <f t="shared" ca="1" si="455"/>
        <v>#NAME?</v>
      </c>
      <c r="F2810" s="100" t="e">
        <f t="shared" ca="1" si="448"/>
        <v>#NAME?</v>
      </c>
      <c r="G2810" s="100" t="e">
        <f t="shared" ca="1" si="449"/>
        <v>#NAME?</v>
      </c>
      <c r="H2810" s="100" t="e">
        <f t="shared" ca="1" si="450"/>
        <v>#NAME?</v>
      </c>
      <c r="I2810" s="100" t="e">
        <f t="shared" ca="1" si="451"/>
        <v>#NAME?</v>
      </c>
      <c r="J2810" s="100" t="e">
        <f ca="1">IFERROR(__xludf.DUMMYFUNCTION("""COMPUTED_VALUE"""),"0.377")</f>
        <v>#NAME?</v>
      </c>
      <c r="K2810" s="100" t="e">
        <f t="shared" ca="1" si="452"/>
        <v>#NAME?</v>
      </c>
      <c r="L2810" s="100"/>
      <c r="M2810" s="100"/>
      <c r="N2810" s="100"/>
      <c r="O2810" s="100"/>
      <c r="P2810" s="100"/>
      <c r="Q2810" s="100"/>
      <c r="R2810" s="100"/>
      <c r="S2810" s="100"/>
      <c r="T2810" s="100"/>
      <c r="U2810" s="100"/>
      <c r="V2810" s="100"/>
      <c r="W2810" s="100"/>
      <c r="X2810" s="100"/>
      <c r="Y2810" s="100"/>
      <c r="Z2810" s="100"/>
    </row>
    <row r="2811" spans="1:26">
      <c r="A2811" s="100" t="e">
        <f ca="1">IFERROR(__xludf.DUMMYFUNCTION("""COMPUTED_VALUE"""),58786146)</f>
        <v>#NAME?</v>
      </c>
      <c r="B2811" s="100" t="e">
        <f ca="1">IFERROR(__xludf.DUMMYFUNCTION("""COMPUTED_VALUE"""),"MEMEUSDC")</f>
        <v>#NAME?</v>
      </c>
      <c r="C2811" s="100" t="e">
        <f ca="1">IFERROR(__xludf.DUMMYFUNCTION("""COMPUTED_VALUE"""),"0.00194900")</f>
        <v>#NAME?</v>
      </c>
      <c r="D2811" s="100" t="e">
        <f t="shared" ca="1" si="455"/>
        <v>#NAME?</v>
      </c>
      <c r="E2811" s="100" t="e">
        <f t="shared" ca="1" si="455"/>
        <v>#NAME?</v>
      </c>
      <c r="F2811" s="100" t="e">
        <f t="shared" ca="1" si="448"/>
        <v>#NAME?</v>
      </c>
      <c r="G2811" s="100" t="e">
        <f t="shared" ca="1" si="449"/>
        <v>#NAME?</v>
      </c>
      <c r="H2811" s="100" t="e">
        <f t="shared" ca="1" si="450"/>
        <v>#NAME?</v>
      </c>
      <c r="I2811" s="100" t="e">
        <f t="shared" ca="1" si="451"/>
        <v>#NAME?</v>
      </c>
      <c r="J2811" s="100" t="e">
        <f ca="1">IFERROR(__xludf.DUMMYFUNCTION("""COMPUTED_VALUE"""),"-10.473")</f>
        <v>#NAME?</v>
      </c>
      <c r="K2811" s="100" t="e">
        <f t="shared" ca="1" si="452"/>
        <v>#NAME?</v>
      </c>
      <c r="L2811" s="100"/>
      <c r="M2811" s="100"/>
      <c r="N2811" s="100"/>
      <c r="O2811" s="100"/>
      <c r="P2811" s="100"/>
      <c r="Q2811" s="100"/>
      <c r="R2811" s="100"/>
      <c r="S2811" s="100"/>
      <c r="T2811" s="100"/>
      <c r="U2811" s="100"/>
      <c r="V2811" s="100"/>
      <c r="W2811" s="100"/>
      <c r="X2811" s="100"/>
      <c r="Y2811" s="100"/>
      <c r="Z2811" s="100"/>
    </row>
    <row r="2812" spans="1:26">
      <c r="A2812" s="100" t="e">
        <f ca="1">IFERROR(__xludf.DUMMYFUNCTION("""COMPUTED_VALUE"""),58786147)</f>
        <v>#NAME?</v>
      </c>
      <c r="B2812" s="100" t="e">
        <f ca="1">IFERROR(__xludf.DUMMYFUNCTION("""COMPUTED_VALUE"""),"TROYUSDC")</f>
        <v>#NAME?</v>
      </c>
      <c r="C2812" s="100" t="e">
        <f ca="1">IFERROR(__xludf.DUMMYFUNCTION("""COMPUTED_VALUE"""),"0.00006500")</f>
        <v>#NAME?</v>
      </c>
      <c r="D2812" s="100" t="e">
        <f t="shared" ca="1" si="455"/>
        <v>#NAME?</v>
      </c>
      <c r="E2812" s="100" t="e">
        <f t="shared" ca="1" si="455"/>
        <v>#NAME?</v>
      </c>
      <c r="F2812" s="100" t="e">
        <f t="shared" ca="1" si="448"/>
        <v>#NAME?</v>
      </c>
      <c r="G2812" s="100" t="e">
        <f t="shared" ca="1" si="449"/>
        <v>#NAME?</v>
      </c>
      <c r="H2812" s="100" t="e">
        <f t="shared" ca="1" si="450"/>
        <v>#NAME?</v>
      </c>
      <c r="I2812" s="100" t="e">
        <f t="shared" ca="1" si="451"/>
        <v>#NAME?</v>
      </c>
      <c r="J2812" s="100" t="e">
        <f ca="1">IFERROR(__xludf.DUMMYFUNCTION("""COMPUTED_VALUE"""),"-52.555")</f>
        <v>#NAME?</v>
      </c>
      <c r="K2812" s="100" t="e">
        <f t="shared" ca="1" si="452"/>
        <v>#NAME?</v>
      </c>
      <c r="L2812" s="100"/>
      <c r="M2812" s="100"/>
      <c r="N2812" s="100"/>
      <c r="O2812" s="100"/>
      <c r="P2812" s="100"/>
      <c r="Q2812" s="100"/>
      <c r="R2812" s="100"/>
      <c r="S2812" s="100"/>
      <c r="T2812" s="100"/>
      <c r="U2812" s="100"/>
      <c r="V2812" s="100"/>
      <c r="W2812" s="100"/>
      <c r="X2812" s="100"/>
      <c r="Y2812" s="100"/>
      <c r="Z2812" s="100"/>
    </row>
    <row r="2813" spans="1:26">
      <c r="A2813" s="100" t="e">
        <f ca="1">IFERROR(__xludf.DUMMYFUNCTION("""COMPUTED_VALUE"""),58786148)</f>
        <v>#NAME?</v>
      </c>
      <c r="B2813" s="100" t="e">
        <f ca="1">IFERROR(__xludf.DUMMYFUNCTION("""COMPUTED_VALUE"""),"WLDEUR")</f>
        <v>#NAME?</v>
      </c>
      <c r="C2813" s="100" t="e">
        <f ca="1">IFERROR(__xludf.DUMMYFUNCTION("""COMPUTED_VALUE"""),"0.67600000")</f>
        <v>#NAME?</v>
      </c>
      <c r="D2813" s="100" t="e">
        <f t="shared" ca="1" si="455"/>
        <v>#NAME?</v>
      </c>
      <c r="E2813" s="100" t="e">
        <f t="shared" ca="1" si="455"/>
        <v>#NAME?</v>
      </c>
      <c r="F2813" s="100" t="e">
        <f t="shared" ca="1" si="448"/>
        <v>#NAME?</v>
      </c>
      <c r="G2813" s="100" t="e">
        <f t="shared" ca="1" si="449"/>
        <v>#NAME?</v>
      </c>
      <c r="H2813" s="100" t="e">
        <f t="shared" ca="1" si="450"/>
        <v>#NAME?</v>
      </c>
      <c r="I2813" s="100" t="e">
        <f t="shared" ca="1" si="451"/>
        <v>#NAME?</v>
      </c>
      <c r="J2813" s="100" t="e">
        <f ca="1">IFERROR(__xludf.DUMMYFUNCTION("""COMPUTED_VALUE"""),"-1.601")</f>
        <v>#NAME?</v>
      </c>
      <c r="K2813" s="100" t="e">
        <f t="shared" ca="1" si="452"/>
        <v>#NAME?</v>
      </c>
      <c r="L2813" s="100"/>
      <c r="M2813" s="100"/>
      <c r="N2813" s="100"/>
      <c r="O2813" s="100"/>
      <c r="P2813" s="100"/>
      <c r="Q2813" s="100"/>
      <c r="R2813" s="100"/>
      <c r="S2813" s="100"/>
      <c r="T2813" s="100"/>
      <c r="U2813" s="100"/>
      <c r="V2813" s="100"/>
      <c r="W2813" s="100"/>
      <c r="X2813" s="100"/>
      <c r="Y2813" s="100"/>
      <c r="Z2813" s="100"/>
    </row>
    <row r="2814" spans="1:26">
      <c r="A2814" s="100" t="e">
        <f ca="1">IFERROR(__xludf.DUMMYFUNCTION("""COMPUTED_VALUE"""),58786149)</f>
        <v>#NAME?</v>
      </c>
      <c r="B2814" s="100" t="e">
        <f ca="1">IFERROR(__xludf.DUMMYFUNCTION("""COMPUTED_VALUE"""),"1MBABYDOGEUSDC")</f>
        <v>#NAME?</v>
      </c>
      <c r="C2814" s="100" t="e">
        <f ca="1">IFERROR(__xludf.DUMMYFUNCTION("""COMPUTED_VALUE"""),"0.00129070")</f>
        <v>#NAME?</v>
      </c>
      <c r="D2814" s="100" t="e">
        <f t="shared" ca="1" si="455"/>
        <v>#NAME?</v>
      </c>
      <c r="E2814" s="100" t="e">
        <f t="shared" ca="1" si="455"/>
        <v>#NAME?</v>
      </c>
      <c r="F2814" s="100" t="e">
        <f t="shared" ca="1" si="448"/>
        <v>#NAME?</v>
      </c>
      <c r="G2814" s="100" t="e">
        <f t="shared" ca="1" si="449"/>
        <v>#NAME?</v>
      </c>
      <c r="H2814" s="100" t="e">
        <f t="shared" ca="1" si="450"/>
        <v>#NAME?</v>
      </c>
      <c r="I2814" s="100" t="e">
        <f t="shared" ca="1" si="451"/>
        <v>#NAME?</v>
      </c>
      <c r="J2814" s="100" t="e">
        <f ca="1">IFERROR(__xludf.DUMMYFUNCTION("""COMPUTED_VALUE"""),"-0.539")</f>
        <v>#NAME?</v>
      </c>
      <c r="K2814" s="100" t="e">
        <f t="shared" ca="1" si="452"/>
        <v>#NAME?</v>
      </c>
      <c r="L2814" s="100"/>
      <c r="M2814" s="100"/>
      <c r="N2814" s="100"/>
      <c r="O2814" s="100"/>
      <c r="P2814" s="100"/>
      <c r="Q2814" s="100"/>
      <c r="R2814" s="100"/>
      <c r="S2814" s="100"/>
      <c r="T2814" s="100"/>
      <c r="U2814" s="100"/>
      <c r="V2814" s="100"/>
      <c r="W2814" s="100"/>
      <c r="X2814" s="100"/>
      <c r="Y2814" s="100"/>
      <c r="Z2814" s="100"/>
    </row>
    <row r="2815" spans="1:26">
      <c r="A2815" s="100" t="e">
        <f ca="1">IFERROR(__xludf.DUMMYFUNCTION("""COMPUTED_VALUE"""),58786150)</f>
        <v>#NAME?</v>
      </c>
      <c r="B2815" s="100" t="e">
        <f ca="1">IFERROR(__xludf.DUMMYFUNCTION("""COMPUTED_VALUE"""),"CETUSUSDC")</f>
        <v>#NAME?</v>
      </c>
      <c r="C2815" s="100" t="e">
        <f ca="1">IFERROR(__xludf.DUMMYFUNCTION("""COMPUTED_VALUE"""),"0.10770000")</f>
        <v>#NAME?</v>
      </c>
      <c r="D2815" s="100" t="e">
        <f t="shared" ca="1" si="455"/>
        <v>#NAME?</v>
      </c>
      <c r="E2815" s="100" t="e">
        <f t="shared" ca="1" si="455"/>
        <v>#NAME?</v>
      </c>
      <c r="F2815" s="100" t="e">
        <f t="shared" ca="1" si="448"/>
        <v>#NAME?</v>
      </c>
      <c r="G2815" s="100" t="e">
        <f t="shared" ca="1" si="449"/>
        <v>#NAME?</v>
      </c>
      <c r="H2815" s="100" t="e">
        <f t="shared" ca="1" si="450"/>
        <v>#NAME?</v>
      </c>
      <c r="I2815" s="100" t="e">
        <f t="shared" ca="1" si="451"/>
        <v>#NAME?</v>
      </c>
      <c r="J2815" s="100" t="e">
        <f ca="1">IFERROR(__xludf.DUMMYFUNCTION("""COMPUTED_VALUE"""),"-0.920")</f>
        <v>#NAME?</v>
      </c>
      <c r="K2815" s="100" t="e">
        <f t="shared" ca="1" si="452"/>
        <v>#NAME?</v>
      </c>
      <c r="L2815" s="100"/>
      <c r="M2815" s="100"/>
      <c r="N2815" s="100"/>
      <c r="O2815" s="100"/>
      <c r="P2815" s="100"/>
      <c r="Q2815" s="100"/>
      <c r="R2815" s="100"/>
      <c r="S2815" s="100"/>
      <c r="T2815" s="100"/>
      <c r="U2815" s="100"/>
      <c r="V2815" s="100"/>
      <c r="W2815" s="100"/>
      <c r="X2815" s="100"/>
      <c r="Y2815" s="100"/>
      <c r="Z2815" s="100"/>
    </row>
    <row r="2816" spans="1:26">
      <c r="A2816" s="100" t="e">
        <f ca="1">IFERROR(__xludf.DUMMYFUNCTION("""COMPUTED_VALUE"""),58786151)</f>
        <v>#NAME?</v>
      </c>
      <c r="B2816" s="100" t="e">
        <f ca="1">IFERROR(__xludf.DUMMYFUNCTION("""COMPUTED_VALUE"""),"COWUSDC")</f>
        <v>#NAME?</v>
      </c>
      <c r="C2816" s="100" t="e">
        <f ca="1">IFERROR(__xludf.DUMMYFUNCTION("""COMPUTED_VALUE"""),"0.27920000")</f>
        <v>#NAME?</v>
      </c>
      <c r="D2816" s="100" t="e">
        <f t="shared" ca="1" si="455"/>
        <v>#NAME?</v>
      </c>
      <c r="E2816" s="100" t="e">
        <f t="shared" ca="1" si="455"/>
        <v>#NAME?</v>
      </c>
      <c r="F2816" s="100" t="e">
        <f t="shared" ca="1" si="448"/>
        <v>#NAME?</v>
      </c>
      <c r="G2816" s="100" t="e">
        <f t="shared" ca="1" si="449"/>
        <v>#NAME?</v>
      </c>
      <c r="H2816" s="100" t="e">
        <f t="shared" ca="1" si="450"/>
        <v>#NAME?</v>
      </c>
      <c r="I2816" s="100" t="e">
        <f t="shared" ca="1" si="451"/>
        <v>#NAME?</v>
      </c>
      <c r="J2816" s="100" t="e">
        <f ca="1">IFERROR(__xludf.DUMMYFUNCTION("""COMPUTED_VALUE"""),"-3.224")</f>
        <v>#NAME?</v>
      </c>
      <c r="K2816" s="100" t="e">
        <f t="shared" ca="1" si="452"/>
        <v>#NAME?</v>
      </c>
      <c r="L2816" s="100"/>
      <c r="M2816" s="100"/>
      <c r="N2816" s="100"/>
      <c r="O2816" s="100"/>
      <c r="P2816" s="100"/>
      <c r="Q2816" s="100"/>
      <c r="R2816" s="100"/>
      <c r="S2816" s="100"/>
      <c r="T2816" s="100"/>
      <c r="U2816" s="100"/>
      <c r="V2816" s="100"/>
      <c r="W2816" s="100"/>
      <c r="X2816" s="100"/>
      <c r="Y2816" s="100"/>
      <c r="Z2816" s="100"/>
    </row>
    <row r="2817" spans="1:26">
      <c r="A2817" s="100" t="e">
        <f ca="1">IFERROR(__xludf.DUMMYFUNCTION("""COMPUTED_VALUE"""),58786152)</f>
        <v>#NAME?</v>
      </c>
      <c r="B2817" s="100" t="e">
        <f ca="1">IFERROR(__xludf.DUMMYFUNCTION("""COMPUTED_VALUE"""),"DYDXUSDC")</f>
        <v>#NAME?</v>
      </c>
      <c r="C2817" s="100" t="e">
        <f ca="1">IFERROR(__xludf.DUMMYFUNCTION("""COMPUTED_VALUE"""),"0.58570000")</f>
        <v>#NAME?</v>
      </c>
      <c r="D2817" s="100" t="e">
        <f t="shared" ca="1" si="455"/>
        <v>#NAME?</v>
      </c>
      <c r="E2817" s="100" t="e">
        <f t="shared" ca="1" si="455"/>
        <v>#NAME?</v>
      </c>
      <c r="F2817" s="100" t="e">
        <f t="shared" ca="1" si="448"/>
        <v>#NAME?</v>
      </c>
      <c r="G2817" s="100" t="e">
        <f t="shared" ca="1" si="449"/>
        <v>#NAME?</v>
      </c>
      <c r="H2817" s="100" t="e">
        <f t="shared" ca="1" si="450"/>
        <v>#NAME?</v>
      </c>
      <c r="I2817" s="100" t="e">
        <f t="shared" ca="1" si="451"/>
        <v>#NAME?</v>
      </c>
      <c r="J2817" s="100" t="e">
        <f ca="1">IFERROR(__xludf.DUMMYFUNCTION("""COMPUTED_VALUE"""),"-3.174")</f>
        <v>#NAME?</v>
      </c>
      <c r="K2817" s="100" t="e">
        <f t="shared" ca="1" si="452"/>
        <v>#NAME?</v>
      </c>
      <c r="L2817" s="100"/>
      <c r="M2817" s="100"/>
      <c r="N2817" s="100"/>
      <c r="O2817" s="100"/>
      <c r="P2817" s="100"/>
      <c r="Q2817" s="100"/>
      <c r="R2817" s="100"/>
      <c r="S2817" s="100"/>
      <c r="T2817" s="100"/>
      <c r="U2817" s="100"/>
      <c r="V2817" s="100"/>
      <c r="W2817" s="100"/>
      <c r="X2817" s="100"/>
      <c r="Y2817" s="100"/>
      <c r="Z2817" s="100"/>
    </row>
    <row r="2818" spans="1:26">
      <c r="A2818" s="100" t="e">
        <f ca="1">IFERROR(__xludf.DUMMYFUNCTION("""COMPUTED_VALUE"""),58786153)</f>
        <v>#NAME?</v>
      </c>
      <c r="B2818" s="100" t="e">
        <f ca="1">IFERROR(__xludf.DUMMYFUNCTION("""COMPUTED_VALUE"""),"HMSTRUSDC")</f>
        <v>#NAME?</v>
      </c>
      <c r="C2818" s="100" t="e">
        <f ca="1">IFERROR(__xludf.DUMMYFUNCTION("""COMPUTED_VALUE"""),"0.00260600")</f>
        <v>#NAME?</v>
      </c>
      <c r="D2818" s="100" t="e">
        <f t="shared" ca="1" si="455"/>
        <v>#NAME?</v>
      </c>
      <c r="E2818" s="100" t="e">
        <f t="shared" ca="1" si="455"/>
        <v>#NAME?</v>
      </c>
      <c r="F2818" s="100" t="e">
        <f t="shared" ref="F2818:F2881" ca="1" si="456">IFERROR(__xludf.DUMMYFUNCTION("""COMPUTED_VALUE"""),20200)</f>
        <v>#NAME?</v>
      </c>
      <c r="G2818" s="100" t="e">
        <f t="shared" ref="G2818:G2881" ca="1" si="457">IFERROR(__xludf.DUMMYFUNCTION("""COMPUTED_VALUE"""),2885)</f>
        <v>#NAME?</v>
      </c>
      <c r="H2818" s="100" t="e">
        <f t="shared" ref="H2818:H2881" ca="1" si="458">IFERROR(__xludf.DUMMYFUNCTION("""COMPUTED_VALUE"""),663)</f>
        <v>#NAME?</v>
      </c>
      <c r="I2818" s="100" t="e">
        <f t="shared" ref="I2818:I2881" ca="1" si="459">IFERROR(__xludf.DUMMYFUNCTION("""COMPUTED_VALUE"""),5817721)</f>
        <v>#NAME?</v>
      </c>
      <c r="J2818" s="100" t="e">
        <f ca="1">IFERROR(__xludf.DUMMYFUNCTION("""COMPUTED_VALUE"""),"-1.363")</f>
        <v>#NAME?</v>
      </c>
      <c r="K2818" s="100" t="e">
        <f t="shared" ref="K2818:K2881" ca="1" si="460">IFERROR(__xludf.DUMMYFUNCTION("""COMPUTED_VALUE"""),"22.04.2025 13:05:01")</f>
        <v>#NAME?</v>
      </c>
      <c r="L2818" s="100"/>
      <c r="M2818" s="100"/>
      <c r="N2818" s="100"/>
      <c r="O2818" s="100"/>
      <c r="P2818" s="100"/>
      <c r="Q2818" s="100"/>
      <c r="R2818" s="100"/>
      <c r="S2818" s="100"/>
      <c r="T2818" s="100"/>
      <c r="U2818" s="100"/>
      <c r="V2818" s="100"/>
      <c r="W2818" s="100"/>
      <c r="X2818" s="100"/>
      <c r="Y2818" s="100"/>
      <c r="Z2818" s="100"/>
    </row>
    <row r="2819" spans="1:26">
      <c r="A2819" s="100" t="e">
        <f ca="1">IFERROR(__xludf.DUMMYFUNCTION("""COMPUTED_VALUE"""),58786154)</f>
        <v>#NAME?</v>
      </c>
      <c r="B2819" s="100" t="e">
        <f ca="1">IFERROR(__xludf.DUMMYFUNCTION("""COMPUTED_VALUE"""),"TURBOUSDC")</f>
        <v>#NAME?</v>
      </c>
      <c r="C2819" s="100" t="e">
        <f ca="1">IFERROR(__xludf.DUMMYFUNCTION("""COMPUTED_VALUE"""),"0.00254300")</f>
        <v>#NAME?</v>
      </c>
      <c r="D2819" s="100" t="e">
        <f t="shared" ca="1" si="455"/>
        <v>#NAME?</v>
      </c>
      <c r="E2819" s="100" t="e">
        <f t="shared" ca="1" si="455"/>
        <v>#NAME?</v>
      </c>
      <c r="F2819" s="100" t="e">
        <f t="shared" ca="1" si="456"/>
        <v>#NAME?</v>
      </c>
      <c r="G2819" s="100" t="e">
        <f t="shared" ca="1" si="457"/>
        <v>#NAME?</v>
      </c>
      <c r="H2819" s="100" t="e">
        <f t="shared" ca="1" si="458"/>
        <v>#NAME?</v>
      </c>
      <c r="I2819" s="100" t="e">
        <f t="shared" ca="1" si="459"/>
        <v>#NAME?</v>
      </c>
      <c r="J2819" s="100" t="e">
        <f ca="1">IFERROR(__xludf.DUMMYFUNCTION("""COMPUTED_VALUE"""),"13.577")</f>
        <v>#NAME?</v>
      </c>
      <c r="K2819" s="100" t="e">
        <f t="shared" ca="1" si="460"/>
        <v>#NAME?</v>
      </c>
      <c r="L2819" s="100"/>
      <c r="M2819" s="100"/>
      <c r="N2819" s="100"/>
      <c r="O2819" s="100"/>
      <c r="P2819" s="100"/>
      <c r="Q2819" s="100"/>
      <c r="R2819" s="100"/>
      <c r="S2819" s="100"/>
      <c r="T2819" s="100"/>
      <c r="U2819" s="100"/>
      <c r="V2819" s="100"/>
      <c r="W2819" s="100"/>
      <c r="X2819" s="100"/>
      <c r="Y2819" s="100"/>
      <c r="Z2819" s="100"/>
    </row>
    <row r="2820" spans="1:26">
      <c r="A2820" s="100" t="e">
        <f ca="1">IFERROR(__xludf.DUMMYFUNCTION("""COMPUTED_VALUE"""),58786155)</f>
        <v>#NAME?</v>
      </c>
      <c r="B2820" s="100" t="e">
        <f ca="1">IFERROR(__xludf.DUMMYFUNCTION("""COMPUTED_VALUE"""),"ENABRL")</f>
        <v>#NAME?</v>
      </c>
      <c r="C2820" s="100" t="e">
        <f ca="1">IFERROR(__xludf.DUMMYFUNCTION("""COMPUTED_VALUE"""),"1.70300000")</f>
        <v>#NAME?</v>
      </c>
      <c r="D2820" s="100" t="e">
        <f t="shared" ca="1" si="455"/>
        <v>#NAME?</v>
      </c>
      <c r="E2820" s="100" t="e">
        <f t="shared" ca="1" si="455"/>
        <v>#NAME?</v>
      </c>
      <c r="F2820" s="100" t="e">
        <f t="shared" ca="1" si="456"/>
        <v>#NAME?</v>
      </c>
      <c r="G2820" s="100" t="e">
        <f t="shared" ca="1" si="457"/>
        <v>#NAME?</v>
      </c>
      <c r="H2820" s="100" t="e">
        <f t="shared" ca="1" si="458"/>
        <v>#NAME?</v>
      </c>
      <c r="I2820" s="100" t="e">
        <f t="shared" ca="1" si="459"/>
        <v>#NAME?</v>
      </c>
      <c r="J2820" s="100" t="e">
        <f ca="1">IFERROR(__xludf.DUMMYFUNCTION("""COMPUTED_VALUE"""),"-2.070")</f>
        <v>#NAME?</v>
      </c>
      <c r="K2820" s="100" t="e">
        <f t="shared" ca="1" si="460"/>
        <v>#NAME?</v>
      </c>
      <c r="L2820" s="100"/>
      <c r="M2820" s="100"/>
      <c r="N2820" s="100"/>
      <c r="O2820" s="100"/>
      <c r="P2820" s="100"/>
      <c r="Q2820" s="100"/>
      <c r="R2820" s="100"/>
      <c r="S2820" s="100"/>
      <c r="T2820" s="100"/>
      <c r="U2820" s="100"/>
      <c r="V2820" s="100"/>
      <c r="W2820" s="100"/>
      <c r="X2820" s="100"/>
      <c r="Y2820" s="100"/>
      <c r="Z2820" s="100"/>
    </row>
    <row r="2821" spans="1:26">
      <c r="A2821" s="100" t="e">
        <f ca="1">IFERROR(__xludf.DUMMYFUNCTION("""COMPUTED_VALUE"""),58786156)</f>
        <v>#NAME?</v>
      </c>
      <c r="B2821" s="100" t="e">
        <f ca="1">IFERROR(__xludf.DUMMYFUNCTION("""COMPUTED_VALUE"""),"EOSFDUSD")</f>
        <v>#NAME?</v>
      </c>
      <c r="C2821" s="100" t="e">
        <f ca="1">IFERROR(__xludf.DUMMYFUNCTION("""COMPUTED_VALUE"""),"0.63210000")</f>
        <v>#NAME?</v>
      </c>
      <c r="D2821" s="100" t="e">
        <f t="shared" ca="1" si="455"/>
        <v>#NAME?</v>
      </c>
      <c r="E2821" s="100" t="e">
        <f t="shared" ca="1" si="455"/>
        <v>#NAME?</v>
      </c>
      <c r="F2821" s="100" t="e">
        <f t="shared" ca="1" si="456"/>
        <v>#NAME?</v>
      </c>
      <c r="G2821" s="100" t="e">
        <f t="shared" ca="1" si="457"/>
        <v>#NAME?</v>
      </c>
      <c r="H2821" s="100" t="e">
        <f t="shared" ca="1" si="458"/>
        <v>#NAME?</v>
      </c>
      <c r="I2821" s="100" t="e">
        <f t="shared" ca="1" si="459"/>
        <v>#NAME?</v>
      </c>
      <c r="J2821" s="100" t="e">
        <f ca="1">IFERROR(__xludf.DUMMYFUNCTION("""COMPUTED_VALUE"""),"-3.702")</f>
        <v>#NAME?</v>
      </c>
      <c r="K2821" s="100" t="e">
        <f t="shared" ca="1" si="460"/>
        <v>#NAME?</v>
      </c>
      <c r="L2821" s="100"/>
      <c r="M2821" s="100"/>
      <c r="N2821" s="100"/>
      <c r="O2821" s="100"/>
      <c r="P2821" s="100"/>
      <c r="Q2821" s="100"/>
      <c r="R2821" s="100"/>
      <c r="S2821" s="100"/>
      <c r="T2821" s="100"/>
      <c r="U2821" s="100"/>
      <c r="V2821" s="100"/>
      <c r="W2821" s="100"/>
      <c r="X2821" s="100"/>
      <c r="Y2821" s="100"/>
      <c r="Z2821" s="100"/>
    </row>
    <row r="2822" spans="1:26">
      <c r="A2822" s="100" t="e">
        <f ca="1">IFERROR(__xludf.DUMMYFUNCTION("""COMPUTED_VALUE"""),58786157)</f>
        <v>#NAME?</v>
      </c>
      <c r="B2822" s="100" t="e">
        <f ca="1">IFERROR(__xludf.DUMMYFUNCTION("""COMPUTED_VALUE"""),"KAIAUSDC")</f>
        <v>#NAME?</v>
      </c>
      <c r="C2822" s="100" t="e">
        <f ca="1">IFERROR(__xludf.DUMMYFUNCTION("""COMPUTED_VALUE"""),"0.11250000")</f>
        <v>#NAME?</v>
      </c>
      <c r="D2822" s="100" t="e">
        <f t="shared" ref="D2822:E2841" ca="1" si="461">IFERROR(__xludf.DUMMYFUNCTION("""COMPUTED_VALUE"""),"-")</f>
        <v>#NAME?</v>
      </c>
      <c r="E2822" s="100" t="e">
        <f t="shared" ca="1" si="461"/>
        <v>#NAME?</v>
      </c>
      <c r="F2822" s="100" t="e">
        <f t="shared" ca="1" si="456"/>
        <v>#NAME?</v>
      </c>
      <c r="G2822" s="100" t="e">
        <f t="shared" ca="1" si="457"/>
        <v>#NAME?</v>
      </c>
      <c r="H2822" s="100" t="e">
        <f t="shared" ca="1" si="458"/>
        <v>#NAME?</v>
      </c>
      <c r="I2822" s="100" t="e">
        <f t="shared" ca="1" si="459"/>
        <v>#NAME?</v>
      </c>
      <c r="J2822" s="100" t="e">
        <f ca="1">IFERROR(__xludf.DUMMYFUNCTION("""COMPUTED_VALUE"""),"4.360")</f>
        <v>#NAME?</v>
      </c>
      <c r="K2822" s="100" t="e">
        <f t="shared" ca="1" si="460"/>
        <v>#NAME?</v>
      </c>
      <c r="L2822" s="100"/>
      <c r="M2822" s="100"/>
      <c r="N2822" s="100"/>
      <c r="O2822" s="100"/>
      <c r="P2822" s="100"/>
      <c r="Q2822" s="100"/>
      <c r="R2822" s="100"/>
      <c r="S2822" s="100"/>
      <c r="T2822" s="100"/>
      <c r="U2822" s="100"/>
      <c r="V2822" s="100"/>
      <c r="W2822" s="100"/>
      <c r="X2822" s="100"/>
      <c r="Y2822" s="100"/>
      <c r="Z2822" s="100"/>
    </row>
    <row r="2823" spans="1:26">
      <c r="A2823" s="100" t="e">
        <f ca="1">IFERROR(__xludf.DUMMYFUNCTION("""COMPUTED_VALUE"""),58786158)</f>
        <v>#NAME?</v>
      </c>
      <c r="B2823" s="100" t="e">
        <f ca="1">IFERROR(__xludf.DUMMYFUNCTION("""COMPUTED_VALUE"""),"SANDUSDC")</f>
        <v>#NAME?</v>
      </c>
      <c r="C2823" s="100" t="e">
        <f ca="1">IFERROR(__xludf.DUMMYFUNCTION("""COMPUTED_VALUE"""),"0.27470000")</f>
        <v>#NAME?</v>
      </c>
      <c r="D2823" s="100" t="e">
        <f t="shared" ca="1" si="461"/>
        <v>#NAME?</v>
      </c>
      <c r="E2823" s="100" t="e">
        <f t="shared" ca="1" si="461"/>
        <v>#NAME?</v>
      </c>
      <c r="F2823" s="100" t="e">
        <f t="shared" ca="1" si="456"/>
        <v>#NAME?</v>
      </c>
      <c r="G2823" s="100" t="e">
        <f t="shared" ca="1" si="457"/>
        <v>#NAME?</v>
      </c>
      <c r="H2823" s="100" t="e">
        <f t="shared" ca="1" si="458"/>
        <v>#NAME?</v>
      </c>
      <c r="I2823" s="100" t="e">
        <f t="shared" ca="1" si="459"/>
        <v>#NAME?</v>
      </c>
      <c r="J2823" s="100" t="e">
        <f ca="1">IFERROR(__xludf.DUMMYFUNCTION("""COMPUTED_VALUE"""),"-2.692")</f>
        <v>#NAME?</v>
      </c>
      <c r="K2823" s="100" t="e">
        <f t="shared" ca="1" si="460"/>
        <v>#NAME?</v>
      </c>
      <c r="L2823" s="100"/>
      <c r="M2823" s="100"/>
      <c r="N2823" s="100"/>
      <c r="O2823" s="100"/>
      <c r="P2823" s="100"/>
      <c r="Q2823" s="100"/>
      <c r="R2823" s="100"/>
      <c r="S2823" s="100"/>
      <c r="T2823" s="100"/>
      <c r="U2823" s="100"/>
      <c r="V2823" s="100"/>
      <c r="W2823" s="100"/>
      <c r="X2823" s="100"/>
      <c r="Y2823" s="100"/>
      <c r="Z2823" s="100"/>
    </row>
    <row r="2824" spans="1:26">
      <c r="A2824" s="100" t="e">
        <f ca="1">IFERROR(__xludf.DUMMYFUNCTION("""COMPUTED_VALUE"""),58786159)</f>
        <v>#NAME?</v>
      </c>
      <c r="B2824" s="100" t="e">
        <f ca="1">IFERROR(__xludf.DUMMYFUNCTION("""COMPUTED_VALUE"""),"XLMFDUSD")</f>
        <v>#NAME?</v>
      </c>
      <c r="C2824" s="100" t="e">
        <f ca="1">IFERROR(__xludf.DUMMYFUNCTION("""COMPUTED_VALUE"""),"0.24790000")</f>
        <v>#NAME?</v>
      </c>
      <c r="D2824" s="100" t="e">
        <f t="shared" ca="1" si="461"/>
        <v>#NAME?</v>
      </c>
      <c r="E2824" s="100" t="e">
        <f t="shared" ca="1" si="461"/>
        <v>#NAME?</v>
      </c>
      <c r="F2824" s="100" t="e">
        <f t="shared" ca="1" si="456"/>
        <v>#NAME?</v>
      </c>
      <c r="G2824" s="100" t="e">
        <f t="shared" ca="1" si="457"/>
        <v>#NAME?</v>
      </c>
      <c r="H2824" s="100" t="e">
        <f t="shared" ca="1" si="458"/>
        <v>#NAME?</v>
      </c>
      <c r="I2824" s="100" t="e">
        <f t="shared" ca="1" si="459"/>
        <v>#NAME?</v>
      </c>
      <c r="J2824" s="100" t="e">
        <f ca="1">IFERROR(__xludf.DUMMYFUNCTION("""COMPUTED_VALUE"""),"-4.286")</f>
        <v>#NAME?</v>
      </c>
      <c r="K2824" s="100" t="e">
        <f t="shared" ca="1" si="460"/>
        <v>#NAME?</v>
      </c>
      <c r="L2824" s="100"/>
      <c r="M2824" s="100"/>
      <c r="N2824" s="100"/>
      <c r="O2824" s="100"/>
      <c r="P2824" s="100"/>
      <c r="Q2824" s="100"/>
      <c r="R2824" s="100"/>
      <c r="S2824" s="100"/>
      <c r="T2824" s="100"/>
      <c r="U2824" s="100"/>
      <c r="V2824" s="100"/>
      <c r="W2824" s="100"/>
      <c r="X2824" s="100"/>
      <c r="Y2824" s="100"/>
      <c r="Z2824" s="100"/>
    </row>
    <row r="2825" spans="1:26">
      <c r="A2825" s="100" t="e">
        <f ca="1">IFERROR(__xludf.DUMMYFUNCTION("""COMPUTED_VALUE"""),58786160)</f>
        <v>#NAME?</v>
      </c>
      <c r="B2825" s="100" t="e">
        <f ca="1">IFERROR(__xludf.DUMMYFUNCTION("""COMPUTED_VALUE"""),"CHZUSDC")</f>
        <v>#NAME?</v>
      </c>
      <c r="C2825" s="100" t="e">
        <f ca="1">IFERROR(__xludf.DUMMYFUNCTION("""COMPUTED_VALUE"""),"0.03715000")</f>
        <v>#NAME?</v>
      </c>
      <c r="D2825" s="100" t="e">
        <f t="shared" ca="1" si="461"/>
        <v>#NAME?</v>
      </c>
      <c r="E2825" s="100" t="e">
        <f t="shared" ca="1" si="461"/>
        <v>#NAME?</v>
      </c>
      <c r="F2825" s="100" t="e">
        <f t="shared" ca="1" si="456"/>
        <v>#NAME?</v>
      </c>
      <c r="G2825" s="100" t="e">
        <f t="shared" ca="1" si="457"/>
        <v>#NAME?</v>
      </c>
      <c r="H2825" s="100" t="e">
        <f t="shared" ca="1" si="458"/>
        <v>#NAME?</v>
      </c>
      <c r="I2825" s="100" t="e">
        <f t="shared" ca="1" si="459"/>
        <v>#NAME?</v>
      </c>
      <c r="J2825" s="100" t="e">
        <f ca="1">IFERROR(__xludf.DUMMYFUNCTION("""COMPUTED_VALUE"""),"-2.545")</f>
        <v>#NAME?</v>
      </c>
      <c r="K2825" s="100" t="e">
        <f t="shared" ca="1" si="460"/>
        <v>#NAME?</v>
      </c>
      <c r="L2825" s="100"/>
      <c r="M2825" s="100"/>
      <c r="N2825" s="100"/>
      <c r="O2825" s="100"/>
      <c r="P2825" s="100"/>
      <c r="Q2825" s="100"/>
      <c r="R2825" s="100"/>
      <c r="S2825" s="100"/>
      <c r="T2825" s="100"/>
      <c r="U2825" s="100"/>
      <c r="V2825" s="100"/>
      <c r="W2825" s="100"/>
      <c r="X2825" s="100"/>
      <c r="Y2825" s="100"/>
      <c r="Z2825" s="100"/>
    </row>
    <row r="2826" spans="1:26">
      <c r="A2826" s="100" t="e">
        <f ca="1">IFERROR(__xludf.DUMMYFUNCTION("""COMPUTED_VALUE"""),58786161)</f>
        <v>#NAME?</v>
      </c>
      <c r="B2826" s="100" t="e">
        <f ca="1">IFERROR(__xludf.DUMMYFUNCTION("""COMPUTED_VALUE"""),"PYTHUSDC")</f>
        <v>#NAME?</v>
      </c>
      <c r="C2826" s="100" t="e">
        <f ca="1">IFERROR(__xludf.DUMMYFUNCTION("""COMPUTED_VALUE"""),"0.14150000")</f>
        <v>#NAME?</v>
      </c>
      <c r="D2826" s="100" t="e">
        <f t="shared" ca="1" si="461"/>
        <v>#NAME?</v>
      </c>
      <c r="E2826" s="100" t="e">
        <f t="shared" ca="1" si="461"/>
        <v>#NAME?</v>
      </c>
      <c r="F2826" s="100" t="e">
        <f t="shared" ca="1" si="456"/>
        <v>#NAME?</v>
      </c>
      <c r="G2826" s="100" t="e">
        <f t="shared" ca="1" si="457"/>
        <v>#NAME?</v>
      </c>
      <c r="H2826" s="100" t="e">
        <f t="shared" ca="1" si="458"/>
        <v>#NAME?</v>
      </c>
      <c r="I2826" s="100" t="e">
        <f t="shared" ca="1" si="459"/>
        <v>#NAME?</v>
      </c>
      <c r="J2826" s="100" t="e">
        <f ca="1">IFERROR(__xludf.DUMMYFUNCTION("""COMPUTED_VALUE"""),"-2.346")</f>
        <v>#NAME?</v>
      </c>
      <c r="K2826" s="100" t="e">
        <f t="shared" ca="1" si="460"/>
        <v>#NAME?</v>
      </c>
      <c r="L2826" s="100"/>
      <c r="M2826" s="100"/>
      <c r="N2826" s="100"/>
      <c r="O2826" s="100"/>
      <c r="P2826" s="100"/>
      <c r="Q2826" s="100"/>
      <c r="R2826" s="100"/>
      <c r="S2826" s="100"/>
      <c r="T2826" s="100"/>
      <c r="U2826" s="100"/>
      <c r="V2826" s="100"/>
      <c r="W2826" s="100"/>
      <c r="X2826" s="100"/>
      <c r="Y2826" s="100"/>
      <c r="Z2826" s="100"/>
    </row>
    <row r="2827" spans="1:26">
      <c r="A2827" s="100" t="e">
        <f ca="1">IFERROR(__xludf.DUMMYFUNCTION("""COMPUTED_VALUE"""),58786162)</f>
        <v>#NAME?</v>
      </c>
      <c r="B2827" s="100" t="e">
        <f ca="1">IFERROR(__xludf.DUMMYFUNCTION("""COMPUTED_VALUE"""),"RSRUSDC")</f>
        <v>#NAME?</v>
      </c>
      <c r="C2827" s="100" t="e">
        <f ca="1">IFERROR(__xludf.DUMMYFUNCTION("""COMPUTED_VALUE"""),"0.00832900")</f>
        <v>#NAME?</v>
      </c>
      <c r="D2827" s="100" t="e">
        <f t="shared" ca="1" si="461"/>
        <v>#NAME?</v>
      </c>
      <c r="E2827" s="100" t="e">
        <f t="shared" ca="1" si="461"/>
        <v>#NAME?</v>
      </c>
      <c r="F2827" s="100" t="e">
        <f t="shared" ca="1" si="456"/>
        <v>#NAME?</v>
      </c>
      <c r="G2827" s="100" t="e">
        <f t="shared" ca="1" si="457"/>
        <v>#NAME?</v>
      </c>
      <c r="H2827" s="100" t="e">
        <f t="shared" ca="1" si="458"/>
        <v>#NAME?</v>
      </c>
      <c r="I2827" s="100" t="e">
        <f t="shared" ca="1" si="459"/>
        <v>#NAME?</v>
      </c>
      <c r="J2827" s="100" t="e">
        <f ca="1">IFERROR(__xludf.DUMMYFUNCTION("""COMPUTED_VALUE"""),"10.376")</f>
        <v>#NAME?</v>
      </c>
      <c r="K2827" s="100" t="e">
        <f t="shared" ca="1" si="460"/>
        <v>#NAME?</v>
      </c>
      <c r="L2827" s="100"/>
      <c r="M2827" s="100"/>
      <c r="N2827" s="100"/>
      <c r="O2827" s="100"/>
      <c r="P2827" s="100"/>
      <c r="Q2827" s="100"/>
      <c r="R2827" s="100"/>
      <c r="S2827" s="100"/>
      <c r="T2827" s="100"/>
      <c r="U2827" s="100"/>
      <c r="V2827" s="100"/>
      <c r="W2827" s="100"/>
      <c r="X2827" s="100"/>
      <c r="Y2827" s="100"/>
      <c r="Z2827" s="100"/>
    </row>
    <row r="2828" spans="1:26">
      <c r="A2828" s="100" t="e">
        <f ca="1">IFERROR(__xludf.DUMMYFUNCTION("""COMPUTED_VALUE"""),58786163)</f>
        <v>#NAME?</v>
      </c>
      <c r="B2828" s="100" t="e">
        <f ca="1">IFERROR(__xludf.DUMMYFUNCTION("""COMPUTED_VALUE"""),"RSRFDUSD")</f>
        <v>#NAME?</v>
      </c>
      <c r="C2828" s="100" t="e">
        <f ca="1">IFERROR(__xludf.DUMMYFUNCTION("""COMPUTED_VALUE"""),"0.00574400")</f>
        <v>#NAME?</v>
      </c>
      <c r="D2828" s="100" t="e">
        <f t="shared" ca="1" si="461"/>
        <v>#NAME?</v>
      </c>
      <c r="E2828" s="100" t="e">
        <f t="shared" ca="1" si="461"/>
        <v>#NAME?</v>
      </c>
      <c r="F2828" s="100" t="e">
        <f t="shared" ca="1" si="456"/>
        <v>#NAME?</v>
      </c>
      <c r="G2828" s="100" t="e">
        <f t="shared" ca="1" si="457"/>
        <v>#NAME?</v>
      </c>
      <c r="H2828" s="100" t="e">
        <f t="shared" ca="1" si="458"/>
        <v>#NAME?</v>
      </c>
      <c r="I2828" s="100" t="e">
        <f t="shared" ca="1" si="459"/>
        <v>#NAME?</v>
      </c>
      <c r="J2828" s="100" t="e">
        <f ca="1">IFERROR(__xludf.DUMMYFUNCTION("""COMPUTED_VALUE"""),"0")</f>
        <v>#NAME?</v>
      </c>
      <c r="K2828" s="100" t="e">
        <f t="shared" ca="1" si="460"/>
        <v>#NAME?</v>
      </c>
      <c r="L2828" s="100"/>
      <c r="M2828" s="100"/>
      <c r="N2828" s="100"/>
      <c r="O2828" s="100"/>
      <c r="P2828" s="100"/>
      <c r="Q2828" s="100"/>
      <c r="R2828" s="100"/>
      <c r="S2828" s="100"/>
      <c r="T2828" s="100"/>
      <c r="U2828" s="100"/>
      <c r="V2828" s="100"/>
      <c r="W2828" s="100"/>
      <c r="X2828" s="100"/>
      <c r="Y2828" s="100"/>
      <c r="Z2828" s="100"/>
    </row>
    <row r="2829" spans="1:26">
      <c r="A2829" s="100" t="e">
        <f ca="1">IFERROR(__xludf.DUMMYFUNCTION("""COMPUTED_VALUE"""),58786164)</f>
        <v>#NAME?</v>
      </c>
      <c r="B2829" s="100" t="e">
        <f ca="1">IFERROR(__xludf.DUMMYFUNCTION("""COMPUTED_VALUE"""),"WUSDC")</f>
        <v>#NAME?</v>
      </c>
      <c r="C2829" s="100" t="e">
        <f ca="1">IFERROR(__xludf.DUMMYFUNCTION("""COMPUTED_VALUE"""),"0.07630000")</f>
        <v>#NAME?</v>
      </c>
      <c r="D2829" s="100" t="e">
        <f t="shared" ca="1" si="461"/>
        <v>#NAME?</v>
      </c>
      <c r="E2829" s="100" t="e">
        <f t="shared" ca="1" si="461"/>
        <v>#NAME?</v>
      </c>
      <c r="F2829" s="100" t="e">
        <f t="shared" ca="1" si="456"/>
        <v>#NAME?</v>
      </c>
      <c r="G2829" s="100" t="e">
        <f t="shared" ca="1" si="457"/>
        <v>#NAME?</v>
      </c>
      <c r="H2829" s="100" t="e">
        <f t="shared" ca="1" si="458"/>
        <v>#NAME?</v>
      </c>
      <c r="I2829" s="100" t="e">
        <f t="shared" ca="1" si="459"/>
        <v>#NAME?</v>
      </c>
      <c r="J2829" s="100" t="e">
        <f ca="1">IFERROR(__xludf.DUMMYFUNCTION("""COMPUTED_VALUE"""),"-6.610")</f>
        <v>#NAME?</v>
      </c>
      <c r="K2829" s="100" t="e">
        <f t="shared" ca="1" si="460"/>
        <v>#NAME?</v>
      </c>
      <c r="L2829" s="100"/>
      <c r="M2829" s="100"/>
      <c r="N2829" s="100"/>
      <c r="O2829" s="100"/>
      <c r="P2829" s="100"/>
      <c r="Q2829" s="100"/>
      <c r="R2829" s="100"/>
      <c r="S2829" s="100"/>
      <c r="T2829" s="100"/>
      <c r="U2829" s="100"/>
      <c r="V2829" s="100"/>
      <c r="W2829" s="100"/>
      <c r="X2829" s="100"/>
      <c r="Y2829" s="100"/>
      <c r="Z2829" s="100"/>
    </row>
    <row r="2830" spans="1:26">
      <c r="A2830" s="100" t="e">
        <f ca="1">IFERROR(__xludf.DUMMYFUNCTION("""COMPUTED_VALUE"""),58786165)</f>
        <v>#NAME?</v>
      </c>
      <c r="B2830" s="100" t="e">
        <f ca="1">IFERROR(__xludf.DUMMYFUNCTION("""COMPUTED_VALUE"""),"XTZUSDC")</f>
        <v>#NAME?</v>
      </c>
      <c r="C2830" s="100" t="e">
        <f ca="1">IFERROR(__xludf.DUMMYFUNCTION("""COMPUTED_VALUE"""),"0.50700000")</f>
        <v>#NAME?</v>
      </c>
      <c r="D2830" s="100" t="e">
        <f t="shared" ca="1" si="461"/>
        <v>#NAME?</v>
      </c>
      <c r="E2830" s="100" t="e">
        <f t="shared" ca="1" si="461"/>
        <v>#NAME?</v>
      </c>
      <c r="F2830" s="100" t="e">
        <f t="shared" ca="1" si="456"/>
        <v>#NAME?</v>
      </c>
      <c r="G2830" s="100" t="e">
        <f t="shared" ca="1" si="457"/>
        <v>#NAME?</v>
      </c>
      <c r="H2830" s="100" t="e">
        <f t="shared" ca="1" si="458"/>
        <v>#NAME?</v>
      </c>
      <c r="I2830" s="100" t="e">
        <f t="shared" ca="1" si="459"/>
        <v>#NAME?</v>
      </c>
      <c r="J2830" s="100" t="e">
        <f ca="1">IFERROR(__xludf.DUMMYFUNCTION("""COMPUTED_VALUE"""),"-0.197")</f>
        <v>#NAME?</v>
      </c>
      <c r="K2830" s="100" t="e">
        <f t="shared" ca="1" si="460"/>
        <v>#NAME?</v>
      </c>
      <c r="L2830" s="100"/>
      <c r="M2830" s="100"/>
      <c r="N2830" s="100"/>
      <c r="O2830" s="100"/>
      <c r="P2830" s="100"/>
      <c r="Q2830" s="100"/>
      <c r="R2830" s="100"/>
      <c r="S2830" s="100"/>
      <c r="T2830" s="100"/>
      <c r="U2830" s="100"/>
      <c r="V2830" s="100"/>
      <c r="W2830" s="100"/>
      <c r="X2830" s="100"/>
      <c r="Y2830" s="100"/>
      <c r="Z2830" s="100"/>
    </row>
    <row r="2831" spans="1:26">
      <c r="A2831" s="100" t="e">
        <f ca="1">IFERROR(__xludf.DUMMYFUNCTION("""COMPUTED_VALUE"""),58786166)</f>
        <v>#NAME?</v>
      </c>
      <c r="B2831" s="100" t="e">
        <f ca="1">IFERROR(__xludf.DUMMYFUNCTION("""COMPUTED_VALUE"""),"ACXUSDT")</f>
        <v>#NAME?</v>
      </c>
      <c r="C2831" s="100" t="e">
        <f ca="1">IFERROR(__xludf.DUMMYFUNCTION("""COMPUTED_VALUE"""),"0.20360000")</f>
        <v>#NAME?</v>
      </c>
      <c r="D2831" s="100" t="e">
        <f t="shared" ca="1" si="461"/>
        <v>#NAME?</v>
      </c>
      <c r="E2831" s="100" t="e">
        <f t="shared" ca="1" si="461"/>
        <v>#NAME?</v>
      </c>
      <c r="F2831" s="100" t="e">
        <f t="shared" ca="1" si="456"/>
        <v>#NAME?</v>
      </c>
      <c r="G2831" s="100" t="e">
        <f t="shared" ca="1" si="457"/>
        <v>#NAME?</v>
      </c>
      <c r="H2831" s="100" t="e">
        <f t="shared" ca="1" si="458"/>
        <v>#NAME?</v>
      </c>
      <c r="I2831" s="100" t="e">
        <f t="shared" ca="1" si="459"/>
        <v>#NAME?</v>
      </c>
      <c r="J2831" s="100" t="e">
        <f ca="1">IFERROR(__xludf.DUMMYFUNCTION("""COMPUTED_VALUE"""),"0.000")</f>
        <v>#NAME?</v>
      </c>
      <c r="K2831" s="100" t="e">
        <f t="shared" ca="1" si="460"/>
        <v>#NAME?</v>
      </c>
      <c r="L2831" s="100"/>
      <c r="M2831" s="100"/>
      <c r="N2831" s="100"/>
      <c r="O2831" s="100"/>
      <c r="P2831" s="100"/>
      <c r="Q2831" s="100"/>
      <c r="R2831" s="100"/>
      <c r="S2831" s="100"/>
      <c r="T2831" s="100"/>
      <c r="U2831" s="100"/>
      <c r="V2831" s="100"/>
      <c r="W2831" s="100"/>
      <c r="X2831" s="100"/>
      <c r="Y2831" s="100"/>
      <c r="Z2831" s="100"/>
    </row>
    <row r="2832" spans="1:26">
      <c r="A2832" s="100" t="e">
        <f ca="1">IFERROR(__xludf.DUMMYFUNCTION("""COMPUTED_VALUE"""),58786167)</f>
        <v>#NAME?</v>
      </c>
      <c r="B2832" s="100" t="e">
        <f ca="1">IFERROR(__xludf.DUMMYFUNCTION("""COMPUTED_VALUE"""),"ORCAUSDT")</f>
        <v>#NAME?</v>
      </c>
      <c r="C2832" s="100" t="e">
        <f ca="1">IFERROR(__xludf.DUMMYFUNCTION("""COMPUTED_VALUE"""),"2.63600000")</f>
        <v>#NAME?</v>
      </c>
      <c r="D2832" s="100" t="e">
        <f t="shared" ca="1" si="461"/>
        <v>#NAME?</v>
      </c>
      <c r="E2832" s="100" t="e">
        <f t="shared" ca="1" si="461"/>
        <v>#NAME?</v>
      </c>
      <c r="F2832" s="100" t="e">
        <f t="shared" ca="1" si="456"/>
        <v>#NAME?</v>
      </c>
      <c r="G2832" s="100" t="e">
        <f t="shared" ca="1" si="457"/>
        <v>#NAME?</v>
      </c>
      <c r="H2832" s="100" t="e">
        <f t="shared" ca="1" si="458"/>
        <v>#NAME?</v>
      </c>
      <c r="I2832" s="100" t="e">
        <f t="shared" ca="1" si="459"/>
        <v>#NAME?</v>
      </c>
      <c r="J2832" s="100" t="e">
        <f ca="1">IFERROR(__xludf.DUMMYFUNCTION("""COMPUTED_VALUE"""),"-4.215")</f>
        <v>#NAME?</v>
      </c>
      <c r="K2832" s="100" t="e">
        <f t="shared" ca="1" si="460"/>
        <v>#NAME?</v>
      </c>
      <c r="L2832" s="100"/>
      <c r="M2832" s="100"/>
      <c r="N2832" s="100"/>
      <c r="O2832" s="100"/>
      <c r="P2832" s="100"/>
      <c r="Q2832" s="100"/>
      <c r="R2832" s="100"/>
      <c r="S2832" s="100"/>
      <c r="T2832" s="100"/>
      <c r="U2832" s="100"/>
      <c r="V2832" s="100"/>
      <c r="W2832" s="100"/>
      <c r="X2832" s="100"/>
      <c r="Y2832" s="100"/>
      <c r="Z2832" s="100"/>
    </row>
    <row r="2833" spans="1:26">
      <c r="A2833" s="100" t="e">
        <f ca="1">IFERROR(__xludf.DUMMYFUNCTION("""COMPUTED_VALUE"""),58786168)</f>
        <v>#NAME?</v>
      </c>
      <c r="B2833" s="100" t="e">
        <f ca="1">IFERROR(__xludf.DUMMYFUNCTION("""COMPUTED_VALUE"""),"MOVEBTC")</f>
        <v>#NAME?</v>
      </c>
      <c r="C2833" s="100" t="e">
        <f ca="1">IFERROR(__xludf.DUMMYFUNCTION("""COMPUTED_VALUE"""),"0.00000252")</f>
        <v>#NAME?</v>
      </c>
      <c r="D2833" s="100" t="e">
        <f t="shared" ca="1" si="461"/>
        <v>#NAME?</v>
      </c>
      <c r="E2833" s="100" t="e">
        <f t="shared" ca="1" si="461"/>
        <v>#NAME?</v>
      </c>
      <c r="F2833" s="100" t="e">
        <f t="shared" ca="1" si="456"/>
        <v>#NAME?</v>
      </c>
      <c r="G2833" s="100" t="e">
        <f t="shared" ca="1" si="457"/>
        <v>#NAME?</v>
      </c>
      <c r="H2833" s="100" t="e">
        <f t="shared" ca="1" si="458"/>
        <v>#NAME?</v>
      </c>
      <c r="I2833" s="100" t="e">
        <f t="shared" ca="1" si="459"/>
        <v>#NAME?</v>
      </c>
      <c r="J2833" s="100" t="e">
        <f ca="1">IFERROR(__xludf.DUMMYFUNCTION("""COMPUTED_VALUE"""),"-5.970")</f>
        <v>#NAME?</v>
      </c>
      <c r="K2833" s="100" t="e">
        <f t="shared" ca="1" si="460"/>
        <v>#NAME?</v>
      </c>
      <c r="L2833" s="100"/>
      <c r="M2833" s="100"/>
      <c r="N2833" s="100"/>
      <c r="O2833" s="100"/>
      <c r="P2833" s="100"/>
      <c r="Q2833" s="100"/>
      <c r="R2833" s="100"/>
      <c r="S2833" s="100"/>
      <c r="T2833" s="100"/>
      <c r="U2833" s="100"/>
      <c r="V2833" s="100"/>
      <c r="W2833" s="100"/>
      <c r="X2833" s="100"/>
      <c r="Y2833" s="100"/>
      <c r="Z2833" s="100"/>
    </row>
    <row r="2834" spans="1:26">
      <c r="A2834" s="100" t="e">
        <f ca="1">IFERROR(__xludf.DUMMYFUNCTION("""COMPUTED_VALUE"""),58786169)</f>
        <v>#NAME?</v>
      </c>
      <c r="B2834" s="100" t="e">
        <f ca="1">IFERROR(__xludf.DUMMYFUNCTION("""COMPUTED_VALUE"""),"MOVEUSDT")</f>
        <v>#NAME?</v>
      </c>
      <c r="C2834" s="100" t="e">
        <f ca="1">IFERROR(__xludf.DUMMYFUNCTION("""COMPUTED_VALUE"""),"0.22440000")</f>
        <v>#NAME?</v>
      </c>
      <c r="D2834" s="100" t="e">
        <f t="shared" ca="1" si="461"/>
        <v>#NAME?</v>
      </c>
      <c r="E2834" s="100" t="e">
        <f t="shared" ca="1" si="461"/>
        <v>#NAME?</v>
      </c>
      <c r="F2834" s="100" t="e">
        <f t="shared" ca="1" si="456"/>
        <v>#NAME?</v>
      </c>
      <c r="G2834" s="100" t="e">
        <f t="shared" ca="1" si="457"/>
        <v>#NAME?</v>
      </c>
      <c r="H2834" s="100" t="e">
        <f t="shared" ca="1" si="458"/>
        <v>#NAME?</v>
      </c>
      <c r="I2834" s="100" t="e">
        <f t="shared" ca="1" si="459"/>
        <v>#NAME?</v>
      </c>
      <c r="J2834" s="100" t="e">
        <f ca="1">IFERROR(__xludf.DUMMYFUNCTION("""COMPUTED_VALUE"""),"-4.348")</f>
        <v>#NAME?</v>
      </c>
      <c r="K2834" s="100" t="e">
        <f t="shared" ca="1" si="460"/>
        <v>#NAME?</v>
      </c>
      <c r="L2834" s="100"/>
      <c r="M2834" s="100"/>
      <c r="N2834" s="100"/>
      <c r="O2834" s="100"/>
      <c r="P2834" s="100"/>
      <c r="Q2834" s="100"/>
      <c r="R2834" s="100"/>
      <c r="S2834" s="100"/>
      <c r="T2834" s="100"/>
      <c r="U2834" s="100"/>
      <c r="V2834" s="100"/>
      <c r="W2834" s="100"/>
      <c r="X2834" s="100"/>
      <c r="Y2834" s="100"/>
      <c r="Z2834" s="100"/>
    </row>
    <row r="2835" spans="1:26">
      <c r="A2835" s="100" t="e">
        <f ca="1">IFERROR(__xludf.DUMMYFUNCTION("""COMPUTED_VALUE"""),58786170)</f>
        <v>#NAME?</v>
      </c>
      <c r="B2835" s="100" t="e">
        <f ca="1">IFERROR(__xludf.DUMMYFUNCTION("""COMPUTED_VALUE"""),"MOVEBNB")</f>
        <v>#NAME?</v>
      </c>
      <c r="C2835" s="100" t="e">
        <f ca="1">IFERROR(__xludf.DUMMYFUNCTION("""COMPUTED_VALUE"""),"0.00037150")</f>
        <v>#NAME?</v>
      </c>
      <c r="D2835" s="100" t="e">
        <f t="shared" ca="1" si="461"/>
        <v>#NAME?</v>
      </c>
      <c r="E2835" s="100" t="e">
        <f t="shared" ca="1" si="461"/>
        <v>#NAME?</v>
      </c>
      <c r="F2835" s="100" t="e">
        <f t="shared" ca="1" si="456"/>
        <v>#NAME?</v>
      </c>
      <c r="G2835" s="100" t="e">
        <f t="shared" ca="1" si="457"/>
        <v>#NAME?</v>
      </c>
      <c r="H2835" s="100" t="e">
        <f t="shared" ca="1" si="458"/>
        <v>#NAME?</v>
      </c>
      <c r="I2835" s="100" t="e">
        <f t="shared" ca="1" si="459"/>
        <v>#NAME?</v>
      </c>
      <c r="J2835" s="100" t="e">
        <f ca="1">IFERROR(__xludf.DUMMYFUNCTION("""COMPUTED_VALUE"""),"-4.178")</f>
        <v>#NAME?</v>
      </c>
      <c r="K2835" s="100" t="e">
        <f t="shared" ca="1" si="460"/>
        <v>#NAME?</v>
      </c>
      <c r="L2835" s="100"/>
      <c r="M2835" s="100"/>
      <c r="N2835" s="100"/>
      <c r="O2835" s="100"/>
      <c r="P2835" s="100"/>
      <c r="Q2835" s="100"/>
      <c r="R2835" s="100"/>
      <c r="S2835" s="100"/>
      <c r="T2835" s="100"/>
      <c r="U2835" s="100"/>
      <c r="V2835" s="100"/>
      <c r="W2835" s="100"/>
      <c r="X2835" s="100"/>
      <c r="Y2835" s="100"/>
      <c r="Z2835" s="100"/>
    </row>
    <row r="2836" spans="1:26">
      <c r="A2836" s="100" t="e">
        <f ca="1">IFERROR(__xludf.DUMMYFUNCTION("""COMPUTED_VALUE"""),58786171)</f>
        <v>#NAME?</v>
      </c>
      <c r="B2836" s="100" t="e">
        <f ca="1">IFERROR(__xludf.DUMMYFUNCTION("""COMPUTED_VALUE"""),"MOVEFDUSD")</f>
        <v>#NAME?</v>
      </c>
      <c r="C2836" s="100" t="e">
        <f ca="1">IFERROR(__xludf.DUMMYFUNCTION("""COMPUTED_VALUE"""),"0.22460000")</f>
        <v>#NAME?</v>
      </c>
      <c r="D2836" s="100" t="e">
        <f t="shared" ca="1" si="461"/>
        <v>#NAME?</v>
      </c>
      <c r="E2836" s="100" t="e">
        <f t="shared" ca="1" si="461"/>
        <v>#NAME?</v>
      </c>
      <c r="F2836" s="100" t="e">
        <f t="shared" ca="1" si="456"/>
        <v>#NAME?</v>
      </c>
      <c r="G2836" s="100" t="e">
        <f t="shared" ca="1" si="457"/>
        <v>#NAME?</v>
      </c>
      <c r="H2836" s="100" t="e">
        <f t="shared" ca="1" si="458"/>
        <v>#NAME?</v>
      </c>
      <c r="I2836" s="100" t="e">
        <f t="shared" ca="1" si="459"/>
        <v>#NAME?</v>
      </c>
      <c r="J2836" s="100" t="e">
        <f ca="1">IFERROR(__xludf.DUMMYFUNCTION("""COMPUTED_VALUE"""),"-5.749")</f>
        <v>#NAME?</v>
      </c>
      <c r="K2836" s="100" t="e">
        <f t="shared" ca="1" si="460"/>
        <v>#NAME?</v>
      </c>
      <c r="L2836" s="100"/>
      <c r="M2836" s="100"/>
      <c r="N2836" s="100"/>
      <c r="O2836" s="100"/>
      <c r="P2836" s="100"/>
      <c r="Q2836" s="100"/>
      <c r="R2836" s="100"/>
      <c r="S2836" s="100"/>
      <c r="T2836" s="100"/>
      <c r="U2836" s="100"/>
      <c r="V2836" s="100"/>
      <c r="W2836" s="100"/>
      <c r="X2836" s="100"/>
      <c r="Y2836" s="100"/>
      <c r="Z2836" s="100"/>
    </row>
    <row r="2837" spans="1:26">
      <c r="A2837" s="100" t="e">
        <f ca="1">IFERROR(__xludf.DUMMYFUNCTION("""COMPUTED_VALUE"""),58786172)</f>
        <v>#NAME?</v>
      </c>
      <c r="B2837" s="100" t="e">
        <f ca="1">IFERROR(__xludf.DUMMYFUNCTION("""COMPUTED_VALUE"""),"MOVETRY")</f>
        <v>#NAME?</v>
      </c>
      <c r="C2837" s="100" t="e">
        <f ca="1">IFERROR(__xludf.DUMMYFUNCTION("""COMPUTED_VALUE"""),"8.55900000")</f>
        <v>#NAME?</v>
      </c>
      <c r="D2837" s="100" t="e">
        <f t="shared" ca="1" si="461"/>
        <v>#NAME?</v>
      </c>
      <c r="E2837" s="100" t="e">
        <f t="shared" ca="1" si="461"/>
        <v>#NAME?</v>
      </c>
      <c r="F2837" s="100" t="e">
        <f t="shared" ca="1" si="456"/>
        <v>#NAME?</v>
      </c>
      <c r="G2837" s="100" t="e">
        <f t="shared" ca="1" si="457"/>
        <v>#NAME?</v>
      </c>
      <c r="H2837" s="100" t="e">
        <f t="shared" ca="1" si="458"/>
        <v>#NAME?</v>
      </c>
      <c r="I2837" s="100" t="e">
        <f t="shared" ca="1" si="459"/>
        <v>#NAME?</v>
      </c>
      <c r="J2837" s="100" t="e">
        <f ca="1">IFERROR(__xludf.DUMMYFUNCTION("""COMPUTED_VALUE"""),"-4.486")</f>
        <v>#NAME?</v>
      </c>
      <c r="K2837" s="100" t="e">
        <f t="shared" ca="1" si="460"/>
        <v>#NAME?</v>
      </c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</row>
    <row r="2838" spans="1:26">
      <c r="A2838" s="100" t="e">
        <f ca="1">IFERROR(__xludf.DUMMYFUNCTION("""COMPUTED_VALUE"""),58786173)</f>
        <v>#NAME?</v>
      </c>
      <c r="B2838" s="100" t="e">
        <f ca="1">IFERROR(__xludf.DUMMYFUNCTION("""COMPUTED_VALUE"""),"MEBTC")</f>
        <v>#NAME?</v>
      </c>
      <c r="C2838" s="100" t="e">
        <f ca="1">IFERROR(__xludf.DUMMYFUNCTION("""COMPUTED_VALUE"""),"0.00000900")</f>
        <v>#NAME?</v>
      </c>
      <c r="D2838" s="100" t="e">
        <f t="shared" ca="1" si="461"/>
        <v>#NAME?</v>
      </c>
      <c r="E2838" s="100" t="e">
        <f t="shared" ca="1" si="461"/>
        <v>#NAME?</v>
      </c>
      <c r="F2838" s="100" t="e">
        <f t="shared" ca="1" si="456"/>
        <v>#NAME?</v>
      </c>
      <c r="G2838" s="100" t="e">
        <f t="shared" ca="1" si="457"/>
        <v>#NAME?</v>
      </c>
      <c r="H2838" s="100" t="e">
        <f t="shared" ca="1" si="458"/>
        <v>#NAME?</v>
      </c>
      <c r="I2838" s="100" t="e">
        <f t="shared" ca="1" si="459"/>
        <v>#NAME?</v>
      </c>
      <c r="J2838" s="100" t="e">
        <f ca="1">IFERROR(__xludf.DUMMYFUNCTION("""COMPUTED_VALUE"""),"-3.330")</f>
        <v>#NAME?</v>
      </c>
      <c r="K2838" s="100" t="e">
        <f t="shared" ca="1" si="460"/>
        <v>#NAME?</v>
      </c>
      <c r="L2838" s="100"/>
      <c r="M2838" s="100"/>
      <c r="N2838" s="100"/>
      <c r="O2838" s="100"/>
      <c r="P2838" s="100"/>
      <c r="Q2838" s="100"/>
      <c r="R2838" s="100"/>
      <c r="S2838" s="100"/>
      <c r="T2838" s="100"/>
      <c r="U2838" s="100"/>
      <c r="V2838" s="100"/>
      <c r="W2838" s="100"/>
      <c r="X2838" s="100"/>
      <c r="Y2838" s="100"/>
      <c r="Z2838" s="100"/>
    </row>
    <row r="2839" spans="1:26">
      <c r="A2839" s="100" t="e">
        <f ca="1">IFERROR(__xludf.DUMMYFUNCTION("""COMPUTED_VALUE"""),58786174)</f>
        <v>#NAME?</v>
      </c>
      <c r="B2839" s="100" t="e">
        <f ca="1">IFERROR(__xludf.DUMMYFUNCTION("""COMPUTED_VALUE"""),"MEUSDT")</f>
        <v>#NAME?</v>
      </c>
      <c r="C2839" s="100" t="e">
        <f ca="1">IFERROR(__xludf.DUMMYFUNCTION("""COMPUTED_VALUE"""),"0.79800000")</f>
        <v>#NAME?</v>
      </c>
      <c r="D2839" s="100" t="e">
        <f t="shared" ca="1" si="461"/>
        <v>#NAME?</v>
      </c>
      <c r="E2839" s="100" t="e">
        <f t="shared" ca="1" si="461"/>
        <v>#NAME?</v>
      </c>
      <c r="F2839" s="100" t="e">
        <f t="shared" ca="1" si="456"/>
        <v>#NAME?</v>
      </c>
      <c r="G2839" s="100" t="e">
        <f t="shared" ca="1" si="457"/>
        <v>#NAME?</v>
      </c>
      <c r="H2839" s="100" t="e">
        <f t="shared" ca="1" si="458"/>
        <v>#NAME?</v>
      </c>
      <c r="I2839" s="100" t="e">
        <f t="shared" ca="1" si="459"/>
        <v>#NAME?</v>
      </c>
      <c r="J2839" s="100" t="e">
        <f ca="1">IFERROR(__xludf.DUMMYFUNCTION("""COMPUTED_VALUE"""),"-1.845")</f>
        <v>#NAME?</v>
      </c>
      <c r="K2839" s="100" t="e">
        <f t="shared" ca="1" si="460"/>
        <v>#NAME?</v>
      </c>
      <c r="L2839" s="100"/>
      <c r="M2839" s="100"/>
      <c r="N2839" s="100"/>
      <c r="O2839" s="100"/>
      <c r="P2839" s="100"/>
      <c r="Q2839" s="100"/>
      <c r="R2839" s="100"/>
      <c r="S2839" s="100"/>
      <c r="T2839" s="100"/>
      <c r="U2839" s="100"/>
      <c r="V2839" s="100"/>
      <c r="W2839" s="100"/>
      <c r="X2839" s="100"/>
      <c r="Y2839" s="100"/>
      <c r="Z2839" s="100"/>
    </row>
    <row r="2840" spans="1:26">
      <c r="A2840" s="100" t="e">
        <f ca="1">IFERROR(__xludf.DUMMYFUNCTION("""COMPUTED_VALUE"""),58786175)</f>
        <v>#NAME?</v>
      </c>
      <c r="B2840" s="100" t="e">
        <f ca="1">IFERROR(__xludf.DUMMYFUNCTION("""COMPUTED_VALUE"""),"MEFDUSD")</f>
        <v>#NAME?</v>
      </c>
      <c r="C2840" s="100" t="e">
        <f ca="1">IFERROR(__xludf.DUMMYFUNCTION("""COMPUTED_VALUE"""),"0.79800000")</f>
        <v>#NAME?</v>
      </c>
      <c r="D2840" s="100" t="e">
        <f t="shared" ca="1" si="461"/>
        <v>#NAME?</v>
      </c>
      <c r="E2840" s="100" t="e">
        <f t="shared" ca="1" si="461"/>
        <v>#NAME?</v>
      </c>
      <c r="F2840" s="100" t="e">
        <f t="shared" ca="1" si="456"/>
        <v>#NAME?</v>
      </c>
      <c r="G2840" s="100" t="e">
        <f t="shared" ca="1" si="457"/>
        <v>#NAME?</v>
      </c>
      <c r="H2840" s="100" t="e">
        <f t="shared" ca="1" si="458"/>
        <v>#NAME?</v>
      </c>
      <c r="I2840" s="100" t="e">
        <f t="shared" ca="1" si="459"/>
        <v>#NAME?</v>
      </c>
      <c r="J2840" s="100" t="e">
        <f ca="1">IFERROR(__xludf.DUMMYFUNCTION("""COMPUTED_VALUE"""),"-1.966")</f>
        <v>#NAME?</v>
      </c>
      <c r="K2840" s="100" t="e">
        <f t="shared" ca="1" si="460"/>
        <v>#NAME?</v>
      </c>
      <c r="L2840" s="100"/>
      <c r="M2840" s="100"/>
      <c r="N2840" s="100"/>
      <c r="O2840" s="100"/>
      <c r="P2840" s="100"/>
      <c r="Q2840" s="100"/>
      <c r="R2840" s="100"/>
      <c r="S2840" s="100"/>
      <c r="T2840" s="100"/>
      <c r="U2840" s="100"/>
      <c r="V2840" s="100"/>
      <c r="W2840" s="100"/>
      <c r="X2840" s="100"/>
      <c r="Y2840" s="100"/>
      <c r="Z2840" s="100"/>
    </row>
    <row r="2841" spans="1:26">
      <c r="A2841" s="100" t="e">
        <f ca="1">IFERROR(__xludf.DUMMYFUNCTION("""COMPUTED_VALUE"""),58786176)</f>
        <v>#NAME?</v>
      </c>
      <c r="B2841" s="100" t="e">
        <f ca="1">IFERROR(__xludf.DUMMYFUNCTION("""COMPUTED_VALUE"""),"METRY")</f>
        <v>#NAME?</v>
      </c>
      <c r="C2841" s="100" t="e">
        <f ca="1">IFERROR(__xludf.DUMMYFUNCTION("""COMPUTED_VALUE"""),"30.41000000")</f>
        <v>#NAME?</v>
      </c>
      <c r="D2841" s="100" t="e">
        <f t="shared" ca="1" si="461"/>
        <v>#NAME?</v>
      </c>
      <c r="E2841" s="100" t="e">
        <f t="shared" ca="1" si="461"/>
        <v>#NAME?</v>
      </c>
      <c r="F2841" s="100" t="e">
        <f t="shared" ca="1" si="456"/>
        <v>#NAME?</v>
      </c>
      <c r="G2841" s="100" t="e">
        <f t="shared" ca="1" si="457"/>
        <v>#NAME?</v>
      </c>
      <c r="H2841" s="100" t="e">
        <f t="shared" ca="1" si="458"/>
        <v>#NAME?</v>
      </c>
      <c r="I2841" s="100" t="e">
        <f t="shared" ca="1" si="459"/>
        <v>#NAME?</v>
      </c>
      <c r="J2841" s="100" t="e">
        <f ca="1">IFERROR(__xludf.DUMMYFUNCTION("""COMPUTED_VALUE"""),"-2.156")</f>
        <v>#NAME?</v>
      </c>
      <c r="K2841" s="100" t="e">
        <f t="shared" ca="1" si="460"/>
        <v>#NAME?</v>
      </c>
      <c r="L2841" s="100"/>
      <c r="M2841" s="100"/>
      <c r="N2841" s="100"/>
      <c r="O2841" s="100"/>
      <c r="P2841" s="100"/>
      <c r="Q2841" s="100"/>
      <c r="R2841" s="100"/>
      <c r="S2841" s="100"/>
      <c r="T2841" s="100"/>
      <c r="U2841" s="100"/>
      <c r="V2841" s="100"/>
      <c r="W2841" s="100"/>
      <c r="X2841" s="100"/>
      <c r="Y2841" s="100"/>
      <c r="Z2841" s="100"/>
    </row>
    <row r="2842" spans="1:26">
      <c r="A2842" s="100" t="e">
        <f ca="1">IFERROR(__xludf.DUMMYFUNCTION("""COMPUTED_VALUE"""),58786177)</f>
        <v>#NAME?</v>
      </c>
      <c r="B2842" s="100" t="e">
        <f ca="1">IFERROR(__xludf.DUMMYFUNCTION("""COMPUTED_VALUE"""),"ACXUSDC")</f>
        <v>#NAME?</v>
      </c>
      <c r="C2842" s="100" t="e">
        <f ca="1">IFERROR(__xludf.DUMMYFUNCTION("""COMPUTED_VALUE"""),"0.20340000")</f>
        <v>#NAME?</v>
      </c>
      <c r="D2842" s="100" t="e">
        <f t="shared" ref="D2842:E2861" ca="1" si="462">IFERROR(__xludf.DUMMYFUNCTION("""COMPUTED_VALUE"""),"-")</f>
        <v>#NAME?</v>
      </c>
      <c r="E2842" s="100" t="e">
        <f t="shared" ca="1" si="462"/>
        <v>#NAME?</v>
      </c>
      <c r="F2842" s="100" t="e">
        <f t="shared" ca="1" si="456"/>
        <v>#NAME?</v>
      </c>
      <c r="G2842" s="100" t="e">
        <f t="shared" ca="1" si="457"/>
        <v>#NAME?</v>
      </c>
      <c r="H2842" s="100" t="e">
        <f t="shared" ca="1" si="458"/>
        <v>#NAME?</v>
      </c>
      <c r="I2842" s="100" t="e">
        <f t="shared" ca="1" si="459"/>
        <v>#NAME?</v>
      </c>
      <c r="J2842" s="100" t="e">
        <f ca="1">IFERROR(__xludf.DUMMYFUNCTION("""COMPUTED_VALUE"""),"-0.196")</f>
        <v>#NAME?</v>
      </c>
      <c r="K2842" s="100" t="e">
        <f t="shared" ca="1" si="460"/>
        <v>#NAME?</v>
      </c>
      <c r="L2842" s="100"/>
      <c r="M2842" s="100"/>
      <c r="N2842" s="100"/>
      <c r="O2842" s="100"/>
      <c r="P2842" s="100"/>
      <c r="Q2842" s="100"/>
      <c r="R2842" s="100"/>
      <c r="S2842" s="100"/>
      <c r="T2842" s="100"/>
      <c r="U2842" s="100"/>
      <c r="V2842" s="100"/>
      <c r="W2842" s="100"/>
      <c r="X2842" s="100"/>
      <c r="Y2842" s="100"/>
      <c r="Z2842" s="100"/>
    </row>
    <row r="2843" spans="1:26">
      <c r="A2843" s="100" t="e">
        <f ca="1">IFERROR(__xludf.DUMMYFUNCTION("""COMPUTED_VALUE"""),58786178)</f>
        <v>#NAME?</v>
      </c>
      <c r="B2843" s="100" t="e">
        <f ca="1">IFERROR(__xludf.DUMMYFUNCTION("""COMPUTED_VALUE"""),"ORCAUSDC")</f>
        <v>#NAME?</v>
      </c>
      <c r="C2843" s="100" t="e">
        <f ca="1">IFERROR(__xludf.DUMMYFUNCTION("""COMPUTED_VALUE"""),"2.63700000")</f>
        <v>#NAME?</v>
      </c>
      <c r="D2843" s="100" t="e">
        <f t="shared" ca="1" si="462"/>
        <v>#NAME?</v>
      </c>
      <c r="E2843" s="100" t="e">
        <f t="shared" ca="1" si="462"/>
        <v>#NAME?</v>
      </c>
      <c r="F2843" s="100" t="e">
        <f t="shared" ca="1" si="456"/>
        <v>#NAME?</v>
      </c>
      <c r="G2843" s="100" t="e">
        <f t="shared" ca="1" si="457"/>
        <v>#NAME?</v>
      </c>
      <c r="H2843" s="100" t="e">
        <f t="shared" ca="1" si="458"/>
        <v>#NAME?</v>
      </c>
      <c r="I2843" s="100" t="e">
        <f t="shared" ca="1" si="459"/>
        <v>#NAME?</v>
      </c>
      <c r="J2843" s="100" t="e">
        <f ca="1">IFERROR(__xludf.DUMMYFUNCTION("""COMPUTED_VALUE"""),"-4.214")</f>
        <v>#NAME?</v>
      </c>
      <c r="K2843" s="100" t="e">
        <f t="shared" ca="1" si="460"/>
        <v>#NAME?</v>
      </c>
      <c r="L2843" s="100"/>
      <c r="M2843" s="100"/>
      <c r="N2843" s="100"/>
      <c r="O2843" s="100"/>
      <c r="P2843" s="100"/>
      <c r="Q2843" s="100"/>
      <c r="R2843" s="100"/>
      <c r="S2843" s="100"/>
      <c r="T2843" s="100"/>
      <c r="U2843" s="100"/>
      <c r="V2843" s="100"/>
      <c r="W2843" s="100"/>
      <c r="X2843" s="100"/>
      <c r="Y2843" s="100"/>
      <c r="Z2843" s="100"/>
    </row>
    <row r="2844" spans="1:26">
      <c r="A2844" s="100" t="e">
        <f ca="1">IFERROR(__xludf.DUMMYFUNCTION("""COMPUTED_VALUE"""),58786179)</f>
        <v>#NAME?</v>
      </c>
      <c r="B2844" s="100" t="e">
        <f ca="1">IFERROR(__xludf.DUMMYFUNCTION("""COMPUTED_VALUE"""),"ACXFDUSD")</f>
        <v>#NAME?</v>
      </c>
      <c r="C2844" s="100" t="e">
        <f ca="1">IFERROR(__xludf.DUMMYFUNCTION("""COMPUTED_VALUE"""),"0.20570000")</f>
        <v>#NAME?</v>
      </c>
      <c r="D2844" s="100" t="e">
        <f t="shared" ca="1" si="462"/>
        <v>#NAME?</v>
      </c>
      <c r="E2844" s="100" t="e">
        <f t="shared" ca="1" si="462"/>
        <v>#NAME?</v>
      </c>
      <c r="F2844" s="100" t="e">
        <f t="shared" ca="1" si="456"/>
        <v>#NAME?</v>
      </c>
      <c r="G2844" s="100" t="e">
        <f t="shared" ca="1" si="457"/>
        <v>#NAME?</v>
      </c>
      <c r="H2844" s="100" t="e">
        <f t="shared" ca="1" si="458"/>
        <v>#NAME?</v>
      </c>
      <c r="I2844" s="100" t="e">
        <f t="shared" ca="1" si="459"/>
        <v>#NAME?</v>
      </c>
      <c r="J2844" s="100" t="e">
        <f ca="1">IFERROR(__xludf.DUMMYFUNCTION("""COMPUTED_VALUE"""),"0.685")</f>
        <v>#NAME?</v>
      </c>
      <c r="K2844" s="100" t="e">
        <f t="shared" ca="1" si="460"/>
        <v>#NAME?</v>
      </c>
      <c r="L2844" s="100"/>
      <c r="M2844" s="100"/>
      <c r="N2844" s="100"/>
      <c r="O2844" s="100"/>
      <c r="P2844" s="100"/>
      <c r="Q2844" s="100"/>
      <c r="R2844" s="100"/>
      <c r="S2844" s="100"/>
      <c r="T2844" s="100"/>
      <c r="U2844" s="100"/>
      <c r="V2844" s="100"/>
      <c r="W2844" s="100"/>
      <c r="X2844" s="100"/>
      <c r="Y2844" s="100"/>
      <c r="Z2844" s="100"/>
    </row>
    <row r="2845" spans="1:26">
      <c r="A2845" s="100" t="e">
        <f ca="1">IFERROR(__xludf.DUMMYFUNCTION("""COMPUTED_VALUE"""),58786180)</f>
        <v>#NAME?</v>
      </c>
      <c r="B2845" s="100" t="e">
        <f ca="1">IFERROR(__xludf.DUMMYFUNCTION("""COMPUTED_VALUE"""),"ORCAFDUSD")</f>
        <v>#NAME?</v>
      </c>
      <c r="C2845" s="100" t="e">
        <f ca="1">IFERROR(__xludf.DUMMYFUNCTION("""COMPUTED_VALUE"""),"2.63400000")</f>
        <v>#NAME?</v>
      </c>
      <c r="D2845" s="100" t="e">
        <f t="shared" ca="1" si="462"/>
        <v>#NAME?</v>
      </c>
      <c r="E2845" s="100" t="e">
        <f t="shared" ca="1" si="462"/>
        <v>#NAME?</v>
      </c>
      <c r="F2845" s="100" t="e">
        <f t="shared" ca="1" si="456"/>
        <v>#NAME?</v>
      </c>
      <c r="G2845" s="100" t="e">
        <f t="shared" ca="1" si="457"/>
        <v>#NAME?</v>
      </c>
      <c r="H2845" s="100" t="e">
        <f t="shared" ca="1" si="458"/>
        <v>#NAME?</v>
      </c>
      <c r="I2845" s="100" t="e">
        <f t="shared" ca="1" si="459"/>
        <v>#NAME?</v>
      </c>
      <c r="J2845" s="100" t="e">
        <f ca="1">IFERROR(__xludf.DUMMYFUNCTION("""COMPUTED_VALUE"""),"-4.357")</f>
        <v>#NAME?</v>
      </c>
      <c r="K2845" s="100" t="e">
        <f t="shared" ca="1" si="460"/>
        <v>#NAME?</v>
      </c>
      <c r="L2845" s="100"/>
      <c r="M2845" s="100"/>
      <c r="N2845" s="100"/>
      <c r="O2845" s="100"/>
      <c r="P2845" s="100"/>
      <c r="Q2845" s="100"/>
      <c r="R2845" s="100"/>
      <c r="S2845" s="100"/>
      <c r="T2845" s="100"/>
      <c r="U2845" s="100"/>
      <c r="V2845" s="100"/>
      <c r="W2845" s="100"/>
      <c r="X2845" s="100"/>
      <c r="Y2845" s="100"/>
      <c r="Z2845" s="100"/>
    </row>
    <row r="2846" spans="1:26">
      <c r="A2846" s="100" t="e">
        <f ca="1">IFERROR(__xludf.DUMMYFUNCTION("""COMPUTED_VALUE"""),58786181)</f>
        <v>#NAME?</v>
      </c>
      <c r="B2846" s="100" t="e">
        <f ca="1">IFERROR(__xludf.DUMMYFUNCTION("""COMPUTED_VALUE"""),"ACXTRY")</f>
        <v>#NAME?</v>
      </c>
      <c r="C2846" s="100" t="e">
        <f ca="1">IFERROR(__xludf.DUMMYFUNCTION("""COMPUTED_VALUE"""),"7.78000000")</f>
        <v>#NAME?</v>
      </c>
      <c r="D2846" s="100" t="e">
        <f t="shared" ca="1" si="462"/>
        <v>#NAME?</v>
      </c>
      <c r="E2846" s="100" t="e">
        <f t="shared" ca="1" si="462"/>
        <v>#NAME?</v>
      </c>
      <c r="F2846" s="100" t="e">
        <f t="shared" ca="1" si="456"/>
        <v>#NAME?</v>
      </c>
      <c r="G2846" s="100" t="e">
        <f t="shared" ca="1" si="457"/>
        <v>#NAME?</v>
      </c>
      <c r="H2846" s="100" t="e">
        <f t="shared" ca="1" si="458"/>
        <v>#NAME?</v>
      </c>
      <c r="I2846" s="100" t="e">
        <f t="shared" ca="1" si="459"/>
        <v>#NAME?</v>
      </c>
      <c r="J2846" s="100" t="e">
        <f ca="1">IFERROR(__xludf.DUMMYFUNCTION("""COMPUTED_VALUE"""),"-0.128")</f>
        <v>#NAME?</v>
      </c>
      <c r="K2846" s="100" t="e">
        <f t="shared" ca="1" si="460"/>
        <v>#NAME?</v>
      </c>
      <c r="L2846" s="100"/>
      <c r="M2846" s="100"/>
      <c r="N2846" s="100"/>
      <c r="O2846" s="100"/>
      <c r="P2846" s="100"/>
      <c r="Q2846" s="100"/>
      <c r="R2846" s="100"/>
      <c r="S2846" s="100"/>
      <c r="T2846" s="100"/>
      <c r="U2846" s="100"/>
      <c r="V2846" s="100"/>
      <c r="W2846" s="100"/>
      <c r="X2846" s="100"/>
      <c r="Y2846" s="100"/>
      <c r="Z2846" s="100"/>
    </row>
    <row r="2847" spans="1:26">
      <c r="A2847" s="100" t="e">
        <f ca="1">IFERROR(__xludf.DUMMYFUNCTION("""COMPUTED_VALUE"""),58786182)</f>
        <v>#NAME?</v>
      </c>
      <c r="B2847" s="100" t="e">
        <f ca="1">IFERROR(__xludf.DUMMYFUNCTION("""COMPUTED_VALUE"""),"ORCATRY")</f>
        <v>#NAME?</v>
      </c>
      <c r="C2847" s="100" t="e">
        <f ca="1">IFERROR(__xludf.DUMMYFUNCTION("""COMPUTED_VALUE"""),"100.80000000")</f>
        <v>#NAME?</v>
      </c>
      <c r="D2847" s="100" t="e">
        <f t="shared" ca="1" si="462"/>
        <v>#NAME?</v>
      </c>
      <c r="E2847" s="100" t="e">
        <f t="shared" ca="1" si="462"/>
        <v>#NAME?</v>
      </c>
      <c r="F2847" s="100" t="e">
        <f t="shared" ca="1" si="456"/>
        <v>#NAME?</v>
      </c>
      <c r="G2847" s="100" t="e">
        <f t="shared" ca="1" si="457"/>
        <v>#NAME?</v>
      </c>
      <c r="H2847" s="100" t="e">
        <f t="shared" ca="1" si="458"/>
        <v>#NAME?</v>
      </c>
      <c r="I2847" s="100" t="e">
        <f t="shared" ca="1" si="459"/>
        <v>#NAME?</v>
      </c>
      <c r="J2847" s="100" t="e">
        <f ca="1">IFERROR(__xludf.DUMMYFUNCTION("""COMPUTED_VALUE"""),"-4.091")</f>
        <v>#NAME?</v>
      </c>
      <c r="K2847" s="100" t="e">
        <f t="shared" ca="1" si="460"/>
        <v>#NAME?</v>
      </c>
      <c r="L2847" s="100"/>
      <c r="M2847" s="100"/>
      <c r="N2847" s="100"/>
      <c r="O2847" s="100"/>
      <c r="P2847" s="100"/>
      <c r="Q2847" s="100"/>
      <c r="R2847" s="100"/>
      <c r="S2847" s="100"/>
      <c r="T2847" s="100"/>
      <c r="U2847" s="100"/>
      <c r="V2847" s="100"/>
      <c r="W2847" s="100"/>
      <c r="X2847" s="100"/>
      <c r="Y2847" s="100"/>
      <c r="Z2847" s="100"/>
    </row>
    <row r="2848" spans="1:26">
      <c r="A2848" s="100" t="e">
        <f ca="1">IFERROR(__xludf.DUMMYFUNCTION("""COMPUTED_VALUE"""),58786183)</f>
        <v>#NAME?</v>
      </c>
      <c r="B2848" s="100" t="e">
        <f ca="1">IFERROR(__xludf.DUMMYFUNCTION("""COMPUTED_VALUE"""),"KSMTRY")</f>
        <v>#NAME?</v>
      </c>
      <c r="C2848" s="100" t="e">
        <f ca="1">IFERROR(__xludf.DUMMYFUNCTION("""COMPUTED_VALUE"""),"533.00000000")</f>
        <v>#NAME?</v>
      </c>
      <c r="D2848" s="100" t="e">
        <f t="shared" ca="1" si="462"/>
        <v>#NAME?</v>
      </c>
      <c r="E2848" s="100" t="e">
        <f t="shared" ca="1" si="462"/>
        <v>#NAME?</v>
      </c>
      <c r="F2848" s="100" t="e">
        <f t="shared" ca="1" si="456"/>
        <v>#NAME?</v>
      </c>
      <c r="G2848" s="100" t="e">
        <f t="shared" ca="1" si="457"/>
        <v>#NAME?</v>
      </c>
      <c r="H2848" s="100" t="e">
        <f t="shared" ca="1" si="458"/>
        <v>#NAME?</v>
      </c>
      <c r="I2848" s="100" t="e">
        <f t="shared" ca="1" si="459"/>
        <v>#NAME?</v>
      </c>
      <c r="J2848" s="100" t="e">
        <f ca="1">IFERROR(__xludf.DUMMYFUNCTION("""COMPUTED_VALUE"""),"-1.296")</f>
        <v>#NAME?</v>
      </c>
      <c r="K2848" s="100" t="e">
        <f t="shared" ca="1" si="460"/>
        <v>#NAME?</v>
      </c>
      <c r="L2848" s="100"/>
      <c r="M2848" s="100"/>
      <c r="N2848" s="100"/>
      <c r="O2848" s="100"/>
      <c r="P2848" s="100"/>
      <c r="Q2848" s="100"/>
      <c r="R2848" s="100"/>
      <c r="S2848" s="100"/>
      <c r="T2848" s="100"/>
      <c r="U2848" s="100"/>
      <c r="V2848" s="100"/>
      <c r="W2848" s="100"/>
      <c r="X2848" s="100"/>
      <c r="Y2848" s="100"/>
      <c r="Z2848" s="100"/>
    </row>
    <row r="2849" spans="1:26">
      <c r="A2849" s="100" t="e">
        <f ca="1">IFERROR(__xludf.DUMMYFUNCTION("""COMPUTED_VALUE"""),58786184)</f>
        <v>#NAME?</v>
      </c>
      <c r="B2849" s="100" t="e">
        <f ca="1">IFERROR(__xludf.DUMMYFUNCTION("""COMPUTED_VALUE"""),"CELOTRY")</f>
        <v>#NAME?</v>
      </c>
      <c r="C2849" s="100" t="e">
        <f ca="1">IFERROR(__xludf.DUMMYFUNCTION("""COMPUTED_VALUE"""),"11.89000000")</f>
        <v>#NAME?</v>
      </c>
      <c r="D2849" s="100" t="e">
        <f t="shared" ca="1" si="462"/>
        <v>#NAME?</v>
      </c>
      <c r="E2849" s="100" t="e">
        <f t="shared" ca="1" si="462"/>
        <v>#NAME?</v>
      </c>
      <c r="F2849" s="100" t="e">
        <f t="shared" ca="1" si="456"/>
        <v>#NAME?</v>
      </c>
      <c r="G2849" s="100" t="e">
        <f t="shared" ca="1" si="457"/>
        <v>#NAME?</v>
      </c>
      <c r="H2849" s="100" t="e">
        <f t="shared" ca="1" si="458"/>
        <v>#NAME?</v>
      </c>
      <c r="I2849" s="100" t="e">
        <f t="shared" ca="1" si="459"/>
        <v>#NAME?</v>
      </c>
      <c r="J2849" s="100" t="e">
        <f ca="1">IFERROR(__xludf.DUMMYFUNCTION("""COMPUTED_VALUE"""),"-0.335")</f>
        <v>#NAME?</v>
      </c>
      <c r="K2849" s="100" t="e">
        <f t="shared" ca="1" si="460"/>
        <v>#NAME?</v>
      </c>
      <c r="L2849" s="100"/>
      <c r="M2849" s="100"/>
      <c r="N2849" s="100"/>
      <c r="O2849" s="100"/>
      <c r="P2849" s="100"/>
      <c r="Q2849" s="100"/>
      <c r="R2849" s="100"/>
      <c r="S2849" s="100"/>
      <c r="T2849" s="100"/>
      <c r="U2849" s="100"/>
      <c r="V2849" s="100"/>
      <c r="W2849" s="100"/>
      <c r="X2849" s="100"/>
      <c r="Y2849" s="100"/>
      <c r="Z2849" s="100"/>
    </row>
    <row r="2850" spans="1:26">
      <c r="A2850" s="100" t="e">
        <f ca="1">IFERROR(__xludf.DUMMYFUNCTION("""COMPUTED_VALUE"""),58786185)</f>
        <v>#NAME?</v>
      </c>
      <c r="B2850" s="100" t="e">
        <f ca="1">IFERROR(__xludf.DUMMYFUNCTION("""COMPUTED_VALUE"""),"HIVEFDUSD")</f>
        <v>#NAME?</v>
      </c>
      <c r="C2850" s="100" t="e">
        <f ca="1">IFERROR(__xludf.DUMMYFUNCTION("""COMPUTED_VALUE"""),"0.23730000")</f>
        <v>#NAME?</v>
      </c>
      <c r="D2850" s="100" t="e">
        <f t="shared" ca="1" si="462"/>
        <v>#NAME?</v>
      </c>
      <c r="E2850" s="100" t="e">
        <f t="shared" ca="1" si="462"/>
        <v>#NAME?</v>
      </c>
      <c r="F2850" s="100" t="e">
        <f t="shared" ca="1" si="456"/>
        <v>#NAME?</v>
      </c>
      <c r="G2850" s="100" t="e">
        <f t="shared" ca="1" si="457"/>
        <v>#NAME?</v>
      </c>
      <c r="H2850" s="100" t="e">
        <f t="shared" ca="1" si="458"/>
        <v>#NAME?</v>
      </c>
      <c r="I2850" s="100" t="e">
        <f t="shared" ca="1" si="459"/>
        <v>#NAME?</v>
      </c>
      <c r="J2850" s="100" t="e">
        <f ca="1">IFERROR(__xludf.DUMMYFUNCTION("""COMPUTED_VALUE"""),"-3.103")</f>
        <v>#NAME?</v>
      </c>
      <c r="K2850" s="100" t="e">
        <f t="shared" ca="1" si="460"/>
        <v>#NAME?</v>
      </c>
      <c r="L2850" s="100"/>
      <c r="M2850" s="100"/>
      <c r="N2850" s="100"/>
      <c r="O2850" s="100"/>
      <c r="P2850" s="100"/>
      <c r="Q2850" s="100"/>
      <c r="R2850" s="100"/>
      <c r="S2850" s="100"/>
      <c r="T2850" s="100"/>
      <c r="U2850" s="100"/>
      <c r="V2850" s="100"/>
      <c r="W2850" s="100"/>
      <c r="X2850" s="100"/>
      <c r="Y2850" s="100"/>
      <c r="Z2850" s="100"/>
    </row>
    <row r="2851" spans="1:26">
      <c r="A2851" s="100" t="e">
        <f ca="1">IFERROR(__xludf.DUMMYFUNCTION("""COMPUTED_VALUE"""),58786186)</f>
        <v>#NAME?</v>
      </c>
      <c r="B2851" s="100" t="e">
        <f ca="1">IFERROR(__xludf.DUMMYFUNCTION("""COMPUTED_VALUE"""),"HIVEUSDC")</f>
        <v>#NAME?</v>
      </c>
      <c r="C2851" s="100" t="e">
        <f ca="1">IFERROR(__xludf.DUMMYFUNCTION("""COMPUTED_VALUE"""),"0.23580000")</f>
        <v>#NAME?</v>
      </c>
      <c r="D2851" s="100" t="e">
        <f t="shared" ca="1" si="462"/>
        <v>#NAME?</v>
      </c>
      <c r="E2851" s="100" t="e">
        <f t="shared" ca="1" si="462"/>
        <v>#NAME?</v>
      </c>
      <c r="F2851" s="100" t="e">
        <f t="shared" ca="1" si="456"/>
        <v>#NAME?</v>
      </c>
      <c r="G2851" s="100" t="e">
        <f t="shared" ca="1" si="457"/>
        <v>#NAME?</v>
      </c>
      <c r="H2851" s="100" t="e">
        <f t="shared" ca="1" si="458"/>
        <v>#NAME?</v>
      </c>
      <c r="I2851" s="100" t="e">
        <f t="shared" ca="1" si="459"/>
        <v>#NAME?</v>
      </c>
      <c r="J2851" s="100" t="e">
        <f ca="1">IFERROR(__xludf.DUMMYFUNCTION("""COMPUTED_VALUE"""),"-2.923")</f>
        <v>#NAME?</v>
      </c>
      <c r="K2851" s="100" t="e">
        <f t="shared" ca="1" si="460"/>
        <v>#NAME?</v>
      </c>
      <c r="L2851" s="100"/>
      <c r="M2851" s="100"/>
      <c r="N2851" s="100"/>
      <c r="O2851" s="100"/>
      <c r="P2851" s="100"/>
      <c r="Q2851" s="100"/>
      <c r="R2851" s="100"/>
      <c r="S2851" s="100"/>
      <c r="T2851" s="100"/>
      <c r="U2851" s="100"/>
      <c r="V2851" s="100"/>
      <c r="W2851" s="100"/>
      <c r="X2851" s="100"/>
      <c r="Y2851" s="100"/>
      <c r="Z2851" s="100"/>
    </row>
    <row r="2852" spans="1:26">
      <c r="A2852" s="100" t="e">
        <f ca="1">IFERROR(__xludf.DUMMYFUNCTION("""COMPUTED_VALUE"""),58786187)</f>
        <v>#NAME?</v>
      </c>
      <c r="B2852" s="100" t="e">
        <f ca="1">IFERROR(__xludf.DUMMYFUNCTION("""COMPUTED_VALUE"""),"IDEXFDUSD")</f>
        <v>#NAME?</v>
      </c>
      <c r="C2852" s="100" t="e">
        <f ca="1">IFERROR(__xludf.DUMMYFUNCTION("""COMPUTED_VALUE"""),"0.02384000")</f>
        <v>#NAME?</v>
      </c>
      <c r="D2852" s="100" t="e">
        <f t="shared" ca="1" si="462"/>
        <v>#NAME?</v>
      </c>
      <c r="E2852" s="100" t="e">
        <f t="shared" ca="1" si="462"/>
        <v>#NAME?</v>
      </c>
      <c r="F2852" s="100" t="e">
        <f t="shared" ca="1" si="456"/>
        <v>#NAME?</v>
      </c>
      <c r="G2852" s="100" t="e">
        <f t="shared" ca="1" si="457"/>
        <v>#NAME?</v>
      </c>
      <c r="H2852" s="100" t="e">
        <f t="shared" ca="1" si="458"/>
        <v>#NAME?</v>
      </c>
      <c r="I2852" s="100" t="e">
        <f t="shared" ca="1" si="459"/>
        <v>#NAME?</v>
      </c>
      <c r="J2852" s="100" t="e">
        <f ca="1">IFERROR(__xludf.DUMMYFUNCTION("""COMPUTED_VALUE"""),"0.931")</f>
        <v>#NAME?</v>
      </c>
      <c r="K2852" s="100" t="e">
        <f t="shared" ca="1" si="460"/>
        <v>#NAME?</v>
      </c>
      <c r="L2852" s="100"/>
      <c r="M2852" s="100"/>
      <c r="N2852" s="100"/>
      <c r="O2852" s="100"/>
      <c r="P2852" s="100"/>
      <c r="Q2852" s="100"/>
      <c r="R2852" s="100"/>
      <c r="S2852" s="100"/>
      <c r="T2852" s="100"/>
      <c r="U2852" s="100"/>
      <c r="V2852" s="100"/>
      <c r="W2852" s="100"/>
      <c r="X2852" s="100"/>
      <c r="Y2852" s="100"/>
      <c r="Z2852" s="100"/>
    </row>
    <row r="2853" spans="1:26">
      <c r="A2853" s="100" t="e">
        <f ca="1">IFERROR(__xludf.DUMMYFUNCTION("""COMPUTED_VALUE"""),58786188)</f>
        <v>#NAME?</v>
      </c>
      <c r="B2853" s="100" t="e">
        <f ca="1">IFERROR(__xludf.DUMMYFUNCTION("""COMPUTED_VALUE"""),"IDEXUSDC")</f>
        <v>#NAME?</v>
      </c>
      <c r="C2853" s="100" t="e">
        <f ca="1">IFERROR(__xludf.DUMMYFUNCTION("""COMPUTED_VALUE"""),"0.02377000")</f>
        <v>#NAME?</v>
      </c>
      <c r="D2853" s="100" t="e">
        <f t="shared" ca="1" si="462"/>
        <v>#NAME?</v>
      </c>
      <c r="E2853" s="100" t="e">
        <f t="shared" ca="1" si="462"/>
        <v>#NAME?</v>
      </c>
      <c r="F2853" s="100" t="e">
        <f t="shared" ca="1" si="456"/>
        <v>#NAME?</v>
      </c>
      <c r="G2853" s="100" t="e">
        <f t="shared" ca="1" si="457"/>
        <v>#NAME?</v>
      </c>
      <c r="H2853" s="100" t="e">
        <f t="shared" ca="1" si="458"/>
        <v>#NAME?</v>
      </c>
      <c r="I2853" s="100" t="e">
        <f t="shared" ca="1" si="459"/>
        <v>#NAME?</v>
      </c>
      <c r="J2853" s="100" t="e">
        <f ca="1">IFERROR(__xludf.DUMMYFUNCTION("""COMPUTED_VALUE"""),"0.507")</f>
        <v>#NAME?</v>
      </c>
      <c r="K2853" s="100" t="e">
        <f t="shared" ca="1" si="460"/>
        <v>#NAME?</v>
      </c>
      <c r="L2853" s="100"/>
      <c r="M2853" s="100"/>
      <c r="N2853" s="100"/>
      <c r="O2853" s="100"/>
      <c r="P2853" s="100"/>
      <c r="Q2853" s="100"/>
      <c r="R2853" s="100"/>
      <c r="S2853" s="100"/>
      <c r="T2853" s="100"/>
      <c r="U2853" s="100"/>
      <c r="V2853" s="100"/>
      <c r="W2853" s="100"/>
      <c r="X2853" s="100"/>
      <c r="Y2853" s="100"/>
      <c r="Z2853" s="100"/>
    </row>
    <row r="2854" spans="1:26">
      <c r="A2854" s="100" t="e">
        <f ca="1">IFERROR(__xludf.DUMMYFUNCTION("""COMPUTED_VALUE"""),58786189)</f>
        <v>#NAME?</v>
      </c>
      <c r="B2854" s="100" t="e">
        <f ca="1">IFERROR(__xludf.DUMMYFUNCTION("""COMPUTED_VALUE"""),"TLMFDUSD")</f>
        <v>#NAME?</v>
      </c>
      <c r="C2854" s="100" t="e">
        <f ca="1">IFERROR(__xludf.DUMMYFUNCTION("""COMPUTED_VALUE"""),"0.00519000")</f>
        <v>#NAME?</v>
      </c>
      <c r="D2854" s="100" t="e">
        <f t="shared" ca="1" si="462"/>
        <v>#NAME?</v>
      </c>
      <c r="E2854" s="100" t="e">
        <f t="shared" ca="1" si="462"/>
        <v>#NAME?</v>
      </c>
      <c r="F2854" s="100" t="e">
        <f t="shared" ca="1" si="456"/>
        <v>#NAME?</v>
      </c>
      <c r="G2854" s="100" t="e">
        <f t="shared" ca="1" si="457"/>
        <v>#NAME?</v>
      </c>
      <c r="H2854" s="100" t="e">
        <f t="shared" ca="1" si="458"/>
        <v>#NAME?</v>
      </c>
      <c r="I2854" s="100" t="e">
        <f t="shared" ca="1" si="459"/>
        <v>#NAME?</v>
      </c>
      <c r="J2854" s="100" t="e">
        <f ca="1">IFERROR(__xludf.DUMMYFUNCTION("""COMPUTED_VALUE"""),"-1.890")</f>
        <v>#NAME?</v>
      </c>
      <c r="K2854" s="100" t="e">
        <f t="shared" ca="1" si="460"/>
        <v>#NAME?</v>
      </c>
      <c r="L2854" s="100"/>
      <c r="M2854" s="100"/>
      <c r="N2854" s="100"/>
      <c r="O2854" s="100"/>
      <c r="P2854" s="100"/>
      <c r="Q2854" s="100"/>
      <c r="R2854" s="100"/>
      <c r="S2854" s="100"/>
      <c r="T2854" s="100"/>
      <c r="U2854" s="100"/>
      <c r="V2854" s="100"/>
      <c r="W2854" s="100"/>
      <c r="X2854" s="100"/>
      <c r="Y2854" s="100"/>
      <c r="Z2854" s="100"/>
    </row>
    <row r="2855" spans="1:26">
      <c r="A2855" s="100" t="e">
        <f ca="1">IFERROR(__xludf.DUMMYFUNCTION("""COMPUTED_VALUE"""),58786190)</f>
        <v>#NAME?</v>
      </c>
      <c r="B2855" s="100" t="e">
        <f ca="1">IFERROR(__xludf.DUMMYFUNCTION("""COMPUTED_VALUE"""),"TLMUSDC")</f>
        <v>#NAME?</v>
      </c>
      <c r="C2855" s="100" t="e">
        <f ca="1">IFERROR(__xludf.DUMMYFUNCTION("""COMPUTED_VALUE"""),"0.00521000")</f>
        <v>#NAME?</v>
      </c>
      <c r="D2855" s="100" t="e">
        <f t="shared" ca="1" si="462"/>
        <v>#NAME?</v>
      </c>
      <c r="E2855" s="100" t="e">
        <f t="shared" ca="1" si="462"/>
        <v>#NAME?</v>
      </c>
      <c r="F2855" s="100" t="e">
        <f t="shared" ca="1" si="456"/>
        <v>#NAME?</v>
      </c>
      <c r="G2855" s="100" t="e">
        <f t="shared" ca="1" si="457"/>
        <v>#NAME?</v>
      </c>
      <c r="H2855" s="100" t="e">
        <f t="shared" ca="1" si="458"/>
        <v>#NAME?</v>
      </c>
      <c r="I2855" s="100" t="e">
        <f t="shared" ca="1" si="459"/>
        <v>#NAME?</v>
      </c>
      <c r="J2855" s="100" t="e">
        <f ca="1">IFERROR(__xludf.DUMMYFUNCTION("""COMPUTED_VALUE"""),"0.385")</f>
        <v>#NAME?</v>
      </c>
      <c r="K2855" s="100" t="e">
        <f t="shared" ca="1" si="460"/>
        <v>#NAME?</v>
      </c>
      <c r="L2855" s="100"/>
      <c r="M2855" s="100"/>
      <c r="N2855" s="100"/>
      <c r="O2855" s="100"/>
      <c r="P2855" s="100"/>
      <c r="Q2855" s="100"/>
      <c r="R2855" s="100"/>
      <c r="S2855" s="100"/>
      <c r="T2855" s="100"/>
      <c r="U2855" s="100"/>
      <c r="V2855" s="100"/>
      <c r="W2855" s="100"/>
      <c r="X2855" s="100"/>
      <c r="Y2855" s="100"/>
      <c r="Z2855" s="100"/>
    </row>
    <row r="2856" spans="1:26">
      <c r="A2856" s="100" t="e">
        <f ca="1">IFERROR(__xludf.DUMMYFUNCTION("""COMPUTED_VALUE"""),58786191)</f>
        <v>#NAME?</v>
      </c>
      <c r="B2856" s="100" t="e">
        <f ca="1">IFERROR(__xludf.DUMMYFUNCTION("""COMPUTED_VALUE"""),"VELODROMEUSDT")</f>
        <v>#NAME?</v>
      </c>
      <c r="C2856" s="100" t="e">
        <f ca="1">IFERROR(__xludf.DUMMYFUNCTION("""COMPUTED_VALUE"""),"0.04520000")</f>
        <v>#NAME?</v>
      </c>
      <c r="D2856" s="100" t="e">
        <f t="shared" ca="1" si="462"/>
        <v>#NAME?</v>
      </c>
      <c r="E2856" s="100" t="e">
        <f t="shared" ca="1" si="462"/>
        <v>#NAME?</v>
      </c>
      <c r="F2856" s="100" t="e">
        <f t="shared" ca="1" si="456"/>
        <v>#NAME?</v>
      </c>
      <c r="G2856" s="100" t="e">
        <f t="shared" ca="1" si="457"/>
        <v>#NAME?</v>
      </c>
      <c r="H2856" s="100" t="e">
        <f t="shared" ca="1" si="458"/>
        <v>#NAME?</v>
      </c>
      <c r="I2856" s="100" t="e">
        <f t="shared" ca="1" si="459"/>
        <v>#NAME?</v>
      </c>
      <c r="J2856" s="100" t="e">
        <f ca="1">IFERROR(__xludf.DUMMYFUNCTION("""COMPUTED_VALUE"""),"-2.165")</f>
        <v>#NAME?</v>
      </c>
      <c r="K2856" s="100" t="e">
        <f t="shared" ca="1" si="460"/>
        <v>#NAME?</v>
      </c>
      <c r="L2856" s="100"/>
      <c r="M2856" s="100"/>
      <c r="N2856" s="100"/>
      <c r="O2856" s="100"/>
      <c r="P2856" s="100"/>
      <c r="Q2856" s="100"/>
      <c r="R2856" s="100"/>
      <c r="S2856" s="100"/>
      <c r="T2856" s="100"/>
      <c r="U2856" s="100"/>
      <c r="V2856" s="100"/>
      <c r="W2856" s="100"/>
      <c r="X2856" s="100"/>
      <c r="Y2856" s="100"/>
      <c r="Z2856" s="100"/>
    </row>
    <row r="2857" spans="1:26">
      <c r="A2857" s="100" t="e">
        <f ca="1">IFERROR(__xludf.DUMMYFUNCTION("""COMPUTED_VALUE"""),58786192)</f>
        <v>#NAME?</v>
      </c>
      <c r="B2857" s="100" t="e">
        <f ca="1">IFERROR(__xludf.DUMMYFUNCTION("""COMPUTED_VALUE"""),"VANAUSDT")</f>
        <v>#NAME?</v>
      </c>
      <c r="C2857" s="100" t="e">
        <f ca="1">IFERROR(__xludf.DUMMYFUNCTION("""COMPUTED_VALUE"""),"5.02900000")</f>
        <v>#NAME?</v>
      </c>
      <c r="D2857" s="100" t="e">
        <f t="shared" ca="1" si="462"/>
        <v>#NAME?</v>
      </c>
      <c r="E2857" s="100" t="e">
        <f t="shared" ca="1" si="462"/>
        <v>#NAME?</v>
      </c>
      <c r="F2857" s="100" t="e">
        <f t="shared" ca="1" si="456"/>
        <v>#NAME?</v>
      </c>
      <c r="G2857" s="100" t="e">
        <f t="shared" ca="1" si="457"/>
        <v>#NAME?</v>
      </c>
      <c r="H2857" s="100" t="e">
        <f t="shared" ca="1" si="458"/>
        <v>#NAME?</v>
      </c>
      <c r="I2857" s="100" t="e">
        <f t="shared" ca="1" si="459"/>
        <v>#NAME?</v>
      </c>
      <c r="J2857" s="100" t="e">
        <f ca="1">IFERROR(__xludf.DUMMYFUNCTION("""COMPUTED_VALUE"""),"-2.026")</f>
        <v>#NAME?</v>
      </c>
      <c r="K2857" s="100" t="e">
        <f t="shared" ca="1" si="460"/>
        <v>#NAME?</v>
      </c>
      <c r="L2857" s="100"/>
      <c r="M2857" s="100"/>
      <c r="N2857" s="100"/>
      <c r="O2857" s="100"/>
      <c r="P2857" s="100"/>
      <c r="Q2857" s="100"/>
      <c r="R2857" s="100"/>
      <c r="S2857" s="100"/>
      <c r="T2857" s="100"/>
      <c r="U2857" s="100"/>
      <c r="V2857" s="100"/>
      <c r="W2857" s="100"/>
      <c r="X2857" s="100"/>
      <c r="Y2857" s="100"/>
      <c r="Z2857" s="100"/>
    </row>
    <row r="2858" spans="1:26">
      <c r="A2858" s="100" t="e">
        <f ca="1">IFERROR(__xludf.DUMMYFUNCTION("""COMPUTED_VALUE"""),58786193)</f>
        <v>#NAME?</v>
      </c>
      <c r="B2858" s="100" t="e">
        <f ca="1">IFERROR(__xludf.DUMMYFUNCTION("""COMPUTED_VALUE"""),"VANABNB")</f>
        <v>#NAME?</v>
      </c>
      <c r="C2858" s="100" t="e">
        <f ca="1">IFERROR(__xludf.DUMMYFUNCTION("""COMPUTED_VALUE"""),"0.00866000")</f>
        <v>#NAME?</v>
      </c>
      <c r="D2858" s="100" t="e">
        <f t="shared" ca="1" si="462"/>
        <v>#NAME?</v>
      </c>
      <c r="E2858" s="100" t="e">
        <f t="shared" ca="1" si="462"/>
        <v>#NAME?</v>
      </c>
      <c r="F2858" s="100" t="e">
        <f t="shared" ca="1" si="456"/>
        <v>#NAME?</v>
      </c>
      <c r="G2858" s="100" t="e">
        <f t="shared" ca="1" si="457"/>
        <v>#NAME?</v>
      </c>
      <c r="H2858" s="100" t="e">
        <f t="shared" ca="1" si="458"/>
        <v>#NAME?</v>
      </c>
      <c r="I2858" s="100" t="e">
        <f t="shared" ca="1" si="459"/>
        <v>#NAME?</v>
      </c>
      <c r="J2858" s="100" t="e">
        <f ca="1">IFERROR(__xludf.DUMMYFUNCTION("""COMPUTED_VALUE"""),"3.218")</f>
        <v>#NAME?</v>
      </c>
      <c r="K2858" s="100" t="e">
        <f t="shared" ca="1" si="460"/>
        <v>#NAME?</v>
      </c>
      <c r="L2858" s="100"/>
      <c r="M2858" s="100"/>
      <c r="N2858" s="100"/>
      <c r="O2858" s="100"/>
      <c r="P2858" s="100"/>
      <c r="Q2858" s="100"/>
      <c r="R2858" s="100"/>
      <c r="S2858" s="100"/>
      <c r="T2858" s="100"/>
      <c r="U2858" s="100"/>
      <c r="V2858" s="100"/>
      <c r="W2858" s="100"/>
      <c r="X2858" s="100"/>
      <c r="Y2858" s="100"/>
      <c r="Z2858" s="100"/>
    </row>
    <row r="2859" spans="1:26">
      <c r="A2859" s="100" t="e">
        <f ca="1">IFERROR(__xludf.DUMMYFUNCTION("""COMPUTED_VALUE"""),58786194)</f>
        <v>#NAME?</v>
      </c>
      <c r="B2859" s="100" t="e">
        <f ca="1">IFERROR(__xludf.DUMMYFUNCTION("""COMPUTED_VALUE"""),"VANAFDUSD")</f>
        <v>#NAME?</v>
      </c>
      <c r="C2859" s="100" t="e">
        <f ca="1">IFERROR(__xludf.DUMMYFUNCTION("""COMPUTED_VALUE"""),"5.13300000")</f>
        <v>#NAME?</v>
      </c>
      <c r="D2859" s="100" t="e">
        <f t="shared" ca="1" si="462"/>
        <v>#NAME?</v>
      </c>
      <c r="E2859" s="100" t="e">
        <f t="shared" ca="1" si="462"/>
        <v>#NAME?</v>
      </c>
      <c r="F2859" s="100" t="e">
        <f t="shared" ca="1" si="456"/>
        <v>#NAME?</v>
      </c>
      <c r="G2859" s="100" t="e">
        <f t="shared" ca="1" si="457"/>
        <v>#NAME?</v>
      </c>
      <c r="H2859" s="100" t="e">
        <f t="shared" ca="1" si="458"/>
        <v>#NAME?</v>
      </c>
      <c r="I2859" s="100" t="e">
        <f t="shared" ca="1" si="459"/>
        <v>#NAME?</v>
      </c>
      <c r="J2859" s="100" t="e">
        <f ca="1">IFERROR(__xludf.DUMMYFUNCTION("""COMPUTED_VALUE"""),"-1.723")</f>
        <v>#NAME?</v>
      </c>
      <c r="K2859" s="100" t="e">
        <f t="shared" ca="1" si="460"/>
        <v>#NAME?</v>
      </c>
      <c r="L2859" s="100"/>
      <c r="M2859" s="100"/>
      <c r="N2859" s="100"/>
      <c r="O2859" s="100"/>
      <c r="P2859" s="100"/>
      <c r="Q2859" s="100"/>
      <c r="R2859" s="100"/>
      <c r="S2859" s="100"/>
      <c r="T2859" s="100"/>
      <c r="U2859" s="100"/>
      <c r="V2859" s="100"/>
      <c r="W2859" s="100"/>
      <c r="X2859" s="100"/>
      <c r="Y2859" s="100"/>
      <c r="Z2859" s="100"/>
    </row>
    <row r="2860" spans="1:26">
      <c r="A2860" s="100" t="e">
        <f ca="1">IFERROR(__xludf.DUMMYFUNCTION("""COMPUTED_VALUE"""),58786195)</f>
        <v>#NAME?</v>
      </c>
      <c r="B2860" s="100" t="e">
        <f ca="1">IFERROR(__xludf.DUMMYFUNCTION("""COMPUTED_VALUE"""),"VANATRY")</f>
        <v>#NAME?</v>
      </c>
      <c r="C2860" s="100" t="e">
        <f ca="1">IFERROR(__xludf.DUMMYFUNCTION("""COMPUTED_VALUE"""),"191.70000000")</f>
        <v>#NAME?</v>
      </c>
      <c r="D2860" s="100" t="e">
        <f t="shared" ca="1" si="462"/>
        <v>#NAME?</v>
      </c>
      <c r="E2860" s="100" t="e">
        <f t="shared" ca="1" si="462"/>
        <v>#NAME?</v>
      </c>
      <c r="F2860" s="100" t="e">
        <f t="shared" ca="1" si="456"/>
        <v>#NAME?</v>
      </c>
      <c r="G2860" s="100" t="e">
        <f t="shared" ca="1" si="457"/>
        <v>#NAME?</v>
      </c>
      <c r="H2860" s="100" t="e">
        <f t="shared" ca="1" si="458"/>
        <v>#NAME?</v>
      </c>
      <c r="I2860" s="100" t="e">
        <f t="shared" ca="1" si="459"/>
        <v>#NAME?</v>
      </c>
      <c r="J2860" s="100" t="e">
        <f ca="1">IFERROR(__xludf.DUMMYFUNCTION("""COMPUTED_VALUE"""),"-2.294")</f>
        <v>#NAME?</v>
      </c>
      <c r="K2860" s="100" t="e">
        <f t="shared" ca="1" si="460"/>
        <v>#NAME?</v>
      </c>
      <c r="L2860" s="100"/>
      <c r="M2860" s="100"/>
      <c r="N2860" s="100"/>
      <c r="O2860" s="100"/>
      <c r="P2860" s="100"/>
      <c r="Q2860" s="100"/>
      <c r="R2860" s="100"/>
      <c r="S2860" s="100"/>
      <c r="T2860" s="100"/>
      <c r="U2860" s="100"/>
      <c r="V2860" s="100"/>
      <c r="W2860" s="100"/>
      <c r="X2860" s="100"/>
      <c r="Y2860" s="100"/>
      <c r="Z2860" s="100"/>
    </row>
    <row r="2861" spans="1:26">
      <c r="A2861" s="100" t="e">
        <f ca="1">IFERROR(__xludf.DUMMYFUNCTION("""COMPUTED_VALUE"""),58786196)</f>
        <v>#NAME?</v>
      </c>
      <c r="B2861" s="100" t="e">
        <f ca="1">IFERROR(__xludf.DUMMYFUNCTION("""COMPUTED_VALUE"""),"1000CATUSDT")</f>
        <v>#NAME?</v>
      </c>
      <c r="C2861" s="100" t="e">
        <f ca="1">IFERROR(__xludf.DUMMYFUNCTION("""COMPUTED_VALUE"""),"0.00559000")</f>
        <v>#NAME?</v>
      </c>
      <c r="D2861" s="100" t="e">
        <f t="shared" ca="1" si="462"/>
        <v>#NAME?</v>
      </c>
      <c r="E2861" s="100" t="e">
        <f t="shared" ca="1" si="462"/>
        <v>#NAME?</v>
      </c>
      <c r="F2861" s="100" t="e">
        <f t="shared" ca="1" si="456"/>
        <v>#NAME?</v>
      </c>
      <c r="G2861" s="100" t="e">
        <f t="shared" ca="1" si="457"/>
        <v>#NAME?</v>
      </c>
      <c r="H2861" s="100" t="e">
        <f t="shared" ca="1" si="458"/>
        <v>#NAME?</v>
      </c>
      <c r="I2861" s="100" t="e">
        <f t="shared" ca="1" si="459"/>
        <v>#NAME?</v>
      </c>
      <c r="J2861" s="100" t="e">
        <f ca="1">IFERROR(__xludf.DUMMYFUNCTION("""COMPUTED_VALUE"""),"-2.951")</f>
        <v>#NAME?</v>
      </c>
      <c r="K2861" s="100" t="e">
        <f t="shared" ca="1" si="460"/>
        <v>#NAME?</v>
      </c>
      <c r="L2861" s="100"/>
      <c r="M2861" s="100"/>
      <c r="N2861" s="100"/>
      <c r="O2861" s="100"/>
      <c r="P2861" s="100"/>
      <c r="Q2861" s="100"/>
      <c r="R2861" s="100"/>
      <c r="S2861" s="100"/>
      <c r="T2861" s="100"/>
      <c r="U2861" s="100"/>
      <c r="V2861" s="100"/>
      <c r="W2861" s="100"/>
      <c r="X2861" s="100"/>
      <c r="Y2861" s="100"/>
      <c r="Z2861" s="100"/>
    </row>
    <row r="2862" spans="1:26">
      <c r="A2862" s="100" t="e">
        <f ca="1">IFERROR(__xludf.DUMMYFUNCTION("""COMPUTED_VALUE"""),58786197)</f>
        <v>#NAME?</v>
      </c>
      <c r="B2862" s="100" t="e">
        <f ca="1">IFERROR(__xludf.DUMMYFUNCTION("""COMPUTED_VALUE"""),"1000CATBNB")</f>
        <v>#NAME?</v>
      </c>
      <c r="C2862" s="100" t="e">
        <f ca="1">IFERROR(__xludf.DUMMYFUNCTION("""COMPUTED_VALUE"""),"0.00000929")</f>
        <v>#NAME?</v>
      </c>
      <c r="D2862" s="100" t="e">
        <f t="shared" ref="D2862:E2881" ca="1" si="463">IFERROR(__xludf.DUMMYFUNCTION("""COMPUTED_VALUE"""),"-")</f>
        <v>#NAME?</v>
      </c>
      <c r="E2862" s="100" t="e">
        <f t="shared" ca="1" si="463"/>
        <v>#NAME?</v>
      </c>
      <c r="F2862" s="100" t="e">
        <f t="shared" ca="1" si="456"/>
        <v>#NAME?</v>
      </c>
      <c r="G2862" s="100" t="e">
        <f t="shared" ca="1" si="457"/>
        <v>#NAME?</v>
      </c>
      <c r="H2862" s="100" t="e">
        <f t="shared" ca="1" si="458"/>
        <v>#NAME?</v>
      </c>
      <c r="I2862" s="100" t="e">
        <f t="shared" ca="1" si="459"/>
        <v>#NAME?</v>
      </c>
      <c r="J2862" s="100" t="e">
        <f ca="1">IFERROR(__xludf.DUMMYFUNCTION("""COMPUTED_VALUE"""),"-3.430")</f>
        <v>#NAME?</v>
      </c>
      <c r="K2862" s="100" t="e">
        <f t="shared" ca="1" si="460"/>
        <v>#NAME?</v>
      </c>
      <c r="L2862" s="100"/>
      <c r="M2862" s="100"/>
      <c r="N2862" s="100"/>
      <c r="O2862" s="100"/>
      <c r="P2862" s="100"/>
      <c r="Q2862" s="100"/>
      <c r="R2862" s="100"/>
      <c r="S2862" s="100"/>
      <c r="T2862" s="100"/>
      <c r="U2862" s="100"/>
      <c r="V2862" s="100"/>
      <c r="W2862" s="100"/>
      <c r="X2862" s="100"/>
      <c r="Y2862" s="100"/>
      <c r="Z2862" s="100"/>
    </row>
    <row r="2863" spans="1:26">
      <c r="A2863" s="100" t="e">
        <f ca="1">IFERROR(__xludf.DUMMYFUNCTION("""COMPUTED_VALUE"""),58786198)</f>
        <v>#NAME?</v>
      </c>
      <c r="B2863" s="100" t="e">
        <f ca="1">IFERROR(__xludf.DUMMYFUNCTION("""COMPUTED_VALUE"""),"1000CATFDUSD")</f>
        <v>#NAME?</v>
      </c>
      <c r="C2863" s="100" t="e">
        <f ca="1">IFERROR(__xludf.DUMMYFUNCTION("""COMPUTED_VALUE"""),"0.00559000")</f>
        <v>#NAME?</v>
      </c>
      <c r="D2863" s="100" t="e">
        <f t="shared" ca="1" si="463"/>
        <v>#NAME?</v>
      </c>
      <c r="E2863" s="100" t="e">
        <f t="shared" ca="1" si="463"/>
        <v>#NAME?</v>
      </c>
      <c r="F2863" s="100" t="e">
        <f t="shared" ca="1" si="456"/>
        <v>#NAME?</v>
      </c>
      <c r="G2863" s="100" t="e">
        <f t="shared" ca="1" si="457"/>
        <v>#NAME?</v>
      </c>
      <c r="H2863" s="100" t="e">
        <f t="shared" ca="1" si="458"/>
        <v>#NAME?</v>
      </c>
      <c r="I2863" s="100" t="e">
        <f t="shared" ca="1" si="459"/>
        <v>#NAME?</v>
      </c>
      <c r="J2863" s="100" t="e">
        <f ca="1">IFERROR(__xludf.DUMMYFUNCTION("""COMPUTED_VALUE"""),"-2.783")</f>
        <v>#NAME?</v>
      </c>
      <c r="K2863" s="100" t="e">
        <f t="shared" ca="1" si="460"/>
        <v>#NAME?</v>
      </c>
      <c r="L2863" s="100"/>
      <c r="M2863" s="100"/>
      <c r="N2863" s="100"/>
      <c r="O2863" s="100"/>
      <c r="P2863" s="100"/>
      <c r="Q2863" s="100"/>
      <c r="R2863" s="100"/>
      <c r="S2863" s="100"/>
      <c r="T2863" s="100"/>
      <c r="U2863" s="100"/>
      <c r="V2863" s="100"/>
      <c r="W2863" s="100"/>
      <c r="X2863" s="100"/>
      <c r="Y2863" s="100"/>
      <c r="Z2863" s="100"/>
    </row>
    <row r="2864" spans="1:26">
      <c r="A2864" s="100" t="e">
        <f ca="1">IFERROR(__xludf.DUMMYFUNCTION("""COMPUTED_VALUE"""),58786199)</f>
        <v>#NAME?</v>
      </c>
      <c r="B2864" s="100" t="e">
        <f ca="1">IFERROR(__xludf.DUMMYFUNCTION("""COMPUTED_VALUE"""),"1000CATTRY")</f>
        <v>#NAME?</v>
      </c>
      <c r="C2864" s="100" t="e">
        <f ca="1">IFERROR(__xludf.DUMMYFUNCTION("""COMPUTED_VALUE"""),"0.21300000")</f>
        <v>#NAME?</v>
      </c>
      <c r="D2864" s="100" t="e">
        <f t="shared" ca="1" si="463"/>
        <v>#NAME?</v>
      </c>
      <c r="E2864" s="100" t="e">
        <f t="shared" ca="1" si="463"/>
        <v>#NAME?</v>
      </c>
      <c r="F2864" s="100" t="e">
        <f t="shared" ca="1" si="456"/>
        <v>#NAME?</v>
      </c>
      <c r="G2864" s="100" t="e">
        <f t="shared" ca="1" si="457"/>
        <v>#NAME?</v>
      </c>
      <c r="H2864" s="100" t="e">
        <f t="shared" ca="1" si="458"/>
        <v>#NAME?</v>
      </c>
      <c r="I2864" s="100" t="e">
        <f t="shared" ca="1" si="459"/>
        <v>#NAME?</v>
      </c>
      <c r="J2864" s="100" t="e">
        <f ca="1">IFERROR(__xludf.DUMMYFUNCTION("""COMPUTED_VALUE"""),"-3.182")</f>
        <v>#NAME?</v>
      </c>
      <c r="K2864" s="100" t="e">
        <f t="shared" ca="1" si="460"/>
        <v>#NAME?</v>
      </c>
      <c r="L2864" s="100"/>
      <c r="M2864" s="100"/>
      <c r="N2864" s="100"/>
      <c r="O2864" s="100"/>
      <c r="P2864" s="100"/>
      <c r="Q2864" s="100"/>
      <c r="R2864" s="100"/>
      <c r="S2864" s="100"/>
      <c r="T2864" s="100"/>
      <c r="U2864" s="100"/>
      <c r="V2864" s="100"/>
      <c r="W2864" s="100"/>
      <c r="X2864" s="100"/>
      <c r="Y2864" s="100"/>
      <c r="Z2864" s="100"/>
    </row>
    <row r="2865" spans="1:26">
      <c r="A2865" s="100" t="e">
        <f ca="1">IFERROR(__xludf.DUMMYFUNCTION("""COMPUTED_VALUE"""),58786200)</f>
        <v>#NAME?</v>
      </c>
      <c r="B2865" s="100" t="e">
        <f ca="1">IFERROR(__xludf.DUMMYFUNCTION("""COMPUTED_VALUE"""),"PENGUUSDT")</f>
        <v>#NAME?</v>
      </c>
      <c r="C2865" s="100" t="e">
        <f ca="1">IFERROR(__xludf.DUMMYFUNCTION("""COMPUTED_VALUE"""),"0.00515200")</f>
        <v>#NAME?</v>
      </c>
      <c r="D2865" s="100" t="e">
        <f t="shared" ca="1" si="463"/>
        <v>#NAME?</v>
      </c>
      <c r="E2865" s="100" t="e">
        <f t="shared" ca="1" si="463"/>
        <v>#NAME?</v>
      </c>
      <c r="F2865" s="100" t="e">
        <f t="shared" ca="1" si="456"/>
        <v>#NAME?</v>
      </c>
      <c r="G2865" s="100" t="e">
        <f t="shared" ca="1" si="457"/>
        <v>#NAME?</v>
      </c>
      <c r="H2865" s="100" t="e">
        <f t="shared" ca="1" si="458"/>
        <v>#NAME?</v>
      </c>
      <c r="I2865" s="100" t="e">
        <f t="shared" ca="1" si="459"/>
        <v>#NAME?</v>
      </c>
      <c r="J2865" s="100" t="e">
        <f ca="1">IFERROR(__xludf.DUMMYFUNCTION("""COMPUTED_VALUE"""),"0.527")</f>
        <v>#NAME?</v>
      </c>
      <c r="K2865" s="100" t="e">
        <f t="shared" ca="1" si="460"/>
        <v>#NAME?</v>
      </c>
      <c r="L2865" s="100"/>
      <c r="M2865" s="100"/>
      <c r="N2865" s="100"/>
      <c r="O2865" s="100"/>
      <c r="P2865" s="100"/>
      <c r="Q2865" s="100"/>
      <c r="R2865" s="100"/>
      <c r="S2865" s="100"/>
      <c r="T2865" s="100"/>
      <c r="U2865" s="100"/>
      <c r="V2865" s="100"/>
      <c r="W2865" s="100"/>
      <c r="X2865" s="100"/>
      <c r="Y2865" s="100"/>
      <c r="Z2865" s="100"/>
    </row>
    <row r="2866" spans="1:26">
      <c r="A2866" s="100" t="e">
        <f ca="1">IFERROR(__xludf.DUMMYFUNCTION("""COMPUTED_VALUE"""),58786201)</f>
        <v>#NAME?</v>
      </c>
      <c r="B2866" s="100" t="e">
        <f ca="1">IFERROR(__xludf.DUMMYFUNCTION("""COMPUTED_VALUE"""),"PENGUBNB")</f>
        <v>#NAME?</v>
      </c>
      <c r="C2866" s="100" t="e">
        <f ca="1">IFERROR(__xludf.DUMMYFUNCTION("""COMPUTED_VALUE"""),"0.00000732")</f>
        <v>#NAME?</v>
      </c>
      <c r="D2866" s="100" t="e">
        <f t="shared" ca="1" si="463"/>
        <v>#NAME?</v>
      </c>
      <c r="E2866" s="100" t="e">
        <f t="shared" ca="1" si="463"/>
        <v>#NAME?</v>
      </c>
      <c r="F2866" s="100" t="e">
        <f t="shared" ca="1" si="456"/>
        <v>#NAME?</v>
      </c>
      <c r="G2866" s="100" t="e">
        <f t="shared" ca="1" si="457"/>
        <v>#NAME?</v>
      </c>
      <c r="H2866" s="100" t="e">
        <f t="shared" ca="1" si="458"/>
        <v>#NAME?</v>
      </c>
      <c r="I2866" s="100" t="e">
        <f t="shared" ca="1" si="459"/>
        <v>#NAME?</v>
      </c>
      <c r="J2866" s="100" t="e">
        <f ca="1">IFERROR(__xludf.DUMMYFUNCTION("""COMPUTED_VALUE"""),"-4.439")</f>
        <v>#NAME?</v>
      </c>
      <c r="K2866" s="100" t="e">
        <f t="shared" ca="1" si="460"/>
        <v>#NAME?</v>
      </c>
      <c r="L2866" s="100"/>
      <c r="M2866" s="100"/>
      <c r="N2866" s="100"/>
      <c r="O2866" s="100"/>
      <c r="P2866" s="100"/>
      <c r="Q2866" s="100"/>
      <c r="R2866" s="100"/>
      <c r="S2866" s="100"/>
      <c r="T2866" s="100"/>
      <c r="U2866" s="100"/>
      <c r="V2866" s="100"/>
      <c r="W2866" s="100"/>
      <c r="X2866" s="100"/>
      <c r="Y2866" s="100"/>
      <c r="Z2866" s="100"/>
    </row>
    <row r="2867" spans="1:26">
      <c r="A2867" s="100" t="e">
        <f ca="1">IFERROR(__xludf.DUMMYFUNCTION("""COMPUTED_VALUE"""),58786202)</f>
        <v>#NAME?</v>
      </c>
      <c r="B2867" s="100" t="e">
        <f ca="1">IFERROR(__xludf.DUMMYFUNCTION("""COMPUTED_VALUE"""),"PENGUFDUSD")</f>
        <v>#NAME?</v>
      </c>
      <c r="C2867" s="100" t="e">
        <f ca="1">IFERROR(__xludf.DUMMYFUNCTION("""COMPUTED_VALUE"""),"0.00514900")</f>
        <v>#NAME?</v>
      </c>
      <c r="D2867" s="100" t="e">
        <f t="shared" ca="1" si="463"/>
        <v>#NAME?</v>
      </c>
      <c r="E2867" s="100" t="e">
        <f t="shared" ca="1" si="463"/>
        <v>#NAME?</v>
      </c>
      <c r="F2867" s="100" t="e">
        <f t="shared" ca="1" si="456"/>
        <v>#NAME?</v>
      </c>
      <c r="G2867" s="100" t="e">
        <f t="shared" ca="1" si="457"/>
        <v>#NAME?</v>
      </c>
      <c r="H2867" s="100" t="e">
        <f t="shared" ca="1" si="458"/>
        <v>#NAME?</v>
      </c>
      <c r="I2867" s="100" t="e">
        <f t="shared" ca="1" si="459"/>
        <v>#NAME?</v>
      </c>
      <c r="J2867" s="100" t="e">
        <f ca="1">IFERROR(__xludf.DUMMYFUNCTION("""COMPUTED_VALUE"""),"0.449")</f>
        <v>#NAME?</v>
      </c>
      <c r="K2867" s="100" t="e">
        <f t="shared" ca="1" si="460"/>
        <v>#NAME?</v>
      </c>
      <c r="L2867" s="100"/>
      <c r="M2867" s="100"/>
      <c r="N2867" s="100"/>
      <c r="O2867" s="100"/>
      <c r="P2867" s="100"/>
      <c r="Q2867" s="100"/>
      <c r="R2867" s="100"/>
      <c r="S2867" s="100"/>
      <c r="T2867" s="100"/>
      <c r="U2867" s="100"/>
      <c r="V2867" s="100"/>
      <c r="W2867" s="100"/>
      <c r="X2867" s="100"/>
      <c r="Y2867" s="100"/>
      <c r="Z2867" s="100"/>
    </row>
    <row r="2868" spans="1:26">
      <c r="A2868" s="100" t="e">
        <f ca="1">IFERROR(__xludf.DUMMYFUNCTION("""COMPUTED_VALUE"""),58786203)</f>
        <v>#NAME?</v>
      </c>
      <c r="B2868" s="100" t="e">
        <f ca="1">IFERROR(__xludf.DUMMYFUNCTION("""COMPUTED_VALUE"""),"PENGUTRY")</f>
        <v>#NAME?</v>
      </c>
      <c r="C2868" s="100" t="e">
        <f ca="1">IFERROR(__xludf.DUMMYFUNCTION("""COMPUTED_VALUE"""),"0.19700000")</f>
        <v>#NAME?</v>
      </c>
      <c r="D2868" s="100" t="e">
        <f t="shared" ca="1" si="463"/>
        <v>#NAME?</v>
      </c>
      <c r="E2868" s="100" t="e">
        <f t="shared" ca="1" si="463"/>
        <v>#NAME?</v>
      </c>
      <c r="F2868" s="100" t="e">
        <f t="shared" ca="1" si="456"/>
        <v>#NAME?</v>
      </c>
      <c r="G2868" s="100" t="e">
        <f t="shared" ca="1" si="457"/>
        <v>#NAME?</v>
      </c>
      <c r="H2868" s="100" t="e">
        <f t="shared" ca="1" si="458"/>
        <v>#NAME?</v>
      </c>
      <c r="I2868" s="100" t="e">
        <f t="shared" ca="1" si="459"/>
        <v>#NAME?</v>
      </c>
      <c r="J2868" s="100" t="e">
        <f ca="1">IFERROR(__xludf.DUMMYFUNCTION("""COMPUTED_VALUE"""),"0.613")</f>
        <v>#NAME?</v>
      </c>
      <c r="K2868" s="100" t="e">
        <f t="shared" ca="1" si="460"/>
        <v>#NAME?</v>
      </c>
      <c r="L2868" s="100"/>
      <c r="M2868" s="100"/>
      <c r="N2868" s="100"/>
      <c r="O2868" s="100"/>
      <c r="P2868" s="100"/>
      <c r="Q2868" s="100"/>
      <c r="R2868" s="100"/>
      <c r="S2868" s="100"/>
      <c r="T2868" s="100"/>
      <c r="U2868" s="100"/>
      <c r="V2868" s="100"/>
      <c r="W2868" s="100"/>
      <c r="X2868" s="100"/>
      <c r="Y2868" s="100"/>
      <c r="Z2868" s="100"/>
    </row>
    <row r="2869" spans="1:26">
      <c r="A2869" s="100" t="e">
        <f ca="1">IFERROR(__xludf.DUMMYFUNCTION("""COMPUTED_VALUE"""),58786204)</f>
        <v>#NAME?</v>
      </c>
      <c r="B2869" s="100" t="e">
        <f ca="1">IFERROR(__xludf.DUMMYFUNCTION("""COMPUTED_VALUE"""),"USUALBTC")</f>
        <v>#NAME?</v>
      </c>
      <c r="C2869" s="100" t="e">
        <f ca="1">IFERROR(__xludf.DUMMYFUNCTION("""COMPUTED_VALUE"""),"0.00000148")</f>
        <v>#NAME?</v>
      </c>
      <c r="D2869" s="100" t="e">
        <f t="shared" ca="1" si="463"/>
        <v>#NAME?</v>
      </c>
      <c r="E2869" s="100" t="e">
        <f t="shared" ca="1" si="463"/>
        <v>#NAME?</v>
      </c>
      <c r="F2869" s="100" t="e">
        <f t="shared" ca="1" si="456"/>
        <v>#NAME?</v>
      </c>
      <c r="G2869" s="100" t="e">
        <f t="shared" ca="1" si="457"/>
        <v>#NAME?</v>
      </c>
      <c r="H2869" s="100" t="e">
        <f t="shared" ca="1" si="458"/>
        <v>#NAME?</v>
      </c>
      <c r="I2869" s="100" t="e">
        <f t="shared" ca="1" si="459"/>
        <v>#NAME?</v>
      </c>
      <c r="J2869" s="100" t="e">
        <f ca="1">IFERROR(__xludf.DUMMYFUNCTION("""COMPUTED_VALUE"""),"0.000")</f>
        <v>#NAME?</v>
      </c>
      <c r="K2869" s="100" t="e">
        <f t="shared" ca="1" si="460"/>
        <v>#NAME?</v>
      </c>
      <c r="L2869" s="100"/>
      <c r="M2869" s="100"/>
      <c r="N2869" s="100"/>
      <c r="O2869" s="100"/>
      <c r="P2869" s="100"/>
      <c r="Q2869" s="100"/>
      <c r="R2869" s="100"/>
      <c r="S2869" s="100"/>
      <c r="T2869" s="100"/>
      <c r="U2869" s="100"/>
      <c r="V2869" s="100"/>
      <c r="W2869" s="100"/>
      <c r="X2869" s="100"/>
      <c r="Y2869" s="100"/>
      <c r="Z2869" s="100"/>
    </row>
    <row r="2870" spans="1:26">
      <c r="A2870" s="100" t="e">
        <f ca="1">IFERROR(__xludf.DUMMYFUNCTION("""COMPUTED_VALUE"""),58786205)</f>
        <v>#NAME?</v>
      </c>
      <c r="B2870" s="100" t="e">
        <f ca="1">IFERROR(__xludf.DUMMYFUNCTION("""COMPUTED_VALUE"""),"USUALFDUSD")</f>
        <v>#NAME?</v>
      </c>
      <c r="C2870" s="100" t="e">
        <f ca="1">IFERROR(__xludf.DUMMYFUNCTION("""COMPUTED_VALUE"""),"0.13100000")</f>
        <v>#NAME?</v>
      </c>
      <c r="D2870" s="100" t="e">
        <f t="shared" ca="1" si="463"/>
        <v>#NAME?</v>
      </c>
      <c r="E2870" s="100" t="e">
        <f t="shared" ca="1" si="463"/>
        <v>#NAME?</v>
      </c>
      <c r="F2870" s="100" t="e">
        <f t="shared" ca="1" si="456"/>
        <v>#NAME?</v>
      </c>
      <c r="G2870" s="100" t="e">
        <f t="shared" ca="1" si="457"/>
        <v>#NAME?</v>
      </c>
      <c r="H2870" s="100" t="e">
        <f t="shared" ca="1" si="458"/>
        <v>#NAME?</v>
      </c>
      <c r="I2870" s="100" t="e">
        <f t="shared" ca="1" si="459"/>
        <v>#NAME?</v>
      </c>
      <c r="J2870" s="100" t="e">
        <f ca="1">IFERROR(__xludf.DUMMYFUNCTION("""COMPUTED_VALUE"""),"0.460")</f>
        <v>#NAME?</v>
      </c>
      <c r="K2870" s="100" t="e">
        <f t="shared" ca="1" si="460"/>
        <v>#NAME?</v>
      </c>
      <c r="L2870" s="100"/>
      <c r="M2870" s="100"/>
      <c r="N2870" s="100"/>
      <c r="O2870" s="100"/>
      <c r="P2870" s="100"/>
      <c r="Q2870" s="100"/>
      <c r="R2870" s="100"/>
      <c r="S2870" s="100"/>
      <c r="T2870" s="100"/>
      <c r="U2870" s="100"/>
      <c r="V2870" s="100"/>
      <c r="W2870" s="100"/>
      <c r="X2870" s="100"/>
      <c r="Y2870" s="100"/>
      <c r="Z2870" s="100"/>
    </row>
    <row r="2871" spans="1:26">
      <c r="A2871" s="100" t="e">
        <f ca="1">IFERROR(__xludf.DUMMYFUNCTION("""COMPUTED_VALUE"""),58786206)</f>
        <v>#NAME?</v>
      </c>
      <c r="B2871" s="100" t="e">
        <f ca="1">IFERROR(__xludf.DUMMYFUNCTION("""COMPUTED_VALUE"""),"USUALTRY")</f>
        <v>#NAME?</v>
      </c>
      <c r="C2871" s="100" t="e">
        <f ca="1">IFERROR(__xludf.DUMMYFUNCTION("""COMPUTED_VALUE"""),"5.03000000")</f>
        <v>#NAME?</v>
      </c>
      <c r="D2871" s="100" t="e">
        <f t="shared" ca="1" si="463"/>
        <v>#NAME?</v>
      </c>
      <c r="E2871" s="100" t="e">
        <f t="shared" ca="1" si="463"/>
        <v>#NAME?</v>
      </c>
      <c r="F2871" s="100" t="e">
        <f t="shared" ca="1" si="456"/>
        <v>#NAME?</v>
      </c>
      <c r="G2871" s="100" t="e">
        <f t="shared" ca="1" si="457"/>
        <v>#NAME?</v>
      </c>
      <c r="H2871" s="100" t="e">
        <f t="shared" ca="1" si="458"/>
        <v>#NAME?</v>
      </c>
      <c r="I2871" s="100" t="e">
        <f t="shared" ca="1" si="459"/>
        <v>#NAME?</v>
      </c>
      <c r="J2871" s="100" t="e">
        <f ca="1">IFERROR(__xludf.DUMMYFUNCTION("""COMPUTED_VALUE"""),"1.616")</f>
        <v>#NAME?</v>
      </c>
      <c r="K2871" s="100" t="e">
        <f t="shared" ca="1" si="460"/>
        <v>#NAME?</v>
      </c>
      <c r="L2871" s="100"/>
      <c r="M2871" s="100"/>
      <c r="N2871" s="100"/>
      <c r="O2871" s="100"/>
      <c r="P2871" s="100"/>
      <c r="Q2871" s="100"/>
      <c r="R2871" s="100"/>
      <c r="S2871" s="100"/>
      <c r="T2871" s="100"/>
      <c r="U2871" s="100"/>
      <c r="V2871" s="100"/>
      <c r="W2871" s="100"/>
      <c r="X2871" s="100"/>
      <c r="Y2871" s="100"/>
      <c r="Z2871" s="100"/>
    </row>
    <row r="2872" spans="1:26">
      <c r="A2872" s="100" t="e">
        <f ca="1">IFERROR(__xludf.DUMMYFUNCTION("""COMPUTED_VALUE"""),58786207)</f>
        <v>#NAME?</v>
      </c>
      <c r="B2872" s="100" t="e">
        <f ca="1">IFERROR(__xludf.DUMMYFUNCTION("""COMPUTED_VALUE"""),"1000CATUSDC")</f>
        <v>#NAME?</v>
      </c>
      <c r="C2872" s="100" t="e">
        <f ca="1">IFERROR(__xludf.DUMMYFUNCTION("""COMPUTED_VALUE"""),"0.00559000")</f>
        <v>#NAME?</v>
      </c>
      <c r="D2872" s="100" t="e">
        <f t="shared" ca="1" si="463"/>
        <v>#NAME?</v>
      </c>
      <c r="E2872" s="100" t="e">
        <f t="shared" ca="1" si="463"/>
        <v>#NAME?</v>
      </c>
      <c r="F2872" s="100" t="e">
        <f t="shared" ca="1" si="456"/>
        <v>#NAME?</v>
      </c>
      <c r="G2872" s="100" t="e">
        <f t="shared" ca="1" si="457"/>
        <v>#NAME?</v>
      </c>
      <c r="H2872" s="100" t="e">
        <f t="shared" ca="1" si="458"/>
        <v>#NAME?</v>
      </c>
      <c r="I2872" s="100" t="e">
        <f t="shared" ca="1" si="459"/>
        <v>#NAME?</v>
      </c>
      <c r="J2872" s="100" t="e">
        <f ca="1">IFERROR(__xludf.DUMMYFUNCTION("""COMPUTED_VALUE"""),"-2.783")</f>
        <v>#NAME?</v>
      </c>
      <c r="K2872" s="100" t="e">
        <f t="shared" ca="1" si="460"/>
        <v>#NAME?</v>
      </c>
      <c r="L2872" s="100"/>
      <c r="M2872" s="100"/>
      <c r="N2872" s="100"/>
      <c r="O2872" s="100"/>
      <c r="P2872" s="100"/>
      <c r="Q2872" s="100"/>
      <c r="R2872" s="100"/>
      <c r="S2872" s="100"/>
      <c r="T2872" s="100"/>
      <c r="U2872" s="100"/>
      <c r="V2872" s="100"/>
      <c r="W2872" s="100"/>
      <c r="X2872" s="100"/>
      <c r="Y2872" s="100"/>
      <c r="Z2872" s="100"/>
    </row>
    <row r="2873" spans="1:26">
      <c r="A2873" s="100" t="e">
        <f ca="1">IFERROR(__xludf.DUMMYFUNCTION("""COMPUTED_VALUE"""),58786208)</f>
        <v>#NAME?</v>
      </c>
      <c r="B2873" s="100" t="e">
        <f ca="1">IFERROR(__xludf.DUMMYFUNCTION("""COMPUTED_VALUE"""),"PENGUUSDC")</f>
        <v>#NAME?</v>
      </c>
      <c r="C2873" s="100" t="e">
        <f ca="1">IFERROR(__xludf.DUMMYFUNCTION("""COMPUTED_VALUE"""),"0.00514800")</f>
        <v>#NAME?</v>
      </c>
      <c r="D2873" s="100" t="e">
        <f t="shared" ca="1" si="463"/>
        <v>#NAME?</v>
      </c>
      <c r="E2873" s="100" t="e">
        <f t="shared" ca="1" si="463"/>
        <v>#NAME?</v>
      </c>
      <c r="F2873" s="100" t="e">
        <f t="shared" ca="1" si="456"/>
        <v>#NAME?</v>
      </c>
      <c r="G2873" s="100" t="e">
        <f t="shared" ca="1" si="457"/>
        <v>#NAME?</v>
      </c>
      <c r="H2873" s="100" t="e">
        <f t="shared" ca="1" si="458"/>
        <v>#NAME?</v>
      </c>
      <c r="I2873" s="100" t="e">
        <f t="shared" ca="1" si="459"/>
        <v>#NAME?</v>
      </c>
      <c r="J2873" s="100" t="e">
        <f ca="1">IFERROR(__xludf.DUMMYFUNCTION("""COMPUTED_VALUE"""),"0.508")</f>
        <v>#NAME?</v>
      </c>
      <c r="K2873" s="100" t="e">
        <f t="shared" ca="1" si="460"/>
        <v>#NAME?</v>
      </c>
      <c r="L2873" s="100"/>
      <c r="M2873" s="100"/>
      <c r="N2873" s="100"/>
      <c r="O2873" s="100"/>
      <c r="P2873" s="100"/>
      <c r="Q2873" s="100"/>
      <c r="R2873" s="100"/>
      <c r="S2873" s="100"/>
      <c r="T2873" s="100"/>
      <c r="U2873" s="100"/>
      <c r="V2873" s="100"/>
      <c r="W2873" s="100"/>
      <c r="X2873" s="100"/>
      <c r="Y2873" s="100"/>
      <c r="Z2873" s="100"/>
    </row>
    <row r="2874" spans="1:26">
      <c r="A2874" s="100" t="e">
        <f ca="1">IFERROR(__xludf.DUMMYFUNCTION("""COMPUTED_VALUE"""),58786209)</f>
        <v>#NAME?</v>
      </c>
      <c r="B2874" s="100" t="e">
        <f ca="1">IFERROR(__xludf.DUMMYFUNCTION("""COMPUTED_VALUE"""),"BIOUSDT")</f>
        <v>#NAME?</v>
      </c>
      <c r="C2874" s="100" t="e">
        <f ca="1">IFERROR(__xludf.DUMMYFUNCTION("""COMPUTED_VALUE"""),"0.05390000")</f>
        <v>#NAME?</v>
      </c>
      <c r="D2874" s="100" t="e">
        <f t="shared" ca="1" si="463"/>
        <v>#NAME?</v>
      </c>
      <c r="E2874" s="100" t="e">
        <f t="shared" ca="1" si="463"/>
        <v>#NAME?</v>
      </c>
      <c r="F2874" s="100" t="e">
        <f t="shared" ca="1" si="456"/>
        <v>#NAME?</v>
      </c>
      <c r="G2874" s="100" t="e">
        <f t="shared" ca="1" si="457"/>
        <v>#NAME?</v>
      </c>
      <c r="H2874" s="100" t="e">
        <f t="shared" ca="1" si="458"/>
        <v>#NAME?</v>
      </c>
      <c r="I2874" s="100" t="e">
        <f t="shared" ca="1" si="459"/>
        <v>#NAME?</v>
      </c>
      <c r="J2874" s="100" t="e">
        <f ca="1">IFERROR(__xludf.DUMMYFUNCTION("""COMPUTED_VALUE"""),"-0.554")</f>
        <v>#NAME?</v>
      </c>
      <c r="K2874" s="100" t="e">
        <f t="shared" ca="1" si="460"/>
        <v>#NAME?</v>
      </c>
      <c r="L2874" s="100"/>
      <c r="M2874" s="100"/>
      <c r="N2874" s="100"/>
      <c r="O2874" s="100"/>
      <c r="P2874" s="100"/>
      <c r="Q2874" s="100"/>
      <c r="R2874" s="100"/>
      <c r="S2874" s="100"/>
      <c r="T2874" s="100"/>
      <c r="U2874" s="100"/>
      <c r="V2874" s="100"/>
      <c r="W2874" s="100"/>
      <c r="X2874" s="100"/>
      <c r="Y2874" s="100"/>
      <c r="Z2874" s="100"/>
    </row>
    <row r="2875" spans="1:26">
      <c r="A2875" s="100" t="e">
        <f ca="1">IFERROR(__xludf.DUMMYFUNCTION("""COMPUTED_VALUE"""),58786210)</f>
        <v>#NAME?</v>
      </c>
      <c r="B2875" s="100" t="e">
        <f ca="1">IFERROR(__xludf.DUMMYFUNCTION("""COMPUTED_VALUE"""),"BIOBNB")</f>
        <v>#NAME?</v>
      </c>
      <c r="C2875" s="100" t="e">
        <f ca="1">IFERROR(__xludf.DUMMYFUNCTION("""COMPUTED_VALUE"""),"0.00008883")</f>
        <v>#NAME?</v>
      </c>
      <c r="D2875" s="100" t="e">
        <f t="shared" ca="1" si="463"/>
        <v>#NAME?</v>
      </c>
      <c r="E2875" s="100" t="e">
        <f t="shared" ca="1" si="463"/>
        <v>#NAME?</v>
      </c>
      <c r="F2875" s="100" t="e">
        <f t="shared" ca="1" si="456"/>
        <v>#NAME?</v>
      </c>
      <c r="G2875" s="100" t="e">
        <f t="shared" ca="1" si="457"/>
        <v>#NAME?</v>
      </c>
      <c r="H2875" s="100" t="e">
        <f t="shared" ca="1" si="458"/>
        <v>#NAME?</v>
      </c>
      <c r="I2875" s="100" t="e">
        <f t="shared" ca="1" si="459"/>
        <v>#NAME?</v>
      </c>
      <c r="J2875" s="100" t="e">
        <f ca="1">IFERROR(__xludf.DUMMYFUNCTION("""COMPUTED_VALUE"""),"-0.225")</f>
        <v>#NAME?</v>
      </c>
      <c r="K2875" s="100" t="e">
        <f t="shared" ca="1" si="460"/>
        <v>#NAME?</v>
      </c>
      <c r="L2875" s="100"/>
      <c r="M2875" s="100"/>
      <c r="N2875" s="100"/>
      <c r="O2875" s="100"/>
      <c r="P2875" s="100"/>
      <c r="Q2875" s="100"/>
      <c r="R2875" s="100"/>
      <c r="S2875" s="100"/>
      <c r="T2875" s="100"/>
      <c r="U2875" s="100"/>
      <c r="V2875" s="100"/>
      <c r="W2875" s="100"/>
      <c r="X2875" s="100"/>
      <c r="Y2875" s="100"/>
      <c r="Z2875" s="100"/>
    </row>
    <row r="2876" spans="1:26">
      <c r="A2876" s="100" t="e">
        <f ca="1">IFERROR(__xludf.DUMMYFUNCTION("""COMPUTED_VALUE"""),58786211)</f>
        <v>#NAME?</v>
      </c>
      <c r="B2876" s="100" t="e">
        <f ca="1">IFERROR(__xludf.DUMMYFUNCTION("""COMPUTED_VALUE"""),"BIOFDUSD")</f>
        <v>#NAME?</v>
      </c>
      <c r="C2876" s="100" t="e">
        <f ca="1">IFERROR(__xludf.DUMMYFUNCTION("""COMPUTED_VALUE"""),"0.05430000")</f>
        <v>#NAME?</v>
      </c>
      <c r="D2876" s="100" t="e">
        <f t="shared" ca="1" si="463"/>
        <v>#NAME?</v>
      </c>
      <c r="E2876" s="100" t="e">
        <f t="shared" ca="1" si="463"/>
        <v>#NAME?</v>
      </c>
      <c r="F2876" s="100" t="e">
        <f t="shared" ca="1" si="456"/>
        <v>#NAME?</v>
      </c>
      <c r="G2876" s="100" t="e">
        <f t="shared" ca="1" si="457"/>
        <v>#NAME?</v>
      </c>
      <c r="H2876" s="100" t="e">
        <f t="shared" ca="1" si="458"/>
        <v>#NAME?</v>
      </c>
      <c r="I2876" s="100" t="e">
        <f t="shared" ca="1" si="459"/>
        <v>#NAME?</v>
      </c>
      <c r="J2876" s="100" t="e">
        <f ca="1">IFERROR(__xludf.DUMMYFUNCTION("""COMPUTED_VALUE"""),"0.556")</f>
        <v>#NAME?</v>
      </c>
      <c r="K2876" s="100" t="e">
        <f t="shared" ca="1" si="460"/>
        <v>#NAME?</v>
      </c>
      <c r="L2876" s="100"/>
      <c r="M2876" s="100"/>
      <c r="N2876" s="100"/>
      <c r="O2876" s="100"/>
      <c r="P2876" s="100"/>
      <c r="Q2876" s="100"/>
      <c r="R2876" s="100"/>
      <c r="S2876" s="100"/>
      <c r="T2876" s="100"/>
      <c r="U2876" s="100"/>
      <c r="V2876" s="100"/>
      <c r="W2876" s="100"/>
      <c r="X2876" s="100"/>
      <c r="Y2876" s="100"/>
      <c r="Z2876" s="100"/>
    </row>
    <row r="2877" spans="1:26">
      <c r="A2877" s="100" t="e">
        <f ca="1">IFERROR(__xludf.DUMMYFUNCTION("""COMPUTED_VALUE"""),58786212)</f>
        <v>#NAME?</v>
      </c>
      <c r="B2877" s="100" t="e">
        <f ca="1">IFERROR(__xludf.DUMMYFUNCTION("""COMPUTED_VALUE"""),"BIOTRY")</f>
        <v>#NAME?</v>
      </c>
      <c r="C2877" s="100" t="e">
        <f ca="1">IFERROR(__xludf.DUMMYFUNCTION("""COMPUTED_VALUE"""),"2.06000000")</f>
        <v>#NAME?</v>
      </c>
      <c r="D2877" s="100" t="e">
        <f t="shared" ca="1" si="463"/>
        <v>#NAME?</v>
      </c>
      <c r="E2877" s="100" t="e">
        <f t="shared" ca="1" si="463"/>
        <v>#NAME?</v>
      </c>
      <c r="F2877" s="100" t="e">
        <f t="shared" ca="1" si="456"/>
        <v>#NAME?</v>
      </c>
      <c r="G2877" s="100" t="e">
        <f t="shared" ca="1" si="457"/>
        <v>#NAME?</v>
      </c>
      <c r="H2877" s="100" t="e">
        <f t="shared" ca="1" si="458"/>
        <v>#NAME?</v>
      </c>
      <c r="I2877" s="100" t="e">
        <f t="shared" ca="1" si="459"/>
        <v>#NAME?</v>
      </c>
      <c r="J2877" s="100" t="e">
        <f ca="1">IFERROR(__xludf.DUMMYFUNCTION("""COMPUTED_VALUE"""),"-0.531")</f>
        <v>#NAME?</v>
      </c>
      <c r="K2877" s="100" t="e">
        <f t="shared" ca="1" si="460"/>
        <v>#NAME?</v>
      </c>
      <c r="L2877" s="100"/>
      <c r="M2877" s="100"/>
      <c r="N2877" s="100"/>
      <c r="O2877" s="100"/>
      <c r="P2877" s="100"/>
      <c r="Q2877" s="100"/>
      <c r="R2877" s="100"/>
      <c r="S2877" s="100"/>
      <c r="T2877" s="100"/>
      <c r="U2877" s="100"/>
      <c r="V2877" s="100"/>
      <c r="W2877" s="100"/>
      <c r="X2877" s="100"/>
      <c r="Y2877" s="100"/>
      <c r="Z2877" s="100"/>
    </row>
    <row r="2878" spans="1:26">
      <c r="A2878" s="100" t="e">
        <f ca="1">IFERROR(__xludf.DUMMYFUNCTION("""COMPUTED_VALUE"""),58786213)</f>
        <v>#NAME?</v>
      </c>
      <c r="B2878" s="100" t="e">
        <f ca="1">IFERROR(__xludf.DUMMYFUNCTION("""COMPUTED_VALUE"""),"BIOUSDC")</f>
        <v>#NAME?</v>
      </c>
      <c r="C2878" s="100" t="e">
        <f ca="1">IFERROR(__xludf.DUMMYFUNCTION("""COMPUTED_VALUE"""),"0.05380000")</f>
        <v>#NAME?</v>
      </c>
      <c r="D2878" s="100" t="e">
        <f t="shared" ca="1" si="463"/>
        <v>#NAME?</v>
      </c>
      <c r="E2878" s="100" t="e">
        <f t="shared" ca="1" si="463"/>
        <v>#NAME?</v>
      </c>
      <c r="F2878" s="100" t="e">
        <f t="shared" ca="1" si="456"/>
        <v>#NAME?</v>
      </c>
      <c r="G2878" s="100" t="e">
        <f t="shared" ca="1" si="457"/>
        <v>#NAME?</v>
      </c>
      <c r="H2878" s="100" t="e">
        <f t="shared" ca="1" si="458"/>
        <v>#NAME?</v>
      </c>
      <c r="I2878" s="100" t="e">
        <f t="shared" ca="1" si="459"/>
        <v>#NAME?</v>
      </c>
      <c r="J2878" s="100" t="e">
        <f ca="1">IFERROR(__xludf.DUMMYFUNCTION("""COMPUTED_VALUE"""),"-0.555")</f>
        <v>#NAME?</v>
      </c>
      <c r="K2878" s="100" t="e">
        <f t="shared" ca="1" si="460"/>
        <v>#NAME?</v>
      </c>
      <c r="L2878" s="100"/>
      <c r="M2878" s="100"/>
      <c r="N2878" s="100"/>
      <c r="O2878" s="100"/>
      <c r="P2878" s="100"/>
      <c r="Q2878" s="100"/>
      <c r="R2878" s="100"/>
      <c r="S2878" s="100"/>
      <c r="T2878" s="100"/>
      <c r="U2878" s="100"/>
      <c r="V2878" s="100"/>
      <c r="W2878" s="100"/>
      <c r="X2878" s="100"/>
      <c r="Y2878" s="100"/>
      <c r="Z2878" s="100"/>
    </row>
    <row r="2879" spans="1:26">
      <c r="A2879" s="100" t="e">
        <f ca="1">IFERROR(__xludf.DUMMYFUNCTION("""COMPUTED_VALUE"""),58786214)</f>
        <v>#NAME?</v>
      </c>
      <c r="B2879" s="100" t="e">
        <f ca="1">IFERROR(__xludf.DUMMYFUNCTION("""COMPUTED_VALUE"""),"HIVETRY")</f>
        <v>#NAME?</v>
      </c>
      <c r="C2879" s="100" t="e">
        <f ca="1">IFERROR(__xludf.DUMMYFUNCTION("""COMPUTED_VALUE"""),"9.00000000")</f>
        <v>#NAME?</v>
      </c>
      <c r="D2879" s="100" t="e">
        <f t="shared" ca="1" si="463"/>
        <v>#NAME?</v>
      </c>
      <c r="E2879" s="100" t="e">
        <f t="shared" ca="1" si="463"/>
        <v>#NAME?</v>
      </c>
      <c r="F2879" s="100" t="e">
        <f t="shared" ca="1" si="456"/>
        <v>#NAME?</v>
      </c>
      <c r="G2879" s="100" t="e">
        <f t="shared" ca="1" si="457"/>
        <v>#NAME?</v>
      </c>
      <c r="H2879" s="100" t="e">
        <f t="shared" ca="1" si="458"/>
        <v>#NAME?</v>
      </c>
      <c r="I2879" s="100" t="e">
        <f t="shared" ca="1" si="459"/>
        <v>#NAME?</v>
      </c>
      <c r="J2879" s="100" t="e">
        <f ca="1">IFERROR(__xludf.DUMMYFUNCTION("""COMPUTED_VALUE"""),"-3.226")</f>
        <v>#NAME?</v>
      </c>
      <c r="K2879" s="100" t="e">
        <f t="shared" ca="1" si="460"/>
        <v>#NAME?</v>
      </c>
      <c r="L2879" s="100"/>
      <c r="M2879" s="100"/>
      <c r="N2879" s="100"/>
      <c r="O2879" s="100"/>
      <c r="P2879" s="100"/>
      <c r="Q2879" s="100"/>
      <c r="R2879" s="100"/>
      <c r="S2879" s="100"/>
      <c r="T2879" s="100"/>
      <c r="U2879" s="100"/>
      <c r="V2879" s="100"/>
      <c r="W2879" s="100"/>
      <c r="X2879" s="100"/>
      <c r="Y2879" s="100"/>
      <c r="Z2879" s="100"/>
    </row>
    <row r="2880" spans="1:26">
      <c r="A2880" s="100" t="e">
        <f ca="1">IFERROR(__xludf.DUMMYFUNCTION("""COMPUTED_VALUE"""),58786215)</f>
        <v>#NAME?</v>
      </c>
      <c r="B2880" s="100" t="e">
        <f ca="1">IFERROR(__xludf.DUMMYFUNCTION("""COMPUTED_VALUE"""),"MOVEUSDC")</f>
        <v>#NAME?</v>
      </c>
      <c r="C2880" s="100" t="e">
        <f ca="1">IFERROR(__xludf.DUMMYFUNCTION("""COMPUTED_VALUE"""),"0.22440000")</f>
        <v>#NAME?</v>
      </c>
      <c r="D2880" s="100" t="e">
        <f t="shared" ca="1" si="463"/>
        <v>#NAME?</v>
      </c>
      <c r="E2880" s="100" t="e">
        <f t="shared" ca="1" si="463"/>
        <v>#NAME?</v>
      </c>
      <c r="F2880" s="100" t="e">
        <f t="shared" ca="1" si="456"/>
        <v>#NAME?</v>
      </c>
      <c r="G2880" s="100" t="e">
        <f t="shared" ca="1" si="457"/>
        <v>#NAME?</v>
      </c>
      <c r="H2880" s="100" t="e">
        <f t="shared" ca="1" si="458"/>
        <v>#NAME?</v>
      </c>
      <c r="I2880" s="100" t="e">
        <f t="shared" ca="1" si="459"/>
        <v>#NAME?</v>
      </c>
      <c r="J2880" s="100" t="e">
        <f ca="1">IFERROR(__xludf.DUMMYFUNCTION("""COMPUTED_VALUE"""),"-4.348")</f>
        <v>#NAME?</v>
      </c>
      <c r="K2880" s="100" t="e">
        <f t="shared" ca="1" si="460"/>
        <v>#NAME?</v>
      </c>
      <c r="L2880" s="100"/>
      <c r="M2880" s="100"/>
      <c r="N2880" s="100"/>
      <c r="O2880" s="100"/>
      <c r="P2880" s="100"/>
      <c r="Q2880" s="100"/>
      <c r="R2880" s="100"/>
      <c r="S2880" s="100"/>
      <c r="T2880" s="100"/>
      <c r="U2880" s="100"/>
      <c r="V2880" s="100"/>
      <c r="W2880" s="100"/>
      <c r="X2880" s="100"/>
      <c r="Y2880" s="100"/>
      <c r="Z2880" s="100"/>
    </row>
    <row r="2881" spans="1:26">
      <c r="A2881" s="100" t="e">
        <f ca="1">IFERROR(__xludf.DUMMYFUNCTION("""COMPUTED_VALUE"""),58786216)</f>
        <v>#NAME?</v>
      </c>
      <c r="B2881" s="100" t="e">
        <f ca="1">IFERROR(__xludf.DUMMYFUNCTION("""COMPUTED_VALUE"""),"PHATRY")</f>
        <v>#NAME?</v>
      </c>
      <c r="C2881" s="100" t="e">
        <f ca="1">IFERROR(__xludf.DUMMYFUNCTION("""COMPUTED_VALUE"""),"3.79000000")</f>
        <v>#NAME?</v>
      </c>
      <c r="D2881" s="100" t="e">
        <f t="shared" ca="1" si="463"/>
        <v>#NAME?</v>
      </c>
      <c r="E2881" s="100" t="e">
        <f t="shared" ca="1" si="463"/>
        <v>#NAME?</v>
      </c>
      <c r="F2881" s="100" t="e">
        <f t="shared" ca="1" si="456"/>
        <v>#NAME?</v>
      </c>
      <c r="G2881" s="100" t="e">
        <f t="shared" ca="1" si="457"/>
        <v>#NAME?</v>
      </c>
      <c r="H2881" s="100" t="e">
        <f t="shared" ca="1" si="458"/>
        <v>#NAME?</v>
      </c>
      <c r="I2881" s="100" t="e">
        <f t="shared" ca="1" si="459"/>
        <v>#NAME?</v>
      </c>
      <c r="J2881" s="100" t="e">
        <f ca="1">IFERROR(__xludf.DUMMYFUNCTION("""COMPUTED_VALUE"""),"-4.051")</f>
        <v>#NAME?</v>
      </c>
      <c r="K2881" s="100" t="e">
        <f t="shared" ca="1" si="460"/>
        <v>#NAME?</v>
      </c>
      <c r="L2881" s="100"/>
      <c r="M2881" s="100"/>
      <c r="N2881" s="100"/>
      <c r="O2881" s="100"/>
      <c r="P2881" s="100"/>
      <c r="Q2881" s="100"/>
      <c r="R2881" s="100"/>
      <c r="S2881" s="100"/>
      <c r="T2881" s="100"/>
      <c r="U2881" s="100"/>
      <c r="V2881" s="100"/>
      <c r="W2881" s="100"/>
      <c r="X2881" s="100"/>
      <c r="Y2881" s="100"/>
      <c r="Z2881" s="100"/>
    </row>
    <row r="2882" spans="1:26">
      <c r="A2882" s="100" t="e">
        <f ca="1">IFERROR(__xludf.DUMMYFUNCTION("""COMPUTED_VALUE"""),58786217)</f>
        <v>#NAME?</v>
      </c>
      <c r="B2882" s="100" t="e">
        <f ca="1">IFERROR(__xludf.DUMMYFUNCTION("""COMPUTED_VALUE"""),"SUSHITRY")</f>
        <v>#NAME?</v>
      </c>
      <c r="C2882" s="100" t="e">
        <f ca="1">IFERROR(__xludf.DUMMYFUNCTION("""COMPUTED_VALUE"""),"23.04000000")</f>
        <v>#NAME?</v>
      </c>
      <c r="D2882" s="100" t="e">
        <f t="shared" ref="D2882:E2901" ca="1" si="464">IFERROR(__xludf.DUMMYFUNCTION("""COMPUTED_VALUE"""),"-")</f>
        <v>#NAME?</v>
      </c>
      <c r="E2882" s="100" t="e">
        <f t="shared" ca="1" si="464"/>
        <v>#NAME?</v>
      </c>
      <c r="F2882" s="100" t="e">
        <f t="shared" ref="F2882:F2945" ca="1" si="465">IFERROR(__xludf.DUMMYFUNCTION("""COMPUTED_VALUE"""),20200)</f>
        <v>#NAME?</v>
      </c>
      <c r="G2882" s="100" t="e">
        <f t="shared" ref="G2882:G2945" ca="1" si="466">IFERROR(__xludf.DUMMYFUNCTION("""COMPUTED_VALUE"""),2885)</f>
        <v>#NAME?</v>
      </c>
      <c r="H2882" s="100" t="e">
        <f t="shared" ref="H2882:H2945" ca="1" si="467">IFERROR(__xludf.DUMMYFUNCTION("""COMPUTED_VALUE"""),663)</f>
        <v>#NAME?</v>
      </c>
      <c r="I2882" s="100" t="e">
        <f t="shared" ref="I2882:I2945" ca="1" si="468">IFERROR(__xludf.DUMMYFUNCTION("""COMPUTED_VALUE"""),5817721)</f>
        <v>#NAME?</v>
      </c>
      <c r="J2882" s="100" t="e">
        <f ca="1">IFERROR(__xludf.DUMMYFUNCTION("""COMPUTED_VALUE"""),"-0.346")</f>
        <v>#NAME?</v>
      </c>
      <c r="K2882" s="100" t="e">
        <f t="shared" ref="K2882:K2945" ca="1" si="469">IFERROR(__xludf.DUMMYFUNCTION("""COMPUTED_VALUE"""),"22.04.2025 13:05:01")</f>
        <v>#NAME?</v>
      </c>
      <c r="L2882" s="100"/>
      <c r="M2882" s="100"/>
      <c r="N2882" s="100"/>
      <c r="O2882" s="100"/>
      <c r="P2882" s="100"/>
      <c r="Q2882" s="100"/>
      <c r="R2882" s="100"/>
      <c r="S2882" s="100"/>
      <c r="T2882" s="100"/>
      <c r="U2882" s="100"/>
      <c r="V2882" s="100"/>
      <c r="W2882" s="100"/>
      <c r="X2882" s="100"/>
      <c r="Y2882" s="100"/>
      <c r="Z2882" s="100"/>
    </row>
    <row r="2883" spans="1:26">
      <c r="A2883" s="100" t="e">
        <f ca="1">IFERROR(__xludf.DUMMYFUNCTION("""COMPUTED_VALUE"""),58786218)</f>
        <v>#NAME?</v>
      </c>
      <c r="B2883" s="100" t="e">
        <f ca="1">IFERROR(__xludf.DUMMYFUNCTION("""COMPUTED_VALUE"""),"DUSDT")</f>
        <v>#NAME?</v>
      </c>
      <c r="C2883" s="100" t="e">
        <f ca="1">IFERROR(__xludf.DUMMYFUNCTION("""COMPUTED_VALUE"""),"0.04507000")</f>
        <v>#NAME?</v>
      </c>
      <c r="D2883" s="100" t="e">
        <f t="shared" ca="1" si="464"/>
        <v>#NAME?</v>
      </c>
      <c r="E2883" s="100" t="e">
        <f t="shared" ca="1" si="464"/>
        <v>#NAME?</v>
      </c>
      <c r="F2883" s="100" t="e">
        <f t="shared" ca="1" si="465"/>
        <v>#NAME?</v>
      </c>
      <c r="G2883" s="100" t="e">
        <f t="shared" ca="1" si="466"/>
        <v>#NAME?</v>
      </c>
      <c r="H2883" s="100" t="e">
        <f t="shared" ca="1" si="467"/>
        <v>#NAME?</v>
      </c>
      <c r="I2883" s="100" t="e">
        <f t="shared" ca="1" si="468"/>
        <v>#NAME?</v>
      </c>
      <c r="J2883" s="100" t="e">
        <f ca="1">IFERROR(__xludf.DUMMYFUNCTION("""COMPUTED_VALUE"""),"5.211")</f>
        <v>#NAME?</v>
      </c>
      <c r="K2883" s="100" t="e">
        <f t="shared" ca="1" si="469"/>
        <v>#NAME?</v>
      </c>
      <c r="L2883" s="100"/>
      <c r="M2883" s="100"/>
      <c r="N2883" s="100"/>
      <c r="O2883" s="100"/>
      <c r="P2883" s="100"/>
      <c r="Q2883" s="100"/>
      <c r="R2883" s="100"/>
      <c r="S2883" s="100"/>
      <c r="T2883" s="100"/>
      <c r="U2883" s="100"/>
      <c r="V2883" s="100"/>
      <c r="W2883" s="100"/>
      <c r="X2883" s="100"/>
      <c r="Y2883" s="100"/>
      <c r="Z2883" s="100"/>
    </row>
    <row r="2884" spans="1:26">
      <c r="A2884" s="100" t="e">
        <f ca="1">IFERROR(__xludf.DUMMYFUNCTION("""COMPUTED_VALUE"""),58786219)</f>
        <v>#NAME?</v>
      </c>
      <c r="B2884" s="100" t="e">
        <f ca="1">IFERROR(__xludf.DUMMYFUNCTION("""COMPUTED_VALUE"""),"DTRY")</f>
        <v>#NAME?</v>
      </c>
      <c r="C2884" s="100" t="e">
        <f ca="1">IFERROR(__xludf.DUMMYFUNCTION("""COMPUTED_VALUE"""),"1.72000000")</f>
        <v>#NAME?</v>
      </c>
      <c r="D2884" s="100" t="e">
        <f t="shared" ca="1" si="464"/>
        <v>#NAME?</v>
      </c>
      <c r="E2884" s="100" t="e">
        <f t="shared" ca="1" si="464"/>
        <v>#NAME?</v>
      </c>
      <c r="F2884" s="100" t="e">
        <f t="shared" ca="1" si="465"/>
        <v>#NAME?</v>
      </c>
      <c r="G2884" s="100" t="e">
        <f t="shared" ca="1" si="466"/>
        <v>#NAME?</v>
      </c>
      <c r="H2884" s="100" t="e">
        <f t="shared" ca="1" si="467"/>
        <v>#NAME?</v>
      </c>
      <c r="I2884" s="100" t="e">
        <f t="shared" ca="1" si="468"/>
        <v>#NAME?</v>
      </c>
      <c r="J2884" s="100" t="e">
        <f ca="1">IFERROR(__xludf.DUMMYFUNCTION("""COMPUTED_VALUE"""),"5.006")</f>
        <v>#NAME?</v>
      </c>
      <c r="K2884" s="100" t="e">
        <f t="shared" ca="1" si="469"/>
        <v>#NAME?</v>
      </c>
      <c r="L2884" s="100"/>
      <c r="M2884" s="100"/>
      <c r="N2884" s="100"/>
      <c r="O2884" s="100"/>
      <c r="P2884" s="100"/>
      <c r="Q2884" s="100"/>
      <c r="R2884" s="100"/>
      <c r="S2884" s="100"/>
      <c r="T2884" s="100"/>
      <c r="U2884" s="100"/>
      <c r="V2884" s="100"/>
      <c r="W2884" s="100"/>
      <c r="X2884" s="100"/>
      <c r="Y2884" s="100"/>
      <c r="Z2884" s="100"/>
    </row>
    <row r="2885" spans="1:26">
      <c r="A2885" s="100" t="e">
        <f ca="1">IFERROR(__xludf.DUMMYFUNCTION("""COMPUTED_VALUE"""),58786220)</f>
        <v>#NAME?</v>
      </c>
      <c r="B2885" s="100" t="e">
        <f ca="1">IFERROR(__xludf.DUMMYFUNCTION("""COMPUTED_VALUE"""),"APTJPY")</f>
        <v>#NAME?</v>
      </c>
      <c r="C2885" s="100" t="e">
        <f ca="1">IFERROR(__xludf.DUMMYFUNCTION("""COMPUTED_VALUE"""),"683.30000000")</f>
        <v>#NAME?</v>
      </c>
      <c r="D2885" s="100" t="e">
        <f t="shared" ca="1" si="464"/>
        <v>#NAME?</v>
      </c>
      <c r="E2885" s="100" t="e">
        <f t="shared" ca="1" si="464"/>
        <v>#NAME?</v>
      </c>
      <c r="F2885" s="100" t="e">
        <f t="shared" ca="1" si="465"/>
        <v>#NAME?</v>
      </c>
      <c r="G2885" s="100" t="e">
        <f t="shared" ca="1" si="466"/>
        <v>#NAME?</v>
      </c>
      <c r="H2885" s="100" t="e">
        <f t="shared" ca="1" si="467"/>
        <v>#NAME?</v>
      </c>
      <c r="I2885" s="100" t="e">
        <f t="shared" ca="1" si="468"/>
        <v>#NAME?</v>
      </c>
      <c r="J2885" s="100" t="e">
        <f ca="1">IFERROR(__xludf.DUMMYFUNCTION("""COMPUTED_VALUE"""),"-6.384")</f>
        <v>#NAME?</v>
      </c>
      <c r="K2885" s="100" t="e">
        <f t="shared" ca="1" si="469"/>
        <v>#NAME?</v>
      </c>
      <c r="L2885" s="100"/>
      <c r="M2885" s="100"/>
      <c r="N2885" s="100"/>
      <c r="O2885" s="100"/>
      <c r="P2885" s="100"/>
      <c r="Q2885" s="100"/>
      <c r="R2885" s="100"/>
      <c r="S2885" s="100"/>
      <c r="T2885" s="100"/>
      <c r="U2885" s="100"/>
      <c r="V2885" s="100"/>
      <c r="W2885" s="100"/>
      <c r="X2885" s="100"/>
      <c r="Y2885" s="100"/>
      <c r="Z2885" s="100"/>
    </row>
    <row r="2886" spans="1:26">
      <c r="A2886" s="100" t="e">
        <f ca="1">IFERROR(__xludf.DUMMYFUNCTION("""COMPUTED_VALUE"""),58786221)</f>
        <v>#NAME?</v>
      </c>
      <c r="B2886" s="100" t="e">
        <f ca="1">IFERROR(__xludf.DUMMYFUNCTION("""COMPUTED_VALUE"""),"SUIJPY")</f>
        <v>#NAME?</v>
      </c>
      <c r="C2886" s="100" t="e">
        <f ca="1">IFERROR(__xludf.DUMMYFUNCTION("""COMPUTED_VALUE"""),"325.61000000")</f>
        <v>#NAME?</v>
      </c>
      <c r="D2886" s="100" t="e">
        <f t="shared" ca="1" si="464"/>
        <v>#NAME?</v>
      </c>
      <c r="E2886" s="100" t="e">
        <f t="shared" ca="1" si="464"/>
        <v>#NAME?</v>
      </c>
      <c r="F2886" s="100" t="e">
        <f t="shared" ca="1" si="465"/>
        <v>#NAME?</v>
      </c>
      <c r="G2886" s="100" t="e">
        <f t="shared" ca="1" si="466"/>
        <v>#NAME?</v>
      </c>
      <c r="H2886" s="100" t="e">
        <f t="shared" ca="1" si="467"/>
        <v>#NAME?</v>
      </c>
      <c r="I2886" s="100" t="e">
        <f t="shared" ca="1" si="468"/>
        <v>#NAME?</v>
      </c>
      <c r="J2886" s="100" t="e">
        <f ca="1">IFERROR(__xludf.DUMMYFUNCTION("""COMPUTED_VALUE"""),"1.979")</f>
        <v>#NAME?</v>
      </c>
      <c r="K2886" s="100" t="e">
        <f t="shared" ca="1" si="469"/>
        <v>#NAME?</v>
      </c>
      <c r="L2886" s="100"/>
      <c r="M2886" s="100"/>
      <c r="N2886" s="100"/>
      <c r="O2886" s="100"/>
      <c r="P2886" s="100"/>
      <c r="Q2886" s="100"/>
      <c r="R2886" s="100"/>
      <c r="S2886" s="100"/>
      <c r="T2886" s="100"/>
      <c r="U2886" s="100"/>
      <c r="V2886" s="100"/>
      <c r="W2886" s="100"/>
      <c r="X2886" s="100"/>
      <c r="Y2886" s="100"/>
      <c r="Z2886" s="100"/>
    </row>
    <row r="2887" spans="1:26">
      <c r="A2887" s="100" t="e">
        <f ca="1">IFERROR(__xludf.DUMMYFUNCTION("""COMPUTED_VALUE"""),58786222)</f>
        <v>#NAME?</v>
      </c>
      <c r="B2887" s="100" t="e">
        <f ca="1">IFERROR(__xludf.DUMMYFUNCTION("""COMPUTED_VALUE"""),"XLMJPY")</f>
        <v>#NAME?</v>
      </c>
      <c r="C2887" s="100" t="e">
        <f ca="1">IFERROR(__xludf.DUMMYFUNCTION("""COMPUTED_VALUE"""),"34.84000000")</f>
        <v>#NAME?</v>
      </c>
      <c r="D2887" s="100" t="e">
        <f t="shared" ca="1" si="464"/>
        <v>#NAME?</v>
      </c>
      <c r="E2887" s="100" t="e">
        <f t="shared" ca="1" si="464"/>
        <v>#NAME?</v>
      </c>
      <c r="F2887" s="100" t="e">
        <f t="shared" ca="1" si="465"/>
        <v>#NAME?</v>
      </c>
      <c r="G2887" s="100" t="e">
        <f t="shared" ca="1" si="466"/>
        <v>#NAME?</v>
      </c>
      <c r="H2887" s="100" t="e">
        <f t="shared" ca="1" si="467"/>
        <v>#NAME?</v>
      </c>
      <c r="I2887" s="100" t="e">
        <f t="shared" ca="1" si="468"/>
        <v>#NAME?</v>
      </c>
      <c r="J2887" s="100" t="e">
        <f ca="1">IFERROR(__xludf.DUMMYFUNCTION("""COMPUTED_VALUE"""),"-4.626")</f>
        <v>#NAME?</v>
      </c>
      <c r="K2887" s="100" t="e">
        <f t="shared" ca="1" si="469"/>
        <v>#NAME?</v>
      </c>
      <c r="L2887" s="100"/>
      <c r="M2887" s="100"/>
      <c r="N2887" s="100"/>
      <c r="O2887" s="100"/>
      <c r="P2887" s="100"/>
      <c r="Q2887" s="100"/>
      <c r="R2887" s="100"/>
      <c r="S2887" s="100"/>
      <c r="T2887" s="100"/>
      <c r="U2887" s="100"/>
      <c r="V2887" s="100"/>
      <c r="W2887" s="100"/>
      <c r="X2887" s="100"/>
      <c r="Y2887" s="100"/>
      <c r="Z2887" s="100"/>
    </row>
    <row r="2888" spans="1:26">
      <c r="A2888" s="100" t="e">
        <f ca="1">IFERROR(__xludf.DUMMYFUNCTION("""COMPUTED_VALUE"""),58786223)</f>
        <v>#NAME?</v>
      </c>
      <c r="B2888" s="100" t="e">
        <f ca="1">IFERROR(__xludf.DUMMYFUNCTION("""COMPUTED_VALUE"""),"PEPEJPY")</f>
        <v>#NAME?</v>
      </c>
      <c r="C2888" s="100" t="e">
        <f ca="1">IFERROR(__xludf.DUMMYFUNCTION("""COMPUTED_VALUE"""),"0.00114300")</f>
        <v>#NAME?</v>
      </c>
      <c r="D2888" s="100" t="e">
        <f t="shared" ca="1" si="464"/>
        <v>#NAME?</v>
      </c>
      <c r="E2888" s="100" t="e">
        <f t="shared" ca="1" si="464"/>
        <v>#NAME?</v>
      </c>
      <c r="F2888" s="100" t="e">
        <f t="shared" ca="1" si="465"/>
        <v>#NAME?</v>
      </c>
      <c r="G2888" s="100" t="e">
        <f t="shared" ca="1" si="466"/>
        <v>#NAME?</v>
      </c>
      <c r="H2888" s="100" t="e">
        <f t="shared" ca="1" si="467"/>
        <v>#NAME?</v>
      </c>
      <c r="I2888" s="100" t="e">
        <f t="shared" ca="1" si="468"/>
        <v>#NAME?</v>
      </c>
      <c r="J2888" s="100" t="e">
        <f ca="1">IFERROR(__xludf.DUMMYFUNCTION("""COMPUTED_VALUE"""),"3.345")</f>
        <v>#NAME?</v>
      </c>
      <c r="K2888" s="100" t="e">
        <f t="shared" ca="1" si="469"/>
        <v>#NAME?</v>
      </c>
      <c r="L2888" s="100"/>
      <c r="M2888" s="100"/>
      <c r="N2888" s="100"/>
      <c r="O2888" s="100"/>
      <c r="P2888" s="100"/>
      <c r="Q2888" s="100"/>
      <c r="R2888" s="100"/>
      <c r="S2888" s="100"/>
      <c r="T2888" s="100"/>
      <c r="U2888" s="100"/>
      <c r="V2888" s="100"/>
      <c r="W2888" s="100"/>
      <c r="X2888" s="100"/>
      <c r="Y2888" s="100"/>
      <c r="Z2888" s="100"/>
    </row>
    <row r="2889" spans="1:26">
      <c r="A2889" s="100" t="e">
        <f ca="1">IFERROR(__xludf.DUMMYFUNCTION("""COMPUTED_VALUE"""),58786224)</f>
        <v>#NAME?</v>
      </c>
      <c r="B2889" s="100" t="e">
        <f ca="1">IFERROR(__xludf.DUMMYFUNCTION("""COMPUTED_VALUE"""),"PHAUSDC")</f>
        <v>#NAME?</v>
      </c>
      <c r="C2889" s="100" t="e">
        <f ca="1">IFERROR(__xludf.DUMMYFUNCTION("""COMPUTED_VALUE"""),"0.09900000")</f>
        <v>#NAME?</v>
      </c>
      <c r="D2889" s="100" t="e">
        <f t="shared" ca="1" si="464"/>
        <v>#NAME?</v>
      </c>
      <c r="E2889" s="100" t="e">
        <f t="shared" ca="1" si="464"/>
        <v>#NAME?</v>
      </c>
      <c r="F2889" s="100" t="e">
        <f t="shared" ca="1" si="465"/>
        <v>#NAME?</v>
      </c>
      <c r="G2889" s="100" t="e">
        <f t="shared" ca="1" si="466"/>
        <v>#NAME?</v>
      </c>
      <c r="H2889" s="100" t="e">
        <f t="shared" ca="1" si="467"/>
        <v>#NAME?</v>
      </c>
      <c r="I2889" s="100" t="e">
        <f t="shared" ca="1" si="468"/>
        <v>#NAME?</v>
      </c>
      <c r="J2889" s="100" t="e">
        <f ca="1">IFERROR(__xludf.DUMMYFUNCTION("""COMPUTED_VALUE"""),"-4.255")</f>
        <v>#NAME?</v>
      </c>
      <c r="K2889" s="100" t="e">
        <f t="shared" ca="1" si="469"/>
        <v>#NAME?</v>
      </c>
      <c r="L2889" s="100"/>
      <c r="M2889" s="100"/>
      <c r="N2889" s="100"/>
      <c r="O2889" s="100"/>
      <c r="P2889" s="100"/>
      <c r="Q2889" s="100"/>
      <c r="R2889" s="100"/>
      <c r="S2889" s="100"/>
      <c r="T2889" s="100"/>
      <c r="U2889" s="100"/>
      <c r="V2889" s="100"/>
      <c r="W2889" s="100"/>
      <c r="X2889" s="100"/>
      <c r="Y2889" s="100"/>
      <c r="Z2889" s="100"/>
    </row>
    <row r="2890" spans="1:26">
      <c r="A2890" s="100" t="e">
        <f ca="1">IFERROR(__xludf.DUMMYFUNCTION("""COMPUTED_VALUE"""),58786225)</f>
        <v>#NAME?</v>
      </c>
      <c r="B2890" s="100" t="e">
        <f ca="1">IFERROR(__xludf.DUMMYFUNCTION("""COMPUTED_VALUE"""),"USDCPLN")</f>
        <v>#NAME?</v>
      </c>
      <c r="C2890" s="100" t="e">
        <f ca="1">IFERROR(__xludf.DUMMYFUNCTION("""COMPUTED_VALUE"""),"3.72800000")</f>
        <v>#NAME?</v>
      </c>
      <c r="D2890" s="100" t="e">
        <f t="shared" ca="1" si="464"/>
        <v>#NAME?</v>
      </c>
      <c r="E2890" s="100" t="e">
        <f t="shared" ca="1" si="464"/>
        <v>#NAME?</v>
      </c>
      <c r="F2890" s="100" t="e">
        <f t="shared" ca="1" si="465"/>
        <v>#NAME?</v>
      </c>
      <c r="G2890" s="100" t="e">
        <f t="shared" ca="1" si="466"/>
        <v>#NAME?</v>
      </c>
      <c r="H2890" s="100" t="e">
        <f t="shared" ca="1" si="467"/>
        <v>#NAME?</v>
      </c>
      <c r="I2890" s="100" t="e">
        <f t="shared" ca="1" si="468"/>
        <v>#NAME?</v>
      </c>
      <c r="J2890" s="100" t="e">
        <f ca="1">IFERROR(__xludf.DUMMYFUNCTION("""COMPUTED_VALUE"""),"0.296")</f>
        <v>#NAME?</v>
      </c>
      <c r="K2890" s="100" t="e">
        <f t="shared" ca="1" si="469"/>
        <v>#NAME?</v>
      </c>
      <c r="L2890" s="100"/>
      <c r="M2890" s="100"/>
      <c r="N2890" s="100"/>
      <c r="O2890" s="100"/>
      <c r="P2890" s="100"/>
      <c r="Q2890" s="100"/>
      <c r="R2890" s="100"/>
      <c r="S2890" s="100"/>
      <c r="T2890" s="100"/>
      <c r="U2890" s="100"/>
      <c r="V2890" s="100"/>
      <c r="W2890" s="100"/>
      <c r="X2890" s="100"/>
      <c r="Y2890" s="100"/>
      <c r="Z2890" s="100"/>
    </row>
    <row r="2891" spans="1:26">
      <c r="A2891" s="100" t="e">
        <f ca="1">IFERROR(__xludf.DUMMYFUNCTION("""COMPUTED_VALUE"""),58786226)</f>
        <v>#NAME?</v>
      </c>
      <c r="B2891" s="100" t="e">
        <f ca="1">IFERROR(__xludf.DUMMYFUNCTION("""COMPUTED_VALUE"""),"STEEMUSDC")</f>
        <v>#NAME?</v>
      </c>
      <c r="C2891" s="100" t="e">
        <f ca="1">IFERROR(__xludf.DUMMYFUNCTION("""COMPUTED_VALUE"""),"0.14170000")</f>
        <v>#NAME?</v>
      </c>
      <c r="D2891" s="100" t="e">
        <f t="shared" ca="1" si="464"/>
        <v>#NAME?</v>
      </c>
      <c r="E2891" s="100" t="e">
        <f t="shared" ca="1" si="464"/>
        <v>#NAME?</v>
      </c>
      <c r="F2891" s="100" t="e">
        <f t="shared" ca="1" si="465"/>
        <v>#NAME?</v>
      </c>
      <c r="G2891" s="100" t="e">
        <f t="shared" ca="1" si="466"/>
        <v>#NAME?</v>
      </c>
      <c r="H2891" s="100" t="e">
        <f t="shared" ca="1" si="467"/>
        <v>#NAME?</v>
      </c>
      <c r="I2891" s="100" t="e">
        <f t="shared" ca="1" si="468"/>
        <v>#NAME?</v>
      </c>
      <c r="J2891" s="100" t="e">
        <f ca="1">IFERROR(__xludf.DUMMYFUNCTION("""COMPUTED_VALUE"""),"-3.342")</f>
        <v>#NAME?</v>
      </c>
      <c r="K2891" s="100" t="e">
        <f t="shared" ca="1" si="469"/>
        <v>#NAME?</v>
      </c>
      <c r="L2891" s="100"/>
      <c r="M2891" s="100"/>
      <c r="N2891" s="100"/>
      <c r="O2891" s="100"/>
      <c r="P2891" s="100"/>
      <c r="Q2891" s="100"/>
      <c r="R2891" s="100"/>
      <c r="S2891" s="100"/>
      <c r="T2891" s="100"/>
      <c r="U2891" s="100"/>
      <c r="V2891" s="100"/>
      <c r="W2891" s="100"/>
      <c r="X2891" s="100"/>
      <c r="Y2891" s="100"/>
      <c r="Z2891" s="100"/>
    </row>
    <row r="2892" spans="1:26">
      <c r="A2892" s="100" t="e">
        <f ca="1">IFERROR(__xludf.DUMMYFUNCTION("""COMPUTED_VALUE"""),58786227)</f>
        <v>#NAME?</v>
      </c>
      <c r="B2892" s="100" t="e">
        <f ca="1">IFERROR(__xludf.DUMMYFUNCTION("""COMPUTED_VALUE"""),"USUALUSDC")</f>
        <v>#NAME?</v>
      </c>
      <c r="C2892" s="100" t="e">
        <f ca="1">IFERROR(__xludf.DUMMYFUNCTION("""COMPUTED_VALUE"""),"0.13150000")</f>
        <v>#NAME?</v>
      </c>
      <c r="D2892" s="100" t="e">
        <f t="shared" ca="1" si="464"/>
        <v>#NAME?</v>
      </c>
      <c r="E2892" s="100" t="e">
        <f t="shared" ca="1" si="464"/>
        <v>#NAME?</v>
      </c>
      <c r="F2892" s="100" t="e">
        <f t="shared" ca="1" si="465"/>
        <v>#NAME?</v>
      </c>
      <c r="G2892" s="100" t="e">
        <f t="shared" ca="1" si="466"/>
        <v>#NAME?</v>
      </c>
      <c r="H2892" s="100" t="e">
        <f t="shared" ca="1" si="467"/>
        <v>#NAME?</v>
      </c>
      <c r="I2892" s="100" t="e">
        <f t="shared" ca="1" si="468"/>
        <v>#NAME?</v>
      </c>
      <c r="J2892" s="100" t="e">
        <f ca="1">IFERROR(__xludf.DUMMYFUNCTION("""COMPUTED_VALUE"""),"1.544")</f>
        <v>#NAME?</v>
      </c>
      <c r="K2892" s="100" t="e">
        <f t="shared" ca="1" si="469"/>
        <v>#NAME?</v>
      </c>
      <c r="L2892" s="100"/>
      <c r="M2892" s="100"/>
      <c r="N2892" s="100"/>
      <c r="O2892" s="100"/>
      <c r="P2892" s="100"/>
      <c r="Q2892" s="100"/>
      <c r="R2892" s="100"/>
      <c r="S2892" s="100"/>
      <c r="T2892" s="100"/>
      <c r="U2892" s="100"/>
      <c r="V2892" s="100"/>
      <c r="W2892" s="100"/>
      <c r="X2892" s="100"/>
      <c r="Y2892" s="100"/>
      <c r="Z2892" s="100"/>
    </row>
    <row r="2893" spans="1:26">
      <c r="A2893" s="100" t="e">
        <f ca="1">IFERROR(__xludf.DUMMYFUNCTION("""COMPUTED_VALUE"""),58786228)</f>
        <v>#NAME?</v>
      </c>
      <c r="B2893" s="100" t="e">
        <f ca="1">IFERROR(__xludf.DUMMYFUNCTION("""COMPUTED_VALUE"""),"AIXBTUSDT")</f>
        <v>#NAME?</v>
      </c>
      <c r="C2893" s="100" t="e">
        <f ca="1">IFERROR(__xludf.DUMMYFUNCTION("""COMPUTED_VALUE"""),"0.08470000")</f>
        <v>#NAME?</v>
      </c>
      <c r="D2893" s="100" t="e">
        <f t="shared" ca="1" si="464"/>
        <v>#NAME?</v>
      </c>
      <c r="E2893" s="100" t="e">
        <f t="shared" ca="1" si="464"/>
        <v>#NAME?</v>
      </c>
      <c r="F2893" s="100" t="e">
        <f t="shared" ca="1" si="465"/>
        <v>#NAME?</v>
      </c>
      <c r="G2893" s="100" t="e">
        <f t="shared" ca="1" si="466"/>
        <v>#NAME?</v>
      </c>
      <c r="H2893" s="100" t="e">
        <f t="shared" ca="1" si="467"/>
        <v>#NAME?</v>
      </c>
      <c r="I2893" s="100" t="e">
        <f t="shared" ca="1" si="468"/>
        <v>#NAME?</v>
      </c>
      <c r="J2893" s="100" t="e">
        <f ca="1">IFERROR(__xludf.DUMMYFUNCTION("""COMPUTED_VALUE"""),"-0.587")</f>
        <v>#NAME?</v>
      </c>
      <c r="K2893" s="100" t="e">
        <f t="shared" ca="1" si="469"/>
        <v>#NAME?</v>
      </c>
      <c r="L2893" s="100"/>
      <c r="M2893" s="100"/>
      <c r="N2893" s="100"/>
      <c r="O2893" s="100"/>
      <c r="P2893" s="100"/>
      <c r="Q2893" s="100"/>
      <c r="R2893" s="100"/>
      <c r="S2893" s="100"/>
      <c r="T2893" s="100"/>
      <c r="U2893" s="100"/>
      <c r="V2893" s="100"/>
      <c r="W2893" s="100"/>
      <c r="X2893" s="100"/>
      <c r="Y2893" s="100"/>
      <c r="Z2893" s="100"/>
    </row>
    <row r="2894" spans="1:26">
      <c r="A2894" s="100" t="e">
        <f ca="1">IFERROR(__xludf.DUMMYFUNCTION("""COMPUTED_VALUE"""),58786229)</f>
        <v>#NAME?</v>
      </c>
      <c r="B2894" s="100" t="e">
        <f ca="1">IFERROR(__xludf.DUMMYFUNCTION("""COMPUTED_VALUE"""),"AIXBTUSDC")</f>
        <v>#NAME?</v>
      </c>
      <c r="C2894" s="100" t="e">
        <f ca="1">IFERROR(__xludf.DUMMYFUNCTION("""COMPUTED_VALUE"""),"0.08470000")</f>
        <v>#NAME?</v>
      </c>
      <c r="D2894" s="100" t="e">
        <f t="shared" ca="1" si="464"/>
        <v>#NAME?</v>
      </c>
      <c r="E2894" s="100" t="e">
        <f t="shared" ca="1" si="464"/>
        <v>#NAME?</v>
      </c>
      <c r="F2894" s="100" t="e">
        <f t="shared" ca="1" si="465"/>
        <v>#NAME?</v>
      </c>
      <c r="G2894" s="100" t="e">
        <f t="shared" ca="1" si="466"/>
        <v>#NAME?</v>
      </c>
      <c r="H2894" s="100" t="e">
        <f t="shared" ca="1" si="467"/>
        <v>#NAME?</v>
      </c>
      <c r="I2894" s="100" t="e">
        <f t="shared" ca="1" si="468"/>
        <v>#NAME?</v>
      </c>
      <c r="J2894" s="100" t="e">
        <f ca="1">IFERROR(__xludf.DUMMYFUNCTION("""COMPUTED_VALUE"""),"-0.587")</f>
        <v>#NAME?</v>
      </c>
      <c r="K2894" s="100" t="e">
        <f t="shared" ca="1" si="469"/>
        <v>#NAME?</v>
      </c>
      <c r="L2894" s="100"/>
      <c r="M2894" s="100"/>
      <c r="N2894" s="100"/>
      <c r="O2894" s="100"/>
      <c r="P2894" s="100"/>
      <c r="Q2894" s="100"/>
      <c r="R2894" s="100"/>
      <c r="S2894" s="100"/>
      <c r="T2894" s="100"/>
      <c r="U2894" s="100"/>
      <c r="V2894" s="100"/>
      <c r="W2894" s="100"/>
      <c r="X2894" s="100"/>
      <c r="Y2894" s="100"/>
      <c r="Z2894" s="100"/>
    </row>
    <row r="2895" spans="1:26">
      <c r="A2895" s="100" t="e">
        <f ca="1">IFERROR(__xludf.DUMMYFUNCTION("""COMPUTED_VALUE"""),58786230)</f>
        <v>#NAME?</v>
      </c>
      <c r="B2895" s="100" t="e">
        <f ca="1">IFERROR(__xludf.DUMMYFUNCTION("""COMPUTED_VALUE"""),"CGPTUSDT")</f>
        <v>#NAME?</v>
      </c>
      <c r="C2895" s="100" t="e">
        <f ca="1">IFERROR(__xludf.DUMMYFUNCTION("""COMPUTED_VALUE"""),"0.08010000")</f>
        <v>#NAME?</v>
      </c>
      <c r="D2895" s="100" t="e">
        <f t="shared" ca="1" si="464"/>
        <v>#NAME?</v>
      </c>
      <c r="E2895" s="100" t="e">
        <f t="shared" ca="1" si="464"/>
        <v>#NAME?</v>
      </c>
      <c r="F2895" s="100" t="e">
        <f t="shared" ca="1" si="465"/>
        <v>#NAME?</v>
      </c>
      <c r="G2895" s="100" t="e">
        <f t="shared" ca="1" si="466"/>
        <v>#NAME?</v>
      </c>
      <c r="H2895" s="100" t="e">
        <f t="shared" ca="1" si="467"/>
        <v>#NAME?</v>
      </c>
      <c r="I2895" s="100" t="e">
        <f t="shared" ca="1" si="468"/>
        <v>#NAME?</v>
      </c>
      <c r="J2895" s="100" t="e">
        <f ca="1">IFERROR(__xludf.DUMMYFUNCTION("""COMPUTED_VALUE"""),"2.692")</f>
        <v>#NAME?</v>
      </c>
      <c r="K2895" s="100" t="e">
        <f t="shared" ca="1" si="469"/>
        <v>#NAME?</v>
      </c>
      <c r="L2895" s="100"/>
      <c r="M2895" s="100"/>
      <c r="N2895" s="100"/>
      <c r="O2895" s="100"/>
      <c r="P2895" s="100"/>
      <c r="Q2895" s="100"/>
      <c r="R2895" s="100"/>
      <c r="S2895" s="100"/>
      <c r="T2895" s="100"/>
      <c r="U2895" s="100"/>
      <c r="V2895" s="100"/>
      <c r="W2895" s="100"/>
      <c r="X2895" s="100"/>
      <c r="Y2895" s="100"/>
      <c r="Z2895" s="100"/>
    </row>
    <row r="2896" spans="1:26">
      <c r="A2896" s="100" t="e">
        <f ca="1">IFERROR(__xludf.DUMMYFUNCTION("""COMPUTED_VALUE"""),58786231)</f>
        <v>#NAME?</v>
      </c>
      <c r="B2896" s="100" t="e">
        <f ca="1">IFERROR(__xludf.DUMMYFUNCTION("""COMPUTED_VALUE"""),"CGPTUSDC")</f>
        <v>#NAME?</v>
      </c>
      <c r="C2896" s="100" t="e">
        <f ca="1">IFERROR(__xludf.DUMMYFUNCTION("""COMPUTED_VALUE"""),"0.08020000")</f>
        <v>#NAME?</v>
      </c>
      <c r="D2896" s="100" t="e">
        <f t="shared" ca="1" si="464"/>
        <v>#NAME?</v>
      </c>
      <c r="E2896" s="100" t="e">
        <f t="shared" ca="1" si="464"/>
        <v>#NAME?</v>
      </c>
      <c r="F2896" s="100" t="e">
        <f t="shared" ca="1" si="465"/>
        <v>#NAME?</v>
      </c>
      <c r="G2896" s="100" t="e">
        <f t="shared" ca="1" si="466"/>
        <v>#NAME?</v>
      </c>
      <c r="H2896" s="100" t="e">
        <f t="shared" ca="1" si="467"/>
        <v>#NAME?</v>
      </c>
      <c r="I2896" s="100" t="e">
        <f t="shared" ca="1" si="468"/>
        <v>#NAME?</v>
      </c>
      <c r="J2896" s="100" t="e">
        <f ca="1">IFERROR(__xludf.DUMMYFUNCTION("""COMPUTED_VALUE"""),"2.689")</f>
        <v>#NAME?</v>
      </c>
      <c r="K2896" s="100" t="e">
        <f t="shared" ca="1" si="469"/>
        <v>#NAME?</v>
      </c>
      <c r="L2896" s="100"/>
      <c r="M2896" s="100"/>
      <c r="N2896" s="100"/>
      <c r="O2896" s="100"/>
      <c r="P2896" s="100"/>
      <c r="Q2896" s="100"/>
      <c r="R2896" s="100"/>
      <c r="S2896" s="100"/>
      <c r="T2896" s="100"/>
      <c r="U2896" s="100"/>
      <c r="V2896" s="100"/>
      <c r="W2896" s="100"/>
      <c r="X2896" s="100"/>
      <c r="Y2896" s="100"/>
      <c r="Z2896" s="100"/>
    </row>
    <row r="2897" spans="1:26">
      <c r="A2897" s="100" t="e">
        <f ca="1">IFERROR(__xludf.DUMMYFUNCTION("""COMPUTED_VALUE"""),58786232)</f>
        <v>#NAME?</v>
      </c>
      <c r="B2897" s="100" t="e">
        <f ca="1">IFERROR(__xludf.DUMMYFUNCTION("""COMPUTED_VALUE"""),"COOKIEUSDT")</f>
        <v>#NAME?</v>
      </c>
      <c r="C2897" s="100" t="e">
        <f ca="1">IFERROR(__xludf.DUMMYFUNCTION("""COMPUTED_VALUE"""),"0.09980000")</f>
        <v>#NAME?</v>
      </c>
      <c r="D2897" s="100" t="e">
        <f t="shared" ca="1" si="464"/>
        <v>#NAME?</v>
      </c>
      <c r="E2897" s="100" t="e">
        <f t="shared" ca="1" si="464"/>
        <v>#NAME?</v>
      </c>
      <c r="F2897" s="100" t="e">
        <f t="shared" ca="1" si="465"/>
        <v>#NAME?</v>
      </c>
      <c r="G2897" s="100" t="e">
        <f t="shared" ca="1" si="466"/>
        <v>#NAME?</v>
      </c>
      <c r="H2897" s="100" t="e">
        <f t="shared" ca="1" si="467"/>
        <v>#NAME?</v>
      </c>
      <c r="I2897" s="100" t="e">
        <f t="shared" ca="1" si="468"/>
        <v>#NAME?</v>
      </c>
      <c r="J2897" s="100" t="e">
        <f ca="1">IFERROR(__xludf.DUMMYFUNCTION("""COMPUTED_VALUE"""),"-0.697")</f>
        <v>#NAME?</v>
      </c>
      <c r="K2897" s="100" t="e">
        <f t="shared" ca="1" si="469"/>
        <v>#NAME?</v>
      </c>
      <c r="L2897" s="100"/>
      <c r="M2897" s="100"/>
      <c r="N2897" s="100"/>
      <c r="O2897" s="100"/>
      <c r="P2897" s="100"/>
      <c r="Q2897" s="100"/>
      <c r="R2897" s="100"/>
      <c r="S2897" s="100"/>
      <c r="T2897" s="100"/>
      <c r="U2897" s="100"/>
      <c r="V2897" s="100"/>
      <c r="W2897" s="100"/>
      <c r="X2897" s="100"/>
      <c r="Y2897" s="100"/>
      <c r="Z2897" s="100"/>
    </row>
    <row r="2898" spans="1:26">
      <c r="A2898" s="100" t="e">
        <f ca="1">IFERROR(__xludf.DUMMYFUNCTION("""COMPUTED_VALUE"""),58786233)</f>
        <v>#NAME?</v>
      </c>
      <c r="B2898" s="100" t="e">
        <f ca="1">IFERROR(__xludf.DUMMYFUNCTION("""COMPUTED_VALUE"""),"COOKIEUSDC")</f>
        <v>#NAME?</v>
      </c>
      <c r="C2898" s="100" t="e">
        <f ca="1">IFERROR(__xludf.DUMMYFUNCTION("""COMPUTED_VALUE"""),"0.09990000")</f>
        <v>#NAME?</v>
      </c>
      <c r="D2898" s="100" t="e">
        <f t="shared" ca="1" si="464"/>
        <v>#NAME?</v>
      </c>
      <c r="E2898" s="100" t="e">
        <f t="shared" ca="1" si="464"/>
        <v>#NAME?</v>
      </c>
      <c r="F2898" s="100" t="e">
        <f t="shared" ca="1" si="465"/>
        <v>#NAME?</v>
      </c>
      <c r="G2898" s="100" t="e">
        <f t="shared" ca="1" si="466"/>
        <v>#NAME?</v>
      </c>
      <c r="H2898" s="100" t="e">
        <f t="shared" ca="1" si="467"/>
        <v>#NAME?</v>
      </c>
      <c r="I2898" s="100" t="e">
        <f t="shared" ca="1" si="468"/>
        <v>#NAME?</v>
      </c>
      <c r="J2898" s="100" t="e">
        <f ca="1">IFERROR(__xludf.DUMMYFUNCTION("""COMPUTED_VALUE"""),"-0.794")</f>
        <v>#NAME?</v>
      </c>
      <c r="K2898" s="100" t="e">
        <f t="shared" ca="1" si="469"/>
        <v>#NAME?</v>
      </c>
      <c r="L2898" s="100"/>
      <c r="M2898" s="100"/>
      <c r="N2898" s="100"/>
      <c r="O2898" s="100"/>
      <c r="P2898" s="100"/>
      <c r="Q2898" s="100"/>
      <c r="R2898" s="100"/>
      <c r="S2898" s="100"/>
      <c r="T2898" s="100"/>
      <c r="U2898" s="100"/>
      <c r="V2898" s="100"/>
      <c r="W2898" s="100"/>
      <c r="X2898" s="100"/>
      <c r="Y2898" s="100"/>
      <c r="Z2898" s="100"/>
    </row>
    <row r="2899" spans="1:26">
      <c r="A2899" s="100" t="e">
        <f ca="1">IFERROR(__xludf.DUMMYFUNCTION("""COMPUTED_VALUE"""),58786234)</f>
        <v>#NAME?</v>
      </c>
      <c r="B2899" s="100" t="e">
        <f ca="1">IFERROR(__xludf.DUMMYFUNCTION("""COMPUTED_VALUE"""),"SBTC")</f>
        <v>#NAME?</v>
      </c>
      <c r="C2899" s="100" t="e">
        <f ca="1">IFERROR(__xludf.DUMMYFUNCTION("""COMPUTED_VALUE"""),"0.00000541")</f>
        <v>#NAME?</v>
      </c>
      <c r="D2899" s="100" t="e">
        <f t="shared" ca="1" si="464"/>
        <v>#NAME?</v>
      </c>
      <c r="E2899" s="100" t="e">
        <f t="shared" ca="1" si="464"/>
        <v>#NAME?</v>
      </c>
      <c r="F2899" s="100" t="e">
        <f t="shared" ca="1" si="465"/>
        <v>#NAME?</v>
      </c>
      <c r="G2899" s="100" t="e">
        <f t="shared" ca="1" si="466"/>
        <v>#NAME?</v>
      </c>
      <c r="H2899" s="100" t="e">
        <f t="shared" ca="1" si="467"/>
        <v>#NAME?</v>
      </c>
      <c r="I2899" s="100" t="e">
        <f t="shared" ca="1" si="468"/>
        <v>#NAME?</v>
      </c>
      <c r="J2899" s="100" t="e">
        <f ca="1">IFERROR(__xludf.DUMMYFUNCTION("""COMPUTED_VALUE"""),"-2.873")</f>
        <v>#NAME?</v>
      </c>
      <c r="K2899" s="100" t="e">
        <f t="shared" ca="1" si="469"/>
        <v>#NAME?</v>
      </c>
      <c r="L2899" s="100"/>
      <c r="M2899" s="100"/>
      <c r="N2899" s="100"/>
      <c r="O2899" s="100"/>
      <c r="P2899" s="100"/>
      <c r="Q2899" s="100"/>
      <c r="R2899" s="100"/>
      <c r="S2899" s="100"/>
      <c r="T2899" s="100"/>
      <c r="U2899" s="100"/>
      <c r="V2899" s="100"/>
      <c r="W2899" s="100"/>
      <c r="X2899" s="100"/>
      <c r="Y2899" s="100"/>
      <c r="Z2899" s="100"/>
    </row>
    <row r="2900" spans="1:26">
      <c r="A2900" s="100" t="e">
        <f ca="1">IFERROR(__xludf.DUMMYFUNCTION("""COMPUTED_VALUE"""),58786235)</f>
        <v>#NAME?</v>
      </c>
      <c r="B2900" s="100" t="e">
        <f ca="1">IFERROR(__xludf.DUMMYFUNCTION("""COMPUTED_VALUE"""),"SBNB")</f>
        <v>#NAME?</v>
      </c>
      <c r="C2900" s="100" t="e">
        <f ca="1">IFERROR(__xludf.DUMMYFUNCTION("""COMPUTED_VALUE"""),"0.00078900")</f>
        <v>#NAME?</v>
      </c>
      <c r="D2900" s="100" t="e">
        <f t="shared" ca="1" si="464"/>
        <v>#NAME?</v>
      </c>
      <c r="E2900" s="100" t="e">
        <f t="shared" ca="1" si="464"/>
        <v>#NAME?</v>
      </c>
      <c r="F2900" s="100" t="e">
        <f t="shared" ca="1" si="465"/>
        <v>#NAME?</v>
      </c>
      <c r="G2900" s="100" t="e">
        <f t="shared" ca="1" si="466"/>
        <v>#NAME?</v>
      </c>
      <c r="H2900" s="100" t="e">
        <f t="shared" ca="1" si="467"/>
        <v>#NAME?</v>
      </c>
      <c r="I2900" s="100" t="e">
        <f t="shared" ca="1" si="468"/>
        <v>#NAME?</v>
      </c>
      <c r="J2900" s="100" t="e">
        <f ca="1">IFERROR(__xludf.DUMMYFUNCTION("""COMPUTED_VALUE"""),"-2.472")</f>
        <v>#NAME?</v>
      </c>
      <c r="K2900" s="100" t="e">
        <f t="shared" ca="1" si="469"/>
        <v>#NAME?</v>
      </c>
      <c r="L2900" s="100"/>
      <c r="M2900" s="100"/>
      <c r="N2900" s="100"/>
      <c r="O2900" s="100"/>
      <c r="P2900" s="100"/>
      <c r="Q2900" s="100"/>
      <c r="R2900" s="100"/>
      <c r="S2900" s="100"/>
      <c r="T2900" s="100"/>
      <c r="U2900" s="100"/>
      <c r="V2900" s="100"/>
      <c r="W2900" s="100"/>
      <c r="X2900" s="100"/>
      <c r="Y2900" s="100"/>
      <c r="Z2900" s="100"/>
    </row>
    <row r="2901" spans="1:26">
      <c r="A2901" s="100" t="e">
        <f ca="1">IFERROR(__xludf.DUMMYFUNCTION("""COMPUTED_VALUE"""),58786236)</f>
        <v>#NAME?</v>
      </c>
      <c r="B2901" s="100" t="e">
        <f ca="1">IFERROR(__xludf.DUMMYFUNCTION("""COMPUTED_VALUE"""),"SETH")</f>
        <v>#NAME?</v>
      </c>
      <c r="C2901" s="100" t="e">
        <f ca="1">IFERROR(__xludf.DUMMYFUNCTION("""COMPUTED_VALUE"""),"0.00029650")</f>
        <v>#NAME?</v>
      </c>
      <c r="D2901" s="100" t="e">
        <f t="shared" ca="1" si="464"/>
        <v>#NAME?</v>
      </c>
      <c r="E2901" s="100" t="e">
        <f t="shared" ca="1" si="464"/>
        <v>#NAME?</v>
      </c>
      <c r="F2901" s="100" t="e">
        <f t="shared" ca="1" si="465"/>
        <v>#NAME?</v>
      </c>
      <c r="G2901" s="100" t="e">
        <f t="shared" ca="1" si="466"/>
        <v>#NAME?</v>
      </c>
      <c r="H2901" s="100" t="e">
        <f t="shared" ca="1" si="467"/>
        <v>#NAME?</v>
      </c>
      <c r="I2901" s="100" t="e">
        <f t="shared" ca="1" si="468"/>
        <v>#NAME?</v>
      </c>
      <c r="J2901" s="100" t="e">
        <f ca="1">IFERROR(__xludf.DUMMYFUNCTION("""COMPUTED_VALUE"""),"-0.836")</f>
        <v>#NAME?</v>
      </c>
      <c r="K2901" s="100" t="e">
        <f t="shared" ca="1" si="469"/>
        <v>#NAME?</v>
      </c>
      <c r="L2901" s="100"/>
      <c r="M2901" s="100"/>
      <c r="N2901" s="100"/>
      <c r="O2901" s="100"/>
      <c r="P2901" s="100"/>
      <c r="Q2901" s="100"/>
      <c r="R2901" s="100"/>
      <c r="S2901" s="100"/>
      <c r="T2901" s="100"/>
      <c r="U2901" s="100"/>
      <c r="V2901" s="100"/>
      <c r="W2901" s="100"/>
      <c r="X2901" s="100"/>
      <c r="Y2901" s="100"/>
      <c r="Z2901" s="100"/>
    </row>
    <row r="2902" spans="1:26">
      <c r="A2902" s="100" t="e">
        <f ca="1">IFERROR(__xludf.DUMMYFUNCTION("""COMPUTED_VALUE"""),58786237)</f>
        <v>#NAME?</v>
      </c>
      <c r="B2902" s="100" t="e">
        <f ca="1">IFERROR(__xludf.DUMMYFUNCTION("""COMPUTED_VALUE"""),"SEUR")</f>
        <v>#NAME?</v>
      </c>
      <c r="C2902" s="100" t="e">
        <f ca="1">IFERROR(__xludf.DUMMYFUNCTION("""COMPUTED_VALUE"""),"0.41770000")</f>
        <v>#NAME?</v>
      </c>
      <c r="D2902" s="100" t="e">
        <f t="shared" ref="D2902:E2921" ca="1" si="470">IFERROR(__xludf.DUMMYFUNCTION("""COMPUTED_VALUE"""),"-")</f>
        <v>#NAME?</v>
      </c>
      <c r="E2902" s="100" t="e">
        <f t="shared" ca="1" si="470"/>
        <v>#NAME?</v>
      </c>
      <c r="F2902" s="100" t="e">
        <f t="shared" ca="1" si="465"/>
        <v>#NAME?</v>
      </c>
      <c r="G2902" s="100" t="e">
        <f t="shared" ca="1" si="466"/>
        <v>#NAME?</v>
      </c>
      <c r="H2902" s="100" t="e">
        <f t="shared" ca="1" si="467"/>
        <v>#NAME?</v>
      </c>
      <c r="I2902" s="100" t="e">
        <f t="shared" ca="1" si="468"/>
        <v>#NAME?</v>
      </c>
      <c r="J2902" s="100" t="e">
        <f ca="1">IFERROR(__xludf.DUMMYFUNCTION("""COMPUTED_VALUE"""),"-1.253")</f>
        <v>#NAME?</v>
      </c>
      <c r="K2902" s="100" t="e">
        <f t="shared" ca="1" si="469"/>
        <v>#NAME?</v>
      </c>
      <c r="L2902" s="100"/>
      <c r="M2902" s="100"/>
      <c r="N2902" s="100"/>
      <c r="O2902" s="100"/>
      <c r="P2902" s="100"/>
      <c r="Q2902" s="100"/>
      <c r="R2902" s="100"/>
      <c r="S2902" s="100"/>
      <c r="T2902" s="100"/>
      <c r="U2902" s="100"/>
      <c r="V2902" s="100"/>
      <c r="W2902" s="100"/>
      <c r="X2902" s="100"/>
      <c r="Y2902" s="100"/>
      <c r="Z2902" s="100"/>
    </row>
    <row r="2903" spans="1:26">
      <c r="A2903" s="100" t="e">
        <f ca="1">IFERROR(__xludf.DUMMYFUNCTION("""COMPUTED_VALUE"""),58786238)</f>
        <v>#NAME?</v>
      </c>
      <c r="B2903" s="100" t="e">
        <f ca="1">IFERROR(__xludf.DUMMYFUNCTION("""COMPUTED_VALUE"""),"SFDUSD")</f>
        <v>#NAME?</v>
      </c>
      <c r="C2903" s="100" t="e">
        <f ca="1">IFERROR(__xludf.DUMMYFUNCTION("""COMPUTED_VALUE"""),"0.48010000")</f>
        <v>#NAME?</v>
      </c>
      <c r="D2903" s="100" t="e">
        <f t="shared" ca="1" si="470"/>
        <v>#NAME?</v>
      </c>
      <c r="E2903" s="100" t="e">
        <f t="shared" ca="1" si="470"/>
        <v>#NAME?</v>
      </c>
      <c r="F2903" s="100" t="e">
        <f t="shared" ca="1" si="465"/>
        <v>#NAME?</v>
      </c>
      <c r="G2903" s="100" t="e">
        <f t="shared" ca="1" si="466"/>
        <v>#NAME?</v>
      </c>
      <c r="H2903" s="100" t="e">
        <f t="shared" ca="1" si="467"/>
        <v>#NAME?</v>
      </c>
      <c r="I2903" s="100" t="e">
        <f t="shared" ca="1" si="468"/>
        <v>#NAME?</v>
      </c>
      <c r="J2903" s="100" t="e">
        <f ca="1">IFERROR(__xludf.DUMMYFUNCTION("""COMPUTED_VALUE"""),"-1.558")</f>
        <v>#NAME?</v>
      </c>
      <c r="K2903" s="100" t="e">
        <f t="shared" ca="1" si="469"/>
        <v>#NAME?</v>
      </c>
      <c r="L2903" s="100"/>
      <c r="M2903" s="100"/>
      <c r="N2903" s="100"/>
      <c r="O2903" s="100"/>
      <c r="P2903" s="100"/>
      <c r="Q2903" s="100"/>
      <c r="R2903" s="100"/>
      <c r="S2903" s="100"/>
      <c r="T2903" s="100"/>
      <c r="U2903" s="100"/>
      <c r="V2903" s="100"/>
      <c r="W2903" s="100"/>
      <c r="X2903" s="100"/>
      <c r="Y2903" s="100"/>
      <c r="Z2903" s="100"/>
    </row>
    <row r="2904" spans="1:26">
      <c r="A2904" s="100" t="e">
        <f ca="1">IFERROR(__xludf.DUMMYFUNCTION("""COMPUTED_VALUE"""),58786239)</f>
        <v>#NAME?</v>
      </c>
      <c r="B2904" s="100" t="e">
        <f ca="1">IFERROR(__xludf.DUMMYFUNCTION("""COMPUTED_VALUE"""),"STRY")</f>
        <v>#NAME?</v>
      </c>
      <c r="C2904" s="100" t="e">
        <f ca="1">IFERROR(__xludf.DUMMYFUNCTION("""COMPUTED_VALUE"""),"18.34000000")</f>
        <v>#NAME?</v>
      </c>
      <c r="D2904" s="100" t="e">
        <f t="shared" ca="1" si="470"/>
        <v>#NAME?</v>
      </c>
      <c r="E2904" s="100" t="e">
        <f t="shared" ca="1" si="470"/>
        <v>#NAME?</v>
      </c>
      <c r="F2904" s="100" t="e">
        <f t="shared" ca="1" si="465"/>
        <v>#NAME?</v>
      </c>
      <c r="G2904" s="100" t="e">
        <f t="shared" ca="1" si="466"/>
        <v>#NAME?</v>
      </c>
      <c r="H2904" s="100" t="e">
        <f t="shared" ca="1" si="467"/>
        <v>#NAME?</v>
      </c>
      <c r="I2904" s="100" t="e">
        <f t="shared" ca="1" si="468"/>
        <v>#NAME?</v>
      </c>
      <c r="J2904" s="100" t="e">
        <f ca="1">IFERROR(__xludf.DUMMYFUNCTION("""COMPUTED_VALUE"""),"-1.504")</f>
        <v>#NAME?</v>
      </c>
      <c r="K2904" s="100" t="e">
        <f t="shared" ca="1" si="469"/>
        <v>#NAME?</v>
      </c>
      <c r="L2904" s="100"/>
      <c r="M2904" s="100"/>
      <c r="N2904" s="100"/>
      <c r="O2904" s="100"/>
      <c r="P2904" s="100"/>
      <c r="Q2904" s="100"/>
      <c r="R2904" s="100"/>
      <c r="S2904" s="100"/>
      <c r="T2904" s="100"/>
      <c r="U2904" s="100"/>
      <c r="V2904" s="100"/>
      <c r="W2904" s="100"/>
      <c r="X2904" s="100"/>
      <c r="Y2904" s="100"/>
      <c r="Z2904" s="100"/>
    </row>
    <row r="2905" spans="1:26">
      <c r="A2905" s="100" t="e">
        <f ca="1">IFERROR(__xludf.DUMMYFUNCTION("""COMPUTED_VALUE"""),58786240)</f>
        <v>#NAME?</v>
      </c>
      <c r="B2905" s="100" t="e">
        <f ca="1">IFERROR(__xludf.DUMMYFUNCTION("""COMPUTED_VALUE"""),"SUSDC")</f>
        <v>#NAME?</v>
      </c>
      <c r="C2905" s="100" t="e">
        <f ca="1">IFERROR(__xludf.DUMMYFUNCTION("""COMPUTED_VALUE"""),"0.47970000")</f>
        <v>#NAME?</v>
      </c>
      <c r="D2905" s="100" t="e">
        <f t="shared" ca="1" si="470"/>
        <v>#NAME?</v>
      </c>
      <c r="E2905" s="100" t="e">
        <f t="shared" ca="1" si="470"/>
        <v>#NAME?</v>
      </c>
      <c r="F2905" s="100" t="e">
        <f t="shared" ca="1" si="465"/>
        <v>#NAME?</v>
      </c>
      <c r="G2905" s="100" t="e">
        <f t="shared" ca="1" si="466"/>
        <v>#NAME?</v>
      </c>
      <c r="H2905" s="100" t="e">
        <f t="shared" ca="1" si="467"/>
        <v>#NAME?</v>
      </c>
      <c r="I2905" s="100" t="e">
        <f t="shared" ca="1" si="468"/>
        <v>#NAME?</v>
      </c>
      <c r="J2905" s="100" t="e">
        <f ca="1">IFERROR(__xludf.DUMMYFUNCTION("""COMPUTED_VALUE"""),"-1.560")</f>
        <v>#NAME?</v>
      </c>
      <c r="K2905" s="100" t="e">
        <f t="shared" ca="1" si="469"/>
        <v>#NAME?</v>
      </c>
      <c r="L2905" s="100"/>
      <c r="M2905" s="100"/>
      <c r="N2905" s="100"/>
      <c r="O2905" s="100"/>
      <c r="P2905" s="100"/>
      <c r="Q2905" s="100"/>
      <c r="R2905" s="100"/>
      <c r="S2905" s="100"/>
      <c r="T2905" s="100"/>
      <c r="U2905" s="100"/>
      <c r="V2905" s="100"/>
      <c r="W2905" s="100"/>
      <c r="X2905" s="100"/>
      <c r="Y2905" s="100"/>
      <c r="Z2905" s="100"/>
    </row>
    <row r="2906" spans="1:26">
      <c r="A2906" s="100" t="e">
        <f ca="1">IFERROR(__xludf.DUMMYFUNCTION("""COMPUTED_VALUE"""),58786241)</f>
        <v>#NAME?</v>
      </c>
      <c r="B2906" s="100" t="e">
        <f ca="1">IFERROR(__xludf.DUMMYFUNCTION("""COMPUTED_VALUE"""),"SUSDT")</f>
        <v>#NAME?</v>
      </c>
      <c r="C2906" s="100" t="e">
        <f ca="1">IFERROR(__xludf.DUMMYFUNCTION("""COMPUTED_VALUE"""),"0.47990000")</f>
        <v>#NAME?</v>
      </c>
      <c r="D2906" s="100" t="e">
        <f t="shared" ca="1" si="470"/>
        <v>#NAME?</v>
      </c>
      <c r="E2906" s="100" t="e">
        <f t="shared" ca="1" si="470"/>
        <v>#NAME?</v>
      </c>
      <c r="F2906" s="100" t="e">
        <f t="shared" ca="1" si="465"/>
        <v>#NAME?</v>
      </c>
      <c r="G2906" s="100" t="e">
        <f t="shared" ca="1" si="466"/>
        <v>#NAME?</v>
      </c>
      <c r="H2906" s="100" t="e">
        <f t="shared" ca="1" si="467"/>
        <v>#NAME?</v>
      </c>
      <c r="I2906" s="100" t="e">
        <f t="shared" ca="1" si="468"/>
        <v>#NAME?</v>
      </c>
      <c r="J2906" s="100" t="e">
        <f ca="1">IFERROR(__xludf.DUMMYFUNCTION("""COMPUTED_VALUE"""),"-1.559")</f>
        <v>#NAME?</v>
      </c>
      <c r="K2906" s="100" t="e">
        <f t="shared" ca="1" si="469"/>
        <v>#NAME?</v>
      </c>
      <c r="L2906" s="100"/>
      <c r="M2906" s="100"/>
      <c r="N2906" s="100"/>
      <c r="O2906" s="100"/>
      <c r="P2906" s="100"/>
      <c r="Q2906" s="100"/>
      <c r="R2906" s="100"/>
      <c r="S2906" s="100"/>
      <c r="T2906" s="100"/>
      <c r="U2906" s="100"/>
      <c r="V2906" s="100"/>
      <c r="W2906" s="100"/>
      <c r="X2906" s="100"/>
      <c r="Y2906" s="100"/>
      <c r="Z2906" s="100"/>
    </row>
    <row r="2907" spans="1:26">
      <c r="A2907" s="100" t="e">
        <f ca="1">IFERROR(__xludf.DUMMYFUNCTION("""COMPUTED_VALUE"""),58786242)</f>
        <v>#NAME?</v>
      </c>
      <c r="B2907" s="100" t="e">
        <f ca="1">IFERROR(__xludf.DUMMYFUNCTION("""COMPUTED_VALUE"""),"IOTXJPY")</f>
        <v>#NAME?</v>
      </c>
      <c r="C2907" s="100" t="e">
        <f ca="1">IFERROR(__xludf.DUMMYFUNCTION("""COMPUTED_VALUE"""),"2.57900000")</f>
        <v>#NAME?</v>
      </c>
      <c r="D2907" s="100" t="e">
        <f t="shared" ca="1" si="470"/>
        <v>#NAME?</v>
      </c>
      <c r="E2907" s="100" t="e">
        <f t="shared" ca="1" si="470"/>
        <v>#NAME?</v>
      </c>
      <c r="F2907" s="100" t="e">
        <f t="shared" ca="1" si="465"/>
        <v>#NAME?</v>
      </c>
      <c r="G2907" s="100" t="e">
        <f t="shared" ca="1" si="466"/>
        <v>#NAME?</v>
      </c>
      <c r="H2907" s="100" t="e">
        <f t="shared" ca="1" si="467"/>
        <v>#NAME?</v>
      </c>
      <c r="I2907" s="100" t="e">
        <f t="shared" ca="1" si="468"/>
        <v>#NAME?</v>
      </c>
      <c r="J2907" s="100" t="e">
        <f ca="1">IFERROR(__xludf.DUMMYFUNCTION("""COMPUTED_VALUE"""),"-1.939")</f>
        <v>#NAME?</v>
      </c>
      <c r="K2907" s="100" t="e">
        <f t="shared" ca="1" si="469"/>
        <v>#NAME?</v>
      </c>
      <c r="L2907" s="100"/>
      <c r="M2907" s="100"/>
      <c r="N2907" s="100"/>
      <c r="O2907" s="100"/>
      <c r="P2907" s="100"/>
      <c r="Q2907" s="100"/>
      <c r="R2907" s="100"/>
      <c r="S2907" s="100"/>
      <c r="T2907" s="100"/>
      <c r="U2907" s="100"/>
      <c r="V2907" s="100"/>
      <c r="W2907" s="100"/>
      <c r="X2907" s="100"/>
      <c r="Y2907" s="100"/>
      <c r="Z2907" s="100"/>
    </row>
    <row r="2908" spans="1:26">
      <c r="A2908" s="100" t="e">
        <f ca="1">IFERROR(__xludf.DUMMYFUNCTION("""COMPUTED_VALUE"""),58786243)</f>
        <v>#NAME?</v>
      </c>
      <c r="B2908" s="100" t="e">
        <f ca="1">IFERROR(__xludf.DUMMYFUNCTION("""COMPUTED_VALUE"""),"SEIJPY")</f>
        <v>#NAME?</v>
      </c>
      <c r="C2908" s="100" t="e">
        <f ca="1">IFERROR(__xludf.DUMMYFUNCTION("""COMPUTED_VALUE"""),"25.29000000")</f>
        <v>#NAME?</v>
      </c>
      <c r="D2908" s="100" t="e">
        <f t="shared" ca="1" si="470"/>
        <v>#NAME?</v>
      </c>
      <c r="E2908" s="100" t="e">
        <f t="shared" ca="1" si="470"/>
        <v>#NAME?</v>
      </c>
      <c r="F2908" s="100" t="e">
        <f t="shared" ca="1" si="465"/>
        <v>#NAME?</v>
      </c>
      <c r="G2908" s="100" t="e">
        <f t="shared" ca="1" si="466"/>
        <v>#NAME?</v>
      </c>
      <c r="H2908" s="100" t="e">
        <f t="shared" ca="1" si="467"/>
        <v>#NAME?</v>
      </c>
      <c r="I2908" s="100" t="e">
        <f t="shared" ca="1" si="468"/>
        <v>#NAME?</v>
      </c>
      <c r="J2908" s="100" t="e">
        <f ca="1">IFERROR(__xludf.DUMMYFUNCTION("""COMPUTED_VALUE"""),"0.040")</f>
        <v>#NAME?</v>
      </c>
      <c r="K2908" s="100" t="e">
        <f t="shared" ca="1" si="469"/>
        <v>#NAME?</v>
      </c>
      <c r="L2908" s="100"/>
      <c r="M2908" s="100"/>
      <c r="N2908" s="100"/>
      <c r="O2908" s="100"/>
      <c r="P2908" s="100"/>
      <c r="Q2908" s="100"/>
      <c r="R2908" s="100"/>
      <c r="S2908" s="100"/>
      <c r="T2908" s="100"/>
      <c r="U2908" s="100"/>
      <c r="V2908" s="100"/>
      <c r="W2908" s="100"/>
      <c r="X2908" s="100"/>
      <c r="Y2908" s="100"/>
      <c r="Z2908" s="100"/>
    </row>
    <row r="2909" spans="1:26">
      <c r="A2909" s="100" t="e">
        <f ca="1">IFERROR(__xludf.DUMMYFUNCTION("""COMPUTED_VALUE"""),58786244)</f>
        <v>#NAME?</v>
      </c>
      <c r="B2909" s="100" t="e">
        <f ca="1">IFERROR(__xludf.DUMMYFUNCTION("""COMPUTED_VALUE"""),"SOLVUSDT")</f>
        <v>#NAME?</v>
      </c>
      <c r="C2909" s="100" t="e">
        <f ca="1">IFERROR(__xludf.DUMMYFUNCTION("""COMPUTED_VALUE"""),"0.02715000")</f>
        <v>#NAME?</v>
      </c>
      <c r="D2909" s="100" t="e">
        <f t="shared" ca="1" si="470"/>
        <v>#NAME?</v>
      </c>
      <c r="E2909" s="100" t="e">
        <f t="shared" ca="1" si="470"/>
        <v>#NAME?</v>
      </c>
      <c r="F2909" s="100" t="e">
        <f t="shared" ca="1" si="465"/>
        <v>#NAME?</v>
      </c>
      <c r="G2909" s="100" t="e">
        <f t="shared" ca="1" si="466"/>
        <v>#NAME?</v>
      </c>
      <c r="H2909" s="100" t="e">
        <f t="shared" ca="1" si="467"/>
        <v>#NAME?</v>
      </c>
      <c r="I2909" s="100" t="e">
        <f t="shared" ca="1" si="468"/>
        <v>#NAME?</v>
      </c>
      <c r="J2909" s="100" t="e">
        <f ca="1">IFERROR(__xludf.DUMMYFUNCTION("""COMPUTED_VALUE"""),"-2.478")</f>
        <v>#NAME?</v>
      </c>
      <c r="K2909" s="100" t="e">
        <f t="shared" ca="1" si="469"/>
        <v>#NAME?</v>
      </c>
      <c r="L2909" s="100"/>
      <c r="M2909" s="100"/>
      <c r="N2909" s="100"/>
      <c r="O2909" s="100"/>
      <c r="P2909" s="100"/>
      <c r="Q2909" s="100"/>
      <c r="R2909" s="100"/>
      <c r="S2909" s="100"/>
      <c r="T2909" s="100"/>
      <c r="U2909" s="100"/>
      <c r="V2909" s="100"/>
      <c r="W2909" s="100"/>
      <c r="X2909" s="100"/>
      <c r="Y2909" s="100"/>
      <c r="Z2909" s="100"/>
    </row>
    <row r="2910" spans="1:26">
      <c r="A2910" s="100" t="e">
        <f ca="1">IFERROR(__xludf.DUMMYFUNCTION("""COMPUTED_VALUE"""),58786245)</f>
        <v>#NAME?</v>
      </c>
      <c r="B2910" s="100" t="e">
        <f ca="1">IFERROR(__xludf.DUMMYFUNCTION("""COMPUTED_VALUE"""),"SOLVBNB")</f>
        <v>#NAME?</v>
      </c>
      <c r="C2910" s="100" t="e">
        <f ca="1">IFERROR(__xludf.DUMMYFUNCTION("""COMPUTED_VALUE"""),"0.00004489")</f>
        <v>#NAME?</v>
      </c>
      <c r="D2910" s="100" t="e">
        <f t="shared" ca="1" si="470"/>
        <v>#NAME?</v>
      </c>
      <c r="E2910" s="100" t="e">
        <f t="shared" ca="1" si="470"/>
        <v>#NAME?</v>
      </c>
      <c r="F2910" s="100" t="e">
        <f t="shared" ca="1" si="465"/>
        <v>#NAME?</v>
      </c>
      <c r="G2910" s="100" t="e">
        <f t="shared" ca="1" si="466"/>
        <v>#NAME?</v>
      </c>
      <c r="H2910" s="100" t="e">
        <f t="shared" ca="1" si="467"/>
        <v>#NAME?</v>
      </c>
      <c r="I2910" s="100" t="e">
        <f t="shared" ca="1" si="468"/>
        <v>#NAME?</v>
      </c>
      <c r="J2910" s="100" t="e">
        <f ca="1">IFERROR(__xludf.DUMMYFUNCTION("""COMPUTED_VALUE"""),"-2.413")</f>
        <v>#NAME?</v>
      </c>
      <c r="K2910" s="100" t="e">
        <f t="shared" ca="1" si="469"/>
        <v>#NAME?</v>
      </c>
      <c r="L2910" s="100"/>
      <c r="M2910" s="100"/>
      <c r="N2910" s="100"/>
      <c r="O2910" s="100"/>
      <c r="P2910" s="100"/>
      <c r="Q2910" s="100"/>
      <c r="R2910" s="100"/>
      <c r="S2910" s="100"/>
      <c r="T2910" s="100"/>
      <c r="U2910" s="100"/>
      <c r="V2910" s="100"/>
      <c r="W2910" s="100"/>
      <c r="X2910" s="100"/>
      <c r="Y2910" s="100"/>
      <c r="Z2910" s="100"/>
    </row>
    <row r="2911" spans="1:26">
      <c r="A2911" s="100" t="e">
        <f ca="1">IFERROR(__xludf.DUMMYFUNCTION("""COMPUTED_VALUE"""),58786246)</f>
        <v>#NAME?</v>
      </c>
      <c r="B2911" s="100" t="e">
        <f ca="1">IFERROR(__xludf.DUMMYFUNCTION("""COMPUTED_VALUE"""),"SOLVFDUSD")</f>
        <v>#NAME?</v>
      </c>
      <c r="C2911" s="100" t="e">
        <f ca="1">IFERROR(__xludf.DUMMYFUNCTION("""COMPUTED_VALUE"""),"0.02721000")</f>
        <v>#NAME?</v>
      </c>
      <c r="D2911" s="100" t="e">
        <f t="shared" ca="1" si="470"/>
        <v>#NAME?</v>
      </c>
      <c r="E2911" s="100" t="e">
        <f t="shared" ca="1" si="470"/>
        <v>#NAME?</v>
      </c>
      <c r="F2911" s="100" t="e">
        <f t="shared" ca="1" si="465"/>
        <v>#NAME?</v>
      </c>
      <c r="G2911" s="100" t="e">
        <f t="shared" ca="1" si="466"/>
        <v>#NAME?</v>
      </c>
      <c r="H2911" s="100" t="e">
        <f t="shared" ca="1" si="467"/>
        <v>#NAME?</v>
      </c>
      <c r="I2911" s="100" t="e">
        <f t="shared" ca="1" si="468"/>
        <v>#NAME?</v>
      </c>
      <c r="J2911" s="100" t="e">
        <f ca="1">IFERROR(__xludf.DUMMYFUNCTION("""COMPUTED_VALUE"""),"-2.193")</f>
        <v>#NAME?</v>
      </c>
      <c r="K2911" s="100" t="e">
        <f t="shared" ca="1" si="469"/>
        <v>#NAME?</v>
      </c>
      <c r="L2911" s="100"/>
      <c r="M2911" s="100"/>
      <c r="N2911" s="100"/>
      <c r="O2911" s="100"/>
      <c r="P2911" s="100"/>
      <c r="Q2911" s="100"/>
      <c r="R2911" s="100"/>
      <c r="S2911" s="100"/>
      <c r="T2911" s="100"/>
      <c r="U2911" s="100"/>
      <c r="V2911" s="100"/>
      <c r="W2911" s="100"/>
      <c r="X2911" s="100"/>
      <c r="Y2911" s="100"/>
      <c r="Z2911" s="100"/>
    </row>
    <row r="2912" spans="1:26">
      <c r="A2912" s="100" t="e">
        <f ca="1">IFERROR(__xludf.DUMMYFUNCTION("""COMPUTED_VALUE"""),58786247)</f>
        <v>#NAME?</v>
      </c>
      <c r="B2912" s="100" t="e">
        <f ca="1">IFERROR(__xludf.DUMMYFUNCTION("""COMPUTED_VALUE"""),"SOLVTRY")</f>
        <v>#NAME?</v>
      </c>
      <c r="C2912" s="100" t="e">
        <f ca="1">IFERROR(__xludf.DUMMYFUNCTION("""COMPUTED_VALUE"""),"1.03900000")</f>
        <v>#NAME?</v>
      </c>
      <c r="D2912" s="100" t="e">
        <f t="shared" ca="1" si="470"/>
        <v>#NAME?</v>
      </c>
      <c r="E2912" s="100" t="e">
        <f t="shared" ca="1" si="470"/>
        <v>#NAME?</v>
      </c>
      <c r="F2912" s="100" t="e">
        <f t="shared" ca="1" si="465"/>
        <v>#NAME?</v>
      </c>
      <c r="G2912" s="100" t="e">
        <f t="shared" ca="1" si="466"/>
        <v>#NAME?</v>
      </c>
      <c r="H2912" s="100" t="e">
        <f t="shared" ca="1" si="467"/>
        <v>#NAME?</v>
      </c>
      <c r="I2912" s="100" t="e">
        <f t="shared" ca="1" si="468"/>
        <v>#NAME?</v>
      </c>
      <c r="J2912" s="100" t="e">
        <f ca="1">IFERROR(__xludf.DUMMYFUNCTION("""COMPUTED_VALUE"""),"-2.350")</f>
        <v>#NAME?</v>
      </c>
      <c r="K2912" s="100" t="e">
        <f t="shared" ca="1" si="469"/>
        <v>#NAME?</v>
      </c>
      <c r="L2912" s="100"/>
      <c r="M2912" s="100"/>
      <c r="N2912" s="100"/>
      <c r="O2912" s="100"/>
      <c r="P2912" s="100"/>
      <c r="Q2912" s="100"/>
      <c r="R2912" s="100"/>
      <c r="S2912" s="100"/>
      <c r="T2912" s="100"/>
      <c r="U2912" s="100"/>
      <c r="V2912" s="100"/>
      <c r="W2912" s="100"/>
      <c r="X2912" s="100"/>
      <c r="Y2912" s="100"/>
      <c r="Z2912" s="100"/>
    </row>
    <row r="2913" spans="1:26">
      <c r="A2913" s="100" t="e">
        <f ca="1">IFERROR(__xludf.DUMMYFUNCTION("""COMPUTED_VALUE"""),58786248)</f>
        <v>#NAME?</v>
      </c>
      <c r="B2913" s="100" t="e">
        <f ca="1">IFERROR(__xludf.DUMMYFUNCTION("""COMPUTED_VALUE"""),"TRUMPUSDT")</f>
        <v>#NAME?</v>
      </c>
      <c r="C2913" s="100" t="e">
        <f ca="1">IFERROR(__xludf.DUMMYFUNCTION("""COMPUTED_VALUE"""),"8.53000000")</f>
        <v>#NAME?</v>
      </c>
      <c r="D2913" s="100" t="e">
        <f t="shared" ca="1" si="470"/>
        <v>#NAME?</v>
      </c>
      <c r="E2913" s="100" t="e">
        <f t="shared" ca="1" si="470"/>
        <v>#NAME?</v>
      </c>
      <c r="F2913" s="100" t="e">
        <f t="shared" ca="1" si="465"/>
        <v>#NAME?</v>
      </c>
      <c r="G2913" s="100" t="e">
        <f t="shared" ca="1" si="466"/>
        <v>#NAME?</v>
      </c>
      <c r="H2913" s="100" t="e">
        <f t="shared" ca="1" si="467"/>
        <v>#NAME?</v>
      </c>
      <c r="I2913" s="100" t="e">
        <f t="shared" ca="1" si="468"/>
        <v>#NAME?</v>
      </c>
      <c r="J2913" s="100" t="e">
        <f ca="1">IFERROR(__xludf.DUMMYFUNCTION("""COMPUTED_VALUE"""),"3.645")</f>
        <v>#NAME?</v>
      </c>
      <c r="K2913" s="100" t="e">
        <f t="shared" ca="1" si="469"/>
        <v>#NAME?</v>
      </c>
      <c r="L2913" s="100"/>
      <c r="M2913" s="100"/>
      <c r="N2913" s="100"/>
      <c r="O2913" s="100"/>
      <c r="P2913" s="100"/>
      <c r="Q2913" s="100"/>
      <c r="R2913" s="100"/>
      <c r="S2913" s="100"/>
      <c r="T2913" s="100"/>
      <c r="U2913" s="100"/>
      <c r="V2913" s="100"/>
      <c r="W2913" s="100"/>
      <c r="X2913" s="100"/>
      <c r="Y2913" s="100"/>
      <c r="Z2913" s="100"/>
    </row>
    <row r="2914" spans="1:26">
      <c r="A2914" s="100" t="e">
        <f ca="1">IFERROR(__xludf.DUMMYFUNCTION("""COMPUTED_VALUE"""),58786249)</f>
        <v>#NAME?</v>
      </c>
      <c r="B2914" s="100" t="e">
        <f ca="1">IFERROR(__xludf.DUMMYFUNCTION("""COMPUTED_VALUE"""),"TRUMPUSDC")</f>
        <v>#NAME?</v>
      </c>
      <c r="C2914" s="100" t="e">
        <f ca="1">IFERROR(__xludf.DUMMYFUNCTION("""COMPUTED_VALUE"""),"8.54000000")</f>
        <v>#NAME?</v>
      </c>
      <c r="D2914" s="100" t="e">
        <f t="shared" ca="1" si="470"/>
        <v>#NAME?</v>
      </c>
      <c r="E2914" s="100" t="e">
        <f t="shared" ca="1" si="470"/>
        <v>#NAME?</v>
      </c>
      <c r="F2914" s="100" t="e">
        <f t="shared" ca="1" si="465"/>
        <v>#NAME?</v>
      </c>
      <c r="G2914" s="100" t="e">
        <f t="shared" ca="1" si="466"/>
        <v>#NAME?</v>
      </c>
      <c r="H2914" s="100" t="e">
        <f t="shared" ca="1" si="467"/>
        <v>#NAME?</v>
      </c>
      <c r="I2914" s="100" t="e">
        <f t="shared" ca="1" si="468"/>
        <v>#NAME?</v>
      </c>
      <c r="J2914" s="100" t="e">
        <f ca="1">IFERROR(__xludf.DUMMYFUNCTION("""COMPUTED_VALUE"""),"3.767")</f>
        <v>#NAME?</v>
      </c>
      <c r="K2914" s="100" t="e">
        <f t="shared" ca="1" si="469"/>
        <v>#NAME?</v>
      </c>
      <c r="L2914" s="100"/>
      <c r="M2914" s="100"/>
      <c r="N2914" s="100"/>
      <c r="O2914" s="100"/>
      <c r="P2914" s="100"/>
      <c r="Q2914" s="100"/>
      <c r="R2914" s="100"/>
      <c r="S2914" s="100"/>
      <c r="T2914" s="100"/>
      <c r="U2914" s="100"/>
      <c r="V2914" s="100"/>
      <c r="W2914" s="100"/>
      <c r="X2914" s="100"/>
      <c r="Y2914" s="100"/>
      <c r="Z2914" s="100"/>
    </row>
    <row r="2915" spans="1:26">
      <c r="A2915" s="100" t="e">
        <f ca="1">IFERROR(__xludf.DUMMYFUNCTION("""COMPUTED_VALUE"""),58786250)</f>
        <v>#NAME?</v>
      </c>
      <c r="B2915" s="100" t="e">
        <f ca="1">IFERROR(__xludf.DUMMYFUNCTION("""COMPUTED_VALUE"""),"AIXBTTRY")</f>
        <v>#NAME?</v>
      </c>
      <c r="C2915" s="100" t="e">
        <f ca="1">IFERROR(__xludf.DUMMYFUNCTION("""COMPUTED_VALUE"""),"3.23000000")</f>
        <v>#NAME?</v>
      </c>
      <c r="D2915" s="100" t="e">
        <f t="shared" ca="1" si="470"/>
        <v>#NAME?</v>
      </c>
      <c r="E2915" s="100" t="e">
        <f t="shared" ca="1" si="470"/>
        <v>#NAME?</v>
      </c>
      <c r="F2915" s="100" t="e">
        <f t="shared" ca="1" si="465"/>
        <v>#NAME?</v>
      </c>
      <c r="G2915" s="100" t="e">
        <f t="shared" ca="1" si="466"/>
        <v>#NAME?</v>
      </c>
      <c r="H2915" s="100" t="e">
        <f t="shared" ca="1" si="467"/>
        <v>#NAME?</v>
      </c>
      <c r="I2915" s="100" t="e">
        <f t="shared" ca="1" si="468"/>
        <v>#NAME?</v>
      </c>
      <c r="J2915" s="100" t="e">
        <f ca="1">IFERROR(__xludf.DUMMYFUNCTION("""COMPUTED_VALUE"""),"-0.920")</f>
        <v>#NAME?</v>
      </c>
      <c r="K2915" s="100" t="e">
        <f t="shared" ca="1" si="469"/>
        <v>#NAME?</v>
      </c>
      <c r="L2915" s="100"/>
      <c r="M2915" s="100"/>
      <c r="N2915" s="100"/>
      <c r="O2915" s="100"/>
      <c r="P2915" s="100"/>
      <c r="Q2915" s="100"/>
      <c r="R2915" s="100"/>
      <c r="S2915" s="100"/>
      <c r="T2915" s="100"/>
      <c r="U2915" s="100"/>
      <c r="V2915" s="100"/>
      <c r="W2915" s="100"/>
      <c r="X2915" s="100"/>
      <c r="Y2915" s="100"/>
      <c r="Z2915" s="100"/>
    </row>
    <row r="2916" spans="1:26">
      <c r="A2916" s="100" t="e">
        <f ca="1">IFERROR(__xludf.DUMMYFUNCTION("""COMPUTED_VALUE"""),58786251)</f>
        <v>#NAME?</v>
      </c>
      <c r="B2916" s="100" t="e">
        <f ca="1">IFERROR(__xludf.DUMMYFUNCTION("""COMPUTED_VALUE"""),"TRUMPTRY")</f>
        <v>#NAME?</v>
      </c>
      <c r="C2916" s="100" t="e">
        <f ca="1">IFERROR(__xludf.DUMMYFUNCTION("""COMPUTED_VALUE"""),"326.30000000")</f>
        <v>#NAME?</v>
      </c>
      <c r="D2916" s="100" t="e">
        <f t="shared" ca="1" si="470"/>
        <v>#NAME?</v>
      </c>
      <c r="E2916" s="100" t="e">
        <f t="shared" ca="1" si="470"/>
        <v>#NAME?</v>
      </c>
      <c r="F2916" s="100" t="e">
        <f t="shared" ca="1" si="465"/>
        <v>#NAME?</v>
      </c>
      <c r="G2916" s="100" t="e">
        <f t="shared" ca="1" si="466"/>
        <v>#NAME?</v>
      </c>
      <c r="H2916" s="100" t="e">
        <f t="shared" ca="1" si="467"/>
        <v>#NAME?</v>
      </c>
      <c r="I2916" s="100" t="e">
        <f t="shared" ca="1" si="468"/>
        <v>#NAME?</v>
      </c>
      <c r="J2916" s="100" t="e">
        <f ca="1">IFERROR(__xludf.DUMMYFUNCTION("""COMPUTED_VALUE"""),"3.620")</f>
        <v>#NAME?</v>
      </c>
      <c r="K2916" s="100" t="e">
        <f t="shared" ca="1" si="469"/>
        <v>#NAME?</v>
      </c>
      <c r="L2916" s="100"/>
      <c r="M2916" s="100"/>
      <c r="N2916" s="100"/>
      <c r="O2916" s="100"/>
      <c r="P2916" s="100"/>
      <c r="Q2916" s="100"/>
      <c r="R2916" s="100"/>
      <c r="S2916" s="100"/>
      <c r="T2916" s="100"/>
      <c r="U2916" s="100"/>
      <c r="V2916" s="100"/>
      <c r="W2916" s="100"/>
      <c r="X2916" s="100"/>
      <c r="Y2916" s="100"/>
      <c r="Z2916" s="100"/>
    </row>
    <row r="2917" spans="1:26">
      <c r="A2917" s="100" t="e">
        <f ca="1">IFERROR(__xludf.DUMMYFUNCTION("""COMPUTED_VALUE"""),58786252)</f>
        <v>#NAME?</v>
      </c>
      <c r="B2917" s="100" t="e">
        <f ca="1">IFERROR(__xludf.DUMMYFUNCTION("""COMPUTED_VALUE"""),"ANIMEUSDT")</f>
        <v>#NAME?</v>
      </c>
      <c r="C2917" s="100" t="e">
        <f ca="1">IFERROR(__xludf.DUMMYFUNCTION("""COMPUTED_VALUE"""),"0.01634000")</f>
        <v>#NAME?</v>
      </c>
      <c r="D2917" s="100" t="e">
        <f t="shared" ca="1" si="470"/>
        <v>#NAME?</v>
      </c>
      <c r="E2917" s="100" t="e">
        <f t="shared" ca="1" si="470"/>
        <v>#NAME?</v>
      </c>
      <c r="F2917" s="100" t="e">
        <f t="shared" ca="1" si="465"/>
        <v>#NAME?</v>
      </c>
      <c r="G2917" s="100" t="e">
        <f t="shared" ca="1" si="466"/>
        <v>#NAME?</v>
      </c>
      <c r="H2917" s="100" t="e">
        <f t="shared" ca="1" si="467"/>
        <v>#NAME?</v>
      </c>
      <c r="I2917" s="100" t="e">
        <f t="shared" ca="1" si="468"/>
        <v>#NAME?</v>
      </c>
      <c r="J2917" s="100" t="e">
        <f ca="1">IFERROR(__xludf.DUMMYFUNCTION("""COMPUTED_VALUE"""),"-6.307")</f>
        <v>#NAME?</v>
      </c>
      <c r="K2917" s="100" t="e">
        <f t="shared" ca="1" si="469"/>
        <v>#NAME?</v>
      </c>
      <c r="L2917" s="100"/>
      <c r="M2917" s="100"/>
      <c r="N2917" s="100"/>
      <c r="O2917" s="100"/>
      <c r="P2917" s="100"/>
      <c r="Q2917" s="100"/>
      <c r="R2917" s="100"/>
      <c r="S2917" s="100"/>
      <c r="T2917" s="100"/>
      <c r="U2917" s="100"/>
      <c r="V2917" s="100"/>
      <c r="W2917" s="100"/>
      <c r="X2917" s="100"/>
      <c r="Y2917" s="100"/>
      <c r="Z2917" s="100"/>
    </row>
    <row r="2918" spans="1:26">
      <c r="A2918" s="100" t="e">
        <f ca="1">IFERROR(__xludf.DUMMYFUNCTION("""COMPUTED_VALUE"""),58786253)</f>
        <v>#NAME?</v>
      </c>
      <c r="B2918" s="100" t="e">
        <f ca="1">IFERROR(__xludf.DUMMYFUNCTION("""COMPUTED_VALUE"""),"ANIMEUSDC")</f>
        <v>#NAME?</v>
      </c>
      <c r="C2918" s="100" t="e">
        <f ca="1">IFERROR(__xludf.DUMMYFUNCTION("""COMPUTED_VALUE"""),"0.01633000")</f>
        <v>#NAME?</v>
      </c>
      <c r="D2918" s="100" t="e">
        <f t="shared" ca="1" si="470"/>
        <v>#NAME?</v>
      </c>
      <c r="E2918" s="100" t="e">
        <f t="shared" ca="1" si="470"/>
        <v>#NAME?</v>
      </c>
      <c r="F2918" s="100" t="e">
        <f t="shared" ca="1" si="465"/>
        <v>#NAME?</v>
      </c>
      <c r="G2918" s="100" t="e">
        <f t="shared" ca="1" si="466"/>
        <v>#NAME?</v>
      </c>
      <c r="H2918" s="100" t="e">
        <f t="shared" ca="1" si="467"/>
        <v>#NAME?</v>
      </c>
      <c r="I2918" s="100" t="e">
        <f t="shared" ca="1" si="468"/>
        <v>#NAME?</v>
      </c>
      <c r="J2918" s="100" t="e">
        <f ca="1">IFERROR(__xludf.DUMMYFUNCTION("""COMPUTED_VALUE"""),"-6.418")</f>
        <v>#NAME?</v>
      </c>
      <c r="K2918" s="100" t="e">
        <f t="shared" ca="1" si="469"/>
        <v>#NAME?</v>
      </c>
      <c r="L2918" s="100"/>
      <c r="M2918" s="100"/>
      <c r="N2918" s="100"/>
      <c r="O2918" s="100"/>
      <c r="P2918" s="100"/>
      <c r="Q2918" s="100"/>
      <c r="R2918" s="100"/>
      <c r="S2918" s="100"/>
      <c r="T2918" s="100"/>
      <c r="U2918" s="100"/>
      <c r="V2918" s="100"/>
      <c r="W2918" s="100"/>
      <c r="X2918" s="100"/>
      <c r="Y2918" s="100"/>
      <c r="Z2918" s="100"/>
    </row>
    <row r="2919" spans="1:26">
      <c r="A2919" s="100" t="e">
        <f ca="1">IFERROR(__xludf.DUMMYFUNCTION("""COMPUTED_VALUE"""),58786254)</f>
        <v>#NAME?</v>
      </c>
      <c r="B2919" s="100" t="e">
        <f ca="1">IFERROR(__xludf.DUMMYFUNCTION("""COMPUTED_VALUE"""),"ANIMEBNB")</f>
        <v>#NAME?</v>
      </c>
      <c r="C2919" s="100" t="e">
        <f ca="1">IFERROR(__xludf.DUMMYFUNCTION("""COMPUTED_VALUE"""),"0.00002706")</f>
        <v>#NAME?</v>
      </c>
      <c r="D2919" s="100" t="e">
        <f t="shared" ca="1" si="470"/>
        <v>#NAME?</v>
      </c>
      <c r="E2919" s="100" t="e">
        <f t="shared" ca="1" si="470"/>
        <v>#NAME?</v>
      </c>
      <c r="F2919" s="100" t="e">
        <f t="shared" ca="1" si="465"/>
        <v>#NAME?</v>
      </c>
      <c r="G2919" s="100" t="e">
        <f t="shared" ca="1" si="466"/>
        <v>#NAME?</v>
      </c>
      <c r="H2919" s="100" t="e">
        <f t="shared" ca="1" si="467"/>
        <v>#NAME?</v>
      </c>
      <c r="I2919" s="100" t="e">
        <f t="shared" ca="1" si="468"/>
        <v>#NAME?</v>
      </c>
      <c r="J2919" s="100" t="e">
        <f ca="1">IFERROR(__xludf.DUMMYFUNCTION("""COMPUTED_VALUE"""),"-7.392")</f>
        <v>#NAME?</v>
      </c>
      <c r="K2919" s="100" t="e">
        <f t="shared" ca="1" si="469"/>
        <v>#NAME?</v>
      </c>
      <c r="L2919" s="100"/>
      <c r="M2919" s="100"/>
      <c r="N2919" s="100"/>
      <c r="O2919" s="100"/>
      <c r="P2919" s="100"/>
      <c r="Q2919" s="100"/>
      <c r="R2919" s="100"/>
      <c r="S2919" s="100"/>
      <c r="T2919" s="100"/>
      <c r="U2919" s="100"/>
      <c r="V2919" s="100"/>
      <c r="W2919" s="100"/>
      <c r="X2919" s="100"/>
      <c r="Y2919" s="100"/>
      <c r="Z2919" s="100"/>
    </row>
    <row r="2920" spans="1:26">
      <c r="A2920" s="100" t="e">
        <f ca="1">IFERROR(__xludf.DUMMYFUNCTION("""COMPUTED_VALUE"""),58786255)</f>
        <v>#NAME?</v>
      </c>
      <c r="B2920" s="100" t="e">
        <f ca="1">IFERROR(__xludf.DUMMYFUNCTION("""COMPUTED_VALUE"""),"ANIMEFDUSD")</f>
        <v>#NAME?</v>
      </c>
      <c r="C2920" s="100" t="e">
        <f ca="1">IFERROR(__xludf.DUMMYFUNCTION("""COMPUTED_VALUE"""),"0.01650000")</f>
        <v>#NAME?</v>
      </c>
      <c r="D2920" s="100" t="e">
        <f t="shared" ca="1" si="470"/>
        <v>#NAME?</v>
      </c>
      <c r="E2920" s="100" t="e">
        <f t="shared" ca="1" si="470"/>
        <v>#NAME?</v>
      </c>
      <c r="F2920" s="100" t="e">
        <f t="shared" ca="1" si="465"/>
        <v>#NAME?</v>
      </c>
      <c r="G2920" s="100" t="e">
        <f t="shared" ca="1" si="466"/>
        <v>#NAME?</v>
      </c>
      <c r="H2920" s="100" t="e">
        <f t="shared" ca="1" si="467"/>
        <v>#NAME?</v>
      </c>
      <c r="I2920" s="100" t="e">
        <f t="shared" ca="1" si="468"/>
        <v>#NAME?</v>
      </c>
      <c r="J2920" s="100" t="e">
        <f ca="1">IFERROR(__xludf.DUMMYFUNCTION("""COMPUTED_VALUE"""),"-5.660")</f>
        <v>#NAME?</v>
      </c>
      <c r="K2920" s="100" t="e">
        <f t="shared" ca="1" si="469"/>
        <v>#NAME?</v>
      </c>
      <c r="L2920" s="100"/>
      <c r="M2920" s="100"/>
      <c r="N2920" s="100"/>
      <c r="O2920" s="100"/>
      <c r="P2920" s="100"/>
      <c r="Q2920" s="100"/>
      <c r="R2920" s="100"/>
      <c r="S2920" s="100"/>
      <c r="T2920" s="100"/>
      <c r="U2920" s="100"/>
      <c r="V2920" s="100"/>
      <c r="W2920" s="100"/>
      <c r="X2920" s="100"/>
      <c r="Y2920" s="100"/>
      <c r="Z2920" s="100"/>
    </row>
    <row r="2921" spans="1:26">
      <c r="A2921" s="100" t="e">
        <f ca="1">IFERROR(__xludf.DUMMYFUNCTION("""COMPUTED_VALUE"""),58786256)</f>
        <v>#NAME?</v>
      </c>
      <c r="B2921" s="100" t="e">
        <f ca="1">IFERROR(__xludf.DUMMYFUNCTION("""COMPUTED_VALUE"""),"ANIMETRY")</f>
        <v>#NAME?</v>
      </c>
      <c r="C2921" s="100" t="e">
        <f ca="1">IFERROR(__xludf.DUMMYFUNCTION("""COMPUTED_VALUE"""),"0.62500000")</f>
        <v>#NAME?</v>
      </c>
      <c r="D2921" s="100" t="e">
        <f t="shared" ca="1" si="470"/>
        <v>#NAME?</v>
      </c>
      <c r="E2921" s="100" t="e">
        <f t="shared" ca="1" si="470"/>
        <v>#NAME?</v>
      </c>
      <c r="F2921" s="100" t="e">
        <f t="shared" ca="1" si="465"/>
        <v>#NAME?</v>
      </c>
      <c r="G2921" s="100" t="e">
        <f t="shared" ca="1" si="466"/>
        <v>#NAME?</v>
      </c>
      <c r="H2921" s="100" t="e">
        <f t="shared" ca="1" si="467"/>
        <v>#NAME?</v>
      </c>
      <c r="I2921" s="100" t="e">
        <f t="shared" ca="1" si="468"/>
        <v>#NAME?</v>
      </c>
      <c r="J2921" s="100" t="e">
        <f ca="1">IFERROR(__xludf.DUMMYFUNCTION("""COMPUTED_VALUE"""),"-6.297")</f>
        <v>#NAME?</v>
      </c>
      <c r="K2921" s="100" t="e">
        <f t="shared" ca="1" si="469"/>
        <v>#NAME?</v>
      </c>
      <c r="L2921" s="100"/>
      <c r="M2921" s="100"/>
      <c r="N2921" s="100"/>
      <c r="O2921" s="100"/>
      <c r="P2921" s="100"/>
      <c r="Q2921" s="100"/>
      <c r="R2921" s="100"/>
      <c r="S2921" s="100"/>
      <c r="T2921" s="100"/>
      <c r="U2921" s="100"/>
      <c r="V2921" s="100"/>
      <c r="W2921" s="100"/>
      <c r="X2921" s="100"/>
      <c r="Y2921" s="100"/>
      <c r="Z2921" s="100"/>
    </row>
    <row r="2922" spans="1:26">
      <c r="A2922" s="100" t="e">
        <f ca="1">IFERROR(__xludf.DUMMYFUNCTION("""COMPUTED_VALUE"""),58786257)</f>
        <v>#NAME?</v>
      </c>
      <c r="B2922" s="100" t="e">
        <f ca="1">IFERROR(__xludf.DUMMYFUNCTION("""COMPUTED_VALUE"""),"BERABTC")</f>
        <v>#NAME?</v>
      </c>
      <c r="C2922" s="100" t="e">
        <f ca="1">IFERROR(__xludf.DUMMYFUNCTION("""COMPUTED_VALUE"""),"0.00003856")</f>
        <v>#NAME?</v>
      </c>
      <c r="D2922" s="100" t="e">
        <f t="shared" ref="D2922:E2941" ca="1" si="471">IFERROR(__xludf.DUMMYFUNCTION("""COMPUTED_VALUE"""),"-")</f>
        <v>#NAME?</v>
      </c>
      <c r="E2922" s="100" t="e">
        <f t="shared" ca="1" si="471"/>
        <v>#NAME?</v>
      </c>
      <c r="F2922" s="100" t="e">
        <f t="shared" ca="1" si="465"/>
        <v>#NAME?</v>
      </c>
      <c r="G2922" s="100" t="e">
        <f t="shared" ca="1" si="466"/>
        <v>#NAME?</v>
      </c>
      <c r="H2922" s="100" t="e">
        <f t="shared" ca="1" si="467"/>
        <v>#NAME?</v>
      </c>
      <c r="I2922" s="100" t="e">
        <f t="shared" ca="1" si="468"/>
        <v>#NAME?</v>
      </c>
      <c r="J2922" s="100" t="e">
        <f ca="1">IFERROR(__xludf.DUMMYFUNCTION("""COMPUTED_VALUE"""),"-3.334")</f>
        <v>#NAME?</v>
      </c>
      <c r="K2922" s="100" t="e">
        <f t="shared" ca="1" si="469"/>
        <v>#NAME?</v>
      </c>
      <c r="L2922" s="100"/>
      <c r="M2922" s="100"/>
      <c r="N2922" s="100"/>
      <c r="O2922" s="100"/>
      <c r="P2922" s="100"/>
      <c r="Q2922" s="100"/>
      <c r="R2922" s="100"/>
      <c r="S2922" s="100"/>
      <c r="T2922" s="100"/>
      <c r="U2922" s="100"/>
      <c r="V2922" s="100"/>
      <c r="W2922" s="100"/>
      <c r="X2922" s="100"/>
      <c r="Y2922" s="100"/>
      <c r="Z2922" s="100"/>
    </row>
    <row r="2923" spans="1:26">
      <c r="A2923" s="100" t="e">
        <f ca="1">IFERROR(__xludf.DUMMYFUNCTION("""COMPUTED_VALUE"""),58786258)</f>
        <v>#NAME?</v>
      </c>
      <c r="B2923" s="100" t="e">
        <f ca="1">IFERROR(__xludf.DUMMYFUNCTION("""COMPUTED_VALUE"""),"BERAUSDT")</f>
        <v>#NAME?</v>
      </c>
      <c r="C2923" s="100" t="e">
        <f ca="1">IFERROR(__xludf.DUMMYFUNCTION("""COMPUTED_VALUE"""),"3.42100000")</f>
        <v>#NAME?</v>
      </c>
      <c r="D2923" s="100" t="e">
        <f t="shared" ca="1" si="471"/>
        <v>#NAME?</v>
      </c>
      <c r="E2923" s="100" t="e">
        <f t="shared" ca="1" si="471"/>
        <v>#NAME?</v>
      </c>
      <c r="F2923" s="100" t="e">
        <f t="shared" ca="1" si="465"/>
        <v>#NAME?</v>
      </c>
      <c r="G2923" s="100" t="e">
        <f t="shared" ca="1" si="466"/>
        <v>#NAME?</v>
      </c>
      <c r="H2923" s="100" t="e">
        <f t="shared" ca="1" si="467"/>
        <v>#NAME?</v>
      </c>
      <c r="I2923" s="100" t="e">
        <f t="shared" ca="1" si="468"/>
        <v>#NAME?</v>
      </c>
      <c r="J2923" s="100" t="e">
        <f ca="1">IFERROR(__xludf.DUMMYFUNCTION("""COMPUTED_VALUE"""),"-1.865")</f>
        <v>#NAME?</v>
      </c>
      <c r="K2923" s="100" t="e">
        <f t="shared" ca="1" si="469"/>
        <v>#NAME?</v>
      </c>
      <c r="L2923" s="100"/>
      <c r="M2923" s="100"/>
      <c r="N2923" s="100"/>
      <c r="O2923" s="100"/>
      <c r="P2923" s="100"/>
      <c r="Q2923" s="100"/>
      <c r="R2923" s="100"/>
      <c r="S2923" s="100"/>
      <c r="T2923" s="100"/>
      <c r="U2923" s="100"/>
      <c r="V2923" s="100"/>
      <c r="W2923" s="100"/>
      <c r="X2923" s="100"/>
      <c r="Y2923" s="100"/>
      <c r="Z2923" s="100"/>
    </row>
    <row r="2924" spans="1:26">
      <c r="A2924" s="100" t="e">
        <f ca="1">IFERROR(__xludf.DUMMYFUNCTION("""COMPUTED_VALUE"""),58786259)</f>
        <v>#NAME?</v>
      </c>
      <c r="B2924" s="100" t="e">
        <f ca="1">IFERROR(__xludf.DUMMYFUNCTION("""COMPUTED_VALUE"""),"BERAUSDC")</f>
        <v>#NAME?</v>
      </c>
      <c r="C2924" s="100" t="e">
        <f ca="1">IFERROR(__xludf.DUMMYFUNCTION("""COMPUTED_VALUE"""),"3.42100000")</f>
        <v>#NAME?</v>
      </c>
      <c r="D2924" s="100" t="e">
        <f t="shared" ca="1" si="471"/>
        <v>#NAME?</v>
      </c>
      <c r="E2924" s="100" t="e">
        <f t="shared" ca="1" si="471"/>
        <v>#NAME?</v>
      </c>
      <c r="F2924" s="100" t="e">
        <f t="shared" ca="1" si="465"/>
        <v>#NAME?</v>
      </c>
      <c r="G2924" s="100" t="e">
        <f t="shared" ca="1" si="466"/>
        <v>#NAME?</v>
      </c>
      <c r="H2924" s="100" t="e">
        <f t="shared" ca="1" si="467"/>
        <v>#NAME?</v>
      </c>
      <c r="I2924" s="100" t="e">
        <f t="shared" ca="1" si="468"/>
        <v>#NAME?</v>
      </c>
      <c r="J2924" s="100" t="e">
        <f ca="1">IFERROR(__xludf.DUMMYFUNCTION("""COMPUTED_VALUE"""),"-1.893")</f>
        <v>#NAME?</v>
      </c>
      <c r="K2924" s="100" t="e">
        <f t="shared" ca="1" si="469"/>
        <v>#NAME?</v>
      </c>
      <c r="L2924" s="100"/>
      <c r="M2924" s="100"/>
      <c r="N2924" s="100"/>
      <c r="O2924" s="100"/>
      <c r="P2924" s="100"/>
      <c r="Q2924" s="100"/>
      <c r="R2924" s="100"/>
      <c r="S2924" s="100"/>
      <c r="T2924" s="100"/>
      <c r="U2924" s="100"/>
      <c r="V2924" s="100"/>
      <c r="W2924" s="100"/>
      <c r="X2924" s="100"/>
      <c r="Y2924" s="100"/>
      <c r="Z2924" s="100"/>
    </row>
    <row r="2925" spans="1:26">
      <c r="A2925" s="100" t="e">
        <f ca="1">IFERROR(__xludf.DUMMYFUNCTION("""COMPUTED_VALUE"""),58786260)</f>
        <v>#NAME?</v>
      </c>
      <c r="B2925" s="100" t="e">
        <f ca="1">IFERROR(__xludf.DUMMYFUNCTION("""COMPUTED_VALUE"""),"BERAFDUSD")</f>
        <v>#NAME?</v>
      </c>
      <c r="C2925" s="100" t="e">
        <f ca="1">IFERROR(__xludf.DUMMYFUNCTION("""COMPUTED_VALUE"""),"3.41800000")</f>
        <v>#NAME?</v>
      </c>
      <c r="D2925" s="100" t="e">
        <f t="shared" ca="1" si="471"/>
        <v>#NAME?</v>
      </c>
      <c r="E2925" s="100" t="e">
        <f t="shared" ca="1" si="471"/>
        <v>#NAME?</v>
      </c>
      <c r="F2925" s="100" t="e">
        <f t="shared" ca="1" si="465"/>
        <v>#NAME?</v>
      </c>
      <c r="G2925" s="100" t="e">
        <f t="shared" ca="1" si="466"/>
        <v>#NAME?</v>
      </c>
      <c r="H2925" s="100" t="e">
        <f t="shared" ca="1" si="467"/>
        <v>#NAME?</v>
      </c>
      <c r="I2925" s="100" t="e">
        <f t="shared" ca="1" si="468"/>
        <v>#NAME?</v>
      </c>
      <c r="J2925" s="100" t="e">
        <f ca="1">IFERROR(__xludf.DUMMYFUNCTION("""COMPUTED_VALUE"""),"-2.091")</f>
        <v>#NAME?</v>
      </c>
      <c r="K2925" s="100" t="e">
        <f t="shared" ca="1" si="469"/>
        <v>#NAME?</v>
      </c>
      <c r="L2925" s="100"/>
      <c r="M2925" s="100"/>
      <c r="N2925" s="100"/>
      <c r="O2925" s="100"/>
      <c r="P2925" s="100"/>
      <c r="Q2925" s="100"/>
      <c r="R2925" s="100"/>
      <c r="S2925" s="100"/>
      <c r="T2925" s="100"/>
      <c r="U2925" s="100"/>
      <c r="V2925" s="100"/>
      <c r="W2925" s="100"/>
      <c r="X2925" s="100"/>
      <c r="Y2925" s="100"/>
      <c r="Z2925" s="100"/>
    </row>
    <row r="2926" spans="1:26">
      <c r="A2926" s="100" t="e">
        <f ca="1">IFERROR(__xludf.DUMMYFUNCTION("""COMPUTED_VALUE"""),58786261)</f>
        <v>#NAME?</v>
      </c>
      <c r="B2926" s="100" t="e">
        <f ca="1">IFERROR(__xludf.DUMMYFUNCTION("""COMPUTED_VALUE"""),"BERABNB")</f>
        <v>#NAME?</v>
      </c>
      <c r="C2926" s="100" t="e">
        <f ca="1">IFERROR(__xludf.DUMMYFUNCTION("""COMPUTED_VALUE"""),"0.00563000")</f>
        <v>#NAME?</v>
      </c>
      <c r="D2926" s="100" t="e">
        <f t="shared" ca="1" si="471"/>
        <v>#NAME?</v>
      </c>
      <c r="E2926" s="100" t="e">
        <f t="shared" ca="1" si="471"/>
        <v>#NAME?</v>
      </c>
      <c r="F2926" s="100" t="e">
        <f t="shared" ca="1" si="465"/>
        <v>#NAME?</v>
      </c>
      <c r="G2926" s="100" t="e">
        <f t="shared" ca="1" si="466"/>
        <v>#NAME?</v>
      </c>
      <c r="H2926" s="100" t="e">
        <f t="shared" ca="1" si="467"/>
        <v>#NAME?</v>
      </c>
      <c r="I2926" s="100" t="e">
        <f t="shared" ca="1" si="468"/>
        <v>#NAME?</v>
      </c>
      <c r="J2926" s="100" t="e">
        <f ca="1">IFERROR(__xludf.DUMMYFUNCTION("""COMPUTED_VALUE"""),"-2.881")</f>
        <v>#NAME?</v>
      </c>
      <c r="K2926" s="100" t="e">
        <f t="shared" ca="1" si="469"/>
        <v>#NAME?</v>
      </c>
      <c r="L2926" s="100"/>
      <c r="M2926" s="100"/>
      <c r="N2926" s="100"/>
      <c r="O2926" s="100"/>
      <c r="P2926" s="100"/>
      <c r="Q2926" s="100"/>
      <c r="R2926" s="100"/>
      <c r="S2926" s="100"/>
      <c r="T2926" s="100"/>
      <c r="U2926" s="100"/>
      <c r="V2926" s="100"/>
      <c r="W2926" s="100"/>
      <c r="X2926" s="100"/>
      <c r="Y2926" s="100"/>
      <c r="Z2926" s="100"/>
    </row>
    <row r="2927" spans="1:26">
      <c r="A2927" s="100" t="e">
        <f ca="1">IFERROR(__xludf.DUMMYFUNCTION("""COMPUTED_VALUE"""),58786262)</f>
        <v>#NAME?</v>
      </c>
      <c r="B2927" s="100" t="e">
        <f ca="1">IFERROR(__xludf.DUMMYFUNCTION("""COMPUTED_VALUE"""),"BERATRY")</f>
        <v>#NAME?</v>
      </c>
      <c r="C2927" s="100" t="e">
        <f ca="1">IFERROR(__xludf.DUMMYFUNCTION("""COMPUTED_VALUE"""),"130.73000000")</f>
        <v>#NAME?</v>
      </c>
      <c r="D2927" s="100" t="e">
        <f t="shared" ca="1" si="471"/>
        <v>#NAME?</v>
      </c>
      <c r="E2927" s="100" t="e">
        <f t="shared" ca="1" si="471"/>
        <v>#NAME?</v>
      </c>
      <c r="F2927" s="100" t="e">
        <f t="shared" ca="1" si="465"/>
        <v>#NAME?</v>
      </c>
      <c r="G2927" s="100" t="e">
        <f t="shared" ca="1" si="466"/>
        <v>#NAME?</v>
      </c>
      <c r="H2927" s="100" t="e">
        <f t="shared" ca="1" si="467"/>
        <v>#NAME?</v>
      </c>
      <c r="I2927" s="100" t="e">
        <f t="shared" ca="1" si="468"/>
        <v>#NAME?</v>
      </c>
      <c r="J2927" s="100" t="e">
        <f ca="1">IFERROR(__xludf.DUMMYFUNCTION("""COMPUTED_VALUE"""),"-2.060")</f>
        <v>#NAME?</v>
      </c>
      <c r="K2927" s="100" t="e">
        <f t="shared" ca="1" si="469"/>
        <v>#NAME?</v>
      </c>
      <c r="L2927" s="100"/>
      <c r="M2927" s="100"/>
      <c r="N2927" s="100"/>
      <c r="O2927" s="100"/>
      <c r="P2927" s="100"/>
      <c r="Q2927" s="100"/>
      <c r="R2927" s="100"/>
      <c r="S2927" s="100"/>
      <c r="T2927" s="100"/>
      <c r="U2927" s="100"/>
      <c r="V2927" s="100"/>
      <c r="W2927" s="100"/>
      <c r="X2927" s="100"/>
      <c r="Y2927" s="100"/>
      <c r="Z2927" s="100"/>
    </row>
    <row r="2928" spans="1:26">
      <c r="A2928" s="100" t="e">
        <f ca="1">IFERROR(__xludf.DUMMYFUNCTION("""COMPUTED_VALUE"""),58786263)</f>
        <v>#NAME?</v>
      </c>
      <c r="B2928" s="100" t="e">
        <f ca="1">IFERROR(__xludf.DUMMYFUNCTION("""COMPUTED_VALUE"""),"1000CHEEMSUSDT")</f>
        <v>#NAME?</v>
      </c>
      <c r="C2928" s="100" t="e">
        <f ca="1">IFERROR(__xludf.DUMMYFUNCTION("""COMPUTED_VALUE"""),"0.00131700")</f>
        <v>#NAME?</v>
      </c>
      <c r="D2928" s="100" t="e">
        <f t="shared" ca="1" si="471"/>
        <v>#NAME?</v>
      </c>
      <c r="E2928" s="100" t="e">
        <f t="shared" ca="1" si="471"/>
        <v>#NAME?</v>
      </c>
      <c r="F2928" s="100" t="e">
        <f t="shared" ca="1" si="465"/>
        <v>#NAME?</v>
      </c>
      <c r="G2928" s="100" t="e">
        <f t="shared" ca="1" si="466"/>
        <v>#NAME?</v>
      </c>
      <c r="H2928" s="100" t="e">
        <f t="shared" ca="1" si="467"/>
        <v>#NAME?</v>
      </c>
      <c r="I2928" s="100" t="e">
        <f t="shared" ca="1" si="468"/>
        <v>#NAME?</v>
      </c>
      <c r="J2928" s="100" t="e">
        <f ca="1">IFERROR(__xludf.DUMMYFUNCTION("""COMPUTED_VALUE"""),"3.213")</f>
        <v>#NAME?</v>
      </c>
      <c r="K2928" s="100" t="e">
        <f t="shared" ca="1" si="469"/>
        <v>#NAME?</v>
      </c>
      <c r="L2928" s="100"/>
      <c r="M2928" s="100"/>
      <c r="N2928" s="100"/>
      <c r="O2928" s="100"/>
      <c r="P2928" s="100"/>
      <c r="Q2928" s="100"/>
      <c r="R2928" s="100"/>
      <c r="S2928" s="100"/>
      <c r="T2928" s="100"/>
      <c r="U2928" s="100"/>
      <c r="V2928" s="100"/>
      <c r="W2928" s="100"/>
      <c r="X2928" s="100"/>
      <c r="Y2928" s="100"/>
      <c r="Z2928" s="100"/>
    </row>
    <row r="2929" spans="1:26">
      <c r="A2929" s="100" t="e">
        <f ca="1">IFERROR(__xludf.DUMMYFUNCTION("""COMPUTED_VALUE"""),58786264)</f>
        <v>#NAME?</v>
      </c>
      <c r="B2929" s="100" t="e">
        <f ca="1">IFERROR(__xludf.DUMMYFUNCTION("""COMPUTED_VALUE"""),"1000CHEEMSUSDC")</f>
        <v>#NAME?</v>
      </c>
      <c r="C2929" s="100" t="e">
        <f ca="1">IFERROR(__xludf.DUMMYFUNCTION("""COMPUTED_VALUE"""),"0.00131700")</f>
        <v>#NAME?</v>
      </c>
      <c r="D2929" s="100" t="e">
        <f t="shared" ca="1" si="471"/>
        <v>#NAME?</v>
      </c>
      <c r="E2929" s="100" t="e">
        <f t="shared" ca="1" si="471"/>
        <v>#NAME?</v>
      </c>
      <c r="F2929" s="100" t="e">
        <f t="shared" ca="1" si="465"/>
        <v>#NAME?</v>
      </c>
      <c r="G2929" s="100" t="e">
        <f t="shared" ca="1" si="466"/>
        <v>#NAME?</v>
      </c>
      <c r="H2929" s="100" t="e">
        <f t="shared" ca="1" si="467"/>
        <v>#NAME?</v>
      </c>
      <c r="I2929" s="100" t="e">
        <f t="shared" ca="1" si="468"/>
        <v>#NAME?</v>
      </c>
      <c r="J2929" s="100" t="e">
        <f ca="1">IFERROR(__xludf.DUMMYFUNCTION("""COMPUTED_VALUE"""),"3.783")</f>
        <v>#NAME?</v>
      </c>
      <c r="K2929" s="100" t="e">
        <f t="shared" ca="1" si="469"/>
        <v>#NAME?</v>
      </c>
      <c r="L2929" s="100"/>
      <c r="M2929" s="100"/>
      <c r="N2929" s="100"/>
      <c r="O2929" s="100"/>
      <c r="P2929" s="100"/>
      <c r="Q2929" s="100"/>
      <c r="R2929" s="100"/>
      <c r="S2929" s="100"/>
      <c r="T2929" s="100"/>
      <c r="U2929" s="100"/>
      <c r="V2929" s="100"/>
      <c r="W2929" s="100"/>
      <c r="X2929" s="100"/>
      <c r="Y2929" s="100"/>
      <c r="Z2929" s="100"/>
    </row>
    <row r="2930" spans="1:26">
      <c r="A2930" s="100" t="e">
        <f ca="1">IFERROR(__xludf.DUMMYFUNCTION("""COMPUTED_VALUE"""),58786265)</f>
        <v>#NAME?</v>
      </c>
      <c r="B2930" s="100" t="e">
        <f ca="1">IFERROR(__xludf.DUMMYFUNCTION("""COMPUTED_VALUE"""),"TSTUSDT")</f>
        <v>#NAME?</v>
      </c>
      <c r="C2930" s="100" t="e">
        <f ca="1">IFERROR(__xludf.DUMMYFUNCTION("""COMPUTED_VALUE"""),"0.06540000")</f>
        <v>#NAME?</v>
      </c>
      <c r="D2930" s="100" t="e">
        <f t="shared" ca="1" si="471"/>
        <v>#NAME?</v>
      </c>
      <c r="E2930" s="100" t="e">
        <f t="shared" ca="1" si="471"/>
        <v>#NAME?</v>
      </c>
      <c r="F2930" s="100" t="e">
        <f t="shared" ca="1" si="465"/>
        <v>#NAME?</v>
      </c>
      <c r="G2930" s="100" t="e">
        <f t="shared" ca="1" si="466"/>
        <v>#NAME?</v>
      </c>
      <c r="H2930" s="100" t="e">
        <f t="shared" ca="1" si="467"/>
        <v>#NAME?</v>
      </c>
      <c r="I2930" s="100" t="e">
        <f t="shared" ca="1" si="468"/>
        <v>#NAME?</v>
      </c>
      <c r="J2930" s="100" t="e">
        <f ca="1">IFERROR(__xludf.DUMMYFUNCTION("""COMPUTED_VALUE"""),"-2.679")</f>
        <v>#NAME?</v>
      </c>
      <c r="K2930" s="100" t="e">
        <f t="shared" ca="1" si="469"/>
        <v>#NAME?</v>
      </c>
      <c r="L2930" s="100"/>
      <c r="M2930" s="100"/>
      <c r="N2930" s="100"/>
      <c r="O2930" s="100"/>
      <c r="P2930" s="100"/>
      <c r="Q2930" s="100"/>
      <c r="R2930" s="100"/>
      <c r="S2930" s="100"/>
      <c r="T2930" s="100"/>
      <c r="U2930" s="100"/>
      <c r="V2930" s="100"/>
      <c r="W2930" s="100"/>
      <c r="X2930" s="100"/>
      <c r="Y2930" s="100"/>
      <c r="Z2930" s="100"/>
    </row>
    <row r="2931" spans="1:26">
      <c r="A2931" s="100" t="e">
        <f ca="1">IFERROR(__xludf.DUMMYFUNCTION("""COMPUTED_VALUE"""),58786266)</f>
        <v>#NAME?</v>
      </c>
      <c r="B2931" s="100" t="e">
        <f ca="1">IFERROR(__xludf.DUMMYFUNCTION("""COMPUTED_VALUE"""),"TSTUSDC")</f>
        <v>#NAME?</v>
      </c>
      <c r="C2931" s="100" t="e">
        <f ca="1">IFERROR(__xludf.DUMMYFUNCTION("""COMPUTED_VALUE"""),"0.06530000")</f>
        <v>#NAME?</v>
      </c>
      <c r="D2931" s="100" t="e">
        <f t="shared" ca="1" si="471"/>
        <v>#NAME?</v>
      </c>
      <c r="E2931" s="100" t="e">
        <f t="shared" ca="1" si="471"/>
        <v>#NAME?</v>
      </c>
      <c r="F2931" s="100" t="e">
        <f t="shared" ca="1" si="465"/>
        <v>#NAME?</v>
      </c>
      <c r="G2931" s="100" t="e">
        <f t="shared" ca="1" si="466"/>
        <v>#NAME?</v>
      </c>
      <c r="H2931" s="100" t="e">
        <f t="shared" ca="1" si="467"/>
        <v>#NAME?</v>
      </c>
      <c r="I2931" s="100" t="e">
        <f t="shared" ca="1" si="468"/>
        <v>#NAME?</v>
      </c>
      <c r="J2931" s="100" t="e">
        <f ca="1">IFERROR(__xludf.DUMMYFUNCTION("""COMPUTED_VALUE"""),"-2.537")</f>
        <v>#NAME?</v>
      </c>
      <c r="K2931" s="100" t="e">
        <f t="shared" ca="1" si="469"/>
        <v>#NAME?</v>
      </c>
      <c r="L2931" s="100"/>
      <c r="M2931" s="100"/>
      <c r="N2931" s="100"/>
      <c r="O2931" s="100"/>
      <c r="P2931" s="100"/>
      <c r="Q2931" s="100"/>
      <c r="R2931" s="100"/>
      <c r="S2931" s="100"/>
      <c r="T2931" s="100"/>
      <c r="U2931" s="100"/>
      <c r="V2931" s="100"/>
      <c r="W2931" s="100"/>
      <c r="X2931" s="100"/>
      <c r="Y2931" s="100"/>
      <c r="Z2931" s="100"/>
    </row>
    <row r="2932" spans="1:26">
      <c r="A2932" s="100" t="e">
        <f ca="1">IFERROR(__xludf.DUMMYFUNCTION("""COMPUTED_VALUE"""),58786267)</f>
        <v>#NAME?</v>
      </c>
      <c r="B2932" s="100" t="e">
        <f ca="1">IFERROR(__xludf.DUMMYFUNCTION("""COMPUTED_VALUE"""),"LAYERBTC")</f>
        <v>#NAME?</v>
      </c>
      <c r="C2932" s="100" t="e">
        <f ca="1">IFERROR(__xludf.DUMMYFUNCTION("""COMPUTED_VALUE"""),"0.00002215")</f>
        <v>#NAME?</v>
      </c>
      <c r="D2932" s="100" t="e">
        <f t="shared" ca="1" si="471"/>
        <v>#NAME?</v>
      </c>
      <c r="E2932" s="100" t="e">
        <f t="shared" ca="1" si="471"/>
        <v>#NAME?</v>
      </c>
      <c r="F2932" s="100" t="e">
        <f t="shared" ca="1" si="465"/>
        <v>#NAME?</v>
      </c>
      <c r="G2932" s="100" t="e">
        <f t="shared" ca="1" si="466"/>
        <v>#NAME?</v>
      </c>
      <c r="H2932" s="100" t="e">
        <f t="shared" ca="1" si="467"/>
        <v>#NAME?</v>
      </c>
      <c r="I2932" s="100" t="e">
        <f t="shared" ca="1" si="468"/>
        <v>#NAME?</v>
      </c>
      <c r="J2932" s="100" t="e">
        <f ca="1">IFERROR(__xludf.DUMMYFUNCTION("""COMPUTED_VALUE"""),"-10.251")</f>
        <v>#NAME?</v>
      </c>
      <c r="K2932" s="100" t="e">
        <f t="shared" ca="1" si="469"/>
        <v>#NAME?</v>
      </c>
      <c r="L2932" s="100"/>
      <c r="M2932" s="100"/>
      <c r="N2932" s="100"/>
      <c r="O2932" s="100"/>
      <c r="P2932" s="100"/>
      <c r="Q2932" s="100"/>
      <c r="R2932" s="100"/>
      <c r="S2932" s="100"/>
      <c r="T2932" s="100"/>
      <c r="U2932" s="100"/>
      <c r="V2932" s="100"/>
      <c r="W2932" s="100"/>
      <c r="X2932" s="100"/>
      <c r="Y2932" s="100"/>
      <c r="Z2932" s="100"/>
    </row>
    <row r="2933" spans="1:26">
      <c r="A2933" s="100" t="e">
        <f ca="1">IFERROR(__xludf.DUMMYFUNCTION("""COMPUTED_VALUE"""),58786268)</f>
        <v>#NAME?</v>
      </c>
      <c r="B2933" s="100" t="e">
        <f ca="1">IFERROR(__xludf.DUMMYFUNCTION("""COMPUTED_VALUE"""),"LAYERUSDT")</f>
        <v>#NAME?</v>
      </c>
      <c r="C2933" s="100" t="e">
        <f ca="1">IFERROR(__xludf.DUMMYFUNCTION("""COMPUTED_VALUE"""),"1.96180000")</f>
        <v>#NAME?</v>
      </c>
      <c r="D2933" s="100" t="e">
        <f t="shared" ca="1" si="471"/>
        <v>#NAME?</v>
      </c>
      <c r="E2933" s="100" t="e">
        <f t="shared" ca="1" si="471"/>
        <v>#NAME?</v>
      </c>
      <c r="F2933" s="100" t="e">
        <f t="shared" ca="1" si="465"/>
        <v>#NAME?</v>
      </c>
      <c r="G2933" s="100" t="e">
        <f t="shared" ca="1" si="466"/>
        <v>#NAME?</v>
      </c>
      <c r="H2933" s="100" t="e">
        <f t="shared" ca="1" si="467"/>
        <v>#NAME?</v>
      </c>
      <c r="I2933" s="100" t="e">
        <f t="shared" ca="1" si="468"/>
        <v>#NAME?</v>
      </c>
      <c r="J2933" s="100" t="e">
        <f ca="1">IFERROR(__xludf.DUMMYFUNCTION("""COMPUTED_VALUE"""),"-8.809")</f>
        <v>#NAME?</v>
      </c>
      <c r="K2933" s="100" t="e">
        <f t="shared" ca="1" si="469"/>
        <v>#NAME?</v>
      </c>
      <c r="L2933" s="100"/>
      <c r="M2933" s="100"/>
      <c r="N2933" s="100"/>
      <c r="O2933" s="100"/>
      <c r="P2933" s="100"/>
      <c r="Q2933" s="100"/>
      <c r="R2933" s="100"/>
      <c r="S2933" s="100"/>
      <c r="T2933" s="100"/>
      <c r="U2933" s="100"/>
      <c r="V2933" s="100"/>
      <c r="W2933" s="100"/>
      <c r="X2933" s="100"/>
      <c r="Y2933" s="100"/>
      <c r="Z2933" s="100"/>
    </row>
    <row r="2934" spans="1:26">
      <c r="A2934" s="100" t="e">
        <f ca="1">IFERROR(__xludf.DUMMYFUNCTION("""COMPUTED_VALUE"""),58786269)</f>
        <v>#NAME?</v>
      </c>
      <c r="B2934" s="100" t="e">
        <f ca="1">IFERROR(__xludf.DUMMYFUNCTION("""COMPUTED_VALUE"""),"LAYERUSDC")</f>
        <v>#NAME?</v>
      </c>
      <c r="C2934" s="100" t="e">
        <f ca="1">IFERROR(__xludf.DUMMYFUNCTION("""COMPUTED_VALUE"""),"1.96230000")</f>
        <v>#NAME?</v>
      </c>
      <c r="D2934" s="100" t="e">
        <f t="shared" ca="1" si="471"/>
        <v>#NAME?</v>
      </c>
      <c r="E2934" s="100" t="e">
        <f t="shared" ca="1" si="471"/>
        <v>#NAME?</v>
      </c>
      <c r="F2934" s="100" t="e">
        <f t="shared" ca="1" si="465"/>
        <v>#NAME?</v>
      </c>
      <c r="G2934" s="100" t="e">
        <f t="shared" ca="1" si="466"/>
        <v>#NAME?</v>
      </c>
      <c r="H2934" s="100" t="e">
        <f t="shared" ca="1" si="467"/>
        <v>#NAME?</v>
      </c>
      <c r="I2934" s="100" t="e">
        <f t="shared" ca="1" si="468"/>
        <v>#NAME?</v>
      </c>
      <c r="J2934" s="100" t="e">
        <f ca="1">IFERROR(__xludf.DUMMYFUNCTION("""COMPUTED_VALUE"""),"-8.781")</f>
        <v>#NAME?</v>
      </c>
      <c r="K2934" s="100" t="e">
        <f t="shared" ca="1" si="469"/>
        <v>#NAME?</v>
      </c>
      <c r="L2934" s="100"/>
      <c r="M2934" s="100"/>
      <c r="N2934" s="100"/>
      <c r="O2934" s="100"/>
      <c r="P2934" s="100"/>
      <c r="Q2934" s="100"/>
      <c r="R2934" s="100"/>
      <c r="S2934" s="100"/>
      <c r="T2934" s="100"/>
      <c r="U2934" s="100"/>
      <c r="V2934" s="100"/>
      <c r="W2934" s="100"/>
      <c r="X2934" s="100"/>
      <c r="Y2934" s="100"/>
      <c r="Z2934" s="100"/>
    </row>
    <row r="2935" spans="1:26">
      <c r="A2935" s="100" t="e">
        <f ca="1">IFERROR(__xludf.DUMMYFUNCTION("""COMPUTED_VALUE"""),58786270)</f>
        <v>#NAME?</v>
      </c>
      <c r="B2935" s="100" t="e">
        <f ca="1">IFERROR(__xludf.DUMMYFUNCTION("""COMPUTED_VALUE"""),"LAYERBNB")</f>
        <v>#NAME?</v>
      </c>
      <c r="C2935" s="100" t="e">
        <f ca="1">IFERROR(__xludf.DUMMYFUNCTION("""COMPUTED_VALUE"""),"0.00327580")</f>
        <v>#NAME?</v>
      </c>
      <c r="D2935" s="100" t="e">
        <f t="shared" ca="1" si="471"/>
        <v>#NAME?</v>
      </c>
      <c r="E2935" s="100" t="e">
        <f t="shared" ca="1" si="471"/>
        <v>#NAME?</v>
      </c>
      <c r="F2935" s="100" t="e">
        <f t="shared" ca="1" si="465"/>
        <v>#NAME?</v>
      </c>
      <c r="G2935" s="100" t="e">
        <f t="shared" ca="1" si="466"/>
        <v>#NAME?</v>
      </c>
      <c r="H2935" s="100" t="e">
        <f t="shared" ca="1" si="467"/>
        <v>#NAME?</v>
      </c>
      <c r="I2935" s="100" t="e">
        <f t="shared" ca="1" si="468"/>
        <v>#NAME?</v>
      </c>
      <c r="J2935" s="100" t="e">
        <f ca="1">IFERROR(__xludf.DUMMYFUNCTION("""COMPUTED_VALUE"""),"-7.846")</f>
        <v>#NAME?</v>
      </c>
      <c r="K2935" s="100" t="e">
        <f t="shared" ca="1" si="469"/>
        <v>#NAME?</v>
      </c>
      <c r="L2935" s="100"/>
      <c r="M2935" s="100"/>
      <c r="N2935" s="100"/>
      <c r="O2935" s="100"/>
      <c r="P2935" s="100"/>
      <c r="Q2935" s="100"/>
      <c r="R2935" s="100"/>
      <c r="S2935" s="100"/>
      <c r="T2935" s="100"/>
      <c r="U2935" s="100"/>
      <c r="V2935" s="100"/>
      <c r="W2935" s="100"/>
      <c r="X2935" s="100"/>
      <c r="Y2935" s="100"/>
      <c r="Z2935" s="100"/>
    </row>
    <row r="2936" spans="1:26">
      <c r="A2936" s="100" t="e">
        <f ca="1">IFERROR(__xludf.DUMMYFUNCTION("""COMPUTED_VALUE"""),58786271)</f>
        <v>#NAME?</v>
      </c>
      <c r="B2936" s="100" t="e">
        <f ca="1">IFERROR(__xludf.DUMMYFUNCTION("""COMPUTED_VALUE"""),"LAYERFDUSD")</f>
        <v>#NAME?</v>
      </c>
      <c r="C2936" s="100" t="e">
        <f ca="1">IFERROR(__xludf.DUMMYFUNCTION("""COMPUTED_VALUE"""),"1.96850000")</f>
        <v>#NAME?</v>
      </c>
      <c r="D2936" s="100" t="e">
        <f t="shared" ca="1" si="471"/>
        <v>#NAME?</v>
      </c>
      <c r="E2936" s="100" t="e">
        <f t="shared" ca="1" si="471"/>
        <v>#NAME?</v>
      </c>
      <c r="F2936" s="100" t="e">
        <f t="shared" ca="1" si="465"/>
        <v>#NAME?</v>
      </c>
      <c r="G2936" s="100" t="e">
        <f t="shared" ca="1" si="466"/>
        <v>#NAME?</v>
      </c>
      <c r="H2936" s="100" t="e">
        <f t="shared" ca="1" si="467"/>
        <v>#NAME?</v>
      </c>
      <c r="I2936" s="100" t="e">
        <f t="shared" ca="1" si="468"/>
        <v>#NAME?</v>
      </c>
      <c r="J2936" s="100" t="e">
        <f ca="1">IFERROR(__xludf.DUMMYFUNCTION("""COMPUTED_VALUE"""),"-8.612")</f>
        <v>#NAME?</v>
      </c>
      <c r="K2936" s="100" t="e">
        <f t="shared" ca="1" si="469"/>
        <v>#NAME?</v>
      </c>
      <c r="L2936" s="100"/>
      <c r="M2936" s="100"/>
      <c r="N2936" s="100"/>
      <c r="O2936" s="100"/>
      <c r="P2936" s="100"/>
      <c r="Q2936" s="100"/>
      <c r="R2936" s="100"/>
      <c r="S2936" s="100"/>
      <c r="T2936" s="100"/>
      <c r="U2936" s="100"/>
      <c r="V2936" s="100"/>
      <c r="W2936" s="100"/>
      <c r="X2936" s="100"/>
      <c r="Y2936" s="100"/>
      <c r="Z2936" s="100"/>
    </row>
    <row r="2937" spans="1:26">
      <c r="A2937" s="100" t="e">
        <f ca="1">IFERROR(__xludf.DUMMYFUNCTION("""COMPUTED_VALUE"""),58786272)</f>
        <v>#NAME?</v>
      </c>
      <c r="B2937" s="100" t="e">
        <f ca="1">IFERROR(__xludf.DUMMYFUNCTION("""COMPUTED_VALUE"""),"LAYERTRY")</f>
        <v>#NAME?</v>
      </c>
      <c r="C2937" s="100" t="e">
        <f ca="1">IFERROR(__xludf.DUMMYFUNCTION("""COMPUTED_VALUE"""),"75.09000000")</f>
        <v>#NAME?</v>
      </c>
      <c r="D2937" s="100" t="e">
        <f t="shared" ca="1" si="471"/>
        <v>#NAME?</v>
      </c>
      <c r="E2937" s="100" t="e">
        <f t="shared" ca="1" si="471"/>
        <v>#NAME?</v>
      </c>
      <c r="F2937" s="100" t="e">
        <f t="shared" ca="1" si="465"/>
        <v>#NAME?</v>
      </c>
      <c r="G2937" s="100" t="e">
        <f t="shared" ca="1" si="466"/>
        <v>#NAME?</v>
      </c>
      <c r="H2937" s="100" t="e">
        <f t="shared" ca="1" si="467"/>
        <v>#NAME?</v>
      </c>
      <c r="I2937" s="100" t="e">
        <f t="shared" ca="1" si="468"/>
        <v>#NAME?</v>
      </c>
      <c r="J2937" s="100" t="e">
        <f ca="1">IFERROR(__xludf.DUMMYFUNCTION("""COMPUTED_VALUE"""),"-8.727")</f>
        <v>#NAME?</v>
      </c>
      <c r="K2937" s="100" t="e">
        <f t="shared" ca="1" si="469"/>
        <v>#NAME?</v>
      </c>
      <c r="L2937" s="100"/>
      <c r="M2937" s="100"/>
      <c r="N2937" s="100"/>
      <c r="O2937" s="100"/>
      <c r="P2937" s="100"/>
      <c r="Q2937" s="100"/>
      <c r="R2937" s="100"/>
      <c r="S2937" s="100"/>
      <c r="T2937" s="100"/>
      <c r="U2937" s="100"/>
      <c r="V2937" s="100"/>
      <c r="W2937" s="100"/>
      <c r="X2937" s="100"/>
      <c r="Y2937" s="100"/>
      <c r="Z2937" s="100"/>
    </row>
    <row r="2938" spans="1:26">
      <c r="A2938" s="100" t="e">
        <f ca="1">IFERROR(__xludf.DUMMYFUNCTION("""COMPUTED_VALUE"""),58786273)</f>
        <v>#NAME?</v>
      </c>
      <c r="B2938" s="100" t="e">
        <f ca="1">IFERROR(__xludf.DUMMYFUNCTION("""COMPUTED_VALUE"""),"QTUMTRY")</f>
        <v>#NAME?</v>
      </c>
      <c r="C2938" s="100" t="e">
        <f ca="1">IFERROR(__xludf.DUMMYFUNCTION("""COMPUTED_VALUE"""),"80.50000000")</f>
        <v>#NAME?</v>
      </c>
      <c r="D2938" s="100" t="e">
        <f t="shared" ca="1" si="471"/>
        <v>#NAME?</v>
      </c>
      <c r="E2938" s="100" t="e">
        <f t="shared" ca="1" si="471"/>
        <v>#NAME?</v>
      </c>
      <c r="F2938" s="100" t="e">
        <f t="shared" ca="1" si="465"/>
        <v>#NAME?</v>
      </c>
      <c r="G2938" s="100" t="e">
        <f t="shared" ca="1" si="466"/>
        <v>#NAME?</v>
      </c>
      <c r="H2938" s="100" t="e">
        <f t="shared" ca="1" si="467"/>
        <v>#NAME?</v>
      </c>
      <c r="I2938" s="100" t="e">
        <f t="shared" ca="1" si="468"/>
        <v>#NAME?</v>
      </c>
      <c r="J2938" s="100" t="e">
        <f ca="1">IFERROR(__xludf.DUMMYFUNCTION("""COMPUTED_VALUE"""),"-1.829")</f>
        <v>#NAME?</v>
      </c>
      <c r="K2938" s="100" t="e">
        <f t="shared" ca="1" si="469"/>
        <v>#NAME?</v>
      </c>
      <c r="L2938" s="100"/>
      <c r="M2938" s="100"/>
      <c r="N2938" s="100"/>
      <c r="O2938" s="100"/>
      <c r="P2938" s="100"/>
      <c r="Q2938" s="100"/>
      <c r="R2938" s="100"/>
      <c r="S2938" s="100"/>
      <c r="T2938" s="100"/>
      <c r="U2938" s="100"/>
      <c r="V2938" s="100"/>
      <c r="W2938" s="100"/>
      <c r="X2938" s="100"/>
      <c r="Y2938" s="100"/>
      <c r="Z2938" s="100"/>
    </row>
    <row r="2939" spans="1:26">
      <c r="A2939" s="100" t="e">
        <f ca="1">IFERROR(__xludf.DUMMYFUNCTION("""COMPUTED_VALUE"""),58786274)</f>
        <v>#NAME?</v>
      </c>
      <c r="B2939" s="100" t="e">
        <f ca="1">IFERROR(__xludf.DUMMYFUNCTION("""COMPUTED_VALUE"""),"TRUMPEUR")</f>
        <v>#NAME?</v>
      </c>
      <c r="C2939" s="100" t="e">
        <f ca="1">IFERROR(__xludf.DUMMYFUNCTION("""COMPUTED_VALUE"""),"7.41000000")</f>
        <v>#NAME?</v>
      </c>
      <c r="D2939" s="100" t="e">
        <f t="shared" ca="1" si="471"/>
        <v>#NAME?</v>
      </c>
      <c r="E2939" s="100" t="e">
        <f t="shared" ca="1" si="471"/>
        <v>#NAME?</v>
      </c>
      <c r="F2939" s="100" t="e">
        <f t="shared" ca="1" si="465"/>
        <v>#NAME?</v>
      </c>
      <c r="G2939" s="100" t="e">
        <f t="shared" ca="1" si="466"/>
        <v>#NAME?</v>
      </c>
      <c r="H2939" s="100" t="e">
        <f t="shared" ca="1" si="467"/>
        <v>#NAME?</v>
      </c>
      <c r="I2939" s="100" t="e">
        <f t="shared" ca="1" si="468"/>
        <v>#NAME?</v>
      </c>
      <c r="J2939" s="100" t="e">
        <f ca="1">IFERROR(__xludf.DUMMYFUNCTION("""COMPUTED_VALUE"""),"3.782")</f>
        <v>#NAME?</v>
      </c>
      <c r="K2939" s="100" t="e">
        <f t="shared" ca="1" si="469"/>
        <v>#NAME?</v>
      </c>
      <c r="L2939" s="100"/>
      <c r="M2939" s="100"/>
      <c r="N2939" s="100"/>
      <c r="O2939" s="100"/>
      <c r="P2939" s="100"/>
      <c r="Q2939" s="100"/>
      <c r="R2939" s="100"/>
      <c r="S2939" s="100"/>
      <c r="T2939" s="100"/>
      <c r="U2939" s="100"/>
      <c r="V2939" s="100"/>
      <c r="W2939" s="100"/>
      <c r="X2939" s="100"/>
      <c r="Y2939" s="100"/>
      <c r="Z2939" s="100"/>
    </row>
    <row r="2940" spans="1:26">
      <c r="A2940" s="100" t="e">
        <f ca="1">IFERROR(__xludf.DUMMYFUNCTION("""COMPUTED_VALUE"""),58786275)</f>
        <v>#NAME?</v>
      </c>
      <c r="B2940" s="100" t="e">
        <f ca="1">IFERROR(__xludf.DUMMYFUNCTION("""COMPUTED_VALUE"""),"VTHOTRY")</f>
        <v>#NAME?</v>
      </c>
      <c r="C2940" s="100" t="e">
        <f ca="1">IFERROR(__xludf.DUMMYFUNCTION("""COMPUTED_VALUE"""),"0.09240000")</f>
        <v>#NAME?</v>
      </c>
      <c r="D2940" s="100" t="e">
        <f t="shared" ca="1" si="471"/>
        <v>#NAME?</v>
      </c>
      <c r="E2940" s="100" t="e">
        <f t="shared" ca="1" si="471"/>
        <v>#NAME?</v>
      </c>
      <c r="F2940" s="100" t="e">
        <f t="shared" ca="1" si="465"/>
        <v>#NAME?</v>
      </c>
      <c r="G2940" s="100" t="e">
        <f t="shared" ca="1" si="466"/>
        <v>#NAME?</v>
      </c>
      <c r="H2940" s="100" t="e">
        <f t="shared" ca="1" si="467"/>
        <v>#NAME?</v>
      </c>
      <c r="I2940" s="100" t="e">
        <f t="shared" ca="1" si="468"/>
        <v>#NAME?</v>
      </c>
      <c r="J2940" s="100" t="e">
        <f ca="1">IFERROR(__xludf.DUMMYFUNCTION("""COMPUTED_VALUE"""),"-3.246")</f>
        <v>#NAME?</v>
      </c>
      <c r="K2940" s="100" t="e">
        <f t="shared" ca="1" si="469"/>
        <v>#NAME?</v>
      </c>
      <c r="L2940" s="100"/>
      <c r="M2940" s="100"/>
      <c r="N2940" s="100"/>
      <c r="O2940" s="100"/>
      <c r="P2940" s="100"/>
      <c r="Q2940" s="100"/>
      <c r="R2940" s="100"/>
      <c r="S2940" s="100"/>
      <c r="T2940" s="100"/>
      <c r="U2940" s="100"/>
      <c r="V2940" s="100"/>
      <c r="W2940" s="100"/>
      <c r="X2940" s="100"/>
      <c r="Y2940" s="100"/>
      <c r="Z2940" s="100"/>
    </row>
    <row r="2941" spans="1:26">
      <c r="A2941" s="100" t="e">
        <f ca="1">IFERROR(__xludf.DUMMYFUNCTION("""COMPUTED_VALUE"""),58786276)</f>
        <v>#NAME?</v>
      </c>
      <c r="B2941" s="100" t="e">
        <f ca="1">IFERROR(__xludf.DUMMYFUNCTION("""COMPUTED_VALUE"""),"HEIBTC")</f>
        <v>#NAME?</v>
      </c>
      <c r="C2941" s="100" t="e">
        <f ca="1">IFERROR(__xludf.DUMMYFUNCTION("""COMPUTED_VALUE"""),"0.00000391")</f>
        <v>#NAME?</v>
      </c>
      <c r="D2941" s="100" t="e">
        <f t="shared" ca="1" si="471"/>
        <v>#NAME?</v>
      </c>
      <c r="E2941" s="100" t="e">
        <f t="shared" ca="1" si="471"/>
        <v>#NAME?</v>
      </c>
      <c r="F2941" s="100" t="e">
        <f t="shared" ca="1" si="465"/>
        <v>#NAME?</v>
      </c>
      <c r="G2941" s="100" t="e">
        <f t="shared" ca="1" si="466"/>
        <v>#NAME?</v>
      </c>
      <c r="H2941" s="100" t="e">
        <f t="shared" ca="1" si="467"/>
        <v>#NAME?</v>
      </c>
      <c r="I2941" s="100" t="e">
        <f t="shared" ca="1" si="468"/>
        <v>#NAME?</v>
      </c>
      <c r="J2941" s="100" t="e">
        <f ca="1">IFERROR(__xludf.DUMMYFUNCTION("""COMPUTED_VALUE"""),"-2.494")</f>
        <v>#NAME?</v>
      </c>
      <c r="K2941" s="100" t="e">
        <f t="shared" ca="1" si="469"/>
        <v>#NAME?</v>
      </c>
      <c r="L2941" s="100"/>
      <c r="M2941" s="100"/>
      <c r="N2941" s="100"/>
      <c r="O2941" s="100"/>
      <c r="P2941" s="100"/>
      <c r="Q2941" s="100"/>
      <c r="R2941" s="100"/>
      <c r="S2941" s="100"/>
      <c r="T2941" s="100"/>
      <c r="U2941" s="100"/>
      <c r="V2941" s="100"/>
      <c r="W2941" s="100"/>
      <c r="X2941" s="100"/>
      <c r="Y2941" s="100"/>
      <c r="Z2941" s="100"/>
    </row>
    <row r="2942" spans="1:26">
      <c r="A2942" s="100" t="e">
        <f ca="1">IFERROR(__xludf.DUMMYFUNCTION("""COMPUTED_VALUE"""),58786277)</f>
        <v>#NAME?</v>
      </c>
      <c r="B2942" s="100" t="e">
        <f ca="1">IFERROR(__xludf.DUMMYFUNCTION("""COMPUTED_VALUE"""),"HEIUSDT")</f>
        <v>#NAME?</v>
      </c>
      <c r="C2942" s="100" t="e">
        <f ca="1">IFERROR(__xludf.DUMMYFUNCTION("""COMPUTED_VALUE"""),"0.34670000")</f>
        <v>#NAME?</v>
      </c>
      <c r="D2942" s="100" t="e">
        <f t="shared" ref="D2942:E2961" ca="1" si="472">IFERROR(__xludf.DUMMYFUNCTION("""COMPUTED_VALUE"""),"-")</f>
        <v>#NAME?</v>
      </c>
      <c r="E2942" s="100" t="e">
        <f t="shared" ca="1" si="472"/>
        <v>#NAME?</v>
      </c>
      <c r="F2942" s="100" t="e">
        <f t="shared" ca="1" si="465"/>
        <v>#NAME?</v>
      </c>
      <c r="G2942" s="100" t="e">
        <f t="shared" ca="1" si="466"/>
        <v>#NAME?</v>
      </c>
      <c r="H2942" s="100" t="e">
        <f t="shared" ca="1" si="467"/>
        <v>#NAME?</v>
      </c>
      <c r="I2942" s="100" t="e">
        <f t="shared" ca="1" si="468"/>
        <v>#NAME?</v>
      </c>
      <c r="J2942" s="100" t="e">
        <f ca="1">IFERROR(__xludf.DUMMYFUNCTION("""COMPUTED_VALUE"""),"-0.488")</f>
        <v>#NAME?</v>
      </c>
      <c r="K2942" s="100" t="e">
        <f t="shared" ca="1" si="469"/>
        <v>#NAME?</v>
      </c>
      <c r="L2942" s="100"/>
      <c r="M2942" s="100"/>
      <c r="N2942" s="100"/>
      <c r="O2942" s="100"/>
      <c r="P2942" s="100"/>
      <c r="Q2942" s="100"/>
      <c r="R2942" s="100"/>
      <c r="S2942" s="100"/>
      <c r="T2942" s="100"/>
      <c r="U2942" s="100"/>
      <c r="V2942" s="100"/>
      <c r="W2942" s="100"/>
      <c r="X2942" s="100"/>
      <c r="Y2942" s="100"/>
      <c r="Z2942" s="100"/>
    </row>
    <row r="2943" spans="1:26">
      <c r="A2943" s="100" t="e">
        <f ca="1">IFERROR(__xludf.DUMMYFUNCTION("""COMPUTED_VALUE"""),58786278)</f>
        <v>#NAME?</v>
      </c>
      <c r="B2943" s="100" t="e">
        <f ca="1">IFERROR(__xludf.DUMMYFUNCTION("""COMPUTED_VALUE"""),"CAKEUSDC")</f>
        <v>#NAME?</v>
      </c>
      <c r="C2943" s="100" t="e">
        <f ca="1">IFERROR(__xludf.DUMMYFUNCTION("""COMPUTED_VALUE"""),"1.94000000")</f>
        <v>#NAME?</v>
      </c>
      <c r="D2943" s="100" t="e">
        <f t="shared" ca="1" si="472"/>
        <v>#NAME?</v>
      </c>
      <c r="E2943" s="100" t="e">
        <f t="shared" ca="1" si="472"/>
        <v>#NAME?</v>
      </c>
      <c r="F2943" s="100" t="e">
        <f t="shared" ca="1" si="465"/>
        <v>#NAME?</v>
      </c>
      <c r="G2943" s="100" t="e">
        <f t="shared" ca="1" si="466"/>
        <v>#NAME?</v>
      </c>
      <c r="H2943" s="100" t="e">
        <f t="shared" ca="1" si="467"/>
        <v>#NAME?</v>
      </c>
      <c r="I2943" s="100" t="e">
        <f t="shared" ca="1" si="468"/>
        <v>#NAME?</v>
      </c>
      <c r="J2943" s="100" t="e">
        <f ca="1">IFERROR(__xludf.DUMMYFUNCTION("""COMPUTED_VALUE"""),"-2.562")</f>
        <v>#NAME?</v>
      </c>
      <c r="K2943" s="100" t="e">
        <f t="shared" ca="1" si="469"/>
        <v>#NAME?</v>
      </c>
      <c r="L2943" s="100"/>
      <c r="M2943" s="100"/>
      <c r="N2943" s="100"/>
      <c r="O2943" s="100"/>
      <c r="P2943" s="100"/>
      <c r="Q2943" s="100"/>
      <c r="R2943" s="100"/>
      <c r="S2943" s="100"/>
      <c r="T2943" s="100"/>
      <c r="U2943" s="100"/>
      <c r="V2943" s="100"/>
      <c r="W2943" s="100"/>
      <c r="X2943" s="100"/>
      <c r="Y2943" s="100"/>
      <c r="Z2943" s="100"/>
    </row>
    <row r="2944" spans="1:26">
      <c r="A2944" s="100" t="e">
        <f ca="1">IFERROR(__xludf.DUMMYFUNCTION("""COMPUTED_VALUE"""),58786279)</f>
        <v>#NAME?</v>
      </c>
      <c r="B2944" s="100" t="e">
        <f ca="1">IFERROR(__xludf.DUMMYFUNCTION("""COMPUTED_VALUE"""),"HEIUSDC")</f>
        <v>#NAME?</v>
      </c>
      <c r="C2944" s="100" t="e">
        <f ca="1">IFERROR(__xludf.DUMMYFUNCTION("""COMPUTED_VALUE"""),"0.34650000")</f>
        <v>#NAME?</v>
      </c>
      <c r="D2944" s="100" t="e">
        <f t="shared" ca="1" si="472"/>
        <v>#NAME?</v>
      </c>
      <c r="E2944" s="100" t="e">
        <f t="shared" ca="1" si="472"/>
        <v>#NAME?</v>
      </c>
      <c r="F2944" s="100" t="e">
        <f t="shared" ca="1" si="465"/>
        <v>#NAME?</v>
      </c>
      <c r="G2944" s="100" t="e">
        <f t="shared" ca="1" si="466"/>
        <v>#NAME?</v>
      </c>
      <c r="H2944" s="100" t="e">
        <f t="shared" ca="1" si="467"/>
        <v>#NAME?</v>
      </c>
      <c r="I2944" s="100" t="e">
        <f t="shared" ca="1" si="468"/>
        <v>#NAME?</v>
      </c>
      <c r="J2944" s="100" t="e">
        <f ca="1">IFERROR(__xludf.DUMMYFUNCTION("""COMPUTED_VALUE"""),"-0.517")</f>
        <v>#NAME?</v>
      </c>
      <c r="K2944" s="100" t="e">
        <f t="shared" ca="1" si="469"/>
        <v>#NAME?</v>
      </c>
      <c r="L2944" s="100"/>
      <c r="M2944" s="100"/>
      <c r="N2944" s="100"/>
      <c r="O2944" s="100"/>
      <c r="P2944" s="100"/>
      <c r="Q2944" s="100"/>
      <c r="R2944" s="100"/>
      <c r="S2944" s="100"/>
      <c r="T2944" s="100"/>
      <c r="U2944" s="100"/>
      <c r="V2944" s="100"/>
      <c r="W2944" s="100"/>
      <c r="X2944" s="100"/>
      <c r="Y2944" s="100"/>
      <c r="Z2944" s="100"/>
    </row>
    <row r="2945" spans="1:26">
      <c r="A2945" s="100" t="e">
        <f ca="1">IFERROR(__xludf.DUMMYFUNCTION("""COMPUTED_VALUE"""),58786280)</f>
        <v>#NAME?</v>
      </c>
      <c r="B2945" s="100" t="e">
        <f ca="1">IFERROR(__xludf.DUMMYFUNCTION("""COMPUTED_VALUE"""),"TRUMPFDUSD")</f>
        <v>#NAME?</v>
      </c>
      <c r="C2945" s="100" t="e">
        <f ca="1">IFERROR(__xludf.DUMMYFUNCTION("""COMPUTED_VALUE"""),"8.55000000")</f>
        <v>#NAME?</v>
      </c>
      <c r="D2945" s="100" t="e">
        <f t="shared" ca="1" si="472"/>
        <v>#NAME?</v>
      </c>
      <c r="E2945" s="100" t="e">
        <f t="shared" ca="1" si="472"/>
        <v>#NAME?</v>
      </c>
      <c r="F2945" s="100" t="e">
        <f t="shared" ca="1" si="465"/>
        <v>#NAME?</v>
      </c>
      <c r="G2945" s="100" t="e">
        <f t="shared" ca="1" si="466"/>
        <v>#NAME?</v>
      </c>
      <c r="H2945" s="100" t="e">
        <f t="shared" ca="1" si="467"/>
        <v>#NAME?</v>
      </c>
      <c r="I2945" s="100" t="e">
        <f t="shared" ca="1" si="468"/>
        <v>#NAME?</v>
      </c>
      <c r="J2945" s="100" t="e">
        <f ca="1">IFERROR(__xludf.DUMMYFUNCTION("""COMPUTED_VALUE"""),"3.636")</f>
        <v>#NAME?</v>
      </c>
      <c r="K2945" s="100" t="e">
        <f t="shared" ca="1" si="469"/>
        <v>#NAME?</v>
      </c>
      <c r="L2945" s="100"/>
      <c r="M2945" s="100"/>
      <c r="N2945" s="100"/>
      <c r="O2945" s="100"/>
      <c r="P2945" s="100"/>
      <c r="Q2945" s="100"/>
      <c r="R2945" s="100"/>
      <c r="S2945" s="100"/>
      <c r="T2945" s="100"/>
      <c r="U2945" s="100"/>
      <c r="V2945" s="100"/>
      <c r="W2945" s="100"/>
      <c r="X2945" s="100"/>
      <c r="Y2945" s="100"/>
      <c r="Z2945" s="100"/>
    </row>
    <row r="2946" spans="1:26">
      <c r="A2946" s="100" t="e">
        <f ca="1">IFERROR(__xludf.DUMMYFUNCTION("""COMPUTED_VALUE"""),58786281)</f>
        <v>#NAME?</v>
      </c>
      <c r="B2946" s="100" t="e">
        <f ca="1">IFERROR(__xludf.DUMMYFUNCTION("""COMPUTED_VALUE"""),"TSTFDUSD")</f>
        <v>#NAME?</v>
      </c>
      <c r="C2946" s="100" t="e">
        <f ca="1">IFERROR(__xludf.DUMMYFUNCTION("""COMPUTED_VALUE"""),"0.06590000")</f>
        <v>#NAME?</v>
      </c>
      <c r="D2946" s="100" t="e">
        <f t="shared" ca="1" si="472"/>
        <v>#NAME?</v>
      </c>
      <c r="E2946" s="100" t="e">
        <f t="shared" ca="1" si="472"/>
        <v>#NAME?</v>
      </c>
      <c r="F2946" s="100" t="e">
        <f t="shared" ref="F2946:F3009" ca="1" si="473">IFERROR(__xludf.DUMMYFUNCTION("""COMPUTED_VALUE"""),20200)</f>
        <v>#NAME?</v>
      </c>
      <c r="G2946" s="100" t="e">
        <f t="shared" ref="G2946:G3009" ca="1" si="474">IFERROR(__xludf.DUMMYFUNCTION("""COMPUTED_VALUE"""),2885)</f>
        <v>#NAME?</v>
      </c>
      <c r="H2946" s="100" t="e">
        <f t="shared" ref="H2946:H3009" ca="1" si="475">IFERROR(__xludf.DUMMYFUNCTION("""COMPUTED_VALUE"""),663)</f>
        <v>#NAME?</v>
      </c>
      <c r="I2946" s="100" t="e">
        <f t="shared" ref="I2946:I3009" ca="1" si="476">IFERROR(__xludf.DUMMYFUNCTION("""COMPUTED_VALUE"""),5817721)</f>
        <v>#NAME?</v>
      </c>
      <c r="J2946" s="100" t="e">
        <f ca="1">IFERROR(__xludf.DUMMYFUNCTION("""COMPUTED_VALUE"""),"-2.226")</f>
        <v>#NAME?</v>
      </c>
      <c r="K2946" s="100" t="e">
        <f t="shared" ref="K2946:K3009" ca="1" si="477">IFERROR(__xludf.DUMMYFUNCTION("""COMPUTED_VALUE"""),"22.04.2025 13:05:01")</f>
        <v>#NAME?</v>
      </c>
      <c r="L2946" s="100"/>
      <c r="M2946" s="100"/>
      <c r="N2946" s="100"/>
      <c r="O2946" s="100"/>
      <c r="P2946" s="100"/>
      <c r="Q2946" s="100"/>
      <c r="R2946" s="100"/>
      <c r="S2946" s="100"/>
      <c r="T2946" s="100"/>
      <c r="U2946" s="100"/>
      <c r="V2946" s="100"/>
      <c r="W2946" s="100"/>
      <c r="X2946" s="100"/>
      <c r="Y2946" s="100"/>
      <c r="Z2946" s="100"/>
    </row>
    <row r="2947" spans="1:26">
      <c r="A2947" s="100" t="e">
        <f ca="1">IFERROR(__xludf.DUMMYFUNCTION("""COMPUTED_VALUE"""),58786282)</f>
        <v>#NAME?</v>
      </c>
      <c r="B2947" s="100" t="e">
        <f ca="1">IFERROR(__xludf.DUMMYFUNCTION("""COMPUTED_VALUE"""),"BNXUSDC")</f>
        <v>#NAME?</v>
      </c>
      <c r="C2947" s="100" t="e">
        <f ca="1">IFERROR(__xludf.DUMMYFUNCTION("""COMPUTED_VALUE"""),"1.77830000")</f>
        <v>#NAME?</v>
      </c>
      <c r="D2947" s="100" t="e">
        <f t="shared" ca="1" si="472"/>
        <v>#NAME?</v>
      </c>
      <c r="E2947" s="100" t="e">
        <f t="shared" ca="1" si="472"/>
        <v>#NAME?</v>
      </c>
      <c r="F2947" s="100" t="e">
        <f t="shared" ca="1" si="473"/>
        <v>#NAME?</v>
      </c>
      <c r="G2947" s="100" t="e">
        <f t="shared" ca="1" si="474"/>
        <v>#NAME?</v>
      </c>
      <c r="H2947" s="100" t="e">
        <f t="shared" ca="1" si="475"/>
        <v>#NAME?</v>
      </c>
      <c r="I2947" s="100" t="e">
        <f t="shared" ca="1" si="476"/>
        <v>#NAME?</v>
      </c>
      <c r="J2947" s="100" t="e">
        <f ca="1">IFERROR(__xludf.DUMMYFUNCTION("""COMPUTED_VALUE"""),"0")</f>
        <v>#NAME?</v>
      </c>
      <c r="K2947" s="100" t="e">
        <f t="shared" ca="1" si="477"/>
        <v>#NAME?</v>
      </c>
      <c r="L2947" s="100"/>
      <c r="M2947" s="100"/>
      <c r="N2947" s="100"/>
      <c r="O2947" s="100"/>
      <c r="P2947" s="100"/>
      <c r="Q2947" s="100"/>
      <c r="R2947" s="100"/>
      <c r="S2947" s="100"/>
      <c r="T2947" s="100"/>
      <c r="U2947" s="100"/>
      <c r="V2947" s="100"/>
      <c r="W2947" s="100"/>
      <c r="X2947" s="100"/>
      <c r="Y2947" s="100"/>
      <c r="Z2947" s="100"/>
    </row>
    <row r="2948" spans="1:26">
      <c r="A2948" s="100" t="e">
        <f ca="1">IFERROR(__xludf.DUMMYFUNCTION("""COMPUTED_VALUE"""),58786283)</f>
        <v>#NAME?</v>
      </c>
      <c r="B2948" s="100" t="e">
        <f ca="1">IFERROR(__xludf.DUMMYFUNCTION("""COMPUTED_VALUE"""),"LTCJPY")</f>
        <v>#NAME?</v>
      </c>
      <c r="C2948" s="100" t="e">
        <f ca="1">IFERROR(__xludf.DUMMYFUNCTION("""COMPUTED_VALUE"""),"11242.00000000")</f>
        <v>#NAME?</v>
      </c>
      <c r="D2948" s="100" t="e">
        <f t="shared" ca="1" si="472"/>
        <v>#NAME?</v>
      </c>
      <c r="E2948" s="100" t="e">
        <f t="shared" ca="1" si="472"/>
        <v>#NAME?</v>
      </c>
      <c r="F2948" s="100" t="e">
        <f t="shared" ca="1" si="473"/>
        <v>#NAME?</v>
      </c>
      <c r="G2948" s="100" t="e">
        <f t="shared" ca="1" si="474"/>
        <v>#NAME?</v>
      </c>
      <c r="H2948" s="100" t="e">
        <f t="shared" ca="1" si="475"/>
        <v>#NAME?</v>
      </c>
      <c r="I2948" s="100" t="e">
        <f t="shared" ca="1" si="476"/>
        <v>#NAME?</v>
      </c>
      <c r="J2948" s="100" t="e">
        <f ca="1">IFERROR(__xludf.DUMMYFUNCTION("""COMPUTED_VALUE"""),"-1.877")</f>
        <v>#NAME?</v>
      </c>
      <c r="K2948" s="100" t="e">
        <f t="shared" ca="1" si="477"/>
        <v>#NAME?</v>
      </c>
      <c r="L2948" s="100"/>
      <c r="M2948" s="100"/>
      <c r="N2948" s="100"/>
      <c r="O2948" s="100"/>
      <c r="P2948" s="100"/>
      <c r="Q2948" s="100"/>
      <c r="R2948" s="100"/>
      <c r="S2948" s="100"/>
      <c r="T2948" s="100"/>
      <c r="U2948" s="100"/>
      <c r="V2948" s="100"/>
      <c r="W2948" s="100"/>
      <c r="X2948" s="100"/>
      <c r="Y2948" s="100"/>
      <c r="Z2948" s="100"/>
    </row>
    <row r="2949" spans="1:26">
      <c r="A2949" s="100" t="e">
        <f ca="1">IFERROR(__xludf.DUMMYFUNCTION("""COMPUTED_VALUE"""),58786284)</f>
        <v>#NAME?</v>
      </c>
      <c r="B2949" s="100" t="e">
        <f ca="1">IFERROR(__xludf.DUMMYFUNCTION("""COMPUTED_VALUE"""),"BCHJPY")</f>
        <v>#NAME?</v>
      </c>
      <c r="C2949" s="100" t="e">
        <f ca="1">IFERROR(__xludf.DUMMYFUNCTION("""COMPUTED_VALUE"""),"48796.00000000")</f>
        <v>#NAME?</v>
      </c>
      <c r="D2949" s="100" t="e">
        <f t="shared" ca="1" si="472"/>
        <v>#NAME?</v>
      </c>
      <c r="E2949" s="100" t="e">
        <f t="shared" ca="1" si="472"/>
        <v>#NAME?</v>
      </c>
      <c r="F2949" s="100" t="e">
        <f t="shared" ca="1" si="473"/>
        <v>#NAME?</v>
      </c>
      <c r="G2949" s="100" t="e">
        <f t="shared" ca="1" si="474"/>
        <v>#NAME?</v>
      </c>
      <c r="H2949" s="100" t="e">
        <f t="shared" ca="1" si="475"/>
        <v>#NAME?</v>
      </c>
      <c r="I2949" s="100" t="e">
        <f t="shared" ca="1" si="476"/>
        <v>#NAME?</v>
      </c>
      <c r="J2949" s="100" t="e">
        <f ca="1">IFERROR(__xludf.DUMMYFUNCTION("""COMPUTED_VALUE"""),"1.289")</f>
        <v>#NAME?</v>
      </c>
      <c r="K2949" s="100" t="e">
        <f t="shared" ca="1" si="477"/>
        <v>#NAME?</v>
      </c>
      <c r="L2949" s="100"/>
      <c r="M2949" s="100"/>
      <c r="N2949" s="100"/>
      <c r="O2949" s="100"/>
      <c r="P2949" s="100"/>
      <c r="Q2949" s="100"/>
      <c r="R2949" s="100"/>
      <c r="S2949" s="100"/>
      <c r="T2949" s="100"/>
      <c r="U2949" s="100"/>
      <c r="V2949" s="100"/>
      <c r="W2949" s="100"/>
      <c r="X2949" s="100"/>
      <c r="Y2949" s="100"/>
      <c r="Z2949" s="100"/>
    </row>
    <row r="2950" spans="1:26">
      <c r="A2950" s="100" t="e">
        <f ca="1">IFERROR(__xludf.DUMMYFUNCTION("""COMPUTED_VALUE"""),58786285)</f>
        <v>#NAME?</v>
      </c>
      <c r="B2950" s="100" t="e">
        <f ca="1">IFERROR(__xludf.DUMMYFUNCTION("""COMPUTED_VALUE"""),"LINKJPY")</f>
        <v>#NAME?</v>
      </c>
      <c r="C2950" s="100" t="e">
        <f ca="1">IFERROR(__xludf.DUMMYFUNCTION("""COMPUTED_VALUE"""),"1878.00000000")</f>
        <v>#NAME?</v>
      </c>
      <c r="D2950" s="100" t="e">
        <f t="shared" ca="1" si="472"/>
        <v>#NAME?</v>
      </c>
      <c r="E2950" s="100" t="e">
        <f t="shared" ca="1" si="472"/>
        <v>#NAME?</v>
      </c>
      <c r="F2950" s="100" t="e">
        <f t="shared" ca="1" si="473"/>
        <v>#NAME?</v>
      </c>
      <c r="G2950" s="100" t="e">
        <f t="shared" ca="1" si="474"/>
        <v>#NAME?</v>
      </c>
      <c r="H2950" s="100" t="e">
        <f t="shared" ca="1" si="475"/>
        <v>#NAME?</v>
      </c>
      <c r="I2950" s="100" t="e">
        <f t="shared" ca="1" si="476"/>
        <v>#NAME?</v>
      </c>
      <c r="J2950" s="100" t="e">
        <f ca="1">IFERROR(__xludf.DUMMYFUNCTION("""COMPUTED_VALUE"""),"-1.417")</f>
        <v>#NAME?</v>
      </c>
      <c r="K2950" s="100" t="e">
        <f t="shared" ca="1" si="477"/>
        <v>#NAME?</v>
      </c>
      <c r="L2950" s="100"/>
      <c r="M2950" s="100"/>
      <c r="N2950" s="100"/>
      <c r="O2950" s="100"/>
      <c r="P2950" s="100"/>
      <c r="Q2950" s="100"/>
      <c r="R2950" s="100"/>
      <c r="S2950" s="100"/>
      <c r="T2950" s="100"/>
      <c r="U2950" s="100"/>
      <c r="V2950" s="100"/>
      <c r="W2950" s="100"/>
      <c r="X2950" s="100"/>
      <c r="Y2950" s="100"/>
      <c r="Z2950" s="100"/>
    </row>
    <row r="2951" spans="1:26">
      <c r="A2951" s="100" t="e">
        <f ca="1">IFERROR(__xludf.DUMMYFUNCTION("""COMPUTED_VALUE"""),58786286)</f>
        <v>#NAME?</v>
      </c>
      <c r="B2951" s="100" t="e">
        <f ca="1">IFERROR(__xludf.DUMMYFUNCTION("""COMPUTED_VALUE"""),"KAITOBTC")</f>
        <v>#NAME?</v>
      </c>
      <c r="C2951" s="100" t="e">
        <f ca="1">IFERROR(__xludf.DUMMYFUNCTION("""COMPUTED_VALUE"""),"0.00000872")</f>
        <v>#NAME?</v>
      </c>
      <c r="D2951" s="100" t="e">
        <f t="shared" ca="1" si="472"/>
        <v>#NAME?</v>
      </c>
      <c r="E2951" s="100" t="e">
        <f t="shared" ca="1" si="472"/>
        <v>#NAME?</v>
      </c>
      <c r="F2951" s="100" t="e">
        <f t="shared" ca="1" si="473"/>
        <v>#NAME?</v>
      </c>
      <c r="G2951" s="100" t="e">
        <f t="shared" ca="1" si="474"/>
        <v>#NAME?</v>
      </c>
      <c r="H2951" s="100" t="e">
        <f t="shared" ca="1" si="475"/>
        <v>#NAME?</v>
      </c>
      <c r="I2951" s="100" t="e">
        <f t="shared" ca="1" si="476"/>
        <v>#NAME?</v>
      </c>
      <c r="J2951" s="100" t="e">
        <f ca="1">IFERROR(__xludf.DUMMYFUNCTION("""COMPUTED_VALUE"""),"-0.115")</f>
        <v>#NAME?</v>
      </c>
      <c r="K2951" s="100" t="e">
        <f t="shared" ca="1" si="477"/>
        <v>#NAME?</v>
      </c>
      <c r="L2951" s="100"/>
      <c r="M2951" s="100"/>
      <c r="N2951" s="100"/>
      <c r="O2951" s="100"/>
      <c r="P2951" s="100"/>
      <c r="Q2951" s="100"/>
      <c r="R2951" s="100"/>
      <c r="S2951" s="100"/>
      <c r="T2951" s="100"/>
      <c r="U2951" s="100"/>
      <c r="V2951" s="100"/>
      <c r="W2951" s="100"/>
      <c r="X2951" s="100"/>
      <c r="Y2951" s="100"/>
      <c r="Z2951" s="100"/>
    </row>
    <row r="2952" spans="1:26">
      <c r="A2952" s="100" t="e">
        <f ca="1">IFERROR(__xludf.DUMMYFUNCTION("""COMPUTED_VALUE"""),58786287)</f>
        <v>#NAME?</v>
      </c>
      <c r="B2952" s="100" t="e">
        <f ca="1">IFERROR(__xludf.DUMMYFUNCTION("""COMPUTED_VALUE"""),"KAITOUSDT")</f>
        <v>#NAME?</v>
      </c>
      <c r="C2952" s="100" t="e">
        <f ca="1">IFERROR(__xludf.DUMMYFUNCTION("""COMPUTED_VALUE"""),"0.77260000")</f>
        <v>#NAME?</v>
      </c>
      <c r="D2952" s="100" t="e">
        <f t="shared" ca="1" si="472"/>
        <v>#NAME?</v>
      </c>
      <c r="E2952" s="100" t="e">
        <f t="shared" ca="1" si="472"/>
        <v>#NAME?</v>
      </c>
      <c r="F2952" s="100" t="e">
        <f t="shared" ca="1" si="473"/>
        <v>#NAME?</v>
      </c>
      <c r="G2952" s="100" t="e">
        <f t="shared" ca="1" si="474"/>
        <v>#NAME?</v>
      </c>
      <c r="H2952" s="100" t="e">
        <f t="shared" ca="1" si="475"/>
        <v>#NAME?</v>
      </c>
      <c r="I2952" s="100" t="e">
        <f t="shared" ca="1" si="476"/>
        <v>#NAME?</v>
      </c>
      <c r="J2952" s="100" t="e">
        <f ca="1">IFERROR(__xludf.DUMMYFUNCTION("""COMPUTED_VALUE"""),"0.888")</f>
        <v>#NAME?</v>
      </c>
      <c r="K2952" s="100" t="e">
        <f t="shared" ca="1" si="477"/>
        <v>#NAME?</v>
      </c>
      <c r="L2952" s="100"/>
      <c r="M2952" s="100"/>
      <c r="N2952" s="100"/>
      <c r="O2952" s="100"/>
      <c r="P2952" s="100"/>
      <c r="Q2952" s="100"/>
      <c r="R2952" s="100"/>
      <c r="S2952" s="100"/>
      <c r="T2952" s="100"/>
      <c r="U2952" s="100"/>
      <c r="V2952" s="100"/>
      <c r="W2952" s="100"/>
      <c r="X2952" s="100"/>
      <c r="Y2952" s="100"/>
      <c r="Z2952" s="100"/>
    </row>
    <row r="2953" spans="1:26">
      <c r="A2953" s="100" t="e">
        <f ca="1">IFERROR(__xludf.DUMMYFUNCTION("""COMPUTED_VALUE"""),58786288)</f>
        <v>#NAME?</v>
      </c>
      <c r="B2953" s="100" t="e">
        <f ca="1">IFERROR(__xludf.DUMMYFUNCTION("""COMPUTED_VALUE"""),"KAITOUSDC")</f>
        <v>#NAME?</v>
      </c>
      <c r="C2953" s="100" t="e">
        <f ca="1">IFERROR(__xludf.DUMMYFUNCTION("""COMPUTED_VALUE"""),"0.77300000")</f>
        <v>#NAME?</v>
      </c>
      <c r="D2953" s="100" t="e">
        <f t="shared" ca="1" si="472"/>
        <v>#NAME?</v>
      </c>
      <c r="E2953" s="100" t="e">
        <f t="shared" ca="1" si="472"/>
        <v>#NAME?</v>
      </c>
      <c r="F2953" s="100" t="e">
        <f t="shared" ca="1" si="473"/>
        <v>#NAME?</v>
      </c>
      <c r="G2953" s="100" t="e">
        <f t="shared" ca="1" si="474"/>
        <v>#NAME?</v>
      </c>
      <c r="H2953" s="100" t="e">
        <f t="shared" ca="1" si="475"/>
        <v>#NAME?</v>
      </c>
      <c r="I2953" s="100" t="e">
        <f t="shared" ca="1" si="476"/>
        <v>#NAME?</v>
      </c>
      <c r="J2953" s="100" t="e">
        <f ca="1">IFERROR(__xludf.DUMMYFUNCTION("""COMPUTED_VALUE"""),"1.099")</f>
        <v>#NAME?</v>
      </c>
      <c r="K2953" s="100" t="e">
        <f t="shared" ca="1" si="477"/>
        <v>#NAME?</v>
      </c>
      <c r="L2953" s="100"/>
      <c r="M2953" s="100"/>
      <c r="N2953" s="100"/>
      <c r="O2953" s="100"/>
      <c r="P2953" s="100"/>
      <c r="Q2953" s="100"/>
      <c r="R2953" s="100"/>
      <c r="S2953" s="100"/>
      <c r="T2953" s="100"/>
      <c r="U2953" s="100"/>
      <c r="V2953" s="100"/>
      <c r="W2953" s="100"/>
      <c r="X2953" s="100"/>
      <c r="Y2953" s="100"/>
      <c r="Z2953" s="100"/>
    </row>
    <row r="2954" spans="1:26">
      <c r="A2954" s="100" t="e">
        <f ca="1">IFERROR(__xludf.DUMMYFUNCTION("""COMPUTED_VALUE"""),58786289)</f>
        <v>#NAME?</v>
      </c>
      <c r="B2954" s="100" t="e">
        <f ca="1">IFERROR(__xludf.DUMMYFUNCTION("""COMPUTED_VALUE"""),"KAITOBNB")</f>
        <v>#NAME?</v>
      </c>
      <c r="C2954" s="100" t="e">
        <f ca="1">IFERROR(__xludf.DUMMYFUNCTION("""COMPUTED_VALUE"""),"0.00127040")</f>
        <v>#NAME?</v>
      </c>
      <c r="D2954" s="100" t="e">
        <f t="shared" ca="1" si="472"/>
        <v>#NAME?</v>
      </c>
      <c r="E2954" s="100" t="e">
        <f t="shared" ca="1" si="472"/>
        <v>#NAME?</v>
      </c>
      <c r="F2954" s="100" t="e">
        <f t="shared" ca="1" si="473"/>
        <v>#NAME?</v>
      </c>
      <c r="G2954" s="100" t="e">
        <f t="shared" ca="1" si="474"/>
        <v>#NAME?</v>
      </c>
      <c r="H2954" s="100" t="e">
        <f t="shared" ca="1" si="475"/>
        <v>#NAME?</v>
      </c>
      <c r="I2954" s="100" t="e">
        <f t="shared" ca="1" si="476"/>
        <v>#NAME?</v>
      </c>
      <c r="J2954" s="100" t="e">
        <f ca="1">IFERROR(__xludf.DUMMYFUNCTION("""COMPUTED_VALUE"""),"-1.098")</f>
        <v>#NAME?</v>
      </c>
      <c r="K2954" s="100" t="e">
        <f t="shared" ca="1" si="477"/>
        <v>#NAME?</v>
      </c>
      <c r="L2954" s="100"/>
      <c r="M2954" s="100"/>
      <c r="N2954" s="100"/>
      <c r="O2954" s="100"/>
      <c r="P2954" s="100"/>
      <c r="Q2954" s="100"/>
      <c r="R2954" s="100"/>
      <c r="S2954" s="100"/>
      <c r="T2954" s="100"/>
      <c r="U2954" s="100"/>
      <c r="V2954" s="100"/>
      <c r="W2954" s="100"/>
      <c r="X2954" s="100"/>
      <c r="Y2954" s="100"/>
      <c r="Z2954" s="100"/>
    </row>
    <row r="2955" spans="1:26">
      <c r="A2955" s="100" t="e">
        <f ca="1">IFERROR(__xludf.DUMMYFUNCTION("""COMPUTED_VALUE"""),58786290)</f>
        <v>#NAME?</v>
      </c>
      <c r="B2955" s="100" t="e">
        <f ca="1">IFERROR(__xludf.DUMMYFUNCTION("""COMPUTED_VALUE"""),"KAITOFDUSD")</f>
        <v>#NAME?</v>
      </c>
      <c r="C2955" s="100" t="e">
        <f ca="1">IFERROR(__xludf.DUMMYFUNCTION("""COMPUTED_VALUE"""),"0.77430000")</f>
        <v>#NAME?</v>
      </c>
      <c r="D2955" s="100" t="e">
        <f t="shared" ca="1" si="472"/>
        <v>#NAME?</v>
      </c>
      <c r="E2955" s="100" t="e">
        <f t="shared" ca="1" si="472"/>
        <v>#NAME?</v>
      </c>
      <c r="F2955" s="100" t="e">
        <f t="shared" ca="1" si="473"/>
        <v>#NAME?</v>
      </c>
      <c r="G2955" s="100" t="e">
        <f t="shared" ca="1" si="474"/>
        <v>#NAME?</v>
      </c>
      <c r="H2955" s="100" t="e">
        <f t="shared" ca="1" si="475"/>
        <v>#NAME?</v>
      </c>
      <c r="I2955" s="100" t="e">
        <f t="shared" ca="1" si="476"/>
        <v>#NAME?</v>
      </c>
      <c r="J2955" s="100" t="e">
        <f ca="1">IFERROR(__xludf.DUMMYFUNCTION("""COMPUTED_VALUE"""),"1.163")</f>
        <v>#NAME?</v>
      </c>
      <c r="K2955" s="100" t="e">
        <f t="shared" ca="1" si="477"/>
        <v>#NAME?</v>
      </c>
      <c r="L2955" s="100"/>
      <c r="M2955" s="100"/>
      <c r="N2955" s="100"/>
      <c r="O2955" s="100"/>
      <c r="P2955" s="100"/>
      <c r="Q2955" s="100"/>
      <c r="R2955" s="100"/>
      <c r="S2955" s="100"/>
      <c r="T2955" s="100"/>
      <c r="U2955" s="100"/>
      <c r="V2955" s="100"/>
      <c r="W2955" s="100"/>
      <c r="X2955" s="100"/>
      <c r="Y2955" s="100"/>
      <c r="Z2955" s="100"/>
    </row>
    <row r="2956" spans="1:26">
      <c r="A2956" s="100" t="e">
        <f ca="1">IFERROR(__xludf.DUMMYFUNCTION("""COMPUTED_VALUE"""),58786291)</f>
        <v>#NAME?</v>
      </c>
      <c r="B2956" s="100" t="e">
        <f ca="1">IFERROR(__xludf.DUMMYFUNCTION("""COMPUTED_VALUE"""),"KAITOTRY")</f>
        <v>#NAME?</v>
      </c>
      <c r="C2956" s="100" t="e">
        <f ca="1">IFERROR(__xludf.DUMMYFUNCTION("""COMPUTED_VALUE"""),"29.51500000")</f>
        <v>#NAME?</v>
      </c>
      <c r="D2956" s="100" t="e">
        <f t="shared" ca="1" si="472"/>
        <v>#NAME?</v>
      </c>
      <c r="E2956" s="100" t="e">
        <f t="shared" ca="1" si="472"/>
        <v>#NAME?</v>
      </c>
      <c r="F2956" s="100" t="e">
        <f t="shared" ca="1" si="473"/>
        <v>#NAME?</v>
      </c>
      <c r="G2956" s="100" t="e">
        <f t="shared" ca="1" si="474"/>
        <v>#NAME?</v>
      </c>
      <c r="H2956" s="100" t="e">
        <f t="shared" ca="1" si="475"/>
        <v>#NAME?</v>
      </c>
      <c r="I2956" s="100" t="e">
        <f t="shared" ca="1" si="476"/>
        <v>#NAME?</v>
      </c>
      <c r="J2956" s="100" t="e">
        <f ca="1">IFERROR(__xludf.DUMMYFUNCTION("""COMPUTED_VALUE"""),"0.899")</f>
        <v>#NAME?</v>
      </c>
      <c r="K2956" s="100" t="e">
        <f t="shared" ca="1" si="477"/>
        <v>#NAME?</v>
      </c>
      <c r="L2956" s="100"/>
      <c r="M2956" s="100"/>
      <c r="N2956" s="100"/>
      <c r="O2956" s="100"/>
      <c r="P2956" s="100"/>
      <c r="Q2956" s="100"/>
      <c r="R2956" s="100"/>
      <c r="S2956" s="100"/>
      <c r="T2956" s="100"/>
      <c r="U2956" s="100"/>
      <c r="V2956" s="100"/>
      <c r="W2956" s="100"/>
      <c r="X2956" s="100"/>
      <c r="Y2956" s="100"/>
      <c r="Z2956" s="100"/>
    </row>
    <row r="2957" spans="1:26">
      <c r="A2957" s="100" t="e">
        <f ca="1">IFERROR(__xludf.DUMMYFUNCTION("""COMPUTED_VALUE"""),58786292)</f>
        <v>#NAME?</v>
      </c>
      <c r="B2957" s="100" t="e">
        <f ca="1">IFERROR(__xludf.DUMMYFUNCTION("""COMPUTED_VALUE"""),"ETHMXN")</f>
        <v>#NAME?</v>
      </c>
      <c r="C2957" s="100" t="e">
        <f ca="1">IFERROR(__xludf.DUMMYFUNCTION("""COMPUTED_VALUE"""),"32251.00000000")</f>
        <v>#NAME?</v>
      </c>
      <c r="D2957" s="100" t="e">
        <f t="shared" ca="1" si="472"/>
        <v>#NAME?</v>
      </c>
      <c r="E2957" s="100" t="e">
        <f t="shared" ca="1" si="472"/>
        <v>#NAME?</v>
      </c>
      <c r="F2957" s="100" t="e">
        <f t="shared" ca="1" si="473"/>
        <v>#NAME?</v>
      </c>
      <c r="G2957" s="100" t="e">
        <f t="shared" ca="1" si="474"/>
        <v>#NAME?</v>
      </c>
      <c r="H2957" s="100" t="e">
        <f t="shared" ca="1" si="475"/>
        <v>#NAME?</v>
      </c>
      <c r="I2957" s="100" t="e">
        <f t="shared" ca="1" si="476"/>
        <v>#NAME?</v>
      </c>
      <c r="J2957" s="100" t="e">
        <f ca="1">IFERROR(__xludf.DUMMYFUNCTION("""COMPUTED_VALUE"""),"-0.087")</f>
        <v>#NAME?</v>
      </c>
      <c r="K2957" s="100" t="e">
        <f t="shared" ca="1" si="477"/>
        <v>#NAME?</v>
      </c>
      <c r="L2957" s="100"/>
      <c r="M2957" s="100"/>
      <c r="N2957" s="100"/>
      <c r="O2957" s="100"/>
      <c r="P2957" s="100"/>
      <c r="Q2957" s="100"/>
      <c r="R2957" s="100"/>
      <c r="S2957" s="100"/>
      <c r="T2957" s="100"/>
      <c r="U2957" s="100"/>
      <c r="V2957" s="100"/>
      <c r="W2957" s="100"/>
      <c r="X2957" s="100"/>
      <c r="Y2957" s="100"/>
      <c r="Z2957" s="100"/>
    </row>
    <row r="2958" spans="1:26">
      <c r="A2958" s="100" t="e">
        <f ca="1">IFERROR(__xludf.DUMMYFUNCTION("""COMPUTED_VALUE"""),58786293)</f>
        <v>#NAME?</v>
      </c>
      <c r="B2958" s="100" t="e">
        <f ca="1">IFERROR(__xludf.DUMMYFUNCTION("""COMPUTED_VALUE"""),"KAITOBRL")</f>
        <v>#NAME?</v>
      </c>
      <c r="C2958" s="100" t="e">
        <f ca="1">IFERROR(__xludf.DUMMYFUNCTION("""COMPUTED_VALUE"""),"4.55800000")</f>
        <v>#NAME?</v>
      </c>
      <c r="D2958" s="100" t="e">
        <f t="shared" ca="1" si="472"/>
        <v>#NAME?</v>
      </c>
      <c r="E2958" s="100" t="e">
        <f t="shared" ca="1" si="472"/>
        <v>#NAME?</v>
      </c>
      <c r="F2958" s="100" t="e">
        <f t="shared" ca="1" si="473"/>
        <v>#NAME?</v>
      </c>
      <c r="G2958" s="100" t="e">
        <f t="shared" ca="1" si="474"/>
        <v>#NAME?</v>
      </c>
      <c r="H2958" s="100" t="e">
        <f t="shared" ca="1" si="475"/>
        <v>#NAME?</v>
      </c>
      <c r="I2958" s="100" t="e">
        <f t="shared" ca="1" si="476"/>
        <v>#NAME?</v>
      </c>
      <c r="J2958" s="100" t="e">
        <f ca="1">IFERROR(__xludf.DUMMYFUNCTION("""COMPUTED_VALUE"""),"1.855")</f>
        <v>#NAME?</v>
      </c>
      <c r="K2958" s="100" t="e">
        <f t="shared" ca="1" si="477"/>
        <v>#NAME?</v>
      </c>
      <c r="L2958" s="100"/>
      <c r="M2958" s="100"/>
      <c r="N2958" s="100"/>
      <c r="O2958" s="100"/>
      <c r="P2958" s="100"/>
      <c r="Q2958" s="100"/>
      <c r="R2958" s="100"/>
      <c r="S2958" s="100"/>
      <c r="T2958" s="100"/>
      <c r="U2958" s="100"/>
      <c r="V2958" s="100"/>
      <c r="W2958" s="100"/>
      <c r="X2958" s="100"/>
      <c r="Y2958" s="100"/>
      <c r="Z2958" s="100"/>
    </row>
    <row r="2959" spans="1:26">
      <c r="A2959" s="100" t="e">
        <f ca="1">IFERROR(__xludf.DUMMYFUNCTION("""COMPUTED_VALUE"""),58786294)</f>
        <v>#NAME?</v>
      </c>
      <c r="B2959" s="100" t="e">
        <f ca="1">IFERROR(__xludf.DUMMYFUNCTION("""COMPUTED_VALUE"""),"SOLMXN")</f>
        <v>#NAME?</v>
      </c>
      <c r="C2959" s="100" t="e">
        <f ca="1">IFERROR(__xludf.DUMMYFUNCTION("""COMPUTED_VALUE"""),"2768.00000000")</f>
        <v>#NAME?</v>
      </c>
      <c r="D2959" s="100" t="e">
        <f t="shared" ca="1" si="472"/>
        <v>#NAME?</v>
      </c>
      <c r="E2959" s="100" t="e">
        <f t="shared" ca="1" si="472"/>
        <v>#NAME?</v>
      </c>
      <c r="F2959" s="100" t="e">
        <f t="shared" ca="1" si="473"/>
        <v>#NAME?</v>
      </c>
      <c r="G2959" s="100" t="e">
        <f t="shared" ca="1" si="474"/>
        <v>#NAME?</v>
      </c>
      <c r="H2959" s="100" t="e">
        <f t="shared" ca="1" si="475"/>
        <v>#NAME?</v>
      </c>
      <c r="I2959" s="100" t="e">
        <f t="shared" ca="1" si="476"/>
        <v>#NAME?</v>
      </c>
      <c r="J2959" s="100" t="e">
        <f ca="1">IFERROR(__xludf.DUMMYFUNCTION("""COMPUTED_VALUE"""),"0.618")</f>
        <v>#NAME?</v>
      </c>
      <c r="K2959" s="100" t="e">
        <f t="shared" ca="1" si="477"/>
        <v>#NAME?</v>
      </c>
      <c r="L2959" s="100"/>
      <c r="M2959" s="100"/>
      <c r="N2959" s="100"/>
      <c r="O2959" s="100"/>
      <c r="P2959" s="100"/>
      <c r="Q2959" s="100"/>
      <c r="R2959" s="100"/>
      <c r="S2959" s="100"/>
      <c r="T2959" s="100"/>
      <c r="U2959" s="100"/>
      <c r="V2959" s="100"/>
      <c r="W2959" s="100"/>
      <c r="X2959" s="100"/>
      <c r="Y2959" s="100"/>
      <c r="Z2959" s="100"/>
    </row>
    <row r="2960" spans="1:26">
      <c r="A2960" s="100" t="e">
        <f ca="1">IFERROR(__xludf.DUMMYFUNCTION("""COMPUTED_VALUE"""),58786295)</f>
        <v>#NAME?</v>
      </c>
      <c r="B2960" s="100" t="e">
        <f ca="1">IFERROR(__xludf.DUMMYFUNCTION("""COMPUTED_VALUE"""),"BNBARS")</f>
        <v>#NAME?</v>
      </c>
      <c r="C2960" s="100" t="e">
        <f ca="1">IFERROR(__xludf.DUMMYFUNCTION("""COMPUTED_VALUE"""),"695517.00000000")</f>
        <v>#NAME?</v>
      </c>
      <c r="D2960" s="100" t="e">
        <f t="shared" ca="1" si="472"/>
        <v>#NAME?</v>
      </c>
      <c r="E2960" s="100" t="e">
        <f t="shared" ca="1" si="472"/>
        <v>#NAME?</v>
      </c>
      <c r="F2960" s="100" t="e">
        <f t="shared" ca="1" si="473"/>
        <v>#NAME?</v>
      </c>
      <c r="G2960" s="100" t="e">
        <f t="shared" ca="1" si="474"/>
        <v>#NAME?</v>
      </c>
      <c r="H2960" s="100" t="e">
        <f t="shared" ca="1" si="475"/>
        <v>#NAME?</v>
      </c>
      <c r="I2960" s="100" t="e">
        <f t="shared" ca="1" si="476"/>
        <v>#NAME?</v>
      </c>
      <c r="J2960" s="100" t="e">
        <f ca="1">IFERROR(__xludf.DUMMYFUNCTION("""COMPUTED_VALUE"""),"-3.028")</f>
        <v>#NAME?</v>
      </c>
      <c r="K2960" s="100" t="e">
        <f t="shared" ca="1" si="477"/>
        <v>#NAME?</v>
      </c>
      <c r="L2960" s="100"/>
      <c r="M2960" s="100"/>
      <c r="N2960" s="100"/>
      <c r="O2960" s="100"/>
      <c r="P2960" s="100"/>
      <c r="Q2960" s="100"/>
      <c r="R2960" s="100"/>
      <c r="S2960" s="100"/>
      <c r="T2960" s="100"/>
      <c r="U2960" s="100"/>
      <c r="V2960" s="100"/>
      <c r="W2960" s="100"/>
      <c r="X2960" s="100"/>
      <c r="Y2960" s="100"/>
      <c r="Z2960" s="100"/>
    </row>
    <row r="2961" spans="1:26">
      <c r="A2961" s="100" t="e">
        <f ca="1">IFERROR(__xludf.DUMMYFUNCTION("""COMPUTED_VALUE"""),58786296)</f>
        <v>#NAME?</v>
      </c>
      <c r="B2961" s="100" t="e">
        <f ca="1">IFERROR(__xludf.DUMMYFUNCTION("""COMPUTED_VALUE"""),"SOLARS")</f>
        <v>#NAME?</v>
      </c>
      <c r="C2961" s="100" t="e">
        <f ca="1">IFERROR(__xludf.DUMMYFUNCTION("""COMPUTED_VALUE"""),"160813.00000000")</f>
        <v>#NAME?</v>
      </c>
      <c r="D2961" s="100" t="e">
        <f t="shared" ca="1" si="472"/>
        <v>#NAME?</v>
      </c>
      <c r="E2961" s="100" t="e">
        <f t="shared" ca="1" si="472"/>
        <v>#NAME?</v>
      </c>
      <c r="F2961" s="100" t="e">
        <f t="shared" ca="1" si="473"/>
        <v>#NAME?</v>
      </c>
      <c r="G2961" s="100" t="e">
        <f t="shared" ca="1" si="474"/>
        <v>#NAME?</v>
      </c>
      <c r="H2961" s="100" t="e">
        <f t="shared" ca="1" si="475"/>
        <v>#NAME?</v>
      </c>
      <c r="I2961" s="100" t="e">
        <f t="shared" ca="1" si="476"/>
        <v>#NAME?</v>
      </c>
      <c r="J2961" s="100" t="e">
        <f ca="1">IFERROR(__xludf.DUMMYFUNCTION("""COMPUTED_VALUE"""),"-3.478")</f>
        <v>#NAME?</v>
      </c>
      <c r="K2961" s="100" t="e">
        <f t="shared" ca="1" si="477"/>
        <v>#NAME?</v>
      </c>
      <c r="L2961" s="100"/>
      <c r="M2961" s="100"/>
      <c r="N2961" s="100"/>
      <c r="O2961" s="100"/>
      <c r="P2961" s="100"/>
      <c r="Q2961" s="100"/>
      <c r="R2961" s="100"/>
      <c r="S2961" s="100"/>
      <c r="T2961" s="100"/>
      <c r="U2961" s="100"/>
      <c r="V2961" s="100"/>
      <c r="W2961" s="100"/>
      <c r="X2961" s="100"/>
      <c r="Y2961" s="100"/>
      <c r="Z2961" s="100"/>
    </row>
    <row r="2962" spans="1:26">
      <c r="A2962" s="100" t="e">
        <f ca="1">IFERROR(__xludf.DUMMYFUNCTION("""COMPUTED_VALUE"""),58786297)</f>
        <v>#NAME?</v>
      </c>
      <c r="B2962" s="100" t="e">
        <f ca="1">IFERROR(__xludf.DUMMYFUNCTION("""COMPUTED_VALUE"""),"TRUMPBRL")</f>
        <v>#NAME?</v>
      </c>
      <c r="C2962" s="100" t="e">
        <f ca="1">IFERROR(__xludf.DUMMYFUNCTION("""COMPUTED_VALUE"""),"49.53000000")</f>
        <v>#NAME?</v>
      </c>
      <c r="D2962" s="100" t="e">
        <f t="shared" ref="D2962:E2981" ca="1" si="478">IFERROR(__xludf.DUMMYFUNCTION("""COMPUTED_VALUE"""),"-")</f>
        <v>#NAME?</v>
      </c>
      <c r="E2962" s="100" t="e">
        <f t="shared" ca="1" si="478"/>
        <v>#NAME?</v>
      </c>
      <c r="F2962" s="100" t="e">
        <f t="shared" ca="1" si="473"/>
        <v>#NAME?</v>
      </c>
      <c r="G2962" s="100" t="e">
        <f t="shared" ca="1" si="474"/>
        <v>#NAME?</v>
      </c>
      <c r="H2962" s="100" t="e">
        <f t="shared" ca="1" si="475"/>
        <v>#NAME?</v>
      </c>
      <c r="I2962" s="100" t="e">
        <f t="shared" ca="1" si="476"/>
        <v>#NAME?</v>
      </c>
      <c r="J2962" s="100" t="e">
        <f ca="1">IFERROR(__xludf.DUMMYFUNCTION("""COMPUTED_VALUE"""),"2.887")</f>
        <v>#NAME?</v>
      </c>
      <c r="K2962" s="100" t="e">
        <f t="shared" ca="1" si="477"/>
        <v>#NAME?</v>
      </c>
      <c r="L2962" s="100"/>
      <c r="M2962" s="100"/>
      <c r="N2962" s="100"/>
      <c r="O2962" s="100"/>
      <c r="P2962" s="100"/>
      <c r="Q2962" s="100"/>
      <c r="R2962" s="100"/>
      <c r="S2962" s="100"/>
      <c r="T2962" s="100"/>
      <c r="U2962" s="100"/>
      <c r="V2962" s="100"/>
      <c r="W2962" s="100"/>
      <c r="X2962" s="100"/>
      <c r="Y2962" s="100"/>
      <c r="Z2962" s="100"/>
    </row>
    <row r="2963" spans="1:26">
      <c r="A2963" s="100" t="e">
        <f ca="1">IFERROR(__xludf.DUMMYFUNCTION("""COMPUTED_VALUE"""),58786298)</f>
        <v>#NAME?</v>
      </c>
      <c r="B2963" s="100" t="e">
        <f ca="1">IFERROR(__xludf.DUMMYFUNCTION("""COMPUTED_VALUE"""),"TRXFDUSD")</f>
        <v>#NAME?</v>
      </c>
      <c r="C2963" s="100" t="e">
        <f ca="1">IFERROR(__xludf.DUMMYFUNCTION("""COMPUTED_VALUE"""),"0.24860000")</f>
        <v>#NAME?</v>
      </c>
      <c r="D2963" s="100" t="e">
        <f t="shared" ca="1" si="478"/>
        <v>#NAME?</v>
      </c>
      <c r="E2963" s="100" t="e">
        <f t="shared" ca="1" si="478"/>
        <v>#NAME?</v>
      </c>
      <c r="F2963" s="100" t="e">
        <f t="shared" ca="1" si="473"/>
        <v>#NAME?</v>
      </c>
      <c r="G2963" s="100" t="e">
        <f t="shared" ca="1" si="474"/>
        <v>#NAME?</v>
      </c>
      <c r="H2963" s="100" t="e">
        <f t="shared" ca="1" si="475"/>
        <v>#NAME?</v>
      </c>
      <c r="I2963" s="100" t="e">
        <f t="shared" ca="1" si="476"/>
        <v>#NAME?</v>
      </c>
      <c r="J2963" s="100" t="e">
        <f ca="1">IFERROR(__xludf.DUMMYFUNCTION("""COMPUTED_VALUE"""),"1.969")</f>
        <v>#NAME?</v>
      </c>
      <c r="K2963" s="100" t="e">
        <f t="shared" ca="1" si="477"/>
        <v>#NAME?</v>
      </c>
      <c r="L2963" s="100"/>
      <c r="M2963" s="100"/>
      <c r="N2963" s="100"/>
      <c r="O2963" s="100"/>
      <c r="P2963" s="100"/>
      <c r="Q2963" s="100"/>
      <c r="R2963" s="100"/>
      <c r="S2963" s="100"/>
      <c r="T2963" s="100"/>
      <c r="U2963" s="100"/>
      <c r="V2963" s="100"/>
      <c r="W2963" s="100"/>
      <c r="X2963" s="100"/>
      <c r="Y2963" s="100"/>
      <c r="Z2963" s="100"/>
    </row>
    <row r="2964" spans="1:26">
      <c r="A2964" s="100" t="e">
        <f ca="1">IFERROR(__xludf.DUMMYFUNCTION("""COMPUTED_VALUE"""),58786299)</f>
        <v>#NAME?</v>
      </c>
      <c r="B2964" s="100" t="e">
        <f ca="1">IFERROR(__xludf.DUMMYFUNCTION("""COMPUTED_VALUE"""),"TSTTRY")</f>
        <v>#NAME?</v>
      </c>
      <c r="C2964" s="100" t="e">
        <f ca="1">IFERROR(__xludf.DUMMYFUNCTION("""COMPUTED_VALUE"""),"2.49800000")</f>
        <v>#NAME?</v>
      </c>
      <c r="D2964" s="100" t="e">
        <f t="shared" ca="1" si="478"/>
        <v>#NAME?</v>
      </c>
      <c r="E2964" s="100" t="e">
        <f t="shared" ca="1" si="478"/>
        <v>#NAME?</v>
      </c>
      <c r="F2964" s="100" t="e">
        <f t="shared" ca="1" si="473"/>
        <v>#NAME?</v>
      </c>
      <c r="G2964" s="100" t="e">
        <f t="shared" ca="1" si="474"/>
        <v>#NAME?</v>
      </c>
      <c r="H2964" s="100" t="e">
        <f t="shared" ca="1" si="475"/>
        <v>#NAME?</v>
      </c>
      <c r="I2964" s="100" t="e">
        <f t="shared" ca="1" si="476"/>
        <v>#NAME?</v>
      </c>
      <c r="J2964" s="100" t="e">
        <f ca="1">IFERROR(__xludf.DUMMYFUNCTION("""COMPUTED_VALUE"""),"-2.612")</f>
        <v>#NAME?</v>
      </c>
      <c r="K2964" s="100" t="e">
        <f t="shared" ca="1" si="477"/>
        <v>#NAME?</v>
      </c>
      <c r="L2964" s="100"/>
      <c r="M2964" s="100"/>
      <c r="N2964" s="100"/>
      <c r="O2964" s="100"/>
      <c r="P2964" s="100"/>
      <c r="Q2964" s="100"/>
      <c r="R2964" s="100"/>
      <c r="S2964" s="100"/>
      <c r="T2964" s="100"/>
      <c r="U2964" s="100"/>
      <c r="V2964" s="100"/>
      <c r="W2964" s="100"/>
      <c r="X2964" s="100"/>
      <c r="Y2964" s="100"/>
      <c r="Z2964" s="100"/>
    </row>
    <row r="2965" spans="1:26">
      <c r="A2965" s="100" t="e">
        <f ca="1">IFERROR(__xludf.DUMMYFUNCTION("""COMPUTED_VALUE"""),58786300)</f>
        <v>#NAME?</v>
      </c>
      <c r="B2965" s="100" t="e">
        <f ca="1">IFERROR(__xludf.DUMMYFUNCTION("""COMPUTED_VALUE"""),"SHELLBTC")</f>
        <v>#NAME?</v>
      </c>
      <c r="C2965" s="100" t="e">
        <f ca="1">IFERROR(__xludf.DUMMYFUNCTION("""COMPUTED_VALUE"""),"0.00000157")</f>
        <v>#NAME?</v>
      </c>
      <c r="D2965" s="100" t="e">
        <f t="shared" ca="1" si="478"/>
        <v>#NAME?</v>
      </c>
      <c r="E2965" s="100" t="e">
        <f t="shared" ca="1" si="478"/>
        <v>#NAME?</v>
      </c>
      <c r="F2965" s="100" t="e">
        <f t="shared" ca="1" si="473"/>
        <v>#NAME?</v>
      </c>
      <c r="G2965" s="100" t="e">
        <f t="shared" ca="1" si="474"/>
        <v>#NAME?</v>
      </c>
      <c r="H2965" s="100" t="e">
        <f t="shared" ca="1" si="475"/>
        <v>#NAME?</v>
      </c>
      <c r="I2965" s="100" t="e">
        <f t="shared" ca="1" si="476"/>
        <v>#NAME?</v>
      </c>
      <c r="J2965" s="100" t="e">
        <f ca="1">IFERROR(__xludf.DUMMYFUNCTION("""COMPUTED_VALUE"""),"-3.086")</f>
        <v>#NAME?</v>
      </c>
      <c r="K2965" s="100" t="e">
        <f t="shared" ca="1" si="477"/>
        <v>#NAME?</v>
      </c>
      <c r="L2965" s="100"/>
      <c r="M2965" s="100"/>
      <c r="N2965" s="100"/>
      <c r="O2965" s="100"/>
      <c r="P2965" s="100"/>
      <c r="Q2965" s="100"/>
      <c r="R2965" s="100"/>
      <c r="S2965" s="100"/>
      <c r="T2965" s="100"/>
      <c r="U2965" s="100"/>
      <c r="V2965" s="100"/>
      <c r="W2965" s="100"/>
      <c r="X2965" s="100"/>
      <c r="Y2965" s="100"/>
      <c r="Z2965" s="100"/>
    </row>
    <row r="2966" spans="1:26">
      <c r="A2966" s="100" t="e">
        <f ca="1">IFERROR(__xludf.DUMMYFUNCTION("""COMPUTED_VALUE"""),58786301)</f>
        <v>#NAME?</v>
      </c>
      <c r="B2966" s="100" t="e">
        <f ca="1">IFERROR(__xludf.DUMMYFUNCTION("""COMPUTED_VALUE"""),"SHELLUSDT")</f>
        <v>#NAME?</v>
      </c>
      <c r="C2966" s="100" t="e">
        <f ca="1">IFERROR(__xludf.DUMMYFUNCTION("""COMPUTED_VALUE"""),"0.13910000")</f>
        <v>#NAME?</v>
      </c>
      <c r="D2966" s="100" t="e">
        <f t="shared" ca="1" si="478"/>
        <v>#NAME?</v>
      </c>
      <c r="E2966" s="100" t="e">
        <f t="shared" ca="1" si="478"/>
        <v>#NAME?</v>
      </c>
      <c r="F2966" s="100" t="e">
        <f t="shared" ca="1" si="473"/>
        <v>#NAME?</v>
      </c>
      <c r="G2966" s="100" t="e">
        <f t="shared" ca="1" si="474"/>
        <v>#NAME?</v>
      </c>
      <c r="H2966" s="100" t="e">
        <f t="shared" ca="1" si="475"/>
        <v>#NAME?</v>
      </c>
      <c r="I2966" s="100" t="e">
        <f t="shared" ca="1" si="476"/>
        <v>#NAME?</v>
      </c>
      <c r="J2966" s="100" t="e">
        <f ca="1">IFERROR(__xludf.DUMMYFUNCTION("""COMPUTED_VALUE"""),"-1.417")</f>
        <v>#NAME?</v>
      </c>
      <c r="K2966" s="100" t="e">
        <f t="shared" ca="1" si="477"/>
        <v>#NAME?</v>
      </c>
      <c r="L2966" s="100"/>
      <c r="M2966" s="100"/>
      <c r="N2966" s="100"/>
      <c r="O2966" s="100"/>
      <c r="P2966" s="100"/>
      <c r="Q2966" s="100"/>
      <c r="R2966" s="100"/>
      <c r="S2966" s="100"/>
      <c r="T2966" s="100"/>
      <c r="U2966" s="100"/>
      <c r="V2966" s="100"/>
      <c r="W2966" s="100"/>
      <c r="X2966" s="100"/>
      <c r="Y2966" s="100"/>
      <c r="Z2966" s="100"/>
    </row>
    <row r="2967" spans="1:26">
      <c r="A2967" s="100" t="e">
        <f ca="1">IFERROR(__xludf.DUMMYFUNCTION("""COMPUTED_VALUE"""),58786302)</f>
        <v>#NAME?</v>
      </c>
      <c r="B2967" s="100" t="e">
        <f ca="1">IFERROR(__xludf.DUMMYFUNCTION("""COMPUTED_VALUE"""),"SHELLUSDC")</f>
        <v>#NAME?</v>
      </c>
      <c r="C2967" s="100" t="e">
        <f ca="1">IFERROR(__xludf.DUMMYFUNCTION("""COMPUTED_VALUE"""),"0.13960000")</f>
        <v>#NAME?</v>
      </c>
      <c r="D2967" s="100" t="e">
        <f t="shared" ca="1" si="478"/>
        <v>#NAME?</v>
      </c>
      <c r="E2967" s="100" t="e">
        <f t="shared" ca="1" si="478"/>
        <v>#NAME?</v>
      </c>
      <c r="F2967" s="100" t="e">
        <f t="shared" ca="1" si="473"/>
        <v>#NAME?</v>
      </c>
      <c r="G2967" s="100" t="e">
        <f t="shared" ca="1" si="474"/>
        <v>#NAME?</v>
      </c>
      <c r="H2967" s="100" t="e">
        <f t="shared" ca="1" si="475"/>
        <v>#NAME?</v>
      </c>
      <c r="I2967" s="100" t="e">
        <f t="shared" ca="1" si="476"/>
        <v>#NAME?</v>
      </c>
      <c r="J2967" s="100" t="e">
        <f ca="1">IFERROR(__xludf.DUMMYFUNCTION("""COMPUTED_VALUE"""),"-1.203")</f>
        <v>#NAME?</v>
      </c>
      <c r="K2967" s="100" t="e">
        <f t="shared" ca="1" si="477"/>
        <v>#NAME?</v>
      </c>
      <c r="L2967" s="100"/>
      <c r="M2967" s="100"/>
      <c r="N2967" s="100"/>
      <c r="O2967" s="100"/>
      <c r="P2967" s="100"/>
      <c r="Q2967" s="100"/>
      <c r="R2967" s="100"/>
      <c r="S2967" s="100"/>
      <c r="T2967" s="100"/>
      <c r="U2967" s="100"/>
      <c r="V2967" s="100"/>
      <c r="W2967" s="100"/>
      <c r="X2967" s="100"/>
      <c r="Y2967" s="100"/>
      <c r="Z2967" s="100"/>
    </row>
    <row r="2968" spans="1:26">
      <c r="A2968" s="100" t="e">
        <f ca="1">IFERROR(__xludf.DUMMYFUNCTION("""COMPUTED_VALUE"""),58786303)</f>
        <v>#NAME?</v>
      </c>
      <c r="B2968" s="100" t="e">
        <f ca="1">IFERROR(__xludf.DUMMYFUNCTION("""COMPUTED_VALUE"""),"SHELLBNB")</f>
        <v>#NAME?</v>
      </c>
      <c r="C2968" s="100" t="e">
        <f ca="1">IFERROR(__xludf.DUMMYFUNCTION("""COMPUTED_VALUE"""),"0.00023510")</f>
        <v>#NAME?</v>
      </c>
      <c r="D2968" s="100" t="e">
        <f t="shared" ca="1" si="478"/>
        <v>#NAME?</v>
      </c>
      <c r="E2968" s="100" t="e">
        <f t="shared" ca="1" si="478"/>
        <v>#NAME?</v>
      </c>
      <c r="F2968" s="100" t="e">
        <f t="shared" ca="1" si="473"/>
        <v>#NAME?</v>
      </c>
      <c r="G2968" s="100" t="e">
        <f t="shared" ca="1" si="474"/>
        <v>#NAME?</v>
      </c>
      <c r="H2968" s="100" t="e">
        <f t="shared" ca="1" si="475"/>
        <v>#NAME?</v>
      </c>
      <c r="I2968" s="100" t="e">
        <f t="shared" ca="1" si="476"/>
        <v>#NAME?</v>
      </c>
      <c r="J2968" s="100" t="e">
        <f ca="1">IFERROR(__xludf.DUMMYFUNCTION("""COMPUTED_VALUE"""),"-2.042")</f>
        <v>#NAME?</v>
      </c>
      <c r="K2968" s="100" t="e">
        <f t="shared" ca="1" si="477"/>
        <v>#NAME?</v>
      </c>
      <c r="L2968" s="100"/>
      <c r="M2968" s="100"/>
      <c r="N2968" s="100"/>
      <c r="O2968" s="100"/>
      <c r="P2968" s="100"/>
      <c r="Q2968" s="100"/>
      <c r="R2968" s="100"/>
      <c r="S2968" s="100"/>
      <c r="T2968" s="100"/>
      <c r="U2968" s="100"/>
      <c r="V2968" s="100"/>
      <c r="W2968" s="100"/>
      <c r="X2968" s="100"/>
      <c r="Y2968" s="100"/>
      <c r="Z2968" s="100"/>
    </row>
    <row r="2969" spans="1:26">
      <c r="A2969" s="100" t="e">
        <f ca="1">IFERROR(__xludf.DUMMYFUNCTION("""COMPUTED_VALUE"""),58786304)</f>
        <v>#NAME?</v>
      </c>
      <c r="B2969" s="100" t="e">
        <f ca="1">IFERROR(__xludf.DUMMYFUNCTION("""COMPUTED_VALUE"""),"SHELLFDUSD")</f>
        <v>#NAME?</v>
      </c>
      <c r="C2969" s="100" t="e">
        <f ca="1">IFERROR(__xludf.DUMMYFUNCTION("""COMPUTED_VALUE"""),"0.13970000")</f>
        <v>#NAME?</v>
      </c>
      <c r="D2969" s="100" t="e">
        <f t="shared" ca="1" si="478"/>
        <v>#NAME?</v>
      </c>
      <c r="E2969" s="100" t="e">
        <f t="shared" ca="1" si="478"/>
        <v>#NAME?</v>
      </c>
      <c r="F2969" s="100" t="e">
        <f t="shared" ca="1" si="473"/>
        <v>#NAME?</v>
      </c>
      <c r="G2969" s="100" t="e">
        <f t="shared" ca="1" si="474"/>
        <v>#NAME?</v>
      </c>
      <c r="H2969" s="100" t="e">
        <f t="shared" ca="1" si="475"/>
        <v>#NAME?</v>
      </c>
      <c r="I2969" s="100" t="e">
        <f t="shared" ca="1" si="476"/>
        <v>#NAME?</v>
      </c>
      <c r="J2969" s="100" t="e">
        <f ca="1">IFERROR(__xludf.DUMMYFUNCTION("""COMPUTED_VALUE"""),"-2.444")</f>
        <v>#NAME?</v>
      </c>
      <c r="K2969" s="100" t="e">
        <f t="shared" ca="1" si="477"/>
        <v>#NAME?</v>
      </c>
      <c r="L2969" s="100"/>
      <c r="M2969" s="100"/>
      <c r="N2969" s="100"/>
      <c r="O2969" s="100"/>
      <c r="P2969" s="100"/>
      <c r="Q2969" s="100"/>
      <c r="R2969" s="100"/>
      <c r="S2969" s="100"/>
      <c r="T2969" s="100"/>
      <c r="U2969" s="100"/>
      <c r="V2969" s="100"/>
      <c r="W2969" s="100"/>
      <c r="X2969" s="100"/>
      <c r="Y2969" s="100"/>
      <c r="Z2969" s="100"/>
    </row>
    <row r="2970" spans="1:26">
      <c r="A2970" s="100" t="e">
        <f ca="1">IFERROR(__xludf.DUMMYFUNCTION("""COMPUTED_VALUE"""),58786305)</f>
        <v>#NAME?</v>
      </c>
      <c r="B2970" s="100" t="e">
        <f ca="1">IFERROR(__xludf.DUMMYFUNCTION("""COMPUTED_VALUE"""),"SHELLTRY")</f>
        <v>#NAME?</v>
      </c>
      <c r="C2970" s="100" t="e">
        <f ca="1">IFERROR(__xludf.DUMMYFUNCTION("""COMPUTED_VALUE"""),"5.33000000")</f>
        <v>#NAME?</v>
      </c>
      <c r="D2970" s="100" t="e">
        <f t="shared" ca="1" si="478"/>
        <v>#NAME?</v>
      </c>
      <c r="E2970" s="100" t="e">
        <f t="shared" ca="1" si="478"/>
        <v>#NAME?</v>
      </c>
      <c r="F2970" s="100" t="e">
        <f t="shared" ca="1" si="473"/>
        <v>#NAME?</v>
      </c>
      <c r="G2970" s="100" t="e">
        <f t="shared" ca="1" si="474"/>
        <v>#NAME?</v>
      </c>
      <c r="H2970" s="100" t="e">
        <f t="shared" ca="1" si="475"/>
        <v>#NAME?</v>
      </c>
      <c r="I2970" s="100" t="e">
        <f t="shared" ca="1" si="476"/>
        <v>#NAME?</v>
      </c>
      <c r="J2970" s="100" t="e">
        <f ca="1">IFERROR(__xludf.DUMMYFUNCTION("""COMPUTED_VALUE"""),"-1.113")</f>
        <v>#NAME?</v>
      </c>
      <c r="K2970" s="100" t="e">
        <f t="shared" ca="1" si="477"/>
        <v>#NAME?</v>
      </c>
      <c r="L2970" s="100"/>
      <c r="M2970" s="100"/>
      <c r="N2970" s="100"/>
      <c r="O2970" s="100"/>
      <c r="P2970" s="100"/>
      <c r="Q2970" s="100"/>
      <c r="R2970" s="100"/>
      <c r="S2970" s="100"/>
      <c r="T2970" s="100"/>
      <c r="U2970" s="100"/>
      <c r="V2970" s="100"/>
      <c r="W2970" s="100"/>
      <c r="X2970" s="100"/>
      <c r="Y2970" s="100"/>
      <c r="Z2970" s="100"/>
    </row>
    <row r="2971" spans="1:26">
      <c r="A2971" s="100" t="e">
        <f ca="1">IFERROR(__xludf.DUMMYFUNCTION("""COMPUTED_VALUE"""),58786306)</f>
        <v>#NAME?</v>
      </c>
      <c r="B2971" s="100" t="e">
        <f ca="1">IFERROR(__xludf.DUMMYFUNCTION("""COMPUTED_VALUE"""),"REDUSDT")</f>
        <v>#NAME?</v>
      </c>
      <c r="C2971" s="100" t="e">
        <f ca="1">IFERROR(__xludf.DUMMYFUNCTION("""COMPUTED_VALUE"""),"0.38880000")</f>
        <v>#NAME?</v>
      </c>
      <c r="D2971" s="100" t="e">
        <f t="shared" ca="1" si="478"/>
        <v>#NAME?</v>
      </c>
      <c r="E2971" s="100" t="e">
        <f t="shared" ca="1" si="478"/>
        <v>#NAME?</v>
      </c>
      <c r="F2971" s="100" t="e">
        <f t="shared" ca="1" si="473"/>
        <v>#NAME?</v>
      </c>
      <c r="G2971" s="100" t="e">
        <f t="shared" ca="1" si="474"/>
        <v>#NAME?</v>
      </c>
      <c r="H2971" s="100" t="e">
        <f t="shared" ca="1" si="475"/>
        <v>#NAME?</v>
      </c>
      <c r="I2971" s="100" t="e">
        <f t="shared" ca="1" si="476"/>
        <v>#NAME?</v>
      </c>
      <c r="J2971" s="100" t="e">
        <f ca="1">IFERROR(__xludf.DUMMYFUNCTION("""COMPUTED_VALUE"""),"0.517")</f>
        <v>#NAME?</v>
      </c>
      <c r="K2971" s="100" t="e">
        <f t="shared" ca="1" si="477"/>
        <v>#NAME?</v>
      </c>
      <c r="L2971" s="100"/>
      <c r="M2971" s="100"/>
      <c r="N2971" s="100"/>
      <c r="O2971" s="100"/>
      <c r="P2971" s="100"/>
      <c r="Q2971" s="100"/>
      <c r="R2971" s="100"/>
      <c r="S2971" s="100"/>
      <c r="T2971" s="100"/>
      <c r="U2971" s="100"/>
      <c r="V2971" s="100"/>
      <c r="W2971" s="100"/>
      <c r="X2971" s="100"/>
      <c r="Y2971" s="100"/>
      <c r="Z2971" s="100"/>
    </row>
    <row r="2972" spans="1:26">
      <c r="A2972" s="100" t="e">
        <f ca="1">IFERROR(__xludf.DUMMYFUNCTION("""COMPUTED_VALUE"""),58786307)</f>
        <v>#NAME?</v>
      </c>
      <c r="B2972" s="100" t="e">
        <f ca="1">IFERROR(__xludf.DUMMYFUNCTION("""COMPUTED_VALUE"""),"GPSUSDT")</f>
        <v>#NAME?</v>
      </c>
      <c r="C2972" s="100" t="e">
        <f ca="1">IFERROR(__xludf.DUMMYFUNCTION("""COMPUTED_VALUE"""),"0.01670000")</f>
        <v>#NAME?</v>
      </c>
      <c r="D2972" s="100" t="e">
        <f t="shared" ca="1" si="478"/>
        <v>#NAME?</v>
      </c>
      <c r="E2972" s="100" t="e">
        <f t="shared" ca="1" si="478"/>
        <v>#NAME?</v>
      </c>
      <c r="F2972" s="100" t="e">
        <f t="shared" ca="1" si="473"/>
        <v>#NAME?</v>
      </c>
      <c r="G2972" s="100" t="e">
        <f t="shared" ca="1" si="474"/>
        <v>#NAME?</v>
      </c>
      <c r="H2972" s="100" t="e">
        <f t="shared" ca="1" si="475"/>
        <v>#NAME?</v>
      </c>
      <c r="I2972" s="100" t="e">
        <f t="shared" ca="1" si="476"/>
        <v>#NAME?</v>
      </c>
      <c r="J2972" s="100" t="e">
        <f ca="1">IFERROR(__xludf.DUMMYFUNCTION("""COMPUTED_VALUE"""),"-10.695")</f>
        <v>#NAME?</v>
      </c>
      <c r="K2972" s="100" t="e">
        <f t="shared" ca="1" si="477"/>
        <v>#NAME?</v>
      </c>
      <c r="L2972" s="100"/>
      <c r="M2972" s="100"/>
      <c r="N2972" s="100"/>
      <c r="O2972" s="100"/>
      <c r="P2972" s="100"/>
      <c r="Q2972" s="100"/>
      <c r="R2972" s="100"/>
      <c r="S2972" s="100"/>
      <c r="T2972" s="100"/>
      <c r="U2972" s="100"/>
      <c r="V2972" s="100"/>
      <c r="W2972" s="100"/>
      <c r="X2972" s="100"/>
      <c r="Y2972" s="100"/>
      <c r="Z2972" s="100"/>
    </row>
    <row r="2973" spans="1:26">
      <c r="A2973" s="100" t="e">
        <f ca="1">IFERROR(__xludf.DUMMYFUNCTION("""COMPUTED_VALUE"""),58786308)</f>
        <v>#NAME?</v>
      </c>
      <c r="B2973" s="100" t="e">
        <f ca="1">IFERROR(__xludf.DUMMYFUNCTION("""COMPUTED_VALUE"""),"GPSUSDC")</f>
        <v>#NAME?</v>
      </c>
      <c r="C2973" s="100" t="e">
        <f ca="1">IFERROR(__xludf.DUMMYFUNCTION("""COMPUTED_VALUE"""),"0.01670000")</f>
        <v>#NAME?</v>
      </c>
      <c r="D2973" s="100" t="e">
        <f t="shared" ca="1" si="478"/>
        <v>#NAME?</v>
      </c>
      <c r="E2973" s="100" t="e">
        <f t="shared" ca="1" si="478"/>
        <v>#NAME?</v>
      </c>
      <c r="F2973" s="100" t="e">
        <f t="shared" ca="1" si="473"/>
        <v>#NAME?</v>
      </c>
      <c r="G2973" s="100" t="e">
        <f t="shared" ca="1" si="474"/>
        <v>#NAME?</v>
      </c>
      <c r="H2973" s="100" t="e">
        <f t="shared" ca="1" si="475"/>
        <v>#NAME?</v>
      </c>
      <c r="I2973" s="100" t="e">
        <f t="shared" ca="1" si="476"/>
        <v>#NAME?</v>
      </c>
      <c r="J2973" s="100" t="e">
        <f ca="1">IFERROR(__xludf.DUMMYFUNCTION("""COMPUTED_VALUE"""),"-10.695")</f>
        <v>#NAME?</v>
      </c>
      <c r="K2973" s="100" t="e">
        <f t="shared" ca="1" si="477"/>
        <v>#NAME?</v>
      </c>
      <c r="L2973" s="100"/>
      <c r="M2973" s="100"/>
      <c r="N2973" s="100"/>
      <c r="O2973" s="100"/>
      <c r="P2973" s="100"/>
      <c r="Q2973" s="100"/>
      <c r="R2973" s="100"/>
      <c r="S2973" s="100"/>
      <c r="T2973" s="100"/>
      <c r="U2973" s="100"/>
      <c r="V2973" s="100"/>
      <c r="W2973" s="100"/>
      <c r="X2973" s="100"/>
      <c r="Y2973" s="100"/>
      <c r="Z2973" s="100"/>
    </row>
    <row r="2974" spans="1:26">
      <c r="A2974" s="100" t="e">
        <f ca="1">IFERROR(__xludf.DUMMYFUNCTION("""COMPUTED_VALUE"""),58786309)</f>
        <v>#NAME?</v>
      </c>
      <c r="B2974" s="100" t="e">
        <f ca="1">IFERROR(__xludf.DUMMYFUNCTION("""COMPUTED_VALUE"""),"GPSFDUSD")</f>
        <v>#NAME?</v>
      </c>
      <c r="C2974" s="100" t="e">
        <f ca="1">IFERROR(__xludf.DUMMYFUNCTION("""COMPUTED_VALUE"""),"0.01680000")</f>
        <v>#NAME?</v>
      </c>
      <c r="D2974" s="100" t="e">
        <f t="shared" ca="1" si="478"/>
        <v>#NAME?</v>
      </c>
      <c r="E2974" s="100" t="e">
        <f t="shared" ca="1" si="478"/>
        <v>#NAME?</v>
      </c>
      <c r="F2974" s="100" t="e">
        <f t="shared" ca="1" si="473"/>
        <v>#NAME?</v>
      </c>
      <c r="G2974" s="100" t="e">
        <f t="shared" ca="1" si="474"/>
        <v>#NAME?</v>
      </c>
      <c r="H2974" s="100" t="e">
        <f t="shared" ca="1" si="475"/>
        <v>#NAME?</v>
      </c>
      <c r="I2974" s="100" t="e">
        <f t="shared" ca="1" si="476"/>
        <v>#NAME?</v>
      </c>
      <c r="J2974" s="100" t="e">
        <f ca="1">IFERROR(__xludf.DUMMYFUNCTION("""COMPUTED_VALUE"""),"-9.677")</f>
        <v>#NAME?</v>
      </c>
      <c r="K2974" s="100" t="e">
        <f t="shared" ca="1" si="477"/>
        <v>#NAME?</v>
      </c>
      <c r="L2974" s="100"/>
      <c r="M2974" s="100"/>
      <c r="N2974" s="100"/>
      <c r="O2974" s="100"/>
      <c r="P2974" s="100"/>
      <c r="Q2974" s="100"/>
      <c r="R2974" s="100"/>
      <c r="S2974" s="100"/>
      <c r="T2974" s="100"/>
      <c r="U2974" s="100"/>
      <c r="V2974" s="100"/>
      <c r="W2974" s="100"/>
      <c r="X2974" s="100"/>
      <c r="Y2974" s="100"/>
      <c r="Z2974" s="100"/>
    </row>
    <row r="2975" spans="1:26">
      <c r="A2975" s="100" t="e">
        <f ca="1">IFERROR(__xludf.DUMMYFUNCTION("""COMPUTED_VALUE"""),58786310)</f>
        <v>#NAME?</v>
      </c>
      <c r="B2975" s="100" t="e">
        <f ca="1">IFERROR(__xludf.DUMMYFUNCTION("""COMPUTED_VALUE"""),"GPSTRY")</f>
        <v>#NAME?</v>
      </c>
      <c r="C2975" s="100" t="e">
        <f ca="1">IFERROR(__xludf.DUMMYFUNCTION("""COMPUTED_VALUE"""),"0.63900000")</f>
        <v>#NAME?</v>
      </c>
      <c r="D2975" s="100" t="e">
        <f t="shared" ca="1" si="478"/>
        <v>#NAME?</v>
      </c>
      <c r="E2975" s="100" t="e">
        <f t="shared" ca="1" si="478"/>
        <v>#NAME?</v>
      </c>
      <c r="F2975" s="100" t="e">
        <f t="shared" ca="1" si="473"/>
        <v>#NAME?</v>
      </c>
      <c r="G2975" s="100" t="e">
        <f t="shared" ca="1" si="474"/>
        <v>#NAME?</v>
      </c>
      <c r="H2975" s="100" t="e">
        <f t="shared" ca="1" si="475"/>
        <v>#NAME?</v>
      </c>
      <c r="I2975" s="100" t="e">
        <f t="shared" ca="1" si="476"/>
        <v>#NAME?</v>
      </c>
      <c r="J2975" s="100" t="e">
        <f ca="1">IFERROR(__xludf.DUMMYFUNCTION("""COMPUTED_VALUE"""),"-10.629")</f>
        <v>#NAME?</v>
      </c>
      <c r="K2975" s="100" t="e">
        <f t="shared" ca="1" si="477"/>
        <v>#NAME?</v>
      </c>
      <c r="L2975" s="100"/>
      <c r="M2975" s="100"/>
      <c r="N2975" s="100"/>
      <c r="O2975" s="100"/>
      <c r="P2975" s="100"/>
      <c r="Q2975" s="100"/>
      <c r="R2975" s="100"/>
      <c r="S2975" s="100"/>
      <c r="T2975" s="100"/>
      <c r="U2975" s="100"/>
      <c r="V2975" s="100"/>
      <c r="W2975" s="100"/>
      <c r="X2975" s="100"/>
      <c r="Y2975" s="100"/>
      <c r="Z2975" s="100"/>
    </row>
    <row r="2976" spans="1:26">
      <c r="A2976" s="100" t="e">
        <f ca="1">IFERROR(__xludf.DUMMYFUNCTION("""COMPUTED_VALUE"""),58786311)</f>
        <v>#NAME?</v>
      </c>
      <c r="B2976" s="100" t="e">
        <f ca="1">IFERROR(__xludf.DUMMYFUNCTION("""COMPUTED_VALUE"""),"GPSBNB")</f>
        <v>#NAME?</v>
      </c>
      <c r="C2976" s="100" t="e">
        <f ca="1">IFERROR(__xludf.DUMMYFUNCTION("""COMPUTED_VALUE"""),"0.00002760")</f>
        <v>#NAME?</v>
      </c>
      <c r="D2976" s="100" t="e">
        <f t="shared" ca="1" si="478"/>
        <v>#NAME?</v>
      </c>
      <c r="E2976" s="100" t="e">
        <f t="shared" ca="1" si="478"/>
        <v>#NAME?</v>
      </c>
      <c r="F2976" s="100" t="e">
        <f t="shared" ca="1" si="473"/>
        <v>#NAME?</v>
      </c>
      <c r="G2976" s="100" t="e">
        <f t="shared" ca="1" si="474"/>
        <v>#NAME?</v>
      </c>
      <c r="H2976" s="100" t="e">
        <f t="shared" ca="1" si="475"/>
        <v>#NAME?</v>
      </c>
      <c r="I2976" s="100" t="e">
        <f t="shared" ca="1" si="476"/>
        <v>#NAME?</v>
      </c>
      <c r="J2976" s="100" t="e">
        <f ca="1">IFERROR(__xludf.DUMMYFUNCTION("""COMPUTED_VALUE"""),"-10.390")</f>
        <v>#NAME?</v>
      </c>
      <c r="K2976" s="100" t="e">
        <f t="shared" ca="1" si="477"/>
        <v>#NAME?</v>
      </c>
      <c r="L2976" s="100"/>
      <c r="M2976" s="100"/>
      <c r="N2976" s="100"/>
      <c r="O2976" s="100"/>
      <c r="P2976" s="100"/>
      <c r="Q2976" s="100"/>
      <c r="R2976" s="100"/>
      <c r="S2976" s="100"/>
      <c r="T2976" s="100"/>
      <c r="U2976" s="100"/>
      <c r="V2976" s="100"/>
      <c r="W2976" s="100"/>
      <c r="X2976" s="100"/>
      <c r="Y2976" s="100"/>
      <c r="Z2976" s="100"/>
    </row>
    <row r="2977" spans="1:26">
      <c r="A2977" s="100" t="e">
        <f ca="1">IFERROR(__xludf.DUMMYFUNCTION("""COMPUTED_VALUE"""),58786312)</f>
        <v>#NAME?</v>
      </c>
      <c r="B2977" s="100" t="e">
        <f ca="1">IFERROR(__xludf.DUMMYFUNCTION("""COMPUTED_VALUE"""),"REDBTC")</f>
        <v>#NAME?</v>
      </c>
      <c r="C2977" s="100" t="e">
        <f ca="1">IFERROR(__xludf.DUMMYFUNCTION("""COMPUTED_VALUE"""),"0.00000440")</f>
        <v>#NAME?</v>
      </c>
      <c r="D2977" s="100" t="e">
        <f t="shared" ca="1" si="478"/>
        <v>#NAME?</v>
      </c>
      <c r="E2977" s="100" t="e">
        <f t="shared" ca="1" si="478"/>
        <v>#NAME?</v>
      </c>
      <c r="F2977" s="100" t="e">
        <f t="shared" ca="1" si="473"/>
        <v>#NAME?</v>
      </c>
      <c r="G2977" s="100" t="e">
        <f t="shared" ca="1" si="474"/>
        <v>#NAME?</v>
      </c>
      <c r="H2977" s="100" t="e">
        <f t="shared" ca="1" si="475"/>
        <v>#NAME?</v>
      </c>
      <c r="I2977" s="100" t="e">
        <f t="shared" ca="1" si="476"/>
        <v>#NAME?</v>
      </c>
      <c r="J2977" s="100" t="e">
        <f ca="1">IFERROR(__xludf.DUMMYFUNCTION("""COMPUTED_VALUE"""),"0.228")</f>
        <v>#NAME?</v>
      </c>
      <c r="K2977" s="100" t="e">
        <f t="shared" ca="1" si="477"/>
        <v>#NAME?</v>
      </c>
      <c r="L2977" s="100"/>
      <c r="M2977" s="100"/>
      <c r="N2977" s="100"/>
      <c r="O2977" s="100"/>
      <c r="P2977" s="100"/>
      <c r="Q2977" s="100"/>
      <c r="R2977" s="100"/>
      <c r="S2977" s="100"/>
      <c r="T2977" s="100"/>
      <c r="U2977" s="100"/>
      <c r="V2977" s="100"/>
      <c r="W2977" s="100"/>
      <c r="X2977" s="100"/>
      <c r="Y2977" s="100"/>
      <c r="Z2977" s="100"/>
    </row>
    <row r="2978" spans="1:26">
      <c r="A2978" s="100" t="e">
        <f ca="1">IFERROR(__xludf.DUMMYFUNCTION("""COMPUTED_VALUE"""),58786313)</f>
        <v>#NAME?</v>
      </c>
      <c r="B2978" s="100" t="e">
        <f ca="1">IFERROR(__xludf.DUMMYFUNCTION("""COMPUTED_VALUE"""),"REDUSDC")</f>
        <v>#NAME?</v>
      </c>
      <c r="C2978" s="100" t="e">
        <f ca="1">IFERROR(__xludf.DUMMYFUNCTION("""COMPUTED_VALUE"""),"0.38990000")</f>
        <v>#NAME?</v>
      </c>
      <c r="D2978" s="100" t="e">
        <f t="shared" ca="1" si="478"/>
        <v>#NAME?</v>
      </c>
      <c r="E2978" s="100" t="e">
        <f t="shared" ca="1" si="478"/>
        <v>#NAME?</v>
      </c>
      <c r="F2978" s="100" t="e">
        <f t="shared" ca="1" si="473"/>
        <v>#NAME?</v>
      </c>
      <c r="G2978" s="100" t="e">
        <f t="shared" ca="1" si="474"/>
        <v>#NAME?</v>
      </c>
      <c r="H2978" s="100" t="e">
        <f t="shared" ca="1" si="475"/>
        <v>#NAME?</v>
      </c>
      <c r="I2978" s="100" t="e">
        <f t="shared" ca="1" si="476"/>
        <v>#NAME?</v>
      </c>
      <c r="J2978" s="100" t="e">
        <f ca="1">IFERROR(__xludf.DUMMYFUNCTION("""COMPUTED_VALUE"""),"0.906")</f>
        <v>#NAME?</v>
      </c>
      <c r="K2978" s="100" t="e">
        <f t="shared" ca="1" si="477"/>
        <v>#NAME?</v>
      </c>
      <c r="L2978" s="100"/>
      <c r="M2978" s="100"/>
      <c r="N2978" s="100"/>
      <c r="O2978" s="100"/>
      <c r="P2978" s="100"/>
      <c r="Q2978" s="100"/>
      <c r="R2978" s="100"/>
      <c r="S2978" s="100"/>
      <c r="T2978" s="100"/>
      <c r="U2978" s="100"/>
      <c r="V2978" s="100"/>
      <c r="W2978" s="100"/>
      <c r="X2978" s="100"/>
      <c r="Y2978" s="100"/>
      <c r="Z2978" s="100"/>
    </row>
    <row r="2979" spans="1:26">
      <c r="A2979" s="100" t="e">
        <f ca="1">IFERROR(__xludf.DUMMYFUNCTION("""COMPUTED_VALUE"""),58786314)</f>
        <v>#NAME?</v>
      </c>
      <c r="B2979" s="100" t="e">
        <f ca="1">IFERROR(__xludf.DUMMYFUNCTION("""COMPUTED_VALUE"""),"REDFDUSD")</f>
        <v>#NAME?</v>
      </c>
      <c r="C2979" s="100" t="e">
        <f ca="1">IFERROR(__xludf.DUMMYFUNCTION("""COMPUTED_VALUE"""),"0.38960000")</f>
        <v>#NAME?</v>
      </c>
      <c r="D2979" s="100" t="e">
        <f t="shared" ca="1" si="478"/>
        <v>#NAME?</v>
      </c>
      <c r="E2979" s="100" t="e">
        <f t="shared" ca="1" si="478"/>
        <v>#NAME?</v>
      </c>
      <c r="F2979" s="100" t="e">
        <f t="shared" ca="1" si="473"/>
        <v>#NAME?</v>
      </c>
      <c r="G2979" s="100" t="e">
        <f t="shared" ca="1" si="474"/>
        <v>#NAME?</v>
      </c>
      <c r="H2979" s="100" t="e">
        <f t="shared" ca="1" si="475"/>
        <v>#NAME?</v>
      </c>
      <c r="I2979" s="100" t="e">
        <f t="shared" ca="1" si="476"/>
        <v>#NAME?</v>
      </c>
      <c r="J2979" s="100" t="e">
        <f ca="1">IFERROR(__xludf.DUMMYFUNCTION("""COMPUTED_VALUE"""),"0.724")</f>
        <v>#NAME?</v>
      </c>
      <c r="K2979" s="100" t="e">
        <f t="shared" ca="1" si="477"/>
        <v>#NAME?</v>
      </c>
      <c r="L2979" s="100"/>
      <c r="M2979" s="100"/>
      <c r="N2979" s="100"/>
      <c r="O2979" s="100"/>
      <c r="P2979" s="100"/>
      <c r="Q2979" s="100"/>
      <c r="R2979" s="100"/>
      <c r="S2979" s="100"/>
      <c r="T2979" s="100"/>
      <c r="U2979" s="100"/>
      <c r="V2979" s="100"/>
      <c r="W2979" s="100"/>
      <c r="X2979" s="100"/>
      <c r="Y2979" s="100"/>
      <c r="Z2979" s="100"/>
    </row>
    <row r="2980" spans="1:26">
      <c r="A2980" s="100" t="e">
        <f ca="1">IFERROR(__xludf.DUMMYFUNCTION("""COMPUTED_VALUE"""),58786315)</f>
        <v>#NAME?</v>
      </c>
      <c r="B2980" s="100" t="e">
        <f ca="1">IFERROR(__xludf.DUMMYFUNCTION("""COMPUTED_VALUE"""),"REDTRY")</f>
        <v>#NAME?</v>
      </c>
      <c r="C2980" s="100" t="e">
        <f ca="1">IFERROR(__xludf.DUMMYFUNCTION("""COMPUTED_VALUE"""),"14.90000000")</f>
        <v>#NAME?</v>
      </c>
      <c r="D2980" s="100" t="e">
        <f t="shared" ca="1" si="478"/>
        <v>#NAME?</v>
      </c>
      <c r="E2980" s="100" t="e">
        <f t="shared" ca="1" si="478"/>
        <v>#NAME?</v>
      </c>
      <c r="F2980" s="100" t="e">
        <f t="shared" ca="1" si="473"/>
        <v>#NAME?</v>
      </c>
      <c r="G2980" s="100" t="e">
        <f t="shared" ca="1" si="474"/>
        <v>#NAME?</v>
      </c>
      <c r="H2980" s="100" t="e">
        <f t="shared" ca="1" si="475"/>
        <v>#NAME?</v>
      </c>
      <c r="I2980" s="100" t="e">
        <f t="shared" ca="1" si="476"/>
        <v>#NAME?</v>
      </c>
      <c r="J2980" s="100" t="e">
        <f ca="1">IFERROR(__xludf.DUMMYFUNCTION("""COMPUTED_VALUE"""),"0.880")</f>
        <v>#NAME?</v>
      </c>
      <c r="K2980" s="100" t="e">
        <f t="shared" ca="1" si="477"/>
        <v>#NAME?</v>
      </c>
      <c r="L2980" s="100"/>
      <c r="M2980" s="100"/>
      <c r="N2980" s="100"/>
      <c r="O2980" s="100"/>
      <c r="P2980" s="100"/>
      <c r="Q2980" s="100"/>
      <c r="R2980" s="100"/>
      <c r="S2980" s="100"/>
      <c r="T2980" s="100"/>
      <c r="U2980" s="100"/>
      <c r="V2980" s="100"/>
      <c r="W2980" s="100"/>
      <c r="X2980" s="100"/>
      <c r="Y2980" s="100"/>
      <c r="Z2980" s="100"/>
    </row>
    <row r="2981" spans="1:26">
      <c r="A2981" s="100" t="e">
        <f ca="1">IFERROR(__xludf.DUMMYFUNCTION("""COMPUTED_VALUE"""),58786316)</f>
        <v>#NAME?</v>
      </c>
      <c r="B2981" s="100" t="e">
        <f ca="1">IFERROR(__xludf.DUMMYFUNCTION("""COMPUTED_VALUE"""),"CHESSUSDC")</f>
        <v>#NAME?</v>
      </c>
      <c r="C2981" s="100" t="e">
        <f ca="1">IFERROR(__xludf.DUMMYFUNCTION("""COMPUTED_VALUE"""),"0.05920000")</f>
        <v>#NAME?</v>
      </c>
      <c r="D2981" s="100" t="e">
        <f t="shared" ca="1" si="478"/>
        <v>#NAME?</v>
      </c>
      <c r="E2981" s="100" t="e">
        <f t="shared" ca="1" si="478"/>
        <v>#NAME?</v>
      </c>
      <c r="F2981" s="100" t="e">
        <f t="shared" ca="1" si="473"/>
        <v>#NAME?</v>
      </c>
      <c r="G2981" s="100" t="e">
        <f t="shared" ca="1" si="474"/>
        <v>#NAME?</v>
      </c>
      <c r="H2981" s="100" t="e">
        <f t="shared" ca="1" si="475"/>
        <v>#NAME?</v>
      </c>
      <c r="I2981" s="100" t="e">
        <f t="shared" ca="1" si="476"/>
        <v>#NAME?</v>
      </c>
      <c r="J2981" s="100" t="e">
        <f ca="1">IFERROR(__xludf.DUMMYFUNCTION("""COMPUTED_VALUE"""),"-0.671")</f>
        <v>#NAME?</v>
      </c>
      <c r="K2981" s="100" t="e">
        <f t="shared" ca="1" si="477"/>
        <v>#NAME?</v>
      </c>
      <c r="L2981" s="100"/>
      <c r="M2981" s="100"/>
      <c r="N2981" s="100"/>
      <c r="O2981" s="100"/>
      <c r="P2981" s="100"/>
      <c r="Q2981" s="100"/>
      <c r="R2981" s="100"/>
      <c r="S2981" s="100"/>
      <c r="T2981" s="100"/>
      <c r="U2981" s="100"/>
      <c r="V2981" s="100"/>
      <c r="W2981" s="100"/>
      <c r="X2981" s="100"/>
      <c r="Y2981" s="100"/>
      <c r="Z2981" s="100"/>
    </row>
    <row r="2982" spans="1:26">
      <c r="A2982" s="100" t="e">
        <f ca="1">IFERROR(__xludf.DUMMYFUNCTION("""COMPUTED_VALUE"""),58786317)</f>
        <v>#NAME?</v>
      </c>
      <c r="B2982" s="100" t="e">
        <f ca="1">IFERROR(__xludf.DUMMYFUNCTION("""COMPUTED_VALUE"""),"EGLDUSDC")</f>
        <v>#NAME?</v>
      </c>
      <c r="C2982" s="100" t="e">
        <f ca="1">IFERROR(__xludf.DUMMYFUNCTION("""COMPUTED_VALUE"""),"14.09000000")</f>
        <v>#NAME?</v>
      </c>
      <c r="D2982" s="100" t="e">
        <f t="shared" ref="D2982:E3001" ca="1" si="479">IFERROR(__xludf.DUMMYFUNCTION("""COMPUTED_VALUE"""),"-")</f>
        <v>#NAME?</v>
      </c>
      <c r="E2982" s="100" t="e">
        <f t="shared" ca="1" si="479"/>
        <v>#NAME?</v>
      </c>
      <c r="F2982" s="100" t="e">
        <f t="shared" ca="1" si="473"/>
        <v>#NAME?</v>
      </c>
      <c r="G2982" s="100" t="e">
        <f t="shared" ca="1" si="474"/>
        <v>#NAME?</v>
      </c>
      <c r="H2982" s="100" t="e">
        <f t="shared" ca="1" si="475"/>
        <v>#NAME?</v>
      </c>
      <c r="I2982" s="100" t="e">
        <f t="shared" ca="1" si="476"/>
        <v>#NAME?</v>
      </c>
      <c r="J2982" s="100" t="e">
        <f ca="1">IFERROR(__xludf.DUMMYFUNCTION("""COMPUTED_VALUE"""),"-2.559")</f>
        <v>#NAME?</v>
      </c>
      <c r="K2982" s="100" t="e">
        <f t="shared" ca="1" si="477"/>
        <v>#NAME?</v>
      </c>
      <c r="L2982" s="100"/>
      <c r="M2982" s="100"/>
      <c r="N2982" s="100"/>
      <c r="O2982" s="100"/>
      <c r="P2982" s="100"/>
      <c r="Q2982" s="100"/>
      <c r="R2982" s="100"/>
      <c r="S2982" s="100"/>
      <c r="T2982" s="100"/>
      <c r="U2982" s="100"/>
      <c r="V2982" s="100"/>
      <c r="W2982" s="100"/>
      <c r="X2982" s="100"/>
      <c r="Y2982" s="100"/>
      <c r="Z2982" s="100"/>
    </row>
    <row r="2983" spans="1:26">
      <c r="A2983" s="100" t="e">
        <f ca="1">IFERROR(__xludf.DUMMYFUNCTION("""COMPUTED_VALUE"""),58786318)</f>
        <v>#NAME?</v>
      </c>
      <c r="B2983" s="100" t="e">
        <f ca="1">IFERROR(__xludf.DUMMYFUNCTION("""COMPUTED_VALUE"""),"OSMOUSDC")</f>
        <v>#NAME?</v>
      </c>
      <c r="C2983" s="100" t="e">
        <f ca="1">IFERROR(__xludf.DUMMYFUNCTION("""COMPUTED_VALUE"""),"0.21920000")</f>
        <v>#NAME?</v>
      </c>
      <c r="D2983" s="100" t="e">
        <f t="shared" ca="1" si="479"/>
        <v>#NAME?</v>
      </c>
      <c r="E2983" s="100" t="e">
        <f t="shared" ca="1" si="479"/>
        <v>#NAME?</v>
      </c>
      <c r="F2983" s="100" t="e">
        <f t="shared" ca="1" si="473"/>
        <v>#NAME?</v>
      </c>
      <c r="G2983" s="100" t="e">
        <f t="shared" ca="1" si="474"/>
        <v>#NAME?</v>
      </c>
      <c r="H2983" s="100" t="e">
        <f t="shared" ca="1" si="475"/>
        <v>#NAME?</v>
      </c>
      <c r="I2983" s="100" t="e">
        <f t="shared" ca="1" si="476"/>
        <v>#NAME?</v>
      </c>
      <c r="J2983" s="100" t="e">
        <f ca="1">IFERROR(__xludf.DUMMYFUNCTION("""COMPUTED_VALUE"""),"-2.188")</f>
        <v>#NAME?</v>
      </c>
      <c r="K2983" s="100" t="e">
        <f t="shared" ca="1" si="477"/>
        <v>#NAME?</v>
      </c>
      <c r="L2983" s="100"/>
      <c r="M2983" s="100"/>
      <c r="N2983" s="100"/>
      <c r="O2983" s="100"/>
      <c r="P2983" s="100"/>
      <c r="Q2983" s="100"/>
      <c r="R2983" s="100"/>
      <c r="S2983" s="100"/>
      <c r="T2983" s="100"/>
      <c r="U2983" s="100"/>
      <c r="V2983" s="100"/>
      <c r="W2983" s="100"/>
      <c r="X2983" s="100"/>
      <c r="Y2983" s="100"/>
      <c r="Z2983" s="100"/>
    </row>
    <row r="2984" spans="1:26">
      <c r="A2984" s="100" t="e">
        <f ca="1">IFERROR(__xludf.DUMMYFUNCTION("""COMPUTED_VALUE"""),58786319)</f>
        <v>#NAME?</v>
      </c>
      <c r="B2984" s="100" t="e">
        <f ca="1">IFERROR(__xludf.DUMMYFUNCTION("""COMPUTED_VALUE"""),"UTKUSDC")</f>
        <v>#NAME?</v>
      </c>
      <c r="C2984" s="100" t="e">
        <f ca="1">IFERROR(__xludf.DUMMYFUNCTION("""COMPUTED_VALUE"""),"0.03110000")</f>
        <v>#NAME?</v>
      </c>
      <c r="D2984" s="100" t="e">
        <f t="shared" ca="1" si="479"/>
        <v>#NAME?</v>
      </c>
      <c r="E2984" s="100" t="e">
        <f t="shared" ca="1" si="479"/>
        <v>#NAME?</v>
      </c>
      <c r="F2984" s="100" t="e">
        <f t="shared" ca="1" si="473"/>
        <v>#NAME?</v>
      </c>
      <c r="G2984" s="100" t="e">
        <f t="shared" ca="1" si="474"/>
        <v>#NAME?</v>
      </c>
      <c r="H2984" s="100" t="e">
        <f t="shared" ca="1" si="475"/>
        <v>#NAME?</v>
      </c>
      <c r="I2984" s="100" t="e">
        <f t="shared" ca="1" si="476"/>
        <v>#NAME?</v>
      </c>
      <c r="J2984" s="100" t="e">
        <f ca="1">IFERROR(__xludf.DUMMYFUNCTION("""COMPUTED_VALUE"""),"-2.691")</f>
        <v>#NAME?</v>
      </c>
      <c r="K2984" s="100" t="e">
        <f t="shared" ca="1" si="477"/>
        <v>#NAME?</v>
      </c>
      <c r="L2984" s="100"/>
      <c r="M2984" s="100"/>
      <c r="N2984" s="100"/>
      <c r="O2984" s="100"/>
      <c r="P2984" s="100"/>
      <c r="Q2984" s="100"/>
      <c r="R2984" s="100"/>
      <c r="S2984" s="100"/>
      <c r="T2984" s="100"/>
      <c r="U2984" s="100"/>
      <c r="V2984" s="100"/>
      <c r="W2984" s="100"/>
      <c r="X2984" s="100"/>
      <c r="Y2984" s="100"/>
      <c r="Z2984" s="100"/>
    </row>
    <row r="2985" spans="1:26">
      <c r="A2985" s="100" t="e">
        <f ca="1">IFERROR(__xludf.DUMMYFUNCTION("""COMPUTED_VALUE"""),58786320)</f>
        <v>#NAME?</v>
      </c>
      <c r="B2985" s="100" t="e">
        <f ca="1">IFERROR(__xludf.DUMMYFUNCTION("""COMPUTED_VALUE"""),"TUSDC")</f>
        <v>#NAME?</v>
      </c>
      <c r="C2985" s="100" t="e">
        <f ca="1">IFERROR(__xludf.DUMMYFUNCTION("""COMPUTED_VALUE"""),"0.01686000")</f>
        <v>#NAME?</v>
      </c>
      <c r="D2985" s="100" t="e">
        <f t="shared" ca="1" si="479"/>
        <v>#NAME?</v>
      </c>
      <c r="E2985" s="100" t="e">
        <f t="shared" ca="1" si="479"/>
        <v>#NAME?</v>
      </c>
      <c r="F2985" s="100" t="e">
        <f t="shared" ca="1" si="473"/>
        <v>#NAME?</v>
      </c>
      <c r="G2985" s="100" t="e">
        <f t="shared" ca="1" si="474"/>
        <v>#NAME?</v>
      </c>
      <c r="H2985" s="100" t="e">
        <f t="shared" ca="1" si="475"/>
        <v>#NAME?</v>
      </c>
      <c r="I2985" s="100" t="e">
        <f t="shared" ca="1" si="476"/>
        <v>#NAME?</v>
      </c>
      <c r="J2985" s="100" t="e">
        <f ca="1">IFERROR(__xludf.DUMMYFUNCTION("""COMPUTED_VALUE"""),"-7.363")</f>
        <v>#NAME?</v>
      </c>
      <c r="K2985" s="100" t="e">
        <f t="shared" ca="1" si="477"/>
        <v>#NAME?</v>
      </c>
      <c r="L2985" s="100"/>
      <c r="M2985" s="100"/>
      <c r="N2985" s="100"/>
      <c r="O2985" s="100"/>
      <c r="P2985" s="100"/>
      <c r="Q2985" s="100"/>
      <c r="R2985" s="100"/>
      <c r="S2985" s="100"/>
      <c r="T2985" s="100"/>
      <c r="U2985" s="100"/>
      <c r="V2985" s="100"/>
      <c r="W2985" s="100"/>
      <c r="X2985" s="100"/>
      <c r="Y2985" s="100"/>
      <c r="Z2985" s="100"/>
    </row>
    <row r="2986" spans="1:26">
      <c r="A2986" s="100" t="e">
        <f ca="1">IFERROR(__xludf.DUMMYFUNCTION("""COMPUTED_VALUE"""),58786321)</f>
        <v>#NAME?</v>
      </c>
      <c r="B2986" s="100" t="e">
        <f ca="1">IFERROR(__xludf.DUMMYFUNCTION("""COMPUTED_VALUE"""),"CVCUSDC")</f>
        <v>#NAME?</v>
      </c>
      <c r="C2986" s="100" t="e">
        <f ca="1">IFERROR(__xludf.DUMMYFUNCTION("""COMPUTED_VALUE"""),"0.10570000")</f>
        <v>#NAME?</v>
      </c>
      <c r="D2986" s="100" t="e">
        <f t="shared" ca="1" si="479"/>
        <v>#NAME?</v>
      </c>
      <c r="E2986" s="100" t="e">
        <f t="shared" ca="1" si="479"/>
        <v>#NAME?</v>
      </c>
      <c r="F2986" s="100" t="e">
        <f t="shared" ca="1" si="473"/>
        <v>#NAME?</v>
      </c>
      <c r="G2986" s="100" t="e">
        <f t="shared" ca="1" si="474"/>
        <v>#NAME?</v>
      </c>
      <c r="H2986" s="100" t="e">
        <f t="shared" ca="1" si="475"/>
        <v>#NAME?</v>
      </c>
      <c r="I2986" s="100" t="e">
        <f t="shared" ca="1" si="476"/>
        <v>#NAME?</v>
      </c>
      <c r="J2986" s="100" t="e">
        <f ca="1">IFERROR(__xludf.DUMMYFUNCTION("""COMPUTED_VALUE"""),"-2.039")</f>
        <v>#NAME?</v>
      </c>
      <c r="K2986" s="100" t="e">
        <f t="shared" ca="1" si="477"/>
        <v>#NAME?</v>
      </c>
      <c r="L2986" s="100"/>
      <c r="M2986" s="100"/>
      <c r="N2986" s="100"/>
      <c r="O2986" s="100"/>
      <c r="P2986" s="100"/>
      <c r="Q2986" s="100"/>
      <c r="R2986" s="100"/>
      <c r="S2986" s="100"/>
      <c r="T2986" s="100"/>
      <c r="U2986" s="100"/>
      <c r="V2986" s="100"/>
      <c r="W2986" s="100"/>
      <c r="X2986" s="100"/>
      <c r="Y2986" s="100"/>
      <c r="Z2986" s="100"/>
    </row>
    <row r="2987" spans="1:26">
      <c r="A2987" s="100" t="e">
        <f ca="1">IFERROR(__xludf.DUMMYFUNCTION("""COMPUTED_VALUE"""),58786322)</f>
        <v>#NAME?</v>
      </c>
      <c r="B2987" s="100" t="e">
        <f ca="1">IFERROR(__xludf.DUMMYFUNCTION("""COMPUTED_VALUE"""),"EURIUSDC")</f>
        <v>#NAME?</v>
      </c>
      <c r="C2987" s="100" t="e">
        <f ca="1">IFERROR(__xludf.DUMMYFUNCTION("""COMPUTED_VALUE"""),"1.14880000")</f>
        <v>#NAME?</v>
      </c>
      <c r="D2987" s="100" t="e">
        <f t="shared" ca="1" si="479"/>
        <v>#NAME?</v>
      </c>
      <c r="E2987" s="100" t="e">
        <f t="shared" ca="1" si="479"/>
        <v>#NAME?</v>
      </c>
      <c r="F2987" s="100" t="e">
        <f t="shared" ca="1" si="473"/>
        <v>#NAME?</v>
      </c>
      <c r="G2987" s="100" t="e">
        <f t="shared" ca="1" si="474"/>
        <v>#NAME?</v>
      </c>
      <c r="H2987" s="100" t="e">
        <f t="shared" ca="1" si="475"/>
        <v>#NAME?</v>
      </c>
      <c r="I2987" s="100" t="e">
        <f t="shared" ca="1" si="476"/>
        <v>#NAME?</v>
      </c>
      <c r="J2987" s="100" t="e">
        <f ca="1">IFERROR(__xludf.DUMMYFUNCTION("""COMPUTED_VALUE"""),"-0.468")</f>
        <v>#NAME?</v>
      </c>
      <c r="K2987" s="100" t="e">
        <f t="shared" ca="1" si="477"/>
        <v>#NAME?</v>
      </c>
      <c r="L2987" s="100"/>
      <c r="M2987" s="100"/>
      <c r="N2987" s="100"/>
      <c r="O2987" s="100"/>
      <c r="P2987" s="100"/>
      <c r="Q2987" s="100"/>
      <c r="R2987" s="100"/>
      <c r="S2987" s="100"/>
      <c r="T2987" s="100"/>
      <c r="U2987" s="100"/>
      <c r="V2987" s="100"/>
      <c r="W2987" s="100"/>
      <c r="X2987" s="100"/>
      <c r="Y2987" s="100"/>
      <c r="Z2987" s="100"/>
    </row>
    <row r="2988" spans="1:26">
      <c r="A2988" s="100" t="e">
        <f ca="1">IFERROR(__xludf.DUMMYFUNCTION("""COMPUTED_VALUE"""),58786323)</f>
        <v>#NAME?</v>
      </c>
      <c r="B2988" s="100" t="e">
        <f ca="1">IFERROR(__xludf.DUMMYFUNCTION("""COMPUTED_VALUE"""),"SYNUSDC")</f>
        <v>#NAME?</v>
      </c>
      <c r="C2988" s="100" t="e">
        <f ca="1">IFERROR(__xludf.DUMMYFUNCTION("""COMPUTED_VALUE"""),"0.22070000")</f>
        <v>#NAME?</v>
      </c>
      <c r="D2988" s="100" t="e">
        <f t="shared" ca="1" si="479"/>
        <v>#NAME?</v>
      </c>
      <c r="E2988" s="100" t="e">
        <f t="shared" ca="1" si="479"/>
        <v>#NAME?</v>
      </c>
      <c r="F2988" s="100" t="e">
        <f t="shared" ca="1" si="473"/>
        <v>#NAME?</v>
      </c>
      <c r="G2988" s="100" t="e">
        <f t="shared" ca="1" si="474"/>
        <v>#NAME?</v>
      </c>
      <c r="H2988" s="100" t="e">
        <f t="shared" ca="1" si="475"/>
        <v>#NAME?</v>
      </c>
      <c r="I2988" s="100" t="e">
        <f t="shared" ca="1" si="476"/>
        <v>#NAME?</v>
      </c>
      <c r="J2988" s="100" t="e">
        <f ca="1">IFERROR(__xludf.DUMMYFUNCTION("""COMPUTED_VALUE"""),"17.958")</f>
        <v>#NAME?</v>
      </c>
      <c r="K2988" s="100" t="e">
        <f t="shared" ca="1" si="477"/>
        <v>#NAME?</v>
      </c>
      <c r="L2988" s="100"/>
      <c r="M2988" s="100"/>
      <c r="N2988" s="100"/>
      <c r="O2988" s="100"/>
      <c r="P2988" s="100"/>
      <c r="Q2988" s="100"/>
      <c r="R2988" s="100"/>
      <c r="S2988" s="100"/>
      <c r="T2988" s="100"/>
      <c r="U2988" s="100"/>
      <c r="V2988" s="100"/>
      <c r="W2988" s="100"/>
      <c r="X2988" s="100"/>
      <c r="Y2988" s="100"/>
      <c r="Z2988" s="100"/>
    </row>
    <row r="2989" spans="1:26">
      <c r="A2989" s="100" t="e">
        <f ca="1">IFERROR(__xludf.DUMMYFUNCTION("""COMPUTED_VALUE"""),58786324)</f>
        <v>#NAME?</v>
      </c>
      <c r="B2989" s="100" t="e">
        <f ca="1">IFERROR(__xludf.DUMMYFUNCTION("""COMPUTED_VALUE"""),"USDCRON")</f>
        <v>#NAME?</v>
      </c>
      <c r="C2989" s="100" t="e">
        <f ca="1">IFERROR(__xludf.DUMMYFUNCTION("""COMPUTED_VALUE"""),"4.31600000")</f>
        <v>#NAME?</v>
      </c>
      <c r="D2989" s="100" t="e">
        <f t="shared" ca="1" si="479"/>
        <v>#NAME?</v>
      </c>
      <c r="E2989" s="100" t="e">
        <f t="shared" ca="1" si="479"/>
        <v>#NAME?</v>
      </c>
      <c r="F2989" s="100" t="e">
        <f t="shared" ca="1" si="473"/>
        <v>#NAME?</v>
      </c>
      <c r="G2989" s="100" t="e">
        <f t="shared" ca="1" si="474"/>
        <v>#NAME?</v>
      </c>
      <c r="H2989" s="100" t="e">
        <f t="shared" ca="1" si="475"/>
        <v>#NAME?</v>
      </c>
      <c r="I2989" s="100" t="e">
        <f t="shared" ca="1" si="476"/>
        <v>#NAME?</v>
      </c>
      <c r="J2989" s="100" t="e">
        <f ca="1">IFERROR(__xludf.DUMMYFUNCTION("""COMPUTED_VALUE"""),"-0.231")</f>
        <v>#NAME?</v>
      </c>
      <c r="K2989" s="100" t="e">
        <f t="shared" ca="1" si="477"/>
        <v>#NAME?</v>
      </c>
      <c r="L2989" s="100"/>
      <c r="M2989" s="100"/>
      <c r="N2989" s="100"/>
      <c r="O2989" s="100"/>
      <c r="P2989" s="100"/>
      <c r="Q2989" s="100"/>
      <c r="R2989" s="100"/>
      <c r="S2989" s="100"/>
      <c r="T2989" s="100"/>
      <c r="U2989" s="100"/>
      <c r="V2989" s="100"/>
      <c r="W2989" s="100"/>
      <c r="X2989" s="100"/>
      <c r="Y2989" s="100"/>
      <c r="Z2989" s="100"/>
    </row>
    <row r="2990" spans="1:26">
      <c r="A2990" s="100" t="e">
        <f ca="1">IFERROR(__xludf.DUMMYFUNCTION("""COMPUTED_VALUE"""),58786325)</f>
        <v>#NAME?</v>
      </c>
      <c r="B2990" s="100" t="e">
        <f ca="1">IFERROR(__xludf.DUMMYFUNCTION("""COMPUTED_VALUE"""),"VELODROMEUSDC")</f>
        <v>#NAME?</v>
      </c>
      <c r="C2990" s="100" t="e">
        <f ca="1">IFERROR(__xludf.DUMMYFUNCTION("""COMPUTED_VALUE"""),"0.04520000")</f>
        <v>#NAME?</v>
      </c>
      <c r="D2990" s="100" t="e">
        <f t="shared" ca="1" si="479"/>
        <v>#NAME?</v>
      </c>
      <c r="E2990" s="100" t="e">
        <f t="shared" ca="1" si="479"/>
        <v>#NAME?</v>
      </c>
      <c r="F2990" s="100" t="e">
        <f t="shared" ca="1" si="473"/>
        <v>#NAME?</v>
      </c>
      <c r="G2990" s="100" t="e">
        <f t="shared" ca="1" si="474"/>
        <v>#NAME?</v>
      </c>
      <c r="H2990" s="100" t="e">
        <f t="shared" ca="1" si="475"/>
        <v>#NAME?</v>
      </c>
      <c r="I2990" s="100" t="e">
        <f t="shared" ca="1" si="476"/>
        <v>#NAME?</v>
      </c>
      <c r="J2990" s="100" t="e">
        <f ca="1">IFERROR(__xludf.DUMMYFUNCTION("""COMPUTED_VALUE"""),"-1.952")</f>
        <v>#NAME?</v>
      </c>
      <c r="K2990" s="100" t="e">
        <f t="shared" ca="1" si="477"/>
        <v>#NAME?</v>
      </c>
      <c r="L2990" s="100"/>
      <c r="M2990" s="100"/>
      <c r="N2990" s="100"/>
      <c r="O2990" s="100"/>
      <c r="P2990" s="100"/>
      <c r="Q2990" s="100"/>
      <c r="R2990" s="100"/>
      <c r="S2990" s="100"/>
      <c r="T2990" s="100"/>
      <c r="U2990" s="100"/>
      <c r="V2990" s="100"/>
      <c r="W2990" s="100"/>
      <c r="X2990" s="100"/>
      <c r="Y2990" s="100"/>
      <c r="Z2990" s="100"/>
    </row>
    <row r="2991" spans="1:26">
      <c r="A2991" s="100" t="e">
        <f ca="1">IFERROR(__xludf.DUMMYFUNCTION("""COMPUTED_VALUE"""),58786326)</f>
        <v>#NAME?</v>
      </c>
      <c r="B2991" s="100" t="e">
        <f ca="1">IFERROR(__xludf.DUMMYFUNCTION("""COMPUTED_VALUE"""),"EPICUSDT")</f>
        <v>#NAME?</v>
      </c>
      <c r="C2991" s="100" t="e">
        <f ca="1">IFERROR(__xludf.DUMMYFUNCTION("""COMPUTED_VALUE"""),"1.32500000")</f>
        <v>#NAME?</v>
      </c>
      <c r="D2991" s="100" t="e">
        <f t="shared" ca="1" si="479"/>
        <v>#NAME?</v>
      </c>
      <c r="E2991" s="100" t="e">
        <f t="shared" ca="1" si="479"/>
        <v>#NAME?</v>
      </c>
      <c r="F2991" s="100" t="e">
        <f t="shared" ca="1" si="473"/>
        <v>#NAME?</v>
      </c>
      <c r="G2991" s="100" t="e">
        <f t="shared" ca="1" si="474"/>
        <v>#NAME?</v>
      </c>
      <c r="H2991" s="100" t="e">
        <f t="shared" ca="1" si="475"/>
        <v>#NAME?</v>
      </c>
      <c r="I2991" s="100" t="e">
        <f t="shared" ca="1" si="476"/>
        <v>#NAME?</v>
      </c>
      <c r="J2991" s="100" t="e">
        <f ca="1">IFERROR(__xludf.DUMMYFUNCTION("""COMPUTED_VALUE"""),"-5.962")</f>
        <v>#NAME?</v>
      </c>
      <c r="K2991" s="100" t="e">
        <f t="shared" ca="1" si="477"/>
        <v>#NAME?</v>
      </c>
      <c r="L2991" s="100"/>
      <c r="M2991" s="100"/>
      <c r="N2991" s="100"/>
      <c r="O2991" s="100"/>
      <c r="P2991" s="100"/>
      <c r="Q2991" s="100"/>
      <c r="R2991" s="100"/>
      <c r="S2991" s="100"/>
      <c r="T2991" s="100"/>
      <c r="U2991" s="100"/>
      <c r="V2991" s="100"/>
      <c r="W2991" s="100"/>
      <c r="X2991" s="100"/>
      <c r="Y2991" s="100"/>
      <c r="Z2991" s="100"/>
    </row>
    <row r="2992" spans="1:26">
      <c r="A2992" s="100" t="e">
        <f ca="1">IFERROR(__xludf.DUMMYFUNCTION("""COMPUTED_VALUE"""),58786327)</f>
        <v>#NAME?</v>
      </c>
      <c r="B2992" s="100" t="e">
        <f ca="1">IFERROR(__xludf.DUMMYFUNCTION("""COMPUTED_VALUE"""),"DFUSDC")</f>
        <v>#NAME?</v>
      </c>
      <c r="C2992" s="100" t="e">
        <f ca="1">IFERROR(__xludf.DUMMYFUNCTION("""COMPUTED_VALUE"""),"0.05568000")</f>
        <v>#NAME?</v>
      </c>
      <c r="D2992" s="100" t="e">
        <f t="shared" ca="1" si="479"/>
        <v>#NAME?</v>
      </c>
      <c r="E2992" s="100" t="e">
        <f t="shared" ca="1" si="479"/>
        <v>#NAME?</v>
      </c>
      <c r="F2992" s="100" t="e">
        <f t="shared" ca="1" si="473"/>
        <v>#NAME?</v>
      </c>
      <c r="G2992" s="100" t="e">
        <f t="shared" ca="1" si="474"/>
        <v>#NAME?</v>
      </c>
      <c r="H2992" s="100" t="e">
        <f t="shared" ca="1" si="475"/>
        <v>#NAME?</v>
      </c>
      <c r="I2992" s="100" t="e">
        <f t="shared" ca="1" si="476"/>
        <v>#NAME?</v>
      </c>
      <c r="J2992" s="100" t="e">
        <f ca="1">IFERROR(__xludf.DUMMYFUNCTION("""COMPUTED_VALUE"""),"-2.657")</f>
        <v>#NAME?</v>
      </c>
      <c r="K2992" s="100" t="e">
        <f t="shared" ca="1" si="477"/>
        <v>#NAME?</v>
      </c>
      <c r="L2992" s="100"/>
      <c r="M2992" s="100"/>
      <c r="N2992" s="100"/>
      <c r="O2992" s="100"/>
      <c r="P2992" s="100"/>
      <c r="Q2992" s="100"/>
      <c r="R2992" s="100"/>
      <c r="S2992" s="100"/>
      <c r="T2992" s="100"/>
      <c r="U2992" s="100"/>
      <c r="V2992" s="100"/>
      <c r="W2992" s="100"/>
      <c r="X2992" s="100"/>
      <c r="Y2992" s="100"/>
      <c r="Z2992" s="100"/>
    </row>
    <row r="2993" spans="1:26">
      <c r="A2993" s="100" t="e">
        <f ca="1">IFERROR(__xludf.DUMMYFUNCTION("""COMPUTED_VALUE"""),58786328)</f>
        <v>#NAME?</v>
      </c>
      <c r="B2993" s="100" t="e">
        <f ca="1">IFERROR(__xludf.DUMMYFUNCTION("""COMPUTED_VALUE"""),"EPICUSDC")</f>
        <v>#NAME?</v>
      </c>
      <c r="C2993" s="100" t="e">
        <f ca="1">IFERROR(__xludf.DUMMYFUNCTION("""COMPUTED_VALUE"""),"1.32600000")</f>
        <v>#NAME?</v>
      </c>
      <c r="D2993" s="100" t="e">
        <f t="shared" ca="1" si="479"/>
        <v>#NAME?</v>
      </c>
      <c r="E2993" s="100" t="e">
        <f t="shared" ca="1" si="479"/>
        <v>#NAME?</v>
      </c>
      <c r="F2993" s="100" t="e">
        <f t="shared" ca="1" si="473"/>
        <v>#NAME?</v>
      </c>
      <c r="G2993" s="100" t="e">
        <f t="shared" ca="1" si="474"/>
        <v>#NAME?</v>
      </c>
      <c r="H2993" s="100" t="e">
        <f t="shared" ca="1" si="475"/>
        <v>#NAME?</v>
      </c>
      <c r="I2993" s="100" t="e">
        <f t="shared" ca="1" si="476"/>
        <v>#NAME?</v>
      </c>
      <c r="J2993" s="100" t="e">
        <f ca="1">IFERROR(__xludf.DUMMYFUNCTION("""COMPUTED_VALUE"""),"-5.690")</f>
        <v>#NAME?</v>
      </c>
      <c r="K2993" s="100" t="e">
        <f t="shared" ca="1" si="477"/>
        <v>#NAME?</v>
      </c>
      <c r="L2993" s="100"/>
      <c r="M2993" s="100"/>
      <c r="N2993" s="100"/>
      <c r="O2993" s="100"/>
      <c r="P2993" s="100"/>
      <c r="Q2993" s="100"/>
      <c r="R2993" s="100"/>
      <c r="S2993" s="100"/>
      <c r="T2993" s="100"/>
      <c r="U2993" s="100"/>
      <c r="V2993" s="100"/>
      <c r="W2993" s="100"/>
      <c r="X2993" s="100"/>
      <c r="Y2993" s="100"/>
      <c r="Z2993" s="100"/>
    </row>
    <row r="2994" spans="1:26">
      <c r="A2994" s="100" t="e">
        <f ca="1">IFERROR(__xludf.DUMMYFUNCTION("""COMPUTED_VALUE"""),58786329)</f>
        <v>#NAME?</v>
      </c>
      <c r="B2994" s="100" t="e">
        <f ca="1">IFERROR(__xludf.DUMMYFUNCTION("""COMPUTED_VALUE"""),"GMXUSDC")</f>
        <v>#NAME?</v>
      </c>
      <c r="C2994" s="100" t="e">
        <f ca="1">IFERROR(__xludf.DUMMYFUNCTION("""COMPUTED_VALUE"""),"13.62000000")</f>
        <v>#NAME?</v>
      </c>
      <c r="D2994" s="100" t="e">
        <f t="shared" ca="1" si="479"/>
        <v>#NAME?</v>
      </c>
      <c r="E2994" s="100" t="e">
        <f t="shared" ca="1" si="479"/>
        <v>#NAME?</v>
      </c>
      <c r="F2994" s="100" t="e">
        <f t="shared" ca="1" si="473"/>
        <v>#NAME?</v>
      </c>
      <c r="G2994" s="100" t="e">
        <f t="shared" ca="1" si="474"/>
        <v>#NAME?</v>
      </c>
      <c r="H2994" s="100" t="e">
        <f t="shared" ca="1" si="475"/>
        <v>#NAME?</v>
      </c>
      <c r="I2994" s="100" t="e">
        <f t="shared" ca="1" si="476"/>
        <v>#NAME?</v>
      </c>
      <c r="J2994" s="100" t="e">
        <f ca="1">IFERROR(__xludf.DUMMYFUNCTION("""COMPUTED_VALUE"""),"-8.818")</f>
        <v>#NAME?</v>
      </c>
      <c r="K2994" s="100" t="e">
        <f t="shared" ca="1" si="477"/>
        <v>#NAME?</v>
      </c>
      <c r="L2994" s="100"/>
      <c r="M2994" s="100"/>
      <c r="N2994" s="100"/>
      <c r="O2994" s="100"/>
      <c r="P2994" s="100"/>
      <c r="Q2994" s="100"/>
      <c r="R2994" s="100"/>
      <c r="S2994" s="100"/>
      <c r="T2994" s="100"/>
      <c r="U2994" s="100"/>
      <c r="V2994" s="100"/>
      <c r="W2994" s="100"/>
      <c r="X2994" s="100"/>
      <c r="Y2994" s="100"/>
      <c r="Z2994" s="100"/>
    </row>
    <row r="2995" spans="1:26">
      <c r="A2995" s="100" t="e">
        <f ca="1">IFERROR(__xludf.DUMMYFUNCTION("""COMPUTED_VALUE"""),58786330)</f>
        <v>#NAME?</v>
      </c>
      <c r="B2995" s="100" t="e">
        <f ca="1">IFERROR(__xludf.DUMMYFUNCTION("""COMPUTED_VALUE"""),"MKRUSDC")</f>
        <v>#NAME?</v>
      </c>
      <c r="C2995" s="100" t="e">
        <f ca="1">IFERROR(__xludf.DUMMYFUNCTION("""COMPUTED_VALUE"""),"1386.00000000")</f>
        <v>#NAME?</v>
      </c>
      <c r="D2995" s="100" t="e">
        <f t="shared" ca="1" si="479"/>
        <v>#NAME?</v>
      </c>
      <c r="E2995" s="100" t="e">
        <f t="shared" ca="1" si="479"/>
        <v>#NAME?</v>
      </c>
      <c r="F2995" s="100" t="e">
        <f t="shared" ca="1" si="473"/>
        <v>#NAME?</v>
      </c>
      <c r="G2995" s="100" t="e">
        <f t="shared" ca="1" si="474"/>
        <v>#NAME?</v>
      </c>
      <c r="H2995" s="100" t="e">
        <f t="shared" ca="1" si="475"/>
        <v>#NAME?</v>
      </c>
      <c r="I2995" s="100" t="e">
        <f t="shared" ca="1" si="476"/>
        <v>#NAME?</v>
      </c>
      <c r="J2995" s="100" t="e">
        <f ca="1">IFERROR(__xludf.DUMMYFUNCTION("""COMPUTED_VALUE"""),"-0.431")</f>
        <v>#NAME?</v>
      </c>
      <c r="K2995" s="100" t="e">
        <f t="shared" ca="1" si="477"/>
        <v>#NAME?</v>
      </c>
      <c r="L2995" s="100"/>
      <c r="M2995" s="100"/>
      <c r="N2995" s="100"/>
      <c r="O2995" s="100"/>
      <c r="P2995" s="100"/>
      <c r="Q2995" s="100"/>
      <c r="R2995" s="100"/>
      <c r="S2995" s="100"/>
      <c r="T2995" s="100"/>
      <c r="U2995" s="100"/>
      <c r="V2995" s="100"/>
      <c r="W2995" s="100"/>
      <c r="X2995" s="100"/>
      <c r="Y2995" s="100"/>
      <c r="Z2995" s="100"/>
    </row>
    <row r="2996" spans="1:26">
      <c r="A2996" s="100" t="e">
        <f ca="1">IFERROR(__xludf.DUMMYFUNCTION("""COMPUTED_VALUE"""),58786331)</f>
        <v>#NAME?</v>
      </c>
      <c r="B2996" s="100" t="e">
        <f ca="1">IFERROR(__xludf.DUMMYFUNCTION("""COMPUTED_VALUE"""),"RPLUSDC")</f>
        <v>#NAME?</v>
      </c>
      <c r="C2996" s="100" t="e">
        <f ca="1">IFERROR(__xludf.DUMMYFUNCTION("""COMPUTED_VALUE"""),"4.02000000")</f>
        <v>#NAME?</v>
      </c>
      <c r="D2996" s="100" t="e">
        <f t="shared" ca="1" si="479"/>
        <v>#NAME?</v>
      </c>
      <c r="E2996" s="100" t="e">
        <f t="shared" ca="1" si="479"/>
        <v>#NAME?</v>
      </c>
      <c r="F2996" s="100" t="e">
        <f t="shared" ca="1" si="473"/>
        <v>#NAME?</v>
      </c>
      <c r="G2996" s="100" t="e">
        <f t="shared" ca="1" si="474"/>
        <v>#NAME?</v>
      </c>
      <c r="H2996" s="100" t="e">
        <f t="shared" ca="1" si="475"/>
        <v>#NAME?</v>
      </c>
      <c r="I2996" s="100" t="e">
        <f t="shared" ca="1" si="476"/>
        <v>#NAME?</v>
      </c>
      <c r="J2996" s="100" t="e">
        <f ca="1">IFERROR(__xludf.DUMMYFUNCTION("""COMPUTED_VALUE"""),"-6.944")</f>
        <v>#NAME?</v>
      </c>
      <c r="K2996" s="100" t="e">
        <f t="shared" ca="1" si="477"/>
        <v>#NAME?</v>
      </c>
      <c r="L2996" s="100"/>
      <c r="M2996" s="100"/>
      <c r="N2996" s="100"/>
      <c r="O2996" s="100"/>
      <c r="P2996" s="100"/>
      <c r="Q2996" s="100"/>
      <c r="R2996" s="100"/>
      <c r="S2996" s="100"/>
      <c r="T2996" s="100"/>
      <c r="U2996" s="100"/>
      <c r="V2996" s="100"/>
      <c r="W2996" s="100"/>
      <c r="X2996" s="100"/>
      <c r="Y2996" s="100"/>
      <c r="Z2996" s="100"/>
    </row>
    <row r="2997" spans="1:26">
      <c r="A2997" s="100" t="e">
        <f ca="1">IFERROR(__xludf.DUMMYFUNCTION("""COMPUTED_VALUE"""),58786332)</f>
        <v>#NAME?</v>
      </c>
      <c r="B2997" s="100" t="e">
        <f ca="1">IFERROR(__xludf.DUMMYFUNCTION("""COMPUTED_VALUE"""),"BMTUSDT")</f>
        <v>#NAME?</v>
      </c>
      <c r="C2997" s="100" t="e">
        <f ca="1">IFERROR(__xludf.DUMMYFUNCTION("""COMPUTED_VALUE"""),"0.08140000")</f>
        <v>#NAME?</v>
      </c>
      <c r="D2997" s="100" t="e">
        <f t="shared" ca="1" si="479"/>
        <v>#NAME?</v>
      </c>
      <c r="E2997" s="100" t="e">
        <f t="shared" ca="1" si="479"/>
        <v>#NAME?</v>
      </c>
      <c r="F2997" s="100" t="e">
        <f t="shared" ca="1" si="473"/>
        <v>#NAME?</v>
      </c>
      <c r="G2997" s="100" t="e">
        <f t="shared" ca="1" si="474"/>
        <v>#NAME?</v>
      </c>
      <c r="H2997" s="100" t="e">
        <f t="shared" ca="1" si="475"/>
        <v>#NAME?</v>
      </c>
      <c r="I2997" s="100" t="e">
        <f t="shared" ca="1" si="476"/>
        <v>#NAME?</v>
      </c>
      <c r="J2997" s="100" t="e">
        <f ca="1">IFERROR(__xludf.DUMMYFUNCTION("""COMPUTED_VALUE"""),"-2.748")</f>
        <v>#NAME?</v>
      </c>
      <c r="K2997" s="100" t="e">
        <f t="shared" ca="1" si="477"/>
        <v>#NAME?</v>
      </c>
      <c r="L2997" s="100"/>
      <c r="M2997" s="100"/>
      <c r="N2997" s="100"/>
      <c r="O2997" s="100"/>
      <c r="P2997" s="100"/>
      <c r="Q2997" s="100"/>
      <c r="R2997" s="100"/>
      <c r="S2997" s="100"/>
      <c r="T2997" s="100"/>
      <c r="U2997" s="100"/>
      <c r="V2997" s="100"/>
      <c r="W2997" s="100"/>
      <c r="X2997" s="100"/>
      <c r="Y2997" s="100"/>
      <c r="Z2997" s="100"/>
    </row>
    <row r="2998" spans="1:26">
      <c r="A2998" s="100" t="e">
        <f ca="1">IFERROR(__xludf.DUMMYFUNCTION("""COMPUTED_VALUE"""),58786333)</f>
        <v>#NAME?</v>
      </c>
      <c r="B2998" s="100" t="e">
        <f ca="1">IFERROR(__xludf.DUMMYFUNCTION("""COMPUTED_VALUE"""),"BMTUSDC")</f>
        <v>#NAME?</v>
      </c>
      <c r="C2998" s="100" t="e">
        <f ca="1">IFERROR(__xludf.DUMMYFUNCTION("""COMPUTED_VALUE"""),"0.08120000")</f>
        <v>#NAME?</v>
      </c>
      <c r="D2998" s="100" t="e">
        <f t="shared" ca="1" si="479"/>
        <v>#NAME?</v>
      </c>
      <c r="E2998" s="100" t="e">
        <f t="shared" ca="1" si="479"/>
        <v>#NAME?</v>
      </c>
      <c r="F2998" s="100" t="e">
        <f t="shared" ca="1" si="473"/>
        <v>#NAME?</v>
      </c>
      <c r="G2998" s="100" t="e">
        <f t="shared" ca="1" si="474"/>
        <v>#NAME?</v>
      </c>
      <c r="H2998" s="100" t="e">
        <f t="shared" ca="1" si="475"/>
        <v>#NAME?</v>
      </c>
      <c r="I2998" s="100" t="e">
        <f t="shared" ca="1" si="476"/>
        <v>#NAME?</v>
      </c>
      <c r="J2998" s="100" t="e">
        <f ca="1">IFERROR(__xludf.DUMMYFUNCTION("""COMPUTED_VALUE"""),"-3.103")</f>
        <v>#NAME?</v>
      </c>
      <c r="K2998" s="100" t="e">
        <f t="shared" ca="1" si="477"/>
        <v>#NAME?</v>
      </c>
      <c r="L2998" s="100"/>
      <c r="M2998" s="100"/>
      <c r="N2998" s="100"/>
      <c r="O2998" s="100"/>
      <c r="P2998" s="100"/>
      <c r="Q2998" s="100"/>
      <c r="R2998" s="100"/>
      <c r="S2998" s="100"/>
      <c r="T2998" s="100"/>
      <c r="U2998" s="100"/>
      <c r="V2998" s="100"/>
      <c r="W2998" s="100"/>
      <c r="X2998" s="100"/>
      <c r="Y2998" s="100"/>
      <c r="Z2998" s="100"/>
    </row>
    <row r="2999" spans="1:26">
      <c r="A2999" s="100" t="e">
        <f ca="1">IFERROR(__xludf.DUMMYFUNCTION("""COMPUTED_VALUE"""),58786334)</f>
        <v>#NAME?</v>
      </c>
      <c r="B2999" s="100" t="e">
        <f ca="1">IFERROR(__xludf.DUMMYFUNCTION("""COMPUTED_VALUE"""),"BMTBNB")</f>
        <v>#NAME?</v>
      </c>
      <c r="C2999" s="100" t="e">
        <f ca="1">IFERROR(__xludf.DUMMYFUNCTION("""COMPUTED_VALUE"""),"0.00013510")</f>
        <v>#NAME?</v>
      </c>
      <c r="D2999" s="100" t="e">
        <f t="shared" ca="1" si="479"/>
        <v>#NAME?</v>
      </c>
      <c r="E2999" s="100" t="e">
        <f t="shared" ca="1" si="479"/>
        <v>#NAME?</v>
      </c>
      <c r="F2999" s="100" t="e">
        <f t="shared" ca="1" si="473"/>
        <v>#NAME?</v>
      </c>
      <c r="G2999" s="100" t="e">
        <f t="shared" ca="1" si="474"/>
        <v>#NAME?</v>
      </c>
      <c r="H2999" s="100" t="e">
        <f t="shared" ca="1" si="475"/>
        <v>#NAME?</v>
      </c>
      <c r="I2999" s="100" t="e">
        <f t="shared" ca="1" si="476"/>
        <v>#NAME?</v>
      </c>
      <c r="J2999" s="100" t="e">
        <f ca="1">IFERROR(__xludf.DUMMYFUNCTION("""COMPUTED_VALUE"""),"-2.736")</f>
        <v>#NAME?</v>
      </c>
      <c r="K2999" s="100" t="e">
        <f t="shared" ca="1" si="477"/>
        <v>#NAME?</v>
      </c>
      <c r="L2999" s="100"/>
      <c r="M2999" s="100"/>
      <c r="N2999" s="100"/>
      <c r="O2999" s="100"/>
      <c r="P2999" s="100"/>
      <c r="Q2999" s="100"/>
      <c r="R2999" s="100"/>
      <c r="S2999" s="100"/>
      <c r="T2999" s="100"/>
      <c r="U2999" s="100"/>
      <c r="V2999" s="100"/>
      <c r="W2999" s="100"/>
      <c r="X2999" s="100"/>
      <c r="Y2999" s="100"/>
      <c r="Z2999" s="100"/>
    </row>
    <row r="3000" spans="1:26">
      <c r="A3000" s="100" t="e">
        <f ca="1">IFERROR(__xludf.DUMMYFUNCTION("""COMPUTED_VALUE"""),58786335)</f>
        <v>#NAME?</v>
      </c>
      <c r="B3000" s="100" t="e">
        <f ca="1">IFERROR(__xludf.DUMMYFUNCTION("""COMPUTED_VALUE"""),"BMTFDUSD")</f>
        <v>#NAME?</v>
      </c>
      <c r="C3000" s="100" t="e">
        <f ca="1">IFERROR(__xludf.DUMMYFUNCTION("""COMPUTED_VALUE"""),"0.08330000")</f>
        <v>#NAME?</v>
      </c>
      <c r="D3000" s="100" t="e">
        <f t="shared" ca="1" si="479"/>
        <v>#NAME?</v>
      </c>
      <c r="E3000" s="100" t="e">
        <f t="shared" ca="1" si="479"/>
        <v>#NAME?</v>
      </c>
      <c r="F3000" s="100" t="e">
        <f t="shared" ca="1" si="473"/>
        <v>#NAME?</v>
      </c>
      <c r="G3000" s="100" t="e">
        <f t="shared" ca="1" si="474"/>
        <v>#NAME?</v>
      </c>
      <c r="H3000" s="100" t="e">
        <f t="shared" ca="1" si="475"/>
        <v>#NAME?</v>
      </c>
      <c r="I3000" s="100" t="e">
        <f t="shared" ca="1" si="476"/>
        <v>#NAME?</v>
      </c>
      <c r="J3000" s="100" t="e">
        <f ca="1">IFERROR(__xludf.DUMMYFUNCTION("""COMPUTED_VALUE"""),"-0.715")</f>
        <v>#NAME?</v>
      </c>
      <c r="K3000" s="100" t="e">
        <f t="shared" ca="1" si="477"/>
        <v>#NAME?</v>
      </c>
      <c r="L3000" s="100"/>
      <c r="M3000" s="100"/>
      <c r="N3000" s="100"/>
      <c r="O3000" s="100"/>
      <c r="P3000" s="100"/>
      <c r="Q3000" s="100"/>
      <c r="R3000" s="100"/>
      <c r="S3000" s="100"/>
      <c r="T3000" s="100"/>
      <c r="U3000" s="100"/>
      <c r="V3000" s="100"/>
      <c r="W3000" s="100"/>
      <c r="X3000" s="100"/>
      <c r="Y3000" s="100"/>
      <c r="Z3000" s="100"/>
    </row>
    <row r="3001" spans="1:26">
      <c r="A3001" s="100" t="e">
        <f ca="1">IFERROR(__xludf.DUMMYFUNCTION("""COMPUTED_VALUE"""),58786336)</f>
        <v>#NAME?</v>
      </c>
      <c r="B3001" s="100" t="e">
        <f ca="1">IFERROR(__xludf.DUMMYFUNCTION("""COMPUTED_VALUE"""),"BMTTRY")</f>
        <v>#NAME?</v>
      </c>
      <c r="C3001" s="100" t="e">
        <f ca="1">IFERROR(__xludf.DUMMYFUNCTION("""COMPUTED_VALUE"""),"3.10100000")</f>
        <v>#NAME?</v>
      </c>
      <c r="D3001" s="100" t="e">
        <f t="shared" ca="1" si="479"/>
        <v>#NAME?</v>
      </c>
      <c r="E3001" s="100" t="e">
        <f t="shared" ca="1" si="479"/>
        <v>#NAME?</v>
      </c>
      <c r="F3001" s="100" t="e">
        <f t="shared" ca="1" si="473"/>
        <v>#NAME?</v>
      </c>
      <c r="G3001" s="100" t="e">
        <f t="shared" ca="1" si="474"/>
        <v>#NAME?</v>
      </c>
      <c r="H3001" s="100" t="e">
        <f t="shared" ca="1" si="475"/>
        <v>#NAME?</v>
      </c>
      <c r="I3001" s="100" t="e">
        <f t="shared" ca="1" si="476"/>
        <v>#NAME?</v>
      </c>
      <c r="J3001" s="100" t="e">
        <f ca="1">IFERROR(__xludf.DUMMYFUNCTION("""COMPUTED_VALUE"""),"-2.942")</f>
        <v>#NAME?</v>
      </c>
      <c r="K3001" s="100" t="e">
        <f t="shared" ca="1" si="477"/>
        <v>#NAME?</v>
      </c>
      <c r="L3001" s="100"/>
      <c r="M3001" s="100"/>
      <c r="N3001" s="100"/>
      <c r="O3001" s="100"/>
      <c r="P3001" s="100"/>
      <c r="Q3001" s="100"/>
      <c r="R3001" s="100"/>
      <c r="S3001" s="100"/>
      <c r="T3001" s="100"/>
      <c r="U3001" s="100"/>
      <c r="V3001" s="100"/>
      <c r="W3001" s="100"/>
      <c r="X3001" s="100"/>
      <c r="Y3001" s="100"/>
      <c r="Z3001" s="100"/>
    </row>
    <row r="3002" spans="1:26">
      <c r="A3002" s="100" t="e">
        <f ca="1">IFERROR(__xludf.DUMMYFUNCTION("""COMPUTED_VALUE"""),58786337)</f>
        <v>#NAME?</v>
      </c>
      <c r="B3002" s="100" t="e">
        <f ca="1">IFERROR(__xludf.DUMMYFUNCTION("""COMPUTED_VALUE"""),"FORMUSDC")</f>
        <v>#NAME?</v>
      </c>
      <c r="C3002" s="100" t="e">
        <f ca="1">IFERROR(__xludf.DUMMYFUNCTION("""COMPUTED_VALUE"""),"2.07020000")</f>
        <v>#NAME?</v>
      </c>
      <c r="D3002" s="100" t="e">
        <f t="shared" ref="D3002:E3021" ca="1" si="480">IFERROR(__xludf.DUMMYFUNCTION("""COMPUTED_VALUE"""),"-")</f>
        <v>#NAME?</v>
      </c>
      <c r="E3002" s="100" t="e">
        <f t="shared" ca="1" si="480"/>
        <v>#NAME?</v>
      </c>
      <c r="F3002" s="100" t="e">
        <f t="shared" ca="1" si="473"/>
        <v>#NAME?</v>
      </c>
      <c r="G3002" s="100" t="e">
        <f t="shared" ca="1" si="474"/>
        <v>#NAME?</v>
      </c>
      <c r="H3002" s="100" t="e">
        <f t="shared" ca="1" si="475"/>
        <v>#NAME?</v>
      </c>
      <c r="I3002" s="100" t="e">
        <f t="shared" ca="1" si="476"/>
        <v>#NAME?</v>
      </c>
      <c r="J3002" s="100" t="e">
        <f ca="1">IFERROR(__xludf.DUMMYFUNCTION("""COMPUTED_VALUE"""),"-0.337")</f>
        <v>#NAME?</v>
      </c>
      <c r="K3002" s="100" t="e">
        <f t="shared" ca="1" si="477"/>
        <v>#NAME?</v>
      </c>
      <c r="L3002" s="100"/>
      <c r="M3002" s="100"/>
      <c r="N3002" s="100"/>
      <c r="O3002" s="100"/>
      <c r="P3002" s="100"/>
      <c r="Q3002" s="100"/>
      <c r="R3002" s="100"/>
      <c r="S3002" s="100"/>
      <c r="T3002" s="100"/>
      <c r="U3002" s="100"/>
      <c r="V3002" s="100"/>
      <c r="W3002" s="100"/>
      <c r="X3002" s="100"/>
      <c r="Y3002" s="100"/>
      <c r="Z3002" s="100"/>
    </row>
    <row r="3003" spans="1:26">
      <c r="A3003" s="100" t="e">
        <f ca="1">IFERROR(__xludf.DUMMYFUNCTION("""COMPUTED_VALUE"""),58786338)</f>
        <v>#NAME?</v>
      </c>
      <c r="B3003" s="100" t="e">
        <f ca="1">IFERROR(__xludf.DUMMYFUNCTION("""COMPUTED_VALUE"""),"FORMUSDT")</f>
        <v>#NAME?</v>
      </c>
      <c r="C3003" s="100" t="e">
        <f ca="1">IFERROR(__xludf.DUMMYFUNCTION("""COMPUTED_VALUE"""),"2.07180000")</f>
        <v>#NAME?</v>
      </c>
      <c r="D3003" s="100" t="e">
        <f t="shared" ca="1" si="480"/>
        <v>#NAME?</v>
      </c>
      <c r="E3003" s="100" t="e">
        <f t="shared" ca="1" si="480"/>
        <v>#NAME?</v>
      </c>
      <c r="F3003" s="100" t="e">
        <f t="shared" ca="1" si="473"/>
        <v>#NAME?</v>
      </c>
      <c r="G3003" s="100" t="e">
        <f t="shared" ca="1" si="474"/>
        <v>#NAME?</v>
      </c>
      <c r="H3003" s="100" t="e">
        <f t="shared" ca="1" si="475"/>
        <v>#NAME?</v>
      </c>
      <c r="I3003" s="100" t="e">
        <f t="shared" ca="1" si="476"/>
        <v>#NAME?</v>
      </c>
      <c r="J3003" s="100" t="e">
        <f ca="1">IFERROR(__xludf.DUMMYFUNCTION("""COMPUTED_VALUE"""),"-0.289")</f>
        <v>#NAME?</v>
      </c>
      <c r="K3003" s="100" t="e">
        <f t="shared" ca="1" si="477"/>
        <v>#NAME?</v>
      </c>
      <c r="L3003" s="100"/>
      <c r="M3003" s="100"/>
      <c r="N3003" s="100"/>
      <c r="O3003" s="100"/>
      <c r="P3003" s="100"/>
      <c r="Q3003" s="100"/>
      <c r="R3003" s="100"/>
      <c r="S3003" s="100"/>
      <c r="T3003" s="100"/>
      <c r="U3003" s="100"/>
      <c r="V3003" s="100"/>
      <c r="W3003" s="100"/>
      <c r="X3003" s="100"/>
      <c r="Y3003" s="100"/>
      <c r="Z3003" s="100"/>
    </row>
    <row r="3004" spans="1:26">
      <c r="A3004" s="100" t="e">
        <f ca="1">IFERROR(__xludf.DUMMYFUNCTION("""COMPUTED_VALUE"""),58786339)</f>
        <v>#NAME?</v>
      </c>
      <c r="B3004" s="100" t="e">
        <f ca="1">IFERROR(__xludf.DUMMYFUNCTION("""COMPUTED_VALUE"""),"FORMTRY")</f>
        <v>#NAME?</v>
      </c>
      <c r="C3004" s="100" t="e">
        <f ca="1">IFERROR(__xludf.DUMMYFUNCTION("""COMPUTED_VALUE"""),"79.08000000")</f>
        <v>#NAME?</v>
      </c>
      <c r="D3004" s="100" t="e">
        <f t="shared" ca="1" si="480"/>
        <v>#NAME?</v>
      </c>
      <c r="E3004" s="100" t="e">
        <f t="shared" ca="1" si="480"/>
        <v>#NAME?</v>
      </c>
      <c r="F3004" s="100" t="e">
        <f t="shared" ca="1" si="473"/>
        <v>#NAME?</v>
      </c>
      <c r="G3004" s="100" t="e">
        <f t="shared" ca="1" si="474"/>
        <v>#NAME?</v>
      </c>
      <c r="H3004" s="100" t="e">
        <f t="shared" ca="1" si="475"/>
        <v>#NAME?</v>
      </c>
      <c r="I3004" s="100" t="e">
        <f t="shared" ca="1" si="476"/>
        <v>#NAME?</v>
      </c>
      <c r="J3004" s="100" t="e">
        <f ca="1">IFERROR(__xludf.DUMMYFUNCTION("""COMPUTED_VALUE"""),"-0.378")</f>
        <v>#NAME?</v>
      </c>
      <c r="K3004" s="100" t="e">
        <f t="shared" ca="1" si="477"/>
        <v>#NAME?</v>
      </c>
      <c r="L3004" s="100"/>
      <c r="M3004" s="100"/>
      <c r="N3004" s="100"/>
      <c r="O3004" s="100"/>
      <c r="P3004" s="100"/>
      <c r="Q3004" s="100"/>
      <c r="R3004" s="100"/>
      <c r="S3004" s="100"/>
      <c r="T3004" s="100"/>
      <c r="U3004" s="100"/>
      <c r="V3004" s="100"/>
      <c r="W3004" s="100"/>
      <c r="X3004" s="100"/>
      <c r="Y3004" s="100"/>
      <c r="Z3004" s="100"/>
    </row>
    <row r="3005" spans="1:26">
      <c r="A3005" s="100" t="e">
        <f ca="1">IFERROR(__xludf.DUMMYFUNCTION("""COMPUTED_VALUE"""),58786340)</f>
        <v>#NAME?</v>
      </c>
      <c r="B3005" s="100" t="e">
        <f ca="1">IFERROR(__xludf.DUMMYFUNCTION("""COMPUTED_VALUE"""),"XUSDUSDT")</f>
        <v>#NAME?</v>
      </c>
      <c r="C3005" s="100" t="e">
        <f ca="1">IFERROR(__xludf.DUMMYFUNCTION("""COMPUTED_VALUE"""),"1.00010000")</f>
        <v>#NAME?</v>
      </c>
      <c r="D3005" s="100" t="e">
        <f t="shared" ca="1" si="480"/>
        <v>#NAME?</v>
      </c>
      <c r="E3005" s="100" t="e">
        <f t="shared" ca="1" si="480"/>
        <v>#NAME?</v>
      </c>
      <c r="F3005" s="100" t="e">
        <f t="shared" ca="1" si="473"/>
        <v>#NAME?</v>
      </c>
      <c r="G3005" s="100" t="e">
        <f t="shared" ca="1" si="474"/>
        <v>#NAME?</v>
      </c>
      <c r="H3005" s="100" t="e">
        <f t="shared" ca="1" si="475"/>
        <v>#NAME?</v>
      </c>
      <c r="I3005" s="100" t="e">
        <f t="shared" ca="1" si="476"/>
        <v>#NAME?</v>
      </c>
      <c r="J3005" s="100" t="e">
        <f ca="1">IFERROR(__xludf.DUMMYFUNCTION("""COMPUTED_VALUE"""),"-0.010")</f>
        <v>#NAME?</v>
      </c>
      <c r="K3005" s="100" t="e">
        <f t="shared" ca="1" si="477"/>
        <v>#NAME?</v>
      </c>
      <c r="L3005" s="100"/>
      <c r="M3005" s="100"/>
      <c r="N3005" s="100"/>
      <c r="O3005" s="100"/>
      <c r="P3005" s="100"/>
      <c r="Q3005" s="100"/>
      <c r="R3005" s="100"/>
      <c r="S3005" s="100"/>
      <c r="T3005" s="100"/>
      <c r="U3005" s="100"/>
      <c r="V3005" s="100"/>
      <c r="W3005" s="100"/>
      <c r="X3005" s="100"/>
      <c r="Y3005" s="100"/>
      <c r="Z3005" s="100"/>
    </row>
    <row r="3006" spans="1:26">
      <c r="A3006" s="100" t="e">
        <f ca="1">IFERROR(__xludf.DUMMYFUNCTION("""COMPUTED_VALUE"""),58786341)</f>
        <v>#NAME?</v>
      </c>
      <c r="B3006" s="100" t="e">
        <f ca="1">IFERROR(__xludf.DUMMYFUNCTION("""COMPUTED_VALUE"""),"IOTAUSDC")</f>
        <v>#NAME?</v>
      </c>
      <c r="C3006" s="100" t="e">
        <f ca="1">IFERROR(__xludf.DUMMYFUNCTION("""COMPUTED_VALUE"""),"0.17240000")</f>
        <v>#NAME?</v>
      </c>
      <c r="D3006" s="100" t="e">
        <f t="shared" ca="1" si="480"/>
        <v>#NAME?</v>
      </c>
      <c r="E3006" s="100" t="e">
        <f t="shared" ca="1" si="480"/>
        <v>#NAME?</v>
      </c>
      <c r="F3006" s="100" t="e">
        <f t="shared" ca="1" si="473"/>
        <v>#NAME?</v>
      </c>
      <c r="G3006" s="100" t="e">
        <f t="shared" ca="1" si="474"/>
        <v>#NAME?</v>
      </c>
      <c r="H3006" s="100" t="e">
        <f t="shared" ca="1" si="475"/>
        <v>#NAME?</v>
      </c>
      <c r="I3006" s="100" t="e">
        <f t="shared" ca="1" si="476"/>
        <v>#NAME?</v>
      </c>
      <c r="J3006" s="100" t="e">
        <f ca="1">IFERROR(__xludf.DUMMYFUNCTION("""COMPUTED_VALUE"""),"0.642")</f>
        <v>#NAME?</v>
      </c>
      <c r="K3006" s="100" t="e">
        <f t="shared" ca="1" si="477"/>
        <v>#NAME?</v>
      </c>
      <c r="L3006" s="100"/>
      <c r="M3006" s="100"/>
      <c r="N3006" s="100"/>
      <c r="O3006" s="100"/>
      <c r="P3006" s="100"/>
      <c r="Q3006" s="100"/>
      <c r="R3006" s="100"/>
      <c r="S3006" s="100"/>
      <c r="T3006" s="100"/>
      <c r="U3006" s="100"/>
      <c r="V3006" s="100"/>
      <c r="W3006" s="100"/>
      <c r="X3006" s="100"/>
      <c r="Y3006" s="100"/>
      <c r="Z3006" s="100"/>
    </row>
    <row r="3007" spans="1:26">
      <c r="A3007" s="100" t="e">
        <f ca="1">IFERROR(__xludf.DUMMYFUNCTION("""COMPUTED_VALUE"""),58786342)</f>
        <v>#NAME?</v>
      </c>
      <c r="B3007" s="100" t="e">
        <f ca="1">IFERROR(__xludf.DUMMYFUNCTION("""COMPUTED_VALUE"""),"JUVUSDC")</f>
        <v>#NAME?</v>
      </c>
      <c r="C3007" s="100" t="e">
        <f ca="1">IFERROR(__xludf.DUMMYFUNCTION("""COMPUTED_VALUE"""),"0.99500000")</f>
        <v>#NAME?</v>
      </c>
      <c r="D3007" s="100" t="e">
        <f t="shared" ca="1" si="480"/>
        <v>#NAME?</v>
      </c>
      <c r="E3007" s="100" t="e">
        <f t="shared" ca="1" si="480"/>
        <v>#NAME?</v>
      </c>
      <c r="F3007" s="100" t="e">
        <f t="shared" ca="1" si="473"/>
        <v>#NAME?</v>
      </c>
      <c r="G3007" s="100" t="e">
        <f t="shared" ca="1" si="474"/>
        <v>#NAME?</v>
      </c>
      <c r="H3007" s="100" t="e">
        <f t="shared" ca="1" si="475"/>
        <v>#NAME?</v>
      </c>
      <c r="I3007" s="100" t="e">
        <f t="shared" ca="1" si="476"/>
        <v>#NAME?</v>
      </c>
      <c r="J3007" s="100" t="e">
        <f ca="1">IFERROR(__xludf.DUMMYFUNCTION("""COMPUTED_VALUE"""),"1.118")</f>
        <v>#NAME?</v>
      </c>
      <c r="K3007" s="100" t="e">
        <f t="shared" ca="1" si="477"/>
        <v>#NAME?</v>
      </c>
      <c r="L3007" s="100"/>
      <c r="M3007" s="100"/>
      <c r="N3007" s="100"/>
      <c r="O3007" s="100"/>
      <c r="P3007" s="100"/>
      <c r="Q3007" s="100"/>
      <c r="R3007" s="100"/>
      <c r="S3007" s="100"/>
      <c r="T3007" s="100"/>
      <c r="U3007" s="100"/>
      <c r="V3007" s="100"/>
      <c r="W3007" s="100"/>
      <c r="X3007" s="100"/>
      <c r="Y3007" s="100"/>
      <c r="Z3007" s="100"/>
    </row>
    <row r="3008" spans="1:26">
      <c r="A3008" s="100" t="e">
        <f ca="1">IFERROR(__xludf.DUMMYFUNCTION("""COMPUTED_VALUE"""),58786343)</f>
        <v>#NAME?</v>
      </c>
      <c r="B3008" s="100" t="e">
        <f ca="1">IFERROR(__xludf.DUMMYFUNCTION("""COMPUTED_VALUE"""),"THEUSDC")</f>
        <v>#NAME?</v>
      </c>
      <c r="C3008" s="100" t="e">
        <f ca="1">IFERROR(__xludf.DUMMYFUNCTION("""COMPUTED_VALUE"""),"0.24840000")</f>
        <v>#NAME?</v>
      </c>
      <c r="D3008" s="100" t="e">
        <f t="shared" ca="1" si="480"/>
        <v>#NAME?</v>
      </c>
      <c r="E3008" s="100" t="e">
        <f t="shared" ca="1" si="480"/>
        <v>#NAME?</v>
      </c>
      <c r="F3008" s="100" t="e">
        <f t="shared" ca="1" si="473"/>
        <v>#NAME?</v>
      </c>
      <c r="G3008" s="100" t="e">
        <f t="shared" ca="1" si="474"/>
        <v>#NAME?</v>
      </c>
      <c r="H3008" s="100" t="e">
        <f t="shared" ca="1" si="475"/>
        <v>#NAME?</v>
      </c>
      <c r="I3008" s="100" t="e">
        <f t="shared" ca="1" si="476"/>
        <v>#NAME?</v>
      </c>
      <c r="J3008" s="100" t="e">
        <f ca="1">IFERROR(__xludf.DUMMYFUNCTION("""COMPUTED_VALUE"""),"-1.818")</f>
        <v>#NAME?</v>
      </c>
      <c r="K3008" s="100" t="e">
        <f t="shared" ca="1" si="477"/>
        <v>#NAME?</v>
      </c>
      <c r="L3008" s="100"/>
      <c r="M3008" s="100"/>
      <c r="N3008" s="100"/>
      <c r="O3008" s="100"/>
      <c r="P3008" s="100"/>
      <c r="Q3008" s="100"/>
      <c r="R3008" s="100"/>
      <c r="S3008" s="100"/>
      <c r="T3008" s="100"/>
      <c r="U3008" s="100"/>
      <c r="V3008" s="100"/>
      <c r="W3008" s="100"/>
      <c r="X3008" s="100"/>
      <c r="Y3008" s="100"/>
      <c r="Z3008" s="100"/>
    </row>
    <row r="3009" spans="1:26">
      <c r="A3009" s="100" t="e">
        <f ca="1">IFERROR(__xludf.DUMMYFUNCTION("""COMPUTED_VALUE"""),58786344)</f>
        <v>#NAME?</v>
      </c>
      <c r="B3009" s="100" t="e">
        <f ca="1">IFERROR(__xludf.DUMMYFUNCTION("""COMPUTED_VALUE"""),"VANRYUSDC")</f>
        <v>#NAME?</v>
      </c>
      <c r="C3009" s="100" t="e">
        <f ca="1">IFERROR(__xludf.DUMMYFUNCTION("""COMPUTED_VALUE"""),"0.02550000")</f>
        <v>#NAME?</v>
      </c>
      <c r="D3009" s="100" t="e">
        <f t="shared" ca="1" si="480"/>
        <v>#NAME?</v>
      </c>
      <c r="E3009" s="100" t="e">
        <f t="shared" ca="1" si="480"/>
        <v>#NAME?</v>
      </c>
      <c r="F3009" s="100" t="e">
        <f t="shared" ca="1" si="473"/>
        <v>#NAME?</v>
      </c>
      <c r="G3009" s="100" t="e">
        <f t="shared" ca="1" si="474"/>
        <v>#NAME?</v>
      </c>
      <c r="H3009" s="100" t="e">
        <f t="shared" ca="1" si="475"/>
        <v>#NAME?</v>
      </c>
      <c r="I3009" s="100" t="e">
        <f t="shared" ca="1" si="476"/>
        <v>#NAME?</v>
      </c>
      <c r="J3009" s="100" t="e">
        <f ca="1">IFERROR(__xludf.DUMMYFUNCTION("""COMPUTED_VALUE"""),"-2.299")</f>
        <v>#NAME?</v>
      </c>
      <c r="K3009" s="100" t="e">
        <f t="shared" ca="1" si="477"/>
        <v>#NAME?</v>
      </c>
      <c r="L3009" s="100"/>
      <c r="M3009" s="100"/>
      <c r="N3009" s="100"/>
      <c r="O3009" s="100"/>
      <c r="P3009" s="100"/>
      <c r="Q3009" s="100"/>
      <c r="R3009" s="100"/>
      <c r="S3009" s="100"/>
      <c r="T3009" s="100"/>
      <c r="U3009" s="100"/>
      <c r="V3009" s="100"/>
      <c r="W3009" s="100"/>
      <c r="X3009" s="100"/>
      <c r="Y3009" s="100"/>
      <c r="Z3009" s="100"/>
    </row>
    <row r="3010" spans="1:26">
      <c r="A3010" s="100" t="e">
        <f ca="1">IFERROR(__xludf.DUMMYFUNCTION("""COMPUTED_VALUE"""),58786345)</f>
        <v>#NAME?</v>
      </c>
      <c r="B3010" s="100" t="e">
        <f ca="1">IFERROR(__xludf.DUMMYFUNCTION("""COMPUTED_VALUE"""),"USDCCZK")</f>
        <v>#NAME?</v>
      </c>
      <c r="C3010" s="100" t="e">
        <f ca="1">IFERROR(__xludf.DUMMYFUNCTION("""COMPUTED_VALUE"""),"21.83000000")</f>
        <v>#NAME?</v>
      </c>
      <c r="D3010" s="100" t="e">
        <f t="shared" ca="1" si="480"/>
        <v>#NAME?</v>
      </c>
      <c r="E3010" s="100" t="e">
        <f t="shared" ca="1" si="480"/>
        <v>#NAME?</v>
      </c>
      <c r="F3010" s="100" t="e">
        <f t="shared" ref="F3010:F3069" ca="1" si="481">IFERROR(__xludf.DUMMYFUNCTION("""COMPUTED_VALUE"""),20200)</f>
        <v>#NAME?</v>
      </c>
      <c r="G3010" s="100" t="e">
        <f t="shared" ref="G3010:G3069" ca="1" si="482">IFERROR(__xludf.DUMMYFUNCTION("""COMPUTED_VALUE"""),2885)</f>
        <v>#NAME?</v>
      </c>
      <c r="H3010" s="100" t="e">
        <f t="shared" ref="H3010:H3069" ca="1" si="483">IFERROR(__xludf.DUMMYFUNCTION("""COMPUTED_VALUE"""),663)</f>
        <v>#NAME?</v>
      </c>
      <c r="I3010" s="100" t="e">
        <f t="shared" ref="I3010:I3069" ca="1" si="484">IFERROR(__xludf.DUMMYFUNCTION("""COMPUTED_VALUE"""),5817721)</f>
        <v>#NAME?</v>
      </c>
      <c r="J3010" s="100" t="e">
        <f ca="1">IFERROR(__xludf.DUMMYFUNCTION("""COMPUTED_VALUE"""),"0.184")</f>
        <v>#NAME?</v>
      </c>
      <c r="K3010" s="100" t="e">
        <f t="shared" ref="K3010:K3069" ca="1" si="485">IFERROR(__xludf.DUMMYFUNCTION("""COMPUTED_VALUE"""),"22.04.2025 13:05:01")</f>
        <v>#NAME?</v>
      </c>
      <c r="L3010" s="100"/>
      <c r="M3010" s="100"/>
      <c r="N3010" s="100"/>
      <c r="O3010" s="100"/>
      <c r="P3010" s="100"/>
      <c r="Q3010" s="100"/>
      <c r="R3010" s="100"/>
      <c r="S3010" s="100"/>
      <c r="T3010" s="100"/>
      <c r="U3010" s="100"/>
      <c r="V3010" s="100"/>
      <c r="W3010" s="100"/>
      <c r="X3010" s="100"/>
      <c r="Y3010" s="100"/>
      <c r="Z3010" s="100"/>
    </row>
    <row r="3011" spans="1:26">
      <c r="A3011" s="100" t="e">
        <f ca="1">IFERROR(__xludf.DUMMYFUNCTION("""COMPUTED_VALUE"""),58786346)</f>
        <v>#NAME?</v>
      </c>
      <c r="B3011" s="100" t="e">
        <f ca="1">IFERROR(__xludf.DUMMYFUNCTION("""COMPUTED_VALUE"""),"NILUSDT")</f>
        <v>#NAME?</v>
      </c>
      <c r="C3011" s="100" t="e">
        <f ca="1">IFERROR(__xludf.DUMMYFUNCTION("""COMPUTED_VALUE"""),"0.35800000")</f>
        <v>#NAME?</v>
      </c>
      <c r="D3011" s="100" t="e">
        <f t="shared" ca="1" si="480"/>
        <v>#NAME?</v>
      </c>
      <c r="E3011" s="100" t="e">
        <f t="shared" ca="1" si="480"/>
        <v>#NAME?</v>
      </c>
      <c r="F3011" s="100" t="e">
        <f t="shared" ca="1" si="481"/>
        <v>#NAME?</v>
      </c>
      <c r="G3011" s="100" t="e">
        <f t="shared" ca="1" si="482"/>
        <v>#NAME?</v>
      </c>
      <c r="H3011" s="100" t="e">
        <f t="shared" ca="1" si="483"/>
        <v>#NAME?</v>
      </c>
      <c r="I3011" s="100" t="e">
        <f t="shared" ca="1" si="484"/>
        <v>#NAME?</v>
      </c>
      <c r="J3011" s="100" t="e">
        <f ca="1">IFERROR(__xludf.DUMMYFUNCTION("""COMPUTED_VALUE"""),"-4.533")</f>
        <v>#NAME?</v>
      </c>
      <c r="K3011" s="100" t="e">
        <f t="shared" ca="1" si="485"/>
        <v>#NAME?</v>
      </c>
      <c r="L3011" s="100"/>
      <c r="M3011" s="100"/>
      <c r="N3011" s="100"/>
      <c r="O3011" s="100"/>
      <c r="P3011" s="100"/>
      <c r="Q3011" s="100"/>
      <c r="R3011" s="100"/>
      <c r="S3011" s="100"/>
      <c r="T3011" s="100"/>
      <c r="U3011" s="100"/>
      <c r="V3011" s="100"/>
      <c r="W3011" s="100"/>
      <c r="X3011" s="100"/>
      <c r="Y3011" s="100"/>
      <c r="Z3011" s="100"/>
    </row>
    <row r="3012" spans="1:26">
      <c r="A3012" s="100" t="e">
        <f ca="1">IFERROR(__xludf.DUMMYFUNCTION("""COMPUTED_VALUE"""),58786347)</f>
        <v>#NAME?</v>
      </c>
      <c r="B3012" s="100" t="e">
        <f ca="1">IFERROR(__xludf.DUMMYFUNCTION("""COMPUTED_VALUE"""),"NILBNB")</f>
        <v>#NAME?</v>
      </c>
      <c r="C3012" s="100" t="e">
        <f ca="1">IFERROR(__xludf.DUMMYFUNCTION("""COMPUTED_VALUE"""),"0.00059460")</f>
        <v>#NAME?</v>
      </c>
      <c r="D3012" s="100" t="e">
        <f t="shared" ca="1" si="480"/>
        <v>#NAME?</v>
      </c>
      <c r="E3012" s="100" t="e">
        <f t="shared" ca="1" si="480"/>
        <v>#NAME?</v>
      </c>
      <c r="F3012" s="100" t="e">
        <f t="shared" ca="1" si="481"/>
        <v>#NAME?</v>
      </c>
      <c r="G3012" s="100" t="e">
        <f t="shared" ca="1" si="482"/>
        <v>#NAME?</v>
      </c>
      <c r="H3012" s="100" t="e">
        <f t="shared" ca="1" si="483"/>
        <v>#NAME?</v>
      </c>
      <c r="I3012" s="100" t="e">
        <f t="shared" ca="1" si="484"/>
        <v>#NAME?</v>
      </c>
      <c r="J3012" s="100" t="e">
        <f ca="1">IFERROR(__xludf.DUMMYFUNCTION("""COMPUTED_VALUE"""),"-3.895")</f>
        <v>#NAME?</v>
      </c>
      <c r="K3012" s="100" t="e">
        <f t="shared" ca="1" si="485"/>
        <v>#NAME?</v>
      </c>
      <c r="L3012" s="100"/>
      <c r="M3012" s="100"/>
      <c r="N3012" s="100"/>
      <c r="O3012" s="100"/>
      <c r="P3012" s="100"/>
      <c r="Q3012" s="100"/>
      <c r="R3012" s="100"/>
      <c r="S3012" s="100"/>
      <c r="T3012" s="100"/>
      <c r="U3012" s="100"/>
      <c r="V3012" s="100"/>
      <c r="W3012" s="100"/>
      <c r="X3012" s="100"/>
      <c r="Y3012" s="100"/>
      <c r="Z3012" s="100"/>
    </row>
    <row r="3013" spans="1:26">
      <c r="A3013" s="100" t="e">
        <f ca="1">IFERROR(__xludf.DUMMYFUNCTION("""COMPUTED_VALUE"""),58786348)</f>
        <v>#NAME?</v>
      </c>
      <c r="B3013" s="100" t="e">
        <f ca="1">IFERROR(__xludf.DUMMYFUNCTION("""COMPUTED_VALUE"""),"NILFDUSD")</f>
        <v>#NAME?</v>
      </c>
      <c r="C3013" s="100" t="e">
        <f ca="1">IFERROR(__xludf.DUMMYFUNCTION("""COMPUTED_VALUE"""),"0.36000000")</f>
        <v>#NAME?</v>
      </c>
      <c r="D3013" s="100" t="e">
        <f t="shared" ca="1" si="480"/>
        <v>#NAME?</v>
      </c>
      <c r="E3013" s="100" t="e">
        <f t="shared" ca="1" si="480"/>
        <v>#NAME?</v>
      </c>
      <c r="F3013" s="100" t="e">
        <f t="shared" ca="1" si="481"/>
        <v>#NAME?</v>
      </c>
      <c r="G3013" s="100" t="e">
        <f t="shared" ca="1" si="482"/>
        <v>#NAME?</v>
      </c>
      <c r="H3013" s="100" t="e">
        <f t="shared" ca="1" si="483"/>
        <v>#NAME?</v>
      </c>
      <c r="I3013" s="100" t="e">
        <f t="shared" ca="1" si="484"/>
        <v>#NAME?</v>
      </c>
      <c r="J3013" s="100" t="e">
        <f ca="1">IFERROR(__xludf.DUMMYFUNCTION("""COMPUTED_VALUE"""),"-4.000")</f>
        <v>#NAME?</v>
      </c>
      <c r="K3013" s="100" t="e">
        <f t="shared" ca="1" si="485"/>
        <v>#NAME?</v>
      </c>
      <c r="L3013" s="100"/>
      <c r="M3013" s="100"/>
      <c r="N3013" s="100"/>
      <c r="O3013" s="100"/>
      <c r="P3013" s="100"/>
      <c r="Q3013" s="100"/>
      <c r="R3013" s="100"/>
      <c r="S3013" s="100"/>
      <c r="T3013" s="100"/>
      <c r="U3013" s="100"/>
      <c r="V3013" s="100"/>
      <c r="W3013" s="100"/>
      <c r="X3013" s="100"/>
      <c r="Y3013" s="100"/>
      <c r="Z3013" s="100"/>
    </row>
    <row r="3014" spans="1:26">
      <c r="A3014" s="100" t="e">
        <f ca="1">IFERROR(__xludf.DUMMYFUNCTION("""COMPUTED_VALUE"""),58786349)</f>
        <v>#NAME?</v>
      </c>
      <c r="B3014" s="100" t="e">
        <f ca="1">IFERROR(__xludf.DUMMYFUNCTION("""COMPUTED_VALUE"""),"NILUSDC")</f>
        <v>#NAME?</v>
      </c>
      <c r="C3014" s="100" t="e">
        <f ca="1">IFERROR(__xludf.DUMMYFUNCTION("""COMPUTED_VALUE"""),"0.35800000")</f>
        <v>#NAME?</v>
      </c>
      <c r="D3014" s="100" t="e">
        <f t="shared" ca="1" si="480"/>
        <v>#NAME?</v>
      </c>
      <c r="E3014" s="100" t="e">
        <f t="shared" ca="1" si="480"/>
        <v>#NAME?</v>
      </c>
      <c r="F3014" s="100" t="e">
        <f t="shared" ca="1" si="481"/>
        <v>#NAME?</v>
      </c>
      <c r="G3014" s="100" t="e">
        <f t="shared" ca="1" si="482"/>
        <v>#NAME?</v>
      </c>
      <c r="H3014" s="100" t="e">
        <f t="shared" ca="1" si="483"/>
        <v>#NAME?</v>
      </c>
      <c r="I3014" s="100" t="e">
        <f t="shared" ca="1" si="484"/>
        <v>#NAME?</v>
      </c>
      <c r="J3014" s="100" t="e">
        <f ca="1">IFERROR(__xludf.DUMMYFUNCTION("""COMPUTED_VALUE"""),"-4.533")</f>
        <v>#NAME?</v>
      </c>
      <c r="K3014" s="100" t="e">
        <f t="shared" ca="1" si="485"/>
        <v>#NAME?</v>
      </c>
      <c r="L3014" s="100"/>
      <c r="M3014" s="100"/>
      <c r="N3014" s="100"/>
      <c r="O3014" s="100"/>
      <c r="P3014" s="100"/>
      <c r="Q3014" s="100"/>
      <c r="R3014" s="100"/>
      <c r="S3014" s="100"/>
      <c r="T3014" s="100"/>
      <c r="U3014" s="100"/>
      <c r="V3014" s="100"/>
      <c r="W3014" s="100"/>
      <c r="X3014" s="100"/>
      <c r="Y3014" s="100"/>
      <c r="Z3014" s="100"/>
    </row>
    <row r="3015" spans="1:26">
      <c r="A3015" s="100" t="e">
        <f ca="1">IFERROR(__xludf.DUMMYFUNCTION("""COMPUTED_VALUE"""),58786350)</f>
        <v>#NAME?</v>
      </c>
      <c r="B3015" s="100" t="e">
        <f ca="1">IFERROR(__xludf.DUMMYFUNCTION("""COMPUTED_VALUE"""),"NILTRY")</f>
        <v>#NAME?</v>
      </c>
      <c r="C3015" s="100" t="e">
        <f ca="1">IFERROR(__xludf.DUMMYFUNCTION("""COMPUTED_VALUE"""),"13.66000000")</f>
        <v>#NAME?</v>
      </c>
      <c r="D3015" s="100" t="e">
        <f t="shared" ca="1" si="480"/>
        <v>#NAME?</v>
      </c>
      <c r="E3015" s="100" t="e">
        <f t="shared" ca="1" si="480"/>
        <v>#NAME?</v>
      </c>
      <c r="F3015" s="100" t="e">
        <f t="shared" ca="1" si="481"/>
        <v>#NAME?</v>
      </c>
      <c r="G3015" s="100" t="e">
        <f t="shared" ca="1" si="482"/>
        <v>#NAME?</v>
      </c>
      <c r="H3015" s="100" t="e">
        <f t="shared" ca="1" si="483"/>
        <v>#NAME?</v>
      </c>
      <c r="I3015" s="100" t="e">
        <f t="shared" ca="1" si="484"/>
        <v>#NAME?</v>
      </c>
      <c r="J3015" s="100" t="e">
        <f ca="1">IFERROR(__xludf.DUMMYFUNCTION("""COMPUTED_VALUE"""),"-4.875")</f>
        <v>#NAME?</v>
      </c>
      <c r="K3015" s="100" t="e">
        <f t="shared" ca="1" si="485"/>
        <v>#NAME?</v>
      </c>
      <c r="L3015" s="100"/>
      <c r="M3015" s="100"/>
      <c r="N3015" s="100"/>
      <c r="O3015" s="100"/>
      <c r="P3015" s="100"/>
      <c r="Q3015" s="100"/>
      <c r="R3015" s="100"/>
      <c r="S3015" s="100"/>
      <c r="T3015" s="100"/>
      <c r="U3015" s="100"/>
      <c r="V3015" s="100"/>
      <c r="W3015" s="100"/>
      <c r="X3015" s="100"/>
      <c r="Y3015" s="100"/>
      <c r="Z3015" s="100"/>
    </row>
    <row r="3016" spans="1:26">
      <c r="A3016" s="100" t="e">
        <f ca="1">IFERROR(__xludf.DUMMYFUNCTION("""COMPUTED_VALUE"""),58786351)</f>
        <v>#NAME?</v>
      </c>
      <c r="B3016" s="100" t="e">
        <f ca="1">IFERROR(__xludf.DUMMYFUNCTION("""COMPUTED_VALUE"""),"BEAMXUSDC")</f>
        <v>#NAME?</v>
      </c>
      <c r="C3016" s="100" t="e">
        <f ca="1">IFERROR(__xludf.DUMMYFUNCTION("""COMPUTED_VALUE"""),"0.00632000")</f>
        <v>#NAME?</v>
      </c>
      <c r="D3016" s="100" t="e">
        <f t="shared" ca="1" si="480"/>
        <v>#NAME?</v>
      </c>
      <c r="E3016" s="100" t="e">
        <f t="shared" ca="1" si="480"/>
        <v>#NAME?</v>
      </c>
      <c r="F3016" s="100" t="e">
        <f t="shared" ca="1" si="481"/>
        <v>#NAME?</v>
      </c>
      <c r="G3016" s="100" t="e">
        <f t="shared" ca="1" si="482"/>
        <v>#NAME?</v>
      </c>
      <c r="H3016" s="100" t="e">
        <f t="shared" ca="1" si="483"/>
        <v>#NAME?</v>
      </c>
      <c r="I3016" s="100" t="e">
        <f t="shared" ca="1" si="484"/>
        <v>#NAME?</v>
      </c>
      <c r="J3016" s="100" t="e">
        <f ca="1">IFERROR(__xludf.DUMMYFUNCTION("""COMPUTED_VALUE"""),"-4.242")</f>
        <v>#NAME?</v>
      </c>
      <c r="K3016" s="100" t="e">
        <f t="shared" ca="1" si="485"/>
        <v>#NAME?</v>
      </c>
      <c r="L3016" s="100"/>
      <c r="M3016" s="100"/>
      <c r="N3016" s="100"/>
      <c r="O3016" s="100"/>
      <c r="P3016" s="100"/>
      <c r="Q3016" s="100"/>
      <c r="R3016" s="100"/>
      <c r="S3016" s="100"/>
      <c r="T3016" s="100"/>
      <c r="U3016" s="100"/>
      <c r="V3016" s="100"/>
      <c r="W3016" s="100"/>
      <c r="X3016" s="100"/>
      <c r="Y3016" s="100"/>
      <c r="Z3016" s="100"/>
    </row>
    <row r="3017" spans="1:26">
      <c r="A3017" s="100" t="e">
        <f ca="1">IFERROR(__xludf.DUMMYFUNCTION("""COMPUTED_VALUE"""),58786352)</f>
        <v>#NAME?</v>
      </c>
      <c r="B3017" s="100" t="e">
        <f ca="1">IFERROR(__xludf.DUMMYFUNCTION("""COMPUTED_VALUE"""),"VANAUSDC")</f>
        <v>#NAME?</v>
      </c>
      <c r="C3017" s="100" t="e">
        <f ca="1">IFERROR(__xludf.DUMMYFUNCTION("""COMPUTED_VALUE"""),"5.03700000")</f>
        <v>#NAME?</v>
      </c>
      <c r="D3017" s="100" t="e">
        <f t="shared" ca="1" si="480"/>
        <v>#NAME?</v>
      </c>
      <c r="E3017" s="100" t="e">
        <f t="shared" ca="1" si="480"/>
        <v>#NAME?</v>
      </c>
      <c r="F3017" s="100" t="e">
        <f t="shared" ca="1" si="481"/>
        <v>#NAME?</v>
      </c>
      <c r="G3017" s="100" t="e">
        <f t="shared" ca="1" si="482"/>
        <v>#NAME?</v>
      </c>
      <c r="H3017" s="100" t="e">
        <f t="shared" ca="1" si="483"/>
        <v>#NAME?</v>
      </c>
      <c r="I3017" s="100" t="e">
        <f t="shared" ca="1" si="484"/>
        <v>#NAME?</v>
      </c>
      <c r="J3017" s="100" t="e">
        <f ca="1">IFERROR(__xludf.DUMMYFUNCTION("""COMPUTED_VALUE"""),"-2.137")</f>
        <v>#NAME?</v>
      </c>
      <c r="K3017" s="100" t="e">
        <f t="shared" ca="1" si="485"/>
        <v>#NAME?</v>
      </c>
      <c r="L3017" s="100"/>
      <c r="M3017" s="100"/>
      <c r="N3017" s="100"/>
      <c r="O3017" s="100"/>
      <c r="P3017" s="100"/>
      <c r="Q3017" s="100"/>
      <c r="R3017" s="100"/>
      <c r="S3017" s="100"/>
      <c r="T3017" s="100"/>
      <c r="U3017" s="100"/>
      <c r="V3017" s="100"/>
      <c r="W3017" s="100"/>
      <c r="X3017" s="100"/>
      <c r="Y3017" s="100"/>
      <c r="Z3017" s="100"/>
    </row>
    <row r="3018" spans="1:26">
      <c r="A3018" s="100" t="e">
        <f ca="1">IFERROR(__xludf.DUMMYFUNCTION("""COMPUTED_VALUE"""),58786353)</f>
        <v>#NAME?</v>
      </c>
      <c r="B3018" s="100" t="e">
        <f ca="1">IFERROR(__xludf.DUMMYFUNCTION("""COMPUTED_VALUE"""),"PARTIFDUSD")</f>
        <v>#NAME?</v>
      </c>
      <c r="C3018" s="100" t="e">
        <f ca="1">IFERROR(__xludf.DUMMYFUNCTION("""COMPUTED_VALUE"""),"0.17130000")</f>
        <v>#NAME?</v>
      </c>
      <c r="D3018" s="100" t="e">
        <f t="shared" ca="1" si="480"/>
        <v>#NAME?</v>
      </c>
      <c r="E3018" s="100" t="e">
        <f t="shared" ca="1" si="480"/>
        <v>#NAME?</v>
      </c>
      <c r="F3018" s="100" t="e">
        <f t="shared" ca="1" si="481"/>
        <v>#NAME?</v>
      </c>
      <c r="G3018" s="100" t="e">
        <f t="shared" ca="1" si="482"/>
        <v>#NAME?</v>
      </c>
      <c r="H3018" s="100" t="e">
        <f t="shared" ca="1" si="483"/>
        <v>#NAME?</v>
      </c>
      <c r="I3018" s="100" t="e">
        <f t="shared" ca="1" si="484"/>
        <v>#NAME?</v>
      </c>
      <c r="J3018" s="100" t="e">
        <f ca="1">IFERROR(__xludf.DUMMYFUNCTION("""COMPUTED_VALUE"""),"0.646")</f>
        <v>#NAME?</v>
      </c>
      <c r="K3018" s="100" t="e">
        <f t="shared" ca="1" si="485"/>
        <v>#NAME?</v>
      </c>
      <c r="L3018" s="100"/>
      <c r="M3018" s="100"/>
      <c r="N3018" s="100"/>
      <c r="O3018" s="100"/>
      <c r="P3018" s="100"/>
      <c r="Q3018" s="100"/>
      <c r="R3018" s="100"/>
      <c r="S3018" s="100"/>
      <c r="T3018" s="100"/>
      <c r="U3018" s="100"/>
      <c r="V3018" s="100"/>
      <c r="W3018" s="100"/>
      <c r="X3018" s="100"/>
      <c r="Y3018" s="100"/>
      <c r="Z3018" s="100"/>
    </row>
    <row r="3019" spans="1:26">
      <c r="A3019" s="100" t="e">
        <f ca="1">IFERROR(__xludf.DUMMYFUNCTION("""COMPUTED_VALUE"""),58786354)</f>
        <v>#NAME?</v>
      </c>
      <c r="B3019" s="100" t="e">
        <f ca="1">IFERROR(__xludf.DUMMYFUNCTION("""COMPUTED_VALUE"""),"PARTITRY")</f>
        <v>#NAME?</v>
      </c>
      <c r="C3019" s="100" t="e">
        <f ca="1">IFERROR(__xludf.DUMMYFUNCTION("""COMPUTED_VALUE"""),"6.51000000")</f>
        <v>#NAME?</v>
      </c>
      <c r="D3019" s="100" t="e">
        <f t="shared" ca="1" si="480"/>
        <v>#NAME?</v>
      </c>
      <c r="E3019" s="100" t="e">
        <f t="shared" ca="1" si="480"/>
        <v>#NAME?</v>
      </c>
      <c r="F3019" s="100" t="e">
        <f t="shared" ca="1" si="481"/>
        <v>#NAME?</v>
      </c>
      <c r="G3019" s="100" t="e">
        <f t="shared" ca="1" si="482"/>
        <v>#NAME?</v>
      </c>
      <c r="H3019" s="100" t="e">
        <f t="shared" ca="1" si="483"/>
        <v>#NAME?</v>
      </c>
      <c r="I3019" s="100" t="e">
        <f t="shared" ca="1" si="484"/>
        <v>#NAME?</v>
      </c>
      <c r="J3019" s="100" t="e">
        <f ca="1">IFERROR(__xludf.DUMMYFUNCTION("""COMPUTED_VALUE"""),"2.844")</f>
        <v>#NAME?</v>
      </c>
      <c r="K3019" s="100" t="e">
        <f t="shared" ca="1" si="485"/>
        <v>#NAME?</v>
      </c>
      <c r="L3019" s="100"/>
      <c r="M3019" s="100"/>
      <c r="N3019" s="100"/>
      <c r="O3019" s="100"/>
      <c r="P3019" s="100"/>
      <c r="Q3019" s="100"/>
      <c r="R3019" s="100"/>
      <c r="S3019" s="100"/>
      <c r="T3019" s="100"/>
      <c r="U3019" s="100"/>
      <c r="V3019" s="100"/>
      <c r="W3019" s="100"/>
      <c r="X3019" s="100"/>
      <c r="Y3019" s="100"/>
      <c r="Z3019" s="100"/>
    </row>
    <row r="3020" spans="1:26">
      <c r="A3020" s="100" t="e">
        <f ca="1">IFERROR(__xludf.DUMMYFUNCTION("""COMPUTED_VALUE"""),58786355)</f>
        <v>#NAME?</v>
      </c>
      <c r="B3020" s="100" t="e">
        <f ca="1">IFERROR(__xludf.DUMMYFUNCTION("""COMPUTED_VALUE"""),"PARTIUSDT")</f>
        <v>#NAME?</v>
      </c>
      <c r="C3020" s="100" t="e">
        <f ca="1">IFERROR(__xludf.DUMMYFUNCTION("""COMPUTED_VALUE"""),"0.17030000")</f>
        <v>#NAME?</v>
      </c>
      <c r="D3020" s="100" t="e">
        <f t="shared" ca="1" si="480"/>
        <v>#NAME?</v>
      </c>
      <c r="E3020" s="100" t="e">
        <f t="shared" ca="1" si="480"/>
        <v>#NAME?</v>
      </c>
      <c r="F3020" s="100" t="e">
        <f t="shared" ca="1" si="481"/>
        <v>#NAME?</v>
      </c>
      <c r="G3020" s="100" t="e">
        <f t="shared" ca="1" si="482"/>
        <v>#NAME?</v>
      </c>
      <c r="H3020" s="100" t="e">
        <f t="shared" ca="1" si="483"/>
        <v>#NAME?</v>
      </c>
      <c r="I3020" s="100" t="e">
        <f t="shared" ca="1" si="484"/>
        <v>#NAME?</v>
      </c>
      <c r="J3020" s="100" t="e">
        <f ca="1">IFERROR(__xludf.DUMMYFUNCTION("""COMPUTED_VALUE"""),"2.838")</f>
        <v>#NAME?</v>
      </c>
      <c r="K3020" s="100" t="e">
        <f t="shared" ca="1" si="485"/>
        <v>#NAME?</v>
      </c>
      <c r="L3020" s="100"/>
      <c r="M3020" s="100"/>
      <c r="N3020" s="100"/>
      <c r="O3020" s="100"/>
      <c r="P3020" s="100"/>
      <c r="Q3020" s="100"/>
      <c r="R3020" s="100"/>
      <c r="S3020" s="100"/>
      <c r="T3020" s="100"/>
      <c r="U3020" s="100"/>
      <c r="V3020" s="100"/>
      <c r="W3020" s="100"/>
      <c r="X3020" s="100"/>
      <c r="Y3020" s="100"/>
      <c r="Z3020" s="100"/>
    </row>
    <row r="3021" spans="1:26">
      <c r="A3021" s="100" t="e">
        <f ca="1">IFERROR(__xludf.DUMMYFUNCTION("""COMPUTED_VALUE"""),58786356)</f>
        <v>#NAME?</v>
      </c>
      <c r="B3021" s="100" t="e">
        <f ca="1">IFERROR(__xludf.DUMMYFUNCTION("""COMPUTED_VALUE"""),"PARTIUSDC")</f>
        <v>#NAME?</v>
      </c>
      <c r="C3021" s="100" t="e">
        <f ca="1">IFERROR(__xludf.DUMMYFUNCTION("""COMPUTED_VALUE"""),"0.17000000")</f>
        <v>#NAME?</v>
      </c>
      <c r="D3021" s="100" t="e">
        <f t="shared" ca="1" si="480"/>
        <v>#NAME?</v>
      </c>
      <c r="E3021" s="100" t="e">
        <f t="shared" ca="1" si="480"/>
        <v>#NAME?</v>
      </c>
      <c r="F3021" s="100" t="e">
        <f t="shared" ca="1" si="481"/>
        <v>#NAME?</v>
      </c>
      <c r="G3021" s="100" t="e">
        <f t="shared" ca="1" si="482"/>
        <v>#NAME?</v>
      </c>
      <c r="H3021" s="100" t="e">
        <f t="shared" ca="1" si="483"/>
        <v>#NAME?</v>
      </c>
      <c r="I3021" s="100" t="e">
        <f t="shared" ca="1" si="484"/>
        <v>#NAME?</v>
      </c>
      <c r="J3021" s="100" t="e">
        <f ca="1">IFERROR(__xludf.DUMMYFUNCTION("""COMPUTED_VALUE"""),"2.595")</f>
        <v>#NAME?</v>
      </c>
      <c r="K3021" s="100" t="e">
        <f t="shared" ca="1" si="485"/>
        <v>#NAME?</v>
      </c>
      <c r="L3021" s="100"/>
      <c r="M3021" s="100"/>
      <c r="N3021" s="100"/>
      <c r="O3021" s="100"/>
      <c r="P3021" s="100"/>
      <c r="Q3021" s="100"/>
      <c r="R3021" s="100"/>
      <c r="S3021" s="100"/>
      <c r="T3021" s="100"/>
      <c r="U3021" s="100"/>
      <c r="V3021" s="100"/>
      <c r="W3021" s="100"/>
      <c r="X3021" s="100"/>
      <c r="Y3021" s="100"/>
      <c r="Z3021" s="100"/>
    </row>
    <row r="3022" spans="1:26">
      <c r="A3022" s="100" t="e">
        <f ca="1">IFERROR(__xludf.DUMMYFUNCTION("""COMPUTED_VALUE"""),58786357)</f>
        <v>#NAME?</v>
      </c>
      <c r="B3022" s="100" t="e">
        <f ca="1">IFERROR(__xludf.DUMMYFUNCTION("""COMPUTED_VALUE"""),"PARTIBNB")</f>
        <v>#NAME?</v>
      </c>
      <c r="C3022" s="100" t="e">
        <f ca="1">IFERROR(__xludf.DUMMYFUNCTION("""COMPUTED_VALUE"""),"0.00028039")</f>
        <v>#NAME?</v>
      </c>
      <c r="D3022" s="100" t="e">
        <f t="shared" ref="D3022:E3041" ca="1" si="486">IFERROR(__xludf.DUMMYFUNCTION("""COMPUTED_VALUE"""),"-")</f>
        <v>#NAME?</v>
      </c>
      <c r="E3022" s="100" t="e">
        <f t="shared" ca="1" si="486"/>
        <v>#NAME?</v>
      </c>
      <c r="F3022" s="100" t="e">
        <f t="shared" ca="1" si="481"/>
        <v>#NAME?</v>
      </c>
      <c r="G3022" s="100" t="e">
        <f t="shared" ca="1" si="482"/>
        <v>#NAME?</v>
      </c>
      <c r="H3022" s="100" t="e">
        <f t="shared" ca="1" si="483"/>
        <v>#NAME?</v>
      </c>
      <c r="I3022" s="100" t="e">
        <f t="shared" ca="1" si="484"/>
        <v>#NAME?</v>
      </c>
      <c r="J3022" s="100" t="e">
        <f ca="1">IFERROR(__xludf.DUMMYFUNCTION("""COMPUTED_VALUE"""),"1.209")</f>
        <v>#NAME?</v>
      </c>
      <c r="K3022" s="100" t="e">
        <f t="shared" ca="1" si="485"/>
        <v>#NAME?</v>
      </c>
      <c r="L3022" s="100"/>
      <c r="M3022" s="100"/>
      <c r="N3022" s="100"/>
      <c r="O3022" s="100"/>
      <c r="P3022" s="100"/>
      <c r="Q3022" s="100"/>
      <c r="R3022" s="100"/>
      <c r="S3022" s="100"/>
      <c r="T3022" s="100"/>
      <c r="U3022" s="100"/>
      <c r="V3022" s="100"/>
      <c r="W3022" s="100"/>
      <c r="X3022" s="100"/>
      <c r="Y3022" s="100"/>
      <c r="Z3022" s="100"/>
    </row>
    <row r="3023" spans="1:26">
      <c r="A3023" s="100" t="e">
        <f ca="1">IFERROR(__xludf.DUMMYFUNCTION("""COMPUTED_VALUE"""),58786358)</f>
        <v>#NAME?</v>
      </c>
      <c r="B3023" s="100" t="e">
        <f ca="1">IFERROR(__xludf.DUMMYFUNCTION("""COMPUTED_VALUE"""),"MUBARAKUSDT")</f>
        <v>#NAME?</v>
      </c>
      <c r="C3023" s="100" t="e">
        <f ca="1">IFERROR(__xludf.DUMMYFUNCTION("""COMPUTED_VALUE"""),"0.03020000")</f>
        <v>#NAME?</v>
      </c>
      <c r="D3023" s="100" t="e">
        <f t="shared" ca="1" si="486"/>
        <v>#NAME?</v>
      </c>
      <c r="E3023" s="100" t="e">
        <f t="shared" ca="1" si="486"/>
        <v>#NAME?</v>
      </c>
      <c r="F3023" s="100" t="e">
        <f t="shared" ca="1" si="481"/>
        <v>#NAME?</v>
      </c>
      <c r="G3023" s="100" t="e">
        <f t="shared" ca="1" si="482"/>
        <v>#NAME?</v>
      </c>
      <c r="H3023" s="100" t="e">
        <f t="shared" ca="1" si="483"/>
        <v>#NAME?</v>
      </c>
      <c r="I3023" s="100" t="e">
        <f t="shared" ca="1" si="484"/>
        <v>#NAME?</v>
      </c>
      <c r="J3023" s="100" t="e">
        <f ca="1">IFERROR(__xludf.DUMMYFUNCTION("""COMPUTED_VALUE"""),"9.420")</f>
        <v>#NAME?</v>
      </c>
      <c r="K3023" s="100" t="e">
        <f t="shared" ca="1" si="485"/>
        <v>#NAME?</v>
      </c>
      <c r="L3023" s="100"/>
      <c r="M3023" s="100"/>
      <c r="N3023" s="100"/>
      <c r="O3023" s="100"/>
      <c r="P3023" s="100"/>
      <c r="Q3023" s="100"/>
      <c r="R3023" s="100"/>
      <c r="S3023" s="100"/>
      <c r="T3023" s="100"/>
      <c r="U3023" s="100"/>
      <c r="V3023" s="100"/>
      <c r="W3023" s="100"/>
      <c r="X3023" s="100"/>
      <c r="Y3023" s="100"/>
      <c r="Z3023" s="100"/>
    </row>
    <row r="3024" spans="1:26">
      <c r="A3024" s="100" t="e">
        <f ca="1">IFERROR(__xludf.DUMMYFUNCTION("""COMPUTED_VALUE"""),58786359)</f>
        <v>#NAME?</v>
      </c>
      <c r="B3024" s="100" t="e">
        <f ca="1">IFERROR(__xludf.DUMMYFUNCTION("""COMPUTED_VALUE"""),"MUBARAKUSDC")</f>
        <v>#NAME?</v>
      </c>
      <c r="C3024" s="100" t="e">
        <f ca="1">IFERROR(__xludf.DUMMYFUNCTION("""COMPUTED_VALUE"""),"0.03020000")</f>
        <v>#NAME?</v>
      </c>
      <c r="D3024" s="100" t="e">
        <f t="shared" ca="1" si="486"/>
        <v>#NAME?</v>
      </c>
      <c r="E3024" s="100" t="e">
        <f t="shared" ca="1" si="486"/>
        <v>#NAME?</v>
      </c>
      <c r="F3024" s="100" t="e">
        <f t="shared" ca="1" si="481"/>
        <v>#NAME?</v>
      </c>
      <c r="G3024" s="100" t="e">
        <f t="shared" ca="1" si="482"/>
        <v>#NAME?</v>
      </c>
      <c r="H3024" s="100" t="e">
        <f t="shared" ca="1" si="483"/>
        <v>#NAME?</v>
      </c>
      <c r="I3024" s="100" t="e">
        <f t="shared" ca="1" si="484"/>
        <v>#NAME?</v>
      </c>
      <c r="J3024" s="100" t="e">
        <f ca="1">IFERROR(__xludf.DUMMYFUNCTION("""COMPUTED_VALUE"""),"9.025")</f>
        <v>#NAME?</v>
      </c>
      <c r="K3024" s="100" t="e">
        <f t="shared" ca="1" si="485"/>
        <v>#NAME?</v>
      </c>
      <c r="L3024" s="100"/>
      <c r="M3024" s="100"/>
      <c r="N3024" s="100"/>
      <c r="O3024" s="100"/>
      <c r="P3024" s="100"/>
      <c r="Q3024" s="100"/>
      <c r="R3024" s="100"/>
      <c r="S3024" s="100"/>
      <c r="T3024" s="100"/>
      <c r="U3024" s="100"/>
      <c r="V3024" s="100"/>
      <c r="W3024" s="100"/>
      <c r="X3024" s="100"/>
      <c r="Y3024" s="100"/>
      <c r="Z3024" s="100"/>
    </row>
    <row r="3025" spans="1:26">
      <c r="A3025" s="100" t="e">
        <f ca="1">IFERROR(__xludf.DUMMYFUNCTION("""COMPUTED_VALUE"""),58786360)</f>
        <v>#NAME?</v>
      </c>
      <c r="B3025" s="100" t="e">
        <f ca="1">IFERROR(__xludf.DUMMYFUNCTION("""COMPUTED_VALUE"""),"TUTUSDT")</f>
        <v>#NAME?</v>
      </c>
      <c r="C3025" s="100" t="e">
        <f ca="1">IFERROR(__xludf.DUMMYFUNCTION("""COMPUTED_VALUE"""),"0.02511000")</f>
        <v>#NAME?</v>
      </c>
      <c r="D3025" s="100" t="e">
        <f t="shared" ca="1" si="486"/>
        <v>#NAME?</v>
      </c>
      <c r="E3025" s="100" t="e">
        <f t="shared" ca="1" si="486"/>
        <v>#NAME?</v>
      </c>
      <c r="F3025" s="100" t="e">
        <f t="shared" ca="1" si="481"/>
        <v>#NAME?</v>
      </c>
      <c r="G3025" s="100" t="e">
        <f t="shared" ca="1" si="482"/>
        <v>#NAME?</v>
      </c>
      <c r="H3025" s="100" t="e">
        <f t="shared" ca="1" si="483"/>
        <v>#NAME?</v>
      </c>
      <c r="I3025" s="100" t="e">
        <f t="shared" ca="1" si="484"/>
        <v>#NAME?</v>
      </c>
      <c r="J3025" s="100" t="e">
        <f ca="1">IFERROR(__xludf.DUMMYFUNCTION("""COMPUTED_VALUE"""),"-4.416")</f>
        <v>#NAME?</v>
      </c>
      <c r="K3025" s="100" t="e">
        <f t="shared" ca="1" si="485"/>
        <v>#NAME?</v>
      </c>
      <c r="L3025" s="100"/>
      <c r="M3025" s="100"/>
      <c r="N3025" s="100"/>
      <c r="O3025" s="100"/>
      <c r="P3025" s="100"/>
      <c r="Q3025" s="100"/>
      <c r="R3025" s="100"/>
      <c r="S3025" s="100"/>
      <c r="T3025" s="100"/>
      <c r="U3025" s="100"/>
      <c r="V3025" s="100"/>
      <c r="W3025" s="100"/>
      <c r="X3025" s="100"/>
      <c r="Y3025" s="100"/>
      <c r="Z3025" s="100"/>
    </row>
    <row r="3026" spans="1:26">
      <c r="A3026" s="100" t="e">
        <f ca="1">IFERROR(__xludf.DUMMYFUNCTION("""COMPUTED_VALUE"""),58786361)</f>
        <v>#NAME?</v>
      </c>
      <c r="B3026" s="100" t="e">
        <f ca="1">IFERROR(__xludf.DUMMYFUNCTION("""COMPUTED_VALUE"""),"BROCCOLI714USDT")</f>
        <v>#NAME?</v>
      </c>
      <c r="C3026" s="100" t="e">
        <f ca="1">IFERROR(__xludf.DUMMYFUNCTION("""COMPUTED_VALUE"""),"0.02679000")</f>
        <v>#NAME?</v>
      </c>
      <c r="D3026" s="100" t="e">
        <f t="shared" ca="1" si="486"/>
        <v>#NAME?</v>
      </c>
      <c r="E3026" s="100" t="e">
        <f t="shared" ca="1" si="486"/>
        <v>#NAME?</v>
      </c>
      <c r="F3026" s="100" t="e">
        <f t="shared" ca="1" si="481"/>
        <v>#NAME?</v>
      </c>
      <c r="G3026" s="100" t="e">
        <f t="shared" ca="1" si="482"/>
        <v>#NAME?</v>
      </c>
      <c r="H3026" s="100" t="e">
        <f t="shared" ca="1" si="483"/>
        <v>#NAME?</v>
      </c>
      <c r="I3026" s="100" t="e">
        <f t="shared" ca="1" si="484"/>
        <v>#NAME?</v>
      </c>
      <c r="J3026" s="100" t="e">
        <f ca="1">IFERROR(__xludf.DUMMYFUNCTION("""COMPUTED_VALUE"""),"-2.298")</f>
        <v>#NAME?</v>
      </c>
      <c r="K3026" s="100" t="e">
        <f t="shared" ca="1" si="485"/>
        <v>#NAME?</v>
      </c>
      <c r="L3026" s="100"/>
      <c r="M3026" s="100"/>
      <c r="N3026" s="100"/>
      <c r="O3026" s="100"/>
      <c r="P3026" s="100"/>
      <c r="Q3026" s="100"/>
      <c r="R3026" s="100"/>
      <c r="S3026" s="100"/>
      <c r="T3026" s="100"/>
      <c r="U3026" s="100"/>
      <c r="V3026" s="100"/>
      <c r="W3026" s="100"/>
      <c r="X3026" s="100"/>
      <c r="Y3026" s="100"/>
      <c r="Z3026" s="100"/>
    </row>
    <row r="3027" spans="1:26">
      <c r="A3027" s="100" t="e">
        <f ca="1">IFERROR(__xludf.DUMMYFUNCTION("""COMPUTED_VALUE"""),58786362)</f>
        <v>#NAME?</v>
      </c>
      <c r="B3027" s="100" t="e">
        <f ca="1">IFERROR(__xludf.DUMMYFUNCTION("""COMPUTED_VALUE"""),"TUTUSDC")</f>
        <v>#NAME?</v>
      </c>
      <c r="C3027" s="100" t="e">
        <f ca="1">IFERROR(__xludf.DUMMYFUNCTION("""COMPUTED_VALUE"""),"0.02518000")</f>
        <v>#NAME?</v>
      </c>
      <c r="D3027" s="100" t="e">
        <f t="shared" ca="1" si="486"/>
        <v>#NAME?</v>
      </c>
      <c r="E3027" s="100" t="e">
        <f t="shared" ca="1" si="486"/>
        <v>#NAME?</v>
      </c>
      <c r="F3027" s="100" t="e">
        <f t="shared" ca="1" si="481"/>
        <v>#NAME?</v>
      </c>
      <c r="G3027" s="100" t="e">
        <f t="shared" ca="1" si="482"/>
        <v>#NAME?</v>
      </c>
      <c r="H3027" s="100" t="e">
        <f t="shared" ca="1" si="483"/>
        <v>#NAME?</v>
      </c>
      <c r="I3027" s="100" t="e">
        <f t="shared" ca="1" si="484"/>
        <v>#NAME?</v>
      </c>
      <c r="J3027" s="100" t="e">
        <f ca="1">IFERROR(__xludf.DUMMYFUNCTION("""COMPUTED_VALUE"""),"-4.040")</f>
        <v>#NAME?</v>
      </c>
      <c r="K3027" s="100" t="e">
        <f t="shared" ca="1" si="485"/>
        <v>#NAME?</v>
      </c>
      <c r="L3027" s="100"/>
      <c r="M3027" s="100"/>
      <c r="N3027" s="100"/>
      <c r="O3027" s="100"/>
      <c r="P3027" s="100"/>
      <c r="Q3027" s="100"/>
      <c r="R3027" s="100"/>
      <c r="S3027" s="100"/>
      <c r="T3027" s="100"/>
      <c r="U3027" s="100"/>
      <c r="V3027" s="100"/>
      <c r="W3027" s="100"/>
      <c r="X3027" s="100"/>
      <c r="Y3027" s="100"/>
      <c r="Z3027" s="100"/>
    </row>
    <row r="3028" spans="1:26">
      <c r="A3028" s="100" t="e">
        <f ca="1">IFERROR(__xludf.DUMMYFUNCTION("""COMPUTED_VALUE"""),58786363)</f>
        <v>#NAME?</v>
      </c>
      <c r="B3028" s="100" t="e">
        <f ca="1">IFERROR(__xludf.DUMMYFUNCTION("""COMPUTED_VALUE"""),"BANANAS31USDT")</f>
        <v>#NAME?</v>
      </c>
      <c r="C3028" s="100" t="e">
        <f ca="1">IFERROR(__xludf.DUMMYFUNCTION("""COMPUTED_VALUE"""),"0.00529800")</f>
        <v>#NAME?</v>
      </c>
      <c r="D3028" s="100" t="e">
        <f t="shared" ca="1" si="486"/>
        <v>#NAME?</v>
      </c>
      <c r="E3028" s="100" t="e">
        <f t="shared" ca="1" si="486"/>
        <v>#NAME?</v>
      </c>
      <c r="F3028" s="100" t="e">
        <f t="shared" ca="1" si="481"/>
        <v>#NAME?</v>
      </c>
      <c r="G3028" s="100" t="e">
        <f t="shared" ca="1" si="482"/>
        <v>#NAME?</v>
      </c>
      <c r="H3028" s="100" t="e">
        <f t="shared" ca="1" si="483"/>
        <v>#NAME?</v>
      </c>
      <c r="I3028" s="100" t="e">
        <f t="shared" ca="1" si="484"/>
        <v>#NAME?</v>
      </c>
      <c r="J3028" s="100" t="e">
        <f ca="1">IFERROR(__xludf.DUMMYFUNCTION("""COMPUTED_VALUE"""),"-0.656")</f>
        <v>#NAME?</v>
      </c>
      <c r="K3028" s="100" t="e">
        <f t="shared" ca="1" si="485"/>
        <v>#NAME?</v>
      </c>
      <c r="L3028" s="100"/>
      <c r="M3028" s="100"/>
      <c r="N3028" s="100"/>
      <c r="O3028" s="100"/>
      <c r="P3028" s="100"/>
      <c r="Q3028" s="100"/>
      <c r="R3028" s="100"/>
      <c r="S3028" s="100"/>
      <c r="T3028" s="100"/>
      <c r="U3028" s="100"/>
      <c r="V3028" s="100"/>
      <c r="W3028" s="100"/>
      <c r="X3028" s="100"/>
      <c r="Y3028" s="100"/>
      <c r="Z3028" s="100"/>
    </row>
    <row r="3029" spans="1:26">
      <c r="A3029" s="100" t="e">
        <f ca="1">IFERROR(__xludf.DUMMYFUNCTION("""COMPUTED_VALUE"""),58786364)</f>
        <v>#NAME?</v>
      </c>
      <c r="B3029" s="100" t="e">
        <f ca="1">IFERROR(__xludf.DUMMYFUNCTION("""COMPUTED_VALUE"""),"BANANAS31USDC")</f>
        <v>#NAME?</v>
      </c>
      <c r="C3029" s="100" t="e">
        <f ca="1">IFERROR(__xludf.DUMMYFUNCTION("""COMPUTED_VALUE"""),"0.00529100")</f>
        <v>#NAME?</v>
      </c>
      <c r="D3029" s="100" t="e">
        <f t="shared" ca="1" si="486"/>
        <v>#NAME?</v>
      </c>
      <c r="E3029" s="100" t="e">
        <f t="shared" ca="1" si="486"/>
        <v>#NAME?</v>
      </c>
      <c r="F3029" s="100" t="e">
        <f t="shared" ca="1" si="481"/>
        <v>#NAME?</v>
      </c>
      <c r="G3029" s="100" t="e">
        <f t="shared" ca="1" si="482"/>
        <v>#NAME?</v>
      </c>
      <c r="H3029" s="100" t="e">
        <f t="shared" ca="1" si="483"/>
        <v>#NAME?</v>
      </c>
      <c r="I3029" s="100" t="e">
        <f t="shared" ca="1" si="484"/>
        <v>#NAME?</v>
      </c>
      <c r="J3029" s="100" t="e">
        <f ca="1">IFERROR(__xludf.DUMMYFUNCTION("""COMPUTED_VALUE"""),"-0.862")</f>
        <v>#NAME?</v>
      </c>
      <c r="K3029" s="100" t="e">
        <f t="shared" ca="1" si="485"/>
        <v>#NAME?</v>
      </c>
      <c r="L3029" s="100"/>
      <c r="M3029" s="100"/>
      <c r="N3029" s="100"/>
      <c r="O3029" s="100"/>
      <c r="P3029" s="100"/>
      <c r="Q3029" s="100"/>
      <c r="R3029" s="100"/>
      <c r="S3029" s="100"/>
      <c r="T3029" s="100"/>
      <c r="U3029" s="100"/>
      <c r="V3029" s="100"/>
      <c r="W3029" s="100"/>
      <c r="X3029" s="100"/>
      <c r="Y3029" s="100"/>
      <c r="Z3029" s="100"/>
    </row>
    <row r="3030" spans="1:26">
      <c r="A3030" s="100" t="e">
        <f ca="1">IFERROR(__xludf.DUMMYFUNCTION("""COMPUTED_VALUE"""),58786365)</f>
        <v>#NAME?</v>
      </c>
      <c r="B3030" s="100" t="e">
        <f ca="1">IFERROR(__xludf.DUMMYFUNCTION("""COMPUTED_VALUE"""),"BROCCOLI714USDC")</f>
        <v>#NAME?</v>
      </c>
      <c r="C3030" s="100" t="e">
        <f ca="1">IFERROR(__xludf.DUMMYFUNCTION("""COMPUTED_VALUE"""),"0.02673000")</f>
        <v>#NAME?</v>
      </c>
      <c r="D3030" s="100" t="e">
        <f t="shared" ca="1" si="486"/>
        <v>#NAME?</v>
      </c>
      <c r="E3030" s="100" t="e">
        <f t="shared" ca="1" si="486"/>
        <v>#NAME?</v>
      </c>
      <c r="F3030" s="100" t="e">
        <f t="shared" ca="1" si="481"/>
        <v>#NAME?</v>
      </c>
      <c r="G3030" s="100" t="e">
        <f t="shared" ca="1" si="482"/>
        <v>#NAME?</v>
      </c>
      <c r="H3030" s="100" t="e">
        <f t="shared" ca="1" si="483"/>
        <v>#NAME?</v>
      </c>
      <c r="I3030" s="100" t="e">
        <f t="shared" ca="1" si="484"/>
        <v>#NAME?</v>
      </c>
      <c r="J3030" s="100" t="e">
        <f ca="1">IFERROR(__xludf.DUMMYFUNCTION("""COMPUTED_VALUE"""),"-1.980")</f>
        <v>#NAME?</v>
      </c>
      <c r="K3030" s="100" t="e">
        <f t="shared" ca="1" si="485"/>
        <v>#NAME?</v>
      </c>
      <c r="L3030" s="100"/>
      <c r="M3030" s="100"/>
      <c r="N3030" s="100"/>
      <c r="O3030" s="100"/>
      <c r="P3030" s="100"/>
      <c r="Q3030" s="100"/>
      <c r="R3030" s="100"/>
      <c r="S3030" s="100"/>
      <c r="T3030" s="100"/>
      <c r="U3030" s="100"/>
      <c r="V3030" s="100"/>
      <c r="W3030" s="100"/>
      <c r="X3030" s="100"/>
      <c r="Y3030" s="100"/>
      <c r="Z3030" s="100"/>
    </row>
    <row r="3031" spans="1:26">
      <c r="A3031" s="100" t="e">
        <f ca="1">IFERROR(__xludf.DUMMYFUNCTION("""COMPUTED_VALUE"""),58786366)</f>
        <v>#NAME?</v>
      </c>
      <c r="B3031" s="100" t="e">
        <f ca="1">IFERROR(__xludf.DUMMYFUNCTION("""COMPUTED_VALUE"""),"GUNUSDT")</f>
        <v>#NAME?</v>
      </c>
      <c r="C3031" s="100" t="e">
        <f ca="1">IFERROR(__xludf.DUMMYFUNCTION("""COMPUTED_VALUE"""),"0.05911000")</f>
        <v>#NAME?</v>
      </c>
      <c r="D3031" s="100" t="e">
        <f t="shared" ca="1" si="486"/>
        <v>#NAME?</v>
      </c>
      <c r="E3031" s="100" t="e">
        <f t="shared" ca="1" si="486"/>
        <v>#NAME?</v>
      </c>
      <c r="F3031" s="100" t="e">
        <f t="shared" ca="1" si="481"/>
        <v>#NAME?</v>
      </c>
      <c r="G3031" s="100" t="e">
        <f t="shared" ca="1" si="482"/>
        <v>#NAME?</v>
      </c>
      <c r="H3031" s="100" t="e">
        <f t="shared" ca="1" si="483"/>
        <v>#NAME?</v>
      </c>
      <c r="I3031" s="100" t="e">
        <f t="shared" ca="1" si="484"/>
        <v>#NAME?</v>
      </c>
      <c r="J3031" s="100" t="e">
        <f ca="1">IFERROR(__xludf.DUMMYFUNCTION("""COMPUTED_VALUE"""),"8.459")</f>
        <v>#NAME?</v>
      </c>
      <c r="K3031" s="100" t="e">
        <f t="shared" ca="1" si="485"/>
        <v>#NAME?</v>
      </c>
      <c r="L3031" s="100"/>
      <c r="M3031" s="100"/>
      <c r="N3031" s="100"/>
      <c r="O3031" s="100"/>
      <c r="P3031" s="100"/>
      <c r="Q3031" s="100"/>
      <c r="R3031" s="100"/>
      <c r="S3031" s="100"/>
      <c r="T3031" s="100"/>
      <c r="U3031" s="100"/>
      <c r="V3031" s="100"/>
      <c r="W3031" s="100"/>
      <c r="X3031" s="100"/>
      <c r="Y3031" s="100"/>
      <c r="Z3031" s="100"/>
    </row>
    <row r="3032" spans="1:26">
      <c r="A3032" s="100" t="e">
        <f ca="1">IFERROR(__xludf.DUMMYFUNCTION("""COMPUTED_VALUE"""),58786367)</f>
        <v>#NAME?</v>
      </c>
      <c r="B3032" s="100" t="e">
        <f ca="1">IFERROR(__xludf.DUMMYFUNCTION("""COMPUTED_VALUE"""),"GUNBNB")</f>
        <v>#NAME?</v>
      </c>
      <c r="C3032" s="100" t="e">
        <f ca="1">IFERROR(__xludf.DUMMYFUNCTION("""COMPUTED_VALUE"""),"0.00009746")</f>
        <v>#NAME?</v>
      </c>
      <c r="D3032" s="100" t="e">
        <f t="shared" ca="1" si="486"/>
        <v>#NAME?</v>
      </c>
      <c r="E3032" s="100" t="e">
        <f t="shared" ca="1" si="486"/>
        <v>#NAME?</v>
      </c>
      <c r="F3032" s="100" t="e">
        <f t="shared" ca="1" si="481"/>
        <v>#NAME?</v>
      </c>
      <c r="G3032" s="100" t="e">
        <f t="shared" ca="1" si="482"/>
        <v>#NAME?</v>
      </c>
      <c r="H3032" s="100" t="e">
        <f t="shared" ca="1" si="483"/>
        <v>#NAME?</v>
      </c>
      <c r="I3032" s="100" t="e">
        <f t="shared" ca="1" si="484"/>
        <v>#NAME?</v>
      </c>
      <c r="J3032" s="100" t="e">
        <f ca="1">IFERROR(__xludf.DUMMYFUNCTION("""COMPUTED_VALUE"""),"5.877")</f>
        <v>#NAME?</v>
      </c>
      <c r="K3032" s="100" t="e">
        <f t="shared" ca="1" si="485"/>
        <v>#NAME?</v>
      </c>
      <c r="L3032" s="100"/>
      <c r="M3032" s="100"/>
      <c r="N3032" s="100"/>
      <c r="O3032" s="100"/>
      <c r="P3032" s="100"/>
      <c r="Q3032" s="100"/>
      <c r="R3032" s="100"/>
      <c r="S3032" s="100"/>
      <c r="T3032" s="100"/>
      <c r="U3032" s="100"/>
      <c r="V3032" s="100"/>
      <c r="W3032" s="100"/>
      <c r="X3032" s="100"/>
      <c r="Y3032" s="100"/>
      <c r="Z3032" s="100"/>
    </row>
    <row r="3033" spans="1:26">
      <c r="A3033" s="100" t="e">
        <f ca="1">IFERROR(__xludf.DUMMYFUNCTION("""COMPUTED_VALUE"""),58786368)</f>
        <v>#NAME?</v>
      </c>
      <c r="B3033" s="100" t="e">
        <f ca="1">IFERROR(__xludf.DUMMYFUNCTION("""COMPUTED_VALUE"""),"GUNFDUSD")</f>
        <v>#NAME?</v>
      </c>
      <c r="C3033" s="100" t="e">
        <f ca="1">IFERROR(__xludf.DUMMYFUNCTION("""COMPUTED_VALUE"""),"0.05913000")</f>
        <v>#NAME?</v>
      </c>
      <c r="D3033" s="100" t="e">
        <f t="shared" ca="1" si="486"/>
        <v>#NAME?</v>
      </c>
      <c r="E3033" s="100" t="e">
        <f t="shared" ca="1" si="486"/>
        <v>#NAME?</v>
      </c>
      <c r="F3033" s="100" t="e">
        <f t="shared" ca="1" si="481"/>
        <v>#NAME?</v>
      </c>
      <c r="G3033" s="100" t="e">
        <f t="shared" ca="1" si="482"/>
        <v>#NAME?</v>
      </c>
      <c r="H3033" s="100" t="e">
        <f t="shared" ca="1" si="483"/>
        <v>#NAME?</v>
      </c>
      <c r="I3033" s="100" t="e">
        <f t="shared" ca="1" si="484"/>
        <v>#NAME?</v>
      </c>
      <c r="J3033" s="100" t="e">
        <f ca="1">IFERROR(__xludf.DUMMYFUNCTION("""COMPUTED_VALUE"""),"6.521")</f>
        <v>#NAME?</v>
      </c>
      <c r="K3033" s="100" t="e">
        <f t="shared" ca="1" si="485"/>
        <v>#NAME?</v>
      </c>
      <c r="L3033" s="100"/>
      <c r="M3033" s="100"/>
      <c r="N3033" s="100"/>
      <c r="O3033" s="100"/>
      <c r="P3033" s="100"/>
      <c r="Q3033" s="100"/>
      <c r="R3033" s="100"/>
      <c r="S3033" s="100"/>
      <c r="T3033" s="100"/>
      <c r="U3033" s="100"/>
      <c r="V3033" s="100"/>
      <c r="W3033" s="100"/>
      <c r="X3033" s="100"/>
      <c r="Y3033" s="100"/>
      <c r="Z3033" s="100"/>
    </row>
    <row r="3034" spans="1:26">
      <c r="A3034" s="100" t="e">
        <f ca="1">IFERROR(__xludf.DUMMYFUNCTION("""COMPUTED_VALUE"""),58786369)</f>
        <v>#NAME?</v>
      </c>
      <c r="B3034" s="100" t="e">
        <f ca="1">IFERROR(__xludf.DUMMYFUNCTION("""COMPUTED_VALUE"""),"GUNTRY")</f>
        <v>#NAME?</v>
      </c>
      <c r="C3034" s="100" t="e">
        <f ca="1">IFERROR(__xludf.DUMMYFUNCTION("""COMPUTED_VALUE"""),"2.25900000")</f>
        <v>#NAME?</v>
      </c>
      <c r="D3034" s="100" t="e">
        <f t="shared" ca="1" si="486"/>
        <v>#NAME?</v>
      </c>
      <c r="E3034" s="100" t="e">
        <f t="shared" ca="1" si="486"/>
        <v>#NAME?</v>
      </c>
      <c r="F3034" s="100" t="e">
        <f t="shared" ca="1" si="481"/>
        <v>#NAME?</v>
      </c>
      <c r="G3034" s="100" t="e">
        <f t="shared" ca="1" si="482"/>
        <v>#NAME?</v>
      </c>
      <c r="H3034" s="100" t="e">
        <f t="shared" ca="1" si="483"/>
        <v>#NAME?</v>
      </c>
      <c r="I3034" s="100" t="e">
        <f t="shared" ca="1" si="484"/>
        <v>#NAME?</v>
      </c>
      <c r="J3034" s="100" t="e">
        <f ca="1">IFERROR(__xludf.DUMMYFUNCTION("""COMPUTED_VALUE"""),"8.606")</f>
        <v>#NAME?</v>
      </c>
      <c r="K3034" s="100" t="e">
        <f t="shared" ca="1" si="485"/>
        <v>#NAME?</v>
      </c>
      <c r="L3034" s="100"/>
      <c r="M3034" s="100"/>
      <c r="N3034" s="100"/>
      <c r="O3034" s="100"/>
      <c r="P3034" s="100"/>
      <c r="Q3034" s="100"/>
      <c r="R3034" s="100"/>
      <c r="S3034" s="100"/>
      <c r="T3034" s="100"/>
      <c r="U3034" s="100"/>
      <c r="V3034" s="100"/>
      <c r="W3034" s="100"/>
      <c r="X3034" s="100"/>
      <c r="Y3034" s="100"/>
      <c r="Z3034" s="100"/>
    </row>
    <row r="3035" spans="1:26">
      <c r="A3035" s="100" t="e">
        <f ca="1">IFERROR(__xludf.DUMMYFUNCTION("""COMPUTED_VALUE"""),58786370)</f>
        <v>#NAME?</v>
      </c>
      <c r="B3035" s="100" t="e">
        <f ca="1">IFERROR(__xludf.DUMMYFUNCTION("""COMPUTED_VALUE"""),"THETAUSDC")</f>
        <v>#NAME?</v>
      </c>
      <c r="C3035" s="100" t="e">
        <f ca="1">IFERROR(__xludf.DUMMYFUNCTION("""COMPUTED_VALUE"""),"0.62800000")</f>
        <v>#NAME?</v>
      </c>
      <c r="D3035" s="100" t="e">
        <f t="shared" ca="1" si="486"/>
        <v>#NAME?</v>
      </c>
      <c r="E3035" s="100" t="e">
        <f t="shared" ca="1" si="486"/>
        <v>#NAME?</v>
      </c>
      <c r="F3035" s="100" t="e">
        <f t="shared" ca="1" si="481"/>
        <v>#NAME?</v>
      </c>
      <c r="G3035" s="100" t="e">
        <f t="shared" ca="1" si="482"/>
        <v>#NAME?</v>
      </c>
      <c r="H3035" s="100" t="e">
        <f t="shared" ca="1" si="483"/>
        <v>#NAME?</v>
      </c>
      <c r="I3035" s="100" t="e">
        <f t="shared" ca="1" si="484"/>
        <v>#NAME?</v>
      </c>
      <c r="J3035" s="100" t="e">
        <f ca="1">IFERROR(__xludf.DUMMYFUNCTION("""COMPUTED_VALUE"""),"-5.706")</f>
        <v>#NAME?</v>
      </c>
      <c r="K3035" s="100" t="e">
        <f t="shared" ca="1" si="485"/>
        <v>#NAME?</v>
      </c>
      <c r="L3035" s="100"/>
      <c r="M3035" s="100"/>
      <c r="N3035" s="100"/>
      <c r="O3035" s="100"/>
      <c r="P3035" s="100"/>
      <c r="Q3035" s="100"/>
      <c r="R3035" s="100"/>
      <c r="S3035" s="100"/>
      <c r="T3035" s="100"/>
      <c r="U3035" s="100"/>
      <c r="V3035" s="100"/>
      <c r="W3035" s="100"/>
      <c r="X3035" s="100"/>
      <c r="Y3035" s="100"/>
      <c r="Z3035" s="100"/>
    </row>
    <row r="3036" spans="1:26">
      <c r="A3036" s="100" t="e">
        <f ca="1">IFERROR(__xludf.DUMMYFUNCTION("""COMPUTED_VALUE"""),58786371)</f>
        <v>#NAME?</v>
      </c>
      <c r="B3036" s="100" t="e">
        <f ca="1">IFERROR(__xludf.DUMMYFUNCTION("""COMPUTED_VALUE"""),"API3USDC")</f>
        <v>#NAME?</v>
      </c>
      <c r="C3036" s="100" t="e">
        <f ca="1">IFERROR(__xludf.DUMMYFUNCTION("""COMPUTED_VALUE"""),"0.72200000")</f>
        <v>#NAME?</v>
      </c>
      <c r="D3036" s="100" t="e">
        <f t="shared" ca="1" si="486"/>
        <v>#NAME?</v>
      </c>
      <c r="E3036" s="100" t="e">
        <f t="shared" ca="1" si="486"/>
        <v>#NAME?</v>
      </c>
      <c r="F3036" s="100" t="e">
        <f t="shared" ca="1" si="481"/>
        <v>#NAME?</v>
      </c>
      <c r="G3036" s="100" t="e">
        <f t="shared" ca="1" si="482"/>
        <v>#NAME?</v>
      </c>
      <c r="H3036" s="100" t="e">
        <f t="shared" ca="1" si="483"/>
        <v>#NAME?</v>
      </c>
      <c r="I3036" s="100" t="e">
        <f t="shared" ca="1" si="484"/>
        <v>#NAME?</v>
      </c>
      <c r="J3036" s="100" t="e">
        <f ca="1">IFERROR(__xludf.DUMMYFUNCTION("""COMPUTED_VALUE"""),"-2.300")</f>
        <v>#NAME?</v>
      </c>
      <c r="K3036" s="100" t="e">
        <f t="shared" ca="1" si="485"/>
        <v>#NAME?</v>
      </c>
      <c r="L3036" s="100"/>
      <c r="M3036" s="100"/>
      <c r="N3036" s="100"/>
      <c r="O3036" s="100"/>
      <c r="P3036" s="100"/>
      <c r="Q3036" s="100"/>
      <c r="R3036" s="100"/>
      <c r="S3036" s="100"/>
      <c r="T3036" s="100"/>
      <c r="U3036" s="100"/>
      <c r="V3036" s="100"/>
      <c r="W3036" s="100"/>
      <c r="X3036" s="100"/>
      <c r="Y3036" s="100"/>
      <c r="Z3036" s="100"/>
    </row>
    <row r="3037" spans="1:26">
      <c r="A3037" s="100" t="e">
        <f ca="1">IFERROR(__xludf.DUMMYFUNCTION("""COMPUTED_VALUE"""),58786372)</f>
        <v>#NAME?</v>
      </c>
      <c r="B3037" s="100" t="e">
        <f ca="1">IFERROR(__xludf.DUMMYFUNCTION("""COMPUTED_VALUE"""),"AUCTIONTRY")</f>
        <v>#NAME?</v>
      </c>
      <c r="C3037" s="100" t="e">
        <f ca="1">IFERROR(__xludf.DUMMYFUNCTION("""COMPUTED_VALUE"""),"423.30000000")</f>
        <v>#NAME?</v>
      </c>
      <c r="D3037" s="100" t="e">
        <f t="shared" ca="1" si="486"/>
        <v>#NAME?</v>
      </c>
      <c r="E3037" s="100" t="e">
        <f t="shared" ca="1" si="486"/>
        <v>#NAME?</v>
      </c>
      <c r="F3037" s="100" t="e">
        <f t="shared" ca="1" si="481"/>
        <v>#NAME?</v>
      </c>
      <c r="G3037" s="100" t="e">
        <f t="shared" ca="1" si="482"/>
        <v>#NAME?</v>
      </c>
      <c r="H3037" s="100" t="e">
        <f t="shared" ca="1" si="483"/>
        <v>#NAME?</v>
      </c>
      <c r="I3037" s="100" t="e">
        <f t="shared" ca="1" si="484"/>
        <v>#NAME?</v>
      </c>
      <c r="J3037" s="100" t="e">
        <f ca="1">IFERROR(__xludf.DUMMYFUNCTION("""COMPUTED_VALUE"""),"-2.891")</f>
        <v>#NAME?</v>
      </c>
      <c r="K3037" s="100" t="e">
        <f t="shared" ca="1" si="485"/>
        <v>#NAME?</v>
      </c>
      <c r="L3037" s="100"/>
      <c r="M3037" s="100"/>
      <c r="N3037" s="100"/>
      <c r="O3037" s="100"/>
      <c r="P3037" s="100"/>
      <c r="Q3037" s="100"/>
      <c r="R3037" s="100"/>
      <c r="S3037" s="100"/>
      <c r="T3037" s="100"/>
      <c r="U3037" s="100"/>
      <c r="V3037" s="100"/>
      <c r="W3037" s="100"/>
      <c r="X3037" s="100"/>
      <c r="Y3037" s="100"/>
      <c r="Z3037" s="100"/>
    </row>
    <row r="3038" spans="1:26">
      <c r="A3038" s="100" t="e">
        <f ca="1">IFERROR(__xludf.DUMMYFUNCTION("""COMPUTED_VALUE"""),58786373)</f>
        <v>#NAME?</v>
      </c>
      <c r="B3038" s="100" t="e">
        <f ca="1">IFERROR(__xludf.DUMMYFUNCTION("""COMPUTED_VALUE"""),"AUCTIONUSDC")</f>
        <v>#NAME?</v>
      </c>
      <c r="C3038" s="100" t="e">
        <f ca="1">IFERROR(__xludf.DUMMYFUNCTION("""COMPUTED_VALUE"""),"11.08000000")</f>
        <v>#NAME?</v>
      </c>
      <c r="D3038" s="100" t="e">
        <f t="shared" ca="1" si="486"/>
        <v>#NAME?</v>
      </c>
      <c r="E3038" s="100" t="e">
        <f t="shared" ca="1" si="486"/>
        <v>#NAME?</v>
      </c>
      <c r="F3038" s="100" t="e">
        <f t="shared" ca="1" si="481"/>
        <v>#NAME?</v>
      </c>
      <c r="G3038" s="100" t="e">
        <f t="shared" ca="1" si="482"/>
        <v>#NAME?</v>
      </c>
      <c r="H3038" s="100" t="e">
        <f t="shared" ca="1" si="483"/>
        <v>#NAME?</v>
      </c>
      <c r="I3038" s="100" t="e">
        <f t="shared" ca="1" si="484"/>
        <v>#NAME?</v>
      </c>
      <c r="J3038" s="100" t="e">
        <f ca="1">IFERROR(__xludf.DUMMYFUNCTION("""COMPUTED_VALUE"""),"-2.807")</f>
        <v>#NAME?</v>
      </c>
      <c r="K3038" s="100" t="e">
        <f t="shared" ca="1" si="485"/>
        <v>#NAME?</v>
      </c>
      <c r="L3038" s="100"/>
      <c r="M3038" s="100"/>
      <c r="N3038" s="100"/>
      <c r="O3038" s="100"/>
      <c r="P3038" s="100"/>
      <c r="Q3038" s="100"/>
      <c r="R3038" s="100"/>
      <c r="S3038" s="100"/>
      <c r="T3038" s="100"/>
      <c r="U3038" s="100"/>
      <c r="V3038" s="100"/>
      <c r="W3038" s="100"/>
      <c r="X3038" s="100"/>
      <c r="Y3038" s="100"/>
      <c r="Z3038" s="100"/>
    </row>
    <row r="3039" spans="1:26">
      <c r="A3039" s="100" t="e">
        <f ca="1">IFERROR(__xludf.DUMMYFUNCTION("""COMPUTED_VALUE"""),58786374)</f>
        <v>#NAME?</v>
      </c>
      <c r="B3039" s="100" t="e">
        <f ca="1">IFERROR(__xludf.DUMMYFUNCTION("""COMPUTED_VALUE"""),"BANANAUSDC")</f>
        <v>#NAME?</v>
      </c>
      <c r="C3039" s="100" t="e">
        <f ca="1">IFERROR(__xludf.DUMMYFUNCTION("""COMPUTED_VALUE"""),"17.26000000")</f>
        <v>#NAME?</v>
      </c>
      <c r="D3039" s="100" t="e">
        <f t="shared" ca="1" si="486"/>
        <v>#NAME?</v>
      </c>
      <c r="E3039" s="100" t="e">
        <f t="shared" ca="1" si="486"/>
        <v>#NAME?</v>
      </c>
      <c r="F3039" s="100" t="e">
        <f t="shared" ca="1" si="481"/>
        <v>#NAME?</v>
      </c>
      <c r="G3039" s="100" t="e">
        <f t="shared" ca="1" si="482"/>
        <v>#NAME?</v>
      </c>
      <c r="H3039" s="100" t="e">
        <f t="shared" ca="1" si="483"/>
        <v>#NAME?</v>
      </c>
      <c r="I3039" s="100" t="e">
        <f t="shared" ca="1" si="484"/>
        <v>#NAME?</v>
      </c>
      <c r="J3039" s="100" t="e">
        <f ca="1">IFERROR(__xludf.DUMMYFUNCTION("""COMPUTED_VALUE"""),"-3.359")</f>
        <v>#NAME?</v>
      </c>
      <c r="K3039" s="100" t="e">
        <f t="shared" ca="1" si="485"/>
        <v>#NAME?</v>
      </c>
      <c r="L3039" s="100"/>
      <c r="M3039" s="100"/>
      <c r="N3039" s="100"/>
      <c r="O3039" s="100"/>
      <c r="P3039" s="100"/>
      <c r="Q3039" s="100"/>
      <c r="R3039" s="100"/>
      <c r="S3039" s="100"/>
      <c r="T3039" s="100"/>
      <c r="U3039" s="100"/>
      <c r="V3039" s="100"/>
      <c r="W3039" s="100"/>
      <c r="X3039" s="100"/>
      <c r="Y3039" s="100"/>
      <c r="Z3039" s="100"/>
    </row>
    <row r="3040" spans="1:26">
      <c r="A3040" s="100" t="e">
        <f ca="1">IFERROR(__xludf.DUMMYFUNCTION("""COMPUTED_VALUE"""),58786375)</f>
        <v>#NAME?</v>
      </c>
      <c r="B3040" s="100" t="e">
        <f ca="1">IFERROR(__xludf.DUMMYFUNCTION("""COMPUTED_VALUE"""),"GUNUSDC")</f>
        <v>#NAME?</v>
      </c>
      <c r="C3040" s="100" t="e">
        <f ca="1">IFERROR(__xludf.DUMMYFUNCTION("""COMPUTED_VALUE"""),"0.05901000")</f>
        <v>#NAME?</v>
      </c>
      <c r="D3040" s="100" t="e">
        <f t="shared" ca="1" si="486"/>
        <v>#NAME?</v>
      </c>
      <c r="E3040" s="100" t="e">
        <f t="shared" ca="1" si="486"/>
        <v>#NAME?</v>
      </c>
      <c r="F3040" s="100" t="e">
        <f t="shared" ca="1" si="481"/>
        <v>#NAME?</v>
      </c>
      <c r="G3040" s="100" t="e">
        <f t="shared" ca="1" si="482"/>
        <v>#NAME?</v>
      </c>
      <c r="H3040" s="100" t="e">
        <f t="shared" ca="1" si="483"/>
        <v>#NAME?</v>
      </c>
      <c r="I3040" s="100" t="e">
        <f t="shared" ca="1" si="484"/>
        <v>#NAME?</v>
      </c>
      <c r="J3040" s="100" t="e">
        <f ca="1">IFERROR(__xludf.DUMMYFUNCTION("""COMPUTED_VALUE"""),"8.295")</f>
        <v>#NAME?</v>
      </c>
      <c r="K3040" s="100" t="e">
        <f t="shared" ca="1" si="485"/>
        <v>#NAME?</v>
      </c>
      <c r="L3040" s="100"/>
      <c r="M3040" s="100"/>
      <c r="N3040" s="100"/>
      <c r="O3040" s="100"/>
      <c r="P3040" s="100"/>
      <c r="Q3040" s="100"/>
      <c r="R3040" s="100"/>
      <c r="S3040" s="100"/>
      <c r="T3040" s="100"/>
      <c r="U3040" s="100"/>
      <c r="V3040" s="100"/>
      <c r="W3040" s="100"/>
      <c r="X3040" s="100"/>
      <c r="Y3040" s="100"/>
      <c r="Z3040" s="100"/>
    </row>
    <row r="3041" spans="1:26">
      <c r="A3041" s="100" t="e">
        <f ca="1">IFERROR(__xludf.DUMMYFUNCTION("""COMPUTED_VALUE"""),58786376)</f>
        <v>#NAME?</v>
      </c>
      <c r="B3041" s="100" t="e">
        <f ca="1">IFERROR(__xludf.DUMMYFUNCTION("""COMPUTED_VALUE"""),"QNTUSDC")</f>
        <v>#NAME?</v>
      </c>
      <c r="C3041" s="100" t="e">
        <f ca="1">IFERROR(__xludf.DUMMYFUNCTION("""COMPUTED_VALUE"""),"67.60000000")</f>
        <v>#NAME?</v>
      </c>
      <c r="D3041" s="100" t="e">
        <f t="shared" ca="1" si="486"/>
        <v>#NAME?</v>
      </c>
      <c r="E3041" s="100" t="e">
        <f t="shared" ca="1" si="486"/>
        <v>#NAME?</v>
      </c>
      <c r="F3041" s="100" t="e">
        <f t="shared" ca="1" si="481"/>
        <v>#NAME?</v>
      </c>
      <c r="G3041" s="100" t="e">
        <f t="shared" ca="1" si="482"/>
        <v>#NAME?</v>
      </c>
      <c r="H3041" s="100" t="e">
        <f t="shared" ca="1" si="483"/>
        <v>#NAME?</v>
      </c>
      <c r="I3041" s="100" t="e">
        <f t="shared" ca="1" si="484"/>
        <v>#NAME?</v>
      </c>
      <c r="J3041" s="100" t="e">
        <f ca="1">IFERROR(__xludf.DUMMYFUNCTION("""COMPUTED_VALUE"""),"0.896")</f>
        <v>#NAME?</v>
      </c>
      <c r="K3041" s="100" t="e">
        <f t="shared" ca="1" si="485"/>
        <v>#NAME?</v>
      </c>
      <c r="L3041" s="100"/>
      <c r="M3041" s="100"/>
      <c r="N3041" s="100"/>
      <c r="O3041" s="100"/>
      <c r="P3041" s="100"/>
      <c r="Q3041" s="100"/>
      <c r="R3041" s="100"/>
      <c r="S3041" s="100"/>
      <c r="T3041" s="100"/>
      <c r="U3041" s="100"/>
      <c r="V3041" s="100"/>
      <c r="W3041" s="100"/>
      <c r="X3041" s="100"/>
      <c r="Y3041" s="100"/>
      <c r="Z3041" s="100"/>
    </row>
    <row r="3042" spans="1:26">
      <c r="A3042" s="100" t="e">
        <f ca="1">IFERROR(__xludf.DUMMYFUNCTION("""COMPUTED_VALUE"""),58786377)</f>
        <v>#NAME?</v>
      </c>
      <c r="B3042" s="100" t="e">
        <f ca="1">IFERROR(__xludf.DUMMYFUNCTION("""COMPUTED_VALUE"""),"VETUSDC")</f>
        <v>#NAME?</v>
      </c>
      <c r="C3042" s="100" t="e">
        <f ca="1">IFERROR(__xludf.DUMMYFUNCTION("""COMPUTED_VALUE"""),"0.02358000")</f>
        <v>#NAME?</v>
      </c>
      <c r="D3042" s="100" t="e">
        <f t="shared" ref="D3042:E3061" ca="1" si="487">IFERROR(__xludf.DUMMYFUNCTION("""COMPUTED_VALUE"""),"-")</f>
        <v>#NAME?</v>
      </c>
      <c r="E3042" s="100" t="e">
        <f t="shared" ca="1" si="487"/>
        <v>#NAME?</v>
      </c>
      <c r="F3042" s="100" t="e">
        <f t="shared" ca="1" si="481"/>
        <v>#NAME?</v>
      </c>
      <c r="G3042" s="100" t="e">
        <f t="shared" ca="1" si="482"/>
        <v>#NAME?</v>
      </c>
      <c r="H3042" s="100" t="e">
        <f t="shared" ca="1" si="483"/>
        <v>#NAME?</v>
      </c>
      <c r="I3042" s="100" t="e">
        <f t="shared" ca="1" si="484"/>
        <v>#NAME?</v>
      </c>
      <c r="J3042" s="100" t="e">
        <f ca="1">IFERROR(__xludf.DUMMYFUNCTION("""COMPUTED_VALUE"""),"-3.558")</f>
        <v>#NAME?</v>
      </c>
      <c r="K3042" s="100" t="e">
        <f t="shared" ca="1" si="485"/>
        <v>#NAME?</v>
      </c>
      <c r="L3042" s="100"/>
      <c r="M3042" s="100"/>
      <c r="N3042" s="100"/>
      <c r="O3042" s="100"/>
      <c r="P3042" s="100"/>
      <c r="Q3042" s="100"/>
      <c r="R3042" s="100"/>
      <c r="S3042" s="100"/>
      <c r="T3042" s="100"/>
      <c r="U3042" s="100"/>
      <c r="V3042" s="100"/>
      <c r="W3042" s="100"/>
      <c r="X3042" s="100"/>
      <c r="Y3042" s="100"/>
      <c r="Z3042" s="100"/>
    </row>
    <row r="3043" spans="1:26">
      <c r="A3043" s="100" t="e">
        <f ca="1">IFERROR(__xludf.DUMMYFUNCTION("""COMPUTED_VALUE"""),58786378)</f>
        <v>#NAME?</v>
      </c>
      <c r="B3043" s="100" t="e">
        <f ca="1">IFERROR(__xludf.DUMMYFUNCTION("""COMPUTED_VALUE"""),"ZENUSDC")</f>
        <v>#NAME?</v>
      </c>
      <c r="C3043" s="100" t="e">
        <f ca="1">IFERROR(__xludf.DUMMYFUNCTION("""COMPUTED_VALUE"""),"8.65000000")</f>
        <v>#NAME?</v>
      </c>
      <c r="D3043" s="100" t="e">
        <f t="shared" ca="1" si="487"/>
        <v>#NAME?</v>
      </c>
      <c r="E3043" s="100" t="e">
        <f t="shared" ca="1" si="487"/>
        <v>#NAME?</v>
      </c>
      <c r="F3043" s="100" t="e">
        <f t="shared" ca="1" si="481"/>
        <v>#NAME?</v>
      </c>
      <c r="G3043" s="100" t="e">
        <f t="shared" ca="1" si="482"/>
        <v>#NAME?</v>
      </c>
      <c r="H3043" s="100" t="e">
        <f t="shared" ca="1" si="483"/>
        <v>#NAME?</v>
      </c>
      <c r="I3043" s="100" t="e">
        <f t="shared" ca="1" si="484"/>
        <v>#NAME?</v>
      </c>
      <c r="J3043" s="100" t="e">
        <f ca="1">IFERROR(__xludf.DUMMYFUNCTION("""COMPUTED_VALUE"""),"-3.889")</f>
        <v>#NAME?</v>
      </c>
      <c r="K3043" s="100" t="e">
        <f t="shared" ca="1" si="485"/>
        <v>#NAME?</v>
      </c>
      <c r="L3043" s="100"/>
      <c r="M3043" s="100"/>
      <c r="N3043" s="100"/>
      <c r="O3043" s="100"/>
      <c r="P3043" s="100"/>
      <c r="Q3043" s="100"/>
      <c r="R3043" s="100"/>
      <c r="S3043" s="100"/>
      <c r="T3043" s="100"/>
      <c r="U3043" s="100"/>
      <c r="V3043" s="100"/>
      <c r="W3043" s="100"/>
      <c r="X3043" s="100"/>
      <c r="Y3043" s="100"/>
      <c r="Z3043" s="100"/>
    </row>
    <row r="3044" spans="1:26">
      <c r="A3044" s="100" t="e">
        <f ca="1">IFERROR(__xludf.DUMMYFUNCTION("""COMPUTED_VALUE"""),58786379)</f>
        <v>#NAME?</v>
      </c>
      <c r="B3044" s="100" t="e">
        <f ca="1">IFERROR(__xludf.DUMMYFUNCTION("""COMPUTED_VALUE"""),"BABYUSDT")</f>
        <v>#NAME?</v>
      </c>
      <c r="C3044" s="100" t="e">
        <f ca="1">IFERROR(__xludf.DUMMYFUNCTION("""COMPUTED_VALUE"""),"0.08070000")</f>
        <v>#NAME?</v>
      </c>
      <c r="D3044" s="100" t="e">
        <f t="shared" ca="1" si="487"/>
        <v>#NAME?</v>
      </c>
      <c r="E3044" s="100" t="e">
        <f t="shared" ca="1" si="487"/>
        <v>#NAME?</v>
      </c>
      <c r="F3044" s="100" t="e">
        <f t="shared" ca="1" si="481"/>
        <v>#NAME?</v>
      </c>
      <c r="G3044" s="100" t="e">
        <f t="shared" ca="1" si="482"/>
        <v>#NAME?</v>
      </c>
      <c r="H3044" s="100" t="e">
        <f t="shared" ca="1" si="483"/>
        <v>#NAME?</v>
      </c>
      <c r="I3044" s="100" t="e">
        <f t="shared" ca="1" si="484"/>
        <v>#NAME?</v>
      </c>
      <c r="J3044" s="100" t="e">
        <f ca="1">IFERROR(__xludf.DUMMYFUNCTION("""COMPUTED_VALUE"""),"8.395")</f>
        <v>#NAME?</v>
      </c>
      <c r="K3044" s="100" t="e">
        <f t="shared" ca="1" si="485"/>
        <v>#NAME?</v>
      </c>
      <c r="L3044" s="100"/>
      <c r="M3044" s="100"/>
      <c r="N3044" s="100"/>
      <c r="O3044" s="100"/>
      <c r="P3044" s="100"/>
      <c r="Q3044" s="100"/>
      <c r="R3044" s="100"/>
      <c r="S3044" s="100"/>
      <c r="T3044" s="100"/>
      <c r="U3044" s="100"/>
      <c r="V3044" s="100"/>
      <c r="W3044" s="100"/>
      <c r="X3044" s="100"/>
      <c r="Y3044" s="100"/>
      <c r="Z3044" s="100"/>
    </row>
    <row r="3045" spans="1:26">
      <c r="A3045" s="100" t="e">
        <f ca="1">IFERROR(__xludf.DUMMYFUNCTION("""COMPUTED_VALUE"""),58786380)</f>
        <v>#NAME?</v>
      </c>
      <c r="B3045" s="100" t="e">
        <f ca="1">IFERROR(__xludf.DUMMYFUNCTION("""COMPUTED_VALUE"""),"BABYUSDC")</f>
        <v>#NAME?</v>
      </c>
      <c r="C3045" s="100" t="e">
        <f ca="1">IFERROR(__xludf.DUMMYFUNCTION("""COMPUTED_VALUE"""),"0.08086000")</f>
        <v>#NAME?</v>
      </c>
      <c r="D3045" s="100" t="e">
        <f t="shared" ca="1" si="487"/>
        <v>#NAME?</v>
      </c>
      <c r="E3045" s="100" t="e">
        <f t="shared" ca="1" si="487"/>
        <v>#NAME?</v>
      </c>
      <c r="F3045" s="100" t="e">
        <f t="shared" ca="1" si="481"/>
        <v>#NAME?</v>
      </c>
      <c r="G3045" s="100" t="e">
        <f t="shared" ca="1" si="482"/>
        <v>#NAME?</v>
      </c>
      <c r="H3045" s="100" t="e">
        <f t="shared" ca="1" si="483"/>
        <v>#NAME?</v>
      </c>
      <c r="I3045" s="100" t="e">
        <f t="shared" ca="1" si="484"/>
        <v>#NAME?</v>
      </c>
      <c r="J3045" s="100" t="e">
        <f ca="1">IFERROR(__xludf.DUMMYFUNCTION("""COMPUTED_VALUE"""),"8.961")</f>
        <v>#NAME?</v>
      </c>
      <c r="K3045" s="100" t="e">
        <f t="shared" ca="1" si="485"/>
        <v>#NAME?</v>
      </c>
      <c r="L3045" s="100"/>
      <c r="M3045" s="100"/>
      <c r="N3045" s="100"/>
      <c r="O3045" s="100"/>
      <c r="P3045" s="100"/>
      <c r="Q3045" s="100"/>
      <c r="R3045" s="100"/>
      <c r="S3045" s="100"/>
      <c r="T3045" s="100"/>
      <c r="U3045" s="100"/>
      <c r="V3045" s="100"/>
      <c r="W3045" s="100"/>
      <c r="X3045" s="100"/>
      <c r="Y3045" s="100"/>
      <c r="Z3045" s="100"/>
    </row>
    <row r="3046" spans="1:26">
      <c r="A3046" s="100" t="e">
        <f ca="1">IFERROR(__xludf.DUMMYFUNCTION("""COMPUTED_VALUE"""),58786381)</f>
        <v>#NAME?</v>
      </c>
      <c r="B3046" s="100" t="e">
        <f ca="1">IFERROR(__xludf.DUMMYFUNCTION("""COMPUTED_VALUE"""),"BABYBNB")</f>
        <v>#NAME?</v>
      </c>
      <c r="C3046" s="100" t="e">
        <f ca="1">IFERROR(__xludf.DUMMYFUNCTION("""COMPUTED_VALUE"""),"0.00013358")</f>
        <v>#NAME?</v>
      </c>
      <c r="D3046" s="100" t="e">
        <f t="shared" ca="1" si="487"/>
        <v>#NAME?</v>
      </c>
      <c r="E3046" s="100" t="e">
        <f t="shared" ca="1" si="487"/>
        <v>#NAME?</v>
      </c>
      <c r="F3046" s="100" t="e">
        <f t="shared" ca="1" si="481"/>
        <v>#NAME?</v>
      </c>
      <c r="G3046" s="100" t="e">
        <f t="shared" ca="1" si="482"/>
        <v>#NAME?</v>
      </c>
      <c r="H3046" s="100" t="e">
        <f t="shared" ca="1" si="483"/>
        <v>#NAME?</v>
      </c>
      <c r="I3046" s="100" t="e">
        <f t="shared" ca="1" si="484"/>
        <v>#NAME?</v>
      </c>
      <c r="J3046" s="100" t="e">
        <f ca="1">IFERROR(__xludf.DUMMYFUNCTION("""COMPUTED_VALUE"""),"7.310")</f>
        <v>#NAME?</v>
      </c>
      <c r="K3046" s="100" t="e">
        <f t="shared" ca="1" si="485"/>
        <v>#NAME?</v>
      </c>
      <c r="L3046" s="100"/>
      <c r="M3046" s="100"/>
      <c r="N3046" s="100"/>
      <c r="O3046" s="100"/>
      <c r="P3046" s="100"/>
      <c r="Q3046" s="100"/>
      <c r="R3046" s="100"/>
      <c r="S3046" s="100"/>
      <c r="T3046" s="100"/>
      <c r="U3046" s="100"/>
      <c r="V3046" s="100"/>
      <c r="W3046" s="100"/>
      <c r="X3046" s="100"/>
      <c r="Y3046" s="100"/>
      <c r="Z3046" s="100"/>
    </row>
    <row r="3047" spans="1:26">
      <c r="A3047" s="100" t="e">
        <f ca="1">IFERROR(__xludf.DUMMYFUNCTION("""COMPUTED_VALUE"""),58786382)</f>
        <v>#NAME?</v>
      </c>
      <c r="B3047" s="100" t="e">
        <f ca="1">IFERROR(__xludf.DUMMYFUNCTION("""COMPUTED_VALUE"""),"BABYFDUSD")</f>
        <v>#NAME?</v>
      </c>
      <c r="C3047" s="100" t="e">
        <f ca="1">IFERROR(__xludf.DUMMYFUNCTION("""COMPUTED_VALUE"""),"0.08179000")</f>
        <v>#NAME?</v>
      </c>
      <c r="D3047" s="100" t="e">
        <f t="shared" ca="1" si="487"/>
        <v>#NAME?</v>
      </c>
      <c r="E3047" s="100" t="e">
        <f t="shared" ca="1" si="487"/>
        <v>#NAME?</v>
      </c>
      <c r="F3047" s="100" t="e">
        <f t="shared" ca="1" si="481"/>
        <v>#NAME?</v>
      </c>
      <c r="G3047" s="100" t="e">
        <f t="shared" ca="1" si="482"/>
        <v>#NAME?</v>
      </c>
      <c r="H3047" s="100" t="e">
        <f t="shared" ca="1" si="483"/>
        <v>#NAME?</v>
      </c>
      <c r="I3047" s="100" t="e">
        <f t="shared" ca="1" si="484"/>
        <v>#NAME?</v>
      </c>
      <c r="J3047" s="100" t="e">
        <f ca="1">IFERROR(__xludf.DUMMYFUNCTION("""COMPUTED_VALUE"""),"10.303")</f>
        <v>#NAME?</v>
      </c>
      <c r="K3047" s="100" t="e">
        <f t="shared" ca="1" si="485"/>
        <v>#NAME?</v>
      </c>
      <c r="L3047" s="100"/>
      <c r="M3047" s="100"/>
      <c r="N3047" s="100"/>
      <c r="O3047" s="100"/>
      <c r="P3047" s="100"/>
      <c r="Q3047" s="100"/>
      <c r="R3047" s="100"/>
      <c r="S3047" s="100"/>
      <c r="T3047" s="100"/>
      <c r="U3047" s="100"/>
      <c r="V3047" s="100"/>
      <c r="W3047" s="100"/>
      <c r="X3047" s="100"/>
      <c r="Y3047" s="100"/>
      <c r="Z3047" s="100"/>
    </row>
    <row r="3048" spans="1:26">
      <c r="A3048" s="100" t="e">
        <f ca="1">IFERROR(__xludf.DUMMYFUNCTION("""COMPUTED_VALUE"""),58786383)</f>
        <v>#NAME?</v>
      </c>
      <c r="B3048" s="100" t="e">
        <f ca="1">IFERROR(__xludf.DUMMYFUNCTION("""COMPUTED_VALUE"""),"BABYTRY")</f>
        <v>#NAME?</v>
      </c>
      <c r="C3048" s="100" t="e">
        <f ca="1">IFERROR(__xludf.DUMMYFUNCTION("""COMPUTED_VALUE"""),"3.08400000")</f>
        <v>#NAME?</v>
      </c>
      <c r="D3048" s="100" t="e">
        <f t="shared" ca="1" si="487"/>
        <v>#NAME?</v>
      </c>
      <c r="E3048" s="100" t="e">
        <f t="shared" ca="1" si="487"/>
        <v>#NAME?</v>
      </c>
      <c r="F3048" s="100" t="e">
        <f t="shared" ca="1" si="481"/>
        <v>#NAME?</v>
      </c>
      <c r="G3048" s="100" t="e">
        <f t="shared" ca="1" si="482"/>
        <v>#NAME?</v>
      </c>
      <c r="H3048" s="100" t="e">
        <f t="shared" ca="1" si="483"/>
        <v>#NAME?</v>
      </c>
      <c r="I3048" s="100" t="e">
        <f t="shared" ca="1" si="484"/>
        <v>#NAME?</v>
      </c>
      <c r="J3048" s="100" t="e">
        <f ca="1">IFERROR(__xludf.DUMMYFUNCTION("""COMPUTED_VALUE"""),"8.401")</f>
        <v>#NAME?</v>
      </c>
      <c r="K3048" s="100" t="e">
        <f t="shared" ca="1" si="485"/>
        <v>#NAME?</v>
      </c>
      <c r="L3048" s="100"/>
      <c r="M3048" s="100"/>
      <c r="N3048" s="100"/>
      <c r="O3048" s="100"/>
      <c r="P3048" s="100"/>
      <c r="Q3048" s="100"/>
      <c r="R3048" s="100"/>
      <c r="S3048" s="100"/>
      <c r="T3048" s="100"/>
      <c r="U3048" s="100"/>
      <c r="V3048" s="100"/>
      <c r="W3048" s="100"/>
      <c r="X3048" s="100"/>
      <c r="Y3048" s="100"/>
      <c r="Z3048" s="100"/>
    </row>
    <row r="3049" spans="1:26">
      <c r="A3049" s="100" t="e">
        <f ca="1">IFERROR(__xludf.DUMMYFUNCTION("""COMPUTED_VALUE"""),58786384)</f>
        <v>#NAME?</v>
      </c>
      <c r="B3049" s="100" t="e">
        <f ca="1">IFERROR(__xludf.DUMMYFUNCTION("""COMPUTED_VALUE"""),"ONDOUSDT")</f>
        <v>#NAME?</v>
      </c>
      <c r="C3049" s="100" t="e">
        <f ca="1">IFERROR(__xludf.DUMMYFUNCTION("""COMPUTED_VALUE"""),"0.86010000")</f>
        <v>#NAME?</v>
      </c>
      <c r="D3049" s="100" t="e">
        <f t="shared" ca="1" si="487"/>
        <v>#NAME?</v>
      </c>
      <c r="E3049" s="100" t="e">
        <f t="shared" ca="1" si="487"/>
        <v>#NAME?</v>
      </c>
      <c r="F3049" s="100" t="e">
        <f t="shared" ca="1" si="481"/>
        <v>#NAME?</v>
      </c>
      <c r="G3049" s="100" t="e">
        <f t="shared" ca="1" si="482"/>
        <v>#NAME?</v>
      </c>
      <c r="H3049" s="100" t="e">
        <f t="shared" ca="1" si="483"/>
        <v>#NAME?</v>
      </c>
      <c r="I3049" s="100" t="e">
        <f t="shared" ca="1" si="484"/>
        <v>#NAME?</v>
      </c>
      <c r="J3049" s="100" t="e">
        <f ca="1">IFERROR(__xludf.DUMMYFUNCTION("""COMPUTED_VALUE"""),"-2.094")</f>
        <v>#NAME?</v>
      </c>
      <c r="K3049" s="100" t="e">
        <f t="shared" ca="1" si="485"/>
        <v>#NAME?</v>
      </c>
      <c r="L3049" s="100"/>
      <c r="M3049" s="100"/>
      <c r="N3049" s="100"/>
      <c r="O3049" s="100"/>
      <c r="P3049" s="100"/>
      <c r="Q3049" s="100"/>
      <c r="R3049" s="100"/>
      <c r="S3049" s="100"/>
      <c r="T3049" s="100"/>
      <c r="U3049" s="100"/>
      <c r="V3049" s="100"/>
      <c r="W3049" s="100"/>
      <c r="X3049" s="100"/>
      <c r="Y3049" s="100"/>
      <c r="Z3049" s="100"/>
    </row>
    <row r="3050" spans="1:26">
      <c r="A3050" s="100" t="e">
        <f ca="1">IFERROR(__xludf.DUMMYFUNCTION("""COMPUTED_VALUE"""),58786385)</f>
        <v>#NAME?</v>
      </c>
      <c r="B3050" s="100" t="e">
        <f ca="1">IFERROR(__xludf.DUMMYFUNCTION("""COMPUTED_VALUE"""),"ONDOUSDC")</f>
        <v>#NAME?</v>
      </c>
      <c r="C3050" s="100" t="e">
        <f ca="1">IFERROR(__xludf.DUMMYFUNCTION("""COMPUTED_VALUE"""),"0.86060000")</f>
        <v>#NAME?</v>
      </c>
      <c r="D3050" s="100" t="e">
        <f t="shared" ca="1" si="487"/>
        <v>#NAME?</v>
      </c>
      <c r="E3050" s="100" t="e">
        <f t="shared" ca="1" si="487"/>
        <v>#NAME?</v>
      </c>
      <c r="F3050" s="100" t="e">
        <f t="shared" ca="1" si="481"/>
        <v>#NAME?</v>
      </c>
      <c r="G3050" s="100" t="e">
        <f t="shared" ca="1" si="482"/>
        <v>#NAME?</v>
      </c>
      <c r="H3050" s="100" t="e">
        <f t="shared" ca="1" si="483"/>
        <v>#NAME?</v>
      </c>
      <c r="I3050" s="100" t="e">
        <f t="shared" ca="1" si="484"/>
        <v>#NAME?</v>
      </c>
      <c r="J3050" s="100" t="e">
        <f ca="1">IFERROR(__xludf.DUMMYFUNCTION("""COMPUTED_VALUE"""),"-1.993")</f>
        <v>#NAME?</v>
      </c>
      <c r="K3050" s="100" t="e">
        <f t="shared" ca="1" si="485"/>
        <v>#NAME?</v>
      </c>
      <c r="L3050" s="100"/>
      <c r="M3050" s="100"/>
      <c r="N3050" s="100"/>
      <c r="O3050" s="100"/>
      <c r="P3050" s="100"/>
      <c r="Q3050" s="100"/>
      <c r="R3050" s="100"/>
      <c r="S3050" s="100"/>
      <c r="T3050" s="100"/>
      <c r="U3050" s="100"/>
      <c r="V3050" s="100"/>
      <c r="W3050" s="100"/>
      <c r="X3050" s="100"/>
      <c r="Y3050" s="100"/>
      <c r="Z3050" s="100"/>
    </row>
    <row r="3051" spans="1:26">
      <c r="A3051" s="100" t="e">
        <f ca="1">IFERROR(__xludf.DUMMYFUNCTION("""COMPUTED_VALUE"""),58786386)</f>
        <v>#NAME?</v>
      </c>
      <c r="B3051" s="100" t="e">
        <f ca="1">IFERROR(__xludf.DUMMYFUNCTION("""COMPUTED_VALUE"""),"BIGTIMEUSDT")</f>
        <v>#NAME?</v>
      </c>
      <c r="C3051" s="100" t="e">
        <f ca="1">IFERROR(__xludf.DUMMYFUNCTION("""COMPUTED_VALUE"""),"0.06902000")</f>
        <v>#NAME?</v>
      </c>
      <c r="D3051" s="100" t="e">
        <f t="shared" ca="1" si="487"/>
        <v>#NAME?</v>
      </c>
      <c r="E3051" s="100" t="e">
        <f t="shared" ca="1" si="487"/>
        <v>#NAME?</v>
      </c>
      <c r="F3051" s="100" t="e">
        <f t="shared" ca="1" si="481"/>
        <v>#NAME?</v>
      </c>
      <c r="G3051" s="100" t="e">
        <f t="shared" ca="1" si="482"/>
        <v>#NAME?</v>
      </c>
      <c r="H3051" s="100" t="e">
        <f t="shared" ca="1" si="483"/>
        <v>#NAME?</v>
      </c>
      <c r="I3051" s="100" t="e">
        <f t="shared" ca="1" si="484"/>
        <v>#NAME?</v>
      </c>
      <c r="J3051" s="100" t="e">
        <f ca="1">IFERROR(__xludf.DUMMYFUNCTION("""COMPUTED_VALUE"""),"-3.657")</f>
        <v>#NAME?</v>
      </c>
      <c r="K3051" s="100" t="e">
        <f t="shared" ca="1" si="485"/>
        <v>#NAME?</v>
      </c>
      <c r="L3051" s="100"/>
      <c r="M3051" s="100"/>
      <c r="N3051" s="100"/>
      <c r="O3051" s="100"/>
      <c r="P3051" s="100"/>
      <c r="Q3051" s="100"/>
      <c r="R3051" s="100"/>
      <c r="S3051" s="100"/>
      <c r="T3051" s="100"/>
      <c r="U3051" s="100"/>
      <c r="V3051" s="100"/>
      <c r="W3051" s="100"/>
      <c r="X3051" s="100"/>
      <c r="Y3051" s="100"/>
      <c r="Z3051" s="100"/>
    </row>
    <row r="3052" spans="1:26">
      <c r="A3052" s="100" t="e">
        <f ca="1">IFERROR(__xludf.DUMMYFUNCTION("""COMPUTED_VALUE"""),58786387)</f>
        <v>#NAME?</v>
      </c>
      <c r="B3052" s="100" t="e">
        <f ca="1">IFERROR(__xludf.DUMMYFUNCTION("""COMPUTED_VALUE"""),"BIGTIMEUSDC")</f>
        <v>#NAME?</v>
      </c>
      <c r="C3052" s="100" t="e">
        <f ca="1">IFERROR(__xludf.DUMMYFUNCTION("""COMPUTED_VALUE"""),"0.06904000")</f>
        <v>#NAME?</v>
      </c>
      <c r="D3052" s="100" t="e">
        <f t="shared" ca="1" si="487"/>
        <v>#NAME?</v>
      </c>
      <c r="E3052" s="100" t="e">
        <f t="shared" ca="1" si="487"/>
        <v>#NAME?</v>
      </c>
      <c r="F3052" s="100" t="e">
        <f t="shared" ca="1" si="481"/>
        <v>#NAME?</v>
      </c>
      <c r="G3052" s="100" t="e">
        <f t="shared" ca="1" si="482"/>
        <v>#NAME?</v>
      </c>
      <c r="H3052" s="100" t="e">
        <f t="shared" ca="1" si="483"/>
        <v>#NAME?</v>
      </c>
      <c r="I3052" s="100" t="e">
        <f t="shared" ca="1" si="484"/>
        <v>#NAME?</v>
      </c>
      <c r="J3052" s="100" t="e">
        <f ca="1">IFERROR(__xludf.DUMMYFUNCTION("""COMPUTED_VALUE"""),"-3.616")</f>
        <v>#NAME?</v>
      </c>
      <c r="K3052" s="100" t="e">
        <f t="shared" ca="1" si="485"/>
        <v>#NAME?</v>
      </c>
      <c r="L3052" s="100"/>
      <c r="M3052" s="100"/>
      <c r="N3052" s="100"/>
      <c r="O3052" s="100"/>
      <c r="P3052" s="100"/>
      <c r="Q3052" s="100"/>
      <c r="R3052" s="100"/>
      <c r="S3052" s="100"/>
      <c r="T3052" s="100"/>
      <c r="U3052" s="100"/>
      <c r="V3052" s="100"/>
      <c r="W3052" s="100"/>
      <c r="X3052" s="100"/>
      <c r="Y3052" s="100"/>
      <c r="Z3052" s="100"/>
    </row>
    <row r="3053" spans="1:26">
      <c r="A3053" s="100" t="e">
        <f ca="1">IFERROR(__xludf.DUMMYFUNCTION("""COMPUTED_VALUE"""),58786388)</f>
        <v>#NAME?</v>
      </c>
      <c r="B3053" s="100" t="e">
        <f ca="1">IFERROR(__xludf.DUMMYFUNCTION("""COMPUTED_VALUE"""),"VIRTUALUSDT")</f>
        <v>#NAME?</v>
      </c>
      <c r="C3053" s="100" t="e">
        <f ca="1">IFERROR(__xludf.DUMMYFUNCTION("""COMPUTED_VALUE"""),"0.57800000")</f>
        <v>#NAME?</v>
      </c>
      <c r="D3053" s="100" t="e">
        <f t="shared" ca="1" si="487"/>
        <v>#NAME?</v>
      </c>
      <c r="E3053" s="100" t="e">
        <f t="shared" ca="1" si="487"/>
        <v>#NAME?</v>
      </c>
      <c r="F3053" s="100" t="e">
        <f t="shared" ca="1" si="481"/>
        <v>#NAME?</v>
      </c>
      <c r="G3053" s="100" t="e">
        <f t="shared" ca="1" si="482"/>
        <v>#NAME?</v>
      </c>
      <c r="H3053" s="100" t="e">
        <f t="shared" ca="1" si="483"/>
        <v>#NAME?</v>
      </c>
      <c r="I3053" s="100" t="e">
        <f t="shared" ca="1" si="484"/>
        <v>#NAME?</v>
      </c>
      <c r="J3053" s="100" t="e">
        <f ca="1">IFERROR(__xludf.DUMMYFUNCTION("""COMPUTED_VALUE"""),"-1.298")</f>
        <v>#NAME?</v>
      </c>
      <c r="K3053" s="100" t="e">
        <f t="shared" ca="1" si="485"/>
        <v>#NAME?</v>
      </c>
      <c r="L3053" s="100"/>
      <c r="M3053" s="100"/>
      <c r="N3053" s="100"/>
      <c r="O3053" s="100"/>
      <c r="P3053" s="100"/>
      <c r="Q3053" s="100"/>
      <c r="R3053" s="100"/>
      <c r="S3053" s="100"/>
      <c r="T3053" s="100"/>
      <c r="U3053" s="100"/>
      <c r="V3053" s="100"/>
      <c r="W3053" s="100"/>
      <c r="X3053" s="100"/>
      <c r="Y3053" s="100"/>
      <c r="Z3053" s="100"/>
    </row>
    <row r="3054" spans="1:26">
      <c r="A3054" s="100" t="e">
        <f ca="1">IFERROR(__xludf.DUMMYFUNCTION("""COMPUTED_VALUE"""),58786389)</f>
        <v>#NAME?</v>
      </c>
      <c r="B3054" s="100" t="e">
        <f ca="1">IFERROR(__xludf.DUMMYFUNCTION("""COMPUTED_VALUE"""),"VIRTUALUSDC")</f>
        <v>#NAME?</v>
      </c>
      <c r="C3054" s="100" t="e">
        <f ca="1">IFERROR(__xludf.DUMMYFUNCTION("""COMPUTED_VALUE"""),"0.57770000")</f>
        <v>#NAME?</v>
      </c>
      <c r="D3054" s="100" t="e">
        <f t="shared" ca="1" si="487"/>
        <v>#NAME?</v>
      </c>
      <c r="E3054" s="100" t="e">
        <f t="shared" ca="1" si="487"/>
        <v>#NAME?</v>
      </c>
      <c r="F3054" s="100" t="e">
        <f t="shared" ca="1" si="481"/>
        <v>#NAME?</v>
      </c>
      <c r="G3054" s="100" t="e">
        <f t="shared" ca="1" si="482"/>
        <v>#NAME?</v>
      </c>
      <c r="H3054" s="100" t="e">
        <f t="shared" ca="1" si="483"/>
        <v>#NAME?</v>
      </c>
      <c r="I3054" s="100" t="e">
        <f t="shared" ca="1" si="484"/>
        <v>#NAME?</v>
      </c>
      <c r="J3054" s="100" t="e">
        <f ca="1">IFERROR(__xludf.DUMMYFUNCTION("""COMPUTED_VALUE"""),"-1.332")</f>
        <v>#NAME?</v>
      </c>
      <c r="K3054" s="100" t="e">
        <f t="shared" ca="1" si="485"/>
        <v>#NAME?</v>
      </c>
      <c r="L3054" s="100"/>
      <c r="M3054" s="100"/>
      <c r="N3054" s="100"/>
      <c r="O3054" s="100"/>
      <c r="P3054" s="100"/>
      <c r="Q3054" s="100"/>
      <c r="R3054" s="100"/>
      <c r="S3054" s="100"/>
      <c r="T3054" s="100"/>
      <c r="U3054" s="100"/>
      <c r="V3054" s="100"/>
      <c r="W3054" s="100"/>
      <c r="X3054" s="100"/>
      <c r="Y3054" s="100"/>
      <c r="Z3054" s="100"/>
    </row>
    <row r="3055" spans="1:26">
      <c r="A3055" s="100" t="e">
        <f ca="1">IFERROR(__xludf.DUMMYFUNCTION("""COMPUTED_VALUE"""),58786390)</f>
        <v>#NAME?</v>
      </c>
      <c r="B3055" s="100" t="e">
        <f ca="1">IFERROR(__xludf.DUMMYFUNCTION("""COMPUTED_VALUE"""),"KERNELBNB")</f>
        <v>#NAME?</v>
      </c>
      <c r="C3055" s="100" t="e">
        <f ca="1">IFERROR(__xludf.DUMMYFUNCTION("""COMPUTED_VALUE"""),"0.00030960")</f>
        <v>#NAME?</v>
      </c>
      <c r="D3055" s="100" t="e">
        <f t="shared" ca="1" si="487"/>
        <v>#NAME?</v>
      </c>
      <c r="E3055" s="100" t="e">
        <f t="shared" ca="1" si="487"/>
        <v>#NAME?</v>
      </c>
      <c r="F3055" s="100" t="e">
        <f t="shared" ca="1" si="481"/>
        <v>#NAME?</v>
      </c>
      <c r="G3055" s="100" t="e">
        <f t="shared" ca="1" si="482"/>
        <v>#NAME?</v>
      </c>
      <c r="H3055" s="100" t="e">
        <f t="shared" ca="1" si="483"/>
        <v>#NAME?</v>
      </c>
      <c r="I3055" s="100" t="e">
        <f t="shared" ca="1" si="484"/>
        <v>#NAME?</v>
      </c>
      <c r="J3055" s="100" t="e">
        <f ca="1">IFERROR(__xludf.DUMMYFUNCTION("""COMPUTED_VALUE"""),"-4.178")</f>
        <v>#NAME?</v>
      </c>
      <c r="K3055" s="100" t="e">
        <f t="shared" ca="1" si="485"/>
        <v>#NAME?</v>
      </c>
      <c r="L3055" s="100"/>
      <c r="M3055" s="100"/>
      <c r="N3055" s="100"/>
      <c r="O3055" s="100"/>
      <c r="P3055" s="100"/>
      <c r="Q3055" s="100"/>
      <c r="R3055" s="100"/>
      <c r="S3055" s="100"/>
      <c r="T3055" s="100"/>
      <c r="U3055" s="100"/>
      <c r="V3055" s="100"/>
      <c r="W3055" s="100"/>
      <c r="X3055" s="100"/>
      <c r="Y3055" s="100"/>
      <c r="Z3055" s="100"/>
    </row>
    <row r="3056" spans="1:26">
      <c r="A3056" s="100" t="e">
        <f ca="1">IFERROR(__xludf.DUMMYFUNCTION("""COMPUTED_VALUE"""),58786391)</f>
        <v>#NAME?</v>
      </c>
      <c r="B3056" s="100" t="e">
        <f ca="1">IFERROR(__xludf.DUMMYFUNCTION("""COMPUTED_VALUE"""),"KERNELFDUSD")</f>
        <v>#NAME?</v>
      </c>
      <c r="C3056" s="100" t="e">
        <f ca="1">IFERROR(__xludf.DUMMYFUNCTION("""COMPUTED_VALUE"""),"0.18880000")</f>
        <v>#NAME?</v>
      </c>
      <c r="D3056" s="100" t="e">
        <f t="shared" ca="1" si="487"/>
        <v>#NAME?</v>
      </c>
      <c r="E3056" s="100" t="e">
        <f t="shared" ca="1" si="487"/>
        <v>#NAME?</v>
      </c>
      <c r="F3056" s="100" t="e">
        <f t="shared" ca="1" si="481"/>
        <v>#NAME?</v>
      </c>
      <c r="G3056" s="100" t="e">
        <f t="shared" ca="1" si="482"/>
        <v>#NAME?</v>
      </c>
      <c r="H3056" s="100" t="e">
        <f t="shared" ca="1" si="483"/>
        <v>#NAME?</v>
      </c>
      <c r="I3056" s="100" t="e">
        <f t="shared" ca="1" si="484"/>
        <v>#NAME?</v>
      </c>
      <c r="J3056" s="100" t="e">
        <f ca="1">IFERROR(__xludf.DUMMYFUNCTION("""COMPUTED_VALUE"""),"-3.821")</f>
        <v>#NAME?</v>
      </c>
      <c r="K3056" s="100" t="e">
        <f t="shared" ca="1" si="485"/>
        <v>#NAME?</v>
      </c>
      <c r="L3056" s="100"/>
      <c r="M3056" s="100"/>
      <c r="N3056" s="100"/>
      <c r="O3056" s="100"/>
      <c r="P3056" s="100"/>
      <c r="Q3056" s="100"/>
      <c r="R3056" s="100"/>
      <c r="S3056" s="100"/>
      <c r="T3056" s="100"/>
      <c r="U3056" s="100"/>
      <c r="V3056" s="100"/>
      <c r="W3056" s="100"/>
      <c r="X3056" s="100"/>
      <c r="Y3056" s="100"/>
      <c r="Z3056" s="100"/>
    </row>
    <row r="3057" spans="1:26">
      <c r="A3057" s="100" t="e">
        <f ca="1">IFERROR(__xludf.DUMMYFUNCTION("""COMPUTED_VALUE"""),58786392)</f>
        <v>#NAME?</v>
      </c>
      <c r="B3057" s="100" t="e">
        <f ca="1">IFERROR(__xludf.DUMMYFUNCTION("""COMPUTED_VALUE"""),"KERNELTRY")</f>
        <v>#NAME?</v>
      </c>
      <c r="C3057" s="100" t="e">
        <f ca="1">IFERROR(__xludf.DUMMYFUNCTION("""COMPUTED_VALUE"""),"7.19000000")</f>
        <v>#NAME?</v>
      </c>
      <c r="D3057" s="100" t="e">
        <f t="shared" ca="1" si="487"/>
        <v>#NAME?</v>
      </c>
      <c r="E3057" s="100" t="e">
        <f t="shared" ca="1" si="487"/>
        <v>#NAME?</v>
      </c>
      <c r="F3057" s="100" t="e">
        <f t="shared" ca="1" si="481"/>
        <v>#NAME?</v>
      </c>
      <c r="G3057" s="100" t="e">
        <f t="shared" ca="1" si="482"/>
        <v>#NAME?</v>
      </c>
      <c r="H3057" s="100" t="e">
        <f t="shared" ca="1" si="483"/>
        <v>#NAME?</v>
      </c>
      <c r="I3057" s="100" t="e">
        <f t="shared" ca="1" si="484"/>
        <v>#NAME?</v>
      </c>
      <c r="J3057" s="100" t="e">
        <f ca="1">IFERROR(__xludf.DUMMYFUNCTION("""COMPUTED_VALUE"""),"-3.877")</f>
        <v>#NAME?</v>
      </c>
      <c r="K3057" s="100" t="e">
        <f t="shared" ca="1" si="485"/>
        <v>#NAME?</v>
      </c>
      <c r="L3057" s="100"/>
      <c r="M3057" s="100"/>
      <c r="N3057" s="100"/>
      <c r="O3057" s="100"/>
      <c r="P3057" s="100"/>
      <c r="Q3057" s="100"/>
      <c r="R3057" s="100"/>
      <c r="S3057" s="100"/>
      <c r="T3057" s="100"/>
      <c r="U3057" s="100"/>
      <c r="V3057" s="100"/>
      <c r="W3057" s="100"/>
      <c r="X3057" s="100"/>
      <c r="Y3057" s="100"/>
      <c r="Z3057" s="100"/>
    </row>
    <row r="3058" spans="1:26">
      <c r="A3058" s="100" t="e">
        <f ca="1">IFERROR(__xludf.DUMMYFUNCTION("""COMPUTED_VALUE"""),58786393)</f>
        <v>#NAME?</v>
      </c>
      <c r="B3058" s="100" t="e">
        <f ca="1">IFERROR(__xludf.DUMMYFUNCTION("""COMPUTED_VALUE"""),"KERNELUSDC")</f>
        <v>#NAME?</v>
      </c>
      <c r="C3058" s="100" t="e">
        <f ca="1">IFERROR(__xludf.DUMMYFUNCTION("""COMPUTED_VALUE"""),"0.18820000")</f>
        <v>#NAME?</v>
      </c>
      <c r="D3058" s="100" t="e">
        <f t="shared" ca="1" si="487"/>
        <v>#NAME?</v>
      </c>
      <c r="E3058" s="100" t="e">
        <f t="shared" ca="1" si="487"/>
        <v>#NAME?</v>
      </c>
      <c r="F3058" s="100" t="e">
        <f t="shared" ca="1" si="481"/>
        <v>#NAME?</v>
      </c>
      <c r="G3058" s="100" t="e">
        <f t="shared" ca="1" si="482"/>
        <v>#NAME?</v>
      </c>
      <c r="H3058" s="100" t="e">
        <f t="shared" ca="1" si="483"/>
        <v>#NAME?</v>
      </c>
      <c r="I3058" s="100" t="e">
        <f t="shared" ca="1" si="484"/>
        <v>#NAME?</v>
      </c>
      <c r="J3058" s="100" t="e">
        <f ca="1">IFERROR(__xludf.DUMMYFUNCTION("""COMPUTED_VALUE"""),"-4.273")</f>
        <v>#NAME?</v>
      </c>
      <c r="K3058" s="100" t="e">
        <f t="shared" ca="1" si="485"/>
        <v>#NAME?</v>
      </c>
      <c r="L3058" s="100"/>
      <c r="M3058" s="100"/>
      <c r="N3058" s="100"/>
      <c r="O3058" s="100"/>
      <c r="P3058" s="100"/>
      <c r="Q3058" s="100"/>
      <c r="R3058" s="100"/>
      <c r="S3058" s="100"/>
      <c r="T3058" s="100"/>
      <c r="U3058" s="100"/>
      <c r="V3058" s="100"/>
      <c r="W3058" s="100"/>
      <c r="X3058" s="100"/>
      <c r="Y3058" s="100"/>
      <c r="Z3058" s="100"/>
    </row>
    <row r="3059" spans="1:26">
      <c r="A3059" s="100" t="e">
        <f ca="1">IFERROR(__xludf.DUMMYFUNCTION("""COMPUTED_VALUE"""),58786394)</f>
        <v>#NAME?</v>
      </c>
      <c r="B3059" s="100" t="e">
        <f ca="1">IFERROR(__xludf.DUMMYFUNCTION("""COMPUTED_VALUE"""),"KERNELUSDT")</f>
        <v>#NAME?</v>
      </c>
      <c r="C3059" s="100" t="e">
        <f ca="1">IFERROR(__xludf.DUMMYFUNCTION("""COMPUTED_VALUE"""),"0.18820000")</f>
        <v>#NAME?</v>
      </c>
      <c r="D3059" s="100" t="e">
        <f t="shared" ca="1" si="487"/>
        <v>#NAME?</v>
      </c>
      <c r="E3059" s="100" t="e">
        <f t="shared" ca="1" si="487"/>
        <v>#NAME?</v>
      </c>
      <c r="F3059" s="100" t="e">
        <f t="shared" ca="1" si="481"/>
        <v>#NAME?</v>
      </c>
      <c r="G3059" s="100" t="e">
        <f t="shared" ca="1" si="482"/>
        <v>#NAME?</v>
      </c>
      <c r="H3059" s="100" t="e">
        <f t="shared" ca="1" si="483"/>
        <v>#NAME?</v>
      </c>
      <c r="I3059" s="100" t="e">
        <f t="shared" ca="1" si="484"/>
        <v>#NAME?</v>
      </c>
      <c r="J3059" s="100" t="e">
        <f ca="1">IFERROR(__xludf.DUMMYFUNCTION("""COMPUTED_VALUE"""),"-4.175")</f>
        <v>#NAME?</v>
      </c>
      <c r="K3059" s="100" t="e">
        <f t="shared" ca="1" si="485"/>
        <v>#NAME?</v>
      </c>
      <c r="L3059" s="100"/>
      <c r="M3059" s="100"/>
      <c r="N3059" s="100"/>
      <c r="O3059" s="100"/>
      <c r="P3059" s="100"/>
      <c r="Q3059" s="100"/>
      <c r="R3059" s="100"/>
      <c r="S3059" s="100"/>
      <c r="T3059" s="100"/>
      <c r="U3059" s="100"/>
      <c r="V3059" s="100"/>
      <c r="W3059" s="100"/>
      <c r="X3059" s="100"/>
      <c r="Y3059" s="100"/>
      <c r="Z3059" s="100"/>
    </row>
    <row r="3060" spans="1:26">
      <c r="A3060" s="100" t="e">
        <f ca="1">IFERROR(__xludf.DUMMYFUNCTION("""COMPUTED_VALUE"""),58786395)</f>
        <v>#NAME?</v>
      </c>
      <c r="B3060" s="100" t="e">
        <f ca="1">IFERROR(__xludf.DUMMYFUNCTION("""COMPUTED_VALUE"""),"WCTTRY")</f>
        <v>#NAME?</v>
      </c>
      <c r="C3060" s="100" t="e">
        <f ca="1">IFERROR(__xludf.DUMMYFUNCTION("""COMPUTED_VALUE"""),"15.79000000")</f>
        <v>#NAME?</v>
      </c>
      <c r="D3060" s="100" t="e">
        <f t="shared" ca="1" si="487"/>
        <v>#NAME?</v>
      </c>
      <c r="E3060" s="100" t="e">
        <f t="shared" ca="1" si="487"/>
        <v>#NAME?</v>
      </c>
      <c r="F3060" s="100" t="e">
        <f t="shared" ca="1" si="481"/>
        <v>#NAME?</v>
      </c>
      <c r="G3060" s="100" t="e">
        <f t="shared" ca="1" si="482"/>
        <v>#NAME?</v>
      </c>
      <c r="H3060" s="100" t="e">
        <f t="shared" ca="1" si="483"/>
        <v>#NAME?</v>
      </c>
      <c r="I3060" s="100" t="e">
        <f t="shared" ca="1" si="484"/>
        <v>#NAME?</v>
      </c>
      <c r="J3060" s="100" t="e">
        <f ca="1">IFERROR(__xludf.DUMMYFUNCTION("""COMPUTED_VALUE"""),"-10.942")</f>
        <v>#NAME?</v>
      </c>
      <c r="K3060" s="100" t="e">
        <f t="shared" ca="1" si="485"/>
        <v>#NAME?</v>
      </c>
      <c r="L3060" s="100"/>
      <c r="M3060" s="100"/>
      <c r="N3060" s="100"/>
      <c r="O3060" s="100"/>
      <c r="P3060" s="100"/>
      <c r="Q3060" s="100"/>
      <c r="R3060" s="100"/>
      <c r="S3060" s="100"/>
      <c r="T3060" s="100"/>
      <c r="U3060" s="100"/>
      <c r="V3060" s="100"/>
      <c r="W3060" s="100"/>
      <c r="X3060" s="100"/>
      <c r="Y3060" s="100"/>
      <c r="Z3060" s="100"/>
    </row>
    <row r="3061" spans="1:26">
      <c r="A3061" s="100" t="e">
        <f ca="1">IFERROR(__xludf.DUMMYFUNCTION("""COMPUTED_VALUE"""),58786396)</f>
        <v>#NAME?</v>
      </c>
      <c r="B3061" s="100" t="e">
        <f ca="1">IFERROR(__xludf.DUMMYFUNCTION("""COMPUTED_VALUE"""),"WCTFDUSD")</f>
        <v>#NAME?</v>
      </c>
      <c r="C3061" s="100" t="e">
        <f ca="1">IFERROR(__xludf.DUMMYFUNCTION("""COMPUTED_VALUE"""),"0.41420000")</f>
        <v>#NAME?</v>
      </c>
      <c r="D3061" s="100" t="e">
        <f t="shared" ca="1" si="487"/>
        <v>#NAME?</v>
      </c>
      <c r="E3061" s="100" t="e">
        <f t="shared" ca="1" si="487"/>
        <v>#NAME?</v>
      </c>
      <c r="F3061" s="100" t="e">
        <f t="shared" ca="1" si="481"/>
        <v>#NAME?</v>
      </c>
      <c r="G3061" s="100" t="e">
        <f t="shared" ca="1" si="482"/>
        <v>#NAME?</v>
      </c>
      <c r="H3061" s="100" t="e">
        <f t="shared" ca="1" si="483"/>
        <v>#NAME?</v>
      </c>
      <c r="I3061" s="100" t="e">
        <f t="shared" ca="1" si="484"/>
        <v>#NAME?</v>
      </c>
      <c r="J3061" s="100" t="e">
        <f ca="1">IFERROR(__xludf.DUMMYFUNCTION("""COMPUTED_VALUE"""),"-10.714")</f>
        <v>#NAME?</v>
      </c>
      <c r="K3061" s="100" t="e">
        <f t="shared" ca="1" si="485"/>
        <v>#NAME?</v>
      </c>
      <c r="L3061" s="100"/>
      <c r="M3061" s="100"/>
      <c r="N3061" s="100"/>
      <c r="O3061" s="100"/>
      <c r="P3061" s="100"/>
      <c r="Q3061" s="100"/>
      <c r="R3061" s="100"/>
      <c r="S3061" s="100"/>
      <c r="T3061" s="100"/>
      <c r="U3061" s="100"/>
      <c r="V3061" s="100"/>
      <c r="W3061" s="100"/>
      <c r="X3061" s="100"/>
      <c r="Y3061" s="100"/>
      <c r="Z3061" s="100"/>
    </row>
    <row r="3062" spans="1:26">
      <c r="A3062" s="100" t="e">
        <f ca="1">IFERROR(__xludf.DUMMYFUNCTION("""COMPUTED_VALUE"""),58786397)</f>
        <v>#NAME?</v>
      </c>
      <c r="B3062" s="100" t="e">
        <f ca="1">IFERROR(__xludf.DUMMYFUNCTION("""COMPUTED_VALUE"""),"WCTBNB")</f>
        <v>#NAME?</v>
      </c>
      <c r="C3062" s="100" t="e">
        <f ca="1">IFERROR(__xludf.DUMMYFUNCTION("""COMPUTED_VALUE"""),"0.00068100")</f>
        <v>#NAME?</v>
      </c>
      <c r="D3062" s="100" t="e">
        <f t="shared" ref="D3062:E3069" ca="1" si="488">IFERROR(__xludf.DUMMYFUNCTION("""COMPUTED_VALUE"""),"-")</f>
        <v>#NAME?</v>
      </c>
      <c r="E3062" s="100" t="e">
        <f t="shared" ca="1" si="488"/>
        <v>#NAME?</v>
      </c>
      <c r="F3062" s="100" t="e">
        <f t="shared" ca="1" si="481"/>
        <v>#NAME?</v>
      </c>
      <c r="G3062" s="100" t="e">
        <f t="shared" ca="1" si="482"/>
        <v>#NAME?</v>
      </c>
      <c r="H3062" s="100" t="e">
        <f t="shared" ca="1" si="483"/>
        <v>#NAME?</v>
      </c>
      <c r="I3062" s="100" t="e">
        <f t="shared" ca="1" si="484"/>
        <v>#NAME?</v>
      </c>
      <c r="J3062" s="100" t="e">
        <f ca="1">IFERROR(__xludf.DUMMYFUNCTION("""COMPUTED_VALUE"""),"-11.108")</f>
        <v>#NAME?</v>
      </c>
      <c r="K3062" s="100" t="e">
        <f t="shared" ca="1" si="485"/>
        <v>#NAME?</v>
      </c>
      <c r="L3062" s="100"/>
      <c r="M3062" s="100"/>
      <c r="N3062" s="100"/>
      <c r="O3062" s="100"/>
      <c r="P3062" s="100"/>
      <c r="Q3062" s="100"/>
      <c r="R3062" s="100"/>
      <c r="S3062" s="100"/>
      <c r="T3062" s="100"/>
      <c r="U3062" s="100"/>
      <c r="V3062" s="100"/>
      <c r="W3062" s="100"/>
      <c r="X3062" s="100"/>
      <c r="Y3062" s="100"/>
      <c r="Z3062" s="100"/>
    </row>
    <row r="3063" spans="1:26">
      <c r="A3063" s="100" t="e">
        <f ca="1">IFERROR(__xludf.DUMMYFUNCTION("""COMPUTED_VALUE"""),58786398)</f>
        <v>#NAME?</v>
      </c>
      <c r="B3063" s="100" t="e">
        <f ca="1">IFERROR(__xludf.DUMMYFUNCTION("""COMPUTED_VALUE"""),"WCTUSDC")</f>
        <v>#NAME?</v>
      </c>
      <c r="C3063" s="100" t="e">
        <f ca="1">IFERROR(__xludf.DUMMYFUNCTION("""COMPUTED_VALUE"""),"0.41370000")</f>
        <v>#NAME?</v>
      </c>
      <c r="D3063" s="100" t="e">
        <f t="shared" ca="1" si="488"/>
        <v>#NAME?</v>
      </c>
      <c r="E3063" s="100" t="e">
        <f t="shared" ca="1" si="488"/>
        <v>#NAME?</v>
      </c>
      <c r="F3063" s="100" t="e">
        <f t="shared" ca="1" si="481"/>
        <v>#NAME?</v>
      </c>
      <c r="G3063" s="100" t="e">
        <f t="shared" ca="1" si="482"/>
        <v>#NAME?</v>
      </c>
      <c r="H3063" s="100" t="e">
        <f t="shared" ca="1" si="483"/>
        <v>#NAME?</v>
      </c>
      <c r="I3063" s="100" t="e">
        <f t="shared" ca="1" si="484"/>
        <v>#NAME?</v>
      </c>
      <c r="J3063" s="100" t="e">
        <f ca="1">IFERROR(__xludf.DUMMYFUNCTION("""COMPUTED_VALUE"""),"-10.744")</f>
        <v>#NAME?</v>
      </c>
      <c r="K3063" s="100" t="e">
        <f t="shared" ca="1" si="485"/>
        <v>#NAME?</v>
      </c>
      <c r="L3063" s="100"/>
      <c r="M3063" s="100"/>
      <c r="N3063" s="100"/>
      <c r="O3063" s="100"/>
      <c r="P3063" s="100"/>
      <c r="Q3063" s="100"/>
      <c r="R3063" s="100"/>
      <c r="S3063" s="100"/>
      <c r="T3063" s="100"/>
      <c r="U3063" s="100"/>
      <c r="V3063" s="100"/>
      <c r="W3063" s="100"/>
      <c r="X3063" s="100"/>
      <c r="Y3063" s="100"/>
      <c r="Z3063" s="100"/>
    </row>
    <row r="3064" spans="1:26">
      <c r="A3064" s="100" t="e">
        <f ca="1">IFERROR(__xludf.DUMMYFUNCTION("""COMPUTED_VALUE"""),58786399)</f>
        <v>#NAME?</v>
      </c>
      <c r="B3064" s="100" t="e">
        <f ca="1">IFERROR(__xludf.DUMMYFUNCTION("""COMPUTED_VALUE"""),"WCTUSDT")</f>
        <v>#NAME?</v>
      </c>
      <c r="C3064" s="100" t="e">
        <f ca="1">IFERROR(__xludf.DUMMYFUNCTION("""COMPUTED_VALUE"""),"0.41320000")</f>
        <v>#NAME?</v>
      </c>
      <c r="D3064" s="100" t="e">
        <f t="shared" ca="1" si="488"/>
        <v>#NAME?</v>
      </c>
      <c r="E3064" s="100" t="e">
        <f t="shared" ca="1" si="488"/>
        <v>#NAME?</v>
      </c>
      <c r="F3064" s="100" t="e">
        <f t="shared" ca="1" si="481"/>
        <v>#NAME?</v>
      </c>
      <c r="G3064" s="100" t="e">
        <f t="shared" ca="1" si="482"/>
        <v>#NAME?</v>
      </c>
      <c r="H3064" s="100" t="e">
        <f t="shared" ca="1" si="483"/>
        <v>#NAME?</v>
      </c>
      <c r="I3064" s="100" t="e">
        <f t="shared" ca="1" si="484"/>
        <v>#NAME?</v>
      </c>
      <c r="J3064" s="100" t="e">
        <f ca="1">IFERROR(__xludf.DUMMYFUNCTION("""COMPUTED_VALUE"""),"-10.833")</f>
        <v>#NAME?</v>
      </c>
      <c r="K3064" s="100" t="e">
        <f t="shared" ca="1" si="485"/>
        <v>#NAME?</v>
      </c>
      <c r="L3064" s="100"/>
      <c r="M3064" s="100"/>
      <c r="N3064" s="100"/>
      <c r="O3064" s="100"/>
      <c r="P3064" s="100"/>
      <c r="Q3064" s="100"/>
      <c r="R3064" s="100"/>
      <c r="S3064" s="100"/>
      <c r="T3064" s="100"/>
      <c r="U3064" s="100"/>
      <c r="V3064" s="100"/>
      <c r="W3064" s="100"/>
      <c r="X3064" s="100"/>
      <c r="Y3064" s="100"/>
      <c r="Z3064" s="100"/>
    </row>
    <row r="3065" spans="1:26">
      <c r="A3065" s="100" t="e">
        <f ca="1">IFERROR(__xludf.DUMMYFUNCTION("""COMPUTED_VALUE"""),58786400)</f>
        <v>#NAME?</v>
      </c>
      <c r="B3065" s="100" t="e">
        <f ca="1">IFERROR(__xludf.DUMMYFUNCTION("""COMPUTED_VALUE"""),"PAXGUSDC")</f>
        <v>#NAME?</v>
      </c>
      <c r="C3065" s="100" t="e">
        <f ca="1">IFERROR(__xludf.DUMMYFUNCTION("""COMPUTED_VALUE"""),"3476.00000000")</f>
        <v>#NAME?</v>
      </c>
      <c r="D3065" s="100" t="e">
        <f t="shared" ca="1" si="488"/>
        <v>#NAME?</v>
      </c>
      <c r="E3065" s="100" t="e">
        <f t="shared" ca="1" si="488"/>
        <v>#NAME?</v>
      </c>
      <c r="F3065" s="100" t="e">
        <f t="shared" ca="1" si="481"/>
        <v>#NAME?</v>
      </c>
      <c r="G3065" s="100" t="e">
        <f t="shared" ca="1" si="482"/>
        <v>#NAME?</v>
      </c>
      <c r="H3065" s="100" t="e">
        <f t="shared" ca="1" si="483"/>
        <v>#NAME?</v>
      </c>
      <c r="I3065" s="100" t="e">
        <f t="shared" ca="1" si="484"/>
        <v>#NAME?</v>
      </c>
      <c r="J3065" s="100" t="e">
        <f ca="1">IFERROR(__xludf.DUMMYFUNCTION("""COMPUTED_VALUE"""),"1.400")</f>
        <v>#NAME?</v>
      </c>
      <c r="K3065" s="100" t="e">
        <f t="shared" ca="1" si="485"/>
        <v>#NAME?</v>
      </c>
      <c r="L3065" s="100"/>
      <c r="M3065" s="100"/>
      <c r="N3065" s="100"/>
      <c r="O3065" s="100"/>
      <c r="P3065" s="100"/>
      <c r="Q3065" s="100"/>
      <c r="R3065" s="100"/>
      <c r="S3065" s="100"/>
      <c r="T3065" s="100"/>
      <c r="U3065" s="100"/>
      <c r="V3065" s="100"/>
      <c r="W3065" s="100"/>
      <c r="X3065" s="100"/>
      <c r="Y3065" s="100"/>
      <c r="Z3065" s="100"/>
    </row>
    <row r="3066" spans="1:26">
      <c r="A3066" s="100" t="e">
        <f ca="1">IFERROR(__xludf.DUMMYFUNCTION("""COMPUTED_VALUE"""),58786401)</f>
        <v>#NAME?</v>
      </c>
      <c r="B3066" s="100" t="e">
        <f ca="1">IFERROR(__xludf.DUMMYFUNCTION("""COMPUTED_VALUE"""),"ONDOTRY")</f>
        <v>#NAME?</v>
      </c>
      <c r="C3066" s="100" t="e">
        <f ca="1">IFERROR(__xludf.DUMMYFUNCTION("""COMPUTED_VALUE"""),"32.89000000")</f>
        <v>#NAME?</v>
      </c>
      <c r="D3066" s="100" t="e">
        <f t="shared" ca="1" si="488"/>
        <v>#NAME?</v>
      </c>
      <c r="E3066" s="100" t="e">
        <f t="shared" ca="1" si="488"/>
        <v>#NAME?</v>
      </c>
      <c r="F3066" s="100" t="e">
        <f t="shared" ca="1" si="481"/>
        <v>#NAME?</v>
      </c>
      <c r="G3066" s="100" t="e">
        <f t="shared" ca="1" si="482"/>
        <v>#NAME?</v>
      </c>
      <c r="H3066" s="100" t="e">
        <f t="shared" ca="1" si="483"/>
        <v>#NAME?</v>
      </c>
      <c r="I3066" s="100" t="e">
        <f t="shared" ca="1" si="484"/>
        <v>#NAME?</v>
      </c>
      <c r="J3066" s="100" t="e">
        <f ca="1">IFERROR(__xludf.DUMMYFUNCTION("""COMPUTED_VALUE"""),"-1.879")</f>
        <v>#NAME?</v>
      </c>
      <c r="K3066" s="100" t="e">
        <f t="shared" ca="1" si="485"/>
        <v>#NAME?</v>
      </c>
      <c r="L3066" s="100"/>
      <c r="M3066" s="100"/>
      <c r="N3066" s="100"/>
      <c r="O3066" s="100"/>
      <c r="P3066" s="100"/>
      <c r="Q3066" s="100"/>
      <c r="R3066" s="100"/>
      <c r="S3066" s="100"/>
      <c r="T3066" s="100"/>
      <c r="U3066" s="100"/>
      <c r="V3066" s="100"/>
      <c r="W3066" s="100"/>
      <c r="X3066" s="100"/>
      <c r="Y3066" s="100"/>
      <c r="Z3066" s="100"/>
    </row>
    <row r="3067" spans="1:26">
      <c r="A3067" s="100" t="e">
        <f ca="1">IFERROR(__xludf.DUMMYFUNCTION("""COMPUTED_VALUE"""),58786402)</f>
        <v>#NAME?</v>
      </c>
      <c r="B3067" s="100" t="e">
        <f ca="1">IFERROR(__xludf.DUMMYFUNCTION("""COMPUTED_VALUE"""),"BABYEUR")</f>
        <v>#NAME?</v>
      </c>
      <c r="C3067" s="100" t="e">
        <f ca="1">IFERROR(__xludf.DUMMYFUNCTION("""COMPUTED_VALUE"""),"0.07079000")</f>
        <v>#NAME?</v>
      </c>
      <c r="D3067" s="100" t="e">
        <f t="shared" ca="1" si="488"/>
        <v>#NAME?</v>
      </c>
      <c r="E3067" s="100" t="e">
        <f t="shared" ca="1" si="488"/>
        <v>#NAME?</v>
      </c>
      <c r="F3067" s="100" t="e">
        <f t="shared" ca="1" si="481"/>
        <v>#NAME?</v>
      </c>
      <c r="G3067" s="100" t="e">
        <f t="shared" ca="1" si="482"/>
        <v>#NAME?</v>
      </c>
      <c r="H3067" s="100" t="e">
        <f t="shared" ca="1" si="483"/>
        <v>#NAME?</v>
      </c>
      <c r="I3067" s="100" t="e">
        <f t="shared" ca="1" si="484"/>
        <v>#NAME?</v>
      </c>
      <c r="J3067" s="100" t="e">
        <f ca="1">IFERROR(__xludf.DUMMYFUNCTION("""COMPUTED_VALUE"""),"8.093")</f>
        <v>#NAME?</v>
      </c>
      <c r="K3067" s="100" t="e">
        <f t="shared" ca="1" si="485"/>
        <v>#NAME?</v>
      </c>
      <c r="L3067" s="100"/>
      <c r="M3067" s="100"/>
      <c r="N3067" s="100"/>
      <c r="O3067" s="100"/>
      <c r="P3067" s="100"/>
      <c r="Q3067" s="100"/>
      <c r="R3067" s="100"/>
      <c r="S3067" s="100"/>
      <c r="T3067" s="100"/>
      <c r="U3067" s="100"/>
      <c r="V3067" s="100"/>
      <c r="W3067" s="100"/>
      <c r="X3067" s="100"/>
      <c r="Y3067" s="100"/>
      <c r="Z3067" s="100"/>
    </row>
    <row r="3068" spans="1:26">
      <c r="A3068" s="100" t="e">
        <f ca="1">IFERROR(__xludf.DUMMYFUNCTION("""COMPUTED_VALUE"""),58786403)</f>
        <v>#NAME?</v>
      </c>
      <c r="B3068" s="100" t="e">
        <f ca="1">IFERROR(__xludf.DUMMYFUNCTION("""COMPUTED_VALUE"""),"ACHUSDC")</f>
        <v>#NAME?</v>
      </c>
      <c r="C3068" s="100" t="e">
        <f ca="1">IFERROR(__xludf.DUMMYFUNCTION("""COMPUTED_VALUE"""),"0.02607000")</f>
        <v>#NAME?</v>
      </c>
      <c r="D3068" s="100" t="e">
        <f t="shared" ca="1" si="488"/>
        <v>#NAME?</v>
      </c>
      <c r="E3068" s="100" t="e">
        <f t="shared" ca="1" si="488"/>
        <v>#NAME?</v>
      </c>
      <c r="F3068" s="100" t="e">
        <f t="shared" ca="1" si="481"/>
        <v>#NAME?</v>
      </c>
      <c r="G3068" s="100" t="e">
        <f t="shared" ca="1" si="482"/>
        <v>#NAME?</v>
      </c>
      <c r="H3068" s="100" t="e">
        <f t="shared" ca="1" si="483"/>
        <v>#NAME?</v>
      </c>
      <c r="I3068" s="100" t="e">
        <f t="shared" ca="1" si="484"/>
        <v>#NAME?</v>
      </c>
      <c r="J3068" s="100" t="e">
        <f ca="1">IFERROR(__xludf.DUMMYFUNCTION("""COMPUTED_VALUE"""),"2.275")</f>
        <v>#NAME?</v>
      </c>
      <c r="K3068" s="100" t="e">
        <f t="shared" ca="1" si="485"/>
        <v>#NAME?</v>
      </c>
      <c r="L3068" s="100"/>
      <c r="M3068" s="100"/>
      <c r="N3068" s="100"/>
      <c r="O3068" s="100"/>
      <c r="P3068" s="100"/>
      <c r="Q3068" s="100"/>
      <c r="R3068" s="100"/>
      <c r="S3068" s="100"/>
      <c r="T3068" s="100"/>
      <c r="U3068" s="100"/>
      <c r="V3068" s="100"/>
      <c r="W3068" s="100"/>
      <c r="X3068" s="100"/>
      <c r="Y3068" s="100"/>
      <c r="Z3068" s="100"/>
    </row>
    <row r="3069" spans="1:26">
      <c r="A3069" s="100" t="e">
        <f ca="1">IFERROR(__xludf.DUMMYFUNCTION("""COMPUTED_VALUE"""),58786404)</f>
        <v>#NAME?</v>
      </c>
      <c r="B3069" s="100" t="e">
        <f ca="1">IFERROR(__xludf.DUMMYFUNCTION("""COMPUTED_VALUE"""),"GMTUSDC")</f>
        <v>#NAME?</v>
      </c>
      <c r="C3069" s="100" t="e">
        <f ca="1">IFERROR(__xludf.DUMMYFUNCTION("""COMPUTED_VALUE"""),"0.06010000")</f>
        <v>#NAME?</v>
      </c>
      <c r="D3069" s="100" t="e">
        <f t="shared" ca="1" si="488"/>
        <v>#NAME?</v>
      </c>
      <c r="E3069" s="100" t="e">
        <f t="shared" ca="1" si="488"/>
        <v>#NAME?</v>
      </c>
      <c r="F3069" s="100" t="e">
        <f t="shared" ca="1" si="481"/>
        <v>#NAME?</v>
      </c>
      <c r="G3069" s="100" t="e">
        <f t="shared" ca="1" si="482"/>
        <v>#NAME?</v>
      </c>
      <c r="H3069" s="100" t="e">
        <f t="shared" ca="1" si="483"/>
        <v>#NAME?</v>
      </c>
      <c r="I3069" s="100" t="e">
        <f t="shared" ca="1" si="484"/>
        <v>#NAME?</v>
      </c>
      <c r="J3069" s="100" t="e">
        <f ca="1">IFERROR(__xludf.DUMMYFUNCTION("""COMPUTED_VALUE"""),"10.681")</f>
        <v>#NAME?</v>
      </c>
      <c r="K3069" s="100" t="e">
        <f t="shared" ca="1" si="485"/>
        <v>#NAME?</v>
      </c>
      <c r="L3069" s="100"/>
      <c r="M3069" s="100"/>
      <c r="N3069" s="100"/>
      <c r="O3069" s="100"/>
      <c r="P3069" s="100"/>
      <c r="Q3069" s="100"/>
      <c r="R3069" s="100"/>
      <c r="S3069" s="100"/>
      <c r="T3069" s="100"/>
      <c r="U3069" s="100"/>
      <c r="V3069" s="100"/>
      <c r="W3069" s="100"/>
      <c r="X3069" s="100"/>
      <c r="Y3069" s="100"/>
      <c r="Z3069" s="100"/>
    </row>
    <row r="3070" spans="1:26">
      <c r="A3070" s="100"/>
      <c r="B3070" s="100"/>
      <c r="C3070" s="100"/>
      <c r="D3070" s="100"/>
      <c r="E3070" s="100"/>
      <c r="F3070" s="100"/>
      <c r="G3070" s="100"/>
      <c r="H3070" s="100"/>
      <c r="I3070" s="100"/>
      <c r="J3070" s="100"/>
      <c r="K3070" s="100"/>
      <c r="L3070" s="100"/>
      <c r="M3070" s="100"/>
      <c r="N3070" s="100"/>
      <c r="O3070" s="100"/>
      <c r="P3070" s="100"/>
      <c r="Q3070" s="100"/>
      <c r="R3070" s="100"/>
      <c r="S3070" s="100"/>
      <c r="T3070" s="100"/>
      <c r="U3070" s="100"/>
      <c r="V3070" s="100"/>
      <c r="W3070" s="100"/>
      <c r="X3070" s="100"/>
      <c r="Y3070" s="100"/>
      <c r="Z3070" s="100"/>
    </row>
    <row r="3071" spans="1:26">
      <c r="A3071" s="100"/>
      <c r="B3071" s="100"/>
      <c r="C3071" s="100"/>
      <c r="D3071" s="100"/>
      <c r="E3071" s="100"/>
      <c r="F3071" s="100"/>
      <c r="G3071" s="100"/>
      <c r="H3071" s="100"/>
      <c r="I3071" s="100"/>
      <c r="J3071" s="100"/>
      <c r="K3071" s="100"/>
      <c r="L3071" s="100"/>
      <c r="M3071" s="100"/>
      <c r="N3071" s="100"/>
      <c r="O3071" s="100"/>
      <c r="P3071" s="100"/>
      <c r="Q3071" s="100"/>
      <c r="R3071" s="100"/>
      <c r="S3071" s="100"/>
      <c r="T3071" s="100"/>
      <c r="U3071" s="100"/>
      <c r="V3071" s="100"/>
      <c r="W3071" s="100"/>
      <c r="X3071" s="100"/>
      <c r="Y3071" s="100"/>
      <c r="Z3071" s="100"/>
    </row>
    <row r="3072" spans="1:26">
      <c r="A3072" s="100"/>
      <c r="B3072" s="100"/>
      <c r="C3072" s="100"/>
      <c r="D3072" s="100"/>
      <c r="E3072" s="100"/>
      <c r="F3072" s="100"/>
      <c r="G3072" s="100"/>
      <c r="H3072" s="100"/>
      <c r="I3072" s="100"/>
      <c r="J3072" s="100"/>
      <c r="K3072" s="100"/>
      <c r="L3072" s="100"/>
      <c r="M3072" s="100"/>
      <c r="N3072" s="100"/>
      <c r="O3072" s="100"/>
      <c r="P3072" s="100"/>
      <c r="Q3072" s="100"/>
      <c r="R3072" s="100"/>
      <c r="S3072" s="100"/>
      <c r="T3072" s="100"/>
      <c r="U3072" s="100"/>
      <c r="V3072" s="100"/>
      <c r="W3072" s="100"/>
      <c r="X3072" s="100"/>
      <c r="Y3072" s="100"/>
      <c r="Z3072" s="100"/>
    </row>
    <row r="3073" spans="1:26">
      <c r="A3073" s="100"/>
      <c r="B3073" s="100"/>
      <c r="C3073" s="100"/>
      <c r="D3073" s="100"/>
      <c r="E3073" s="100"/>
      <c r="F3073" s="100"/>
      <c r="G3073" s="100"/>
      <c r="H3073" s="100"/>
      <c r="I3073" s="100"/>
      <c r="J3073" s="100"/>
      <c r="K3073" s="100"/>
      <c r="L3073" s="100"/>
      <c r="M3073" s="100"/>
      <c r="N3073" s="100"/>
      <c r="O3073" s="100"/>
      <c r="P3073" s="100"/>
      <c r="Q3073" s="100"/>
      <c r="R3073" s="100"/>
      <c r="S3073" s="100"/>
      <c r="T3073" s="100"/>
      <c r="U3073" s="100"/>
      <c r="V3073" s="100"/>
      <c r="W3073" s="100"/>
      <c r="X3073" s="100"/>
      <c r="Y3073" s="100"/>
      <c r="Z3073" s="100"/>
    </row>
    <row r="3074" spans="1:26">
      <c r="A3074" s="100"/>
      <c r="B3074" s="100"/>
      <c r="C3074" s="100"/>
      <c r="D3074" s="100"/>
      <c r="E3074" s="100"/>
      <c r="F3074" s="100"/>
      <c r="G3074" s="100"/>
      <c r="H3074" s="100"/>
      <c r="I3074" s="100"/>
      <c r="J3074" s="100"/>
      <c r="K3074" s="100"/>
      <c r="L3074" s="100"/>
      <c r="M3074" s="100"/>
      <c r="N3074" s="100"/>
      <c r="O3074" s="100"/>
      <c r="P3074" s="100"/>
      <c r="Q3074" s="100"/>
      <c r="R3074" s="100"/>
      <c r="S3074" s="100"/>
      <c r="T3074" s="100"/>
      <c r="U3074" s="100"/>
      <c r="V3074" s="100"/>
      <c r="W3074" s="100"/>
      <c r="X3074" s="100"/>
      <c r="Y3074" s="100"/>
      <c r="Z3074" s="100"/>
    </row>
    <row r="3075" spans="1:26">
      <c r="A3075" s="100"/>
      <c r="B3075" s="100"/>
      <c r="C3075" s="100"/>
      <c r="D3075" s="100"/>
      <c r="E3075" s="100"/>
      <c r="F3075" s="100"/>
      <c r="G3075" s="100"/>
      <c r="H3075" s="100"/>
      <c r="I3075" s="100"/>
      <c r="J3075" s="100"/>
      <c r="K3075" s="100"/>
      <c r="L3075" s="100"/>
      <c r="M3075" s="100"/>
      <c r="N3075" s="100"/>
      <c r="O3075" s="100"/>
      <c r="P3075" s="100"/>
      <c r="Q3075" s="100"/>
      <c r="R3075" s="100"/>
      <c r="S3075" s="100"/>
      <c r="T3075" s="100"/>
      <c r="U3075" s="100"/>
      <c r="V3075" s="100"/>
      <c r="W3075" s="100"/>
      <c r="X3075" s="100"/>
      <c r="Y3075" s="100"/>
      <c r="Z3075" s="100"/>
    </row>
    <row r="3076" spans="1:26">
      <c r="A3076" s="100"/>
      <c r="B3076" s="100"/>
      <c r="C3076" s="100"/>
      <c r="D3076" s="100"/>
      <c r="E3076" s="100"/>
      <c r="F3076" s="100"/>
      <c r="G3076" s="100"/>
      <c r="H3076" s="100"/>
      <c r="I3076" s="100"/>
      <c r="J3076" s="100"/>
      <c r="K3076" s="100"/>
      <c r="L3076" s="100"/>
      <c r="M3076" s="100"/>
      <c r="N3076" s="100"/>
      <c r="O3076" s="100"/>
      <c r="P3076" s="100"/>
      <c r="Q3076" s="100"/>
      <c r="R3076" s="100"/>
      <c r="S3076" s="100"/>
      <c r="T3076" s="100"/>
      <c r="U3076" s="100"/>
      <c r="V3076" s="100"/>
      <c r="W3076" s="100"/>
      <c r="X3076" s="100"/>
      <c r="Y3076" s="100"/>
      <c r="Z3076" s="100"/>
    </row>
    <row r="3077" spans="1:26">
      <c r="A3077" s="100"/>
      <c r="B3077" s="100"/>
      <c r="C3077" s="100"/>
      <c r="D3077" s="100"/>
      <c r="E3077" s="100"/>
      <c r="F3077" s="100"/>
      <c r="G3077" s="100"/>
      <c r="H3077" s="100"/>
      <c r="I3077" s="100"/>
      <c r="J3077" s="100"/>
      <c r="K3077" s="100"/>
      <c r="L3077" s="100"/>
      <c r="M3077" s="100"/>
      <c r="N3077" s="100"/>
      <c r="O3077" s="100"/>
      <c r="P3077" s="100"/>
      <c r="Q3077" s="100"/>
      <c r="R3077" s="100"/>
      <c r="S3077" s="100"/>
      <c r="T3077" s="100"/>
      <c r="U3077" s="100"/>
      <c r="V3077" s="100"/>
      <c r="W3077" s="100"/>
      <c r="X3077" s="100"/>
      <c r="Y3077" s="100"/>
      <c r="Z3077" s="100"/>
    </row>
    <row r="3078" spans="1:26">
      <c r="A3078" s="100"/>
      <c r="B3078" s="100"/>
      <c r="C3078" s="100"/>
      <c r="D3078" s="100"/>
      <c r="E3078" s="100"/>
      <c r="F3078" s="100"/>
      <c r="G3078" s="100"/>
      <c r="H3078" s="100"/>
      <c r="I3078" s="100"/>
      <c r="J3078" s="100"/>
      <c r="K3078" s="100"/>
      <c r="L3078" s="100"/>
      <c r="M3078" s="100"/>
      <c r="N3078" s="100"/>
      <c r="O3078" s="100"/>
      <c r="P3078" s="100"/>
      <c r="Q3078" s="100"/>
      <c r="R3078" s="100"/>
      <c r="S3078" s="100"/>
      <c r="T3078" s="100"/>
      <c r="U3078" s="100"/>
      <c r="V3078" s="100"/>
      <c r="W3078" s="100"/>
      <c r="X3078" s="100"/>
      <c r="Y3078" s="100"/>
      <c r="Z3078" s="100"/>
    </row>
    <row r="3079" spans="1:26">
      <c r="A3079" s="100"/>
      <c r="B3079" s="100"/>
      <c r="C3079" s="100"/>
      <c r="D3079" s="100"/>
      <c r="E3079" s="100"/>
      <c r="F3079" s="100"/>
      <c r="G3079" s="100"/>
      <c r="H3079" s="100"/>
      <c r="I3079" s="100"/>
      <c r="J3079" s="100"/>
      <c r="K3079" s="100"/>
      <c r="L3079" s="100"/>
      <c r="M3079" s="100"/>
      <c r="N3079" s="100"/>
      <c r="O3079" s="100"/>
      <c r="P3079" s="100"/>
      <c r="Q3079" s="100"/>
      <c r="R3079" s="100"/>
      <c r="S3079" s="100"/>
      <c r="T3079" s="100"/>
      <c r="U3079" s="100"/>
      <c r="V3079" s="100"/>
      <c r="W3079" s="100"/>
      <c r="X3079" s="100"/>
      <c r="Y3079" s="100"/>
      <c r="Z3079" s="100"/>
    </row>
    <row r="3080" spans="1:26">
      <c r="A3080" s="100"/>
      <c r="B3080" s="100"/>
      <c r="C3080" s="100"/>
      <c r="D3080" s="100"/>
      <c r="E3080" s="100"/>
      <c r="F3080" s="100"/>
      <c r="G3080" s="100"/>
      <c r="H3080" s="100"/>
      <c r="I3080" s="100"/>
      <c r="J3080" s="100"/>
      <c r="K3080" s="100"/>
      <c r="L3080" s="100"/>
      <c r="M3080" s="100"/>
      <c r="N3080" s="100"/>
      <c r="O3080" s="100"/>
      <c r="P3080" s="100"/>
      <c r="Q3080" s="100"/>
      <c r="R3080" s="100"/>
      <c r="S3080" s="100"/>
      <c r="T3080" s="100"/>
      <c r="U3080" s="100"/>
      <c r="V3080" s="100"/>
      <c r="W3080" s="100"/>
      <c r="X3080" s="100"/>
      <c r="Y3080" s="100"/>
      <c r="Z3080" s="100"/>
    </row>
    <row r="3081" spans="1:26">
      <c r="A3081" s="100"/>
      <c r="B3081" s="100"/>
      <c r="C3081" s="100"/>
      <c r="D3081" s="100"/>
      <c r="E3081" s="100"/>
      <c r="F3081" s="100"/>
      <c r="G3081" s="100"/>
      <c r="H3081" s="100"/>
      <c r="I3081" s="100"/>
      <c r="J3081" s="100"/>
      <c r="K3081" s="100"/>
      <c r="L3081" s="100"/>
      <c r="M3081" s="100"/>
      <c r="N3081" s="100"/>
      <c r="O3081" s="100"/>
      <c r="P3081" s="100"/>
      <c r="Q3081" s="100"/>
      <c r="R3081" s="100"/>
      <c r="S3081" s="100"/>
      <c r="T3081" s="100"/>
      <c r="U3081" s="100"/>
      <c r="V3081" s="100"/>
      <c r="W3081" s="100"/>
      <c r="X3081" s="100"/>
      <c r="Y3081" s="100"/>
      <c r="Z3081" s="100"/>
    </row>
    <row r="3082" spans="1:26">
      <c r="A3082" s="100"/>
      <c r="B3082" s="100"/>
      <c r="C3082" s="100"/>
      <c r="D3082" s="100"/>
      <c r="E3082" s="100"/>
      <c r="F3082" s="100"/>
      <c r="G3082" s="100"/>
      <c r="H3082" s="100"/>
      <c r="I3082" s="100"/>
      <c r="J3082" s="100"/>
      <c r="K3082" s="100"/>
      <c r="L3082" s="100"/>
      <c r="M3082" s="100"/>
      <c r="N3082" s="100"/>
      <c r="O3082" s="100"/>
      <c r="P3082" s="100"/>
      <c r="Q3082" s="100"/>
      <c r="R3082" s="100"/>
      <c r="S3082" s="100"/>
      <c r="T3082" s="100"/>
      <c r="U3082" s="100"/>
      <c r="V3082" s="100"/>
      <c r="W3082" s="100"/>
      <c r="X3082" s="100"/>
      <c r="Y3082" s="100"/>
      <c r="Z3082" s="100"/>
    </row>
    <row r="3083" spans="1:26">
      <c r="A3083" s="100"/>
      <c r="B3083" s="100"/>
      <c r="C3083" s="100"/>
      <c r="D3083" s="100"/>
      <c r="E3083" s="100"/>
      <c r="F3083" s="100"/>
      <c r="G3083" s="100"/>
      <c r="H3083" s="100"/>
      <c r="I3083" s="100"/>
      <c r="J3083" s="100"/>
      <c r="K3083" s="100"/>
      <c r="L3083" s="100"/>
      <c r="M3083" s="100"/>
      <c r="N3083" s="100"/>
      <c r="O3083" s="100"/>
      <c r="P3083" s="100"/>
      <c r="Q3083" s="100"/>
      <c r="R3083" s="100"/>
      <c r="S3083" s="100"/>
      <c r="T3083" s="100"/>
      <c r="U3083" s="100"/>
      <c r="V3083" s="100"/>
      <c r="W3083" s="100"/>
      <c r="X3083" s="100"/>
      <c r="Y3083" s="100"/>
      <c r="Z3083" s="100"/>
    </row>
    <row r="3084" spans="1:26">
      <c r="A3084" s="100"/>
      <c r="B3084" s="100"/>
      <c r="C3084" s="100"/>
      <c r="D3084" s="100"/>
      <c r="E3084" s="100"/>
      <c r="F3084" s="100"/>
      <c r="G3084" s="100"/>
      <c r="H3084" s="100"/>
      <c r="I3084" s="100"/>
      <c r="J3084" s="100"/>
      <c r="K3084" s="100"/>
      <c r="L3084" s="100"/>
      <c r="M3084" s="100"/>
      <c r="N3084" s="100"/>
      <c r="O3084" s="100"/>
      <c r="P3084" s="100"/>
      <c r="Q3084" s="100"/>
      <c r="R3084" s="100"/>
      <c r="S3084" s="100"/>
      <c r="T3084" s="100"/>
      <c r="U3084" s="100"/>
      <c r="V3084" s="100"/>
      <c r="W3084" s="100"/>
      <c r="X3084" s="100"/>
      <c r="Y3084" s="100"/>
      <c r="Z3084" s="100"/>
    </row>
    <row r="3085" spans="1:26">
      <c r="A3085" s="100"/>
      <c r="B3085" s="100"/>
      <c r="C3085" s="100"/>
      <c r="D3085" s="100"/>
      <c r="E3085" s="100"/>
      <c r="F3085" s="100"/>
      <c r="G3085" s="100"/>
      <c r="H3085" s="100"/>
      <c r="I3085" s="100"/>
      <c r="J3085" s="100"/>
      <c r="K3085" s="100"/>
      <c r="L3085" s="100"/>
      <c r="M3085" s="100"/>
      <c r="N3085" s="100"/>
      <c r="O3085" s="100"/>
      <c r="P3085" s="100"/>
      <c r="Q3085" s="100"/>
      <c r="R3085" s="100"/>
      <c r="S3085" s="100"/>
      <c r="T3085" s="100"/>
      <c r="U3085" s="100"/>
      <c r="V3085" s="100"/>
      <c r="W3085" s="100"/>
      <c r="X3085" s="100"/>
      <c r="Y3085" s="100"/>
      <c r="Z3085" s="100"/>
    </row>
    <row r="3086" spans="1:26">
      <c r="A3086" s="100"/>
      <c r="B3086" s="100"/>
      <c r="C3086" s="100"/>
      <c r="D3086" s="100"/>
      <c r="E3086" s="100"/>
      <c r="F3086" s="100"/>
      <c r="G3086" s="100"/>
      <c r="H3086" s="100"/>
      <c r="I3086" s="100"/>
      <c r="J3086" s="100"/>
      <c r="K3086" s="100"/>
      <c r="L3086" s="100"/>
      <c r="M3086" s="100"/>
      <c r="N3086" s="100"/>
      <c r="O3086" s="100"/>
      <c r="P3086" s="100"/>
      <c r="Q3086" s="100"/>
      <c r="R3086" s="100"/>
      <c r="S3086" s="100"/>
      <c r="T3086" s="100"/>
      <c r="U3086" s="100"/>
      <c r="V3086" s="100"/>
      <c r="W3086" s="100"/>
      <c r="X3086" s="100"/>
      <c r="Y3086" s="100"/>
      <c r="Z3086" s="100"/>
    </row>
    <row r="3087" spans="1:26">
      <c r="A3087" s="100"/>
      <c r="B3087" s="100"/>
      <c r="C3087" s="100"/>
      <c r="D3087" s="100"/>
      <c r="E3087" s="100"/>
      <c r="F3087" s="100"/>
      <c r="G3087" s="100"/>
      <c r="H3087" s="100"/>
      <c r="I3087" s="100"/>
      <c r="J3087" s="100"/>
      <c r="K3087" s="100"/>
      <c r="L3087" s="100"/>
      <c r="M3087" s="100"/>
      <c r="N3087" s="100"/>
      <c r="O3087" s="100"/>
      <c r="P3087" s="100"/>
      <c r="Q3087" s="100"/>
      <c r="R3087" s="100"/>
      <c r="S3087" s="100"/>
      <c r="T3087" s="100"/>
      <c r="U3087" s="100"/>
      <c r="V3087" s="100"/>
      <c r="W3087" s="100"/>
      <c r="X3087" s="100"/>
      <c r="Y3087" s="100"/>
      <c r="Z3087" s="100"/>
    </row>
    <row r="3088" spans="1:26">
      <c r="A3088" s="100"/>
      <c r="B3088" s="100"/>
      <c r="C3088" s="100"/>
      <c r="D3088" s="100"/>
      <c r="E3088" s="100"/>
      <c r="F3088" s="100"/>
      <c r="G3088" s="100"/>
      <c r="H3088" s="100"/>
      <c r="I3088" s="100"/>
      <c r="J3088" s="100"/>
      <c r="K3088" s="100"/>
      <c r="L3088" s="100"/>
      <c r="M3088" s="100"/>
      <c r="N3088" s="100"/>
      <c r="O3088" s="100"/>
      <c r="P3088" s="100"/>
      <c r="Q3088" s="100"/>
      <c r="R3088" s="100"/>
      <c r="S3088" s="100"/>
      <c r="T3088" s="100"/>
      <c r="U3088" s="100"/>
      <c r="V3088" s="100"/>
      <c r="W3088" s="100"/>
      <c r="X3088" s="100"/>
      <c r="Y3088" s="100"/>
      <c r="Z3088" s="100"/>
    </row>
    <row r="3089" spans="1:26">
      <c r="A3089" s="100"/>
      <c r="B3089" s="100"/>
      <c r="C3089" s="100"/>
      <c r="D3089" s="100"/>
      <c r="E3089" s="100"/>
      <c r="F3089" s="100"/>
      <c r="G3089" s="100"/>
      <c r="H3089" s="100"/>
      <c r="I3089" s="100"/>
      <c r="J3089" s="100"/>
      <c r="K3089" s="100"/>
      <c r="L3089" s="100"/>
      <c r="M3089" s="100"/>
      <c r="N3089" s="100"/>
      <c r="O3089" s="100"/>
      <c r="P3089" s="100"/>
      <c r="Q3089" s="100"/>
      <c r="R3089" s="100"/>
      <c r="S3089" s="100"/>
      <c r="T3089" s="100"/>
      <c r="U3089" s="100"/>
      <c r="V3089" s="100"/>
      <c r="W3089" s="100"/>
      <c r="X3089" s="100"/>
      <c r="Y3089" s="100"/>
      <c r="Z3089" s="100"/>
    </row>
    <row r="3090" spans="1:26">
      <c r="A3090" s="100"/>
      <c r="B3090" s="100"/>
      <c r="C3090" s="100"/>
      <c r="D3090" s="100"/>
      <c r="E3090" s="100"/>
      <c r="F3090" s="100"/>
      <c r="G3090" s="100"/>
      <c r="H3090" s="100"/>
      <c r="I3090" s="100"/>
      <c r="J3090" s="100"/>
      <c r="K3090" s="100"/>
      <c r="L3090" s="100"/>
      <c r="M3090" s="100"/>
      <c r="N3090" s="100"/>
      <c r="O3090" s="100"/>
      <c r="P3090" s="100"/>
      <c r="Q3090" s="100"/>
      <c r="R3090" s="100"/>
      <c r="S3090" s="100"/>
      <c r="T3090" s="100"/>
      <c r="U3090" s="100"/>
      <c r="V3090" s="100"/>
      <c r="W3090" s="100"/>
      <c r="X3090" s="100"/>
      <c r="Y3090" s="100"/>
      <c r="Z3090" s="100"/>
    </row>
    <row r="3091" spans="1:26">
      <c r="A3091" s="100"/>
      <c r="B3091" s="100"/>
      <c r="C3091" s="100"/>
      <c r="D3091" s="100"/>
      <c r="E3091" s="100"/>
      <c r="F3091" s="100"/>
      <c r="G3091" s="100"/>
      <c r="H3091" s="100"/>
      <c r="I3091" s="100"/>
      <c r="J3091" s="100"/>
      <c r="K3091" s="100"/>
      <c r="L3091" s="100"/>
      <c r="M3091" s="100"/>
      <c r="N3091" s="100"/>
      <c r="O3091" s="100"/>
      <c r="P3091" s="100"/>
      <c r="Q3091" s="100"/>
      <c r="R3091" s="100"/>
      <c r="S3091" s="100"/>
      <c r="T3091" s="100"/>
      <c r="U3091" s="100"/>
      <c r="V3091" s="100"/>
      <c r="W3091" s="100"/>
      <c r="X3091" s="100"/>
      <c r="Y3091" s="100"/>
      <c r="Z3091" s="100"/>
    </row>
    <row r="3092" spans="1:26">
      <c r="A3092" s="100"/>
      <c r="B3092" s="100"/>
      <c r="C3092" s="100"/>
      <c r="D3092" s="100"/>
      <c r="E3092" s="100"/>
      <c r="F3092" s="100"/>
      <c r="G3092" s="100"/>
      <c r="H3092" s="100"/>
      <c r="I3092" s="100"/>
      <c r="J3092" s="100"/>
      <c r="K3092" s="100"/>
      <c r="L3092" s="100"/>
      <c r="M3092" s="100"/>
      <c r="N3092" s="100"/>
      <c r="O3092" s="100"/>
      <c r="P3092" s="100"/>
      <c r="Q3092" s="100"/>
      <c r="R3092" s="100"/>
      <c r="S3092" s="100"/>
      <c r="T3092" s="100"/>
      <c r="U3092" s="100"/>
      <c r="V3092" s="100"/>
      <c r="W3092" s="100"/>
      <c r="X3092" s="100"/>
      <c r="Y3092" s="100"/>
      <c r="Z3092" s="100"/>
    </row>
    <row r="3093" spans="1:26">
      <c r="A3093" s="100"/>
      <c r="B3093" s="100"/>
      <c r="C3093" s="100"/>
      <c r="D3093" s="100"/>
      <c r="E3093" s="100"/>
      <c r="F3093" s="100"/>
      <c r="G3093" s="100"/>
      <c r="H3093" s="100"/>
      <c r="I3093" s="100"/>
      <c r="J3093" s="100"/>
      <c r="K3093" s="100"/>
      <c r="L3093" s="100"/>
      <c r="M3093" s="100"/>
      <c r="N3093" s="100"/>
      <c r="O3093" s="100"/>
      <c r="P3093" s="100"/>
      <c r="Q3093" s="100"/>
      <c r="R3093" s="100"/>
      <c r="S3093" s="100"/>
      <c r="T3093" s="100"/>
      <c r="U3093" s="100"/>
      <c r="V3093" s="100"/>
      <c r="W3093" s="100"/>
      <c r="X3093" s="100"/>
      <c r="Y3093" s="100"/>
      <c r="Z3093" s="100"/>
    </row>
    <row r="3094" spans="1:26">
      <c r="A3094" s="100"/>
      <c r="B3094" s="100"/>
      <c r="C3094" s="100"/>
      <c r="D3094" s="100"/>
      <c r="E3094" s="100"/>
      <c r="F3094" s="100"/>
      <c r="G3094" s="100"/>
      <c r="H3094" s="100"/>
      <c r="I3094" s="100"/>
      <c r="J3094" s="100"/>
      <c r="K3094" s="100"/>
      <c r="L3094" s="100"/>
      <c r="M3094" s="100"/>
      <c r="N3094" s="100"/>
      <c r="O3094" s="100"/>
      <c r="P3094" s="100"/>
      <c r="Q3094" s="100"/>
      <c r="R3094" s="100"/>
      <c r="S3094" s="100"/>
      <c r="T3094" s="100"/>
      <c r="U3094" s="100"/>
      <c r="V3094" s="100"/>
      <c r="W3094" s="100"/>
      <c r="X3094" s="100"/>
      <c r="Y3094" s="100"/>
      <c r="Z3094" s="100"/>
    </row>
    <row r="3095" spans="1:26">
      <c r="A3095" s="100"/>
      <c r="B3095" s="100"/>
      <c r="C3095" s="100"/>
      <c r="D3095" s="100"/>
      <c r="E3095" s="100"/>
      <c r="F3095" s="100"/>
      <c r="G3095" s="100"/>
      <c r="H3095" s="100"/>
      <c r="I3095" s="100"/>
      <c r="J3095" s="100"/>
      <c r="K3095" s="100"/>
      <c r="L3095" s="100"/>
      <c r="M3095" s="100"/>
      <c r="N3095" s="100"/>
      <c r="O3095" s="100"/>
      <c r="P3095" s="100"/>
      <c r="Q3095" s="100"/>
      <c r="R3095" s="100"/>
      <c r="S3095" s="100"/>
      <c r="T3095" s="100"/>
      <c r="U3095" s="100"/>
      <c r="V3095" s="100"/>
      <c r="W3095" s="100"/>
      <c r="X3095" s="100"/>
      <c r="Y3095" s="100"/>
      <c r="Z3095" s="100"/>
    </row>
    <row r="3096" spans="1:26">
      <c r="A3096" s="100"/>
      <c r="B3096" s="100"/>
      <c r="C3096" s="100"/>
      <c r="D3096" s="100"/>
      <c r="E3096" s="100"/>
      <c r="F3096" s="100"/>
      <c r="G3096" s="100"/>
      <c r="H3096" s="100"/>
      <c r="I3096" s="100"/>
      <c r="J3096" s="100"/>
      <c r="K3096" s="100"/>
      <c r="L3096" s="100"/>
      <c r="M3096" s="100"/>
      <c r="N3096" s="100"/>
      <c r="O3096" s="100"/>
      <c r="P3096" s="100"/>
      <c r="Q3096" s="100"/>
      <c r="R3096" s="100"/>
      <c r="S3096" s="100"/>
      <c r="T3096" s="100"/>
      <c r="U3096" s="100"/>
      <c r="V3096" s="100"/>
      <c r="W3096" s="100"/>
      <c r="X3096" s="100"/>
      <c r="Y3096" s="100"/>
      <c r="Z3096" s="100"/>
    </row>
    <row r="3097" spans="1:26">
      <c r="A3097" s="100"/>
      <c r="B3097" s="100"/>
      <c r="C3097" s="100"/>
      <c r="D3097" s="100"/>
      <c r="E3097" s="100"/>
      <c r="F3097" s="100"/>
      <c r="G3097" s="100"/>
      <c r="H3097" s="100"/>
      <c r="I3097" s="100"/>
      <c r="J3097" s="100"/>
      <c r="K3097" s="100"/>
      <c r="L3097" s="100"/>
      <c r="M3097" s="100"/>
      <c r="N3097" s="100"/>
      <c r="O3097" s="100"/>
      <c r="P3097" s="100"/>
      <c r="Q3097" s="100"/>
      <c r="R3097" s="100"/>
      <c r="S3097" s="100"/>
      <c r="T3097" s="100"/>
      <c r="U3097" s="100"/>
      <c r="V3097" s="100"/>
      <c r="W3097" s="100"/>
      <c r="X3097" s="100"/>
      <c r="Y3097" s="100"/>
      <c r="Z3097" s="100"/>
    </row>
    <row r="3098" spans="1:26">
      <c r="A3098" s="100"/>
      <c r="B3098" s="100"/>
      <c r="C3098" s="100"/>
      <c r="D3098" s="100"/>
      <c r="E3098" s="100"/>
      <c r="F3098" s="100"/>
      <c r="G3098" s="100"/>
      <c r="H3098" s="100"/>
      <c r="I3098" s="100"/>
      <c r="J3098" s="100"/>
      <c r="K3098" s="100"/>
      <c r="L3098" s="100"/>
      <c r="M3098" s="100"/>
      <c r="N3098" s="100"/>
      <c r="O3098" s="100"/>
      <c r="P3098" s="100"/>
      <c r="Q3098" s="100"/>
      <c r="R3098" s="100"/>
      <c r="S3098" s="100"/>
      <c r="T3098" s="100"/>
      <c r="U3098" s="100"/>
      <c r="V3098" s="100"/>
      <c r="W3098" s="100"/>
      <c r="X3098" s="100"/>
      <c r="Y3098" s="100"/>
      <c r="Z3098" s="100"/>
    </row>
    <row r="3099" spans="1:26">
      <c r="A3099" s="100"/>
      <c r="B3099" s="100"/>
      <c r="C3099" s="100"/>
      <c r="D3099" s="100"/>
      <c r="E3099" s="100"/>
      <c r="F3099" s="100"/>
      <c r="G3099" s="100"/>
      <c r="H3099" s="100"/>
      <c r="I3099" s="100"/>
      <c r="J3099" s="100"/>
      <c r="K3099" s="100"/>
      <c r="L3099" s="100"/>
      <c r="M3099" s="100"/>
      <c r="N3099" s="100"/>
      <c r="O3099" s="100"/>
      <c r="P3099" s="100"/>
      <c r="Q3099" s="100"/>
      <c r="R3099" s="100"/>
      <c r="S3099" s="100"/>
      <c r="T3099" s="100"/>
      <c r="U3099" s="100"/>
      <c r="V3099" s="100"/>
      <c r="W3099" s="100"/>
      <c r="X3099" s="100"/>
      <c r="Y3099" s="100"/>
      <c r="Z3099" s="100"/>
    </row>
    <row r="3100" spans="1:26">
      <c r="A3100" s="100"/>
      <c r="B3100" s="100"/>
      <c r="C3100" s="100"/>
      <c r="D3100" s="100"/>
      <c r="E3100" s="100"/>
      <c r="F3100" s="100"/>
      <c r="G3100" s="100"/>
      <c r="H3100" s="100"/>
      <c r="I3100" s="100"/>
      <c r="J3100" s="100"/>
      <c r="K3100" s="100"/>
      <c r="L3100" s="100"/>
      <c r="M3100" s="100"/>
      <c r="N3100" s="100"/>
      <c r="O3100" s="100"/>
      <c r="P3100" s="100"/>
      <c r="Q3100" s="100"/>
      <c r="R3100" s="100"/>
      <c r="S3100" s="100"/>
      <c r="T3100" s="100"/>
      <c r="U3100" s="100"/>
      <c r="V3100" s="100"/>
      <c r="W3100" s="100"/>
      <c r="X3100" s="100"/>
      <c r="Y3100" s="100"/>
      <c r="Z3100" s="100"/>
    </row>
    <row r="3101" spans="1:26">
      <c r="A3101" s="100"/>
      <c r="B3101" s="100"/>
      <c r="C3101" s="100"/>
      <c r="D3101" s="100"/>
      <c r="E3101" s="100"/>
      <c r="F3101" s="100"/>
      <c r="G3101" s="100"/>
      <c r="H3101" s="100"/>
      <c r="I3101" s="100"/>
      <c r="J3101" s="100"/>
      <c r="K3101" s="100"/>
      <c r="L3101" s="100"/>
      <c r="M3101" s="100"/>
      <c r="N3101" s="100"/>
      <c r="O3101" s="100"/>
      <c r="P3101" s="100"/>
      <c r="Q3101" s="100"/>
      <c r="R3101" s="100"/>
      <c r="S3101" s="100"/>
      <c r="T3101" s="100"/>
      <c r="U3101" s="100"/>
      <c r="V3101" s="100"/>
      <c r="W3101" s="100"/>
      <c r="X3101" s="100"/>
      <c r="Y3101" s="100"/>
      <c r="Z3101" s="100"/>
    </row>
    <row r="3102" spans="1:26">
      <c r="A3102" s="100"/>
      <c r="B3102" s="100"/>
      <c r="C3102" s="100"/>
      <c r="D3102" s="100"/>
      <c r="E3102" s="100"/>
      <c r="F3102" s="100"/>
      <c r="G3102" s="100"/>
      <c r="H3102" s="100"/>
      <c r="I3102" s="100"/>
      <c r="J3102" s="100"/>
      <c r="K3102" s="100"/>
      <c r="L3102" s="100"/>
      <c r="M3102" s="100"/>
      <c r="N3102" s="100"/>
      <c r="O3102" s="100"/>
      <c r="P3102" s="100"/>
      <c r="Q3102" s="100"/>
      <c r="R3102" s="100"/>
      <c r="S3102" s="100"/>
      <c r="T3102" s="100"/>
      <c r="U3102" s="100"/>
      <c r="V3102" s="100"/>
      <c r="W3102" s="100"/>
      <c r="X3102" s="100"/>
      <c r="Y3102" s="100"/>
      <c r="Z3102" s="100"/>
    </row>
    <row r="3103" spans="1:26">
      <c r="A3103" s="100"/>
      <c r="B3103" s="100"/>
      <c r="C3103" s="100"/>
      <c r="D3103" s="100"/>
      <c r="E3103" s="100"/>
      <c r="F3103" s="100"/>
      <c r="G3103" s="100"/>
      <c r="H3103" s="100"/>
      <c r="I3103" s="100"/>
      <c r="J3103" s="100"/>
      <c r="K3103" s="100"/>
      <c r="L3103" s="100"/>
      <c r="M3103" s="100"/>
      <c r="N3103" s="100"/>
      <c r="O3103" s="100"/>
      <c r="P3103" s="100"/>
      <c r="Q3103" s="100"/>
      <c r="R3103" s="100"/>
      <c r="S3103" s="100"/>
      <c r="T3103" s="100"/>
      <c r="U3103" s="100"/>
      <c r="V3103" s="100"/>
      <c r="W3103" s="100"/>
      <c r="X3103" s="100"/>
      <c r="Y3103" s="100"/>
      <c r="Z3103" s="100"/>
    </row>
    <row r="3104" spans="1:26">
      <c r="A3104" s="100"/>
      <c r="B3104" s="100"/>
      <c r="C3104" s="100"/>
      <c r="D3104" s="100"/>
      <c r="E3104" s="100"/>
      <c r="F3104" s="100"/>
      <c r="G3104" s="100"/>
      <c r="H3104" s="100"/>
      <c r="I3104" s="100"/>
      <c r="J3104" s="100"/>
      <c r="K3104" s="100"/>
      <c r="L3104" s="100"/>
      <c r="M3104" s="100"/>
      <c r="N3104" s="100"/>
      <c r="O3104" s="100"/>
      <c r="P3104" s="100"/>
      <c r="Q3104" s="100"/>
      <c r="R3104" s="100"/>
      <c r="S3104" s="100"/>
      <c r="T3104" s="100"/>
      <c r="U3104" s="100"/>
      <c r="V3104" s="100"/>
      <c r="W3104" s="100"/>
      <c r="X3104" s="100"/>
      <c r="Y3104" s="100"/>
      <c r="Z3104" s="100"/>
    </row>
    <row r="3105" spans="1:26">
      <c r="A3105" s="100"/>
      <c r="B3105" s="100"/>
      <c r="C3105" s="100"/>
      <c r="D3105" s="100"/>
      <c r="E3105" s="100"/>
      <c r="F3105" s="100"/>
      <c r="G3105" s="100"/>
      <c r="H3105" s="100"/>
      <c r="I3105" s="100"/>
      <c r="J3105" s="100"/>
      <c r="K3105" s="100"/>
      <c r="L3105" s="100"/>
      <c r="M3105" s="100"/>
      <c r="N3105" s="100"/>
      <c r="O3105" s="100"/>
      <c r="P3105" s="100"/>
      <c r="Q3105" s="100"/>
      <c r="R3105" s="100"/>
      <c r="S3105" s="100"/>
      <c r="T3105" s="100"/>
      <c r="U3105" s="100"/>
      <c r="V3105" s="100"/>
      <c r="W3105" s="100"/>
      <c r="X3105" s="100"/>
      <c r="Y3105" s="100"/>
      <c r="Z3105" s="100"/>
    </row>
    <row r="3106" spans="1:26">
      <c r="A3106" s="100"/>
      <c r="B3106" s="100"/>
      <c r="C3106" s="100"/>
      <c r="D3106" s="100"/>
      <c r="E3106" s="100"/>
      <c r="F3106" s="100"/>
      <c r="G3106" s="100"/>
      <c r="H3106" s="100"/>
      <c r="I3106" s="100"/>
      <c r="J3106" s="100"/>
      <c r="K3106" s="100"/>
      <c r="L3106" s="100"/>
      <c r="M3106" s="100"/>
      <c r="N3106" s="100"/>
      <c r="O3106" s="100"/>
      <c r="P3106" s="100"/>
      <c r="Q3106" s="100"/>
      <c r="R3106" s="100"/>
      <c r="S3106" s="100"/>
      <c r="T3106" s="100"/>
      <c r="U3106" s="100"/>
      <c r="V3106" s="100"/>
      <c r="W3106" s="100"/>
      <c r="X3106" s="100"/>
      <c r="Y3106" s="100"/>
      <c r="Z3106" s="100"/>
    </row>
    <row r="3107" spans="1:26">
      <c r="A3107" s="100"/>
      <c r="B3107" s="100"/>
      <c r="C3107" s="100"/>
      <c r="D3107" s="100"/>
      <c r="E3107" s="100"/>
      <c r="F3107" s="100"/>
      <c r="G3107" s="100"/>
      <c r="H3107" s="100"/>
      <c r="I3107" s="100"/>
      <c r="J3107" s="100"/>
      <c r="K3107" s="100"/>
      <c r="L3107" s="100"/>
      <c r="M3107" s="100"/>
      <c r="N3107" s="100"/>
      <c r="O3107" s="100"/>
      <c r="P3107" s="100"/>
      <c r="Q3107" s="100"/>
      <c r="R3107" s="100"/>
      <c r="S3107" s="100"/>
      <c r="T3107" s="100"/>
      <c r="U3107" s="100"/>
      <c r="V3107" s="100"/>
      <c r="W3107" s="100"/>
      <c r="X3107" s="100"/>
      <c r="Y3107" s="100"/>
      <c r="Z3107" s="100"/>
    </row>
    <row r="3108" spans="1:26">
      <c r="A3108" s="100"/>
      <c r="B3108" s="100"/>
      <c r="C3108" s="100"/>
      <c r="D3108" s="100"/>
      <c r="E3108" s="100"/>
      <c r="F3108" s="100"/>
      <c r="G3108" s="100"/>
      <c r="H3108" s="100"/>
      <c r="I3108" s="100"/>
      <c r="J3108" s="100"/>
      <c r="K3108" s="100"/>
      <c r="L3108" s="100"/>
      <c r="M3108" s="100"/>
      <c r="N3108" s="100"/>
      <c r="O3108" s="100"/>
      <c r="P3108" s="100"/>
      <c r="Q3108" s="100"/>
      <c r="R3108" s="100"/>
      <c r="S3108" s="100"/>
      <c r="T3108" s="100"/>
      <c r="U3108" s="100"/>
      <c r="V3108" s="100"/>
      <c r="W3108" s="100"/>
      <c r="X3108" s="100"/>
      <c r="Y3108" s="100"/>
      <c r="Z3108" s="100"/>
    </row>
    <row r="3109" spans="1:26">
      <c r="A3109" s="100"/>
      <c r="B3109" s="100"/>
      <c r="C3109" s="100"/>
      <c r="D3109" s="100"/>
      <c r="E3109" s="100"/>
      <c r="F3109" s="100"/>
      <c r="G3109" s="100"/>
      <c r="H3109" s="100"/>
      <c r="I3109" s="100"/>
      <c r="J3109" s="100"/>
      <c r="K3109" s="100"/>
      <c r="L3109" s="100"/>
      <c r="M3109" s="100"/>
      <c r="N3109" s="100"/>
      <c r="O3109" s="100"/>
      <c r="P3109" s="100"/>
      <c r="Q3109" s="100"/>
      <c r="R3109" s="100"/>
      <c r="S3109" s="100"/>
      <c r="T3109" s="100"/>
      <c r="U3109" s="100"/>
      <c r="V3109" s="100"/>
      <c r="W3109" s="100"/>
      <c r="X3109" s="100"/>
      <c r="Y3109" s="100"/>
      <c r="Z3109" s="100"/>
    </row>
    <row r="3110" spans="1:26">
      <c r="A3110" s="100"/>
      <c r="B3110" s="100"/>
      <c r="C3110" s="100"/>
      <c r="D3110" s="100"/>
      <c r="E3110" s="100"/>
      <c r="F3110" s="100"/>
      <c r="G3110" s="100"/>
      <c r="H3110" s="100"/>
      <c r="I3110" s="100"/>
      <c r="J3110" s="100"/>
      <c r="K3110" s="100"/>
      <c r="L3110" s="100"/>
      <c r="M3110" s="100"/>
      <c r="N3110" s="100"/>
      <c r="O3110" s="100"/>
      <c r="P3110" s="100"/>
      <c r="Q3110" s="100"/>
      <c r="R3110" s="100"/>
      <c r="S3110" s="100"/>
      <c r="T3110" s="100"/>
      <c r="U3110" s="100"/>
      <c r="V3110" s="100"/>
      <c r="W3110" s="100"/>
      <c r="X3110" s="100"/>
      <c r="Y3110" s="100"/>
      <c r="Z3110" s="100"/>
    </row>
    <row r="3111" spans="1:26">
      <c r="A3111" s="100"/>
      <c r="B3111" s="100"/>
      <c r="C3111" s="100"/>
      <c r="D3111" s="100"/>
      <c r="E3111" s="100"/>
      <c r="F3111" s="100"/>
      <c r="G3111" s="100"/>
      <c r="H3111" s="100"/>
      <c r="I3111" s="100"/>
      <c r="J3111" s="100"/>
      <c r="K3111" s="100"/>
      <c r="L3111" s="100"/>
      <c r="M3111" s="100"/>
      <c r="N3111" s="100"/>
      <c r="O3111" s="100"/>
      <c r="P3111" s="100"/>
      <c r="Q3111" s="100"/>
      <c r="R3111" s="100"/>
      <c r="S3111" s="100"/>
      <c r="T3111" s="100"/>
      <c r="U3111" s="100"/>
      <c r="V3111" s="100"/>
      <c r="W3111" s="100"/>
      <c r="X3111" s="100"/>
      <c r="Y3111" s="100"/>
      <c r="Z3111" s="100"/>
    </row>
    <row r="3112" spans="1:26">
      <c r="A3112" s="100"/>
      <c r="B3112" s="100"/>
      <c r="C3112" s="100"/>
      <c r="D3112" s="100"/>
      <c r="E3112" s="100"/>
      <c r="F3112" s="100"/>
      <c r="G3112" s="100"/>
      <c r="H3112" s="100"/>
      <c r="I3112" s="100"/>
      <c r="J3112" s="100"/>
      <c r="K3112" s="100"/>
      <c r="L3112" s="100"/>
      <c r="M3112" s="100"/>
      <c r="N3112" s="100"/>
      <c r="O3112" s="100"/>
      <c r="P3112" s="100"/>
      <c r="Q3112" s="100"/>
      <c r="R3112" s="100"/>
      <c r="S3112" s="100"/>
      <c r="T3112" s="100"/>
      <c r="U3112" s="100"/>
      <c r="V3112" s="100"/>
      <c r="W3112" s="100"/>
      <c r="X3112" s="100"/>
      <c r="Y3112" s="100"/>
      <c r="Z3112" s="100"/>
    </row>
    <row r="3113" spans="1:26">
      <c r="A3113" s="100"/>
      <c r="B3113" s="100"/>
      <c r="C3113" s="100"/>
      <c r="D3113" s="100"/>
      <c r="E3113" s="100"/>
      <c r="F3113" s="100"/>
      <c r="G3113" s="100"/>
      <c r="H3113" s="100"/>
      <c r="I3113" s="100"/>
      <c r="J3113" s="100"/>
      <c r="K3113" s="100"/>
      <c r="L3113" s="100"/>
      <c r="M3113" s="100"/>
      <c r="N3113" s="100"/>
      <c r="O3113" s="100"/>
      <c r="P3113" s="100"/>
      <c r="Q3113" s="100"/>
      <c r="R3113" s="100"/>
      <c r="S3113" s="100"/>
      <c r="T3113" s="100"/>
      <c r="U3113" s="100"/>
      <c r="V3113" s="100"/>
      <c r="W3113" s="100"/>
      <c r="X3113" s="100"/>
      <c r="Y3113" s="100"/>
      <c r="Z3113" s="100"/>
    </row>
    <row r="3114" spans="1:26">
      <c r="A3114" s="100"/>
      <c r="B3114" s="100"/>
      <c r="C3114" s="100"/>
      <c r="D3114" s="100"/>
      <c r="E3114" s="100"/>
      <c r="F3114" s="100"/>
      <c r="G3114" s="100"/>
      <c r="H3114" s="100"/>
      <c r="I3114" s="100"/>
      <c r="J3114" s="100"/>
      <c r="K3114" s="100"/>
      <c r="L3114" s="100"/>
      <c r="M3114" s="100"/>
      <c r="N3114" s="100"/>
      <c r="O3114" s="100"/>
      <c r="P3114" s="100"/>
      <c r="Q3114" s="100"/>
      <c r="R3114" s="100"/>
      <c r="S3114" s="100"/>
      <c r="T3114" s="100"/>
      <c r="U3114" s="100"/>
      <c r="V3114" s="100"/>
      <c r="W3114" s="100"/>
      <c r="X3114" s="100"/>
      <c r="Y3114" s="100"/>
      <c r="Z3114" s="100"/>
    </row>
    <row r="3115" spans="1:26">
      <c r="A3115" s="100"/>
      <c r="B3115" s="100"/>
      <c r="C3115" s="100"/>
      <c r="D3115" s="100"/>
      <c r="E3115" s="100"/>
      <c r="F3115" s="100"/>
      <c r="G3115" s="100"/>
      <c r="H3115" s="100"/>
      <c r="I3115" s="100"/>
      <c r="J3115" s="100"/>
      <c r="K3115" s="100"/>
      <c r="L3115" s="100"/>
      <c r="M3115" s="100"/>
      <c r="N3115" s="100"/>
      <c r="O3115" s="100"/>
      <c r="P3115" s="100"/>
      <c r="Q3115" s="100"/>
      <c r="R3115" s="100"/>
      <c r="S3115" s="100"/>
      <c r="T3115" s="100"/>
      <c r="U3115" s="100"/>
      <c r="V3115" s="100"/>
      <c r="W3115" s="100"/>
      <c r="X3115" s="100"/>
      <c r="Y3115" s="100"/>
      <c r="Z3115" s="100"/>
    </row>
    <row r="3116" spans="1:26">
      <c r="A3116" s="100"/>
      <c r="B3116" s="100"/>
      <c r="C3116" s="100"/>
      <c r="D3116" s="100"/>
      <c r="E3116" s="100"/>
      <c r="F3116" s="100"/>
      <c r="G3116" s="100"/>
      <c r="H3116" s="100"/>
      <c r="I3116" s="100"/>
      <c r="J3116" s="100"/>
      <c r="K3116" s="100"/>
      <c r="L3116" s="100"/>
      <c r="M3116" s="100"/>
      <c r="N3116" s="100"/>
      <c r="O3116" s="100"/>
      <c r="P3116" s="100"/>
      <c r="Q3116" s="100"/>
      <c r="R3116" s="100"/>
      <c r="S3116" s="100"/>
      <c r="T3116" s="100"/>
      <c r="U3116" s="100"/>
      <c r="V3116" s="100"/>
      <c r="W3116" s="100"/>
      <c r="X3116" s="100"/>
      <c r="Y3116" s="100"/>
      <c r="Z3116" s="100"/>
    </row>
    <row r="3117" spans="1:26">
      <c r="A3117" s="100"/>
      <c r="B3117" s="100"/>
      <c r="C3117" s="100"/>
      <c r="D3117" s="100"/>
      <c r="E3117" s="100"/>
      <c r="F3117" s="100"/>
      <c r="G3117" s="100"/>
      <c r="H3117" s="100"/>
      <c r="I3117" s="100"/>
      <c r="J3117" s="100"/>
      <c r="K3117" s="100"/>
      <c r="L3117" s="100"/>
      <c r="M3117" s="100"/>
      <c r="N3117" s="100"/>
      <c r="O3117" s="100"/>
      <c r="P3117" s="100"/>
      <c r="Q3117" s="100"/>
      <c r="R3117" s="100"/>
      <c r="S3117" s="100"/>
      <c r="T3117" s="100"/>
      <c r="U3117" s="100"/>
      <c r="V3117" s="100"/>
      <c r="W3117" s="100"/>
      <c r="X3117" s="100"/>
      <c r="Y3117" s="100"/>
      <c r="Z3117" s="100"/>
    </row>
    <row r="3118" spans="1:26">
      <c r="A3118" s="100"/>
      <c r="B3118" s="100"/>
      <c r="C3118" s="100"/>
      <c r="D3118" s="100"/>
      <c r="E3118" s="100"/>
      <c r="F3118" s="100"/>
      <c r="G3118" s="100"/>
      <c r="H3118" s="100"/>
      <c r="I3118" s="100"/>
      <c r="J3118" s="100"/>
      <c r="K3118" s="100"/>
      <c r="L3118" s="100"/>
      <c r="M3118" s="100"/>
      <c r="N3118" s="100"/>
      <c r="O3118" s="100"/>
      <c r="P3118" s="100"/>
      <c r="Q3118" s="100"/>
      <c r="R3118" s="100"/>
      <c r="S3118" s="100"/>
      <c r="T3118" s="100"/>
      <c r="U3118" s="100"/>
      <c r="V3118" s="100"/>
      <c r="W3118" s="100"/>
      <c r="X3118" s="100"/>
      <c r="Y3118" s="100"/>
      <c r="Z3118" s="100"/>
    </row>
    <row r="3119" spans="1:26">
      <c r="A3119" s="100"/>
      <c r="B3119" s="100"/>
      <c r="C3119" s="100"/>
      <c r="D3119" s="100"/>
      <c r="E3119" s="100"/>
      <c r="F3119" s="100"/>
      <c r="G3119" s="100"/>
      <c r="H3119" s="100"/>
      <c r="I3119" s="100"/>
      <c r="J3119" s="100"/>
      <c r="K3119" s="100"/>
      <c r="L3119" s="100"/>
      <c r="M3119" s="100"/>
      <c r="N3119" s="100"/>
      <c r="O3119" s="100"/>
      <c r="P3119" s="100"/>
      <c r="Q3119" s="100"/>
      <c r="R3119" s="100"/>
      <c r="S3119" s="100"/>
      <c r="T3119" s="100"/>
      <c r="U3119" s="100"/>
      <c r="V3119" s="100"/>
      <c r="W3119" s="100"/>
      <c r="X3119" s="100"/>
      <c r="Y3119" s="100"/>
      <c r="Z3119" s="100"/>
    </row>
    <row r="3120" spans="1:26">
      <c r="A3120" s="100"/>
      <c r="B3120" s="100"/>
      <c r="C3120" s="100"/>
      <c r="D3120" s="100"/>
      <c r="E3120" s="100"/>
      <c r="F3120" s="100"/>
      <c r="G3120" s="100"/>
      <c r="H3120" s="100"/>
      <c r="I3120" s="100"/>
      <c r="J3120" s="100"/>
      <c r="K3120" s="100"/>
      <c r="L3120" s="100"/>
      <c r="M3120" s="100"/>
      <c r="N3120" s="100"/>
      <c r="O3120" s="100"/>
      <c r="P3120" s="100"/>
      <c r="Q3120" s="100"/>
      <c r="R3120" s="100"/>
      <c r="S3120" s="100"/>
      <c r="T3120" s="100"/>
      <c r="U3120" s="100"/>
      <c r="V3120" s="100"/>
      <c r="W3120" s="100"/>
      <c r="X3120" s="100"/>
      <c r="Y3120" s="100"/>
      <c r="Z3120" s="100"/>
    </row>
    <row r="3121" spans="1:26">
      <c r="A3121" s="100"/>
      <c r="B3121" s="100"/>
      <c r="C3121" s="100"/>
      <c r="D3121" s="100"/>
      <c r="E3121" s="100"/>
      <c r="F3121" s="100"/>
      <c r="G3121" s="100"/>
      <c r="H3121" s="100"/>
      <c r="I3121" s="100"/>
      <c r="J3121" s="100"/>
      <c r="K3121" s="100"/>
      <c r="L3121" s="100"/>
      <c r="M3121" s="100"/>
      <c r="N3121" s="100"/>
      <c r="O3121" s="100"/>
      <c r="P3121" s="100"/>
      <c r="Q3121" s="100"/>
      <c r="R3121" s="100"/>
      <c r="S3121" s="100"/>
      <c r="T3121" s="100"/>
      <c r="U3121" s="100"/>
      <c r="V3121" s="100"/>
      <c r="W3121" s="100"/>
      <c r="X3121" s="100"/>
      <c r="Y3121" s="100"/>
      <c r="Z3121" s="100"/>
    </row>
    <row r="3122" spans="1:26">
      <c r="A3122" s="100"/>
      <c r="B3122" s="100"/>
      <c r="C3122" s="100"/>
      <c r="D3122" s="100"/>
      <c r="E3122" s="100"/>
      <c r="F3122" s="100"/>
      <c r="G3122" s="100"/>
      <c r="H3122" s="100"/>
      <c r="I3122" s="100"/>
      <c r="J3122" s="100"/>
      <c r="K3122" s="100"/>
      <c r="L3122" s="100"/>
      <c r="M3122" s="100"/>
      <c r="N3122" s="100"/>
      <c r="O3122" s="100"/>
      <c r="P3122" s="100"/>
      <c r="Q3122" s="100"/>
      <c r="R3122" s="100"/>
      <c r="S3122" s="100"/>
      <c r="T3122" s="100"/>
      <c r="U3122" s="100"/>
      <c r="V3122" s="100"/>
      <c r="W3122" s="100"/>
      <c r="X3122" s="100"/>
      <c r="Y3122" s="100"/>
      <c r="Z3122" s="100"/>
    </row>
    <row r="3123" spans="1:26">
      <c r="A3123" s="100"/>
      <c r="B3123" s="100"/>
      <c r="C3123" s="100"/>
      <c r="D3123" s="100"/>
      <c r="E3123" s="100"/>
      <c r="F3123" s="100"/>
      <c r="G3123" s="100"/>
      <c r="H3123" s="100"/>
      <c r="I3123" s="100"/>
      <c r="J3123" s="100"/>
      <c r="K3123" s="100"/>
      <c r="L3123" s="100"/>
      <c r="M3123" s="100"/>
      <c r="N3123" s="100"/>
      <c r="O3123" s="100"/>
      <c r="P3123" s="100"/>
      <c r="Q3123" s="100"/>
      <c r="R3123" s="100"/>
      <c r="S3123" s="100"/>
      <c r="T3123" s="100"/>
      <c r="U3123" s="100"/>
      <c r="V3123" s="100"/>
      <c r="W3123" s="100"/>
      <c r="X3123" s="100"/>
      <c r="Y3123" s="100"/>
      <c r="Z3123" s="100"/>
    </row>
    <row r="3124" spans="1:26">
      <c r="A3124" s="100"/>
      <c r="B3124" s="100"/>
      <c r="C3124" s="100"/>
      <c r="D3124" s="100"/>
      <c r="E3124" s="100"/>
      <c r="F3124" s="100"/>
      <c r="G3124" s="100"/>
      <c r="H3124" s="100"/>
      <c r="I3124" s="100"/>
      <c r="J3124" s="100"/>
      <c r="K3124" s="100"/>
      <c r="L3124" s="100"/>
      <c r="M3124" s="100"/>
      <c r="N3124" s="100"/>
      <c r="O3124" s="100"/>
      <c r="P3124" s="100"/>
      <c r="Q3124" s="100"/>
      <c r="R3124" s="100"/>
      <c r="S3124" s="100"/>
      <c r="T3124" s="100"/>
      <c r="U3124" s="100"/>
      <c r="V3124" s="100"/>
      <c r="W3124" s="100"/>
      <c r="X3124" s="100"/>
      <c r="Y3124" s="100"/>
      <c r="Z3124" s="100"/>
    </row>
    <row r="3125" spans="1:26">
      <c r="A3125" s="100"/>
      <c r="B3125" s="100"/>
      <c r="C3125" s="100"/>
      <c r="D3125" s="100"/>
      <c r="E3125" s="100"/>
      <c r="F3125" s="100"/>
      <c r="G3125" s="100"/>
      <c r="H3125" s="100"/>
      <c r="I3125" s="100"/>
      <c r="J3125" s="100"/>
      <c r="K3125" s="100"/>
      <c r="L3125" s="100"/>
      <c r="M3125" s="100"/>
      <c r="N3125" s="100"/>
      <c r="O3125" s="100"/>
      <c r="P3125" s="100"/>
      <c r="Q3125" s="100"/>
      <c r="R3125" s="100"/>
      <c r="S3125" s="100"/>
      <c r="T3125" s="100"/>
      <c r="U3125" s="100"/>
      <c r="V3125" s="100"/>
      <c r="W3125" s="100"/>
      <c r="X3125" s="100"/>
      <c r="Y3125" s="100"/>
      <c r="Z3125" s="100"/>
    </row>
    <row r="3126" spans="1:26">
      <c r="A3126" s="100"/>
      <c r="B3126" s="100"/>
      <c r="C3126" s="100"/>
      <c r="D3126" s="100"/>
      <c r="E3126" s="100"/>
      <c r="F3126" s="100"/>
      <c r="G3126" s="100"/>
      <c r="H3126" s="100"/>
      <c r="I3126" s="100"/>
      <c r="J3126" s="100"/>
      <c r="K3126" s="100"/>
      <c r="L3126" s="100"/>
      <c r="M3126" s="100"/>
      <c r="N3126" s="100"/>
      <c r="O3126" s="100"/>
      <c r="P3126" s="100"/>
      <c r="Q3126" s="100"/>
      <c r="R3126" s="100"/>
      <c r="S3126" s="100"/>
      <c r="T3126" s="100"/>
      <c r="U3126" s="100"/>
      <c r="V3126" s="100"/>
      <c r="W3126" s="100"/>
      <c r="X3126" s="100"/>
      <c r="Y3126" s="100"/>
      <c r="Z3126" s="100"/>
    </row>
    <row r="3127" spans="1:26">
      <c r="A3127" s="100"/>
      <c r="B3127" s="100"/>
      <c r="C3127" s="100"/>
      <c r="D3127" s="100"/>
      <c r="E3127" s="100"/>
      <c r="F3127" s="100"/>
      <c r="G3127" s="100"/>
      <c r="H3127" s="100"/>
      <c r="I3127" s="100"/>
      <c r="J3127" s="100"/>
      <c r="K3127" s="100"/>
      <c r="L3127" s="100"/>
      <c r="M3127" s="100"/>
      <c r="N3127" s="100"/>
      <c r="O3127" s="100"/>
      <c r="P3127" s="100"/>
      <c r="Q3127" s="100"/>
      <c r="R3127" s="100"/>
      <c r="S3127" s="100"/>
      <c r="T3127" s="100"/>
      <c r="U3127" s="100"/>
      <c r="V3127" s="100"/>
      <c r="W3127" s="100"/>
      <c r="X3127" s="100"/>
      <c r="Y3127" s="100"/>
      <c r="Z3127" s="100"/>
    </row>
    <row r="3128" spans="1:26">
      <c r="A3128" s="100"/>
      <c r="B3128" s="100"/>
      <c r="C3128" s="100"/>
      <c r="D3128" s="100"/>
      <c r="E3128" s="100"/>
      <c r="F3128" s="100"/>
      <c r="G3128" s="100"/>
      <c r="H3128" s="100"/>
      <c r="I3128" s="100"/>
      <c r="J3128" s="100"/>
      <c r="K3128" s="100"/>
      <c r="L3128" s="100"/>
      <c r="M3128" s="100"/>
      <c r="N3128" s="100"/>
      <c r="O3128" s="100"/>
      <c r="P3128" s="100"/>
      <c r="Q3128" s="100"/>
      <c r="R3128" s="100"/>
      <c r="S3128" s="100"/>
      <c r="T3128" s="100"/>
      <c r="U3128" s="100"/>
      <c r="V3128" s="100"/>
      <c r="W3128" s="100"/>
      <c r="X3128" s="100"/>
      <c r="Y3128" s="100"/>
      <c r="Z3128" s="100"/>
    </row>
    <row r="3129" spans="1:26">
      <c r="A3129" s="100"/>
      <c r="B3129" s="100"/>
      <c r="C3129" s="100"/>
      <c r="D3129" s="100"/>
      <c r="E3129" s="100"/>
      <c r="F3129" s="100"/>
      <c r="G3129" s="100"/>
      <c r="H3129" s="100"/>
      <c r="I3129" s="100"/>
      <c r="J3129" s="100"/>
      <c r="K3129" s="100"/>
      <c r="L3129" s="100"/>
      <c r="M3129" s="100"/>
      <c r="N3129" s="100"/>
      <c r="O3129" s="100"/>
      <c r="P3129" s="100"/>
      <c r="Q3129" s="100"/>
      <c r="R3129" s="100"/>
      <c r="S3129" s="100"/>
      <c r="T3129" s="100"/>
      <c r="U3129" s="100"/>
      <c r="V3129" s="100"/>
      <c r="W3129" s="100"/>
      <c r="X3129" s="100"/>
      <c r="Y3129" s="100"/>
      <c r="Z3129" s="100"/>
    </row>
    <row r="3130" spans="1:26">
      <c r="A3130" s="100"/>
      <c r="B3130" s="100"/>
      <c r="C3130" s="100"/>
      <c r="D3130" s="100"/>
      <c r="E3130" s="100"/>
      <c r="F3130" s="100"/>
      <c r="G3130" s="100"/>
      <c r="H3130" s="100"/>
      <c r="I3130" s="100"/>
      <c r="J3130" s="100"/>
      <c r="K3130" s="100"/>
      <c r="L3130" s="100"/>
      <c r="M3130" s="100"/>
      <c r="N3130" s="100"/>
      <c r="O3130" s="100"/>
      <c r="P3130" s="100"/>
      <c r="Q3130" s="100"/>
      <c r="R3130" s="100"/>
      <c r="S3130" s="100"/>
      <c r="T3130" s="100"/>
      <c r="U3130" s="100"/>
      <c r="V3130" s="100"/>
      <c r="W3130" s="100"/>
      <c r="X3130" s="100"/>
      <c r="Y3130" s="100"/>
      <c r="Z3130" s="100"/>
    </row>
    <row r="3131" spans="1:26">
      <c r="A3131" s="100"/>
      <c r="B3131" s="100"/>
      <c r="C3131" s="100"/>
      <c r="D3131" s="100"/>
      <c r="E3131" s="100"/>
      <c r="F3131" s="100"/>
      <c r="G3131" s="100"/>
      <c r="H3131" s="100"/>
      <c r="I3131" s="100"/>
      <c r="J3131" s="100"/>
      <c r="K3131" s="100"/>
      <c r="L3131" s="100"/>
      <c r="M3131" s="100"/>
      <c r="N3131" s="100"/>
      <c r="O3131" s="100"/>
      <c r="P3131" s="100"/>
      <c r="Q3131" s="100"/>
      <c r="R3131" s="100"/>
      <c r="S3131" s="100"/>
      <c r="T3131" s="100"/>
      <c r="U3131" s="100"/>
      <c r="V3131" s="100"/>
      <c r="W3131" s="100"/>
      <c r="X3131" s="100"/>
      <c r="Y3131" s="100"/>
      <c r="Z3131" s="100"/>
    </row>
    <row r="3132" spans="1:26">
      <c r="A3132" s="100"/>
      <c r="B3132" s="100"/>
      <c r="C3132" s="100"/>
      <c r="D3132" s="100"/>
      <c r="E3132" s="100"/>
      <c r="F3132" s="100"/>
      <c r="G3132" s="100"/>
      <c r="H3132" s="100"/>
      <c r="I3132" s="100"/>
      <c r="J3132" s="100"/>
      <c r="K3132" s="100"/>
      <c r="L3132" s="100"/>
      <c r="M3132" s="100"/>
      <c r="N3132" s="100"/>
      <c r="O3132" s="100"/>
      <c r="P3132" s="100"/>
      <c r="Q3132" s="100"/>
      <c r="R3132" s="100"/>
      <c r="S3132" s="100"/>
      <c r="T3132" s="100"/>
      <c r="U3132" s="100"/>
      <c r="V3132" s="100"/>
      <c r="W3132" s="100"/>
      <c r="X3132" s="100"/>
      <c r="Y3132" s="100"/>
      <c r="Z3132" s="100"/>
    </row>
    <row r="3133" spans="1:26">
      <c r="A3133" s="100"/>
      <c r="B3133" s="100"/>
      <c r="C3133" s="100"/>
      <c r="D3133" s="100"/>
      <c r="E3133" s="100"/>
      <c r="F3133" s="100"/>
      <c r="G3133" s="100"/>
      <c r="H3133" s="100"/>
      <c r="I3133" s="100"/>
      <c r="J3133" s="100"/>
      <c r="K3133" s="100"/>
      <c r="L3133" s="100"/>
      <c r="M3133" s="100"/>
      <c r="N3133" s="100"/>
      <c r="O3133" s="100"/>
      <c r="P3133" s="100"/>
      <c r="Q3133" s="100"/>
      <c r="R3133" s="100"/>
      <c r="S3133" s="100"/>
      <c r="T3133" s="100"/>
      <c r="U3133" s="100"/>
      <c r="V3133" s="100"/>
      <c r="W3133" s="100"/>
      <c r="X3133" s="100"/>
      <c r="Y3133" s="100"/>
      <c r="Z3133" s="100"/>
    </row>
    <row r="3134" spans="1:26">
      <c r="A3134" s="100"/>
      <c r="B3134" s="100"/>
      <c r="C3134" s="100"/>
      <c r="D3134" s="100"/>
      <c r="E3134" s="100"/>
      <c r="F3134" s="100"/>
      <c r="G3134" s="100"/>
      <c r="H3134" s="100"/>
      <c r="I3134" s="100"/>
      <c r="J3134" s="100"/>
      <c r="K3134" s="100"/>
      <c r="L3134" s="100"/>
      <c r="M3134" s="100"/>
      <c r="N3134" s="100"/>
      <c r="O3134" s="100"/>
      <c r="P3134" s="100"/>
      <c r="Q3134" s="100"/>
      <c r="R3134" s="100"/>
      <c r="S3134" s="100"/>
      <c r="T3134" s="100"/>
      <c r="U3134" s="100"/>
      <c r="V3134" s="100"/>
      <c r="W3134" s="100"/>
      <c r="X3134" s="100"/>
      <c r="Y3134" s="100"/>
      <c r="Z3134" s="100"/>
    </row>
    <row r="3135" spans="1:26">
      <c r="A3135" s="100"/>
      <c r="B3135" s="100"/>
      <c r="C3135" s="100"/>
      <c r="D3135" s="100"/>
      <c r="E3135" s="100"/>
      <c r="F3135" s="100"/>
      <c r="G3135" s="100"/>
      <c r="H3135" s="100"/>
      <c r="I3135" s="100"/>
      <c r="J3135" s="100"/>
      <c r="K3135" s="100"/>
      <c r="L3135" s="100"/>
      <c r="M3135" s="100"/>
      <c r="N3135" s="100"/>
      <c r="O3135" s="100"/>
      <c r="P3135" s="100"/>
      <c r="Q3135" s="100"/>
      <c r="R3135" s="100"/>
      <c r="S3135" s="100"/>
      <c r="T3135" s="100"/>
      <c r="U3135" s="100"/>
      <c r="V3135" s="100"/>
      <c r="W3135" s="100"/>
      <c r="X3135" s="100"/>
      <c r="Y3135" s="100"/>
      <c r="Z3135" s="100"/>
    </row>
    <row r="3136" spans="1:26">
      <c r="A3136" s="100"/>
      <c r="B3136" s="100"/>
      <c r="C3136" s="100"/>
      <c r="D3136" s="100"/>
      <c r="E3136" s="100"/>
      <c r="F3136" s="100"/>
      <c r="G3136" s="100"/>
      <c r="H3136" s="100"/>
      <c r="I3136" s="100"/>
      <c r="J3136" s="100"/>
      <c r="K3136" s="100"/>
      <c r="L3136" s="100"/>
      <c r="M3136" s="100"/>
      <c r="N3136" s="100"/>
      <c r="O3136" s="100"/>
      <c r="P3136" s="100"/>
      <c r="Q3136" s="100"/>
      <c r="R3136" s="100"/>
      <c r="S3136" s="100"/>
      <c r="T3136" s="100"/>
      <c r="U3136" s="100"/>
      <c r="V3136" s="100"/>
      <c r="W3136" s="100"/>
      <c r="X3136" s="100"/>
      <c r="Y3136" s="100"/>
      <c r="Z3136" s="100"/>
    </row>
    <row r="3137" spans="1:26">
      <c r="A3137" s="100"/>
      <c r="B3137" s="100"/>
      <c r="C3137" s="100"/>
      <c r="D3137" s="100"/>
      <c r="E3137" s="100"/>
      <c r="F3137" s="100"/>
      <c r="G3137" s="100"/>
      <c r="H3137" s="100"/>
      <c r="I3137" s="100"/>
      <c r="J3137" s="100"/>
      <c r="K3137" s="100"/>
      <c r="L3137" s="100"/>
      <c r="M3137" s="100"/>
      <c r="N3137" s="100"/>
      <c r="O3137" s="100"/>
      <c r="P3137" s="100"/>
      <c r="Q3137" s="100"/>
      <c r="R3137" s="100"/>
      <c r="S3137" s="100"/>
      <c r="T3137" s="100"/>
      <c r="U3137" s="100"/>
      <c r="V3137" s="100"/>
      <c r="W3137" s="100"/>
      <c r="X3137" s="100"/>
      <c r="Y3137" s="100"/>
      <c r="Z3137" s="100"/>
    </row>
    <row r="3138" spans="1:26">
      <c r="A3138" s="100"/>
      <c r="B3138" s="100"/>
      <c r="C3138" s="100"/>
      <c r="D3138" s="100"/>
      <c r="E3138" s="100"/>
      <c r="F3138" s="100"/>
      <c r="G3138" s="100"/>
      <c r="H3138" s="100"/>
      <c r="I3138" s="100"/>
      <c r="J3138" s="100"/>
      <c r="K3138" s="100"/>
      <c r="L3138" s="100"/>
      <c r="M3138" s="100"/>
      <c r="N3138" s="100"/>
      <c r="O3138" s="100"/>
      <c r="P3138" s="100"/>
      <c r="Q3138" s="100"/>
      <c r="R3138" s="100"/>
      <c r="S3138" s="100"/>
      <c r="T3138" s="100"/>
      <c r="U3138" s="100"/>
      <c r="V3138" s="100"/>
      <c r="W3138" s="100"/>
      <c r="X3138" s="100"/>
      <c r="Y3138" s="100"/>
      <c r="Z3138" s="100"/>
    </row>
    <row r="3139" spans="1:26">
      <c r="A3139" s="100"/>
      <c r="B3139" s="100"/>
      <c r="C3139" s="100"/>
      <c r="D3139" s="100"/>
      <c r="E3139" s="100"/>
      <c r="F3139" s="100"/>
      <c r="G3139" s="100"/>
      <c r="H3139" s="100"/>
      <c r="I3139" s="100"/>
      <c r="J3139" s="100"/>
      <c r="K3139" s="100"/>
      <c r="L3139" s="100"/>
      <c r="M3139" s="100"/>
      <c r="N3139" s="100"/>
      <c r="O3139" s="100"/>
      <c r="P3139" s="100"/>
      <c r="Q3139" s="100"/>
      <c r="R3139" s="100"/>
      <c r="S3139" s="100"/>
      <c r="T3139" s="100"/>
      <c r="U3139" s="100"/>
      <c r="V3139" s="100"/>
      <c r="W3139" s="100"/>
      <c r="X3139" s="100"/>
      <c r="Y3139" s="100"/>
      <c r="Z3139" s="100"/>
    </row>
    <row r="3140" spans="1:26">
      <c r="A3140" s="100"/>
      <c r="B3140" s="100"/>
      <c r="C3140" s="100"/>
      <c r="D3140" s="100"/>
      <c r="E3140" s="100"/>
      <c r="F3140" s="100"/>
      <c r="G3140" s="100"/>
      <c r="H3140" s="100"/>
      <c r="I3140" s="100"/>
      <c r="J3140" s="100"/>
      <c r="K3140" s="100"/>
      <c r="L3140" s="100"/>
      <c r="M3140" s="100"/>
      <c r="N3140" s="100"/>
      <c r="O3140" s="100"/>
      <c r="P3140" s="100"/>
      <c r="Q3140" s="100"/>
      <c r="R3140" s="100"/>
      <c r="S3140" s="100"/>
      <c r="T3140" s="100"/>
      <c r="U3140" s="100"/>
      <c r="V3140" s="100"/>
      <c r="W3140" s="100"/>
      <c r="X3140" s="100"/>
      <c r="Y3140" s="100"/>
      <c r="Z3140" s="100"/>
    </row>
    <row r="3141" spans="1:26">
      <c r="A3141" s="100"/>
      <c r="B3141" s="100"/>
      <c r="C3141" s="100"/>
      <c r="D3141" s="100"/>
      <c r="E3141" s="100"/>
      <c r="F3141" s="100"/>
      <c r="G3141" s="100"/>
      <c r="H3141" s="100"/>
      <c r="I3141" s="100"/>
      <c r="J3141" s="100"/>
      <c r="K3141" s="100"/>
      <c r="L3141" s="100"/>
      <c r="M3141" s="100"/>
      <c r="N3141" s="100"/>
      <c r="O3141" s="100"/>
      <c r="P3141" s="100"/>
      <c r="Q3141" s="100"/>
      <c r="R3141" s="100"/>
      <c r="S3141" s="100"/>
      <c r="T3141" s="100"/>
      <c r="U3141" s="100"/>
      <c r="V3141" s="100"/>
      <c r="W3141" s="100"/>
      <c r="X3141" s="100"/>
      <c r="Y3141" s="100"/>
      <c r="Z3141" s="100"/>
    </row>
    <row r="3142" spans="1:26">
      <c r="A3142" s="100"/>
      <c r="B3142" s="100"/>
      <c r="C3142" s="100"/>
      <c r="D3142" s="100"/>
      <c r="E3142" s="100"/>
      <c r="F3142" s="100"/>
      <c r="G3142" s="100"/>
      <c r="H3142" s="100"/>
      <c r="I3142" s="100"/>
      <c r="J3142" s="100"/>
      <c r="K3142" s="100"/>
      <c r="L3142" s="100"/>
      <c r="M3142" s="100"/>
      <c r="N3142" s="100"/>
      <c r="O3142" s="100"/>
      <c r="P3142" s="100"/>
      <c r="Q3142" s="100"/>
      <c r="R3142" s="100"/>
      <c r="S3142" s="100"/>
      <c r="T3142" s="100"/>
      <c r="U3142" s="100"/>
      <c r="V3142" s="100"/>
      <c r="W3142" s="100"/>
      <c r="X3142" s="100"/>
      <c r="Y3142" s="100"/>
      <c r="Z3142" s="100"/>
    </row>
    <row r="3143" spans="1:26">
      <c r="A3143" s="100"/>
      <c r="B3143" s="100"/>
      <c r="C3143" s="100"/>
      <c r="D3143" s="100"/>
      <c r="E3143" s="100"/>
      <c r="F3143" s="100"/>
      <c r="G3143" s="100"/>
      <c r="H3143" s="100"/>
      <c r="I3143" s="100"/>
      <c r="J3143" s="100"/>
      <c r="K3143" s="100"/>
      <c r="L3143" s="100"/>
      <c r="M3143" s="100"/>
      <c r="N3143" s="100"/>
      <c r="O3143" s="100"/>
      <c r="P3143" s="100"/>
      <c r="Q3143" s="100"/>
      <c r="R3143" s="100"/>
      <c r="S3143" s="100"/>
      <c r="T3143" s="100"/>
      <c r="U3143" s="100"/>
      <c r="V3143" s="100"/>
      <c r="W3143" s="100"/>
      <c r="X3143" s="100"/>
      <c r="Y3143" s="100"/>
      <c r="Z3143" s="100"/>
    </row>
    <row r="3144" spans="1:26">
      <c r="A3144" s="100"/>
      <c r="B3144" s="100"/>
      <c r="C3144" s="100"/>
      <c r="D3144" s="100"/>
      <c r="E3144" s="100"/>
      <c r="F3144" s="100"/>
      <c r="G3144" s="100"/>
      <c r="H3144" s="100"/>
      <c r="I3144" s="100"/>
      <c r="J3144" s="100"/>
      <c r="K3144" s="100"/>
      <c r="L3144" s="100"/>
      <c r="M3144" s="100"/>
      <c r="N3144" s="100"/>
      <c r="O3144" s="100"/>
      <c r="P3144" s="100"/>
      <c r="Q3144" s="100"/>
      <c r="R3144" s="100"/>
      <c r="S3144" s="100"/>
      <c r="T3144" s="100"/>
      <c r="U3144" s="100"/>
      <c r="V3144" s="100"/>
      <c r="W3144" s="100"/>
      <c r="X3144" s="100"/>
      <c r="Y3144" s="100"/>
      <c r="Z3144" s="100"/>
    </row>
    <row r="3145" spans="1:26">
      <c r="A3145" s="100"/>
      <c r="B3145" s="100"/>
      <c r="C3145" s="100"/>
      <c r="D3145" s="100"/>
      <c r="E3145" s="100"/>
      <c r="F3145" s="100"/>
      <c r="G3145" s="100"/>
      <c r="H3145" s="100"/>
      <c r="I3145" s="100"/>
      <c r="J3145" s="100"/>
      <c r="K3145" s="100"/>
      <c r="L3145" s="100"/>
      <c r="M3145" s="100"/>
      <c r="N3145" s="100"/>
      <c r="O3145" s="100"/>
      <c r="P3145" s="100"/>
      <c r="Q3145" s="100"/>
      <c r="R3145" s="100"/>
      <c r="S3145" s="100"/>
      <c r="T3145" s="100"/>
      <c r="U3145" s="100"/>
      <c r="V3145" s="100"/>
      <c r="W3145" s="100"/>
      <c r="X3145" s="100"/>
      <c r="Y3145" s="100"/>
      <c r="Z3145" s="100"/>
    </row>
    <row r="3146" spans="1:26">
      <c r="A3146" s="100"/>
      <c r="B3146" s="100"/>
      <c r="C3146" s="100"/>
      <c r="D3146" s="100"/>
      <c r="E3146" s="100"/>
      <c r="F3146" s="100"/>
      <c r="G3146" s="100"/>
      <c r="H3146" s="100"/>
      <c r="I3146" s="100"/>
      <c r="J3146" s="100"/>
      <c r="K3146" s="100"/>
      <c r="L3146" s="100"/>
      <c r="M3146" s="100"/>
      <c r="N3146" s="100"/>
      <c r="O3146" s="100"/>
      <c r="P3146" s="100"/>
      <c r="Q3146" s="100"/>
      <c r="R3146" s="100"/>
      <c r="S3146" s="100"/>
      <c r="T3146" s="100"/>
      <c r="U3146" s="100"/>
      <c r="V3146" s="100"/>
      <c r="W3146" s="100"/>
      <c r="X3146" s="100"/>
      <c r="Y3146" s="100"/>
      <c r="Z3146" s="100"/>
    </row>
    <row r="3147" spans="1:26">
      <c r="A3147" s="100"/>
      <c r="B3147" s="100"/>
      <c r="C3147" s="100"/>
      <c r="D3147" s="100"/>
      <c r="E3147" s="100"/>
      <c r="F3147" s="100"/>
      <c r="G3147" s="100"/>
      <c r="H3147" s="100"/>
      <c r="I3147" s="100"/>
      <c r="J3147" s="100"/>
      <c r="K3147" s="100"/>
      <c r="L3147" s="100"/>
      <c r="M3147" s="100"/>
      <c r="N3147" s="100"/>
      <c r="O3147" s="100"/>
      <c r="P3147" s="100"/>
      <c r="Q3147" s="100"/>
      <c r="R3147" s="100"/>
      <c r="S3147" s="100"/>
      <c r="T3147" s="100"/>
      <c r="U3147" s="100"/>
      <c r="V3147" s="100"/>
      <c r="W3147" s="100"/>
      <c r="X3147" s="100"/>
      <c r="Y3147" s="100"/>
      <c r="Z3147" s="100"/>
    </row>
    <row r="3148" spans="1:26">
      <c r="A3148" s="100"/>
      <c r="B3148" s="100"/>
      <c r="C3148" s="100"/>
      <c r="D3148" s="100"/>
      <c r="E3148" s="100"/>
      <c r="F3148" s="100"/>
      <c r="G3148" s="100"/>
      <c r="H3148" s="100"/>
      <c r="I3148" s="100"/>
      <c r="J3148" s="100"/>
      <c r="K3148" s="100"/>
      <c r="L3148" s="100"/>
      <c r="M3148" s="100"/>
      <c r="N3148" s="100"/>
      <c r="O3148" s="100"/>
      <c r="P3148" s="100"/>
      <c r="Q3148" s="100"/>
      <c r="R3148" s="100"/>
      <c r="S3148" s="100"/>
      <c r="T3148" s="100"/>
      <c r="U3148" s="100"/>
      <c r="V3148" s="100"/>
      <c r="W3148" s="100"/>
      <c r="X3148" s="100"/>
      <c r="Y3148" s="100"/>
      <c r="Z3148" s="100"/>
    </row>
    <row r="3149" spans="1:26">
      <c r="A3149" s="100"/>
      <c r="B3149" s="100"/>
      <c r="C3149" s="100"/>
      <c r="D3149" s="100"/>
      <c r="E3149" s="100"/>
      <c r="F3149" s="100"/>
      <c r="G3149" s="100"/>
      <c r="H3149" s="100"/>
      <c r="I3149" s="100"/>
      <c r="J3149" s="100"/>
      <c r="K3149" s="100"/>
      <c r="L3149" s="100"/>
      <c r="M3149" s="100"/>
      <c r="N3149" s="100"/>
      <c r="O3149" s="100"/>
      <c r="P3149" s="100"/>
      <c r="Q3149" s="100"/>
      <c r="R3149" s="100"/>
      <c r="S3149" s="100"/>
      <c r="T3149" s="100"/>
      <c r="U3149" s="100"/>
      <c r="V3149" s="100"/>
      <c r="W3149" s="100"/>
      <c r="X3149" s="100"/>
      <c r="Y3149" s="100"/>
      <c r="Z3149" s="100"/>
    </row>
    <row r="3150" spans="1:26">
      <c r="A3150" s="100"/>
      <c r="B3150" s="100"/>
      <c r="C3150" s="100"/>
      <c r="D3150" s="100"/>
      <c r="E3150" s="100"/>
      <c r="F3150" s="100"/>
      <c r="G3150" s="100"/>
      <c r="H3150" s="100"/>
      <c r="I3150" s="100"/>
      <c r="J3150" s="100"/>
      <c r="K3150" s="100"/>
      <c r="L3150" s="100"/>
      <c r="M3150" s="100"/>
      <c r="N3150" s="100"/>
      <c r="O3150" s="100"/>
      <c r="P3150" s="100"/>
      <c r="Q3150" s="100"/>
      <c r="R3150" s="100"/>
      <c r="S3150" s="100"/>
      <c r="T3150" s="100"/>
      <c r="U3150" s="100"/>
      <c r="V3150" s="100"/>
      <c r="W3150" s="100"/>
      <c r="X3150" s="100"/>
      <c r="Y3150" s="100"/>
      <c r="Z3150" s="100"/>
    </row>
    <row r="3151" spans="1:26">
      <c r="A3151" s="100"/>
      <c r="B3151" s="100"/>
      <c r="C3151" s="100"/>
      <c r="D3151" s="100"/>
      <c r="E3151" s="100"/>
      <c r="F3151" s="100"/>
      <c r="G3151" s="100"/>
      <c r="H3151" s="100"/>
      <c r="I3151" s="100"/>
      <c r="J3151" s="100"/>
      <c r="K3151" s="100"/>
      <c r="L3151" s="100"/>
      <c r="M3151" s="100"/>
      <c r="N3151" s="100"/>
      <c r="O3151" s="100"/>
      <c r="P3151" s="100"/>
      <c r="Q3151" s="100"/>
      <c r="R3151" s="100"/>
      <c r="S3151" s="100"/>
      <c r="T3151" s="100"/>
      <c r="U3151" s="100"/>
      <c r="V3151" s="100"/>
      <c r="W3151" s="100"/>
      <c r="X3151" s="100"/>
      <c r="Y3151" s="100"/>
      <c r="Z3151" s="100"/>
    </row>
    <row r="3152" spans="1:26">
      <c r="A3152" s="100"/>
      <c r="B3152" s="100"/>
      <c r="C3152" s="100"/>
      <c r="D3152" s="100"/>
      <c r="E3152" s="100"/>
      <c r="F3152" s="100"/>
      <c r="G3152" s="100"/>
      <c r="H3152" s="100"/>
      <c r="I3152" s="100"/>
      <c r="J3152" s="100"/>
      <c r="K3152" s="100"/>
      <c r="L3152" s="100"/>
      <c r="M3152" s="100"/>
      <c r="N3152" s="100"/>
      <c r="O3152" s="100"/>
      <c r="P3152" s="100"/>
      <c r="Q3152" s="100"/>
      <c r="R3152" s="100"/>
      <c r="S3152" s="100"/>
      <c r="T3152" s="100"/>
      <c r="U3152" s="100"/>
      <c r="V3152" s="100"/>
      <c r="W3152" s="100"/>
      <c r="X3152" s="100"/>
      <c r="Y3152" s="100"/>
      <c r="Z3152" s="100"/>
    </row>
    <row r="3153" spans="1:26">
      <c r="A3153" s="100"/>
      <c r="B3153" s="100"/>
      <c r="C3153" s="100"/>
      <c r="D3153" s="100"/>
      <c r="E3153" s="100"/>
      <c r="F3153" s="100"/>
      <c r="G3153" s="100"/>
      <c r="H3153" s="100"/>
      <c r="I3153" s="100"/>
      <c r="J3153" s="100"/>
      <c r="K3153" s="100"/>
      <c r="L3153" s="100"/>
      <c r="M3153" s="100"/>
      <c r="N3153" s="100"/>
      <c r="O3153" s="100"/>
      <c r="P3153" s="100"/>
      <c r="Q3153" s="100"/>
      <c r="R3153" s="100"/>
      <c r="S3153" s="100"/>
      <c r="T3153" s="100"/>
      <c r="U3153" s="100"/>
      <c r="V3153" s="100"/>
      <c r="W3153" s="100"/>
      <c r="X3153" s="100"/>
      <c r="Y3153" s="100"/>
      <c r="Z3153" s="100"/>
    </row>
    <row r="3154" spans="1:26">
      <c r="A3154" s="100"/>
      <c r="B3154" s="100"/>
      <c r="C3154" s="100"/>
      <c r="D3154" s="100"/>
      <c r="E3154" s="100"/>
      <c r="F3154" s="100"/>
      <c r="G3154" s="100"/>
      <c r="H3154" s="100"/>
      <c r="I3154" s="100"/>
      <c r="J3154" s="100"/>
      <c r="K3154" s="100"/>
      <c r="L3154" s="100"/>
      <c r="M3154" s="100"/>
      <c r="N3154" s="100"/>
      <c r="O3154" s="100"/>
      <c r="P3154" s="100"/>
      <c r="Q3154" s="100"/>
      <c r="R3154" s="100"/>
      <c r="S3154" s="100"/>
      <c r="T3154" s="100"/>
      <c r="U3154" s="100"/>
      <c r="V3154" s="100"/>
      <c r="W3154" s="100"/>
      <c r="X3154" s="100"/>
      <c r="Y3154" s="100"/>
      <c r="Z3154" s="100"/>
    </row>
    <row r="3155" spans="1:26">
      <c r="A3155" s="100"/>
      <c r="B3155" s="100"/>
      <c r="C3155" s="100"/>
      <c r="D3155" s="100"/>
      <c r="E3155" s="100"/>
      <c r="F3155" s="100"/>
      <c r="G3155" s="100"/>
      <c r="H3155" s="100"/>
      <c r="I3155" s="100"/>
      <c r="J3155" s="100"/>
      <c r="K3155" s="100"/>
      <c r="L3155" s="100"/>
      <c r="M3155" s="100"/>
      <c r="N3155" s="100"/>
      <c r="O3155" s="100"/>
      <c r="P3155" s="100"/>
      <c r="Q3155" s="100"/>
      <c r="R3155" s="100"/>
      <c r="S3155" s="100"/>
      <c r="T3155" s="100"/>
      <c r="U3155" s="100"/>
      <c r="V3155" s="100"/>
      <c r="W3155" s="100"/>
      <c r="X3155" s="100"/>
      <c r="Y3155" s="100"/>
      <c r="Z3155" s="100"/>
    </row>
    <row r="3156" spans="1:26">
      <c r="A3156" s="100"/>
      <c r="B3156" s="100"/>
      <c r="C3156" s="100"/>
      <c r="D3156" s="100"/>
      <c r="E3156" s="100"/>
      <c r="F3156" s="100"/>
      <c r="G3156" s="100"/>
      <c r="H3156" s="100"/>
      <c r="I3156" s="100"/>
      <c r="J3156" s="100"/>
      <c r="K3156" s="100"/>
      <c r="L3156" s="100"/>
      <c r="M3156" s="100"/>
      <c r="N3156" s="100"/>
      <c r="O3156" s="100"/>
      <c r="P3156" s="100"/>
      <c r="Q3156" s="100"/>
      <c r="R3156" s="100"/>
      <c r="S3156" s="100"/>
      <c r="T3156" s="100"/>
      <c r="U3156" s="100"/>
      <c r="V3156" s="100"/>
      <c r="W3156" s="100"/>
      <c r="X3156" s="100"/>
      <c r="Y3156" s="100"/>
      <c r="Z3156" s="100"/>
    </row>
    <row r="3157" spans="1:26">
      <c r="A3157" s="100"/>
      <c r="B3157" s="100"/>
      <c r="C3157" s="100"/>
      <c r="D3157" s="100"/>
      <c r="E3157" s="100"/>
      <c r="F3157" s="100"/>
      <c r="G3157" s="100"/>
      <c r="H3157" s="100"/>
      <c r="I3157" s="100"/>
      <c r="J3157" s="100"/>
      <c r="K3157" s="100"/>
      <c r="L3157" s="100"/>
      <c r="M3157" s="100"/>
      <c r="N3157" s="100"/>
      <c r="O3157" s="100"/>
      <c r="P3157" s="100"/>
      <c r="Q3157" s="100"/>
      <c r="R3157" s="100"/>
      <c r="S3157" s="100"/>
      <c r="T3157" s="100"/>
      <c r="U3157" s="100"/>
      <c r="V3157" s="100"/>
      <c r="W3157" s="100"/>
      <c r="X3157" s="100"/>
      <c r="Y3157" s="100"/>
      <c r="Z3157" s="100"/>
    </row>
    <row r="3158" spans="1:26">
      <c r="A3158" s="100"/>
      <c r="B3158" s="100"/>
      <c r="C3158" s="100"/>
      <c r="D3158" s="100"/>
      <c r="E3158" s="100"/>
      <c r="F3158" s="100"/>
      <c r="G3158" s="100"/>
      <c r="H3158" s="100"/>
      <c r="I3158" s="100"/>
      <c r="J3158" s="100"/>
      <c r="K3158" s="100"/>
      <c r="L3158" s="100"/>
      <c r="M3158" s="100"/>
      <c r="N3158" s="100"/>
      <c r="O3158" s="100"/>
      <c r="P3158" s="100"/>
      <c r="Q3158" s="100"/>
      <c r="R3158" s="100"/>
      <c r="S3158" s="100"/>
      <c r="T3158" s="100"/>
      <c r="U3158" s="100"/>
      <c r="V3158" s="100"/>
      <c r="W3158" s="100"/>
      <c r="X3158" s="100"/>
      <c r="Y3158" s="100"/>
      <c r="Z3158" s="100"/>
    </row>
    <row r="3159" spans="1:26">
      <c r="A3159" s="100"/>
      <c r="B3159" s="100"/>
      <c r="C3159" s="100"/>
      <c r="D3159" s="100"/>
      <c r="E3159" s="100"/>
      <c r="F3159" s="100"/>
      <c r="G3159" s="100"/>
      <c r="H3159" s="100"/>
      <c r="I3159" s="100"/>
      <c r="J3159" s="100"/>
      <c r="K3159" s="100"/>
      <c r="L3159" s="100"/>
      <c r="M3159" s="100"/>
      <c r="N3159" s="100"/>
      <c r="O3159" s="100"/>
      <c r="P3159" s="100"/>
      <c r="Q3159" s="100"/>
      <c r="R3159" s="100"/>
      <c r="S3159" s="100"/>
      <c r="T3159" s="100"/>
      <c r="U3159" s="100"/>
      <c r="V3159" s="100"/>
      <c r="W3159" s="100"/>
      <c r="X3159" s="100"/>
      <c r="Y3159" s="100"/>
      <c r="Z3159" s="100"/>
    </row>
    <row r="3160" spans="1:26">
      <c r="A3160" s="100"/>
      <c r="B3160" s="100"/>
      <c r="C3160" s="100"/>
      <c r="D3160" s="100"/>
      <c r="E3160" s="100"/>
      <c r="F3160" s="100"/>
      <c r="G3160" s="100"/>
      <c r="H3160" s="100"/>
      <c r="I3160" s="100"/>
      <c r="J3160" s="100"/>
      <c r="K3160" s="100"/>
      <c r="L3160" s="100"/>
      <c r="M3160" s="100"/>
      <c r="N3160" s="100"/>
      <c r="O3160" s="100"/>
      <c r="P3160" s="100"/>
      <c r="Q3160" s="100"/>
      <c r="R3160" s="100"/>
      <c r="S3160" s="100"/>
      <c r="T3160" s="100"/>
      <c r="U3160" s="100"/>
      <c r="V3160" s="100"/>
      <c r="W3160" s="100"/>
      <c r="X3160" s="100"/>
      <c r="Y3160" s="100"/>
      <c r="Z3160" s="100"/>
    </row>
    <row r="3161" spans="1:26">
      <c r="A3161" s="100"/>
      <c r="B3161" s="100"/>
      <c r="C3161" s="100"/>
      <c r="D3161" s="100"/>
      <c r="E3161" s="100"/>
      <c r="F3161" s="100"/>
      <c r="G3161" s="100"/>
      <c r="H3161" s="100"/>
      <c r="I3161" s="100"/>
      <c r="J3161" s="100"/>
      <c r="K3161" s="100"/>
      <c r="L3161" s="100"/>
      <c r="M3161" s="100"/>
      <c r="N3161" s="100"/>
      <c r="O3161" s="100"/>
      <c r="P3161" s="100"/>
      <c r="Q3161" s="100"/>
      <c r="R3161" s="100"/>
      <c r="S3161" s="100"/>
      <c r="T3161" s="100"/>
      <c r="U3161" s="100"/>
      <c r="V3161" s="100"/>
      <c r="W3161" s="100"/>
      <c r="X3161" s="100"/>
      <c r="Y3161" s="100"/>
      <c r="Z3161" s="100"/>
    </row>
    <row r="3162" spans="1:26">
      <c r="A3162" s="100"/>
      <c r="B3162" s="100"/>
      <c r="C3162" s="100"/>
      <c r="D3162" s="100"/>
      <c r="E3162" s="100"/>
      <c r="F3162" s="100"/>
      <c r="G3162" s="100"/>
      <c r="H3162" s="100"/>
      <c r="I3162" s="100"/>
      <c r="J3162" s="100"/>
      <c r="K3162" s="100"/>
      <c r="L3162" s="100"/>
      <c r="M3162" s="100"/>
      <c r="N3162" s="100"/>
      <c r="O3162" s="100"/>
      <c r="P3162" s="100"/>
      <c r="Q3162" s="100"/>
      <c r="R3162" s="100"/>
      <c r="S3162" s="100"/>
      <c r="T3162" s="100"/>
      <c r="U3162" s="100"/>
      <c r="V3162" s="100"/>
      <c r="W3162" s="100"/>
      <c r="X3162" s="100"/>
      <c r="Y3162" s="100"/>
      <c r="Z3162" s="100"/>
    </row>
    <row r="3163" spans="1:26">
      <c r="A3163" s="100"/>
      <c r="B3163" s="100"/>
      <c r="C3163" s="100"/>
      <c r="D3163" s="100"/>
      <c r="E3163" s="100"/>
      <c r="F3163" s="100"/>
      <c r="G3163" s="100"/>
      <c r="H3163" s="100"/>
      <c r="I3163" s="100"/>
      <c r="J3163" s="100"/>
      <c r="K3163" s="100"/>
      <c r="L3163" s="100"/>
      <c r="M3163" s="100"/>
      <c r="N3163" s="100"/>
      <c r="O3163" s="100"/>
      <c r="P3163" s="100"/>
      <c r="Q3163" s="100"/>
      <c r="R3163" s="100"/>
      <c r="S3163" s="100"/>
      <c r="T3163" s="100"/>
      <c r="U3163" s="100"/>
      <c r="V3163" s="100"/>
      <c r="W3163" s="100"/>
      <c r="X3163" s="100"/>
      <c r="Y3163" s="100"/>
      <c r="Z3163" s="100"/>
    </row>
    <row r="3164" spans="1:26">
      <c r="A3164" s="100"/>
      <c r="B3164" s="100"/>
      <c r="C3164" s="100"/>
      <c r="D3164" s="100"/>
      <c r="E3164" s="100"/>
      <c r="F3164" s="100"/>
      <c r="G3164" s="100"/>
      <c r="H3164" s="100"/>
      <c r="I3164" s="100"/>
      <c r="J3164" s="100"/>
      <c r="K3164" s="100"/>
      <c r="L3164" s="100"/>
      <c r="M3164" s="100"/>
      <c r="N3164" s="100"/>
      <c r="O3164" s="100"/>
      <c r="P3164" s="100"/>
      <c r="Q3164" s="100"/>
      <c r="R3164" s="100"/>
      <c r="S3164" s="100"/>
      <c r="T3164" s="100"/>
      <c r="U3164" s="100"/>
      <c r="V3164" s="100"/>
      <c r="W3164" s="100"/>
      <c r="X3164" s="100"/>
      <c r="Y3164" s="100"/>
      <c r="Z3164" s="100"/>
    </row>
    <row r="3165" spans="1:26">
      <c r="A3165" s="100"/>
      <c r="B3165" s="100"/>
      <c r="C3165" s="100"/>
      <c r="D3165" s="100"/>
      <c r="E3165" s="100"/>
      <c r="F3165" s="100"/>
      <c r="G3165" s="100"/>
      <c r="H3165" s="100"/>
      <c r="I3165" s="100"/>
      <c r="J3165" s="100"/>
      <c r="K3165" s="100"/>
      <c r="L3165" s="100"/>
      <c r="M3165" s="100"/>
      <c r="N3165" s="100"/>
      <c r="O3165" s="100"/>
      <c r="P3165" s="100"/>
      <c r="Q3165" s="100"/>
      <c r="R3165" s="100"/>
      <c r="S3165" s="100"/>
      <c r="T3165" s="100"/>
      <c r="U3165" s="100"/>
      <c r="V3165" s="100"/>
      <c r="W3165" s="100"/>
      <c r="X3165" s="100"/>
      <c r="Y3165" s="100"/>
      <c r="Z3165" s="100"/>
    </row>
    <row r="3166" spans="1:26">
      <c r="A3166" s="100"/>
      <c r="B3166" s="100"/>
      <c r="C3166" s="100"/>
      <c r="D3166" s="100"/>
      <c r="E3166" s="100"/>
      <c r="F3166" s="100"/>
      <c r="G3166" s="100"/>
      <c r="H3166" s="100"/>
      <c r="I3166" s="100"/>
      <c r="J3166" s="100"/>
      <c r="K3166" s="100"/>
      <c r="L3166" s="100"/>
      <c r="M3166" s="100"/>
      <c r="N3166" s="100"/>
      <c r="O3166" s="100"/>
      <c r="P3166" s="100"/>
      <c r="Q3166" s="100"/>
      <c r="R3166" s="100"/>
      <c r="S3166" s="100"/>
      <c r="T3166" s="100"/>
      <c r="U3166" s="100"/>
      <c r="V3166" s="100"/>
      <c r="W3166" s="100"/>
      <c r="X3166" s="100"/>
      <c r="Y3166" s="100"/>
      <c r="Z3166" s="100"/>
    </row>
    <row r="3167" spans="1:26">
      <c r="A3167" s="100"/>
      <c r="B3167" s="100"/>
      <c r="C3167" s="100"/>
      <c r="D3167" s="100"/>
      <c r="E3167" s="100"/>
      <c r="F3167" s="100"/>
      <c r="G3167" s="100"/>
      <c r="H3167" s="100"/>
      <c r="I3167" s="100"/>
      <c r="J3167" s="100"/>
      <c r="K3167" s="100"/>
      <c r="L3167" s="100"/>
      <c r="M3167" s="100"/>
      <c r="N3167" s="100"/>
      <c r="O3167" s="100"/>
      <c r="P3167" s="100"/>
      <c r="Q3167" s="100"/>
      <c r="R3167" s="100"/>
      <c r="S3167" s="100"/>
      <c r="T3167" s="100"/>
      <c r="U3167" s="100"/>
      <c r="V3167" s="100"/>
      <c r="W3167" s="100"/>
      <c r="X3167" s="100"/>
      <c r="Y3167" s="100"/>
      <c r="Z3167" s="100"/>
    </row>
    <row r="3168" spans="1:26">
      <c r="A3168" s="100"/>
      <c r="B3168" s="100"/>
      <c r="C3168" s="100"/>
      <c r="D3168" s="100"/>
      <c r="E3168" s="100"/>
      <c r="F3168" s="100"/>
      <c r="G3168" s="100"/>
      <c r="H3168" s="100"/>
      <c r="I3168" s="100"/>
      <c r="J3168" s="100"/>
      <c r="K3168" s="100"/>
      <c r="L3168" s="100"/>
      <c r="M3168" s="100"/>
      <c r="N3168" s="100"/>
      <c r="O3168" s="100"/>
      <c r="P3168" s="100"/>
      <c r="Q3168" s="100"/>
      <c r="R3168" s="100"/>
      <c r="S3168" s="100"/>
      <c r="T3168" s="100"/>
      <c r="U3168" s="100"/>
      <c r="V3168" s="100"/>
      <c r="W3168" s="100"/>
      <c r="X3168" s="100"/>
      <c r="Y3168" s="100"/>
      <c r="Z3168" s="100"/>
    </row>
    <row r="3169" spans="1:26">
      <c r="A3169" s="100"/>
      <c r="B3169" s="100"/>
      <c r="C3169" s="100"/>
      <c r="D3169" s="100"/>
      <c r="E3169" s="100"/>
      <c r="F3169" s="100"/>
      <c r="G3169" s="100"/>
      <c r="H3169" s="100"/>
      <c r="I3169" s="100"/>
      <c r="J3169" s="100"/>
      <c r="K3169" s="100"/>
      <c r="L3169" s="100"/>
      <c r="M3169" s="100"/>
      <c r="N3169" s="100"/>
      <c r="O3169" s="100"/>
      <c r="P3169" s="100"/>
      <c r="Q3169" s="100"/>
      <c r="R3169" s="100"/>
      <c r="S3169" s="100"/>
      <c r="T3169" s="100"/>
      <c r="U3169" s="100"/>
      <c r="V3169" s="100"/>
      <c r="W3169" s="100"/>
      <c r="X3169" s="100"/>
      <c r="Y3169" s="100"/>
      <c r="Z3169" s="100"/>
    </row>
    <row r="3170" spans="1:26">
      <c r="A3170" s="100"/>
      <c r="B3170" s="100"/>
      <c r="C3170" s="100"/>
      <c r="D3170" s="100"/>
      <c r="E3170" s="100"/>
      <c r="F3170" s="100"/>
      <c r="G3170" s="100"/>
      <c r="H3170" s="100"/>
      <c r="I3170" s="100"/>
      <c r="J3170" s="100"/>
      <c r="K3170" s="100"/>
      <c r="L3170" s="100"/>
      <c r="M3170" s="100"/>
      <c r="N3170" s="100"/>
      <c r="O3170" s="100"/>
      <c r="P3170" s="100"/>
      <c r="Q3170" s="100"/>
      <c r="R3170" s="100"/>
      <c r="S3170" s="100"/>
      <c r="T3170" s="100"/>
      <c r="U3170" s="100"/>
      <c r="V3170" s="100"/>
      <c r="W3170" s="100"/>
      <c r="X3170" s="100"/>
      <c r="Y3170" s="100"/>
      <c r="Z3170" s="100"/>
    </row>
    <row r="3171" spans="1:26">
      <c r="A3171" s="100"/>
      <c r="B3171" s="100"/>
      <c r="C3171" s="100"/>
      <c r="D3171" s="100"/>
      <c r="E3171" s="100"/>
      <c r="F3171" s="100"/>
      <c r="G3171" s="100"/>
      <c r="H3171" s="100"/>
      <c r="I3171" s="100"/>
      <c r="J3171" s="100"/>
      <c r="K3171" s="100"/>
      <c r="L3171" s="100"/>
      <c r="M3171" s="100"/>
      <c r="N3171" s="100"/>
      <c r="O3171" s="100"/>
      <c r="P3171" s="100"/>
      <c r="Q3171" s="100"/>
      <c r="R3171" s="100"/>
      <c r="S3171" s="100"/>
      <c r="T3171" s="100"/>
      <c r="U3171" s="100"/>
      <c r="V3171" s="100"/>
      <c r="W3171" s="100"/>
      <c r="X3171" s="100"/>
      <c r="Y3171" s="100"/>
      <c r="Z3171" s="100"/>
    </row>
    <row r="3172" spans="1:26">
      <c r="A3172" s="100"/>
      <c r="B3172" s="100"/>
      <c r="C3172" s="100"/>
      <c r="D3172" s="100"/>
      <c r="E3172" s="100"/>
      <c r="F3172" s="100"/>
      <c r="G3172" s="100"/>
      <c r="H3172" s="100"/>
      <c r="I3172" s="100"/>
      <c r="J3172" s="100"/>
      <c r="K3172" s="100"/>
      <c r="L3172" s="100"/>
      <c r="M3172" s="100"/>
      <c r="N3172" s="100"/>
      <c r="O3172" s="100"/>
      <c r="P3172" s="100"/>
      <c r="Q3172" s="100"/>
      <c r="R3172" s="100"/>
      <c r="S3172" s="100"/>
      <c r="T3172" s="100"/>
      <c r="U3172" s="100"/>
      <c r="V3172" s="100"/>
      <c r="W3172" s="100"/>
      <c r="X3172" s="100"/>
      <c r="Y3172" s="100"/>
      <c r="Z3172" s="100"/>
    </row>
    <row r="3173" spans="1:26">
      <c r="A3173" s="100"/>
      <c r="B3173" s="100"/>
      <c r="C3173" s="100"/>
      <c r="D3173" s="100"/>
      <c r="E3173" s="100"/>
      <c r="F3173" s="100"/>
      <c r="G3173" s="100"/>
      <c r="H3173" s="100"/>
      <c r="I3173" s="100"/>
      <c r="J3173" s="100"/>
      <c r="K3173" s="100"/>
      <c r="L3173" s="100"/>
      <c r="M3173" s="100"/>
      <c r="N3173" s="100"/>
      <c r="O3173" s="100"/>
      <c r="P3173" s="100"/>
      <c r="Q3173" s="100"/>
      <c r="R3173" s="100"/>
      <c r="S3173" s="100"/>
      <c r="T3173" s="100"/>
      <c r="U3173" s="100"/>
      <c r="V3173" s="100"/>
      <c r="W3173" s="100"/>
      <c r="X3173" s="100"/>
      <c r="Y3173" s="100"/>
      <c r="Z3173" s="100"/>
    </row>
    <row r="3174" spans="1:26">
      <c r="A3174" s="100"/>
      <c r="B3174" s="100"/>
      <c r="C3174" s="100"/>
      <c r="D3174" s="100"/>
      <c r="E3174" s="100"/>
      <c r="F3174" s="100"/>
      <c r="G3174" s="100"/>
      <c r="H3174" s="100"/>
      <c r="I3174" s="100"/>
      <c r="J3174" s="100"/>
      <c r="K3174" s="100"/>
      <c r="L3174" s="100"/>
      <c r="M3174" s="100"/>
      <c r="N3174" s="100"/>
      <c r="O3174" s="100"/>
      <c r="P3174" s="100"/>
      <c r="Q3174" s="100"/>
      <c r="R3174" s="100"/>
      <c r="S3174" s="100"/>
      <c r="T3174" s="100"/>
      <c r="U3174" s="100"/>
      <c r="V3174" s="100"/>
      <c r="W3174" s="100"/>
      <c r="X3174" s="100"/>
      <c r="Y3174" s="100"/>
      <c r="Z3174" s="100"/>
    </row>
    <row r="3175" spans="1:26">
      <c r="A3175" s="100"/>
      <c r="B3175" s="100"/>
      <c r="C3175" s="100"/>
      <c r="D3175" s="100"/>
      <c r="E3175" s="100"/>
      <c r="F3175" s="100"/>
      <c r="G3175" s="100"/>
      <c r="H3175" s="100"/>
      <c r="I3175" s="100"/>
      <c r="J3175" s="100"/>
      <c r="K3175" s="100"/>
      <c r="L3175" s="100"/>
      <c r="M3175" s="100"/>
      <c r="N3175" s="100"/>
      <c r="O3175" s="100"/>
      <c r="P3175" s="100"/>
      <c r="Q3175" s="100"/>
      <c r="R3175" s="100"/>
      <c r="S3175" s="100"/>
      <c r="T3175" s="100"/>
      <c r="U3175" s="100"/>
      <c r="V3175" s="100"/>
      <c r="W3175" s="100"/>
      <c r="X3175" s="100"/>
      <c r="Y3175" s="100"/>
      <c r="Z3175" s="100"/>
    </row>
    <row r="3176" spans="1:26">
      <c r="A3176" s="100"/>
      <c r="B3176" s="100"/>
      <c r="C3176" s="100"/>
      <c r="D3176" s="100"/>
      <c r="E3176" s="100"/>
      <c r="F3176" s="100"/>
      <c r="G3176" s="100"/>
      <c r="H3176" s="100"/>
      <c r="I3176" s="100"/>
      <c r="J3176" s="100"/>
      <c r="K3176" s="100"/>
      <c r="L3176" s="100"/>
      <c r="M3176" s="100"/>
      <c r="N3176" s="100"/>
      <c r="O3176" s="100"/>
      <c r="P3176" s="100"/>
      <c r="Q3176" s="100"/>
      <c r="R3176" s="100"/>
      <c r="S3176" s="100"/>
      <c r="T3176" s="100"/>
      <c r="U3176" s="100"/>
      <c r="V3176" s="100"/>
      <c r="W3176" s="100"/>
      <c r="X3176" s="100"/>
      <c r="Y3176" s="100"/>
      <c r="Z3176" s="100"/>
    </row>
    <row r="3177" spans="1:26">
      <c r="A3177" s="100"/>
      <c r="B3177" s="100"/>
      <c r="C3177" s="100"/>
      <c r="D3177" s="100"/>
      <c r="E3177" s="100"/>
      <c r="F3177" s="100"/>
      <c r="G3177" s="100"/>
      <c r="H3177" s="100"/>
      <c r="I3177" s="100"/>
      <c r="J3177" s="100"/>
      <c r="K3177" s="100"/>
      <c r="L3177" s="100"/>
      <c r="M3177" s="100"/>
      <c r="N3177" s="100"/>
      <c r="O3177" s="100"/>
      <c r="P3177" s="100"/>
      <c r="Q3177" s="100"/>
      <c r="R3177" s="100"/>
      <c r="S3177" s="100"/>
      <c r="T3177" s="100"/>
      <c r="U3177" s="100"/>
      <c r="V3177" s="100"/>
      <c r="W3177" s="100"/>
      <c r="X3177" s="100"/>
      <c r="Y3177" s="100"/>
      <c r="Z3177" s="100"/>
    </row>
    <row r="3178" spans="1:26">
      <c r="A3178" s="100"/>
      <c r="B3178" s="100"/>
      <c r="C3178" s="100"/>
      <c r="D3178" s="100"/>
      <c r="E3178" s="100"/>
      <c r="F3178" s="100"/>
      <c r="G3178" s="100"/>
      <c r="H3178" s="100"/>
      <c r="I3178" s="100"/>
      <c r="J3178" s="100"/>
      <c r="K3178" s="100"/>
      <c r="L3178" s="100"/>
      <c r="M3178" s="100"/>
      <c r="N3178" s="100"/>
      <c r="O3178" s="100"/>
      <c r="P3178" s="100"/>
      <c r="Q3178" s="100"/>
      <c r="R3178" s="100"/>
      <c r="S3178" s="100"/>
      <c r="T3178" s="100"/>
      <c r="U3178" s="100"/>
      <c r="V3178" s="100"/>
      <c r="W3178" s="100"/>
      <c r="X3178" s="100"/>
      <c r="Y3178" s="100"/>
      <c r="Z3178" s="100"/>
    </row>
    <row r="3179" spans="1:26">
      <c r="A3179" s="100"/>
      <c r="B3179" s="100"/>
      <c r="C3179" s="100"/>
      <c r="D3179" s="100"/>
      <c r="E3179" s="100"/>
      <c r="F3179" s="100"/>
      <c r="G3179" s="100"/>
      <c r="H3179" s="100"/>
      <c r="I3179" s="100"/>
      <c r="J3179" s="100"/>
      <c r="K3179" s="100"/>
      <c r="L3179" s="100"/>
      <c r="M3179" s="100"/>
      <c r="N3179" s="100"/>
      <c r="O3179" s="100"/>
      <c r="P3179" s="100"/>
      <c r="Q3179" s="100"/>
      <c r="R3179" s="100"/>
      <c r="S3179" s="100"/>
      <c r="T3179" s="100"/>
      <c r="U3179" s="100"/>
      <c r="V3179" s="100"/>
      <c r="W3179" s="100"/>
      <c r="X3179" s="100"/>
      <c r="Y3179" s="100"/>
      <c r="Z3179" s="100"/>
    </row>
    <row r="3180" spans="1:26">
      <c r="A3180" s="100"/>
      <c r="B3180" s="100"/>
      <c r="C3180" s="100"/>
      <c r="D3180" s="100"/>
      <c r="E3180" s="100"/>
      <c r="F3180" s="100"/>
      <c r="G3180" s="100"/>
      <c r="H3180" s="100"/>
      <c r="I3180" s="100"/>
      <c r="J3180" s="100"/>
      <c r="K3180" s="100"/>
      <c r="L3180" s="100"/>
      <c r="M3180" s="100"/>
      <c r="N3180" s="100"/>
      <c r="O3180" s="100"/>
      <c r="P3180" s="100"/>
      <c r="Q3180" s="100"/>
      <c r="R3180" s="100"/>
      <c r="S3180" s="100"/>
      <c r="T3180" s="100"/>
      <c r="U3180" s="100"/>
      <c r="V3180" s="100"/>
      <c r="W3180" s="100"/>
      <c r="X3180" s="100"/>
      <c r="Y3180" s="100"/>
      <c r="Z3180" s="100"/>
    </row>
    <row r="3181" spans="1:26">
      <c r="A3181" s="100"/>
      <c r="B3181" s="100"/>
      <c r="C3181" s="100"/>
      <c r="D3181" s="100"/>
      <c r="E3181" s="100"/>
      <c r="F3181" s="100"/>
      <c r="G3181" s="100"/>
      <c r="H3181" s="100"/>
      <c r="I3181" s="100"/>
      <c r="J3181" s="100"/>
      <c r="K3181" s="100"/>
      <c r="L3181" s="100"/>
      <c r="M3181" s="100"/>
      <c r="N3181" s="100"/>
      <c r="O3181" s="100"/>
      <c r="P3181" s="100"/>
      <c r="Q3181" s="100"/>
      <c r="R3181" s="100"/>
      <c r="S3181" s="100"/>
      <c r="T3181" s="100"/>
      <c r="U3181" s="100"/>
      <c r="V3181" s="100"/>
      <c r="W3181" s="100"/>
      <c r="X3181" s="100"/>
      <c r="Y3181" s="100"/>
      <c r="Z3181" s="100"/>
    </row>
    <row r="3182" spans="1:26">
      <c r="A3182" s="100"/>
      <c r="B3182" s="100"/>
      <c r="C3182" s="100"/>
      <c r="D3182" s="100"/>
      <c r="E3182" s="100"/>
      <c r="F3182" s="100"/>
      <c r="G3182" s="100"/>
      <c r="H3182" s="100"/>
      <c r="I3182" s="100"/>
      <c r="J3182" s="100"/>
      <c r="K3182" s="100"/>
      <c r="L3182" s="100"/>
      <c r="M3182" s="100"/>
      <c r="N3182" s="100"/>
      <c r="O3182" s="100"/>
      <c r="P3182" s="100"/>
      <c r="Q3182" s="100"/>
      <c r="R3182" s="100"/>
      <c r="S3182" s="100"/>
      <c r="T3182" s="100"/>
      <c r="U3182" s="100"/>
      <c r="V3182" s="100"/>
      <c r="W3182" s="100"/>
      <c r="X3182" s="100"/>
      <c r="Y3182" s="100"/>
      <c r="Z3182" s="100"/>
    </row>
    <row r="3183" spans="1:26">
      <c r="A3183" s="100"/>
      <c r="B3183" s="100"/>
      <c r="C3183" s="100"/>
      <c r="D3183" s="100"/>
      <c r="E3183" s="100"/>
      <c r="F3183" s="100"/>
      <c r="G3183" s="100"/>
      <c r="H3183" s="100"/>
      <c r="I3183" s="100"/>
      <c r="J3183" s="100"/>
      <c r="K3183" s="100"/>
      <c r="L3183" s="100"/>
      <c r="M3183" s="100"/>
      <c r="N3183" s="100"/>
      <c r="O3183" s="100"/>
      <c r="P3183" s="100"/>
      <c r="Q3183" s="100"/>
      <c r="R3183" s="100"/>
      <c r="S3183" s="100"/>
      <c r="T3183" s="100"/>
      <c r="U3183" s="100"/>
      <c r="V3183" s="100"/>
      <c r="W3183" s="100"/>
      <c r="X3183" s="100"/>
      <c r="Y3183" s="100"/>
      <c r="Z3183" s="100"/>
    </row>
    <row r="3184" spans="1:26">
      <c r="A3184" s="100"/>
      <c r="B3184" s="100"/>
      <c r="C3184" s="100"/>
      <c r="D3184" s="100"/>
      <c r="E3184" s="100"/>
      <c r="F3184" s="100"/>
      <c r="G3184" s="100"/>
      <c r="H3184" s="100"/>
      <c r="I3184" s="100"/>
      <c r="J3184" s="100"/>
      <c r="K3184" s="100"/>
      <c r="L3184" s="100"/>
      <c r="M3184" s="100"/>
      <c r="N3184" s="100"/>
      <c r="O3184" s="100"/>
      <c r="P3184" s="100"/>
      <c r="Q3184" s="100"/>
      <c r="R3184" s="100"/>
      <c r="S3184" s="100"/>
      <c r="T3184" s="100"/>
      <c r="U3184" s="100"/>
      <c r="V3184" s="100"/>
      <c r="W3184" s="100"/>
      <c r="X3184" s="100"/>
      <c r="Y3184" s="100"/>
      <c r="Z3184" s="100"/>
    </row>
    <row r="3185" spans="1:26">
      <c r="A3185" s="100"/>
      <c r="B3185" s="100"/>
      <c r="C3185" s="100"/>
      <c r="D3185" s="100"/>
      <c r="E3185" s="100"/>
      <c r="F3185" s="100"/>
      <c r="G3185" s="100"/>
      <c r="H3185" s="100"/>
      <c r="I3185" s="100"/>
      <c r="J3185" s="100"/>
      <c r="K3185" s="100"/>
      <c r="L3185" s="100"/>
      <c r="M3185" s="100"/>
      <c r="N3185" s="100"/>
      <c r="O3185" s="100"/>
      <c r="P3185" s="100"/>
      <c r="Q3185" s="100"/>
      <c r="R3185" s="100"/>
      <c r="S3185" s="100"/>
      <c r="T3185" s="100"/>
      <c r="U3185" s="100"/>
      <c r="V3185" s="100"/>
      <c r="W3185" s="100"/>
      <c r="X3185" s="100"/>
      <c r="Y3185" s="100"/>
      <c r="Z3185" s="100"/>
    </row>
    <row r="3186" spans="1:26">
      <c r="A3186" s="100"/>
      <c r="B3186" s="100"/>
      <c r="C3186" s="100"/>
      <c r="D3186" s="100"/>
      <c r="E3186" s="100"/>
      <c r="F3186" s="100"/>
      <c r="G3186" s="100"/>
      <c r="H3186" s="100"/>
      <c r="I3186" s="100"/>
      <c r="J3186" s="100"/>
      <c r="K3186" s="100"/>
      <c r="L3186" s="100"/>
      <c r="M3186" s="100"/>
      <c r="N3186" s="100"/>
      <c r="O3186" s="100"/>
      <c r="P3186" s="100"/>
      <c r="Q3186" s="100"/>
      <c r="R3186" s="100"/>
      <c r="S3186" s="100"/>
      <c r="T3186" s="100"/>
      <c r="U3186" s="100"/>
      <c r="V3186" s="100"/>
      <c r="W3186" s="100"/>
      <c r="X3186" s="100"/>
      <c r="Y3186" s="100"/>
      <c r="Z3186" s="100"/>
    </row>
    <row r="3187" spans="1:26">
      <c r="A3187" s="100"/>
      <c r="B3187" s="100"/>
      <c r="C3187" s="100"/>
      <c r="D3187" s="100"/>
      <c r="E3187" s="100"/>
      <c r="F3187" s="100"/>
      <c r="G3187" s="100"/>
      <c r="H3187" s="100"/>
      <c r="I3187" s="100"/>
      <c r="J3187" s="100"/>
      <c r="K3187" s="100"/>
      <c r="L3187" s="100"/>
      <c r="M3187" s="100"/>
      <c r="N3187" s="100"/>
      <c r="O3187" s="100"/>
      <c r="P3187" s="100"/>
      <c r="Q3187" s="100"/>
      <c r="R3187" s="100"/>
      <c r="S3187" s="100"/>
      <c r="T3187" s="100"/>
      <c r="U3187" s="100"/>
      <c r="V3187" s="100"/>
      <c r="W3187" s="100"/>
      <c r="X3187" s="100"/>
      <c r="Y3187" s="100"/>
      <c r="Z3187" s="100"/>
    </row>
    <row r="3188" spans="1:26">
      <c r="A3188" s="100"/>
      <c r="B3188" s="100"/>
      <c r="C3188" s="100"/>
      <c r="D3188" s="100"/>
      <c r="E3188" s="100"/>
      <c r="F3188" s="100"/>
      <c r="G3188" s="100"/>
      <c r="H3188" s="100"/>
      <c r="I3188" s="100"/>
      <c r="J3188" s="100"/>
      <c r="K3188" s="100"/>
      <c r="L3188" s="100"/>
      <c r="M3188" s="100"/>
      <c r="N3188" s="100"/>
      <c r="O3188" s="100"/>
      <c r="P3188" s="100"/>
      <c r="Q3188" s="100"/>
      <c r="R3188" s="100"/>
      <c r="S3188" s="100"/>
      <c r="T3188" s="100"/>
      <c r="U3188" s="100"/>
      <c r="V3188" s="100"/>
      <c r="W3188" s="100"/>
      <c r="X3188" s="100"/>
      <c r="Y3188" s="100"/>
      <c r="Z3188" s="100"/>
    </row>
    <row r="3189" spans="1:26">
      <c r="A3189" s="100"/>
      <c r="B3189" s="100"/>
      <c r="C3189" s="100"/>
      <c r="D3189" s="100"/>
      <c r="E3189" s="100"/>
      <c r="F3189" s="100"/>
      <c r="G3189" s="100"/>
      <c r="H3189" s="100"/>
      <c r="I3189" s="100"/>
      <c r="J3189" s="100"/>
      <c r="K3189" s="100"/>
      <c r="L3189" s="100"/>
      <c r="M3189" s="100"/>
      <c r="N3189" s="100"/>
      <c r="O3189" s="100"/>
      <c r="P3189" s="100"/>
      <c r="Q3189" s="100"/>
      <c r="R3189" s="100"/>
      <c r="S3189" s="100"/>
      <c r="T3189" s="100"/>
      <c r="U3189" s="100"/>
      <c r="V3189" s="100"/>
      <c r="W3189" s="100"/>
      <c r="X3189" s="100"/>
      <c r="Y3189" s="100"/>
      <c r="Z3189" s="100"/>
    </row>
    <row r="3190" spans="1:26">
      <c r="A3190" s="100"/>
      <c r="B3190" s="100"/>
      <c r="C3190" s="100"/>
      <c r="D3190" s="100"/>
      <c r="E3190" s="100"/>
      <c r="F3190" s="100"/>
      <c r="G3190" s="100"/>
      <c r="H3190" s="100"/>
      <c r="I3190" s="100"/>
      <c r="J3190" s="100"/>
      <c r="K3190" s="100"/>
      <c r="L3190" s="100"/>
      <c r="M3190" s="100"/>
      <c r="N3190" s="100"/>
      <c r="O3190" s="100"/>
      <c r="P3190" s="100"/>
      <c r="Q3190" s="100"/>
      <c r="R3190" s="100"/>
      <c r="S3190" s="100"/>
      <c r="T3190" s="100"/>
      <c r="U3190" s="100"/>
      <c r="V3190" s="100"/>
      <c r="W3190" s="100"/>
      <c r="X3190" s="100"/>
      <c r="Y3190" s="100"/>
      <c r="Z3190" s="100"/>
    </row>
    <row r="3191" spans="1:26">
      <c r="A3191" s="100"/>
      <c r="B3191" s="100"/>
      <c r="C3191" s="100"/>
      <c r="D3191" s="100"/>
      <c r="E3191" s="100"/>
      <c r="F3191" s="100"/>
      <c r="G3191" s="100"/>
      <c r="H3191" s="100"/>
      <c r="I3191" s="100"/>
      <c r="J3191" s="100"/>
      <c r="K3191" s="100"/>
      <c r="L3191" s="100"/>
      <c r="M3191" s="100"/>
      <c r="N3191" s="100"/>
      <c r="O3191" s="100"/>
      <c r="P3191" s="100"/>
      <c r="Q3191" s="100"/>
      <c r="R3191" s="100"/>
      <c r="S3191" s="100"/>
      <c r="T3191" s="100"/>
      <c r="U3191" s="100"/>
      <c r="V3191" s="100"/>
      <c r="W3191" s="100"/>
      <c r="X3191" s="100"/>
      <c r="Y3191" s="100"/>
      <c r="Z3191" s="100"/>
    </row>
    <row r="3192" spans="1:26">
      <c r="A3192" s="100"/>
      <c r="B3192" s="100"/>
      <c r="C3192" s="100"/>
      <c r="D3192" s="100"/>
      <c r="E3192" s="100"/>
      <c r="F3192" s="100"/>
      <c r="G3192" s="100"/>
      <c r="H3192" s="100"/>
      <c r="I3192" s="100"/>
      <c r="J3192" s="100"/>
      <c r="K3192" s="100"/>
      <c r="L3192" s="100"/>
      <c r="M3192" s="100"/>
      <c r="N3192" s="100"/>
      <c r="O3192" s="100"/>
      <c r="P3192" s="100"/>
      <c r="Q3192" s="100"/>
      <c r="R3192" s="100"/>
      <c r="S3192" s="100"/>
      <c r="T3192" s="100"/>
      <c r="U3192" s="100"/>
      <c r="V3192" s="100"/>
      <c r="W3192" s="100"/>
      <c r="X3192" s="100"/>
      <c r="Y3192" s="100"/>
      <c r="Z3192" s="100"/>
    </row>
    <row r="3193" spans="1:26">
      <c r="A3193" s="100"/>
      <c r="B3193" s="100"/>
      <c r="C3193" s="100"/>
      <c r="D3193" s="100"/>
      <c r="E3193" s="100"/>
      <c r="F3193" s="100"/>
      <c r="G3193" s="100"/>
      <c r="H3193" s="100"/>
      <c r="I3193" s="100"/>
      <c r="J3193" s="100"/>
      <c r="K3193" s="100"/>
      <c r="L3193" s="100"/>
      <c r="M3193" s="100"/>
      <c r="N3193" s="100"/>
      <c r="O3193" s="100"/>
      <c r="P3193" s="100"/>
      <c r="Q3193" s="100"/>
      <c r="R3193" s="100"/>
      <c r="S3193" s="100"/>
      <c r="T3193" s="100"/>
      <c r="U3193" s="100"/>
      <c r="V3193" s="100"/>
      <c r="W3193" s="100"/>
      <c r="X3193" s="100"/>
      <c r="Y3193" s="100"/>
      <c r="Z3193" s="100"/>
    </row>
    <row r="3194" spans="1:26">
      <c r="A3194" s="100"/>
      <c r="B3194" s="100"/>
      <c r="C3194" s="100"/>
      <c r="D3194" s="100"/>
      <c r="E3194" s="100"/>
      <c r="F3194" s="100"/>
      <c r="G3194" s="100"/>
      <c r="H3194" s="100"/>
      <c r="I3194" s="100"/>
      <c r="J3194" s="100"/>
      <c r="K3194" s="100"/>
      <c r="L3194" s="100"/>
      <c r="M3194" s="100"/>
      <c r="N3194" s="100"/>
      <c r="O3194" s="100"/>
      <c r="P3194" s="100"/>
      <c r="Q3194" s="100"/>
      <c r="R3194" s="100"/>
      <c r="S3194" s="100"/>
      <c r="T3194" s="100"/>
      <c r="U3194" s="100"/>
      <c r="V3194" s="100"/>
      <c r="W3194" s="100"/>
      <c r="X3194" s="100"/>
      <c r="Y3194" s="100"/>
      <c r="Z3194" s="100"/>
    </row>
    <row r="3195" spans="1:26">
      <c r="A3195" s="100"/>
      <c r="B3195" s="100"/>
      <c r="C3195" s="100"/>
      <c r="D3195" s="100"/>
      <c r="E3195" s="100"/>
      <c r="F3195" s="100"/>
      <c r="G3195" s="100"/>
      <c r="H3195" s="100"/>
      <c r="I3195" s="100"/>
      <c r="J3195" s="100"/>
      <c r="K3195" s="100"/>
      <c r="L3195" s="100"/>
      <c r="M3195" s="100"/>
      <c r="N3195" s="100"/>
      <c r="O3195" s="100"/>
      <c r="P3195" s="100"/>
      <c r="Q3195" s="100"/>
      <c r="R3195" s="100"/>
      <c r="S3195" s="100"/>
      <c r="T3195" s="100"/>
      <c r="U3195" s="100"/>
      <c r="V3195" s="100"/>
      <c r="W3195" s="100"/>
      <c r="X3195" s="100"/>
      <c r="Y3195" s="100"/>
      <c r="Z3195" s="100"/>
    </row>
    <row r="3196" spans="1:26">
      <c r="A3196" s="100"/>
      <c r="B3196" s="100"/>
      <c r="C3196" s="100"/>
      <c r="D3196" s="100"/>
      <c r="E3196" s="100"/>
      <c r="F3196" s="100"/>
      <c r="G3196" s="100"/>
      <c r="H3196" s="100"/>
      <c r="I3196" s="100"/>
      <c r="J3196" s="100"/>
      <c r="K3196" s="100"/>
      <c r="L3196" s="100"/>
      <c r="M3196" s="100"/>
      <c r="N3196" s="100"/>
      <c r="O3196" s="100"/>
      <c r="P3196" s="100"/>
      <c r="Q3196" s="100"/>
      <c r="R3196" s="100"/>
      <c r="S3196" s="100"/>
      <c r="T3196" s="100"/>
      <c r="U3196" s="100"/>
      <c r="V3196" s="100"/>
      <c r="W3196" s="100"/>
      <c r="X3196" s="100"/>
      <c r="Y3196" s="100"/>
      <c r="Z3196" s="100"/>
    </row>
    <row r="3197" spans="1:26">
      <c r="A3197" s="100"/>
      <c r="B3197" s="100"/>
      <c r="C3197" s="100"/>
      <c r="D3197" s="100"/>
      <c r="E3197" s="100"/>
      <c r="F3197" s="100"/>
      <c r="G3197" s="100"/>
      <c r="H3197" s="100"/>
      <c r="I3197" s="100"/>
      <c r="J3197" s="100"/>
      <c r="K3197" s="100"/>
      <c r="L3197" s="100"/>
      <c r="M3197" s="100"/>
      <c r="N3197" s="100"/>
      <c r="O3197" s="100"/>
      <c r="P3197" s="100"/>
      <c r="Q3197" s="100"/>
      <c r="R3197" s="100"/>
      <c r="S3197" s="100"/>
      <c r="T3197" s="100"/>
      <c r="U3197" s="100"/>
      <c r="V3197" s="100"/>
      <c r="W3197" s="100"/>
      <c r="X3197" s="100"/>
      <c r="Y3197" s="100"/>
      <c r="Z3197" s="100"/>
    </row>
    <row r="3198" spans="1:26">
      <c r="A3198" s="100"/>
      <c r="B3198" s="100"/>
      <c r="C3198" s="100"/>
      <c r="D3198" s="100"/>
      <c r="E3198" s="100"/>
      <c r="F3198" s="100"/>
      <c r="G3198" s="100"/>
      <c r="H3198" s="100"/>
      <c r="I3198" s="100"/>
      <c r="J3198" s="100"/>
      <c r="K3198" s="100"/>
      <c r="L3198" s="100"/>
      <c r="M3198" s="100"/>
      <c r="N3198" s="100"/>
      <c r="O3198" s="100"/>
      <c r="P3198" s="100"/>
      <c r="Q3198" s="100"/>
      <c r="R3198" s="100"/>
      <c r="S3198" s="100"/>
      <c r="T3198" s="100"/>
      <c r="U3198" s="100"/>
      <c r="V3198" s="100"/>
      <c r="W3198" s="100"/>
      <c r="X3198" s="100"/>
      <c r="Y3198" s="100"/>
      <c r="Z3198" s="100"/>
    </row>
    <row r="3199" spans="1:26">
      <c r="A3199" s="100"/>
      <c r="B3199" s="100"/>
      <c r="C3199" s="100"/>
      <c r="D3199" s="100"/>
      <c r="E3199" s="100"/>
      <c r="F3199" s="100"/>
      <c r="G3199" s="100"/>
      <c r="H3199" s="100"/>
      <c r="I3199" s="100"/>
      <c r="J3199" s="100"/>
      <c r="K3199" s="100"/>
      <c r="L3199" s="100"/>
      <c r="M3199" s="100"/>
      <c r="N3199" s="100"/>
      <c r="O3199" s="100"/>
      <c r="P3199" s="100"/>
      <c r="Q3199" s="100"/>
      <c r="R3199" s="100"/>
      <c r="S3199" s="100"/>
      <c r="T3199" s="100"/>
      <c r="U3199" s="100"/>
      <c r="V3199" s="100"/>
      <c r="W3199" s="100"/>
      <c r="X3199" s="100"/>
      <c r="Y3199" s="100"/>
      <c r="Z3199" s="100"/>
    </row>
    <row r="3200" spans="1:26">
      <c r="A3200" s="100"/>
      <c r="B3200" s="100"/>
      <c r="C3200" s="100"/>
      <c r="D3200" s="100"/>
      <c r="E3200" s="100"/>
      <c r="F3200" s="100"/>
      <c r="G3200" s="100"/>
      <c r="H3200" s="100"/>
      <c r="I3200" s="100"/>
      <c r="J3200" s="100"/>
      <c r="K3200" s="100"/>
      <c r="L3200" s="100"/>
      <c r="M3200" s="100"/>
      <c r="N3200" s="100"/>
      <c r="O3200" s="100"/>
      <c r="P3200" s="100"/>
      <c r="Q3200" s="100"/>
      <c r="R3200" s="100"/>
      <c r="S3200" s="100"/>
      <c r="T3200" s="100"/>
      <c r="U3200" s="100"/>
      <c r="V3200" s="100"/>
      <c r="W3200" s="100"/>
      <c r="X3200" s="100"/>
      <c r="Y3200" s="100"/>
      <c r="Z3200" s="100"/>
    </row>
    <row r="3201" spans="1:26">
      <c r="A3201" s="100"/>
      <c r="B3201" s="100"/>
      <c r="C3201" s="100"/>
      <c r="D3201" s="100"/>
      <c r="E3201" s="100"/>
      <c r="F3201" s="100"/>
      <c r="G3201" s="100"/>
      <c r="H3201" s="100"/>
      <c r="I3201" s="100"/>
      <c r="J3201" s="100"/>
      <c r="K3201" s="100"/>
      <c r="L3201" s="100"/>
      <c r="M3201" s="100"/>
      <c r="N3201" s="100"/>
      <c r="O3201" s="100"/>
      <c r="P3201" s="100"/>
      <c r="Q3201" s="100"/>
      <c r="R3201" s="100"/>
      <c r="S3201" s="100"/>
      <c r="T3201" s="100"/>
      <c r="U3201" s="100"/>
      <c r="V3201" s="100"/>
      <c r="W3201" s="100"/>
      <c r="X3201" s="100"/>
      <c r="Y3201" s="100"/>
      <c r="Z3201" s="100"/>
    </row>
    <row r="3202" spans="1:26">
      <c r="A3202" s="100"/>
      <c r="B3202" s="100"/>
      <c r="C3202" s="100"/>
      <c r="D3202" s="100"/>
      <c r="E3202" s="100"/>
      <c r="F3202" s="100"/>
      <c r="G3202" s="100"/>
      <c r="H3202" s="100"/>
      <c r="I3202" s="100"/>
      <c r="J3202" s="100"/>
      <c r="K3202" s="100"/>
      <c r="L3202" s="100"/>
      <c r="M3202" s="100"/>
      <c r="N3202" s="100"/>
      <c r="O3202" s="100"/>
      <c r="P3202" s="100"/>
      <c r="Q3202" s="100"/>
      <c r="R3202" s="100"/>
      <c r="S3202" s="100"/>
      <c r="T3202" s="100"/>
      <c r="U3202" s="100"/>
      <c r="V3202" s="100"/>
      <c r="W3202" s="100"/>
      <c r="X3202" s="100"/>
      <c r="Y3202" s="100"/>
      <c r="Z3202" s="100"/>
    </row>
    <row r="3203" spans="1:26">
      <c r="A3203" s="100"/>
      <c r="B3203" s="100"/>
      <c r="C3203" s="100"/>
      <c r="D3203" s="100"/>
      <c r="E3203" s="100"/>
      <c r="F3203" s="100"/>
      <c r="G3203" s="100"/>
      <c r="H3203" s="100"/>
      <c r="I3203" s="100"/>
      <c r="J3203" s="100"/>
      <c r="K3203" s="100"/>
      <c r="L3203" s="100"/>
      <c r="M3203" s="100"/>
      <c r="N3203" s="100"/>
      <c r="O3203" s="100"/>
      <c r="P3203" s="100"/>
      <c r="Q3203" s="100"/>
      <c r="R3203" s="100"/>
      <c r="S3203" s="100"/>
      <c r="T3203" s="100"/>
      <c r="U3203" s="100"/>
      <c r="V3203" s="100"/>
      <c r="W3203" s="100"/>
      <c r="X3203" s="100"/>
      <c r="Y3203" s="100"/>
      <c r="Z3203" s="100"/>
    </row>
    <row r="3204" spans="1:26">
      <c r="A3204" s="100"/>
      <c r="B3204" s="100"/>
      <c r="C3204" s="100"/>
      <c r="D3204" s="100"/>
      <c r="E3204" s="100"/>
      <c r="F3204" s="100"/>
      <c r="G3204" s="100"/>
      <c r="H3204" s="100"/>
      <c r="I3204" s="100"/>
      <c r="J3204" s="100"/>
      <c r="K3204" s="100"/>
      <c r="L3204" s="100"/>
      <c r="M3204" s="100"/>
      <c r="N3204" s="100"/>
      <c r="O3204" s="100"/>
      <c r="P3204" s="100"/>
      <c r="Q3204" s="100"/>
      <c r="R3204" s="100"/>
      <c r="S3204" s="100"/>
      <c r="T3204" s="100"/>
      <c r="U3204" s="100"/>
      <c r="V3204" s="100"/>
      <c r="W3204" s="100"/>
      <c r="X3204" s="100"/>
      <c r="Y3204" s="100"/>
      <c r="Z3204" s="100"/>
    </row>
    <row r="3205" spans="1:26">
      <c r="A3205" s="100"/>
      <c r="B3205" s="100"/>
      <c r="C3205" s="100"/>
      <c r="D3205" s="100"/>
      <c r="E3205" s="100"/>
      <c r="F3205" s="100"/>
      <c r="G3205" s="100"/>
      <c r="H3205" s="100"/>
      <c r="I3205" s="100"/>
      <c r="J3205" s="100"/>
      <c r="K3205" s="100"/>
      <c r="L3205" s="100"/>
      <c r="M3205" s="100"/>
      <c r="N3205" s="100"/>
      <c r="O3205" s="100"/>
      <c r="P3205" s="100"/>
      <c r="Q3205" s="100"/>
      <c r="R3205" s="100"/>
      <c r="S3205" s="100"/>
      <c r="T3205" s="100"/>
      <c r="U3205" s="100"/>
      <c r="V3205" s="100"/>
      <c r="W3205" s="100"/>
      <c r="X3205" s="100"/>
      <c r="Y3205" s="100"/>
      <c r="Z3205" s="100"/>
    </row>
    <row r="3206" spans="1:26">
      <c r="A3206" s="100"/>
      <c r="B3206" s="100"/>
      <c r="C3206" s="100"/>
      <c r="D3206" s="100"/>
      <c r="E3206" s="100"/>
      <c r="F3206" s="100"/>
      <c r="G3206" s="100"/>
      <c r="H3206" s="100"/>
      <c r="I3206" s="100"/>
      <c r="J3206" s="100"/>
      <c r="K3206" s="100"/>
      <c r="L3206" s="100"/>
      <c r="M3206" s="100"/>
      <c r="N3206" s="100"/>
      <c r="O3206" s="100"/>
      <c r="P3206" s="100"/>
      <c r="Q3206" s="100"/>
      <c r="R3206" s="100"/>
      <c r="S3206" s="100"/>
      <c r="T3206" s="100"/>
      <c r="U3206" s="100"/>
      <c r="V3206" s="100"/>
      <c r="W3206" s="100"/>
      <c r="X3206" s="100"/>
      <c r="Y3206" s="100"/>
      <c r="Z3206" s="100"/>
    </row>
    <row r="3207" spans="1:26">
      <c r="A3207" s="100"/>
      <c r="B3207" s="100"/>
      <c r="C3207" s="100"/>
      <c r="D3207" s="100"/>
      <c r="E3207" s="100"/>
      <c r="F3207" s="100"/>
      <c r="G3207" s="100"/>
      <c r="H3207" s="100"/>
      <c r="I3207" s="100"/>
      <c r="J3207" s="100"/>
      <c r="K3207" s="100"/>
      <c r="L3207" s="100"/>
      <c r="M3207" s="100"/>
      <c r="N3207" s="100"/>
      <c r="O3207" s="100"/>
      <c r="P3207" s="100"/>
      <c r="Q3207" s="100"/>
      <c r="R3207" s="100"/>
      <c r="S3207" s="100"/>
      <c r="T3207" s="100"/>
      <c r="U3207" s="100"/>
      <c r="V3207" s="100"/>
      <c r="W3207" s="100"/>
      <c r="X3207" s="100"/>
      <c r="Y3207" s="100"/>
      <c r="Z3207" s="100"/>
    </row>
    <row r="3208" spans="1:26">
      <c r="A3208" s="100"/>
      <c r="B3208" s="100"/>
      <c r="C3208" s="100"/>
      <c r="D3208" s="100"/>
      <c r="E3208" s="100"/>
      <c r="F3208" s="100"/>
      <c r="G3208" s="100"/>
      <c r="H3208" s="100"/>
      <c r="I3208" s="100"/>
      <c r="J3208" s="100"/>
      <c r="K3208" s="100"/>
      <c r="L3208" s="100"/>
      <c r="M3208" s="100"/>
      <c r="N3208" s="100"/>
      <c r="O3208" s="100"/>
      <c r="P3208" s="100"/>
      <c r="Q3208" s="100"/>
      <c r="R3208" s="100"/>
      <c r="S3208" s="100"/>
      <c r="T3208" s="100"/>
      <c r="U3208" s="100"/>
      <c r="V3208" s="100"/>
      <c r="W3208" s="100"/>
      <c r="X3208" s="100"/>
      <c r="Y3208" s="100"/>
      <c r="Z3208" s="100"/>
    </row>
    <row r="3209" spans="1:26">
      <c r="A3209" s="100"/>
      <c r="B3209" s="100"/>
      <c r="C3209" s="100"/>
      <c r="D3209" s="100"/>
      <c r="E3209" s="100"/>
      <c r="F3209" s="100"/>
      <c r="G3209" s="100"/>
      <c r="H3209" s="100"/>
      <c r="I3209" s="100"/>
      <c r="J3209" s="100"/>
      <c r="K3209" s="100"/>
      <c r="L3209" s="100"/>
      <c r="M3209" s="100"/>
      <c r="N3209" s="100"/>
      <c r="O3209" s="100"/>
      <c r="P3209" s="100"/>
      <c r="Q3209" s="100"/>
      <c r="R3209" s="100"/>
      <c r="S3209" s="100"/>
      <c r="T3209" s="100"/>
      <c r="U3209" s="100"/>
      <c r="V3209" s="100"/>
      <c r="W3209" s="100"/>
      <c r="X3209" s="100"/>
      <c r="Y3209" s="100"/>
      <c r="Z3209" s="100"/>
    </row>
    <row r="3210" spans="1:26">
      <c r="A3210" s="100"/>
      <c r="B3210" s="100"/>
      <c r="C3210" s="100"/>
      <c r="D3210" s="100"/>
      <c r="E3210" s="100"/>
      <c r="F3210" s="100"/>
      <c r="G3210" s="100"/>
      <c r="H3210" s="100"/>
      <c r="I3210" s="100"/>
      <c r="J3210" s="100"/>
      <c r="K3210" s="100"/>
      <c r="L3210" s="100"/>
      <c r="M3210" s="100"/>
      <c r="N3210" s="100"/>
      <c r="O3210" s="100"/>
      <c r="P3210" s="100"/>
      <c r="Q3210" s="100"/>
      <c r="R3210" s="100"/>
      <c r="S3210" s="100"/>
      <c r="T3210" s="100"/>
      <c r="U3210" s="100"/>
      <c r="V3210" s="100"/>
      <c r="W3210" s="100"/>
      <c r="X3210" s="100"/>
      <c r="Y3210" s="100"/>
      <c r="Z3210" s="100"/>
    </row>
    <row r="3211" spans="1:26">
      <c r="A3211" s="100"/>
      <c r="B3211" s="100"/>
      <c r="C3211" s="100"/>
      <c r="D3211" s="100"/>
      <c r="E3211" s="100"/>
      <c r="F3211" s="100"/>
      <c r="G3211" s="100"/>
      <c r="H3211" s="100"/>
      <c r="I3211" s="100"/>
      <c r="J3211" s="100"/>
      <c r="K3211" s="100"/>
      <c r="L3211" s="100"/>
      <c r="M3211" s="100"/>
      <c r="N3211" s="100"/>
      <c r="O3211" s="100"/>
      <c r="P3211" s="100"/>
      <c r="Q3211" s="100"/>
      <c r="R3211" s="100"/>
      <c r="S3211" s="100"/>
      <c r="T3211" s="100"/>
      <c r="U3211" s="100"/>
      <c r="V3211" s="100"/>
      <c r="W3211" s="100"/>
      <c r="X3211" s="100"/>
      <c r="Y3211" s="100"/>
      <c r="Z3211" s="100"/>
    </row>
    <row r="3212" spans="1:26">
      <c r="A3212" s="100"/>
      <c r="B3212" s="100"/>
      <c r="C3212" s="100"/>
      <c r="D3212" s="100"/>
      <c r="E3212" s="100"/>
      <c r="F3212" s="100"/>
      <c r="G3212" s="100"/>
      <c r="H3212" s="100"/>
      <c r="I3212" s="100"/>
      <c r="J3212" s="100"/>
      <c r="K3212" s="100"/>
      <c r="L3212" s="100"/>
      <c r="M3212" s="100"/>
      <c r="N3212" s="100"/>
      <c r="O3212" s="100"/>
      <c r="P3212" s="100"/>
      <c r="Q3212" s="100"/>
      <c r="R3212" s="100"/>
      <c r="S3212" s="100"/>
      <c r="T3212" s="100"/>
      <c r="U3212" s="100"/>
      <c r="V3212" s="100"/>
      <c r="W3212" s="100"/>
      <c r="X3212" s="100"/>
      <c r="Y3212" s="100"/>
      <c r="Z3212" s="100"/>
    </row>
    <row r="3213" spans="1:26">
      <c r="A3213" s="100"/>
      <c r="B3213" s="100"/>
      <c r="C3213" s="100"/>
      <c r="D3213" s="100"/>
      <c r="E3213" s="100"/>
      <c r="F3213" s="100"/>
      <c r="G3213" s="100"/>
      <c r="H3213" s="100"/>
      <c r="I3213" s="100"/>
      <c r="J3213" s="100"/>
      <c r="K3213" s="100"/>
      <c r="L3213" s="100"/>
      <c r="M3213" s="100"/>
      <c r="N3213" s="100"/>
      <c r="O3213" s="100"/>
      <c r="P3213" s="100"/>
      <c r="Q3213" s="100"/>
      <c r="R3213" s="100"/>
      <c r="S3213" s="100"/>
      <c r="T3213" s="100"/>
      <c r="U3213" s="100"/>
      <c r="V3213" s="100"/>
      <c r="W3213" s="100"/>
      <c r="X3213" s="100"/>
      <c r="Y3213" s="100"/>
      <c r="Z3213" s="100"/>
    </row>
    <row r="3214" spans="1:26">
      <c r="A3214" s="100"/>
      <c r="B3214" s="100"/>
      <c r="C3214" s="100"/>
      <c r="D3214" s="100"/>
      <c r="E3214" s="100"/>
      <c r="F3214" s="100"/>
      <c r="G3214" s="100"/>
      <c r="H3214" s="100"/>
      <c r="I3214" s="100"/>
      <c r="J3214" s="100"/>
      <c r="K3214" s="100"/>
      <c r="L3214" s="100"/>
      <c r="M3214" s="100"/>
      <c r="N3214" s="100"/>
      <c r="O3214" s="100"/>
      <c r="P3214" s="100"/>
      <c r="Q3214" s="100"/>
      <c r="R3214" s="100"/>
      <c r="S3214" s="100"/>
      <c r="T3214" s="100"/>
      <c r="U3214" s="100"/>
      <c r="V3214" s="100"/>
      <c r="W3214" s="100"/>
      <c r="X3214" s="100"/>
      <c r="Y3214" s="100"/>
      <c r="Z3214" s="100"/>
    </row>
    <row r="3215" spans="1:26">
      <c r="A3215" s="100"/>
      <c r="B3215" s="100"/>
      <c r="C3215" s="100"/>
      <c r="D3215" s="100"/>
      <c r="E3215" s="100"/>
      <c r="F3215" s="100"/>
      <c r="G3215" s="100"/>
      <c r="H3215" s="100"/>
      <c r="I3215" s="100"/>
      <c r="J3215" s="100"/>
      <c r="K3215" s="100"/>
      <c r="L3215" s="100"/>
      <c r="M3215" s="100"/>
      <c r="N3215" s="100"/>
      <c r="O3215" s="100"/>
      <c r="P3215" s="100"/>
      <c r="Q3215" s="100"/>
      <c r="R3215" s="100"/>
      <c r="S3215" s="100"/>
      <c r="T3215" s="100"/>
      <c r="U3215" s="100"/>
      <c r="V3215" s="100"/>
      <c r="W3215" s="100"/>
      <c r="X3215" s="100"/>
      <c r="Y3215" s="100"/>
      <c r="Z3215" s="100"/>
    </row>
    <row r="3216" spans="1:26">
      <c r="A3216" s="100"/>
      <c r="B3216" s="100"/>
      <c r="C3216" s="100"/>
      <c r="D3216" s="100"/>
      <c r="E3216" s="100"/>
      <c r="F3216" s="100"/>
      <c r="G3216" s="100"/>
      <c r="H3216" s="100"/>
      <c r="I3216" s="100"/>
      <c r="J3216" s="100"/>
      <c r="K3216" s="100"/>
      <c r="L3216" s="100"/>
      <c r="M3216" s="100"/>
      <c r="N3216" s="100"/>
      <c r="O3216" s="100"/>
      <c r="P3216" s="100"/>
      <c r="Q3216" s="100"/>
      <c r="R3216" s="100"/>
      <c r="S3216" s="100"/>
      <c r="T3216" s="100"/>
      <c r="U3216" s="100"/>
      <c r="V3216" s="100"/>
      <c r="W3216" s="100"/>
      <c r="X3216" s="100"/>
      <c r="Y3216" s="100"/>
      <c r="Z3216" s="100"/>
    </row>
    <row r="3217" spans="1:26">
      <c r="A3217" s="100"/>
      <c r="B3217" s="100"/>
      <c r="C3217" s="100"/>
      <c r="D3217" s="100"/>
      <c r="E3217" s="100"/>
      <c r="F3217" s="100"/>
      <c r="G3217" s="100"/>
      <c r="H3217" s="100"/>
      <c r="I3217" s="100"/>
      <c r="J3217" s="100"/>
      <c r="K3217" s="100"/>
      <c r="L3217" s="100"/>
      <c r="M3217" s="100"/>
      <c r="N3217" s="100"/>
      <c r="O3217" s="100"/>
      <c r="P3217" s="100"/>
      <c r="Q3217" s="100"/>
      <c r="R3217" s="100"/>
      <c r="S3217" s="100"/>
      <c r="T3217" s="100"/>
      <c r="U3217" s="100"/>
      <c r="V3217" s="100"/>
      <c r="W3217" s="100"/>
      <c r="X3217" s="100"/>
      <c r="Y3217" s="100"/>
      <c r="Z3217" s="100"/>
    </row>
    <row r="3218" spans="1:26">
      <c r="A3218" s="100"/>
      <c r="B3218" s="100"/>
      <c r="C3218" s="100"/>
      <c r="D3218" s="100"/>
      <c r="E3218" s="100"/>
      <c r="F3218" s="100"/>
      <c r="G3218" s="100"/>
      <c r="H3218" s="100"/>
      <c r="I3218" s="100"/>
      <c r="J3218" s="100"/>
      <c r="K3218" s="100"/>
      <c r="L3218" s="100"/>
      <c r="M3218" s="100"/>
      <c r="N3218" s="100"/>
      <c r="O3218" s="100"/>
      <c r="P3218" s="100"/>
      <c r="Q3218" s="100"/>
      <c r="R3218" s="100"/>
      <c r="S3218" s="100"/>
      <c r="T3218" s="100"/>
      <c r="U3218" s="100"/>
      <c r="V3218" s="100"/>
      <c r="W3218" s="100"/>
      <c r="X3218" s="100"/>
      <c r="Y3218" s="100"/>
      <c r="Z3218" s="100"/>
    </row>
    <row r="3219" spans="1:26">
      <c r="A3219" s="100"/>
      <c r="B3219" s="100"/>
      <c r="C3219" s="100"/>
      <c r="D3219" s="100"/>
      <c r="E3219" s="100"/>
      <c r="F3219" s="100"/>
      <c r="G3219" s="100"/>
      <c r="H3219" s="100"/>
      <c r="I3219" s="100"/>
      <c r="J3219" s="100"/>
      <c r="K3219" s="100"/>
      <c r="L3219" s="100"/>
      <c r="M3219" s="100"/>
      <c r="N3219" s="100"/>
      <c r="O3219" s="100"/>
      <c r="P3219" s="100"/>
      <c r="Q3219" s="100"/>
      <c r="R3219" s="100"/>
      <c r="S3219" s="100"/>
      <c r="T3219" s="100"/>
      <c r="U3219" s="100"/>
      <c r="V3219" s="100"/>
      <c r="W3219" s="100"/>
      <c r="X3219" s="100"/>
      <c r="Y3219" s="100"/>
      <c r="Z3219" s="100"/>
    </row>
    <row r="3220" spans="1:26">
      <c r="A3220" s="100"/>
      <c r="B3220" s="100"/>
      <c r="C3220" s="100"/>
      <c r="D3220" s="100"/>
      <c r="E3220" s="100"/>
      <c r="F3220" s="100"/>
      <c r="G3220" s="100"/>
      <c r="H3220" s="100"/>
      <c r="I3220" s="100"/>
      <c r="J3220" s="100"/>
      <c r="K3220" s="100"/>
      <c r="L3220" s="100"/>
      <c r="M3220" s="100"/>
      <c r="N3220" s="100"/>
      <c r="O3220" s="100"/>
      <c r="P3220" s="100"/>
      <c r="Q3220" s="100"/>
      <c r="R3220" s="100"/>
      <c r="S3220" s="100"/>
      <c r="T3220" s="100"/>
      <c r="U3220" s="100"/>
      <c r="V3220" s="100"/>
      <c r="W3220" s="100"/>
      <c r="X3220" s="100"/>
      <c r="Y3220" s="100"/>
      <c r="Z3220" s="100"/>
    </row>
    <row r="3221" spans="1:26">
      <c r="A3221" s="100"/>
      <c r="B3221" s="100"/>
      <c r="C3221" s="100"/>
      <c r="D3221" s="100"/>
      <c r="E3221" s="100"/>
      <c r="F3221" s="100"/>
      <c r="G3221" s="100"/>
      <c r="H3221" s="100"/>
      <c r="I3221" s="100"/>
      <c r="J3221" s="100"/>
      <c r="K3221" s="100"/>
      <c r="L3221" s="100"/>
      <c r="M3221" s="100"/>
      <c r="N3221" s="100"/>
      <c r="O3221" s="100"/>
      <c r="P3221" s="100"/>
      <c r="Q3221" s="100"/>
      <c r="R3221" s="100"/>
      <c r="S3221" s="100"/>
      <c r="T3221" s="100"/>
      <c r="U3221" s="100"/>
      <c r="V3221" s="100"/>
      <c r="W3221" s="100"/>
      <c r="X3221" s="100"/>
      <c r="Y3221" s="100"/>
      <c r="Z3221" s="100"/>
    </row>
    <row r="3222" spans="1:26">
      <c r="A3222" s="100"/>
      <c r="B3222" s="100"/>
      <c r="C3222" s="100"/>
      <c r="D3222" s="100"/>
      <c r="E3222" s="100"/>
      <c r="F3222" s="100"/>
      <c r="G3222" s="100"/>
      <c r="H3222" s="100"/>
      <c r="I3222" s="100"/>
      <c r="J3222" s="100"/>
      <c r="K3222" s="100"/>
      <c r="L3222" s="100"/>
      <c r="M3222" s="100"/>
      <c r="N3222" s="100"/>
      <c r="O3222" s="100"/>
      <c r="P3222" s="100"/>
      <c r="Q3222" s="100"/>
      <c r="R3222" s="100"/>
      <c r="S3222" s="100"/>
      <c r="T3222" s="100"/>
      <c r="U3222" s="100"/>
      <c r="V3222" s="100"/>
      <c r="W3222" s="100"/>
      <c r="X3222" s="100"/>
      <c r="Y3222" s="100"/>
      <c r="Z3222" s="100"/>
    </row>
    <row r="3223" spans="1:26">
      <c r="A3223" s="100"/>
      <c r="B3223" s="100"/>
      <c r="C3223" s="100"/>
      <c r="D3223" s="100"/>
      <c r="E3223" s="100"/>
      <c r="F3223" s="100"/>
      <c r="G3223" s="100"/>
      <c r="H3223" s="100"/>
      <c r="I3223" s="100"/>
      <c r="J3223" s="100"/>
      <c r="K3223" s="100"/>
      <c r="L3223" s="100"/>
      <c r="M3223" s="100"/>
      <c r="N3223" s="100"/>
      <c r="O3223" s="100"/>
      <c r="P3223" s="100"/>
      <c r="Q3223" s="100"/>
      <c r="R3223" s="100"/>
      <c r="S3223" s="100"/>
      <c r="T3223" s="100"/>
      <c r="U3223" s="100"/>
      <c r="V3223" s="100"/>
      <c r="W3223" s="100"/>
      <c r="X3223" s="100"/>
      <c r="Y3223" s="100"/>
      <c r="Z3223" s="100"/>
    </row>
    <row r="3224" spans="1:26">
      <c r="A3224" s="100"/>
      <c r="B3224" s="100"/>
      <c r="C3224" s="100"/>
      <c r="D3224" s="100"/>
      <c r="E3224" s="100"/>
      <c r="F3224" s="100"/>
      <c r="G3224" s="100"/>
      <c r="H3224" s="100"/>
      <c r="I3224" s="100"/>
      <c r="J3224" s="100"/>
      <c r="K3224" s="100"/>
      <c r="L3224" s="100"/>
      <c r="M3224" s="100"/>
      <c r="N3224" s="100"/>
      <c r="O3224" s="100"/>
      <c r="P3224" s="100"/>
      <c r="Q3224" s="100"/>
      <c r="R3224" s="100"/>
      <c r="S3224" s="100"/>
      <c r="T3224" s="100"/>
      <c r="U3224" s="100"/>
      <c r="V3224" s="100"/>
      <c r="W3224" s="100"/>
      <c r="X3224" s="100"/>
      <c r="Y3224" s="100"/>
      <c r="Z3224" s="100"/>
    </row>
    <row r="3225" spans="1:26">
      <c r="A3225" s="100"/>
      <c r="B3225" s="100"/>
      <c r="C3225" s="100"/>
      <c r="D3225" s="100"/>
      <c r="E3225" s="100"/>
      <c r="F3225" s="100"/>
      <c r="G3225" s="100"/>
      <c r="H3225" s="100"/>
      <c r="I3225" s="100"/>
      <c r="J3225" s="100"/>
      <c r="K3225" s="100"/>
      <c r="L3225" s="100"/>
      <c r="M3225" s="100"/>
      <c r="N3225" s="100"/>
      <c r="O3225" s="100"/>
      <c r="P3225" s="100"/>
      <c r="Q3225" s="100"/>
      <c r="R3225" s="100"/>
      <c r="S3225" s="100"/>
      <c r="T3225" s="100"/>
      <c r="U3225" s="100"/>
      <c r="V3225" s="100"/>
      <c r="W3225" s="100"/>
      <c r="X3225" s="100"/>
      <c r="Y3225" s="100"/>
      <c r="Z3225" s="100"/>
    </row>
    <row r="3226" spans="1:26">
      <c r="A3226" s="100"/>
      <c r="B3226" s="100"/>
      <c r="C3226" s="100"/>
      <c r="D3226" s="100"/>
      <c r="E3226" s="100"/>
      <c r="F3226" s="100"/>
      <c r="G3226" s="100"/>
      <c r="H3226" s="100"/>
      <c r="I3226" s="100"/>
      <c r="J3226" s="100"/>
      <c r="K3226" s="100"/>
      <c r="L3226" s="100"/>
      <c r="M3226" s="100"/>
      <c r="N3226" s="100"/>
      <c r="O3226" s="100"/>
      <c r="P3226" s="100"/>
      <c r="Q3226" s="100"/>
      <c r="R3226" s="100"/>
      <c r="S3226" s="100"/>
      <c r="T3226" s="100"/>
      <c r="U3226" s="100"/>
      <c r="V3226" s="100"/>
      <c r="W3226" s="100"/>
      <c r="X3226" s="100"/>
      <c r="Y3226" s="100"/>
      <c r="Z3226" s="100"/>
    </row>
    <row r="3227" spans="1:26">
      <c r="A3227" s="100"/>
      <c r="B3227" s="100"/>
      <c r="C3227" s="100"/>
      <c r="D3227" s="100"/>
      <c r="E3227" s="100"/>
      <c r="F3227" s="100"/>
      <c r="G3227" s="100"/>
      <c r="H3227" s="100"/>
      <c r="I3227" s="100"/>
      <c r="J3227" s="100"/>
      <c r="K3227" s="100"/>
      <c r="L3227" s="100"/>
      <c r="M3227" s="100"/>
      <c r="N3227" s="100"/>
      <c r="O3227" s="100"/>
      <c r="P3227" s="100"/>
      <c r="Q3227" s="100"/>
      <c r="R3227" s="100"/>
      <c r="S3227" s="100"/>
      <c r="T3227" s="100"/>
      <c r="U3227" s="100"/>
      <c r="V3227" s="100"/>
      <c r="W3227" s="100"/>
      <c r="X3227" s="100"/>
      <c r="Y3227" s="100"/>
      <c r="Z3227" s="100"/>
    </row>
    <row r="3228" spans="1:26">
      <c r="A3228" s="100"/>
      <c r="B3228" s="100"/>
      <c r="C3228" s="100"/>
      <c r="D3228" s="100"/>
      <c r="E3228" s="100"/>
      <c r="F3228" s="100"/>
      <c r="G3228" s="100"/>
      <c r="H3228" s="100"/>
      <c r="I3228" s="100"/>
      <c r="J3228" s="100"/>
      <c r="K3228" s="100"/>
      <c r="L3228" s="100"/>
      <c r="M3228" s="100"/>
      <c r="N3228" s="100"/>
      <c r="O3228" s="100"/>
      <c r="P3228" s="100"/>
      <c r="Q3228" s="100"/>
      <c r="R3228" s="100"/>
      <c r="S3228" s="100"/>
      <c r="T3228" s="100"/>
      <c r="U3228" s="100"/>
      <c r="V3228" s="100"/>
      <c r="W3228" s="100"/>
      <c r="X3228" s="100"/>
      <c r="Y3228" s="100"/>
      <c r="Z3228" s="100"/>
    </row>
    <row r="3229" spans="1:26">
      <c r="A3229" s="100"/>
      <c r="B3229" s="100"/>
      <c r="C3229" s="100"/>
      <c r="D3229" s="100"/>
      <c r="E3229" s="100"/>
      <c r="F3229" s="100"/>
      <c r="G3229" s="100"/>
      <c r="H3229" s="100"/>
      <c r="I3229" s="100"/>
      <c r="J3229" s="100"/>
      <c r="K3229" s="100"/>
      <c r="L3229" s="100"/>
      <c r="M3229" s="100"/>
      <c r="N3229" s="100"/>
      <c r="O3229" s="100"/>
      <c r="P3229" s="100"/>
      <c r="Q3229" s="100"/>
      <c r="R3229" s="100"/>
      <c r="S3229" s="100"/>
      <c r="T3229" s="100"/>
      <c r="U3229" s="100"/>
      <c r="V3229" s="100"/>
      <c r="W3229" s="100"/>
      <c r="X3229" s="100"/>
      <c r="Y3229" s="100"/>
      <c r="Z3229" s="100"/>
    </row>
    <row r="3230" spans="1:26">
      <c r="A3230" s="100"/>
      <c r="B3230" s="100"/>
      <c r="C3230" s="100"/>
      <c r="D3230" s="100"/>
      <c r="E3230" s="100"/>
      <c r="F3230" s="100"/>
      <c r="G3230" s="100"/>
      <c r="H3230" s="100"/>
      <c r="I3230" s="100"/>
      <c r="J3230" s="100"/>
      <c r="K3230" s="100"/>
      <c r="L3230" s="100"/>
      <c r="M3230" s="100"/>
      <c r="N3230" s="100"/>
      <c r="O3230" s="100"/>
      <c r="P3230" s="100"/>
      <c r="Q3230" s="100"/>
      <c r="R3230" s="100"/>
      <c r="S3230" s="100"/>
      <c r="T3230" s="100"/>
      <c r="U3230" s="100"/>
      <c r="V3230" s="100"/>
      <c r="W3230" s="100"/>
      <c r="X3230" s="100"/>
      <c r="Y3230" s="100"/>
      <c r="Z3230" s="100"/>
    </row>
    <row r="3231" spans="1:26">
      <c r="A3231" s="100"/>
      <c r="B3231" s="100"/>
      <c r="C3231" s="100"/>
      <c r="D3231" s="100"/>
      <c r="E3231" s="100"/>
      <c r="F3231" s="100"/>
      <c r="G3231" s="100"/>
      <c r="H3231" s="100"/>
      <c r="I3231" s="100"/>
      <c r="J3231" s="100"/>
      <c r="K3231" s="100"/>
      <c r="L3231" s="100"/>
      <c r="M3231" s="100"/>
      <c r="N3231" s="100"/>
      <c r="O3231" s="100"/>
      <c r="P3231" s="100"/>
      <c r="Q3231" s="100"/>
      <c r="R3231" s="100"/>
      <c r="S3231" s="100"/>
      <c r="T3231" s="100"/>
      <c r="U3231" s="100"/>
      <c r="V3231" s="100"/>
      <c r="W3231" s="100"/>
      <c r="X3231" s="100"/>
      <c r="Y3231" s="100"/>
      <c r="Z3231" s="100"/>
    </row>
    <row r="3232" spans="1:26">
      <c r="A3232" s="100"/>
      <c r="B3232" s="100"/>
      <c r="C3232" s="100"/>
      <c r="D3232" s="100"/>
      <c r="E3232" s="100"/>
      <c r="F3232" s="100"/>
      <c r="G3232" s="100"/>
      <c r="H3232" s="100"/>
      <c r="I3232" s="100"/>
      <c r="J3232" s="100"/>
      <c r="K3232" s="100"/>
      <c r="L3232" s="100"/>
      <c r="M3232" s="100"/>
      <c r="N3232" s="100"/>
      <c r="O3232" s="100"/>
      <c r="P3232" s="100"/>
      <c r="Q3232" s="100"/>
      <c r="R3232" s="100"/>
      <c r="S3232" s="100"/>
      <c r="T3232" s="100"/>
      <c r="U3232" s="100"/>
      <c r="V3232" s="100"/>
      <c r="W3232" s="100"/>
      <c r="X3232" s="100"/>
      <c r="Y3232" s="100"/>
      <c r="Z3232" s="100"/>
    </row>
    <row r="3233" spans="1:26">
      <c r="A3233" s="100"/>
      <c r="B3233" s="100"/>
      <c r="C3233" s="100"/>
      <c r="D3233" s="100"/>
      <c r="E3233" s="100"/>
      <c r="F3233" s="100"/>
      <c r="G3233" s="100"/>
      <c r="H3233" s="100"/>
      <c r="I3233" s="100"/>
      <c r="J3233" s="100"/>
      <c r="K3233" s="100"/>
      <c r="L3233" s="100"/>
      <c r="M3233" s="100"/>
      <c r="N3233" s="100"/>
      <c r="O3233" s="100"/>
      <c r="P3233" s="100"/>
      <c r="Q3233" s="100"/>
      <c r="R3233" s="100"/>
      <c r="S3233" s="100"/>
      <c r="T3233" s="100"/>
      <c r="U3233" s="100"/>
      <c r="V3233" s="100"/>
      <c r="W3233" s="100"/>
      <c r="X3233" s="100"/>
      <c r="Y3233" s="100"/>
      <c r="Z3233" s="100"/>
    </row>
    <row r="3234" spans="1:26">
      <c r="A3234" s="100"/>
      <c r="B3234" s="100"/>
      <c r="C3234" s="100"/>
      <c r="D3234" s="100"/>
      <c r="E3234" s="100"/>
      <c r="F3234" s="100"/>
      <c r="G3234" s="100"/>
      <c r="H3234" s="100"/>
      <c r="I3234" s="100"/>
      <c r="J3234" s="100"/>
      <c r="K3234" s="100"/>
      <c r="L3234" s="100"/>
      <c r="M3234" s="100"/>
      <c r="N3234" s="100"/>
      <c r="O3234" s="100"/>
      <c r="P3234" s="100"/>
      <c r="Q3234" s="100"/>
      <c r="R3234" s="100"/>
      <c r="S3234" s="100"/>
      <c r="T3234" s="100"/>
      <c r="U3234" s="100"/>
      <c r="V3234" s="100"/>
      <c r="W3234" s="100"/>
      <c r="X3234" s="100"/>
      <c r="Y3234" s="100"/>
      <c r="Z3234" s="100"/>
    </row>
    <row r="3235" spans="1:26">
      <c r="A3235" s="100"/>
      <c r="B3235" s="100"/>
      <c r="C3235" s="100"/>
      <c r="D3235" s="100"/>
      <c r="E3235" s="100"/>
      <c r="F3235" s="100"/>
      <c r="G3235" s="100"/>
      <c r="H3235" s="100"/>
      <c r="I3235" s="100"/>
      <c r="J3235" s="100"/>
      <c r="K3235" s="100"/>
      <c r="L3235" s="100"/>
      <c r="M3235" s="100"/>
      <c r="N3235" s="100"/>
      <c r="O3235" s="100"/>
      <c r="P3235" s="100"/>
      <c r="Q3235" s="100"/>
      <c r="R3235" s="100"/>
      <c r="S3235" s="100"/>
      <c r="T3235" s="100"/>
      <c r="U3235" s="100"/>
      <c r="V3235" s="100"/>
      <c r="W3235" s="100"/>
      <c r="X3235" s="100"/>
      <c r="Y3235" s="100"/>
      <c r="Z3235" s="100"/>
    </row>
    <row r="3236" spans="1:26">
      <c r="A3236" s="100"/>
      <c r="B3236" s="100"/>
      <c r="C3236" s="100"/>
      <c r="D3236" s="100"/>
      <c r="E3236" s="100"/>
      <c r="F3236" s="100"/>
      <c r="G3236" s="100"/>
      <c r="H3236" s="100"/>
      <c r="I3236" s="100"/>
      <c r="J3236" s="100"/>
      <c r="K3236" s="100"/>
      <c r="L3236" s="100"/>
      <c r="M3236" s="100"/>
      <c r="N3236" s="100"/>
      <c r="O3236" s="100"/>
      <c r="P3236" s="100"/>
      <c r="Q3236" s="100"/>
      <c r="R3236" s="100"/>
      <c r="S3236" s="100"/>
      <c r="T3236" s="100"/>
      <c r="U3236" s="100"/>
      <c r="V3236" s="100"/>
      <c r="W3236" s="100"/>
      <c r="X3236" s="100"/>
      <c r="Y3236" s="100"/>
      <c r="Z3236" s="100"/>
    </row>
    <row r="3237" spans="1:26">
      <c r="A3237" s="100"/>
      <c r="B3237" s="100"/>
      <c r="C3237" s="100"/>
      <c r="D3237" s="100"/>
      <c r="E3237" s="100"/>
      <c r="F3237" s="100"/>
      <c r="G3237" s="100"/>
      <c r="H3237" s="100"/>
      <c r="I3237" s="100"/>
      <c r="J3237" s="100"/>
      <c r="K3237" s="100"/>
      <c r="L3237" s="100"/>
      <c r="M3237" s="100"/>
      <c r="N3237" s="100"/>
      <c r="O3237" s="100"/>
      <c r="P3237" s="100"/>
      <c r="Q3237" s="100"/>
      <c r="R3237" s="100"/>
      <c r="S3237" s="100"/>
      <c r="T3237" s="100"/>
      <c r="U3237" s="100"/>
      <c r="V3237" s="100"/>
      <c r="W3237" s="100"/>
      <c r="X3237" s="100"/>
      <c r="Y3237" s="100"/>
      <c r="Z3237" s="100"/>
    </row>
    <row r="3238" spans="1:26">
      <c r="A3238" s="100"/>
      <c r="B3238" s="100"/>
      <c r="C3238" s="100"/>
      <c r="D3238" s="100"/>
      <c r="E3238" s="100"/>
      <c r="F3238" s="100"/>
      <c r="G3238" s="100"/>
      <c r="H3238" s="100"/>
      <c r="I3238" s="100"/>
      <c r="J3238" s="100"/>
      <c r="K3238" s="100"/>
      <c r="L3238" s="100"/>
      <c r="M3238" s="100"/>
      <c r="N3238" s="100"/>
      <c r="O3238" s="100"/>
      <c r="P3238" s="100"/>
      <c r="Q3238" s="100"/>
      <c r="R3238" s="100"/>
      <c r="S3238" s="100"/>
      <c r="T3238" s="100"/>
      <c r="U3238" s="100"/>
      <c r="V3238" s="100"/>
      <c r="W3238" s="100"/>
      <c r="X3238" s="100"/>
      <c r="Y3238" s="100"/>
      <c r="Z3238" s="100"/>
    </row>
    <row r="3239" spans="1:26">
      <c r="A3239" s="100"/>
      <c r="B3239" s="100"/>
      <c r="C3239" s="100"/>
      <c r="D3239" s="100"/>
      <c r="E3239" s="100"/>
      <c r="F3239" s="100"/>
      <c r="G3239" s="100"/>
      <c r="H3239" s="100"/>
      <c r="I3239" s="100"/>
      <c r="J3239" s="100"/>
      <c r="K3239" s="100"/>
      <c r="L3239" s="100"/>
      <c r="M3239" s="100"/>
      <c r="N3239" s="100"/>
      <c r="O3239" s="100"/>
      <c r="P3239" s="100"/>
      <c r="Q3239" s="100"/>
      <c r="R3239" s="100"/>
      <c r="S3239" s="100"/>
      <c r="T3239" s="100"/>
      <c r="U3239" s="100"/>
      <c r="V3239" s="100"/>
      <c r="W3239" s="100"/>
      <c r="X3239" s="100"/>
      <c r="Y3239" s="100"/>
      <c r="Z3239" s="100"/>
    </row>
    <row r="3240" spans="1:26">
      <c r="A3240" s="100"/>
      <c r="B3240" s="100"/>
      <c r="C3240" s="100"/>
      <c r="D3240" s="100"/>
      <c r="E3240" s="100"/>
      <c r="F3240" s="100"/>
      <c r="G3240" s="100"/>
      <c r="H3240" s="100"/>
      <c r="I3240" s="100"/>
      <c r="J3240" s="100"/>
      <c r="K3240" s="100"/>
      <c r="L3240" s="100"/>
      <c r="M3240" s="100"/>
      <c r="N3240" s="100"/>
      <c r="O3240" s="100"/>
      <c r="P3240" s="100"/>
      <c r="Q3240" s="100"/>
      <c r="R3240" s="100"/>
      <c r="S3240" s="100"/>
      <c r="T3240" s="100"/>
      <c r="U3240" s="100"/>
      <c r="V3240" s="100"/>
      <c r="W3240" s="100"/>
      <c r="X3240" s="100"/>
      <c r="Y3240" s="100"/>
      <c r="Z3240" s="100"/>
    </row>
    <row r="3241" spans="1:26">
      <c r="A3241" s="100"/>
      <c r="B3241" s="100"/>
      <c r="C3241" s="100"/>
      <c r="D3241" s="100"/>
      <c r="E3241" s="100"/>
      <c r="F3241" s="100"/>
      <c r="G3241" s="100"/>
      <c r="H3241" s="100"/>
      <c r="I3241" s="100"/>
      <c r="J3241" s="100"/>
      <c r="K3241" s="100"/>
      <c r="L3241" s="100"/>
      <c r="M3241" s="100"/>
      <c r="N3241" s="100"/>
      <c r="O3241" s="100"/>
      <c r="P3241" s="100"/>
      <c r="Q3241" s="100"/>
      <c r="R3241" s="100"/>
      <c r="S3241" s="100"/>
      <c r="T3241" s="100"/>
      <c r="U3241" s="100"/>
      <c r="V3241" s="100"/>
      <c r="W3241" s="100"/>
      <c r="X3241" s="100"/>
      <c r="Y3241" s="100"/>
      <c r="Z3241" s="100"/>
    </row>
    <row r="3242" spans="1:26">
      <c r="A3242" s="100"/>
      <c r="B3242" s="100"/>
      <c r="C3242" s="100"/>
      <c r="D3242" s="100"/>
      <c r="E3242" s="100"/>
      <c r="F3242" s="100"/>
      <c r="G3242" s="100"/>
      <c r="H3242" s="100"/>
      <c r="I3242" s="100"/>
      <c r="J3242" s="100"/>
      <c r="K3242" s="100"/>
      <c r="L3242" s="100"/>
      <c r="M3242" s="100"/>
      <c r="N3242" s="100"/>
      <c r="O3242" s="100"/>
      <c r="P3242" s="100"/>
      <c r="Q3242" s="100"/>
      <c r="R3242" s="100"/>
      <c r="S3242" s="100"/>
      <c r="T3242" s="100"/>
      <c r="U3242" s="100"/>
      <c r="V3242" s="100"/>
      <c r="W3242" s="100"/>
      <c r="X3242" s="100"/>
      <c r="Y3242" s="100"/>
      <c r="Z3242" s="100"/>
    </row>
    <row r="3243" spans="1:26">
      <c r="A3243" s="100"/>
      <c r="B3243" s="100"/>
      <c r="C3243" s="100"/>
      <c r="D3243" s="100"/>
      <c r="E3243" s="100"/>
      <c r="F3243" s="100"/>
      <c r="G3243" s="100"/>
      <c r="H3243" s="100"/>
      <c r="I3243" s="100"/>
      <c r="J3243" s="100"/>
      <c r="K3243" s="100"/>
      <c r="L3243" s="100"/>
      <c r="M3243" s="100"/>
      <c r="N3243" s="100"/>
      <c r="O3243" s="100"/>
      <c r="P3243" s="100"/>
      <c r="Q3243" s="100"/>
      <c r="R3243" s="100"/>
      <c r="S3243" s="100"/>
      <c r="T3243" s="100"/>
      <c r="U3243" s="100"/>
      <c r="V3243" s="100"/>
      <c r="W3243" s="100"/>
      <c r="X3243" s="100"/>
      <c r="Y3243" s="100"/>
      <c r="Z3243" s="100"/>
    </row>
    <row r="3244" spans="1:26">
      <c r="A3244" s="100"/>
      <c r="B3244" s="100"/>
      <c r="C3244" s="100"/>
      <c r="D3244" s="100"/>
      <c r="E3244" s="100"/>
      <c r="F3244" s="100"/>
      <c r="G3244" s="100"/>
      <c r="H3244" s="100"/>
      <c r="I3244" s="100"/>
      <c r="J3244" s="100"/>
      <c r="K3244" s="100"/>
      <c r="L3244" s="100"/>
      <c r="M3244" s="100"/>
      <c r="N3244" s="100"/>
      <c r="O3244" s="100"/>
      <c r="P3244" s="100"/>
      <c r="Q3244" s="100"/>
      <c r="R3244" s="100"/>
      <c r="S3244" s="100"/>
      <c r="T3244" s="100"/>
      <c r="U3244" s="100"/>
      <c r="V3244" s="100"/>
      <c r="W3244" s="100"/>
      <c r="X3244" s="100"/>
      <c r="Y3244" s="100"/>
      <c r="Z3244" s="100"/>
    </row>
    <row r="3245" spans="1:26">
      <c r="A3245" s="100"/>
      <c r="B3245" s="100"/>
      <c r="C3245" s="100"/>
      <c r="D3245" s="100"/>
      <c r="E3245" s="100"/>
      <c r="F3245" s="100"/>
      <c r="G3245" s="100"/>
      <c r="H3245" s="100"/>
      <c r="I3245" s="100"/>
      <c r="J3245" s="100"/>
      <c r="K3245" s="100"/>
      <c r="L3245" s="100"/>
      <c r="M3245" s="100"/>
      <c r="N3245" s="100"/>
      <c r="O3245" s="100"/>
      <c r="P3245" s="100"/>
      <c r="Q3245" s="100"/>
      <c r="R3245" s="100"/>
      <c r="S3245" s="100"/>
      <c r="T3245" s="100"/>
      <c r="U3245" s="100"/>
      <c r="V3245" s="100"/>
      <c r="W3245" s="100"/>
      <c r="X3245" s="100"/>
      <c r="Y3245" s="100"/>
      <c r="Z3245" s="100"/>
    </row>
    <row r="3246" spans="1:26">
      <c r="A3246" s="100"/>
      <c r="B3246" s="100"/>
      <c r="C3246" s="100"/>
      <c r="D3246" s="100"/>
      <c r="E3246" s="100"/>
      <c r="F3246" s="100"/>
      <c r="G3246" s="100"/>
      <c r="H3246" s="100"/>
      <c r="I3246" s="100"/>
      <c r="J3246" s="100"/>
      <c r="K3246" s="100"/>
      <c r="L3246" s="100"/>
      <c r="M3246" s="100"/>
      <c r="N3246" s="100"/>
      <c r="O3246" s="100"/>
      <c r="P3246" s="100"/>
      <c r="Q3246" s="100"/>
      <c r="R3246" s="100"/>
      <c r="S3246" s="100"/>
      <c r="T3246" s="100"/>
      <c r="U3246" s="100"/>
      <c r="V3246" s="100"/>
      <c r="W3246" s="100"/>
      <c r="X3246" s="100"/>
      <c r="Y3246" s="100"/>
      <c r="Z3246" s="100"/>
    </row>
    <row r="3247" spans="1:26">
      <c r="A3247" s="100"/>
      <c r="B3247" s="100"/>
      <c r="C3247" s="100"/>
      <c r="D3247" s="100"/>
      <c r="E3247" s="100"/>
      <c r="F3247" s="100"/>
      <c r="G3247" s="100"/>
      <c r="H3247" s="100"/>
      <c r="I3247" s="100"/>
      <c r="J3247" s="100"/>
      <c r="K3247" s="100"/>
      <c r="L3247" s="100"/>
      <c r="M3247" s="100"/>
      <c r="N3247" s="100"/>
      <c r="O3247" s="100"/>
      <c r="P3247" s="100"/>
      <c r="Q3247" s="100"/>
      <c r="R3247" s="100"/>
      <c r="S3247" s="100"/>
      <c r="T3247" s="100"/>
      <c r="U3247" s="100"/>
      <c r="V3247" s="100"/>
      <c r="W3247" s="100"/>
      <c r="X3247" s="100"/>
      <c r="Y3247" s="100"/>
      <c r="Z3247" s="100"/>
    </row>
    <row r="3248" spans="1:26">
      <c r="A3248" s="100"/>
      <c r="B3248" s="100"/>
      <c r="C3248" s="100"/>
      <c r="D3248" s="100"/>
      <c r="E3248" s="100"/>
      <c r="F3248" s="100"/>
      <c r="G3248" s="100"/>
      <c r="H3248" s="100"/>
      <c r="I3248" s="100"/>
      <c r="J3248" s="100"/>
      <c r="K3248" s="100"/>
      <c r="L3248" s="100"/>
      <c r="M3248" s="100"/>
      <c r="N3248" s="100"/>
      <c r="O3248" s="100"/>
      <c r="P3248" s="100"/>
      <c r="Q3248" s="100"/>
      <c r="R3248" s="100"/>
      <c r="S3248" s="100"/>
      <c r="T3248" s="100"/>
      <c r="U3248" s="100"/>
      <c r="V3248" s="100"/>
      <c r="W3248" s="100"/>
      <c r="X3248" s="100"/>
      <c r="Y3248" s="100"/>
      <c r="Z3248" s="100"/>
    </row>
    <row r="3249" spans="1:26">
      <c r="A3249" s="100"/>
      <c r="B3249" s="100"/>
      <c r="C3249" s="100"/>
      <c r="D3249" s="100"/>
      <c r="E3249" s="100"/>
      <c r="F3249" s="100"/>
      <c r="G3249" s="100"/>
      <c r="H3249" s="100"/>
      <c r="I3249" s="100"/>
      <c r="J3249" s="100"/>
      <c r="K3249" s="100"/>
      <c r="L3249" s="100"/>
      <c r="M3249" s="100"/>
      <c r="N3249" s="100"/>
      <c r="O3249" s="100"/>
      <c r="P3249" s="100"/>
      <c r="Q3249" s="100"/>
      <c r="R3249" s="100"/>
      <c r="S3249" s="100"/>
      <c r="T3249" s="100"/>
      <c r="U3249" s="100"/>
      <c r="V3249" s="100"/>
      <c r="W3249" s="100"/>
      <c r="X3249" s="100"/>
      <c r="Y3249" s="100"/>
      <c r="Z3249" s="100"/>
    </row>
    <row r="3250" spans="1:26">
      <c r="A3250" s="100"/>
      <c r="B3250" s="100"/>
      <c r="C3250" s="100"/>
      <c r="D3250" s="100"/>
      <c r="E3250" s="100"/>
      <c r="F3250" s="100"/>
      <c r="G3250" s="100"/>
      <c r="H3250" s="100"/>
      <c r="I3250" s="100"/>
      <c r="J3250" s="100"/>
      <c r="K3250" s="100"/>
      <c r="L3250" s="100"/>
      <c r="M3250" s="100"/>
      <c r="N3250" s="100"/>
      <c r="O3250" s="100"/>
      <c r="P3250" s="100"/>
      <c r="Q3250" s="100"/>
      <c r="R3250" s="100"/>
      <c r="S3250" s="100"/>
      <c r="T3250" s="100"/>
      <c r="U3250" s="100"/>
      <c r="V3250" s="100"/>
      <c r="W3250" s="100"/>
      <c r="X3250" s="100"/>
      <c r="Y3250" s="100"/>
      <c r="Z3250" s="100"/>
    </row>
    <row r="3251" spans="1:26">
      <c r="A3251" s="100"/>
      <c r="B3251" s="100"/>
      <c r="C3251" s="100"/>
      <c r="D3251" s="100"/>
      <c r="E3251" s="100"/>
      <c r="F3251" s="100"/>
      <c r="G3251" s="100"/>
      <c r="H3251" s="100"/>
      <c r="I3251" s="100"/>
      <c r="J3251" s="100"/>
      <c r="K3251" s="100"/>
      <c r="L3251" s="100"/>
      <c r="M3251" s="100"/>
      <c r="N3251" s="100"/>
      <c r="O3251" s="100"/>
      <c r="P3251" s="100"/>
      <c r="Q3251" s="100"/>
      <c r="R3251" s="100"/>
      <c r="S3251" s="100"/>
      <c r="T3251" s="100"/>
      <c r="U3251" s="100"/>
      <c r="V3251" s="100"/>
      <c r="W3251" s="100"/>
      <c r="X3251" s="100"/>
      <c r="Y3251" s="100"/>
      <c r="Z3251" s="100"/>
    </row>
    <row r="3252" spans="1:26">
      <c r="A3252" s="100"/>
      <c r="B3252" s="100"/>
      <c r="C3252" s="100"/>
      <c r="D3252" s="100"/>
      <c r="E3252" s="100"/>
      <c r="F3252" s="100"/>
      <c r="G3252" s="100"/>
      <c r="H3252" s="100"/>
      <c r="I3252" s="100"/>
      <c r="J3252" s="100"/>
      <c r="K3252" s="100"/>
      <c r="L3252" s="100"/>
      <c r="M3252" s="100"/>
      <c r="N3252" s="100"/>
      <c r="O3252" s="100"/>
      <c r="P3252" s="100"/>
      <c r="Q3252" s="100"/>
      <c r="R3252" s="100"/>
      <c r="S3252" s="100"/>
      <c r="T3252" s="100"/>
      <c r="U3252" s="100"/>
      <c r="V3252" s="100"/>
      <c r="W3252" s="100"/>
      <c r="X3252" s="100"/>
      <c r="Y3252" s="100"/>
      <c r="Z3252" s="100"/>
    </row>
    <row r="3253" spans="1:26">
      <c r="A3253" s="100"/>
      <c r="B3253" s="100"/>
      <c r="C3253" s="100"/>
      <c r="D3253" s="100"/>
      <c r="E3253" s="100"/>
      <c r="F3253" s="100"/>
      <c r="G3253" s="100"/>
      <c r="H3253" s="100"/>
      <c r="I3253" s="100"/>
      <c r="J3253" s="100"/>
      <c r="K3253" s="100"/>
      <c r="L3253" s="100"/>
      <c r="M3253" s="100"/>
      <c r="N3253" s="100"/>
      <c r="O3253" s="100"/>
      <c r="P3253" s="100"/>
      <c r="Q3253" s="100"/>
      <c r="R3253" s="100"/>
      <c r="S3253" s="100"/>
      <c r="T3253" s="100"/>
      <c r="U3253" s="100"/>
      <c r="V3253" s="100"/>
      <c r="W3253" s="100"/>
      <c r="X3253" s="100"/>
      <c r="Y3253" s="100"/>
      <c r="Z3253" s="100"/>
    </row>
    <row r="3254" spans="1:26">
      <c r="A3254" s="100"/>
      <c r="B3254" s="100"/>
      <c r="C3254" s="100"/>
      <c r="D3254" s="100"/>
      <c r="E3254" s="100"/>
      <c r="F3254" s="100"/>
      <c r="G3254" s="100"/>
      <c r="H3254" s="100"/>
      <c r="I3254" s="100"/>
      <c r="J3254" s="100"/>
      <c r="K3254" s="100"/>
      <c r="L3254" s="100"/>
      <c r="M3254" s="100"/>
      <c r="N3254" s="100"/>
      <c r="O3254" s="100"/>
      <c r="P3254" s="100"/>
      <c r="Q3254" s="100"/>
      <c r="R3254" s="100"/>
      <c r="S3254" s="100"/>
      <c r="T3254" s="100"/>
      <c r="U3254" s="100"/>
      <c r="V3254" s="100"/>
      <c r="W3254" s="100"/>
      <c r="X3254" s="100"/>
      <c r="Y3254" s="100"/>
      <c r="Z3254" s="100"/>
    </row>
    <row r="3255" spans="1:26">
      <c r="A3255" s="100"/>
      <c r="B3255" s="100"/>
      <c r="C3255" s="100"/>
      <c r="D3255" s="100"/>
      <c r="E3255" s="100"/>
      <c r="F3255" s="100"/>
      <c r="G3255" s="100"/>
      <c r="H3255" s="100"/>
      <c r="I3255" s="100"/>
      <c r="J3255" s="100"/>
      <c r="K3255" s="100"/>
      <c r="L3255" s="100"/>
      <c r="M3255" s="100"/>
      <c r="N3255" s="100"/>
      <c r="O3255" s="100"/>
      <c r="P3255" s="100"/>
      <c r="Q3255" s="100"/>
      <c r="R3255" s="100"/>
      <c r="S3255" s="100"/>
      <c r="T3255" s="100"/>
      <c r="U3255" s="100"/>
      <c r="V3255" s="100"/>
      <c r="W3255" s="100"/>
      <c r="X3255" s="100"/>
      <c r="Y3255" s="100"/>
      <c r="Z3255" s="100"/>
    </row>
    <row r="3256" spans="1:26">
      <c r="A3256" s="100"/>
      <c r="B3256" s="100"/>
      <c r="C3256" s="100"/>
      <c r="D3256" s="100"/>
      <c r="E3256" s="100"/>
      <c r="F3256" s="100"/>
      <c r="G3256" s="100"/>
      <c r="H3256" s="100"/>
      <c r="I3256" s="100"/>
      <c r="J3256" s="100"/>
      <c r="K3256" s="100"/>
      <c r="L3256" s="100"/>
      <c r="M3256" s="100"/>
      <c r="N3256" s="100"/>
      <c r="O3256" s="100"/>
      <c r="P3256" s="100"/>
      <c r="Q3256" s="100"/>
      <c r="R3256" s="100"/>
      <c r="S3256" s="100"/>
      <c r="T3256" s="100"/>
      <c r="U3256" s="100"/>
      <c r="V3256" s="100"/>
      <c r="W3256" s="100"/>
      <c r="X3256" s="100"/>
      <c r="Y3256" s="100"/>
      <c r="Z3256" s="100"/>
    </row>
    <row r="3257" spans="1:26">
      <c r="A3257" s="100"/>
      <c r="B3257" s="100"/>
      <c r="C3257" s="100"/>
      <c r="D3257" s="100"/>
      <c r="E3257" s="100"/>
      <c r="F3257" s="100"/>
      <c r="G3257" s="100"/>
      <c r="H3257" s="100"/>
      <c r="I3257" s="100"/>
      <c r="J3257" s="100"/>
      <c r="K3257" s="100"/>
      <c r="L3257" s="100"/>
      <c r="M3257" s="100"/>
      <c r="N3257" s="100"/>
      <c r="O3257" s="100"/>
      <c r="P3257" s="100"/>
      <c r="Q3257" s="100"/>
      <c r="R3257" s="100"/>
      <c r="S3257" s="100"/>
      <c r="T3257" s="100"/>
      <c r="U3257" s="100"/>
      <c r="V3257" s="100"/>
      <c r="W3257" s="100"/>
      <c r="X3257" s="100"/>
      <c r="Y3257" s="100"/>
      <c r="Z3257" s="100"/>
    </row>
    <row r="3258" spans="1:26">
      <c r="A3258" s="100"/>
      <c r="B3258" s="100"/>
      <c r="C3258" s="100"/>
      <c r="D3258" s="100"/>
      <c r="E3258" s="100"/>
      <c r="F3258" s="100"/>
      <c r="G3258" s="100"/>
      <c r="H3258" s="100"/>
      <c r="I3258" s="100"/>
      <c r="J3258" s="100"/>
      <c r="K3258" s="100"/>
      <c r="L3258" s="100"/>
      <c r="M3258" s="100"/>
      <c r="N3258" s="100"/>
      <c r="O3258" s="100"/>
      <c r="P3258" s="100"/>
      <c r="Q3258" s="100"/>
      <c r="R3258" s="100"/>
      <c r="S3258" s="100"/>
      <c r="T3258" s="100"/>
      <c r="U3258" s="100"/>
      <c r="V3258" s="100"/>
      <c r="W3258" s="100"/>
      <c r="X3258" s="100"/>
      <c r="Y3258" s="100"/>
      <c r="Z3258" s="100"/>
    </row>
    <row r="3259" spans="1:26">
      <c r="A3259" s="100"/>
      <c r="B3259" s="100"/>
      <c r="C3259" s="100"/>
      <c r="D3259" s="100"/>
      <c r="E3259" s="100"/>
      <c r="F3259" s="100"/>
      <c r="G3259" s="100"/>
      <c r="H3259" s="100"/>
      <c r="I3259" s="100"/>
      <c r="J3259" s="100"/>
      <c r="K3259" s="100"/>
      <c r="L3259" s="100"/>
      <c r="M3259" s="100"/>
      <c r="N3259" s="100"/>
      <c r="O3259" s="100"/>
      <c r="P3259" s="100"/>
      <c r="Q3259" s="100"/>
      <c r="R3259" s="100"/>
      <c r="S3259" s="100"/>
      <c r="T3259" s="100"/>
      <c r="U3259" s="100"/>
      <c r="V3259" s="100"/>
      <c r="W3259" s="100"/>
      <c r="X3259" s="100"/>
      <c r="Y3259" s="100"/>
      <c r="Z3259" s="100"/>
    </row>
    <row r="3260" spans="1:26">
      <c r="A3260" s="100"/>
      <c r="B3260" s="100"/>
      <c r="C3260" s="100"/>
      <c r="D3260" s="100"/>
      <c r="E3260" s="100"/>
      <c r="F3260" s="100"/>
      <c r="G3260" s="100"/>
      <c r="H3260" s="100"/>
      <c r="I3260" s="100"/>
      <c r="J3260" s="100"/>
      <c r="K3260" s="100"/>
      <c r="L3260" s="100"/>
      <c r="M3260" s="100"/>
      <c r="N3260" s="100"/>
      <c r="O3260" s="100"/>
      <c r="P3260" s="100"/>
      <c r="Q3260" s="100"/>
      <c r="R3260" s="100"/>
      <c r="S3260" s="100"/>
      <c r="T3260" s="100"/>
      <c r="U3260" s="100"/>
      <c r="V3260" s="100"/>
      <c r="W3260" s="100"/>
      <c r="X3260" s="100"/>
      <c r="Y3260" s="100"/>
      <c r="Z3260" s="100"/>
    </row>
    <row r="3261" spans="1:26">
      <c r="A3261" s="100"/>
      <c r="B3261" s="100"/>
      <c r="C3261" s="100"/>
      <c r="D3261" s="100"/>
      <c r="E3261" s="100"/>
      <c r="F3261" s="100"/>
      <c r="G3261" s="100"/>
      <c r="H3261" s="100"/>
      <c r="I3261" s="100"/>
      <c r="J3261" s="100"/>
      <c r="K3261" s="100"/>
      <c r="L3261" s="100"/>
      <c r="M3261" s="100"/>
      <c r="N3261" s="100"/>
      <c r="O3261" s="100"/>
      <c r="P3261" s="100"/>
      <c r="Q3261" s="100"/>
      <c r="R3261" s="100"/>
      <c r="S3261" s="100"/>
      <c r="T3261" s="100"/>
      <c r="U3261" s="100"/>
      <c r="V3261" s="100"/>
      <c r="W3261" s="100"/>
      <c r="X3261" s="100"/>
      <c r="Y3261" s="100"/>
      <c r="Z3261" s="100"/>
    </row>
    <row r="3262" spans="1:26">
      <c r="A3262" s="100"/>
      <c r="B3262" s="100"/>
      <c r="C3262" s="100"/>
      <c r="D3262" s="100"/>
      <c r="E3262" s="100"/>
      <c r="F3262" s="100"/>
      <c r="G3262" s="100"/>
      <c r="H3262" s="100"/>
      <c r="I3262" s="100"/>
      <c r="J3262" s="100"/>
      <c r="K3262" s="100"/>
      <c r="L3262" s="100"/>
      <c r="M3262" s="100"/>
      <c r="N3262" s="100"/>
      <c r="O3262" s="100"/>
      <c r="P3262" s="100"/>
      <c r="Q3262" s="100"/>
      <c r="R3262" s="100"/>
      <c r="S3262" s="100"/>
      <c r="T3262" s="100"/>
      <c r="U3262" s="100"/>
      <c r="V3262" s="100"/>
      <c r="W3262" s="100"/>
      <c r="X3262" s="100"/>
      <c r="Y3262" s="100"/>
      <c r="Z3262" s="100"/>
    </row>
    <row r="3263" spans="1:26">
      <c r="A3263" s="100"/>
      <c r="B3263" s="100"/>
      <c r="C3263" s="100"/>
      <c r="D3263" s="100"/>
      <c r="E3263" s="100"/>
      <c r="F3263" s="100"/>
      <c r="G3263" s="100"/>
      <c r="H3263" s="100"/>
      <c r="I3263" s="100"/>
      <c r="J3263" s="100"/>
      <c r="K3263" s="100"/>
      <c r="L3263" s="100"/>
      <c r="M3263" s="100"/>
      <c r="N3263" s="100"/>
      <c r="O3263" s="100"/>
      <c r="P3263" s="100"/>
      <c r="Q3263" s="100"/>
      <c r="R3263" s="100"/>
      <c r="S3263" s="100"/>
      <c r="T3263" s="100"/>
      <c r="U3263" s="100"/>
      <c r="V3263" s="100"/>
      <c r="W3263" s="100"/>
      <c r="X3263" s="100"/>
      <c r="Y3263" s="100"/>
      <c r="Z3263" s="100"/>
    </row>
    <row r="3264" spans="1:26">
      <c r="A3264" s="100"/>
      <c r="B3264" s="100"/>
      <c r="C3264" s="100"/>
      <c r="D3264" s="100"/>
      <c r="E3264" s="100"/>
      <c r="F3264" s="100"/>
      <c r="G3264" s="100"/>
      <c r="H3264" s="100"/>
      <c r="I3264" s="100"/>
      <c r="J3264" s="100"/>
      <c r="K3264" s="100"/>
      <c r="L3264" s="100"/>
      <c r="M3264" s="100"/>
      <c r="N3264" s="100"/>
      <c r="O3264" s="100"/>
      <c r="P3264" s="100"/>
      <c r="Q3264" s="100"/>
      <c r="R3264" s="100"/>
      <c r="S3264" s="100"/>
      <c r="T3264" s="100"/>
      <c r="U3264" s="100"/>
      <c r="V3264" s="100"/>
      <c r="W3264" s="100"/>
      <c r="X3264" s="100"/>
      <c r="Y3264" s="100"/>
      <c r="Z3264" s="100"/>
    </row>
    <row r="3265" spans="1:26">
      <c r="A3265" s="100"/>
      <c r="B3265" s="100"/>
      <c r="C3265" s="100"/>
      <c r="D3265" s="100"/>
      <c r="E3265" s="100"/>
      <c r="F3265" s="100"/>
      <c r="G3265" s="100"/>
      <c r="H3265" s="100"/>
      <c r="I3265" s="100"/>
      <c r="J3265" s="100"/>
      <c r="K3265" s="100"/>
      <c r="L3265" s="100"/>
      <c r="M3265" s="100"/>
      <c r="N3265" s="100"/>
      <c r="O3265" s="100"/>
      <c r="P3265" s="100"/>
      <c r="Q3265" s="100"/>
      <c r="R3265" s="100"/>
      <c r="S3265" s="100"/>
      <c r="T3265" s="100"/>
      <c r="U3265" s="100"/>
      <c r="V3265" s="100"/>
      <c r="W3265" s="100"/>
      <c r="X3265" s="100"/>
      <c r="Y3265" s="100"/>
      <c r="Z3265" s="100"/>
    </row>
    <row r="3266" spans="1:26">
      <c r="A3266" s="100"/>
      <c r="B3266" s="100"/>
      <c r="C3266" s="100"/>
      <c r="D3266" s="100"/>
      <c r="E3266" s="100"/>
      <c r="F3266" s="100"/>
      <c r="G3266" s="100"/>
      <c r="H3266" s="100"/>
      <c r="I3266" s="100"/>
      <c r="J3266" s="100"/>
      <c r="K3266" s="100"/>
      <c r="L3266" s="100"/>
      <c r="M3266" s="100"/>
      <c r="N3266" s="100"/>
      <c r="O3266" s="100"/>
      <c r="P3266" s="100"/>
      <c r="Q3266" s="100"/>
      <c r="R3266" s="100"/>
      <c r="S3266" s="100"/>
      <c r="T3266" s="100"/>
      <c r="U3266" s="100"/>
      <c r="V3266" s="100"/>
      <c r="W3266" s="100"/>
      <c r="X3266" s="100"/>
      <c r="Y3266" s="100"/>
      <c r="Z3266" s="100"/>
    </row>
    <row r="3267" spans="1:26">
      <c r="A3267" s="100"/>
      <c r="B3267" s="100"/>
      <c r="C3267" s="100"/>
      <c r="D3267" s="100"/>
      <c r="E3267" s="100"/>
      <c r="F3267" s="100"/>
      <c r="G3267" s="100"/>
      <c r="H3267" s="100"/>
      <c r="I3267" s="100"/>
      <c r="J3267" s="100"/>
      <c r="K3267" s="100"/>
      <c r="L3267" s="100"/>
      <c r="M3267" s="100"/>
      <c r="N3267" s="100"/>
      <c r="O3267" s="100"/>
      <c r="P3267" s="100"/>
      <c r="Q3267" s="100"/>
      <c r="R3267" s="100"/>
      <c r="S3267" s="100"/>
      <c r="T3267" s="100"/>
      <c r="U3267" s="100"/>
      <c r="V3267" s="100"/>
      <c r="W3267" s="100"/>
      <c r="X3267" s="100"/>
      <c r="Y3267" s="100"/>
      <c r="Z3267" s="100"/>
    </row>
    <row r="3268" spans="1:26">
      <c r="A3268" s="100"/>
      <c r="B3268" s="100"/>
      <c r="C3268" s="100"/>
      <c r="D3268" s="100"/>
      <c r="E3268" s="100"/>
      <c r="F3268" s="100"/>
      <c r="G3268" s="100"/>
      <c r="H3268" s="100"/>
      <c r="I3268" s="100"/>
      <c r="J3268" s="100"/>
      <c r="K3268" s="100"/>
      <c r="L3268" s="100"/>
      <c r="M3268" s="100"/>
      <c r="N3268" s="100"/>
      <c r="O3268" s="100"/>
      <c r="P3268" s="100"/>
      <c r="Q3268" s="100"/>
      <c r="R3268" s="100"/>
      <c r="S3268" s="100"/>
      <c r="T3268" s="100"/>
      <c r="U3268" s="100"/>
      <c r="V3268" s="100"/>
      <c r="W3268" s="100"/>
      <c r="X3268" s="100"/>
      <c r="Y3268" s="100"/>
      <c r="Z3268" s="100"/>
    </row>
    <row r="3269" spans="1:26">
      <c r="A3269" s="100"/>
      <c r="B3269" s="100"/>
      <c r="C3269" s="100"/>
      <c r="D3269" s="100"/>
      <c r="E3269" s="100"/>
      <c r="F3269" s="100"/>
      <c r="G3269" s="100"/>
      <c r="H3269" s="100"/>
      <c r="I3269" s="100"/>
      <c r="J3269" s="100"/>
      <c r="K3269" s="100"/>
      <c r="L3269" s="100"/>
      <c r="M3269" s="100"/>
      <c r="N3269" s="100"/>
      <c r="O3269" s="100"/>
      <c r="P3269" s="100"/>
      <c r="Q3269" s="100"/>
      <c r="R3269" s="100"/>
      <c r="S3269" s="100"/>
      <c r="T3269" s="100"/>
      <c r="U3269" s="100"/>
      <c r="V3269" s="100"/>
      <c r="W3269" s="100"/>
      <c r="X3269" s="100"/>
      <c r="Y3269" s="100"/>
      <c r="Z3269" s="100"/>
    </row>
    <row r="3270" spans="1:26">
      <c r="A3270" s="100"/>
      <c r="B3270" s="100"/>
      <c r="C3270" s="100"/>
      <c r="D3270" s="100"/>
      <c r="E3270" s="100"/>
      <c r="F3270" s="100"/>
      <c r="G3270" s="100"/>
      <c r="H3270" s="100"/>
      <c r="I3270" s="100"/>
      <c r="J3270" s="100"/>
      <c r="K3270" s="100"/>
      <c r="L3270" s="100"/>
      <c r="M3270" s="100"/>
      <c r="N3270" s="100"/>
      <c r="O3270" s="100"/>
      <c r="P3270" s="100"/>
      <c r="Q3270" s="100"/>
      <c r="R3270" s="100"/>
      <c r="S3270" s="100"/>
      <c r="T3270" s="100"/>
      <c r="U3270" s="100"/>
      <c r="V3270" s="100"/>
      <c r="W3270" s="100"/>
      <c r="X3270" s="100"/>
      <c r="Y3270" s="100"/>
      <c r="Z3270" s="100"/>
    </row>
    <row r="3271" spans="1:26">
      <c r="A3271" s="100"/>
      <c r="B3271" s="100"/>
      <c r="C3271" s="100"/>
      <c r="D3271" s="100"/>
      <c r="E3271" s="100"/>
      <c r="F3271" s="100"/>
      <c r="G3271" s="100"/>
      <c r="H3271" s="100"/>
      <c r="I3271" s="100"/>
      <c r="J3271" s="100"/>
      <c r="K3271" s="100"/>
      <c r="L3271" s="100"/>
      <c r="M3271" s="100"/>
      <c r="N3271" s="100"/>
      <c r="O3271" s="100"/>
      <c r="P3271" s="100"/>
      <c r="Q3271" s="100"/>
      <c r="R3271" s="100"/>
      <c r="S3271" s="100"/>
      <c r="T3271" s="100"/>
      <c r="U3271" s="100"/>
      <c r="V3271" s="100"/>
      <c r="W3271" s="100"/>
      <c r="X3271" s="100"/>
      <c r="Y3271" s="100"/>
      <c r="Z3271" s="100"/>
    </row>
    <row r="3272" spans="1:26">
      <c r="A3272" s="100"/>
      <c r="B3272" s="100"/>
      <c r="C3272" s="100"/>
      <c r="D3272" s="100"/>
      <c r="E3272" s="100"/>
      <c r="F3272" s="100"/>
      <c r="G3272" s="100"/>
      <c r="H3272" s="100"/>
      <c r="I3272" s="100"/>
      <c r="J3272" s="100"/>
      <c r="K3272" s="100"/>
      <c r="L3272" s="100"/>
      <c r="M3272" s="100"/>
      <c r="N3272" s="100"/>
      <c r="O3272" s="100"/>
      <c r="P3272" s="100"/>
      <c r="Q3272" s="100"/>
      <c r="R3272" s="100"/>
      <c r="S3272" s="100"/>
      <c r="T3272" s="100"/>
      <c r="U3272" s="100"/>
      <c r="V3272" s="100"/>
      <c r="W3272" s="100"/>
      <c r="X3272" s="100"/>
      <c r="Y3272" s="100"/>
      <c r="Z3272" s="100"/>
    </row>
    <row r="3273" spans="1:26">
      <c r="A3273" s="100"/>
      <c r="B3273" s="100"/>
      <c r="C3273" s="100"/>
      <c r="D3273" s="100"/>
      <c r="E3273" s="100"/>
      <c r="F3273" s="100"/>
      <c r="G3273" s="100"/>
      <c r="H3273" s="100"/>
      <c r="I3273" s="100"/>
      <c r="J3273" s="100"/>
      <c r="K3273" s="100"/>
      <c r="L3273" s="100"/>
      <c r="M3273" s="100"/>
      <c r="N3273" s="100"/>
      <c r="O3273" s="100"/>
      <c r="P3273" s="100"/>
      <c r="Q3273" s="100"/>
      <c r="R3273" s="100"/>
      <c r="S3273" s="100"/>
      <c r="T3273" s="100"/>
      <c r="U3273" s="100"/>
      <c r="V3273" s="100"/>
      <c r="W3273" s="100"/>
      <c r="X3273" s="100"/>
      <c r="Y3273" s="100"/>
      <c r="Z3273" s="100"/>
    </row>
    <row r="3274" spans="1:26">
      <c r="A3274" s="100"/>
      <c r="B3274" s="100"/>
      <c r="C3274" s="100"/>
      <c r="D3274" s="100"/>
      <c r="E3274" s="100"/>
      <c r="F3274" s="100"/>
      <c r="G3274" s="100"/>
      <c r="H3274" s="100"/>
      <c r="I3274" s="100"/>
      <c r="J3274" s="100"/>
      <c r="K3274" s="100"/>
      <c r="L3274" s="100"/>
      <c r="M3274" s="100"/>
      <c r="N3274" s="100"/>
      <c r="O3274" s="100"/>
      <c r="P3274" s="100"/>
      <c r="Q3274" s="100"/>
      <c r="R3274" s="100"/>
      <c r="S3274" s="100"/>
      <c r="T3274" s="100"/>
      <c r="U3274" s="100"/>
      <c r="V3274" s="100"/>
      <c r="W3274" s="100"/>
      <c r="X3274" s="100"/>
      <c r="Y3274" s="100"/>
      <c r="Z3274" s="100"/>
    </row>
    <row r="3275" spans="1:26">
      <c r="A3275" s="100"/>
      <c r="B3275" s="100"/>
      <c r="C3275" s="100"/>
      <c r="D3275" s="100"/>
      <c r="E3275" s="100"/>
      <c r="F3275" s="100"/>
      <c r="G3275" s="100"/>
      <c r="H3275" s="100"/>
      <c r="I3275" s="100"/>
      <c r="J3275" s="100"/>
      <c r="K3275" s="100"/>
      <c r="L3275" s="100"/>
      <c r="M3275" s="100"/>
      <c r="N3275" s="100"/>
      <c r="O3275" s="100"/>
      <c r="P3275" s="100"/>
      <c r="Q3275" s="100"/>
      <c r="R3275" s="100"/>
      <c r="S3275" s="100"/>
      <c r="T3275" s="100"/>
      <c r="U3275" s="100"/>
      <c r="V3275" s="100"/>
      <c r="W3275" s="100"/>
      <c r="X3275" s="100"/>
      <c r="Y3275" s="100"/>
      <c r="Z3275" s="100"/>
    </row>
    <row r="3276" spans="1:26">
      <c r="A3276" s="100"/>
      <c r="B3276" s="100"/>
      <c r="C3276" s="100"/>
      <c r="D3276" s="100"/>
      <c r="E3276" s="100"/>
      <c r="F3276" s="100"/>
      <c r="G3276" s="100"/>
      <c r="H3276" s="100"/>
      <c r="I3276" s="100"/>
      <c r="J3276" s="100"/>
      <c r="K3276" s="100"/>
      <c r="L3276" s="100"/>
      <c r="M3276" s="100"/>
      <c r="N3276" s="100"/>
      <c r="O3276" s="100"/>
      <c r="P3276" s="100"/>
      <c r="Q3276" s="100"/>
      <c r="R3276" s="100"/>
      <c r="S3276" s="100"/>
      <c r="T3276" s="100"/>
      <c r="U3276" s="100"/>
      <c r="V3276" s="100"/>
      <c r="W3276" s="100"/>
      <c r="X3276" s="100"/>
      <c r="Y3276" s="100"/>
      <c r="Z3276" s="100"/>
    </row>
    <row r="3277" spans="1:26">
      <c r="A3277" s="100"/>
      <c r="B3277" s="100"/>
      <c r="C3277" s="100"/>
      <c r="D3277" s="100"/>
      <c r="E3277" s="100"/>
      <c r="F3277" s="100"/>
      <c r="G3277" s="100"/>
      <c r="H3277" s="100"/>
      <c r="I3277" s="100"/>
      <c r="J3277" s="100"/>
      <c r="K3277" s="100"/>
      <c r="L3277" s="100"/>
      <c r="M3277" s="100"/>
      <c r="N3277" s="100"/>
      <c r="O3277" s="100"/>
      <c r="P3277" s="100"/>
      <c r="Q3277" s="100"/>
      <c r="R3277" s="100"/>
      <c r="S3277" s="100"/>
      <c r="T3277" s="100"/>
      <c r="U3277" s="100"/>
      <c r="V3277" s="100"/>
      <c r="W3277" s="100"/>
      <c r="X3277" s="100"/>
      <c r="Y3277" s="100"/>
      <c r="Z3277" s="100"/>
    </row>
    <row r="3278" spans="1:26">
      <c r="A3278" s="100"/>
      <c r="B3278" s="100"/>
      <c r="C3278" s="100"/>
      <c r="D3278" s="100"/>
      <c r="E3278" s="100"/>
      <c r="F3278" s="100"/>
      <c r="G3278" s="100"/>
      <c r="H3278" s="100"/>
      <c r="I3278" s="100"/>
      <c r="J3278" s="100"/>
      <c r="K3278" s="100"/>
      <c r="L3278" s="100"/>
      <c r="M3278" s="100"/>
      <c r="N3278" s="100"/>
      <c r="O3278" s="100"/>
      <c r="P3278" s="100"/>
      <c r="Q3278" s="100"/>
      <c r="R3278" s="100"/>
      <c r="S3278" s="100"/>
      <c r="T3278" s="100"/>
      <c r="U3278" s="100"/>
      <c r="V3278" s="100"/>
      <c r="W3278" s="100"/>
      <c r="X3278" s="100"/>
      <c r="Y3278" s="100"/>
      <c r="Z3278" s="100"/>
    </row>
    <row r="3279" spans="1:26">
      <c r="A3279" s="100"/>
      <c r="B3279" s="100"/>
      <c r="C3279" s="100"/>
      <c r="D3279" s="100"/>
      <c r="E3279" s="100"/>
      <c r="F3279" s="100"/>
      <c r="G3279" s="100"/>
      <c r="H3279" s="100"/>
      <c r="I3279" s="100"/>
      <c r="J3279" s="100"/>
      <c r="K3279" s="100"/>
      <c r="L3279" s="100"/>
      <c r="M3279" s="100"/>
      <c r="N3279" s="100"/>
      <c r="O3279" s="100"/>
      <c r="P3279" s="100"/>
      <c r="Q3279" s="100"/>
      <c r="R3279" s="100"/>
      <c r="S3279" s="100"/>
      <c r="T3279" s="100"/>
      <c r="U3279" s="100"/>
      <c r="V3279" s="100"/>
      <c r="W3279" s="100"/>
      <c r="X3279" s="100"/>
      <c r="Y3279" s="100"/>
      <c r="Z3279" s="100"/>
    </row>
    <row r="3280" spans="1:26">
      <c r="A3280" s="100"/>
      <c r="B3280" s="100"/>
      <c r="C3280" s="100"/>
      <c r="D3280" s="100"/>
      <c r="E3280" s="100"/>
      <c r="F3280" s="100"/>
      <c r="G3280" s="100"/>
      <c r="H3280" s="100"/>
      <c r="I3280" s="100"/>
      <c r="J3280" s="100"/>
      <c r="K3280" s="100"/>
      <c r="L3280" s="100"/>
      <c r="M3280" s="100"/>
      <c r="N3280" s="100"/>
      <c r="O3280" s="100"/>
      <c r="P3280" s="100"/>
      <c r="Q3280" s="100"/>
      <c r="R3280" s="100"/>
      <c r="S3280" s="100"/>
      <c r="T3280" s="100"/>
      <c r="U3280" s="100"/>
      <c r="V3280" s="100"/>
      <c r="W3280" s="100"/>
      <c r="X3280" s="100"/>
      <c r="Y3280" s="100"/>
      <c r="Z3280" s="100"/>
    </row>
    <row r="3281" spans="1:26">
      <c r="A3281" s="100"/>
      <c r="B3281" s="100"/>
      <c r="C3281" s="100"/>
      <c r="D3281" s="100"/>
      <c r="E3281" s="100"/>
      <c r="F3281" s="100"/>
      <c r="G3281" s="100"/>
      <c r="H3281" s="100"/>
      <c r="I3281" s="100"/>
      <c r="J3281" s="100"/>
      <c r="K3281" s="100"/>
      <c r="L3281" s="100"/>
      <c r="M3281" s="100"/>
      <c r="N3281" s="100"/>
      <c r="O3281" s="100"/>
      <c r="P3281" s="100"/>
      <c r="Q3281" s="100"/>
      <c r="R3281" s="100"/>
      <c r="S3281" s="100"/>
      <c r="T3281" s="100"/>
      <c r="U3281" s="100"/>
      <c r="V3281" s="100"/>
      <c r="W3281" s="100"/>
      <c r="X3281" s="100"/>
      <c r="Y3281" s="100"/>
      <c r="Z3281" s="100"/>
    </row>
    <row r="3282" spans="1:26">
      <c r="A3282" s="100"/>
      <c r="B3282" s="100"/>
      <c r="C3282" s="100"/>
      <c r="D3282" s="100"/>
      <c r="E3282" s="100"/>
      <c r="F3282" s="100"/>
      <c r="G3282" s="100"/>
      <c r="H3282" s="100"/>
      <c r="I3282" s="100"/>
      <c r="J3282" s="100"/>
      <c r="K3282" s="100"/>
      <c r="L3282" s="100"/>
      <c r="M3282" s="100"/>
      <c r="N3282" s="100"/>
      <c r="O3282" s="100"/>
      <c r="P3282" s="100"/>
      <c r="Q3282" s="100"/>
      <c r="R3282" s="100"/>
      <c r="S3282" s="100"/>
      <c r="T3282" s="100"/>
      <c r="U3282" s="100"/>
      <c r="V3282" s="100"/>
      <c r="W3282" s="100"/>
      <c r="X3282" s="100"/>
      <c r="Y3282" s="100"/>
      <c r="Z3282" s="100"/>
    </row>
    <row r="3283" spans="1:26">
      <c r="A3283" s="100"/>
      <c r="B3283" s="100"/>
      <c r="C3283" s="100"/>
      <c r="D3283" s="100"/>
      <c r="E3283" s="100"/>
      <c r="F3283" s="100"/>
      <c r="G3283" s="100"/>
      <c r="H3283" s="100"/>
      <c r="I3283" s="100"/>
      <c r="J3283" s="100"/>
      <c r="K3283" s="100"/>
      <c r="L3283" s="100"/>
      <c r="M3283" s="100"/>
      <c r="N3283" s="100"/>
      <c r="O3283" s="100"/>
      <c r="P3283" s="100"/>
      <c r="Q3283" s="100"/>
      <c r="R3283" s="100"/>
      <c r="S3283" s="100"/>
      <c r="T3283" s="100"/>
      <c r="U3283" s="100"/>
      <c r="V3283" s="100"/>
      <c r="W3283" s="100"/>
      <c r="X3283" s="100"/>
      <c r="Y3283" s="100"/>
      <c r="Z3283" s="100"/>
    </row>
    <row r="3284" spans="1:26">
      <c r="A3284" s="100"/>
      <c r="B3284" s="100"/>
      <c r="C3284" s="100"/>
      <c r="D3284" s="100"/>
      <c r="E3284" s="100"/>
      <c r="F3284" s="100"/>
      <c r="G3284" s="100"/>
      <c r="H3284" s="100"/>
      <c r="I3284" s="100"/>
      <c r="J3284" s="100"/>
      <c r="K3284" s="100"/>
      <c r="L3284" s="100"/>
      <c r="M3284" s="100"/>
      <c r="N3284" s="100"/>
      <c r="O3284" s="100"/>
      <c r="P3284" s="100"/>
      <c r="Q3284" s="100"/>
      <c r="R3284" s="100"/>
      <c r="S3284" s="100"/>
      <c r="T3284" s="100"/>
      <c r="U3284" s="100"/>
      <c r="V3284" s="100"/>
      <c r="W3284" s="100"/>
      <c r="X3284" s="100"/>
      <c r="Y3284" s="100"/>
      <c r="Z3284" s="100"/>
    </row>
    <row r="3285" spans="1:26">
      <c r="A3285" s="100"/>
      <c r="B3285" s="100"/>
      <c r="C3285" s="100"/>
      <c r="D3285" s="100"/>
      <c r="E3285" s="100"/>
      <c r="F3285" s="100"/>
      <c r="G3285" s="100"/>
      <c r="H3285" s="100"/>
      <c r="I3285" s="100"/>
      <c r="J3285" s="100"/>
      <c r="K3285" s="100"/>
      <c r="L3285" s="100"/>
      <c r="M3285" s="100"/>
      <c r="N3285" s="100"/>
      <c r="O3285" s="100"/>
      <c r="P3285" s="100"/>
      <c r="Q3285" s="100"/>
      <c r="R3285" s="100"/>
      <c r="S3285" s="100"/>
      <c r="T3285" s="100"/>
      <c r="U3285" s="100"/>
      <c r="V3285" s="100"/>
      <c r="W3285" s="100"/>
      <c r="X3285" s="100"/>
      <c r="Y3285" s="100"/>
      <c r="Z3285" s="100"/>
    </row>
    <row r="3286" spans="1:26">
      <c r="A3286" s="100"/>
      <c r="B3286" s="100"/>
      <c r="C3286" s="100"/>
      <c r="D3286" s="100"/>
      <c r="E3286" s="100"/>
      <c r="F3286" s="100"/>
      <c r="G3286" s="100"/>
      <c r="H3286" s="100"/>
      <c r="I3286" s="100"/>
      <c r="J3286" s="100"/>
      <c r="K3286" s="100"/>
      <c r="L3286" s="100"/>
      <c r="M3286" s="100"/>
      <c r="N3286" s="100"/>
      <c r="O3286" s="100"/>
      <c r="P3286" s="100"/>
      <c r="Q3286" s="100"/>
      <c r="R3286" s="100"/>
      <c r="S3286" s="100"/>
      <c r="T3286" s="100"/>
      <c r="U3286" s="100"/>
      <c r="V3286" s="100"/>
      <c r="W3286" s="100"/>
      <c r="X3286" s="100"/>
      <c r="Y3286" s="100"/>
      <c r="Z3286" s="100"/>
    </row>
    <row r="3287" spans="1:26">
      <c r="A3287" s="100"/>
      <c r="B3287" s="100"/>
      <c r="C3287" s="100"/>
      <c r="D3287" s="100"/>
      <c r="E3287" s="100"/>
      <c r="F3287" s="100"/>
      <c r="G3287" s="100"/>
      <c r="H3287" s="100"/>
      <c r="I3287" s="100"/>
      <c r="J3287" s="100"/>
      <c r="K3287" s="100"/>
      <c r="L3287" s="100"/>
      <c r="M3287" s="100"/>
      <c r="N3287" s="100"/>
      <c r="O3287" s="100"/>
      <c r="P3287" s="100"/>
      <c r="Q3287" s="100"/>
      <c r="R3287" s="100"/>
      <c r="S3287" s="100"/>
      <c r="T3287" s="100"/>
      <c r="U3287" s="100"/>
      <c r="V3287" s="100"/>
      <c r="W3287" s="100"/>
      <c r="X3287" s="100"/>
      <c r="Y3287" s="100"/>
      <c r="Z3287" s="100"/>
    </row>
    <row r="3288" spans="1:26">
      <c r="A3288" s="100"/>
      <c r="B3288" s="100"/>
      <c r="C3288" s="100"/>
      <c r="D3288" s="100"/>
      <c r="E3288" s="100"/>
      <c r="F3288" s="100"/>
      <c r="G3288" s="100"/>
      <c r="H3288" s="100"/>
      <c r="I3288" s="100"/>
      <c r="J3288" s="100"/>
      <c r="K3288" s="100"/>
      <c r="L3288" s="100"/>
      <c r="M3288" s="100"/>
      <c r="N3288" s="100"/>
      <c r="O3288" s="100"/>
      <c r="P3288" s="100"/>
      <c r="Q3288" s="100"/>
      <c r="R3288" s="100"/>
      <c r="S3288" s="100"/>
      <c r="T3288" s="100"/>
      <c r="U3288" s="100"/>
      <c r="V3288" s="100"/>
      <c r="W3288" s="100"/>
      <c r="X3288" s="100"/>
      <c r="Y3288" s="100"/>
      <c r="Z3288" s="100"/>
    </row>
    <row r="3289" spans="1:26">
      <c r="A3289" s="100"/>
      <c r="B3289" s="100"/>
      <c r="C3289" s="100"/>
      <c r="D3289" s="100"/>
      <c r="E3289" s="100"/>
      <c r="F3289" s="100"/>
      <c r="G3289" s="100"/>
      <c r="H3289" s="100"/>
      <c r="I3289" s="100"/>
      <c r="J3289" s="100"/>
      <c r="K3289" s="100"/>
      <c r="L3289" s="100"/>
      <c r="M3289" s="100"/>
      <c r="N3289" s="100"/>
      <c r="O3289" s="100"/>
      <c r="P3289" s="100"/>
      <c r="Q3289" s="100"/>
      <c r="R3289" s="100"/>
      <c r="S3289" s="100"/>
      <c r="T3289" s="100"/>
      <c r="U3289" s="100"/>
      <c r="V3289" s="100"/>
      <c r="W3289" s="100"/>
      <c r="X3289" s="100"/>
      <c r="Y3289" s="100"/>
      <c r="Z3289" s="100"/>
    </row>
    <row r="3290" spans="1:26">
      <c r="A3290" s="100"/>
      <c r="B3290" s="100"/>
      <c r="C3290" s="100"/>
      <c r="D3290" s="100"/>
      <c r="E3290" s="100"/>
      <c r="F3290" s="100"/>
      <c r="G3290" s="100"/>
      <c r="H3290" s="100"/>
      <c r="I3290" s="100"/>
      <c r="J3290" s="100"/>
      <c r="K3290" s="100"/>
      <c r="L3290" s="100"/>
      <c r="M3290" s="100"/>
      <c r="N3290" s="100"/>
      <c r="O3290" s="100"/>
      <c r="P3290" s="100"/>
      <c r="Q3290" s="100"/>
      <c r="R3290" s="100"/>
      <c r="S3290" s="100"/>
      <c r="T3290" s="100"/>
      <c r="U3290" s="100"/>
      <c r="V3290" s="100"/>
      <c r="W3290" s="100"/>
      <c r="X3290" s="100"/>
      <c r="Y3290" s="100"/>
      <c r="Z3290" s="100"/>
    </row>
    <row r="3291" spans="1:26">
      <c r="A3291" s="100"/>
      <c r="B3291" s="100"/>
      <c r="C3291" s="100"/>
      <c r="D3291" s="100"/>
      <c r="E3291" s="100"/>
      <c r="F3291" s="100"/>
      <c r="G3291" s="100"/>
      <c r="H3291" s="100"/>
      <c r="I3291" s="100"/>
      <c r="J3291" s="100"/>
      <c r="K3291" s="100"/>
      <c r="L3291" s="100"/>
      <c r="M3291" s="100"/>
      <c r="N3291" s="100"/>
      <c r="O3291" s="100"/>
      <c r="P3291" s="100"/>
      <c r="Q3291" s="100"/>
      <c r="R3291" s="100"/>
      <c r="S3291" s="100"/>
      <c r="T3291" s="100"/>
      <c r="U3291" s="100"/>
      <c r="V3291" s="100"/>
      <c r="W3291" s="100"/>
      <c r="X3291" s="100"/>
      <c r="Y3291" s="100"/>
      <c r="Z3291" s="100"/>
    </row>
    <row r="3292" spans="1:26">
      <c r="A3292" s="100"/>
      <c r="B3292" s="100"/>
      <c r="C3292" s="100"/>
      <c r="D3292" s="100"/>
      <c r="E3292" s="100"/>
      <c r="F3292" s="100"/>
      <c r="G3292" s="100"/>
      <c r="H3292" s="100"/>
      <c r="I3292" s="100"/>
      <c r="J3292" s="100"/>
      <c r="K3292" s="100"/>
      <c r="L3292" s="100"/>
      <c r="M3292" s="100"/>
      <c r="N3292" s="100"/>
      <c r="O3292" s="100"/>
      <c r="P3292" s="100"/>
      <c r="Q3292" s="100"/>
      <c r="R3292" s="100"/>
      <c r="S3292" s="100"/>
      <c r="T3292" s="100"/>
      <c r="U3292" s="100"/>
      <c r="V3292" s="100"/>
      <c r="W3292" s="100"/>
      <c r="X3292" s="100"/>
      <c r="Y3292" s="100"/>
      <c r="Z3292" s="100"/>
    </row>
    <row r="3293" spans="1:26">
      <c r="A3293" s="100"/>
      <c r="B3293" s="100"/>
      <c r="C3293" s="100"/>
      <c r="D3293" s="100"/>
      <c r="E3293" s="100"/>
      <c r="F3293" s="100"/>
      <c r="G3293" s="100"/>
      <c r="H3293" s="100"/>
      <c r="I3293" s="100"/>
      <c r="J3293" s="100"/>
      <c r="K3293" s="100"/>
      <c r="L3293" s="100"/>
      <c r="M3293" s="100"/>
      <c r="N3293" s="100"/>
      <c r="O3293" s="100"/>
      <c r="P3293" s="100"/>
      <c r="Q3293" s="100"/>
      <c r="R3293" s="100"/>
      <c r="S3293" s="100"/>
      <c r="T3293" s="100"/>
      <c r="U3293" s="100"/>
      <c r="V3293" s="100"/>
      <c r="W3293" s="100"/>
      <c r="X3293" s="100"/>
      <c r="Y3293" s="100"/>
      <c r="Z3293" s="100"/>
    </row>
    <row r="3294" spans="1:26">
      <c r="A3294" s="100"/>
      <c r="B3294" s="100"/>
      <c r="C3294" s="100"/>
      <c r="D3294" s="100"/>
      <c r="E3294" s="100"/>
      <c r="F3294" s="100"/>
      <c r="G3294" s="100"/>
      <c r="H3294" s="100"/>
      <c r="I3294" s="100"/>
      <c r="J3294" s="100"/>
      <c r="K3294" s="100"/>
      <c r="L3294" s="100"/>
      <c r="M3294" s="100"/>
      <c r="N3294" s="100"/>
      <c r="O3294" s="100"/>
      <c r="P3294" s="100"/>
      <c r="Q3294" s="100"/>
      <c r="R3294" s="100"/>
      <c r="S3294" s="100"/>
      <c r="T3294" s="100"/>
      <c r="U3294" s="100"/>
      <c r="V3294" s="100"/>
      <c r="W3294" s="100"/>
      <c r="X3294" s="100"/>
      <c r="Y3294" s="100"/>
      <c r="Z3294" s="100"/>
    </row>
    <row r="3295" spans="1:26">
      <c r="A3295" s="100"/>
      <c r="B3295" s="100"/>
      <c r="C3295" s="100"/>
      <c r="D3295" s="100"/>
      <c r="E3295" s="100"/>
      <c r="F3295" s="100"/>
      <c r="G3295" s="100"/>
      <c r="H3295" s="100"/>
      <c r="I3295" s="100"/>
      <c r="J3295" s="100"/>
      <c r="K3295" s="100"/>
      <c r="L3295" s="100"/>
      <c r="M3295" s="100"/>
      <c r="N3295" s="100"/>
      <c r="O3295" s="100"/>
      <c r="P3295" s="100"/>
      <c r="Q3295" s="100"/>
      <c r="R3295" s="100"/>
      <c r="S3295" s="100"/>
      <c r="T3295" s="100"/>
      <c r="U3295" s="100"/>
      <c r="V3295" s="100"/>
      <c r="W3295" s="100"/>
      <c r="X3295" s="100"/>
      <c r="Y3295" s="100"/>
      <c r="Z3295" s="100"/>
    </row>
    <row r="3296" spans="1:26">
      <c r="A3296" s="100"/>
      <c r="B3296" s="100"/>
      <c r="C3296" s="100"/>
      <c r="D3296" s="100"/>
      <c r="E3296" s="100"/>
      <c r="F3296" s="100"/>
      <c r="G3296" s="100"/>
      <c r="H3296" s="100"/>
      <c r="I3296" s="100"/>
      <c r="J3296" s="100"/>
      <c r="K3296" s="100"/>
      <c r="L3296" s="100"/>
      <c r="M3296" s="100"/>
      <c r="N3296" s="100"/>
      <c r="O3296" s="100"/>
      <c r="P3296" s="100"/>
      <c r="Q3296" s="100"/>
      <c r="R3296" s="100"/>
      <c r="S3296" s="100"/>
      <c r="T3296" s="100"/>
      <c r="U3296" s="100"/>
      <c r="V3296" s="100"/>
      <c r="W3296" s="100"/>
      <c r="X3296" s="100"/>
      <c r="Y3296" s="100"/>
      <c r="Z3296" s="100"/>
    </row>
    <row r="3297" spans="1:26">
      <c r="A3297" s="100"/>
      <c r="B3297" s="100"/>
      <c r="C3297" s="100"/>
      <c r="D3297" s="100"/>
      <c r="E3297" s="100"/>
      <c r="F3297" s="100"/>
      <c r="G3297" s="100"/>
      <c r="H3297" s="100"/>
      <c r="I3297" s="100"/>
      <c r="J3297" s="100"/>
      <c r="K3297" s="100"/>
      <c r="L3297" s="100"/>
      <c r="M3297" s="100"/>
      <c r="N3297" s="100"/>
      <c r="O3297" s="100"/>
      <c r="P3297" s="100"/>
      <c r="Q3297" s="100"/>
      <c r="R3297" s="100"/>
      <c r="S3297" s="100"/>
      <c r="T3297" s="100"/>
      <c r="U3297" s="100"/>
      <c r="V3297" s="100"/>
      <c r="W3297" s="100"/>
      <c r="X3297" s="100"/>
      <c r="Y3297" s="100"/>
      <c r="Z3297" s="100"/>
    </row>
    <row r="3298" spans="1:26">
      <c r="A3298" s="100"/>
      <c r="B3298" s="100"/>
      <c r="C3298" s="100"/>
      <c r="D3298" s="100"/>
      <c r="E3298" s="100"/>
      <c r="F3298" s="100"/>
      <c r="G3298" s="100"/>
      <c r="H3298" s="100"/>
      <c r="I3298" s="100"/>
      <c r="J3298" s="100"/>
      <c r="K3298" s="100"/>
      <c r="L3298" s="100"/>
      <c r="M3298" s="100"/>
      <c r="N3298" s="100"/>
      <c r="O3298" s="100"/>
      <c r="P3298" s="100"/>
      <c r="Q3298" s="100"/>
      <c r="R3298" s="100"/>
      <c r="S3298" s="100"/>
      <c r="T3298" s="100"/>
      <c r="U3298" s="100"/>
      <c r="V3298" s="100"/>
      <c r="W3298" s="100"/>
      <c r="X3298" s="100"/>
      <c r="Y3298" s="100"/>
      <c r="Z3298" s="100"/>
    </row>
    <row r="3299" spans="1:26">
      <c r="A3299" s="100"/>
      <c r="B3299" s="100"/>
      <c r="C3299" s="100"/>
      <c r="D3299" s="100"/>
      <c r="E3299" s="100"/>
      <c r="F3299" s="100"/>
      <c r="G3299" s="100"/>
      <c r="H3299" s="100"/>
      <c r="I3299" s="100"/>
      <c r="J3299" s="100"/>
      <c r="K3299" s="100"/>
      <c r="L3299" s="100"/>
      <c r="M3299" s="100"/>
      <c r="N3299" s="100"/>
      <c r="O3299" s="100"/>
      <c r="P3299" s="100"/>
      <c r="Q3299" s="100"/>
      <c r="R3299" s="100"/>
      <c r="S3299" s="100"/>
      <c r="T3299" s="100"/>
      <c r="U3299" s="100"/>
      <c r="V3299" s="100"/>
      <c r="W3299" s="100"/>
      <c r="X3299" s="100"/>
      <c r="Y3299" s="100"/>
      <c r="Z3299" s="100"/>
    </row>
    <row r="3300" spans="1:26">
      <c r="A3300" s="100"/>
      <c r="B3300" s="100"/>
      <c r="C3300" s="100"/>
      <c r="D3300" s="100"/>
      <c r="E3300" s="100"/>
      <c r="F3300" s="100"/>
      <c r="G3300" s="100"/>
      <c r="H3300" s="100"/>
      <c r="I3300" s="100"/>
      <c r="J3300" s="100"/>
      <c r="K3300" s="100"/>
      <c r="L3300" s="100"/>
      <c r="M3300" s="100"/>
      <c r="N3300" s="100"/>
      <c r="O3300" s="100"/>
      <c r="P3300" s="100"/>
      <c r="Q3300" s="100"/>
      <c r="R3300" s="100"/>
      <c r="S3300" s="100"/>
      <c r="T3300" s="100"/>
      <c r="U3300" s="100"/>
      <c r="V3300" s="100"/>
      <c r="W3300" s="100"/>
      <c r="X3300" s="100"/>
      <c r="Y3300" s="100"/>
      <c r="Z3300" s="100"/>
    </row>
    <row r="3301" spans="1:26">
      <c r="A3301" s="100"/>
      <c r="B3301" s="100"/>
      <c r="C3301" s="100"/>
      <c r="D3301" s="100"/>
      <c r="E3301" s="100"/>
      <c r="F3301" s="100"/>
      <c r="G3301" s="100"/>
      <c r="H3301" s="100"/>
      <c r="I3301" s="100"/>
      <c r="J3301" s="100"/>
      <c r="K3301" s="100"/>
      <c r="L3301" s="100"/>
      <c r="M3301" s="100"/>
      <c r="N3301" s="100"/>
      <c r="O3301" s="100"/>
      <c r="P3301" s="100"/>
      <c r="Q3301" s="100"/>
      <c r="R3301" s="100"/>
      <c r="S3301" s="100"/>
      <c r="T3301" s="100"/>
      <c r="U3301" s="100"/>
      <c r="V3301" s="100"/>
      <c r="W3301" s="100"/>
      <c r="X3301" s="100"/>
      <c r="Y3301" s="100"/>
      <c r="Z3301" s="100"/>
    </row>
    <row r="3302" spans="1:26">
      <c r="A3302" s="100"/>
      <c r="B3302" s="100"/>
      <c r="C3302" s="100"/>
      <c r="D3302" s="100"/>
      <c r="E3302" s="100"/>
      <c r="F3302" s="100"/>
      <c r="G3302" s="100"/>
      <c r="H3302" s="100"/>
      <c r="I3302" s="100"/>
      <c r="J3302" s="100"/>
      <c r="K3302" s="100"/>
      <c r="L3302" s="100"/>
      <c r="M3302" s="100"/>
      <c r="N3302" s="100"/>
      <c r="O3302" s="100"/>
      <c r="P3302" s="100"/>
      <c r="Q3302" s="100"/>
      <c r="R3302" s="100"/>
      <c r="S3302" s="100"/>
      <c r="T3302" s="100"/>
      <c r="U3302" s="100"/>
      <c r="V3302" s="100"/>
      <c r="W3302" s="100"/>
      <c r="X3302" s="100"/>
      <c r="Y3302" s="100"/>
      <c r="Z3302" s="100"/>
    </row>
    <row r="3303" spans="1:26">
      <c r="A3303" s="100"/>
      <c r="B3303" s="100"/>
      <c r="C3303" s="100"/>
      <c r="D3303" s="100"/>
      <c r="E3303" s="100"/>
      <c r="F3303" s="100"/>
      <c r="G3303" s="100"/>
      <c r="H3303" s="100"/>
      <c r="I3303" s="100"/>
      <c r="J3303" s="100"/>
      <c r="K3303" s="100"/>
      <c r="L3303" s="100"/>
      <c r="M3303" s="100"/>
      <c r="N3303" s="100"/>
      <c r="O3303" s="100"/>
      <c r="P3303" s="100"/>
      <c r="Q3303" s="100"/>
      <c r="R3303" s="100"/>
      <c r="S3303" s="100"/>
      <c r="T3303" s="100"/>
      <c r="U3303" s="100"/>
      <c r="V3303" s="100"/>
      <c r="W3303" s="100"/>
      <c r="X3303" s="100"/>
      <c r="Y3303" s="100"/>
      <c r="Z3303" s="100"/>
    </row>
    <row r="3304" spans="1:26">
      <c r="A3304" s="100"/>
      <c r="B3304" s="100"/>
      <c r="C3304" s="100"/>
      <c r="D3304" s="100"/>
      <c r="E3304" s="100"/>
      <c r="F3304" s="100"/>
      <c r="G3304" s="100"/>
      <c r="H3304" s="100"/>
      <c r="I3304" s="100"/>
      <c r="J3304" s="100"/>
      <c r="K3304" s="100"/>
      <c r="L3304" s="100"/>
      <c r="M3304" s="100"/>
      <c r="N3304" s="100"/>
      <c r="O3304" s="100"/>
      <c r="P3304" s="100"/>
      <c r="Q3304" s="100"/>
      <c r="R3304" s="100"/>
      <c r="S3304" s="100"/>
      <c r="T3304" s="100"/>
      <c r="U3304" s="100"/>
      <c r="V3304" s="100"/>
      <c r="W3304" s="100"/>
      <c r="X3304" s="100"/>
      <c r="Y3304" s="100"/>
      <c r="Z3304" s="100"/>
    </row>
    <row r="3305" spans="1:26">
      <c r="A3305" s="100"/>
      <c r="B3305" s="100"/>
      <c r="C3305" s="100"/>
      <c r="D3305" s="100"/>
      <c r="E3305" s="100"/>
      <c r="F3305" s="100"/>
      <c r="G3305" s="100"/>
      <c r="H3305" s="100"/>
      <c r="I3305" s="100"/>
      <c r="J3305" s="100"/>
      <c r="K3305" s="100"/>
      <c r="L3305" s="100"/>
      <c r="M3305" s="100"/>
      <c r="N3305" s="100"/>
      <c r="O3305" s="100"/>
      <c r="P3305" s="100"/>
      <c r="Q3305" s="100"/>
      <c r="R3305" s="100"/>
      <c r="S3305" s="100"/>
      <c r="T3305" s="100"/>
      <c r="U3305" s="100"/>
      <c r="V3305" s="100"/>
      <c r="W3305" s="100"/>
      <c r="X3305" s="100"/>
      <c r="Y3305" s="100"/>
      <c r="Z3305" s="100"/>
    </row>
    <row r="3306" spans="1:26">
      <c r="A3306" s="100"/>
      <c r="B3306" s="100"/>
      <c r="C3306" s="100"/>
      <c r="D3306" s="100"/>
      <c r="E3306" s="100"/>
      <c r="F3306" s="100"/>
      <c r="G3306" s="100"/>
      <c r="H3306" s="100"/>
      <c r="I3306" s="100"/>
      <c r="J3306" s="100"/>
      <c r="K3306" s="100"/>
      <c r="L3306" s="100"/>
      <c r="M3306" s="100"/>
      <c r="N3306" s="100"/>
      <c r="O3306" s="100"/>
      <c r="P3306" s="100"/>
      <c r="Q3306" s="100"/>
      <c r="R3306" s="100"/>
      <c r="S3306" s="100"/>
      <c r="T3306" s="100"/>
      <c r="U3306" s="100"/>
      <c r="V3306" s="100"/>
      <c r="W3306" s="100"/>
      <c r="X3306" s="100"/>
      <c r="Y3306" s="100"/>
      <c r="Z3306" s="100"/>
    </row>
    <row r="3307" spans="1:26">
      <c r="A3307" s="100"/>
      <c r="B3307" s="100"/>
      <c r="C3307" s="100"/>
      <c r="D3307" s="100"/>
      <c r="E3307" s="100"/>
      <c r="F3307" s="100"/>
      <c r="G3307" s="100"/>
      <c r="H3307" s="100"/>
      <c r="I3307" s="100"/>
      <c r="J3307" s="100"/>
      <c r="K3307" s="100"/>
      <c r="L3307" s="100"/>
      <c r="M3307" s="100"/>
      <c r="N3307" s="100"/>
      <c r="O3307" s="100"/>
      <c r="P3307" s="100"/>
      <c r="Q3307" s="100"/>
      <c r="R3307" s="100"/>
      <c r="S3307" s="100"/>
      <c r="T3307" s="100"/>
      <c r="U3307" s="100"/>
      <c r="V3307" s="100"/>
      <c r="W3307" s="100"/>
      <c r="X3307" s="100"/>
      <c r="Y3307" s="100"/>
      <c r="Z3307" s="100"/>
    </row>
    <row r="3308" spans="1:26">
      <c r="A3308" s="100"/>
      <c r="B3308" s="100"/>
      <c r="C3308" s="100"/>
      <c r="D3308" s="100"/>
      <c r="E3308" s="100"/>
      <c r="F3308" s="100"/>
      <c r="G3308" s="100"/>
      <c r="H3308" s="100"/>
      <c r="I3308" s="100"/>
      <c r="J3308" s="100"/>
      <c r="K3308" s="100"/>
      <c r="L3308" s="100"/>
      <c r="M3308" s="100"/>
      <c r="N3308" s="100"/>
      <c r="O3308" s="100"/>
      <c r="P3308" s="100"/>
      <c r="Q3308" s="100"/>
      <c r="R3308" s="100"/>
      <c r="S3308" s="100"/>
      <c r="T3308" s="100"/>
      <c r="U3308" s="100"/>
      <c r="V3308" s="100"/>
      <c r="W3308" s="100"/>
      <c r="X3308" s="100"/>
      <c r="Y3308" s="100"/>
      <c r="Z3308" s="100"/>
    </row>
    <row r="3309" spans="1:26">
      <c r="A3309" s="100"/>
      <c r="B3309" s="100"/>
      <c r="C3309" s="100"/>
      <c r="D3309" s="100"/>
      <c r="E3309" s="100"/>
      <c r="F3309" s="100"/>
      <c r="G3309" s="100"/>
      <c r="H3309" s="100"/>
      <c r="I3309" s="100"/>
      <c r="J3309" s="100"/>
      <c r="K3309" s="100"/>
      <c r="L3309" s="100"/>
      <c r="M3309" s="100"/>
      <c r="N3309" s="100"/>
      <c r="O3309" s="100"/>
      <c r="P3309" s="100"/>
      <c r="Q3309" s="100"/>
      <c r="R3309" s="100"/>
      <c r="S3309" s="100"/>
      <c r="T3309" s="100"/>
      <c r="U3309" s="100"/>
      <c r="V3309" s="100"/>
      <c r="W3309" s="100"/>
      <c r="X3309" s="100"/>
      <c r="Y3309" s="100"/>
      <c r="Z3309" s="100"/>
    </row>
    <row r="3310" spans="1:26">
      <c r="A3310" s="100"/>
      <c r="B3310" s="100"/>
      <c r="C3310" s="100"/>
      <c r="D3310" s="100"/>
      <c r="E3310" s="100"/>
      <c r="F3310" s="100"/>
      <c r="G3310" s="100"/>
      <c r="H3310" s="100"/>
      <c r="I3310" s="100"/>
      <c r="J3310" s="100"/>
      <c r="K3310" s="100"/>
      <c r="L3310" s="100"/>
      <c r="M3310" s="100"/>
      <c r="N3310" s="100"/>
      <c r="O3310" s="100"/>
      <c r="P3310" s="100"/>
      <c r="Q3310" s="100"/>
      <c r="R3310" s="100"/>
      <c r="S3310" s="100"/>
      <c r="T3310" s="100"/>
      <c r="U3310" s="100"/>
      <c r="V3310" s="100"/>
      <c r="W3310" s="100"/>
      <c r="X3310" s="100"/>
      <c r="Y3310" s="100"/>
      <c r="Z3310" s="100"/>
    </row>
    <row r="3311" spans="1:26">
      <c r="A3311" s="100"/>
      <c r="B3311" s="100"/>
      <c r="C3311" s="100"/>
      <c r="D3311" s="100"/>
      <c r="E3311" s="100"/>
      <c r="F3311" s="100"/>
      <c r="G3311" s="100"/>
      <c r="H3311" s="100"/>
      <c r="I3311" s="100"/>
      <c r="J3311" s="100"/>
      <c r="K3311" s="100"/>
      <c r="L3311" s="100"/>
      <c r="M3311" s="100"/>
      <c r="N3311" s="100"/>
      <c r="O3311" s="100"/>
      <c r="P3311" s="100"/>
      <c r="Q3311" s="100"/>
      <c r="R3311" s="100"/>
      <c r="S3311" s="100"/>
      <c r="T3311" s="100"/>
      <c r="U3311" s="100"/>
      <c r="V3311" s="100"/>
      <c r="W3311" s="100"/>
      <c r="X3311" s="100"/>
      <c r="Y3311" s="100"/>
      <c r="Z3311" s="100"/>
    </row>
    <row r="3312" spans="1:26">
      <c r="A3312" s="100"/>
      <c r="B3312" s="100"/>
      <c r="C3312" s="100"/>
      <c r="D3312" s="100"/>
      <c r="E3312" s="100"/>
      <c r="F3312" s="100"/>
      <c r="G3312" s="100"/>
      <c r="H3312" s="100"/>
      <c r="I3312" s="100"/>
      <c r="J3312" s="100"/>
      <c r="K3312" s="100"/>
      <c r="L3312" s="100"/>
      <c r="M3312" s="100"/>
      <c r="N3312" s="100"/>
      <c r="O3312" s="100"/>
      <c r="P3312" s="100"/>
      <c r="Q3312" s="100"/>
      <c r="R3312" s="100"/>
      <c r="S3312" s="100"/>
      <c r="T3312" s="100"/>
      <c r="U3312" s="100"/>
      <c r="V3312" s="100"/>
      <c r="W3312" s="100"/>
      <c r="X3312" s="100"/>
      <c r="Y3312" s="100"/>
      <c r="Z3312" s="100"/>
    </row>
    <row r="3313" spans="1:26">
      <c r="A3313" s="100"/>
      <c r="B3313" s="100"/>
      <c r="C3313" s="100"/>
      <c r="D3313" s="100"/>
      <c r="E3313" s="100"/>
      <c r="F3313" s="100"/>
      <c r="G3313" s="100"/>
      <c r="H3313" s="100"/>
      <c r="I3313" s="100"/>
      <c r="J3313" s="100"/>
      <c r="K3313" s="100"/>
      <c r="L3313" s="100"/>
      <c r="M3313" s="100"/>
      <c r="N3313" s="100"/>
      <c r="O3313" s="100"/>
      <c r="P3313" s="100"/>
      <c r="Q3313" s="100"/>
      <c r="R3313" s="100"/>
      <c r="S3313" s="100"/>
      <c r="T3313" s="100"/>
      <c r="U3313" s="100"/>
      <c r="V3313" s="100"/>
      <c r="W3313" s="100"/>
      <c r="X3313" s="100"/>
      <c r="Y3313" s="100"/>
      <c r="Z3313" s="100"/>
    </row>
    <row r="3314" spans="1:26">
      <c r="A3314" s="100"/>
      <c r="B3314" s="100"/>
      <c r="C3314" s="100"/>
      <c r="D3314" s="100"/>
      <c r="E3314" s="100"/>
      <c r="F3314" s="100"/>
      <c r="G3314" s="100"/>
      <c r="H3314" s="100"/>
      <c r="I3314" s="100"/>
      <c r="J3314" s="100"/>
      <c r="K3314" s="100"/>
      <c r="L3314" s="100"/>
      <c r="M3314" s="100"/>
      <c r="N3314" s="100"/>
      <c r="O3314" s="100"/>
      <c r="P3314" s="100"/>
      <c r="Q3314" s="100"/>
      <c r="R3314" s="100"/>
      <c r="S3314" s="100"/>
      <c r="T3314" s="100"/>
      <c r="U3314" s="100"/>
      <c r="V3314" s="100"/>
      <c r="W3314" s="100"/>
      <c r="X3314" s="100"/>
      <c r="Y3314" s="100"/>
      <c r="Z3314" s="100"/>
    </row>
    <row r="3315" spans="1:26">
      <c r="A3315" s="100"/>
      <c r="B3315" s="100"/>
      <c r="C3315" s="100"/>
      <c r="D3315" s="100"/>
      <c r="E3315" s="100"/>
      <c r="F3315" s="100"/>
      <c r="G3315" s="100"/>
      <c r="H3315" s="100"/>
      <c r="I3315" s="100"/>
      <c r="J3315" s="100"/>
      <c r="K3315" s="100"/>
      <c r="L3315" s="100"/>
      <c r="M3315" s="100"/>
      <c r="N3315" s="100"/>
      <c r="O3315" s="100"/>
      <c r="P3315" s="100"/>
      <c r="Q3315" s="100"/>
      <c r="R3315" s="100"/>
      <c r="S3315" s="100"/>
      <c r="T3315" s="100"/>
      <c r="U3315" s="100"/>
      <c r="V3315" s="100"/>
      <c r="W3315" s="100"/>
      <c r="X3315" s="100"/>
      <c r="Y3315" s="100"/>
      <c r="Z3315" s="100"/>
    </row>
    <row r="3316" spans="1:26">
      <c r="A3316" s="100"/>
      <c r="B3316" s="100"/>
      <c r="C3316" s="100"/>
      <c r="D3316" s="100"/>
      <c r="E3316" s="100"/>
      <c r="F3316" s="100"/>
      <c r="G3316" s="100"/>
      <c r="H3316" s="100"/>
      <c r="I3316" s="100"/>
      <c r="J3316" s="100"/>
      <c r="K3316" s="100"/>
      <c r="L3316" s="100"/>
      <c r="M3316" s="100"/>
      <c r="N3316" s="100"/>
      <c r="O3316" s="100"/>
      <c r="P3316" s="100"/>
      <c r="Q3316" s="100"/>
      <c r="R3316" s="100"/>
      <c r="S3316" s="100"/>
      <c r="T3316" s="100"/>
      <c r="U3316" s="100"/>
      <c r="V3316" s="100"/>
      <c r="W3316" s="100"/>
      <c r="X3316" s="100"/>
      <c r="Y3316" s="100"/>
      <c r="Z3316" s="100"/>
    </row>
    <row r="3317" spans="1:26">
      <c r="A3317" s="100"/>
      <c r="B3317" s="100"/>
      <c r="C3317" s="100"/>
      <c r="D3317" s="100"/>
      <c r="E3317" s="100"/>
      <c r="F3317" s="100"/>
      <c r="G3317" s="100"/>
      <c r="H3317" s="100"/>
      <c r="I3317" s="100"/>
      <c r="J3317" s="100"/>
      <c r="K3317" s="100"/>
      <c r="L3317" s="100"/>
      <c r="M3317" s="100"/>
      <c r="N3317" s="100"/>
      <c r="O3317" s="100"/>
      <c r="P3317" s="100"/>
      <c r="Q3317" s="100"/>
      <c r="R3317" s="100"/>
      <c r="S3317" s="100"/>
      <c r="T3317" s="100"/>
      <c r="U3317" s="100"/>
      <c r="V3317" s="100"/>
      <c r="W3317" s="100"/>
      <c r="X3317" s="100"/>
      <c r="Y3317" s="100"/>
      <c r="Z3317" s="100"/>
    </row>
    <row r="3318" spans="1:26">
      <c r="A3318" s="100"/>
      <c r="B3318" s="100"/>
      <c r="C3318" s="100"/>
      <c r="D3318" s="100"/>
      <c r="E3318" s="100"/>
      <c r="F3318" s="100"/>
      <c r="G3318" s="100"/>
      <c r="H3318" s="100"/>
      <c r="I3318" s="100"/>
      <c r="J3318" s="100"/>
      <c r="K3318" s="100"/>
      <c r="L3318" s="100"/>
      <c r="M3318" s="100"/>
      <c r="N3318" s="100"/>
      <c r="O3318" s="100"/>
      <c r="P3318" s="100"/>
      <c r="Q3318" s="100"/>
      <c r="R3318" s="100"/>
      <c r="S3318" s="100"/>
      <c r="T3318" s="100"/>
      <c r="U3318" s="100"/>
      <c r="V3318" s="100"/>
      <c r="W3318" s="100"/>
      <c r="X3318" s="100"/>
      <c r="Y3318" s="100"/>
      <c r="Z3318" s="100"/>
    </row>
    <row r="3319" spans="1:26">
      <c r="A3319" s="100"/>
      <c r="B3319" s="100"/>
      <c r="C3319" s="100"/>
      <c r="D3319" s="100"/>
      <c r="E3319" s="100"/>
      <c r="F3319" s="100"/>
      <c r="G3319" s="100"/>
      <c r="H3319" s="100"/>
      <c r="I3319" s="100"/>
      <c r="J3319" s="100"/>
      <c r="K3319" s="100"/>
      <c r="L3319" s="100"/>
      <c r="M3319" s="100"/>
      <c r="N3319" s="100"/>
      <c r="O3319" s="100"/>
      <c r="P3319" s="100"/>
      <c r="Q3319" s="100"/>
      <c r="R3319" s="100"/>
      <c r="S3319" s="100"/>
      <c r="T3319" s="100"/>
      <c r="U3319" s="100"/>
      <c r="V3319" s="100"/>
      <c r="W3319" s="100"/>
      <c r="X3319" s="100"/>
      <c r="Y3319" s="100"/>
      <c r="Z3319" s="100"/>
    </row>
    <row r="3320" spans="1:26">
      <c r="A3320" s="100"/>
      <c r="B3320" s="100"/>
      <c r="C3320" s="100"/>
      <c r="D3320" s="100"/>
      <c r="E3320" s="100"/>
      <c r="F3320" s="100"/>
      <c r="G3320" s="100"/>
      <c r="H3320" s="100"/>
      <c r="I3320" s="100"/>
      <c r="J3320" s="100"/>
      <c r="K3320" s="100"/>
      <c r="L3320" s="100"/>
      <c r="M3320" s="100"/>
      <c r="N3320" s="100"/>
      <c r="O3320" s="100"/>
      <c r="P3320" s="100"/>
      <c r="Q3320" s="100"/>
      <c r="R3320" s="100"/>
      <c r="S3320" s="100"/>
      <c r="T3320" s="100"/>
      <c r="U3320" s="100"/>
      <c r="V3320" s="100"/>
      <c r="W3320" s="100"/>
      <c r="X3320" s="100"/>
      <c r="Y3320" s="100"/>
      <c r="Z3320" s="100"/>
    </row>
    <row r="3321" spans="1:26">
      <c r="A3321" s="100"/>
      <c r="B3321" s="100"/>
      <c r="C3321" s="100"/>
      <c r="D3321" s="100"/>
      <c r="E3321" s="100"/>
      <c r="F3321" s="100"/>
      <c r="G3321" s="100"/>
      <c r="H3321" s="100"/>
      <c r="I3321" s="100"/>
      <c r="J3321" s="100"/>
      <c r="K3321" s="100"/>
      <c r="L3321" s="100"/>
      <c r="M3321" s="100"/>
      <c r="N3321" s="100"/>
      <c r="O3321" s="100"/>
      <c r="P3321" s="100"/>
      <c r="Q3321" s="100"/>
      <c r="R3321" s="100"/>
      <c r="S3321" s="100"/>
      <c r="T3321" s="100"/>
      <c r="U3321" s="100"/>
      <c r="V3321" s="100"/>
      <c r="W3321" s="100"/>
      <c r="X3321" s="100"/>
      <c r="Y3321" s="100"/>
      <c r="Z3321" s="100"/>
    </row>
    <row r="3322" spans="1:26">
      <c r="A3322" s="100"/>
      <c r="B3322" s="100"/>
      <c r="C3322" s="100"/>
      <c r="D3322" s="100"/>
      <c r="E3322" s="100"/>
      <c r="F3322" s="100"/>
      <c r="G3322" s="100"/>
      <c r="H3322" s="100"/>
      <c r="I3322" s="100"/>
      <c r="J3322" s="100"/>
      <c r="K3322" s="100"/>
      <c r="L3322" s="100"/>
      <c r="M3322" s="100"/>
      <c r="N3322" s="100"/>
      <c r="O3322" s="100"/>
      <c r="P3322" s="100"/>
      <c r="Q3322" s="100"/>
      <c r="R3322" s="100"/>
      <c r="S3322" s="100"/>
      <c r="T3322" s="100"/>
      <c r="U3322" s="100"/>
      <c r="V3322" s="100"/>
      <c r="W3322" s="100"/>
      <c r="X3322" s="100"/>
      <c r="Y3322" s="100"/>
      <c r="Z3322" s="100"/>
    </row>
    <row r="3323" spans="1:26">
      <c r="A3323" s="100"/>
      <c r="B3323" s="100"/>
      <c r="C3323" s="100"/>
      <c r="D3323" s="100"/>
      <c r="E3323" s="100"/>
      <c r="F3323" s="100"/>
      <c r="G3323" s="100"/>
      <c r="H3323" s="100"/>
      <c r="I3323" s="100"/>
      <c r="J3323" s="100"/>
      <c r="K3323" s="100"/>
      <c r="L3323" s="100"/>
      <c r="M3323" s="100"/>
      <c r="N3323" s="100"/>
      <c r="O3323" s="100"/>
      <c r="P3323" s="100"/>
      <c r="Q3323" s="100"/>
      <c r="R3323" s="100"/>
      <c r="S3323" s="100"/>
      <c r="T3323" s="100"/>
      <c r="U3323" s="100"/>
      <c r="V3323" s="100"/>
      <c r="W3323" s="100"/>
      <c r="X3323" s="100"/>
      <c r="Y3323" s="100"/>
      <c r="Z3323" s="100"/>
    </row>
    <row r="3324" spans="1:26">
      <c r="A3324" s="100"/>
      <c r="B3324" s="100"/>
      <c r="C3324" s="100"/>
      <c r="D3324" s="100"/>
      <c r="E3324" s="100"/>
      <c r="F3324" s="100"/>
      <c r="G3324" s="100"/>
      <c r="H3324" s="100"/>
      <c r="I3324" s="100"/>
      <c r="J3324" s="100"/>
      <c r="K3324" s="100"/>
      <c r="L3324" s="100"/>
      <c r="M3324" s="100"/>
      <c r="N3324" s="100"/>
      <c r="O3324" s="100"/>
      <c r="P3324" s="100"/>
      <c r="Q3324" s="100"/>
      <c r="R3324" s="100"/>
      <c r="S3324" s="100"/>
      <c r="T3324" s="100"/>
      <c r="U3324" s="100"/>
      <c r="V3324" s="100"/>
      <c r="W3324" s="100"/>
      <c r="X3324" s="100"/>
      <c r="Y3324" s="100"/>
      <c r="Z3324" s="100"/>
    </row>
    <row r="3325" spans="1:26">
      <c r="A3325" s="100"/>
      <c r="B3325" s="100"/>
      <c r="C3325" s="100"/>
      <c r="D3325" s="100"/>
      <c r="E3325" s="100"/>
      <c r="F3325" s="100"/>
      <c r="G3325" s="100"/>
      <c r="H3325" s="100"/>
      <c r="I3325" s="100"/>
      <c r="J3325" s="100"/>
      <c r="K3325" s="100"/>
      <c r="L3325" s="100"/>
      <c r="M3325" s="100"/>
      <c r="N3325" s="100"/>
      <c r="O3325" s="100"/>
      <c r="P3325" s="100"/>
      <c r="Q3325" s="100"/>
      <c r="R3325" s="100"/>
      <c r="S3325" s="100"/>
      <c r="T3325" s="100"/>
      <c r="U3325" s="100"/>
      <c r="V3325" s="100"/>
      <c r="W3325" s="100"/>
      <c r="X3325" s="100"/>
      <c r="Y3325" s="100"/>
      <c r="Z3325" s="100"/>
    </row>
    <row r="3326" spans="1:26">
      <c r="A3326" s="100"/>
      <c r="B3326" s="100"/>
      <c r="C3326" s="100"/>
      <c r="D3326" s="100"/>
      <c r="E3326" s="100"/>
      <c r="F3326" s="100"/>
      <c r="G3326" s="100"/>
      <c r="H3326" s="100"/>
      <c r="I3326" s="100"/>
      <c r="J3326" s="100"/>
      <c r="K3326" s="100"/>
      <c r="L3326" s="100"/>
      <c r="M3326" s="100"/>
      <c r="N3326" s="100"/>
      <c r="O3326" s="100"/>
      <c r="P3326" s="100"/>
      <c r="Q3326" s="100"/>
      <c r="R3326" s="100"/>
      <c r="S3326" s="100"/>
      <c r="T3326" s="100"/>
      <c r="U3326" s="100"/>
      <c r="V3326" s="100"/>
      <c r="W3326" s="100"/>
      <c r="X3326" s="100"/>
      <c r="Y3326" s="100"/>
      <c r="Z3326" s="100"/>
    </row>
    <row r="3327" spans="1:26">
      <c r="A3327" s="100"/>
      <c r="B3327" s="100"/>
      <c r="C3327" s="100"/>
      <c r="D3327" s="100"/>
      <c r="E3327" s="100"/>
      <c r="F3327" s="100"/>
      <c r="G3327" s="100"/>
      <c r="H3327" s="100"/>
      <c r="I3327" s="100"/>
      <c r="J3327" s="100"/>
      <c r="K3327" s="100"/>
      <c r="L3327" s="100"/>
      <c r="M3327" s="100"/>
      <c r="N3327" s="100"/>
      <c r="O3327" s="100"/>
      <c r="P3327" s="100"/>
      <c r="Q3327" s="100"/>
      <c r="R3327" s="100"/>
      <c r="S3327" s="100"/>
      <c r="T3327" s="100"/>
      <c r="U3327" s="100"/>
      <c r="V3327" s="100"/>
      <c r="W3327" s="100"/>
      <c r="X3327" s="100"/>
      <c r="Y3327" s="100"/>
      <c r="Z3327" s="100"/>
    </row>
    <row r="3328" spans="1:26">
      <c r="A3328" s="100"/>
      <c r="B3328" s="100"/>
      <c r="C3328" s="100"/>
      <c r="D3328" s="100"/>
      <c r="E3328" s="100"/>
      <c r="F3328" s="100"/>
      <c r="G3328" s="100"/>
      <c r="H3328" s="100"/>
      <c r="I3328" s="100"/>
      <c r="J3328" s="100"/>
      <c r="K3328" s="100"/>
      <c r="L3328" s="100"/>
      <c r="M3328" s="100"/>
      <c r="N3328" s="100"/>
      <c r="O3328" s="100"/>
      <c r="P3328" s="100"/>
      <c r="Q3328" s="100"/>
      <c r="R3328" s="100"/>
      <c r="S3328" s="100"/>
      <c r="T3328" s="100"/>
      <c r="U3328" s="100"/>
      <c r="V3328" s="100"/>
      <c r="W3328" s="100"/>
      <c r="X3328" s="100"/>
      <c r="Y3328" s="100"/>
      <c r="Z3328" s="100"/>
    </row>
    <row r="3329" spans="1:26">
      <c r="A3329" s="100"/>
      <c r="B3329" s="100"/>
      <c r="C3329" s="100"/>
      <c r="D3329" s="100"/>
      <c r="E3329" s="100"/>
      <c r="F3329" s="100"/>
      <c r="G3329" s="100"/>
      <c r="H3329" s="100"/>
      <c r="I3329" s="100"/>
      <c r="J3329" s="100"/>
      <c r="K3329" s="100"/>
      <c r="L3329" s="100"/>
      <c r="M3329" s="100"/>
      <c r="N3329" s="100"/>
      <c r="O3329" s="100"/>
      <c r="P3329" s="100"/>
      <c r="Q3329" s="100"/>
      <c r="R3329" s="100"/>
      <c r="S3329" s="100"/>
      <c r="T3329" s="100"/>
      <c r="U3329" s="100"/>
      <c r="V3329" s="100"/>
      <c r="W3329" s="100"/>
      <c r="X3329" s="100"/>
      <c r="Y3329" s="100"/>
      <c r="Z3329" s="100"/>
    </row>
    <row r="3330" spans="1:26">
      <c r="A3330" s="100"/>
      <c r="B3330" s="100"/>
      <c r="C3330" s="100"/>
      <c r="D3330" s="100"/>
      <c r="E3330" s="100"/>
      <c r="F3330" s="100"/>
      <c r="G3330" s="100"/>
      <c r="H3330" s="100"/>
      <c r="I3330" s="100"/>
      <c r="J3330" s="100"/>
      <c r="K3330" s="100"/>
      <c r="L3330" s="100"/>
      <c r="M3330" s="100"/>
      <c r="N3330" s="100"/>
      <c r="O3330" s="100"/>
      <c r="P3330" s="100"/>
      <c r="Q3330" s="100"/>
      <c r="R3330" s="100"/>
      <c r="S3330" s="100"/>
      <c r="T3330" s="100"/>
      <c r="U3330" s="100"/>
      <c r="V3330" s="100"/>
      <c r="W3330" s="100"/>
      <c r="X3330" s="100"/>
      <c r="Y3330" s="100"/>
      <c r="Z3330" s="100"/>
    </row>
    <row r="3331" spans="1:26">
      <c r="A3331" s="100"/>
      <c r="B3331" s="100"/>
      <c r="C3331" s="100"/>
      <c r="D3331" s="100"/>
      <c r="E3331" s="100"/>
      <c r="F3331" s="100"/>
      <c r="G3331" s="100"/>
      <c r="H3331" s="100"/>
      <c r="I3331" s="100"/>
      <c r="J3331" s="100"/>
      <c r="K3331" s="100"/>
      <c r="L3331" s="100"/>
      <c r="M3331" s="100"/>
      <c r="N3331" s="100"/>
      <c r="O3331" s="100"/>
      <c r="P3331" s="100"/>
      <c r="Q3331" s="100"/>
      <c r="R3331" s="100"/>
      <c r="S3331" s="100"/>
      <c r="T3331" s="100"/>
      <c r="U3331" s="100"/>
      <c r="V3331" s="100"/>
      <c r="W3331" s="100"/>
      <c r="X3331" s="100"/>
      <c r="Y3331" s="100"/>
      <c r="Z3331" s="100"/>
    </row>
    <row r="3332" spans="1:26">
      <c r="A3332" s="100"/>
      <c r="B3332" s="100"/>
      <c r="C3332" s="100"/>
      <c r="D3332" s="100"/>
      <c r="E3332" s="100"/>
      <c r="F3332" s="100"/>
      <c r="G3332" s="100"/>
      <c r="H3332" s="100"/>
      <c r="I3332" s="100"/>
      <c r="J3332" s="100"/>
      <c r="K3332" s="100"/>
      <c r="L3332" s="100"/>
      <c r="M3332" s="100"/>
      <c r="N3332" s="100"/>
      <c r="O3332" s="100"/>
      <c r="P3332" s="100"/>
      <c r="Q3332" s="100"/>
      <c r="R3332" s="100"/>
      <c r="S3332" s="100"/>
      <c r="T3332" s="100"/>
      <c r="U3332" s="100"/>
      <c r="V3332" s="100"/>
      <c r="W3332" s="100"/>
      <c r="X3332" s="100"/>
      <c r="Y3332" s="100"/>
      <c r="Z3332" s="100"/>
    </row>
    <row r="3333" spans="1:26">
      <c r="A3333" s="100"/>
      <c r="B3333" s="100"/>
      <c r="C3333" s="100"/>
      <c r="D3333" s="100"/>
      <c r="E3333" s="100"/>
      <c r="F3333" s="100"/>
      <c r="G3333" s="100"/>
      <c r="H3333" s="100"/>
      <c r="I3333" s="100"/>
      <c r="J3333" s="100"/>
      <c r="K3333" s="100"/>
      <c r="L3333" s="100"/>
      <c r="M3333" s="100"/>
      <c r="N3333" s="100"/>
      <c r="O3333" s="100"/>
      <c r="P3333" s="100"/>
      <c r="Q3333" s="100"/>
      <c r="R3333" s="100"/>
      <c r="S3333" s="100"/>
      <c r="T3333" s="100"/>
      <c r="U3333" s="100"/>
      <c r="V3333" s="100"/>
      <c r="W3333" s="100"/>
      <c r="X3333" s="100"/>
      <c r="Y3333" s="100"/>
      <c r="Z3333" s="100"/>
    </row>
    <row r="3334" spans="1:26">
      <c r="A3334" s="100"/>
      <c r="B3334" s="100"/>
      <c r="C3334" s="100"/>
      <c r="D3334" s="100"/>
      <c r="E3334" s="100"/>
      <c r="F3334" s="100"/>
      <c r="G3334" s="100"/>
      <c r="H3334" s="100"/>
      <c r="I3334" s="100"/>
      <c r="J3334" s="100"/>
      <c r="K3334" s="100"/>
      <c r="L3334" s="100"/>
      <c r="M3334" s="100"/>
      <c r="N3334" s="100"/>
      <c r="O3334" s="100"/>
      <c r="P3334" s="100"/>
      <c r="Q3334" s="100"/>
      <c r="R3334" s="100"/>
      <c r="S3334" s="100"/>
      <c r="T3334" s="100"/>
      <c r="U3334" s="100"/>
      <c r="V3334" s="100"/>
      <c r="W3334" s="100"/>
      <c r="X3334" s="100"/>
      <c r="Y3334" s="100"/>
      <c r="Z3334" s="100"/>
    </row>
    <row r="3335" spans="1:26">
      <c r="A3335" s="100"/>
      <c r="B3335" s="100"/>
      <c r="C3335" s="100"/>
      <c r="D3335" s="100"/>
      <c r="E3335" s="100"/>
      <c r="F3335" s="100"/>
      <c r="G3335" s="100"/>
      <c r="H3335" s="100"/>
      <c r="I3335" s="100"/>
      <c r="J3335" s="100"/>
      <c r="K3335" s="100"/>
      <c r="L3335" s="100"/>
      <c r="M3335" s="100"/>
      <c r="N3335" s="100"/>
      <c r="O3335" s="100"/>
      <c r="P3335" s="100"/>
      <c r="Q3335" s="100"/>
      <c r="R3335" s="100"/>
      <c r="S3335" s="100"/>
      <c r="T3335" s="100"/>
      <c r="U3335" s="100"/>
      <c r="V3335" s="100"/>
      <c r="W3335" s="100"/>
      <c r="X3335" s="100"/>
      <c r="Y3335" s="100"/>
      <c r="Z3335" s="100"/>
    </row>
    <row r="3336" spans="1:26">
      <c r="A3336" s="100"/>
      <c r="B3336" s="100"/>
      <c r="C3336" s="100"/>
      <c r="D3336" s="100"/>
      <c r="E3336" s="100"/>
      <c r="F3336" s="100"/>
      <c r="G3336" s="100"/>
      <c r="H3336" s="100"/>
      <c r="I3336" s="100"/>
      <c r="J3336" s="100"/>
      <c r="K3336" s="100"/>
      <c r="L3336" s="100"/>
      <c r="M3336" s="100"/>
      <c r="N3336" s="100"/>
      <c r="O3336" s="100"/>
      <c r="P3336" s="100"/>
      <c r="Q3336" s="100"/>
      <c r="R3336" s="100"/>
      <c r="S3336" s="100"/>
      <c r="T3336" s="100"/>
      <c r="U3336" s="100"/>
      <c r="V3336" s="100"/>
      <c r="W3336" s="100"/>
      <c r="X3336" s="100"/>
      <c r="Y3336" s="100"/>
      <c r="Z3336" s="100"/>
    </row>
    <row r="3337" spans="1:26">
      <c r="A3337" s="100"/>
      <c r="B3337" s="100"/>
      <c r="C3337" s="100"/>
      <c r="D3337" s="100"/>
      <c r="E3337" s="100"/>
      <c r="F3337" s="100"/>
      <c r="G3337" s="100"/>
      <c r="H3337" s="100"/>
      <c r="I3337" s="100"/>
      <c r="J3337" s="100"/>
      <c r="K3337" s="100"/>
      <c r="L3337" s="100"/>
      <c r="M3337" s="100"/>
      <c r="N3337" s="100"/>
      <c r="O3337" s="100"/>
      <c r="P3337" s="100"/>
      <c r="Q3337" s="100"/>
      <c r="R3337" s="100"/>
      <c r="S3337" s="100"/>
      <c r="T3337" s="100"/>
      <c r="U3337" s="100"/>
      <c r="V3337" s="100"/>
      <c r="W3337" s="100"/>
      <c r="X3337" s="100"/>
      <c r="Y3337" s="100"/>
      <c r="Z3337" s="100"/>
    </row>
    <row r="3338" spans="1:26">
      <c r="A3338" s="100"/>
      <c r="B3338" s="100"/>
      <c r="C3338" s="100"/>
      <c r="D3338" s="100"/>
      <c r="E3338" s="100"/>
      <c r="F3338" s="100"/>
      <c r="G3338" s="100"/>
      <c r="H3338" s="100"/>
      <c r="I3338" s="100"/>
      <c r="J3338" s="100"/>
      <c r="K3338" s="100"/>
      <c r="L3338" s="100"/>
      <c r="M3338" s="100"/>
      <c r="N3338" s="100"/>
      <c r="O3338" s="100"/>
      <c r="P3338" s="100"/>
      <c r="Q3338" s="100"/>
      <c r="R3338" s="100"/>
      <c r="S3338" s="100"/>
      <c r="T3338" s="100"/>
      <c r="U3338" s="100"/>
      <c r="V3338" s="100"/>
      <c r="W3338" s="100"/>
      <c r="X3338" s="100"/>
      <c r="Y3338" s="100"/>
      <c r="Z3338" s="100"/>
    </row>
    <row r="3339" spans="1:26">
      <c r="A3339" s="100"/>
      <c r="B3339" s="100"/>
      <c r="C3339" s="100"/>
      <c r="D3339" s="100"/>
      <c r="E3339" s="100"/>
      <c r="F3339" s="100"/>
      <c r="G3339" s="100"/>
      <c r="H3339" s="100"/>
      <c r="I3339" s="100"/>
      <c r="J3339" s="100"/>
      <c r="K3339" s="100"/>
      <c r="L3339" s="100"/>
      <c r="M3339" s="100"/>
      <c r="N3339" s="100"/>
      <c r="O3339" s="100"/>
      <c r="P3339" s="100"/>
      <c r="Q3339" s="100"/>
      <c r="R3339" s="100"/>
      <c r="S3339" s="100"/>
      <c r="T3339" s="100"/>
      <c r="U3339" s="100"/>
      <c r="V3339" s="100"/>
      <c r="W3339" s="100"/>
      <c r="X3339" s="100"/>
      <c r="Y3339" s="100"/>
      <c r="Z3339" s="100"/>
    </row>
    <row r="3340" spans="1:26">
      <c r="A3340" s="100"/>
      <c r="B3340" s="100"/>
      <c r="C3340" s="100"/>
      <c r="D3340" s="100"/>
      <c r="E3340" s="100"/>
      <c r="F3340" s="100"/>
      <c r="G3340" s="100"/>
      <c r="H3340" s="100"/>
      <c r="I3340" s="100"/>
      <c r="J3340" s="100"/>
      <c r="K3340" s="100"/>
      <c r="L3340" s="100"/>
      <c r="M3340" s="100"/>
      <c r="N3340" s="100"/>
      <c r="O3340" s="100"/>
      <c r="P3340" s="100"/>
      <c r="Q3340" s="100"/>
      <c r="R3340" s="100"/>
      <c r="S3340" s="100"/>
      <c r="T3340" s="100"/>
      <c r="U3340" s="100"/>
      <c r="V3340" s="100"/>
      <c r="W3340" s="100"/>
      <c r="X3340" s="100"/>
      <c r="Y3340" s="100"/>
      <c r="Z3340" s="100"/>
    </row>
    <row r="3341" spans="1:26">
      <c r="A3341" s="100"/>
      <c r="B3341" s="100"/>
      <c r="C3341" s="100"/>
      <c r="D3341" s="100"/>
      <c r="E3341" s="100"/>
      <c r="F3341" s="100"/>
      <c r="G3341" s="100"/>
      <c r="H3341" s="100"/>
      <c r="I3341" s="100"/>
      <c r="J3341" s="100"/>
      <c r="K3341" s="100"/>
      <c r="L3341" s="100"/>
      <c r="M3341" s="100"/>
      <c r="N3341" s="100"/>
      <c r="O3341" s="100"/>
      <c r="P3341" s="100"/>
      <c r="Q3341" s="100"/>
      <c r="R3341" s="100"/>
      <c r="S3341" s="100"/>
      <c r="T3341" s="100"/>
      <c r="U3341" s="100"/>
      <c r="V3341" s="100"/>
      <c r="W3341" s="100"/>
      <c r="X3341" s="100"/>
      <c r="Y3341" s="100"/>
      <c r="Z3341" s="100"/>
    </row>
    <row r="3342" spans="1:26">
      <c r="A3342" s="100"/>
      <c r="B3342" s="100"/>
      <c r="C3342" s="100"/>
      <c r="D3342" s="100"/>
      <c r="E3342" s="100"/>
      <c r="F3342" s="100"/>
      <c r="G3342" s="100"/>
      <c r="H3342" s="100"/>
      <c r="I3342" s="100"/>
      <c r="J3342" s="100"/>
      <c r="K3342" s="100"/>
      <c r="L3342" s="100"/>
      <c r="M3342" s="100"/>
      <c r="N3342" s="100"/>
      <c r="O3342" s="100"/>
      <c r="P3342" s="100"/>
      <c r="Q3342" s="100"/>
      <c r="R3342" s="100"/>
      <c r="S3342" s="100"/>
      <c r="T3342" s="100"/>
      <c r="U3342" s="100"/>
      <c r="V3342" s="100"/>
      <c r="W3342" s="100"/>
      <c r="X3342" s="100"/>
      <c r="Y3342" s="100"/>
      <c r="Z3342" s="100"/>
    </row>
    <row r="3343" spans="1:26">
      <c r="A3343" s="100"/>
      <c r="B3343" s="100"/>
      <c r="C3343" s="100"/>
      <c r="D3343" s="100"/>
      <c r="E3343" s="100"/>
      <c r="F3343" s="100"/>
      <c r="G3343" s="100"/>
      <c r="H3343" s="100"/>
      <c r="I3343" s="100"/>
      <c r="J3343" s="100"/>
      <c r="K3343" s="100"/>
      <c r="L3343" s="100"/>
      <c r="M3343" s="100"/>
      <c r="N3343" s="100"/>
      <c r="O3343" s="100"/>
      <c r="P3343" s="100"/>
      <c r="Q3343" s="100"/>
      <c r="R3343" s="100"/>
      <c r="S3343" s="100"/>
      <c r="T3343" s="100"/>
      <c r="U3343" s="100"/>
      <c r="V3343" s="100"/>
      <c r="W3343" s="100"/>
      <c r="X3343" s="100"/>
      <c r="Y3343" s="100"/>
      <c r="Z3343" s="100"/>
    </row>
    <row r="3344" spans="1:26">
      <c r="A3344" s="100"/>
      <c r="B3344" s="100"/>
      <c r="C3344" s="100"/>
      <c r="D3344" s="100"/>
      <c r="E3344" s="100"/>
      <c r="F3344" s="100"/>
      <c r="G3344" s="100"/>
      <c r="H3344" s="100"/>
      <c r="I3344" s="100"/>
      <c r="J3344" s="100"/>
      <c r="K3344" s="100"/>
      <c r="L3344" s="100"/>
      <c r="M3344" s="100"/>
      <c r="N3344" s="100"/>
      <c r="O3344" s="100"/>
      <c r="P3344" s="100"/>
      <c r="Q3344" s="100"/>
      <c r="R3344" s="100"/>
      <c r="S3344" s="100"/>
      <c r="T3344" s="100"/>
      <c r="U3344" s="100"/>
      <c r="V3344" s="100"/>
      <c r="W3344" s="100"/>
      <c r="X3344" s="100"/>
      <c r="Y3344" s="100"/>
      <c r="Z3344" s="100"/>
    </row>
    <row r="3345" spans="1:26">
      <c r="A3345" s="100"/>
      <c r="B3345" s="100"/>
      <c r="C3345" s="100"/>
      <c r="D3345" s="100"/>
      <c r="E3345" s="100"/>
      <c r="F3345" s="100"/>
      <c r="G3345" s="100"/>
      <c r="H3345" s="100"/>
      <c r="I3345" s="100"/>
      <c r="J3345" s="100"/>
      <c r="K3345" s="100"/>
      <c r="L3345" s="100"/>
      <c r="M3345" s="100"/>
      <c r="N3345" s="100"/>
      <c r="O3345" s="100"/>
      <c r="P3345" s="100"/>
      <c r="Q3345" s="100"/>
      <c r="R3345" s="100"/>
      <c r="S3345" s="100"/>
      <c r="T3345" s="100"/>
      <c r="U3345" s="100"/>
      <c r="V3345" s="100"/>
      <c r="W3345" s="100"/>
      <c r="X3345" s="100"/>
      <c r="Y3345" s="100"/>
      <c r="Z3345" s="100"/>
    </row>
    <row r="3346" spans="1:26">
      <c r="A3346" s="100"/>
      <c r="B3346" s="100"/>
      <c r="C3346" s="100"/>
      <c r="D3346" s="100"/>
      <c r="E3346" s="100"/>
      <c r="F3346" s="100"/>
      <c r="G3346" s="100"/>
      <c r="H3346" s="100"/>
      <c r="I3346" s="100"/>
      <c r="J3346" s="100"/>
      <c r="K3346" s="100"/>
      <c r="L3346" s="100"/>
      <c r="M3346" s="100"/>
      <c r="N3346" s="100"/>
      <c r="O3346" s="100"/>
      <c r="P3346" s="100"/>
      <c r="Q3346" s="100"/>
      <c r="R3346" s="100"/>
      <c r="S3346" s="100"/>
      <c r="T3346" s="100"/>
      <c r="U3346" s="100"/>
      <c r="V3346" s="100"/>
      <c r="W3346" s="100"/>
      <c r="X3346" s="100"/>
      <c r="Y3346" s="100"/>
      <c r="Z3346" s="100"/>
    </row>
    <row r="3347" spans="1:26">
      <c r="A3347" s="100"/>
      <c r="B3347" s="100"/>
      <c r="C3347" s="100"/>
      <c r="D3347" s="100"/>
      <c r="E3347" s="100"/>
      <c r="F3347" s="100"/>
      <c r="G3347" s="100"/>
      <c r="H3347" s="100"/>
      <c r="I3347" s="100"/>
      <c r="J3347" s="100"/>
      <c r="K3347" s="100"/>
      <c r="L3347" s="100"/>
      <c r="M3347" s="100"/>
      <c r="N3347" s="100"/>
      <c r="O3347" s="100"/>
      <c r="P3347" s="100"/>
      <c r="Q3347" s="100"/>
      <c r="R3347" s="100"/>
      <c r="S3347" s="100"/>
      <c r="T3347" s="100"/>
      <c r="U3347" s="100"/>
      <c r="V3347" s="100"/>
      <c r="W3347" s="100"/>
      <c r="X3347" s="100"/>
      <c r="Y3347" s="100"/>
      <c r="Z3347" s="100"/>
    </row>
    <row r="3348" spans="1:26">
      <c r="A3348" s="100"/>
      <c r="B3348" s="100"/>
      <c r="C3348" s="100"/>
      <c r="D3348" s="100"/>
      <c r="E3348" s="100"/>
      <c r="F3348" s="100"/>
      <c r="G3348" s="100"/>
      <c r="H3348" s="100"/>
      <c r="I3348" s="100"/>
      <c r="J3348" s="100"/>
      <c r="K3348" s="100"/>
      <c r="L3348" s="100"/>
      <c r="M3348" s="100"/>
      <c r="N3348" s="100"/>
      <c r="O3348" s="100"/>
      <c r="P3348" s="100"/>
      <c r="Q3348" s="100"/>
      <c r="R3348" s="100"/>
      <c r="S3348" s="100"/>
      <c r="T3348" s="100"/>
      <c r="U3348" s="100"/>
      <c r="V3348" s="100"/>
      <c r="W3348" s="100"/>
      <c r="X3348" s="100"/>
      <c r="Y3348" s="100"/>
      <c r="Z3348" s="100"/>
    </row>
    <row r="3349" spans="1:26">
      <c r="A3349" s="100"/>
      <c r="B3349" s="100"/>
      <c r="C3349" s="100"/>
      <c r="D3349" s="100"/>
      <c r="E3349" s="100"/>
      <c r="F3349" s="100"/>
      <c r="G3349" s="100"/>
      <c r="H3349" s="100"/>
      <c r="I3349" s="100"/>
      <c r="J3349" s="100"/>
      <c r="K3349" s="100"/>
      <c r="L3349" s="100"/>
      <c r="M3349" s="100"/>
      <c r="N3349" s="100"/>
      <c r="O3349" s="100"/>
      <c r="P3349" s="100"/>
      <c r="Q3349" s="100"/>
      <c r="R3349" s="100"/>
      <c r="S3349" s="100"/>
      <c r="T3349" s="100"/>
      <c r="U3349" s="100"/>
      <c r="V3349" s="100"/>
      <c r="W3349" s="100"/>
      <c r="X3349" s="100"/>
      <c r="Y3349" s="100"/>
      <c r="Z3349" s="100"/>
    </row>
    <row r="3350" spans="1:26">
      <c r="A3350" s="100"/>
      <c r="B3350" s="100"/>
      <c r="C3350" s="100"/>
      <c r="D3350" s="100"/>
      <c r="E3350" s="100"/>
      <c r="F3350" s="100"/>
      <c r="G3350" s="100"/>
      <c r="H3350" s="100"/>
      <c r="I3350" s="100"/>
      <c r="J3350" s="100"/>
      <c r="K3350" s="100"/>
      <c r="L3350" s="100"/>
      <c r="M3350" s="100"/>
      <c r="N3350" s="100"/>
      <c r="O3350" s="100"/>
      <c r="P3350" s="100"/>
      <c r="Q3350" s="100"/>
      <c r="R3350" s="100"/>
      <c r="S3350" s="100"/>
      <c r="T3350" s="100"/>
      <c r="U3350" s="100"/>
      <c r="V3350" s="100"/>
      <c r="W3350" s="100"/>
      <c r="X3350" s="100"/>
      <c r="Y3350" s="100"/>
      <c r="Z3350" s="100"/>
    </row>
    <row r="3351" spans="1:26">
      <c r="A3351" s="100"/>
      <c r="B3351" s="100"/>
      <c r="C3351" s="100"/>
      <c r="D3351" s="100"/>
      <c r="E3351" s="100"/>
      <c r="F3351" s="100"/>
      <c r="G3351" s="100"/>
      <c r="H3351" s="100"/>
      <c r="I3351" s="100"/>
      <c r="J3351" s="100"/>
      <c r="K3351" s="100"/>
      <c r="L3351" s="100"/>
      <c r="M3351" s="100"/>
      <c r="N3351" s="100"/>
      <c r="O3351" s="100"/>
      <c r="P3351" s="100"/>
      <c r="Q3351" s="100"/>
      <c r="R3351" s="100"/>
      <c r="S3351" s="100"/>
      <c r="T3351" s="100"/>
      <c r="U3351" s="100"/>
      <c r="V3351" s="100"/>
      <c r="W3351" s="100"/>
      <c r="X3351" s="100"/>
      <c r="Y3351" s="100"/>
      <c r="Z3351" s="100"/>
    </row>
    <row r="3352" spans="1:26">
      <c r="A3352" s="100"/>
      <c r="B3352" s="100"/>
      <c r="C3352" s="100"/>
      <c r="D3352" s="100"/>
      <c r="E3352" s="100"/>
      <c r="F3352" s="100"/>
      <c r="G3352" s="100"/>
      <c r="H3352" s="100"/>
      <c r="I3352" s="100"/>
      <c r="J3352" s="100"/>
      <c r="K3352" s="100"/>
      <c r="L3352" s="100"/>
      <c r="M3352" s="100"/>
      <c r="N3352" s="100"/>
      <c r="O3352" s="100"/>
      <c r="P3352" s="100"/>
      <c r="Q3352" s="100"/>
      <c r="R3352" s="100"/>
      <c r="S3352" s="100"/>
      <c r="T3352" s="100"/>
      <c r="U3352" s="100"/>
      <c r="V3352" s="100"/>
      <c r="W3352" s="100"/>
      <c r="X3352" s="100"/>
      <c r="Y3352" s="100"/>
      <c r="Z3352" s="100"/>
    </row>
    <row r="3353" spans="1:26">
      <c r="A3353" s="100"/>
      <c r="B3353" s="100"/>
      <c r="C3353" s="100"/>
      <c r="D3353" s="100"/>
      <c r="E3353" s="100"/>
      <c r="F3353" s="100"/>
      <c r="G3353" s="100"/>
      <c r="H3353" s="100"/>
      <c r="I3353" s="100"/>
      <c r="J3353" s="100"/>
      <c r="K3353" s="100"/>
      <c r="L3353" s="100"/>
      <c r="M3353" s="100"/>
      <c r="N3353" s="100"/>
      <c r="O3353" s="100"/>
      <c r="P3353" s="100"/>
      <c r="Q3353" s="100"/>
      <c r="R3353" s="100"/>
      <c r="S3353" s="100"/>
      <c r="T3353" s="100"/>
      <c r="U3353" s="100"/>
      <c r="V3353" s="100"/>
      <c r="W3353" s="100"/>
      <c r="X3353" s="100"/>
      <c r="Y3353" s="100"/>
      <c r="Z3353" s="100"/>
    </row>
    <row r="3354" spans="1:26">
      <c r="A3354" s="100"/>
      <c r="B3354" s="100"/>
      <c r="C3354" s="100"/>
      <c r="D3354" s="100"/>
      <c r="E3354" s="100"/>
      <c r="F3354" s="100"/>
      <c r="G3354" s="100"/>
      <c r="H3354" s="100"/>
      <c r="I3354" s="100"/>
      <c r="J3354" s="100"/>
      <c r="K3354" s="100"/>
      <c r="L3354" s="100"/>
      <c r="M3354" s="100"/>
      <c r="N3354" s="100"/>
      <c r="O3354" s="100"/>
      <c r="P3354" s="100"/>
      <c r="Q3354" s="100"/>
      <c r="R3354" s="100"/>
      <c r="S3354" s="100"/>
      <c r="T3354" s="100"/>
      <c r="U3354" s="100"/>
      <c r="V3354" s="100"/>
      <c r="W3354" s="100"/>
      <c r="X3354" s="100"/>
      <c r="Y3354" s="100"/>
      <c r="Z3354" s="100"/>
    </row>
    <row r="3355" spans="1:26">
      <c r="A3355" s="100"/>
      <c r="B3355" s="100"/>
      <c r="C3355" s="100"/>
      <c r="D3355" s="100"/>
      <c r="E3355" s="100"/>
      <c r="F3355" s="100"/>
      <c r="G3355" s="100"/>
      <c r="H3355" s="100"/>
      <c r="I3355" s="100"/>
      <c r="J3355" s="100"/>
      <c r="K3355" s="100"/>
      <c r="L3355" s="100"/>
      <c r="M3355" s="100"/>
      <c r="N3355" s="100"/>
      <c r="O3355" s="100"/>
      <c r="P3355" s="100"/>
      <c r="Q3355" s="100"/>
      <c r="R3355" s="100"/>
      <c r="S3355" s="100"/>
      <c r="T3355" s="100"/>
      <c r="U3355" s="100"/>
      <c r="V3355" s="100"/>
      <c r="W3355" s="100"/>
      <c r="X3355" s="100"/>
      <c r="Y3355" s="100"/>
      <c r="Z3355" s="100"/>
    </row>
    <row r="3356" spans="1:26">
      <c r="A3356" s="100"/>
      <c r="B3356" s="100"/>
      <c r="C3356" s="100"/>
      <c r="D3356" s="100"/>
      <c r="E3356" s="100"/>
      <c r="F3356" s="100"/>
      <c r="G3356" s="100"/>
      <c r="H3356" s="100"/>
      <c r="I3356" s="100"/>
      <c r="J3356" s="100"/>
      <c r="K3356" s="100"/>
      <c r="L3356" s="100"/>
      <c r="M3356" s="100"/>
      <c r="N3356" s="100"/>
      <c r="O3356" s="100"/>
      <c r="P3356" s="100"/>
      <c r="Q3356" s="100"/>
      <c r="R3356" s="100"/>
      <c r="S3356" s="100"/>
      <c r="T3356" s="100"/>
      <c r="U3356" s="100"/>
      <c r="V3356" s="100"/>
      <c r="W3356" s="100"/>
      <c r="X3356" s="100"/>
      <c r="Y3356" s="100"/>
      <c r="Z3356" s="100"/>
    </row>
    <row r="3357" spans="1:26">
      <c r="A3357" s="100"/>
      <c r="B3357" s="100"/>
      <c r="C3357" s="100"/>
      <c r="D3357" s="100"/>
      <c r="E3357" s="100"/>
      <c r="F3357" s="100"/>
      <c r="G3357" s="100"/>
      <c r="H3357" s="100"/>
      <c r="I3357" s="100"/>
      <c r="J3357" s="100"/>
      <c r="K3357" s="100"/>
      <c r="L3357" s="100"/>
      <c r="M3357" s="100"/>
      <c r="N3357" s="100"/>
      <c r="O3357" s="100"/>
      <c r="P3357" s="100"/>
      <c r="Q3357" s="100"/>
      <c r="R3357" s="100"/>
      <c r="S3357" s="100"/>
      <c r="T3357" s="100"/>
      <c r="U3357" s="100"/>
      <c r="V3357" s="100"/>
      <c r="W3357" s="100"/>
      <c r="X3357" s="100"/>
      <c r="Y3357" s="100"/>
      <c r="Z3357" s="100"/>
    </row>
    <row r="3358" spans="1:26">
      <c r="A3358" s="100"/>
      <c r="B3358" s="100"/>
      <c r="C3358" s="100"/>
      <c r="D3358" s="100"/>
      <c r="E3358" s="100"/>
      <c r="F3358" s="100"/>
      <c r="G3358" s="100"/>
      <c r="H3358" s="100"/>
      <c r="I3358" s="100"/>
      <c r="J3358" s="100"/>
      <c r="K3358" s="100"/>
      <c r="L3358" s="100"/>
      <c r="M3358" s="100"/>
      <c r="N3358" s="100"/>
      <c r="O3358" s="100"/>
      <c r="P3358" s="100"/>
      <c r="Q3358" s="100"/>
      <c r="R3358" s="100"/>
      <c r="S3358" s="100"/>
      <c r="T3358" s="100"/>
      <c r="U3358" s="100"/>
      <c r="V3358" s="100"/>
      <c r="W3358" s="100"/>
      <c r="X3358" s="100"/>
      <c r="Y3358" s="100"/>
      <c r="Z3358" s="100"/>
    </row>
    <row r="3359" spans="1:26">
      <c r="A3359" s="100"/>
      <c r="B3359" s="100"/>
      <c r="C3359" s="100"/>
      <c r="D3359" s="100"/>
      <c r="E3359" s="100"/>
      <c r="F3359" s="100"/>
      <c r="G3359" s="100"/>
      <c r="H3359" s="100"/>
      <c r="I3359" s="100"/>
      <c r="J3359" s="100"/>
      <c r="K3359" s="100"/>
      <c r="L3359" s="100"/>
      <c r="M3359" s="100"/>
      <c r="N3359" s="100"/>
      <c r="O3359" s="100"/>
      <c r="P3359" s="100"/>
      <c r="Q3359" s="100"/>
      <c r="R3359" s="100"/>
      <c r="S3359" s="100"/>
      <c r="T3359" s="100"/>
      <c r="U3359" s="100"/>
      <c r="V3359" s="100"/>
      <c r="W3359" s="100"/>
      <c r="X3359" s="100"/>
      <c r="Y3359" s="100"/>
      <c r="Z3359" s="100"/>
    </row>
    <row r="3360" spans="1:26">
      <c r="A3360" s="100"/>
      <c r="B3360" s="100"/>
      <c r="C3360" s="100"/>
      <c r="D3360" s="100"/>
      <c r="E3360" s="100"/>
      <c r="F3360" s="100"/>
      <c r="G3360" s="100"/>
      <c r="H3360" s="100"/>
      <c r="I3360" s="100"/>
      <c r="J3360" s="100"/>
      <c r="K3360" s="100"/>
      <c r="L3360" s="100"/>
      <c r="M3360" s="100"/>
      <c r="N3360" s="100"/>
      <c r="O3360" s="100"/>
      <c r="P3360" s="100"/>
      <c r="Q3360" s="100"/>
      <c r="R3360" s="100"/>
      <c r="S3360" s="100"/>
      <c r="T3360" s="100"/>
      <c r="U3360" s="100"/>
      <c r="V3360" s="100"/>
      <c r="W3360" s="100"/>
      <c r="X3360" s="100"/>
      <c r="Y3360" s="100"/>
      <c r="Z3360" s="100"/>
    </row>
    <row r="3361" spans="1:26">
      <c r="A3361" s="100"/>
      <c r="B3361" s="100"/>
      <c r="C3361" s="100"/>
      <c r="D3361" s="100"/>
      <c r="E3361" s="100"/>
      <c r="F3361" s="100"/>
      <c r="G3361" s="100"/>
      <c r="H3361" s="100"/>
      <c r="I3361" s="100"/>
      <c r="J3361" s="100"/>
      <c r="K3361" s="100"/>
      <c r="L3361" s="100"/>
      <c r="M3361" s="100"/>
      <c r="N3361" s="100"/>
      <c r="O3361" s="100"/>
      <c r="P3361" s="100"/>
      <c r="Q3361" s="100"/>
      <c r="R3361" s="100"/>
      <c r="S3361" s="100"/>
      <c r="T3361" s="100"/>
      <c r="U3361" s="100"/>
      <c r="V3361" s="100"/>
      <c r="W3361" s="100"/>
      <c r="X3361" s="100"/>
      <c r="Y3361" s="100"/>
      <c r="Z3361" s="100"/>
    </row>
    <row r="3362" spans="1:26">
      <c r="A3362" s="100"/>
      <c r="B3362" s="100"/>
      <c r="C3362" s="100"/>
      <c r="D3362" s="100"/>
      <c r="E3362" s="100"/>
      <c r="F3362" s="100"/>
      <c r="G3362" s="100"/>
      <c r="H3362" s="100"/>
      <c r="I3362" s="100"/>
      <c r="J3362" s="100"/>
      <c r="K3362" s="100"/>
      <c r="L3362" s="100"/>
      <c r="M3362" s="100"/>
      <c r="N3362" s="100"/>
      <c r="O3362" s="100"/>
      <c r="P3362" s="100"/>
      <c r="Q3362" s="100"/>
      <c r="R3362" s="100"/>
      <c r="S3362" s="100"/>
      <c r="T3362" s="100"/>
      <c r="U3362" s="100"/>
      <c r="V3362" s="100"/>
      <c r="W3362" s="100"/>
      <c r="X3362" s="100"/>
      <c r="Y3362" s="100"/>
      <c r="Z3362" s="100"/>
    </row>
    <row r="3363" spans="1:26">
      <c r="A3363" s="100"/>
      <c r="B3363" s="100"/>
      <c r="C3363" s="100"/>
      <c r="D3363" s="100"/>
      <c r="E3363" s="100"/>
      <c r="F3363" s="100"/>
      <c r="G3363" s="100"/>
      <c r="H3363" s="100"/>
      <c r="I3363" s="100"/>
      <c r="J3363" s="100"/>
      <c r="K3363" s="100"/>
      <c r="L3363" s="100"/>
      <c r="M3363" s="100"/>
      <c r="N3363" s="100"/>
      <c r="O3363" s="100"/>
      <c r="P3363" s="100"/>
      <c r="Q3363" s="100"/>
      <c r="R3363" s="100"/>
      <c r="S3363" s="100"/>
      <c r="T3363" s="100"/>
      <c r="U3363" s="100"/>
      <c r="V3363" s="100"/>
      <c r="W3363" s="100"/>
      <c r="X3363" s="100"/>
      <c r="Y3363" s="100"/>
      <c r="Z3363" s="100"/>
    </row>
    <row r="3364" spans="1:26">
      <c r="A3364" s="100"/>
      <c r="B3364" s="100"/>
      <c r="C3364" s="100"/>
      <c r="D3364" s="100"/>
      <c r="E3364" s="100"/>
      <c r="F3364" s="100"/>
      <c r="G3364" s="100"/>
      <c r="H3364" s="100"/>
      <c r="I3364" s="100"/>
      <c r="J3364" s="100"/>
      <c r="K3364" s="100"/>
      <c r="L3364" s="100"/>
      <c r="M3364" s="100"/>
      <c r="N3364" s="100"/>
      <c r="O3364" s="100"/>
      <c r="P3364" s="100"/>
      <c r="Q3364" s="100"/>
      <c r="R3364" s="100"/>
      <c r="S3364" s="100"/>
      <c r="T3364" s="100"/>
      <c r="U3364" s="100"/>
      <c r="V3364" s="100"/>
      <c r="W3364" s="100"/>
      <c r="X3364" s="100"/>
      <c r="Y3364" s="100"/>
      <c r="Z3364" s="100"/>
    </row>
    <row r="3365" spans="1:26">
      <c r="A3365" s="100"/>
      <c r="B3365" s="100"/>
      <c r="C3365" s="100"/>
      <c r="D3365" s="100"/>
      <c r="E3365" s="100"/>
      <c r="F3365" s="100"/>
      <c r="G3365" s="100"/>
      <c r="H3365" s="100"/>
      <c r="I3365" s="100"/>
      <c r="J3365" s="100"/>
      <c r="K3365" s="100"/>
      <c r="L3365" s="100"/>
      <c r="M3365" s="100"/>
      <c r="N3365" s="100"/>
      <c r="O3365" s="100"/>
      <c r="P3365" s="100"/>
      <c r="Q3365" s="100"/>
      <c r="R3365" s="100"/>
      <c r="S3365" s="100"/>
      <c r="T3365" s="100"/>
      <c r="U3365" s="100"/>
      <c r="V3365" s="100"/>
      <c r="W3365" s="100"/>
      <c r="X3365" s="100"/>
      <c r="Y3365" s="100"/>
      <c r="Z3365" s="100"/>
    </row>
    <row r="3366" spans="1:26">
      <c r="A3366" s="100"/>
      <c r="B3366" s="100"/>
      <c r="C3366" s="100"/>
      <c r="D3366" s="100"/>
      <c r="E3366" s="100"/>
      <c r="F3366" s="100"/>
      <c r="G3366" s="100"/>
      <c r="H3366" s="100"/>
      <c r="I3366" s="100"/>
      <c r="J3366" s="100"/>
      <c r="K3366" s="100"/>
      <c r="L3366" s="100"/>
      <c r="M3366" s="100"/>
      <c r="N3366" s="100"/>
      <c r="O3366" s="100"/>
      <c r="P3366" s="100"/>
      <c r="Q3366" s="100"/>
      <c r="R3366" s="100"/>
      <c r="S3366" s="100"/>
      <c r="T3366" s="100"/>
      <c r="U3366" s="100"/>
      <c r="V3366" s="100"/>
      <c r="W3366" s="100"/>
      <c r="X3366" s="100"/>
      <c r="Y3366" s="100"/>
      <c r="Z3366" s="100"/>
    </row>
    <row r="3367" spans="1:26">
      <c r="A3367" s="100"/>
      <c r="B3367" s="100"/>
      <c r="C3367" s="100"/>
      <c r="D3367" s="100"/>
      <c r="E3367" s="100"/>
      <c r="F3367" s="100"/>
      <c r="G3367" s="100"/>
      <c r="H3367" s="100"/>
      <c r="I3367" s="100"/>
      <c r="J3367" s="100"/>
      <c r="K3367" s="100"/>
      <c r="L3367" s="100"/>
      <c r="M3367" s="100"/>
      <c r="N3367" s="100"/>
      <c r="O3367" s="100"/>
      <c r="P3367" s="100"/>
      <c r="Q3367" s="100"/>
      <c r="R3367" s="100"/>
      <c r="S3367" s="100"/>
      <c r="T3367" s="100"/>
      <c r="U3367" s="100"/>
      <c r="V3367" s="100"/>
      <c r="W3367" s="100"/>
      <c r="X3367" s="100"/>
      <c r="Y3367" s="100"/>
      <c r="Z3367" s="100"/>
    </row>
    <row r="3368" spans="1:26">
      <c r="A3368" s="100"/>
      <c r="B3368" s="100"/>
      <c r="C3368" s="100"/>
      <c r="D3368" s="100"/>
      <c r="E3368" s="100"/>
      <c r="F3368" s="100"/>
      <c r="G3368" s="100"/>
      <c r="H3368" s="100"/>
      <c r="I3368" s="100"/>
      <c r="J3368" s="100"/>
      <c r="K3368" s="100"/>
      <c r="L3368" s="100"/>
      <c r="M3368" s="100"/>
      <c r="N3368" s="100"/>
      <c r="O3368" s="100"/>
      <c r="P3368" s="100"/>
      <c r="Q3368" s="100"/>
      <c r="R3368" s="100"/>
      <c r="S3368" s="100"/>
      <c r="T3368" s="100"/>
      <c r="U3368" s="100"/>
      <c r="V3368" s="100"/>
      <c r="W3368" s="100"/>
      <c r="X3368" s="100"/>
      <c r="Y3368" s="100"/>
      <c r="Z3368" s="100"/>
    </row>
    <row r="3369" spans="1:26">
      <c r="A3369" s="100"/>
      <c r="B3369" s="100"/>
      <c r="C3369" s="100"/>
      <c r="D3369" s="100"/>
      <c r="E3369" s="100"/>
      <c r="F3369" s="100"/>
      <c r="G3369" s="100"/>
      <c r="H3369" s="100"/>
      <c r="I3369" s="100"/>
      <c r="J3369" s="100"/>
      <c r="K3369" s="100"/>
      <c r="L3369" s="100"/>
      <c r="M3369" s="100"/>
      <c r="N3369" s="100"/>
      <c r="O3369" s="100"/>
      <c r="P3369" s="100"/>
      <c r="Q3369" s="100"/>
      <c r="R3369" s="100"/>
      <c r="S3369" s="100"/>
      <c r="T3369" s="100"/>
      <c r="U3369" s="100"/>
      <c r="V3369" s="100"/>
      <c r="W3369" s="100"/>
      <c r="X3369" s="100"/>
      <c r="Y3369" s="100"/>
      <c r="Z3369" s="100"/>
    </row>
    <row r="3370" spans="1:26">
      <c r="A3370" s="100"/>
      <c r="B3370" s="100"/>
      <c r="C3370" s="100"/>
      <c r="D3370" s="100"/>
      <c r="E3370" s="100"/>
      <c r="F3370" s="100"/>
      <c r="G3370" s="100"/>
      <c r="H3370" s="100"/>
      <c r="I3370" s="100"/>
      <c r="J3370" s="100"/>
      <c r="K3370" s="100"/>
      <c r="L3370" s="100"/>
      <c r="M3370" s="100"/>
      <c r="N3370" s="100"/>
      <c r="O3370" s="100"/>
      <c r="P3370" s="100"/>
      <c r="Q3370" s="100"/>
      <c r="R3370" s="100"/>
      <c r="S3370" s="100"/>
      <c r="T3370" s="100"/>
      <c r="U3370" s="100"/>
      <c r="V3370" s="100"/>
      <c r="W3370" s="100"/>
      <c r="X3370" s="100"/>
      <c r="Y3370" s="100"/>
      <c r="Z3370" s="100"/>
    </row>
    <row r="3371" spans="1:26">
      <c r="A3371" s="100"/>
      <c r="B3371" s="100"/>
      <c r="C3371" s="100"/>
      <c r="D3371" s="100"/>
      <c r="E3371" s="100"/>
      <c r="F3371" s="100"/>
      <c r="G3371" s="100"/>
      <c r="H3371" s="100"/>
      <c r="I3371" s="100"/>
      <c r="J3371" s="100"/>
      <c r="K3371" s="100"/>
      <c r="L3371" s="100"/>
      <c r="M3371" s="100"/>
      <c r="N3371" s="100"/>
      <c r="O3371" s="100"/>
      <c r="P3371" s="100"/>
      <c r="Q3371" s="100"/>
      <c r="R3371" s="100"/>
      <c r="S3371" s="100"/>
      <c r="T3371" s="100"/>
      <c r="U3371" s="100"/>
      <c r="V3371" s="100"/>
      <c r="W3371" s="100"/>
      <c r="X3371" s="100"/>
      <c r="Y3371" s="100"/>
      <c r="Z3371" s="100"/>
    </row>
    <row r="3372" spans="1:26">
      <c r="A3372" s="100"/>
      <c r="B3372" s="100"/>
      <c r="C3372" s="100"/>
      <c r="D3372" s="100"/>
      <c r="E3372" s="100"/>
      <c r="F3372" s="100"/>
      <c r="G3372" s="100"/>
      <c r="H3372" s="100"/>
      <c r="I3372" s="100"/>
      <c r="J3372" s="100"/>
      <c r="K3372" s="100"/>
      <c r="L3372" s="100"/>
      <c r="M3372" s="100"/>
      <c r="N3372" s="100"/>
      <c r="O3372" s="100"/>
      <c r="P3372" s="100"/>
      <c r="Q3372" s="100"/>
      <c r="R3372" s="100"/>
      <c r="S3372" s="100"/>
      <c r="T3372" s="100"/>
      <c r="U3372" s="100"/>
      <c r="V3372" s="100"/>
      <c r="W3372" s="100"/>
      <c r="X3372" s="100"/>
      <c r="Y3372" s="100"/>
      <c r="Z3372" s="100"/>
    </row>
    <row r="3373" spans="1:26">
      <c r="A3373" s="100"/>
      <c r="B3373" s="100"/>
      <c r="C3373" s="100"/>
      <c r="D3373" s="100"/>
      <c r="E3373" s="100"/>
      <c r="F3373" s="100"/>
      <c r="G3373" s="100"/>
      <c r="H3373" s="100"/>
      <c r="I3373" s="100"/>
      <c r="J3373" s="100"/>
      <c r="K3373" s="100"/>
      <c r="L3373" s="100"/>
      <c r="M3373" s="100"/>
      <c r="N3373" s="100"/>
      <c r="O3373" s="100"/>
      <c r="P3373" s="100"/>
      <c r="Q3373" s="100"/>
      <c r="R3373" s="100"/>
      <c r="S3373" s="100"/>
      <c r="T3373" s="100"/>
      <c r="U3373" s="100"/>
      <c r="V3373" s="100"/>
      <c r="W3373" s="100"/>
      <c r="X3373" s="100"/>
      <c r="Y3373" s="100"/>
      <c r="Z3373" s="100"/>
    </row>
    <row r="3374" spans="1:26">
      <c r="A3374" s="100"/>
      <c r="B3374" s="100"/>
      <c r="C3374" s="100"/>
      <c r="D3374" s="100"/>
      <c r="E3374" s="100"/>
      <c r="F3374" s="100"/>
      <c r="G3374" s="100"/>
      <c r="H3374" s="100"/>
      <c r="I3374" s="100"/>
      <c r="J3374" s="100"/>
      <c r="K3374" s="100"/>
      <c r="L3374" s="100"/>
      <c r="M3374" s="100"/>
      <c r="N3374" s="100"/>
      <c r="O3374" s="100"/>
      <c r="P3374" s="100"/>
      <c r="Q3374" s="100"/>
      <c r="R3374" s="100"/>
      <c r="S3374" s="100"/>
      <c r="T3374" s="100"/>
      <c r="U3374" s="100"/>
      <c r="V3374" s="100"/>
      <c r="W3374" s="100"/>
      <c r="X3374" s="100"/>
      <c r="Y3374" s="100"/>
      <c r="Z3374" s="100"/>
    </row>
    <row r="3375" spans="1:26">
      <c r="A3375" s="100"/>
      <c r="B3375" s="100"/>
      <c r="C3375" s="100"/>
      <c r="D3375" s="100"/>
      <c r="E3375" s="100"/>
      <c r="F3375" s="100"/>
      <c r="G3375" s="100"/>
      <c r="H3375" s="100"/>
      <c r="I3375" s="100"/>
      <c r="J3375" s="100"/>
      <c r="K3375" s="100"/>
      <c r="L3375" s="100"/>
      <c r="M3375" s="100"/>
      <c r="N3375" s="100"/>
      <c r="O3375" s="100"/>
      <c r="P3375" s="100"/>
      <c r="Q3375" s="100"/>
      <c r="R3375" s="100"/>
      <c r="S3375" s="100"/>
      <c r="T3375" s="100"/>
      <c r="U3375" s="100"/>
      <c r="V3375" s="100"/>
      <c r="W3375" s="100"/>
      <c r="X3375" s="100"/>
      <c r="Y3375" s="100"/>
      <c r="Z3375" s="100"/>
    </row>
    <row r="3376" spans="1:26">
      <c r="A3376" s="100"/>
      <c r="B3376" s="100"/>
      <c r="C3376" s="100"/>
      <c r="D3376" s="100"/>
      <c r="E3376" s="100"/>
      <c r="F3376" s="100"/>
      <c r="G3376" s="100"/>
      <c r="H3376" s="100"/>
      <c r="I3376" s="100"/>
      <c r="J3376" s="100"/>
      <c r="K3376" s="100"/>
      <c r="L3376" s="100"/>
      <c r="M3376" s="100"/>
      <c r="N3376" s="100"/>
      <c r="O3376" s="100"/>
      <c r="P3376" s="100"/>
      <c r="Q3376" s="100"/>
      <c r="R3376" s="100"/>
      <c r="S3376" s="100"/>
      <c r="T3376" s="100"/>
      <c r="U3376" s="100"/>
      <c r="V3376" s="100"/>
      <c r="W3376" s="100"/>
      <c r="X3376" s="100"/>
      <c r="Y3376" s="100"/>
      <c r="Z3376" s="100"/>
    </row>
    <row r="3377" spans="1:26">
      <c r="A3377" s="100"/>
      <c r="B3377" s="100"/>
      <c r="C3377" s="100"/>
      <c r="D3377" s="100"/>
      <c r="E3377" s="100"/>
      <c r="F3377" s="100"/>
      <c r="G3377" s="100"/>
      <c r="H3377" s="100"/>
      <c r="I3377" s="100"/>
      <c r="J3377" s="100"/>
      <c r="K3377" s="100"/>
      <c r="L3377" s="100"/>
      <c r="M3377" s="100"/>
      <c r="N3377" s="100"/>
      <c r="O3377" s="100"/>
      <c r="P3377" s="100"/>
      <c r="Q3377" s="100"/>
      <c r="R3377" s="100"/>
      <c r="S3377" s="100"/>
      <c r="T3377" s="100"/>
      <c r="U3377" s="100"/>
      <c r="V3377" s="100"/>
      <c r="W3377" s="100"/>
      <c r="X3377" s="100"/>
      <c r="Y3377" s="100"/>
      <c r="Z3377" s="100"/>
    </row>
    <row r="3378" spans="1:26">
      <c r="A3378" s="100"/>
      <c r="B3378" s="100"/>
      <c r="C3378" s="100"/>
      <c r="D3378" s="100"/>
      <c r="E3378" s="100"/>
      <c r="F3378" s="100"/>
      <c r="G3378" s="100"/>
      <c r="H3378" s="100"/>
      <c r="I3378" s="100"/>
      <c r="J3378" s="100"/>
      <c r="K3378" s="100"/>
      <c r="L3378" s="100"/>
      <c r="M3378" s="100"/>
      <c r="N3378" s="100"/>
      <c r="O3378" s="100"/>
      <c r="P3378" s="100"/>
      <c r="Q3378" s="100"/>
      <c r="R3378" s="100"/>
      <c r="S3378" s="100"/>
      <c r="T3378" s="100"/>
      <c r="U3378" s="100"/>
      <c r="V3378" s="100"/>
      <c r="W3378" s="100"/>
      <c r="X3378" s="100"/>
      <c r="Y3378" s="100"/>
      <c r="Z3378" s="100"/>
    </row>
    <row r="3379" spans="1:26">
      <c r="A3379" s="100"/>
      <c r="B3379" s="100"/>
      <c r="C3379" s="100"/>
      <c r="D3379" s="100"/>
      <c r="E3379" s="100"/>
      <c r="F3379" s="100"/>
      <c r="G3379" s="100"/>
      <c r="H3379" s="100"/>
      <c r="I3379" s="100"/>
      <c r="J3379" s="100"/>
      <c r="K3379" s="100"/>
      <c r="L3379" s="100"/>
      <c r="M3379" s="100"/>
      <c r="N3379" s="100"/>
      <c r="O3379" s="100"/>
      <c r="P3379" s="100"/>
      <c r="Q3379" s="100"/>
      <c r="R3379" s="100"/>
      <c r="S3379" s="100"/>
      <c r="T3379" s="100"/>
      <c r="U3379" s="100"/>
      <c r="V3379" s="100"/>
      <c r="W3379" s="100"/>
      <c r="X3379" s="100"/>
      <c r="Y3379" s="100"/>
      <c r="Z3379" s="100"/>
    </row>
    <row r="3380" spans="1:26">
      <c r="A3380" s="100"/>
      <c r="B3380" s="100"/>
      <c r="C3380" s="100"/>
      <c r="D3380" s="100"/>
      <c r="E3380" s="100"/>
      <c r="F3380" s="100"/>
      <c r="G3380" s="100"/>
      <c r="H3380" s="100"/>
      <c r="I3380" s="100"/>
      <c r="J3380" s="100"/>
      <c r="K3380" s="100"/>
      <c r="L3380" s="100"/>
      <c r="M3380" s="100"/>
      <c r="N3380" s="100"/>
      <c r="O3380" s="100"/>
      <c r="P3380" s="100"/>
      <c r="Q3380" s="100"/>
      <c r="R3380" s="100"/>
      <c r="S3380" s="100"/>
      <c r="T3380" s="100"/>
      <c r="U3380" s="100"/>
      <c r="V3380" s="100"/>
      <c r="W3380" s="100"/>
      <c r="X3380" s="100"/>
      <c r="Y3380" s="100"/>
      <c r="Z3380" s="100"/>
    </row>
    <row r="3381" spans="1:26">
      <c r="A3381" s="100"/>
      <c r="B3381" s="100"/>
      <c r="C3381" s="100"/>
      <c r="D3381" s="100"/>
      <c r="E3381" s="100"/>
      <c r="F3381" s="100"/>
      <c r="G3381" s="100"/>
      <c r="H3381" s="100"/>
      <c r="I3381" s="100"/>
      <c r="J3381" s="100"/>
      <c r="K3381" s="100"/>
      <c r="L3381" s="100"/>
      <c r="M3381" s="100"/>
      <c r="N3381" s="100"/>
      <c r="O3381" s="100"/>
      <c r="P3381" s="100"/>
      <c r="Q3381" s="100"/>
      <c r="R3381" s="100"/>
      <c r="S3381" s="100"/>
      <c r="T3381" s="100"/>
      <c r="U3381" s="100"/>
      <c r="V3381" s="100"/>
      <c r="W3381" s="100"/>
      <c r="X3381" s="100"/>
      <c r="Y3381" s="100"/>
      <c r="Z3381" s="100"/>
    </row>
    <row r="3382" spans="1:26">
      <c r="A3382" s="100"/>
      <c r="B3382" s="100"/>
      <c r="C3382" s="100"/>
      <c r="D3382" s="100"/>
      <c r="E3382" s="100"/>
      <c r="F3382" s="100"/>
      <c r="G3382" s="100"/>
      <c r="H3382" s="100"/>
      <c r="I3382" s="100"/>
      <c r="J3382" s="100"/>
      <c r="K3382" s="100"/>
      <c r="L3382" s="100"/>
      <c r="M3382" s="100"/>
      <c r="N3382" s="100"/>
      <c r="O3382" s="100"/>
      <c r="P3382" s="100"/>
      <c r="Q3382" s="100"/>
      <c r="R3382" s="100"/>
      <c r="S3382" s="100"/>
      <c r="T3382" s="100"/>
      <c r="U3382" s="100"/>
      <c r="V3382" s="100"/>
      <c r="W3382" s="100"/>
      <c r="X3382" s="100"/>
      <c r="Y3382" s="100"/>
      <c r="Z3382" s="100"/>
    </row>
    <row r="3383" spans="1:26">
      <c r="A3383" s="100"/>
      <c r="B3383" s="100"/>
      <c r="C3383" s="100"/>
      <c r="D3383" s="100"/>
      <c r="E3383" s="100"/>
      <c r="F3383" s="100"/>
      <c r="G3383" s="100"/>
      <c r="H3383" s="100"/>
      <c r="I3383" s="100"/>
      <c r="J3383" s="100"/>
      <c r="K3383" s="100"/>
      <c r="L3383" s="100"/>
      <c r="M3383" s="100"/>
      <c r="N3383" s="100"/>
      <c r="O3383" s="100"/>
      <c r="P3383" s="100"/>
      <c r="Q3383" s="100"/>
      <c r="R3383" s="100"/>
      <c r="S3383" s="100"/>
      <c r="T3383" s="100"/>
      <c r="U3383" s="100"/>
      <c r="V3383" s="100"/>
      <c r="W3383" s="100"/>
      <c r="X3383" s="100"/>
      <c r="Y3383" s="100"/>
      <c r="Z3383" s="100"/>
    </row>
    <row r="3384" spans="1:26">
      <c r="A3384" s="100"/>
      <c r="B3384" s="100"/>
      <c r="C3384" s="100"/>
      <c r="D3384" s="100"/>
      <c r="E3384" s="100"/>
      <c r="F3384" s="100"/>
      <c r="G3384" s="100"/>
      <c r="H3384" s="100"/>
      <c r="I3384" s="100"/>
      <c r="J3384" s="100"/>
      <c r="K3384" s="100"/>
      <c r="L3384" s="100"/>
      <c r="M3384" s="100"/>
      <c r="N3384" s="100"/>
      <c r="O3384" s="100"/>
      <c r="P3384" s="100"/>
      <c r="Q3384" s="100"/>
      <c r="R3384" s="100"/>
      <c r="S3384" s="100"/>
      <c r="T3384" s="100"/>
      <c r="U3384" s="100"/>
      <c r="V3384" s="100"/>
      <c r="W3384" s="100"/>
      <c r="X3384" s="100"/>
      <c r="Y3384" s="100"/>
      <c r="Z3384" s="100"/>
    </row>
    <row r="3385" spans="1:26">
      <c r="A3385" s="100"/>
      <c r="B3385" s="100"/>
      <c r="C3385" s="100"/>
      <c r="D3385" s="100"/>
      <c r="E3385" s="100"/>
      <c r="F3385" s="100"/>
      <c r="G3385" s="100"/>
      <c r="H3385" s="100"/>
      <c r="I3385" s="100"/>
      <c r="J3385" s="100"/>
      <c r="K3385" s="100"/>
      <c r="L3385" s="100"/>
      <c r="M3385" s="100"/>
      <c r="N3385" s="100"/>
      <c r="O3385" s="100"/>
      <c r="P3385" s="100"/>
      <c r="Q3385" s="100"/>
      <c r="R3385" s="100"/>
      <c r="S3385" s="100"/>
      <c r="T3385" s="100"/>
      <c r="U3385" s="100"/>
      <c r="V3385" s="100"/>
      <c r="W3385" s="100"/>
      <c r="X3385" s="100"/>
      <c r="Y3385" s="100"/>
      <c r="Z3385" s="100"/>
    </row>
    <row r="3386" spans="1:26">
      <c r="A3386" s="100"/>
      <c r="B3386" s="100"/>
      <c r="C3386" s="100"/>
      <c r="D3386" s="100"/>
      <c r="E3386" s="100"/>
      <c r="F3386" s="100"/>
      <c r="G3386" s="100"/>
      <c r="H3386" s="100"/>
      <c r="I3386" s="100"/>
      <c r="J3386" s="100"/>
      <c r="K3386" s="100"/>
      <c r="L3386" s="100"/>
      <c r="M3386" s="100"/>
      <c r="N3386" s="100"/>
      <c r="O3386" s="100"/>
      <c r="P3386" s="100"/>
      <c r="Q3386" s="100"/>
      <c r="R3386" s="100"/>
      <c r="S3386" s="100"/>
      <c r="T3386" s="100"/>
      <c r="U3386" s="100"/>
      <c r="V3386" s="100"/>
      <c r="W3386" s="100"/>
      <c r="X3386" s="100"/>
      <c r="Y3386" s="100"/>
      <c r="Z3386" s="100"/>
    </row>
    <row r="3387" spans="1:26">
      <c r="A3387" s="100"/>
      <c r="B3387" s="100"/>
      <c r="C3387" s="100"/>
      <c r="D3387" s="100"/>
      <c r="E3387" s="100"/>
      <c r="F3387" s="100"/>
      <c r="G3387" s="100"/>
      <c r="H3387" s="100"/>
      <c r="I3387" s="100"/>
      <c r="J3387" s="100"/>
      <c r="K3387" s="100"/>
      <c r="L3387" s="100"/>
      <c r="M3387" s="100"/>
      <c r="N3387" s="100"/>
      <c r="O3387" s="100"/>
      <c r="P3387" s="100"/>
      <c r="Q3387" s="100"/>
      <c r="R3387" s="100"/>
      <c r="S3387" s="100"/>
      <c r="T3387" s="100"/>
      <c r="U3387" s="100"/>
      <c r="V3387" s="100"/>
      <c r="W3387" s="100"/>
      <c r="X3387" s="100"/>
      <c r="Y3387" s="100"/>
      <c r="Z3387" s="100"/>
    </row>
    <row r="3388" spans="1:26">
      <c r="A3388" s="100"/>
      <c r="B3388" s="100"/>
      <c r="C3388" s="100"/>
      <c r="D3388" s="100"/>
      <c r="E3388" s="100"/>
      <c r="F3388" s="100"/>
      <c r="G3388" s="100"/>
      <c r="H3388" s="100"/>
      <c r="I3388" s="100"/>
      <c r="J3388" s="100"/>
      <c r="K3388" s="100"/>
      <c r="L3388" s="100"/>
      <c r="M3388" s="100"/>
      <c r="N3388" s="100"/>
      <c r="O3388" s="100"/>
      <c r="P3388" s="100"/>
      <c r="Q3388" s="100"/>
      <c r="R3388" s="100"/>
      <c r="S3388" s="100"/>
      <c r="T3388" s="100"/>
      <c r="U3388" s="100"/>
      <c r="V3388" s="100"/>
      <c r="W3388" s="100"/>
      <c r="X3388" s="100"/>
      <c r="Y3388" s="100"/>
      <c r="Z3388" s="100"/>
    </row>
    <row r="3389" spans="1:26">
      <c r="A3389" s="100"/>
      <c r="B3389" s="100"/>
      <c r="C3389" s="100"/>
      <c r="D3389" s="100"/>
      <c r="E3389" s="100"/>
      <c r="F3389" s="100"/>
      <c r="G3389" s="100"/>
      <c r="H3389" s="100"/>
      <c r="I3389" s="100"/>
      <c r="J3389" s="100"/>
      <c r="K3389" s="100"/>
      <c r="L3389" s="100"/>
      <c r="M3389" s="100"/>
      <c r="N3389" s="100"/>
      <c r="O3389" s="100"/>
      <c r="P3389" s="100"/>
      <c r="Q3389" s="100"/>
      <c r="R3389" s="100"/>
      <c r="S3389" s="100"/>
      <c r="T3389" s="100"/>
      <c r="U3389" s="100"/>
      <c r="V3389" s="100"/>
      <c r="W3389" s="100"/>
      <c r="X3389" s="100"/>
      <c r="Y3389" s="100"/>
      <c r="Z3389" s="100"/>
    </row>
    <row r="3390" spans="1:26">
      <c r="A3390" s="100"/>
      <c r="B3390" s="100"/>
      <c r="C3390" s="100"/>
      <c r="D3390" s="100"/>
      <c r="E3390" s="100"/>
      <c r="F3390" s="100"/>
      <c r="G3390" s="100"/>
      <c r="H3390" s="100"/>
      <c r="I3390" s="100"/>
      <c r="J3390" s="100"/>
      <c r="K3390" s="100"/>
      <c r="L3390" s="100"/>
      <c r="M3390" s="100"/>
      <c r="N3390" s="100"/>
      <c r="O3390" s="100"/>
      <c r="P3390" s="100"/>
      <c r="Q3390" s="100"/>
      <c r="R3390" s="100"/>
      <c r="S3390" s="100"/>
      <c r="T3390" s="100"/>
      <c r="U3390" s="100"/>
      <c r="V3390" s="100"/>
      <c r="W3390" s="100"/>
      <c r="X3390" s="100"/>
      <c r="Y3390" s="100"/>
      <c r="Z3390" s="100"/>
    </row>
    <row r="3391" spans="1:26">
      <c r="A3391" s="100"/>
      <c r="B3391" s="100"/>
      <c r="C3391" s="100"/>
      <c r="D3391" s="100"/>
      <c r="E3391" s="100"/>
      <c r="F3391" s="100"/>
      <c r="G3391" s="100"/>
      <c r="H3391" s="100"/>
      <c r="I3391" s="100"/>
      <c r="J3391" s="100"/>
      <c r="K3391" s="100"/>
      <c r="L3391" s="100"/>
      <c r="M3391" s="100"/>
      <c r="N3391" s="100"/>
      <c r="O3391" s="100"/>
      <c r="P3391" s="100"/>
      <c r="Q3391" s="100"/>
      <c r="R3391" s="100"/>
      <c r="S3391" s="100"/>
      <c r="T3391" s="100"/>
      <c r="U3391" s="100"/>
      <c r="V3391" s="100"/>
      <c r="W3391" s="100"/>
      <c r="X3391" s="100"/>
      <c r="Y3391" s="100"/>
      <c r="Z3391" s="100"/>
    </row>
    <row r="3392" spans="1:26">
      <c r="A3392" s="100"/>
      <c r="B3392" s="100"/>
      <c r="C3392" s="100"/>
      <c r="D3392" s="100"/>
      <c r="E3392" s="100"/>
      <c r="F3392" s="100"/>
      <c r="G3392" s="100"/>
      <c r="H3392" s="100"/>
      <c r="I3392" s="100"/>
      <c r="J3392" s="100"/>
      <c r="K3392" s="100"/>
      <c r="L3392" s="100"/>
      <c r="M3392" s="100"/>
      <c r="N3392" s="100"/>
      <c r="O3392" s="100"/>
      <c r="P3392" s="100"/>
      <c r="Q3392" s="100"/>
      <c r="R3392" s="100"/>
      <c r="S3392" s="100"/>
      <c r="T3392" s="100"/>
      <c r="U3392" s="100"/>
      <c r="V3392" s="100"/>
      <c r="W3392" s="100"/>
      <c r="X3392" s="100"/>
      <c r="Y3392" s="100"/>
      <c r="Z3392" s="100"/>
    </row>
    <row r="3393" spans="1:26">
      <c r="A3393" s="100"/>
      <c r="B3393" s="100"/>
      <c r="C3393" s="100"/>
      <c r="D3393" s="100"/>
      <c r="E3393" s="100"/>
      <c r="F3393" s="100"/>
      <c r="G3393" s="100"/>
      <c r="H3393" s="100"/>
      <c r="I3393" s="100"/>
      <c r="J3393" s="100"/>
      <c r="K3393" s="100"/>
      <c r="L3393" s="100"/>
      <c r="M3393" s="100"/>
      <c r="N3393" s="100"/>
      <c r="O3393" s="100"/>
      <c r="P3393" s="100"/>
      <c r="Q3393" s="100"/>
      <c r="R3393" s="100"/>
      <c r="S3393" s="100"/>
      <c r="T3393" s="100"/>
      <c r="U3393" s="100"/>
      <c r="V3393" s="100"/>
      <c r="W3393" s="100"/>
      <c r="X3393" s="100"/>
      <c r="Y3393" s="100"/>
      <c r="Z3393" s="100"/>
    </row>
    <row r="3394" spans="1:26">
      <c r="A3394" s="100"/>
      <c r="B3394" s="100"/>
      <c r="C3394" s="100"/>
      <c r="D3394" s="100"/>
      <c r="E3394" s="100"/>
      <c r="F3394" s="100"/>
      <c r="G3394" s="100"/>
      <c r="H3394" s="100"/>
      <c r="I3394" s="100"/>
      <c r="J3394" s="100"/>
      <c r="K3394" s="100"/>
      <c r="L3394" s="100"/>
      <c r="M3394" s="100"/>
      <c r="N3394" s="100"/>
      <c r="O3394" s="100"/>
      <c r="P3394" s="100"/>
      <c r="Q3394" s="100"/>
      <c r="R3394" s="100"/>
      <c r="S3394" s="100"/>
      <c r="T3394" s="100"/>
      <c r="U3394" s="100"/>
      <c r="V3394" s="100"/>
      <c r="W3394" s="100"/>
      <c r="X3394" s="100"/>
      <c r="Y3394" s="100"/>
      <c r="Z3394" s="100"/>
    </row>
    <row r="3395" spans="1:26">
      <c r="A3395" s="100"/>
      <c r="B3395" s="100"/>
      <c r="C3395" s="100"/>
      <c r="D3395" s="100"/>
      <c r="E3395" s="100"/>
      <c r="F3395" s="100"/>
      <c r="G3395" s="100"/>
      <c r="H3395" s="100"/>
      <c r="I3395" s="100"/>
      <c r="J3395" s="100"/>
      <c r="K3395" s="100"/>
      <c r="L3395" s="100"/>
      <c r="M3395" s="100"/>
      <c r="N3395" s="100"/>
      <c r="O3395" s="100"/>
      <c r="P3395" s="100"/>
      <c r="Q3395" s="100"/>
      <c r="R3395" s="100"/>
      <c r="S3395" s="100"/>
      <c r="T3395" s="100"/>
      <c r="U3395" s="100"/>
      <c r="V3395" s="100"/>
      <c r="W3395" s="100"/>
      <c r="X3395" s="100"/>
      <c r="Y3395" s="100"/>
      <c r="Z3395" s="100"/>
    </row>
    <row r="3396" spans="1:26">
      <c r="A3396" s="100"/>
      <c r="B3396" s="100"/>
      <c r="C3396" s="100"/>
      <c r="D3396" s="100"/>
      <c r="E3396" s="100"/>
      <c r="F3396" s="100"/>
      <c r="G3396" s="100"/>
      <c r="H3396" s="100"/>
      <c r="I3396" s="100"/>
      <c r="J3396" s="100"/>
      <c r="K3396" s="100"/>
      <c r="L3396" s="100"/>
      <c r="M3396" s="100"/>
      <c r="N3396" s="100"/>
      <c r="O3396" s="100"/>
      <c r="P3396" s="100"/>
      <c r="Q3396" s="100"/>
      <c r="R3396" s="100"/>
      <c r="S3396" s="100"/>
      <c r="T3396" s="100"/>
      <c r="U3396" s="100"/>
      <c r="V3396" s="100"/>
      <c r="W3396" s="100"/>
      <c r="X3396" s="100"/>
      <c r="Y3396" s="100"/>
      <c r="Z3396" s="100"/>
    </row>
    <row r="3397" spans="1:26">
      <c r="A3397" s="100"/>
      <c r="B3397" s="100"/>
      <c r="C3397" s="100"/>
      <c r="D3397" s="100"/>
      <c r="E3397" s="100"/>
      <c r="F3397" s="100"/>
      <c r="G3397" s="100"/>
      <c r="H3397" s="100"/>
      <c r="I3397" s="100"/>
      <c r="J3397" s="100"/>
      <c r="K3397" s="100"/>
      <c r="L3397" s="100"/>
      <c r="M3397" s="100"/>
      <c r="N3397" s="100"/>
      <c r="O3397" s="100"/>
      <c r="P3397" s="100"/>
      <c r="Q3397" s="100"/>
      <c r="R3397" s="100"/>
      <c r="S3397" s="100"/>
      <c r="T3397" s="100"/>
      <c r="U3397" s="100"/>
      <c r="V3397" s="100"/>
      <c r="W3397" s="100"/>
      <c r="X3397" s="100"/>
      <c r="Y3397" s="100"/>
      <c r="Z3397" s="100"/>
    </row>
    <row r="3398" spans="1:26">
      <c r="A3398" s="100"/>
      <c r="B3398" s="100"/>
      <c r="C3398" s="100"/>
      <c r="D3398" s="100"/>
      <c r="E3398" s="100"/>
      <c r="F3398" s="100"/>
      <c r="G3398" s="100"/>
      <c r="H3398" s="100"/>
      <c r="I3398" s="100"/>
      <c r="J3398" s="100"/>
      <c r="K3398" s="100"/>
      <c r="L3398" s="100"/>
      <c r="M3398" s="100"/>
      <c r="N3398" s="100"/>
      <c r="O3398" s="100"/>
      <c r="P3398" s="100"/>
      <c r="Q3398" s="100"/>
      <c r="R3398" s="100"/>
      <c r="S3398" s="100"/>
      <c r="T3398" s="100"/>
      <c r="U3398" s="100"/>
      <c r="V3398" s="100"/>
      <c r="W3398" s="100"/>
      <c r="X3398" s="100"/>
      <c r="Y3398" s="100"/>
      <c r="Z3398" s="100"/>
    </row>
    <row r="3399" spans="1:26">
      <c r="A3399" s="100"/>
      <c r="B3399" s="100"/>
      <c r="C3399" s="100"/>
      <c r="D3399" s="100"/>
      <c r="E3399" s="100"/>
      <c r="F3399" s="100"/>
      <c r="G3399" s="100"/>
      <c r="H3399" s="100"/>
      <c r="I3399" s="100"/>
      <c r="J3399" s="100"/>
      <c r="K3399" s="100"/>
      <c r="L3399" s="100"/>
      <c r="M3399" s="100"/>
      <c r="N3399" s="100"/>
      <c r="O3399" s="100"/>
      <c r="P3399" s="100"/>
      <c r="Q3399" s="100"/>
      <c r="R3399" s="100"/>
      <c r="S3399" s="100"/>
      <c r="T3399" s="100"/>
      <c r="U3399" s="100"/>
      <c r="V3399" s="100"/>
      <c r="W3399" s="100"/>
      <c r="X3399" s="100"/>
      <c r="Y3399" s="100"/>
      <c r="Z3399" s="100"/>
    </row>
    <row r="3400" spans="1:26">
      <c r="A3400" s="100"/>
      <c r="B3400" s="100"/>
      <c r="C3400" s="100"/>
      <c r="D3400" s="100"/>
      <c r="E3400" s="100"/>
      <c r="F3400" s="100"/>
      <c r="G3400" s="100"/>
      <c r="H3400" s="100"/>
      <c r="I3400" s="100"/>
      <c r="J3400" s="100"/>
      <c r="K3400" s="100"/>
      <c r="L3400" s="100"/>
      <c r="M3400" s="100"/>
      <c r="N3400" s="100"/>
      <c r="O3400" s="100"/>
      <c r="P3400" s="100"/>
      <c r="Q3400" s="100"/>
      <c r="R3400" s="100"/>
      <c r="S3400" s="100"/>
      <c r="T3400" s="100"/>
      <c r="U3400" s="100"/>
      <c r="V3400" s="100"/>
      <c r="W3400" s="100"/>
      <c r="X3400" s="100"/>
      <c r="Y3400" s="100"/>
      <c r="Z3400" s="100"/>
    </row>
    <row r="3401" spans="1:26">
      <c r="A3401" s="100"/>
      <c r="B3401" s="100"/>
      <c r="C3401" s="100"/>
      <c r="D3401" s="100"/>
      <c r="E3401" s="100"/>
      <c r="F3401" s="100"/>
      <c r="G3401" s="100"/>
      <c r="H3401" s="100"/>
      <c r="I3401" s="100"/>
      <c r="J3401" s="100"/>
      <c r="K3401" s="100"/>
      <c r="L3401" s="100"/>
      <c r="M3401" s="100"/>
      <c r="N3401" s="100"/>
      <c r="O3401" s="100"/>
      <c r="P3401" s="100"/>
      <c r="Q3401" s="100"/>
      <c r="R3401" s="100"/>
      <c r="S3401" s="100"/>
      <c r="T3401" s="100"/>
      <c r="U3401" s="100"/>
      <c r="V3401" s="100"/>
      <c r="W3401" s="100"/>
      <c r="X3401" s="100"/>
      <c r="Y3401" s="100"/>
      <c r="Z3401" s="100"/>
    </row>
    <row r="3402" spans="1:26">
      <c r="A3402" s="100"/>
      <c r="B3402" s="100"/>
      <c r="C3402" s="100"/>
      <c r="D3402" s="100"/>
      <c r="E3402" s="100"/>
      <c r="F3402" s="100"/>
      <c r="G3402" s="100"/>
      <c r="H3402" s="100"/>
      <c r="I3402" s="100"/>
      <c r="J3402" s="100"/>
      <c r="K3402" s="100"/>
      <c r="L3402" s="100"/>
      <c r="M3402" s="100"/>
      <c r="N3402" s="100"/>
      <c r="O3402" s="100"/>
      <c r="P3402" s="100"/>
      <c r="Q3402" s="100"/>
      <c r="R3402" s="100"/>
      <c r="S3402" s="100"/>
      <c r="T3402" s="100"/>
      <c r="U3402" s="100"/>
      <c r="V3402" s="100"/>
      <c r="W3402" s="100"/>
      <c r="X3402" s="100"/>
      <c r="Y3402" s="100"/>
      <c r="Z3402" s="100"/>
    </row>
    <row r="3403" spans="1:26">
      <c r="A3403" s="100"/>
      <c r="B3403" s="100"/>
      <c r="C3403" s="100"/>
      <c r="D3403" s="100"/>
      <c r="E3403" s="100"/>
      <c r="F3403" s="100"/>
      <c r="G3403" s="100"/>
      <c r="H3403" s="100"/>
      <c r="I3403" s="100"/>
      <c r="J3403" s="100"/>
      <c r="K3403" s="100"/>
      <c r="L3403" s="100"/>
      <c r="M3403" s="100"/>
      <c r="N3403" s="100"/>
      <c r="O3403" s="100"/>
      <c r="P3403" s="100"/>
      <c r="Q3403" s="100"/>
      <c r="R3403" s="100"/>
      <c r="S3403" s="100"/>
      <c r="T3403" s="100"/>
      <c r="U3403" s="100"/>
      <c r="V3403" s="100"/>
      <c r="W3403" s="100"/>
      <c r="X3403" s="100"/>
      <c r="Y3403" s="100"/>
      <c r="Z3403" s="100"/>
    </row>
    <row r="3404" spans="1:26">
      <c r="A3404" s="100"/>
      <c r="B3404" s="100"/>
      <c r="C3404" s="100"/>
      <c r="D3404" s="100"/>
      <c r="E3404" s="100"/>
      <c r="F3404" s="100"/>
      <c r="G3404" s="100"/>
      <c r="H3404" s="100"/>
      <c r="I3404" s="100"/>
      <c r="J3404" s="100"/>
      <c r="K3404" s="100"/>
      <c r="L3404" s="100"/>
      <c r="M3404" s="100"/>
      <c r="N3404" s="100"/>
      <c r="O3404" s="100"/>
      <c r="P3404" s="100"/>
      <c r="Q3404" s="100"/>
      <c r="R3404" s="100"/>
      <c r="S3404" s="100"/>
      <c r="T3404" s="100"/>
      <c r="U3404" s="100"/>
      <c r="V3404" s="100"/>
      <c r="W3404" s="100"/>
      <c r="X3404" s="100"/>
      <c r="Y3404" s="100"/>
      <c r="Z3404" s="100"/>
    </row>
    <row r="3405" spans="1:26">
      <c r="A3405" s="100"/>
      <c r="B3405" s="100"/>
      <c r="C3405" s="100"/>
      <c r="D3405" s="100"/>
      <c r="E3405" s="100"/>
      <c r="F3405" s="100"/>
      <c r="G3405" s="100"/>
      <c r="H3405" s="100"/>
      <c r="I3405" s="100"/>
      <c r="J3405" s="100"/>
      <c r="K3405" s="100"/>
      <c r="L3405" s="100"/>
      <c r="M3405" s="100"/>
      <c r="N3405" s="100"/>
      <c r="O3405" s="100"/>
      <c r="P3405" s="100"/>
      <c r="Q3405" s="100"/>
      <c r="R3405" s="100"/>
      <c r="S3405" s="100"/>
      <c r="T3405" s="100"/>
      <c r="U3405" s="100"/>
      <c r="V3405" s="100"/>
      <c r="W3405" s="100"/>
      <c r="X3405" s="100"/>
      <c r="Y3405" s="100"/>
      <c r="Z3405" s="100"/>
    </row>
    <row r="3406" spans="1:26">
      <c r="A3406" s="100"/>
      <c r="B3406" s="100"/>
      <c r="C3406" s="100"/>
      <c r="D3406" s="100"/>
      <c r="E3406" s="100"/>
      <c r="F3406" s="100"/>
      <c r="G3406" s="100"/>
      <c r="H3406" s="100"/>
      <c r="I3406" s="100"/>
      <c r="J3406" s="100"/>
      <c r="K3406" s="100"/>
      <c r="L3406" s="100"/>
      <c r="M3406" s="100"/>
      <c r="N3406" s="100"/>
      <c r="O3406" s="100"/>
      <c r="P3406" s="100"/>
      <c r="Q3406" s="100"/>
      <c r="R3406" s="100"/>
      <c r="S3406" s="100"/>
      <c r="T3406" s="100"/>
      <c r="U3406" s="100"/>
      <c r="V3406" s="100"/>
      <c r="W3406" s="100"/>
      <c r="X3406" s="100"/>
      <c r="Y3406" s="100"/>
      <c r="Z3406" s="100"/>
    </row>
    <row r="3407" spans="1:26">
      <c r="A3407" s="100"/>
      <c r="B3407" s="100"/>
      <c r="C3407" s="100"/>
      <c r="D3407" s="100"/>
      <c r="E3407" s="100"/>
      <c r="F3407" s="100"/>
      <c r="G3407" s="100"/>
      <c r="H3407" s="100"/>
      <c r="I3407" s="100"/>
      <c r="J3407" s="100"/>
      <c r="K3407" s="100"/>
      <c r="L3407" s="100"/>
      <c r="M3407" s="100"/>
      <c r="N3407" s="100"/>
      <c r="O3407" s="100"/>
      <c r="P3407" s="100"/>
      <c r="Q3407" s="100"/>
      <c r="R3407" s="100"/>
      <c r="S3407" s="100"/>
      <c r="T3407" s="100"/>
      <c r="U3407" s="100"/>
      <c r="V3407" s="100"/>
      <c r="W3407" s="100"/>
      <c r="X3407" s="100"/>
      <c r="Y3407" s="100"/>
      <c r="Z3407" s="100"/>
    </row>
    <row r="3408" spans="1:26">
      <c r="A3408" s="100"/>
      <c r="B3408" s="100"/>
      <c r="C3408" s="100"/>
      <c r="D3408" s="100"/>
      <c r="E3408" s="100"/>
      <c r="F3408" s="100"/>
      <c r="G3408" s="100"/>
      <c r="H3408" s="100"/>
      <c r="I3408" s="100"/>
      <c r="J3408" s="100"/>
      <c r="K3408" s="100"/>
      <c r="L3408" s="100"/>
      <c r="M3408" s="100"/>
      <c r="N3408" s="100"/>
      <c r="O3408" s="100"/>
      <c r="P3408" s="100"/>
      <c r="Q3408" s="100"/>
      <c r="R3408" s="100"/>
      <c r="S3408" s="100"/>
      <c r="T3408" s="100"/>
      <c r="U3408" s="100"/>
      <c r="V3408" s="100"/>
      <c r="W3408" s="100"/>
      <c r="X3408" s="100"/>
      <c r="Y3408" s="100"/>
      <c r="Z3408" s="100"/>
    </row>
    <row r="3409" spans="1:26">
      <c r="A3409" s="100"/>
      <c r="B3409" s="100"/>
      <c r="C3409" s="100"/>
      <c r="D3409" s="100"/>
      <c r="E3409" s="100"/>
      <c r="F3409" s="100"/>
      <c r="G3409" s="100"/>
      <c r="H3409" s="100"/>
      <c r="I3409" s="100"/>
      <c r="J3409" s="100"/>
      <c r="K3409" s="100"/>
      <c r="L3409" s="100"/>
      <c r="M3409" s="100"/>
      <c r="N3409" s="100"/>
      <c r="O3409" s="100"/>
      <c r="P3409" s="100"/>
      <c r="Q3409" s="100"/>
      <c r="R3409" s="100"/>
      <c r="S3409" s="100"/>
      <c r="T3409" s="100"/>
      <c r="U3409" s="100"/>
      <c r="V3409" s="100"/>
      <c r="W3409" s="100"/>
      <c r="X3409" s="100"/>
      <c r="Y3409" s="100"/>
      <c r="Z3409" s="100"/>
    </row>
    <row r="3410" spans="1:26">
      <c r="A3410" s="100"/>
      <c r="B3410" s="100"/>
      <c r="C3410" s="100"/>
      <c r="D3410" s="100"/>
      <c r="E3410" s="100"/>
      <c r="F3410" s="100"/>
      <c r="G3410" s="100"/>
      <c r="H3410" s="100"/>
      <c r="I3410" s="100"/>
      <c r="J3410" s="100"/>
      <c r="K3410" s="100"/>
      <c r="L3410" s="100"/>
      <c r="M3410" s="100"/>
      <c r="N3410" s="100"/>
      <c r="O3410" s="100"/>
      <c r="P3410" s="100"/>
      <c r="Q3410" s="100"/>
      <c r="R3410" s="100"/>
      <c r="S3410" s="100"/>
      <c r="T3410" s="100"/>
      <c r="U3410" s="100"/>
      <c r="V3410" s="100"/>
      <c r="W3410" s="100"/>
      <c r="X3410" s="100"/>
      <c r="Y3410" s="100"/>
      <c r="Z3410" s="100"/>
    </row>
    <row r="3411" spans="1:26">
      <c r="A3411" s="100"/>
      <c r="B3411" s="100"/>
      <c r="C3411" s="100"/>
      <c r="D3411" s="100"/>
      <c r="E3411" s="100"/>
      <c r="F3411" s="100"/>
      <c r="G3411" s="100"/>
      <c r="H3411" s="100"/>
      <c r="I3411" s="100"/>
      <c r="J3411" s="100"/>
      <c r="K3411" s="100"/>
      <c r="L3411" s="100"/>
      <c r="M3411" s="100"/>
      <c r="N3411" s="100"/>
      <c r="O3411" s="100"/>
      <c r="P3411" s="100"/>
      <c r="Q3411" s="100"/>
      <c r="R3411" s="100"/>
      <c r="S3411" s="100"/>
      <c r="T3411" s="100"/>
      <c r="U3411" s="100"/>
      <c r="V3411" s="100"/>
      <c r="W3411" s="100"/>
      <c r="X3411" s="100"/>
      <c r="Y3411" s="100"/>
      <c r="Z3411" s="100"/>
    </row>
    <row r="3412" spans="1:26">
      <c r="A3412" s="100"/>
      <c r="B3412" s="100"/>
      <c r="C3412" s="100"/>
      <c r="D3412" s="100"/>
      <c r="E3412" s="100"/>
      <c r="F3412" s="100"/>
      <c r="G3412" s="100"/>
      <c r="H3412" s="100"/>
      <c r="I3412" s="100"/>
      <c r="J3412" s="100"/>
      <c r="K3412" s="100"/>
      <c r="L3412" s="100"/>
      <c r="M3412" s="100"/>
      <c r="N3412" s="100"/>
      <c r="O3412" s="100"/>
      <c r="P3412" s="100"/>
      <c r="Q3412" s="100"/>
      <c r="R3412" s="100"/>
      <c r="S3412" s="100"/>
      <c r="T3412" s="100"/>
      <c r="U3412" s="100"/>
      <c r="V3412" s="100"/>
      <c r="W3412" s="100"/>
      <c r="X3412" s="100"/>
      <c r="Y3412" s="100"/>
      <c r="Z3412" s="100"/>
    </row>
    <row r="3413" spans="1:26">
      <c r="A3413" s="100"/>
      <c r="B3413" s="100"/>
      <c r="C3413" s="100"/>
      <c r="D3413" s="100"/>
      <c r="E3413" s="100"/>
      <c r="F3413" s="100"/>
      <c r="G3413" s="100"/>
      <c r="H3413" s="100"/>
      <c r="I3413" s="100"/>
      <c r="J3413" s="100"/>
      <c r="K3413" s="100"/>
      <c r="L3413" s="100"/>
      <c r="M3413" s="100"/>
      <c r="N3413" s="100"/>
      <c r="O3413" s="100"/>
      <c r="P3413" s="100"/>
      <c r="Q3413" s="100"/>
      <c r="R3413" s="100"/>
      <c r="S3413" s="100"/>
      <c r="T3413" s="100"/>
      <c r="U3413" s="100"/>
      <c r="V3413" s="100"/>
      <c r="W3413" s="100"/>
      <c r="X3413" s="100"/>
      <c r="Y3413" s="100"/>
      <c r="Z3413" s="100"/>
    </row>
    <row r="3414" spans="1:26">
      <c r="A3414" s="100"/>
      <c r="B3414" s="100"/>
      <c r="C3414" s="100"/>
      <c r="D3414" s="100"/>
      <c r="E3414" s="100"/>
      <c r="F3414" s="100"/>
      <c r="G3414" s="100"/>
      <c r="H3414" s="100"/>
      <c r="I3414" s="100"/>
      <c r="J3414" s="100"/>
      <c r="K3414" s="100"/>
      <c r="L3414" s="100"/>
      <c r="M3414" s="100"/>
      <c r="N3414" s="100"/>
      <c r="O3414" s="100"/>
      <c r="P3414" s="100"/>
      <c r="Q3414" s="100"/>
      <c r="R3414" s="100"/>
      <c r="S3414" s="100"/>
      <c r="T3414" s="100"/>
      <c r="U3414" s="100"/>
      <c r="V3414" s="100"/>
      <c r="W3414" s="100"/>
      <c r="X3414" s="100"/>
      <c r="Y3414" s="100"/>
      <c r="Z3414" s="100"/>
    </row>
    <row r="3415" spans="1:26">
      <c r="A3415" s="100"/>
      <c r="B3415" s="100"/>
      <c r="C3415" s="100"/>
      <c r="D3415" s="100"/>
      <c r="E3415" s="100"/>
      <c r="F3415" s="100"/>
      <c r="G3415" s="100"/>
      <c r="H3415" s="100"/>
      <c r="I3415" s="100"/>
      <c r="J3415" s="100"/>
      <c r="K3415" s="100"/>
      <c r="L3415" s="100"/>
      <c r="M3415" s="100"/>
      <c r="N3415" s="100"/>
      <c r="O3415" s="100"/>
      <c r="P3415" s="100"/>
      <c r="Q3415" s="100"/>
      <c r="R3415" s="100"/>
      <c r="S3415" s="100"/>
      <c r="T3415" s="100"/>
      <c r="U3415" s="100"/>
      <c r="V3415" s="100"/>
      <c r="W3415" s="100"/>
      <c r="X3415" s="100"/>
      <c r="Y3415" s="100"/>
      <c r="Z3415" s="100"/>
    </row>
    <row r="3416" spans="1:26">
      <c r="A3416" s="100"/>
      <c r="B3416" s="100"/>
      <c r="C3416" s="100"/>
      <c r="D3416" s="100"/>
      <c r="E3416" s="100"/>
      <c r="F3416" s="100"/>
      <c r="G3416" s="100"/>
      <c r="H3416" s="100"/>
      <c r="I3416" s="100"/>
      <c r="J3416" s="100"/>
      <c r="K3416" s="100"/>
      <c r="L3416" s="100"/>
      <c r="M3416" s="100"/>
      <c r="N3416" s="100"/>
      <c r="O3416" s="100"/>
      <c r="P3416" s="100"/>
      <c r="Q3416" s="100"/>
      <c r="R3416" s="100"/>
      <c r="S3416" s="100"/>
      <c r="T3416" s="100"/>
      <c r="U3416" s="100"/>
      <c r="V3416" s="100"/>
      <c r="W3416" s="100"/>
      <c r="X3416" s="100"/>
      <c r="Y3416" s="100"/>
      <c r="Z3416" s="100"/>
    </row>
    <row r="3417" spans="1:26">
      <c r="A3417" s="100"/>
      <c r="B3417" s="100"/>
      <c r="C3417" s="100"/>
      <c r="D3417" s="100"/>
      <c r="E3417" s="100"/>
      <c r="F3417" s="100"/>
      <c r="G3417" s="100"/>
      <c r="H3417" s="100"/>
      <c r="I3417" s="100"/>
      <c r="J3417" s="100"/>
      <c r="K3417" s="100"/>
      <c r="L3417" s="100"/>
      <c r="M3417" s="100"/>
      <c r="N3417" s="100"/>
      <c r="O3417" s="100"/>
      <c r="P3417" s="100"/>
      <c r="Q3417" s="100"/>
      <c r="R3417" s="100"/>
      <c r="S3417" s="100"/>
      <c r="T3417" s="100"/>
      <c r="U3417" s="100"/>
      <c r="V3417" s="100"/>
      <c r="W3417" s="100"/>
      <c r="X3417" s="100"/>
      <c r="Y3417" s="100"/>
      <c r="Z3417" s="100"/>
    </row>
    <row r="3418" spans="1:26">
      <c r="A3418" s="100"/>
      <c r="B3418" s="100"/>
      <c r="C3418" s="100"/>
      <c r="D3418" s="100"/>
      <c r="E3418" s="100"/>
      <c r="F3418" s="100"/>
      <c r="G3418" s="100"/>
      <c r="H3418" s="100"/>
      <c r="I3418" s="100"/>
      <c r="J3418" s="100"/>
      <c r="K3418" s="100"/>
      <c r="L3418" s="100"/>
      <c r="M3418" s="100"/>
      <c r="N3418" s="100"/>
      <c r="O3418" s="100"/>
      <c r="P3418" s="100"/>
      <c r="Q3418" s="100"/>
      <c r="R3418" s="100"/>
      <c r="S3418" s="100"/>
      <c r="T3418" s="100"/>
      <c r="U3418" s="100"/>
      <c r="V3418" s="100"/>
      <c r="W3418" s="100"/>
      <c r="X3418" s="100"/>
      <c r="Y3418" s="100"/>
      <c r="Z3418" s="100"/>
    </row>
    <row r="3419" spans="1:26">
      <c r="A3419" s="100"/>
      <c r="B3419" s="100"/>
      <c r="C3419" s="100"/>
      <c r="D3419" s="100"/>
      <c r="E3419" s="100"/>
      <c r="F3419" s="100"/>
      <c r="G3419" s="100"/>
      <c r="H3419" s="100"/>
      <c r="I3419" s="100"/>
      <c r="J3419" s="100"/>
      <c r="K3419" s="100"/>
      <c r="L3419" s="100"/>
      <c r="M3419" s="100"/>
      <c r="N3419" s="100"/>
      <c r="O3419" s="100"/>
      <c r="P3419" s="100"/>
      <c r="Q3419" s="100"/>
      <c r="R3419" s="100"/>
      <c r="S3419" s="100"/>
      <c r="T3419" s="100"/>
      <c r="U3419" s="100"/>
      <c r="V3419" s="100"/>
      <c r="W3419" s="100"/>
      <c r="X3419" s="100"/>
      <c r="Y3419" s="100"/>
      <c r="Z3419" s="100"/>
    </row>
    <row r="3420" spans="1:26">
      <c r="A3420" s="100"/>
      <c r="B3420" s="100"/>
      <c r="C3420" s="100"/>
      <c r="D3420" s="100"/>
      <c r="E3420" s="100"/>
      <c r="F3420" s="100"/>
      <c r="G3420" s="100"/>
      <c r="H3420" s="100"/>
      <c r="I3420" s="100"/>
      <c r="J3420" s="100"/>
      <c r="K3420" s="100"/>
      <c r="L3420" s="100"/>
      <c r="M3420" s="100"/>
      <c r="N3420" s="100"/>
      <c r="O3420" s="100"/>
      <c r="P3420" s="100"/>
      <c r="Q3420" s="100"/>
      <c r="R3420" s="100"/>
      <c r="S3420" s="100"/>
      <c r="T3420" s="100"/>
      <c r="U3420" s="100"/>
      <c r="V3420" s="100"/>
      <c r="W3420" s="100"/>
      <c r="X3420" s="100"/>
      <c r="Y3420" s="100"/>
      <c r="Z3420" s="100"/>
    </row>
    <row r="3421" spans="1:26">
      <c r="A3421" s="100"/>
      <c r="B3421" s="100"/>
      <c r="C3421" s="100"/>
      <c r="D3421" s="100"/>
      <c r="E3421" s="100"/>
      <c r="F3421" s="100"/>
      <c r="G3421" s="100"/>
      <c r="H3421" s="100"/>
      <c r="I3421" s="100"/>
      <c r="J3421" s="100"/>
      <c r="K3421" s="100"/>
      <c r="L3421" s="100"/>
      <c r="M3421" s="100"/>
      <c r="N3421" s="100"/>
      <c r="O3421" s="100"/>
      <c r="P3421" s="100"/>
      <c r="Q3421" s="100"/>
      <c r="R3421" s="100"/>
      <c r="S3421" s="100"/>
      <c r="T3421" s="100"/>
      <c r="U3421" s="100"/>
      <c r="V3421" s="100"/>
      <c r="W3421" s="100"/>
      <c r="X3421" s="100"/>
      <c r="Y3421" s="100"/>
      <c r="Z3421" s="100"/>
    </row>
    <row r="3422" spans="1:26">
      <c r="A3422" s="100"/>
      <c r="B3422" s="100"/>
      <c r="C3422" s="100"/>
      <c r="D3422" s="100"/>
      <c r="E3422" s="100"/>
      <c r="F3422" s="100"/>
      <c r="G3422" s="100"/>
      <c r="H3422" s="100"/>
      <c r="I3422" s="100"/>
      <c r="J3422" s="100"/>
      <c r="K3422" s="100"/>
      <c r="L3422" s="100"/>
      <c r="M3422" s="100"/>
      <c r="N3422" s="100"/>
      <c r="O3422" s="100"/>
      <c r="P3422" s="100"/>
      <c r="Q3422" s="100"/>
      <c r="R3422" s="100"/>
      <c r="S3422" s="100"/>
      <c r="T3422" s="100"/>
      <c r="U3422" s="100"/>
      <c r="V3422" s="100"/>
      <c r="W3422" s="100"/>
      <c r="X3422" s="100"/>
      <c r="Y3422" s="100"/>
      <c r="Z3422" s="100"/>
    </row>
    <row r="3423" spans="1:26">
      <c r="A3423" s="100"/>
      <c r="B3423" s="100"/>
      <c r="C3423" s="100"/>
      <c r="D3423" s="100"/>
      <c r="E3423" s="100"/>
      <c r="F3423" s="100"/>
      <c r="G3423" s="100"/>
      <c r="H3423" s="100"/>
      <c r="I3423" s="100"/>
      <c r="J3423" s="100"/>
      <c r="K3423" s="100"/>
      <c r="L3423" s="100"/>
      <c r="M3423" s="100"/>
      <c r="N3423" s="100"/>
      <c r="O3423" s="100"/>
      <c r="P3423" s="100"/>
      <c r="Q3423" s="100"/>
      <c r="R3423" s="100"/>
      <c r="S3423" s="100"/>
      <c r="T3423" s="100"/>
      <c r="U3423" s="100"/>
      <c r="V3423" s="100"/>
      <c r="W3423" s="100"/>
      <c r="X3423" s="100"/>
      <c r="Y3423" s="100"/>
      <c r="Z3423" s="100"/>
    </row>
    <row r="3424" spans="1:26">
      <c r="A3424" s="100"/>
      <c r="B3424" s="100"/>
      <c r="C3424" s="100"/>
      <c r="D3424" s="100"/>
      <c r="E3424" s="100"/>
      <c r="F3424" s="100"/>
      <c r="G3424" s="100"/>
      <c r="H3424" s="100"/>
      <c r="I3424" s="100"/>
      <c r="J3424" s="100"/>
      <c r="K3424" s="100"/>
      <c r="L3424" s="100"/>
      <c r="M3424" s="100"/>
      <c r="N3424" s="100"/>
      <c r="O3424" s="100"/>
      <c r="P3424" s="100"/>
      <c r="Q3424" s="100"/>
      <c r="R3424" s="100"/>
      <c r="S3424" s="100"/>
      <c r="T3424" s="100"/>
      <c r="U3424" s="100"/>
      <c r="V3424" s="100"/>
      <c r="W3424" s="100"/>
      <c r="X3424" s="100"/>
      <c r="Y3424" s="100"/>
      <c r="Z3424" s="100"/>
    </row>
    <row r="3425" spans="1:26">
      <c r="A3425" s="100"/>
      <c r="B3425" s="100"/>
      <c r="C3425" s="100"/>
      <c r="D3425" s="100"/>
      <c r="E3425" s="100"/>
      <c r="F3425" s="100"/>
      <c r="G3425" s="100"/>
      <c r="H3425" s="100"/>
      <c r="I3425" s="100"/>
      <c r="J3425" s="100"/>
      <c r="K3425" s="100"/>
      <c r="L3425" s="100"/>
      <c r="M3425" s="100"/>
      <c r="N3425" s="100"/>
      <c r="O3425" s="100"/>
      <c r="P3425" s="100"/>
      <c r="Q3425" s="100"/>
      <c r="R3425" s="100"/>
      <c r="S3425" s="100"/>
      <c r="T3425" s="100"/>
      <c r="U3425" s="100"/>
      <c r="V3425" s="100"/>
      <c r="W3425" s="100"/>
      <c r="X3425" s="100"/>
      <c r="Y3425" s="100"/>
      <c r="Z3425" s="100"/>
    </row>
    <row r="3426" spans="1:26">
      <c r="A3426" s="100"/>
      <c r="B3426" s="100"/>
      <c r="C3426" s="100"/>
      <c r="D3426" s="100"/>
      <c r="E3426" s="100"/>
      <c r="F3426" s="100"/>
      <c r="G3426" s="100"/>
      <c r="H3426" s="100"/>
      <c r="I3426" s="100"/>
      <c r="J3426" s="100"/>
      <c r="K3426" s="100"/>
      <c r="L3426" s="100"/>
      <c r="M3426" s="100"/>
      <c r="N3426" s="100"/>
      <c r="O3426" s="100"/>
      <c r="P3426" s="100"/>
      <c r="Q3426" s="100"/>
      <c r="R3426" s="100"/>
      <c r="S3426" s="100"/>
      <c r="T3426" s="100"/>
      <c r="U3426" s="100"/>
      <c r="V3426" s="100"/>
      <c r="W3426" s="100"/>
      <c r="X3426" s="100"/>
      <c r="Y3426" s="100"/>
      <c r="Z3426" s="100"/>
    </row>
    <row r="3427" spans="1:26">
      <c r="A3427" s="100"/>
      <c r="B3427" s="100"/>
      <c r="C3427" s="100"/>
      <c r="D3427" s="100"/>
      <c r="E3427" s="100"/>
      <c r="F3427" s="100"/>
      <c r="G3427" s="100"/>
      <c r="H3427" s="100"/>
      <c r="I3427" s="100"/>
      <c r="J3427" s="100"/>
      <c r="K3427" s="100"/>
      <c r="L3427" s="100"/>
      <c r="M3427" s="100"/>
      <c r="N3427" s="100"/>
      <c r="O3427" s="100"/>
      <c r="P3427" s="100"/>
      <c r="Q3427" s="100"/>
      <c r="R3427" s="100"/>
      <c r="S3427" s="100"/>
      <c r="T3427" s="100"/>
      <c r="U3427" s="100"/>
      <c r="V3427" s="100"/>
      <c r="W3427" s="100"/>
      <c r="X3427" s="100"/>
      <c r="Y3427" s="100"/>
      <c r="Z3427" s="100"/>
    </row>
    <row r="3428" spans="1:26">
      <c r="A3428" s="100"/>
      <c r="B3428" s="100"/>
      <c r="C3428" s="100"/>
      <c r="D3428" s="100"/>
      <c r="E3428" s="100"/>
      <c r="F3428" s="100"/>
      <c r="G3428" s="100"/>
      <c r="H3428" s="100"/>
      <c r="I3428" s="100"/>
      <c r="J3428" s="100"/>
      <c r="K3428" s="100"/>
      <c r="L3428" s="100"/>
      <c r="M3428" s="100"/>
      <c r="N3428" s="100"/>
      <c r="O3428" s="100"/>
      <c r="P3428" s="100"/>
      <c r="Q3428" s="100"/>
      <c r="R3428" s="100"/>
      <c r="S3428" s="100"/>
      <c r="T3428" s="100"/>
      <c r="U3428" s="100"/>
      <c r="V3428" s="100"/>
      <c r="W3428" s="100"/>
      <c r="X3428" s="100"/>
      <c r="Y3428" s="100"/>
      <c r="Z3428" s="100"/>
    </row>
    <row r="3429" spans="1:26">
      <c r="A3429" s="100"/>
      <c r="B3429" s="100"/>
      <c r="C3429" s="100"/>
      <c r="D3429" s="100"/>
      <c r="E3429" s="100"/>
      <c r="F3429" s="100"/>
      <c r="G3429" s="100"/>
      <c r="H3429" s="100"/>
      <c r="I3429" s="100"/>
      <c r="J3429" s="100"/>
      <c r="K3429" s="100"/>
      <c r="L3429" s="100"/>
      <c r="M3429" s="100"/>
      <c r="N3429" s="100"/>
      <c r="O3429" s="100"/>
      <c r="P3429" s="100"/>
      <c r="Q3429" s="100"/>
      <c r="R3429" s="100"/>
      <c r="S3429" s="100"/>
      <c r="T3429" s="100"/>
      <c r="U3429" s="100"/>
      <c r="V3429" s="100"/>
      <c r="W3429" s="100"/>
      <c r="X3429" s="100"/>
      <c r="Y3429" s="100"/>
      <c r="Z3429" s="100"/>
    </row>
    <row r="3430" spans="1:26">
      <c r="A3430" s="100"/>
      <c r="B3430" s="100"/>
      <c r="C3430" s="100"/>
      <c r="D3430" s="100"/>
      <c r="E3430" s="100"/>
      <c r="F3430" s="100"/>
      <c r="G3430" s="100"/>
      <c r="H3430" s="100"/>
      <c r="I3430" s="100"/>
      <c r="J3430" s="100"/>
      <c r="K3430" s="100"/>
      <c r="L3430" s="100"/>
      <c r="M3430" s="100"/>
      <c r="N3430" s="100"/>
      <c r="O3430" s="100"/>
      <c r="P3430" s="100"/>
      <c r="Q3430" s="100"/>
      <c r="R3430" s="100"/>
      <c r="S3430" s="100"/>
      <c r="T3430" s="100"/>
      <c r="U3430" s="100"/>
      <c r="V3430" s="100"/>
      <c r="W3430" s="100"/>
      <c r="X3430" s="100"/>
      <c r="Y3430" s="100"/>
      <c r="Z3430" s="100"/>
    </row>
    <row r="3431" spans="1:26">
      <c r="A3431" s="100"/>
      <c r="B3431" s="100"/>
      <c r="C3431" s="100"/>
      <c r="D3431" s="100"/>
      <c r="E3431" s="100"/>
      <c r="F3431" s="100"/>
      <c r="G3431" s="100"/>
      <c r="H3431" s="100"/>
      <c r="I3431" s="100"/>
      <c r="J3431" s="100"/>
      <c r="K3431" s="100"/>
      <c r="L3431" s="100"/>
      <c r="M3431" s="100"/>
      <c r="N3431" s="100"/>
      <c r="O3431" s="100"/>
      <c r="P3431" s="100"/>
      <c r="Q3431" s="100"/>
      <c r="R3431" s="100"/>
      <c r="S3431" s="100"/>
      <c r="T3431" s="100"/>
      <c r="U3431" s="100"/>
      <c r="V3431" s="100"/>
      <c r="W3431" s="100"/>
      <c r="X3431" s="100"/>
      <c r="Y3431" s="100"/>
      <c r="Z3431" s="100"/>
    </row>
    <row r="3432" spans="1:26">
      <c r="A3432" s="100"/>
      <c r="B3432" s="100"/>
      <c r="C3432" s="100"/>
      <c r="D3432" s="100"/>
      <c r="E3432" s="100"/>
      <c r="F3432" s="100"/>
      <c r="G3432" s="100"/>
      <c r="H3432" s="100"/>
      <c r="I3432" s="100"/>
      <c r="J3432" s="100"/>
      <c r="K3432" s="100"/>
      <c r="L3432" s="100"/>
      <c r="M3432" s="100"/>
      <c r="N3432" s="100"/>
      <c r="O3432" s="100"/>
      <c r="P3432" s="100"/>
      <c r="Q3432" s="100"/>
      <c r="R3432" s="100"/>
      <c r="S3432" s="100"/>
      <c r="T3432" s="100"/>
      <c r="U3432" s="100"/>
      <c r="V3432" s="100"/>
      <c r="W3432" s="100"/>
      <c r="X3432" s="100"/>
      <c r="Y3432" s="100"/>
      <c r="Z3432" s="100"/>
    </row>
    <row r="3433" spans="1:26">
      <c r="A3433" s="100"/>
      <c r="B3433" s="100"/>
      <c r="C3433" s="100"/>
      <c r="D3433" s="100"/>
      <c r="E3433" s="100"/>
      <c r="F3433" s="100"/>
      <c r="G3433" s="100"/>
      <c r="H3433" s="100"/>
      <c r="I3433" s="100"/>
      <c r="J3433" s="100"/>
      <c r="K3433" s="100"/>
      <c r="L3433" s="100"/>
      <c r="M3433" s="100"/>
      <c r="N3433" s="100"/>
      <c r="O3433" s="100"/>
      <c r="P3433" s="100"/>
      <c r="Q3433" s="100"/>
      <c r="R3433" s="100"/>
      <c r="S3433" s="100"/>
      <c r="T3433" s="100"/>
      <c r="U3433" s="100"/>
      <c r="V3433" s="100"/>
      <c r="W3433" s="100"/>
      <c r="X3433" s="100"/>
      <c r="Y3433" s="100"/>
      <c r="Z3433" s="100"/>
    </row>
    <row r="3434" spans="1:26">
      <c r="A3434" s="100"/>
      <c r="B3434" s="100"/>
      <c r="C3434" s="100"/>
      <c r="D3434" s="100"/>
      <c r="E3434" s="100"/>
      <c r="F3434" s="100"/>
      <c r="G3434" s="100"/>
      <c r="H3434" s="100"/>
      <c r="I3434" s="100"/>
      <c r="J3434" s="100"/>
      <c r="K3434" s="100"/>
      <c r="L3434" s="100"/>
      <c r="M3434" s="100"/>
      <c r="N3434" s="100"/>
      <c r="O3434" s="100"/>
      <c r="P3434" s="100"/>
      <c r="Q3434" s="100"/>
      <c r="R3434" s="100"/>
      <c r="S3434" s="100"/>
      <c r="T3434" s="100"/>
      <c r="U3434" s="100"/>
      <c r="V3434" s="100"/>
      <c r="W3434" s="100"/>
      <c r="X3434" s="100"/>
      <c r="Y3434" s="100"/>
      <c r="Z3434" s="100"/>
    </row>
    <row r="3435" spans="1:26">
      <c r="A3435" s="100"/>
      <c r="B3435" s="100"/>
      <c r="C3435" s="100"/>
      <c r="D3435" s="100"/>
      <c r="E3435" s="100"/>
      <c r="F3435" s="100"/>
      <c r="G3435" s="100"/>
      <c r="H3435" s="100"/>
      <c r="I3435" s="100"/>
      <c r="J3435" s="100"/>
      <c r="K3435" s="100"/>
      <c r="L3435" s="100"/>
      <c r="M3435" s="100"/>
      <c r="N3435" s="100"/>
      <c r="O3435" s="100"/>
      <c r="P3435" s="100"/>
      <c r="Q3435" s="100"/>
      <c r="R3435" s="100"/>
      <c r="S3435" s="100"/>
      <c r="T3435" s="100"/>
      <c r="U3435" s="100"/>
      <c r="V3435" s="100"/>
      <c r="W3435" s="100"/>
      <c r="X3435" s="100"/>
      <c r="Y3435" s="100"/>
      <c r="Z3435" s="100"/>
    </row>
    <row r="3436" spans="1:26">
      <c r="A3436" s="100"/>
      <c r="B3436" s="100"/>
      <c r="C3436" s="100"/>
      <c r="D3436" s="100"/>
      <c r="E3436" s="100"/>
      <c r="F3436" s="100"/>
      <c r="G3436" s="100"/>
      <c r="H3436" s="100"/>
      <c r="I3436" s="100"/>
      <c r="J3436" s="100"/>
      <c r="K3436" s="100"/>
      <c r="L3436" s="100"/>
      <c r="M3436" s="100"/>
      <c r="N3436" s="100"/>
      <c r="O3436" s="100"/>
      <c r="P3436" s="100"/>
      <c r="Q3436" s="100"/>
      <c r="R3436" s="100"/>
      <c r="S3436" s="100"/>
      <c r="T3436" s="100"/>
      <c r="U3436" s="100"/>
      <c r="V3436" s="100"/>
      <c r="W3436" s="100"/>
      <c r="X3436" s="100"/>
      <c r="Y3436" s="100"/>
      <c r="Z3436" s="100"/>
    </row>
    <row r="3437" spans="1:26">
      <c r="A3437" s="100"/>
      <c r="B3437" s="100"/>
      <c r="C3437" s="100"/>
      <c r="D3437" s="100"/>
      <c r="E3437" s="100"/>
      <c r="F3437" s="100"/>
      <c r="G3437" s="100"/>
      <c r="H3437" s="100"/>
      <c r="I3437" s="100"/>
      <c r="J3437" s="100"/>
      <c r="K3437" s="100"/>
      <c r="L3437" s="100"/>
      <c r="M3437" s="100"/>
      <c r="N3437" s="100"/>
      <c r="O3437" s="100"/>
      <c r="P3437" s="100"/>
      <c r="Q3437" s="100"/>
      <c r="R3437" s="100"/>
      <c r="S3437" s="100"/>
      <c r="T3437" s="100"/>
      <c r="U3437" s="100"/>
      <c r="V3437" s="100"/>
      <c r="W3437" s="100"/>
      <c r="X3437" s="100"/>
      <c r="Y3437" s="100"/>
      <c r="Z3437" s="100"/>
    </row>
    <row r="3438" spans="1:26">
      <c r="A3438" s="100"/>
      <c r="B3438" s="100"/>
      <c r="C3438" s="100"/>
      <c r="D3438" s="100"/>
      <c r="E3438" s="100"/>
      <c r="F3438" s="100"/>
      <c r="G3438" s="100"/>
      <c r="H3438" s="100"/>
      <c r="I3438" s="100"/>
      <c r="J3438" s="100"/>
      <c r="K3438" s="100"/>
      <c r="L3438" s="100"/>
      <c r="M3438" s="100"/>
      <c r="N3438" s="100"/>
      <c r="O3438" s="100"/>
      <c r="P3438" s="100"/>
      <c r="Q3438" s="100"/>
      <c r="R3438" s="100"/>
      <c r="S3438" s="100"/>
      <c r="T3438" s="100"/>
      <c r="U3438" s="100"/>
      <c r="V3438" s="100"/>
      <c r="W3438" s="100"/>
      <c r="X3438" s="100"/>
      <c r="Y3438" s="100"/>
      <c r="Z3438" s="100"/>
    </row>
    <row r="3439" spans="1:26">
      <c r="A3439" s="100"/>
      <c r="B3439" s="100"/>
      <c r="C3439" s="100"/>
      <c r="D3439" s="100"/>
      <c r="E3439" s="100"/>
      <c r="F3439" s="100"/>
      <c r="G3439" s="100"/>
      <c r="H3439" s="100"/>
      <c r="I3439" s="100"/>
      <c r="J3439" s="100"/>
      <c r="K3439" s="100"/>
      <c r="L3439" s="100"/>
      <c r="M3439" s="100"/>
      <c r="N3439" s="100"/>
      <c r="O3439" s="100"/>
      <c r="P3439" s="100"/>
      <c r="Q3439" s="100"/>
      <c r="R3439" s="100"/>
      <c r="S3439" s="100"/>
      <c r="T3439" s="100"/>
      <c r="U3439" s="100"/>
      <c r="V3439" s="100"/>
      <c r="W3439" s="100"/>
      <c r="X3439" s="100"/>
      <c r="Y3439" s="100"/>
      <c r="Z3439" s="100"/>
    </row>
    <row r="3440" spans="1:26">
      <c r="A3440" s="100"/>
      <c r="B3440" s="100"/>
      <c r="C3440" s="100"/>
      <c r="D3440" s="100"/>
      <c r="E3440" s="100"/>
      <c r="F3440" s="100"/>
      <c r="G3440" s="100"/>
      <c r="H3440" s="100"/>
      <c r="I3440" s="100"/>
      <c r="J3440" s="100"/>
      <c r="K3440" s="100"/>
      <c r="L3440" s="100"/>
      <c r="M3440" s="100"/>
      <c r="N3440" s="100"/>
      <c r="O3440" s="100"/>
      <c r="P3440" s="100"/>
      <c r="Q3440" s="100"/>
      <c r="R3440" s="100"/>
      <c r="S3440" s="100"/>
      <c r="T3440" s="100"/>
      <c r="U3440" s="100"/>
      <c r="V3440" s="100"/>
      <c r="W3440" s="100"/>
      <c r="X3440" s="100"/>
      <c r="Y3440" s="100"/>
      <c r="Z3440" s="100"/>
    </row>
    <row r="3441" spans="1:26">
      <c r="A3441" s="100"/>
      <c r="B3441" s="100"/>
      <c r="C3441" s="100"/>
      <c r="D3441" s="100"/>
      <c r="E3441" s="100"/>
      <c r="F3441" s="100"/>
      <c r="G3441" s="100"/>
      <c r="H3441" s="100"/>
      <c r="I3441" s="100"/>
      <c r="J3441" s="100"/>
      <c r="K3441" s="100"/>
      <c r="L3441" s="100"/>
      <c r="M3441" s="100"/>
      <c r="N3441" s="100"/>
      <c r="O3441" s="100"/>
      <c r="P3441" s="100"/>
      <c r="Q3441" s="100"/>
      <c r="R3441" s="100"/>
      <c r="S3441" s="100"/>
      <c r="T3441" s="100"/>
      <c r="U3441" s="100"/>
      <c r="V3441" s="100"/>
      <c r="W3441" s="100"/>
      <c r="X3441" s="100"/>
      <c r="Y3441" s="100"/>
      <c r="Z3441" s="100"/>
    </row>
    <row r="3442" spans="1:26">
      <c r="A3442" s="100"/>
      <c r="B3442" s="100"/>
      <c r="C3442" s="100"/>
      <c r="D3442" s="100"/>
      <c r="E3442" s="100"/>
      <c r="F3442" s="100"/>
      <c r="G3442" s="100"/>
      <c r="H3442" s="100"/>
      <c r="I3442" s="100"/>
      <c r="J3442" s="100"/>
      <c r="K3442" s="100"/>
      <c r="L3442" s="100"/>
      <c r="M3442" s="100"/>
      <c r="N3442" s="100"/>
      <c r="O3442" s="100"/>
      <c r="P3442" s="100"/>
      <c r="Q3442" s="100"/>
      <c r="R3442" s="100"/>
      <c r="S3442" s="100"/>
      <c r="T3442" s="100"/>
      <c r="U3442" s="100"/>
      <c r="V3442" s="100"/>
      <c r="W3442" s="100"/>
      <c r="X3442" s="100"/>
      <c r="Y3442" s="100"/>
      <c r="Z3442" s="100"/>
    </row>
    <row r="3443" spans="1:26">
      <c r="A3443" s="100"/>
      <c r="B3443" s="100"/>
      <c r="C3443" s="100"/>
      <c r="D3443" s="100"/>
      <c r="E3443" s="100"/>
      <c r="F3443" s="100"/>
      <c r="G3443" s="100"/>
      <c r="H3443" s="100"/>
      <c r="I3443" s="100"/>
      <c r="J3443" s="100"/>
      <c r="K3443" s="100"/>
      <c r="L3443" s="100"/>
      <c r="M3443" s="100"/>
      <c r="N3443" s="100"/>
      <c r="O3443" s="100"/>
      <c r="P3443" s="100"/>
      <c r="Q3443" s="100"/>
      <c r="R3443" s="100"/>
      <c r="S3443" s="100"/>
      <c r="T3443" s="100"/>
      <c r="U3443" s="100"/>
      <c r="V3443" s="100"/>
      <c r="W3443" s="100"/>
      <c r="X3443" s="100"/>
      <c r="Y3443" s="100"/>
      <c r="Z3443" s="100"/>
    </row>
    <row r="3444" spans="1:26">
      <c r="A3444" s="100"/>
      <c r="B3444" s="100"/>
      <c r="C3444" s="100"/>
      <c r="D3444" s="100"/>
      <c r="E3444" s="100"/>
      <c r="F3444" s="100"/>
      <c r="G3444" s="100"/>
      <c r="H3444" s="100"/>
      <c r="I3444" s="100"/>
      <c r="J3444" s="100"/>
      <c r="K3444" s="100"/>
      <c r="L3444" s="100"/>
      <c r="M3444" s="100"/>
      <c r="N3444" s="100"/>
      <c r="O3444" s="100"/>
      <c r="P3444" s="100"/>
      <c r="Q3444" s="100"/>
      <c r="R3444" s="100"/>
      <c r="S3444" s="100"/>
      <c r="T3444" s="100"/>
      <c r="U3444" s="100"/>
      <c r="V3444" s="100"/>
      <c r="W3444" s="100"/>
      <c r="X3444" s="100"/>
      <c r="Y3444" s="100"/>
      <c r="Z3444" s="100"/>
    </row>
    <row r="3445" spans="1:26">
      <c r="A3445" s="100"/>
      <c r="B3445" s="100"/>
      <c r="C3445" s="100"/>
      <c r="D3445" s="100"/>
      <c r="E3445" s="100"/>
      <c r="F3445" s="100"/>
      <c r="G3445" s="100"/>
      <c r="H3445" s="100"/>
      <c r="I3445" s="100"/>
      <c r="J3445" s="100"/>
      <c r="K3445" s="100"/>
      <c r="L3445" s="100"/>
      <c r="M3445" s="100"/>
      <c r="N3445" s="100"/>
      <c r="O3445" s="100"/>
      <c r="P3445" s="100"/>
      <c r="Q3445" s="100"/>
      <c r="R3445" s="100"/>
      <c r="S3445" s="100"/>
      <c r="T3445" s="100"/>
      <c r="U3445" s="100"/>
      <c r="V3445" s="100"/>
      <c r="W3445" s="100"/>
      <c r="X3445" s="100"/>
      <c r="Y3445" s="100"/>
      <c r="Z3445" s="100"/>
    </row>
    <row r="3446" spans="1:26">
      <c r="A3446" s="100"/>
      <c r="B3446" s="100"/>
      <c r="C3446" s="100"/>
      <c r="D3446" s="100"/>
      <c r="E3446" s="100"/>
      <c r="F3446" s="100"/>
      <c r="G3446" s="100"/>
      <c r="H3446" s="100"/>
      <c r="I3446" s="100"/>
      <c r="J3446" s="100"/>
      <c r="K3446" s="100"/>
      <c r="L3446" s="100"/>
      <c r="M3446" s="100"/>
      <c r="N3446" s="100"/>
      <c r="O3446" s="100"/>
      <c r="P3446" s="100"/>
      <c r="Q3446" s="100"/>
      <c r="R3446" s="100"/>
      <c r="S3446" s="100"/>
      <c r="T3446" s="100"/>
      <c r="U3446" s="100"/>
      <c r="V3446" s="100"/>
      <c r="W3446" s="100"/>
      <c r="X3446" s="100"/>
      <c r="Y3446" s="100"/>
      <c r="Z3446" s="100"/>
    </row>
    <row r="3447" spans="1:26">
      <c r="A3447" s="100"/>
      <c r="B3447" s="100"/>
      <c r="C3447" s="100"/>
      <c r="D3447" s="100"/>
      <c r="E3447" s="100"/>
      <c r="F3447" s="100"/>
      <c r="G3447" s="100"/>
      <c r="H3447" s="100"/>
      <c r="I3447" s="100"/>
      <c r="J3447" s="100"/>
      <c r="K3447" s="100"/>
      <c r="L3447" s="100"/>
      <c r="M3447" s="100"/>
      <c r="N3447" s="100"/>
      <c r="O3447" s="100"/>
      <c r="P3447" s="100"/>
      <c r="Q3447" s="100"/>
      <c r="R3447" s="100"/>
      <c r="S3447" s="100"/>
      <c r="T3447" s="100"/>
      <c r="U3447" s="100"/>
      <c r="V3447" s="100"/>
      <c r="W3447" s="100"/>
      <c r="X3447" s="100"/>
      <c r="Y3447" s="100"/>
      <c r="Z3447" s="100"/>
    </row>
    <row r="3448" spans="1:26">
      <c r="A3448" s="100"/>
      <c r="B3448" s="100"/>
      <c r="C3448" s="100"/>
      <c r="D3448" s="100"/>
      <c r="E3448" s="100"/>
      <c r="F3448" s="100"/>
      <c r="G3448" s="100"/>
      <c r="H3448" s="100"/>
      <c r="I3448" s="100"/>
      <c r="J3448" s="100"/>
      <c r="K3448" s="100"/>
      <c r="L3448" s="100"/>
      <c r="M3448" s="100"/>
      <c r="N3448" s="100"/>
      <c r="O3448" s="100"/>
      <c r="P3448" s="100"/>
      <c r="Q3448" s="100"/>
      <c r="R3448" s="100"/>
      <c r="S3448" s="100"/>
      <c r="T3448" s="100"/>
      <c r="U3448" s="100"/>
      <c r="V3448" s="100"/>
      <c r="W3448" s="100"/>
      <c r="X3448" s="100"/>
      <c r="Y3448" s="100"/>
      <c r="Z3448" s="100"/>
    </row>
    <row r="3449" spans="1:26">
      <c r="A3449" s="100"/>
      <c r="B3449" s="100"/>
      <c r="C3449" s="100"/>
      <c r="D3449" s="100"/>
      <c r="E3449" s="100"/>
      <c r="F3449" s="100"/>
      <c r="G3449" s="100"/>
      <c r="H3449" s="100"/>
      <c r="I3449" s="100"/>
      <c r="J3449" s="100"/>
      <c r="K3449" s="100"/>
      <c r="L3449" s="100"/>
      <c r="M3449" s="100"/>
      <c r="N3449" s="100"/>
      <c r="O3449" s="100"/>
      <c r="P3449" s="100"/>
      <c r="Q3449" s="100"/>
      <c r="R3449" s="100"/>
      <c r="S3449" s="100"/>
      <c r="T3449" s="100"/>
      <c r="U3449" s="100"/>
      <c r="V3449" s="100"/>
      <c r="W3449" s="100"/>
      <c r="X3449" s="100"/>
      <c r="Y3449" s="100"/>
      <c r="Z3449" s="100"/>
    </row>
    <row r="3450" spans="1:26">
      <c r="A3450" s="100"/>
      <c r="B3450" s="100"/>
      <c r="C3450" s="100"/>
      <c r="D3450" s="100"/>
      <c r="E3450" s="100"/>
      <c r="F3450" s="100"/>
      <c r="G3450" s="100"/>
      <c r="H3450" s="100"/>
      <c r="I3450" s="100"/>
      <c r="J3450" s="100"/>
      <c r="K3450" s="100"/>
      <c r="L3450" s="100"/>
      <c r="M3450" s="100"/>
      <c r="N3450" s="100"/>
      <c r="O3450" s="100"/>
      <c r="P3450" s="100"/>
      <c r="Q3450" s="100"/>
      <c r="R3450" s="100"/>
      <c r="S3450" s="100"/>
      <c r="T3450" s="100"/>
      <c r="U3450" s="100"/>
      <c r="V3450" s="100"/>
      <c r="W3450" s="100"/>
      <c r="X3450" s="100"/>
      <c r="Y3450" s="100"/>
      <c r="Z3450" s="100"/>
    </row>
    <row r="3451" spans="1:26">
      <c r="A3451" s="100"/>
      <c r="B3451" s="100"/>
      <c r="C3451" s="100"/>
      <c r="D3451" s="100"/>
      <c r="E3451" s="100"/>
      <c r="F3451" s="100"/>
      <c r="G3451" s="100"/>
      <c r="H3451" s="100"/>
      <c r="I3451" s="100"/>
      <c r="J3451" s="100"/>
      <c r="K3451" s="100"/>
      <c r="L3451" s="100"/>
      <c r="M3451" s="100"/>
      <c r="N3451" s="100"/>
      <c r="O3451" s="100"/>
      <c r="P3451" s="100"/>
      <c r="Q3451" s="100"/>
      <c r="R3451" s="100"/>
      <c r="S3451" s="100"/>
      <c r="T3451" s="100"/>
      <c r="U3451" s="100"/>
      <c r="V3451" s="100"/>
      <c r="W3451" s="100"/>
      <c r="X3451" s="100"/>
      <c r="Y3451" s="100"/>
      <c r="Z3451" s="100"/>
    </row>
    <row r="3452" spans="1:26">
      <c r="A3452" s="100"/>
      <c r="B3452" s="100"/>
      <c r="C3452" s="100"/>
      <c r="D3452" s="100"/>
      <c r="E3452" s="100"/>
      <c r="F3452" s="100"/>
      <c r="G3452" s="100"/>
      <c r="H3452" s="100"/>
      <c r="I3452" s="100"/>
      <c r="J3452" s="100"/>
      <c r="K3452" s="100"/>
      <c r="L3452" s="100"/>
      <c r="M3452" s="100"/>
      <c r="N3452" s="100"/>
      <c r="O3452" s="100"/>
      <c r="P3452" s="100"/>
      <c r="Q3452" s="100"/>
      <c r="R3452" s="100"/>
      <c r="S3452" s="100"/>
      <c r="T3452" s="100"/>
      <c r="U3452" s="100"/>
      <c r="V3452" s="100"/>
      <c r="W3452" s="100"/>
      <c r="X3452" s="100"/>
      <c r="Y3452" s="100"/>
      <c r="Z3452" s="100"/>
    </row>
    <row r="3453" spans="1:26">
      <c r="A3453" s="100"/>
      <c r="B3453" s="100"/>
      <c r="C3453" s="100"/>
      <c r="D3453" s="100"/>
      <c r="E3453" s="100"/>
      <c r="F3453" s="100"/>
      <c r="G3453" s="100"/>
      <c r="H3453" s="100"/>
      <c r="I3453" s="100"/>
      <c r="J3453" s="100"/>
      <c r="K3453" s="100"/>
      <c r="L3453" s="100"/>
      <c r="M3453" s="100"/>
      <c r="N3453" s="100"/>
      <c r="O3453" s="100"/>
      <c r="P3453" s="100"/>
      <c r="Q3453" s="100"/>
      <c r="R3453" s="100"/>
      <c r="S3453" s="100"/>
      <c r="T3453" s="100"/>
      <c r="U3453" s="100"/>
      <c r="V3453" s="100"/>
      <c r="W3453" s="100"/>
      <c r="X3453" s="100"/>
      <c r="Y3453" s="100"/>
      <c r="Z3453" s="100"/>
    </row>
    <row r="3454" spans="1:26">
      <c r="A3454" s="100"/>
      <c r="B3454" s="100"/>
      <c r="C3454" s="100"/>
      <c r="D3454" s="100"/>
      <c r="E3454" s="100"/>
      <c r="F3454" s="100"/>
      <c r="G3454" s="100"/>
      <c r="H3454" s="100"/>
      <c r="I3454" s="100"/>
      <c r="J3454" s="100"/>
      <c r="K3454" s="100"/>
      <c r="L3454" s="100"/>
      <c r="M3454" s="100"/>
      <c r="N3454" s="100"/>
      <c r="O3454" s="100"/>
      <c r="P3454" s="100"/>
      <c r="Q3454" s="100"/>
      <c r="R3454" s="100"/>
      <c r="S3454" s="100"/>
      <c r="T3454" s="100"/>
      <c r="U3454" s="100"/>
      <c r="V3454" s="100"/>
      <c r="W3454" s="100"/>
      <c r="X3454" s="100"/>
      <c r="Y3454" s="100"/>
      <c r="Z3454" s="100"/>
    </row>
    <row r="3455" spans="1:26">
      <c r="A3455" s="100"/>
      <c r="B3455" s="100"/>
      <c r="C3455" s="100"/>
      <c r="D3455" s="100"/>
      <c r="E3455" s="100"/>
      <c r="F3455" s="100"/>
      <c r="G3455" s="100"/>
      <c r="H3455" s="100"/>
      <c r="I3455" s="100"/>
      <c r="J3455" s="100"/>
      <c r="K3455" s="100"/>
      <c r="L3455" s="100"/>
      <c r="M3455" s="100"/>
      <c r="N3455" s="100"/>
      <c r="O3455" s="100"/>
      <c r="P3455" s="100"/>
      <c r="Q3455" s="100"/>
      <c r="R3455" s="100"/>
      <c r="S3455" s="100"/>
      <c r="T3455" s="100"/>
      <c r="U3455" s="100"/>
      <c r="V3455" s="100"/>
      <c r="W3455" s="100"/>
      <c r="X3455" s="100"/>
      <c r="Y3455" s="100"/>
      <c r="Z3455" s="100"/>
    </row>
    <row r="3456" spans="1:26">
      <c r="A3456" s="100"/>
      <c r="B3456" s="100"/>
      <c r="C3456" s="100"/>
      <c r="D3456" s="100"/>
      <c r="E3456" s="100"/>
      <c r="F3456" s="100"/>
      <c r="G3456" s="100"/>
      <c r="H3456" s="100"/>
      <c r="I3456" s="100"/>
      <c r="J3456" s="100"/>
      <c r="K3456" s="100"/>
      <c r="L3456" s="100"/>
      <c r="M3456" s="100"/>
      <c r="N3456" s="100"/>
      <c r="O3456" s="100"/>
      <c r="P3456" s="100"/>
      <c r="Q3456" s="100"/>
      <c r="R3456" s="100"/>
      <c r="S3456" s="100"/>
      <c r="T3456" s="100"/>
      <c r="U3456" s="100"/>
      <c r="V3456" s="100"/>
      <c r="W3456" s="100"/>
      <c r="X3456" s="100"/>
      <c r="Y3456" s="100"/>
      <c r="Z3456" s="100"/>
    </row>
    <row r="3457" spans="1:26">
      <c r="A3457" s="100"/>
      <c r="B3457" s="100"/>
      <c r="C3457" s="100"/>
      <c r="D3457" s="100"/>
      <c r="E3457" s="100"/>
      <c r="F3457" s="100"/>
      <c r="G3457" s="100"/>
      <c r="H3457" s="100"/>
      <c r="I3457" s="100"/>
      <c r="J3457" s="100"/>
      <c r="K3457" s="100"/>
      <c r="L3457" s="100"/>
      <c r="M3457" s="100"/>
      <c r="N3457" s="100"/>
      <c r="O3457" s="100"/>
      <c r="P3457" s="100"/>
      <c r="Q3457" s="100"/>
      <c r="R3457" s="100"/>
      <c r="S3457" s="100"/>
      <c r="T3457" s="100"/>
      <c r="U3457" s="100"/>
      <c r="V3457" s="100"/>
      <c r="W3457" s="100"/>
      <c r="X3457" s="100"/>
      <c r="Y3457" s="100"/>
      <c r="Z3457" s="100"/>
    </row>
    <row r="3458" spans="1:26">
      <c r="A3458" s="100"/>
      <c r="B3458" s="100"/>
      <c r="C3458" s="100"/>
      <c r="D3458" s="100"/>
      <c r="E3458" s="100"/>
      <c r="F3458" s="100"/>
      <c r="G3458" s="100"/>
      <c r="H3458" s="100"/>
      <c r="I3458" s="100"/>
      <c r="J3458" s="100"/>
      <c r="K3458" s="100"/>
      <c r="L3458" s="100"/>
      <c r="M3458" s="100"/>
      <c r="N3458" s="100"/>
      <c r="O3458" s="100"/>
      <c r="P3458" s="100"/>
      <c r="Q3458" s="100"/>
      <c r="R3458" s="100"/>
      <c r="S3458" s="100"/>
      <c r="T3458" s="100"/>
      <c r="U3458" s="100"/>
      <c r="V3458" s="100"/>
      <c r="W3458" s="100"/>
      <c r="X3458" s="100"/>
      <c r="Y3458" s="100"/>
      <c r="Z3458" s="100"/>
    </row>
    <row r="3459" spans="1:26">
      <c r="A3459" s="100"/>
      <c r="B3459" s="100"/>
      <c r="C3459" s="100"/>
      <c r="D3459" s="100"/>
      <c r="E3459" s="100"/>
      <c r="F3459" s="100"/>
      <c r="G3459" s="100"/>
      <c r="H3459" s="100"/>
      <c r="I3459" s="100"/>
      <c r="J3459" s="100"/>
      <c r="K3459" s="100"/>
      <c r="L3459" s="100"/>
      <c r="M3459" s="100"/>
      <c r="N3459" s="100"/>
      <c r="O3459" s="100"/>
      <c r="P3459" s="100"/>
      <c r="Q3459" s="100"/>
      <c r="R3459" s="100"/>
      <c r="S3459" s="100"/>
      <c r="T3459" s="100"/>
      <c r="U3459" s="100"/>
      <c r="V3459" s="100"/>
      <c r="W3459" s="100"/>
      <c r="X3459" s="100"/>
      <c r="Y3459" s="100"/>
      <c r="Z3459" s="100"/>
    </row>
    <row r="3460" spans="1:26">
      <c r="A3460" s="100"/>
      <c r="B3460" s="100"/>
      <c r="C3460" s="100"/>
      <c r="D3460" s="100"/>
      <c r="E3460" s="100"/>
      <c r="F3460" s="100"/>
      <c r="G3460" s="100"/>
      <c r="H3460" s="100"/>
      <c r="I3460" s="100"/>
      <c r="J3460" s="100"/>
      <c r="K3460" s="100"/>
      <c r="L3460" s="100"/>
      <c r="M3460" s="100"/>
      <c r="N3460" s="100"/>
      <c r="O3460" s="100"/>
      <c r="P3460" s="100"/>
      <c r="Q3460" s="100"/>
      <c r="R3460" s="100"/>
      <c r="S3460" s="100"/>
      <c r="T3460" s="100"/>
      <c r="U3460" s="100"/>
      <c r="V3460" s="100"/>
      <c r="W3460" s="100"/>
      <c r="X3460" s="100"/>
      <c r="Y3460" s="100"/>
      <c r="Z3460" s="100"/>
    </row>
    <row r="3461" spans="1:26">
      <c r="A3461" s="100"/>
      <c r="B3461" s="100"/>
      <c r="C3461" s="100"/>
      <c r="D3461" s="100"/>
      <c r="E3461" s="100"/>
      <c r="F3461" s="100"/>
      <c r="G3461" s="100"/>
      <c r="H3461" s="100"/>
      <c r="I3461" s="100"/>
      <c r="J3461" s="100"/>
      <c r="K3461" s="100"/>
      <c r="L3461" s="100"/>
      <c r="M3461" s="100"/>
      <c r="N3461" s="100"/>
      <c r="O3461" s="100"/>
      <c r="P3461" s="100"/>
      <c r="Q3461" s="100"/>
      <c r="R3461" s="100"/>
      <c r="S3461" s="100"/>
      <c r="T3461" s="100"/>
      <c r="U3461" s="100"/>
      <c r="V3461" s="100"/>
      <c r="W3461" s="100"/>
      <c r="X3461" s="100"/>
      <c r="Y3461" s="100"/>
      <c r="Z3461" s="100"/>
    </row>
    <row r="3462" spans="1:26">
      <c r="A3462" s="100"/>
      <c r="B3462" s="100"/>
      <c r="C3462" s="100"/>
      <c r="D3462" s="100"/>
      <c r="E3462" s="100"/>
      <c r="F3462" s="100"/>
      <c r="G3462" s="100"/>
      <c r="H3462" s="100"/>
      <c r="I3462" s="100"/>
      <c r="J3462" s="100"/>
      <c r="K3462" s="100"/>
      <c r="L3462" s="100"/>
      <c r="M3462" s="100"/>
      <c r="N3462" s="100"/>
      <c r="O3462" s="100"/>
      <c r="P3462" s="100"/>
      <c r="Q3462" s="100"/>
      <c r="R3462" s="100"/>
      <c r="S3462" s="100"/>
      <c r="T3462" s="100"/>
      <c r="U3462" s="100"/>
      <c r="V3462" s="100"/>
      <c r="W3462" s="100"/>
      <c r="X3462" s="100"/>
      <c r="Y3462" s="100"/>
      <c r="Z3462" s="100"/>
    </row>
    <row r="3463" spans="1:26">
      <c r="A3463" s="100"/>
      <c r="B3463" s="100"/>
      <c r="C3463" s="100"/>
      <c r="D3463" s="100"/>
      <c r="E3463" s="100"/>
      <c r="F3463" s="100"/>
      <c r="G3463" s="100"/>
      <c r="H3463" s="100"/>
      <c r="I3463" s="100"/>
      <c r="J3463" s="100"/>
      <c r="K3463" s="100"/>
      <c r="L3463" s="100"/>
      <c r="M3463" s="100"/>
      <c r="N3463" s="100"/>
      <c r="O3463" s="100"/>
      <c r="P3463" s="100"/>
      <c r="Q3463" s="100"/>
      <c r="R3463" s="100"/>
      <c r="S3463" s="100"/>
      <c r="T3463" s="100"/>
      <c r="U3463" s="100"/>
      <c r="V3463" s="100"/>
      <c r="W3463" s="100"/>
      <c r="X3463" s="100"/>
      <c r="Y3463" s="100"/>
      <c r="Z3463" s="100"/>
    </row>
    <row r="3464" spans="1:26">
      <c r="A3464" s="100"/>
      <c r="B3464" s="100"/>
      <c r="C3464" s="100"/>
      <c r="D3464" s="100"/>
      <c r="E3464" s="100"/>
      <c r="F3464" s="100"/>
      <c r="G3464" s="100"/>
      <c r="H3464" s="100"/>
      <c r="I3464" s="100"/>
      <c r="J3464" s="100"/>
      <c r="K3464" s="100"/>
      <c r="L3464" s="100"/>
      <c r="M3464" s="100"/>
      <c r="N3464" s="100"/>
      <c r="O3464" s="100"/>
      <c r="P3464" s="100"/>
      <c r="Q3464" s="100"/>
      <c r="R3464" s="100"/>
      <c r="S3464" s="100"/>
      <c r="T3464" s="100"/>
      <c r="U3464" s="100"/>
      <c r="V3464" s="100"/>
      <c r="W3464" s="100"/>
      <c r="X3464" s="100"/>
      <c r="Y3464" s="100"/>
      <c r="Z3464" s="100"/>
    </row>
    <row r="3465" spans="1:26">
      <c r="A3465" s="100"/>
      <c r="B3465" s="100"/>
      <c r="C3465" s="100"/>
      <c r="D3465" s="100"/>
      <c r="E3465" s="100"/>
      <c r="F3465" s="100"/>
      <c r="G3465" s="100"/>
      <c r="H3465" s="100"/>
      <c r="I3465" s="100"/>
      <c r="J3465" s="100"/>
      <c r="K3465" s="100"/>
      <c r="L3465" s="100"/>
      <c r="M3465" s="100"/>
      <c r="N3465" s="100"/>
      <c r="O3465" s="100"/>
      <c r="P3465" s="100"/>
      <c r="Q3465" s="100"/>
      <c r="R3465" s="100"/>
      <c r="S3465" s="100"/>
      <c r="T3465" s="100"/>
      <c r="U3465" s="100"/>
      <c r="V3465" s="100"/>
      <c r="W3465" s="100"/>
      <c r="X3465" s="100"/>
      <c r="Y3465" s="100"/>
      <c r="Z3465" s="100"/>
    </row>
    <row r="3466" spans="1:26">
      <c r="A3466" s="100"/>
      <c r="B3466" s="100"/>
      <c r="C3466" s="100"/>
      <c r="D3466" s="100"/>
      <c r="E3466" s="100"/>
      <c r="F3466" s="100"/>
      <c r="G3466" s="100"/>
      <c r="H3466" s="100"/>
      <c r="I3466" s="100"/>
      <c r="J3466" s="100"/>
      <c r="K3466" s="100"/>
      <c r="L3466" s="100"/>
      <c r="M3466" s="100"/>
      <c r="N3466" s="100"/>
      <c r="O3466" s="100"/>
      <c r="P3466" s="100"/>
      <c r="Q3466" s="100"/>
      <c r="R3466" s="100"/>
      <c r="S3466" s="100"/>
      <c r="T3466" s="100"/>
      <c r="U3466" s="100"/>
      <c r="V3466" s="100"/>
      <c r="W3466" s="100"/>
      <c r="X3466" s="100"/>
      <c r="Y3466" s="100"/>
      <c r="Z3466" s="100"/>
    </row>
    <row r="3467" spans="1:26">
      <c r="A3467" s="100"/>
      <c r="B3467" s="100"/>
      <c r="C3467" s="100"/>
      <c r="D3467" s="100"/>
      <c r="E3467" s="100"/>
      <c r="F3467" s="100"/>
      <c r="G3467" s="100"/>
      <c r="H3467" s="100"/>
      <c r="I3467" s="100"/>
      <c r="J3467" s="100"/>
      <c r="K3467" s="100"/>
      <c r="L3467" s="100"/>
      <c r="M3467" s="100"/>
      <c r="N3467" s="100"/>
      <c r="O3467" s="100"/>
      <c r="P3467" s="100"/>
      <c r="Q3467" s="100"/>
      <c r="R3467" s="100"/>
      <c r="S3467" s="100"/>
      <c r="T3467" s="100"/>
      <c r="U3467" s="100"/>
      <c r="V3467" s="100"/>
      <c r="W3467" s="100"/>
      <c r="X3467" s="100"/>
      <c r="Y3467" s="100"/>
      <c r="Z3467" s="100"/>
    </row>
    <row r="3468" spans="1:26">
      <c r="A3468" s="100"/>
      <c r="B3468" s="100"/>
      <c r="C3468" s="100"/>
      <c r="D3468" s="100"/>
      <c r="E3468" s="100"/>
      <c r="F3468" s="100"/>
      <c r="G3468" s="100"/>
      <c r="H3468" s="100"/>
      <c r="I3468" s="100"/>
      <c r="J3468" s="100"/>
      <c r="K3468" s="100"/>
      <c r="L3468" s="100"/>
      <c r="M3468" s="100"/>
      <c r="N3468" s="100"/>
      <c r="O3468" s="100"/>
      <c r="P3468" s="100"/>
      <c r="Q3468" s="100"/>
      <c r="R3468" s="100"/>
      <c r="S3468" s="100"/>
      <c r="T3468" s="100"/>
      <c r="U3468" s="100"/>
      <c r="V3468" s="100"/>
      <c r="W3468" s="100"/>
      <c r="X3468" s="100"/>
      <c r="Y3468" s="100"/>
      <c r="Z3468" s="100"/>
    </row>
    <row r="3469" spans="1:26">
      <c r="A3469" s="100"/>
      <c r="B3469" s="100"/>
      <c r="C3469" s="100"/>
      <c r="D3469" s="100"/>
      <c r="E3469" s="100"/>
      <c r="F3469" s="100"/>
      <c r="G3469" s="100"/>
      <c r="H3469" s="100"/>
      <c r="I3469" s="100"/>
      <c r="J3469" s="100"/>
      <c r="K3469" s="100"/>
      <c r="L3469" s="100"/>
      <c r="M3469" s="100"/>
      <c r="N3469" s="100"/>
      <c r="O3469" s="100"/>
      <c r="P3469" s="100"/>
      <c r="Q3469" s="100"/>
      <c r="R3469" s="100"/>
      <c r="S3469" s="100"/>
      <c r="T3469" s="100"/>
      <c r="U3469" s="100"/>
      <c r="V3469" s="100"/>
      <c r="W3469" s="100"/>
      <c r="X3469" s="100"/>
      <c r="Y3469" s="100"/>
      <c r="Z3469" s="100"/>
    </row>
    <row r="3470" spans="1:26">
      <c r="A3470" s="100"/>
      <c r="B3470" s="100"/>
      <c r="C3470" s="100"/>
      <c r="D3470" s="100"/>
      <c r="E3470" s="100"/>
      <c r="F3470" s="100"/>
      <c r="G3470" s="100"/>
      <c r="H3470" s="100"/>
      <c r="I3470" s="100"/>
      <c r="J3470" s="100"/>
      <c r="K3470" s="100"/>
      <c r="L3470" s="100"/>
      <c r="M3470" s="100"/>
      <c r="N3470" s="100"/>
      <c r="O3470" s="100"/>
      <c r="P3470" s="100"/>
      <c r="Q3470" s="100"/>
      <c r="R3470" s="100"/>
      <c r="S3470" s="100"/>
      <c r="T3470" s="100"/>
      <c r="U3470" s="100"/>
      <c r="V3470" s="100"/>
      <c r="W3470" s="100"/>
      <c r="X3470" s="100"/>
      <c r="Y3470" s="100"/>
      <c r="Z3470" s="100"/>
    </row>
    <row r="3471" spans="1:26">
      <c r="A3471" s="100"/>
      <c r="B3471" s="100"/>
      <c r="C3471" s="100"/>
      <c r="D3471" s="100"/>
      <c r="E3471" s="100"/>
      <c r="F3471" s="100"/>
      <c r="G3471" s="100"/>
      <c r="H3471" s="100"/>
      <c r="I3471" s="100"/>
      <c r="J3471" s="100"/>
      <c r="K3471" s="100"/>
      <c r="L3471" s="100"/>
      <c r="M3471" s="100"/>
      <c r="N3471" s="100"/>
      <c r="O3471" s="100"/>
      <c r="P3471" s="100"/>
      <c r="Q3471" s="100"/>
      <c r="R3471" s="100"/>
      <c r="S3471" s="100"/>
      <c r="T3471" s="100"/>
      <c r="U3471" s="100"/>
      <c r="V3471" s="100"/>
      <c r="W3471" s="100"/>
      <c r="X3471" s="100"/>
      <c r="Y3471" s="100"/>
      <c r="Z3471" s="100"/>
    </row>
    <row r="3472" spans="1:26">
      <c r="A3472" s="100"/>
      <c r="B3472" s="100"/>
      <c r="C3472" s="100"/>
      <c r="D3472" s="100"/>
      <c r="E3472" s="100"/>
      <c r="F3472" s="100"/>
      <c r="G3472" s="100"/>
      <c r="H3472" s="100"/>
      <c r="I3472" s="100"/>
      <c r="J3472" s="100"/>
      <c r="K3472" s="100"/>
      <c r="L3472" s="100"/>
      <c r="M3472" s="100"/>
      <c r="N3472" s="100"/>
      <c r="O3472" s="100"/>
      <c r="P3472" s="100"/>
      <c r="Q3472" s="100"/>
      <c r="R3472" s="100"/>
      <c r="S3472" s="100"/>
      <c r="T3472" s="100"/>
      <c r="U3472" s="100"/>
      <c r="V3472" s="100"/>
      <c r="W3472" s="100"/>
      <c r="X3472" s="100"/>
      <c r="Y3472" s="100"/>
      <c r="Z3472" s="100"/>
    </row>
    <row r="3473" spans="1:26">
      <c r="A3473" s="100"/>
      <c r="B3473" s="100"/>
      <c r="C3473" s="100"/>
      <c r="D3473" s="100"/>
      <c r="E3473" s="100"/>
      <c r="F3473" s="100"/>
      <c r="G3473" s="100"/>
      <c r="H3473" s="100"/>
      <c r="I3473" s="100"/>
      <c r="J3473" s="100"/>
      <c r="K3473" s="100"/>
      <c r="L3473" s="100"/>
      <c r="M3473" s="100"/>
      <c r="N3473" s="100"/>
      <c r="O3473" s="100"/>
      <c r="P3473" s="100"/>
      <c r="Q3473" s="100"/>
      <c r="R3473" s="100"/>
      <c r="S3473" s="100"/>
      <c r="T3473" s="100"/>
      <c r="U3473" s="100"/>
      <c r="V3473" s="100"/>
      <c r="W3473" s="100"/>
      <c r="X3473" s="100"/>
      <c r="Y3473" s="100"/>
      <c r="Z3473" s="100"/>
    </row>
    <row r="3474" spans="1:26">
      <c r="A3474" s="100"/>
      <c r="B3474" s="100"/>
      <c r="C3474" s="100"/>
      <c r="D3474" s="100"/>
      <c r="E3474" s="100"/>
      <c r="F3474" s="100"/>
      <c r="G3474" s="100"/>
      <c r="H3474" s="100"/>
      <c r="I3474" s="100"/>
      <c r="J3474" s="100"/>
      <c r="K3474" s="100"/>
      <c r="L3474" s="100"/>
      <c r="M3474" s="100"/>
      <c r="N3474" s="100"/>
      <c r="O3474" s="100"/>
      <c r="P3474" s="100"/>
      <c r="Q3474" s="100"/>
      <c r="R3474" s="100"/>
      <c r="S3474" s="100"/>
      <c r="T3474" s="100"/>
      <c r="U3474" s="100"/>
      <c r="V3474" s="100"/>
      <c r="W3474" s="100"/>
      <c r="X3474" s="100"/>
      <c r="Y3474" s="100"/>
      <c r="Z3474" s="100"/>
    </row>
    <row r="3475" spans="1:26">
      <c r="A3475" s="100"/>
      <c r="B3475" s="100"/>
      <c r="C3475" s="100"/>
      <c r="D3475" s="100"/>
      <c r="E3475" s="100"/>
      <c r="F3475" s="100"/>
      <c r="G3475" s="100"/>
      <c r="H3475" s="100"/>
      <c r="I3475" s="100"/>
      <c r="J3475" s="100"/>
      <c r="K3475" s="100"/>
      <c r="L3475" s="100"/>
      <c r="M3475" s="100"/>
      <c r="N3475" s="100"/>
      <c r="O3475" s="100"/>
      <c r="P3475" s="100"/>
      <c r="Q3475" s="100"/>
      <c r="R3475" s="100"/>
      <c r="S3475" s="100"/>
      <c r="T3475" s="100"/>
      <c r="U3475" s="100"/>
      <c r="V3475" s="100"/>
      <c r="W3475" s="100"/>
      <c r="X3475" s="100"/>
      <c r="Y3475" s="100"/>
      <c r="Z3475" s="100"/>
    </row>
    <row r="3476" spans="1:26">
      <c r="A3476" s="100"/>
      <c r="B3476" s="100"/>
      <c r="C3476" s="100"/>
      <c r="D3476" s="100"/>
      <c r="E3476" s="100"/>
      <c r="F3476" s="100"/>
      <c r="G3476" s="100"/>
      <c r="H3476" s="100"/>
      <c r="I3476" s="100"/>
      <c r="J3476" s="100"/>
      <c r="K3476" s="100"/>
      <c r="L3476" s="100"/>
      <c r="M3476" s="100"/>
      <c r="N3476" s="100"/>
      <c r="O3476" s="100"/>
      <c r="P3476" s="100"/>
      <c r="Q3476" s="100"/>
      <c r="R3476" s="100"/>
      <c r="S3476" s="100"/>
      <c r="T3476" s="100"/>
      <c r="U3476" s="100"/>
      <c r="V3476" s="100"/>
      <c r="W3476" s="100"/>
      <c r="X3476" s="100"/>
      <c r="Y3476" s="100"/>
      <c r="Z3476" s="100"/>
    </row>
    <row r="3477" spans="1:26">
      <c r="A3477" s="100"/>
      <c r="B3477" s="100"/>
      <c r="C3477" s="100"/>
      <c r="D3477" s="100"/>
      <c r="E3477" s="100"/>
      <c r="F3477" s="100"/>
      <c r="G3477" s="100"/>
      <c r="H3477" s="100"/>
      <c r="I3477" s="100"/>
      <c r="J3477" s="100"/>
      <c r="K3477" s="100"/>
      <c r="L3477" s="100"/>
      <c r="M3477" s="100"/>
      <c r="N3477" s="100"/>
      <c r="O3477" s="100"/>
      <c r="P3477" s="100"/>
      <c r="Q3477" s="100"/>
      <c r="R3477" s="100"/>
      <c r="S3477" s="100"/>
      <c r="T3477" s="100"/>
      <c r="U3477" s="100"/>
      <c r="V3477" s="100"/>
      <c r="W3477" s="100"/>
      <c r="X3477" s="100"/>
      <c r="Y3477" s="100"/>
      <c r="Z3477" s="100"/>
    </row>
    <row r="3478" spans="1:26">
      <c r="A3478" s="100"/>
      <c r="B3478" s="100"/>
      <c r="C3478" s="100"/>
      <c r="D3478" s="100"/>
      <c r="E3478" s="100"/>
      <c r="F3478" s="100"/>
      <c r="G3478" s="100"/>
      <c r="H3478" s="100"/>
      <c r="I3478" s="100"/>
      <c r="J3478" s="100"/>
      <c r="K3478" s="100"/>
      <c r="L3478" s="100"/>
      <c r="M3478" s="100"/>
      <c r="N3478" s="100"/>
      <c r="O3478" s="100"/>
      <c r="P3478" s="100"/>
      <c r="Q3478" s="100"/>
      <c r="R3478" s="100"/>
      <c r="S3478" s="100"/>
      <c r="T3478" s="100"/>
      <c r="U3478" s="100"/>
      <c r="V3478" s="100"/>
      <c r="W3478" s="100"/>
      <c r="X3478" s="100"/>
      <c r="Y3478" s="100"/>
      <c r="Z3478" s="100"/>
    </row>
    <row r="3479" spans="1:26">
      <c r="A3479" s="100"/>
      <c r="B3479" s="100"/>
      <c r="C3479" s="100"/>
      <c r="D3479" s="100"/>
      <c r="E3479" s="100"/>
      <c r="F3479" s="100"/>
      <c r="G3479" s="100"/>
      <c r="H3479" s="100"/>
      <c r="I3479" s="100"/>
      <c r="J3479" s="100"/>
      <c r="K3479" s="100"/>
      <c r="L3479" s="100"/>
      <c r="M3479" s="100"/>
      <c r="N3479" s="100"/>
      <c r="O3479" s="100"/>
      <c r="P3479" s="100"/>
      <c r="Q3479" s="100"/>
      <c r="R3479" s="100"/>
      <c r="S3479" s="100"/>
      <c r="T3479" s="100"/>
      <c r="U3479" s="100"/>
      <c r="V3479" s="100"/>
      <c r="W3479" s="100"/>
      <c r="X3479" s="100"/>
      <c r="Y3479" s="100"/>
      <c r="Z3479" s="100"/>
    </row>
    <row r="3480" spans="1:26">
      <c r="A3480" s="100"/>
      <c r="B3480" s="100"/>
      <c r="C3480" s="100"/>
      <c r="D3480" s="100"/>
      <c r="E3480" s="100"/>
      <c r="F3480" s="100"/>
      <c r="G3480" s="100"/>
      <c r="H3480" s="100"/>
      <c r="I3480" s="100"/>
      <c r="J3480" s="100"/>
      <c r="K3480" s="100"/>
      <c r="L3480" s="100"/>
      <c r="M3480" s="100"/>
      <c r="N3480" s="100"/>
      <c r="O3480" s="100"/>
      <c r="P3480" s="100"/>
      <c r="Q3480" s="100"/>
      <c r="R3480" s="100"/>
      <c r="S3480" s="100"/>
      <c r="T3480" s="100"/>
      <c r="U3480" s="100"/>
      <c r="V3480" s="100"/>
      <c r="W3480" s="100"/>
      <c r="X3480" s="100"/>
      <c r="Y3480" s="100"/>
      <c r="Z3480" s="100"/>
    </row>
    <row r="3481" spans="1:26">
      <c r="A3481" s="100"/>
      <c r="B3481" s="100"/>
      <c r="C3481" s="100"/>
      <c r="D3481" s="100"/>
      <c r="E3481" s="100"/>
      <c r="F3481" s="100"/>
      <c r="G3481" s="100"/>
      <c r="H3481" s="100"/>
      <c r="I3481" s="100"/>
      <c r="J3481" s="100"/>
      <c r="K3481" s="100"/>
      <c r="L3481" s="100"/>
      <c r="M3481" s="100"/>
      <c r="N3481" s="100"/>
      <c r="O3481" s="100"/>
      <c r="P3481" s="100"/>
      <c r="Q3481" s="100"/>
      <c r="R3481" s="100"/>
      <c r="S3481" s="100"/>
      <c r="T3481" s="100"/>
      <c r="U3481" s="100"/>
      <c r="V3481" s="100"/>
      <c r="W3481" s="100"/>
      <c r="X3481" s="100"/>
      <c r="Y3481" s="100"/>
      <c r="Z3481" s="100"/>
    </row>
    <row r="3482" spans="1:26">
      <c r="A3482" s="100"/>
      <c r="B3482" s="100"/>
      <c r="C3482" s="100"/>
      <c r="D3482" s="100"/>
      <c r="E3482" s="100"/>
      <c r="F3482" s="100"/>
      <c r="G3482" s="100"/>
      <c r="H3482" s="100"/>
      <c r="I3482" s="100"/>
      <c r="J3482" s="100"/>
      <c r="K3482" s="100"/>
      <c r="L3482" s="100"/>
      <c r="M3482" s="100"/>
      <c r="N3482" s="100"/>
      <c r="O3482" s="100"/>
      <c r="P3482" s="100"/>
      <c r="Q3482" s="100"/>
      <c r="R3482" s="100"/>
      <c r="S3482" s="100"/>
      <c r="T3482" s="100"/>
      <c r="U3482" s="100"/>
      <c r="V3482" s="100"/>
      <c r="W3482" s="100"/>
      <c r="X3482" s="100"/>
      <c r="Y3482" s="100"/>
      <c r="Z3482" s="100"/>
    </row>
    <row r="3483" spans="1:26">
      <c r="A3483" s="100"/>
      <c r="B3483" s="100"/>
      <c r="C3483" s="100"/>
      <c r="D3483" s="100"/>
      <c r="E3483" s="100"/>
      <c r="F3483" s="100"/>
      <c r="G3483" s="100"/>
      <c r="H3483" s="100"/>
      <c r="I3483" s="100"/>
      <c r="J3483" s="100"/>
      <c r="K3483" s="100"/>
      <c r="L3483" s="100"/>
      <c r="M3483" s="100"/>
      <c r="N3483" s="100"/>
      <c r="O3483" s="100"/>
      <c r="P3483" s="100"/>
      <c r="Q3483" s="100"/>
      <c r="R3483" s="100"/>
      <c r="S3483" s="100"/>
      <c r="T3483" s="100"/>
      <c r="U3483" s="100"/>
      <c r="V3483" s="100"/>
      <c r="W3483" s="100"/>
      <c r="X3483" s="100"/>
      <c r="Y3483" s="100"/>
      <c r="Z3483" s="100"/>
    </row>
    <row r="3484" spans="1:26">
      <c r="A3484" s="100"/>
      <c r="B3484" s="100"/>
      <c r="C3484" s="100"/>
      <c r="D3484" s="100"/>
      <c r="E3484" s="100"/>
      <c r="F3484" s="100"/>
      <c r="G3484" s="100"/>
      <c r="H3484" s="100"/>
      <c r="I3484" s="100"/>
      <c r="J3484" s="100"/>
      <c r="K3484" s="100"/>
      <c r="L3484" s="100"/>
      <c r="M3484" s="100"/>
      <c r="N3484" s="100"/>
      <c r="O3484" s="100"/>
      <c r="P3484" s="100"/>
      <c r="Q3484" s="100"/>
      <c r="R3484" s="100"/>
      <c r="S3484" s="100"/>
      <c r="T3484" s="100"/>
      <c r="U3484" s="100"/>
      <c r="V3484" s="100"/>
      <c r="W3484" s="100"/>
      <c r="X3484" s="100"/>
      <c r="Y3484" s="100"/>
      <c r="Z3484" s="100"/>
    </row>
    <row r="3485" spans="1:26">
      <c r="A3485" s="100"/>
      <c r="B3485" s="100"/>
      <c r="C3485" s="100"/>
      <c r="D3485" s="100"/>
      <c r="E3485" s="100"/>
      <c r="F3485" s="100"/>
      <c r="G3485" s="100"/>
      <c r="H3485" s="100"/>
      <c r="I3485" s="100"/>
      <c r="J3485" s="100"/>
      <c r="K3485" s="100"/>
      <c r="L3485" s="100"/>
      <c r="M3485" s="100"/>
      <c r="N3485" s="100"/>
      <c r="O3485" s="100"/>
      <c r="P3485" s="100"/>
      <c r="Q3485" s="100"/>
      <c r="R3485" s="100"/>
      <c r="S3485" s="100"/>
      <c r="T3485" s="100"/>
      <c r="U3485" s="100"/>
      <c r="V3485" s="100"/>
      <c r="W3485" s="100"/>
      <c r="X3485" s="100"/>
      <c r="Y3485" s="100"/>
      <c r="Z3485" s="100"/>
    </row>
    <row r="3486" spans="1:26">
      <c r="A3486" s="100"/>
      <c r="B3486" s="100"/>
      <c r="C3486" s="100"/>
      <c r="D3486" s="100"/>
      <c r="E3486" s="100"/>
      <c r="F3486" s="100"/>
      <c r="G3486" s="100"/>
      <c r="H3486" s="100"/>
      <c r="I3486" s="100"/>
      <c r="J3486" s="100"/>
      <c r="K3486" s="100"/>
      <c r="L3486" s="100"/>
      <c r="M3486" s="100"/>
      <c r="N3486" s="100"/>
      <c r="O3486" s="100"/>
      <c r="P3486" s="100"/>
      <c r="Q3486" s="100"/>
      <c r="R3486" s="100"/>
      <c r="S3486" s="100"/>
      <c r="T3486" s="100"/>
      <c r="U3486" s="100"/>
      <c r="V3486" s="100"/>
      <c r="W3486" s="100"/>
      <c r="X3486" s="100"/>
      <c r="Y3486" s="100"/>
      <c r="Z3486" s="100"/>
    </row>
    <row r="3487" spans="1:26">
      <c r="A3487" s="100"/>
      <c r="B3487" s="100"/>
      <c r="C3487" s="100"/>
      <c r="D3487" s="100"/>
      <c r="E3487" s="100"/>
      <c r="F3487" s="100"/>
      <c r="G3487" s="100"/>
      <c r="H3487" s="100"/>
      <c r="I3487" s="100"/>
      <c r="J3487" s="100"/>
      <c r="K3487" s="100"/>
      <c r="L3487" s="100"/>
      <c r="M3487" s="100"/>
      <c r="N3487" s="100"/>
      <c r="O3487" s="100"/>
      <c r="P3487" s="100"/>
      <c r="Q3487" s="100"/>
      <c r="R3487" s="100"/>
      <c r="S3487" s="100"/>
      <c r="T3487" s="100"/>
      <c r="U3487" s="100"/>
      <c r="V3487" s="100"/>
      <c r="W3487" s="100"/>
      <c r="X3487" s="100"/>
      <c r="Y3487" s="100"/>
      <c r="Z3487" s="100"/>
    </row>
    <row r="3488" spans="1:26">
      <c r="A3488" s="100"/>
      <c r="B3488" s="100"/>
      <c r="C3488" s="100"/>
      <c r="D3488" s="100"/>
      <c r="E3488" s="100"/>
      <c r="F3488" s="100"/>
      <c r="G3488" s="100"/>
      <c r="H3488" s="100"/>
      <c r="I3488" s="100"/>
      <c r="J3488" s="100"/>
      <c r="K3488" s="100"/>
      <c r="L3488" s="100"/>
      <c r="M3488" s="100"/>
      <c r="N3488" s="100"/>
      <c r="O3488" s="100"/>
      <c r="P3488" s="100"/>
      <c r="Q3488" s="100"/>
      <c r="R3488" s="100"/>
      <c r="S3488" s="100"/>
      <c r="T3488" s="100"/>
      <c r="U3488" s="100"/>
      <c r="V3488" s="100"/>
      <c r="W3488" s="100"/>
      <c r="X3488" s="100"/>
      <c r="Y3488" s="100"/>
      <c r="Z3488" s="100"/>
    </row>
    <row r="3489" spans="1:26">
      <c r="A3489" s="100"/>
      <c r="B3489" s="100"/>
      <c r="C3489" s="100"/>
      <c r="D3489" s="100"/>
      <c r="E3489" s="100"/>
      <c r="F3489" s="100"/>
      <c r="G3489" s="100"/>
      <c r="H3489" s="100"/>
      <c r="I3489" s="100"/>
      <c r="J3489" s="100"/>
      <c r="K3489" s="100"/>
      <c r="L3489" s="100"/>
      <c r="M3489" s="100"/>
      <c r="N3489" s="100"/>
      <c r="O3489" s="100"/>
      <c r="P3489" s="100"/>
      <c r="Q3489" s="100"/>
      <c r="R3489" s="100"/>
      <c r="S3489" s="100"/>
      <c r="T3489" s="100"/>
      <c r="U3489" s="100"/>
      <c r="V3489" s="100"/>
      <c r="W3489" s="100"/>
      <c r="X3489" s="100"/>
      <c r="Y3489" s="100"/>
      <c r="Z3489" s="100"/>
    </row>
    <row r="3490" spans="1:26">
      <c r="A3490" s="100"/>
      <c r="B3490" s="100"/>
      <c r="C3490" s="100"/>
      <c r="D3490" s="100"/>
      <c r="E3490" s="100"/>
      <c r="F3490" s="100"/>
      <c r="G3490" s="100"/>
      <c r="H3490" s="100"/>
      <c r="I3490" s="100"/>
      <c r="J3490" s="100"/>
      <c r="K3490" s="100"/>
      <c r="L3490" s="100"/>
      <c r="M3490" s="100"/>
      <c r="N3490" s="100"/>
      <c r="O3490" s="100"/>
      <c r="P3490" s="100"/>
      <c r="Q3490" s="100"/>
      <c r="R3490" s="100"/>
      <c r="S3490" s="100"/>
      <c r="T3490" s="100"/>
      <c r="U3490" s="100"/>
      <c r="V3490" s="100"/>
      <c r="W3490" s="100"/>
      <c r="X3490" s="100"/>
      <c r="Y3490" s="100"/>
      <c r="Z3490" s="100"/>
    </row>
    <row r="3491" spans="1:26">
      <c r="A3491" s="100"/>
      <c r="B3491" s="100"/>
      <c r="C3491" s="100"/>
      <c r="D3491" s="100"/>
      <c r="E3491" s="100"/>
      <c r="F3491" s="100"/>
      <c r="G3491" s="100"/>
      <c r="H3491" s="100"/>
      <c r="I3491" s="100"/>
      <c r="J3491" s="100"/>
      <c r="K3491" s="100"/>
      <c r="L3491" s="100"/>
      <c r="M3491" s="100"/>
      <c r="N3491" s="100"/>
      <c r="O3491" s="100"/>
      <c r="P3491" s="100"/>
      <c r="Q3491" s="100"/>
      <c r="R3491" s="100"/>
      <c r="S3491" s="100"/>
      <c r="T3491" s="100"/>
      <c r="U3491" s="100"/>
      <c r="V3491" s="100"/>
      <c r="W3491" s="100"/>
      <c r="X3491" s="100"/>
      <c r="Y3491" s="100"/>
      <c r="Z3491" s="100"/>
    </row>
    <row r="3492" spans="1:26">
      <c r="A3492" s="100"/>
      <c r="B3492" s="100"/>
      <c r="C3492" s="100"/>
      <c r="D3492" s="100"/>
      <c r="E3492" s="100"/>
      <c r="F3492" s="100"/>
      <c r="G3492" s="100"/>
      <c r="H3492" s="100"/>
      <c r="I3492" s="100"/>
      <c r="J3492" s="100"/>
      <c r="K3492" s="100"/>
      <c r="L3492" s="100"/>
      <c r="M3492" s="100"/>
      <c r="N3492" s="100"/>
      <c r="O3492" s="100"/>
      <c r="P3492" s="100"/>
      <c r="Q3492" s="100"/>
      <c r="R3492" s="100"/>
      <c r="S3492" s="100"/>
      <c r="T3492" s="100"/>
      <c r="U3492" s="100"/>
      <c r="V3492" s="100"/>
      <c r="W3492" s="100"/>
      <c r="X3492" s="100"/>
      <c r="Y3492" s="100"/>
      <c r="Z3492" s="100"/>
    </row>
    <row r="3493" spans="1:26">
      <c r="A3493" s="100"/>
      <c r="B3493" s="100"/>
      <c r="C3493" s="100"/>
      <c r="D3493" s="100"/>
      <c r="E3493" s="100"/>
      <c r="F3493" s="100"/>
      <c r="G3493" s="100"/>
      <c r="H3493" s="100"/>
      <c r="I3493" s="100"/>
      <c r="J3493" s="100"/>
      <c r="K3493" s="100"/>
      <c r="L3493" s="100"/>
      <c r="M3493" s="100"/>
      <c r="N3493" s="100"/>
      <c r="O3493" s="100"/>
      <c r="P3493" s="100"/>
      <c r="Q3493" s="100"/>
      <c r="R3493" s="100"/>
      <c r="S3493" s="100"/>
      <c r="T3493" s="100"/>
      <c r="U3493" s="100"/>
      <c r="V3493" s="100"/>
      <c r="W3493" s="100"/>
      <c r="X3493" s="100"/>
      <c r="Y3493" s="100"/>
      <c r="Z3493" s="100"/>
    </row>
    <row r="3494" spans="1:26">
      <c r="A3494" s="100"/>
      <c r="B3494" s="100"/>
      <c r="C3494" s="100"/>
      <c r="D3494" s="100"/>
      <c r="E3494" s="100"/>
      <c r="F3494" s="100"/>
      <c r="G3494" s="100"/>
      <c r="H3494" s="100"/>
      <c r="I3494" s="100"/>
      <c r="J3494" s="100"/>
      <c r="K3494" s="100"/>
      <c r="L3494" s="100"/>
      <c r="M3494" s="100"/>
      <c r="N3494" s="100"/>
      <c r="O3494" s="100"/>
      <c r="P3494" s="100"/>
      <c r="Q3494" s="100"/>
      <c r="R3494" s="100"/>
      <c r="S3494" s="100"/>
      <c r="T3494" s="100"/>
      <c r="U3494" s="100"/>
      <c r="V3494" s="100"/>
      <c r="W3494" s="100"/>
      <c r="X3494" s="100"/>
      <c r="Y3494" s="100"/>
      <c r="Z3494" s="100"/>
    </row>
    <row r="3495" spans="1:26">
      <c r="A3495" s="100"/>
      <c r="B3495" s="100"/>
      <c r="C3495" s="100"/>
      <c r="D3495" s="100"/>
      <c r="E3495" s="100"/>
      <c r="F3495" s="100"/>
      <c r="G3495" s="100"/>
      <c r="H3495" s="100"/>
      <c r="I3495" s="100"/>
      <c r="J3495" s="100"/>
      <c r="K3495" s="100"/>
      <c r="L3495" s="100"/>
      <c r="M3495" s="100"/>
      <c r="N3495" s="100"/>
      <c r="O3495" s="100"/>
      <c r="P3495" s="100"/>
      <c r="Q3495" s="100"/>
      <c r="R3495" s="100"/>
      <c r="S3495" s="100"/>
      <c r="T3495" s="100"/>
      <c r="U3495" s="100"/>
      <c r="V3495" s="100"/>
      <c r="W3495" s="100"/>
      <c r="X3495" s="100"/>
      <c r="Y3495" s="100"/>
      <c r="Z3495" s="100"/>
    </row>
    <row r="3496" spans="1:26">
      <c r="A3496" s="100"/>
      <c r="B3496" s="100"/>
      <c r="C3496" s="100"/>
      <c r="D3496" s="100"/>
      <c r="E3496" s="100"/>
      <c r="F3496" s="100"/>
      <c r="G3496" s="100"/>
      <c r="H3496" s="100"/>
      <c r="I3496" s="100"/>
      <c r="J3496" s="100"/>
      <c r="K3496" s="100"/>
      <c r="L3496" s="100"/>
      <c r="M3496" s="100"/>
      <c r="N3496" s="100"/>
      <c r="O3496" s="100"/>
      <c r="P3496" s="100"/>
      <c r="Q3496" s="100"/>
      <c r="R3496" s="100"/>
      <c r="S3496" s="100"/>
      <c r="T3496" s="100"/>
      <c r="U3496" s="100"/>
      <c r="V3496" s="100"/>
      <c r="W3496" s="100"/>
      <c r="X3496" s="100"/>
      <c r="Y3496" s="100"/>
      <c r="Z3496" s="100"/>
    </row>
    <row r="3497" spans="1:26">
      <c r="A3497" s="100"/>
      <c r="B3497" s="100"/>
      <c r="C3497" s="100"/>
      <c r="D3497" s="100"/>
      <c r="E3497" s="100"/>
      <c r="F3497" s="100"/>
      <c r="G3497" s="100"/>
      <c r="H3497" s="100"/>
      <c r="I3497" s="100"/>
      <c r="J3497" s="100"/>
      <c r="K3497" s="100"/>
      <c r="L3497" s="100"/>
      <c r="M3497" s="100"/>
      <c r="N3497" s="100"/>
      <c r="O3497" s="100"/>
      <c r="P3497" s="100"/>
      <c r="Q3497" s="100"/>
      <c r="R3497" s="100"/>
      <c r="S3497" s="100"/>
      <c r="T3497" s="100"/>
      <c r="U3497" s="100"/>
      <c r="V3497" s="100"/>
      <c r="W3497" s="100"/>
      <c r="X3497" s="100"/>
      <c r="Y3497" s="100"/>
      <c r="Z3497" s="100"/>
    </row>
    <row r="3498" spans="1:26">
      <c r="A3498" s="100"/>
      <c r="B3498" s="100"/>
      <c r="C3498" s="100"/>
      <c r="D3498" s="100"/>
      <c r="E3498" s="100"/>
      <c r="F3498" s="100"/>
      <c r="G3498" s="100"/>
      <c r="H3498" s="100"/>
      <c r="I3498" s="100"/>
      <c r="J3498" s="100"/>
      <c r="K3498" s="100"/>
      <c r="L3498" s="100"/>
      <c r="M3498" s="100"/>
      <c r="N3498" s="100"/>
      <c r="O3498" s="100"/>
      <c r="P3498" s="100"/>
      <c r="Q3498" s="100"/>
      <c r="R3498" s="100"/>
      <c r="S3498" s="100"/>
      <c r="T3498" s="100"/>
      <c r="U3498" s="100"/>
      <c r="V3498" s="100"/>
      <c r="W3498" s="100"/>
      <c r="X3498" s="100"/>
      <c r="Y3498" s="100"/>
      <c r="Z3498" s="100"/>
    </row>
    <row r="3499" spans="1:26">
      <c r="A3499" s="100"/>
      <c r="B3499" s="100"/>
      <c r="C3499" s="100"/>
      <c r="D3499" s="100"/>
      <c r="E3499" s="100"/>
      <c r="F3499" s="100"/>
      <c r="G3499" s="100"/>
      <c r="H3499" s="100"/>
      <c r="I3499" s="100"/>
      <c r="J3499" s="100"/>
      <c r="K3499" s="100"/>
      <c r="L3499" s="100"/>
      <c r="M3499" s="100"/>
      <c r="N3499" s="100"/>
      <c r="O3499" s="100"/>
      <c r="P3499" s="100"/>
      <c r="Q3499" s="100"/>
      <c r="R3499" s="100"/>
      <c r="S3499" s="100"/>
      <c r="T3499" s="100"/>
      <c r="U3499" s="100"/>
      <c r="V3499" s="100"/>
      <c r="W3499" s="100"/>
      <c r="X3499" s="100"/>
      <c r="Y3499" s="100"/>
      <c r="Z3499" s="100"/>
    </row>
    <row r="3500" spans="1:26">
      <c r="A3500" s="100"/>
      <c r="B3500" s="100"/>
      <c r="C3500" s="100"/>
      <c r="D3500" s="100"/>
      <c r="E3500" s="100"/>
      <c r="F3500" s="100"/>
      <c r="G3500" s="100"/>
      <c r="H3500" s="100"/>
      <c r="I3500" s="100"/>
      <c r="J3500" s="100"/>
      <c r="K3500" s="100"/>
      <c r="L3500" s="100"/>
      <c r="M3500" s="100"/>
      <c r="N3500" s="100"/>
      <c r="O3500" s="100"/>
      <c r="P3500" s="100"/>
      <c r="Q3500" s="100"/>
      <c r="R3500" s="100"/>
      <c r="S3500" s="100"/>
      <c r="T3500" s="100"/>
      <c r="U3500" s="100"/>
      <c r="V3500" s="100"/>
      <c r="W3500" s="100"/>
      <c r="X3500" s="100"/>
      <c r="Y3500" s="100"/>
      <c r="Z3500" s="100"/>
    </row>
    <row r="3501" spans="1:26">
      <c r="A3501" s="100"/>
      <c r="B3501" s="100"/>
      <c r="C3501" s="100"/>
      <c r="D3501" s="100"/>
      <c r="E3501" s="100"/>
      <c r="F3501" s="100"/>
      <c r="G3501" s="100"/>
      <c r="H3501" s="100"/>
      <c r="I3501" s="100"/>
      <c r="J3501" s="100"/>
      <c r="K3501" s="100"/>
      <c r="L3501" s="100"/>
      <c r="M3501" s="100"/>
      <c r="N3501" s="100"/>
      <c r="O3501" s="100"/>
      <c r="P3501" s="100"/>
      <c r="Q3501" s="100"/>
      <c r="R3501" s="100"/>
      <c r="S3501" s="100"/>
      <c r="T3501" s="100"/>
      <c r="U3501" s="100"/>
      <c r="V3501" s="100"/>
      <c r="W3501" s="100"/>
      <c r="X3501" s="100"/>
      <c r="Y3501" s="100"/>
      <c r="Z3501" s="100"/>
    </row>
    <row r="3502" spans="1:26">
      <c r="A3502" s="100"/>
      <c r="B3502" s="100"/>
      <c r="C3502" s="100"/>
      <c r="D3502" s="100"/>
      <c r="E3502" s="100"/>
      <c r="F3502" s="100"/>
      <c r="G3502" s="100"/>
      <c r="H3502" s="100"/>
      <c r="I3502" s="100"/>
      <c r="J3502" s="100"/>
      <c r="K3502" s="100"/>
      <c r="L3502" s="100"/>
      <c r="M3502" s="100"/>
      <c r="N3502" s="100"/>
      <c r="O3502" s="100"/>
      <c r="P3502" s="100"/>
      <c r="Q3502" s="100"/>
      <c r="R3502" s="100"/>
      <c r="S3502" s="100"/>
      <c r="T3502" s="100"/>
      <c r="U3502" s="100"/>
      <c r="V3502" s="100"/>
      <c r="W3502" s="100"/>
      <c r="X3502" s="100"/>
      <c r="Y3502" s="100"/>
      <c r="Z3502" s="100"/>
    </row>
    <row r="3503" spans="1:26">
      <c r="A3503" s="100"/>
      <c r="B3503" s="100"/>
      <c r="C3503" s="100"/>
      <c r="D3503" s="100"/>
      <c r="E3503" s="100"/>
      <c r="F3503" s="100"/>
      <c r="G3503" s="100"/>
      <c r="H3503" s="100"/>
      <c r="I3503" s="100"/>
      <c r="J3503" s="100"/>
      <c r="K3503" s="100"/>
      <c r="L3503" s="100"/>
      <c r="M3503" s="100"/>
      <c r="N3503" s="100"/>
      <c r="O3503" s="100"/>
      <c r="P3503" s="100"/>
      <c r="Q3503" s="100"/>
      <c r="R3503" s="100"/>
      <c r="S3503" s="100"/>
      <c r="T3503" s="100"/>
      <c r="U3503" s="100"/>
      <c r="V3503" s="100"/>
      <c r="W3503" s="100"/>
      <c r="X3503" s="100"/>
      <c r="Y3503" s="100"/>
      <c r="Z3503" s="100"/>
    </row>
    <row r="3504" spans="1:26">
      <c r="A3504" s="100"/>
      <c r="B3504" s="100"/>
      <c r="C3504" s="100"/>
      <c r="D3504" s="100"/>
      <c r="E3504" s="100"/>
      <c r="F3504" s="100"/>
      <c r="G3504" s="100"/>
      <c r="H3504" s="100"/>
      <c r="I3504" s="100"/>
      <c r="J3504" s="100"/>
      <c r="K3504" s="100"/>
      <c r="L3504" s="100"/>
      <c r="M3504" s="100"/>
      <c r="N3504" s="100"/>
      <c r="O3504" s="100"/>
      <c r="P3504" s="100"/>
      <c r="Q3504" s="100"/>
      <c r="R3504" s="100"/>
      <c r="S3504" s="100"/>
      <c r="T3504" s="100"/>
      <c r="U3504" s="100"/>
      <c r="V3504" s="100"/>
      <c r="W3504" s="100"/>
      <c r="X3504" s="100"/>
      <c r="Y3504" s="100"/>
      <c r="Z3504" s="100"/>
    </row>
    <row r="3505" spans="1:26">
      <c r="A3505" s="100"/>
      <c r="B3505" s="100"/>
      <c r="C3505" s="100"/>
      <c r="D3505" s="100"/>
      <c r="E3505" s="100"/>
      <c r="F3505" s="100"/>
      <c r="G3505" s="100"/>
      <c r="H3505" s="100"/>
      <c r="I3505" s="100"/>
      <c r="J3505" s="100"/>
      <c r="K3505" s="100"/>
      <c r="L3505" s="100"/>
      <c r="M3505" s="100"/>
      <c r="N3505" s="100"/>
      <c r="O3505" s="100"/>
      <c r="P3505" s="100"/>
      <c r="Q3505" s="100"/>
      <c r="R3505" s="100"/>
      <c r="S3505" s="100"/>
      <c r="T3505" s="100"/>
      <c r="U3505" s="100"/>
      <c r="V3505" s="100"/>
      <c r="W3505" s="100"/>
      <c r="X3505" s="100"/>
      <c r="Y3505" s="100"/>
      <c r="Z3505" s="100"/>
    </row>
    <row r="3506" spans="1:26">
      <c r="A3506" s="100"/>
      <c r="B3506" s="100"/>
      <c r="C3506" s="100"/>
      <c r="D3506" s="100"/>
      <c r="E3506" s="100"/>
      <c r="F3506" s="100"/>
      <c r="G3506" s="100"/>
      <c r="H3506" s="100"/>
      <c r="I3506" s="100"/>
      <c r="J3506" s="100"/>
      <c r="K3506" s="100"/>
      <c r="L3506" s="100"/>
      <c r="M3506" s="100"/>
      <c r="N3506" s="100"/>
      <c r="O3506" s="100"/>
      <c r="P3506" s="100"/>
      <c r="Q3506" s="100"/>
      <c r="R3506" s="100"/>
      <c r="S3506" s="100"/>
      <c r="T3506" s="100"/>
      <c r="U3506" s="100"/>
      <c r="V3506" s="100"/>
      <c r="W3506" s="100"/>
      <c r="X3506" s="100"/>
      <c r="Y3506" s="100"/>
      <c r="Z3506" s="100"/>
    </row>
    <row r="3507" spans="1:26">
      <c r="A3507" s="100"/>
      <c r="B3507" s="100"/>
      <c r="C3507" s="100"/>
      <c r="D3507" s="100"/>
      <c r="E3507" s="100"/>
      <c r="F3507" s="100"/>
      <c r="G3507" s="100"/>
      <c r="H3507" s="100"/>
      <c r="I3507" s="100"/>
      <c r="J3507" s="100"/>
      <c r="K3507" s="100"/>
      <c r="L3507" s="100"/>
      <c r="M3507" s="100"/>
      <c r="N3507" s="100"/>
      <c r="O3507" s="100"/>
      <c r="P3507" s="100"/>
      <c r="Q3507" s="100"/>
      <c r="R3507" s="100"/>
      <c r="S3507" s="100"/>
      <c r="T3507" s="100"/>
      <c r="U3507" s="100"/>
      <c r="V3507" s="100"/>
      <c r="W3507" s="100"/>
      <c r="X3507" s="100"/>
      <c r="Y3507" s="100"/>
      <c r="Z3507" s="100"/>
    </row>
    <row r="3508" spans="1:26">
      <c r="A3508" s="100"/>
      <c r="B3508" s="100"/>
      <c r="C3508" s="100"/>
      <c r="D3508" s="100"/>
      <c r="E3508" s="100"/>
      <c r="F3508" s="100"/>
      <c r="G3508" s="100"/>
      <c r="H3508" s="100"/>
      <c r="I3508" s="100"/>
      <c r="J3508" s="100"/>
      <c r="K3508" s="100"/>
      <c r="L3508" s="100"/>
      <c r="M3508" s="100"/>
      <c r="N3508" s="100"/>
      <c r="O3508" s="100"/>
      <c r="P3508" s="100"/>
      <c r="Q3508" s="100"/>
      <c r="R3508" s="100"/>
      <c r="S3508" s="100"/>
      <c r="T3508" s="100"/>
      <c r="U3508" s="100"/>
      <c r="V3508" s="100"/>
      <c r="W3508" s="100"/>
      <c r="X3508" s="100"/>
      <c r="Y3508" s="100"/>
      <c r="Z3508" s="100"/>
    </row>
    <row r="3509" spans="1:26">
      <c r="A3509" s="100"/>
      <c r="B3509" s="100"/>
      <c r="C3509" s="100"/>
      <c r="D3509" s="100"/>
      <c r="E3509" s="100"/>
      <c r="F3509" s="100"/>
      <c r="G3509" s="100"/>
      <c r="H3509" s="100"/>
      <c r="I3509" s="100"/>
      <c r="J3509" s="100"/>
      <c r="K3509" s="100"/>
      <c r="L3509" s="100"/>
      <c r="M3509" s="100"/>
      <c r="N3509" s="100"/>
      <c r="O3509" s="100"/>
      <c r="P3509" s="100"/>
      <c r="Q3509" s="100"/>
      <c r="R3509" s="100"/>
      <c r="S3509" s="100"/>
      <c r="T3509" s="100"/>
      <c r="U3509" s="100"/>
      <c r="V3509" s="100"/>
      <c r="W3509" s="100"/>
      <c r="X3509" s="100"/>
      <c r="Y3509" s="100"/>
      <c r="Z3509" s="100"/>
    </row>
    <row r="3510" spans="1:26">
      <c r="A3510" s="100"/>
      <c r="B3510" s="100"/>
      <c r="C3510" s="100"/>
      <c r="D3510" s="100"/>
      <c r="E3510" s="100"/>
      <c r="F3510" s="100"/>
      <c r="G3510" s="100"/>
      <c r="H3510" s="100"/>
      <c r="I3510" s="100"/>
      <c r="J3510" s="100"/>
      <c r="K3510" s="100"/>
      <c r="L3510" s="100"/>
      <c r="M3510" s="100"/>
      <c r="N3510" s="100"/>
      <c r="O3510" s="100"/>
      <c r="P3510" s="100"/>
      <c r="Q3510" s="100"/>
      <c r="R3510" s="100"/>
      <c r="S3510" s="100"/>
      <c r="T3510" s="100"/>
      <c r="U3510" s="100"/>
      <c r="V3510" s="100"/>
      <c r="W3510" s="100"/>
      <c r="X3510" s="100"/>
      <c r="Y3510" s="100"/>
      <c r="Z3510" s="100"/>
    </row>
    <row r="3511" spans="1:26">
      <c r="A3511" s="100"/>
      <c r="B3511" s="100"/>
      <c r="C3511" s="100"/>
      <c r="D3511" s="100"/>
      <c r="E3511" s="100"/>
      <c r="F3511" s="100"/>
      <c r="G3511" s="100"/>
      <c r="H3511" s="100"/>
      <c r="I3511" s="100"/>
      <c r="J3511" s="100"/>
      <c r="K3511" s="100"/>
      <c r="L3511" s="100"/>
      <c r="M3511" s="100"/>
      <c r="N3511" s="100"/>
      <c r="O3511" s="100"/>
      <c r="P3511" s="100"/>
      <c r="Q3511" s="100"/>
      <c r="R3511" s="100"/>
      <c r="S3511" s="100"/>
      <c r="T3511" s="100"/>
      <c r="U3511" s="100"/>
      <c r="V3511" s="100"/>
      <c r="W3511" s="100"/>
      <c r="X3511" s="100"/>
      <c r="Y3511" s="100"/>
      <c r="Z3511" s="100"/>
    </row>
    <row r="3512" spans="1:26">
      <c r="A3512" s="100"/>
      <c r="B3512" s="100"/>
      <c r="C3512" s="100"/>
      <c r="D3512" s="100"/>
      <c r="E3512" s="100"/>
      <c r="F3512" s="100"/>
      <c r="G3512" s="100"/>
      <c r="H3512" s="100"/>
      <c r="I3512" s="100"/>
      <c r="J3512" s="100"/>
      <c r="K3512" s="100"/>
      <c r="L3512" s="100"/>
      <c r="M3512" s="100"/>
      <c r="N3512" s="100"/>
      <c r="O3512" s="100"/>
      <c r="P3512" s="100"/>
      <c r="Q3512" s="100"/>
      <c r="R3512" s="100"/>
      <c r="S3512" s="100"/>
      <c r="T3512" s="100"/>
      <c r="U3512" s="100"/>
      <c r="V3512" s="100"/>
      <c r="W3512" s="100"/>
      <c r="X3512" s="100"/>
      <c r="Y3512" s="100"/>
      <c r="Z3512" s="100"/>
    </row>
    <row r="3513" spans="1:26">
      <c r="A3513" s="100"/>
      <c r="B3513" s="100"/>
      <c r="C3513" s="100"/>
      <c r="D3513" s="100"/>
      <c r="E3513" s="100"/>
      <c r="F3513" s="100"/>
      <c r="G3513" s="100"/>
      <c r="H3513" s="100"/>
      <c r="I3513" s="100"/>
      <c r="J3513" s="100"/>
      <c r="K3513" s="100"/>
      <c r="L3513" s="100"/>
      <c r="M3513" s="100"/>
      <c r="N3513" s="100"/>
      <c r="O3513" s="100"/>
      <c r="P3513" s="100"/>
      <c r="Q3513" s="100"/>
      <c r="R3513" s="100"/>
      <c r="S3513" s="100"/>
      <c r="T3513" s="100"/>
      <c r="U3513" s="100"/>
      <c r="V3513" s="100"/>
      <c r="W3513" s="100"/>
      <c r="X3513" s="100"/>
      <c r="Y3513" s="100"/>
      <c r="Z3513" s="100"/>
    </row>
    <row r="3514" spans="1:26">
      <c r="A3514" s="100"/>
      <c r="B3514" s="100"/>
      <c r="C3514" s="100"/>
      <c r="D3514" s="100"/>
      <c r="E3514" s="100"/>
      <c r="F3514" s="100"/>
      <c r="G3514" s="100"/>
      <c r="H3514" s="100"/>
      <c r="I3514" s="100"/>
      <c r="J3514" s="100"/>
      <c r="K3514" s="100"/>
      <c r="L3514" s="100"/>
      <c r="M3514" s="100"/>
      <c r="N3514" s="100"/>
      <c r="O3514" s="100"/>
      <c r="P3514" s="100"/>
      <c r="Q3514" s="100"/>
      <c r="R3514" s="100"/>
      <c r="S3514" s="100"/>
      <c r="T3514" s="100"/>
      <c r="U3514" s="100"/>
      <c r="V3514" s="100"/>
      <c r="W3514" s="100"/>
      <c r="X3514" s="100"/>
      <c r="Y3514" s="100"/>
      <c r="Z3514" s="100"/>
    </row>
    <row r="3515" spans="1:26">
      <c r="A3515" s="100"/>
      <c r="B3515" s="100"/>
      <c r="C3515" s="100"/>
      <c r="D3515" s="100"/>
      <c r="E3515" s="100"/>
      <c r="F3515" s="100"/>
      <c r="G3515" s="100"/>
      <c r="H3515" s="100"/>
      <c r="I3515" s="100"/>
      <c r="J3515" s="100"/>
      <c r="K3515" s="100"/>
      <c r="L3515" s="100"/>
      <c r="M3515" s="100"/>
      <c r="N3515" s="100"/>
      <c r="O3515" s="100"/>
      <c r="P3515" s="100"/>
      <c r="Q3515" s="100"/>
      <c r="R3515" s="100"/>
      <c r="S3515" s="100"/>
      <c r="T3515" s="100"/>
      <c r="U3515" s="100"/>
      <c r="V3515" s="100"/>
      <c r="W3515" s="100"/>
      <c r="X3515" s="100"/>
      <c r="Y3515" s="100"/>
      <c r="Z3515" s="100"/>
    </row>
    <row r="3516" spans="1:26">
      <c r="A3516" s="100"/>
      <c r="B3516" s="100"/>
      <c r="C3516" s="100"/>
      <c r="D3516" s="100"/>
      <c r="E3516" s="100"/>
      <c r="F3516" s="100"/>
      <c r="G3516" s="100"/>
      <c r="H3516" s="100"/>
      <c r="I3516" s="100"/>
      <c r="J3516" s="100"/>
      <c r="K3516" s="100"/>
      <c r="L3516" s="100"/>
      <c r="M3516" s="100"/>
      <c r="N3516" s="100"/>
      <c r="O3516" s="100"/>
      <c r="P3516" s="100"/>
      <c r="Q3516" s="100"/>
      <c r="R3516" s="100"/>
      <c r="S3516" s="100"/>
      <c r="T3516" s="100"/>
      <c r="U3516" s="100"/>
      <c r="V3516" s="100"/>
      <c r="W3516" s="100"/>
      <c r="X3516" s="100"/>
      <c r="Y3516" s="100"/>
      <c r="Z3516" s="100"/>
    </row>
    <row r="3517" spans="1:26">
      <c r="A3517" s="100"/>
      <c r="B3517" s="100"/>
      <c r="C3517" s="100"/>
      <c r="D3517" s="100"/>
      <c r="E3517" s="100"/>
      <c r="F3517" s="100"/>
      <c r="G3517" s="100"/>
      <c r="H3517" s="100"/>
      <c r="I3517" s="100"/>
      <c r="J3517" s="100"/>
      <c r="K3517" s="100"/>
      <c r="L3517" s="100"/>
      <c r="M3517" s="100"/>
      <c r="N3517" s="100"/>
      <c r="O3517" s="100"/>
      <c r="P3517" s="100"/>
      <c r="Q3517" s="100"/>
      <c r="R3517" s="100"/>
      <c r="S3517" s="100"/>
      <c r="T3517" s="100"/>
      <c r="U3517" s="100"/>
      <c r="V3517" s="100"/>
      <c r="W3517" s="100"/>
      <c r="X3517" s="100"/>
      <c r="Y3517" s="100"/>
      <c r="Z3517" s="100"/>
    </row>
    <row r="3518" spans="1:26">
      <c r="A3518" s="100"/>
      <c r="B3518" s="100"/>
      <c r="C3518" s="100"/>
      <c r="D3518" s="100"/>
      <c r="E3518" s="100"/>
      <c r="F3518" s="100"/>
      <c r="G3518" s="100"/>
      <c r="H3518" s="100"/>
      <c r="I3518" s="100"/>
      <c r="J3518" s="100"/>
      <c r="K3518" s="100"/>
      <c r="L3518" s="100"/>
      <c r="M3518" s="100"/>
      <c r="N3518" s="100"/>
      <c r="O3518" s="100"/>
      <c r="P3518" s="100"/>
      <c r="Q3518" s="100"/>
      <c r="R3518" s="100"/>
      <c r="S3518" s="100"/>
      <c r="T3518" s="100"/>
      <c r="U3518" s="100"/>
      <c r="V3518" s="100"/>
      <c r="W3518" s="100"/>
      <c r="X3518" s="100"/>
      <c r="Y3518" s="100"/>
      <c r="Z3518" s="100"/>
    </row>
    <row r="3519" spans="1:26">
      <c r="A3519" s="100"/>
      <c r="B3519" s="100"/>
      <c r="C3519" s="100"/>
      <c r="D3519" s="100"/>
      <c r="E3519" s="100"/>
      <c r="F3519" s="100"/>
      <c r="G3519" s="100"/>
      <c r="H3519" s="100"/>
      <c r="I3519" s="100"/>
      <c r="J3519" s="100"/>
      <c r="K3519" s="100"/>
      <c r="L3519" s="100"/>
      <c r="M3519" s="100"/>
      <c r="N3519" s="100"/>
      <c r="O3519" s="100"/>
      <c r="P3519" s="100"/>
      <c r="Q3519" s="100"/>
      <c r="R3519" s="100"/>
      <c r="S3519" s="100"/>
      <c r="T3519" s="100"/>
      <c r="U3519" s="100"/>
      <c r="V3519" s="100"/>
      <c r="W3519" s="100"/>
      <c r="X3519" s="100"/>
      <c r="Y3519" s="100"/>
      <c r="Z3519" s="100"/>
    </row>
    <row r="3520" spans="1:26">
      <c r="A3520" s="100"/>
      <c r="B3520" s="100"/>
      <c r="C3520" s="100"/>
      <c r="D3520" s="100"/>
      <c r="E3520" s="100"/>
      <c r="F3520" s="100"/>
      <c r="G3520" s="100"/>
      <c r="H3520" s="100"/>
      <c r="I3520" s="100"/>
      <c r="J3520" s="100"/>
      <c r="K3520" s="100"/>
      <c r="L3520" s="100"/>
      <c r="M3520" s="100"/>
      <c r="N3520" s="100"/>
      <c r="O3520" s="100"/>
      <c r="P3520" s="100"/>
      <c r="Q3520" s="100"/>
      <c r="R3520" s="100"/>
      <c r="S3520" s="100"/>
      <c r="T3520" s="100"/>
      <c r="U3520" s="100"/>
      <c r="V3520" s="100"/>
      <c r="W3520" s="100"/>
      <c r="X3520" s="100"/>
      <c r="Y3520" s="100"/>
      <c r="Z3520" s="100"/>
    </row>
    <row r="3521" spans="1:26">
      <c r="A3521" s="100"/>
      <c r="B3521" s="100"/>
      <c r="C3521" s="100"/>
      <c r="D3521" s="100"/>
      <c r="E3521" s="100"/>
      <c r="F3521" s="100"/>
      <c r="G3521" s="100"/>
      <c r="H3521" s="100"/>
      <c r="I3521" s="100"/>
      <c r="J3521" s="100"/>
      <c r="K3521" s="100"/>
      <c r="L3521" s="100"/>
      <c r="M3521" s="100"/>
      <c r="N3521" s="100"/>
      <c r="O3521" s="100"/>
      <c r="P3521" s="100"/>
      <c r="Q3521" s="100"/>
      <c r="R3521" s="100"/>
      <c r="S3521" s="100"/>
      <c r="T3521" s="100"/>
      <c r="U3521" s="100"/>
      <c r="V3521" s="100"/>
      <c r="W3521" s="100"/>
      <c r="X3521" s="100"/>
      <c r="Y3521" s="100"/>
      <c r="Z3521" s="100"/>
    </row>
    <row r="3522" spans="1:26">
      <c r="A3522" s="100"/>
      <c r="B3522" s="100"/>
      <c r="C3522" s="100"/>
      <c r="D3522" s="100"/>
      <c r="E3522" s="100"/>
      <c r="F3522" s="100"/>
      <c r="G3522" s="100"/>
      <c r="H3522" s="100"/>
      <c r="I3522" s="100"/>
      <c r="J3522" s="100"/>
      <c r="K3522" s="100"/>
      <c r="L3522" s="100"/>
      <c r="M3522" s="100"/>
      <c r="N3522" s="100"/>
      <c r="O3522" s="100"/>
      <c r="P3522" s="100"/>
      <c r="Q3522" s="100"/>
      <c r="R3522" s="100"/>
      <c r="S3522" s="100"/>
      <c r="T3522" s="100"/>
      <c r="U3522" s="100"/>
      <c r="V3522" s="100"/>
      <c r="W3522" s="100"/>
      <c r="X3522" s="100"/>
      <c r="Y3522" s="100"/>
      <c r="Z3522" s="100"/>
    </row>
    <row r="3523" spans="1:26">
      <c r="A3523" s="100"/>
      <c r="B3523" s="100"/>
      <c r="C3523" s="100"/>
      <c r="D3523" s="100"/>
      <c r="E3523" s="100"/>
      <c r="F3523" s="100"/>
      <c r="G3523" s="100"/>
      <c r="H3523" s="100"/>
      <c r="I3523" s="100"/>
      <c r="J3523" s="100"/>
      <c r="K3523" s="100"/>
      <c r="L3523" s="100"/>
      <c r="M3523" s="100"/>
      <c r="N3523" s="100"/>
      <c r="O3523" s="100"/>
      <c r="P3523" s="100"/>
      <c r="Q3523" s="100"/>
      <c r="R3523" s="100"/>
      <c r="S3523" s="100"/>
      <c r="T3523" s="100"/>
      <c r="U3523" s="100"/>
      <c r="V3523" s="100"/>
      <c r="W3523" s="100"/>
      <c r="X3523" s="100"/>
      <c r="Y3523" s="100"/>
      <c r="Z3523" s="100"/>
    </row>
    <row r="3524" spans="1:26">
      <c r="A3524" s="100"/>
      <c r="B3524" s="100"/>
      <c r="C3524" s="100"/>
      <c r="D3524" s="100"/>
      <c r="E3524" s="100"/>
      <c r="F3524" s="100"/>
      <c r="G3524" s="100"/>
      <c r="H3524" s="100"/>
      <c r="I3524" s="100"/>
      <c r="J3524" s="100"/>
      <c r="K3524" s="100"/>
      <c r="L3524" s="100"/>
      <c r="M3524" s="100"/>
      <c r="N3524" s="100"/>
      <c r="O3524" s="100"/>
      <c r="P3524" s="100"/>
      <c r="Q3524" s="100"/>
      <c r="R3524" s="100"/>
      <c r="S3524" s="100"/>
      <c r="T3524" s="100"/>
      <c r="U3524" s="100"/>
      <c r="V3524" s="100"/>
      <c r="W3524" s="100"/>
      <c r="X3524" s="100"/>
      <c r="Y3524" s="100"/>
      <c r="Z3524" s="100"/>
    </row>
    <row r="3525" spans="1:26">
      <c r="A3525" s="100"/>
      <c r="B3525" s="100"/>
      <c r="C3525" s="100"/>
      <c r="D3525" s="100"/>
      <c r="E3525" s="100"/>
      <c r="F3525" s="100"/>
      <c r="G3525" s="100"/>
      <c r="H3525" s="100"/>
      <c r="I3525" s="100"/>
      <c r="J3525" s="100"/>
      <c r="K3525" s="100"/>
      <c r="L3525" s="100"/>
      <c r="M3525" s="100"/>
      <c r="N3525" s="100"/>
      <c r="O3525" s="100"/>
      <c r="P3525" s="100"/>
      <c r="Q3525" s="100"/>
      <c r="R3525" s="100"/>
      <c r="S3525" s="100"/>
      <c r="T3525" s="100"/>
      <c r="U3525" s="100"/>
      <c r="V3525" s="100"/>
      <c r="W3525" s="100"/>
      <c r="X3525" s="100"/>
      <c r="Y3525" s="100"/>
      <c r="Z3525" s="100"/>
    </row>
    <row r="3526" spans="1:26">
      <c r="A3526" s="100"/>
      <c r="B3526" s="100"/>
      <c r="C3526" s="100"/>
      <c r="D3526" s="100"/>
      <c r="E3526" s="100"/>
      <c r="F3526" s="100"/>
      <c r="G3526" s="100"/>
      <c r="H3526" s="100"/>
      <c r="I3526" s="100"/>
      <c r="J3526" s="100"/>
      <c r="K3526" s="100"/>
      <c r="L3526" s="100"/>
      <c r="M3526" s="100"/>
      <c r="N3526" s="100"/>
      <c r="O3526" s="100"/>
      <c r="P3526" s="100"/>
      <c r="Q3526" s="100"/>
      <c r="R3526" s="100"/>
      <c r="S3526" s="100"/>
      <c r="T3526" s="100"/>
      <c r="U3526" s="100"/>
      <c r="V3526" s="100"/>
      <c r="W3526" s="100"/>
      <c r="X3526" s="100"/>
      <c r="Y3526" s="100"/>
      <c r="Z3526" s="100"/>
    </row>
    <row r="3527" spans="1:26">
      <c r="A3527" s="100"/>
      <c r="B3527" s="100"/>
      <c r="C3527" s="100"/>
      <c r="D3527" s="100"/>
      <c r="E3527" s="100"/>
      <c r="F3527" s="100"/>
      <c r="G3527" s="100"/>
      <c r="H3527" s="100"/>
      <c r="I3527" s="100"/>
      <c r="J3527" s="100"/>
      <c r="K3527" s="100"/>
      <c r="L3527" s="100"/>
      <c r="M3527" s="100"/>
      <c r="N3527" s="100"/>
      <c r="O3527" s="100"/>
      <c r="P3527" s="100"/>
      <c r="Q3527" s="100"/>
      <c r="R3527" s="100"/>
      <c r="S3527" s="100"/>
      <c r="T3527" s="100"/>
      <c r="U3527" s="100"/>
      <c r="V3527" s="100"/>
      <c r="W3527" s="100"/>
      <c r="X3527" s="100"/>
      <c r="Y3527" s="100"/>
      <c r="Z3527" s="100"/>
    </row>
    <row r="3528" spans="1:26">
      <c r="A3528" s="100"/>
      <c r="B3528" s="100"/>
      <c r="C3528" s="100"/>
      <c r="D3528" s="100"/>
      <c r="E3528" s="100"/>
      <c r="F3528" s="100"/>
      <c r="G3528" s="100"/>
      <c r="H3528" s="100"/>
      <c r="I3528" s="100"/>
      <c r="J3528" s="100"/>
      <c r="K3528" s="100"/>
      <c r="L3528" s="100"/>
      <c r="M3528" s="100"/>
      <c r="N3528" s="100"/>
      <c r="O3528" s="100"/>
      <c r="P3528" s="100"/>
      <c r="Q3528" s="100"/>
      <c r="R3528" s="100"/>
      <c r="S3528" s="100"/>
      <c r="T3528" s="100"/>
      <c r="U3528" s="100"/>
      <c r="V3528" s="100"/>
      <c r="W3528" s="100"/>
      <c r="X3528" s="100"/>
      <c r="Y3528" s="100"/>
      <c r="Z3528" s="100"/>
    </row>
    <row r="3529" spans="1:26">
      <c r="A3529" s="100"/>
      <c r="B3529" s="100"/>
      <c r="C3529" s="100"/>
      <c r="D3529" s="100"/>
      <c r="E3529" s="100"/>
      <c r="F3529" s="100"/>
      <c r="G3529" s="100"/>
      <c r="H3529" s="100"/>
      <c r="I3529" s="100"/>
      <c r="J3529" s="100"/>
      <c r="K3529" s="100"/>
      <c r="L3529" s="100"/>
      <c r="M3529" s="100"/>
      <c r="N3529" s="100"/>
      <c r="O3529" s="100"/>
      <c r="P3529" s="100"/>
      <c r="Q3529" s="100"/>
      <c r="R3529" s="100"/>
      <c r="S3529" s="100"/>
      <c r="T3529" s="100"/>
      <c r="U3529" s="100"/>
      <c r="V3529" s="100"/>
      <c r="W3529" s="100"/>
      <c r="X3529" s="100"/>
      <c r="Y3529" s="100"/>
      <c r="Z3529" s="100"/>
    </row>
    <row r="3530" spans="1:26">
      <c r="A3530" s="100"/>
      <c r="B3530" s="100"/>
      <c r="C3530" s="100"/>
      <c r="D3530" s="100"/>
      <c r="E3530" s="100"/>
      <c r="F3530" s="100"/>
      <c r="G3530" s="100"/>
      <c r="H3530" s="100"/>
      <c r="I3530" s="100"/>
      <c r="J3530" s="100"/>
      <c r="K3530" s="100"/>
      <c r="L3530" s="100"/>
      <c r="M3530" s="100"/>
      <c r="N3530" s="100"/>
      <c r="O3530" s="100"/>
      <c r="P3530" s="100"/>
      <c r="Q3530" s="100"/>
      <c r="R3530" s="100"/>
      <c r="S3530" s="100"/>
      <c r="T3530" s="100"/>
      <c r="U3530" s="100"/>
      <c r="V3530" s="100"/>
      <c r="W3530" s="100"/>
      <c r="X3530" s="100"/>
      <c r="Y3530" s="100"/>
      <c r="Z3530" s="100"/>
    </row>
    <row r="3531" spans="1:26">
      <c r="A3531" s="100"/>
      <c r="B3531" s="100"/>
      <c r="C3531" s="100"/>
      <c r="D3531" s="100"/>
      <c r="E3531" s="100"/>
      <c r="F3531" s="100"/>
      <c r="G3531" s="100"/>
      <c r="H3531" s="100"/>
      <c r="I3531" s="100"/>
      <c r="J3531" s="100"/>
      <c r="K3531" s="100"/>
      <c r="L3531" s="100"/>
      <c r="M3531" s="100"/>
      <c r="N3531" s="100"/>
      <c r="O3531" s="100"/>
      <c r="P3531" s="100"/>
      <c r="Q3531" s="100"/>
      <c r="R3531" s="100"/>
      <c r="S3531" s="100"/>
      <c r="T3531" s="100"/>
      <c r="U3531" s="100"/>
      <c r="V3531" s="100"/>
      <c r="W3531" s="100"/>
      <c r="X3531" s="100"/>
      <c r="Y3531" s="100"/>
      <c r="Z3531" s="100"/>
    </row>
    <row r="3532" spans="1:26">
      <c r="A3532" s="100"/>
      <c r="B3532" s="100"/>
      <c r="C3532" s="100"/>
      <c r="D3532" s="100"/>
      <c r="E3532" s="100"/>
      <c r="F3532" s="100"/>
      <c r="G3532" s="100"/>
      <c r="H3532" s="100"/>
      <c r="I3532" s="100"/>
      <c r="J3532" s="100"/>
      <c r="K3532" s="100"/>
      <c r="L3532" s="100"/>
      <c r="M3532" s="100"/>
      <c r="N3532" s="100"/>
      <c r="O3532" s="100"/>
      <c r="P3532" s="100"/>
      <c r="Q3532" s="100"/>
      <c r="R3532" s="100"/>
      <c r="S3532" s="100"/>
      <c r="T3532" s="100"/>
      <c r="U3532" s="100"/>
      <c r="V3532" s="100"/>
      <c r="W3532" s="100"/>
      <c r="X3532" s="100"/>
      <c r="Y3532" s="100"/>
      <c r="Z3532" s="100"/>
    </row>
    <row r="3533" spans="1:26">
      <c r="A3533" s="100"/>
      <c r="B3533" s="100"/>
      <c r="C3533" s="100"/>
      <c r="D3533" s="100"/>
      <c r="E3533" s="100"/>
      <c r="F3533" s="100"/>
      <c r="G3533" s="100"/>
      <c r="H3533" s="100"/>
      <c r="I3533" s="100"/>
      <c r="J3533" s="100"/>
      <c r="K3533" s="100"/>
      <c r="L3533" s="100"/>
      <c r="M3533" s="100"/>
      <c r="N3533" s="100"/>
      <c r="O3533" s="100"/>
      <c r="P3533" s="100"/>
      <c r="Q3533" s="100"/>
      <c r="R3533" s="100"/>
      <c r="S3533" s="100"/>
      <c r="T3533" s="100"/>
      <c r="U3533" s="100"/>
      <c r="V3533" s="100"/>
      <c r="W3533" s="100"/>
      <c r="X3533" s="100"/>
      <c r="Y3533" s="100"/>
      <c r="Z3533" s="100"/>
    </row>
    <row r="3534" spans="1:26">
      <c r="A3534" s="100"/>
      <c r="B3534" s="100"/>
      <c r="C3534" s="100"/>
      <c r="D3534" s="100"/>
      <c r="E3534" s="100"/>
      <c r="F3534" s="100"/>
      <c r="G3534" s="100"/>
      <c r="H3534" s="100"/>
      <c r="I3534" s="100"/>
      <c r="J3534" s="100"/>
      <c r="K3534" s="100"/>
      <c r="L3534" s="100"/>
      <c r="M3534" s="100"/>
      <c r="N3534" s="100"/>
      <c r="O3534" s="100"/>
      <c r="P3534" s="100"/>
      <c r="Q3534" s="100"/>
      <c r="R3534" s="100"/>
      <c r="S3534" s="100"/>
      <c r="T3534" s="100"/>
      <c r="U3534" s="100"/>
      <c r="V3534" s="100"/>
      <c r="W3534" s="100"/>
      <c r="X3534" s="100"/>
      <c r="Y3534" s="100"/>
      <c r="Z3534" s="100"/>
    </row>
    <row r="3535" spans="1:26">
      <c r="A3535" s="100"/>
      <c r="B3535" s="100"/>
      <c r="C3535" s="100"/>
      <c r="D3535" s="100"/>
      <c r="E3535" s="100"/>
      <c r="F3535" s="100"/>
      <c r="G3535" s="100"/>
      <c r="H3535" s="100"/>
      <c r="I3535" s="100"/>
      <c r="J3535" s="100"/>
      <c r="K3535" s="100"/>
      <c r="L3535" s="100"/>
      <c r="M3535" s="100"/>
      <c r="N3535" s="100"/>
      <c r="O3535" s="100"/>
      <c r="P3535" s="100"/>
      <c r="Q3535" s="100"/>
      <c r="R3535" s="100"/>
      <c r="S3535" s="100"/>
      <c r="T3535" s="100"/>
      <c r="U3535" s="100"/>
      <c r="V3535" s="100"/>
      <c r="W3535" s="100"/>
      <c r="X3535" s="100"/>
      <c r="Y3535" s="100"/>
      <c r="Z3535" s="100"/>
    </row>
    <row r="3536" spans="1:26">
      <c r="A3536" s="100"/>
      <c r="B3536" s="100"/>
      <c r="C3536" s="100"/>
      <c r="D3536" s="100"/>
      <c r="E3536" s="100"/>
      <c r="F3536" s="100"/>
      <c r="G3536" s="100"/>
      <c r="H3536" s="100"/>
      <c r="I3536" s="100"/>
      <c r="J3536" s="100"/>
      <c r="K3536" s="100"/>
      <c r="L3536" s="100"/>
      <c r="M3536" s="100"/>
      <c r="N3536" s="100"/>
      <c r="O3536" s="100"/>
      <c r="P3536" s="100"/>
      <c r="Q3536" s="100"/>
      <c r="R3536" s="100"/>
      <c r="S3536" s="100"/>
      <c r="T3536" s="100"/>
      <c r="U3536" s="100"/>
      <c r="V3536" s="100"/>
      <c r="W3536" s="100"/>
      <c r="X3536" s="100"/>
      <c r="Y3536" s="100"/>
      <c r="Z3536" s="100"/>
    </row>
    <row r="3537" spans="1:26">
      <c r="A3537" s="100"/>
      <c r="B3537" s="100"/>
      <c r="C3537" s="100"/>
      <c r="D3537" s="100"/>
      <c r="E3537" s="100"/>
      <c r="F3537" s="100"/>
      <c r="G3537" s="100"/>
      <c r="H3537" s="100"/>
      <c r="I3537" s="100"/>
      <c r="J3537" s="100"/>
      <c r="K3537" s="100"/>
      <c r="L3537" s="100"/>
      <c r="M3537" s="100"/>
      <c r="N3537" s="100"/>
      <c r="O3537" s="100"/>
      <c r="P3537" s="100"/>
      <c r="Q3537" s="100"/>
      <c r="R3537" s="100"/>
      <c r="S3537" s="100"/>
      <c r="T3537" s="100"/>
      <c r="U3537" s="100"/>
      <c r="V3537" s="100"/>
      <c r="W3537" s="100"/>
      <c r="X3537" s="100"/>
      <c r="Y3537" s="100"/>
      <c r="Z3537" s="100"/>
    </row>
    <row r="3538" spans="1:26">
      <c r="A3538" s="100"/>
      <c r="B3538" s="100"/>
      <c r="C3538" s="100"/>
      <c r="D3538" s="100"/>
      <c r="E3538" s="100"/>
      <c r="F3538" s="100"/>
      <c r="G3538" s="100"/>
      <c r="H3538" s="100"/>
      <c r="I3538" s="100"/>
      <c r="J3538" s="100"/>
      <c r="K3538" s="100"/>
      <c r="L3538" s="100"/>
      <c r="M3538" s="100"/>
      <c r="N3538" s="100"/>
      <c r="O3538" s="100"/>
      <c r="P3538" s="100"/>
      <c r="Q3538" s="100"/>
      <c r="R3538" s="100"/>
      <c r="S3538" s="100"/>
      <c r="T3538" s="100"/>
      <c r="U3538" s="100"/>
      <c r="V3538" s="100"/>
      <c r="W3538" s="100"/>
      <c r="X3538" s="100"/>
      <c r="Y3538" s="100"/>
      <c r="Z3538" s="100"/>
    </row>
    <row r="3539" spans="1:26">
      <c r="A3539" s="100"/>
      <c r="B3539" s="100"/>
      <c r="C3539" s="100"/>
      <c r="D3539" s="100"/>
      <c r="E3539" s="100"/>
      <c r="F3539" s="100"/>
      <c r="G3539" s="100"/>
      <c r="H3539" s="100"/>
      <c r="I3539" s="100"/>
      <c r="J3539" s="100"/>
      <c r="K3539" s="100"/>
      <c r="L3539" s="100"/>
      <c r="M3539" s="100"/>
      <c r="N3539" s="100"/>
      <c r="O3539" s="100"/>
      <c r="P3539" s="100"/>
      <c r="Q3539" s="100"/>
      <c r="R3539" s="100"/>
      <c r="S3539" s="100"/>
      <c r="T3539" s="100"/>
      <c r="U3539" s="100"/>
      <c r="V3539" s="100"/>
      <c r="W3539" s="100"/>
      <c r="X3539" s="100"/>
      <c r="Y3539" s="100"/>
      <c r="Z3539" s="100"/>
    </row>
    <row r="3540" spans="1:26">
      <c r="A3540" s="100"/>
      <c r="B3540" s="100"/>
      <c r="C3540" s="100"/>
      <c r="D3540" s="100"/>
      <c r="E3540" s="100"/>
      <c r="F3540" s="100"/>
      <c r="G3540" s="100"/>
      <c r="H3540" s="100"/>
      <c r="I3540" s="100"/>
      <c r="J3540" s="100"/>
      <c r="K3540" s="100"/>
      <c r="L3540" s="100"/>
      <c r="M3540" s="100"/>
      <c r="N3540" s="100"/>
      <c r="O3540" s="100"/>
      <c r="P3540" s="100"/>
      <c r="Q3540" s="100"/>
      <c r="R3540" s="100"/>
      <c r="S3540" s="100"/>
      <c r="T3540" s="100"/>
      <c r="U3540" s="100"/>
      <c r="V3540" s="100"/>
      <c r="W3540" s="100"/>
      <c r="X3540" s="100"/>
      <c r="Y3540" s="100"/>
      <c r="Z3540" s="100"/>
    </row>
    <row r="3541" spans="1:26">
      <c r="A3541" s="100"/>
      <c r="B3541" s="100"/>
      <c r="C3541" s="100"/>
      <c r="D3541" s="100"/>
      <c r="E3541" s="100"/>
      <c r="F3541" s="100"/>
      <c r="G3541" s="100"/>
      <c r="H3541" s="100"/>
      <c r="I3541" s="100"/>
      <c r="J3541" s="100"/>
      <c r="K3541" s="100"/>
      <c r="L3541" s="100"/>
      <c r="M3541" s="100"/>
      <c r="N3541" s="100"/>
      <c r="O3541" s="100"/>
      <c r="P3541" s="100"/>
      <c r="Q3541" s="100"/>
      <c r="R3541" s="100"/>
      <c r="S3541" s="100"/>
      <c r="T3541" s="100"/>
      <c r="U3541" s="100"/>
      <c r="V3541" s="100"/>
      <c r="W3541" s="100"/>
      <c r="X3541" s="100"/>
      <c r="Y3541" s="100"/>
      <c r="Z3541" s="100"/>
    </row>
    <row r="3542" spans="1:26">
      <c r="A3542" s="100"/>
      <c r="B3542" s="100"/>
      <c r="C3542" s="100"/>
      <c r="D3542" s="100"/>
      <c r="E3542" s="100"/>
      <c r="F3542" s="100"/>
      <c r="G3542" s="100"/>
      <c r="H3542" s="100"/>
      <c r="I3542" s="100"/>
      <c r="J3542" s="100"/>
      <c r="K3542" s="100"/>
      <c r="L3542" s="100"/>
      <c r="M3542" s="100"/>
      <c r="N3542" s="100"/>
      <c r="O3542" s="100"/>
      <c r="P3542" s="100"/>
      <c r="Q3542" s="100"/>
      <c r="R3542" s="100"/>
      <c r="S3542" s="100"/>
      <c r="T3542" s="100"/>
      <c r="U3542" s="100"/>
      <c r="V3542" s="100"/>
      <c r="W3542" s="100"/>
      <c r="X3542" s="100"/>
      <c r="Y3542" s="100"/>
      <c r="Z3542" s="100"/>
    </row>
    <row r="3543" spans="1:26">
      <c r="A3543" s="100"/>
      <c r="B3543" s="100"/>
      <c r="C3543" s="100"/>
      <c r="D3543" s="100"/>
      <c r="E3543" s="100"/>
      <c r="F3543" s="100"/>
      <c r="G3543" s="100"/>
      <c r="H3543" s="100"/>
      <c r="I3543" s="100"/>
      <c r="J3543" s="100"/>
      <c r="K3543" s="100"/>
      <c r="L3543" s="100"/>
      <c r="M3543" s="100"/>
      <c r="N3543" s="100"/>
      <c r="O3543" s="100"/>
      <c r="P3543" s="100"/>
      <c r="Q3543" s="100"/>
      <c r="R3543" s="100"/>
      <c r="S3543" s="100"/>
      <c r="T3543" s="100"/>
      <c r="U3543" s="100"/>
      <c r="V3543" s="100"/>
      <c r="W3543" s="100"/>
      <c r="X3543" s="100"/>
      <c r="Y3543" s="100"/>
      <c r="Z3543" s="100"/>
    </row>
    <row r="3544" spans="1:26">
      <c r="A3544" s="100"/>
      <c r="B3544" s="100"/>
      <c r="C3544" s="100"/>
      <c r="D3544" s="100"/>
      <c r="E3544" s="100"/>
      <c r="F3544" s="100"/>
      <c r="G3544" s="100"/>
      <c r="H3544" s="100"/>
      <c r="I3544" s="100"/>
      <c r="J3544" s="100"/>
      <c r="K3544" s="100"/>
      <c r="L3544" s="100"/>
      <c r="M3544" s="100"/>
      <c r="N3544" s="100"/>
      <c r="O3544" s="100"/>
      <c r="P3544" s="100"/>
      <c r="Q3544" s="100"/>
      <c r="R3544" s="100"/>
      <c r="S3544" s="100"/>
      <c r="T3544" s="100"/>
      <c r="U3544" s="100"/>
      <c r="V3544" s="100"/>
      <c r="W3544" s="100"/>
      <c r="X3544" s="100"/>
      <c r="Y3544" s="100"/>
      <c r="Z3544" s="100"/>
    </row>
    <row r="3545" spans="1:26">
      <c r="A3545" s="100"/>
      <c r="B3545" s="100"/>
      <c r="C3545" s="100"/>
      <c r="D3545" s="100"/>
      <c r="E3545" s="100"/>
      <c r="F3545" s="100"/>
      <c r="G3545" s="100"/>
      <c r="H3545" s="100"/>
      <c r="I3545" s="100"/>
      <c r="J3545" s="100"/>
      <c r="K3545" s="100"/>
      <c r="L3545" s="100"/>
      <c r="M3545" s="100"/>
      <c r="N3545" s="100"/>
      <c r="O3545" s="100"/>
      <c r="P3545" s="100"/>
      <c r="Q3545" s="100"/>
      <c r="R3545" s="100"/>
      <c r="S3545" s="100"/>
      <c r="T3545" s="100"/>
      <c r="U3545" s="100"/>
      <c r="V3545" s="100"/>
      <c r="W3545" s="100"/>
      <c r="X3545" s="100"/>
      <c r="Y3545" s="100"/>
      <c r="Z3545" s="100"/>
    </row>
    <row r="3546" spans="1:26">
      <c r="A3546" s="100"/>
      <c r="B3546" s="100"/>
      <c r="C3546" s="100"/>
      <c r="D3546" s="100"/>
      <c r="E3546" s="100"/>
      <c r="F3546" s="100"/>
      <c r="G3546" s="100"/>
      <c r="H3546" s="100"/>
      <c r="I3546" s="100"/>
      <c r="J3546" s="100"/>
      <c r="K3546" s="100"/>
      <c r="L3546" s="100"/>
      <c r="M3546" s="100"/>
      <c r="N3546" s="100"/>
      <c r="O3546" s="100"/>
      <c r="P3546" s="100"/>
      <c r="Q3546" s="100"/>
      <c r="R3546" s="100"/>
      <c r="S3546" s="100"/>
      <c r="T3546" s="100"/>
      <c r="U3546" s="100"/>
      <c r="V3546" s="100"/>
      <c r="W3546" s="100"/>
      <c r="X3546" s="100"/>
      <c r="Y3546" s="100"/>
      <c r="Z3546" s="100"/>
    </row>
    <row r="3547" spans="1:26">
      <c r="A3547" s="100"/>
      <c r="B3547" s="100"/>
      <c r="C3547" s="100"/>
      <c r="D3547" s="100"/>
      <c r="E3547" s="100"/>
      <c r="F3547" s="100"/>
      <c r="G3547" s="100"/>
      <c r="H3547" s="100"/>
      <c r="I3547" s="100"/>
      <c r="J3547" s="100"/>
      <c r="K3547" s="100"/>
      <c r="L3547" s="100"/>
      <c r="M3547" s="100"/>
      <c r="N3547" s="100"/>
      <c r="O3547" s="100"/>
      <c r="P3547" s="100"/>
      <c r="Q3547" s="100"/>
      <c r="R3547" s="100"/>
      <c r="S3547" s="100"/>
      <c r="T3547" s="100"/>
      <c r="U3547" s="100"/>
      <c r="V3547" s="100"/>
      <c r="W3547" s="100"/>
      <c r="X3547" s="100"/>
      <c r="Y3547" s="100"/>
      <c r="Z3547" s="100"/>
    </row>
    <row r="3548" spans="1:26">
      <c r="A3548" s="100"/>
      <c r="B3548" s="100"/>
      <c r="C3548" s="100"/>
      <c r="D3548" s="100"/>
      <c r="E3548" s="100"/>
      <c r="F3548" s="100"/>
      <c r="G3548" s="100"/>
      <c r="H3548" s="100"/>
      <c r="I3548" s="100"/>
      <c r="J3548" s="100"/>
      <c r="K3548" s="100"/>
      <c r="L3548" s="100"/>
      <c r="M3548" s="100"/>
      <c r="N3548" s="100"/>
      <c r="O3548" s="100"/>
      <c r="P3548" s="100"/>
      <c r="Q3548" s="100"/>
      <c r="R3548" s="100"/>
      <c r="S3548" s="100"/>
      <c r="T3548" s="100"/>
      <c r="U3548" s="100"/>
      <c r="V3548" s="100"/>
      <c r="W3548" s="100"/>
      <c r="X3548" s="100"/>
      <c r="Y3548" s="100"/>
      <c r="Z3548" s="100"/>
    </row>
    <row r="3549" spans="1:26">
      <c r="A3549" s="100"/>
      <c r="B3549" s="100"/>
      <c r="C3549" s="100"/>
      <c r="D3549" s="100"/>
      <c r="E3549" s="100"/>
      <c r="F3549" s="100"/>
      <c r="G3549" s="100"/>
      <c r="H3549" s="100"/>
      <c r="I3549" s="100"/>
      <c r="J3549" s="100"/>
      <c r="K3549" s="100"/>
      <c r="L3549" s="100"/>
      <c r="M3549" s="100"/>
      <c r="N3549" s="100"/>
      <c r="O3549" s="100"/>
      <c r="P3549" s="100"/>
      <c r="Q3549" s="100"/>
      <c r="R3549" s="100"/>
      <c r="S3549" s="100"/>
      <c r="T3549" s="100"/>
      <c r="U3549" s="100"/>
      <c r="V3549" s="100"/>
      <c r="W3549" s="100"/>
      <c r="X3549" s="100"/>
      <c r="Y3549" s="100"/>
      <c r="Z3549" s="100"/>
    </row>
    <row r="3550" spans="1:26">
      <c r="A3550" s="100"/>
      <c r="B3550" s="100"/>
      <c r="C3550" s="100"/>
      <c r="D3550" s="100"/>
      <c r="E3550" s="100"/>
      <c r="F3550" s="100"/>
      <c r="G3550" s="100"/>
      <c r="H3550" s="100"/>
      <c r="I3550" s="100"/>
      <c r="J3550" s="100"/>
      <c r="K3550" s="100"/>
      <c r="L3550" s="100"/>
      <c r="M3550" s="100"/>
      <c r="N3550" s="100"/>
      <c r="O3550" s="100"/>
      <c r="P3550" s="100"/>
      <c r="Q3550" s="100"/>
      <c r="R3550" s="100"/>
      <c r="S3550" s="100"/>
      <c r="T3550" s="100"/>
      <c r="U3550" s="100"/>
      <c r="V3550" s="100"/>
      <c r="W3550" s="100"/>
      <c r="X3550" s="100"/>
      <c r="Y3550" s="100"/>
      <c r="Z3550" s="100"/>
    </row>
    <row r="3551" spans="1:26">
      <c r="A3551" s="100"/>
      <c r="B3551" s="100"/>
      <c r="C3551" s="100"/>
      <c r="D3551" s="100"/>
      <c r="E3551" s="100"/>
      <c r="F3551" s="100"/>
      <c r="G3551" s="100"/>
      <c r="H3551" s="100"/>
      <c r="I3551" s="100"/>
      <c r="J3551" s="100"/>
      <c r="K3551" s="100"/>
      <c r="L3551" s="100"/>
      <c r="M3551" s="100"/>
      <c r="N3551" s="100"/>
      <c r="O3551" s="100"/>
      <c r="P3551" s="100"/>
      <c r="Q3551" s="100"/>
      <c r="R3551" s="100"/>
      <c r="S3551" s="100"/>
      <c r="T3551" s="100"/>
      <c r="U3551" s="100"/>
      <c r="V3551" s="100"/>
      <c r="W3551" s="100"/>
      <c r="X3551" s="100"/>
      <c r="Y3551" s="100"/>
      <c r="Z3551" s="100"/>
    </row>
    <row r="3552" spans="1:26">
      <c r="A3552" s="100"/>
      <c r="B3552" s="100"/>
      <c r="C3552" s="100"/>
      <c r="D3552" s="100"/>
      <c r="E3552" s="100"/>
      <c r="F3552" s="100"/>
      <c r="G3552" s="100"/>
      <c r="H3552" s="100"/>
      <c r="I3552" s="100"/>
      <c r="J3552" s="100"/>
      <c r="K3552" s="100"/>
      <c r="L3552" s="100"/>
      <c r="M3552" s="100"/>
      <c r="N3552" s="100"/>
      <c r="O3552" s="100"/>
      <c r="P3552" s="100"/>
      <c r="Q3552" s="100"/>
      <c r="R3552" s="100"/>
      <c r="S3552" s="100"/>
      <c r="T3552" s="100"/>
      <c r="U3552" s="100"/>
      <c r="V3552" s="100"/>
      <c r="W3552" s="100"/>
      <c r="X3552" s="100"/>
      <c r="Y3552" s="100"/>
      <c r="Z3552" s="100"/>
    </row>
    <row r="3553" spans="1:26">
      <c r="A3553" s="100"/>
      <c r="B3553" s="100"/>
      <c r="C3553" s="100"/>
      <c r="D3553" s="100"/>
      <c r="E3553" s="100"/>
      <c r="F3553" s="100"/>
      <c r="G3553" s="100"/>
      <c r="H3553" s="100"/>
      <c r="I3553" s="100"/>
      <c r="J3553" s="100"/>
      <c r="K3553" s="100"/>
      <c r="L3553" s="100"/>
      <c r="M3553" s="100"/>
      <c r="N3553" s="100"/>
      <c r="O3553" s="100"/>
      <c r="P3553" s="100"/>
      <c r="Q3553" s="100"/>
      <c r="R3553" s="100"/>
      <c r="S3553" s="100"/>
      <c r="T3553" s="100"/>
      <c r="U3553" s="100"/>
      <c r="V3553" s="100"/>
      <c r="W3553" s="100"/>
      <c r="X3553" s="100"/>
      <c r="Y3553" s="100"/>
      <c r="Z3553" s="100"/>
    </row>
    <row r="3554" spans="1:26">
      <c r="A3554" s="100"/>
      <c r="B3554" s="100"/>
      <c r="C3554" s="100"/>
      <c r="D3554" s="100"/>
      <c r="E3554" s="100"/>
      <c r="F3554" s="100"/>
      <c r="G3554" s="100"/>
      <c r="H3554" s="100"/>
      <c r="I3554" s="100"/>
      <c r="J3554" s="100"/>
      <c r="K3554" s="100"/>
      <c r="L3554" s="100"/>
      <c r="M3554" s="100"/>
      <c r="N3554" s="100"/>
      <c r="O3554" s="100"/>
      <c r="P3554" s="100"/>
      <c r="Q3554" s="100"/>
      <c r="R3554" s="100"/>
      <c r="S3554" s="100"/>
      <c r="T3554" s="100"/>
      <c r="U3554" s="100"/>
      <c r="V3554" s="100"/>
      <c r="W3554" s="100"/>
      <c r="X3554" s="100"/>
      <c r="Y3554" s="100"/>
      <c r="Z3554" s="100"/>
    </row>
    <row r="3555" spans="1:26">
      <c r="A3555" s="100"/>
      <c r="B3555" s="100"/>
      <c r="C3555" s="100"/>
      <c r="D3555" s="100"/>
      <c r="E3555" s="100"/>
      <c r="F3555" s="100"/>
      <c r="G3555" s="100"/>
      <c r="H3555" s="100"/>
      <c r="I3555" s="100"/>
      <c r="J3555" s="100"/>
      <c r="K3555" s="100"/>
      <c r="L3555" s="100"/>
      <c r="M3555" s="100"/>
      <c r="N3555" s="100"/>
      <c r="O3555" s="100"/>
      <c r="P3555" s="100"/>
      <c r="Q3555" s="100"/>
      <c r="R3555" s="100"/>
      <c r="S3555" s="100"/>
      <c r="T3555" s="100"/>
      <c r="U3555" s="100"/>
      <c r="V3555" s="100"/>
      <c r="W3555" s="100"/>
      <c r="X3555" s="100"/>
      <c r="Y3555" s="100"/>
      <c r="Z3555" s="100"/>
    </row>
    <row r="3556" spans="1:26">
      <c r="A3556" s="100"/>
      <c r="B3556" s="100"/>
      <c r="C3556" s="100"/>
      <c r="D3556" s="100"/>
      <c r="E3556" s="100"/>
      <c r="F3556" s="100"/>
      <c r="G3556" s="100"/>
      <c r="H3556" s="100"/>
      <c r="I3556" s="100"/>
      <c r="J3556" s="100"/>
      <c r="K3556" s="100"/>
      <c r="L3556" s="100"/>
      <c r="M3556" s="100"/>
      <c r="N3556" s="100"/>
      <c r="O3556" s="100"/>
      <c r="P3556" s="100"/>
      <c r="Q3556" s="100"/>
      <c r="R3556" s="100"/>
      <c r="S3556" s="100"/>
      <c r="T3556" s="100"/>
      <c r="U3556" s="100"/>
      <c r="V3556" s="100"/>
      <c r="W3556" s="100"/>
      <c r="X3556" s="100"/>
      <c r="Y3556" s="100"/>
      <c r="Z3556" s="100"/>
    </row>
    <row r="3557" spans="1:26">
      <c r="A3557" s="100"/>
      <c r="B3557" s="100"/>
      <c r="C3557" s="100"/>
      <c r="D3557" s="100"/>
      <c r="E3557" s="100"/>
      <c r="F3557" s="100"/>
      <c r="G3557" s="100"/>
      <c r="H3557" s="100"/>
      <c r="I3557" s="100"/>
      <c r="J3557" s="100"/>
      <c r="K3557" s="100"/>
      <c r="L3557" s="100"/>
      <c r="M3557" s="100"/>
      <c r="N3557" s="100"/>
      <c r="O3557" s="100"/>
      <c r="P3557" s="100"/>
      <c r="Q3557" s="100"/>
      <c r="R3557" s="100"/>
      <c r="S3557" s="100"/>
      <c r="T3557" s="100"/>
      <c r="U3557" s="100"/>
      <c r="V3557" s="100"/>
      <c r="W3557" s="100"/>
      <c r="X3557" s="100"/>
      <c r="Y3557" s="100"/>
      <c r="Z3557" s="100"/>
    </row>
    <row r="3558" spans="1:26">
      <c r="A3558" s="100"/>
      <c r="B3558" s="100"/>
      <c r="C3558" s="100"/>
      <c r="D3558" s="100"/>
      <c r="E3558" s="100"/>
      <c r="F3558" s="100"/>
      <c r="G3558" s="100"/>
      <c r="H3558" s="100"/>
      <c r="I3558" s="100"/>
      <c r="J3558" s="100"/>
      <c r="K3558" s="100"/>
      <c r="L3558" s="100"/>
      <c r="M3558" s="100"/>
      <c r="N3558" s="100"/>
      <c r="O3558" s="100"/>
      <c r="P3558" s="100"/>
      <c r="Q3558" s="100"/>
      <c r="R3558" s="100"/>
      <c r="S3558" s="100"/>
      <c r="T3558" s="100"/>
      <c r="U3558" s="100"/>
      <c r="V3558" s="100"/>
      <c r="W3558" s="100"/>
      <c r="X3558" s="100"/>
      <c r="Y3558" s="100"/>
      <c r="Z3558" s="100"/>
    </row>
    <row r="3559" spans="1:26">
      <c r="A3559" s="100"/>
      <c r="B3559" s="100"/>
      <c r="C3559" s="100"/>
      <c r="D3559" s="100"/>
      <c r="E3559" s="100"/>
      <c r="F3559" s="100"/>
      <c r="G3559" s="100"/>
      <c r="H3559" s="100"/>
      <c r="I3559" s="100"/>
      <c r="J3559" s="100"/>
      <c r="K3559" s="100"/>
      <c r="L3559" s="100"/>
      <c r="M3559" s="100"/>
      <c r="N3559" s="100"/>
      <c r="O3559" s="100"/>
      <c r="P3559" s="100"/>
      <c r="Q3559" s="100"/>
      <c r="R3559" s="100"/>
      <c r="S3559" s="100"/>
      <c r="T3559" s="100"/>
      <c r="U3559" s="100"/>
      <c r="V3559" s="100"/>
      <c r="W3559" s="100"/>
      <c r="X3559" s="100"/>
      <c r="Y3559" s="100"/>
      <c r="Z3559" s="100"/>
    </row>
    <row r="3560" spans="1:26">
      <c r="A3560" s="100"/>
      <c r="B3560" s="100"/>
      <c r="C3560" s="100"/>
      <c r="D3560" s="100"/>
      <c r="E3560" s="100"/>
      <c r="F3560" s="100"/>
      <c r="G3560" s="100"/>
      <c r="H3560" s="100"/>
      <c r="I3560" s="100"/>
      <c r="J3560" s="100"/>
      <c r="K3560" s="100"/>
      <c r="L3560" s="100"/>
      <c r="M3560" s="100"/>
      <c r="N3560" s="100"/>
      <c r="O3560" s="100"/>
      <c r="P3560" s="100"/>
      <c r="Q3560" s="100"/>
      <c r="R3560" s="100"/>
      <c r="S3560" s="100"/>
      <c r="T3560" s="100"/>
      <c r="U3560" s="100"/>
      <c r="V3560" s="100"/>
      <c r="W3560" s="100"/>
      <c r="X3560" s="100"/>
      <c r="Y3560" s="100"/>
      <c r="Z3560" s="100"/>
    </row>
    <row r="3561" spans="1:26">
      <c r="A3561" s="100"/>
      <c r="B3561" s="100"/>
      <c r="C3561" s="100"/>
      <c r="D3561" s="100"/>
      <c r="E3561" s="100"/>
      <c r="F3561" s="100"/>
      <c r="G3561" s="100"/>
      <c r="H3561" s="100"/>
      <c r="I3561" s="100"/>
      <c r="J3561" s="100"/>
      <c r="K3561" s="100"/>
      <c r="L3561" s="100"/>
      <c r="M3561" s="100"/>
      <c r="N3561" s="100"/>
      <c r="O3561" s="100"/>
      <c r="P3561" s="100"/>
      <c r="Q3561" s="100"/>
      <c r="R3561" s="100"/>
      <c r="S3561" s="100"/>
      <c r="T3561" s="100"/>
      <c r="U3561" s="100"/>
      <c r="V3561" s="100"/>
      <c r="W3561" s="100"/>
      <c r="X3561" s="100"/>
      <c r="Y3561" s="100"/>
      <c r="Z3561" s="100"/>
    </row>
    <row r="3562" spans="1:26">
      <c r="A3562" s="100"/>
      <c r="B3562" s="100"/>
      <c r="C3562" s="100"/>
      <c r="D3562" s="100"/>
      <c r="E3562" s="100"/>
      <c r="F3562" s="100"/>
      <c r="G3562" s="100"/>
      <c r="H3562" s="100"/>
      <c r="I3562" s="100"/>
      <c r="J3562" s="100"/>
      <c r="K3562" s="100"/>
      <c r="L3562" s="100"/>
      <c r="M3562" s="100"/>
      <c r="N3562" s="100"/>
      <c r="O3562" s="100"/>
      <c r="P3562" s="100"/>
      <c r="Q3562" s="100"/>
      <c r="R3562" s="100"/>
      <c r="S3562" s="100"/>
      <c r="T3562" s="100"/>
      <c r="U3562" s="100"/>
      <c r="V3562" s="100"/>
      <c r="W3562" s="100"/>
      <c r="X3562" s="100"/>
      <c r="Y3562" s="100"/>
      <c r="Z3562" s="100"/>
    </row>
    <row r="3563" spans="1:26">
      <c r="A3563" s="100"/>
      <c r="B3563" s="100"/>
      <c r="C3563" s="100"/>
      <c r="D3563" s="100"/>
      <c r="E3563" s="100"/>
      <c r="F3563" s="100"/>
      <c r="G3563" s="100"/>
      <c r="H3563" s="100"/>
      <c r="I3563" s="100"/>
      <c r="J3563" s="100"/>
      <c r="K3563" s="100"/>
      <c r="L3563" s="100"/>
      <c r="M3563" s="100"/>
      <c r="N3563" s="100"/>
      <c r="O3563" s="100"/>
      <c r="P3563" s="100"/>
      <c r="Q3563" s="100"/>
      <c r="R3563" s="100"/>
      <c r="S3563" s="100"/>
      <c r="T3563" s="100"/>
      <c r="U3563" s="100"/>
      <c r="V3563" s="100"/>
      <c r="W3563" s="100"/>
      <c r="X3563" s="100"/>
      <c r="Y3563" s="100"/>
      <c r="Z3563" s="100"/>
    </row>
    <row r="3564" spans="1:26">
      <c r="A3564" s="100"/>
      <c r="B3564" s="100"/>
      <c r="C3564" s="100"/>
      <c r="D3564" s="100"/>
      <c r="E3564" s="100"/>
      <c r="F3564" s="100"/>
      <c r="G3564" s="100"/>
      <c r="H3564" s="100"/>
      <c r="I3564" s="100"/>
      <c r="J3564" s="100"/>
      <c r="K3564" s="100"/>
      <c r="L3564" s="100"/>
      <c r="M3564" s="100"/>
      <c r="N3564" s="100"/>
      <c r="O3564" s="100"/>
      <c r="P3564" s="100"/>
      <c r="Q3564" s="100"/>
      <c r="R3564" s="100"/>
      <c r="S3564" s="100"/>
      <c r="T3564" s="100"/>
      <c r="U3564" s="100"/>
      <c r="V3564" s="100"/>
      <c r="W3564" s="100"/>
      <c r="X3564" s="100"/>
      <c r="Y3564" s="100"/>
      <c r="Z3564" s="100"/>
    </row>
    <row r="3565" spans="1:26">
      <c r="A3565" s="100"/>
      <c r="B3565" s="100"/>
      <c r="C3565" s="100"/>
      <c r="D3565" s="100"/>
      <c r="E3565" s="100"/>
      <c r="F3565" s="100"/>
      <c r="G3565" s="100"/>
      <c r="H3565" s="100"/>
      <c r="I3565" s="100"/>
      <c r="J3565" s="100"/>
      <c r="K3565" s="100"/>
      <c r="L3565" s="100"/>
      <c r="M3565" s="100"/>
      <c r="N3565" s="100"/>
      <c r="O3565" s="100"/>
      <c r="P3565" s="100"/>
      <c r="Q3565" s="100"/>
      <c r="R3565" s="100"/>
      <c r="S3565" s="100"/>
      <c r="T3565" s="100"/>
      <c r="U3565" s="100"/>
      <c r="V3565" s="100"/>
      <c r="W3565" s="100"/>
      <c r="X3565" s="100"/>
      <c r="Y3565" s="100"/>
      <c r="Z3565" s="100"/>
    </row>
    <row r="3566" spans="1:26">
      <c r="A3566" s="100"/>
      <c r="B3566" s="100"/>
      <c r="C3566" s="100"/>
      <c r="D3566" s="100"/>
      <c r="E3566" s="100"/>
      <c r="F3566" s="100"/>
      <c r="G3566" s="100"/>
      <c r="H3566" s="100"/>
      <c r="I3566" s="100"/>
      <c r="J3566" s="100"/>
      <c r="K3566" s="100"/>
      <c r="L3566" s="100"/>
      <c r="M3566" s="100"/>
      <c r="N3566" s="100"/>
      <c r="O3566" s="100"/>
      <c r="P3566" s="100"/>
      <c r="Q3566" s="100"/>
      <c r="R3566" s="100"/>
      <c r="S3566" s="100"/>
      <c r="T3566" s="100"/>
      <c r="U3566" s="100"/>
      <c r="V3566" s="100"/>
      <c r="W3566" s="100"/>
      <c r="X3566" s="100"/>
      <c r="Y3566" s="100"/>
      <c r="Z3566" s="100"/>
    </row>
    <row r="3567" spans="1:26">
      <c r="A3567" s="100"/>
      <c r="B3567" s="100"/>
      <c r="C3567" s="100"/>
      <c r="D3567" s="100"/>
      <c r="E3567" s="100"/>
      <c r="F3567" s="100"/>
      <c r="G3567" s="100"/>
      <c r="H3567" s="100"/>
      <c r="I3567" s="100"/>
      <c r="J3567" s="100"/>
      <c r="K3567" s="100"/>
      <c r="L3567" s="100"/>
      <c r="M3567" s="100"/>
      <c r="N3567" s="100"/>
      <c r="O3567" s="100"/>
      <c r="P3567" s="100"/>
      <c r="Q3567" s="100"/>
      <c r="R3567" s="100"/>
      <c r="S3567" s="100"/>
      <c r="T3567" s="100"/>
      <c r="U3567" s="100"/>
      <c r="V3567" s="100"/>
      <c r="W3567" s="100"/>
      <c r="X3567" s="100"/>
      <c r="Y3567" s="100"/>
      <c r="Z3567" s="100"/>
    </row>
    <row r="3568" spans="1:26">
      <c r="A3568" s="100"/>
      <c r="B3568" s="100"/>
      <c r="C3568" s="100"/>
      <c r="D3568" s="100"/>
      <c r="E3568" s="100"/>
      <c r="F3568" s="100"/>
      <c r="G3568" s="100"/>
      <c r="H3568" s="100"/>
      <c r="I3568" s="100"/>
      <c r="J3568" s="100"/>
      <c r="K3568" s="100"/>
      <c r="L3568" s="100"/>
      <c r="M3568" s="100"/>
      <c r="N3568" s="100"/>
      <c r="O3568" s="100"/>
      <c r="P3568" s="100"/>
      <c r="Q3568" s="100"/>
      <c r="R3568" s="100"/>
      <c r="S3568" s="100"/>
      <c r="T3568" s="100"/>
      <c r="U3568" s="100"/>
      <c r="V3568" s="100"/>
      <c r="W3568" s="100"/>
      <c r="X3568" s="100"/>
      <c r="Y3568" s="100"/>
      <c r="Z3568" s="100"/>
    </row>
    <row r="3569" spans="1:26">
      <c r="A3569" s="100"/>
      <c r="B3569" s="100"/>
      <c r="C3569" s="100"/>
      <c r="D3569" s="100"/>
      <c r="E3569" s="100"/>
      <c r="F3569" s="100"/>
      <c r="G3569" s="100"/>
      <c r="H3569" s="100"/>
      <c r="I3569" s="100"/>
      <c r="J3569" s="100"/>
      <c r="K3569" s="100"/>
      <c r="L3569" s="100"/>
      <c r="M3569" s="100"/>
      <c r="N3569" s="100"/>
      <c r="O3569" s="100"/>
      <c r="P3569" s="100"/>
      <c r="Q3569" s="100"/>
      <c r="R3569" s="100"/>
      <c r="S3569" s="100"/>
      <c r="T3569" s="100"/>
      <c r="U3569" s="100"/>
      <c r="V3569" s="100"/>
      <c r="W3569" s="100"/>
      <c r="X3569" s="100"/>
      <c r="Y3569" s="100"/>
      <c r="Z3569" s="100"/>
    </row>
    <row r="3570" spans="1:26">
      <c r="A3570" s="100"/>
      <c r="B3570" s="100"/>
      <c r="C3570" s="100"/>
      <c r="D3570" s="100"/>
      <c r="E3570" s="100"/>
      <c r="F3570" s="100"/>
      <c r="G3570" s="100"/>
      <c r="H3570" s="100"/>
      <c r="I3570" s="100"/>
      <c r="J3570" s="100"/>
      <c r="K3570" s="100"/>
      <c r="L3570" s="100"/>
      <c r="M3570" s="100"/>
      <c r="N3570" s="100"/>
      <c r="O3570" s="100"/>
      <c r="P3570" s="100"/>
      <c r="Q3570" s="100"/>
      <c r="R3570" s="100"/>
      <c r="S3570" s="100"/>
      <c r="T3570" s="100"/>
      <c r="U3570" s="100"/>
      <c r="V3570" s="100"/>
      <c r="W3570" s="100"/>
      <c r="X3570" s="100"/>
      <c r="Y3570" s="100"/>
      <c r="Z3570" s="100"/>
    </row>
    <row r="3571" spans="1:26">
      <c r="A3571" s="100"/>
      <c r="B3571" s="100"/>
      <c r="C3571" s="100"/>
      <c r="D3571" s="100"/>
      <c r="E3571" s="100"/>
      <c r="F3571" s="100"/>
      <c r="G3571" s="100"/>
      <c r="H3571" s="100"/>
      <c r="I3571" s="100"/>
      <c r="J3571" s="100"/>
      <c r="K3571" s="100"/>
      <c r="L3571" s="100"/>
      <c r="M3571" s="100"/>
      <c r="N3571" s="100"/>
      <c r="O3571" s="100"/>
      <c r="P3571" s="100"/>
      <c r="Q3571" s="100"/>
      <c r="R3571" s="100"/>
      <c r="S3571" s="100"/>
      <c r="T3571" s="100"/>
      <c r="U3571" s="100"/>
      <c r="V3571" s="100"/>
      <c r="W3571" s="100"/>
      <c r="X3571" s="100"/>
      <c r="Y3571" s="100"/>
      <c r="Z3571" s="100"/>
    </row>
    <row r="3572" spans="1:26">
      <c r="A3572" s="100"/>
      <c r="B3572" s="100"/>
      <c r="C3572" s="100"/>
      <c r="D3572" s="100"/>
      <c r="E3572" s="100"/>
      <c r="F3572" s="100"/>
      <c r="G3572" s="100"/>
      <c r="H3572" s="100"/>
      <c r="I3572" s="100"/>
      <c r="J3572" s="100"/>
      <c r="K3572" s="100"/>
      <c r="L3572" s="100"/>
      <c r="M3572" s="100"/>
      <c r="N3572" s="100"/>
      <c r="O3572" s="100"/>
      <c r="P3572" s="100"/>
      <c r="Q3572" s="100"/>
      <c r="R3572" s="100"/>
      <c r="S3572" s="100"/>
      <c r="T3572" s="100"/>
      <c r="U3572" s="100"/>
      <c r="V3572" s="100"/>
      <c r="W3572" s="100"/>
      <c r="X3572" s="100"/>
      <c r="Y3572" s="100"/>
      <c r="Z3572" s="100"/>
    </row>
    <row r="3573" spans="1:26">
      <c r="A3573" s="100"/>
      <c r="B3573" s="100"/>
      <c r="C3573" s="100"/>
      <c r="D3573" s="100"/>
      <c r="E3573" s="100"/>
      <c r="F3573" s="100"/>
      <c r="G3573" s="100"/>
      <c r="H3573" s="100"/>
      <c r="I3573" s="100"/>
      <c r="J3573" s="100"/>
      <c r="K3573" s="100"/>
      <c r="L3573" s="100"/>
      <c r="M3573" s="100"/>
      <c r="N3573" s="100"/>
      <c r="O3573" s="100"/>
      <c r="P3573" s="100"/>
      <c r="Q3573" s="100"/>
      <c r="R3573" s="100"/>
      <c r="S3573" s="100"/>
      <c r="T3573" s="100"/>
      <c r="U3573" s="100"/>
      <c r="V3573" s="100"/>
      <c r="W3573" s="100"/>
      <c r="X3573" s="100"/>
      <c r="Y3573" s="100"/>
      <c r="Z3573" s="100"/>
    </row>
    <row r="3574" spans="1:26">
      <c r="A3574" s="100"/>
      <c r="B3574" s="100"/>
      <c r="C3574" s="100"/>
      <c r="D3574" s="100"/>
      <c r="E3574" s="100"/>
      <c r="F3574" s="100"/>
      <c r="G3574" s="100"/>
      <c r="H3574" s="100"/>
      <c r="I3574" s="100"/>
      <c r="J3574" s="100"/>
      <c r="K3574" s="100"/>
      <c r="L3574" s="100"/>
      <c r="M3574" s="100"/>
      <c r="N3574" s="100"/>
      <c r="O3574" s="100"/>
      <c r="P3574" s="100"/>
      <c r="Q3574" s="100"/>
      <c r="R3574" s="100"/>
      <c r="S3574" s="100"/>
      <c r="T3574" s="100"/>
      <c r="U3574" s="100"/>
      <c r="V3574" s="100"/>
      <c r="W3574" s="100"/>
      <c r="X3574" s="100"/>
      <c r="Y3574" s="100"/>
      <c r="Z3574" s="100"/>
    </row>
    <row r="3575" spans="1:26">
      <c r="A3575" s="100"/>
      <c r="B3575" s="100"/>
      <c r="C3575" s="100"/>
      <c r="D3575" s="100"/>
      <c r="E3575" s="100"/>
      <c r="F3575" s="100"/>
      <c r="G3575" s="100"/>
      <c r="H3575" s="100"/>
      <c r="I3575" s="100"/>
      <c r="J3575" s="100"/>
      <c r="K3575" s="100"/>
      <c r="L3575" s="100"/>
      <c r="M3575" s="100"/>
      <c r="N3575" s="100"/>
      <c r="O3575" s="100"/>
      <c r="P3575" s="100"/>
      <c r="Q3575" s="100"/>
      <c r="R3575" s="100"/>
      <c r="S3575" s="100"/>
      <c r="T3575" s="100"/>
      <c r="U3575" s="100"/>
      <c r="V3575" s="100"/>
      <c r="W3575" s="100"/>
      <c r="X3575" s="100"/>
      <c r="Y3575" s="100"/>
      <c r="Z3575" s="100"/>
    </row>
    <row r="3576" spans="1:26">
      <c r="A3576" s="100"/>
      <c r="B3576" s="100"/>
      <c r="C3576" s="100"/>
      <c r="D3576" s="100"/>
      <c r="E3576" s="100"/>
      <c r="F3576" s="100"/>
      <c r="G3576" s="100"/>
      <c r="H3576" s="100"/>
      <c r="I3576" s="100"/>
      <c r="J3576" s="100"/>
      <c r="K3576" s="100"/>
      <c r="L3576" s="100"/>
      <c r="M3576" s="100"/>
      <c r="N3576" s="100"/>
      <c r="O3576" s="100"/>
      <c r="P3576" s="100"/>
      <c r="Q3576" s="100"/>
      <c r="R3576" s="100"/>
      <c r="S3576" s="100"/>
      <c r="T3576" s="100"/>
      <c r="U3576" s="100"/>
      <c r="V3576" s="100"/>
      <c r="W3576" s="100"/>
      <c r="X3576" s="100"/>
      <c r="Y3576" s="100"/>
      <c r="Z3576" s="100"/>
    </row>
    <row r="3577" spans="1:26">
      <c r="A3577" s="100"/>
      <c r="B3577" s="100"/>
      <c r="C3577" s="100"/>
      <c r="D3577" s="100"/>
      <c r="E3577" s="100"/>
      <c r="F3577" s="100"/>
      <c r="G3577" s="100"/>
      <c r="H3577" s="100"/>
      <c r="I3577" s="100"/>
      <c r="J3577" s="100"/>
      <c r="K3577" s="100"/>
      <c r="L3577" s="100"/>
      <c r="M3577" s="100"/>
      <c r="N3577" s="100"/>
      <c r="O3577" s="100"/>
      <c r="P3577" s="100"/>
      <c r="Q3577" s="100"/>
      <c r="R3577" s="100"/>
      <c r="S3577" s="100"/>
      <c r="T3577" s="100"/>
      <c r="U3577" s="100"/>
      <c r="V3577" s="100"/>
      <c r="W3577" s="100"/>
      <c r="X3577" s="100"/>
      <c r="Y3577" s="100"/>
      <c r="Z3577" s="100"/>
    </row>
    <row r="3578" spans="1:26">
      <c r="A3578" s="100"/>
      <c r="B3578" s="100"/>
      <c r="C3578" s="100"/>
      <c r="D3578" s="100"/>
      <c r="E3578" s="100"/>
      <c r="F3578" s="100"/>
      <c r="G3578" s="100"/>
      <c r="H3578" s="100"/>
      <c r="I3578" s="100"/>
      <c r="J3578" s="100"/>
      <c r="K3578" s="100"/>
      <c r="L3578" s="100"/>
      <c r="M3578" s="100"/>
      <c r="N3578" s="100"/>
      <c r="O3578" s="100"/>
      <c r="P3578" s="100"/>
      <c r="Q3578" s="100"/>
      <c r="R3578" s="100"/>
      <c r="S3578" s="100"/>
      <c r="T3578" s="100"/>
      <c r="U3578" s="100"/>
      <c r="V3578" s="100"/>
      <c r="W3578" s="100"/>
      <c r="X3578" s="100"/>
      <c r="Y3578" s="100"/>
      <c r="Z3578" s="100"/>
    </row>
    <row r="3579" spans="1:26">
      <c r="A3579" s="100"/>
      <c r="B3579" s="100"/>
      <c r="C3579" s="100"/>
      <c r="D3579" s="100"/>
      <c r="E3579" s="100"/>
      <c r="F3579" s="100"/>
      <c r="G3579" s="100"/>
      <c r="H3579" s="100"/>
      <c r="I3579" s="100"/>
      <c r="J3579" s="100"/>
      <c r="K3579" s="100"/>
      <c r="L3579" s="100"/>
      <c r="M3579" s="100"/>
      <c r="N3579" s="100"/>
      <c r="O3579" s="100"/>
      <c r="P3579" s="100"/>
      <c r="Q3579" s="100"/>
      <c r="R3579" s="100"/>
      <c r="S3579" s="100"/>
      <c r="T3579" s="100"/>
      <c r="U3579" s="100"/>
      <c r="V3579" s="100"/>
      <c r="W3579" s="100"/>
      <c r="X3579" s="100"/>
      <c r="Y3579" s="100"/>
      <c r="Z3579" s="100"/>
    </row>
    <row r="3580" spans="1:26">
      <c r="A3580" s="100"/>
      <c r="B3580" s="100"/>
      <c r="C3580" s="100"/>
      <c r="D3580" s="100"/>
      <c r="E3580" s="100"/>
      <c r="F3580" s="100"/>
      <c r="G3580" s="100"/>
      <c r="H3580" s="100"/>
      <c r="I3580" s="100"/>
      <c r="J3580" s="100"/>
      <c r="K3580" s="100"/>
      <c r="L3580" s="100"/>
      <c r="M3580" s="100"/>
      <c r="N3580" s="100"/>
      <c r="O3580" s="100"/>
      <c r="P3580" s="100"/>
      <c r="Q3580" s="100"/>
      <c r="R3580" s="100"/>
      <c r="S3580" s="100"/>
      <c r="T3580" s="100"/>
      <c r="U3580" s="100"/>
      <c r="V3580" s="100"/>
      <c r="W3580" s="100"/>
      <c r="X3580" s="100"/>
      <c r="Y3580" s="100"/>
      <c r="Z3580" s="100"/>
    </row>
    <row r="3581" spans="1:26">
      <c r="A3581" s="100"/>
      <c r="B3581" s="100"/>
      <c r="C3581" s="100"/>
      <c r="D3581" s="100"/>
      <c r="E3581" s="100"/>
      <c r="F3581" s="100"/>
      <c r="G3581" s="100"/>
      <c r="H3581" s="100"/>
      <c r="I3581" s="100"/>
      <c r="J3581" s="100"/>
      <c r="K3581" s="100"/>
      <c r="L3581" s="100"/>
      <c r="M3581" s="100"/>
      <c r="N3581" s="100"/>
      <c r="O3581" s="100"/>
      <c r="P3581" s="100"/>
      <c r="Q3581" s="100"/>
      <c r="R3581" s="100"/>
      <c r="S3581" s="100"/>
      <c r="T3581" s="100"/>
      <c r="U3581" s="100"/>
      <c r="V3581" s="100"/>
      <c r="W3581" s="100"/>
      <c r="X3581" s="100"/>
      <c r="Y3581" s="100"/>
      <c r="Z3581" s="100"/>
    </row>
    <row r="3582" spans="1:26">
      <c r="A3582" s="100"/>
      <c r="B3582" s="100"/>
      <c r="C3582" s="100"/>
      <c r="D3582" s="100"/>
      <c r="E3582" s="100"/>
      <c r="F3582" s="100"/>
      <c r="G3582" s="100"/>
      <c r="H3582" s="100"/>
      <c r="I3582" s="100"/>
      <c r="J3582" s="100"/>
      <c r="K3582" s="100"/>
      <c r="L3582" s="100"/>
      <c r="M3582" s="100"/>
      <c r="N3582" s="100"/>
      <c r="O3582" s="100"/>
      <c r="P3582" s="100"/>
      <c r="Q3582" s="100"/>
      <c r="R3582" s="100"/>
      <c r="S3582" s="100"/>
      <c r="T3582" s="100"/>
      <c r="U3582" s="100"/>
      <c r="V3582" s="100"/>
      <c r="W3582" s="100"/>
      <c r="X3582" s="100"/>
      <c r="Y3582" s="100"/>
      <c r="Z3582" s="100"/>
    </row>
    <row r="3583" spans="1:26">
      <c r="A3583" s="100"/>
      <c r="B3583" s="100"/>
      <c r="C3583" s="100"/>
      <c r="D3583" s="100"/>
      <c r="E3583" s="100"/>
      <c r="F3583" s="100"/>
      <c r="G3583" s="100"/>
      <c r="H3583" s="100"/>
      <c r="I3583" s="100"/>
      <c r="J3583" s="100"/>
      <c r="K3583" s="100"/>
      <c r="L3583" s="100"/>
      <c r="M3583" s="100"/>
      <c r="N3583" s="100"/>
      <c r="O3583" s="100"/>
      <c r="P3583" s="100"/>
      <c r="Q3583" s="100"/>
      <c r="R3583" s="100"/>
      <c r="S3583" s="100"/>
      <c r="T3583" s="100"/>
      <c r="U3583" s="100"/>
      <c r="V3583" s="100"/>
      <c r="W3583" s="100"/>
      <c r="X3583" s="100"/>
      <c r="Y3583" s="100"/>
      <c r="Z3583" s="100"/>
    </row>
    <row r="3584" spans="1:26">
      <c r="A3584" s="100"/>
      <c r="B3584" s="100"/>
      <c r="C3584" s="100"/>
      <c r="D3584" s="100"/>
      <c r="E3584" s="100"/>
      <c r="F3584" s="100"/>
      <c r="G3584" s="100"/>
      <c r="H3584" s="100"/>
      <c r="I3584" s="100"/>
      <c r="J3584" s="100"/>
      <c r="K3584" s="100"/>
      <c r="L3584" s="100"/>
      <c r="M3584" s="100"/>
      <c r="N3584" s="100"/>
      <c r="O3584" s="100"/>
      <c r="P3584" s="100"/>
      <c r="Q3584" s="100"/>
      <c r="R3584" s="100"/>
      <c r="S3584" s="100"/>
      <c r="T3584" s="100"/>
      <c r="U3584" s="100"/>
      <c r="V3584" s="100"/>
      <c r="W3584" s="100"/>
      <c r="X3584" s="100"/>
      <c r="Y3584" s="100"/>
      <c r="Z3584" s="100"/>
    </row>
    <row r="3585" spans="1:26">
      <c r="A3585" s="100"/>
      <c r="B3585" s="100"/>
      <c r="C3585" s="100"/>
      <c r="D3585" s="100"/>
      <c r="E3585" s="100"/>
      <c r="F3585" s="100"/>
      <c r="G3585" s="100"/>
      <c r="H3585" s="100"/>
      <c r="I3585" s="100"/>
      <c r="J3585" s="100"/>
      <c r="K3585" s="100"/>
      <c r="L3585" s="100"/>
      <c r="M3585" s="100"/>
      <c r="N3585" s="100"/>
      <c r="O3585" s="100"/>
      <c r="P3585" s="100"/>
      <c r="Q3585" s="100"/>
      <c r="R3585" s="100"/>
      <c r="S3585" s="100"/>
      <c r="T3585" s="100"/>
      <c r="U3585" s="100"/>
      <c r="V3585" s="100"/>
      <c r="W3585" s="100"/>
      <c r="X3585" s="100"/>
      <c r="Y3585" s="100"/>
      <c r="Z3585" s="100"/>
    </row>
    <row r="3586" spans="1:26">
      <c r="A3586" s="100"/>
      <c r="B3586" s="100"/>
      <c r="C3586" s="100"/>
      <c r="D3586" s="100"/>
      <c r="E3586" s="100"/>
      <c r="F3586" s="100"/>
      <c r="G3586" s="100"/>
      <c r="H3586" s="100"/>
      <c r="I3586" s="100"/>
      <c r="J3586" s="100"/>
      <c r="K3586" s="100"/>
      <c r="L3586" s="100"/>
      <c r="M3586" s="100"/>
      <c r="N3586" s="100"/>
      <c r="O3586" s="100"/>
      <c r="P3586" s="100"/>
      <c r="Q3586" s="100"/>
      <c r="R3586" s="100"/>
      <c r="S3586" s="100"/>
      <c r="T3586" s="100"/>
      <c r="U3586" s="100"/>
      <c r="V3586" s="100"/>
      <c r="W3586" s="100"/>
      <c r="X3586" s="100"/>
      <c r="Y3586" s="100"/>
      <c r="Z3586" s="100"/>
    </row>
    <row r="3587" spans="1:26">
      <c r="A3587" s="100"/>
      <c r="B3587" s="100"/>
      <c r="C3587" s="100"/>
      <c r="D3587" s="100"/>
      <c r="E3587" s="100"/>
      <c r="F3587" s="100"/>
      <c r="G3587" s="100"/>
      <c r="H3587" s="100"/>
      <c r="I3587" s="100"/>
      <c r="J3587" s="100"/>
      <c r="K3587" s="100"/>
      <c r="L3587" s="100"/>
      <c r="M3587" s="100"/>
      <c r="N3587" s="100"/>
      <c r="O3587" s="100"/>
      <c r="P3587" s="100"/>
      <c r="Q3587" s="100"/>
      <c r="R3587" s="100"/>
      <c r="S3587" s="100"/>
      <c r="T3587" s="100"/>
      <c r="U3587" s="100"/>
      <c r="V3587" s="100"/>
      <c r="W3587" s="100"/>
      <c r="X3587" s="100"/>
      <c r="Y3587" s="100"/>
      <c r="Z3587" s="100"/>
    </row>
    <row r="3588" spans="1:26">
      <c r="A3588" s="100"/>
      <c r="B3588" s="100"/>
      <c r="C3588" s="100"/>
      <c r="D3588" s="100"/>
      <c r="E3588" s="100"/>
      <c r="F3588" s="100"/>
      <c r="G3588" s="100"/>
      <c r="H3588" s="100"/>
      <c r="I3588" s="100"/>
      <c r="J3588" s="100"/>
      <c r="K3588" s="100"/>
      <c r="L3588" s="100"/>
      <c r="M3588" s="100"/>
      <c r="N3588" s="100"/>
      <c r="O3588" s="100"/>
      <c r="P3588" s="100"/>
      <c r="Q3588" s="100"/>
      <c r="R3588" s="100"/>
      <c r="S3588" s="100"/>
      <c r="T3588" s="100"/>
      <c r="U3588" s="100"/>
      <c r="V3588" s="100"/>
      <c r="W3588" s="100"/>
      <c r="X3588" s="100"/>
      <c r="Y3588" s="100"/>
      <c r="Z3588" s="100"/>
    </row>
    <row r="3589" spans="1:26">
      <c r="A3589" s="100"/>
      <c r="B3589" s="100"/>
      <c r="C3589" s="100"/>
      <c r="D3589" s="100"/>
      <c r="E3589" s="100"/>
      <c r="F3589" s="100"/>
      <c r="G3589" s="100"/>
      <c r="H3589" s="100"/>
      <c r="I3589" s="100"/>
      <c r="J3589" s="100"/>
      <c r="K3589" s="100"/>
      <c r="L3589" s="100"/>
      <c r="M3589" s="100"/>
      <c r="N3589" s="100"/>
      <c r="O3589" s="100"/>
      <c r="P3589" s="100"/>
      <c r="Q3589" s="100"/>
      <c r="R3589" s="100"/>
      <c r="S3589" s="100"/>
      <c r="T3589" s="100"/>
      <c r="U3589" s="100"/>
      <c r="V3589" s="100"/>
      <c r="W3589" s="100"/>
      <c r="X3589" s="100"/>
      <c r="Y3589" s="100"/>
      <c r="Z3589" s="100"/>
    </row>
    <row r="3590" spans="1:26">
      <c r="A3590" s="100"/>
      <c r="B3590" s="100"/>
      <c r="C3590" s="100"/>
      <c r="D3590" s="100"/>
      <c r="E3590" s="100"/>
      <c r="F3590" s="100"/>
      <c r="G3590" s="100"/>
      <c r="H3590" s="100"/>
      <c r="I3590" s="100"/>
      <c r="J3590" s="100"/>
      <c r="K3590" s="100"/>
      <c r="L3590" s="100"/>
      <c r="M3590" s="100"/>
      <c r="N3590" s="100"/>
      <c r="O3590" s="100"/>
      <c r="P3590" s="100"/>
      <c r="Q3590" s="100"/>
      <c r="R3590" s="100"/>
      <c r="S3590" s="100"/>
      <c r="T3590" s="100"/>
      <c r="U3590" s="100"/>
      <c r="V3590" s="100"/>
      <c r="W3590" s="100"/>
      <c r="X3590" s="100"/>
      <c r="Y3590" s="100"/>
      <c r="Z3590" s="100"/>
    </row>
    <row r="3591" spans="1:26">
      <c r="A3591" s="100"/>
      <c r="B3591" s="100"/>
      <c r="C3591" s="100"/>
      <c r="D3591" s="100"/>
      <c r="E3591" s="100"/>
      <c r="F3591" s="100"/>
      <c r="G3591" s="100"/>
      <c r="H3591" s="100"/>
      <c r="I3591" s="100"/>
      <c r="J3591" s="100"/>
      <c r="K3591" s="100"/>
      <c r="L3591" s="100"/>
      <c r="M3591" s="100"/>
      <c r="N3591" s="100"/>
      <c r="O3591" s="100"/>
      <c r="P3591" s="100"/>
      <c r="Q3591" s="100"/>
      <c r="R3591" s="100"/>
      <c r="S3591" s="100"/>
      <c r="T3591" s="100"/>
      <c r="U3591" s="100"/>
      <c r="V3591" s="100"/>
      <c r="W3591" s="100"/>
      <c r="X3591" s="100"/>
      <c r="Y3591" s="100"/>
      <c r="Z3591" s="100"/>
    </row>
    <row r="3592" spans="1:26">
      <c r="A3592" s="100"/>
      <c r="B3592" s="100"/>
      <c r="C3592" s="100"/>
      <c r="D3592" s="100"/>
      <c r="E3592" s="100"/>
      <c r="F3592" s="100"/>
      <c r="G3592" s="100"/>
      <c r="H3592" s="100"/>
      <c r="I3592" s="100"/>
      <c r="J3592" s="100"/>
      <c r="K3592" s="100"/>
      <c r="L3592" s="100"/>
      <c r="M3592" s="100"/>
      <c r="N3592" s="100"/>
      <c r="O3592" s="100"/>
      <c r="P3592" s="100"/>
      <c r="Q3592" s="100"/>
      <c r="R3592" s="100"/>
      <c r="S3592" s="100"/>
      <c r="T3592" s="100"/>
      <c r="U3592" s="100"/>
      <c r="V3592" s="100"/>
      <c r="W3592" s="100"/>
      <c r="X3592" s="100"/>
      <c r="Y3592" s="100"/>
      <c r="Z3592" s="100"/>
    </row>
    <row r="3593" spans="1:26">
      <c r="A3593" s="100"/>
      <c r="B3593" s="100"/>
      <c r="C3593" s="100"/>
      <c r="D3593" s="100"/>
      <c r="E3593" s="100"/>
      <c r="F3593" s="100"/>
      <c r="G3593" s="100"/>
      <c r="H3593" s="100"/>
      <c r="I3593" s="100"/>
      <c r="J3593" s="100"/>
      <c r="K3593" s="100"/>
      <c r="L3593" s="100"/>
      <c r="M3593" s="100"/>
      <c r="N3593" s="100"/>
      <c r="O3593" s="100"/>
      <c r="P3593" s="100"/>
      <c r="Q3593" s="100"/>
      <c r="R3593" s="100"/>
      <c r="S3593" s="100"/>
      <c r="T3593" s="100"/>
      <c r="U3593" s="100"/>
      <c r="V3593" s="100"/>
      <c r="W3593" s="100"/>
      <c r="X3593" s="100"/>
      <c r="Y3593" s="100"/>
      <c r="Z3593" s="100"/>
    </row>
    <row r="3594" spans="1:26">
      <c r="A3594" s="100"/>
      <c r="B3594" s="100"/>
      <c r="C3594" s="100"/>
      <c r="D3594" s="100"/>
      <c r="E3594" s="100"/>
      <c r="F3594" s="100"/>
      <c r="G3594" s="100"/>
      <c r="H3594" s="100"/>
      <c r="I3594" s="100"/>
      <c r="J3594" s="100"/>
      <c r="K3594" s="100"/>
      <c r="L3594" s="100"/>
      <c r="M3594" s="100"/>
      <c r="N3594" s="100"/>
      <c r="O3594" s="100"/>
      <c r="P3594" s="100"/>
      <c r="Q3594" s="100"/>
      <c r="R3594" s="100"/>
      <c r="S3594" s="100"/>
      <c r="T3594" s="100"/>
      <c r="U3594" s="100"/>
      <c r="V3594" s="100"/>
      <c r="W3594" s="100"/>
      <c r="X3594" s="100"/>
      <c r="Y3594" s="100"/>
      <c r="Z3594" s="100"/>
    </row>
    <row r="3595" spans="1:26">
      <c r="A3595" s="100"/>
      <c r="B3595" s="100"/>
      <c r="C3595" s="100"/>
      <c r="D3595" s="100"/>
      <c r="E3595" s="100"/>
      <c r="F3595" s="100"/>
      <c r="G3595" s="100"/>
      <c r="H3595" s="100"/>
      <c r="I3595" s="100"/>
      <c r="J3595" s="100"/>
      <c r="K3595" s="100"/>
      <c r="L3595" s="100"/>
      <c r="M3595" s="100"/>
      <c r="N3595" s="100"/>
      <c r="O3595" s="100"/>
      <c r="P3595" s="100"/>
      <c r="Q3595" s="100"/>
      <c r="R3595" s="100"/>
      <c r="S3595" s="100"/>
      <c r="T3595" s="100"/>
      <c r="U3595" s="100"/>
      <c r="V3595" s="100"/>
      <c r="W3595" s="100"/>
      <c r="X3595" s="100"/>
      <c r="Y3595" s="100"/>
      <c r="Z3595" s="100"/>
    </row>
    <row r="3596" spans="1:26">
      <c r="A3596" s="100"/>
      <c r="B3596" s="100"/>
      <c r="C3596" s="100"/>
      <c r="D3596" s="100"/>
      <c r="E3596" s="100"/>
      <c r="F3596" s="100"/>
      <c r="G3596" s="100"/>
      <c r="H3596" s="100"/>
      <c r="I3596" s="100"/>
      <c r="J3596" s="100"/>
      <c r="K3596" s="100"/>
      <c r="L3596" s="100"/>
      <c r="M3596" s="100"/>
      <c r="N3596" s="100"/>
      <c r="O3596" s="100"/>
      <c r="P3596" s="100"/>
      <c r="Q3596" s="100"/>
      <c r="R3596" s="100"/>
      <c r="S3596" s="100"/>
      <c r="T3596" s="100"/>
      <c r="U3596" s="100"/>
      <c r="V3596" s="100"/>
      <c r="W3596" s="100"/>
      <c r="X3596" s="100"/>
      <c r="Y3596" s="100"/>
      <c r="Z3596" s="100"/>
    </row>
    <row r="3597" spans="1:26">
      <c r="A3597" s="100"/>
      <c r="B3597" s="100"/>
      <c r="C3597" s="100"/>
      <c r="D3597" s="100"/>
      <c r="E3597" s="100"/>
      <c r="F3597" s="100"/>
      <c r="G3597" s="100"/>
      <c r="H3597" s="100"/>
      <c r="I3597" s="100"/>
      <c r="J3597" s="100"/>
      <c r="K3597" s="100"/>
      <c r="L3597" s="100"/>
      <c r="M3597" s="100"/>
      <c r="N3597" s="100"/>
      <c r="O3597" s="100"/>
      <c r="P3597" s="100"/>
      <c r="Q3597" s="100"/>
      <c r="R3597" s="100"/>
      <c r="S3597" s="100"/>
      <c r="T3597" s="100"/>
      <c r="U3597" s="100"/>
      <c r="V3597" s="100"/>
      <c r="W3597" s="100"/>
      <c r="X3597" s="100"/>
      <c r="Y3597" s="100"/>
      <c r="Z3597" s="100"/>
    </row>
    <row r="3598" spans="1:26">
      <c r="A3598" s="100"/>
      <c r="B3598" s="100"/>
      <c r="C3598" s="100"/>
      <c r="D3598" s="100"/>
      <c r="E3598" s="100"/>
      <c r="F3598" s="100"/>
      <c r="G3598" s="100"/>
      <c r="H3598" s="100"/>
      <c r="I3598" s="100"/>
      <c r="J3598" s="100"/>
      <c r="K3598" s="100"/>
      <c r="L3598" s="100"/>
      <c r="M3598" s="100"/>
      <c r="N3598" s="100"/>
      <c r="O3598" s="100"/>
      <c r="P3598" s="100"/>
      <c r="Q3598" s="100"/>
      <c r="R3598" s="100"/>
      <c r="S3598" s="100"/>
      <c r="T3598" s="100"/>
      <c r="U3598" s="100"/>
      <c r="V3598" s="100"/>
      <c r="W3598" s="100"/>
      <c r="X3598" s="100"/>
      <c r="Y3598" s="100"/>
      <c r="Z3598" s="100"/>
    </row>
    <row r="3599" spans="1:26">
      <c r="A3599" s="100"/>
      <c r="B3599" s="100"/>
      <c r="C3599" s="100"/>
      <c r="D3599" s="100"/>
      <c r="E3599" s="100"/>
      <c r="F3599" s="100"/>
      <c r="G3599" s="100"/>
      <c r="H3599" s="100"/>
      <c r="I3599" s="100"/>
      <c r="J3599" s="100"/>
      <c r="K3599" s="100"/>
      <c r="L3599" s="100"/>
      <c r="M3599" s="100"/>
      <c r="N3599" s="100"/>
      <c r="O3599" s="100"/>
      <c r="P3599" s="100"/>
      <c r="Q3599" s="100"/>
      <c r="R3599" s="100"/>
      <c r="S3599" s="100"/>
      <c r="T3599" s="100"/>
      <c r="U3599" s="100"/>
      <c r="V3599" s="100"/>
      <c r="W3599" s="100"/>
      <c r="X3599" s="100"/>
      <c r="Y3599" s="100"/>
      <c r="Z3599" s="100"/>
    </row>
    <row r="3600" spans="1:26">
      <c r="A3600" s="100"/>
      <c r="B3600" s="100"/>
      <c r="C3600" s="100"/>
      <c r="D3600" s="100"/>
      <c r="E3600" s="100"/>
      <c r="F3600" s="100"/>
      <c r="G3600" s="100"/>
      <c r="H3600" s="100"/>
      <c r="I3600" s="100"/>
      <c r="J3600" s="100"/>
      <c r="K3600" s="100"/>
      <c r="L3600" s="100"/>
      <c r="M3600" s="100"/>
      <c r="N3600" s="100"/>
      <c r="O3600" s="100"/>
      <c r="P3600" s="100"/>
      <c r="Q3600" s="100"/>
      <c r="R3600" s="100"/>
      <c r="S3600" s="100"/>
      <c r="T3600" s="100"/>
      <c r="U3600" s="100"/>
      <c r="V3600" s="100"/>
      <c r="W3600" s="100"/>
      <c r="X3600" s="100"/>
      <c r="Y3600" s="100"/>
      <c r="Z3600" s="100"/>
    </row>
    <row r="3601" spans="1:26">
      <c r="A3601" s="100"/>
      <c r="B3601" s="100"/>
      <c r="C3601" s="100"/>
      <c r="D3601" s="100"/>
      <c r="E3601" s="100"/>
      <c r="F3601" s="100"/>
      <c r="G3601" s="100"/>
      <c r="H3601" s="100"/>
      <c r="I3601" s="100"/>
      <c r="J3601" s="100"/>
      <c r="K3601" s="100"/>
      <c r="L3601" s="100"/>
      <c r="M3601" s="100"/>
      <c r="N3601" s="100"/>
      <c r="O3601" s="100"/>
      <c r="P3601" s="100"/>
      <c r="Q3601" s="100"/>
      <c r="R3601" s="100"/>
      <c r="S3601" s="100"/>
      <c r="T3601" s="100"/>
      <c r="U3601" s="100"/>
      <c r="V3601" s="100"/>
      <c r="W3601" s="100"/>
      <c r="X3601" s="100"/>
      <c r="Y3601" s="100"/>
      <c r="Z3601" s="100"/>
    </row>
    <row r="3602" spans="1:26">
      <c r="A3602" s="100"/>
      <c r="B3602" s="100"/>
      <c r="C3602" s="100"/>
      <c r="D3602" s="100"/>
      <c r="E3602" s="100"/>
      <c r="F3602" s="100"/>
      <c r="G3602" s="100"/>
      <c r="H3602" s="100"/>
      <c r="I3602" s="100"/>
      <c r="J3602" s="100"/>
      <c r="K3602" s="100"/>
      <c r="L3602" s="100"/>
      <c r="M3602" s="100"/>
      <c r="N3602" s="100"/>
      <c r="O3602" s="100"/>
      <c r="P3602" s="100"/>
      <c r="Q3602" s="100"/>
      <c r="R3602" s="100"/>
      <c r="S3602" s="100"/>
      <c r="T3602" s="100"/>
      <c r="U3602" s="100"/>
      <c r="V3602" s="100"/>
      <c r="W3602" s="100"/>
      <c r="X3602" s="100"/>
      <c r="Y3602" s="100"/>
      <c r="Z3602" s="100"/>
    </row>
    <row r="3603" spans="1:26">
      <c r="A3603" s="100"/>
      <c r="B3603" s="100"/>
      <c r="C3603" s="100"/>
      <c r="D3603" s="100"/>
      <c r="E3603" s="100"/>
      <c r="F3603" s="100"/>
      <c r="G3603" s="100"/>
      <c r="H3603" s="100"/>
      <c r="I3603" s="100"/>
      <c r="J3603" s="100"/>
      <c r="K3603" s="100"/>
      <c r="L3603" s="100"/>
      <c r="M3603" s="100"/>
      <c r="N3603" s="100"/>
      <c r="O3603" s="100"/>
      <c r="P3603" s="100"/>
      <c r="Q3603" s="100"/>
      <c r="R3603" s="100"/>
      <c r="S3603" s="100"/>
      <c r="T3603" s="100"/>
      <c r="U3603" s="100"/>
      <c r="V3603" s="100"/>
      <c r="W3603" s="100"/>
      <c r="X3603" s="100"/>
      <c r="Y3603" s="100"/>
      <c r="Z3603" s="100"/>
    </row>
    <row r="3604" spans="1:26">
      <c r="A3604" s="100"/>
      <c r="B3604" s="100"/>
      <c r="C3604" s="100"/>
      <c r="D3604" s="100"/>
      <c r="E3604" s="100"/>
      <c r="F3604" s="100"/>
      <c r="G3604" s="100"/>
      <c r="H3604" s="100"/>
      <c r="I3604" s="100"/>
      <c r="J3604" s="100"/>
      <c r="K3604" s="100"/>
      <c r="L3604" s="100"/>
      <c r="M3604" s="100"/>
      <c r="N3604" s="100"/>
      <c r="O3604" s="100"/>
      <c r="P3604" s="100"/>
      <c r="Q3604" s="100"/>
      <c r="R3604" s="100"/>
      <c r="S3604" s="100"/>
      <c r="T3604" s="100"/>
      <c r="U3604" s="100"/>
      <c r="V3604" s="100"/>
      <c r="W3604" s="100"/>
      <c r="X3604" s="100"/>
      <c r="Y3604" s="100"/>
      <c r="Z3604" s="100"/>
    </row>
    <row r="3605" spans="1:26">
      <c r="A3605" s="100"/>
      <c r="B3605" s="100"/>
      <c r="C3605" s="100"/>
      <c r="D3605" s="100"/>
      <c r="E3605" s="100"/>
      <c r="F3605" s="100"/>
      <c r="G3605" s="100"/>
      <c r="H3605" s="100"/>
      <c r="I3605" s="100"/>
      <c r="J3605" s="100"/>
      <c r="K3605" s="100"/>
      <c r="L3605" s="100"/>
      <c r="M3605" s="100"/>
      <c r="N3605" s="100"/>
      <c r="O3605" s="100"/>
      <c r="P3605" s="100"/>
      <c r="Q3605" s="100"/>
      <c r="R3605" s="100"/>
      <c r="S3605" s="100"/>
      <c r="T3605" s="100"/>
      <c r="U3605" s="100"/>
      <c r="V3605" s="100"/>
      <c r="W3605" s="100"/>
      <c r="X3605" s="100"/>
      <c r="Y3605" s="100"/>
      <c r="Z3605" s="100"/>
    </row>
    <row r="3606" spans="1:26">
      <c r="A3606" s="100"/>
      <c r="B3606" s="100"/>
      <c r="C3606" s="100"/>
      <c r="D3606" s="100"/>
      <c r="E3606" s="100"/>
      <c r="F3606" s="100"/>
      <c r="G3606" s="100"/>
      <c r="H3606" s="100"/>
      <c r="I3606" s="100"/>
      <c r="J3606" s="100"/>
      <c r="K3606" s="100"/>
      <c r="L3606" s="100"/>
      <c r="M3606" s="100"/>
      <c r="N3606" s="100"/>
      <c r="O3606" s="100"/>
      <c r="P3606" s="100"/>
      <c r="Q3606" s="100"/>
      <c r="R3606" s="100"/>
      <c r="S3606" s="100"/>
      <c r="T3606" s="100"/>
      <c r="U3606" s="100"/>
      <c r="V3606" s="100"/>
      <c r="W3606" s="100"/>
      <c r="X3606" s="100"/>
      <c r="Y3606" s="100"/>
      <c r="Z3606" s="100"/>
    </row>
    <row r="3607" spans="1:26">
      <c r="A3607" s="100"/>
      <c r="B3607" s="100"/>
      <c r="C3607" s="100"/>
      <c r="D3607" s="100"/>
      <c r="E3607" s="100"/>
      <c r="F3607" s="100"/>
      <c r="G3607" s="100"/>
      <c r="H3607" s="100"/>
      <c r="I3607" s="100"/>
      <c r="J3607" s="100"/>
      <c r="K3607" s="100"/>
      <c r="L3607" s="100"/>
      <c r="M3607" s="100"/>
      <c r="N3607" s="100"/>
      <c r="O3607" s="100"/>
      <c r="P3607" s="100"/>
      <c r="Q3607" s="100"/>
      <c r="R3607" s="100"/>
      <c r="S3607" s="100"/>
      <c r="T3607" s="100"/>
      <c r="U3607" s="100"/>
      <c r="V3607" s="100"/>
      <c r="W3607" s="100"/>
      <c r="X3607" s="100"/>
      <c r="Y3607" s="100"/>
      <c r="Z3607" s="100"/>
    </row>
    <row r="3608" spans="1:26">
      <c r="A3608" s="100"/>
      <c r="B3608" s="100"/>
      <c r="C3608" s="100"/>
      <c r="D3608" s="100"/>
      <c r="E3608" s="100"/>
      <c r="F3608" s="100"/>
      <c r="G3608" s="100"/>
      <c r="H3608" s="100"/>
      <c r="I3608" s="100"/>
      <c r="J3608" s="100"/>
      <c r="K3608" s="100"/>
      <c r="L3608" s="100"/>
      <c r="M3608" s="100"/>
      <c r="N3608" s="100"/>
      <c r="O3608" s="100"/>
      <c r="P3608" s="100"/>
      <c r="Q3608" s="100"/>
      <c r="R3608" s="100"/>
      <c r="S3608" s="100"/>
      <c r="T3608" s="100"/>
      <c r="U3608" s="100"/>
      <c r="V3608" s="100"/>
      <c r="W3608" s="100"/>
      <c r="X3608" s="100"/>
      <c r="Y3608" s="100"/>
      <c r="Z3608" s="100"/>
    </row>
    <row r="3609" spans="1:26">
      <c r="A3609" s="100"/>
      <c r="B3609" s="100"/>
      <c r="C3609" s="100"/>
      <c r="D3609" s="100"/>
      <c r="E3609" s="100"/>
      <c r="F3609" s="100"/>
      <c r="G3609" s="100"/>
      <c r="H3609" s="100"/>
      <c r="I3609" s="100"/>
      <c r="J3609" s="100"/>
      <c r="K3609" s="100"/>
      <c r="L3609" s="100"/>
      <c r="M3609" s="100"/>
      <c r="N3609" s="100"/>
      <c r="O3609" s="100"/>
      <c r="P3609" s="100"/>
      <c r="Q3609" s="100"/>
      <c r="R3609" s="100"/>
      <c r="S3609" s="100"/>
      <c r="T3609" s="100"/>
      <c r="U3609" s="100"/>
      <c r="V3609" s="100"/>
      <c r="W3609" s="100"/>
      <c r="X3609" s="100"/>
      <c r="Y3609" s="100"/>
      <c r="Z3609" s="100"/>
    </row>
    <row r="3610" spans="1:26">
      <c r="A3610" s="100"/>
      <c r="B3610" s="100"/>
      <c r="C3610" s="100"/>
      <c r="D3610" s="100"/>
      <c r="E3610" s="100"/>
      <c r="F3610" s="100"/>
      <c r="G3610" s="100"/>
      <c r="H3610" s="100"/>
      <c r="I3610" s="100"/>
      <c r="J3610" s="100"/>
      <c r="K3610" s="100"/>
      <c r="L3610" s="100"/>
      <c r="M3610" s="100"/>
      <c r="N3610" s="100"/>
      <c r="O3610" s="100"/>
      <c r="P3610" s="100"/>
      <c r="Q3610" s="100"/>
      <c r="R3610" s="100"/>
      <c r="S3610" s="100"/>
      <c r="T3610" s="100"/>
      <c r="U3610" s="100"/>
      <c r="V3610" s="100"/>
      <c r="W3610" s="100"/>
      <c r="X3610" s="100"/>
      <c r="Y3610" s="100"/>
      <c r="Z3610" s="100"/>
    </row>
    <row r="3611" spans="1:26">
      <c r="A3611" s="100"/>
      <c r="B3611" s="100"/>
      <c r="C3611" s="100"/>
      <c r="D3611" s="100"/>
      <c r="E3611" s="100"/>
      <c r="F3611" s="100"/>
      <c r="G3611" s="100"/>
      <c r="H3611" s="100"/>
      <c r="I3611" s="100"/>
      <c r="J3611" s="100"/>
      <c r="K3611" s="100"/>
      <c r="L3611" s="100"/>
      <c r="M3611" s="100"/>
      <c r="N3611" s="100"/>
      <c r="O3611" s="100"/>
      <c r="P3611" s="100"/>
      <c r="Q3611" s="100"/>
      <c r="R3611" s="100"/>
      <c r="S3611" s="100"/>
      <c r="T3611" s="100"/>
      <c r="U3611" s="100"/>
      <c r="V3611" s="100"/>
      <c r="W3611" s="100"/>
      <c r="X3611" s="100"/>
      <c r="Y3611" s="100"/>
      <c r="Z3611" s="100"/>
    </row>
    <row r="3612" spans="1:26">
      <c r="A3612" s="100"/>
      <c r="B3612" s="100"/>
      <c r="C3612" s="100"/>
      <c r="D3612" s="100"/>
      <c r="E3612" s="100"/>
      <c r="F3612" s="100"/>
      <c r="G3612" s="100"/>
      <c r="H3612" s="100"/>
      <c r="I3612" s="100"/>
      <c r="J3612" s="100"/>
      <c r="K3612" s="100"/>
      <c r="L3612" s="100"/>
      <c r="M3612" s="100"/>
      <c r="N3612" s="100"/>
      <c r="O3612" s="100"/>
      <c r="P3612" s="100"/>
      <c r="Q3612" s="100"/>
      <c r="R3612" s="100"/>
      <c r="S3612" s="100"/>
      <c r="T3612" s="100"/>
      <c r="U3612" s="100"/>
      <c r="V3612" s="100"/>
      <c r="W3612" s="100"/>
      <c r="X3612" s="100"/>
      <c r="Y3612" s="100"/>
      <c r="Z3612" s="100"/>
    </row>
    <row r="3613" spans="1:26">
      <c r="A3613" s="100"/>
      <c r="B3613" s="100"/>
      <c r="C3613" s="100"/>
      <c r="D3613" s="100"/>
      <c r="E3613" s="100"/>
      <c r="F3613" s="100"/>
      <c r="G3613" s="100"/>
      <c r="H3613" s="100"/>
      <c r="I3613" s="100"/>
      <c r="J3613" s="100"/>
      <c r="K3613" s="100"/>
      <c r="L3613" s="100"/>
      <c r="M3613" s="100"/>
      <c r="N3613" s="100"/>
      <c r="O3613" s="100"/>
      <c r="P3613" s="100"/>
      <c r="Q3613" s="100"/>
      <c r="R3613" s="100"/>
      <c r="S3613" s="100"/>
      <c r="T3613" s="100"/>
      <c r="U3613" s="100"/>
      <c r="V3613" s="100"/>
      <c r="W3613" s="100"/>
      <c r="X3613" s="100"/>
      <c r="Y3613" s="100"/>
      <c r="Z3613" s="100"/>
    </row>
    <row r="3614" spans="1:26">
      <c r="A3614" s="100"/>
      <c r="B3614" s="100"/>
      <c r="C3614" s="100"/>
      <c r="D3614" s="100"/>
      <c r="E3614" s="100"/>
      <c r="F3614" s="100"/>
      <c r="G3614" s="100"/>
      <c r="H3614" s="100"/>
      <c r="I3614" s="100"/>
      <c r="J3614" s="100"/>
      <c r="K3614" s="100"/>
      <c r="L3614" s="100"/>
      <c r="M3614" s="100"/>
      <c r="N3614" s="100"/>
      <c r="O3614" s="100"/>
      <c r="P3614" s="100"/>
      <c r="Q3614" s="100"/>
      <c r="R3614" s="100"/>
      <c r="S3614" s="100"/>
      <c r="T3614" s="100"/>
      <c r="U3614" s="100"/>
      <c r="V3614" s="100"/>
      <c r="W3614" s="100"/>
      <c r="X3614" s="100"/>
      <c r="Y3614" s="100"/>
      <c r="Z3614" s="100"/>
    </row>
    <row r="3615" spans="1:26">
      <c r="A3615" s="100"/>
      <c r="B3615" s="100"/>
      <c r="C3615" s="100"/>
      <c r="D3615" s="100"/>
      <c r="E3615" s="100"/>
      <c r="F3615" s="100"/>
      <c r="G3615" s="100"/>
      <c r="H3615" s="100"/>
      <c r="I3615" s="100"/>
      <c r="J3615" s="100"/>
      <c r="K3615" s="100"/>
      <c r="L3615" s="100"/>
      <c r="M3615" s="100"/>
      <c r="N3615" s="100"/>
      <c r="O3615" s="100"/>
      <c r="P3615" s="100"/>
      <c r="Q3615" s="100"/>
      <c r="R3615" s="100"/>
      <c r="S3615" s="100"/>
      <c r="T3615" s="100"/>
      <c r="U3615" s="100"/>
      <c r="V3615" s="100"/>
      <c r="W3615" s="100"/>
      <c r="X3615" s="100"/>
      <c r="Y3615" s="100"/>
      <c r="Z3615" s="100"/>
    </row>
    <row r="3616" spans="1:26">
      <c r="A3616" s="100"/>
      <c r="B3616" s="100"/>
      <c r="C3616" s="100"/>
      <c r="D3616" s="100"/>
      <c r="E3616" s="100"/>
      <c r="F3616" s="100"/>
      <c r="G3616" s="100"/>
      <c r="H3616" s="100"/>
      <c r="I3616" s="100"/>
      <c r="J3616" s="100"/>
      <c r="K3616" s="100"/>
      <c r="L3616" s="100"/>
      <c r="M3616" s="100"/>
      <c r="N3616" s="100"/>
      <c r="O3616" s="100"/>
      <c r="P3616" s="100"/>
      <c r="Q3616" s="100"/>
      <c r="R3616" s="100"/>
      <c r="S3616" s="100"/>
      <c r="T3616" s="100"/>
      <c r="U3616" s="100"/>
      <c r="V3616" s="100"/>
      <c r="W3616" s="100"/>
      <c r="X3616" s="100"/>
      <c r="Y3616" s="100"/>
      <c r="Z3616" s="100"/>
    </row>
    <row r="3617" spans="1:26">
      <c r="A3617" s="100"/>
      <c r="B3617" s="100"/>
      <c r="C3617" s="100"/>
      <c r="D3617" s="100"/>
      <c r="E3617" s="100"/>
      <c r="F3617" s="100"/>
      <c r="G3617" s="100"/>
      <c r="H3617" s="100"/>
      <c r="I3617" s="100"/>
      <c r="J3617" s="100"/>
      <c r="K3617" s="100"/>
      <c r="L3617" s="100"/>
      <c r="M3617" s="100"/>
      <c r="N3617" s="100"/>
      <c r="O3617" s="100"/>
      <c r="P3617" s="100"/>
      <c r="Q3617" s="100"/>
      <c r="R3617" s="100"/>
      <c r="S3617" s="100"/>
      <c r="T3617" s="100"/>
      <c r="U3617" s="100"/>
      <c r="V3617" s="100"/>
      <c r="W3617" s="100"/>
      <c r="X3617" s="100"/>
      <c r="Y3617" s="100"/>
      <c r="Z3617" s="100"/>
    </row>
    <row r="3618" spans="1:26">
      <c r="A3618" s="100"/>
      <c r="B3618" s="100"/>
      <c r="C3618" s="100"/>
      <c r="D3618" s="100"/>
      <c r="E3618" s="100"/>
      <c r="F3618" s="100"/>
      <c r="G3618" s="100"/>
      <c r="H3618" s="100"/>
      <c r="I3618" s="100"/>
      <c r="J3618" s="100"/>
      <c r="K3618" s="100"/>
      <c r="L3618" s="100"/>
      <c r="M3618" s="100"/>
      <c r="N3618" s="100"/>
      <c r="O3618" s="100"/>
      <c r="P3618" s="100"/>
      <c r="Q3618" s="100"/>
      <c r="R3618" s="100"/>
      <c r="S3618" s="100"/>
      <c r="T3618" s="100"/>
      <c r="U3618" s="100"/>
      <c r="V3618" s="100"/>
      <c r="W3618" s="100"/>
      <c r="X3618" s="100"/>
      <c r="Y3618" s="100"/>
      <c r="Z3618" s="100"/>
    </row>
    <row r="3619" spans="1:26">
      <c r="A3619" s="100"/>
      <c r="B3619" s="100"/>
      <c r="C3619" s="100"/>
      <c r="D3619" s="100"/>
      <c r="E3619" s="100"/>
      <c r="F3619" s="100"/>
      <c r="G3619" s="100"/>
      <c r="H3619" s="100"/>
      <c r="I3619" s="100"/>
      <c r="J3619" s="100"/>
      <c r="K3619" s="100"/>
      <c r="L3619" s="100"/>
      <c r="M3619" s="100"/>
      <c r="N3619" s="100"/>
      <c r="O3619" s="100"/>
      <c r="P3619" s="100"/>
      <c r="Q3619" s="100"/>
      <c r="R3619" s="100"/>
      <c r="S3619" s="100"/>
      <c r="T3619" s="100"/>
      <c r="U3619" s="100"/>
      <c r="V3619" s="100"/>
      <c r="W3619" s="100"/>
      <c r="X3619" s="100"/>
      <c r="Y3619" s="100"/>
      <c r="Z3619" s="100"/>
    </row>
    <row r="3620" spans="1:26">
      <c r="A3620" s="100"/>
      <c r="B3620" s="100"/>
      <c r="C3620" s="100"/>
      <c r="D3620" s="100"/>
      <c r="E3620" s="100"/>
      <c r="F3620" s="100"/>
      <c r="G3620" s="100"/>
      <c r="H3620" s="100"/>
      <c r="I3620" s="100"/>
      <c r="J3620" s="100"/>
      <c r="K3620" s="100"/>
      <c r="L3620" s="100"/>
      <c r="M3620" s="100"/>
      <c r="N3620" s="100"/>
      <c r="O3620" s="100"/>
      <c r="P3620" s="100"/>
      <c r="Q3620" s="100"/>
      <c r="R3620" s="100"/>
      <c r="S3620" s="100"/>
      <c r="T3620" s="100"/>
      <c r="U3620" s="100"/>
      <c r="V3620" s="100"/>
      <c r="W3620" s="100"/>
      <c r="X3620" s="100"/>
      <c r="Y3620" s="100"/>
      <c r="Z3620" s="100"/>
    </row>
    <row r="3621" spans="1:26">
      <c r="A3621" s="100"/>
      <c r="B3621" s="100"/>
      <c r="C3621" s="100"/>
      <c r="D3621" s="100"/>
      <c r="E3621" s="100"/>
      <c r="F3621" s="100"/>
      <c r="G3621" s="100"/>
      <c r="H3621" s="100"/>
      <c r="I3621" s="100"/>
      <c r="J3621" s="100"/>
      <c r="K3621" s="100"/>
      <c r="L3621" s="100"/>
      <c r="M3621" s="100"/>
      <c r="N3621" s="100"/>
      <c r="O3621" s="100"/>
      <c r="P3621" s="100"/>
      <c r="Q3621" s="100"/>
      <c r="R3621" s="100"/>
      <c r="S3621" s="100"/>
      <c r="T3621" s="100"/>
      <c r="U3621" s="100"/>
      <c r="V3621" s="100"/>
      <c r="W3621" s="100"/>
      <c r="X3621" s="100"/>
      <c r="Y3621" s="100"/>
      <c r="Z3621" s="100"/>
    </row>
    <row r="3622" spans="1:26">
      <c r="A3622" s="100"/>
      <c r="B3622" s="100"/>
      <c r="C3622" s="100"/>
      <c r="D3622" s="100"/>
      <c r="E3622" s="100"/>
      <c r="F3622" s="100"/>
      <c r="G3622" s="100"/>
      <c r="H3622" s="100"/>
      <c r="I3622" s="100"/>
      <c r="J3622" s="100"/>
      <c r="K3622" s="100"/>
      <c r="L3622" s="100"/>
      <c r="M3622" s="100"/>
      <c r="N3622" s="100"/>
      <c r="O3622" s="100"/>
      <c r="P3622" s="100"/>
      <c r="Q3622" s="100"/>
      <c r="R3622" s="100"/>
      <c r="S3622" s="100"/>
      <c r="T3622" s="100"/>
      <c r="U3622" s="100"/>
      <c r="V3622" s="100"/>
      <c r="W3622" s="100"/>
      <c r="X3622" s="100"/>
      <c r="Y3622" s="100"/>
      <c r="Z3622" s="100"/>
    </row>
    <row r="3623" spans="1:26">
      <c r="A3623" s="100"/>
      <c r="B3623" s="100"/>
      <c r="C3623" s="100"/>
      <c r="D3623" s="100"/>
      <c r="E3623" s="100"/>
      <c r="F3623" s="100"/>
      <c r="G3623" s="100"/>
      <c r="H3623" s="100"/>
      <c r="I3623" s="100"/>
      <c r="J3623" s="100"/>
      <c r="K3623" s="100"/>
      <c r="L3623" s="100"/>
      <c r="M3623" s="100"/>
      <c r="N3623" s="100"/>
      <c r="O3623" s="100"/>
      <c r="P3623" s="100"/>
      <c r="Q3623" s="100"/>
      <c r="R3623" s="100"/>
      <c r="S3623" s="100"/>
      <c r="T3623" s="100"/>
      <c r="U3623" s="100"/>
      <c r="V3623" s="100"/>
      <c r="W3623" s="100"/>
      <c r="X3623" s="100"/>
      <c r="Y3623" s="100"/>
      <c r="Z3623" s="100"/>
    </row>
    <row r="3624" spans="1:26">
      <c r="A3624" s="100"/>
      <c r="B3624" s="100"/>
      <c r="C3624" s="100"/>
      <c r="D3624" s="100"/>
      <c r="E3624" s="100"/>
      <c r="F3624" s="100"/>
      <c r="G3624" s="100"/>
      <c r="H3624" s="100"/>
      <c r="I3624" s="100"/>
      <c r="J3624" s="100"/>
      <c r="K3624" s="100"/>
      <c r="L3624" s="100"/>
      <c r="M3624" s="100"/>
      <c r="N3624" s="100"/>
      <c r="O3624" s="100"/>
      <c r="P3624" s="100"/>
      <c r="Q3624" s="100"/>
      <c r="R3624" s="100"/>
      <c r="S3624" s="100"/>
      <c r="T3624" s="100"/>
      <c r="U3624" s="100"/>
      <c r="V3624" s="100"/>
      <c r="W3624" s="100"/>
      <c r="X3624" s="100"/>
      <c r="Y3624" s="100"/>
      <c r="Z3624" s="100"/>
    </row>
    <row r="3625" spans="1:26">
      <c r="A3625" s="100"/>
      <c r="B3625" s="100"/>
      <c r="C3625" s="100"/>
      <c r="D3625" s="100"/>
      <c r="E3625" s="100"/>
      <c r="F3625" s="100"/>
      <c r="G3625" s="100"/>
      <c r="H3625" s="100"/>
      <c r="I3625" s="100"/>
      <c r="J3625" s="100"/>
      <c r="K3625" s="100"/>
      <c r="L3625" s="100"/>
      <c r="M3625" s="100"/>
      <c r="N3625" s="100"/>
      <c r="O3625" s="100"/>
      <c r="P3625" s="100"/>
      <c r="Q3625" s="100"/>
      <c r="R3625" s="100"/>
      <c r="S3625" s="100"/>
      <c r="T3625" s="100"/>
      <c r="U3625" s="100"/>
      <c r="V3625" s="100"/>
      <c r="W3625" s="100"/>
      <c r="X3625" s="100"/>
      <c r="Y3625" s="100"/>
      <c r="Z3625" s="100"/>
    </row>
    <row r="3626" spans="1:26">
      <c r="A3626" s="100"/>
      <c r="B3626" s="100"/>
      <c r="C3626" s="100"/>
      <c r="D3626" s="100"/>
      <c r="E3626" s="100"/>
      <c r="F3626" s="100"/>
      <c r="G3626" s="100"/>
      <c r="H3626" s="100"/>
      <c r="I3626" s="100"/>
      <c r="J3626" s="100"/>
      <c r="K3626" s="100"/>
      <c r="L3626" s="100"/>
      <c r="M3626" s="100"/>
      <c r="N3626" s="100"/>
      <c r="O3626" s="100"/>
      <c r="P3626" s="100"/>
      <c r="Q3626" s="100"/>
      <c r="R3626" s="100"/>
      <c r="S3626" s="100"/>
      <c r="T3626" s="100"/>
      <c r="U3626" s="100"/>
      <c r="V3626" s="100"/>
      <c r="W3626" s="100"/>
      <c r="X3626" s="100"/>
      <c r="Y3626" s="100"/>
      <c r="Z3626" s="100"/>
    </row>
    <row r="3627" spans="1:26">
      <c r="A3627" s="100"/>
      <c r="B3627" s="100"/>
      <c r="C3627" s="100"/>
      <c r="D3627" s="100"/>
      <c r="E3627" s="100"/>
      <c r="F3627" s="100"/>
      <c r="G3627" s="100"/>
      <c r="H3627" s="100"/>
      <c r="I3627" s="100"/>
      <c r="J3627" s="100"/>
      <c r="K3627" s="100"/>
      <c r="L3627" s="100"/>
      <c r="M3627" s="100"/>
      <c r="N3627" s="100"/>
      <c r="O3627" s="100"/>
      <c r="P3627" s="100"/>
      <c r="Q3627" s="100"/>
      <c r="R3627" s="100"/>
      <c r="S3627" s="100"/>
      <c r="T3627" s="100"/>
      <c r="U3627" s="100"/>
      <c r="V3627" s="100"/>
      <c r="W3627" s="100"/>
      <c r="X3627" s="100"/>
      <c r="Y3627" s="100"/>
      <c r="Z3627" s="100"/>
    </row>
    <row r="3628" spans="1:26">
      <c r="A3628" s="100"/>
      <c r="B3628" s="100"/>
      <c r="C3628" s="100"/>
      <c r="D3628" s="100"/>
      <c r="E3628" s="100"/>
      <c r="F3628" s="100"/>
      <c r="G3628" s="100"/>
      <c r="H3628" s="100"/>
      <c r="I3628" s="100"/>
      <c r="J3628" s="100"/>
      <c r="K3628" s="100"/>
      <c r="L3628" s="100"/>
      <c r="M3628" s="100"/>
      <c r="N3628" s="100"/>
      <c r="O3628" s="100"/>
      <c r="P3628" s="100"/>
      <c r="Q3628" s="100"/>
      <c r="R3628" s="100"/>
      <c r="S3628" s="100"/>
      <c r="T3628" s="100"/>
      <c r="U3628" s="100"/>
      <c r="V3628" s="100"/>
      <c r="W3628" s="100"/>
      <c r="X3628" s="100"/>
      <c r="Y3628" s="100"/>
      <c r="Z3628" s="100"/>
    </row>
    <row r="3629" spans="1:26">
      <c r="A3629" s="100"/>
      <c r="B3629" s="100"/>
      <c r="C3629" s="100"/>
      <c r="D3629" s="100"/>
      <c r="E3629" s="100"/>
      <c r="F3629" s="100"/>
      <c r="G3629" s="100"/>
      <c r="H3629" s="100"/>
      <c r="I3629" s="100"/>
      <c r="J3629" s="100"/>
      <c r="K3629" s="100"/>
      <c r="L3629" s="100"/>
      <c r="M3629" s="100"/>
      <c r="N3629" s="100"/>
      <c r="O3629" s="100"/>
      <c r="P3629" s="100"/>
      <c r="Q3629" s="100"/>
      <c r="R3629" s="100"/>
      <c r="S3629" s="100"/>
      <c r="T3629" s="100"/>
      <c r="U3629" s="100"/>
      <c r="V3629" s="100"/>
      <c r="W3629" s="100"/>
      <c r="X3629" s="100"/>
      <c r="Y3629" s="100"/>
      <c r="Z3629" s="100"/>
    </row>
    <row r="3630" spans="1:26">
      <c r="A3630" s="100"/>
      <c r="B3630" s="100"/>
      <c r="C3630" s="100"/>
      <c r="D3630" s="100"/>
      <c r="E3630" s="100"/>
      <c r="F3630" s="100"/>
      <c r="G3630" s="100"/>
      <c r="H3630" s="100"/>
      <c r="I3630" s="100"/>
      <c r="J3630" s="100"/>
      <c r="K3630" s="100"/>
      <c r="L3630" s="100"/>
      <c r="M3630" s="100"/>
      <c r="N3630" s="100"/>
      <c r="O3630" s="100"/>
      <c r="P3630" s="100"/>
      <c r="Q3630" s="100"/>
      <c r="R3630" s="100"/>
      <c r="S3630" s="100"/>
      <c r="T3630" s="100"/>
      <c r="U3630" s="100"/>
      <c r="V3630" s="100"/>
      <c r="W3630" s="100"/>
      <c r="X3630" s="100"/>
      <c r="Y3630" s="100"/>
      <c r="Z3630" s="100"/>
    </row>
    <row r="3631" spans="1:26">
      <c r="A3631" s="100"/>
      <c r="B3631" s="100"/>
      <c r="C3631" s="100"/>
      <c r="D3631" s="100"/>
      <c r="E3631" s="100"/>
      <c r="F3631" s="100"/>
      <c r="G3631" s="100"/>
      <c r="H3631" s="100"/>
      <c r="I3631" s="100"/>
      <c r="J3631" s="100"/>
      <c r="K3631" s="100"/>
      <c r="L3631" s="100"/>
      <c r="M3631" s="100"/>
      <c r="N3631" s="100"/>
      <c r="O3631" s="100"/>
      <c r="P3631" s="100"/>
      <c r="Q3631" s="100"/>
      <c r="R3631" s="100"/>
      <c r="S3631" s="100"/>
      <c r="T3631" s="100"/>
      <c r="U3631" s="100"/>
      <c r="V3631" s="100"/>
      <c r="W3631" s="100"/>
      <c r="X3631" s="100"/>
      <c r="Y3631" s="100"/>
      <c r="Z3631" s="100"/>
    </row>
    <row r="3632" spans="1:26">
      <c r="A3632" s="100"/>
      <c r="B3632" s="100"/>
      <c r="C3632" s="100"/>
      <c r="D3632" s="100"/>
      <c r="E3632" s="100"/>
      <c r="F3632" s="100"/>
      <c r="G3632" s="100"/>
      <c r="H3632" s="100"/>
      <c r="I3632" s="100"/>
      <c r="J3632" s="100"/>
      <c r="K3632" s="100"/>
      <c r="L3632" s="100"/>
      <c r="M3632" s="100"/>
      <c r="N3632" s="100"/>
      <c r="O3632" s="100"/>
      <c r="P3632" s="100"/>
      <c r="Q3632" s="100"/>
      <c r="R3632" s="100"/>
      <c r="S3632" s="100"/>
      <c r="T3632" s="100"/>
      <c r="U3632" s="100"/>
      <c r="V3632" s="100"/>
      <c r="W3632" s="100"/>
      <c r="X3632" s="100"/>
      <c r="Y3632" s="100"/>
      <c r="Z3632" s="100"/>
    </row>
    <row r="3633" spans="1:26">
      <c r="A3633" s="100"/>
      <c r="B3633" s="100"/>
      <c r="C3633" s="100"/>
      <c r="D3633" s="100"/>
      <c r="E3633" s="100"/>
      <c r="F3633" s="100"/>
      <c r="G3633" s="100"/>
      <c r="H3633" s="100"/>
      <c r="I3633" s="100"/>
      <c r="J3633" s="100"/>
      <c r="K3633" s="100"/>
      <c r="L3633" s="100"/>
      <c r="M3633" s="100"/>
      <c r="N3633" s="100"/>
      <c r="O3633" s="100"/>
      <c r="P3633" s="100"/>
      <c r="Q3633" s="100"/>
      <c r="R3633" s="100"/>
      <c r="S3633" s="100"/>
      <c r="T3633" s="100"/>
      <c r="U3633" s="100"/>
      <c r="V3633" s="100"/>
      <c r="W3633" s="100"/>
      <c r="X3633" s="100"/>
      <c r="Y3633" s="100"/>
      <c r="Z3633" s="100"/>
    </row>
    <row r="3634" spans="1:26">
      <c r="A3634" s="100"/>
      <c r="B3634" s="100"/>
      <c r="C3634" s="100"/>
      <c r="D3634" s="100"/>
      <c r="E3634" s="100"/>
      <c r="F3634" s="100"/>
      <c r="G3634" s="100"/>
      <c r="H3634" s="100"/>
      <c r="I3634" s="100"/>
      <c r="J3634" s="100"/>
      <c r="K3634" s="100"/>
      <c r="L3634" s="100"/>
      <c r="M3634" s="100"/>
      <c r="N3634" s="100"/>
      <c r="O3634" s="100"/>
      <c r="P3634" s="100"/>
      <c r="Q3634" s="100"/>
      <c r="R3634" s="100"/>
      <c r="S3634" s="100"/>
      <c r="T3634" s="100"/>
      <c r="U3634" s="100"/>
      <c r="V3634" s="100"/>
      <c r="W3634" s="100"/>
      <c r="X3634" s="100"/>
      <c r="Y3634" s="100"/>
      <c r="Z3634" s="100"/>
    </row>
    <row r="3635" spans="1:26">
      <c r="A3635" s="100"/>
      <c r="B3635" s="100"/>
      <c r="C3635" s="100"/>
      <c r="D3635" s="100"/>
      <c r="E3635" s="100"/>
      <c r="F3635" s="100"/>
      <c r="G3635" s="100"/>
      <c r="H3635" s="100"/>
      <c r="I3635" s="100"/>
      <c r="J3635" s="100"/>
      <c r="K3635" s="100"/>
      <c r="L3635" s="100"/>
      <c r="M3635" s="100"/>
      <c r="N3635" s="100"/>
      <c r="O3635" s="100"/>
      <c r="P3635" s="100"/>
      <c r="Q3635" s="100"/>
      <c r="R3635" s="100"/>
      <c r="S3635" s="100"/>
      <c r="T3635" s="100"/>
      <c r="U3635" s="100"/>
      <c r="V3635" s="100"/>
      <c r="W3635" s="100"/>
      <c r="X3635" s="100"/>
      <c r="Y3635" s="100"/>
      <c r="Z3635" s="100"/>
    </row>
    <row r="3636" spans="1:26">
      <c r="A3636" s="100"/>
      <c r="B3636" s="100"/>
      <c r="C3636" s="100"/>
      <c r="D3636" s="100"/>
      <c r="E3636" s="100"/>
      <c r="F3636" s="100"/>
      <c r="G3636" s="100"/>
      <c r="H3636" s="100"/>
      <c r="I3636" s="100"/>
      <c r="J3636" s="100"/>
      <c r="K3636" s="100"/>
      <c r="L3636" s="100"/>
      <c r="M3636" s="100"/>
      <c r="N3636" s="100"/>
      <c r="O3636" s="100"/>
      <c r="P3636" s="100"/>
      <c r="Q3636" s="100"/>
      <c r="R3636" s="100"/>
      <c r="S3636" s="100"/>
      <c r="T3636" s="100"/>
      <c r="U3636" s="100"/>
      <c r="V3636" s="100"/>
      <c r="W3636" s="100"/>
      <c r="X3636" s="100"/>
      <c r="Y3636" s="100"/>
      <c r="Z3636" s="100"/>
    </row>
    <row r="3637" spans="1:26">
      <c r="A3637" s="100"/>
      <c r="B3637" s="100"/>
      <c r="C3637" s="100"/>
      <c r="D3637" s="100"/>
      <c r="E3637" s="100"/>
      <c r="F3637" s="100"/>
      <c r="G3637" s="100"/>
      <c r="H3637" s="100"/>
      <c r="I3637" s="100"/>
      <c r="J3637" s="100"/>
      <c r="K3637" s="100"/>
      <c r="L3637" s="100"/>
      <c r="M3637" s="100"/>
      <c r="N3637" s="100"/>
      <c r="O3637" s="100"/>
      <c r="P3637" s="100"/>
      <c r="Q3637" s="100"/>
      <c r="R3637" s="100"/>
      <c r="S3637" s="100"/>
      <c r="T3637" s="100"/>
      <c r="U3637" s="100"/>
      <c r="V3637" s="100"/>
      <c r="W3637" s="100"/>
      <c r="X3637" s="100"/>
      <c r="Y3637" s="100"/>
      <c r="Z3637" s="100"/>
    </row>
    <row r="3638" spans="1:26">
      <c r="A3638" s="100"/>
      <c r="B3638" s="100"/>
      <c r="C3638" s="100"/>
      <c r="D3638" s="100"/>
      <c r="E3638" s="100"/>
      <c r="F3638" s="100"/>
      <c r="G3638" s="100"/>
      <c r="H3638" s="100"/>
      <c r="I3638" s="100"/>
      <c r="J3638" s="100"/>
      <c r="K3638" s="100"/>
      <c r="L3638" s="100"/>
      <c r="M3638" s="100"/>
      <c r="N3638" s="100"/>
      <c r="O3638" s="100"/>
      <c r="P3638" s="100"/>
      <c r="Q3638" s="100"/>
      <c r="R3638" s="100"/>
      <c r="S3638" s="100"/>
      <c r="T3638" s="100"/>
      <c r="U3638" s="100"/>
      <c r="V3638" s="100"/>
      <c r="W3638" s="100"/>
      <c r="X3638" s="100"/>
      <c r="Y3638" s="100"/>
      <c r="Z3638" s="100"/>
    </row>
    <row r="3639" spans="1:26">
      <c r="A3639" s="100"/>
      <c r="B3639" s="100"/>
      <c r="C3639" s="100"/>
      <c r="D3639" s="100"/>
      <c r="E3639" s="100"/>
      <c r="F3639" s="100"/>
      <c r="G3639" s="100"/>
      <c r="H3639" s="100"/>
      <c r="I3639" s="100"/>
      <c r="J3639" s="100"/>
      <c r="K3639" s="100"/>
      <c r="L3639" s="100"/>
      <c r="M3639" s="100"/>
      <c r="N3639" s="100"/>
      <c r="O3639" s="100"/>
      <c r="P3639" s="100"/>
      <c r="Q3639" s="100"/>
      <c r="R3639" s="100"/>
      <c r="S3639" s="100"/>
      <c r="T3639" s="100"/>
      <c r="U3639" s="100"/>
      <c r="V3639" s="100"/>
      <c r="W3639" s="100"/>
      <c r="X3639" s="100"/>
      <c r="Y3639" s="100"/>
      <c r="Z3639" s="100"/>
    </row>
    <row r="3640" spans="1:26">
      <c r="A3640" s="100"/>
      <c r="B3640" s="100"/>
      <c r="C3640" s="100"/>
      <c r="D3640" s="100"/>
      <c r="E3640" s="100"/>
      <c r="F3640" s="100"/>
      <c r="G3640" s="100"/>
      <c r="H3640" s="100"/>
      <c r="I3640" s="100"/>
      <c r="J3640" s="100"/>
      <c r="K3640" s="100"/>
      <c r="L3640" s="100"/>
      <c r="M3640" s="100"/>
      <c r="N3640" s="100"/>
      <c r="O3640" s="100"/>
      <c r="P3640" s="100"/>
      <c r="Q3640" s="100"/>
      <c r="R3640" s="100"/>
      <c r="S3640" s="100"/>
      <c r="T3640" s="100"/>
      <c r="U3640" s="100"/>
      <c r="V3640" s="100"/>
      <c r="W3640" s="100"/>
      <c r="X3640" s="100"/>
      <c r="Y3640" s="100"/>
      <c r="Z3640" s="100"/>
    </row>
    <row r="3641" spans="1:26">
      <c r="A3641" s="100"/>
      <c r="B3641" s="100"/>
      <c r="C3641" s="100"/>
      <c r="D3641" s="100"/>
      <c r="E3641" s="100"/>
      <c r="F3641" s="100"/>
      <c r="G3641" s="100"/>
      <c r="H3641" s="100"/>
      <c r="I3641" s="100"/>
      <c r="J3641" s="100"/>
      <c r="K3641" s="100"/>
      <c r="L3641" s="100"/>
      <c r="M3641" s="100"/>
      <c r="N3641" s="100"/>
      <c r="O3641" s="100"/>
      <c r="P3641" s="100"/>
      <c r="Q3641" s="100"/>
      <c r="R3641" s="100"/>
      <c r="S3641" s="100"/>
      <c r="T3641" s="100"/>
      <c r="U3641" s="100"/>
      <c r="V3641" s="100"/>
      <c r="W3641" s="100"/>
      <c r="X3641" s="100"/>
      <c r="Y3641" s="100"/>
      <c r="Z3641" s="100"/>
    </row>
    <row r="3642" spans="1:26">
      <c r="A3642" s="100"/>
      <c r="B3642" s="100"/>
      <c r="C3642" s="100"/>
      <c r="D3642" s="100"/>
      <c r="E3642" s="100"/>
      <c r="F3642" s="100"/>
      <c r="G3642" s="100"/>
      <c r="H3642" s="100"/>
      <c r="I3642" s="100"/>
      <c r="J3642" s="100"/>
      <c r="K3642" s="100"/>
      <c r="L3642" s="100"/>
      <c r="M3642" s="100"/>
      <c r="N3642" s="100"/>
      <c r="O3642" s="100"/>
      <c r="P3642" s="100"/>
      <c r="Q3642" s="100"/>
      <c r="R3642" s="100"/>
      <c r="S3642" s="100"/>
      <c r="T3642" s="100"/>
      <c r="U3642" s="100"/>
      <c r="V3642" s="100"/>
      <c r="W3642" s="100"/>
      <c r="X3642" s="100"/>
      <c r="Y3642" s="100"/>
      <c r="Z3642" s="100"/>
    </row>
    <row r="3643" spans="1:26">
      <c r="A3643" s="100"/>
      <c r="B3643" s="100"/>
      <c r="C3643" s="100"/>
      <c r="D3643" s="100"/>
      <c r="E3643" s="100"/>
      <c r="F3643" s="100"/>
      <c r="G3643" s="100"/>
      <c r="H3643" s="100"/>
      <c r="I3643" s="100"/>
      <c r="J3643" s="100"/>
      <c r="K3643" s="100"/>
      <c r="L3643" s="100"/>
      <c r="M3643" s="100"/>
      <c r="N3643" s="100"/>
      <c r="O3643" s="100"/>
      <c r="P3643" s="100"/>
      <c r="Q3643" s="100"/>
      <c r="R3643" s="100"/>
      <c r="S3643" s="100"/>
      <c r="T3643" s="100"/>
      <c r="U3643" s="100"/>
      <c r="V3643" s="100"/>
      <c r="W3643" s="100"/>
      <c r="X3643" s="100"/>
      <c r="Y3643" s="100"/>
      <c r="Z3643" s="100"/>
    </row>
    <row r="3644" spans="1:26">
      <c r="A3644" s="100"/>
      <c r="B3644" s="100"/>
      <c r="C3644" s="100"/>
      <c r="D3644" s="100"/>
      <c r="E3644" s="100"/>
      <c r="F3644" s="100"/>
      <c r="G3644" s="100"/>
      <c r="H3644" s="100"/>
      <c r="I3644" s="100"/>
      <c r="J3644" s="100"/>
      <c r="K3644" s="100"/>
      <c r="L3644" s="100"/>
      <c r="M3644" s="100"/>
      <c r="N3644" s="100"/>
      <c r="O3644" s="100"/>
      <c r="P3644" s="100"/>
      <c r="Q3644" s="100"/>
      <c r="R3644" s="100"/>
      <c r="S3644" s="100"/>
      <c r="T3644" s="100"/>
      <c r="U3644" s="100"/>
      <c r="V3644" s="100"/>
      <c r="W3644" s="100"/>
      <c r="X3644" s="100"/>
      <c r="Y3644" s="100"/>
      <c r="Z3644" s="100"/>
    </row>
    <row r="3645" spans="1:26">
      <c r="A3645" s="100"/>
      <c r="B3645" s="100"/>
      <c r="C3645" s="100"/>
      <c r="D3645" s="100"/>
      <c r="E3645" s="100"/>
      <c r="F3645" s="100"/>
      <c r="G3645" s="100"/>
      <c r="H3645" s="100"/>
      <c r="I3645" s="100"/>
      <c r="J3645" s="100"/>
      <c r="K3645" s="100"/>
      <c r="L3645" s="100"/>
      <c r="M3645" s="100"/>
      <c r="N3645" s="100"/>
      <c r="O3645" s="100"/>
      <c r="P3645" s="100"/>
      <c r="Q3645" s="100"/>
      <c r="R3645" s="100"/>
      <c r="S3645" s="100"/>
      <c r="T3645" s="100"/>
      <c r="U3645" s="100"/>
      <c r="V3645" s="100"/>
      <c r="W3645" s="100"/>
      <c r="X3645" s="100"/>
      <c r="Y3645" s="100"/>
      <c r="Z3645" s="100"/>
    </row>
    <row r="3646" spans="1:26">
      <c r="A3646" s="100"/>
      <c r="B3646" s="100"/>
      <c r="C3646" s="100"/>
      <c r="D3646" s="100"/>
      <c r="E3646" s="100"/>
      <c r="F3646" s="100"/>
      <c r="G3646" s="100"/>
      <c r="H3646" s="100"/>
      <c r="I3646" s="100"/>
      <c r="J3646" s="100"/>
      <c r="K3646" s="100"/>
      <c r="L3646" s="100"/>
      <c r="M3646" s="100"/>
      <c r="N3646" s="100"/>
      <c r="O3646" s="100"/>
      <c r="P3646" s="100"/>
      <c r="Q3646" s="100"/>
      <c r="R3646" s="100"/>
      <c r="S3646" s="100"/>
      <c r="T3646" s="100"/>
      <c r="U3646" s="100"/>
      <c r="V3646" s="100"/>
      <c r="W3646" s="100"/>
      <c r="X3646" s="100"/>
      <c r="Y3646" s="100"/>
      <c r="Z3646" s="100"/>
    </row>
    <row r="3647" spans="1:26">
      <c r="A3647" s="100"/>
      <c r="B3647" s="100"/>
      <c r="C3647" s="100"/>
      <c r="D3647" s="100"/>
      <c r="E3647" s="100"/>
      <c r="F3647" s="100"/>
      <c r="G3647" s="100"/>
      <c r="H3647" s="100"/>
      <c r="I3647" s="100"/>
      <c r="J3647" s="100"/>
      <c r="K3647" s="100"/>
      <c r="L3647" s="100"/>
      <c r="M3647" s="100"/>
      <c r="N3647" s="100"/>
      <c r="O3647" s="100"/>
      <c r="P3647" s="100"/>
      <c r="Q3647" s="100"/>
      <c r="R3647" s="100"/>
      <c r="S3647" s="100"/>
      <c r="T3647" s="100"/>
      <c r="U3647" s="100"/>
      <c r="V3647" s="100"/>
      <c r="W3647" s="100"/>
      <c r="X3647" s="100"/>
      <c r="Y3647" s="100"/>
      <c r="Z3647" s="100"/>
    </row>
    <row r="3648" spans="1:26">
      <c r="A3648" s="100"/>
      <c r="B3648" s="100"/>
      <c r="C3648" s="100"/>
      <c r="D3648" s="100"/>
      <c r="E3648" s="100"/>
      <c r="F3648" s="100"/>
      <c r="G3648" s="100"/>
      <c r="H3648" s="100"/>
      <c r="I3648" s="100"/>
      <c r="J3648" s="100"/>
      <c r="K3648" s="100"/>
      <c r="L3648" s="100"/>
      <c r="M3648" s="100"/>
      <c r="N3648" s="100"/>
      <c r="O3648" s="100"/>
      <c r="P3648" s="100"/>
      <c r="Q3648" s="100"/>
      <c r="R3648" s="100"/>
      <c r="S3648" s="100"/>
      <c r="T3648" s="100"/>
      <c r="U3648" s="100"/>
      <c r="V3648" s="100"/>
      <c r="W3648" s="100"/>
      <c r="X3648" s="100"/>
      <c r="Y3648" s="100"/>
      <c r="Z3648" s="100"/>
    </row>
    <row r="3649" spans="1:26">
      <c r="A3649" s="100"/>
      <c r="B3649" s="100"/>
      <c r="C3649" s="100"/>
      <c r="D3649" s="100"/>
      <c r="E3649" s="100"/>
      <c r="F3649" s="100"/>
      <c r="G3649" s="100"/>
      <c r="H3649" s="100"/>
      <c r="I3649" s="100"/>
      <c r="J3649" s="100"/>
      <c r="K3649" s="100"/>
      <c r="L3649" s="100"/>
      <c r="M3649" s="100"/>
      <c r="N3649" s="100"/>
      <c r="O3649" s="100"/>
      <c r="P3649" s="100"/>
      <c r="Q3649" s="100"/>
      <c r="R3649" s="100"/>
      <c r="S3649" s="100"/>
      <c r="T3649" s="100"/>
      <c r="U3649" s="100"/>
      <c r="V3649" s="100"/>
      <c r="W3649" s="100"/>
      <c r="X3649" s="100"/>
      <c r="Y3649" s="100"/>
      <c r="Z3649" s="100"/>
    </row>
    <row r="3650" spans="1:26">
      <c r="A3650" s="100"/>
      <c r="B3650" s="100"/>
      <c r="C3650" s="100"/>
      <c r="D3650" s="100"/>
      <c r="E3650" s="100"/>
      <c r="F3650" s="100"/>
      <c r="G3650" s="100"/>
      <c r="H3650" s="100"/>
      <c r="I3650" s="100"/>
      <c r="J3650" s="100"/>
      <c r="K3650" s="100"/>
      <c r="L3650" s="100"/>
      <c r="M3650" s="100"/>
      <c r="N3650" s="100"/>
      <c r="O3650" s="100"/>
      <c r="P3650" s="100"/>
      <c r="Q3650" s="100"/>
      <c r="R3650" s="100"/>
      <c r="S3650" s="100"/>
      <c r="T3650" s="100"/>
      <c r="U3650" s="100"/>
      <c r="V3650" s="100"/>
      <c r="W3650" s="100"/>
      <c r="X3650" s="100"/>
      <c r="Y3650" s="100"/>
      <c r="Z3650" s="100"/>
    </row>
    <row r="3651" spans="1:26">
      <c r="A3651" s="100"/>
      <c r="B3651" s="100"/>
      <c r="C3651" s="100"/>
      <c r="D3651" s="100"/>
      <c r="E3651" s="100"/>
      <c r="F3651" s="100"/>
      <c r="G3651" s="100"/>
      <c r="H3651" s="100"/>
      <c r="I3651" s="100"/>
      <c r="J3651" s="100"/>
      <c r="K3651" s="100"/>
      <c r="L3651" s="100"/>
      <c r="M3651" s="100"/>
      <c r="N3651" s="100"/>
      <c r="O3651" s="100"/>
      <c r="P3651" s="100"/>
      <c r="Q3651" s="100"/>
      <c r="R3651" s="100"/>
      <c r="S3651" s="100"/>
      <c r="T3651" s="100"/>
      <c r="U3651" s="100"/>
      <c r="V3651" s="100"/>
      <c r="W3651" s="100"/>
      <c r="X3651" s="100"/>
      <c r="Y3651" s="100"/>
      <c r="Z3651" s="100"/>
    </row>
    <row r="3652" spans="1:26">
      <c r="A3652" s="100"/>
      <c r="B3652" s="100"/>
      <c r="C3652" s="100"/>
      <c r="D3652" s="100"/>
      <c r="E3652" s="100"/>
      <c r="F3652" s="100"/>
      <c r="G3652" s="100"/>
      <c r="H3652" s="100"/>
      <c r="I3652" s="100"/>
      <c r="J3652" s="100"/>
      <c r="K3652" s="100"/>
      <c r="L3652" s="100"/>
      <c r="M3652" s="100"/>
      <c r="N3652" s="100"/>
      <c r="O3652" s="100"/>
      <c r="P3652" s="100"/>
      <c r="Q3652" s="100"/>
      <c r="R3652" s="100"/>
      <c r="S3652" s="100"/>
      <c r="T3652" s="100"/>
      <c r="U3652" s="100"/>
      <c r="V3652" s="100"/>
      <c r="W3652" s="100"/>
      <c r="X3652" s="100"/>
      <c r="Y3652" s="100"/>
      <c r="Z3652" s="100"/>
    </row>
    <row r="3653" spans="1:26">
      <c r="A3653" s="100"/>
      <c r="B3653" s="100"/>
      <c r="C3653" s="100"/>
      <c r="D3653" s="100"/>
      <c r="E3653" s="100"/>
      <c r="F3653" s="100"/>
      <c r="G3653" s="100"/>
      <c r="H3653" s="100"/>
      <c r="I3653" s="100"/>
      <c r="J3653" s="100"/>
      <c r="K3653" s="100"/>
      <c r="L3653" s="100"/>
      <c r="M3653" s="100"/>
      <c r="N3653" s="100"/>
      <c r="O3653" s="100"/>
      <c r="P3653" s="100"/>
      <c r="Q3653" s="100"/>
      <c r="R3653" s="100"/>
      <c r="S3653" s="100"/>
      <c r="T3653" s="100"/>
      <c r="U3653" s="100"/>
      <c r="V3653" s="100"/>
      <c r="W3653" s="100"/>
      <c r="X3653" s="100"/>
      <c r="Y3653" s="100"/>
      <c r="Z3653" s="100"/>
    </row>
    <row r="3654" spans="1:26">
      <c r="A3654" s="100"/>
      <c r="B3654" s="100"/>
      <c r="C3654" s="100"/>
      <c r="D3654" s="100"/>
      <c r="E3654" s="100"/>
      <c r="F3654" s="100"/>
      <c r="G3654" s="100"/>
      <c r="H3654" s="100"/>
      <c r="I3654" s="100"/>
      <c r="J3654" s="100"/>
      <c r="K3654" s="100"/>
      <c r="L3654" s="100"/>
      <c r="M3654" s="100"/>
      <c r="N3654" s="100"/>
      <c r="O3654" s="100"/>
      <c r="P3654" s="100"/>
      <c r="Q3654" s="100"/>
      <c r="R3654" s="100"/>
      <c r="S3654" s="100"/>
      <c r="T3654" s="100"/>
      <c r="U3654" s="100"/>
      <c r="V3654" s="100"/>
      <c r="W3654" s="100"/>
      <c r="X3654" s="100"/>
      <c r="Y3654" s="100"/>
      <c r="Z3654" s="100"/>
    </row>
    <row r="3655" spans="1:26">
      <c r="A3655" s="100"/>
      <c r="B3655" s="100"/>
      <c r="C3655" s="100"/>
      <c r="D3655" s="100"/>
      <c r="E3655" s="100"/>
      <c r="F3655" s="100"/>
      <c r="G3655" s="100"/>
      <c r="H3655" s="100"/>
      <c r="I3655" s="100"/>
      <c r="J3655" s="100"/>
      <c r="K3655" s="100"/>
      <c r="L3655" s="100"/>
      <c r="M3655" s="100"/>
      <c r="N3655" s="100"/>
      <c r="O3655" s="100"/>
      <c r="P3655" s="100"/>
      <c r="Q3655" s="100"/>
      <c r="R3655" s="100"/>
      <c r="S3655" s="100"/>
      <c r="T3655" s="100"/>
      <c r="U3655" s="100"/>
      <c r="V3655" s="100"/>
      <c r="W3655" s="100"/>
      <c r="X3655" s="100"/>
      <c r="Y3655" s="100"/>
      <c r="Z3655" s="100"/>
    </row>
    <row r="3656" spans="1:26">
      <c r="A3656" s="100"/>
      <c r="B3656" s="100"/>
      <c r="C3656" s="100"/>
      <c r="D3656" s="100"/>
      <c r="E3656" s="100"/>
      <c r="F3656" s="100"/>
      <c r="G3656" s="100"/>
      <c r="H3656" s="100"/>
      <c r="I3656" s="100"/>
      <c r="J3656" s="100"/>
      <c r="K3656" s="100"/>
      <c r="L3656" s="100"/>
      <c r="M3656" s="100"/>
      <c r="N3656" s="100"/>
      <c r="O3656" s="100"/>
      <c r="P3656" s="100"/>
      <c r="Q3656" s="100"/>
      <c r="R3656" s="100"/>
      <c r="S3656" s="100"/>
      <c r="T3656" s="100"/>
      <c r="U3656" s="100"/>
      <c r="V3656" s="100"/>
      <c r="W3656" s="100"/>
      <c r="X3656" s="100"/>
      <c r="Y3656" s="100"/>
      <c r="Z3656" s="100"/>
    </row>
    <row r="3657" spans="1:26">
      <c r="A3657" s="100"/>
      <c r="B3657" s="100"/>
      <c r="C3657" s="100"/>
      <c r="D3657" s="100"/>
      <c r="E3657" s="100"/>
      <c r="F3657" s="100"/>
      <c r="G3657" s="100"/>
      <c r="H3657" s="100"/>
      <c r="I3657" s="100"/>
      <c r="J3657" s="100"/>
      <c r="K3657" s="100"/>
      <c r="L3657" s="100"/>
      <c r="M3657" s="100"/>
      <c r="N3657" s="100"/>
      <c r="O3657" s="100"/>
      <c r="P3657" s="100"/>
      <c r="Q3657" s="100"/>
      <c r="R3657" s="100"/>
      <c r="S3657" s="100"/>
      <c r="T3657" s="100"/>
      <c r="U3657" s="100"/>
      <c r="V3657" s="100"/>
      <c r="W3657" s="100"/>
      <c r="X3657" s="100"/>
      <c r="Y3657" s="100"/>
      <c r="Z3657" s="100"/>
    </row>
    <row r="3658" spans="1:26">
      <c r="A3658" s="100"/>
      <c r="B3658" s="100"/>
      <c r="C3658" s="100"/>
      <c r="D3658" s="100"/>
      <c r="E3658" s="100"/>
      <c r="F3658" s="100"/>
      <c r="G3658" s="100"/>
      <c r="H3658" s="100"/>
      <c r="I3658" s="100"/>
      <c r="J3658" s="100"/>
      <c r="K3658" s="100"/>
      <c r="L3658" s="100"/>
      <c r="M3658" s="100"/>
      <c r="N3658" s="100"/>
      <c r="O3658" s="100"/>
      <c r="P3658" s="100"/>
      <c r="Q3658" s="100"/>
      <c r="R3658" s="100"/>
      <c r="S3658" s="100"/>
      <c r="T3658" s="100"/>
      <c r="U3658" s="100"/>
      <c r="V3658" s="100"/>
      <c r="W3658" s="100"/>
      <c r="X3658" s="100"/>
      <c r="Y3658" s="100"/>
      <c r="Z3658" s="100"/>
    </row>
    <row r="3659" spans="1:26">
      <c r="A3659" s="100"/>
      <c r="B3659" s="100"/>
      <c r="C3659" s="100"/>
      <c r="D3659" s="100"/>
      <c r="E3659" s="100"/>
      <c r="F3659" s="100"/>
      <c r="G3659" s="100"/>
      <c r="H3659" s="100"/>
      <c r="I3659" s="100"/>
      <c r="J3659" s="100"/>
      <c r="K3659" s="100"/>
      <c r="L3659" s="100"/>
      <c r="M3659" s="100"/>
      <c r="N3659" s="100"/>
      <c r="O3659" s="100"/>
      <c r="P3659" s="100"/>
      <c r="Q3659" s="100"/>
      <c r="R3659" s="100"/>
      <c r="S3659" s="100"/>
      <c r="T3659" s="100"/>
      <c r="U3659" s="100"/>
      <c r="V3659" s="100"/>
      <c r="W3659" s="100"/>
      <c r="X3659" s="100"/>
      <c r="Y3659" s="100"/>
      <c r="Z3659" s="100"/>
    </row>
    <row r="3660" spans="1:26">
      <c r="A3660" s="100"/>
      <c r="B3660" s="100"/>
      <c r="C3660" s="100"/>
      <c r="D3660" s="100"/>
      <c r="E3660" s="100"/>
      <c r="F3660" s="100"/>
      <c r="G3660" s="100"/>
      <c r="H3660" s="100"/>
      <c r="I3660" s="100"/>
      <c r="J3660" s="100"/>
      <c r="K3660" s="100"/>
      <c r="L3660" s="100"/>
      <c r="M3660" s="100"/>
      <c r="N3660" s="100"/>
      <c r="O3660" s="100"/>
      <c r="P3660" s="100"/>
      <c r="Q3660" s="100"/>
      <c r="R3660" s="100"/>
      <c r="S3660" s="100"/>
      <c r="T3660" s="100"/>
      <c r="U3660" s="100"/>
      <c r="V3660" s="100"/>
      <c r="W3660" s="100"/>
      <c r="X3660" s="100"/>
      <c r="Y3660" s="100"/>
      <c r="Z3660" s="100"/>
    </row>
    <row r="3661" spans="1:26">
      <c r="A3661" s="100"/>
      <c r="B3661" s="100"/>
      <c r="C3661" s="100"/>
      <c r="D3661" s="100"/>
      <c r="E3661" s="100"/>
      <c r="F3661" s="100"/>
      <c r="G3661" s="100"/>
      <c r="H3661" s="100"/>
      <c r="I3661" s="100"/>
      <c r="J3661" s="100"/>
      <c r="K3661" s="100"/>
      <c r="L3661" s="100"/>
      <c r="M3661" s="100"/>
      <c r="N3661" s="100"/>
      <c r="O3661" s="100"/>
      <c r="P3661" s="100"/>
      <c r="Q3661" s="100"/>
      <c r="R3661" s="100"/>
      <c r="S3661" s="100"/>
      <c r="T3661" s="100"/>
      <c r="U3661" s="100"/>
      <c r="V3661" s="100"/>
      <c r="W3661" s="100"/>
      <c r="X3661" s="100"/>
      <c r="Y3661" s="100"/>
      <c r="Z3661" s="100"/>
    </row>
    <row r="3662" spans="1:26">
      <c r="A3662" s="100"/>
      <c r="B3662" s="100"/>
      <c r="C3662" s="100"/>
      <c r="D3662" s="100"/>
      <c r="E3662" s="100"/>
      <c r="F3662" s="100"/>
      <c r="G3662" s="100"/>
      <c r="H3662" s="100"/>
      <c r="I3662" s="100"/>
      <c r="J3662" s="100"/>
      <c r="K3662" s="100"/>
      <c r="L3662" s="100"/>
      <c r="M3662" s="100"/>
      <c r="N3662" s="100"/>
      <c r="O3662" s="100"/>
      <c r="P3662" s="100"/>
      <c r="Q3662" s="100"/>
      <c r="R3662" s="100"/>
      <c r="S3662" s="100"/>
      <c r="T3662" s="100"/>
      <c r="U3662" s="100"/>
      <c r="V3662" s="100"/>
      <c r="W3662" s="100"/>
      <c r="X3662" s="100"/>
      <c r="Y3662" s="100"/>
      <c r="Z3662" s="100"/>
    </row>
    <row r="3663" spans="1:26">
      <c r="A3663" s="100"/>
      <c r="B3663" s="100"/>
      <c r="C3663" s="100"/>
      <c r="D3663" s="100"/>
      <c r="E3663" s="100"/>
      <c r="F3663" s="100"/>
      <c r="G3663" s="100"/>
      <c r="H3663" s="100"/>
      <c r="I3663" s="100"/>
      <c r="J3663" s="100"/>
      <c r="K3663" s="100"/>
      <c r="L3663" s="100"/>
      <c r="M3663" s="100"/>
      <c r="N3663" s="100"/>
      <c r="O3663" s="100"/>
      <c r="P3663" s="100"/>
      <c r="Q3663" s="100"/>
      <c r="R3663" s="100"/>
      <c r="S3663" s="100"/>
      <c r="T3663" s="100"/>
      <c r="U3663" s="100"/>
      <c r="V3663" s="100"/>
      <c r="W3663" s="100"/>
      <c r="X3663" s="100"/>
      <c r="Y3663" s="100"/>
      <c r="Z3663" s="100"/>
    </row>
    <row r="3664" spans="1:26">
      <c r="A3664" s="100"/>
      <c r="B3664" s="100"/>
      <c r="C3664" s="100"/>
      <c r="D3664" s="100"/>
      <c r="E3664" s="100"/>
      <c r="F3664" s="100"/>
      <c r="G3664" s="100"/>
      <c r="H3664" s="100"/>
      <c r="I3664" s="100"/>
      <c r="J3664" s="100"/>
      <c r="K3664" s="100"/>
      <c r="L3664" s="100"/>
      <c r="M3664" s="100"/>
      <c r="N3664" s="100"/>
      <c r="O3664" s="100"/>
      <c r="P3664" s="100"/>
      <c r="Q3664" s="100"/>
      <c r="R3664" s="100"/>
      <c r="S3664" s="100"/>
      <c r="T3664" s="100"/>
      <c r="U3664" s="100"/>
      <c r="V3664" s="100"/>
      <c r="W3664" s="100"/>
      <c r="X3664" s="100"/>
      <c r="Y3664" s="100"/>
      <c r="Z3664" s="100"/>
    </row>
    <row r="3665" spans="1:26">
      <c r="A3665" s="100"/>
      <c r="B3665" s="100"/>
      <c r="C3665" s="100"/>
      <c r="D3665" s="100"/>
      <c r="E3665" s="100"/>
      <c r="F3665" s="100"/>
      <c r="G3665" s="100"/>
      <c r="H3665" s="100"/>
      <c r="I3665" s="100"/>
      <c r="J3665" s="100"/>
      <c r="K3665" s="100"/>
      <c r="L3665" s="100"/>
      <c r="M3665" s="100"/>
      <c r="N3665" s="100"/>
      <c r="O3665" s="100"/>
      <c r="P3665" s="100"/>
      <c r="Q3665" s="100"/>
      <c r="R3665" s="100"/>
      <c r="S3665" s="100"/>
      <c r="T3665" s="100"/>
      <c r="U3665" s="100"/>
      <c r="V3665" s="100"/>
      <c r="W3665" s="100"/>
      <c r="X3665" s="100"/>
      <c r="Y3665" s="100"/>
      <c r="Z3665" s="100"/>
    </row>
    <row r="3666" spans="1:26">
      <c r="A3666" s="100"/>
      <c r="B3666" s="100"/>
      <c r="C3666" s="100"/>
      <c r="D3666" s="100"/>
      <c r="E3666" s="100"/>
      <c r="F3666" s="100"/>
      <c r="G3666" s="100"/>
      <c r="H3666" s="100"/>
      <c r="I3666" s="100"/>
      <c r="J3666" s="100"/>
      <c r="K3666" s="100"/>
      <c r="L3666" s="100"/>
      <c r="M3666" s="100"/>
      <c r="N3666" s="100"/>
      <c r="O3666" s="100"/>
      <c r="P3666" s="100"/>
      <c r="Q3666" s="100"/>
      <c r="R3666" s="100"/>
      <c r="S3666" s="100"/>
      <c r="T3666" s="100"/>
      <c r="U3666" s="100"/>
      <c r="V3666" s="100"/>
      <c r="W3666" s="100"/>
      <c r="X3666" s="100"/>
      <c r="Y3666" s="100"/>
      <c r="Z3666" s="100"/>
    </row>
    <row r="3667" spans="1:26">
      <c r="A3667" s="100"/>
      <c r="B3667" s="100"/>
      <c r="C3667" s="100"/>
      <c r="D3667" s="100"/>
      <c r="E3667" s="100"/>
      <c r="F3667" s="100"/>
      <c r="G3667" s="100"/>
      <c r="H3667" s="100"/>
      <c r="I3667" s="100"/>
      <c r="J3667" s="100"/>
      <c r="K3667" s="100"/>
      <c r="L3667" s="100"/>
      <c r="M3667" s="100"/>
      <c r="N3667" s="100"/>
      <c r="O3667" s="100"/>
      <c r="P3667" s="100"/>
      <c r="Q3667" s="100"/>
      <c r="R3667" s="100"/>
      <c r="S3667" s="100"/>
      <c r="T3667" s="100"/>
      <c r="U3667" s="100"/>
      <c r="V3667" s="100"/>
      <c r="W3667" s="100"/>
      <c r="X3667" s="100"/>
      <c r="Y3667" s="100"/>
      <c r="Z3667" s="100"/>
    </row>
    <row r="3668" spans="1:26">
      <c r="A3668" s="100"/>
      <c r="B3668" s="100"/>
      <c r="C3668" s="100"/>
      <c r="D3668" s="100"/>
      <c r="E3668" s="100"/>
      <c r="F3668" s="100"/>
      <c r="G3668" s="100"/>
      <c r="H3668" s="100"/>
      <c r="I3668" s="100"/>
      <c r="J3668" s="100"/>
      <c r="K3668" s="100"/>
      <c r="L3668" s="100"/>
      <c r="M3668" s="100"/>
      <c r="N3668" s="100"/>
      <c r="O3668" s="100"/>
      <c r="P3668" s="100"/>
      <c r="Q3668" s="100"/>
      <c r="R3668" s="100"/>
      <c r="S3668" s="100"/>
      <c r="T3668" s="100"/>
      <c r="U3668" s="100"/>
      <c r="V3668" s="100"/>
      <c r="W3668" s="100"/>
      <c r="X3668" s="100"/>
      <c r="Y3668" s="100"/>
      <c r="Z3668" s="100"/>
    </row>
    <row r="3669" spans="1:26">
      <c r="A3669" s="100"/>
      <c r="B3669" s="100"/>
      <c r="C3669" s="100"/>
      <c r="D3669" s="100"/>
      <c r="E3669" s="100"/>
      <c r="F3669" s="100"/>
      <c r="G3669" s="100"/>
      <c r="H3669" s="100"/>
      <c r="I3669" s="100"/>
      <c r="J3669" s="100"/>
      <c r="K3669" s="100"/>
      <c r="L3669" s="100"/>
      <c r="M3669" s="100"/>
      <c r="N3669" s="100"/>
      <c r="O3669" s="100"/>
      <c r="P3669" s="100"/>
      <c r="Q3669" s="100"/>
      <c r="R3669" s="100"/>
      <c r="S3669" s="100"/>
      <c r="T3669" s="100"/>
      <c r="U3669" s="100"/>
      <c r="V3669" s="100"/>
      <c r="W3669" s="100"/>
      <c r="X3669" s="100"/>
      <c r="Y3669" s="100"/>
      <c r="Z3669" s="100"/>
    </row>
    <row r="3670" spans="1:26">
      <c r="A3670" s="100"/>
      <c r="B3670" s="100"/>
      <c r="C3670" s="100"/>
      <c r="D3670" s="100"/>
      <c r="E3670" s="100"/>
      <c r="F3670" s="100"/>
      <c r="G3670" s="100"/>
      <c r="H3670" s="100"/>
      <c r="I3670" s="100"/>
      <c r="J3670" s="100"/>
      <c r="K3670" s="100"/>
      <c r="L3670" s="100"/>
      <c r="M3670" s="100"/>
      <c r="N3670" s="100"/>
      <c r="O3670" s="100"/>
      <c r="P3670" s="100"/>
      <c r="Q3670" s="100"/>
      <c r="R3670" s="100"/>
      <c r="S3670" s="100"/>
      <c r="T3670" s="100"/>
      <c r="U3670" s="100"/>
      <c r="V3670" s="100"/>
      <c r="W3670" s="100"/>
      <c r="X3670" s="100"/>
      <c r="Y3670" s="100"/>
      <c r="Z3670" s="100"/>
    </row>
    <row r="3671" spans="1:26">
      <c r="A3671" s="100"/>
      <c r="B3671" s="100"/>
      <c r="C3671" s="100"/>
      <c r="D3671" s="100"/>
      <c r="E3671" s="100"/>
      <c r="F3671" s="100"/>
      <c r="G3671" s="100"/>
      <c r="H3671" s="100"/>
      <c r="I3671" s="100"/>
      <c r="J3671" s="100"/>
      <c r="K3671" s="100"/>
      <c r="L3671" s="100"/>
      <c r="M3671" s="100"/>
      <c r="N3671" s="100"/>
      <c r="O3671" s="100"/>
      <c r="P3671" s="100"/>
      <c r="Q3671" s="100"/>
      <c r="R3671" s="100"/>
      <c r="S3671" s="100"/>
      <c r="T3671" s="100"/>
      <c r="U3671" s="100"/>
      <c r="V3671" s="100"/>
      <c r="W3671" s="100"/>
      <c r="X3671" s="100"/>
      <c r="Y3671" s="100"/>
      <c r="Z3671" s="100"/>
    </row>
    <row r="3672" spans="1:26">
      <c r="A3672" s="100"/>
      <c r="B3672" s="100"/>
      <c r="C3672" s="100"/>
      <c r="D3672" s="100"/>
      <c r="E3672" s="100"/>
      <c r="F3672" s="100"/>
      <c r="G3672" s="100"/>
      <c r="H3672" s="100"/>
      <c r="I3672" s="100"/>
      <c r="J3672" s="100"/>
      <c r="K3672" s="100"/>
      <c r="L3672" s="100"/>
      <c r="M3672" s="100"/>
      <c r="N3672" s="100"/>
      <c r="O3672" s="100"/>
      <c r="P3672" s="100"/>
      <c r="Q3672" s="100"/>
      <c r="R3672" s="100"/>
      <c r="S3672" s="100"/>
      <c r="T3672" s="100"/>
      <c r="U3672" s="100"/>
      <c r="V3672" s="100"/>
      <c r="W3672" s="100"/>
      <c r="X3672" s="100"/>
      <c r="Y3672" s="100"/>
      <c r="Z3672" s="100"/>
    </row>
    <row r="3673" spans="1:26">
      <c r="A3673" s="100"/>
      <c r="B3673" s="100"/>
      <c r="C3673" s="100"/>
      <c r="D3673" s="100"/>
      <c r="E3673" s="100"/>
      <c r="F3673" s="100"/>
      <c r="G3673" s="100"/>
      <c r="H3673" s="100"/>
      <c r="I3673" s="100"/>
      <c r="J3673" s="100"/>
      <c r="K3673" s="100"/>
      <c r="L3673" s="100"/>
      <c r="M3673" s="100"/>
      <c r="N3673" s="100"/>
      <c r="O3673" s="100"/>
      <c r="P3673" s="100"/>
      <c r="Q3673" s="100"/>
      <c r="R3673" s="100"/>
      <c r="S3673" s="100"/>
      <c r="T3673" s="100"/>
      <c r="U3673" s="100"/>
      <c r="V3673" s="100"/>
      <c r="W3673" s="100"/>
      <c r="X3673" s="100"/>
      <c r="Y3673" s="100"/>
      <c r="Z3673" s="100"/>
    </row>
    <row r="3674" spans="1:26">
      <c r="A3674" s="100"/>
      <c r="B3674" s="100"/>
      <c r="C3674" s="100"/>
      <c r="D3674" s="100"/>
      <c r="E3674" s="100"/>
      <c r="F3674" s="100"/>
      <c r="G3674" s="100"/>
      <c r="H3674" s="100"/>
      <c r="I3674" s="100"/>
      <c r="J3674" s="100"/>
      <c r="K3674" s="100"/>
      <c r="L3674" s="100"/>
      <c r="M3674" s="100"/>
      <c r="N3674" s="100"/>
      <c r="O3674" s="100"/>
      <c r="P3674" s="100"/>
      <c r="Q3674" s="100"/>
      <c r="R3674" s="100"/>
      <c r="S3674" s="100"/>
      <c r="T3674" s="100"/>
      <c r="U3674" s="100"/>
      <c r="V3674" s="100"/>
      <c r="W3674" s="100"/>
      <c r="X3674" s="100"/>
      <c r="Y3674" s="100"/>
      <c r="Z3674" s="100"/>
    </row>
    <row r="3675" spans="1:26">
      <c r="A3675" s="100"/>
      <c r="B3675" s="100"/>
      <c r="C3675" s="100"/>
      <c r="D3675" s="100"/>
      <c r="E3675" s="100"/>
      <c r="F3675" s="100"/>
      <c r="G3675" s="100"/>
      <c r="H3675" s="100"/>
      <c r="I3675" s="100"/>
      <c r="J3675" s="100"/>
      <c r="K3675" s="100"/>
      <c r="L3675" s="100"/>
      <c r="M3675" s="100"/>
      <c r="N3675" s="100"/>
      <c r="O3675" s="100"/>
      <c r="P3675" s="100"/>
      <c r="Q3675" s="100"/>
      <c r="R3675" s="100"/>
      <c r="S3675" s="100"/>
      <c r="T3675" s="100"/>
      <c r="U3675" s="100"/>
      <c r="V3675" s="100"/>
      <c r="W3675" s="100"/>
      <c r="X3675" s="100"/>
      <c r="Y3675" s="100"/>
      <c r="Z3675" s="100"/>
    </row>
    <row r="3676" spans="1:26">
      <c r="A3676" s="100"/>
      <c r="B3676" s="100"/>
      <c r="C3676" s="100"/>
      <c r="D3676" s="100"/>
      <c r="E3676" s="100"/>
      <c r="F3676" s="100"/>
      <c r="G3676" s="100"/>
      <c r="H3676" s="100"/>
      <c r="I3676" s="100"/>
      <c r="J3676" s="100"/>
      <c r="K3676" s="100"/>
      <c r="L3676" s="100"/>
      <c r="M3676" s="100"/>
      <c r="N3676" s="100"/>
      <c r="O3676" s="100"/>
      <c r="P3676" s="100"/>
      <c r="Q3676" s="100"/>
      <c r="R3676" s="100"/>
      <c r="S3676" s="100"/>
      <c r="T3676" s="100"/>
      <c r="U3676" s="100"/>
      <c r="V3676" s="100"/>
      <c r="W3676" s="100"/>
      <c r="X3676" s="100"/>
      <c r="Y3676" s="100"/>
      <c r="Z3676" s="100"/>
    </row>
    <row r="3677" spans="1:26">
      <c r="A3677" s="100"/>
      <c r="B3677" s="100"/>
      <c r="C3677" s="100"/>
      <c r="D3677" s="100"/>
      <c r="E3677" s="100"/>
      <c r="F3677" s="100"/>
      <c r="G3677" s="100"/>
      <c r="H3677" s="100"/>
      <c r="I3677" s="100"/>
      <c r="J3677" s="100"/>
      <c r="K3677" s="100"/>
      <c r="L3677" s="100"/>
      <c r="M3677" s="100"/>
      <c r="N3677" s="100"/>
      <c r="O3677" s="100"/>
      <c r="P3677" s="100"/>
      <c r="Q3677" s="100"/>
      <c r="R3677" s="100"/>
      <c r="S3677" s="100"/>
      <c r="T3677" s="100"/>
      <c r="U3677" s="100"/>
      <c r="V3677" s="100"/>
      <c r="W3677" s="100"/>
      <c r="X3677" s="100"/>
      <c r="Y3677" s="100"/>
      <c r="Z3677" s="100"/>
    </row>
    <row r="3678" spans="1:26">
      <c r="A3678" s="100"/>
      <c r="B3678" s="100"/>
      <c r="C3678" s="100"/>
      <c r="D3678" s="100"/>
      <c r="E3678" s="100"/>
      <c r="F3678" s="100"/>
      <c r="G3678" s="100"/>
      <c r="H3678" s="100"/>
      <c r="I3678" s="100"/>
      <c r="J3678" s="100"/>
      <c r="K3678" s="100"/>
      <c r="L3678" s="100"/>
      <c r="M3678" s="100"/>
      <c r="N3678" s="100"/>
      <c r="O3678" s="100"/>
      <c r="P3678" s="100"/>
      <c r="Q3678" s="100"/>
      <c r="R3678" s="100"/>
      <c r="S3678" s="100"/>
      <c r="T3678" s="100"/>
      <c r="U3678" s="100"/>
      <c r="V3678" s="100"/>
      <c r="W3678" s="100"/>
      <c r="X3678" s="100"/>
      <c r="Y3678" s="100"/>
      <c r="Z3678" s="100"/>
    </row>
    <row r="3679" spans="1:26">
      <c r="A3679" s="100"/>
      <c r="B3679" s="100"/>
      <c r="C3679" s="100"/>
      <c r="D3679" s="100"/>
      <c r="E3679" s="100"/>
      <c r="F3679" s="100"/>
      <c r="G3679" s="100"/>
      <c r="H3679" s="100"/>
      <c r="I3679" s="100"/>
      <c r="J3679" s="100"/>
      <c r="K3679" s="100"/>
      <c r="L3679" s="100"/>
      <c r="M3679" s="100"/>
      <c r="N3679" s="100"/>
      <c r="O3679" s="100"/>
      <c r="P3679" s="100"/>
      <c r="Q3679" s="100"/>
      <c r="R3679" s="100"/>
      <c r="S3679" s="100"/>
      <c r="T3679" s="100"/>
      <c r="U3679" s="100"/>
      <c r="V3679" s="100"/>
      <c r="W3679" s="100"/>
      <c r="X3679" s="100"/>
      <c r="Y3679" s="100"/>
      <c r="Z3679" s="100"/>
    </row>
    <row r="3680" spans="1:26">
      <c r="A3680" s="100"/>
      <c r="B3680" s="100"/>
      <c r="C3680" s="100"/>
      <c r="D3680" s="100"/>
      <c r="E3680" s="100"/>
      <c r="F3680" s="100"/>
      <c r="G3680" s="100"/>
      <c r="H3680" s="100"/>
      <c r="I3680" s="100"/>
      <c r="J3680" s="100"/>
      <c r="K3680" s="100"/>
      <c r="L3680" s="100"/>
      <c r="M3680" s="100"/>
      <c r="N3680" s="100"/>
      <c r="O3680" s="100"/>
      <c r="P3680" s="100"/>
      <c r="Q3680" s="100"/>
      <c r="R3680" s="100"/>
      <c r="S3680" s="100"/>
      <c r="T3680" s="100"/>
      <c r="U3680" s="100"/>
      <c r="V3680" s="100"/>
      <c r="W3680" s="100"/>
      <c r="X3680" s="100"/>
      <c r="Y3680" s="100"/>
      <c r="Z3680" s="100"/>
    </row>
    <row r="3681" spans="1:26">
      <c r="A3681" s="100"/>
      <c r="B3681" s="100"/>
      <c r="C3681" s="100"/>
      <c r="D3681" s="100"/>
      <c r="E3681" s="100"/>
      <c r="F3681" s="100"/>
      <c r="G3681" s="100"/>
      <c r="H3681" s="100"/>
      <c r="I3681" s="100"/>
      <c r="J3681" s="100"/>
      <c r="K3681" s="100"/>
      <c r="L3681" s="100"/>
      <c r="M3681" s="100"/>
      <c r="N3681" s="100"/>
      <c r="O3681" s="100"/>
      <c r="P3681" s="100"/>
      <c r="Q3681" s="100"/>
      <c r="R3681" s="100"/>
      <c r="S3681" s="100"/>
      <c r="T3681" s="100"/>
      <c r="U3681" s="100"/>
      <c r="V3681" s="100"/>
      <c r="W3681" s="100"/>
      <c r="X3681" s="100"/>
      <c r="Y3681" s="100"/>
      <c r="Z3681" s="100"/>
    </row>
    <row r="3682" spans="1:26">
      <c r="A3682" s="100"/>
      <c r="B3682" s="100"/>
      <c r="C3682" s="100"/>
      <c r="D3682" s="100"/>
      <c r="E3682" s="100"/>
      <c r="F3682" s="100"/>
      <c r="G3682" s="100"/>
      <c r="H3682" s="100"/>
      <c r="I3682" s="100"/>
      <c r="J3682" s="100"/>
      <c r="K3682" s="100"/>
      <c r="L3682" s="100"/>
      <c r="M3682" s="100"/>
      <c r="N3682" s="100"/>
      <c r="O3682" s="100"/>
      <c r="P3682" s="100"/>
      <c r="Q3682" s="100"/>
      <c r="R3682" s="100"/>
      <c r="S3682" s="100"/>
      <c r="T3682" s="100"/>
      <c r="U3682" s="100"/>
      <c r="V3682" s="100"/>
      <c r="W3682" s="100"/>
      <c r="X3682" s="100"/>
      <c r="Y3682" s="100"/>
      <c r="Z3682" s="100"/>
    </row>
    <row r="3683" spans="1:26">
      <c r="A3683" s="100"/>
      <c r="B3683" s="100"/>
      <c r="C3683" s="100"/>
      <c r="D3683" s="100"/>
      <c r="E3683" s="100"/>
      <c r="F3683" s="100"/>
      <c r="G3683" s="100"/>
      <c r="H3683" s="100"/>
      <c r="I3683" s="100"/>
      <c r="J3683" s="100"/>
      <c r="K3683" s="100"/>
      <c r="L3683" s="100"/>
      <c r="M3683" s="100"/>
      <c r="N3683" s="100"/>
      <c r="O3683" s="100"/>
      <c r="P3683" s="100"/>
      <c r="Q3683" s="100"/>
      <c r="R3683" s="100"/>
      <c r="S3683" s="100"/>
      <c r="T3683" s="100"/>
      <c r="U3683" s="100"/>
      <c r="V3683" s="100"/>
      <c r="W3683" s="100"/>
      <c r="X3683" s="100"/>
      <c r="Y3683" s="100"/>
      <c r="Z3683" s="100"/>
    </row>
    <row r="3684" spans="1:26">
      <c r="A3684" s="100"/>
      <c r="B3684" s="100"/>
      <c r="C3684" s="100"/>
      <c r="D3684" s="100"/>
      <c r="E3684" s="100"/>
      <c r="F3684" s="100"/>
      <c r="G3684" s="100"/>
      <c r="H3684" s="100"/>
      <c r="I3684" s="100"/>
      <c r="J3684" s="100"/>
      <c r="K3684" s="100"/>
      <c r="L3684" s="100"/>
      <c r="M3684" s="100"/>
      <c r="N3684" s="100"/>
      <c r="O3684" s="100"/>
      <c r="P3684" s="100"/>
      <c r="Q3684" s="100"/>
      <c r="R3684" s="100"/>
      <c r="S3684" s="100"/>
      <c r="T3684" s="100"/>
      <c r="U3684" s="100"/>
      <c r="V3684" s="100"/>
      <c r="W3684" s="100"/>
      <c r="X3684" s="100"/>
      <c r="Y3684" s="100"/>
      <c r="Z3684" s="100"/>
    </row>
    <row r="3685" spans="1:26">
      <c r="A3685" s="100"/>
      <c r="B3685" s="100"/>
      <c r="C3685" s="100"/>
      <c r="D3685" s="100"/>
      <c r="E3685" s="100"/>
      <c r="F3685" s="100"/>
      <c r="G3685" s="100"/>
      <c r="H3685" s="100"/>
      <c r="I3685" s="100"/>
      <c r="J3685" s="100"/>
      <c r="K3685" s="100"/>
      <c r="L3685" s="100"/>
      <c r="M3685" s="100"/>
      <c r="N3685" s="100"/>
      <c r="O3685" s="100"/>
      <c r="P3685" s="100"/>
      <c r="Q3685" s="100"/>
      <c r="R3685" s="100"/>
      <c r="S3685" s="100"/>
      <c r="T3685" s="100"/>
      <c r="U3685" s="100"/>
      <c r="V3685" s="100"/>
      <c r="W3685" s="100"/>
      <c r="X3685" s="100"/>
      <c r="Y3685" s="100"/>
      <c r="Z3685" s="100"/>
    </row>
    <row r="3686" spans="1:26">
      <c r="A3686" s="100"/>
      <c r="B3686" s="100"/>
      <c r="C3686" s="100"/>
      <c r="D3686" s="100"/>
      <c r="E3686" s="100"/>
      <c r="F3686" s="100"/>
      <c r="G3686" s="100"/>
      <c r="H3686" s="100"/>
      <c r="I3686" s="100"/>
      <c r="J3686" s="100"/>
      <c r="K3686" s="100"/>
      <c r="L3686" s="100"/>
      <c r="M3686" s="100"/>
      <c r="N3686" s="100"/>
      <c r="O3686" s="100"/>
      <c r="P3686" s="100"/>
      <c r="Q3686" s="100"/>
      <c r="R3686" s="100"/>
      <c r="S3686" s="100"/>
      <c r="T3686" s="100"/>
      <c r="U3686" s="100"/>
      <c r="V3686" s="100"/>
      <c r="W3686" s="100"/>
      <c r="X3686" s="100"/>
      <c r="Y3686" s="100"/>
      <c r="Z3686" s="100"/>
    </row>
    <row r="3687" spans="1:26">
      <c r="A3687" s="100"/>
      <c r="B3687" s="100"/>
      <c r="C3687" s="100"/>
      <c r="D3687" s="100"/>
      <c r="E3687" s="100"/>
      <c r="F3687" s="100"/>
      <c r="G3687" s="100"/>
      <c r="H3687" s="100"/>
      <c r="I3687" s="100"/>
      <c r="J3687" s="100"/>
      <c r="K3687" s="100"/>
      <c r="L3687" s="100"/>
      <c r="M3687" s="100"/>
      <c r="N3687" s="100"/>
      <c r="O3687" s="100"/>
      <c r="P3687" s="100"/>
      <c r="Q3687" s="100"/>
      <c r="R3687" s="100"/>
      <c r="S3687" s="100"/>
      <c r="T3687" s="100"/>
      <c r="U3687" s="100"/>
      <c r="V3687" s="100"/>
      <c r="W3687" s="100"/>
      <c r="X3687" s="100"/>
      <c r="Y3687" s="100"/>
      <c r="Z3687" s="100"/>
    </row>
    <row r="3688" spans="1:26">
      <c r="A3688" s="100"/>
      <c r="B3688" s="100"/>
      <c r="C3688" s="100"/>
      <c r="D3688" s="100"/>
      <c r="E3688" s="100"/>
      <c r="F3688" s="100"/>
      <c r="G3688" s="100"/>
      <c r="H3688" s="100"/>
      <c r="I3688" s="100"/>
      <c r="J3688" s="100"/>
      <c r="K3688" s="100"/>
      <c r="L3688" s="100"/>
      <c r="M3688" s="100"/>
      <c r="N3688" s="100"/>
      <c r="O3688" s="100"/>
      <c r="P3688" s="100"/>
      <c r="Q3688" s="100"/>
      <c r="R3688" s="100"/>
      <c r="S3688" s="100"/>
      <c r="T3688" s="100"/>
      <c r="U3688" s="100"/>
      <c r="V3688" s="100"/>
      <c r="W3688" s="100"/>
      <c r="X3688" s="100"/>
      <c r="Y3688" s="100"/>
      <c r="Z3688" s="100"/>
    </row>
    <row r="3689" spans="1:26">
      <c r="A3689" s="100"/>
      <c r="B3689" s="100"/>
      <c r="C3689" s="100"/>
      <c r="D3689" s="100"/>
      <c r="E3689" s="100"/>
      <c r="F3689" s="100"/>
      <c r="G3689" s="100"/>
      <c r="H3689" s="100"/>
      <c r="I3689" s="100"/>
      <c r="J3689" s="100"/>
      <c r="K3689" s="100"/>
      <c r="L3689" s="100"/>
      <c r="M3689" s="100"/>
      <c r="N3689" s="100"/>
      <c r="O3689" s="100"/>
      <c r="P3689" s="100"/>
      <c r="Q3689" s="100"/>
      <c r="R3689" s="100"/>
      <c r="S3689" s="100"/>
      <c r="T3689" s="100"/>
      <c r="U3689" s="100"/>
      <c r="V3689" s="100"/>
      <c r="W3689" s="100"/>
      <c r="X3689" s="100"/>
      <c r="Y3689" s="100"/>
      <c r="Z3689" s="100"/>
    </row>
    <row r="3690" spans="1:26">
      <c r="A3690" s="100"/>
      <c r="B3690" s="100"/>
      <c r="C3690" s="100"/>
      <c r="D3690" s="100"/>
      <c r="E3690" s="100"/>
      <c r="F3690" s="100"/>
      <c r="G3690" s="100"/>
      <c r="H3690" s="100"/>
      <c r="I3690" s="100"/>
      <c r="J3690" s="100"/>
      <c r="K3690" s="100"/>
      <c r="L3690" s="100"/>
      <c r="M3690" s="100"/>
      <c r="N3690" s="100"/>
      <c r="O3690" s="100"/>
      <c r="P3690" s="100"/>
      <c r="Q3690" s="100"/>
      <c r="R3690" s="100"/>
      <c r="S3690" s="100"/>
      <c r="T3690" s="100"/>
      <c r="U3690" s="100"/>
      <c r="V3690" s="100"/>
      <c r="W3690" s="100"/>
      <c r="X3690" s="100"/>
      <c r="Y3690" s="100"/>
      <c r="Z3690" s="100"/>
    </row>
    <row r="3691" spans="1:26">
      <c r="A3691" s="100"/>
      <c r="B3691" s="100"/>
      <c r="C3691" s="100"/>
      <c r="D3691" s="100"/>
      <c r="E3691" s="100"/>
      <c r="F3691" s="100"/>
      <c r="G3691" s="100"/>
      <c r="H3691" s="100"/>
      <c r="I3691" s="100"/>
      <c r="J3691" s="100"/>
      <c r="K3691" s="100"/>
      <c r="L3691" s="100"/>
      <c r="M3691" s="100"/>
      <c r="N3691" s="100"/>
      <c r="O3691" s="100"/>
      <c r="P3691" s="100"/>
      <c r="Q3691" s="100"/>
      <c r="R3691" s="100"/>
      <c r="S3691" s="100"/>
      <c r="T3691" s="100"/>
      <c r="U3691" s="100"/>
      <c r="V3691" s="100"/>
      <c r="W3691" s="100"/>
      <c r="X3691" s="100"/>
      <c r="Y3691" s="100"/>
      <c r="Z3691" s="100"/>
    </row>
    <row r="3692" spans="1:26">
      <c r="A3692" s="100"/>
      <c r="B3692" s="100"/>
      <c r="C3692" s="100"/>
      <c r="D3692" s="100"/>
      <c r="E3692" s="100"/>
      <c r="F3692" s="100"/>
      <c r="G3692" s="100"/>
      <c r="H3692" s="100"/>
      <c r="I3692" s="100"/>
      <c r="J3692" s="100"/>
      <c r="K3692" s="100"/>
      <c r="L3692" s="100"/>
      <c r="M3692" s="100"/>
      <c r="N3692" s="100"/>
      <c r="O3692" s="100"/>
      <c r="P3692" s="100"/>
      <c r="Q3692" s="100"/>
      <c r="R3692" s="100"/>
      <c r="S3692" s="100"/>
      <c r="T3692" s="100"/>
      <c r="U3692" s="100"/>
      <c r="V3692" s="100"/>
      <c r="W3692" s="100"/>
      <c r="X3692" s="100"/>
      <c r="Y3692" s="100"/>
      <c r="Z3692" s="100"/>
    </row>
    <row r="3693" spans="1:26">
      <c r="A3693" s="100"/>
      <c r="B3693" s="100"/>
      <c r="C3693" s="100"/>
      <c r="D3693" s="100"/>
      <c r="E3693" s="100"/>
      <c r="F3693" s="100"/>
      <c r="G3693" s="100"/>
      <c r="H3693" s="100"/>
      <c r="I3693" s="100"/>
      <c r="J3693" s="100"/>
      <c r="K3693" s="100"/>
      <c r="L3693" s="100"/>
      <c r="M3693" s="100"/>
      <c r="N3693" s="100"/>
      <c r="O3693" s="100"/>
      <c r="P3693" s="100"/>
      <c r="Q3693" s="100"/>
      <c r="R3693" s="100"/>
      <c r="S3693" s="100"/>
      <c r="T3693" s="100"/>
      <c r="U3693" s="100"/>
      <c r="V3693" s="100"/>
      <c r="W3693" s="100"/>
      <c r="X3693" s="100"/>
      <c r="Y3693" s="100"/>
      <c r="Z3693" s="100"/>
    </row>
    <row r="3694" spans="1:26">
      <c r="A3694" s="100"/>
      <c r="B3694" s="100"/>
      <c r="C3694" s="100"/>
      <c r="D3694" s="100"/>
      <c r="E3694" s="100"/>
      <c r="F3694" s="100"/>
      <c r="G3694" s="100"/>
      <c r="H3694" s="100"/>
      <c r="I3694" s="100"/>
      <c r="J3694" s="100"/>
      <c r="K3694" s="100"/>
      <c r="L3694" s="100"/>
      <c r="M3694" s="100"/>
      <c r="N3694" s="100"/>
      <c r="O3694" s="100"/>
      <c r="P3694" s="100"/>
      <c r="Q3694" s="100"/>
      <c r="R3694" s="100"/>
      <c r="S3694" s="100"/>
      <c r="T3694" s="100"/>
      <c r="U3694" s="100"/>
      <c r="V3694" s="100"/>
      <c r="W3694" s="100"/>
      <c r="X3694" s="100"/>
      <c r="Y3694" s="100"/>
      <c r="Z3694" s="100"/>
    </row>
    <row r="3695" spans="1:26">
      <c r="A3695" s="100"/>
      <c r="B3695" s="100"/>
      <c r="C3695" s="100"/>
      <c r="D3695" s="100"/>
      <c r="E3695" s="100"/>
      <c r="F3695" s="100"/>
      <c r="G3695" s="100"/>
      <c r="H3695" s="100"/>
      <c r="I3695" s="100"/>
      <c r="J3695" s="100"/>
      <c r="K3695" s="100"/>
      <c r="L3695" s="100"/>
      <c r="M3695" s="100"/>
      <c r="N3695" s="100"/>
      <c r="O3695" s="100"/>
      <c r="P3695" s="100"/>
      <c r="Q3695" s="100"/>
      <c r="R3695" s="100"/>
      <c r="S3695" s="100"/>
      <c r="T3695" s="100"/>
      <c r="U3695" s="100"/>
      <c r="V3695" s="100"/>
      <c r="W3695" s="100"/>
      <c r="X3695" s="100"/>
      <c r="Y3695" s="100"/>
      <c r="Z3695" s="100"/>
    </row>
    <row r="3696" spans="1:26">
      <c r="A3696" s="100"/>
      <c r="B3696" s="100"/>
      <c r="C3696" s="100"/>
      <c r="D3696" s="100"/>
      <c r="E3696" s="100"/>
      <c r="F3696" s="100"/>
      <c r="G3696" s="100"/>
      <c r="H3696" s="100"/>
      <c r="I3696" s="100"/>
      <c r="J3696" s="100"/>
      <c r="K3696" s="100"/>
      <c r="L3696" s="100"/>
      <c r="M3696" s="100"/>
      <c r="N3696" s="100"/>
      <c r="O3696" s="100"/>
      <c r="P3696" s="100"/>
      <c r="Q3696" s="100"/>
      <c r="R3696" s="100"/>
      <c r="S3696" s="100"/>
      <c r="T3696" s="100"/>
      <c r="U3696" s="100"/>
      <c r="V3696" s="100"/>
      <c r="W3696" s="100"/>
      <c r="X3696" s="100"/>
      <c r="Y3696" s="100"/>
      <c r="Z3696" s="100"/>
    </row>
    <row r="3697" spans="1:26">
      <c r="A3697" s="100"/>
      <c r="B3697" s="100"/>
      <c r="C3697" s="100"/>
      <c r="D3697" s="100"/>
      <c r="E3697" s="100"/>
      <c r="F3697" s="100"/>
      <c r="G3697" s="100"/>
      <c r="H3697" s="100"/>
      <c r="I3697" s="100"/>
      <c r="J3697" s="100"/>
      <c r="K3697" s="100"/>
      <c r="L3697" s="100"/>
      <c r="M3697" s="100"/>
      <c r="N3697" s="100"/>
      <c r="O3697" s="100"/>
      <c r="P3697" s="100"/>
      <c r="Q3697" s="100"/>
      <c r="R3697" s="100"/>
      <c r="S3697" s="100"/>
      <c r="T3697" s="100"/>
      <c r="U3697" s="100"/>
      <c r="V3697" s="100"/>
      <c r="W3697" s="100"/>
      <c r="X3697" s="100"/>
      <c r="Y3697" s="100"/>
      <c r="Z3697" s="100"/>
    </row>
    <row r="3698" spans="1:26">
      <c r="A3698" s="100"/>
      <c r="B3698" s="100"/>
      <c r="C3698" s="100"/>
      <c r="D3698" s="100"/>
      <c r="E3698" s="100"/>
      <c r="F3698" s="100"/>
      <c r="G3698" s="100"/>
      <c r="H3698" s="100"/>
      <c r="I3698" s="100"/>
      <c r="J3698" s="100"/>
      <c r="K3698" s="100"/>
      <c r="L3698" s="100"/>
      <c r="M3698" s="100"/>
      <c r="N3698" s="100"/>
      <c r="O3698" s="100"/>
      <c r="P3698" s="100"/>
      <c r="Q3698" s="100"/>
      <c r="R3698" s="100"/>
      <c r="S3698" s="100"/>
      <c r="T3698" s="100"/>
      <c r="U3698" s="100"/>
      <c r="V3698" s="100"/>
      <c r="W3698" s="100"/>
      <c r="X3698" s="100"/>
      <c r="Y3698" s="100"/>
      <c r="Z3698" s="100"/>
    </row>
    <row r="3699" spans="1:26">
      <c r="A3699" s="100"/>
      <c r="B3699" s="100"/>
      <c r="C3699" s="100"/>
      <c r="D3699" s="100"/>
      <c r="E3699" s="100"/>
      <c r="F3699" s="100"/>
      <c r="G3699" s="100"/>
      <c r="H3699" s="100"/>
      <c r="I3699" s="100"/>
      <c r="J3699" s="100"/>
      <c r="K3699" s="100"/>
      <c r="L3699" s="100"/>
      <c r="M3699" s="100"/>
      <c r="N3699" s="100"/>
      <c r="O3699" s="100"/>
      <c r="P3699" s="100"/>
      <c r="Q3699" s="100"/>
      <c r="R3699" s="100"/>
      <c r="S3699" s="100"/>
      <c r="T3699" s="100"/>
      <c r="U3699" s="100"/>
      <c r="V3699" s="100"/>
      <c r="W3699" s="100"/>
      <c r="X3699" s="100"/>
      <c r="Y3699" s="100"/>
      <c r="Z3699" s="100"/>
    </row>
    <row r="3700" spans="1:26">
      <c r="A3700" s="100"/>
      <c r="B3700" s="100"/>
      <c r="C3700" s="100"/>
      <c r="D3700" s="100"/>
      <c r="E3700" s="100"/>
      <c r="F3700" s="100"/>
      <c r="G3700" s="100"/>
      <c r="H3700" s="100"/>
      <c r="I3700" s="100"/>
      <c r="J3700" s="100"/>
      <c r="K3700" s="100"/>
      <c r="L3700" s="100"/>
      <c r="M3700" s="100"/>
      <c r="N3700" s="100"/>
      <c r="O3700" s="100"/>
      <c r="P3700" s="100"/>
      <c r="Q3700" s="100"/>
      <c r="R3700" s="100"/>
      <c r="S3700" s="100"/>
      <c r="T3700" s="100"/>
      <c r="U3700" s="100"/>
      <c r="V3700" s="100"/>
      <c r="W3700" s="100"/>
      <c r="X3700" s="100"/>
      <c r="Y3700" s="100"/>
      <c r="Z3700" s="100"/>
    </row>
    <row r="3701" spans="1:26">
      <c r="A3701" s="100"/>
      <c r="B3701" s="100"/>
      <c r="C3701" s="100"/>
      <c r="D3701" s="100"/>
      <c r="E3701" s="100"/>
      <c r="F3701" s="100"/>
      <c r="G3701" s="100"/>
      <c r="H3701" s="100"/>
      <c r="I3701" s="100"/>
      <c r="J3701" s="100"/>
      <c r="K3701" s="100"/>
      <c r="L3701" s="100"/>
      <c r="M3701" s="100"/>
      <c r="N3701" s="100"/>
      <c r="O3701" s="100"/>
      <c r="P3701" s="100"/>
      <c r="Q3701" s="100"/>
      <c r="R3701" s="100"/>
      <c r="S3701" s="100"/>
      <c r="T3701" s="100"/>
      <c r="U3701" s="100"/>
      <c r="V3701" s="100"/>
      <c r="W3701" s="100"/>
      <c r="X3701" s="100"/>
      <c r="Y3701" s="100"/>
      <c r="Z3701" s="100"/>
    </row>
    <row r="3702" spans="1:26">
      <c r="A3702" s="100"/>
      <c r="B3702" s="100"/>
      <c r="C3702" s="100"/>
      <c r="D3702" s="100"/>
      <c r="E3702" s="100"/>
      <c r="F3702" s="100"/>
      <c r="G3702" s="100"/>
      <c r="H3702" s="100"/>
      <c r="I3702" s="100"/>
      <c r="J3702" s="100"/>
      <c r="K3702" s="100"/>
      <c r="L3702" s="100"/>
      <c r="M3702" s="100"/>
      <c r="N3702" s="100"/>
      <c r="O3702" s="100"/>
      <c r="P3702" s="100"/>
      <c r="Q3702" s="100"/>
      <c r="R3702" s="100"/>
      <c r="S3702" s="100"/>
      <c r="T3702" s="100"/>
      <c r="U3702" s="100"/>
      <c r="V3702" s="100"/>
      <c r="W3702" s="100"/>
      <c r="X3702" s="100"/>
      <c r="Y3702" s="100"/>
      <c r="Z3702" s="100"/>
    </row>
    <row r="3703" spans="1:26">
      <c r="A3703" s="100"/>
      <c r="B3703" s="100"/>
      <c r="C3703" s="100"/>
      <c r="D3703" s="100"/>
      <c r="E3703" s="100"/>
      <c r="F3703" s="100"/>
      <c r="G3703" s="100"/>
      <c r="H3703" s="100"/>
      <c r="I3703" s="100"/>
      <c r="J3703" s="100"/>
      <c r="K3703" s="100"/>
      <c r="L3703" s="100"/>
      <c r="M3703" s="100"/>
      <c r="N3703" s="100"/>
      <c r="O3703" s="100"/>
      <c r="P3703" s="100"/>
      <c r="Q3703" s="100"/>
      <c r="R3703" s="100"/>
      <c r="S3703" s="100"/>
      <c r="T3703" s="100"/>
      <c r="U3703" s="100"/>
      <c r="V3703" s="100"/>
      <c r="W3703" s="100"/>
      <c r="X3703" s="100"/>
      <c r="Y3703" s="100"/>
      <c r="Z3703" s="100"/>
    </row>
    <row r="3704" spans="1:26">
      <c r="A3704" s="100"/>
      <c r="B3704" s="100"/>
      <c r="C3704" s="100"/>
      <c r="D3704" s="100"/>
      <c r="E3704" s="100"/>
      <c r="F3704" s="100"/>
      <c r="G3704" s="100"/>
      <c r="H3704" s="100"/>
      <c r="I3704" s="100"/>
      <c r="J3704" s="100"/>
      <c r="K3704" s="100"/>
      <c r="L3704" s="100"/>
      <c r="M3704" s="100"/>
      <c r="N3704" s="100"/>
      <c r="O3704" s="100"/>
      <c r="P3704" s="100"/>
      <c r="Q3704" s="100"/>
      <c r="R3704" s="100"/>
      <c r="S3704" s="100"/>
      <c r="T3704" s="100"/>
      <c r="U3704" s="100"/>
      <c r="V3704" s="100"/>
      <c r="W3704" s="100"/>
      <c r="X3704" s="100"/>
      <c r="Y3704" s="100"/>
      <c r="Z3704" s="100"/>
    </row>
    <row r="3705" spans="1:26">
      <c r="A3705" s="100"/>
      <c r="B3705" s="100"/>
      <c r="C3705" s="100"/>
      <c r="D3705" s="100"/>
      <c r="E3705" s="100"/>
      <c r="F3705" s="100"/>
      <c r="G3705" s="100"/>
      <c r="H3705" s="100"/>
      <c r="I3705" s="100"/>
      <c r="J3705" s="100"/>
      <c r="K3705" s="100"/>
      <c r="L3705" s="100"/>
      <c r="M3705" s="100"/>
      <c r="N3705" s="100"/>
      <c r="O3705" s="100"/>
      <c r="P3705" s="100"/>
      <c r="Q3705" s="100"/>
      <c r="R3705" s="100"/>
      <c r="S3705" s="100"/>
      <c r="T3705" s="100"/>
      <c r="U3705" s="100"/>
      <c r="V3705" s="100"/>
      <c r="W3705" s="100"/>
      <c r="X3705" s="100"/>
      <c r="Y3705" s="100"/>
      <c r="Z3705" s="100"/>
    </row>
    <row r="3706" spans="1:26">
      <c r="A3706" s="100"/>
      <c r="B3706" s="100"/>
      <c r="C3706" s="100"/>
      <c r="D3706" s="100"/>
      <c r="E3706" s="100"/>
      <c r="F3706" s="100"/>
      <c r="G3706" s="100"/>
      <c r="H3706" s="100"/>
      <c r="I3706" s="100"/>
      <c r="J3706" s="100"/>
      <c r="K3706" s="100"/>
      <c r="L3706" s="100"/>
      <c r="M3706" s="100"/>
      <c r="N3706" s="100"/>
      <c r="O3706" s="100"/>
      <c r="P3706" s="100"/>
      <c r="Q3706" s="100"/>
      <c r="R3706" s="100"/>
      <c r="S3706" s="100"/>
      <c r="T3706" s="100"/>
      <c r="U3706" s="100"/>
      <c r="V3706" s="100"/>
      <c r="W3706" s="100"/>
      <c r="X3706" s="100"/>
      <c r="Y3706" s="100"/>
      <c r="Z3706" s="100"/>
    </row>
    <row r="3707" spans="1:26">
      <c r="A3707" s="100"/>
      <c r="B3707" s="100"/>
      <c r="C3707" s="100"/>
      <c r="D3707" s="100"/>
      <c r="E3707" s="100"/>
      <c r="F3707" s="100"/>
      <c r="G3707" s="100"/>
      <c r="H3707" s="100"/>
      <c r="I3707" s="100"/>
      <c r="J3707" s="100"/>
      <c r="K3707" s="100"/>
      <c r="L3707" s="100"/>
      <c r="M3707" s="100"/>
      <c r="N3707" s="100"/>
      <c r="O3707" s="100"/>
      <c r="P3707" s="100"/>
      <c r="Q3707" s="100"/>
      <c r="R3707" s="100"/>
      <c r="S3707" s="100"/>
      <c r="T3707" s="100"/>
      <c r="U3707" s="100"/>
      <c r="V3707" s="100"/>
      <c r="W3707" s="100"/>
      <c r="X3707" s="100"/>
      <c r="Y3707" s="100"/>
      <c r="Z3707" s="100"/>
    </row>
    <row r="3708" spans="1:26">
      <c r="A3708" s="100"/>
      <c r="B3708" s="100"/>
      <c r="C3708" s="100"/>
      <c r="D3708" s="100"/>
      <c r="E3708" s="100"/>
      <c r="F3708" s="100"/>
      <c r="G3708" s="100"/>
      <c r="H3708" s="100"/>
      <c r="I3708" s="100"/>
      <c r="J3708" s="100"/>
      <c r="K3708" s="100"/>
      <c r="L3708" s="100"/>
      <c r="M3708" s="100"/>
      <c r="N3708" s="100"/>
      <c r="O3708" s="100"/>
      <c r="P3708" s="100"/>
      <c r="Q3708" s="100"/>
      <c r="R3708" s="100"/>
      <c r="S3708" s="100"/>
      <c r="T3708" s="100"/>
      <c r="U3708" s="100"/>
      <c r="V3708" s="100"/>
      <c r="W3708" s="100"/>
      <c r="X3708" s="100"/>
      <c r="Y3708" s="100"/>
      <c r="Z3708" s="100"/>
    </row>
    <row r="3709" spans="1:26">
      <c r="A3709" s="100"/>
      <c r="B3709" s="100"/>
      <c r="C3709" s="100"/>
      <c r="D3709" s="100"/>
      <c r="E3709" s="100"/>
      <c r="F3709" s="100"/>
      <c r="G3709" s="100"/>
      <c r="H3709" s="100"/>
      <c r="I3709" s="100"/>
      <c r="J3709" s="100"/>
      <c r="K3709" s="100"/>
      <c r="L3709" s="100"/>
      <c r="M3709" s="100"/>
      <c r="N3709" s="100"/>
      <c r="O3709" s="100"/>
      <c r="P3709" s="100"/>
      <c r="Q3709" s="100"/>
      <c r="R3709" s="100"/>
      <c r="S3709" s="100"/>
      <c r="T3709" s="100"/>
      <c r="U3709" s="100"/>
      <c r="V3709" s="100"/>
      <c r="W3709" s="100"/>
      <c r="X3709" s="100"/>
      <c r="Y3709" s="100"/>
      <c r="Z3709" s="100"/>
    </row>
    <row r="3710" spans="1:26">
      <c r="A3710" s="100"/>
      <c r="B3710" s="100"/>
      <c r="C3710" s="100"/>
      <c r="D3710" s="100"/>
      <c r="E3710" s="100"/>
      <c r="F3710" s="100"/>
      <c r="G3710" s="100"/>
      <c r="H3710" s="100"/>
      <c r="I3710" s="100"/>
      <c r="J3710" s="100"/>
      <c r="K3710" s="100"/>
      <c r="L3710" s="100"/>
      <c r="M3710" s="100"/>
      <c r="N3710" s="100"/>
      <c r="O3710" s="100"/>
      <c r="P3710" s="100"/>
      <c r="Q3710" s="100"/>
      <c r="R3710" s="100"/>
      <c r="S3710" s="100"/>
      <c r="T3710" s="100"/>
      <c r="U3710" s="100"/>
      <c r="V3710" s="100"/>
      <c r="W3710" s="100"/>
      <c r="X3710" s="100"/>
      <c r="Y3710" s="100"/>
      <c r="Z3710" s="100"/>
    </row>
    <row r="3711" spans="1:26">
      <c r="A3711" s="100"/>
      <c r="B3711" s="100"/>
      <c r="C3711" s="100"/>
      <c r="D3711" s="100"/>
      <c r="E3711" s="100"/>
      <c r="F3711" s="100"/>
      <c r="G3711" s="100"/>
      <c r="H3711" s="100"/>
      <c r="I3711" s="100"/>
      <c r="J3711" s="100"/>
      <c r="K3711" s="100"/>
      <c r="L3711" s="100"/>
      <c r="M3711" s="100"/>
      <c r="N3711" s="100"/>
      <c r="O3711" s="100"/>
      <c r="P3711" s="100"/>
      <c r="Q3711" s="100"/>
      <c r="R3711" s="100"/>
      <c r="S3711" s="100"/>
      <c r="T3711" s="100"/>
      <c r="U3711" s="100"/>
      <c r="V3711" s="100"/>
      <c r="W3711" s="100"/>
      <c r="X3711" s="100"/>
      <c r="Y3711" s="100"/>
      <c r="Z3711" s="100"/>
    </row>
    <row r="3712" spans="1:26">
      <c r="A3712" s="100"/>
      <c r="B3712" s="100"/>
      <c r="C3712" s="100"/>
      <c r="D3712" s="100"/>
      <c r="E3712" s="100"/>
      <c r="F3712" s="100"/>
      <c r="G3712" s="100"/>
      <c r="H3712" s="100"/>
      <c r="I3712" s="100"/>
      <c r="J3712" s="100"/>
      <c r="K3712" s="100"/>
      <c r="L3712" s="100"/>
      <c r="M3712" s="100"/>
      <c r="N3712" s="100"/>
      <c r="O3712" s="100"/>
      <c r="P3712" s="100"/>
      <c r="Q3712" s="100"/>
      <c r="R3712" s="100"/>
      <c r="S3712" s="100"/>
      <c r="T3712" s="100"/>
      <c r="U3712" s="100"/>
      <c r="V3712" s="100"/>
      <c r="W3712" s="100"/>
      <c r="X3712" s="100"/>
      <c r="Y3712" s="100"/>
      <c r="Z3712" s="100"/>
    </row>
    <row r="3713" spans="1:26">
      <c r="A3713" s="100"/>
      <c r="B3713" s="100"/>
      <c r="C3713" s="100"/>
      <c r="D3713" s="100"/>
      <c r="E3713" s="100"/>
      <c r="F3713" s="100"/>
      <c r="G3713" s="100"/>
      <c r="H3713" s="100"/>
      <c r="I3713" s="100"/>
      <c r="J3713" s="100"/>
      <c r="K3713" s="100"/>
      <c r="L3713" s="100"/>
      <c r="M3713" s="100"/>
      <c r="N3713" s="100"/>
      <c r="O3713" s="100"/>
      <c r="P3713" s="100"/>
      <c r="Q3713" s="100"/>
      <c r="R3713" s="100"/>
      <c r="S3713" s="100"/>
      <c r="T3713" s="100"/>
      <c r="U3713" s="100"/>
      <c r="V3713" s="100"/>
      <c r="W3713" s="100"/>
      <c r="X3713" s="100"/>
      <c r="Y3713" s="100"/>
      <c r="Z3713" s="100"/>
    </row>
    <row r="3714" spans="1:26">
      <c r="A3714" s="100"/>
      <c r="B3714" s="100"/>
      <c r="C3714" s="100"/>
      <c r="D3714" s="100"/>
      <c r="E3714" s="100"/>
      <c r="F3714" s="100"/>
      <c r="G3714" s="100"/>
      <c r="H3714" s="100"/>
      <c r="I3714" s="100"/>
      <c r="J3714" s="100"/>
      <c r="K3714" s="100"/>
      <c r="L3714" s="100"/>
      <c r="M3714" s="100"/>
      <c r="N3714" s="100"/>
      <c r="O3714" s="100"/>
      <c r="P3714" s="100"/>
      <c r="Q3714" s="100"/>
      <c r="R3714" s="100"/>
      <c r="S3714" s="100"/>
      <c r="T3714" s="100"/>
      <c r="U3714" s="100"/>
      <c r="V3714" s="100"/>
      <c r="W3714" s="100"/>
      <c r="X3714" s="100"/>
      <c r="Y3714" s="100"/>
      <c r="Z3714" s="100"/>
    </row>
    <row r="3715" spans="1:26">
      <c r="A3715" s="100"/>
      <c r="B3715" s="100"/>
      <c r="C3715" s="100"/>
      <c r="D3715" s="100"/>
      <c r="E3715" s="100"/>
      <c r="F3715" s="100"/>
      <c r="G3715" s="100"/>
      <c r="H3715" s="100"/>
      <c r="I3715" s="100"/>
      <c r="J3715" s="100"/>
      <c r="K3715" s="100"/>
      <c r="L3715" s="100"/>
      <c r="M3715" s="100"/>
      <c r="N3715" s="100"/>
      <c r="O3715" s="100"/>
      <c r="P3715" s="100"/>
      <c r="Q3715" s="100"/>
      <c r="R3715" s="100"/>
      <c r="S3715" s="100"/>
      <c r="T3715" s="100"/>
      <c r="U3715" s="100"/>
      <c r="V3715" s="100"/>
      <c r="W3715" s="100"/>
      <c r="X3715" s="100"/>
      <c r="Y3715" s="100"/>
      <c r="Z3715" s="100"/>
    </row>
    <row r="3716" spans="1:26">
      <c r="A3716" s="100"/>
      <c r="B3716" s="100"/>
      <c r="C3716" s="100"/>
      <c r="D3716" s="100"/>
      <c r="E3716" s="100"/>
      <c r="F3716" s="100"/>
      <c r="G3716" s="100"/>
      <c r="H3716" s="100"/>
      <c r="I3716" s="100"/>
      <c r="J3716" s="100"/>
      <c r="K3716" s="100"/>
      <c r="L3716" s="100"/>
      <c r="M3716" s="100"/>
      <c r="N3716" s="100"/>
      <c r="O3716" s="100"/>
      <c r="P3716" s="100"/>
      <c r="Q3716" s="100"/>
      <c r="R3716" s="100"/>
      <c r="S3716" s="100"/>
      <c r="T3716" s="100"/>
      <c r="U3716" s="100"/>
      <c r="V3716" s="100"/>
      <c r="W3716" s="100"/>
      <c r="X3716" s="100"/>
      <c r="Y3716" s="100"/>
      <c r="Z3716" s="100"/>
    </row>
    <row r="3717" spans="1:26">
      <c r="A3717" s="100"/>
      <c r="B3717" s="100"/>
      <c r="C3717" s="100"/>
      <c r="D3717" s="100"/>
      <c r="E3717" s="100"/>
      <c r="F3717" s="100"/>
      <c r="G3717" s="100"/>
      <c r="H3717" s="100"/>
      <c r="I3717" s="100"/>
      <c r="J3717" s="100"/>
      <c r="K3717" s="100"/>
      <c r="L3717" s="100"/>
      <c r="M3717" s="100"/>
      <c r="N3717" s="100"/>
      <c r="O3717" s="100"/>
      <c r="P3717" s="100"/>
      <c r="Q3717" s="100"/>
      <c r="R3717" s="100"/>
      <c r="S3717" s="100"/>
      <c r="T3717" s="100"/>
      <c r="U3717" s="100"/>
      <c r="V3717" s="100"/>
      <c r="W3717" s="100"/>
      <c r="X3717" s="100"/>
      <c r="Y3717" s="100"/>
      <c r="Z3717" s="100"/>
    </row>
    <row r="3718" spans="1:26">
      <c r="A3718" s="100"/>
      <c r="B3718" s="100"/>
      <c r="C3718" s="100"/>
      <c r="D3718" s="100"/>
      <c r="E3718" s="100"/>
      <c r="F3718" s="100"/>
      <c r="G3718" s="100"/>
      <c r="H3718" s="100"/>
      <c r="I3718" s="100"/>
      <c r="J3718" s="100"/>
      <c r="K3718" s="100"/>
      <c r="L3718" s="100"/>
      <c r="M3718" s="100"/>
      <c r="N3718" s="100"/>
      <c r="O3718" s="100"/>
      <c r="P3718" s="100"/>
      <c r="Q3718" s="100"/>
      <c r="R3718" s="100"/>
      <c r="S3718" s="100"/>
      <c r="T3718" s="100"/>
      <c r="U3718" s="100"/>
      <c r="V3718" s="100"/>
      <c r="W3718" s="100"/>
      <c r="X3718" s="100"/>
      <c r="Y3718" s="100"/>
      <c r="Z3718" s="100"/>
    </row>
    <row r="3719" spans="1:26">
      <c r="A3719" s="100"/>
      <c r="B3719" s="100"/>
      <c r="C3719" s="100"/>
      <c r="D3719" s="100"/>
      <c r="E3719" s="100"/>
      <c r="F3719" s="100"/>
      <c r="G3719" s="100"/>
      <c r="H3719" s="100"/>
      <c r="I3719" s="100"/>
      <c r="J3719" s="100"/>
      <c r="K3719" s="100"/>
      <c r="L3719" s="100"/>
      <c r="M3719" s="100"/>
      <c r="N3719" s="100"/>
      <c r="O3719" s="100"/>
      <c r="P3719" s="100"/>
      <c r="Q3719" s="100"/>
      <c r="R3719" s="100"/>
      <c r="S3719" s="100"/>
      <c r="T3719" s="100"/>
      <c r="U3719" s="100"/>
      <c r="V3719" s="100"/>
      <c r="W3719" s="100"/>
      <c r="X3719" s="100"/>
      <c r="Y3719" s="100"/>
      <c r="Z3719" s="100"/>
    </row>
    <row r="3720" spans="1:26">
      <c r="A3720" s="100"/>
      <c r="B3720" s="100"/>
      <c r="C3720" s="100"/>
      <c r="D3720" s="100"/>
      <c r="E3720" s="100"/>
      <c r="F3720" s="100"/>
      <c r="G3720" s="100"/>
      <c r="H3720" s="100"/>
      <c r="I3720" s="100"/>
      <c r="J3720" s="100"/>
      <c r="K3720" s="100"/>
      <c r="L3720" s="100"/>
      <c r="M3720" s="100"/>
      <c r="N3720" s="100"/>
      <c r="O3720" s="100"/>
      <c r="P3720" s="100"/>
      <c r="Q3720" s="100"/>
      <c r="R3720" s="100"/>
      <c r="S3720" s="100"/>
      <c r="T3720" s="100"/>
      <c r="U3720" s="100"/>
      <c r="V3720" s="100"/>
      <c r="W3720" s="100"/>
      <c r="X3720" s="100"/>
      <c r="Y3720" s="100"/>
      <c r="Z3720" s="100"/>
    </row>
    <row r="3721" spans="1:26">
      <c r="A3721" s="100"/>
      <c r="B3721" s="100"/>
      <c r="C3721" s="100"/>
      <c r="D3721" s="100"/>
      <c r="E3721" s="100"/>
      <c r="F3721" s="100"/>
      <c r="G3721" s="100"/>
      <c r="H3721" s="100"/>
      <c r="I3721" s="100"/>
      <c r="J3721" s="100"/>
      <c r="K3721" s="100"/>
      <c r="L3721" s="100"/>
      <c r="M3721" s="100"/>
      <c r="N3721" s="100"/>
      <c r="O3721" s="100"/>
      <c r="P3721" s="100"/>
      <c r="Q3721" s="100"/>
      <c r="R3721" s="100"/>
      <c r="S3721" s="100"/>
      <c r="T3721" s="100"/>
      <c r="U3721" s="100"/>
      <c r="V3721" s="100"/>
      <c r="W3721" s="100"/>
      <c r="X3721" s="100"/>
      <c r="Y3721" s="100"/>
      <c r="Z3721" s="100"/>
    </row>
    <row r="3722" spans="1:26">
      <c r="A3722" s="100"/>
      <c r="B3722" s="100"/>
      <c r="C3722" s="100"/>
      <c r="D3722" s="100"/>
      <c r="E3722" s="100"/>
      <c r="F3722" s="100"/>
      <c r="G3722" s="100"/>
      <c r="H3722" s="100"/>
      <c r="I3722" s="100"/>
      <c r="J3722" s="100"/>
      <c r="K3722" s="100"/>
      <c r="L3722" s="100"/>
      <c r="M3722" s="100"/>
      <c r="N3722" s="100"/>
      <c r="O3722" s="100"/>
      <c r="P3722" s="100"/>
      <c r="Q3722" s="100"/>
      <c r="R3722" s="100"/>
      <c r="S3722" s="100"/>
      <c r="T3722" s="100"/>
      <c r="U3722" s="100"/>
      <c r="V3722" s="100"/>
      <c r="W3722" s="100"/>
      <c r="X3722" s="100"/>
      <c r="Y3722" s="100"/>
      <c r="Z3722" s="100"/>
    </row>
    <row r="3723" spans="1:26">
      <c r="A3723" s="100"/>
      <c r="B3723" s="100"/>
      <c r="C3723" s="100"/>
      <c r="D3723" s="100"/>
      <c r="E3723" s="100"/>
      <c r="F3723" s="100"/>
      <c r="G3723" s="100"/>
      <c r="H3723" s="100"/>
      <c r="I3723" s="100"/>
      <c r="J3723" s="100"/>
      <c r="K3723" s="100"/>
      <c r="L3723" s="100"/>
      <c r="M3723" s="100"/>
      <c r="N3723" s="100"/>
      <c r="O3723" s="100"/>
      <c r="P3723" s="100"/>
      <c r="Q3723" s="100"/>
      <c r="R3723" s="100"/>
      <c r="S3723" s="100"/>
      <c r="T3723" s="100"/>
      <c r="U3723" s="100"/>
      <c r="V3723" s="100"/>
      <c r="W3723" s="100"/>
      <c r="X3723" s="100"/>
      <c r="Y3723" s="100"/>
      <c r="Z3723" s="100"/>
    </row>
    <row r="3724" spans="1:26">
      <c r="A3724" s="100"/>
      <c r="B3724" s="100"/>
      <c r="C3724" s="100"/>
      <c r="D3724" s="100"/>
      <c r="E3724" s="100"/>
      <c r="F3724" s="100"/>
      <c r="G3724" s="100"/>
      <c r="H3724" s="100"/>
      <c r="I3724" s="100"/>
      <c r="J3724" s="100"/>
      <c r="K3724" s="100"/>
      <c r="L3724" s="100"/>
      <c r="M3724" s="100"/>
      <c r="N3724" s="100"/>
      <c r="O3724" s="100"/>
      <c r="P3724" s="100"/>
      <c r="Q3724" s="100"/>
      <c r="R3724" s="100"/>
      <c r="S3724" s="100"/>
      <c r="T3724" s="100"/>
      <c r="U3724" s="100"/>
      <c r="V3724" s="100"/>
      <c r="W3724" s="100"/>
      <c r="X3724" s="100"/>
      <c r="Y3724" s="100"/>
      <c r="Z3724" s="100"/>
    </row>
    <row r="3725" spans="1:26">
      <c r="A3725" s="100"/>
      <c r="B3725" s="100"/>
      <c r="C3725" s="100"/>
      <c r="D3725" s="100"/>
      <c r="E3725" s="100"/>
      <c r="F3725" s="100"/>
      <c r="G3725" s="100"/>
      <c r="H3725" s="100"/>
      <c r="I3725" s="100"/>
      <c r="J3725" s="100"/>
      <c r="K3725" s="100"/>
      <c r="L3725" s="100"/>
      <c r="M3725" s="100"/>
      <c r="N3725" s="100"/>
      <c r="O3725" s="100"/>
      <c r="P3725" s="100"/>
      <c r="Q3725" s="100"/>
      <c r="R3725" s="100"/>
      <c r="S3725" s="100"/>
      <c r="T3725" s="100"/>
      <c r="U3725" s="100"/>
      <c r="V3725" s="100"/>
      <c r="W3725" s="100"/>
      <c r="X3725" s="100"/>
      <c r="Y3725" s="100"/>
      <c r="Z3725" s="100"/>
    </row>
    <row r="3726" spans="1:26">
      <c r="A3726" s="100"/>
      <c r="B3726" s="100"/>
      <c r="C3726" s="100"/>
      <c r="D3726" s="100"/>
      <c r="E3726" s="100"/>
      <c r="F3726" s="100"/>
      <c r="G3726" s="100"/>
      <c r="H3726" s="100"/>
      <c r="I3726" s="100"/>
      <c r="J3726" s="100"/>
      <c r="K3726" s="100"/>
      <c r="L3726" s="100"/>
      <c r="M3726" s="100"/>
      <c r="N3726" s="100"/>
      <c r="O3726" s="100"/>
      <c r="P3726" s="100"/>
      <c r="Q3726" s="100"/>
      <c r="R3726" s="100"/>
      <c r="S3726" s="100"/>
      <c r="T3726" s="100"/>
      <c r="U3726" s="100"/>
      <c r="V3726" s="100"/>
      <c r="W3726" s="100"/>
      <c r="X3726" s="100"/>
      <c r="Y3726" s="100"/>
      <c r="Z3726" s="100"/>
    </row>
    <row r="3727" spans="1:26">
      <c r="A3727" s="100"/>
      <c r="B3727" s="100"/>
      <c r="C3727" s="100"/>
      <c r="D3727" s="100"/>
      <c r="E3727" s="100"/>
      <c r="F3727" s="100"/>
      <c r="G3727" s="100"/>
      <c r="H3727" s="100"/>
      <c r="I3727" s="100"/>
      <c r="J3727" s="100"/>
      <c r="K3727" s="100"/>
      <c r="L3727" s="100"/>
      <c r="M3727" s="100"/>
      <c r="N3727" s="100"/>
      <c r="O3727" s="100"/>
      <c r="P3727" s="100"/>
      <c r="Q3727" s="100"/>
      <c r="R3727" s="100"/>
      <c r="S3727" s="100"/>
      <c r="T3727" s="100"/>
      <c r="U3727" s="100"/>
      <c r="V3727" s="100"/>
      <c r="W3727" s="100"/>
      <c r="X3727" s="100"/>
      <c r="Y3727" s="100"/>
      <c r="Z3727" s="100"/>
    </row>
    <row r="3728" spans="1:26">
      <c r="A3728" s="100"/>
      <c r="B3728" s="100"/>
      <c r="C3728" s="100"/>
      <c r="D3728" s="100"/>
      <c r="E3728" s="100"/>
      <c r="F3728" s="100"/>
      <c r="G3728" s="100"/>
      <c r="H3728" s="100"/>
      <c r="I3728" s="100"/>
      <c r="J3728" s="100"/>
      <c r="K3728" s="100"/>
      <c r="L3728" s="100"/>
      <c r="M3728" s="100"/>
      <c r="N3728" s="100"/>
      <c r="O3728" s="100"/>
      <c r="P3728" s="100"/>
      <c r="Q3728" s="100"/>
      <c r="R3728" s="100"/>
      <c r="S3728" s="100"/>
      <c r="T3728" s="100"/>
      <c r="U3728" s="100"/>
      <c r="V3728" s="100"/>
      <c r="W3728" s="100"/>
      <c r="X3728" s="100"/>
      <c r="Y3728" s="100"/>
      <c r="Z3728" s="100"/>
    </row>
    <row r="3729" spans="1:26">
      <c r="A3729" s="100"/>
      <c r="B3729" s="100"/>
      <c r="C3729" s="100"/>
      <c r="D3729" s="100"/>
      <c r="E3729" s="100"/>
      <c r="F3729" s="100"/>
      <c r="G3729" s="100"/>
      <c r="H3729" s="100"/>
      <c r="I3729" s="100"/>
      <c r="J3729" s="100"/>
      <c r="K3729" s="100"/>
      <c r="L3729" s="100"/>
      <c r="M3729" s="100"/>
      <c r="N3729" s="100"/>
      <c r="O3729" s="100"/>
      <c r="P3729" s="100"/>
      <c r="Q3729" s="100"/>
      <c r="R3729" s="100"/>
      <c r="S3729" s="100"/>
      <c r="T3729" s="100"/>
      <c r="U3729" s="100"/>
      <c r="V3729" s="100"/>
      <c r="W3729" s="100"/>
      <c r="X3729" s="100"/>
      <c r="Y3729" s="100"/>
      <c r="Z3729" s="100"/>
    </row>
    <row r="3730" spans="1:26">
      <c r="A3730" s="100"/>
      <c r="B3730" s="100"/>
      <c r="C3730" s="100"/>
      <c r="D3730" s="100"/>
      <c r="E3730" s="100"/>
      <c r="F3730" s="100"/>
      <c r="G3730" s="100"/>
      <c r="H3730" s="100"/>
      <c r="I3730" s="100"/>
      <c r="J3730" s="100"/>
      <c r="K3730" s="100"/>
      <c r="L3730" s="100"/>
      <c r="M3730" s="100"/>
      <c r="N3730" s="100"/>
      <c r="O3730" s="100"/>
      <c r="P3730" s="100"/>
      <c r="Q3730" s="100"/>
      <c r="R3730" s="100"/>
      <c r="S3730" s="100"/>
      <c r="T3730" s="100"/>
      <c r="U3730" s="100"/>
      <c r="V3730" s="100"/>
      <c r="W3730" s="100"/>
      <c r="X3730" s="100"/>
      <c r="Y3730" s="100"/>
      <c r="Z3730" s="100"/>
    </row>
    <row r="3731" spans="1:26">
      <c r="A3731" s="100"/>
      <c r="B3731" s="100"/>
      <c r="C3731" s="100"/>
      <c r="D3731" s="100"/>
      <c r="E3731" s="100"/>
      <c r="F3731" s="100"/>
      <c r="G3731" s="100"/>
      <c r="H3731" s="100"/>
      <c r="I3731" s="100"/>
      <c r="J3731" s="100"/>
      <c r="K3731" s="100"/>
      <c r="L3731" s="100"/>
      <c r="M3731" s="100"/>
      <c r="N3731" s="100"/>
      <c r="O3731" s="100"/>
      <c r="P3731" s="100"/>
      <c r="Q3731" s="100"/>
      <c r="R3731" s="100"/>
      <c r="S3731" s="100"/>
      <c r="T3731" s="100"/>
      <c r="U3731" s="100"/>
      <c r="V3731" s="100"/>
      <c r="W3731" s="100"/>
      <c r="X3731" s="100"/>
      <c r="Y3731" s="100"/>
      <c r="Z3731" s="100"/>
    </row>
    <row r="3732" spans="1:26">
      <c r="A3732" s="100"/>
      <c r="B3732" s="100"/>
      <c r="C3732" s="100"/>
      <c r="D3732" s="100"/>
      <c r="E3732" s="100"/>
      <c r="F3732" s="100"/>
      <c r="G3732" s="100"/>
      <c r="H3732" s="100"/>
      <c r="I3732" s="100"/>
      <c r="J3732" s="100"/>
      <c r="K3732" s="100"/>
      <c r="L3732" s="100"/>
      <c r="M3732" s="100"/>
      <c r="N3732" s="100"/>
      <c r="O3732" s="100"/>
      <c r="P3732" s="100"/>
      <c r="Q3732" s="100"/>
      <c r="R3732" s="100"/>
      <c r="S3732" s="100"/>
      <c r="T3732" s="100"/>
      <c r="U3732" s="100"/>
      <c r="V3732" s="100"/>
      <c r="W3732" s="100"/>
      <c r="X3732" s="100"/>
      <c r="Y3732" s="100"/>
      <c r="Z3732" s="100"/>
    </row>
    <row r="3733" spans="1:26">
      <c r="A3733" s="100"/>
      <c r="B3733" s="100"/>
      <c r="C3733" s="100"/>
      <c r="D3733" s="100"/>
      <c r="E3733" s="100"/>
      <c r="F3733" s="100"/>
      <c r="G3733" s="100"/>
      <c r="H3733" s="100"/>
      <c r="I3733" s="100"/>
      <c r="J3733" s="100"/>
      <c r="K3733" s="100"/>
      <c r="L3733" s="100"/>
      <c r="M3733" s="100"/>
      <c r="N3733" s="100"/>
      <c r="O3733" s="100"/>
      <c r="P3733" s="100"/>
      <c r="Q3733" s="100"/>
      <c r="R3733" s="100"/>
      <c r="S3733" s="100"/>
      <c r="T3733" s="100"/>
      <c r="U3733" s="100"/>
      <c r="V3733" s="100"/>
      <c r="W3733" s="100"/>
      <c r="X3733" s="100"/>
      <c r="Y3733" s="100"/>
      <c r="Z3733" s="100"/>
    </row>
    <row r="3734" spans="1:26">
      <c r="A3734" s="100"/>
      <c r="B3734" s="100"/>
      <c r="C3734" s="100"/>
      <c r="D3734" s="100"/>
      <c r="E3734" s="100"/>
      <c r="F3734" s="100"/>
      <c r="G3734" s="100"/>
      <c r="H3734" s="100"/>
      <c r="I3734" s="100"/>
      <c r="J3734" s="100"/>
      <c r="K3734" s="100"/>
      <c r="L3734" s="100"/>
      <c r="M3734" s="100"/>
      <c r="N3734" s="100"/>
      <c r="O3734" s="100"/>
      <c r="P3734" s="100"/>
      <c r="Q3734" s="100"/>
      <c r="R3734" s="100"/>
      <c r="S3734" s="100"/>
      <c r="T3734" s="100"/>
      <c r="U3734" s="100"/>
      <c r="V3734" s="100"/>
      <c r="W3734" s="100"/>
      <c r="X3734" s="100"/>
      <c r="Y3734" s="100"/>
      <c r="Z3734" s="100"/>
    </row>
    <row r="3735" spans="1:26">
      <c r="A3735" s="100"/>
      <c r="B3735" s="100"/>
      <c r="C3735" s="100"/>
      <c r="D3735" s="100"/>
      <c r="E3735" s="100"/>
      <c r="F3735" s="100"/>
      <c r="G3735" s="100"/>
      <c r="H3735" s="100"/>
      <c r="I3735" s="100"/>
      <c r="J3735" s="100"/>
      <c r="K3735" s="100"/>
      <c r="L3735" s="100"/>
      <c r="M3735" s="100"/>
      <c r="N3735" s="100"/>
      <c r="O3735" s="100"/>
      <c r="P3735" s="100"/>
      <c r="Q3735" s="100"/>
      <c r="R3735" s="100"/>
      <c r="S3735" s="100"/>
      <c r="T3735" s="100"/>
      <c r="U3735" s="100"/>
      <c r="V3735" s="100"/>
      <c r="W3735" s="100"/>
      <c r="X3735" s="100"/>
      <c r="Y3735" s="100"/>
      <c r="Z3735" s="100"/>
    </row>
    <row r="3736" spans="1:26">
      <c r="A3736" s="100"/>
      <c r="B3736" s="100"/>
      <c r="C3736" s="100"/>
      <c r="D3736" s="100"/>
      <c r="E3736" s="100"/>
      <c r="F3736" s="100"/>
      <c r="G3736" s="100"/>
      <c r="H3736" s="100"/>
      <c r="I3736" s="100"/>
      <c r="J3736" s="100"/>
      <c r="K3736" s="100"/>
      <c r="L3736" s="100"/>
      <c r="M3736" s="100"/>
      <c r="N3736" s="100"/>
      <c r="O3736" s="100"/>
      <c r="P3736" s="100"/>
      <c r="Q3736" s="100"/>
      <c r="R3736" s="100"/>
      <c r="S3736" s="100"/>
      <c r="T3736" s="100"/>
      <c r="U3736" s="100"/>
      <c r="V3736" s="100"/>
      <c r="W3736" s="100"/>
      <c r="X3736" s="100"/>
      <c r="Y3736" s="100"/>
      <c r="Z3736" s="100"/>
    </row>
    <row r="3737" spans="1:26">
      <c r="A3737" s="100"/>
      <c r="B3737" s="100"/>
      <c r="C3737" s="100"/>
      <c r="D3737" s="100"/>
      <c r="E3737" s="100"/>
      <c r="F3737" s="100"/>
      <c r="G3737" s="100"/>
      <c r="H3737" s="100"/>
      <c r="I3737" s="100"/>
      <c r="J3737" s="100"/>
      <c r="K3737" s="100"/>
      <c r="L3737" s="100"/>
      <c r="M3737" s="100"/>
      <c r="N3737" s="100"/>
      <c r="O3737" s="100"/>
      <c r="P3737" s="100"/>
      <c r="Q3737" s="100"/>
      <c r="R3737" s="100"/>
      <c r="S3737" s="100"/>
      <c r="T3737" s="100"/>
      <c r="U3737" s="100"/>
      <c r="V3737" s="100"/>
      <c r="W3737" s="100"/>
      <c r="X3737" s="100"/>
      <c r="Y3737" s="100"/>
      <c r="Z3737" s="100"/>
    </row>
    <row r="3738" spans="1:26">
      <c r="A3738" s="100"/>
      <c r="B3738" s="100"/>
      <c r="C3738" s="100"/>
      <c r="D3738" s="100"/>
      <c r="E3738" s="100"/>
      <c r="F3738" s="100"/>
      <c r="G3738" s="100"/>
      <c r="H3738" s="100"/>
      <c r="I3738" s="100"/>
      <c r="J3738" s="100"/>
      <c r="K3738" s="100"/>
      <c r="L3738" s="100"/>
      <c r="M3738" s="100"/>
      <c r="N3738" s="100"/>
      <c r="O3738" s="100"/>
      <c r="P3738" s="100"/>
      <c r="Q3738" s="100"/>
      <c r="R3738" s="100"/>
      <c r="S3738" s="100"/>
      <c r="T3738" s="100"/>
      <c r="U3738" s="100"/>
      <c r="V3738" s="100"/>
      <c r="W3738" s="100"/>
      <c r="X3738" s="100"/>
      <c r="Y3738" s="100"/>
      <c r="Z3738" s="100"/>
    </row>
    <row r="3739" spans="1:26">
      <c r="A3739" s="100"/>
      <c r="B3739" s="100"/>
      <c r="C3739" s="100"/>
      <c r="D3739" s="100"/>
      <c r="E3739" s="100"/>
      <c r="F3739" s="100"/>
      <c r="G3739" s="100"/>
      <c r="H3739" s="100"/>
      <c r="I3739" s="100"/>
      <c r="J3739" s="100"/>
      <c r="K3739" s="100"/>
      <c r="L3739" s="100"/>
      <c r="M3739" s="100"/>
      <c r="N3739" s="100"/>
      <c r="O3739" s="100"/>
      <c r="P3739" s="100"/>
      <c r="Q3739" s="100"/>
      <c r="R3739" s="100"/>
      <c r="S3739" s="100"/>
      <c r="T3739" s="100"/>
      <c r="U3739" s="100"/>
      <c r="V3739" s="100"/>
      <c r="W3739" s="100"/>
      <c r="X3739" s="100"/>
      <c r="Y3739" s="100"/>
      <c r="Z3739" s="100"/>
    </row>
    <row r="3740" spans="1:26">
      <c r="A3740" s="100"/>
      <c r="B3740" s="100"/>
      <c r="C3740" s="100"/>
      <c r="D3740" s="100"/>
      <c r="E3740" s="100"/>
      <c r="F3740" s="100"/>
      <c r="G3740" s="100"/>
      <c r="H3740" s="100"/>
      <c r="I3740" s="100"/>
      <c r="J3740" s="100"/>
      <c r="K3740" s="100"/>
      <c r="L3740" s="100"/>
      <c r="M3740" s="100"/>
      <c r="N3740" s="100"/>
      <c r="O3740" s="100"/>
      <c r="P3740" s="100"/>
      <c r="Q3740" s="100"/>
      <c r="R3740" s="100"/>
      <c r="S3740" s="100"/>
      <c r="T3740" s="100"/>
      <c r="U3740" s="100"/>
      <c r="V3740" s="100"/>
      <c r="W3740" s="100"/>
      <c r="X3740" s="100"/>
      <c r="Y3740" s="100"/>
      <c r="Z3740" s="100"/>
    </row>
    <row r="3741" spans="1:26">
      <c r="A3741" s="100"/>
      <c r="B3741" s="100"/>
      <c r="C3741" s="100"/>
      <c r="D3741" s="100"/>
      <c r="E3741" s="100"/>
      <c r="F3741" s="100"/>
      <c r="G3741" s="100"/>
      <c r="H3741" s="100"/>
      <c r="I3741" s="100"/>
      <c r="J3741" s="100"/>
      <c r="K3741" s="100"/>
      <c r="L3741" s="100"/>
      <c r="M3741" s="100"/>
      <c r="N3741" s="100"/>
      <c r="O3741" s="100"/>
      <c r="P3741" s="100"/>
      <c r="Q3741" s="100"/>
      <c r="R3741" s="100"/>
      <c r="S3741" s="100"/>
      <c r="T3741" s="100"/>
      <c r="U3741" s="100"/>
      <c r="V3741" s="100"/>
      <c r="W3741" s="100"/>
      <c r="X3741" s="100"/>
      <c r="Y3741" s="100"/>
      <c r="Z3741" s="100"/>
    </row>
    <row r="3742" spans="1:26">
      <c r="A3742" s="100"/>
      <c r="B3742" s="100"/>
      <c r="C3742" s="100"/>
      <c r="D3742" s="100"/>
      <c r="E3742" s="100"/>
      <c r="F3742" s="100"/>
      <c r="G3742" s="100"/>
      <c r="H3742" s="100"/>
      <c r="I3742" s="100"/>
      <c r="J3742" s="100"/>
      <c r="K3742" s="100"/>
      <c r="L3742" s="100"/>
      <c r="M3742" s="100"/>
      <c r="N3742" s="100"/>
      <c r="O3742" s="100"/>
      <c r="P3742" s="100"/>
      <c r="Q3742" s="100"/>
      <c r="R3742" s="100"/>
      <c r="S3742" s="100"/>
      <c r="T3742" s="100"/>
      <c r="U3742" s="100"/>
      <c r="V3742" s="100"/>
      <c r="W3742" s="100"/>
      <c r="X3742" s="100"/>
      <c r="Y3742" s="100"/>
      <c r="Z3742" s="100"/>
    </row>
    <row r="3743" spans="1:26">
      <c r="A3743" s="100"/>
      <c r="B3743" s="100"/>
      <c r="C3743" s="100"/>
      <c r="D3743" s="100"/>
      <c r="E3743" s="100"/>
      <c r="F3743" s="100"/>
      <c r="G3743" s="100"/>
      <c r="H3743" s="100"/>
      <c r="I3743" s="100"/>
      <c r="J3743" s="100"/>
      <c r="K3743" s="100"/>
      <c r="L3743" s="100"/>
      <c r="M3743" s="100"/>
      <c r="N3743" s="100"/>
      <c r="O3743" s="100"/>
      <c r="P3743" s="100"/>
      <c r="Q3743" s="100"/>
      <c r="R3743" s="100"/>
      <c r="S3743" s="100"/>
      <c r="T3743" s="100"/>
      <c r="U3743" s="100"/>
      <c r="V3743" s="100"/>
      <c r="W3743" s="100"/>
      <c r="X3743" s="100"/>
      <c r="Y3743" s="100"/>
      <c r="Z3743" s="100"/>
    </row>
    <row r="3744" spans="1:26">
      <c r="A3744" s="100"/>
      <c r="B3744" s="100"/>
      <c r="C3744" s="100"/>
      <c r="D3744" s="100"/>
      <c r="E3744" s="100"/>
      <c r="F3744" s="100"/>
      <c r="G3744" s="100"/>
      <c r="H3744" s="100"/>
      <c r="I3744" s="100"/>
      <c r="J3744" s="100"/>
      <c r="K3744" s="100"/>
      <c r="L3744" s="100"/>
      <c r="M3744" s="100"/>
      <c r="N3744" s="100"/>
      <c r="O3744" s="100"/>
      <c r="P3744" s="100"/>
      <c r="Q3744" s="100"/>
      <c r="R3744" s="100"/>
      <c r="S3744" s="100"/>
      <c r="T3744" s="100"/>
      <c r="U3744" s="100"/>
      <c r="V3744" s="100"/>
      <c r="W3744" s="100"/>
      <c r="X3744" s="100"/>
      <c r="Y3744" s="100"/>
      <c r="Z3744" s="100"/>
    </row>
    <row r="3745" spans="1:26">
      <c r="A3745" s="100"/>
      <c r="B3745" s="100"/>
      <c r="C3745" s="100"/>
      <c r="D3745" s="100"/>
      <c r="E3745" s="100"/>
      <c r="F3745" s="100"/>
      <c r="G3745" s="100"/>
      <c r="H3745" s="100"/>
      <c r="I3745" s="100"/>
      <c r="J3745" s="100"/>
      <c r="K3745" s="100"/>
      <c r="L3745" s="100"/>
      <c r="M3745" s="100"/>
      <c r="N3745" s="100"/>
      <c r="O3745" s="100"/>
      <c r="P3745" s="100"/>
      <c r="Q3745" s="100"/>
      <c r="R3745" s="100"/>
      <c r="S3745" s="100"/>
      <c r="T3745" s="100"/>
      <c r="U3745" s="100"/>
      <c r="V3745" s="100"/>
      <c r="W3745" s="100"/>
      <c r="X3745" s="100"/>
      <c r="Y3745" s="100"/>
      <c r="Z3745" s="100"/>
    </row>
    <row r="3746" spans="1:26">
      <c r="A3746" s="100"/>
      <c r="B3746" s="100"/>
      <c r="C3746" s="100"/>
      <c r="D3746" s="100"/>
      <c r="E3746" s="100"/>
      <c r="F3746" s="100"/>
      <c r="G3746" s="100"/>
      <c r="H3746" s="100"/>
      <c r="I3746" s="100"/>
      <c r="J3746" s="100"/>
      <c r="K3746" s="100"/>
      <c r="L3746" s="100"/>
      <c r="M3746" s="100"/>
      <c r="N3746" s="100"/>
      <c r="O3746" s="100"/>
      <c r="P3746" s="100"/>
      <c r="Q3746" s="100"/>
      <c r="R3746" s="100"/>
      <c r="S3746" s="100"/>
      <c r="T3746" s="100"/>
      <c r="U3746" s="100"/>
      <c r="V3746" s="100"/>
      <c r="W3746" s="100"/>
      <c r="X3746" s="100"/>
      <c r="Y3746" s="100"/>
      <c r="Z3746" s="100"/>
    </row>
    <row r="3747" spans="1:26">
      <c r="A3747" s="100"/>
      <c r="B3747" s="100"/>
      <c r="C3747" s="100"/>
      <c r="D3747" s="100"/>
      <c r="E3747" s="100"/>
      <c r="F3747" s="100"/>
      <c r="G3747" s="100"/>
      <c r="H3747" s="100"/>
      <c r="I3747" s="100"/>
      <c r="J3747" s="100"/>
      <c r="K3747" s="100"/>
      <c r="L3747" s="100"/>
      <c r="M3747" s="100"/>
      <c r="N3747" s="100"/>
      <c r="O3747" s="100"/>
      <c r="P3747" s="100"/>
      <c r="Q3747" s="100"/>
      <c r="R3747" s="100"/>
      <c r="S3747" s="100"/>
      <c r="T3747" s="100"/>
      <c r="U3747" s="100"/>
      <c r="V3747" s="100"/>
      <c r="W3747" s="100"/>
      <c r="X3747" s="100"/>
      <c r="Y3747" s="100"/>
      <c r="Z3747" s="100"/>
    </row>
    <row r="3748" spans="1:26">
      <c r="A3748" s="100"/>
      <c r="B3748" s="100"/>
      <c r="C3748" s="100"/>
      <c r="D3748" s="100"/>
      <c r="E3748" s="100"/>
      <c r="F3748" s="100"/>
      <c r="G3748" s="100"/>
      <c r="H3748" s="100"/>
      <c r="I3748" s="100"/>
      <c r="J3748" s="100"/>
      <c r="K3748" s="100"/>
      <c r="L3748" s="100"/>
      <c r="M3748" s="100"/>
      <c r="N3748" s="100"/>
      <c r="O3748" s="100"/>
      <c r="P3748" s="100"/>
      <c r="Q3748" s="100"/>
      <c r="R3748" s="100"/>
      <c r="S3748" s="100"/>
      <c r="T3748" s="100"/>
      <c r="U3748" s="100"/>
      <c r="V3748" s="100"/>
      <c r="W3748" s="100"/>
      <c r="X3748" s="100"/>
      <c r="Y3748" s="100"/>
      <c r="Z3748" s="100"/>
    </row>
    <row r="3749" spans="1:26">
      <c r="A3749" s="100"/>
      <c r="B3749" s="100"/>
      <c r="C3749" s="100"/>
      <c r="D3749" s="100"/>
      <c r="E3749" s="100"/>
      <c r="F3749" s="100"/>
      <c r="G3749" s="100"/>
      <c r="H3749" s="100"/>
      <c r="I3749" s="100"/>
      <c r="J3749" s="100"/>
      <c r="K3749" s="100"/>
      <c r="L3749" s="100"/>
      <c r="M3749" s="100"/>
      <c r="N3749" s="100"/>
      <c r="O3749" s="100"/>
      <c r="P3749" s="100"/>
      <c r="Q3749" s="100"/>
      <c r="R3749" s="100"/>
      <c r="S3749" s="100"/>
      <c r="T3749" s="100"/>
      <c r="U3749" s="100"/>
      <c r="V3749" s="100"/>
      <c r="W3749" s="100"/>
      <c r="X3749" s="100"/>
      <c r="Y3749" s="100"/>
      <c r="Z3749" s="100"/>
    </row>
    <row r="3750" spans="1:26">
      <c r="A3750" s="100"/>
      <c r="B3750" s="100"/>
      <c r="C3750" s="100"/>
      <c r="D3750" s="100"/>
      <c r="E3750" s="100"/>
      <c r="F3750" s="100"/>
      <c r="G3750" s="100"/>
      <c r="H3750" s="100"/>
      <c r="I3750" s="100"/>
      <c r="J3750" s="100"/>
      <c r="K3750" s="100"/>
      <c r="L3750" s="100"/>
      <c r="M3750" s="100"/>
      <c r="N3750" s="100"/>
      <c r="O3750" s="100"/>
      <c r="P3750" s="100"/>
      <c r="Q3750" s="100"/>
      <c r="R3750" s="100"/>
      <c r="S3750" s="100"/>
      <c r="T3750" s="100"/>
      <c r="U3750" s="100"/>
      <c r="V3750" s="100"/>
      <c r="W3750" s="100"/>
      <c r="X3750" s="100"/>
      <c r="Y3750" s="100"/>
      <c r="Z3750" s="100"/>
    </row>
    <row r="3751" spans="1:26">
      <c r="A3751" s="100"/>
      <c r="B3751" s="100"/>
      <c r="C3751" s="100"/>
      <c r="D3751" s="100"/>
      <c r="E3751" s="100"/>
      <c r="F3751" s="100"/>
      <c r="G3751" s="100"/>
      <c r="H3751" s="100"/>
      <c r="I3751" s="100"/>
      <c r="J3751" s="100"/>
      <c r="K3751" s="100"/>
      <c r="L3751" s="100"/>
      <c r="M3751" s="100"/>
      <c r="N3751" s="100"/>
      <c r="O3751" s="100"/>
      <c r="P3751" s="100"/>
      <c r="Q3751" s="100"/>
      <c r="R3751" s="100"/>
      <c r="S3751" s="100"/>
      <c r="T3751" s="100"/>
      <c r="U3751" s="100"/>
      <c r="V3751" s="100"/>
      <c r="W3751" s="100"/>
      <c r="X3751" s="100"/>
      <c r="Y3751" s="100"/>
      <c r="Z3751" s="100"/>
    </row>
    <row r="3752" spans="1:26">
      <c r="A3752" s="100"/>
      <c r="B3752" s="100"/>
      <c r="C3752" s="100"/>
      <c r="D3752" s="100"/>
      <c r="E3752" s="100"/>
      <c r="F3752" s="100"/>
      <c r="G3752" s="100"/>
      <c r="H3752" s="100"/>
      <c r="I3752" s="100"/>
      <c r="J3752" s="100"/>
      <c r="K3752" s="100"/>
      <c r="L3752" s="100"/>
      <c r="M3752" s="100"/>
      <c r="N3752" s="100"/>
      <c r="O3752" s="100"/>
      <c r="P3752" s="100"/>
      <c r="Q3752" s="100"/>
      <c r="R3752" s="100"/>
      <c r="S3752" s="100"/>
      <c r="T3752" s="100"/>
      <c r="U3752" s="100"/>
      <c r="V3752" s="100"/>
      <c r="W3752" s="100"/>
      <c r="X3752" s="100"/>
      <c r="Y3752" s="100"/>
      <c r="Z3752" s="100"/>
    </row>
    <row r="3753" spans="1:26">
      <c r="A3753" s="100"/>
      <c r="B3753" s="100"/>
      <c r="C3753" s="100"/>
      <c r="D3753" s="100"/>
      <c r="E3753" s="100"/>
      <c r="F3753" s="100"/>
      <c r="G3753" s="100"/>
      <c r="H3753" s="100"/>
      <c r="I3753" s="100"/>
      <c r="J3753" s="100"/>
      <c r="K3753" s="100"/>
      <c r="L3753" s="100"/>
      <c r="M3753" s="100"/>
      <c r="N3753" s="100"/>
      <c r="O3753" s="100"/>
      <c r="P3753" s="100"/>
      <c r="Q3753" s="100"/>
      <c r="R3753" s="100"/>
      <c r="S3753" s="100"/>
      <c r="T3753" s="100"/>
      <c r="U3753" s="100"/>
      <c r="V3753" s="100"/>
      <c r="W3753" s="100"/>
      <c r="X3753" s="100"/>
      <c r="Y3753" s="100"/>
      <c r="Z3753" s="100"/>
    </row>
    <row r="3754" spans="1:26">
      <c r="A3754" s="100"/>
      <c r="B3754" s="100"/>
      <c r="C3754" s="100"/>
      <c r="D3754" s="100"/>
      <c r="E3754" s="100"/>
      <c r="F3754" s="100"/>
      <c r="G3754" s="100"/>
      <c r="H3754" s="100"/>
      <c r="I3754" s="100"/>
      <c r="J3754" s="100"/>
      <c r="K3754" s="100"/>
      <c r="L3754" s="100"/>
      <c r="M3754" s="100"/>
      <c r="N3754" s="100"/>
      <c r="O3754" s="100"/>
      <c r="P3754" s="100"/>
      <c r="Q3754" s="100"/>
      <c r="R3754" s="100"/>
      <c r="S3754" s="100"/>
      <c r="T3754" s="100"/>
      <c r="U3754" s="100"/>
      <c r="V3754" s="100"/>
      <c r="W3754" s="100"/>
      <c r="X3754" s="100"/>
      <c r="Y3754" s="100"/>
      <c r="Z3754" s="100"/>
    </row>
    <row r="3755" spans="1:26">
      <c r="A3755" s="100"/>
      <c r="B3755" s="100"/>
      <c r="C3755" s="100"/>
      <c r="D3755" s="100"/>
      <c r="E3755" s="100"/>
      <c r="F3755" s="100"/>
      <c r="G3755" s="100"/>
      <c r="H3755" s="100"/>
      <c r="I3755" s="100"/>
      <c r="J3755" s="100"/>
      <c r="K3755" s="100"/>
      <c r="L3755" s="100"/>
      <c r="M3755" s="100"/>
      <c r="N3755" s="100"/>
      <c r="O3755" s="100"/>
      <c r="P3755" s="100"/>
      <c r="Q3755" s="100"/>
      <c r="R3755" s="100"/>
      <c r="S3755" s="100"/>
      <c r="T3755" s="100"/>
      <c r="U3755" s="100"/>
      <c r="V3755" s="100"/>
      <c r="W3755" s="100"/>
      <c r="X3755" s="100"/>
      <c r="Y3755" s="100"/>
      <c r="Z3755" s="100"/>
    </row>
    <row r="3756" spans="1:26">
      <c r="A3756" s="100"/>
      <c r="B3756" s="100"/>
      <c r="C3756" s="100"/>
      <c r="D3756" s="100"/>
      <c r="E3756" s="100"/>
      <c r="F3756" s="100"/>
      <c r="G3756" s="100"/>
      <c r="H3756" s="100"/>
      <c r="I3756" s="100"/>
      <c r="J3756" s="100"/>
      <c r="K3756" s="100"/>
      <c r="L3756" s="100"/>
      <c r="M3756" s="100"/>
      <c r="N3756" s="100"/>
      <c r="O3756" s="100"/>
      <c r="P3756" s="100"/>
      <c r="Q3756" s="100"/>
      <c r="R3756" s="100"/>
      <c r="S3756" s="100"/>
      <c r="T3756" s="100"/>
      <c r="U3756" s="100"/>
      <c r="V3756" s="100"/>
      <c r="W3756" s="100"/>
      <c r="X3756" s="100"/>
      <c r="Y3756" s="100"/>
      <c r="Z3756" s="100"/>
    </row>
    <row r="3757" spans="1:26">
      <c r="A3757" s="100"/>
      <c r="B3757" s="100"/>
      <c r="C3757" s="100"/>
      <c r="D3757" s="100"/>
      <c r="E3757" s="100"/>
      <c r="F3757" s="100"/>
      <c r="G3757" s="100"/>
      <c r="H3757" s="100"/>
      <c r="I3757" s="100"/>
      <c r="J3757" s="100"/>
      <c r="K3757" s="100"/>
      <c r="L3757" s="100"/>
      <c r="M3757" s="100"/>
      <c r="N3757" s="100"/>
      <c r="O3757" s="100"/>
      <c r="P3757" s="100"/>
      <c r="Q3757" s="100"/>
      <c r="R3757" s="100"/>
      <c r="S3757" s="100"/>
      <c r="T3757" s="100"/>
      <c r="U3757" s="100"/>
      <c r="V3757" s="100"/>
      <c r="W3757" s="100"/>
      <c r="X3757" s="100"/>
      <c r="Y3757" s="100"/>
      <c r="Z3757" s="100"/>
    </row>
    <row r="3758" spans="1:26">
      <c r="A3758" s="100"/>
      <c r="B3758" s="100"/>
      <c r="C3758" s="100"/>
      <c r="D3758" s="100"/>
      <c r="E3758" s="100"/>
      <c r="F3758" s="100"/>
      <c r="G3758" s="100"/>
      <c r="H3758" s="100"/>
      <c r="I3758" s="100"/>
      <c r="J3758" s="100"/>
      <c r="K3758" s="100"/>
      <c r="L3758" s="100"/>
      <c r="M3758" s="100"/>
      <c r="N3758" s="100"/>
      <c r="O3758" s="100"/>
      <c r="P3758" s="100"/>
      <c r="Q3758" s="100"/>
      <c r="R3758" s="100"/>
      <c r="S3758" s="100"/>
      <c r="T3758" s="100"/>
      <c r="U3758" s="100"/>
      <c r="V3758" s="100"/>
      <c r="W3758" s="100"/>
      <c r="X3758" s="100"/>
      <c r="Y3758" s="100"/>
      <c r="Z3758" s="100"/>
    </row>
    <row r="3759" spans="1:26">
      <c r="A3759" s="100"/>
      <c r="B3759" s="100"/>
      <c r="C3759" s="100"/>
      <c r="D3759" s="100"/>
      <c r="E3759" s="100"/>
      <c r="F3759" s="100"/>
      <c r="G3759" s="100"/>
      <c r="H3759" s="100"/>
      <c r="I3759" s="100"/>
      <c r="J3759" s="100"/>
      <c r="K3759" s="100"/>
      <c r="L3759" s="100"/>
      <c r="M3759" s="100"/>
      <c r="N3759" s="100"/>
      <c r="O3759" s="100"/>
      <c r="P3759" s="100"/>
      <c r="Q3759" s="100"/>
      <c r="R3759" s="100"/>
      <c r="S3759" s="100"/>
      <c r="T3759" s="100"/>
      <c r="U3759" s="100"/>
      <c r="V3759" s="100"/>
      <c r="W3759" s="100"/>
      <c r="X3759" s="100"/>
      <c r="Y3759" s="100"/>
      <c r="Z3759" s="100"/>
    </row>
    <row r="3760" spans="1:26">
      <c r="A3760" s="100"/>
      <c r="B3760" s="100"/>
      <c r="C3760" s="100"/>
      <c r="D3760" s="100"/>
      <c r="E3760" s="100"/>
      <c r="F3760" s="100"/>
      <c r="G3760" s="100"/>
      <c r="H3760" s="100"/>
      <c r="I3760" s="100"/>
      <c r="J3760" s="100"/>
      <c r="K3760" s="100"/>
      <c r="L3760" s="100"/>
      <c r="M3760" s="100"/>
      <c r="N3760" s="100"/>
      <c r="O3760" s="100"/>
      <c r="P3760" s="100"/>
      <c r="Q3760" s="100"/>
      <c r="R3760" s="100"/>
      <c r="S3760" s="100"/>
      <c r="T3760" s="100"/>
      <c r="U3760" s="100"/>
      <c r="V3760" s="100"/>
      <c r="W3760" s="100"/>
      <c r="X3760" s="100"/>
      <c r="Y3760" s="100"/>
      <c r="Z3760" s="100"/>
    </row>
    <row r="3761" spans="1:26">
      <c r="A3761" s="100"/>
      <c r="B3761" s="100"/>
      <c r="C3761" s="100"/>
      <c r="D3761" s="100"/>
      <c r="E3761" s="100"/>
      <c r="F3761" s="100"/>
      <c r="G3761" s="100"/>
      <c r="H3761" s="100"/>
      <c r="I3761" s="100"/>
      <c r="J3761" s="100"/>
      <c r="K3761" s="100"/>
      <c r="L3761" s="100"/>
      <c r="M3761" s="100"/>
      <c r="N3761" s="100"/>
      <c r="O3761" s="100"/>
      <c r="P3761" s="100"/>
      <c r="Q3761" s="100"/>
      <c r="R3761" s="100"/>
      <c r="S3761" s="100"/>
      <c r="T3761" s="100"/>
      <c r="U3761" s="100"/>
      <c r="V3761" s="100"/>
      <c r="W3761" s="100"/>
      <c r="X3761" s="100"/>
      <c r="Y3761" s="100"/>
      <c r="Z3761" s="100"/>
    </row>
    <row r="3762" spans="1:26">
      <c r="A3762" s="100"/>
      <c r="B3762" s="100"/>
      <c r="C3762" s="100"/>
      <c r="D3762" s="100"/>
      <c r="E3762" s="100"/>
      <c r="F3762" s="100"/>
      <c r="G3762" s="100"/>
      <c r="H3762" s="100"/>
      <c r="I3762" s="100"/>
      <c r="J3762" s="100"/>
      <c r="K3762" s="100"/>
      <c r="L3762" s="100"/>
      <c r="M3762" s="100"/>
      <c r="N3762" s="100"/>
      <c r="O3762" s="100"/>
      <c r="P3762" s="100"/>
      <c r="Q3762" s="100"/>
      <c r="R3762" s="100"/>
      <c r="S3762" s="100"/>
      <c r="T3762" s="100"/>
      <c r="U3762" s="100"/>
      <c r="V3762" s="100"/>
      <c r="W3762" s="100"/>
      <c r="X3762" s="100"/>
      <c r="Y3762" s="100"/>
      <c r="Z3762" s="100"/>
    </row>
    <row r="3763" spans="1:26">
      <c r="A3763" s="100"/>
      <c r="B3763" s="100"/>
      <c r="C3763" s="100"/>
      <c r="D3763" s="100"/>
      <c r="E3763" s="100"/>
      <c r="F3763" s="100"/>
      <c r="G3763" s="100"/>
      <c r="H3763" s="100"/>
      <c r="I3763" s="100"/>
      <c r="J3763" s="100"/>
      <c r="K3763" s="100"/>
      <c r="L3763" s="100"/>
      <c r="M3763" s="100"/>
      <c r="N3763" s="100"/>
      <c r="O3763" s="100"/>
      <c r="P3763" s="100"/>
      <c r="Q3763" s="100"/>
      <c r="R3763" s="100"/>
      <c r="S3763" s="100"/>
      <c r="T3763" s="100"/>
      <c r="U3763" s="100"/>
      <c r="V3763" s="100"/>
      <c r="W3763" s="100"/>
      <c r="X3763" s="100"/>
      <c r="Y3763" s="100"/>
      <c r="Z3763" s="100"/>
    </row>
    <row r="3764" spans="1:26">
      <c r="A3764" s="100"/>
      <c r="B3764" s="100"/>
      <c r="C3764" s="100"/>
      <c r="D3764" s="100"/>
      <c r="E3764" s="100"/>
      <c r="F3764" s="100"/>
      <c r="G3764" s="100"/>
      <c r="H3764" s="100"/>
      <c r="I3764" s="100"/>
      <c r="J3764" s="100"/>
      <c r="K3764" s="100"/>
      <c r="L3764" s="100"/>
      <c r="M3764" s="100"/>
      <c r="N3764" s="100"/>
      <c r="O3764" s="100"/>
      <c r="P3764" s="100"/>
      <c r="Q3764" s="100"/>
      <c r="R3764" s="100"/>
      <c r="S3764" s="100"/>
      <c r="T3764" s="100"/>
      <c r="U3764" s="100"/>
      <c r="V3764" s="100"/>
      <c r="W3764" s="100"/>
      <c r="X3764" s="100"/>
      <c r="Y3764" s="100"/>
      <c r="Z3764" s="100"/>
    </row>
    <row r="3765" spans="1:26">
      <c r="A3765" s="100"/>
      <c r="B3765" s="100"/>
      <c r="C3765" s="100"/>
      <c r="D3765" s="100"/>
      <c r="E3765" s="100"/>
      <c r="F3765" s="100"/>
      <c r="G3765" s="100"/>
      <c r="H3765" s="100"/>
      <c r="I3765" s="100"/>
      <c r="J3765" s="100"/>
      <c r="K3765" s="100"/>
      <c r="L3765" s="100"/>
      <c r="M3765" s="100"/>
      <c r="N3765" s="100"/>
      <c r="O3765" s="100"/>
      <c r="P3765" s="100"/>
      <c r="Q3765" s="100"/>
      <c r="R3765" s="100"/>
      <c r="S3765" s="100"/>
      <c r="T3765" s="100"/>
      <c r="U3765" s="100"/>
      <c r="V3765" s="100"/>
      <c r="W3765" s="100"/>
      <c r="X3765" s="100"/>
      <c r="Y3765" s="100"/>
      <c r="Z3765" s="100"/>
    </row>
    <row r="3766" spans="1:26">
      <c r="A3766" s="100"/>
      <c r="B3766" s="100"/>
      <c r="C3766" s="100"/>
      <c r="D3766" s="100"/>
      <c r="E3766" s="100"/>
      <c r="F3766" s="100"/>
      <c r="G3766" s="100"/>
      <c r="H3766" s="100"/>
      <c r="I3766" s="100"/>
      <c r="J3766" s="100"/>
      <c r="K3766" s="100"/>
      <c r="L3766" s="100"/>
      <c r="M3766" s="100"/>
      <c r="N3766" s="100"/>
      <c r="O3766" s="100"/>
      <c r="P3766" s="100"/>
      <c r="Q3766" s="100"/>
      <c r="R3766" s="100"/>
      <c r="S3766" s="100"/>
      <c r="T3766" s="100"/>
      <c r="U3766" s="100"/>
      <c r="V3766" s="100"/>
      <c r="W3766" s="100"/>
      <c r="X3766" s="100"/>
      <c r="Y3766" s="100"/>
      <c r="Z3766" s="100"/>
    </row>
    <row r="3767" spans="1:26">
      <c r="A3767" s="100"/>
      <c r="B3767" s="100"/>
      <c r="C3767" s="100"/>
      <c r="D3767" s="100"/>
      <c r="E3767" s="100"/>
      <c r="F3767" s="100"/>
      <c r="G3767" s="100"/>
      <c r="H3767" s="100"/>
      <c r="I3767" s="100"/>
      <c r="J3767" s="100"/>
      <c r="K3767" s="100"/>
      <c r="L3767" s="100"/>
      <c r="M3767" s="100"/>
      <c r="N3767" s="100"/>
      <c r="O3767" s="100"/>
      <c r="P3767" s="100"/>
      <c r="Q3767" s="100"/>
      <c r="R3767" s="100"/>
      <c r="S3767" s="100"/>
      <c r="T3767" s="100"/>
      <c r="U3767" s="100"/>
      <c r="V3767" s="100"/>
      <c r="W3767" s="100"/>
      <c r="X3767" s="100"/>
      <c r="Y3767" s="100"/>
      <c r="Z3767" s="100"/>
    </row>
    <row r="3768" spans="1:26">
      <c r="A3768" s="100"/>
      <c r="B3768" s="100"/>
      <c r="C3768" s="100"/>
      <c r="D3768" s="100"/>
      <c r="E3768" s="100"/>
      <c r="F3768" s="100"/>
      <c r="G3768" s="100"/>
      <c r="H3768" s="100"/>
      <c r="I3768" s="100"/>
      <c r="J3768" s="100"/>
      <c r="K3768" s="100"/>
      <c r="L3768" s="100"/>
      <c r="M3768" s="100"/>
      <c r="N3768" s="100"/>
      <c r="O3768" s="100"/>
      <c r="P3768" s="100"/>
      <c r="Q3768" s="100"/>
      <c r="R3768" s="100"/>
      <c r="S3768" s="100"/>
      <c r="T3768" s="100"/>
      <c r="U3768" s="100"/>
      <c r="V3768" s="100"/>
      <c r="W3768" s="100"/>
      <c r="X3768" s="100"/>
      <c r="Y3768" s="100"/>
      <c r="Z3768" s="100"/>
    </row>
    <row r="3769" spans="1:26">
      <c r="A3769" s="100"/>
      <c r="B3769" s="100"/>
      <c r="C3769" s="100"/>
      <c r="D3769" s="100"/>
      <c r="E3769" s="100"/>
      <c r="F3769" s="100"/>
      <c r="G3769" s="100"/>
      <c r="H3769" s="100"/>
      <c r="I3769" s="100"/>
      <c r="J3769" s="100"/>
      <c r="K3769" s="100"/>
      <c r="L3769" s="100"/>
      <c r="M3769" s="100"/>
      <c r="N3769" s="100"/>
      <c r="O3769" s="100"/>
      <c r="P3769" s="100"/>
      <c r="Q3769" s="100"/>
      <c r="R3769" s="100"/>
      <c r="S3769" s="100"/>
      <c r="T3769" s="100"/>
      <c r="U3769" s="100"/>
      <c r="V3769" s="100"/>
      <c r="W3769" s="100"/>
      <c r="X3769" s="100"/>
      <c r="Y3769" s="100"/>
      <c r="Z3769" s="100"/>
    </row>
    <row r="3770" spans="1:26">
      <c r="A3770" s="100"/>
      <c r="B3770" s="100"/>
      <c r="C3770" s="100"/>
      <c r="D3770" s="100"/>
      <c r="E3770" s="100"/>
      <c r="F3770" s="100"/>
      <c r="G3770" s="100"/>
      <c r="H3770" s="100"/>
      <c r="I3770" s="100"/>
      <c r="J3770" s="100"/>
      <c r="K3770" s="100"/>
      <c r="L3770" s="100"/>
      <c r="M3770" s="100"/>
      <c r="N3770" s="100"/>
      <c r="O3770" s="100"/>
      <c r="P3770" s="100"/>
      <c r="Q3770" s="100"/>
      <c r="R3770" s="100"/>
      <c r="S3770" s="100"/>
      <c r="T3770" s="100"/>
      <c r="U3770" s="100"/>
      <c r="V3770" s="100"/>
      <c r="W3770" s="100"/>
      <c r="X3770" s="100"/>
      <c r="Y3770" s="100"/>
      <c r="Z3770" s="100"/>
    </row>
    <row r="3771" spans="1:26">
      <c r="A3771" s="100"/>
      <c r="B3771" s="100"/>
      <c r="C3771" s="100"/>
      <c r="D3771" s="100"/>
      <c r="E3771" s="100"/>
      <c r="F3771" s="100"/>
      <c r="G3771" s="100"/>
      <c r="H3771" s="100"/>
      <c r="I3771" s="100"/>
      <c r="J3771" s="100"/>
      <c r="K3771" s="100"/>
      <c r="L3771" s="100"/>
      <c r="M3771" s="100"/>
      <c r="N3771" s="100"/>
      <c r="O3771" s="100"/>
      <c r="P3771" s="100"/>
      <c r="Q3771" s="100"/>
      <c r="R3771" s="100"/>
      <c r="S3771" s="100"/>
      <c r="T3771" s="100"/>
      <c r="U3771" s="100"/>
      <c r="V3771" s="100"/>
      <c r="W3771" s="100"/>
      <c r="X3771" s="100"/>
      <c r="Y3771" s="100"/>
      <c r="Z3771" s="100"/>
    </row>
    <row r="3772" spans="1:26">
      <c r="A3772" s="100"/>
      <c r="B3772" s="100"/>
      <c r="C3772" s="100"/>
      <c r="D3772" s="100"/>
      <c r="E3772" s="100"/>
      <c r="F3772" s="100"/>
      <c r="G3772" s="100"/>
      <c r="H3772" s="100"/>
      <c r="I3772" s="100"/>
      <c r="J3772" s="100"/>
      <c r="K3772" s="100"/>
      <c r="L3772" s="100"/>
      <c r="M3772" s="100"/>
      <c r="N3772" s="100"/>
      <c r="O3772" s="100"/>
      <c r="P3772" s="100"/>
      <c r="Q3772" s="100"/>
      <c r="R3772" s="100"/>
      <c r="S3772" s="100"/>
      <c r="T3772" s="100"/>
      <c r="U3772" s="100"/>
      <c r="V3772" s="100"/>
      <c r="W3772" s="100"/>
      <c r="X3772" s="100"/>
      <c r="Y3772" s="100"/>
      <c r="Z3772" s="100"/>
    </row>
    <row r="3773" spans="1:26">
      <c r="A3773" s="100"/>
      <c r="B3773" s="100"/>
      <c r="C3773" s="100"/>
      <c r="D3773" s="100"/>
      <c r="E3773" s="100"/>
      <c r="F3773" s="100"/>
      <c r="G3773" s="100"/>
      <c r="H3773" s="100"/>
      <c r="I3773" s="100"/>
      <c r="J3773" s="100"/>
      <c r="K3773" s="100"/>
      <c r="L3773" s="100"/>
      <c r="M3773" s="100"/>
      <c r="N3773" s="100"/>
      <c r="O3773" s="100"/>
      <c r="P3773" s="100"/>
      <c r="Q3773" s="100"/>
      <c r="R3773" s="100"/>
      <c r="S3773" s="100"/>
      <c r="T3773" s="100"/>
      <c r="U3773" s="100"/>
      <c r="V3773" s="100"/>
      <c r="W3773" s="100"/>
      <c r="X3773" s="100"/>
      <c r="Y3773" s="100"/>
      <c r="Z3773" s="100"/>
    </row>
    <row r="3774" spans="1:26">
      <c r="A3774" s="100"/>
      <c r="B3774" s="100"/>
      <c r="C3774" s="100"/>
      <c r="D3774" s="100"/>
      <c r="E3774" s="100"/>
      <c r="F3774" s="100"/>
      <c r="G3774" s="100"/>
      <c r="H3774" s="100"/>
      <c r="I3774" s="100"/>
      <c r="J3774" s="100"/>
      <c r="K3774" s="100"/>
      <c r="L3774" s="100"/>
      <c r="M3774" s="100"/>
      <c r="N3774" s="100"/>
      <c r="O3774" s="100"/>
      <c r="P3774" s="100"/>
      <c r="Q3774" s="100"/>
      <c r="R3774" s="100"/>
      <c r="S3774" s="100"/>
      <c r="T3774" s="100"/>
      <c r="U3774" s="100"/>
      <c r="V3774" s="100"/>
      <c r="W3774" s="100"/>
      <c r="X3774" s="100"/>
      <c r="Y3774" s="100"/>
      <c r="Z3774" s="100"/>
    </row>
    <row r="3775" spans="1:26">
      <c r="A3775" s="100"/>
      <c r="B3775" s="100"/>
      <c r="C3775" s="100"/>
      <c r="D3775" s="100"/>
      <c r="E3775" s="100"/>
      <c r="F3775" s="100"/>
      <c r="G3775" s="100"/>
      <c r="H3775" s="100"/>
      <c r="I3775" s="100"/>
      <c r="J3775" s="100"/>
      <c r="K3775" s="100"/>
      <c r="L3775" s="100"/>
      <c r="M3775" s="100"/>
      <c r="N3775" s="100"/>
      <c r="O3775" s="100"/>
      <c r="P3775" s="100"/>
      <c r="Q3775" s="100"/>
      <c r="R3775" s="100"/>
      <c r="S3775" s="100"/>
      <c r="T3775" s="100"/>
      <c r="U3775" s="100"/>
      <c r="V3775" s="100"/>
      <c r="W3775" s="100"/>
      <c r="X3775" s="100"/>
      <c r="Y3775" s="100"/>
      <c r="Z3775" s="100"/>
    </row>
    <row r="3776" spans="1:26">
      <c r="A3776" s="100"/>
      <c r="B3776" s="100"/>
      <c r="C3776" s="100"/>
      <c r="D3776" s="100"/>
      <c r="E3776" s="100"/>
      <c r="F3776" s="100"/>
      <c r="G3776" s="100"/>
      <c r="H3776" s="100"/>
      <c r="I3776" s="100"/>
      <c r="J3776" s="100"/>
      <c r="K3776" s="100"/>
      <c r="L3776" s="100"/>
      <c r="M3776" s="100"/>
      <c r="N3776" s="100"/>
      <c r="O3776" s="100"/>
      <c r="P3776" s="100"/>
      <c r="Q3776" s="100"/>
      <c r="R3776" s="100"/>
      <c r="S3776" s="100"/>
      <c r="T3776" s="100"/>
      <c r="U3776" s="100"/>
      <c r="V3776" s="100"/>
      <c r="W3776" s="100"/>
      <c r="X3776" s="100"/>
      <c r="Y3776" s="100"/>
      <c r="Z3776" s="100"/>
    </row>
    <row r="3777" spans="1:26">
      <c r="A3777" s="100"/>
      <c r="B3777" s="100"/>
      <c r="C3777" s="100"/>
      <c r="D3777" s="100"/>
      <c r="E3777" s="100"/>
      <c r="F3777" s="100"/>
      <c r="G3777" s="100"/>
      <c r="H3777" s="100"/>
      <c r="I3777" s="100"/>
      <c r="J3777" s="100"/>
      <c r="K3777" s="100"/>
      <c r="L3777" s="100"/>
      <c r="M3777" s="100"/>
      <c r="N3777" s="100"/>
      <c r="O3777" s="100"/>
      <c r="P3777" s="100"/>
      <c r="Q3777" s="100"/>
      <c r="R3777" s="100"/>
      <c r="S3777" s="100"/>
      <c r="T3777" s="100"/>
      <c r="U3777" s="100"/>
      <c r="V3777" s="100"/>
      <c r="W3777" s="100"/>
      <c r="X3777" s="100"/>
      <c r="Y3777" s="100"/>
      <c r="Z3777" s="100"/>
    </row>
    <row r="3778" spans="1:26">
      <c r="A3778" s="100"/>
      <c r="B3778" s="100"/>
      <c r="C3778" s="100"/>
      <c r="D3778" s="100"/>
      <c r="E3778" s="100"/>
      <c r="F3778" s="100"/>
      <c r="G3778" s="100"/>
      <c r="H3778" s="100"/>
      <c r="I3778" s="100"/>
      <c r="J3778" s="100"/>
      <c r="K3778" s="100"/>
      <c r="L3778" s="100"/>
      <c r="M3778" s="100"/>
      <c r="N3778" s="100"/>
      <c r="O3778" s="100"/>
      <c r="P3778" s="100"/>
      <c r="Q3778" s="100"/>
      <c r="R3778" s="100"/>
      <c r="S3778" s="100"/>
      <c r="T3778" s="100"/>
      <c r="U3778" s="100"/>
      <c r="V3778" s="100"/>
      <c r="W3778" s="100"/>
      <c r="X3778" s="100"/>
      <c r="Y3778" s="100"/>
      <c r="Z3778" s="100"/>
    </row>
    <row r="3779" spans="1:26">
      <c r="A3779" s="100"/>
      <c r="B3779" s="100"/>
      <c r="C3779" s="100"/>
      <c r="D3779" s="100"/>
      <c r="E3779" s="100"/>
      <c r="F3779" s="100"/>
      <c r="G3779" s="100"/>
      <c r="H3779" s="100"/>
      <c r="I3779" s="100"/>
      <c r="J3779" s="100"/>
      <c r="K3779" s="100"/>
      <c r="L3779" s="100"/>
      <c r="M3779" s="100"/>
      <c r="N3779" s="100"/>
      <c r="O3779" s="100"/>
      <c r="P3779" s="100"/>
      <c r="Q3779" s="100"/>
      <c r="R3779" s="100"/>
      <c r="S3779" s="100"/>
      <c r="T3779" s="100"/>
      <c r="U3779" s="100"/>
      <c r="V3779" s="100"/>
      <c r="W3779" s="100"/>
      <c r="X3779" s="100"/>
      <c r="Y3779" s="100"/>
      <c r="Z3779" s="100"/>
    </row>
    <row r="3780" spans="1:26">
      <c r="A3780" s="100"/>
      <c r="B3780" s="100"/>
      <c r="C3780" s="100"/>
      <c r="D3780" s="100"/>
      <c r="E3780" s="100"/>
      <c r="F3780" s="100"/>
      <c r="G3780" s="100"/>
      <c r="H3780" s="100"/>
      <c r="I3780" s="100"/>
      <c r="J3780" s="100"/>
      <c r="K3780" s="100"/>
      <c r="L3780" s="100"/>
      <c r="M3780" s="100"/>
      <c r="N3780" s="100"/>
      <c r="O3780" s="100"/>
      <c r="P3780" s="100"/>
      <c r="Q3780" s="100"/>
      <c r="R3780" s="100"/>
      <c r="S3780" s="100"/>
      <c r="T3780" s="100"/>
      <c r="U3780" s="100"/>
      <c r="V3780" s="100"/>
      <c r="W3780" s="100"/>
      <c r="X3780" s="100"/>
      <c r="Y3780" s="100"/>
      <c r="Z3780" s="100"/>
    </row>
    <row r="3781" spans="1:26">
      <c r="A3781" s="100"/>
      <c r="B3781" s="100"/>
      <c r="C3781" s="100"/>
      <c r="D3781" s="100"/>
      <c r="E3781" s="100"/>
      <c r="F3781" s="100"/>
      <c r="G3781" s="100"/>
      <c r="H3781" s="100"/>
      <c r="I3781" s="100"/>
      <c r="J3781" s="100"/>
      <c r="K3781" s="100"/>
      <c r="L3781" s="100"/>
      <c r="M3781" s="100"/>
      <c r="N3781" s="100"/>
      <c r="O3781" s="100"/>
      <c r="P3781" s="100"/>
      <c r="Q3781" s="100"/>
      <c r="R3781" s="100"/>
      <c r="S3781" s="100"/>
      <c r="T3781" s="100"/>
      <c r="U3781" s="100"/>
      <c r="V3781" s="100"/>
      <c r="W3781" s="100"/>
      <c r="X3781" s="100"/>
      <c r="Y3781" s="100"/>
      <c r="Z3781" s="100"/>
    </row>
    <row r="3782" spans="1:26">
      <c r="A3782" s="100"/>
      <c r="B3782" s="100"/>
      <c r="C3782" s="100"/>
      <c r="D3782" s="100"/>
      <c r="E3782" s="100"/>
      <c r="F3782" s="100"/>
      <c r="G3782" s="100"/>
      <c r="H3782" s="100"/>
      <c r="I3782" s="100"/>
      <c r="J3782" s="100"/>
      <c r="K3782" s="100"/>
      <c r="L3782" s="100"/>
      <c r="M3782" s="100"/>
      <c r="N3782" s="100"/>
      <c r="O3782" s="100"/>
      <c r="P3782" s="100"/>
      <c r="Q3782" s="100"/>
      <c r="R3782" s="100"/>
      <c r="S3782" s="100"/>
      <c r="T3782" s="100"/>
      <c r="U3782" s="100"/>
      <c r="V3782" s="100"/>
      <c r="W3782" s="100"/>
      <c r="X3782" s="100"/>
      <c r="Y3782" s="100"/>
      <c r="Z3782" s="100"/>
    </row>
    <row r="3783" spans="1:26">
      <c r="A3783" s="100"/>
      <c r="B3783" s="100"/>
      <c r="C3783" s="100"/>
      <c r="D3783" s="100"/>
      <c r="E3783" s="100"/>
      <c r="F3783" s="100"/>
      <c r="G3783" s="100"/>
      <c r="H3783" s="100"/>
      <c r="I3783" s="100"/>
      <c r="J3783" s="100"/>
      <c r="K3783" s="100"/>
      <c r="L3783" s="100"/>
      <c r="M3783" s="100"/>
      <c r="N3783" s="100"/>
      <c r="O3783" s="100"/>
      <c r="P3783" s="100"/>
      <c r="Q3783" s="100"/>
      <c r="R3783" s="100"/>
      <c r="S3783" s="100"/>
      <c r="T3783" s="100"/>
      <c r="U3783" s="100"/>
      <c r="V3783" s="100"/>
      <c r="W3783" s="100"/>
      <c r="X3783" s="100"/>
      <c r="Y3783" s="100"/>
      <c r="Z3783" s="100"/>
    </row>
    <row r="3784" spans="1:26">
      <c r="A3784" s="100"/>
      <c r="B3784" s="100"/>
      <c r="C3784" s="100"/>
      <c r="D3784" s="100"/>
      <c r="E3784" s="100"/>
      <c r="F3784" s="100"/>
      <c r="G3784" s="100"/>
      <c r="H3784" s="100"/>
      <c r="I3784" s="100"/>
      <c r="J3784" s="100"/>
      <c r="K3784" s="100"/>
      <c r="L3784" s="100"/>
      <c r="M3784" s="100"/>
      <c r="N3784" s="100"/>
      <c r="O3784" s="100"/>
      <c r="P3784" s="100"/>
      <c r="Q3784" s="100"/>
      <c r="R3784" s="100"/>
      <c r="S3784" s="100"/>
      <c r="T3784" s="100"/>
      <c r="U3784" s="100"/>
      <c r="V3784" s="100"/>
      <c r="W3784" s="100"/>
      <c r="X3784" s="100"/>
      <c r="Y3784" s="100"/>
      <c r="Z3784" s="100"/>
    </row>
    <row r="3785" spans="1:26">
      <c r="A3785" s="100"/>
      <c r="B3785" s="100"/>
      <c r="C3785" s="100"/>
      <c r="D3785" s="100"/>
      <c r="E3785" s="100"/>
      <c r="F3785" s="100"/>
      <c r="G3785" s="100"/>
      <c r="H3785" s="100"/>
      <c r="I3785" s="100"/>
      <c r="J3785" s="100"/>
      <c r="K3785" s="100"/>
      <c r="L3785" s="100"/>
      <c r="M3785" s="100"/>
      <c r="N3785" s="100"/>
      <c r="O3785" s="100"/>
      <c r="P3785" s="100"/>
      <c r="Q3785" s="100"/>
      <c r="R3785" s="100"/>
      <c r="S3785" s="100"/>
      <c r="T3785" s="100"/>
      <c r="U3785" s="100"/>
      <c r="V3785" s="100"/>
      <c r="W3785" s="100"/>
      <c r="X3785" s="100"/>
      <c r="Y3785" s="100"/>
      <c r="Z3785" s="100"/>
    </row>
    <row r="3786" spans="1:26">
      <c r="A3786" s="100"/>
      <c r="B3786" s="100"/>
      <c r="C3786" s="100"/>
      <c r="D3786" s="100"/>
      <c r="E3786" s="100"/>
      <c r="F3786" s="100"/>
      <c r="G3786" s="100"/>
      <c r="H3786" s="100"/>
      <c r="I3786" s="100"/>
      <c r="J3786" s="100"/>
      <c r="K3786" s="100"/>
      <c r="L3786" s="100"/>
      <c r="M3786" s="100"/>
      <c r="N3786" s="100"/>
      <c r="O3786" s="100"/>
      <c r="P3786" s="100"/>
      <c r="Q3786" s="100"/>
      <c r="R3786" s="100"/>
      <c r="S3786" s="100"/>
      <c r="T3786" s="100"/>
      <c r="U3786" s="100"/>
      <c r="V3786" s="100"/>
      <c r="W3786" s="100"/>
      <c r="X3786" s="100"/>
      <c r="Y3786" s="100"/>
      <c r="Z3786" s="100"/>
    </row>
    <row r="3787" spans="1:26">
      <c r="A3787" s="100"/>
      <c r="B3787" s="100"/>
      <c r="C3787" s="100"/>
      <c r="D3787" s="100"/>
      <c r="E3787" s="100"/>
      <c r="F3787" s="100"/>
      <c r="G3787" s="100"/>
      <c r="H3787" s="100"/>
      <c r="I3787" s="100"/>
      <c r="J3787" s="100"/>
      <c r="K3787" s="100"/>
      <c r="L3787" s="100"/>
      <c r="M3787" s="100"/>
      <c r="N3787" s="100"/>
      <c r="O3787" s="100"/>
      <c r="P3787" s="100"/>
      <c r="Q3787" s="100"/>
      <c r="R3787" s="100"/>
      <c r="S3787" s="100"/>
      <c r="T3787" s="100"/>
      <c r="U3787" s="100"/>
      <c r="V3787" s="100"/>
      <c r="W3787" s="100"/>
      <c r="X3787" s="100"/>
      <c r="Y3787" s="100"/>
      <c r="Z3787" s="100"/>
    </row>
    <row r="3788" spans="1:26">
      <c r="A3788" s="100"/>
      <c r="B3788" s="100"/>
      <c r="C3788" s="100"/>
      <c r="D3788" s="100"/>
      <c r="E3788" s="100"/>
      <c r="F3788" s="100"/>
      <c r="G3788" s="100"/>
      <c r="H3788" s="100"/>
      <c r="I3788" s="100"/>
      <c r="J3788" s="100"/>
      <c r="K3788" s="100"/>
      <c r="L3788" s="100"/>
      <c r="M3788" s="100"/>
      <c r="N3788" s="100"/>
      <c r="O3788" s="100"/>
      <c r="P3788" s="100"/>
      <c r="Q3788" s="100"/>
      <c r="R3788" s="100"/>
      <c r="S3788" s="100"/>
      <c r="T3788" s="100"/>
      <c r="U3788" s="100"/>
      <c r="V3788" s="100"/>
      <c r="W3788" s="100"/>
      <c r="X3788" s="100"/>
      <c r="Y3788" s="100"/>
      <c r="Z3788" s="100"/>
    </row>
    <row r="3789" spans="1:26">
      <c r="A3789" s="100"/>
      <c r="B3789" s="100"/>
      <c r="C3789" s="100"/>
      <c r="D3789" s="100"/>
      <c r="E3789" s="100"/>
      <c r="F3789" s="100"/>
      <c r="G3789" s="100"/>
      <c r="H3789" s="100"/>
      <c r="I3789" s="100"/>
      <c r="J3789" s="100"/>
      <c r="K3789" s="100"/>
      <c r="L3789" s="100"/>
      <c r="M3789" s="100"/>
      <c r="N3789" s="100"/>
      <c r="O3789" s="100"/>
      <c r="P3789" s="100"/>
      <c r="Q3789" s="100"/>
      <c r="R3789" s="100"/>
      <c r="S3789" s="100"/>
      <c r="T3789" s="100"/>
      <c r="U3789" s="100"/>
      <c r="V3789" s="100"/>
      <c r="W3789" s="100"/>
      <c r="X3789" s="100"/>
      <c r="Y3789" s="100"/>
      <c r="Z3789" s="100"/>
    </row>
    <row r="3790" spans="1:26">
      <c r="A3790" s="100"/>
      <c r="B3790" s="100"/>
      <c r="C3790" s="100"/>
      <c r="D3790" s="100"/>
      <c r="E3790" s="100"/>
      <c r="F3790" s="100"/>
      <c r="G3790" s="100"/>
      <c r="H3790" s="100"/>
      <c r="I3790" s="100"/>
      <c r="J3790" s="100"/>
      <c r="K3790" s="100"/>
      <c r="L3790" s="100"/>
      <c r="M3790" s="100"/>
      <c r="N3790" s="100"/>
      <c r="O3790" s="100"/>
      <c r="P3790" s="100"/>
      <c r="Q3790" s="100"/>
      <c r="R3790" s="100"/>
      <c r="S3790" s="100"/>
      <c r="T3790" s="100"/>
      <c r="U3790" s="100"/>
      <c r="V3790" s="100"/>
      <c r="W3790" s="100"/>
      <c r="X3790" s="100"/>
      <c r="Y3790" s="100"/>
      <c r="Z3790" s="100"/>
    </row>
    <row r="3791" spans="1:26">
      <c r="A3791" s="100"/>
      <c r="B3791" s="100"/>
      <c r="C3791" s="100"/>
      <c r="D3791" s="100"/>
      <c r="E3791" s="100"/>
      <c r="F3791" s="100"/>
      <c r="G3791" s="100"/>
      <c r="H3791" s="100"/>
      <c r="I3791" s="100"/>
      <c r="J3791" s="100"/>
      <c r="K3791" s="100"/>
      <c r="L3791" s="100"/>
      <c r="M3791" s="100"/>
      <c r="N3791" s="100"/>
      <c r="O3791" s="100"/>
      <c r="P3791" s="100"/>
      <c r="Q3791" s="100"/>
      <c r="R3791" s="100"/>
      <c r="S3791" s="100"/>
      <c r="T3791" s="100"/>
      <c r="U3791" s="100"/>
      <c r="V3791" s="100"/>
      <c r="W3791" s="100"/>
      <c r="X3791" s="100"/>
      <c r="Y3791" s="100"/>
      <c r="Z3791" s="100"/>
    </row>
    <row r="3792" spans="1:26">
      <c r="A3792" s="100"/>
      <c r="B3792" s="100"/>
      <c r="C3792" s="100"/>
      <c r="D3792" s="100"/>
      <c r="E3792" s="100"/>
      <c r="F3792" s="100"/>
      <c r="G3792" s="100"/>
      <c r="H3792" s="100"/>
      <c r="I3792" s="100"/>
      <c r="J3792" s="100"/>
      <c r="K3792" s="100"/>
      <c r="L3792" s="100"/>
      <c r="M3792" s="100"/>
      <c r="N3792" s="100"/>
      <c r="O3792" s="100"/>
      <c r="P3792" s="100"/>
      <c r="Q3792" s="100"/>
      <c r="R3792" s="100"/>
      <c r="S3792" s="100"/>
      <c r="T3792" s="100"/>
      <c r="U3792" s="100"/>
      <c r="V3792" s="100"/>
      <c r="W3792" s="100"/>
      <c r="X3792" s="100"/>
      <c r="Y3792" s="100"/>
      <c r="Z3792" s="100"/>
    </row>
    <row r="3793" spans="1:26">
      <c r="A3793" s="100"/>
      <c r="B3793" s="100"/>
      <c r="C3793" s="100"/>
      <c r="D3793" s="100"/>
      <c r="E3793" s="100"/>
      <c r="F3793" s="100"/>
      <c r="G3793" s="100"/>
      <c r="H3793" s="100"/>
      <c r="I3793" s="100"/>
      <c r="J3793" s="100"/>
      <c r="K3793" s="100"/>
      <c r="L3793" s="100"/>
      <c r="M3793" s="100"/>
      <c r="N3793" s="100"/>
      <c r="O3793" s="100"/>
      <c r="P3793" s="100"/>
      <c r="Q3793" s="100"/>
      <c r="R3793" s="100"/>
      <c r="S3793" s="100"/>
      <c r="T3793" s="100"/>
      <c r="U3793" s="100"/>
      <c r="V3793" s="100"/>
      <c r="W3793" s="100"/>
      <c r="X3793" s="100"/>
      <c r="Y3793" s="100"/>
      <c r="Z3793" s="100"/>
    </row>
    <row r="3794" spans="1:26">
      <c r="A3794" s="100"/>
      <c r="B3794" s="100"/>
      <c r="C3794" s="100"/>
      <c r="D3794" s="100"/>
      <c r="E3794" s="100"/>
      <c r="F3794" s="100"/>
      <c r="G3794" s="100"/>
      <c r="H3794" s="100"/>
      <c r="I3794" s="100"/>
      <c r="J3794" s="100"/>
      <c r="K3794" s="100"/>
      <c r="L3794" s="100"/>
      <c r="M3794" s="100"/>
      <c r="N3794" s="100"/>
      <c r="O3794" s="100"/>
      <c r="P3794" s="100"/>
      <c r="Q3794" s="100"/>
      <c r="R3794" s="100"/>
      <c r="S3794" s="100"/>
      <c r="T3794" s="100"/>
      <c r="U3794" s="100"/>
      <c r="V3794" s="100"/>
      <c r="W3794" s="100"/>
      <c r="X3794" s="100"/>
      <c r="Y3794" s="100"/>
      <c r="Z3794" s="100"/>
    </row>
    <row r="3795" spans="1:26">
      <c r="A3795" s="100"/>
      <c r="B3795" s="100"/>
      <c r="C3795" s="100"/>
      <c r="D3795" s="100"/>
      <c r="E3795" s="100"/>
      <c r="F3795" s="100"/>
      <c r="G3795" s="100"/>
      <c r="H3795" s="100"/>
      <c r="I3795" s="100"/>
      <c r="J3795" s="100"/>
      <c r="K3795" s="100"/>
      <c r="L3795" s="100"/>
      <c r="M3795" s="100"/>
      <c r="N3795" s="100"/>
      <c r="O3795" s="100"/>
      <c r="P3795" s="100"/>
      <c r="Q3795" s="100"/>
      <c r="R3795" s="100"/>
      <c r="S3795" s="100"/>
      <c r="T3795" s="100"/>
      <c r="U3795" s="100"/>
      <c r="V3795" s="100"/>
      <c r="W3795" s="100"/>
      <c r="X3795" s="100"/>
      <c r="Y3795" s="100"/>
      <c r="Z3795" s="100"/>
    </row>
    <row r="3796" spans="1:26">
      <c r="A3796" s="100"/>
      <c r="B3796" s="100"/>
      <c r="C3796" s="100"/>
      <c r="D3796" s="100"/>
      <c r="E3796" s="100"/>
      <c r="F3796" s="100"/>
      <c r="G3796" s="100"/>
      <c r="H3796" s="100"/>
      <c r="I3796" s="100"/>
      <c r="J3796" s="100"/>
      <c r="K3796" s="100"/>
      <c r="L3796" s="100"/>
      <c r="M3796" s="100"/>
      <c r="N3796" s="100"/>
      <c r="O3796" s="100"/>
      <c r="P3796" s="100"/>
      <c r="Q3796" s="100"/>
      <c r="R3796" s="100"/>
      <c r="S3796" s="100"/>
      <c r="T3796" s="100"/>
      <c r="U3796" s="100"/>
      <c r="V3796" s="100"/>
      <c r="W3796" s="100"/>
      <c r="X3796" s="100"/>
      <c r="Y3796" s="100"/>
      <c r="Z3796" s="100"/>
    </row>
    <row r="3797" spans="1:26">
      <c r="A3797" s="100"/>
      <c r="B3797" s="100"/>
      <c r="C3797" s="100"/>
      <c r="D3797" s="100"/>
      <c r="E3797" s="100"/>
      <c r="F3797" s="100"/>
      <c r="G3797" s="100"/>
      <c r="H3797" s="100"/>
      <c r="I3797" s="100"/>
      <c r="J3797" s="100"/>
      <c r="K3797" s="100"/>
      <c r="L3797" s="100"/>
      <c r="M3797" s="100"/>
      <c r="N3797" s="100"/>
      <c r="O3797" s="100"/>
      <c r="P3797" s="100"/>
      <c r="Q3797" s="100"/>
      <c r="R3797" s="100"/>
      <c r="S3797" s="100"/>
      <c r="T3797" s="100"/>
      <c r="U3797" s="100"/>
      <c r="V3797" s="100"/>
      <c r="W3797" s="100"/>
      <c r="X3797" s="100"/>
      <c r="Y3797" s="100"/>
      <c r="Z3797" s="100"/>
    </row>
    <row r="3798" spans="1:26">
      <c r="A3798" s="100"/>
      <c r="B3798" s="100"/>
      <c r="C3798" s="100"/>
      <c r="D3798" s="100"/>
      <c r="E3798" s="100"/>
      <c r="F3798" s="100"/>
      <c r="G3798" s="100"/>
      <c r="H3798" s="100"/>
      <c r="I3798" s="100"/>
      <c r="J3798" s="100"/>
      <c r="K3798" s="100"/>
      <c r="L3798" s="100"/>
      <c r="M3798" s="100"/>
      <c r="N3798" s="100"/>
      <c r="O3798" s="100"/>
      <c r="P3798" s="100"/>
      <c r="Q3798" s="100"/>
      <c r="R3798" s="100"/>
      <c r="S3798" s="100"/>
      <c r="T3798" s="100"/>
      <c r="U3798" s="100"/>
      <c r="V3798" s="100"/>
      <c r="W3798" s="100"/>
      <c r="X3798" s="100"/>
      <c r="Y3798" s="100"/>
      <c r="Z3798" s="100"/>
    </row>
    <row r="3799" spans="1:26">
      <c r="A3799" s="100"/>
      <c r="B3799" s="100"/>
      <c r="C3799" s="100"/>
      <c r="D3799" s="100"/>
      <c r="E3799" s="100"/>
      <c r="F3799" s="100"/>
      <c r="G3799" s="100"/>
      <c r="H3799" s="100"/>
      <c r="I3799" s="100"/>
      <c r="J3799" s="100"/>
      <c r="K3799" s="100"/>
      <c r="L3799" s="100"/>
      <c r="M3799" s="100"/>
      <c r="N3799" s="100"/>
      <c r="O3799" s="100"/>
      <c r="P3799" s="100"/>
      <c r="Q3799" s="100"/>
      <c r="R3799" s="100"/>
      <c r="S3799" s="100"/>
      <c r="T3799" s="100"/>
      <c r="U3799" s="100"/>
      <c r="V3799" s="100"/>
      <c r="W3799" s="100"/>
      <c r="X3799" s="100"/>
      <c r="Y3799" s="100"/>
      <c r="Z3799" s="100"/>
    </row>
    <row r="3800" spans="1:26">
      <c r="A3800" s="100"/>
      <c r="B3800" s="100"/>
      <c r="C3800" s="100"/>
      <c r="D3800" s="100"/>
      <c r="E3800" s="100"/>
      <c r="F3800" s="100"/>
      <c r="G3800" s="100"/>
      <c r="H3800" s="100"/>
      <c r="I3800" s="100"/>
      <c r="J3800" s="100"/>
      <c r="K3800" s="100"/>
      <c r="L3800" s="100"/>
      <c r="M3800" s="100"/>
      <c r="N3800" s="100"/>
      <c r="O3800" s="100"/>
      <c r="P3800" s="100"/>
      <c r="Q3800" s="100"/>
      <c r="R3800" s="100"/>
      <c r="S3800" s="100"/>
      <c r="T3800" s="100"/>
      <c r="U3800" s="100"/>
      <c r="V3800" s="100"/>
      <c r="W3800" s="100"/>
      <c r="X3800" s="100"/>
      <c r="Y3800" s="100"/>
      <c r="Z3800" s="100"/>
    </row>
    <row r="3801" spans="1:26">
      <c r="A3801" s="100"/>
      <c r="B3801" s="100"/>
      <c r="C3801" s="100"/>
      <c r="D3801" s="100"/>
      <c r="E3801" s="100"/>
      <c r="F3801" s="100"/>
      <c r="G3801" s="100"/>
      <c r="H3801" s="100"/>
      <c r="I3801" s="100"/>
      <c r="J3801" s="100"/>
      <c r="K3801" s="100"/>
      <c r="L3801" s="100"/>
      <c r="M3801" s="100"/>
      <c r="N3801" s="100"/>
      <c r="O3801" s="100"/>
      <c r="P3801" s="100"/>
      <c r="Q3801" s="100"/>
      <c r="R3801" s="100"/>
      <c r="S3801" s="100"/>
      <c r="T3801" s="100"/>
      <c r="U3801" s="100"/>
      <c r="V3801" s="100"/>
      <c r="W3801" s="100"/>
      <c r="X3801" s="100"/>
      <c r="Y3801" s="100"/>
      <c r="Z3801" s="100"/>
    </row>
    <row r="3802" spans="1:26">
      <c r="A3802" s="100"/>
      <c r="B3802" s="100"/>
      <c r="C3802" s="100"/>
      <c r="D3802" s="100"/>
      <c r="E3802" s="100"/>
      <c r="F3802" s="100"/>
      <c r="G3802" s="100"/>
      <c r="H3802" s="100"/>
      <c r="I3802" s="100"/>
      <c r="J3802" s="100"/>
      <c r="K3802" s="100"/>
      <c r="L3802" s="100"/>
      <c r="M3802" s="100"/>
      <c r="N3802" s="100"/>
      <c r="O3802" s="100"/>
      <c r="P3802" s="100"/>
      <c r="Q3802" s="100"/>
      <c r="R3802" s="100"/>
      <c r="S3802" s="100"/>
      <c r="T3802" s="100"/>
      <c r="U3802" s="100"/>
      <c r="V3802" s="100"/>
      <c r="W3802" s="100"/>
      <c r="X3802" s="100"/>
      <c r="Y3802" s="100"/>
      <c r="Z3802" s="100"/>
    </row>
    <row r="3803" spans="1:26">
      <c r="A3803" s="100"/>
      <c r="B3803" s="100"/>
      <c r="C3803" s="100"/>
      <c r="D3803" s="100"/>
      <c r="E3803" s="100"/>
      <c r="F3803" s="100"/>
      <c r="G3803" s="100"/>
      <c r="H3803" s="100"/>
      <c r="I3803" s="100"/>
      <c r="J3803" s="100"/>
      <c r="K3803" s="100"/>
      <c r="L3803" s="100"/>
      <c r="M3803" s="100"/>
      <c r="N3803" s="100"/>
      <c r="O3803" s="100"/>
      <c r="P3803" s="100"/>
      <c r="Q3803" s="100"/>
      <c r="R3803" s="100"/>
      <c r="S3803" s="100"/>
      <c r="T3803" s="100"/>
      <c r="U3803" s="100"/>
      <c r="V3803" s="100"/>
      <c r="W3803" s="100"/>
      <c r="X3803" s="100"/>
      <c r="Y3803" s="100"/>
      <c r="Z3803" s="100"/>
    </row>
    <row r="3804" spans="1:26">
      <c r="A3804" s="100"/>
      <c r="B3804" s="100"/>
      <c r="C3804" s="100"/>
      <c r="D3804" s="100"/>
      <c r="E3804" s="100"/>
      <c r="F3804" s="100"/>
      <c r="G3804" s="100"/>
      <c r="H3804" s="100"/>
      <c r="I3804" s="100"/>
      <c r="J3804" s="100"/>
      <c r="K3804" s="100"/>
      <c r="L3804" s="100"/>
      <c r="M3804" s="100"/>
      <c r="N3804" s="100"/>
      <c r="O3804" s="100"/>
      <c r="P3804" s="100"/>
      <c r="Q3804" s="100"/>
      <c r="R3804" s="100"/>
      <c r="S3804" s="100"/>
      <c r="T3804" s="100"/>
      <c r="U3804" s="100"/>
      <c r="V3804" s="100"/>
      <c r="W3804" s="100"/>
      <c r="X3804" s="100"/>
      <c r="Y3804" s="100"/>
      <c r="Z3804" s="100"/>
    </row>
    <row r="3805" spans="1:26">
      <c r="A3805" s="100"/>
      <c r="B3805" s="100"/>
      <c r="C3805" s="100"/>
      <c r="D3805" s="100"/>
      <c r="E3805" s="100"/>
      <c r="F3805" s="100"/>
      <c r="G3805" s="100"/>
      <c r="H3805" s="100"/>
      <c r="I3805" s="100"/>
      <c r="J3805" s="100"/>
      <c r="K3805" s="100"/>
      <c r="L3805" s="100"/>
      <c r="M3805" s="100"/>
      <c r="N3805" s="100"/>
      <c r="O3805" s="100"/>
      <c r="P3805" s="100"/>
      <c r="Q3805" s="100"/>
      <c r="R3805" s="100"/>
      <c r="S3805" s="100"/>
      <c r="T3805" s="100"/>
      <c r="U3805" s="100"/>
      <c r="V3805" s="100"/>
      <c r="W3805" s="100"/>
      <c r="X3805" s="100"/>
      <c r="Y3805" s="100"/>
      <c r="Z3805" s="100"/>
    </row>
    <row r="3806" spans="1:26">
      <c r="A3806" s="100"/>
      <c r="B3806" s="100"/>
      <c r="C3806" s="100"/>
      <c r="D3806" s="100"/>
      <c r="E3806" s="100"/>
      <c r="F3806" s="100"/>
      <c r="G3806" s="100"/>
      <c r="H3806" s="100"/>
      <c r="I3806" s="100"/>
      <c r="J3806" s="100"/>
      <c r="K3806" s="100"/>
      <c r="L3806" s="100"/>
      <c r="M3806" s="100"/>
      <c r="N3806" s="100"/>
      <c r="O3806" s="100"/>
      <c r="P3806" s="100"/>
      <c r="Q3806" s="100"/>
      <c r="R3806" s="100"/>
      <c r="S3806" s="100"/>
      <c r="T3806" s="100"/>
      <c r="U3806" s="100"/>
      <c r="V3806" s="100"/>
      <c r="W3806" s="100"/>
      <c r="X3806" s="100"/>
      <c r="Y3806" s="100"/>
      <c r="Z3806" s="100"/>
    </row>
    <row r="3807" spans="1:26">
      <c r="A3807" s="100"/>
      <c r="B3807" s="100"/>
      <c r="C3807" s="100"/>
      <c r="D3807" s="100"/>
      <c r="E3807" s="100"/>
      <c r="F3807" s="100"/>
      <c r="G3807" s="100"/>
      <c r="H3807" s="100"/>
      <c r="I3807" s="100"/>
      <c r="J3807" s="100"/>
      <c r="K3807" s="100"/>
      <c r="L3807" s="100"/>
      <c r="M3807" s="100"/>
      <c r="N3807" s="100"/>
      <c r="O3807" s="100"/>
      <c r="P3807" s="100"/>
      <c r="Q3807" s="100"/>
      <c r="R3807" s="100"/>
      <c r="S3807" s="100"/>
      <c r="T3807" s="100"/>
      <c r="U3807" s="100"/>
      <c r="V3807" s="100"/>
      <c r="W3807" s="100"/>
      <c r="X3807" s="100"/>
      <c r="Y3807" s="100"/>
      <c r="Z3807" s="100"/>
    </row>
    <row r="3808" spans="1:26">
      <c r="A3808" s="100"/>
      <c r="B3808" s="100"/>
      <c r="C3808" s="100"/>
      <c r="D3808" s="100"/>
      <c r="E3808" s="100"/>
      <c r="F3808" s="100"/>
      <c r="G3808" s="100"/>
      <c r="H3808" s="100"/>
      <c r="I3808" s="100"/>
      <c r="J3808" s="100"/>
      <c r="K3808" s="100"/>
      <c r="L3808" s="100"/>
      <c r="M3808" s="100"/>
      <c r="N3808" s="100"/>
      <c r="O3808" s="100"/>
      <c r="P3808" s="100"/>
      <c r="Q3808" s="100"/>
      <c r="R3808" s="100"/>
      <c r="S3808" s="100"/>
      <c r="T3808" s="100"/>
      <c r="U3808" s="100"/>
      <c r="V3808" s="100"/>
      <c r="W3808" s="100"/>
      <c r="X3808" s="100"/>
      <c r="Y3808" s="100"/>
      <c r="Z3808" s="100"/>
    </row>
    <row r="3809" spans="1:26">
      <c r="A3809" s="100"/>
      <c r="B3809" s="100"/>
      <c r="C3809" s="100"/>
      <c r="D3809" s="100"/>
      <c r="E3809" s="100"/>
      <c r="F3809" s="100"/>
      <c r="G3809" s="100"/>
      <c r="H3809" s="100"/>
      <c r="I3809" s="100"/>
      <c r="J3809" s="100"/>
      <c r="K3809" s="100"/>
      <c r="L3809" s="100"/>
      <c r="M3809" s="100"/>
      <c r="N3809" s="100"/>
      <c r="O3809" s="100"/>
      <c r="P3809" s="100"/>
      <c r="Q3809" s="100"/>
      <c r="R3809" s="100"/>
      <c r="S3809" s="100"/>
      <c r="T3809" s="100"/>
      <c r="U3809" s="100"/>
      <c r="V3809" s="100"/>
      <c r="W3809" s="100"/>
      <c r="X3809" s="100"/>
      <c r="Y3809" s="100"/>
      <c r="Z3809" s="100"/>
    </row>
    <row r="3810" spans="1:26">
      <c r="A3810" s="100"/>
      <c r="B3810" s="100"/>
      <c r="C3810" s="100"/>
      <c r="D3810" s="100"/>
      <c r="E3810" s="100"/>
      <c r="F3810" s="100"/>
      <c r="G3810" s="100"/>
      <c r="H3810" s="100"/>
      <c r="I3810" s="100"/>
      <c r="J3810" s="100"/>
      <c r="K3810" s="100"/>
      <c r="L3810" s="100"/>
      <c r="M3810" s="100"/>
      <c r="N3810" s="100"/>
      <c r="O3810" s="100"/>
      <c r="P3810" s="100"/>
      <c r="Q3810" s="100"/>
      <c r="R3810" s="100"/>
      <c r="S3810" s="100"/>
      <c r="T3810" s="100"/>
      <c r="U3810" s="100"/>
      <c r="V3810" s="100"/>
      <c r="W3810" s="100"/>
      <c r="X3810" s="100"/>
      <c r="Y3810" s="100"/>
      <c r="Z3810" s="100"/>
    </row>
    <row r="3811" spans="1:26">
      <c r="A3811" s="100"/>
      <c r="B3811" s="100"/>
      <c r="C3811" s="100"/>
      <c r="D3811" s="100"/>
      <c r="E3811" s="100"/>
      <c r="F3811" s="100"/>
      <c r="G3811" s="100"/>
      <c r="H3811" s="100"/>
      <c r="I3811" s="100"/>
      <c r="J3811" s="100"/>
      <c r="K3811" s="100"/>
      <c r="L3811" s="100"/>
      <c r="M3811" s="100"/>
      <c r="N3811" s="100"/>
      <c r="O3811" s="100"/>
      <c r="P3811" s="100"/>
      <c r="Q3811" s="100"/>
      <c r="R3811" s="100"/>
      <c r="S3811" s="100"/>
      <c r="T3811" s="100"/>
      <c r="U3811" s="100"/>
      <c r="V3811" s="100"/>
      <c r="W3811" s="100"/>
      <c r="X3811" s="100"/>
      <c r="Y3811" s="100"/>
      <c r="Z3811" s="100"/>
    </row>
    <row r="3812" spans="1:26">
      <c r="A3812" s="100"/>
      <c r="B3812" s="100"/>
      <c r="C3812" s="100"/>
      <c r="D3812" s="100"/>
      <c r="E3812" s="100"/>
      <c r="F3812" s="100"/>
      <c r="G3812" s="100"/>
      <c r="H3812" s="100"/>
      <c r="I3812" s="100"/>
      <c r="J3812" s="100"/>
      <c r="K3812" s="100"/>
      <c r="L3812" s="100"/>
      <c r="M3812" s="100"/>
      <c r="N3812" s="100"/>
      <c r="O3812" s="100"/>
      <c r="P3812" s="100"/>
      <c r="Q3812" s="100"/>
      <c r="R3812" s="100"/>
      <c r="S3812" s="100"/>
      <c r="T3812" s="100"/>
      <c r="U3812" s="100"/>
      <c r="V3812" s="100"/>
      <c r="W3812" s="100"/>
      <c r="X3812" s="100"/>
      <c r="Y3812" s="100"/>
      <c r="Z3812" s="100"/>
    </row>
    <row r="3813" spans="1:26">
      <c r="A3813" s="100"/>
      <c r="B3813" s="100"/>
      <c r="C3813" s="100"/>
      <c r="D3813" s="100"/>
      <c r="E3813" s="100"/>
      <c r="F3813" s="100"/>
      <c r="G3813" s="100"/>
      <c r="H3813" s="100"/>
      <c r="I3813" s="100"/>
      <c r="J3813" s="100"/>
      <c r="K3813" s="100"/>
      <c r="L3813" s="100"/>
      <c r="M3813" s="100"/>
      <c r="N3813" s="100"/>
      <c r="O3813" s="100"/>
      <c r="P3813" s="100"/>
      <c r="Q3813" s="100"/>
      <c r="R3813" s="100"/>
      <c r="S3813" s="100"/>
      <c r="T3813" s="100"/>
      <c r="U3813" s="100"/>
      <c r="V3813" s="100"/>
      <c r="W3813" s="100"/>
      <c r="X3813" s="100"/>
      <c r="Y3813" s="100"/>
      <c r="Z3813" s="100"/>
    </row>
    <row r="3814" spans="1:26">
      <c r="A3814" s="100"/>
      <c r="B3814" s="100"/>
      <c r="C3814" s="100"/>
      <c r="D3814" s="100"/>
      <c r="E3814" s="100"/>
      <c r="F3814" s="100"/>
      <c r="G3814" s="100"/>
      <c r="H3814" s="100"/>
      <c r="I3814" s="100"/>
      <c r="J3814" s="100"/>
      <c r="K3814" s="100"/>
      <c r="L3814" s="100"/>
      <c r="M3814" s="100"/>
      <c r="N3814" s="100"/>
      <c r="O3814" s="100"/>
      <c r="P3814" s="100"/>
      <c r="Q3814" s="100"/>
      <c r="R3814" s="100"/>
      <c r="S3814" s="100"/>
      <c r="T3814" s="100"/>
      <c r="U3814" s="100"/>
      <c r="V3814" s="100"/>
      <c r="W3814" s="100"/>
      <c r="X3814" s="100"/>
      <c r="Y3814" s="100"/>
      <c r="Z3814" s="100"/>
    </row>
    <row r="3815" spans="1:26">
      <c r="A3815" s="100"/>
      <c r="B3815" s="100"/>
      <c r="C3815" s="100"/>
      <c r="D3815" s="100"/>
      <c r="E3815" s="100"/>
      <c r="F3815" s="100"/>
      <c r="G3815" s="100"/>
      <c r="H3815" s="100"/>
      <c r="I3815" s="100"/>
      <c r="J3815" s="100"/>
      <c r="K3815" s="100"/>
      <c r="L3815" s="100"/>
      <c r="M3815" s="100"/>
      <c r="N3815" s="100"/>
      <c r="O3815" s="100"/>
      <c r="P3815" s="100"/>
      <c r="Q3815" s="100"/>
      <c r="R3815" s="100"/>
      <c r="S3815" s="100"/>
      <c r="T3815" s="100"/>
      <c r="U3815" s="100"/>
      <c r="V3815" s="100"/>
      <c r="W3815" s="100"/>
      <c r="X3815" s="100"/>
      <c r="Y3815" s="100"/>
      <c r="Z3815" s="100"/>
    </row>
    <row r="3816" spans="1:26">
      <c r="A3816" s="100"/>
      <c r="B3816" s="100"/>
      <c r="C3816" s="100"/>
      <c r="D3816" s="100"/>
      <c r="E3816" s="100"/>
      <c r="F3816" s="100"/>
      <c r="G3816" s="100"/>
      <c r="H3816" s="100"/>
      <c r="I3816" s="100"/>
      <c r="J3816" s="100"/>
      <c r="K3816" s="100"/>
      <c r="L3816" s="100"/>
      <c r="M3816" s="100"/>
      <c r="N3816" s="100"/>
      <c r="O3816" s="100"/>
      <c r="P3816" s="100"/>
      <c r="Q3816" s="100"/>
      <c r="R3816" s="100"/>
      <c r="S3816" s="100"/>
      <c r="T3816" s="100"/>
      <c r="U3816" s="100"/>
      <c r="V3816" s="100"/>
      <c r="W3816" s="100"/>
      <c r="X3816" s="100"/>
      <c r="Y3816" s="100"/>
      <c r="Z3816" s="100"/>
    </row>
    <row r="3817" spans="1:26">
      <c r="A3817" s="100"/>
      <c r="B3817" s="100"/>
      <c r="C3817" s="100"/>
      <c r="D3817" s="100"/>
      <c r="E3817" s="100"/>
      <c r="F3817" s="100"/>
      <c r="G3817" s="100"/>
      <c r="H3817" s="100"/>
      <c r="I3817" s="100"/>
      <c r="J3817" s="100"/>
      <c r="K3817" s="100"/>
      <c r="L3817" s="100"/>
      <c r="M3817" s="100"/>
      <c r="N3817" s="100"/>
      <c r="O3817" s="100"/>
      <c r="P3817" s="100"/>
      <c r="Q3817" s="100"/>
      <c r="R3817" s="100"/>
      <c r="S3817" s="100"/>
      <c r="T3817" s="100"/>
      <c r="U3817" s="100"/>
      <c r="V3817" s="100"/>
      <c r="W3817" s="100"/>
      <c r="X3817" s="100"/>
      <c r="Y3817" s="100"/>
      <c r="Z3817" s="100"/>
    </row>
    <row r="3818" spans="1:26">
      <c r="A3818" s="100"/>
      <c r="B3818" s="100"/>
      <c r="C3818" s="100"/>
      <c r="D3818" s="100"/>
      <c r="E3818" s="100"/>
      <c r="F3818" s="100"/>
      <c r="G3818" s="100"/>
      <c r="H3818" s="100"/>
      <c r="I3818" s="100"/>
      <c r="J3818" s="100"/>
      <c r="K3818" s="100"/>
      <c r="L3818" s="100"/>
      <c r="M3818" s="100"/>
      <c r="N3818" s="100"/>
      <c r="O3818" s="100"/>
      <c r="P3818" s="100"/>
      <c r="Q3818" s="100"/>
      <c r="R3818" s="100"/>
      <c r="S3818" s="100"/>
      <c r="T3818" s="100"/>
      <c r="U3818" s="100"/>
      <c r="V3818" s="100"/>
      <c r="W3818" s="100"/>
      <c r="X3818" s="100"/>
      <c r="Y3818" s="100"/>
      <c r="Z3818" s="100"/>
    </row>
    <row r="3819" spans="1:26">
      <c r="A3819" s="100"/>
      <c r="B3819" s="100"/>
      <c r="C3819" s="100"/>
      <c r="D3819" s="100"/>
      <c r="E3819" s="100"/>
      <c r="F3819" s="100"/>
      <c r="G3819" s="100"/>
      <c r="H3819" s="100"/>
      <c r="I3819" s="100"/>
      <c r="J3819" s="100"/>
      <c r="K3819" s="100"/>
      <c r="L3819" s="100"/>
      <c r="M3819" s="100"/>
      <c r="N3819" s="100"/>
      <c r="O3819" s="100"/>
      <c r="P3819" s="100"/>
      <c r="Q3819" s="100"/>
      <c r="R3819" s="100"/>
      <c r="S3819" s="100"/>
      <c r="T3819" s="100"/>
      <c r="U3819" s="100"/>
      <c r="V3819" s="100"/>
      <c r="W3819" s="100"/>
      <c r="X3819" s="100"/>
      <c r="Y3819" s="100"/>
      <c r="Z3819" s="100"/>
    </row>
    <row r="3820" spans="1:26">
      <c r="A3820" s="100"/>
      <c r="B3820" s="100"/>
      <c r="C3820" s="100"/>
      <c r="D3820" s="100"/>
      <c r="E3820" s="100"/>
      <c r="F3820" s="100"/>
      <c r="G3820" s="100"/>
      <c r="H3820" s="100"/>
      <c r="I3820" s="100"/>
      <c r="J3820" s="100"/>
      <c r="K3820" s="100"/>
      <c r="L3820" s="100"/>
      <c r="M3820" s="100"/>
      <c r="N3820" s="100"/>
      <c r="O3820" s="100"/>
      <c r="P3820" s="100"/>
      <c r="Q3820" s="100"/>
      <c r="R3820" s="100"/>
      <c r="S3820" s="100"/>
      <c r="T3820" s="100"/>
      <c r="U3820" s="100"/>
      <c r="V3820" s="100"/>
      <c r="W3820" s="100"/>
      <c r="X3820" s="100"/>
      <c r="Y3820" s="100"/>
      <c r="Z3820" s="100"/>
    </row>
    <row r="3821" spans="1:26">
      <c r="A3821" s="100"/>
      <c r="B3821" s="100"/>
      <c r="C3821" s="100"/>
      <c r="D3821" s="100"/>
      <c r="E3821" s="100"/>
      <c r="F3821" s="100"/>
      <c r="G3821" s="100"/>
      <c r="H3821" s="100"/>
      <c r="I3821" s="100"/>
      <c r="J3821" s="100"/>
      <c r="K3821" s="100"/>
      <c r="L3821" s="100"/>
      <c r="M3821" s="100"/>
      <c r="N3821" s="100"/>
      <c r="O3821" s="100"/>
      <c r="P3821" s="100"/>
      <c r="Q3821" s="100"/>
      <c r="R3821" s="100"/>
      <c r="S3821" s="100"/>
      <c r="T3821" s="100"/>
      <c r="U3821" s="100"/>
      <c r="V3821" s="100"/>
      <c r="W3821" s="100"/>
      <c r="X3821" s="100"/>
      <c r="Y3821" s="100"/>
      <c r="Z3821" s="100"/>
    </row>
    <row r="3822" spans="1:26">
      <c r="A3822" s="100"/>
      <c r="B3822" s="100"/>
      <c r="C3822" s="100"/>
      <c r="D3822" s="100"/>
      <c r="E3822" s="100"/>
      <c r="F3822" s="100"/>
      <c r="G3822" s="100"/>
      <c r="H3822" s="100"/>
      <c r="I3822" s="100"/>
      <c r="J3822" s="100"/>
      <c r="K3822" s="100"/>
      <c r="L3822" s="100"/>
      <c r="M3822" s="100"/>
      <c r="N3822" s="100"/>
      <c r="O3822" s="100"/>
      <c r="P3822" s="100"/>
      <c r="Q3822" s="100"/>
      <c r="R3822" s="100"/>
      <c r="S3822" s="100"/>
      <c r="T3822" s="100"/>
      <c r="U3822" s="100"/>
      <c r="V3822" s="100"/>
      <c r="W3822" s="100"/>
      <c r="X3822" s="100"/>
      <c r="Y3822" s="100"/>
      <c r="Z3822" s="100"/>
    </row>
    <row r="3823" spans="1:26">
      <c r="A3823" s="100"/>
      <c r="B3823" s="100"/>
      <c r="C3823" s="100"/>
      <c r="D3823" s="100"/>
      <c r="E3823" s="100"/>
      <c r="F3823" s="100"/>
      <c r="G3823" s="100"/>
      <c r="H3823" s="100"/>
      <c r="I3823" s="100"/>
      <c r="J3823" s="100"/>
      <c r="K3823" s="100"/>
      <c r="L3823" s="100"/>
      <c r="M3823" s="100"/>
      <c r="N3823" s="100"/>
      <c r="O3823" s="100"/>
      <c r="P3823" s="100"/>
      <c r="Q3823" s="100"/>
      <c r="R3823" s="100"/>
      <c r="S3823" s="100"/>
      <c r="T3823" s="100"/>
      <c r="U3823" s="100"/>
      <c r="V3823" s="100"/>
      <c r="W3823" s="100"/>
      <c r="X3823" s="100"/>
      <c r="Y3823" s="100"/>
      <c r="Z3823" s="100"/>
    </row>
    <row r="3824" spans="1:26">
      <c r="A3824" s="100"/>
      <c r="B3824" s="100"/>
      <c r="C3824" s="100"/>
      <c r="D3824" s="100"/>
      <c r="E3824" s="100"/>
      <c r="F3824" s="100"/>
      <c r="G3824" s="100"/>
      <c r="H3824" s="100"/>
      <c r="I3824" s="100"/>
      <c r="J3824" s="100"/>
      <c r="K3824" s="100"/>
      <c r="L3824" s="100"/>
      <c r="M3824" s="100"/>
      <c r="N3824" s="100"/>
      <c r="O3824" s="100"/>
      <c r="P3824" s="100"/>
      <c r="Q3824" s="100"/>
      <c r="R3824" s="100"/>
      <c r="S3824" s="100"/>
      <c r="T3824" s="100"/>
      <c r="U3824" s="100"/>
      <c r="V3824" s="100"/>
      <c r="W3824" s="100"/>
      <c r="X3824" s="100"/>
      <c r="Y3824" s="100"/>
      <c r="Z3824" s="100"/>
    </row>
    <row r="3825" spans="1:26">
      <c r="A3825" s="100"/>
      <c r="B3825" s="100"/>
      <c r="C3825" s="100"/>
      <c r="D3825" s="100"/>
      <c r="E3825" s="100"/>
      <c r="F3825" s="100"/>
      <c r="G3825" s="100"/>
      <c r="H3825" s="100"/>
      <c r="I3825" s="100"/>
      <c r="J3825" s="100"/>
      <c r="K3825" s="100"/>
      <c r="L3825" s="100"/>
      <c r="M3825" s="100"/>
      <c r="N3825" s="100"/>
      <c r="O3825" s="100"/>
      <c r="P3825" s="100"/>
      <c r="Q3825" s="100"/>
      <c r="R3825" s="100"/>
      <c r="S3825" s="100"/>
      <c r="T3825" s="100"/>
      <c r="U3825" s="100"/>
      <c r="V3825" s="100"/>
      <c r="W3825" s="100"/>
      <c r="X3825" s="100"/>
      <c r="Y3825" s="100"/>
      <c r="Z3825" s="100"/>
    </row>
    <row r="3826" spans="1:26">
      <c r="A3826" s="100"/>
      <c r="B3826" s="100"/>
      <c r="C3826" s="100"/>
      <c r="D3826" s="100"/>
      <c r="E3826" s="100"/>
      <c r="F3826" s="100"/>
      <c r="G3826" s="100"/>
      <c r="H3826" s="100"/>
      <c r="I3826" s="100"/>
      <c r="J3826" s="100"/>
      <c r="K3826" s="100"/>
      <c r="L3826" s="100"/>
      <c r="M3826" s="100"/>
      <c r="N3826" s="100"/>
      <c r="O3826" s="100"/>
      <c r="P3826" s="100"/>
      <c r="Q3826" s="100"/>
      <c r="R3826" s="100"/>
      <c r="S3826" s="100"/>
      <c r="T3826" s="100"/>
      <c r="U3826" s="100"/>
      <c r="V3826" s="100"/>
      <c r="W3826" s="100"/>
      <c r="X3826" s="100"/>
      <c r="Y3826" s="100"/>
      <c r="Z3826" s="100"/>
    </row>
    <row r="3827" spans="1:26">
      <c r="A3827" s="100"/>
      <c r="B3827" s="100"/>
      <c r="C3827" s="100"/>
      <c r="D3827" s="100"/>
      <c r="E3827" s="100"/>
      <c r="F3827" s="100"/>
      <c r="G3827" s="100"/>
      <c r="H3827" s="100"/>
      <c r="I3827" s="100"/>
      <c r="J3827" s="100"/>
      <c r="K3827" s="100"/>
      <c r="L3827" s="100"/>
      <c r="M3827" s="100"/>
      <c r="N3827" s="100"/>
      <c r="O3827" s="100"/>
      <c r="P3827" s="100"/>
      <c r="Q3827" s="100"/>
      <c r="R3827" s="100"/>
      <c r="S3827" s="100"/>
      <c r="T3827" s="100"/>
      <c r="U3827" s="100"/>
      <c r="V3827" s="100"/>
      <c r="W3827" s="100"/>
      <c r="X3827" s="100"/>
      <c r="Y3827" s="100"/>
      <c r="Z3827" s="100"/>
    </row>
    <row r="3828" spans="1:26">
      <c r="A3828" s="100"/>
      <c r="B3828" s="100"/>
      <c r="C3828" s="100"/>
      <c r="D3828" s="100"/>
      <c r="E3828" s="100"/>
      <c r="F3828" s="100"/>
      <c r="G3828" s="100"/>
      <c r="H3828" s="100"/>
      <c r="I3828" s="100"/>
      <c r="J3828" s="100"/>
      <c r="K3828" s="100"/>
      <c r="L3828" s="100"/>
      <c r="M3828" s="100"/>
      <c r="N3828" s="100"/>
      <c r="O3828" s="100"/>
      <c r="P3828" s="100"/>
      <c r="Q3828" s="100"/>
      <c r="R3828" s="100"/>
      <c r="S3828" s="100"/>
      <c r="T3828" s="100"/>
      <c r="U3828" s="100"/>
      <c r="V3828" s="100"/>
      <c r="W3828" s="100"/>
      <c r="X3828" s="100"/>
      <c r="Y3828" s="100"/>
      <c r="Z3828" s="100"/>
    </row>
    <row r="3829" spans="1:26">
      <c r="A3829" s="100"/>
      <c r="B3829" s="100"/>
      <c r="C3829" s="100"/>
      <c r="D3829" s="100"/>
      <c r="E3829" s="100"/>
      <c r="F3829" s="100"/>
      <c r="G3829" s="100"/>
      <c r="H3829" s="100"/>
      <c r="I3829" s="100"/>
      <c r="J3829" s="100"/>
      <c r="K3829" s="100"/>
      <c r="L3829" s="100"/>
      <c r="M3829" s="100"/>
      <c r="N3829" s="100"/>
      <c r="O3829" s="100"/>
      <c r="P3829" s="100"/>
      <c r="Q3829" s="100"/>
      <c r="R3829" s="100"/>
      <c r="S3829" s="100"/>
      <c r="T3829" s="100"/>
      <c r="U3829" s="100"/>
      <c r="V3829" s="100"/>
      <c r="W3829" s="100"/>
      <c r="X3829" s="100"/>
      <c r="Y3829" s="100"/>
      <c r="Z3829" s="100"/>
    </row>
    <row r="3830" spans="1:26">
      <c r="A3830" s="100"/>
      <c r="B3830" s="100"/>
      <c r="C3830" s="100"/>
      <c r="D3830" s="100"/>
      <c r="E3830" s="100"/>
      <c r="F3830" s="100"/>
      <c r="G3830" s="100"/>
      <c r="H3830" s="100"/>
      <c r="I3830" s="100"/>
      <c r="J3830" s="100"/>
      <c r="K3830" s="100"/>
      <c r="L3830" s="100"/>
      <c r="M3830" s="100"/>
      <c r="N3830" s="100"/>
      <c r="O3830" s="100"/>
      <c r="P3830" s="100"/>
      <c r="Q3830" s="100"/>
      <c r="R3830" s="100"/>
      <c r="S3830" s="100"/>
      <c r="T3830" s="100"/>
      <c r="U3830" s="100"/>
      <c r="V3830" s="100"/>
      <c r="W3830" s="100"/>
      <c r="X3830" s="100"/>
      <c r="Y3830" s="100"/>
      <c r="Z3830" s="100"/>
    </row>
    <row r="3831" spans="1:26">
      <c r="A3831" s="100"/>
      <c r="B3831" s="100"/>
      <c r="C3831" s="100"/>
      <c r="D3831" s="100"/>
      <c r="E3831" s="100"/>
      <c r="F3831" s="100"/>
      <c r="G3831" s="100"/>
      <c r="H3831" s="100"/>
      <c r="I3831" s="100"/>
      <c r="J3831" s="100"/>
      <c r="K3831" s="100"/>
      <c r="L3831" s="100"/>
      <c r="M3831" s="100"/>
      <c r="N3831" s="100"/>
      <c r="O3831" s="100"/>
      <c r="P3831" s="100"/>
      <c r="Q3831" s="100"/>
      <c r="R3831" s="100"/>
      <c r="S3831" s="100"/>
      <c r="T3831" s="100"/>
      <c r="U3831" s="100"/>
      <c r="V3831" s="100"/>
      <c r="W3831" s="100"/>
      <c r="X3831" s="100"/>
      <c r="Y3831" s="100"/>
      <c r="Z3831" s="100"/>
    </row>
    <row r="3832" spans="1:26">
      <c r="A3832" s="100"/>
      <c r="B3832" s="100"/>
      <c r="C3832" s="100"/>
      <c r="D3832" s="100"/>
      <c r="E3832" s="100"/>
      <c r="F3832" s="100"/>
      <c r="G3832" s="100"/>
      <c r="H3832" s="100"/>
      <c r="I3832" s="100"/>
      <c r="J3832" s="100"/>
      <c r="K3832" s="100"/>
      <c r="L3832" s="100"/>
      <c r="M3832" s="100"/>
      <c r="N3832" s="100"/>
      <c r="O3832" s="100"/>
      <c r="P3832" s="100"/>
      <c r="Q3832" s="100"/>
      <c r="R3832" s="100"/>
      <c r="S3832" s="100"/>
      <c r="T3832" s="100"/>
      <c r="U3832" s="100"/>
      <c r="V3832" s="100"/>
      <c r="W3832" s="100"/>
      <c r="X3832" s="100"/>
      <c r="Y3832" s="100"/>
      <c r="Z3832" s="100"/>
    </row>
    <row r="3833" spans="1:26">
      <c r="A3833" s="100"/>
      <c r="B3833" s="100"/>
      <c r="C3833" s="100"/>
      <c r="D3833" s="100"/>
      <c r="E3833" s="100"/>
      <c r="F3833" s="100"/>
      <c r="G3833" s="100"/>
      <c r="H3833" s="100"/>
      <c r="I3833" s="100"/>
      <c r="J3833" s="100"/>
      <c r="K3833" s="100"/>
      <c r="L3833" s="100"/>
      <c r="M3833" s="100"/>
      <c r="N3833" s="100"/>
      <c r="O3833" s="100"/>
      <c r="P3833" s="100"/>
      <c r="Q3833" s="100"/>
      <c r="R3833" s="100"/>
      <c r="S3833" s="100"/>
      <c r="T3833" s="100"/>
      <c r="U3833" s="100"/>
      <c r="V3833" s="100"/>
      <c r="W3833" s="100"/>
      <c r="X3833" s="100"/>
      <c r="Y3833" s="100"/>
      <c r="Z3833" s="100"/>
    </row>
    <row r="3834" spans="1:26">
      <c r="A3834" s="100"/>
      <c r="B3834" s="100"/>
      <c r="C3834" s="100"/>
      <c r="D3834" s="100"/>
      <c r="E3834" s="100"/>
      <c r="F3834" s="100"/>
      <c r="G3834" s="100"/>
      <c r="H3834" s="100"/>
      <c r="I3834" s="100"/>
      <c r="J3834" s="100"/>
      <c r="K3834" s="100"/>
      <c r="L3834" s="100"/>
      <c r="M3834" s="100"/>
      <c r="N3834" s="100"/>
      <c r="O3834" s="100"/>
      <c r="P3834" s="100"/>
      <c r="Q3834" s="100"/>
      <c r="R3834" s="100"/>
      <c r="S3834" s="100"/>
      <c r="T3834" s="100"/>
      <c r="U3834" s="100"/>
      <c r="V3834" s="100"/>
      <c r="W3834" s="100"/>
      <c r="X3834" s="100"/>
      <c r="Y3834" s="100"/>
      <c r="Z3834" s="100"/>
    </row>
    <row r="3835" spans="1:26">
      <c r="A3835" s="100"/>
      <c r="B3835" s="100"/>
      <c r="C3835" s="100"/>
      <c r="D3835" s="100"/>
      <c r="E3835" s="100"/>
      <c r="F3835" s="100"/>
      <c r="G3835" s="100"/>
      <c r="H3835" s="100"/>
      <c r="I3835" s="100"/>
      <c r="J3835" s="100"/>
      <c r="K3835" s="100"/>
      <c r="L3835" s="100"/>
      <c r="M3835" s="100"/>
      <c r="N3835" s="100"/>
      <c r="O3835" s="100"/>
      <c r="P3835" s="100"/>
      <c r="Q3835" s="100"/>
      <c r="R3835" s="100"/>
      <c r="S3835" s="100"/>
      <c r="T3835" s="100"/>
      <c r="U3835" s="100"/>
      <c r="V3835" s="100"/>
      <c r="W3835" s="100"/>
      <c r="X3835" s="100"/>
      <c r="Y3835" s="100"/>
      <c r="Z3835" s="100"/>
    </row>
    <row r="3836" spans="1:26">
      <c r="A3836" s="100"/>
      <c r="B3836" s="100"/>
      <c r="C3836" s="100"/>
      <c r="D3836" s="100"/>
      <c r="E3836" s="100"/>
      <c r="F3836" s="100"/>
      <c r="G3836" s="100"/>
      <c r="H3836" s="100"/>
      <c r="I3836" s="100"/>
      <c r="J3836" s="100"/>
      <c r="K3836" s="100"/>
      <c r="L3836" s="100"/>
      <c r="M3836" s="100"/>
      <c r="N3836" s="100"/>
      <c r="O3836" s="100"/>
      <c r="P3836" s="100"/>
      <c r="Q3836" s="100"/>
      <c r="R3836" s="100"/>
      <c r="S3836" s="100"/>
      <c r="T3836" s="100"/>
      <c r="U3836" s="100"/>
      <c r="V3836" s="100"/>
      <c r="W3836" s="100"/>
      <c r="X3836" s="100"/>
      <c r="Y3836" s="100"/>
      <c r="Z3836" s="100"/>
    </row>
    <row r="3837" spans="1:26">
      <c r="A3837" s="100"/>
      <c r="B3837" s="100"/>
      <c r="C3837" s="100"/>
      <c r="D3837" s="100"/>
      <c r="E3837" s="100"/>
      <c r="F3837" s="100"/>
      <c r="G3837" s="100"/>
      <c r="H3837" s="100"/>
      <c r="I3837" s="100"/>
      <c r="J3837" s="100"/>
      <c r="K3837" s="100"/>
      <c r="L3837" s="100"/>
      <c r="M3837" s="100"/>
      <c r="N3837" s="100"/>
      <c r="O3837" s="100"/>
      <c r="P3837" s="100"/>
      <c r="Q3837" s="100"/>
      <c r="R3837" s="100"/>
      <c r="S3837" s="100"/>
      <c r="T3837" s="100"/>
      <c r="U3837" s="100"/>
      <c r="V3837" s="100"/>
      <c r="W3837" s="100"/>
      <c r="X3837" s="100"/>
      <c r="Y3837" s="100"/>
      <c r="Z3837" s="100"/>
    </row>
    <row r="3838" spans="1:26">
      <c r="A3838" s="100"/>
      <c r="B3838" s="100"/>
      <c r="C3838" s="100"/>
      <c r="D3838" s="100"/>
      <c r="E3838" s="100"/>
      <c r="F3838" s="100"/>
      <c r="G3838" s="100"/>
      <c r="H3838" s="100"/>
      <c r="I3838" s="100"/>
      <c r="J3838" s="100"/>
      <c r="K3838" s="100"/>
      <c r="L3838" s="100"/>
      <c r="M3838" s="100"/>
      <c r="N3838" s="100"/>
      <c r="O3838" s="100"/>
      <c r="P3838" s="100"/>
      <c r="Q3838" s="100"/>
      <c r="R3838" s="100"/>
      <c r="S3838" s="100"/>
      <c r="T3838" s="100"/>
      <c r="U3838" s="100"/>
      <c r="V3838" s="100"/>
      <c r="W3838" s="100"/>
      <c r="X3838" s="100"/>
      <c r="Y3838" s="100"/>
      <c r="Z3838" s="100"/>
    </row>
    <row r="3839" spans="1:26">
      <c r="A3839" s="100"/>
      <c r="B3839" s="100"/>
      <c r="C3839" s="100"/>
      <c r="D3839" s="100"/>
      <c r="E3839" s="100"/>
      <c r="F3839" s="100"/>
      <c r="G3839" s="100"/>
      <c r="H3839" s="100"/>
      <c r="I3839" s="100"/>
      <c r="J3839" s="100"/>
      <c r="K3839" s="100"/>
      <c r="L3839" s="100"/>
      <c r="M3839" s="100"/>
      <c r="N3839" s="100"/>
      <c r="O3839" s="100"/>
      <c r="P3839" s="100"/>
      <c r="Q3839" s="100"/>
      <c r="R3839" s="100"/>
      <c r="S3839" s="100"/>
      <c r="T3839" s="100"/>
      <c r="U3839" s="100"/>
      <c r="V3839" s="100"/>
      <c r="W3839" s="100"/>
      <c r="X3839" s="100"/>
      <c r="Y3839" s="100"/>
      <c r="Z3839" s="100"/>
    </row>
    <row r="3840" spans="1:26">
      <c r="A3840" s="100"/>
      <c r="B3840" s="100"/>
      <c r="C3840" s="100"/>
      <c r="D3840" s="100"/>
      <c r="E3840" s="100"/>
      <c r="F3840" s="100"/>
      <c r="G3840" s="100"/>
      <c r="H3840" s="100"/>
      <c r="I3840" s="100"/>
      <c r="J3840" s="100"/>
      <c r="K3840" s="100"/>
      <c r="L3840" s="100"/>
      <c r="M3840" s="100"/>
      <c r="N3840" s="100"/>
      <c r="O3840" s="100"/>
      <c r="P3840" s="100"/>
      <c r="Q3840" s="100"/>
      <c r="R3840" s="100"/>
      <c r="S3840" s="100"/>
      <c r="T3840" s="100"/>
      <c r="U3840" s="100"/>
      <c r="V3840" s="100"/>
      <c r="W3840" s="100"/>
      <c r="X3840" s="100"/>
      <c r="Y3840" s="100"/>
      <c r="Z3840" s="100"/>
    </row>
    <row r="3841" spans="1:26">
      <c r="A3841" s="100"/>
      <c r="B3841" s="100"/>
      <c r="C3841" s="100"/>
      <c r="D3841" s="100"/>
      <c r="E3841" s="100"/>
      <c r="F3841" s="100"/>
      <c r="G3841" s="100"/>
      <c r="H3841" s="100"/>
      <c r="I3841" s="100"/>
      <c r="J3841" s="100"/>
      <c r="K3841" s="100"/>
      <c r="L3841" s="100"/>
      <c r="M3841" s="100"/>
      <c r="N3841" s="100"/>
      <c r="O3841" s="100"/>
      <c r="P3841" s="100"/>
      <c r="Q3841" s="100"/>
      <c r="R3841" s="100"/>
      <c r="S3841" s="100"/>
      <c r="T3841" s="100"/>
      <c r="U3841" s="100"/>
      <c r="V3841" s="100"/>
      <c r="W3841" s="100"/>
      <c r="X3841" s="100"/>
      <c r="Y3841" s="100"/>
      <c r="Z3841" s="100"/>
    </row>
    <row r="3842" spans="1:26">
      <c r="A3842" s="100"/>
      <c r="B3842" s="100"/>
      <c r="C3842" s="100"/>
      <c r="D3842" s="100"/>
      <c r="E3842" s="100"/>
      <c r="F3842" s="100"/>
      <c r="G3842" s="100"/>
      <c r="H3842" s="100"/>
      <c r="I3842" s="100"/>
      <c r="J3842" s="100"/>
      <c r="K3842" s="100"/>
      <c r="L3842" s="100"/>
      <c r="M3842" s="100"/>
      <c r="N3842" s="100"/>
      <c r="O3842" s="100"/>
      <c r="P3842" s="100"/>
      <c r="Q3842" s="100"/>
      <c r="R3842" s="100"/>
      <c r="S3842" s="100"/>
      <c r="T3842" s="100"/>
      <c r="U3842" s="100"/>
      <c r="V3842" s="100"/>
      <c r="W3842" s="100"/>
      <c r="X3842" s="100"/>
      <c r="Y3842" s="100"/>
      <c r="Z3842" s="100"/>
    </row>
    <row r="3843" spans="1:26">
      <c r="A3843" s="100"/>
      <c r="B3843" s="100"/>
      <c r="C3843" s="100"/>
      <c r="D3843" s="100"/>
      <c r="E3843" s="100"/>
      <c r="F3843" s="100"/>
      <c r="G3843" s="100"/>
      <c r="H3843" s="100"/>
      <c r="I3843" s="100"/>
      <c r="J3843" s="100"/>
      <c r="K3843" s="100"/>
      <c r="L3843" s="100"/>
      <c r="M3843" s="100"/>
      <c r="N3843" s="100"/>
      <c r="O3843" s="100"/>
      <c r="P3843" s="100"/>
      <c r="Q3843" s="100"/>
      <c r="R3843" s="100"/>
      <c r="S3843" s="100"/>
      <c r="T3843" s="100"/>
      <c r="U3843" s="100"/>
      <c r="V3843" s="100"/>
      <c r="W3843" s="100"/>
      <c r="X3843" s="100"/>
      <c r="Y3843" s="100"/>
      <c r="Z3843" s="100"/>
    </row>
    <row r="3844" spans="1:26">
      <c r="A3844" s="100"/>
      <c r="B3844" s="100"/>
      <c r="C3844" s="100"/>
      <c r="D3844" s="100"/>
      <c r="E3844" s="100"/>
      <c r="F3844" s="100"/>
      <c r="G3844" s="100"/>
      <c r="H3844" s="100"/>
      <c r="I3844" s="100"/>
      <c r="J3844" s="100"/>
      <c r="K3844" s="100"/>
      <c r="L3844" s="100"/>
      <c r="M3844" s="100"/>
      <c r="N3844" s="100"/>
      <c r="O3844" s="100"/>
      <c r="P3844" s="100"/>
      <c r="Q3844" s="100"/>
      <c r="R3844" s="100"/>
      <c r="S3844" s="100"/>
      <c r="T3844" s="100"/>
      <c r="U3844" s="100"/>
      <c r="V3844" s="100"/>
      <c r="W3844" s="100"/>
      <c r="X3844" s="100"/>
      <c r="Y3844" s="100"/>
      <c r="Z3844" s="100"/>
    </row>
    <row r="3845" spans="1:26">
      <c r="A3845" s="100"/>
      <c r="B3845" s="100"/>
      <c r="C3845" s="100"/>
      <c r="D3845" s="100"/>
      <c r="E3845" s="100"/>
      <c r="F3845" s="100"/>
      <c r="G3845" s="100"/>
      <c r="H3845" s="100"/>
      <c r="I3845" s="100"/>
      <c r="J3845" s="100"/>
      <c r="K3845" s="100"/>
      <c r="L3845" s="100"/>
      <c r="M3845" s="100"/>
      <c r="N3845" s="100"/>
      <c r="O3845" s="100"/>
      <c r="P3845" s="100"/>
      <c r="Q3845" s="100"/>
      <c r="R3845" s="100"/>
      <c r="S3845" s="100"/>
      <c r="T3845" s="100"/>
      <c r="U3845" s="100"/>
      <c r="V3845" s="100"/>
      <c r="W3845" s="100"/>
      <c r="X3845" s="100"/>
      <c r="Y3845" s="100"/>
      <c r="Z3845" s="100"/>
    </row>
    <row r="3846" spans="1:26">
      <c r="A3846" s="100"/>
      <c r="B3846" s="100"/>
      <c r="C3846" s="100"/>
      <c r="D3846" s="100"/>
      <c r="E3846" s="100"/>
      <c r="F3846" s="100"/>
      <c r="G3846" s="100"/>
      <c r="H3846" s="100"/>
      <c r="I3846" s="100"/>
      <c r="J3846" s="100"/>
      <c r="K3846" s="100"/>
      <c r="L3846" s="100"/>
      <c r="M3846" s="100"/>
      <c r="N3846" s="100"/>
      <c r="O3846" s="100"/>
      <c r="P3846" s="100"/>
      <c r="Q3846" s="100"/>
      <c r="R3846" s="100"/>
      <c r="S3846" s="100"/>
      <c r="T3846" s="100"/>
      <c r="U3846" s="100"/>
      <c r="V3846" s="100"/>
      <c r="W3846" s="100"/>
      <c r="X3846" s="100"/>
      <c r="Y3846" s="100"/>
      <c r="Z3846" s="100"/>
    </row>
    <row r="3847" spans="1:26">
      <c r="A3847" s="100"/>
      <c r="B3847" s="100"/>
      <c r="C3847" s="100"/>
      <c r="D3847" s="100"/>
      <c r="E3847" s="100"/>
      <c r="F3847" s="100"/>
      <c r="G3847" s="100"/>
      <c r="H3847" s="100"/>
      <c r="I3847" s="100"/>
      <c r="J3847" s="100"/>
      <c r="K3847" s="100"/>
      <c r="L3847" s="100"/>
      <c r="M3847" s="100"/>
      <c r="N3847" s="100"/>
      <c r="O3847" s="100"/>
      <c r="P3847" s="100"/>
      <c r="Q3847" s="100"/>
      <c r="R3847" s="100"/>
      <c r="S3847" s="100"/>
      <c r="T3847" s="100"/>
      <c r="U3847" s="100"/>
      <c r="V3847" s="100"/>
      <c r="W3847" s="100"/>
      <c r="X3847" s="100"/>
      <c r="Y3847" s="100"/>
      <c r="Z3847" s="100"/>
    </row>
    <row r="3848" spans="1:26">
      <c r="A3848" s="100"/>
      <c r="B3848" s="100"/>
      <c r="C3848" s="100"/>
      <c r="D3848" s="100"/>
      <c r="E3848" s="100"/>
      <c r="F3848" s="100"/>
      <c r="G3848" s="100"/>
      <c r="H3848" s="100"/>
      <c r="I3848" s="100"/>
      <c r="J3848" s="100"/>
      <c r="K3848" s="100"/>
      <c r="L3848" s="100"/>
      <c r="M3848" s="100"/>
      <c r="N3848" s="100"/>
      <c r="O3848" s="100"/>
      <c r="P3848" s="100"/>
      <c r="Q3848" s="100"/>
      <c r="R3848" s="100"/>
      <c r="S3848" s="100"/>
      <c r="T3848" s="100"/>
      <c r="U3848" s="100"/>
      <c r="V3848" s="100"/>
      <c r="W3848" s="100"/>
      <c r="X3848" s="100"/>
      <c r="Y3848" s="100"/>
      <c r="Z3848" s="100"/>
    </row>
    <row r="3849" spans="1:26">
      <c r="A3849" s="100"/>
      <c r="B3849" s="100"/>
      <c r="C3849" s="100"/>
      <c r="D3849" s="100"/>
      <c r="E3849" s="100"/>
      <c r="F3849" s="100"/>
      <c r="G3849" s="100"/>
      <c r="H3849" s="100"/>
      <c r="I3849" s="100"/>
      <c r="J3849" s="100"/>
      <c r="K3849" s="100"/>
      <c r="L3849" s="100"/>
      <c r="M3849" s="100"/>
      <c r="N3849" s="100"/>
      <c r="O3849" s="100"/>
      <c r="P3849" s="100"/>
      <c r="Q3849" s="100"/>
      <c r="R3849" s="100"/>
      <c r="S3849" s="100"/>
      <c r="T3849" s="100"/>
      <c r="U3849" s="100"/>
      <c r="V3849" s="100"/>
      <c r="W3849" s="100"/>
      <c r="X3849" s="100"/>
      <c r="Y3849" s="100"/>
      <c r="Z3849" s="100"/>
    </row>
    <row r="3850" spans="1:26">
      <c r="A3850" s="100"/>
      <c r="B3850" s="100"/>
      <c r="C3850" s="100"/>
      <c r="D3850" s="100"/>
      <c r="E3850" s="100"/>
      <c r="F3850" s="100"/>
      <c r="G3850" s="100"/>
      <c r="H3850" s="100"/>
      <c r="I3850" s="100"/>
      <c r="J3850" s="100"/>
      <c r="K3850" s="100"/>
      <c r="L3850" s="100"/>
      <c r="M3850" s="100"/>
      <c r="N3850" s="100"/>
      <c r="O3850" s="100"/>
      <c r="P3850" s="100"/>
      <c r="Q3850" s="100"/>
      <c r="R3850" s="100"/>
      <c r="S3850" s="100"/>
      <c r="T3850" s="100"/>
      <c r="U3850" s="100"/>
      <c r="V3850" s="100"/>
      <c r="W3850" s="100"/>
      <c r="X3850" s="100"/>
      <c r="Y3850" s="100"/>
      <c r="Z3850" s="100"/>
    </row>
    <row r="3851" spans="1:26">
      <c r="A3851" s="100"/>
      <c r="B3851" s="100"/>
      <c r="C3851" s="100"/>
      <c r="D3851" s="100"/>
      <c r="E3851" s="100"/>
      <c r="F3851" s="100"/>
      <c r="G3851" s="100"/>
      <c r="H3851" s="100"/>
      <c r="I3851" s="100"/>
      <c r="J3851" s="100"/>
      <c r="K3851" s="100"/>
      <c r="L3851" s="100"/>
      <c r="M3851" s="100"/>
      <c r="N3851" s="100"/>
      <c r="O3851" s="100"/>
      <c r="P3851" s="100"/>
      <c r="Q3851" s="100"/>
      <c r="R3851" s="100"/>
      <c r="S3851" s="100"/>
      <c r="T3851" s="100"/>
      <c r="U3851" s="100"/>
      <c r="V3851" s="100"/>
      <c r="W3851" s="100"/>
      <c r="X3851" s="100"/>
      <c r="Y3851" s="100"/>
      <c r="Z3851" s="100"/>
    </row>
    <row r="3852" spans="1:26">
      <c r="A3852" s="100"/>
      <c r="B3852" s="100"/>
      <c r="C3852" s="100"/>
      <c r="D3852" s="100"/>
      <c r="E3852" s="100"/>
      <c r="F3852" s="100"/>
      <c r="G3852" s="100"/>
      <c r="H3852" s="100"/>
      <c r="I3852" s="100"/>
      <c r="J3852" s="100"/>
      <c r="K3852" s="100"/>
      <c r="L3852" s="100"/>
      <c r="M3852" s="100"/>
      <c r="N3852" s="100"/>
      <c r="O3852" s="100"/>
      <c r="P3852" s="100"/>
      <c r="Q3852" s="100"/>
      <c r="R3852" s="100"/>
      <c r="S3852" s="100"/>
      <c r="T3852" s="100"/>
      <c r="U3852" s="100"/>
      <c r="V3852" s="100"/>
      <c r="W3852" s="100"/>
      <c r="X3852" s="100"/>
      <c r="Y3852" s="100"/>
      <c r="Z3852" s="100"/>
    </row>
    <row r="3853" spans="1:26">
      <c r="A3853" s="100"/>
      <c r="B3853" s="100"/>
      <c r="C3853" s="100"/>
      <c r="D3853" s="100"/>
      <c r="E3853" s="100"/>
      <c r="F3853" s="100"/>
      <c r="G3853" s="100"/>
      <c r="H3853" s="100"/>
      <c r="I3853" s="100"/>
      <c r="J3853" s="100"/>
      <c r="K3853" s="100"/>
      <c r="L3853" s="100"/>
      <c r="M3853" s="100"/>
      <c r="N3853" s="100"/>
      <c r="O3853" s="100"/>
      <c r="P3853" s="100"/>
      <c r="Q3853" s="100"/>
      <c r="R3853" s="100"/>
      <c r="S3853" s="100"/>
      <c r="T3853" s="100"/>
      <c r="U3853" s="100"/>
      <c r="V3853" s="100"/>
      <c r="W3853" s="100"/>
      <c r="X3853" s="100"/>
      <c r="Y3853" s="100"/>
      <c r="Z3853" s="100"/>
    </row>
    <row r="3854" spans="1:26">
      <c r="A3854" s="100"/>
      <c r="B3854" s="100"/>
      <c r="C3854" s="100"/>
      <c r="D3854" s="100"/>
      <c r="E3854" s="100"/>
      <c r="F3854" s="100"/>
      <c r="G3854" s="100"/>
      <c r="H3854" s="100"/>
      <c r="I3854" s="100"/>
      <c r="J3854" s="100"/>
      <c r="K3854" s="100"/>
      <c r="L3854" s="100"/>
      <c r="M3854" s="100"/>
      <c r="N3854" s="100"/>
      <c r="O3854" s="100"/>
      <c r="P3854" s="100"/>
      <c r="Q3854" s="100"/>
      <c r="R3854" s="100"/>
      <c r="S3854" s="100"/>
      <c r="T3854" s="100"/>
      <c r="U3854" s="100"/>
      <c r="V3854" s="100"/>
      <c r="W3854" s="100"/>
      <c r="X3854" s="100"/>
      <c r="Y3854" s="100"/>
      <c r="Z3854" s="100"/>
    </row>
    <row r="3855" spans="1:26">
      <c r="A3855" s="100"/>
      <c r="B3855" s="100"/>
      <c r="C3855" s="100"/>
      <c r="D3855" s="100"/>
      <c r="E3855" s="100"/>
      <c r="F3855" s="100"/>
      <c r="G3855" s="100"/>
      <c r="H3855" s="100"/>
      <c r="I3855" s="100"/>
      <c r="J3855" s="100"/>
      <c r="K3855" s="100"/>
      <c r="L3855" s="100"/>
      <c r="M3855" s="100"/>
      <c r="N3855" s="100"/>
      <c r="O3855" s="100"/>
      <c r="P3855" s="100"/>
      <c r="Q3855" s="100"/>
      <c r="R3855" s="100"/>
      <c r="S3855" s="100"/>
      <c r="T3855" s="100"/>
      <c r="U3855" s="100"/>
      <c r="V3855" s="100"/>
      <c r="W3855" s="100"/>
      <c r="X3855" s="100"/>
      <c r="Y3855" s="100"/>
      <c r="Z3855" s="100"/>
    </row>
    <row r="3856" spans="1:26">
      <c r="A3856" s="100"/>
      <c r="B3856" s="100"/>
      <c r="C3856" s="100"/>
      <c r="D3856" s="100"/>
      <c r="E3856" s="100"/>
      <c r="F3856" s="100"/>
      <c r="G3856" s="100"/>
      <c r="H3856" s="100"/>
      <c r="I3856" s="100"/>
      <c r="J3856" s="100"/>
      <c r="K3856" s="100"/>
      <c r="L3856" s="100"/>
      <c r="M3856" s="100"/>
      <c r="N3856" s="100"/>
      <c r="O3856" s="100"/>
      <c r="P3856" s="100"/>
      <c r="Q3856" s="100"/>
      <c r="R3856" s="100"/>
      <c r="S3856" s="100"/>
      <c r="T3856" s="100"/>
      <c r="U3856" s="100"/>
      <c r="V3856" s="100"/>
      <c r="W3856" s="100"/>
      <c r="X3856" s="100"/>
      <c r="Y3856" s="100"/>
      <c r="Z3856" s="100"/>
    </row>
    <row r="3857" spans="1:26">
      <c r="A3857" s="100"/>
      <c r="B3857" s="100"/>
      <c r="C3857" s="100"/>
      <c r="D3857" s="100"/>
      <c r="E3857" s="100"/>
      <c r="F3857" s="100"/>
      <c r="G3857" s="100"/>
      <c r="H3857" s="100"/>
      <c r="I3857" s="100"/>
      <c r="J3857" s="100"/>
      <c r="K3857" s="100"/>
      <c r="L3857" s="100"/>
      <c r="M3857" s="100"/>
      <c r="N3857" s="100"/>
      <c r="O3857" s="100"/>
      <c r="P3857" s="100"/>
      <c r="Q3857" s="100"/>
      <c r="R3857" s="100"/>
      <c r="S3857" s="100"/>
      <c r="T3857" s="100"/>
      <c r="U3857" s="100"/>
      <c r="V3857" s="100"/>
      <c r="W3857" s="100"/>
      <c r="X3857" s="100"/>
      <c r="Y3857" s="100"/>
      <c r="Z3857" s="100"/>
    </row>
    <row r="3858" spans="1:26">
      <c r="A3858" s="100"/>
      <c r="B3858" s="100"/>
      <c r="C3858" s="100"/>
      <c r="D3858" s="100"/>
      <c r="E3858" s="100"/>
      <c r="F3858" s="100"/>
      <c r="G3858" s="100"/>
      <c r="H3858" s="100"/>
      <c r="I3858" s="100"/>
      <c r="J3858" s="100"/>
      <c r="K3858" s="100"/>
      <c r="L3858" s="100"/>
      <c r="M3858" s="100"/>
      <c r="N3858" s="100"/>
      <c r="O3858" s="100"/>
      <c r="P3858" s="100"/>
      <c r="Q3858" s="100"/>
      <c r="R3858" s="100"/>
      <c r="S3858" s="100"/>
      <c r="T3858" s="100"/>
      <c r="U3858" s="100"/>
      <c r="V3858" s="100"/>
      <c r="W3858" s="100"/>
      <c r="X3858" s="100"/>
      <c r="Y3858" s="100"/>
      <c r="Z3858" s="100"/>
    </row>
    <row r="3859" spans="1:26">
      <c r="A3859" s="100"/>
      <c r="B3859" s="100"/>
      <c r="C3859" s="100"/>
      <c r="D3859" s="100"/>
      <c r="E3859" s="100"/>
      <c r="F3859" s="100"/>
      <c r="G3859" s="100"/>
      <c r="H3859" s="100"/>
      <c r="I3859" s="100"/>
      <c r="J3859" s="100"/>
      <c r="K3859" s="100"/>
      <c r="L3859" s="100"/>
      <c r="M3859" s="100"/>
      <c r="N3859" s="100"/>
      <c r="O3859" s="100"/>
      <c r="P3859" s="100"/>
      <c r="Q3859" s="100"/>
      <c r="R3859" s="100"/>
      <c r="S3859" s="100"/>
      <c r="T3859" s="100"/>
      <c r="U3859" s="100"/>
      <c r="V3859" s="100"/>
      <c r="W3859" s="100"/>
      <c r="X3859" s="100"/>
      <c r="Y3859" s="100"/>
      <c r="Z3859" s="100"/>
    </row>
    <row r="3860" spans="1:26">
      <c r="A3860" s="100"/>
      <c r="B3860" s="100"/>
      <c r="C3860" s="100"/>
      <c r="D3860" s="100"/>
      <c r="E3860" s="100"/>
      <c r="F3860" s="100"/>
      <c r="G3860" s="100"/>
      <c r="H3860" s="100"/>
      <c r="I3860" s="100"/>
      <c r="J3860" s="100"/>
      <c r="K3860" s="100"/>
      <c r="L3860" s="100"/>
      <c r="M3860" s="100"/>
      <c r="N3860" s="100"/>
      <c r="O3860" s="100"/>
      <c r="P3860" s="100"/>
      <c r="Q3860" s="100"/>
      <c r="R3860" s="100"/>
      <c r="S3860" s="100"/>
      <c r="T3860" s="100"/>
      <c r="U3860" s="100"/>
      <c r="V3860" s="100"/>
      <c r="W3860" s="100"/>
      <c r="X3860" s="100"/>
      <c r="Y3860" s="100"/>
      <c r="Z3860" s="100"/>
    </row>
    <row r="3861" spans="1:26">
      <c r="A3861" s="100"/>
      <c r="B3861" s="100"/>
      <c r="C3861" s="100"/>
      <c r="D3861" s="100"/>
      <c r="E3861" s="100"/>
      <c r="F3861" s="100"/>
      <c r="G3861" s="100"/>
      <c r="H3861" s="100"/>
      <c r="I3861" s="100"/>
      <c r="J3861" s="100"/>
      <c r="K3861" s="100"/>
      <c r="L3861" s="100"/>
      <c r="M3861" s="100"/>
      <c r="N3861" s="100"/>
      <c r="O3861" s="100"/>
      <c r="P3861" s="100"/>
      <c r="Q3861" s="100"/>
      <c r="R3861" s="100"/>
      <c r="S3861" s="100"/>
      <c r="T3861" s="100"/>
      <c r="U3861" s="100"/>
      <c r="V3861" s="100"/>
      <c r="W3861" s="100"/>
      <c r="X3861" s="100"/>
      <c r="Y3861" s="100"/>
      <c r="Z3861" s="100"/>
    </row>
    <row r="3862" spans="1:26">
      <c r="A3862" s="100"/>
      <c r="B3862" s="100"/>
      <c r="C3862" s="100"/>
      <c r="D3862" s="100"/>
      <c r="E3862" s="100"/>
      <c r="F3862" s="100"/>
      <c r="G3862" s="100"/>
      <c r="H3862" s="100"/>
      <c r="I3862" s="100"/>
      <c r="J3862" s="100"/>
      <c r="K3862" s="100"/>
      <c r="L3862" s="100"/>
      <c r="M3862" s="100"/>
      <c r="N3862" s="100"/>
      <c r="O3862" s="100"/>
      <c r="P3862" s="100"/>
      <c r="Q3862" s="100"/>
      <c r="R3862" s="100"/>
      <c r="S3862" s="100"/>
      <c r="T3862" s="100"/>
      <c r="U3862" s="100"/>
      <c r="V3862" s="100"/>
      <c r="W3862" s="100"/>
      <c r="X3862" s="100"/>
      <c r="Y3862" s="100"/>
      <c r="Z3862" s="100"/>
    </row>
    <row r="3863" spans="1:26">
      <c r="A3863" s="100"/>
      <c r="B3863" s="100"/>
      <c r="C3863" s="100"/>
      <c r="D3863" s="100"/>
      <c r="E3863" s="100"/>
      <c r="F3863" s="100"/>
      <c r="G3863" s="100"/>
      <c r="H3863" s="100"/>
      <c r="I3863" s="100"/>
      <c r="J3863" s="100"/>
      <c r="K3863" s="100"/>
      <c r="L3863" s="100"/>
      <c r="M3863" s="100"/>
      <c r="N3863" s="100"/>
      <c r="O3863" s="100"/>
      <c r="P3863" s="100"/>
      <c r="Q3863" s="100"/>
      <c r="R3863" s="100"/>
      <c r="S3863" s="100"/>
      <c r="T3863" s="100"/>
      <c r="U3863" s="100"/>
      <c r="V3863" s="100"/>
      <c r="W3863" s="100"/>
      <c r="X3863" s="100"/>
      <c r="Y3863" s="100"/>
      <c r="Z3863" s="100"/>
    </row>
    <row r="3864" spans="1:26">
      <c r="A3864" s="100"/>
      <c r="B3864" s="100"/>
      <c r="C3864" s="100"/>
      <c r="D3864" s="100"/>
      <c r="E3864" s="100"/>
      <c r="F3864" s="100"/>
      <c r="G3864" s="100"/>
      <c r="H3864" s="100"/>
      <c r="I3864" s="100"/>
      <c r="J3864" s="100"/>
      <c r="K3864" s="100"/>
      <c r="L3864" s="100"/>
      <c r="M3864" s="100"/>
      <c r="N3864" s="100"/>
      <c r="O3864" s="100"/>
      <c r="P3864" s="100"/>
      <c r="Q3864" s="100"/>
      <c r="R3864" s="100"/>
      <c r="S3864" s="100"/>
      <c r="T3864" s="100"/>
      <c r="U3864" s="100"/>
      <c r="V3864" s="100"/>
      <c r="W3864" s="100"/>
      <c r="X3864" s="100"/>
      <c r="Y3864" s="100"/>
      <c r="Z3864" s="100"/>
    </row>
    <row r="3865" spans="1:26">
      <c r="A3865" s="100"/>
      <c r="B3865" s="100"/>
      <c r="C3865" s="100"/>
      <c r="D3865" s="100"/>
      <c r="E3865" s="100"/>
      <c r="F3865" s="100"/>
      <c r="G3865" s="100"/>
      <c r="H3865" s="100"/>
      <c r="I3865" s="100"/>
      <c r="J3865" s="100"/>
      <c r="K3865" s="100"/>
      <c r="L3865" s="100"/>
      <c r="M3865" s="100"/>
      <c r="N3865" s="100"/>
      <c r="O3865" s="100"/>
      <c r="P3865" s="100"/>
      <c r="Q3865" s="100"/>
      <c r="R3865" s="100"/>
      <c r="S3865" s="100"/>
      <c r="T3865" s="100"/>
      <c r="U3865" s="100"/>
      <c r="V3865" s="100"/>
      <c r="W3865" s="100"/>
      <c r="X3865" s="100"/>
      <c r="Y3865" s="100"/>
      <c r="Z3865" s="100"/>
    </row>
    <row r="3866" spans="1:26">
      <c r="A3866" s="100"/>
      <c r="B3866" s="100"/>
      <c r="C3866" s="100"/>
      <c r="D3866" s="100"/>
      <c r="E3866" s="100"/>
      <c r="F3866" s="100"/>
      <c r="G3866" s="100"/>
      <c r="H3866" s="100"/>
      <c r="I3866" s="100"/>
      <c r="J3866" s="100"/>
      <c r="K3866" s="100"/>
      <c r="L3866" s="100"/>
      <c r="M3866" s="100"/>
      <c r="N3866" s="100"/>
      <c r="O3866" s="100"/>
      <c r="P3866" s="100"/>
      <c r="Q3866" s="100"/>
      <c r="R3866" s="100"/>
      <c r="S3866" s="100"/>
      <c r="T3866" s="100"/>
      <c r="U3866" s="100"/>
      <c r="V3866" s="100"/>
      <c r="W3866" s="100"/>
      <c r="X3866" s="100"/>
      <c r="Y3866" s="100"/>
      <c r="Z3866" s="100"/>
    </row>
    <row r="3867" spans="1:26">
      <c r="A3867" s="100"/>
      <c r="B3867" s="100"/>
      <c r="C3867" s="100"/>
      <c r="D3867" s="100"/>
      <c r="E3867" s="100"/>
      <c r="F3867" s="100"/>
      <c r="G3867" s="100"/>
      <c r="H3867" s="100"/>
      <c r="I3867" s="100"/>
      <c r="J3867" s="100"/>
      <c r="K3867" s="100"/>
      <c r="L3867" s="100"/>
      <c r="M3867" s="100"/>
      <c r="N3867" s="100"/>
      <c r="O3867" s="100"/>
      <c r="P3867" s="100"/>
      <c r="Q3867" s="100"/>
      <c r="R3867" s="100"/>
      <c r="S3867" s="100"/>
      <c r="T3867" s="100"/>
      <c r="U3867" s="100"/>
      <c r="V3867" s="100"/>
      <c r="W3867" s="100"/>
      <c r="X3867" s="100"/>
      <c r="Y3867" s="100"/>
      <c r="Z3867" s="100"/>
    </row>
    <row r="3868" spans="1:26">
      <c r="A3868" s="100"/>
      <c r="B3868" s="100"/>
      <c r="C3868" s="100"/>
      <c r="D3868" s="100"/>
      <c r="E3868" s="100"/>
      <c r="F3868" s="100"/>
      <c r="G3868" s="100"/>
      <c r="H3868" s="100"/>
      <c r="I3868" s="100"/>
      <c r="J3868" s="100"/>
      <c r="K3868" s="100"/>
      <c r="L3868" s="100"/>
      <c r="M3868" s="100"/>
      <c r="N3868" s="100"/>
      <c r="O3868" s="100"/>
      <c r="P3868" s="100"/>
      <c r="Q3868" s="100"/>
      <c r="R3868" s="100"/>
      <c r="S3868" s="100"/>
      <c r="T3868" s="100"/>
      <c r="U3868" s="100"/>
      <c r="V3868" s="100"/>
      <c r="W3868" s="100"/>
      <c r="X3868" s="100"/>
      <c r="Y3868" s="100"/>
      <c r="Z3868" s="100"/>
    </row>
    <row r="3869" spans="1:26">
      <c r="A3869" s="100"/>
      <c r="B3869" s="100"/>
      <c r="C3869" s="100"/>
      <c r="D3869" s="100"/>
      <c r="E3869" s="100"/>
      <c r="F3869" s="100"/>
      <c r="G3869" s="100"/>
      <c r="H3869" s="100"/>
      <c r="I3869" s="100"/>
      <c r="J3869" s="100"/>
      <c r="K3869" s="100"/>
      <c r="L3869" s="100"/>
      <c r="M3869" s="100"/>
      <c r="N3869" s="100"/>
      <c r="O3869" s="100"/>
      <c r="P3869" s="100"/>
      <c r="Q3869" s="100"/>
      <c r="R3869" s="100"/>
      <c r="S3869" s="100"/>
      <c r="T3869" s="100"/>
      <c r="U3869" s="100"/>
      <c r="V3869" s="100"/>
      <c r="W3869" s="100"/>
      <c r="X3869" s="100"/>
      <c r="Y3869" s="100"/>
      <c r="Z3869" s="100"/>
    </row>
    <row r="3870" spans="1:26">
      <c r="A3870" s="100"/>
      <c r="B3870" s="100"/>
      <c r="C3870" s="100"/>
      <c r="D3870" s="100"/>
      <c r="E3870" s="100"/>
      <c r="F3870" s="100"/>
      <c r="G3870" s="100"/>
      <c r="H3870" s="100"/>
      <c r="I3870" s="100"/>
      <c r="J3870" s="100"/>
      <c r="K3870" s="100"/>
      <c r="L3870" s="100"/>
      <c r="M3870" s="100"/>
      <c r="N3870" s="100"/>
      <c r="O3870" s="100"/>
      <c r="P3870" s="100"/>
      <c r="Q3870" s="100"/>
      <c r="R3870" s="100"/>
      <c r="S3870" s="100"/>
      <c r="T3870" s="100"/>
      <c r="U3870" s="100"/>
      <c r="V3870" s="100"/>
      <c r="W3870" s="100"/>
      <c r="X3870" s="100"/>
      <c r="Y3870" s="100"/>
      <c r="Z3870" s="100"/>
    </row>
    <row r="3871" spans="1:26">
      <c r="A3871" s="100"/>
      <c r="B3871" s="100"/>
      <c r="C3871" s="100"/>
      <c r="D3871" s="100"/>
      <c r="E3871" s="100"/>
      <c r="F3871" s="100"/>
      <c r="G3871" s="100"/>
      <c r="H3871" s="100"/>
      <c r="I3871" s="100"/>
      <c r="J3871" s="100"/>
      <c r="K3871" s="100"/>
      <c r="L3871" s="100"/>
      <c r="M3871" s="100"/>
      <c r="N3871" s="100"/>
      <c r="O3871" s="100"/>
      <c r="P3871" s="100"/>
      <c r="Q3871" s="100"/>
      <c r="R3871" s="100"/>
      <c r="S3871" s="100"/>
      <c r="T3871" s="100"/>
      <c r="U3871" s="100"/>
      <c r="V3871" s="100"/>
      <c r="W3871" s="100"/>
      <c r="X3871" s="100"/>
      <c r="Y3871" s="100"/>
      <c r="Z3871" s="100"/>
    </row>
    <row r="3872" spans="1:26">
      <c r="A3872" s="100"/>
      <c r="B3872" s="100"/>
      <c r="C3872" s="100"/>
      <c r="D3872" s="100"/>
      <c r="E3872" s="100"/>
      <c r="F3872" s="100"/>
      <c r="G3872" s="100"/>
      <c r="H3872" s="100"/>
      <c r="I3872" s="100"/>
      <c r="J3872" s="100"/>
      <c r="K3872" s="100"/>
      <c r="L3872" s="100"/>
      <c r="M3872" s="100"/>
      <c r="N3872" s="100"/>
      <c r="O3872" s="100"/>
      <c r="P3872" s="100"/>
      <c r="Q3872" s="100"/>
      <c r="R3872" s="100"/>
      <c r="S3872" s="100"/>
      <c r="T3872" s="100"/>
      <c r="U3872" s="100"/>
      <c r="V3872" s="100"/>
      <c r="W3872" s="100"/>
      <c r="X3872" s="100"/>
      <c r="Y3872" s="100"/>
      <c r="Z3872" s="100"/>
    </row>
    <row r="3873" spans="1:26">
      <c r="A3873" s="100"/>
      <c r="B3873" s="100"/>
      <c r="C3873" s="100"/>
      <c r="D3873" s="100"/>
      <c r="E3873" s="100"/>
      <c r="F3873" s="100"/>
      <c r="G3873" s="100"/>
      <c r="H3873" s="100"/>
      <c r="I3873" s="100"/>
      <c r="J3873" s="100"/>
      <c r="K3873" s="100"/>
      <c r="L3873" s="100"/>
      <c r="M3873" s="100"/>
      <c r="N3873" s="100"/>
      <c r="O3873" s="100"/>
      <c r="P3873" s="100"/>
      <c r="Q3873" s="100"/>
      <c r="R3873" s="100"/>
      <c r="S3873" s="100"/>
      <c r="T3873" s="100"/>
      <c r="U3873" s="100"/>
      <c r="V3873" s="100"/>
      <c r="W3873" s="100"/>
      <c r="X3873" s="100"/>
      <c r="Y3873" s="100"/>
      <c r="Z3873" s="100"/>
    </row>
    <row r="3874" spans="1:26">
      <c r="A3874" s="100"/>
      <c r="B3874" s="100"/>
      <c r="C3874" s="100"/>
      <c r="D3874" s="100"/>
      <c r="E3874" s="100"/>
      <c r="F3874" s="100"/>
      <c r="G3874" s="100"/>
      <c r="H3874" s="100"/>
      <c r="I3874" s="100"/>
      <c r="J3874" s="100"/>
      <c r="K3874" s="100"/>
      <c r="L3874" s="100"/>
      <c r="M3874" s="100"/>
      <c r="N3874" s="100"/>
      <c r="O3874" s="100"/>
      <c r="P3874" s="100"/>
      <c r="Q3874" s="100"/>
      <c r="R3874" s="100"/>
      <c r="S3874" s="100"/>
      <c r="T3874" s="100"/>
      <c r="U3874" s="100"/>
      <c r="V3874" s="100"/>
      <c r="W3874" s="100"/>
      <c r="X3874" s="100"/>
      <c r="Y3874" s="100"/>
      <c r="Z3874" s="100"/>
    </row>
    <row r="3875" spans="1:26">
      <c r="A3875" s="100"/>
      <c r="B3875" s="100"/>
      <c r="C3875" s="100"/>
      <c r="D3875" s="100"/>
      <c r="E3875" s="100"/>
      <c r="F3875" s="100"/>
      <c r="G3875" s="100"/>
      <c r="H3875" s="100"/>
      <c r="I3875" s="100"/>
      <c r="J3875" s="100"/>
      <c r="K3875" s="100"/>
      <c r="L3875" s="100"/>
      <c r="M3875" s="100"/>
      <c r="N3875" s="100"/>
      <c r="O3875" s="100"/>
      <c r="P3875" s="100"/>
      <c r="Q3875" s="100"/>
      <c r="R3875" s="100"/>
      <c r="S3875" s="100"/>
      <c r="T3875" s="100"/>
      <c r="U3875" s="100"/>
      <c r="V3875" s="100"/>
      <c r="W3875" s="100"/>
      <c r="X3875" s="100"/>
      <c r="Y3875" s="100"/>
      <c r="Z3875" s="100"/>
    </row>
    <row r="3876" spans="1:26">
      <c r="A3876" s="100"/>
      <c r="B3876" s="100"/>
      <c r="C3876" s="100"/>
      <c r="D3876" s="100"/>
      <c r="E3876" s="100"/>
      <c r="F3876" s="100"/>
      <c r="G3876" s="100"/>
      <c r="H3876" s="100"/>
      <c r="I3876" s="100"/>
      <c r="J3876" s="100"/>
      <c r="K3876" s="100"/>
      <c r="L3876" s="100"/>
      <c r="M3876" s="100"/>
      <c r="N3876" s="100"/>
      <c r="O3876" s="100"/>
      <c r="P3876" s="100"/>
      <c r="Q3876" s="100"/>
      <c r="R3876" s="100"/>
      <c r="S3876" s="100"/>
      <c r="T3876" s="100"/>
      <c r="U3876" s="100"/>
      <c r="V3876" s="100"/>
      <c r="W3876" s="100"/>
      <c r="X3876" s="100"/>
      <c r="Y3876" s="100"/>
      <c r="Z3876" s="100"/>
    </row>
    <row r="3877" spans="1:26">
      <c r="A3877" s="100"/>
      <c r="B3877" s="100"/>
      <c r="C3877" s="100"/>
      <c r="D3877" s="100"/>
      <c r="E3877" s="100"/>
      <c r="F3877" s="100"/>
      <c r="G3877" s="100"/>
      <c r="H3877" s="100"/>
      <c r="I3877" s="100"/>
      <c r="J3877" s="100"/>
      <c r="K3877" s="100"/>
      <c r="L3877" s="100"/>
      <c r="M3877" s="100"/>
      <c r="N3877" s="100"/>
      <c r="O3877" s="100"/>
      <c r="P3877" s="100"/>
      <c r="Q3877" s="100"/>
      <c r="R3877" s="100"/>
      <c r="S3877" s="100"/>
      <c r="T3877" s="100"/>
      <c r="U3877" s="100"/>
      <c r="V3877" s="100"/>
      <c r="W3877" s="100"/>
      <c r="X3877" s="100"/>
      <c r="Y3877" s="100"/>
      <c r="Z3877" s="100"/>
    </row>
    <row r="3878" spans="1:26">
      <c r="A3878" s="100"/>
      <c r="B3878" s="100"/>
      <c r="C3878" s="100"/>
      <c r="D3878" s="100"/>
      <c r="E3878" s="100"/>
      <c r="F3878" s="100"/>
      <c r="G3878" s="100"/>
      <c r="H3878" s="100"/>
      <c r="I3878" s="100"/>
      <c r="J3878" s="100"/>
      <c r="K3878" s="100"/>
      <c r="L3878" s="100"/>
      <c r="M3878" s="100"/>
      <c r="N3878" s="100"/>
      <c r="O3878" s="100"/>
      <c r="P3878" s="100"/>
      <c r="Q3878" s="100"/>
      <c r="R3878" s="100"/>
      <c r="S3878" s="100"/>
      <c r="T3878" s="100"/>
      <c r="U3878" s="100"/>
      <c r="V3878" s="100"/>
      <c r="W3878" s="100"/>
      <c r="X3878" s="100"/>
      <c r="Y3878" s="100"/>
      <c r="Z3878" s="100"/>
    </row>
    <row r="3879" spans="1:26">
      <c r="A3879" s="100"/>
      <c r="B3879" s="100"/>
      <c r="C3879" s="100"/>
      <c r="D3879" s="100"/>
      <c r="E3879" s="100"/>
      <c r="F3879" s="100"/>
      <c r="G3879" s="100"/>
      <c r="H3879" s="100"/>
      <c r="I3879" s="100"/>
      <c r="J3879" s="100"/>
      <c r="K3879" s="100"/>
      <c r="L3879" s="100"/>
      <c r="M3879" s="100"/>
      <c r="N3879" s="100"/>
      <c r="O3879" s="100"/>
      <c r="P3879" s="100"/>
      <c r="Q3879" s="100"/>
      <c r="R3879" s="100"/>
      <c r="S3879" s="100"/>
      <c r="T3879" s="100"/>
      <c r="U3879" s="100"/>
      <c r="V3879" s="100"/>
      <c r="W3879" s="100"/>
      <c r="X3879" s="100"/>
      <c r="Y3879" s="100"/>
      <c r="Z3879" s="100"/>
    </row>
    <row r="3880" spans="1:26">
      <c r="A3880" s="100"/>
      <c r="B3880" s="100"/>
      <c r="C3880" s="100"/>
      <c r="D3880" s="100"/>
      <c r="E3880" s="100"/>
      <c r="F3880" s="100"/>
      <c r="G3880" s="100"/>
      <c r="H3880" s="100"/>
      <c r="I3880" s="100"/>
      <c r="J3880" s="100"/>
      <c r="K3880" s="100"/>
      <c r="L3880" s="100"/>
      <c r="M3880" s="100"/>
      <c r="N3880" s="100"/>
      <c r="O3880" s="100"/>
      <c r="P3880" s="100"/>
      <c r="Q3880" s="100"/>
      <c r="R3880" s="100"/>
      <c r="S3880" s="100"/>
      <c r="T3880" s="100"/>
      <c r="U3880" s="100"/>
      <c r="V3880" s="100"/>
      <c r="W3880" s="100"/>
      <c r="X3880" s="100"/>
      <c r="Y3880" s="100"/>
      <c r="Z3880" s="100"/>
    </row>
    <row r="3881" spans="1:26">
      <c r="A3881" s="100"/>
      <c r="B3881" s="100"/>
      <c r="C3881" s="100"/>
      <c r="D3881" s="100"/>
      <c r="E3881" s="100"/>
      <c r="F3881" s="100"/>
      <c r="G3881" s="100"/>
      <c r="H3881" s="100"/>
      <c r="I3881" s="100"/>
      <c r="J3881" s="100"/>
      <c r="K3881" s="100"/>
      <c r="L3881" s="100"/>
      <c r="M3881" s="100"/>
      <c r="N3881" s="100"/>
      <c r="O3881" s="100"/>
      <c r="P3881" s="100"/>
      <c r="Q3881" s="100"/>
      <c r="R3881" s="100"/>
      <c r="S3881" s="100"/>
      <c r="T3881" s="100"/>
      <c r="U3881" s="100"/>
      <c r="V3881" s="100"/>
      <c r="W3881" s="100"/>
      <c r="X3881" s="100"/>
      <c r="Y3881" s="100"/>
      <c r="Z3881" s="100"/>
    </row>
    <row r="3882" spans="1:26">
      <c r="A3882" s="100"/>
      <c r="B3882" s="100"/>
      <c r="C3882" s="100"/>
      <c r="D3882" s="100"/>
      <c r="E3882" s="100"/>
      <c r="F3882" s="100"/>
      <c r="G3882" s="100"/>
      <c r="H3882" s="100"/>
      <c r="I3882" s="100"/>
      <c r="J3882" s="100"/>
      <c r="K3882" s="100"/>
      <c r="L3882" s="100"/>
      <c r="M3882" s="100"/>
      <c r="N3882" s="100"/>
      <c r="O3882" s="100"/>
      <c r="P3882" s="100"/>
      <c r="Q3882" s="100"/>
      <c r="R3882" s="100"/>
      <c r="S3882" s="100"/>
      <c r="T3882" s="100"/>
      <c r="U3882" s="100"/>
      <c r="V3882" s="100"/>
      <c r="W3882" s="100"/>
      <c r="X3882" s="100"/>
      <c r="Y3882" s="100"/>
      <c r="Z3882" s="100"/>
    </row>
    <row r="3883" spans="1:26">
      <c r="A3883" s="100"/>
      <c r="B3883" s="100"/>
      <c r="C3883" s="100"/>
      <c r="D3883" s="100"/>
      <c r="E3883" s="100"/>
      <c r="F3883" s="100"/>
      <c r="G3883" s="100"/>
      <c r="H3883" s="100"/>
      <c r="I3883" s="100"/>
      <c r="J3883" s="100"/>
      <c r="K3883" s="100"/>
      <c r="L3883" s="100"/>
      <c r="M3883" s="100"/>
      <c r="N3883" s="100"/>
      <c r="O3883" s="100"/>
      <c r="P3883" s="100"/>
      <c r="Q3883" s="100"/>
      <c r="R3883" s="100"/>
      <c r="S3883" s="100"/>
      <c r="T3883" s="100"/>
      <c r="U3883" s="100"/>
      <c r="V3883" s="100"/>
      <c r="W3883" s="100"/>
      <c r="X3883" s="100"/>
      <c r="Y3883" s="100"/>
      <c r="Z3883" s="100"/>
    </row>
    <row r="3884" spans="1:26">
      <c r="A3884" s="100"/>
      <c r="B3884" s="100"/>
      <c r="C3884" s="100"/>
      <c r="D3884" s="100"/>
      <c r="E3884" s="100"/>
      <c r="F3884" s="100"/>
      <c r="G3884" s="100"/>
      <c r="H3884" s="100"/>
      <c r="I3884" s="100"/>
      <c r="J3884" s="100"/>
      <c r="K3884" s="100"/>
      <c r="L3884" s="100"/>
      <c r="M3884" s="100"/>
      <c r="N3884" s="100"/>
      <c r="O3884" s="100"/>
      <c r="P3884" s="100"/>
      <c r="Q3884" s="100"/>
      <c r="R3884" s="100"/>
      <c r="S3884" s="100"/>
      <c r="T3884" s="100"/>
      <c r="U3884" s="100"/>
      <c r="V3884" s="100"/>
      <c r="W3884" s="100"/>
      <c r="X3884" s="100"/>
      <c r="Y3884" s="100"/>
      <c r="Z3884" s="100"/>
    </row>
    <row r="3885" spans="1:26">
      <c r="A3885" s="100"/>
      <c r="B3885" s="100"/>
      <c r="C3885" s="100"/>
      <c r="D3885" s="100"/>
      <c r="E3885" s="100"/>
      <c r="F3885" s="100"/>
      <c r="G3885" s="100"/>
      <c r="H3885" s="100"/>
      <c r="I3885" s="100"/>
      <c r="J3885" s="100"/>
      <c r="K3885" s="100"/>
      <c r="L3885" s="100"/>
      <c r="M3885" s="100"/>
      <c r="N3885" s="100"/>
      <c r="O3885" s="100"/>
      <c r="P3885" s="100"/>
      <c r="Q3885" s="100"/>
      <c r="R3885" s="100"/>
      <c r="S3885" s="100"/>
      <c r="T3885" s="100"/>
      <c r="U3885" s="100"/>
      <c r="V3885" s="100"/>
      <c r="W3885" s="100"/>
      <c r="X3885" s="100"/>
      <c r="Y3885" s="100"/>
      <c r="Z3885" s="100"/>
    </row>
    <row r="3886" spans="1:26">
      <c r="A3886" s="100"/>
      <c r="B3886" s="100"/>
      <c r="C3886" s="100"/>
      <c r="D3886" s="100"/>
      <c r="E3886" s="100"/>
      <c r="F3886" s="100"/>
      <c r="G3886" s="100"/>
      <c r="H3886" s="100"/>
      <c r="I3886" s="100"/>
      <c r="J3886" s="100"/>
      <c r="K3886" s="100"/>
      <c r="L3886" s="100"/>
      <c r="M3886" s="100"/>
      <c r="N3886" s="100"/>
      <c r="O3886" s="100"/>
      <c r="P3886" s="100"/>
      <c r="Q3886" s="100"/>
      <c r="R3886" s="100"/>
      <c r="S3886" s="100"/>
      <c r="T3886" s="100"/>
      <c r="U3886" s="100"/>
      <c r="V3886" s="100"/>
      <c r="W3886" s="100"/>
      <c r="X3886" s="100"/>
      <c r="Y3886" s="100"/>
      <c r="Z3886" s="100"/>
    </row>
    <row r="3887" spans="1:26">
      <c r="A3887" s="100"/>
      <c r="B3887" s="100"/>
      <c r="C3887" s="100"/>
      <c r="D3887" s="100"/>
      <c r="E3887" s="100"/>
      <c r="F3887" s="100"/>
      <c r="G3887" s="100"/>
      <c r="H3887" s="100"/>
      <c r="I3887" s="100"/>
      <c r="J3887" s="100"/>
      <c r="K3887" s="100"/>
      <c r="L3887" s="100"/>
      <c r="M3887" s="100"/>
      <c r="N3887" s="100"/>
      <c r="O3887" s="100"/>
      <c r="P3887" s="100"/>
      <c r="Q3887" s="100"/>
      <c r="R3887" s="100"/>
      <c r="S3887" s="100"/>
      <c r="T3887" s="100"/>
      <c r="U3887" s="100"/>
      <c r="V3887" s="100"/>
      <c r="W3887" s="100"/>
      <c r="X3887" s="100"/>
      <c r="Y3887" s="100"/>
      <c r="Z3887" s="100"/>
    </row>
    <row r="3888" spans="1:26">
      <c r="A3888" s="100"/>
      <c r="B3888" s="100"/>
      <c r="C3888" s="100"/>
      <c r="D3888" s="100"/>
      <c r="E3888" s="100"/>
      <c r="F3888" s="100"/>
      <c r="G3888" s="100"/>
      <c r="H3888" s="100"/>
      <c r="I3888" s="100"/>
      <c r="J3888" s="100"/>
      <c r="K3888" s="100"/>
      <c r="L3888" s="100"/>
      <c r="M3888" s="100"/>
      <c r="N3888" s="100"/>
      <c r="O3888" s="100"/>
      <c r="P3888" s="100"/>
      <c r="Q3888" s="100"/>
      <c r="R3888" s="100"/>
      <c r="S3888" s="100"/>
      <c r="T3888" s="100"/>
      <c r="U3888" s="100"/>
      <c r="V3888" s="100"/>
      <c r="W3888" s="100"/>
      <c r="X3888" s="100"/>
      <c r="Y3888" s="100"/>
      <c r="Z3888" s="100"/>
    </row>
    <row r="3889" spans="1:26">
      <c r="A3889" s="100"/>
      <c r="B3889" s="100"/>
      <c r="C3889" s="100"/>
      <c r="D3889" s="100"/>
      <c r="E3889" s="100"/>
      <c r="F3889" s="100"/>
      <c r="G3889" s="100"/>
      <c r="H3889" s="100"/>
      <c r="I3889" s="100"/>
      <c r="J3889" s="100"/>
      <c r="K3889" s="100"/>
      <c r="L3889" s="100"/>
      <c r="M3889" s="100"/>
      <c r="N3889" s="100"/>
      <c r="O3889" s="100"/>
      <c r="P3889" s="100"/>
      <c r="Q3889" s="100"/>
      <c r="R3889" s="100"/>
      <c r="S3889" s="100"/>
      <c r="T3889" s="100"/>
      <c r="U3889" s="100"/>
      <c r="V3889" s="100"/>
      <c r="W3889" s="100"/>
      <c r="X3889" s="100"/>
      <c r="Y3889" s="100"/>
      <c r="Z3889" s="100"/>
    </row>
    <row r="3890" spans="1:26">
      <c r="A3890" s="100"/>
      <c r="B3890" s="100"/>
      <c r="C3890" s="100"/>
      <c r="D3890" s="100"/>
      <c r="E3890" s="100"/>
      <c r="F3890" s="100"/>
      <c r="G3890" s="100"/>
      <c r="H3890" s="100"/>
      <c r="I3890" s="100"/>
      <c r="J3890" s="100"/>
      <c r="K3890" s="100"/>
      <c r="L3890" s="100"/>
      <c r="M3890" s="100"/>
      <c r="N3890" s="100"/>
      <c r="O3890" s="100"/>
      <c r="P3890" s="100"/>
      <c r="Q3890" s="100"/>
      <c r="R3890" s="100"/>
      <c r="S3890" s="100"/>
      <c r="T3890" s="100"/>
      <c r="U3890" s="100"/>
      <c r="V3890" s="100"/>
      <c r="W3890" s="100"/>
      <c r="X3890" s="100"/>
      <c r="Y3890" s="100"/>
      <c r="Z3890" s="100"/>
    </row>
    <row r="3891" spans="1:26">
      <c r="A3891" s="100"/>
      <c r="B3891" s="100"/>
      <c r="C3891" s="100"/>
      <c r="D3891" s="100"/>
      <c r="E3891" s="100"/>
      <c r="F3891" s="100"/>
      <c r="G3891" s="100"/>
      <c r="H3891" s="100"/>
      <c r="I3891" s="100"/>
      <c r="J3891" s="100"/>
      <c r="K3891" s="100"/>
      <c r="L3891" s="100"/>
      <c r="M3891" s="100"/>
      <c r="N3891" s="100"/>
      <c r="O3891" s="100"/>
      <c r="P3891" s="100"/>
      <c r="Q3891" s="100"/>
      <c r="R3891" s="100"/>
      <c r="S3891" s="100"/>
      <c r="T3891" s="100"/>
      <c r="U3891" s="100"/>
      <c r="V3891" s="100"/>
      <c r="W3891" s="100"/>
      <c r="X3891" s="100"/>
      <c r="Y3891" s="100"/>
      <c r="Z3891" s="100"/>
    </row>
    <row r="3892" spans="1:26">
      <c r="A3892" s="100"/>
      <c r="B3892" s="100"/>
      <c r="C3892" s="100"/>
      <c r="D3892" s="100"/>
      <c r="E3892" s="100"/>
      <c r="F3892" s="100"/>
      <c r="G3892" s="100"/>
      <c r="H3892" s="100"/>
      <c r="I3892" s="100"/>
      <c r="J3892" s="100"/>
      <c r="K3892" s="100"/>
      <c r="L3892" s="100"/>
      <c r="M3892" s="100"/>
      <c r="N3892" s="100"/>
      <c r="O3892" s="100"/>
      <c r="P3892" s="100"/>
      <c r="Q3892" s="100"/>
      <c r="R3892" s="100"/>
      <c r="S3892" s="100"/>
      <c r="T3892" s="100"/>
      <c r="U3892" s="100"/>
      <c r="V3892" s="100"/>
      <c r="W3892" s="100"/>
      <c r="X3892" s="100"/>
      <c r="Y3892" s="100"/>
      <c r="Z3892" s="100"/>
    </row>
    <row r="3893" spans="1:26">
      <c r="A3893" s="100"/>
      <c r="B3893" s="100"/>
      <c r="C3893" s="100"/>
      <c r="D3893" s="100"/>
      <c r="E3893" s="100"/>
      <c r="F3893" s="100"/>
      <c r="G3893" s="100"/>
      <c r="H3893" s="100"/>
      <c r="I3893" s="100"/>
      <c r="J3893" s="100"/>
      <c r="K3893" s="100"/>
      <c r="L3893" s="100"/>
      <c r="M3893" s="100"/>
      <c r="N3893" s="100"/>
      <c r="O3893" s="100"/>
      <c r="P3893" s="100"/>
      <c r="Q3893" s="100"/>
      <c r="R3893" s="100"/>
      <c r="S3893" s="100"/>
      <c r="T3893" s="100"/>
      <c r="U3893" s="100"/>
      <c r="V3893" s="100"/>
      <c r="W3893" s="100"/>
      <c r="X3893" s="100"/>
      <c r="Y3893" s="100"/>
      <c r="Z3893" s="100"/>
    </row>
    <row r="3894" spans="1:26">
      <c r="A3894" s="100"/>
      <c r="B3894" s="100"/>
      <c r="C3894" s="100"/>
      <c r="D3894" s="100"/>
      <c r="E3894" s="100"/>
      <c r="F3894" s="100"/>
      <c r="G3894" s="100"/>
      <c r="H3894" s="100"/>
      <c r="I3894" s="100"/>
      <c r="J3894" s="100"/>
      <c r="K3894" s="100"/>
      <c r="L3894" s="100"/>
      <c r="M3894" s="100"/>
      <c r="N3894" s="100"/>
      <c r="O3894" s="100"/>
      <c r="P3894" s="100"/>
      <c r="Q3894" s="100"/>
      <c r="R3894" s="100"/>
      <c r="S3894" s="100"/>
      <c r="T3894" s="100"/>
      <c r="U3894" s="100"/>
      <c r="V3894" s="100"/>
      <c r="W3894" s="100"/>
      <c r="X3894" s="100"/>
      <c r="Y3894" s="100"/>
      <c r="Z3894" s="100"/>
    </row>
    <row r="3895" spans="1:26">
      <c r="A3895" s="100"/>
      <c r="B3895" s="100"/>
      <c r="C3895" s="100"/>
      <c r="D3895" s="100"/>
      <c r="E3895" s="100"/>
      <c r="F3895" s="100"/>
      <c r="G3895" s="100"/>
      <c r="H3895" s="100"/>
      <c r="I3895" s="100"/>
      <c r="J3895" s="100"/>
      <c r="K3895" s="100"/>
      <c r="L3895" s="100"/>
      <c r="M3895" s="100"/>
      <c r="N3895" s="100"/>
      <c r="O3895" s="100"/>
      <c r="P3895" s="100"/>
      <c r="Q3895" s="100"/>
      <c r="R3895" s="100"/>
      <c r="S3895" s="100"/>
      <c r="T3895" s="100"/>
      <c r="U3895" s="100"/>
      <c r="V3895" s="100"/>
      <c r="W3895" s="100"/>
      <c r="X3895" s="100"/>
      <c r="Y3895" s="100"/>
      <c r="Z3895" s="100"/>
    </row>
    <row r="3896" spans="1:26">
      <c r="A3896" s="100"/>
      <c r="B3896" s="100"/>
      <c r="C3896" s="100"/>
      <c r="D3896" s="100"/>
      <c r="E3896" s="100"/>
      <c r="F3896" s="100"/>
      <c r="G3896" s="100"/>
      <c r="H3896" s="100"/>
      <c r="I3896" s="100"/>
      <c r="J3896" s="100"/>
      <c r="K3896" s="100"/>
      <c r="L3896" s="100"/>
      <c r="M3896" s="100"/>
      <c r="N3896" s="100"/>
      <c r="O3896" s="100"/>
      <c r="P3896" s="100"/>
      <c r="Q3896" s="100"/>
      <c r="R3896" s="100"/>
      <c r="S3896" s="100"/>
      <c r="T3896" s="100"/>
      <c r="U3896" s="100"/>
      <c r="V3896" s="100"/>
      <c r="W3896" s="100"/>
      <c r="X3896" s="100"/>
      <c r="Y3896" s="100"/>
      <c r="Z3896" s="100"/>
    </row>
    <row r="3897" spans="1:26">
      <c r="A3897" s="100"/>
      <c r="B3897" s="100"/>
      <c r="C3897" s="100"/>
      <c r="D3897" s="100"/>
      <c r="E3897" s="100"/>
      <c r="F3897" s="100"/>
      <c r="G3897" s="100"/>
      <c r="H3897" s="100"/>
      <c r="I3897" s="100"/>
      <c r="J3897" s="100"/>
      <c r="K3897" s="100"/>
      <c r="L3897" s="100"/>
      <c r="M3897" s="100"/>
      <c r="N3897" s="100"/>
      <c r="O3897" s="100"/>
      <c r="P3897" s="100"/>
      <c r="Q3897" s="100"/>
      <c r="R3897" s="100"/>
      <c r="S3897" s="100"/>
      <c r="T3897" s="100"/>
      <c r="U3897" s="100"/>
      <c r="V3897" s="100"/>
      <c r="W3897" s="100"/>
      <c r="X3897" s="100"/>
      <c r="Y3897" s="100"/>
      <c r="Z3897" s="100"/>
    </row>
    <row r="3898" spans="1:26">
      <c r="A3898" s="100"/>
      <c r="B3898" s="100"/>
      <c r="C3898" s="100"/>
      <c r="D3898" s="100"/>
      <c r="E3898" s="100"/>
      <c r="F3898" s="100"/>
      <c r="G3898" s="100"/>
      <c r="H3898" s="100"/>
      <c r="I3898" s="100"/>
      <c r="J3898" s="100"/>
      <c r="K3898" s="100"/>
      <c r="L3898" s="100"/>
      <c r="M3898" s="100"/>
      <c r="N3898" s="100"/>
      <c r="O3898" s="100"/>
      <c r="P3898" s="100"/>
      <c r="Q3898" s="100"/>
      <c r="R3898" s="100"/>
      <c r="S3898" s="100"/>
      <c r="T3898" s="100"/>
      <c r="U3898" s="100"/>
      <c r="V3898" s="100"/>
      <c r="W3898" s="100"/>
      <c r="X3898" s="100"/>
      <c r="Y3898" s="100"/>
      <c r="Z3898" s="100"/>
    </row>
    <row r="3899" spans="1:26">
      <c r="A3899" s="100"/>
      <c r="B3899" s="100"/>
      <c r="C3899" s="100"/>
      <c r="D3899" s="100"/>
      <c r="E3899" s="100"/>
      <c r="F3899" s="100"/>
      <c r="G3899" s="100"/>
      <c r="H3899" s="100"/>
      <c r="I3899" s="100"/>
      <c r="J3899" s="100"/>
      <c r="K3899" s="100"/>
      <c r="L3899" s="100"/>
      <c r="M3899" s="100"/>
      <c r="N3899" s="100"/>
      <c r="O3899" s="100"/>
      <c r="P3899" s="100"/>
      <c r="Q3899" s="100"/>
      <c r="R3899" s="100"/>
      <c r="S3899" s="100"/>
      <c r="T3899" s="100"/>
      <c r="U3899" s="100"/>
      <c r="V3899" s="100"/>
      <c r="W3899" s="100"/>
      <c r="X3899" s="100"/>
      <c r="Y3899" s="100"/>
      <c r="Z3899" s="100"/>
    </row>
    <row r="3900" spans="1:26">
      <c r="A3900" s="100"/>
      <c r="B3900" s="100"/>
      <c r="C3900" s="100"/>
      <c r="D3900" s="100"/>
      <c r="E3900" s="100"/>
      <c r="F3900" s="100"/>
      <c r="G3900" s="100"/>
      <c r="H3900" s="100"/>
      <c r="I3900" s="100"/>
      <c r="J3900" s="100"/>
      <c r="K3900" s="100"/>
      <c r="L3900" s="100"/>
      <c r="M3900" s="100"/>
      <c r="N3900" s="100"/>
      <c r="O3900" s="100"/>
      <c r="P3900" s="100"/>
      <c r="Q3900" s="100"/>
      <c r="R3900" s="100"/>
      <c r="S3900" s="100"/>
      <c r="T3900" s="100"/>
      <c r="U3900" s="100"/>
      <c r="V3900" s="100"/>
      <c r="W3900" s="100"/>
      <c r="X3900" s="100"/>
      <c r="Y3900" s="100"/>
      <c r="Z3900" s="100"/>
    </row>
    <row r="3901" spans="1:26">
      <c r="A3901" s="100"/>
      <c r="B3901" s="100"/>
      <c r="C3901" s="100"/>
      <c r="D3901" s="100"/>
      <c r="E3901" s="100"/>
      <c r="F3901" s="100"/>
      <c r="G3901" s="100"/>
      <c r="H3901" s="100"/>
      <c r="I3901" s="100"/>
      <c r="J3901" s="100"/>
      <c r="K3901" s="100"/>
      <c r="L3901" s="100"/>
      <c r="M3901" s="100"/>
      <c r="N3901" s="100"/>
      <c r="O3901" s="100"/>
      <c r="P3901" s="100"/>
      <c r="Q3901" s="100"/>
      <c r="R3901" s="100"/>
      <c r="S3901" s="100"/>
      <c r="T3901" s="100"/>
      <c r="U3901" s="100"/>
      <c r="V3901" s="100"/>
      <c r="W3901" s="100"/>
      <c r="X3901" s="100"/>
      <c r="Y3901" s="100"/>
      <c r="Z3901" s="100"/>
    </row>
    <row r="3902" spans="1:26">
      <c r="A3902" s="100"/>
      <c r="B3902" s="100"/>
      <c r="C3902" s="100"/>
      <c r="D3902" s="100"/>
      <c r="E3902" s="100"/>
      <c r="F3902" s="100"/>
      <c r="G3902" s="100"/>
      <c r="H3902" s="100"/>
      <c r="I3902" s="100"/>
      <c r="J3902" s="100"/>
      <c r="K3902" s="100"/>
      <c r="L3902" s="100"/>
      <c r="M3902" s="100"/>
      <c r="N3902" s="100"/>
      <c r="O3902" s="100"/>
      <c r="P3902" s="100"/>
      <c r="Q3902" s="100"/>
      <c r="R3902" s="100"/>
      <c r="S3902" s="100"/>
      <c r="T3902" s="100"/>
      <c r="U3902" s="100"/>
      <c r="V3902" s="100"/>
      <c r="W3902" s="100"/>
      <c r="X3902" s="100"/>
      <c r="Y3902" s="100"/>
      <c r="Z3902" s="100"/>
    </row>
    <row r="3903" spans="1:26">
      <c r="A3903" s="100"/>
      <c r="B3903" s="100"/>
      <c r="C3903" s="100"/>
      <c r="D3903" s="100"/>
      <c r="E3903" s="100"/>
      <c r="F3903" s="100"/>
      <c r="G3903" s="100"/>
      <c r="H3903" s="100"/>
      <c r="I3903" s="100"/>
      <c r="J3903" s="100"/>
      <c r="K3903" s="100"/>
      <c r="L3903" s="100"/>
      <c r="M3903" s="100"/>
      <c r="N3903" s="100"/>
      <c r="O3903" s="100"/>
      <c r="P3903" s="100"/>
      <c r="Q3903" s="100"/>
      <c r="R3903" s="100"/>
      <c r="S3903" s="100"/>
      <c r="T3903" s="100"/>
      <c r="U3903" s="100"/>
      <c r="V3903" s="100"/>
      <c r="W3903" s="100"/>
      <c r="X3903" s="100"/>
      <c r="Y3903" s="100"/>
      <c r="Z3903" s="100"/>
    </row>
    <row r="3904" spans="1:26">
      <c r="A3904" s="100"/>
      <c r="B3904" s="100"/>
      <c r="C3904" s="100"/>
      <c r="D3904" s="100"/>
      <c r="E3904" s="100"/>
      <c r="F3904" s="100"/>
      <c r="G3904" s="100"/>
      <c r="H3904" s="100"/>
      <c r="I3904" s="100"/>
      <c r="J3904" s="100"/>
      <c r="K3904" s="100"/>
      <c r="L3904" s="100"/>
      <c r="M3904" s="100"/>
      <c r="N3904" s="100"/>
      <c r="O3904" s="100"/>
      <c r="P3904" s="100"/>
      <c r="Q3904" s="100"/>
      <c r="R3904" s="100"/>
      <c r="S3904" s="100"/>
      <c r="T3904" s="100"/>
      <c r="U3904" s="100"/>
      <c r="V3904" s="100"/>
      <c r="W3904" s="100"/>
      <c r="X3904" s="100"/>
      <c r="Y3904" s="100"/>
      <c r="Z3904" s="100"/>
    </row>
    <row r="3905" spans="1:26">
      <c r="A3905" s="100"/>
      <c r="B3905" s="100"/>
      <c r="C3905" s="100"/>
      <c r="D3905" s="100"/>
      <c r="E3905" s="100"/>
      <c r="F3905" s="100"/>
      <c r="G3905" s="100"/>
      <c r="H3905" s="100"/>
      <c r="I3905" s="100"/>
      <c r="J3905" s="100"/>
      <c r="K3905" s="100"/>
      <c r="L3905" s="100"/>
      <c r="M3905" s="100"/>
      <c r="N3905" s="100"/>
      <c r="O3905" s="100"/>
      <c r="P3905" s="100"/>
      <c r="Q3905" s="100"/>
      <c r="R3905" s="100"/>
      <c r="S3905" s="100"/>
      <c r="T3905" s="100"/>
      <c r="U3905" s="100"/>
      <c r="V3905" s="100"/>
      <c r="W3905" s="100"/>
      <c r="X3905" s="100"/>
      <c r="Y3905" s="100"/>
      <c r="Z3905" s="100"/>
    </row>
    <row r="3906" spans="1:26">
      <c r="A3906" s="100"/>
      <c r="B3906" s="100"/>
      <c r="C3906" s="100"/>
      <c r="D3906" s="100"/>
      <c r="E3906" s="100"/>
      <c r="F3906" s="100"/>
      <c r="G3906" s="100"/>
      <c r="H3906" s="100"/>
      <c r="I3906" s="100"/>
      <c r="J3906" s="100"/>
      <c r="K3906" s="100"/>
      <c r="L3906" s="100"/>
      <c r="M3906" s="100"/>
      <c r="N3906" s="100"/>
      <c r="O3906" s="100"/>
      <c r="P3906" s="100"/>
      <c r="Q3906" s="100"/>
      <c r="R3906" s="100"/>
      <c r="S3906" s="100"/>
      <c r="T3906" s="100"/>
      <c r="U3906" s="100"/>
      <c r="V3906" s="100"/>
      <c r="W3906" s="100"/>
      <c r="X3906" s="100"/>
      <c r="Y3906" s="100"/>
      <c r="Z3906" s="100"/>
    </row>
    <row r="3907" spans="1:26">
      <c r="A3907" s="100"/>
      <c r="B3907" s="100"/>
      <c r="C3907" s="100"/>
      <c r="D3907" s="100"/>
      <c r="E3907" s="100"/>
      <c r="F3907" s="100"/>
      <c r="G3907" s="100"/>
      <c r="H3907" s="100"/>
      <c r="I3907" s="100"/>
      <c r="J3907" s="100"/>
      <c r="K3907" s="100"/>
      <c r="L3907" s="100"/>
      <c r="M3907" s="100"/>
      <c r="N3907" s="100"/>
      <c r="O3907" s="100"/>
      <c r="P3907" s="100"/>
      <c r="Q3907" s="100"/>
      <c r="R3907" s="100"/>
      <c r="S3907" s="100"/>
      <c r="T3907" s="100"/>
      <c r="U3907" s="100"/>
      <c r="V3907" s="100"/>
      <c r="W3907" s="100"/>
      <c r="X3907" s="100"/>
      <c r="Y3907" s="100"/>
      <c r="Z3907" s="100"/>
    </row>
    <row r="3908" spans="1:26">
      <c r="A3908" s="100"/>
      <c r="B3908" s="100"/>
      <c r="C3908" s="100"/>
      <c r="D3908" s="100"/>
      <c r="E3908" s="100"/>
      <c r="F3908" s="100"/>
      <c r="G3908" s="100"/>
      <c r="H3908" s="100"/>
      <c r="I3908" s="100"/>
      <c r="J3908" s="100"/>
      <c r="K3908" s="100"/>
      <c r="L3908" s="100"/>
      <c r="M3908" s="100"/>
      <c r="N3908" s="100"/>
      <c r="O3908" s="100"/>
      <c r="P3908" s="100"/>
      <c r="Q3908" s="100"/>
      <c r="R3908" s="100"/>
      <c r="S3908" s="100"/>
      <c r="T3908" s="100"/>
      <c r="U3908" s="100"/>
      <c r="V3908" s="100"/>
      <c r="W3908" s="100"/>
      <c r="X3908" s="100"/>
      <c r="Y3908" s="100"/>
      <c r="Z3908" s="100"/>
    </row>
    <row r="3909" spans="1:26">
      <c r="A3909" s="100"/>
      <c r="B3909" s="100"/>
      <c r="C3909" s="100"/>
      <c r="D3909" s="100"/>
      <c r="E3909" s="100"/>
      <c r="F3909" s="100"/>
      <c r="G3909" s="100"/>
      <c r="H3909" s="100"/>
      <c r="I3909" s="100"/>
      <c r="J3909" s="100"/>
      <c r="K3909" s="100"/>
      <c r="L3909" s="100"/>
      <c r="M3909" s="100"/>
      <c r="N3909" s="100"/>
      <c r="O3909" s="100"/>
      <c r="P3909" s="100"/>
      <c r="Q3909" s="100"/>
      <c r="R3909" s="100"/>
      <c r="S3909" s="100"/>
      <c r="T3909" s="100"/>
      <c r="U3909" s="100"/>
      <c r="V3909" s="100"/>
      <c r="W3909" s="100"/>
      <c r="X3909" s="100"/>
      <c r="Y3909" s="100"/>
      <c r="Z3909" s="100"/>
    </row>
    <row r="3910" spans="1:26">
      <c r="A3910" s="100"/>
      <c r="B3910" s="100"/>
      <c r="C3910" s="100"/>
      <c r="D3910" s="100"/>
      <c r="E3910" s="100"/>
      <c r="F3910" s="100"/>
      <c r="G3910" s="100"/>
      <c r="H3910" s="100"/>
      <c r="I3910" s="100"/>
      <c r="J3910" s="100"/>
      <c r="K3910" s="100"/>
      <c r="L3910" s="100"/>
      <c r="M3910" s="100"/>
      <c r="N3910" s="100"/>
      <c r="O3910" s="100"/>
      <c r="P3910" s="100"/>
      <c r="Q3910" s="100"/>
      <c r="R3910" s="100"/>
      <c r="S3910" s="100"/>
      <c r="T3910" s="100"/>
      <c r="U3910" s="100"/>
      <c r="V3910" s="100"/>
      <c r="W3910" s="100"/>
      <c r="X3910" s="100"/>
      <c r="Y3910" s="100"/>
      <c r="Z3910" s="100"/>
    </row>
    <row r="3911" spans="1:26">
      <c r="A3911" s="100"/>
      <c r="B3911" s="100"/>
      <c r="C3911" s="100"/>
      <c r="D3911" s="100"/>
      <c r="E3911" s="100"/>
      <c r="F3911" s="100"/>
      <c r="G3911" s="100"/>
      <c r="H3911" s="100"/>
      <c r="I3911" s="100"/>
      <c r="J3911" s="100"/>
      <c r="K3911" s="100"/>
      <c r="L3911" s="100"/>
      <c r="M3911" s="100"/>
      <c r="N3911" s="100"/>
      <c r="O3911" s="100"/>
      <c r="P3911" s="100"/>
      <c r="Q3911" s="100"/>
      <c r="R3911" s="100"/>
      <c r="S3911" s="100"/>
      <c r="T3911" s="100"/>
      <c r="U3911" s="100"/>
      <c r="V3911" s="100"/>
      <c r="W3911" s="100"/>
      <c r="X3911" s="100"/>
      <c r="Y3911" s="100"/>
      <c r="Z3911" s="100"/>
    </row>
    <row r="3912" spans="1:26">
      <c r="A3912" s="100"/>
      <c r="B3912" s="100"/>
      <c r="C3912" s="100"/>
      <c r="D3912" s="100"/>
      <c r="E3912" s="100"/>
      <c r="F3912" s="100"/>
      <c r="G3912" s="100"/>
      <c r="H3912" s="100"/>
      <c r="I3912" s="100"/>
      <c r="J3912" s="100"/>
      <c r="K3912" s="100"/>
      <c r="L3912" s="100"/>
      <c r="M3912" s="100"/>
      <c r="N3912" s="100"/>
      <c r="O3912" s="100"/>
      <c r="P3912" s="100"/>
      <c r="Q3912" s="100"/>
      <c r="R3912" s="100"/>
      <c r="S3912" s="100"/>
      <c r="T3912" s="100"/>
      <c r="U3912" s="100"/>
      <c r="V3912" s="100"/>
      <c r="W3912" s="100"/>
      <c r="X3912" s="100"/>
      <c r="Y3912" s="100"/>
      <c r="Z3912" s="100"/>
    </row>
    <row r="3913" spans="1:26">
      <c r="A3913" s="100"/>
      <c r="B3913" s="100"/>
      <c r="C3913" s="100"/>
      <c r="D3913" s="100"/>
      <c r="E3913" s="100"/>
      <c r="F3913" s="100"/>
      <c r="G3913" s="100"/>
      <c r="H3913" s="100"/>
      <c r="I3913" s="100"/>
      <c r="J3913" s="100"/>
      <c r="K3913" s="100"/>
      <c r="L3913" s="100"/>
      <c r="M3913" s="100"/>
      <c r="N3913" s="100"/>
      <c r="O3913" s="100"/>
      <c r="P3913" s="100"/>
      <c r="Q3913" s="100"/>
      <c r="R3913" s="100"/>
      <c r="S3913" s="100"/>
      <c r="T3913" s="100"/>
      <c r="U3913" s="100"/>
      <c r="V3913" s="100"/>
      <c r="W3913" s="100"/>
      <c r="X3913" s="100"/>
      <c r="Y3913" s="100"/>
      <c r="Z3913" s="100"/>
    </row>
    <row r="3914" spans="1:26">
      <c r="A3914" s="100"/>
      <c r="B3914" s="100"/>
      <c r="C3914" s="100"/>
      <c r="D3914" s="100"/>
      <c r="E3914" s="100"/>
      <c r="F3914" s="100"/>
      <c r="G3914" s="100"/>
      <c r="H3914" s="100"/>
      <c r="I3914" s="100"/>
      <c r="J3914" s="100"/>
      <c r="K3914" s="100"/>
      <c r="L3914" s="100"/>
      <c r="M3914" s="100"/>
      <c r="N3914" s="100"/>
      <c r="O3914" s="100"/>
      <c r="P3914" s="100"/>
      <c r="Q3914" s="100"/>
      <c r="R3914" s="100"/>
      <c r="S3914" s="100"/>
      <c r="T3914" s="100"/>
      <c r="U3914" s="100"/>
      <c r="V3914" s="100"/>
      <c r="W3914" s="100"/>
      <c r="X3914" s="100"/>
      <c r="Y3914" s="100"/>
      <c r="Z3914" s="100"/>
    </row>
    <row r="3915" spans="1:26">
      <c r="A3915" s="100"/>
      <c r="B3915" s="100"/>
      <c r="C3915" s="100"/>
      <c r="D3915" s="100"/>
      <c r="E3915" s="100"/>
      <c r="F3915" s="100"/>
      <c r="G3915" s="100"/>
      <c r="H3915" s="100"/>
      <c r="I3915" s="100"/>
      <c r="J3915" s="100"/>
      <c r="K3915" s="100"/>
      <c r="L3915" s="100"/>
      <c r="M3915" s="100"/>
      <c r="N3915" s="100"/>
      <c r="O3915" s="100"/>
      <c r="P3915" s="100"/>
      <c r="Q3915" s="100"/>
      <c r="R3915" s="100"/>
      <c r="S3915" s="100"/>
      <c r="T3915" s="100"/>
      <c r="U3915" s="100"/>
      <c r="V3915" s="100"/>
      <c r="W3915" s="100"/>
      <c r="X3915" s="100"/>
      <c r="Y3915" s="100"/>
      <c r="Z3915" s="100"/>
    </row>
    <row r="3916" spans="1:26">
      <c r="A3916" s="100"/>
      <c r="B3916" s="100"/>
      <c r="C3916" s="100"/>
      <c r="D3916" s="100"/>
      <c r="E3916" s="100"/>
      <c r="F3916" s="100"/>
      <c r="G3916" s="100"/>
      <c r="H3916" s="100"/>
      <c r="I3916" s="100"/>
      <c r="J3916" s="100"/>
      <c r="K3916" s="100"/>
      <c r="L3916" s="100"/>
      <c r="M3916" s="100"/>
      <c r="N3916" s="100"/>
      <c r="O3916" s="100"/>
      <c r="P3916" s="100"/>
      <c r="Q3916" s="100"/>
      <c r="R3916" s="100"/>
      <c r="S3916" s="100"/>
      <c r="T3916" s="100"/>
      <c r="U3916" s="100"/>
      <c r="V3916" s="100"/>
      <c r="W3916" s="100"/>
      <c r="X3916" s="100"/>
      <c r="Y3916" s="100"/>
      <c r="Z3916" s="100"/>
    </row>
    <row r="3917" spans="1:26">
      <c r="A3917" s="100"/>
      <c r="B3917" s="100"/>
      <c r="C3917" s="100"/>
      <c r="D3917" s="100"/>
      <c r="E3917" s="100"/>
      <c r="F3917" s="100"/>
      <c r="G3917" s="100"/>
      <c r="H3917" s="100"/>
      <c r="I3917" s="100"/>
      <c r="J3917" s="100"/>
      <c r="K3917" s="100"/>
      <c r="L3917" s="100"/>
      <c r="M3917" s="100"/>
      <c r="N3917" s="100"/>
      <c r="O3917" s="100"/>
      <c r="P3917" s="100"/>
      <c r="Q3917" s="100"/>
      <c r="R3917" s="100"/>
      <c r="S3917" s="100"/>
      <c r="T3917" s="100"/>
      <c r="U3917" s="100"/>
      <c r="V3917" s="100"/>
      <c r="W3917" s="100"/>
      <c r="X3917" s="100"/>
      <c r="Y3917" s="100"/>
      <c r="Z3917" s="100"/>
    </row>
    <row r="3918" spans="1:26">
      <c r="A3918" s="100"/>
      <c r="B3918" s="100"/>
      <c r="C3918" s="100"/>
      <c r="D3918" s="100"/>
      <c r="E3918" s="100"/>
      <c r="F3918" s="100"/>
      <c r="G3918" s="100"/>
      <c r="H3918" s="100"/>
      <c r="I3918" s="100"/>
      <c r="J3918" s="100"/>
      <c r="K3918" s="100"/>
      <c r="L3918" s="100"/>
      <c r="M3918" s="100"/>
      <c r="N3918" s="100"/>
      <c r="O3918" s="100"/>
      <c r="P3918" s="100"/>
      <c r="Q3918" s="100"/>
      <c r="R3918" s="100"/>
      <c r="S3918" s="100"/>
      <c r="T3918" s="100"/>
      <c r="U3918" s="100"/>
      <c r="V3918" s="100"/>
      <c r="W3918" s="100"/>
      <c r="X3918" s="100"/>
      <c r="Y3918" s="100"/>
      <c r="Z3918" s="100"/>
    </row>
    <row r="3919" spans="1:26">
      <c r="A3919" s="100"/>
      <c r="B3919" s="100"/>
      <c r="C3919" s="100"/>
      <c r="D3919" s="100"/>
      <c r="E3919" s="100"/>
      <c r="F3919" s="100"/>
      <c r="G3919" s="100"/>
      <c r="H3919" s="100"/>
      <c r="I3919" s="100"/>
      <c r="J3919" s="100"/>
      <c r="K3919" s="100"/>
      <c r="L3919" s="100"/>
      <c r="M3919" s="100"/>
      <c r="N3919" s="100"/>
      <c r="O3919" s="100"/>
      <c r="P3919" s="100"/>
      <c r="Q3919" s="100"/>
      <c r="R3919" s="100"/>
      <c r="S3919" s="100"/>
      <c r="T3919" s="100"/>
      <c r="U3919" s="100"/>
      <c r="V3919" s="100"/>
      <c r="W3919" s="100"/>
      <c r="X3919" s="100"/>
      <c r="Y3919" s="100"/>
      <c r="Z3919" s="100"/>
    </row>
    <row r="3920" spans="1:26">
      <c r="A3920" s="100"/>
      <c r="B3920" s="100"/>
      <c r="C3920" s="100"/>
      <c r="D3920" s="100"/>
      <c r="E3920" s="100"/>
      <c r="F3920" s="100"/>
      <c r="G3920" s="100"/>
      <c r="H3920" s="100"/>
      <c r="I3920" s="100"/>
      <c r="J3920" s="100"/>
      <c r="K3920" s="100"/>
      <c r="L3920" s="100"/>
      <c r="M3920" s="100"/>
      <c r="N3920" s="100"/>
      <c r="O3920" s="100"/>
      <c r="P3920" s="100"/>
      <c r="Q3920" s="100"/>
      <c r="R3920" s="100"/>
      <c r="S3920" s="100"/>
      <c r="T3920" s="100"/>
      <c r="U3920" s="100"/>
      <c r="V3920" s="100"/>
      <c r="W3920" s="100"/>
      <c r="X3920" s="100"/>
      <c r="Y3920" s="100"/>
      <c r="Z3920" s="100"/>
    </row>
    <row r="3921" spans="1:26">
      <c r="A3921" s="100"/>
      <c r="B3921" s="100"/>
      <c r="C3921" s="100"/>
      <c r="D3921" s="100"/>
      <c r="E3921" s="100"/>
      <c r="F3921" s="100"/>
      <c r="G3921" s="100"/>
      <c r="H3921" s="100"/>
      <c r="I3921" s="100"/>
      <c r="J3921" s="100"/>
      <c r="K3921" s="100"/>
      <c r="L3921" s="100"/>
      <c r="M3921" s="100"/>
      <c r="N3921" s="100"/>
      <c r="O3921" s="100"/>
      <c r="P3921" s="100"/>
      <c r="Q3921" s="100"/>
      <c r="R3921" s="100"/>
      <c r="S3921" s="100"/>
      <c r="T3921" s="100"/>
      <c r="U3921" s="100"/>
      <c r="V3921" s="100"/>
      <c r="W3921" s="100"/>
      <c r="X3921" s="100"/>
      <c r="Y3921" s="100"/>
      <c r="Z3921" s="100"/>
    </row>
    <row r="3922" spans="1:26">
      <c r="A3922" s="100"/>
      <c r="B3922" s="100"/>
      <c r="C3922" s="100"/>
      <c r="D3922" s="100"/>
      <c r="E3922" s="100"/>
      <c r="F3922" s="100"/>
      <c r="G3922" s="100"/>
      <c r="H3922" s="100"/>
      <c r="I3922" s="100"/>
      <c r="J3922" s="100"/>
      <c r="K3922" s="100"/>
      <c r="L3922" s="100"/>
      <c r="M3922" s="100"/>
      <c r="N3922" s="100"/>
      <c r="O3922" s="100"/>
      <c r="P3922" s="100"/>
      <c r="Q3922" s="100"/>
      <c r="R3922" s="100"/>
      <c r="S3922" s="100"/>
      <c r="T3922" s="100"/>
      <c r="U3922" s="100"/>
      <c r="V3922" s="100"/>
      <c r="W3922" s="100"/>
      <c r="X3922" s="100"/>
      <c r="Y3922" s="100"/>
      <c r="Z3922" s="100"/>
    </row>
    <row r="3923" spans="1:26">
      <c r="A3923" s="100"/>
      <c r="B3923" s="100"/>
      <c r="C3923" s="100"/>
      <c r="D3923" s="100"/>
      <c r="E3923" s="100"/>
      <c r="F3923" s="100"/>
      <c r="G3923" s="100"/>
      <c r="H3923" s="100"/>
      <c r="I3923" s="100"/>
      <c r="J3923" s="100"/>
      <c r="K3923" s="100"/>
      <c r="L3923" s="100"/>
      <c r="M3923" s="100"/>
      <c r="N3923" s="100"/>
      <c r="O3923" s="100"/>
      <c r="P3923" s="100"/>
      <c r="Q3923" s="100"/>
      <c r="R3923" s="100"/>
      <c r="S3923" s="100"/>
      <c r="T3923" s="100"/>
      <c r="U3923" s="100"/>
      <c r="V3923" s="100"/>
      <c r="W3923" s="100"/>
      <c r="X3923" s="100"/>
      <c r="Y3923" s="100"/>
      <c r="Z3923" s="100"/>
    </row>
    <row r="3924" spans="1:26">
      <c r="A3924" s="100"/>
      <c r="B3924" s="100"/>
      <c r="C3924" s="100"/>
      <c r="D3924" s="100"/>
      <c r="E3924" s="100"/>
      <c r="F3924" s="100"/>
      <c r="G3924" s="100"/>
      <c r="H3924" s="100"/>
      <c r="I3924" s="100"/>
      <c r="J3924" s="100"/>
      <c r="K3924" s="100"/>
      <c r="L3924" s="100"/>
      <c r="M3924" s="100"/>
      <c r="N3924" s="100"/>
      <c r="O3924" s="100"/>
      <c r="P3924" s="100"/>
      <c r="Q3924" s="100"/>
      <c r="R3924" s="100"/>
      <c r="S3924" s="100"/>
      <c r="T3924" s="100"/>
      <c r="U3924" s="100"/>
      <c r="V3924" s="100"/>
      <c r="W3924" s="100"/>
      <c r="X3924" s="100"/>
      <c r="Y3924" s="100"/>
      <c r="Z3924" s="100"/>
    </row>
    <row r="3925" spans="1:26">
      <c r="A3925" s="100"/>
      <c r="B3925" s="100"/>
      <c r="C3925" s="100"/>
      <c r="D3925" s="100"/>
      <c r="E3925" s="100"/>
      <c r="F3925" s="100"/>
      <c r="G3925" s="100"/>
      <c r="H3925" s="100"/>
      <c r="I3925" s="100"/>
      <c r="J3925" s="100"/>
      <c r="K3925" s="100"/>
      <c r="L3925" s="100"/>
      <c r="M3925" s="100"/>
      <c r="N3925" s="100"/>
      <c r="O3925" s="100"/>
      <c r="P3925" s="100"/>
      <c r="Q3925" s="100"/>
      <c r="R3925" s="100"/>
      <c r="S3925" s="100"/>
      <c r="T3925" s="100"/>
      <c r="U3925" s="100"/>
      <c r="V3925" s="100"/>
      <c r="W3925" s="100"/>
      <c r="X3925" s="100"/>
      <c r="Y3925" s="100"/>
      <c r="Z3925" s="100"/>
    </row>
    <row r="3926" spans="1:26">
      <c r="A3926" s="100"/>
      <c r="B3926" s="100"/>
      <c r="C3926" s="100"/>
      <c r="D3926" s="100"/>
      <c r="E3926" s="100"/>
      <c r="F3926" s="100"/>
      <c r="G3926" s="100"/>
      <c r="H3926" s="100"/>
      <c r="I3926" s="100"/>
      <c r="J3926" s="100"/>
      <c r="K3926" s="100"/>
      <c r="L3926" s="100"/>
      <c r="M3926" s="100"/>
      <c r="N3926" s="100"/>
      <c r="O3926" s="100"/>
      <c r="P3926" s="100"/>
      <c r="Q3926" s="100"/>
      <c r="R3926" s="100"/>
      <c r="S3926" s="100"/>
      <c r="T3926" s="100"/>
      <c r="U3926" s="100"/>
      <c r="V3926" s="100"/>
      <c r="W3926" s="100"/>
      <c r="X3926" s="100"/>
      <c r="Y3926" s="100"/>
      <c r="Z3926" s="100"/>
    </row>
    <row r="3927" spans="1:26">
      <c r="A3927" s="100"/>
      <c r="B3927" s="100"/>
      <c r="C3927" s="100"/>
      <c r="D3927" s="100"/>
      <c r="E3927" s="100"/>
      <c r="F3927" s="100"/>
      <c r="G3927" s="100"/>
      <c r="H3927" s="100"/>
      <c r="I3927" s="100"/>
      <c r="J3927" s="100"/>
      <c r="K3927" s="100"/>
      <c r="L3927" s="100"/>
      <c r="M3927" s="100"/>
      <c r="N3927" s="100"/>
      <c r="O3927" s="100"/>
      <c r="P3927" s="100"/>
      <c r="Q3927" s="100"/>
      <c r="R3927" s="100"/>
      <c r="S3927" s="100"/>
      <c r="T3927" s="100"/>
      <c r="U3927" s="100"/>
      <c r="V3927" s="100"/>
      <c r="W3927" s="100"/>
      <c r="X3927" s="100"/>
      <c r="Y3927" s="100"/>
      <c r="Z3927" s="100"/>
    </row>
    <row r="3928" spans="1:26">
      <c r="A3928" s="100"/>
      <c r="B3928" s="100"/>
      <c r="C3928" s="100"/>
      <c r="D3928" s="100"/>
      <c r="E3928" s="100"/>
      <c r="F3928" s="100"/>
      <c r="G3928" s="100"/>
      <c r="H3928" s="100"/>
      <c r="I3928" s="100"/>
      <c r="J3928" s="100"/>
      <c r="K3928" s="100"/>
      <c r="L3928" s="100"/>
      <c r="M3928" s="100"/>
      <c r="N3928" s="100"/>
      <c r="O3928" s="100"/>
      <c r="P3928" s="100"/>
      <c r="Q3928" s="100"/>
      <c r="R3928" s="100"/>
      <c r="S3928" s="100"/>
      <c r="T3928" s="100"/>
      <c r="U3928" s="100"/>
      <c r="V3928" s="100"/>
      <c r="W3928" s="100"/>
      <c r="X3928" s="100"/>
      <c r="Y3928" s="100"/>
      <c r="Z3928" s="100"/>
    </row>
    <row r="3929" spans="1:26">
      <c r="A3929" s="100"/>
      <c r="B3929" s="100"/>
      <c r="C3929" s="100"/>
      <c r="D3929" s="100"/>
      <c r="E3929" s="100"/>
      <c r="F3929" s="100"/>
      <c r="G3929" s="100"/>
      <c r="H3929" s="100"/>
      <c r="I3929" s="100"/>
      <c r="J3929" s="100"/>
      <c r="K3929" s="100"/>
      <c r="L3929" s="100"/>
      <c r="M3929" s="100"/>
      <c r="N3929" s="100"/>
      <c r="O3929" s="100"/>
      <c r="P3929" s="100"/>
      <c r="Q3929" s="100"/>
      <c r="R3929" s="100"/>
      <c r="S3929" s="100"/>
      <c r="T3929" s="100"/>
      <c r="U3929" s="100"/>
      <c r="V3929" s="100"/>
      <c r="W3929" s="100"/>
      <c r="X3929" s="100"/>
      <c r="Y3929" s="100"/>
      <c r="Z3929" s="100"/>
    </row>
    <row r="3930" spans="1:26">
      <c r="A3930" s="100"/>
      <c r="B3930" s="100"/>
      <c r="C3930" s="100"/>
      <c r="D3930" s="100"/>
      <c r="E3930" s="100"/>
      <c r="F3930" s="100"/>
      <c r="G3930" s="100"/>
      <c r="H3930" s="100"/>
      <c r="I3930" s="100"/>
      <c r="J3930" s="100"/>
      <c r="K3930" s="100"/>
      <c r="L3930" s="100"/>
      <c r="M3930" s="100"/>
      <c r="N3930" s="100"/>
      <c r="O3930" s="100"/>
      <c r="P3930" s="100"/>
      <c r="Q3930" s="100"/>
      <c r="R3930" s="100"/>
      <c r="S3930" s="100"/>
      <c r="T3930" s="100"/>
      <c r="U3930" s="100"/>
      <c r="V3930" s="100"/>
      <c r="W3930" s="100"/>
      <c r="X3930" s="100"/>
      <c r="Y3930" s="100"/>
      <c r="Z3930" s="100"/>
    </row>
    <row r="3931" spans="1:26">
      <c r="A3931" s="100"/>
      <c r="B3931" s="100"/>
      <c r="C3931" s="100"/>
      <c r="D3931" s="100"/>
      <c r="E3931" s="100"/>
      <c r="F3931" s="100"/>
      <c r="G3931" s="100"/>
      <c r="H3931" s="100"/>
      <c r="I3931" s="100"/>
      <c r="J3931" s="100"/>
      <c r="K3931" s="100"/>
      <c r="L3931" s="100"/>
      <c r="M3931" s="100"/>
      <c r="N3931" s="100"/>
      <c r="O3931" s="100"/>
      <c r="P3931" s="100"/>
      <c r="Q3931" s="100"/>
      <c r="R3931" s="100"/>
      <c r="S3931" s="100"/>
      <c r="T3931" s="100"/>
      <c r="U3931" s="100"/>
      <c r="V3931" s="100"/>
      <c r="W3931" s="100"/>
      <c r="X3931" s="100"/>
      <c r="Y3931" s="100"/>
      <c r="Z3931" s="100"/>
    </row>
    <row r="3932" spans="1:26">
      <c r="A3932" s="100"/>
      <c r="B3932" s="100"/>
      <c r="C3932" s="100"/>
      <c r="D3932" s="100"/>
      <c r="E3932" s="100"/>
      <c r="F3932" s="100"/>
      <c r="G3932" s="100"/>
      <c r="H3932" s="100"/>
      <c r="I3932" s="100"/>
      <c r="J3932" s="100"/>
      <c r="K3932" s="100"/>
      <c r="L3932" s="100"/>
      <c r="M3932" s="100"/>
      <c r="N3932" s="100"/>
      <c r="O3932" s="100"/>
      <c r="P3932" s="100"/>
      <c r="Q3932" s="100"/>
      <c r="R3932" s="100"/>
      <c r="S3932" s="100"/>
      <c r="T3932" s="100"/>
      <c r="U3932" s="100"/>
      <c r="V3932" s="100"/>
      <c r="W3932" s="100"/>
      <c r="X3932" s="100"/>
      <c r="Y3932" s="100"/>
      <c r="Z3932" s="100"/>
    </row>
    <row r="3933" spans="1:26">
      <c r="A3933" s="100"/>
      <c r="B3933" s="100"/>
      <c r="C3933" s="100"/>
      <c r="D3933" s="100"/>
      <c r="E3933" s="100"/>
      <c r="F3933" s="100"/>
      <c r="G3933" s="100"/>
      <c r="H3933" s="100"/>
      <c r="I3933" s="100"/>
      <c r="J3933" s="100"/>
      <c r="K3933" s="100"/>
      <c r="L3933" s="100"/>
      <c r="M3933" s="100"/>
      <c r="N3933" s="100"/>
      <c r="O3933" s="100"/>
      <c r="P3933" s="100"/>
      <c r="Q3933" s="100"/>
      <c r="R3933" s="100"/>
      <c r="S3933" s="100"/>
      <c r="T3933" s="100"/>
      <c r="U3933" s="100"/>
      <c r="V3933" s="100"/>
      <c r="W3933" s="100"/>
      <c r="X3933" s="100"/>
      <c r="Y3933" s="100"/>
      <c r="Z3933" s="100"/>
    </row>
    <row r="3934" spans="1:26">
      <c r="A3934" s="100"/>
      <c r="B3934" s="100"/>
      <c r="C3934" s="100"/>
      <c r="D3934" s="100"/>
      <c r="E3934" s="100"/>
      <c r="F3934" s="100"/>
      <c r="G3934" s="100"/>
      <c r="H3934" s="100"/>
      <c r="I3934" s="100"/>
      <c r="J3934" s="100"/>
      <c r="K3934" s="100"/>
      <c r="L3934" s="100"/>
      <c r="M3934" s="100"/>
      <c r="N3934" s="100"/>
      <c r="O3934" s="100"/>
      <c r="P3934" s="100"/>
      <c r="Q3934" s="100"/>
      <c r="R3934" s="100"/>
      <c r="S3934" s="100"/>
      <c r="T3934" s="100"/>
      <c r="U3934" s="100"/>
      <c r="V3934" s="100"/>
      <c r="W3934" s="100"/>
      <c r="X3934" s="100"/>
      <c r="Y3934" s="100"/>
      <c r="Z3934" s="100"/>
    </row>
    <row r="3935" spans="1:26">
      <c r="A3935" s="100"/>
      <c r="B3935" s="100"/>
      <c r="C3935" s="100"/>
      <c r="D3935" s="100"/>
      <c r="E3935" s="100"/>
      <c r="F3935" s="100"/>
      <c r="G3935" s="100"/>
      <c r="H3935" s="100"/>
      <c r="I3935" s="100"/>
      <c r="J3935" s="100"/>
      <c r="K3935" s="100"/>
      <c r="L3935" s="100"/>
      <c r="M3935" s="100"/>
      <c r="N3935" s="100"/>
      <c r="O3935" s="100"/>
      <c r="P3935" s="100"/>
      <c r="Q3935" s="100"/>
      <c r="R3935" s="100"/>
      <c r="S3935" s="100"/>
      <c r="T3935" s="100"/>
      <c r="U3935" s="100"/>
      <c r="V3935" s="100"/>
      <c r="W3935" s="100"/>
      <c r="X3935" s="100"/>
      <c r="Y3935" s="100"/>
      <c r="Z3935" s="100"/>
    </row>
    <row r="3936" spans="1:26">
      <c r="A3936" s="100"/>
      <c r="B3936" s="100"/>
      <c r="C3936" s="100"/>
      <c r="D3936" s="100"/>
      <c r="E3936" s="100"/>
      <c r="F3936" s="100"/>
      <c r="G3936" s="100"/>
      <c r="H3936" s="100"/>
      <c r="I3936" s="100"/>
      <c r="J3936" s="100"/>
      <c r="K3936" s="100"/>
      <c r="L3936" s="100"/>
      <c r="M3936" s="100"/>
      <c r="N3936" s="100"/>
      <c r="O3936" s="100"/>
      <c r="P3936" s="100"/>
      <c r="Q3936" s="100"/>
      <c r="R3936" s="100"/>
      <c r="S3936" s="100"/>
      <c r="T3936" s="100"/>
      <c r="U3936" s="100"/>
      <c r="V3936" s="100"/>
      <c r="W3936" s="100"/>
      <c r="X3936" s="100"/>
      <c r="Y3936" s="100"/>
      <c r="Z3936" s="100"/>
    </row>
    <row r="3937" spans="1:26">
      <c r="A3937" s="100"/>
      <c r="B3937" s="100"/>
      <c r="C3937" s="100"/>
      <c r="D3937" s="100"/>
      <c r="E3937" s="100"/>
      <c r="F3937" s="100"/>
      <c r="G3937" s="100"/>
      <c r="H3937" s="100"/>
      <c r="I3937" s="100"/>
      <c r="J3937" s="100"/>
      <c r="K3937" s="100"/>
      <c r="L3937" s="100"/>
      <c r="M3937" s="100"/>
      <c r="N3937" s="100"/>
      <c r="O3937" s="100"/>
      <c r="P3937" s="100"/>
      <c r="Q3937" s="100"/>
      <c r="R3937" s="100"/>
      <c r="S3937" s="100"/>
      <c r="T3937" s="100"/>
      <c r="U3937" s="100"/>
      <c r="V3937" s="100"/>
      <c r="W3937" s="100"/>
      <c r="X3937" s="100"/>
      <c r="Y3937" s="100"/>
      <c r="Z3937" s="100"/>
    </row>
    <row r="3938" spans="1:26">
      <c r="A3938" s="100"/>
      <c r="B3938" s="100"/>
      <c r="C3938" s="100"/>
      <c r="D3938" s="100"/>
      <c r="E3938" s="100"/>
      <c r="F3938" s="100"/>
      <c r="G3938" s="100"/>
      <c r="H3938" s="100"/>
      <c r="I3938" s="100"/>
      <c r="J3938" s="100"/>
      <c r="K3938" s="100"/>
      <c r="L3938" s="100"/>
      <c r="M3938" s="100"/>
      <c r="N3938" s="100"/>
      <c r="O3938" s="100"/>
      <c r="P3938" s="100"/>
      <c r="Q3938" s="100"/>
      <c r="R3938" s="100"/>
      <c r="S3938" s="100"/>
      <c r="T3938" s="100"/>
      <c r="U3938" s="100"/>
      <c r="V3938" s="100"/>
      <c r="W3938" s="100"/>
      <c r="X3938" s="100"/>
      <c r="Y3938" s="100"/>
      <c r="Z3938" s="100"/>
    </row>
    <row r="3939" spans="1:26">
      <c r="A3939" s="100"/>
      <c r="B3939" s="100"/>
      <c r="C3939" s="100"/>
      <c r="D3939" s="100"/>
      <c r="E3939" s="100"/>
      <c r="F3939" s="100"/>
      <c r="G3939" s="100"/>
      <c r="H3939" s="100"/>
      <c r="I3939" s="100"/>
      <c r="J3939" s="100"/>
      <c r="K3939" s="100"/>
      <c r="L3939" s="100"/>
      <c r="M3939" s="100"/>
      <c r="N3939" s="100"/>
      <c r="O3939" s="100"/>
      <c r="P3939" s="100"/>
      <c r="Q3939" s="100"/>
      <c r="R3939" s="100"/>
      <c r="S3939" s="100"/>
      <c r="T3939" s="100"/>
      <c r="U3939" s="100"/>
      <c r="V3939" s="100"/>
      <c r="W3939" s="100"/>
      <c r="X3939" s="100"/>
      <c r="Y3939" s="100"/>
      <c r="Z3939" s="100"/>
    </row>
    <row r="3940" spans="1:26">
      <c r="A3940" s="100"/>
      <c r="B3940" s="100"/>
      <c r="C3940" s="100"/>
      <c r="D3940" s="100"/>
      <c r="E3940" s="100"/>
      <c r="F3940" s="100"/>
      <c r="G3940" s="100"/>
      <c r="H3940" s="100"/>
      <c r="I3940" s="100"/>
      <c r="J3940" s="100"/>
      <c r="K3940" s="100"/>
      <c r="L3940" s="100"/>
      <c r="M3940" s="100"/>
      <c r="N3940" s="100"/>
      <c r="O3940" s="100"/>
      <c r="P3940" s="100"/>
      <c r="Q3940" s="100"/>
      <c r="R3940" s="100"/>
      <c r="S3940" s="100"/>
      <c r="T3940" s="100"/>
      <c r="U3940" s="100"/>
      <c r="V3940" s="100"/>
      <c r="W3940" s="100"/>
      <c r="X3940" s="100"/>
      <c r="Y3940" s="100"/>
      <c r="Z3940" s="100"/>
    </row>
    <row r="3941" spans="1:26">
      <c r="A3941" s="100"/>
      <c r="B3941" s="100"/>
      <c r="C3941" s="100"/>
      <c r="D3941" s="100"/>
      <c r="E3941" s="100"/>
      <c r="F3941" s="100"/>
      <c r="G3941" s="100"/>
      <c r="H3941" s="100"/>
      <c r="I3941" s="100"/>
      <c r="J3941" s="100"/>
      <c r="K3941" s="100"/>
      <c r="L3941" s="100"/>
      <c r="M3941" s="100"/>
      <c r="N3941" s="100"/>
      <c r="O3941" s="100"/>
      <c r="P3941" s="100"/>
      <c r="Q3941" s="100"/>
      <c r="R3941" s="100"/>
      <c r="S3941" s="100"/>
      <c r="T3941" s="100"/>
      <c r="U3941" s="100"/>
      <c r="V3941" s="100"/>
      <c r="W3941" s="100"/>
      <c r="X3941" s="100"/>
      <c r="Y3941" s="100"/>
      <c r="Z3941" s="100"/>
    </row>
    <row r="3942" spans="1:26">
      <c r="A3942" s="100"/>
      <c r="B3942" s="100"/>
      <c r="C3942" s="100"/>
      <c r="D3942" s="100"/>
      <c r="E3942" s="100"/>
      <c r="F3942" s="100"/>
      <c r="G3942" s="100"/>
      <c r="H3942" s="100"/>
      <c r="I3942" s="100"/>
      <c r="J3942" s="100"/>
      <c r="K3942" s="100"/>
      <c r="L3942" s="100"/>
      <c r="M3942" s="100"/>
      <c r="N3942" s="100"/>
      <c r="O3942" s="100"/>
      <c r="P3942" s="100"/>
      <c r="Q3942" s="100"/>
      <c r="R3942" s="100"/>
      <c r="S3942" s="100"/>
      <c r="T3942" s="100"/>
      <c r="U3942" s="100"/>
      <c r="V3942" s="100"/>
      <c r="W3942" s="100"/>
      <c r="X3942" s="100"/>
      <c r="Y3942" s="100"/>
      <c r="Z3942" s="100"/>
    </row>
    <row r="3943" spans="1:26">
      <c r="A3943" s="100"/>
      <c r="B3943" s="100"/>
      <c r="C3943" s="100"/>
      <c r="D3943" s="100"/>
      <c r="E3943" s="100"/>
      <c r="F3943" s="100"/>
      <c r="G3943" s="100"/>
      <c r="H3943" s="100"/>
      <c r="I3943" s="100"/>
      <c r="J3943" s="100"/>
      <c r="K3943" s="100"/>
      <c r="L3943" s="100"/>
      <c r="M3943" s="100"/>
      <c r="N3943" s="100"/>
      <c r="O3943" s="100"/>
      <c r="P3943" s="100"/>
      <c r="Q3943" s="100"/>
      <c r="R3943" s="100"/>
      <c r="S3943" s="100"/>
      <c r="T3943" s="100"/>
      <c r="U3943" s="100"/>
      <c r="V3943" s="100"/>
      <c r="W3943" s="100"/>
      <c r="X3943" s="100"/>
      <c r="Y3943" s="100"/>
      <c r="Z3943" s="100"/>
    </row>
    <row r="3944" spans="1:26">
      <c r="A3944" s="100"/>
      <c r="B3944" s="100"/>
      <c r="C3944" s="100"/>
      <c r="D3944" s="100"/>
      <c r="E3944" s="100"/>
      <c r="F3944" s="100"/>
      <c r="G3944" s="100"/>
      <c r="H3944" s="100"/>
      <c r="I3944" s="100"/>
      <c r="J3944" s="100"/>
      <c r="K3944" s="100"/>
      <c r="L3944" s="100"/>
      <c r="M3944" s="100"/>
      <c r="N3944" s="100"/>
      <c r="O3944" s="100"/>
      <c r="P3944" s="100"/>
      <c r="Q3944" s="100"/>
      <c r="R3944" s="100"/>
      <c r="S3944" s="100"/>
      <c r="T3944" s="100"/>
      <c r="U3944" s="100"/>
      <c r="V3944" s="100"/>
      <c r="W3944" s="100"/>
      <c r="X3944" s="100"/>
      <c r="Y3944" s="100"/>
      <c r="Z3944" s="100"/>
    </row>
    <row r="3945" spans="1:26">
      <c r="A3945" s="100"/>
      <c r="B3945" s="100"/>
      <c r="C3945" s="100"/>
      <c r="D3945" s="100"/>
      <c r="E3945" s="100"/>
      <c r="F3945" s="100"/>
      <c r="G3945" s="100"/>
      <c r="H3945" s="100"/>
      <c r="I3945" s="100"/>
      <c r="J3945" s="100"/>
      <c r="K3945" s="100"/>
      <c r="L3945" s="100"/>
      <c r="M3945" s="100"/>
      <c r="N3945" s="100"/>
      <c r="O3945" s="100"/>
      <c r="P3945" s="100"/>
      <c r="Q3945" s="100"/>
      <c r="R3945" s="100"/>
      <c r="S3945" s="100"/>
      <c r="T3945" s="100"/>
      <c r="U3945" s="100"/>
      <c r="V3945" s="100"/>
      <c r="W3945" s="100"/>
      <c r="X3945" s="100"/>
      <c r="Y3945" s="100"/>
      <c r="Z3945" s="100"/>
    </row>
    <row r="3946" spans="1:26">
      <c r="A3946" s="100"/>
      <c r="B3946" s="100"/>
      <c r="C3946" s="100"/>
      <c r="D3946" s="100"/>
      <c r="E3946" s="100"/>
      <c r="F3946" s="100"/>
      <c r="G3946" s="100"/>
      <c r="H3946" s="100"/>
      <c r="I3946" s="100"/>
      <c r="J3946" s="100"/>
      <c r="K3946" s="100"/>
      <c r="L3946" s="100"/>
      <c r="M3946" s="100"/>
      <c r="N3946" s="100"/>
      <c r="O3946" s="100"/>
      <c r="P3946" s="100"/>
      <c r="Q3946" s="100"/>
      <c r="R3946" s="100"/>
      <c r="S3946" s="100"/>
      <c r="T3946" s="100"/>
      <c r="U3946" s="100"/>
      <c r="V3946" s="100"/>
      <c r="W3946" s="100"/>
      <c r="X3946" s="100"/>
      <c r="Y3946" s="100"/>
      <c r="Z3946" s="100"/>
    </row>
    <row r="3947" spans="1:26">
      <c r="A3947" s="100"/>
      <c r="B3947" s="100"/>
      <c r="C3947" s="100"/>
      <c r="D3947" s="100"/>
      <c r="E3947" s="100"/>
      <c r="F3947" s="100"/>
      <c r="G3947" s="100"/>
      <c r="H3947" s="100"/>
      <c r="I3947" s="100"/>
      <c r="J3947" s="100"/>
      <c r="K3947" s="100"/>
      <c r="L3947" s="100"/>
      <c r="M3947" s="100"/>
      <c r="N3947" s="100"/>
      <c r="O3947" s="100"/>
      <c r="P3947" s="100"/>
      <c r="Q3947" s="100"/>
      <c r="R3947" s="100"/>
      <c r="S3947" s="100"/>
      <c r="T3947" s="100"/>
      <c r="U3947" s="100"/>
      <c r="V3947" s="100"/>
      <c r="W3947" s="100"/>
      <c r="X3947" s="100"/>
      <c r="Y3947" s="100"/>
      <c r="Z3947" s="100"/>
    </row>
    <row r="3948" spans="1:26">
      <c r="A3948" s="100"/>
      <c r="B3948" s="100"/>
      <c r="C3948" s="100"/>
      <c r="D3948" s="100"/>
      <c r="E3948" s="100"/>
      <c r="F3948" s="100"/>
      <c r="G3948" s="100"/>
      <c r="H3948" s="100"/>
      <c r="I3948" s="100"/>
      <c r="J3948" s="100"/>
      <c r="K3948" s="100"/>
      <c r="L3948" s="100"/>
      <c r="M3948" s="100"/>
      <c r="N3948" s="100"/>
      <c r="O3948" s="100"/>
      <c r="P3948" s="100"/>
      <c r="Q3948" s="100"/>
      <c r="R3948" s="100"/>
      <c r="S3948" s="100"/>
      <c r="T3948" s="100"/>
      <c r="U3948" s="100"/>
      <c r="V3948" s="100"/>
      <c r="W3948" s="100"/>
      <c r="X3948" s="100"/>
      <c r="Y3948" s="100"/>
      <c r="Z3948" s="100"/>
    </row>
    <row r="3949" spans="1:26">
      <c r="A3949" s="100"/>
      <c r="B3949" s="100"/>
      <c r="C3949" s="100"/>
      <c r="D3949" s="100"/>
      <c r="E3949" s="100"/>
      <c r="F3949" s="100"/>
      <c r="G3949" s="100"/>
      <c r="H3949" s="100"/>
      <c r="I3949" s="100"/>
      <c r="J3949" s="100"/>
      <c r="K3949" s="100"/>
      <c r="L3949" s="100"/>
      <c r="M3949" s="100"/>
      <c r="N3949" s="100"/>
      <c r="O3949" s="100"/>
      <c r="P3949" s="100"/>
      <c r="Q3949" s="100"/>
      <c r="R3949" s="100"/>
      <c r="S3949" s="100"/>
      <c r="T3949" s="100"/>
      <c r="U3949" s="100"/>
      <c r="V3949" s="100"/>
      <c r="W3949" s="100"/>
      <c r="X3949" s="100"/>
      <c r="Y3949" s="100"/>
      <c r="Z3949" s="100"/>
    </row>
    <row r="3950" spans="1:26">
      <c r="A3950" s="100"/>
      <c r="B3950" s="100"/>
      <c r="C3950" s="100"/>
      <c r="D3950" s="100"/>
      <c r="E3950" s="100"/>
      <c r="F3950" s="100"/>
      <c r="G3950" s="100"/>
      <c r="H3950" s="100"/>
      <c r="I3950" s="100"/>
      <c r="J3950" s="100"/>
      <c r="K3950" s="100"/>
      <c r="L3950" s="100"/>
      <c r="M3950" s="100"/>
      <c r="N3950" s="100"/>
      <c r="O3950" s="100"/>
      <c r="P3950" s="100"/>
      <c r="Q3950" s="100"/>
      <c r="R3950" s="100"/>
      <c r="S3950" s="100"/>
      <c r="T3950" s="100"/>
      <c r="U3950" s="100"/>
      <c r="V3950" s="100"/>
      <c r="W3950" s="100"/>
      <c r="X3950" s="100"/>
      <c r="Y3950" s="100"/>
      <c r="Z3950" s="100"/>
    </row>
    <row r="3951" spans="1:26">
      <c r="A3951" s="100"/>
      <c r="B3951" s="100"/>
      <c r="C3951" s="100"/>
      <c r="D3951" s="100"/>
      <c r="E3951" s="100"/>
      <c r="F3951" s="100"/>
      <c r="G3951" s="100"/>
      <c r="H3951" s="100"/>
      <c r="I3951" s="100"/>
      <c r="J3951" s="100"/>
      <c r="K3951" s="100"/>
      <c r="L3951" s="100"/>
      <c r="M3951" s="100"/>
      <c r="N3951" s="100"/>
      <c r="O3951" s="100"/>
      <c r="P3951" s="100"/>
      <c r="Q3951" s="100"/>
      <c r="R3951" s="100"/>
      <c r="S3951" s="100"/>
      <c r="T3951" s="100"/>
      <c r="U3951" s="100"/>
      <c r="V3951" s="100"/>
      <c r="W3951" s="100"/>
      <c r="X3951" s="100"/>
      <c r="Y3951" s="100"/>
      <c r="Z3951" s="100"/>
    </row>
    <row r="3952" spans="1:26">
      <c r="A3952" s="100"/>
      <c r="B3952" s="100"/>
      <c r="C3952" s="100"/>
      <c r="D3952" s="100"/>
      <c r="E3952" s="100"/>
      <c r="F3952" s="100"/>
      <c r="G3952" s="100"/>
      <c r="H3952" s="100"/>
      <c r="I3952" s="100"/>
      <c r="J3952" s="100"/>
      <c r="K3952" s="100"/>
      <c r="L3952" s="100"/>
      <c r="M3952" s="100"/>
      <c r="N3952" s="100"/>
      <c r="O3952" s="100"/>
      <c r="P3952" s="100"/>
      <c r="Q3952" s="100"/>
      <c r="R3952" s="100"/>
      <c r="S3952" s="100"/>
      <c r="T3952" s="100"/>
      <c r="U3952" s="100"/>
      <c r="V3952" s="100"/>
      <c r="W3952" s="100"/>
      <c r="X3952" s="100"/>
      <c r="Y3952" s="100"/>
      <c r="Z3952" s="100"/>
    </row>
    <row r="3953" spans="1:26">
      <c r="A3953" s="100"/>
      <c r="B3953" s="100"/>
      <c r="C3953" s="100"/>
      <c r="D3953" s="100"/>
      <c r="E3953" s="100"/>
      <c r="F3953" s="100"/>
      <c r="G3953" s="100"/>
      <c r="H3953" s="100"/>
      <c r="I3953" s="100"/>
      <c r="J3953" s="100"/>
      <c r="K3953" s="100"/>
      <c r="L3953" s="100"/>
      <c r="M3953" s="100"/>
      <c r="N3953" s="100"/>
      <c r="O3953" s="100"/>
      <c r="P3953" s="100"/>
      <c r="Q3953" s="100"/>
      <c r="R3953" s="100"/>
      <c r="S3953" s="100"/>
      <c r="T3953" s="100"/>
      <c r="U3953" s="100"/>
      <c r="V3953" s="100"/>
      <c r="W3953" s="100"/>
      <c r="X3953" s="100"/>
      <c r="Y3953" s="100"/>
      <c r="Z3953" s="100"/>
    </row>
    <row r="3954" spans="1:26">
      <c r="A3954" s="100"/>
      <c r="B3954" s="100"/>
      <c r="C3954" s="100"/>
      <c r="D3954" s="100"/>
      <c r="E3954" s="100"/>
      <c r="F3954" s="100"/>
      <c r="G3954" s="100"/>
      <c r="H3954" s="100"/>
      <c r="I3954" s="100"/>
      <c r="J3954" s="100"/>
      <c r="K3954" s="100"/>
      <c r="L3954" s="100"/>
      <c r="M3954" s="100"/>
      <c r="N3954" s="100"/>
      <c r="O3954" s="100"/>
      <c r="P3954" s="100"/>
      <c r="Q3954" s="100"/>
      <c r="R3954" s="100"/>
      <c r="S3954" s="100"/>
      <c r="T3954" s="100"/>
      <c r="U3954" s="100"/>
      <c r="V3954" s="100"/>
      <c r="W3954" s="100"/>
      <c r="X3954" s="100"/>
      <c r="Y3954" s="100"/>
      <c r="Z3954" s="100"/>
    </row>
    <row r="3955" spans="1:26">
      <c r="A3955" s="100"/>
      <c r="B3955" s="100"/>
      <c r="C3955" s="100"/>
      <c r="D3955" s="100"/>
      <c r="E3955" s="100"/>
      <c r="F3955" s="100"/>
      <c r="G3955" s="100"/>
      <c r="H3955" s="100"/>
      <c r="I3955" s="100"/>
      <c r="J3955" s="100"/>
      <c r="K3955" s="100"/>
      <c r="L3955" s="100"/>
      <c r="M3955" s="100"/>
      <c r="N3955" s="100"/>
      <c r="O3955" s="100"/>
      <c r="P3955" s="100"/>
      <c r="Q3955" s="100"/>
      <c r="R3955" s="100"/>
      <c r="S3955" s="100"/>
      <c r="T3955" s="100"/>
      <c r="U3955" s="100"/>
      <c r="V3955" s="100"/>
      <c r="W3955" s="100"/>
      <c r="X3955" s="100"/>
      <c r="Y3955" s="100"/>
      <c r="Z3955" s="100"/>
    </row>
    <row r="3956" spans="1:26">
      <c r="A3956" s="100"/>
      <c r="B3956" s="100"/>
      <c r="C3956" s="100"/>
      <c r="D3956" s="100"/>
      <c r="E3956" s="100"/>
      <c r="F3956" s="100"/>
      <c r="G3956" s="100"/>
      <c r="H3956" s="100"/>
      <c r="I3956" s="100"/>
      <c r="J3956" s="100"/>
      <c r="K3956" s="100"/>
      <c r="L3956" s="100"/>
      <c r="M3956" s="100"/>
      <c r="N3956" s="100"/>
      <c r="O3956" s="100"/>
      <c r="P3956" s="100"/>
      <c r="Q3956" s="100"/>
      <c r="R3956" s="100"/>
      <c r="S3956" s="100"/>
      <c r="T3956" s="100"/>
      <c r="U3956" s="100"/>
      <c r="V3956" s="100"/>
      <c r="W3956" s="100"/>
      <c r="X3956" s="100"/>
      <c r="Y3956" s="100"/>
      <c r="Z3956" s="100"/>
    </row>
    <row r="3957" spans="1:26">
      <c r="A3957" s="100"/>
      <c r="B3957" s="100"/>
      <c r="C3957" s="100"/>
      <c r="D3957" s="100"/>
      <c r="E3957" s="100"/>
      <c r="F3957" s="100"/>
      <c r="G3957" s="100"/>
      <c r="H3957" s="100"/>
      <c r="I3957" s="100"/>
      <c r="J3957" s="100"/>
      <c r="K3957" s="100"/>
      <c r="L3957" s="100"/>
      <c r="M3957" s="100"/>
      <c r="N3957" s="100"/>
      <c r="O3957" s="100"/>
      <c r="P3957" s="100"/>
      <c r="Q3957" s="100"/>
      <c r="R3957" s="100"/>
      <c r="S3957" s="100"/>
      <c r="T3957" s="100"/>
      <c r="U3957" s="100"/>
      <c r="V3957" s="100"/>
      <c r="W3957" s="100"/>
      <c r="X3957" s="100"/>
      <c r="Y3957" s="100"/>
      <c r="Z3957" s="100"/>
    </row>
    <row r="3958" spans="1:26">
      <c r="A3958" s="100"/>
      <c r="B3958" s="100"/>
      <c r="C3958" s="100"/>
      <c r="D3958" s="100"/>
      <c r="E3958" s="100"/>
      <c r="F3958" s="100"/>
      <c r="G3958" s="100"/>
      <c r="H3958" s="100"/>
      <c r="I3958" s="100"/>
      <c r="J3958" s="100"/>
      <c r="K3958" s="100"/>
      <c r="L3958" s="100"/>
      <c r="M3958" s="100"/>
      <c r="N3958" s="100"/>
      <c r="O3958" s="100"/>
      <c r="P3958" s="100"/>
      <c r="Q3958" s="100"/>
      <c r="R3958" s="100"/>
      <c r="S3958" s="100"/>
      <c r="T3958" s="100"/>
      <c r="U3958" s="100"/>
      <c r="V3958" s="100"/>
      <c r="W3958" s="100"/>
      <c r="X3958" s="100"/>
      <c r="Y3958" s="100"/>
      <c r="Z3958" s="100"/>
    </row>
    <row r="3959" spans="1:26">
      <c r="A3959" s="100"/>
      <c r="B3959" s="100"/>
      <c r="C3959" s="100"/>
      <c r="D3959" s="100"/>
      <c r="E3959" s="100"/>
      <c r="F3959" s="100"/>
      <c r="G3959" s="100"/>
      <c r="H3959" s="100"/>
      <c r="I3959" s="100"/>
      <c r="J3959" s="100"/>
      <c r="K3959" s="100"/>
      <c r="L3959" s="100"/>
      <c r="M3959" s="100"/>
      <c r="N3959" s="100"/>
      <c r="O3959" s="100"/>
      <c r="P3959" s="100"/>
      <c r="Q3959" s="100"/>
      <c r="R3959" s="100"/>
      <c r="S3959" s="100"/>
      <c r="T3959" s="100"/>
      <c r="U3959" s="100"/>
      <c r="V3959" s="100"/>
      <c r="W3959" s="100"/>
      <c r="X3959" s="100"/>
      <c r="Y3959" s="100"/>
      <c r="Z3959" s="100"/>
    </row>
    <row r="3960" spans="1:26">
      <c r="A3960" s="100"/>
      <c r="B3960" s="100"/>
      <c r="C3960" s="100"/>
      <c r="D3960" s="100"/>
      <c r="E3960" s="100"/>
      <c r="F3960" s="100"/>
      <c r="G3960" s="100"/>
      <c r="H3960" s="100"/>
      <c r="I3960" s="100"/>
      <c r="J3960" s="100"/>
      <c r="K3960" s="100"/>
      <c r="L3960" s="100"/>
      <c r="M3960" s="100"/>
      <c r="N3960" s="100"/>
      <c r="O3960" s="100"/>
      <c r="P3960" s="100"/>
      <c r="Q3960" s="100"/>
      <c r="R3960" s="100"/>
      <c r="S3960" s="100"/>
      <c r="T3960" s="100"/>
      <c r="U3960" s="100"/>
      <c r="V3960" s="100"/>
      <c r="W3960" s="100"/>
      <c r="X3960" s="100"/>
      <c r="Y3960" s="100"/>
      <c r="Z3960" s="100"/>
    </row>
    <row r="3961" spans="1:26">
      <c r="A3961" s="100"/>
      <c r="B3961" s="100"/>
      <c r="C3961" s="100"/>
      <c r="D3961" s="100"/>
      <c r="E3961" s="100"/>
      <c r="F3961" s="100"/>
      <c r="G3961" s="100"/>
      <c r="H3961" s="100"/>
      <c r="I3961" s="100"/>
      <c r="J3961" s="100"/>
      <c r="K3961" s="100"/>
      <c r="L3961" s="100"/>
      <c r="M3961" s="100"/>
      <c r="N3961" s="100"/>
      <c r="O3961" s="100"/>
      <c r="P3961" s="100"/>
      <c r="Q3961" s="100"/>
      <c r="R3961" s="100"/>
      <c r="S3961" s="100"/>
      <c r="T3961" s="100"/>
      <c r="U3961" s="100"/>
      <c r="V3961" s="100"/>
      <c r="W3961" s="100"/>
      <c r="X3961" s="100"/>
      <c r="Y3961" s="100"/>
      <c r="Z3961" s="100"/>
    </row>
    <row r="3962" spans="1:26">
      <c r="A3962" s="100"/>
      <c r="B3962" s="100"/>
      <c r="C3962" s="100"/>
      <c r="D3962" s="100"/>
      <c r="E3962" s="100"/>
      <c r="F3962" s="100"/>
      <c r="G3962" s="100"/>
      <c r="H3962" s="100"/>
      <c r="I3962" s="100"/>
      <c r="J3962" s="100"/>
      <c r="K3962" s="100"/>
      <c r="L3962" s="100"/>
      <c r="M3962" s="100"/>
      <c r="N3962" s="100"/>
      <c r="O3962" s="100"/>
      <c r="P3962" s="100"/>
      <c r="Q3962" s="100"/>
      <c r="R3962" s="100"/>
      <c r="S3962" s="100"/>
      <c r="T3962" s="100"/>
      <c r="U3962" s="100"/>
      <c r="V3962" s="100"/>
      <c r="W3962" s="100"/>
      <c r="X3962" s="100"/>
      <c r="Y3962" s="100"/>
      <c r="Z3962" s="100"/>
    </row>
    <row r="3963" spans="1:26">
      <c r="A3963" s="100"/>
      <c r="B3963" s="100"/>
      <c r="C3963" s="100"/>
      <c r="D3963" s="100"/>
      <c r="E3963" s="100"/>
      <c r="F3963" s="100"/>
      <c r="G3963" s="100"/>
      <c r="H3963" s="100"/>
      <c r="I3963" s="100"/>
      <c r="J3963" s="100"/>
      <c r="K3963" s="100"/>
      <c r="L3963" s="100"/>
      <c r="M3963" s="100"/>
      <c r="N3963" s="100"/>
      <c r="O3963" s="100"/>
      <c r="P3963" s="100"/>
      <c r="Q3963" s="100"/>
      <c r="R3963" s="100"/>
      <c r="S3963" s="100"/>
      <c r="T3963" s="100"/>
      <c r="U3963" s="100"/>
      <c r="V3963" s="100"/>
      <c r="W3963" s="100"/>
      <c r="X3963" s="100"/>
      <c r="Y3963" s="100"/>
      <c r="Z3963" s="100"/>
    </row>
    <row r="3964" spans="1:26">
      <c r="A3964" s="100"/>
      <c r="B3964" s="100"/>
      <c r="C3964" s="100"/>
      <c r="D3964" s="100"/>
      <c r="E3964" s="100"/>
      <c r="F3964" s="100"/>
      <c r="G3964" s="100"/>
      <c r="H3964" s="100"/>
      <c r="I3964" s="100"/>
      <c r="J3964" s="100"/>
      <c r="K3964" s="100"/>
      <c r="L3964" s="100"/>
      <c r="M3964" s="100"/>
      <c r="N3964" s="100"/>
      <c r="O3964" s="100"/>
      <c r="P3964" s="100"/>
      <c r="Q3964" s="100"/>
      <c r="R3964" s="100"/>
      <c r="S3964" s="100"/>
      <c r="T3964" s="100"/>
      <c r="U3964" s="100"/>
      <c r="V3964" s="100"/>
      <c r="W3964" s="100"/>
      <c r="X3964" s="100"/>
      <c r="Y3964" s="100"/>
      <c r="Z3964" s="100"/>
    </row>
    <row r="3965" spans="1:26">
      <c r="A3965" s="100"/>
      <c r="B3965" s="100"/>
      <c r="C3965" s="100"/>
      <c r="D3965" s="100"/>
      <c r="E3965" s="100"/>
      <c r="F3965" s="100"/>
      <c r="G3965" s="100"/>
      <c r="H3965" s="100"/>
      <c r="I3965" s="100"/>
      <c r="J3965" s="100"/>
      <c r="K3965" s="100"/>
      <c r="L3965" s="100"/>
      <c r="M3965" s="100"/>
      <c r="N3965" s="100"/>
      <c r="O3965" s="100"/>
      <c r="P3965" s="100"/>
      <c r="Q3965" s="100"/>
      <c r="R3965" s="100"/>
      <c r="S3965" s="100"/>
      <c r="T3965" s="100"/>
      <c r="U3965" s="100"/>
      <c r="V3965" s="100"/>
      <c r="W3965" s="100"/>
      <c r="X3965" s="100"/>
      <c r="Y3965" s="100"/>
      <c r="Z3965" s="100"/>
    </row>
    <row r="3966" spans="1:26">
      <c r="A3966" s="100"/>
      <c r="B3966" s="100"/>
      <c r="C3966" s="100"/>
      <c r="D3966" s="100"/>
      <c r="E3966" s="100"/>
      <c r="F3966" s="100"/>
      <c r="G3966" s="100"/>
      <c r="H3966" s="100"/>
      <c r="I3966" s="100"/>
      <c r="J3966" s="100"/>
      <c r="K3966" s="100"/>
      <c r="L3966" s="100"/>
      <c r="M3966" s="100"/>
      <c r="N3966" s="100"/>
      <c r="O3966" s="100"/>
      <c r="P3966" s="100"/>
      <c r="Q3966" s="100"/>
      <c r="R3966" s="100"/>
      <c r="S3966" s="100"/>
      <c r="T3966" s="100"/>
      <c r="U3966" s="100"/>
      <c r="V3966" s="100"/>
      <c r="W3966" s="100"/>
      <c r="X3966" s="100"/>
      <c r="Y3966" s="100"/>
      <c r="Z3966" s="100"/>
    </row>
    <row r="3967" spans="1:26">
      <c r="A3967" s="100"/>
      <c r="B3967" s="100"/>
      <c r="C3967" s="100"/>
      <c r="D3967" s="100"/>
      <c r="E3967" s="100"/>
      <c r="F3967" s="100"/>
      <c r="G3967" s="100"/>
      <c r="H3967" s="100"/>
      <c r="I3967" s="100"/>
      <c r="J3967" s="100"/>
      <c r="K3967" s="100"/>
      <c r="L3967" s="100"/>
      <c r="M3967" s="100"/>
      <c r="N3967" s="100"/>
      <c r="O3967" s="100"/>
      <c r="P3967" s="100"/>
      <c r="Q3967" s="100"/>
      <c r="R3967" s="100"/>
      <c r="S3967" s="100"/>
      <c r="T3967" s="100"/>
      <c r="U3967" s="100"/>
      <c r="V3967" s="100"/>
      <c r="W3967" s="100"/>
      <c r="X3967" s="100"/>
      <c r="Y3967" s="100"/>
      <c r="Z3967" s="100"/>
    </row>
    <row r="3968" spans="1:26">
      <c r="A3968" s="100"/>
      <c r="B3968" s="100"/>
      <c r="C3968" s="100"/>
      <c r="D3968" s="100"/>
      <c r="E3968" s="100"/>
      <c r="F3968" s="100"/>
      <c r="G3968" s="100"/>
      <c r="H3968" s="100"/>
      <c r="I3968" s="100"/>
      <c r="J3968" s="100"/>
      <c r="K3968" s="100"/>
      <c r="L3968" s="100"/>
      <c r="M3968" s="100"/>
      <c r="N3968" s="100"/>
      <c r="O3968" s="100"/>
      <c r="P3968" s="100"/>
      <c r="Q3968" s="100"/>
      <c r="R3968" s="100"/>
      <c r="S3968" s="100"/>
      <c r="T3968" s="100"/>
      <c r="U3968" s="100"/>
      <c r="V3968" s="100"/>
      <c r="W3968" s="100"/>
      <c r="X3968" s="100"/>
      <c r="Y3968" s="100"/>
      <c r="Z3968" s="100"/>
    </row>
    <row r="3969" spans="1:26">
      <c r="A3969" s="100"/>
      <c r="B3969" s="100"/>
      <c r="C3969" s="100"/>
      <c r="D3969" s="100"/>
      <c r="E3969" s="100"/>
      <c r="F3969" s="100"/>
      <c r="G3969" s="100"/>
      <c r="H3969" s="100"/>
      <c r="I3969" s="100"/>
      <c r="J3969" s="100"/>
      <c r="K3969" s="100"/>
      <c r="L3969" s="100"/>
      <c r="M3969" s="100"/>
      <c r="N3969" s="100"/>
      <c r="O3969" s="100"/>
      <c r="P3969" s="100"/>
      <c r="Q3969" s="100"/>
      <c r="R3969" s="100"/>
      <c r="S3969" s="100"/>
      <c r="T3969" s="100"/>
      <c r="U3969" s="100"/>
      <c r="V3969" s="100"/>
      <c r="W3969" s="100"/>
      <c r="X3969" s="100"/>
      <c r="Y3969" s="100"/>
      <c r="Z3969" s="100"/>
    </row>
    <row r="3970" spans="1:26">
      <c r="A3970" s="100"/>
      <c r="B3970" s="100"/>
      <c r="C3970" s="100"/>
      <c r="D3970" s="100"/>
      <c r="E3970" s="100"/>
      <c r="F3970" s="100"/>
      <c r="G3970" s="100"/>
      <c r="H3970" s="100"/>
      <c r="I3970" s="100"/>
      <c r="J3970" s="100"/>
      <c r="K3970" s="100"/>
      <c r="L3970" s="100"/>
      <c r="M3970" s="100"/>
      <c r="N3970" s="100"/>
      <c r="O3970" s="100"/>
      <c r="P3970" s="100"/>
      <c r="Q3970" s="100"/>
      <c r="R3970" s="100"/>
      <c r="S3970" s="100"/>
      <c r="T3970" s="100"/>
      <c r="U3970" s="100"/>
      <c r="V3970" s="100"/>
      <c r="W3970" s="100"/>
      <c r="X3970" s="100"/>
      <c r="Y3970" s="100"/>
      <c r="Z3970" s="100"/>
    </row>
    <row r="3971" spans="1:26">
      <c r="A3971" s="100"/>
      <c r="B3971" s="100"/>
      <c r="C3971" s="100"/>
      <c r="D3971" s="100"/>
      <c r="E3971" s="100"/>
      <c r="F3971" s="100"/>
      <c r="G3971" s="100"/>
      <c r="H3971" s="100"/>
      <c r="I3971" s="100"/>
      <c r="J3971" s="100"/>
      <c r="K3971" s="100"/>
      <c r="L3971" s="100"/>
      <c r="M3971" s="100"/>
      <c r="N3971" s="100"/>
      <c r="O3971" s="100"/>
      <c r="P3971" s="100"/>
      <c r="Q3971" s="100"/>
      <c r="R3971" s="100"/>
      <c r="S3971" s="100"/>
      <c r="T3971" s="100"/>
      <c r="U3971" s="100"/>
      <c r="V3971" s="100"/>
      <c r="W3971" s="100"/>
      <c r="X3971" s="100"/>
      <c r="Y3971" s="100"/>
      <c r="Z3971" s="100"/>
    </row>
    <row r="3972" spans="1:26">
      <c r="A3972" s="100"/>
      <c r="B3972" s="100"/>
      <c r="C3972" s="100"/>
      <c r="D3972" s="100"/>
      <c r="E3972" s="100"/>
      <c r="F3972" s="100"/>
      <c r="G3972" s="100"/>
      <c r="H3972" s="100"/>
      <c r="I3972" s="100"/>
      <c r="J3972" s="100"/>
      <c r="K3972" s="100"/>
      <c r="L3972" s="100"/>
      <c r="M3972" s="100"/>
      <c r="N3972" s="100"/>
      <c r="O3972" s="100"/>
      <c r="P3972" s="100"/>
      <c r="Q3972" s="100"/>
      <c r="R3972" s="100"/>
      <c r="S3972" s="100"/>
      <c r="T3972" s="100"/>
      <c r="U3972" s="100"/>
      <c r="V3972" s="100"/>
      <c r="W3972" s="100"/>
      <c r="X3972" s="100"/>
      <c r="Y3972" s="100"/>
      <c r="Z3972" s="100"/>
    </row>
    <row r="3973" spans="1:26">
      <c r="A3973" s="100"/>
      <c r="B3973" s="100"/>
      <c r="C3973" s="100"/>
      <c r="D3973" s="100"/>
      <c r="E3973" s="100"/>
      <c r="F3973" s="100"/>
      <c r="G3973" s="100"/>
      <c r="H3973" s="100"/>
      <c r="I3973" s="100"/>
      <c r="J3973" s="100"/>
      <c r="K3973" s="100"/>
      <c r="L3973" s="100"/>
      <c r="M3973" s="100"/>
      <c r="N3973" s="100"/>
      <c r="O3973" s="100"/>
      <c r="P3973" s="100"/>
      <c r="Q3973" s="100"/>
      <c r="R3973" s="100"/>
      <c r="S3973" s="100"/>
      <c r="T3973" s="100"/>
      <c r="U3973" s="100"/>
      <c r="V3973" s="100"/>
      <c r="W3973" s="100"/>
      <c r="X3973" s="100"/>
      <c r="Y3973" s="100"/>
      <c r="Z3973" s="100"/>
    </row>
    <row r="3974" spans="1:26">
      <c r="A3974" s="100"/>
      <c r="B3974" s="100"/>
      <c r="C3974" s="100"/>
      <c r="D3974" s="100"/>
      <c r="E3974" s="100"/>
      <c r="F3974" s="100"/>
      <c r="G3974" s="100"/>
      <c r="H3974" s="100"/>
      <c r="I3974" s="100"/>
      <c r="J3974" s="100"/>
      <c r="K3974" s="100"/>
      <c r="L3974" s="100"/>
      <c r="M3974" s="100"/>
      <c r="N3974" s="100"/>
      <c r="O3974" s="100"/>
      <c r="P3974" s="100"/>
      <c r="Q3974" s="100"/>
      <c r="R3974" s="100"/>
      <c r="S3974" s="100"/>
      <c r="T3974" s="100"/>
      <c r="U3974" s="100"/>
      <c r="V3974" s="100"/>
      <c r="W3974" s="100"/>
      <c r="X3974" s="100"/>
      <c r="Y3974" s="100"/>
      <c r="Z3974" s="100"/>
    </row>
    <row r="3975" spans="1:26">
      <c r="A3975" s="100"/>
      <c r="B3975" s="100"/>
      <c r="C3975" s="100"/>
      <c r="D3975" s="100"/>
      <c r="E3975" s="100"/>
      <c r="F3975" s="100"/>
      <c r="G3975" s="100"/>
      <c r="H3975" s="100"/>
      <c r="I3975" s="100"/>
      <c r="J3975" s="100"/>
      <c r="K3975" s="100"/>
      <c r="L3975" s="100"/>
      <c r="M3975" s="100"/>
      <c r="N3975" s="100"/>
      <c r="O3975" s="100"/>
      <c r="P3975" s="100"/>
      <c r="Q3975" s="100"/>
      <c r="R3975" s="100"/>
      <c r="S3975" s="100"/>
      <c r="T3975" s="100"/>
      <c r="U3975" s="100"/>
      <c r="V3975" s="100"/>
      <c r="W3975" s="100"/>
      <c r="X3975" s="100"/>
      <c r="Y3975" s="100"/>
      <c r="Z3975" s="100"/>
    </row>
    <row r="3976" spans="1:26">
      <c r="A3976" s="100"/>
      <c r="B3976" s="100"/>
      <c r="C3976" s="100"/>
      <c r="D3976" s="100"/>
      <c r="E3976" s="100"/>
      <c r="F3976" s="100"/>
      <c r="G3976" s="100"/>
      <c r="H3976" s="100"/>
      <c r="I3976" s="100"/>
      <c r="J3976" s="100"/>
      <c r="K3976" s="100"/>
      <c r="L3976" s="100"/>
      <c r="M3976" s="100"/>
      <c r="N3976" s="100"/>
      <c r="O3976" s="100"/>
      <c r="P3976" s="100"/>
      <c r="Q3976" s="100"/>
      <c r="R3976" s="100"/>
      <c r="S3976" s="100"/>
      <c r="T3976" s="100"/>
      <c r="U3976" s="100"/>
      <c r="V3976" s="100"/>
      <c r="W3976" s="100"/>
      <c r="X3976" s="100"/>
      <c r="Y3976" s="100"/>
      <c r="Z3976" s="100"/>
    </row>
    <row r="3977" spans="1:26">
      <c r="A3977" s="100"/>
      <c r="B3977" s="100"/>
      <c r="C3977" s="100"/>
      <c r="D3977" s="100"/>
      <c r="E3977" s="100"/>
      <c r="F3977" s="100"/>
      <c r="G3977" s="100"/>
      <c r="H3977" s="100"/>
      <c r="I3977" s="100"/>
      <c r="J3977" s="100"/>
      <c r="K3977" s="100"/>
      <c r="L3977" s="100"/>
      <c r="M3977" s="100"/>
      <c r="N3977" s="100"/>
      <c r="O3977" s="100"/>
      <c r="P3977" s="100"/>
      <c r="Q3977" s="100"/>
      <c r="R3977" s="100"/>
      <c r="S3977" s="100"/>
      <c r="T3977" s="100"/>
      <c r="U3977" s="100"/>
      <c r="V3977" s="100"/>
      <c r="W3977" s="100"/>
      <c r="X3977" s="100"/>
      <c r="Y3977" s="100"/>
      <c r="Z3977" s="100"/>
    </row>
    <row r="3978" spans="1:26">
      <c r="A3978" s="100"/>
      <c r="B3978" s="100"/>
      <c r="C3978" s="100"/>
      <c r="D3978" s="100"/>
      <c r="E3978" s="100"/>
      <c r="F3978" s="100"/>
      <c r="G3978" s="100"/>
      <c r="H3978" s="100"/>
      <c r="I3978" s="100"/>
      <c r="J3978" s="100"/>
      <c r="K3978" s="100"/>
      <c r="L3978" s="100"/>
      <c r="M3978" s="100"/>
      <c r="N3978" s="100"/>
      <c r="O3978" s="100"/>
      <c r="P3978" s="100"/>
      <c r="Q3978" s="100"/>
      <c r="R3978" s="100"/>
      <c r="S3978" s="100"/>
      <c r="T3978" s="100"/>
      <c r="U3978" s="100"/>
      <c r="V3978" s="100"/>
      <c r="W3978" s="100"/>
      <c r="X3978" s="100"/>
      <c r="Y3978" s="100"/>
      <c r="Z3978" s="100"/>
    </row>
    <row r="3979" spans="1:26">
      <c r="A3979" s="100"/>
      <c r="B3979" s="100"/>
      <c r="C3979" s="100"/>
      <c r="D3979" s="100"/>
      <c r="E3979" s="100"/>
      <c r="F3979" s="100"/>
      <c r="G3979" s="100"/>
      <c r="H3979" s="100"/>
      <c r="I3979" s="100"/>
      <c r="J3979" s="100"/>
      <c r="K3979" s="100"/>
      <c r="L3979" s="100"/>
      <c r="M3979" s="100"/>
      <c r="N3979" s="100"/>
      <c r="O3979" s="100"/>
      <c r="P3979" s="100"/>
      <c r="Q3979" s="100"/>
      <c r="R3979" s="100"/>
      <c r="S3979" s="100"/>
      <c r="T3979" s="100"/>
      <c r="U3979" s="100"/>
      <c r="V3979" s="100"/>
      <c r="W3979" s="100"/>
      <c r="X3979" s="100"/>
      <c r="Y3979" s="100"/>
      <c r="Z3979" s="100"/>
    </row>
    <row r="3980" spans="1:26">
      <c r="A3980" s="100"/>
      <c r="B3980" s="100"/>
      <c r="C3980" s="100"/>
      <c r="D3980" s="100"/>
      <c r="E3980" s="100"/>
      <c r="F3980" s="100"/>
      <c r="G3980" s="100"/>
      <c r="H3980" s="100"/>
      <c r="I3980" s="100"/>
      <c r="J3980" s="100"/>
      <c r="K3980" s="100"/>
      <c r="L3980" s="100"/>
      <c r="M3980" s="100"/>
      <c r="N3980" s="100"/>
      <c r="O3980" s="100"/>
      <c r="P3980" s="100"/>
      <c r="Q3980" s="100"/>
      <c r="R3980" s="100"/>
      <c r="S3980" s="100"/>
      <c r="T3980" s="100"/>
      <c r="U3980" s="100"/>
      <c r="V3980" s="100"/>
      <c r="W3980" s="100"/>
      <c r="X3980" s="100"/>
      <c r="Y3980" s="100"/>
      <c r="Z3980" s="100"/>
    </row>
    <row r="3981" spans="1:26">
      <c r="A3981" s="100"/>
      <c r="B3981" s="100"/>
      <c r="C3981" s="100"/>
      <c r="D3981" s="100"/>
      <c r="E3981" s="100"/>
      <c r="F3981" s="100"/>
      <c r="G3981" s="100"/>
      <c r="H3981" s="100"/>
      <c r="I3981" s="100"/>
      <c r="J3981" s="100"/>
      <c r="K3981" s="100"/>
      <c r="L3981" s="100"/>
      <c r="M3981" s="100"/>
      <c r="N3981" s="100"/>
      <c r="O3981" s="100"/>
      <c r="P3981" s="100"/>
      <c r="Q3981" s="100"/>
      <c r="R3981" s="100"/>
      <c r="S3981" s="100"/>
      <c r="T3981" s="100"/>
      <c r="U3981" s="100"/>
      <c r="V3981" s="100"/>
      <c r="W3981" s="100"/>
      <c r="X3981" s="100"/>
      <c r="Y3981" s="100"/>
      <c r="Z3981" s="100"/>
    </row>
    <row r="3982" spans="1:26">
      <c r="A3982" s="100"/>
      <c r="B3982" s="100"/>
      <c r="C3982" s="100"/>
      <c r="D3982" s="100"/>
      <c r="E3982" s="100"/>
      <c r="F3982" s="100"/>
      <c r="G3982" s="100"/>
      <c r="H3982" s="100"/>
      <c r="I3982" s="100"/>
      <c r="J3982" s="100"/>
      <c r="K3982" s="100"/>
      <c r="L3982" s="100"/>
      <c r="M3982" s="100"/>
      <c r="N3982" s="100"/>
      <c r="O3982" s="100"/>
      <c r="P3982" s="100"/>
      <c r="Q3982" s="100"/>
      <c r="R3982" s="100"/>
      <c r="S3982" s="100"/>
      <c r="T3982" s="100"/>
      <c r="U3982" s="100"/>
      <c r="V3982" s="100"/>
      <c r="W3982" s="100"/>
      <c r="X3982" s="100"/>
      <c r="Y3982" s="100"/>
      <c r="Z3982" s="100"/>
    </row>
    <row r="3983" spans="1:26">
      <c r="A3983" s="100"/>
      <c r="B3983" s="100"/>
      <c r="C3983" s="100"/>
      <c r="D3983" s="100"/>
      <c r="E3983" s="100"/>
      <c r="F3983" s="100"/>
      <c r="G3983" s="100"/>
      <c r="H3983" s="100"/>
      <c r="I3983" s="100"/>
      <c r="J3983" s="100"/>
      <c r="K3983" s="100"/>
      <c r="L3983" s="100"/>
      <c r="M3983" s="100"/>
      <c r="N3983" s="100"/>
      <c r="O3983" s="100"/>
      <c r="P3983" s="100"/>
      <c r="Q3983" s="100"/>
      <c r="R3983" s="100"/>
      <c r="S3983" s="100"/>
      <c r="T3983" s="100"/>
      <c r="U3983" s="100"/>
      <c r="V3983" s="100"/>
      <c r="W3983" s="100"/>
      <c r="X3983" s="100"/>
      <c r="Y3983" s="100"/>
      <c r="Z3983" s="100"/>
    </row>
    <row r="3984" spans="1:26">
      <c r="A3984" s="100"/>
      <c r="B3984" s="100"/>
      <c r="C3984" s="100"/>
      <c r="D3984" s="100"/>
      <c r="E3984" s="100"/>
      <c r="F3984" s="100"/>
      <c r="G3984" s="100"/>
      <c r="H3984" s="100"/>
      <c r="I3984" s="100"/>
      <c r="J3984" s="100"/>
      <c r="K3984" s="100"/>
      <c r="L3984" s="100"/>
      <c r="M3984" s="100"/>
      <c r="N3984" s="100"/>
      <c r="O3984" s="100"/>
      <c r="P3984" s="100"/>
      <c r="Q3984" s="100"/>
      <c r="R3984" s="100"/>
      <c r="S3984" s="100"/>
      <c r="T3984" s="100"/>
      <c r="U3984" s="100"/>
      <c r="V3984" s="100"/>
      <c r="W3984" s="100"/>
      <c r="X3984" s="100"/>
      <c r="Y3984" s="100"/>
      <c r="Z3984" s="100"/>
    </row>
    <row r="3985" spans="1:26">
      <c r="A3985" s="100"/>
      <c r="B3985" s="100"/>
      <c r="C3985" s="100"/>
      <c r="D3985" s="100"/>
      <c r="E3985" s="100"/>
      <c r="F3985" s="100"/>
      <c r="G3985" s="100"/>
      <c r="H3985" s="100"/>
      <c r="I3985" s="100"/>
      <c r="J3985" s="100"/>
      <c r="K3985" s="100"/>
      <c r="L3985" s="100"/>
      <c r="M3985" s="100"/>
      <c r="N3985" s="100"/>
      <c r="O3985" s="100"/>
      <c r="P3985" s="100"/>
      <c r="Q3985" s="100"/>
      <c r="R3985" s="100"/>
      <c r="S3985" s="100"/>
      <c r="T3985" s="100"/>
      <c r="U3985" s="100"/>
      <c r="V3985" s="100"/>
      <c r="W3985" s="100"/>
      <c r="X3985" s="100"/>
      <c r="Y3985" s="100"/>
      <c r="Z3985" s="100"/>
    </row>
    <row r="3986" spans="1:26">
      <c r="A3986" s="100"/>
      <c r="B3986" s="100"/>
      <c r="C3986" s="100"/>
      <c r="D3986" s="100"/>
      <c r="E3986" s="100"/>
      <c r="F3986" s="100"/>
      <c r="G3986" s="100"/>
      <c r="H3986" s="100"/>
      <c r="I3986" s="100"/>
      <c r="J3986" s="100"/>
      <c r="K3986" s="100"/>
      <c r="L3986" s="100"/>
      <c r="M3986" s="100"/>
      <c r="N3986" s="100"/>
      <c r="O3986" s="100"/>
      <c r="P3986" s="100"/>
      <c r="Q3986" s="100"/>
      <c r="R3986" s="100"/>
      <c r="S3986" s="100"/>
      <c r="T3986" s="100"/>
      <c r="U3986" s="100"/>
      <c r="V3986" s="100"/>
      <c r="W3986" s="100"/>
      <c r="X3986" s="100"/>
      <c r="Y3986" s="100"/>
      <c r="Z3986" s="100"/>
    </row>
    <row r="3987" spans="1:26">
      <c r="A3987" s="100"/>
      <c r="B3987" s="100"/>
      <c r="C3987" s="100"/>
      <c r="D3987" s="100"/>
      <c r="E3987" s="100"/>
      <c r="F3987" s="100"/>
      <c r="G3987" s="100"/>
      <c r="H3987" s="100"/>
      <c r="I3987" s="100"/>
      <c r="J3987" s="100"/>
      <c r="K3987" s="100"/>
      <c r="L3987" s="100"/>
      <c r="M3987" s="100"/>
      <c r="N3987" s="100"/>
      <c r="O3987" s="100"/>
      <c r="P3987" s="100"/>
      <c r="Q3987" s="100"/>
      <c r="R3987" s="100"/>
      <c r="S3987" s="100"/>
      <c r="T3987" s="100"/>
      <c r="U3987" s="100"/>
      <c r="V3987" s="100"/>
      <c r="W3987" s="100"/>
      <c r="X3987" s="100"/>
      <c r="Y3987" s="100"/>
      <c r="Z3987" s="100"/>
    </row>
    <row r="3988" spans="1:26">
      <c r="A3988" s="100"/>
      <c r="B3988" s="100"/>
      <c r="C3988" s="100"/>
      <c r="D3988" s="100"/>
      <c r="E3988" s="100"/>
      <c r="F3988" s="100"/>
      <c r="G3988" s="100"/>
      <c r="H3988" s="100"/>
      <c r="I3988" s="100"/>
      <c r="J3988" s="100"/>
      <c r="K3988" s="100"/>
      <c r="L3988" s="100"/>
      <c r="M3988" s="100"/>
      <c r="N3988" s="100"/>
      <c r="O3988" s="100"/>
      <c r="P3988" s="100"/>
      <c r="Q3988" s="100"/>
      <c r="R3988" s="100"/>
      <c r="S3988" s="100"/>
      <c r="T3988" s="100"/>
      <c r="U3988" s="100"/>
      <c r="V3988" s="100"/>
      <c r="W3988" s="100"/>
      <c r="X3988" s="100"/>
      <c r="Y3988" s="100"/>
      <c r="Z3988" s="100"/>
    </row>
    <row r="3989" spans="1:26">
      <c r="A3989" s="100"/>
      <c r="B3989" s="100"/>
      <c r="C3989" s="100"/>
      <c r="D3989" s="100"/>
      <c r="E3989" s="100"/>
      <c r="F3989" s="100"/>
      <c r="G3989" s="100"/>
      <c r="H3989" s="100"/>
      <c r="I3989" s="100"/>
      <c r="J3989" s="100"/>
      <c r="K3989" s="100"/>
      <c r="L3989" s="100"/>
      <c r="M3989" s="100"/>
      <c r="N3989" s="100"/>
      <c r="O3989" s="100"/>
      <c r="P3989" s="100"/>
      <c r="Q3989" s="100"/>
      <c r="R3989" s="100"/>
      <c r="S3989" s="100"/>
      <c r="T3989" s="100"/>
      <c r="U3989" s="100"/>
      <c r="V3989" s="100"/>
      <c r="W3989" s="100"/>
      <c r="X3989" s="100"/>
      <c r="Y3989" s="100"/>
      <c r="Z3989" s="100"/>
    </row>
    <row r="3990" spans="1:26">
      <c r="A3990" s="100"/>
      <c r="B3990" s="100"/>
      <c r="C3990" s="100"/>
      <c r="D3990" s="100"/>
      <c r="E3990" s="100"/>
      <c r="F3990" s="100"/>
      <c r="G3990" s="100"/>
      <c r="H3990" s="100"/>
      <c r="I3990" s="100"/>
      <c r="J3990" s="100"/>
      <c r="K3990" s="100"/>
      <c r="L3990" s="100"/>
      <c r="M3990" s="100"/>
      <c r="N3990" s="100"/>
      <c r="O3990" s="100"/>
      <c r="P3990" s="100"/>
      <c r="Q3990" s="100"/>
      <c r="R3990" s="100"/>
      <c r="S3990" s="100"/>
      <c r="T3990" s="100"/>
      <c r="U3990" s="100"/>
      <c r="V3990" s="100"/>
      <c r="W3990" s="100"/>
      <c r="X3990" s="100"/>
      <c r="Y3990" s="100"/>
      <c r="Z3990" s="100"/>
    </row>
    <row r="3991" spans="1:26">
      <c r="A3991" s="100"/>
      <c r="B3991" s="100"/>
      <c r="C3991" s="100"/>
      <c r="D3991" s="100"/>
      <c r="E3991" s="100"/>
      <c r="F3991" s="100"/>
      <c r="G3991" s="100"/>
      <c r="H3991" s="100"/>
      <c r="I3991" s="100"/>
      <c r="J3991" s="100"/>
      <c r="K3991" s="100"/>
      <c r="L3991" s="100"/>
      <c r="M3991" s="100"/>
      <c r="N3991" s="100"/>
      <c r="O3991" s="100"/>
      <c r="P3991" s="100"/>
      <c r="Q3991" s="100"/>
      <c r="R3991" s="100"/>
      <c r="S3991" s="100"/>
      <c r="T3991" s="100"/>
      <c r="U3991" s="100"/>
      <c r="V3991" s="100"/>
      <c r="W3991" s="100"/>
      <c r="X3991" s="100"/>
      <c r="Y3991" s="100"/>
      <c r="Z3991" s="100"/>
    </row>
    <row r="3992" spans="1:26">
      <c r="A3992" s="100"/>
      <c r="B3992" s="100"/>
      <c r="C3992" s="100"/>
      <c r="D3992" s="100"/>
      <c r="E3992" s="100"/>
      <c r="F3992" s="100"/>
      <c r="G3992" s="100"/>
      <c r="H3992" s="100"/>
      <c r="I3992" s="100"/>
      <c r="J3992" s="100"/>
      <c r="K3992" s="100"/>
      <c r="L3992" s="100"/>
      <c r="M3992" s="100"/>
      <c r="N3992" s="100"/>
      <c r="O3992" s="100"/>
      <c r="P3992" s="100"/>
      <c r="Q3992" s="100"/>
      <c r="R3992" s="100"/>
      <c r="S3992" s="100"/>
      <c r="T3992" s="100"/>
      <c r="U3992" s="100"/>
      <c r="V3992" s="100"/>
      <c r="W3992" s="100"/>
      <c r="X3992" s="100"/>
      <c r="Y3992" s="100"/>
      <c r="Z3992" s="100"/>
    </row>
    <row r="3993" spans="1:26">
      <c r="A3993" s="100"/>
      <c r="B3993" s="100"/>
      <c r="C3993" s="100"/>
      <c r="D3993" s="100"/>
      <c r="E3993" s="100"/>
      <c r="F3993" s="100"/>
      <c r="G3993" s="100"/>
      <c r="H3993" s="100"/>
      <c r="I3993" s="100"/>
      <c r="J3993" s="100"/>
      <c r="K3993" s="100"/>
      <c r="L3993" s="100"/>
      <c r="M3993" s="100"/>
      <c r="N3993" s="100"/>
      <c r="O3993" s="100"/>
      <c r="P3993" s="100"/>
      <c r="Q3993" s="100"/>
      <c r="R3993" s="100"/>
      <c r="S3993" s="100"/>
      <c r="T3993" s="100"/>
      <c r="U3993" s="100"/>
      <c r="V3993" s="100"/>
      <c r="W3993" s="100"/>
      <c r="X3993" s="100"/>
      <c r="Y3993" s="100"/>
      <c r="Z3993" s="100"/>
    </row>
    <row r="3994" spans="1:26">
      <c r="A3994" s="100"/>
      <c r="B3994" s="100"/>
      <c r="C3994" s="100"/>
      <c r="D3994" s="100"/>
      <c r="E3994" s="100"/>
      <c r="F3994" s="100"/>
      <c r="G3994" s="100"/>
      <c r="H3994" s="100"/>
      <c r="I3994" s="100"/>
      <c r="J3994" s="100"/>
      <c r="K3994" s="100"/>
      <c r="L3994" s="100"/>
      <c r="M3994" s="100"/>
      <c r="N3994" s="100"/>
      <c r="O3994" s="100"/>
      <c r="P3994" s="100"/>
      <c r="Q3994" s="100"/>
      <c r="R3994" s="100"/>
      <c r="S3994" s="100"/>
      <c r="T3994" s="100"/>
      <c r="U3994" s="100"/>
      <c r="V3994" s="100"/>
      <c r="W3994" s="100"/>
      <c r="X3994" s="100"/>
      <c r="Y3994" s="100"/>
      <c r="Z3994" s="100"/>
    </row>
    <row r="3995" spans="1:26">
      <c r="A3995" s="100"/>
      <c r="B3995" s="100"/>
      <c r="C3995" s="100"/>
      <c r="D3995" s="100"/>
      <c r="E3995" s="100"/>
      <c r="F3995" s="100"/>
      <c r="G3995" s="100"/>
      <c r="H3995" s="100"/>
      <c r="I3995" s="100"/>
      <c r="J3995" s="100"/>
      <c r="K3995" s="100"/>
      <c r="L3995" s="100"/>
      <c r="M3995" s="100"/>
      <c r="N3995" s="100"/>
      <c r="O3995" s="100"/>
      <c r="P3995" s="100"/>
      <c r="Q3995" s="100"/>
      <c r="R3995" s="100"/>
      <c r="S3995" s="100"/>
      <c r="T3995" s="100"/>
      <c r="U3995" s="100"/>
      <c r="V3995" s="100"/>
      <c r="W3995" s="100"/>
      <c r="X3995" s="100"/>
      <c r="Y3995" s="100"/>
      <c r="Z3995" s="100"/>
    </row>
    <row r="3996" spans="1:26">
      <c r="A3996" s="100"/>
      <c r="B3996" s="100"/>
      <c r="C3996" s="100"/>
      <c r="D3996" s="100"/>
      <c r="E3996" s="100"/>
      <c r="F3996" s="100"/>
      <c r="G3996" s="100"/>
      <c r="H3996" s="100"/>
      <c r="I3996" s="100"/>
      <c r="J3996" s="100"/>
      <c r="K3996" s="100"/>
      <c r="L3996" s="100"/>
      <c r="M3996" s="100"/>
      <c r="N3996" s="100"/>
      <c r="O3996" s="100"/>
      <c r="P3996" s="100"/>
      <c r="Q3996" s="100"/>
      <c r="R3996" s="100"/>
      <c r="S3996" s="100"/>
      <c r="T3996" s="100"/>
      <c r="U3996" s="100"/>
      <c r="V3996" s="100"/>
      <c r="W3996" s="100"/>
      <c r="X3996" s="100"/>
      <c r="Y3996" s="100"/>
      <c r="Z3996" s="100"/>
    </row>
    <row r="3997" spans="1:26">
      <c r="A3997" s="100"/>
      <c r="B3997" s="100"/>
      <c r="C3997" s="100"/>
      <c r="D3997" s="100"/>
      <c r="E3997" s="100"/>
      <c r="F3997" s="100"/>
      <c r="G3997" s="100"/>
      <c r="H3997" s="100"/>
      <c r="I3997" s="100"/>
      <c r="J3997" s="100"/>
      <c r="K3997" s="100"/>
      <c r="L3997" s="100"/>
      <c r="M3997" s="100"/>
      <c r="N3997" s="100"/>
      <c r="O3997" s="100"/>
      <c r="P3997" s="100"/>
      <c r="Q3997" s="100"/>
      <c r="R3997" s="100"/>
      <c r="S3997" s="100"/>
      <c r="T3997" s="100"/>
      <c r="U3997" s="100"/>
      <c r="V3997" s="100"/>
      <c r="W3997" s="100"/>
      <c r="X3997" s="100"/>
      <c r="Y3997" s="100"/>
      <c r="Z3997" s="100"/>
    </row>
    <row r="3998" spans="1:26">
      <c r="A3998" s="100"/>
      <c r="B3998" s="100"/>
      <c r="C3998" s="100"/>
      <c r="D3998" s="100"/>
      <c r="E3998" s="100"/>
      <c r="F3998" s="100"/>
      <c r="G3998" s="100"/>
      <c r="H3998" s="100"/>
      <c r="I3998" s="100"/>
      <c r="J3998" s="100"/>
      <c r="K3998" s="100"/>
      <c r="L3998" s="100"/>
      <c r="M3998" s="100"/>
      <c r="N3998" s="100"/>
      <c r="O3998" s="100"/>
      <c r="P3998" s="100"/>
      <c r="Q3998" s="100"/>
      <c r="R3998" s="100"/>
      <c r="S3998" s="100"/>
      <c r="T3998" s="100"/>
      <c r="U3998" s="100"/>
      <c r="V3998" s="100"/>
      <c r="W3998" s="100"/>
      <c r="X3998" s="100"/>
      <c r="Y3998" s="100"/>
      <c r="Z3998" s="100"/>
    </row>
    <row r="3999" spans="1:26">
      <c r="A3999" s="100"/>
      <c r="B3999" s="100"/>
      <c r="C3999" s="100"/>
      <c r="D3999" s="100"/>
      <c r="E3999" s="100"/>
      <c r="F3999" s="100"/>
      <c r="G3999" s="100"/>
      <c r="H3999" s="100"/>
      <c r="I3999" s="100"/>
      <c r="J3999" s="100"/>
      <c r="K3999" s="100"/>
      <c r="L3999" s="100"/>
      <c r="M3999" s="100"/>
      <c r="N3999" s="100"/>
      <c r="O3999" s="100"/>
      <c r="P3999" s="100"/>
      <c r="Q3999" s="100"/>
      <c r="R3999" s="100"/>
      <c r="S3999" s="100"/>
      <c r="T3999" s="100"/>
      <c r="U3999" s="100"/>
      <c r="V3999" s="100"/>
      <c r="W3999" s="100"/>
      <c r="X3999" s="100"/>
      <c r="Y3999" s="100"/>
      <c r="Z3999" s="100"/>
    </row>
    <row r="4000" spans="1:26">
      <c r="A4000" s="100"/>
      <c r="B4000" s="100"/>
      <c r="C4000" s="100"/>
      <c r="D4000" s="100"/>
      <c r="E4000" s="100"/>
      <c r="F4000" s="100"/>
      <c r="G4000" s="100"/>
      <c r="H4000" s="100"/>
      <c r="I4000" s="100"/>
      <c r="J4000" s="100"/>
      <c r="K4000" s="100"/>
      <c r="L4000" s="100"/>
      <c r="M4000" s="100"/>
      <c r="N4000" s="100"/>
      <c r="O4000" s="100"/>
      <c r="P4000" s="100"/>
      <c r="Q4000" s="100"/>
      <c r="R4000" s="100"/>
      <c r="S4000" s="100"/>
      <c r="T4000" s="100"/>
      <c r="U4000" s="100"/>
      <c r="V4000" s="100"/>
      <c r="W4000" s="100"/>
      <c r="X4000" s="100"/>
      <c r="Y4000" s="100"/>
      <c r="Z4000" s="100"/>
    </row>
    <row r="4001" spans="1:26">
      <c r="A4001" s="100"/>
      <c r="B4001" s="100"/>
      <c r="C4001" s="100"/>
      <c r="D4001" s="100"/>
      <c r="E4001" s="100"/>
      <c r="F4001" s="100"/>
      <c r="G4001" s="100"/>
      <c r="H4001" s="100"/>
      <c r="I4001" s="100"/>
      <c r="J4001" s="100"/>
      <c r="K4001" s="100"/>
      <c r="L4001" s="100"/>
      <c r="M4001" s="100"/>
      <c r="N4001" s="100"/>
      <c r="O4001" s="100"/>
      <c r="P4001" s="100"/>
      <c r="Q4001" s="100"/>
      <c r="R4001" s="100"/>
      <c r="S4001" s="100"/>
      <c r="T4001" s="100"/>
      <c r="U4001" s="100"/>
      <c r="V4001" s="100"/>
      <c r="W4001" s="100"/>
      <c r="X4001" s="100"/>
      <c r="Y4001" s="100"/>
      <c r="Z4001" s="100"/>
    </row>
    <row r="4002" spans="1:26">
      <c r="A4002" s="100"/>
      <c r="B4002" s="100"/>
      <c r="C4002" s="100"/>
      <c r="D4002" s="100"/>
      <c r="E4002" s="100"/>
      <c r="F4002" s="100"/>
      <c r="G4002" s="100"/>
      <c r="H4002" s="100"/>
      <c r="I4002" s="100"/>
      <c r="J4002" s="100"/>
      <c r="K4002" s="100"/>
      <c r="L4002" s="100"/>
      <c r="M4002" s="100"/>
      <c r="N4002" s="100"/>
      <c r="O4002" s="100"/>
      <c r="P4002" s="100"/>
      <c r="Q4002" s="100"/>
      <c r="R4002" s="100"/>
      <c r="S4002" s="100"/>
      <c r="T4002" s="100"/>
      <c r="U4002" s="100"/>
      <c r="V4002" s="100"/>
      <c r="W4002" s="100"/>
      <c r="X4002" s="100"/>
      <c r="Y4002" s="100"/>
      <c r="Z4002" s="100"/>
    </row>
    <row r="4003" spans="1:26">
      <c r="A4003" s="100"/>
      <c r="B4003" s="100"/>
      <c r="C4003" s="100"/>
      <c r="D4003" s="100"/>
      <c r="E4003" s="100"/>
      <c r="F4003" s="100"/>
      <c r="G4003" s="100"/>
      <c r="H4003" s="100"/>
      <c r="I4003" s="100"/>
      <c r="J4003" s="100"/>
      <c r="K4003" s="100"/>
      <c r="L4003" s="100"/>
      <c r="M4003" s="100"/>
      <c r="N4003" s="100"/>
      <c r="O4003" s="100"/>
      <c r="P4003" s="100"/>
      <c r="Q4003" s="100"/>
      <c r="R4003" s="100"/>
      <c r="S4003" s="100"/>
      <c r="T4003" s="100"/>
      <c r="U4003" s="100"/>
      <c r="V4003" s="100"/>
      <c r="W4003" s="100"/>
      <c r="X4003" s="100"/>
      <c r="Y4003" s="100"/>
      <c r="Z4003" s="100"/>
    </row>
    <row r="4004" spans="1:26">
      <c r="A4004" s="100"/>
      <c r="B4004" s="100"/>
      <c r="C4004" s="100"/>
      <c r="D4004" s="100"/>
      <c r="E4004" s="100"/>
      <c r="F4004" s="100"/>
      <c r="G4004" s="100"/>
      <c r="H4004" s="100"/>
      <c r="I4004" s="100"/>
      <c r="J4004" s="100"/>
      <c r="K4004" s="100"/>
      <c r="L4004" s="100"/>
      <c r="M4004" s="100"/>
      <c r="N4004" s="100"/>
      <c r="O4004" s="100"/>
      <c r="P4004" s="100"/>
      <c r="Q4004" s="100"/>
      <c r="R4004" s="100"/>
      <c r="S4004" s="100"/>
      <c r="T4004" s="100"/>
      <c r="U4004" s="100"/>
      <c r="V4004" s="100"/>
      <c r="W4004" s="100"/>
      <c r="X4004" s="100"/>
      <c r="Y4004" s="100"/>
      <c r="Z4004" s="100"/>
    </row>
    <row r="4005" spans="1:26">
      <c r="A4005" s="100"/>
      <c r="B4005" s="100"/>
      <c r="C4005" s="100"/>
      <c r="D4005" s="100"/>
      <c r="E4005" s="100"/>
      <c r="F4005" s="100"/>
      <c r="G4005" s="100"/>
      <c r="H4005" s="100"/>
      <c r="I4005" s="100"/>
      <c r="J4005" s="100"/>
      <c r="K4005" s="100"/>
      <c r="L4005" s="100"/>
      <c r="M4005" s="100"/>
      <c r="N4005" s="100"/>
      <c r="O4005" s="100"/>
      <c r="P4005" s="100"/>
      <c r="Q4005" s="100"/>
      <c r="R4005" s="100"/>
      <c r="S4005" s="100"/>
      <c r="T4005" s="100"/>
      <c r="U4005" s="100"/>
      <c r="V4005" s="100"/>
      <c r="W4005" s="100"/>
      <c r="X4005" s="100"/>
      <c r="Y4005" s="100"/>
      <c r="Z4005" s="100"/>
    </row>
    <row r="4006" spans="1:26">
      <c r="A4006" s="100"/>
      <c r="B4006" s="100"/>
      <c r="C4006" s="100"/>
      <c r="D4006" s="100"/>
      <c r="E4006" s="100"/>
      <c r="F4006" s="100"/>
      <c r="G4006" s="100"/>
      <c r="H4006" s="100"/>
      <c r="I4006" s="100"/>
      <c r="J4006" s="100"/>
      <c r="K4006" s="100"/>
      <c r="L4006" s="100"/>
      <c r="M4006" s="100"/>
      <c r="N4006" s="100"/>
      <c r="O4006" s="100"/>
      <c r="P4006" s="100"/>
      <c r="Q4006" s="100"/>
      <c r="R4006" s="100"/>
      <c r="S4006" s="100"/>
      <c r="T4006" s="100"/>
      <c r="U4006" s="100"/>
      <c r="V4006" s="100"/>
      <c r="W4006" s="100"/>
      <c r="X4006" s="100"/>
      <c r="Y4006" s="100"/>
      <c r="Z4006" s="100"/>
    </row>
    <row r="4007" spans="1:26">
      <c r="A4007" s="100"/>
      <c r="B4007" s="100"/>
      <c r="C4007" s="100"/>
      <c r="D4007" s="100"/>
      <c r="E4007" s="100"/>
      <c r="F4007" s="100"/>
      <c r="G4007" s="100"/>
      <c r="H4007" s="100"/>
      <c r="I4007" s="100"/>
      <c r="J4007" s="100"/>
      <c r="K4007" s="100"/>
      <c r="L4007" s="100"/>
      <c r="M4007" s="100"/>
      <c r="N4007" s="100"/>
      <c r="O4007" s="100"/>
      <c r="P4007" s="100"/>
      <c r="Q4007" s="100"/>
      <c r="R4007" s="100"/>
      <c r="S4007" s="100"/>
      <c r="T4007" s="100"/>
      <c r="U4007" s="100"/>
      <c r="V4007" s="100"/>
      <c r="W4007" s="100"/>
      <c r="X4007" s="100"/>
      <c r="Y4007" s="100"/>
      <c r="Z4007" s="100"/>
    </row>
    <row r="4008" spans="1:26">
      <c r="A4008" s="100"/>
      <c r="B4008" s="100"/>
      <c r="C4008" s="100"/>
      <c r="D4008" s="100"/>
      <c r="E4008" s="100"/>
      <c r="F4008" s="100"/>
      <c r="G4008" s="100"/>
      <c r="H4008" s="100"/>
      <c r="I4008" s="100"/>
      <c r="J4008" s="100"/>
      <c r="K4008" s="100"/>
      <c r="L4008" s="100"/>
      <c r="M4008" s="100"/>
      <c r="N4008" s="100"/>
      <c r="O4008" s="100"/>
      <c r="P4008" s="100"/>
      <c r="Q4008" s="100"/>
      <c r="R4008" s="100"/>
      <c r="S4008" s="100"/>
      <c r="T4008" s="100"/>
      <c r="U4008" s="100"/>
      <c r="V4008" s="100"/>
      <c r="W4008" s="100"/>
      <c r="X4008" s="100"/>
      <c r="Y4008" s="100"/>
      <c r="Z4008" s="100"/>
    </row>
    <row r="4009" spans="1:26">
      <c r="A4009" s="100"/>
      <c r="B4009" s="100"/>
      <c r="C4009" s="100"/>
      <c r="D4009" s="100"/>
      <c r="E4009" s="100"/>
      <c r="F4009" s="100"/>
      <c r="G4009" s="100"/>
      <c r="H4009" s="100"/>
      <c r="I4009" s="100"/>
      <c r="J4009" s="100"/>
      <c r="K4009" s="100"/>
      <c r="L4009" s="100"/>
      <c r="M4009" s="100"/>
      <c r="N4009" s="100"/>
      <c r="O4009" s="100"/>
      <c r="P4009" s="100"/>
      <c r="Q4009" s="100"/>
      <c r="R4009" s="100"/>
      <c r="S4009" s="100"/>
      <c r="T4009" s="100"/>
      <c r="U4009" s="100"/>
      <c r="V4009" s="100"/>
      <c r="W4009" s="100"/>
      <c r="X4009" s="100"/>
      <c r="Y4009" s="100"/>
      <c r="Z4009" s="100"/>
    </row>
    <row r="4010" spans="1:26">
      <c r="A4010" s="100"/>
      <c r="B4010" s="100"/>
      <c r="C4010" s="100"/>
      <c r="D4010" s="100"/>
      <c r="E4010" s="100"/>
      <c r="F4010" s="100"/>
      <c r="G4010" s="100"/>
      <c r="H4010" s="100"/>
      <c r="I4010" s="100"/>
      <c r="J4010" s="100"/>
      <c r="K4010" s="100"/>
      <c r="L4010" s="100"/>
      <c r="M4010" s="100"/>
      <c r="N4010" s="100"/>
      <c r="O4010" s="100"/>
      <c r="P4010" s="100"/>
      <c r="Q4010" s="100"/>
      <c r="R4010" s="100"/>
      <c r="S4010" s="100"/>
      <c r="T4010" s="100"/>
      <c r="U4010" s="100"/>
      <c r="V4010" s="100"/>
      <c r="W4010" s="100"/>
      <c r="X4010" s="100"/>
      <c r="Y4010" s="100"/>
      <c r="Z4010" s="100"/>
    </row>
    <row r="4011" spans="1:26">
      <c r="A4011" s="100"/>
      <c r="B4011" s="100"/>
      <c r="C4011" s="100"/>
      <c r="D4011" s="100"/>
      <c r="E4011" s="100"/>
      <c r="F4011" s="100"/>
      <c r="G4011" s="100"/>
      <c r="H4011" s="100"/>
      <c r="I4011" s="100"/>
      <c r="J4011" s="100"/>
      <c r="K4011" s="100"/>
      <c r="L4011" s="100"/>
      <c r="M4011" s="100"/>
      <c r="N4011" s="100"/>
      <c r="O4011" s="100"/>
      <c r="P4011" s="100"/>
      <c r="Q4011" s="100"/>
      <c r="R4011" s="100"/>
      <c r="S4011" s="100"/>
      <c r="T4011" s="100"/>
      <c r="U4011" s="100"/>
      <c r="V4011" s="100"/>
      <c r="W4011" s="100"/>
      <c r="X4011" s="100"/>
      <c r="Y4011" s="100"/>
      <c r="Z4011" s="100"/>
    </row>
    <row r="4012" spans="1:26">
      <c r="A4012" s="100"/>
      <c r="B4012" s="100"/>
      <c r="C4012" s="100"/>
      <c r="D4012" s="100"/>
      <c r="E4012" s="100"/>
      <c r="F4012" s="100"/>
      <c r="G4012" s="100"/>
      <c r="H4012" s="100"/>
      <c r="I4012" s="100"/>
      <c r="J4012" s="100"/>
      <c r="K4012" s="100"/>
      <c r="L4012" s="100"/>
      <c r="M4012" s="100"/>
      <c r="N4012" s="100"/>
      <c r="O4012" s="100"/>
      <c r="P4012" s="100"/>
      <c r="Q4012" s="100"/>
      <c r="R4012" s="100"/>
      <c r="S4012" s="100"/>
      <c r="T4012" s="100"/>
      <c r="U4012" s="100"/>
      <c r="V4012" s="100"/>
      <c r="W4012" s="100"/>
      <c r="X4012" s="100"/>
      <c r="Y4012" s="100"/>
      <c r="Z4012" s="100"/>
    </row>
    <row r="4013" spans="1:26">
      <c r="A4013" s="100"/>
      <c r="B4013" s="100"/>
      <c r="C4013" s="100"/>
      <c r="D4013" s="100"/>
      <c r="E4013" s="100"/>
      <c r="F4013" s="100"/>
      <c r="G4013" s="100"/>
      <c r="H4013" s="100"/>
      <c r="I4013" s="100"/>
      <c r="J4013" s="100"/>
      <c r="K4013" s="100"/>
      <c r="L4013" s="100"/>
      <c r="M4013" s="100"/>
      <c r="N4013" s="100"/>
      <c r="O4013" s="100"/>
      <c r="P4013" s="100"/>
      <c r="Q4013" s="100"/>
      <c r="R4013" s="100"/>
      <c r="S4013" s="100"/>
      <c r="T4013" s="100"/>
      <c r="U4013" s="100"/>
      <c r="V4013" s="100"/>
      <c r="W4013" s="100"/>
      <c r="X4013" s="100"/>
      <c r="Y4013" s="100"/>
      <c r="Z4013" s="100"/>
    </row>
    <row r="4014" spans="1:26">
      <c r="A4014" s="100"/>
      <c r="B4014" s="100"/>
      <c r="C4014" s="100"/>
      <c r="D4014" s="100"/>
      <c r="E4014" s="100"/>
      <c r="F4014" s="100"/>
      <c r="G4014" s="100"/>
      <c r="H4014" s="100"/>
      <c r="I4014" s="100"/>
      <c r="J4014" s="100"/>
      <c r="K4014" s="100"/>
      <c r="L4014" s="100"/>
      <c r="M4014" s="100"/>
      <c r="N4014" s="100"/>
      <c r="O4014" s="100"/>
      <c r="P4014" s="100"/>
      <c r="Q4014" s="100"/>
      <c r="R4014" s="100"/>
      <c r="S4014" s="100"/>
      <c r="T4014" s="100"/>
      <c r="U4014" s="100"/>
      <c r="V4014" s="100"/>
      <c r="W4014" s="100"/>
      <c r="X4014" s="100"/>
      <c r="Y4014" s="100"/>
      <c r="Z4014" s="100"/>
    </row>
    <row r="4015" spans="1:26">
      <c r="A4015" s="100"/>
      <c r="B4015" s="100"/>
      <c r="C4015" s="100"/>
      <c r="D4015" s="100"/>
      <c r="E4015" s="100"/>
      <c r="F4015" s="100"/>
      <c r="G4015" s="100"/>
      <c r="H4015" s="100"/>
      <c r="I4015" s="100"/>
      <c r="J4015" s="100"/>
      <c r="K4015" s="100"/>
      <c r="L4015" s="100"/>
      <c r="M4015" s="100"/>
      <c r="N4015" s="100"/>
      <c r="O4015" s="100"/>
      <c r="P4015" s="100"/>
      <c r="Q4015" s="100"/>
      <c r="R4015" s="100"/>
      <c r="S4015" s="100"/>
      <c r="T4015" s="100"/>
      <c r="U4015" s="100"/>
      <c r="V4015" s="100"/>
      <c r="W4015" s="100"/>
      <c r="X4015" s="100"/>
      <c r="Y4015" s="100"/>
      <c r="Z4015" s="100"/>
    </row>
    <row r="4016" spans="1:26">
      <c r="A4016" s="100"/>
      <c r="B4016" s="100"/>
      <c r="C4016" s="100"/>
      <c r="D4016" s="100"/>
      <c r="E4016" s="100"/>
      <c r="F4016" s="100"/>
      <c r="G4016" s="100"/>
      <c r="H4016" s="100"/>
      <c r="I4016" s="100"/>
      <c r="J4016" s="100"/>
      <c r="K4016" s="100"/>
      <c r="L4016" s="100"/>
      <c r="M4016" s="100"/>
      <c r="N4016" s="100"/>
      <c r="O4016" s="100"/>
      <c r="P4016" s="100"/>
      <c r="Q4016" s="100"/>
      <c r="R4016" s="100"/>
      <c r="S4016" s="100"/>
      <c r="T4016" s="100"/>
      <c r="U4016" s="100"/>
      <c r="V4016" s="100"/>
      <c r="W4016" s="100"/>
      <c r="X4016" s="100"/>
      <c r="Y4016" s="100"/>
      <c r="Z4016" s="100"/>
    </row>
    <row r="4017" spans="1:26">
      <c r="A4017" s="100"/>
      <c r="B4017" s="100"/>
      <c r="C4017" s="100"/>
      <c r="D4017" s="100"/>
      <c r="E4017" s="100"/>
      <c r="F4017" s="100"/>
      <c r="G4017" s="100"/>
      <c r="H4017" s="100"/>
      <c r="I4017" s="100"/>
      <c r="J4017" s="100"/>
      <c r="K4017" s="100"/>
      <c r="L4017" s="100"/>
      <c r="M4017" s="100"/>
      <c r="N4017" s="100"/>
      <c r="O4017" s="100"/>
      <c r="P4017" s="100"/>
      <c r="Q4017" s="100"/>
      <c r="R4017" s="100"/>
      <c r="S4017" s="100"/>
      <c r="T4017" s="100"/>
      <c r="U4017" s="100"/>
      <c r="V4017" s="100"/>
      <c r="W4017" s="100"/>
      <c r="X4017" s="100"/>
      <c r="Y4017" s="100"/>
      <c r="Z4017" s="100"/>
    </row>
    <row r="4018" spans="1:26">
      <c r="A4018" s="100"/>
      <c r="B4018" s="100"/>
      <c r="C4018" s="100"/>
      <c r="D4018" s="100"/>
      <c r="E4018" s="100"/>
      <c r="F4018" s="100"/>
      <c r="G4018" s="100"/>
      <c r="H4018" s="100"/>
      <c r="I4018" s="100"/>
      <c r="J4018" s="100"/>
      <c r="K4018" s="100"/>
      <c r="L4018" s="100"/>
      <c r="M4018" s="100"/>
      <c r="N4018" s="100"/>
      <c r="O4018" s="100"/>
      <c r="P4018" s="100"/>
      <c r="Q4018" s="100"/>
      <c r="R4018" s="100"/>
      <c r="S4018" s="100"/>
      <c r="T4018" s="100"/>
      <c r="U4018" s="100"/>
      <c r="V4018" s="100"/>
      <c r="W4018" s="100"/>
      <c r="X4018" s="100"/>
      <c r="Y4018" s="100"/>
      <c r="Z4018" s="100"/>
    </row>
    <row r="4019" spans="1:26">
      <c r="A4019" s="100"/>
      <c r="B4019" s="100"/>
      <c r="C4019" s="100"/>
      <c r="D4019" s="100"/>
      <c r="E4019" s="100"/>
      <c r="F4019" s="100"/>
      <c r="G4019" s="100"/>
      <c r="H4019" s="100"/>
      <c r="I4019" s="100"/>
      <c r="J4019" s="100"/>
      <c r="K4019" s="100"/>
      <c r="L4019" s="100"/>
      <c r="M4019" s="100"/>
      <c r="N4019" s="100"/>
      <c r="O4019" s="100"/>
      <c r="P4019" s="100"/>
      <c r="Q4019" s="100"/>
      <c r="R4019" s="100"/>
      <c r="S4019" s="100"/>
      <c r="T4019" s="100"/>
      <c r="U4019" s="100"/>
      <c r="V4019" s="100"/>
      <c r="W4019" s="100"/>
      <c r="X4019" s="100"/>
      <c r="Y4019" s="100"/>
      <c r="Z4019" s="100"/>
    </row>
    <row r="4020" spans="1:26">
      <c r="A4020" s="100"/>
      <c r="B4020" s="100"/>
      <c r="C4020" s="100"/>
      <c r="D4020" s="100"/>
      <c r="E4020" s="100"/>
      <c r="F4020" s="100"/>
      <c r="G4020" s="100"/>
      <c r="H4020" s="100"/>
      <c r="I4020" s="100"/>
      <c r="J4020" s="100"/>
      <c r="K4020" s="100"/>
      <c r="L4020" s="100"/>
      <c r="M4020" s="100"/>
      <c r="N4020" s="100"/>
      <c r="O4020" s="100"/>
      <c r="P4020" s="100"/>
      <c r="Q4020" s="100"/>
      <c r="R4020" s="100"/>
      <c r="S4020" s="100"/>
      <c r="T4020" s="100"/>
      <c r="U4020" s="100"/>
      <c r="V4020" s="100"/>
      <c r="W4020" s="100"/>
      <c r="X4020" s="100"/>
      <c r="Y4020" s="100"/>
      <c r="Z4020" s="100"/>
    </row>
    <row r="4021" spans="1:26">
      <c r="A4021" s="100"/>
      <c r="B4021" s="100"/>
      <c r="C4021" s="100"/>
      <c r="D4021" s="100"/>
      <c r="E4021" s="100"/>
      <c r="F4021" s="100"/>
      <c r="G4021" s="100"/>
      <c r="H4021" s="100"/>
      <c r="I4021" s="100"/>
      <c r="J4021" s="100"/>
      <c r="K4021" s="100"/>
      <c r="L4021" s="100"/>
      <c r="M4021" s="100"/>
      <c r="N4021" s="100"/>
      <c r="O4021" s="100"/>
      <c r="P4021" s="100"/>
      <c r="Q4021" s="100"/>
      <c r="R4021" s="100"/>
      <c r="S4021" s="100"/>
      <c r="T4021" s="100"/>
      <c r="U4021" s="100"/>
      <c r="V4021" s="100"/>
      <c r="W4021" s="100"/>
      <c r="X4021" s="100"/>
      <c r="Y4021" s="100"/>
      <c r="Z4021" s="100"/>
    </row>
    <row r="4022" spans="1:26">
      <c r="A4022" s="100"/>
      <c r="B4022" s="100"/>
      <c r="C4022" s="100"/>
      <c r="D4022" s="100"/>
      <c r="E4022" s="100"/>
      <c r="F4022" s="100"/>
      <c r="G4022" s="100"/>
      <c r="H4022" s="100"/>
      <c r="I4022" s="100"/>
      <c r="J4022" s="100"/>
      <c r="K4022" s="100"/>
      <c r="L4022" s="100"/>
      <c r="M4022" s="100"/>
      <c r="N4022" s="100"/>
      <c r="O4022" s="100"/>
      <c r="P4022" s="100"/>
      <c r="Q4022" s="100"/>
      <c r="R4022" s="100"/>
      <c r="S4022" s="100"/>
      <c r="T4022" s="100"/>
      <c r="U4022" s="100"/>
      <c r="V4022" s="100"/>
      <c r="W4022" s="100"/>
      <c r="X4022" s="100"/>
      <c r="Y4022" s="100"/>
      <c r="Z4022" s="100"/>
    </row>
    <row r="4023" spans="1:26">
      <c r="A4023" s="100"/>
      <c r="B4023" s="100"/>
      <c r="C4023" s="100"/>
      <c r="D4023" s="100"/>
      <c r="E4023" s="100"/>
      <c r="F4023" s="100"/>
      <c r="G4023" s="100"/>
      <c r="H4023" s="100"/>
      <c r="I4023" s="100"/>
      <c r="J4023" s="100"/>
      <c r="K4023" s="100"/>
      <c r="L4023" s="100"/>
      <c r="M4023" s="100"/>
      <c r="N4023" s="100"/>
      <c r="O4023" s="100"/>
      <c r="P4023" s="100"/>
      <c r="Q4023" s="100"/>
      <c r="R4023" s="100"/>
      <c r="S4023" s="100"/>
      <c r="T4023" s="100"/>
      <c r="U4023" s="100"/>
      <c r="V4023" s="100"/>
      <c r="W4023" s="100"/>
      <c r="X4023" s="100"/>
      <c r="Y4023" s="100"/>
      <c r="Z4023" s="100"/>
    </row>
    <row r="4024" spans="1:26">
      <c r="A4024" s="100"/>
      <c r="B4024" s="100"/>
      <c r="C4024" s="100"/>
      <c r="D4024" s="100"/>
      <c r="E4024" s="100"/>
      <c r="F4024" s="100"/>
      <c r="G4024" s="100"/>
      <c r="H4024" s="100"/>
      <c r="I4024" s="100"/>
      <c r="J4024" s="100"/>
      <c r="K4024" s="100"/>
      <c r="L4024" s="100"/>
      <c r="M4024" s="100"/>
      <c r="N4024" s="100"/>
      <c r="O4024" s="100"/>
      <c r="P4024" s="100"/>
      <c r="Q4024" s="100"/>
      <c r="R4024" s="100"/>
      <c r="S4024" s="100"/>
      <c r="T4024" s="100"/>
      <c r="U4024" s="100"/>
      <c r="V4024" s="100"/>
      <c r="W4024" s="100"/>
      <c r="X4024" s="100"/>
      <c r="Y4024" s="100"/>
      <c r="Z4024" s="100"/>
    </row>
    <row r="4025" spans="1:26">
      <c r="A4025" s="100"/>
      <c r="B4025" s="100"/>
      <c r="C4025" s="100"/>
      <c r="D4025" s="100"/>
      <c r="E4025" s="100"/>
      <c r="F4025" s="100"/>
      <c r="G4025" s="100"/>
      <c r="H4025" s="100"/>
      <c r="I4025" s="100"/>
      <c r="J4025" s="100"/>
      <c r="K4025" s="100"/>
      <c r="L4025" s="100"/>
      <c r="M4025" s="100"/>
      <c r="N4025" s="100"/>
      <c r="O4025" s="100"/>
      <c r="P4025" s="100"/>
      <c r="Q4025" s="100"/>
      <c r="R4025" s="100"/>
      <c r="S4025" s="100"/>
      <c r="T4025" s="100"/>
      <c r="U4025" s="100"/>
      <c r="V4025" s="100"/>
      <c r="W4025" s="100"/>
      <c r="X4025" s="100"/>
      <c r="Y4025" s="100"/>
      <c r="Z4025" s="100"/>
    </row>
    <row r="4026" spans="1:26">
      <c r="A4026" s="100"/>
      <c r="B4026" s="100"/>
      <c r="C4026" s="100"/>
      <c r="D4026" s="100"/>
      <c r="E4026" s="100"/>
      <c r="F4026" s="100"/>
      <c r="G4026" s="100"/>
      <c r="H4026" s="100"/>
      <c r="I4026" s="100"/>
      <c r="J4026" s="100"/>
      <c r="K4026" s="100"/>
      <c r="L4026" s="100"/>
      <c r="M4026" s="100"/>
      <c r="N4026" s="100"/>
      <c r="O4026" s="100"/>
      <c r="P4026" s="100"/>
      <c r="Q4026" s="100"/>
      <c r="R4026" s="100"/>
      <c r="S4026" s="100"/>
      <c r="T4026" s="100"/>
      <c r="U4026" s="100"/>
      <c r="V4026" s="100"/>
      <c r="W4026" s="100"/>
      <c r="X4026" s="100"/>
      <c r="Y4026" s="100"/>
      <c r="Z4026" s="100"/>
    </row>
    <row r="4027" spans="1:26">
      <c r="A4027" s="100"/>
      <c r="B4027" s="100"/>
      <c r="C4027" s="100"/>
      <c r="D4027" s="100"/>
      <c r="E4027" s="100"/>
      <c r="F4027" s="100"/>
      <c r="G4027" s="100"/>
      <c r="H4027" s="100"/>
      <c r="I4027" s="100"/>
      <c r="J4027" s="100"/>
      <c r="K4027" s="100"/>
      <c r="L4027" s="100"/>
      <c r="M4027" s="100"/>
      <c r="N4027" s="100"/>
      <c r="O4027" s="100"/>
      <c r="P4027" s="100"/>
      <c r="Q4027" s="100"/>
      <c r="R4027" s="100"/>
      <c r="S4027" s="100"/>
      <c r="T4027" s="100"/>
      <c r="U4027" s="100"/>
      <c r="V4027" s="100"/>
      <c r="W4027" s="100"/>
      <c r="X4027" s="100"/>
      <c r="Y4027" s="100"/>
      <c r="Z4027" s="100"/>
    </row>
    <row r="4028" spans="1:26">
      <c r="A4028" s="100"/>
      <c r="B4028" s="100"/>
      <c r="C4028" s="100"/>
      <c r="D4028" s="100"/>
      <c r="E4028" s="100"/>
      <c r="F4028" s="100"/>
      <c r="G4028" s="100"/>
      <c r="H4028" s="100"/>
      <c r="I4028" s="100"/>
      <c r="J4028" s="100"/>
      <c r="K4028" s="100"/>
      <c r="L4028" s="100"/>
      <c r="M4028" s="100"/>
      <c r="N4028" s="100"/>
      <c r="O4028" s="100"/>
      <c r="P4028" s="100"/>
      <c r="Q4028" s="100"/>
      <c r="R4028" s="100"/>
      <c r="S4028" s="100"/>
      <c r="T4028" s="100"/>
      <c r="U4028" s="100"/>
      <c r="V4028" s="100"/>
      <c r="W4028" s="100"/>
      <c r="X4028" s="100"/>
      <c r="Y4028" s="100"/>
      <c r="Z4028" s="100"/>
    </row>
    <row r="4029" spans="1:26">
      <c r="A4029" s="100"/>
      <c r="B4029" s="100"/>
      <c r="C4029" s="100"/>
      <c r="D4029" s="100"/>
      <c r="E4029" s="100"/>
      <c r="F4029" s="100"/>
      <c r="G4029" s="100"/>
      <c r="H4029" s="100"/>
      <c r="I4029" s="100"/>
      <c r="J4029" s="100"/>
      <c r="K4029" s="100"/>
      <c r="L4029" s="100"/>
      <c r="M4029" s="100"/>
      <c r="N4029" s="100"/>
      <c r="O4029" s="100"/>
      <c r="P4029" s="100"/>
      <c r="Q4029" s="100"/>
      <c r="R4029" s="100"/>
      <c r="S4029" s="100"/>
      <c r="T4029" s="100"/>
      <c r="U4029" s="100"/>
      <c r="V4029" s="100"/>
      <c r="W4029" s="100"/>
      <c r="X4029" s="100"/>
      <c r="Y4029" s="100"/>
      <c r="Z4029" s="100"/>
    </row>
    <row r="4030" spans="1:26">
      <c r="A4030" s="100"/>
      <c r="B4030" s="100"/>
      <c r="C4030" s="100"/>
      <c r="D4030" s="100"/>
      <c r="E4030" s="100"/>
      <c r="F4030" s="100"/>
      <c r="G4030" s="100"/>
      <c r="H4030" s="100"/>
      <c r="I4030" s="100"/>
      <c r="J4030" s="100"/>
      <c r="K4030" s="100"/>
      <c r="L4030" s="100"/>
      <c r="M4030" s="100"/>
      <c r="N4030" s="100"/>
      <c r="O4030" s="100"/>
      <c r="P4030" s="100"/>
      <c r="Q4030" s="100"/>
      <c r="R4030" s="100"/>
      <c r="S4030" s="100"/>
      <c r="T4030" s="100"/>
      <c r="U4030" s="100"/>
      <c r="V4030" s="100"/>
      <c r="W4030" s="100"/>
      <c r="X4030" s="100"/>
      <c r="Y4030" s="100"/>
      <c r="Z4030" s="100"/>
    </row>
    <row r="4031" spans="1:26">
      <c r="A4031" s="100"/>
      <c r="B4031" s="100"/>
      <c r="C4031" s="100"/>
      <c r="D4031" s="100"/>
      <c r="E4031" s="100"/>
      <c r="F4031" s="100"/>
      <c r="G4031" s="100"/>
      <c r="H4031" s="100"/>
      <c r="I4031" s="100"/>
      <c r="J4031" s="100"/>
      <c r="K4031" s="100"/>
      <c r="L4031" s="100"/>
      <c r="M4031" s="100"/>
      <c r="N4031" s="100"/>
      <c r="O4031" s="100"/>
      <c r="P4031" s="100"/>
      <c r="Q4031" s="100"/>
      <c r="R4031" s="100"/>
      <c r="S4031" s="100"/>
      <c r="T4031" s="100"/>
      <c r="U4031" s="100"/>
      <c r="V4031" s="100"/>
      <c r="W4031" s="100"/>
      <c r="X4031" s="100"/>
      <c r="Y4031" s="100"/>
      <c r="Z4031" s="100"/>
    </row>
    <row r="4032" spans="1:26">
      <c r="A4032" s="100"/>
      <c r="B4032" s="100"/>
      <c r="C4032" s="100"/>
      <c r="D4032" s="100"/>
      <c r="E4032" s="100"/>
      <c r="F4032" s="100"/>
      <c r="G4032" s="100"/>
      <c r="H4032" s="100"/>
      <c r="I4032" s="100"/>
      <c r="J4032" s="100"/>
      <c r="K4032" s="100"/>
      <c r="L4032" s="100"/>
      <c r="M4032" s="100"/>
      <c r="N4032" s="100"/>
      <c r="O4032" s="100"/>
      <c r="P4032" s="100"/>
      <c r="Q4032" s="100"/>
      <c r="R4032" s="100"/>
      <c r="S4032" s="100"/>
      <c r="T4032" s="100"/>
      <c r="U4032" s="100"/>
      <c r="V4032" s="100"/>
      <c r="W4032" s="100"/>
      <c r="X4032" s="100"/>
      <c r="Y4032" s="100"/>
      <c r="Z4032" s="100"/>
    </row>
    <row r="4033" spans="1:26">
      <c r="A4033" s="100"/>
      <c r="B4033" s="100"/>
      <c r="C4033" s="100"/>
      <c r="D4033" s="100"/>
      <c r="E4033" s="100"/>
      <c r="F4033" s="100"/>
      <c r="G4033" s="100"/>
      <c r="H4033" s="100"/>
      <c r="I4033" s="100"/>
      <c r="J4033" s="100"/>
      <c r="K4033" s="100"/>
      <c r="L4033" s="100"/>
      <c r="M4033" s="100"/>
      <c r="N4033" s="100"/>
      <c r="O4033" s="100"/>
      <c r="P4033" s="100"/>
      <c r="Q4033" s="100"/>
      <c r="R4033" s="100"/>
      <c r="S4033" s="100"/>
      <c r="T4033" s="100"/>
      <c r="U4033" s="100"/>
      <c r="V4033" s="100"/>
      <c r="W4033" s="100"/>
      <c r="X4033" s="100"/>
      <c r="Y4033" s="100"/>
      <c r="Z4033" s="100"/>
    </row>
    <row r="4034" spans="1:26">
      <c r="A4034" s="100"/>
      <c r="B4034" s="100"/>
      <c r="C4034" s="100"/>
      <c r="D4034" s="100"/>
      <c r="E4034" s="100"/>
      <c r="F4034" s="100"/>
      <c r="G4034" s="100"/>
      <c r="H4034" s="100"/>
      <c r="I4034" s="100"/>
      <c r="J4034" s="100"/>
      <c r="K4034" s="100"/>
      <c r="L4034" s="100"/>
      <c r="M4034" s="100"/>
      <c r="N4034" s="100"/>
      <c r="O4034" s="100"/>
      <c r="P4034" s="100"/>
      <c r="Q4034" s="100"/>
      <c r="R4034" s="100"/>
      <c r="S4034" s="100"/>
      <c r="T4034" s="100"/>
      <c r="U4034" s="100"/>
      <c r="V4034" s="100"/>
      <c r="W4034" s="100"/>
      <c r="X4034" s="100"/>
      <c r="Y4034" s="100"/>
      <c r="Z4034" s="100"/>
    </row>
    <row r="4035" spans="1:26">
      <c r="A4035" s="100"/>
      <c r="B4035" s="100"/>
      <c r="C4035" s="100"/>
      <c r="D4035" s="100"/>
      <c r="E4035" s="100"/>
      <c r="F4035" s="100"/>
      <c r="G4035" s="100"/>
      <c r="H4035" s="100"/>
      <c r="I4035" s="100"/>
      <c r="J4035" s="100"/>
      <c r="K4035" s="100"/>
      <c r="L4035" s="100"/>
      <c r="M4035" s="100"/>
      <c r="N4035" s="100"/>
      <c r="O4035" s="100"/>
      <c r="P4035" s="100"/>
      <c r="Q4035" s="100"/>
      <c r="R4035" s="100"/>
      <c r="S4035" s="100"/>
      <c r="T4035" s="100"/>
      <c r="U4035" s="100"/>
      <c r="V4035" s="100"/>
      <c r="W4035" s="100"/>
      <c r="X4035" s="100"/>
      <c r="Y4035" s="100"/>
      <c r="Z4035" s="100"/>
    </row>
    <row r="4036" spans="1:26">
      <c r="A4036" s="100"/>
      <c r="B4036" s="100"/>
      <c r="C4036" s="100"/>
      <c r="D4036" s="100"/>
      <c r="E4036" s="100"/>
      <c r="F4036" s="100"/>
      <c r="G4036" s="100"/>
      <c r="H4036" s="100"/>
      <c r="I4036" s="100"/>
      <c r="J4036" s="100"/>
      <c r="K4036" s="100"/>
      <c r="L4036" s="100"/>
      <c r="M4036" s="100"/>
      <c r="N4036" s="100"/>
      <c r="O4036" s="100"/>
      <c r="P4036" s="100"/>
      <c r="Q4036" s="100"/>
      <c r="R4036" s="100"/>
      <c r="S4036" s="100"/>
      <c r="T4036" s="100"/>
      <c r="U4036" s="100"/>
      <c r="V4036" s="100"/>
      <c r="W4036" s="100"/>
      <c r="X4036" s="100"/>
      <c r="Y4036" s="100"/>
      <c r="Z4036" s="100"/>
    </row>
    <row r="4037" spans="1:26">
      <c r="A4037" s="100"/>
      <c r="B4037" s="100"/>
      <c r="C4037" s="100"/>
      <c r="D4037" s="100"/>
      <c r="E4037" s="100"/>
      <c r="F4037" s="100"/>
      <c r="G4037" s="100"/>
      <c r="H4037" s="100"/>
      <c r="I4037" s="100"/>
      <c r="J4037" s="100"/>
      <c r="K4037" s="100"/>
      <c r="L4037" s="100"/>
      <c r="M4037" s="100"/>
      <c r="N4037" s="100"/>
      <c r="O4037" s="100"/>
      <c r="P4037" s="100"/>
      <c r="Q4037" s="100"/>
      <c r="R4037" s="100"/>
      <c r="S4037" s="100"/>
      <c r="T4037" s="100"/>
      <c r="U4037" s="100"/>
      <c r="V4037" s="100"/>
      <c r="W4037" s="100"/>
      <c r="X4037" s="100"/>
      <c r="Y4037" s="100"/>
      <c r="Z4037" s="100"/>
    </row>
    <row r="4038" spans="1:26">
      <c r="A4038" s="100"/>
      <c r="B4038" s="100"/>
      <c r="C4038" s="100"/>
      <c r="D4038" s="100"/>
      <c r="E4038" s="100"/>
      <c r="F4038" s="100"/>
      <c r="G4038" s="100"/>
      <c r="H4038" s="100"/>
      <c r="I4038" s="100"/>
      <c r="J4038" s="100"/>
      <c r="K4038" s="100"/>
      <c r="L4038" s="100"/>
      <c r="M4038" s="100"/>
      <c r="N4038" s="100"/>
      <c r="O4038" s="100"/>
      <c r="P4038" s="100"/>
      <c r="Q4038" s="100"/>
      <c r="R4038" s="100"/>
      <c r="S4038" s="100"/>
      <c r="T4038" s="100"/>
      <c r="U4038" s="100"/>
      <c r="V4038" s="100"/>
      <c r="W4038" s="100"/>
      <c r="X4038" s="100"/>
      <c r="Y4038" s="100"/>
      <c r="Z4038" s="100"/>
    </row>
    <row r="4039" spans="1:26">
      <c r="A4039" s="100"/>
      <c r="B4039" s="100"/>
      <c r="C4039" s="100"/>
      <c r="D4039" s="100"/>
      <c r="E4039" s="100"/>
      <c r="F4039" s="100"/>
      <c r="G4039" s="100"/>
      <c r="H4039" s="100"/>
      <c r="I4039" s="100"/>
      <c r="J4039" s="100"/>
      <c r="K4039" s="100"/>
      <c r="L4039" s="100"/>
      <c r="M4039" s="100"/>
      <c r="N4039" s="100"/>
      <c r="O4039" s="100"/>
      <c r="P4039" s="100"/>
      <c r="Q4039" s="100"/>
      <c r="R4039" s="100"/>
      <c r="S4039" s="100"/>
      <c r="T4039" s="100"/>
      <c r="U4039" s="100"/>
      <c r="V4039" s="100"/>
      <c r="W4039" s="100"/>
      <c r="X4039" s="100"/>
      <c r="Y4039" s="100"/>
      <c r="Z4039" s="100"/>
    </row>
    <row r="4040" spans="1:26">
      <c r="A4040" s="100"/>
      <c r="B4040" s="100"/>
      <c r="C4040" s="100"/>
      <c r="D4040" s="100"/>
      <c r="E4040" s="100"/>
      <c r="F4040" s="100"/>
      <c r="G4040" s="100"/>
      <c r="H4040" s="100"/>
      <c r="I4040" s="100"/>
      <c r="J4040" s="100"/>
      <c r="K4040" s="100"/>
      <c r="L4040" s="100"/>
      <c r="M4040" s="100"/>
      <c r="N4040" s="100"/>
      <c r="O4040" s="100"/>
      <c r="P4040" s="100"/>
      <c r="Q4040" s="100"/>
      <c r="R4040" s="100"/>
      <c r="S4040" s="100"/>
      <c r="T4040" s="100"/>
      <c r="U4040" s="100"/>
      <c r="V4040" s="100"/>
      <c r="W4040" s="100"/>
      <c r="X4040" s="100"/>
      <c r="Y4040" s="100"/>
      <c r="Z4040" s="100"/>
    </row>
    <row r="4041" spans="1:26">
      <c r="A4041" s="100"/>
      <c r="B4041" s="100"/>
      <c r="C4041" s="100"/>
      <c r="D4041" s="100"/>
      <c r="E4041" s="100"/>
      <c r="F4041" s="100"/>
      <c r="G4041" s="100"/>
      <c r="H4041" s="100"/>
      <c r="I4041" s="100"/>
      <c r="J4041" s="100"/>
      <c r="K4041" s="100"/>
      <c r="L4041" s="100"/>
      <c r="M4041" s="100"/>
      <c r="N4041" s="100"/>
      <c r="O4041" s="100"/>
      <c r="P4041" s="100"/>
      <c r="Q4041" s="100"/>
      <c r="R4041" s="100"/>
      <c r="S4041" s="100"/>
      <c r="T4041" s="100"/>
      <c r="U4041" s="100"/>
      <c r="V4041" s="100"/>
      <c r="W4041" s="100"/>
      <c r="X4041" s="100"/>
      <c r="Y4041" s="100"/>
      <c r="Z4041" s="100"/>
    </row>
    <row r="4042" spans="1:26">
      <c r="A4042" s="100"/>
      <c r="B4042" s="100"/>
      <c r="C4042" s="100"/>
      <c r="D4042" s="100"/>
      <c r="E4042" s="100"/>
      <c r="F4042" s="100"/>
      <c r="G4042" s="100"/>
      <c r="H4042" s="100"/>
      <c r="I4042" s="100"/>
      <c r="J4042" s="100"/>
      <c r="K4042" s="100"/>
      <c r="L4042" s="100"/>
      <c r="M4042" s="100"/>
      <c r="N4042" s="100"/>
      <c r="O4042" s="100"/>
      <c r="P4042" s="100"/>
      <c r="Q4042" s="100"/>
      <c r="R4042" s="100"/>
      <c r="S4042" s="100"/>
      <c r="T4042" s="100"/>
      <c r="U4042" s="100"/>
      <c r="V4042" s="100"/>
      <c r="W4042" s="100"/>
      <c r="X4042" s="100"/>
      <c r="Y4042" s="100"/>
      <c r="Z4042" s="100"/>
    </row>
    <row r="4043" spans="1:26">
      <c r="A4043" s="100"/>
      <c r="B4043" s="100"/>
      <c r="C4043" s="100"/>
      <c r="D4043" s="100"/>
      <c r="E4043" s="100"/>
      <c r="F4043" s="100"/>
      <c r="G4043" s="100"/>
      <c r="H4043" s="100"/>
      <c r="I4043" s="100"/>
      <c r="J4043" s="100"/>
      <c r="K4043" s="100"/>
      <c r="L4043" s="100"/>
      <c r="M4043" s="100"/>
      <c r="N4043" s="100"/>
      <c r="O4043" s="100"/>
      <c r="P4043" s="100"/>
      <c r="Q4043" s="100"/>
      <c r="R4043" s="100"/>
      <c r="S4043" s="100"/>
      <c r="T4043" s="100"/>
      <c r="U4043" s="100"/>
      <c r="V4043" s="100"/>
      <c r="W4043" s="100"/>
      <c r="X4043" s="100"/>
      <c r="Y4043" s="100"/>
      <c r="Z4043" s="100"/>
    </row>
    <row r="4044" spans="1:26">
      <c r="A4044" s="100"/>
      <c r="B4044" s="100"/>
      <c r="C4044" s="100"/>
      <c r="D4044" s="100"/>
      <c r="E4044" s="100"/>
      <c r="F4044" s="100"/>
      <c r="G4044" s="100"/>
      <c r="H4044" s="100"/>
      <c r="I4044" s="100"/>
      <c r="J4044" s="100"/>
      <c r="K4044" s="100"/>
      <c r="L4044" s="100"/>
      <c r="M4044" s="100"/>
      <c r="N4044" s="100"/>
      <c r="O4044" s="100"/>
      <c r="P4044" s="100"/>
      <c r="Q4044" s="100"/>
      <c r="R4044" s="100"/>
      <c r="S4044" s="100"/>
      <c r="T4044" s="100"/>
      <c r="U4044" s="100"/>
      <c r="V4044" s="100"/>
      <c r="W4044" s="100"/>
      <c r="X4044" s="100"/>
      <c r="Y4044" s="100"/>
      <c r="Z4044" s="100"/>
    </row>
    <row r="4045" spans="1:26">
      <c r="A4045" s="100"/>
      <c r="B4045" s="100"/>
      <c r="C4045" s="100"/>
      <c r="D4045" s="100"/>
      <c r="E4045" s="100"/>
      <c r="F4045" s="100"/>
      <c r="G4045" s="100"/>
      <c r="H4045" s="100"/>
      <c r="I4045" s="100"/>
      <c r="J4045" s="100"/>
      <c r="K4045" s="100"/>
      <c r="L4045" s="100"/>
      <c r="M4045" s="100"/>
      <c r="N4045" s="100"/>
      <c r="O4045" s="100"/>
      <c r="P4045" s="100"/>
      <c r="Q4045" s="100"/>
      <c r="R4045" s="100"/>
      <c r="S4045" s="100"/>
      <c r="T4045" s="100"/>
      <c r="U4045" s="100"/>
      <c r="V4045" s="100"/>
      <c r="W4045" s="100"/>
      <c r="X4045" s="100"/>
      <c r="Y4045" s="100"/>
      <c r="Z4045" s="100"/>
    </row>
    <row r="4046" spans="1:26">
      <c r="A4046" s="100"/>
      <c r="B4046" s="100"/>
      <c r="C4046" s="100"/>
      <c r="D4046" s="100"/>
      <c r="E4046" s="100"/>
      <c r="F4046" s="100"/>
      <c r="G4046" s="100"/>
      <c r="H4046" s="100"/>
      <c r="I4046" s="100"/>
      <c r="J4046" s="100"/>
      <c r="K4046" s="100"/>
      <c r="L4046" s="100"/>
      <c r="M4046" s="100"/>
      <c r="N4046" s="100"/>
      <c r="O4046" s="100"/>
      <c r="P4046" s="100"/>
      <c r="Q4046" s="100"/>
      <c r="R4046" s="100"/>
      <c r="S4046" s="100"/>
      <c r="T4046" s="100"/>
      <c r="U4046" s="100"/>
      <c r="V4046" s="100"/>
      <c r="W4046" s="100"/>
      <c r="X4046" s="100"/>
      <c r="Y4046" s="100"/>
      <c r="Z4046" s="100"/>
    </row>
    <row r="4047" spans="1:26">
      <c r="A4047" s="100"/>
      <c r="B4047" s="100"/>
      <c r="C4047" s="100"/>
      <c r="D4047" s="100"/>
      <c r="E4047" s="100"/>
      <c r="F4047" s="100"/>
      <c r="G4047" s="100"/>
      <c r="H4047" s="100"/>
      <c r="I4047" s="100"/>
      <c r="J4047" s="100"/>
      <c r="K4047" s="100"/>
      <c r="L4047" s="100"/>
      <c r="M4047" s="100"/>
      <c r="N4047" s="100"/>
      <c r="O4047" s="100"/>
      <c r="P4047" s="100"/>
      <c r="Q4047" s="100"/>
      <c r="R4047" s="100"/>
      <c r="S4047" s="100"/>
      <c r="T4047" s="100"/>
      <c r="U4047" s="100"/>
      <c r="V4047" s="100"/>
      <c r="W4047" s="100"/>
      <c r="X4047" s="100"/>
      <c r="Y4047" s="100"/>
      <c r="Z4047" s="100"/>
    </row>
    <row r="4048" spans="1:26">
      <c r="A4048" s="100"/>
      <c r="B4048" s="100"/>
      <c r="C4048" s="100"/>
      <c r="D4048" s="100"/>
      <c r="E4048" s="100"/>
      <c r="F4048" s="100"/>
      <c r="G4048" s="100"/>
      <c r="H4048" s="100"/>
      <c r="I4048" s="100"/>
      <c r="J4048" s="100"/>
      <c r="K4048" s="100"/>
      <c r="L4048" s="100"/>
      <c r="M4048" s="100"/>
      <c r="N4048" s="100"/>
      <c r="O4048" s="100"/>
      <c r="P4048" s="100"/>
      <c r="Q4048" s="100"/>
      <c r="R4048" s="100"/>
      <c r="S4048" s="100"/>
      <c r="T4048" s="100"/>
      <c r="U4048" s="100"/>
      <c r="V4048" s="100"/>
      <c r="W4048" s="100"/>
      <c r="X4048" s="100"/>
      <c r="Y4048" s="100"/>
      <c r="Z4048" s="100"/>
    </row>
    <row r="4049" spans="1:26">
      <c r="A4049" s="100"/>
      <c r="B4049" s="100"/>
      <c r="C4049" s="100"/>
      <c r="D4049" s="100"/>
      <c r="E4049" s="100"/>
      <c r="F4049" s="100"/>
      <c r="G4049" s="100"/>
      <c r="H4049" s="100"/>
      <c r="I4049" s="100"/>
      <c r="J4049" s="100"/>
      <c r="K4049" s="100"/>
      <c r="L4049" s="100"/>
      <c r="M4049" s="100"/>
      <c r="N4049" s="100"/>
      <c r="O4049" s="100"/>
      <c r="P4049" s="100"/>
      <c r="Q4049" s="100"/>
      <c r="R4049" s="100"/>
      <c r="S4049" s="100"/>
      <c r="T4049" s="100"/>
      <c r="U4049" s="100"/>
      <c r="V4049" s="100"/>
      <c r="W4049" s="100"/>
      <c r="X4049" s="100"/>
      <c r="Y4049" s="100"/>
      <c r="Z4049" s="100"/>
    </row>
    <row r="4050" spans="1:26">
      <c r="A4050" s="100"/>
      <c r="B4050" s="100"/>
      <c r="C4050" s="100"/>
      <c r="D4050" s="100"/>
      <c r="E4050" s="100"/>
      <c r="F4050" s="100"/>
      <c r="G4050" s="100"/>
      <c r="H4050" s="100"/>
      <c r="I4050" s="100"/>
      <c r="J4050" s="100"/>
      <c r="K4050" s="100"/>
      <c r="L4050" s="100"/>
      <c r="M4050" s="100"/>
      <c r="N4050" s="100"/>
      <c r="O4050" s="100"/>
      <c r="P4050" s="100"/>
      <c r="Q4050" s="100"/>
      <c r="R4050" s="100"/>
      <c r="S4050" s="100"/>
      <c r="T4050" s="100"/>
      <c r="U4050" s="100"/>
      <c r="V4050" s="100"/>
      <c r="W4050" s="100"/>
      <c r="X4050" s="100"/>
      <c r="Y4050" s="100"/>
      <c r="Z4050" s="100"/>
    </row>
    <row r="4051" spans="1:26">
      <c r="A4051" s="100"/>
      <c r="B4051" s="100"/>
      <c r="C4051" s="100"/>
      <c r="D4051" s="100"/>
      <c r="E4051" s="100"/>
      <c r="F4051" s="100"/>
      <c r="G4051" s="100"/>
      <c r="H4051" s="100"/>
      <c r="I4051" s="100"/>
      <c r="J4051" s="100"/>
      <c r="K4051" s="100"/>
      <c r="L4051" s="100"/>
      <c r="M4051" s="100"/>
      <c r="N4051" s="100"/>
      <c r="O4051" s="100"/>
      <c r="P4051" s="100"/>
      <c r="Q4051" s="100"/>
      <c r="R4051" s="100"/>
      <c r="S4051" s="100"/>
      <c r="T4051" s="100"/>
      <c r="U4051" s="100"/>
      <c r="V4051" s="100"/>
      <c r="W4051" s="100"/>
      <c r="X4051" s="100"/>
      <c r="Y4051" s="100"/>
      <c r="Z4051" s="100"/>
    </row>
    <row r="4052" spans="1:26">
      <c r="A4052" s="100"/>
      <c r="B4052" s="100"/>
      <c r="C4052" s="100"/>
      <c r="D4052" s="100"/>
      <c r="E4052" s="100"/>
      <c r="F4052" s="100"/>
      <c r="G4052" s="100"/>
      <c r="H4052" s="100"/>
      <c r="I4052" s="100"/>
      <c r="J4052" s="100"/>
      <c r="K4052" s="100"/>
      <c r="L4052" s="100"/>
      <c r="M4052" s="100"/>
      <c r="N4052" s="100"/>
      <c r="O4052" s="100"/>
      <c r="P4052" s="100"/>
      <c r="Q4052" s="100"/>
      <c r="R4052" s="100"/>
      <c r="S4052" s="100"/>
      <c r="T4052" s="100"/>
      <c r="U4052" s="100"/>
      <c r="V4052" s="100"/>
      <c r="W4052" s="100"/>
      <c r="X4052" s="100"/>
      <c r="Y4052" s="100"/>
      <c r="Z4052" s="100"/>
    </row>
    <row r="4053" spans="1:26">
      <c r="A4053" s="100"/>
      <c r="B4053" s="100"/>
      <c r="C4053" s="100"/>
      <c r="D4053" s="100"/>
      <c r="E4053" s="100"/>
      <c r="F4053" s="100"/>
      <c r="G4053" s="100"/>
      <c r="H4053" s="100"/>
      <c r="I4053" s="100"/>
      <c r="J4053" s="100"/>
      <c r="K4053" s="100"/>
      <c r="L4053" s="100"/>
      <c r="M4053" s="100"/>
      <c r="N4053" s="100"/>
      <c r="O4053" s="100"/>
      <c r="P4053" s="100"/>
      <c r="Q4053" s="100"/>
      <c r="R4053" s="100"/>
      <c r="S4053" s="100"/>
      <c r="T4053" s="100"/>
      <c r="U4053" s="100"/>
      <c r="V4053" s="100"/>
      <c r="W4053" s="100"/>
      <c r="X4053" s="100"/>
      <c r="Y4053" s="100"/>
      <c r="Z4053" s="100"/>
    </row>
    <row r="4054" spans="1:26">
      <c r="A4054" s="100"/>
      <c r="B4054" s="100"/>
      <c r="C4054" s="100"/>
      <c r="D4054" s="100"/>
      <c r="E4054" s="100"/>
      <c r="F4054" s="100"/>
      <c r="G4054" s="100"/>
      <c r="H4054" s="100"/>
      <c r="I4054" s="100"/>
      <c r="J4054" s="100"/>
      <c r="K4054" s="100"/>
      <c r="L4054" s="100"/>
      <c r="M4054" s="100"/>
      <c r="N4054" s="100"/>
      <c r="O4054" s="100"/>
      <c r="P4054" s="100"/>
      <c r="Q4054" s="100"/>
      <c r="R4054" s="100"/>
      <c r="S4054" s="100"/>
      <c r="T4054" s="100"/>
      <c r="U4054" s="100"/>
      <c r="V4054" s="100"/>
      <c r="W4054" s="100"/>
      <c r="X4054" s="100"/>
      <c r="Y4054" s="100"/>
      <c r="Z4054" s="100"/>
    </row>
    <row r="4055" spans="1:26">
      <c r="A4055" s="100"/>
      <c r="B4055" s="100"/>
      <c r="C4055" s="100"/>
      <c r="D4055" s="100"/>
      <c r="E4055" s="100"/>
      <c r="F4055" s="100"/>
      <c r="G4055" s="100"/>
      <c r="H4055" s="100"/>
      <c r="I4055" s="100"/>
      <c r="J4055" s="100"/>
      <c r="K4055" s="100"/>
      <c r="L4055" s="100"/>
      <c r="M4055" s="100"/>
      <c r="N4055" s="100"/>
      <c r="O4055" s="100"/>
      <c r="P4055" s="100"/>
      <c r="Q4055" s="100"/>
      <c r="R4055" s="100"/>
      <c r="S4055" s="100"/>
      <c r="T4055" s="100"/>
      <c r="U4055" s="100"/>
      <c r="V4055" s="100"/>
      <c r="W4055" s="100"/>
      <c r="X4055" s="100"/>
      <c r="Y4055" s="100"/>
      <c r="Z4055" s="100"/>
    </row>
    <row r="4056" spans="1:26">
      <c r="A4056" s="100"/>
      <c r="B4056" s="100"/>
      <c r="C4056" s="100"/>
      <c r="D4056" s="100"/>
      <c r="E4056" s="100"/>
      <c r="F4056" s="100"/>
      <c r="G4056" s="100"/>
      <c r="H4056" s="100"/>
      <c r="I4056" s="100"/>
      <c r="J4056" s="100"/>
      <c r="K4056" s="100"/>
      <c r="L4056" s="100"/>
      <c r="M4056" s="100"/>
      <c r="N4056" s="100"/>
      <c r="O4056" s="100"/>
      <c r="P4056" s="100"/>
      <c r="Q4056" s="100"/>
      <c r="R4056" s="100"/>
      <c r="S4056" s="100"/>
      <c r="T4056" s="100"/>
      <c r="U4056" s="100"/>
      <c r="V4056" s="100"/>
      <c r="W4056" s="100"/>
      <c r="X4056" s="100"/>
      <c r="Y4056" s="100"/>
      <c r="Z4056" s="100"/>
    </row>
    <row r="4057" spans="1:26">
      <c r="A4057" s="100"/>
      <c r="B4057" s="100"/>
      <c r="C4057" s="100"/>
      <c r="D4057" s="100"/>
      <c r="E4057" s="100"/>
      <c r="F4057" s="100"/>
      <c r="G4057" s="100"/>
      <c r="H4057" s="100"/>
      <c r="I4057" s="100"/>
      <c r="J4057" s="100"/>
      <c r="K4057" s="100"/>
      <c r="L4057" s="100"/>
      <c r="M4057" s="100"/>
      <c r="N4057" s="100"/>
      <c r="O4057" s="100"/>
      <c r="P4057" s="100"/>
      <c r="Q4057" s="100"/>
      <c r="R4057" s="100"/>
      <c r="S4057" s="100"/>
      <c r="T4057" s="100"/>
      <c r="U4057" s="100"/>
      <c r="V4057" s="100"/>
      <c r="W4057" s="100"/>
      <c r="X4057" s="100"/>
      <c r="Y4057" s="100"/>
      <c r="Z4057" s="100"/>
    </row>
    <row r="4058" spans="1:26">
      <c r="A4058" s="100"/>
      <c r="B4058" s="100"/>
      <c r="C4058" s="100"/>
      <c r="D4058" s="100"/>
      <c r="E4058" s="100"/>
      <c r="F4058" s="100"/>
      <c r="G4058" s="100"/>
      <c r="H4058" s="100"/>
      <c r="I4058" s="100"/>
      <c r="J4058" s="100"/>
      <c r="K4058" s="100"/>
      <c r="L4058" s="100"/>
      <c r="M4058" s="100"/>
      <c r="N4058" s="100"/>
      <c r="O4058" s="100"/>
      <c r="P4058" s="100"/>
      <c r="Q4058" s="100"/>
      <c r="R4058" s="100"/>
      <c r="S4058" s="100"/>
      <c r="T4058" s="100"/>
      <c r="U4058" s="100"/>
      <c r="V4058" s="100"/>
      <c r="W4058" s="100"/>
      <c r="X4058" s="100"/>
      <c r="Y4058" s="100"/>
      <c r="Z4058" s="100"/>
    </row>
    <row r="4059" spans="1:26">
      <c r="A4059" s="100"/>
      <c r="B4059" s="100"/>
      <c r="C4059" s="100"/>
      <c r="D4059" s="100"/>
      <c r="E4059" s="100"/>
      <c r="F4059" s="100"/>
      <c r="G4059" s="100"/>
      <c r="H4059" s="100"/>
      <c r="I4059" s="100"/>
      <c r="J4059" s="100"/>
      <c r="K4059" s="100"/>
      <c r="L4059" s="100"/>
      <c r="M4059" s="100"/>
      <c r="N4059" s="100"/>
      <c r="O4059" s="100"/>
      <c r="P4059" s="100"/>
      <c r="Q4059" s="100"/>
      <c r="R4059" s="100"/>
      <c r="S4059" s="100"/>
      <c r="T4059" s="100"/>
      <c r="U4059" s="100"/>
      <c r="V4059" s="100"/>
      <c r="W4059" s="100"/>
      <c r="X4059" s="100"/>
      <c r="Y4059" s="100"/>
      <c r="Z4059" s="100"/>
    </row>
    <row r="4060" spans="1:26">
      <c r="A4060" s="100"/>
      <c r="B4060" s="100"/>
      <c r="C4060" s="100"/>
      <c r="D4060" s="100"/>
      <c r="E4060" s="100"/>
      <c r="F4060" s="100"/>
      <c r="G4060" s="100"/>
      <c r="H4060" s="100"/>
      <c r="I4060" s="100"/>
      <c r="J4060" s="100"/>
      <c r="K4060" s="100"/>
      <c r="L4060" s="100"/>
      <c r="M4060" s="100"/>
      <c r="N4060" s="100"/>
      <c r="O4060" s="100"/>
      <c r="P4060" s="100"/>
      <c r="Q4060" s="100"/>
      <c r="R4060" s="100"/>
      <c r="S4060" s="100"/>
      <c r="T4060" s="100"/>
      <c r="U4060" s="100"/>
      <c r="V4060" s="100"/>
      <c r="W4060" s="100"/>
      <c r="X4060" s="100"/>
      <c r="Y4060" s="100"/>
      <c r="Z4060" s="100"/>
    </row>
    <row r="4061" spans="1:26">
      <c r="A4061" s="100"/>
      <c r="B4061" s="100"/>
      <c r="C4061" s="100"/>
      <c r="D4061" s="100"/>
      <c r="E4061" s="100"/>
      <c r="F4061" s="100"/>
      <c r="G4061" s="100"/>
      <c r="H4061" s="100"/>
      <c r="I4061" s="100"/>
      <c r="J4061" s="100"/>
      <c r="K4061" s="100"/>
      <c r="L4061" s="100"/>
      <c r="M4061" s="100"/>
      <c r="N4061" s="100"/>
      <c r="O4061" s="100"/>
      <c r="P4061" s="100"/>
      <c r="Q4061" s="100"/>
      <c r="R4061" s="100"/>
      <c r="S4061" s="100"/>
      <c r="T4061" s="100"/>
      <c r="U4061" s="100"/>
      <c r="V4061" s="100"/>
      <c r="W4061" s="100"/>
      <c r="X4061" s="100"/>
      <c r="Y4061" s="100"/>
      <c r="Z4061" s="100"/>
    </row>
    <row r="4062" spans="1:26">
      <c r="A4062" s="100"/>
      <c r="B4062" s="100"/>
      <c r="C4062" s="100"/>
      <c r="D4062" s="100"/>
      <c r="E4062" s="100"/>
      <c r="F4062" s="100"/>
      <c r="G4062" s="100"/>
      <c r="H4062" s="100"/>
      <c r="I4062" s="100"/>
      <c r="J4062" s="100"/>
      <c r="K4062" s="100"/>
      <c r="L4062" s="100"/>
      <c r="M4062" s="100"/>
      <c r="N4062" s="100"/>
      <c r="O4062" s="100"/>
      <c r="P4062" s="100"/>
      <c r="Q4062" s="100"/>
      <c r="R4062" s="100"/>
      <c r="S4062" s="100"/>
      <c r="T4062" s="100"/>
      <c r="U4062" s="100"/>
      <c r="V4062" s="100"/>
      <c r="W4062" s="100"/>
      <c r="X4062" s="100"/>
      <c r="Y4062" s="100"/>
      <c r="Z4062" s="100"/>
    </row>
    <row r="4063" spans="1:26">
      <c r="A4063" s="100"/>
      <c r="B4063" s="100"/>
      <c r="C4063" s="100"/>
      <c r="D4063" s="100"/>
      <c r="E4063" s="100"/>
      <c r="F4063" s="100"/>
      <c r="G4063" s="100"/>
      <c r="H4063" s="100"/>
      <c r="I4063" s="100"/>
      <c r="J4063" s="100"/>
      <c r="K4063" s="100"/>
      <c r="L4063" s="100"/>
      <c r="M4063" s="100"/>
      <c r="N4063" s="100"/>
      <c r="O4063" s="100"/>
      <c r="P4063" s="100"/>
      <c r="Q4063" s="100"/>
      <c r="R4063" s="100"/>
      <c r="S4063" s="100"/>
      <c r="T4063" s="100"/>
      <c r="U4063" s="100"/>
      <c r="V4063" s="100"/>
      <c r="W4063" s="100"/>
      <c r="X4063" s="100"/>
      <c r="Y4063" s="100"/>
      <c r="Z4063" s="100"/>
    </row>
    <row r="4064" spans="1:26">
      <c r="A4064" s="100"/>
      <c r="B4064" s="100"/>
      <c r="C4064" s="100"/>
      <c r="D4064" s="100"/>
      <c r="E4064" s="100"/>
      <c r="F4064" s="100"/>
      <c r="G4064" s="100"/>
      <c r="H4064" s="100"/>
      <c r="I4064" s="100"/>
      <c r="J4064" s="100"/>
      <c r="K4064" s="100"/>
      <c r="L4064" s="100"/>
      <c r="M4064" s="100"/>
      <c r="N4064" s="100"/>
      <c r="O4064" s="100"/>
      <c r="P4064" s="100"/>
      <c r="Q4064" s="100"/>
      <c r="R4064" s="100"/>
      <c r="S4064" s="100"/>
      <c r="T4064" s="100"/>
      <c r="U4064" s="100"/>
      <c r="V4064" s="100"/>
      <c r="W4064" s="100"/>
      <c r="X4064" s="100"/>
      <c r="Y4064" s="100"/>
      <c r="Z4064" s="100"/>
    </row>
    <row r="4065" spans="1:26">
      <c r="A4065" s="100"/>
      <c r="B4065" s="100"/>
      <c r="C4065" s="100"/>
      <c r="D4065" s="100"/>
      <c r="E4065" s="100"/>
      <c r="F4065" s="100"/>
      <c r="G4065" s="100"/>
      <c r="H4065" s="100"/>
      <c r="I4065" s="100"/>
      <c r="J4065" s="100"/>
      <c r="K4065" s="100"/>
      <c r="L4065" s="100"/>
      <c r="M4065" s="100"/>
      <c r="N4065" s="100"/>
      <c r="O4065" s="100"/>
      <c r="P4065" s="100"/>
      <c r="Q4065" s="100"/>
      <c r="R4065" s="100"/>
      <c r="S4065" s="100"/>
      <c r="T4065" s="100"/>
      <c r="U4065" s="100"/>
      <c r="V4065" s="100"/>
      <c r="W4065" s="100"/>
      <c r="X4065" s="100"/>
      <c r="Y4065" s="100"/>
      <c r="Z4065" s="100"/>
    </row>
    <row r="4066" spans="1:26">
      <c r="A4066" s="100"/>
      <c r="B4066" s="100"/>
      <c r="C4066" s="100"/>
      <c r="D4066" s="100"/>
      <c r="E4066" s="100"/>
      <c r="F4066" s="100"/>
      <c r="G4066" s="100"/>
      <c r="H4066" s="100"/>
      <c r="I4066" s="100"/>
      <c r="J4066" s="100"/>
      <c r="K4066" s="100"/>
      <c r="L4066" s="100"/>
      <c r="M4066" s="100"/>
      <c r="N4066" s="100"/>
      <c r="O4066" s="100"/>
      <c r="P4066" s="100"/>
      <c r="Q4066" s="100"/>
      <c r="R4066" s="100"/>
      <c r="S4066" s="100"/>
      <c r="T4066" s="100"/>
      <c r="U4066" s="100"/>
      <c r="V4066" s="100"/>
      <c r="W4066" s="100"/>
      <c r="X4066" s="100"/>
      <c r="Y4066" s="100"/>
      <c r="Z4066" s="100"/>
    </row>
    <row r="4067" spans="1:26">
      <c r="A4067" s="100"/>
      <c r="B4067" s="100"/>
      <c r="C4067" s="100"/>
      <c r="D4067" s="100"/>
      <c r="E4067" s="100"/>
      <c r="F4067" s="100"/>
      <c r="G4067" s="100"/>
      <c r="H4067" s="100"/>
      <c r="I4067" s="100"/>
      <c r="J4067" s="100"/>
      <c r="K4067" s="100"/>
      <c r="L4067" s="100"/>
      <c r="M4067" s="100"/>
      <c r="N4067" s="100"/>
      <c r="O4067" s="100"/>
      <c r="P4067" s="100"/>
      <c r="Q4067" s="100"/>
      <c r="R4067" s="100"/>
      <c r="S4067" s="100"/>
      <c r="T4067" s="100"/>
      <c r="U4067" s="100"/>
      <c r="V4067" s="100"/>
      <c r="W4067" s="100"/>
      <c r="X4067" s="100"/>
      <c r="Y4067" s="100"/>
      <c r="Z4067" s="100"/>
    </row>
    <row r="4068" spans="1:26">
      <c r="A4068" s="100"/>
      <c r="B4068" s="100"/>
      <c r="C4068" s="100"/>
      <c r="D4068" s="100"/>
      <c r="E4068" s="100"/>
      <c r="F4068" s="100"/>
      <c r="G4068" s="100"/>
      <c r="H4068" s="100"/>
      <c r="I4068" s="100"/>
      <c r="J4068" s="100"/>
      <c r="K4068" s="100"/>
      <c r="L4068" s="100"/>
      <c r="M4068" s="100"/>
      <c r="N4068" s="100"/>
      <c r="O4068" s="100"/>
      <c r="P4068" s="100"/>
      <c r="Q4068" s="100"/>
      <c r="R4068" s="100"/>
      <c r="S4068" s="100"/>
      <c r="T4068" s="100"/>
      <c r="U4068" s="100"/>
      <c r="V4068" s="100"/>
      <c r="W4068" s="100"/>
      <c r="X4068" s="100"/>
      <c r="Y4068" s="100"/>
      <c r="Z4068" s="100"/>
    </row>
    <row r="4069" spans="1:26">
      <c r="A4069" s="100"/>
      <c r="B4069" s="100"/>
      <c r="C4069" s="100"/>
      <c r="D4069" s="100"/>
      <c r="E4069" s="100"/>
      <c r="F4069" s="100"/>
      <c r="G4069" s="100"/>
      <c r="H4069" s="100"/>
      <c r="I4069" s="100"/>
      <c r="J4069" s="100"/>
      <c r="K4069" s="100"/>
      <c r="L4069" s="100"/>
      <c r="M4069" s="100"/>
      <c r="N4069" s="100"/>
      <c r="O4069" s="100"/>
      <c r="P4069" s="100"/>
      <c r="Q4069" s="100"/>
      <c r="R4069" s="100"/>
      <c r="S4069" s="100"/>
      <c r="T4069" s="100"/>
      <c r="U4069" s="100"/>
      <c r="V4069" s="100"/>
      <c r="W4069" s="100"/>
      <c r="X4069" s="100"/>
      <c r="Y4069" s="100"/>
      <c r="Z4069" s="100"/>
    </row>
    <row r="4070" spans="1:26">
      <c r="A4070" s="100"/>
      <c r="B4070" s="100"/>
      <c r="C4070" s="100"/>
      <c r="D4070" s="100"/>
      <c r="E4070" s="100"/>
      <c r="F4070" s="100"/>
      <c r="G4070" s="100"/>
      <c r="H4070" s="100"/>
      <c r="I4070" s="100"/>
      <c r="J4070" s="100"/>
      <c r="K4070" s="100"/>
      <c r="L4070" s="100"/>
      <c r="M4070" s="100"/>
      <c r="N4070" s="100"/>
      <c r="O4070" s="100"/>
      <c r="P4070" s="100"/>
      <c r="Q4070" s="100"/>
      <c r="R4070" s="100"/>
      <c r="S4070" s="100"/>
      <c r="T4070" s="100"/>
      <c r="U4070" s="100"/>
      <c r="V4070" s="100"/>
      <c r="W4070" s="100"/>
      <c r="X4070" s="100"/>
      <c r="Y4070" s="100"/>
      <c r="Z4070" s="100"/>
    </row>
    <row r="4071" spans="1:26">
      <c r="A4071" s="100"/>
      <c r="B4071" s="100"/>
      <c r="C4071" s="100"/>
      <c r="D4071" s="100"/>
      <c r="E4071" s="100"/>
      <c r="F4071" s="100"/>
      <c r="G4071" s="100"/>
      <c r="H4071" s="100"/>
      <c r="I4071" s="100"/>
      <c r="J4071" s="100"/>
      <c r="K4071" s="100"/>
      <c r="L4071" s="100"/>
      <c r="M4071" s="100"/>
      <c r="N4071" s="100"/>
      <c r="O4071" s="100"/>
      <c r="P4071" s="100"/>
      <c r="Q4071" s="100"/>
      <c r="R4071" s="100"/>
      <c r="S4071" s="100"/>
      <c r="T4071" s="100"/>
      <c r="U4071" s="100"/>
      <c r="V4071" s="100"/>
      <c r="W4071" s="100"/>
      <c r="X4071" s="100"/>
      <c r="Y4071" s="100"/>
      <c r="Z4071" s="100"/>
    </row>
    <row r="4072" spans="1:26">
      <c r="A4072" s="100"/>
      <c r="B4072" s="100"/>
      <c r="C4072" s="100"/>
      <c r="D4072" s="100"/>
      <c r="E4072" s="100"/>
      <c r="F4072" s="100"/>
      <c r="G4072" s="100"/>
      <c r="H4072" s="100"/>
      <c r="I4072" s="100"/>
      <c r="J4072" s="100"/>
      <c r="K4072" s="100"/>
      <c r="L4072" s="100"/>
      <c r="M4072" s="100"/>
      <c r="N4072" s="100"/>
      <c r="O4072" s="100"/>
      <c r="P4072" s="100"/>
      <c r="Q4072" s="100"/>
      <c r="R4072" s="100"/>
      <c r="S4072" s="100"/>
      <c r="T4072" s="100"/>
      <c r="U4072" s="100"/>
      <c r="V4072" s="100"/>
      <c r="W4072" s="100"/>
      <c r="X4072" s="100"/>
      <c r="Y4072" s="100"/>
      <c r="Z4072" s="100"/>
    </row>
    <row r="4073" spans="1:26">
      <c r="A4073" s="100"/>
      <c r="B4073" s="100"/>
      <c r="C4073" s="100"/>
      <c r="D4073" s="100"/>
      <c r="E4073" s="100"/>
      <c r="F4073" s="100"/>
      <c r="G4073" s="100"/>
      <c r="H4073" s="100"/>
      <c r="I4073" s="100"/>
      <c r="J4073" s="100"/>
      <c r="K4073" s="100"/>
      <c r="L4073" s="100"/>
      <c r="M4073" s="100"/>
      <c r="N4073" s="100"/>
      <c r="O4073" s="100"/>
      <c r="P4073" s="100"/>
      <c r="Q4073" s="100"/>
      <c r="R4073" s="100"/>
      <c r="S4073" s="100"/>
      <c r="T4073" s="100"/>
      <c r="U4073" s="100"/>
      <c r="V4073" s="100"/>
      <c r="W4073" s="100"/>
      <c r="X4073" s="100"/>
      <c r="Y4073" s="100"/>
      <c r="Z4073" s="100"/>
    </row>
    <row r="4074" spans="1:26">
      <c r="A4074" s="100"/>
      <c r="B4074" s="100"/>
      <c r="C4074" s="100"/>
      <c r="D4074" s="100"/>
      <c r="E4074" s="100"/>
      <c r="F4074" s="100"/>
      <c r="G4074" s="100"/>
      <c r="H4074" s="100"/>
      <c r="I4074" s="100"/>
      <c r="J4074" s="100"/>
      <c r="K4074" s="100"/>
      <c r="L4074" s="100"/>
      <c r="M4074" s="100"/>
      <c r="N4074" s="100"/>
      <c r="O4074" s="100"/>
      <c r="P4074" s="100"/>
      <c r="Q4074" s="100"/>
      <c r="R4074" s="100"/>
      <c r="S4074" s="100"/>
      <c r="T4074" s="100"/>
      <c r="U4074" s="100"/>
      <c r="V4074" s="100"/>
      <c r="W4074" s="100"/>
      <c r="X4074" s="100"/>
      <c r="Y4074" s="100"/>
      <c r="Z4074" s="100"/>
    </row>
    <row r="4075" spans="1:26">
      <c r="A4075" s="100"/>
      <c r="B4075" s="100"/>
      <c r="C4075" s="100"/>
      <c r="D4075" s="100"/>
      <c r="E4075" s="100"/>
      <c r="F4075" s="100"/>
      <c r="G4075" s="100"/>
      <c r="H4075" s="100"/>
      <c r="I4075" s="100"/>
      <c r="J4075" s="100"/>
      <c r="K4075" s="100"/>
      <c r="L4075" s="100"/>
      <c r="M4075" s="100"/>
      <c r="N4075" s="100"/>
      <c r="O4075" s="100"/>
      <c r="P4075" s="100"/>
      <c r="Q4075" s="100"/>
      <c r="R4075" s="100"/>
      <c r="S4075" s="100"/>
      <c r="T4075" s="100"/>
      <c r="U4075" s="100"/>
      <c r="V4075" s="100"/>
      <c r="W4075" s="100"/>
      <c r="X4075" s="100"/>
      <c r="Y4075" s="100"/>
      <c r="Z4075" s="100"/>
    </row>
    <row r="4076" spans="1:26">
      <c r="A4076" s="100"/>
      <c r="B4076" s="100"/>
      <c r="C4076" s="100"/>
      <c r="D4076" s="100"/>
      <c r="E4076" s="100"/>
      <c r="F4076" s="100"/>
      <c r="G4076" s="100"/>
      <c r="H4076" s="100"/>
      <c r="I4076" s="100"/>
      <c r="J4076" s="100"/>
      <c r="K4076" s="100"/>
      <c r="L4076" s="100"/>
      <c r="M4076" s="100"/>
      <c r="N4076" s="100"/>
      <c r="O4076" s="100"/>
      <c r="P4076" s="100"/>
      <c r="Q4076" s="100"/>
      <c r="R4076" s="100"/>
      <c r="S4076" s="100"/>
      <c r="T4076" s="100"/>
      <c r="U4076" s="100"/>
      <c r="V4076" s="100"/>
      <c r="W4076" s="100"/>
      <c r="X4076" s="100"/>
      <c r="Y4076" s="100"/>
      <c r="Z4076" s="100"/>
    </row>
    <row r="4077" spans="1:26">
      <c r="A4077" s="100"/>
      <c r="B4077" s="100"/>
      <c r="C4077" s="100"/>
      <c r="D4077" s="100"/>
      <c r="E4077" s="100"/>
      <c r="F4077" s="100"/>
      <c r="G4077" s="100"/>
      <c r="H4077" s="100"/>
      <c r="I4077" s="100"/>
      <c r="J4077" s="100"/>
      <c r="K4077" s="100"/>
      <c r="L4077" s="100"/>
      <c r="M4077" s="100"/>
      <c r="N4077" s="100"/>
      <c r="O4077" s="100"/>
      <c r="P4077" s="100"/>
      <c r="Q4077" s="100"/>
      <c r="R4077" s="100"/>
      <c r="S4077" s="100"/>
      <c r="T4077" s="100"/>
      <c r="U4077" s="100"/>
      <c r="V4077" s="100"/>
      <c r="W4077" s="100"/>
      <c r="X4077" s="100"/>
      <c r="Y4077" s="100"/>
      <c r="Z4077" s="100"/>
    </row>
    <row r="4078" spans="1:26">
      <c r="A4078" s="100"/>
      <c r="B4078" s="100"/>
      <c r="C4078" s="100"/>
      <c r="D4078" s="100"/>
      <c r="E4078" s="100"/>
      <c r="F4078" s="100"/>
      <c r="G4078" s="100"/>
      <c r="H4078" s="100"/>
      <c r="I4078" s="100"/>
      <c r="J4078" s="100"/>
      <c r="K4078" s="100"/>
      <c r="L4078" s="100"/>
      <c r="M4078" s="100"/>
      <c r="N4078" s="100"/>
      <c r="O4078" s="100"/>
      <c r="P4078" s="100"/>
      <c r="Q4078" s="100"/>
      <c r="R4078" s="100"/>
      <c r="S4078" s="100"/>
      <c r="T4078" s="100"/>
      <c r="U4078" s="100"/>
      <c r="V4078" s="100"/>
      <c r="W4078" s="100"/>
      <c r="X4078" s="100"/>
      <c r="Y4078" s="100"/>
      <c r="Z4078" s="100"/>
    </row>
    <row r="4079" spans="1:26">
      <c r="A4079" s="100"/>
      <c r="B4079" s="100"/>
      <c r="C4079" s="100"/>
      <c r="D4079" s="100"/>
      <c r="E4079" s="100"/>
      <c r="F4079" s="100"/>
      <c r="G4079" s="100"/>
      <c r="H4079" s="100"/>
      <c r="I4079" s="100"/>
      <c r="J4079" s="100"/>
      <c r="K4079" s="100"/>
      <c r="L4079" s="100"/>
      <c r="M4079" s="100"/>
      <c r="N4079" s="100"/>
      <c r="O4079" s="100"/>
      <c r="P4079" s="100"/>
      <c r="Q4079" s="100"/>
      <c r="R4079" s="100"/>
      <c r="S4079" s="100"/>
      <c r="T4079" s="100"/>
      <c r="U4079" s="100"/>
      <c r="V4079" s="100"/>
      <c r="W4079" s="100"/>
      <c r="X4079" s="100"/>
      <c r="Y4079" s="100"/>
      <c r="Z4079" s="100"/>
    </row>
    <row r="4080" spans="1:26">
      <c r="A4080" s="100"/>
      <c r="B4080" s="100"/>
      <c r="C4080" s="100"/>
      <c r="D4080" s="100"/>
      <c r="E4080" s="100"/>
      <c r="F4080" s="100"/>
      <c r="G4080" s="100"/>
      <c r="H4080" s="100"/>
      <c r="I4080" s="100"/>
      <c r="J4080" s="100"/>
      <c r="K4080" s="100"/>
      <c r="L4080" s="100"/>
      <c r="M4080" s="100"/>
      <c r="N4080" s="100"/>
      <c r="O4080" s="100"/>
      <c r="P4080" s="100"/>
      <c r="Q4080" s="100"/>
      <c r="R4080" s="100"/>
      <c r="S4080" s="100"/>
      <c r="T4080" s="100"/>
      <c r="U4080" s="100"/>
      <c r="V4080" s="100"/>
      <c r="W4080" s="100"/>
      <c r="X4080" s="100"/>
      <c r="Y4080" s="100"/>
      <c r="Z4080" s="100"/>
    </row>
    <row r="4081" spans="1:26">
      <c r="A4081" s="100"/>
      <c r="B4081" s="100"/>
      <c r="C4081" s="100"/>
      <c r="D4081" s="100"/>
      <c r="E4081" s="100"/>
      <c r="F4081" s="100"/>
      <c r="G4081" s="100"/>
      <c r="H4081" s="100"/>
      <c r="I4081" s="100"/>
      <c r="J4081" s="100"/>
      <c r="K4081" s="100"/>
      <c r="L4081" s="100"/>
      <c r="M4081" s="100"/>
      <c r="N4081" s="100"/>
      <c r="O4081" s="100"/>
      <c r="P4081" s="100"/>
      <c r="Q4081" s="100"/>
      <c r="R4081" s="100"/>
      <c r="S4081" s="100"/>
      <c r="T4081" s="100"/>
      <c r="U4081" s="100"/>
      <c r="V4081" s="100"/>
      <c r="W4081" s="100"/>
      <c r="X4081" s="100"/>
      <c r="Y4081" s="100"/>
      <c r="Z4081" s="100"/>
    </row>
    <row r="4082" spans="1:26">
      <c r="A4082" s="100"/>
      <c r="B4082" s="100"/>
      <c r="C4082" s="100"/>
      <c r="D4082" s="100"/>
      <c r="E4082" s="100"/>
      <c r="F4082" s="100"/>
      <c r="G4082" s="100"/>
      <c r="H4082" s="100"/>
      <c r="I4082" s="100"/>
      <c r="J4082" s="100"/>
      <c r="K4082" s="100"/>
      <c r="L4082" s="100"/>
      <c r="M4082" s="100"/>
      <c r="N4082" s="100"/>
      <c r="O4082" s="100"/>
      <c r="P4082" s="100"/>
      <c r="Q4082" s="100"/>
      <c r="R4082" s="100"/>
      <c r="S4082" s="100"/>
      <c r="T4082" s="100"/>
      <c r="U4082" s="100"/>
      <c r="V4082" s="100"/>
      <c r="W4082" s="100"/>
      <c r="X4082" s="100"/>
      <c r="Y4082" s="100"/>
      <c r="Z4082" s="100"/>
    </row>
    <row r="4083" spans="1:26">
      <c r="A4083" s="100"/>
      <c r="B4083" s="100"/>
      <c r="C4083" s="100"/>
      <c r="D4083" s="100"/>
      <c r="E4083" s="100"/>
      <c r="F4083" s="100"/>
      <c r="G4083" s="100"/>
      <c r="H4083" s="100"/>
      <c r="I4083" s="100"/>
      <c r="J4083" s="100"/>
      <c r="K4083" s="100"/>
      <c r="L4083" s="100"/>
      <c r="M4083" s="100"/>
      <c r="N4083" s="100"/>
      <c r="O4083" s="100"/>
      <c r="P4083" s="100"/>
      <c r="Q4083" s="100"/>
      <c r="R4083" s="100"/>
      <c r="S4083" s="100"/>
      <c r="T4083" s="100"/>
      <c r="U4083" s="100"/>
      <c r="V4083" s="100"/>
      <c r="W4083" s="100"/>
      <c r="X4083" s="100"/>
      <c r="Y4083" s="100"/>
      <c r="Z4083" s="100"/>
    </row>
    <row r="4084" spans="1:26">
      <c r="A4084" s="100"/>
      <c r="B4084" s="100"/>
      <c r="C4084" s="100"/>
      <c r="D4084" s="100"/>
      <c r="E4084" s="100"/>
      <c r="F4084" s="100"/>
      <c r="G4084" s="100"/>
      <c r="H4084" s="100"/>
      <c r="I4084" s="100"/>
      <c r="J4084" s="100"/>
      <c r="K4084" s="100"/>
      <c r="L4084" s="100"/>
      <c r="M4084" s="100"/>
      <c r="N4084" s="100"/>
      <c r="O4084" s="100"/>
      <c r="P4084" s="100"/>
      <c r="Q4084" s="100"/>
      <c r="R4084" s="100"/>
      <c r="S4084" s="100"/>
      <c r="T4084" s="100"/>
      <c r="U4084" s="100"/>
      <c r="V4084" s="100"/>
      <c r="W4084" s="100"/>
      <c r="X4084" s="100"/>
      <c r="Y4084" s="100"/>
      <c r="Z4084" s="100"/>
    </row>
    <row r="4085" spans="1:26">
      <c r="A4085" s="100"/>
      <c r="B4085" s="100"/>
      <c r="C4085" s="100"/>
      <c r="D4085" s="100"/>
      <c r="E4085" s="100"/>
      <c r="F4085" s="100"/>
      <c r="G4085" s="100"/>
      <c r="H4085" s="100"/>
      <c r="I4085" s="100"/>
      <c r="J4085" s="100"/>
      <c r="K4085" s="100"/>
      <c r="L4085" s="100"/>
      <c r="M4085" s="100"/>
      <c r="N4085" s="100"/>
      <c r="O4085" s="100"/>
      <c r="P4085" s="100"/>
      <c r="Q4085" s="100"/>
      <c r="R4085" s="100"/>
      <c r="S4085" s="100"/>
      <c r="T4085" s="100"/>
      <c r="U4085" s="100"/>
      <c r="V4085" s="100"/>
      <c r="W4085" s="100"/>
      <c r="X4085" s="100"/>
      <c r="Y4085" s="100"/>
      <c r="Z4085" s="100"/>
    </row>
    <row r="4086" spans="1:26">
      <c r="A4086" s="100"/>
      <c r="B4086" s="100"/>
      <c r="C4086" s="100"/>
      <c r="D4086" s="100"/>
      <c r="E4086" s="100"/>
      <c r="F4086" s="100"/>
      <c r="G4086" s="100"/>
      <c r="H4086" s="100"/>
      <c r="I4086" s="100"/>
      <c r="J4086" s="100"/>
      <c r="K4086" s="100"/>
      <c r="L4086" s="100"/>
      <c r="M4086" s="100"/>
      <c r="N4086" s="100"/>
      <c r="O4086" s="100"/>
      <c r="P4086" s="100"/>
      <c r="Q4086" s="100"/>
      <c r="R4086" s="100"/>
      <c r="S4086" s="100"/>
      <c r="T4086" s="100"/>
      <c r="U4086" s="100"/>
      <c r="V4086" s="100"/>
      <c r="W4086" s="100"/>
      <c r="X4086" s="100"/>
      <c r="Y4086" s="100"/>
      <c r="Z4086" s="100"/>
    </row>
    <row r="4087" spans="1:26">
      <c r="A4087" s="100"/>
      <c r="B4087" s="100"/>
      <c r="C4087" s="100"/>
      <c r="D4087" s="100"/>
      <c r="E4087" s="100"/>
      <c r="F4087" s="100"/>
      <c r="G4087" s="100"/>
      <c r="H4087" s="100"/>
      <c r="I4087" s="100"/>
      <c r="J4087" s="100"/>
      <c r="K4087" s="100"/>
      <c r="L4087" s="100"/>
      <c r="M4087" s="100"/>
      <c r="N4087" s="100"/>
      <c r="O4087" s="100"/>
      <c r="P4087" s="100"/>
      <c r="Q4087" s="100"/>
      <c r="R4087" s="100"/>
      <c r="S4087" s="100"/>
      <c r="T4087" s="100"/>
      <c r="U4087" s="100"/>
      <c r="V4087" s="100"/>
      <c r="W4087" s="100"/>
      <c r="X4087" s="100"/>
      <c r="Y4087" s="100"/>
      <c r="Z4087" s="100"/>
    </row>
    <row r="4088" spans="1:26">
      <c r="A4088" s="100"/>
      <c r="B4088" s="100"/>
      <c r="C4088" s="100"/>
      <c r="D4088" s="100"/>
      <c r="E4088" s="100"/>
      <c r="F4088" s="100"/>
      <c r="G4088" s="100"/>
      <c r="H4088" s="100"/>
      <c r="I4088" s="100"/>
      <c r="J4088" s="100"/>
      <c r="K4088" s="100"/>
      <c r="L4088" s="100"/>
      <c r="M4088" s="100"/>
      <c r="N4088" s="100"/>
      <c r="O4088" s="100"/>
      <c r="P4088" s="100"/>
      <c r="Q4088" s="100"/>
      <c r="R4088" s="100"/>
      <c r="S4088" s="100"/>
      <c r="T4088" s="100"/>
      <c r="U4088" s="100"/>
      <c r="V4088" s="100"/>
      <c r="W4088" s="100"/>
      <c r="X4088" s="100"/>
      <c r="Y4088" s="100"/>
      <c r="Z4088" s="100"/>
    </row>
    <row r="4089" spans="1:26">
      <c r="A4089" s="100"/>
      <c r="B4089" s="100"/>
      <c r="C4089" s="100"/>
      <c r="D4089" s="100"/>
      <c r="E4089" s="100"/>
      <c r="F4089" s="100"/>
      <c r="G4089" s="100"/>
      <c r="H4089" s="100"/>
      <c r="I4089" s="100"/>
      <c r="J4089" s="100"/>
      <c r="K4089" s="100"/>
      <c r="L4089" s="100"/>
      <c r="M4089" s="100"/>
      <c r="N4089" s="100"/>
      <c r="O4089" s="100"/>
      <c r="P4089" s="100"/>
      <c r="Q4089" s="100"/>
      <c r="R4089" s="100"/>
      <c r="S4089" s="100"/>
      <c r="T4089" s="100"/>
      <c r="U4089" s="100"/>
      <c r="V4089" s="100"/>
      <c r="W4089" s="100"/>
      <c r="X4089" s="100"/>
      <c r="Y4089" s="100"/>
      <c r="Z4089" s="100"/>
    </row>
    <row r="4090" spans="1:26">
      <c r="A4090" s="100"/>
      <c r="B4090" s="100"/>
      <c r="C4090" s="100"/>
      <c r="D4090" s="100"/>
      <c r="E4090" s="100"/>
      <c r="F4090" s="100"/>
      <c r="G4090" s="100"/>
      <c r="H4090" s="100"/>
      <c r="I4090" s="100"/>
      <c r="J4090" s="100"/>
      <c r="K4090" s="100"/>
      <c r="L4090" s="100"/>
      <c r="M4090" s="100"/>
      <c r="N4090" s="100"/>
      <c r="O4090" s="100"/>
      <c r="P4090" s="100"/>
      <c r="Q4090" s="100"/>
      <c r="R4090" s="100"/>
      <c r="S4090" s="100"/>
      <c r="T4090" s="100"/>
      <c r="U4090" s="100"/>
      <c r="V4090" s="100"/>
      <c r="W4090" s="100"/>
      <c r="X4090" s="100"/>
      <c r="Y4090" s="100"/>
      <c r="Z4090" s="100"/>
    </row>
    <row r="4091" spans="1:26">
      <c r="A4091" s="100"/>
      <c r="B4091" s="100"/>
      <c r="C4091" s="100"/>
      <c r="D4091" s="100"/>
      <c r="E4091" s="100"/>
      <c r="F4091" s="100"/>
      <c r="G4091" s="100"/>
      <c r="H4091" s="100"/>
      <c r="I4091" s="100"/>
      <c r="J4091" s="100"/>
      <c r="K4091" s="100"/>
      <c r="L4091" s="100"/>
      <c r="M4091" s="100"/>
      <c r="N4091" s="100"/>
      <c r="O4091" s="100"/>
      <c r="P4091" s="100"/>
      <c r="Q4091" s="100"/>
      <c r="R4091" s="100"/>
      <c r="S4091" s="100"/>
      <c r="T4091" s="100"/>
      <c r="U4091" s="100"/>
      <c r="V4091" s="100"/>
      <c r="W4091" s="100"/>
      <c r="X4091" s="100"/>
      <c r="Y4091" s="100"/>
      <c r="Z4091" s="100"/>
    </row>
    <row r="4092" spans="1:26">
      <c r="A4092" s="100"/>
      <c r="B4092" s="100"/>
      <c r="C4092" s="100"/>
      <c r="D4092" s="100"/>
      <c r="E4092" s="100"/>
      <c r="F4092" s="100"/>
      <c r="G4092" s="100"/>
      <c r="H4092" s="100"/>
      <c r="I4092" s="100"/>
      <c r="J4092" s="100"/>
      <c r="K4092" s="100"/>
      <c r="L4092" s="100"/>
      <c r="M4092" s="100"/>
      <c r="N4092" s="100"/>
      <c r="O4092" s="100"/>
      <c r="P4092" s="100"/>
      <c r="Q4092" s="100"/>
      <c r="R4092" s="100"/>
      <c r="S4092" s="100"/>
      <c r="T4092" s="100"/>
      <c r="U4092" s="100"/>
      <c r="V4092" s="100"/>
      <c r="W4092" s="100"/>
      <c r="X4092" s="100"/>
      <c r="Y4092" s="100"/>
      <c r="Z4092" s="100"/>
    </row>
    <row r="4093" spans="1:26">
      <c r="A4093" s="100"/>
      <c r="B4093" s="100"/>
      <c r="C4093" s="100"/>
      <c r="D4093" s="100"/>
      <c r="E4093" s="100"/>
      <c r="F4093" s="100"/>
      <c r="G4093" s="100"/>
      <c r="H4093" s="100"/>
      <c r="I4093" s="100"/>
      <c r="J4093" s="100"/>
      <c r="K4093" s="100"/>
      <c r="L4093" s="100"/>
      <c r="M4093" s="100"/>
      <c r="N4093" s="100"/>
      <c r="O4093" s="100"/>
      <c r="P4093" s="100"/>
      <c r="Q4093" s="100"/>
      <c r="R4093" s="100"/>
      <c r="S4093" s="100"/>
      <c r="T4093" s="100"/>
      <c r="U4093" s="100"/>
      <c r="V4093" s="100"/>
      <c r="W4093" s="100"/>
      <c r="X4093" s="100"/>
      <c r="Y4093" s="100"/>
      <c r="Z4093" s="100"/>
    </row>
    <row r="4094" spans="1:26">
      <c r="A4094" s="100"/>
      <c r="B4094" s="100"/>
      <c r="C4094" s="100"/>
      <c r="D4094" s="100"/>
      <c r="E4094" s="100"/>
      <c r="F4094" s="100"/>
      <c r="G4094" s="100"/>
      <c r="H4094" s="100"/>
      <c r="I4094" s="100"/>
      <c r="J4094" s="100"/>
      <c r="K4094" s="100"/>
      <c r="L4094" s="100"/>
      <c r="M4094" s="100"/>
      <c r="N4094" s="100"/>
      <c r="O4094" s="100"/>
      <c r="P4094" s="100"/>
      <c r="Q4094" s="100"/>
      <c r="R4094" s="100"/>
      <c r="S4094" s="100"/>
      <c r="T4094" s="100"/>
      <c r="U4094" s="100"/>
      <c r="V4094" s="100"/>
      <c r="W4094" s="100"/>
      <c r="X4094" s="100"/>
      <c r="Y4094" s="100"/>
      <c r="Z4094" s="100"/>
    </row>
    <row r="4095" spans="1:26">
      <c r="A4095" s="100"/>
      <c r="B4095" s="100"/>
      <c r="C4095" s="100"/>
      <c r="D4095" s="100"/>
      <c r="E4095" s="100"/>
      <c r="F4095" s="100"/>
      <c r="G4095" s="100"/>
      <c r="H4095" s="100"/>
      <c r="I4095" s="100"/>
      <c r="J4095" s="100"/>
      <c r="K4095" s="100"/>
      <c r="L4095" s="100"/>
      <c r="M4095" s="100"/>
      <c r="N4095" s="100"/>
      <c r="O4095" s="100"/>
      <c r="P4095" s="100"/>
      <c r="Q4095" s="100"/>
      <c r="R4095" s="100"/>
      <c r="S4095" s="100"/>
      <c r="T4095" s="100"/>
      <c r="U4095" s="100"/>
      <c r="V4095" s="100"/>
      <c r="W4095" s="100"/>
      <c r="X4095" s="100"/>
      <c r="Y4095" s="100"/>
      <c r="Z4095" s="100"/>
    </row>
    <row r="4096" spans="1:26">
      <c r="A4096" s="100"/>
      <c r="B4096" s="100"/>
      <c r="C4096" s="100"/>
      <c r="D4096" s="100"/>
      <c r="E4096" s="100"/>
      <c r="F4096" s="100"/>
      <c r="G4096" s="100"/>
      <c r="H4096" s="100"/>
      <c r="I4096" s="100"/>
      <c r="J4096" s="100"/>
      <c r="K4096" s="100"/>
      <c r="L4096" s="100"/>
      <c r="M4096" s="100"/>
      <c r="N4096" s="100"/>
      <c r="O4096" s="100"/>
      <c r="P4096" s="100"/>
      <c r="Q4096" s="100"/>
      <c r="R4096" s="100"/>
      <c r="S4096" s="100"/>
      <c r="T4096" s="100"/>
      <c r="U4096" s="100"/>
      <c r="V4096" s="100"/>
      <c r="W4096" s="100"/>
      <c r="X4096" s="100"/>
      <c r="Y4096" s="100"/>
      <c r="Z4096" s="100"/>
    </row>
    <row r="4097" spans="1:26">
      <c r="A4097" s="100"/>
      <c r="B4097" s="100"/>
      <c r="C4097" s="100"/>
      <c r="D4097" s="100"/>
      <c r="E4097" s="100"/>
      <c r="F4097" s="100"/>
      <c r="G4097" s="100"/>
      <c r="H4097" s="100"/>
      <c r="I4097" s="100"/>
      <c r="J4097" s="100"/>
      <c r="K4097" s="100"/>
      <c r="L4097" s="100"/>
      <c r="M4097" s="100"/>
      <c r="N4097" s="100"/>
      <c r="O4097" s="100"/>
      <c r="P4097" s="100"/>
      <c r="Q4097" s="100"/>
      <c r="R4097" s="100"/>
      <c r="S4097" s="100"/>
      <c r="T4097" s="100"/>
      <c r="U4097" s="100"/>
      <c r="V4097" s="100"/>
      <c r="W4097" s="100"/>
      <c r="X4097" s="100"/>
      <c r="Y4097" s="100"/>
      <c r="Z4097" s="100"/>
    </row>
    <row r="4098" spans="1:26">
      <c r="A4098" s="100"/>
      <c r="B4098" s="100"/>
      <c r="C4098" s="100"/>
      <c r="D4098" s="100"/>
      <c r="E4098" s="100"/>
      <c r="F4098" s="100"/>
      <c r="G4098" s="100"/>
      <c r="H4098" s="100"/>
      <c r="I4098" s="100"/>
      <c r="J4098" s="100"/>
      <c r="K4098" s="100"/>
      <c r="L4098" s="100"/>
      <c r="M4098" s="100"/>
      <c r="N4098" s="100"/>
      <c r="O4098" s="100"/>
      <c r="P4098" s="100"/>
      <c r="Q4098" s="100"/>
      <c r="R4098" s="100"/>
      <c r="S4098" s="100"/>
      <c r="T4098" s="100"/>
      <c r="U4098" s="100"/>
      <c r="V4098" s="100"/>
      <c r="W4098" s="100"/>
      <c r="X4098" s="100"/>
      <c r="Y4098" s="100"/>
      <c r="Z4098" s="100"/>
    </row>
    <row r="4099" spans="1:26">
      <c r="A4099" s="100"/>
      <c r="B4099" s="100"/>
      <c r="C4099" s="100"/>
      <c r="D4099" s="100"/>
      <c r="E4099" s="100"/>
      <c r="F4099" s="100"/>
      <c r="G4099" s="100"/>
      <c r="H4099" s="100"/>
      <c r="I4099" s="100"/>
      <c r="J4099" s="100"/>
      <c r="K4099" s="100"/>
      <c r="L4099" s="100"/>
      <c r="M4099" s="100"/>
      <c r="N4099" s="100"/>
      <c r="O4099" s="100"/>
      <c r="P4099" s="100"/>
      <c r="Q4099" s="100"/>
      <c r="R4099" s="100"/>
      <c r="S4099" s="100"/>
      <c r="T4099" s="100"/>
      <c r="U4099" s="100"/>
      <c r="V4099" s="100"/>
      <c r="W4099" s="100"/>
      <c r="X4099" s="100"/>
      <c r="Y4099" s="100"/>
      <c r="Z4099" s="100"/>
    </row>
    <row r="4100" spans="1:26">
      <c r="A4100" s="100"/>
      <c r="B4100" s="100"/>
      <c r="C4100" s="100"/>
      <c r="D4100" s="100"/>
      <c r="E4100" s="100"/>
      <c r="F4100" s="100"/>
      <c r="G4100" s="100"/>
      <c r="H4100" s="100"/>
      <c r="I4100" s="100"/>
      <c r="J4100" s="100"/>
      <c r="K4100" s="100"/>
      <c r="L4100" s="100"/>
      <c r="M4100" s="100"/>
      <c r="N4100" s="100"/>
      <c r="O4100" s="100"/>
      <c r="P4100" s="100"/>
      <c r="Q4100" s="100"/>
      <c r="R4100" s="100"/>
      <c r="S4100" s="100"/>
      <c r="T4100" s="100"/>
      <c r="U4100" s="100"/>
      <c r="V4100" s="100"/>
      <c r="W4100" s="100"/>
      <c r="X4100" s="100"/>
      <c r="Y4100" s="100"/>
      <c r="Z4100" s="100"/>
    </row>
    <row r="4101" spans="1:26">
      <c r="A4101" s="100"/>
      <c r="B4101" s="100"/>
      <c r="C4101" s="100"/>
      <c r="D4101" s="100"/>
      <c r="E4101" s="100"/>
      <c r="F4101" s="100"/>
      <c r="G4101" s="100"/>
      <c r="H4101" s="100"/>
      <c r="I4101" s="100"/>
      <c r="J4101" s="100"/>
      <c r="K4101" s="100"/>
      <c r="L4101" s="100"/>
      <c r="M4101" s="100"/>
      <c r="N4101" s="100"/>
      <c r="O4101" s="100"/>
      <c r="P4101" s="100"/>
      <c r="Q4101" s="100"/>
      <c r="R4101" s="100"/>
      <c r="S4101" s="100"/>
      <c r="T4101" s="100"/>
      <c r="U4101" s="100"/>
      <c r="V4101" s="100"/>
      <c r="W4101" s="100"/>
      <c r="X4101" s="100"/>
      <c r="Y4101" s="100"/>
      <c r="Z4101" s="100"/>
    </row>
    <row r="4102" spans="1:26">
      <c r="A4102" s="100"/>
      <c r="B4102" s="100"/>
      <c r="C4102" s="100"/>
      <c r="D4102" s="100"/>
      <c r="E4102" s="100"/>
      <c r="F4102" s="100"/>
      <c r="G4102" s="100"/>
      <c r="H4102" s="100"/>
      <c r="I4102" s="100"/>
      <c r="J4102" s="100"/>
      <c r="K4102" s="100"/>
      <c r="L4102" s="100"/>
      <c r="M4102" s="100"/>
      <c r="N4102" s="100"/>
      <c r="O4102" s="100"/>
      <c r="P4102" s="100"/>
      <c r="Q4102" s="100"/>
      <c r="R4102" s="100"/>
      <c r="S4102" s="100"/>
      <c r="T4102" s="100"/>
      <c r="U4102" s="100"/>
      <c r="V4102" s="100"/>
      <c r="W4102" s="100"/>
      <c r="X4102" s="100"/>
      <c r="Y4102" s="100"/>
      <c r="Z4102" s="100"/>
    </row>
    <row r="4103" spans="1:26">
      <c r="A4103" s="100"/>
      <c r="B4103" s="100"/>
      <c r="C4103" s="100"/>
      <c r="D4103" s="100"/>
      <c r="E4103" s="100"/>
      <c r="F4103" s="100"/>
      <c r="G4103" s="100"/>
      <c r="H4103" s="100"/>
      <c r="I4103" s="100"/>
      <c r="J4103" s="100"/>
      <c r="K4103" s="100"/>
      <c r="L4103" s="100"/>
      <c r="M4103" s="100"/>
      <c r="N4103" s="100"/>
      <c r="O4103" s="100"/>
      <c r="P4103" s="100"/>
      <c r="Q4103" s="100"/>
      <c r="R4103" s="100"/>
      <c r="S4103" s="100"/>
      <c r="T4103" s="100"/>
      <c r="U4103" s="100"/>
      <c r="V4103" s="100"/>
      <c r="W4103" s="100"/>
      <c r="X4103" s="100"/>
      <c r="Y4103" s="100"/>
      <c r="Z4103" s="100"/>
    </row>
    <row r="4104" spans="1:26">
      <c r="A4104" s="100"/>
      <c r="B4104" s="100"/>
      <c r="C4104" s="100"/>
      <c r="D4104" s="100"/>
      <c r="E4104" s="100"/>
      <c r="F4104" s="100"/>
      <c r="G4104" s="100"/>
      <c r="H4104" s="100"/>
      <c r="I4104" s="100"/>
      <c r="J4104" s="100"/>
      <c r="K4104" s="100"/>
      <c r="L4104" s="100"/>
      <c r="M4104" s="100"/>
      <c r="N4104" s="100"/>
      <c r="O4104" s="100"/>
      <c r="P4104" s="100"/>
      <c r="Q4104" s="100"/>
      <c r="R4104" s="100"/>
      <c r="S4104" s="100"/>
      <c r="T4104" s="100"/>
      <c r="U4104" s="100"/>
      <c r="V4104" s="100"/>
      <c r="W4104" s="100"/>
      <c r="X4104" s="100"/>
      <c r="Y4104" s="100"/>
      <c r="Z4104" s="100"/>
    </row>
    <row r="4105" spans="1:26">
      <c r="A4105" s="100"/>
      <c r="B4105" s="100"/>
      <c r="C4105" s="100"/>
      <c r="D4105" s="100"/>
      <c r="E4105" s="100"/>
      <c r="F4105" s="100"/>
      <c r="G4105" s="100"/>
      <c r="H4105" s="100"/>
      <c r="I4105" s="100"/>
      <c r="J4105" s="100"/>
      <c r="K4105" s="100"/>
      <c r="L4105" s="100"/>
      <c r="M4105" s="100"/>
      <c r="N4105" s="100"/>
      <c r="O4105" s="100"/>
      <c r="P4105" s="100"/>
      <c r="Q4105" s="100"/>
      <c r="R4105" s="100"/>
      <c r="S4105" s="100"/>
      <c r="T4105" s="100"/>
      <c r="U4105" s="100"/>
      <c r="V4105" s="100"/>
      <c r="W4105" s="100"/>
      <c r="X4105" s="100"/>
      <c r="Y4105" s="100"/>
      <c r="Z4105" s="100"/>
    </row>
    <row r="4106" spans="1:26">
      <c r="A4106" s="100"/>
      <c r="B4106" s="100"/>
      <c r="C4106" s="100"/>
      <c r="D4106" s="100"/>
      <c r="E4106" s="100"/>
      <c r="F4106" s="100"/>
      <c r="G4106" s="100"/>
      <c r="H4106" s="100"/>
      <c r="I4106" s="100"/>
      <c r="J4106" s="100"/>
      <c r="K4106" s="100"/>
      <c r="L4106" s="100"/>
      <c r="M4106" s="100"/>
      <c r="N4106" s="100"/>
      <c r="O4106" s="100"/>
      <c r="P4106" s="100"/>
      <c r="Q4106" s="100"/>
      <c r="R4106" s="100"/>
      <c r="S4106" s="100"/>
      <c r="T4106" s="100"/>
      <c r="U4106" s="100"/>
      <c r="V4106" s="100"/>
      <c r="W4106" s="100"/>
      <c r="X4106" s="100"/>
      <c r="Y4106" s="100"/>
      <c r="Z4106" s="100"/>
    </row>
    <row r="4107" spans="1:26">
      <c r="A4107" s="100"/>
      <c r="B4107" s="100"/>
      <c r="C4107" s="100"/>
      <c r="D4107" s="100"/>
      <c r="E4107" s="100"/>
      <c r="F4107" s="100"/>
      <c r="G4107" s="100"/>
      <c r="H4107" s="100"/>
      <c r="I4107" s="100"/>
      <c r="J4107" s="100"/>
      <c r="K4107" s="100"/>
      <c r="L4107" s="100"/>
      <c r="M4107" s="100"/>
      <c r="N4107" s="100"/>
      <c r="O4107" s="100"/>
      <c r="P4107" s="100"/>
      <c r="Q4107" s="100"/>
      <c r="R4107" s="100"/>
      <c r="S4107" s="100"/>
      <c r="T4107" s="100"/>
      <c r="U4107" s="100"/>
      <c r="V4107" s="100"/>
      <c r="W4107" s="100"/>
      <c r="X4107" s="100"/>
      <c r="Y4107" s="100"/>
      <c r="Z4107" s="100"/>
    </row>
    <row r="4108" spans="1:26">
      <c r="A4108" s="100"/>
      <c r="B4108" s="100"/>
      <c r="C4108" s="100"/>
      <c r="D4108" s="100"/>
      <c r="E4108" s="100"/>
      <c r="F4108" s="100"/>
      <c r="G4108" s="100"/>
      <c r="H4108" s="100"/>
      <c r="I4108" s="100"/>
      <c r="J4108" s="100"/>
      <c r="K4108" s="100"/>
      <c r="L4108" s="100"/>
      <c r="M4108" s="100"/>
      <c r="N4108" s="100"/>
      <c r="O4108" s="100"/>
      <c r="P4108" s="100"/>
      <c r="Q4108" s="100"/>
      <c r="R4108" s="100"/>
      <c r="S4108" s="100"/>
      <c r="T4108" s="100"/>
      <c r="U4108" s="100"/>
      <c r="V4108" s="100"/>
      <c r="W4108" s="100"/>
      <c r="X4108" s="100"/>
      <c r="Y4108" s="100"/>
      <c r="Z4108" s="100"/>
    </row>
    <row r="4109" spans="1:26">
      <c r="A4109" s="100"/>
      <c r="B4109" s="100"/>
      <c r="C4109" s="100"/>
      <c r="D4109" s="100"/>
      <c r="E4109" s="100"/>
      <c r="F4109" s="100"/>
      <c r="G4109" s="100"/>
      <c r="H4109" s="100"/>
      <c r="I4109" s="100"/>
      <c r="J4109" s="100"/>
      <c r="K4109" s="100"/>
      <c r="L4109" s="100"/>
      <c r="M4109" s="100"/>
      <c r="N4109" s="100"/>
      <c r="O4109" s="100"/>
      <c r="P4109" s="100"/>
      <c r="Q4109" s="100"/>
      <c r="R4109" s="100"/>
      <c r="S4109" s="100"/>
      <c r="T4109" s="100"/>
      <c r="U4109" s="100"/>
      <c r="V4109" s="100"/>
      <c r="W4109" s="100"/>
      <c r="X4109" s="100"/>
      <c r="Y4109" s="100"/>
      <c r="Z4109" s="100"/>
    </row>
    <row r="4110" spans="1:26">
      <c r="A4110" s="100"/>
      <c r="B4110" s="100"/>
      <c r="C4110" s="100"/>
      <c r="D4110" s="100"/>
      <c r="E4110" s="100"/>
      <c r="F4110" s="100"/>
      <c r="G4110" s="100"/>
      <c r="H4110" s="100"/>
      <c r="I4110" s="100"/>
      <c r="J4110" s="100"/>
      <c r="K4110" s="100"/>
      <c r="L4110" s="100"/>
      <c r="M4110" s="100"/>
      <c r="N4110" s="100"/>
      <c r="O4110" s="100"/>
      <c r="P4110" s="100"/>
      <c r="Q4110" s="100"/>
      <c r="R4110" s="100"/>
      <c r="S4110" s="100"/>
      <c r="T4110" s="100"/>
      <c r="U4110" s="100"/>
      <c r="V4110" s="100"/>
      <c r="W4110" s="100"/>
      <c r="X4110" s="100"/>
      <c r="Y4110" s="100"/>
      <c r="Z4110" s="100"/>
    </row>
    <row r="4111" spans="1:26">
      <c r="A4111" s="100"/>
      <c r="B4111" s="100"/>
      <c r="C4111" s="100"/>
      <c r="D4111" s="100"/>
      <c r="E4111" s="100"/>
      <c r="F4111" s="100"/>
      <c r="G4111" s="100"/>
      <c r="H4111" s="100"/>
      <c r="I4111" s="100"/>
      <c r="J4111" s="100"/>
      <c r="K4111" s="100"/>
      <c r="L4111" s="100"/>
      <c r="M4111" s="100"/>
      <c r="N4111" s="100"/>
      <c r="O4111" s="100"/>
      <c r="P4111" s="100"/>
      <c r="Q4111" s="100"/>
      <c r="R4111" s="100"/>
      <c r="S4111" s="100"/>
      <c r="T4111" s="100"/>
      <c r="U4111" s="100"/>
      <c r="V4111" s="100"/>
      <c r="W4111" s="100"/>
      <c r="X4111" s="100"/>
      <c r="Y4111" s="100"/>
      <c r="Z4111" s="100"/>
    </row>
    <row r="4112" spans="1:26">
      <c r="A4112" s="100"/>
      <c r="B4112" s="100"/>
      <c r="C4112" s="100"/>
      <c r="D4112" s="100"/>
      <c r="E4112" s="100"/>
      <c r="F4112" s="100"/>
      <c r="G4112" s="100"/>
      <c r="H4112" s="100"/>
      <c r="I4112" s="100"/>
      <c r="J4112" s="100"/>
      <c r="K4112" s="100"/>
      <c r="L4112" s="100"/>
      <c r="M4112" s="100"/>
      <c r="N4112" s="100"/>
      <c r="O4112" s="100"/>
      <c r="P4112" s="100"/>
      <c r="Q4112" s="100"/>
      <c r="R4112" s="100"/>
      <c r="S4112" s="100"/>
      <c r="T4112" s="100"/>
      <c r="U4112" s="100"/>
      <c r="V4112" s="100"/>
      <c r="W4112" s="100"/>
      <c r="X4112" s="100"/>
      <c r="Y4112" s="100"/>
      <c r="Z4112" s="100"/>
    </row>
    <row r="4113" spans="1:26">
      <c r="A4113" s="100"/>
      <c r="B4113" s="100"/>
      <c r="C4113" s="100"/>
      <c r="D4113" s="100"/>
      <c r="E4113" s="100"/>
      <c r="F4113" s="100"/>
      <c r="G4113" s="100"/>
      <c r="H4113" s="100"/>
      <c r="I4113" s="100"/>
      <c r="J4113" s="100"/>
      <c r="K4113" s="100"/>
      <c r="L4113" s="100"/>
      <c r="M4113" s="100"/>
      <c r="N4113" s="100"/>
      <c r="O4113" s="100"/>
      <c r="P4113" s="100"/>
      <c r="Q4113" s="100"/>
      <c r="R4113" s="100"/>
      <c r="S4113" s="100"/>
      <c r="T4113" s="100"/>
      <c r="U4113" s="100"/>
      <c r="V4113" s="100"/>
      <c r="W4113" s="100"/>
      <c r="X4113" s="100"/>
      <c r="Y4113" s="100"/>
      <c r="Z4113" s="100"/>
    </row>
    <row r="4114" spans="1:26">
      <c r="A4114" s="100"/>
      <c r="B4114" s="100"/>
      <c r="C4114" s="100"/>
      <c r="D4114" s="100"/>
      <c r="E4114" s="100"/>
      <c r="F4114" s="100"/>
      <c r="G4114" s="100"/>
      <c r="H4114" s="100"/>
      <c r="I4114" s="100"/>
      <c r="J4114" s="100"/>
      <c r="K4114" s="100"/>
      <c r="L4114" s="100"/>
      <c r="M4114" s="100"/>
      <c r="N4114" s="100"/>
      <c r="O4114" s="100"/>
      <c r="P4114" s="100"/>
      <c r="Q4114" s="100"/>
      <c r="R4114" s="100"/>
      <c r="S4114" s="100"/>
      <c r="T4114" s="100"/>
      <c r="U4114" s="100"/>
      <c r="V4114" s="100"/>
      <c r="W4114" s="100"/>
      <c r="X4114" s="100"/>
      <c r="Y4114" s="100"/>
      <c r="Z4114" s="100"/>
    </row>
    <row r="4115" spans="1:26">
      <c r="A4115" s="100"/>
      <c r="B4115" s="100"/>
      <c r="C4115" s="100"/>
      <c r="D4115" s="100"/>
      <c r="E4115" s="100"/>
      <c r="F4115" s="100"/>
      <c r="G4115" s="100"/>
      <c r="H4115" s="100"/>
      <c r="I4115" s="100"/>
      <c r="J4115" s="100"/>
      <c r="K4115" s="100"/>
      <c r="L4115" s="100"/>
      <c r="M4115" s="100"/>
      <c r="N4115" s="100"/>
      <c r="O4115" s="100"/>
      <c r="P4115" s="100"/>
      <c r="Q4115" s="100"/>
      <c r="R4115" s="100"/>
      <c r="S4115" s="100"/>
      <c r="T4115" s="100"/>
      <c r="U4115" s="100"/>
      <c r="V4115" s="100"/>
      <c r="W4115" s="100"/>
      <c r="X4115" s="100"/>
      <c r="Y4115" s="100"/>
      <c r="Z4115" s="100"/>
    </row>
    <row r="4116" spans="1:26">
      <c r="A4116" s="100"/>
      <c r="B4116" s="100"/>
      <c r="C4116" s="100"/>
      <c r="D4116" s="100"/>
      <c r="E4116" s="100"/>
      <c r="F4116" s="100"/>
      <c r="G4116" s="100"/>
      <c r="H4116" s="100"/>
      <c r="I4116" s="100"/>
      <c r="J4116" s="100"/>
      <c r="K4116" s="100"/>
      <c r="L4116" s="100"/>
      <c r="M4116" s="100"/>
      <c r="N4116" s="100"/>
      <c r="O4116" s="100"/>
      <c r="P4116" s="100"/>
      <c r="Q4116" s="100"/>
      <c r="R4116" s="100"/>
      <c r="S4116" s="100"/>
      <c r="T4116" s="100"/>
      <c r="U4116" s="100"/>
      <c r="V4116" s="100"/>
      <c r="W4116" s="100"/>
      <c r="X4116" s="100"/>
      <c r="Y4116" s="100"/>
      <c r="Z4116" s="100"/>
    </row>
    <row r="4117" spans="1:26">
      <c r="A4117" s="100"/>
      <c r="B4117" s="100"/>
      <c r="C4117" s="100"/>
      <c r="D4117" s="100"/>
      <c r="E4117" s="100"/>
      <c r="F4117" s="100"/>
      <c r="G4117" s="100"/>
      <c r="H4117" s="100"/>
      <c r="I4117" s="100"/>
      <c r="J4117" s="100"/>
      <c r="K4117" s="100"/>
      <c r="L4117" s="100"/>
      <c r="M4117" s="100"/>
      <c r="N4117" s="100"/>
      <c r="O4117" s="100"/>
      <c r="P4117" s="100"/>
      <c r="Q4117" s="100"/>
      <c r="R4117" s="100"/>
      <c r="S4117" s="100"/>
      <c r="T4117" s="100"/>
      <c r="U4117" s="100"/>
      <c r="V4117" s="100"/>
      <c r="W4117" s="100"/>
      <c r="X4117" s="100"/>
      <c r="Y4117" s="100"/>
      <c r="Z4117" s="100"/>
    </row>
    <row r="4118" spans="1:26">
      <c r="A4118" s="100"/>
      <c r="B4118" s="100"/>
      <c r="C4118" s="100"/>
      <c r="D4118" s="100"/>
      <c r="E4118" s="100"/>
      <c r="F4118" s="100"/>
      <c r="G4118" s="100"/>
      <c r="H4118" s="100"/>
      <c r="I4118" s="100"/>
      <c r="J4118" s="100"/>
      <c r="K4118" s="100"/>
      <c r="L4118" s="100"/>
      <c r="M4118" s="100"/>
      <c r="N4118" s="100"/>
      <c r="O4118" s="100"/>
      <c r="P4118" s="100"/>
      <c r="Q4118" s="100"/>
      <c r="R4118" s="100"/>
      <c r="S4118" s="100"/>
      <c r="T4118" s="100"/>
      <c r="U4118" s="100"/>
      <c r="V4118" s="100"/>
      <c r="W4118" s="100"/>
      <c r="X4118" s="100"/>
      <c r="Y4118" s="100"/>
      <c r="Z4118" s="100"/>
    </row>
    <row r="4119" spans="1:26">
      <c r="A4119" s="100"/>
      <c r="B4119" s="100"/>
      <c r="C4119" s="100"/>
      <c r="D4119" s="100"/>
      <c r="E4119" s="100"/>
      <c r="F4119" s="100"/>
      <c r="G4119" s="100"/>
      <c r="H4119" s="100"/>
      <c r="I4119" s="100"/>
      <c r="J4119" s="100"/>
      <c r="K4119" s="100"/>
      <c r="L4119" s="100"/>
      <c r="M4119" s="100"/>
      <c r="N4119" s="100"/>
      <c r="O4119" s="100"/>
      <c r="P4119" s="100"/>
      <c r="Q4119" s="100"/>
      <c r="R4119" s="100"/>
      <c r="S4119" s="100"/>
      <c r="T4119" s="100"/>
      <c r="U4119" s="100"/>
      <c r="V4119" s="100"/>
      <c r="W4119" s="100"/>
      <c r="X4119" s="100"/>
      <c r="Y4119" s="100"/>
      <c r="Z4119" s="100"/>
    </row>
    <row r="4120" spans="1:26">
      <c r="A4120" s="100"/>
      <c r="B4120" s="100"/>
      <c r="C4120" s="100"/>
      <c r="D4120" s="100"/>
      <c r="E4120" s="100"/>
      <c r="F4120" s="100"/>
      <c r="G4120" s="100"/>
      <c r="H4120" s="100"/>
      <c r="I4120" s="100"/>
      <c r="J4120" s="100"/>
      <c r="K4120" s="100"/>
      <c r="L4120" s="100"/>
      <c r="M4120" s="100"/>
      <c r="N4120" s="100"/>
      <c r="O4120" s="100"/>
      <c r="P4120" s="100"/>
      <c r="Q4120" s="100"/>
      <c r="R4120" s="100"/>
      <c r="S4120" s="100"/>
      <c r="T4120" s="100"/>
      <c r="U4120" s="100"/>
      <c r="V4120" s="100"/>
      <c r="W4120" s="100"/>
      <c r="X4120" s="100"/>
      <c r="Y4120" s="100"/>
      <c r="Z4120" s="100"/>
    </row>
    <row r="4121" spans="1:26">
      <c r="A4121" s="100"/>
      <c r="B4121" s="100"/>
      <c r="C4121" s="100"/>
      <c r="D4121" s="100"/>
      <c r="E4121" s="100"/>
      <c r="F4121" s="100"/>
      <c r="G4121" s="100"/>
      <c r="H4121" s="100"/>
      <c r="I4121" s="100"/>
      <c r="J4121" s="100"/>
      <c r="K4121" s="100"/>
      <c r="L4121" s="100"/>
      <c r="M4121" s="100"/>
      <c r="N4121" s="100"/>
      <c r="O4121" s="100"/>
      <c r="P4121" s="100"/>
      <c r="Q4121" s="100"/>
      <c r="R4121" s="100"/>
      <c r="S4121" s="100"/>
      <c r="T4121" s="100"/>
      <c r="U4121" s="100"/>
      <c r="V4121" s="100"/>
      <c r="W4121" s="100"/>
      <c r="X4121" s="100"/>
      <c r="Y4121" s="100"/>
      <c r="Z4121" s="100"/>
    </row>
    <row r="4122" spans="1:26">
      <c r="A4122" s="100"/>
      <c r="B4122" s="100"/>
      <c r="C4122" s="100"/>
      <c r="D4122" s="100"/>
      <c r="E4122" s="100"/>
      <c r="F4122" s="100"/>
      <c r="G4122" s="100"/>
      <c r="H4122" s="100"/>
      <c r="I4122" s="100"/>
      <c r="J4122" s="100"/>
      <c r="K4122" s="100"/>
      <c r="L4122" s="100"/>
      <c r="M4122" s="100"/>
      <c r="N4122" s="100"/>
      <c r="O4122" s="100"/>
      <c r="P4122" s="100"/>
      <c r="Q4122" s="100"/>
      <c r="R4122" s="100"/>
      <c r="S4122" s="100"/>
      <c r="T4122" s="100"/>
      <c r="U4122" s="100"/>
      <c r="V4122" s="100"/>
      <c r="W4122" s="100"/>
      <c r="X4122" s="100"/>
      <c r="Y4122" s="100"/>
      <c r="Z4122" s="100"/>
    </row>
    <row r="4123" spans="1:26">
      <c r="A4123" s="100"/>
      <c r="B4123" s="100"/>
      <c r="C4123" s="100"/>
      <c r="D4123" s="100"/>
      <c r="E4123" s="100"/>
      <c r="F4123" s="100"/>
      <c r="G4123" s="100"/>
      <c r="H4123" s="100"/>
      <c r="I4123" s="100"/>
      <c r="J4123" s="100"/>
      <c r="K4123" s="100"/>
      <c r="L4123" s="100"/>
      <c r="M4123" s="100"/>
      <c r="N4123" s="100"/>
      <c r="O4123" s="100"/>
      <c r="P4123" s="100"/>
      <c r="Q4123" s="100"/>
      <c r="R4123" s="100"/>
      <c r="S4123" s="100"/>
      <c r="T4123" s="100"/>
      <c r="U4123" s="100"/>
      <c r="V4123" s="100"/>
      <c r="W4123" s="100"/>
      <c r="X4123" s="100"/>
      <c r="Y4123" s="100"/>
      <c r="Z4123" s="100"/>
    </row>
    <row r="4124" spans="1:26">
      <c r="A4124" s="100"/>
      <c r="B4124" s="100"/>
      <c r="C4124" s="100"/>
      <c r="D4124" s="100"/>
      <c r="E4124" s="100"/>
      <c r="F4124" s="100"/>
      <c r="G4124" s="100"/>
      <c r="H4124" s="100"/>
      <c r="I4124" s="100"/>
      <c r="J4124" s="100"/>
      <c r="K4124" s="100"/>
      <c r="L4124" s="100"/>
      <c r="M4124" s="100"/>
      <c r="N4124" s="100"/>
      <c r="O4124" s="100"/>
      <c r="P4124" s="100"/>
      <c r="Q4124" s="100"/>
      <c r="R4124" s="100"/>
      <c r="S4124" s="100"/>
      <c r="T4124" s="100"/>
      <c r="U4124" s="100"/>
      <c r="V4124" s="100"/>
      <c r="W4124" s="100"/>
      <c r="X4124" s="100"/>
      <c r="Y4124" s="100"/>
      <c r="Z4124" s="100"/>
    </row>
    <row r="4125" spans="1:26">
      <c r="A4125" s="100"/>
      <c r="B4125" s="100"/>
      <c r="C4125" s="100"/>
      <c r="D4125" s="100"/>
      <c r="E4125" s="100"/>
      <c r="F4125" s="100"/>
      <c r="G4125" s="100"/>
      <c r="H4125" s="100"/>
      <c r="I4125" s="100"/>
      <c r="J4125" s="100"/>
      <c r="K4125" s="100"/>
      <c r="L4125" s="100"/>
      <c r="M4125" s="100"/>
      <c r="N4125" s="100"/>
      <c r="O4125" s="100"/>
      <c r="P4125" s="100"/>
      <c r="Q4125" s="100"/>
      <c r="R4125" s="100"/>
      <c r="S4125" s="100"/>
      <c r="T4125" s="100"/>
      <c r="U4125" s="100"/>
      <c r="V4125" s="100"/>
      <c r="W4125" s="100"/>
      <c r="X4125" s="100"/>
      <c r="Y4125" s="100"/>
      <c r="Z4125" s="100"/>
    </row>
    <row r="4126" spans="1:26">
      <c r="A4126" s="100"/>
      <c r="B4126" s="100"/>
      <c r="C4126" s="100"/>
      <c r="D4126" s="100"/>
      <c r="E4126" s="100"/>
      <c r="F4126" s="100"/>
      <c r="G4126" s="100"/>
      <c r="H4126" s="100"/>
      <c r="I4126" s="100"/>
      <c r="J4126" s="100"/>
      <c r="K4126" s="100"/>
      <c r="L4126" s="100"/>
      <c r="M4126" s="100"/>
      <c r="N4126" s="100"/>
      <c r="O4126" s="100"/>
      <c r="P4126" s="100"/>
      <c r="Q4126" s="100"/>
      <c r="R4126" s="100"/>
      <c r="S4126" s="100"/>
      <c r="T4126" s="100"/>
      <c r="U4126" s="100"/>
      <c r="V4126" s="100"/>
      <c r="W4126" s="100"/>
      <c r="X4126" s="100"/>
      <c r="Y4126" s="100"/>
      <c r="Z4126" s="100"/>
    </row>
    <row r="4127" spans="1:26">
      <c r="A4127" s="100"/>
      <c r="B4127" s="100"/>
      <c r="C4127" s="100"/>
      <c r="D4127" s="100"/>
      <c r="E4127" s="100"/>
      <c r="F4127" s="100"/>
      <c r="G4127" s="100"/>
      <c r="H4127" s="100"/>
      <c r="I4127" s="100"/>
      <c r="J4127" s="100"/>
      <c r="K4127" s="100"/>
      <c r="L4127" s="100"/>
      <c r="M4127" s="100"/>
      <c r="N4127" s="100"/>
      <c r="O4127" s="100"/>
      <c r="P4127" s="100"/>
      <c r="Q4127" s="100"/>
      <c r="R4127" s="100"/>
      <c r="S4127" s="100"/>
      <c r="T4127" s="100"/>
      <c r="U4127" s="100"/>
      <c r="V4127" s="100"/>
      <c r="W4127" s="100"/>
      <c r="X4127" s="100"/>
      <c r="Y4127" s="100"/>
      <c r="Z4127" s="100"/>
    </row>
    <row r="4128" spans="1:26">
      <c r="A4128" s="100"/>
      <c r="B4128" s="100"/>
      <c r="C4128" s="100"/>
      <c r="D4128" s="100"/>
      <c r="E4128" s="100"/>
      <c r="F4128" s="100"/>
      <c r="G4128" s="100"/>
      <c r="H4128" s="100"/>
      <c r="I4128" s="100"/>
      <c r="J4128" s="100"/>
      <c r="K4128" s="100"/>
      <c r="L4128" s="100"/>
      <c r="M4128" s="100"/>
      <c r="N4128" s="100"/>
      <c r="O4128" s="100"/>
      <c r="P4128" s="100"/>
      <c r="Q4128" s="100"/>
      <c r="R4128" s="100"/>
      <c r="S4128" s="100"/>
      <c r="T4128" s="100"/>
      <c r="U4128" s="100"/>
      <c r="V4128" s="100"/>
      <c r="W4128" s="100"/>
      <c r="X4128" s="100"/>
      <c r="Y4128" s="100"/>
      <c r="Z4128" s="100"/>
    </row>
    <row r="4129" spans="1:26">
      <c r="A4129" s="100"/>
      <c r="B4129" s="100"/>
      <c r="C4129" s="100"/>
      <c r="D4129" s="100"/>
      <c r="E4129" s="100"/>
      <c r="F4129" s="100"/>
      <c r="G4129" s="100"/>
      <c r="H4129" s="100"/>
      <c r="I4129" s="100"/>
      <c r="J4129" s="100"/>
      <c r="K4129" s="100"/>
      <c r="L4129" s="100"/>
      <c r="M4129" s="100"/>
      <c r="N4129" s="100"/>
      <c r="O4129" s="100"/>
      <c r="P4129" s="100"/>
      <c r="Q4129" s="100"/>
      <c r="R4129" s="100"/>
      <c r="S4129" s="100"/>
      <c r="T4129" s="100"/>
      <c r="U4129" s="100"/>
      <c r="V4129" s="100"/>
      <c r="W4129" s="100"/>
      <c r="X4129" s="100"/>
      <c r="Y4129" s="100"/>
      <c r="Z4129" s="100"/>
    </row>
    <row r="4130" spans="1:26">
      <c r="A4130" s="100"/>
      <c r="B4130" s="100"/>
      <c r="C4130" s="100"/>
      <c r="D4130" s="100"/>
      <c r="E4130" s="100"/>
      <c r="F4130" s="100"/>
      <c r="G4130" s="100"/>
      <c r="H4130" s="100"/>
      <c r="I4130" s="100"/>
      <c r="J4130" s="100"/>
      <c r="K4130" s="100"/>
      <c r="L4130" s="100"/>
      <c r="M4130" s="100"/>
      <c r="N4130" s="100"/>
      <c r="O4130" s="100"/>
      <c r="P4130" s="100"/>
      <c r="Q4130" s="100"/>
      <c r="R4130" s="100"/>
      <c r="S4130" s="100"/>
      <c r="T4130" s="100"/>
      <c r="U4130" s="100"/>
      <c r="V4130" s="100"/>
      <c r="W4130" s="100"/>
      <c r="X4130" s="100"/>
      <c r="Y4130" s="100"/>
      <c r="Z4130" s="100"/>
    </row>
    <row r="4131" spans="1:26">
      <c r="A4131" s="100"/>
      <c r="B4131" s="100"/>
      <c r="C4131" s="100"/>
      <c r="D4131" s="100"/>
      <c r="E4131" s="100"/>
      <c r="F4131" s="100"/>
      <c r="G4131" s="100"/>
      <c r="H4131" s="100"/>
      <c r="I4131" s="100"/>
      <c r="J4131" s="100"/>
      <c r="K4131" s="100"/>
      <c r="L4131" s="100"/>
      <c r="M4131" s="100"/>
      <c r="N4131" s="100"/>
      <c r="O4131" s="100"/>
      <c r="P4131" s="100"/>
      <c r="Q4131" s="100"/>
      <c r="R4131" s="100"/>
      <c r="S4131" s="100"/>
      <c r="T4131" s="100"/>
      <c r="U4131" s="100"/>
      <c r="V4131" s="100"/>
      <c r="W4131" s="100"/>
      <c r="X4131" s="100"/>
      <c r="Y4131" s="100"/>
      <c r="Z4131" s="100"/>
    </row>
    <row r="4132" spans="1:26">
      <c r="A4132" s="100"/>
      <c r="B4132" s="100"/>
      <c r="C4132" s="100"/>
      <c r="D4132" s="100"/>
      <c r="E4132" s="100"/>
      <c r="F4132" s="100"/>
      <c r="G4132" s="100"/>
      <c r="H4132" s="100"/>
      <c r="I4132" s="100"/>
      <c r="J4132" s="100"/>
      <c r="K4132" s="100"/>
      <c r="L4132" s="100"/>
      <c r="M4132" s="100"/>
      <c r="N4132" s="100"/>
      <c r="O4132" s="100"/>
      <c r="P4132" s="100"/>
      <c r="Q4132" s="100"/>
      <c r="R4132" s="100"/>
      <c r="S4132" s="100"/>
      <c r="T4132" s="100"/>
      <c r="U4132" s="100"/>
      <c r="V4132" s="100"/>
      <c r="W4132" s="100"/>
      <c r="X4132" s="100"/>
      <c r="Y4132" s="100"/>
      <c r="Z4132" s="100"/>
    </row>
    <row r="4133" spans="1:26">
      <c r="A4133" s="100"/>
      <c r="B4133" s="100"/>
      <c r="C4133" s="100"/>
      <c r="D4133" s="100"/>
      <c r="E4133" s="100"/>
      <c r="F4133" s="100"/>
      <c r="G4133" s="100"/>
      <c r="H4133" s="100"/>
      <c r="I4133" s="100"/>
      <c r="J4133" s="100"/>
      <c r="K4133" s="100"/>
      <c r="L4133" s="100"/>
      <c r="M4133" s="100"/>
      <c r="N4133" s="100"/>
      <c r="O4133" s="100"/>
      <c r="P4133" s="100"/>
      <c r="Q4133" s="100"/>
      <c r="R4133" s="100"/>
      <c r="S4133" s="100"/>
      <c r="T4133" s="100"/>
      <c r="U4133" s="100"/>
      <c r="V4133" s="100"/>
      <c r="W4133" s="100"/>
      <c r="X4133" s="100"/>
      <c r="Y4133" s="100"/>
      <c r="Z4133" s="100"/>
    </row>
    <row r="4134" spans="1:26">
      <c r="A4134" s="100"/>
      <c r="B4134" s="100"/>
      <c r="C4134" s="100"/>
      <c r="D4134" s="100"/>
      <c r="E4134" s="100"/>
      <c r="F4134" s="100"/>
      <c r="G4134" s="100"/>
      <c r="H4134" s="100"/>
      <c r="I4134" s="100"/>
      <c r="J4134" s="100"/>
      <c r="K4134" s="100"/>
      <c r="L4134" s="100"/>
      <c r="M4134" s="100"/>
      <c r="N4134" s="100"/>
      <c r="O4134" s="100"/>
      <c r="P4134" s="100"/>
      <c r="Q4134" s="100"/>
      <c r="R4134" s="100"/>
      <c r="S4134" s="100"/>
      <c r="T4134" s="100"/>
      <c r="U4134" s="100"/>
      <c r="V4134" s="100"/>
      <c r="W4134" s="100"/>
      <c r="X4134" s="100"/>
      <c r="Y4134" s="100"/>
      <c r="Z4134" s="100"/>
    </row>
    <row r="4135" spans="1:26">
      <c r="A4135" s="100"/>
      <c r="B4135" s="100"/>
      <c r="C4135" s="100"/>
      <c r="D4135" s="100"/>
      <c r="E4135" s="100"/>
      <c r="F4135" s="100"/>
      <c r="G4135" s="100"/>
      <c r="H4135" s="100"/>
      <c r="I4135" s="100"/>
      <c r="J4135" s="100"/>
      <c r="K4135" s="100"/>
      <c r="L4135" s="100"/>
      <c r="M4135" s="100"/>
      <c r="N4135" s="100"/>
      <c r="O4135" s="100"/>
      <c r="P4135" s="100"/>
      <c r="Q4135" s="100"/>
      <c r="R4135" s="100"/>
      <c r="S4135" s="100"/>
      <c r="T4135" s="100"/>
      <c r="U4135" s="100"/>
      <c r="V4135" s="100"/>
      <c r="W4135" s="100"/>
      <c r="X4135" s="100"/>
      <c r="Y4135" s="100"/>
      <c r="Z4135" s="100"/>
    </row>
    <row r="4136" spans="1:26">
      <c r="A4136" s="100"/>
      <c r="B4136" s="100"/>
      <c r="C4136" s="100"/>
      <c r="D4136" s="100"/>
      <c r="E4136" s="100"/>
      <c r="F4136" s="100"/>
      <c r="G4136" s="100"/>
      <c r="H4136" s="100"/>
      <c r="I4136" s="100"/>
      <c r="J4136" s="100"/>
      <c r="K4136" s="100"/>
      <c r="L4136" s="100"/>
      <c r="M4136" s="100"/>
      <c r="N4136" s="100"/>
      <c r="O4136" s="100"/>
      <c r="P4136" s="100"/>
      <c r="Q4136" s="100"/>
      <c r="R4136" s="100"/>
      <c r="S4136" s="100"/>
      <c r="T4136" s="100"/>
      <c r="U4136" s="100"/>
      <c r="V4136" s="100"/>
      <c r="W4136" s="100"/>
      <c r="X4136" s="100"/>
      <c r="Y4136" s="100"/>
      <c r="Z4136" s="100"/>
    </row>
    <row r="4137" spans="1:26">
      <c r="A4137" s="100"/>
      <c r="B4137" s="100"/>
      <c r="C4137" s="100"/>
      <c r="D4137" s="100"/>
      <c r="E4137" s="100"/>
      <c r="F4137" s="100"/>
      <c r="G4137" s="100"/>
      <c r="H4137" s="100"/>
      <c r="I4137" s="100"/>
      <c r="J4137" s="100"/>
      <c r="K4137" s="100"/>
      <c r="L4137" s="100"/>
      <c r="M4137" s="100"/>
      <c r="N4137" s="100"/>
      <c r="O4137" s="100"/>
      <c r="P4137" s="100"/>
      <c r="Q4137" s="100"/>
      <c r="R4137" s="100"/>
      <c r="S4137" s="100"/>
      <c r="T4137" s="100"/>
      <c r="U4137" s="100"/>
      <c r="V4137" s="100"/>
      <c r="W4137" s="100"/>
      <c r="X4137" s="100"/>
      <c r="Y4137" s="100"/>
      <c r="Z4137" s="100"/>
    </row>
    <row r="4138" spans="1:26">
      <c r="A4138" s="100"/>
      <c r="B4138" s="100"/>
      <c r="C4138" s="100"/>
      <c r="D4138" s="100"/>
      <c r="E4138" s="100"/>
      <c r="F4138" s="100"/>
      <c r="G4138" s="100"/>
      <c r="H4138" s="100"/>
      <c r="I4138" s="100"/>
      <c r="J4138" s="100"/>
      <c r="K4138" s="100"/>
      <c r="L4138" s="100"/>
      <c r="M4138" s="100"/>
      <c r="N4138" s="100"/>
      <c r="O4138" s="100"/>
      <c r="P4138" s="100"/>
      <c r="Q4138" s="100"/>
      <c r="R4138" s="100"/>
      <c r="S4138" s="100"/>
      <c r="T4138" s="100"/>
      <c r="U4138" s="100"/>
      <c r="V4138" s="100"/>
      <c r="W4138" s="100"/>
      <c r="X4138" s="100"/>
      <c r="Y4138" s="100"/>
      <c r="Z4138" s="100"/>
    </row>
    <row r="4139" spans="1:26">
      <c r="A4139" s="100"/>
      <c r="B4139" s="100"/>
      <c r="C4139" s="100"/>
      <c r="D4139" s="100"/>
      <c r="E4139" s="100"/>
      <c r="F4139" s="100"/>
      <c r="G4139" s="100"/>
      <c r="H4139" s="100"/>
      <c r="I4139" s="100"/>
      <c r="J4139" s="100"/>
      <c r="K4139" s="100"/>
      <c r="L4139" s="100"/>
      <c r="M4139" s="100"/>
      <c r="N4139" s="100"/>
      <c r="O4139" s="100"/>
      <c r="P4139" s="100"/>
      <c r="Q4139" s="100"/>
      <c r="R4139" s="100"/>
      <c r="S4139" s="100"/>
      <c r="T4139" s="100"/>
      <c r="U4139" s="100"/>
      <c r="V4139" s="100"/>
      <c r="W4139" s="100"/>
      <c r="X4139" s="100"/>
      <c r="Y4139" s="100"/>
      <c r="Z4139" s="100"/>
    </row>
    <row r="4140" spans="1:26">
      <c r="A4140" s="100"/>
      <c r="B4140" s="100"/>
      <c r="C4140" s="100"/>
      <c r="D4140" s="100"/>
      <c r="E4140" s="100"/>
      <c r="F4140" s="100"/>
      <c r="G4140" s="100"/>
      <c r="H4140" s="100"/>
      <c r="I4140" s="100"/>
      <c r="J4140" s="100"/>
      <c r="K4140" s="100"/>
      <c r="L4140" s="100"/>
      <c r="M4140" s="100"/>
      <c r="N4140" s="100"/>
      <c r="O4140" s="100"/>
      <c r="P4140" s="100"/>
      <c r="Q4140" s="100"/>
      <c r="R4140" s="100"/>
      <c r="S4140" s="100"/>
      <c r="T4140" s="100"/>
      <c r="U4140" s="100"/>
      <c r="V4140" s="100"/>
      <c r="W4140" s="100"/>
      <c r="X4140" s="100"/>
      <c r="Y4140" s="100"/>
      <c r="Z4140" s="100"/>
    </row>
    <row r="4141" spans="1:26">
      <c r="A4141" s="100"/>
      <c r="B4141" s="100"/>
      <c r="C4141" s="100"/>
      <c r="D4141" s="100"/>
      <c r="E4141" s="100"/>
      <c r="F4141" s="100"/>
      <c r="G4141" s="100"/>
      <c r="H4141" s="100"/>
      <c r="I4141" s="100"/>
      <c r="J4141" s="100"/>
      <c r="K4141" s="100"/>
      <c r="L4141" s="100"/>
      <c r="M4141" s="100"/>
      <c r="N4141" s="100"/>
      <c r="O4141" s="100"/>
      <c r="P4141" s="100"/>
      <c r="Q4141" s="100"/>
      <c r="R4141" s="100"/>
      <c r="S4141" s="100"/>
      <c r="T4141" s="100"/>
      <c r="U4141" s="100"/>
      <c r="V4141" s="100"/>
      <c r="W4141" s="100"/>
      <c r="X4141" s="100"/>
      <c r="Y4141" s="100"/>
      <c r="Z4141" s="100"/>
    </row>
    <row r="4142" spans="1:26">
      <c r="A4142" s="100"/>
      <c r="B4142" s="100"/>
      <c r="C4142" s="100"/>
      <c r="D4142" s="100"/>
      <c r="E4142" s="100"/>
      <c r="F4142" s="100"/>
      <c r="G4142" s="100"/>
      <c r="H4142" s="100"/>
      <c r="I4142" s="100"/>
      <c r="J4142" s="100"/>
      <c r="K4142" s="100"/>
      <c r="L4142" s="100"/>
      <c r="M4142" s="100"/>
      <c r="N4142" s="100"/>
      <c r="O4142" s="100"/>
      <c r="P4142" s="100"/>
      <c r="Q4142" s="100"/>
      <c r="R4142" s="100"/>
      <c r="S4142" s="100"/>
      <c r="T4142" s="100"/>
      <c r="U4142" s="100"/>
      <c r="V4142" s="100"/>
      <c r="W4142" s="100"/>
      <c r="X4142" s="100"/>
      <c r="Y4142" s="100"/>
      <c r="Z4142" s="100"/>
    </row>
    <row r="4143" spans="1:26">
      <c r="A4143" s="100"/>
      <c r="B4143" s="100"/>
      <c r="C4143" s="100"/>
      <c r="D4143" s="100"/>
      <c r="E4143" s="100"/>
      <c r="F4143" s="100"/>
      <c r="G4143" s="100"/>
      <c r="H4143" s="100"/>
      <c r="I4143" s="100"/>
      <c r="J4143" s="100"/>
      <c r="K4143" s="100"/>
      <c r="L4143" s="100"/>
      <c r="M4143" s="100"/>
      <c r="N4143" s="100"/>
      <c r="O4143" s="100"/>
      <c r="P4143" s="100"/>
      <c r="Q4143" s="100"/>
      <c r="R4143" s="100"/>
      <c r="S4143" s="100"/>
      <c r="T4143" s="100"/>
      <c r="U4143" s="100"/>
      <c r="V4143" s="100"/>
      <c r="W4143" s="100"/>
      <c r="X4143" s="100"/>
      <c r="Y4143" s="100"/>
      <c r="Z4143" s="100"/>
    </row>
    <row r="4144" spans="1:26">
      <c r="A4144" s="100"/>
      <c r="B4144" s="100"/>
      <c r="C4144" s="100"/>
      <c r="D4144" s="100"/>
      <c r="E4144" s="100"/>
      <c r="F4144" s="100"/>
      <c r="G4144" s="100"/>
      <c r="H4144" s="100"/>
      <c r="I4144" s="100"/>
      <c r="J4144" s="100"/>
      <c r="K4144" s="100"/>
      <c r="L4144" s="100"/>
      <c r="M4144" s="100"/>
      <c r="N4144" s="100"/>
      <c r="O4144" s="100"/>
      <c r="P4144" s="100"/>
      <c r="Q4144" s="100"/>
      <c r="R4144" s="100"/>
      <c r="S4144" s="100"/>
      <c r="T4144" s="100"/>
      <c r="U4144" s="100"/>
      <c r="V4144" s="100"/>
      <c r="W4144" s="100"/>
      <c r="X4144" s="100"/>
      <c r="Y4144" s="100"/>
      <c r="Z4144" s="100"/>
    </row>
    <row r="4145" spans="1:26">
      <c r="A4145" s="100"/>
      <c r="B4145" s="100"/>
      <c r="C4145" s="100"/>
      <c r="D4145" s="100"/>
      <c r="E4145" s="100"/>
      <c r="F4145" s="100"/>
      <c r="G4145" s="100"/>
      <c r="H4145" s="100"/>
      <c r="I4145" s="100"/>
      <c r="J4145" s="100"/>
      <c r="K4145" s="100"/>
      <c r="L4145" s="100"/>
      <c r="M4145" s="100"/>
      <c r="N4145" s="100"/>
      <c r="O4145" s="100"/>
      <c r="P4145" s="100"/>
      <c r="Q4145" s="100"/>
      <c r="R4145" s="100"/>
      <c r="S4145" s="100"/>
      <c r="T4145" s="100"/>
      <c r="U4145" s="100"/>
      <c r="V4145" s="100"/>
      <c r="W4145" s="100"/>
      <c r="X4145" s="100"/>
      <c r="Y4145" s="100"/>
      <c r="Z4145" s="100"/>
    </row>
    <row r="4146" spans="1:26">
      <c r="A4146" s="100"/>
      <c r="B4146" s="100"/>
      <c r="C4146" s="100"/>
      <c r="D4146" s="100"/>
      <c r="E4146" s="100"/>
      <c r="F4146" s="100"/>
      <c r="G4146" s="100"/>
      <c r="H4146" s="100"/>
      <c r="I4146" s="100"/>
      <c r="J4146" s="100"/>
      <c r="K4146" s="100"/>
      <c r="L4146" s="100"/>
      <c r="M4146" s="100"/>
      <c r="N4146" s="100"/>
      <c r="O4146" s="100"/>
      <c r="P4146" s="100"/>
      <c r="Q4146" s="100"/>
      <c r="R4146" s="100"/>
      <c r="S4146" s="100"/>
      <c r="T4146" s="100"/>
      <c r="U4146" s="100"/>
      <c r="V4146" s="100"/>
      <c r="W4146" s="100"/>
      <c r="X4146" s="100"/>
      <c r="Y4146" s="100"/>
      <c r="Z4146" s="100"/>
    </row>
    <row r="4147" spans="1:26">
      <c r="A4147" s="100"/>
      <c r="B4147" s="100"/>
      <c r="C4147" s="100"/>
      <c r="D4147" s="100"/>
      <c r="E4147" s="100"/>
      <c r="F4147" s="100"/>
      <c r="G4147" s="100"/>
      <c r="H4147" s="100"/>
      <c r="I4147" s="100"/>
      <c r="J4147" s="100"/>
      <c r="K4147" s="100"/>
      <c r="L4147" s="100"/>
      <c r="M4147" s="100"/>
      <c r="N4147" s="100"/>
      <c r="O4147" s="100"/>
      <c r="P4147" s="100"/>
      <c r="Q4147" s="100"/>
      <c r="R4147" s="100"/>
      <c r="S4147" s="100"/>
      <c r="T4147" s="100"/>
      <c r="U4147" s="100"/>
      <c r="V4147" s="100"/>
      <c r="W4147" s="100"/>
      <c r="X4147" s="100"/>
      <c r="Y4147" s="100"/>
      <c r="Z4147" s="100"/>
    </row>
    <row r="4148" spans="1:26">
      <c r="A4148" s="100"/>
      <c r="B4148" s="100"/>
      <c r="C4148" s="100"/>
      <c r="D4148" s="100"/>
      <c r="E4148" s="100"/>
      <c r="F4148" s="100"/>
      <c r="G4148" s="100"/>
      <c r="H4148" s="100"/>
      <c r="I4148" s="100"/>
      <c r="J4148" s="100"/>
      <c r="K4148" s="100"/>
      <c r="L4148" s="100"/>
      <c r="M4148" s="100"/>
      <c r="N4148" s="100"/>
      <c r="O4148" s="100"/>
      <c r="P4148" s="100"/>
      <c r="Q4148" s="100"/>
      <c r="R4148" s="100"/>
      <c r="S4148" s="100"/>
      <c r="T4148" s="100"/>
      <c r="U4148" s="100"/>
      <c r="V4148" s="100"/>
      <c r="W4148" s="100"/>
      <c r="X4148" s="100"/>
      <c r="Y4148" s="100"/>
      <c r="Z4148" s="100"/>
    </row>
    <row r="4149" spans="1:26">
      <c r="A4149" s="100"/>
      <c r="B4149" s="100"/>
      <c r="C4149" s="100"/>
      <c r="D4149" s="100"/>
      <c r="E4149" s="100"/>
      <c r="F4149" s="100"/>
      <c r="G4149" s="100"/>
      <c r="H4149" s="100"/>
      <c r="I4149" s="100"/>
      <c r="J4149" s="100"/>
      <c r="K4149" s="100"/>
      <c r="L4149" s="100"/>
      <c r="M4149" s="100"/>
      <c r="N4149" s="100"/>
      <c r="O4149" s="100"/>
      <c r="P4149" s="100"/>
      <c r="Q4149" s="100"/>
      <c r="R4149" s="100"/>
      <c r="S4149" s="100"/>
      <c r="T4149" s="100"/>
      <c r="U4149" s="100"/>
      <c r="V4149" s="100"/>
      <c r="W4149" s="100"/>
      <c r="X4149" s="100"/>
      <c r="Y4149" s="100"/>
      <c r="Z4149" s="100"/>
    </row>
    <row r="4150" spans="1:26">
      <c r="A4150" s="100"/>
      <c r="B4150" s="100"/>
      <c r="C4150" s="100"/>
      <c r="D4150" s="100"/>
      <c r="E4150" s="100"/>
      <c r="F4150" s="100"/>
      <c r="G4150" s="100"/>
      <c r="H4150" s="100"/>
      <c r="I4150" s="100"/>
      <c r="J4150" s="100"/>
      <c r="K4150" s="100"/>
      <c r="L4150" s="100"/>
      <c r="M4150" s="100"/>
      <c r="N4150" s="100"/>
      <c r="O4150" s="100"/>
      <c r="P4150" s="100"/>
      <c r="Q4150" s="100"/>
      <c r="R4150" s="100"/>
      <c r="S4150" s="100"/>
      <c r="T4150" s="100"/>
      <c r="U4150" s="100"/>
      <c r="V4150" s="100"/>
      <c r="W4150" s="100"/>
      <c r="X4150" s="100"/>
      <c r="Y4150" s="100"/>
      <c r="Z4150" s="100"/>
    </row>
    <row r="4151" spans="1:26">
      <c r="A4151" s="100"/>
      <c r="B4151" s="100"/>
      <c r="C4151" s="100"/>
      <c r="D4151" s="100"/>
      <c r="E4151" s="100"/>
      <c r="F4151" s="100"/>
      <c r="G4151" s="100"/>
      <c r="H4151" s="100"/>
      <c r="I4151" s="100"/>
      <c r="J4151" s="100"/>
      <c r="K4151" s="100"/>
      <c r="L4151" s="100"/>
      <c r="M4151" s="100"/>
      <c r="N4151" s="100"/>
      <c r="O4151" s="100"/>
      <c r="P4151" s="100"/>
      <c r="Q4151" s="100"/>
      <c r="R4151" s="100"/>
      <c r="S4151" s="100"/>
      <c r="T4151" s="100"/>
      <c r="U4151" s="100"/>
      <c r="V4151" s="100"/>
      <c r="W4151" s="100"/>
      <c r="X4151" s="100"/>
      <c r="Y4151" s="100"/>
      <c r="Z4151" s="100"/>
    </row>
    <row r="4152" spans="1:26">
      <c r="A4152" s="100"/>
      <c r="B4152" s="100"/>
      <c r="C4152" s="100"/>
      <c r="D4152" s="100"/>
      <c r="E4152" s="100"/>
      <c r="F4152" s="100"/>
      <c r="G4152" s="100"/>
      <c r="H4152" s="100"/>
      <c r="I4152" s="100"/>
      <c r="J4152" s="100"/>
      <c r="K4152" s="100"/>
      <c r="L4152" s="100"/>
      <c r="M4152" s="100"/>
      <c r="N4152" s="100"/>
      <c r="O4152" s="100"/>
      <c r="P4152" s="100"/>
      <c r="Q4152" s="100"/>
      <c r="R4152" s="100"/>
      <c r="S4152" s="100"/>
      <c r="T4152" s="100"/>
      <c r="U4152" s="100"/>
      <c r="V4152" s="100"/>
      <c r="W4152" s="100"/>
      <c r="X4152" s="100"/>
      <c r="Y4152" s="100"/>
      <c r="Z4152" s="100"/>
    </row>
    <row r="4153" spans="1:26">
      <c r="A4153" s="100"/>
      <c r="B4153" s="100"/>
      <c r="C4153" s="100"/>
      <c r="D4153" s="100"/>
      <c r="E4153" s="100"/>
      <c r="F4153" s="100"/>
      <c r="G4153" s="100"/>
      <c r="H4153" s="100"/>
      <c r="I4153" s="100"/>
      <c r="J4153" s="100"/>
      <c r="K4153" s="100"/>
      <c r="L4153" s="100"/>
      <c r="M4153" s="100"/>
      <c r="N4153" s="100"/>
      <c r="O4153" s="100"/>
      <c r="P4153" s="100"/>
      <c r="Q4153" s="100"/>
      <c r="R4153" s="100"/>
      <c r="S4153" s="100"/>
      <c r="T4153" s="100"/>
      <c r="U4153" s="100"/>
      <c r="V4153" s="100"/>
      <c r="W4153" s="100"/>
      <c r="X4153" s="100"/>
      <c r="Y4153" s="100"/>
      <c r="Z4153" s="100"/>
    </row>
    <row r="4154" spans="1:26">
      <c r="A4154" s="100"/>
      <c r="B4154" s="100"/>
      <c r="C4154" s="100"/>
      <c r="D4154" s="100"/>
      <c r="E4154" s="100"/>
      <c r="F4154" s="100"/>
      <c r="G4154" s="100"/>
      <c r="H4154" s="100"/>
      <c r="I4154" s="100"/>
      <c r="J4154" s="100"/>
      <c r="K4154" s="100"/>
      <c r="L4154" s="100"/>
      <c r="M4154" s="100"/>
      <c r="N4154" s="100"/>
      <c r="O4154" s="100"/>
      <c r="P4154" s="100"/>
      <c r="Q4154" s="100"/>
      <c r="R4154" s="100"/>
      <c r="S4154" s="100"/>
      <c r="T4154" s="100"/>
      <c r="U4154" s="100"/>
      <c r="V4154" s="100"/>
      <c r="W4154" s="100"/>
      <c r="X4154" s="100"/>
      <c r="Y4154" s="100"/>
      <c r="Z4154" s="100"/>
    </row>
    <row r="4155" spans="1:26">
      <c r="A4155" s="100"/>
      <c r="B4155" s="100"/>
      <c r="C4155" s="100"/>
      <c r="D4155" s="100"/>
      <c r="E4155" s="100"/>
      <c r="F4155" s="100"/>
      <c r="G4155" s="100"/>
      <c r="H4155" s="100"/>
      <c r="I4155" s="100"/>
      <c r="J4155" s="100"/>
      <c r="K4155" s="100"/>
      <c r="L4155" s="100"/>
      <c r="M4155" s="100"/>
      <c r="N4155" s="100"/>
      <c r="O4155" s="100"/>
      <c r="P4155" s="100"/>
      <c r="Q4155" s="100"/>
      <c r="R4155" s="100"/>
      <c r="S4155" s="100"/>
      <c r="T4155" s="100"/>
      <c r="U4155" s="100"/>
      <c r="V4155" s="100"/>
      <c r="W4155" s="100"/>
      <c r="X4155" s="100"/>
      <c r="Y4155" s="100"/>
      <c r="Z4155" s="100"/>
    </row>
    <row r="4156" spans="1:26">
      <c r="A4156" s="100"/>
      <c r="B4156" s="100"/>
      <c r="C4156" s="100"/>
      <c r="D4156" s="100"/>
      <c r="E4156" s="100"/>
      <c r="F4156" s="100"/>
      <c r="G4156" s="100"/>
      <c r="H4156" s="100"/>
      <c r="I4156" s="100"/>
      <c r="J4156" s="100"/>
      <c r="K4156" s="100"/>
      <c r="L4156" s="100"/>
      <c r="M4156" s="100"/>
      <c r="N4156" s="100"/>
      <c r="O4156" s="100"/>
      <c r="P4156" s="100"/>
      <c r="Q4156" s="100"/>
      <c r="R4156" s="100"/>
      <c r="S4156" s="100"/>
      <c r="T4156" s="100"/>
      <c r="U4156" s="100"/>
      <c r="V4156" s="100"/>
      <c r="W4156" s="100"/>
      <c r="X4156" s="100"/>
      <c r="Y4156" s="100"/>
      <c r="Z4156" s="100"/>
    </row>
    <row r="4157" spans="1:26">
      <c r="A4157" s="100"/>
      <c r="B4157" s="100"/>
      <c r="C4157" s="100"/>
      <c r="D4157" s="100"/>
      <c r="E4157" s="100"/>
      <c r="F4157" s="100"/>
      <c r="G4157" s="100"/>
      <c r="H4157" s="100"/>
      <c r="I4157" s="100"/>
      <c r="J4157" s="100"/>
      <c r="K4157" s="100"/>
      <c r="L4157" s="100"/>
      <c r="M4157" s="100"/>
      <c r="N4157" s="100"/>
      <c r="O4157" s="100"/>
      <c r="P4157" s="100"/>
      <c r="Q4157" s="100"/>
      <c r="R4157" s="100"/>
      <c r="S4157" s="100"/>
      <c r="T4157" s="100"/>
      <c r="U4157" s="100"/>
      <c r="V4157" s="100"/>
      <c r="W4157" s="100"/>
      <c r="X4157" s="100"/>
      <c r="Y4157" s="100"/>
      <c r="Z4157" s="100"/>
    </row>
    <row r="4158" spans="1:26">
      <c r="A4158" s="100"/>
      <c r="B4158" s="100"/>
      <c r="C4158" s="100"/>
      <c r="D4158" s="100"/>
      <c r="E4158" s="100"/>
      <c r="F4158" s="100"/>
      <c r="G4158" s="100"/>
      <c r="H4158" s="100"/>
      <c r="I4158" s="100"/>
      <c r="J4158" s="100"/>
      <c r="K4158" s="100"/>
      <c r="L4158" s="100"/>
      <c r="M4158" s="100"/>
      <c r="N4158" s="100"/>
      <c r="O4158" s="100"/>
      <c r="P4158" s="100"/>
      <c r="Q4158" s="100"/>
      <c r="R4158" s="100"/>
      <c r="S4158" s="100"/>
      <c r="T4158" s="100"/>
      <c r="U4158" s="100"/>
      <c r="V4158" s="100"/>
      <c r="W4158" s="100"/>
      <c r="X4158" s="100"/>
      <c r="Y4158" s="100"/>
      <c r="Z4158" s="100"/>
    </row>
    <row r="4159" spans="1:26">
      <c r="A4159" s="100"/>
      <c r="B4159" s="100"/>
      <c r="C4159" s="100"/>
      <c r="D4159" s="100"/>
      <c r="E4159" s="100"/>
      <c r="F4159" s="100"/>
      <c r="G4159" s="100"/>
      <c r="H4159" s="100"/>
      <c r="I4159" s="100"/>
      <c r="J4159" s="100"/>
      <c r="K4159" s="100"/>
      <c r="L4159" s="100"/>
      <c r="M4159" s="100"/>
      <c r="N4159" s="100"/>
      <c r="O4159" s="100"/>
      <c r="P4159" s="100"/>
      <c r="Q4159" s="100"/>
      <c r="R4159" s="100"/>
      <c r="S4159" s="100"/>
      <c r="T4159" s="100"/>
      <c r="U4159" s="100"/>
      <c r="V4159" s="100"/>
      <c r="W4159" s="100"/>
      <c r="X4159" s="100"/>
      <c r="Y4159" s="100"/>
      <c r="Z4159" s="100"/>
    </row>
    <row r="4160" spans="1:26">
      <c r="A4160" s="100"/>
      <c r="B4160" s="100"/>
      <c r="C4160" s="100"/>
      <c r="D4160" s="100"/>
      <c r="E4160" s="100"/>
      <c r="F4160" s="100"/>
      <c r="G4160" s="100"/>
      <c r="H4160" s="100"/>
      <c r="I4160" s="100"/>
      <c r="J4160" s="100"/>
      <c r="K4160" s="100"/>
      <c r="L4160" s="100"/>
      <c r="M4160" s="100"/>
      <c r="N4160" s="100"/>
      <c r="O4160" s="100"/>
      <c r="P4160" s="100"/>
      <c r="Q4160" s="100"/>
      <c r="R4160" s="100"/>
      <c r="S4160" s="100"/>
      <c r="T4160" s="100"/>
      <c r="U4160" s="100"/>
      <c r="V4160" s="100"/>
      <c r="W4160" s="100"/>
      <c r="X4160" s="100"/>
      <c r="Y4160" s="100"/>
      <c r="Z4160" s="100"/>
    </row>
    <row r="4161" spans="1:26">
      <c r="A4161" s="100"/>
      <c r="B4161" s="100"/>
      <c r="C4161" s="100"/>
      <c r="D4161" s="100"/>
      <c r="E4161" s="100"/>
      <c r="F4161" s="100"/>
      <c r="G4161" s="100"/>
      <c r="H4161" s="100"/>
      <c r="I4161" s="100"/>
      <c r="J4161" s="100"/>
      <c r="K4161" s="100"/>
      <c r="L4161" s="100"/>
      <c r="M4161" s="100"/>
      <c r="N4161" s="100"/>
      <c r="O4161" s="100"/>
      <c r="P4161" s="100"/>
      <c r="Q4161" s="100"/>
      <c r="R4161" s="100"/>
      <c r="S4161" s="100"/>
      <c r="T4161" s="100"/>
      <c r="U4161" s="100"/>
      <c r="V4161" s="100"/>
      <c r="W4161" s="100"/>
      <c r="X4161" s="100"/>
      <c r="Y4161" s="100"/>
      <c r="Z4161" s="100"/>
    </row>
    <row r="4162" spans="1:26">
      <c r="A4162" s="100"/>
      <c r="B4162" s="100"/>
      <c r="C4162" s="100"/>
      <c r="D4162" s="100"/>
      <c r="E4162" s="100"/>
      <c r="F4162" s="100"/>
      <c r="G4162" s="100"/>
      <c r="H4162" s="100"/>
      <c r="I4162" s="100"/>
      <c r="J4162" s="100"/>
      <c r="K4162" s="100"/>
      <c r="L4162" s="100"/>
      <c r="M4162" s="100"/>
      <c r="N4162" s="100"/>
      <c r="O4162" s="100"/>
      <c r="P4162" s="100"/>
      <c r="Q4162" s="100"/>
      <c r="R4162" s="100"/>
      <c r="S4162" s="100"/>
      <c r="T4162" s="100"/>
      <c r="U4162" s="100"/>
      <c r="V4162" s="100"/>
      <c r="W4162" s="100"/>
      <c r="X4162" s="100"/>
      <c r="Y4162" s="100"/>
      <c r="Z4162" s="100"/>
    </row>
    <row r="4163" spans="1:26">
      <c r="A4163" s="100"/>
      <c r="B4163" s="100"/>
      <c r="C4163" s="100"/>
      <c r="D4163" s="100"/>
      <c r="E4163" s="100"/>
      <c r="F4163" s="100"/>
      <c r="G4163" s="100"/>
      <c r="H4163" s="100"/>
      <c r="I4163" s="100"/>
      <c r="J4163" s="100"/>
      <c r="K4163" s="100"/>
      <c r="L4163" s="100"/>
      <c r="M4163" s="100"/>
      <c r="N4163" s="100"/>
      <c r="O4163" s="100"/>
      <c r="P4163" s="100"/>
      <c r="Q4163" s="100"/>
      <c r="R4163" s="100"/>
      <c r="S4163" s="100"/>
      <c r="T4163" s="100"/>
      <c r="U4163" s="100"/>
      <c r="V4163" s="100"/>
      <c r="W4163" s="100"/>
      <c r="X4163" s="100"/>
      <c r="Y4163" s="100"/>
      <c r="Z4163" s="100"/>
    </row>
    <row r="4164" spans="1:26">
      <c r="A4164" s="100"/>
      <c r="B4164" s="100"/>
      <c r="C4164" s="100"/>
      <c r="D4164" s="100"/>
      <c r="E4164" s="100"/>
      <c r="F4164" s="100"/>
      <c r="G4164" s="100"/>
      <c r="H4164" s="100"/>
      <c r="I4164" s="100"/>
      <c r="J4164" s="100"/>
      <c r="K4164" s="100"/>
      <c r="L4164" s="100"/>
      <c r="M4164" s="100"/>
      <c r="N4164" s="100"/>
      <c r="O4164" s="100"/>
      <c r="P4164" s="100"/>
      <c r="Q4164" s="100"/>
      <c r="R4164" s="100"/>
      <c r="S4164" s="100"/>
      <c r="T4164" s="100"/>
      <c r="U4164" s="100"/>
      <c r="V4164" s="100"/>
      <c r="W4164" s="100"/>
      <c r="X4164" s="100"/>
      <c r="Y4164" s="100"/>
      <c r="Z4164" s="100"/>
    </row>
    <row r="4165" spans="1:26">
      <c r="A4165" s="100"/>
      <c r="B4165" s="100"/>
      <c r="C4165" s="100"/>
      <c r="D4165" s="100"/>
      <c r="E4165" s="100"/>
      <c r="F4165" s="100"/>
      <c r="G4165" s="100"/>
      <c r="H4165" s="100"/>
      <c r="I4165" s="100"/>
      <c r="J4165" s="100"/>
      <c r="K4165" s="100"/>
      <c r="L4165" s="100"/>
      <c r="M4165" s="100"/>
      <c r="N4165" s="100"/>
      <c r="O4165" s="100"/>
      <c r="P4165" s="100"/>
      <c r="Q4165" s="100"/>
      <c r="R4165" s="100"/>
      <c r="S4165" s="100"/>
      <c r="T4165" s="100"/>
      <c r="U4165" s="100"/>
      <c r="V4165" s="100"/>
      <c r="W4165" s="100"/>
      <c r="X4165" s="100"/>
      <c r="Y4165" s="100"/>
      <c r="Z4165" s="100"/>
    </row>
    <row r="4166" spans="1:26">
      <c r="A4166" s="100"/>
      <c r="B4166" s="100"/>
      <c r="C4166" s="100"/>
      <c r="D4166" s="100"/>
      <c r="E4166" s="100"/>
      <c r="F4166" s="100"/>
      <c r="G4166" s="100"/>
      <c r="H4166" s="100"/>
      <c r="I4166" s="100"/>
      <c r="J4166" s="100"/>
      <c r="K4166" s="100"/>
      <c r="L4166" s="100"/>
      <c r="M4166" s="100"/>
      <c r="N4166" s="100"/>
      <c r="O4166" s="100"/>
      <c r="P4166" s="100"/>
      <c r="Q4166" s="100"/>
      <c r="R4166" s="100"/>
      <c r="S4166" s="100"/>
      <c r="T4166" s="100"/>
      <c r="U4166" s="100"/>
      <c r="V4166" s="100"/>
      <c r="W4166" s="100"/>
      <c r="X4166" s="100"/>
      <c r="Y4166" s="100"/>
      <c r="Z4166" s="100"/>
    </row>
    <row r="4167" spans="1:26">
      <c r="A4167" s="100"/>
      <c r="B4167" s="100"/>
      <c r="C4167" s="100"/>
      <c r="D4167" s="100"/>
      <c r="E4167" s="100"/>
      <c r="F4167" s="100"/>
      <c r="G4167" s="100"/>
      <c r="H4167" s="100"/>
      <c r="I4167" s="100"/>
      <c r="J4167" s="100"/>
      <c r="K4167" s="100"/>
      <c r="L4167" s="100"/>
      <c r="M4167" s="100"/>
      <c r="N4167" s="100"/>
      <c r="O4167" s="100"/>
      <c r="P4167" s="100"/>
      <c r="Q4167" s="100"/>
      <c r="R4167" s="100"/>
      <c r="S4167" s="100"/>
      <c r="T4167" s="100"/>
      <c r="U4167" s="100"/>
      <c r="V4167" s="100"/>
      <c r="W4167" s="100"/>
      <c r="X4167" s="100"/>
      <c r="Y4167" s="100"/>
      <c r="Z4167" s="100"/>
    </row>
    <row r="4168" spans="1:26">
      <c r="A4168" s="100"/>
      <c r="B4168" s="100"/>
      <c r="C4168" s="100"/>
      <c r="D4168" s="100"/>
      <c r="E4168" s="100"/>
      <c r="F4168" s="100"/>
      <c r="G4168" s="100"/>
      <c r="H4168" s="100"/>
      <c r="I4168" s="100"/>
      <c r="J4168" s="100"/>
      <c r="K4168" s="100"/>
      <c r="L4168" s="100"/>
      <c r="M4168" s="100"/>
      <c r="N4168" s="100"/>
      <c r="O4168" s="100"/>
      <c r="P4168" s="100"/>
      <c r="Q4168" s="100"/>
      <c r="R4168" s="100"/>
      <c r="S4168" s="100"/>
      <c r="T4168" s="100"/>
      <c r="U4168" s="100"/>
      <c r="V4168" s="100"/>
      <c r="W4168" s="100"/>
      <c r="X4168" s="100"/>
      <c r="Y4168" s="100"/>
      <c r="Z4168" s="100"/>
    </row>
    <row r="4169" spans="1:26">
      <c r="A4169" s="100"/>
      <c r="B4169" s="100"/>
      <c r="C4169" s="100"/>
      <c r="D4169" s="100"/>
      <c r="E4169" s="100"/>
      <c r="F4169" s="100"/>
      <c r="G4169" s="100"/>
      <c r="H4169" s="100"/>
      <c r="I4169" s="100"/>
      <c r="J4169" s="100"/>
      <c r="K4169" s="100"/>
      <c r="L4169" s="100"/>
      <c r="M4169" s="100"/>
      <c r="N4169" s="100"/>
      <c r="O4169" s="100"/>
      <c r="P4169" s="100"/>
      <c r="Q4169" s="100"/>
      <c r="R4169" s="100"/>
      <c r="S4169" s="100"/>
      <c r="T4169" s="100"/>
      <c r="U4169" s="100"/>
      <c r="V4169" s="100"/>
      <c r="W4169" s="100"/>
      <c r="X4169" s="100"/>
      <c r="Y4169" s="100"/>
      <c r="Z4169" s="100"/>
    </row>
    <row r="4170" spans="1:26">
      <c r="A4170" s="100"/>
      <c r="B4170" s="100"/>
      <c r="C4170" s="100"/>
      <c r="D4170" s="100"/>
      <c r="E4170" s="100"/>
      <c r="F4170" s="100"/>
      <c r="G4170" s="100"/>
      <c r="H4170" s="100"/>
      <c r="I4170" s="100"/>
      <c r="J4170" s="100"/>
      <c r="K4170" s="100"/>
      <c r="L4170" s="100"/>
      <c r="M4170" s="100"/>
      <c r="N4170" s="100"/>
      <c r="O4170" s="100"/>
      <c r="P4170" s="100"/>
      <c r="Q4170" s="100"/>
      <c r="R4170" s="100"/>
      <c r="S4170" s="100"/>
      <c r="T4170" s="100"/>
      <c r="U4170" s="100"/>
      <c r="V4170" s="100"/>
      <c r="W4170" s="100"/>
      <c r="X4170" s="100"/>
      <c r="Y4170" s="100"/>
      <c r="Z4170" s="100"/>
    </row>
    <row r="4171" spans="1:26">
      <c r="A4171" s="100"/>
      <c r="B4171" s="100"/>
      <c r="C4171" s="100"/>
      <c r="D4171" s="100"/>
      <c r="E4171" s="100"/>
      <c r="F4171" s="100"/>
      <c r="G4171" s="100"/>
      <c r="H4171" s="100"/>
      <c r="I4171" s="100"/>
      <c r="J4171" s="100"/>
      <c r="K4171" s="100"/>
      <c r="L4171" s="100"/>
      <c r="M4171" s="100"/>
      <c r="N4171" s="100"/>
      <c r="O4171" s="100"/>
      <c r="P4171" s="100"/>
      <c r="Q4171" s="100"/>
      <c r="R4171" s="100"/>
      <c r="S4171" s="100"/>
      <c r="T4171" s="100"/>
      <c r="U4171" s="100"/>
      <c r="V4171" s="100"/>
      <c r="W4171" s="100"/>
      <c r="X4171" s="100"/>
      <c r="Y4171" s="100"/>
      <c r="Z4171" s="100"/>
    </row>
    <row r="4172" spans="1:26">
      <c r="A4172" s="100"/>
      <c r="B4172" s="100"/>
      <c r="C4172" s="100"/>
      <c r="D4172" s="100"/>
      <c r="E4172" s="100"/>
      <c r="F4172" s="100"/>
      <c r="G4172" s="100"/>
      <c r="H4172" s="100"/>
      <c r="I4172" s="100"/>
      <c r="J4172" s="100"/>
      <c r="K4172" s="100"/>
      <c r="L4172" s="100"/>
      <c r="M4172" s="100"/>
      <c r="N4172" s="100"/>
      <c r="O4172" s="100"/>
      <c r="P4172" s="100"/>
      <c r="Q4172" s="100"/>
      <c r="R4172" s="100"/>
      <c r="S4172" s="100"/>
      <c r="T4172" s="100"/>
      <c r="U4172" s="100"/>
      <c r="V4172" s="100"/>
      <c r="W4172" s="100"/>
      <c r="X4172" s="100"/>
      <c r="Y4172" s="100"/>
      <c r="Z4172" s="100"/>
    </row>
    <row r="4173" spans="1:26">
      <c r="A4173" s="100"/>
      <c r="B4173" s="100"/>
      <c r="C4173" s="100"/>
      <c r="D4173" s="100"/>
      <c r="E4173" s="100"/>
      <c r="F4173" s="100"/>
      <c r="G4173" s="100"/>
      <c r="H4173" s="100"/>
      <c r="I4173" s="100"/>
      <c r="J4173" s="100"/>
      <c r="K4173" s="100"/>
      <c r="L4173" s="100"/>
      <c r="M4173" s="100"/>
      <c r="N4173" s="100"/>
      <c r="O4173" s="100"/>
      <c r="P4173" s="100"/>
      <c r="Q4173" s="100"/>
      <c r="R4173" s="100"/>
      <c r="S4173" s="100"/>
      <c r="T4173" s="100"/>
      <c r="U4173" s="100"/>
      <c r="V4173" s="100"/>
      <c r="W4173" s="100"/>
      <c r="X4173" s="100"/>
      <c r="Y4173" s="100"/>
      <c r="Z4173" s="100"/>
    </row>
    <row r="4174" spans="1:26">
      <c r="A4174" s="100"/>
      <c r="B4174" s="100"/>
      <c r="C4174" s="100"/>
      <c r="D4174" s="100"/>
      <c r="E4174" s="100"/>
      <c r="F4174" s="100"/>
      <c r="G4174" s="100"/>
      <c r="H4174" s="100"/>
      <c r="I4174" s="100"/>
      <c r="J4174" s="100"/>
      <c r="K4174" s="100"/>
      <c r="L4174" s="100"/>
      <c r="M4174" s="100"/>
      <c r="N4174" s="100"/>
      <c r="O4174" s="100"/>
      <c r="P4174" s="100"/>
      <c r="Q4174" s="100"/>
      <c r="R4174" s="100"/>
      <c r="S4174" s="100"/>
      <c r="T4174" s="100"/>
      <c r="U4174" s="100"/>
      <c r="V4174" s="100"/>
      <c r="W4174" s="100"/>
      <c r="X4174" s="100"/>
      <c r="Y4174" s="100"/>
      <c r="Z4174" s="100"/>
    </row>
    <row r="4175" spans="1:26">
      <c r="A4175" s="100"/>
      <c r="B4175" s="100"/>
      <c r="C4175" s="100"/>
      <c r="D4175" s="100"/>
      <c r="E4175" s="100"/>
      <c r="F4175" s="100"/>
      <c r="G4175" s="100"/>
      <c r="H4175" s="100"/>
      <c r="I4175" s="100"/>
      <c r="J4175" s="100"/>
      <c r="K4175" s="100"/>
      <c r="L4175" s="100"/>
      <c r="M4175" s="100"/>
      <c r="N4175" s="100"/>
      <c r="O4175" s="100"/>
      <c r="P4175" s="100"/>
      <c r="Q4175" s="100"/>
      <c r="R4175" s="100"/>
      <c r="S4175" s="100"/>
      <c r="T4175" s="100"/>
      <c r="U4175" s="100"/>
      <c r="V4175" s="100"/>
      <c r="W4175" s="100"/>
      <c r="X4175" s="100"/>
      <c r="Y4175" s="100"/>
      <c r="Z4175" s="100"/>
    </row>
    <row r="4176" spans="1:26">
      <c r="A4176" s="100"/>
      <c r="B4176" s="100"/>
      <c r="C4176" s="100"/>
      <c r="D4176" s="100"/>
      <c r="E4176" s="100"/>
      <c r="F4176" s="100"/>
      <c r="G4176" s="100"/>
      <c r="H4176" s="100"/>
      <c r="I4176" s="100"/>
      <c r="J4176" s="100"/>
      <c r="K4176" s="100"/>
      <c r="L4176" s="100"/>
      <c r="M4176" s="100"/>
      <c r="N4176" s="100"/>
      <c r="O4176" s="100"/>
      <c r="P4176" s="100"/>
      <c r="Q4176" s="100"/>
      <c r="R4176" s="100"/>
      <c r="S4176" s="100"/>
      <c r="T4176" s="100"/>
      <c r="U4176" s="100"/>
      <c r="V4176" s="100"/>
      <c r="W4176" s="100"/>
      <c r="X4176" s="100"/>
      <c r="Y4176" s="100"/>
      <c r="Z4176" s="100"/>
    </row>
    <row r="4177" spans="1:26">
      <c r="A4177" s="100"/>
      <c r="B4177" s="100"/>
      <c r="C4177" s="100"/>
      <c r="D4177" s="100"/>
      <c r="E4177" s="100"/>
      <c r="F4177" s="100"/>
      <c r="G4177" s="100"/>
      <c r="H4177" s="100"/>
      <c r="I4177" s="100"/>
      <c r="J4177" s="100"/>
      <c r="K4177" s="100"/>
      <c r="L4177" s="100"/>
      <c r="M4177" s="100"/>
      <c r="N4177" s="100"/>
      <c r="O4177" s="100"/>
      <c r="P4177" s="100"/>
      <c r="Q4177" s="100"/>
      <c r="R4177" s="100"/>
      <c r="S4177" s="100"/>
      <c r="T4177" s="100"/>
      <c r="U4177" s="100"/>
      <c r="V4177" s="100"/>
      <c r="W4177" s="100"/>
      <c r="X4177" s="100"/>
      <c r="Y4177" s="100"/>
      <c r="Z4177" s="100"/>
    </row>
    <row r="4178" spans="1:26">
      <c r="A4178" s="100"/>
      <c r="B4178" s="100"/>
      <c r="C4178" s="100"/>
      <c r="D4178" s="100"/>
      <c r="E4178" s="100"/>
      <c r="F4178" s="100"/>
      <c r="G4178" s="100"/>
      <c r="H4178" s="100"/>
      <c r="I4178" s="100"/>
      <c r="J4178" s="100"/>
      <c r="K4178" s="100"/>
      <c r="L4178" s="100"/>
      <c r="M4178" s="100"/>
      <c r="N4178" s="100"/>
      <c r="O4178" s="100"/>
      <c r="P4178" s="100"/>
      <c r="Q4178" s="100"/>
      <c r="R4178" s="100"/>
      <c r="S4178" s="100"/>
      <c r="T4178" s="100"/>
      <c r="U4178" s="100"/>
      <c r="V4178" s="100"/>
      <c r="W4178" s="100"/>
      <c r="X4178" s="100"/>
      <c r="Y4178" s="100"/>
      <c r="Z4178" s="100"/>
    </row>
    <row r="4179" spans="1:26">
      <c r="A4179" s="100"/>
      <c r="B4179" s="100"/>
      <c r="C4179" s="100"/>
      <c r="D4179" s="100"/>
      <c r="E4179" s="100"/>
      <c r="F4179" s="100"/>
      <c r="G4179" s="100"/>
      <c r="H4179" s="100"/>
      <c r="I4179" s="100"/>
      <c r="J4179" s="100"/>
      <c r="K4179" s="100"/>
      <c r="L4179" s="100"/>
      <c r="M4179" s="100"/>
      <c r="N4179" s="100"/>
      <c r="O4179" s="100"/>
      <c r="P4179" s="100"/>
      <c r="Q4179" s="100"/>
      <c r="R4179" s="100"/>
      <c r="S4179" s="100"/>
      <c r="T4179" s="100"/>
      <c r="U4179" s="100"/>
      <c r="V4179" s="100"/>
      <c r="W4179" s="100"/>
      <c r="X4179" s="100"/>
      <c r="Y4179" s="100"/>
      <c r="Z4179" s="100"/>
    </row>
    <row r="4180" spans="1:26">
      <c r="A4180" s="100"/>
      <c r="B4180" s="100"/>
      <c r="C4180" s="100"/>
      <c r="D4180" s="100"/>
      <c r="E4180" s="100"/>
      <c r="F4180" s="100"/>
      <c r="G4180" s="100"/>
      <c r="H4180" s="100"/>
      <c r="I4180" s="100"/>
      <c r="J4180" s="100"/>
      <c r="K4180" s="100"/>
      <c r="L4180" s="100"/>
      <c r="M4180" s="100"/>
      <c r="N4180" s="100"/>
      <c r="O4180" s="100"/>
      <c r="P4180" s="100"/>
      <c r="Q4180" s="100"/>
      <c r="R4180" s="100"/>
      <c r="S4180" s="100"/>
      <c r="T4180" s="100"/>
      <c r="U4180" s="100"/>
      <c r="V4180" s="100"/>
      <c r="W4180" s="100"/>
      <c r="X4180" s="100"/>
      <c r="Y4180" s="100"/>
      <c r="Z4180" s="100"/>
    </row>
    <row r="4181" spans="1:26">
      <c r="A4181" s="100"/>
      <c r="B4181" s="100"/>
      <c r="C4181" s="100"/>
      <c r="D4181" s="100"/>
      <c r="E4181" s="100"/>
      <c r="F4181" s="100"/>
      <c r="G4181" s="100"/>
      <c r="H4181" s="100"/>
      <c r="I4181" s="100"/>
      <c r="J4181" s="100"/>
      <c r="K4181" s="100"/>
      <c r="L4181" s="100"/>
      <c r="M4181" s="100"/>
      <c r="N4181" s="100"/>
      <c r="O4181" s="100"/>
      <c r="P4181" s="100"/>
      <c r="Q4181" s="100"/>
      <c r="R4181" s="100"/>
      <c r="S4181" s="100"/>
      <c r="T4181" s="100"/>
      <c r="U4181" s="100"/>
      <c r="V4181" s="100"/>
      <c r="W4181" s="100"/>
      <c r="X4181" s="100"/>
      <c r="Y4181" s="100"/>
      <c r="Z4181" s="100"/>
    </row>
    <row r="4182" spans="1:26">
      <c r="A4182" s="100"/>
      <c r="B4182" s="100"/>
      <c r="C4182" s="100"/>
      <c r="D4182" s="100"/>
      <c r="E4182" s="100"/>
      <c r="F4182" s="100"/>
      <c r="G4182" s="100"/>
      <c r="H4182" s="100"/>
      <c r="I4182" s="100"/>
      <c r="J4182" s="100"/>
      <c r="K4182" s="100"/>
      <c r="L4182" s="100"/>
      <c r="M4182" s="100"/>
      <c r="N4182" s="100"/>
      <c r="O4182" s="100"/>
      <c r="P4182" s="100"/>
      <c r="Q4182" s="100"/>
      <c r="R4182" s="100"/>
      <c r="S4182" s="100"/>
      <c r="T4182" s="100"/>
      <c r="U4182" s="100"/>
      <c r="V4182" s="100"/>
      <c r="W4182" s="100"/>
      <c r="X4182" s="100"/>
      <c r="Y4182" s="100"/>
      <c r="Z4182" s="100"/>
    </row>
    <row r="4183" spans="1:26">
      <c r="A4183" s="100"/>
      <c r="B4183" s="100"/>
      <c r="C4183" s="100"/>
      <c r="D4183" s="100"/>
      <c r="E4183" s="100"/>
      <c r="F4183" s="100"/>
      <c r="G4183" s="100"/>
      <c r="H4183" s="100"/>
      <c r="I4183" s="100"/>
      <c r="J4183" s="100"/>
      <c r="K4183" s="100"/>
      <c r="L4183" s="100"/>
      <c r="M4183" s="100"/>
      <c r="N4183" s="100"/>
      <c r="O4183" s="100"/>
      <c r="P4183" s="100"/>
      <c r="Q4183" s="100"/>
      <c r="R4183" s="100"/>
      <c r="S4183" s="100"/>
      <c r="T4183" s="100"/>
      <c r="U4183" s="100"/>
      <c r="V4183" s="100"/>
      <c r="W4183" s="100"/>
      <c r="X4183" s="100"/>
      <c r="Y4183" s="100"/>
      <c r="Z4183" s="100"/>
    </row>
    <row r="4184" spans="1:26">
      <c r="A4184" s="100"/>
      <c r="B4184" s="100"/>
      <c r="C4184" s="100"/>
      <c r="D4184" s="100"/>
      <c r="E4184" s="100"/>
      <c r="F4184" s="100"/>
      <c r="G4184" s="100"/>
      <c r="H4184" s="100"/>
      <c r="I4184" s="100"/>
      <c r="J4184" s="100"/>
      <c r="K4184" s="100"/>
      <c r="L4184" s="100"/>
      <c r="M4184" s="100"/>
      <c r="N4184" s="100"/>
      <c r="O4184" s="100"/>
      <c r="P4184" s="100"/>
      <c r="Q4184" s="100"/>
      <c r="R4184" s="100"/>
      <c r="S4184" s="100"/>
      <c r="T4184" s="100"/>
      <c r="U4184" s="100"/>
      <c r="V4184" s="100"/>
      <c r="W4184" s="100"/>
      <c r="X4184" s="100"/>
      <c r="Y4184" s="100"/>
      <c r="Z4184" s="100"/>
    </row>
    <row r="4185" spans="1:26">
      <c r="A4185" s="100"/>
      <c r="B4185" s="100"/>
      <c r="C4185" s="100"/>
      <c r="D4185" s="100"/>
      <c r="E4185" s="100"/>
      <c r="F4185" s="100"/>
      <c r="G4185" s="100"/>
      <c r="H4185" s="100"/>
      <c r="I4185" s="100"/>
      <c r="J4185" s="100"/>
      <c r="K4185" s="100"/>
      <c r="L4185" s="100"/>
      <c r="M4185" s="100"/>
      <c r="N4185" s="100"/>
      <c r="O4185" s="100"/>
      <c r="P4185" s="100"/>
      <c r="Q4185" s="100"/>
      <c r="R4185" s="100"/>
      <c r="S4185" s="100"/>
      <c r="T4185" s="100"/>
      <c r="U4185" s="100"/>
      <c r="V4185" s="100"/>
      <c r="W4185" s="100"/>
      <c r="X4185" s="100"/>
      <c r="Y4185" s="100"/>
      <c r="Z4185" s="100"/>
    </row>
    <row r="4186" spans="1:26">
      <c r="A4186" s="100"/>
      <c r="B4186" s="100"/>
      <c r="C4186" s="100"/>
      <c r="D4186" s="100"/>
      <c r="E4186" s="100"/>
      <c r="F4186" s="100"/>
      <c r="G4186" s="100"/>
      <c r="H4186" s="100"/>
      <c r="I4186" s="100"/>
      <c r="J4186" s="100"/>
      <c r="K4186" s="100"/>
      <c r="L4186" s="100"/>
      <c r="M4186" s="100"/>
      <c r="N4186" s="100"/>
      <c r="O4186" s="100"/>
      <c r="P4186" s="100"/>
      <c r="Q4186" s="100"/>
      <c r="R4186" s="100"/>
      <c r="S4186" s="100"/>
      <c r="T4186" s="100"/>
      <c r="U4186" s="100"/>
      <c r="V4186" s="100"/>
      <c r="W4186" s="100"/>
      <c r="X4186" s="100"/>
      <c r="Y4186" s="100"/>
      <c r="Z4186" s="100"/>
    </row>
    <row r="4187" spans="1:26">
      <c r="A4187" s="100"/>
      <c r="B4187" s="100"/>
      <c r="C4187" s="100"/>
      <c r="D4187" s="100"/>
      <c r="E4187" s="100"/>
      <c r="F4187" s="100"/>
      <c r="G4187" s="100"/>
      <c r="H4187" s="100"/>
      <c r="I4187" s="100"/>
      <c r="J4187" s="100"/>
      <c r="K4187" s="100"/>
      <c r="L4187" s="100"/>
      <c r="M4187" s="100"/>
      <c r="N4187" s="100"/>
      <c r="O4187" s="100"/>
      <c r="P4187" s="100"/>
      <c r="Q4187" s="100"/>
      <c r="R4187" s="100"/>
      <c r="S4187" s="100"/>
      <c r="T4187" s="100"/>
      <c r="U4187" s="100"/>
      <c r="V4187" s="100"/>
      <c r="W4187" s="100"/>
      <c r="X4187" s="100"/>
      <c r="Y4187" s="100"/>
      <c r="Z4187" s="100"/>
    </row>
    <row r="4188" spans="1:26">
      <c r="A4188" s="100"/>
      <c r="B4188" s="100"/>
      <c r="C4188" s="100"/>
      <c r="D4188" s="100"/>
      <c r="E4188" s="100"/>
      <c r="F4188" s="100"/>
      <c r="G4188" s="100"/>
      <c r="H4188" s="100"/>
      <c r="I4188" s="100"/>
      <c r="J4188" s="100"/>
      <c r="K4188" s="100"/>
      <c r="L4188" s="100"/>
      <c r="M4188" s="100"/>
      <c r="N4188" s="100"/>
      <c r="O4188" s="100"/>
      <c r="P4188" s="100"/>
      <c r="Q4188" s="100"/>
      <c r="R4188" s="100"/>
      <c r="S4188" s="100"/>
      <c r="T4188" s="100"/>
      <c r="U4188" s="100"/>
      <c r="V4188" s="100"/>
      <c r="W4188" s="100"/>
      <c r="X4188" s="100"/>
      <c r="Y4188" s="100"/>
      <c r="Z4188" s="100"/>
    </row>
    <row r="4189" spans="1:26">
      <c r="A4189" s="100"/>
      <c r="B4189" s="100"/>
      <c r="C4189" s="100"/>
      <c r="D4189" s="100"/>
      <c r="E4189" s="100"/>
      <c r="F4189" s="100"/>
      <c r="G4189" s="100"/>
      <c r="H4189" s="100"/>
      <c r="I4189" s="100"/>
      <c r="J4189" s="100"/>
      <c r="K4189" s="100"/>
      <c r="L4189" s="100"/>
      <c r="M4189" s="100"/>
      <c r="N4189" s="100"/>
      <c r="O4189" s="100"/>
      <c r="P4189" s="100"/>
      <c r="Q4189" s="100"/>
      <c r="R4189" s="100"/>
      <c r="S4189" s="100"/>
      <c r="T4189" s="100"/>
      <c r="U4189" s="100"/>
      <c r="V4189" s="100"/>
      <c r="W4189" s="100"/>
      <c r="X4189" s="100"/>
      <c r="Y4189" s="100"/>
      <c r="Z4189" s="100"/>
    </row>
    <row r="4190" spans="1:26">
      <c r="A4190" s="100"/>
      <c r="B4190" s="100"/>
      <c r="C4190" s="100"/>
      <c r="D4190" s="100"/>
      <c r="E4190" s="100"/>
      <c r="F4190" s="100"/>
      <c r="G4190" s="100"/>
      <c r="H4190" s="100"/>
      <c r="I4190" s="100"/>
      <c r="J4190" s="100"/>
      <c r="K4190" s="100"/>
      <c r="L4190" s="100"/>
      <c r="M4190" s="100"/>
      <c r="N4190" s="100"/>
      <c r="O4190" s="100"/>
      <c r="P4190" s="100"/>
      <c r="Q4190" s="100"/>
      <c r="R4190" s="100"/>
      <c r="S4190" s="100"/>
      <c r="T4190" s="100"/>
      <c r="U4190" s="100"/>
      <c r="V4190" s="100"/>
      <c r="W4190" s="100"/>
      <c r="X4190" s="100"/>
      <c r="Y4190" s="100"/>
      <c r="Z4190" s="100"/>
    </row>
    <row r="4191" spans="1:26">
      <c r="A4191" s="100"/>
      <c r="B4191" s="100"/>
      <c r="C4191" s="100"/>
      <c r="D4191" s="100"/>
      <c r="E4191" s="100"/>
      <c r="F4191" s="100"/>
      <c r="G4191" s="100"/>
      <c r="H4191" s="100"/>
      <c r="I4191" s="100"/>
      <c r="J4191" s="100"/>
      <c r="K4191" s="100"/>
      <c r="L4191" s="100"/>
      <c r="M4191" s="100"/>
      <c r="N4191" s="100"/>
      <c r="O4191" s="100"/>
      <c r="P4191" s="100"/>
      <c r="Q4191" s="100"/>
      <c r="R4191" s="100"/>
      <c r="S4191" s="100"/>
      <c r="T4191" s="100"/>
      <c r="U4191" s="100"/>
      <c r="V4191" s="100"/>
      <c r="W4191" s="100"/>
      <c r="X4191" s="100"/>
      <c r="Y4191" s="100"/>
      <c r="Z4191" s="100"/>
    </row>
    <row r="4192" spans="1:26">
      <c r="A4192" s="100"/>
      <c r="B4192" s="100"/>
      <c r="C4192" s="100"/>
      <c r="D4192" s="100"/>
      <c r="E4192" s="100"/>
      <c r="F4192" s="100"/>
      <c r="G4192" s="100"/>
      <c r="H4192" s="100"/>
      <c r="I4192" s="100"/>
      <c r="J4192" s="100"/>
      <c r="K4192" s="100"/>
      <c r="L4192" s="100"/>
      <c r="M4192" s="100"/>
      <c r="N4192" s="100"/>
      <c r="O4192" s="100"/>
      <c r="P4192" s="100"/>
      <c r="Q4192" s="100"/>
      <c r="R4192" s="100"/>
      <c r="S4192" s="100"/>
      <c r="T4192" s="100"/>
      <c r="U4192" s="100"/>
      <c r="V4192" s="100"/>
      <c r="W4192" s="100"/>
      <c r="X4192" s="100"/>
      <c r="Y4192" s="100"/>
      <c r="Z4192" s="100"/>
    </row>
    <row r="4193" spans="1:26">
      <c r="A4193" s="100"/>
      <c r="B4193" s="100"/>
      <c r="C4193" s="100"/>
      <c r="D4193" s="100"/>
      <c r="E4193" s="100"/>
      <c r="F4193" s="100"/>
      <c r="G4193" s="100"/>
      <c r="H4193" s="100"/>
      <c r="I4193" s="100"/>
      <c r="J4193" s="100"/>
      <c r="K4193" s="100"/>
      <c r="L4193" s="100"/>
      <c r="M4193" s="100"/>
      <c r="N4193" s="100"/>
      <c r="O4193" s="100"/>
      <c r="P4193" s="100"/>
      <c r="Q4193" s="100"/>
      <c r="R4193" s="100"/>
      <c r="S4193" s="100"/>
      <c r="T4193" s="100"/>
      <c r="U4193" s="100"/>
      <c r="V4193" s="100"/>
      <c r="W4193" s="100"/>
      <c r="X4193" s="100"/>
      <c r="Y4193" s="100"/>
      <c r="Z4193" s="100"/>
    </row>
    <row r="4194" spans="1:26">
      <c r="A4194" s="100"/>
      <c r="B4194" s="100"/>
      <c r="C4194" s="100"/>
      <c r="D4194" s="100"/>
      <c r="E4194" s="100"/>
      <c r="F4194" s="100"/>
      <c r="G4194" s="100"/>
      <c r="H4194" s="100"/>
      <c r="I4194" s="100"/>
      <c r="J4194" s="100"/>
      <c r="K4194" s="100"/>
      <c r="L4194" s="100"/>
      <c r="M4194" s="100"/>
      <c r="N4194" s="100"/>
      <c r="O4194" s="100"/>
      <c r="P4194" s="100"/>
      <c r="Q4194" s="100"/>
      <c r="R4194" s="100"/>
      <c r="S4194" s="100"/>
      <c r="T4194" s="100"/>
      <c r="U4194" s="100"/>
      <c r="V4194" s="100"/>
      <c r="W4194" s="100"/>
      <c r="X4194" s="100"/>
      <c r="Y4194" s="100"/>
      <c r="Z4194" s="100"/>
    </row>
    <row r="4195" spans="1:26">
      <c r="A4195" s="100"/>
      <c r="B4195" s="100"/>
      <c r="C4195" s="100"/>
      <c r="D4195" s="100"/>
      <c r="E4195" s="100"/>
      <c r="F4195" s="100"/>
      <c r="G4195" s="100"/>
      <c r="H4195" s="100"/>
      <c r="I4195" s="100"/>
      <c r="J4195" s="100"/>
      <c r="K4195" s="100"/>
      <c r="L4195" s="100"/>
      <c r="M4195" s="100"/>
      <c r="N4195" s="100"/>
      <c r="O4195" s="100"/>
      <c r="P4195" s="100"/>
      <c r="Q4195" s="100"/>
      <c r="R4195" s="100"/>
      <c r="S4195" s="100"/>
      <c r="T4195" s="100"/>
      <c r="U4195" s="100"/>
      <c r="V4195" s="100"/>
      <c r="W4195" s="100"/>
      <c r="X4195" s="100"/>
      <c r="Y4195" s="100"/>
      <c r="Z4195" s="100"/>
    </row>
    <row r="4196" spans="1:26">
      <c r="A4196" s="100"/>
      <c r="B4196" s="100"/>
      <c r="C4196" s="100"/>
      <c r="D4196" s="100"/>
      <c r="E4196" s="100"/>
      <c r="F4196" s="100"/>
      <c r="G4196" s="100"/>
      <c r="H4196" s="100"/>
      <c r="I4196" s="100"/>
      <c r="J4196" s="100"/>
      <c r="K4196" s="100"/>
      <c r="L4196" s="100"/>
      <c r="M4196" s="100"/>
      <c r="N4196" s="100"/>
      <c r="O4196" s="100"/>
      <c r="P4196" s="100"/>
      <c r="Q4196" s="100"/>
      <c r="R4196" s="100"/>
      <c r="S4196" s="100"/>
      <c r="T4196" s="100"/>
      <c r="U4196" s="100"/>
      <c r="V4196" s="100"/>
      <c r="W4196" s="100"/>
      <c r="X4196" s="100"/>
      <c r="Y4196" s="100"/>
      <c r="Z4196" s="100"/>
    </row>
    <row r="4197" spans="1:26">
      <c r="A4197" s="100"/>
      <c r="B4197" s="100"/>
      <c r="C4197" s="100"/>
      <c r="D4197" s="100"/>
      <c r="E4197" s="100"/>
      <c r="F4197" s="100"/>
      <c r="G4197" s="100"/>
      <c r="H4197" s="100"/>
      <c r="I4197" s="100"/>
      <c r="J4197" s="100"/>
      <c r="K4197" s="100"/>
      <c r="L4197" s="100"/>
      <c r="M4197" s="100"/>
      <c r="N4197" s="100"/>
      <c r="O4197" s="100"/>
      <c r="P4197" s="100"/>
      <c r="Q4197" s="100"/>
      <c r="R4197" s="100"/>
      <c r="S4197" s="100"/>
      <c r="T4197" s="100"/>
      <c r="U4197" s="100"/>
      <c r="V4197" s="100"/>
      <c r="W4197" s="100"/>
      <c r="X4197" s="100"/>
      <c r="Y4197" s="100"/>
      <c r="Z4197" s="100"/>
    </row>
    <row r="4198" spans="1:26">
      <c r="A4198" s="100"/>
      <c r="B4198" s="100"/>
      <c r="C4198" s="100"/>
      <c r="D4198" s="100"/>
      <c r="E4198" s="100"/>
      <c r="F4198" s="100"/>
      <c r="G4198" s="100"/>
      <c r="H4198" s="100"/>
      <c r="I4198" s="100"/>
      <c r="J4198" s="100"/>
      <c r="K4198" s="100"/>
      <c r="L4198" s="100"/>
      <c r="M4198" s="100"/>
      <c r="N4198" s="100"/>
      <c r="O4198" s="100"/>
      <c r="P4198" s="100"/>
      <c r="Q4198" s="100"/>
      <c r="R4198" s="100"/>
      <c r="S4198" s="100"/>
      <c r="T4198" s="100"/>
      <c r="U4198" s="100"/>
      <c r="V4198" s="100"/>
      <c r="W4198" s="100"/>
      <c r="X4198" s="100"/>
      <c r="Y4198" s="100"/>
      <c r="Z4198" s="100"/>
    </row>
    <row r="4199" spans="1:26">
      <c r="A4199" s="100"/>
      <c r="B4199" s="100"/>
      <c r="C4199" s="100"/>
      <c r="D4199" s="100"/>
      <c r="E4199" s="100"/>
      <c r="F4199" s="100"/>
      <c r="G4199" s="100"/>
      <c r="H4199" s="100"/>
      <c r="I4199" s="100"/>
      <c r="J4199" s="100"/>
      <c r="K4199" s="100"/>
      <c r="L4199" s="100"/>
      <c r="M4199" s="100"/>
      <c r="N4199" s="100"/>
      <c r="O4199" s="100"/>
      <c r="P4199" s="100"/>
      <c r="Q4199" s="100"/>
      <c r="R4199" s="100"/>
      <c r="S4199" s="100"/>
      <c r="T4199" s="100"/>
      <c r="U4199" s="100"/>
      <c r="V4199" s="100"/>
      <c r="W4199" s="100"/>
      <c r="X4199" s="100"/>
      <c r="Y4199" s="100"/>
      <c r="Z4199" s="100"/>
    </row>
    <row r="4200" spans="1:26">
      <c r="A4200" s="100"/>
      <c r="B4200" s="100"/>
      <c r="C4200" s="100"/>
      <c r="D4200" s="100"/>
      <c r="E4200" s="100"/>
      <c r="F4200" s="100"/>
      <c r="G4200" s="100"/>
      <c r="H4200" s="100"/>
      <c r="I4200" s="100"/>
      <c r="J4200" s="100"/>
      <c r="K4200" s="100"/>
      <c r="L4200" s="100"/>
      <c r="M4200" s="100"/>
      <c r="N4200" s="100"/>
      <c r="O4200" s="100"/>
      <c r="P4200" s="100"/>
      <c r="Q4200" s="100"/>
      <c r="R4200" s="100"/>
      <c r="S4200" s="100"/>
      <c r="T4200" s="100"/>
      <c r="U4200" s="100"/>
      <c r="V4200" s="100"/>
      <c r="W4200" s="100"/>
      <c r="X4200" s="100"/>
      <c r="Y4200" s="100"/>
      <c r="Z4200" s="100"/>
    </row>
    <row r="4201" spans="1:26">
      <c r="A4201" s="100"/>
      <c r="B4201" s="100"/>
      <c r="C4201" s="100"/>
      <c r="D4201" s="100"/>
      <c r="E4201" s="100"/>
      <c r="F4201" s="100"/>
      <c r="G4201" s="100"/>
      <c r="H4201" s="100"/>
      <c r="I4201" s="100"/>
      <c r="J4201" s="100"/>
      <c r="K4201" s="100"/>
      <c r="L4201" s="100"/>
      <c r="M4201" s="100"/>
      <c r="N4201" s="100"/>
      <c r="O4201" s="100"/>
      <c r="P4201" s="100"/>
      <c r="Q4201" s="100"/>
      <c r="R4201" s="100"/>
      <c r="S4201" s="100"/>
      <c r="T4201" s="100"/>
      <c r="U4201" s="100"/>
      <c r="V4201" s="100"/>
      <c r="W4201" s="100"/>
      <c r="X4201" s="100"/>
      <c r="Y4201" s="100"/>
      <c r="Z4201" s="100"/>
    </row>
    <row r="4202" spans="1:26">
      <c r="A4202" s="100"/>
      <c r="B4202" s="100"/>
      <c r="C4202" s="100"/>
      <c r="D4202" s="100"/>
      <c r="E4202" s="100"/>
      <c r="F4202" s="100"/>
      <c r="G4202" s="100"/>
      <c r="H4202" s="100"/>
      <c r="I4202" s="100"/>
      <c r="J4202" s="100"/>
      <c r="K4202" s="100"/>
      <c r="L4202" s="100"/>
      <c r="M4202" s="100"/>
      <c r="N4202" s="100"/>
      <c r="O4202" s="100"/>
      <c r="P4202" s="100"/>
      <c r="Q4202" s="100"/>
      <c r="R4202" s="100"/>
      <c r="S4202" s="100"/>
      <c r="T4202" s="100"/>
      <c r="U4202" s="100"/>
      <c r="V4202" s="100"/>
      <c r="W4202" s="100"/>
      <c r="X4202" s="100"/>
      <c r="Y4202" s="100"/>
      <c r="Z4202" s="100"/>
    </row>
    <row r="4203" spans="1:26">
      <c r="A4203" s="100"/>
      <c r="B4203" s="100"/>
      <c r="C4203" s="100"/>
      <c r="D4203" s="100"/>
      <c r="E4203" s="100"/>
      <c r="F4203" s="100"/>
      <c r="G4203" s="100"/>
      <c r="H4203" s="100"/>
      <c r="I4203" s="100"/>
      <c r="J4203" s="100"/>
      <c r="K4203" s="100"/>
      <c r="L4203" s="100"/>
      <c r="M4203" s="100"/>
      <c r="N4203" s="100"/>
      <c r="O4203" s="100"/>
      <c r="P4203" s="100"/>
      <c r="Q4203" s="100"/>
      <c r="R4203" s="100"/>
      <c r="S4203" s="100"/>
      <c r="T4203" s="100"/>
      <c r="U4203" s="100"/>
      <c r="V4203" s="100"/>
      <c r="W4203" s="100"/>
      <c r="X4203" s="100"/>
      <c r="Y4203" s="100"/>
      <c r="Z4203" s="100"/>
    </row>
    <row r="4204" spans="1:26">
      <c r="A4204" s="100"/>
      <c r="B4204" s="100"/>
      <c r="C4204" s="100"/>
      <c r="D4204" s="100"/>
      <c r="E4204" s="100"/>
      <c r="F4204" s="100"/>
      <c r="G4204" s="100"/>
      <c r="H4204" s="100"/>
      <c r="I4204" s="100"/>
      <c r="J4204" s="100"/>
      <c r="K4204" s="100"/>
      <c r="L4204" s="100"/>
      <c r="M4204" s="100"/>
      <c r="N4204" s="100"/>
      <c r="O4204" s="100"/>
      <c r="P4204" s="100"/>
      <c r="Q4204" s="100"/>
      <c r="R4204" s="100"/>
      <c r="S4204" s="100"/>
      <c r="T4204" s="100"/>
      <c r="U4204" s="100"/>
      <c r="V4204" s="100"/>
      <c r="W4204" s="100"/>
      <c r="X4204" s="100"/>
      <c r="Y4204" s="100"/>
      <c r="Z4204" s="100"/>
    </row>
    <row r="4205" spans="1:26">
      <c r="A4205" s="100"/>
      <c r="B4205" s="100"/>
      <c r="C4205" s="100"/>
      <c r="D4205" s="100"/>
      <c r="E4205" s="100"/>
      <c r="F4205" s="100"/>
      <c r="G4205" s="100"/>
      <c r="H4205" s="100"/>
      <c r="I4205" s="100"/>
      <c r="J4205" s="100"/>
      <c r="K4205" s="100"/>
      <c r="L4205" s="100"/>
      <c r="M4205" s="100"/>
      <c r="N4205" s="100"/>
      <c r="O4205" s="100"/>
      <c r="P4205" s="100"/>
      <c r="Q4205" s="100"/>
      <c r="R4205" s="100"/>
      <c r="S4205" s="100"/>
      <c r="T4205" s="100"/>
      <c r="U4205" s="100"/>
      <c r="V4205" s="100"/>
      <c r="W4205" s="100"/>
      <c r="X4205" s="100"/>
      <c r="Y4205" s="100"/>
      <c r="Z4205" s="100"/>
    </row>
    <row r="4206" spans="1:26">
      <c r="A4206" s="100"/>
      <c r="B4206" s="100"/>
      <c r="C4206" s="100"/>
      <c r="D4206" s="100"/>
      <c r="E4206" s="100"/>
      <c r="F4206" s="100"/>
      <c r="G4206" s="100"/>
      <c r="H4206" s="100"/>
      <c r="I4206" s="100"/>
      <c r="J4206" s="100"/>
      <c r="K4206" s="100"/>
      <c r="L4206" s="100"/>
      <c r="M4206" s="100"/>
      <c r="N4206" s="100"/>
      <c r="O4206" s="100"/>
      <c r="P4206" s="100"/>
      <c r="Q4206" s="100"/>
      <c r="R4206" s="100"/>
      <c r="S4206" s="100"/>
      <c r="T4206" s="100"/>
      <c r="U4206" s="100"/>
      <c r="V4206" s="100"/>
      <c r="W4206" s="100"/>
      <c r="X4206" s="100"/>
      <c r="Y4206" s="100"/>
      <c r="Z4206" s="100"/>
    </row>
    <row r="4207" spans="1:26">
      <c r="A4207" s="100"/>
      <c r="B4207" s="100"/>
      <c r="C4207" s="100"/>
      <c r="D4207" s="100"/>
      <c r="E4207" s="100"/>
      <c r="F4207" s="100"/>
      <c r="G4207" s="100"/>
      <c r="H4207" s="100"/>
      <c r="I4207" s="100"/>
      <c r="J4207" s="100"/>
      <c r="K4207" s="100"/>
      <c r="L4207" s="100"/>
      <c r="M4207" s="100"/>
      <c r="N4207" s="100"/>
      <c r="O4207" s="100"/>
      <c r="P4207" s="100"/>
      <c r="Q4207" s="100"/>
      <c r="R4207" s="100"/>
      <c r="S4207" s="100"/>
      <c r="T4207" s="100"/>
      <c r="U4207" s="100"/>
      <c r="V4207" s="100"/>
      <c r="W4207" s="100"/>
      <c r="X4207" s="100"/>
      <c r="Y4207" s="100"/>
      <c r="Z4207" s="100"/>
    </row>
    <row r="4208" spans="1:26">
      <c r="A4208" s="100"/>
      <c r="B4208" s="100"/>
      <c r="C4208" s="100"/>
      <c r="D4208" s="100"/>
      <c r="E4208" s="100"/>
      <c r="F4208" s="100"/>
      <c r="G4208" s="100"/>
      <c r="H4208" s="100"/>
      <c r="I4208" s="100"/>
      <c r="J4208" s="100"/>
      <c r="K4208" s="100"/>
      <c r="L4208" s="100"/>
      <c r="M4208" s="100"/>
      <c r="N4208" s="100"/>
      <c r="O4208" s="100"/>
      <c r="P4208" s="100"/>
      <c r="Q4208" s="100"/>
      <c r="R4208" s="100"/>
      <c r="S4208" s="100"/>
      <c r="T4208" s="100"/>
      <c r="U4208" s="100"/>
      <c r="V4208" s="100"/>
      <c r="W4208" s="100"/>
      <c r="X4208" s="100"/>
      <c r="Y4208" s="100"/>
      <c r="Z4208" s="100"/>
    </row>
    <row r="4209" spans="1:26">
      <c r="A4209" s="100"/>
      <c r="B4209" s="100"/>
      <c r="C4209" s="100"/>
      <c r="D4209" s="100"/>
      <c r="E4209" s="100"/>
      <c r="F4209" s="100"/>
      <c r="G4209" s="100"/>
      <c r="H4209" s="100"/>
      <c r="I4209" s="100"/>
      <c r="J4209" s="100"/>
      <c r="K4209" s="100"/>
      <c r="L4209" s="100"/>
      <c r="M4209" s="100"/>
      <c r="N4209" s="100"/>
      <c r="O4209" s="100"/>
      <c r="P4209" s="100"/>
      <c r="Q4209" s="100"/>
      <c r="R4209" s="100"/>
      <c r="S4209" s="100"/>
      <c r="T4209" s="100"/>
      <c r="U4209" s="100"/>
      <c r="V4209" s="100"/>
      <c r="W4209" s="100"/>
      <c r="X4209" s="100"/>
      <c r="Y4209" s="100"/>
      <c r="Z4209" s="100"/>
    </row>
    <row r="4210" spans="1:26">
      <c r="A4210" s="100"/>
      <c r="B4210" s="100"/>
      <c r="C4210" s="100"/>
      <c r="D4210" s="100"/>
      <c r="E4210" s="100"/>
      <c r="F4210" s="100"/>
      <c r="G4210" s="100"/>
      <c r="H4210" s="100"/>
      <c r="I4210" s="100"/>
      <c r="J4210" s="100"/>
      <c r="K4210" s="100"/>
      <c r="L4210" s="100"/>
      <c r="M4210" s="100"/>
      <c r="N4210" s="100"/>
      <c r="O4210" s="100"/>
      <c r="P4210" s="100"/>
      <c r="Q4210" s="100"/>
      <c r="R4210" s="100"/>
      <c r="S4210" s="100"/>
      <c r="T4210" s="100"/>
      <c r="U4210" s="100"/>
      <c r="V4210" s="100"/>
      <c r="W4210" s="100"/>
      <c r="X4210" s="100"/>
      <c r="Y4210" s="100"/>
      <c r="Z4210" s="100"/>
    </row>
    <row r="4211" spans="1:26">
      <c r="A4211" s="100"/>
      <c r="B4211" s="100"/>
      <c r="C4211" s="100"/>
      <c r="D4211" s="100"/>
      <c r="E4211" s="100"/>
      <c r="F4211" s="100"/>
      <c r="G4211" s="100"/>
      <c r="H4211" s="100"/>
      <c r="I4211" s="100"/>
      <c r="J4211" s="100"/>
      <c r="K4211" s="100"/>
      <c r="L4211" s="100"/>
      <c r="M4211" s="100"/>
      <c r="N4211" s="100"/>
      <c r="O4211" s="100"/>
      <c r="P4211" s="100"/>
      <c r="Q4211" s="100"/>
      <c r="R4211" s="100"/>
      <c r="S4211" s="100"/>
      <c r="T4211" s="100"/>
      <c r="U4211" s="100"/>
      <c r="V4211" s="100"/>
      <c r="W4211" s="100"/>
      <c r="X4211" s="100"/>
      <c r="Y4211" s="100"/>
      <c r="Z4211" s="100"/>
    </row>
    <row r="4212" spans="1:26">
      <c r="A4212" s="100"/>
      <c r="B4212" s="100"/>
      <c r="C4212" s="100"/>
      <c r="D4212" s="100"/>
      <c r="E4212" s="100"/>
      <c r="F4212" s="100"/>
      <c r="G4212" s="100"/>
      <c r="H4212" s="100"/>
      <c r="I4212" s="100"/>
      <c r="J4212" s="100"/>
      <c r="K4212" s="100"/>
      <c r="L4212" s="100"/>
      <c r="M4212" s="100"/>
      <c r="N4212" s="100"/>
      <c r="O4212" s="100"/>
      <c r="P4212" s="100"/>
      <c r="Q4212" s="100"/>
      <c r="R4212" s="100"/>
      <c r="S4212" s="100"/>
      <c r="T4212" s="100"/>
      <c r="U4212" s="100"/>
      <c r="V4212" s="100"/>
      <c r="W4212" s="100"/>
      <c r="X4212" s="100"/>
      <c r="Y4212" s="100"/>
      <c r="Z4212" s="100"/>
    </row>
    <row r="4213" spans="1:26">
      <c r="A4213" s="100"/>
      <c r="B4213" s="100"/>
      <c r="C4213" s="100"/>
      <c r="D4213" s="100"/>
      <c r="E4213" s="100"/>
      <c r="F4213" s="100"/>
      <c r="G4213" s="100"/>
      <c r="H4213" s="100"/>
      <c r="I4213" s="100"/>
      <c r="J4213" s="100"/>
      <c r="K4213" s="100"/>
      <c r="L4213" s="100"/>
      <c r="M4213" s="100"/>
      <c r="N4213" s="100"/>
      <c r="O4213" s="100"/>
      <c r="P4213" s="100"/>
      <c r="Q4213" s="100"/>
      <c r="R4213" s="100"/>
      <c r="S4213" s="100"/>
      <c r="T4213" s="100"/>
      <c r="U4213" s="100"/>
      <c r="V4213" s="100"/>
      <c r="W4213" s="100"/>
      <c r="X4213" s="100"/>
      <c r="Y4213" s="100"/>
      <c r="Z4213" s="100"/>
    </row>
    <row r="4214" spans="1:26">
      <c r="A4214" s="100"/>
      <c r="B4214" s="100"/>
      <c r="C4214" s="100"/>
      <c r="D4214" s="100"/>
      <c r="E4214" s="100"/>
      <c r="F4214" s="100"/>
      <c r="G4214" s="100"/>
      <c r="H4214" s="100"/>
      <c r="I4214" s="100"/>
      <c r="J4214" s="100"/>
      <c r="K4214" s="100"/>
      <c r="L4214" s="100"/>
      <c r="M4214" s="100"/>
      <c r="N4214" s="100"/>
      <c r="O4214" s="100"/>
      <c r="P4214" s="100"/>
      <c r="Q4214" s="100"/>
      <c r="R4214" s="100"/>
      <c r="S4214" s="100"/>
      <c r="T4214" s="100"/>
      <c r="U4214" s="100"/>
      <c r="V4214" s="100"/>
      <c r="W4214" s="100"/>
      <c r="X4214" s="100"/>
      <c r="Y4214" s="100"/>
      <c r="Z4214" s="100"/>
    </row>
    <row r="4215" spans="1:26">
      <c r="A4215" s="100"/>
      <c r="B4215" s="100"/>
      <c r="C4215" s="100"/>
      <c r="D4215" s="100"/>
      <c r="E4215" s="100"/>
      <c r="F4215" s="100"/>
      <c r="G4215" s="100"/>
      <c r="H4215" s="100"/>
      <c r="I4215" s="100"/>
      <c r="J4215" s="100"/>
      <c r="K4215" s="100"/>
      <c r="L4215" s="100"/>
      <c r="M4215" s="100"/>
      <c r="N4215" s="100"/>
      <c r="O4215" s="100"/>
      <c r="P4215" s="100"/>
      <c r="Q4215" s="100"/>
      <c r="R4215" s="100"/>
      <c r="S4215" s="100"/>
      <c r="T4215" s="100"/>
      <c r="U4215" s="100"/>
      <c r="V4215" s="100"/>
      <c r="W4215" s="100"/>
      <c r="X4215" s="100"/>
      <c r="Y4215" s="100"/>
      <c r="Z4215" s="100"/>
    </row>
    <row r="4216" spans="1:26">
      <c r="A4216" s="100"/>
      <c r="B4216" s="100"/>
      <c r="C4216" s="100"/>
      <c r="D4216" s="100"/>
      <c r="E4216" s="100"/>
      <c r="F4216" s="100"/>
      <c r="G4216" s="100"/>
      <c r="H4216" s="100"/>
      <c r="I4216" s="100"/>
      <c r="J4216" s="100"/>
      <c r="K4216" s="100"/>
      <c r="L4216" s="100"/>
      <c r="M4216" s="100"/>
      <c r="N4216" s="100"/>
      <c r="O4216" s="100"/>
      <c r="P4216" s="100"/>
      <c r="Q4216" s="100"/>
      <c r="R4216" s="100"/>
      <c r="S4216" s="100"/>
      <c r="T4216" s="100"/>
      <c r="U4216" s="100"/>
      <c r="V4216" s="100"/>
      <c r="W4216" s="100"/>
      <c r="X4216" s="100"/>
      <c r="Y4216" s="100"/>
      <c r="Z4216" s="100"/>
    </row>
    <row r="4217" spans="1:26">
      <c r="A4217" s="100"/>
      <c r="B4217" s="100"/>
      <c r="C4217" s="100"/>
      <c r="D4217" s="100"/>
      <c r="E4217" s="100"/>
      <c r="F4217" s="100"/>
      <c r="G4217" s="100"/>
      <c r="H4217" s="100"/>
      <c r="I4217" s="100"/>
      <c r="J4217" s="100"/>
      <c r="K4217" s="100"/>
      <c r="L4217" s="100"/>
      <c r="M4217" s="100"/>
      <c r="N4217" s="100"/>
      <c r="O4217" s="100"/>
      <c r="P4217" s="100"/>
      <c r="Q4217" s="100"/>
      <c r="R4217" s="100"/>
      <c r="S4217" s="100"/>
      <c r="T4217" s="100"/>
      <c r="U4217" s="100"/>
      <c r="V4217" s="100"/>
      <c r="W4217" s="100"/>
      <c r="X4217" s="100"/>
      <c r="Y4217" s="100"/>
      <c r="Z4217" s="100"/>
    </row>
    <row r="4218" spans="1:26">
      <c r="A4218" s="100"/>
      <c r="B4218" s="100"/>
      <c r="C4218" s="100"/>
      <c r="D4218" s="100"/>
      <c r="E4218" s="100"/>
      <c r="F4218" s="100"/>
      <c r="G4218" s="100"/>
      <c r="H4218" s="100"/>
      <c r="I4218" s="100"/>
      <c r="J4218" s="100"/>
      <c r="K4218" s="100"/>
      <c r="L4218" s="100"/>
      <c r="M4218" s="100"/>
      <c r="N4218" s="100"/>
      <c r="O4218" s="100"/>
      <c r="P4218" s="100"/>
      <c r="Q4218" s="100"/>
      <c r="R4218" s="100"/>
      <c r="S4218" s="100"/>
      <c r="T4218" s="100"/>
      <c r="U4218" s="100"/>
      <c r="V4218" s="100"/>
      <c r="W4218" s="100"/>
      <c r="X4218" s="100"/>
      <c r="Y4218" s="100"/>
      <c r="Z4218" s="100"/>
    </row>
    <row r="4219" spans="1:26">
      <c r="A4219" s="100"/>
      <c r="B4219" s="100"/>
      <c r="C4219" s="100"/>
      <c r="D4219" s="100"/>
      <c r="E4219" s="100"/>
      <c r="F4219" s="100"/>
      <c r="G4219" s="100"/>
      <c r="H4219" s="100"/>
      <c r="I4219" s="100"/>
      <c r="J4219" s="100"/>
      <c r="K4219" s="100"/>
      <c r="L4219" s="100"/>
      <c r="M4219" s="100"/>
      <c r="N4219" s="100"/>
      <c r="O4219" s="100"/>
      <c r="P4219" s="100"/>
      <c r="Q4219" s="100"/>
      <c r="R4219" s="100"/>
      <c r="S4219" s="100"/>
      <c r="T4219" s="100"/>
      <c r="U4219" s="100"/>
      <c r="V4219" s="100"/>
      <c r="W4219" s="100"/>
      <c r="X4219" s="100"/>
      <c r="Y4219" s="100"/>
      <c r="Z4219" s="100"/>
    </row>
    <row r="4220" spans="1:26">
      <c r="A4220" s="100"/>
      <c r="B4220" s="100"/>
      <c r="C4220" s="100"/>
      <c r="D4220" s="100"/>
      <c r="E4220" s="100"/>
      <c r="F4220" s="100"/>
      <c r="G4220" s="100"/>
      <c r="H4220" s="100"/>
      <c r="I4220" s="100"/>
      <c r="J4220" s="100"/>
      <c r="K4220" s="100"/>
      <c r="L4220" s="100"/>
      <c r="M4220" s="100"/>
      <c r="N4220" s="100"/>
      <c r="O4220" s="100"/>
      <c r="P4220" s="100"/>
      <c r="Q4220" s="100"/>
      <c r="R4220" s="100"/>
      <c r="S4220" s="100"/>
      <c r="T4220" s="100"/>
      <c r="U4220" s="100"/>
      <c r="V4220" s="100"/>
      <c r="W4220" s="100"/>
      <c r="X4220" s="100"/>
      <c r="Y4220" s="100"/>
      <c r="Z4220" s="100"/>
    </row>
    <row r="4221" spans="1:26">
      <c r="A4221" s="100"/>
      <c r="B4221" s="100"/>
      <c r="C4221" s="100"/>
      <c r="D4221" s="100"/>
      <c r="E4221" s="100"/>
      <c r="F4221" s="100"/>
      <c r="G4221" s="100"/>
      <c r="H4221" s="100"/>
      <c r="I4221" s="100"/>
      <c r="J4221" s="100"/>
      <c r="K4221" s="100"/>
      <c r="L4221" s="100"/>
      <c r="M4221" s="100"/>
      <c r="N4221" s="100"/>
      <c r="O4221" s="100"/>
      <c r="P4221" s="100"/>
      <c r="Q4221" s="100"/>
      <c r="R4221" s="100"/>
      <c r="S4221" s="100"/>
      <c r="T4221" s="100"/>
      <c r="U4221" s="100"/>
      <c r="V4221" s="100"/>
      <c r="W4221" s="100"/>
      <c r="X4221" s="100"/>
      <c r="Y4221" s="100"/>
      <c r="Z4221" s="100"/>
    </row>
    <row r="4222" spans="1:26">
      <c r="A4222" s="100"/>
      <c r="B4222" s="100"/>
      <c r="C4222" s="100"/>
      <c r="D4222" s="100"/>
      <c r="E4222" s="100"/>
      <c r="F4222" s="100"/>
      <c r="G4222" s="100"/>
      <c r="H4222" s="100"/>
      <c r="I4222" s="100"/>
      <c r="J4222" s="100"/>
      <c r="K4222" s="100"/>
      <c r="L4222" s="100"/>
      <c r="M4222" s="100"/>
      <c r="N4222" s="100"/>
      <c r="O4222" s="100"/>
      <c r="P4222" s="100"/>
      <c r="Q4222" s="100"/>
      <c r="R4222" s="100"/>
      <c r="S4222" s="100"/>
      <c r="T4222" s="100"/>
      <c r="U4222" s="100"/>
      <c r="V4222" s="100"/>
      <c r="W4222" s="100"/>
      <c r="X4222" s="100"/>
      <c r="Y4222" s="100"/>
      <c r="Z4222" s="100"/>
    </row>
    <row r="4223" spans="1:26">
      <c r="A4223" s="100"/>
      <c r="B4223" s="100"/>
      <c r="C4223" s="100"/>
      <c r="D4223" s="100"/>
      <c r="E4223" s="100"/>
      <c r="F4223" s="100"/>
      <c r="G4223" s="100"/>
      <c r="H4223" s="100"/>
      <c r="I4223" s="100"/>
      <c r="J4223" s="100"/>
      <c r="K4223" s="100"/>
      <c r="L4223" s="100"/>
      <c r="M4223" s="100"/>
      <c r="N4223" s="100"/>
      <c r="O4223" s="100"/>
      <c r="P4223" s="100"/>
      <c r="Q4223" s="100"/>
      <c r="R4223" s="100"/>
      <c r="S4223" s="100"/>
      <c r="T4223" s="100"/>
      <c r="U4223" s="100"/>
      <c r="V4223" s="100"/>
      <c r="W4223" s="100"/>
      <c r="X4223" s="100"/>
      <c r="Y4223" s="100"/>
      <c r="Z4223" s="100"/>
    </row>
    <row r="4224" spans="1:26">
      <c r="A4224" s="100"/>
      <c r="B4224" s="100"/>
      <c r="C4224" s="100"/>
      <c r="D4224" s="100"/>
      <c r="E4224" s="100"/>
      <c r="F4224" s="100"/>
      <c r="G4224" s="100"/>
      <c r="H4224" s="100"/>
      <c r="I4224" s="100"/>
      <c r="J4224" s="100"/>
      <c r="K4224" s="100"/>
      <c r="L4224" s="100"/>
      <c r="M4224" s="100"/>
      <c r="N4224" s="100"/>
      <c r="O4224" s="100"/>
      <c r="P4224" s="100"/>
      <c r="Q4224" s="100"/>
      <c r="R4224" s="100"/>
      <c r="S4224" s="100"/>
      <c r="T4224" s="100"/>
      <c r="U4224" s="100"/>
      <c r="V4224" s="100"/>
      <c r="W4224" s="100"/>
      <c r="X4224" s="100"/>
      <c r="Y4224" s="100"/>
      <c r="Z4224" s="100"/>
    </row>
    <row r="4225" spans="1:26">
      <c r="A4225" s="100"/>
      <c r="B4225" s="100"/>
      <c r="C4225" s="100"/>
      <c r="D4225" s="100"/>
      <c r="E4225" s="100"/>
      <c r="F4225" s="100"/>
      <c r="G4225" s="100"/>
      <c r="H4225" s="100"/>
      <c r="I4225" s="100"/>
      <c r="J4225" s="100"/>
      <c r="K4225" s="100"/>
      <c r="L4225" s="100"/>
      <c r="M4225" s="100"/>
      <c r="N4225" s="100"/>
      <c r="O4225" s="100"/>
      <c r="P4225" s="100"/>
      <c r="Q4225" s="100"/>
      <c r="R4225" s="100"/>
      <c r="S4225" s="100"/>
      <c r="T4225" s="100"/>
      <c r="U4225" s="100"/>
      <c r="V4225" s="100"/>
      <c r="W4225" s="100"/>
      <c r="X4225" s="100"/>
      <c r="Y4225" s="100"/>
      <c r="Z4225" s="100"/>
    </row>
    <row r="4226" spans="1:26">
      <c r="A4226" s="100"/>
      <c r="B4226" s="100"/>
      <c r="C4226" s="100"/>
      <c r="D4226" s="100"/>
      <c r="E4226" s="100"/>
      <c r="F4226" s="100"/>
      <c r="G4226" s="100"/>
      <c r="H4226" s="100"/>
      <c r="I4226" s="100"/>
      <c r="J4226" s="100"/>
      <c r="K4226" s="100"/>
      <c r="L4226" s="100"/>
      <c r="M4226" s="100"/>
      <c r="N4226" s="100"/>
      <c r="O4226" s="100"/>
      <c r="P4226" s="100"/>
      <c r="Q4226" s="100"/>
      <c r="R4226" s="100"/>
      <c r="S4226" s="100"/>
      <c r="T4226" s="100"/>
      <c r="U4226" s="100"/>
      <c r="V4226" s="100"/>
      <c r="W4226" s="100"/>
      <c r="X4226" s="100"/>
      <c r="Y4226" s="100"/>
      <c r="Z4226" s="100"/>
    </row>
    <row r="4227" spans="1:26">
      <c r="A4227" s="100"/>
      <c r="B4227" s="100"/>
      <c r="C4227" s="100"/>
      <c r="D4227" s="100"/>
      <c r="E4227" s="100"/>
      <c r="F4227" s="100"/>
      <c r="G4227" s="100"/>
      <c r="H4227" s="100"/>
      <c r="I4227" s="100"/>
      <c r="J4227" s="100"/>
      <c r="K4227" s="100"/>
      <c r="L4227" s="100"/>
      <c r="M4227" s="100"/>
      <c r="N4227" s="100"/>
      <c r="O4227" s="100"/>
      <c r="P4227" s="100"/>
      <c r="Q4227" s="100"/>
      <c r="R4227" s="100"/>
      <c r="S4227" s="100"/>
      <c r="T4227" s="100"/>
      <c r="U4227" s="100"/>
      <c r="V4227" s="100"/>
      <c r="W4227" s="100"/>
      <c r="X4227" s="100"/>
      <c r="Y4227" s="100"/>
      <c r="Z4227" s="100"/>
    </row>
    <row r="4228" spans="1:26">
      <c r="A4228" s="100"/>
      <c r="B4228" s="100"/>
      <c r="C4228" s="100"/>
      <c r="D4228" s="100"/>
      <c r="E4228" s="100"/>
      <c r="F4228" s="100"/>
      <c r="G4228" s="100"/>
      <c r="H4228" s="100"/>
      <c r="I4228" s="100"/>
      <c r="J4228" s="100"/>
      <c r="K4228" s="100"/>
      <c r="L4228" s="100"/>
      <c r="M4228" s="100"/>
      <c r="N4228" s="100"/>
      <c r="O4228" s="100"/>
      <c r="P4228" s="100"/>
      <c r="Q4228" s="100"/>
      <c r="R4228" s="100"/>
      <c r="S4228" s="100"/>
      <c r="T4228" s="100"/>
      <c r="U4228" s="100"/>
      <c r="V4228" s="100"/>
      <c r="W4228" s="100"/>
      <c r="X4228" s="100"/>
      <c r="Y4228" s="100"/>
      <c r="Z4228" s="100"/>
    </row>
    <row r="4229" spans="1:26">
      <c r="A4229" s="100"/>
      <c r="B4229" s="100"/>
      <c r="C4229" s="100"/>
      <c r="D4229" s="100"/>
      <c r="E4229" s="100"/>
      <c r="F4229" s="100"/>
      <c r="G4229" s="100"/>
      <c r="H4229" s="100"/>
      <c r="I4229" s="100"/>
      <c r="J4229" s="100"/>
      <c r="K4229" s="100"/>
      <c r="L4229" s="100"/>
      <c r="M4229" s="100"/>
      <c r="N4229" s="100"/>
      <c r="O4229" s="100"/>
      <c r="P4229" s="100"/>
      <c r="Q4229" s="100"/>
      <c r="R4229" s="100"/>
      <c r="S4229" s="100"/>
      <c r="T4229" s="100"/>
      <c r="U4229" s="100"/>
      <c r="V4229" s="100"/>
      <c r="W4229" s="100"/>
      <c r="X4229" s="100"/>
      <c r="Y4229" s="100"/>
      <c r="Z4229" s="100"/>
    </row>
    <row r="4230" spans="1:26">
      <c r="A4230" s="100"/>
      <c r="B4230" s="100"/>
      <c r="C4230" s="100"/>
      <c r="D4230" s="100"/>
      <c r="E4230" s="100"/>
      <c r="F4230" s="100"/>
      <c r="G4230" s="100"/>
      <c r="H4230" s="100"/>
      <c r="I4230" s="100"/>
      <c r="J4230" s="100"/>
      <c r="K4230" s="100"/>
      <c r="L4230" s="100"/>
      <c r="M4230" s="100"/>
      <c r="N4230" s="100"/>
      <c r="O4230" s="100"/>
      <c r="P4230" s="100"/>
      <c r="Q4230" s="100"/>
      <c r="R4230" s="100"/>
      <c r="S4230" s="100"/>
      <c r="T4230" s="100"/>
      <c r="U4230" s="100"/>
      <c r="V4230" s="100"/>
      <c r="W4230" s="100"/>
      <c r="X4230" s="100"/>
      <c r="Y4230" s="100"/>
      <c r="Z4230" s="100"/>
    </row>
    <row r="4231" spans="1:26">
      <c r="A4231" s="100"/>
      <c r="B4231" s="100"/>
      <c r="C4231" s="100"/>
      <c r="D4231" s="100"/>
      <c r="E4231" s="100"/>
      <c r="F4231" s="100"/>
      <c r="G4231" s="100"/>
      <c r="H4231" s="100"/>
      <c r="I4231" s="100"/>
      <c r="J4231" s="100"/>
      <c r="K4231" s="100"/>
      <c r="L4231" s="100"/>
      <c r="M4231" s="100"/>
      <c r="N4231" s="100"/>
      <c r="O4231" s="100"/>
      <c r="P4231" s="100"/>
      <c r="Q4231" s="100"/>
      <c r="R4231" s="100"/>
      <c r="S4231" s="100"/>
      <c r="T4231" s="100"/>
      <c r="U4231" s="100"/>
      <c r="V4231" s="100"/>
      <c r="W4231" s="100"/>
      <c r="X4231" s="100"/>
      <c r="Y4231" s="100"/>
      <c r="Z4231" s="100"/>
    </row>
    <row r="4232" spans="1:26">
      <c r="A4232" s="100"/>
      <c r="B4232" s="100"/>
      <c r="C4232" s="100"/>
      <c r="D4232" s="100"/>
      <c r="E4232" s="100"/>
      <c r="F4232" s="100"/>
      <c r="G4232" s="100"/>
      <c r="H4232" s="100"/>
      <c r="I4232" s="100"/>
      <c r="J4232" s="100"/>
      <c r="K4232" s="100"/>
      <c r="L4232" s="100"/>
      <c r="M4232" s="100"/>
      <c r="N4232" s="100"/>
      <c r="O4232" s="100"/>
      <c r="P4232" s="100"/>
      <c r="Q4232" s="100"/>
      <c r="R4232" s="100"/>
      <c r="S4232" s="100"/>
      <c r="T4232" s="100"/>
      <c r="U4232" s="100"/>
      <c r="V4232" s="100"/>
      <c r="W4232" s="100"/>
      <c r="X4232" s="100"/>
      <c r="Y4232" s="100"/>
      <c r="Z4232" s="100"/>
    </row>
    <row r="4233" spans="1:26">
      <c r="A4233" s="100"/>
      <c r="B4233" s="100"/>
      <c r="C4233" s="100"/>
      <c r="D4233" s="100"/>
      <c r="E4233" s="100"/>
      <c r="F4233" s="100"/>
      <c r="G4233" s="100"/>
      <c r="H4233" s="100"/>
      <c r="I4233" s="100"/>
      <c r="J4233" s="100"/>
      <c r="K4233" s="100"/>
      <c r="L4233" s="100"/>
      <c r="M4233" s="100"/>
      <c r="N4233" s="100"/>
      <c r="O4233" s="100"/>
      <c r="P4233" s="100"/>
      <c r="Q4233" s="100"/>
      <c r="R4233" s="100"/>
      <c r="S4233" s="100"/>
      <c r="T4233" s="100"/>
      <c r="U4233" s="100"/>
      <c r="V4233" s="100"/>
      <c r="W4233" s="100"/>
      <c r="X4233" s="100"/>
      <c r="Y4233" s="100"/>
      <c r="Z4233" s="100"/>
    </row>
    <row r="4234" spans="1:26">
      <c r="A4234" s="100"/>
      <c r="B4234" s="100"/>
      <c r="C4234" s="100"/>
      <c r="D4234" s="100"/>
      <c r="E4234" s="100"/>
      <c r="F4234" s="100"/>
      <c r="G4234" s="100"/>
      <c r="H4234" s="100"/>
      <c r="I4234" s="100"/>
      <c r="J4234" s="100"/>
      <c r="K4234" s="100"/>
      <c r="L4234" s="100"/>
      <c r="M4234" s="100"/>
      <c r="N4234" s="100"/>
      <c r="O4234" s="100"/>
      <c r="P4234" s="100"/>
      <c r="Q4234" s="100"/>
      <c r="R4234" s="100"/>
      <c r="S4234" s="100"/>
      <c r="T4234" s="100"/>
      <c r="U4234" s="100"/>
      <c r="V4234" s="100"/>
      <c r="W4234" s="100"/>
      <c r="X4234" s="100"/>
      <c r="Y4234" s="100"/>
      <c r="Z4234" s="100"/>
    </row>
    <row r="4235" spans="1:26">
      <c r="A4235" s="100"/>
      <c r="B4235" s="100"/>
      <c r="C4235" s="100"/>
      <c r="D4235" s="100"/>
      <c r="E4235" s="100"/>
      <c r="F4235" s="100"/>
      <c r="G4235" s="100"/>
      <c r="H4235" s="100"/>
      <c r="I4235" s="100"/>
      <c r="J4235" s="100"/>
      <c r="K4235" s="100"/>
      <c r="L4235" s="100"/>
      <c r="M4235" s="100"/>
      <c r="N4235" s="100"/>
      <c r="O4235" s="100"/>
      <c r="P4235" s="100"/>
      <c r="Q4235" s="100"/>
      <c r="R4235" s="100"/>
      <c r="S4235" s="100"/>
      <c r="T4235" s="100"/>
      <c r="U4235" s="100"/>
      <c r="V4235" s="100"/>
      <c r="W4235" s="100"/>
      <c r="X4235" s="100"/>
      <c r="Y4235" s="100"/>
      <c r="Z4235" s="100"/>
    </row>
    <row r="4236" spans="1:26">
      <c r="A4236" s="100"/>
      <c r="B4236" s="100"/>
      <c r="C4236" s="100"/>
      <c r="D4236" s="100"/>
      <c r="E4236" s="100"/>
      <c r="F4236" s="100"/>
      <c r="G4236" s="100"/>
      <c r="H4236" s="100"/>
      <c r="I4236" s="100"/>
      <c r="J4236" s="100"/>
      <c r="K4236" s="100"/>
      <c r="L4236" s="100"/>
      <c r="M4236" s="100"/>
      <c r="N4236" s="100"/>
      <c r="O4236" s="100"/>
      <c r="P4236" s="100"/>
      <c r="Q4236" s="100"/>
      <c r="R4236" s="100"/>
      <c r="S4236" s="100"/>
      <c r="T4236" s="100"/>
      <c r="U4236" s="100"/>
      <c r="V4236" s="100"/>
      <c r="W4236" s="100"/>
      <c r="X4236" s="100"/>
      <c r="Y4236" s="100"/>
      <c r="Z4236" s="100"/>
    </row>
    <row r="4237" spans="1:26">
      <c r="A4237" s="100"/>
      <c r="B4237" s="100"/>
      <c r="C4237" s="100"/>
      <c r="D4237" s="100"/>
      <c r="E4237" s="100"/>
      <c r="F4237" s="100"/>
      <c r="G4237" s="100"/>
      <c r="H4237" s="100"/>
      <c r="I4237" s="100"/>
      <c r="J4237" s="100"/>
      <c r="K4237" s="100"/>
      <c r="L4237" s="100"/>
      <c r="M4237" s="100"/>
      <c r="N4237" s="100"/>
      <c r="O4237" s="100"/>
      <c r="P4237" s="100"/>
      <c r="Q4237" s="100"/>
      <c r="R4237" s="100"/>
      <c r="S4237" s="100"/>
      <c r="T4237" s="100"/>
      <c r="U4237" s="100"/>
      <c r="V4237" s="100"/>
      <c r="W4237" s="100"/>
      <c r="X4237" s="100"/>
      <c r="Y4237" s="100"/>
      <c r="Z4237" s="100"/>
    </row>
    <row r="4238" spans="1:26">
      <c r="A4238" s="100"/>
      <c r="B4238" s="100"/>
      <c r="C4238" s="100"/>
      <c r="D4238" s="100"/>
      <c r="E4238" s="100"/>
      <c r="F4238" s="100"/>
      <c r="G4238" s="100"/>
      <c r="H4238" s="100"/>
      <c r="I4238" s="100"/>
      <c r="J4238" s="100"/>
      <c r="K4238" s="100"/>
      <c r="L4238" s="100"/>
      <c r="M4238" s="100"/>
      <c r="N4238" s="100"/>
      <c r="O4238" s="100"/>
      <c r="P4238" s="100"/>
      <c r="Q4238" s="100"/>
      <c r="R4238" s="100"/>
      <c r="S4238" s="100"/>
      <c r="T4238" s="100"/>
      <c r="U4238" s="100"/>
      <c r="V4238" s="100"/>
      <c r="W4238" s="100"/>
      <c r="X4238" s="100"/>
      <c r="Y4238" s="100"/>
      <c r="Z4238" s="100"/>
    </row>
    <row r="4239" spans="1:26">
      <c r="A4239" s="100"/>
      <c r="B4239" s="100"/>
      <c r="C4239" s="100"/>
      <c r="D4239" s="100"/>
      <c r="E4239" s="100"/>
      <c r="F4239" s="100"/>
      <c r="G4239" s="100"/>
      <c r="H4239" s="100"/>
      <c r="I4239" s="100"/>
      <c r="J4239" s="100"/>
      <c r="K4239" s="100"/>
      <c r="L4239" s="100"/>
      <c r="M4239" s="100"/>
      <c r="N4239" s="100"/>
      <c r="O4239" s="100"/>
      <c r="P4239" s="100"/>
      <c r="Q4239" s="100"/>
      <c r="R4239" s="100"/>
      <c r="S4239" s="100"/>
      <c r="T4239" s="100"/>
      <c r="U4239" s="100"/>
      <c r="V4239" s="100"/>
      <c r="W4239" s="100"/>
      <c r="X4239" s="100"/>
      <c r="Y4239" s="100"/>
      <c r="Z4239" s="100"/>
    </row>
    <row r="4240" spans="1:26">
      <c r="A4240" s="100"/>
      <c r="B4240" s="100"/>
      <c r="C4240" s="100"/>
      <c r="D4240" s="100"/>
      <c r="E4240" s="100"/>
      <c r="F4240" s="100"/>
      <c r="G4240" s="100"/>
      <c r="H4240" s="100"/>
      <c r="I4240" s="100"/>
      <c r="J4240" s="100"/>
      <c r="K4240" s="100"/>
      <c r="L4240" s="100"/>
      <c r="M4240" s="100"/>
      <c r="N4240" s="100"/>
      <c r="O4240" s="100"/>
      <c r="P4240" s="100"/>
      <c r="Q4240" s="100"/>
      <c r="R4240" s="100"/>
      <c r="S4240" s="100"/>
      <c r="T4240" s="100"/>
      <c r="U4240" s="100"/>
      <c r="V4240" s="100"/>
      <c r="W4240" s="100"/>
      <c r="X4240" s="100"/>
      <c r="Y4240" s="100"/>
      <c r="Z4240" s="100"/>
    </row>
    <row r="4241" spans="1:26">
      <c r="A4241" s="100"/>
      <c r="B4241" s="100"/>
      <c r="C4241" s="100"/>
      <c r="D4241" s="100"/>
      <c r="E4241" s="100"/>
      <c r="F4241" s="100"/>
      <c r="G4241" s="100"/>
      <c r="H4241" s="100"/>
      <c r="I4241" s="100"/>
      <c r="J4241" s="100"/>
      <c r="K4241" s="100"/>
      <c r="L4241" s="100"/>
      <c r="M4241" s="100"/>
      <c r="N4241" s="100"/>
      <c r="O4241" s="100"/>
      <c r="P4241" s="100"/>
      <c r="Q4241" s="100"/>
      <c r="R4241" s="100"/>
      <c r="S4241" s="100"/>
      <c r="T4241" s="100"/>
      <c r="U4241" s="100"/>
      <c r="V4241" s="100"/>
      <c r="W4241" s="100"/>
      <c r="X4241" s="100"/>
      <c r="Y4241" s="100"/>
      <c r="Z4241" s="100"/>
    </row>
    <row r="4242" spans="1:26">
      <c r="A4242" s="100"/>
      <c r="B4242" s="100"/>
      <c r="C4242" s="100"/>
      <c r="D4242" s="100"/>
      <c r="E4242" s="100"/>
      <c r="F4242" s="100"/>
      <c r="G4242" s="100"/>
      <c r="H4242" s="100"/>
      <c r="I4242" s="100"/>
      <c r="J4242" s="100"/>
      <c r="K4242" s="100"/>
      <c r="L4242" s="100"/>
      <c r="M4242" s="100"/>
      <c r="N4242" s="100"/>
      <c r="O4242" s="100"/>
      <c r="P4242" s="100"/>
      <c r="Q4242" s="100"/>
      <c r="R4242" s="100"/>
      <c r="S4242" s="100"/>
      <c r="T4242" s="100"/>
      <c r="U4242" s="100"/>
      <c r="V4242" s="100"/>
      <c r="W4242" s="100"/>
      <c r="X4242" s="100"/>
      <c r="Y4242" s="100"/>
      <c r="Z4242" s="100"/>
    </row>
    <row r="4243" spans="1:26">
      <c r="A4243" s="100"/>
      <c r="B4243" s="100"/>
      <c r="C4243" s="100"/>
      <c r="D4243" s="100"/>
      <c r="E4243" s="100"/>
      <c r="F4243" s="100"/>
      <c r="G4243" s="100"/>
      <c r="H4243" s="100"/>
      <c r="I4243" s="100"/>
      <c r="J4243" s="100"/>
      <c r="K4243" s="100"/>
      <c r="L4243" s="100"/>
      <c r="M4243" s="100"/>
      <c r="N4243" s="100"/>
      <c r="O4243" s="100"/>
      <c r="P4243" s="100"/>
      <c r="Q4243" s="100"/>
      <c r="R4243" s="100"/>
      <c r="S4243" s="100"/>
      <c r="T4243" s="100"/>
      <c r="U4243" s="100"/>
      <c r="V4243" s="100"/>
      <c r="W4243" s="100"/>
      <c r="X4243" s="100"/>
      <c r="Y4243" s="100"/>
      <c r="Z4243" s="100"/>
    </row>
    <row r="4244" spans="1:26">
      <c r="A4244" s="100"/>
      <c r="B4244" s="100"/>
      <c r="C4244" s="100"/>
      <c r="D4244" s="100"/>
      <c r="E4244" s="100"/>
      <c r="F4244" s="100"/>
      <c r="G4244" s="100"/>
      <c r="H4244" s="100"/>
      <c r="I4244" s="100"/>
      <c r="J4244" s="100"/>
      <c r="K4244" s="100"/>
      <c r="L4244" s="100"/>
      <c r="M4244" s="100"/>
      <c r="N4244" s="100"/>
      <c r="O4244" s="100"/>
      <c r="P4244" s="100"/>
      <c r="Q4244" s="100"/>
      <c r="R4244" s="100"/>
      <c r="S4244" s="100"/>
      <c r="T4244" s="100"/>
      <c r="U4244" s="100"/>
      <c r="V4244" s="100"/>
      <c r="W4244" s="100"/>
      <c r="X4244" s="100"/>
      <c r="Y4244" s="100"/>
      <c r="Z4244" s="100"/>
    </row>
    <row r="4245" spans="1:26">
      <c r="A4245" s="100"/>
      <c r="B4245" s="100"/>
      <c r="C4245" s="100"/>
      <c r="D4245" s="100"/>
      <c r="E4245" s="100"/>
      <c r="F4245" s="100"/>
      <c r="G4245" s="100"/>
      <c r="H4245" s="100"/>
      <c r="I4245" s="100"/>
      <c r="J4245" s="100"/>
      <c r="K4245" s="100"/>
      <c r="L4245" s="100"/>
      <c r="M4245" s="100"/>
      <c r="N4245" s="100"/>
      <c r="O4245" s="100"/>
      <c r="P4245" s="100"/>
      <c r="Q4245" s="100"/>
      <c r="R4245" s="100"/>
      <c r="S4245" s="100"/>
      <c r="T4245" s="100"/>
      <c r="U4245" s="100"/>
      <c r="V4245" s="100"/>
      <c r="W4245" s="100"/>
      <c r="X4245" s="100"/>
      <c r="Y4245" s="100"/>
      <c r="Z4245" s="100"/>
    </row>
    <row r="4246" spans="1:26">
      <c r="A4246" s="100"/>
      <c r="B4246" s="100"/>
      <c r="C4246" s="100"/>
      <c r="D4246" s="100"/>
      <c r="E4246" s="100"/>
      <c r="F4246" s="100"/>
      <c r="G4246" s="100"/>
      <c r="H4246" s="100"/>
      <c r="I4246" s="100"/>
      <c r="J4246" s="100"/>
      <c r="K4246" s="100"/>
      <c r="L4246" s="100"/>
      <c r="M4246" s="100"/>
      <c r="N4246" s="100"/>
      <c r="O4246" s="100"/>
      <c r="P4246" s="100"/>
      <c r="Q4246" s="100"/>
      <c r="R4246" s="100"/>
      <c r="S4246" s="100"/>
      <c r="T4246" s="100"/>
      <c r="U4246" s="100"/>
      <c r="V4246" s="100"/>
      <c r="W4246" s="100"/>
      <c r="X4246" s="100"/>
      <c r="Y4246" s="100"/>
      <c r="Z4246" s="100"/>
    </row>
    <row r="4247" spans="1:26">
      <c r="A4247" s="100"/>
      <c r="B4247" s="100"/>
      <c r="C4247" s="100"/>
      <c r="D4247" s="100"/>
      <c r="E4247" s="100"/>
      <c r="F4247" s="100"/>
      <c r="G4247" s="100"/>
      <c r="H4247" s="100"/>
      <c r="I4247" s="100"/>
      <c r="J4247" s="100"/>
      <c r="K4247" s="100"/>
      <c r="L4247" s="100"/>
      <c r="M4247" s="100"/>
      <c r="N4247" s="100"/>
      <c r="O4247" s="100"/>
      <c r="P4247" s="100"/>
      <c r="Q4247" s="100"/>
      <c r="R4247" s="100"/>
      <c r="S4247" s="100"/>
      <c r="T4247" s="100"/>
      <c r="U4247" s="100"/>
      <c r="V4247" s="100"/>
      <c r="W4247" s="100"/>
      <c r="X4247" s="100"/>
      <c r="Y4247" s="100"/>
      <c r="Z4247" s="100"/>
    </row>
    <row r="4248" spans="1:26">
      <c r="A4248" s="100"/>
      <c r="B4248" s="100"/>
      <c r="C4248" s="100"/>
      <c r="D4248" s="100"/>
      <c r="E4248" s="100"/>
      <c r="F4248" s="100"/>
      <c r="G4248" s="100"/>
      <c r="H4248" s="100"/>
      <c r="I4248" s="100"/>
      <c r="J4248" s="100"/>
      <c r="K4248" s="100"/>
      <c r="L4248" s="100"/>
      <c r="M4248" s="100"/>
      <c r="N4248" s="100"/>
      <c r="O4248" s="100"/>
      <c r="P4248" s="100"/>
      <c r="Q4248" s="100"/>
      <c r="R4248" s="100"/>
      <c r="S4248" s="100"/>
      <c r="T4248" s="100"/>
      <c r="U4248" s="100"/>
      <c r="V4248" s="100"/>
      <c r="W4248" s="100"/>
      <c r="X4248" s="100"/>
      <c r="Y4248" s="100"/>
      <c r="Z4248" s="100"/>
    </row>
    <row r="4249" spans="1:26">
      <c r="A4249" s="100"/>
      <c r="B4249" s="100"/>
      <c r="C4249" s="100"/>
      <c r="D4249" s="100"/>
      <c r="E4249" s="100"/>
      <c r="F4249" s="100"/>
      <c r="G4249" s="100"/>
      <c r="H4249" s="100"/>
      <c r="I4249" s="100"/>
      <c r="J4249" s="100"/>
      <c r="K4249" s="100"/>
      <c r="L4249" s="100"/>
      <c r="M4249" s="100"/>
      <c r="N4249" s="100"/>
      <c r="O4249" s="100"/>
      <c r="P4249" s="100"/>
      <c r="Q4249" s="100"/>
      <c r="R4249" s="100"/>
      <c r="S4249" s="100"/>
      <c r="T4249" s="100"/>
      <c r="U4249" s="100"/>
      <c r="V4249" s="100"/>
      <c r="W4249" s="100"/>
      <c r="X4249" s="100"/>
      <c r="Y4249" s="100"/>
      <c r="Z4249" s="100"/>
    </row>
    <row r="4250" spans="1:26">
      <c r="A4250" s="100"/>
      <c r="B4250" s="100"/>
      <c r="C4250" s="100"/>
      <c r="D4250" s="100"/>
      <c r="E4250" s="100"/>
      <c r="F4250" s="100"/>
      <c r="G4250" s="100"/>
      <c r="H4250" s="100"/>
      <c r="I4250" s="100"/>
      <c r="J4250" s="100"/>
      <c r="K4250" s="100"/>
      <c r="L4250" s="100"/>
      <c r="M4250" s="100"/>
      <c r="N4250" s="100"/>
      <c r="O4250" s="100"/>
      <c r="P4250" s="100"/>
      <c r="Q4250" s="100"/>
      <c r="R4250" s="100"/>
      <c r="S4250" s="100"/>
      <c r="T4250" s="100"/>
      <c r="U4250" s="100"/>
      <c r="V4250" s="100"/>
      <c r="W4250" s="100"/>
      <c r="X4250" s="100"/>
      <c r="Y4250" s="100"/>
      <c r="Z4250" s="100"/>
    </row>
    <row r="4251" spans="1:26">
      <c r="A4251" s="100"/>
      <c r="B4251" s="100"/>
      <c r="C4251" s="100"/>
      <c r="D4251" s="100"/>
      <c r="E4251" s="100"/>
      <c r="F4251" s="100"/>
      <c r="G4251" s="100"/>
      <c r="H4251" s="100"/>
      <c r="I4251" s="100"/>
      <c r="J4251" s="100"/>
      <c r="K4251" s="100"/>
      <c r="L4251" s="100"/>
      <c r="M4251" s="100"/>
      <c r="N4251" s="100"/>
      <c r="O4251" s="100"/>
      <c r="P4251" s="100"/>
      <c r="Q4251" s="100"/>
      <c r="R4251" s="100"/>
      <c r="S4251" s="100"/>
      <c r="T4251" s="100"/>
      <c r="U4251" s="100"/>
      <c r="V4251" s="100"/>
      <c r="W4251" s="100"/>
      <c r="X4251" s="100"/>
      <c r="Y4251" s="100"/>
      <c r="Z4251" s="100"/>
    </row>
    <row r="4252" spans="1:26">
      <c r="A4252" s="100"/>
      <c r="B4252" s="100"/>
      <c r="C4252" s="100"/>
      <c r="D4252" s="100"/>
      <c r="E4252" s="100"/>
      <c r="F4252" s="100"/>
      <c r="G4252" s="100"/>
      <c r="H4252" s="100"/>
      <c r="I4252" s="100"/>
      <c r="J4252" s="100"/>
      <c r="K4252" s="100"/>
      <c r="L4252" s="100"/>
      <c r="M4252" s="100"/>
      <c r="N4252" s="100"/>
      <c r="O4252" s="100"/>
      <c r="P4252" s="100"/>
      <c r="Q4252" s="100"/>
      <c r="R4252" s="100"/>
      <c r="S4252" s="100"/>
      <c r="T4252" s="100"/>
      <c r="U4252" s="100"/>
      <c r="V4252" s="100"/>
      <c r="W4252" s="100"/>
      <c r="X4252" s="100"/>
      <c r="Y4252" s="100"/>
      <c r="Z4252" s="100"/>
    </row>
    <row r="4253" spans="1:26">
      <c r="A4253" s="100"/>
      <c r="B4253" s="100"/>
      <c r="C4253" s="100"/>
      <c r="D4253" s="100"/>
      <c r="E4253" s="100"/>
      <c r="F4253" s="100"/>
      <c r="G4253" s="100"/>
      <c r="H4253" s="100"/>
      <c r="I4253" s="100"/>
      <c r="J4253" s="100"/>
      <c r="K4253" s="100"/>
      <c r="L4253" s="100"/>
      <c r="M4253" s="100"/>
      <c r="N4253" s="100"/>
      <c r="O4253" s="100"/>
      <c r="P4253" s="100"/>
      <c r="Q4253" s="100"/>
      <c r="R4253" s="100"/>
      <c r="S4253" s="100"/>
      <c r="T4253" s="100"/>
      <c r="U4253" s="100"/>
      <c r="V4253" s="100"/>
      <c r="W4253" s="100"/>
      <c r="X4253" s="100"/>
      <c r="Y4253" s="100"/>
      <c r="Z4253" s="100"/>
    </row>
    <row r="4254" spans="1:26">
      <c r="A4254" s="100"/>
      <c r="B4254" s="100"/>
      <c r="C4254" s="100"/>
      <c r="D4254" s="100"/>
      <c r="E4254" s="100"/>
      <c r="F4254" s="100"/>
      <c r="G4254" s="100"/>
      <c r="H4254" s="100"/>
      <c r="I4254" s="100"/>
      <c r="J4254" s="100"/>
      <c r="K4254" s="100"/>
      <c r="L4254" s="100"/>
      <c r="M4254" s="100"/>
      <c r="N4254" s="100"/>
      <c r="O4254" s="100"/>
      <c r="P4254" s="100"/>
      <c r="Q4254" s="100"/>
      <c r="R4254" s="100"/>
      <c r="S4254" s="100"/>
      <c r="T4254" s="100"/>
      <c r="U4254" s="100"/>
      <c r="V4254" s="100"/>
      <c r="W4254" s="100"/>
      <c r="X4254" s="100"/>
      <c r="Y4254" s="100"/>
      <c r="Z4254" s="100"/>
    </row>
    <row r="4255" spans="1:26">
      <c r="A4255" s="100"/>
      <c r="B4255" s="100"/>
      <c r="C4255" s="100"/>
      <c r="D4255" s="100"/>
      <c r="E4255" s="100"/>
      <c r="F4255" s="100"/>
      <c r="G4255" s="100"/>
      <c r="H4255" s="100"/>
      <c r="I4255" s="100"/>
      <c r="J4255" s="100"/>
      <c r="K4255" s="100"/>
      <c r="L4255" s="100"/>
      <c r="M4255" s="100"/>
      <c r="N4255" s="100"/>
      <c r="O4255" s="100"/>
      <c r="P4255" s="100"/>
      <c r="Q4255" s="100"/>
      <c r="R4255" s="100"/>
      <c r="S4255" s="100"/>
      <c r="T4255" s="100"/>
      <c r="U4255" s="100"/>
      <c r="V4255" s="100"/>
      <c r="W4255" s="100"/>
      <c r="X4255" s="100"/>
      <c r="Y4255" s="100"/>
      <c r="Z4255" s="100"/>
    </row>
    <row r="4256" spans="1:26">
      <c r="A4256" s="100"/>
      <c r="B4256" s="100"/>
      <c r="C4256" s="100"/>
      <c r="D4256" s="100"/>
      <c r="E4256" s="100"/>
      <c r="F4256" s="100"/>
      <c r="G4256" s="100"/>
      <c r="H4256" s="100"/>
      <c r="I4256" s="100"/>
      <c r="J4256" s="100"/>
      <c r="K4256" s="100"/>
      <c r="L4256" s="100"/>
      <c r="M4256" s="100"/>
      <c r="N4256" s="100"/>
      <c r="O4256" s="100"/>
      <c r="P4256" s="100"/>
      <c r="Q4256" s="100"/>
      <c r="R4256" s="100"/>
      <c r="S4256" s="100"/>
      <c r="T4256" s="100"/>
      <c r="U4256" s="100"/>
      <c r="V4256" s="100"/>
      <c r="W4256" s="100"/>
      <c r="X4256" s="100"/>
      <c r="Y4256" s="100"/>
      <c r="Z4256" s="100"/>
    </row>
    <row r="4257" spans="1:26">
      <c r="A4257" s="100"/>
      <c r="B4257" s="100"/>
      <c r="C4257" s="100"/>
      <c r="D4257" s="100"/>
      <c r="E4257" s="100"/>
      <c r="F4257" s="100"/>
      <c r="G4257" s="100"/>
      <c r="H4257" s="100"/>
      <c r="I4257" s="100"/>
      <c r="J4257" s="100"/>
      <c r="K4257" s="100"/>
      <c r="L4257" s="100"/>
      <c r="M4257" s="100"/>
      <c r="N4257" s="100"/>
      <c r="O4257" s="100"/>
      <c r="P4257" s="100"/>
      <c r="Q4257" s="100"/>
      <c r="R4257" s="100"/>
      <c r="S4257" s="100"/>
      <c r="T4257" s="100"/>
      <c r="U4257" s="100"/>
      <c r="V4257" s="100"/>
      <c r="W4257" s="100"/>
      <c r="X4257" s="100"/>
      <c r="Y4257" s="100"/>
      <c r="Z4257" s="100"/>
    </row>
    <row r="4258" spans="1:26">
      <c r="A4258" s="100"/>
      <c r="B4258" s="100"/>
      <c r="C4258" s="100"/>
      <c r="D4258" s="100"/>
      <c r="E4258" s="100"/>
      <c r="F4258" s="100"/>
      <c r="G4258" s="100"/>
      <c r="H4258" s="100"/>
      <c r="I4258" s="100"/>
      <c r="J4258" s="100"/>
      <c r="K4258" s="100"/>
      <c r="L4258" s="100"/>
      <c r="M4258" s="100"/>
      <c r="N4258" s="100"/>
      <c r="O4258" s="100"/>
      <c r="P4258" s="100"/>
      <c r="Q4258" s="100"/>
      <c r="R4258" s="100"/>
      <c r="S4258" s="100"/>
      <c r="T4258" s="100"/>
      <c r="U4258" s="100"/>
      <c r="V4258" s="100"/>
      <c r="W4258" s="100"/>
      <c r="X4258" s="100"/>
      <c r="Y4258" s="100"/>
      <c r="Z4258" s="100"/>
    </row>
    <row r="4259" spans="1:26">
      <c r="A4259" s="100"/>
      <c r="B4259" s="100"/>
      <c r="C4259" s="100"/>
      <c r="D4259" s="100"/>
      <c r="E4259" s="100"/>
      <c r="F4259" s="100"/>
      <c r="G4259" s="100"/>
      <c r="H4259" s="100"/>
      <c r="I4259" s="100"/>
      <c r="J4259" s="100"/>
      <c r="K4259" s="100"/>
      <c r="L4259" s="100"/>
      <c r="M4259" s="100"/>
      <c r="N4259" s="100"/>
      <c r="O4259" s="100"/>
      <c r="P4259" s="100"/>
      <c r="Q4259" s="100"/>
      <c r="R4259" s="100"/>
      <c r="S4259" s="100"/>
      <c r="T4259" s="100"/>
      <c r="U4259" s="100"/>
      <c r="V4259" s="100"/>
      <c r="W4259" s="100"/>
      <c r="X4259" s="100"/>
      <c r="Y4259" s="100"/>
      <c r="Z4259" s="100"/>
    </row>
    <row r="4260" spans="1:26">
      <c r="A4260" s="100"/>
      <c r="B4260" s="100"/>
      <c r="C4260" s="100"/>
      <c r="D4260" s="100"/>
      <c r="E4260" s="100"/>
      <c r="F4260" s="100"/>
      <c r="G4260" s="100"/>
      <c r="H4260" s="100"/>
      <c r="I4260" s="100"/>
      <c r="J4260" s="100"/>
      <c r="K4260" s="100"/>
      <c r="L4260" s="100"/>
      <c r="M4260" s="100"/>
      <c r="N4260" s="100"/>
      <c r="O4260" s="100"/>
      <c r="P4260" s="100"/>
      <c r="Q4260" s="100"/>
      <c r="R4260" s="100"/>
      <c r="S4260" s="100"/>
      <c r="T4260" s="100"/>
      <c r="U4260" s="100"/>
      <c r="V4260" s="100"/>
      <c r="W4260" s="100"/>
      <c r="X4260" s="100"/>
      <c r="Y4260" s="100"/>
      <c r="Z4260" s="100"/>
    </row>
    <row r="4261" spans="1:26">
      <c r="A4261" s="100"/>
      <c r="B4261" s="100"/>
      <c r="C4261" s="100"/>
      <c r="D4261" s="100"/>
      <c r="E4261" s="100"/>
      <c r="F4261" s="100"/>
      <c r="G4261" s="100"/>
      <c r="H4261" s="100"/>
      <c r="I4261" s="100"/>
      <c r="J4261" s="100"/>
      <c r="K4261" s="100"/>
      <c r="L4261" s="100"/>
      <c r="M4261" s="100"/>
      <c r="N4261" s="100"/>
      <c r="O4261" s="100"/>
      <c r="P4261" s="100"/>
      <c r="Q4261" s="100"/>
      <c r="R4261" s="100"/>
      <c r="S4261" s="100"/>
      <c r="T4261" s="100"/>
      <c r="U4261" s="100"/>
      <c r="V4261" s="100"/>
      <c r="W4261" s="100"/>
      <c r="X4261" s="100"/>
      <c r="Y4261" s="100"/>
      <c r="Z4261" s="100"/>
    </row>
    <row r="4262" spans="1:26">
      <c r="A4262" s="100"/>
      <c r="B4262" s="100"/>
      <c r="C4262" s="100"/>
      <c r="D4262" s="100"/>
      <c r="E4262" s="100"/>
      <c r="F4262" s="100"/>
      <c r="G4262" s="100"/>
      <c r="H4262" s="100"/>
      <c r="I4262" s="100"/>
      <c r="J4262" s="100"/>
      <c r="K4262" s="100"/>
      <c r="L4262" s="100"/>
      <c r="M4262" s="100"/>
      <c r="N4262" s="100"/>
      <c r="O4262" s="100"/>
      <c r="P4262" s="100"/>
      <c r="Q4262" s="100"/>
      <c r="R4262" s="100"/>
      <c r="S4262" s="100"/>
      <c r="T4262" s="100"/>
      <c r="U4262" s="100"/>
      <c r="V4262" s="100"/>
      <c r="W4262" s="100"/>
      <c r="X4262" s="100"/>
      <c r="Y4262" s="100"/>
      <c r="Z4262" s="100"/>
    </row>
    <row r="4263" spans="1:26">
      <c r="A4263" s="100"/>
      <c r="B4263" s="100"/>
      <c r="C4263" s="100"/>
      <c r="D4263" s="100"/>
      <c r="E4263" s="100"/>
      <c r="F4263" s="100"/>
      <c r="G4263" s="100"/>
      <c r="H4263" s="100"/>
      <c r="I4263" s="100"/>
      <c r="J4263" s="100"/>
      <c r="K4263" s="100"/>
      <c r="L4263" s="100"/>
      <c r="M4263" s="100"/>
      <c r="N4263" s="100"/>
      <c r="O4263" s="100"/>
      <c r="P4263" s="100"/>
      <c r="Q4263" s="100"/>
      <c r="R4263" s="100"/>
      <c r="S4263" s="100"/>
      <c r="T4263" s="100"/>
      <c r="U4263" s="100"/>
      <c r="V4263" s="100"/>
      <c r="W4263" s="100"/>
      <c r="X4263" s="100"/>
      <c r="Y4263" s="100"/>
      <c r="Z4263" s="100"/>
    </row>
    <row r="4264" spans="1:26">
      <c r="A4264" s="100"/>
      <c r="B4264" s="100"/>
      <c r="C4264" s="100"/>
      <c r="D4264" s="100"/>
      <c r="E4264" s="100"/>
      <c r="F4264" s="100"/>
      <c r="G4264" s="100"/>
      <c r="H4264" s="100"/>
      <c r="I4264" s="100"/>
      <c r="J4264" s="100"/>
      <c r="K4264" s="100"/>
      <c r="L4264" s="100"/>
      <c r="M4264" s="100"/>
      <c r="N4264" s="100"/>
      <c r="O4264" s="100"/>
      <c r="P4264" s="100"/>
      <c r="Q4264" s="100"/>
      <c r="R4264" s="100"/>
      <c r="S4264" s="100"/>
      <c r="T4264" s="100"/>
      <c r="U4264" s="100"/>
      <c r="V4264" s="100"/>
      <c r="W4264" s="100"/>
      <c r="X4264" s="100"/>
      <c r="Y4264" s="100"/>
      <c r="Z4264" s="100"/>
    </row>
    <row r="4265" spans="1:26">
      <c r="A4265" s="100"/>
      <c r="B4265" s="100"/>
      <c r="C4265" s="100"/>
      <c r="D4265" s="100"/>
      <c r="E4265" s="100"/>
      <c r="F4265" s="100"/>
      <c r="G4265" s="100"/>
      <c r="H4265" s="100"/>
      <c r="I4265" s="100"/>
      <c r="J4265" s="100"/>
      <c r="K4265" s="100"/>
      <c r="L4265" s="100"/>
      <c r="M4265" s="100"/>
      <c r="N4265" s="100"/>
      <c r="O4265" s="100"/>
      <c r="P4265" s="100"/>
      <c r="Q4265" s="100"/>
      <c r="R4265" s="100"/>
      <c r="S4265" s="100"/>
      <c r="T4265" s="100"/>
      <c r="U4265" s="100"/>
      <c r="V4265" s="100"/>
      <c r="W4265" s="100"/>
      <c r="X4265" s="100"/>
      <c r="Y4265" s="100"/>
      <c r="Z4265" s="100"/>
    </row>
    <row r="4266" spans="1:26">
      <c r="A4266" s="100"/>
      <c r="B4266" s="100"/>
      <c r="C4266" s="100"/>
      <c r="D4266" s="100"/>
      <c r="E4266" s="100"/>
      <c r="F4266" s="100"/>
      <c r="G4266" s="100"/>
      <c r="H4266" s="100"/>
      <c r="I4266" s="100"/>
      <c r="J4266" s="100"/>
      <c r="K4266" s="100"/>
      <c r="L4266" s="100"/>
      <c r="M4266" s="100"/>
      <c r="N4266" s="100"/>
      <c r="O4266" s="100"/>
      <c r="P4266" s="100"/>
      <c r="Q4266" s="100"/>
      <c r="R4266" s="100"/>
      <c r="S4266" s="100"/>
      <c r="T4266" s="100"/>
      <c r="U4266" s="100"/>
      <c r="V4266" s="100"/>
      <c r="W4266" s="100"/>
      <c r="X4266" s="100"/>
      <c r="Y4266" s="100"/>
      <c r="Z4266" s="100"/>
    </row>
    <row r="4267" spans="1:26">
      <c r="A4267" s="100"/>
      <c r="B4267" s="100"/>
      <c r="C4267" s="100"/>
      <c r="D4267" s="100"/>
      <c r="E4267" s="100"/>
      <c r="F4267" s="100"/>
      <c r="G4267" s="100"/>
      <c r="H4267" s="100"/>
      <c r="I4267" s="100"/>
      <c r="J4267" s="100"/>
      <c r="K4267" s="100"/>
      <c r="L4267" s="100"/>
      <c r="M4267" s="100"/>
      <c r="N4267" s="100"/>
      <c r="O4267" s="100"/>
      <c r="P4267" s="100"/>
      <c r="Q4267" s="100"/>
      <c r="R4267" s="100"/>
      <c r="S4267" s="100"/>
      <c r="T4267" s="100"/>
      <c r="U4267" s="100"/>
      <c r="V4267" s="100"/>
      <c r="W4267" s="100"/>
      <c r="X4267" s="100"/>
      <c r="Y4267" s="100"/>
      <c r="Z4267" s="100"/>
    </row>
    <row r="4268" spans="1:26">
      <c r="A4268" s="100"/>
      <c r="B4268" s="100"/>
      <c r="C4268" s="100"/>
      <c r="D4268" s="100"/>
      <c r="E4268" s="100"/>
      <c r="F4268" s="100"/>
      <c r="G4268" s="100"/>
      <c r="H4268" s="100"/>
      <c r="I4268" s="100"/>
      <c r="J4268" s="100"/>
      <c r="K4268" s="100"/>
      <c r="L4268" s="100"/>
      <c r="M4268" s="100"/>
      <c r="N4268" s="100"/>
      <c r="O4268" s="100"/>
      <c r="P4268" s="100"/>
      <c r="Q4268" s="100"/>
      <c r="R4268" s="100"/>
      <c r="S4268" s="100"/>
      <c r="T4268" s="100"/>
      <c r="U4268" s="100"/>
      <c r="V4268" s="100"/>
      <c r="W4268" s="100"/>
      <c r="X4268" s="100"/>
      <c r="Y4268" s="100"/>
      <c r="Z4268" s="100"/>
    </row>
    <row r="4269" spans="1:26">
      <c r="A4269" s="100"/>
      <c r="B4269" s="100"/>
      <c r="C4269" s="100"/>
      <c r="D4269" s="100"/>
      <c r="E4269" s="100"/>
      <c r="F4269" s="100"/>
      <c r="G4269" s="100"/>
      <c r="H4269" s="100"/>
      <c r="I4269" s="100"/>
      <c r="J4269" s="100"/>
      <c r="K4269" s="100"/>
      <c r="L4269" s="100"/>
      <c r="M4269" s="100"/>
      <c r="N4269" s="100"/>
      <c r="O4269" s="100"/>
      <c r="P4269" s="100"/>
      <c r="Q4269" s="100"/>
      <c r="R4269" s="100"/>
      <c r="S4269" s="100"/>
      <c r="T4269" s="100"/>
      <c r="U4269" s="100"/>
      <c r="V4269" s="100"/>
      <c r="W4269" s="100"/>
      <c r="X4269" s="100"/>
      <c r="Y4269" s="100"/>
      <c r="Z4269" s="100"/>
    </row>
    <row r="4270" spans="1:26">
      <c r="A4270" s="100"/>
      <c r="B4270" s="100"/>
      <c r="C4270" s="100"/>
      <c r="D4270" s="100"/>
      <c r="E4270" s="100"/>
      <c r="F4270" s="100"/>
      <c r="G4270" s="100"/>
      <c r="H4270" s="100"/>
      <c r="I4270" s="100"/>
      <c r="J4270" s="100"/>
      <c r="K4270" s="100"/>
      <c r="L4270" s="100"/>
      <c r="M4270" s="100"/>
      <c r="N4270" s="100"/>
      <c r="O4270" s="100"/>
      <c r="P4270" s="100"/>
      <c r="Q4270" s="100"/>
      <c r="R4270" s="100"/>
      <c r="S4270" s="100"/>
      <c r="T4270" s="100"/>
      <c r="U4270" s="100"/>
      <c r="V4270" s="100"/>
      <c r="W4270" s="100"/>
      <c r="X4270" s="100"/>
      <c r="Y4270" s="100"/>
      <c r="Z4270" s="100"/>
    </row>
    <row r="4271" spans="1:26">
      <c r="A4271" s="100"/>
      <c r="B4271" s="100"/>
      <c r="C4271" s="100"/>
      <c r="D4271" s="100"/>
      <c r="E4271" s="100"/>
      <c r="F4271" s="100"/>
      <c r="G4271" s="100"/>
      <c r="H4271" s="100"/>
      <c r="I4271" s="100"/>
      <c r="J4271" s="100"/>
      <c r="K4271" s="100"/>
      <c r="L4271" s="100"/>
      <c r="M4271" s="100"/>
      <c r="N4271" s="100"/>
      <c r="O4271" s="100"/>
      <c r="P4271" s="100"/>
      <c r="Q4271" s="100"/>
      <c r="R4271" s="100"/>
      <c r="S4271" s="100"/>
      <c r="T4271" s="100"/>
      <c r="U4271" s="100"/>
      <c r="V4271" s="100"/>
      <c r="W4271" s="100"/>
      <c r="X4271" s="100"/>
      <c r="Y4271" s="100"/>
      <c r="Z4271" s="100"/>
    </row>
    <row r="4272" spans="1:26">
      <c r="A4272" s="100"/>
      <c r="B4272" s="100"/>
      <c r="C4272" s="100"/>
      <c r="D4272" s="100"/>
      <c r="E4272" s="100"/>
      <c r="F4272" s="100"/>
      <c r="G4272" s="100"/>
      <c r="H4272" s="100"/>
      <c r="I4272" s="100"/>
      <c r="J4272" s="100"/>
      <c r="K4272" s="100"/>
      <c r="L4272" s="100"/>
      <c r="M4272" s="100"/>
      <c r="N4272" s="100"/>
      <c r="O4272" s="100"/>
      <c r="P4272" s="100"/>
      <c r="Q4272" s="100"/>
      <c r="R4272" s="100"/>
      <c r="S4272" s="100"/>
      <c r="T4272" s="100"/>
      <c r="U4272" s="100"/>
      <c r="V4272" s="100"/>
      <c r="W4272" s="100"/>
      <c r="X4272" s="100"/>
      <c r="Y4272" s="100"/>
      <c r="Z4272" s="100"/>
    </row>
    <row r="4273" spans="1:26">
      <c r="A4273" s="100"/>
      <c r="B4273" s="100"/>
      <c r="C4273" s="100"/>
      <c r="D4273" s="100"/>
      <c r="E4273" s="100"/>
      <c r="F4273" s="100"/>
      <c r="G4273" s="100"/>
      <c r="H4273" s="100"/>
      <c r="I4273" s="100"/>
      <c r="J4273" s="100"/>
      <c r="K4273" s="100"/>
      <c r="L4273" s="100"/>
      <c r="M4273" s="100"/>
      <c r="N4273" s="100"/>
      <c r="O4273" s="100"/>
      <c r="P4273" s="100"/>
      <c r="Q4273" s="100"/>
      <c r="R4273" s="100"/>
      <c r="S4273" s="100"/>
      <c r="T4273" s="100"/>
      <c r="U4273" s="100"/>
      <c r="V4273" s="100"/>
      <c r="W4273" s="100"/>
      <c r="X4273" s="100"/>
      <c r="Y4273" s="100"/>
      <c r="Z4273" s="100"/>
    </row>
    <row r="4274" spans="1:26">
      <c r="A4274" s="100"/>
      <c r="B4274" s="100"/>
      <c r="C4274" s="100"/>
      <c r="D4274" s="100"/>
      <c r="E4274" s="100"/>
      <c r="F4274" s="100"/>
      <c r="G4274" s="100"/>
      <c r="H4274" s="100"/>
      <c r="I4274" s="100"/>
      <c r="J4274" s="100"/>
      <c r="K4274" s="100"/>
      <c r="L4274" s="100"/>
      <c r="M4274" s="100"/>
      <c r="N4274" s="100"/>
      <c r="O4274" s="100"/>
      <c r="P4274" s="100"/>
      <c r="Q4274" s="100"/>
      <c r="R4274" s="100"/>
      <c r="S4274" s="100"/>
      <c r="T4274" s="100"/>
      <c r="U4274" s="100"/>
      <c r="V4274" s="100"/>
      <c r="W4274" s="100"/>
      <c r="X4274" s="100"/>
      <c r="Y4274" s="100"/>
      <c r="Z4274" s="100"/>
    </row>
    <row r="4275" spans="1:26">
      <c r="A4275" s="100"/>
      <c r="B4275" s="100"/>
      <c r="C4275" s="100"/>
      <c r="D4275" s="100"/>
      <c r="E4275" s="100"/>
      <c r="F4275" s="100"/>
      <c r="G4275" s="100"/>
      <c r="H4275" s="100"/>
      <c r="I4275" s="100"/>
      <c r="J4275" s="100"/>
      <c r="K4275" s="100"/>
      <c r="L4275" s="100"/>
      <c r="M4275" s="100"/>
      <c r="N4275" s="100"/>
      <c r="O4275" s="100"/>
      <c r="P4275" s="100"/>
      <c r="Q4275" s="100"/>
      <c r="R4275" s="100"/>
      <c r="S4275" s="100"/>
      <c r="T4275" s="100"/>
      <c r="U4275" s="100"/>
      <c r="V4275" s="100"/>
      <c r="W4275" s="100"/>
      <c r="X4275" s="100"/>
      <c r="Y4275" s="100"/>
      <c r="Z4275" s="100"/>
    </row>
    <row r="4276" spans="1:26">
      <c r="A4276" s="100"/>
      <c r="B4276" s="100"/>
      <c r="C4276" s="100"/>
      <c r="D4276" s="100"/>
      <c r="E4276" s="100"/>
      <c r="F4276" s="100"/>
      <c r="G4276" s="100"/>
      <c r="H4276" s="100"/>
      <c r="I4276" s="100"/>
      <c r="J4276" s="100"/>
      <c r="K4276" s="100"/>
      <c r="L4276" s="100"/>
      <c r="M4276" s="100"/>
      <c r="N4276" s="100"/>
      <c r="O4276" s="100"/>
      <c r="P4276" s="100"/>
      <c r="Q4276" s="100"/>
      <c r="R4276" s="100"/>
      <c r="S4276" s="100"/>
      <c r="T4276" s="100"/>
      <c r="U4276" s="100"/>
      <c r="V4276" s="100"/>
      <c r="W4276" s="100"/>
      <c r="X4276" s="100"/>
      <c r="Y4276" s="100"/>
      <c r="Z4276" s="100"/>
    </row>
    <row r="4277" spans="1:26">
      <c r="A4277" s="100"/>
      <c r="B4277" s="100"/>
      <c r="C4277" s="100"/>
      <c r="D4277" s="100"/>
      <c r="E4277" s="100"/>
      <c r="F4277" s="100"/>
      <c r="G4277" s="100"/>
      <c r="H4277" s="100"/>
      <c r="I4277" s="100"/>
      <c r="J4277" s="100"/>
      <c r="K4277" s="100"/>
      <c r="L4277" s="100"/>
      <c r="M4277" s="100"/>
      <c r="N4277" s="100"/>
      <c r="O4277" s="100"/>
      <c r="P4277" s="100"/>
      <c r="Q4277" s="100"/>
      <c r="R4277" s="100"/>
      <c r="S4277" s="100"/>
      <c r="T4277" s="100"/>
      <c r="U4277" s="100"/>
      <c r="V4277" s="100"/>
      <c r="W4277" s="100"/>
      <c r="X4277" s="100"/>
      <c r="Y4277" s="100"/>
      <c r="Z4277" s="100"/>
    </row>
    <row r="4278" spans="1:26">
      <c r="A4278" s="100"/>
      <c r="B4278" s="100"/>
      <c r="C4278" s="100"/>
      <c r="D4278" s="100"/>
      <c r="E4278" s="100"/>
      <c r="F4278" s="100"/>
      <c r="G4278" s="100"/>
      <c r="H4278" s="100"/>
      <c r="I4278" s="100"/>
      <c r="J4278" s="100"/>
      <c r="K4278" s="100"/>
      <c r="L4278" s="100"/>
      <c r="M4278" s="100"/>
      <c r="N4278" s="100"/>
      <c r="O4278" s="100"/>
      <c r="P4278" s="100"/>
      <c r="Q4278" s="100"/>
      <c r="R4278" s="100"/>
      <c r="S4278" s="100"/>
      <c r="T4278" s="100"/>
      <c r="U4278" s="100"/>
      <c r="V4278" s="100"/>
      <c r="W4278" s="100"/>
      <c r="X4278" s="100"/>
      <c r="Y4278" s="100"/>
      <c r="Z4278" s="100"/>
    </row>
    <row r="4279" spans="1:26">
      <c r="A4279" s="100"/>
      <c r="B4279" s="100"/>
      <c r="C4279" s="100"/>
      <c r="D4279" s="100"/>
      <c r="E4279" s="100"/>
      <c r="F4279" s="100"/>
      <c r="G4279" s="100"/>
      <c r="H4279" s="100"/>
      <c r="I4279" s="100"/>
      <c r="J4279" s="100"/>
      <c r="K4279" s="100"/>
      <c r="L4279" s="100"/>
      <c r="M4279" s="100"/>
      <c r="N4279" s="100"/>
      <c r="O4279" s="100"/>
      <c r="P4279" s="100"/>
      <c r="Q4279" s="100"/>
      <c r="R4279" s="100"/>
      <c r="S4279" s="100"/>
      <c r="T4279" s="100"/>
      <c r="U4279" s="100"/>
      <c r="V4279" s="100"/>
      <c r="W4279" s="100"/>
      <c r="X4279" s="100"/>
      <c r="Y4279" s="100"/>
      <c r="Z4279" s="100"/>
    </row>
    <row r="4280" spans="1:26">
      <c r="A4280" s="100"/>
      <c r="B4280" s="100"/>
      <c r="C4280" s="100"/>
      <c r="D4280" s="100"/>
      <c r="E4280" s="100"/>
      <c r="F4280" s="100"/>
      <c r="G4280" s="100"/>
      <c r="H4280" s="100"/>
      <c r="I4280" s="100"/>
      <c r="J4280" s="100"/>
      <c r="K4280" s="100"/>
      <c r="L4280" s="100"/>
      <c r="M4280" s="100"/>
      <c r="N4280" s="100"/>
      <c r="O4280" s="100"/>
      <c r="P4280" s="100"/>
      <c r="Q4280" s="100"/>
      <c r="R4280" s="100"/>
      <c r="S4280" s="100"/>
      <c r="T4280" s="100"/>
      <c r="U4280" s="100"/>
      <c r="V4280" s="100"/>
      <c r="W4280" s="100"/>
      <c r="X4280" s="100"/>
      <c r="Y4280" s="100"/>
      <c r="Z4280" s="100"/>
    </row>
    <row r="4281" spans="1:26">
      <c r="A4281" s="100"/>
      <c r="B4281" s="100"/>
      <c r="C4281" s="100"/>
      <c r="D4281" s="100"/>
      <c r="E4281" s="100"/>
      <c r="F4281" s="100"/>
      <c r="G4281" s="100"/>
      <c r="H4281" s="100"/>
      <c r="I4281" s="100"/>
      <c r="J4281" s="100"/>
      <c r="K4281" s="100"/>
      <c r="L4281" s="100"/>
      <c r="M4281" s="100"/>
      <c r="N4281" s="100"/>
      <c r="O4281" s="100"/>
      <c r="P4281" s="100"/>
      <c r="Q4281" s="100"/>
      <c r="R4281" s="100"/>
      <c r="S4281" s="100"/>
      <c r="T4281" s="100"/>
      <c r="U4281" s="100"/>
      <c r="V4281" s="100"/>
      <c r="W4281" s="100"/>
      <c r="X4281" s="100"/>
      <c r="Y4281" s="100"/>
      <c r="Z4281" s="100"/>
    </row>
    <row r="4282" spans="1:26">
      <c r="A4282" s="100"/>
      <c r="B4282" s="100"/>
      <c r="C4282" s="100"/>
      <c r="D4282" s="100"/>
      <c r="E4282" s="100"/>
      <c r="F4282" s="100"/>
      <c r="G4282" s="100"/>
      <c r="H4282" s="100"/>
      <c r="I4282" s="100"/>
      <c r="J4282" s="100"/>
      <c r="K4282" s="100"/>
      <c r="L4282" s="100"/>
      <c r="M4282" s="100"/>
      <c r="N4282" s="100"/>
      <c r="O4282" s="100"/>
      <c r="P4282" s="100"/>
      <c r="Q4282" s="100"/>
      <c r="R4282" s="100"/>
      <c r="S4282" s="100"/>
      <c r="T4282" s="100"/>
      <c r="U4282" s="100"/>
      <c r="V4282" s="100"/>
      <c r="W4282" s="100"/>
      <c r="X4282" s="100"/>
      <c r="Y4282" s="100"/>
      <c r="Z4282" s="100"/>
    </row>
    <row r="4283" spans="1:26">
      <c r="A4283" s="100"/>
      <c r="B4283" s="100"/>
      <c r="C4283" s="100"/>
      <c r="D4283" s="100"/>
      <c r="E4283" s="100"/>
      <c r="F4283" s="100"/>
      <c r="G4283" s="100"/>
      <c r="H4283" s="100"/>
      <c r="I4283" s="100"/>
      <c r="J4283" s="100"/>
      <c r="K4283" s="100"/>
      <c r="L4283" s="100"/>
      <c r="M4283" s="100"/>
      <c r="N4283" s="100"/>
      <c r="O4283" s="100"/>
      <c r="P4283" s="100"/>
      <c r="Q4283" s="100"/>
      <c r="R4283" s="100"/>
      <c r="S4283" s="100"/>
      <c r="T4283" s="100"/>
      <c r="U4283" s="100"/>
      <c r="V4283" s="100"/>
      <c r="W4283" s="100"/>
      <c r="X4283" s="100"/>
      <c r="Y4283" s="100"/>
      <c r="Z4283" s="100"/>
    </row>
    <row r="4284" spans="1:26">
      <c r="A4284" s="100"/>
      <c r="B4284" s="100"/>
      <c r="C4284" s="100"/>
      <c r="D4284" s="100"/>
      <c r="E4284" s="100"/>
      <c r="F4284" s="100"/>
      <c r="G4284" s="100"/>
      <c r="H4284" s="100"/>
      <c r="I4284" s="100"/>
      <c r="J4284" s="100"/>
      <c r="K4284" s="100"/>
      <c r="L4284" s="100"/>
      <c r="M4284" s="100"/>
      <c r="N4284" s="100"/>
      <c r="O4284" s="100"/>
      <c r="P4284" s="100"/>
      <c r="Q4284" s="100"/>
      <c r="R4284" s="100"/>
      <c r="S4284" s="100"/>
      <c r="T4284" s="100"/>
      <c r="U4284" s="100"/>
      <c r="V4284" s="100"/>
      <c r="W4284" s="100"/>
      <c r="X4284" s="100"/>
      <c r="Y4284" s="100"/>
      <c r="Z4284" s="100"/>
    </row>
    <row r="4285" spans="1:26">
      <c r="A4285" s="100"/>
      <c r="B4285" s="100"/>
      <c r="C4285" s="100"/>
      <c r="D4285" s="100"/>
      <c r="E4285" s="100"/>
      <c r="F4285" s="100"/>
      <c r="G4285" s="100"/>
      <c r="H4285" s="100"/>
      <c r="I4285" s="100"/>
      <c r="J4285" s="100"/>
      <c r="K4285" s="100"/>
      <c r="L4285" s="100"/>
      <c r="M4285" s="100"/>
      <c r="N4285" s="100"/>
      <c r="O4285" s="100"/>
      <c r="P4285" s="100"/>
      <c r="Q4285" s="100"/>
      <c r="R4285" s="100"/>
      <c r="S4285" s="100"/>
      <c r="T4285" s="100"/>
      <c r="U4285" s="100"/>
      <c r="V4285" s="100"/>
      <c r="W4285" s="100"/>
      <c r="X4285" s="100"/>
      <c r="Y4285" s="100"/>
      <c r="Z4285" s="100"/>
    </row>
    <row r="4286" spans="1:26">
      <c r="A4286" s="100"/>
      <c r="B4286" s="100"/>
      <c r="C4286" s="100"/>
      <c r="D4286" s="100"/>
      <c r="E4286" s="100"/>
      <c r="F4286" s="100"/>
      <c r="G4286" s="100"/>
      <c r="H4286" s="100"/>
      <c r="I4286" s="100"/>
      <c r="J4286" s="100"/>
      <c r="K4286" s="100"/>
      <c r="L4286" s="100"/>
      <c r="M4286" s="100"/>
      <c r="N4286" s="100"/>
      <c r="O4286" s="100"/>
      <c r="P4286" s="100"/>
      <c r="Q4286" s="100"/>
      <c r="R4286" s="100"/>
      <c r="S4286" s="100"/>
      <c r="T4286" s="100"/>
      <c r="U4286" s="100"/>
      <c r="V4286" s="100"/>
      <c r="W4286" s="100"/>
      <c r="X4286" s="100"/>
      <c r="Y4286" s="100"/>
      <c r="Z4286" s="100"/>
    </row>
    <row r="4287" spans="1:26">
      <c r="A4287" s="100"/>
      <c r="B4287" s="100"/>
      <c r="C4287" s="100"/>
      <c r="D4287" s="100"/>
      <c r="E4287" s="100"/>
      <c r="F4287" s="100"/>
      <c r="G4287" s="100"/>
      <c r="H4287" s="100"/>
      <c r="I4287" s="100"/>
      <c r="J4287" s="100"/>
      <c r="K4287" s="100"/>
      <c r="L4287" s="100"/>
      <c r="M4287" s="100"/>
      <c r="N4287" s="100"/>
      <c r="O4287" s="100"/>
      <c r="P4287" s="100"/>
      <c r="Q4287" s="100"/>
      <c r="R4287" s="100"/>
      <c r="S4287" s="100"/>
      <c r="T4287" s="100"/>
      <c r="U4287" s="100"/>
      <c r="V4287" s="100"/>
      <c r="W4287" s="100"/>
      <c r="X4287" s="100"/>
      <c r="Y4287" s="100"/>
      <c r="Z4287" s="100"/>
    </row>
    <row r="4288" spans="1:26">
      <c r="A4288" s="100"/>
      <c r="B4288" s="100"/>
      <c r="C4288" s="100"/>
      <c r="D4288" s="100"/>
      <c r="E4288" s="100"/>
      <c r="F4288" s="100"/>
      <c r="G4288" s="100"/>
      <c r="H4288" s="100"/>
      <c r="I4288" s="100"/>
      <c r="J4288" s="100"/>
      <c r="K4288" s="100"/>
      <c r="L4288" s="100"/>
      <c r="M4288" s="100"/>
      <c r="N4288" s="100"/>
      <c r="O4288" s="100"/>
      <c r="P4288" s="100"/>
      <c r="Q4288" s="100"/>
      <c r="R4288" s="100"/>
      <c r="S4288" s="100"/>
      <c r="T4288" s="100"/>
      <c r="U4288" s="100"/>
      <c r="V4288" s="100"/>
      <c r="W4288" s="100"/>
      <c r="X4288" s="100"/>
      <c r="Y4288" s="100"/>
      <c r="Z4288" s="100"/>
    </row>
    <row r="4289" spans="1:26">
      <c r="A4289" s="100"/>
      <c r="B4289" s="100"/>
      <c r="C4289" s="100"/>
      <c r="D4289" s="100"/>
      <c r="E4289" s="100"/>
      <c r="F4289" s="100"/>
      <c r="G4289" s="100"/>
      <c r="H4289" s="100"/>
      <c r="I4289" s="100"/>
      <c r="J4289" s="100"/>
      <c r="K4289" s="100"/>
      <c r="L4289" s="100"/>
      <c r="M4289" s="100"/>
      <c r="N4289" s="100"/>
      <c r="O4289" s="100"/>
      <c r="P4289" s="100"/>
      <c r="Q4289" s="100"/>
      <c r="R4289" s="100"/>
      <c r="S4289" s="100"/>
      <c r="T4289" s="100"/>
      <c r="U4289" s="100"/>
      <c r="V4289" s="100"/>
      <c r="W4289" s="100"/>
      <c r="X4289" s="100"/>
      <c r="Y4289" s="100"/>
      <c r="Z4289" s="100"/>
    </row>
    <row r="4290" spans="1:26">
      <c r="A4290" s="100"/>
      <c r="B4290" s="100"/>
      <c r="C4290" s="100"/>
      <c r="D4290" s="100"/>
      <c r="E4290" s="100"/>
      <c r="F4290" s="100"/>
      <c r="G4290" s="100"/>
      <c r="H4290" s="100"/>
      <c r="I4290" s="100"/>
      <c r="J4290" s="100"/>
      <c r="K4290" s="100"/>
      <c r="L4290" s="100"/>
      <c r="M4290" s="100"/>
      <c r="N4290" s="100"/>
      <c r="O4290" s="100"/>
      <c r="P4290" s="100"/>
      <c r="Q4290" s="100"/>
      <c r="R4290" s="100"/>
      <c r="S4290" s="100"/>
      <c r="T4290" s="100"/>
      <c r="U4290" s="100"/>
      <c r="V4290" s="100"/>
      <c r="W4290" s="100"/>
      <c r="X4290" s="100"/>
      <c r="Y4290" s="100"/>
      <c r="Z4290" s="100"/>
    </row>
    <row r="4291" spans="1:26">
      <c r="A4291" s="100"/>
      <c r="B4291" s="100"/>
      <c r="C4291" s="100"/>
      <c r="D4291" s="100"/>
      <c r="E4291" s="100"/>
      <c r="F4291" s="100"/>
      <c r="G4291" s="100"/>
      <c r="H4291" s="100"/>
      <c r="I4291" s="100"/>
      <c r="J4291" s="100"/>
      <c r="K4291" s="100"/>
      <c r="L4291" s="100"/>
      <c r="M4291" s="100"/>
      <c r="N4291" s="100"/>
      <c r="O4291" s="100"/>
      <c r="P4291" s="100"/>
      <c r="Q4291" s="100"/>
      <c r="R4291" s="100"/>
      <c r="S4291" s="100"/>
      <c r="T4291" s="100"/>
      <c r="U4291" s="100"/>
      <c r="V4291" s="100"/>
      <c r="W4291" s="100"/>
      <c r="X4291" s="100"/>
      <c r="Y4291" s="100"/>
      <c r="Z4291" s="100"/>
    </row>
    <row r="4292" spans="1:26">
      <c r="A4292" s="100"/>
      <c r="B4292" s="100"/>
      <c r="C4292" s="100"/>
      <c r="D4292" s="100"/>
      <c r="E4292" s="100"/>
      <c r="F4292" s="100"/>
      <c r="G4292" s="100"/>
      <c r="H4292" s="100"/>
      <c r="I4292" s="100"/>
      <c r="J4292" s="100"/>
      <c r="K4292" s="100"/>
      <c r="L4292" s="100"/>
      <c r="M4292" s="100"/>
      <c r="N4292" s="100"/>
      <c r="O4292" s="100"/>
      <c r="P4292" s="100"/>
      <c r="Q4292" s="100"/>
      <c r="R4292" s="100"/>
      <c r="S4292" s="100"/>
      <c r="T4292" s="100"/>
      <c r="U4292" s="100"/>
      <c r="V4292" s="100"/>
      <c r="W4292" s="100"/>
      <c r="X4292" s="100"/>
      <c r="Y4292" s="100"/>
      <c r="Z4292" s="100"/>
    </row>
    <row r="4293" spans="1:26">
      <c r="A4293" s="100"/>
      <c r="B4293" s="100"/>
      <c r="C4293" s="100"/>
      <c r="D4293" s="100"/>
      <c r="E4293" s="100"/>
      <c r="F4293" s="100"/>
      <c r="G4293" s="100"/>
      <c r="H4293" s="100"/>
      <c r="I4293" s="100"/>
      <c r="J4293" s="100"/>
      <c r="K4293" s="100"/>
      <c r="L4293" s="100"/>
      <c r="M4293" s="100"/>
      <c r="N4293" s="100"/>
      <c r="O4293" s="100"/>
      <c r="P4293" s="100"/>
      <c r="Q4293" s="100"/>
      <c r="R4293" s="100"/>
      <c r="S4293" s="100"/>
      <c r="T4293" s="100"/>
      <c r="U4293" s="100"/>
      <c r="V4293" s="100"/>
      <c r="W4293" s="100"/>
      <c r="X4293" s="100"/>
      <c r="Y4293" s="100"/>
      <c r="Z4293" s="100"/>
    </row>
    <row r="4294" spans="1:26">
      <c r="A4294" s="100"/>
      <c r="B4294" s="100"/>
      <c r="C4294" s="100"/>
      <c r="D4294" s="100"/>
      <c r="E4294" s="100"/>
      <c r="F4294" s="100"/>
      <c r="G4294" s="100"/>
      <c r="H4294" s="100"/>
      <c r="I4294" s="100"/>
      <c r="J4294" s="100"/>
      <c r="K4294" s="100"/>
      <c r="L4294" s="100"/>
      <c r="M4294" s="100"/>
      <c r="N4294" s="100"/>
      <c r="O4294" s="100"/>
      <c r="P4294" s="100"/>
      <c r="Q4294" s="100"/>
      <c r="R4294" s="100"/>
      <c r="S4294" s="100"/>
      <c r="T4294" s="100"/>
      <c r="U4294" s="100"/>
      <c r="V4294" s="100"/>
      <c r="W4294" s="100"/>
      <c r="X4294" s="100"/>
      <c r="Y4294" s="100"/>
      <c r="Z4294" s="100"/>
    </row>
    <row r="4295" spans="1:26">
      <c r="A4295" s="100"/>
      <c r="B4295" s="100"/>
      <c r="C4295" s="100"/>
      <c r="D4295" s="100"/>
      <c r="E4295" s="100"/>
      <c r="F4295" s="100"/>
      <c r="G4295" s="100"/>
      <c r="H4295" s="100"/>
      <c r="I4295" s="100"/>
      <c r="J4295" s="100"/>
      <c r="K4295" s="100"/>
      <c r="L4295" s="100"/>
      <c r="M4295" s="100"/>
      <c r="N4295" s="100"/>
      <c r="O4295" s="100"/>
      <c r="P4295" s="100"/>
      <c r="Q4295" s="100"/>
      <c r="R4295" s="100"/>
      <c r="S4295" s="100"/>
      <c r="T4295" s="100"/>
      <c r="U4295" s="100"/>
      <c r="V4295" s="100"/>
      <c r="W4295" s="100"/>
      <c r="X4295" s="100"/>
      <c r="Y4295" s="100"/>
      <c r="Z4295" s="100"/>
    </row>
    <row r="4296" spans="1:26">
      <c r="A4296" s="100"/>
      <c r="B4296" s="100"/>
      <c r="C4296" s="100"/>
      <c r="D4296" s="100"/>
      <c r="E4296" s="100"/>
      <c r="F4296" s="100"/>
      <c r="G4296" s="100"/>
      <c r="H4296" s="100"/>
      <c r="I4296" s="100"/>
      <c r="J4296" s="100"/>
      <c r="K4296" s="100"/>
      <c r="L4296" s="100"/>
      <c r="M4296" s="100"/>
      <c r="N4296" s="100"/>
      <c r="O4296" s="100"/>
      <c r="P4296" s="100"/>
      <c r="Q4296" s="100"/>
      <c r="R4296" s="100"/>
      <c r="S4296" s="100"/>
      <c r="T4296" s="100"/>
      <c r="U4296" s="100"/>
      <c r="V4296" s="100"/>
      <c r="W4296" s="100"/>
      <c r="X4296" s="100"/>
      <c r="Y4296" s="100"/>
      <c r="Z4296" s="100"/>
    </row>
    <row r="4297" spans="1:26">
      <c r="A4297" s="100"/>
      <c r="B4297" s="100"/>
      <c r="C4297" s="100"/>
      <c r="D4297" s="100"/>
      <c r="E4297" s="100"/>
      <c r="F4297" s="100"/>
      <c r="G4297" s="100"/>
      <c r="H4297" s="100"/>
      <c r="I4297" s="100"/>
      <c r="J4297" s="100"/>
      <c r="K4297" s="100"/>
      <c r="L4297" s="100"/>
      <c r="M4297" s="100"/>
      <c r="N4297" s="100"/>
      <c r="O4297" s="100"/>
      <c r="P4297" s="100"/>
      <c r="Q4297" s="100"/>
      <c r="R4297" s="100"/>
      <c r="S4297" s="100"/>
      <c r="T4297" s="100"/>
      <c r="U4297" s="100"/>
      <c r="V4297" s="100"/>
      <c r="W4297" s="100"/>
      <c r="X4297" s="100"/>
      <c r="Y4297" s="100"/>
      <c r="Z4297" s="100"/>
    </row>
    <row r="4298" spans="1:26">
      <c r="A4298" s="100"/>
      <c r="B4298" s="100"/>
      <c r="C4298" s="100"/>
      <c r="D4298" s="100"/>
      <c r="E4298" s="100"/>
      <c r="F4298" s="100"/>
      <c r="G4298" s="100"/>
      <c r="H4298" s="100"/>
      <c r="I4298" s="100"/>
      <c r="J4298" s="100"/>
      <c r="K4298" s="100"/>
      <c r="L4298" s="100"/>
      <c r="M4298" s="100"/>
      <c r="N4298" s="100"/>
      <c r="O4298" s="100"/>
      <c r="P4298" s="100"/>
      <c r="Q4298" s="100"/>
      <c r="R4298" s="100"/>
      <c r="S4298" s="100"/>
      <c r="T4298" s="100"/>
      <c r="U4298" s="100"/>
      <c r="V4298" s="100"/>
      <c r="W4298" s="100"/>
      <c r="X4298" s="100"/>
      <c r="Y4298" s="100"/>
      <c r="Z4298" s="100"/>
    </row>
    <row r="4299" spans="1:26">
      <c r="A4299" s="100"/>
      <c r="B4299" s="100"/>
      <c r="C4299" s="100"/>
      <c r="D4299" s="100"/>
      <c r="E4299" s="100"/>
      <c r="F4299" s="100"/>
      <c r="G4299" s="100"/>
      <c r="H4299" s="100"/>
      <c r="I4299" s="100"/>
      <c r="J4299" s="100"/>
      <c r="K4299" s="100"/>
      <c r="L4299" s="100"/>
      <c r="M4299" s="100"/>
      <c r="N4299" s="100"/>
      <c r="O4299" s="100"/>
      <c r="P4299" s="100"/>
      <c r="Q4299" s="100"/>
      <c r="R4299" s="100"/>
      <c r="S4299" s="100"/>
      <c r="T4299" s="100"/>
      <c r="U4299" s="100"/>
      <c r="V4299" s="100"/>
      <c r="W4299" s="100"/>
      <c r="X4299" s="100"/>
      <c r="Y4299" s="100"/>
      <c r="Z4299" s="100"/>
    </row>
    <row r="4300" spans="1:26">
      <c r="A4300" s="100"/>
      <c r="B4300" s="100"/>
      <c r="C4300" s="100"/>
      <c r="D4300" s="100"/>
      <c r="E4300" s="100"/>
      <c r="F4300" s="100"/>
      <c r="G4300" s="100"/>
      <c r="H4300" s="100"/>
      <c r="I4300" s="100"/>
      <c r="J4300" s="100"/>
      <c r="K4300" s="100"/>
      <c r="L4300" s="100"/>
      <c r="M4300" s="100"/>
      <c r="N4300" s="100"/>
      <c r="O4300" s="100"/>
      <c r="P4300" s="100"/>
      <c r="Q4300" s="100"/>
      <c r="R4300" s="100"/>
      <c r="S4300" s="100"/>
      <c r="T4300" s="100"/>
      <c r="U4300" s="100"/>
      <c r="V4300" s="100"/>
      <c r="W4300" s="100"/>
      <c r="X4300" s="100"/>
      <c r="Y4300" s="100"/>
      <c r="Z4300" s="100"/>
    </row>
    <row r="4301" spans="1:26">
      <c r="A4301" s="100"/>
      <c r="B4301" s="100"/>
      <c r="C4301" s="100"/>
      <c r="D4301" s="100"/>
      <c r="E4301" s="100"/>
      <c r="F4301" s="100"/>
      <c r="G4301" s="100"/>
      <c r="H4301" s="100"/>
      <c r="I4301" s="100"/>
      <c r="J4301" s="100"/>
      <c r="K4301" s="100"/>
      <c r="L4301" s="100"/>
      <c r="M4301" s="100"/>
      <c r="N4301" s="100"/>
      <c r="O4301" s="100"/>
      <c r="P4301" s="100"/>
      <c r="Q4301" s="100"/>
      <c r="R4301" s="100"/>
      <c r="S4301" s="100"/>
      <c r="T4301" s="100"/>
      <c r="U4301" s="100"/>
      <c r="V4301" s="100"/>
      <c r="W4301" s="100"/>
      <c r="X4301" s="100"/>
      <c r="Y4301" s="100"/>
      <c r="Z4301" s="100"/>
    </row>
    <row r="4302" spans="1:26">
      <c r="A4302" s="100"/>
      <c r="B4302" s="100"/>
      <c r="C4302" s="100"/>
      <c r="D4302" s="100"/>
      <c r="E4302" s="100"/>
      <c r="F4302" s="100"/>
      <c r="G4302" s="100"/>
      <c r="H4302" s="100"/>
      <c r="I4302" s="100"/>
      <c r="J4302" s="100"/>
      <c r="K4302" s="100"/>
      <c r="L4302" s="100"/>
      <c r="M4302" s="100"/>
      <c r="N4302" s="100"/>
      <c r="O4302" s="100"/>
      <c r="P4302" s="100"/>
      <c r="Q4302" s="100"/>
      <c r="R4302" s="100"/>
      <c r="S4302" s="100"/>
      <c r="T4302" s="100"/>
      <c r="U4302" s="100"/>
      <c r="V4302" s="100"/>
      <c r="W4302" s="100"/>
      <c r="X4302" s="100"/>
      <c r="Y4302" s="100"/>
      <c r="Z4302" s="100"/>
    </row>
    <row r="4303" spans="1:26">
      <c r="A4303" s="100"/>
      <c r="B4303" s="100"/>
      <c r="C4303" s="100"/>
      <c r="D4303" s="100"/>
      <c r="E4303" s="100"/>
      <c r="F4303" s="100"/>
      <c r="G4303" s="100"/>
      <c r="H4303" s="100"/>
      <c r="I4303" s="100"/>
      <c r="J4303" s="100"/>
      <c r="K4303" s="100"/>
      <c r="L4303" s="100"/>
      <c r="M4303" s="100"/>
      <c r="N4303" s="100"/>
      <c r="O4303" s="100"/>
      <c r="P4303" s="100"/>
      <c r="Q4303" s="100"/>
      <c r="R4303" s="100"/>
      <c r="S4303" s="100"/>
      <c r="T4303" s="100"/>
      <c r="U4303" s="100"/>
      <c r="V4303" s="100"/>
      <c r="W4303" s="100"/>
      <c r="X4303" s="100"/>
      <c r="Y4303" s="100"/>
      <c r="Z4303" s="100"/>
    </row>
    <row r="4304" spans="1:26">
      <c r="A4304" s="100"/>
      <c r="B4304" s="100"/>
      <c r="C4304" s="100"/>
      <c r="D4304" s="100"/>
      <c r="E4304" s="100"/>
      <c r="F4304" s="100"/>
      <c r="G4304" s="100"/>
      <c r="H4304" s="100"/>
      <c r="I4304" s="100"/>
      <c r="J4304" s="100"/>
      <c r="K4304" s="100"/>
      <c r="L4304" s="100"/>
      <c r="M4304" s="100"/>
      <c r="N4304" s="100"/>
      <c r="O4304" s="100"/>
      <c r="P4304" s="100"/>
      <c r="Q4304" s="100"/>
      <c r="R4304" s="100"/>
      <c r="S4304" s="100"/>
      <c r="T4304" s="100"/>
      <c r="U4304" s="100"/>
      <c r="V4304" s="100"/>
      <c r="W4304" s="100"/>
      <c r="X4304" s="100"/>
      <c r="Y4304" s="100"/>
      <c r="Z4304" s="100"/>
    </row>
    <row r="4305" spans="1:26">
      <c r="A4305" s="100"/>
      <c r="B4305" s="100"/>
      <c r="C4305" s="100"/>
      <c r="D4305" s="100"/>
      <c r="E4305" s="100"/>
      <c r="F4305" s="100"/>
      <c r="G4305" s="100"/>
      <c r="H4305" s="100"/>
      <c r="I4305" s="100"/>
      <c r="J4305" s="100"/>
      <c r="K4305" s="100"/>
      <c r="L4305" s="100"/>
      <c r="M4305" s="100"/>
      <c r="N4305" s="100"/>
      <c r="O4305" s="100"/>
      <c r="P4305" s="100"/>
      <c r="Q4305" s="100"/>
      <c r="R4305" s="100"/>
      <c r="S4305" s="100"/>
      <c r="T4305" s="100"/>
      <c r="U4305" s="100"/>
      <c r="V4305" s="100"/>
      <c r="W4305" s="100"/>
      <c r="X4305" s="100"/>
      <c r="Y4305" s="100"/>
      <c r="Z4305" s="100"/>
    </row>
    <row r="4306" spans="1:26">
      <c r="A4306" s="100"/>
      <c r="B4306" s="100"/>
      <c r="C4306" s="100"/>
      <c r="D4306" s="100"/>
      <c r="E4306" s="100"/>
      <c r="F4306" s="100"/>
      <c r="G4306" s="100"/>
      <c r="H4306" s="100"/>
      <c r="I4306" s="100"/>
      <c r="J4306" s="100"/>
      <c r="K4306" s="100"/>
      <c r="L4306" s="100"/>
      <c r="M4306" s="100"/>
      <c r="N4306" s="100"/>
      <c r="O4306" s="100"/>
      <c r="P4306" s="100"/>
      <c r="Q4306" s="100"/>
      <c r="R4306" s="100"/>
      <c r="S4306" s="100"/>
      <c r="T4306" s="100"/>
      <c r="U4306" s="100"/>
      <c r="V4306" s="100"/>
      <c r="W4306" s="100"/>
      <c r="X4306" s="100"/>
      <c r="Y4306" s="100"/>
      <c r="Z4306" s="100"/>
    </row>
    <row r="4307" spans="1:26">
      <c r="A4307" s="100"/>
      <c r="B4307" s="100"/>
      <c r="C4307" s="100"/>
      <c r="D4307" s="100"/>
      <c r="E4307" s="100"/>
      <c r="F4307" s="100"/>
      <c r="G4307" s="100"/>
      <c r="H4307" s="100"/>
      <c r="I4307" s="100"/>
      <c r="J4307" s="100"/>
      <c r="K4307" s="100"/>
      <c r="L4307" s="100"/>
      <c r="M4307" s="100"/>
      <c r="N4307" s="100"/>
      <c r="O4307" s="100"/>
      <c r="P4307" s="100"/>
      <c r="Q4307" s="100"/>
      <c r="R4307" s="100"/>
      <c r="S4307" s="100"/>
      <c r="T4307" s="100"/>
      <c r="U4307" s="100"/>
      <c r="V4307" s="100"/>
      <c r="W4307" s="100"/>
      <c r="X4307" s="100"/>
      <c r="Y4307" s="100"/>
      <c r="Z4307" s="100"/>
    </row>
    <row r="4308" spans="1:26">
      <c r="A4308" s="100"/>
      <c r="B4308" s="100"/>
      <c r="C4308" s="100"/>
      <c r="D4308" s="100"/>
      <c r="E4308" s="100"/>
      <c r="F4308" s="100"/>
      <c r="G4308" s="100"/>
      <c r="H4308" s="100"/>
      <c r="I4308" s="100"/>
      <c r="J4308" s="100"/>
      <c r="K4308" s="100"/>
      <c r="L4308" s="100"/>
      <c r="M4308" s="100"/>
      <c r="N4308" s="100"/>
      <c r="O4308" s="100"/>
      <c r="P4308" s="100"/>
      <c r="Q4308" s="100"/>
      <c r="R4308" s="100"/>
      <c r="S4308" s="100"/>
      <c r="T4308" s="100"/>
      <c r="U4308" s="100"/>
      <c r="V4308" s="100"/>
      <c r="W4308" s="100"/>
      <c r="X4308" s="100"/>
      <c r="Y4308" s="100"/>
      <c r="Z4308" s="100"/>
    </row>
    <row r="4309" spans="1:26">
      <c r="A4309" s="100"/>
      <c r="B4309" s="100"/>
      <c r="C4309" s="100"/>
      <c r="D4309" s="100"/>
      <c r="E4309" s="100"/>
      <c r="F4309" s="100"/>
      <c r="G4309" s="100"/>
      <c r="H4309" s="100"/>
      <c r="I4309" s="100"/>
      <c r="J4309" s="100"/>
      <c r="K4309" s="100"/>
      <c r="L4309" s="100"/>
      <c r="M4309" s="100"/>
      <c r="N4309" s="100"/>
      <c r="O4309" s="100"/>
      <c r="P4309" s="100"/>
      <c r="Q4309" s="100"/>
      <c r="R4309" s="100"/>
      <c r="S4309" s="100"/>
      <c r="T4309" s="100"/>
      <c r="U4309" s="100"/>
      <c r="V4309" s="100"/>
      <c r="W4309" s="100"/>
      <c r="X4309" s="100"/>
      <c r="Y4309" s="100"/>
      <c r="Z4309" s="100"/>
    </row>
    <row r="4310" spans="1:26">
      <c r="A4310" s="100"/>
      <c r="B4310" s="100"/>
      <c r="C4310" s="100"/>
      <c r="D4310" s="100"/>
      <c r="E4310" s="100"/>
      <c r="F4310" s="100"/>
      <c r="G4310" s="100"/>
      <c r="H4310" s="100"/>
      <c r="I4310" s="100"/>
      <c r="J4310" s="100"/>
      <c r="K4310" s="100"/>
      <c r="L4310" s="100"/>
      <c r="M4310" s="100"/>
      <c r="N4310" s="100"/>
      <c r="O4310" s="100"/>
      <c r="P4310" s="100"/>
      <c r="Q4310" s="100"/>
      <c r="R4310" s="100"/>
      <c r="S4310" s="100"/>
      <c r="T4310" s="100"/>
      <c r="U4310" s="100"/>
      <c r="V4310" s="100"/>
      <c r="W4310" s="100"/>
      <c r="X4310" s="100"/>
      <c r="Y4310" s="100"/>
      <c r="Z4310" s="100"/>
    </row>
    <row r="4311" spans="1:26">
      <c r="A4311" s="100"/>
      <c r="B4311" s="100"/>
      <c r="C4311" s="100"/>
      <c r="D4311" s="100"/>
      <c r="E4311" s="100"/>
      <c r="F4311" s="100"/>
      <c r="G4311" s="100"/>
      <c r="H4311" s="100"/>
      <c r="I4311" s="100"/>
      <c r="J4311" s="100"/>
      <c r="K4311" s="100"/>
      <c r="L4311" s="100"/>
      <c r="M4311" s="100"/>
      <c r="N4311" s="100"/>
      <c r="O4311" s="100"/>
      <c r="P4311" s="100"/>
      <c r="Q4311" s="100"/>
      <c r="R4311" s="100"/>
      <c r="S4311" s="100"/>
      <c r="T4311" s="100"/>
      <c r="U4311" s="100"/>
      <c r="V4311" s="100"/>
      <c r="W4311" s="100"/>
      <c r="X4311" s="100"/>
      <c r="Y4311" s="100"/>
      <c r="Z4311" s="100"/>
    </row>
    <row r="4312" spans="1:26">
      <c r="A4312" s="100"/>
      <c r="B4312" s="100"/>
      <c r="C4312" s="100"/>
      <c r="D4312" s="100"/>
      <c r="E4312" s="100"/>
      <c r="F4312" s="100"/>
      <c r="G4312" s="100"/>
      <c r="H4312" s="100"/>
      <c r="I4312" s="100"/>
      <c r="J4312" s="100"/>
      <c r="K4312" s="100"/>
      <c r="L4312" s="100"/>
      <c r="M4312" s="100"/>
      <c r="N4312" s="100"/>
      <c r="O4312" s="100"/>
      <c r="P4312" s="100"/>
      <c r="Q4312" s="100"/>
      <c r="R4312" s="100"/>
      <c r="S4312" s="100"/>
      <c r="T4312" s="100"/>
      <c r="U4312" s="100"/>
      <c r="V4312" s="100"/>
      <c r="W4312" s="100"/>
      <c r="X4312" s="100"/>
      <c r="Y4312" s="100"/>
      <c r="Z4312" s="100"/>
    </row>
    <row r="4313" spans="1:26">
      <c r="A4313" s="100"/>
      <c r="B4313" s="100"/>
      <c r="C4313" s="100"/>
      <c r="D4313" s="100"/>
      <c r="E4313" s="100"/>
      <c r="F4313" s="100"/>
      <c r="G4313" s="100"/>
      <c r="H4313" s="100"/>
      <c r="I4313" s="100"/>
      <c r="J4313" s="100"/>
      <c r="K4313" s="100"/>
      <c r="L4313" s="100"/>
      <c r="M4313" s="100"/>
      <c r="N4313" s="100"/>
      <c r="O4313" s="100"/>
      <c r="P4313" s="100"/>
      <c r="Q4313" s="100"/>
      <c r="R4313" s="100"/>
      <c r="S4313" s="100"/>
      <c r="T4313" s="100"/>
      <c r="U4313" s="100"/>
      <c r="V4313" s="100"/>
      <c r="W4313" s="100"/>
      <c r="X4313" s="100"/>
      <c r="Y4313" s="100"/>
      <c r="Z4313" s="100"/>
    </row>
    <row r="4314" spans="1:26">
      <c r="A4314" s="100"/>
      <c r="B4314" s="100"/>
      <c r="C4314" s="100"/>
      <c r="D4314" s="100"/>
      <c r="E4314" s="100"/>
      <c r="F4314" s="100"/>
      <c r="G4314" s="100"/>
      <c r="H4314" s="100"/>
      <c r="I4314" s="100"/>
      <c r="J4314" s="100"/>
      <c r="K4314" s="100"/>
      <c r="L4314" s="100"/>
      <c r="M4314" s="100"/>
      <c r="N4314" s="100"/>
      <c r="O4314" s="100"/>
      <c r="P4314" s="100"/>
      <c r="Q4314" s="100"/>
      <c r="R4314" s="100"/>
      <c r="S4314" s="100"/>
      <c r="T4314" s="100"/>
      <c r="U4314" s="100"/>
      <c r="V4314" s="100"/>
      <c r="W4314" s="100"/>
      <c r="X4314" s="100"/>
      <c r="Y4314" s="100"/>
      <c r="Z4314" s="100"/>
    </row>
    <row r="4315" spans="1:26">
      <c r="A4315" s="100"/>
      <c r="B4315" s="100"/>
      <c r="C4315" s="100"/>
      <c r="D4315" s="100"/>
      <c r="E4315" s="100"/>
      <c r="F4315" s="100"/>
      <c r="G4315" s="100"/>
      <c r="H4315" s="100"/>
      <c r="I4315" s="100"/>
      <c r="J4315" s="100"/>
      <c r="K4315" s="100"/>
      <c r="L4315" s="100"/>
      <c r="M4315" s="100"/>
      <c r="N4315" s="100"/>
      <c r="O4315" s="100"/>
      <c r="P4315" s="100"/>
      <c r="Q4315" s="100"/>
      <c r="R4315" s="100"/>
      <c r="S4315" s="100"/>
      <c r="T4315" s="100"/>
      <c r="U4315" s="100"/>
      <c r="V4315" s="100"/>
      <c r="W4315" s="100"/>
      <c r="X4315" s="100"/>
      <c r="Y4315" s="100"/>
      <c r="Z4315" s="100"/>
    </row>
    <row r="4316" spans="1:26">
      <c r="A4316" s="100"/>
      <c r="B4316" s="100"/>
      <c r="C4316" s="100"/>
      <c r="D4316" s="100"/>
      <c r="E4316" s="100"/>
      <c r="F4316" s="100"/>
      <c r="G4316" s="100"/>
      <c r="H4316" s="100"/>
      <c r="I4316" s="100"/>
      <c r="J4316" s="100"/>
      <c r="K4316" s="100"/>
      <c r="L4316" s="100"/>
      <c r="M4316" s="100"/>
      <c r="N4316" s="100"/>
      <c r="O4316" s="100"/>
      <c r="P4316" s="100"/>
      <c r="Q4316" s="100"/>
      <c r="R4316" s="100"/>
      <c r="S4316" s="100"/>
      <c r="T4316" s="100"/>
      <c r="U4316" s="100"/>
      <c r="V4316" s="100"/>
      <c r="W4316" s="100"/>
      <c r="X4316" s="100"/>
      <c r="Y4316" s="100"/>
      <c r="Z4316" s="100"/>
    </row>
    <row r="4317" spans="1:26">
      <c r="A4317" s="100"/>
      <c r="B4317" s="100"/>
      <c r="C4317" s="100"/>
      <c r="D4317" s="100"/>
      <c r="E4317" s="100"/>
      <c r="F4317" s="100"/>
      <c r="G4317" s="100"/>
      <c r="H4317" s="100"/>
      <c r="I4317" s="100"/>
      <c r="J4317" s="100"/>
      <c r="K4317" s="100"/>
      <c r="L4317" s="100"/>
      <c r="M4317" s="100"/>
      <c r="N4317" s="100"/>
      <c r="O4317" s="100"/>
      <c r="P4317" s="100"/>
      <c r="Q4317" s="100"/>
      <c r="R4317" s="100"/>
      <c r="S4317" s="100"/>
      <c r="T4317" s="100"/>
      <c r="U4317" s="100"/>
      <c r="V4317" s="100"/>
      <c r="W4317" s="100"/>
      <c r="X4317" s="100"/>
      <c r="Y4317" s="100"/>
      <c r="Z4317" s="100"/>
    </row>
    <row r="4318" spans="1:26">
      <c r="A4318" s="100"/>
      <c r="B4318" s="100"/>
      <c r="C4318" s="100"/>
      <c r="D4318" s="100"/>
      <c r="E4318" s="100"/>
      <c r="F4318" s="100"/>
      <c r="G4318" s="100"/>
      <c r="H4318" s="100"/>
      <c r="I4318" s="100"/>
      <c r="J4318" s="100"/>
      <c r="K4318" s="100"/>
      <c r="L4318" s="100"/>
      <c r="M4318" s="100"/>
      <c r="N4318" s="100"/>
      <c r="O4318" s="100"/>
      <c r="P4318" s="100"/>
      <c r="Q4318" s="100"/>
      <c r="R4318" s="100"/>
      <c r="S4318" s="100"/>
      <c r="T4318" s="100"/>
      <c r="U4318" s="100"/>
      <c r="V4318" s="100"/>
      <c r="W4318" s="100"/>
      <c r="X4318" s="100"/>
      <c r="Y4318" s="100"/>
      <c r="Z4318" s="100"/>
    </row>
    <row r="4319" spans="1:26">
      <c r="A4319" s="100"/>
      <c r="B4319" s="100"/>
      <c r="C4319" s="100"/>
      <c r="D4319" s="100"/>
      <c r="E4319" s="100"/>
      <c r="F4319" s="100"/>
      <c r="G4319" s="100"/>
      <c r="H4319" s="100"/>
      <c r="I4319" s="100"/>
      <c r="J4319" s="100"/>
      <c r="K4319" s="100"/>
      <c r="L4319" s="100"/>
      <c r="M4319" s="100"/>
      <c r="N4319" s="100"/>
      <c r="O4319" s="100"/>
      <c r="P4319" s="100"/>
      <c r="Q4319" s="100"/>
      <c r="R4319" s="100"/>
      <c r="S4319" s="100"/>
      <c r="T4319" s="100"/>
      <c r="U4319" s="100"/>
      <c r="V4319" s="100"/>
      <c r="W4319" s="100"/>
      <c r="X4319" s="100"/>
      <c r="Y4319" s="100"/>
      <c r="Z4319" s="100"/>
    </row>
    <row r="4320" spans="1:26">
      <c r="A4320" s="100"/>
      <c r="B4320" s="100"/>
      <c r="C4320" s="100"/>
      <c r="D4320" s="100"/>
      <c r="E4320" s="100"/>
      <c r="F4320" s="100"/>
      <c r="G4320" s="100"/>
      <c r="H4320" s="100"/>
      <c r="I4320" s="100"/>
      <c r="J4320" s="100"/>
      <c r="K4320" s="100"/>
      <c r="L4320" s="100"/>
      <c r="M4320" s="100"/>
      <c r="N4320" s="100"/>
      <c r="O4320" s="100"/>
      <c r="P4320" s="100"/>
      <c r="Q4320" s="100"/>
      <c r="R4320" s="100"/>
      <c r="S4320" s="100"/>
      <c r="T4320" s="100"/>
      <c r="U4320" s="100"/>
      <c r="V4320" s="100"/>
      <c r="W4320" s="100"/>
      <c r="X4320" s="100"/>
      <c r="Y4320" s="100"/>
      <c r="Z4320" s="100"/>
    </row>
    <row r="4321" spans="1:26">
      <c r="A4321" s="100"/>
      <c r="B4321" s="100"/>
      <c r="C4321" s="100"/>
      <c r="D4321" s="100"/>
      <c r="E4321" s="100"/>
      <c r="F4321" s="100"/>
      <c r="G4321" s="100"/>
      <c r="H4321" s="100"/>
      <c r="I4321" s="100"/>
      <c r="J4321" s="100"/>
      <c r="K4321" s="100"/>
      <c r="L4321" s="100"/>
      <c r="M4321" s="100"/>
      <c r="N4321" s="100"/>
      <c r="O4321" s="100"/>
      <c r="P4321" s="100"/>
      <c r="Q4321" s="100"/>
      <c r="R4321" s="100"/>
      <c r="S4321" s="100"/>
      <c r="T4321" s="100"/>
      <c r="U4321" s="100"/>
      <c r="V4321" s="100"/>
      <c r="W4321" s="100"/>
      <c r="X4321" s="100"/>
      <c r="Y4321" s="100"/>
      <c r="Z4321" s="100"/>
    </row>
    <row r="4322" spans="1:26">
      <c r="A4322" s="100"/>
      <c r="B4322" s="100"/>
      <c r="C4322" s="100"/>
      <c r="D4322" s="100"/>
      <c r="E4322" s="100"/>
      <c r="F4322" s="100"/>
      <c r="G4322" s="100"/>
      <c r="H4322" s="100"/>
      <c r="I4322" s="100"/>
      <c r="J4322" s="100"/>
      <c r="K4322" s="100"/>
      <c r="L4322" s="100"/>
      <c r="M4322" s="100"/>
      <c r="N4322" s="100"/>
      <c r="O4322" s="100"/>
      <c r="P4322" s="100"/>
      <c r="Q4322" s="100"/>
      <c r="R4322" s="100"/>
      <c r="S4322" s="100"/>
      <c r="T4322" s="100"/>
      <c r="U4322" s="100"/>
      <c r="V4322" s="100"/>
      <c r="W4322" s="100"/>
      <c r="X4322" s="100"/>
      <c r="Y4322" s="100"/>
      <c r="Z4322" s="100"/>
    </row>
    <row r="4323" spans="1:26">
      <c r="A4323" s="100"/>
      <c r="B4323" s="100"/>
      <c r="C4323" s="100"/>
      <c r="D4323" s="100"/>
      <c r="E4323" s="100"/>
      <c r="F4323" s="100"/>
      <c r="G4323" s="100"/>
      <c r="H4323" s="100"/>
      <c r="I4323" s="100"/>
      <c r="J4323" s="100"/>
      <c r="K4323" s="100"/>
      <c r="L4323" s="100"/>
      <c r="M4323" s="100"/>
      <c r="N4323" s="100"/>
      <c r="O4323" s="100"/>
      <c r="P4323" s="100"/>
      <c r="Q4323" s="100"/>
      <c r="R4323" s="100"/>
      <c r="S4323" s="100"/>
      <c r="T4323" s="100"/>
      <c r="U4323" s="100"/>
      <c r="V4323" s="100"/>
      <c r="W4323" s="100"/>
      <c r="X4323" s="100"/>
      <c r="Y4323" s="100"/>
      <c r="Z4323" s="100"/>
    </row>
    <row r="4324" spans="1:26">
      <c r="A4324" s="100"/>
      <c r="B4324" s="100"/>
      <c r="C4324" s="100"/>
      <c r="D4324" s="100"/>
      <c r="E4324" s="100"/>
      <c r="F4324" s="100"/>
      <c r="G4324" s="100"/>
      <c r="H4324" s="100"/>
      <c r="I4324" s="100"/>
      <c r="J4324" s="100"/>
      <c r="K4324" s="100"/>
      <c r="L4324" s="100"/>
      <c r="M4324" s="100"/>
      <c r="N4324" s="100"/>
      <c r="O4324" s="100"/>
      <c r="P4324" s="100"/>
      <c r="Q4324" s="100"/>
      <c r="R4324" s="100"/>
      <c r="S4324" s="100"/>
      <c r="T4324" s="100"/>
      <c r="U4324" s="100"/>
      <c r="V4324" s="100"/>
      <c r="W4324" s="100"/>
      <c r="X4324" s="100"/>
      <c r="Y4324" s="100"/>
      <c r="Z4324" s="100"/>
    </row>
    <row r="4325" spans="1:26">
      <c r="A4325" s="100"/>
      <c r="B4325" s="100"/>
      <c r="C4325" s="100"/>
      <c r="D4325" s="100"/>
      <c r="E4325" s="100"/>
      <c r="F4325" s="100"/>
      <c r="G4325" s="100"/>
      <c r="H4325" s="100"/>
      <c r="I4325" s="100"/>
      <c r="J4325" s="100"/>
      <c r="K4325" s="100"/>
      <c r="L4325" s="100"/>
      <c r="M4325" s="100"/>
      <c r="N4325" s="100"/>
      <c r="O4325" s="100"/>
      <c r="P4325" s="100"/>
      <c r="Q4325" s="100"/>
      <c r="R4325" s="100"/>
      <c r="S4325" s="100"/>
      <c r="T4325" s="100"/>
      <c r="U4325" s="100"/>
      <c r="V4325" s="100"/>
      <c r="W4325" s="100"/>
      <c r="X4325" s="100"/>
      <c r="Y4325" s="100"/>
      <c r="Z4325" s="100"/>
    </row>
    <row r="4326" spans="1:26">
      <c r="A4326" s="100"/>
      <c r="B4326" s="100"/>
      <c r="C4326" s="100"/>
      <c r="D4326" s="100"/>
      <c r="E4326" s="100"/>
      <c r="F4326" s="100"/>
      <c r="G4326" s="100"/>
      <c r="H4326" s="100"/>
      <c r="I4326" s="100"/>
      <c r="J4326" s="100"/>
      <c r="K4326" s="100"/>
      <c r="L4326" s="100"/>
      <c r="M4326" s="100"/>
      <c r="N4326" s="100"/>
      <c r="O4326" s="100"/>
      <c r="P4326" s="100"/>
      <c r="Q4326" s="100"/>
      <c r="R4326" s="100"/>
      <c r="S4326" s="100"/>
      <c r="T4326" s="100"/>
      <c r="U4326" s="100"/>
      <c r="V4326" s="100"/>
      <c r="W4326" s="100"/>
      <c r="X4326" s="100"/>
      <c r="Y4326" s="100"/>
      <c r="Z4326" s="100"/>
    </row>
    <row r="4327" spans="1:26">
      <c r="A4327" s="100"/>
      <c r="B4327" s="100"/>
      <c r="C4327" s="100"/>
      <c r="D4327" s="100"/>
      <c r="E4327" s="100"/>
      <c r="F4327" s="100"/>
      <c r="G4327" s="100"/>
      <c r="H4327" s="100"/>
      <c r="I4327" s="100"/>
      <c r="J4327" s="100"/>
      <c r="K4327" s="100"/>
      <c r="L4327" s="100"/>
      <c r="M4327" s="100"/>
      <c r="N4327" s="100"/>
      <c r="O4327" s="100"/>
      <c r="P4327" s="100"/>
      <c r="Q4327" s="100"/>
      <c r="R4327" s="100"/>
      <c r="S4327" s="100"/>
      <c r="T4327" s="100"/>
      <c r="U4327" s="100"/>
      <c r="V4327" s="100"/>
      <c r="W4327" s="100"/>
      <c r="X4327" s="100"/>
      <c r="Y4327" s="100"/>
      <c r="Z4327" s="100"/>
    </row>
    <row r="4328" spans="1:26">
      <c r="A4328" s="100"/>
      <c r="B4328" s="100"/>
      <c r="C4328" s="100"/>
      <c r="D4328" s="100"/>
      <c r="E4328" s="100"/>
      <c r="F4328" s="100"/>
      <c r="G4328" s="100"/>
      <c r="H4328" s="100"/>
      <c r="I4328" s="100"/>
      <c r="J4328" s="100"/>
      <c r="K4328" s="100"/>
      <c r="L4328" s="100"/>
      <c r="M4328" s="100"/>
      <c r="N4328" s="100"/>
      <c r="O4328" s="100"/>
      <c r="P4328" s="100"/>
      <c r="Q4328" s="100"/>
      <c r="R4328" s="100"/>
      <c r="S4328" s="100"/>
      <c r="T4328" s="100"/>
      <c r="U4328" s="100"/>
      <c r="V4328" s="100"/>
      <c r="W4328" s="100"/>
      <c r="X4328" s="100"/>
      <c r="Y4328" s="100"/>
      <c r="Z4328" s="100"/>
    </row>
    <row r="4329" spans="1:26">
      <c r="A4329" s="100"/>
      <c r="B4329" s="100"/>
      <c r="C4329" s="100"/>
      <c r="D4329" s="100"/>
      <c r="E4329" s="100"/>
      <c r="F4329" s="100"/>
      <c r="G4329" s="100"/>
      <c r="H4329" s="100"/>
      <c r="I4329" s="100"/>
      <c r="J4329" s="100"/>
      <c r="K4329" s="100"/>
      <c r="L4329" s="100"/>
      <c r="M4329" s="100"/>
      <c r="N4329" s="100"/>
      <c r="O4329" s="100"/>
      <c r="P4329" s="100"/>
      <c r="Q4329" s="100"/>
      <c r="R4329" s="100"/>
      <c r="S4329" s="100"/>
      <c r="T4329" s="100"/>
      <c r="U4329" s="100"/>
      <c r="V4329" s="100"/>
      <c r="W4329" s="100"/>
      <c r="X4329" s="100"/>
      <c r="Y4329" s="100"/>
      <c r="Z4329" s="100"/>
    </row>
    <row r="4330" spans="1:26">
      <c r="A4330" s="100"/>
      <c r="B4330" s="100"/>
      <c r="C4330" s="100"/>
      <c r="D4330" s="100"/>
      <c r="E4330" s="100"/>
      <c r="F4330" s="100"/>
      <c r="G4330" s="100"/>
      <c r="H4330" s="100"/>
      <c r="I4330" s="100"/>
      <c r="J4330" s="100"/>
      <c r="K4330" s="100"/>
      <c r="L4330" s="100"/>
      <c r="M4330" s="100"/>
      <c r="N4330" s="100"/>
      <c r="O4330" s="100"/>
      <c r="P4330" s="100"/>
      <c r="Q4330" s="100"/>
      <c r="R4330" s="100"/>
      <c r="S4330" s="100"/>
      <c r="T4330" s="100"/>
      <c r="U4330" s="100"/>
      <c r="V4330" s="100"/>
      <c r="W4330" s="100"/>
      <c r="X4330" s="100"/>
      <c r="Y4330" s="100"/>
      <c r="Z4330" s="100"/>
    </row>
    <row r="4331" spans="1:26">
      <c r="A4331" s="100"/>
      <c r="B4331" s="100"/>
      <c r="C4331" s="100"/>
      <c r="D4331" s="100"/>
      <c r="E4331" s="100"/>
      <c r="F4331" s="100"/>
      <c r="G4331" s="100"/>
      <c r="H4331" s="100"/>
      <c r="I4331" s="100"/>
      <c r="J4331" s="100"/>
      <c r="K4331" s="100"/>
      <c r="L4331" s="100"/>
      <c r="M4331" s="100"/>
      <c r="N4331" s="100"/>
      <c r="O4331" s="100"/>
      <c r="P4331" s="100"/>
      <c r="Q4331" s="100"/>
      <c r="R4331" s="100"/>
      <c r="S4331" s="100"/>
      <c r="T4331" s="100"/>
      <c r="U4331" s="100"/>
      <c r="V4331" s="100"/>
      <c r="W4331" s="100"/>
      <c r="X4331" s="100"/>
      <c r="Y4331" s="100"/>
      <c r="Z4331" s="100"/>
    </row>
    <row r="4332" spans="1:26">
      <c r="A4332" s="100"/>
      <c r="B4332" s="100"/>
      <c r="C4332" s="100"/>
      <c r="D4332" s="100"/>
      <c r="E4332" s="100"/>
      <c r="F4332" s="100"/>
      <c r="G4332" s="100"/>
      <c r="H4332" s="100"/>
      <c r="I4332" s="100"/>
      <c r="J4332" s="100"/>
      <c r="K4332" s="100"/>
      <c r="L4332" s="100"/>
      <c r="M4332" s="100"/>
      <c r="N4332" s="100"/>
      <c r="O4332" s="100"/>
      <c r="P4332" s="100"/>
      <c r="Q4332" s="100"/>
      <c r="R4332" s="100"/>
      <c r="S4332" s="100"/>
      <c r="T4332" s="100"/>
      <c r="U4332" s="100"/>
      <c r="V4332" s="100"/>
      <c r="W4332" s="100"/>
      <c r="X4332" s="100"/>
      <c r="Y4332" s="100"/>
      <c r="Z4332" s="100"/>
    </row>
    <row r="4333" spans="1:26">
      <c r="A4333" s="100"/>
      <c r="B4333" s="100"/>
      <c r="C4333" s="100"/>
      <c r="D4333" s="100"/>
      <c r="E4333" s="100"/>
      <c r="F4333" s="100"/>
      <c r="G4333" s="100"/>
      <c r="H4333" s="100"/>
      <c r="I4333" s="100"/>
      <c r="J4333" s="100"/>
      <c r="K4333" s="100"/>
      <c r="L4333" s="100"/>
      <c r="M4333" s="100"/>
      <c r="N4333" s="100"/>
      <c r="O4333" s="100"/>
      <c r="P4333" s="100"/>
      <c r="Q4333" s="100"/>
      <c r="R4333" s="100"/>
      <c r="S4333" s="100"/>
      <c r="T4333" s="100"/>
      <c r="U4333" s="100"/>
      <c r="V4333" s="100"/>
      <c r="W4333" s="100"/>
      <c r="X4333" s="100"/>
      <c r="Y4333" s="100"/>
      <c r="Z4333" s="100"/>
    </row>
    <row r="4334" spans="1:26">
      <c r="A4334" s="100"/>
      <c r="B4334" s="100"/>
      <c r="C4334" s="100"/>
      <c r="D4334" s="100"/>
      <c r="E4334" s="100"/>
      <c r="F4334" s="100"/>
      <c r="G4334" s="100"/>
      <c r="H4334" s="100"/>
      <c r="I4334" s="100"/>
      <c r="J4334" s="100"/>
      <c r="K4334" s="100"/>
      <c r="L4334" s="100"/>
      <c r="M4334" s="100"/>
      <c r="N4334" s="100"/>
      <c r="O4334" s="100"/>
      <c r="P4334" s="100"/>
      <c r="Q4334" s="100"/>
      <c r="R4334" s="100"/>
      <c r="S4334" s="100"/>
      <c r="T4334" s="100"/>
      <c r="U4334" s="100"/>
      <c r="V4334" s="100"/>
      <c r="W4334" s="100"/>
      <c r="X4334" s="100"/>
      <c r="Y4334" s="100"/>
      <c r="Z4334" s="100"/>
    </row>
    <row r="4335" spans="1:26">
      <c r="A4335" s="100"/>
      <c r="B4335" s="100"/>
      <c r="C4335" s="100"/>
      <c r="D4335" s="100"/>
      <c r="E4335" s="100"/>
      <c r="F4335" s="100"/>
      <c r="G4335" s="100"/>
      <c r="H4335" s="100"/>
      <c r="I4335" s="100"/>
      <c r="J4335" s="100"/>
      <c r="K4335" s="100"/>
      <c r="L4335" s="100"/>
      <c r="M4335" s="100"/>
      <c r="N4335" s="100"/>
      <c r="O4335" s="100"/>
      <c r="P4335" s="100"/>
      <c r="Q4335" s="100"/>
      <c r="R4335" s="100"/>
      <c r="S4335" s="100"/>
      <c r="T4335" s="100"/>
      <c r="U4335" s="100"/>
      <c r="V4335" s="100"/>
      <c r="W4335" s="100"/>
      <c r="X4335" s="100"/>
      <c r="Y4335" s="100"/>
      <c r="Z4335" s="100"/>
    </row>
    <row r="4336" spans="1:26">
      <c r="A4336" s="100"/>
      <c r="B4336" s="100"/>
      <c r="C4336" s="100"/>
      <c r="D4336" s="100"/>
      <c r="E4336" s="100"/>
      <c r="F4336" s="100"/>
      <c r="G4336" s="100"/>
      <c r="H4336" s="100"/>
      <c r="I4336" s="100"/>
      <c r="J4336" s="100"/>
      <c r="K4336" s="100"/>
      <c r="L4336" s="100"/>
      <c r="M4336" s="100"/>
      <c r="N4336" s="100"/>
      <c r="O4336" s="100"/>
      <c r="P4336" s="100"/>
      <c r="Q4336" s="100"/>
      <c r="R4336" s="100"/>
      <c r="S4336" s="100"/>
      <c r="T4336" s="100"/>
      <c r="U4336" s="100"/>
      <c r="V4336" s="100"/>
      <c r="W4336" s="100"/>
      <c r="X4336" s="100"/>
      <c r="Y4336" s="100"/>
      <c r="Z4336" s="100"/>
    </row>
    <row r="4337" spans="1:26">
      <c r="A4337" s="100"/>
      <c r="B4337" s="100"/>
      <c r="C4337" s="100"/>
      <c r="D4337" s="100"/>
      <c r="E4337" s="100"/>
      <c r="F4337" s="100"/>
      <c r="G4337" s="100"/>
      <c r="H4337" s="100"/>
      <c r="I4337" s="100"/>
      <c r="J4337" s="100"/>
      <c r="K4337" s="100"/>
      <c r="L4337" s="100"/>
      <c r="M4337" s="100"/>
      <c r="N4337" s="100"/>
      <c r="O4337" s="100"/>
      <c r="P4337" s="100"/>
      <c r="Q4337" s="100"/>
      <c r="R4337" s="100"/>
      <c r="S4337" s="100"/>
      <c r="T4337" s="100"/>
      <c r="U4337" s="100"/>
      <c r="V4337" s="100"/>
      <c r="W4337" s="100"/>
      <c r="X4337" s="100"/>
      <c r="Y4337" s="100"/>
      <c r="Z4337" s="100"/>
    </row>
    <row r="4338" spans="1:26">
      <c r="A4338" s="100"/>
      <c r="B4338" s="100"/>
      <c r="C4338" s="100"/>
      <c r="D4338" s="100"/>
      <c r="E4338" s="100"/>
      <c r="F4338" s="100"/>
      <c r="G4338" s="100"/>
      <c r="H4338" s="100"/>
      <c r="I4338" s="100"/>
      <c r="J4338" s="100"/>
      <c r="K4338" s="100"/>
      <c r="L4338" s="100"/>
      <c r="M4338" s="100"/>
      <c r="N4338" s="100"/>
      <c r="O4338" s="100"/>
      <c r="P4338" s="100"/>
      <c r="Q4338" s="100"/>
      <c r="R4338" s="100"/>
      <c r="S4338" s="100"/>
      <c r="T4338" s="100"/>
      <c r="U4338" s="100"/>
      <c r="V4338" s="100"/>
      <c r="W4338" s="100"/>
      <c r="X4338" s="100"/>
      <c r="Y4338" s="100"/>
      <c r="Z4338" s="100"/>
    </row>
    <row r="4339" spans="1:26">
      <c r="A4339" s="100"/>
      <c r="B4339" s="100"/>
      <c r="C4339" s="100"/>
      <c r="D4339" s="100"/>
      <c r="E4339" s="100"/>
      <c r="F4339" s="100"/>
      <c r="G4339" s="100"/>
      <c r="H4339" s="100"/>
      <c r="I4339" s="100"/>
      <c r="J4339" s="100"/>
      <c r="K4339" s="100"/>
      <c r="L4339" s="100"/>
      <c r="M4339" s="100"/>
      <c r="N4339" s="100"/>
      <c r="O4339" s="100"/>
      <c r="P4339" s="100"/>
      <c r="Q4339" s="100"/>
      <c r="R4339" s="100"/>
      <c r="S4339" s="100"/>
      <c r="T4339" s="100"/>
      <c r="U4339" s="100"/>
      <c r="V4339" s="100"/>
      <c r="W4339" s="100"/>
      <c r="X4339" s="100"/>
      <c r="Y4339" s="100"/>
      <c r="Z4339" s="100"/>
    </row>
    <row r="4340" spans="1:26">
      <c r="A4340" s="100"/>
      <c r="B4340" s="100"/>
      <c r="C4340" s="100"/>
      <c r="D4340" s="100"/>
      <c r="E4340" s="100"/>
      <c r="F4340" s="100"/>
      <c r="G4340" s="100"/>
      <c r="H4340" s="100"/>
      <c r="I4340" s="100"/>
      <c r="J4340" s="100"/>
      <c r="K4340" s="100"/>
      <c r="L4340" s="100"/>
      <c r="M4340" s="100"/>
      <c r="N4340" s="100"/>
      <c r="O4340" s="100"/>
      <c r="P4340" s="100"/>
      <c r="Q4340" s="100"/>
      <c r="R4340" s="100"/>
      <c r="S4340" s="100"/>
      <c r="T4340" s="100"/>
      <c r="U4340" s="100"/>
      <c r="V4340" s="100"/>
      <c r="W4340" s="100"/>
      <c r="X4340" s="100"/>
      <c r="Y4340" s="100"/>
      <c r="Z4340" s="100"/>
    </row>
    <row r="4341" spans="1:26">
      <c r="A4341" s="100"/>
      <c r="B4341" s="100"/>
      <c r="C4341" s="100"/>
      <c r="D4341" s="100"/>
      <c r="E4341" s="100"/>
      <c r="F4341" s="100"/>
      <c r="G4341" s="100"/>
      <c r="H4341" s="100"/>
      <c r="I4341" s="100"/>
      <c r="J4341" s="100"/>
      <c r="K4341" s="100"/>
      <c r="L4341" s="100"/>
      <c r="M4341" s="100"/>
      <c r="N4341" s="100"/>
      <c r="O4341" s="100"/>
      <c r="P4341" s="100"/>
      <c r="Q4341" s="100"/>
      <c r="R4341" s="100"/>
      <c r="S4341" s="100"/>
      <c r="T4341" s="100"/>
      <c r="U4341" s="100"/>
      <c r="V4341" s="100"/>
      <c r="W4341" s="100"/>
      <c r="X4341" s="100"/>
      <c r="Y4341" s="100"/>
      <c r="Z4341" s="100"/>
    </row>
    <row r="4342" spans="1:26">
      <c r="A4342" s="100"/>
      <c r="B4342" s="100"/>
      <c r="C4342" s="100"/>
      <c r="D4342" s="100"/>
      <c r="E4342" s="100"/>
      <c r="F4342" s="100"/>
      <c r="G4342" s="100"/>
      <c r="H4342" s="100"/>
      <c r="I4342" s="100"/>
      <c r="J4342" s="100"/>
      <c r="K4342" s="100"/>
      <c r="L4342" s="100"/>
      <c r="M4342" s="100"/>
      <c r="N4342" s="100"/>
      <c r="O4342" s="100"/>
      <c r="P4342" s="100"/>
      <c r="Q4342" s="100"/>
      <c r="R4342" s="100"/>
      <c r="S4342" s="100"/>
      <c r="T4342" s="100"/>
      <c r="U4342" s="100"/>
      <c r="V4342" s="100"/>
      <c r="W4342" s="100"/>
      <c r="X4342" s="100"/>
      <c r="Y4342" s="100"/>
      <c r="Z4342" s="100"/>
    </row>
    <row r="4343" spans="1:26">
      <c r="A4343" s="100"/>
      <c r="B4343" s="100"/>
      <c r="C4343" s="100"/>
      <c r="D4343" s="100"/>
      <c r="E4343" s="100"/>
      <c r="F4343" s="100"/>
      <c r="G4343" s="100"/>
      <c r="H4343" s="100"/>
      <c r="I4343" s="100"/>
      <c r="J4343" s="100"/>
      <c r="K4343" s="100"/>
      <c r="L4343" s="100"/>
      <c r="M4343" s="100"/>
      <c r="N4343" s="100"/>
      <c r="O4343" s="100"/>
      <c r="P4343" s="100"/>
      <c r="Q4343" s="100"/>
      <c r="R4343" s="100"/>
      <c r="S4343" s="100"/>
      <c r="T4343" s="100"/>
      <c r="U4343" s="100"/>
      <c r="V4343" s="100"/>
      <c r="W4343" s="100"/>
      <c r="X4343" s="100"/>
      <c r="Y4343" s="100"/>
      <c r="Z4343" s="100"/>
    </row>
    <row r="4344" spans="1:26">
      <c r="A4344" s="100"/>
      <c r="B4344" s="100"/>
      <c r="C4344" s="100"/>
      <c r="D4344" s="100"/>
      <c r="E4344" s="100"/>
      <c r="F4344" s="100"/>
      <c r="G4344" s="100"/>
      <c r="H4344" s="100"/>
      <c r="I4344" s="100"/>
      <c r="J4344" s="100"/>
      <c r="K4344" s="100"/>
      <c r="L4344" s="100"/>
      <c r="M4344" s="100"/>
      <c r="N4344" s="100"/>
      <c r="O4344" s="100"/>
      <c r="P4344" s="100"/>
      <c r="Q4344" s="100"/>
      <c r="R4344" s="100"/>
      <c r="S4344" s="100"/>
      <c r="T4344" s="100"/>
      <c r="U4344" s="100"/>
      <c r="V4344" s="100"/>
      <c r="W4344" s="100"/>
      <c r="X4344" s="100"/>
      <c r="Y4344" s="100"/>
      <c r="Z4344" s="100"/>
    </row>
    <row r="4345" spans="1:26">
      <c r="A4345" s="100"/>
      <c r="B4345" s="100"/>
      <c r="C4345" s="100"/>
      <c r="D4345" s="100"/>
      <c r="E4345" s="100"/>
      <c r="F4345" s="100"/>
      <c r="G4345" s="100"/>
      <c r="H4345" s="100"/>
      <c r="I4345" s="100"/>
      <c r="J4345" s="100"/>
      <c r="K4345" s="100"/>
      <c r="L4345" s="100"/>
      <c r="M4345" s="100"/>
      <c r="N4345" s="100"/>
      <c r="O4345" s="100"/>
      <c r="P4345" s="100"/>
      <c r="Q4345" s="100"/>
      <c r="R4345" s="100"/>
      <c r="S4345" s="100"/>
      <c r="T4345" s="100"/>
      <c r="U4345" s="100"/>
      <c r="V4345" s="100"/>
      <c r="W4345" s="100"/>
      <c r="X4345" s="100"/>
      <c r="Y4345" s="100"/>
      <c r="Z4345" s="100"/>
    </row>
    <row r="4346" spans="1:26">
      <c r="A4346" s="100"/>
      <c r="B4346" s="100"/>
      <c r="C4346" s="100"/>
      <c r="D4346" s="100"/>
      <c r="E4346" s="100"/>
      <c r="F4346" s="100"/>
      <c r="G4346" s="100"/>
      <c r="H4346" s="100"/>
      <c r="I4346" s="100"/>
      <c r="J4346" s="100"/>
      <c r="K4346" s="100"/>
      <c r="L4346" s="100"/>
      <c r="M4346" s="100"/>
      <c r="N4346" s="100"/>
      <c r="O4346" s="100"/>
      <c r="P4346" s="100"/>
      <c r="Q4346" s="100"/>
      <c r="R4346" s="100"/>
      <c r="S4346" s="100"/>
      <c r="T4346" s="100"/>
      <c r="U4346" s="100"/>
      <c r="V4346" s="100"/>
      <c r="W4346" s="100"/>
      <c r="X4346" s="100"/>
      <c r="Y4346" s="100"/>
      <c r="Z4346" s="100"/>
    </row>
    <row r="4347" spans="1:26">
      <c r="A4347" s="100"/>
      <c r="B4347" s="100"/>
      <c r="C4347" s="100"/>
      <c r="D4347" s="100"/>
      <c r="E4347" s="100"/>
      <c r="F4347" s="100"/>
      <c r="G4347" s="100"/>
      <c r="H4347" s="100"/>
      <c r="I4347" s="100"/>
      <c r="J4347" s="100"/>
      <c r="K4347" s="100"/>
      <c r="L4347" s="100"/>
      <c r="M4347" s="100"/>
      <c r="N4347" s="100"/>
      <c r="O4347" s="100"/>
      <c r="P4347" s="100"/>
      <c r="Q4347" s="100"/>
      <c r="R4347" s="100"/>
      <c r="S4347" s="100"/>
      <c r="T4347" s="100"/>
      <c r="U4347" s="100"/>
      <c r="V4347" s="100"/>
      <c r="W4347" s="100"/>
      <c r="X4347" s="100"/>
      <c r="Y4347" s="100"/>
      <c r="Z4347" s="100"/>
    </row>
    <row r="4348" spans="1:26">
      <c r="A4348" s="100"/>
      <c r="B4348" s="100"/>
      <c r="C4348" s="100"/>
      <c r="D4348" s="100"/>
      <c r="E4348" s="100"/>
      <c r="F4348" s="100"/>
      <c r="G4348" s="100"/>
      <c r="H4348" s="100"/>
      <c r="I4348" s="100"/>
      <c r="J4348" s="100"/>
      <c r="K4348" s="100"/>
      <c r="L4348" s="100"/>
      <c r="M4348" s="100"/>
      <c r="N4348" s="100"/>
      <c r="O4348" s="100"/>
      <c r="P4348" s="100"/>
      <c r="Q4348" s="100"/>
      <c r="R4348" s="100"/>
      <c r="S4348" s="100"/>
      <c r="T4348" s="100"/>
      <c r="U4348" s="100"/>
      <c r="V4348" s="100"/>
      <c r="W4348" s="100"/>
      <c r="X4348" s="100"/>
      <c r="Y4348" s="100"/>
      <c r="Z4348" s="100"/>
    </row>
    <row r="4349" spans="1:26">
      <c r="A4349" s="100"/>
      <c r="B4349" s="100"/>
      <c r="C4349" s="100"/>
      <c r="D4349" s="100"/>
      <c r="E4349" s="100"/>
      <c r="F4349" s="100"/>
      <c r="G4349" s="100"/>
      <c r="H4349" s="100"/>
      <c r="I4349" s="100"/>
      <c r="J4349" s="100"/>
      <c r="K4349" s="100"/>
      <c r="L4349" s="100"/>
      <c r="M4349" s="100"/>
      <c r="N4349" s="100"/>
      <c r="O4349" s="100"/>
      <c r="P4349" s="100"/>
      <c r="Q4349" s="100"/>
      <c r="R4349" s="100"/>
      <c r="S4349" s="100"/>
      <c r="T4349" s="100"/>
      <c r="U4349" s="100"/>
      <c r="V4349" s="100"/>
      <c r="W4349" s="100"/>
      <c r="X4349" s="100"/>
      <c r="Y4349" s="100"/>
      <c r="Z4349" s="100"/>
    </row>
    <row r="4350" spans="1:26">
      <c r="A4350" s="100"/>
      <c r="B4350" s="100"/>
      <c r="C4350" s="100"/>
      <c r="D4350" s="100"/>
      <c r="E4350" s="100"/>
      <c r="F4350" s="100"/>
      <c r="G4350" s="100"/>
      <c r="H4350" s="100"/>
      <c r="I4350" s="100"/>
      <c r="J4350" s="100"/>
      <c r="K4350" s="100"/>
      <c r="L4350" s="100"/>
      <c r="M4350" s="100"/>
      <c r="N4350" s="100"/>
      <c r="O4350" s="100"/>
      <c r="P4350" s="100"/>
      <c r="Q4350" s="100"/>
      <c r="R4350" s="100"/>
      <c r="S4350" s="100"/>
      <c r="T4350" s="100"/>
      <c r="U4350" s="100"/>
      <c r="V4350" s="100"/>
      <c r="W4350" s="100"/>
      <c r="X4350" s="100"/>
      <c r="Y4350" s="100"/>
      <c r="Z4350" s="100"/>
    </row>
    <row r="4351" spans="1:26">
      <c r="A4351" s="100"/>
      <c r="B4351" s="100"/>
      <c r="C4351" s="100"/>
      <c r="D4351" s="100"/>
      <c r="E4351" s="100"/>
      <c r="F4351" s="100"/>
      <c r="G4351" s="100"/>
      <c r="H4351" s="100"/>
      <c r="I4351" s="100"/>
      <c r="J4351" s="100"/>
      <c r="K4351" s="100"/>
      <c r="L4351" s="100"/>
      <c r="M4351" s="100"/>
      <c r="N4351" s="100"/>
      <c r="O4351" s="100"/>
      <c r="P4351" s="100"/>
      <c r="Q4351" s="100"/>
      <c r="R4351" s="100"/>
      <c r="S4351" s="100"/>
      <c r="T4351" s="100"/>
      <c r="U4351" s="100"/>
      <c r="V4351" s="100"/>
      <c r="W4351" s="100"/>
      <c r="X4351" s="100"/>
      <c r="Y4351" s="100"/>
      <c r="Z4351" s="100"/>
    </row>
    <row r="4352" spans="1:26">
      <c r="A4352" s="100"/>
      <c r="B4352" s="100"/>
      <c r="C4352" s="100"/>
      <c r="D4352" s="100"/>
      <c r="E4352" s="100"/>
      <c r="F4352" s="100"/>
      <c r="G4352" s="100"/>
      <c r="H4352" s="100"/>
      <c r="I4352" s="100"/>
      <c r="J4352" s="100"/>
      <c r="K4352" s="100"/>
      <c r="L4352" s="100"/>
      <c r="M4352" s="100"/>
      <c r="N4352" s="100"/>
      <c r="O4352" s="100"/>
      <c r="P4352" s="100"/>
      <c r="Q4352" s="100"/>
      <c r="R4352" s="100"/>
      <c r="S4352" s="100"/>
      <c r="T4352" s="100"/>
      <c r="U4352" s="100"/>
      <c r="V4352" s="100"/>
      <c r="W4352" s="100"/>
      <c r="X4352" s="100"/>
      <c r="Y4352" s="100"/>
      <c r="Z4352" s="100"/>
    </row>
    <row r="4353" spans="1:26">
      <c r="A4353" s="100"/>
      <c r="B4353" s="100"/>
      <c r="C4353" s="100"/>
      <c r="D4353" s="100"/>
      <c r="E4353" s="100"/>
      <c r="F4353" s="100"/>
      <c r="G4353" s="100"/>
      <c r="H4353" s="100"/>
      <c r="I4353" s="100"/>
      <c r="J4353" s="100"/>
      <c r="K4353" s="100"/>
      <c r="L4353" s="100"/>
      <c r="M4353" s="100"/>
      <c r="N4353" s="100"/>
      <c r="O4353" s="100"/>
      <c r="P4353" s="100"/>
      <c r="Q4353" s="100"/>
      <c r="R4353" s="100"/>
      <c r="S4353" s="100"/>
      <c r="T4353" s="100"/>
      <c r="U4353" s="100"/>
      <c r="V4353" s="100"/>
      <c r="W4353" s="100"/>
      <c r="X4353" s="100"/>
      <c r="Y4353" s="100"/>
      <c r="Z4353" s="100"/>
    </row>
    <row r="4354" spans="1:26">
      <c r="A4354" s="100"/>
      <c r="B4354" s="100"/>
      <c r="C4354" s="100"/>
      <c r="D4354" s="100"/>
      <c r="E4354" s="100"/>
      <c r="F4354" s="100"/>
      <c r="G4354" s="100"/>
      <c r="H4354" s="100"/>
      <c r="I4354" s="100"/>
      <c r="J4354" s="100"/>
      <c r="K4354" s="100"/>
      <c r="L4354" s="100"/>
      <c r="M4354" s="100"/>
      <c r="N4354" s="100"/>
      <c r="O4354" s="100"/>
      <c r="P4354" s="100"/>
      <c r="Q4354" s="100"/>
      <c r="R4354" s="100"/>
      <c r="S4354" s="100"/>
      <c r="T4354" s="100"/>
      <c r="U4354" s="100"/>
      <c r="V4354" s="100"/>
      <c r="W4354" s="100"/>
      <c r="X4354" s="100"/>
      <c r="Y4354" s="100"/>
      <c r="Z4354" s="100"/>
    </row>
    <row r="4355" spans="1:26">
      <c r="A4355" s="100"/>
      <c r="B4355" s="100"/>
      <c r="C4355" s="100"/>
      <c r="D4355" s="100"/>
      <c r="E4355" s="100"/>
      <c r="F4355" s="100"/>
      <c r="G4355" s="100"/>
      <c r="H4355" s="100"/>
      <c r="I4355" s="100"/>
      <c r="J4355" s="100"/>
      <c r="K4355" s="100"/>
      <c r="L4355" s="100"/>
      <c r="M4355" s="100"/>
      <c r="N4355" s="100"/>
      <c r="O4355" s="100"/>
      <c r="P4355" s="100"/>
      <c r="Q4355" s="100"/>
      <c r="R4355" s="100"/>
      <c r="S4355" s="100"/>
      <c r="T4355" s="100"/>
      <c r="U4355" s="100"/>
      <c r="V4355" s="100"/>
      <c r="W4355" s="100"/>
      <c r="X4355" s="100"/>
      <c r="Y4355" s="100"/>
      <c r="Z4355" s="100"/>
    </row>
    <row r="4356" spans="1:26">
      <c r="A4356" s="100"/>
      <c r="B4356" s="100"/>
      <c r="C4356" s="100"/>
      <c r="D4356" s="100"/>
      <c r="E4356" s="100"/>
      <c r="F4356" s="100"/>
      <c r="G4356" s="100"/>
      <c r="H4356" s="100"/>
      <c r="I4356" s="100"/>
      <c r="J4356" s="100"/>
      <c r="K4356" s="100"/>
      <c r="L4356" s="100"/>
      <c r="M4356" s="100"/>
      <c r="N4356" s="100"/>
      <c r="O4356" s="100"/>
      <c r="P4356" s="100"/>
      <c r="Q4356" s="100"/>
      <c r="R4356" s="100"/>
      <c r="S4356" s="100"/>
      <c r="T4356" s="100"/>
      <c r="U4356" s="100"/>
      <c r="V4356" s="100"/>
      <c r="W4356" s="100"/>
      <c r="X4356" s="100"/>
      <c r="Y4356" s="100"/>
      <c r="Z4356" s="100"/>
    </row>
    <row r="4357" spans="1:26">
      <c r="A4357" s="100"/>
      <c r="B4357" s="100"/>
      <c r="C4357" s="100"/>
      <c r="D4357" s="100"/>
      <c r="E4357" s="100"/>
      <c r="F4357" s="100"/>
      <c r="G4357" s="100"/>
      <c r="H4357" s="100"/>
      <c r="I4357" s="100"/>
      <c r="J4357" s="100"/>
      <c r="K4357" s="100"/>
      <c r="L4357" s="100"/>
      <c r="M4357" s="100"/>
      <c r="N4357" s="100"/>
      <c r="O4357" s="100"/>
      <c r="P4357" s="100"/>
      <c r="Q4357" s="100"/>
      <c r="R4357" s="100"/>
      <c r="S4357" s="100"/>
      <c r="T4357" s="100"/>
      <c r="U4357" s="100"/>
      <c r="V4357" s="100"/>
      <c r="W4357" s="100"/>
      <c r="X4357" s="100"/>
      <c r="Y4357" s="100"/>
      <c r="Z4357" s="100"/>
    </row>
    <row r="4358" spans="1:26">
      <c r="A4358" s="100"/>
      <c r="B4358" s="100"/>
      <c r="C4358" s="100"/>
      <c r="D4358" s="100"/>
      <c r="E4358" s="100"/>
      <c r="F4358" s="100"/>
      <c r="G4358" s="100"/>
      <c r="H4358" s="100"/>
      <c r="I4358" s="100"/>
      <c r="J4358" s="100"/>
      <c r="K4358" s="100"/>
      <c r="L4358" s="100"/>
      <c r="M4358" s="100"/>
      <c r="N4358" s="100"/>
      <c r="O4358" s="100"/>
      <c r="P4358" s="100"/>
      <c r="Q4358" s="100"/>
      <c r="R4358" s="100"/>
      <c r="S4358" s="100"/>
      <c r="T4358" s="100"/>
      <c r="U4358" s="100"/>
      <c r="V4358" s="100"/>
      <c r="W4358" s="100"/>
      <c r="X4358" s="100"/>
      <c r="Y4358" s="100"/>
      <c r="Z4358" s="100"/>
    </row>
    <row r="4359" spans="1:26">
      <c r="A4359" s="100"/>
      <c r="B4359" s="100"/>
      <c r="C4359" s="100"/>
      <c r="D4359" s="100"/>
      <c r="E4359" s="100"/>
      <c r="F4359" s="100"/>
      <c r="G4359" s="100"/>
      <c r="H4359" s="100"/>
      <c r="I4359" s="100"/>
      <c r="J4359" s="100"/>
      <c r="K4359" s="100"/>
      <c r="L4359" s="100"/>
      <c r="M4359" s="100"/>
      <c r="N4359" s="100"/>
      <c r="O4359" s="100"/>
      <c r="P4359" s="100"/>
      <c r="Q4359" s="100"/>
      <c r="R4359" s="100"/>
      <c r="S4359" s="100"/>
      <c r="T4359" s="100"/>
      <c r="U4359" s="100"/>
      <c r="V4359" s="100"/>
      <c r="W4359" s="100"/>
      <c r="X4359" s="100"/>
      <c r="Y4359" s="100"/>
      <c r="Z4359" s="100"/>
    </row>
    <row r="4360" spans="1:26">
      <c r="A4360" s="100"/>
      <c r="B4360" s="100"/>
      <c r="C4360" s="100"/>
      <c r="D4360" s="100"/>
      <c r="E4360" s="100"/>
      <c r="F4360" s="100"/>
      <c r="G4360" s="100"/>
      <c r="H4360" s="100"/>
      <c r="I4360" s="100"/>
      <c r="J4360" s="100"/>
      <c r="K4360" s="100"/>
      <c r="L4360" s="100"/>
      <c r="M4360" s="100"/>
      <c r="N4360" s="100"/>
      <c r="O4360" s="100"/>
      <c r="P4360" s="100"/>
      <c r="Q4360" s="100"/>
      <c r="R4360" s="100"/>
      <c r="S4360" s="100"/>
      <c r="T4360" s="100"/>
      <c r="U4360" s="100"/>
      <c r="V4360" s="100"/>
      <c r="W4360" s="100"/>
      <c r="X4360" s="100"/>
      <c r="Y4360" s="100"/>
      <c r="Z4360" s="100"/>
    </row>
    <row r="4361" spans="1:26">
      <c r="A4361" s="100"/>
      <c r="B4361" s="100"/>
      <c r="C4361" s="100"/>
      <c r="D4361" s="100"/>
      <c r="E4361" s="100"/>
      <c r="F4361" s="100"/>
      <c r="G4361" s="100"/>
      <c r="H4361" s="100"/>
      <c r="I4361" s="100"/>
      <c r="J4361" s="100"/>
      <c r="K4361" s="100"/>
      <c r="L4361" s="100"/>
      <c r="M4361" s="100"/>
      <c r="N4361" s="100"/>
      <c r="O4361" s="100"/>
      <c r="P4361" s="100"/>
      <c r="Q4361" s="100"/>
      <c r="R4361" s="100"/>
      <c r="S4361" s="100"/>
      <c r="T4361" s="100"/>
      <c r="U4361" s="100"/>
      <c r="V4361" s="100"/>
      <c r="W4361" s="100"/>
      <c r="X4361" s="100"/>
      <c r="Y4361" s="100"/>
      <c r="Z4361" s="100"/>
    </row>
    <row r="4362" spans="1:26">
      <c r="A4362" s="100"/>
      <c r="B4362" s="100"/>
      <c r="C4362" s="100"/>
      <c r="D4362" s="100"/>
      <c r="E4362" s="100"/>
      <c r="F4362" s="100"/>
      <c r="G4362" s="100"/>
      <c r="H4362" s="100"/>
      <c r="I4362" s="100"/>
      <c r="J4362" s="100"/>
      <c r="K4362" s="100"/>
      <c r="L4362" s="100"/>
      <c r="M4362" s="100"/>
      <c r="N4362" s="100"/>
      <c r="O4362" s="100"/>
      <c r="P4362" s="100"/>
      <c r="Q4362" s="100"/>
      <c r="R4362" s="100"/>
      <c r="S4362" s="100"/>
      <c r="T4362" s="100"/>
      <c r="U4362" s="100"/>
      <c r="V4362" s="100"/>
      <c r="W4362" s="100"/>
      <c r="X4362" s="100"/>
      <c r="Y4362" s="100"/>
      <c r="Z4362" s="100"/>
    </row>
    <row r="4363" spans="1:26">
      <c r="A4363" s="100"/>
      <c r="B4363" s="100"/>
      <c r="C4363" s="100"/>
      <c r="D4363" s="100"/>
      <c r="E4363" s="100"/>
      <c r="F4363" s="100"/>
      <c r="G4363" s="100"/>
      <c r="H4363" s="100"/>
      <c r="I4363" s="100"/>
      <c r="J4363" s="100"/>
      <c r="K4363" s="100"/>
      <c r="L4363" s="100"/>
      <c r="M4363" s="100"/>
      <c r="N4363" s="100"/>
      <c r="O4363" s="100"/>
      <c r="P4363" s="100"/>
      <c r="Q4363" s="100"/>
      <c r="R4363" s="100"/>
      <c r="S4363" s="100"/>
      <c r="T4363" s="100"/>
      <c r="U4363" s="100"/>
      <c r="V4363" s="100"/>
      <c r="W4363" s="100"/>
      <c r="X4363" s="100"/>
      <c r="Y4363" s="100"/>
      <c r="Z4363" s="100"/>
    </row>
    <row r="4364" spans="1:26">
      <c r="A4364" s="100"/>
      <c r="B4364" s="100"/>
      <c r="C4364" s="100"/>
      <c r="D4364" s="100"/>
      <c r="E4364" s="100"/>
      <c r="F4364" s="100"/>
      <c r="G4364" s="100"/>
      <c r="H4364" s="100"/>
      <c r="I4364" s="100"/>
      <c r="J4364" s="100"/>
      <c r="K4364" s="100"/>
      <c r="L4364" s="100"/>
      <c r="M4364" s="100"/>
      <c r="N4364" s="100"/>
      <c r="O4364" s="100"/>
      <c r="P4364" s="100"/>
      <c r="Q4364" s="100"/>
      <c r="R4364" s="100"/>
      <c r="S4364" s="100"/>
      <c r="T4364" s="100"/>
      <c r="U4364" s="100"/>
      <c r="V4364" s="100"/>
      <c r="W4364" s="100"/>
      <c r="X4364" s="100"/>
      <c r="Y4364" s="100"/>
      <c r="Z4364" s="100"/>
    </row>
    <row r="4365" spans="1:26">
      <c r="A4365" s="100"/>
      <c r="B4365" s="100"/>
      <c r="C4365" s="100"/>
      <c r="D4365" s="100"/>
      <c r="E4365" s="100"/>
      <c r="F4365" s="100"/>
      <c r="G4365" s="100"/>
      <c r="H4365" s="100"/>
      <c r="I4365" s="100"/>
      <c r="J4365" s="100"/>
      <c r="K4365" s="100"/>
      <c r="L4365" s="100"/>
      <c r="M4365" s="100"/>
      <c r="N4365" s="100"/>
      <c r="O4365" s="100"/>
      <c r="P4365" s="100"/>
      <c r="Q4365" s="100"/>
      <c r="R4365" s="100"/>
      <c r="S4365" s="100"/>
      <c r="T4365" s="100"/>
      <c r="U4365" s="100"/>
      <c r="V4365" s="100"/>
      <c r="W4365" s="100"/>
      <c r="X4365" s="100"/>
      <c r="Y4365" s="100"/>
      <c r="Z4365" s="100"/>
    </row>
    <row r="4366" spans="1:26">
      <c r="A4366" s="100"/>
      <c r="B4366" s="100"/>
      <c r="C4366" s="100"/>
      <c r="D4366" s="100"/>
      <c r="E4366" s="100"/>
      <c r="F4366" s="100"/>
      <c r="G4366" s="100"/>
      <c r="H4366" s="100"/>
      <c r="I4366" s="100"/>
      <c r="J4366" s="100"/>
      <c r="K4366" s="100"/>
      <c r="L4366" s="100"/>
      <c r="M4366" s="100"/>
      <c r="N4366" s="100"/>
      <c r="O4366" s="100"/>
      <c r="P4366" s="100"/>
      <c r="Q4366" s="100"/>
      <c r="R4366" s="100"/>
      <c r="S4366" s="100"/>
      <c r="T4366" s="100"/>
      <c r="U4366" s="100"/>
      <c r="V4366" s="100"/>
      <c r="W4366" s="100"/>
      <c r="X4366" s="100"/>
      <c r="Y4366" s="100"/>
      <c r="Z4366" s="100"/>
    </row>
    <row r="4367" spans="1:26">
      <c r="A4367" s="100"/>
      <c r="B4367" s="100"/>
      <c r="C4367" s="100"/>
      <c r="D4367" s="100"/>
      <c r="E4367" s="100"/>
      <c r="F4367" s="100"/>
      <c r="G4367" s="100"/>
      <c r="H4367" s="100"/>
      <c r="I4367" s="100"/>
      <c r="J4367" s="100"/>
      <c r="K4367" s="100"/>
      <c r="L4367" s="100"/>
      <c r="M4367" s="100"/>
      <c r="N4367" s="100"/>
      <c r="O4367" s="100"/>
      <c r="P4367" s="100"/>
      <c r="Q4367" s="100"/>
      <c r="R4367" s="100"/>
      <c r="S4367" s="100"/>
      <c r="T4367" s="100"/>
      <c r="U4367" s="100"/>
      <c r="V4367" s="100"/>
      <c r="W4367" s="100"/>
      <c r="X4367" s="100"/>
      <c r="Y4367" s="100"/>
      <c r="Z4367" s="100"/>
    </row>
    <row r="4368" spans="1:26">
      <c r="A4368" s="100"/>
      <c r="B4368" s="100"/>
      <c r="C4368" s="100"/>
      <c r="D4368" s="100"/>
      <c r="E4368" s="100"/>
      <c r="F4368" s="100"/>
      <c r="G4368" s="100"/>
      <c r="H4368" s="100"/>
      <c r="I4368" s="100"/>
      <c r="J4368" s="100"/>
      <c r="K4368" s="100"/>
      <c r="L4368" s="100"/>
      <c r="M4368" s="100"/>
      <c r="N4368" s="100"/>
      <c r="O4368" s="100"/>
      <c r="P4368" s="100"/>
      <c r="Q4368" s="100"/>
      <c r="R4368" s="100"/>
      <c r="S4368" s="100"/>
      <c r="T4368" s="100"/>
      <c r="U4368" s="100"/>
      <c r="V4368" s="100"/>
      <c r="W4368" s="100"/>
      <c r="X4368" s="100"/>
      <c r="Y4368" s="100"/>
      <c r="Z4368" s="100"/>
    </row>
    <row r="4369" spans="1:26">
      <c r="A4369" s="100"/>
      <c r="B4369" s="100"/>
      <c r="C4369" s="100"/>
      <c r="D4369" s="100"/>
      <c r="E4369" s="100"/>
      <c r="F4369" s="100"/>
      <c r="G4369" s="100"/>
      <c r="H4369" s="100"/>
      <c r="I4369" s="100"/>
      <c r="J4369" s="100"/>
      <c r="K4369" s="100"/>
      <c r="L4369" s="100"/>
      <c r="M4369" s="100"/>
      <c r="N4369" s="100"/>
      <c r="O4369" s="100"/>
      <c r="P4369" s="100"/>
      <c r="Q4369" s="100"/>
      <c r="R4369" s="100"/>
      <c r="S4369" s="100"/>
      <c r="T4369" s="100"/>
      <c r="U4369" s="100"/>
      <c r="V4369" s="100"/>
      <c r="W4369" s="100"/>
      <c r="X4369" s="100"/>
      <c r="Y4369" s="100"/>
      <c r="Z4369" s="100"/>
    </row>
    <row r="4370" spans="1:26">
      <c r="A4370" s="100"/>
      <c r="B4370" s="100"/>
      <c r="C4370" s="100"/>
      <c r="D4370" s="100"/>
      <c r="E4370" s="100"/>
      <c r="F4370" s="100"/>
      <c r="G4370" s="100"/>
      <c r="H4370" s="100"/>
      <c r="I4370" s="100"/>
      <c r="J4370" s="100"/>
      <c r="K4370" s="100"/>
      <c r="L4370" s="100"/>
      <c r="M4370" s="100"/>
      <c r="N4370" s="100"/>
      <c r="O4370" s="100"/>
      <c r="P4370" s="100"/>
      <c r="Q4370" s="100"/>
      <c r="R4370" s="100"/>
      <c r="S4370" s="100"/>
      <c r="T4370" s="100"/>
      <c r="U4370" s="100"/>
      <c r="V4370" s="100"/>
      <c r="W4370" s="100"/>
      <c r="X4370" s="100"/>
      <c r="Y4370" s="100"/>
      <c r="Z4370" s="100"/>
    </row>
    <row r="4371" spans="1:26">
      <c r="A4371" s="100"/>
      <c r="B4371" s="100"/>
      <c r="C4371" s="100"/>
      <c r="D4371" s="100"/>
      <c r="E4371" s="100"/>
      <c r="F4371" s="100"/>
      <c r="G4371" s="100"/>
      <c r="H4371" s="100"/>
      <c r="I4371" s="100"/>
      <c r="J4371" s="100"/>
      <c r="K4371" s="100"/>
      <c r="L4371" s="100"/>
      <c r="M4371" s="100"/>
      <c r="N4371" s="100"/>
      <c r="O4371" s="100"/>
      <c r="P4371" s="100"/>
      <c r="Q4371" s="100"/>
      <c r="R4371" s="100"/>
      <c r="S4371" s="100"/>
      <c r="T4371" s="100"/>
      <c r="U4371" s="100"/>
      <c r="V4371" s="100"/>
      <c r="W4371" s="100"/>
      <c r="X4371" s="100"/>
      <c r="Y4371" s="100"/>
      <c r="Z4371" s="100"/>
    </row>
    <row r="4372" spans="1:26">
      <c r="A4372" s="100"/>
      <c r="B4372" s="100"/>
      <c r="C4372" s="100"/>
      <c r="D4372" s="100"/>
      <c r="E4372" s="100"/>
      <c r="F4372" s="100"/>
      <c r="G4372" s="100"/>
      <c r="H4372" s="100"/>
      <c r="I4372" s="100"/>
      <c r="J4372" s="100"/>
      <c r="K4372" s="100"/>
      <c r="L4372" s="100"/>
      <c r="M4372" s="100"/>
      <c r="N4372" s="100"/>
      <c r="O4372" s="100"/>
      <c r="P4372" s="100"/>
      <c r="Q4372" s="100"/>
      <c r="R4372" s="100"/>
      <c r="S4372" s="100"/>
      <c r="T4372" s="100"/>
      <c r="U4372" s="100"/>
      <c r="V4372" s="100"/>
      <c r="W4372" s="100"/>
      <c r="X4372" s="100"/>
      <c r="Y4372" s="100"/>
      <c r="Z4372" s="100"/>
    </row>
    <row r="4373" spans="1:26">
      <c r="A4373" s="100"/>
      <c r="B4373" s="100"/>
      <c r="C4373" s="100"/>
      <c r="D4373" s="100"/>
      <c r="E4373" s="100"/>
      <c r="F4373" s="100"/>
      <c r="G4373" s="100"/>
      <c r="H4373" s="100"/>
      <c r="I4373" s="100"/>
      <c r="J4373" s="100"/>
      <c r="K4373" s="100"/>
      <c r="L4373" s="100"/>
      <c r="M4373" s="100"/>
      <c r="N4373" s="100"/>
      <c r="O4373" s="100"/>
      <c r="P4373" s="100"/>
      <c r="Q4373" s="100"/>
      <c r="R4373" s="100"/>
      <c r="S4373" s="100"/>
      <c r="T4373" s="100"/>
      <c r="U4373" s="100"/>
      <c r="V4373" s="100"/>
      <c r="W4373" s="100"/>
      <c r="X4373" s="100"/>
      <c r="Y4373" s="100"/>
      <c r="Z4373" s="100"/>
    </row>
    <row r="4374" spans="1:26">
      <c r="A4374" s="100"/>
      <c r="B4374" s="100"/>
      <c r="C4374" s="100"/>
      <c r="D4374" s="100"/>
      <c r="E4374" s="100"/>
      <c r="F4374" s="100"/>
      <c r="G4374" s="100"/>
      <c r="H4374" s="100"/>
      <c r="I4374" s="100"/>
      <c r="J4374" s="100"/>
      <c r="K4374" s="100"/>
      <c r="L4374" s="100"/>
      <c r="M4374" s="100"/>
      <c r="N4374" s="100"/>
      <c r="O4374" s="100"/>
      <c r="P4374" s="100"/>
      <c r="Q4374" s="100"/>
      <c r="R4374" s="100"/>
      <c r="S4374" s="100"/>
      <c r="T4374" s="100"/>
      <c r="U4374" s="100"/>
      <c r="V4374" s="100"/>
      <c r="W4374" s="100"/>
      <c r="X4374" s="100"/>
      <c r="Y4374" s="100"/>
      <c r="Z4374" s="100"/>
    </row>
    <row r="4375" spans="1:26">
      <c r="A4375" s="100"/>
      <c r="B4375" s="100"/>
      <c r="C4375" s="100"/>
      <c r="D4375" s="100"/>
      <c r="E4375" s="100"/>
      <c r="F4375" s="100"/>
      <c r="G4375" s="100"/>
      <c r="H4375" s="100"/>
      <c r="I4375" s="100"/>
      <c r="J4375" s="100"/>
      <c r="K4375" s="100"/>
      <c r="L4375" s="100"/>
      <c r="M4375" s="100"/>
      <c r="N4375" s="100"/>
      <c r="O4375" s="100"/>
      <c r="P4375" s="100"/>
      <c r="Q4375" s="100"/>
      <c r="R4375" s="100"/>
      <c r="S4375" s="100"/>
      <c r="T4375" s="100"/>
      <c r="U4375" s="100"/>
      <c r="V4375" s="100"/>
      <c r="W4375" s="100"/>
      <c r="X4375" s="100"/>
      <c r="Y4375" s="100"/>
      <c r="Z4375" s="100"/>
    </row>
    <row r="4376" spans="1:26">
      <c r="A4376" s="100"/>
      <c r="B4376" s="100"/>
      <c r="C4376" s="100"/>
      <c r="D4376" s="100"/>
      <c r="E4376" s="100"/>
      <c r="F4376" s="100"/>
      <c r="G4376" s="100"/>
      <c r="H4376" s="100"/>
      <c r="I4376" s="100"/>
      <c r="J4376" s="100"/>
      <c r="K4376" s="100"/>
      <c r="L4376" s="100"/>
      <c r="M4376" s="100"/>
      <c r="N4376" s="100"/>
      <c r="O4376" s="100"/>
      <c r="P4376" s="100"/>
      <c r="Q4376" s="100"/>
      <c r="R4376" s="100"/>
      <c r="S4376" s="100"/>
      <c r="T4376" s="100"/>
      <c r="U4376" s="100"/>
      <c r="V4376" s="100"/>
      <c r="W4376" s="100"/>
      <c r="X4376" s="100"/>
      <c r="Y4376" s="100"/>
      <c r="Z4376" s="100"/>
    </row>
    <row r="4377" spans="1:26">
      <c r="A4377" s="100"/>
      <c r="B4377" s="100"/>
      <c r="C4377" s="100"/>
      <c r="D4377" s="100"/>
      <c r="E4377" s="100"/>
      <c r="F4377" s="100"/>
      <c r="G4377" s="100"/>
      <c r="H4377" s="100"/>
      <c r="I4377" s="100"/>
      <c r="J4377" s="100"/>
      <c r="K4377" s="100"/>
      <c r="L4377" s="100"/>
      <c r="M4377" s="100"/>
      <c r="N4377" s="100"/>
      <c r="O4377" s="100"/>
      <c r="P4377" s="100"/>
      <c r="Q4377" s="100"/>
      <c r="R4377" s="100"/>
      <c r="S4377" s="100"/>
      <c r="T4377" s="100"/>
      <c r="U4377" s="100"/>
      <c r="V4377" s="100"/>
      <c r="W4377" s="100"/>
      <c r="X4377" s="100"/>
      <c r="Y4377" s="100"/>
      <c r="Z4377" s="100"/>
    </row>
    <row r="4378" spans="1:26">
      <c r="A4378" s="100"/>
      <c r="B4378" s="100"/>
      <c r="C4378" s="100"/>
      <c r="D4378" s="100"/>
      <c r="E4378" s="100"/>
      <c r="F4378" s="100"/>
      <c r="G4378" s="100"/>
      <c r="H4378" s="100"/>
      <c r="I4378" s="100"/>
      <c r="J4378" s="100"/>
      <c r="K4378" s="100"/>
      <c r="L4378" s="100"/>
      <c r="M4378" s="100"/>
      <c r="N4378" s="100"/>
      <c r="O4378" s="100"/>
      <c r="P4378" s="100"/>
      <c r="Q4378" s="100"/>
      <c r="R4378" s="100"/>
      <c r="S4378" s="100"/>
      <c r="T4378" s="100"/>
      <c r="U4378" s="100"/>
      <c r="V4378" s="100"/>
      <c r="W4378" s="100"/>
      <c r="X4378" s="100"/>
      <c r="Y4378" s="100"/>
      <c r="Z4378" s="100"/>
    </row>
    <row r="4379" spans="1:26">
      <c r="A4379" s="100"/>
      <c r="B4379" s="100"/>
      <c r="C4379" s="100"/>
      <c r="D4379" s="100"/>
      <c r="E4379" s="100"/>
      <c r="F4379" s="100"/>
      <c r="G4379" s="100"/>
      <c r="H4379" s="100"/>
      <c r="I4379" s="100"/>
      <c r="J4379" s="100"/>
      <c r="K4379" s="100"/>
      <c r="L4379" s="100"/>
      <c r="M4379" s="100"/>
      <c r="N4379" s="100"/>
      <c r="O4379" s="100"/>
      <c r="P4379" s="100"/>
      <c r="Q4379" s="100"/>
      <c r="R4379" s="100"/>
      <c r="S4379" s="100"/>
      <c r="T4379" s="100"/>
      <c r="U4379" s="100"/>
      <c r="V4379" s="100"/>
      <c r="W4379" s="100"/>
      <c r="X4379" s="100"/>
      <c r="Y4379" s="100"/>
      <c r="Z4379" s="100"/>
    </row>
    <row r="4380" spans="1:26">
      <c r="A4380" s="100"/>
      <c r="B4380" s="100"/>
      <c r="C4380" s="100"/>
      <c r="D4380" s="100"/>
      <c r="E4380" s="100"/>
      <c r="F4380" s="100"/>
      <c r="G4380" s="100"/>
      <c r="H4380" s="100"/>
      <c r="I4380" s="100"/>
      <c r="J4380" s="100"/>
      <c r="K4380" s="100"/>
      <c r="L4380" s="100"/>
      <c r="M4380" s="100"/>
      <c r="N4380" s="100"/>
      <c r="O4380" s="100"/>
      <c r="P4380" s="100"/>
      <c r="Q4380" s="100"/>
      <c r="R4380" s="100"/>
      <c r="S4380" s="100"/>
      <c r="T4380" s="100"/>
      <c r="U4380" s="100"/>
      <c r="V4380" s="100"/>
      <c r="W4380" s="100"/>
      <c r="X4380" s="100"/>
      <c r="Y4380" s="100"/>
      <c r="Z4380" s="100"/>
    </row>
    <row r="4381" spans="1:26">
      <c r="A4381" s="100"/>
      <c r="B4381" s="100"/>
      <c r="C4381" s="100"/>
      <c r="D4381" s="100"/>
      <c r="E4381" s="100"/>
      <c r="F4381" s="100"/>
      <c r="G4381" s="100"/>
      <c r="H4381" s="100"/>
      <c r="I4381" s="100"/>
      <c r="J4381" s="100"/>
      <c r="K4381" s="100"/>
      <c r="L4381" s="100"/>
      <c r="M4381" s="100"/>
      <c r="N4381" s="100"/>
      <c r="O4381" s="100"/>
      <c r="P4381" s="100"/>
      <c r="Q4381" s="100"/>
      <c r="R4381" s="100"/>
      <c r="S4381" s="100"/>
      <c r="T4381" s="100"/>
      <c r="U4381" s="100"/>
      <c r="V4381" s="100"/>
      <c r="W4381" s="100"/>
      <c r="X4381" s="100"/>
      <c r="Y4381" s="100"/>
      <c r="Z4381" s="100"/>
    </row>
    <row r="4382" spans="1:26">
      <c r="A4382" s="100"/>
      <c r="B4382" s="100"/>
      <c r="C4382" s="100"/>
      <c r="D4382" s="100"/>
      <c r="E4382" s="100"/>
      <c r="F4382" s="100"/>
      <c r="G4382" s="100"/>
      <c r="H4382" s="100"/>
      <c r="I4382" s="100"/>
      <c r="J4382" s="100"/>
      <c r="K4382" s="100"/>
      <c r="L4382" s="100"/>
      <c r="M4382" s="100"/>
      <c r="N4382" s="100"/>
      <c r="O4382" s="100"/>
      <c r="P4382" s="100"/>
      <c r="Q4382" s="100"/>
      <c r="R4382" s="100"/>
      <c r="S4382" s="100"/>
      <c r="T4382" s="100"/>
      <c r="U4382" s="100"/>
      <c r="V4382" s="100"/>
      <c r="W4382" s="100"/>
      <c r="X4382" s="100"/>
      <c r="Y4382" s="100"/>
      <c r="Z4382" s="100"/>
    </row>
    <row r="4383" spans="1:26">
      <c r="A4383" s="100"/>
      <c r="B4383" s="100"/>
      <c r="C4383" s="100"/>
      <c r="D4383" s="100"/>
      <c r="E4383" s="100"/>
      <c r="F4383" s="100"/>
      <c r="G4383" s="100"/>
      <c r="H4383" s="100"/>
      <c r="I4383" s="100"/>
      <c r="J4383" s="100"/>
      <c r="K4383" s="100"/>
      <c r="L4383" s="100"/>
      <c r="M4383" s="100"/>
      <c r="N4383" s="100"/>
      <c r="O4383" s="100"/>
      <c r="P4383" s="100"/>
      <c r="Q4383" s="100"/>
      <c r="R4383" s="100"/>
      <c r="S4383" s="100"/>
      <c r="T4383" s="100"/>
      <c r="U4383" s="100"/>
      <c r="V4383" s="100"/>
      <c r="W4383" s="100"/>
      <c r="X4383" s="100"/>
      <c r="Y4383" s="100"/>
      <c r="Z4383" s="100"/>
    </row>
    <row r="4384" spans="1:26">
      <c r="A4384" s="100"/>
      <c r="B4384" s="100"/>
      <c r="C4384" s="100"/>
      <c r="D4384" s="100"/>
      <c r="E4384" s="100"/>
      <c r="F4384" s="100"/>
      <c r="G4384" s="100"/>
      <c r="H4384" s="100"/>
      <c r="I4384" s="100"/>
      <c r="J4384" s="100"/>
      <c r="K4384" s="100"/>
      <c r="L4384" s="100"/>
      <c r="M4384" s="100"/>
      <c r="N4384" s="100"/>
      <c r="O4384" s="100"/>
      <c r="P4384" s="100"/>
      <c r="Q4384" s="100"/>
      <c r="R4384" s="100"/>
      <c r="S4384" s="100"/>
      <c r="T4384" s="100"/>
      <c r="U4384" s="100"/>
      <c r="V4384" s="100"/>
      <c r="W4384" s="100"/>
      <c r="X4384" s="100"/>
      <c r="Y4384" s="100"/>
      <c r="Z4384" s="100"/>
    </row>
    <row r="4385" spans="1:26">
      <c r="A4385" s="100"/>
      <c r="B4385" s="100"/>
      <c r="C4385" s="100"/>
      <c r="D4385" s="100"/>
      <c r="E4385" s="100"/>
      <c r="F4385" s="100"/>
      <c r="G4385" s="100"/>
      <c r="H4385" s="100"/>
      <c r="I4385" s="100"/>
      <c r="J4385" s="100"/>
      <c r="K4385" s="100"/>
      <c r="L4385" s="100"/>
      <c r="M4385" s="100"/>
      <c r="N4385" s="100"/>
      <c r="O4385" s="100"/>
      <c r="P4385" s="100"/>
      <c r="Q4385" s="100"/>
      <c r="R4385" s="100"/>
      <c r="S4385" s="100"/>
      <c r="T4385" s="100"/>
      <c r="U4385" s="100"/>
      <c r="V4385" s="100"/>
      <c r="W4385" s="100"/>
      <c r="X4385" s="100"/>
      <c r="Y4385" s="100"/>
      <c r="Z4385" s="100"/>
    </row>
    <row r="4386" spans="1:26">
      <c r="A4386" s="100"/>
      <c r="B4386" s="100"/>
      <c r="C4386" s="100"/>
      <c r="D4386" s="100"/>
      <c r="E4386" s="100"/>
      <c r="F4386" s="100"/>
      <c r="G4386" s="100"/>
      <c r="H4386" s="100"/>
      <c r="I4386" s="100"/>
      <c r="J4386" s="100"/>
      <c r="K4386" s="100"/>
      <c r="L4386" s="100"/>
      <c r="M4386" s="100"/>
      <c r="N4386" s="100"/>
      <c r="O4386" s="100"/>
      <c r="P4386" s="100"/>
      <c r="Q4386" s="100"/>
      <c r="R4386" s="100"/>
      <c r="S4386" s="100"/>
      <c r="T4386" s="100"/>
      <c r="U4386" s="100"/>
      <c r="V4386" s="100"/>
      <c r="W4386" s="100"/>
      <c r="X4386" s="100"/>
      <c r="Y4386" s="100"/>
      <c r="Z4386" s="100"/>
    </row>
    <row r="4387" spans="1:26">
      <c r="A4387" s="100"/>
      <c r="B4387" s="100"/>
      <c r="C4387" s="100"/>
      <c r="D4387" s="100"/>
      <c r="E4387" s="100"/>
      <c r="F4387" s="100"/>
      <c r="G4387" s="100"/>
      <c r="H4387" s="100"/>
      <c r="I4387" s="100"/>
      <c r="J4387" s="100"/>
      <c r="K4387" s="100"/>
      <c r="L4387" s="100"/>
      <c r="M4387" s="100"/>
      <c r="N4387" s="100"/>
      <c r="O4387" s="100"/>
      <c r="P4387" s="100"/>
      <c r="Q4387" s="100"/>
      <c r="R4387" s="100"/>
      <c r="S4387" s="100"/>
      <c r="T4387" s="100"/>
      <c r="U4387" s="100"/>
      <c r="V4387" s="100"/>
      <c r="W4387" s="100"/>
      <c r="X4387" s="100"/>
      <c r="Y4387" s="100"/>
      <c r="Z4387" s="100"/>
    </row>
    <row r="4388" spans="1:26">
      <c r="A4388" s="100"/>
      <c r="B4388" s="100"/>
      <c r="C4388" s="100"/>
      <c r="D4388" s="100"/>
      <c r="E4388" s="100"/>
      <c r="F4388" s="100"/>
      <c r="G4388" s="100"/>
      <c r="H4388" s="100"/>
      <c r="I4388" s="100"/>
      <c r="J4388" s="100"/>
      <c r="K4388" s="100"/>
      <c r="L4388" s="100"/>
      <c r="M4388" s="100"/>
      <c r="N4388" s="100"/>
      <c r="O4388" s="100"/>
      <c r="P4388" s="100"/>
      <c r="Q4388" s="100"/>
      <c r="R4388" s="100"/>
      <c r="S4388" s="100"/>
      <c r="T4388" s="100"/>
      <c r="U4388" s="100"/>
      <c r="V4388" s="100"/>
      <c r="W4388" s="100"/>
      <c r="X4388" s="100"/>
      <c r="Y4388" s="100"/>
      <c r="Z4388" s="100"/>
    </row>
    <row r="4389" spans="1:26">
      <c r="A4389" s="100"/>
      <c r="B4389" s="100"/>
      <c r="C4389" s="100"/>
      <c r="D4389" s="100"/>
      <c r="E4389" s="100"/>
      <c r="F4389" s="100"/>
      <c r="G4389" s="100"/>
      <c r="H4389" s="100"/>
      <c r="I4389" s="100"/>
      <c r="J4389" s="100"/>
      <c r="K4389" s="100"/>
      <c r="L4389" s="100"/>
      <c r="M4389" s="100"/>
      <c r="N4389" s="100"/>
      <c r="O4389" s="100"/>
      <c r="P4389" s="100"/>
      <c r="Q4389" s="100"/>
      <c r="R4389" s="100"/>
      <c r="S4389" s="100"/>
      <c r="T4389" s="100"/>
      <c r="U4389" s="100"/>
      <c r="V4389" s="100"/>
      <c r="W4389" s="100"/>
      <c r="X4389" s="100"/>
      <c r="Y4389" s="100"/>
      <c r="Z4389" s="100"/>
    </row>
    <row r="4390" spans="1:26">
      <c r="A4390" s="100"/>
      <c r="B4390" s="100"/>
      <c r="C4390" s="100"/>
      <c r="D4390" s="100"/>
      <c r="E4390" s="100"/>
      <c r="F4390" s="100"/>
      <c r="G4390" s="100"/>
      <c r="H4390" s="100"/>
      <c r="I4390" s="100"/>
      <c r="J4390" s="100"/>
      <c r="K4390" s="100"/>
      <c r="L4390" s="100"/>
      <c r="M4390" s="100"/>
      <c r="N4390" s="100"/>
      <c r="O4390" s="100"/>
      <c r="P4390" s="100"/>
      <c r="Q4390" s="100"/>
      <c r="R4390" s="100"/>
      <c r="S4390" s="100"/>
      <c r="T4390" s="100"/>
      <c r="U4390" s="100"/>
      <c r="V4390" s="100"/>
      <c r="W4390" s="100"/>
      <c r="X4390" s="100"/>
      <c r="Y4390" s="100"/>
      <c r="Z4390" s="100"/>
    </row>
    <row r="4391" spans="1:26">
      <c r="A4391" s="100"/>
      <c r="B4391" s="100"/>
      <c r="C4391" s="100"/>
      <c r="D4391" s="100"/>
      <c r="E4391" s="100"/>
      <c r="F4391" s="100"/>
      <c r="G4391" s="100"/>
      <c r="H4391" s="100"/>
      <c r="I4391" s="100"/>
      <c r="J4391" s="100"/>
      <c r="K4391" s="100"/>
      <c r="L4391" s="100"/>
      <c r="M4391" s="100"/>
      <c r="N4391" s="100"/>
      <c r="O4391" s="100"/>
      <c r="P4391" s="100"/>
      <c r="Q4391" s="100"/>
      <c r="R4391" s="100"/>
      <c r="S4391" s="100"/>
      <c r="T4391" s="100"/>
      <c r="U4391" s="100"/>
      <c r="V4391" s="100"/>
      <c r="W4391" s="100"/>
      <c r="X4391" s="100"/>
      <c r="Y4391" s="100"/>
      <c r="Z4391" s="100"/>
    </row>
    <row r="4392" spans="1:26">
      <c r="A4392" s="100"/>
      <c r="B4392" s="100"/>
      <c r="C4392" s="100"/>
      <c r="D4392" s="100"/>
      <c r="E4392" s="100"/>
      <c r="F4392" s="100"/>
      <c r="G4392" s="100"/>
      <c r="H4392" s="100"/>
      <c r="I4392" s="100"/>
      <c r="J4392" s="100"/>
      <c r="K4392" s="100"/>
      <c r="L4392" s="100"/>
      <c r="M4392" s="100"/>
      <c r="N4392" s="100"/>
      <c r="O4392" s="100"/>
      <c r="P4392" s="100"/>
      <c r="Q4392" s="100"/>
      <c r="R4392" s="100"/>
      <c r="S4392" s="100"/>
      <c r="T4392" s="100"/>
      <c r="U4392" s="100"/>
      <c r="V4392" s="100"/>
      <c r="W4392" s="100"/>
      <c r="X4392" s="100"/>
      <c r="Y4392" s="100"/>
      <c r="Z4392" s="100"/>
    </row>
    <row r="4393" spans="1:26">
      <c r="A4393" s="100"/>
      <c r="B4393" s="100"/>
      <c r="C4393" s="100"/>
      <c r="D4393" s="100"/>
      <c r="E4393" s="100"/>
      <c r="F4393" s="100"/>
      <c r="G4393" s="100"/>
      <c r="H4393" s="100"/>
      <c r="I4393" s="100"/>
      <c r="J4393" s="100"/>
      <c r="K4393" s="100"/>
      <c r="L4393" s="100"/>
      <c r="M4393" s="100"/>
      <c r="N4393" s="100"/>
      <c r="O4393" s="100"/>
      <c r="P4393" s="100"/>
      <c r="Q4393" s="100"/>
      <c r="R4393" s="100"/>
      <c r="S4393" s="100"/>
      <c r="T4393" s="100"/>
      <c r="U4393" s="100"/>
      <c r="V4393" s="100"/>
      <c r="W4393" s="100"/>
      <c r="X4393" s="100"/>
      <c r="Y4393" s="100"/>
      <c r="Z4393" s="100"/>
    </row>
    <row r="4394" spans="1:26">
      <c r="A4394" s="100"/>
      <c r="B4394" s="100"/>
      <c r="C4394" s="100"/>
      <c r="D4394" s="100"/>
      <c r="E4394" s="100"/>
      <c r="F4394" s="100"/>
      <c r="G4394" s="100"/>
      <c r="H4394" s="100"/>
      <c r="I4394" s="100"/>
      <c r="J4394" s="100"/>
      <c r="K4394" s="100"/>
      <c r="L4394" s="100"/>
      <c r="M4394" s="100"/>
      <c r="N4394" s="100"/>
      <c r="O4394" s="100"/>
      <c r="P4394" s="100"/>
      <c r="Q4394" s="100"/>
      <c r="R4394" s="100"/>
      <c r="S4394" s="100"/>
      <c r="T4394" s="100"/>
      <c r="U4394" s="100"/>
      <c r="V4394" s="100"/>
      <c r="W4394" s="100"/>
      <c r="X4394" s="100"/>
      <c r="Y4394" s="100"/>
      <c r="Z4394" s="100"/>
    </row>
    <row r="4395" spans="1:26">
      <c r="A4395" s="100"/>
      <c r="B4395" s="100"/>
      <c r="C4395" s="100"/>
      <c r="D4395" s="100"/>
      <c r="E4395" s="100"/>
      <c r="F4395" s="100"/>
      <c r="G4395" s="100"/>
      <c r="H4395" s="100"/>
      <c r="I4395" s="100"/>
      <c r="J4395" s="100"/>
      <c r="K4395" s="100"/>
      <c r="L4395" s="100"/>
      <c r="M4395" s="100"/>
      <c r="N4395" s="100"/>
      <c r="O4395" s="100"/>
      <c r="P4395" s="100"/>
      <c r="Q4395" s="100"/>
      <c r="R4395" s="100"/>
      <c r="S4395" s="100"/>
      <c r="T4395" s="100"/>
      <c r="U4395" s="100"/>
      <c r="V4395" s="100"/>
      <c r="W4395" s="100"/>
      <c r="X4395" s="100"/>
      <c r="Y4395" s="100"/>
      <c r="Z4395" s="100"/>
    </row>
    <row r="4396" spans="1:26">
      <c r="A4396" s="100"/>
      <c r="B4396" s="100"/>
      <c r="C4396" s="100"/>
      <c r="D4396" s="100"/>
      <c r="E4396" s="100"/>
      <c r="F4396" s="100"/>
      <c r="G4396" s="100"/>
      <c r="H4396" s="100"/>
      <c r="I4396" s="100"/>
      <c r="J4396" s="100"/>
      <c r="K4396" s="100"/>
      <c r="L4396" s="100"/>
      <c r="M4396" s="100"/>
      <c r="N4396" s="100"/>
      <c r="O4396" s="100"/>
      <c r="P4396" s="100"/>
      <c r="Q4396" s="100"/>
      <c r="R4396" s="100"/>
      <c r="S4396" s="100"/>
      <c r="T4396" s="100"/>
      <c r="U4396" s="100"/>
      <c r="V4396" s="100"/>
      <c r="W4396" s="100"/>
      <c r="X4396" s="100"/>
      <c r="Y4396" s="100"/>
      <c r="Z4396" s="100"/>
    </row>
    <row r="4397" spans="1:26">
      <c r="A4397" s="100"/>
      <c r="B4397" s="100"/>
      <c r="C4397" s="100"/>
      <c r="D4397" s="100"/>
      <c r="E4397" s="100"/>
      <c r="F4397" s="100"/>
      <c r="G4397" s="100"/>
      <c r="H4397" s="100"/>
      <c r="I4397" s="100"/>
      <c r="J4397" s="100"/>
      <c r="K4397" s="100"/>
      <c r="L4397" s="100"/>
      <c r="M4397" s="100"/>
      <c r="N4397" s="100"/>
      <c r="O4397" s="100"/>
      <c r="P4397" s="100"/>
      <c r="Q4397" s="100"/>
      <c r="R4397" s="100"/>
      <c r="S4397" s="100"/>
      <c r="T4397" s="100"/>
      <c r="U4397" s="100"/>
      <c r="V4397" s="100"/>
      <c r="W4397" s="100"/>
      <c r="X4397" s="100"/>
      <c r="Y4397" s="100"/>
      <c r="Z4397" s="100"/>
    </row>
    <row r="4398" spans="1:26">
      <c r="A4398" s="100"/>
      <c r="B4398" s="100"/>
      <c r="C4398" s="100"/>
      <c r="D4398" s="100"/>
      <c r="E4398" s="100"/>
      <c r="F4398" s="100"/>
      <c r="G4398" s="100"/>
      <c r="H4398" s="100"/>
      <c r="I4398" s="100"/>
      <c r="J4398" s="100"/>
      <c r="K4398" s="100"/>
      <c r="L4398" s="100"/>
      <c r="M4398" s="100"/>
      <c r="N4398" s="100"/>
      <c r="O4398" s="100"/>
      <c r="P4398" s="100"/>
      <c r="Q4398" s="100"/>
      <c r="R4398" s="100"/>
      <c r="S4398" s="100"/>
      <c r="T4398" s="100"/>
      <c r="U4398" s="100"/>
      <c r="V4398" s="100"/>
      <c r="W4398" s="100"/>
      <c r="X4398" s="100"/>
      <c r="Y4398" s="100"/>
      <c r="Z4398" s="100"/>
    </row>
    <row r="4399" spans="1:26">
      <c r="A4399" s="100"/>
      <c r="B4399" s="100"/>
      <c r="C4399" s="100"/>
      <c r="D4399" s="100"/>
      <c r="E4399" s="100"/>
      <c r="F4399" s="100"/>
      <c r="G4399" s="100"/>
      <c r="H4399" s="100"/>
      <c r="I4399" s="100"/>
      <c r="J4399" s="100"/>
      <c r="K4399" s="100"/>
      <c r="L4399" s="100"/>
      <c r="M4399" s="100"/>
      <c r="N4399" s="100"/>
      <c r="O4399" s="100"/>
      <c r="P4399" s="100"/>
      <c r="Q4399" s="100"/>
      <c r="R4399" s="100"/>
      <c r="S4399" s="100"/>
      <c r="T4399" s="100"/>
      <c r="U4399" s="100"/>
      <c r="V4399" s="100"/>
      <c r="W4399" s="100"/>
      <c r="X4399" s="100"/>
      <c r="Y4399" s="100"/>
      <c r="Z4399" s="100"/>
    </row>
    <row r="4400" spans="1:26">
      <c r="A4400" s="100"/>
      <c r="B4400" s="100"/>
      <c r="C4400" s="100"/>
      <c r="D4400" s="100"/>
      <c r="E4400" s="100"/>
      <c r="F4400" s="100"/>
      <c r="G4400" s="100"/>
      <c r="H4400" s="100"/>
      <c r="I4400" s="100"/>
      <c r="J4400" s="100"/>
      <c r="K4400" s="100"/>
      <c r="L4400" s="100"/>
      <c r="M4400" s="100"/>
      <c r="N4400" s="100"/>
      <c r="O4400" s="100"/>
      <c r="P4400" s="100"/>
      <c r="Q4400" s="100"/>
      <c r="R4400" s="100"/>
      <c r="S4400" s="100"/>
      <c r="T4400" s="100"/>
      <c r="U4400" s="100"/>
      <c r="V4400" s="100"/>
      <c r="W4400" s="100"/>
      <c r="X4400" s="100"/>
      <c r="Y4400" s="100"/>
      <c r="Z4400" s="100"/>
    </row>
    <row r="4401" spans="1:26">
      <c r="A4401" s="100"/>
      <c r="B4401" s="100"/>
      <c r="C4401" s="100"/>
      <c r="D4401" s="100"/>
      <c r="E4401" s="100"/>
      <c r="F4401" s="100"/>
      <c r="G4401" s="100"/>
      <c r="H4401" s="100"/>
      <c r="I4401" s="100"/>
      <c r="J4401" s="100"/>
      <c r="K4401" s="100"/>
      <c r="L4401" s="100"/>
      <c r="M4401" s="100"/>
      <c r="N4401" s="100"/>
      <c r="O4401" s="100"/>
      <c r="P4401" s="100"/>
      <c r="Q4401" s="100"/>
      <c r="R4401" s="100"/>
      <c r="S4401" s="100"/>
      <c r="T4401" s="100"/>
      <c r="U4401" s="100"/>
      <c r="V4401" s="100"/>
      <c r="W4401" s="100"/>
      <c r="X4401" s="100"/>
      <c r="Y4401" s="100"/>
      <c r="Z4401" s="100"/>
    </row>
    <row r="4402" spans="1:26">
      <c r="A4402" s="100"/>
      <c r="B4402" s="100"/>
      <c r="C4402" s="100"/>
      <c r="D4402" s="100"/>
      <c r="E4402" s="100"/>
      <c r="F4402" s="100"/>
      <c r="G4402" s="100"/>
      <c r="H4402" s="100"/>
      <c r="I4402" s="100"/>
      <c r="J4402" s="100"/>
      <c r="K4402" s="100"/>
      <c r="L4402" s="100"/>
      <c r="M4402" s="100"/>
      <c r="N4402" s="100"/>
      <c r="O4402" s="100"/>
      <c r="P4402" s="100"/>
      <c r="Q4402" s="100"/>
      <c r="R4402" s="100"/>
      <c r="S4402" s="100"/>
      <c r="T4402" s="100"/>
      <c r="U4402" s="100"/>
      <c r="V4402" s="100"/>
      <c r="W4402" s="100"/>
      <c r="X4402" s="100"/>
      <c r="Y4402" s="100"/>
      <c r="Z4402" s="100"/>
    </row>
    <row r="4403" spans="1:26">
      <c r="A4403" s="100"/>
      <c r="B4403" s="100"/>
      <c r="C4403" s="100"/>
      <c r="D4403" s="100"/>
      <c r="E4403" s="100"/>
      <c r="F4403" s="100"/>
      <c r="G4403" s="100"/>
      <c r="H4403" s="100"/>
      <c r="I4403" s="100"/>
      <c r="J4403" s="100"/>
      <c r="K4403" s="100"/>
      <c r="L4403" s="100"/>
      <c r="M4403" s="100"/>
      <c r="N4403" s="100"/>
      <c r="O4403" s="100"/>
      <c r="P4403" s="100"/>
      <c r="Q4403" s="100"/>
      <c r="R4403" s="100"/>
      <c r="S4403" s="100"/>
      <c r="T4403" s="100"/>
      <c r="U4403" s="100"/>
      <c r="V4403" s="100"/>
      <c r="W4403" s="100"/>
      <c r="X4403" s="100"/>
      <c r="Y4403" s="100"/>
      <c r="Z4403" s="100"/>
    </row>
    <row r="4404" spans="1:26">
      <c r="A4404" s="100"/>
      <c r="B4404" s="100"/>
      <c r="C4404" s="100"/>
      <c r="D4404" s="100"/>
      <c r="E4404" s="100"/>
      <c r="F4404" s="100"/>
      <c r="G4404" s="100"/>
      <c r="H4404" s="100"/>
      <c r="I4404" s="100"/>
      <c r="J4404" s="100"/>
      <c r="K4404" s="100"/>
      <c r="L4404" s="100"/>
      <c r="M4404" s="100"/>
      <c r="N4404" s="100"/>
      <c r="O4404" s="100"/>
      <c r="P4404" s="100"/>
      <c r="Q4404" s="100"/>
      <c r="R4404" s="100"/>
      <c r="S4404" s="100"/>
      <c r="T4404" s="100"/>
      <c r="U4404" s="100"/>
      <c r="V4404" s="100"/>
      <c r="W4404" s="100"/>
      <c r="X4404" s="100"/>
      <c r="Y4404" s="100"/>
      <c r="Z4404" s="100"/>
    </row>
    <row r="4405" spans="1:26">
      <c r="A4405" s="100"/>
      <c r="B4405" s="100"/>
      <c r="C4405" s="100"/>
      <c r="D4405" s="100"/>
      <c r="E4405" s="100"/>
      <c r="F4405" s="100"/>
      <c r="G4405" s="100"/>
      <c r="H4405" s="100"/>
      <c r="I4405" s="100"/>
      <c r="J4405" s="100"/>
      <c r="K4405" s="100"/>
      <c r="L4405" s="100"/>
      <c r="M4405" s="100"/>
      <c r="N4405" s="100"/>
      <c r="O4405" s="100"/>
      <c r="P4405" s="100"/>
      <c r="Q4405" s="100"/>
      <c r="R4405" s="100"/>
      <c r="S4405" s="100"/>
      <c r="T4405" s="100"/>
      <c r="U4405" s="100"/>
      <c r="V4405" s="100"/>
      <c r="W4405" s="100"/>
      <c r="X4405" s="100"/>
      <c r="Y4405" s="100"/>
      <c r="Z4405" s="100"/>
    </row>
    <row r="4406" spans="1:26">
      <c r="A4406" s="100"/>
      <c r="B4406" s="100"/>
      <c r="C4406" s="100"/>
      <c r="D4406" s="100"/>
      <c r="E4406" s="100"/>
      <c r="F4406" s="100"/>
      <c r="G4406" s="100"/>
      <c r="H4406" s="100"/>
      <c r="I4406" s="100"/>
      <c r="J4406" s="100"/>
      <c r="K4406" s="100"/>
      <c r="L4406" s="100"/>
      <c r="M4406" s="100"/>
      <c r="N4406" s="100"/>
      <c r="O4406" s="100"/>
      <c r="P4406" s="100"/>
      <c r="Q4406" s="100"/>
      <c r="R4406" s="100"/>
      <c r="S4406" s="100"/>
      <c r="T4406" s="100"/>
      <c r="U4406" s="100"/>
      <c r="V4406" s="100"/>
      <c r="W4406" s="100"/>
      <c r="X4406" s="100"/>
      <c r="Y4406" s="100"/>
      <c r="Z4406" s="100"/>
    </row>
    <row r="4407" spans="1:26">
      <c r="A4407" s="100"/>
      <c r="B4407" s="100"/>
      <c r="C4407" s="100"/>
      <c r="D4407" s="100"/>
      <c r="E4407" s="100"/>
      <c r="F4407" s="100"/>
      <c r="G4407" s="100"/>
      <c r="H4407" s="100"/>
      <c r="I4407" s="100"/>
      <c r="J4407" s="100"/>
      <c r="K4407" s="100"/>
      <c r="L4407" s="100"/>
      <c r="M4407" s="100"/>
      <c r="N4407" s="100"/>
      <c r="O4407" s="100"/>
      <c r="P4407" s="100"/>
      <c r="Q4407" s="100"/>
      <c r="R4407" s="100"/>
      <c r="S4407" s="100"/>
      <c r="T4407" s="100"/>
      <c r="U4407" s="100"/>
      <c r="V4407" s="100"/>
      <c r="W4407" s="100"/>
      <c r="X4407" s="100"/>
      <c r="Y4407" s="100"/>
      <c r="Z4407" s="100"/>
    </row>
    <row r="4408" spans="1:26">
      <c r="A4408" s="100"/>
      <c r="B4408" s="100"/>
      <c r="C4408" s="100"/>
      <c r="D4408" s="100"/>
      <c r="E4408" s="100"/>
      <c r="F4408" s="100"/>
      <c r="G4408" s="100"/>
      <c r="H4408" s="100"/>
      <c r="I4408" s="100"/>
      <c r="J4408" s="100"/>
      <c r="K4408" s="100"/>
      <c r="L4408" s="100"/>
      <c r="M4408" s="100"/>
      <c r="N4408" s="100"/>
      <c r="O4408" s="100"/>
      <c r="P4408" s="100"/>
      <c r="Q4408" s="100"/>
      <c r="R4408" s="100"/>
      <c r="S4408" s="100"/>
      <c r="T4408" s="100"/>
      <c r="U4408" s="100"/>
      <c r="V4408" s="100"/>
      <c r="W4408" s="100"/>
      <c r="X4408" s="100"/>
      <c r="Y4408" s="100"/>
      <c r="Z4408" s="100"/>
    </row>
    <row r="4409" spans="1:26">
      <c r="A4409" s="100"/>
      <c r="B4409" s="100"/>
      <c r="C4409" s="100"/>
      <c r="D4409" s="100"/>
      <c r="E4409" s="100"/>
      <c r="F4409" s="100"/>
      <c r="G4409" s="100"/>
      <c r="H4409" s="100"/>
      <c r="I4409" s="100"/>
      <c r="J4409" s="100"/>
      <c r="K4409" s="100"/>
      <c r="L4409" s="100"/>
      <c r="M4409" s="100"/>
      <c r="N4409" s="100"/>
      <c r="O4409" s="100"/>
      <c r="P4409" s="100"/>
      <c r="Q4409" s="100"/>
      <c r="R4409" s="100"/>
      <c r="S4409" s="100"/>
      <c r="T4409" s="100"/>
      <c r="U4409" s="100"/>
      <c r="V4409" s="100"/>
      <c r="W4409" s="100"/>
      <c r="X4409" s="100"/>
      <c r="Y4409" s="100"/>
      <c r="Z4409" s="100"/>
    </row>
    <row r="4410" spans="1:26">
      <c r="A4410" s="100"/>
      <c r="B4410" s="100"/>
      <c r="C4410" s="100"/>
      <c r="D4410" s="100"/>
      <c r="E4410" s="100"/>
      <c r="F4410" s="100"/>
      <c r="G4410" s="100"/>
      <c r="H4410" s="100"/>
      <c r="I4410" s="100"/>
      <c r="J4410" s="100"/>
      <c r="K4410" s="100"/>
      <c r="L4410" s="100"/>
      <c r="M4410" s="100"/>
      <c r="N4410" s="100"/>
      <c r="O4410" s="100"/>
      <c r="P4410" s="100"/>
      <c r="Q4410" s="100"/>
      <c r="R4410" s="100"/>
      <c r="S4410" s="100"/>
      <c r="T4410" s="100"/>
      <c r="U4410" s="100"/>
      <c r="V4410" s="100"/>
      <c r="W4410" s="100"/>
      <c r="X4410" s="100"/>
      <c r="Y4410" s="100"/>
      <c r="Z4410" s="100"/>
    </row>
    <row r="4411" spans="1:26">
      <c r="A4411" s="100"/>
      <c r="B4411" s="100"/>
      <c r="C4411" s="100"/>
      <c r="D4411" s="100"/>
      <c r="E4411" s="100"/>
      <c r="F4411" s="100"/>
      <c r="G4411" s="100"/>
      <c r="H4411" s="100"/>
      <c r="I4411" s="100"/>
      <c r="J4411" s="100"/>
      <c r="K4411" s="100"/>
      <c r="L4411" s="100"/>
      <c r="M4411" s="100"/>
      <c r="N4411" s="100"/>
      <c r="O4411" s="100"/>
      <c r="P4411" s="100"/>
      <c r="Q4411" s="100"/>
      <c r="R4411" s="100"/>
      <c r="S4411" s="100"/>
      <c r="T4411" s="100"/>
      <c r="U4411" s="100"/>
      <c r="V4411" s="100"/>
      <c r="W4411" s="100"/>
      <c r="X4411" s="100"/>
      <c r="Y4411" s="100"/>
      <c r="Z4411" s="100"/>
    </row>
    <row r="4412" spans="1:26">
      <c r="A4412" s="100"/>
      <c r="B4412" s="100"/>
      <c r="C4412" s="100"/>
      <c r="D4412" s="100"/>
      <c r="E4412" s="100"/>
      <c r="F4412" s="100"/>
      <c r="G4412" s="100"/>
      <c r="H4412" s="100"/>
      <c r="I4412" s="100"/>
      <c r="J4412" s="100"/>
      <c r="K4412" s="100"/>
      <c r="L4412" s="100"/>
      <c r="M4412" s="100"/>
      <c r="N4412" s="100"/>
      <c r="O4412" s="100"/>
      <c r="P4412" s="100"/>
      <c r="Q4412" s="100"/>
      <c r="R4412" s="100"/>
      <c r="S4412" s="100"/>
      <c r="T4412" s="100"/>
      <c r="U4412" s="100"/>
      <c r="V4412" s="100"/>
      <c r="W4412" s="100"/>
      <c r="X4412" s="100"/>
      <c r="Y4412" s="100"/>
      <c r="Z4412" s="100"/>
    </row>
    <row r="4413" spans="1:26">
      <c r="A4413" s="100"/>
      <c r="B4413" s="100"/>
      <c r="C4413" s="100"/>
      <c r="D4413" s="100"/>
      <c r="E4413" s="100"/>
      <c r="F4413" s="100"/>
      <c r="G4413" s="100"/>
      <c r="H4413" s="100"/>
      <c r="I4413" s="100"/>
      <c r="J4413" s="100"/>
      <c r="K4413" s="100"/>
      <c r="L4413" s="100"/>
      <c r="M4413" s="100"/>
      <c r="N4413" s="100"/>
      <c r="O4413" s="100"/>
      <c r="P4413" s="100"/>
      <c r="Q4413" s="100"/>
      <c r="R4413" s="100"/>
      <c r="S4413" s="100"/>
      <c r="T4413" s="100"/>
      <c r="U4413" s="100"/>
      <c r="V4413" s="100"/>
      <c r="W4413" s="100"/>
      <c r="X4413" s="100"/>
      <c r="Y4413" s="100"/>
      <c r="Z4413" s="100"/>
    </row>
    <row r="4414" spans="1:26">
      <c r="A4414" s="100"/>
      <c r="B4414" s="100"/>
      <c r="C4414" s="100"/>
      <c r="D4414" s="100"/>
      <c r="E4414" s="100"/>
      <c r="F4414" s="100"/>
      <c r="G4414" s="100"/>
      <c r="H4414" s="100"/>
      <c r="I4414" s="100"/>
      <c r="J4414" s="100"/>
      <c r="K4414" s="100"/>
      <c r="L4414" s="100"/>
      <c r="M4414" s="100"/>
      <c r="N4414" s="100"/>
      <c r="O4414" s="100"/>
      <c r="P4414" s="100"/>
      <c r="Q4414" s="100"/>
      <c r="R4414" s="100"/>
      <c r="S4414" s="100"/>
      <c r="T4414" s="100"/>
      <c r="U4414" s="100"/>
      <c r="V4414" s="100"/>
      <c r="W4414" s="100"/>
      <c r="X4414" s="100"/>
      <c r="Y4414" s="100"/>
      <c r="Z4414" s="100"/>
    </row>
    <row r="4415" spans="1:26">
      <c r="A4415" s="100"/>
      <c r="B4415" s="100"/>
      <c r="C4415" s="100"/>
      <c r="D4415" s="100"/>
      <c r="E4415" s="100"/>
      <c r="F4415" s="100"/>
      <c r="G4415" s="100"/>
      <c r="H4415" s="100"/>
      <c r="I4415" s="100"/>
      <c r="J4415" s="100"/>
      <c r="K4415" s="100"/>
      <c r="L4415" s="100"/>
      <c r="M4415" s="100"/>
      <c r="N4415" s="100"/>
      <c r="O4415" s="100"/>
      <c r="P4415" s="100"/>
      <c r="Q4415" s="100"/>
      <c r="R4415" s="100"/>
      <c r="S4415" s="100"/>
      <c r="T4415" s="100"/>
      <c r="U4415" s="100"/>
      <c r="V4415" s="100"/>
      <c r="W4415" s="100"/>
      <c r="X4415" s="100"/>
      <c r="Y4415" s="100"/>
      <c r="Z4415" s="100"/>
    </row>
    <row r="4416" spans="1:26">
      <c r="A4416" s="100"/>
      <c r="B4416" s="100"/>
      <c r="C4416" s="100"/>
      <c r="D4416" s="100"/>
      <c r="E4416" s="100"/>
      <c r="F4416" s="100"/>
      <c r="G4416" s="100"/>
      <c r="H4416" s="100"/>
      <c r="I4416" s="100"/>
      <c r="J4416" s="100"/>
      <c r="K4416" s="100"/>
      <c r="L4416" s="100"/>
      <c r="M4416" s="100"/>
      <c r="N4416" s="100"/>
      <c r="O4416" s="100"/>
      <c r="P4416" s="100"/>
      <c r="Q4416" s="100"/>
      <c r="R4416" s="100"/>
      <c r="S4416" s="100"/>
      <c r="T4416" s="100"/>
      <c r="U4416" s="100"/>
      <c r="V4416" s="100"/>
      <c r="W4416" s="100"/>
      <c r="X4416" s="100"/>
      <c r="Y4416" s="100"/>
      <c r="Z4416" s="100"/>
    </row>
    <row r="4417" spans="1:26">
      <c r="A4417" s="100"/>
      <c r="B4417" s="100"/>
      <c r="C4417" s="100"/>
      <c r="D4417" s="100"/>
      <c r="E4417" s="100"/>
      <c r="F4417" s="100"/>
      <c r="G4417" s="100"/>
      <c r="H4417" s="100"/>
      <c r="I4417" s="100"/>
      <c r="J4417" s="100"/>
      <c r="K4417" s="100"/>
      <c r="L4417" s="100"/>
      <c r="M4417" s="100"/>
      <c r="N4417" s="100"/>
      <c r="O4417" s="100"/>
      <c r="P4417" s="100"/>
      <c r="Q4417" s="100"/>
      <c r="R4417" s="100"/>
      <c r="S4417" s="100"/>
      <c r="T4417" s="100"/>
      <c r="U4417" s="100"/>
      <c r="V4417" s="100"/>
      <c r="W4417" s="100"/>
      <c r="X4417" s="100"/>
      <c r="Y4417" s="100"/>
      <c r="Z4417" s="100"/>
    </row>
    <row r="4418" spans="1:26">
      <c r="A4418" s="100"/>
      <c r="B4418" s="100"/>
      <c r="C4418" s="100"/>
      <c r="D4418" s="100"/>
      <c r="E4418" s="100"/>
      <c r="F4418" s="100"/>
      <c r="G4418" s="100"/>
      <c r="H4418" s="100"/>
      <c r="I4418" s="100"/>
      <c r="J4418" s="100"/>
      <c r="K4418" s="100"/>
      <c r="L4418" s="100"/>
      <c r="M4418" s="100"/>
      <c r="N4418" s="100"/>
      <c r="O4418" s="100"/>
      <c r="P4418" s="100"/>
      <c r="Q4418" s="100"/>
      <c r="R4418" s="100"/>
      <c r="S4418" s="100"/>
      <c r="T4418" s="100"/>
      <c r="U4418" s="100"/>
      <c r="V4418" s="100"/>
      <c r="W4418" s="100"/>
      <c r="X4418" s="100"/>
      <c r="Y4418" s="100"/>
      <c r="Z4418" s="100"/>
    </row>
    <row r="4419" spans="1:26">
      <c r="A4419" s="100"/>
      <c r="B4419" s="100"/>
      <c r="C4419" s="100"/>
      <c r="D4419" s="100"/>
      <c r="E4419" s="100"/>
      <c r="F4419" s="100"/>
      <c r="G4419" s="100"/>
      <c r="H4419" s="100"/>
      <c r="I4419" s="100"/>
      <c r="J4419" s="100"/>
      <c r="K4419" s="100"/>
      <c r="L4419" s="100"/>
      <c r="M4419" s="100"/>
      <c r="N4419" s="100"/>
      <c r="O4419" s="100"/>
      <c r="P4419" s="100"/>
      <c r="Q4419" s="100"/>
      <c r="R4419" s="100"/>
      <c r="S4419" s="100"/>
      <c r="T4419" s="100"/>
      <c r="U4419" s="100"/>
      <c r="V4419" s="100"/>
      <c r="W4419" s="100"/>
      <c r="X4419" s="100"/>
      <c r="Y4419" s="100"/>
      <c r="Z4419" s="100"/>
    </row>
    <row r="4420" spans="1:26">
      <c r="A4420" s="100"/>
      <c r="B4420" s="100"/>
      <c r="C4420" s="100"/>
      <c r="D4420" s="100"/>
      <c r="E4420" s="100"/>
      <c r="F4420" s="100"/>
      <c r="G4420" s="100"/>
      <c r="H4420" s="100"/>
      <c r="I4420" s="100"/>
      <c r="J4420" s="100"/>
      <c r="K4420" s="100"/>
      <c r="L4420" s="100"/>
      <c r="M4420" s="100"/>
      <c r="N4420" s="100"/>
      <c r="O4420" s="100"/>
      <c r="P4420" s="100"/>
      <c r="Q4420" s="100"/>
      <c r="R4420" s="100"/>
      <c r="S4420" s="100"/>
      <c r="T4420" s="100"/>
      <c r="U4420" s="100"/>
      <c r="V4420" s="100"/>
      <c r="W4420" s="100"/>
      <c r="X4420" s="100"/>
      <c r="Y4420" s="100"/>
      <c r="Z4420" s="100"/>
    </row>
    <row r="4421" spans="1:26">
      <c r="A4421" s="100"/>
      <c r="B4421" s="100"/>
      <c r="C4421" s="100"/>
      <c r="D4421" s="100"/>
      <c r="E4421" s="100"/>
      <c r="F4421" s="100"/>
      <c r="G4421" s="100"/>
      <c r="H4421" s="100"/>
      <c r="I4421" s="100"/>
      <c r="J4421" s="100"/>
      <c r="K4421" s="100"/>
      <c r="L4421" s="100"/>
      <c r="M4421" s="100"/>
      <c r="N4421" s="100"/>
      <c r="O4421" s="100"/>
      <c r="P4421" s="100"/>
      <c r="Q4421" s="100"/>
      <c r="R4421" s="100"/>
      <c r="S4421" s="100"/>
      <c r="T4421" s="100"/>
      <c r="U4421" s="100"/>
      <c r="V4421" s="100"/>
      <c r="W4421" s="100"/>
      <c r="X4421" s="100"/>
      <c r="Y4421" s="100"/>
      <c r="Z4421" s="100"/>
    </row>
    <row r="4422" spans="1:26">
      <c r="A4422" s="100"/>
      <c r="B4422" s="100"/>
      <c r="C4422" s="100"/>
      <c r="D4422" s="100"/>
      <c r="E4422" s="100"/>
      <c r="F4422" s="100"/>
      <c r="G4422" s="100"/>
      <c r="H4422" s="100"/>
      <c r="I4422" s="100"/>
      <c r="J4422" s="100"/>
      <c r="K4422" s="100"/>
      <c r="L4422" s="100"/>
      <c r="M4422" s="100"/>
      <c r="N4422" s="100"/>
      <c r="O4422" s="100"/>
      <c r="P4422" s="100"/>
      <c r="Q4422" s="100"/>
      <c r="R4422" s="100"/>
      <c r="S4422" s="100"/>
      <c r="T4422" s="100"/>
      <c r="U4422" s="100"/>
      <c r="V4422" s="100"/>
      <c r="W4422" s="100"/>
      <c r="X4422" s="100"/>
      <c r="Y4422" s="100"/>
      <c r="Z4422" s="100"/>
    </row>
    <row r="4423" spans="1:26">
      <c r="A4423" s="100"/>
      <c r="B4423" s="100"/>
      <c r="C4423" s="100"/>
      <c r="D4423" s="100"/>
      <c r="E4423" s="100"/>
      <c r="F4423" s="100"/>
      <c r="G4423" s="100"/>
      <c r="H4423" s="100"/>
      <c r="I4423" s="100"/>
      <c r="J4423" s="100"/>
      <c r="K4423" s="100"/>
      <c r="L4423" s="100"/>
      <c r="M4423" s="100"/>
      <c r="N4423" s="100"/>
      <c r="O4423" s="100"/>
      <c r="P4423" s="100"/>
      <c r="Q4423" s="100"/>
      <c r="R4423" s="100"/>
      <c r="S4423" s="100"/>
      <c r="T4423" s="100"/>
      <c r="U4423" s="100"/>
      <c r="V4423" s="100"/>
      <c r="W4423" s="100"/>
      <c r="X4423" s="100"/>
      <c r="Y4423" s="100"/>
      <c r="Z4423" s="100"/>
    </row>
    <row r="4424" spans="1:26">
      <c r="A4424" s="100"/>
      <c r="B4424" s="100"/>
      <c r="C4424" s="100"/>
      <c r="D4424" s="100"/>
      <c r="E4424" s="100"/>
      <c r="F4424" s="100"/>
      <c r="G4424" s="100"/>
      <c r="H4424" s="100"/>
      <c r="I4424" s="100"/>
      <c r="J4424" s="100"/>
      <c r="K4424" s="100"/>
      <c r="L4424" s="100"/>
      <c r="M4424" s="100"/>
      <c r="N4424" s="100"/>
      <c r="O4424" s="100"/>
      <c r="P4424" s="100"/>
      <c r="Q4424" s="100"/>
      <c r="R4424" s="100"/>
      <c r="S4424" s="100"/>
      <c r="T4424" s="100"/>
      <c r="U4424" s="100"/>
      <c r="V4424" s="100"/>
      <c r="W4424" s="100"/>
      <c r="X4424" s="100"/>
      <c r="Y4424" s="100"/>
      <c r="Z4424" s="100"/>
    </row>
    <row r="4425" spans="1:26">
      <c r="A4425" s="100"/>
      <c r="B4425" s="100"/>
      <c r="C4425" s="100"/>
      <c r="D4425" s="100"/>
      <c r="E4425" s="100"/>
      <c r="F4425" s="100"/>
      <c r="G4425" s="100"/>
      <c r="H4425" s="100"/>
      <c r="I4425" s="100"/>
      <c r="J4425" s="100"/>
      <c r="K4425" s="100"/>
      <c r="L4425" s="100"/>
      <c r="M4425" s="100"/>
      <c r="N4425" s="100"/>
      <c r="O4425" s="100"/>
      <c r="P4425" s="100"/>
      <c r="Q4425" s="100"/>
      <c r="R4425" s="100"/>
      <c r="S4425" s="100"/>
      <c r="T4425" s="100"/>
      <c r="U4425" s="100"/>
      <c r="V4425" s="100"/>
      <c r="W4425" s="100"/>
      <c r="X4425" s="100"/>
      <c r="Y4425" s="100"/>
      <c r="Z4425" s="100"/>
    </row>
    <row r="4426" spans="1:26">
      <c r="A4426" s="100"/>
      <c r="B4426" s="100"/>
      <c r="C4426" s="100"/>
      <c r="D4426" s="100"/>
      <c r="E4426" s="100"/>
      <c r="F4426" s="100"/>
      <c r="G4426" s="100"/>
      <c r="H4426" s="100"/>
      <c r="I4426" s="100"/>
      <c r="J4426" s="100"/>
      <c r="K4426" s="100"/>
      <c r="L4426" s="100"/>
      <c r="M4426" s="100"/>
      <c r="N4426" s="100"/>
      <c r="O4426" s="100"/>
      <c r="P4426" s="100"/>
      <c r="Q4426" s="100"/>
      <c r="R4426" s="100"/>
      <c r="S4426" s="100"/>
      <c r="T4426" s="100"/>
      <c r="U4426" s="100"/>
      <c r="V4426" s="100"/>
      <c r="W4426" s="100"/>
      <c r="X4426" s="100"/>
      <c r="Y4426" s="100"/>
      <c r="Z4426" s="100"/>
    </row>
    <row r="4427" spans="1:26">
      <c r="A4427" s="100"/>
      <c r="B4427" s="100"/>
      <c r="C4427" s="100"/>
      <c r="D4427" s="100"/>
      <c r="E4427" s="100"/>
      <c r="F4427" s="100"/>
      <c r="G4427" s="100"/>
      <c r="H4427" s="100"/>
      <c r="I4427" s="100"/>
      <c r="J4427" s="100"/>
      <c r="K4427" s="100"/>
      <c r="L4427" s="100"/>
      <c r="M4427" s="100"/>
      <c r="N4427" s="100"/>
      <c r="O4427" s="100"/>
      <c r="P4427" s="100"/>
      <c r="Q4427" s="100"/>
      <c r="R4427" s="100"/>
      <c r="S4427" s="100"/>
      <c r="T4427" s="100"/>
      <c r="U4427" s="100"/>
      <c r="V4427" s="100"/>
      <c r="W4427" s="100"/>
      <c r="X4427" s="100"/>
      <c r="Y4427" s="100"/>
      <c r="Z4427" s="100"/>
    </row>
    <row r="4428" spans="1:26">
      <c r="A4428" s="100"/>
      <c r="B4428" s="100"/>
      <c r="C4428" s="100"/>
      <c r="D4428" s="100"/>
      <c r="E4428" s="100"/>
      <c r="F4428" s="100"/>
      <c r="G4428" s="100"/>
      <c r="H4428" s="100"/>
      <c r="I4428" s="100"/>
      <c r="J4428" s="100"/>
      <c r="K4428" s="100"/>
      <c r="L4428" s="100"/>
      <c r="M4428" s="100"/>
      <c r="N4428" s="100"/>
      <c r="O4428" s="100"/>
      <c r="P4428" s="100"/>
      <c r="Q4428" s="100"/>
      <c r="R4428" s="100"/>
      <c r="S4428" s="100"/>
      <c r="T4428" s="100"/>
      <c r="U4428" s="100"/>
      <c r="V4428" s="100"/>
      <c r="W4428" s="100"/>
      <c r="X4428" s="100"/>
      <c r="Y4428" s="100"/>
      <c r="Z4428" s="100"/>
    </row>
    <row r="4429" spans="1:26">
      <c r="A4429" s="100"/>
      <c r="B4429" s="100"/>
      <c r="C4429" s="100"/>
      <c r="D4429" s="100"/>
      <c r="E4429" s="100"/>
      <c r="F4429" s="100"/>
      <c r="G4429" s="100"/>
      <c r="H4429" s="100"/>
      <c r="I4429" s="100"/>
      <c r="J4429" s="100"/>
      <c r="K4429" s="100"/>
      <c r="L4429" s="100"/>
      <c r="M4429" s="100"/>
      <c r="N4429" s="100"/>
      <c r="O4429" s="100"/>
      <c r="P4429" s="100"/>
      <c r="Q4429" s="100"/>
      <c r="R4429" s="100"/>
      <c r="S4429" s="100"/>
      <c r="T4429" s="100"/>
      <c r="U4429" s="100"/>
      <c r="V4429" s="100"/>
      <c r="W4429" s="100"/>
      <c r="X4429" s="100"/>
      <c r="Y4429" s="100"/>
      <c r="Z4429" s="100"/>
    </row>
    <row r="4430" spans="1:26">
      <c r="A4430" s="100"/>
      <c r="B4430" s="100"/>
      <c r="C4430" s="100"/>
      <c r="D4430" s="100"/>
      <c r="E4430" s="100"/>
      <c r="F4430" s="100"/>
      <c r="G4430" s="100"/>
      <c r="H4430" s="100"/>
      <c r="I4430" s="100"/>
      <c r="J4430" s="100"/>
      <c r="K4430" s="100"/>
      <c r="L4430" s="100"/>
      <c r="M4430" s="100"/>
      <c r="N4430" s="100"/>
      <c r="O4430" s="100"/>
      <c r="P4430" s="100"/>
      <c r="Q4430" s="100"/>
      <c r="R4430" s="100"/>
      <c r="S4430" s="100"/>
      <c r="T4430" s="100"/>
      <c r="U4430" s="100"/>
      <c r="V4430" s="100"/>
      <c r="W4430" s="100"/>
      <c r="X4430" s="100"/>
      <c r="Y4430" s="100"/>
      <c r="Z4430" s="100"/>
    </row>
    <row r="4431" spans="1:26">
      <c r="A4431" s="100"/>
      <c r="B4431" s="100"/>
      <c r="C4431" s="100"/>
      <c r="D4431" s="100"/>
      <c r="E4431" s="100"/>
      <c r="F4431" s="100"/>
      <c r="G4431" s="100"/>
      <c r="H4431" s="100"/>
      <c r="I4431" s="100"/>
      <c r="J4431" s="100"/>
      <c r="K4431" s="100"/>
      <c r="L4431" s="100"/>
      <c r="M4431" s="100"/>
      <c r="N4431" s="100"/>
      <c r="O4431" s="100"/>
      <c r="P4431" s="100"/>
      <c r="Q4431" s="100"/>
      <c r="R4431" s="100"/>
      <c r="S4431" s="100"/>
      <c r="T4431" s="100"/>
      <c r="U4431" s="100"/>
      <c r="V4431" s="100"/>
      <c r="W4431" s="100"/>
      <c r="X4431" s="100"/>
      <c r="Y4431" s="100"/>
      <c r="Z4431" s="100"/>
    </row>
    <row r="4432" spans="1:26">
      <c r="A4432" s="100"/>
      <c r="B4432" s="100"/>
      <c r="C4432" s="100"/>
      <c r="D4432" s="100"/>
      <c r="E4432" s="100"/>
      <c r="F4432" s="100"/>
      <c r="G4432" s="100"/>
      <c r="H4432" s="100"/>
      <c r="I4432" s="100"/>
      <c r="J4432" s="100"/>
      <c r="K4432" s="100"/>
      <c r="L4432" s="100"/>
      <c r="M4432" s="100"/>
      <c r="N4432" s="100"/>
      <c r="O4432" s="100"/>
      <c r="P4432" s="100"/>
      <c r="Q4432" s="100"/>
      <c r="R4432" s="100"/>
      <c r="S4432" s="100"/>
      <c r="T4432" s="100"/>
      <c r="U4432" s="100"/>
      <c r="V4432" s="100"/>
      <c r="W4432" s="100"/>
      <c r="X4432" s="100"/>
      <c r="Y4432" s="100"/>
      <c r="Z4432" s="100"/>
    </row>
    <row r="4433" spans="1:26">
      <c r="A4433" s="100"/>
      <c r="B4433" s="100"/>
      <c r="C4433" s="100"/>
      <c r="D4433" s="100"/>
      <c r="E4433" s="100"/>
      <c r="F4433" s="100"/>
      <c r="G4433" s="100"/>
      <c r="H4433" s="100"/>
      <c r="I4433" s="100"/>
      <c r="J4433" s="100"/>
      <c r="K4433" s="100"/>
      <c r="L4433" s="100"/>
      <c r="M4433" s="100"/>
      <c r="N4433" s="100"/>
      <c r="O4433" s="100"/>
      <c r="P4433" s="100"/>
      <c r="Q4433" s="100"/>
      <c r="R4433" s="100"/>
      <c r="S4433" s="100"/>
      <c r="T4433" s="100"/>
      <c r="U4433" s="100"/>
      <c r="V4433" s="100"/>
      <c r="W4433" s="100"/>
      <c r="X4433" s="100"/>
      <c r="Y4433" s="100"/>
      <c r="Z4433" s="100"/>
    </row>
    <row r="4434" spans="1:26">
      <c r="A4434" s="100"/>
      <c r="B4434" s="100"/>
      <c r="C4434" s="100"/>
      <c r="D4434" s="100"/>
      <c r="E4434" s="100"/>
      <c r="F4434" s="100"/>
      <c r="G4434" s="100"/>
      <c r="H4434" s="100"/>
      <c r="I4434" s="100"/>
      <c r="J4434" s="100"/>
      <c r="K4434" s="100"/>
      <c r="L4434" s="100"/>
      <c r="M4434" s="100"/>
      <c r="N4434" s="100"/>
      <c r="O4434" s="100"/>
      <c r="P4434" s="100"/>
      <c r="Q4434" s="100"/>
      <c r="R4434" s="100"/>
      <c r="S4434" s="100"/>
      <c r="T4434" s="100"/>
      <c r="U4434" s="100"/>
      <c r="V4434" s="100"/>
      <c r="W4434" s="100"/>
      <c r="X4434" s="100"/>
      <c r="Y4434" s="100"/>
      <c r="Z4434" s="100"/>
    </row>
    <row r="4435" spans="1:26">
      <c r="A4435" s="100"/>
      <c r="B4435" s="100"/>
      <c r="C4435" s="100"/>
      <c r="D4435" s="100"/>
      <c r="E4435" s="100"/>
      <c r="F4435" s="100"/>
      <c r="G4435" s="100"/>
      <c r="H4435" s="100"/>
      <c r="I4435" s="100"/>
      <c r="J4435" s="100"/>
      <c r="K4435" s="100"/>
      <c r="L4435" s="100"/>
      <c r="M4435" s="100"/>
      <c r="N4435" s="100"/>
      <c r="O4435" s="100"/>
      <c r="P4435" s="100"/>
      <c r="Q4435" s="100"/>
      <c r="R4435" s="100"/>
      <c r="S4435" s="100"/>
      <c r="T4435" s="100"/>
      <c r="U4435" s="100"/>
      <c r="V4435" s="100"/>
      <c r="W4435" s="100"/>
      <c r="X4435" s="100"/>
      <c r="Y4435" s="100"/>
      <c r="Z4435" s="100"/>
    </row>
    <row r="4436" spans="1:26">
      <c r="A4436" s="100"/>
      <c r="B4436" s="100"/>
      <c r="C4436" s="100"/>
      <c r="D4436" s="100"/>
      <c r="E4436" s="100"/>
      <c r="F4436" s="100"/>
      <c r="G4436" s="100"/>
      <c r="H4436" s="100"/>
      <c r="I4436" s="100"/>
      <c r="J4436" s="100"/>
      <c r="K4436" s="100"/>
      <c r="L4436" s="100"/>
      <c r="M4436" s="100"/>
      <c r="N4436" s="100"/>
      <c r="O4436" s="100"/>
      <c r="P4436" s="100"/>
      <c r="Q4436" s="100"/>
      <c r="R4436" s="100"/>
      <c r="S4436" s="100"/>
      <c r="T4436" s="100"/>
      <c r="U4436" s="100"/>
      <c r="V4436" s="100"/>
      <c r="W4436" s="100"/>
      <c r="X4436" s="100"/>
      <c r="Y4436" s="100"/>
      <c r="Z4436" s="100"/>
    </row>
    <row r="4437" spans="1:26">
      <c r="A4437" s="100"/>
      <c r="B4437" s="100"/>
      <c r="C4437" s="100"/>
      <c r="D4437" s="100"/>
      <c r="E4437" s="100"/>
      <c r="F4437" s="100"/>
      <c r="G4437" s="100"/>
      <c r="H4437" s="100"/>
      <c r="I4437" s="100"/>
      <c r="J4437" s="100"/>
      <c r="K4437" s="100"/>
      <c r="L4437" s="100"/>
      <c r="M4437" s="100"/>
      <c r="N4437" s="100"/>
      <c r="O4437" s="100"/>
      <c r="P4437" s="100"/>
      <c r="Q4437" s="100"/>
      <c r="R4437" s="100"/>
      <c r="S4437" s="100"/>
      <c r="T4437" s="100"/>
      <c r="U4437" s="100"/>
      <c r="V4437" s="100"/>
      <c r="W4437" s="100"/>
      <c r="X4437" s="100"/>
      <c r="Y4437" s="100"/>
      <c r="Z4437" s="100"/>
    </row>
    <row r="4438" spans="1:26">
      <c r="A4438" s="100"/>
      <c r="B4438" s="100"/>
      <c r="C4438" s="100"/>
      <c r="D4438" s="100"/>
      <c r="E4438" s="100"/>
      <c r="F4438" s="100"/>
      <c r="G4438" s="100"/>
      <c r="H4438" s="100"/>
      <c r="I4438" s="100"/>
      <c r="J4438" s="100"/>
      <c r="K4438" s="100"/>
      <c r="L4438" s="100"/>
      <c r="M4438" s="100"/>
      <c r="N4438" s="100"/>
      <c r="O4438" s="100"/>
      <c r="P4438" s="100"/>
      <c r="Q4438" s="100"/>
      <c r="R4438" s="100"/>
      <c r="S4438" s="100"/>
      <c r="T4438" s="100"/>
      <c r="U4438" s="100"/>
      <c r="V4438" s="100"/>
      <c r="W4438" s="100"/>
      <c r="X4438" s="100"/>
      <c r="Y4438" s="100"/>
      <c r="Z4438" s="100"/>
    </row>
    <row r="4439" spans="1:26">
      <c r="A4439" s="100"/>
      <c r="B4439" s="100"/>
      <c r="C4439" s="100"/>
      <c r="D4439" s="100"/>
      <c r="E4439" s="100"/>
      <c r="F4439" s="100"/>
      <c r="G4439" s="100"/>
      <c r="H4439" s="100"/>
      <c r="I4439" s="100"/>
      <c r="J4439" s="100"/>
      <c r="K4439" s="100"/>
      <c r="L4439" s="100"/>
      <c r="M4439" s="100"/>
      <c r="N4439" s="100"/>
      <c r="O4439" s="100"/>
      <c r="P4439" s="100"/>
      <c r="Q4439" s="100"/>
      <c r="R4439" s="100"/>
      <c r="S4439" s="100"/>
      <c r="T4439" s="100"/>
      <c r="U4439" s="100"/>
      <c r="V4439" s="100"/>
      <c r="W4439" s="100"/>
      <c r="X4439" s="100"/>
      <c r="Y4439" s="100"/>
      <c r="Z4439" s="100"/>
    </row>
    <row r="4440" spans="1:26">
      <c r="A4440" s="100"/>
      <c r="B4440" s="100"/>
      <c r="C4440" s="100"/>
      <c r="D4440" s="100"/>
      <c r="E4440" s="100"/>
      <c r="F4440" s="100"/>
      <c r="G4440" s="100"/>
      <c r="H4440" s="100"/>
      <c r="I4440" s="100"/>
      <c r="J4440" s="100"/>
      <c r="K4440" s="100"/>
      <c r="L4440" s="100"/>
      <c r="M4440" s="100"/>
      <c r="N4440" s="100"/>
      <c r="O4440" s="100"/>
      <c r="P4440" s="100"/>
      <c r="Q4440" s="100"/>
      <c r="R4440" s="100"/>
      <c r="S4440" s="100"/>
      <c r="T4440" s="100"/>
      <c r="U4440" s="100"/>
      <c r="V4440" s="100"/>
      <c r="W4440" s="100"/>
      <c r="X4440" s="100"/>
      <c r="Y4440" s="100"/>
      <c r="Z4440" s="100"/>
    </row>
    <row r="4441" spans="1:26">
      <c r="A4441" s="100"/>
      <c r="B4441" s="100"/>
      <c r="C4441" s="100"/>
      <c r="D4441" s="100"/>
      <c r="E4441" s="100"/>
      <c r="F4441" s="100"/>
      <c r="G4441" s="100"/>
      <c r="H4441" s="100"/>
      <c r="I4441" s="100"/>
      <c r="J4441" s="100"/>
      <c r="K4441" s="100"/>
      <c r="L4441" s="100"/>
      <c r="M4441" s="100"/>
      <c r="N4441" s="100"/>
      <c r="O4441" s="100"/>
      <c r="P4441" s="100"/>
      <c r="Q4441" s="100"/>
      <c r="R4441" s="100"/>
      <c r="S4441" s="100"/>
      <c r="T4441" s="100"/>
      <c r="U4441" s="100"/>
      <c r="V4441" s="100"/>
      <c r="W4441" s="100"/>
      <c r="X4441" s="100"/>
      <c r="Y4441" s="100"/>
      <c r="Z4441" s="100"/>
    </row>
    <row r="4442" spans="1:26">
      <c r="A4442" s="100"/>
      <c r="B4442" s="100"/>
      <c r="C4442" s="100"/>
      <c r="D4442" s="100"/>
      <c r="E4442" s="100"/>
      <c r="F4442" s="100"/>
      <c r="G4442" s="100"/>
      <c r="H4442" s="100"/>
      <c r="I4442" s="100"/>
      <c r="J4442" s="100"/>
      <c r="K4442" s="100"/>
      <c r="L4442" s="100"/>
      <c r="M4442" s="100"/>
      <c r="N4442" s="100"/>
      <c r="O4442" s="100"/>
      <c r="P4442" s="100"/>
      <c r="Q4442" s="100"/>
      <c r="R4442" s="100"/>
      <c r="S4442" s="100"/>
      <c r="T4442" s="100"/>
      <c r="U4442" s="100"/>
      <c r="V4442" s="100"/>
      <c r="W4442" s="100"/>
      <c r="X4442" s="100"/>
      <c r="Y4442" s="100"/>
      <c r="Z4442" s="100"/>
    </row>
    <row r="4443" spans="1:26">
      <c r="A4443" s="100"/>
      <c r="B4443" s="100"/>
      <c r="C4443" s="100"/>
      <c r="D4443" s="100"/>
      <c r="E4443" s="100"/>
      <c r="F4443" s="100"/>
      <c r="G4443" s="100"/>
      <c r="H4443" s="100"/>
      <c r="I4443" s="100"/>
      <c r="J4443" s="100"/>
      <c r="K4443" s="100"/>
      <c r="L4443" s="100"/>
      <c r="M4443" s="100"/>
      <c r="N4443" s="100"/>
      <c r="O4443" s="100"/>
      <c r="P4443" s="100"/>
      <c r="Q4443" s="100"/>
      <c r="R4443" s="100"/>
      <c r="S4443" s="100"/>
      <c r="T4443" s="100"/>
      <c r="U4443" s="100"/>
      <c r="V4443" s="100"/>
      <c r="W4443" s="100"/>
      <c r="X4443" s="100"/>
      <c r="Y4443" s="100"/>
      <c r="Z4443" s="100"/>
    </row>
    <row r="4444" spans="1:26">
      <c r="A4444" s="100"/>
      <c r="B4444" s="100"/>
      <c r="C4444" s="100"/>
      <c r="D4444" s="100"/>
      <c r="E4444" s="100"/>
      <c r="F4444" s="100"/>
      <c r="G4444" s="100"/>
      <c r="H4444" s="100"/>
      <c r="I4444" s="100"/>
      <c r="J4444" s="100"/>
      <c r="K4444" s="100"/>
      <c r="L4444" s="100"/>
      <c r="M4444" s="100"/>
      <c r="N4444" s="100"/>
      <c r="O4444" s="100"/>
      <c r="P4444" s="100"/>
      <c r="Q4444" s="100"/>
      <c r="R4444" s="100"/>
      <c r="S4444" s="100"/>
      <c r="T4444" s="100"/>
      <c r="U4444" s="100"/>
      <c r="V4444" s="100"/>
      <c r="W4444" s="100"/>
      <c r="X4444" s="100"/>
      <c r="Y4444" s="100"/>
      <c r="Z4444" s="100"/>
    </row>
    <row r="4445" spans="1:26">
      <c r="A4445" s="100"/>
      <c r="B4445" s="100"/>
      <c r="C4445" s="100"/>
      <c r="D4445" s="100"/>
      <c r="E4445" s="100"/>
      <c r="F4445" s="100"/>
      <c r="G4445" s="100"/>
      <c r="H4445" s="100"/>
      <c r="I4445" s="100"/>
      <c r="J4445" s="100"/>
      <c r="K4445" s="100"/>
      <c r="L4445" s="100"/>
      <c r="M4445" s="100"/>
      <c r="N4445" s="100"/>
      <c r="O4445" s="100"/>
      <c r="P4445" s="100"/>
      <c r="Q4445" s="100"/>
      <c r="R4445" s="100"/>
      <c r="S4445" s="100"/>
      <c r="T4445" s="100"/>
      <c r="U4445" s="100"/>
      <c r="V4445" s="100"/>
      <c r="W4445" s="100"/>
      <c r="X4445" s="100"/>
      <c r="Y4445" s="100"/>
      <c r="Z4445" s="100"/>
    </row>
    <row r="4446" spans="1:26">
      <c r="A4446" s="100"/>
      <c r="B4446" s="100"/>
      <c r="C4446" s="100"/>
      <c r="D4446" s="100"/>
      <c r="E4446" s="100"/>
      <c r="F4446" s="100"/>
      <c r="G4446" s="100"/>
      <c r="H4446" s="100"/>
      <c r="I4446" s="100"/>
      <c r="J4446" s="100"/>
      <c r="K4446" s="100"/>
      <c r="L4446" s="100"/>
      <c r="M4446" s="100"/>
      <c r="N4446" s="100"/>
      <c r="O4446" s="100"/>
      <c r="P4446" s="100"/>
      <c r="Q4446" s="100"/>
      <c r="R4446" s="100"/>
      <c r="S4446" s="100"/>
      <c r="T4446" s="100"/>
      <c r="U4446" s="100"/>
      <c r="V4446" s="100"/>
      <c r="W4446" s="100"/>
      <c r="X4446" s="100"/>
      <c r="Y4446" s="100"/>
      <c r="Z4446" s="100"/>
    </row>
    <row r="4447" spans="1:26">
      <c r="A4447" s="100"/>
      <c r="B4447" s="100"/>
      <c r="C4447" s="100"/>
      <c r="D4447" s="100"/>
      <c r="E4447" s="100"/>
      <c r="F4447" s="100"/>
      <c r="G4447" s="100"/>
      <c r="H4447" s="100"/>
      <c r="I4447" s="100"/>
      <c r="J4447" s="100"/>
      <c r="K4447" s="100"/>
      <c r="L4447" s="100"/>
      <c r="M4447" s="100"/>
      <c r="N4447" s="100"/>
      <c r="O4447" s="100"/>
      <c r="P4447" s="100"/>
      <c r="Q4447" s="100"/>
      <c r="R4447" s="100"/>
      <c r="S4447" s="100"/>
      <c r="T4447" s="100"/>
      <c r="U4447" s="100"/>
      <c r="V4447" s="100"/>
      <c r="W4447" s="100"/>
      <c r="X4447" s="100"/>
      <c r="Y4447" s="100"/>
      <c r="Z4447" s="100"/>
    </row>
    <row r="4448" spans="1:26">
      <c r="A4448" s="100"/>
      <c r="B4448" s="100"/>
      <c r="C4448" s="100"/>
      <c r="D4448" s="100"/>
      <c r="E4448" s="100"/>
      <c r="F4448" s="100"/>
      <c r="G4448" s="100"/>
      <c r="H4448" s="100"/>
      <c r="I4448" s="100"/>
      <c r="J4448" s="100"/>
      <c r="K4448" s="100"/>
      <c r="L4448" s="100"/>
      <c r="M4448" s="100"/>
      <c r="N4448" s="100"/>
      <c r="O4448" s="100"/>
      <c r="P4448" s="100"/>
      <c r="Q4448" s="100"/>
      <c r="R4448" s="100"/>
      <c r="S4448" s="100"/>
      <c r="T4448" s="100"/>
      <c r="U4448" s="100"/>
      <c r="V4448" s="100"/>
      <c r="W4448" s="100"/>
      <c r="X4448" s="100"/>
      <c r="Y4448" s="100"/>
      <c r="Z4448" s="100"/>
    </row>
    <row r="4449" spans="1:26">
      <c r="A4449" s="100"/>
      <c r="B4449" s="100"/>
      <c r="C4449" s="100"/>
      <c r="D4449" s="100"/>
      <c r="E4449" s="100"/>
      <c r="F4449" s="100"/>
      <c r="G4449" s="100"/>
      <c r="H4449" s="100"/>
      <c r="I4449" s="100"/>
      <c r="J4449" s="100"/>
      <c r="K4449" s="100"/>
      <c r="L4449" s="100"/>
      <c r="M4449" s="100"/>
      <c r="N4449" s="100"/>
      <c r="O4449" s="100"/>
      <c r="P4449" s="100"/>
      <c r="Q4449" s="100"/>
      <c r="R4449" s="100"/>
      <c r="S4449" s="100"/>
      <c r="T4449" s="100"/>
      <c r="U4449" s="100"/>
      <c r="V4449" s="100"/>
      <c r="W4449" s="100"/>
      <c r="X4449" s="100"/>
      <c r="Y4449" s="100"/>
      <c r="Z4449" s="100"/>
    </row>
    <row r="4450" spans="1:26">
      <c r="A4450" s="100"/>
      <c r="B4450" s="100"/>
      <c r="C4450" s="100"/>
      <c r="D4450" s="100"/>
      <c r="E4450" s="100"/>
      <c r="F4450" s="100"/>
      <c r="G4450" s="100"/>
      <c r="H4450" s="100"/>
      <c r="I4450" s="100"/>
      <c r="J4450" s="100"/>
      <c r="K4450" s="100"/>
      <c r="L4450" s="100"/>
      <c r="M4450" s="100"/>
      <c r="N4450" s="100"/>
      <c r="O4450" s="100"/>
      <c r="P4450" s="100"/>
      <c r="Q4450" s="100"/>
      <c r="R4450" s="100"/>
      <c r="S4450" s="100"/>
      <c r="T4450" s="100"/>
      <c r="U4450" s="100"/>
      <c r="V4450" s="100"/>
      <c r="W4450" s="100"/>
      <c r="X4450" s="100"/>
      <c r="Y4450" s="100"/>
      <c r="Z4450" s="100"/>
    </row>
    <row r="4451" spans="1:26">
      <c r="A4451" s="100"/>
      <c r="B4451" s="100"/>
      <c r="C4451" s="100"/>
      <c r="D4451" s="100"/>
      <c r="E4451" s="100"/>
      <c r="F4451" s="100"/>
      <c r="G4451" s="100"/>
      <c r="H4451" s="100"/>
      <c r="I4451" s="100"/>
      <c r="J4451" s="100"/>
      <c r="K4451" s="100"/>
      <c r="L4451" s="100"/>
      <c r="M4451" s="100"/>
      <c r="N4451" s="100"/>
      <c r="O4451" s="100"/>
      <c r="P4451" s="100"/>
      <c r="Q4451" s="100"/>
      <c r="R4451" s="100"/>
      <c r="S4451" s="100"/>
      <c r="T4451" s="100"/>
      <c r="U4451" s="100"/>
      <c r="V4451" s="100"/>
      <c r="W4451" s="100"/>
      <c r="X4451" s="100"/>
      <c r="Y4451" s="100"/>
      <c r="Z4451" s="100"/>
    </row>
    <row r="4452" spans="1:26">
      <c r="A4452" s="100"/>
      <c r="B4452" s="100"/>
      <c r="C4452" s="100"/>
      <c r="D4452" s="100"/>
      <c r="E4452" s="100"/>
      <c r="F4452" s="100"/>
      <c r="G4452" s="100"/>
      <c r="H4452" s="100"/>
      <c r="I4452" s="100"/>
      <c r="J4452" s="100"/>
      <c r="K4452" s="100"/>
      <c r="L4452" s="100"/>
      <c r="M4452" s="100"/>
      <c r="N4452" s="100"/>
      <c r="O4452" s="100"/>
      <c r="P4452" s="100"/>
      <c r="Q4452" s="100"/>
      <c r="R4452" s="100"/>
      <c r="S4452" s="100"/>
      <c r="T4452" s="100"/>
      <c r="U4452" s="100"/>
      <c r="V4452" s="100"/>
      <c r="W4452" s="100"/>
      <c r="X4452" s="100"/>
      <c r="Y4452" s="100"/>
      <c r="Z4452" s="100"/>
    </row>
    <row r="4453" spans="1:26">
      <c r="A4453" s="100"/>
      <c r="B4453" s="100"/>
      <c r="C4453" s="100"/>
      <c r="D4453" s="100"/>
      <c r="E4453" s="100"/>
      <c r="F4453" s="100"/>
      <c r="G4453" s="100"/>
      <c r="H4453" s="100"/>
      <c r="I4453" s="100"/>
      <c r="J4453" s="100"/>
      <c r="K4453" s="100"/>
      <c r="L4453" s="100"/>
      <c r="M4453" s="100"/>
      <c r="N4453" s="100"/>
      <c r="O4453" s="100"/>
      <c r="P4453" s="100"/>
      <c r="Q4453" s="100"/>
      <c r="R4453" s="100"/>
      <c r="S4453" s="100"/>
      <c r="T4453" s="100"/>
      <c r="U4453" s="100"/>
      <c r="V4453" s="100"/>
      <c r="W4453" s="100"/>
      <c r="X4453" s="100"/>
      <c r="Y4453" s="100"/>
      <c r="Z4453" s="100"/>
    </row>
    <row r="4454" spans="1:26">
      <c r="A4454" s="100"/>
      <c r="B4454" s="100"/>
      <c r="C4454" s="100"/>
      <c r="D4454" s="100"/>
      <c r="E4454" s="100"/>
      <c r="F4454" s="100"/>
      <c r="G4454" s="100"/>
      <c r="H4454" s="100"/>
      <c r="I4454" s="100"/>
      <c r="J4454" s="100"/>
      <c r="K4454" s="100"/>
      <c r="L4454" s="100"/>
      <c r="M4454" s="100"/>
      <c r="N4454" s="100"/>
      <c r="O4454" s="100"/>
      <c r="P4454" s="100"/>
      <c r="Q4454" s="100"/>
      <c r="R4454" s="100"/>
      <c r="S4454" s="100"/>
      <c r="T4454" s="100"/>
      <c r="U4454" s="100"/>
      <c r="V4454" s="100"/>
      <c r="W4454" s="100"/>
      <c r="X4454" s="100"/>
      <c r="Y4454" s="100"/>
      <c r="Z4454" s="100"/>
    </row>
    <row r="4455" spans="1:26">
      <c r="A4455" s="100"/>
      <c r="B4455" s="100"/>
      <c r="C4455" s="100"/>
      <c r="D4455" s="100"/>
      <c r="E4455" s="100"/>
      <c r="F4455" s="100"/>
      <c r="G4455" s="100"/>
      <c r="H4455" s="100"/>
      <c r="I4455" s="100"/>
      <c r="J4455" s="100"/>
      <c r="K4455" s="100"/>
      <c r="L4455" s="100"/>
      <c r="M4455" s="100"/>
      <c r="N4455" s="100"/>
      <c r="O4455" s="100"/>
      <c r="P4455" s="100"/>
      <c r="Q4455" s="100"/>
      <c r="R4455" s="100"/>
      <c r="S4455" s="100"/>
      <c r="T4455" s="100"/>
      <c r="U4455" s="100"/>
      <c r="V4455" s="100"/>
      <c r="W4455" s="100"/>
      <c r="X4455" s="100"/>
      <c r="Y4455" s="100"/>
      <c r="Z4455" s="100"/>
    </row>
    <row r="4456" spans="1:26">
      <c r="A4456" s="100"/>
      <c r="B4456" s="100"/>
      <c r="C4456" s="100"/>
      <c r="D4456" s="100"/>
      <c r="E4456" s="100"/>
      <c r="F4456" s="100"/>
      <c r="G4456" s="100"/>
      <c r="H4456" s="100"/>
      <c r="I4456" s="100"/>
      <c r="J4456" s="100"/>
      <c r="K4456" s="100"/>
      <c r="L4456" s="100"/>
      <c r="M4456" s="100"/>
      <c r="N4456" s="100"/>
      <c r="O4456" s="100"/>
      <c r="P4456" s="100"/>
      <c r="Q4456" s="100"/>
      <c r="R4456" s="100"/>
      <c r="S4456" s="100"/>
      <c r="T4456" s="100"/>
      <c r="U4456" s="100"/>
      <c r="V4456" s="100"/>
      <c r="W4456" s="100"/>
      <c r="X4456" s="100"/>
      <c r="Y4456" s="100"/>
      <c r="Z4456" s="100"/>
    </row>
    <row r="4457" spans="1:26">
      <c r="A4457" s="100"/>
      <c r="B4457" s="100"/>
      <c r="C4457" s="100"/>
      <c r="D4457" s="100"/>
      <c r="E4457" s="100"/>
      <c r="F4457" s="100"/>
      <c r="G4457" s="100"/>
      <c r="H4457" s="100"/>
      <c r="I4457" s="100"/>
      <c r="J4457" s="100"/>
      <c r="K4457" s="100"/>
      <c r="L4457" s="100"/>
      <c r="M4457" s="100"/>
      <c r="N4457" s="100"/>
      <c r="O4457" s="100"/>
      <c r="P4457" s="100"/>
      <c r="Q4457" s="100"/>
      <c r="R4457" s="100"/>
      <c r="S4457" s="100"/>
      <c r="T4457" s="100"/>
      <c r="U4457" s="100"/>
      <c r="V4457" s="100"/>
      <c r="W4457" s="100"/>
      <c r="X4457" s="100"/>
      <c r="Y4457" s="100"/>
      <c r="Z4457" s="100"/>
    </row>
    <row r="4458" spans="1:26">
      <c r="A4458" s="100"/>
      <c r="B4458" s="100"/>
      <c r="C4458" s="100"/>
      <c r="D4458" s="100"/>
      <c r="E4458" s="100"/>
      <c r="F4458" s="100"/>
      <c r="G4458" s="100"/>
      <c r="H4458" s="100"/>
      <c r="I4458" s="100"/>
      <c r="J4458" s="100"/>
      <c r="K4458" s="100"/>
      <c r="L4458" s="100"/>
      <c r="M4458" s="100"/>
      <c r="N4458" s="100"/>
      <c r="O4458" s="100"/>
      <c r="P4458" s="100"/>
      <c r="Q4458" s="100"/>
      <c r="R4458" s="100"/>
      <c r="S4458" s="100"/>
      <c r="T4458" s="100"/>
      <c r="U4458" s="100"/>
      <c r="V4458" s="100"/>
      <c r="W4458" s="100"/>
      <c r="X4458" s="100"/>
      <c r="Y4458" s="100"/>
      <c r="Z4458" s="100"/>
    </row>
    <row r="4459" spans="1:26">
      <c r="A4459" s="100"/>
      <c r="B4459" s="100"/>
      <c r="C4459" s="100"/>
      <c r="D4459" s="100"/>
      <c r="E4459" s="100"/>
      <c r="F4459" s="100"/>
      <c r="G4459" s="100"/>
      <c r="H4459" s="100"/>
      <c r="I4459" s="100"/>
      <c r="J4459" s="100"/>
      <c r="K4459" s="100"/>
      <c r="L4459" s="100"/>
      <c r="M4459" s="100"/>
      <c r="N4459" s="100"/>
      <c r="O4459" s="100"/>
      <c r="P4459" s="100"/>
      <c r="Q4459" s="100"/>
      <c r="R4459" s="100"/>
      <c r="S4459" s="100"/>
      <c r="T4459" s="100"/>
      <c r="U4459" s="100"/>
      <c r="V4459" s="100"/>
      <c r="W4459" s="100"/>
      <c r="X4459" s="100"/>
      <c r="Y4459" s="100"/>
      <c r="Z4459" s="100"/>
    </row>
    <row r="4460" spans="1:26">
      <c r="A4460" s="100"/>
      <c r="B4460" s="100"/>
      <c r="C4460" s="100"/>
      <c r="D4460" s="100"/>
      <c r="E4460" s="100"/>
      <c r="F4460" s="100"/>
      <c r="G4460" s="100"/>
      <c r="H4460" s="100"/>
      <c r="I4460" s="100"/>
      <c r="J4460" s="100"/>
      <c r="K4460" s="100"/>
      <c r="L4460" s="100"/>
      <c r="M4460" s="100"/>
      <c r="N4460" s="100"/>
      <c r="O4460" s="100"/>
      <c r="P4460" s="100"/>
      <c r="Q4460" s="100"/>
      <c r="R4460" s="100"/>
      <c r="S4460" s="100"/>
      <c r="T4460" s="100"/>
      <c r="U4460" s="100"/>
      <c r="V4460" s="100"/>
      <c r="W4460" s="100"/>
      <c r="X4460" s="100"/>
      <c r="Y4460" s="100"/>
      <c r="Z4460" s="100"/>
    </row>
    <row r="4461" spans="1:26">
      <c r="A4461" s="100"/>
      <c r="B4461" s="100"/>
      <c r="C4461" s="100"/>
      <c r="D4461" s="100"/>
      <c r="E4461" s="100"/>
      <c r="F4461" s="100"/>
      <c r="G4461" s="100"/>
      <c r="H4461" s="100"/>
      <c r="I4461" s="100"/>
      <c r="J4461" s="100"/>
      <c r="K4461" s="100"/>
      <c r="L4461" s="100"/>
      <c r="M4461" s="100"/>
      <c r="N4461" s="100"/>
      <c r="O4461" s="100"/>
      <c r="P4461" s="100"/>
      <c r="Q4461" s="100"/>
      <c r="R4461" s="100"/>
      <c r="S4461" s="100"/>
      <c r="T4461" s="100"/>
      <c r="U4461" s="100"/>
      <c r="V4461" s="100"/>
      <c r="W4461" s="100"/>
      <c r="X4461" s="100"/>
      <c r="Y4461" s="100"/>
      <c r="Z4461" s="100"/>
    </row>
    <row r="4462" spans="1:26">
      <c r="A4462" s="100"/>
      <c r="B4462" s="100"/>
      <c r="C4462" s="100"/>
      <c r="D4462" s="100"/>
      <c r="E4462" s="100"/>
      <c r="F4462" s="100"/>
      <c r="G4462" s="100"/>
      <c r="H4462" s="100"/>
      <c r="I4462" s="100"/>
      <c r="J4462" s="100"/>
      <c r="K4462" s="100"/>
      <c r="L4462" s="100"/>
      <c r="M4462" s="100"/>
      <c r="N4462" s="100"/>
      <c r="O4462" s="100"/>
      <c r="P4462" s="100"/>
      <c r="Q4462" s="100"/>
      <c r="R4462" s="100"/>
      <c r="S4462" s="100"/>
      <c r="T4462" s="100"/>
      <c r="U4462" s="100"/>
      <c r="V4462" s="100"/>
      <c r="W4462" s="100"/>
      <c r="X4462" s="100"/>
      <c r="Y4462" s="100"/>
      <c r="Z4462" s="100"/>
    </row>
    <row r="4463" spans="1:26">
      <c r="A4463" s="100"/>
      <c r="B4463" s="100"/>
      <c r="C4463" s="100"/>
      <c r="D4463" s="100"/>
      <c r="E4463" s="100"/>
      <c r="F4463" s="100"/>
      <c r="G4463" s="100"/>
      <c r="H4463" s="100"/>
      <c r="I4463" s="100"/>
      <c r="J4463" s="100"/>
      <c r="K4463" s="100"/>
      <c r="L4463" s="100"/>
      <c r="M4463" s="100"/>
      <c r="N4463" s="100"/>
      <c r="O4463" s="100"/>
      <c r="P4463" s="100"/>
      <c r="Q4463" s="100"/>
      <c r="R4463" s="100"/>
      <c r="S4463" s="100"/>
      <c r="T4463" s="100"/>
      <c r="U4463" s="100"/>
      <c r="V4463" s="100"/>
      <c r="W4463" s="100"/>
      <c r="X4463" s="100"/>
      <c r="Y4463" s="100"/>
      <c r="Z4463" s="100"/>
    </row>
    <row r="4464" spans="1:26">
      <c r="A4464" s="100"/>
      <c r="B4464" s="100"/>
      <c r="C4464" s="100"/>
      <c r="D4464" s="100"/>
      <c r="E4464" s="100"/>
      <c r="F4464" s="100"/>
      <c r="G4464" s="100"/>
      <c r="H4464" s="100"/>
      <c r="I4464" s="100"/>
      <c r="J4464" s="100"/>
      <c r="K4464" s="100"/>
      <c r="L4464" s="100"/>
      <c r="M4464" s="100"/>
      <c r="N4464" s="100"/>
      <c r="O4464" s="100"/>
      <c r="P4464" s="100"/>
      <c r="Q4464" s="100"/>
      <c r="R4464" s="100"/>
      <c r="S4464" s="100"/>
      <c r="T4464" s="100"/>
      <c r="U4464" s="100"/>
      <c r="V4464" s="100"/>
      <c r="W4464" s="100"/>
      <c r="X4464" s="100"/>
      <c r="Y4464" s="100"/>
      <c r="Z4464" s="100"/>
    </row>
    <row r="4465" spans="1:26">
      <c r="A4465" s="100"/>
      <c r="B4465" s="100"/>
      <c r="C4465" s="100"/>
      <c r="D4465" s="100"/>
      <c r="E4465" s="100"/>
      <c r="F4465" s="100"/>
      <c r="G4465" s="100"/>
      <c r="H4465" s="100"/>
      <c r="I4465" s="100"/>
      <c r="J4465" s="100"/>
      <c r="K4465" s="100"/>
      <c r="L4465" s="100"/>
      <c r="M4465" s="100"/>
      <c r="N4465" s="100"/>
      <c r="O4465" s="100"/>
      <c r="P4465" s="100"/>
      <c r="Q4465" s="100"/>
      <c r="R4465" s="100"/>
      <c r="S4465" s="100"/>
      <c r="T4465" s="100"/>
      <c r="U4465" s="100"/>
      <c r="V4465" s="100"/>
      <c r="W4465" s="100"/>
      <c r="X4465" s="100"/>
      <c r="Y4465" s="100"/>
      <c r="Z4465" s="100"/>
    </row>
    <row r="4466" spans="1:26">
      <c r="A4466" s="100"/>
      <c r="B4466" s="100"/>
      <c r="C4466" s="100"/>
      <c r="D4466" s="100"/>
      <c r="E4466" s="100"/>
      <c r="F4466" s="100"/>
      <c r="G4466" s="100"/>
      <c r="H4466" s="100"/>
      <c r="I4466" s="100"/>
      <c r="J4466" s="100"/>
      <c r="K4466" s="100"/>
      <c r="L4466" s="100"/>
      <c r="M4466" s="100"/>
      <c r="N4466" s="100"/>
      <c r="O4466" s="100"/>
      <c r="P4466" s="100"/>
      <c r="Q4466" s="100"/>
      <c r="R4466" s="100"/>
      <c r="S4466" s="100"/>
      <c r="T4466" s="100"/>
      <c r="U4466" s="100"/>
      <c r="V4466" s="100"/>
      <c r="W4466" s="100"/>
      <c r="X4466" s="100"/>
      <c r="Y4466" s="100"/>
      <c r="Z4466" s="100"/>
    </row>
    <row r="4467" spans="1:26">
      <c r="A4467" s="100"/>
      <c r="B4467" s="100"/>
      <c r="C4467" s="100"/>
      <c r="D4467" s="100"/>
      <c r="E4467" s="100"/>
      <c r="F4467" s="100"/>
      <c r="G4467" s="100"/>
      <c r="H4467" s="100"/>
      <c r="I4467" s="100"/>
      <c r="J4467" s="100"/>
      <c r="K4467" s="100"/>
      <c r="L4467" s="100"/>
      <c r="M4467" s="100"/>
      <c r="N4467" s="100"/>
      <c r="O4467" s="100"/>
      <c r="P4467" s="100"/>
      <c r="Q4467" s="100"/>
      <c r="R4467" s="100"/>
      <c r="S4467" s="100"/>
      <c r="T4467" s="100"/>
      <c r="U4467" s="100"/>
      <c r="V4467" s="100"/>
      <c r="W4467" s="100"/>
      <c r="X4467" s="100"/>
      <c r="Y4467" s="100"/>
      <c r="Z4467" s="100"/>
    </row>
    <row r="4468" spans="1:26">
      <c r="A4468" s="100"/>
      <c r="B4468" s="100"/>
      <c r="C4468" s="100"/>
      <c r="D4468" s="100"/>
      <c r="E4468" s="100"/>
      <c r="F4468" s="100"/>
      <c r="G4468" s="100"/>
      <c r="H4468" s="100"/>
      <c r="I4468" s="100"/>
      <c r="J4468" s="100"/>
      <c r="K4468" s="100"/>
      <c r="L4468" s="100"/>
      <c r="M4468" s="100"/>
      <c r="N4468" s="100"/>
      <c r="O4468" s="100"/>
      <c r="P4468" s="100"/>
      <c r="Q4468" s="100"/>
      <c r="R4468" s="100"/>
      <c r="S4468" s="100"/>
      <c r="T4468" s="100"/>
      <c r="U4468" s="100"/>
      <c r="V4468" s="100"/>
      <c r="W4468" s="100"/>
      <c r="X4468" s="100"/>
      <c r="Y4468" s="100"/>
      <c r="Z4468" s="100"/>
    </row>
    <row r="4469" spans="1:26">
      <c r="A4469" s="100"/>
      <c r="B4469" s="100"/>
      <c r="C4469" s="100"/>
      <c r="D4469" s="100"/>
      <c r="E4469" s="100"/>
      <c r="F4469" s="100"/>
      <c r="G4469" s="100"/>
      <c r="H4469" s="100"/>
      <c r="I4469" s="100"/>
      <c r="J4469" s="100"/>
      <c r="K4469" s="100"/>
      <c r="L4469" s="100"/>
      <c r="M4469" s="100"/>
      <c r="N4469" s="100"/>
      <c r="O4469" s="100"/>
      <c r="P4469" s="100"/>
      <c r="Q4469" s="100"/>
      <c r="R4469" s="100"/>
      <c r="S4469" s="100"/>
      <c r="T4469" s="100"/>
      <c r="U4469" s="100"/>
      <c r="V4469" s="100"/>
      <c r="W4469" s="100"/>
      <c r="X4469" s="100"/>
      <c r="Y4469" s="100"/>
      <c r="Z4469" s="100"/>
    </row>
    <row r="4470" spans="1:26">
      <c r="A4470" s="100"/>
      <c r="B4470" s="100"/>
      <c r="C4470" s="100"/>
      <c r="D4470" s="100"/>
      <c r="E4470" s="100"/>
      <c r="F4470" s="100"/>
      <c r="G4470" s="100"/>
      <c r="H4470" s="100"/>
      <c r="I4470" s="100"/>
      <c r="J4470" s="100"/>
      <c r="K4470" s="100"/>
      <c r="L4470" s="100"/>
      <c r="M4470" s="100"/>
      <c r="N4470" s="100"/>
      <c r="O4470" s="100"/>
      <c r="P4470" s="100"/>
      <c r="Q4470" s="100"/>
      <c r="R4470" s="100"/>
      <c r="S4470" s="100"/>
      <c r="T4470" s="100"/>
      <c r="U4470" s="100"/>
      <c r="V4470" s="100"/>
      <c r="W4470" s="100"/>
      <c r="X4470" s="100"/>
      <c r="Y4470" s="100"/>
      <c r="Z4470" s="100"/>
    </row>
    <row r="4471" spans="1:26">
      <c r="A4471" s="100"/>
      <c r="B4471" s="100"/>
      <c r="C4471" s="100"/>
      <c r="D4471" s="100"/>
      <c r="E4471" s="100"/>
      <c r="F4471" s="100"/>
      <c r="G4471" s="100"/>
      <c r="H4471" s="100"/>
      <c r="I4471" s="100"/>
      <c r="J4471" s="100"/>
      <c r="K4471" s="100"/>
      <c r="L4471" s="100"/>
      <c r="M4471" s="100"/>
      <c r="N4471" s="100"/>
      <c r="O4471" s="100"/>
      <c r="P4471" s="100"/>
      <c r="Q4471" s="100"/>
      <c r="R4471" s="100"/>
      <c r="S4471" s="100"/>
      <c r="T4471" s="100"/>
      <c r="U4471" s="100"/>
      <c r="V4471" s="100"/>
      <c r="W4471" s="100"/>
      <c r="X4471" s="100"/>
      <c r="Y4471" s="100"/>
      <c r="Z4471" s="100"/>
    </row>
    <row r="4472" spans="1:26">
      <c r="A4472" s="100"/>
      <c r="B4472" s="100"/>
      <c r="C4472" s="100"/>
      <c r="D4472" s="100"/>
      <c r="E4472" s="100"/>
      <c r="F4472" s="100"/>
      <c r="G4472" s="100"/>
      <c r="H4472" s="100"/>
      <c r="I4472" s="100"/>
      <c r="J4472" s="100"/>
      <c r="K4472" s="100"/>
      <c r="L4472" s="100"/>
      <c r="M4472" s="100"/>
      <c r="N4472" s="100"/>
      <c r="O4472" s="100"/>
      <c r="P4472" s="100"/>
      <c r="Q4472" s="100"/>
      <c r="R4472" s="100"/>
      <c r="S4472" s="100"/>
      <c r="T4472" s="100"/>
      <c r="U4472" s="100"/>
      <c r="V4472" s="100"/>
      <c r="W4472" s="100"/>
      <c r="X4472" s="100"/>
      <c r="Y4472" s="100"/>
      <c r="Z4472" s="100"/>
    </row>
    <row r="4473" spans="1:26">
      <c r="A4473" s="100"/>
      <c r="B4473" s="100"/>
      <c r="C4473" s="100"/>
      <c r="D4473" s="100"/>
      <c r="E4473" s="100"/>
      <c r="F4473" s="100"/>
      <c r="G4473" s="100"/>
      <c r="H4473" s="100"/>
      <c r="I4473" s="100"/>
      <c r="J4473" s="100"/>
      <c r="K4473" s="100"/>
      <c r="L4473" s="100"/>
      <c r="M4473" s="100"/>
      <c r="N4473" s="100"/>
      <c r="O4473" s="100"/>
      <c r="P4473" s="100"/>
      <c r="Q4473" s="100"/>
      <c r="R4473" s="100"/>
      <c r="S4473" s="100"/>
      <c r="T4473" s="100"/>
      <c r="U4473" s="100"/>
      <c r="V4473" s="100"/>
      <c r="W4473" s="100"/>
      <c r="X4473" s="100"/>
      <c r="Y4473" s="100"/>
      <c r="Z4473" s="100"/>
    </row>
    <row r="4474" spans="1:26">
      <c r="A4474" s="100"/>
      <c r="B4474" s="100"/>
      <c r="C4474" s="100"/>
      <c r="D4474" s="100"/>
      <c r="E4474" s="100"/>
      <c r="F4474" s="100"/>
      <c r="G4474" s="100"/>
      <c r="H4474" s="100"/>
      <c r="I4474" s="100"/>
      <c r="J4474" s="100"/>
      <c r="K4474" s="100"/>
      <c r="L4474" s="100"/>
      <c r="M4474" s="100"/>
      <c r="N4474" s="100"/>
      <c r="O4474" s="100"/>
      <c r="P4474" s="100"/>
      <c r="Q4474" s="100"/>
      <c r="R4474" s="100"/>
      <c r="S4474" s="100"/>
      <c r="T4474" s="100"/>
      <c r="U4474" s="100"/>
      <c r="V4474" s="100"/>
      <c r="W4474" s="100"/>
      <c r="X4474" s="100"/>
      <c r="Y4474" s="100"/>
      <c r="Z4474" s="100"/>
    </row>
    <row r="4475" spans="1:26">
      <c r="A4475" s="100"/>
      <c r="B4475" s="100"/>
      <c r="C4475" s="100"/>
      <c r="D4475" s="100"/>
      <c r="E4475" s="100"/>
      <c r="F4475" s="100"/>
      <c r="G4475" s="100"/>
      <c r="H4475" s="100"/>
      <c r="I4475" s="100"/>
      <c r="J4475" s="100"/>
      <c r="K4475" s="100"/>
      <c r="L4475" s="100"/>
      <c r="M4475" s="100"/>
      <c r="N4475" s="100"/>
      <c r="O4475" s="100"/>
      <c r="P4475" s="100"/>
      <c r="Q4475" s="100"/>
      <c r="R4475" s="100"/>
      <c r="S4475" s="100"/>
      <c r="T4475" s="100"/>
      <c r="U4475" s="100"/>
      <c r="V4475" s="100"/>
      <c r="W4475" s="100"/>
      <c r="X4475" s="100"/>
      <c r="Y4475" s="100"/>
      <c r="Z4475" s="100"/>
    </row>
    <row r="4476" spans="1:26">
      <c r="A4476" s="100"/>
      <c r="B4476" s="100"/>
      <c r="C4476" s="100"/>
      <c r="D4476" s="100"/>
      <c r="E4476" s="100"/>
      <c r="F4476" s="100"/>
      <c r="G4476" s="100"/>
      <c r="H4476" s="100"/>
      <c r="I4476" s="100"/>
      <c r="J4476" s="100"/>
      <c r="K4476" s="100"/>
      <c r="L4476" s="100"/>
      <c r="M4476" s="100"/>
      <c r="N4476" s="100"/>
      <c r="O4476" s="100"/>
      <c r="P4476" s="100"/>
      <c r="Q4476" s="100"/>
      <c r="R4476" s="100"/>
      <c r="S4476" s="100"/>
      <c r="T4476" s="100"/>
      <c r="U4476" s="100"/>
      <c r="V4476" s="100"/>
      <c r="W4476" s="100"/>
      <c r="X4476" s="100"/>
      <c r="Y4476" s="100"/>
      <c r="Z4476" s="100"/>
    </row>
    <row r="4477" spans="1:26">
      <c r="A4477" s="100"/>
      <c r="B4477" s="100"/>
      <c r="C4477" s="100"/>
      <c r="D4477" s="100"/>
      <c r="E4477" s="100"/>
      <c r="F4477" s="100"/>
      <c r="G4477" s="100"/>
      <c r="H4477" s="100"/>
      <c r="I4477" s="100"/>
      <c r="J4477" s="100"/>
      <c r="K4477" s="100"/>
      <c r="L4477" s="100"/>
      <c r="M4477" s="100"/>
      <c r="N4477" s="100"/>
      <c r="O4477" s="100"/>
      <c r="P4477" s="100"/>
      <c r="Q4477" s="100"/>
      <c r="R4477" s="100"/>
      <c r="S4477" s="100"/>
      <c r="T4477" s="100"/>
      <c r="U4477" s="100"/>
      <c r="V4477" s="100"/>
      <c r="W4477" s="100"/>
      <c r="X4477" s="100"/>
      <c r="Y4477" s="100"/>
      <c r="Z4477" s="100"/>
    </row>
    <row r="4478" spans="1:26">
      <c r="A4478" s="100"/>
      <c r="B4478" s="100"/>
      <c r="C4478" s="100"/>
      <c r="D4478" s="100"/>
      <c r="E4478" s="100"/>
      <c r="F4478" s="100"/>
      <c r="G4478" s="100"/>
      <c r="H4478" s="100"/>
      <c r="I4478" s="100"/>
      <c r="J4478" s="100"/>
      <c r="K4478" s="100"/>
      <c r="L4478" s="100"/>
      <c r="M4478" s="100"/>
      <c r="N4478" s="100"/>
      <c r="O4478" s="100"/>
      <c r="P4478" s="100"/>
      <c r="Q4478" s="100"/>
      <c r="R4478" s="100"/>
      <c r="S4478" s="100"/>
      <c r="T4478" s="100"/>
      <c r="U4478" s="100"/>
      <c r="V4478" s="100"/>
      <c r="W4478" s="100"/>
      <c r="X4478" s="100"/>
      <c r="Y4478" s="100"/>
      <c r="Z4478" s="100"/>
    </row>
    <row r="4479" spans="1:26">
      <c r="A4479" s="100"/>
      <c r="B4479" s="100"/>
      <c r="C4479" s="100"/>
      <c r="D4479" s="100"/>
      <c r="E4479" s="100"/>
      <c r="F4479" s="100"/>
      <c r="G4479" s="100"/>
      <c r="H4479" s="100"/>
      <c r="I4479" s="100"/>
      <c r="J4479" s="100"/>
      <c r="K4479" s="100"/>
      <c r="L4479" s="100"/>
      <c r="M4479" s="100"/>
      <c r="N4479" s="100"/>
      <c r="O4479" s="100"/>
      <c r="P4479" s="100"/>
      <c r="Q4479" s="100"/>
      <c r="R4479" s="100"/>
      <c r="S4479" s="100"/>
      <c r="T4479" s="100"/>
      <c r="U4479" s="100"/>
      <c r="V4479" s="100"/>
      <c r="W4479" s="100"/>
      <c r="X4479" s="100"/>
      <c r="Y4479" s="100"/>
      <c r="Z4479" s="100"/>
    </row>
    <row r="4480" spans="1:26">
      <c r="A4480" s="100"/>
      <c r="B4480" s="100"/>
      <c r="C4480" s="100"/>
      <c r="D4480" s="100"/>
      <c r="E4480" s="100"/>
      <c r="F4480" s="100"/>
      <c r="G4480" s="100"/>
      <c r="H4480" s="100"/>
      <c r="I4480" s="100"/>
      <c r="J4480" s="100"/>
      <c r="K4480" s="100"/>
      <c r="L4480" s="100"/>
      <c r="M4480" s="100"/>
      <c r="N4480" s="100"/>
      <c r="O4480" s="100"/>
      <c r="P4480" s="100"/>
      <c r="Q4480" s="100"/>
      <c r="R4480" s="100"/>
      <c r="S4480" s="100"/>
      <c r="T4480" s="100"/>
      <c r="U4480" s="100"/>
      <c r="V4480" s="100"/>
      <c r="W4480" s="100"/>
      <c r="X4480" s="100"/>
      <c r="Y4480" s="100"/>
      <c r="Z4480" s="100"/>
    </row>
    <row r="4481" spans="1:26">
      <c r="A4481" s="100"/>
      <c r="B4481" s="100"/>
      <c r="C4481" s="100"/>
      <c r="D4481" s="100"/>
      <c r="E4481" s="100"/>
      <c r="F4481" s="100"/>
      <c r="G4481" s="100"/>
      <c r="H4481" s="100"/>
      <c r="I4481" s="100"/>
      <c r="J4481" s="100"/>
      <c r="K4481" s="100"/>
      <c r="L4481" s="100"/>
      <c r="M4481" s="100"/>
      <c r="N4481" s="100"/>
      <c r="O4481" s="100"/>
      <c r="P4481" s="100"/>
      <c r="Q4481" s="100"/>
      <c r="R4481" s="100"/>
      <c r="S4481" s="100"/>
      <c r="T4481" s="100"/>
      <c r="U4481" s="100"/>
      <c r="V4481" s="100"/>
      <c r="W4481" s="100"/>
      <c r="X4481" s="100"/>
      <c r="Y4481" s="100"/>
      <c r="Z4481" s="100"/>
    </row>
    <row r="4482" spans="1:26">
      <c r="A4482" s="100"/>
      <c r="B4482" s="100"/>
      <c r="C4482" s="100"/>
      <c r="D4482" s="100"/>
      <c r="E4482" s="100"/>
      <c r="F4482" s="100"/>
      <c r="G4482" s="100"/>
      <c r="H4482" s="100"/>
      <c r="I4482" s="100"/>
      <c r="J4482" s="100"/>
      <c r="K4482" s="100"/>
      <c r="L4482" s="100"/>
      <c r="M4482" s="100"/>
      <c r="N4482" s="100"/>
      <c r="O4482" s="100"/>
      <c r="P4482" s="100"/>
      <c r="Q4482" s="100"/>
      <c r="R4482" s="100"/>
      <c r="S4482" s="100"/>
      <c r="T4482" s="100"/>
      <c r="U4482" s="100"/>
      <c r="V4482" s="100"/>
      <c r="W4482" s="100"/>
      <c r="X4482" s="100"/>
      <c r="Y4482" s="100"/>
      <c r="Z4482" s="100"/>
    </row>
    <row r="4483" spans="1:26">
      <c r="A4483" s="100"/>
      <c r="B4483" s="100"/>
      <c r="C4483" s="100"/>
      <c r="D4483" s="100"/>
      <c r="E4483" s="100"/>
      <c r="F4483" s="100"/>
      <c r="G4483" s="100"/>
      <c r="H4483" s="100"/>
      <c r="I4483" s="100"/>
      <c r="J4483" s="100"/>
      <c r="K4483" s="100"/>
      <c r="L4483" s="100"/>
      <c r="M4483" s="100"/>
      <c r="N4483" s="100"/>
      <c r="O4483" s="100"/>
      <c r="P4483" s="100"/>
      <c r="Q4483" s="100"/>
      <c r="R4483" s="100"/>
      <c r="S4483" s="100"/>
      <c r="T4483" s="100"/>
      <c r="U4483" s="100"/>
      <c r="V4483" s="100"/>
      <c r="W4483" s="100"/>
      <c r="X4483" s="100"/>
      <c r="Y4483" s="100"/>
      <c r="Z4483" s="100"/>
    </row>
    <row r="4484" spans="1:26">
      <c r="A4484" s="100"/>
      <c r="B4484" s="100"/>
      <c r="C4484" s="100"/>
      <c r="D4484" s="100"/>
      <c r="E4484" s="100"/>
      <c r="F4484" s="100"/>
      <c r="G4484" s="100"/>
      <c r="H4484" s="100"/>
      <c r="I4484" s="100"/>
      <c r="J4484" s="100"/>
      <c r="K4484" s="100"/>
      <c r="L4484" s="100"/>
      <c r="M4484" s="100"/>
      <c r="N4484" s="100"/>
      <c r="O4484" s="100"/>
      <c r="P4484" s="100"/>
      <c r="Q4484" s="100"/>
      <c r="R4484" s="100"/>
      <c r="S4484" s="100"/>
      <c r="T4484" s="100"/>
      <c r="U4484" s="100"/>
      <c r="V4484" s="100"/>
      <c r="W4484" s="100"/>
      <c r="X4484" s="100"/>
      <c r="Y4484" s="100"/>
      <c r="Z4484" s="100"/>
    </row>
    <row r="4485" spans="1:26">
      <c r="A4485" s="100"/>
      <c r="B4485" s="100"/>
      <c r="C4485" s="100"/>
      <c r="D4485" s="100"/>
      <c r="E4485" s="100"/>
      <c r="F4485" s="100"/>
      <c r="G4485" s="100"/>
      <c r="H4485" s="100"/>
      <c r="I4485" s="100"/>
      <c r="J4485" s="100"/>
      <c r="K4485" s="100"/>
      <c r="L4485" s="100"/>
      <c r="M4485" s="100"/>
      <c r="N4485" s="100"/>
      <c r="O4485" s="100"/>
      <c r="P4485" s="100"/>
      <c r="Q4485" s="100"/>
      <c r="R4485" s="100"/>
      <c r="S4485" s="100"/>
      <c r="T4485" s="100"/>
      <c r="U4485" s="100"/>
      <c r="V4485" s="100"/>
      <c r="W4485" s="100"/>
      <c r="X4485" s="100"/>
      <c r="Y4485" s="100"/>
      <c r="Z4485" s="100"/>
    </row>
    <row r="4486" spans="1:26">
      <c r="A4486" s="100"/>
      <c r="B4486" s="100"/>
      <c r="C4486" s="100"/>
      <c r="D4486" s="100"/>
      <c r="E4486" s="100"/>
      <c r="F4486" s="100"/>
      <c r="G4486" s="100"/>
      <c r="H4486" s="100"/>
      <c r="I4486" s="100"/>
      <c r="J4486" s="100"/>
      <c r="K4486" s="100"/>
      <c r="L4486" s="100"/>
      <c r="M4486" s="100"/>
      <c r="N4486" s="100"/>
      <c r="O4486" s="100"/>
      <c r="P4486" s="100"/>
      <c r="Q4486" s="100"/>
      <c r="R4486" s="100"/>
      <c r="S4486" s="100"/>
      <c r="T4486" s="100"/>
      <c r="U4486" s="100"/>
      <c r="V4486" s="100"/>
      <c r="W4486" s="100"/>
      <c r="X4486" s="100"/>
      <c r="Y4486" s="100"/>
      <c r="Z4486" s="100"/>
    </row>
    <row r="4487" spans="1:26">
      <c r="A4487" s="100"/>
      <c r="B4487" s="100"/>
      <c r="C4487" s="100"/>
      <c r="D4487" s="100"/>
      <c r="E4487" s="100"/>
      <c r="F4487" s="100"/>
      <c r="G4487" s="100"/>
      <c r="H4487" s="100"/>
      <c r="I4487" s="100"/>
      <c r="J4487" s="100"/>
      <c r="K4487" s="100"/>
      <c r="L4487" s="100"/>
      <c r="M4487" s="100"/>
      <c r="N4487" s="100"/>
      <c r="O4487" s="100"/>
      <c r="P4487" s="100"/>
      <c r="Q4487" s="100"/>
      <c r="R4487" s="100"/>
      <c r="S4487" s="100"/>
      <c r="T4487" s="100"/>
      <c r="U4487" s="100"/>
      <c r="V4487" s="100"/>
      <c r="W4487" s="100"/>
      <c r="X4487" s="100"/>
      <c r="Y4487" s="100"/>
      <c r="Z4487" s="100"/>
    </row>
    <row r="4488" spans="1:26">
      <c r="A4488" s="100"/>
      <c r="B4488" s="100"/>
      <c r="C4488" s="100"/>
      <c r="D4488" s="100"/>
      <c r="E4488" s="100"/>
      <c r="F4488" s="100"/>
      <c r="G4488" s="100"/>
      <c r="H4488" s="100"/>
      <c r="I4488" s="100"/>
      <c r="J4488" s="100"/>
      <c r="K4488" s="100"/>
      <c r="L4488" s="100"/>
      <c r="M4488" s="100"/>
      <c r="N4488" s="100"/>
      <c r="O4488" s="100"/>
      <c r="P4488" s="100"/>
      <c r="Q4488" s="100"/>
      <c r="R4488" s="100"/>
      <c r="S4488" s="100"/>
      <c r="T4488" s="100"/>
      <c r="U4488" s="100"/>
      <c r="V4488" s="100"/>
      <c r="W4488" s="100"/>
      <c r="X4488" s="100"/>
      <c r="Y4488" s="100"/>
      <c r="Z4488" s="100"/>
    </row>
    <row r="4489" spans="1:26">
      <c r="A4489" s="100"/>
      <c r="B4489" s="100"/>
      <c r="C4489" s="100"/>
      <c r="D4489" s="100"/>
      <c r="E4489" s="100"/>
      <c r="F4489" s="100"/>
      <c r="G4489" s="100"/>
      <c r="H4489" s="100"/>
      <c r="I4489" s="100"/>
      <c r="J4489" s="100"/>
      <c r="K4489" s="100"/>
      <c r="L4489" s="100"/>
      <c r="M4489" s="100"/>
      <c r="N4489" s="100"/>
      <c r="O4489" s="100"/>
      <c r="P4489" s="100"/>
      <c r="Q4489" s="100"/>
      <c r="R4489" s="100"/>
      <c r="S4489" s="100"/>
      <c r="T4489" s="100"/>
      <c r="U4489" s="100"/>
      <c r="V4489" s="100"/>
      <c r="W4489" s="100"/>
      <c r="X4489" s="100"/>
      <c r="Y4489" s="100"/>
      <c r="Z4489" s="100"/>
    </row>
    <row r="4490" spans="1:26">
      <c r="A4490" s="100"/>
      <c r="B4490" s="100"/>
      <c r="C4490" s="100"/>
      <c r="D4490" s="100"/>
      <c r="E4490" s="100"/>
      <c r="F4490" s="100"/>
      <c r="G4490" s="100"/>
      <c r="H4490" s="100"/>
      <c r="I4490" s="100"/>
      <c r="J4490" s="100"/>
      <c r="K4490" s="100"/>
      <c r="L4490" s="100"/>
      <c r="M4490" s="100"/>
      <c r="N4490" s="100"/>
      <c r="O4490" s="100"/>
      <c r="P4490" s="100"/>
      <c r="Q4490" s="100"/>
      <c r="R4490" s="100"/>
      <c r="S4490" s="100"/>
      <c r="T4490" s="100"/>
      <c r="U4490" s="100"/>
      <c r="V4490" s="100"/>
      <c r="W4490" s="100"/>
      <c r="X4490" s="100"/>
      <c r="Y4490" s="100"/>
      <c r="Z4490" s="100"/>
    </row>
    <row r="4491" spans="1:26">
      <c r="A4491" s="100"/>
      <c r="B4491" s="100"/>
      <c r="C4491" s="100"/>
      <c r="D4491" s="100"/>
      <c r="E4491" s="100"/>
      <c r="F4491" s="100"/>
      <c r="G4491" s="100"/>
      <c r="H4491" s="100"/>
      <c r="I4491" s="100"/>
      <c r="J4491" s="100"/>
      <c r="K4491" s="100"/>
      <c r="L4491" s="100"/>
      <c r="M4491" s="100"/>
      <c r="N4491" s="100"/>
      <c r="O4491" s="100"/>
      <c r="P4491" s="100"/>
      <c r="Q4491" s="100"/>
      <c r="R4491" s="100"/>
      <c r="S4491" s="100"/>
      <c r="T4491" s="100"/>
      <c r="U4491" s="100"/>
      <c r="V4491" s="100"/>
      <c r="W4491" s="100"/>
      <c r="X4491" s="100"/>
      <c r="Y4491" s="100"/>
      <c r="Z4491" s="100"/>
    </row>
    <row r="4492" spans="1:26">
      <c r="A4492" s="100"/>
      <c r="B4492" s="100"/>
      <c r="C4492" s="100"/>
      <c r="D4492" s="100"/>
      <c r="E4492" s="100"/>
      <c r="F4492" s="100"/>
      <c r="G4492" s="100"/>
      <c r="H4492" s="100"/>
      <c r="I4492" s="100"/>
      <c r="J4492" s="100"/>
      <c r="K4492" s="100"/>
      <c r="L4492" s="100"/>
      <c r="M4492" s="100"/>
      <c r="N4492" s="100"/>
      <c r="O4492" s="100"/>
      <c r="P4492" s="100"/>
      <c r="Q4492" s="100"/>
      <c r="R4492" s="100"/>
      <c r="S4492" s="100"/>
      <c r="T4492" s="100"/>
      <c r="U4492" s="100"/>
      <c r="V4492" s="100"/>
      <c r="W4492" s="100"/>
      <c r="X4492" s="100"/>
      <c r="Y4492" s="100"/>
      <c r="Z4492" s="100"/>
    </row>
    <row r="4493" spans="1:26">
      <c r="A4493" s="100"/>
      <c r="B4493" s="100"/>
      <c r="C4493" s="100"/>
      <c r="D4493" s="100"/>
      <c r="E4493" s="100"/>
      <c r="F4493" s="100"/>
      <c r="G4493" s="100"/>
      <c r="H4493" s="100"/>
      <c r="I4493" s="100"/>
      <c r="J4493" s="100"/>
      <c r="K4493" s="100"/>
      <c r="L4493" s="100"/>
      <c r="M4493" s="100"/>
      <c r="N4493" s="100"/>
      <c r="O4493" s="100"/>
      <c r="P4493" s="100"/>
      <c r="Q4493" s="100"/>
      <c r="R4493" s="100"/>
      <c r="S4493" s="100"/>
      <c r="T4493" s="100"/>
      <c r="U4493" s="100"/>
      <c r="V4493" s="100"/>
      <c r="W4493" s="100"/>
      <c r="X4493" s="100"/>
      <c r="Y4493" s="100"/>
      <c r="Z4493" s="100"/>
    </row>
    <row r="4494" spans="1:26">
      <c r="A4494" s="100"/>
      <c r="B4494" s="100"/>
      <c r="C4494" s="100"/>
      <c r="D4494" s="100"/>
      <c r="E4494" s="100"/>
      <c r="F4494" s="100"/>
      <c r="G4494" s="100"/>
      <c r="H4494" s="100"/>
      <c r="I4494" s="100"/>
      <c r="J4494" s="100"/>
      <c r="K4494" s="100"/>
      <c r="L4494" s="100"/>
      <c r="M4494" s="100"/>
      <c r="N4494" s="100"/>
      <c r="O4494" s="100"/>
      <c r="P4494" s="100"/>
      <c r="Q4494" s="100"/>
      <c r="R4494" s="100"/>
      <c r="S4494" s="100"/>
      <c r="T4494" s="100"/>
      <c r="U4494" s="100"/>
      <c r="V4494" s="100"/>
      <c r="W4494" s="100"/>
      <c r="X4494" s="100"/>
      <c r="Y4494" s="100"/>
      <c r="Z4494" s="100"/>
    </row>
    <row r="4495" spans="1:26">
      <c r="A4495" s="100"/>
      <c r="B4495" s="100"/>
      <c r="C4495" s="100"/>
      <c r="D4495" s="100"/>
      <c r="E4495" s="100"/>
      <c r="F4495" s="100"/>
      <c r="G4495" s="100"/>
      <c r="H4495" s="100"/>
      <c r="I4495" s="100"/>
      <c r="J4495" s="100"/>
      <c r="K4495" s="100"/>
      <c r="L4495" s="100"/>
      <c r="M4495" s="100"/>
      <c r="N4495" s="100"/>
      <c r="O4495" s="100"/>
      <c r="P4495" s="100"/>
      <c r="Q4495" s="100"/>
      <c r="R4495" s="100"/>
      <c r="S4495" s="100"/>
      <c r="T4495" s="100"/>
      <c r="U4495" s="100"/>
      <c r="V4495" s="100"/>
      <c r="W4495" s="100"/>
      <c r="X4495" s="100"/>
      <c r="Y4495" s="100"/>
      <c r="Z4495" s="100"/>
    </row>
    <row r="4496" spans="1:26">
      <c r="A4496" s="100"/>
      <c r="B4496" s="100"/>
      <c r="C4496" s="100"/>
      <c r="D4496" s="100"/>
      <c r="E4496" s="100"/>
      <c r="F4496" s="100"/>
      <c r="G4496" s="100"/>
      <c r="H4496" s="100"/>
      <c r="I4496" s="100"/>
      <c r="J4496" s="100"/>
      <c r="K4496" s="100"/>
      <c r="L4496" s="100"/>
      <c r="M4496" s="100"/>
      <c r="N4496" s="100"/>
      <c r="O4496" s="100"/>
      <c r="P4496" s="100"/>
      <c r="Q4496" s="100"/>
      <c r="R4496" s="100"/>
      <c r="S4496" s="100"/>
      <c r="T4496" s="100"/>
      <c r="U4496" s="100"/>
      <c r="V4496" s="100"/>
      <c r="W4496" s="100"/>
      <c r="X4496" s="100"/>
      <c r="Y4496" s="100"/>
      <c r="Z4496" s="100"/>
    </row>
    <row r="4497" spans="1:26">
      <c r="A4497" s="100"/>
      <c r="B4497" s="100"/>
      <c r="C4497" s="100"/>
      <c r="D4497" s="100"/>
      <c r="E4497" s="100"/>
      <c r="F4497" s="100"/>
      <c r="G4497" s="100"/>
      <c r="H4497" s="100"/>
      <c r="I4497" s="100"/>
      <c r="J4497" s="100"/>
      <c r="K4497" s="100"/>
      <c r="L4497" s="100"/>
      <c r="M4497" s="100"/>
      <c r="N4497" s="100"/>
      <c r="O4497" s="100"/>
      <c r="P4497" s="100"/>
      <c r="Q4497" s="100"/>
      <c r="R4497" s="100"/>
      <c r="S4497" s="100"/>
      <c r="T4497" s="100"/>
      <c r="U4497" s="100"/>
      <c r="V4497" s="100"/>
      <c r="W4497" s="100"/>
      <c r="X4497" s="100"/>
      <c r="Y4497" s="100"/>
      <c r="Z4497" s="100"/>
    </row>
    <row r="4498" spans="1:26">
      <c r="A4498" s="100"/>
      <c r="B4498" s="100"/>
      <c r="C4498" s="100"/>
      <c r="D4498" s="100"/>
      <c r="E4498" s="100"/>
      <c r="F4498" s="100"/>
      <c r="G4498" s="100"/>
      <c r="H4498" s="100"/>
      <c r="I4498" s="100"/>
      <c r="J4498" s="100"/>
      <c r="K4498" s="100"/>
      <c r="L4498" s="100"/>
      <c r="M4498" s="100"/>
      <c r="N4498" s="100"/>
      <c r="O4498" s="100"/>
      <c r="P4498" s="100"/>
      <c r="Q4498" s="100"/>
      <c r="R4498" s="100"/>
      <c r="S4498" s="100"/>
      <c r="T4498" s="100"/>
      <c r="U4498" s="100"/>
      <c r="V4498" s="100"/>
      <c r="W4498" s="100"/>
      <c r="X4498" s="100"/>
      <c r="Y4498" s="100"/>
      <c r="Z4498" s="100"/>
    </row>
    <row r="4499" spans="1:26">
      <c r="A4499" s="100"/>
      <c r="B4499" s="100"/>
      <c r="C4499" s="100"/>
      <c r="D4499" s="100"/>
      <c r="E4499" s="100"/>
      <c r="F4499" s="100"/>
      <c r="G4499" s="100"/>
      <c r="H4499" s="100"/>
      <c r="I4499" s="100"/>
      <c r="J4499" s="100"/>
      <c r="K4499" s="100"/>
      <c r="L4499" s="100"/>
      <c r="M4499" s="100"/>
      <c r="N4499" s="100"/>
      <c r="O4499" s="100"/>
      <c r="P4499" s="100"/>
      <c r="Q4499" s="100"/>
      <c r="R4499" s="100"/>
      <c r="S4499" s="100"/>
      <c r="T4499" s="100"/>
      <c r="U4499" s="100"/>
      <c r="V4499" s="100"/>
      <c r="W4499" s="100"/>
      <c r="X4499" s="100"/>
      <c r="Y4499" s="100"/>
      <c r="Z4499" s="100"/>
    </row>
    <row r="4500" spans="1:26">
      <c r="A4500" s="100"/>
      <c r="B4500" s="100"/>
      <c r="C4500" s="100"/>
      <c r="D4500" s="100"/>
      <c r="E4500" s="100"/>
      <c r="F4500" s="100"/>
      <c r="G4500" s="100"/>
      <c r="H4500" s="100"/>
      <c r="I4500" s="100"/>
      <c r="J4500" s="100"/>
      <c r="K4500" s="100"/>
      <c r="L4500" s="100"/>
      <c r="M4500" s="100"/>
      <c r="N4500" s="100"/>
      <c r="O4500" s="100"/>
      <c r="P4500" s="100"/>
      <c r="Q4500" s="100"/>
      <c r="R4500" s="100"/>
      <c r="S4500" s="100"/>
      <c r="T4500" s="100"/>
      <c r="U4500" s="100"/>
      <c r="V4500" s="100"/>
      <c r="W4500" s="100"/>
      <c r="X4500" s="100"/>
      <c r="Y4500" s="100"/>
      <c r="Z4500" s="100"/>
    </row>
    <row r="4501" spans="1:26">
      <c r="A4501" s="100"/>
      <c r="B4501" s="100"/>
      <c r="C4501" s="100"/>
      <c r="D4501" s="100"/>
      <c r="E4501" s="100"/>
      <c r="F4501" s="100"/>
      <c r="G4501" s="100"/>
      <c r="H4501" s="100"/>
      <c r="I4501" s="100"/>
      <c r="J4501" s="100"/>
      <c r="K4501" s="100"/>
      <c r="L4501" s="100"/>
      <c r="M4501" s="100"/>
      <c r="N4501" s="100"/>
      <c r="O4501" s="100"/>
      <c r="P4501" s="100"/>
      <c r="Q4501" s="100"/>
      <c r="R4501" s="100"/>
      <c r="S4501" s="100"/>
      <c r="T4501" s="100"/>
      <c r="U4501" s="100"/>
      <c r="V4501" s="100"/>
      <c r="W4501" s="100"/>
      <c r="X4501" s="100"/>
      <c r="Y4501" s="100"/>
      <c r="Z4501" s="100"/>
    </row>
    <row r="4502" spans="1:26">
      <c r="A4502" s="100"/>
      <c r="B4502" s="100"/>
      <c r="C4502" s="100"/>
      <c r="D4502" s="100"/>
      <c r="E4502" s="100"/>
      <c r="F4502" s="100"/>
      <c r="G4502" s="100"/>
      <c r="H4502" s="100"/>
      <c r="I4502" s="100"/>
      <c r="J4502" s="100"/>
      <c r="K4502" s="100"/>
      <c r="L4502" s="100"/>
      <c r="M4502" s="100"/>
      <c r="N4502" s="100"/>
      <c r="O4502" s="100"/>
      <c r="P4502" s="100"/>
      <c r="Q4502" s="100"/>
      <c r="R4502" s="100"/>
      <c r="S4502" s="100"/>
      <c r="T4502" s="100"/>
      <c r="U4502" s="100"/>
      <c r="V4502" s="100"/>
      <c r="W4502" s="100"/>
      <c r="X4502" s="100"/>
      <c r="Y4502" s="100"/>
      <c r="Z4502" s="100"/>
    </row>
    <row r="4503" spans="1:26">
      <c r="A4503" s="100"/>
      <c r="B4503" s="100"/>
      <c r="C4503" s="100"/>
      <c r="D4503" s="100"/>
      <c r="E4503" s="100"/>
      <c r="F4503" s="100"/>
      <c r="G4503" s="100"/>
      <c r="H4503" s="100"/>
      <c r="I4503" s="100"/>
      <c r="J4503" s="100"/>
      <c r="K4503" s="100"/>
      <c r="L4503" s="100"/>
      <c r="M4503" s="100"/>
      <c r="N4503" s="100"/>
      <c r="O4503" s="100"/>
      <c r="P4503" s="100"/>
      <c r="Q4503" s="100"/>
      <c r="R4503" s="100"/>
      <c r="S4503" s="100"/>
      <c r="T4503" s="100"/>
      <c r="U4503" s="100"/>
      <c r="V4503" s="100"/>
      <c r="W4503" s="100"/>
      <c r="X4503" s="100"/>
      <c r="Y4503" s="100"/>
      <c r="Z4503" s="100"/>
    </row>
    <row r="4504" spans="1:26">
      <c r="A4504" s="100"/>
      <c r="B4504" s="100"/>
      <c r="C4504" s="100"/>
      <c r="D4504" s="100"/>
      <c r="E4504" s="100"/>
      <c r="F4504" s="100"/>
      <c r="G4504" s="100"/>
      <c r="H4504" s="100"/>
      <c r="I4504" s="100"/>
      <c r="J4504" s="100"/>
      <c r="K4504" s="100"/>
      <c r="L4504" s="100"/>
      <c r="M4504" s="100"/>
      <c r="N4504" s="100"/>
      <c r="O4504" s="100"/>
      <c r="P4504" s="100"/>
      <c r="Q4504" s="100"/>
      <c r="R4504" s="100"/>
      <c r="S4504" s="100"/>
      <c r="T4504" s="100"/>
      <c r="U4504" s="100"/>
      <c r="V4504" s="100"/>
      <c r="W4504" s="100"/>
      <c r="X4504" s="100"/>
      <c r="Y4504" s="100"/>
      <c r="Z4504" s="100"/>
    </row>
    <row r="4505" spans="1:26">
      <c r="A4505" s="100"/>
      <c r="B4505" s="100"/>
      <c r="C4505" s="100"/>
      <c r="D4505" s="100"/>
      <c r="E4505" s="100"/>
      <c r="F4505" s="100"/>
      <c r="G4505" s="100"/>
      <c r="H4505" s="100"/>
      <c r="I4505" s="100"/>
      <c r="J4505" s="100"/>
      <c r="K4505" s="100"/>
      <c r="L4505" s="100"/>
      <c r="M4505" s="100"/>
      <c r="N4505" s="100"/>
      <c r="O4505" s="100"/>
      <c r="P4505" s="100"/>
      <c r="Q4505" s="100"/>
      <c r="R4505" s="100"/>
      <c r="S4505" s="100"/>
      <c r="T4505" s="100"/>
      <c r="U4505" s="100"/>
      <c r="V4505" s="100"/>
      <c r="W4505" s="100"/>
      <c r="X4505" s="100"/>
      <c r="Y4505" s="100"/>
      <c r="Z4505" s="100"/>
    </row>
    <row r="4506" spans="1:26">
      <c r="A4506" s="100"/>
      <c r="B4506" s="100"/>
      <c r="C4506" s="100"/>
      <c r="D4506" s="100"/>
      <c r="E4506" s="100"/>
      <c r="F4506" s="100"/>
      <c r="G4506" s="100"/>
      <c r="H4506" s="100"/>
      <c r="I4506" s="100"/>
      <c r="J4506" s="100"/>
      <c r="K4506" s="100"/>
      <c r="L4506" s="100"/>
      <c r="M4506" s="100"/>
      <c r="N4506" s="100"/>
      <c r="O4506" s="100"/>
      <c r="P4506" s="100"/>
      <c r="Q4506" s="100"/>
      <c r="R4506" s="100"/>
      <c r="S4506" s="100"/>
      <c r="T4506" s="100"/>
      <c r="U4506" s="100"/>
      <c r="V4506" s="100"/>
      <c r="W4506" s="100"/>
      <c r="X4506" s="100"/>
      <c r="Y4506" s="100"/>
      <c r="Z4506" s="100"/>
    </row>
    <row r="4507" spans="1:26">
      <c r="A4507" s="100"/>
      <c r="B4507" s="100"/>
      <c r="C4507" s="100"/>
      <c r="D4507" s="100"/>
      <c r="E4507" s="100"/>
      <c r="F4507" s="100"/>
      <c r="G4507" s="100"/>
      <c r="H4507" s="100"/>
      <c r="I4507" s="100"/>
      <c r="J4507" s="100"/>
      <c r="K4507" s="100"/>
      <c r="L4507" s="100"/>
      <c r="M4507" s="100"/>
      <c r="N4507" s="100"/>
      <c r="O4507" s="100"/>
      <c r="P4507" s="100"/>
      <c r="Q4507" s="100"/>
      <c r="R4507" s="100"/>
      <c r="S4507" s="100"/>
      <c r="T4507" s="100"/>
      <c r="U4507" s="100"/>
      <c r="V4507" s="100"/>
      <c r="W4507" s="100"/>
      <c r="X4507" s="100"/>
      <c r="Y4507" s="100"/>
      <c r="Z4507" s="100"/>
    </row>
    <row r="4508" spans="1:26">
      <c r="A4508" s="100"/>
      <c r="B4508" s="100"/>
      <c r="C4508" s="100"/>
      <c r="D4508" s="100"/>
      <c r="E4508" s="100"/>
      <c r="F4508" s="100"/>
      <c r="G4508" s="100"/>
      <c r="H4508" s="100"/>
      <c r="I4508" s="100"/>
      <c r="J4508" s="100"/>
      <c r="K4508" s="100"/>
      <c r="L4508" s="100"/>
      <c r="M4508" s="100"/>
      <c r="N4508" s="100"/>
      <c r="O4508" s="100"/>
      <c r="P4508" s="100"/>
      <c r="Q4508" s="100"/>
      <c r="R4508" s="100"/>
      <c r="S4508" s="100"/>
      <c r="T4508" s="100"/>
      <c r="U4508" s="100"/>
      <c r="V4508" s="100"/>
      <c r="W4508" s="100"/>
      <c r="X4508" s="100"/>
      <c r="Y4508" s="100"/>
      <c r="Z4508" s="100"/>
    </row>
    <row r="4509" spans="1:26">
      <c r="A4509" s="100"/>
      <c r="B4509" s="100"/>
      <c r="C4509" s="100"/>
      <c r="D4509" s="100"/>
      <c r="E4509" s="100"/>
      <c r="F4509" s="100"/>
      <c r="G4509" s="100"/>
      <c r="H4509" s="100"/>
      <c r="I4509" s="100"/>
      <c r="J4509" s="100"/>
      <c r="K4509" s="100"/>
      <c r="L4509" s="100"/>
      <c r="M4509" s="100"/>
      <c r="N4509" s="100"/>
      <c r="O4509" s="100"/>
      <c r="P4509" s="100"/>
      <c r="Q4509" s="100"/>
      <c r="R4509" s="100"/>
      <c r="S4509" s="100"/>
      <c r="T4509" s="100"/>
      <c r="U4509" s="100"/>
      <c r="V4509" s="100"/>
      <c r="W4509" s="100"/>
      <c r="X4509" s="100"/>
      <c r="Y4509" s="100"/>
      <c r="Z4509" s="100"/>
    </row>
    <row r="4510" spans="1:26">
      <c r="A4510" s="100"/>
      <c r="B4510" s="100"/>
      <c r="C4510" s="100"/>
      <c r="D4510" s="100"/>
      <c r="E4510" s="100"/>
      <c r="F4510" s="100"/>
      <c r="G4510" s="100"/>
      <c r="H4510" s="100"/>
      <c r="I4510" s="100"/>
      <c r="J4510" s="100"/>
      <c r="K4510" s="100"/>
      <c r="L4510" s="100"/>
      <c r="M4510" s="100"/>
      <c r="N4510" s="100"/>
      <c r="O4510" s="100"/>
      <c r="P4510" s="100"/>
      <c r="Q4510" s="100"/>
      <c r="R4510" s="100"/>
      <c r="S4510" s="100"/>
      <c r="T4510" s="100"/>
      <c r="U4510" s="100"/>
      <c r="V4510" s="100"/>
      <c r="W4510" s="100"/>
      <c r="X4510" s="100"/>
      <c r="Y4510" s="100"/>
      <c r="Z4510" s="100"/>
    </row>
    <row r="4511" spans="1:26">
      <c r="A4511" s="100"/>
      <c r="B4511" s="100"/>
      <c r="C4511" s="100"/>
      <c r="D4511" s="100"/>
      <c r="E4511" s="100"/>
      <c r="F4511" s="100"/>
      <c r="G4511" s="100"/>
      <c r="H4511" s="100"/>
      <c r="I4511" s="100"/>
      <c r="J4511" s="100"/>
      <c r="K4511" s="100"/>
      <c r="L4511" s="100"/>
      <c r="M4511" s="100"/>
      <c r="N4511" s="100"/>
      <c r="O4511" s="100"/>
      <c r="P4511" s="100"/>
      <c r="Q4511" s="100"/>
      <c r="R4511" s="100"/>
      <c r="S4511" s="100"/>
      <c r="T4511" s="100"/>
      <c r="U4511" s="100"/>
      <c r="V4511" s="100"/>
      <c r="W4511" s="100"/>
      <c r="X4511" s="100"/>
      <c r="Y4511" s="100"/>
      <c r="Z4511" s="100"/>
    </row>
    <row r="4512" spans="1:26">
      <c r="A4512" s="100"/>
      <c r="B4512" s="100"/>
      <c r="C4512" s="100"/>
      <c r="D4512" s="100"/>
      <c r="E4512" s="100"/>
      <c r="F4512" s="100"/>
      <c r="G4512" s="100"/>
      <c r="H4512" s="100"/>
      <c r="I4512" s="100"/>
      <c r="J4512" s="100"/>
      <c r="K4512" s="100"/>
      <c r="L4512" s="100"/>
      <c r="M4512" s="100"/>
      <c r="N4512" s="100"/>
      <c r="O4512" s="100"/>
      <c r="P4512" s="100"/>
      <c r="Q4512" s="100"/>
      <c r="R4512" s="100"/>
      <c r="S4512" s="100"/>
      <c r="T4512" s="100"/>
      <c r="U4512" s="100"/>
      <c r="V4512" s="100"/>
      <c r="W4512" s="100"/>
      <c r="X4512" s="100"/>
      <c r="Y4512" s="100"/>
      <c r="Z4512" s="100"/>
    </row>
    <row r="4513" spans="1:26">
      <c r="A4513" s="100"/>
      <c r="B4513" s="100"/>
      <c r="C4513" s="100"/>
      <c r="D4513" s="100"/>
      <c r="E4513" s="100"/>
      <c r="F4513" s="100"/>
      <c r="G4513" s="100"/>
      <c r="H4513" s="100"/>
      <c r="I4513" s="100"/>
      <c r="J4513" s="100"/>
      <c r="K4513" s="100"/>
      <c r="L4513" s="100"/>
      <c r="M4513" s="100"/>
      <c r="N4513" s="100"/>
      <c r="O4513" s="100"/>
      <c r="P4513" s="100"/>
      <c r="Q4513" s="100"/>
      <c r="R4513" s="100"/>
      <c r="S4513" s="100"/>
      <c r="T4513" s="100"/>
      <c r="U4513" s="100"/>
      <c r="V4513" s="100"/>
      <c r="W4513" s="100"/>
      <c r="X4513" s="100"/>
      <c r="Y4513" s="100"/>
      <c r="Z4513" s="100"/>
    </row>
    <row r="4514" spans="1:26">
      <c r="A4514" s="100"/>
      <c r="B4514" s="100"/>
      <c r="C4514" s="100"/>
      <c r="D4514" s="100"/>
      <c r="E4514" s="100"/>
      <c r="F4514" s="100"/>
      <c r="G4514" s="100"/>
      <c r="H4514" s="100"/>
      <c r="I4514" s="100"/>
      <c r="J4514" s="100"/>
      <c r="K4514" s="100"/>
      <c r="L4514" s="100"/>
      <c r="M4514" s="100"/>
      <c r="N4514" s="100"/>
      <c r="O4514" s="100"/>
      <c r="P4514" s="100"/>
      <c r="Q4514" s="100"/>
      <c r="R4514" s="100"/>
      <c r="S4514" s="100"/>
      <c r="T4514" s="100"/>
      <c r="U4514" s="100"/>
      <c r="V4514" s="100"/>
      <c r="W4514" s="100"/>
      <c r="X4514" s="100"/>
      <c r="Y4514" s="100"/>
      <c r="Z4514" s="100"/>
    </row>
    <row r="4515" spans="1:26">
      <c r="A4515" s="100"/>
      <c r="B4515" s="100"/>
      <c r="C4515" s="100"/>
      <c r="D4515" s="100"/>
      <c r="E4515" s="100"/>
      <c r="F4515" s="100"/>
      <c r="G4515" s="100"/>
      <c r="H4515" s="100"/>
      <c r="I4515" s="100"/>
      <c r="J4515" s="100"/>
      <c r="K4515" s="100"/>
      <c r="L4515" s="100"/>
      <c r="M4515" s="100"/>
      <c r="N4515" s="100"/>
      <c r="O4515" s="100"/>
      <c r="P4515" s="100"/>
      <c r="Q4515" s="100"/>
      <c r="R4515" s="100"/>
      <c r="S4515" s="100"/>
      <c r="T4515" s="100"/>
      <c r="U4515" s="100"/>
      <c r="V4515" s="100"/>
      <c r="W4515" s="100"/>
      <c r="X4515" s="100"/>
      <c r="Y4515" s="100"/>
      <c r="Z4515" s="100"/>
    </row>
    <row r="4516" spans="1:26">
      <c r="A4516" s="100"/>
      <c r="B4516" s="100"/>
      <c r="C4516" s="100"/>
      <c r="D4516" s="100"/>
      <c r="E4516" s="100"/>
      <c r="F4516" s="100"/>
      <c r="G4516" s="100"/>
      <c r="H4516" s="100"/>
      <c r="I4516" s="100"/>
      <c r="J4516" s="100"/>
      <c r="K4516" s="100"/>
      <c r="L4516" s="100"/>
      <c r="M4516" s="100"/>
      <c r="N4516" s="100"/>
      <c r="O4516" s="100"/>
      <c r="P4516" s="100"/>
      <c r="Q4516" s="100"/>
      <c r="R4516" s="100"/>
      <c r="S4516" s="100"/>
      <c r="T4516" s="100"/>
      <c r="U4516" s="100"/>
      <c r="V4516" s="100"/>
      <c r="W4516" s="100"/>
      <c r="X4516" s="100"/>
      <c r="Y4516" s="100"/>
      <c r="Z4516" s="100"/>
    </row>
    <row r="4517" spans="1:26">
      <c r="A4517" s="100"/>
      <c r="B4517" s="100"/>
      <c r="C4517" s="100"/>
      <c r="D4517" s="100"/>
      <c r="E4517" s="100"/>
      <c r="F4517" s="100"/>
      <c r="G4517" s="100"/>
      <c r="H4517" s="100"/>
      <c r="I4517" s="100"/>
      <c r="J4517" s="100"/>
      <c r="K4517" s="100"/>
      <c r="L4517" s="100"/>
      <c r="M4517" s="100"/>
      <c r="N4517" s="100"/>
      <c r="O4517" s="100"/>
      <c r="P4517" s="100"/>
      <c r="Q4517" s="100"/>
      <c r="R4517" s="100"/>
      <c r="S4517" s="100"/>
      <c r="T4517" s="100"/>
      <c r="U4517" s="100"/>
      <c r="V4517" s="100"/>
      <c r="W4517" s="100"/>
      <c r="X4517" s="100"/>
      <c r="Y4517" s="100"/>
      <c r="Z4517" s="100"/>
    </row>
    <row r="4518" spans="1:26">
      <c r="A4518" s="100"/>
      <c r="B4518" s="100"/>
      <c r="C4518" s="100"/>
      <c r="D4518" s="100"/>
      <c r="E4518" s="100"/>
      <c r="F4518" s="100"/>
      <c r="G4518" s="100"/>
      <c r="H4518" s="100"/>
      <c r="I4518" s="100"/>
      <c r="J4518" s="100"/>
      <c r="K4518" s="100"/>
      <c r="L4518" s="100"/>
      <c r="M4518" s="100"/>
      <c r="N4518" s="100"/>
      <c r="O4518" s="100"/>
      <c r="P4518" s="100"/>
      <c r="Q4518" s="100"/>
      <c r="R4518" s="100"/>
      <c r="S4518" s="100"/>
      <c r="T4518" s="100"/>
      <c r="U4518" s="100"/>
      <c r="V4518" s="100"/>
      <c r="W4518" s="100"/>
      <c r="X4518" s="100"/>
      <c r="Y4518" s="100"/>
      <c r="Z4518" s="100"/>
    </row>
    <row r="4519" spans="1:26">
      <c r="A4519" s="100"/>
      <c r="B4519" s="100"/>
      <c r="C4519" s="100"/>
      <c r="D4519" s="100"/>
      <c r="E4519" s="100"/>
      <c r="F4519" s="100"/>
      <c r="G4519" s="100"/>
      <c r="H4519" s="100"/>
      <c r="I4519" s="100"/>
      <c r="J4519" s="100"/>
      <c r="K4519" s="100"/>
      <c r="L4519" s="100"/>
      <c r="M4519" s="100"/>
      <c r="N4519" s="100"/>
      <c r="O4519" s="100"/>
      <c r="P4519" s="100"/>
      <c r="Q4519" s="100"/>
      <c r="R4519" s="100"/>
      <c r="S4519" s="100"/>
      <c r="T4519" s="100"/>
      <c r="U4519" s="100"/>
      <c r="V4519" s="100"/>
      <c r="W4519" s="100"/>
      <c r="X4519" s="100"/>
      <c r="Y4519" s="100"/>
      <c r="Z4519" s="100"/>
    </row>
    <row r="4520" spans="1:26">
      <c r="A4520" s="100"/>
      <c r="B4520" s="100"/>
      <c r="C4520" s="100"/>
      <c r="D4520" s="100"/>
      <c r="E4520" s="100"/>
      <c r="F4520" s="100"/>
      <c r="G4520" s="100"/>
      <c r="H4520" s="100"/>
      <c r="I4520" s="100"/>
      <c r="J4520" s="100"/>
      <c r="K4520" s="100"/>
      <c r="L4520" s="100"/>
      <c r="M4520" s="100"/>
      <c r="N4520" s="100"/>
      <c r="O4520" s="100"/>
      <c r="P4520" s="100"/>
      <c r="Q4520" s="100"/>
      <c r="R4520" s="100"/>
      <c r="S4520" s="100"/>
      <c r="T4520" s="100"/>
      <c r="U4520" s="100"/>
      <c r="V4520" s="100"/>
      <c r="W4520" s="100"/>
      <c r="X4520" s="100"/>
      <c r="Y4520" s="100"/>
      <c r="Z4520" s="100"/>
    </row>
    <row r="4521" spans="1:26">
      <c r="A4521" s="100"/>
      <c r="B4521" s="100"/>
      <c r="C4521" s="100"/>
      <c r="D4521" s="100"/>
      <c r="E4521" s="100"/>
      <c r="F4521" s="100"/>
      <c r="G4521" s="100"/>
      <c r="H4521" s="100"/>
      <c r="I4521" s="100"/>
      <c r="J4521" s="100"/>
      <c r="K4521" s="100"/>
      <c r="L4521" s="100"/>
      <c r="M4521" s="100"/>
      <c r="N4521" s="100"/>
      <c r="O4521" s="100"/>
      <c r="P4521" s="100"/>
      <c r="Q4521" s="100"/>
      <c r="R4521" s="100"/>
      <c r="S4521" s="100"/>
      <c r="T4521" s="100"/>
      <c r="U4521" s="100"/>
      <c r="V4521" s="100"/>
      <c r="W4521" s="100"/>
      <c r="X4521" s="100"/>
      <c r="Y4521" s="100"/>
      <c r="Z4521" s="100"/>
    </row>
    <row r="4522" spans="1:26">
      <c r="A4522" s="100"/>
      <c r="B4522" s="100"/>
      <c r="C4522" s="100"/>
      <c r="D4522" s="100"/>
      <c r="E4522" s="100"/>
      <c r="F4522" s="100"/>
      <c r="G4522" s="100"/>
      <c r="H4522" s="100"/>
      <c r="I4522" s="100"/>
      <c r="J4522" s="100"/>
      <c r="K4522" s="100"/>
      <c r="L4522" s="100"/>
      <c r="M4522" s="100"/>
      <c r="N4522" s="100"/>
      <c r="O4522" s="100"/>
      <c r="P4522" s="100"/>
      <c r="Q4522" s="100"/>
      <c r="R4522" s="100"/>
      <c r="S4522" s="100"/>
      <c r="T4522" s="100"/>
      <c r="U4522" s="100"/>
      <c r="V4522" s="100"/>
      <c r="W4522" s="100"/>
      <c r="X4522" s="100"/>
      <c r="Y4522" s="100"/>
      <c r="Z4522" s="100"/>
    </row>
    <row r="4523" spans="1:26">
      <c r="A4523" s="100"/>
      <c r="B4523" s="100"/>
      <c r="C4523" s="100"/>
      <c r="D4523" s="100"/>
      <c r="E4523" s="100"/>
      <c r="F4523" s="100"/>
      <c r="G4523" s="100"/>
      <c r="H4523" s="100"/>
      <c r="I4523" s="100"/>
      <c r="J4523" s="100"/>
      <c r="K4523" s="100"/>
      <c r="L4523" s="100"/>
      <c r="M4523" s="100"/>
      <c r="N4523" s="100"/>
      <c r="O4523" s="100"/>
      <c r="P4523" s="100"/>
      <c r="Q4523" s="100"/>
      <c r="R4523" s="100"/>
      <c r="S4523" s="100"/>
      <c r="T4523" s="100"/>
      <c r="U4523" s="100"/>
      <c r="V4523" s="100"/>
      <c r="W4523" s="100"/>
      <c r="X4523" s="100"/>
      <c r="Y4523" s="100"/>
      <c r="Z4523" s="100"/>
    </row>
    <row r="4524" spans="1:26">
      <c r="A4524" s="100"/>
      <c r="B4524" s="100"/>
      <c r="C4524" s="100"/>
      <c r="D4524" s="100"/>
      <c r="E4524" s="100"/>
      <c r="F4524" s="100"/>
      <c r="G4524" s="100"/>
      <c r="H4524" s="100"/>
      <c r="I4524" s="100"/>
      <c r="J4524" s="100"/>
      <c r="K4524" s="100"/>
      <c r="L4524" s="100"/>
      <c r="M4524" s="100"/>
      <c r="N4524" s="100"/>
      <c r="O4524" s="100"/>
      <c r="P4524" s="100"/>
      <c r="Q4524" s="100"/>
      <c r="R4524" s="100"/>
      <c r="S4524" s="100"/>
      <c r="T4524" s="100"/>
      <c r="U4524" s="100"/>
      <c r="V4524" s="100"/>
      <c r="W4524" s="100"/>
      <c r="X4524" s="100"/>
      <c r="Y4524" s="100"/>
      <c r="Z4524" s="100"/>
    </row>
    <row r="4525" spans="1:26">
      <c r="A4525" s="100"/>
      <c r="B4525" s="100"/>
      <c r="C4525" s="100"/>
      <c r="D4525" s="100"/>
      <c r="E4525" s="100"/>
      <c r="F4525" s="100"/>
      <c r="G4525" s="100"/>
      <c r="H4525" s="100"/>
      <c r="I4525" s="100"/>
      <c r="J4525" s="100"/>
      <c r="K4525" s="100"/>
      <c r="L4525" s="100"/>
      <c r="M4525" s="100"/>
      <c r="N4525" s="100"/>
      <c r="O4525" s="100"/>
      <c r="P4525" s="100"/>
      <c r="Q4525" s="100"/>
      <c r="R4525" s="100"/>
      <c r="S4525" s="100"/>
      <c r="T4525" s="100"/>
      <c r="U4525" s="100"/>
      <c r="V4525" s="100"/>
      <c r="W4525" s="100"/>
      <c r="X4525" s="100"/>
      <c r="Y4525" s="100"/>
      <c r="Z4525" s="100"/>
    </row>
    <row r="4526" spans="1:26">
      <c r="A4526" s="100"/>
      <c r="B4526" s="100"/>
      <c r="C4526" s="100"/>
      <c r="D4526" s="100"/>
      <c r="E4526" s="100"/>
      <c r="F4526" s="100"/>
      <c r="G4526" s="100"/>
      <c r="H4526" s="100"/>
      <c r="I4526" s="100"/>
      <c r="J4526" s="100"/>
      <c r="K4526" s="100"/>
      <c r="L4526" s="100"/>
      <c r="M4526" s="100"/>
      <c r="N4526" s="100"/>
      <c r="O4526" s="100"/>
      <c r="P4526" s="100"/>
      <c r="Q4526" s="100"/>
      <c r="R4526" s="100"/>
      <c r="S4526" s="100"/>
      <c r="T4526" s="100"/>
      <c r="U4526" s="100"/>
      <c r="V4526" s="100"/>
      <c r="W4526" s="100"/>
      <c r="X4526" s="100"/>
      <c r="Y4526" s="100"/>
      <c r="Z4526" s="100"/>
    </row>
    <row r="4527" spans="1:26">
      <c r="A4527" s="100"/>
      <c r="B4527" s="100"/>
      <c r="C4527" s="100"/>
      <c r="D4527" s="100"/>
      <c r="E4527" s="100"/>
      <c r="F4527" s="100"/>
      <c r="G4527" s="100"/>
      <c r="H4527" s="100"/>
      <c r="I4527" s="100"/>
      <c r="J4527" s="100"/>
      <c r="K4527" s="100"/>
      <c r="L4527" s="100"/>
      <c r="M4527" s="100"/>
      <c r="N4527" s="100"/>
      <c r="O4527" s="100"/>
      <c r="P4527" s="100"/>
      <c r="Q4527" s="100"/>
      <c r="R4527" s="100"/>
      <c r="S4527" s="100"/>
      <c r="T4527" s="100"/>
      <c r="U4527" s="100"/>
      <c r="V4527" s="100"/>
      <c r="W4527" s="100"/>
      <c r="X4527" s="100"/>
      <c r="Y4527" s="100"/>
      <c r="Z4527" s="100"/>
    </row>
    <row r="4528" spans="1:26">
      <c r="A4528" s="100"/>
      <c r="B4528" s="100"/>
      <c r="C4528" s="100"/>
      <c r="D4528" s="100"/>
      <c r="E4528" s="100"/>
      <c r="F4528" s="100"/>
      <c r="G4528" s="100"/>
      <c r="H4528" s="100"/>
      <c r="I4528" s="100"/>
      <c r="J4528" s="100"/>
      <c r="K4528" s="100"/>
      <c r="L4528" s="100"/>
      <c r="M4528" s="100"/>
      <c r="N4528" s="100"/>
      <c r="O4528" s="100"/>
      <c r="P4528" s="100"/>
      <c r="Q4528" s="100"/>
      <c r="R4528" s="100"/>
      <c r="S4528" s="100"/>
      <c r="T4528" s="100"/>
      <c r="U4528" s="100"/>
      <c r="V4528" s="100"/>
      <c r="W4528" s="100"/>
      <c r="X4528" s="100"/>
      <c r="Y4528" s="100"/>
      <c r="Z4528" s="100"/>
    </row>
    <row r="4529" spans="1:26">
      <c r="A4529" s="100"/>
      <c r="B4529" s="100"/>
      <c r="C4529" s="100"/>
      <c r="D4529" s="100"/>
      <c r="E4529" s="100"/>
      <c r="F4529" s="100"/>
      <c r="G4529" s="100"/>
      <c r="H4529" s="100"/>
      <c r="I4529" s="100"/>
      <c r="J4529" s="100"/>
      <c r="K4529" s="100"/>
      <c r="L4529" s="100"/>
      <c r="M4529" s="100"/>
      <c r="N4529" s="100"/>
      <c r="O4529" s="100"/>
      <c r="P4529" s="100"/>
      <c r="Q4529" s="100"/>
      <c r="R4529" s="100"/>
      <c r="S4529" s="100"/>
      <c r="T4529" s="100"/>
      <c r="U4529" s="100"/>
      <c r="V4529" s="100"/>
      <c r="W4529" s="100"/>
      <c r="X4529" s="100"/>
      <c r="Y4529" s="100"/>
      <c r="Z4529" s="100"/>
    </row>
    <row r="4530" spans="1:26">
      <c r="A4530" s="100"/>
      <c r="B4530" s="100"/>
      <c r="C4530" s="100"/>
      <c r="D4530" s="100"/>
      <c r="E4530" s="100"/>
      <c r="F4530" s="100"/>
      <c r="G4530" s="100"/>
      <c r="H4530" s="100"/>
      <c r="I4530" s="100"/>
      <c r="J4530" s="100"/>
      <c r="K4530" s="100"/>
      <c r="L4530" s="100"/>
      <c r="M4530" s="100"/>
      <c r="N4530" s="100"/>
      <c r="O4530" s="100"/>
      <c r="P4530" s="100"/>
      <c r="Q4530" s="100"/>
      <c r="R4530" s="100"/>
      <c r="S4530" s="100"/>
      <c r="T4530" s="100"/>
      <c r="U4530" s="100"/>
      <c r="V4530" s="100"/>
      <c r="W4530" s="100"/>
      <c r="X4530" s="100"/>
      <c r="Y4530" s="100"/>
      <c r="Z4530" s="100"/>
    </row>
    <row r="4531" spans="1:26">
      <c r="A4531" s="100"/>
      <c r="B4531" s="100"/>
      <c r="C4531" s="100"/>
      <c r="D4531" s="100"/>
      <c r="E4531" s="100"/>
      <c r="F4531" s="100"/>
      <c r="G4531" s="100"/>
      <c r="H4531" s="100"/>
      <c r="I4531" s="100"/>
      <c r="J4531" s="100"/>
      <c r="K4531" s="100"/>
      <c r="L4531" s="100"/>
      <c r="M4531" s="100"/>
      <c r="N4531" s="100"/>
      <c r="O4531" s="100"/>
      <c r="P4531" s="100"/>
      <c r="Q4531" s="100"/>
      <c r="R4531" s="100"/>
      <c r="S4531" s="100"/>
      <c r="T4531" s="100"/>
      <c r="U4531" s="100"/>
      <c r="V4531" s="100"/>
      <c r="W4531" s="100"/>
      <c r="X4531" s="100"/>
      <c r="Y4531" s="100"/>
      <c r="Z4531" s="100"/>
    </row>
    <row r="4532" spans="1:26">
      <c r="A4532" s="100"/>
      <c r="B4532" s="100"/>
      <c r="C4532" s="100"/>
      <c r="D4532" s="100"/>
      <c r="E4532" s="100"/>
      <c r="F4532" s="100"/>
      <c r="G4532" s="100"/>
      <c r="H4532" s="100"/>
      <c r="I4532" s="100"/>
      <c r="J4532" s="100"/>
      <c r="K4532" s="100"/>
      <c r="L4532" s="100"/>
      <c r="M4532" s="100"/>
      <c r="N4532" s="100"/>
      <c r="O4532" s="100"/>
      <c r="P4532" s="100"/>
      <c r="Q4532" s="100"/>
      <c r="R4532" s="100"/>
      <c r="S4532" s="100"/>
      <c r="T4532" s="100"/>
      <c r="U4532" s="100"/>
      <c r="V4532" s="100"/>
      <c r="W4532" s="100"/>
      <c r="X4532" s="100"/>
      <c r="Y4532" s="100"/>
      <c r="Z4532" s="100"/>
    </row>
    <row r="4533" spans="1:26">
      <c r="A4533" s="100"/>
      <c r="B4533" s="100"/>
      <c r="C4533" s="100"/>
      <c r="D4533" s="100"/>
      <c r="E4533" s="100"/>
      <c r="F4533" s="100"/>
      <c r="G4533" s="100"/>
      <c r="H4533" s="100"/>
      <c r="I4533" s="100"/>
      <c r="J4533" s="100"/>
      <c r="K4533" s="100"/>
      <c r="L4533" s="100"/>
      <c r="M4533" s="100"/>
      <c r="N4533" s="100"/>
      <c r="O4533" s="100"/>
      <c r="P4533" s="100"/>
      <c r="Q4533" s="100"/>
      <c r="R4533" s="100"/>
      <c r="S4533" s="100"/>
      <c r="T4533" s="100"/>
      <c r="U4533" s="100"/>
      <c r="V4533" s="100"/>
      <c r="W4533" s="100"/>
      <c r="X4533" s="100"/>
      <c r="Y4533" s="100"/>
      <c r="Z4533" s="100"/>
    </row>
    <row r="4534" spans="1:26">
      <c r="A4534" s="100"/>
      <c r="B4534" s="100"/>
      <c r="C4534" s="100"/>
      <c r="D4534" s="100"/>
      <c r="E4534" s="100"/>
      <c r="F4534" s="100"/>
      <c r="G4534" s="100"/>
      <c r="H4534" s="100"/>
      <c r="I4534" s="100"/>
      <c r="J4534" s="100"/>
      <c r="K4534" s="100"/>
      <c r="L4534" s="100"/>
      <c r="M4534" s="100"/>
      <c r="N4534" s="100"/>
      <c r="O4534" s="100"/>
      <c r="P4534" s="100"/>
      <c r="Q4534" s="100"/>
      <c r="R4534" s="100"/>
      <c r="S4534" s="100"/>
      <c r="T4534" s="100"/>
      <c r="U4534" s="100"/>
      <c r="V4534" s="100"/>
      <c r="W4534" s="100"/>
      <c r="X4534" s="100"/>
      <c r="Y4534" s="100"/>
      <c r="Z4534" s="100"/>
    </row>
    <row r="4535" spans="1:26">
      <c r="A4535" s="100"/>
      <c r="B4535" s="100"/>
      <c r="C4535" s="100"/>
      <c r="D4535" s="100"/>
      <c r="E4535" s="100"/>
      <c r="F4535" s="100"/>
      <c r="G4535" s="100"/>
      <c r="H4535" s="100"/>
      <c r="I4535" s="100"/>
      <c r="J4535" s="100"/>
      <c r="K4535" s="100"/>
      <c r="L4535" s="100"/>
      <c r="M4535" s="100"/>
      <c r="N4535" s="100"/>
      <c r="O4535" s="100"/>
      <c r="P4535" s="100"/>
      <c r="Q4535" s="100"/>
      <c r="R4535" s="100"/>
      <c r="S4535" s="100"/>
      <c r="T4535" s="100"/>
      <c r="U4535" s="100"/>
      <c r="V4535" s="100"/>
      <c r="W4535" s="100"/>
      <c r="X4535" s="100"/>
      <c r="Y4535" s="100"/>
      <c r="Z4535" s="100"/>
    </row>
    <row r="4536" spans="1:26">
      <c r="A4536" s="100"/>
      <c r="B4536" s="100"/>
      <c r="C4536" s="100"/>
      <c r="D4536" s="100"/>
      <c r="E4536" s="100"/>
      <c r="F4536" s="100"/>
      <c r="G4536" s="100"/>
      <c r="H4536" s="100"/>
      <c r="I4536" s="100"/>
      <c r="J4536" s="100"/>
      <c r="K4536" s="100"/>
      <c r="L4536" s="100"/>
      <c r="M4536" s="100"/>
      <c r="N4536" s="100"/>
      <c r="O4536" s="100"/>
      <c r="P4536" s="100"/>
      <c r="Q4536" s="100"/>
      <c r="R4536" s="100"/>
      <c r="S4536" s="100"/>
      <c r="T4536" s="100"/>
      <c r="U4536" s="100"/>
      <c r="V4536" s="100"/>
      <c r="W4536" s="100"/>
      <c r="X4536" s="100"/>
      <c r="Y4536" s="100"/>
      <c r="Z4536" s="100"/>
    </row>
    <row r="4537" spans="1:26">
      <c r="A4537" s="100"/>
      <c r="B4537" s="100"/>
      <c r="C4537" s="100"/>
      <c r="D4537" s="100"/>
      <c r="E4537" s="100"/>
      <c r="F4537" s="100"/>
      <c r="G4537" s="100"/>
      <c r="H4537" s="100"/>
      <c r="I4537" s="100"/>
      <c r="J4537" s="100"/>
      <c r="K4537" s="100"/>
      <c r="L4537" s="100"/>
      <c r="M4537" s="100"/>
      <c r="N4537" s="100"/>
      <c r="O4537" s="100"/>
      <c r="P4537" s="100"/>
      <c r="Q4537" s="100"/>
      <c r="R4537" s="100"/>
      <c r="S4537" s="100"/>
      <c r="T4537" s="100"/>
      <c r="U4537" s="100"/>
      <c r="V4537" s="100"/>
      <c r="W4537" s="100"/>
      <c r="X4537" s="100"/>
      <c r="Y4537" s="100"/>
      <c r="Z4537" s="100"/>
    </row>
    <row r="4538" spans="1:26">
      <c r="A4538" s="100"/>
      <c r="B4538" s="100"/>
      <c r="C4538" s="100"/>
      <c r="D4538" s="100"/>
      <c r="E4538" s="100"/>
      <c r="F4538" s="100"/>
      <c r="G4538" s="100"/>
      <c r="H4538" s="100"/>
      <c r="I4538" s="100"/>
      <c r="J4538" s="100"/>
      <c r="K4538" s="100"/>
      <c r="L4538" s="100"/>
      <c r="M4538" s="100"/>
      <c r="N4538" s="100"/>
      <c r="O4538" s="100"/>
      <c r="P4538" s="100"/>
      <c r="Q4538" s="100"/>
      <c r="R4538" s="100"/>
      <c r="S4538" s="100"/>
      <c r="T4538" s="100"/>
      <c r="U4538" s="100"/>
      <c r="V4538" s="100"/>
      <c r="W4538" s="100"/>
      <c r="X4538" s="100"/>
      <c r="Y4538" s="100"/>
      <c r="Z4538" s="100"/>
    </row>
    <row r="4539" spans="1:26">
      <c r="A4539" s="100"/>
      <c r="B4539" s="100"/>
      <c r="C4539" s="100"/>
      <c r="D4539" s="100"/>
      <c r="E4539" s="100"/>
      <c r="F4539" s="100"/>
      <c r="G4539" s="100"/>
      <c r="H4539" s="100"/>
      <c r="I4539" s="100"/>
      <c r="J4539" s="100"/>
      <c r="K4539" s="100"/>
      <c r="L4539" s="100"/>
      <c r="M4539" s="100"/>
      <c r="N4539" s="100"/>
      <c r="O4539" s="100"/>
      <c r="P4539" s="100"/>
      <c r="Q4539" s="100"/>
      <c r="R4539" s="100"/>
      <c r="S4539" s="100"/>
      <c r="T4539" s="100"/>
      <c r="U4539" s="100"/>
      <c r="V4539" s="100"/>
      <c r="W4539" s="100"/>
      <c r="X4539" s="100"/>
      <c r="Y4539" s="100"/>
      <c r="Z4539" s="100"/>
    </row>
    <row r="4540" spans="1:26">
      <c r="A4540" s="100"/>
      <c r="B4540" s="100"/>
      <c r="C4540" s="100"/>
      <c r="D4540" s="100"/>
      <c r="E4540" s="100"/>
      <c r="F4540" s="100"/>
      <c r="G4540" s="100"/>
      <c r="H4540" s="100"/>
      <c r="I4540" s="100"/>
      <c r="J4540" s="100"/>
      <c r="K4540" s="100"/>
      <c r="L4540" s="100"/>
      <c r="M4540" s="100"/>
      <c r="N4540" s="100"/>
      <c r="O4540" s="100"/>
      <c r="P4540" s="100"/>
      <c r="Q4540" s="100"/>
      <c r="R4540" s="100"/>
      <c r="S4540" s="100"/>
      <c r="T4540" s="100"/>
      <c r="U4540" s="100"/>
      <c r="V4540" s="100"/>
      <c r="W4540" s="100"/>
      <c r="X4540" s="100"/>
      <c r="Y4540" s="100"/>
      <c r="Z4540" s="100"/>
    </row>
    <row r="4541" spans="1:26">
      <c r="A4541" s="100"/>
      <c r="B4541" s="100"/>
      <c r="C4541" s="100"/>
      <c r="D4541" s="100"/>
      <c r="E4541" s="100"/>
      <c r="F4541" s="100"/>
      <c r="G4541" s="100"/>
      <c r="H4541" s="100"/>
      <c r="I4541" s="100"/>
      <c r="J4541" s="100"/>
      <c r="K4541" s="100"/>
      <c r="L4541" s="100"/>
      <c r="M4541" s="100"/>
      <c r="N4541" s="100"/>
      <c r="O4541" s="100"/>
      <c r="P4541" s="100"/>
      <c r="Q4541" s="100"/>
      <c r="R4541" s="100"/>
      <c r="S4541" s="100"/>
      <c r="T4541" s="100"/>
      <c r="U4541" s="100"/>
      <c r="V4541" s="100"/>
      <c r="W4541" s="100"/>
      <c r="X4541" s="100"/>
      <c r="Y4541" s="100"/>
      <c r="Z4541" s="100"/>
    </row>
    <row r="4542" spans="1:26">
      <c r="A4542" s="100"/>
      <c r="B4542" s="100"/>
      <c r="C4542" s="100"/>
      <c r="D4542" s="100"/>
      <c r="E4542" s="100"/>
      <c r="F4542" s="100"/>
      <c r="G4542" s="100"/>
      <c r="H4542" s="100"/>
      <c r="I4542" s="100"/>
      <c r="J4542" s="100"/>
      <c r="K4542" s="100"/>
      <c r="L4542" s="100"/>
      <c r="M4542" s="100"/>
      <c r="N4542" s="100"/>
      <c r="O4542" s="100"/>
      <c r="P4542" s="100"/>
      <c r="Q4542" s="100"/>
      <c r="R4542" s="100"/>
      <c r="S4542" s="100"/>
      <c r="T4542" s="100"/>
      <c r="U4542" s="100"/>
      <c r="V4542" s="100"/>
      <c r="W4542" s="100"/>
      <c r="X4542" s="100"/>
      <c r="Y4542" s="100"/>
      <c r="Z4542" s="100"/>
    </row>
    <row r="4543" spans="1:26">
      <c r="A4543" s="100"/>
      <c r="B4543" s="100"/>
      <c r="C4543" s="100"/>
      <c r="D4543" s="100"/>
      <c r="E4543" s="100"/>
      <c r="F4543" s="100"/>
      <c r="G4543" s="100"/>
      <c r="H4543" s="100"/>
      <c r="I4543" s="100"/>
      <c r="J4543" s="100"/>
      <c r="K4543" s="100"/>
      <c r="L4543" s="100"/>
      <c r="M4543" s="100"/>
      <c r="N4543" s="100"/>
      <c r="O4543" s="100"/>
      <c r="P4543" s="100"/>
      <c r="Q4543" s="100"/>
      <c r="R4543" s="100"/>
      <c r="S4543" s="100"/>
      <c r="T4543" s="100"/>
      <c r="U4543" s="100"/>
      <c r="V4543" s="100"/>
      <c r="W4543" s="100"/>
      <c r="X4543" s="100"/>
      <c r="Y4543" s="100"/>
      <c r="Z4543" s="100"/>
    </row>
    <row r="4544" spans="1:26">
      <c r="A4544" s="100"/>
      <c r="B4544" s="100"/>
      <c r="C4544" s="100"/>
      <c r="D4544" s="100"/>
      <c r="E4544" s="100"/>
      <c r="F4544" s="100"/>
      <c r="G4544" s="100"/>
      <c r="H4544" s="100"/>
      <c r="I4544" s="100"/>
      <c r="J4544" s="100"/>
      <c r="K4544" s="100"/>
      <c r="L4544" s="100"/>
      <c r="M4544" s="100"/>
      <c r="N4544" s="100"/>
      <c r="O4544" s="100"/>
      <c r="P4544" s="100"/>
      <c r="Q4544" s="100"/>
      <c r="R4544" s="100"/>
      <c r="S4544" s="100"/>
      <c r="T4544" s="100"/>
      <c r="U4544" s="100"/>
      <c r="V4544" s="100"/>
      <c r="W4544" s="100"/>
      <c r="X4544" s="100"/>
      <c r="Y4544" s="100"/>
      <c r="Z4544" s="100"/>
    </row>
    <row r="4545" spans="1:26">
      <c r="A4545" s="100"/>
      <c r="B4545" s="100"/>
      <c r="C4545" s="100"/>
      <c r="D4545" s="100"/>
      <c r="E4545" s="100"/>
      <c r="F4545" s="100"/>
      <c r="G4545" s="100"/>
      <c r="H4545" s="100"/>
      <c r="I4545" s="100"/>
      <c r="J4545" s="100"/>
      <c r="K4545" s="100"/>
      <c r="L4545" s="100"/>
      <c r="M4545" s="100"/>
      <c r="N4545" s="100"/>
      <c r="O4545" s="100"/>
      <c r="P4545" s="100"/>
      <c r="Q4545" s="100"/>
      <c r="R4545" s="100"/>
      <c r="S4545" s="100"/>
      <c r="T4545" s="100"/>
      <c r="U4545" s="100"/>
      <c r="V4545" s="100"/>
      <c r="W4545" s="100"/>
      <c r="X4545" s="100"/>
      <c r="Y4545" s="100"/>
      <c r="Z4545" s="100"/>
    </row>
    <row r="4546" spans="1:26">
      <c r="A4546" s="100"/>
      <c r="B4546" s="100"/>
      <c r="C4546" s="100"/>
      <c r="D4546" s="100"/>
      <c r="E4546" s="100"/>
      <c r="F4546" s="100"/>
      <c r="G4546" s="100"/>
      <c r="H4546" s="100"/>
      <c r="I4546" s="100"/>
      <c r="J4546" s="100"/>
      <c r="K4546" s="100"/>
      <c r="L4546" s="100"/>
      <c r="M4546" s="100"/>
      <c r="N4546" s="100"/>
      <c r="O4546" s="100"/>
      <c r="P4546" s="100"/>
      <c r="Q4546" s="100"/>
      <c r="R4546" s="100"/>
      <c r="S4546" s="100"/>
      <c r="T4546" s="100"/>
      <c r="U4546" s="100"/>
      <c r="V4546" s="100"/>
      <c r="W4546" s="100"/>
      <c r="X4546" s="100"/>
      <c r="Y4546" s="100"/>
      <c r="Z4546" s="100"/>
    </row>
    <row r="4547" spans="1:26">
      <c r="A4547" s="100"/>
      <c r="B4547" s="100"/>
      <c r="C4547" s="100"/>
      <c r="D4547" s="100"/>
      <c r="E4547" s="100"/>
      <c r="F4547" s="100"/>
      <c r="G4547" s="100"/>
      <c r="H4547" s="100"/>
      <c r="I4547" s="100"/>
      <c r="J4547" s="100"/>
      <c r="K4547" s="100"/>
      <c r="L4547" s="100"/>
      <c r="M4547" s="100"/>
      <c r="N4547" s="100"/>
      <c r="O4547" s="100"/>
      <c r="P4547" s="100"/>
      <c r="Q4547" s="100"/>
      <c r="R4547" s="100"/>
      <c r="S4547" s="100"/>
      <c r="T4547" s="100"/>
      <c r="U4547" s="100"/>
      <c r="V4547" s="100"/>
      <c r="W4547" s="100"/>
      <c r="X4547" s="100"/>
      <c r="Y4547" s="100"/>
      <c r="Z4547" s="100"/>
    </row>
    <row r="4548" spans="1:26">
      <c r="A4548" s="100"/>
      <c r="B4548" s="100"/>
      <c r="C4548" s="100"/>
      <c r="D4548" s="100"/>
      <c r="E4548" s="100"/>
      <c r="F4548" s="100"/>
      <c r="G4548" s="100"/>
      <c r="H4548" s="100"/>
      <c r="I4548" s="100"/>
      <c r="J4548" s="100"/>
      <c r="K4548" s="100"/>
      <c r="L4548" s="100"/>
      <c r="M4548" s="100"/>
      <c r="N4548" s="100"/>
      <c r="O4548" s="100"/>
      <c r="P4548" s="100"/>
      <c r="Q4548" s="100"/>
      <c r="R4548" s="100"/>
      <c r="S4548" s="100"/>
      <c r="T4548" s="100"/>
      <c r="U4548" s="100"/>
      <c r="V4548" s="100"/>
      <c r="W4548" s="100"/>
      <c r="X4548" s="100"/>
      <c r="Y4548" s="100"/>
      <c r="Z4548" s="100"/>
    </row>
    <row r="4549" spans="1:26">
      <c r="A4549" s="100"/>
      <c r="B4549" s="100"/>
      <c r="C4549" s="100"/>
      <c r="D4549" s="100"/>
      <c r="E4549" s="100"/>
      <c r="F4549" s="100"/>
      <c r="G4549" s="100"/>
      <c r="H4549" s="100"/>
      <c r="I4549" s="100"/>
      <c r="J4549" s="100"/>
      <c r="K4549" s="100"/>
      <c r="L4549" s="100"/>
      <c r="M4549" s="100"/>
      <c r="N4549" s="100"/>
      <c r="O4549" s="100"/>
      <c r="P4549" s="100"/>
      <c r="Q4549" s="100"/>
      <c r="R4549" s="100"/>
      <c r="S4549" s="100"/>
      <c r="T4549" s="100"/>
      <c r="U4549" s="100"/>
      <c r="V4549" s="100"/>
      <c r="W4549" s="100"/>
      <c r="X4549" s="100"/>
      <c r="Y4549" s="100"/>
      <c r="Z4549" s="100"/>
    </row>
    <row r="4550" spans="1:26">
      <c r="A4550" s="100"/>
      <c r="B4550" s="100"/>
      <c r="C4550" s="100"/>
      <c r="D4550" s="100"/>
      <c r="E4550" s="100"/>
      <c r="F4550" s="100"/>
      <c r="G4550" s="100"/>
      <c r="H4550" s="100"/>
      <c r="I4550" s="100"/>
      <c r="J4550" s="100"/>
      <c r="K4550" s="100"/>
      <c r="L4550" s="100"/>
      <c r="M4550" s="100"/>
      <c r="N4550" s="100"/>
      <c r="O4550" s="100"/>
      <c r="P4550" s="100"/>
      <c r="Q4550" s="100"/>
      <c r="R4550" s="100"/>
      <c r="S4550" s="100"/>
      <c r="T4550" s="100"/>
      <c r="U4550" s="100"/>
      <c r="V4550" s="100"/>
      <c r="W4550" s="100"/>
      <c r="X4550" s="100"/>
      <c r="Y4550" s="100"/>
      <c r="Z4550" s="100"/>
    </row>
    <row r="4551" spans="1:26">
      <c r="A4551" s="100"/>
      <c r="B4551" s="100"/>
      <c r="C4551" s="100"/>
      <c r="D4551" s="100"/>
      <c r="E4551" s="100"/>
      <c r="F4551" s="100"/>
      <c r="G4551" s="100"/>
      <c r="H4551" s="100"/>
      <c r="I4551" s="100"/>
      <c r="J4551" s="100"/>
      <c r="K4551" s="100"/>
      <c r="L4551" s="100"/>
      <c r="M4551" s="100"/>
      <c r="N4551" s="100"/>
      <c r="O4551" s="100"/>
      <c r="P4551" s="100"/>
      <c r="Q4551" s="100"/>
      <c r="R4551" s="100"/>
      <c r="S4551" s="100"/>
      <c r="T4551" s="100"/>
      <c r="U4551" s="100"/>
      <c r="V4551" s="100"/>
      <c r="W4551" s="100"/>
      <c r="X4551" s="100"/>
      <c r="Y4551" s="100"/>
      <c r="Z4551" s="100"/>
    </row>
    <row r="4552" spans="1:26">
      <c r="A4552" s="100"/>
      <c r="B4552" s="100"/>
      <c r="C4552" s="100"/>
      <c r="D4552" s="100"/>
      <c r="E4552" s="100"/>
      <c r="F4552" s="100"/>
      <c r="G4552" s="100"/>
      <c r="H4552" s="100"/>
      <c r="I4552" s="100"/>
      <c r="J4552" s="100"/>
      <c r="K4552" s="100"/>
      <c r="L4552" s="100"/>
      <c r="M4552" s="100"/>
      <c r="N4552" s="100"/>
      <c r="O4552" s="100"/>
      <c r="P4552" s="100"/>
      <c r="Q4552" s="100"/>
      <c r="R4552" s="100"/>
      <c r="S4552" s="100"/>
      <c r="T4552" s="100"/>
      <c r="U4552" s="100"/>
      <c r="V4552" s="100"/>
      <c r="W4552" s="100"/>
      <c r="X4552" s="100"/>
      <c r="Y4552" s="100"/>
      <c r="Z4552" s="100"/>
    </row>
    <row r="4553" spans="1:26">
      <c r="A4553" s="100"/>
      <c r="B4553" s="100"/>
      <c r="C4553" s="100"/>
      <c r="D4553" s="100"/>
      <c r="E4553" s="100"/>
      <c r="F4553" s="100"/>
      <c r="G4553" s="100"/>
      <c r="H4553" s="100"/>
      <c r="I4553" s="100"/>
      <c r="J4553" s="100"/>
      <c r="K4553" s="100"/>
      <c r="L4553" s="100"/>
      <c r="M4553" s="100"/>
      <c r="N4553" s="100"/>
      <c r="O4553" s="100"/>
      <c r="P4553" s="100"/>
      <c r="Q4553" s="100"/>
      <c r="R4553" s="100"/>
      <c r="S4553" s="100"/>
      <c r="T4553" s="100"/>
      <c r="U4553" s="100"/>
      <c r="V4553" s="100"/>
      <c r="W4553" s="100"/>
      <c r="X4553" s="100"/>
      <c r="Y4553" s="100"/>
      <c r="Z4553" s="100"/>
    </row>
    <row r="4554" spans="1:26">
      <c r="A4554" s="100"/>
      <c r="B4554" s="100"/>
      <c r="C4554" s="100"/>
      <c r="D4554" s="100"/>
      <c r="E4554" s="100"/>
      <c r="F4554" s="100"/>
      <c r="G4554" s="100"/>
      <c r="H4554" s="100"/>
      <c r="I4554" s="100"/>
      <c r="J4554" s="100"/>
      <c r="K4554" s="100"/>
      <c r="L4554" s="100"/>
      <c r="M4554" s="100"/>
      <c r="N4554" s="100"/>
      <c r="O4554" s="100"/>
      <c r="P4554" s="100"/>
      <c r="Q4554" s="100"/>
      <c r="R4554" s="100"/>
      <c r="S4554" s="100"/>
      <c r="T4554" s="100"/>
      <c r="U4554" s="100"/>
      <c r="V4554" s="100"/>
      <c r="W4554" s="100"/>
      <c r="X4554" s="100"/>
      <c r="Y4554" s="100"/>
      <c r="Z4554" s="100"/>
    </row>
    <row r="4555" spans="1:26">
      <c r="A4555" s="100"/>
      <c r="B4555" s="100"/>
      <c r="C4555" s="100"/>
      <c r="D4555" s="100"/>
      <c r="E4555" s="100"/>
      <c r="F4555" s="100"/>
      <c r="G4555" s="100"/>
      <c r="H4555" s="100"/>
      <c r="I4555" s="100"/>
      <c r="J4555" s="100"/>
      <c r="K4555" s="100"/>
      <c r="L4555" s="100"/>
      <c r="M4555" s="100"/>
      <c r="N4555" s="100"/>
      <c r="O4555" s="100"/>
      <c r="P4555" s="100"/>
      <c r="Q4555" s="100"/>
      <c r="R4555" s="100"/>
      <c r="S4555" s="100"/>
      <c r="T4555" s="100"/>
      <c r="U4555" s="100"/>
      <c r="V4555" s="100"/>
      <c r="W4555" s="100"/>
      <c r="X4555" s="100"/>
      <c r="Y4555" s="100"/>
      <c r="Z4555" s="100"/>
    </row>
    <row r="4556" spans="1:26">
      <c r="A4556" s="100"/>
      <c r="B4556" s="100"/>
      <c r="C4556" s="100"/>
      <c r="D4556" s="100"/>
      <c r="E4556" s="100"/>
      <c r="F4556" s="100"/>
      <c r="G4556" s="100"/>
      <c r="H4556" s="100"/>
      <c r="I4556" s="100"/>
      <c r="J4556" s="100"/>
      <c r="K4556" s="100"/>
      <c r="L4556" s="100"/>
      <c r="M4556" s="100"/>
      <c r="N4556" s="100"/>
      <c r="O4556" s="100"/>
      <c r="P4556" s="100"/>
      <c r="Q4556" s="100"/>
      <c r="R4556" s="100"/>
      <c r="S4556" s="100"/>
      <c r="T4556" s="100"/>
      <c r="U4556" s="100"/>
      <c r="V4556" s="100"/>
      <c r="W4556" s="100"/>
      <c r="X4556" s="100"/>
      <c r="Y4556" s="100"/>
      <c r="Z4556" s="100"/>
    </row>
    <row r="4557" spans="1:26">
      <c r="A4557" s="100"/>
      <c r="B4557" s="100"/>
      <c r="C4557" s="100"/>
      <c r="D4557" s="100"/>
      <c r="E4557" s="100"/>
      <c r="F4557" s="100"/>
      <c r="G4557" s="100"/>
      <c r="H4557" s="100"/>
      <c r="I4557" s="100"/>
      <c r="J4557" s="100"/>
      <c r="K4557" s="100"/>
      <c r="L4557" s="100"/>
      <c r="M4557" s="100"/>
      <c r="N4557" s="100"/>
      <c r="O4557" s="100"/>
      <c r="P4557" s="100"/>
      <c r="Q4557" s="100"/>
      <c r="R4557" s="100"/>
      <c r="S4557" s="100"/>
      <c r="T4557" s="100"/>
      <c r="U4557" s="100"/>
      <c r="V4557" s="100"/>
      <c r="W4557" s="100"/>
      <c r="X4557" s="100"/>
      <c r="Y4557" s="100"/>
      <c r="Z4557" s="100"/>
    </row>
    <row r="4558" spans="1:26">
      <c r="A4558" s="100"/>
      <c r="B4558" s="100"/>
      <c r="C4558" s="100"/>
      <c r="D4558" s="100"/>
      <c r="E4558" s="100"/>
      <c r="F4558" s="100"/>
      <c r="G4558" s="100"/>
      <c r="H4558" s="100"/>
      <c r="I4558" s="100"/>
      <c r="J4558" s="100"/>
      <c r="K4558" s="100"/>
      <c r="L4558" s="100"/>
      <c r="M4558" s="100"/>
      <c r="N4558" s="100"/>
      <c r="O4558" s="100"/>
      <c r="P4558" s="100"/>
      <c r="Q4558" s="100"/>
      <c r="R4558" s="100"/>
      <c r="S4558" s="100"/>
      <c r="T4558" s="100"/>
      <c r="U4558" s="100"/>
      <c r="V4558" s="100"/>
      <c r="W4558" s="100"/>
      <c r="X4558" s="100"/>
      <c r="Y4558" s="100"/>
      <c r="Z4558" s="100"/>
    </row>
    <row r="4559" spans="1:26">
      <c r="A4559" s="100"/>
      <c r="B4559" s="100"/>
      <c r="C4559" s="100"/>
      <c r="D4559" s="100"/>
      <c r="E4559" s="100"/>
      <c r="F4559" s="100"/>
      <c r="G4559" s="100"/>
      <c r="H4559" s="100"/>
      <c r="I4559" s="100"/>
      <c r="J4559" s="100"/>
      <c r="K4559" s="100"/>
      <c r="L4559" s="100"/>
      <c r="M4559" s="100"/>
      <c r="N4559" s="100"/>
      <c r="O4559" s="100"/>
      <c r="P4559" s="100"/>
      <c r="Q4559" s="100"/>
      <c r="R4559" s="100"/>
      <c r="S4559" s="100"/>
      <c r="T4559" s="100"/>
      <c r="U4559" s="100"/>
      <c r="V4559" s="100"/>
      <c r="W4559" s="100"/>
      <c r="X4559" s="100"/>
      <c r="Y4559" s="100"/>
      <c r="Z4559" s="100"/>
    </row>
    <row r="4560" spans="1:26">
      <c r="A4560" s="100"/>
      <c r="B4560" s="100"/>
      <c r="C4560" s="100"/>
      <c r="D4560" s="100"/>
      <c r="E4560" s="100"/>
      <c r="F4560" s="100"/>
      <c r="G4560" s="100"/>
      <c r="H4560" s="100"/>
      <c r="I4560" s="100"/>
      <c r="J4560" s="100"/>
      <c r="K4560" s="100"/>
      <c r="L4560" s="100"/>
      <c r="M4560" s="100"/>
      <c r="N4560" s="100"/>
      <c r="O4560" s="100"/>
      <c r="P4560" s="100"/>
      <c r="Q4560" s="100"/>
      <c r="R4560" s="100"/>
      <c r="S4560" s="100"/>
      <c r="T4560" s="100"/>
      <c r="U4560" s="100"/>
      <c r="V4560" s="100"/>
      <c r="W4560" s="100"/>
      <c r="X4560" s="100"/>
      <c r="Y4560" s="100"/>
      <c r="Z4560" s="100"/>
    </row>
    <row r="4561" spans="1:26">
      <c r="A4561" s="100"/>
      <c r="B4561" s="100"/>
      <c r="C4561" s="100"/>
      <c r="D4561" s="100"/>
      <c r="E4561" s="100"/>
      <c r="F4561" s="100"/>
      <c r="G4561" s="100"/>
      <c r="H4561" s="100"/>
      <c r="I4561" s="100"/>
      <c r="J4561" s="100"/>
      <c r="K4561" s="100"/>
      <c r="L4561" s="100"/>
      <c r="M4561" s="100"/>
      <c r="N4561" s="100"/>
      <c r="O4561" s="100"/>
      <c r="P4561" s="100"/>
      <c r="Q4561" s="100"/>
      <c r="R4561" s="100"/>
      <c r="S4561" s="100"/>
      <c r="T4561" s="100"/>
      <c r="U4561" s="100"/>
      <c r="V4561" s="100"/>
      <c r="W4561" s="100"/>
      <c r="X4561" s="100"/>
      <c r="Y4561" s="100"/>
      <c r="Z4561" s="100"/>
    </row>
    <row r="4562" spans="1:26">
      <c r="A4562" s="100"/>
      <c r="B4562" s="100"/>
      <c r="C4562" s="100"/>
      <c r="D4562" s="100"/>
      <c r="E4562" s="100"/>
      <c r="F4562" s="100"/>
      <c r="G4562" s="100"/>
      <c r="H4562" s="100"/>
      <c r="I4562" s="100"/>
      <c r="J4562" s="100"/>
      <c r="K4562" s="100"/>
      <c r="L4562" s="100"/>
      <c r="M4562" s="100"/>
      <c r="N4562" s="100"/>
      <c r="O4562" s="100"/>
      <c r="P4562" s="100"/>
      <c r="Q4562" s="100"/>
      <c r="R4562" s="100"/>
      <c r="S4562" s="100"/>
      <c r="T4562" s="100"/>
      <c r="U4562" s="100"/>
      <c r="V4562" s="100"/>
      <c r="W4562" s="100"/>
      <c r="X4562" s="100"/>
      <c r="Y4562" s="100"/>
      <c r="Z4562" s="100"/>
    </row>
    <row r="4563" spans="1:26">
      <c r="A4563" s="100"/>
      <c r="B4563" s="100"/>
      <c r="C4563" s="100"/>
      <c r="D4563" s="100"/>
      <c r="E4563" s="100"/>
      <c r="F4563" s="100"/>
      <c r="G4563" s="100"/>
      <c r="H4563" s="100"/>
      <c r="I4563" s="100"/>
      <c r="J4563" s="100"/>
      <c r="K4563" s="100"/>
      <c r="L4563" s="100"/>
      <c r="M4563" s="100"/>
      <c r="N4563" s="100"/>
      <c r="O4563" s="100"/>
      <c r="P4563" s="100"/>
      <c r="Q4563" s="100"/>
      <c r="R4563" s="100"/>
      <c r="S4563" s="100"/>
      <c r="T4563" s="100"/>
      <c r="U4563" s="100"/>
      <c r="V4563" s="100"/>
      <c r="W4563" s="100"/>
      <c r="X4563" s="100"/>
      <c r="Y4563" s="100"/>
      <c r="Z4563" s="100"/>
    </row>
    <row r="4564" spans="1:26">
      <c r="A4564" s="100"/>
      <c r="B4564" s="100"/>
      <c r="C4564" s="100"/>
      <c r="D4564" s="100"/>
      <c r="E4564" s="100"/>
      <c r="F4564" s="100"/>
      <c r="G4564" s="100"/>
      <c r="H4564" s="100"/>
      <c r="I4564" s="100"/>
      <c r="J4564" s="100"/>
      <c r="K4564" s="100"/>
      <c r="L4564" s="100"/>
      <c r="M4564" s="100"/>
      <c r="N4564" s="100"/>
      <c r="O4564" s="100"/>
      <c r="P4564" s="100"/>
      <c r="Q4564" s="100"/>
      <c r="R4564" s="100"/>
      <c r="S4564" s="100"/>
      <c r="T4564" s="100"/>
      <c r="U4564" s="100"/>
      <c r="V4564" s="100"/>
      <c r="W4564" s="100"/>
      <c r="X4564" s="100"/>
      <c r="Y4564" s="100"/>
      <c r="Z4564" s="100"/>
    </row>
    <row r="4565" spans="1:26">
      <c r="A4565" s="100"/>
      <c r="B4565" s="100"/>
      <c r="C4565" s="100"/>
      <c r="D4565" s="100"/>
      <c r="E4565" s="100"/>
      <c r="F4565" s="100"/>
      <c r="G4565" s="100"/>
      <c r="H4565" s="100"/>
      <c r="I4565" s="100"/>
      <c r="J4565" s="100"/>
      <c r="K4565" s="100"/>
      <c r="L4565" s="100"/>
      <c r="M4565" s="100"/>
      <c r="N4565" s="100"/>
      <c r="O4565" s="100"/>
      <c r="P4565" s="100"/>
      <c r="Q4565" s="100"/>
      <c r="R4565" s="100"/>
      <c r="S4565" s="100"/>
      <c r="T4565" s="100"/>
      <c r="U4565" s="100"/>
      <c r="V4565" s="100"/>
      <c r="W4565" s="100"/>
      <c r="X4565" s="100"/>
      <c r="Y4565" s="100"/>
      <c r="Z4565" s="100"/>
    </row>
    <row r="4566" spans="1:26">
      <c r="A4566" s="100"/>
      <c r="B4566" s="100"/>
      <c r="C4566" s="100"/>
      <c r="D4566" s="100"/>
      <c r="E4566" s="100"/>
      <c r="F4566" s="100"/>
      <c r="G4566" s="100"/>
      <c r="H4566" s="100"/>
      <c r="I4566" s="100"/>
      <c r="J4566" s="100"/>
      <c r="K4566" s="100"/>
      <c r="L4566" s="100"/>
      <c r="M4566" s="100"/>
      <c r="N4566" s="100"/>
      <c r="O4566" s="100"/>
      <c r="P4566" s="100"/>
      <c r="Q4566" s="100"/>
      <c r="R4566" s="100"/>
      <c r="S4566" s="100"/>
      <c r="T4566" s="100"/>
      <c r="U4566" s="100"/>
      <c r="V4566" s="100"/>
      <c r="W4566" s="100"/>
      <c r="X4566" s="100"/>
      <c r="Y4566" s="100"/>
      <c r="Z4566" s="100"/>
    </row>
    <row r="4567" spans="1:26">
      <c r="A4567" s="100"/>
      <c r="B4567" s="100"/>
      <c r="C4567" s="100"/>
      <c r="D4567" s="100"/>
      <c r="E4567" s="100"/>
      <c r="F4567" s="100"/>
      <c r="G4567" s="100"/>
      <c r="H4567" s="100"/>
      <c r="I4567" s="100"/>
      <c r="J4567" s="100"/>
      <c r="K4567" s="100"/>
      <c r="L4567" s="100"/>
      <c r="M4567" s="100"/>
      <c r="N4567" s="100"/>
      <c r="O4567" s="100"/>
      <c r="P4567" s="100"/>
      <c r="Q4567" s="100"/>
      <c r="R4567" s="100"/>
      <c r="S4567" s="100"/>
      <c r="T4567" s="100"/>
      <c r="U4567" s="100"/>
      <c r="V4567" s="100"/>
      <c r="W4567" s="100"/>
      <c r="X4567" s="100"/>
      <c r="Y4567" s="100"/>
      <c r="Z4567" s="100"/>
    </row>
    <row r="4568" spans="1:26">
      <c r="A4568" s="100"/>
      <c r="B4568" s="100"/>
      <c r="C4568" s="100"/>
      <c r="D4568" s="100"/>
      <c r="E4568" s="100"/>
      <c r="F4568" s="100"/>
      <c r="G4568" s="100"/>
      <c r="H4568" s="100"/>
      <c r="I4568" s="100"/>
      <c r="J4568" s="100"/>
      <c r="K4568" s="100"/>
      <c r="L4568" s="100"/>
      <c r="M4568" s="100"/>
      <c r="N4568" s="100"/>
      <c r="O4568" s="100"/>
      <c r="P4568" s="100"/>
      <c r="Q4568" s="100"/>
      <c r="R4568" s="100"/>
      <c r="S4568" s="100"/>
      <c r="T4568" s="100"/>
      <c r="U4568" s="100"/>
      <c r="V4568" s="100"/>
      <c r="W4568" s="100"/>
      <c r="X4568" s="100"/>
      <c r="Y4568" s="100"/>
      <c r="Z4568" s="100"/>
    </row>
    <row r="4569" spans="1:26">
      <c r="A4569" s="100"/>
      <c r="B4569" s="100"/>
      <c r="C4569" s="100"/>
      <c r="D4569" s="100"/>
      <c r="E4569" s="100"/>
      <c r="F4569" s="100"/>
      <c r="G4569" s="100"/>
      <c r="H4569" s="100"/>
      <c r="I4569" s="100"/>
      <c r="J4569" s="100"/>
      <c r="K4569" s="100"/>
      <c r="L4569" s="100"/>
      <c r="M4569" s="100"/>
      <c r="N4569" s="100"/>
      <c r="O4569" s="100"/>
      <c r="P4569" s="100"/>
      <c r="Q4569" s="100"/>
      <c r="R4569" s="100"/>
      <c r="S4569" s="100"/>
      <c r="T4569" s="100"/>
      <c r="U4569" s="100"/>
      <c r="V4569" s="100"/>
      <c r="W4569" s="100"/>
      <c r="X4569" s="100"/>
      <c r="Y4569" s="100"/>
      <c r="Z4569" s="100"/>
    </row>
    <row r="4570" spans="1:26">
      <c r="A4570" s="100"/>
      <c r="B4570" s="100"/>
      <c r="C4570" s="100"/>
      <c r="D4570" s="100"/>
      <c r="E4570" s="100"/>
      <c r="F4570" s="100"/>
      <c r="G4570" s="100"/>
      <c r="H4570" s="100"/>
      <c r="I4570" s="100"/>
      <c r="J4570" s="100"/>
      <c r="K4570" s="100"/>
      <c r="L4570" s="100"/>
      <c r="M4570" s="100"/>
      <c r="N4570" s="100"/>
      <c r="O4570" s="100"/>
      <c r="P4570" s="100"/>
      <c r="Q4570" s="100"/>
      <c r="R4570" s="100"/>
      <c r="S4570" s="100"/>
      <c r="T4570" s="100"/>
      <c r="U4570" s="100"/>
      <c r="V4570" s="100"/>
      <c r="W4570" s="100"/>
      <c r="X4570" s="100"/>
      <c r="Y4570" s="100"/>
      <c r="Z4570" s="100"/>
    </row>
    <row r="4571" spans="1:26">
      <c r="A4571" s="100"/>
      <c r="B4571" s="100"/>
      <c r="C4571" s="100"/>
      <c r="D4571" s="100"/>
      <c r="E4571" s="100"/>
      <c r="F4571" s="100"/>
      <c r="G4571" s="100"/>
      <c r="H4571" s="100"/>
      <c r="I4571" s="100"/>
      <c r="J4571" s="100"/>
      <c r="K4571" s="100"/>
      <c r="L4571" s="100"/>
      <c r="M4571" s="100"/>
      <c r="N4571" s="100"/>
      <c r="O4571" s="100"/>
      <c r="P4571" s="100"/>
      <c r="Q4571" s="100"/>
      <c r="R4571" s="100"/>
      <c r="S4571" s="100"/>
      <c r="T4571" s="100"/>
      <c r="U4571" s="100"/>
      <c r="V4571" s="100"/>
      <c r="W4571" s="100"/>
      <c r="X4571" s="100"/>
      <c r="Y4571" s="100"/>
      <c r="Z4571" s="100"/>
    </row>
    <row r="4572" spans="1:26">
      <c r="A4572" s="100"/>
      <c r="B4572" s="100"/>
      <c r="C4572" s="100"/>
      <c r="D4572" s="100"/>
      <c r="E4572" s="100"/>
      <c r="F4572" s="100"/>
      <c r="G4572" s="100"/>
      <c r="H4572" s="100"/>
      <c r="I4572" s="100"/>
      <c r="J4572" s="100"/>
      <c r="K4572" s="100"/>
      <c r="L4572" s="100"/>
      <c r="M4572" s="100"/>
      <c r="N4572" s="100"/>
      <c r="O4572" s="100"/>
      <c r="P4572" s="100"/>
      <c r="Q4572" s="100"/>
      <c r="R4572" s="100"/>
      <c r="S4572" s="100"/>
      <c r="T4572" s="100"/>
      <c r="U4572" s="100"/>
      <c r="V4572" s="100"/>
      <c r="W4572" s="100"/>
      <c r="X4572" s="100"/>
      <c r="Y4572" s="100"/>
      <c r="Z4572" s="100"/>
    </row>
    <row r="4573" spans="1:26">
      <c r="A4573" s="100"/>
      <c r="B4573" s="100"/>
      <c r="C4573" s="100"/>
      <c r="D4573" s="100"/>
      <c r="E4573" s="100"/>
      <c r="F4573" s="100"/>
      <c r="G4573" s="100"/>
      <c r="H4573" s="100"/>
      <c r="I4573" s="100"/>
      <c r="J4573" s="100"/>
      <c r="K4573" s="100"/>
      <c r="L4573" s="100"/>
      <c r="M4573" s="100"/>
      <c r="N4573" s="100"/>
      <c r="O4573" s="100"/>
      <c r="P4573" s="100"/>
      <c r="Q4573" s="100"/>
      <c r="R4573" s="100"/>
      <c r="S4573" s="100"/>
      <c r="T4573" s="100"/>
      <c r="U4573" s="100"/>
      <c r="V4573" s="100"/>
      <c r="W4573" s="100"/>
      <c r="X4573" s="100"/>
      <c r="Y4573" s="100"/>
      <c r="Z4573" s="100"/>
    </row>
    <row r="4574" spans="1:26">
      <c r="A4574" s="100"/>
      <c r="B4574" s="100"/>
      <c r="C4574" s="100"/>
      <c r="D4574" s="100"/>
      <c r="E4574" s="100"/>
      <c r="F4574" s="100"/>
      <c r="G4574" s="100"/>
      <c r="H4574" s="100"/>
      <c r="I4574" s="100"/>
      <c r="J4574" s="100"/>
      <c r="K4574" s="100"/>
      <c r="L4574" s="100"/>
      <c r="M4574" s="100"/>
      <c r="N4574" s="100"/>
      <c r="O4574" s="100"/>
      <c r="P4574" s="100"/>
      <c r="Q4574" s="100"/>
      <c r="R4574" s="100"/>
      <c r="S4574" s="100"/>
      <c r="T4574" s="100"/>
      <c r="U4574" s="100"/>
      <c r="V4574" s="100"/>
      <c r="W4574" s="100"/>
      <c r="X4574" s="100"/>
      <c r="Y4574" s="100"/>
      <c r="Z4574" s="100"/>
    </row>
    <row r="4575" spans="1:26">
      <c r="A4575" s="100"/>
      <c r="B4575" s="100"/>
      <c r="C4575" s="100"/>
      <c r="D4575" s="100"/>
      <c r="E4575" s="100"/>
      <c r="F4575" s="100"/>
      <c r="G4575" s="100"/>
      <c r="H4575" s="100"/>
      <c r="I4575" s="100"/>
      <c r="J4575" s="100"/>
      <c r="K4575" s="100"/>
      <c r="L4575" s="100"/>
      <c r="M4575" s="100"/>
      <c r="N4575" s="100"/>
      <c r="O4575" s="100"/>
      <c r="P4575" s="100"/>
      <c r="Q4575" s="100"/>
      <c r="R4575" s="100"/>
      <c r="S4575" s="100"/>
      <c r="T4575" s="100"/>
      <c r="U4575" s="100"/>
      <c r="V4575" s="100"/>
      <c r="W4575" s="100"/>
      <c r="X4575" s="100"/>
      <c r="Y4575" s="100"/>
      <c r="Z4575" s="100"/>
    </row>
    <row r="4576" spans="1:26">
      <c r="A4576" s="100"/>
      <c r="B4576" s="100"/>
      <c r="C4576" s="100"/>
      <c r="D4576" s="100"/>
      <c r="E4576" s="100"/>
      <c r="F4576" s="100"/>
      <c r="G4576" s="100"/>
      <c r="H4576" s="100"/>
      <c r="I4576" s="100"/>
      <c r="J4576" s="100"/>
      <c r="K4576" s="100"/>
      <c r="L4576" s="100"/>
      <c r="M4576" s="100"/>
      <c r="N4576" s="100"/>
      <c r="O4576" s="100"/>
      <c r="P4576" s="100"/>
      <c r="Q4576" s="100"/>
      <c r="R4576" s="100"/>
      <c r="S4576" s="100"/>
      <c r="T4576" s="100"/>
      <c r="U4576" s="100"/>
      <c r="V4576" s="100"/>
      <c r="W4576" s="100"/>
      <c r="X4576" s="100"/>
      <c r="Y4576" s="100"/>
      <c r="Z4576" s="100"/>
    </row>
    <row r="4577" spans="1:26">
      <c r="A4577" s="100"/>
      <c r="B4577" s="100"/>
      <c r="C4577" s="100"/>
      <c r="D4577" s="100"/>
      <c r="E4577" s="100"/>
      <c r="F4577" s="100"/>
      <c r="G4577" s="100"/>
      <c r="H4577" s="100"/>
      <c r="I4577" s="100"/>
      <c r="J4577" s="100"/>
      <c r="K4577" s="100"/>
      <c r="L4577" s="100"/>
      <c r="M4577" s="100"/>
      <c r="N4577" s="100"/>
      <c r="O4577" s="100"/>
      <c r="P4577" s="100"/>
      <c r="Q4577" s="100"/>
      <c r="R4577" s="100"/>
      <c r="S4577" s="100"/>
      <c r="T4577" s="100"/>
      <c r="U4577" s="100"/>
      <c r="V4577" s="100"/>
      <c r="W4577" s="100"/>
      <c r="X4577" s="100"/>
      <c r="Y4577" s="100"/>
      <c r="Z4577" s="100"/>
    </row>
    <row r="4578" spans="1:26">
      <c r="A4578" s="100"/>
      <c r="B4578" s="100"/>
      <c r="C4578" s="100"/>
      <c r="D4578" s="100"/>
      <c r="E4578" s="100"/>
      <c r="F4578" s="100"/>
      <c r="G4578" s="100"/>
      <c r="H4578" s="100"/>
      <c r="I4578" s="100"/>
      <c r="J4578" s="100"/>
      <c r="K4578" s="100"/>
      <c r="L4578" s="100"/>
      <c r="M4578" s="100"/>
      <c r="N4578" s="100"/>
      <c r="O4578" s="100"/>
      <c r="P4578" s="100"/>
      <c r="Q4578" s="100"/>
      <c r="R4578" s="100"/>
      <c r="S4578" s="100"/>
      <c r="T4578" s="100"/>
      <c r="U4578" s="100"/>
      <c r="V4578" s="100"/>
      <c r="W4578" s="100"/>
      <c r="X4578" s="100"/>
      <c r="Y4578" s="100"/>
      <c r="Z4578" s="100"/>
    </row>
    <row r="4579" spans="1:26">
      <c r="A4579" s="100"/>
      <c r="B4579" s="100"/>
      <c r="C4579" s="100"/>
      <c r="D4579" s="100"/>
      <c r="E4579" s="100"/>
      <c r="F4579" s="100"/>
      <c r="G4579" s="100"/>
      <c r="H4579" s="100"/>
      <c r="I4579" s="100"/>
      <c r="J4579" s="100"/>
      <c r="K4579" s="100"/>
      <c r="L4579" s="100"/>
      <c r="M4579" s="100"/>
      <c r="N4579" s="100"/>
      <c r="O4579" s="100"/>
      <c r="P4579" s="100"/>
      <c r="Q4579" s="100"/>
      <c r="R4579" s="100"/>
      <c r="S4579" s="100"/>
      <c r="T4579" s="100"/>
      <c r="U4579" s="100"/>
      <c r="V4579" s="100"/>
      <c r="W4579" s="100"/>
      <c r="X4579" s="100"/>
      <c r="Y4579" s="100"/>
      <c r="Z4579" s="100"/>
    </row>
    <row r="4580" spans="1:26">
      <c r="A4580" s="100"/>
      <c r="B4580" s="100"/>
      <c r="C4580" s="100"/>
      <c r="D4580" s="100"/>
      <c r="E4580" s="100"/>
      <c r="F4580" s="100"/>
      <c r="G4580" s="100"/>
      <c r="H4580" s="100"/>
      <c r="I4580" s="100"/>
      <c r="J4580" s="100"/>
      <c r="K4580" s="100"/>
      <c r="L4580" s="100"/>
      <c r="M4580" s="100"/>
      <c r="N4580" s="100"/>
      <c r="O4580" s="100"/>
      <c r="P4580" s="100"/>
      <c r="Q4580" s="100"/>
      <c r="R4580" s="100"/>
      <c r="S4580" s="100"/>
      <c r="T4580" s="100"/>
      <c r="U4580" s="100"/>
      <c r="V4580" s="100"/>
      <c r="W4580" s="100"/>
      <c r="X4580" s="100"/>
      <c r="Y4580" s="100"/>
      <c r="Z4580" s="100"/>
    </row>
    <row r="4581" spans="1:26">
      <c r="A4581" s="100"/>
      <c r="B4581" s="100"/>
      <c r="C4581" s="100"/>
      <c r="D4581" s="100"/>
      <c r="E4581" s="100"/>
      <c r="F4581" s="100"/>
      <c r="G4581" s="100"/>
      <c r="H4581" s="100"/>
      <c r="I4581" s="100"/>
      <c r="J4581" s="100"/>
      <c r="K4581" s="100"/>
      <c r="L4581" s="100"/>
      <c r="M4581" s="100"/>
      <c r="N4581" s="100"/>
      <c r="O4581" s="100"/>
      <c r="P4581" s="100"/>
      <c r="Q4581" s="100"/>
      <c r="R4581" s="100"/>
      <c r="S4581" s="100"/>
      <c r="T4581" s="100"/>
      <c r="U4581" s="100"/>
      <c r="V4581" s="100"/>
      <c r="W4581" s="100"/>
      <c r="X4581" s="100"/>
      <c r="Y4581" s="100"/>
      <c r="Z4581" s="100"/>
    </row>
    <row r="4582" spans="1:26">
      <c r="A4582" s="100"/>
      <c r="B4582" s="100"/>
      <c r="C4582" s="100"/>
      <c r="D4582" s="100"/>
      <c r="E4582" s="100"/>
      <c r="F4582" s="100"/>
      <c r="G4582" s="100"/>
      <c r="H4582" s="100"/>
      <c r="I4582" s="100"/>
      <c r="J4582" s="100"/>
      <c r="K4582" s="100"/>
      <c r="L4582" s="100"/>
      <c r="M4582" s="100"/>
      <c r="N4582" s="100"/>
      <c r="O4582" s="100"/>
      <c r="P4582" s="100"/>
      <c r="Q4582" s="100"/>
      <c r="R4582" s="100"/>
      <c r="S4582" s="100"/>
      <c r="T4582" s="100"/>
      <c r="U4582" s="100"/>
      <c r="V4582" s="100"/>
      <c r="W4582" s="100"/>
      <c r="X4582" s="100"/>
      <c r="Y4582" s="100"/>
      <c r="Z4582" s="100"/>
    </row>
    <row r="4583" spans="1:26">
      <c r="A4583" s="100"/>
      <c r="B4583" s="100"/>
      <c r="C4583" s="100"/>
      <c r="D4583" s="100"/>
      <c r="E4583" s="100"/>
      <c r="F4583" s="100"/>
      <c r="G4583" s="100"/>
      <c r="H4583" s="100"/>
      <c r="I4583" s="100"/>
      <c r="J4583" s="100"/>
      <c r="K4583" s="100"/>
      <c r="L4583" s="100"/>
      <c r="M4583" s="100"/>
      <c r="N4583" s="100"/>
      <c r="O4583" s="100"/>
      <c r="P4583" s="100"/>
      <c r="Q4583" s="100"/>
      <c r="R4583" s="100"/>
      <c r="S4583" s="100"/>
      <c r="T4583" s="100"/>
      <c r="U4583" s="100"/>
      <c r="V4583" s="100"/>
      <c r="W4583" s="100"/>
      <c r="X4583" s="100"/>
      <c r="Y4583" s="100"/>
      <c r="Z4583" s="100"/>
    </row>
    <row r="4584" spans="1:26">
      <c r="A4584" s="100"/>
      <c r="B4584" s="100"/>
      <c r="C4584" s="100"/>
      <c r="D4584" s="100"/>
      <c r="E4584" s="100"/>
      <c r="F4584" s="100"/>
      <c r="G4584" s="100"/>
      <c r="H4584" s="100"/>
      <c r="I4584" s="100"/>
      <c r="J4584" s="100"/>
      <c r="K4584" s="100"/>
      <c r="L4584" s="100"/>
      <c r="M4584" s="100"/>
      <c r="N4584" s="100"/>
      <c r="O4584" s="100"/>
      <c r="P4584" s="100"/>
      <c r="Q4584" s="100"/>
      <c r="R4584" s="100"/>
      <c r="S4584" s="100"/>
      <c r="T4584" s="100"/>
      <c r="U4584" s="100"/>
      <c r="V4584" s="100"/>
      <c r="W4584" s="100"/>
      <c r="X4584" s="100"/>
      <c r="Y4584" s="100"/>
      <c r="Z4584" s="100"/>
    </row>
    <row r="4585" spans="1:26">
      <c r="A4585" s="100"/>
      <c r="B4585" s="100"/>
      <c r="C4585" s="100"/>
      <c r="D4585" s="100"/>
      <c r="E4585" s="100"/>
      <c r="F4585" s="100"/>
      <c r="G4585" s="100"/>
      <c r="H4585" s="100"/>
      <c r="I4585" s="100"/>
      <c r="J4585" s="100"/>
      <c r="K4585" s="100"/>
      <c r="L4585" s="100"/>
      <c r="M4585" s="100"/>
      <c r="N4585" s="100"/>
      <c r="O4585" s="100"/>
      <c r="P4585" s="100"/>
      <c r="Q4585" s="100"/>
      <c r="R4585" s="100"/>
      <c r="S4585" s="100"/>
      <c r="T4585" s="100"/>
      <c r="U4585" s="100"/>
      <c r="V4585" s="100"/>
      <c r="W4585" s="100"/>
      <c r="X4585" s="100"/>
      <c r="Y4585" s="100"/>
      <c r="Z4585" s="100"/>
    </row>
    <row r="4586" spans="1:26">
      <c r="A4586" s="100"/>
      <c r="B4586" s="100"/>
      <c r="C4586" s="100"/>
      <c r="D4586" s="100"/>
      <c r="E4586" s="100"/>
      <c r="F4586" s="100"/>
      <c r="G4586" s="100"/>
      <c r="H4586" s="100"/>
      <c r="I4586" s="100"/>
      <c r="J4586" s="100"/>
      <c r="K4586" s="100"/>
      <c r="L4586" s="100"/>
      <c r="M4586" s="100"/>
      <c r="N4586" s="100"/>
      <c r="O4586" s="100"/>
      <c r="P4586" s="100"/>
      <c r="Q4586" s="100"/>
      <c r="R4586" s="100"/>
      <c r="S4586" s="100"/>
      <c r="T4586" s="100"/>
      <c r="U4586" s="100"/>
      <c r="V4586" s="100"/>
      <c r="W4586" s="100"/>
      <c r="X4586" s="100"/>
      <c r="Y4586" s="100"/>
      <c r="Z4586" s="100"/>
    </row>
    <row r="4587" spans="1:26">
      <c r="A4587" s="100"/>
      <c r="B4587" s="100"/>
      <c r="C4587" s="100"/>
      <c r="D4587" s="100"/>
      <c r="E4587" s="100"/>
      <c r="F4587" s="100"/>
      <c r="G4587" s="100"/>
      <c r="H4587" s="100"/>
      <c r="I4587" s="100"/>
      <c r="J4587" s="100"/>
      <c r="K4587" s="100"/>
      <c r="L4587" s="100"/>
      <c r="M4587" s="100"/>
      <c r="N4587" s="100"/>
      <c r="O4587" s="100"/>
      <c r="P4587" s="100"/>
      <c r="Q4587" s="100"/>
      <c r="R4587" s="100"/>
      <c r="S4587" s="100"/>
      <c r="T4587" s="100"/>
      <c r="U4587" s="100"/>
      <c r="V4587" s="100"/>
      <c r="W4587" s="100"/>
      <c r="X4587" s="100"/>
      <c r="Y4587" s="100"/>
      <c r="Z4587" s="100"/>
    </row>
    <row r="4588" spans="1:26">
      <c r="A4588" s="100"/>
      <c r="B4588" s="100"/>
      <c r="C4588" s="100"/>
      <c r="D4588" s="100"/>
      <c r="E4588" s="100"/>
      <c r="F4588" s="100"/>
      <c r="G4588" s="100"/>
      <c r="H4588" s="100"/>
      <c r="I4588" s="100"/>
      <c r="J4588" s="100"/>
      <c r="K4588" s="100"/>
      <c r="L4588" s="100"/>
      <c r="M4588" s="100"/>
      <c r="N4588" s="100"/>
      <c r="O4588" s="100"/>
      <c r="P4588" s="100"/>
      <c r="Q4588" s="100"/>
      <c r="R4588" s="100"/>
      <c r="S4588" s="100"/>
      <c r="T4588" s="100"/>
      <c r="U4588" s="100"/>
      <c r="V4588" s="100"/>
      <c r="W4588" s="100"/>
      <c r="X4588" s="100"/>
      <c r="Y4588" s="100"/>
      <c r="Z4588" s="100"/>
    </row>
    <row r="4589" spans="1:26">
      <c r="A4589" s="100"/>
      <c r="B4589" s="100"/>
      <c r="C4589" s="100"/>
      <c r="D4589" s="100"/>
      <c r="E4589" s="100"/>
      <c r="F4589" s="100"/>
      <c r="G4589" s="100"/>
      <c r="H4589" s="100"/>
      <c r="I4589" s="100"/>
      <c r="J4589" s="100"/>
      <c r="K4589" s="100"/>
      <c r="L4589" s="100"/>
      <c r="M4589" s="100"/>
      <c r="N4589" s="100"/>
      <c r="O4589" s="100"/>
      <c r="P4589" s="100"/>
      <c r="Q4589" s="100"/>
      <c r="R4589" s="100"/>
      <c r="S4589" s="100"/>
      <c r="T4589" s="100"/>
      <c r="U4589" s="100"/>
      <c r="V4589" s="100"/>
      <c r="W4589" s="100"/>
      <c r="X4589" s="100"/>
      <c r="Y4589" s="100"/>
      <c r="Z4589" s="100"/>
    </row>
    <row r="4590" spans="1:26">
      <c r="A4590" s="100"/>
      <c r="B4590" s="100"/>
      <c r="C4590" s="100"/>
      <c r="D4590" s="100"/>
      <c r="E4590" s="100"/>
      <c r="F4590" s="100"/>
      <c r="G4590" s="100"/>
      <c r="H4590" s="100"/>
      <c r="I4590" s="100"/>
      <c r="J4590" s="100"/>
      <c r="K4590" s="100"/>
      <c r="L4590" s="100"/>
      <c r="M4590" s="100"/>
      <c r="N4590" s="100"/>
      <c r="O4590" s="100"/>
      <c r="P4590" s="100"/>
      <c r="Q4590" s="100"/>
      <c r="R4590" s="100"/>
      <c r="S4590" s="100"/>
      <c r="T4590" s="100"/>
      <c r="U4590" s="100"/>
      <c r="V4590" s="100"/>
      <c r="W4590" s="100"/>
      <c r="X4590" s="100"/>
      <c r="Y4590" s="100"/>
      <c r="Z4590" s="100"/>
    </row>
    <row r="4591" spans="1:26">
      <c r="A4591" s="100"/>
      <c r="B4591" s="100"/>
      <c r="C4591" s="100"/>
      <c r="D4591" s="100"/>
      <c r="E4591" s="100"/>
      <c r="F4591" s="100"/>
      <c r="G4591" s="100"/>
      <c r="H4591" s="100"/>
      <c r="I4591" s="100"/>
      <c r="J4591" s="100"/>
      <c r="K4591" s="100"/>
      <c r="L4591" s="100"/>
      <c r="M4591" s="100"/>
      <c r="N4591" s="100"/>
      <c r="O4591" s="100"/>
      <c r="P4591" s="100"/>
      <c r="Q4591" s="100"/>
      <c r="R4591" s="100"/>
      <c r="S4591" s="100"/>
      <c r="T4591" s="100"/>
      <c r="U4591" s="100"/>
      <c r="V4591" s="100"/>
      <c r="W4591" s="100"/>
      <c r="X4591" s="100"/>
      <c r="Y4591" s="100"/>
      <c r="Z4591" s="100"/>
    </row>
    <row r="4592" spans="1:26">
      <c r="A4592" s="100"/>
      <c r="B4592" s="100"/>
      <c r="C4592" s="100"/>
      <c r="D4592" s="100"/>
      <c r="E4592" s="100"/>
      <c r="F4592" s="100"/>
      <c r="G4592" s="100"/>
      <c r="H4592" s="100"/>
      <c r="I4592" s="100"/>
      <c r="J4592" s="100"/>
      <c r="K4592" s="100"/>
      <c r="L4592" s="100"/>
      <c r="M4592" s="100"/>
      <c r="N4592" s="100"/>
      <c r="O4592" s="100"/>
      <c r="P4592" s="100"/>
      <c r="Q4592" s="100"/>
      <c r="R4592" s="100"/>
      <c r="S4592" s="100"/>
      <c r="T4592" s="100"/>
      <c r="U4592" s="100"/>
      <c r="V4592" s="100"/>
      <c r="W4592" s="100"/>
      <c r="X4592" s="100"/>
      <c r="Y4592" s="100"/>
      <c r="Z4592" s="100"/>
    </row>
    <row r="4593" spans="1:26">
      <c r="A4593" s="100"/>
      <c r="B4593" s="100"/>
      <c r="C4593" s="100"/>
      <c r="D4593" s="100"/>
      <c r="E4593" s="100"/>
      <c r="F4593" s="100"/>
      <c r="G4593" s="100"/>
      <c r="H4593" s="100"/>
      <c r="I4593" s="100"/>
      <c r="J4593" s="100"/>
      <c r="K4593" s="100"/>
      <c r="L4593" s="100"/>
      <c r="M4593" s="100"/>
      <c r="N4593" s="100"/>
      <c r="O4593" s="100"/>
      <c r="P4593" s="100"/>
      <c r="Q4593" s="100"/>
      <c r="R4593" s="100"/>
      <c r="S4593" s="100"/>
      <c r="T4593" s="100"/>
      <c r="U4593" s="100"/>
      <c r="V4593" s="100"/>
      <c r="W4593" s="100"/>
      <c r="X4593" s="100"/>
      <c r="Y4593" s="100"/>
      <c r="Z4593" s="100"/>
    </row>
    <row r="4594" spans="1:26">
      <c r="A4594" s="100"/>
      <c r="B4594" s="100"/>
      <c r="C4594" s="100"/>
      <c r="D4594" s="100"/>
      <c r="E4594" s="100"/>
      <c r="F4594" s="100"/>
      <c r="G4594" s="100"/>
      <c r="H4594" s="100"/>
      <c r="I4594" s="100"/>
      <c r="J4594" s="100"/>
      <c r="K4594" s="100"/>
      <c r="L4594" s="100"/>
      <c r="M4594" s="100"/>
      <c r="N4594" s="100"/>
      <c r="O4594" s="100"/>
      <c r="P4594" s="100"/>
      <c r="Q4594" s="100"/>
      <c r="R4594" s="100"/>
      <c r="S4594" s="100"/>
      <c r="T4594" s="100"/>
      <c r="U4594" s="100"/>
      <c r="V4594" s="100"/>
      <c r="W4594" s="100"/>
      <c r="X4594" s="100"/>
      <c r="Y4594" s="100"/>
      <c r="Z4594" s="100"/>
    </row>
    <row r="4595" spans="1:26">
      <c r="A4595" s="100"/>
      <c r="B4595" s="100"/>
      <c r="C4595" s="100"/>
      <c r="D4595" s="100"/>
      <c r="E4595" s="100"/>
      <c r="F4595" s="100"/>
      <c r="G4595" s="100"/>
      <c r="H4595" s="100"/>
      <c r="I4595" s="100"/>
      <c r="J4595" s="100"/>
      <c r="K4595" s="100"/>
      <c r="L4595" s="100"/>
      <c r="M4595" s="100"/>
      <c r="N4595" s="100"/>
      <c r="O4595" s="100"/>
      <c r="P4595" s="100"/>
      <c r="Q4595" s="100"/>
      <c r="R4595" s="100"/>
      <c r="S4595" s="100"/>
      <c r="T4595" s="100"/>
      <c r="U4595" s="100"/>
      <c r="V4595" s="100"/>
      <c r="W4595" s="100"/>
      <c r="X4595" s="100"/>
      <c r="Y4595" s="100"/>
      <c r="Z4595" s="100"/>
    </row>
    <row r="4596" spans="1:26">
      <c r="A4596" s="100"/>
      <c r="B4596" s="100"/>
      <c r="C4596" s="100"/>
      <c r="D4596" s="100"/>
      <c r="E4596" s="100"/>
      <c r="F4596" s="100"/>
      <c r="G4596" s="100"/>
      <c r="H4596" s="100"/>
      <c r="I4596" s="100"/>
      <c r="J4596" s="100"/>
      <c r="K4596" s="100"/>
      <c r="L4596" s="100"/>
      <c r="M4596" s="100"/>
      <c r="N4596" s="100"/>
      <c r="O4596" s="100"/>
      <c r="P4596" s="100"/>
      <c r="Q4596" s="100"/>
      <c r="R4596" s="100"/>
      <c r="S4596" s="100"/>
      <c r="T4596" s="100"/>
      <c r="U4596" s="100"/>
      <c r="V4596" s="100"/>
      <c r="W4596" s="100"/>
      <c r="X4596" s="100"/>
      <c r="Y4596" s="100"/>
      <c r="Z4596" s="100"/>
    </row>
    <row r="4597" spans="1:26">
      <c r="A4597" s="100"/>
      <c r="B4597" s="100"/>
      <c r="C4597" s="100"/>
      <c r="D4597" s="100"/>
      <c r="E4597" s="100"/>
      <c r="F4597" s="100"/>
      <c r="G4597" s="100"/>
      <c r="H4597" s="100"/>
      <c r="I4597" s="100"/>
      <c r="J4597" s="100"/>
      <c r="K4597" s="100"/>
      <c r="L4597" s="100"/>
      <c r="M4597" s="100"/>
      <c r="N4597" s="100"/>
      <c r="O4597" s="100"/>
      <c r="P4597" s="100"/>
      <c r="Q4597" s="100"/>
      <c r="R4597" s="100"/>
      <c r="S4597" s="100"/>
      <c r="T4597" s="100"/>
      <c r="U4597" s="100"/>
      <c r="V4597" s="100"/>
      <c r="W4597" s="100"/>
      <c r="X4597" s="100"/>
      <c r="Y4597" s="100"/>
      <c r="Z4597" s="100"/>
    </row>
    <row r="4598" spans="1:26">
      <c r="A4598" s="100"/>
      <c r="B4598" s="100"/>
      <c r="C4598" s="100"/>
      <c r="D4598" s="100"/>
      <c r="E4598" s="100"/>
      <c r="F4598" s="100"/>
      <c r="G4598" s="100"/>
      <c r="H4598" s="100"/>
      <c r="I4598" s="100"/>
      <c r="J4598" s="100"/>
      <c r="K4598" s="100"/>
      <c r="L4598" s="100"/>
      <c r="M4598" s="100"/>
      <c r="N4598" s="100"/>
      <c r="O4598" s="100"/>
      <c r="P4598" s="100"/>
      <c r="Q4598" s="100"/>
      <c r="R4598" s="100"/>
      <c r="S4598" s="100"/>
      <c r="T4598" s="100"/>
      <c r="U4598" s="100"/>
      <c r="V4598" s="100"/>
      <c r="W4598" s="100"/>
      <c r="X4598" s="100"/>
      <c r="Y4598" s="100"/>
      <c r="Z4598" s="100"/>
    </row>
    <row r="4599" spans="1:26">
      <c r="A4599" s="100"/>
      <c r="B4599" s="100"/>
      <c r="C4599" s="100"/>
      <c r="D4599" s="100"/>
      <c r="E4599" s="100"/>
      <c r="F4599" s="100"/>
      <c r="G4599" s="100"/>
      <c r="H4599" s="100"/>
      <c r="I4599" s="100"/>
      <c r="J4599" s="100"/>
      <c r="K4599" s="100"/>
      <c r="L4599" s="100"/>
      <c r="M4599" s="100"/>
      <c r="N4599" s="100"/>
      <c r="O4599" s="100"/>
      <c r="P4599" s="100"/>
      <c r="Q4599" s="100"/>
      <c r="R4599" s="100"/>
      <c r="S4599" s="100"/>
      <c r="T4599" s="100"/>
      <c r="U4599" s="100"/>
      <c r="V4599" s="100"/>
      <c r="W4599" s="100"/>
      <c r="X4599" s="100"/>
      <c r="Y4599" s="100"/>
      <c r="Z4599" s="100"/>
    </row>
    <row r="4600" spans="1:26">
      <c r="A4600" s="100"/>
      <c r="B4600" s="100"/>
      <c r="C4600" s="100"/>
      <c r="D4600" s="100"/>
      <c r="E4600" s="100"/>
      <c r="F4600" s="100"/>
      <c r="G4600" s="100"/>
      <c r="H4600" s="100"/>
      <c r="I4600" s="100"/>
      <c r="J4600" s="100"/>
      <c r="K4600" s="100"/>
      <c r="L4600" s="100"/>
      <c r="M4600" s="100"/>
      <c r="N4600" s="100"/>
      <c r="O4600" s="100"/>
      <c r="P4600" s="100"/>
      <c r="Q4600" s="100"/>
      <c r="R4600" s="100"/>
      <c r="S4600" s="100"/>
      <c r="T4600" s="100"/>
      <c r="U4600" s="100"/>
      <c r="V4600" s="100"/>
      <c r="W4600" s="100"/>
      <c r="X4600" s="100"/>
      <c r="Y4600" s="100"/>
      <c r="Z4600" s="100"/>
    </row>
    <row r="4601" spans="1:26">
      <c r="A4601" s="100"/>
      <c r="B4601" s="100"/>
      <c r="C4601" s="100"/>
      <c r="D4601" s="100"/>
      <c r="E4601" s="100"/>
      <c r="F4601" s="100"/>
      <c r="G4601" s="100"/>
      <c r="H4601" s="100"/>
      <c r="I4601" s="100"/>
      <c r="J4601" s="100"/>
      <c r="K4601" s="100"/>
      <c r="L4601" s="100"/>
      <c r="M4601" s="100"/>
      <c r="N4601" s="100"/>
      <c r="O4601" s="100"/>
      <c r="P4601" s="100"/>
      <c r="Q4601" s="100"/>
      <c r="R4601" s="100"/>
      <c r="S4601" s="100"/>
      <c r="T4601" s="100"/>
      <c r="U4601" s="100"/>
      <c r="V4601" s="100"/>
      <c r="W4601" s="100"/>
      <c r="X4601" s="100"/>
      <c r="Y4601" s="100"/>
      <c r="Z4601" s="100"/>
    </row>
    <row r="4602" spans="1:26">
      <c r="A4602" s="100"/>
      <c r="B4602" s="100"/>
      <c r="C4602" s="100"/>
      <c r="D4602" s="100"/>
      <c r="E4602" s="100"/>
      <c r="F4602" s="100"/>
      <c r="G4602" s="100"/>
      <c r="H4602" s="100"/>
      <c r="I4602" s="100"/>
      <c r="J4602" s="100"/>
      <c r="K4602" s="100"/>
      <c r="L4602" s="100"/>
      <c r="M4602" s="100"/>
      <c r="N4602" s="100"/>
      <c r="O4602" s="100"/>
      <c r="P4602" s="100"/>
      <c r="Q4602" s="100"/>
      <c r="R4602" s="100"/>
      <c r="S4602" s="100"/>
      <c r="T4602" s="100"/>
      <c r="U4602" s="100"/>
      <c r="V4602" s="100"/>
      <c r="W4602" s="100"/>
      <c r="X4602" s="100"/>
      <c r="Y4602" s="100"/>
      <c r="Z4602" s="100"/>
    </row>
    <row r="4603" spans="1:26">
      <c r="A4603" s="100"/>
      <c r="B4603" s="100"/>
      <c r="C4603" s="100"/>
      <c r="D4603" s="100"/>
      <c r="E4603" s="100"/>
      <c r="F4603" s="100"/>
      <c r="G4603" s="100"/>
      <c r="H4603" s="100"/>
      <c r="I4603" s="100"/>
      <c r="J4603" s="100"/>
      <c r="K4603" s="100"/>
      <c r="L4603" s="100"/>
      <c r="M4603" s="100"/>
      <c r="N4603" s="100"/>
      <c r="O4603" s="100"/>
      <c r="P4603" s="100"/>
      <c r="Q4603" s="100"/>
      <c r="R4603" s="100"/>
      <c r="S4603" s="100"/>
      <c r="T4603" s="100"/>
      <c r="U4603" s="100"/>
      <c r="V4603" s="100"/>
      <c r="W4603" s="100"/>
      <c r="X4603" s="100"/>
      <c r="Y4603" s="100"/>
      <c r="Z4603" s="100"/>
    </row>
    <row r="4604" spans="1:26">
      <c r="A4604" s="100"/>
      <c r="B4604" s="100"/>
      <c r="C4604" s="100"/>
      <c r="D4604" s="100"/>
      <c r="E4604" s="100"/>
      <c r="F4604" s="100"/>
      <c r="G4604" s="100"/>
      <c r="H4604" s="100"/>
      <c r="I4604" s="100"/>
      <c r="J4604" s="100"/>
      <c r="K4604" s="100"/>
      <c r="L4604" s="100"/>
      <c r="M4604" s="100"/>
      <c r="N4604" s="100"/>
      <c r="O4604" s="100"/>
      <c r="P4604" s="100"/>
      <c r="Q4604" s="100"/>
      <c r="R4604" s="100"/>
      <c r="S4604" s="100"/>
      <c r="T4604" s="100"/>
      <c r="U4604" s="100"/>
      <c r="V4604" s="100"/>
      <c r="W4604" s="100"/>
      <c r="X4604" s="100"/>
      <c r="Y4604" s="100"/>
      <c r="Z4604" s="100"/>
    </row>
    <row r="4605" spans="1:26">
      <c r="A4605" s="100"/>
      <c r="B4605" s="100"/>
      <c r="C4605" s="100"/>
      <c r="D4605" s="100"/>
      <c r="E4605" s="100"/>
      <c r="F4605" s="100"/>
      <c r="G4605" s="100"/>
      <c r="H4605" s="100"/>
      <c r="I4605" s="100"/>
      <c r="J4605" s="100"/>
      <c r="K4605" s="100"/>
      <c r="L4605" s="100"/>
      <c r="M4605" s="100"/>
      <c r="N4605" s="100"/>
      <c r="O4605" s="100"/>
      <c r="P4605" s="100"/>
      <c r="Q4605" s="100"/>
      <c r="R4605" s="100"/>
      <c r="S4605" s="100"/>
      <c r="T4605" s="100"/>
      <c r="U4605" s="100"/>
      <c r="V4605" s="100"/>
      <c r="W4605" s="100"/>
      <c r="X4605" s="100"/>
      <c r="Y4605" s="100"/>
      <c r="Z4605" s="100"/>
    </row>
    <row r="4606" spans="1:26">
      <c r="A4606" s="100"/>
      <c r="B4606" s="100"/>
      <c r="C4606" s="100"/>
      <c r="D4606" s="100"/>
      <c r="E4606" s="100"/>
      <c r="F4606" s="100"/>
      <c r="G4606" s="100"/>
      <c r="H4606" s="100"/>
      <c r="I4606" s="100"/>
      <c r="J4606" s="100"/>
      <c r="K4606" s="100"/>
      <c r="L4606" s="100"/>
      <c r="M4606" s="100"/>
      <c r="N4606" s="100"/>
      <c r="O4606" s="100"/>
      <c r="P4606" s="100"/>
      <c r="Q4606" s="100"/>
      <c r="R4606" s="100"/>
      <c r="S4606" s="100"/>
      <c r="T4606" s="100"/>
      <c r="U4606" s="100"/>
      <c r="V4606" s="100"/>
      <c r="W4606" s="100"/>
      <c r="X4606" s="100"/>
      <c r="Y4606" s="100"/>
      <c r="Z4606" s="100"/>
    </row>
    <row r="4607" spans="1:26">
      <c r="A4607" s="100"/>
      <c r="B4607" s="100"/>
      <c r="C4607" s="100"/>
      <c r="D4607" s="100"/>
      <c r="E4607" s="100"/>
      <c r="F4607" s="100"/>
      <c r="G4607" s="100"/>
      <c r="H4607" s="100"/>
      <c r="I4607" s="100"/>
      <c r="J4607" s="100"/>
      <c r="K4607" s="100"/>
      <c r="L4607" s="100"/>
      <c r="M4607" s="100"/>
      <c r="N4607" s="100"/>
      <c r="O4607" s="100"/>
      <c r="P4607" s="100"/>
      <c r="Q4607" s="100"/>
      <c r="R4607" s="100"/>
      <c r="S4607" s="100"/>
      <c r="T4607" s="100"/>
      <c r="U4607" s="100"/>
      <c r="V4607" s="100"/>
      <c r="W4607" s="100"/>
      <c r="X4607" s="100"/>
      <c r="Y4607" s="100"/>
      <c r="Z4607" s="100"/>
    </row>
    <row r="4608" spans="1:26">
      <c r="A4608" s="100"/>
      <c r="B4608" s="100"/>
      <c r="C4608" s="100"/>
      <c r="D4608" s="100"/>
      <c r="E4608" s="100"/>
      <c r="F4608" s="100"/>
      <c r="G4608" s="100"/>
      <c r="H4608" s="100"/>
      <c r="I4608" s="100"/>
      <c r="J4608" s="100"/>
      <c r="K4608" s="100"/>
      <c r="L4608" s="100"/>
      <c r="M4608" s="100"/>
      <c r="N4608" s="100"/>
      <c r="O4608" s="100"/>
      <c r="P4608" s="100"/>
      <c r="Q4608" s="100"/>
      <c r="R4608" s="100"/>
      <c r="S4608" s="100"/>
      <c r="T4608" s="100"/>
      <c r="U4608" s="100"/>
      <c r="V4608" s="100"/>
      <c r="W4608" s="100"/>
      <c r="X4608" s="100"/>
      <c r="Y4608" s="100"/>
      <c r="Z4608" s="100"/>
    </row>
    <row r="4609" spans="1:26">
      <c r="A4609" s="100"/>
      <c r="B4609" s="100"/>
      <c r="C4609" s="100"/>
      <c r="D4609" s="100"/>
      <c r="E4609" s="100"/>
      <c r="F4609" s="100"/>
      <c r="G4609" s="100"/>
      <c r="H4609" s="100"/>
      <c r="I4609" s="100"/>
      <c r="J4609" s="100"/>
      <c r="K4609" s="100"/>
      <c r="L4609" s="100"/>
      <c r="M4609" s="100"/>
      <c r="N4609" s="100"/>
      <c r="O4609" s="100"/>
      <c r="P4609" s="100"/>
      <c r="Q4609" s="100"/>
      <c r="R4609" s="100"/>
      <c r="S4609" s="100"/>
      <c r="T4609" s="100"/>
      <c r="U4609" s="100"/>
      <c r="V4609" s="100"/>
      <c r="W4609" s="100"/>
      <c r="X4609" s="100"/>
      <c r="Y4609" s="100"/>
      <c r="Z4609" s="100"/>
    </row>
    <row r="4610" spans="1:26">
      <c r="A4610" s="100"/>
      <c r="B4610" s="100"/>
      <c r="C4610" s="100"/>
      <c r="D4610" s="100"/>
      <c r="E4610" s="100"/>
      <c r="F4610" s="100"/>
      <c r="G4610" s="100"/>
      <c r="H4610" s="100"/>
      <c r="I4610" s="100"/>
      <c r="J4610" s="100"/>
      <c r="K4610" s="100"/>
      <c r="L4610" s="100"/>
      <c r="M4610" s="100"/>
      <c r="N4610" s="100"/>
      <c r="O4610" s="100"/>
      <c r="P4610" s="100"/>
      <c r="Q4610" s="100"/>
      <c r="R4610" s="100"/>
      <c r="S4610" s="100"/>
      <c r="T4610" s="100"/>
      <c r="U4610" s="100"/>
      <c r="V4610" s="100"/>
      <c r="W4610" s="100"/>
      <c r="X4610" s="100"/>
      <c r="Y4610" s="100"/>
      <c r="Z4610" s="100"/>
    </row>
    <row r="4611" spans="1:26">
      <c r="A4611" s="100"/>
      <c r="B4611" s="100"/>
      <c r="C4611" s="100"/>
      <c r="D4611" s="100"/>
      <c r="E4611" s="100"/>
      <c r="F4611" s="100"/>
      <c r="G4611" s="100"/>
      <c r="H4611" s="100"/>
      <c r="I4611" s="100"/>
      <c r="J4611" s="100"/>
      <c r="K4611" s="100"/>
      <c r="L4611" s="100"/>
      <c r="M4611" s="100"/>
      <c r="N4611" s="100"/>
      <c r="O4611" s="100"/>
      <c r="P4611" s="100"/>
      <c r="Q4611" s="100"/>
      <c r="R4611" s="100"/>
      <c r="S4611" s="100"/>
      <c r="T4611" s="100"/>
      <c r="U4611" s="100"/>
      <c r="V4611" s="100"/>
      <c r="W4611" s="100"/>
      <c r="X4611" s="100"/>
      <c r="Y4611" s="100"/>
      <c r="Z4611" s="100"/>
    </row>
    <row r="4612" spans="1:26">
      <c r="A4612" s="100"/>
      <c r="B4612" s="100"/>
      <c r="C4612" s="100"/>
      <c r="D4612" s="100"/>
      <c r="E4612" s="100"/>
      <c r="F4612" s="100"/>
      <c r="G4612" s="100"/>
      <c r="H4612" s="100"/>
      <c r="I4612" s="100"/>
      <c r="J4612" s="100"/>
      <c r="K4612" s="100"/>
      <c r="L4612" s="100"/>
      <c r="M4612" s="100"/>
      <c r="N4612" s="100"/>
      <c r="O4612" s="100"/>
      <c r="P4612" s="100"/>
      <c r="Q4612" s="100"/>
      <c r="R4612" s="100"/>
      <c r="S4612" s="100"/>
      <c r="T4612" s="100"/>
      <c r="U4612" s="100"/>
      <c r="V4612" s="100"/>
      <c r="W4612" s="100"/>
      <c r="X4612" s="100"/>
      <c r="Y4612" s="100"/>
      <c r="Z4612" s="100"/>
    </row>
    <row r="4613" spans="1:26">
      <c r="A4613" s="100"/>
      <c r="B4613" s="100"/>
      <c r="C4613" s="100"/>
      <c r="D4613" s="100"/>
      <c r="E4613" s="100"/>
      <c r="F4613" s="100"/>
      <c r="G4613" s="100"/>
      <c r="H4613" s="100"/>
      <c r="I4613" s="100"/>
      <c r="J4613" s="100"/>
      <c r="K4613" s="100"/>
      <c r="L4613" s="100"/>
      <c r="M4613" s="100"/>
      <c r="N4613" s="100"/>
      <c r="O4613" s="100"/>
      <c r="P4613" s="100"/>
      <c r="Q4613" s="100"/>
      <c r="R4613" s="100"/>
      <c r="S4613" s="100"/>
      <c r="T4613" s="100"/>
      <c r="U4613" s="100"/>
      <c r="V4613" s="100"/>
      <c r="W4613" s="100"/>
      <c r="X4613" s="100"/>
      <c r="Y4613" s="100"/>
      <c r="Z4613" s="100"/>
    </row>
    <row r="4614" spans="1:26">
      <c r="A4614" s="100"/>
      <c r="B4614" s="100"/>
      <c r="C4614" s="100"/>
      <c r="D4614" s="100"/>
      <c r="E4614" s="100"/>
      <c r="F4614" s="100"/>
      <c r="G4614" s="100"/>
      <c r="H4614" s="100"/>
      <c r="I4614" s="100"/>
      <c r="J4614" s="100"/>
      <c r="K4614" s="100"/>
      <c r="L4614" s="100"/>
      <c r="M4614" s="100"/>
      <c r="N4614" s="100"/>
      <c r="O4614" s="100"/>
      <c r="P4614" s="100"/>
      <c r="Q4614" s="100"/>
      <c r="R4614" s="100"/>
      <c r="S4614" s="100"/>
      <c r="T4614" s="100"/>
      <c r="U4614" s="100"/>
      <c r="V4614" s="100"/>
      <c r="W4614" s="100"/>
      <c r="X4614" s="100"/>
      <c r="Y4614" s="100"/>
      <c r="Z4614" s="100"/>
    </row>
    <row r="4615" spans="1:26">
      <c r="A4615" s="100"/>
      <c r="B4615" s="100"/>
      <c r="C4615" s="100"/>
      <c r="D4615" s="100"/>
      <c r="E4615" s="100"/>
      <c r="F4615" s="100"/>
      <c r="G4615" s="100"/>
      <c r="H4615" s="100"/>
      <c r="I4615" s="100"/>
      <c r="J4615" s="100"/>
      <c r="K4615" s="100"/>
      <c r="L4615" s="100"/>
      <c r="M4615" s="100"/>
      <c r="N4615" s="100"/>
      <c r="O4615" s="100"/>
      <c r="P4615" s="100"/>
      <c r="Q4615" s="100"/>
      <c r="R4615" s="100"/>
      <c r="S4615" s="100"/>
      <c r="T4615" s="100"/>
      <c r="U4615" s="100"/>
      <c r="V4615" s="100"/>
      <c r="W4615" s="100"/>
      <c r="X4615" s="100"/>
      <c r="Y4615" s="100"/>
      <c r="Z4615" s="100"/>
    </row>
    <row r="4616" spans="1:26">
      <c r="A4616" s="100"/>
      <c r="B4616" s="100"/>
      <c r="C4616" s="100"/>
      <c r="D4616" s="100"/>
      <c r="E4616" s="100"/>
      <c r="F4616" s="100"/>
      <c r="G4616" s="100"/>
      <c r="H4616" s="100"/>
      <c r="I4616" s="100"/>
      <c r="J4616" s="100"/>
      <c r="K4616" s="100"/>
      <c r="L4616" s="100"/>
      <c r="M4616" s="100"/>
      <c r="N4616" s="100"/>
      <c r="O4616" s="100"/>
      <c r="P4616" s="100"/>
      <c r="Q4616" s="100"/>
      <c r="R4616" s="100"/>
      <c r="S4616" s="100"/>
      <c r="T4616" s="100"/>
      <c r="U4616" s="100"/>
      <c r="V4616" s="100"/>
      <c r="W4616" s="100"/>
      <c r="X4616" s="100"/>
      <c r="Y4616" s="100"/>
      <c r="Z4616" s="100"/>
    </row>
    <row r="4617" spans="1:26">
      <c r="A4617" s="100"/>
      <c r="B4617" s="100"/>
      <c r="C4617" s="100"/>
      <c r="D4617" s="100"/>
      <c r="E4617" s="100"/>
      <c r="F4617" s="100"/>
      <c r="G4617" s="100"/>
      <c r="H4617" s="100"/>
      <c r="I4617" s="100"/>
      <c r="J4617" s="100"/>
      <c r="K4617" s="100"/>
      <c r="L4617" s="100"/>
      <c r="M4617" s="100"/>
      <c r="N4617" s="100"/>
      <c r="O4617" s="100"/>
      <c r="P4617" s="100"/>
      <c r="Q4617" s="100"/>
      <c r="R4617" s="100"/>
      <c r="S4617" s="100"/>
      <c r="T4617" s="100"/>
      <c r="U4617" s="100"/>
      <c r="V4617" s="100"/>
      <c r="W4617" s="100"/>
      <c r="X4617" s="100"/>
      <c r="Y4617" s="100"/>
      <c r="Z4617" s="100"/>
    </row>
    <row r="4618" spans="1:26">
      <c r="A4618" s="100"/>
      <c r="B4618" s="100"/>
      <c r="C4618" s="100"/>
      <c r="D4618" s="100"/>
      <c r="E4618" s="100"/>
      <c r="F4618" s="100"/>
      <c r="G4618" s="100"/>
      <c r="H4618" s="100"/>
      <c r="I4618" s="100"/>
      <c r="J4618" s="100"/>
      <c r="K4618" s="100"/>
      <c r="L4618" s="100"/>
      <c r="M4618" s="100"/>
      <c r="N4618" s="100"/>
      <c r="O4618" s="100"/>
      <c r="P4618" s="100"/>
      <c r="Q4618" s="100"/>
      <c r="R4618" s="100"/>
      <c r="S4618" s="100"/>
      <c r="T4618" s="100"/>
      <c r="U4618" s="100"/>
      <c r="V4618" s="100"/>
      <c r="W4618" s="100"/>
      <c r="X4618" s="100"/>
      <c r="Y4618" s="100"/>
      <c r="Z4618" s="100"/>
    </row>
    <row r="4619" spans="1:26">
      <c r="A4619" s="100"/>
      <c r="B4619" s="100"/>
      <c r="C4619" s="100"/>
      <c r="D4619" s="100"/>
      <c r="E4619" s="100"/>
      <c r="F4619" s="100"/>
      <c r="G4619" s="100"/>
      <c r="H4619" s="100"/>
      <c r="I4619" s="100"/>
      <c r="J4619" s="100"/>
      <c r="K4619" s="100"/>
      <c r="L4619" s="100"/>
      <c r="M4619" s="100"/>
      <c r="N4619" s="100"/>
      <c r="O4619" s="100"/>
      <c r="P4619" s="100"/>
      <c r="Q4619" s="100"/>
      <c r="R4619" s="100"/>
      <c r="S4619" s="100"/>
      <c r="T4619" s="100"/>
      <c r="U4619" s="100"/>
      <c r="V4619" s="100"/>
      <c r="W4619" s="100"/>
      <c r="X4619" s="100"/>
      <c r="Y4619" s="100"/>
      <c r="Z4619" s="100"/>
    </row>
    <row r="4620" spans="1:26">
      <c r="A4620" s="100"/>
      <c r="B4620" s="100"/>
      <c r="C4620" s="100"/>
      <c r="D4620" s="100"/>
      <c r="E4620" s="100"/>
      <c r="F4620" s="100"/>
      <c r="G4620" s="100"/>
      <c r="H4620" s="100"/>
      <c r="I4620" s="100"/>
      <c r="J4620" s="100"/>
      <c r="K4620" s="100"/>
      <c r="L4620" s="100"/>
      <c r="M4620" s="100"/>
      <c r="N4620" s="100"/>
      <c r="O4620" s="100"/>
      <c r="P4620" s="100"/>
      <c r="Q4620" s="100"/>
      <c r="R4620" s="100"/>
      <c r="S4620" s="100"/>
      <c r="T4620" s="100"/>
      <c r="U4620" s="100"/>
      <c r="V4620" s="100"/>
      <c r="W4620" s="100"/>
      <c r="X4620" s="100"/>
      <c r="Y4620" s="100"/>
      <c r="Z4620" s="100"/>
    </row>
    <row r="4621" spans="1:26">
      <c r="A4621" s="100"/>
      <c r="B4621" s="100"/>
      <c r="C4621" s="100"/>
      <c r="D4621" s="100"/>
      <c r="E4621" s="100"/>
      <c r="F4621" s="100"/>
      <c r="G4621" s="100"/>
      <c r="H4621" s="100"/>
      <c r="I4621" s="100"/>
      <c r="J4621" s="100"/>
      <c r="K4621" s="100"/>
      <c r="L4621" s="100"/>
      <c r="M4621" s="100"/>
      <c r="N4621" s="100"/>
      <c r="O4621" s="100"/>
      <c r="P4621" s="100"/>
      <c r="Q4621" s="100"/>
      <c r="R4621" s="100"/>
      <c r="S4621" s="100"/>
      <c r="T4621" s="100"/>
      <c r="U4621" s="100"/>
      <c r="V4621" s="100"/>
      <c r="W4621" s="100"/>
      <c r="X4621" s="100"/>
      <c r="Y4621" s="100"/>
      <c r="Z4621" s="100"/>
    </row>
    <row r="4622" spans="1:26">
      <c r="A4622" s="100"/>
      <c r="B4622" s="100"/>
      <c r="C4622" s="100"/>
      <c r="D4622" s="100"/>
      <c r="E4622" s="100"/>
      <c r="F4622" s="100"/>
      <c r="G4622" s="100"/>
      <c r="H4622" s="100"/>
      <c r="I4622" s="100"/>
      <c r="J4622" s="100"/>
      <c r="K4622" s="100"/>
      <c r="L4622" s="100"/>
      <c r="M4622" s="100"/>
      <c r="N4622" s="100"/>
      <c r="O4622" s="100"/>
      <c r="P4622" s="100"/>
      <c r="Q4622" s="100"/>
      <c r="R4622" s="100"/>
      <c r="S4622" s="100"/>
      <c r="T4622" s="100"/>
      <c r="U4622" s="100"/>
      <c r="V4622" s="100"/>
      <c r="W4622" s="100"/>
      <c r="X4622" s="100"/>
      <c r="Y4622" s="100"/>
      <c r="Z4622" s="100"/>
    </row>
    <row r="4623" spans="1:26">
      <c r="A4623" s="100"/>
      <c r="B4623" s="100"/>
      <c r="C4623" s="100"/>
      <c r="D4623" s="100"/>
      <c r="E4623" s="100"/>
      <c r="F4623" s="100"/>
      <c r="G4623" s="100"/>
      <c r="H4623" s="100"/>
      <c r="I4623" s="100"/>
      <c r="J4623" s="100"/>
      <c r="K4623" s="100"/>
      <c r="L4623" s="100"/>
      <c r="M4623" s="100"/>
      <c r="N4623" s="100"/>
      <c r="O4623" s="100"/>
      <c r="P4623" s="100"/>
      <c r="Q4623" s="100"/>
      <c r="R4623" s="100"/>
      <c r="S4623" s="100"/>
      <c r="T4623" s="100"/>
      <c r="U4623" s="100"/>
      <c r="V4623" s="100"/>
      <c r="W4623" s="100"/>
      <c r="X4623" s="100"/>
      <c r="Y4623" s="100"/>
      <c r="Z4623" s="100"/>
    </row>
    <row r="4624" spans="1:26">
      <c r="A4624" s="100"/>
      <c r="B4624" s="100"/>
      <c r="C4624" s="100"/>
      <c r="D4624" s="100"/>
      <c r="E4624" s="100"/>
      <c r="F4624" s="100"/>
      <c r="G4624" s="100"/>
      <c r="H4624" s="100"/>
      <c r="I4624" s="100"/>
      <c r="J4624" s="100"/>
      <c r="K4624" s="100"/>
      <c r="L4624" s="100"/>
      <c r="M4624" s="100"/>
      <c r="N4624" s="100"/>
      <c r="O4624" s="100"/>
      <c r="P4624" s="100"/>
      <c r="Q4624" s="100"/>
      <c r="R4624" s="100"/>
      <c r="S4624" s="100"/>
      <c r="T4624" s="100"/>
      <c r="U4624" s="100"/>
      <c r="V4624" s="100"/>
      <c r="W4624" s="100"/>
      <c r="X4624" s="100"/>
      <c r="Y4624" s="100"/>
      <c r="Z4624" s="100"/>
    </row>
    <row r="4625" spans="1:26">
      <c r="A4625" s="100"/>
      <c r="B4625" s="100"/>
      <c r="C4625" s="100"/>
      <c r="D4625" s="100"/>
      <c r="E4625" s="100"/>
      <c r="F4625" s="100"/>
      <c r="G4625" s="100"/>
      <c r="H4625" s="100"/>
      <c r="I4625" s="100"/>
      <c r="J4625" s="100"/>
      <c r="K4625" s="100"/>
      <c r="L4625" s="100"/>
      <c r="M4625" s="100"/>
      <c r="N4625" s="100"/>
      <c r="O4625" s="100"/>
      <c r="P4625" s="100"/>
      <c r="Q4625" s="100"/>
      <c r="R4625" s="100"/>
      <c r="S4625" s="100"/>
      <c r="T4625" s="100"/>
      <c r="U4625" s="100"/>
      <c r="V4625" s="100"/>
      <c r="W4625" s="100"/>
      <c r="X4625" s="100"/>
      <c r="Y4625" s="100"/>
      <c r="Z4625" s="100"/>
    </row>
    <row r="4626" spans="1:26">
      <c r="A4626" s="100"/>
      <c r="B4626" s="100"/>
      <c r="C4626" s="100"/>
      <c r="D4626" s="100"/>
      <c r="E4626" s="100"/>
      <c r="F4626" s="100"/>
      <c r="G4626" s="100"/>
      <c r="H4626" s="100"/>
      <c r="I4626" s="100"/>
      <c r="J4626" s="100"/>
      <c r="K4626" s="100"/>
      <c r="L4626" s="100"/>
      <c r="M4626" s="100"/>
      <c r="N4626" s="100"/>
      <c r="O4626" s="100"/>
      <c r="P4626" s="100"/>
      <c r="Q4626" s="100"/>
      <c r="R4626" s="100"/>
      <c r="S4626" s="100"/>
      <c r="T4626" s="100"/>
      <c r="U4626" s="100"/>
      <c r="V4626" s="100"/>
      <c r="W4626" s="100"/>
      <c r="X4626" s="100"/>
      <c r="Y4626" s="100"/>
      <c r="Z4626" s="100"/>
    </row>
    <row r="4627" spans="1:26">
      <c r="A4627" s="100"/>
      <c r="B4627" s="100"/>
      <c r="C4627" s="100"/>
      <c r="D4627" s="100"/>
      <c r="E4627" s="100"/>
      <c r="F4627" s="100"/>
      <c r="G4627" s="100"/>
      <c r="H4627" s="100"/>
      <c r="I4627" s="100"/>
      <c r="J4627" s="100"/>
      <c r="K4627" s="100"/>
      <c r="L4627" s="100"/>
      <c r="M4627" s="100"/>
      <c r="N4627" s="100"/>
      <c r="O4627" s="100"/>
      <c r="P4627" s="100"/>
      <c r="Q4627" s="100"/>
      <c r="R4627" s="100"/>
      <c r="S4627" s="100"/>
      <c r="T4627" s="100"/>
      <c r="U4627" s="100"/>
      <c r="V4627" s="100"/>
      <c r="W4627" s="100"/>
      <c r="X4627" s="100"/>
      <c r="Y4627" s="100"/>
      <c r="Z4627" s="100"/>
    </row>
    <row r="4628" spans="1:26">
      <c r="A4628" s="100"/>
      <c r="B4628" s="100"/>
      <c r="C4628" s="100"/>
      <c r="D4628" s="100"/>
      <c r="E4628" s="100"/>
      <c r="F4628" s="100"/>
      <c r="G4628" s="100"/>
      <c r="H4628" s="100"/>
      <c r="I4628" s="100"/>
      <c r="J4628" s="100"/>
      <c r="K4628" s="100"/>
      <c r="L4628" s="100"/>
      <c r="M4628" s="100"/>
      <c r="N4628" s="100"/>
      <c r="O4628" s="100"/>
      <c r="P4628" s="100"/>
      <c r="Q4628" s="100"/>
      <c r="R4628" s="100"/>
      <c r="S4628" s="100"/>
      <c r="T4628" s="100"/>
      <c r="U4628" s="100"/>
      <c r="V4628" s="100"/>
      <c r="W4628" s="100"/>
      <c r="X4628" s="100"/>
      <c r="Y4628" s="100"/>
      <c r="Z4628" s="100"/>
    </row>
    <row r="4629" spans="1:26">
      <c r="A4629" s="100"/>
      <c r="B4629" s="100"/>
      <c r="C4629" s="100"/>
      <c r="D4629" s="100"/>
      <c r="E4629" s="100"/>
      <c r="F4629" s="100"/>
      <c r="G4629" s="100"/>
      <c r="H4629" s="100"/>
      <c r="I4629" s="100"/>
      <c r="J4629" s="100"/>
      <c r="K4629" s="100"/>
      <c r="L4629" s="100"/>
      <c r="M4629" s="100"/>
      <c r="N4629" s="100"/>
      <c r="O4629" s="100"/>
      <c r="P4629" s="100"/>
      <c r="Q4629" s="100"/>
      <c r="R4629" s="100"/>
      <c r="S4629" s="100"/>
      <c r="T4629" s="100"/>
      <c r="U4629" s="100"/>
      <c r="V4629" s="100"/>
      <c r="W4629" s="100"/>
      <c r="X4629" s="100"/>
      <c r="Y4629" s="100"/>
      <c r="Z4629" s="100"/>
    </row>
    <row r="4630" spans="1:26">
      <c r="A4630" s="100"/>
      <c r="B4630" s="100"/>
      <c r="C4630" s="100"/>
      <c r="D4630" s="100"/>
      <c r="E4630" s="100"/>
      <c r="F4630" s="100"/>
      <c r="G4630" s="100"/>
      <c r="H4630" s="100"/>
      <c r="I4630" s="100"/>
      <c r="J4630" s="100"/>
      <c r="K4630" s="100"/>
      <c r="L4630" s="100"/>
      <c r="M4630" s="100"/>
      <c r="N4630" s="100"/>
      <c r="O4630" s="100"/>
      <c r="P4630" s="100"/>
      <c r="Q4630" s="100"/>
      <c r="R4630" s="100"/>
      <c r="S4630" s="100"/>
      <c r="T4630" s="100"/>
      <c r="U4630" s="100"/>
      <c r="V4630" s="100"/>
      <c r="W4630" s="100"/>
      <c r="X4630" s="100"/>
      <c r="Y4630" s="100"/>
      <c r="Z4630" s="100"/>
    </row>
    <row r="4631" spans="1:26">
      <c r="A4631" s="100"/>
      <c r="B4631" s="100"/>
      <c r="C4631" s="100"/>
      <c r="D4631" s="100"/>
      <c r="E4631" s="100"/>
      <c r="F4631" s="100"/>
      <c r="G4631" s="100"/>
      <c r="H4631" s="100"/>
      <c r="I4631" s="100"/>
      <c r="J4631" s="100"/>
      <c r="K4631" s="100"/>
      <c r="L4631" s="100"/>
      <c r="M4631" s="100"/>
      <c r="N4631" s="100"/>
      <c r="O4631" s="100"/>
      <c r="P4631" s="100"/>
      <c r="Q4631" s="100"/>
      <c r="R4631" s="100"/>
      <c r="S4631" s="100"/>
      <c r="T4631" s="100"/>
      <c r="U4631" s="100"/>
      <c r="V4631" s="100"/>
      <c r="W4631" s="100"/>
      <c r="X4631" s="100"/>
      <c r="Y4631" s="100"/>
      <c r="Z4631" s="100"/>
    </row>
    <row r="4632" spans="1:26">
      <c r="A4632" s="100"/>
      <c r="B4632" s="100"/>
      <c r="C4632" s="100"/>
      <c r="D4632" s="100"/>
      <c r="E4632" s="100"/>
      <c r="F4632" s="100"/>
      <c r="G4632" s="100"/>
      <c r="H4632" s="100"/>
      <c r="I4632" s="100"/>
      <c r="J4632" s="100"/>
      <c r="K4632" s="100"/>
      <c r="L4632" s="100"/>
      <c r="M4632" s="100"/>
      <c r="N4632" s="100"/>
      <c r="O4632" s="100"/>
      <c r="P4632" s="100"/>
      <c r="Q4632" s="100"/>
      <c r="R4632" s="100"/>
      <c r="S4632" s="100"/>
      <c r="T4632" s="100"/>
      <c r="U4632" s="100"/>
      <c r="V4632" s="100"/>
      <c r="W4632" s="100"/>
      <c r="X4632" s="100"/>
      <c r="Y4632" s="100"/>
      <c r="Z4632" s="100"/>
    </row>
    <row r="4633" spans="1:26">
      <c r="A4633" s="100"/>
      <c r="B4633" s="100"/>
      <c r="C4633" s="100"/>
      <c r="D4633" s="100"/>
      <c r="E4633" s="100"/>
      <c r="F4633" s="100"/>
      <c r="G4633" s="100"/>
      <c r="H4633" s="100"/>
      <c r="I4633" s="100"/>
      <c r="J4633" s="100"/>
      <c r="K4633" s="100"/>
      <c r="L4633" s="100"/>
      <c r="M4633" s="100"/>
      <c r="N4633" s="100"/>
      <c r="O4633" s="100"/>
      <c r="P4633" s="100"/>
      <c r="Q4633" s="100"/>
      <c r="R4633" s="100"/>
      <c r="S4633" s="100"/>
      <c r="T4633" s="100"/>
      <c r="U4633" s="100"/>
      <c r="V4633" s="100"/>
      <c r="W4633" s="100"/>
      <c r="X4633" s="100"/>
      <c r="Y4633" s="100"/>
      <c r="Z4633" s="100"/>
    </row>
    <row r="4634" spans="1:26">
      <c r="A4634" s="100"/>
      <c r="B4634" s="100"/>
      <c r="C4634" s="100"/>
      <c r="D4634" s="100"/>
      <c r="E4634" s="100"/>
      <c r="F4634" s="100"/>
      <c r="G4634" s="100"/>
      <c r="H4634" s="100"/>
      <c r="I4634" s="100"/>
      <c r="J4634" s="100"/>
      <c r="K4634" s="100"/>
      <c r="L4634" s="100"/>
      <c r="M4634" s="100"/>
      <c r="N4634" s="100"/>
      <c r="O4634" s="100"/>
      <c r="P4634" s="100"/>
      <c r="Q4634" s="100"/>
      <c r="R4634" s="100"/>
      <c r="S4634" s="100"/>
      <c r="T4634" s="100"/>
      <c r="U4634" s="100"/>
      <c r="V4634" s="100"/>
      <c r="W4634" s="100"/>
      <c r="X4634" s="100"/>
      <c r="Y4634" s="100"/>
      <c r="Z4634" s="100"/>
    </row>
    <row r="4635" spans="1:26">
      <c r="A4635" s="100"/>
      <c r="B4635" s="100"/>
      <c r="C4635" s="100"/>
      <c r="D4635" s="100"/>
      <c r="E4635" s="100"/>
      <c r="F4635" s="100"/>
      <c r="G4635" s="100"/>
      <c r="H4635" s="100"/>
      <c r="I4635" s="100"/>
      <c r="J4635" s="100"/>
      <c r="K4635" s="100"/>
      <c r="L4635" s="100"/>
      <c r="M4635" s="100"/>
      <c r="N4635" s="100"/>
      <c r="O4635" s="100"/>
      <c r="P4635" s="100"/>
      <c r="Q4635" s="100"/>
      <c r="R4635" s="100"/>
      <c r="S4635" s="100"/>
      <c r="T4635" s="100"/>
      <c r="U4635" s="100"/>
      <c r="V4635" s="100"/>
      <c r="W4635" s="100"/>
      <c r="X4635" s="100"/>
      <c r="Y4635" s="100"/>
      <c r="Z4635" s="100"/>
    </row>
    <row r="4636" spans="1:26">
      <c r="A4636" s="100"/>
      <c r="B4636" s="100"/>
      <c r="C4636" s="100"/>
      <c r="D4636" s="100"/>
      <c r="E4636" s="100"/>
      <c r="F4636" s="100"/>
      <c r="G4636" s="100"/>
      <c r="H4636" s="100"/>
      <c r="I4636" s="100"/>
      <c r="J4636" s="100"/>
      <c r="K4636" s="100"/>
      <c r="L4636" s="100"/>
      <c r="M4636" s="100"/>
      <c r="N4636" s="100"/>
      <c r="O4636" s="100"/>
      <c r="P4636" s="100"/>
      <c r="Q4636" s="100"/>
      <c r="R4636" s="100"/>
      <c r="S4636" s="100"/>
      <c r="T4636" s="100"/>
      <c r="U4636" s="100"/>
      <c r="V4636" s="100"/>
      <c r="W4636" s="100"/>
      <c r="X4636" s="100"/>
      <c r="Y4636" s="100"/>
      <c r="Z4636" s="100"/>
    </row>
    <row r="4637" spans="1:26">
      <c r="A4637" s="100"/>
      <c r="B4637" s="100"/>
      <c r="C4637" s="100"/>
      <c r="D4637" s="100"/>
      <c r="E4637" s="100"/>
      <c r="F4637" s="100"/>
      <c r="G4637" s="100"/>
      <c r="H4637" s="100"/>
      <c r="I4637" s="100"/>
      <c r="J4637" s="100"/>
      <c r="K4637" s="100"/>
      <c r="L4637" s="100"/>
      <c r="M4637" s="100"/>
      <c r="N4637" s="100"/>
      <c r="O4637" s="100"/>
      <c r="P4637" s="100"/>
      <c r="Q4637" s="100"/>
      <c r="R4637" s="100"/>
      <c r="S4637" s="100"/>
      <c r="T4637" s="100"/>
      <c r="U4637" s="100"/>
      <c r="V4637" s="100"/>
      <c r="W4637" s="100"/>
      <c r="X4637" s="100"/>
      <c r="Y4637" s="100"/>
      <c r="Z4637" s="100"/>
    </row>
    <row r="4638" spans="1:26">
      <c r="A4638" s="100"/>
      <c r="B4638" s="100"/>
      <c r="C4638" s="100"/>
      <c r="D4638" s="100"/>
      <c r="E4638" s="100"/>
      <c r="F4638" s="100"/>
      <c r="G4638" s="100"/>
      <c r="H4638" s="100"/>
      <c r="I4638" s="100"/>
      <c r="J4638" s="100"/>
      <c r="K4638" s="100"/>
      <c r="L4638" s="100"/>
      <c r="M4638" s="100"/>
      <c r="N4638" s="100"/>
      <c r="O4638" s="100"/>
      <c r="P4638" s="100"/>
      <c r="Q4638" s="100"/>
      <c r="R4638" s="100"/>
      <c r="S4638" s="100"/>
      <c r="T4638" s="100"/>
      <c r="U4638" s="100"/>
      <c r="V4638" s="100"/>
      <c r="W4638" s="100"/>
      <c r="X4638" s="100"/>
      <c r="Y4638" s="100"/>
      <c r="Z4638" s="100"/>
    </row>
    <row r="4639" spans="1:26">
      <c r="A4639" s="100"/>
      <c r="B4639" s="100"/>
      <c r="C4639" s="100"/>
      <c r="D4639" s="100"/>
      <c r="E4639" s="100"/>
      <c r="F4639" s="100"/>
      <c r="G4639" s="100"/>
      <c r="H4639" s="100"/>
      <c r="I4639" s="100"/>
      <c r="J4639" s="100"/>
      <c r="K4639" s="100"/>
      <c r="L4639" s="100"/>
      <c r="M4639" s="100"/>
      <c r="N4639" s="100"/>
      <c r="O4639" s="100"/>
      <c r="P4639" s="100"/>
      <c r="Q4639" s="100"/>
      <c r="R4639" s="100"/>
      <c r="S4639" s="100"/>
      <c r="T4639" s="100"/>
      <c r="U4639" s="100"/>
      <c r="V4639" s="100"/>
      <c r="W4639" s="100"/>
      <c r="X4639" s="100"/>
      <c r="Y4639" s="100"/>
      <c r="Z4639" s="100"/>
    </row>
    <row r="4640" spans="1:26">
      <c r="A4640" s="100"/>
      <c r="B4640" s="100"/>
      <c r="C4640" s="100"/>
      <c r="D4640" s="100"/>
      <c r="E4640" s="100"/>
      <c r="F4640" s="100"/>
      <c r="G4640" s="100"/>
      <c r="H4640" s="100"/>
      <c r="I4640" s="100"/>
      <c r="J4640" s="100"/>
      <c r="K4640" s="100"/>
      <c r="L4640" s="100"/>
      <c r="M4640" s="100"/>
      <c r="N4640" s="100"/>
      <c r="O4640" s="100"/>
      <c r="P4640" s="100"/>
      <c r="Q4640" s="100"/>
      <c r="R4640" s="100"/>
      <c r="S4640" s="100"/>
      <c r="T4640" s="100"/>
      <c r="U4640" s="100"/>
      <c r="V4640" s="100"/>
      <c r="W4640" s="100"/>
      <c r="X4640" s="100"/>
      <c r="Y4640" s="100"/>
      <c r="Z4640" s="100"/>
    </row>
    <row r="4641" spans="1:26">
      <c r="A4641" s="100"/>
      <c r="B4641" s="100"/>
      <c r="C4641" s="100"/>
      <c r="D4641" s="100"/>
      <c r="E4641" s="100"/>
      <c r="F4641" s="100"/>
      <c r="G4641" s="100"/>
      <c r="H4641" s="100"/>
      <c r="I4641" s="100"/>
      <c r="J4641" s="100"/>
      <c r="K4641" s="100"/>
      <c r="L4641" s="100"/>
      <c r="M4641" s="100"/>
      <c r="N4641" s="100"/>
      <c r="O4641" s="100"/>
      <c r="P4641" s="100"/>
      <c r="Q4641" s="100"/>
      <c r="R4641" s="100"/>
      <c r="S4641" s="100"/>
      <c r="T4641" s="100"/>
      <c r="U4641" s="100"/>
      <c r="V4641" s="100"/>
      <c r="W4641" s="100"/>
      <c r="X4641" s="100"/>
      <c r="Y4641" s="100"/>
      <c r="Z4641" s="100"/>
    </row>
    <row r="4642" spans="1:26">
      <c r="A4642" s="100"/>
      <c r="B4642" s="100"/>
      <c r="C4642" s="100"/>
      <c r="D4642" s="100"/>
      <c r="E4642" s="100"/>
      <c r="F4642" s="100"/>
      <c r="G4642" s="100"/>
      <c r="H4642" s="100"/>
      <c r="I4642" s="100"/>
      <c r="J4642" s="100"/>
      <c r="K4642" s="100"/>
      <c r="L4642" s="100"/>
      <c r="M4642" s="100"/>
      <c r="N4642" s="100"/>
      <c r="O4642" s="100"/>
      <c r="P4642" s="100"/>
      <c r="Q4642" s="100"/>
      <c r="R4642" s="100"/>
      <c r="S4642" s="100"/>
      <c r="T4642" s="100"/>
      <c r="U4642" s="100"/>
      <c r="V4642" s="100"/>
      <c r="W4642" s="100"/>
      <c r="X4642" s="100"/>
      <c r="Y4642" s="100"/>
      <c r="Z4642" s="100"/>
    </row>
    <row r="4643" spans="1:26">
      <c r="A4643" s="100"/>
      <c r="B4643" s="100"/>
      <c r="C4643" s="100"/>
      <c r="D4643" s="100"/>
      <c r="E4643" s="100"/>
      <c r="F4643" s="100"/>
      <c r="G4643" s="100"/>
      <c r="H4643" s="100"/>
      <c r="I4643" s="100"/>
      <c r="J4643" s="100"/>
      <c r="K4643" s="100"/>
      <c r="L4643" s="100"/>
      <c r="M4643" s="100"/>
      <c r="N4643" s="100"/>
      <c r="O4643" s="100"/>
      <c r="P4643" s="100"/>
      <c r="Q4643" s="100"/>
      <c r="R4643" s="100"/>
      <c r="S4643" s="100"/>
      <c r="T4643" s="100"/>
      <c r="U4643" s="100"/>
      <c r="V4643" s="100"/>
      <c r="W4643" s="100"/>
      <c r="X4643" s="100"/>
      <c r="Y4643" s="100"/>
      <c r="Z4643" s="100"/>
    </row>
    <row r="4644" spans="1:26">
      <c r="A4644" s="100"/>
      <c r="B4644" s="100"/>
      <c r="C4644" s="100"/>
      <c r="D4644" s="100"/>
      <c r="E4644" s="100"/>
      <c r="F4644" s="100"/>
      <c r="G4644" s="100"/>
      <c r="H4644" s="100"/>
      <c r="I4644" s="100"/>
      <c r="J4644" s="100"/>
      <c r="K4644" s="100"/>
      <c r="L4644" s="100"/>
      <c r="M4644" s="100"/>
      <c r="N4644" s="100"/>
      <c r="O4644" s="100"/>
      <c r="P4644" s="100"/>
      <c r="Q4644" s="100"/>
      <c r="R4644" s="100"/>
      <c r="S4644" s="100"/>
      <c r="T4644" s="100"/>
      <c r="U4644" s="100"/>
      <c r="V4644" s="100"/>
      <c r="W4644" s="100"/>
      <c r="X4644" s="100"/>
      <c r="Y4644" s="100"/>
      <c r="Z4644" s="100"/>
    </row>
    <row r="4645" spans="1:26">
      <c r="A4645" s="100"/>
      <c r="B4645" s="100"/>
      <c r="C4645" s="100"/>
      <c r="D4645" s="100"/>
      <c r="E4645" s="100"/>
      <c r="F4645" s="100"/>
      <c r="G4645" s="100"/>
      <c r="H4645" s="100"/>
      <c r="I4645" s="100"/>
      <c r="J4645" s="100"/>
      <c r="K4645" s="100"/>
      <c r="L4645" s="100"/>
      <c r="M4645" s="100"/>
      <c r="N4645" s="100"/>
      <c r="O4645" s="100"/>
      <c r="P4645" s="100"/>
      <c r="Q4645" s="100"/>
      <c r="R4645" s="100"/>
      <c r="S4645" s="100"/>
      <c r="T4645" s="100"/>
      <c r="U4645" s="100"/>
      <c r="V4645" s="100"/>
      <c r="W4645" s="100"/>
      <c r="X4645" s="100"/>
      <c r="Y4645" s="100"/>
      <c r="Z4645" s="100"/>
    </row>
    <row r="4646" spans="1:26">
      <c r="A4646" s="100"/>
      <c r="B4646" s="100"/>
      <c r="C4646" s="100"/>
      <c r="D4646" s="100"/>
      <c r="E4646" s="100"/>
      <c r="F4646" s="100"/>
      <c r="G4646" s="100"/>
      <c r="H4646" s="100"/>
      <c r="I4646" s="100"/>
      <c r="J4646" s="100"/>
      <c r="K4646" s="100"/>
      <c r="L4646" s="100"/>
      <c r="M4646" s="100"/>
      <c r="N4646" s="100"/>
      <c r="O4646" s="100"/>
      <c r="P4646" s="100"/>
      <c r="Q4646" s="100"/>
      <c r="R4646" s="100"/>
      <c r="S4646" s="100"/>
      <c r="T4646" s="100"/>
      <c r="U4646" s="100"/>
      <c r="V4646" s="100"/>
      <c r="W4646" s="100"/>
      <c r="X4646" s="100"/>
      <c r="Y4646" s="100"/>
      <c r="Z4646" s="100"/>
    </row>
    <row r="4647" spans="1:26">
      <c r="A4647" s="100"/>
      <c r="B4647" s="100"/>
      <c r="C4647" s="100"/>
      <c r="D4647" s="100"/>
      <c r="E4647" s="100"/>
      <c r="F4647" s="100"/>
      <c r="G4647" s="100"/>
      <c r="H4647" s="100"/>
      <c r="I4647" s="100"/>
      <c r="J4647" s="100"/>
      <c r="K4647" s="100"/>
      <c r="L4647" s="100"/>
      <c r="M4647" s="100"/>
      <c r="N4647" s="100"/>
      <c r="O4647" s="100"/>
      <c r="P4647" s="100"/>
      <c r="Q4647" s="100"/>
      <c r="R4647" s="100"/>
      <c r="S4647" s="100"/>
      <c r="T4647" s="100"/>
      <c r="U4647" s="100"/>
      <c r="V4647" s="100"/>
      <c r="W4647" s="100"/>
      <c r="X4647" s="100"/>
      <c r="Y4647" s="100"/>
      <c r="Z4647" s="100"/>
    </row>
    <row r="4648" spans="1:26">
      <c r="A4648" s="100"/>
      <c r="B4648" s="100"/>
      <c r="C4648" s="100"/>
      <c r="D4648" s="100"/>
      <c r="E4648" s="100"/>
      <c r="F4648" s="100"/>
      <c r="G4648" s="100"/>
      <c r="H4648" s="100"/>
      <c r="I4648" s="100"/>
      <c r="J4648" s="100"/>
      <c r="K4648" s="100"/>
      <c r="L4648" s="100"/>
      <c r="M4648" s="100"/>
      <c r="N4648" s="100"/>
      <c r="O4648" s="100"/>
      <c r="P4648" s="100"/>
      <c r="Q4648" s="100"/>
      <c r="R4648" s="100"/>
      <c r="S4648" s="100"/>
      <c r="T4648" s="100"/>
      <c r="U4648" s="100"/>
      <c r="V4648" s="100"/>
      <c r="W4648" s="100"/>
      <c r="X4648" s="100"/>
      <c r="Y4648" s="100"/>
      <c r="Z4648" s="100"/>
    </row>
    <row r="4649" spans="1:26">
      <c r="A4649" s="100"/>
      <c r="B4649" s="100"/>
      <c r="C4649" s="100"/>
      <c r="D4649" s="100"/>
      <c r="E4649" s="100"/>
      <c r="F4649" s="100"/>
      <c r="G4649" s="100"/>
      <c r="H4649" s="100"/>
      <c r="I4649" s="100"/>
      <c r="J4649" s="100"/>
      <c r="K4649" s="100"/>
      <c r="L4649" s="100"/>
      <c r="M4649" s="100"/>
      <c r="N4649" s="100"/>
      <c r="O4649" s="100"/>
      <c r="P4649" s="100"/>
      <c r="Q4649" s="100"/>
      <c r="R4649" s="100"/>
      <c r="S4649" s="100"/>
      <c r="T4649" s="100"/>
      <c r="U4649" s="100"/>
      <c r="V4649" s="100"/>
      <c r="W4649" s="100"/>
      <c r="X4649" s="100"/>
      <c r="Y4649" s="100"/>
      <c r="Z4649" s="100"/>
    </row>
    <row r="4650" spans="1:26">
      <c r="A4650" s="100"/>
      <c r="B4650" s="100"/>
      <c r="C4650" s="100"/>
      <c r="D4650" s="100"/>
      <c r="E4650" s="100"/>
      <c r="F4650" s="100"/>
      <c r="G4650" s="100"/>
      <c r="H4650" s="100"/>
      <c r="I4650" s="100"/>
      <c r="J4650" s="100"/>
      <c r="K4650" s="100"/>
      <c r="L4650" s="100"/>
      <c r="M4650" s="100"/>
      <c r="N4650" s="100"/>
      <c r="O4650" s="100"/>
      <c r="P4650" s="100"/>
      <c r="Q4650" s="100"/>
      <c r="R4650" s="100"/>
      <c r="S4650" s="100"/>
      <c r="T4650" s="100"/>
      <c r="U4650" s="100"/>
      <c r="V4650" s="100"/>
      <c r="W4650" s="100"/>
      <c r="X4650" s="100"/>
      <c r="Y4650" s="100"/>
      <c r="Z4650" s="100"/>
    </row>
    <row r="4651" spans="1:26">
      <c r="A4651" s="100"/>
      <c r="B4651" s="100"/>
      <c r="C4651" s="100"/>
      <c r="D4651" s="100"/>
      <c r="E4651" s="100"/>
      <c r="F4651" s="100"/>
      <c r="G4651" s="100"/>
      <c r="H4651" s="100"/>
      <c r="I4651" s="100"/>
      <c r="J4651" s="100"/>
      <c r="K4651" s="100"/>
      <c r="L4651" s="100"/>
      <c r="M4651" s="100"/>
      <c r="N4651" s="100"/>
      <c r="O4651" s="100"/>
      <c r="P4651" s="100"/>
      <c r="Q4651" s="100"/>
      <c r="R4651" s="100"/>
      <c r="S4651" s="100"/>
      <c r="T4651" s="100"/>
      <c r="U4651" s="100"/>
      <c r="V4651" s="100"/>
      <c r="W4651" s="100"/>
      <c r="X4651" s="100"/>
      <c r="Y4651" s="100"/>
      <c r="Z4651" s="100"/>
    </row>
    <row r="4652" spans="1:26">
      <c r="A4652" s="100"/>
      <c r="B4652" s="100"/>
      <c r="C4652" s="100"/>
      <c r="D4652" s="100"/>
      <c r="E4652" s="100"/>
      <c r="F4652" s="100"/>
      <c r="G4652" s="100"/>
      <c r="H4652" s="100"/>
      <c r="I4652" s="100"/>
      <c r="J4652" s="100"/>
      <c r="K4652" s="100"/>
      <c r="L4652" s="100"/>
      <c r="M4652" s="100"/>
      <c r="N4652" s="100"/>
      <c r="O4652" s="100"/>
      <c r="P4652" s="100"/>
      <c r="Q4652" s="100"/>
      <c r="R4652" s="100"/>
      <c r="S4652" s="100"/>
      <c r="T4652" s="100"/>
      <c r="U4652" s="100"/>
      <c r="V4652" s="100"/>
      <c r="W4652" s="100"/>
      <c r="X4652" s="100"/>
      <c r="Y4652" s="100"/>
      <c r="Z4652" s="100"/>
    </row>
    <row r="4653" spans="1:26">
      <c r="A4653" s="100"/>
      <c r="B4653" s="100"/>
      <c r="C4653" s="100"/>
      <c r="D4653" s="100"/>
      <c r="E4653" s="100"/>
      <c r="F4653" s="100"/>
      <c r="G4653" s="100"/>
      <c r="H4653" s="100"/>
      <c r="I4653" s="100"/>
      <c r="J4653" s="100"/>
      <c r="K4653" s="100"/>
      <c r="L4653" s="100"/>
      <c r="M4653" s="100"/>
      <c r="N4653" s="100"/>
      <c r="O4653" s="100"/>
      <c r="P4653" s="100"/>
      <c r="Q4653" s="100"/>
      <c r="R4653" s="100"/>
      <c r="S4653" s="100"/>
      <c r="T4653" s="100"/>
      <c r="U4653" s="100"/>
      <c r="V4653" s="100"/>
      <c r="W4653" s="100"/>
      <c r="X4653" s="100"/>
      <c r="Y4653" s="100"/>
      <c r="Z4653" s="100"/>
    </row>
    <row r="4654" spans="1:26">
      <c r="A4654" s="100"/>
      <c r="B4654" s="100"/>
      <c r="C4654" s="100"/>
      <c r="D4654" s="100"/>
      <c r="E4654" s="100"/>
      <c r="F4654" s="100"/>
      <c r="G4654" s="100"/>
      <c r="H4654" s="100"/>
      <c r="I4654" s="100"/>
      <c r="J4654" s="100"/>
      <c r="K4654" s="100"/>
      <c r="L4654" s="100"/>
      <c r="M4654" s="100"/>
      <c r="N4654" s="100"/>
      <c r="O4654" s="100"/>
      <c r="P4654" s="100"/>
      <c r="Q4654" s="100"/>
      <c r="R4654" s="100"/>
      <c r="S4654" s="100"/>
      <c r="T4654" s="100"/>
      <c r="U4654" s="100"/>
      <c r="V4654" s="100"/>
      <c r="W4654" s="100"/>
      <c r="X4654" s="100"/>
      <c r="Y4654" s="100"/>
      <c r="Z4654" s="100"/>
    </row>
    <row r="4655" spans="1:26">
      <c r="A4655" s="100"/>
      <c r="B4655" s="100"/>
      <c r="C4655" s="100"/>
      <c r="D4655" s="100"/>
      <c r="E4655" s="100"/>
      <c r="F4655" s="100"/>
      <c r="G4655" s="100"/>
      <c r="H4655" s="100"/>
      <c r="I4655" s="100"/>
      <c r="J4655" s="100"/>
      <c r="K4655" s="100"/>
      <c r="L4655" s="100"/>
      <c r="M4655" s="100"/>
      <c r="N4655" s="100"/>
      <c r="O4655" s="100"/>
      <c r="P4655" s="100"/>
      <c r="Q4655" s="100"/>
      <c r="R4655" s="100"/>
      <c r="S4655" s="100"/>
      <c r="T4655" s="100"/>
      <c r="U4655" s="100"/>
      <c r="V4655" s="100"/>
      <c r="W4655" s="100"/>
      <c r="X4655" s="100"/>
      <c r="Y4655" s="100"/>
      <c r="Z4655" s="100"/>
    </row>
    <row r="4656" spans="1:26">
      <c r="A4656" s="100"/>
      <c r="B4656" s="100"/>
      <c r="C4656" s="100"/>
      <c r="D4656" s="100"/>
      <c r="E4656" s="100"/>
      <c r="F4656" s="100"/>
      <c r="G4656" s="100"/>
      <c r="H4656" s="100"/>
      <c r="I4656" s="100"/>
      <c r="J4656" s="100"/>
      <c r="K4656" s="100"/>
      <c r="L4656" s="100"/>
      <c r="M4656" s="100"/>
      <c r="N4656" s="100"/>
      <c r="O4656" s="100"/>
      <c r="P4656" s="100"/>
      <c r="Q4656" s="100"/>
      <c r="R4656" s="100"/>
      <c r="S4656" s="100"/>
      <c r="T4656" s="100"/>
      <c r="U4656" s="100"/>
      <c r="V4656" s="100"/>
      <c r="W4656" s="100"/>
      <c r="X4656" s="100"/>
      <c r="Y4656" s="100"/>
      <c r="Z4656" s="100"/>
    </row>
    <row r="4657" spans="1:26">
      <c r="A4657" s="100"/>
      <c r="B4657" s="100"/>
      <c r="C4657" s="100"/>
      <c r="D4657" s="100"/>
      <c r="E4657" s="100"/>
      <c r="F4657" s="100"/>
      <c r="G4657" s="100"/>
      <c r="H4657" s="100"/>
      <c r="I4657" s="100"/>
      <c r="J4657" s="100"/>
      <c r="K4657" s="100"/>
      <c r="L4657" s="100"/>
      <c r="M4657" s="100"/>
      <c r="N4657" s="100"/>
      <c r="O4657" s="100"/>
      <c r="P4657" s="100"/>
      <c r="Q4657" s="100"/>
      <c r="R4657" s="100"/>
      <c r="S4657" s="100"/>
      <c r="T4657" s="100"/>
      <c r="U4657" s="100"/>
      <c r="V4657" s="100"/>
      <c r="W4657" s="100"/>
      <c r="X4657" s="100"/>
      <c r="Y4657" s="100"/>
      <c r="Z4657" s="100"/>
    </row>
    <row r="4658" spans="1:26">
      <c r="A4658" s="100"/>
      <c r="B4658" s="100"/>
      <c r="C4658" s="100"/>
      <c r="D4658" s="100"/>
      <c r="E4658" s="100"/>
      <c r="F4658" s="100"/>
      <c r="G4658" s="100"/>
      <c r="H4658" s="100"/>
      <c r="I4658" s="100"/>
      <c r="J4658" s="100"/>
      <c r="K4658" s="100"/>
      <c r="L4658" s="100"/>
      <c r="M4658" s="100"/>
      <c r="N4658" s="100"/>
      <c r="O4658" s="100"/>
      <c r="P4658" s="100"/>
      <c r="Q4658" s="100"/>
      <c r="R4658" s="100"/>
      <c r="S4658" s="100"/>
      <c r="T4658" s="100"/>
      <c r="U4658" s="100"/>
      <c r="V4658" s="100"/>
      <c r="W4658" s="100"/>
      <c r="X4658" s="100"/>
      <c r="Y4658" s="100"/>
      <c r="Z4658" s="100"/>
    </row>
    <row r="4659" spans="1:26">
      <c r="A4659" s="100"/>
      <c r="B4659" s="100"/>
      <c r="C4659" s="100"/>
      <c r="D4659" s="100"/>
      <c r="E4659" s="100"/>
      <c r="F4659" s="100"/>
      <c r="G4659" s="100"/>
      <c r="H4659" s="100"/>
      <c r="I4659" s="100"/>
      <c r="J4659" s="100"/>
      <c r="K4659" s="100"/>
      <c r="L4659" s="100"/>
      <c r="M4659" s="100"/>
      <c r="N4659" s="100"/>
      <c r="O4659" s="100"/>
      <c r="P4659" s="100"/>
      <c r="Q4659" s="100"/>
      <c r="R4659" s="100"/>
      <c r="S4659" s="100"/>
      <c r="T4659" s="100"/>
      <c r="U4659" s="100"/>
      <c r="V4659" s="100"/>
      <c r="W4659" s="100"/>
      <c r="X4659" s="100"/>
      <c r="Y4659" s="100"/>
      <c r="Z4659" s="100"/>
    </row>
    <row r="4660" spans="1:26">
      <c r="A4660" s="100"/>
      <c r="B4660" s="100"/>
      <c r="C4660" s="100"/>
      <c r="D4660" s="100"/>
      <c r="E4660" s="100"/>
      <c r="F4660" s="100"/>
      <c r="G4660" s="100"/>
      <c r="H4660" s="100"/>
      <c r="I4660" s="100"/>
      <c r="J4660" s="100"/>
      <c r="K4660" s="100"/>
      <c r="L4660" s="100"/>
      <c r="M4660" s="100"/>
      <c r="N4660" s="100"/>
      <c r="O4660" s="100"/>
      <c r="P4660" s="100"/>
      <c r="Q4660" s="100"/>
      <c r="R4660" s="100"/>
      <c r="S4660" s="100"/>
      <c r="T4660" s="100"/>
      <c r="U4660" s="100"/>
      <c r="V4660" s="100"/>
      <c r="W4660" s="100"/>
      <c r="X4660" s="100"/>
      <c r="Y4660" s="100"/>
      <c r="Z4660" s="100"/>
    </row>
    <row r="4661" spans="1:26">
      <c r="A4661" s="100"/>
      <c r="B4661" s="100"/>
      <c r="C4661" s="100"/>
      <c r="D4661" s="100"/>
      <c r="E4661" s="100"/>
      <c r="F4661" s="100"/>
      <c r="G4661" s="100"/>
      <c r="H4661" s="100"/>
      <c r="I4661" s="100"/>
      <c r="J4661" s="100"/>
      <c r="K4661" s="100"/>
      <c r="L4661" s="100"/>
      <c r="M4661" s="100"/>
      <c r="N4661" s="100"/>
      <c r="O4661" s="100"/>
      <c r="P4661" s="100"/>
      <c r="Q4661" s="100"/>
      <c r="R4661" s="100"/>
      <c r="S4661" s="100"/>
      <c r="T4661" s="100"/>
      <c r="U4661" s="100"/>
      <c r="V4661" s="100"/>
      <c r="W4661" s="100"/>
      <c r="X4661" s="100"/>
      <c r="Y4661" s="100"/>
      <c r="Z4661" s="100"/>
    </row>
    <row r="4662" spans="1:26">
      <c r="A4662" s="100"/>
      <c r="B4662" s="100"/>
      <c r="C4662" s="100"/>
      <c r="D4662" s="100"/>
      <c r="E4662" s="100"/>
      <c r="F4662" s="100"/>
      <c r="G4662" s="100"/>
      <c r="H4662" s="100"/>
      <c r="I4662" s="100"/>
      <c r="J4662" s="100"/>
      <c r="K4662" s="100"/>
      <c r="L4662" s="100"/>
      <c r="M4662" s="100"/>
      <c r="N4662" s="100"/>
      <c r="O4662" s="100"/>
      <c r="P4662" s="100"/>
      <c r="Q4662" s="100"/>
      <c r="R4662" s="100"/>
      <c r="S4662" s="100"/>
      <c r="T4662" s="100"/>
      <c r="U4662" s="100"/>
      <c r="V4662" s="100"/>
      <c r="W4662" s="100"/>
      <c r="X4662" s="100"/>
      <c r="Y4662" s="100"/>
      <c r="Z4662" s="100"/>
    </row>
    <row r="4663" spans="1:26">
      <c r="A4663" s="100"/>
      <c r="B4663" s="100"/>
      <c r="C4663" s="100"/>
      <c r="D4663" s="100"/>
      <c r="E4663" s="100"/>
      <c r="F4663" s="100"/>
      <c r="G4663" s="100"/>
      <c r="H4663" s="100"/>
      <c r="I4663" s="100"/>
      <c r="J4663" s="100"/>
      <c r="K4663" s="100"/>
      <c r="L4663" s="100"/>
      <c r="M4663" s="100"/>
      <c r="N4663" s="100"/>
      <c r="O4663" s="100"/>
      <c r="P4663" s="100"/>
      <c r="Q4663" s="100"/>
      <c r="R4663" s="100"/>
      <c r="S4663" s="100"/>
      <c r="T4663" s="100"/>
      <c r="U4663" s="100"/>
      <c r="V4663" s="100"/>
      <c r="W4663" s="100"/>
      <c r="X4663" s="100"/>
      <c r="Y4663" s="100"/>
      <c r="Z4663" s="100"/>
    </row>
    <row r="4664" spans="1:26">
      <c r="A4664" s="100"/>
      <c r="B4664" s="100"/>
      <c r="C4664" s="100"/>
      <c r="D4664" s="100"/>
      <c r="E4664" s="100"/>
      <c r="F4664" s="100"/>
      <c r="G4664" s="100"/>
      <c r="H4664" s="100"/>
      <c r="I4664" s="100"/>
      <c r="J4664" s="100"/>
      <c r="K4664" s="100"/>
      <c r="L4664" s="100"/>
      <c r="M4664" s="100"/>
      <c r="N4664" s="100"/>
      <c r="O4664" s="100"/>
      <c r="P4664" s="100"/>
      <c r="Q4664" s="100"/>
      <c r="R4664" s="100"/>
      <c r="S4664" s="100"/>
      <c r="T4664" s="100"/>
      <c r="U4664" s="100"/>
      <c r="V4664" s="100"/>
      <c r="W4664" s="100"/>
      <c r="X4664" s="100"/>
      <c r="Y4664" s="100"/>
      <c r="Z4664" s="100"/>
    </row>
    <row r="4665" spans="1:26">
      <c r="A4665" s="100"/>
      <c r="B4665" s="100"/>
      <c r="C4665" s="100"/>
      <c r="D4665" s="100"/>
      <c r="E4665" s="100"/>
      <c r="F4665" s="100"/>
      <c r="G4665" s="100"/>
      <c r="H4665" s="100"/>
      <c r="I4665" s="100"/>
      <c r="J4665" s="100"/>
      <c r="K4665" s="100"/>
      <c r="L4665" s="100"/>
      <c r="M4665" s="100"/>
      <c r="N4665" s="100"/>
      <c r="O4665" s="100"/>
      <c r="P4665" s="100"/>
      <c r="Q4665" s="100"/>
      <c r="R4665" s="100"/>
      <c r="S4665" s="100"/>
      <c r="T4665" s="100"/>
      <c r="U4665" s="100"/>
      <c r="V4665" s="100"/>
      <c r="W4665" s="100"/>
      <c r="X4665" s="100"/>
      <c r="Y4665" s="100"/>
      <c r="Z4665" s="100"/>
    </row>
    <row r="4666" spans="1:26">
      <c r="A4666" s="100"/>
      <c r="B4666" s="100"/>
      <c r="C4666" s="100"/>
      <c r="D4666" s="100"/>
      <c r="E4666" s="100"/>
      <c r="F4666" s="100"/>
      <c r="G4666" s="100"/>
      <c r="H4666" s="100"/>
      <c r="I4666" s="100"/>
      <c r="J4666" s="100"/>
      <c r="K4666" s="100"/>
      <c r="L4666" s="100"/>
      <c r="M4666" s="100"/>
      <c r="N4666" s="100"/>
      <c r="O4666" s="100"/>
      <c r="P4666" s="100"/>
      <c r="Q4666" s="100"/>
      <c r="R4666" s="100"/>
      <c r="S4666" s="100"/>
      <c r="T4666" s="100"/>
      <c r="U4666" s="100"/>
      <c r="V4666" s="100"/>
      <c r="W4666" s="100"/>
      <c r="X4666" s="100"/>
      <c r="Y4666" s="100"/>
      <c r="Z4666" s="100"/>
    </row>
    <row r="4667" spans="1:26">
      <c r="A4667" s="100"/>
      <c r="B4667" s="100"/>
      <c r="C4667" s="100"/>
      <c r="D4667" s="100"/>
      <c r="E4667" s="100"/>
      <c r="F4667" s="100"/>
      <c r="G4667" s="100"/>
      <c r="H4667" s="100"/>
      <c r="I4667" s="100"/>
      <c r="J4667" s="100"/>
      <c r="K4667" s="100"/>
      <c r="L4667" s="100"/>
      <c r="M4667" s="100"/>
      <c r="N4667" s="100"/>
      <c r="O4667" s="100"/>
      <c r="P4667" s="100"/>
      <c r="Q4667" s="100"/>
      <c r="R4667" s="100"/>
      <c r="S4667" s="100"/>
      <c r="T4667" s="100"/>
      <c r="U4667" s="100"/>
      <c r="V4667" s="100"/>
      <c r="W4667" s="100"/>
      <c r="X4667" s="100"/>
      <c r="Y4667" s="100"/>
      <c r="Z4667" s="100"/>
    </row>
    <row r="4668" spans="1:26">
      <c r="A4668" s="100"/>
      <c r="B4668" s="100"/>
      <c r="C4668" s="100"/>
      <c r="D4668" s="100"/>
      <c r="E4668" s="100"/>
      <c r="F4668" s="100"/>
      <c r="G4668" s="100"/>
      <c r="H4668" s="100"/>
      <c r="I4668" s="100"/>
      <c r="J4668" s="100"/>
      <c r="K4668" s="100"/>
      <c r="L4668" s="100"/>
      <c r="M4668" s="100"/>
      <c r="N4668" s="100"/>
      <c r="O4668" s="100"/>
      <c r="P4668" s="100"/>
      <c r="Q4668" s="100"/>
      <c r="R4668" s="100"/>
      <c r="S4668" s="100"/>
      <c r="T4668" s="100"/>
      <c r="U4668" s="100"/>
      <c r="V4668" s="100"/>
      <c r="W4668" s="100"/>
      <c r="X4668" s="100"/>
      <c r="Y4668" s="100"/>
      <c r="Z4668" s="100"/>
    </row>
    <row r="4669" spans="1:26">
      <c r="A4669" s="100"/>
      <c r="B4669" s="100"/>
      <c r="C4669" s="100"/>
      <c r="D4669" s="100"/>
      <c r="E4669" s="100"/>
      <c r="F4669" s="100"/>
      <c r="G4669" s="100"/>
      <c r="H4669" s="100"/>
      <c r="I4669" s="100"/>
      <c r="J4669" s="100"/>
      <c r="K4669" s="100"/>
      <c r="L4669" s="100"/>
      <c r="M4669" s="100"/>
      <c r="N4669" s="100"/>
      <c r="O4669" s="100"/>
      <c r="P4669" s="100"/>
      <c r="Q4669" s="100"/>
      <c r="R4669" s="100"/>
      <c r="S4669" s="100"/>
      <c r="T4669" s="100"/>
      <c r="U4669" s="100"/>
      <c r="V4669" s="100"/>
      <c r="W4669" s="100"/>
      <c r="X4669" s="100"/>
      <c r="Y4669" s="100"/>
      <c r="Z4669" s="100"/>
    </row>
    <row r="4670" spans="1:26">
      <c r="A4670" s="100"/>
      <c r="B4670" s="100"/>
      <c r="C4670" s="100"/>
      <c r="D4670" s="100"/>
      <c r="E4670" s="100"/>
      <c r="F4670" s="100"/>
      <c r="G4670" s="100"/>
      <c r="H4670" s="100"/>
      <c r="I4670" s="100"/>
      <c r="J4670" s="100"/>
      <c r="K4670" s="100"/>
      <c r="L4670" s="100"/>
      <c r="M4670" s="100"/>
      <c r="N4670" s="100"/>
      <c r="O4670" s="100"/>
      <c r="P4670" s="100"/>
      <c r="Q4670" s="100"/>
      <c r="R4670" s="100"/>
      <c r="S4670" s="100"/>
      <c r="T4670" s="100"/>
      <c r="U4670" s="100"/>
      <c r="V4670" s="100"/>
      <c r="W4670" s="100"/>
      <c r="X4670" s="100"/>
      <c r="Y4670" s="100"/>
      <c r="Z4670" s="100"/>
    </row>
    <row r="4671" spans="1:26">
      <c r="A4671" s="100"/>
      <c r="B4671" s="100"/>
      <c r="C4671" s="100"/>
      <c r="D4671" s="100"/>
      <c r="E4671" s="100"/>
      <c r="F4671" s="100"/>
      <c r="G4671" s="100"/>
      <c r="H4671" s="100"/>
      <c r="I4671" s="100"/>
      <c r="J4671" s="100"/>
      <c r="K4671" s="100"/>
      <c r="L4671" s="100"/>
      <c r="M4671" s="100"/>
      <c r="N4671" s="100"/>
      <c r="O4671" s="100"/>
      <c r="P4671" s="100"/>
      <c r="Q4671" s="100"/>
      <c r="R4671" s="100"/>
      <c r="S4671" s="100"/>
      <c r="T4671" s="100"/>
      <c r="U4671" s="100"/>
      <c r="V4671" s="100"/>
      <c r="W4671" s="100"/>
      <c r="X4671" s="100"/>
      <c r="Y4671" s="100"/>
      <c r="Z4671" s="100"/>
    </row>
    <row r="4672" spans="1:26">
      <c r="A4672" s="100"/>
      <c r="B4672" s="100"/>
      <c r="C4672" s="100"/>
      <c r="D4672" s="100"/>
      <c r="E4672" s="100"/>
      <c r="F4672" s="100"/>
      <c r="G4672" s="100"/>
      <c r="H4672" s="100"/>
      <c r="I4672" s="100"/>
      <c r="J4672" s="100"/>
      <c r="K4672" s="100"/>
      <c r="L4672" s="100"/>
      <c r="M4672" s="100"/>
      <c r="N4672" s="100"/>
      <c r="O4672" s="100"/>
      <c r="P4672" s="100"/>
      <c r="Q4672" s="100"/>
      <c r="R4672" s="100"/>
      <c r="S4672" s="100"/>
      <c r="T4672" s="100"/>
      <c r="U4672" s="100"/>
      <c r="V4672" s="100"/>
      <c r="W4672" s="100"/>
      <c r="X4672" s="100"/>
      <c r="Y4672" s="100"/>
      <c r="Z4672" s="100"/>
    </row>
    <row r="4673" spans="1:26">
      <c r="A4673" s="100"/>
      <c r="B4673" s="100"/>
      <c r="C4673" s="100"/>
      <c r="D4673" s="100"/>
      <c r="E4673" s="100"/>
      <c r="F4673" s="100"/>
      <c r="G4673" s="100"/>
      <c r="H4673" s="100"/>
      <c r="I4673" s="100"/>
      <c r="J4673" s="100"/>
      <c r="K4673" s="100"/>
      <c r="L4673" s="100"/>
      <c r="M4673" s="100"/>
      <c r="N4673" s="100"/>
      <c r="O4673" s="100"/>
      <c r="P4673" s="100"/>
      <c r="Q4673" s="100"/>
      <c r="R4673" s="100"/>
      <c r="S4673" s="100"/>
      <c r="T4673" s="100"/>
      <c r="U4673" s="100"/>
      <c r="V4673" s="100"/>
      <c r="W4673" s="100"/>
      <c r="X4673" s="100"/>
      <c r="Y4673" s="100"/>
      <c r="Z4673" s="100"/>
    </row>
    <row r="4674" spans="1:26">
      <c r="A4674" s="100"/>
      <c r="B4674" s="100"/>
      <c r="C4674" s="100"/>
      <c r="D4674" s="100"/>
      <c r="E4674" s="100"/>
      <c r="F4674" s="100"/>
      <c r="G4674" s="100"/>
      <c r="H4674" s="100"/>
      <c r="I4674" s="100"/>
      <c r="J4674" s="100"/>
      <c r="K4674" s="100"/>
      <c r="L4674" s="100"/>
      <c r="M4674" s="100"/>
      <c r="N4674" s="100"/>
      <c r="O4674" s="100"/>
      <c r="P4674" s="100"/>
      <c r="Q4674" s="100"/>
      <c r="R4674" s="100"/>
      <c r="S4674" s="100"/>
      <c r="T4674" s="100"/>
      <c r="U4674" s="100"/>
      <c r="V4674" s="100"/>
      <c r="W4674" s="100"/>
      <c r="X4674" s="100"/>
      <c r="Y4674" s="100"/>
      <c r="Z4674" s="100"/>
    </row>
    <row r="4675" spans="1:26">
      <c r="A4675" s="100"/>
      <c r="B4675" s="100"/>
      <c r="C4675" s="100"/>
      <c r="D4675" s="100"/>
      <c r="E4675" s="100"/>
      <c r="F4675" s="100"/>
      <c r="G4675" s="100"/>
      <c r="H4675" s="100"/>
      <c r="I4675" s="100"/>
      <c r="J4675" s="100"/>
      <c r="K4675" s="100"/>
      <c r="L4675" s="100"/>
      <c r="M4675" s="100"/>
      <c r="N4675" s="100"/>
      <c r="O4675" s="100"/>
      <c r="P4675" s="100"/>
      <c r="Q4675" s="100"/>
      <c r="R4675" s="100"/>
      <c r="S4675" s="100"/>
      <c r="T4675" s="100"/>
      <c r="U4675" s="100"/>
      <c r="V4675" s="100"/>
      <c r="W4675" s="100"/>
      <c r="X4675" s="100"/>
      <c r="Y4675" s="100"/>
      <c r="Z4675" s="100"/>
    </row>
    <row r="4676" spans="1:26">
      <c r="A4676" s="100"/>
      <c r="B4676" s="100"/>
      <c r="C4676" s="100"/>
      <c r="D4676" s="100"/>
      <c r="E4676" s="100"/>
      <c r="F4676" s="100"/>
      <c r="G4676" s="100"/>
      <c r="H4676" s="100"/>
      <c r="I4676" s="100"/>
      <c r="J4676" s="100"/>
      <c r="K4676" s="100"/>
      <c r="L4676" s="100"/>
      <c r="M4676" s="100"/>
      <c r="N4676" s="100"/>
      <c r="O4676" s="100"/>
      <c r="P4676" s="100"/>
      <c r="Q4676" s="100"/>
      <c r="R4676" s="100"/>
      <c r="S4676" s="100"/>
      <c r="T4676" s="100"/>
      <c r="U4676" s="100"/>
      <c r="V4676" s="100"/>
      <c r="W4676" s="100"/>
      <c r="X4676" s="100"/>
      <c r="Y4676" s="100"/>
      <c r="Z4676" s="100"/>
    </row>
    <row r="4677" spans="1:26">
      <c r="A4677" s="100"/>
      <c r="B4677" s="100"/>
      <c r="C4677" s="100"/>
      <c r="D4677" s="100"/>
      <c r="E4677" s="100"/>
      <c r="F4677" s="100"/>
      <c r="G4677" s="100"/>
      <c r="H4677" s="100"/>
      <c r="I4677" s="100"/>
      <c r="J4677" s="100"/>
      <c r="K4677" s="100"/>
      <c r="L4677" s="100"/>
      <c r="M4677" s="100"/>
      <c r="N4677" s="100"/>
      <c r="O4677" s="100"/>
      <c r="P4677" s="100"/>
      <c r="Q4677" s="100"/>
      <c r="R4677" s="100"/>
      <c r="S4677" s="100"/>
      <c r="T4677" s="100"/>
      <c r="U4677" s="100"/>
      <c r="V4677" s="100"/>
      <c r="W4677" s="100"/>
      <c r="X4677" s="100"/>
      <c r="Y4677" s="100"/>
      <c r="Z4677" s="100"/>
    </row>
    <row r="4678" spans="1:26">
      <c r="A4678" s="100"/>
      <c r="B4678" s="100"/>
      <c r="C4678" s="100"/>
      <c r="D4678" s="100"/>
      <c r="E4678" s="100"/>
      <c r="F4678" s="100"/>
      <c r="G4678" s="100"/>
      <c r="H4678" s="100"/>
      <c r="I4678" s="100"/>
      <c r="J4678" s="100"/>
      <c r="K4678" s="100"/>
      <c r="L4678" s="100"/>
      <c r="M4678" s="100"/>
      <c r="N4678" s="100"/>
      <c r="O4678" s="100"/>
      <c r="P4678" s="100"/>
      <c r="Q4678" s="100"/>
      <c r="R4678" s="100"/>
      <c r="S4678" s="100"/>
      <c r="T4678" s="100"/>
      <c r="U4678" s="100"/>
      <c r="V4678" s="100"/>
      <c r="W4678" s="100"/>
      <c r="X4678" s="100"/>
      <c r="Y4678" s="100"/>
      <c r="Z4678" s="100"/>
    </row>
    <row r="4679" spans="1:26">
      <c r="A4679" s="100"/>
      <c r="B4679" s="100"/>
      <c r="C4679" s="100"/>
      <c r="D4679" s="100"/>
      <c r="E4679" s="100"/>
      <c r="F4679" s="100"/>
      <c r="G4679" s="100"/>
      <c r="H4679" s="100"/>
      <c r="I4679" s="100"/>
      <c r="J4679" s="100"/>
      <c r="K4679" s="100"/>
      <c r="L4679" s="100"/>
      <c r="M4679" s="100"/>
      <c r="N4679" s="100"/>
      <c r="O4679" s="100"/>
      <c r="P4679" s="100"/>
      <c r="Q4679" s="100"/>
      <c r="R4679" s="100"/>
      <c r="S4679" s="100"/>
      <c r="T4679" s="100"/>
      <c r="U4679" s="100"/>
      <c r="V4679" s="100"/>
      <c r="W4679" s="100"/>
      <c r="X4679" s="100"/>
      <c r="Y4679" s="100"/>
      <c r="Z4679" s="100"/>
    </row>
    <row r="4680" spans="1:26">
      <c r="A4680" s="100"/>
      <c r="B4680" s="100"/>
      <c r="C4680" s="100"/>
      <c r="D4680" s="100"/>
      <c r="E4680" s="100"/>
      <c r="F4680" s="100"/>
      <c r="G4680" s="100"/>
      <c r="H4680" s="100"/>
      <c r="I4680" s="100"/>
      <c r="J4680" s="100"/>
      <c r="K4680" s="100"/>
      <c r="L4680" s="100"/>
      <c r="M4680" s="100"/>
      <c r="N4680" s="100"/>
      <c r="O4680" s="100"/>
      <c r="P4680" s="100"/>
      <c r="Q4680" s="100"/>
      <c r="R4680" s="100"/>
      <c r="S4680" s="100"/>
      <c r="T4680" s="100"/>
      <c r="U4680" s="100"/>
      <c r="V4680" s="100"/>
      <c r="W4680" s="100"/>
      <c r="X4680" s="100"/>
      <c r="Y4680" s="100"/>
      <c r="Z4680" s="100"/>
    </row>
    <row r="4681" spans="1:26">
      <c r="A4681" s="100"/>
      <c r="B4681" s="100"/>
      <c r="C4681" s="100"/>
      <c r="D4681" s="100"/>
      <c r="E4681" s="100"/>
      <c r="F4681" s="100"/>
      <c r="G4681" s="100"/>
      <c r="H4681" s="100"/>
      <c r="I4681" s="100"/>
      <c r="J4681" s="100"/>
      <c r="K4681" s="100"/>
      <c r="L4681" s="100"/>
      <c r="M4681" s="100"/>
      <c r="N4681" s="100"/>
      <c r="O4681" s="100"/>
      <c r="P4681" s="100"/>
      <c r="Q4681" s="100"/>
      <c r="R4681" s="100"/>
      <c r="S4681" s="100"/>
      <c r="T4681" s="100"/>
      <c r="U4681" s="100"/>
      <c r="V4681" s="100"/>
      <c r="W4681" s="100"/>
      <c r="X4681" s="100"/>
      <c r="Y4681" s="100"/>
      <c r="Z4681" s="100"/>
    </row>
    <row r="4682" spans="1:26">
      <c r="A4682" s="100"/>
      <c r="B4682" s="100"/>
      <c r="C4682" s="100"/>
      <c r="D4682" s="100"/>
      <c r="E4682" s="100"/>
      <c r="F4682" s="100"/>
      <c r="G4682" s="100"/>
      <c r="H4682" s="100"/>
      <c r="I4682" s="100"/>
      <c r="J4682" s="100"/>
      <c r="K4682" s="100"/>
      <c r="L4682" s="100"/>
      <c r="M4682" s="100"/>
      <c r="N4682" s="100"/>
      <c r="O4682" s="100"/>
      <c r="P4682" s="100"/>
      <c r="Q4682" s="100"/>
      <c r="R4682" s="100"/>
      <c r="S4682" s="100"/>
      <c r="T4682" s="100"/>
      <c r="U4682" s="100"/>
      <c r="V4682" s="100"/>
      <c r="W4682" s="100"/>
      <c r="X4682" s="100"/>
      <c r="Y4682" s="100"/>
      <c r="Z4682" s="100"/>
    </row>
    <row r="4683" spans="1:26">
      <c r="A4683" s="100"/>
      <c r="B4683" s="100"/>
      <c r="C4683" s="100"/>
      <c r="D4683" s="100"/>
      <c r="E4683" s="100"/>
      <c r="F4683" s="100"/>
      <c r="G4683" s="100"/>
      <c r="H4683" s="100"/>
      <c r="I4683" s="100"/>
      <c r="J4683" s="100"/>
      <c r="K4683" s="100"/>
      <c r="L4683" s="100"/>
      <c r="M4683" s="100"/>
      <c r="N4683" s="100"/>
      <c r="O4683" s="100"/>
      <c r="P4683" s="100"/>
      <c r="Q4683" s="100"/>
      <c r="R4683" s="100"/>
      <c r="S4683" s="100"/>
      <c r="T4683" s="100"/>
      <c r="U4683" s="100"/>
      <c r="V4683" s="100"/>
      <c r="W4683" s="100"/>
      <c r="X4683" s="100"/>
      <c r="Y4683" s="100"/>
      <c r="Z4683" s="100"/>
    </row>
    <row r="4684" spans="1:26">
      <c r="A4684" s="100"/>
      <c r="B4684" s="100"/>
      <c r="C4684" s="100"/>
      <c r="D4684" s="100"/>
      <c r="E4684" s="100"/>
      <c r="F4684" s="100"/>
      <c r="G4684" s="100"/>
      <c r="H4684" s="100"/>
      <c r="I4684" s="100"/>
      <c r="J4684" s="100"/>
      <c r="K4684" s="100"/>
      <c r="L4684" s="100"/>
      <c r="M4684" s="100"/>
      <c r="N4684" s="100"/>
      <c r="O4684" s="100"/>
      <c r="P4684" s="100"/>
      <c r="Q4684" s="100"/>
      <c r="R4684" s="100"/>
      <c r="S4684" s="100"/>
      <c r="T4684" s="100"/>
      <c r="U4684" s="100"/>
      <c r="V4684" s="100"/>
      <c r="W4684" s="100"/>
      <c r="X4684" s="100"/>
      <c r="Y4684" s="100"/>
      <c r="Z4684" s="100"/>
    </row>
    <row r="4685" spans="1:26">
      <c r="A4685" s="100"/>
      <c r="B4685" s="100"/>
      <c r="C4685" s="100"/>
      <c r="D4685" s="100"/>
      <c r="E4685" s="100"/>
      <c r="F4685" s="100"/>
      <c r="G4685" s="100"/>
      <c r="H4685" s="100"/>
      <c r="I4685" s="100"/>
      <c r="J4685" s="100"/>
      <c r="K4685" s="100"/>
      <c r="L4685" s="100"/>
      <c r="M4685" s="100"/>
      <c r="N4685" s="100"/>
      <c r="O4685" s="100"/>
      <c r="P4685" s="100"/>
      <c r="Q4685" s="100"/>
      <c r="R4685" s="100"/>
      <c r="S4685" s="100"/>
      <c r="T4685" s="100"/>
      <c r="U4685" s="100"/>
      <c r="V4685" s="100"/>
      <c r="W4685" s="100"/>
      <c r="X4685" s="100"/>
      <c r="Y4685" s="100"/>
      <c r="Z4685" s="100"/>
    </row>
    <row r="4686" spans="1:26">
      <c r="A4686" s="100"/>
      <c r="B4686" s="100"/>
      <c r="C4686" s="100"/>
      <c r="D4686" s="100"/>
      <c r="E4686" s="100"/>
      <c r="F4686" s="100"/>
      <c r="G4686" s="100"/>
      <c r="H4686" s="100"/>
      <c r="I4686" s="100"/>
      <c r="J4686" s="100"/>
      <c r="K4686" s="100"/>
      <c r="L4686" s="100"/>
      <c r="M4686" s="100"/>
      <c r="N4686" s="100"/>
      <c r="O4686" s="100"/>
      <c r="P4686" s="100"/>
      <c r="Q4686" s="100"/>
      <c r="R4686" s="100"/>
      <c r="S4686" s="100"/>
      <c r="T4686" s="100"/>
      <c r="U4686" s="100"/>
      <c r="V4686" s="100"/>
      <c r="W4686" s="100"/>
      <c r="X4686" s="100"/>
      <c r="Y4686" s="100"/>
      <c r="Z4686" s="100"/>
    </row>
    <row r="4687" spans="1:26">
      <c r="A4687" s="100"/>
      <c r="B4687" s="100"/>
      <c r="C4687" s="100"/>
      <c r="D4687" s="100"/>
      <c r="E4687" s="100"/>
      <c r="F4687" s="100"/>
      <c r="G4687" s="100"/>
      <c r="H4687" s="100"/>
      <c r="I4687" s="100"/>
      <c r="J4687" s="100"/>
      <c r="K4687" s="100"/>
      <c r="L4687" s="100"/>
      <c r="M4687" s="100"/>
      <c r="N4687" s="100"/>
      <c r="O4687" s="100"/>
      <c r="P4687" s="100"/>
      <c r="Q4687" s="100"/>
      <c r="R4687" s="100"/>
      <c r="S4687" s="100"/>
      <c r="T4687" s="100"/>
      <c r="U4687" s="100"/>
      <c r="V4687" s="100"/>
      <c r="W4687" s="100"/>
      <c r="X4687" s="100"/>
      <c r="Y4687" s="100"/>
      <c r="Z4687" s="100"/>
    </row>
    <row r="4688" spans="1:26">
      <c r="A4688" s="100"/>
      <c r="B4688" s="100"/>
      <c r="C4688" s="100"/>
      <c r="D4688" s="100"/>
      <c r="E4688" s="100"/>
      <c r="F4688" s="100"/>
      <c r="G4688" s="100"/>
      <c r="H4688" s="100"/>
      <c r="I4688" s="100"/>
      <c r="J4688" s="100"/>
      <c r="K4688" s="100"/>
      <c r="L4688" s="100"/>
      <c r="M4688" s="100"/>
      <c r="N4688" s="100"/>
      <c r="O4688" s="100"/>
      <c r="P4688" s="100"/>
      <c r="Q4688" s="100"/>
      <c r="R4688" s="100"/>
      <c r="S4688" s="100"/>
      <c r="T4688" s="100"/>
      <c r="U4688" s="100"/>
      <c r="V4688" s="100"/>
      <c r="W4688" s="100"/>
      <c r="X4688" s="100"/>
      <c r="Y4688" s="100"/>
      <c r="Z4688" s="100"/>
    </row>
    <row r="4689" spans="1:26">
      <c r="A4689" s="100"/>
      <c r="B4689" s="100"/>
      <c r="C4689" s="100"/>
      <c r="D4689" s="100"/>
      <c r="E4689" s="100"/>
      <c r="F4689" s="100"/>
      <c r="G4689" s="100"/>
      <c r="H4689" s="100"/>
      <c r="I4689" s="100"/>
      <c r="J4689" s="100"/>
      <c r="K4689" s="100"/>
      <c r="L4689" s="100"/>
      <c r="M4689" s="100"/>
      <c r="N4689" s="100"/>
      <c r="O4689" s="100"/>
      <c r="P4689" s="100"/>
      <c r="Q4689" s="100"/>
      <c r="R4689" s="100"/>
      <c r="S4689" s="100"/>
      <c r="T4689" s="100"/>
      <c r="U4689" s="100"/>
      <c r="V4689" s="100"/>
      <c r="W4689" s="100"/>
      <c r="X4689" s="100"/>
      <c r="Y4689" s="100"/>
      <c r="Z4689" s="100"/>
    </row>
    <row r="4690" spans="1:26">
      <c r="A4690" s="100"/>
      <c r="B4690" s="100"/>
      <c r="C4690" s="100"/>
      <c r="D4690" s="100"/>
      <c r="E4690" s="100"/>
      <c r="F4690" s="100"/>
      <c r="G4690" s="100"/>
      <c r="H4690" s="100"/>
      <c r="I4690" s="100"/>
      <c r="J4690" s="100"/>
      <c r="K4690" s="100"/>
      <c r="L4690" s="100"/>
      <c r="M4690" s="100"/>
      <c r="N4690" s="100"/>
      <c r="O4690" s="100"/>
      <c r="P4690" s="100"/>
      <c r="Q4690" s="100"/>
      <c r="R4690" s="100"/>
      <c r="S4690" s="100"/>
      <c r="T4690" s="100"/>
      <c r="U4690" s="100"/>
      <c r="V4690" s="100"/>
      <c r="W4690" s="100"/>
      <c r="X4690" s="100"/>
      <c r="Y4690" s="100"/>
      <c r="Z4690" s="100"/>
    </row>
    <row r="4691" spans="1:26">
      <c r="A4691" s="100"/>
      <c r="B4691" s="100"/>
      <c r="C4691" s="100"/>
      <c r="D4691" s="100"/>
      <c r="E4691" s="100"/>
      <c r="F4691" s="100"/>
      <c r="G4691" s="100"/>
      <c r="H4691" s="100"/>
      <c r="I4691" s="100"/>
      <c r="J4691" s="100"/>
      <c r="K4691" s="100"/>
      <c r="L4691" s="100"/>
      <c r="M4691" s="100"/>
      <c r="N4691" s="100"/>
      <c r="O4691" s="100"/>
      <c r="P4691" s="100"/>
      <c r="Q4691" s="100"/>
      <c r="R4691" s="100"/>
      <c r="S4691" s="100"/>
      <c r="T4691" s="100"/>
      <c r="U4691" s="100"/>
      <c r="V4691" s="100"/>
      <c r="W4691" s="100"/>
      <c r="X4691" s="100"/>
      <c r="Y4691" s="100"/>
      <c r="Z4691" s="100"/>
    </row>
    <row r="4692" spans="1:26">
      <c r="A4692" s="100"/>
      <c r="B4692" s="100"/>
      <c r="C4692" s="100"/>
      <c r="D4692" s="100"/>
      <c r="E4692" s="100"/>
      <c r="F4692" s="100"/>
      <c r="G4692" s="100"/>
      <c r="H4692" s="100"/>
      <c r="I4692" s="100"/>
      <c r="J4692" s="100"/>
      <c r="K4692" s="100"/>
      <c r="L4692" s="100"/>
      <c r="M4692" s="100"/>
      <c r="N4692" s="100"/>
      <c r="O4692" s="100"/>
      <c r="P4692" s="100"/>
      <c r="Q4692" s="100"/>
      <c r="R4692" s="100"/>
      <c r="S4692" s="100"/>
      <c r="T4692" s="100"/>
      <c r="U4692" s="100"/>
      <c r="V4692" s="100"/>
      <c r="W4692" s="100"/>
      <c r="X4692" s="100"/>
      <c r="Y4692" s="100"/>
      <c r="Z4692" s="100"/>
    </row>
    <row r="4693" spans="1:26">
      <c r="A4693" s="100"/>
      <c r="B4693" s="100"/>
      <c r="C4693" s="100"/>
      <c r="D4693" s="100"/>
      <c r="E4693" s="100"/>
      <c r="F4693" s="100"/>
      <c r="G4693" s="100"/>
      <c r="H4693" s="100"/>
      <c r="I4693" s="100"/>
      <c r="J4693" s="100"/>
      <c r="K4693" s="100"/>
      <c r="L4693" s="100"/>
      <c r="M4693" s="100"/>
      <c r="N4693" s="100"/>
      <c r="O4693" s="100"/>
      <c r="P4693" s="100"/>
      <c r="Q4693" s="100"/>
      <c r="R4693" s="100"/>
      <c r="S4693" s="100"/>
      <c r="T4693" s="100"/>
      <c r="U4693" s="100"/>
      <c r="V4693" s="100"/>
      <c r="W4693" s="100"/>
      <c r="X4693" s="100"/>
      <c r="Y4693" s="100"/>
      <c r="Z4693" s="100"/>
    </row>
    <row r="4694" spans="1:26">
      <c r="A4694" s="100"/>
      <c r="B4694" s="100"/>
      <c r="C4694" s="100"/>
      <c r="D4694" s="100"/>
      <c r="E4694" s="100"/>
      <c r="F4694" s="100"/>
      <c r="G4694" s="100"/>
      <c r="H4694" s="100"/>
      <c r="I4694" s="100"/>
      <c r="J4694" s="100"/>
      <c r="K4694" s="100"/>
      <c r="L4694" s="100"/>
      <c r="M4694" s="100"/>
      <c r="N4694" s="100"/>
      <c r="O4694" s="100"/>
      <c r="P4694" s="100"/>
      <c r="Q4694" s="100"/>
      <c r="R4694" s="100"/>
      <c r="S4694" s="100"/>
      <c r="T4694" s="100"/>
      <c r="U4694" s="100"/>
      <c r="V4694" s="100"/>
      <c r="W4694" s="100"/>
      <c r="X4694" s="100"/>
      <c r="Y4694" s="100"/>
      <c r="Z4694" s="100"/>
    </row>
    <row r="4695" spans="1:26">
      <c r="A4695" s="100"/>
      <c r="B4695" s="100"/>
      <c r="C4695" s="100"/>
      <c r="D4695" s="100"/>
      <c r="E4695" s="100"/>
      <c r="F4695" s="100"/>
      <c r="G4695" s="100"/>
      <c r="H4695" s="100"/>
      <c r="I4695" s="100"/>
      <c r="J4695" s="100"/>
      <c r="K4695" s="100"/>
      <c r="L4695" s="100"/>
      <c r="M4695" s="100"/>
      <c r="N4695" s="100"/>
      <c r="O4695" s="100"/>
      <c r="P4695" s="100"/>
      <c r="Q4695" s="100"/>
      <c r="R4695" s="100"/>
      <c r="S4695" s="100"/>
      <c r="T4695" s="100"/>
      <c r="U4695" s="100"/>
      <c r="V4695" s="100"/>
      <c r="W4695" s="100"/>
      <c r="X4695" s="100"/>
      <c r="Y4695" s="100"/>
      <c r="Z4695" s="100"/>
    </row>
    <row r="4696" spans="1:26">
      <c r="A4696" s="100"/>
      <c r="B4696" s="100"/>
      <c r="C4696" s="100"/>
      <c r="D4696" s="100"/>
      <c r="E4696" s="100"/>
      <c r="F4696" s="100"/>
      <c r="G4696" s="100"/>
      <c r="H4696" s="100"/>
      <c r="I4696" s="100"/>
      <c r="J4696" s="100"/>
      <c r="K4696" s="100"/>
      <c r="L4696" s="100"/>
      <c r="M4696" s="100"/>
      <c r="N4696" s="100"/>
      <c r="O4696" s="100"/>
      <c r="P4696" s="100"/>
      <c r="Q4696" s="100"/>
      <c r="R4696" s="100"/>
      <c r="S4696" s="100"/>
      <c r="T4696" s="100"/>
      <c r="U4696" s="100"/>
      <c r="V4696" s="100"/>
      <c r="W4696" s="100"/>
      <c r="X4696" s="100"/>
      <c r="Y4696" s="100"/>
      <c r="Z4696" s="100"/>
    </row>
    <row r="4697" spans="1:26">
      <c r="A4697" s="100"/>
      <c r="B4697" s="100"/>
      <c r="C4697" s="100"/>
      <c r="D4697" s="100"/>
      <c r="E4697" s="100"/>
      <c r="F4697" s="100"/>
      <c r="G4697" s="100"/>
      <c r="H4697" s="100"/>
      <c r="I4697" s="100"/>
      <c r="J4697" s="100"/>
      <c r="K4697" s="100"/>
      <c r="L4697" s="100"/>
      <c r="M4697" s="100"/>
      <c r="N4697" s="100"/>
      <c r="O4697" s="100"/>
      <c r="P4697" s="100"/>
      <c r="Q4697" s="100"/>
      <c r="R4697" s="100"/>
      <c r="S4697" s="100"/>
      <c r="T4697" s="100"/>
      <c r="U4697" s="100"/>
      <c r="V4697" s="100"/>
      <c r="W4697" s="100"/>
      <c r="X4697" s="100"/>
      <c r="Y4697" s="100"/>
      <c r="Z4697" s="100"/>
    </row>
    <row r="4698" spans="1:26">
      <c r="A4698" s="100"/>
      <c r="B4698" s="100"/>
      <c r="C4698" s="100"/>
      <c r="D4698" s="100"/>
      <c r="E4698" s="100"/>
      <c r="F4698" s="100"/>
      <c r="G4698" s="100"/>
      <c r="H4698" s="100"/>
      <c r="I4698" s="100"/>
      <c r="J4698" s="100"/>
      <c r="K4698" s="100"/>
      <c r="L4698" s="100"/>
      <c r="M4698" s="100"/>
      <c r="N4698" s="100"/>
      <c r="O4698" s="100"/>
      <c r="P4698" s="100"/>
      <c r="Q4698" s="100"/>
      <c r="R4698" s="100"/>
      <c r="S4698" s="100"/>
      <c r="T4698" s="100"/>
      <c r="U4698" s="100"/>
      <c r="V4698" s="100"/>
      <c r="W4698" s="100"/>
      <c r="X4698" s="100"/>
      <c r="Y4698" s="100"/>
      <c r="Z4698" s="100"/>
    </row>
    <row r="4699" spans="1:26">
      <c r="A4699" s="100"/>
      <c r="B4699" s="100"/>
      <c r="C4699" s="100"/>
      <c r="D4699" s="100"/>
      <c r="E4699" s="100"/>
      <c r="F4699" s="100"/>
      <c r="G4699" s="100"/>
      <c r="H4699" s="100"/>
      <c r="I4699" s="100"/>
      <c r="J4699" s="100"/>
      <c r="K4699" s="100"/>
      <c r="L4699" s="100"/>
      <c r="M4699" s="100"/>
      <c r="N4699" s="100"/>
      <c r="O4699" s="100"/>
      <c r="P4699" s="100"/>
      <c r="Q4699" s="100"/>
      <c r="R4699" s="100"/>
      <c r="S4699" s="100"/>
      <c r="T4699" s="100"/>
      <c r="U4699" s="100"/>
      <c r="V4699" s="100"/>
      <c r="W4699" s="100"/>
      <c r="X4699" s="100"/>
      <c r="Y4699" s="100"/>
      <c r="Z4699" s="100"/>
    </row>
    <row r="4700" spans="1:26">
      <c r="A4700" s="100"/>
      <c r="B4700" s="100"/>
      <c r="C4700" s="100"/>
      <c r="D4700" s="100"/>
      <c r="E4700" s="100"/>
      <c r="F4700" s="100"/>
      <c r="G4700" s="100"/>
      <c r="H4700" s="100"/>
      <c r="I4700" s="100"/>
      <c r="J4700" s="100"/>
      <c r="K4700" s="100"/>
      <c r="L4700" s="100"/>
      <c r="M4700" s="100"/>
      <c r="N4700" s="100"/>
      <c r="O4700" s="100"/>
      <c r="P4700" s="100"/>
      <c r="Q4700" s="100"/>
      <c r="R4700" s="100"/>
      <c r="S4700" s="100"/>
      <c r="T4700" s="100"/>
      <c r="U4700" s="100"/>
      <c r="V4700" s="100"/>
      <c r="W4700" s="100"/>
      <c r="X4700" s="100"/>
      <c r="Y4700" s="100"/>
      <c r="Z4700" s="100"/>
    </row>
    <row r="4701" spans="1:26">
      <c r="A4701" s="100"/>
      <c r="B4701" s="100"/>
      <c r="C4701" s="100"/>
      <c r="D4701" s="100"/>
      <c r="E4701" s="100"/>
      <c r="F4701" s="100"/>
      <c r="G4701" s="100"/>
      <c r="H4701" s="100"/>
      <c r="I4701" s="100"/>
      <c r="J4701" s="100"/>
      <c r="K4701" s="100"/>
      <c r="L4701" s="100"/>
      <c r="M4701" s="100"/>
      <c r="N4701" s="100"/>
      <c r="O4701" s="100"/>
      <c r="P4701" s="100"/>
      <c r="Q4701" s="100"/>
      <c r="R4701" s="100"/>
      <c r="S4701" s="100"/>
      <c r="T4701" s="100"/>
      <c r="U4701" s="100"/>
      <c r="V4701" s="100"/>
      <c r="W4701" s="100"/>
      <c r="X4701" s="100"/>
      <c r="Y4701" s="100"/>
      <c r="Z4701" s="100"/>
    </row>
    <row r="4702" spans="1:26">
      <c r="A4702" s="100"/>
      <c r="B4702" s="100"/>
      <c r="C4702" s="100"/>
      <c r="D4702" s="100"/>
      <c r="E4702" s="100"/>
      <c r="F4702" s="100"/>
      <c r="G4702" s="100"/>
      <c r="H4702" s="100"/>
      <c r="I4702" s="100"/>
      <c r="J4702" s="100"/>
      <c r="K4702" s="100"/>
      <c r="L4702" s="100"/>
      <c r="M4702" s="100"/>
      <c r="N4702" s="100"/>
      <c r="O4702" s="100"/>
      <c r="P4702" s="100"/>
      <c r="Q4702" s="100"/>
      <c r="R4702" s="100"/>
      <c r="S4702" s="100"/>
      <c r="T4702" s="100"/>
      <c r="U4702" s="100"/>
      <c r="V4702" s="100"/>
      <c r="W4702" s="100"/>
      <c r="X4702" s="100"/>
      <c r="Y4702" s="100"/>
      <c r="Z4702" s="100"/>
    </row>
    <row r="4703" spans="1:26">
      <c r="A4703" s="100"/>
      <c r="B4703" s="100"/>
      <c r="C4703" s="100"/>
      <c r="D4703" s="100"/>
      <c r="E4703" s="100"/>
      <c r="F4703" s="100"/>
      <c r="G4703" s="100"/>
      <c r="H4703" s="100"/>
      <c r="I4703" s="100"/>
      <c r="J4703" s="100"/>
      <c r="K4703" s="100"/>
      <c r="L4703" s="100"/>
      <c r="M4703" s="100"/>
      <c r="N4703" s="100"/>
      <c r="O4703" s="100"/>
      <c r="P4703" s="100"/>
      <c r="Q4703" s="100"/>
      <c r="R4703" s="100"/>
      <c r="S4703" s="100"/>
      <c r="T4703" s="100"/>
      <c r="U4703" s="100"/>
      <c r="V4703" s="100"/>
      <c r="W4703" s="100"/>
      <c r="X4703" s="100"/>
      <c r="Y4703" s="100"/>
      <c r="Z4703" s="100"/>
    </row>
    <row r="4704" spans="1:26">
      <c r="A4704" s="100"/>
      <c r="B4704" s="100"/>
      <c r="C4704" s="100"/>
      <c r="D4704" s="100"/>
      <c r="E4704" s="100"/>
      <c r="F4704" s="100"/>
      <c r="G4704" s="100"/>
      <c r="H4704" s="100"/>
      <c r="I4704" s="100"/>
      <c r="J4704" s="100"/>
      <c r="K4704" s="100"/>
      <c r="L4704" s="100"/>
      <c r="M4704" s="100"/>
      <c r="N4704" s="100"/>
      <c r="O4704" s="100"/>
      <c r="P4704" s="100"/>
      <c r="Q4704" s="100"/>
      <c r="R4704" s="100"/>
      <c r="S4704" s="100"/>
      <c r="T4704" s="100"/>
      <c r="U4704" s="100"/>
      <c r="V4704" s="100"/>
      <c r="W4704" s="100"/>
      <c r="X4704" s="100"/>
      <c r="Y4704" s="100"/>
      <c r="Z4704" s="100"/>
    </row>
    <row r="4705" spans="1:26">
      <c r="A4705" s="100"/>
      <c r="B4705" s="100"/>
      <c r="C4705" s="100"/>
      <c r="D4705" s="100"/>
      <c r="E4705" s="100"/>
      <c r="F4705" s="100"/>
      <c r="G4705" s="100"/>
      <c r="H4705" s="100"/>
      <c r="I4705" s="100"/>
      <c r="J4705" s="100"/>
      <c r="K4705" s="100"/>
      <c r="L4705" s="100"/>
      <c r="M4705" s="100"/>
      <c r="N4705" s="100"/>
      <c r="O4705" s="100"/>
      <c r="P4705" s="100"/>
      <c r="Q4705" s="100"/>
      <c r="R4705" s="100"/>
      <c r="S4705" s="100"/>
      <c r="T4705" s="100"/>
      <c r="U4705" s="100"/>
      <c r="V4705" s="100"/>
      <c r="W4705" s="100"/>
      <c r="X4705" s="100"/>
      <c r="Y4705" s="100"/>
      <c r="Z4705" s="100"/>
    </row>
    <row r="4706" spans="1:26">
      <c r="A4706" s="100"/>
      <c r="B4706" s="100"/>
      <c r="C4706" s="100"/>
      <c r="D4706" s="100"/>
      <c r="E4706" s="100"/>
      <c r="F4706" s="100"/>
      <c r="G4706" s="100"/>
      <c r="H4706" s="100"/>
      <c r="I4706" s="100"/>
      <c r="J4706" s="100"/>
      <c r="K4706" s="100"/>
      <c r="L4706" s="100"/>
      <c r="M4706" s="100"/>
      <c r="N4706" s="100"/>
      <c r="O4706" s="100"/>
      <c r="P4706" s="100"/>
      <c r="Q4706" s="100"/>
      <c r="R4706" s="100"/>
      <c r="S4706" s="100"/>
      <c r="T4706" s="100"/>
      <c r="U4706" s="100"/>
      <c r="V4706" s="100"/>
      <c r="W4706" s="100"/>
      <c r="X4706" s="100"/>
      <c r="Y4706" s="100"/>
      <c r="Z4706" s="100"/>
    </row>
    <row r="4707" spans="1:26">
      <c r="A4707" s="100"/>
      <c r="B4707" s="100"/>
      <c r="C4707" s="100"/>
      <c r="D4707" s="100"/>
      <c r="E4707" s="100"/>
      <c r="F4707" s="100"/>
      <c r="G4707" s="100"/>
      <c r="H4707" s="100"/>
      <c r="I4707" s="100"/>
      <c r="J4707" s="100"/>
      <c r="K4707" s="100"/>
      <c r="L4707" s="100"/>
      <c r="M4707" s="100"/>
      <c r="N4707" s="100"/>
      <c r="O4707" s="100"/>
      <c r="P4707" s="100"/>
      <c r="Q4707" s="100"/>
      <c r="R4707" s="100"/>
      <c r="S4707" s="100"/>
      <c r="T4707" s="100"/>
      <c r="U4707" s="100"/>
      <c r="V4707" s="100"/>
      <c r="W4707" s="100"/>
      <c r="X4707" s="100"/>
      <c r="Y4707" s="100"/>
      <c r="Z4707" s="100"/>
    </row>
    <row r="4708" spans="1:26">
      <c r="A4708" s="100"/>
      <c r="B4708" s="100"/>
      <c r="C4708" s="100"/>
      <c r="D4708" s="100"/>
      <c r="E4708" s="100"/>
      <c r="F4708" s="100"/>
      <c r="G4708" s="100"/>
      <c r="H4708" s="100"/>
      <c r="I4708" s="100"/>
      <c r="J4708" s="100"/>
      <c r="K4708" s="100"/>
      <c r="L4708" s="100"/>
      <c r="M4708" s="100"/>
      <c r="N4708" s="100"/>
      <c r="O4708" s="100"/>
      <c r="P4708" s="100"/>
      <c r="Q4708" s="100"/>
      <c r="R4708" s="100"/>
      <c r="S4708" s="100"/>
      <c r="T4708" s="100"/>
      <c r="U4708" s="100"/>
      <c r="V4708" s="100"/>
      <c r="W4708" s="100"/>
      <c r="X4708" s="100"/>
      <c r="Y4708" s="100"/>
      <c r="Z4708" s="100"/>
    </row>
    <row r="4709" spans="1:26">
      <c r="A4709" s="100"/>
      <c r="B4709" s="100"/>
      <c r="C4709" s="100"/>
      <c r="D4709" s="100"/>
      <c r="E4709" s="100"/>
      <c r="F4709" s="100"/>
      <c r="G4709" s="100"/>
      <c r="H4709" s="100"/>
      <c r="I4709" s="100"/>
      <c r="J4709" s="100"/>
      <c r="K4709" s="100"/>
      <c r="L4709" s="100"/>
      <c r="M4709" s="100"/>
      <c r="N4709" s="100"/>
      <c r="O4709" s="100"/>
      <c r="P4709" s="100"/>
      <c r="Q4709" s="100"/>
      <c r="R4709" s="100"/>
      <c r="S4709" s="100"/>
      <c r="T4709" s="100"/>
      <c r="U4709" s="100"/>
      <c r="V4709" s="100"/>
      <c r="W4709" s="100"/>
      <c r="X4709" s="100"/>
      <c r="Y4709" s="100"/>
      <c r="Z4709" s="100"/>
    </row>
    <row r="4710" spans="1:26">
      <c r="A4710" s="100"/>
      <c r="B4710" s="100"/>
      <c r="C4710" s="100"/>
      <c r="D4710" s="100"/>
      <c r="E4710" s="100"/>
      <c r="F4710" s="100"/>
      <c r="G4710" s="100"/>
      <c r="H4710" s="100"/>
      <c r="I4710" s="100"/>
      <c r="J4710" s="100"/>
      <c r="K4710" s="100"/>
      <c r="L4710" s="100"/>
      <c r="M4710" s="100"/>
      <c r="N4710" s="100"/>
      <c r="O4710" s="100"/>
      <c r="P4710" s="100"/>
      <c r="Q4710" s="100"/>
      <c r="R4710" s="100"/>
      <c r="S4710" s="100"/>
      <c r="T4710" s="100"/>
      <c r="U4710" s="100"/>
      <c r="V4710" s="100"/>
      <c r="W4710" s="100"/>
      <c r="X4710" s="100"/>
      <c r="Y4710" s="100"/>
      <c r="Z4710" s="100"/>
    </row>
    <row r="4711" spans="1:26">
      <c r="A4711" s="100"/>
      <c r="B4711" s="100"/>
      <c r="C4711" s="100"/>
      <c r="D4711" s="100"/>
      <c r="E4711" s="100"/>
      <c r="F4711" s="100"/>
      <c r="G4711" s="100"/>
      <c r="H4711" s="100"/>
      <c r="I4711" s="100"/>
      <c r="J4711" s="100"/>
      <c r="K4711" s="100"/>
      <c r="L4711" s="100"/>
      <c r="M4711" s="100"/>
      <c r="N4711" s="100"/>
      <c r="O4711" s="100"/>
      <c r="P4711" s="100"/>
      <c r="Q4711" s="100"/>
      <c r="R4711" s="100"/>
      <c r="S4711" s="100"/>
      <c r="T4711" s="100"/>
      <c r="U4711" s="100"/>
      <c r="V4711" s="100"/>
      <c r="W4711" s="100"/>
      <c r="X4711" s="100"/>
      <c r="Y4711" s="100"/>
      <c r="Z4711" s="100"/>
    </row>
    <row r="4712" spans="1:26">
      <c r="A4712" s="100"/>
      <c r="B4712" s="100"/>
      <c r="C4712" s="100"/>
      <c r="D4712" s="100"/>
      <c r="E4712" s="100"/>
      <c r="F4712" s="100"/>
      <c r="G4712" s="100"/>
      <c r="H4712" s="100"/>
      <c r="I4712" s="100"/>
      <c r="J4712" s="100"/>
      <c r="K4712" s="100"/>
      <c r="L4712" s="100"/>
      <c r="M4712" s="100"/>
      <c r="N4712" s="100"/>
      <c r="O4712" s="100"/>
      <c r="P4712" s="100"/>
      <c r="Q4712" s="100"/>
      <c r="R4712" s="100"/>
      <c r="S4712" s="100"/>
      <c r="T4712" s="100"/>
      <c r="U4712" s="100"/>
      <c r="V4712" s="100"/>
      <c r="W4712" s="100"/>
      <c r="X4712" s="100"/>
      <c r="Y4712" s="100"/>
      <c r="Z4712" s="100"/>
    </row>
    <row r="4713" spans="1:26">
      <c r="A4713" s="100"/>
      <c r="B4713" s="100"/>
      <c r="C4713" s="100"/>
      <c r="D4713" s="100"/>
      <c r="E4713" s="100"/>
      <c r="F4713" s="100"/>
      <c r="G4713" s="100"/>
      <c r="H4713" s="100"/>
      <c r="I4713" s="100"/>
      <c r="J4713" s="100"/>
      <c r="K4713" s="100"/>
      <c r="L4713" s="100"/>
      <c r="M4713" s="100"/>
      <c r="N4713" s="100"/>
      <c r="O4713" s="100"/>
      <c r="P4713" s="100"/>
      <c r="Q4713" s="100"/>
      <c r="R4713" s="100"/>
      <c r="S4713" s="100"/>
      <c r="T4713" s="100"/>
      <c r="U4713" s="100"/>
      <c r="V4713" s="100"/>
      <c r="W4713" s="100"/>
      <c r="X4713" s="100"/>
      <c r="Y4713" s="100"/>
      <c r="Z4713" s="100"/>
    </row>
    <row r="4714" spans="1:26">
      <c r="A4714" s="100"/>
      <c r="B4714" s="100"/>
      <c r="C4714" s="100"/>
      <c r="D4714" s="100"/>
      <c r="E4714" s="100"/>
      <c r="F4714" s="100"/>
      <c r="G4714" s="100"/>
      <c r="H4714" s="100"/>
      <c r="I4714" s="100"/>
      <c r="J4714" s="100"/>
      <c r="K4714" s="100"/>
      <c r="L4714" s="100"/>
      <c r="M4714" s="100"/>
      <c r="N4714" s="100"/>
      <c r="O4714" s="100"/>
      <c r="P4714" s="100"/>
      <c r="Q4714" s="100"/>
      <c r="R4714" s="100"/>
      <c r="S4714" s="100"/>
      <c r="T4714" s="100"/>
      <c r="U4714" s="100"/>
      <c r="V4714" s="100"/>
      <c r="W4714" s="100"/>
      <c r="X4714" s="100"/>
      <c r="Y4714" s="100"/>
      <c r="Z4714" s="100"/>
    </row>
    <row r="4715" spans="1:26">
      <c r="A4715" s="100"/>
      <c r="B4715" s="100"/>
      <c r="C4715" s="100"/>
      <c r="D4715" s="100"/>
      <c r="E4715" s="100"/>
      <c r="F4715" s="100"/>
      <c r="G4715" s="100"/>
      <c r="H4715" s="100"/>
      <c r="I4715" s="100"/>
      <c r="J4715" s="100"/>
      <c r="K4715" s="100"/>
      <c r="L4715" s="100"/>
      <c r="M4715" s="100"/>
      <c r="N4715" s="100"/>
      <c r="O4715" s="100"/>
      <c r="P4715" s="100"/>
      <c r="Q4715" s="100"/>
      <c r="R4715" s="100"/>
      <c r="S4715" s="100"/>
      <c r="T4715" s="100"/>
      <c r="U4715" s="100"/>
      <c r="V4715" s="100"/>
      <c r="W4715" s="100"/>
      <c r="X4715" s="100"/>
      <c r="Y4715" s="100"/>
      <c r="Z4715" s="100"/>
    </row>
    <row r="4716" spans="1:26">
      <c r="A4716" s="100"/>
      <c r="B4716" s="100"/>
      <c r="C4716" s="100"/>
      <c r="D4716" s="100"/>
      <c r="E4716" s="100"/>
      <c r="F4716" s="100"/>
      <c r="G4716" s="100"/>
      <c r="H4716" s="100"/>
      <c r="I4716" s="100"/>
      <c r="J4716" s="100"/>
      <c r="K4716" s="100"/>
      <c r="L4716" s="100"/>
      <c r="M4716" s="100"/>
      <c r="N4716" s="100"/>
      <c r="O4716" s="100"/>
      <c r="P4716" s="100"/>
      <c r="Q4716" s="100"/>
      <c r="R4716" s="100"/>
      <c r="S4716" s="100"/>
      <c r="T4716" s="100"/>
      <c r="U4716" s="100"/>
      <c r="V4716" s="100"/>
      <c r="W4716" s="100"/>
      <c r="X4716" s="100"/>
      <c r="Y4716" s="100"/>
      <c r="Z4716" s="100"/>
    </row>
    <row r="4717" spans="1:26">
      <c r="A4717" s="100"/>
      <c r="B4717" s="100"/>
      <c r="C4717" s="100"/>
      <c r="D4717" s="100"/>
      <c r="E4717" s="100"/>
      <c r="F4717" s="100"/>
      <c r="G4717" s="100"/>
      <c r="H4717" s="100"/>
      <c r="I4717" s="100"/>
      <c r="J4717" s="100"/>
      <c r="K4717" s="100"/>
      <c r="L4717" s="100"/>
      <c r="M4717" s="100"/>
      <c r="N4717" s="100"/>
      <c r="O4717" s="100"/>
      <c r="P4717" s="100"/>
      <c r="Q4717" s="100"/>
      <c r="R4717" s="100"/>
      <c r="S4717" s="100"/>
      <c r="T4717" s="100"/>
      <c r="U4717" s="100"/>
      <c r="V4717" s="100"/>
      <c r="W4717" s="100"/>
      <c r="X4717" s="100"/>
      <c r="Y4717" s="100"/>
      <c r="Z4717" s="100"/>
    </row>
    <row r="4718" spans="1:26">
      <c r="A4718" s="100"/>
      <c r="B4718" s="100"/>
      <c r="C4718" s="100"/>
      <c r="D4718" s="100"/>
      <c r="E4718" s="100"/>
      <c r="F4718" s="100"/>
      <c r="G4718" s="100"/>
      <c r="H4718" s="100"/>
      <c r="I4718" s="100"/>
      <c r="J4718" s="100"/>
      <c r="K4718" s="100"/>
      <c r="L4718" s="100"/>
      <c r="M4718" s="100"/>
      <c r="N4718" s="100"/>
      <c r="O4718" s="100"/>
      <c r="P4718" s="100"/>
      <c r="Q4718" s="100"/>
      <c r="R4718" s="100"/>
      <c r="S4718" s="100"/>
      <c r="T4718" s="100"/>
      <c r="U4718" s="100"/>
      <c r="V4718" s="100"/>
      <c r="W4718" s="100"/>
      <c r="X4718" s="100"/>
      <c r="Y4718" s="100"/>
      <c r="Z4718" s="100"/>
    </row>
    <row r="4719" spans="1:26">
      <c r="A4719" s="100"/>
      <c r="B4719" s="100"/>
      <c r="C4719" s="100"/>
      <c r="D4719" s="100"/>
      <c r="E4719" s="100"/>
      <c r="F4719" s="100"/>
      <c r="G4719" s="100"/>
      <c r="H4719" s="100"/>
      <c r="I4719" s="100"/>
      <c r="J4719" s="100"/>
      <c r="K4719" s="100"/>
      <c r="L4719" s="100"/>
      <c r="M4719" s="100"/>
      <c r="N4719" s="100"/>
      <c r="O4719" s="100"/>
      <c r="P4719" s="100"/>
      <c r="Q4719" s="100"/>
      <c r="R4719" s="100"/>
      <c r="S4719" s="100"/>
      <c r="T4719" s="100"/>
      <c r="U4719" s="100"/>
      <c r="V4719" s="100"/>
      <c r="W4719" s="100"/>
      <c r="X4719" s="100"/>
      <c r="Y4719" s="100"/>
      <c r="Z4719" s="100"/>
    </row>
    <row r="4720" spans="1:26">
      <c r="A4720" s="100"/>
      <c r="B4720" s="100"/>
      <c r="C4720" s="100"/>
      <c r="D4720" s="100"/>
      <c r="E4720" s="100"/>
      <c r="F4720" s="100"/>
      <c r="G4720" s="100"/>
      <c r="H4720" s="100"/>
      <c r="I4720" s="100"/>
      <c r="J4720" s="100"/>
      <c r="K4720" s="100"/>
      <c r="L4720" s="100"/>
      <c r="M4720" s="100"/>
      <c r="N4720" s="100"/>
      <c r="O4720" s="100"/>
      <c r="P4720" s="100"/>
      <c r="Q4720" s="100"/>
      <c r="R4720" s="100"/>
      <c r="S4720" s="100"/>
      <c r="T4720" s="100"/>
      <c r="U4720" s="100"/>
      <c r="V4720" s="100"/>
      <c r="W4720" s="100"/>
      <c r="X4720" s="100"/>
      <c r="Y4720" s="100"/>
      <c r="Z4720" s="100"/>
    </row>
    <row r="4721" spans="1:26">
      <c r="A4721" s="100"/>
      <c r="B4721" s="100"/>
      <c r="C4721" s="100"/>
      <c r="D4721" s="100"/>
      <c r="E4721" s="100"/>
      <c r="F4721" s="100"/>
      <c r="G4721" s="100"/>
      <c r="H4721" s="100"/>
      <c r="I4721" s="100"/>
      <c r="J4721" s="100"/>
      <c r="K4721" s="100"/>
      <c r="L4721" s="100"/>
      <c r="M4721" s="100"/>
      <c r="N4721" s="100"/>
      <c r="O4721" s="100"/>
      <c r="P4721" s="100"/>
      <c r="Q4721" s="100"/>
      <c r="R4721" s="100"/>
      <c r="S4721" s="100"/>
      <c r="T4721" s="100"/>
      <c r="U4721" s="100"/>
      <c r="V4721" s="100"/>
      <c r="W4721" s="100"/>
      <c r="X4721" s="100"/>
      <c r="Y4721" s="100"/>
      <c r="Z4721" s="100"/>
    </row>
    <row r="4722" spans="1:26">
      <c r="A4722" s="100"/>
      <c r="B4722" s="100"/>
      <c r="C4722" s="100"/>
      <c r="D4722" s="100"/>
      <c r="E4722" s="100"/>
      <c r="F4722" s="100"/>
      <c r="G4722" s="100"/>
      <c r="H4722" s="100"/>
      <c r="I4722" s="100"/>
      <c r="J4722" s="100"/>
      <c r="K4722" s="100"/>
      <c r="L4722" s="100"/>
      <c r="M4722" s="100"/>
      <c r="N4722" s="100"/>
      <c r="O4722" s="100"/>
      <c r="P4722" s="100"/>
      <c r="Q4722" s="100"/>
      <c r="R4722" s="100"/>
      <c r="S4722" s="100"/>
      <c r="T4722" s="100"/>
      <c r="U4722" s="100"/>
      <c r="V4722" s="100"/>
      <c r="W4722" s="100"/>
      <c r="X4722" s="100"/>
      <c r="Y4722" s="100"/>
      <c r="Z4722" s="100"/>
    </row>
    <row r="4723" spans="1:26">
      <c r="A4723" s="100"/>
      <c r="B4723" s="100"/>
      <c r="C4723" s="100"/>
      <c r="D4723" s="100"/>
      <c r="E4723" s="100"/>
      <c r="F4723" s="100"/>
      <c r="G4723" s="100"/>
      <c r="H4723" s="100"/>
      <c r="I4723" s="100"/>
      <c r="J4723" s="100"/>
      <c r="K4723" s="100"/>
      <c r="L4723" s="100"/>
      <c r="M4723" s="100"/>
      <c r="N4723" s="100"/>
      <c r="O4723" s="100"/>
      <c r="P4723" s="100"/>
      <c r="Q4723" s="100"/>
      <c r="R4723" s="100"/>
      <c r="S4723" s="100"/>
      <c r="T4723" s="100"/>
      <c r="U4723" s="100"/>
      <c r="V4723" s="100"/>
      <c r="W4723" s="100"/>
      <c r="X4723" s="100"/>
      <c r="Y4723" s="100"/>
      <c r="Z4723" s="100"/>
    </row>
    <row r="4724" spans="1:26">
      <c r="A4724" s="100"/>
      <c r="B4724" s="100"/>
      <c r="C4724" s="100"/>
      <c r="D4724" s="100"/>
      <c r="E4724" s="100"/>
      <c r="F4724" s="100"/>
      <c r="G4724" s="100"/>
      <c r="H4724" s="100"/>
      <c r="I4724" s="100"/>
      <c r="J4724" s="100"/>
      <c r="K4724" s="100"/>
      <c r="L4724" s="100"/>
      <c r="M4724" s="100"/>
      <c r="N4724" s="100"/>
      <c r="O4724" s="100"/>
      <c r="P4724" s="100"/>
      <c r="Q4724" s="100"/>
      <c r="R4724" s="100"/>
      <c r="S4724" s="100"/>
      <c r="T4724" s="100"/>
      <c r="U4724" s="100"/>
      <c r="V4724" s="100"/>
      <c r="W4724" s="100"/>
      <c r="X4724" s="100"/>
      <c r="Y4724" s="100"/>
      <c r="Z4724" s="100"/>
    </row>
    <row r="4725" spans="1:26">
      <c r="A4725" s="100"/>
      <c r="B4725" s="100"/>
      <c r="C4725" s="100"/>
      <c r="D4725" s="100"/>
      <c r="E4725" s="100"/>
      <c r="F4725" s="100"/>
      <c r="G4725" s="100"/>
      <c r="H4725" s="100"/>
      <c r="I4725" s="100"/>
      <c r="J4725" s="100"/>
      <c r="K4725" s="100"/>
      <c r="L4725" s="100"/>
      <c r="M4725" s="100"/>
      <c r="N4725" s="100"/>
      <c r="O4725" s="100"/>
      <c r="P4725" s="100"/>
      <c r="Q4725" s="100"/>
      <c r="R4725" s="100"/>
      <c r="S4725" s="100"/>
      <c r="T4725" s="100"/>
      <c r="U4725" s="100"/>
      <c r="V4725" s="100"/>
      <c r="W4725" s="100"/>
      <c r="X4725" s="100"/>
      <c r="Y4725" s="100"/>
      <c r="Z4725" s="100"/>
    </row>
    <row r="4726" spans="1:26">
      <c r="A4726" s="100"/>
      <c r="B4726" s="100"/>
      <c r="C4726" s="100"/>
      <c r="D4726" s="100"/>
      <c r="E4726" s="100"/>
      <c r="F4726" s="100"/>
      <c r="G4726" s="100"/>
      <c r="H4726" s="100"/>
      <c r="I4726" s="100"/>
      <c r="J4726" s="100"/>
      <c r="K4726" s="100"/>
      <c r="L4726" s="100"/>
      <c r="M4726" s="100"/>
      <c r="N4726" s="100"/>
      <c r="O4726" s="100"/>
      <c r="P4726" s="100"/>
      <c r="Q4726" s="100"/>
      <c r="R4726" s="100"/>
      <c r="S4726" s="100"/>
      <c r="T4726" s="100"/>
      <c r="U4726" s="100"/>
      <c r="V4726" s="100"/>
      <c r="W4726" s="100"/>
      <c r="X4726" s="100"/>
      <c r="Y4726" s="100"/>
      <c r="Z4726" s="100"/>
    </row>
    <row r="4727" spans="1:26">
      <c r="A4727" s="100"/>
      <c r="B4727" s="100"/>
      <c r="C4727" s="100"/>
      <c r="D4727" s="100"/>
      <c r="E4727" s="100"/>
      <c r="F4727" s="100"/>
      <c r="G4727" s="100"/>
      <c r="H4727" s="100"/>
      <c r="I4727" s="100"/>
      <c r="J4727" s="100"/>
      <c r="K4727" s="100"/>
      <c r="L4727" s="100"/>
      <c r="M4727" s="100"/>
      <c r="N4727" s="100"/>
      <c r="O4727" s="100"/>
      <c r="P4727" s="100"/>
      <c r="Q4727" s="100"/>
      <c r="R4727" s="100"/>
      <c r="S4727" s="100"/>
      <c r="T4727" s="100"/>
      <c r="U4727" s="100"/>
      <c r="V4727" s="100"/>
      <c r="W4727" s="100"/>
      <c r="X4727" s="100"/>
      <c r="Y4727" s="100"/>
      <c r="Z4727" s="100"/>
    </row>
    <row r="4728" spans="1:26">
      <c r="A4728" s="100"/>
      <c r="B4728" s="100"/>
      <c r="C4728" s="100"/>
      <c r="D4728" s="100"/>
      <c r="E4728" s="100"/>
      <c r="F4728" s="100"/>
      <c r="G4728" s="100"/>
      <c r="H4728" s="100"/>
      <c r="I4728" s="100"/>
      <c r="J4728" s="100"/>
      <c r="K4728" s="100"/>
      <c r="L4728" s="100"/>
      <c r="M4728" s="100"/>
      <c r="N4728" s="100"/>
      <c r="O4728" s="100"/>
      <c r="P4728" s="100"/>
      <c r="Q4728" s="100"/>
      <c r="R4728" s="100"/>
      <c r="S4728" s="100"/>
      <c r="T4728" s="100"/>
      <c r="U4728" s="100"/>
      <c r="V4728" s="100"/>
      <c r="W4728" s="100"/>
      <c r="X4728" s="100"/>
      <c r="Y4728" s="100"/>
      <c r="Z4728" s="100"/>
    </row>
    <row r="4729" spans="1:26">
      <c r="A4729" s="100"/>
      <c r="B4729" s="100"/>
      <c r="C4729" s="100"/>
      <c r="D4729" s="100"/>
      <c r="E4729" s="100"/>
      <c r="F4729" s="100"/>
      <c r="G4729" s="100"/>
      <c r="H4729" s="100"/>
      <c r="I4729" s="100"/>
      <c r="J4729" s="100"/>
      <c r="K4729" s="100"/>
      <c r="L4729" s="100"/>
      <c r="M4729" s="100"/>
      <c r="N4729" s="100"/>
      <c r="O4729" s="100"/>
      <c r="P4729" s="100"/>
      <c r="Q4729" s="100"/>
      <c r="R4729" s="100"/>
      <c r="S4729" s="100"/>
      <c r="T4729" s="100"/>
      <c r="U4729" s="100"/>
      <c r="V4729" s="100"/>
      <c r="W4729" s="100"/>
      <c r="X4729" s="100"/>
      <c r="Y4729" s="100"/>
      <c r="Z4729" s="100"/>
    </row>
    <row r="4730" spans="1:26">
      <c r="A4730" s="100"/>
      <c r="B4730" s="100"/>
      <c r="C4730" s="100"/>
      <c r="D4730" s="100"/>
      <c r="E4730" s="100"/>
      <c r="F4730" s="100"/>
      <c r="G4730" s="100"/>
      <c r="H4730" s="100"/>
      <c r="I4730" s="100"/>
      <c r="J4730" s="100"/>
      <c r="K4730" s="100"/>
      <c r="L4730" s="100"/>
      <c r="M4730" s="100"/>
      <c r="N4730" s="100"/>
      <c r="O4730" s="100"/>
      <c r="P4730" s="100"/>
      <c r="Q4730" s="100"/>
      <c r="R4730" s="100"/>
      <c r="S4730" s="100"/>
      <c r="T4730" s="100"/>
      <c r="U4730" s="100"/>
      <c r="V4730" s="100"/>
      <c r="W4730" s="100"/>
      <c r="X4730" s="100"/>
      <c r="Y4730" s="100"/>
      <c r="Z4730" s="100"/>
    </row>
    <row r="4731" spans="1:26">
      <c r="A4731" s="100"/>
      <c r="B4731" s="100"/>
      <c r="C4731" s="100"/>
      <c r="D4731" s="100"/>
      <c r="E4731" s="100"/>
      <c r="F4731" s="100"/>
      <c r="G4731" s="100"/>
      <c r="H4731" s="100"/>
      <c r="I4731" s="100"/>
      <c r="J4731" s="100"/>
      <c r="K4731" s="100"/>
      <c r="L4731" s="100"/>
      <c r="M4731" s="100"/>
      <c r="N4731" s="100"/>
      <c r="O4731" s="100"/>
      <c r="P4731" s="100"/>
      <c r="Q4731" s="100"/>
      <c r="R4731" s="100"/>
      <c r="S4731" s="100"/>
      <c r="T4731" s="100"/>
      <c r="U4731" s="100"/>
      <c r="V4731" s="100"/>
      <c r="W4731" s="100"/>
      <c r="X4731" s="100"/>
      <c r="Y4731" s="100"/>
      <c r="Z4731" s="100"/>
    </row>
    <row r="4732" spans="1:26">
      <c r="A4732" s="100"/>
      <c r="B4732" s="100"/>
      <c r="C4732" s="100"/>
      <c r="D4732" s="100"/>
      <c r="E4732" s="100"/>
      <c r="F4732" s="100"/>
      <c r="G4732" s="100"/>
      <c r="H4732" s="100"/>
      <c r="I4732" s="100"/>
      <c r="J4732" s="100"/>
      <c r="K4732" s="100"/>
      <c r="L4732" s="100"/>
      <c r="M4732" s="100"/>
      <c r="N4732" s="100"/>
      <c r="O4732" s="100"/>
      <c r="P4732" s="100"/>
      <c r="Q4732" s="100"/>
      <c r="R4732" s="100"/>
      <c r="S4732" s="100"/>
      <c r="T4732" s="100"/>
      <c r="U4732" s="100"/>
      <c r="V4732" s="100"/>
      <c r="W4732" s="100"/>
      <c r="X4732" s="100"/>
      <c r="Y4732" s="100"/>
      <c r="Z4732" s="100"/>
    </row>
    <row r="4733" spans="1:26">
      <c r="A4733" s="100"/>
      <c r="B4733" s="100"/>
      <c r="C4733" s="100"/>
      <c r="D4733" s="100"/>
      <c r="E4733" s="100"/>
      <c r="F4733" s="100"/>
      <c r="G4733" s="100"/>
      <c r="H4733" s="100"/>
      <c r="I4733" s="100"/>
      <c r="J4733" s="100"/>
      <c r="K4733" s="100"/>
      <c r="L4733" s="100"/>
      <c r="M4733" s="100"/>
      <c r="N4733" s="100"/>
      <c r="O4733" s="100"/>
      <c r="P4733" s="100"/>
      <c r="Q4733" s="100"/>
      <c r="R4733" s="100"/>
      <c r="S4733" s="100"/>
      <c r="T4733" s="100"/>
      <c r="U4733" s="100"/>
      <c r="V4733" s="100"/>
      <c r="W4733" s="100"/>
      <c r="X4733" s="100"/>
      <c r="Y4733" s="100"/>
      <c r="Z4733" s="100"/>
    </row>
    <row r="4734" spans="1:26">
      <c r="A4734" s="100"/>
      <c r="B4734" s="100"/>
      <c r="C4734" s="100"/>
      <c r="D4734" s="100"/>
      <c r="E4734" s="100"/>
      <c r="F4734" s="100"/>
      <c r="G4734" s="100"/>
      <c r="H4734" s="100"/>
      <c r="I4734" s="100"/>
      <c r="J4734" s="100"/>
      <c r="K4734" s="100"/>
      <c r="L4734" s="100"/>
      <c r="M4734" s="100"/>
      <c r="N4734" s="100"/>
      <c r="O4734" s="100"/>
      <c r="P4734" s="100"/>
      <c r="Q4734" s="100"/>
      <c r="R4734" s="100"/>
      <c r="S4734" s="100"/>
      <c r="T4734" s="100"/>
      <c r="U4734" s="100"/>
      <c r="V4734" s="100"/>
      <c r="W4734" s="100"/>
      <c r="X4734" s="100"/>
      <c r="Y4734" s="100"/>
      <c r="Z4734" s="100"/>
    </row>
    <row r="4735" spans="1:26">
      <c r="A4735" s="100"/>
      <c r="B4735" s="100"/>
      <c r="C4735" s="100"/>
      <c r="D4735" s="100"/>
      <c r="E4735" s="100"/>
      <c r="F4735" s="100"/>
      <c r="G4735" s="100"/>
      <c r="H4735" s="100"/>
      <c r="I4735" s="100"/>
      <c r="J4735" s="100"/>
      <c r="K4735" s="100"/>
      <c r="L4735" s="100"/>
      <c r="M4735" s="100"/>
      <c r="N4735" s="100"/>
      <c r="O4735" s="100"/>
      <c r="P4735" s="100"/>
      <c r="Q4735" s="100"/>
      <c r="R4735" s="100"/>
      <c r="S4735" s="100"/>
      <c r="T4735" s="100"/>
      <c r="U4735" s="100"/>
      <c r="V4735" s="100"/>
      <c r="W4735" s="100"/>
      <c r="X4735" s="100"/>
      <c r="Y4735" s="100"/>
      <c r="Z4735" s="100"/>
    </row>
    <row r="4736" spans="1:26">
      <c r="A4736" s="100"/>
      <c r="B4736" s="100"/>
      <c r="C4736" s="100"/>
      <c r="D4736" s="100"/>
      <c r="E4736" s="100"/>
      <c r="F4736" s="100"/>
      <c r="G4736" s="100"/>
      <c r="H4736" s="100"/>
      <c r="I4736" s="100"/>
      <c r="J4736" s="100"/>
      <c r="K4736" s="100"/>
      <c r="L4736" s="100"/>
      <c r="M4736" s="100"/>
      <c r="N4736" s="100"/>
      <c r="O4736" s="100"/>
      <c r="P4736" s="100"/>
      <c r="Q4736" s="100"/>
      <c r="R4736" s="100"/>
      <c r="S4736" s="100"/>
      <c r="T4736" s="100"/>
      <c r="U4736" s="100"/>
      <c r="V4736" s="100"/>
      <c r="W4736" s="100"/>
      <c r="X4736" s="100"/>
      <c r="Y4736" s="100"/>
      <c r="Z4736" s="100"/>
    </row>
    <row r="4737" spans="1:26">
      <c r="A4737" s="100"/>
      <c r="B4737" s="100"/>
      <c r="C4737" s="100"/>
      <c r="D4737" s="100"/>
      <c r="E4737" s="100"/>
      <c r="F4737" s="100"/>
      <c r="G4737" s="100"/>
      <c r="H4737" s="100"/>
      <c r="I4737" s="100"/>
      <c r="J4737" s="100"/>
      <c r="K4737" s="100"/>
      <c r="L4737" s="100"/>
      <c r="M4737" s="100"/>
      <c r="N4737" s="100"/>
      <c r="O4737" s="100"/>
      <c r="P4737" s="100"/>
      <c r="Q4737" s="100"/>
      <c r="R4737" s="100"/>
      <c r="S4737" s="100"/>
      <c r="T4737" s="100"/>
      <c r="U4737" s="100"/>
      <c r="V4737" s="100"/>
      <c r="W4737" s="100"/>
      <c r="X4737" s="100"/>
      <c r="Y4737" s="100"/>
      <c r="Z4737" s="100"/>
    </row>
    <row r="4738" spans="1:26">
      <c r="A4738" s="100"/>
      <c r="B4738" s="100"/>
      <c r="C4738" s="100"/>
      <c r="D4738" s="100"/>
      <c r="E4738" s="100"/>
      <c r="F4738" s="100"/>
      <c r="G4738" s="100"/>
      <c r="H4738" s="100"/>
      <c r="I4738" s="100"/>
      <c r="J4738" s="100"/>
      <c r="K4738" s="100"/>
      <c r="L4738" s="100"/>
      <c r="M4738" s="100"/>
      <c r="N4738" s="100"/>
      <c r="O4738" s="100"/>
      <c r="P4738" s="100"/>
      <c r="Q4738" s="100"/>
      <c r="R4738" s="100"/>
      <c r="S4738" s="100"/>
      <c r="T4738" s="100"/>
      <c r="U4738" s="100"/>
      <c r="V4738" s="100"/>
      <c r="W4738" s="100"/>
      <c r="X4738" s="100"/>
      <c r="Y4738" s="100"/>
      <c r="Z4738" s="100"/>
    </row>
    <row r="4739" spans="1:26">
      <c r="A4739" s="100"/>
      <c r="B4739" s="100"/>
      <c r="C4739" s="100"/>
      <c r="D4739" s="100"/>
      <c r="E4739" s="100"/>
      <c r="F4739" s="100"/>
      <c r="G4739" s="100"/>
      <c r="H4739" s="100"/>
      <c r="I4739" s="100"/>
      <c r="J4739" s="100"/>
      <c r="K4739" s="100"/>
      <c r="L4739" s="100"/>
      <c r="M4739" s="100"/>
      <c r="N4739" s="100"/>
      <c r="O4739" s="100"/>
      <c r="P4739" s="100"/>
      <c r="Q4739" s="100"/>
      <c r="R4739" s="100"/>
      <c r="S4739" s="100"/>
      <c r="T4739" s="100"/>
      <c r="U4739" s="100"/>
      <c r="V4739" s="100"/>
      <c r="W4739" s="100"/>
      <c r="X4739" s="100"/>
      <c r="Y4739" s="100"/>
      <c r="Z4739" s="100"/>
    </row>
    <row r="4740" spans="1:26">
      <c r="A4740" s="100"/>
      <c r="B4740" s="100"/>
      <c r="C4740" s="100"/>
      <c r="D4740" s="100"/>
      <c r="E4740" s="100"/>
      <c r="F4740" s="100"/>
      <c r="G4740" s="100"/>
      <c r="H4740" s="100"/>
      <c r="I4740" s="100"/>
      <c r="J4740" s="100"/>
      <c r="K4740" s="100"/>
      <c r="L4740" s="100"/>
      <c r="M4740" s="100"/>
      <c r="N4740" s="100"/>
      <c r="O4740" s="100"/>
      <c r="P4740" s="100"/>
      <c r="Q4740" s="100"/>
      <c r="R4740" s="100"/>
      <c r="S4740" s="100"/>
      <c r="T4740" s="100"/>
      <c r="U4740" s="100"/>
      <c r="V4740" s="100"/>
      <c r="W4740" s="100"/>
      <c r="X4740" s="100"/>
      <c r="Y4740" s="100"/>
      <c r="Z4740" s="100"/>
    </row>
    <row r="4741" spans="1:26">
      <c r="A4741" s="100"/>
      <c r="B4741" s="100"/>
      <c r="C4741" s="100"/>
      <c r="D4741" s="100"/>
      <c r="E4741" s="100"/>
      <c r="F4741" s="100"/>
      <c r="G4741" s="100"/>
      <c r="H4741" s="100"/>
      <c r="I4741" s="100"/>
      <c r="J4741" s="100"/>
      <c r="K4741" s="100"/>
      <c r="L4741" s="100"/>
      <c r="M4741" s="100"/>
      <c r="N4741" s="100"/>
      <c r="O4741" s="100"/>
      <c r="P4741" s="100"/>
      <c r="Q4741" s="100"/>
      <c r="R4741" s="100"/>
      <c r="S4741" s="100"/>
      <c r="T4741" s="100"/>
      <c r="U4741" s="100"/>
      <c r="V4741" s="100"/>
      <c r="W4741" s="100"/>
      <c r="X4741" s="100"/>
      <c r="Y4741" s="100"/>
      <c r="Z4741" s="100"/>
    </row>
    <row r="4742" spans="1:26">
      <c r="A4742" s="100"/>
      <c r="B4742" s="100"/>
      <c r="C4742" s="100"/>
      <c r="D4742" s="100"/>
      <c r="E4742" s="100"/>
      <c r="F4742" s="100"/>
      <c r="G4742" s="100"/>
      <c r="H4742" s="100"/>
      <c r="I4742" s="100"/>
      <c r="J4742" s="100"/>
      <c r="K4742" s="100"/>
      <c r="L4742" s="100"/>
      <c r="M4742" s="100"/>
      <c r="N4742" s="100"/>
      <c r="O4742" s="100"/>
      <c r="P4742" s="100"/>
      <c r="Q4742" s="100"/>
      <c r="R4742" s="100"/>
      <c r="S4742" s="100"/>
      <c r="T4742" s="100"/>
      <c r="U4742" s="100"/>
      <c r="V4742" s="100"/>
      <c r="W4742" s="100"/>
      <c r="X4742" s="100"/>
      <c r="Y4742" s="100"/>
      <c r="Z4742" s="100"/>
    </row>
    <row r="4743" spans="1:26">
      <c r="A4743" s="100"/>
      <c r="B4743" s="100"/>
      <c r="C4743" s="100"/>
      <c r="D4743" s="100"/>
      <c r="E4743" s="100"/>
      <c r="F4743" s="100"/>
      <c r="G4743" s="100"/>
      <c r="H4743" s="100"/>
      <c r="I4743" s="100"/>
      <c r="J4743" s="100"/>
      <c r="K4743" s="100"/>
      <c r="L4743" s="100"/>
      <c r="M4743" s="100"/>
      <c r="N4743" s="100"/>
      <c r="O4743" s="100"/>
      <c r="P4743" s="100"/>
      <c r="Q4743" s="100"/>
      <c r="R4743" s="100"/>
      <c r="S4743" s="100"/>
      <c r="T4743" s="100"/>
      <c r="U4743" s="100"/>
      <c r="V4743" s="100"/>
      <c r="W4743" s="100"/>
      <c r="X4743" s="100"/>
      <c r="Y4743" s="100"/>
      <c r="Z4743" s="100"/>
    </row>
    <row r="4744" spans="1:26">
      <c r="A4744" s="100"/>
      <c r="B4744" s="100"/>
      <c r="C4744" s="100"/>
      <c r="D4744" s="100"/>
      <c r="E4744" s="100"/>
      <c r="F4744" s="100"/>
      <c r="G4744" s="100"/>
      <c r="H4744" s="100"/>
      <c r="I4744" s="100"/>
      <c r="J4744" s="100"/>
      <c r="K4744" s="100"/>
      <c r="L4744" s="100"/>
      <c r="M4744" s="100"/>
      <c r="N4744" s="100"/>
      <c r="O4744" s="100"/>
      <c r="P4744" s="100"/>
      <c r="Q4744" s="100"/>
      <c r="R4744" s="100"/>
      <c r="S4744" s="100"/>
      <c r="T4744" s="100"/>
      <c r="U4744" s="100"/>
      <c r="V4744" s="100"/>
      <c r="W4744" s="100"/>
      <c r="X4744" s="100"/>
      <c r="Y4744" s="100"/>
      <c r="Z4744" s="100"/>
    </row>
    <row r="4745" spans="1:26">
      <c r="A4745" s="100"/>
      <c r="B4745" s="100"/>
      <c r="C4745" s="100"/>
      <c r="D4745" s="100"/>
      <c r="E4745" s="100"/>
      <c r="F4745" s="100"/>
      <c r="G4745" s="100"/>
      <c r="H4745" s="100"/>
      <c r="I4745" s="100"/>
      <c r="J4745" s="100"/>
      <c r="K4745" s="100"/>
      <c r="L4745" s="100"/>
      <c r="M4745" s="100"/>
      <c r="N4745" s="100"/>
      <c r="O4745" s="100"/>
      <c r="P4745" s="100"/>
      <c r="Q4745" s="100"/>
      <c r="R4745" s="100"/>
      <c r="S4745" s="100"/>
      <c r="T4745" s="100"/>
      <c r="U4745" s="100"/>
      <c r="V4745" s="100"/>
      <c r="W4745" s="100"/>
      <c r="X4745" s="100"/>
      <c r="Y4745" s="100"/>
      <c r="Z4745" s="100"/>
    </row>
    <row r="4746" spans="1:26">
      <c r="A4746" s="100"/>
      <c r="B4746" s="100"/>
      <c r="C4746" s="100"/>
      <c r="D4746" s="100"/>
      <c r="E4746" s="100"/>
      <c r="F4746" s="100"/>
      <c r="G4746" s="100"/>
      <c r="H4746" s="100"/>
      <c r="I4746" s="100"/>
      <c r="J4746" s="100"/>
      <c r="K4746" s="100"/>
      <c r="L4746" s="100"/>
      <c r="M4746" s="100"/>
      <c r="N4746" s="100"/>
      <c r="O4746" s="100"/>
      <c r="P4746" s="100"/>
      <c r="Q4746" s="100"/>
      <c r="R4746" s="100"/>
      <c r="S4746" s="100"/>
      <c r="T4746" s="100"/>
      <c r="U4746" s="100"/>
      <c r="V4746" s="100"/>
      <c r="W4746" s="100"/>
      <c r="X4746" s="100"/>
      <c r="Y4746" s="100"/>
      <c r="Z4746" s="100"/>
    </row>
    <row r="4747" spans="1:26">
      <c r="A4747" s="100"/>
      <c r="B4747" s="100"/>
      <c r="C4747" s="100"/>
      <c r="D4747" s="100"/>
      <c r="E4747" s="100"/>
      <c r="F4747" s="100"/>
      <c r="G4747" s="100"/>
      <c r="H4747" s="100"/>
      <c r="I4747" s="100"/>
      <c r="J4747" s="100"/>
      <c r="K4747" s="100"/>
      <c r="L4747" s="100"/>
      <c r="M4747" s="100"/>
      <c r="N4747" s="100"/>
      <c r="O4747" s="100"/>
      <c r="P4747" s="100"/>
      <c r="Q4747" s="100"/>
      <c r="R4747" s="100"/>
      <c r="S4747" s="100"/>
      <c r="T4747" s="100"/>
      <c r="U4747" s="100"/>
      <c r="V4747" s="100"/>
      <c r="W4747" s="100"/>
      <c r="X4747" s="100"/>
      <c r="Y4747" s="100"/>
      <c r="Z4747" s="100"/>
    </row>
    <row r="4748" spans="1:26">
      <c r="A4748" s="100"/>
      <c r="B4748" s="100"/>
      <c r="C4748" s="100"/>
      <c r="D4748" s="100"/>
      <c r="E4748" s="100"/>
      <c r="F4748" s="100"/>
      <c r="G4748" s="100"/>
      <c r="H4748" s="100"/>
      <c r="I4748" s="100"/>
      <c r="J4748" s="100"/>
      <c r="K4748" s="100"/>
      <c r="L4748" s="100"/>
      <c r="M4748" s="100"/>
      <c r="N4748" s="100"/>
      <c r="O4748" s="100"/>
      <c r="P4748" s="100"/>
      <c r="Q4748" s="100"/>
      <c r="R4748" s="100"/>
      <c r="S4748" s="100"/>
      <c r="T4748" s="100"/>
      <c r="U4748" s="100"/>
      <c r="V4748" s="100"/>
      <c r="W4748" s="100"/>
      <c r="X4748" s="100"/>
      <c r="Y4748" s="100"/>
      <c r="Z4748" s="100"/>
    </row>
    <row r="4749" spans="1:26">
      <c r="A4749" s="100"/>
      <c r="B4749" s="100"/>
      <c r="C4749" s="100"/>
      <c r="D4749" s="100"/>
      <c r="E4749" s="100"/>
      <c r="F4749" s="100"/>
      <c r="G4749" s="100"/>
      <c r="H4749" s="100"/>
      <c r="I4749" s="100"/>
      <c r="J4749" s="100"/>
      <c r="K4749" s="100"/>
      <c r="L4749" s="100"/>
      <c r="M4749" s="100"/>
      <c r="N4749" s="100"/>
      <c r="O4749" s="100"/>
      <c r="P4749" s="100"/>
      <c r="Q4749" s="100"/>
      <c r="R4749" s="100"/>
      <c r="S4749" s="100"/>
      <c r="T4749" s="100"/>
      <c r="U4749" s="100"/>
      <c r="V4749" s="100"/>
      <c r="W4749" s="100"/>
      <c r="X4749" s="100"/>
      <c r="Y4749" s="100"/>
      <c r="Z4749" s="100"/>
    </row>
    <row r="4750" spans="1:26">
      <c r="A4750" s="100"/>
      <c r="B4750" s="100"/>
      <c r="C4750" s="100"/>
      <c r="D4750" s="100"/>
      <c r="E4750" s="100"/>
      <c r="F4750" s="100"/>
      <c r="G4750" s="100"/>
      <c r="H4750" s="100"/>
      <c r="I4750" s="100"/>
      <c r="J4750" s="100"/>
      <c r="K4750" s="100"/>
      <c r="L4750" s="100"/>
      <c r="M4750" s="100"/>
      <c r="N4750" s="100"/>
      <c r="O4750" s="100"/>
      <c r="P4750" s="100"/>
      <c r="Q4750" s="100"/>
      <c r="R4750" s="100"/>
      <c r="S4750" s="100"/>
      <c r="T4750" s="100"/>
      <c r="U4750" s="100"/>
      <c r="V4750" s="100"/>
      <c r="W4750" s="100"/>
      <c r="X4750" s="100"/>
      <c r="Y4750" s="100"/>
      <c r="Z4750" s="100"/>
    </row>
    <row r="4751" spans="1:26">
      <c r="A4751" s="100"/>
      <c r="B4751" s="100"/>
      <c r="C4751" s="100"/>
      <c r="D4751" s="100"/>
      <c r="E4751" s="100"/>
      <c r="F4751" s="100"/>
      <c r="G4751" s="100"/>
      <c r="H4751" s="100"/>
      <c r="I4751" s="100"/>
      <c r="J4751" s="100"/>
      <c r="K4751" s="100"/>
      <c r="L4751" s="100"/>
      <c r="M4751" s="100"/>
      <c r="N4751" s="100"/>
      <c r="O4751" s="100"/>
      <c r="P4751" s="100"/>
      <c r="Q4751" s="100"/>
      <c r="R4751" s="100"/>
      <c r="S4751" s="100"/>
      <c r="T4751" s="100"/>
      <c r="U4751" s="100"/>
      <c r="V4751" s="100"/>
      <c r="W4751" s="100"/>
      <c r="X4751" s="100"/>
      <c r="Y4751" s="100"/>
      <c r="Z4751" s="100"/>
    </row>
    <row r="4752" spans="1:26">
      <c r="A4752" s="100"/>
      <c r="B4752" s="100"/>
      <c r="C4752" s="100"/>
      <c r="D4752" s="100"/>
      <c r="E4752" s="100"/>
      <c r="F4752" s="100"/>
      <c r="G4752" s="100"/>
      <c r="H4752" s="100"/>
      <c r="I4752" s="100"/>
      <c r="J4752" s="100"/>
      <c r="K4752" s="100"/>
      <c r="L4752" s="100"/>
      <c r="M4752" s="100"/>
      <c r="N4752" s="100"/>
      <c r="O4752" s="100"/>
      <c r="P4752" s="100"/>
      <c r="Q4752" s="100"/>
      <c r="R4752" s="100"/>
      <c r="S4752" s="100"/>
      <c r="T4752" s="100"/>
      <c r="U4752" s="100"/>
      <c r="V4752" s="100"/>
      <c r="W4752" s="100"/>
      <c r="X4752" s="100"/>
      <c r="Y4752" s="100"/>
      <c r="Z4752" s="100"/>
    </row>
    <row r="4753" spans="1:26">
      <c r="A4753" s="100"/>
      <c r="B4753" s="100"/>
      <c r="C4753" s="100"/>
      <c r="D4753" s="100"/>
      <c r="E4753" s="100"/>
      <c r="F4753" s="100"/>
      <c r="G4753" s="100"/>
      <c r="H4753" s="100"/>
      <c r="I4753" s="100"/>
      <c r="J4753" s="100"/>
      <c r="K4753" s="100"/>
      <c r="L4753" s="100"/>
      <c r="M4753" s="100"/>
      <c r="N4753" s="100"/>
      <c r="O4753" s="100"/>
      <c r="P4753" s="100"/>
      <c r="Q4753" s="100"/>
      <c r="R4753" s="100"/>
      <c r="S4753" s="100"/>
      <c r="T4753" s="100"/>
      <c r="U4753" s="100"/>
      <c r="V4753" s="100"/>
      <c r="W4753" s="100"/>
      <c r="X4753" s="100"/>
      <c r="Y4753" s="100"/>
      <c r="Z4753" s="100"/>
    </row>
    <row r="4754" spans="1:26">
      <c r="A4754" s="100"/>
      <c r="B4754" s="100"/>
      <c r="C4754" s="100"/>
      <c r="D4754" s="100"/>
      <c r="E4754" s="100"/>
      <c r="F4754" s="100"/>
      <c r="G4754" s="100"/>
      <c r="H4754" s="100"/>
      <c r="I4754" s="100"/>
      <c r="J4754" s="100"/>
      <c r="K4754" s="100"/>
      <c r="L4754" s="100"/>
      <c r="M4754" s="100"/>
      <c r="N4754" s="100"/>
      <c r="O4754" s="100"/>
      <c r="P4754" s="100"/>
      <c r="Q4754" s="100"/>
      <c r="R4754" s="100"/>
      <c r="S4754" s="100"/>
      <c r="T4754" s="100"/>
      <c r="U4754" s="100"/>
      <c r="V4754" s="100"/>
      <c r="W4754" s="100"/>
      <c r="X4754" s="100"/>
      <c r="Y4754" s="100"/>
      <c r="Z4754" s="100"/>
    </row>
    <row r="4755" spans="1:26">
      <c r="A4755" s="100"/>
      <c r="B4755" s="100"/>
      <c r="C4755" s="100"/>
      <c r="D4755" s="100"/>
      <c r="E4755" s="100"/>
      <c r="F4755" s="100"/>
      <c r="G4755" s="100"/>
      <c r="H4755" s="100"/>
      <c r="I4755" s="100"/>
      <c r="J4755" s="100"/>
      <c r="K4755" s="100"/>
      <c r="L4755" s="100"/>
      <c r="M4755" s="100"/>
      <c r="N4755" s="100"/>
      <c r="O4755" s="100"/>
      <c r="P4755" s="100"/>
      <c r="Q4755" s="100"/>
      <c r="R4755" s="100"/>
      <c r="S4755" s="100"/>
      <c r="T4755" s="100"/>
      <c r="U4755" s="100"/>
      <c r="V4755" s="100"/>
      <c r="W4755" s="100"/>
      <c r="X4755" s="100"/>
      <c r="Y4755" s="100"/>
      <c r="Z4755" s="100"/>
    </row>
    <row r="4756" spans="1:26">
      <c r="A4756" s="100"/>
      <c r="B4756" s="100"/>
      <c r="C4756" s="100"/>
      <c r="D4756" s="100"/>
      <c r="E4756" s="100"/>
      <c r="F4756" s="100"/>
      <c r="G4756" s="100"/>
      <c r="H4756" s="100"/>
      <c r="I4756" s="100"/>
      <c r="J4756" s="100"/>
      <c r="K4756" s="100"/>
      <c r="L4756" s="100"/>
      <c r="M4756" s="100"/>
      <c r="N4756" s="100"/>
      <c r="O4756" s="100"/>
      <c r="P4756" s="100"/>
      <c r="Q4756" s="100"/>
      <c r="R4756" s="100"/>
      <c r="S4756" s="100"/>
      <c r="T4756" s="100"/>
      <c r="U4756" s="100"/>
      <c r="V4756" s="100"/>
      <c r="W4756" s="100"/>
      <c r="X4756" s="100"/>
      <c r="Y4756" s="100"/>
      <c r="Z4756" s="100"/>
    </row>
    <row r="4757" spans="1:26">
      <c r="A4757" s="100"/>
      <c r="B4757" s="100"/>
      <c r="C4757" s="100"/>
      <c r="D4757" s="100"/>
      <c r="E4757" s="100"/>
      <c r="F4757" s="100"/>
      <c r="G4757" s="100"/>
      <c r="H4757" s="100"/>
      <c r="I4757" s="100"/>
      <c r="J4757" s="100"/>
      <c r="K4757" s="100"/>
      <c r="L4757" s="100"/>
      <c r="M4757" s="100"/>
      <c r="N4757" s="100"/>
      <c r="O4757" s="100"/>
      <c r="P4757" s="100"/>
      <c r="Q4757" s="100"/>
      <c r="R4757" s="100"/>
      <c r="S4757" s="100"/>
      <c r="T4757" s="100"/>
      <c r="U4757" s="100"/>
      <c r="V4757" s="100"/>
      <c r="W4757" s="100"/>
      <c r="X4757" s="100"/>
      <c r="Y4757" s="100"/>
      <c r="Z4757" s="100"/>
    </row>
    <row r="4758" spans="1:26">
      <c r="A4758" s="100"/>
      <c r="B4758" s="100"/>
      <c r="C4758" s="100"/>
      <c r="D4758" s="100"/>
      <c r="E4758" s="100"/>
      <c r="F4758" s="100"/>
      <c r="G4758" s="100"/>
      <c r="H4758" s="100"/>
      <c r="I4758" s="100"/>
      <c r="J4758" s="100"/>
      <c r="K4758" s="100"/>
      <c r="L4758" s="100"/>
      <c r="M4758" s="100"/>
      <c r="N4758" s="100"/>
      <c r="O4758" s="100"/>
      <c r="P4758" s="100"/>
      <c r="Q4758" s="100"/>
      <c r="R4758" s="100"/>
      <c r="S4758" s="100"/>
      <c r="T4758" s="100"/>
      <c r="U4758" s="100"/>
      <c r="V4758" s="100"/>
      <c r="W4758" s="100"/>
      <c r="X4758" s="100"/>
      <c r="Y4758" s="100"/>
      <c r="Z4758" s="100"/>
    </row>
    <row r="4759" spans="1:26">
      <c r="A4759" s="100"/>
      <c r="B4759" s="100"/>
      <c r="C4759" s="100"/>
      <c r="D4759" s="100"/>
      <c r="E4759" s="100"/>
      <c r="F4759" s="100"/>
      <c r="G4759" s="100"/>
      <c r="H4759" s="100"/>
      <c r="I4759" s="100"/>
      <c r="J4759" s="100"/>
      <c r="K4759" s="100"/>
      <c r="L4759" s="100"/>
      <c r="M4759" s="100"/>
      <c r="N4759" s="100"/>
      <c r="O4759" s="100"/>
      <c r="P4759" s="100"/>
      <c r="Q4759" s="100"/>
      <c r="R4759" s="100"/>
      <c r="S4759" s="100"/>
      <c r="T4759" s="100"/>
      <c r="U4759" s="100"/>
      <c r="V4759" s="100"/>
      <c r="W4759" s="100"/>
      <c r="X4759" s="100"/>
      <c r="Y4759" s="100"/>
      <c r="Z4759" s="100"/>
    </row>
    <row r="4760" spans="1:26">
      <c r="A4760" s="100"/>
      <c r="B4760" s="100"/>
      <c r="C4760" s="100"/>
      <c r="D4760" s="100"/>
      <c r="E4760" s="100"/>
      <c r="F4760" s="100"/>
      <c r="G4760" s="100"/>
      <c r="H4760" s="100"/>
      <c r="I4760" s="100"/>
      <c r="J4760" s="100"/>
      <c r="K4760" s="100"/>
      <c r="L4760" s="100"/>
      <c r="M4760" s="100"/>
      <c r="N4760" s="100"/>
      <c r="O4760" s="100"/>
      <c r="P4760" s="100"/>
      <c r="Q4760" s="100"/>
      <c r="R4760" s="100"/>
      <c r="S4760" s="100"/>
      <c r="T4760" s="100"/>
      <c r="U4760" s="100"/>
      <c r="V4760" s="100"/>
      <c r="W4760" s="100"/>
      <c r="X4760" s="100"/>
      <c r="Y4760" s="100"/>
      <c r="Z4760" s="100"/>
    </row>
    <row r="4761" spans="1:26">
      <c r="A4761" s="100"/>
      <c r="B4761" s="100"/>
      <c r="C4761" s="100"/>
      <c r="D4761" s="100"/>
      <c r="E4761" s="100"/>
      <c r="F4761" s="100"/>
      <c r="G4761" s="100"/>
      <c r="H4761" s="100"/>
      <c r="I4761" s="100"/>
      <c r="J4761" s="100"/>
      <c r="K4761" s="100"/>
      <c r="L4761" s="100"/>
      <c r="M4761" s="100"/>
      <c r="N4761" s="100"/>
      <c r="O4761" s="100"/>
      <c r="P4761" s="100"/>
      <c r="Q4761" s="100"/>
      <c r="R4761" s="100"/>
      <c r="S4761" s="100"/>
      <c r="T4761" s="100"/>
      <c r="U4761" s="100"/>
      <c r="V4761" s="100"/>
      <c r="W4761" s="100"/>
      <c r="X4761" s="100"/>
      <c r="Y4761" s="100"/>
      <c r="Z4761" s="100"/>
    </row>
    <row r="4762" spans="1:26">
      <c r="A4762" s="100"/>
      <c r="B4762" s="100"/>
      <c r="C4762" s="100"/>
      <c r="D4762" s="100"/>
      <c r="E4762" s="100"/>
      <c r="F4762" s="100"/>
      <c r="G4762" s="100"/>
      <c r="H4762" s="100"/>
      <c r="I4762" s="100"/>
      <c r="J4762" s="100"/>
      <c r="K4762" s="100"/>
      <c r="L4762" s="100"/>
      <c r="M4762" s="100"/>
      <c r="N4762" s="100"/>
      <c r="O4762" s="100"/>
      <c r="P4762" s="100"/>
      <c r="Q4762" s="100"/>
      <c r="R4762" s="100"/>
      <c r="S4762" s="100"/>
      <c r="T4762" s="100"/>
      <c r="U4762" s="100"/>
      <c r="V4762" s="100"/>
      <c r="W4762" s="100"/>
      <c r="X4762" s="100"/>
      <c r="Y4762" s="100"/>
      <c r="Z4762" s="100"/>
    </row>
    <row r="4763" spans="1:26">
      <c r="A4763" s="100"/>
      <c r="B4763" s="100"/>
      <c r="C4763" s="100"/>
      <c r="D4763" s="100"/>
      <c r="E4763" s="100"/>
      <c r="F4763" s="100"/>
      <c r="G4763" s="100"/>
      <c r="H4763" s="100"/>
      <c r="I4763" s="100"/>
      <c r="J4763" s="100"/>
      <c r="K4763" s="100"/>
      <c r="L4763" s="100"/>
      <c r="M4763" s="100"/>
      <c r="N4763" s="100"/>
      <c r="O4763" s="100"/>
      <c r="P4763" s="100"/>
      <c r="Q4763" s="100"/>
      <c r="R4763" s="100"/>
      <c r="S4763" s="100"/>
      <c r="T4763" s="100"/>
      <c r="U4763" s="100"/>
      <c r="V4763" s="100"/>
      <c r="W4763" s="100"/>
      <c r="X4763" s="100"/>
      <c r="Y4763" s="100"/>
      <c r="Z4763" s="100"/>
    </row>
    <row r="4764" spans="1:26">
      <c r="A4764" s="100"/>
      <c r="B4764" s="100"/>
      <c r="C4764" s="100"/>
      <c r="D4764" s="100"/>
      <c r="E4764" s="100"/>
      <c r="F4764" s="100"/>
      <c r="G4764" s="100"/>
      <c r="H4764" s="100"/>
      <c r="I4764" s="100"/>
      <c r="J4764" s="100"/>
      <c r="K4764" s="100"/>
      <c r="L4764" s="100"/>
      <c r="M4764" s="100"/>
      <c r="N4764" s="100"/>
      <c r="O4764" s="100"/>
      <c r="P4764" s="100"/>
      <c r="Q4764" s="100"/>
      <c r="R4764" s="100"/>
      <c r="S4764" s="100"/>
      <c r="T4764" s="100"/>
      <c r="U4764" s="100"/>
      <c r="V4764" s="100"/>
      <c r="W4764" s="100"/>
      <c r="X4764" s="100"/>
      <c r="Y4764" s="100"/>
      <c r="Z4764" s="100"/>
    </row>
    <row r="4765" spans="1:26">
      <c r="A4765" s="100"/>
      <c r="B4765" s="100"/>
      <c r="C4765" s="100"/>
      <c r="D4765" s="100"/>
      <c r="E4765" s="100"/>
      <c r="F4765" s="100"/>
      <c r="G4765" s="100"/>
      <c r="H4765" s="100"/>
      <c r="I4765" s="100"/>
      <c r="J4765" s="100"/>
      <c r="K4765" s="100"/>
      <c r="L4765" s="100"/>
      <c r="M4765" s="100"/>
      <c r="N4765" s="100"/>
      <c r="O4765" s="100"/>
      <c r="P4765" s="100"/>
      <c r="Q4765" s="100"/>
      <c r="R4765" s="100"/>
      <c r="S4765" s="100"/>
      <c r="T4765" s="100"/>
      <c r="U4765" s="100"/>
      <c r="V4765" s="100"/>
      <c r="W4765" s="100"/>
      <c r="X4765" s="100"/>
      <c r="Y4765" s="100"/>
      <c r="Z4765" s="100"/>
    </row>
    <row r="4766" spans="1:26">
      <c r="A4766" s="100"/>
      <c r="B4766" s="100"/>
      <c r="C4766" s="100"/>
      <c r="D4766" s="100"/>
      <c r="E4766" s="100"/>
      <c r="F4766" s="100"/>
      <c r="G4766" s="100"/>
      <c r="H4766" s="100"/>
      <c r="I4766" s="100"/>
      <c r="J4766" s="100"/>
      <c r="K4766" s="100"/>
      <c r="L4766" s="100"/>
      <c r="M4766" s="100"/>
      <c r="N4766" s="100"/>
      <c r="O4766" s="100"/>
      <c r="P4766" s="100"/>
      <c r="Q4766" s="100"/>
      <c r="R4766" s="100"/>
      <c r="S4766" s="100"/>
      <c r="T4766" s="100"/>
      <c r="U4766" s="100"/>
      <c r="V4766" s="100"/>
      <c r="W4766" s="100"/>
      <c r="X4766" s="100"/>
      <c r="Y4766" s="100"/>
      <c r="Z4766" s="100"/>
    </row>
    <row r="4767" spans="1:26">
      <c r="A4767" s="100"/>
      <c r="B4767" s="100"/>
      <c r="C4767" s="100"/>
      <c r="D4767" s="100"/>
      <c r="E4767" s="100"/>
      <c r="F4767" s="100"/>
      <c r="G4767" s="100"/>
      <c r="H4767" s="100"/>
      <c r="I4767" s="100"/>
      <c r="J4767" s="100"/>
      <c r="K4767" s="100"/>
      <c r="L4767" s="100"/>
      <c r="M4767" s="100"/>
      <c r="N4767" s="100"/>
      <c r="O4767" s="100"/>
      <c r="P4767" s="100"/>
      <c r="Q4767" s="100"/>
      <c r="R4767" s="100"/>
      <c r="S4767" s="100"/>
      <c r="T4767" s="100"/>
      <c r="U4767" s="100"/>
      <c r="V4767" s="100"/>
      <c r="W4767" s="100"/>
      <c r="X4767" s="100"/>
      <c r="Y4767" s="100"/>
      <c r="Z4767" s="100"/>
    </row>
    <row r="4768" spans="1:26">
      <c r="A4768" s="100"/>
      <c r="B4768" s="100"/>
      <c r="C4768" s="100"/>
      <c r="D4768" s="100"/>
      <c r="E4768" s="100"/>
      <c r="F4768" s="100"/>
      <c r="G4768" s="100"/>
      <c r="H4768" s="100"/>
      <c r="I4768" s="100"/>
      <c r="J4768" s="100"/>
      <c r="K4768" s="100"/>
      <c r="L4768" s="100"/>
      <c r="M4768" s="100"/>
      <c r="N4768" s="100"/>
      <c r="O4768" s="100"/>
      <c r="P4768" s="100"/>
      <c r="Q4768" s="100"/>
      <c r="R4768" s="100"/>
      <c r="S4768" s="100"/>
      <c r="T4768" s="100"/>
      <c r="U4768" s="100"/>
      <c r="V4768" s="100"/>
      <c r="W4768" s="100"/>
      <c r="X4768" s="100"/>
      <c r="Y4768" s="100"/>
      <c r="Z4768" s="100"/>
    </row>
    <row r="4769" spans="1:26">
      <c r="A4769" s="100"/>
      <c r="B4769" s="100"/>
      <c r="C4769" s="100"/>
      <c r="D4769" s="100"/>
      <c r="E4769" s="100"/>
      <c r="F4769" s="100"/>
      <c r="G4769" s="100"/>
      <c r="H4769" s="100"/>
      <c r="I4769" s="100"/>
      <c r="J4769" s="100"/>
      <c r="K4769" s="100"/>
      <c r="L4769" s="100"/>
      <c r="M4769" s="100"/>
      <c r="N4769" s="100"/>
      <c r="O4769" s="100"/>
      <c r="P4769" s="100"/>
      <c r="Q4769" s="100"/>
      <c r="R4769" s="100"/>
      <c r="S4769" s="100"/>
      <c r="T4769" s="100"/>
      <c r="U4769" s="100"/>
      <c r="V4769" s="100"/>
      <c r="W4769" s="100"/>
      <c r="X4769" s="100"/>
      <c r="Y4769" s="100"/>
      <c r="Z4769" s="100"/>
    </row>
    <row r="4770" spans="1:26">
      <c r="A4770" s="100"/>
      <c r="B4770" s="100"/>
      <c r="C4770" s="100"/>
      <c r="D4770" s="100"/>
      <c r="E4770" s="100"/>
      <c r="F4770" s="100"/>
      <c r="G4770" s="100"/>
      <c r="H4770" s="100"/>
      <c r="I4770" s="100"/>
      <c r="J4770" s="100"/>
      <c r="K4770" s="100"/>
      <c r="L4770" s="100"/>
      <c r="M4770" s="100"/>
      <c r="N4770" s="100"/>
      <c r="O4770" s="100"/>
      <c r="P4770" s="100"/>
      <c r="Q4770" s="100"/>
      <c r="R4770" s="100"/>
      <c r="S4770" s="100"/>
      <c r="T4770" s="100"/>
      <c r="U4770" s="100"/>
      <c r="V4770" s="100"/>
      <c r="W4770" s="100"/>
      <c r="X4770" s="100"/>
      <c r="Y4770" s="100"/>
      <c r="Z4770" s="100"/>
    </row>
    <row r="4771" spans="1:26">
      <c r="A4771" s="100"/>
      <c r="B4771" s="100"/>
      <c r="C4771" s="100"/>
      <c r="D4771" s="100"/>
      <c r="E4771" s="100"/>
      <c r="F4771" s="100"/>
      <c r="G4771" s="100"/>
      <c r="H4771" s="100"/>
      <c r="I4771" s="100"/>
      <c r="J4771" s="100"/>
      <c r="K4771" s="100"/>
      <c r="L4771" s="100"/>
      <c r="M4771" s="100"/>
      <c r="N4771" s="100"/>
      <c r="O4771" s="100"/>
      <c r="P4771" s="100"/>
      <c r="Q4771" s="100"/>
      <c r="R4771" s="100"/>
      <c r="S4771" s="100"/>
      <c r="T4771" s="100"/>
      <c r="U4771" s="100"/>
      <c r="V4771" s="100"/>
      <c r="W4771" s="100"/>
      <c r="X4771" s="100"/>
      <c r="Y4771" s="100"/>
      <c r="Z4771" s="100"/>
    </row>
    <row r="4772" spans="1:26">
      <c r="A4772" s="100"/>
      <c r="B4772" s="100"/>
      <c r="C4772" s="100"/>
      <c r="D4772" s="100"/>
      <c r="E4772" s="100"/>
      <c r="F4772" s="100"/>
      <c r="G4772" s="100"/>
      <c r="H4772" s="100"/>
      <c r="I4772" s="100"/>
      <c r="J4772" s="100"/>
      <c r="K4772" s="100"/>
      <c r="L4772" s="100"/>
      <c r="M4772" s="100"/>
      <c r="N4772" s="100"/>
      <c r="O4772" s="100"/>
      <c r="P4772" s="100"/>
      <c r="Q4772" s="100"/>
      <c r="R4772" s="100"/>
      <c r="S4772" s="100"/>
      <c r="T4772" s="100"/>
      <c r="U4772" s="100"/>
      <c r="V4772" s="100"/>
      <c r="W4772" s="100"/>
      <c r="X4772" s="100"/>
      <c r="Y4772" s="100"/>
      <c r="Z4772" s="100"/>
    </row>
    <row r="4773" spans="1:26">
      <c r="A4773" s="100"/>
      <c r="B4773" s="100"/>
      <c r="C4773" s="100"/>
      <c r="D4773" s="100"/>
      <c r="E4773" s="100"/>
      <c r="F4773" s="100"/>
      <c r="G4773" s="100"/>
      <c r="H4773" s="100"/>
      <c r="I4773" s="100"/>
      <c r="J4773" s="100"/>
      <c r="K4773" s="100"/>
      <c r="L4773" s="100"/>
      <c r="M4773" s="100"/>
      <c r="N4773" s="100"/>
      <c r="O4773" s="100"/>
      <c r="P4773" s="100"/>
      <c r="Q4773" s="100"/>
      <c r="R4773" s="100"/>
      <c r="S4773" s="100"/>
      <c r="T4773" s="100"/>
      <c r="U4773" s="100"/>
      <c r="V4773" s="100"/>
      <c r="W4773" s="100"/>
      <c r="X4773" s="100"/>
      <c r="Y4773" s="100"/>
      <c r="Z4773" s="100"/>
    </row>
    <row r="4774" spans="1:26">
      <c r="A4774" s="100"/>
      <c r="B4774" s="100"/>
      <c r="C4774" s="100"/>
      <c r="D4774" s="100"/>
      <c r="E4774" s="100"/>
      <c r="F4774" s="100"/>
      <c r="G4774" s="100"/>
      <c r="H4774" s="100"/>
      <c r="I4774" s="100"/>
      <c r="J4774" s="100"/>
      <c r="K4774" s="100"/>
      <c r="L4774" s="100"/>
      <c r="M4774" s="100"/>
      <c r="N4774" s="100"/>
      <c r="O4774" s="100"/>
      <c r="P4774" s="100"/>
      <c r="Q4774" s="100"/>
      <c r="R4774" s="100"/>
      <c r="S4774" s="100"/>
      <c r="T4774" s="100"/>
      <c r="U4774" s="100"/>
      <c r="V4774" s="100"/>
      <c r="W4774" s="100"/>
      <c r="X4774" s="100"/>
      <c r="Y4774" s="100"/>
      <c r="Z4774" s="100"/>
    </row>
    <row r="4775" spans="1:26">
      <c r="A4775" s="100"/>
      <c r="B4775" s="100"/>
      <c r="C4775" s="100"/>
      <c r="D4775" s="100"/>
      <c r="E4775" s="100"/>
      <c r="F4775" s="100"/>
      <c r="G4775" s="100"/>
      <c r="H4775" s="100"/>
      <c r="I4775" s="100"/>
      <c r="J4775" s="100"/>
      <c r="K4775" s="100"/>
      <c r="L4775" s="100"/>
      <c r="M4775" s="100"/>
      <c r="N4775" s="100"/>
      <c r="O4775" s="100"/>
      <c r="P4775" s="100"/>
      <c r="Q4775" s="100"/>
      <c r="R4775" s="100"/>
      <c r="S4775" s="100"/>
      <c r="T4775" s="100"/>
      <c r="U4775" s="100"/>
      <c r="V4775" s="100"/>
      <c r="W4775" s="100"/>
      <c r="X4775" s="100"/>
      <c r="Y4775" s="100"/>
      <c r="Z4775" s="100"/>
    </row>
    <row r="4776" spans="1:26">
      <c r="A4776" s="100"/>
      <c r="B4776" s="100"/>
      <c r="C4776" s="100"/>
      <c r="D4776" s="100"/>
      <c r="E4776" s="100"/>
      <c r="F4776" s="100"/>
      <c r="G4776" s="100"/>
      <c r="H4776" s="100"/>
      <c r="I4776" s="100"/>
      <c r="J4776" s="100"/>
      <c r="K4776" s="100"/>
      <c r="L4776" s="100"/>
      <c r="M4776" s="100"/>
      <c r="N4776" s="100"/>
      <c r="O4776" s="100"/>
      <c r="P4776" s="100"/>
      <c r="Q4776" s="100"/>
      <c r="R4776" s="100"/>
      <c r="S4776" s="100"/>
      <c r="T4776" s="100"/>
      <c r="U4776" s="100"/>
      <c r="V4776" s="100"/>
      <c r="W4776" s="100"/>
      <c r="X4776" s="100"/>
      <c r="Y4776" s="100"/>
      <c r="Z4776" s="100"/>
    </row>
    <row r="4777" spans="1:26">
      <c r="A4777" s="100"/>
      <c r="B4777" s="100"/>
      <c r="C4777" s="100"/>
      <c r="D4777" s="100"/>
      <c r="E4777" s="100"/>
      <c r="F4777" s="100"/>
      <c r="G4777" s="100"/>
      <c r="H4777" s="100"/>
      <c r="I4777" s="100"/>
      <c r="J4777" s="100"/>
      <c r="K4777" s="100"/>
      <c r="L4777" s="100"/>
      <c r="M4777" s="100"/>
      <c r="N4777" s="100"/>
      <c r="O4777" s="100"/>
      <c r="P4777" s="100"/>
      <c r="Q4777" s="100"/>
      <c r="R4777" s="100"/>
      <c r="S4777" s="100"/>
      <c r="T4777" s="100"/>
      <c r="U4777" s="100"/>
      <c r="V4777" s="100"/>
      <c r="W4777" s="100"/>
      <c r="X4777" s="100"/>
      <c r="Y4777" s="100"/>
      <c r="Z4777" s="100"/>
    </row>
    <row r="4778" spans="1:26">
      <c r="A4778" s="100"/>
      <c r="B4778" s="100"/>
      <c r="C4778" s="100"/>
      <c r="D4778" s="100"/>
      <c r="E4778" s="100"/>
      <c r="F4778" s="100"/>
      <c r="G4778" s="100"/>
      <c r="H4778" s="100"/>
      <c r="I4778" s="100"/>
      <c r="J4778" s="100"/>
      <c r="K4778" s="100"/>
      <c r="L4778" s="100"/>
      <c r="M4778" s="100"/>
      <c r="N4778" s="100"/>
      <c r="O4778" s="100"/>
      <c r="P4778" s="100"/>
      <c r="Q4778" s="100"/>
      <c r="R4778" s="100"/>
      <c r="S4778" s="100"/>
      <c r="T4778" s="100"/>
      <c r="U4778" s="100"/>
      <c r="V4778" s="100"/>
      <c r="W4778" s="100"/>
      <c r="X4778" s="100"/>
      <c r="Y4778" s="100"/>
      <c r="Z4778" s="100"/>
    </row>
    <row r="4779" spans="1:26">
      <c r="A4779" s="100"/>
      <c r="B4779" s="100"/>
      <c r="C4779" s="100"/>
      <c r="D4779" s="100"/>
      <c r="E4779" s="100"/>
      <c r="F4779" s="100"/>
      <c r="G4779" s="100"/>
      <c r="H4779" s="100"/>
      <c r="I4779" s="100"/>
      <c r="J4779" s="100"/>
      <c r="K4779" s="100"/>
      <c r="L4779" s="100"/>
      <c r="M4779" s="100"/>
      <c r="N4779" s="100"/>
      <c r="O4779" s="100"/>
      <c r="P4779" s="100"/>
      <c r="Q4779" s="100"/>
      <c r="R4779" s="100"/>
      <c r="S4779" s="100"/>
      <c r="T4779" s="100"/>
      <c r="U4779" s="100"/>
      <c r="V4779" s="100"/>
      <c r="W4779" s="100"/>
      <c r="X4779" s="100"/>
      <c r="Y4779" s="100"/>
      <c r="Z4779" s="100"/>
    </row>
    <row r="4780" spans="1:26">
      <c r="A4780" s="100"/>
      <c r="B4780" s="100"/>
      <c r="C4780" s="100"/>
      <c r="D4780" s="100"/>
      <c r="E4780" s="100"/>
      <c r="F4780" s="100"/>
      <c r="G4780" s="100"/>
      <c r="H4780" s="100"/>
      <c r="I4780" s="100"/>
      <c r="J4780" s="100"/>
      <c r="K4780" s="100"/>
      <c r="L4780" s="100"/>
      <c r="M4780" s="100"/>
      <c r="N4780" s="100"/>
      <c r="O4780" s="100"/>
      <c r="P4780" s="100"/>
      <c r="Q4780" s="100"/>
      <c r="R4780" s="100"/>
      <c r="S4780" s="100"/>
      <c r="T4780" s="100"/>
      <c r="U4780" s="100"/>
      <c r="V4780" s="100"/>
      <c r="W4780" s="100"/>
      <c r="X4780" s="100"/>
      <c r="Y4780" s="100"/>
      <c r="Z4780" s="100"/>
    </row>
    <row r="4781" spans="1:26">
      <c r="A4781" s="100"/>
      <c r="B4781" s="100"/>
      <c r="C4781" s="100"/>
      <c r="D4781" s="100"/>
      <c r="E4781" s="100"/>
      <c r="F4781" s="100"/>
      <c r="G4781" s="100"/>
      <c r="H4781" s="100"/>
      <c r="I4781" s="100"/>
      <c r="J4781" s="100"/>
      <c r="K4781" s="100"/>
      <c r="L4781" s="100"/>
      <c r="M4781" s="100"/>
      <c r="N4781" s="100"/>
      <c r="O4781" s="100"/>
      <c r="P4781" s="100"/>
      <c r="Q4781" s="100"/>
      <c r="R4781" s="100"/>
      <c r="S4781" s="100"/>
      <c r="T4781" s="100"/>
      <c r="U4781" s="100"/>
      <c r="V4781" s="100"/>
      <c r="W4781" s="100"/>
      <c r="X4781" s="100"/>
      <c r="Y4781" s="100"/>
      <c r="Z4781" s="100"/>
    </row>
    <row r="4782" spans="1:26">
      <c r="A4782" s="100"/>
      <c r="B4782" s="100"/>
      <c r="C4782" s="100"/>
      <c r="D4782" s="100"/>
      <c r="E4782" s="100"/>
      <c r="F4782" s="100"/>
      <c r="G4782" s="100"/>
      <c r="H4782" s="100"/>
      <c r="I4782" s="100"/>
      <c r="J4782" s="100"/>
      <c r="K4782" s="100"/>
      <c r="L4782" s="100"/>
      <c r="M4782" s="100"/>
      <c r="N4782" s="100"/>
      <c r="O4782" s="100"/>
      <c r="P4782" s="100"/>
      <c r="Q4782" s="100"/>
      <c r="R4782" s="100"/>
      <c r="S4782" s="100"/>
      <c r="T4782" s="100"/>
      <c r="U4782" s="100"/>
      <c r="V4782" s="100"/>
      <c r="W4782" s="100"/>
      <c r="X4782" s="100"/>
      <c r="Y4782" s="100"/>
      <c r="Z4782" s="100"/>
    </row>
    <row r="4783" spans="1:26">
      <c r="A4783" s="100"/>
      <c r="B4783" s="100"/>
      <c r="C4783" s="100"/>
      <c r="D4783" s="100"/>
      <c r="E4783" s="100"/>
      <c r="F4783" s="100"/>
      <c r="G4783" s="100"/>
      <c r="H4783" s="100"/>
      <c r="I4783" s="100"/>
      <c r="J4783" s="100"/>
      <c r="K4783" s="100"/>
      <c r="L4783" s="100"/>
      <c r="M4783" s="100"/>
      <c r="N4783" s="100"/>
      <c r="O4783" s="100"/>
      <c r="P4783" s="100"/>
      <c r="Q4783" s="100"/>
      <c r="R4783" s="100"/>
      <c r="S4783" s="100"/>
      <c r="T4783" s="100"/>
      <c r="U4783" s="100"/>
      <c r="V4783" s="100"/>
      <c r="W4783" s="100"/>
      <c r="X4783" s="100"/>
      <c r="Y4783" s="100"/>
      <c r="Z4783" s="100"/>
    </row>
    <row r="4784" spans="1:26">
      <c r="A4784" s="100"/>
      <c r="B4784" s="100"/>
      <c r="C4784" s="100"/>
      <c r="D4784" s="100"/>
      <c r="E4784" s="100"/>
      <c r="F4784" s="100"/>
      <c r="G4784" s="100"/>
      <c r="H4784" s="100"/>
      <c r="I4784" s="100"/>
      <c r="J4784" s="100"/>
      <c r="K4784" s="100"/>
      <c r="L4784" s="100"/>
      <c r="M4784" s="100"/>
      <c r="N4784" s="100"/>
      <c r="O4784" s="100"/>
      <c r="P4784" s="100"/>
      <c r="Q4784" s="100"/>
      <c r="R4784" s="100"/>
      <c r="S4784" s="100"/>
      <c r="T4784" s="100"/>
      <c r="U4784" s="100"/>
      <c r="V4784" s="100"/>
      <c r="W4784" s="100"/>
      <c r="X4784" s="100"/>
      <c r="Y4784" s="100"/>
      <c r="Z4784" s="100"/>
    </row>
    <row r="4785" spans="1:26">
      <c r="A4785" s="100"/>
      <c r="B4785" s="100"/>
      <c r="C4785" s="100"/>
      <c r="D4785" s="100"/>
      <c r="E4785" s="100"/>
      <c r="F4785" s="100"/>
      <c r="G4785" s="100"/>
      <c r="H4785" s="100"/>
      <c r="I4785" s="100"/>
      <c r="J4785" s="100"/>
      <c r="K4785" s="100"/>
      <c r="L4785" s="100"/>
      <c r="M4785" s="100"/>
      <c r="N4785" s="100"/>
      <c r="O4785" s="100"/>
      <c r="P4785" s="100"/>
      <c r="Q4785" s="100"/>
      <c r="R4785" s="100"/>
      <c r="S4785" s="100"/>
      <c r="T4785" s="100"/>
      <c r="U4785" s="100"/>
      <c r="V4785" s="100"/>
      <c r="W4785" s="100"/>
      <c r="X4785" s="100"/>
      <c r="Y4785" s="100"/>
      <c r="Z4785" s="100"/>
    </row>
    <row r="4786" spans="1:26">
      <c r="A4786" s="100"/>
      <c r="B4786" s="100"/>
      <c r="C4786" s="100"/>
      <c r="D4786" s="100"/>
      <c r="E4786" s="100"/>
      <c r="F4786" s="100"/>
      <c r="G4786" s="100"/>
      <c r="H4786" s="100"/>
      <c r="I4786" s="100"/>
      <c r="J4786" s="100"/>
      <c r="K4786" s="100"/>
      <c r="L4786" s="100"/>
      <c r="M4786" s="100"/>
      <c r="N4786" s="100"/>
      <c r="O4786" s="100"/>
      <c r="P4786" s="100"/>
      <c r="Q4786" s="100"/>
      <c r="R4786" s="100"/>
      <c r="S4786" s="100"/>
      <c r="T4786" s="100"/>
      <c r="U4786" s="100"/>
      <c r="V4786" s="100"/>
      <c r="W4786" s="100"/>
      <c r="X4786" s="100"/>
      <c r="Y4786" s="100"/>
      <c r="Z4786" s="100"/>
    </row>
    <row r="4787" spans="1:26">
      <c r="A4787" s="100"/>
      <c r="B4787" s="100"/>
      <c r="C4787" s="100"/>
      <c r="D4787" s="100"/>
      <c r="E4787" s="100"/>
      <c r="F4787" s="100"/>
      <c r="G4787" s="100"/>
      <c r="H4787" s="100"/>
      <c r="I4787" s="100"/>
      <c r="J4787" s="100"/>
      <c r="K4787" s="100"/>
      <c r="L4787" s="100"/>
      <c r="M4787" s="100"/>
      <c r="N4787" s="100"/>
      <c r="O4787" s="100"/>
      <c r="P4787" s="100"/>
      <c r="Q4787" s="100"/>
      <c r="R4787" s="100"/>
      <c r="S4787" s="100"/>
      <c r="T4787" s="100"/>
      <c r="U4787" s="100"/>
      <c r="V4787" s="100"/>
      <c r="W4787" s="100"/>
      <c r="X4787" s="100"/>
      <c r="Y4787" s="100"/>
      <c r="Z4787" s="100"/>
    </row>
    <row r="4788" spans="1:26">
      <c r="A4788" s="100"/>
      <c r="B4788" s="100"/>
      <c r="C4788" s="100"/>
      <c r="D4788" s="100"/>
      <c r="E4788" s="100"/>
      <c r="F4788" s="100"/>
      <c r="G4788" s="100"/>
      <c r="H4788" s="100"/>
      <c r="I4788" s="100"/>
      <c r="J4788" s="100"/>
      <c r="K4788" s="100"/>
      <c r="L4788" s="100"/>
      <c r="M4788" s="100"/>
      <c r="N4788" s="100"/>
      <c r="O4788" s="100"/>
      <c r="P4788" s="100"/>
      <c r="Q4788" s="100"/>
      <c r="R4788" s="100"/>
      <c r="S4788" s="100"/>
      <c r="T4788" s="100"/>
      <c r="U4788" s="100"/>
      <c r="V4788" s="100"/>
      <c r="W4788" s="100"/>
      <c r="X4788" s="100"/>
      <c r="Y4788" s="100"/>
      <c r="Z4788" s="100"/>
    </row>
    <row r="4789" spans="1:26">
      <c r="A4789" s="100"/>
      <c r="B4789" s="100"/>
      <c r="C4789" s="100"/>
      <c r="D4789" s="100"/>
      <c r="E4789" s="100"/>
      <c r="F4789" s="100"/>
      <c r="G4789" s="100"/>
      <c r="H4789" s="100"/>
      <c r="I4789" s="100"/>
      <c r="J4789" s="100"/>
      <c r="K4789" s="100"/>
      <c r="L4789" s="100"/>
      <c r="M4789" s="100"/>
      <c r="N4789" s="100"/>
      <c r="O4789" s="100"/>
      <c r="P4789" s="100"/>
      <c r="Q4789" s="100"/>
      <c r="R4789" s="100"/>
      <c r="S4789" s="100"/>
      <c r="T4789" s="100"/>
      <c r="U4789" s="100"/>
      <c r="V4789" s="100"/>
      <c r="W4789" s="100"/>
      <c r="X4789" s="100"/>
      <c r="Y4789" s="100"/>
      <c r="Z4789" s="100"/>
    </row>
    <row r="4790" spans="1:26">
      <c r="A4790" s="100"/>
      <c r="B4790" s="100"/>
      <c r="C4790" s="100"/>
      <c r="D4790" s="100"/>
      <c r="E4790" s="100"/>
      <c r="F4790" s="100"/>
      <c r="G4790" s="100"/>
      <c r="H4790" s="100"/>
      <c r="I4790" s="100"/>
      <c r="J4790" s="100"/>
      <c r="K4790" s="100"/>
      <c r="L4790" s="100"/>
      <c r="M4790" s="100"/>
      <c r="N4790" s="100"/>
      <c r="O4790" s="100"/>
      <c r="P4790" s="100"/>
      <c r="Q4790" s="100"/>
      <c r="R4790" s="100"/>
      <c r="S4790" s="100"/>
      <c r="T4790" s="100"/>
      <c r="U4790" s="100"/>
      <c r="V4790" s="100"/>
      <c r="W4790" s="100"/>
      <c r="X4790" s="100"/>
      <c r="Y4790" s="100"/>
      <c r="Z4790" s="100"/>
    </row>
    <row r="4791" spans="1:26">
      <c r="A4791" s="100"/>
      <c r="B4791" s="100"/>
      <c r="C4791" s="100"/>
      <c r="D4791" s="100"/>
      <c r="E4791" s="100"/>
      <c r="F4791" s="100"/>
      <c r="G4791" s="100"/>
      <c r="H4791" s="100"/>
      <c r="I4791" s="100"/>
      <c r="J4791" s="100"/>
      <c r="K4791" s="100"/>
      <c r="L4791" s="100"/>
      <c r="M4791" s="100"/>
      <c r="N4791" s="100"/>
      <c r="O4791" s="100"/>
      <c r="P4791" s="100"/>
      <c r="Q4791" s="100"/>
      <c r="R4791" s="100"/>
      <c r="S4791" s="100"/>
      <c r="T4791" s="100"/>
      <c r="U4791" s="100"/>
      <c r="V4791" s="100"/>
      <c r="W4791" s="100"/>
      <c r="X4791" s="100"/>
      <c r="Y4791" s="100"/>
      <c r="Z4791" s="100"/>
    </row>
    <row r="4792" spans="1:26">
      <c r="A4792" s="100"/>
      <c r="B4792" s="100"/>
      <c r="C4792" s="100"/>
      <c r="D4792" s="100"/>
      <c r="E4792" s="100"/>
      <c r="F4792" s="100"/>
      <c r="G4792" s="100"/>
      <c r="H4792" s="100"/>
      <c r="I4792" s="100"/>
      <c r="J4792" s="100"/>
      <c r="K4792" s="100"/>
      <c r="L4792" s="100"/>
      <c r="M4792" s="100"/>
      <c r="N4792" s="100"/>
      <c r="O4792" s="100"/>
      <c r="P4792" s="100"/>
      <c r="Q4792" s="100"/>
      <c r="R4792" s="100"/>
      <c r="S4792" s="100"/>
      <c r="T4792" s="100"/>
      <c r="U4792" s="100"/>
      <c r="V4792" s="100"/>
      <c r="W4792" s="100"/>
      <c r="X4792" s="100"/>
      <c r="Y4792" s="100"/>
      <c r="Z4792" s="100"/>
    </row>
    <row r="4793" spans="1:26">
      <c r="A4793" s="100"/>
      <c r="B4793" s="100"/>
      <c r="C4793" s="100"/>
      <c r="D4793" s="100"/>
      <c r="E4793" s="100"/>
      <c r="F4793" s="100"/>
      <c r="G4793" s="100"/>
      <c r="H4793" s="100"/>
      <c r="I4793" s="100"/>
      <c r="J4793" s="100"/>
      <c r="K4793" s="100"/>
      <c r="L4793" s="100"/>
      <c r="M4793" s="100"/>
      <c r="N4793" s="100"/>
      <c r="O4793" s="100"/>
      <c r="P4793" s="100"/>
      <c r="Q4793" s="100"/>
      <c r="R4793" s="100"/>
      <c r="S4793" s="100"/>
      <c r="T4793" s="100"/>
      <c r="U4793" s="100"/>
      <c r="V4793" s="100"/>
      <c r="W4793" s="100"/>
      <c r="X4793" s="100"/>
      <c r="Y4793" s="100"/>
      <c r="Z4793" s="100"/>
    </row>
    <row r="4794" spans="1:26">
      <c r="A4794" s="100"/>
      <c r="B4794" s="100"/>
      <c r="C4794" s="100"/>
      <c r="D4794" s="100"/>
      <c r="E4794" s="100"/>
      <c r="F4794" s="100"/>
      <c r="G4794" s="100"/>
      <c r="H4794" s="100"/>
      <c r="I4794" s="100"/>
      <c r="J4794" s="100"/>
      <c r="K4794" s="100"/>
      <c r="L4794" s="100"/>
      <c r="M4794" s="100"/>
      <c r="N4794" s="100"/>
      <c r="O4794" s="100"/>
      <c r="P4794" s="100"/>
      <c r="Q4794" s="100"/>
      <c r="R4794" s="100"/>
      <c r="S4794" s="100"/>
      <c r="T4794" s="100"/>
      <c r="U4794" s="100"/>
      <c r="V4794" s="100"/>
      <c r="W4794" s="100"/>
      <c r="X4794" s="100"/>
      <c r="Y4794" s="100"/>
      <c r="Z4794" s="100"/>
    </row>
    <row r="4795" spans="1:26">
      <c r="A4795" s="100"/>
      <c r="B4795" s="100"/>
      <c r="C4795" s="100"/>
      <c r="D4795" s="100"/>
      <c r="E4795" s="100"/>
      <c r="F4795" s="100"/>
      <c r="G4795" s="100"/>
      <c r="H4795" s="100"/>
      <c r="I4795" s="100"/>
      <c r="J4795" s="100"/>
      <c r="K4795" s="100"/>
      <c r="L4795" s="100"/>
      <c r="M4795" s="100"/>
      <c r="N4795" s="100"/>
      <c r="O4795" s="100"/>
      <c r="P4795" s="100"/>
      <c r="Q4795" s="100"/>
      <c r="R4795" s="100"/>
      <c r="S4795" s="100"/>
      <c r="T4795" s="100"/>
      <c r="U4795" s="100"/>
      <c r="V4795" s="100"/>
      <c r="W4795" s="100"/>
      <c r="X4795" s="100"/>
      <c r="Y4795" s="100"/>
      <c r="Z4795" s="100"/>
    </row>
    <row r="4796" spans="1:26">
      <c r="A4796" s="100"/>
      <c r="B4796" s="100"/>
      <c r="C4796" s="100"/>
      <c r="D4796" s="100"/>
      <c r="E4796" s="100"/>
      <c r="F4796" s="100"/>
      <c r="G4796" s="100"/>
      <c r="H4796" s="100"/>
      <c r="I4796" s="100"/>
      <c r="J4796" s="100"/>
      <c r="K4796" s="100"/>
      <c r="L4796" s="100"/>
      <c r="M4796" s="100"/>
      <c r="N4796" s="100"/>
      <c r="O4796" s="100"/>
      <c r="P4796" s="100"/>
      <c r="Q4796" s="100"/>
      <c r="R4796" s="100"/>
      <c r="S4796" s="100"/>
      <c r="T4796" s="100"/>
      <c r="U4796" s="100"/>
      <c r="V4796" s="100"/>
      <c r="W4796" s="100"/>
      <c r="X4796" s="100"/>
      <c r="Y4796" s="100"/>
      <c r="Z4796" s="100"/>
    </row>
    <row r="4797" spans="1:26">
      <c r="A4797" s="100"/>
      <c r="B4797" s="100"/>
      <c r="C4797" s="100"/>
      <c r="D4797" s="100"/>
      <c r="E4797" s="100"/>
      <c r="F4797" s="100"/>
      <c r="G4797" s="100"/>
      <c r="H4797" s="100"/>
      <c r="I4797" s="100"/>
      <c r="J4797" s="100"/>
      <c r="K4797" s="100"/>
      <c r="L4797" s="100"/>
      <c r="M4797" s="100"/>
      <c r="N4797" s="100"/>
      <c r="O4797" s="100"/>
      <c r="P4797" s="100"/>
      <c r="Q4797" s="100"/>
      <c r="R4797" s="100"/>
      <c r="S4797" s="100"/>
      <c r="T4797" s="100"/>
      <c r="U4797" s="100"/>
      <c r="V4797" s="100"/>
      <c r="W4797" s="100"/>
      <c r="X4797" s="100"/>
      <c r="Y4797" s="100"/>
      <c r="Z4797" s="100"/>
    </row>
    <row r="4798" spans="1:26">
      <c r="A4798" s="100"/>
      <c r="B4798" s="100"/>
      <c r="C4798" s="100"/>
      <c r="D4798" s="100"/>
      <c r="E4798" s="100"/>
      <c r="F4798" s="100"/>
      <c r="G4798" s="100"/>
      <c r="H4798" s="100"/>
      <c r="I4798" s="100"/>
      <c r="J4798" s="100"/>
      <c r="K4798" s="100"/>
      <c r="L4798" s="100"/>
      <c r="M4798" s="100"/>
      <c r="N4798" s="100"/>
      <c r="O4798" s="100"/>
      <c r="P4798" s="100"/>
      <c r="Q4798" s="100"/>
      <c r="R4798" s="100"/>
      <c r="S4798" s="100"/>
      <c r="T4798" s="100"/>
      <c r="U4798" s="100"/>
      <c r="V4798" s="100"/>
      <c r="W4798" s="100"/>
      <c r="X4798" s="100"/>
      <c r="Y4798" s="100"/>
      <c r="Z4798" s="100"/>
    </row>
    <row r="4799" spans="1:26">
      <c r="A4799" s="100"/>
      <c r="B4799" s="100"/>
      <c r="C4799" s="100"/>
      <c r="D4799" s="100"/>
      <c r="E4799" s="100"/>
      <c r="F4799" s="100"/>
      <c r="G4799" s="100"/>
      <c r="H4799" s="100"/>
      <c r="I4799" s="100"/>
      <c r="J4799" s="100"/>
      <c r="K4799" s="100"/>
      <c r="L4799" s="100"/>
      <c r="M4799" s="100"/>
      <c r="N4799" s="100"/>
      <c r="O4799" s="100"/>
      <c r="P4799" s="100"/>
      <c r="Q4799" s="100"/>
      <c r="R4799" s="100"/>
      <c r="S4799" s="100"/>
      <c r="T4799" s="100"/>
      <c r="U4799" s="100"/>
      <c r="V4799" s="100"/>
      <c r="W4799" s="100"/>
      <c r="X4799" s="100"/>
      <c r="Y4799" s="100"/>
      <c r="Z4799" s="100"/>
    </row>
    <row r="4800" spans="1:26">
      <c r="A4800" s="100"/>
      <c r="B4800" s="100"/>
      <c r="C4800" s="100"/>
      <c r="D4800" s="100"/>
      <c r="E4800" s="100"/>
      <c r="F4800" s="100"/>
      <c r="G4800" s="100"/>
      <c r="H4800" s="100"/>
      <c r="I4800" s="100"/>
      <c r="J4800" s="100"/>
      <c r="K4800" s="100"/>
      <c r="L4800" s="100"/>
      <c r="M4800" s="100"/>
      <c r="N4800" s="100"/>
      <c r="O4800" s="100"/>
      <c r="P4800" s="100"/>
      <c r="Q4800" s="100"/>
      <c r="R4800" s="100"/>
      <c r="S4800" s="100"/>
      <c r="T4800" s="100"/>
      <c r="U4800" s="100"/>
      <c r="V4800" s="100"/>
      <c r="W4800" s="100"/>
      <c r="X4800" s="100"/>
      <c r="Y4800" s="100"/>
      <c r="Z4800" s="100"/>
    </row>
    <row r="4801" spans="1:26">
      <c r="A4801" s="100"/>
      <c r="B4801" s="100"/>
      <c r="C4801" s="100"/>
      <c r="D4801" s="100"/>
      <c r="E4801" s="100"/>
      <c r="F4801" s="100"/>
      <c r="G4801" s="100"/>
      <c r="H4801" s="100"/>
      <c r="I4801" s="100"/>
      <c r="J4801" s="100"/>
      <c r="K4801" s="100"/>
      <c r="L4801" s="100"/>
      <c r="M4801" s="100"/>
      <c r="N4801" s="100"/>
      <c r="O4801" s="100"/>
      <c r="P4801" s="100"/>
      <c r="Q4801" s="100"/>
      <c r="R4801" s="100"/>
      <c r="S4801" s="100"/>
      <c r="T4801" s="100"/>
      <c r="U4801" s="100"/>
      <c r="V4801" s="100"/>
      <c r="W4801" s="100"/>
      <c r="X4801" s="100"/>
      <c r="Y4801" s="100"/>
      <c r="Z4801" s="100"/>
    </row>
    <row r="4802" spans="1:26">
      <c r="A4802" s="100"/>
      <c r="B4802" s="100"/>
      <c r="C4802" s="100"/>
      <c r="D4802" s="100"/>
      <c r="E4802" s="100"/>
      <c r="F4802" s="100"/>
      <c r="G4802" s="100"/>
      <c r="H4802" s="100"/>
      <c r="I4802" s="100"/>
      <c r="J4802" s="100"/>
      <c r="K4802" s="100"/>
      <c r="L4802" s="100"/>
      <c r="M4802" s="100"/>
      <c r="N4802" s="100"/>
      <c r="O4802" s="100"/>
      <c r="P4802" s="100"/>
      <c r="Q4802" s="100"/>
      <c r="R4802" s="100"/>
      <c r="S4802" s="100"/>
      <c r="T4802" s="100"/>
      <c r="U4802" s="100"/>
      <c r="V4802" s="100"/>
      <c r="W4802" s="100"/>
      <c r="X4802" s="100"/>
      <c r="Y4802" s="100"/>
      <c r="Z4802" s="100"/>
    </row>
    <row r="4803" spans="1:26">
      <c r="A4803" s="100"/>
      <c r="B4803" s="100"/>
      <c r="C4803" s="100"/>
      <c r="D4803" s="100"/>
      <c r="E4803" s="100"/>
      <c r="F4803" s="100"/>
      <c r="G4803" s="100"/>
      <c r="H4803" s="100"/>
      <c r="I4803" s="100"/>
      <c r="J4803" s="100"/>
      <c r="K4803" s="100"/>
      <c r="L4803" s="100"/>
      <c r="M4803" s="100"/>
      <c r="N4803" s="100"/>
      <c r="O4803" s="100"/>
      <c r="P4803" s="100"/>
      <c r="Q4803" s="100"/>
      <c r="R4803" s="100"/>
      <c r="S4803" s="100"/>
      <c r="T4803" s="100"/>
      <c r="U4803" s="100"/>
      <c r="V4803" s="100"/>
      <c r="W4803" s="100"/>
      <c r="X4803" s="100"/>
      <c r="Y4803" s="100"/>
      <c r="Z4803" s="100"/>
    </row>
    <row r="4804" spans="1:26">
      <c r="A4804" s="100"/>
      <c r="B4804" s="100"/>
      <c r="C4804" s="100"/>
      <c r="D4804" s="100"/>
      <c r="E4804" s="100"/>
      <c r="F4804" s="100"/>
      <c r="G4804" s="100"/>
      <c r="H4804" s="100"/>
      <c r="I4804" s="100"/>
      <c r="J4804" s="100"/>
      <c r="K4804" s="100"/>
      <c r="L4804" s="100"/>
      <c r="M4804" s="100"/>
      <c r="N4804" s="100"/>
      <c r="O4804" s="100"/>
      <c r="P4804" s="100"/>
      <c r="Q4804" s="100"/>
      <c r="R4804" s="100"/>
      <c r="S4804" s="100"/>
      <c r="T4804" s="100"/>
      <c r="U4804" s="100"/>
      <c r="V4804" s="100"/>
      <c r="W4804" s="100"/>
      <c r="X4804" s="100"/>
      <c r="Y4804" s="100"/>
      <c r="Z4804" s="100"/>
    </row>
    <row r="4805" spans="1:26">
      <c r="A4805" s="100"/>
      <c r="B4805" s="100"/>
      <c r="C4805" s="100"/>
      <c r="D4805" s="100"/>
      <c r="E4805" s="100"/>
      <c r="F4805" s="100"/>
      <c r="G4805" s="100"/>
      <c r="H4805" s="100"/>
      <c r="I4805" s="100"/>
      <c r="J4805" s="100"/>
      <c r="K4805" s="100"/>
      <c r="L4805" s="100"/>
      <c r="M4805" s="100"/>
      <c r="N4805" s="100"/>
      <c r="O4805" s="100"/>
      <c r="P4805" s="100"/>
      <c r="Q4805" s="100"/>
      <c r="R4805" s="100"/>
      <c r="S4805" s="100"/>
      <c r="T4805" s="100"/>
      <c r="U4805" s="100"/>
      <c r="V4805" s="100"/>
      <c r="W4805" s="100"/>
      <c r="X4805" s="100"/>
      <c r="Y4805" s="100"/>
      <c r="Z4805" s="100"/>
    </row>
    <row r="4806" spans="1:26">
      <c r="A4806" s="100"/>
      <c r="B4806" s="100"/>
      <c r="C4806" s="100"/>
      <c r="D4806" s="100"/>
      <c r="E4806" s="100"/>
      <c r="F4806" s="100"/>
      <c r="G4806" s="100"/>
      <c r="H4806" s="100"/>
      <c r="I4806" s="100"/>
      <c r="J4806" s="100"/>
      <c r="K4806" s="100"/>
      <c r="L4806" s="100"/>
      <c r="M4806" s="100"/>
      <c r="N4806" s="100"/>
      <c r="O4806" s="100"/>
      <c r="P4806" s="100"/>
      <c r="Q4806" s="100"/>
      <c r="R4806" s="100"/>
      <c r="S4806" s="100"/>
      <c r="T4806" s="100"/>
      <c r="U4806" s="100"/>
      <c r="V4806" s="100"/>
      <c r="W4806" s="100"/>
      <c r="X4806" s="100"/>
      <c r="Y4806" s="100"/>
      <c r="Z4806" s="100"/>
    </row>
    <row r="4807" spans="1:26">
      <c r="A4807" s="100"/>
      <c r="B4807" s="100"/>
      <c r="C4807" s="100"/>
      <c r="D4807" s="100"/>
      <c r="E4807" s="100"/>
      <c r="F4807" s="100"/>
      <c r="G4807" s="100"/>
      <c r="H4807" s="100"/>
      <c r="I4807" s="100"/>
      <c r="J4807" s="100"/>
      <c r="K4807" s="100"/>
      <c r="L4807" s="100"/>
      <c r="M4807" s="100"/>
      <c r="N4807" s="100"/>
      <c r="O4807" s="100"/>
      <c r="P4807" s="100"/>
      <c r="Q4807" s="100"/>
      <c r="R4807" s="100"/>
      <c r="S4807" s="100"/>
      <c r="T4807" s="100"/>
      <c r="U4807" s="100"/>
      <c r="V4807" s="100"/>
      <c r="W4807" s="100"/>
      <c r="X4807" s="100"/>
      <c r="Y4807" s="100"/>
      <c r="Z4807" s="100"/>
    </row>
    <row r="4808" spans="1:26">
      <c r="A4808" s="100"/>
      <c r="B4808" s="100"/>
      <c r="C4808" s="100"/>
      <c r="D4808" s="100"/>
      <c r="E4808" s="100"/>
      <c r="F4808" s="100"/>
      <c r="G4808" s="100"/>
      <c r="H4808" s="100"/>
      <c r="I4808" s="100"/>
      <c r="J4808" s="100"/>
      <c r="K4808" s="100"/>
      <c r="L4808" s="100"/>
      <c r="M4808" s="100"/>
      <c r="N4808" s="100"/>
      <c r="O4808" s="100"/>
      <c r="P4808" s="100"/>
      <c r="Q4808" s="100"/>
      <c r="R4808" s="100"/>
      <c r="S4808" s="100"/>
      <c r="T4808" s="100"/>
      <c r="U4808" s="100"/>
      <c r="V4808" s="100"/>
      <c r="W4808" s="100"/>
      <c r="X4808" s="100"/>
      <c r="Y4808" s="100"/>
      <c r="Z4808" s="100"/>
    </row>
    <row r="4809" spans="1:26">
      <c r="A4809" s="100"/>
      <c r="B4809" s="100"/>
      <c r="C4809" s="100"/>
      <c r="D4809" s="100"/>
      <c r="E4809" s="100"/>
      <c r="F4809" s="100"/>
      <c r="G4809" s="100"/>
      <c r="H4809" s="100"/>
      <c r="I4809" s="100"/>
      <c r="J4809" s="100"/>
      <c r="K4809" s="100"/>
      <c r="L4809" s="100"/>
      <c r="M4809" s="100"/>
      <c r="N4809" s="100"/>
      <c r="O4809" s="100"/>
      <c r="P4809" s="100"/>
      <c r="Q4809" s="100"/>
      <c r="R4809" s="100"/>
      <c r="S4809" s="100"/>
      <c r="T4809" s="100"/>
      <c r="U4809" s="100"/>
      <c r="V4809" s="100"/>
      <c r="W4809" s="100"/>
      <c r="X4809" s="100"/>
      <c r="Y4809" s="100"/>
      <c r="Z4809" s="100"/>
    </row>
    <row r="4810" spans="1:26">
      <c r="A4810" s="100"/>
      <c r="B4810" s="100"/>
      <c r="C4810" s="100"/>
      <c r="D4810" s="100"/>
      <c r="E4810" s="100"/>
      <c r="F4810" s="100"/>
      <c r="G4810" s="100"/>
      <c r="H4810" s="100"/>
      <c r="I4810" s="100"/>
      <c r="J4810" s="100"/>
      <c r="K4810" s="100"/>
      <c r="L4810" s="100"/>
      <c r="M4810" s="100"/>
      <c r="N4810" s="100"/>
      <c r="O4810" s="100"/>
      <c r="P4810" s="100"/>
      <c r="Q4810" s="100"/>
      <c r="R4810" s="100"/>
      <c r="S4810" s="100"/>
      <c r="T4810" s="100"/>
      <c r="U4810" s="100"/>
      <c r="V4810" s="100"/>
      <c r="W4810" s="100"/>
      <c r="X4810" s="100"/>
      <c r="Y4810" s="100"/>
      <c r="Z4810" s="100"/>
    </row>
    <row r="4811" spans="1:26">
      <c r="A4811" s="100"/>
      <c r="B4811" s="100"/>
      <c r="C4811" s="100"/>
      <c r="D4811" s="100"/>
      <c r="E4811" s="100"/>
      <c r="F4811" s="100"/>
      <c r="G4811" s="100"/>
      <c r="H4811" s="100"/>
      <c r="I4811" s="100"/>
      <c r="J4811" s="100"/>
      <c r="K4811" s="100"/>
      <c r="L4811" s="100"/>
      <c r="M4811" s="100"/>
      <c r="N4811" s="100"/>
      <c r="O4811" s="100"/>
      <c r="P4811" s="100"/>
      <c r="Q4811" s="100"/>
      <c r="R4811" s="100"/>
      <c r="S4811" s="100"/>
      <c r="T4811" s="100"/>
      <c r="U4811" s="100"/>
      <c r="V4811" s="100"/>
      <c r="W4811" s="100"/>
      <c r="X4811" s="100"/>
      <c r="Y4811" s="100"/>
      <c r="Z4811" s="100"/>
    </row>
    <row r="4812" spans="1:26">
      <c r="A4812" s="100"/>
      <c r="B4812" s="100"/>
      <c r="C4812" s="100"/>
      <c r="D4812" s="100"/>
      <c r="E4812" s="100"/>
      <c r="F4812" s="100"/>
      <c r="G4812" s="100"/>
      <c r="H4812" s="100"/>
      <c r="I4812" s="100"/>
      <c r="J4812" s="100"/>
      <c r="K4812" s="100"/>
      <c r="L4812" s="100"/>
      <c r="M4812" s="100"/>
      <c r="N4812" s="100"/>
      <c r="O4812" s="100"/>
      <c r="P4812" s="100"/>
      <c r="Q4812" s="100"/>
      <c r="R4812" s="100"/>
      <c r="S4812" s="100"/>
      <c r="T4812" s="100"/>
      <c r="U4812" s="100"/>
      <c r="V4812" s="100"/>
      <c r="W4812" s="100"/>
      <c r="X4812" s="100"/>
      <c r="Y4812" s="100"/>
      <c r="Z4812" s="100"/>
    </row>
    <row r="4813" spans="1:26">
      <c r="A4813" s="100"/>
      <c r="B4813" s="100"/>
      <c r="C4813" s="100"/>
      <c r="D4813" s="100"/>
      <c r="E4813" s="100"/>
      <c r="F4813" s="100"/>
      <c r="G4813" s="100"/>
      <c r="H4813" s="100"/>
      <c r="I4813" s="100"/>
      <c r="J4813" s="100"/>
      <c r="K4813" s="100"/>
      <c r="L4813" s="100"/>
      <c r="M4813" s="100"/>
      <c r="N4813" s="100"/>
      <c r="O4813" s="100"/>
      <c r="P4813" s="100"/>
      <c r="Q4813" s="100"/>
      <c r="R4813" s="100"/>
      <c r="S4813" s="100"/>
      <c r="T4813" s="100"/>
      <c r="U4813" s="100"/>
      <c r="V4813" s="100"/>
      <c r="W4813" s="100"/>
      <c r="X4813" s="100"/>
      <c r="Y4813" s="100"/>
      <c r="Z4813" s="100"/>
    </row>
    <row r="4814" spans="1:26">
      <c r="A4814" s="100"/>
      <c r="B4814" s="100"/>
      <c r="C4814" s="100"/>
      <c r="D4814" s="100"/>
      <c r="E4814" s="100"/>
      <c r="F4814" s="100"/>
      <c r="G4814" s="100"/>
      <c r="H4814" s="100"/>
      <c r="I4814" s="100"/>
      <c r="J4814" s="100"/>
      <c r="K4814" s="100"/>
      <c r="L4814" s="100"/>
      <c r="M4814" s="100"/>
      <c r="N4814" s="100"/>
      <c r="O4814" s="100"/>
      <c r="P4814" s="100"/>
      <c r="Q4814" s="100"/>
      <c r="R4814" s="100"/>
      <c r="S4814" s="100"/>
      <c r="T4814" s="100"/>
      <c r="U4814" s="100"/>
      <c r="V4814" s="100"/>
      <c r="W4814" s="100"/>
      <c r="X4814" s="100"/>
      <c r="Y4814" s="100"/>
      <c r="Z4814" s="100"/>
    </row>
    <row r="4815" spans="1:26">
      <c r="A4815" s="100"/>
      <c r="B4815" s="100"/>
      <c r="C4815" s="100"/>
      <c r="D4815" s="100"/>
      <c r="E4815" s="100"/>
      <c r="F4815" s="100"/>
      <c r="G4815" s="100"/>
      <c r="H4815" s="100"/>
      <c r="I4815" s="100"/>
      <c r="J4815" s="100"/>
      <c r="K4815" s="100"/>
      <c r="L4815" s="100"/>
      <c r="M4815" s="100"/>
      <c r="N4815" s="100"/>
      <c r="O4815" s="100"/>
      <c r="P4815" s="100"/>
      <c r="Q4815" s="100"/>
      <c r="R4815" s="100"/>
      <c r="S4815" s="100"/>
      <c r="T4815" s="100"/>
      <c r="U4815" s="100"/>
      <c r="V4815" s="100"/>
      <c r="W4815" s="100"/>
      <c r="X4815" s="100"/>
      <c r="Y4815" s="100"/>
      <c r="Z4815" s="100"/>
    </row>
    <row r="4816" spans="1:26">
      <c r="A4816" s="100"/>
      <c r="B4816" s="100"/>
      <c r="C4816" s="100"/>
      <c r="D4816" s="100"/>
      <c r="E4816" s="100"/>
      <c r="F4816" s="100"/>
      <c r="G4816" s="100"/>
      <c r="H4816" s="100"/>
      <c r="I4816" s="100"/>
      <c r="J4816" s="100"/>
      <c r="K4816" s="100"/>
      <c r="L4816" s="100"/>
      <c r="M4816" s="100"/>
      <c r="N4816" s="100"/>
      <c r="O4816" s="100"/>
      <c r="P4816" s="100"/>
      <c r="Q4816" s="100"/>
      <c r="R4816" s="100"/>
      <c r="S4816" s="100"/>
      <c r="T4816" s="100"/>
      <c r="U4816" s="100"/>
      <c r="V4816" s="100"/>
      <c r="W4816" s="100"/>
      <c r="X4816" s="100"/>
      <c r="Y4816" s="100"/>
      <c r="Z4816" s="100"/>
    </row>
    <row r="4817" spans="1:26">
      <c r="A4817" s="100"/>
      <c r="B4817" s="100"/>
      <c r="C4817" s="100"/>
      <c r="D4817" s="100"/>
      <c r="E4817" s="100"/>
      <c r="F4817" s="100"/>
      <c r="G4817" s="100"/>
      <c r="H4817" s="100"/>
      <c r="I4817" s="100"/>
      <c r="J4817" s="100"/>
      <c r="K4817" s="100"/>
      <c r="L4817" s="100"/>
      <c r="M4817" s="100"/>
      <c r="N4817" s="100"/>
      <c r="O4817" s="100"/>
      <c r="P4817" s="100"/>
      <c r="Q4817" s="100"/>
      <c r="R4817" s="100"/>
      <c r="S4817" s="100"/>
      <c r="T4817" s="100"/>
      <c r="U4817" s="100"/>
      <c r="V4817" s="100"/>
      <c r="W4817" s="100"/>
      <c r="X4817" s="100"/>
      <c r="Y4817" s="100"/>
      <c r="Z4817" s="100"/>
    </row>
    <row r="4818" spans="1:26">
      <c r="A4818" s="100"/>
      <c r="B4818" s="100"/>
      <c r="C4818" s="100"/>
      <c r="D4818" s="100"/>
      <c r="E4818" s="100"/>
      <c r="F4818" s="100"/>
      <c r="G4818" s="100"/>
      <c r="H4818" s="100"/>
      <c r="I4818" s="100"/>
      <c r="J4818" s="100"/>
      <c r="K4818" s="100"/>
      <c r="L4818" s="100"/>
      <c r="M4818" s="100"/>
      <c r="N4818" s="100"/>
      <c r="O4818" s="100"/>
      <c r="P4818" s="100"/>
      <c r="Q4818" s="100"/>
      <c r="R4818" s="100"/>
      <c r="S4818" s="100"/>
      <c r="T4818" s="100"/>
      <c r="U4818" s="100"/>
      <c r="V4818" s="100"/>
      <c r="W4818" s="100"/>
      <c r="X4818" s="100"/>
      <c r="Y4818" s="100"/>
      <c r="Z4818" s="100"/>
    </row>
    <row r="4819" spans="1:26">
      <c r="A4819" s="100"/>
      <c r="B4819" s="100"/>
      <c r="C4819" s="100"/>
      <c r="D4819" s="100"/>
      <c r="E4819" s="100"/>
      <c r="F4819" s="100"/>
      <c r="G4819" s="100"/>
      <c r="H4819" s="100"/>
      <c r="I4819" s="100"/>
      <c r="J4819" s="100"/>
      <c r="K4819" s="100"/>
      <c r="L4819" s="100"/>
      <c r="M4819" s="100"/>
      <c r="N4819" s="100"/>
      <c r="O4819" s="100"/>
      <c r="P4819" s="100"/>
      <c r="Q4819" s="100"/>
      <c r="R4819" s="100"/>
      <c r="S4819" s="100"/>
      <c r="T4819" s="100"/>
      <c r="U4819" s="100"/>
      <c r="V4819" s="100"/>
      <c r="W4819" s="100"/>
      <c r="X4819" s="100"/>
      <c r="Y4819" s="100"/>
      <c r="Z4819" s="100"/>
    </row>
    <row r="4820" spans="1:26">
      <c r="A4820" s="100"/>
      <c r="B4820" s="100"/>
      <c r="C4820" s="100"/>
      <c r="D4820" s="100"/>
      <c r="E4820" s="100"/>
      <c r="F4820" s="100"/>
      <c r="G4820" s="100"/>
      <c r="H4820" s="100"/>
      <c r="I4820" s="100"/>
      <c r="J4820" s="100"/>
      <c r="K4820" s="100"/>
      <c r="L4820" s="100"/>
      <c r="M4820" s="100"/>
      <c r="N4820" s="100"/>
      <c r="O4820" s="100"/>
      <c r="P4820" s="100"/>
      <c r="Q4820" s="100"/>
      <c r="R4820" s="100"/>
      <c r="S4820" s="100"/>
      <c r="T4820" s="100"/>
      <c r="U4820" s="100"/>
      <c r="V4820" s="100"/>
      <c r="W4820" s="100"/>
      <c r="X4820" s="100"/>
      <c r="Y4820" s="100"/>
      <c r="Z4820" s="100"/>
    </row>
    <row r="4821" spans="1:26">
      <c r="A4821" s="100"/>
      <c r="B4821" s="100"/>
      <c r="C4821" s="100"/>
      <c r="D4821" s="100"/>
      <c r="E4821" s="100"/>
      <c r="F4821" s="100"/>
      <c r="G4821" s="100"/>
      <c r="H4821" s="100"/>
      <c r="I4821" s="100"/>
      <c r="J4821" s="100"/>
      <c r="K4821" s="100"/>
      <c r="L4821" s="100"/>
      <c r="M4821" s="100"/>
      <c r="N4821" s="100"/>
      <c r="O4821" s="100"/>
      <c r="P4821" s="100"/>
      <c r="Q4821" s="100"/>
      <c r="R4821" s="100"/>
      <c r="S4821" s="100"/>
      <c r="T4821" s="100"/>
      <c r="U4821" s="100"/>
      <c r="V4821" s="100"/>
      <c r="W4821" s="100"/>
      <c r="X4821" s="100"/>
      <c r="Y4821" s="100"/>
      <c r="Z4821" s="100"/>
    </row>
    <row r="4822" spans="1:26">
      <c r="A4822" s="100"/>
      <c r="B4822" s="100"/>
      <c r="C4822" s="100"/>
      <c r="D4822" s="100"/>
      <c r="E4822" s="100"/>
      <c r="F4822" s="100"/>
      <c r="G4822" s="100"/>
      <c r="H4822" s="100"/>
      <c r="I4822" s="100"/>
      <c r="J4822" s="100"/>
      <c r="K4822" s="100"/>
      <c r="L4822" s="100"/>
      <c r="M4822" s="100"/>
      <c r="N4822" s="100"/>
      <c r="O4822" s="100"/>
      <c r="P4822" s="100"/>
      <c r="Q4822" s="100"/>
      <c r="R4822" s="100"/>
      <c r="S4822" s="100"/>
      <c r="T4822" s="100"/>
      <c r="U4822" s="100"/>
      <c r="V4822" s="100"/>
      <c r="W4822" s="100"/>
      <c r="X4822" s="100"/>
      <c r="Y4822" s="100"/>
      <c r="Z4822" s="100"/>
    </row>
    <row r="4823" spans="1:26">
      <c r="A4823" s="100"/>
      <c r="B4823" s="100"/>
      <c r="C4823" s="100"/>
      <c r="D4823" s="100"/>
      <c r="E4823" s="100"/>
      <c r="F4823" s="100"/>
      <c r="G4823" s="100"/>
      <c r="H4823" s="100"/>
      <c r="I4823" s="100"/>
      <c r="J4823" s="100"/>
      <c r="K4823" s="100"/>
      <c r="L4823" s="100"/>
      <c r="M4823" s="100"/>
      <c r="N4823" s="100"/>
      <c r="O4823" s="100"/>
      <c r="P4823" s="100"/>
      <c r="Q4823" s="100"/>
      <c r="R4823" s="100"/>
      <c r="S4823" s="100"/>
      <c r="T4823" s="100"/>
      <c r="U4823" s="100"/>
      <c r="V4823" s="100"/>
      <c r="W4823" s="100"/>
      <c r="X4823" s="100"/>
      <c r="Y4823" s="100"/>
      <c r="Z4823" s="100"/>
    </row>
    <row r="4824" spans="1:26">
      <c r="A4824" s="100"/>
      <c r="B4824" s="100"/>
      <c r="C4824" s="100"/>
      <c r="D4824" s="100"/>
      <c r="E4824" s="100"/>
      <c r="F4824" s="100"/>
      <c r="G4824" s="100"/>
      <c r="H4824" s="100"/>
      <c r="I4824" s="100"/>
      <c r="J4824" s="100"/>
      <c r="K4824" s="100"/>
      <c r="L4824" s="100"/>
      <c r="M4824" s="100"/>
      <c r="N4824" s="100"/>
      <c r="O4824" s="100"/>
      <c r="P4824" s="100"/>
      <c r="Q4824" s="100"/>
      <c r="R4824" s="100"/>
      <c r="S4824" s="100"/>
      <c r="T4824" s="100"/>
      <c r="U4824" s="100"/>
      <c r="V4824" s="100"/>
      <c r="W4824" s="100"/>
      <c r="X4824" s="100"/>
      <c r="Y4824" s="100"/>
      <c r="Z4824" s="100"/>
    </row>
    <row r="4825" spans="1:26">
      <c r="A4825" s="100"/>
      <c r="B4825" s="100"/>
      <c r="C4825" s="100"/>
      <c r="D4825" s="100"/>
      <c r="E4825" s="100"/>
      <c r="F4825" s="100"/>
      <c r="G4825" s="100"/>
      <c r="H4825" s="100"/>
      <c r="I4825" s="100"/>
      <c r="J4825" s="100"/>
      <c r="K4825" s="100"/>
      <c r="L4825" s="100"/>
      <c r="M4825" s="100"/>
      <c r="N4825" s="100"/>
      <c r="O4825" s="100"/>
      <c r="P4825" s="100"/>
      <c r="Q4825" s="100"/>
      <c r="R4825" s="100"/>
      <c r="S4825" s="100"/>
      <c r="T4825" s="100"/>
      <c r="U4825" s="100"/>
      <c r="V4825" s="100"/>
      <c r="W4825" s="100"/>
      <c r="X4825" s="100"/>
      <c r="Y4825" s="100"/>
      <c r="Z4825" s="100"/>
    </row>
    <row r="4826" spans="1:26">
      <c r="A4826" s="100"/>
      <c r="B4826" s="100"/>
      <c r="C4826" s="100"/>
      <c r="D4826" s="100"/>
      <c r="E4826" s="100"/>
      <c r="F4826" s="100"/>
      <c r="G4826" s="100"/>
      <c r="H4826" s="100"/>
      <c r="I4826" s="100"/>
      <c r="J4826" s="100"/>
      <c r="K4826" s="100"/>
      <c r="L4826" s="100"/>
      <c r="M4826" s="100"/>
      <c r="N4826" s="100"/>
      <c r="O4826" s="100"/>
      <c r="P4826" s="100"/>
      <c r="Q4826" s="100"/>
      <c r="R4826" s="100"/>
      <c r="S4826" s="100"/>
      <c r="T4826" s="100"/>
      <c r="U4826" s="100"/>
      <c r="V4826" s="100"/>
      <c r="W4826" s="100"/>
      <c r="X4826" s="100"/>
      <c r="Y4826" s="100"/>
      <c r="Z4826" s="100"/>
    </row>
    <row r="4827" spans="1:26">
      <c r="A4827" s="100"/>
      <c r="B4827" s="100"/>
      <c r="C4827" s="100"/>
      <c r="D4827" s="100"/>
      <c r="E4827" s="100"/>
      <c r="F4827" s="100"/>
      <c r="G4827" s="100"/>
      <c r="H4827" s="100"/>
      <c r="I4827" s="100"/>
      <c r="J4827" s="100"/>
      <c r="K4827" s="100"/>
      <c r="L4827" s="100"/>
      <c r="M4827" s="100"/>
      <c r="N4827" s="100"/>
      <c r="O4827" s="100"/>
      <c r="P4827" s="100"/>
      <c r="Q4827" s="100"/>
      <c r="R4827" s="100"/>
      <c r="S4827" s="100"/>
      <c r="T4827" s="100"/>
      <c r="U4827" s="100"/>
      <c r="V4827" s="100"/>
      <c r="W4827" s="100"/>
      <c r="X4827" s="100"/>
      <c r="Y4827" s="100"/>
      <c r="Z4827" s="100"/>
    </row>
    <row r="4828" spans="1:26">
      <c r="A4828" s="100"/>
      <c r="B4828" s="100"/>
      <c r="C4828" s="100"/>
      <c r="D4828" s="100"/>
      <c r="E4828" s="100"/>
      <c r="F4828" s="100"/>
      <c r="G4828" s="100"/>
      <c r="H4828" s="100"/>
      <c r="I4828" s="100"/>
      <c r="J4828" s="100"/>
      <c r="K4828" s="100"/>
      <c r="L4828" s="100"/>
      <c r="M4828" s="100"/>
      <c r="N4828" s="100"/>
      <c r="O4828" s="100"/>
      <c r="P4828" s="100"/>
      <c r="Q4828" s="100"/>
      <c r="R4828" s="100"/>
      <c r="S4828" s="100"/>
      <c r="T4828" s="100"/>
      <c r="U4828" s="100"/>
      <c r="V4828" s="100"/>
      <c r="W4828" s="100"/>
      <c r="X4828" s="100"/>
      <c r="Y4828" s="100"/>
      <c r="Z4828" s="100"/>
    </row>
    <row r="4829" spans="1:26">
      <c r="A4829" s="100"/>
      <c r="B4829" s="100"/>
      <c r="C4829" s="100"/>
      <c r="D4829" s="100"/>
      <c r="E4829" s="100"/>
      <c r="F4829" s="100"/>
      <c r="G4829" s="100"/>
      <c r="H4829" s="100"/>
      <c r="I4829" s="100"/>
      <c r="J4829" s="100"/>
      <c r="K4829" s="100"/>
      <c r="L4829" s="100"/>
      <c r="M4829" s="100"/>
      <c r="N4829" s="100"/>
      <c r="O4829" s="100"/>
      <c r="P4829" s="100"/>
      <c r="Q4829" s="100"/>
      <c r="R4829" s="100"/>
      <c r="S4829" s="100"/>
      <c r="T4829" s="100"/>
      <c r="U4829" s="100"/>
      <c r="V4829" s="100"/>
      <c r="W4829" s="100"/>
      <c r="X4829" s="100"/>
      <c r="Y4829" s="100"/>
      <c r="Z4829" s="100"/>
    </row>
    <row r="4830" spans="1:26">
      <c r="A4830" s="100"/>
      <c r="B4830" s="100"/>
      <c r="C4830" s="100"/>
      <c r="D4830" s="100"/>
      <c r="E4830" s="100"/>
      <c r="F4830" s="100"/>
      <c r="G4830" s="100"/>
      <c r="H4830" s="100"/>
      <c r="I4830" s="100"/>
      <c r="J4830" s="100"/>
      <c r="K4830" s="100"/>
      <c r="L4830" s="100"/>
      <c r="M4830" s="100"/>
      <c r="N4830" s="100"/>
      <c r="O4830" s="100"/>
      <c r="P4830" s="100"/>
      <c r="Q4830" s="100"/>
      <c r="R4830" s="100"/>
      <c r="S4830" s="100"/>
      <c r="T4830" s="100"/>
      <c r="U4830" s="100"/>
      <c r="V4830" s="100"/>
      <c r="W4830" s="100"/>
      <c r="X4830" s="100"/>
      <c r="Y4830" s="100"/>
      <c r="Z4830" s="100"/>
    </row>
    <row r="4831" spans="1:26">
      <c r="A4831" s="100"/>
      <c r="B4831" s="100"/>
      <c r="C4831" s="100"/>
      <c r="D4831" s="100"/>
      <c r="E4831" s="100"/>
      <c r="F4831" s="100"/>
      <c r="G4831" s="100"/>
      <c r="H4831" s="100"/>
      <c r="I4831" s="100"/>
      <c r="J4831" s="100"/>
      <c r="K4831" s="100"/>
      <c r="L4831" s="100"/>
      <c r="M4831" s="100"/>
      <c r="N4831" s="100"/>
      <c r="O4831" s="100"/>
      <c r="P4831" s="100"/>
      <c r="Q4831" s="100"/>
      <c r="R4831" s="100"/>
      <c r="S4831" s="100"/>
      <c r="T4831" s="100"/>
      <c r="U4831" s="100"/>
      <c r="V4831" s="100"/>
      <c r="W4831" s="100"/>
      <c r="X4831" s="100"/>
      <c r="Y4831" s="100"/>
      <c r="Z4831" s="100"/>
    </row>
    <row r="4832" spans="1:26">
      <c r="A4832" s="100"/>
      <c r="B4832" s="100"/>
      <c r="C4832" s="100"/>
      <c r="D4832" s="100"/>
      <c r="E4832" s="100"/>
      <c r="F4832" s="100"/>
      <c r="G4832" s="100"/>
      <c r="H4832" s="100"/>
      <c r="I4832" s="100"/>
      <c r="J4832" s="100"/>
      <c r="K4832" s="100"/>
      <c r="L4832" s="100"/>
      <c r="M4832" s="100"/>
      <c r="N4832" s="100"/>
      <c r="O4832" s="100"/>
      <c r="P4832" s="100"/>
      <c r="Q4832" s="100"/>
      <c r="R4832" s="100"/>
      <c r="S4832" s="100"/>
      <c r="T4832" s="100"/>
      <c r="U4832" s="100"/>
      <c r="V4832" s="100"/>
      <c r="W4832" s="100"/>
      <c r="X4832" s="100"/>
      <c r="Y4832" s="100"/>
      <c r="Z4832" s="100"/>
    </row>
    <row r="4833" spans="1:26">
      <c r="A4833" s="100"/>
      <c r="B4833" s="100"/>
      <c r="C4833" s="100"/>
      <c r="D4833" s="100"/>
      <c r="E4833" s="100"/>
      <c r="F4833" s="100"/>
      <c r="G4833" s="100"/>
      <c r="H4833" s="100"/>
      <c r="I4833" s="100"/>
      <c r="J4833" s="100"/>
      <c r="K4833" s="100"/>
      <c r="L4833" s="100"/>
      <c r="M4833" s="100"/>
      <c r="N4833" s="100"/>
      <c r="O4833" s="100"/>
      <c r="P4833" s="100"/>
      <c r="Q4833" s="100"/>
      <c r="R4833" s="100"/>
      <c r="S4833" s="100"/>
      <c r="T4833" s="100"/>
      <c r="U4833" s="100"/>
      <c r="V4833" s="100"/>
      <c r="W4833" s="100"/>
      <c r="X4833" s="100"/>
      <c r="Y4833" s="100"/>
      <c r="Z4833" s="100"/>
    </row>
    <row r="4834" spans="1:26">
      <c r="A4834" s="100"/>
      <c r="B4834" s="100"/>
      <c r="C4834" s="100"/>
      <c r="D4834" s="100"/>
      <c r="E4834" s="100"/>
      <c r="F4834" s="100"/>
      <c r="G4834" s="100"/>
      <c r="H4834" s="100"/>
      <c r="I4834" s="100"/>
      <c r="J4834" s="100"/>
      <c r="K4834" s="100"/>
      <c r="L4834" s="100"/>
      <c r="M4834" s="100"/>
      <c r="N4834" s="100"/>
      <c r="O4834" s="100"/>
      <c r="P4834" s="100"/>
      <c r="Q4834" s="100"/>
      <c r="R4834" s="100"/>
      <c r="S4834" s="100"/>
      <c r="T4834" s="100"/>
      <c r="U4834" s="100"/>
      <c r="V4834" s="100"/>
      <c r="W4834" s="100"/>
      <c r="X4834" s="100"/>
      <c r="Y4834" s="100"/>
      <c r="Z4834" s="100"/>
    </row>
    <row r="4835" spans="1:26">
      <c r="A4835" s="100"/>
      <c r="B4835" s="100"/>
      <c r="C4835" s="100"/>
      <c r="D4835" s="100"/>
      <c r="E4835" s="100"/>
      <c r="F4835" s="100"/>
      <c r="G4835" s="100"/>
      <c r="H4835" s="100"/>
      <c r="I4835" s="100"/>
      <c r="J4835" s="100"/>
      <c r="K4835" s="100"/>
      <c r="L4835" s="100"/>
      <c r="M4835" s="100"/>
      <c r="N4835" s="100"/>
      <c r="O4835" s="100"/>
      <c r="P4835" s="100"/>
      <c r="Q4835" s="100"/>
      <c r="R4835" s="100"/>
      <c r="S4835" s="100"/>
      <c r="T4835" s="100"/>
      <c r="U4835" s="100"/>
      <c r="V4835" s="100"/>
      <c r="W4835" s="100"/>
      <c r="X4835" s="100"/>
      <c r="Y4835" s="100"/>
      <c r="Z4835" s="100"/>
    </row>
    <row r="4836" spans="1:26">
      <c r="A4836" s="100"/>
      <c r="B4836" s="100"/>
      <c r="C4836" s="100"/>
      <c r="D4836" s="100"/>
      <c r="E4836" s="100"/>
      <c r="F4836" s="100"/>
      <c r="G4836" s="100"/>
      <c r="H4836" s="100"/>
      <c r="I4836" s="100"/>
      <c r="J4836" s="100"/>
      <c r="K4836" s="100"/>
      <c r="L4836" s="100"/>
      <c r="M4836" s="100"/>
      <c r="N4836" s="100"/>
      <c r="O4836" s="100"/>
      <c r="P4836" s="100"/>
      <c r="Q4836" s="100"/>
      <c r="R4836" s="100"/>
      <c r="S4836" s="100"/>
      <c r="T4836" s="100"/>
      <c r="U4836" s="100"/>
      <c r="V4836" s="100"/>
      <c r="W4836" s="100"/>
      <c r="X4836" s="100"/>
      <c r="Y4836" s="100"/>
      <c r="Z4836" s="100"/>
    </row>
    <row r="4837" spans="1:26">
      <c r="A4837" s="100"/>
      <c r="B4837" s="100"/>
      <c r="C4837" s="100"/>
      <c r="D4837" s="100"/>
      <c r="E4837" s="100"/>
      <c r="F4837" s="100"/>
      <c r="G4837" s="100"/>
      <c r="H4837" s="100"/>
      <c r="I4837" s="100"/>
      <c r="J4837" s="100"/>
      <c r="K4837" s="100"/>
      <c r="L4837" s="100"/>
      <c r="M4837" s="100"/>
      <c r="N4837" s="100"/>
      <c r="O4837" s="100"/>
      <c r="P4837" s="100"/>
      <c r="Q4837" s="100"/>
      <c r="R4837" s="100"/>
      <c r="S4837" s="100"/>
      <c r="T4837" s="100"/>
      <c r="U4837" s="100"/>
      <c r="V4837" s="100"/>
      <c r="W4837" s="100"/>
      <c r="X4837" s="100"/>
      <c r="Y4837" s="100"/>
      <c r="Z4837" s="100"/>
    </row>
    <row r="4838" spans="1:26">
      <c r="A4838" s="100"/>
      <c r="B4838" s="100"/>
      <c r="C4838" s="100"/>
      <c r="D4838" s="100"/>
      <c r="E4838" s="100"/>
      <c r="F4838" s="100"/>
      <c r="G4838" s="100"/>
      <c r="H4838" s="100"/>
      <c r="I4838" s="100"/>
      <c r="J4838" s="100"/>
      <c r="K4838" s="100"/>
      <c r="L4838" s="100"/>
      <c r="M4838" s="100"/>
      <c r="N4838" s="100"/>
      <c r="O4838" s="100"/>
      <c r="P4838" s="100"/>
      <c r="Q4838" s="100"/>
      <c r="R4838" s="100"/>
      <c r="S4838" s="100"/>
      <c r="T4838" s="100"/>
      <c r="U4838" s="100"/>
      <c r="V4838" s="100"/>
      <c r="W4838" s="100"/>
      <c r="X4838" s="100"/>
      <c r="Y4838" s="100"/>
      <c r="Z4838" s="100"/>
    </row>
    <row r="4839" spans="1:26">
      <c r="A4839" s="100"/>
      <c r="B4839" s="100"/>
      <c r="C4839" s="100"/>
      <c r="D4839" s="100"/>
      <c r="E4839" s="100"/>
      <c r="F4839" s="100"/>
      <c r="G4839" s="100"/>
      <c r="H4839" s="100"/>
      <c r="I4839" s="100"/>
      <c r="J4839" s="100"/>
      <c r="K4839" s="100"/>
      <c r="L4839" s="100"/>
      <c r="M4839" s="100"/>
      <c r="N4839" s="100"/>
      <c r="O4839" s="100"/>
      <c r="P4839" s="100"/>
      <c r="Q4839" s="100"/>
      <c r="R4839" s="100"/>
      <c r="S4839" s="100"/>
      <c r="T4839" s="100"/>
      <c r="U4839" s="100"/>
      <c r="V4839" s="100"/>
      <c r="W4839" s="100"/>
      <c r="X4839" s="100"/>
      <c r="Y4839" s="100"/>
      <c r="Z4839" s="100"/>
    </row>
    <row r="4840" spans="1:26">
      <c r="A4840" s="100"/>
      <c r="B4840" s="100"/>
      <c r="C4840" s="100"/>
      <c r="D4840" s="100"/>
      <c r="E4840" s="100"/>
      <c r="F4840" s="100"/>
      <c r="G4840" s="100"/>
      <c r="H4840" s="100"/>
      <c r="I4840" s="100"/>
      <c r="J4840" s="100"/>
      <c r="K4840" s="100"/>
      <c r="L4840" s="100"/>
      <c r="M4840" s="100"/>
      <c r="N4840" s="100"/>
      <c r="O4840" s="100"/>
      <c r="P4840" s="100"/>
      <c r="Q4840" s="100"/>
      <c r="R4840" s="100"/>
      <c r="S4840" s="100"/>
      <c r="T4840" s="100"/>
      <c r="U4840" s="100"/>
      <c r="V4840" s="100"/>
      <c r="W4840" s="100"/>
      <c r="X4840" s="100"/>
      <c r="Y4840" s="100"/>
      <c r="Z4840" s="100"/>
    </row>
    <row r="4841" spans="1:26">
      <c r="A4841" s="100"/>
      <c r="B4841" s="100"/>
      <c r="C4841" s="100"/>
      <c r="D4841" s="100"/>
      <c r="E4841" s="100"/>
      <c r="F4841" s="100"/>
      <c r="G4841" s="100"/>
      <c r="H4841" s="100"/>
      <c r="I4841" s="100"/>
      <c r="J4841" s="100"/>
      <c r="K4841" s="100"/>
      <c r="L4841" s="100"/>
      <c r="M4841" s="100"/>
      <c r="N4841" s="100"/>
      <c r="O4841" s="100"/>
      <c r="P4841" s="100"/>
      <c r="Q4841" s="100"/>
      <c r="R4841" s="100"/>
      <c r="S4841" s="100"/>
      <c r="T4841" s="100"/>
      <c r="U4841" s="100"/>
      <c r="V4841" s="100"/>
      <c r="W4841" s="100"/>
      <c r="X4841" s="100"/>
      <c r="Y4841" s="100"/>
      <c r="Z4841" s="100"/>
    </row>
    <row r="4842" spans="1:26">
      <c r="A4842" s="100"/>
      <c r="B4842" s="100"/>
      <c r="C4842" s="100"/>
      <c r="D4842" s="100"/>
      <c r="E4842" s="100"/>
      <c r="F4842" s="100"/>
      <c r="G4842" s="100"/>
      <c r="H4842" s="100"/>
      <c r="I4842" s="100"/>
      <c r="J4842" s="100"/>
      <c r="K4842" s="100"/>
      <c r="L4842" s="100"/>
      <c r="M4842" s="100"/>
      <c r="N4842" s="100"/>
      <c r="O4842" s="100"/>
      <c r="P4842" s="100"/>
      <c r="Q4842" s="100"/>
      <c r="R4842" s="100"/>
      <c r="S4842" s="100"/>
      <c r="T4842" s="100"/>
      <c r="U4842" s="100"/>
      <c r="V4842" s="100"/>
      <c r="W4842" s="100"/>
      <c r="X4842" s="100"/>
      <c r="Y4842" s="100"/>
      <c r="Z4842" s="100"/>
    </row>
    <row r="4843" spans="1:26">
      <c r="A4843" s="100"/>
      <c r="B4843" s="100"/>
      <c r="C4843" s="100"/>
      <c r="D4843" s="100"/>
      <c r="E4843" s="100"/>
      <c r="F4843" s="100"/>
      <c r="G4843" s="100"/>
      <c r="H4843" s="100"/>
      <c r="I4843" s="100"/>
      <c r="J4843" s="100"/>
      <c r="K4843" s="100"/>
      <c r="L4843" s="100"/>
      <c r="M4843" s="100"/>
      <c r="N4843" s="100"/>
      <c r="O4843" s="100"/>
      <c r="P4843" s="100"/>
      <c r="Q4843" s="100"/>
      <c r="R4843" s="100"/>
      <c r="S4843" s="100"/>
      <c r="T4843" s="100"/>
      <c r="U4843" s="100"/>
      <c r="V4843" s="100"/>
      <c r="W4843" s="100"/>
      <c r="X4843" s="100"/>
      <c r="Y4843" s="100"/>
      <c r="Z4843" s="100"/>
    </row>
    <row r="4844" spans="1:26">
      <c r="A4844" s="100"/>
      <c r="B4844" s="100"/>
      <c r="C4844" s="100"/>
      <c r="D4844" s="100"/>
      <c r="E4844" s="100"/>
      <c r="F4844" s="100"/>
      <c r="G4844" s="100"/>
      <c r="H4844" s="100"/>
      <c r="I4844" s="100"/>
      <c r="J4844" s="100"/>
      <c r="K4844" s="100"/>
      <c r="L4844" s="100"/>
      <c r="M4844" s="100"/>
      <c r="N4844" s="100"/>
      <c r="O4844" s="100"/>
      <c r="P4844" s="100"/>
      <c r="Q4844" s="100"/>
      <c r="R4844" s="100"/>
      <c r="S4844" s="100"/>
      <c r="T4844" s="100"/>
      <c r="U4844" s="100"/>
      <c r="V4844" s="100"/>
      <c r="W4844" s="100"/>
      <c r="X4844" s="100"/>
      <c r="Y4844" s="100"/>
      <c r="Z4844" s="100"/>
    </row>
    <row r="4845" spans="1:26">
      <c r="A4845" s="100"/>
      <c r="B4845" s="100"/>
      <c r="C4845" s="100"/>
      <c r="D4845" s="100"/>
      <c r="E4845" s="100"/>
      <c r="F4845" s="100"/>
      <c r="G4845" s="100"/>
      <c r="H4845" s="100"/>
      <c r="I4845" s="100"/>
      <c r="J4845" s="100"/>
      <c r="K4845" s="100"/>
      <c r="L4845" s="100"/>
      <c r="M4845" s="100"/>
      <c r="N4845" s="100"/>
      <c r="O4845" s="100"/>
      <c r="P4845" s="100"/>
      <c r="Q4845" s="100"/>
      <c r="R4845" s="100"/>
      <c r="S4845" s="100"/>
      <c r="T4845" s="100"/>
      <c r="U4845" s="100"/>
      <c r="V4845" s="100"/>
      <c r="W4845" s="100"/>
      <c r="X4845" s="100"/>
      <c r="Y4845" s="100"/>
      <c r="Z4845" s="100"/>
    </row>
    <row r="4846" spans="1:26">
      <c r="A4846" s="100"/>
      <c r="B4846" s="100"/>
      <c r="C4846" s="100"/>
      <c r="D4846" s="100"/>
      <c r="E4846" s="100"/>
      <c r="F4846" s="100"/>
      <c r="G4846" s="100"/>
      <c r="H4846" s="100"/>
      <c r="I4846" s="100"/>
      <c r="J4846" s="100"/>
      <c r="K4846" s="100"/>
      <c r="L4846" s="100"/>
      <c r="M4846" s="100"/>
      <c r="N4846" s="100"/>
      <c r="O4846" s="100"/>
      <c r="P4846" s="100"/>
      <c r="Q4846" s="100"/>
      <c r="R4846" s="100"/>
      <c r="S4846" s="100"/>
      <c r="T4846" s="100"/>
      <c r="U4846" s="100"/>
      <c r="V4846" s="100"/>
      <c r="W4846" s="100"/>
      <c r="X4846" s="100"/>
      <c r="Y4846" s="100"/>
      <c r="Z4846" s="100"/>
    </row>
    <row r="4847" spans="1:26">
      <c r="A4847" s="100"/>
      <c r="B4847" s="100"/>
      <c r="C4847" s="100"/>
      <c r="D4847" s="100"/>
      <c r="E4847" s="100"/>
      <c r="F4847" s="100"/>
      <c r="G4847" s="100"/>
      <c r="H4847" s="100"/>
      <c r="I4847" s="100"/>
      <c r="J4847" s="100"/>
      <c r="K4847" s="100"/>
      <c r="L4847" s="100"/>
      <c r="M4847" s="100"/>
      <c r="N4847" s="100"/>
      <c r="O4847" s="100"/>
      <c r="P4847" s="100"/>
      <c r="Q4847" s="100"/>
      <c r="R4847" s="100"/>
      <c r="S4847" s="100"/>
      <c r="T4847" s="100"/>
      <c r="U4847" s="100"/>
      <c r="V4847" s="100"/>
      <c r="W4847" s="100"/>
      <c r="X4847" s="100"/>
      <c r="Y4847" s="100"/>
      <c r="Z4847" s="100"/>
    </row>
    <row r="4848" spans="1:26">
      <c r="A4848" s="100"/>
      <c r="B4848" s="100"/>
      <c r="C4848" s="100"/>
      <c r="D4848" s="100"/>
      <c r="E4848" s="100"/>
      <c r="F4848" s="100"/>
      <c r="G4848" s="100"/>
      <c r="H4848" s="100"/>
      <c r="I4848" s="100"/>
      <c r="J4848" s="100"/>
      <c r="K4848" s="100"/>
      <c r="L4848" s="100"/>
      <c r="M4848" s="100"/>
      <c r="N4848" s="100"/>
      <c r="O4848" s="100"/>
      <c r="P4848" s="100"/>
      <c r="Q4848" s="100"/>
      <c r="R4848" s="100"/>
      <c r="S4848" s="100"/>
      <c r="T4848" s="100"/>
      <c r="U4848" s="100"/>
      <c r="V4848" s="100"/>
      <c r="W4848" s="100"/>
      <c r="X4848" s="100"/>
      <c r="Y4848" s="100"/>
      <c r="Z4848" s="100"/>
    </row>
    <row r="4849" spans="1:26">
      <c r="A4849" s="100"/>
      <c r="B4849" s="100"/>
      <c r="C4849" s="100"/>
      <c r="D4849" s="100"/>
      <c r="E4849" s="100"/>
      <c r="F4849" s="100"/>
      <c r="G4849" s="100"/>
      <c r="H4849" s="100"/>
      <c r="I4849" s="100"/>
      <c r="J4849" s="100"/>
      <c r="K4849" s="100"/>
      <c r="L4849" s="100"/>
      <c r="M4849" s="100"/>
      <c r="N4849" s="100"/>
      <c r="O4849" s="100"/>
      <c r="P4849" s="100"/>
      <c r="Q4849" s="100"/>
      <c r="R4849" s="100"/>
      <c r="S4849" s="100"/>
      <c r="T4849" s="100"/>
      <c r="U4849" s="100"/>
      <c r="V4849" s="100"/>
      <c r="W4849" s="100"/>
      <c r="X4849" s="100"/>
      <c r="Y4849" s="100"/>
      <c r="Z4849" s="100"/>
    </row>
    <row r="4850" spans="1:26">
      <c r="A4850" s="100"/>
      <c r="B4850" s="100"/>
      <c r="C4850" s="100"/>
      <c r="D4850" s="100"/>
      <c r="E4850" s="100"/>
      <c r="F4850" s="100"/>
      <c r="G4850" s="100"/>
      <c r="H4850" s="100"/>
      <c r="I4850" s="100"/>
      <c r="J4850" s="100"/>
      <c r="K4850" s="100"/>
      <c r="L4850" s="100"/>
      <c r="M4850" s="100"/>
      <c r="N4850" s="100"/>
      <c r="O4850" s="100"/>
      <c r="P4850" s="100"/>
      <c r="Q4850" s="100"/>
      <c r="R4850" s="100"/>
      <c r="S4850" s="100"/>
      <c r="T4850" s="100"/>
      <c r="U4850" s="100"/>
      <c r="V4850" s="100"/>
      <c r="W4850" s="100"/>
      <c r="X4850" s="100"/>
      <c r="Y4850" s="100"/>
      <c r="Z4850" s="100"/>
    </row>
    <row r="4851" spans="1:26">
      <c r="A4851" s="100"/>
      <c r="B4851" s="100"/>
      <c r="C4851" s="100"/>
      <c r="D4851" s="100"/>
      <c r="E4851" s="100"/>
      <c r="F4851" s="100"/>
      <c r="G4851" s="100"/>
      <c r="H4851" s="100"/>
      <c r="I4851" s="100"/>
      <c r="J4851" s="100"/>
      <c r="K4851" s="100"/>
      <c r="L4851" s="100"/>
      <c r="M4851" s="100"/>
      <c r="N4851" s="100"/>
      <c r="O4851" s="100"/>
      <c r="P4851" s="100"/>
      <c r="Q4851" s="100"/>
      <c r="R4851" s="100"/>
      <c r="S4851" s="100"/>
      <c r="T4851" s="100"/>
      <c r="U4851" s="100"/>
      <c r="V4851" s="100"/>
      <c r="W4851" s="100"/>
      <c r="X4851" s="100"/>
      <c r="Y4851" s="100"/>
      <c r="Z4851" s="100"/>
    </row>
    <row r="4852" spans="1:26">
      <c r="A4852" s="100"/>
      <c r="B4852" s="100"/>
      <c r="C4852" s="100"/>
      <c r="D4852" s="100"/>
      <c r="E4852" s="100"/>
      <c r="F4852" s="100"/>
      <c r="G4852" s="100"/>
      <c r="H4852" s="100"/>
      <c r="I4852" s="100"/>
      <c r="J4852" s="100"/>
      <c r="K4852" s="100"/>
      <c r="L4852" s="100"/>
      <c r="M4852" s="100"/>
      <c r="N4852" s="100"/>
      <c r="O4852" s="100"/>
      <c r="P4852" s="100"/>
      <c r="Q4852" s="100"/>
      <c r="R4852" s="100"/>
      <c r="S4852" s="100"/>
      <c r="T4852" s="100"/>
      <c r="U4852" s="100"/>
      <c r="V4852" s="100"/>
      <c r="W4852" s="100"/>
      <c r="X4852" s="100"/>
      <c r="Y4852" s="100"/>
      <c r="Z4852" s="100"/>
    </row>
    <row r="4853" spans="1:26">
      <c r="A4853" s="100"/>
      <c r="B4853" s="100"/>
      <c r="C4853" s="100"/>
      <c r="D4853" s="100"/>
      <c r="E4853" s="100"/>
      <c r="F4853" s="100"/>
      <c r="G4853" s="100"/>
      <c r="H4853" s="100"/>
      <c r="I4853" s="100"/>
      <c r="J4853" s="100"/>
      <c r="K4853" s="100"/>
      <c r="L4853" s="100"/>
      <c r="M4853" s="100"/>
      <c r="N4853" s="100"/>
      <c r="O4853" s="100"/>
      <c r="P4853" s="100"/>
      <c r="Q4853" s="100"/>
      <c r="R4853" s="100"/>
      <c r="S4853" s="100"/>
      <c r="T4853" s="100"/>
      <c r="U4853" s="100"/>
      <c r="V4853" s="100"/>
      <c r="W4853" s="100"/>
      <c r="X4853" s="100"/>
      <c r="Y4853" s="100"/>
      <c r="Z4853" s="100"/>
    </row>
    <row r="4854" spans="1:26">
      <c r="A4854" s="100"/>
      <c r="B4854" s="100"/>
      <c r="C4854" s="100"/>
      <c r="D4854" s="100"/>
      <c r="E4854" s="100"/>
      <c r="F4854" s="100"/>
      <c r="G4854" s="100"/>
      <c r="H4854" s="100"/>
      <c r="I4854" s="100"/>
      <c r="J4854" s="100"/>
      <c r="K4854" s="100"/>
      <c r="L4854" s="100"/>
      <c r="M4854" s="100"/>
      <c r="N4854" s="100"/>
      <c r="O4854" s="100"/>
      <c r="P4854" s="100"/>
      <c r="Q4854" s="100"/>
      <c r="R4854" s="100"/>
      <c r="S4854" s="100"/>
      <c r="T4854" s="100"/>
      <c r="U4854" s="100"/>
      <c r="V4854" s="100"/>
      <c r="W4854" s="100"/>
      <c r="X4854" s="100"/>
      <c r="Y4854" s="100"/>
      <c r="Z4854" s="100"/>
    </row>
    <row r="4855" spans="1:26">
      <c r="A4855" s="100"/>
      <c r="B4855" s="100"/>
      <c r="C4855" s="100"/>
      <c r="D4855" s="100"/>
      <c r="E4855" s="100"/>
      <c r="F4855" s="100"/>
      <c r="G4855" s="100"/>
      <c r="H4855" s="100"/>
      <c r="I4855" s="100"/>
      <c r="J4855" s="100"/>
      <c r="K4855" s="100"/>
      <c r="L4855" s="100"/>
      <c r="M4855" s="100"/>
      <c r="N4855" s="100"/>
      <c r="O4855" s="100"/>
      <c r="P4855" s="100"/>
      <c r="Q4855" s="100"/>
      <c r="R4855" s="100"/>
      <c r="S4855" s="100"/>
      <c r="T4855" s="100"/>
      <c r="U4855" s="100"/>
      <c r="V4855" s="100"/>
      <c r="W4855" s="100"/>
      <c r="X4855" s="100"/>
      <c r="Y4855" s="100"/>
      <c r="Z4855" s="100"/>
    </row>
    <row r="4856" spans="1:26">
      <c r="A4856" s="100"/>
      <c r="B4856" s="100"/>
      <c r="C4856" s="100"/>
      <c r="D4856" s="100"/>
      <c r="E4856" s="100"/>
      <c r="F4856" s="100"/>
      <c r="G4856" s="100"/>
      <c r="H4856" s="100"/>
      <c r="I4856" s="100"/>
      <c r="J4856" s="100"/>
      <c r="K4856" s="100"/>
      <c r="L4856" s="100"/>
      <c r="M4856" s="100"/>
      <c r="N4856" s="100"/>
      <c r="O4856" s="100"/>
      <c r="P4856" s="100"/>
      <c r="Q4856" s="100"/>
      <c r="R4856" s="100"/>
      <c r="S4856" s="100"/>
      <c r="T4856" s="100"/>
      <c r="U4856" s="100"/>
      <c r="V4856" s="100"/>
      <c r="W4856" s="100"/>
      <c r="X4856" s="100"/>
      <c r="Y4856" s="100"/>
      <c r="Z4856" s="100"/>
    </row>
    <row r="4857" spans="1:26">
      <c r="A4857" s="100"/>
      <c r="B4857" s="100"/>
      <c r="C4857" s="100"/>
      <c r="D4857" s="100"/>
      <c r="E4857" s="100"/>
      <c r="F4857" s="100"/>
      <c r="G4857" s="100"/>
      <c r="H4857" s="100"/>
      <c r="I4857" s="100"/>
      <c r="J4857" s="100"/>
      <c r="K4857" s="100"/>
      <c r="L4857" s="100"/>
      <c r="M4857" s="100"/>
      <c r="N4857" s="100"/>
      <c r="O4857" s="100"/>
      <c r="P4857" s="100"/>
      <c r="Q4857" s="100"/>
      <c r="R4857" s="100"/>
      <c r="S4857" s="100"/>
      <c r="T4857" s="100"/>
      <c r="U4857" s="100"/>
      <c r="V4857" s="100"/>
      <c r="W4857" s="100"/>
      <c r="X4857" s="100"/>
      <c r="Y4857" s="100"/>
      <c r="Z4857" s="100"/>
    </row>
    <row r="4858" spans="1:26">
      <c r="A4858" s="100"/>
      <c r="B4858" s="100"/>
      <c r="C4858" s="100"/>
      <c r="D4858" s="100"/>
      <c r="E4858" s="100"/>
      <c r="F4858" s="100"/>
      <c r="G4858" s="100"/>
      <c r="H4858" s="100"/>
      <c r="I4858" s="100"/>
      <c r="J4858" s="100"/>
      <c r="K4858" s="100"/>
      <c r="L4858" s="100"/>
      <c r="M4858" s="100"/>
      <c r="N4858" s="100"/>
      <c r="O4858" s="100"/>
      <c r="P4858" s="100"/>
      <c r="Q4858" s="100"/>
      <c r="R4858" s="100"/>
      <c r="S4858" s="100"/>
      <c r="T4858" s="100"/>
      <c r="U4858" s="100"/>
      <c r="V4858" s="100"/>
      <c r="W4858" s="100"/>
      <c r="X4858" s="100"/>
      <c r="Y4858" s="100"/>
      <c r="Z4858" s="100"/>
    </row>
    <row r="4859" spans="1:26">
      <c r="A4859" s="100"/>
      <c r="B4859" s="100"/>
      <c r="C4859" s="100"/>
      <c r="D4859" s="100"/>
      <c r="E4859" s="100"/>
      <c r="F4859" s="100"/>
      <c r="G4859" s="100"/>
      <c r="H4859" s="100"/>
      <c r="I4859" s="100"/>
      <c r="J4859" s="100"/>
      <c r="K4859" s="100"/>
      <c r="L4859" s="100"/>
      <c r="M4859" s="100"/>
      <c r="N4859" s="100"/>
      <c r="O4859" s="100"/>
      <c r="P4859" s="100"/>
      <c r="Q4859" s="100"/>
      <c r="R4859" s="100"/>
      <c r="S4859" s="100"/>
      <c r="T4859" s="100"/>
      <c r="U4859" s="100"/>
      <c r="V4859" s="100"/>
      <c r="W4859" s="100"/>
      <c r="X4859" s="100"/>
      <c r="Y4859" s="100"/>
      <c r="Z4859" s="100"/>
    </row>
    <row r="4860" spans="1:26">
      <c r="A4860" s="100"/>
      <c r="B4860" s="100"/>
      <c r="C4860" s="100"/>
      <c r="D4860" s="100"/>
      <c r="E4860" s="100"/>
      <c r="F4860" s="100"/>
      <c r="G4860" s="100"/>
      <c r="H4860" s="100"/>
      <c r="I4860" s="100"/>
      <c r="J4860" s="100"/>
      <c r="K4860" s="100"/>
      <c r="L4860" s="100"/>
      <c r="M4860" s="100"/>
      <c r="N4860" s="100"/>
      <c r="O4860" s="100"/>
      <c r="P4860" s="100"/>
      <c r="Q4860" s="100"/>
      <c r="R4860" s="100"/>
      <c r="S4860" s="100"/>
      <c r="T4860" s="100"/>
      <c r="U4860" s="100"/>
      <c r="V4860" s="100"/>
      <c r="W4860" s="100"/>
      <c r="X4860" s="100"/>
      <c r="Y4860" s="100"/>
      <c r="Z4860" s="100"/>
    </row>
    <row r="4861" spans="1:26">
      <c r="A4861" s="100"/>
      <c r="B4861" s="100"/>
      <c r="C4861" s="100"/>
      <c r="D4861" s="100"/>
      <c r="E4861" s="100"/>
      <c r="F4861" s="100"/>
      <c r="G4861" s="100"/>
      <c r="H4861" s="100"/>
      <c r="I4861" s="100"/>
      <c r="J4861" s="100"/>
      <c r="K4861" s="100"/>
      <c r="L4861" s="100"/>
      <c r="M4861" s="100"/>
      <c r="N4861" s="100"/>
      <c r="O4861" s="100"/>
      <c r="P4861" s="100"/>
      <c r="Q4861" s="100"/>
      <c r="R4861" s="100"/>
      <c r="S4861" s="100"/>
      <c r="T4861" s="100"/>
      <c r="U4861" s="100"/>
      <c r="V4861" s="100"/>
      <c r="W4861" s="100"/>
      <c r="X4861" s="100"/>
      <c r="Y4861" s="100"/>
      <c r="Z4861" s="100"/>
    </row>
    <row r="4862" spans="1:26">
      <c r="A4862" s="100"/>
      <c r="B4862" s="100"/>
      <c r="C4862" s="100"/>
      <c r="D4862" s="100"/>
      <c r="E4862" s="100"/>
      <c r="F4862" s="100"/>
      <c r="G4862" s="100"/>
      <c r="H4862" s="100"/>
      <c r="I4862" s="100"/>
      <c r="J4862" s="100"/>
      <c r="K4862" s="100"/>
      <c r="L4862" s="100"/>
      <c r="M4862" s="100"/>
      <c r="N4862" s="100"/>
      <c r="O4862" s="100"/>
      <c r="P4862" s="100"/>
      <c r="Q4862" s="100"/>
      <c r="R4862" s="100"/>
      <c r="S4862" s="100"/>
      <c r="T4862" s="100"/>
      <c r="U4862" s="100"/>
      <c r="V4862" s="100"/>
      <c r="W4862" s="100"/>
      <c r="X4862" s="100"/>
      <c r="Y4862" s="100"/>
      <c r="Z4862" s="100"/>
    </row>
    <row r="4863" spans="1:26">
      <c r="A4863" s="100"/>
      <c r="B4863" s="100"/>
      <c r="C4863" s="100"/>
      <c r="D4863" s="100"/>
      <c r="E4863" s="100"/>
      <c r="F4863" s="100"/>
      <c r="G4863" s="100"/>
      <c r="H4863" s="100"/>
      <c r="I4863" s="100"/>
      <c r="J4863" s="100"/>
      <c r="K4863" s="100"/>
      <c r="L4863" s="100"/>
      <c r="M4863" s="100"/>
      <c r="N4863" s="100"/>
      <c r="O4863" s="100"/>
      <c r="P4863" s="100"/>
      <c r="Q4863" s="100"/>
      <c r="R4863" s="100"/>
      <c r="S4863" s="100"/>
      <c r="T4863" s="100"/>
      <c r="U4863" s="100"/>
      <c r="V4863" s="100"/>
      <c r="W4863" s="100"/>
      <c r="X4863" s="100"/>
      <c r="Y4863" s="100"/>
      <c r="Z4863" s="100"/>
    </row>
    <row r="4864" spans="1:26">
      <c r="A4864" s="100"/>
      <c r="B4864" s="100"/>
      <c r="C4864" s="100"/>
      <c r="D4864" s="100"/>
      <c r="E4864" s="100"/>
      <c r="F4864" s="100"/>
      <c r="G4864" s="100"/>
      <c r="H4864" s="100"/>
      <c r="I4864" s="100"/>
      <c r="J4864" s="100"/>
      <c r="K4864" s="100"/>
      <c r="L4864" s="100"/>
      <c r="M4864" s="100"/>
      <c r="N4864" s="100"/>
      <c r="O4864" s="100"/>
      <c r="P4864" s="100"/>
      <c r="Q4864" s="100"/>
      <c r="R4864" s="100"/>
      <c r="S4864" s="100"/>
      <c r="T4864" s="100"/>
      <c r="U4864" s="100"/>
      <c r="V4864" s="100"/>
      <c r="W4864" s="100"/>
      <c r="X4864" s="100"/>
      <c r="Y4864" s="100"/>
      <c r="Z4864" s="100"/>
    </row>
    <row r="4865" spans="1:26">
      <c r="A4865" s="100"/>
      <c r="B4865" s="100"/>
      <c r="C4865" s="100"/>
      <c r="D4865" s="100"/>
      <c r="E4865" s="100"/>
      <c r="F4865" s="100"/>
      <c r="G4865" s="100"/>
      <c r="H4865" s="100"/>
      <c r="I4865" s="100"/>
      <c r="J4865" s="100"/>
      <c r="K4865" s="100"/>
      <c r="L4865" s="100"/>
      <c r="M4865" s="100"/>
      <c r="N4865" s="100"/>
      <c r="O4865" s="100"/>
      <c r="P4865" s="100"/>
      <c r="Q4865" s="100"/>
      <c r="R4865" s="100"/>
      <c r="S4865" s="100"/>
      <c r="T4865" s="100"/>
      <c r="U4865" s="100"/>
      <c r="V4865" s="100"/>
      <c r="W4865" s="100"/>
      <c r="X4865" s="100"/>
      <c r="Y4865" s="100"/>
      <c r="Z4865" s="100"/>
    </row>
    <row r="4866" spans="1:26">
      <c r="A4866" s="100"/>
      <c r="B4866" s="100"/>
      <c r="C4866" s="100"/>
      <c r="D4866" s="100"/>
      <c r="E4866" s="100"/>
      <c r="F4866" s="100"/>
      <c r="G4866" s="100"/>
      <c r="H4866" s="100"/>
      <c r="I4866" s="100"/>
      <c r="J4866" s="100"/>
      <c r="K4866" s="100"/>
      <c r="L4866" s="100"/>
      <c r="M4866" s="100"/>
      <c r="N4866" s="100"/>
      <c r="O4866" s="100"/>
      <c r="P4866" s="100"/>
      <c r="Q4866" s="100"/>
      <c r="R4866" s="100"/>
      <c r="S4866" s="100"/>
      <c r="T4866" s="100"/>
      <c r="U4866" s="100"/>
      <c r="V4866" s="100"/>
      <c r="W4866" s="100"/>
      <c r="X4866" s="100"/>
      <c r="Y4866" s="100"/>
      <c r="Z4866" s="100"/>
    </row>
    <row r="4867" spans="1:26">
      <c r="A4867" s="100"/>
      <c r="B4867" s="100"/>
      <c r="C4867" s="100"/>
      <c r="D4867" s="100"/>
      <c r="E4867" s="100"/>
      <c r="F4867" s="100"/>
      <c r="G4867" s="100"/>
      <c r="H4867" s="100"/>
      <c r="I4867" s="100"/>
      <c r="J4867" s="100"/>
      <c r="K4867" s="100"/>
      <c r="L4867" s="100"/>
      <c r="M4867" s="100"/>
      <c r="N4867" s="100"/>
      <c r="O4867" s="100"/>
      <c r="P4867" s="100"/>
      <c r="Q4867" s="100"/>
      <c r="R4867" s="100"/>
      <c r="S4867" s="100"/>
      <c r="T4867" s="100"/>
      <c r="U4867" s="100"/>
      <c r="V4867" s="100"/>
      <c r="W4867" s="100"/>
      <c r="X4867" s="100"/>
      <c r="Y4867" s="100"/>
      <c r="Z4867" s="100"/>
    </row>
    <row r="4868" spans="1:26">
      <c r="A4868" s="100"/>
      <c r="B4868" s="100"/>
      <c r="C4868" s="100"/>
      <c r="D4868" s="100"/>
      <c r="E4868" s="100"/>
      <c r="F4868" s="100"/>
      <c r="G4868" s="100"/>
      <c r="H4868" s="100"/>
      <c r="I4868" s="100"/>
      <c r="J4868" s="100"/>
      <c r="K4868" s="100"/>
      <c r="L4868" s="100"/>
      <c r="M4868" s="100"/>
      <c r="N4868" s="100"/>
      <c r="O4868" s="100"/>
      <c r="P4868" s="100"/>
      <c r="Q4868" s="100"/>
      <c r="R4868" s="100"/>
      <c r="S4868" s="100"/>
      <c r="T4868" s="100"/>
      <c r="U4868" s="100"/>
      <c r="V4868" s="100"/>
      <c r="W4868" s="100"/>
      <c r="X4868" s="100"/>
      <c r="Y4868" s="100"/>
      <c r="Z4868" s="100"/>
    </row>
    <row r="4869" spans="1:26">
      <c r="A4869" s="100"/>
      <c r="B4869" s="100"/>
      <c r="C4869" s="100"/>
      <c r="D4869" s="100"/>
      <c r="E4869" s="100"/>
      <c r="F4869" s="100"/>
      <c r="G4869" s="100"/>
      <c r="H4869" s="100"/>
      <c r="I4869" s="100"/>
      <c r="J4869" s="100"/>
      <c r="K4869" s="100"/>
      <c r="L4869" s="100"/>
      <c r="M4869" s="100"/>
      <c r="N4869" s="100"/>
      <c r="O4869" s="100"/>
      <c r="P4869" s="100"/>
      <c r="Q4869" s="100"/>
      <c r="R4869" s="100"/>
      <c r="S4869" s="100"/>
      <c r="T4869" s="100"/>
      <c r="U4869" s="100"/>
      <c r="V4869" s="100"/>
      <c r="W4869" s="100"/>
      <c r="X4869" s="100"/>
      <c r="Y4869" s="100"/>
      <c r="Z4869" s="100"/>
    </row>
    <row r="4870" spans="1:26">
      <c r="A4870" s="100"/>
      <c r="B4870" s="100"/>
      <c r="C4870" s="100"/>
      <c r="D4870" s="100"/>
      <c r="E4870" s="100"/>
      <c r="F4870" s="100"/>
      <c r="G4870" s="100"/>
      <c r="H4870" s="100"/>
      <c r="I4870" s="100"/>
      <c r="J4870" s="100"/>
      <c r="K4870" s="100"/>
      <c r="L4870" s="100"/>
      <c r="M4870" s="100"/>
      <c r="N4870" s="100"/>
      <c r="O4870" s="100"/>
      <c r="P4870" s="100"/>
      <c r="Q4870" s="100"/>
      <c r="R4870" s="100"/>
      <c r="S4870" s="100"/>
      <c r="T4870" s="100"/>
      <c r="U4870" s="100"/>
      <c r="V4870" s="100"/>
      <c r="W4870" s="100"/>
      <c r="X4870" s="100"/>
      <c r="Y4870" s="100"/>
      <c r="Z4870" s="100"/>
    </row>
    <row r="4871" spans="1:26">
      <c r="A4871" s="100"/>
      <c r="B4871" s="100"/>
      <c r="C4871" s="100"/>
      <c r="D4871" s="100"/>
      <c r="E4871" s="100"/>
      <c r="F4871" s="100"/>
      <c r="G4871" s="100"/>
      <c r="H4871" s="100"/>
      <c r="I4871" s="100"/>
      <c r="J4871" s="100"/>
      <c r="K4871" s="100"/>
      <c r="L4871" s="100"/>
      <c r="M4871" s="100"/>
      <c r="N4871" s="100"/>
      <c r="O4871" s="100"/>
      <c r="P4871" s="100"/>
      <c r="Q4871" s="100"/>
      <c r="R4871" s="100"/>
      <c r="S4871" s="100"/>
      <c r="T4871" s="100"/>
      <c r="U4871" s="100"/>
      <c r="V4871" s="100"/>
      <c r="W4871" s="100"/>
      <c r="X4871" s="100"/>
      <c r="Y4871" s="100"/>
      <c r="Z4871" s="100"/>
    </row>
    <row r="4872" spans="1:26">
      <c r="A4872" s="100"/>
      <c r="B4872" s="100"/>
      <c r="C4872" s="100"/>
      <c r="D4872" s="100"/>
      <c r="E4872" s="100"/>
      <c r="F4872" s="100"/>
      <c r="G4872" s="100"/>
      <c r="H4872" s="100"/>
      <c r="I4872" s="100"/>
      <c r="J4872" s="100"/>
      <c r="K4872" s="100"/>
      <c r="L4872" s="100"/>
      <c r="M4872" s="100"/>
      <c r="N4872" s="100"/>
      <c r="O4872" s="100"/>
      <c r="P4872" s="100"/>
      <c r="Q4872" s="100"/>
      <c r="R4872" s="100"/>
      <c r="S4872" s="100"/>
      <c r="T4872" s="100"/>
      <c r="U4872" s="100"/>
      <c r="V4872" s="100"/>
      <c r="W4872" s="100"/>
      <c r="X4872" s="100"/>
      <c r="Y4872" s="100"/>
      <c r="Z4872" s="100"/>
    </row>
    <row r="4873" spans="1:26">
      <c r="A4873" s="100"/>
      <c r="B4873" s="100"/>
      <c r="C4873" s="100"/>
      <c r="D4873" s="100"/>
      <c r="E4873" s="100"/>
      <c r="F4873" s="100"/>
      <c r="G4873" s="100"/>
      <c r="H4873" s="100"/>
      <c r="I4873" s="100"/>
      <c r="J4873" s="100"/>
      <c r="K4873" s="100"/>
      <c r="L4873" s="100"/>
      <c r="M4873" s="100"/>
      <c r="N4873" s="100"/>
      <c r="O4873" s="100"/>
      <c r="P4873" s="100"/>
      <c r="Q4873" s="100"/>
      <c r="R4873" s="100"/>
      <c r="S4873" s="100"/>
      <c r="T4873" s="100"/>
      <c r="U4873" s="100"/>
      <c r="V4873" s="100"/>
      <c r="W4873" s="100"/>
      <c r="X4873" s="100"/>
      <c r="Y4873" s="100"/>
      <c r="Z4873" s="100"/>
    </row>
    <row r="4874" spans="1:26">
      <c r="A4874" s="100"/>
      <c r="B4874" s="100"/>
      <c r="C4874" s="100"/>
      <c r="D4874" s="100"/>
      <c r="E4874" s="100"/>
      <c r="F4874" s="100"/>
      <c r="G4874" s="100"/>
      <c r="H4874" s="100"/>
      <c r="I4874" s="100"/>
      <c r="J4874" s="100"/>
      <c r="K4874" s="100"/>
      <c r="L4874" s="100"/>
      <c r="M4874" s="100"/>
      <c r="N4874" s="100"/>
      <c r="O4874" s="100"/>
      <c r="P4874" s="100"/>
      <c r="Q4874" s="100"/>
      <c r="R4874" s="100"/>
      <c r="S4874" s="100"/>
      <c r="T4874" s="100"/>
      <c r="U4874" s="100"/>
      <c r="V4874" s="100"/>
      <c r="W4874" s="100"/>
      <c r="X4874" s="100"/>
      <c r="Y4874" s="100"/>
      <c r="Z4874" s="100"/>
    </row>
    <row r="4875" spans="1:26">
      <c r="A4875" s="100"/>
      <c r="B4875" s="100"/>
      <c r="C4875" s="100"/>
      <c r="D4875" s="100"/>
      <c r="E4875" s="100"/>
      <c r="F4875" s="100"/>
      <c r="G4875" s="100"/>
      <c r="H4875" s="100"/>
      <c r="I4875" s="100"/>
      <c r="J4875" s="100"/>
      <c r="K4875" s="100"/>
      <c r="L4875" s="100"/>
      <c r="M4875" s="100"/>
      <c r="N4875" s="100"/>
      <c r="O4875" s="100"/>
      <c r="P4875" s="100"/>
      <c r="Q4875" s="100"/>
      <c r="R4875" s="100"/>
      <c r="S4875" s="100"/>
      <c r="T4875" s="100"/>
      <c r="U4875" s="100"/>
      <c r="V4875" s="100"/>
      <c r="W4875" s="100"/>
      <c r="X4875" s="100"/>
      <c r="Y4875" s="100"/>
      <c r="Z4875" s="100"/>
    </row>
    <row r="4876" spans="1:26">
      <c r="A4876" s="100"/>
      <c r="B4876" s="100"/>
      <c r="C4876" s="100"/>
      <c r="D4876" s="100"/>
      <c r="E4876" s="100"/>
      <c r="F4876" s="100"/>
      <c r="G4876" s="100"/>
      <c r="H4876" s="100"/>
      <c r="I4876" s="100"/>
      <c r="J4876" s="100"/>
      <c r="K4876" s="100"/>
      <c r="L4876" s="100"/>
      <c r="M4876" s="100"/>
      <c r="N4876" s="100"/>
      <c r="O4876" s="100"/>
      <c r="P4876" s="100"/>
      <c r="Q4876" s="100"/>
      <c r="R4876" s="100"/>
      <c r="S4876" s="100"/>
      <c r="T4876" s="100"/>
      <c r="U4876" s="100"/>
      <c r="V4876" s="100"/>
      <c r="W4876" s="100"/>
      <c r="X4876" s="100"/>
      <c r="Y4876" s="100"/>
      <c r="Z4876" s="100"/>
    </row>
    <row r="4877" spans="1:26">
      <c r="A4877" s="100"/>
      <c r="B4877" s="100"/>
      <c r="C4877" s="100"/>
      <c r="D4877" s="100"/>
      <c r="E4877" s="100"/>
      <c r="F4877" s="100"/>
      <c r="G4877" s="100"/>
      <c r="H4877" s="100"/>
      <c r="I4877" s="100"/>
      <c r="J4877" s="100"/>
      <c r="K4877" s="100"/>
      <c r="L4877" s="100"/>
      <c r="M4877" s="100"/>
      <c r="N4877" s="100"/>
      <c r="O4877" s="100"/>
      <c r="P4877" s="100"/>
      <c r="Q4877" s="100"/>
      <c r="R4877" s="100"/>
      <c r="S4877" s="100"/>
      <c r="T4877" s="100"/>
      <c r="U4877" s="100"/>
      <c r="V4877" s="100"/>
      <c r="W4877" s="100"/>
      <c r="X4877" s="100"/>
      <c r="Y4877" s="100"/>
      <c r="Z4877" s="100"/>
    </row>
    <row r="4878" spans="1:26">
      <c r="A4878" s="100"/>
      <c r="B4878" s="100"/>
      <c r="C4878" s="100"/>
      <c r="D4878" s="100"/>
      <c r="E4878" s="100"/>
      <c r="F4878" s="100"/>
      <c r="G4878" s="100"/>
      <c r="H4878" s="100"/>
      <c r="I4878" s="100"/>
      <c r="J4878" s="100"/>
      <c r="K4878" s="100"/>
      <c r="L4878" s="100"/>
      <c r="M4878" s="100"/>
      <c r="N4878" s="100"/>
      <c r="O4878" s="100"/>
      <c r="P4878" s="100"/>
      <c r="Q4878" s="100"/>
      <c r="R4878" s="100"/>
      <c r="S4878" s="100"/>
      <c r="T4878" s="100"/>
      <c r="U4878" s="100"/>
      <c r="V4878" s="100"/>
      <c r="W4878" s="100"/>
      <c r="X4878" s="100"/>
      <c r="Y4878" s="100"/>
      <c r="Z4878" s="100"/>
    </row>
    <row r="4879" spans="1:26">
      <c r="A4879" s="100"/>
      <c r="B4879" s="100"/>
      <c r="C4879" s="100"/>
      <c r="D4879" s="100"/>
      <c r="E4879" s="100"/>
      <c r="F4879" s="100"/>
      <c r="G4879" s="100"/>
      <c r="H4879" s="100"/>
      <c r="I4879" s="100"/>
      <c r="J4879" s="100"/>
      <c r="K4879" s="100"/>
      <c r="L4879" s="100"/>
      <c r="M4879" s="100"/>
      <c r="N4879" s="100"/>
      <c r="O4879" s="100"/>
      <c r="P4879" s="100"/>
      <c r="Q4879" s="100"/>
      <c r="R4879" s="100"/>
      <c r="S4879" s="100"/>
      <c r="T4879" s="100"/>
      <c r="U4879" s="100"/>
      <c r="V4879" s="100"/>
      <c r="W4879" s="100"/>
      <c r="X4879" s="100"/>
      <c r="Y4879" s="100"/>
      <c r="Z4879" s="100"/>
    </row>
    <row r="4880" spans="1:26">
      <c r="A4880" s="100"/>
      <c r="B4880" s="100"/>
      <c r="C4880" s="100"/>
      <c r="D4880" s="100"/>
      <c r="E4880" s="100"/>
      <c r="F4880" s="100"/>
      <c r="G4880" s="100"/>
      <c r="H4880" s="100"/>
      <c r="I4880" s="100"/>
      <c r="J4880" s="100"/>
      <c r="K4880" s="100"/>
      <c r="L4880" s="100"/>
      <c r="M4880" s="100"/>
      <c r="N4880" s="100"/>
      <c r="O4880" s="100"/>
      <c r="P4880" s="100"/>
      <c r="Q4880" s="100"/>
      <c r="R4880" s="100"/>
      <c r="S4880" s="100"/>
      <c r="T4880" s="100"/>
      <c r="U4880" s="100"/>
      <c r="V4880" s="100"/>
      <c r="W4880" s="100"/>
      <c r="X4880" s="100"/>
      <c r="Y4880" s="100"/>
      <c r="Z4880" s="100"/>
    </row>
    <row r="4881" spans="1:26">
      <c r="A4881" s="100"/>
      <c r="B4881" s="100"/>
      <c r="C4881" s="100"/>
      <c r="D4881" s="100"/>
      <c r="E4881" s="100"/>
      <c r="F4881" s="100"/>
      <c r="G4881" s="100"/>
      <c r="H4881" s="100"/>
      <c r="I4881" s="100"/>
      <c r="J4881" s="100"/>
      <c r="K4881" s="100"/>
      <c r="L4881" s="100"/>
      <c r="M4881" s="100"/>
      <c r="N4881" s="100"/>
      <c r="O4881" s="100"/>
      <c r="P4881" s="100"/>
      <c r="Q4881" s="100"/>
      <c r="R4881" s="100"/>
      <c r="S4881" s="100"/>
      <c r="T4881" s="100"/>
      <c r="U4881" s="100"/>
      <c r="V4881" s="100"/>
      <c r="W4881" s="100"/>
      <c r="X4881" s="100"/>
      <c r="Y4881" s="100"/>
      <c r="Z4881" s="100"/>
    </row>
    <row r="4882" spans="1:26">
      <c r="A4882" s="100"/>
      <c r="B4882" s="100"/>
      <c r="C4882" s="100"/>
      <c r="D4882" s="100"/>
      <c r="E4882" s="100"/>
      <c r="F4882" s="100"/>
      <c r="G4882" s="100"/>
      <c r="H4882" s="100"/>
      <c r="I4882" s="100"/>
      <c r="J4882" s="100"/>
      <c r="K4882" s="100"/>
      <c r="L4882" s="100"/>
      <c r="M4882" s="100"/>
      <c r="N4882" s="100"/>
      <c r="O4882" s="100"/>
      <c r="P4882" s="100"/>
      <c r="Q4882" s="100"/>
      <c r="R4882" s="100"/>
      <c r="S4882" s="100"/>
      <c r="T4882" s="100"/>
      <c r="U4882" s="100"/>
      <c r="V4882" s="100"/>
      <c r="W4882" s="100"/>
      <c r="X4882" s="100"/>
      <c r="Y4882" s="100"/>
      <c r="Z4882" s="100"/>
    </row>
    <row r="4883" spans="1:26">
      <c r="A4883" s="100"/>
      <c r="B4883" s="100"/>
      <c r="C4883" s="100"/>
      <c r="D4883" s="100"/>
      <c r="E4883" s="100"/>
      <c r="F4883" s="100"/>
      <c r="G4883" s="100"/>
      <c r="H4883" s="100"/>
      <c r="I4883" s="100"/>
      <c r="J4883" s="100"/>
      <c r="K4883" s="100"/>
      <c r="L4883" s="100"/>
      <c r="M4883" s="100"/>
      <c r="N4883" s="100"/>
      <c r="O4883" s="100"/>
      <c r="P4883" s="100"/>
      <c r="Q4883" s="100"/>
      <c r="R4883" s="100"/>
      <c r="S4883" s="100"/>
      <c r="T4883" s="100"/>
      <c r="U4883" s="100"/>
      <c r="V4883" s="100"/>
      <c r="W4883" s="100"/>
      <c r="X4883" s="100"/>
      <c r="Y4883" s="100"/>
      <c r="Z4883" s="100"/>
    </row>
    <row r="4884" spans="1:26">
      <c r="A4884" s="100"/>
      <c r="B4884" s="100"/>
      <c r="C4884" s="100"/>
      <c r="D4884" s="100"/>
      <c r="E4884" s="100"/>
      <c r="F4884" s="100"/>
      <c r="G4884" s="100"/>
      <c r="H4884" s="100"/>
      <c r="I4884" s="100"/>
      <c r="J4884" s="100"/>
      <c r="K4884" s="100"/>
      <c r="L4884" s="100"/>
      <c r="M4884" s="100"/>
      <c r="N4884" s="100"/>
      <c r="O4884" s="100"/>
      <c r="P4884" s="100"/>
      <c r="Q4884" s="100"/>
      <c r="R4884" s="100"/>
      <c r="S4884" s="100"/>
      <c r="T4884" s="100"/>
      <c r="U4884" s="100"/>
      <c r="V4884" s="100"/>
      <c r="W4884" s="100"/>
      <c r="X4884" s="100"/>
      <c r="Y4884" s="100"/>
      <c r="Z4884" s="100"/>
    </row>
    <row r="4885" spans="1:26">
      <c r="A4885" s="100"/>
      <c r="B4885" s="100"/>
      <c r="C4885" s="100"/>
      <c r="D4885" s="100"/>
      <c r="E4885" s="100"/>
      <c r="F4885" s="100"/>
      <c r="G4885" s="100"/>
      <c r="H4885" s="100"/>
      <c r="I4885" s="100"/>
      <c r="J4885" s="100"/>
      <c r="K4885" s="100"/>
      <c r="L4885" s="100"/>
      <c r="M4885" s="100"/>
      <c r="N4885" s="100"/>
      <c r="O4885" s="100"/>
      <c r="P4885" s="100"/>
      <c r="Q4885" s="100"/>
      <c r="R4885" s="100"/>
      <c r="S4885" s="100"/>
      <c r="T4885" s="100"/>
      <c r="U4885" s="100"/>
      <c r="V4885" s="100"/>
      <c r="W4885" s="100"/>
      <c r="X4885" s="100"/>
      <c r="Y4885" s="100"/>
      <c r="Z4885" s="100"/>
    </row>
    <row r="4886" spans="1:26">
      <c r="A4886" s="100"/>
      <c r="B4886" s="100"/>
      <c r="C4886" s="100"/>
      <c r="D4886" s="100"/>
      <c r="E4886" s="100"/>
      <c r="F4886" s="100"/>
      <c r="G4886" s="100"/>
      <c r="H4886" s="100"/>
      <c r="I4886" s="100"/>
      <c r="J4886" s="100"/>
      <c r="K4886" s="100"/>
      <c r="L4886" s="100"/>
      <c r="M4886" s="100"/>
      <c r="N4886" s="100"/>
      <c r="O4886" s="100"/>
      <c r="P4886" s="100"/>
      <c r="Q4886" s="100"/>
      <c r="R4886" s="100"/>
      <c r="S4886" s="100"/>
      <c r="T4886" s="100"/>
      <c r="U4886" s="100"/>
      <c r="V4886" s="100"/>
      <c r="W4886" s="100"/>
      <c r="X4886" s="100"/>
      <c r="Y4886" s="100"/>
      <c r="Z4886" s="100"/>
    </row>
    <row r="4887" spans="1:26">
      <c r="A4887" s="100"/>
      <c r="B4887" s="100"/>
      <c r="C4887" s="100"/>
      <c r="D4887" s="100"/>
      <c r="E4887" s="100"/>
      <c r="F4887" s="100"/>
      <c r="G4887" s="100"/>
      <c r="H4887" s="100"/>
      <c r="I4887" s="100"/>
      <c r="J4887" s="100"/>
      <c r="K4887" s="100"/>
      <c r="L4887" s="100"/>
      <c r="M4887" s="100"/>
      <c r="N4887" s="100"/>
      <c r="O4887" s="100"/>
      <c r="P4887" s="100"/>
      <c r="Q4887" s="100"/>
      <c r="R4887" s="100"/>
      <c r="S4887" s="100"/>
      <c r="T4887" s="100"/>
      <c r="U4887" s="100"/>
      <c r="V4887" s="100"/>
      <c r="W4887" s="100"/>
      <c r="X4887" s="100"/>
      <c r="Y4887" s="100"/>
      <c r="Z4887" s="100"/>
    </row>
    <row r="4888" spans="1:26">
      <c r="A4888" s="100"/>
      <c r="B4888" s="100"/>
      <c r="C4888" s="100"/>
      <c r="D4888" s="100"/>
      <c r="E4888" s="100"/>
      <c r="F4888" s="100"/>
      <c r="G4888" s="100"/>
      <c r="H4888" s="100"/>
      <c r="I4888" s="100"/>
      <c r="J4888" s="100"/>
      <c r="K4888" s="100"/>
      <c r="L4888" s="100"/>
      <c r="M4888" s="100"/>
      <c r="N4888" s="100"/>
      <c r="O4888" s="100"/>
      <c r="P4888" s="100"/>
      <c r="Q4888" s="100"/>
      <c r="R4888" s="100"/>
      <c r="S4888" s="100"/>
      <c r="T4888" s="100"/>
      <c r="U4888" s="100"/>
      <c r="V4888" s="100"/>
      <c r="W4888" s="100"/>
      <c r="X4888" s="100"/>
      <c r="Y4888" s="100"/>
      <c r="Z4888" s="100"/>
    </row>
    <row r="4889" spans="1:26">
      <c r="A4889" s="100"/>
      <c r="B4889" s="100"/>
      <c r="C4889" s="100"/>
      <c r="D4889" s="100"/>
      <c r="E4889" s="100"/>
      <c r="F4889" s="100"/>
      <c r="G4889" s="100"/>
      <c r="H4889" s="100"/>
      <c r="I4889" s="100"/>
      <c r="J4889" s="100"/>
      <c r="K4889" s="100"/>
      <c r="L4889" s="100"/>
      <c r="M4889" s="100"/>
      <c r="N4889" s="100"/>
      <c r="O4889" s="100"/>
      <c r="P4889" s="100"/>
      <c r="Q4889" s="100"/>
      <c r="R4889" s="100"/>
      <c r="S4889" s="100"/>
      <c r="T4889" s="100"/>
      <c r="U4889" s="100"/>
      <c r="V4889" s="100"/>
      <c r="W4889" s="100"/>
      <c r="X4889" s="100"/>
      <c r="Y4889" s="100"/>
      <c r="Z4889" s="100"/>
    </row>
    <row r="4890" spans="1:26">
      <c r="A4890" s="100"/>
      <c r="B4890" s="100"/>
      <c r="C4890" s="100"/>
      <c r="D4890" s="100"/>
      <c r="E4890" s="100"/>
      <c r="F4890" s="100"/>
      <c r="G4890" s="100"/>
      <c r="H4890" s="100"/>
      <c r="I4890" s="100"/>
      <c r="J4890" s="100"/>
      <c r="K4890" s="100"/>
      <c r="L4890" s="100"/>
      <c r="M4890" s="100"/>
      <c r="N4890" s="100"/>
      <c r="O4890" s="100"/>
      <c r="P4890" s="100"/>
      <c r="Q4890" s="100"/>
      <c r="R4890" s="100"/>
      <c r="S4890" s="100"/>
      <c r="T4890" s="100"/>
      <c r="U4890" s="100"/>
      <c r="V4890" s="100"/>
      <c r="W4890" s="100"/>
      <c r="X4890" s="100"/>
      <c r="Y4890" s="100"/>
      <c r="Z4890" s="100"/>
    </row>
    <row r="4891" spans="1:26">
      <c r="A4891" s="100"/>
      <c r="B4891" s="100"/>
      <c r="C4891" s="100"/>
      <c r="D4891" s="100"/>
      <c r="E4891" s="100"/>
      <c r="F4891" s="100"/>
      <c r="G4891" s="100"/>
      <c r="H4891" s="100"/>
      <c r="I4891" s="100"/>
      <c r="J4891" s="100"/>
      <c r="K4891" s="100"/>
      <c r="L4891" s="100"/>
      <c r="M4891" s="100"/>
      <c r="N4891" s="100"/>
      <c r="O4891" s="100"/>
      <c r="P4891" s="100"/>
      <c r="Q4891" s="100"/>
      <c r="R4891" s="100"/>
      <c r="S4891" s="100"/>
      <c r="T4891" s="100"/>
      <c r="U4891" s="100"/>
      <c r="V4891" s="100"/>
      <c r="W4891" s="100"/>
      <c r="X4891" s="100"/>
      <c r="Y4891" s="100"/>
      <c r="Z4891" s="100"/>
    </row>
    <row r="4892" spans="1:26">
      <c r="A4892" s="100"/>
      <c r="B4892" s="100"/>
      <c r="C4892" s="100"/>
      <c r="D4892" s="100"/>
      <c r="E4892" s="100"/>
      <c r="F4892" s="100"/>
      <c r="G4892" s="100"/>
      <c r="H4892" s="100"/>
      <c r="I4892" s="100"/>
      <c r="J4892" s="100"/>
      <c r="K4892" s="100"/>
      <c r="L4892" s="100"/>
      <c r="M4892" s="100"/>
      <c r="N4892" s="100"/>
      <c r="O4892" s="100"/>
      <c r="P4892" s="100"/>
      <c r="Q4892" s="100"/>
      <c r="R4892" s="100"/>
      <c r="S4892" s="100"/>
      <c r="T4892" s="100"/>
      <c r="U4892" s="100"/>
      <c r="V4892" s="100"/>
      <c r="W4892" s="100"/>
      <c r="X4892" s="100"/>
      <c r="Y4892" s="100"/>
      <c r="Z4892" s="100"/>
    </row>
    <row r="4893" spans="1:26">
      <c r="A4893" s="100"/>
      <c r="B4893" s="100"/>
      <c r="C4893" s="100"/>
      <c r="D4893" s="100"/>
      <c r="E4893" s="100"/>
      <c r="F4893" s="100"/>
      <c r="G4893" s="100"/>
      <c r="H4893" s="100"/>
      <c r="I4893" s="100"/>
      <c r="J4893" s="100"/>
      <c r="K4893" s="100"/>
      <c r="L4893" s="100"/>
      <c r="M4893" s="100"/>
      <c r="N4893" s="100"/>
      <c r="O4893" s="100"/>
      <c r="P4893" s="100"/>
      <c r="Q4893" s="100"/>
      <c r="R4893" s="100"/>
      <c r="S4893" s="100"/>
      <c r="T4893" s="100"/>
      <c r="U4893" s="100"/>
      <c r="V4893" s="100"/>
      <c r="W4893" s="100"/>
      <c r="X4893" s="100"/>
      <c r="Y4893" s="100"/>
      <c r="Z4893" s="100"/>
    </row>
    <row r="4894" spans="1:26">
      <c r="A4894" s="100"/>
      <c r="B4894" s="100"/>
      <c r="C4894" s="100"/>
      <c r="D4894" s="100"/>
      <c r="E4894" s="100"/>
      <c r="F4894" s="100"/>
      <c r="G4894" s="100"/>
      <c r="H4894" s="100"/>
      <c r="I4894" s="100"/>
      <c r="J4894" s="100"/>
      <c r="K4894" s="100"/>
      <c r="L4894" s="100"/>
      <c r="M4894" s="100"/>
      <c r="N4894" s="100"/>
      <c r="O4894" s="100"/>
      <c r="P4894" s="100"/>
      <c r="Q4894" s="100"/>
      <c r="R4894" s="100"/>
      <c r="S4894" s="100"/>
      <c r="T4894" s="100"/>
      <c r="U4894" s="100"/>
      <c r="V4894" s="100"/>
      <c r="W4894" s="100"/>
      <c r="X4894" s="100"/>
      <c r="Y4894" s="100"/>
      <c r="Z4894" s="100"/>
    </row>
    <row r="4895" spans="1:26">
      <c r="A4895" s="100"/>
      <c r="B4895" s="100"/>
      <c r="C4895" s="100"/>
      <c r="D4895" s="100"/>
      <c r="E4895" s="100"/>
      <c r="F4895" s="100"/>
      <c r="G4895" s="100"/>
      <c r="H4895" s="100"/>
      <c r="I4895" s="100"/>
      <c r="J4895" s="100"/>
      <c r="K4895" s="100"/>
      <c r="L4895" s="100"/>
      <c r="M4895" s="100"/>
      <c r="N4895" s="100"/>
      <c r="O4895" s="100"/>
      <c r="P4895" s="100"/>
      <c r="Q4895" s="100"/>
      <c r="R4895" s="100"/>
      <c r="S4895" s="100"/>
      <c r="T4895" s="100"/>
      <c r="U4895" s="100"/>
      <c r="V4895" s="100"/>
      <c r="W4895" s="100"/>
      <c r="X4895" s="100"/>
      <c r="Y4895" s="100"/>
      <c r="Z4895" s="100"/>
    </row>
    <row r="4896" spans="1:26">
      <c r="A4896" s="100"/>
      <c r="B4896" s="100"/>
      <c r="C4896" s="100"/>
      <c r="D4896" s="100"/>
      <c r="E4896" s="100"/>
      <c r="F4896" s="100"/>
      <c r="G4896" s="100"/>
      <c r="H4896" s="100"/>
      <c r="I4896" s="100"/>
      <c r="J4896" s="100"/>
      <c r="K4896" s="100"/>
      <c r="L4896" s="100"/>
      <c r="M4896" s="100"/>
      <c r="N4896" s="100"/>
      <c r="O4896" s="100"/>
      <c r="P4896" s="100"/>
      <c r="Q4896" s="100"/>
      <c r="R4896" s="100"/>
      <c r="S4896" s="100"/>
      <c r="T4896" s="100"/>
      <c r="U4896" s="100"/>
      <c r="V4896" s="100"/>
      <c r="W4896" s="100"/>
      <c r="X4896" s="100"/>
      <c r="Y4896" s="100"/>
      <c r="Z4896" s="100"/>
    </row>
    <row r="4897" spans="1:26">
      <c r="A4897" s="100"/>
      <c r="B4897" s="100"/>
      <c r="C4897" s="100"/>
      <c r="D4897" s="100"/>
      <c r="E4897" s="100"/>
      <c r="F4897" s="100"/>
      <c r="G4897" s="100"/>
      <c r="H4897" s="100"/>
      <c r="I4897" s="100"/>
      <c r="J4897" s="100"/>
      <c r="K4897" s="100"/>
      <c r="L4897" s="100"/>
      <c r="M4897" s="100"/>
      <c r="N4897" s="100"/>
      <c r="O4897" s="100"/>
      <c r="P4897" s="100"/>
      <c r="Q4897" s="100"/>
      <c r="R4897" s="100"/>
      <c r="S4897" s="100"/>
      <c r="T4897" s="100"/>
      <c r="U4897" s="100"/>
      <c r="V4897" s="100"/>
      <c r="W4897" s="100"/>
      <c r="X4897" s="100"/>
      <c r="Y4897" s="100"/>
      <c r="Z4897" s="100"/>
    </row>
    <row r="4898" spans="1:26">
      <c r="A4898" s="100"/>
      <c r="B4898" s="100"/>
      <c r="C4898" s="100"/>
      <c r="D4898" s="100"/>
      <c r="E4898" s="100"/>
      <c r="F4898" s="100"/>
      <c r="G4898" s="100"/>
      <c r="H4898" s="100"/>
      <c r="I4898" s="100"/>
      <c r="J4898" s="100"/>
      <c r="K4898" s="100"/>
      <c r="L4898" s="100"/>
      <c r="M4898" s="100"/>
      <c r="N4898" s="100"/>
      <c r="O4898" s="100"/>
      <c r="P4898" s="100"/>
      <c r="Q4898" s="100"/>
      <c r="R4898" s="100"/>
      <c r="S4898" s="100"/>
      <c r="T4898" s="100"/>
      <c r="U4898" s="100"/>
      <c r="V4898" s="100"/>
      <c r="W4898" s="100"/>
      <c r="X4898" s="100"/>
      <c r="Y4898" s="100"/>
      <c r="Z4898" s="100"/>
    </row>
    <row r="4899" spans="1:26">
      <c r="A4899" s="100"/>
      <c r="B4899" s="100"/>
      <c r="C4899" s="100"/>
      <c r="D4899" s="100"/>
      <c r="E4899" s="100"/>
      <c r="F4899" s="100"/>
      <c r="G4899" s="100"/>
      <c r="H4899" s="100"/>
      <c r="I4899" s="100"/>
      <c r="J4899" s="100"/>
      <c r="K4899" s="100"/>
      <c r="L4899" s="100"/>
      <c r="M4899" s="100"/>
      <c r="N4899" s="100"/>
      <c r="O4899" s="100"/>
      <c r="P4899" s="100"/>
      <c r="Q4899" s="100"/>
      <c r="R4899" s="100"/>
      <c r="S4899" s="100"/>
      <c r="T4899" s="100"/>
      <c r="U4899" s="100"/>
      <c r="V4899" s="100"/>
      <c r="W4899" s="100"/>
      <c r="X4899" s="100"/>
      <c r="Y4899" s="100"/>
      <c r="Z4899" s="100"/>
    </row>
    <row r="4900" spans="1:26">
      <c r="A4900" s="100"/>
      <c r="B4900" s="100"/>
      <c r="C4900" s="100"/>
      <c r="D4900" s="100"/>
      <c r="E4900" s="100"/>
      <c r="F4900" s="100"/>
      <c r="G4900" s="100"/>
      <c r="H4900" s="100"/>
      <c r="I4900" s="100"/>
      <c r="J4900" s="100"/>
      <c r="K4900" s="100"/>
      <c r="L4900" s="100"/>
      <c r="M4900" s="100"/>
      <c r="N4900" s="100"/>
      <c r="O4900" s="100"/>
      <c r="P4900" s="100"/>
      <c r="Q4900" s="100"/>
      <c r="R4900" s="100"/>
      <c r="S4900" s="100"/>
      <c r="T4900" s="100"/>
      <c r="U4900" s="100"/>
      <c r="V4900" s="100"/>
      <c r="W4900" s="100"/>
      <c r="X4900" s="100"/>
      <c r="Y4900" s="100"/>
      <c r="Z4900" s="100"/>
    </row>
    <row r="4901" spans="1:26">
      <c r="A4901" s="100"/>
      <c r="B4901" s="100"/>
      <c r="C4901" s="100"/>
      <c r="D4901" s="100"/>
      <c r="E4901" s="100"/>
      <c r="F4901" s="100"/>
      <c r="G4901" s="100"/>
      <c r="H4901" s="100"/>
      <c r="I4901" s="100"/>
      <c r="J4901" s="100"/>
      <c r="K4901" s="100"/>
      <c r="L4901" s="100"/>
      <c r="M4901" s="100"/>
      <c r="N4901" s="100"/>
      <c r="O4901" s="100"/>
      <c r="P4901" s="100"/>
      <c r="Q4901" s="100"/>
      <c r="R4901" s="100"/>
      <c r="S4901" s="100"/>
      <c r="T4901" s="100"/>
      <c r="U4901" s="100"/>
      <c r="V4901" s="100"/>
      <c r="W4901" s="100"/>
      <c r="X4901" s="100"/>
      <c r="Y4901" s="100"/>
      <c r="Z4901" s="100"/>
    </row>
    <row r="4902" spans="1:26">
      <c r="A4902" s="100"/>
      <c r="B4902" s="100"/>
      <c r="C4902" s="100"/>
      <c r="D4902" s="100"/>
      <c r="E4902" s="100"/>
      <c r="F4902" s="100"/>
      <c r="G4902" s="100"/>
      <c r="H4902" s="100"/>
      <c r="I4902" s="100"/>
      <c r="J4902" s="100"/>
      <c r="K4902" s="100"/>
      <c r="L4902" s="100"/>
      <c r="M4902" s="100"/>
      <c r="N4902" s="100"/>
      <c r="O4902" s="100"/>
      <c r="P4902" s="100"/>
      <c r="Q4902" s="100"/>
      <c r="R4902" s="100"/>
      <c r="S4902" s="100"/>
      <c r="T4902" s="100"/>
      <c r="U4902" s="100"/>
      <c r="V4902" s="100"/>
      <c r="W4902" s="100"/>
      <c r="X4902" s="100"/>
      <c r="Y4902" s="100"/>
      <c r="Z4902" s="100"/>
    </row>
    <row r="4903" spans="1:26">
      <c r="A4903" s="100"/>
      <c r="B4903" s="100"/>
      <c r="C4903" s="100"/>
      <c r="D4903" s="100"/>
      <c r="E4903" s="100"/>
      <c r="F4903" s="100"/>
      <c r="G4903" s="100"/>
      <c r="H4903" s="100"/>
      <c r="I4903" s="100"/>
      <c r="J4903" s="100"/>
      <c r="K4903" s="100"/>
      <c r="L4903" s="100"/>
      <c r="M4903" s="100"/>
      <c r="N4903" s="100"/>
      <c r="O4903" s="100"/>
      <c r="P4903" s="100"/>
      <c r="Q4903" s="100"/>
      <c r="R4903" s="100"/>
      <c r="S4903" s="100"/>
      <c r="T4903" s="100"/>
      <c r="U4903" s="100"/>
      <c r="V4903" s="100"/>
      <c r="W4903" s="100"/>
      <c r="X4903" s="100"/>
      <c r="Y4903" s="100"/>
      <c r="Z4903" s="100"/>
    </row>
    <row r="4904" spans="1:26">
      <c r="A4904" s="100"/>
      <c r="B4904" s="100"/>
      <c r="C4904" s="100"/>
      <c r="D4904" s="100"/>
      <c r="E4904" s="100"/>
      <c r="F4904" s="100"/>
      <c r="G4904" s="100"/>
      <c r="H4904" s="100"/>
      <c r="I4904" s="100"/>
      <c r="J4904" s="100"/>
      <c r="K4904" s="100"/>
      <c r="L4904" s="100"/>
      <c r="M4904" s="100"/>
      <c r="N4904" s="100"/>
      <c r="O4904" s="100"/>
      <c r="P4904" s="100"/>
      <c r="Q4904" s="100"/>
      <c r="R4904" s="100"/>
      <c r="S4904" s="100"/>
      <c r="T4904" s="100"/>
      <c r="U4904" s="100"/>
      <c r="V4904" s="100"/>
      <c r="W4904" s="100"/>
      <c r="X4904" s="100"/>
      <c r="Y4904" s="100"/>
      <c r="Z4904" s="100"/>
    </row>
    <row r="4905" spans="1:26">
      <c r="A4905" s="100"/>
      <c r="B4905" s="100"/>
      <c r="C4905" s="100"/>
      <c r="D4905" s="100"/>
      <c r="E4905" s="100"/>
      <c r="F4905" s="100"/>
      <c r="G4905" s="100"/>
      <c r="H4905" s="100"/>
      <c r="I4905" s="100"/>
      <c r="J4905" s="100"/>
      <c r="K4905" s="100"/>
      <c r="L4905" s="100"/>
      <c r="M4905" s="100"/>
      <c r="N4905" s="100"/>
      <c r="O4905" s="100"/>
      <c r="P4905" s="100"/>
      <c r="Q4905" s="100"/>
      <c r="R4905" s="100"/>
      <c r="S4905" s="100"/>
      <c r="T4905" s="100"/>
      <c r="U4905" s="100"/>
      <c r="V4905" s="100"/>
      <c r="W4905" s="100"/>
      <c r="X4905" s="100"/>
      <c r="Y4905" s="100"/>
      <c r="Z4905" s="100"/>
    </row>
    <row r="4906" spans="1:26">
      <c r="A4906" s="100"/>
      <c r="B4906" s="100"/>
      <c r="C4906" s="100"/>
      <c r="D4906" s="100"/>
      <c r="E4906" s="100"/>
      <c r="F4906" s="100"/>
      <c r="G4906" s="100"/>
      <c r="H4906" s="100"/>
      <c r="I4906" s="100"/>
      <c r="J4906" s="100"/>
      <c r="K4906" s="100"/>
      <c r="L4906" s="100"/>
      <c r="M4906" s="100"/>
      <c r="N4906" s="100"/>
      <c r="O4906" s="100"/>
      <c r="P4906" s="100"/>
      <c r="Q4906" s="100"/>
      <c r="R4906" s="100"/>
      <c r="S4906" s="100"/>
      <c r="T4906" s="100"/>
      <c r="U4906" s="100"/>
      <c r="V4906" s="100"/>
      <c r="W4906" s="100"/>
      <c r="X4906" s="100"/>
      <c r="Y4906" s="100"/>
      <c r="Z4906" s="100"/>
    </row>
    <row r="4907" spans="1:26">
      <c r="A4907" s="100"/>
      <c r="B4907" s="100"/>
      <c r="C4907" s="100"/>
      <c r="D4907" s="100"/>
      <c r="E4907" s="100"/>
      <c r="F4907" s="100"/>
      <c r="G4907" s="100"/>
      <c r="H4907" s="100"/>
      <c r="I4907" s="100"/>
      <c r="J4907" s="100"/>
      <c r="K4907" s="100"/>
      <c r="L4907" s="100"/>
      <c r="M4907" s="100"/>
      <c r="N4907" s="100"/>
      <c r="O4907" s="100"/>
      <c r="P4907" s="100"/>
      <c r="Q4907" s="100"/>
      <c r="R4907" s="100"/>
      <c r="S4907" s="100"/>
      <c r="T4907" s="100"/>
      <c r="U4907" s="100"/>
      <c r="V4907" s="100"/>
      <c r="W4907" s="100"/>
      <c r="X4907" s="100"/>
      <c r="Y4907" s="100"/>
      <c r="Z4907" s="100"/>
    </row>
    <row r="4908" spans="1:26">
      <c r="A4908" s="100"/>
      <c r="B4908" s="100"/>
      <c r="C4908" s="100"/>
      <c r="D4908" s="100"/>
      <c r="E4908" s="100"/>
      <c r="F4908" s="100"/>
      <c r="G4908" s="100"/>
      <c r="H4908" s="100"/>
      <c r="I4908" s="100"/>
      <c r="J4908" s="100"/>
      <c r="K4908" s="100"/>
      <c r="L4908" s="100"/>
      <c r="M4908" s="100"/>
      <c r="N4908" s="100"/>
      <c r="O4908" s="100"/>
      <c r="P4908" s="100"/>
      <c r="Q4908" s="100"/>
      <c r="R4908" s="100"/>
      <c r="S4908" s="100"/>
      <c r="T4908" s="100"/>
      <c r="U4908" s="100"/>
      <c r="V4908" s="100"/>
      <c r="W4908" s="100"/>
      <c r="X4908" s="100"/>
      <c r="Y4908" s="100"/>
      <c r="Z4908" s="100"/>
    </row>
    <row r="4909" spans="1:26">
      <c r="A4909" s="100"/>
      <c r="B4909" s="100"/>
      <c r="C4909" s="100"/>
      <c r="D4909" s="100"/>
      <c r="E4909" s="100"/>
      <c r="F4909" s="100"/>
      <c r="G4909" s="100"/>
      <c r="H4909" s="100"/>
      <c r="I4909" s="100"/>
      <c r="J4909" s="100"/>
      <c r="K4909" s="100"/>
      <c r="L4909" s="100"/>
      <c r="M4909" s="100"/>
      <c r="N4909" s="100"/>
      <c r="O4909" s="100"/>
      <c r="P4909" s="100"/>
      <c r="Q4909" s="100"/>
      <c r="R4909" s="100"/>
      <c r="S4909" s="100"/>
      <c r="T4909" s="100"/>
      <c r="U4909" s="100"/>
      <c r="V4909" s="100"/>
      <c r="W4909" s="100"/>
      <c r="X4909" s="100"/>
      <c r="Y4909" s="100"/>
      <c r="Z4909" s="100"/>
    </row>
    <row r="4910" spans="1:26">
      <c r="A4910" s="100"/>
      <c r="B4910" s="100"/>
      <c r="C4910" s="100"/>
      <c r="D4910" s="100"/>
      <c r="E4910" s="100"/>
      <c r="F4910" s="100"/>
      <c r="G4910" s="100"/>
      <c r="H4910" s="100"/>
      <c r="I4910" s="100"/>
      <c r="J4910" s="100"/>
      <c r="K4910" s="100"/>
      <c r="L4910" s="100"/>
      <c r="M4910" s="100"/>
      <c r="N4910" s="100"/>
      <c r="O4910" s="100"/>
      <c r="P4910" s="100"/>
      <c r="Q4910" s="100"/>
      <c r="R4910" s="100"/>
      <c r="S4910" s="100"/>
      <c r="T4910" s="100"/>
      <c r="U4910" s="100"/>
      <c r="V4910" s="100"/>
      <c r="W4910" s="100"/>
      <c r="X4910" s="100"/>
      <c r="Y4910" s="100"/>
      <c r="Z4910" s="100"/>
    </row>
    <row r="4911" spans="1:26">
      <c r="A4911" s="100"/>
      <c r="B4911" s="100"/>
      <c r="C4911" s="100"/>
      <c r="D4911" s="100"/>
      <c r="E4911" s="100"/>
      <c r="F4911" s="100"/>
      <c r="G4911" s="100"/>
      <c r="H4911" s="100"/>
      <c r="I4911" s="100"/>
      <c r="J4911" s="100"/>
      <c r="K4911" s="100"/>
      <c r="L4911" s="100"/>
      <c r="M4911" s="100"/>
      <c r="N4911" s="100"/>
      <c r="O4911" s="100"/>
      <c r="P4911" s="100"/>
      <c r="Q4911" s="100"/>
      <c r="R4911" s="100"/>
      <c r="S4911" s="100"/>
      <c r="T4911" s="100"/>
      <c r="U4911" s="100"/>
      <c r="V4911" s="100"/>
      <c r="W4911" s="100"/>
      <c r="X4911" s="100"/>
      <c r="Y4911" s="100"/>
      <c r="Z4911" s="100"/>
    </row>
    <row r="4912" spans="1:26">
      <c r="A4912" s="100"/>
      <c r="B4912" s="100"/>
      <c r="C4912" s="100"/>
      <c r="D4912" s="100"/>
      <c r="E4912" s="100"/>
      <c r="F4912" s="100"/>
      <c r="G4912" s="100"/>
      <c r="H4912" s="100"/>
      <c r="I4912" s="100"/>
      <c r="J4912" s="100"/>
      <c r="K4912" s="100"/>
      <c r="L4912" s="100"/>
      <c r="M4912" s="100"/>
      <c r="N4912" s="100"/>
      <c r="O4912" s="100"/>
      <c r="P4912" s="100"/>
      <c r="Q4912" s="100"/>
      <c r="R4912" s="100"/>
      <c r="S4912" s="100"/>
      <c r="T4912" s="100"/>
      <c r="U4912" s="100"/>
      <c r="V4912" s="100"/>
      <c r="W4912" s="100"/>
      <c r="X4912" s="100"/>
      <c r="Y4912" s="100"/>
      <c r="Z4912" s="100"/>
    </row>
    <row r="4913" spans="1:26">
      <c r="A4913" s="100"/>
      <c r="B4913" s="100"/>
      <c r="C4913" s="100"/>
      <c r="D4913" s="100"/>
      <c r="E4913" s="100"/>
      <c r="F4913" s="100"/>
      <c r="G4913" s="100"/>
      <c r="H4913" s="100"/>
      <c r="I4913" s="100"/>
      <c r="J4913" s="100"/>
      <c r="K4913" s="100"/>
      <c r="L4913" s="100"/>
      <c r="M4913" s="100"/>
      <c r="N4913" s="100"/>
      <c r="O4913" s="100"/>
      <c r="P4913" s="100"/>
      <c r="Q4913" s="100"/>
      <c r="R4913" s="100"/>
      <c r="S4913" s="100"/>
      <c r="T4913" s="100"/>
      <c r="U4913" s="100"/>
      <c r="V4913" s="100"/>
      <c r="W4913" s="100"/>
      <c r="X4913" s="100"/>
      <c r="Y4913" s="100"/>
      <c r="Z4913" s="100"/>
    </row>
    <row r="4914" spans="1:26">
      <c r="A4914" s="100"/>
      <c r="B4914" s="100"/>
      <c r="C4914" s="100"/>
      <c r="D4914" s="100"/>
      <c r="E4914" s="100"/>
      <c r="F4914" s="100"/>
      <c r="G4914" s="100"/>
      <c r="H4914" s="100"/>
      <c r="I4914" s="100"/>
      <c r="J4914" s="100"/>
      <c r="K4914" s="100"/>
      <c r="L4914" s="100"/>
      <c r="M4914" s="100"/>
      <c r="N4914" s="100"/>
      <c r="O4914" s="100"/>
      <c r="P4914" s="100"/>
      <c r="Q4914" s="100"/>
      <c r="R4914" s="100"/>
      <c r="S4914" s="100"/>
      <c r="T4914" s="100"/>
      <c r="U4914" s="100"/>
      <c r="V4914" s="100"/>
      <c r="W4914" s="100"/>
      <c r="X4914" s="100"/>
      <c r="Y4914" s="100"/>
      <c r="Z4914" s="100"/>
    </row>
    <row r="4915" spans="1:26">
      <c r="A4915" s="100"/>
      <c r="B4915" s="100"/>
      <c r="C4915" s="100"/>
      <c r="D4915" s="100"/>
      <c r="E4915" s="100"/>
      <c r="F4915" s="100"/>
      <c r="G4915" s="100"/>
      <c r="H4915" s="100"/>
      <c r="I4915" s="100"/>
      <c r="J4915" s="100"/>
      <c r="K4915" s="100"/>
      <c r="L4915" s="100"/>
      <c r="M4915" s="100"/>
      <c r="N4915" s="100"/>
      <c r="O4915" s="100"/>
      <c r="P4915" s="100"/>
      <c r="Q4915" s="100"/>
      <c r="R4915" s="100"/>
      <c r="S4915" s="100"/>
      <c r="T4915" s="100"/>
      <c r="U4915" s="100"/>
      <c r="V4915" s="100"/>
      <c r="W4915" s="100"/>
      <c r="X4915" s="100"/>
      <c r="Y4915" s="100"/>
      <c r="Z4915" s="100"/>
    </row>
    <row r="4916" spans="1:26">
      <c r="A4916" s="100"/>
      <c r="B4916" s="100"/>
      <c r="C4916" s="100"/>
      <c r="D4916" s="100"/>
      <c r="E4916" s="100"/>
      <c r="F4916" s="100"/>
      <c r="G4916" s="100"/>
      <c r="H4916" s="100"/>
      <c r="I4916" s="100"/>
      <c r="J4916" s="100"/>
      <c r="K4916" s="100"/>
      <c r="L4916" s="100"/>
      <c r="M4916" s="100"/>
      <c r="N4916" s="100"/>
      <c r="O4916" s="100"/>
      <c r="P4916" s="100"/>
      <c r="Q4916" s="100"/>
      <c r="R4916" s="100"/>
      <c r="S4916" s="100"/>
      <c r="T4916" s="100"/>
      <c r="U4916" s="100"/>
      <c r="V4916" s="100"/>
      <c r="W4916" s="100"/>
      <c r="X4916" s="100"/>
      <c r="Y4916" s="100"/>
      <c r="Z4916" s="100"/>
    </row>
    <row r="4917" spans="1:26">
      <c r="A4917" s="100"/>
      <c r="B4917" s="100"/>
      <c r="C4917" s="100"/>
      <c r="D4917" s="100"/>
      <c r="E4917" s="100"/>
      <c r="F4917" s="100"/>
      <c r="G4917" s="100"/>
      <c r="H4917" s="100"/>
      <c r="I4917" s="100"/>
      <c r="J4917" s="100"/>
      <c r="K4917" s="100"/>
      <c r="L4917" s="100"/>
      <c r="M4917" s="100"/>
      <c r="N4917" s="100"/>
      <c r="O4917" s="100"/>
      <c r="P4917" s="100"/>
      <c r="Q4917" s="100"/>
      <c r="R4917" s="100"/>
      <c r="S4917" s="100"/>
      <c r="T4917" s="100"/>
      <c r="U4917" s="100"/>
      <c r="V4917" s="100"/>
      <c r="W4917" s="100"/>
      <c r="X4917" s="100"/>
      <c r="Y4917" s="100"/>
      <c r="Z4917" s="100"/>
    </row>
    <row r="4918" spans="1:26">
      <c r="A4918" s="100"/>
      <c r="B4918" s="100"/>
      <c r="C4918" s="100"/>
      <c r="D4918" s="100"/>
      <c r="E4918" s="100"/>
      <c r="F4918" s="100"/>
      <c r="G4918" s="100"/>
      <c r="H4918" s="100"/>
      <c r="I4918" s="100"/>
      <c r="J4918" s="100"/>
      <c r="K4918" s="100"/>
      <c r="L4918" s="100"/>
      <c r="M4918" s="100"/>
      <c r="N4918" s="100"/>
      <c r="O4918" s="100"/>
      <c r="P4918" s="100"/>
      <c r="Q4918" s="100"/>
      <c r="R4918" s="100"/>
      <c r="S4918" s="100"/>
      <c r="T4918" s="100"/>
      <c r="U4918" s="100"/>
      <c r="V4918" s="100"/>
      <c r="W4918" s="100"/>
      <c r="X4918" s="100"/>
      <c r="Y4918" s="100"/>
      <c r="Z4918" s="100"/>
    </row>
    <row r="4919" spans="1:26">
      <c r="A4919" s="100"/>
      <c r="B4919" s="100"/>
      <c r="C4919" s="100"/>
      <c r="D4919" s="100"/>
      <c r="E4919" s="100"/>
      <c r="F4919" s="100"/>
      <c r="G4919" s="100"/>
      <c r="H4919" s="100"/>
      <c r="I4919" s="100"/>
      <c r="J4919" s="100"/>
      <c r="K4919" s="100"/>
      <c r="L4919" s="100"/>
      <c r="M4919" s="100"/>
      <c r="N4919" s="100"/>
      <c r="O4919" s="100"/>
      <c r="P4919" s="100"/>
      <c r="Q4919" s="100"/>
      <c r="R4919" s="100"/>
      <c r="S4919" s="100"/>
      <c r="T4919" s="100"/>
      <c r="U4919" s="100"/>
      <c r="V4919" s="100"/>
      <c r="W4919" s="100"/>
      <c r="X4919" s="100"/>
      <c r="Y4919" s="100"/>
      <c r="Z4919" s="100"/>
    </row>
    <row r="4920" spans="1:26">
      <c r="A4920" s="100"/>
      <c r="B4920" s="100"/>
      <c r="C4920" s="100"/>
      <c r="D4920" s="100"/>
      <c r="E4920" s="100"/>
      <c r="F4920" s="100"/>
      <c r="G4920" s="100"/>
      <c r="H4920" s="100"/>
      <c r="I4920" s="100"/>
      <c r="J4920" s="100"/>
      <c r="K4920" s="100"/>
      <c r="L4920" s="100"/>
      <c r="M4920" s="100"/>
      <c r="N4920" s="100"/>
      <c r="O4920" s="100"/>
      <c r="P4920" s="100"/>
      <c r="Q4920" s="100"/>
      <c r="R4920" s="100"/>
      <c r="S4920" s="100"/>
      <c r="T4920" s="100"/>
      <c r="U4920" s="100"/>
      <c r="V4920" s="100"/>
      <c r="W4920" s="100"/>
      <c r="X4920" s="100"/>
      <c r="Y4920" s="100"/>
      <c r="Z4920" s="100"/>
    </row>
    <row r="4921" spans="1:26">
      <c r="A4921" s="100"/>
      <c r="B4921" s="100"/>
      <c r="C4921" s="100"/>
      <c r="D4921" s="100"/>
      <c r="E4921" s="100"/>
      <c r="F4921" s="100"/>
      <c r="G4921" s="100"/>
      <c r="H4921" s="100"/>
      <c r="I4921" s="100"/>
      <c r="J4921" s="100"/>
      <c r="K4921" s="100"/>
      <c r="L4921" s="100"/>
      <c r="M4921" s="100"/>
      <c r="N4921" s="100"/>
      <c r="O4921" s="100"/>
      <c r="P4921" s="100"/>
      <c r="Q4921" s="100"/>
      <c r="R4921" s="100"/>
      <c r="S4921" s="100"/>
      <c r="T4921" s="100"/>
      <c r="U4921" s="100"/>
      <c r="V4921" s="100"/>
      <c r="W4921" s="100"/>
      <c r="X4921" s="100"/>
      <c r="Y4921" s="100"/>
      <c r="Z4921" s="100"/>
    </row>
    <row r="4922" spans="1:26">
      <c r="A4922" s="100"/>
      <c r="B4922" s="100"/>
      <c r="C4922" s="100"/>
      <c r="D4922" s="100"/>
      <c r="E4922" s="100"/>
      <c r="F4922" s="100"/>
      <c r="G4922" s="100"/>
      <c r="H4922" s="100"/>
      <c r="I4922" s="100"/>
      <c r="J4922" s="100"/>
      <c r="K4922" s="100"/>
      <c r="L4922" s="100"/>
      <c r="M4922" s="100"/>
      <c r="N4922" s="100"/>
      <c r="O4922" s="100"/>
      <c r="P4922" s="100"/>
      <c r="Q4922" s="100"/>
      <c r="R4922" s="100"/>
      <c r="S4922" s="100"/>
      <c r="T4922" s="100"/>
      <c r="U4922" s="100"/>
      <c r="V4922" s="100"/>
      <c r="W4922" s="100"/>
      <c r="X4922" s="100"/>
      <c r="Y4922" s="100"/>
      <c r="Z4922" s="100"/>
    </row>
    <row r="4923" spans="1:26">
      <c r="A4923" s="100"/>
      <c r="B4923" s="100"/>
      <c r="C4923" s="100"/>
      <c r="D4923" s="100"/>
      <c r="E4923" s="100"/>
      <c r="F4923" s="100"/>
      <c r="G4923" s="100"/>
      <c r="H4923" s="100"/>
      <c r="I4923" s="100"/>
      <c r="J4923" s="100"/>
      <c r="K4923" s="100"/>
      <c r="L4923" s="100"/>
      <c r="M4923" s="100"/>
      <c r="N4923" s="100"/>
      <c r="O4923" s="100"/>
      <c r="P4923" s="100"/>
      <c r="Q4923" s="100"/>
      <c r="R4923" s="100"/>
      <c r="S4923" s="100"/>
      <c r="T4923" s="100"/>
      <c r="U4923" s="100"/>
      <c r="V4923" s="100"/>
      <c r="W4923" s="100"/>
      <c r="X4923" s="100"/>
      <c r="Y4923" s="100"/>
      <c r="Z4923" s="100"/>
    </row>
    <row r="4924" spans="1:26">
      <c r="A4924" s="100"/>
      <c r="B4924" s="100"/>
      <c r="C4924" s="100"/>
      <c r="D4924" s="100"/>
      <c r="E4924" s="100"/>
      <c r="F4924" s="100"/>
      <c r="G4924" s="100"/>
      <c r="H4924" s="100"/>
      <c r="I4924" s="100"/>
      <c r="J4924" s="100"/>
      <c r="K4924" s="100"/>
      <c r="L4924" s="100"/>
      <c r="M4924" s="100"/>
      <c r="N4924" s="100"/>
      <c r="O4924" s="100"/>
      <c r="P4924" s="100"/>
      <c r="Q4924" s="100"/>
      <c r="R4924" s="100"/>
      <c r="S4924" s="100"/>
      <c r="T4924" s="100"/>
      <c r="U4924" s="100"/>
      <c r="V4924" s="100"/>
      <c r="W4924" s="100"/>
      <c r="X4924" s="100"/>
      <c r="Y4924" s="100"/>
      <c r="Z4924" s="100"/>
    </row>
    <row r="4925" spans="1:26">
      <c r="A4925" s="100"/>
      <c r="B4925" s="100"/>
      <c r="C4925" s="100"/>
      <c r="D4925" s="100"/>
      <c r="E4925" s="100"/>
      <c r="F4925" s="100"/>
      <c r="G4925" s="100"/>
      <c r="H4925" s="100"/>
      <c r="I4925" s="100"/>
      <c r="J4925" s="100"/>
      <c r="K4925" s="100"/>
      <c r="L4925" s="100"/>
      <c r="M4925" s="100"/>
      <c r="N4925" s="100"/>
      <c r="O4925" s="100"/>
      <c r="P4925" s="100"/>
      <c r="Q4925" s="100"/>
      <c r="R4925" s="100"/>
      <c r="S4925" s="100"/>
      <c r="T4925" s="100"/>
      <c r="U4925" s="100"/>
      <c r="V4925" s="100"/>
      <c r="W4925" s="100"/>
      <c r="X4925" s="100"/>
      <c r="Y4925" s="100"/>
      <c r="Z4925" s="100"/>
    </row>
    <row r="4926" spans="1:26">
      <c r="A4926" s="100"/>
      <c r="B4926" s="100"/>
      <c r="C4926" s="100"/>
      <c r="D4926" s="100"/>
      <c r="E4926" s="100"/>
      <c r="F4926" s="100"/>
      <c r="G4926" s="100"/>
      <c r="H4926" s="100"/>
      <c r="I4926" s="100"/>
      <c r="J4926" s="100"/>
      <c r="K4926" s="100"/>
      <c r="L4926" s="100"/>
      <c r="M4926" s="100"/>
      <c r="N4926" s="100"/>
      <c r="O4926" s="100"/>
      <c r="P4926" s="100"/>
      <c r="Q4926" s="100"/>
      <c r="R4926" s="100"/>
      <c r="S4926" s="100"/>
      <c r="T4926" s="100"/>
      <c r="U4926" s="100"/>
      <c r="V4926" s="100"/>
      <c r="W4926" s="100"/>
      <c r="X4926" s="100"/>
      <c r="Y4926" s="100"/>
      <c r="Z4926" s="100"/>
    </row>
    <row r="4927" spans="1:26">
      <c r="A4927" s="100"/>
      <c r="B4927" s="100"/>
      <c r="C4927" s="100"/>
      <c r="D4927" s="100"/>
      <c r="E4927" s="100"/>
      <c r="F4927" s="100"/>
      <c r="G4927" s="100"/>
      <c r="H4927" s="100"/>
      <c r="I4927" s="100"/>
      <c r="J4927" s="100"/>
      <c r="K4927" s="100"/>
      <c r="L4927" s="100"/>
      <c r="M4927" s="100"/>
      <c r="N4927" s="100"/>
      <c r="O4927" s="100"/>
      <c r="P4927" s="100"/>
      <c r="Q4927" s="100"/>
      <c r="R4927" s="100"/>
      <c r="S4927" s="100"/>
      <c r="T4927" s="100"/>
      <c r="U4927" s="100"/>
      <c r="V4927" s="100"/>
      <c r="W4927" s="100"/>
      <c r="X4927" s="100"/>
      <c r="Y4927" s="100"/>
      <c r="Z4927" s="100"/>
    </row>
    <row r="4928" spans="1:26">
      <c r="A4928" s="100"/>
      <c r="B4928" s="100"/>
      <c r="C4928" s="100"/>
      <c r="D4928" s="100"/>
      <c r="E4928" s="100"/>
      <c r="F4928" s="100"/>
      <c r="G4928" s="100"/>
      <c r="H4928" s="100"/>
      <c r="I4928" s="100"/>
      <c r="J4928" s="100"/>
      <c r="K4928" s="100"/>
      <c r="L4928" s="100"/>
      <c r="M4928" s="100"/>
      <c r="N4928" s="100"/>
      <c r="O4928" s="100"/>
      <c r="P4928" s="100"/>
      <c r="Q4928" s="100"/>
      <c r="R4928" s="100"/>
      <c r="S4928" s="100"/>
      <c r="T4928" s="100"/>
      <c r="U4928" s="100"/>
      <c r="V4928" s="100"/>
      <c r="W4928" s="100"/>
      <c r="X4928" s="100"/>
      <c r="Y4928" s="100"/>
      <c r="Z4928" s="100"/>
    </row>
    <row r="4929" spans="1:26">
      <c r="A4929" s="100"/>
      <c r="B4929" s="100"/>
      <c r="C4929" s="100"/>
      <c r="D4929" s="100"/>
      <c r="E4929" s="100"/>
      <c r="F4929" s="100"/>
      <c r="G4929" s="100"/>
      <c r="H4929" s="100"/>
      <c r="I4929" s="100"/>
      <c r="J4929" s="100"/>
      <c r="K4929" s="100"/>
      <c r="L4929" s="100"/>
      <c r="M4929" s="100"/>
      <c r="N4929" s="100"/>
      <c r="O4929" s="100"/>
      <c r="P4929" s="100"/>
      <c r="Q4929" s="100"/>
      <c r="R4929" s="100"/>
      <c r="S4929" s="100"/>
      <c r="T4929" s="100"/>
      <c r="U4929" s="100"/>
      <c r="V4929" s="100"/>
      <c r="W4929" s="100"/>
      <c r="X4929" s="100"/>
      <c r="Y4929" s="100"/>
      <c r="Z4929" s="100"/>
    </row>
    <row r="4930" spans="1:26">
      <c r="A4930" s="100"/>
      <c r="B4930" s="100"/>
      <c r="C4930" s="100"/>
      <c r="D4930" s="100"/>
      <c r="E4930" s="100"/>
      <c r="F4930" s="100"/>
      <c r="G4930" s="100"/>
      <c r="H4930" s="100"/>
      <c r="I4930" s="100"/>
      <c r="J4930" s="100"/>
      <c r="K4930" s="100"/>
      <c r="L4930" s="100"/>
      <c r="M4930" s="100"/>
      <c r="N4930" s="100"/>
      <c r="O4930" s="100"/>
      <c r="P4930" s="100"/>
      <c r="Q4930" s="100"/>
      <c r="R4930" s="100"/>
      <c r="S4930" s="100"/>
      <c r="T4930" s="100"/>
      <c r="U4930" s="100"/>
      <c r="V4930" s="100"/>
      <c r="W4930" s="100"/>
      <c r="X4930" s="100"/>
      <c r="Y4930" s="100"/>
      <c r="Z4930" s="100"/>
    </row>
    <row r="4931" spans="1:26">
      <c r="A4931" s="100"/>
      <c r="B4931" s="100"/>
      <c r="C4931" s="100"/>
      <c r="D4931" s="100"/>
      <c r="E4931" s="100"/>
      <c r="F4931" s="100"/>
      <c r="G4931" s="100"/>
      <c r="H4931" s="100"/>
      <c r="I4931" s="100"/>
      <c r="J4931" s="100"/>
      <c r="K4931" s="100"/>
      <c r="L4931" s="100"/>
      <c r="M4931" s="100"/>
      <c r="N4931" s="100"/>
      <c r="O4931" s="100"/>
      <c r="P4931" s="100"/>
      <c r="Q4931" s="100"/>
      <c r="R4931" s="100"/>
      <c r="S4931" s="100"/>
      <c r="T4931" s="100"/>
      <c r="U4931" s="100"/>
      <c r="V4931" s="100"/>
      <c r="W4931" s="100"/>
      <c r="X4931" s="100"/>
      <c r="Y4931" s="100"/>
      <c r="Z4931" s="100"/>
    </row>
    <row r="4932" spans="1:26">
      <c r="A4932" s="100"/>
      <c r="B4932" s="100"/>
      <c r="C4932" s="100"/>
      <c r="D4932" s="100"/>
      <c r="E4932" s="100"/>
      <c r="F4932" s="100"/>
      <c r="G4932" s="100"/>
      <c r="H4932" s="100"/>
      <c r="I4932" s="100"/>
      <c r="J4932" s="100"/>
      <c r="K4932" s="100"/>
      <c r="L4932" s="100"/>
      <c r="M4932" s="100"/>
      <c r="N4932" s="100"/>
      <c r="O4932" s="100"/>
      <c r="P4932" s="100"/>
      <c r="Q4932" s="100"/>
      <c r="R4932" s="100"/>
      <c r="S4932" s="100"/>
      <c r="T4932" s="100"/>
      <c r="U4932" s="100"/>
      <c r="V4932" s="100"/>
      <c r="W4932" s="100"/>
      <c r="X4932" s="100"/>
      <c r="Y4932" s="100"/>
      <c r="Z4932" s="100"/>
    </row>
    <row r="4933" spans="1:26">
      <c r="A4933" s="100"/>
      <c r="B4933" s="100"/>
      <c r="C4933" s="100"/>
      <c r="D4933" s="100"/>
      <c r="E4933" s="100"/>
      <c r="F4933" s="100"/>
      <c r="G4933" s="100"/>
      <c r="H4933" s="100"/>
      <c r="I4933" s="100"/>
      <c r="J4933" s="100"/>
      <c r="K4933" s="100"/>
      <c r="L4933" s="100"/>
      <c r="M4933" s="100"/>
      <c r="N4933" s="100"/>
      <c r="O4933" s="100"/>
      <c r="P4933" s="100"/>
      <c r="Q4933" s="100"/>
      <c r="R4933" s="100"/>
      <c r="S4933" s="100"/>
      <c r="T4933" s="100"/>
      <c r="U4933" s="100"/>
      <c r="V4933" s="100"/>
      <c r="W4933" s="100"/>
      <c r="X4933" s="100"/>
      <c r="Y4933" s="100"/>
      <c r="Z4933" s="100"/>
    </row>
    <row r="4934" spans="1:26">
      <c r="A4934" s="100"/>
      <c r="B4934" s="100"/>
      <c r="C4934" s="100"/>
      <c r="D4934" s="100"/>
      <c r="E4934" s="100"/>
      <c r="F4934" s="100"/>
      <c r="G4934" s="100"/>
      <c r="H4934" s="100"/>
      <c r="I4934" s="100"/>
      <c r="J4934" s="100"/>
      <c r="K4934" s="100"/>
      <c r="L4934" s="100"/>
      <c r="M4934" s="100"/>
      <c r="N4934" s="100"/>
      <c r="O4934" s="100"/>
      <c r="P4934" s="100"/>
      <c r="Q4934" s="100"/>
      <c r="R4934" s="100"/>
      <c r="S4934" s="100"/>
      <c r="T4934" s="100"/>
      <c r="U4934" s="100"/>
      <c r="V4934" s="100"/>
      <c r="W4934" s="100"/>
      <c r="X4934" s="100"/>
      <c r="Y4934" s="100"/>
      <c r="Z4934" s="100"/>
    </row>
    <row r="4935" spans="1:26">
      <c r="A4935" s="100"/>
      <c r="B4935" s="100"/>
      <c r="C4935" s="100"/>
      <c r="D4935" s="100"/>
      <c r="E4935" s="100"/>
      <c r="F4935" s="100"/>
      <c r="G4935" s="100"/>
      <c r="H4935" s="100"/>
      <c r="I4935" s="100"/>
      <c r="J4935" s="100"/>
      <c r="K4935" s="100"/>
      <c r="L4935" s="100"/>
      <c r="M4935" s="100"/>
      <c r="N4935" s="100"/>
      <c r="O4935" s="100"/>
      <c r="P4935" s="100"/>
      <c r="Q4935" s="100"/>
      <c r="R4935" s="100"/>
      <c r="S4935" s="100"/>
      <c r="T4935" s="100"/>
      <c r="U4935" s="100"/>
      <c r="V4935" s="100"/>
      <c r="W4935" s="100"/>
      <c r="X4935" s="100"/>
      <c r="Y4935" s="100"/>
      <c r="Z4935" s="100"/>
    </row>
    <row r="4936" spans="1:26">
      <c r="A4936" s="100"/>
      <c r="B4936" s="100"/>
      <c r="C4936" s="100"/>
      <c r="D4936" s="100"/>
      <c r="E4936" s="100"/>
      <c r="F4936" s="100"/>
      <c r="G4936" s="100"/>
      <c r="H4936" s="100"/>
      <c r="I4936" s="100"/>
      <c r="J4936" s="100"/>
      <c r="K4936" s="100"/>
      <c r="L4936" s="100"/>
      <c r="M4936" s="100"/>
      <c r="N4936" s="100"/>
      <c r="O4936" s="100"/>
      <c r="P4936" s="100"/>
      <c r="Q4936" s="100"/>
      <c r="R4936" s="100"/>
      <c r="S4936" s="100"/>
      <c r="T4936" s="100"/>
      <c r="U4936" s="100"/>
      <c r="V4936" s="100"/>
      <c r="W4936" s="100"/>
      <c r="X4936" s="100"/>
      <c r="Y4936" s="100"/>
      <c r="Z4936" s="100"/>
    </row>
    <row r="4937" spans="1:26">
      <c r="A4937" s="100"/>
      <c r="B4937" s="100"/>
      <c r="C4937" s="100"/>
      <c r="D4937" s="100"/>
      <c r="E4937" s="100"/>
      <c r="F4937" s="100"/>
      <c r="G4937" s="100"/>
      <c r="H4937" s="100"/>
      <c r="I4937" s="100"/>
      <c r="J4937" s="100"/>
      <c r="K4937" s="100"/>
      <c r="L4937" s="100"/>
      <c r="M4937" s="100"/>
      <c r="N4937" s="100"/>
      <c r="O4937" s="100"/>
      <c r="P4937" s="100"/>
      <c r="Q4937" s="100"/>
      <c r="R4937" s="100"/>
      <c r="S4937" s="100"/>
      <c r="T4937" s="100"/>
      <c r="U4937" s="100"/>
      <c r="V4937" s="100"/>
      <c r="W4937" s="100"/>
      <c r="X4937" s="100"/>
      <c r="Y4937" s="100"/>
      <c r="Z4937" s="100"/>
    </row>
    <row r="4938" spans="1:26">
      <c r="A4938" s="100"/>
      <c r="B4938" s="100"/>
      <c r="C4938" s="100"/>
      <c r="D4938" s="100"/>
      <c r="E4938" s="100"/>
      <c r="F4938" s="100"/>
      <c r="G4938" s="100"/>
      <c r="H4938" s="100"/>
      <c r="I4938" s="100"/>
      <c r="J4938" s="100"/>
      <c r="K4938" s="100"/>
      <c r="L4938" s="100"/>
      <c r="M4938" s="100"/>
      <c r="N4938" s="100"/>
      <c r="O4938" s="100"/>
      <c r="P4938" s="100"/>
      <c r="Q4938" s="100"/>
      <c r="R4938" s="100"/>
      <c r="S4938" s="100"/>
      <c r="T4938" s="100"/>
      <c r="U4938" s="100"/>
      <c r="V4938" s="100"/>
      <c r="W4938" s="100"/>
      <c r="X4938" s="100"/>
      <c r="Y4938" s="100"/>
      <c r="Z4938" s="100"/>
    </row>
    <row r="4939" spans="1:26">
      <c r="A4939" s="100"/>
      <c r="B4939" s="100"/>
      <c r="C4939" s="100"/>
      <c r="D4939" s="100"/>
      <c r="E4939" s="100"/>
      <c r="F4939" s="100"/>
      <c r="G4939" s="100"/>
      <c r="H4939" s="100"/>
      <c r="I4939" s="100"/>
      <c r="J4939" s="100"/>
      <c r="K4939" s="100"/>
      <c r="L4939" s="100"/>
      <c r="M4939" s="100"/>
      <c r="N4939" s="100"/>
      <c r="O4939" s="100"/>
      <c r="P4939" s="100"/>
      <c r="Q4939" s="100"/>
      <c r="R4939" s="100"/>
      <c r="S4939" s="100"/>
      <c r="T4939" s="100"/>
      <c r="U4939" s="100"/>
      <c r="V4939" s="100"/>
      <c r="W4939" s="100"/>
      <c r="X4939" s="100"/>
      <c r="Y4939" s="100"/>
      <c r="Z4939" s="100"/>
    </row>
    <row r="4940" spans="1:26">
      <c r="A4940" s="100"/>
      <c r="B4940" s="100"/>
      <c r="C4940" s="100"/>
      <c r="D4940" s="100"/>
      <c r="E4940" s="100"/>
      <c r="F4940" s="100"/>
      <c r="G4940" s="100"/>
      <c r="H4940" s="100"/>
      <c r="I4940" s="100"/>
      <c r="J4940" s="100"/>
      <c r="K4940" s="100"/>
      <c r="L4940" s="100"/>
      <c r="M4940" s="100"/>
      <c r="N4940" s="100"/>
      <c r="O4940" s="100"/>
      <c r="P4940" s="100"/>
      <c r="Q4940" s="100"/>
      <c r="R4940" s="100"/>
      <c r="S4940" s="100"/>
      <c r="T4940" s="100"/>
      <c r="U4940" s="100"/>
      <c r="V4940" s="100"/>
      <c r="W4940" s="100"/>
      <c r="X4940" s="100"/>
      <c r="Y4940" s="100"/>
      <c r="Z4940" s="100"/>
    </row>
    <row r="4941" spans="1:26">
      <c r="A4941" s="100"/>
      <c r="B4941" s="100"/>
      <c r="C4941" s="100"/>
      <c r="D4941" s="100"/>
      <c r="E4941" s="100"/>
      <c r="F4941" s="100"/>
      <c r="G4941" s="100"/>
      <c r="H4941" s="100"/>
      <c r="I4941" s="100"/>
      <c r="J4941" s="100"/>
      <c r="K4941" s="100"/>
      <c r="L4941" s="100"/>
      <c r="M4941" s="100"/>
      <c r="N4941" s="100"/>
      <c r="O4941" s="100"/>
      <c r="P4941" s="100"/>
      <c r="Q4941" s="100"/>
      <c r="R4941" s="100"/>
      <c r="S4941" s="100"/>
      <c r="T4941" s="100"/>
      <c r="U4941" s="100"/>
      <c r="V4941" s="100"/>
      <c r="W4941" s="100"/>
      <c r="X4941" s="100"/>
      <c r="Y4941" s="100"/>
      <c r="Z4941" s="100"/>
    </row>
    <row r="4942" spans="1:26">
      <c r="A4942" s="100"/>
      <c r="B4942" s="100"/>
      <c r="C4942" s="100"/>
      <c r="D4942" s="100"/>
      <c r="E4942" s="100"/>
      <c r="F4942" s="100"/>
      <c r="G4942" s="100"/>
      <c r="H4942" s="100"/>
      <c r="I4942" s="100"/>
      <c r="J4942" s="100"/>
      <c r="K4942" s="100"/>
      <c r="L4942" s="100"/>
      <c r="M4942" s="100"/>
      <c r="N4942" s="100"/>
      <c r="O4942" s="100"/>
      <c r="P4942" s="100"/>
      <c r="Q4942" s="100"/>
      <c r="R4942" s="100"/>
      <c r="S4942" s="100"/>
      <c r="T4942" s="100"/>
      <c r="U4942" s="100"/>
      <c r="V4942" s="100"/>
      <c r="W4942" s="100"/>
      <c r="X4942" s="100"/>
      <c r="Y4942" s="100"/>
      <c r="Z4942" s="100"/>
    </row>
    <row r="4943" spans="1:26">
      <c r="A4943" s="100"/>
      <c r="B4943" s="100"/>
      <c r="C4943" s="100"/>
      <c r="D4943" s="100"/>
      <c r="E4943" s="100"/>
      <c r="F4943" s="100"/>
      <c r="G4943" s="100"/>
      <c r="H4943" s="100"/>
      <c r="I4943" s="100"/>
      <c r="J4943" s="100"/>
      <c r="K4943" s="100"/>
      <c r="L4943" s="100"/>
      <c r="M4943" s="100"/>
      <c r="N4943" s="100"/>
      <c r="O4943" s="100"/>
      <c r="P4943" s="100"/>
      <c r="Q4943" s="100"/>
      <c r="R4943" s="100"/>
      <c r="S4943" s="100"/>
      <c r="T4943" s="100"/>
      <c r="U4943" s="100"/>
      <c r="V4943" s="100"/>
      <c r="W4943" s="100"/>
      <c r="X4943" s="100"/>
      <c r="Y4943" s="100"/>
      <c r="Z4943" s="100"/>
    </row>
    <row r="4944" spans="1:26">
      <c r="A4944" s="100"/>
      <c r="B4944" s="100"/>
      <c r="C4944" s="100"/>
      <c r="D4944" s="100"/>
      <c r="E4944" s="100"/>
      <c r="F4944" s="100"/>
      <c r="G4944" s="100"/>
      <c r="H4944" s="100"/>
      <c r="I4944" s="100"/>
      <c r="J4944" s="100"/>
      <c r="K4944" s="100"/>
      <c r="L4944" s="100"/>
      <c r="M4944" s="100"/>
      <c r="N4944" s="100"/>
      <c r="O4944" s="100"/>
      <c r="P4944" s="100"/>
      <c r="Q4944" s="100"/>
      <c r="R4944" s="100"/>
      <c r="S4944" s="100"/>
      <c r="T4944" s="100"/>
      <c r="U4944" s="100"/>
      <c r="V4944" s="100"/>
      <c r="W4944" s="100"/>
      <c r="X4944" s="100"/>
      <c r="Y4944" s="100"/>
      <c r="Z4944" s="100"/>
    </row>
    <row r="4945" spans="1:26">
      <c r="A4945" s="100"/>
      <c r="B4945" s="100"/>
      <c r="C4945" s="100"/>
      <c r="D4945" s="100"/>
      <c r="E4945" s="100"/>
      <c r="F4945" s="100"/>
      <c r="G4945" s="100"/>
      <c r="H4945" s="100"/>
      <c r="I4945" s="100"/>
      <c r="J4945" s="100"/>
      <c r="K4945" s="100"/>
      <c r="L4945" s="100"/>
      <c r="M4945" s="100"/>
      <c r="N4945" s="100"/>
      <c r="O4945" s="100"/>
      <c r="P4945" s="100"/>
      <c r="Q4945" s="100"/>
      <c r="R4945" s="100"/>
      <c r="S4945" s="100"/>
      <c r="T4945" s="100"/>
      <c r="U4945" s="100"/>
      <c r="V4945" s="100"/>
      <c r="W4945" s="100"/>
      <c r="X4945" s="100"/>
      <c r="Y4945" s="100"/>
      <c r="Z4945" s="100"/>
    </row>
    <row r="4946" spans="1:26">
      <c r="A4946" s="100"/>
      <c r="B4946" s="100"/>
      <c r="C4946" s="100"/>
      <c r="D4946" s="100"/>
      <c r="E4946" s="100"/>
      <c r="F4946" s="100"/>
      <c r="G4946" s="100"/>
      <c r="H4946" s="100"/>
      <c r="I4946" s="100"/>
      <c r="J4946" s="100"/>
      <c r="K4946" s="100"/>
      <c r="L4946" s="100"/>
      <c r="M4946" s="100"/>
      <c r="N4946" s="100"/>
      <c r="O4946" s="100"/>
      <c r="P4946" s="100"/>
      <c r="Q4946" s="100"/>
      <c r="R4946" s="100"/>
      <c r="S4946" s="100"/>
      <c r="T4946" s="100"/>
      <c r="U4946" s="100"/>
      <c r="V4946" s="100"/>
      <c r="W4946" s="100"/>
      <c r="X4946" s="100"/>
      <c r="Y4946" s="100"/>
      <c r="Z4946" s="100"/>
    </row>
    <row r="4947" spans="1:26">
      <c r="A4947" s="100"/>
      <c r="B4947" s="100"/>
      <c r="C4947" s="100"/>
      <c r="D4947" s="100"/>
      <c r="E4947" s="100"/>
      <c r="F4947" s="100"/>
      <c r="G4947" s="100"/>
      <c r="H4947" s="100"/>
      <c r="I4947" s="100"/>
      <c r="J4947" s="100"/>
      <c r="K4947" s="100"/>
      <c r="L4947" s="100"/>
      <c r="M4947" s="100"/>
      <c r="N4947" s="100"/>
      <c r="O4947" s="100"/>
      <c r="P4947" s="100"/>
      <c r="Q4947" s="100"/>
      <c r="R4947" s="100"/>
      <c r="S4947" s="100"/>
      <c r="T4947" s="100"/>
      <c r="U4947" s="100"/>
      <c r="V4947" s="100"/>
      <c r="W4947" s="100"/>
      <c r="X4947" s="100"/>
      <c r="Y4947" s="100"/>
      <c r="Z4947" s="100"/>
    </row>
    <row r="4948" spans="1:26">
      <c r="A4948" s="100"/>
      <c r="B4948" s="100"/>
      <c r="C4948" s="100"/>
      <c r="D4948" s="100"/>
      <c r="E4948" s="100"/>
      <c r="F4948" s="100"/>
      <c r="G4948" s="100"/>
      <c r="H4948" s="100"/>
      <c r="I4948" s="100"/>
      <c r="J4948" s="100"/>
      <c r="K4948" s="100"/>
      <c r="L4948" s="100"/>
      <c r="M4948" s="100"/>
      <c r="N4948" s="100"/>
      <c r="O4948" s="100"/>
      <c r="P4948" s="100"/>
      <c r="Q4948" s="100"/>
      <c r="R4948" s="100"/>
      <c r="S4948" s="100"/>
      <c r="T4948" s="100"/>
      <c r="U4948" s="100"/>
      <c r="V4948" s="100"/>
      <c r="W4948" s="100"/>
      <c r="X4948" s="100"/>
      <c r="Y4948" s="100"/>
      <c r="Z4948" s="100"/>
    </row>
    <row r="4949" spans="1:26">
      <c r="A4949" s="100"/>
      <c r="B4949" s="100"/>
      <c r="C4949" s="100"/>
      <c r="D4949" s="100"/>
      <c r="E4949" s="100"/>
      <c r="F4949" s="100"/>
      <c r="G4949" s="100"/>
      <c r="H4949" s="100"/>
      <c r="I4949" s="100"/>
      <c r="J4949" s="100"/>
      <c r="K4949" s="100"/>
      <c r="L4949" s="100"/>
      <c r="M4949" s="100"/>
      <c r="N4949" s="100"/>
      <c r="O4949" s="100"/>
      <c r="P4949" s="100"/>
      <c r="Q4949" s="100"/>
      <c r="R4949" s="100"/>
      <c r="S4949" s="100"/>
      <c r="T4949" s="100"/>
      <c r="U4949" s="100"/>
      <c r="V4949" s="100"/>
      <c r="W4949" s="100"/>
      <c r="X4949" s="100"/>
      <c r="Y4949" s="100"/>
      <c r="Z4949" s="100"/>
    </row>
    <row r="4950" spans="1:26">
      <c r="A4950" s="100"/>
      <c r="B4950" s="100"/>
      <c r="C4950" s="100"/>
      <c r="D4950" s="100"/>
      <c r="E4950" s="100"/>
      <c r="F4950" s="100"/>
      <c r="G4950" s="100"/>
      <c r="H4950" s="100"/>
      <c r="I4950" s="100"/>
      <c r="J4950" s="100"/>
      <c r="K4950" s="100"/>
      <c r="L4950" s="100"/>
      <c r="M4950" s="100"/>
      <c r="N4950" s="100"/>
      <c r="O4950" s="100"/>
      <c r="P4950" s="100"/>
      <c r="Q4950" s="100"/>
      <c r="R4950" s="100"/>
      <c r="S4950" s="100"/>
      <c r="T4950" s="100"/>
      <c r="U4950" s="100"/>
      <c r="V4950" s="100"/>
      <c r="W4950" s="100"/>
      <c r="X4950" s="100"/>
      <c r="Y4950" s="100"/>
      <c r="Z4950" s="100"/>
    </row>
    <row r="4951" spans="1:26">
      <c r="A4951" s="100"/>
      <c r="B4951" s="100"/>
      <c r="C4951" s="100"/>
      <c r="D4951" s="100"/>
      <c r="E4951" s="100"/>
      <c r="F4951" s="100"/>
      <c r="G4951" s="100"/>
      <c r="H4951" s="100"/>
      <c r="I4951" s="100"/>
      <c r="J4951" s="100"/>
      <c r="K4951" s="100"/>
      <c r="L4951" s="100"/>
      <c r="M4951" s="100"/>
      <c r="N4951" s="100"/>
      <c r="O4951" s="100"/>
      <c r="P4951" s="100"/>
      <c r="Q4951" s="100"/>
      <c r="R4951" s="100"/>
      <c r="S4951" s="100"/>
      <c r="T4951" s="100"/>
      <c r="U4951" s="100"/>
      <c r="V4951" s="100"/>
      <c r="W4951" s="100"/>
      <c r="X4951" s="100"/>
      <c r="Y4951" s="100"/>
      <c r="Z4951" s="100"/>
    </row>
    <row r="4952" spans="1:26">
      <c r="A4952" s="100"/>
      <c r="B4952" s="100"/>
      <c r="C4952" s="100"/>
      <c r="D4952" s="100"/>
      <c r="E4952" s="100"/>
      <c r="F4952" s="100"/>
      <c r="G4952" s="100"/>
      <c r="H4952" s="100"/>
      <c r="I4952" s="100"/>
      <c r="J4952" s="100"/>
      <c r="K4952" s="100"/>
      <c r="L4952" s="100"/>
      <c r="M4952" s="100"/>
      <c r="N4952" s="100"/>
      <c r="O4952" s="100"/>
      <c r="P4952" s="100"/>
      <c r="Q4952" s="100"/>
      <c r="R4952" s="100"/>
      <c r="S4952" s="100"/>
      <c r="T4952" s="100"/>
      <c r="U4952" s="100"/>
      <c r="V4952" s="100"/>
      <c r="W4952" s="100"/>
      <c r="X4952" s="100"/>
      <c r="Y4952" s="100"/>
      <c r="Z4952" s="100"/>
    </row>
    <row r="4953" spans="1:26">
      <c r="A4953" s="100"/>
      <c r="B4953" s="100"/>
      <c r="C4953" s="100"/>
      <c r="D4953" s="100"/>
      <c r="E4953" s="100"/>
      <c r="F4953" s="100"/>
      <c r="G4953" s="100"/>
      <c r="H4953" s="100"/>
      <c r="I4953" s="100"/>
      <c r="J4953" s="100"/>
      <c r="K4953" s="100"/>
      <c r="L4953" s="100"/>
      <c r="M4953" s="100"/>
      <c r="N4953" s="100"/>
      <c r="O4953" s="100"/>
      <c r="P4953" s="100"/>
      <c r="Q4953" s="100"/>
      <c r="R4953" s="100"/>
      <c r="S4953" s="100"/>
      <c r="T4953" s="100"/>
      <c r="U4953" s="100"/>
      <c r="V4953" s="100"/>
      <c r="W4953" s="100"/>
      <c r="X4953" s="100"/>
      <c r="Y4953" s="100"/>
      <c r="Z4953" s="100"/>
    </row>
    <row r="4954" spans="1:26">
      <c r="A4954" s="100"/>
      <c r="B4954" s="100"/>
      <c r="C4954" s="100"/>
      <c r="D4954" s="100"/>
      <c r="E4954" s="100"/>
      <c r="F4954" s="100"/>
      <c r="G4954" s="100"/>
      <c r="H4954" s="100"/>
      <c r="I4954" s="100"/>
      <c r="J4954" s="100"/>
      <c r="K4954" s="100"/>
      <c r="L4954" s="100"/>
      <c r="M4954" s="100"/>
      <c r="N4954" s="100"/>
      <c r="O4954" s="100"/>
      <c r="P4954" s="100"/>
      <c r="Q4954" s="100"/>
      <c r="R4954" s="100"/>
      <c r="S4954" s="100"/>
      <c r="T4954" s="100"/>
      <c r="U4954" s="100"/>
      <c r="V4954" s="100"/>
      <c r="W4954" s="100"/>
      <c r="X4954" s="100"/>
      <c r="Y4954" s="100"/>
      <c r="Z4954" s="100"/>
    </row>
    <row r="4955" spans="1:26">
      <c r="A4955" s="100"/>
      <c r="B4955" s="100"/>
      <c r="C4955" s="100"/>
      <c r="D4955" s="100"/>
      <c r="E4955" s="100"/>
      <c r="F4955" s="100"/>
      <c r="G4955" s="100"/>
      <c r="H4955" s="100"/>
      <c r="I4955" s="100"/>
      <c r="J4955" s="100"/>
      <c r="K4955" s="100"/>
      <c r="L4955" s="100"/>
      <c r="M4955" s="100"/>
      <c r="N4955" s="100"/>
      <c r="O4955" s="100"/>
      <c r="P4955" s="100"/>
      <c r="Q4955" s="100"/>
      <c r="R4955" s="100"/>
      <c r="S4955" s="100"/>
      <c r="T4955" s="100"/>
      <c r="U4955" s="100"/>
      <c r="V4955" s="100"/>
      <c r="W4955" s="100"/>
      <c r="X4955" s="100"/>
      <c r="Y4955" s="100"/>
      <c r="Z4955" s="100"/>
    </row>
    <row r="4956" spans="1:26">
      <c r="A4956" s="100"/>
      <c r="B4956" s="100"/>
      <c r="C4956" s="100"/>
      <c r="D4956" s="100"/>
      <c r="E4956" s="100"/>
      <c r="F4956" s="100"/>
      <c r="G4956" s="100"/>
      <c r="H4956" s="100"/>
      <c r="I4956" s="100"/>
      <c r="J4956" s="100"/>
      <c r="K4956" s="100"/>
      <c r="L4956" s="100"/>
      <c r="M4956" s="100"/>
      <c r="N4956" s="100"/>
      <c r="O4956" s="100"/>
      <c r="P4956" s="100"/>
      <c r="Q4956" s="100"/>
      <c r="R4956" s="100"/>
      <c r="S4956" s="100"/>
      <c r="T4956" s="100"/>
      <c r="U4956" s="100"/>
      <c r="V4956" s="100"/>
      <c r="W4956" s="100"/>
      <c r="X4956" s="100"/>
      <c r="Y4956" s="100"/>
      <c r="Z4956" s="100"/>
    </row>
    <row r="4957" spans="1:26">
      <c r="A4957" s="100"/>
      <c r="B4957" s="100"/>
      <c r="C4957" s="100"/>
      <c r="D4957" s="100"/>
      <c r="E4957" s="100"/>
      <c r="F4957" s="100"/>
      <c r="G4957" s="100"/>
      <c r="H4957" s="100"/>
      <c r="I4957" s="100"/>
      <c r="J4957" s="100"/>
      <c r="K4957" s="100"/>
      <c r="L4957" s="100"/>
      <c r="M4957" s="100"/>
      <c r="N4957" s="100"/>
      <c r="O4957" s="100"/>
      <c r="P4957" s="100"/>
      <c r="Q4957" s="100"/>
      <c r="R4957" s="100"/>
      <c r="S4957" s="100"/>
      <c r="T4957" s="100"/>
      <c r="U4957" s="100"/>
      <c r="V4957" s="100"/>
      <c r="W4957" s="100"/>
      <c r="X4957" s="100"/>
      <c r="Y4957" s="100"/>
      <c r="Z4957" s="100"/>
    </row>
    <row r="4958" spans="1:26">
      <c r="A4958" s="100"/>
      <c r="B4958" s="100"/>
      <c r="C4958" s="100"/>
      <c r="D4958" s="100"/>
      <c r="E4958" s="100"/>
      <c r="F4958" s="100"/>
      <c r="G4958" s="100"/>
      <c r="H4958" s="100"/>
      <c r="I4958" s="100"/>
      <c r="J4958" s="100"/>
      <c r="K4958" s="100"/>
      <c r="L4958" s="100"/>
      <c r="M4958" s="100"/>
      <c r="N4958" s="100"/>
      <c r="O4958" s="100"/>
      <c r="P4958" s="100"/>
      <c r="Q4958" s="100"/>
      <c r="R4958" s="100"/>
      <c r="S4958" s="100"/>
      <c r="T4958" s="100"/>
      <c r="U4958" s="100"/>
      <c r="V4958" s="100"/>
      <c r="W4958" s="100"/>
      <c r="X4958" s="100"/>
      <c r="Y4958" s="100"/>
      <c r="Z4958" s="100"/>
    </row>
    <row r="4959" spans="1:26">
      <c r="A4959" s="100"/>
      <c r="B4959" s="100"/>
      <c r="C4959" s="100"/>
      <c r="D4959" s="100"/>
      <c r="E4959" s="100"/>
      <c r="F4959" s="100"/>
      <c r="G4959" s="100"/>
      <c r="H4959" s="100"/>
      <c r="I4959" s="100"/>
      <c r="J4959" s="100"/>
      <c r="K4959" s="100"/>
      <c r="L4959" s="100"/>
      <c r="M4959" s="100"/>
      <c r="N4959" s="100"/>
      <c r="O4959" s="100"/>
      <c r="P4959" s="100"/>
      <c r="Q4959" s="100"/>
      <c r="R4959" s="100"/>
      <c r="S4959" s="100"/>
      <c r="T4959" s="100"/>
      <c r="U4959" s="100"/>
      <c r="V4959" s="100"/>
      <c r="W4959" s="100"/>
      <c r="X4959" s="100"/>
      <c r="Y4959" s="100"/>
      <c r="Z4959" s="100"/>
    </row>
    <row r="4960" spans="1:26">
      <c r="A4960" s="100"/>
      <c r="B4960" s="100"/>
      <c r="C4960" s="100"/>
      <c r="D4960" s="100"/>
      <c r="E4960" s="100"/>
      <c r="F4960" s="100"/>
      <c r="G4960" s="100"/>
      <c r="H4960" s="100"/>
      <c r="I4960" s="100"/>
      <c r="J4960" s="100"/>
      <c r="K4960" s="100"/>
      <c r="L4960" s="100"/>
      <c r="M4960" s="100"/>
      <c r="N4960" s="100"/>
      <c r="O4960" s="100"/>
      <c r="P4960" s="100"/>
      <c r="Q4960" s="100"/>
      <c r="R4960" s="100"/>
      <c r="S4960" s="100"/>
      <c r="T4960" s="100"/>
      <c r="U4960" s="100"/>
      <c r="V4960" s="100"/>
      <c r="W4960" s="100"/>
      <c r="X4960" s="100"/>
      <c r="Y4960" s="100"/>
      <c r="Z4960" s="100"/>
    </row>
    <row r="4961" spans="1:26">
      <c r="A4961" s="100"/>
      <c r="B4961" s="100"/>
      <c r="C4961" s="100"/>
      <c r="D4961" s="100"/>
      <c r="E4961" s="100"/>
      <c r="F4961" s="100"/>
      <c r="G4961" s="100"/>
      <c r="H4961" s="100"/>
      <c r="I4961" s="100"/>
      <c r="J4961" s="100"/>
      <c r="K4961" s="100"/>
      <c r="L4961" s="100"/>
      <c r="M4961" s="100"/>
      <c r="N4961" s="100"/>
      <c r="O4961" s="100"/>
      <c r="P4961" s="100"/>
      <c r="Q4961" s="100"/>
      <c r="R4961" s="100"/>
      <c r="S4961" s="100"/>
      <c r="T4961" s="100"/>
      <c r="U4961" s="100"/>
      <c r="V4961" s="100"/>
      <c r="W4961" s="100"/>
      <c r="X4961" s="100"/>
      <c r="Y4961" s="100"/>
      <c r="Z4961" s="100"/>
    </row>
    <row r="4962" spans="1:26">
      <c r="A4962" s="100"/>
      <c r="B4962" s="100"/>
      <c r="C4962" s="100"/>
      <c r="D4962" s="100"/>
      <c r="E4962" s="100"/>
      <c r="F4962" s="100"/>
      <c r="G4962" s="100"/>
      <c r="H4962" s="100"/>
      <c r="I4962" s="100"/>
      <c r="J4962" s="100"/>
      <c r="K4962" s="100"/>
      <c r="L4962" s="100"/>
      <c r="M4962" s="100"/>
      <c r="N4962" s="100"/>
      <c r="O4962" s="100"/>
      <c r="P4962" s="100"/>
      <c r="Q4962" s="100"/>
      <c r="R4962" s="100"/>
      <c r="S4962" s="100"/>
      <c r="T4962" s="100"/>
      <c r="U4962" s="100"/>
      <c r="V4962" s="100"/>
      <c r="W4962" s="100"/>
      <c r="X4962" s="100"/>
      <c r="Y4962" s="100"/>
      <c r="Z4962" s="100"/>
    </row>
    <row r="4963" spans="1:26">
      <c r="A4963" s="100"/>
      <c r="B4963" s="100"/>
      <c r="C4963" s="100"/>
      <c r="D4963" s="100"/>
      <c r="E4963" s="100"/>
      <c r="F4963" s="100"/>
      <c r="G4963" s="100"/>
      <c r="H4963" s="100"/>
      <c r="I4963" s="100"/>
      <c r="J4963" s="100"/>
      <c r="K4963" s="100"/>
      <c r="L4963" s="100"/>
      <c r="M4963" s="100"/>
      <c r="N4963" s="100"/>
      <c r="O4963" s="100"/>
      <c r="P4963" s="100"/>
      <c r="Q4963" s="100"/>
      <c r="R4963" s="100"/>
      <c r="S4963" s="100"/>
      <c r="T4963" s="100"/>
      <c r="U4963" s="100"/>
      <c r="V4963" s="100"/>
      <c r="W4963" s="100"/>
      <c r="X4963" s="100"/>
      <c r="Y4963" s="100"/>
      <c r="Z4963" s="100"/>
    </row>
    <row r="4964" spans="1:26">
      <c r="A4964" s="100"/>
      <c r="B4964" s="100"/>
      <c r="C4964" s="100"/>
      <c r="D4964" s="100"/>
      <c r="E4964" s="100"/>
      <c r="F4964" s="100"/>
      <c r="G4964" s="100"/>
      <c r="H4964" s="100"/>
      <c r="I4964" s="100"/>
      <c r="J4964" s="100"/>
      <c r="K4964" s="100"/>
      <c r="L4964" s="100"/>
      <c r="M4964" s="100"/>
      <c r="N4964" s="100"/>
      <c r="O4964" s="100"/>
      <c r="P4964" s="100"/>
      <c r="Q4964" s="100"/>
      <c r="R4964" s="100"/>
      <c r="S4964" s="100"/>
      <c r="T4964" s="100"/>
      <c r="U4964" s="100"/>
      <c r="V4964" s="100"/>
      <c r="W4964" s="100"/>
      <c r="X4964" s="100"/>
      <c r="Y4964" s="100"/>
      <c r="Z4964" s="100"/>
    </row>
    <row r="4965" spans="1:26">
      <c r="A4965" s="100"/>
      <c r="B4965" s="100"/>
      <c r="C4965" s="100"/>
      <c r="D4965" s="100"/>
      <c r="E4965" s="100"/>
      <c r="F4965" s="100"/>
      <c r="G4965" s="100"/>
      <c r="H4965" s="100"/>
      <c r="I4965" s="100"/>
      <c r="J4965" s="100"/>
      <c r="K4965" s="100"/>
      <c r="L4965" s="100"/>
      <c r="M4965" s="100"/>
      <c r="N4965" s="100"/>
      <c r="O4965" s="100"/>
      <c r="P4965" s="100"/>
      <c r="Q4965" s="100"/>
      <c r="R4965" s="100"/>
      <c r="S4965" s="100"/>
      <c r="T4965" s="100"/>
      <c r="U4965" s="100"/>
      <c r="V4965" s="100"/>
      <c r="W4965" s="100"/>
      <c r="X4965" s="100"/>
      <c r="Y4965" s="100"/>
      <c r="Z4965" s="100"/>
    </row>
    <row r="4966" spans="1:26">
      <c r="A4966" s="100"/>
      <c r="B4966" s="100"/>
      <c r="C4966" s="100"/>
      <c r="D4966" s="100"/>
      <c r="E4966" s="100"/>
      <c r="F4966" s="100"/>
      <c r="G4966" s="100"/>
      <c r="H4966" s="100"/>
      <c r="I4966" s="100"/>
      <c r="J4966" s="100"/>
      <c r="K4966" s="100"/>
      <c r="L4966" s="100"/>
      <c r="M4966" s="100"/>
      <c r="N4966" s="100"/>
      <c r="O4966" s="100"/>
      <c r="P4966" s="100"/>
      <c r="Q4966" s="100"/>
      <c r="R4966" s="100"/>
      <c r="S4966" s="100"/>
      <c r="T4966" s="100"/>
      <c r="U4966" s="100"/>
      <c r="V4966" s="100"/>
      <c r="W4966" s="100"/>
      <c r="X4966" s="100"/>
      <c r="Y4966" s="100"/>
      <c r="Z4966" s="100"/>
    </row>
    <row r="4967" spans="1:26">
      <c r="A4967" s="100"/>
      <c r="B4967" s="100"/>
      <c r="C4967" s="100"/>
      <c r="D4967" s="100"/>
      <c r="E4967" s="100"/>
      <c r="F4967" s="100"/>
      <c r="G4967" s="100"/>
      <c r="H4967" s="100"/>
      <c r="I4967" s="100"/>
      <c r="J4967" s="100"/>
      <c r="K4967" s="100"/>
      <c r="L4967" s="100"/>
      <c r="M4967" s="100"/>
      <c r="N4967" s="100"/>
      <c r="O4967" s="100"/>
      <c r="P4967" s="100"/>
      <c r="Q4967" s="100"/>
      <c r="R4967" s="100"/>
      <c r="S4967" s="100"/>
      <c r="T4967" s="100"/>
      <c r="U4967" s="100"/>
      <c r="V4967" s="100"/>
      <c r="W4967" s="100"/>
      <c r="X4967" s="100"/>
      <c r="Y4967" s="100"/>
      <c r="Z4967" s="100"/>
    </row>
    <row r="4968" spans="1:26">
      <c r="A4968" s="100"/>
      <c r="B4968" s="100"/>
      <c r="C4968" s="100"/>
      <c r="D4968" s="100"/>
      <c r="E4968" s="100"/>
      <c r="F4968" s="100"/>
      <c r="G4968" s="100"/>
      <c r="H4968" s="100"/>
      <c r="I4968" s="100"/>
      <c r="J4968" s="100"/>
      <c r="K4968" s="100"/>
      <c r="L4968" s="100"/>
      <c r="M4968" s="100"/>
      <c r="N4968" s="100"/>
      <c r="O4968" s="100"/>
      <c r="P4968" s="100"/>
      <c r="Q4968" s="100"/>
      <c r="R4968" s="100"/>
      <c r="S4968" s="100"/>
      <c r="T4968" s="100"/>
      <c r="U4968" s="100"/>
      <c r="V4968" s="100"/>
      <c r="W4968" s="100"/>
      <c r="X4968" s="100"/>
      <c r="Y4968" s="100"/>
      <c r="Z4968" s="100"/>
    </row>
    <row r="4969" spans="1:26">
      <c r="A4969" s="100"/>
      <c r="B4969" s="100"/>
      <c r="C4969" s="100"/>
      <c r="D4969" s="100"/>
      <c r="E4969" s="100"/>
      <c r="F4969" s="100"/>
      <c r="G4969" s="100"/>
      <c r="H4969" s="100"/>
      <c r="I4969" s="100"/>
      <c r="J4969" s="100"/>
      <c r="K4969" s="100"/>
      <c r="L4969" s="100"/>
      <c r="M4969" s="100"/>
      <c r="N4969" s="100"/>
      <c r="O4969" s="100"/>
      <c r="P4969" s="100"/>
      <c r="Q4969" s="100"/>
      <c r="R4969" s="100"/>
      <c r="S4969" s="100"/>
      <c r="T4969" s="100"/>
      <c r="U4969" s="100"/>
      <c r="V4969" s="100"/>
      <c r="W4969" s="100"/>
      <c r="X4969" s="100"/>
      <c r="Y4969" s="100"/>
      <c r="Z4969" s="100"/>
    </row>
    <row r="4970" spans="1:26">
      <c r="A4970" s="100"/>
      <c r="B4970" s="100"/>
      <c r="C4970" s="100"/>
      <c r="D4970" s="100"/>
      <c r="E4970" s="100"/>
      <c r="F4970" s="100"/>
      <c r="G4970" s="100"/>
      <c r="H4970" s="100"/>
      <c r="I4970" s="100"/>
      <c r="J4970" s="100"/>
      <c r="K4970" s="100"/>
      <c r="L4970" s="100"/>
      <c r="M4970" s="100"/>
      <c r="N4970" s="100"/>
      <c r="O4970" s="100"/>
      <c r="P4970" s="100"/>
      <c r="Q4970" s="100"/>
      <c r="R4970" s="100"/>
      <c r="S4970" s="100"/>
      <c r="T4970" s="100"/>
      <c r="U4970" s="100"/>
      <c r="V4970" s="100"/>
      <c r="W4970" s="100"/>
      <c r="X4970" s="100"/>
      <c r="Y4970" s="100"/>
      <c r="Z4970" s="100"/>
    </row>
    <row r="4971" spans="1:26">
      <c r="A4971" s="100"/>
      <c r="B4971" s="100"/>
      <c r="C4971" s="100"/>
      <c r="D4971" s="100"/>
      <c r="E4971" s="100"/>
      <c r="F4971" s="100"/>
      <c r="G4971" s="100"/>
      <c r="H4971" s="100"/>
      <c r="I4971" s="100"/>
      <c r="J4971" s="100"/>
      <c r="K4971" s="100"/>
      <c r="L4971" s="100"/>
      <c r="M4971" s="100"/>
      <c r="N4971" s="100"/>
      <c r="O4971" s="100"/>
      <c r="P4971" s="100"/>
      <c r="Q4971" s="100"/>
      <c r="R4971" s="100"/>
      <c r="S4971" s="100"/>
      <c r="T4971" s="100"/>
      <c r="U4971" s="100"/>
      <c r="V4971" s="100"/>
      <c r="W4971" s="100"/>
      <c r="X4971" s="100"/>
      <c r="Y4971" s="100"/>
      <c r="Z4971" s="100"/>
    </row>
    <row r="4972" spans="1:26">
      <c r="A4972" s="100"/>
      <c r="B4972" s="100"/>
      <c r="C4972" s="100"/>
      <c r="D4972" s="100"/>
      <c r="E4972" s="100"/>
      <c r="F4972" s="100"/>
      <c r="G4972" s="100"/>
      <c r="H4972" s="100"/>
      <c r="I4972" s="100"/>
      <c r="J4972" s="100"/>
      <c r="K4972" s="100"/>
      <c r="L4972" s="100"/>
      <c r="M4972" s="100"/>
      <c r="N4972" s="100"/>
      <c r="O4972" s="100"/>
      <c r="P4972" s="100"/>
      <c r="Q4972" s="100"/>
      <c r="R4972" s="100"/>
      <c r="S4972" s="100"/>
      <c r="T4972" s="100"/>
      <c r="U4972" s="100"/>
      <c r="V4972" s="100"/>
      <c r="W4972" s="100"/>
      <c r="X4972" s="100"/>
      <c r="Y4972" s="100"/>
      <c r="Z4972" s="100"/>
    </row>
    <row r="4973" spans="1:26">
      <c r="A4973" s="100"/>
      <c r="B4973" s="100"/>
      <c r="C4973" s="100"/>
      <c r="D4973" s="100"/>
      <c r="E4973" s="100"/>
      <c r="F4973" s="100"/>
      <c r="G4973" s="100"/>
      <c r="H4973" s="100"/>
      <c r="I4973" s="100"/>
      <c r="J4973" s="100"/>
      <c r="K4973" s="100"/>
      <c r="L4973" s="100"/>
      <c r="M4973" s="100"/>
      <c r="N4973" s="100"/>
      <c r="O4973" s="100"/>
      <c r="P4973" s="100"/>
      <c r="Q4973" s="100"/>
      <c r="R4973" s="100"/>
      <c r="S4973" s="100"/>
      <c r="T4973" s="100"/>
      <c r="U4973" s="100"/>
      <c r="V4973" s="100"/>
      <c r="W4973" s="100"/>
      <c r="X4973" s="100"/>
      <c r="Y4973" s="100"/>
      <c r="Z4973" s="100"/>
    </row>
    <row r="4974" spans="1:26">
      <c r="A4974" s="100"/>
      <c r="B4974" s="100"/>
      <c r="C4974" s="100"/>
      <c r="D4974" s="100"/>
      <c r="E4974" s="100"/>
      <c r="F4974" s="100"/>
      <c r="G4974" s="100"/>
      <c r="H4974" s="100"/>
      <c r="I4974" s="100"/>
      <c r="J4974" s="100"/>
      <c r="K4974" s="100"/>
      <c r="L4974" s="100"/>
      <c r="M4974" s="100"/>
      <c r="N4974" s="100"/>
      <c r="O4974" s="100"/>
      <c r="P4974" s="100"/>
      <c r="Q4974" s="100"/>
      <c r="R4974" s="100"/>
      <c r="S4974" s="100"/>
      <c r="T4974" s="100"/>
      <c r="U4974" s="100"/>
      <c r="V4974" s="100"/>
      <c r="W4974" s="100"/>
      <c r="X4974" s="100"/>
      <c r="Y4974" s="100"/>
      <c r="Z4974" s="100"/>
    </row>
    <row r="4975" spans="1:26">
      <c r="A4975" s="100"/>
      <c r="B4975" s="100"/>
      <c r="C4975" s="100"/>
      <c r="D4975" s="100"/>
      <c r="E4975" s="100"/>
      <c r="F4975" s="100"/>
      <c r="G4975" s="100"/>
      <c r="H4975" s="100"/>
      <c r="I4975" s="100"/>
      <c r="J4975" s="100"/>
      <c r="K4975" s="100"/>
      <c r="L4975" s="100"/>
      <c r="M4975" s="100"/>
      <c r="N4975" s="100"/>
      <c r="O4975" s="100"/>
      <c r="P4975" s="100"/>
      <c r="Q4975" s="100"/>
      <c r="R4975" s="100"/>
      <c r="S4975" s="100"/>
      <c r="T4975" s="100"/>
      <c r="U4975" s="100"/>
      <c r="V4975" s="100"/>
      <c r="W4975" s="100"/>
      <c r="X4975" s="100"/>
      <c r="Y4975" s="100"/>
      <c r="Z4975" s="100"/>
    </row>
    <row r="4976" spans="1:26">
      <c r="A4976" s="100"/>
      <c r="B4976" s="100"/>
      <c r="C4976" s="100"/>
      <c r="D4976" s="100"/>
      <c r="E4976" s="100"/>
      <c r="F4976" s="100"/>
      <c r="G4976" s="100"/>
      <c r="H4976" s="100"/>
      <c r="I4976" s="100"/>
      <c r="J4976" s="100"/>
      <c r="K4976" s="100"/>
      <c r="L4976" s="100"/>
      <c r="M4976" s="100"/>
      <c r="N4976" s="100"/>
      <c r="O4976" s="100"/>
      <c r="P4976" s="100"/>
      <c r="Q4976" s="100"/>
      <c r="R4976" s="100"/>
      <c r="S4976" s="100"/>
      <c r="T4976" s="100"/>
      <c r="U4976" s="100"/>
      <c r="V4976" s="100"/>
      <c r="W4976" s="100"/>
      <c r="X4976" s="100"/>
      <c r="Y4976" s="100"/>
      <c r="Z4976" s="100"/>
    </row>
    <row r="4977" spans="1:26">
      <c r="A4977" s="100"/>
      <c r="B4977" s="100"/>
      <c r="C4977" s="100"/>
      <c r="D4977" s="100"/>
      <c r="E4977" s="100"/>
      <c r="F4977" s="100"/>
      <c r="G4977" s="100"/>
      <c r="H4977" s="100"/>
      <c r="I4977" s="100"/>
      <c r="J4977" s="100"/>
      <c r="K4977" s="100"/>
      <c r="L4977" s="100"/>
      <c r="M4977" s="100"/>
      <c r="N4977" s="100"/>
      <c r="O4977" s="100"/>
      <c r="P4977" s="100"/>
      <c r="Q4977" s="100"/>
      <c r="R4977" s="100"/>
      <c r="S4977" s="100"/>
      <c r="T4977" s="100"/>
      <c r="U4977" s="100"/>
      <c r="V4977" s="100"/>
      <c r="W4977" s="100"/>
      <c r="X4977" s="100"/>
      <c r="Y4977" s="100"/>
      <c r="Z4977" s="100"/>
    </row>
    <row r="4978" spans="1:26">
      <c r="A4978" s="100"/>
      <c r="B4978" s="100"/>
      <c r="C4978" s="100"/>
      <c r="D4978" s="100"/>
      <c r="E4978" s="100"/>
      <c r="F4978" s="100"/>
      <c r="G4978" s="100"/>
      <c r="H4978" s="100"/>
      <c r="I4978" s="100"/>
      <c r="J4978" s="100"/>
      <c r="K4978" s="100"/>
      <c r="L4978" s="100"/>
      <c r="M4978" s="100"/>
      <c r="N4978" s="100"/>
      <c r="O4978" s="100"/>
      <c r="P4978" s="100"/>
      <c r="Q4978" s="100"/>
      <c r="R4978" s="100"/>
      <c r="S4978" s="100"/>
      <c r="T4978" s="100"/>
      <c r="U4978" s="100"/>
      <c r="V4978" s="100"/>
      <c r="W4978" s="100"/>
      <c r="X4978" s="100"/>
      <c r="Y4978" s="100"/>
      <c r="Z4978" s="100"/>
    </row>
    <row r="4979" spans="1:26">
      <c r="A4979" s="100"/>
      <c r="B4979" s="100"/>
      <c r="C4979" s="100"/>
      <c r="D4979" s="100"/>
      <c r="E4979" s="100"/>
      <c r="F4979" s="100"/>
      <c r="G4979" s="100"/>
      <c r="H4979" s="100"/>
      <c r="I4979" s="100"/>
      <c r="J4979" s="100"/>
      <c r="K4979" s="100"/>
      <c r="L4979" s="100"/>
      <c r="M4979" s="100"/>
      <c r="N4979" s="100"/>
      <c r="O4979" s="100"/>
      <c r="P4979" s="100"/>
      <c r="Q4979" s="100"/>
      <c r="R4979" s="100"/>
      <c r="S4979" s="100"/>
      <c r="T4979" s="100"/>
      <c r="U4979" s="100"/>
      <c r="V4979" s="100"/>
      <c r="W4979" s="100"/>
      <c r="X4979" s="100"/>
      <c r="Y4979" s="100"/>
      <c r="Z4979" s="100"/>
    </row>
    <row r="4980" spans="1:26">
      <c r="A4980" s="100"/>
      <c r="B4980" s="100"/>
      <c r="C4980" s="100"/>
      <c r="D4980" s="100"/>
      <c r="E4980" s="100"/>
      <c r="F4980" s="100"/>
      <c r="G4980" s="100"/>
      <c r="H4980" s="100"/>
      <c r="I4980" s="100"/>
      <c r="J4980" s="100"/>
      <c r="K4980" s="100"/>
      <c r="L4980" s="100"/>
      <c r="M4980" s="100"/>
      <c r="N4980" s="100"/>
      <c r="O4980" s="100"/>
      <c r="P4980" s="100"/>
      <c r="Q4980" s="100"/>
      <c r="R4980" s="100"/>
      <c r="S4980" s="100"/>
      <c r="T4980" s="100"/>
      <c r="U4980" s="100"/>
      <c r="V4980" s="100"/>
      <c r="W4980" s="100"/>
      <c r="X4980" s="100"/>
      <c r="Y4980" s="100"/>
      <c r="Z4980" s="100"/>
    </row>
    <row r="4981" spans="1:26">
      <c r="A4981" s="100"/>
      <c r="B4981" s="100"/>
      <c r="C4981" s="100"/>
      <c r="D4981" s="100"/>
      <c r="E4981" s="100"/>
      <c r="F4981" s="100"/>
      <c r="G4981" s="100"/>
      <c r="H4981" s="100"/>
      <c r="I4981" s="100"/>
      <c r="J4981" s="100"/>
      <c r="K4981" s="100"/>
      <c r="L4981" s="100"/>
      <c r="M4981" s="100"/>
      <c r="N4981" s="100"/>
      <c r="O4981" s="100"/>
      <c r="P4981" s="100"/>
      <c r="Q4981" s="100"/>
      <c r="R4981" s="100"/>
      <c r="S4981" s="100"/>
      <c r="T4981" s="100"/>
      <c r="U4981" s="100"/>
      <c r="V4981" s="100"/>
      <c r="W4981" s="100"/>
      <c r="X4981" s="100"/>
      <c r="Y4981" s="100"/>
      <c r="Z4981" s="100"/>
    </row>
    <row r="4982" spans="1:26">
      <c r="A4982" s="100"/>
      <c r="B4982" s="100"/>
      <c r="C4982" s="100"/>
      <c r="D4982" s="100"/>
      <c r="E4982" s="100"/>
      <c r="F4982" s="100"/>
      <c r="G4982" s="100"/>
      <c r="H4982" s="100"/>
      <c r="I4982" s="100"/>
      <c r="J4982" s="100"/>
      <c r="K4982" s="100"/>
      <c r="L4982" s="100"/>
      <c r="M4982" s="100"/>
      <c r="N4982" s="100"/>
      <c r="O4982" s="100"/>
      <c r="P4982" s="100"/>
      <c r="Q4982" s="100"/>
      <c r="R4982" s="100"/>
      <c r="S4982" s="100"/>
      <c r="T4982" s="100"/>
      <c r="U4982" s="100"/>
      <c r="V4982" s="100"/>
      <c r="W4982" s="100"/>
      <c r="X4982" s="100"/>
      <c r="Y4982" s="100"/>
      <c r="Z4982" s="100"/>
    </row>
    <row r="4983" spans="1:26">
      <c r="A4983" s="100"/>
      <c r="B4983" s="100"/>
      <c r="C4983" s="100"/>
      <c r="D4983" s="100"/>
      <c r="E4983" s="100"/>
      <c r="F4983" s="100"/>
      <c r="G4983" s="100"/>
      <c r="H4983" s="100"/>
      <c r="I4983" s="100"/>
      <c r="J4983" s="100"/>
      <c r="K4983" s="100"/>
      <c r="L4983" s="100"/>
      <c r="M4983" s="100"/>
      <c r="N4983" s="100"/>
      <c r="O4983" s="100"/>
      <c r="P4983" s="100"/>
      <c r="Q4983" s="100"/>
      <c r="R4983" s="100"/>
      <c r="S4983" s="100"/>
      <c r="T4983" s="100"/>
      <c r="U4983" s="100"/>
      <c r="V4983" s="100"/>
      <c r="W4983" s="100"/>
      <c r="X4983" s="100"/>
      <c r="Y4983" s="100"/>
      <c r="Z4983" s="100"/>
    </row>
    <row r="4984" spans="1:26">
      <c r="A4984" s="100"/>
      <c r="B4984" s="100"/>
      <c r="C4984" s="100"/>
      <c r="D4984" s="100"/>
      <c r="E4984" s="100"/>
      <c r="F4984" s="100"/>
      <c r="G4984" s="100"/>
      <c r="H4984" s="100"/>
      <c r="I4984" s="100"/>
      <c r="J4984" s="100"/>
      <c r="K4984" s="100"/>
      <c r="L4984" s="100"/>
      <c r="M4984" s="100"/>
      <c r="N4984" s="100"/>
      <c r="O4984" s="100"/>
      <c r="P4984" s="100"/>
      <c r="Q4984" s="100"/>
      <c r="R4984" s="100"/>
      <c r="S4984" s="100"/>
      <c r="T4984" s="100"/>
      <c r="U4984" s="100"/>
      <c r="V4984" s="100"/>
      <c r="W4984" s="100"/>
      <c r="X4984" s="100"/>
      <c r="Y4984" s="100"/>
      <c r="Z4984" s="100"/>
    </row>
    <row r="4985" spans="1:26">
      <c r="A4985" s="100"/>
      <c r="B4985" s="100"/>
      <c r="C4985" s="100"/>
      <c r="D4985" s="100"/>
      <c r="E4985" s="100"/>
      <c r="F4985" s="100"/>
      <c r="G4985" s="100"/>
      <c r="H4985" s="100"/>
      <c r="I4985" s="100"/>
      <c r="J4985" s="100"/>
      <c r="K4985" s="100"/>
      <c r="L4985" s="100"/>
      <c r="M4985" s="100"/>
      <c r="N4985" s="100"/>
      <c r="O4985" s="100"/>
      <c r="P4985" s="100"/>
      <c r="Q4985" s="100"/>
      <c r="R4985" s="100"/>
      <c r="S4985" s="100"/>
      <c r="T4985" s="100"/>
      <c r="U4985" s="100"/>
      <c r="V4985" s="100"/>
      <c r="W4985" s="100"/>
      <c r="X4985" s="100"/>
      <c r="Y4985" s="100"/>
      <c r="Z4985" s="100"/>
    </row>
    <row r="4986" spans="1:26">
      <c r="A4986" s="100"/>
      <c r="B4986" s="100"/>
      <c r="C4986" s="100"/>
      <c r="D4986" s="100"/>
      <c r="E4986" s="100"/>
      <c r="F4986" s="100"/>
      <c r="G4986" s="100"/>
      <c r="H4986" s="100"/>
      <c r="I4986" s="100"/>
      <c r="J4986" s="100"/>
      <c r="K4986" s="100"/>
      <c r="L4986" s="100"/>
      <c r="M4986" s="100"/>
      <c r="N4986" s="100"/>
      <c r="O4986" s="100"/>
      <c r="P4986" s="100"/>
      <c r="Q4986" s="100"/>
      <c r="R4986" s="100"/>
      <c r="S4986" s="100"/>
      <c r="T4986" s="100"/>
      <c r="U4986" s="100"/>
      <c r="V4986" s="100"/>
      <c r="W4986" s="100"/>
      <c r="X4986" s="100"/>
      <c r="Y4986" s="100"/>
      <c r="Z4986" s="100"/>
    </row>
    <row r="4987" spans="1:26">
      <c r="A4987" s="100"/>
      <c r="B4987" s="100"/>
      <c r="C4987" s="100"/>
      <c r="D4987" s="100"/>
      <c r="E4987" s="100"/>
      <c r="F4987" s="100"/>
      <c r="G4987" s="100"/>
      <c r="H4987" s="100"/>
      <c r="I4987" s="100"/>
      <c r="J4987" s="100"/>
      <c r="K4987" s="100"/>
      <c r="L4987" s="100"/>
      <c r="M4987" s="100"/>
      <c r="N4987" s="100"/>
      <c r="O4987" s="100"/>
      <c r="P4987" s="100"/>
      <c r="Q4987" s="100"/>
      <c r="R4987" s="100"/>
      <c r="S4987" s="100"/>
      <c r="T4987" s="100"/>
      <c r="U4987" s="100"/>
      <c r="V4987" s="100"/>
      <c r="W4987" s="100"/>
      <c r="X4987" s="100"/>
      <c r="Y4987" s="100"/>
      <c r="Z4987" s="100"/>
    </row>
    <row r="4988" spans="1:26">
      <c r="A4988" s="100"/>
      <c r="B4988" s="100"/>
      <c r="C4988" s="100"/>
      <c r="D4988" s="100"/>
      <c r="E4988" s="100"/>
      <c r="F4988" s="100"/>
      <c r="G4988" s="100"/>
      <c r="H4988" s="100"/>
      <c r="I4988" s="100"/>
      <c r="J4988" s="100"/>
      <c r="K4988" s="100"/>
      <c r="L4988" s="100"/>
      <c r="M4988" s="100"/>
      <c r="N4988" s="100"/>
      <c r="O4988" s="100"/>
      <c r="P4988" s="100"/>
      <c r="Q4988" s="100"/>
      <c r="R4988" s="100"/>
      <c r="S4988" s="100"/>
      <c r="T4988" s="100"/>
      <c r="U4988" s="100"/>
      <c r="V4988" s="100"/>
      <c r="W4988" s="100"/>
      <c r="X4988" s="100"/>
      <c r="Y4988" s="100"/>
      <c r="Z4988" s="100"/>
    </row>
    <row r="4989" spans="1:26">
      <c r="A4989" s="100"/>
      <c r="B4989" s="100"/>
      <c r="C4989" s="100"/>
      <c r="D4989" s="100"/>
      <c r="E4989" s="100"/>
      <c r="F4989" s="100"/>
      <c r="G4989" s="100"/>
      <c r="H4989" s="100"/>
      <c r="I4989" s="100"/>
      <c r="J4989" s="100"/>
      <c r="K4989" s="100"/>
      <c r="L4989" s="100"/>
      <c r="M4989" s="100"/>
      <c r="N4989" s="100"/>
      <c r="O4989" s="100"/>
      <c r="P4989" s="100"/>
      <c r="Q4989" s="100"/>
      <c r="R4989" s="100"/>
      <c r="S4989" s="100"/>
      <c r="T4989" s="100"/>
      <c r="U4989" s="100"/>
      <c r="V4989" s="100"/>
      <c r="W4989" s="100"/>
      <c r="X4989" s="100"/>
      <c r="Y4989" s="100"/>
      <c r="Z4989" s="100"/>
    </row>
    <row r="4990" spans="1:26">
      <c r="A4990" s="100"/>
      <c r="B4990" s="100"/>
      <c r="C4990" s="100"/>
      <c r="D4990" s="100"/>
      <c r="E4990" s="100"/>
      <c r="F4990" s="100"/>
      <c r="G4990" s="100"/>
      <c r="H4990" s="100"/>
      <c r="I4990" s="100"/>
      <c r="J4990" s="100"/>
      <c r="K4990" s="100"/>
      <c r="L4990" s="100"/>
      <c r="M4990" s="100"/>
      <c r="N4990" s="100"/>
      <c r="O4990" s="100"/>
      <c r="P4990" s="100"/>
      <c r="Q4990" s="100"/>
      <c r="R4990" s="100"/>
      <c r="S4990" s="100"/>
      <c r="T4990" s="100"/>
      <c r="U4990" s="100"/>
      <c r="V4990" s="100"/>
      <c r="W4990" s="100"/>
      <c r="X4990" s="100"/>
      <c r="Y4990" s="100"/>
      <c r="Z4990" s="100"/>
    </row>
    <row r="4991" spans="1:26">
      <c r="A4991" s="100"/>
      <c r="B4991" s="100"/>
      <c r="C4991" s="100"/>
      <c r="D4991" s="100"/>
      <c r="E4991" s="100"/>
      <c r="F4991" s="100"/>
      <c r="G4991" s="100"/>
      <c r="H4991" s="100"/>
      <c r="I4991" s="100"/>
      <c r="J4991" s="100"/>
      <c r="K4991" s="100"/>
      <c r="L4991" s="100"/>
      <c r="M4991" s="100"/>
      <c r="N4991" s="100"/>
      <c r="O4991" s="100"/>
      <c r="P4991" s="100"/>
      <c r="Q4991" s="100"/>
      <c r="R4991" s="100"/>
      <c r="S4991" s="100"/>
      <c r="T4991" s="100"/>
      <c r="U4991" s="100"/>
      <c r="V4991" s="100"/>
      <c r="W4991" s="100"/>
      <c r="X4991" s="100"/>
      <c r="Y4991" s="100"/>
      <c r="Z4991" s="100"/>
    </row>
    <row r="4992" spans="1:26">
      <c r="A4992" s="100"/>
      <c r="B4992" s="100"/>
      <c r="C4992" s="100"/>
      <c r="D4992" s="100"/>
      <c r="E4992" s="100"/>
      <c r="F4992" s="100"/>
      <c r="G4992" s="100"/>
      <c r="H4992" s="100"/>
      <c r="I4992" s="100"/>
      <c r="J4992" s="100"/>
      <c r="K4992" s="100"/>
      <c r="L4992" s="100"/>
      <c r="M4992" s="100"/>
      <c r="N4992" s="100"/>
      <c r="O4992" s="100"/>
      <c r="P4992" s="100"/>
      <c r="Q4992" s="100"/>
      <c r="R4992" s="100"/>
      <c r="S4992" s="100"/>
      <c r="T4992" s="100"/>
      <c r="U4992" s="100"/>
      <c r="V4992" s="100"/>
      <c r="W4992" s="100"/>
      <c r="X4992" s="100"/>
      <c r="Y4992" s="100"/>
      <c r="Z4992" s="100"/>
    </row>
    <row r="4993" spans="1:26">
      <c r="A4993" s="100"/>
      <c r="B4993" s="100"/>
      <c r="C4993" s="100"/>
      <c r="D4993" s="100"/>
      <c r="E4993" s="100"/>
      <c r="F4993" s="100"/>
      <c r="G4993" s="100"/>
      <c r="H4993" s="100"/>
      <c r="I4993" s="100"/>
      <c r="J4993" s="100"/>
      <c r="K4993" s="100"/>
      <c r="L4993" s="100"/>
      <c r="M4993" s="100"/>
      <c r="N4993" s="100"/>
      <c r="O4993" s="100"/>
      <c r="P4993" s="100"/>
      <c r="Q4993" s="100"/>
      <c r="R4993" s="100"/>
      <c r="S4993" s="100"/>
      <c r="T4993" s="100"/>
      <c r="U4993" s="100"/>
      <c r="V4993" s="100"/>
      <c r="W4993" s="100"/>
      <c r="X4993" s="100"/>
      <c r="Y4993" s="100"/>
      <c r="Z4993" s="100"/>
    </row>
    <row r="4994" spans="1:26">
      <c r="A4994" s="100"/>
      <c r="B4994" s="100"/>
      <c r="C4994" s="100"/>
      <c r="D4994" s="100"/>
      <c r="E4994" s="100"/>
      <c r="F4994" s="100"/>
      <c r="G4994" s="100"/>
      <c r="H4994" s="100"/>
      <c r="I4994" s="100"/>
      <c r="J4994" s="100"/>
      <c r="K4994" s="100"/>
      <c r="L4994" s="100"/>
      <c r="M4994" s="100"/>
      <c r="N4994" s="100"/>
      <c r="O4994" s="100"/>
      <c r="P4994" s="100"/>
      <c r="Q4994" s="100"/>
      <c r="R4994" s="100"/>
      <c r="S4994" s="100"/>
      <c r="T4994" s="100"/>
      <c r="U4994" s="100"/>
      <c r="V4994" s="100"/>
      <c r="W4994" s="100"/>
      <c r="X4994" s="100"/>
      <c r="Y4994" s="100"/>
      <c r="Z4994" s="100"/>
    </row>
    <row r="4995" spans="1:26">
      <c r="A4995" s="100"/>
      <c r="B4995" s="100"/>
      <c r="C4995" s="100"/>
      <c r="D4995" s="100"/>
      <c r="E4995" s="100"/>
      <c r="F4995" s="100"/>
      <c r="G4995" s="100"/>
      <c r="H4995" s="100"/>
      <c r="I4995" s="100"/>
      <c r="J4995" s="100"/>
      <c r="K4995" s="100"/>
      <c r="L4995" s="100"/>
      <c r="M4995" s="100"/>
      <c r="N4995" s="100"/>
      <c r="O4995" s="100"/>
      <c r="P4995" s="100"/>
      <c r="Q4995" s="100"/>
      <c r="R4995" s="100"/>
      <c r="S4995" s="100"/>
      <c r="T4995" s="100"/>
      <c r="U4995" s="100"/>
      <c r="V4995" s="100"/>
      <c r="W4995" s="100"/>
      <c r="X4995" s="100"/>
      <c r="Y4995" s="100"/>
      <c r="Z4995" s="100"/>
    </row>
    <row r="4996" spans="1:26">
      <c r="A4996" s="100"/>
      <c r="B4996" s="100"/>
      <c r="C4996" s="100"/>
      <c r="D4996" s="100"/>
      <c r="E4996" s="100"/>
      <c r="F4996" s="100"/>
      <c r="G4996" s="100"/>
      <c r="H4996" s="100"/>
      <c r="I4996" s="100"/>
      <c r="J4996" s="100"/>
      <c r="K4996" s="100"/>
      <c r="L4996" s="100"/>
      <c r="M4996" s="100"/>
      <c r="N4996" s="100"/>
      <c r="O4996" s="100"/>
      <c r="P4996" s="100"/>
      <c r="Q4996" s="100"/>
      <c r="R4996" s="100"/>
      <c r="S4996" s="100"/>
      <c r="T4996" s="100"/>
      <c r="U4996" s="100"/>
      <c r="V4996" s="100"/>
      <c r="W4996" s="100"/>
      <c r="X4996" s="100"/>
      <c r="Y4996" s="100"/>
      <c r="Z4996" s="100"/>
    </row>
    <row r="4997" spans="1:26">
      <c r="A4997" s="100"/>
      <c r="B4997" s="100"/>
      <c r="C4997" s="100"/>
      <c r="D4997" s="100"/>
      <c r="E4997" s="100"/>
      <c r="F4997" s="100"/>
      <c r="G4997" s="100"/>
      <c r="H4997" s="100"/>
      <c r="I4997" s="100"/>
      <c r="J4997" s="100"/>
      <c r="K4997" s="100"/>
      <c r="L4997" s="100"/>
      <c r="M4997" s="100"/>
      <c r="N4997" s="100"/>
      <c r="O4997" s="100"/>
      <c r="P4997" s="100"/>
      <c r="Q4997" s="100"/>
      <c r="R4997" s="100"/>
      <c r="S4997" s="100"/>
      <c r="T4997" s="100"/>
      <c r="U4997" s="100"/>
      <c r="V4997" s="100"/>
      <c r="W4997" s="100"/>
      <c r="X4997" s="100"/>
      <c r="Y4997" s="100"/>
      <c r="Z4997" s="100"/>
    </row>
    <row r="4998" spans="1:26">
      <c r="A4998" s="100"/>
      <c r="B4998" s="100"/>
      <c r="C4998" s="100"/>
      <c r="D4998" s="100"/>
      <c r="E4998" s="100"/>
      <c r="F4998" s="100"/>
      <c r="G4998" s="100"/>
      <c r="H4998" s="100"/>
      <c r="I4998" s="100"/>
      <c r="J4998" s="100"/>
      <c r="K4998" s="100"/>
      <c r="L4998" s="100"/>
      <c r="M4998" s="100"/>
      <c r="N4998" s="100"/>
      <c r="O4998" s="100"/>
      <c r="P4998" s="100"/>
      <c r="Q4998" s="100"/>
      <c r="R4998" s="100"/>
      <c r="S4998" s="100"/>
      <c r="T4998" s="100"/>
      <c r="U4998" s="100"/>
      <c r="V4998" s="100"/>
      <c r="W4998" s="100"/>
      <c r="X4998" s="100"/>
      <c r="Y4998" s="100"/>
      <c r="Z4998" s="100"/>
    </row>
    <row r="4999" spans="1:26">
      <c r="A4999" s="100"/>
      <c r="B4999" s="100"/>
      <c r="C4999" s="100"/>
      <c r="D4999" s="100"/>
      <c r="E4999" s="100"/>
      <c r="F4999" s="100"/>
      <c r="G4999" s="100"/>
      <c r="H4999" s="100"/>
      <c r="I4999" s="100"/>
      <c r="J4999" s="100"/>
      <c r="K4999" s="100"/>
      <c r="L4999" s="100"/>
      <c r="M4999" s="100"/>
      <c r="N4999" s="100"/>
      <c r="O4999" s="100"/>
      <c r="P4999" s="100"/>
      <c r="Q4999" s="100"/>
      <c r="R4999" s="100"/>
      <c r="S4999" s="100"/>
      <c r="T4999" s="100"/>
      <c r="U4999" s="100"/>
      <c r="V4999" s="100"/>
      <c r="W4999" s="100"/>
      <c r="X4999" s="100"/>
      <c r="Y4999" s="100"/>
      <c r="Z4999" s="100"/>
    </row>
    <row r="5000" spans="1:26">
      <c r="A5000" s="100"/>
      <c r="B5000" s="100"/>
      <c r="C5000" s="100"/>
      <c r="D5000" s="100"/>
      <c r="E5000" s="100"/>
      <c r="F5000" s="100"/>
      <c r="G5000" s="100"/>
      <c r="H5000" s="100"/>
      <c r="I5000" s="100"/>
      <c r="J5000" s="100"/>
      <c r="K5000" s="100"/>
      <c r="L5000" s="100"/>
      <c r="M5000" s="100"/>
      <c r="N5000" s="100"/>
      <c r="O5000" s="100"/>
      <c r="P5000" s="100"/>
      <c r="Q5000" s="100"/>
      <c r="R5000" s="100"/>
      <c r="S5000" s="100"/>
      <c r="T5000" s="100"/>
      <c r="U5000" s="100"/>
      <c r="V5000" s="100"/>
      <c r="W5000" s="100"/>
      <c r="X5000" s="100"/>
      <c r="Y5000" s="100"/>
      <c r="Z5000" s="100"/>
    </row>
  </sheetData>
  <phoneticPr fontId="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A2809"/>
  <sheetViews>
    <sheetView workbookViewId="0"/>
  </sheetViews>
  <sheetFormatPr defaultColWidth="14.42578125" defaultRowHeight="15" customHeight="1"/>
  <sheetData>
    <row r="1" spans="1:27">
      <c r="A1" s="128" t="s">
        <v>12923</v>
      </c>
      <c r="B1" s="100" t="e">
        <f ca="1">IFERROR(__xludf.DUMMYFUNCTION("IMPORTRANGE(""https://docs.google.com/spreadsheets/d/1PLLq6YTmFFMklDHedBb_tVR7NVjsQrSVqiUJW2TeuHQ/edit?usp=sharing"", ""cryptodataOKX!A1:Z5000"")"),"id")</f>
        <v>#NAME?</v>
      </c>
      <c r="C1" s="100" t="e">
        <f ca="1">IFERROR(__xludf.DUMMYFUNCTION("""COMPUTED_VALUE"""),"symbol")</f>
        <v>#NAME?</v>
      </c>
      <c r="D1" s="100" t="e">
        <f ca="1">IFERROR(__xludf.DUMMYFUNCTION("""COMPUTED_VALUE"""),"price")</f>
        <v>#NAME?</v>
      </c>
      <c r="E1" s="100" t="e">
        <f ca="1">IFERROR(__xludf.DUMMYFUNCTION("""COMPUTED_VALUE"""),"change7d")</f>
        <v>#NAME?</v>
      </c>
      <c r="F1" s="100" t="e">
        <f ca="1">IFERROR(__xludf.DUMMYFUNCTION("""COMPUTED_VALUE"""),"change30d")</f>
        <v>#NAME?</v>
      </c>
      <c r="G1" s="100" t="e">
        <f ca="1">IFERROR(__xludf.DUMMYFUNCTION("""COMPUTED_VALUE"""),"time1d")</f>
        <v>#NAME?</v>
      </c>
      <c r="H1" s="100" t="e">
        <f ca="1">IFERROR(__xludf.DUMMYFUNCTION("""COMPUTED_VALUE"""),"time7d")</f>
        <v>#NAME?</v>
      </c>
      <c r="I1" s="100" t="e">
        <f ca="1">IFERROR(__xludf.DUMMYFUNCTION("""COMPUTED_VALUE"""),"time1m")</f>
        <v>#NAME?</v>
      </c>
      <c r="J1" s="100" t="e">
        <f ca="1">IFERROR(__xludf.DUMMYFUNCTION("""COMPUTED_VALUE"""),"time5min")</f>
        <v>#NAME?</v>
      </c>
      <c r="K1" s="100" t="e">
        <f ca="1">IFERROR(__xludf.DUMMYFUNCTION("""COMPUTED_VALUE"""),"change1d")</f>
        <v>#NAME?</v>
      </c>
      <c r="L1" s="100" t="e">
        <f ca="1">IFERROR(__xludf.DUMMYFUNCTION("""COMPUTED_VALUE"""),"time1sec")</f>
        <v>#NAME?</v>
      </c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</row>
    <row r="2" spans="1:27">
      <c r="A2" s="100" t="e">
        <f t="shared" ref="A2:A65" ca="1" si="0">SUBSTITUTE(C2,"-","",)</f>
        <v>#NAME?</v>
      </c>
      <c r="B2" s="100" t="e">
        <f ca="1">IFERROR(__xludf.DUMMYFUNCTION("""COMPUTED_VALUE"""),1)</f>
        <v>#NAME?</v>
      </c>
      <c r="C2" s="100" t="e">
        <f ca="1">IFERROR(__xludf.DUMMYFUNCTION("""COMPUTED_VALUE"""),"MDT-USDT")</f>
        <v>#NAME?</v>
      </c>
      <c r="D2" s="100" t="e">
        <f ca="1">IFERROR(__xludf.DUMMYFUNCTION("""COMPUTED_VALUE"""),"0.0286")</f>
        <v>#NAME?</v>
      </c>
      <c r="E2" s="100" t="e">
        <f t="shared" ref="E2:F21" ca="1" si="1">IFERROR(__xludf.DUMMYFUNCTION("""COMPUTED_VALUE"""),"-")</f>
        <v>#NAME?</v>
      </c>
      <c r="F2" s="100" t="e">
        <f t="shared" ca="1" si="1"/>
        <v>#NAME?</v>
      </c>
      <c r="G2" s="100" t="e">
        <f t="shared" ref="G2:G65" ca="1" si="2">IFERROR(__xludf.DUMMYFUNCTION("""COMPUTED_VALUE"""),20200)</f>
        <v>#NAME?</v>
      </c>
      <c r="H2" s="100" t="e">
        <f t="shared" ref="H2:H65" ca="1" si="3">IFERROR(__xludf.DUMMYFUNCTION("""COMPUTED_VALUE"""),2885)</f>
        <v>#NAME?</v>
      </c>
      <c r="I2" s="100" t="e">
        <f t="shared" ref="I2:I65" ca="1" si="4">IFERROR(__xludf.DUMMYFUNCTION("""COMPUTED_VALUE"""),663)</f>
        <v>#NAME?</v>
      </c>
      <c r="J2" s="100" t="e">
        <f t="shared" ref="J2:J65" ca="1" si="5">IFERROR(__xludf.DUMMYFUNCTION("""COMPUTED_VALUE"""),5817714)</f>
        <v>#NAME?</v>
      </c>
      <c r="K2" s="100" t="e">
        <f t="shared" ref="K2:K65" ca="1" si="6">IFERROR(__xludf.DUMMYFUNCTION("""COMPUTED_VALUE"""),"-")</f>
        <v>#NAME?</v>
      </c>
      <c r="L2" s="100" t="e">
        <f t="shared" ref="L2:L65" ca="1" si="7">IFERROR(__xludf.DUMMYFUNCTION("""COMPUTED_VALUE"""),"22.04.2025 12:32:49")</f>
        <v>#NAME?</v>
      </c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</row>
    <row r="3" spans="1:27">
      <c r="A3" s="100" t="e">
        <f t="shared" ca="1" si="0"/>
        <v>#NAME?</v>
      </c>
      <c r="B3" s="100" t="e">
        <f ca="1">IFERROR(__xludf.DUMMYFUNCTION("""COMPUTED_VALUE"""),2)</f>
        <v>#NAME?</v>
      </c>
      <c r="C3" s="100" t="e">
        <f ca="1">IFERROR(__xludf.DUMMYFUNCTION("""COMPUTED_VALUE"""),"CHZ-USD")</f>
        <v>#NAME?</v>
      </c>
      <c r="D3" s="100" t="e">
        <f ca="1">IFERROR(__xludf.DUMMYFUNCTION("""COMPUTED_VALUE"""),"0.03758")</f>
        <v>#NAME?</v>
      </c>
      <c r="E3" s="100" t="e">
        <f t="shared" ca="1" si="1"/>
        <v>#NAME?</v>
      </c>
      <c r="F3" s="100" t="e">
        <f t="shared" ca="1" si="1"/>
        <v>#NAME?</v>
      </c>
      <c r="G3" s="100" t="e">
        <f t="shared" ca="1" si="2"/>
        <v>#NAME?</v>
      </c>
      <c r="H3" s="100" t="e">
        <f t="shared" ca="1" si="3"/>
        <v>#NAME?</v>
      </c>
      <c r="I3" s="100" t="e">
        <f t="shared" ca="1" si="4"/>
        <v>#NAME?</v>
      </c>
      <c r="J3" s="100" t="e">
        <f t="shared" ca="1" si="5"/>
        <v>#NAME?</v>
      </c>
      <c r="K3" s="100" t="e">
        <f t="shared" ca="1" si="6"/>
        <v>#NAME?</v>
      </c>
      <c r="L3" s="100" t="e">
        <f t="shared" ca="1" si="7"/>
        <v>#NAME?</v>
      </c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</row>
    <row r="4" spans="1:27">
      <c r="A4" s="100" t="e">
        <f t="shared" ca="1" si="0"/>
        <v>#NAME?</v>
      </c>
      <c r="B4" s="100" t="e">
        <f ca="1">IFERROR(__xludf.DUMMYFUNCTION("""COMPUTED_VALUE"""),3)</f>
        <v>#NAME?</v>
      </c>
      <c r="C4" s="100" t="e">
        <f ca="1">IFERROR(__xludf.DUMMYFUNCTION("""COMPUTED_VALUE"""),"OAS-USDT")</f>
        <v>#NAME?</v>
      </c>
      <c r="D4" s="100" t="e">
        <f ca="1">IFERROR(__xludf.DUMMYFUNCTION("""COMPUTED_VALUE"""),"0.01433")</f>
        <v>#NAME?</v>
      </c>
      <c r="E4" s="100" t="e">
        <f t="shared" ca="1" si="1"/>
        <v>#NAME?</v>
      </c>
      <c r="F4" s="100" t="e">
        <f t="shared" ca="1" si="1"/>
        <v>#NAME?</v>
      </c>
      <c r="G4" s="100" t="e">
        <f t="shared" ca="1" si="2"/>
        <v>#NAME?</v>
      </c>
      <c r="H4" s="100" t="e">
        <f t="shared" ca="1" si="3"/>
        <v>#NAME?</v>
      </c>
      <c r="I4" s="100" t="e">
        <f t="shared" ca="1" si="4"/>
        <v>#NAME?</v>
      </c>
      <c r="J4" s="100" t="e">
        <f t="shared" ca="1" si="5"/>
        <v>#NAME?</v>
      </c>
      <c r="K4" s="100" t="e">
        <f t="shared" ca="1" si="6"/>
        <v>#NAME?</v>
      </c>
      <c r="L4" s="100" t="e">
        <f t="shared" ca="1" si="7"/>
        <v>#NAME?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</row>
    <row r="5" spans="1:27">
      <c r="A5" s="100" t="e">
        <f t="shared" ca="1" si="0"/>
        <v>#NAME?</v>
      </c>
      <c r="B5" s="100" t="e">
        <f ca="1">IFERROR(__xludf.DUMMYFUNCTION("""COMPUTED_VALUE"""),4)</f>
        <v>#NAME?</v>
      </c>
      <c r="C5" s="100" t="e">
        <f ca="1">IFERROR(__xludf.DUMMYFUNCTION("""COMPUTED_VALUE"""),"MASK-USD")</f>
        <v>#NAME?</v>
      </c>
      <c r="D5" s="100" t="e">
        <f ca="1">IFERROR(__xludf.DUMMYFUNCTION("""COMPUTED_VALUE"""),"1.038")</f>
        <v>#NAME?</v>
      </c>
      <c r="E5" s="100" t="e">
        <f t="shared" ca="1" si="1"/>
        <v>#NAME?</v>
      </c>
      <c r="F5" s="100" t="e">
        <f t="shared" ca="1" si="1"/>
        <v>#NAME?</v>
      </c>
      <c r="G5" s="100" t="e">
        <f t="shared" ca="1" si="2"/>
        <v>#NAME?</v>
      </c>
      <c r="H5" s="100" t="e">
        <f t="shared" ca="1" si="3"/>
        <v>#NAME?</v>
      </c>
      <c r="I5" s="100" t="e">
        <f t="shared" ca="1" si="4"/>
        <v>#NAME?</v>
      </c>
      <c r="J5" s="100" t="e">
        <f t="shared" ca="1" si="5"/>
        <v>#NAME?</v>
      </c>
      <c r="K5" s="100" t="e">
        <f t="shared" ca="1" si="6"/>
        <v>#NAME?</v>
      </c>
      <c r="L5" s="100" t="e">
        <f t="shared" ca="1" si="7"/>
        <v>#NAME?</v>
      </c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</row>
    <row r="6" spans="1:27">
      <c r="A6" s="100" t="e">
        <f t="shared" ca="1" si="0"/>
        <v>#NAME?</v>
      </c>
      <c r="B6" s="100" t="e">
        <f ca="1">IFERROR(__xludf.DUMMYFUNCTION("""COMPUTED_VALUE"""),5)</f>
        <v>#NAME?</v>
      </c>
      <c r="C6" s="100" t="e">
        <f ca="1">IFERROR(__xludf.DUMMYFUNCTION("""COMPUTED_VALUE"""),"KNC-USDT")</f>
        <v>#NAME?</v>
      </c>
      <c r="D6" s="100" t="e">
        <f ca="1">IFERROR(__xludf.DUMMYFUNCTION("""COMPUTED_VALUE"""),"0.343")</f>
        <v>#NAME?</v>
      </c>
      <c r="E6" s="100" t="e">
        <f t="shared" ca="1" si="1"/>
        <v>#NAME?</v>
      </c>
      <c r="F6" s="100" t="e">
        <f t="shared" ca="1" si="1"/>
        <v>#NAME?</v>
      </c>
      <c r="G6" s="100" t="e">
        <f t="shared" ca="1" si="2"/>
        <v>#NAME?</v>
      </c>
      <c r="H6" s="100" t="e">
        <f t="shared" ca="1" si="3"/>
        <v>#NAME?</v>
      </c>
      <c r="I6" s="100" t="e">
        <f t="shared" ca="1" si="4"/>
        <v>#NAME?</v>
      </c>
      <c r="J6" s="100" t="e">
        <f t="shared" ca="1" si="5"/>
        <v>#NAME?</v>
      </c>
      <c r="K6" s="100" t="e">
        <f t="shared" ca="1" si="6"/>
        <v>#NAME?</v>
      </c>
      <c r="L6" s="100" t="e">
        <f t="shared" ca="1" si="7"/>
        <v>#NAME?</v>
      </c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</row>
    <row r="7" spans="1:27">
      <c r="A7" s="100" t="e">
        <f t="shared" ca="1" si="0"/>
        <v>#NAME?</v>
      </c>
      <c r="B7" s="100" t="e">
        <f ca="1">IFERROR(__xludf.DUMMYFUNCTION("""COMPUTED_VALUE"""),6)</f>
        <v>#NAME?</v>
      </c>
      <c r="C7" s="100" t="e">
        <f ca="1">IFERROR(__xludf.DUMMYFUNCTION("""COMPUTED_VALUE"""),"STETH-USD")</f>
        <v>#NAME?</v>
      </c>
      <c r="D7" s="100" t="e">
        <f ca="1">IFERROR(__xludf.DUMMYFUNCTION("""COMPUTED_VALUE"""),"1559.17")</f>
        <v>#NAME?</v>
      </c>
      <c r="E7" s="100" t="e">
        <f t="shared" ca="1" si="1"/>
        <v>#NAME?</v>
      </c>
      <c r="F7" s="100" t="e">
        <f t="shared" ca="1" si="1"/>
        <v>#NAME?</v>
      </c>
      <c r="G7" s="100" t="e">
        <f t="shared" ca="1" si="2"/>
        <v>#NAME?</v>
      </c>
      <c r="H7" s="100" t="e">
        <f t="shared" ca="1" si="3"/>
        <v>#NAME?</v>
      </c>
      <c r="I7" s="100" t="e">
        <f t="shared" ca="1" si="4"/>
        <v>#NAME?</v>
      </c>
      <c r="J7" s="100" t="e">
        <f t="shared" ca="1" si="5"/>
        <v>#NAME?</v>
      </c>
      <c r="K7" s="100" t="e">
        <f t="shared" ca="1" si="6"/>
        <v>#NAME?</v>
      </c>
      <c r="L7" s="100" t="e">
        <f t="shared" ca="1" si="7"/>
        <v>#NAME?</v>
      </c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</row>
    <row r="8" spans="1:27">
      <c r="A8" s="100" t="e">
        <f t="shared" ca="1" si="0"/>
        <v>#NAME?</v>
      </c>
      <c r="B8" s="100" t="e">
        <f ca="1">IFERROR(__xludf.DUMMYFUNCTION("""COMPUTED_VALUE"""),7)</f>
        <v>#NAME?</v>
      </c>
      <c r="C8" s="100" t="e">
        <f ca="1">IFERROR(__xludf.DUMMYFUNCTION("""COMPUTED_VALUE"""),"BOME-USDT")</f>
        <v>#NAME?</v>
      </c>
      <c r="D8" s="100" t="e">
        <f ca="1">IFERROR(__xludf.DUMMYFUNCTION("""COMPUTED_VALUE"""),"0.00128")</f>
        <v>#NAME?</v>
      </c>
      <c r="E8" s="100" t="e">
        <f t="shared" ca="1" si="1"/>
        <v>#NAME?</v>
      </c>
      <c r="F8" s="100" t="e">
        <f t="shared" ca="1" si="1"/>
        <v>#NAME?</v>
      </c>
      <c r="G8" s="100" t="e">
        <f t="shared" ca="1" si="2"/>
        <v>#NAME?</v>
      </c>
      <c r="H8" s="100" t="e">
        <f t="shared" ca="1" si="3"/>
        <v>#NAME?</v>
      </c>
      <c r="I8" s="100" t="e">
        <f t="shared" ca="1" si="4"/>
        <v>#NAME?</v>
      </c>
      <c r="J8" s="100" t="e">
        <f t="shared" ca="1" si="5"/>
        <v>#NAME?</v>
      </c>
      <c r="K8" s="100" t="e">
        <f t="shared" ca="1" si="6"/>
        <v>#NAME?</v>
      </c>
      <c r="L8" s="100" t="e">
        <f t="shared" ca="1" si="7"/>
        <v>#NAME?</v>
      </c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</row>
    <row r="9" spans="1:27">
      <c r="A9" s="100" t="e">
        <f t="shared" ca="1" si="0"/>
        <v>#NAME?</v>
      </c>
      <c r="B9" s="100" t="e">
        <f ca="1">IFERROR(__xludf.DUMMYFUNCTION("""COMPUTED_VALUE"""),8)</f>
        <v>#NAME?</v>
      </c>
      <c r="C9" s="100" t="e">
        <f ca="1">IFERROR(__xludf.DUMMYFUNCTION("""COMPUTED_VALUE"""),"PYTH-USD")</f>
        <v>#NAME?</v>
      </c>
      <c r="D9" s="100" t="e">
        <f ca="1">IFERROR(__xludf.DUMMYFUNCTION("""COMPUTED_VALUE"""),"0.1402")</f>
        <v>#NAME?</v>
      </c>
      <c r="E9" s="100" t="e">
        <f t="shared" ca="1" si="1"/>
        <v>#NAME?</v>
      </c>
      <c r="F9" s="100" t="e">
        <f t="shared" ca="1" si="1"/>
        <v>#NAME?</v>
      </c>
      <c r="G9" s="100" t="e">
        <f t="shared" ca="1" si="2"/>
        <v>#NAME?</v>
      </c>
      <c r="H9" s="100" t="e">
        <f t="shared" ca="1" si="3"/>
        <v>#NAME?</v>
      </c>
      <c r="I9" s="100" t="e">
        <f t="shared" ca="1" si="4"/>
        <v>#NAME?</v>
      </c>
      <c r="J9" s="100" t="e">
        <f t="shared" ca="1" si="5"/>
        <v>#NAME?</v>
      </c>
      <c r="K9" s="100" t="e">
        <f t="shared" ca="1" si="6"/>
        <v>#NAME?</v>
      </c>
      <c r="L9" s="100" t="e">
        <f t="shared" ca="1" si="7"/>
        <v>#NAME?</v>
      </c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</row>
    <row r="10" spans="1:27">
      <c r="A10" s="100" t="e">
        <f t="shared" ca="1" si="0"/>
        <v>#NAME?</v>
      </c>
      <c r="B10" s="100" t="e">
        <f ca="1">IFERROR(__xludf.DUMMYFUNCTION("""COMPUTED_VALUE"""),9)</f>
        <v>#NAME?</v>
      </c>
      <c r="C10" s="100" t="e">
        <f ca="1">IFERROR(__xludf.DUMMYFUNCTION("""COMPUTED_VALUE"""),"AEVO-USD")</f>
        <v>#NAME?</v>
      </c>
      <c r="D10" s="100" t="e">
        <f ca="1">IFERROR(__xludf.DUMMYFUNCTION("""COMPUTED_VALUE"""),"0.0941")</f>
        <v>#NAME?</v>
      </c>
      <c r="E10" s="100" t="e">
        <f t="shared" ca="1" si="1"/>
        <v>#NAME?</v>
      </c>
      <c r="F10" s="100" t="e">
        <f t="shared" ca="1" si="1"/>
        <v>#NAME?</v>
      </c>
      <c r="G10" s="100" t="e">
        <f t="shared" ca="1" si="2"/>
        <v>#NAME?</v>
      </c>
      <c r="H10" s="100" t="e">
        <f t="shared" ca="1" si="3"/>
        <v>#NAME?</v>
      </c>
      <c r="I10" s="100" t="e">
        <f t="shared" ca="1" si="4"/>
        <v>#NAME?</v>
      </c>
      <c r="J10" s="100" t="e">
        <f t="shared" ca="1" si="5"/>
        <v>#NAME?</v>
      </c>
      <c r="K10" s="100" t="e">
        <f t="shared" ca="1" si="6"/>
        <v>#NAME?</v>
      </c>
      <c r="L10" s="100" t="e">
        <f t="shared" ca="1" si="7"/>
        <v>#NAME?</v>
      </c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</row>
    <row r="11" spans="1:27">
      <c r="A11" s="100" t="e">
        <f t="shared" ca="1" si="0"/>
        <v>#NAME?</v>
      </c>
      <c r="B11" s="100" t="e">
        <f ca="1">IFERROR(__xludf.DUMMYFUNCTION("""COMPUTED_VALUE"""),10)</f>
        <v>#NAME?</v>
      </c>
      <c r="C11" s="100" t="e">
        <f ca="1">IFERROR(__xludf.DUMMYFUNCTION("""COMPUTED_VALUE"""),"XRP-USD")</f>
        <v>#NAME?</v>
      </c>
      <c r="D11" s="100" t="e">
        <f ca="1">IFERROR(__xludf.DUMMYFUNCTION("""COMPUTED_VALUE"""),"2.0995")</f>
        <v>#NAME?</v>
      </c>
      <c r="E11" s="100" t="e">
        <f t="shared" ca="1" si="1"/>
        <v>#NAME?</v>
      </c>
      <c r="F11" s="100" t="e">
        <f t="shared" ca="1" si="1"/>
        <v>#NAME?</v>
      </c>
      <c r="G11" s="100" t="e">
        <f t="shared" ca="1" si="2"/>
        <v>#NAME?</v>
      </c>
      <c r="H11" s="100" t="e">
        <f t="shared" ca="1" si="3"/>
        <v>#NAME?</v>
      </c>
      <c r="I11" s="100" t="e">
        <f t="shared" ca="1" si="4"/>
        <v>#NAME?</v>
      </c>
      <c r="J11" s="100" t="e">
        <f t="shared" ca="1" si="5"/>
        <v>#NAME?</v>
      </c>
      <c r="K11" s="100" t="e">
        <f t="shared" ca="1" si="6"/>
        <v>#NAME?</v>
      </c>
      <c r="L11" s="100" t="e">
        <f t="shared" ca="1" si="7"/>
        <v>#NAME?</v>
      </c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</row>
    <row r="12" spans="1:27">
      <c r="A12" s="100" t="e">
        <f t="shared" ca="1" si="0"/>
        <v>#NAME?</v>
      </c>
      <c r="B12" s="100" t="e">
        <f ca="1">IFERROR(__xludf.DUMMYFUNCTION("""COMPUTED_VALUE"""),11)</f>
        <v>#NAME?</v>
      </c>
      <c r="C12" s="100" t="e">
        <f ca="1">IFERROR(__xludf.DUMMYFUNCTION("""COMPUTED_VALUE"""),"PI-USDT")</f>
        <v>#NAME?</v>
      </c>
      <c r="D12" s="100" t="e">
        <f ca="1">IFERROR(__xludf.DUMMYFUNCTION("""COMPUTED_VALUE"""),"0.6322")</f>
        <v>#NAME?</v>
      </c>
      <c r="E12" s="100" t="e">
        <f t="shared" ca="1" si="1"/>
        <v>#NAME?</v>
      </c>
      <c r="F12" s="100" t="e">
        <f t="shared" ca="1" si="1"/>
        <v>#NAME?</v>
      </c>
      <c r="G12" s="100" t="e">
        <f t="shared" ca="1" si="2"/>
        <v>#NAME?</v>
      </c>
      <c r="H12" s="100" t="e">
        <f t="shared" ca="1" si="3"/>
        <v>#NAME?</v>
      </c>
      <c r="I12" s="100" t="e">
        <f t="shared" ca="1" si="4"/>
        <v>#NAME?</v>
      </c>
      <c r="J12" s="100" t="e">
        <f t="shared" ca="1" si="5"/>
        <v>#NAME?</v>
      </c>
      <c r="K12" s="100" t="e">
        <f t="shared" ca="1" si="6"/>
        <v>#NAME?</v>
      </c>
      <c r="L12" s="100" t="e">
        <f t="shared" ca="1" si="7"/>
        <v>#NAME?</v>
      </c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</row>
    <row r="13" spans="1:27">
      <c r="A13" s="100" t="e">
        <f t="shared" ca="1" si="0"/>
        <v>#NAME?</v>
      </c>
      <c r="B13" s="100" t="e">
        <f ca="1">IFERROR(__xludf.DUMMYFUNCTION("""COMPUTED_VALUE"""),12)</f>
        <v>#NAME?</v>
      </c>
      <c r="C13" s="100" t="e">
        <f ca="1">IFERROR(__xludf.DUMMYFUNCTION("""COMPUTED_VALUE"""),"AGLD-USDT")</f>
        <v>#NAME?</v>
      </c>
      <c r="D13" s="100" t="e">
        <f ca="1">IFERROR(__xludf.DUMMYFUNCTION("""COMPUTED_VALUE"""),"0.8245")</f>
        <v>#NAME?</v>
      </c>
      <c r="E13" s="100" t="e">
        <f t="shared" ca="1" si="1"/>
        <v>#NAME?</v>
      </c>
      <c r="F13" s="100" t="e">
        <f t="shared" ca="1" si="1"/>
        <v>#NAME?</v>
      </c>
      <c r="G13" s="100" t="e">
        <f t="shared" ca="1" si="2"/>
        <v>#NAME?</v>
      </c>
      <c r="H13" s="100" t="e">
        <f t="shared" ca="1" si="3"/>
        <v>#NAME?</v>
      </c>
      <c r="I13" s="100" t="e">
        <f t="shared" ca="1" si="4"/>
        <v>#NAME?</v>
      </c>
      <c r="J13" s="100" t="e">
        <f t="shared" ca="1" si="5"/>
        <v>#NAME?</v>
      </c>
      <c r="K13" s="100" t="e">
        <f t="shared" ca="1" si="6"/>
        <v>#NAME?</v>
      </c>
      <c r="L13" s="100" t="e">
        <f t="shared" ca="1" si="7"/>
        <v>#NAME?</v>
      </c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</row>
    <row r="14" spans="1:27">
      <c r="A14" s="100" t="e">
        <f t="shared" ca="1" si="0"/>
        <v>#NAME?</v>
      </c>
      <c r="B14" s="100" t="e">
        <f ca="1">IFERROR(__xludf.DUMMYFUNCTION("""COMPUTED_VALUE"""),13)</f>
        <v>#NAME?</v>
      </c>
      <c r="C14" s="100" t="e">
        <f ca="1">IFERROR(__xludf.DUMMYFUNCTION("""COMPUTED_VALUE"""),"BONK-USDC")</f>
        <v>#NAME?</v>
      </c>
      <c r="D14" s="100" t="e">
        <f ca="1">IFERROR(__xludf.DUMMYFUNCTION("""COMPUTED_VALUE"""),"0.000012901")</f>
        <v>#NAME?</v>
      </c>
      <c r="E14" s="100" t="e">
        <f t="shared" ca="1" si="1"/>
        <v>#NAME?</v>
      </c>
      <c r="F14" s="100" t="e">
        <f t="shared" ca="1" si="1"/>
        <v>#NAME?</v>
      </c>
      <c r="G14" s="100" t="e">
        <f t="shared" ca="1" si="2"/>
        <v>#NAME?</v>
      </c>
      <c r="H14" s="100" t="e">
        <f t="shared" ca="1" si="3"/>
        <v>#NAME?</v>
      </c>
      <c r="I14" s="100" t="e">
        <f t="shared" ca="1" si="4"/>
        <v>#NAME?</v>
      </c>
      <c r="J14" s="100" t="e">
        <f t="shared" ca="1" si="5"/>
        <v>#NAME?</v>
      </c>
      <c r="K14" s="100" t="e">
        <f t="shared" ca="1" si="6"/>
        <v>#NAME?</v>
      </c>
      <c r="L14" s="100" t="e">
        <f t="shared" ca="1" si="7"/>
        <v>#NAME?</v>
      </c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</row>
    <row r="15" spans="1:27">
      <c r="A15" s="100" t="e">
        <f t="shared" ca="1" si="0"/>
        <v>#NAME?</v>
      </c>
      <c r="B15" s="100" t="e">
        <f ca="1">IFERROR(__xludf.DUMMYFUNCTION("""COMPUTED_VALUE"""),14)</f>
        <v>#NAME?</v>
      </c>
      <c r="C15" s="100" t="e">
        <f ca="1">IFERROR(__xludf.DUMMYFUNCTION("""COMPUTED_VALUE"""),"SWFTC-USD")</f>
        <v>#NAME?</v>
      </c>
      <c r="D15" s="100" t="e">
        <f ca="1">IFERROR(__xludf.DUMMYFUNCTION("""COMPUTED_VALUE"""),"0.012819")</f>
        <v>#NAME?</v>
      </c>
      <c r="E15" s="100" t="e">
        <f t="shared" ca="1" si="1"/>
        <v>#NAME?</v>
      </c>
      <c r="F15" s="100" t="e">
        <f t="shared" ca="1" si="1"/>
        <v>#NAME?</v>
      </c>
      <c r="G15" s="100" t="e">
        <f t="shared" ca="1" si="2"/>
        <v>#NAME?</v>
      </c>
      <c r="H15" s="100" t="e">
        <f t="shared" ca="1" si="3"/>
        <v>#NAME?</v>
      </c>
      <c r="I15" s="100" t="e">
        <f t="shared" ca="1" si="4"/>
        <v>#NAME?</v>
      </c>
      <c r="J15" s="100" t="e">
        <f t="shared" ca="1" si="5"/>
        <v>#NAME?</v>
      </c>
      <c r="K15" s="100" t="e">
        <f t="shared" ca="1" si="6"/>
        <v>#NAME?</v>
      </c>
      <c r="L15" s="100" t="e">
        <f t="shared" ca="1" si="7"/>
        <v>#NAME?</v>
      </c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</row>
    <row r="16" spans="1:27">
      <c r="A16" s="100" t="e">
        <f t="shared" ca="1" si="0"/>
        <v>#NAME?</v>
      </c>
      <c r="B16" s="100" t="e">
        <f ca="1">IFERROR(__xludf.DUMMYFUNCTION("""COMPUTED_VALUE"""),15)</f>
        <v>#NAME?</v>
      </c>
      <c r="C16" s="100" t="e">
        <f ca="1">IFERROR(__xludf.DUMMYFUNCTION("""COMPUTED_VALUE"""),"RSR-USD")</f>
        <v>#NAME?</v>
      </c>
      <c r="D16" s="100" t="e">
        <f ca="1">IFERROR(__xludf.DUMMYFUNCTION("""COMPUTED_VALUE"""),"0.008344")</f>
        <v>#NAME?</v>
      </c>
      <c r="E16" s="100" t="e">
        <f t="shared" ca="1" si="1"/>
        <v>#NAME?</v>
      </c>
      <c r="F16" s="100" t="e">
        <f t="shared" ca="1" si="1"/>
        <v>#NAME?</v>
      </c>
      <c r="G16" s="100" t="e">
        <f t="shared" ca="1" si="2"/>
        <v>#NAME?</v>
      </c>
      <c r="H16" s="100" t="e">
        <f t="shared" ca="1" si="3"/>
        <v>#NAME?</v>
      </c>
      <c r="I16" s="100" t="e">
        <f t="shared" ca="1" si="4"/>
        <v>#NAME?</v>
      </c>
      <c r="J16" s="100" t="e">
        <f t="shared" ca="1" si="5"/>
        <v>#NAME?</v>
      </c>
      <c r="K16" s="100" t="e">
        <f t="shared" ca="1" si="6"/>
        <v>#NAME?</v>
      </c>
      <c r="L16" s="100" t="e">
        <f t="shared" ca="1" si="7"/>
        <v>#NAME?</v>
      </c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</row>
    <row r="17" spans="1:27">
      <c r="A17" s="100" t="e">
        <f t="shared" ca="1" si="0"/>
        <v>#NAME?</v>
      </c>
      <c r="B17" s="100" t="e">
        <f ca="1">IFERROR(__xludf.DUMMYFUNCTION("""COMPUTED_VALUE"""),16)</f>
        <v>#NAME?</v>
      </c>
      <c r="C17" s="100" t="e">
        <f ca="1">IFERROR(__xludf.DUMMYFUNCTION("""COMPUTED_VALUE"""),"ATOM-USD")</f>
        <v>#NAME?</v>
      </c>
      <c r="D17" s="100" t="e">
        <f ca="1">IFERROR(__xludf.DUMMYFUNCTION("""COMPUTED_VALUE"""),"4.038")</f>
        <v>#NAME?</v>
      </c>
      <c r="E17" s="100" t="e">
        <f t="shared" ca="1" si="1"/>
        <v>#NAME?</v>
      </c>
      <c r="F17" s="100" t="e">
        <f t="shared" ca="1" si="1"/>
        <v>#NAME?</v>
      </c>
      <c r="G17" s="100" t="e">
        <f t="shared" ca="1" si="2"/>
        <v>#NAME?</v>
      </c>
      <c r="H17" s="100" t="e">
        <f t="shared" ca="1" si="3"/>
        <v>#NAME?</v>
      </c>
      <c r="I17" s="100" t="e">
        <f t="shared" ca="1" si="4"/>
        <v>#NAME?</v>
      </c>
      <c r="J17" s="100" t="e">
        <f t="shared" ca="1" si="5"/>
        <v>#NAME?</v>
      </c>
      <c r="K17" s="100" t="e">
        <f t="shared" ca="1" si="6"/>
        <v>#NAME?</v>
      </c>
      <c r="L17" s="100" t="e">
        <f t="shared" ca="1" si="7"/>
        <v>#NAME?</v>
      </c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</row>
    <row r="18" spans="1:27">
      <c r="A18" s="100" t="e">
        <f t="shared" ca="1" si="0"/>
        <v>#NAME?</v>
      </c>
      <c r="B18" s="100" t="e">
        <f ca="1">IFERROR(__xludf.DUMMYFUNCTION("""COMPUTED_VALUE"""),17)</f>
        <v>#NAME?</v>
      </c>
      <c r="C18" s="100" t="e">
        <f ca="1">IFERROR(__xludf.DUMMYFUNCTION("""COMPUTED_VALUE"""),"BONK-USDT")</f>
        <v>#NAME?</v>
      </c>
      <c r="D18" s="100" t="e">
        <f ca="1">IFERROR(__xludf.DUMMYFUNCTION("""COMPUTED_VALUE"""),"0.000012832")</f>
        <v>#NAME?</v>
      </c>
      <c r="E18" s="100" t="e">
        <f t="shared" ca="1" si="1"/>
        <v>#NAME?</v>
      </c>
      <c r="F18" s="100" t="e">
        <f t="shared" ca="1" si="1"/>
        <v>#NAME?</v>
      </c>
      <c r="G18" s="100" t="e">
        <f t="shared" ca="1" si="2"/>
        <v>#NAME?</v>
      </c>
      <c r="H18" s="100" t="e">
        <f t="shared" ca="1" si="3"/>
        <v>#NAME?</v>
      </c>
      <c r="I18" s="100" t="e">
        <f t="shared" ca="1" si="4"/>
        <v>#NAME?</v>
      </c>
      <c r="J18" s="100" t="e">
        <f t="shared" ca="1" si="5"/>
        <v>#NAME?</v>
      </c>
      <c r="K18" s="100" t="e">
        <f t="shared" ca="1" si="6"/>
        <v>#NAME?</v>
      </c>
      <c r="L18" s="100" t="e">
        <f t="shared" ca="1" si="7"/>
        <v>#NAME?</v>
      </c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</row>
    <row r="19" spans="1:27">
      <c r="A19" s="100" t="e">
        <f t="shared" ca="1" si="0"/>
        <v>#NAME?</v>
      </c>
      <c r="B19" s="100" t="e">
        <f ca="1">IFERROR(__xludf.DUMMYFUNCTION("""COMPUTED_VALUE"""),18)</f>
        <v>#NAME?</v>
      </c>
      <c r="C19" s="100" t="e">
        <f ca="1">IFERROR(__xludf.DUMMYFUNCTION("""COMPUTED_VALUE"""),"MENGO-USD")</f>
        <v>#NAME?</v>
      </c>
      <c r="D19" s="100" t="e">
        <f ca="1">IFERROR(__xludf.DUMMYFUNCTION("""COMPUTED_VALUE"""),"0.10376")</f>
        <v>#NAME?</v>
      </c>
      <c r="E19" s="100" t="e">
        <f t="shared" ca="1" si="1"/>
        <v>#NAME?</v>
      </c>
      <c r="F19" s="100" t="e">
        <f t="shared" ca="1" si="1"/>
        <v>#NAME?</v>
      </c>
      <c r="G19" s="100" t="e">
        <f t="shared" ca="1" si="2"/>
        <v>#NAME?</v>
      </c>
      <c r="H19" s="100" t="e">
        <f t="shared" ca="1" si="3"/>
        <v>#NAME?</v>
      </c>
      <c r="I19" s="100" t="e">
        <f t="shared" ca="1" si="4"/>
        <v>#NAME?</v>
      </c>
      <c r="J19" s="100" t="e">
        <f t="shared" ca="1" si="5"/>
        <v>#NAME?</v>
      </c>
      <c r="K19" s="100" t="e">
        <f t="shared" ca="1" si="6"/>
        <v>#NAME?</v>
      </c>
      <c r="L19" s="100" t="e">
        <f t="shared" ca="1" si="7"/>
        <v>#NAME?</v>
      </c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</row>
    <row r="20" spans="1:27">
      <c r="A20" s="100" t="e">
        <f t="shared" ca="1" si="0"/>
        <v>#NAME?</v>
      </c>
      <c r="B20" s="100" t="e">
        <f ca="1">IFERROR(__xludf.DUMMYFUNCTION("""COMPUTED_VALUE"""),19)</f>
        <v>#NAME?</v>
      </c>
      <c r="C20" s="100" t="e">
        <f ca="1">IFERROR(__xludf.DUMMYFUNCTION("""COMPUTED_VALUE"""),"AGLD-USDC")</f>
        <v>#NAME?</v>
      </c>
      <c r="D20" s="100" t="e">
        <f ca="1">IFERROR(__xludf.DUMMYFUNCTION("""COMPUTED_VALUE"""),"0.8376")</f>
        <v>#NAME?</v>
      </c>
      <c r="E20" s="100" t="e">
        <f t="shared" ca="1" si="1"/>
        <v>#NAME?</v>
      </c>
      <c r="F20" s="100" t="e">
        <f t="shared" ca="1" si="1"/>
        <v>#NAME?</v>
      </c>
      <c r="G20" s="100" t="e">
        <f t="shared" ca="1" si="2"/>
        <v>#NAME?</v>
      </c>
      <c r="H20" s="100" t="e">
        <f t="shared" ca="1" si="3"/>
        <v>#NAME?</v>
      </c>
      <c r="I20" s="100" t="e">
        <f t="shared" ca="1" si="4"/>
        <v>#NAME?</v>
      </c>
      <c r="J20" s="100" t="e">
        <f t="shared" ca="1" si="5"/>
        <v>#NAME?</v>
      </c>
      <c r="K20" s="100" t="e">
        <f t="shared" ca="1" si="6"/>
        <v>#NAME?</v>
      </c>
      <c r="L20" s="100" t="e">
        <f t="shared" ca="1" si="7"/>
        <v>#NAME?</v>
      </c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</row>
    <row r="21" spans="1:27">
      <c r="A21" s="100" t="e">
        <f t="shared" ca="1" si="0"/>
        <v>#NAME?</v>
      </c>
      <c r="B21" s="100" t="e">
        <f ca="1">IFERROR(__xludf.DUMMYFUNCTION("""COMPUTED_VALUE"""),20)</f>
        <v>#NAME?</v>
      </c>
      <c r="C21" s="100" t="e">
        <f ca="1">IFERROR(__xludf.DUMMYFUNCTION("""COMPUTED_VALUE"""),"MILO-USD")</f>
        <v>#NAME?</v>
      </c>
      <c r="D21" s="100" t="e">
        <f ca="1">IFERROR(__xludf.DUMMYFUNCTION("""COMPUTED_VALUE"""),"0.00000000564")</f>
        <v>#NAME?</v>
      </c>
      <c r="E21" s="100" t="e">
        <f t="shared" ca="1" si="1"/>
        <v>#NAME?</v>
      </c>
      <c r="F21" s="100" t="e">
        <f t="shared" ca="1" si="1"/>
        <v>#NAME?</v>
      </c>
      <c r="G21" s="100" t="e">
        <f t="shared" ca="1" si="2"/>
        <v>#NAME?</v>
      </c>
      <c r="H21" s="100" t="e">
        <f t="shared" ca="1" si="3"/>
        <v>#NAME?</v>
      </c>
      <c r="I21" s="100" t="e">
        <f t="shared" ca="1" si="4"/>
        <v>#NAME?</v>
      </c>
      <c r="J21" s="100" t="e">
        <f t="shared" ca="1" si="5"/>
        <v>#NAME?</v>
      </c>
      <c r="K21" s="100" t="e">
        <f t="shared" ca="1" si="6"/>
        <v>#NAME?</v>
      </c>
      <c r="L21" s="100" t="e">
        <f t="shared" ca="1" si="7"/>
        <v>#NAME?</v>
      </c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</row>
    <row r="22" spans="1:27">
      <c r="A22" s="100" t="e">
        <f t="shared" ca="1" si="0"/>
        <v>#NAME?</v>
      </c>
      <c r="B22" s="100" t="e">
        <f ca="1">IFERROR(__xludf.DUMMYFUNCTION("""COMPUTED_VALUE"""),21)</f>
        <v>#NAME?</v>
      </c>
      <c r="C22" s="100" t="e">
        <f ca="1">IFERROR(__xludf.DUMMYFUNCTION("""COMPUTED_VALUE"""),"IOST-USD")</f>
        <v>#NAME?</v>
      </c>
      <c r="D22" s="100" t="e">
        <f ca="1">IFERROR(__xludf.DUMMYFUNCTION("""COMPUTED_VALUE"""),"0.003845")</f>
        <v>#NAME?</v>
      </c>
      <c r="E22" s="100" t="e">
        <f t="shared" ref="E22:F41" ca="1" si="8">IFERROR(__xludf.DUMMYFUNCTION("""COMPUTED_VALUE"""),"-")</f>
        <v>#NAME?</v>
      </c>
      <c r="F22" s="100" t="e">
        <f t="shared" ca="1" si="8"/>
        <v>#NAME?</v>
      </c>
      <c r="G22" s="100" t="e">
        <f t="shared" ca="1" si="2"/>
        <v>#NAME?</v>
      </c>
      <c r="H22" s="100" t="e">
        <f t="shared" ca="1" si="3"/>
        <v>#NAME?</v>
      </c>
      <c r="I22" s="100" t="e">
        <f t="shared" ca="1" si="4"/>
        <v>#NAME?</v>
      </c>
      <c r="J22" s="100" t="e">
        <f t="shared" ca="1" si="5"/>
        <v>#NAME?</v>
      </c>
      <c r="K22" s="100" t="e">
        <f t="shared" ca="1" si="6"/>
        <v>#NAME?</v>
      </c>
      <c r="L22" s="100" t="e">
        <f t="shared" ca="1" si="7"/>
        <v>#NAME?</v>
      </c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</row>
    <row r="23" spans="1:27">
      <c r="A23" s="100" t="e">
        <f t="shared" ca="1" si="0"/>
        <v>#NAME?</v>
      </c>
      <c r="B23" s="100" t="e">
        <f ca="1">IFERROR(__xludf.DUMMYFUNCTION("""COMPUTED_VALUE"""),22)</f>
        <v>#NAME?</v>
      </c>
      <c r="C23" s="100" t="e">
        <f ca="1">IFERROR(__xludf.DUMMYFUNCTION("""COMPUTED_VALUE"""),"DOGS-USDC")</f>
        <v>#NAME?</v>
      </c>
      <c r="D23" s="100" t="e">
        <f ca="1">IFERROR(__xludf.DUMMYFUNCTION("""COMPUTED_VALUE"""),"0.0001189")</f>
        <v>#NAME?</v>
      </c>
      <c r="E23" s="100" t="e">
        <f t="shared" ca="1" si="8"/>
        <v>#NAME?</v>
      </c>
      <c r="F23" s="100" t="e">
        <f t="shared" ca="1" si="8"/>
        <v>#NAME?</v>
      </c>
      <c r="G23" s="100" t="e">
        <f t="shared" ca="1" si="2"/>
        <v>#NAME?</v>
      </c>
      <c r="H23" s="100" t="e">
        <f t="shared" ca="1" si="3"/>
        <v>#NAME?</v>
      </c>
      <c r="I23" s="100" t="e">
        <f t="shared" ca="1" si="4"/>
        <v>#NAME?</v>
      </c>
      <c r="J23" s="100" t="e">
        <f t="shared" ca="1" si="5"/>
        <v>#NAME?</v>
      </c>
      <c r="K23" s="100" t="e">
        <f t="shared" ca="1" si="6"/>
        <v>#NAME?</v>
      </c>
      <c r="L23" s="100" t="e">
        <f t="shared" ca="1" si="7"/>
        <v>#NAME?</v>
      </c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</row>
    <row r="24" spans="1:27">
      <c r="A24" s="100" t="e">
        <f t="shared" ca="1" si="0"/>
        <v>#NAME?</v>
      </c>
      <c r="B24" s="100" t="e">
        <f ca="1">IFERROR(__xludf.DUMMYFUNCTION("""COMPUTED_VALUE"""),23)</f>
        <v>#NAME?</v>
      </c>
      <c r="C24" s="100" t="e">
        <f ca="1">IFERROR(__xludf.DUMMYFUNCTION("""COMPUTED_VALUE"""),"CSPR-USD")</f>
        <v>#NAME?</v>
      </c>
      <c r="D24" s="100" t="e">
        <f ca="1">IFERROR(__xludf.DUMMYFUNCTION("""COMPUTED_VALUE"""),"0.009541")</f>
        <v>#NAME?</v>
      </c>
      <c r="E24" s="100" t="e">
        <f t="shared" ca="1" si="8"/>
        <v>#NAME?</v>
      </c>
      <c r="F24" s="100" t="e">
        <f t="shared" ca="1" si="8"/>
        <v>#NAME?</v>
      </c>
      <c r="G24" s="100" t="e">
        <f t="shared" ca="1" si="2"/>
        <v>#NAME?</v>
      </c>
      <c r="H24" s="100" t="e">
        <f t="shared" ca="1" si="3"/>
        <v>#NAME?</v>
      </c>
      <c r="I24" s="100" t="e">
        <f t="shared" ca="1" si="4"/>
        <v>#NAME?</v>
      </c>
      <c r="J24" s="100" t="e">
        <f t="shared" ca="1" si="5"/>
        <v>#NAME?</v>
      </c>
      <c r="K24" s="100" t="e">
        <f t="shared" ca="1" si="6"/>
        <v>#NAME?</v>
      </c>
      <c r="L24" s="100" t="e">
        <f t="shared" ca="1" si="7"/>
        <v>#NAME?</v>
      </c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</row>
    <row r="25" spans="1:27">
      <c r="A25" s="100" t="e">
        <f t="shared" ca="1" si="0"/>
        <v>#NAME?</v>
      </c>
      <c r="B25" s="100" t="e">
        <f ca="1">IFERROR(__xludf.DUMMYFUNCTION("""COMPUTED_VALUE"""),24)</f>
        <v>#NAME?</v>
      </c>
      <c r="C25" s="100" t="e">
        <f ca="1">IFERROR(__xludf.DUMMYFUNCTION("""COMPUTED_VALUE"""),"NEIRO-USDC")</f>
        <v>#NAME?</v>
      </c>
      <c r="D25" s="100" t="e">
        <f ca="1">IFERROR(__xludf.DUMMYFUNCTION("""COMPUTED_VALUE"""),"0.0001941")</f>
        <v>#NAME?</v>
      </c>
      <c r="E25" s="100" t="e">
        <f t="shared" ca="1" si="8"/>
        <v>#NAME?</v>
      </c>
      <c r="F25" s="100" t="e">
        <f t="shared" ca="1" si="8"/>
        <v>#NAME?</v>
      </c>
      <c r="G25" s="100" t="e">
        <f t="shared" ca="1" si="2"/>
        <v>#NAME?</v>
      </c>
      <c r="H25" s="100" t="e">
        <f t="shared" ca="1" si="3"/>
        <v>#NAME?</v>
      </c>
      <c r="I25" s="100" t="e">
        <f t="shared" ca="1" si="4"/>
        <v>#NAME?</v>
      </c>
      <c r="J25" s="100" t="e">
        <f t="shared" ca="1" si="5"/>
        <v>#NAME?</v>
      </c>
      <c r="K25" s="100" t="e">
        <f t="shared" ca="1" si="6"/>
        <v>#NAME?</v>
      </c>
      <c r="L25" s="100" t="e">
        <f t="shared" ca="1" si="7"/>
        <v>#NAME?</v>
      </c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</row>
    <row r="26" spans="1:27">
      <c r="A26" s="100" t="e">
        <f t="shared" ca="1" si="0"/>
        <v>#NAME?</v>
      </c>
      <c r="B26" s="100" t="e">
        <f ca="1">IFERROR(__xludf.DUMMYFUNCTION("""COMPUTED_VALUE"""),25)</f>
        <v>#NAME?</v>
      </c>
      <c r="C26" s="100" t="e">
        <f ca="1">IFERROR(__xludf.DUMMYFUNCTION("""COMPUTED_VALUE"""),"RUNECOIN-USDT")</f>
        <v>#NAME?</v>
      </c>
      <c r="D26" s="100" t="e">
        <f ca="1">IFERROR(__xludf.DUMMYFUNCTION("""COMPUTED_VALUE"""),"0.0004475")</f>
        <v>#NAME?</v>
      </c>
      <c r="E26" s="100" t="e">
        <f t="shared" ca="1" si="8"/>
        <v>#NAME?</v>
      </c>
      <c r="F26" s="100" t="e">
        <f t="shared" ca="1" si="8"/>
        <v>#NAME?</v>
      </c>
      <c r="G26" s="100" t="e">
        <f t="shared" ca="1" si="2"/>
        <v>#NAME?</v>
      </c>
      <c r="H26" s="100" t="e">
        <f t="shared" ca="1" si="3"/>
        <v>#NAME?</v>
      </c>
      <c r="I26" s="100" t="e">
        <f t="shared" ca="1" si="4"/>
        <v>#NAME?</v>
      </c>
      <c r="J26" s="100" t="e">
        <f t="shared" ca="1" si="5"/>
        <v>#NAME?</v>
      </c>
      <c r="K26" s="100" t="e">
        <f t="shared" ca="1" si="6"/>
        <v>#NAME?</v>
      </c>
      <c r="L26" s="100" t="e">
        <f t="shared" ca="1" si="7"/>
        <v>#NAME?</v>
      </c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</row>
    <row r="27" spans="1:27">
      <c r="A27" s="100" t="e">
        <f t="shared" ca="1" si="0"/>
        <v>#NAME?</v>
      </c>
      <c r="B27" s="100" t="e">
        <f ca="1">IFERROR(__xludf.DUMMYFUNCTION("""COMPUTED_VALUE"""),26)</f>
        <v>#NAME?</v>
      </c>
      <c r="C27" s="100" t="e">
        <f ca="1">IFERROR(__xludf.DUMMYFUNCTION("""COMPUTED_VALUE"""),"ZKJ-USDT")</f>
        <v>#NAME?</v>
      </c>
      <c r="D27" s="100" t="e">
        <f ca="1">IFERROR(__xludf.DUMMYFUNCTION("""COMPUTED_VALUE"""),"2.1981")</f>
        <v>#NAME?</v>
      </c>
      <c r="E27" s="100" t="e">
        <f t="shared" ca="1" si="8"/>
        <v>#NAME?</v>
      </c>
      <c r="F27" s="100" t="e">
        <f t="shared" ca="1" si="8"/>
        <v>#NAME?</v>
      </c>
      <c r="G27" s="100" t="e">
        <f t="shared" ca="1" si="2"/>
        <v>#NAME?</v>
      </c>
      <c r="H27" s="100" t="e">
        <f t="shared" ca="1" si="3"/>
        <v>#NAME?</v>
      </c>
      <c r="I27" s="100" t="e">
        <f t="shared" ca="1" si="4"/>
        <v>#NAME?</v>
      </c>
      <c r="J27" s="100" t="e">
        <f t="shared" ca="1" si="5"/>
        <v>#NAME?</v>
      </c>
      <c r="K27" s="100" t="e">
        <f t="shared" ca="1" si="6"/>
        <v>#NAME?</v>
      </c>
      <c r="L27" s="100" t="e">
        <f t="shared" ca="1" si="7"/>
        <v>#NAME?</v>
      </c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</row>
    <row r="28" spans="1:27">
      <c r="A28" s="100" t="e">
        <f t="shared" ca="1" si="0"/>
        <v>#NAME?</v>
      </c>
      <c r="B28" s="100" t="e">
        <f ca="1">IFERROR(__xludf.DUMMYFUNCTION("""COMPUTED_VALUE"""),27)</f>
        <v>#NAME?</v>
      </c>
      <c r="C28" s="100" t="e">
        <f ca="1">IFERROR(__xludf.DUMMYFUNCTION("""COMPUTED_VALUE"""),"S-USD")</f>
        <v>#NAME?</v>
      </c>
      <c r="D28" s="100" t="e">
        <f ca="1">IFERROR(__xludf.DUMMYFUNCTION("""COMPUTED_VALUE"""),"0.4819")</f>
        <v>#NAME?</v>
      </c>
      <c r="E28" s="100" t="e">
        <f t="shared" ca="1" si="8"/>
        <v>#NAME?</v>
      </c>
      <c r="F28" s="100" t="e">
        <f t="shared" ca="1" si="8"/>
        <v>#NAME?</v>
      </c>
      <c r="G28" s="100" t="e">
        <f t="shared" ca="1" si="2"/>
        <v>#NAME?</v>
      </c>
      <c r="H28" s="100" t="e">
        <f t="shared" ca="1" si="3"/>
        <v>#NAME?</v>
      </c>
      <c r="I28" s="100" t="e">
        <f t="shared" ca="1" si="4"/>
        <v>#NAME?</v>
      </c>
      <c r="J28" s="100" t="e">
        <f t="shared" ca="1" si="5"/>
        <v>#NAME?</v>
      </c>
      <c r="K28" s="100" t="e">
        <f t="shared" ca="1" si="6"/>
        <v>#NAME?</v>
      </c>
      <c r="L28" s="100" t="e">
        <f t="shared" ca="1" si="7"/>
        <v>#NAME?</v>
      </c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</row>
    <row r="29" spans="1:27">
      <c r="A29" s="100" t="e">
        <f t="shared" ca="1" si="0"/>
        <v>#NAME?</v>
      </c>
      <c r="B29" s="100" t="e">
        <f ca="1">IFERROR(__xludf.DUMMYFUNCTION("""COMPUTED_VALUE"""),28)</f>
        <v>#NAME?</v>
      </c>
      <c r="C29" s="100" t="e">
        <f ca="1">IFERROR(__xludf.DUMMYFUNCTION("""COMPUTED_VALUE"""),"BCH-USDC")</f>
        <v>#NAME?</v>
      </c>
      <c r="D29" s="100" t="e">
        <f ca="1">IFERROR(__xludf.DUMMYFUNCTION("""COMPUTED_VALUE"""),"347.9")</f>
        <v>#NAME?</v>
      </c>
      <c r="E29" s="100" t="e">
        <f t="shared" ca="1" si="8"/>
        <v>#NAME?</v>
      </c>
      <c r="F29" s="100" t="e">
        <f t="shared" ca="1" si="8"/>
        <v>#NAME?</v>
      </c>
      <c r="G29" s="100" t="e">
        <f t="shared" ca="1" si="2"/>
        <v>#NAME?</v>
      </c>
      <c r="H29" s="100" t="e">
        <f t="shared" ca="1" si="3"/>
        <v>#NAME?</v>
      </c>
      <c r="I29" s="100" t="e">
        <f t="shared" ca="1" si="4"/>
        <v>#NAME?</v>
      </c>
      <c r="J29" s="100" t="e">
        <f t="shared" ca="1" si="5"/>
        <v>#NAME?</v>
      </c>
      <c r="K29" s="100" t="e">
        <f t="shared" ca="1" si="6"/>
        <v>#NAME?</v>
      </c>
      <c r="L29" s="100" t="e">
        <f t="shared" ca="1" si="7"/>
        <v>#NAME?</v>
      </c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</row>
    <row r="30" spans="1:27">
      <c r="A30" s="100" t="e">
        <f t="shared" ca="1" si="0"/>
        <v>#NAME?</v>
      </c>
      <c r="B30" s="100" t="e">
        <f ca="1">IFERROR(__xludf.DUMMYFUNCTION("""COMPUTED_VALUE"""),29)</f>
        <v>#NAME?</v>
      </c>
      <c r="C30" s="100" t="e">
        <f ca="1">IFERROR(__xludf.DUMMYFUNCTION("""COMPUTED_VALUE"""),"OMI-USD")</f>
        <v>#NAME?</v>
      </c>
      <c r="D30" s="100" t="e">
        <f ca="1">IFERROR(__xludf.DUMMYFUNCTION("""COMPUTED_VALUE"""),"0.0001922")</f>
        <v>#NAME?</v>
      </c>
      <c r="E30" s="100" t="e">
        <f t="shared" ca="1" si="8"/>
        <v>#NAME?</v>
      </c>
      <c r="F30" s="100" t="e">
        <f t="shared" ca="1" si="8"/>
        <v>#NAME?</v>
      </c>
      <c r="G30" s="100" t="e">
        <f t="shared" ca="1" si="2"/>
        <v>#NAME?</v>
      </c>
      <c r="H30" s="100" t="e">
        <f t="shared" ca="1" si="3"/>
        <v>#NAME?</v>
      </c>
      <c r="I30" s="100" t="e">
        <f t="shared" ca="1" si="4"/>
        <v>#NAME?</v>
      </c>
      <c r="J30" s="100" t="e">
        <f t="shared" ca="1" si="5"/>
        <v>#NAME?</v>
      </c>
      <c r="K30" s="100" t="e">
        <f t="shared" ca="1" si="6"/>
        <v>#NAME?</v>
      </c>
      <c r="L30" s="100" t="e">
        <f t="shared" ca="1" si="7"/>
        <v>#NAME?</v>
      </c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</row>
    <row r="31" spans="1:27">
      <c r="A31" s="100" t="e">
        <f t="shared" ca="1" si="0"/>
        <v>#NAME?</v>
      </c>
      <c r="B31" s="100" t="e">
        <f ca="1">IFERROR(__xludf.DUMMYFUNCTION("""COMPUTED_VALUE"""),30)</f>
        <v>#NAME?</v>
      </c>
      <c r="C31" s="100" t="e">
        <f ca="1">IFERROR(__xludf.DUMMYFUNCTION("""COMPUTED_VALUE"""),"ETC-USDT")</f>
        <v>#NAME?</v>
      </c>
      <c r="D31" s="100" t="e">
        <f ca="1">IFERROR(__xludf.DUMMYFUNCTION("""COMPUTED_VALUE"""),"15.63")</f>
        <v>#NAME?</v>
      </c>
      <c r="E31" s="100" t="e">
        <f t="shared" ca="1" si="8"/>
        <v>#NAME?</v>
      </c>
      <c r="F31" s="100" t="e">
        <f t="shared" ca="1" si="8"/>
        <v>#NAME?</v>
      </c>
      <c r="G31" s="100" t="e">
        <f t="shared" ca="1" si="2"/>
        <v>#NAME?</v>
      </c>
      <c r="H31" s="100" t="e">
        <f t="shared" ca="1" si="3"/>
        <v>#NAME?</v>
      </c>
      <c r="I31" s="100" t="e">
        <f t="shared" ca="1" si="4"/>
        <v>#NAME?</v>
      </c>
      <c r="J31" s="100" t="e">
        <f t="shared" ca="1" si="5"/>
        <v>#NAME?</v>
      </c>
      <c r="K31" s="100" t="e">
        <f t="shared" ca="1" si="6"/>
        <v>#NAME?</v>
      </c>
      <c r="L31" s="100" t="e">
        <f t="shared" ca="1" si="7"/>
        <v>#NAME?</v>
      </c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</row>
    <row r="32" spans="1:27">
      <c r="A32" s="100" t="e">
        <f t="shared" ca="1" si="0"/>
        <v>#NAME?</v>
      </c>
      <c r="B32" s="100" t="e">
        <f ca="1">IFERROR(__xludf.DUMMYFUNCTION("""COMPUTED_VALUE"""),31)</f>
        <v>#NAME?</v>
      </c>
      <c r="C32" s="100" t="e">
        <f ca="1">IFERROR(__xludf.DUMMYFUNCTION("""COMPUTED_VALUE"""),"CTC-USD")</f>
        <v>#NAME?</v>
      </c>
      <c r="D32" s="100" t="e">
        <f ca="1">IFERROR(__xludf.DUMMYFUNCTION("""COMPUTED_VALUE"""),"0.5829")</f>
        <v>#NAME?</v>
      </c>
      <c r="E32" s="100" t="e">
        <f t="shared" ca="1" si="8"/>
        <v>#NAME?</v>
      </c>
      <c r="F32" s="100" t="e">
        <f t="shared" ca="1" si="8"/>
        <v>#NAME?</v>
      </c>
      <c r="G32" s="100" t="e">
        <f t="shared" ca="1" si="2"/>
        <v>#NAME?</v>
      </c>
      <c r="H32" s="100" t="e">
        <f t="shared" ca="1" si="3"/>
        <v>#NAME?</v>
      </c>
      <c r="I32" s="100" t="e">
        <f t="shared" ca="1" si="4"/>
        <v>#NAME?</v>
      </c>
      <c r="J32" s="100" t="e">
        <f t="shared" ca="1" si="5"/>
        <v>#NAME?</v>
      </c>
      <c r="K32" s="100" t="e">
        <f t="shared" ca="1" si="6"/>
        <v>#NAME?</v>
      </c>
      <c r="L32" s="100" t="e">
        <f t="shared" ca="1" si="7"/>
        <v>#NAME?</v>
      </c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</row>
    <row r="33" spans="1:27">
      <c r="A33" s="100" t="e">
        <f t="shared" ca="1" si="0"/>
        <v>#NAME?</v>
      </c>
      <c r="B33" s="100" t="e">
        <f ca="1">IFERROR(__xludf.DUMMYFUNCTION("""COMPUTED_VALUE"""),32)</f>
        <v>#NAME?</v>
      </c>
      <c r="C33" s="100" t="e">
        <f ca="1">IFERROR(__xludf.DUMMYFUNCTION("""COMPUTED_VALUE"""),"XLM-USD")</f>
        <v>#NAME?</v>
      </c>
      <c r="D33" s="100" t="e">
        <f ca="1">IFERROR(__xludf.DUMMYFUNCTION("""COMPUTED_VALUE"""),"0.24681")</f>
        <v>#NAME?</v>
      </c>
      <c r="E33" s="100" t="e">
        <f t="shared" ca="1" si="8"/>
        <v>#NAME?</v>
      </c>
      <c r="F33" s="100" t="e">
        <f t="shared" ca="1" si="8"/>
        <v>#NAME?</v>
      </c>
      <c r="G33" s="100" t="e">
        <f t="shared" ca="1" si="2"/>
        <v>#NAME?</v>
      </c>
      <c r="H33" s="100" t="e">
        <f t="shared" ca="1" si="3"/>
        <v>#NAME?</v>
      </c>
      <c r="I33" s="100" t="e">
        <f t="shared" ca="1" si="4"/>
        <v>#NAME?</v>
      </c>
      <c r="J33" s="100" t="e">
        <f t="shared" ca="1" si="5"/>
        <v>#NAME?</v>
      </c>
      <c r="K33" s="100" t="e">
        <f t="shared" ca="1" si="6"/>
        <v>#NAME?</v>
      </c>
      <c r="L33" s="100" t="e">
        <f t="shared" ca="1" si="7"/>
        <v>#NAME?</v>
      </c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</row>
    <row r="34" spans="1:27">
      <c r="A34" s="100" t="e">
        <f t="shared" ca="1" si="0"/>
        <v>#NAME?</v>
      </c>
      <c r="B34" s="100" t="e">
        <f ca="1">IFERROR(__xludf.DUMMYFUNCTION("""COMPUTED_VALUE"""),33)</f>
        <v>#NAME?</v>
      </c>
      <c r="C34" s="100" t="e">
        <f ca="1">IFERROR(__xludf.DUMMYFUNCTION("""COMPUTED_VALUE"""),"VELODROME-USD")</f>
        <v>#NAME?</v>
      </c>
      <c r="D34" s="100" t="e">
        <f ca="1">IFERROR(__xludf.DUMMYFUNCTION("""COMPUTED_VALUE"""),"0.04483")</f>
        <v>#NAME?</v>
      </c>
      <c r="E34" s="100" t="e">
        <f t="shared" ca="1" si="8"/>
        <v>#NAME?</v>
      </c>
      <c r="F34" s="100" t="e">
        <f t="shared" ca="1" si="8"/>
        <v>#NAME?</v>
      </c>
      <c r="G34" s="100" t="e">
        <f t="shared" ca="1" si="2"/>
        <v>#NAME?</v>
      </c>
      <c r="H34" s="100" t="e">
        <f t="shared" ca="1" si="3"/>
        <v>#NAME?</v>
      </c>
      <c r="I34" s="100" t="e">
        <f t="shared" ca="1" si="4"/>
        <v>#NAME?</v>
      </c>
      <c r="J34" s="100" t="e">
        <f t="shared" ca="1" si="5"/>
        <v>#NAME?</v>
      </c>
      <c r="K34" s="100" t="e">
        <f t="shared" ca="1" si="6"/>
        <v>#NAME?</v>
      </c>
      <c r="L34" s="100" t="e">
        <f t="shared" ca="1" si="7"/>
        <v>#NAME?</v>
      </c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</row>
    <row r="35" spans="1:27">
      <c r="A35" s="100" t="e">
        <f t="shared" ca="1" si="0"/>
        <v>#NAME?</v>
      </c>
      <c r="B35" s="100" t="e">
        <f ca="1">IFERROR(__xludf.DUMMYFUNCTION("""COMPUTED_VALUE"""),34)</f>
        <v>#NAME?</v>
      </c>
      <c r="C35" s="100" t="e">
        <f ca="1">IFERROR(__xludf.DUMMYFUNCTION("""COMPUTED_VALUE"""),"ASTR-USDT")</f>
        <v>#NAME?</v>
      </c>
      <c r="D35" s="100" t="e">
        <f ca="1">IFERROR(__xludf.DUMMYFUNCTION("""COMPUTED_VALUE"""),"0.02689")</f>
        <v>#NAME?</v>
      </c>
      <c r="E35" s="100" t="e">
        <f t="shared" ca="1" si="8"/>
        <v>#NAME?</v>
      </c>
      <c r="F35" s="100" t="e">
        <f t="shared" ca="1" si="8"/>
        <v>#NAME?</v>
      </c>
      <c r="G35" s="100" t="e">
        <f t="shared" ca="1" si="2"/>
        <v>#NAME?</v>
      </c>
      <c r="H35" s="100" t="e">
        <f t="shared" ca="1" si="3"/>
        <v>#NAME?</v>
      </c>
      <c r="I35" s="100" t="e">
        <f t="shared" ca="1" si="4"/>
        <v>#NAME?</v>
      </c>
      <c r="J35" s="100" t="e">
        <f t="shared" ca="1" si="5"/>
        <v>#NAME?</v>
      </c>
      <c r="K35" s="100" t="e">
        <f t="shared" ca="1" si="6"/>
        <v>#NAME?</v>
      </c>
      <c r="L35" s="100" t="e">
        <f t="shared" ca="1" si="7"/>
        <v>#NAME?</v>
      </c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</row>
    <row r="36" spans="1:27">
      <c r="A36" s="100" t="e">
        <f t="shared" ca="1" si="0"/>
        <v>#NAME?</v>
      </c>
      <c r="B36" s="100" t="e">
        <f ca="1">IFERROR(__xludf.DUMMYFUNCTION("""COMPUTED_VALUE"""),35)</f>
        <v>#NAME?</v>
      </c>
      <c r="C36" s="100" t="e">
        <f ca="1">IFERROR(__xludf.DUMMYFUNCTION("""COMPUTED_VALUE"""),"BCH-USDT")</f>
        <v>#NAME?</v>
      </c>
      <c r="D36" s="100" t="e">
        <f ca="1">IFERROR(__xludf.DUMMYFUNCTION("""COMPUTED_VALUE"""),"347.2")</f>
        <v>#NAME?</v>
      </c>
      <c r="E36" s="100" t="e">
        <f t="shared" ca="1" si="8"/>
        <v>#NAME?</v>
      </c>
      <c r="F36" s="100" t="e">
        <f t="shared" ca="1" si="8"/>
        <v>#NAME?</v>
      </c>
      <c r="G36" s="100" t="e">
        <f t="shared" ca="1" si="2"/>
        <v>#NAME?</v>
      </c>
      <c r="H36" s="100" t="e">
        <f t="shared" ca="1" si="3"/>
        <v>#NAME?</v>
      </c>
      <c r="I36" s="100" t="e">
        <f t="shared" ca="1" si="4"/>
        <v>#NAME?</v>
      </c>
      <c r="J36" s="100" t="e">
        <f t="shared" ca="1" si="5"/>
        <v>#NAME?</v>
      </c>
      <c r="K36" s="100" t="e">
        <f t="shared" ca="1" si="6"/>
        <v>#NAME?</v>
      </c>
      <c r="L36" s="100" t="e">
        <f t="shared" ca="1" si="7"/>
        <v>#NAME?</v>
      </c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</row>
    <row r="37" spans="1:27">
      <c r="A37" s="100" t="e">
        <f t="shared" ca="1" si="0"/>
        <v>#NAME?</v>
      </c>
      <c r="B37" s="100" t="e">
        <f ca="1">IFERROR(__xludf.DUMMYFUNCTION("""COMPUTED_VALUE"""),36)</f>
        <v>#NAME?</v>
      </c>
      <c r="C37" s="100" t="e">
        <f ca="1">IFERROR(__xludf.DUMMYFUNCTION("""COMPUTED_VALUE"""),"SNX-USD")</f>
        <v>#NAME?</v>
      </c>
      <c r="D37" s="100" t="e">
        <f ca="1">IFERROR(__xludf.DUMMYFUNCTION("""COMPUTED_VALUE"""),"0.6785")</f>
        <v>#NAME?</v>
      </c>
      <c r="E37" s="100" t="e">
        <f t="shared" ca="1" si="8"/>
        <v>#NAME?</v>
      </c>
      <c r="F37" s="100" t="e">
        <f t="shared" ca="1" si="8"/>
        <v>#NAME?</v>
      </c>
      <c r="G37" s="100" t="e">
        <f t="shared" ca="1" si="2"/>
        <v>#NAME?</v>
      </c>
      <c r="H37" s="100" t="e">
        <f t="shared" ca="1" si="3"/>
        <v>#NAME?</v>
      </c>
      <c r="I37" s="100" t="e">
        <f t="shared" ca="1" si="4"/>
        <v>#NAME?</v>
      </c>
      <c r="J37" s="100" t="e">
        <f t="shared" ca="1" si="5"/>
        <v>#NAME?</v>
      </c>
      <c r="K37" s="100" t="e">
        <f t="shared" ca="1" si="6"/>
        <v>#NAME?</v>
      </c>
      <c r="L37" s="100" t="e">
        <f t="shared" ca="1" si="7"/>
        <v>#NAME?</v>
      </c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</row>
    <row r="38" spans="1:27">
      <c r="A38" s="100" t="e">
        <f t="shared" ca="1" si="0"/>
        <v>#NAME?</v>
      </c>
      <c r="B38" s="100" t="e">
        <f ca="1">IFERROR(__xludf.DUMMYFUNCTION("""COMPUTED_VALUE"""),37)</f>
        <v>#NAME?</v>
      </c>
      <c r="C38" s="100" t="e">
        <f ca="1">IFERROR(__xludf.DUMMYFUNCTION("""COMPUTED_VALUE"""),"ETC-USDC")</f>
        <v>#NAME?</v>
      </c>
      <c r="D38" s="100" t="e">
        <f ca="1">IFERROR(__xludf.DUMMYFUNCTION("""COMPUTED_VALUE"""),"15.66")</f>
        <v>#NAME?</v>
      </c>
      <c r="E38" s="100" t="e">
        <f t="shared" ca="1" si="8"/>
        <v>#NAME?</v>
      </c>
      <c r="F38" s="100" t="e">
        <f t="shared" ca="1" si="8"/>
        <v>#NAME?</v>
      </c>
      <c r="G38" s="100" t="e">
        <f t="shared" ca="1" si="2"/>
        <v>#NAME?</v>
      </c>
      <c r="H38" s="100" t="e">
        <f t="shared" ca="1" si="3"/>
        <v>#NAME?</v>
      </c>
      <c r="I38" s="100" t="e">
        <f t="shared" ca="1" si="4"/>
        <v>#NAME?</v>
      </c>
      <c r="J38" s="100" t="e">
        <f t="shared" ca="1" si="5"/>
        <v>#NAME?</v>
      </c>
      <c r="K38" s="100" t="e">
        <f t="shared" ca="1" si="6"/>
        <v>#NAME?</v>
      </c>
      <c r="L38" s="100" t="e">
        <f t="shared" ca="1" si="7"/>
        <v>#NAME?</v>
      </c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</row>
    <row r="39" spans="1:27">
      <c r="A39" s="100" t="e">
        <f t="shared" ca="1" si="0"/>
        <v>#NAME?</v>
      </c>
      <c r="B39" s="100" t="e">
        <f ca="1">IFERROR(__xludf.DUMMYFUNCTION("""COMPUTED_VALUE"""),38)</f>
        <v>#NAME?</v>
      </c>
      <c r="C39" s="100" t="e">
        <f ca="1">IFERROR(__xludf.DUMMYFUNCTION("""COMPUTED_VALUE"""),"WCT-USD")</f>
        <v>#NAME?</v>
      </c>
      <c r="D39" s="100" t="e">
        <f ca="1">IFERROR(__xludf.DUMMYFUNCTION("""COMPUTED_VALUE"""),"0.4203")</f>
        <v>#NAME?</v>
      </c>
      <c r="E39" s="100" t="e">
        <f t="shared" ca="1" si="8"/>
        <v>#NAME?</v>
      </c>
      <c r="F39" s="100" t="e">
        <f t="shared" ca="1" si="8"/>
        <v>#NAME?</v>
      </c>
      <c r="G39" s="100" t="e">
        <f t="shared" ca="1" si="2"/>
        <v>#NAME?</v>
      </c>
      <c r="H39" s="100" t="e">
        <f t="shared" ca="1" si="3"/>
        <v>#NAME?</v>
      </c>
      <c r="I39" s="100" t="e">
        <f t="shared" ca="1" si="4"/>
        <v>#NAME?</v>
      </c>
      <c r="J39" s="100" t="e">
        <f t="shared" ca="1" si="5"/>
        <v>#NAME?</v>
      </c>
      <c r="K39" s="100" t="e">
        <f t="shared" ca="1" si="6"/>
        <v>#NAME?</v>
      </c>
      <c r="L39" s="100" t="e">
        <f t="shared" ca="1" si="7"/>
        <v>#NAME?</v>
      </c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</row>
    <row r="40" spans="1:27">
      <c r="A40" s="100" t="e">
        <f t="shared" ca="1" si="0"/>
        <v>#NAME?</v>
      </c>
      <c r="B40" s="100" t="e">
        <f ca="1">IFERROR(__xludf.DUMMYFUNCTION("""COMPUTED_VALUE"""),39)</f>
        <v>#NAME?</v>
      </c>
      <c r="C40" s="100" t="e">
        <f ca="1">IFERROR(__xludf.DUMMYFUNCTION("""COMPUTED_VALUE"""),"SAND-USDC")</f>
        <v>#NAME?</v>
      </c>
      <c r="D40" s="100" t="e">
        <f ca="1">IFERROR(__xludf.DUMMYFUNCTION("""COMPUTED_VALUE"""),"0.2739")</f>
        <v>#NAME?</v>
      </c>
      <c r="E40" s="100" t="e">
        <f t="shared" ca="1" si="8"/>
        <v>#NAME?</v>
      </c>
      <c r="F40" s="100" t="e">
        <f t="shared" ca="1" si="8"/>
        <v>#NAME?</v>
      </c>
      <c r="G40" s="100" t="e">
        <f t="shared" ca="1" si="2"/>
        <v>#NAME?</v>
      </c>
      <c r="H40" s="100" t="e">
        <f t="shared" ca="1" si="3"/>
        <v>#NAME?</v>
      </c>
      <c r="I40" s="100" t="e">
        <f t="shared" ca="1" si="4"/>
        <v>#NAME?</v>
      </c>
      <c r="J40" s="100" t="e">
        <f t="shared" ca="1" si="5"/>
        <v>#NAME?</v>
      </c>
      <c r="K40" s="100" t="e">
        <f t="shared" ca="1" si="6"/>
        <v>#NAME?</v>
      </c>
      <c r="L40" s="100" t="e">
        <f t="shared" ca="1" si="7"/>
        <v>#NAME?</v>
      </c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</row>
    <row r="41" spans="1:27">
      <c r="A41" s="100" t="e">
        <f t="shared" ca="1" si="0"/>
        <v>#NAME?</v>
      </c>
      <c r="B41" s="100" t="e">
        <f ca="1">IFERROR(__xludf.DUMMYFUNCTION("""COMPUTED_VALUE"""),40)</f>
        <v>#NAME?</v>
      </c>
      <c r="C41" s="100" t="e">
        <f ca="1">IFERROR(__xludf.DUMMYFUNCTION("""COMPUTED_VALUE"""),"APT-USDT")</f>
        <v>#NAME?</v>
      </c>
      <c r="D41" s="100" t="e">
        <f ca="1">IFERROR(__xludf.DUMMYFUNCTION("""COMPUTED_VALUE"""),"4.843")</f>
        <v>#NAME?</v>
      </c>
      <c r="E41" s="100" t="e">
        <f t="shared" ca="1" si="8"/>
        <v>#NAME?</v>
      </c>
      <c r="F41" s="100" t="e">
        <f t="shared" ca="1" si="8"/>
        <v>#NAME?</v>
      </c>
      <c r="G41" s="100" t="e">
        <f t="shared" ca="1" si="2"/>
        <v>#NAME?</v>
      </c>
      <c r="H41" s="100" t="e">
        <f t="shared" ca="1" si="3"/>
        <v>#NAME?</v>
      </c>
      <c r="I41" s="100" t="e">
        <f t="shared" ca="1" si="4"/>
        <v>#NAME?</v>
      </c>
      <c r="J41" s="100" t="e">
        <f t="shared" ca="1" si="5"/>
        <v>#NAME?</v>
      </c>
      <c r="K41" s="100" t="e">
        <f t="shared" ca="1" si="6"/>
        <v>#NAME?</v>
      </c>
      <c r="L41" s="100" t="e">
        <f t="shared" ca="1" si="7"/>
        <v>#NAME?</v>
      </c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</row>
    <row r="42" spans="1:27">
      <c r="A42" s="100" t="e">
        <f t="shared" ca="1" si="0"/>
        <v>#NAME?</v>
      </c>
      <c r="B42" s="100" t="e">
        <f ca="1">IFERROR(__xludf.DUMMYFUNCTION("""COMPUTED_VALUE"""),41)</f>
        <v>#NAME?</v>
      </c>
      <c r="C42" s="100" t="e">
        <f ca="1">IFERROR(__xludf.DUMMYFUNCTION("""COMPUTED_VALUE"""),"GAS-USDT")</f>
        <v>#NAME?</v>
      </c>
      <c r="D42" s="100" t="e">
        <f ca="1">IFERROR(__xludf.DUMMYFUNCTION("""COMPUTED_VALUE"""),"3.255")</f>
        <v>#NAME?</v>
      </c>
      <c r="E42" s="100" t="e">
        <f t="shared" ref="E42:F61" ca="1" si="9">IFERROR(__xludf.DUMMYFUNCTION("""COMPUTED_VALUE"""),"-")</f>
        <v>#NAME?</v>
      </c>
      <c r="F42" s="100" t="e">
        <f t="shared" ca="1" si="9"/>
        <v>#NAME?</v>
      </c>
      <c r="G42" s="100" t="e">
        <f t="shared" ca="1" si="2"/>
        <v>#NAME?</v>
      </c>
      <c r="H42" s="100" t="e">
        <f t="shared" ca="1" si="3"/>
        <v>#NAME?</v>
      </c>
      <c r="I42" s="100" t="e">
        <f t="shared" ca="1" si="4"/>
        <v>#NAME?</v>
      </c>
      <c r="J42" s="100" t="e">
        <f t="shared" ca="1" si="5"/>
        <v>#NAME?</v>
      </c>
      <c r="K42" s="100" t="e">
        <f t="shared" ca="1" si="6"/>
        <v>#NAME?</v>
      </c>
      <c r="L42" s="100" t="e">
        <f t="shared" ca="1" si="7"/>
        <v>#NAME?</v>
      </c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</row>
    <row r="43" spans="1:27">
      <c r="A43" s="100" t="e">
        <f t="shared" ca="1" si="0"/>
        <v>#NAME?</v>
      </c>
      <c r="B43" s="100" t="e">
        <f ca="1">IFERROR(__xludf.DUMMYFUNCTION("""COMPUTED_VALUE"""),42)</f>
        <v>#NAME?</v>
      </c>
      <c r="C43" s="100" t="e">
        <f ca="1">IFERROR(__xludf.DUMMYFUNCTION("""COMPUTED_VALUE"""),"TRX-USDT")</f>
        <v>#NAME?</v>
      </c>
      <c r="D43" s="100" t="e">
        <f ca="1">IFERROR(__xludf.DUMMYFUNCTION("""COMPUTED_VALUE"""),"0.24909")</f>
        <v>#NAME?</v>
      </c>
      <c r="E43" s="100" t="e">
        <f t="shared" ca="1" si="9"/>
        <v>#NAME?</v>
      </c>
      <c r="F43" s="100" t="e">
        <f t="shared" ca="1" si="9"/>
        <v>#NAME?</v>
      </c>
      <c r="G43" s="100" t="e">
        <f t="shared" ca="1" si="2"/>
        <v>#NAME?</v>
      </c>
      <c r="H43" s="100" t="e">
        <f t="shared" ca="1" si="3"/>
        <v>#NAME?</v>
      </c>
      <c r="I43" s="100" t="e">
        <f t="shared" ca="1" si="4"/>
        <v>#NAME?</v>
      </c>
      <c r="J43" s="100" t="e">
        <f t="shared" ca="1" si="5"/>
        <v>#NAME?</v>
      </c>
      <c r="K43" s="100" t="e">
        <f t="shared" ca="1" si="6"/>
        <v>#NAME?</v>
      </c>
      <c r="L43" s="100" t="e">
        <f t="shared" ca="1" si="7"/>
        <v>#NAME?</v>
      </c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</row>
    <row r="44" spans="1:27">
      <c r="A44" s="100" t="e">
        <f t="shared" ca="1" si="0"/>
        <v>#NAME?</v>
      </c>
      <c r="B44" s="100" t="e">
        <f ca="1">IFERROR(__xludf.DUMMYFUNCTION("""COMPUTED_VALUE"""),43)</f>
        <v>#NAME?</v>
      </c>
      <c r="C44" s="100" t="e">
        <f ca="1">IFERROR(__xludf.DUMMYFUNCTION("""COMPUTED_VALUE"""),"BSV-USD")</f>
        <v>#NAME?</v>
      </c>
      <c r="D44" s="100" t="e">
        <f ca="1">IFERROR(__xludf.DUMMYFUNCTION("""COMPUTED_VALUE"""),"29.27")</f>
        <v>#NAME?</v>
      </c>
      <c r="E44" s="100" t="e">
        <f t="shared" ca="1" si="9"/>
        <v>#NAME?</v>
      </c>
      <c r="F44" s="100" t="e">
        <f t="shared" ca="1" si="9"/>
        <v>#NAME?</v>
      </c>
      <c r="G44" s="100" t="e">
        <f t="shared" ca="1" si="2"/>
        <v>#NAME?</v>
      </c>
      <c r="H44" s="100" t="e">
        <f t="shared" ca="1" si="3"/>
        <v>#NAME?</v>
      </c>
      <c r="I44" s="100" t="e">
        <f t="shared" ca="1" si="4"/>
        <v>#NAME?</v>
      </c>
      <c r="J44" s="100" t="e">
        <f t="shared" ca="1" si="5"/>
        <v>#NAME?</v>
      </c>
      <c r="K44" s="100" t="e">
        <f t="shared" ca="1" si="6"/>
        <v>#NAME?</v>
      </c>
      <c r="L44" s="100" t="e">
        <f t="shared" ca="1" si="7"/>
        <v>#NAME?</v>
      </c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</row>
    <row r="45" spans="1:27">
      <c r="A45" s="100" t="e">
        <f t="shared" ca="1" si="0"/>
        <v>#NAME?</v>
      </c>
      <c r="B45" s="100" t="e">
        <f ca="1">IFERROR(__xludf.DUMMYFUNCTION("""COMPUTED_VALUE"""),44)</f>
        <v>#NAME?</v>
      </c>
      <c r="C45" s="100" t="e">
        <f ca="1">IFERROR(__xludf.DUMMYFUNCTION("""COMPUTED_VALUE"""),"CELO-USDT")</f>
        <v>#NAME?</v>
      </c>
      <c r="D45" s="100" t="e">
        <f ca="1">IFERROR(__xludf.DUMMYFUNCTION("""COMPUTED_VALUE"""),"0.3118")</f>
        <v>#NAME?</v>
      </c>
      <c r="E45" s="100" t="e">
        <f t="shared" ca="1" si="9"/>
        <v>#NAME?</v>
      </c>
      <c r="F45" s="100" t="e">
        <f t="shared" ca="1" si="9"/>
        <v>#NAME?</v>
      </c>
      <c r="G45" s="100" t="e">
        <f t="shared" ca="1" si="2"/>
        <v>#NAME?</v>
      </c>
      <c r="H45" s="100" t="e">
        <f t="shared" ca="1" si="3"/>
        <v>#NAME?</v>
      </c>
      <c r="I45" s="100" t="e">
        <f t="shared" ca="1" si="4"/>
        <v>#NAME?</v>
      </c>
      <c r="J45" s="100" t="e">
        <f t="shared" ca="1" si="5"/>
        <v>#NAME?</v>
      </c>
      <c r="K45" s="100" t="e">
        <f t="shared" ca="1" si="6"/>
        <v>#NAME?</v>
      </c>
      <c r="L45" s="100" t="e">
        <f t="shared" ca="1" si="7"/>
        <v>#NAME?</v>
      </c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</row>
    <row r="46" spans="1:27">
      <c r="A46" s="100" t="e">
        <f t="shared" ca="1" si="0"/>
        <v>#NAME?</v>
      </c>
      <c r="B46" s="100" t="e">
        <f ca="1">IFERROR(__xludf.DUMMYFUNCTION("""COMPUTED_VALUE"""),45)</f>
        <v>#NAME?</v>
      </c>
      <c r="C46" s="100" t="e">
        <f ca="1">IFERROR(__xludf.DUMMYFUNCTION("""COMPUTED_VALUE"""),"XTZ-USD")</f>
        <v>#NAME?</v>
      </c>
      <c r="D46" s="100" t="e">
        <f ca="1">IFERROR(__xludf.DUMMYFUNCTION("""COMPUTED_VALUE"""),"0.5099")</f>
        <v>#NAME?</v>
      </c>
      <c r="E46" s="100" t="e">
        <f t="shared" ca="1" si="9"/>
        <v>#NAME?</v>
      </c>
      <c r="F46" s="100" t="e">
        <f t="shared" ca="1" si="9"/>
        <v>#NAME?</v>
      </c>
      <c r="G46" s="100" t="e">
        <f t="shared" ca="1" si="2"/>
        <v>#NAME?</v>
      </c>
      <c r="H46" s="100" t="e">
        <f t="shared" ca="1" si="3"/>
        <v>#NAME?</v>
      </c>
      <c r="I46" s="100" t="e">
        <f t="shared" ca="1" si="4"/>
        <v>#NAME?</v>
      </c>
      <c r="J46" s="100" t="e">
        <f t="shared" ca="1" si="5"/>
        <v>#NAME?</v>
      </c>
      <c r="K46" s="100" t="e">
        <f t="shared" ca="1" si="6"/>
        <v>#NAME?</v>
      </c>
      <c r="L46" s="100" t="e">
        <f t="shared" ca="1" si="7"/>
        <v>#NAME?</v>
      </c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</row>
    <row r="47" spans="1:27">
      <c r="A47" s="100" t="e">
        <f t="shared" ca="1" si="0"/>
        <v>#NAME?</v>
      </c>
      <c r="B47" s="100" t="e">
        <f ca="1">IFERROR(__xludf.DUMMYFUNCTION("""COMPUTED_VALUE"""),46)</f>
        <v>#NAME?</v>
      </c>
      <c r="C47" s="100" t="e">
        <f ca="1">IFERROR(__xludf.DUMMYFUNCTION("""COMPUTED_VALUE"""),"LUNC-EUR")</f>
        <v>#NAME?</v>
      </c>
      <c r="D47" s="100" t="e">
        <f ca="1">IFERROR(__xludf.DUMMYFUNCTION("""COMPUTED_VALUE"""),"0.00005261")</f>
        <v>#NAME?</v>
      </c>
      <c r="E47" s="100" t="e">
        <f t="shared" ca="1" si="9"/>
        <v>#NAME?</v>
      </c>
      <c r="F47" s="100" t="e">
        <f t="shared" ca="1" si="9"/>
        <v>#NAME?</v>
      </c>
      <c r="G47" s="100" t="e">
        <f t="shared" ca="1" si="2"/>
        <v>#NAME?</v>
      </c>
      <c r="H47" s="100" t="e">
        <f t="shared" ca="1" si="3"/>
        <v>#NAME?</v>
      </c>
      <c r="I47" s="100" t="e">
        <f t="shared" ca="1" si="4"/>
        <v>#NAME?</v>
      </c>
      <c r="J47" s="100" t="e">
        <f t="shared" ca="1" si="5"/>
        <v>#NAME?</v>
      </c>
      <c r="K47" s="100" t="e">
        <f t="shared" ca="1" si="6"/>
        <v>#NAME?</v>
      </c>
      <c r="L47" s="100" t="e">
        <f t="shared" ca="1" si="7"/>
        <v>#NAME?</v>
      </c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</row>
    <row r="48" spans="1:27">
      <c r="A48" s="100" t="e">
        <f t="shared" ca="1" si="0"/>
        <v>#NAME?</v>
      </c>
      <c r="B48" s="100" t="e">
        <f ca="1">IFERROR(__xludf.DUMMYFUNCTION("""COMPUTED_VALUE"""),47)</f>
        <v>#NAME?</v>
      </c>
      <c r="C48" s="100" t="e">
        <f ca="1">IFERROR(__xludf.DUMMYFUNCTION("""COMPUTED_VALUE"""),"SAND-USDT")</f>
        <v>#NAME?</v>
      </c>
      <c r="D48" s="100" t="e">
        <f ca="1">IFERROR(__xludf.DUMMYFUNCTION("""COMPUTED_VALUE"""),"0.274")</f>
        <v>#NAME?</v>
      </c>
      <c r="E48" s="100" t="e">
        <f t="shared" ca="1" si="9"/>
        <v>#NAME?</v>
      </c>
      <c r="F48" s="100" t="e">
        <f t="shared" ca="1" si="9"/>
        <v>#NAME?</v>
      </c>
      <c r="G48" s="100" t="e">
        <f t="shared" ca="1" si="2"/>
        <v>#NAME?</v>
      </c>
      <c r="H48" s="100" t="e">
        <f t="shared" ca="1" si="3"/>
        <v>#NAME?</v>
      </c>
      <c r="I48" s="100" t="e">
        <f t="shared" ca="1" si="4"/>
        <v>#NAME?</v>
      </c>
      <c r="J48" s="100" t="e">
        <f t="shared" ca="1" si="5"/>
        <v>#NAME?</v>
      </c>
      <c r="K48" s="100" t="e">
        <f t="shared" ca="1" si="6"/>
        <v>#NAME?</v>
      </c>
      <c r="L48" s="100" t="e">
        <f t="shared" ca="1" si="7"/>
        <v>#NAME?</v>
      </c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</row>
    <row r="49" spans="1:27">
      <c r="A49" s="100" t="e">
        <f t="shared" ca="1" si="0"/>
        <v>#NAME?</v>
      </c>
      <c r="B49" s="100" t="e">
        <f ca="1">IFERROR(__xludf.DUMMYFUNCTION("""COMPUTED_VALUE"""),48)</f>
        <v>#NAME?</v>
      </c>
      <c r="C49" s="100" t="e">
        <f ca="1">IFERROR(__xludf.DUMMYFUNCTION("""COMPUTED_VALUE"""),"LAT-USDT")</f>
        <v>#NAME?</v>
      </c>
      <c r="D49" s="100" t="e">
        <f ca="1">IFERROR(__xludf.DUMMYFUNCTION("""COMPUTED_VALUE"""),"0.004306")</f>
        <v>#NAME?</v>
      </c>
      <c r="E49" s="100" t="e">
        <f t="shared" ca="1" si="9"/>
        <v>#NAME?</v>
      </c>
      <c r="F49" s="100" t="e">
        <f t="shared" ca="1" si="9"/>
        <v>#NAME?</v>
      </c>
      <c r="G49" s="100" t="e">
        <f t="shared" ca="1" si="2"/>
        <v>#NAME?</v>
      </c>
      <c r="H49" s="100" t="e">
        <f t="shared" ca="1" si="3"/>
        <v>#NAME?</v>
      </c>
      <c r="I49" s="100" t="e">
        <f t="shared" ca="1" si="4"/>
        <v>#NAME?</v>
      </c>
      <c r="J49" s="100" t="e">
        <f t="shared" ca="1" si="5"/>
        <v>#NAME?</v>
      </c>
      <c r="K49" s="100" t="e">
        <f t="shared" ca="1" si="6"/>
        <v>#NAME?</v>
      </c>
      <c r="L49" s="100" t="e">
        <f t="shared" ca="1" si="7"/>
        <v>#NAME?</v>
      </c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</row>
    <row r="50" spans="1:27">
      <c r="A50" s="100" t="e">
        <f t="shared" ca="1" si="0"/>
        <v>#NAME?</v>
      </c>
      <c r="B50" s="100" t="e">
        <f ca="1">IFERROR(__xludf.DUMMYFUNCTION("""COMPUTED_VALUE"""),49)</f>
        <v>#NAME?</v>
      </c>
      <c r="C50" s="100" t="e">
        <f ca="1">IFERROR(__xludf.DUMMYFUNCTION("""COMPUTED_VALUE"""),"LDO-EUR")</f>
        <v>#NAME?</v>
      </c>
      <c r="D50" s="100" t="e">
        <f ca="1">IFERROR(__xludf.DUMMYFUNCTION("""COMPUTED_VALUE"""),"0.6346")</f>
        <v>#NAME?</v>
      </c>
      <c r="E50" s="100" t="e">
        <f t="shared" ca="1" si="9"/>
        <v>#NAME?</v>
      </c>
      <c r="F50" s="100" t="e">
        <f t="shared" ca="1" si="9"/>
        <v>#NAME?</v>
      </c>
      <c r="G50" s="100" t="e">
        <f t="shared" ca="1" si="2"/>
        <v>#NAME?</v>
      </c>
      <c r="H50" s="100" t="e">
        <f t="shared" ca="1" si="3"/>
        <v>#NAME?</v>
      </c>
      <c r="I50" s="100" t="e">
        <f t="shared" ca="1" si="4"/>
        <v>#NAME?</v>
      </c>
      <c r="J50" s="100" t="e">
        <f t="shared" ca="1" si="5"/>
        <v>#NAME?</v>
      </c>
      <c r="K50" s="100" t="e">
        <f t="shared" ca="1" si="6"/>
        <v>#NAME?</v>
      </c>
      <c r="L50" s="100" t="e">
        <f t="shared" ca="1" si="7"/>
        <v>#NAME?</v>
      </c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</row>
    <row r="51" spans="1:27">
      <c r="A51" s="100" t="e">
        <f t="shared" ca="1" si="0"/>
        <v>#NAME?</v>
      </c>
      <c r="B51" s="100" t="e">
        <f ca="1">IFERROR(__xludf.DUMMYFUNCTION("""COMPUTED_VALUE"""),50)</f>
        <v>#NAME?</v>
      </c>
      <c r="C51" s="100" t="e">
        <f ca="1">IFERROR(__xludf.DUMMYFUNCTION("""COMPUTED_VALUE"""),"APT-USDC")</f>
        <v>#NAME?</v>
      </c>
      <c r="D51" s="100" t="e">
        <f ca="1">IFERROR(__xludf.DUMMYFUNCTION("""COMPUTED_VALUE"""),"4.865")</f>
        <v>#NAME?</v>
      </c>
      <c r="E51" s="100" t="e">
        <f t="shared" ca="1" si="9"/>
        <v>#NAME?</v>
      </c>
      <c r="F51" s="100" t="e">
        <f t="shared" ca="1" si="9"/>
        <v>#NAME?</v>
      </c>
      <c r="G51" s="100" t="e">
        <f t="shared" ca="1" si="2"/>
        <v>#NAME?</v>
      </c>
      <c r="H51" s="100" t="e">
        <f t="shared" ca="1" si="3"/>
        <v>#NAME?</v>
      </c>
      <c r="I51" s="100" t="e">
        <f t="shared" ca="1" si="4"/>
        <v>#NAME?</v>
      </c>
      <c r="J51" s="100" t="e">
        <f t="shared" ca="1" si="5"/>
        <v>#NAME?</v>
      </c>
      <c r="K51" s="100" t="e">
        <f t="shared" ca="1" si="6"/>
        <v>#NAME?</v>
      </c>
      <c r="L51" s="100" t="e">
        <f t="shared" ca="1" si="7"/>
        <v>#NAME?</v>
      </c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</row>
    <row r="52" spans="1:27">
      <c r="A52" s="100" t="e">
        <f t="shared" ca="1" si="0"/>
        <v>#NAME?</v>
      </c>
      <c r="B52" s="100" t="e">
        <f ca="1">IFERROR(__xludf.DUMMYFUNCTION("""COMPUTED_VALUE"""),51)</f>
        <v>#NAME?</v>
      </c>
      <c r="C52" s="100" t="e">
        <f ca="1">IFERROR(__xludf.DUMMYFUNCTION("""COMPUTED_VALUE"""),"T-USDT")</f>
        <v>#NAME?</v>
      </c>
      <c r="D52" s="100" t="e">
        <f ca="1">IFERROR(__xludf.DUMMYFUNCTION("""COMPUTED_VALUE"""),"0.01692")</f>
        <v>#NAME?</v>
      </c>
      <c r="E52" s="100" t="e">
        <f t="shared" ca="1" si="9"/>
        <v>#NAME?</v>
      </c>
      <c r="F52" s="100" t="e">
        <f t="shared" ca="1" si="9"/>
        <v>#NAME?</v>
      </c>
      <c r="G52" s="100" t="e">
        <f t="shared" ca="1" si="2"/>
        <v>#NAME?</v>
      </c>
      <c r="H52" s="100" t="e">
        <f t="shared" ca="1" si="3"/>
        <v>#NAME?</v>
      </c>
      <c r="I52" s="100" t="e">
        <f t="shared" ca="1" si="4"/>
        <v>#NAME?</v>
      </c>
      <c r="J52" s="100" t="e">
        <f t="shared" ca="1" si="5"/>
        <v>#NAME?</v>
      </c>
      <c r="K52" s="100" t="e">
        <f t="shared" ca="1" si="6"/>
        <v>#NAME?</v>
      </c>
      <c r="L52" s="100" t="e">
        <f t="shared" ca="1" si="7"/>
        <v>#NAME?</v>
      </c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</row>
    <row r="53" spans="1:27">
      <c r="A53" s="100" t="e">
        <f t="shared" ca="1" si="0"/>
        <v>#NAME?</v>
      </c>
      <c r="B53" s="100" t="e">
        <f ca="1">IFERROR(__xludf.DUMMYFUNCTION("""COMPUTED_VALUE"""),52)</f>
        <v>#NAME?</v>
      </c>
      <c r="C53" s="100" t="e">
        <f ca="1">IFERROR(__xludf.DUMMYFUNCTION("""COMPUTED_VALUE"""),"ERN-USD")</f>
        <v>#NAME?</v>
      </c>
      <c r="D53" s="100" t="e">
        <f ca="1">IFERROR(__xludf.DUMMYFUNCTION("""COMPUTED_VALUE"""),"1.378")</f>
        <v>#NAME?</v>
      </c>
      <c r="E53" s="100" t="e">
        <f t="shared" ca="1" si="9"/>
        <v>#NAME?</v>
      </c>
      <c r="F53" s="100" t="e">
        <f t="shared" ca="1" si="9"/>
        <v>#NAME?</v>
      </c>
      <c r="G53" s="100" t="e">
        <f t="shared" ca="1" si="2"/>
        <v>#NAME?</v>
      </c>
      <c r="H53" s="100" t="e">
        <f t="shared" ca="1" si="3"/>
        <v>#NAME?</v>
      </c>
      <c r="I53" s="100" t="e">
        <f t="shared" ca="1" si="4"/>
        <v>#NAME?</v>
      </c>
      <c r="J53" s="100" t="e">
        <f t="shared" ca="1" si="5"/>
        <v>#NAME?</v>
      </c>
      <c r="K53" s="100" t="e">
        <f t="shared" ca="1" si="6"/>
        <v>#NAME?</v>
      </c>
      <c r="L53" s="100" t="e">
        <f t="shared" ca="1" si="7"/>
        <v>#NAME?</v>
      </c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</row>
    <row r="54" spans="1:27">
      <c r="A54" s="100" t="e">
        <f t="shared" ca="1" si="0"/>
        <v>#NAME?</v>
      </c>
      <c r="B54" s="100" t="e">
        <f ca="1">IFERROR(__xludf.DUMMYFUNCTION("""COMPUTED_VALUE"""),53)</f>
        <v>#NAME?</v>
      </c>
      <c r="C54" s="100" t="e">
        <f ca="1">IFERROR(__xludf.DUMMYFUNCTION("""COMPUTED_VALUE"""),"RAY-USD")</f>
        <v>#NAME?</v>
      </c>
      <c r="D54" s="100" t="e">
        <f ca="1">IFERROR(__xludf.DUMMYFUNCTION("""COMPUTED_VALUE"""),"2.3346")</f>
        <v>#NAME?</v>
      </c>
      <c r="E54" s="100" t="e">
        <f t="shared" ca="1" si="9"/>
        <v>#NAME?</v>
      </c>
      <c r="F54" s="100" t="e">
        <f t="shared" ca="1" si="9"/>
        <v>#NAME?</v>
      </c>
      <c r="G54" s="100" t="e">
        <f t="shared" ca="1" si="2"/>
        <v>#NAME?</v>
      </c>
      <c r="H54" s="100" t="e">
        <f t="shared" ca="1" si="3"/>
        <v>#NAME?</v>
      </c>
      <c r="I54" s="100" t="e">
        <f t="shared" ca="1" si="4"/>
        <v>#NAME?</v>
      </c>
      <c r="J54" s="100" t="e">
        <f t="shared" ca="1" si="5"/>
        <v>#NAME?</v>
      </c>
      <c r="K54" s="100" t="e">
        <f t="shared" ca="1" si="6"/>
        <v>#NAME?</v>
      </c>
      <c r="L54" s="100" t="e">
        <f t="shared" ca="1" si="7"/>
        <v>#NAME?</v>
      </c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</row>
    <row r="55" spans="1:27">
      <c r="A55" s="100" t="e">
        <f t="shared" ca="1" si="0"/>
        <v>#NAME?</v>
      </c>
      <c r="B55" s="100" t="e">
        <f ca="1">IFERROR(__xludf.DUMMYFUNCTION("""COMPUTED_VALUE"""),54)</f>
        <v>#NAME?</v>
      </c>
      <c r="C55" s="100" t="e">
        <f ca="1">IFERROR(__xludf.DUMMYFUNCTION("""COMPUTED_VALUE"""),"RAY-USDT")</f>
        <v>#NAME?</v>
      </c>
      <c r="D55" s="100" t="e">
        <f ca="1">IFERROR(__xludf.DUMMYFUNCTION("""COMPUTED_VALUE"""),"2.3375")</f>
        <v>#NAME?</v>
      </c>
      <c r="E55" s="100" t="e">
        <f t="shared" ca="1" si="9"/>
        <v>#NAME?</v>
      </c>
      <c r="F55" s="100" t="e">
        <f t="shared" ca="1" si="9"/>
        <v>#NAME?</v>
      </c>
      <c r="G55" s="100" t="e">
        <f t="shared" ca="1" si="2"/>
        <v>#NAME?</v>
      </c>
      <c r="H55" s="100" t="e">
        <f t="shared" ca="1" si="3"/>
        <v>#NAME?</v>
      </c>
      <c r="I55" s="100" t="e">
        <f t="shared" ca="1" si="4"/>
        <v>#NAME?</v>
      </c>
      <c r="J55" s="100" t="e">
        <f t="shared" ca="1" si="5"/>
        <v>#NAME?</v>
      </c>
      <c r="K55" s="100" t="e">
        <f t="shared" ca="1" si="6"/>
        <v>#NAME?</v>
      </c>
      <c r="L55" s="100" t="e">
        <f t="shared" ca="1" si="7"/>
        <v>#NAME?</v>
      </c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</row>
    <row r="56" spans="1:27">
      <c r="A56" s="100" t="e">
        <f t="shared" ca="1" si="0"/>
        <v>#NAME?</v>
      </c>
      <c r="B56" s="100" t="e">
        <f ca="1">IFERROR(__xludf.DUMMYFUNCTION("""COMPUTED_VALUE"""),55)</f>
        <v>#NAME?</v>
      </c>
      <c r="C56" s="100" t="e">
        <f ca="1">IFERROR(__xludf.DUMMYFUNCTION("""COMPUTED_VALUE"""),"FLM-USDT")</f>
        <v>#NAME?</v>
      </c>
      <c r="D56" s="100" t="e">
        <f ca="1">IFERROR(__xludf.DUMMYFUNCTION("""COMPUTED_VALUE"""),"0.01816")</f>
        <v>#NAME?</v>
      </c>
      <c r="E56" s="100" t="e">
        <f t="shared" ca="1" si="9"/>
        <v>#NAME?</v>
      </c>
      <c r="F56" s="100" t="e">
        <f t="shared" ca="1" si="9"/>
        <v>#NAME?</v>
      </c>
      <c r="G56" s="100" t="e">
        <f t="shared" ca="1" si="2"/>
        <v>#NAME?</v>
      </c>
      <c r="H56" s="100" t="e">
        <f t="shared" ca="1" si="3"/>
        <v>#NAME?</v>
      </c>
      <c r="I56" s="100" t="e">
        <f t="shared" ca="1" si="4"/>
        <v>#NAME?</v>
      </c>
      <c r="J56" s="100" t="e">
        <f t="shared" ca="1" si="5"/>
        <v>#NAME?</v>
      </c>
      <c r="K56" s="100" t="e">
        <f t="shared" ca="1" si="6"/>
        <v>#NAME?</v>
      </c>
      <c r="L56" s="100" t="e">
        <f t="shared" ca="1" si="7"/>
        <v>#NAME?</v>
      </c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</row>
    <row r="57" spans="1:27">
      <c r="A57" s="100" t="e">
        <f t="shared" ca="1" si="0"/>
        <v>#NAME?</v>
      </c>
      <c r="B57" s="100" t="e">
        <f ca="1">IFERROR(__xludf.DUMMYFUNCTION("""COMPUTED_VALUE"""),56)</f>
        <v>#NAME?</v>
      </c>
      <c r="C57" s="100" t="e">
        <f ca="1">IFERROR(__xludf.DUMMYFUNCTION("""COMPUTED_VALUE"""),"JOE-USD")</f>
        <v>#NAME?</v>
      </c>
      <c r="D57" s="100" t="e">
        <f ca="1">IFERROR(__xludf.DUMMYFUNCTION("""COMPUTED_VALUE"""),"0.1816")</f>
        <v>#NAME?</v>
      </c>
      <c r="E57" s="100" t="e">
        <f t="shared" ca="1" si="9"/>
        <v>#NAME?</v>
      </c>
      <c r="F57" s="100" t="e">
        <f t="shared" ca="1" si="9"/>
        <v>#NAME?</v>
      </c>
      <c r="G57" s="100" t="e">
        <f t="shared" ca="1" si="2"/>
        <v>#NAME?</v>
      </c>
      <c r="H57" s="100" t="e">
        <f t="shared" ca="1" si="3"/>
        <v>#NAME?</v>
      </c>
      <c r="I57" s="100" t="e">
        <f t="shared" ca="1" si="4"/>
        <v>#NAME?</v>
      </c>
      <c r="J57" s="100" t="e">
        <f t="shared" ca="1" si="5"/>
        <v>#NAME?</v>
      </c>
      <c r="K57" s="100" t="e">
        <f t="shared" ca="1" si="6"/>
        <v>#NAME?</v>
      </c>
      <c r="L57" s="100" t="e">
        <f t="shared" ca="1" si="7"/>
        <v>#NAME?</v>
      </c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</row>
    <row r="58" spans="1:27">
      <c r="A58" s="100" t="e">
        <f t="shared" ca="1" si="0"/>
        <v>#NAME?</v>
      </c>
      <c r="B58" s="100" t="e">
        <f ca="1">IFERROR(__xludf.DUMMYFUNCTION("""COMPUTED_VALUE"""),57)</f>
        <v>#NAME?</v>
      </c>
      <c r="C58" s="100" t="e">
        <f ca="1">IFERROR(__xludf.DUMMYFUNCTION("""COMPUTED_VALUE"""),"PEPE-BRL")</f>
        <v>#NAME?</v>
      </c>
      <c r="D58" s="100" t="e">
        <f ca="1">IFERROR(__xludf.DUMMYFUNCTION("""COMPUTED_VALUE"""),"0.00004747")</f>
        <v>#NAME?</v>
      </c>
      <c r="E58" s="100" t="e">
        <f t="shared" ca="1" si="9"/>
        <v>#NAME?</v>
      </c>
      <c r="F58" s="100" t="e">
        <f t="shared" ca="1" si="9"/>
        <v>#NAME?</v>
      </c>
      <c r="G58" s="100" t="e">
        <f t="shared" ca="1" si="2"/>
        <v>#NAME?</v>
      </c>
      <c r="H58" s="100" t="e">
        <f t="shared" ca="1" si="3"/>
        <v>#NAME?</v>
      </c>
      <c r="I58" s="100" t="e">
        <f t="shared" ca="1" si="4"/>
        <v>#NAME?</v>
      </c>
      <c r="J58" s="100" t="e">
        <f t="shared" ca="1" si="5"/>
        <v>#NAME?</v>
      </c>
      <c r="K58" s="100" t="e">
        <f t="shared" ca="1" si="6"/>
        <v>#NAME?</v>
      </c>
      <c r="L58" s="100" t="e">
        <f t="shared" ca="1" si="7"/>
        <v>#NAME?</v>
      </c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</row>
    <row r="59" spans="1:27">
      <c r="A59" s="100" t="e">
        <f t="shared" ca="1" si="0"/>
        <v>#NAME?</v>
      </c>
      <c r="B59" s="100" t="e">
        <f ca="1">IFERROR(__xludf.DUMMYFUNCTION("""COMPUTED_VALUE"""),58)</f>
        <v>#NAME?</v>
      </c>
      <c r="C59" s="100" t="e">
        <f ca="1">IFERROR(__xludf.DUMMYFUNCTION("""COMPUTED_VALUE"""),"SCR-USD")</f>
        <v>#NAME?</v>
      </c>
      <c r="D59" s="100" t="e">
        <f ca="1">IFERROR(__xludf.DUMMYFUNCTION("""COMPUTED_VALUE"""),"0.2519")</f>
        <v>#NAME?</v>
      </c>
      <c r="E59" s="100" t="e">
        <f t="shared" ca="1" si="9"/>
        <v>#NAME?</v>
      </c>
      <c r="F59" s="100" t="e">
        <f t="shared" ca="1" si="9"/>
        <v>#NAME?</v>
      </c>
      <c r="G59" s="100" t="e">
        <f t="shared" ca="1" si="2"/>
        <v>#NAME?</v>
      </c>
      <c r="H59" s="100" t="e">
        <f t="shared" ca="1" si="3"/>
        <v>#NAME?</v>
      </c>
      <c r="I59" s="100" t="e">
        <f t="shared" ca="1" si="4"/>
        <v>#NAME?</v>
      </c>
      <c r="J59" s="100" t="e">
        <f t="shared" ca="1" si="5"/>
        <v>#NAME?</v>
      </c>
      <c r="K59" s="100" t="e">
        <f t="shared" ca="1" si="6"/>
        <v>#NAME?</v>
      </c>
      <c r="L59" s="100" t="e">
        <f t="shared" ca="1" si="7"/>
        <v>#NAME?</v>
      </c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</row>
    <row r="60" spans="1:27">
      <c r="A60" s="100" t="e">
        <f t="shared" ca="1" si="0"/>
        <v>#NAME?</v>
      </c>
      <c r="B60" s="100" t="e">
        <f ca="1">IFERROR(__xludf.DUMMYFUNCTION("""COMPUTED_VALUE"""),59)</f>
        <v>#NAME?</v>
      </c>
      <c r="C60" s="100" t="e">
        <f ca="1">IFERROR(__xludf.DUMMYFUNCTION("""COMPUTED_VALUE"""),"CRO-EUR")</f>
        <v>#NAME?</v>
      </c>
      <c r="D60" s="100" t="e">
        <f ca="1">IFERROR(__xludf.DUMMYFUNCTION("""COMPUTED_VALUE"""),"0.07171")</f>
        <v>#NAME?</v>
      </c>
      <c r="E60" s="100" t="e">
        <f t="shared" ca="1" si="9"/>
        <v>#NAME?</v>
      </c>
      <c r="F60" s="100" t="e">
        <f t="shared" ca="1" si="9"/>
        <v>#NAME?</v>
      </c>
      <c r="G60" s="100" t="e">
        <f t="shared" ca="1" si="2"/>
        <v>#NAME?</v>
      </c>
      <c r="H60" s="100" t="e">
        <f t="shared" ca="1" si="3"/>
        <v>#NAME?</v>
      </c>
      <c r="I60" s="100" t="e">
        <f t="shared" ca="1" si="4"/>
        <v>#NAME?</v>
      </c>
      <c r="J60" s="100" t="e">
        <f t="shared" ca="1" si="5"/>
        <v>#NAME?</v>
      </c>
      <c r="K60" s="100" t="e">
        <f t="shared" ca="1" si="6"/>
        <v>#NAME?</v>
      </c>
      <c r="L60" s="100" t="e">
        <f t="shared" ca="1" si="7"/>
        <v>#NAME?</v>
      </c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</row>
    <row r="61" spans="1:27">
      <c r="A61" s="100" t="e">
        <f t="shared" ca="1" si="0"/>
        <v>#NAME?</v>
      </c>
      <c r="B61" s="100" t="e">
        <f ca="1">IFERROR(__xludf.DUMMYFUNCTION("""COMPUTED_VALUE"""),60)</f>
        <v>#NAME?</v>
      </c>
      <c r="C61" s="100" t="e">
        <f ca="1">IFERROR(__xludf.DUMMYFUNCTION("""COMPUTED_VALUE"""),"PIXEL-USDT")</f>
        <v>#NAME?</v>
      </c>
      <c r="D61" s="100" t="e">
        <f ca="1">IFERROR(__xludf.DUMMYFUNCTION("""COMPUTED_VALUE"""),"0.0436")</f>
        <v>#NAME?</v>
      </c>
      <c r="E61" s="100" t="e">
        <f t="shared" ca="1" si="9"/>
        <v>#NAME?</v>
      </c>
      <c r="F61" s="100" t="e">
        <f t="shared" ca="1" si="9"/>
        <v>#NAME?</v>
      </c>
      <c r="G61" s="100" t="e">
        <f t="shared" ca="1" si="2"/>
        <v>#NAME?</v>
      </c>
      <c r="H61" s="100" t="e">
        <f t="shared" ca="1" si="3"/>
        <v>#NAME?</v>
      </c>
      <c r="I61" s="100" t="e">
        <f t="shared" ca="1" si="4"/>
        <v>#NAME?</v>
      </c>
      <c r="J61" s="100" t="e">
        <f t="shared" ca="1" si="5"/>
        <v>#NAME?</v>
      </c>
      <c r="K61" s="100" t="e">
        <f t="shared" ca="1" si="6"/>
        <v>#NAME?</v>
      </c>
      <c r="L61" s="100" t="e">
        <f t="shared" ca="1" si="7"/>
        <v>#NAME?</v>
      </c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</row>
    <row r="62" spans="1:27">
      <c r="A62" s="100" t="e">
        <f t="shared" ca="1" si="0"/>
        <v>#NAME?</v>
      </c>
      <c r="B62" s="100" t="e">
        <f ca="1">IFERROR(__xludf.DUMMYFUNCTION("""COMPUTED_VALUE"""),61)</f>
        <v>#NAME?</v>
      </c>
      <c r="C62" s="100" t="e">
        <f ca="1">IFERROR(__xludf.DUMMYFUNCTION("""COMPUTED_VALUE"""),"SATS-USD")</f>
        <v>#NAME?</v>
      </c>
      <c r="D62" s="100" t="e">
        <f ca="1">IFERROR(__xludf.DUMMYFUNCTION("""COMPUTED_VALUE"""),"0.0000000392")</f>
        <v>#NAME?</v>
      </c>
      <c r="E62" s="100" t="e">
        <f t="shared" ref="E62:F81" ca="1" si="10">IFERROR(__xludf.DUMMYFUNCTION("""COMPUTED_VALUE"""),"-")</f>
        <v>#NAME?</v>
      </c>
      <c r="F62" s="100" t="e">
        <f t="shared" ca="1" si="10"/>
        <v>#NAME?</v>
      </c>
      <c r="G62" s="100" t="e">
        <f t="shared" ca="1" si="2"/>
        <v>#NAME?</v>
      </c>
      <c r="H62" s="100" t="e">
        <f t="shared" ca="1" si="3"/>
        <v>#NAME?</v>
      </c>
      <c r="I62" s="100" t="e">
        <f t="shared" ca="1" si="4"/>
        <v>#NAME?</v>
      </c>
      <c r="J62" s="100" t="e">
        <f t="shared" ca="1" si="5"/>
        <v>#NAME?</v>
      </c>
      <c r="K62" s="100" t="e">
        <f t="shared" ca="1" si="6"/>
        <v>#NAME?</v>
      </c>
      <c r="L62" s="100" t="e">
        <f t="shared" ca="1" si="7"/>
        <v>#NAME?</v>
      </c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</row>
    <row r="63" spans="1:27">
      <c r="A63" s="100" t="e">
        <f t="shared" ca="1" si="0"/>
        <v>#NAME?</v>
      </c>
      <c r="B63" s="100" t="e">
        <f ca="1">IFERROR(__xludf.DUMMYFUNCTION("""COMPUTED_VALUE"""),62)</f>
        <v>#NAME?</v>
      </c>
      <c r="C63" s="100" t="e">
        <f ca="1">IFERROR(__xludf.DUMMYFUNCTION("""COMPUTED_VALUE"""),"ARB-USDC")</f>
        <v>#NAME?</v>
      </c>
      <c r="D63" s="100" t="e">
        <f ca="1">IFERROR(__xludf.DUMMYFUNCTION("""COMPUTED_VALUE"""),"0.2999")</f>
        <v>#NAME?</v>
      </c>
      <c r="E63" s="100" t="e">
        <f t="shared" ca="1" si="10"/>
        <v>#NAME?</v>
      </c>
      <c r="F63" s="100" t="e">
        <f t="shared" ca="1" si="10"/>
        <v>#NAME?</v>
      </c>
      <c r="G63" s="100" t="e">
        <f t="shared" ca="1" si="2"/>
        <v>#NAME?</v>
      </c>
      <c r="H63" s="100" t="e">
        <f t="shared" ca="1" si="3"/>
        <v>#NAME?</v>
      </c>
      <c r="I63" s="100" t="e">
        <f t="shared" ca="1" si="4"/>
        <v>#NAME?</v>
      </c>
      <c r="J63" s="100" t="e">
        <f t="shared" ca="1" si="5"/>
        <v>#NAME?</v>
      </c>
      <c r="K63" s="100" t="e">
        <f t="shared" ca="1" si="6"/>
        <v>#NAME?</v>
      </c>
      <c r="L63" s="100" t="e">
        <f t="shared" ca="1" si="7"/>
        <v>#NAME?</v>
      </c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</row>
    <row r="64" spans="1:27">
      <c r="A64" s="100" t="e">
        <f t="shared" ca="1" si="0"/>
        <v>#NAME?</v>
      </c>
      <c r="B64" s="100" t="e">
        <f ca="1">IFERROR(__xludf.DUMMYFUNCTION("""COMPUTED_VALUE"""),63)</f>
        <v>#NAME?</v>
      </c>
      <c r="C64" s="100" t="e">
        <f ca="1">IFERROR(__xludf.DUMMYFUNCTION("""COMPUTED_VALUE"""),"LDO-USDT")</f>
        <v>#NAME?</v>
      </c>
      <c r="D64" s="100" t="e">
        <f ca="1">IFERROR(__xludf.DUMMYFUNCTION("""COMPUTED_VALUE"""),"0.73")</f>
        <v>#NAME?</v>
      </c>
      <c r="E64" s="100" t="e">
        <f t="shared" ca="1" si="10"/>
        <v>#NAME?</v>
      </c>
      <c r="F64" s="100" t="e">
        <f t="shared" ca="1" si="10"/>
        <v>#NAME?</v>
      </c>
      <c r="G64" s="100" t="e">
        <f t="shared" ca="1" si="2"/>
        <v>#NAME?</v>
      </c>
      <c r="H64" s="100" t="e">
        <f t="shared" ca="1" si="3"/>
        <v>#NAME?</v>
      </c>
      <c r="I64" s="100" t="e">
        <f t="shared" ca="1" si="4"/>
        <v>#NAME?</v>
      </c>
      <c r="J64" s="100" t="e">
        <f t="shared" ca="1" si="5"/>
        <v>#NAME?</v>
      </c>
      <c r="K64" s="100" t="e">
        <f t="shared" ca="1" si="6"/>
        <v>#NAME?</v>
      </c>
      <c r="L64" s="100" t="e">
        <f t="shared" ca="1" si="7"/>
        <v>#NAME?</v>
      </c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</row>
    <row r="65" spans="1:27">
      <c r="A65" s="100" t="e">
        <f t="shared" ca="1" si="0"/>
        <v>#NAME?</v>
      </c>
      <c r="B65" s="100" t="e">
        <f ca="1">IFERROR(__xludf.DUMMYFUNCTION("""COMPUTED_VALUE"""),64)</f>
        <v>#NAME?</v>
      </c>
      <c r="C65" s="100" t="e">
        <f ca="1">IFERROR(__xludf.DUMMYFUNCTION("""COMPUTED_VALUE"""),"RSS3-USD")</f>
        <v>#NAME?</v>
      </c>
      <c r="D65" s="100" t="e">
        <f ca="1">IFERROR(__xludf.DUMMYFUNCTION("""COMPUTED_VALUE"""),"0.05882")</f>
        <v>#NAME?</v>
      </c>
      <c r="E65" s="100" t="e">
        <f t="shared" ca="1" si="10"/>
        <v>#NAME?</v>
      </c>
      <c r="F65" s="100" t="e">
        <f t="shared" ca="1" si="10"/>
        <v>#NAME?</v>
      </c>
      <c r="G65" s="100" t="e">
        <f t="shared" ca="1" si="2"/>
        <v>#NAME?</v>
      </c>
      <c r="H65" s="100" t="e">
        <f t="shared" ca="1" si="3"/>
        <v>#NAME?</v>
      </c>
      <c r="I65" s="100" t="e">
        <f t="shared" ca="1" si="4"/>
        <v>#NAME?</v>
      </c>
      <c r="J65" s="100" t="e">
        <f t="shared" ca="1" si="5"/>
        <v>#NAME?</v>
      </c>
      <c r="K65" s="100" t="e">
        <f t="shared" ca="1" si="6"/>
        <v>#NAME?</v>
      </c>
      <c r="L65" s="100" t="e">
        <f t="shared" ca="1" si="7"/>
        <v>#NAME?</v>
      </c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</row>
    <row r="66" spans="1:27">
      <c r="A66" s="100" t="e">
        <f t="shared" ref="A66:A129" ca="1" si="11">SUBSTITUTE(C66,"-","",)</f>
        <v>#NAME?</v>
      </c>
      <c r="B66" s="100" t="e">
        <f ca="1">IFERROR(__xludf.DUMMYFUNCTION("""COMPUTED_VALUE"""),65)</f>
        <v>#NAME?</v>
      </c>
      <c r="C66" s="100" t="e">
        <f ca="1">IFERROR(__xludf.DUMMYFUNCTION("""COMPUTED_VALUE"""),"TRA-USDT")</f>
        <v>#NAME?</v>
      </c>
      <c r="D66" s="100" t="e">
        <f ca="1">IFERROR(__xludf.DUMMYFUNCTION("""COMPUTED_VALUE"""),"0.4719")</f>
        <v>#NAME?</v>
      </c>
      <c r="E66" s="100" t="e">
        <f t="shared" ca="1" si="10"/>
        <v>#NAME?</v>
      </c>
      <c r="F66" s="100" t="e">
        <f t="shared" ca="1" si="10"/>
        <v>#NAME?</v>
      </c>
      <c r="G66" s="100" t="e">
        <f t="shared" ref="G66:G129" ca="1" si="12">IFERROR(__xludf.DUMMYFUNCTION("""COMPUTED_VALUE"""),20200)</f>
        <v>#NAME?</v>
      </c>
      <c r="H66" s="100" t="e">
        <f t="shared" ref="H66:H129" ca="1" si="13">IFERROR(__xludf.DUMMYFUNCTION("""COMPUTED_VALUE"""),2885)</f>
        <v>#NAME?</v>
      </c>
      <c r="I66" s="100" t="e">
        <f t="shared" ref="I66:I129" ca="1" si="14">IFERROR(__xludf.DUMMYFUNCTION("""COMPUTED_VALUE"""),663)</f>
        <v>#NAME?</v>
      </c>
      <c r="J66" s="100" t="e">
        <f t="shared" ref="J66:J129" ca="1" si="15">IFERROR(__xludf.DUMMYFUNCTION("""COMPUTED_VALUE"""),5817714)</f>
        <v>#NAME?</v>
      </c>
      <c r="K66" s="100" t="e">
        <f t="shared" ref="K66:K129" ca="1" si="16">IFERROR(__xludf.DUMMYFUNCTION("""COMPUTED_VALUE"""),"-")</f>
        <v>#NAME?</v>
      </c>
      <c r="L66" s="100" t="e">
        <f t="shared" ref="L66:L129" ca="1" si="17">IFERROR(__xludf.DUMMYFUNCTION("""COMPUTED_VALUE"""),"22.04.2025 12:32:49")</f>
        <v>#NAME?</v>
      </c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</row>
    <row r="67" spans="1:27">
      <c r="A67" s="100" t="e">
        <f t="shared" ca="1" si="11"/>
        <v>#NAME?</v>
      </c>
      <c r="B67" s="100" t="e">
        <f ca="1">IFERROR(__xludf.DUMMYFUNCTION("""COMPUTED_VALUE"""),66)</f>
        <v>#NAME?</v>
      </c>
      <c r="C67" s="100" t="e">
        <f ca="1">IFERROR(__xludf.DUMMYFUNCTION("""COMPUTED_VALUE"""),"PHA-USD")</f>
        <v>#NAME?</v>
      </c>
      <c r="D67" s="100" t="e">
        <f ca="1">IFERROR(__xludf.DUMMYFUNCTION("""COMPUTED_VALUE"""),"0.102")</f>
        <v>#NAME?</v>
      </c>
      <c r="E67" s="100" t="e">
        <f t="shared" ca="1" si="10"/>
        <v>#NAME?</v>
      </c>
      <c r="F67" s="100" t="e">
        <f t="shared" ca="1" si="10"/>
        <v>#NAME?</v>
      </c>
      <c r="G67" s="100" t="e">
        <f t="shared" ca="1" si="12"/>
        <v>#NAME?</v>
      </c>
      <c r="H67" s="100" t="e">
        <f t="shared" ca="1" si="13"/>
        <v>#NAME?</v>
      </c>
      <c r="I67" s="100" t="e">
        <f t="shared" ca="1" si="14"/>
        <v>#NAME?</v>
      </c>
      <c r="J67" s="100" t="e">
        <f t="shared" ca="1" si="15"/>
        <v>#NAME?</v>
      </c>
      <c r="K67" s="100" t="e">
        <f t="shared" ca="1" si="16"/>
        <v>#NAME?</v>
      </c>
      <c r="L67" s="100" t="e">
        <f t="shared" ca="1" si="17"/>
        <v>#NAME?</v>
      </c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</row>
    <row r="68" spans="1:27">
      <c r="A68" s="100" t="e">
        <f t="shared" ca="1" si="11"/>
        <v>#NAME?</v>
      </c>
      <c r="B68" s="100" t="e">
        <f ca="1">IFERROR(__xludf.DUMMYFUNCTION("""COMPUTED_VALUE"""),67)</f>
        <v>#NAME?</v>
      </c>
      <c r="C68" s="100" t="e">
        <f ca="1">IFERROR(__xludf.DUMMYFUNCTION("""COMPUTED_VALUE"""),"AAVE-USDC")</f>
        <v>#NAME?</v>
      </c>
      <c r="D68" s="100" t="e">
        <f ca="1">IFERROR(__xludf.DUMMYFUNCTION("""COMPUTED_VALUE"""),"147.02")</f>
        <v>#NAME?</v>
      </c>
      <c r="E68" s="100" t="e">
        <f t="shared" ca="1" si="10"/>
        <v>#NAME?</v>
      </c>
      <c r="F68" s="100" t="e">
        <f t="shared" ca="1" si="10"/>
        <v>#NAME?</v>
      </c>
      <c r="G68" s="100" t="e">
        <f t="shared" ca="1" si="12"/>
        <v>#NAME?</v>
      </c>
      <c r="H68" s="100" t="e">
        <f t="shared" ca="1" si="13"/>
        <v>#NAME?</v>
      </c>
      <c r="I68" s="100" t="e">
        <f t="shared" ca="1" si="14"/>
        <v>#NAME?</v>
      </c>
      <c r="J68" s="100" t="e">
        <f t="shared" ca="1" si="15"/>
        <v>#NAME?</v>
      </c>
      <c r="K68" s="100" t="e">
        <f t="shared" ca="1" si="16"/>
        <v>#NAME?</v>
      </c>
      <c r="L68" s="100" t="e">
        <f t="shared" ca="1" si="17"/>
        <v>#NAME?</v>
      </c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</row>
    <row r="69" spans="1:27">
      <c r="A69" s="100" t="e">
        <f t="shared" ca="1" si="11"/>
        <v>#NAME?</v>
      </c>
      <c r="B69" s="100" t="e">
        <f ca="1">IFERROR(__xludf.DUMMYFUNCTION("""COMPUTED_VALUE"""),68)</f>
        <v>#NAME?</v>
      </c>
      <c r="C69" s="100" t="e">
        <f ca="1">IFERROR(__xludf.DUMMYFUNCTION("""COMPUTED_VALUE"""),"LINK-EUR")</f>
        <v>#NAME?</v>
      </c>
      <c r="D69" s="100" t="e">
        <f ca="1">IFERROR(__xludf.DUMMYFUNCTION("""COMPUTED_VALUE"""),"11.582")</f>
        <v>#NAME?</v>
      </c>
      <c r="E69" s="100" t="e">
        <f t="shared" ca="1" si="10"/>
        <v>#NAME?</v>
      </c>
      <c r="F69" s="100" t="e">
        <f t="shared" ca="1" si="10"/>
        <v>#NAME?</v>
      </c>
      <c r="G69" s="100" t="e">
        <f t="shared" ca="1" si="12"/>
        <v>#NAME?</v>
      </c>
      <c r="H69" s="100" t="e">
        <f t="shared" ca="1" si="13"/>
        <v>#NAME?</v>
      </c>
      <c r="I69" s="100" t="e">
        <f t="shared" ca="1" si="14"/>
        <v>#NAME?</v>
      </c>
      <c r="J69" s="100" t="e">
        <f t="shared" ca="1" si="15"/>
        <v>#NAME?</v>
      </c>
      <c r="K69" s="100" t="e">
        <f t="shared" ca="1" si="16"/>
        <v>#NAME?</v>
      </c>
      <c r="L69" s="100" t="e">
        <f t="shared" ca="1" si="17"/>
        <v>#NAME?</v>
      </c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</row>
    <row r="70" spans="1:27">
      <c r="A70" s="100" t="e">
        <f t="shared" ca="1" si="11"/>
        <v>#NAME?</v>
      </c>
      <c r="B70" s="100" t="e">
        <f ca="1">IFERROR(__xludf.DUMMYFUNCTION("""COMPUTED_VALUE"""),69)</f>
        <v>#NAME?</v>
      </c>
      <c r="C70" s="100" t="e">
        <f ca="1">IFERROR(__xludf.DUMMYFUNCTION("""COMPUTED_VALUE"""),"LDO-USDC")</f>
        <v>#NAME?</v>
      </c>
      <c r="D70" s="100" t="e">
        <f ca="1">IFERROR(__xludf.DUMMYFUNCTION("""COMPUTED_VALUE"""),"0.7298")</f>
        <v>#NAME?</v>
      </c>
      <c r="E70" s="100" t="e">
        <f t="shared" ca="1" si="10"/>
        <v>#NAME?</v>
      </c>
      <c r="F70" s="100" t="e">
        <f t="shared" ca="1" si="10"/>
        <v>#NAME?</v>
      </c>
      <c r="G70" s="100" t="e">
        <f t="shared" ca="1" si="12"/>
        <v>#NAME?</v>
      </c>
      <c r="H70" s="100" t="e">
        <f t="shared" ca="1" si="13"/>
        <v>#NAME?</v>
      </c>
      <c r="I70" s="100" t="e">
        <f t="shared" ca="1" si="14"/>
        <v>#NAME?</v>
      </c>
      <c r="J70" s="100" t="e">
        <f t="shared" ca="1" si="15"/>
        <v>#NAME?</v>
      </c>
      <c r="K70" s="100" t="e">
        <f t="shared" ca="1" si="16"/>
        <v>#NAME?</v>
      </c>
      <c r="L70" s="100" t="e">
        <f t="shared" ca="1" si="17"/>
        <v>#NAME?</v>
      </c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</row>
    <row r="71" spans="1:27">
      <c r="A71" s="100" t="e">
        <f t="shared" ca="1" si="11"/>
        <v>#NAME?</v>
      </c>
      <c r="B71" s="100" t="e">
        <f ca="1">IFERROR(__xludf.DUMMYFUNCTION("""COMPUTED_VALUE"""),70)</f>
        <v>#NAME?</v>
      </c>
      <c r="C71" s="100" t="e">
        <f ca="1">IFERROR(__xludf.DUMMYFUNCTION("""COMPUTED_VALUE"""),"NMR-USDT")</f>
        <v>#NAME?</v>
      </c>
      <c r="D71" s="100" t="e">
        <f ca="1">IFERROR(__xludf.DUMMYFUNCTION("""COMPUTED_VALUE"""),"7.605")</f>
        <v>#NAME?</v>
      </c>
      <c r="E71" s="100" t="e">
        <f t="shared" ca="1" si="10"/>
        <v>#NAME?</v>
      </c>
      <c r="F71" s="100" t="e">
        <f t="shared" ca="1" si="10"/>
        <v>#NAME?</v>
      </c>
      <c r="G71" s="100" t="e">
        <f t="shared" ca="1" si="12"/>
        <v>#NAME?</v>
      </c>
      <c r="H71" s="100" t="e">
        <f t="shared" ca="1" si="13"/>
        <v>#NAME?</v>
      </c>
      <c r="I71" s="100" t="e">
        <f t="shared" ca="1" si="14"/>
        <v>#NAME?</v>
      </c>
      <c r="J71" s="100" t="e">
        <f t="shared" ca="1" si="15"/>
        <v>#NAME?</v>
      </c>
      <c r="K71" s="100" t="e">
        <f t="shared" ca="1" si="16"/>
        <v>#NAME?</v>
      </c>
      <c r="L71" s="100" t="e">
        <f t="shared" ca="1" si="17"/>
        <v>#NAME?</v>
      </c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</row>
    <row r="72" spans="1:27">
      <c r="A72" s="100" t="e">
        <f t="shared" ca="1" si="11"/>
        <v>#NAME?</v>
      </c>
      <c r="B72" s="100" t="e">
        <f ca="1">IFERROR(__xludf.DUMMYFUNCTION("""COMPUTED_VALUE"""),71)</f>
        <v>#NAME?</v>
      </c>
      <c r="C72" s="100" t="e">
        <f ca="1">IFERROR(__xludf.DUMMYFUNCTION("""COMPUTED_VALUE"""),"BNB-USD")</f>
        <v>#NAME?</v>
      </c>
      <c r="D72" s="100" t="e">
        <f ca="1">IFERROR(__xludf.DUMMYFUNCTION("""COMPUTED_VALUE"""),"604.9")</f>
        <v>#NAME?</v>
      </c>
      <c r="E72" s="100" t="e">
        <f t="shared" ca="1" si="10"/>
        <v>#NAME?</v>
      </c>
      <c r="F72" s="100" t="e">
        <f t="shared" ca="1" si="10"/>
        <v>#NAME?</v>
      </c>
      <c r="G72" s="100" t="e">
        <f t="shared" ca="1" si="12"/>
        <v>#NAME?</v>
      </c>
      <c r="H72" s="100" t="e">
        <f t="shared" ca="1" si="13"/>
        <v>#NAME?</v>
      </c>
      <c r="I72" s="100" t="e">
        <f t="shared" ca="1" si="14"/>
        <v>#NAME?</v>
      </c>
      <c r="J72" s="100" t="e">
        <f t="shared" ca="1" si="15"/>
        <v>#NAME?</v>
      </c>
      <c r="K72" s="100" t="e">
        <f t="shared" ca="1" si="16"/>
        <v>#NAME?</v>
      </c>
      <c r="L72" s="100" t="e">
        <f t="shared" ca="1" si="17"/>
        <v>#NAME?</v>
      </c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</row>
    <row r="73" spans="1:27">
      <c r="A73" s="100" t="e">
        <f t="shared" ca="1" si="11"/>
        <v>#NAME?</v>
      </c>
      <c r="B73" s="100" t="e">
        <f ca="1">IFERROR(__xludf.DUMMYFUNCTION("""COMPUTED_VALUE"""),72)</f>
        <v>#NAME?</v>
      </c>
      <c r="C73" s="100" t="e">
        <f ca="1">IFERROR(__xludf.DUMMYFUNCTION("""COMPUTED_VALUE"""),"TON-USDT")</f>
        <v>#NAME?</v>
      </c>
      <c r="D73" s="100" t="e">
        <f ca="1">IFERROR(__xludf.DUMMYFUNCTION("""COMPUTED_VALUE"""),"2.916")</f>
        <v>#NAME?</v>
      </c>
      <c r="E73" s="100" t="e">
        <f t="shared" ca="1" si="10"/>
        <v>#NAME?</v>
      </c>
      <c r="F73" s="100" t="e">
        <f t="shared" ca="1" si="10"/>
        <v>#NAME?</v>
      </c>
      <c r="G73" s="100" t="e">
        <f t="shared" ca="1" si="12"/>
        <v>#NAME?</v>
      </c>
      <c r="H73" s="100" t="e">
        <f t="shared" ca="1" si="13"/>
        <v>#NAME?</v>
      </c>
      <c r="I73" s="100" t="e">
        <f t="shared" ca="1" si="14"/>
        <v>#NAME?</v>
      </c>
      <c r="J73" s="100" t="e">
        <f t="shared" ca="1" si="15"/>
        <v>#NAME?</v>
      </c>
      <c r="K73" s="100" t="e">
        <f t="shared" ca="1" si="16"/>
        <v>#NAME?</v>
      </c>
      <c r="L73" s="100" t="e">
        <f t="shared" ca="1" si="17"/>
        <v>#NAME?</v>
      </c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</row>
    <row r="74" spans="1:27">
      <c r="A74" s="100" t="e">
        <f t="shared" ca="1" si="11"/>
        <v>#NAME?</v>
      </c>
      <c r="B74" s="100" t="e">
        <f ca="1">IFERROR(__xludf.DUMMYFUNCTION("""COMPUTED_VALUE"""),73)</f>
        <v>#NAME?</v>
      </c>
      <c r="C74" s="100" t="e">
        <f ca="1">IFERROR(__xludf.DUMMYFUNCTION("""COMPUTED_VALUE"""),"FLUID-USD")</f>
        <v>#NAME?</v>
      </c>
      <c r="D74" s="100" t="e">
        <f ca="1">IFERROR(__xludf.DUMMYFUNCTION("""COMPUTED_VALUE"""),"3.91")</f>
        <v>#NAME?</v>
      </c>
      <c r="E74" s="100" t="e">
        <f t="shared" ca="1" si="10"/>
        <v>#NAME?</v>
      </c>
      <c r="F74" s="100" t="e">
        <f t="shared" ca="1" si="10"/>
        <v>#NAME?</v>
      </c>
      <c r="G74" s="100" t="e">
        <f t="shared" ca="1" si="12"/>
        <v>#NAME?</v>
      </c>
      <c r="H74" s="100" t="e">
        <f t="shared" ca="1" si="13"/>
        <v>#NAME?</v>
      </c>
      <c r="I74" s="100" t="e">
        <f t="shared" ca="1" si="14"/>
        <v>#NAME?</v>
      </c>
      <c r="J74" s="100" t="e">
        <f t="shared" ca="1" si="15"/>
        <v>#NAME?</v>
      </c>
      <c r="K74" s="100" t="e">
        <f t="shared" ca="1" si="16"/>
        <v>#NAME?</v>
      </c>
      <c r="L74" s="100" t="e">
        <f t="shared" ca="1" si="17"/>
        <v>#NAME?</v>
      </c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</row>
    <row r="75" spans="1:27">
      <c r="A75" s="100" t="e">
        <f t="shared" ca="1" si="11"/>
        <v>#NAME?</v>
      </c>
      <c r="B75" s="100" t="e">
        <f ca="1">IFERROR(__xludf.DUMMYFUNCTION("""COMPUTED_VALUE"""),74)</f>
        <v>#NAME?</v>
      </c>
      <c r="C75" s="100" t="e">
        <f ca="1">IFERROR(__xludf.DUMMYFUNCTION("""COMPUTED_VALUE"""),"DOGE-USDC")</f>
        <v>#NAME?</v>
      </c>
      <c r="D75" s="100" t="e">
        <f ca="1">IFERROR(__xludf.DUMMYFUNCTION("""COMPUTED_VALUE"""),"0.16399")</f>
        <v>#NAME?</v>
      </c>
      <c r="E75" s="100" t="e">
        <f t="shared" ca="1" si="10"/>
        <v>#NAME?</v>
      </c>
      <c r="F75" s="100" t="e">
        <f t="shared" ca="1" si="10"/>
        <v>#NAME?</v>
      </c>
      <c r="G75" s="100" t="e">
        <f t="shared" ca="1" si="12"/>
        <v>#NAME?</v>
      </c>
      <c r="H75" s="100" t="e">
        <f t="shared" ca="1" si="13"/>
        <v>#NAME?</v>
      </c>
      <c r="I75" s="100" t="e">
        <f t="shared" ca="1" si="14"/>
        <v>#NAME?</v>
      </c>
      <c r="J75" s="100" t="e">
        <f t="shared" ca="1" si="15"/>
        <v>#NAME?</v>
      </c>
      <c r="K75" s="100" t="e">
        <f t="shared" ca="1" si="16"/>
        <v>#NAME?</v>
      </c>
      <c r="L75" s="100" t="e">
        <f t="shared" ca="1" si="17"/>
        <v>#NAME?</v>
      </c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</row>
    <row r="76" spans="1:27">
      <c r="A76" s="100" t="e">
        <f t="shared" ca="1" si="11"/>
        <v>#NAME?</v>
      </c>
      <c r="B76" s="100" t="e">
        <f ca="1">IFERROR(__xludf.DUMMYFUNCTION("""COMPUTED_VALUE"""),75)</f>
        <v>#NAME?</v>
      </c>
      <c r="C76" s="100" t="e">
        <f ca="1">IFERROR(__xludf.DUMMYFUNCTION("""COMPUTED_VALUE"""),"AAVE-USDT")</f>
        <v>#NAME?</v>
      </c>
      <c r="D76" s="100" t="e">
        <f ca="1">IFERROR(__xludf.DUMMYFUNCTION("""COMPUTED_VALUE"""),"146.81")</f>
        <v>#NAME?</v>
      </c>
      <c r="E76" s="100" t="e">
        <f t="shared" ca="1" si="10"/>
        <v>#NAME?</v>
      </c>
      <c r="F76" s="100" t="e">
        <f t="shared" ca="1" si="10"/>
        <v>#NAME?</v>
      </c>
      <c r="G76" s="100" t="e">
        <f t="shared" ca="1" si="12"/>
        <v>#NAME?</v>
      </c>
      <c r="H76" s="100" t="e">
        <f t="shared" ca="1" si="13"/>
        <v>#NAME?</v>
      </c>
      <c r="I76" s="100" t="e">
        <f t="shared" ca="1" si="14"/>
        <v>#NAME?</v>
      </c>
      <c r="J76" s="100" t="e">
        <f t="shared" ca="1" si="15"/>
        <v>#NAME?</v>
      </c>
      <c r="K76" s="100" t="e">
        <f t="shared" ca="1" si="16"/>
        <v>#NAME?</v>
      </c>
      <c r="L76" s="100" t="e">
        <f t="shared" ca="1" si="17"/>
        <v>#NAME?</v>
      </c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</row>
    <row r="77" spans="1:27">
      <c r="A77" s="100" t="e">
        <f t="shared" ca="1" si="11"/>
        <v>#NAME?</v>
      </c>
      <c r="B77" s="100" t="e">
        <f ca="1">IFERROR(__xludf.DUMMYFUNCTION("""COMPUTED_VALUE"""),76)</f>
        <v>#NAME?</v>
      </c>
      <c r="C77" s="100" t="e">
        <f ca="1">IFERROR(__xludf.DUMMYFUNCTION("""COMPUTED_VALUE"""),"S-USDT")</f>
        <v>#NAME?</v>
      </c>
      <c r="D77" s="100" t="e">
        <f ca="1">IFERROR(__xludf.DUMMYFUNCTION("""COMPUTED_VALUE"""),"0.4818")</f>
        <v>#NAME?</v>
      </c>
      <c r="E77" s="100" t="e">
        <f t="shared" ca="1" si="10"/>
        <v>#NAME?</v>
      </c>
      <c r="F77" s="100" t="e">
        <f t="shared" ca="1" si="10"/>
        <v>#NAME?</v>
      </c>
      <c r="G77" s="100" t="e">
        <f t="shared" ca="1" si="12"/>
        <v>#NAME?</v>
      </c>
      <c r="H77" s="100" t="e">
        <f t="shared" ca="1" si="13"/>
        <v>#NAME?</v>
      </c>
      <c r="I77" s="100" t="e">
        <f t="shared" ca="1" si="14"/>
        <v>#NAME?</v>
      </c>
      <c r="J77" s="100" t="e">
        <f t="shared" ca="1" si="15"/>
        <v>#NAME?</v>
      </c>
      <c r="K77" s="100" t="e">
        <f t="shared" ca="1" si="16"/>
        <v>#NAME?</v>
      </c>
      <c r="L77" s="100" t="e">
        <f t="shared" ca="1" si="17"/>
        <v>#NAME?</v>
      </c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</row>
    <row r="78" spans="1:27">
      <c r="A78" s="100" t="e">
        <f t="shared" ca="1" si="11"/>
        <v>#NAME?</v>
      </c>
      <c r="B78" s="100" t="e">
        <f ca="1">IFERROR(__xludf.DUMMYFUNCTION("""COMPUTED_VALUE"""),77)</f>
        <v>#NAME?</v>
      </c>
      <c r="C78" s="100" t="e">
        <f ca="1">IFERROR(__xludf.DUMMYFUNCTION("""COMPUTED_VALUE"""),"MORPHO-USDC")</f>
        <v>#NAME?</v>
      </c>
      <c r="D78" s="100" t="e">
        <f ca="1">IFERROR(__xludf.DUMMYFUNCTION("""COMPUTED_VALUE"""),"0.9276")</f>
        <v>#NAME?</v>
      </c>
      <c r="E78" s="100" t="e">
        <f t="shared" ca="1" si="10"/>
        <v>#NAME?</v>
      </c>
      <c r="F78" s="100" t="e">
        <f t="shared" ca="1" si="10"/>
        <v>#NAME?</v>
      </c>
      <c r="G78" s="100" t="e">
        <f t="shared" ca="1" si="12"/>
        <v>#NAME?</v>
      </c>
      <c r="H78" s="100" t="e">
        <f t="shared" ca="1" si="13"/>
        <v>#NAME?</v>
      </c>
      <c r="I78" s="100" t="e">
        <f t="shared" ca="1" si="14"/>
        <v>#NAME?</v>
      </c>
      <c r="J78" s="100" t="e">
        <f t="shared" ca="1" si="15"/>
        <v>#NAME?</v>
      </c>
      <c r="K78" s="100" t="e">
        <f t="shared" ca="1" si="16"/>
        <v>#NAME?</v>
      </c>
      <c r="L78" s="100" t="e">
        <f t="shared" ca="1" si="17"/>
        <v>#NAME?</v>
      </c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</row>
    <row r="79" spans="1:27">
      <c r="A79" s="100" t="e">
        <f t="shared" ca="1" si="11"/>
        <v>#NAME?</v>
      </c>
      <c r="B79" s="100" t="e">
        <f ca="1">IFERROR(__xludf.DUMMYFUNCTION("""COMPUTED_VALUE"""),78)</f>
        <v>#NAME?</v>
      </c>
      <c r="C79" s="100" t="e">
        <f ca="1">IFERROR(__xludf.DUMMYFUNCTION("""COMPUTED_VALUE"""),"GMT-USD")</f>
        <v>#NAME?</v>
      </c>
      <c r="D79" s="100" t="e">
        <f ca="1">IFERROR(__xludf.DUMMYFUNCTION("""COMPUTED_VALUE"""),"0.05463")</f>
        <v>#NAME?</v>
      </c>
      <c r="E79" s="100" t="e">
        <f t="shared" ca="1" si="10"/>
        <v>#NAME?</v>
      </c>
      <c r="F79" s="100" t="e">
        <f t="shared" ca="1" si="10"/>
        <v>#NAME?</v>
      </c>
      <c r="G79" s="100" t="e">
        <f t="shared" ca="1" si="12"/>
        <v>#NAME?</v>
      </c>
      <c r="H79" s="100" t="e">
        <f t="shared" ca="1" si="13"/>
        <v>#NAME?</v>
      </c>
      <c r="I79" s="100" t="e">
        <f t="shared" ca="1" si="14"/>
        <v>#NAME?</v>
      </c>
      <c r="J79" s="100" t="e">
        <f t="shared" ca="1" si="15"/>
        <v>#NAME?</v>
      </c>
      <c r="K79" s="100" t="e">
        <f t="shared" ca="1" si="16"/>
        <v>#NAME?</v>
      </c>
      <c r="L79" s="100" t="e">
        <f t="shared" ca="1" si="17"/>
        <v>#NAME?</v>
      </c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</row>
    <row r="80" spans="1:27">
      <c r="A80" s="100" t="e">
        <f t="shared" ca="1" si="11"/>
        <v>#NAME?</v>
      </c>
      <c r="B80" s="100" t="e">
        <f ca="1">IFERROR(__xludf.DUMMYFUNCTION("""COMPUTED_VALUE"""),79)</f>
        <v>#NAME?</v>
      </c>
      <c r="C80" s="100" t="e">
        <f ca="1">IFERROR(__xludf.DUMMYFUNCTION("""COMPUTED_VALUE"""),"TON-EUR")</f>
        <v>#NAME?</v>
      </c>
      <c r="D80" s="100" t="e">
        <f ca="1">IFERROR(__xludf.DUMMYFUNCTION("""COMPUTED_VALUE"""),"2.542")</f>
        <v>#NAME?</v>
      </c>
      <c r="E80" s="100" t="e">
        <f t="shared" ca="1" si="10"/>
        <v>#NAME?</v>
      </c>
      <c r="F80" s="100" t="e">
        <f t="shared" ca="1" si="10"/>
        <v>#NAME?</v>
      </c>
      <c r="G80" s="100" t="e">
        <f t="shared" ca="1" si="12"/>
        <v>#NAME?</v>
      </c>
      <c r="H80" s="100" t="e">
        <f t="shared" ca="1" si="13"/>
        <v>#NAME?</v>
      </c>
      <c r="I80" s="100" t="e">
        <f t="shared" ca="1" si="14"/>
        <v>#NAME?</v>
      </c>
      <c r="J80" s="100" t="e">
        <f t="shared" ca="1" si="15"/>
        <v>#NAME?</v>
      </c>
      <c r="K80" s="100" t="e">
        <f t="shared" ca="1" si="16"/>
        <v>#NAME?</v>
      </c>
      <c r="L80" s="100" t="e">
        <f t="shared" ca="1" si="17"/>
        <v>#NAME?</v>
      </c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</row>
    <row r="81" spans="1:27">
      <c r="A81" s="100" t="e">
        <f t="shared" ca="1" si="11"/>
        <v>#NAME?</v>
      </c>
      <c r="B81" s="100" t="e">
        <f ca="1">IFERROR(__xludf.DUMMYFUNCTION("""COMPUTED_VALUE"""),80)</f>
        <v>#NAME?</v>
      </c>
      <c r="C81" s="100" t="e">
        <f ca="1">IFERROR(__xludf.DUMMYFUNCTION("""COMPUTED_VALUE"""),"NEIRO-USDT")</f>
        <v>#NAME?</v>
      </c>
      <c r="D81" s="100" t="e">
        <f ca="1">IFERROR(__xludf.DUMMYFUNCTION("""COMPUTED_VALUE"""),"0.0001929")</f>
        <v>#NAME?</v>
      </c>
      <c r="E81" s="100" t="e">
        <f t="shared" ca="1" si="10"/>
        <v>#NAME?</v>
      </c>
      <c r="F81" s="100" t="e">
        <f t="shared" ca="1" si="10"/>
        <v>#NAME?</v>
      </c>
      <c r="G81" s="100" t="e">
        <f t="shared" ca="1" si="12"/>
        <v>#NAME?</v>
      </c>
      <c r="H81" s="100" t="e">
        <f t="shared" ca="1" si="13"/>
        <v>#NAME?</v>
      </c>
      <c r="I81" s="100" t="e">
        <f t="shared" ca="1" si="14"/>
        <v>#NAME?</v>
      </c>
      <c r="J81" s="100" t="e">
        <f t="shared" ca="1" si="15"/>
        <v>#NAME?</v>
      </c>
      <c r="K81" s="100" t="e">
        <f t="shared" ca="1" si="16"/>
        <v>#NAME?</v>
      </c>
      <c r="L81" s="100" t="e">
        <f t="shared" ca="1" si="17"/>
        <v>#NAME?</v>
      </c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</row>
    <row r="82" spans="1:27">
      <c r="A82" s="100" t="e">
        <f t="shared" ca="1" si="11"/>
        <v>#NAME?</v>
      </c>
      <c r="B82" s="100" t="e">
        <f ca="1">IFERROR(__xludf.DUMMYFUNCTION("""COMPUTED_VALUE"""),81)</f>
        <v>#NAME?</v>
      </c>
      <c r="C82" s="100" t="e">
        <f ca="1">IFERROR(__xludf.DUMMYFUNCTION("""COMPUTED_VALUE"""),"TRB-USDT")</f>
        <v>#NAME?</v>
      </c>
      <c r="D82" s="100" t="e">
        <f ca="1">IFERROR(__xludf.DUMMYFUNCTION("""COMPUTED_VALUE"""),"25.64")</f>
        <v>#NAME?</v>
      </c>
      <c r="E82" s="100" t="e">
        <f t="shared" ref="E82:F101" ca="1" si="18">IFERROR(__xludf.DUMMYFUNCTION("""COMPUTED_VALUE"""),"-")</f>
        <v>#NAME?</v>
      </c>
      <c r="F82" s="100" t="e">
        <f t="shared" ca="1" si="18"/>
        <v>#NAME?</v>
      </c>
      <c r="G82" s="100" t="e">
        <f t="shared" ca="1" si="12"/>
        <v>#NAME?</v>
      </c>
      <c r="H82" s="100" t="e">
        <f t="shared" ca="1" si="13"/>
        <v>#NAME?</v>
      </c>
      <c r="I82" s="100" t="e">
        <f t="shared" ca="1" si="14"/>
        <v>#NAME?</v>
      </c>
      <c r="J82" s="100" t="e">
        <f t="shared" ca="1" si="15"/>
        <v>#NAME?</v>
      </c>
      <c r="K82" s="100" t="e">
        <f t="shared" ca="1" si="16"/>
        <v>#NAME?</v>
      </c>
      <c r="L82" s="100" t="e">
        <f t="shared" ca="1" si="17"/>
        <v>#NAME?</v>
      </c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</row>
    <row r="83" spans="1:27">
      <c r="A83" s="100" t="e">
        <f t="shared" ca="1" si="11"/>
        <v>#NAME?</v>
      </c>
      <c r="B83" s="100" t="e">
        <f ca="1">IFERROR(__xludf.DUMMYFUNCTION("""COMPUTED_VALUE"""),82)</f>
        <v>#NAME?</v>
      </c>
      <c r="C83" s="100" t="e">
        <f ca="1">IFERROR(__xludf.DUMMYFUNCTION("""COMPUTED_VALUE"""),"PI-BRL")</f>
        <v>#NAME?</v>
      </c>
      <c r="D83" s="100" t="e">
        <f ca="1">IFERROR(__xludf.DUMMYFUNCTION("""COMPUTED_VALUE"""),"3.669")</f>
        <v>#NAME?</v>
      </c>
      <c r="E83" s="100" t="e">
        <f t="shared" ca="1" si="18"/>
        <v>#NAME?</v>
      </c>
      <c r="F83" s="100" t="e">
        <f t="shared" ca="1" si="18"/>
        <v>#NAME?</v>
      </c>
      <c r="G83" s="100" t="e">
        <f t="shared" ca="1" si="12"/>
        <v>#NAME?</v>
      </c>
      <c r="H83" s="100" t="e">
        <f t="shared" ca="1" si="13"/>
        <v>#NAME?</v>
      </c>
      <c r="I83" s="100" t="e">
        <f t="shared" ca="1" si="14"/>
        <v>#NAME?</v>
      </c>
      <c r="J83" s="100" t="e">
        <f t="shared" ca="1" si="15"/>
        <v>#NAME?</v>
      </c>
      <c r="K83" s="100" t="e">
        <f t="shared" ca="1" si="16"/>
        <v>#NAME?</v>
      </c>
      <c r="L83" s="100" t="e">
        <f t="shared" ca="1" si="17"/>
        <v>#NAME?</v>
      </c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</row>
    <row r="84" spans="1:27">
      <c r="A84" s="100" t="e">
        <f t="shared" ca="1" si="11"/>
        <v>#NAME?</v>
      </c>
      <c r="B84" s="100" t="e">
        <f ca="1">IFERROR(__xludf.DUMMYFUNCTION("""COMPUTED_VALUE"""),83)</f>
        <v>#NAME?</v>
      </c>
      <c r="C84" s="100" t="e">
        <f ca="1">IFERROR(__xludf.DUMMYFUNCTION("""COMPUTED_VALUE"""),"DOGE-USDT")</f>
        <v>#NAME?</v>
      </c>
      <c r="D84" s="100" t="e">
        <f ca="1">IFERROR(__xludf.DUMMYFUNCTION("""COMPUTED_VALUE"""),"0.16429")</f>
        <v>#NAME?</v>
      </c>
      <c r="E84" s="100" t="e">
        <f t="shared" ca="1" si="18"/>
        <v>#NAME?</v>
      </c>
      <c r="F84" s="100" t="e">
        <f t="shared" ca="1" si="18"/>
        <v>#NAME?</v>
      </c>
      <c r="G84" s="100" t="e">
        <f t="shared" ca="1" si="12"/>
        <v>#NAME?</v>
      </c>
      <c r="H84" s="100" t="e">
        <f t="shared" ca="1" si="13"/>
        <v>#NAME?</v>
      </c>
      <c r="I84" s="100" t="e">
        <f t="shared" ca="1" si="14"/>
        <v>#NAME?</v>
      </c>
      <c r="J84" s="100" t="e">
        <f t="shared" ca="1" si="15"/>
        <v>#NAME?</v>
      </c>
      <c r="K84" s="100" t="e">
        <f t="shared" ca="1" si="16"/>
        <v>#NAME?</v>
      </c>
      <c r="L84" s="100" t="e">
        <f t="shared" ca="1" si="17"/>
        <v>#NAME?</v>
      </c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</row>
    <row r="85" spans="1:27">
      <c r="A85" s="100" t="e">
        <f t="shared" ca="1" si="11"/>
        <v>#NAME?</v>
      </c>
      <c r="B85" s="100" t="e">
        <f ca="1">IFERROR(__xludf.DUMMYFUNCTION("""COMPUTED_VALUE"""),84)</f>
        <v>#NAME?</v>
      </c>
      <c r="C85" s="100" t="e">
        <f ca="1">IFERROR(__xludf.DUMMYFUNCTION("""COMPUTED_VALUE"""),"MORPHO-USDT")</f>
        <v>#NAME?</v>
      </c>
      <c r="D85" s="100" t="e">
        <f ca="1">IFERROR(__xludf.DUMMYFUNCTION("""COMPUTED_VALUE"""),"0.9293")</f>
        <v>#NAME?</v>
      </c>
      <c r="E85" s="100" t="e">
        <f t="shared" ca="1" si="18"/>
        <v>#NAME?</v>
      </c>
      <c r="F85" s="100" t="e">
        <f t="shared" ca="1" si="18"/>
        <v>#NAME?</v>
      </c>
      <c r="G85" s="100" t="e">
        <f t="shared" ca="1" si="12"/>
        <v>#NAME?</v>
      </c>
      <c r="H85" s="100" t="e">
        <f t="shared" ca="1" si="13"/>
        <v>#NAME?</v>
      </c>
      <c r="I85" s="100" t="e">
        <f t="shared" ca="1" si="14"/>
        <v>#NAME?</v>
      </c>
      <c r="J85" s="100" t="e">
        <f t="shared" ca="1" si="15"/>
        <v>#NAME?</v>
      </c>
      <c r="K85" s="100" t="e">
        <f t="shared" ca="1" si="16"/>
        <v>#NAME?</v>
      </c>
      <c r="L85" s="100" t="e">
        <f t="shared" ca="1" si="17"/>
        <v>#NAME?</v>
      </c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</row>
    <row r="86" spans="1:27">
      <c r="A86" s="100" t="e">
        <f t="shared" ca="1" si="11"/>
        <v>#NAME?</v>
      </c>
      <c r="B86" s="100" t="e">
        <f ca="1">IFERROR(__xludf.DUMMYFUNCTION("""COMPUTED_VALUE"""),85)</f>
        <v>#NAME?</v>
      </c>
      <c r="C86" s="100" t="e">
        <f ca="1">IFERROR(__xludf.DUMMYFUNCTION("""COMPUTED_VALUE"""),"PIXEL-USD")</f>
        <v>#NAME?</v>
      </c>
      <c r="D86" s="100" t="e">
        <f ca="1">IFERROR(__xludf.DUMMYFUNCTION("""COMPUTED_VALUE"""),"0.04366")</f>
        <v>#NAME?</v>
      </c>
      <c r="E86" s="100" t="e">
        <f t="shared" ca="1" si="18"/>
        <v>#NAME?</v>
      </c>
      <c r="F86" s="100" t="e">
        <f t="shared" ca="1" si="18"/>
        <v>#NAME?</v>
      </c>
      <c r="G86" s="100" t="e">
        <f t="shared" ca="1" si="12"/>
        <v>#NAME?</v>
      </c>
      <c r="H86" s="100" t="e">
        <f t="shared" ca="1" si="13"/>
        <v>#NAME?</v>
      </c>
      <c r="I86" s="100" t="e">
        <f t="shared" ca="1" si="14"/>
        <v>#NAME?</v>
      </c>
      <c r="J86" s="100" t="e">
        <f t="shared" ca="1" si="15"/>
        <v>#NAME?</v>
      </c>
      <c r="K86" s="100" t="e">
        <f t="shared" ca="1" si="16"/>
        <v>#NAME?</v>
      </c>
      <c r="L86" s="100" t="e">
        <f t="shared" ca="1" si="17"/>
        <v>#NAME?</v>
      </c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</row>
    <row r="87" spans="1:27">
      <c r="A87" s="100" t="e">
        <f t="shared" ca="1" si="11"/>
        <v>#NAME?</v>
      </c>
      <c r="B87" s="100" t="e">
        <f ca="1">IFERROR(__xludf.DUMMYFUNCTION("""COMPUTED_VALUE"""),86)</f>
        <v>#NAME?</v>
      </c>
      <c r="C87" s="100" t="e">
        <f ca="1">IFERROR(__xludf.DUMMYFUNCTION("""COMPUTED_VALUE"""),"WBTC-USDC")</f>
        <v>#NAME?</v>
      </c>
      <c r="D87" s="100" t="e">
        <f ca="1">IFERROR(__xludf.DUMMYFUNCTION("""COMPUTED_VALUE"""),"88316.4")</f>
        <v>#NAME?</v>
      </c>
      <c r="E87" s="100" t="e">
        <f t="shared" ca="1" si="18"/>
        <v>#NAME?</v>
      </c>
      <c r="F87" s="100" t="e">
        <f t="shared" ca="1" si="18"/>
        <v>#NAME?</v>
      </c>
      <c r="G87" s="100" t="e">
        <f t="shared" ca="1" si="12"/>
        <v>#NAME?</v>
      </c>
      <c r="H87" s="100" t="e">
        <f t="shared" ca="1" si="13"/>
        <v>#NAME?</v>
      </c>
      <c r="I87" s="100" t="e">
        <f t="shared" ca="1" si="14"/>
        <v>#NAME?</v>
      </c>
      <c r="J87" s="100" t="e">
        <f t="shared" ca="1" si="15"/>
        <v>#NAME?</v>
      </c>
      <c r="K87" s="100" t="e">
        <f t="shared" ca="1" si="16"/>
        <v>#NAME?</v>
      </c>
      <c r="L87" s="100" t="e">
        <f t="shared" ca="1" si="17"/>
        <v>#NAME?</v>
      </c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</row>
    <row r="88" spans="1:27">
      <c r="A88" s="100" t="e">
        <f t="shared" ca="1" si="11"/>
        <v>#NAME?</v>
      </c>
      <c r="B88" s="100" t="e">
        <f ca="1">IFERROR(__xludf.DUMMYFUNCTION("""COMPUTED_VALUE"""),87)</f>
        <v>#NAME?</v>
      </c>
      <c r="C88" s="100" t="e">
        <f ca="1">IFERROR(__xludf.DUMMYFUNCTION("""COMPUTED_VALUE"""),"STRK-USD")</f>
        <v>#NAME?</v>
      </c>
      <c r="D88" s="100" t="e">
        <f ca="1">IFERROR(__xludf.DUMMYFUNCTION("""COMPUTED_VALUE"""),"0.1375")</f>
        <v>#NAME?</v>
      </c>
      <c r="E88" s="100" t="e">
        <f t="shared" ca="1" si="18"/>
        <v>#NAME?</v>
      </c>
      <c r="F88" s="100" t="e">
        <f t="shared" ca="1" si="18"/>
        <v>#NAME?</v>
      </c>
      <c r="G88" s="100" t="e">
        <f t="shared" ca="1" si="12"/>
        <v>#NAME?</v>
      </c>
      <c r="H88" s="100" t="e">
        <f t="shared" ca="1" si="13"/>
        <v>#NAME?</v>
      </c>
      <c r="I88" s="100" t="e">
        <f t="shared" ca="1" si="14"/>
        <v>#NAME?</v>
      </c>
      <c r="J88" s="100" t="e">
        <f t="shared" ca="1" si="15"/>
        <v>#NAME?</v>
      </c>
      <c r="K88" s="100" t="e">
        <f t="shared" ca="1" si="16"/>
        <v>#NAME?</v>
      </c>
      <c r="L88" s="100" t="e">
        <f t="shared" ca="1" si="17"/>
        <v>#NAME?</v>
      </c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</row>
    <row r="89" spans="1:27">
      <c r="A89" s="100" t="e">
        <f t="shared" ca="1" si="11"/>
        <v>#NAME?</v>
      </c>
      <c r="B89" s="100" t="e">
        <f ca="1">IFERROR(__xludf.DUMMYFUNCTION("""COMPUTED_VALUE"""),88)</f>
        <v>#NAME?</v>
      </c>
      <c r="C89" s="100" t="e">
        <f ca="1">IFERROR(__xludf.DUMMYFUNCTION("""COMPUTED_VALUE"""),"OAS-USD")</f>
        <v>#NAME?</v>
      </c>
      <c r="D89" s="100" t="e">
        <f ca="1">IFERROR(__xludf.DUMMYFUNCTION("""COMPUTED_VALUE"""),"0.01435")</f>
        <v>#NAME?</v>
      </c>
      <c r="E89" s="100" t="e">
        <f t="shared" ca="1" si="18"/>
        <v>#NAME?</v>
      </c>
      <c r="F89" s="100" t="e">
        <f t="shared" ca="1" si="18"/>
        <v>#NAME?</v>
      </c>
      <c r="G89" s="100" t="e">
        <f t="shared" ca="1" si="12"/>
        <v>#NAME?</v>
      </c>
      <c r="H89" s="100" t="e">
        <f t="shared" ca="1" si="13"/>
        <v>#NAME?</v>
      </c>
      <c r="I89" s="100" t="e">
        <f t="shared" ca="1" si="14"/>
        <v>#NAME?</v>
      </c>
      <c r="J89" s="100" t="e">
        <f t="shared" ca="1" si="15"/>
        <v>#NAME?</v>
      </c>
      <c r="K89" s="100" t="e">
        <f t="shared" ca="1" si="16"/>
        <v>#NAME?</v>
      </c>
      <c r="L89" s="100" t="e">
        <f t="shared" ca="1" si="17"/>
        <v>#NAME?</v>
      </c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</row>
    <row r="90" spans="1:27">
      <c r="A90" s="100" t="e">
        <f t="shared" ca="1" si="11"/>
        <v>#NAME?</v>
      </c>
      <c r="B90" s="100" t="e">
        <f ca="1">IFERROR(__xludf.DUMMYFUNCTION("""COMPUTED_VALUE"""),89)</f>
        <v>#NAME?</v>
      </c>
      <c r="C90" s="100" t="e">
        <f ca="1">IFERROR(__xludf.DUMMYFUNCTION("""COMPUTED_VALUE"""),"BICO-USDT")</f>
        <v>#NAME?</v>
      </c>
      <c r="D90" s="100" t="e">
        <f ca="1">IFERROR(__xludf.DUMMYFUNCTION("""COMPUTED_VALUE"""),"0.11179")</f>
        <v>#NAME?</v>
      </c>
      <c r="E90" s="100" t="e">
        <f t="shared" ca="1" si="18"/>
        <v>#NAME?</v>
      </c>
      <c r="F90" s="100" t="e">
        <f t="shared" ca="1" si="18"/>
        <v>#NAME?</v>
      </c>
      <c r="G90" s="100" t="e">
        <f t="shared" ca="1" si="12"/>
        <v>#NAME?</v>
      </c>
      <c r="H90" s="100" t="e">
        <f t="shared" ca="1" si="13"/>
        <v>#NAME?</v>
      </c>
      <c r="I90" s="100" t="e">
        <f t="shared" ca="1" si="14"/>
        <v>#NAME?</v>
      </c>
      <c r="J90" s="100" t="e">
        <f t="shared" ca="1" si="15"/>
        <v>#NAME?</v>
      </c>
      <c r="K90" s="100" t="e">
        <f t="shared" ca="1" si="16"/>
        <v>#NAME?</v>
      </c>
      <c r="L90" s="100" t="e">
        <f t="shared" ca="1" si="17"/>
        <v>#NAME?</v>
      </c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</row>
    <row r="91" spans="1:27">
      <c r="A91" s="100" t="e">
        <f t="shared" ca="1" si="11"/>
        <v>#NAME?</v>
      </c>
      <c r="B91" s="100" t="e">
        <f ca="1">IFERROR(__xludf.DUMMYFUNCTION("""COMPUTED_VALUE"""),90)</f>
        <v>#NAME?</v>
      </c>
      <c r="C91" s="100" t="e">
        <f ca="1">IFERROR(__xludf.DUMMYFUNCTION("""COMPUTED_VALUE"""),"MDT-USD")</f>
        <v>#NAME?</v>
      </c>
      <c r="D91" s="100" t="e">
        <f ca="1">IFERROR(__xludf.DUMMYFUNCTION("""COMPUTED_VALUE"""),"0.02713")</f>
        <v>#NAME?</v>
      </c>
      <c r="E91" s="100" t="e">
        <f t="shared" ca="1" si="18"/>
        <v>#NAME?</v>
      </c>
      <c r="F91" s="100" t="e">
        <f t="shared" ca="1" si="18"/>
        <v>#NAME?</v>
      </c>
      <c r="G91" s="100" t="e">
        <f t="shared" ca="1" si="12"/>
        <v>#NAME?</v>
      </c>
      <c r="H91" s="100" t="e">
        <f t="shared" ca="1" si="13"/>
        <v>#NAME?</v>
      </c>
      <c r="I91" s="100" t="e">
        <f t="shared" ca="1" si="14"/>
        <v>#NAME?</v>
      </c>
      <c r="J91" s="100" t="e">
        <f t="shared" ca="1" si="15"/>
        <v>#NAME?</v>
      </c>
      <c r="K91" s="100" t="e">
        <f t="shared" ca="1" si="16"/>
        <v>#NAME?</v>
      </c>
      <c r="L91" s="100" t="e">
        <f t="shared" ca="1" si="17"/>
        <v>#NAME?</v>
      </c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</row>
    <row r="92" spans="1:27">
      <c r="A92" s="100" t="e">
        <f t="shared" ca="1" si="11"/>
        <v>#NAME?</v>
      </c>
      <c r="B92" s="100" t="e">
        <f ca="1">IFERROR(__xludf.DUMMYFUNCTION("""COMPUTED_VALUE"""),91)</f>
        <v>#NAME?</v>
      </c>
      <c r="C92" s="100" t="e">
        <f ca="1">IFERROR(__xludf.DUMMYFUNCTION("""COMPUTED_VALUE"""),"ENS-USDT")</f>
        <v>#NAME?</v>
      </c>
      <c r="D92" s="100" t="e">
        <f ca="1">IFERROR(__xludf.DUMMYFUNCTION("""COMPUTED_VALUE"""),"15.239")</f>
        <v>#NAME?</v>
      </c>
      <c r="E92" s="100" t="e">
        <f t="shared" ca="1" si="18"/>
        <v>#NAME?</v>
      </c>
      <c r="F92" s="100" t="e">
        <f t="shared" ca="1" si="18"/>
        <v>#NAME?</v>
      </c>
      <c r="G92" s="100" t="e">
        <f t="shared" ca="1" si="12"/>
        <v>#NAME?</v>
      </c>
      <c r="H92" s="100" t="e">
        <f t="shared" ca="1" si="13"/>
        <v>#NAME?</v>
      </c>
      <c r="I92" s="100" t="e">
        <f t="shared" ca="1" si="14"/>
        <v>#NAME?</v>
      </c>
      <c r="J92" s="100" t="e">
        <f t="shared" ca="1" si="15"/>
        <v>#NAME?</v>
      </c>
      <c r="K92" s="100" t="e">
        <f t="shared" ca="1" si="16"/>
        <v>#NAME?</v>
      </c>
      <c r="L92" s="100" t="e">
        <f t="shared" ca="1" si="17"/>
        <v>#NAME?</v>
      </c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</row>
    <row r="93" spans="1:27">
      <c r="A93" s="100" t="e">
        <f t="shared" ca="1" si="11"/>
        <v>#NAME?</v>
      </c>
      <c r="B93" s="100" t="e">
        <f ca="1">IFERROR(__xludf.DUMMYFUNCTION("""COMPUTED_VALUE"""),92)</f>
        <v>#NAME?</v>
      </c>
      <c r="C93" s="100" t="e">
        <f ca="1">IFERROR(__xludf.DUMMYFUNCTION("""COMPUTED_VALUE"""),"LPT-USDT")</f>
        <v>#NAME?</v>
      </c>
      <c r="D93" s="100" t="e">
        <f ca="1">IFERROR(__xludf.DUMMYFUNCTION("""COMPUTED_VALUE"""),"4.158")</f>
        <v>#NAME?</v>
      </c>
      <c r="E93" s="100" t="e">
        <f t="shared" ca="1" si="18"/>
        <v>#NAME?</v>
      </c>
      <c r="F93" s="100" t="e">
        <f t="shared" ca="1" si="18"/>
        <v>#NAME?</v>
      </c>
      <c r="G93" s="100" t="e">
        <f t="shared" ca="1" si="12"/>
        <v>#NAME?</v>
      </c>
      <c r="H93" s="100" t="e">
        <f t="shared" ca="1" si="13"/>
        <v>#NAME?</v>
      </c>
      <c r="I93" s="100" t="e">
        <f t="shared" ca="1" si="14"/>
        <v>#NAME?</v>
      </c>
      <c r="J93" s="100" t="e">
        <f t="shared" ca="1" si="15"/>
        <v>#NAME?</v>
      </c>
      <c r="K93" s="100" t="e">
        <f t="shared" ca="1" si="16"/>
        <v>#NAME?</v>
      </c>
      <c r="L93" s="100" t="e">
        <f t="shared" ca="1" si="17"/>
        <v>#NAME?</v>
      </c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</row>
    <row r="94" spans="1:27">
      <c r="A94" s="100" t="e">
        <f t="shared" ca="1" si="11"/>
        <v>#NAME?</v>
      </c>
      <c r="B94" s="100" t="e">
        <f ca="1">IFERROR(__xludf.DUMMYFUNCTION("""COMPUTED_VALUE"""),93)</f>
        <v>#NAME?</v>
      </c>
      <c r="C94" s="100" t="e">
        <f ca="1">IFERROR(__xludf.DUMMYFUNCTION("""COMPUTED_VALUE"""),"MOVE-USDC")</f>
        <v>#NAME?</v>
      </c>
      <c r="D94" s="100" t="e">
        <f ca="1">IFERROR(__xludf.DUMMYFUNCTION("""COMPUTED_VALUE"""),"0.2244")</f>
        <v>#NAME?</v>
      </c>
      <c r="E94" s="100" t="e">
        <f t="shared" ca="1" si="18"/>
        <v>#NAME?</v>
      </c>
      <c r="F94" s="100" t="e">
        <f t="shared" ca="1" si="18"/>
        <v>#NAME?</v>
      </c>
      <c r="G94" s="100" t="e">
        <f t="shared" ca="1" si="12"/>
        <v>#NAME?</v>
      </c>
      <c r="H94" s="100" t="e">
        <f t="shared" ca="1" si="13"/>
        <v>#NAME?</v>
      </c>
      <c r="I94" s="100" t="e">
        <f t="shared" ca="1" si="14"/>
        <v>#NAME?</v>
      </c>
      <c r="J94" s="100" t="e">
        <f t="shared" ca="1" si="15"/>
        <v>#NAME?</v>
      </c>
      <c r="K94" s="100" t="e">
        <f t="shared" ca="1" si="16"/>
        <v>#NAME?</v>
      </c>
      <c r="L94" s="100" t="e">
        <f t="shared" ca="1" si="17"/>
        <v>#NAME?</v>
      </c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</row>
    <row r="95" spans="1:27">
      <c r="A95" s="100" t="e">
        <f t="shared" ca="1" si="11"/>
        <v>#NAME?</v>
      </c>
      <c r="B95" s="100" t="e">
        <f ca="1">IFERROR(__xludf.DUMMYFUNCTION("""COMPUTED_VALUE"""),94)</f>
        <v>#NAME?</v>
      </c>
      <c r="C95" s="100" t="e">
        <f ca="1">IFERROR(__xludf.DUMMYFUNCTION("""COMPUTED_VALUE"""),"T-USD")</f>
        <v>#NAME?</v>
      </c>
      <c r="D95" s="100" t="e">
        <f ca="1">IFERROR(__xludf.DUMMYFUNCTION("""COMPUTED_VALUE"""),"0.01777")</f>
        <v>#NAME?</v>
      </c>
      <c r="E95" s="100" t="e">
        <f t="shared" ca="1" si="18"/>
        <v>#NAME?</v>
      </c>
      <c r="F95" s="100" t="e">
        <f t="shared" ca="1" si="18"/>
        <v>#NAME?</v>
      </c>
      <c r="G95" s="100" t="e">
        <f t="shared" ca="1" si="12"/>
        <v>#NAME?</v>
      </c>
      <c r="H95" s="100" t="e">
        <f t="shared" ca="1" si="13"/>
        <v>#NAME?</v>
      </c>
      <c r="I95" s="100" t="e">
        <f t="shared" ca="1" si="14"/>
        <v>#NAME?</v>
      </c>
      <c r="J95" s="100" t="e">
        <f t="shared" ca="1" si="15"/>
        <v>#NAME?</v>
      </c>
      <c r="K95" s="100" t="e">
        <f t="shared" ca="1" si="16"/>
        <v>#NAME?</v>
      </c>
      <c r="L95" s="100" t="e">
        <f t="shared" ca="1" si="17"/>
        <v>#NAME?</v>
      </c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</row>
    <row r="96" spans="1:27">
      <c r="A96" s="100" t="e">
        <f t="shared" ca="1" si="11"/>
        <v>#NAME?</v>
      </c>
      <c r="B96" s="100" t="e">
        <f ca="1">IFERROR(__xludf.DUMMYFUNCTION("""COMPUTED_VALUE"""),95)</f>
        <v>#NAME?</v>
      </c>
      <c r="C96" s="100" t="e">
        <f ca="1">IFERROR(__xludf.DUMMYFUNCTION("""COMPUTED_VALUE"""),"ICE-USD")</f>
        <v>#NAME?</v>
      </c>
      <c r="D96" s="100" t="e">
        <f ca="1">IFERROR(__xludf.DUMMYFUNCTION("""COMPUTED_VALUE"""),"0.00445")</f>
        <v>#NAME?</v>
      </c>
      <c r="E96" s="100" t="e">
        <f t="shared" ca="1" si="18"/>
        <v>#NAME?</v>
      </c>
      <c r="F96" s="100" t="e">
        <f t="shared" ca="1" si="18"/>
        <v>#NAME?</v>
      </c>
      <c r="G96" s="100" t="e">
        <f t="shared" ca="1" si="12"/>
        <v>#NAME?</v>
      </c>
      <c r="H96" s="100" t="e">
        <f t="shared" ca="1" si="13"/>
        <v>#NAME?</v>
      </c>
      <c r="I96" s="100" t="e">
        <f t="shared" ca="1" si="14"/>
        <v>#NAME?</v>
      </c>
      <c r="J96" s="100" t="e">
        <f t="shared" ca="1" si="15"/>
        <v>#NAME?</v>
      </c>
      <c r="K96" s="100" t="e">
        <f t="shared" ca="1" si="16"/>
        <v>#NAME?</v>
      </c>
      <c r="L96" s="100" t="e">
        <f t="shared" ca="1" si="17"/>
        <v>#NAME?</v>
      </c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</row>
    <row r="97" spans="1:27">
      <c r="A97" s="100" t="e">
        <f t="shared" ca="1" si="11"/>
        <v>#NAME?</v>
      </c>
      <c r="B97" s="100" t="e">
        <f ca="1">IFERROR(__xludf.DUMMYFUNCTION("""COMPUTED_VALUE"""),96)</f>
        <v>#NAME?</v>
      </c>
      <c r="C97" s="100" t="e">
        <f ca="1">IFERROR(__xludf.DUMMYFUNCTION("""COMPUTED_VALUE"""),"ENS-USDC")</f>
        <v>#NAME?</v>
      </c>
      <c r="D97" s="100" t="e">
        <f ca="1">IFERROR(__xludf.DUMMYFUNCTION("""COMPUTED_VALUE"""),"15.439")</f>
        <v>#NAME?</v>
      </c>
      <c r="E97" s="100" t="e">
        <f t="shared" ca="1" si="18"/>
        <v>#NAME?</v>
      </c>
      <c r="F97" s="100" t="e">
        <f t="shared" ca="1" si="18"/>
        <v>#NAME?</v>
      </c>
      <c r="G97" s="100" t="e">
        <f t="shared" ca="1" si="12"/>
        <v>#NAME?</v>
      </c>
      <c r="H97" s="100" t="e">
        <f t="shared" ca="1" si="13"/>
        <v>#NAME?</v>
      </c>
      <c r="I97" s="100" t="e">
        <f t="shared" ca="1" si="14"/>
        <v>#NAME?</v>
      </c>
      <c r="J97" s="100" t="e">
        <f t="shared" ca="1" si="15"/>
        <v>#NAME?</v>
      </c>
      <c r="K97" s="100" t="e">
        <f t="shared" ca="1" si="16"/>
        <v>#NAME?</v>
      </c>
      <c r="L97" s="100" t="e">
        <f t="shared" ca="1" si="17"/>
        <v>#NAME?</v>
      </c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</row>
    <row r="98" spans="1:27">
      <c r="A98" s="100" t="e">
        <f t="shared" ca="1" si="11"/>
        <v>#NAME?</v>
      </c>
      <c r="B98" s="100" t="e">
        <f ca="1">IFERROR(__xludf.DUMMYFUNCTION("""COMPUTED_VALUE"""),97)</f>
        <v>#NAME?</v>
      </c>
      <c r="C98" s="100" t="e">
        <f ca="1">IFERROR(__xludf.DUMMYFUNCTION("""COMPUTED_VALUE"""),"BANANA-USD")</f>
        <v>#NAME?</v>
      </c>
      <c r="D98" s="100" t="e">
        <f ca="1">IFERROR(__xludf.DUMMYFUNCTION("""COMPUTED_VALUE"""),"18.18")</f>
        <v>#NAME?</v>
      </c>
      <c r="E98" s="100" t="e">
        <f t="shared" ca="1" si="18"/>
        <v>#NAME?</v>
      </c>
      <c r="F98" s="100" t="e">
        <f t="shared" ca="1" si="18"/>
        <v>#NAME?</v>
      </c>
      <c r="G98" s="100" t="e">
        <f t="shared" ca="1" si="12"/>
        <v>#NAME?</v>
      </c>
      <c r="H98" s="100" t="e">
        <f t="shared" ca="1" si="13"/>
        <v>#NAME?</v>
      </c>
      <c r="I98" s="100" t="e">
        <f t="shared" ca="1" si="14"/>
        <v>#NAME?</v>
      </c>
      <c r="J98" s="100" t="e">
        <f t="shared" ca="1" si="15"/>
        <v>#NAME?</v>
      </c>
      <c r="K98" s="100" t="e">
        <f t="shared" ca="1" si="16"/>
        <v>#NAME?</v>
      </c>
      <c r="L98" s="100" t="e">
        <f t="shared" ca="1" si="17"/>
        <v>#NAME?</v>
      </c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</row>
    <row r="99" spans="1:27">
      <c r="A99" s="100" t="e">
        <f t="shared" ca="1" si="11"/>
        <v>#NAME?</v>
      </c>
      <c r="B99" s="100" t="e">
        <f ca="1">IFERROR(__xludf.DUMMYFUNCTION("""COMPUTED_VALUE"""),98)</f>
        <v>#NAME?</v>
      </c>
      <c r="C99" s="100" t="e">
        <f ca="1">IFERROR(__xludf.DUMMYFUNCTION("""COMPUTED_VALUE"""),"MOVE-USDT")</f>
        <v>#NAME?</v>
      </c>
      <c r="D99" s="100" t="e">
        <f ca="1">IFERROR(__xludf.DUMMYFUNCTION("""COMPUTED_VALUE"""),"0.22305")</f>
        <v>#NAME?</v>
      </c>
      <c r="E99" s="100" t="e">
        <f t="shared" ca="1" si="18"/>
        <v>#NAME?</v>
      </c>
      <c r="F99" s="100" t="e">
        <f t="shared" ca="1" si="18"/>
        <v>#NAME?</v>
      </c>
      <c r="G99" s="100" t="e">
        <f t="shared" ca="1" si="12"/>
        <v>#NAME?</v>
      </c>
      <c r="H99" s="100" t="e">
        <f t="shared" ca="1" si="13"/>
        <v>#NAME?</v>
      </c>
      <c r="I99" s="100" t="e">
        <f t="shared" ca="1" si="14"/>
        <v>#NAME?</v>
      </c>
      <c r="J99" s="100" t="e">
        <f t="shared" ca="1" si="15"/>
        <v>#NAME?</v>
      </c>
      <c r="K99" s="100" t="e">
        <f t="shared" ca="1" si="16"/>
        <v>#NAME?</v>
      </c>
      <c r="L99" s="100" t="e">
        <f t="shared" ca="1" si="17"/>
        <v>#NAME?</v>
      </c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</row>
    <row r="100" spans="1:27">
      <c r="A100" s="100" t="e">
        <f t="shared" ca="1" si="11"/>
        <v>#NAME?</v>
      </c>
      <c r="B100" s="100" t="e">
        <f ca="1">IFERROR(__xludf.DUMMYFUNCTION("""COMPUTED_VALUE"""),99)</f>
        <v>#NAME?</v>
      </c>
      <c r="C100" s="100" t="e">
        <f ca="1">IFERROR(__xludf.DUMMYFUNCTION("""COMPUTED_VALUE"""),"AAVE-EUR")</f>
        <v>#NAME?</v>
      </c>
      <c r="D100" s="100" t="e">
        <f ca="1">IFERROR(__xludf.DUMMYFUNCTION("""COMPUTED_VALUE"""),"127.81")</f>
        <v>#NAME?</v>
      </c>
      <c r="E100" s="100" t="e">
        <f t="shared" ca="1" si="18"/>
        <v>#NAME?</v>
      </c>
      <c r="F100" s="100" t="e">
        <f t="shared" ca="1" si="18"/>
        <v>#NAME?</v>
      </c>
      <c r="G100" s="100" t="e">
        <f t="shared" ca="1" si="12"/>
        <v>#NAME?</v>
      </c>
      <c r="H100" s="100" t="e">
        <f t="shared" ca="1" si="13"/>
        <v>#NAME?</v>
      </c>
      <c r="I100" s="100" t="e">
        <f t="shared" ca="1" si="14"/>
        <v>#NAME?</v>
      </c>
      <c r="J100" s="100" t="e">
        <f t="shared" ca="1" si="15"/>
        <v>#NAME?</v>
      </c>
      <c r="K100" s="100" t="e">
        <f t="shared" ca="1" si="16"/>
        <v>#NAME?</v>
      </c>
      <c r="L100" s="100" t="e">
        <f t="shared" ca="1" si="17"/>
        <v>#NAME?</v>
      </c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</row>
    <row r="101" spans="1:27">
      <c r="A101" s="100" t="e">
        <f t="shared" ca="1" si="11"/>
        <v>#NAME?</v>
      </c>
      <c r="B101" s="100" t="e">
        <f ca="1">IFERROR(__xludf.DUMMYFUNCTION("""COMPUTED_VALUE"""),100)</f>
        <v>#NAME?</v>
      </c>
      <c r="C101" s="100" t="e">
        <f ca="1">IFERROR(__xludf.DUMMYFUNCTION("""COMPUTED_VALUE"""),"OMI-USDT")</f>
        <v>#NAME?</v>
      </c>
      <c r="D101" s="100" t="e">
        <f ca="1">IFERROR(__xludf.DUMMYFUNCTION("""COMPUTED_VALUE"""),"0.0001908")</f>
        <v>#NAME?</v>
      </c>
      <c r="E101" s="100" t="e">
        <f t="shared" ca="1" si="18"/>
        <v>#NAME?</v>
      </c>
      <c r="F101" s="100" t="e">
        <f t="shared" ca="1" si="18"/>
        <v>#NAME?</v>
      </c>
      <c r="G101" s="100" t="e">
        <f t="shared" ca="1" si="12"/>
        <v>#NAME?</v>
      </c>
      <c r="H101" s="100" t="e">
        <f t="shared" ca="1" si="13"/>
        <v>#NAME?</v>
      </c>
      <c r="I101" s="100" t="e">
        <f t="shared" ca="1" si="14"/>
        <v>#NAME?</v>
      </c>
      <c r="J101" s="100" t="e">
        <f t="shared" ca="1" si="15"/>
        <v>#NAME?</v>
      </c>
      <c r="K101" s="100" t="e">
        <f t="shared" ca="1" si="16"/>
        <v>#NAME?</v>
      </c>
      <c r="L101" s="100" t="e">
        <f t="shared" ca="1" si="17"/>
        <v>#NAME?</v>
      </c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</row>
    <row r="102" spans="1:27">
      <c r="A102" s="100" t="e">
        <f t="shared" ca="1" si="11"/>
        <v>#NAME?</v>
      </c>
      <c r="B102" s="100" t="e">
        <f ca="1">IFERROR(__xludf.DUMMYFUNCTION("""COMPUTED_VALUE"""),101)</f>
        <v>#NAME?</v>
      </c>
      <c r="C102" s="100" t="e">
        <f ca="1">IFERROR(__xludf.DUMMYFUNCTION("""COMPUTED_VALUE"""),"ELON-USD")</f>
        <v>#NAME?</v>
      </c>
      <c r="D102" s="100" t="e">
        <f ca="1">IFERROR(__xludf.DUMMYFUNCTION("""COMPUTED_VALUE"""),"0.0000001294")</f>
        <v>#NAME?</v>
      </c>
      <c r="E102" s="100" t="e">
        <f t="shared" ref="E102:F121" ca="1" si="19">IFERROR(__xludf.DUMMYFUNCTION("""COMPUTED_VALUE"""),"-")</f>
        <v>#NAME?</v>
      </c>
      <c r="F102" s="100" t="e">
        <f t="shared" ca="1" si="19"/>
        <v>#NAME?</v>
      </c>
      <c r="G102" s="100" t="e">
        <f t="shared" ca="1" si="12"/>
        <v>#NAME?</v>
      </c>
      <c r="H102" s="100" t="e">
        <f t="shared" ca="1" si="13"/>
        <v>#NAME?</v>
      </c>
      <c r="I102" s="100" t="e">
        <f t="shared" ca="1" si="14"/>
        <v>#NAME?</v>
      </c>
      <c r="J102" s="100" t="e">
        <f t="shared" ca="1" si="15"/>
        <v>#NAME?</v>
      </c>
      <c r="K102" s="100" t="e">
        <f t="shared" ca="1" si="16"/>
        <v>#NAME?</v>
      </c>
      <c r="L102" s="100" t="e">
        <f t="shared" ca="1" si="17"/>
        <v>#NAME?</v>
      </c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</row>
    <row r="103" spans="1:27">
      <c r="A103" s="100" t="e">
        <f t="shared" ca="1" si="11"/>
        <v>#NAME?</v>
      </c>
      <c r="B103" s="100" t="e">
        <f ca="1">IFERROR(__xludf.DUMMYFUNCTION("""COMPUTED_VALUE"""),102)</f>
        <v>#NAME?</v>
      </c>
      <c r="C103" s="100" t="e">
        <f ca="1">IFERROR(__xludf.DUMMYFUNCTION("""COMPUTED_VALUE"""),"ARB-USDT")</f>
        <v>#NAME?</v>
      </c>
      <c r="D103" s="100" t="e">
        <f ca="1">IFERROR(__xludf.DUMMYFUNCTION("""COMPUTED_VALUE"""),"0.3003")</f>
        <v>#NAME?</v>
      </c>
      <c r="E103" s="100" t="e">
        <f t="shared" ca="1" si="19"/>
        <v>#NAME?</v>
      </c>
      <c r="F103" s="100" t="e">
        <f t="shared" ca="1" si="19"/>
        <v>#NAME?</v>
      </c>
      <c r="G103" s="100" t="e">
        <f t="shared" ca="1" si="12"/>
        <v>#NAME?</v>
      </c>
      <c r="H103" s="100" t="e">
        <f t="shared" ca="1" si="13"/>
        <v>#NAME?</v>
      </c>
      <c r="I103" s="100" t="e">
        <f t="shared" ca="1" si="14"/>
        <v>#NAME?</v>
      </c>
      <c r="J103" s="100" t="e">
        <f t="shared" ca="1" si="15"/>
        <v>#NAME?</v>
      </c>
      <c r="K103" s="100" t="e">
        <f t="shared" ca="1" si="16"/>
        <v>#NAME?</v>
      </c>
      <c r="L103" s="100" t="e">
        <f t="shared" ca="1" si="17"/>
        <v>#NAME?</v>
      </c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</row>
    <row r="104" spans="1:27">
      <c r="A104" s="100" t="e">
        <f t="shared" ca="1" si="11"/>
        <v>#NAME?</v>
      </c>
      <c r="B104" s="100" t="e">
        <f ca="1">IFERROR(__xludf.DUMMYFUNCTION("""COMPUTED_VALUE"""),103)</f>
        <v>#NAME?</v>
      </c>
      <c r="C104" s="100" t="e">
        <f ca="1">IFERROR(__xludf.DUMMYFUNCTION("""COMPUTED_VALUE"""),"SONIC-USDT")</f>
        <v>#NAME?</v>
      </c>
      <c r="D104" s="100" t="e">
        <f ca="1">IFERROR(__xludf.DUMMYFUNCTION("""COMPUTED_VALUE"""),"0.22281")</f>
        <v>#NAME?</v>
      </c>
      <c r="E104" s="100" t="e">
        <f t="shared" ca="1" si="19"/>
        <v>#NAME?</v>
      </c>
      <c r="F104" s="100" t="e">
        <f t="shared" ca="1" si="19"/>
        <v>#NAME?</v>
      </c>
      <c r="G104" s="100" t="e">
        <f t="shared" ca="1" si="12"/>
        <v>#NAME?</v>
      </c>
      <c r="H104" s="100" t="e">
        <f t="shared" ca="1" si="13"/>
        <v>#NAME?</v>
      </c>
      <c r="I104" s="100" t="e">
        <f t="shared" ca="1" si="14"/>
        <v>#NAME?</v>
      </c>
      <c r="J104" s="100" t="e">
        <f t="shared" ca="1" si="15"/>
        <v>#NAME?</v>
      </c>
      <c r="K104" s="100" t="e">
        <f t="shared" ca="1" si="16"/>
        <v>#NAME?</v>
      </c>
      <c r="L104" s="100" t="e">
        <f t="shared" ca="1" si="17"/>
        <v>#NAME?</v>
      </c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</row>
    <row r="105" spans="1:27">
      <c r="A105" s="100" t="e">
        <f t="shared" ca="1" si="11"/>
        <v>#NAME?</v>
      </c>
      <c r="B105" s="100" t="e">
        <f ca="1">IFERROR(__xludf.DUMMYFUNCTION("""COMPUTED_VALUE"""),104)</f>
        <v>#NAME?</v>
      </c>
      <c r="C105" s="100" t="e">
        <f ca="1">IFERROR(__xludf.DUMMYFUNCTION("""COMPUTED_VALUE"""),"STORJ-USD")</f>
        <v>#NAME?</v>
      </c>
      <c r="D105" s="100" t="e">
        <f ca="1">IFERROR(__xludf.DUMMYFUNCTION("""COMPUTED_VALUE"""),"0.3")</f>
        <v>#NAME?</v>
      </c>
      <c r="E105" s="100" t="e">
        <f t="shared" ca="1" si="19"/>
        <v>#NAME?</v>
      </c>
      <c r="F105" s="100" t="e">
        <f t="shared" ca="1" si="19"/>
        <v>#NAME?</v>
      </c>
      <c r="G105" s="100" t="e">
        <f t="shared" ca="1" si="12"/>
        <v>#NAME?</v>
      </c>
      <c r="H105" s="100" t="e">
        <f t="shared" ca="1" si="13"/>
        <v>#NAME?</v>
      </c>
      <c r="I105" s="100" t="e">
        <f t="shared" ca="1" si="14"/>
        <v>#NAME?</v>
      </c>
      <c r="J105" s="100" t="e">
        <f t="shared" ca="1" si="15"/>
        <v>#NAME?</v>
      </c>
      <c r="K105" s="100" t="e">
        <f t="shared" ca="1" si="16"/>
        <v>#NAME?</v>
      </c>
      <c r="L105" s="100" t="e">
        <f t="shared" ca="1" si="17"/>
        <v>#NAME?</v>
      </c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</row>
    <row r="106" spans="1:27">
      <c r="A106" s="100" t="e">
        <f t="shared" ca="1" si="11"/>
        <v>#NAME?</v>
      </c>
      <c r="B106" s="100" t="e">
        <f ca="1">IFERROR(__xludf.DUMMYFUNCTION("""COMPUTED_VALUE"""),105)</f>
        <v>#NAME?</v>
      </c>
      <c r="C106" s="100" t="e">
        <f ca="1">IFERROR(__xludf.DUMMYFUNCTION("""COMPUTED_VALUE"""),"SAFE-USD")</f>
        <v>#NAME?</v>
      </c>
      <c r="D106" s="100" t="e">
        <f ca="1">IFERROR(__xludf.DUMMYFUNCTION("""COMPUTED_VALUE"""),"0.4174")</f>
        <v>#NAME?</v>
      </c>
      <c r="E106" s="100" t="e">
        <f t="shared" ca="1" si="19"/>
        <v>#NAME?</v>
      </c>
      <c r="F106" s="100" t="e">
        <f t="shared" ca="1" si="19"/>
        <v>#NAME?</v>
      </c>
      <c r="G106" s="100" t="e">
        <f t="shared" ca="1" si="12"/>
        <v>#NAME?</v>
      </c>
      <c r="H106" s="100" t="e">
        <f t="shared" ca="1" si="13"/>
        <v>#NAME?</v>
      </c>
      <c r="I106" s="100" t="e">
        <f t="shared" ca="1" si="14"/>
        <v>#NAME?</v>
      </c>
      <c r="J106" s="100" t="e">
        <f t="shared" ca="1" si="15"/>
        <v>#NAME?</v>
      </c>
      <c r="K106" s="100" t="e">
        <f t="shared" ca="1" si="16"/>
        <v>#NAME?</v>
      </c>
      <c r="L106" s="100" t="e">
        <f t="shared" ca="1" si="17"/>
        <v>#NAME?</v>
      </c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</row>
    <row r="107" spans="1:27">
      <c r="A107" s="100" t="e">
        <f t="shared" ca="1" si="11"/>
        <v>#NAME?</v>
      </c>
      <c r="B107" s="100" t="e">
        <f ca="1">IFERROR(__xludf.DUMMYFUNCTION("""COMPUTED_VALUE"""),106)</f>
        <v>#NAME?</v>
      </c>
      <c r="C107" s="100" t="e">
        <f ca="1">IFERROR(__xludf.DUMMYFUNCTION("""COMPUTED_VALUE"""),"MANA-EUR")</f>
        <v>#NAME?</v>
      </c>
      <c r="D107" s="100" t="e">
        <f ca="1">IFERROR(__xludf.DUMMYFUNCTION("""COMPUTED_VALUE"""),"0.266")</f>
        <v>#NAME?</v>
      </c>
      <c r="E107" s="100" t="e">
        <f t="shared" ca="1" si="19"/>
        <v>#NAME?</v>
      </c>
      <c r="F107" s="100" t="e">
        <f t="shared" ca="1" si="19"/>
        <v>#NAME?</v>
      </c>
      <c r="G107" s="100" t="e">
        <f t="shared" ca="1" si="12"/>
        <v>#NAME?</v>
      </c>
      <c r="H107" s="100" t="e">
        <f t="shared" ca="1" si="13"/>
        <v>#NAME?</v>
      </c>
      <c r="I107" s="100" t="e">
        <f t="shared" ca="1" si="14"/>
        <v>#NAME?</v>
      </c>
      <c r="J107" s="100" t="e">
        <f t="shared" ca="1" si="15"/>
        <v>#NAME?</v>
      </c>
      <c r="K107" s="100" t="e">
        <f t="shared" ca="1" si="16"/>
        <v>#NAME?</v>
      </c>
      <c r="L107" s="100" t="e">
        <f t="shared" ca="1" si="17"/>
        <v>#NAME?</v>
      </c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</row>
    <row r="108" spans="1:27">
      <c r="A108" s="100" t="e">
        <f t="shared" ca="1" si="11"/>
        <v>#NAME?</v>
      </c>
      <c r="B108" s="100" t="e">
        <f ca="1">IFERROR(__xludf.DUMMYFUNCTION("""COMPUTED_VALUE"""),107)</f>
        <v>#NAME?</v>
      </c>
      <c r="C108" s="100" t="e">
        <f ca="1">IFERROR(__xludf.DUMMYFUNCTION("""COMPUTED_VALUE"""),"WBTC-USDT")</f>
        <v>#NAME?</v>
      </c>
      <c r="D108" s="100" t="e">
        <f ca="1">IFERROR(__xludf.DUMMYFUNCTION("""COMPUTED_VALUE"""),"88399")</f>
        <v>#NAME?</v>
      </c>
      <c r="E108" s="100" t="e">
        <f t="shared" ca="1" si="19"/>
        <v>#NAME?</v>
      </c>
      <c r="F108" s="100" t="e">
        <f t="shared" ca="1" si="19"/>
        <v>#NAME?</v>
      </c>
      <c r="G108" s="100" t="e">
        <f t="shared" ca="1" si="12"/>
        <v>#NAME?</v>
      </c>
      <c r="H108" s="100" t="e">
        <f t="shared" ca="1" si="13"/>
        <v>#NAME?</v>
      </c>
      <c r="I108" s="100" t="e">
        <f t="shared" ca="1" si="14"/>
        <v>#NAME?</v>
      </c>
      <c r="J108" s="100" t="e">
        <f t="shared" ca="1" si="15"/>
        <v>#NAME?</v>
      </c>
      <c r="K108" s="100" t="e">
        <f t="shared" ca="1" si="16"/>
        <v>#NAME?</v>
      </c>
      <c r="L108" s="100" t="e">
        <f t="shared" ca="1" si="17"/>
        <v>#NAME?</v>
      </c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</row>
    <row r="109" spans="1:27">
      <c r="A109" s="100" t="e">
        <f t="shared" ca="1" si="11"/>
        <v>#NAME?</v>
      </c>
      <c r="B109" s="100" t="e">
        <f ca="1">IFERROR(__xludf.DUMMYFUNCTION("""COMPUTED_VALUE"""),108)</f>
        <v>#NAME?</v>
      </c>
      <c r="C109" s="100" t="e">
        <f ca="1">IFERROR(__xludf.DUMMYFUNCTION("""COMPUTED_VALUE"""),"POR-USDT")</f>
        <v>#NAME?</v>
      </c>
      <c r="D109" s="100" t="e">
        <f ca="1">IFERROR(__xludf.DUMMYFUNCTION("""COMPUTED_VALUE"""),"0.7374")</f>
        <v>#NAME?</v>
      </c>
      <c r="E109" s="100" t="e">
        <f t="shared" ca="1" si="19"/>
        <v>#NAME?</v>
      </c>
      <c r="F109" s="100" t="e">
        <f t="shared" ca="1" si="19"/>
        <v>#NAME?</v>
      </c>
      <c r="G109" s="100" t="e">
        <f t="shared" ca="1" si="12"/>
        <v>#NAME?</v>
      </c>
      <c r="H109" s="100" t="e">
        <f t="shared" ca="1" si="13"/>
        <v>#NAME?</v>
      </c>
      <c r="I109" s="100" t="e">
        <f t="shared" ca="1" si="14"/>
        <v>#NAME?</v>
      </c>
      <c r="J109" s="100" t="e">
        <f t="shared" ca="1" si="15"/>
        <v>#NAME?</v>
      </c>
      <c r="K109" s="100" t="e">
        <f t="shared" ca="1" si="16"/>
        <v>#NAME?</v>
      </c>
      <c r="L109" s="100" t="e">
        <f t="shared" ca="1" si="17"/>
        <v>#NAME?</v>
      </c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</row>
    <row r="110" spans="1:27">
      <c r="A110" s="100" t="e">
        <f t="shared" ca="1" si="11"/>
        <v>#NAME?</v>
      </c>
      <c r="B110" s="100" t="e">
        <f ca="1">IFERROR(__xludf.DUMMYFUNCTION("""COMPUTED_VALUE"""),109)</f>
        <v>#NAME?</v>
      </c>
      <c r="C110" s="100" t="e">
        <f ca="1">IFERROR(__xludf.DUMMYFUNCTION("""COMPUTED_VALUE"""),"RACA-USD")</f>
        <v>#NAME?</v>
      </c>
      <c r="D110" s="100" t="e">
        <f ca="1">IFERROR(__xludf.DUMMYFUNCTION("""COMPUTED_VALUE"""),"0.00008906")</f>
        <v>#NAME?</v>
      </c>
      <c r="E110" s="100" t="e">
        <f t="shared" ca="1" si="19"/>
        <v>#NAME?</v>
      </c>
      <c r="F110" s="100" t="e">
        <f t="shared" ca="1" si="19"/>
        <v>#NAME?</v>
      </c>
      <c r="G110" s="100" t="e">
        <f t="shared" ca="1" si="12"/>
        <v>#NAME?</v>
      </c>
      <c r="H110" s="100" t="e">
        <f t="shared" ca="1" si="13"/>
        <v>#NAME?</v>
      </c>
      <c r="I110" s="100" t="e">
        <f t="shared" ca="1" si="14"/>
        <v>#NAME?</v>
      </c>
      <c r="J110" s="100" t="e">
        <f t="shared" ca="1" si="15"/>
        <v>#NAME?</v>
      </c>
      <c r="K110" s="100" t="e">
        <f t="shared" ca="1" si="16"/>
        <v>#NAME?</v>
      </c>
      <c r="L110" s="100" t="e">
        <f t="shared" ca="1" si="17"/>
        <v>#NAME?</v>
      </c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</row>
    <row r="111" spans="1:27">
      <c r="A111" s="100" t="e">
        <f t="shared" ca="1" si="11"/>
        <v>#NAME?</v>
      </c>
      <c r="B111" s="100" t="e">
        <f ca="1">IFERROR(__xludf.DUMMYFUNCTION("""COMPUTED_VALUE"""),110)</f>
        <v>#NAME?</v>
      </c>
      <c r="C111" s="100" t="e">
        <f ca="1">IFERROR(__xludf.DUMMYFUNCTION("""COMPUTED_VALUE"""),"NEO-USDT")</f>
        <v>#NAME?</v>
      </c>
      <c r="D111" s="100" t="e">
        <f ca="1">IFERROR(__xludf.DUMMYFUNCTION("""COMPUTED_VALUE"""),"5.424")</f>
        <v>#NAME?</v>
      </c>
      <c r="E111" s="100" t="e">
        <f t="shared" ca="1" si="19"/>
        <v>#NAME?</v>
      </c>
      <c r="F111" s="100" t="e">
        <f t="shared" ca="1" si="19"/>
        <v>#NAME?</v>
      </c>
      <c r="G111" s="100" t="e">
        <f t="shared" ca="1" si="12"/>
        <v>#NAME?</v>
      </c>
      <c r="H111" s="100" t="e">
        <f t="shared" ca="1" si="13"/>
        <v>#NAME?</v>
      </c>
      <c r="I111" s="100" t="e">
        <f t="shared" ca="1" si="14"/>
        <v>#NAME?</v>
      </c>
      <c r="J111" s="100" t="e">
        <f t="shared" ca="1" si="15"/>
        <v>#NAME?</v>
      </c>
      <c r="K111" s="100" t="e">
        <f t="shared" ca="1" si="16"/>
        <v>#NAME?</v>
      </c>
      <c r="L111" s="100" t="e">
        <f t="shared" ca="1" si="17"/>
        <v>#NAME?</v>
      </c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</row>
    <row r="112" spans="1:27">
      <c r="A112" s="100" t="e">
        <f t="shared" ca="1" si="11"/>
        <v>#NAME?</v>
      </c>
      <c r="B112" s="100" t="e">
        <f ca="1">IFERROR(__xludf.DUMMYFUNCTION("""COMPUTED_VALUE"""),111)</f>
        <v>#NAME?</v>
      </c>
      <c r="C112" s="100" t="e">
        <f ca="1">IFERROR(__xludf.DUMMYFUNCTION("""COMPUTED_VALUE"""),"SD-USDT")</f>
        <v>#NAME?</v>
      </c>
      <c r="D112" s="100" t="e">
        <f ca="1">IFERROR(__xludf.DUMMYFUNCTION("""COMPUTED_VALUE"""),"0.4727")</f>
        <v>#NAME?</v>
      </c>
      <c r="E112" s="100" t="e">
        <f t="shared" ca="1" si="19"/>
        <v>#NAME?</v>
      </c>
      <c r="F112" s="100" t="e">
        <f t="shared" ca="1" si="19"/>
        <v>#NAME?</v>
      </c>
      <c r="G112" s="100" t="e">
        <f t="shared" ca="1" si="12"/>
        <v>#NAME?</v>
      </c>
      <c r="H112" s="100" t="e">
        <f t="shared" ca="1" si="13"/>
        <v>#NAME?</v>
      </c>
      <c r="I112" s="100" t="e">
        <f t="shared" ca="1" si="14"/>
        <v>#NAME?</v>
      </c>
      <c r="J112" s="100" t="e">
        <f t="shared" ca="1" si="15"/>
        <v>#NAME?</v>
      </c>
      <c r="K112" s="100" t="e">
        <f t="shared" ca="1" si="16"/>
        <v>#NAME?</v>
      </c>
      <c r="L112" s="100" t="e">
        <f t="shared" ca="1" si="17"/>
        <v>#NAME?</v>
      </c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</row>
    <row r="113" spans="1:27">
      <c r="A113" s="100" t="e">
        <f t="shared" ca="1" si="11"/>
        <v>#NAME?</v>
      </c>
      <c r="B113" s="100" t="e">
        <f ca="1">IFERROR(__xludf.DUMMYFUNCTION("""COMPUTED_VALUE"""),112)</f>
        <v>#NAME?</v>
      </c>
      <c r="C113" s="100" t="e">
        <f ca="1">IFERROR(__xludf.DUMMYFUNCTION("""COMPUTED_VALUE"""),"OP-EUR")</f>
        <v>#NAME?</v>
      </c>
      <c r="D113" s="100" t="e">
        <f ca="1">IFERROR(__xludf.DUMMYFUNCTION("""COMPUTED_VALUE"""),"0.6041")</f>
        <v>#NAME?</v>
      </c>
      <c r="E113" s="100" t="e">
        <f t="shared" ca="1" si="19"/>
        <v>#NAME?</v>
      </c>
      <c r="F113" s="100" t="e">
        <f t="shared" ca="1" si="19"/>
        <v>#NAME?</v>
      </c>
      <c r="G113" s="100" t="e">
        <f t="shared" ca="1" si="12"/>
        <v>#NAME?</v>
      </c>
      <c r="H113" s="100" t="e">
        <f t="shared" ca="1" si="13"/>
        <v>#NAME?</v>
      </c>
      <c r="I113" s="100" t="e">
        <f t="shared" ca="1" si="14"/>
        <v>#NAME?</v>
      </c>
      <c r="J113" s="100" t="e">
        <f t="shared" ca="1" si="15"/>
        <v>#NAME?</v>
      </c>
      <c r="K113" s="100" t="e">
        <f t="shared" ca="1" si="16"/>
        <v>#NAME?</v>
      </c>
      <c r="L113" s="100" t="e">
        <f t="shared" ca="1" si="17"/>
        <v>#NAME?</v>
      </c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</row>
    <row r="114" spans="1:27">
      <c r="A114" s="100" t="e">
        <f t="shared" ca="1" si="11"/>
        <v>#NAME?</v>
      </c>
      <c r="B114" s="100" t="e">
        <f ca="1">IFERROR(__xludf.DUMMYFUNCTION("""COMPUTED_VALUE"""),113)</f>
        <v>#NAME?</v>
      </c>
      <c r="C114" s="100" t="e">
        <f ca="1">IFERROR(__xludf.DUMMYFUNCTION("""COMPUTED_VALUE"""),"BNT-USDT")</f>
        <v>#NAME?</v>
      </c>
      <c r="D114" s="100" t="e">
        <f ca="1">IFERROR(__xludf.DUMMYFUNCTION("""COMPUTED_VALUE"""),"0.3955")</f>
        <v>#NAME?</v>
      </c>
      <c r="E114" s="100" t="e">
        <f t="shared" ca="1" si="19"/>
        <v>#NAME?</v>
      </c>
      <c r="F114" s="100" t="e">
        <f t="shared" ca="1" si="19"/>
        <v>#NAME?</v>
      </c>
      <c r="G114" s="100" t="e">
        <f t="shared" ca="1" si="12"/>
        <v>#NAME?</v>
      </c>
      <c r="H114" s="100" t="e">
        <f t="shared" ca="1" si="13"/>
        <v>#NAME?</v>
      </c>
      <c r="I114" s="100" t="e">
        <f t="shared" ca="1" si="14"/>
        <v>#NAME?</v>
      </c>
      <c r="J114" s="100" t="e">
        <f t="shared" ca="1" si="15"/>
        <v>#NAME?</v>
      </c>
      <c r="K114" s="100" t="e">
        <f t="shared" ca="1" si="16"/>
        <v>#NAME?</v>
      </c>
      <c r="L114" s="100" t="e">
        <f t="shared" ca="1" si="17"/>
        <v>#NAME?</v>
      </c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</row>
    <row r="115" spans="1:27">
      <c r="A115" s="100" t="e">
        <f t="shared" ca="1" si="11"/>
        <v>#NAME?</v>
      </c>
      <c r="B115" s="100" t="e">
        <f ca="1">IFERROR(__xludf.DUMMYFUNCTION("""COMPUTED_VALUE"""),114)</f>
        <v>#NAME?</v>
      </c>
      <c r="C115" s="100" t="e">
        <f ca="1">IFERROR(__xludf.DUMMYFUNCTION("""COMPUTED_VALUE"""),"EOS-USDC")</f>
        <v>#NAME?</v>
      </c>
      <c r="D115" s="100" t="e">
        <f ca="1">IFERROR(__xludf.DUMMYFUNCTION("""COMPUTED_VALUE"""),"0.6316")</f>
        <v>#NAME?</v>
      </c>
      <c r="E115" s="100" t="e">
        <f t="shared" ca="1" si="19"/>
        <v>#NAME?</v>
      </c>
      <c r="F115" s="100" t="e">
        <f t="shared" ca="1" si="19"/>
        <v>#NAME?</v>
      </c>
      <c r="G115" s="100" t="e">
        <f t="shared" ca="1" si="12"/>
        <v>#NAME?</v>
      </c>
      <c r="H115" s="100" t="e">
        <f t="shared" ca="1" si="13"/>
        <v>#NAME?</v>
      </c>
      <c r="I115" s="100" t="e">
        <f t="shared" ca="1" si="14"/>
        <v>#NAME?</v>
      </c>
      <c r="J115" s="100" t="e">
        <f t="shared" ca="1" si="15"/>
        <v>#NAME?</v>
      </c>
      <c r="K115" s="100" t="e">
        <f t="shared" ca="1" si="16"/>
        <v>#NAME?</v>
      </c>
      <c r="L115" s="100" t="e">
        <f t="shared" ca="1" si="17"/>
        <v>#NAME?</v>
      </c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</row>
    <row r="116" spans="1:27">
      <c r="A116" s="100" t="e">
        <f t="shared" ca="1" si="11"/>
        <v>#NAME?</v>
      </c>
      <c r="B116" s="100" t="e">
        <f ca="1">IFERROR(__xludf.DUMMYFUNCTION("""COMPUTED_VALUE"""),115)</f>
        <v>#NAME?</v>
      </c>
      <c r="C116" s="100" t="e">
        <f ca="1">IFERROR(__xludf.DUMMYFUNCTION("""COMPUTED_VALUE"""),"SC-USD")</f>
        <v>#NAME?</v>
      </c>
      <c r="D116" s="100" t="e">
        <f ca="1">IFERROR(__xludf.DUMMYFUNCTION("""COMPUTED_VALUE"""),"0.003386")</f>
        <v>#NAME?</v>
      </c>
      <c r="E116" s="100" t="e">
        <f t="shared" ca="1" si="19"/>
        <v>#NAME?</v>
      </c>
      <c r="F116" s="100" t="e">
        <f t="shared" ca="1" si="19"/>
        <v>#NAME?</v>
      </c>
      <c r="G116" s="100" t="e">
        <f t="shared" ca="1" si="12"/>
        <v>#NAME?</v>
      </c>
      <c r="H116" s="100" t="e">
        <f t="shared" ca="1" si="13"/>
        <v>#NAME?</v>
      </c>
      <c r="I116" s="100" t="e">
        <f t="shared" ca="1" si="14"/>
        <v>#NAME?</v>
      </c>
      <c r="J116" s="100" t="e">
        <f t="shared" ca="1" si="15"/>
        <v>#NAME?</v>
      </c>
      <c r="K116" s="100" t="e">
        <f t="shared" ca="1" si="16"/>
        <v>#NAME?</v>
      </c>
      <c r="L116" s="100" t="e">
        <f t="shared" ca="1" si="17"/>
        <v>#NAME?</v>
      </c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</row>
    <row r="117" spans="1:27">
      <c r="A117" s="100" t="e">
        <f t="shared" ca="1" si="11"/>
        <v>#NAME?</v>
      </c>
      <c r="B117" s="100" t="e">
        <f ca="1">IFERROR(__xludf.DUMMYFUNCTION("""COMPUTED_VALUE"""),116)</f>
        <v>#NAME?</v>
      </c>
      <c r="C117" s="100" t="e">
        <f ca="1">IFERROR(__xludf.DUMMYFUNCTION("""COMPUTED_VALUE"""),"MOVE-USD")</f>
        <v>#NAME?</v>
      </c>
      <c r="D117" s="100" t="e">
        <f ca="1">IFERROR(__xludf.DUMMYFUNCTION("""COMPUTED_VALUE"""),"0.21967")</f>
        <v>#NAME?</v>
      </c>
      <c r="E117" s="100" t="e">
        <f t="shared" ca="1" si="19"/>
        <v>#NAME?</v>
      </c>
      <c r="F117" s="100" t="e">
        <f t="shared" ca="1" si="19"/>
        <v>#NAME?</v>
      </c>
      <c r="G117" s="100" t="e">
        <f t="shared" ca="1" si="12"/>
        <v>#NAME?</v>
      </c>
      <c r="H117" s="100" t="e">
        <f t="shared" ca="1" si="13"/>
        <v>#NAME?</v>
      </c>
      <c r="I117" s="100" t="e">
        <f t="shared" ca="1" si="14"/>
        <v>#NAME?</v>
      </c>
      <c r="J117" s="100" t="e">
        <f t="shared" ca="1" si="15"/>
        <v>#NAME?</v>
      </c>
      <c r="K117" s="100" t="e">
        <f t="shared" ca="1" si="16"/>
        <v>#NAME?</v>
      </c>
      <c r="L117" s="100" t="e">
        <f t="shared" ca="1" si="17"/>
        <v>#NAME?</v>
      </c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</row>
    <row r="118" spans="1:27">
      <c r="A118" s="100" t="e">
        <f t="shared" ca="1" si="11"/>
        <v>#NAME?</v>
      </c>
      <c r="B118" s="100" t="e">
        <f ca="1">IFERROR(__xludf.DUMMYFUNCTION("""COMPUTED_VALUE"""),117)</f>
        <v>#NAME?</v>
      </c>
      <c r="C118" s="100" t="e">
        <f ca="1">IFERROR(__xludf.DUMMYFUNCTION("""COMPUTED_VALUE"""),"CHZ-USDT")</f>
        <v>#NAME?</v>
      </c>
      <c r="D118" s="100" t="e">
        <f ca="1">IFERROR(__xludf.DUMMYFUNCTION("""COMPUTED_VALUE"""),"0.03718")</f>
        <v>#NAME?</v>
      </c>
      <c r="E118" s="100" t="e">
        <f t="shared" ca="1" si="19"/>
        <v>#NAME?</v>
      </c>
      <c r="F118" s="100" t="e">
        <f t="shared" ca="1" si="19"/>
        <v>#NAME?</v>
      </c>
      <c r="G118" s="100" t="e">
        <f t="shared" ca="1" si="12"/>
        <v>#NAME?</v>
      </c>
      <c r="H118" s="100" t="e">
        <f t="shared" ca="1" si="13"/>
        <v>#NAME?</v>
      </c>
      <c r="I118" s="100" t="e">
        <f t="shared" ca="1" si="14"/>
        <v>#NAME?</v>
      </c>
      <c r="J118" s="100" t="e">
        <f t="shared" ca="1" si="15"/>
        <v>#NAME?</v>
      </c>
      <c r="K118" s="100" t="e">
        <f t="shared" ca="1" si="16"/>
        <v>#NAME?</v>
      </c>
      <c r="L118" s="100" t="e">
        <f t="shared" ca="1" si="17"/>
        <v>#NAME?</v>
      </c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</row>
    <row r="119" spans="1:27">
      <c r="A119" s="100" t="e">
        <f t="shared" ca="1" si="11"/>
        <v>#NAME?</v>
      </c>
      <c r="B119" s="100" t="e">
        <f ca="1">IFERROR(__xludf.DUMMYFUNCTION("""COMPUTED_VALUE"""),118)</f>
        <v>#NAME?</v>
      </c>
      <c r="C119" s="100" t="e">
        <f ca="1">IFERROR(__xludf.DUMMYFUNCTION("""COMPUTED_VALUE"""),"USDC-USDT")</f>
        <v>#NAME?</v>
      </c>
      <c r="D119" s="100" t="e">
        <f ca="1">IFERROR(__xludf.DUMMYFUNCTION("""COMPUTED_VALUE"""),"0.9999")</f>
        <v>#NAME?</v>
      </c>
      <c r="E119" s="100" t="e">
        <f t="shared" ca="1" si="19"/>
        <v>#NAME?</v>
      </c>
      <c r="F119" s="100" t="e">
        <f t="shared" ca="1" si="19"/>
        <v>#NAME?</v>
      </c>
      <c r="G119" s="100" t="e">
        <f t="shared" ca="1" si="12"/>
        <v>#NAME?</v>
      </c>
      <c r="H119" s="100" t="e">
        <f t="shared" ca="1" si="13"/>
        <v>#NAME?</v>
      </c>
      <c r="I119" s="100" t="e">
        <f t="shared" ca="1" si="14"/>
        <v>#NAME?</v>
      </c>
      <c r="J119" s="100" t="e">
        <f t="shared" ca="1" si="15"/>
        <v>#NAME?</v>
      </c>
      <c r="K119" s="100" t="e">
        <f t="shared" ca="1" si="16"/>
        <v>#NAME?</v>
      </c>
      <c r="L119" s="100" t="e">
        <f t="shared" ca="1" si="17"/>
        <v>#NAME?</v>
      </c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</row>
    <row r="120" spans="1:27">
      <c r="A120" s="100" t="e">
        <f t="shared" ca="1" si="11"/>
        <v>#NAME?</v>
      </c>
      <c r="B120" s="100" t="e">
        <f ca="1">IFERROR(__xludf.DUMMYFUNCTION("""COMPUTED_VALUE"""),119)</f>
        <v>#NAME?</v>
      </c>
      <c r="C120" s="100" t="e">
        <f ca="1">IFERROR(__xludf.DUMMYFUNCTION("""COMPUTED_VALUE"""),"DOT-USDT")</f>
        <v>#NAME?</v>
      </c>
      <c r="D120" s="100" t="e">
        <f ca="1">IFERROR(__xludf.DUMMYFUNCTION("""COMPUTED_VALUE"""),"3.737")</f>
        <v>#NAME?</v>
      </c>
      <c r="E120" s="100" t="e">
        <f t="shared" ca="1" si="19"/>
        <v>#NAME?</v>
      </c>
      <c r="F120" s="100" t="e">
        <f t="shared" ca="1" si="19"/>
        <v>#NAME?</v>
      </c>
      <c r="G120" s="100" t="e">
        <f t="shared" ca="1" si="12"/>
        <v>#NAME?</v>
      </c>
      <c r="H120" s="100" t="e">
        <f t="shared" ca="1" si="13"/>
        <v>#NAME?</v>
      </c>
      <c r="I120" s="100" t="e">
        <f t="shared" ca="1" si="14"/>
        <v>#NAME?</v>
      </c>
      <c r="J120" s="100" t="e">
        <f t="shared" ca="1" si="15"/>
        <v>#NAME?</v>
      </c>
      <c r="K120" s="100" t="e">
        <f t="shared" ca="1" si="16"/>
        <v>#NAME?</v>
      </c>
      <c r="L120" s="100" t="e">
        <f t="shared" ca="1" si="17"/>
        <v>#NAME?</v>
      </c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</row>
    <row r="121" spans="1:27">
      <c r="A121" s="100" t="e">
        <f t="shared" ca="1" si="11"/>
        <v>#NAME?</v>
      </c>
      <c r="B121" s="100" t="e">
        <f ca="1">IFERROR(__xludf.DUMMYFUNCTION("""COMPUTED_VALUE"""),120)</f>
        <v>#NAME?</v>
      </c>
      <c r="C121" s="100" t="e">
        <f ca="1">IFERROR(__xludf.DUMMYFUNCTION("""COMPUTED_VALUE"""),"MILO-USDT")</f>
        <v>#NAME?</v>
      </c>
      <c r="D121" s="100" t="e">
        <f ca="1">IFERROR(__xludf.DUMMYFUNCTION("""COMPUTED_VALUE"""),"0.00000000552")</f>
        <v>#NAME?</v>
      </c>
      <c r="E121" s="100" t="e">
        <f t="shared" ca="1" si="19"/>
        <v>#NAME?</v>
      </c>
      <c r="F121" s="100" t="e">
        <f t="shared" ca="1" si="19"/>
        <v>#NAME?</v>
      </c>
      <c r="G121" s="100" t="e">
        <f t="shared" ca="1" si="12"/>
        <v>#NAME?</v>
      </c>
      <c r="H121" s="100" t="e">
        <f t="shared" ca="1" si="13"/>
        <v>#NAME?</v>
      </c>
      <c r="I121" s="100" t="e">
        <f t="shared" ca="1" si="14"/>
        <v>#NAME?</v>
      </c>
      <c r="J121" s="100" t="e">
        <f t="shared" ca="1" si="15"/>
        <v>#NAME?</v>
      </c>
      <c r="K121" s="100" t="e">
        <f t="shared" ca="1" si="16"/>
        <v>#NAME?</v>
      </c>
      <c r="L121" s="100" t="e">
        <f t="shared" ca="1" si="17"/>
        <v>#NAME?</v>
      </c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</row>
    <row r="122" spans="1:27">
      <c r="A122" s="100" t="e">
        <f t="shared" ca="1" si="11"/>
        <v>#NAME?</v>
      </c>
      <c r="B122" s="100" t="e">
        <f ca="1">IFERROR(__xludf.DUMMYFUNCTION("""COMPUTED_VALUE"""),121)</f>
        <v>#NAME?</v>
      </c>
      <c r="C122" s="100" t="e">
        <f ca="1">IFERROR(__xludf.DUMMYFUNCTION("""COMPUTED_VALUE"""),"KNC-USD")</f>
        <v>#NAME?</v>
      </c>
      <c r="D122" s="100" t="e">
        <f ca="1">IFERROR(__xludf.DUMMYFUNCTION("""COMPUTED_VALUE"""),"0.3408")</f>
        <v>#NAME?</v>
      </c>
      <c r="E122" s="100" t="e">
        <f t="shared" ref="E122:F141" ca="1" si="20">IFERROR(__xludf.DUMMYFUNCTION("""COMPUTED_VALUE"""),"-")</f>
        <v>#NAME?</v>
      </c>
      <c r="F122" s="100" t="e">
        <f t="shared" ca="1" si="20"/>
        <v>#NAME?</v>
      </c>
      <c r="G122" s="100" t="e">
        <f t="shared" ca="1" si="12"/>
        <v>#NAME?</v>
      </c>
      <c r="H122" s="100" t="e">
        <f t="shared" ca="1" si="13"/>
        <v>#NAME?</v>
      </c>
      <c r="I122" s="100" t="e">
        <f t="shared" ca="1" si="14"/>
        <v>#NAME?</v>
      </c>
      <c r="J122" s="100" t="e">
        <f t="shared" ca="1" si="15"/>
        <v>#NAME?</v>
      </c>
      <c r="K122" s="100" t="e">
        <f t="shared" ca="1" si="16"/>
        <v>#NAME?</v>
      </c>
      <c r="L122" s="100" t="e">
        <f t="shared" ca="1" si="17"/>
        <v>#NAME?</v>
      </c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</row>
    <row r="123" spans="1:27">
      <c r="A123" s="100" t="e">
        <f t="shared" ca="1" si="11"/>
        <v>#NAME?</v>
      </c>
      <c r="B123" s="100" t="e">
        <f ca="1">IFERROR(__xludf.DUMMYFUNCTION("""COMPUTED_VALUE"""),122)</f>
        <v>#NAME?</v>
      </c>
      <c r="C123" s="100" t="e">
        <f ca="1">IFERROR(__xludf.DUMMYFUNCTION("""COMPUTED_VALUE"""),"ENJ-USD")</f>
        <v>#NAME?</v>
      </c>
      <c r="D123" s="100" t="e">
        <f ca="1">IFERROR(__xludf.DUMMYFUNCTION("""COMPUTED_VALUE"""),"0.08856")</f>
        <v>#NAME?</v>
      </c>
      <c r="E123" s="100" t="e">
        <f t="shared" ca="1" si="20"/>
        <v>#NAME?</v>
      </c>
      <c r="F123" s="100" t="e">
        <f t="shared" ca="1" si="20"/>
        <v>#NAME?</v>
      </c>
      <c r="G123" s="100" t="e">
        <f t="shared" ca="1" si="12"/>
        <v>#NAME?</v>
      </c>
      <c r="H123" s="100" t="e">
        <f t="shared" ca="1" si="13"/>
        <v>#NAME?</v>
      </c>
      <c r="I123" s="100" t="e">
        <f t="shared" ca="1" si="14"/>
        <v>#NAME?</v>
      </c>
      <c r="J123" s="100" t="e">
        <f t="shared" ca="1" si="15"/>
        <v>#NAME?</v>
      </c>
      <c r="K123" s="100" t="e">
        <f t="shared" ca="1" si="16"/>
        <v>#NAME?</v>
      </c>
      <c r="L123" s="100" t="e">
        <f t="shared" ca="1" si="17"/>
        <v>#NAME?</v>
      </c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</row>
    <row r="124" spans="1:27">
      <c r="A124" s="100" t="e">
        <f t="shared" ca="1" si="11"/>
        <v>#NAME?</v>
      </c>
      <c r="B124" s="100" t="e">
        <f ca="1">IFERROR(__xludf.DUMMYFUNCTION("""COMPUTED_VALUE"""),123)</f>
        <v>#NAME?</v>
      </c>
      <c r="C124" s="100" t="e">
        <f ca="1">IFERROR(__xludf.DUMMYFUNCTION("""COMPUTED_VALUE"""),"BAL-USD")</f>
        <v>#NAME?</v>
      </c>
      <c r="D124" s="100" t="e">
        <f ca="1">IFERROR(__xludf.DUMMYFUNCTION("""COMPUTED_VALUE"""),"0.92")</f>
        <v>#NAME?</v>
      </c>
      <c r="E124" s="100" t="e">
        <f t="shared" ca="1" si="20"/>
        <v>#NAME?</v>
      </c>
      <c r="F124" s="100" t="e">
        <f t="shared" ca="1" si="20"/>
        <v>#NAME?</v>
      </c>
      <c r="G124" s="100" t="e">
        <f t="shared" ca="1" si="12"/>
        <v>#NAME?</v>
      </c>
      <c r="H124" s="100" t="e">
        <f t="shared" ca="1" si="13"/>
        <v>#NAME?</v>
      </c>
      <c r="I124" s="100" t="e">
        <f t="shared" ca="1" si="14"/>
        <v>#NAME?</v>
      </c>
      <c r="J124" s="100" t="e">
        <f t="shared" ca="1" si="15"/>
        <v>#NAME?</v>
      </c>
      <c r="K124" s="100" t="e">
        <f t="shared" ca="1" si="16"/>
        <v>#NAME?</v>
      </c>
      <c r="L124" s="100" t="e">
        <f t="shared" ca="1" si="17"/>
        <v>#NAME?</v>
      </c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</row>
    <row r="125" spans="1:27">
      <c r="A125" s="100" t="e">
        <f t="shared" ca="1" si="11"/>
        <v>#NAME?</v>
      </c>
      <c r="B125" s="100" t="e">
        <f ca="1">IFERROR(__xludf.DUMMYFUNCTION("""COMPUTED_VALUE"""),124)</f>
        <v>#NAME?</v>
      </c>
      <c r="C125" s="100" t="e">
        <f ca="1">IFERROR(__xludf.DUMMYFUNCTION("""COMPUTED_VALUE"""),"BLUR-USD")</f>
        <v>#NAME?</v>
      </c>
      <c r="D125" s="100" t="e">
        <f ca="1">IFERROR(__xludf.DUMMYFUNCTION("""COMPUTED_VALUE"""),"0.1027")</f>
        <v>#NAME?</v>
      </c>
      <c r="E125" s="100" t="e">
        <f t="shared" ca="1" si="20"/>
        <v>#NAME?</v>
      </c>
      <c r="F125" s="100" t="e">
        <f t="shared" ca="1" si="20"/>
        <v>#NAME?</v>
      </c>
      <c r="G125" s="100" t="e">
        <f t="shared" ca="1" si="12"/>
        <v>#NAME?</v>
      </c>
      <c r="H125" s="100" t="e">
        <f t="shared" ca="1" si="13"/>
        <v>#NAME?</v>
      </c>
      <c r="I125" s="100" t="e">
        <f t="shared" ca="1" si="14"/>
        <v>#NAME?</v>
      </c>
      <c r="J125" s="100" t="e">
        <f t="shared" ca="1" si="15"/>
        <v>#NAME?</v>
      </c>
      <c r="K125" s="100" t="e">
        <f t="shared" ca="1" si="16"/>
        <v>#NAME?</v>
      </c>
      <c r="L125" s="100" t="e">
        <f t="shared" ca="1" si="17"/>
        <v>#NAME?</v>
      </c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</row>
    <row r="126" spans="1:27">
      <c r="A126" s="100" t="e">
        <f t="shared" ca="1" si="11"/>
        <v>#NAME?</v>
      </c>
      <c r="B126" s="100" t="e">
        <f ca="1">IFERROR(__xludf.DUMMYFUNCTION("""COMPUTED_VALUE"""),125)</f>
        <v>#NAME?</v>
      </c>
      <c r="C126" s="100" t="e">
        <f ca="1">IFERROR(__xludf.DUMMYFUNCTION("""COMPUTED_VALUE"""),"WIF-USD")</f>
        <v>#NAME?</v>
      </c>
      <c r="D126" s="100" t="e">
        <f ca="1">IFERROR(__xludf.DUMMYFUNCTION("""COMPUTED_VALUE"""),"0.4329")</f>
        <v>#NAME?</v>
      </c>
      <c r="E126" s="100" t="e">
        <f t="shared" ca="1" si="20"/>
        <v>#NAME?</v>
      </c>
      <c r="F126" s="100" t="e">
        <f t="shared" ca="1" si="20"/>
        <v>#NAME?</v>
      </c>
      <c r="G126" s="100" t="e">
        <f t="shared" ca="1" si="12"/>
        <v>#NAME?</v>
      </c>
      <c r="H126" s="100" t="e">
        <f t="shared" ca="1" si="13"/>
        <v>#NAME?</v>
      </c>
      <c r="I126" s="100" t="e">
        <f t="shared" ca="1" si="14"/>
        <v>#NAME?</v>
      </c>
      <c r="J126" s="100" t="e">
        <f t="shared" ca="1" si="15"/>
        <v>#NAME?</v>
      </c>
      <c r="K126" s="100" t="e">
        <f t="shared" ca="1" si="16"/>
        <v>#NAME?</v>
      </c>
      <c r="L126" s="100" t="e">
        <f t="shared" ca="1" si="17"/>
        <v>#NAME?</v>
      </c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</row>
    <row r="127" spans="1:27">
      <c r="A127" s="100" t="e">
        <f t="shared" ca="1" si="11"/>
        <v>#NAME?</v>
      </c>
      <c r="B127" s="100" t="e">
        <f ca="1">IFERROR(__xludf.DUMMYFUNCTION("""COMPUTED_VALUE"""),126)</f>
        <v>#NAME?</v>
      </c>
      <c r="C127" s="100" t="e">
        <f ca="1">IFERROR(__xludf.DUMMYFUNCTION("""COMPUTED_VALUE"""),"XAUT-USDT")</f>
        <v>#NAME?</v>
      </c>
      <c r="D127" s="100" t="e">
        <f ca="1">IFERROR(__xludf.DUMMYFUNCTION("""COMPUTED_VALUE"""),"3482.8")</f>
        <v>#NAME?</v>
      </c>
      <c r="E127" s="100" t="e">
        <f t="shared" ca="1" si="20"/>
        <v>#NAME?</v>
      </c>
      <c r="F127" s="100" t="e">
        <f t="shared" ca="1" si="20"/>
        <v>#NAME?</v>
      </c>
      <c r="G127" s="100" t="e">
        <f t="shared" ca="1" si="12"/>
        <v>#NAME?</v>
      </c>
      <c r="H127" s="100" t="e">
        <f t="shared" ca="1" si="13"/>
        <v>#NAME?</v>
      </c>
      <c r="I127" s="100" t="e">
        <f t="shared" ca="1" si="14"/>
        <v>#NAME?</v>
      </c>
      <c r="J127" s="100" t="e">
        <f t="shared" ca="1" si="15"/>
        <v>#NAME?</v>
      </c>
      <c r="K127" s="100" t="e">
        <f t="shared" ca="1" si="16"/>
        <v>#NAME?</v>
      </c>
      <c r="L127" s="100" t="e">
        <f t="shared" ca="1" si="17"/>
        <v>#NAME?</v>
      </c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</row>
    <row r="128" spans="1:27">
      <c r="A128" s="100" t="e">
        <f t="shared" ca="1" si="11"/>
        <v>#NAME?</v>
      </c>
      <c r="B128" s="100" t="e">
        <f ca="1">IFERROR(__xludf.DUMMYFUNCTION("""COMPUTED_VALUE"""),127)</f>
        <v>#NAME?</v>
      </c>
      <c r="C128" s="100" t="e">
        <f ca="1">IFERROR(__xludf.DUMMYFUNCTION("""COMPUTED_VALUE"""),"UXLINK-USD")</f>
        <v>#NAME?</v>
      </c>
      <c r="D128" s="100" t="e">
        <f ca="1">IFERROR(__xludf.DUMMYFUNCTION("""COMPUTED_VALUE"""),"0.4336")</f>
        <v>#NAME?</v>
      </c>
      <c r="E128" s="100" t="e">
        <f t="shared" ca="1" si="20"/>
        <v>#NAME?</v>
      </c>
      <c r="F128" s="100" t="e">
        <f t="shared" ca="1" si="20"/>
        <v>#NAME?</v>
      </c>
      <c r="G128" s="100" t="e">
        <f t="shared" ca="1" si="12"/>
        <v>#NAME?</v>
      </c>
      <c r="H128" s="100" t="e">
        <f t="shared" ca="1" si="13"/>
        <v>#NAME?</v>
      </c>
      <c r="I128" s="100" t="e">
        <f t="shared" ca="1" si="14"/>
        <v>#NAME?</v>
      </c>
      <c r="J128" s="100" t="e">
        <f t="shared" ca="1" si="15"/>
        <v>#NAME?</v>
      </c>
      <c r="K128" s="100" t="e">
        <f t="shared" ca="1" si="16"/>
        <v>#NAME?</v>
      </c>
      <c r="L128" s="100" t="e">
        <f t="shared" ca="1" si="17"/>
        <v>#NAME?</v>
      </c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</row>
    <row r="129" spans="1:27">
      <c r="A129" s="100" t="e">
        <f t="shared" ca="1" si="11"/>
        <v>#NAME?</v>
      </c>
      <c r="B129" s="100" t="e">
        <f ca="1">IFERROR(__xludf.DUMMYFUNCTION("""COMPUTED_VALUE"""),128)</f>
        <v>#NAME?</v>
      </c>
      <c r="C129" s="100" t="e">
        <f ca="1">IFERROR(__xludf.DUMMYFUNCTION("""COMPUTED_VALUE"""),"SONIC-USD")</f>
        <v>#NAME?</v>
      </c>
      <c r="D129" s="100" t="e">
        <f ca="1">IFERROR(__xludf.DUMMYFUNCTION("""COMPUTED_VALUE"""),"0.22428")</f>
        <v>#NAME?</v>
      </c>
      <c r="E129" s="100" t="e">
        <f t="shared" ca="1" si="20"/>
        <v>#NAME?</v>
      </c>
      <c r="F129" s="100" t="e">
        <f t="shared" ca="1" si="20"/>
        <v>#NAME?</v>
      </c>
      <c r="G129" s="100" t="e">
        <f t="shared" ca="1" si="12"/>
        <v>#NAME?</v>
      </c>
      <c r="H129" s="100" t="e">
        <f t="shared" ca="1" si="13"/>
        <v>#NAME?</v>
      </c>
      <c r="I129" s="100" t="e">
        <f t="shared" ca="1" si="14"/>
        <v>#NAME?</v>
      </c>
      <c r="J129" s="100" t="e">
        <f t="shared" ca="1" si="15"/>
        <v>#NAME?</v>
      </c>
      <c r="K129" s="100" t="e">
        <f t="shared" ca="1" si="16"/>
        <v>#NAME?</v>
      </c>
      <c r="L129" s="100" t="e">
        <f t="shared" ca="1" si="17"/>
        <v>#NAME?</v>
      </c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</row>
    <row r="130" spans="1:27">
      <c r="A130" s="100" t="e">
        <f t="shared" ref="A130:A193" ca="1" si="21">SUBSTITUTE(C130,"-","",)</f>
        <v>#NAME?</v>
      </c>
      <c r="B130" s="100" t="e">
        <f ca="1">IFERROR(__xludf.DUMMYFUNCTION("""COMPUTED_VALUE"""),129)</f>
        <v>#NAME?</v>
      </c>
      <c r="C130" s="100" t="e">
        <f ca="1">IFERROR(__xludf.DUMMYFUNCTION("""COMPUTED_VALUE"""),"EOS-USDT")</f>
        <v>#NAME?</v>
      </c>
      <c r="D130" s="100" t="e">
        <f ca="1">IFERROR(__xludf.DUMMYFUNCTION("""COMPUTED_VALUE"""),"0.6315")</f>
        <v>#NAME?</v>
      </c>
      <c r="E130" s="100" t="e">
        <f t="shared" ca="1" si="20"/>
        <v>#NAME?</v>
      </c>
      <c r="F130" s="100" t="e">
        <f t="shared" ca="1" si="20"/>
        <v>#NAME?</v>
      </c>
      <c r="G130" s="100" t="e">
        <f t="shared" ref="G130:G193" ca="1" si="22">IFERROR(__xludf.DUMMYFUNCTION("""COMPUTED_VALUE"""),20200)</f>
        <v>#NAME?</v>
      </c>
      <c r="H130" s="100" t="e">
        <f t="shared" ref="H130:H193" ca="1" si="23">IFERROR(__xludf.DUMMYFUNCTION("""COMPUTED_VALUE"""),2885)</f>
        <v>#NAME?</v>
      </c>
      <c r="I130" s="100" t="e">
        <f t="shared" ref="I130:I193" ca="1" si="24">IFERROR(__xludf.DUMMYFUNCTION("""COMPUTED_VALUE"""),663)</f>
        <v>#NAME?</v>
      </c>
      <c r="J130" s="100" t="e">
        <f t="shared" ref="J130:J193" ca="1" si="25">IFERROR(__xludf.DUMMYFUNCTION("""COMPUTED_VALUE"""),5817714)</f>
        <v>#NAME?</v>
      </c>
      <c r="K130" s="100" t="e">
        <f t="shared" ref="K130:K193" ca="1" si="26">IFERROR(__xludf.DUMMYFUNCTION("""COMPUTED_VALUE"""),"-")</f>
        <v>#NAME?</v>
      </c>
      <c r="L130" s="100" t="e">
        <f t="shared" ref="L130:L193" ca="1" si="27">IFERROR(__xludf.DUMMYFUNCTION("""COMPUTED_VALUE"""),"22.04.2025 12:32:49")</f>
        <v>#NAME?</v>
      </c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</row>
    <row r="131" spans="1:27">
      <c r="A131" s="100" t="e">
        <f t="shared" ca="1" si="21"/>
        <v>#NAME?</v>
      </c>
      <c r="B131" s="100" t="e">
        <f ca="1">IFERROR(__xludf.DUMMYFUNCTION("""COMPUTED_VALUE"""),130)</f>
        <v>#NAME?</v>
      </c>
      <c r="C131" s="100" t="e">
        <f ca="1">IFERROR(__xludf.DUMMYFUNCTION("""COMPUTED_VALUE"""),"DOT-USDC")</f>
        <v>#NAME?</v>
      </c>
      <c r="D131" s="100" t="e">
        <f ca="1">IFERROR(__xludf.DUMMYFUNCTION("""COMPUTED_VALUE"""),"3.737")</f>
        <v>#NAME?</v>
      </c>
      <c r="E131" s="100" t="e">
        <f t="shared" ca="1" si="20"/>
        <v>#NAME?</v>
      </c>
      <c r="F131" s="100" t="e">
        <f t="shared" ca="1" si="20"/>
        <v>#NAME?</v>
      </c>
      <c r="G131" s="100" t="e">
        <f t="shared" ca="1" si="22"/>
        <v>#NAME?</v>
      </c>
      <c r="H131" s="100" t="e">
        <f t="shared" ca="1" si="23"/>
        <v>#NAME?</v>
      </c>
      <c r="I131" s="100" t="e">
        <f t="shared" ca="1" si="24"/>
        <v>#NAME?</v>
      </c>
      <c r="J131" s="100" t="e">
        <f t="shared" ca="1" si="25"/>
        <v>#NAME?</v>
      </c>
      <c r="K131" s="100" t="e">
        <f t="shared" ca="1" si="26"/>
        <v>#NAME?</v>
      </c>
      <c r="L131" s="100" t="e">
        <f t="shared" ca="1" si="27"/>
        <v>#NAME?</v>
      </c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</row>
    <row r="132" spans="1:27">
      <c r="A132" s="100" t="e">
        <f t="shared" ca="1" si="21"/>
        <v>#NAME?</v>
      </c>
      <c r="B132" s="100" t="e">
        <f ca="1">IFERROR(__xludf.DUMMYFUNCTION("""COMPUTED_VALUE"""),131)</f>
        <v>#NAME?</v>
      </c>
      <c r="C132" s="100" t="e">
        <f ca="1">IFERROR(__xludf.DUMMYFUNCTION("""COMPUTED_VALUE"""),"GMX-USDT")</f>
        <v>#NAME?</v>
      </c>
      <c r="D132" s="100" t="e">
        <f ca="1">IFERROR(__xludf.DUMMYFUNCTION("""COMPUTED_VALUE"""),"13.67")</f>
        <v>#NAME?</v>
      </c>
      <c r="E132" s="100" t="e">
        <f t="shared" ca="1" si="20"/>
        <v>#NAME?</v>
      </c>
      <c r="F132" s="100" t="e">
        <f t="shared" ca="1" si="20"/>
        <v>#NAME?</v>
      </c>
      <c r="G132" s="100" t="e">
        <f t="shared" ca="1" si="22"/>
        <v>#NAME?</v>
      </c>
      <c r="H132" s="100" t="e">
        <f t="shared" ca="1" si="23"/>
        <v>#NAME?</v>
      </c>
      <c r="I132" s="100" t="e">
        <f t="shared" ca="1" si="24"/>
        <v>#NAME?</v>
      </c>
      <c r="J132" s="100" t="e">
        <f t="shared" ca="1" si="25"/>
        <v>#NAME?</v>
      </c>
      <c r="K132" s="100" t="e">
        <f t="shared" ca="1" si="26"/>
        <v>#NAME?</v>
      </c>
      <c r="L132" s="100" t="e">
        <f t="shared" ca="1" si="27"/>
        <v>#NAME?</v>
      </c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</row>
    <row r="133" spans="1:27">
      <c r="A133" s="100" t="e">
        <f t="shared" ca="1" si="21"/>
        <v>#NAME?</v>
      </c>
      <c r="B133" s="100" t="e">
        <f ca="1">IFERROR(__xludf.DUMMYFUNCTION("""COMPUTED_VALUE"""),132)</f>
        <v>#NAME?</v>
      </c>
      <c r="C133" s="100" t="e">
        <f ca="1">IFERROR(__xludf.DUMMYFUNCTION("""COMPUTED_VALUE"""),"ZBCN-USD")</f>
        <v>#NAME?</v>
      </c>
      <c r="D133" s="100" t="e">
        <f ca="1">IFERROR(__xludf.DUMMYFUNCTION("""COMPUTED_VALUE"""),"0.0008165")</f>
        <v>#NAME?</v>
      </c>
      <c r="E133" s="100" t="e">
        <f t="shared" ca="1" si="20"/>
        <v>#NAME?</v>
      </c>
      <c r="F133" s="100" t="e">
        <f t="shared" ca="1" si="20"/>
        <v>#NAME?</v>
      </c>
      <c r="G133" s="100" t="e">
        <f t="shared" ca="1" si="22"/>
        <v>#NAME?</v>
      </c>
      <c r="H133" s="100" t="e">
        <f t="shared" ca="1" si="23"/>
        <v>#NAME?</v>
      </c>
      <c r="I133" s="100" t="e">
        <f t="shared" ca="1" si="24"/>
        <v>#NAME?</v>
      </c>
      <c r="J133" s="100" t="e">
        <f t="shared" ca="1" si="25"/>
        <v>#NAME?</v>
      </c>
      <c r="K133" s="100" t="e">
        <f t="shared" ca="1" si="26"/>
        <v>#NAME?</v>
      </c>
      <c r="L133" s="100" t="e">
        <f t="shared" ca="1" si="27"/>
        <v>#NAME?</v>
      </c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</row>
    <row r="134" spans="1:27">
      <c r="A134" s="100" t="e">
        <f t="shared" ca="1" si="21"/>
        <v>#NAME?</v>
      </c>
      <c r="B134" s="100" t="e">
        <f ca="1">IFERROR(__xludf.DUMMYFUNCTION("""COMPUTED_VALUE"""),133)</f>
        <v>#NAME?</v>
      </c>
      <c r="C134" s="100" t="e">
        <f ca="1">IFERROR(__xludf.DUMMYFUNCTION("""COMPUTED_VALUE"""),"G-USD")</f>
        <v>#NAME?</v>
      </c>
      <c r="D134" s="100" t="e">
        <f ca="1">IFERROR(__xludf.DUMMYFUNCTION("""COMPUTED_VALUE"""),"0.01416")</f>
        <v>#NAME?</v>
      </c>
      <c r="E134" s="100" t="e">
        <f t="shared" ca="1" si="20"/>
        <v>#NAME?</v>
      </c>
      <c r="F134" s="100" t="e">
        <f t="shared" ca="1" si="20"/>
        <v>#NAME?</v>
      </c>
      <c r="G134" s="100" t="e">
        <f t="shared" ca="1" si="22"/>
        <v>#NAME?</v>
      </c>
      <c r="H134" s="100" t="e">
        <f t="shared" ca="1" si="23"/>
        <v>#NAME?</v>
      </c>
      <c r="I134" s="100" t="e">
        <f t="shared" ca="1" si="24"/>
        <v>#NAME?</v>
      </c>
      <c r="J134" s="100" t="e">
        <f t="shared" ca="1" si="25"/>
        <v>#NAME?</v>
      </c>
      <c r="K134" s="100" t="e">
        <f t="shared" ca="1" si="26"/>
        <v>#NAME?</v>
      </c>
      <c r="L134" s="100" t="e">
        <f t="shared" ca="1" si="27"/>
        <v>#NAME?</v>
      </c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</row>
    <row r="135" spans="1:27">
      <c r="A135" s="100" t="e">
        <f t="shared" ca="1" si="21"/>
        <v>#NAME?</v>
      </c>
      <c r="B135" s="100" t="e">
        <f ca="1">IFERROR(__xludf.DUMMYFUNCTION("""COMPUTED_VALUE"""),134)</f>
        <v>#NAME?</v>
      </c>
      <c r="C135" s="100" t="e">
        <f ca="1">IFERROR(__xludf.DUMMYFUNCTION("""COMPUTED_VALUE"""),"GODS-USD")</f>
        <v>#NAME?</v>
      </c>
      <c r="D135" s="100" t="e">
        <f ca="1">IFERROR(__xludf.DUMMYFUNCTION("""COMPUTED_VALUE"""),"0.09147")</f>
        <v>#NAME?</v>
      </c>
      <c r="E135" s="100" t="e">
        <f t="shared" ca="1" si="20"/>
        <v>#NAME?</v>
      </c>
      <c r="F135" s="100" t="e">
        <f t="shared" ca="1" si="20"/>
        <v>#NAME?</v>
      </c>
      <c r="G135" s="100" t="e">
        <f t="shared" ca="1" si="22"/>
        <v>#NAME?</v>
      </c>
      <c r="H135" s="100" t="e">
        <f t="shared" ca="1" si="23"/>
        <v>#NAME?</v>
      </c>
      <c r="I135" s="100" t="e">
        <f t="shared" ca="1" si="24"/>
        <v>#NAME?</v>
      </c>
      <c r="J135" s="100" t="e">
        <f t="shared" ca="1" si="25"/>
        <v>#NAME?</v>
      </c>
      <c r="K135" s="100" t="e">
        <f t="shared" ca="1" si="26"/>
        <v>#NAME?</v>
      </c>
      <c r="L135" s="100" t="e">
        <f t="shared" ca="1" si="27"/>
        <v>#NAME?</v>
      </c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</row>
    <row r="136" spans="1:27">
      <c r="A136" s="100" t="e">
        <f t="shared" ca="1" si="21"/>
        <v>#NAME?</v>
      </c>
      <c r="B136" s="100" t="e">
        <f ca="1">IFERROR(__xludf.DUMMYFUNCTION("""COMPUTED_VALUE"""),135)</f>
        <v>#NAME?</v>
      </c>
      <c r="C136" s="100" t="e">
        <f ca="1">IFERROR(__xludf.DUMMYFUNCTION("""COMPUTED_VALUE"""),"IOST-USDT")</f>
        <v>#NAME?</v>
      </c>
      <c r="D136" s="100" t="e">
        <f ca="1">IFERROR(__xludf.DUMMYFUNCTION("""COMPUTED_VALUE"""),"0.00376")</f>
        <v>#NAME?</v>
      </c>
      <c r="E136" s="100" t="e">
        <f t="shared" ca="1" si="20"/>
        <v>#NAME?</v>
      </c>
      <c r="F136" s="100" t="e">
        <f t="shared" ca="1" si="20"/>
        <v>#NAME?</v>
      </c>
      <c r="G136" s="100" t="e">
        <f t="shared" ca="1" si="22"/>
        <v>#NAME?</v>
      </c>
      <c r="H136" s="100" t="e">
        <f t="shared" ca="1" si="23"/>
        <v>#NAME?</v>
      </c>
      <c r="I136" s="100" t="e">
        <f t="shared" ca="1" si="24"/>
        <v>#NAME?</v>
      </c>
      <c r="J136" s="100" t="e">
        <f t="shared" ca="1" si="25"/>
        <v>#NAME?</v>
      </c>
      <c r="K136" s="100" t="e">
        <f t="shared" ca="1" si="26"/>
        <v>#NAME?</v>
      </c>
      <c r="L136" s="100" t="e">
        <f t="shared" ca="1" si="27"/>
        <v>#NAME?</v>
      </c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</row>
    <row r="137" spans="1:27">
      <c r="A137" s="100" t="e">
        <f t="shared" ca="1" si="21"/>
        <v>#NAME?</v>
      </c>
      <c r="B137" s="100" t="e">
        <f ca="1">IFERROR(__xludf.DUMMYFUNCTION("""COMPUTED_VALUE"""),136)</f>
        <v>#NAME?</v>
      </c>
      <c r="C137" s="100" t="e">
        <f ca="1">IFERROR(__xludf.DUMMYFUNCTION("""COMPUTED_VALUE"""),"GALA-USD")</f>
        <v>#NAME?</v>
      </c>
      <c r="D137" s="100" t="e">
        <f ca="1">IFERROR(__xludf.DUMMYFUNCTION("""COMPUTED_VALUE"""),"0.0155")</f>
        <v>#NAME?</v>
      </c>
      <c r="E137" s="100" t="e">
        <f t="shared" ca="1" si="20"/>
        <v>#NAME?</v>
      </c>
      <c r="F137" s="100" t="e">
        <f t="shared" ca="1" si="20"/>
        <v>#NAME?</v>
      </c>
      <c r="G137" s="100" t="e">
        <f t="shared" ca="1" si="22"/>
        <v>#NAME?</v>
      </c>
      <c r="H137" s="100" t="e">
        <f t="shared" ca="1" si="23"/>
        <v>#NAME?</v>
      </c>
      <c r="I137" s="100" t="e">
        <f t="shared" ca="1" si="24"/>
        <v>#NAME?</v>
      </c>
      <c r="J137" s="100" t="e">
        <f t="shared" ca="1" si="25"/>
        <v>#NAME?</v>
      </c>
      <c r="K137" s="100" t="e">
        <f t="shared" ca="1" si="26"/>
        <v>#NAME?</v>
      </c>
      <c r="L137" s="100" t="e">
        <f t="shared" ca="1" si="27"/>
        <v>#NAME?</v>
      </c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</row>
    <row r="138" spans="1:27">
      <c r="A138" s="100" t="e">
        <f t="shared" ca="1" si="21"/>
        <v>#NAME?</v>
      </c>
      <c r="B138" s="100" t="e">
        <f ca="1">IFERROR(__xludf.DUMMYFUNCTION("""COMPUTED_VALUE"""),137)</f>
        <v>#NAME?</v>
      </c>
      <c r="C138" s="100" t="e">
        <f ca="1">IFERROR(__xludf.DUMMYFUNCTION("""COMPUTED_VALUE"""),"STRK-USDT")</f>
        <v>#NAME?</v>
      </c>
      <c r="D138" s="100" t="e">
        <f ca="1">IFERROR(__xludf.DUMMYFUNCTION("""COMPUTED_VALUE"""),"0.1353")</f>
        <v>#NAME?</v>
      </c>
      <c r="E138" s="100" t="e">
        <f t="shared" ca="1" si="20"/>
        <v>#NAME?</v>
      </c>
      <c r="F138" s="100" t="e">
        <f t="shared" ca="1" si="20"/>
        <v>#NAME?</v>
      </c>
      <c r="G138" s="100" t="e">
        <f t="shared" ca="1" si="22"/>
        <v>#NAME?</v>
      </c>
      <c r="H138" s="100" t="e">
        <f t="shared" ca="1" si="23"/>
        <v>#NAME?</v>
      </c>
      <c r="I138" s="100" t="e">
        <f t="shared" ca="1" si="24"/>
        <v>#NAME?</v>
      </c>
      <c r="J138" s="100" t="e">
        <f t="shared" ca="1" si="25"/>
        <v>#NAME?</v>
      </c>
      <c r="K138" s="100" t="e">
        <f t="shared" ca="1" si="26"/>
        <v>#NAME?</v>
      </c>
      <c r="L138" s="100" t="e">
        <f t="shared" ca="1" si="27"/>
        <v>#NAME?</v>
      </c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</row>
    <row r="139" spans="1:27">
      <c r="A139" s="100" t="e">
        <f t="shared" ca="1" si="21"/>
        <v>#NAME?</v>
      </c>
      <c r="B139" s="100" t="e">
        <f ca="1">IFERROR(__xludf.DUMMYFUNCTION("""COMPUTED_VALUE"""),138)</f>
        <v>#NAME?</v>
      </c>
      <c r="C139" s="100" t="e">
        <f ca="1">IFERROR(__xludf.DUMMYFUNCTION("""COMPUTED_VALUE"""),"ATH-USDT")</f>
        <v>#NAME?</v>
      </c>
      <c r="D139" s="100" t="e">
        <f ca="1">IFERROR(__xludf.DUMMYFUNCTION("""COMPUTED_VALUE"""),"0.02782")</f>
        <v>#NAME?</v>
      </c>
      <c r="E139" s="100" t="e">
        <f t="shared" ca="1" si="20"/>
        <v>#NAME?</v>
      </c>
      <c r="F139" s="100" t="e">
        <f t="shared" ca="1" si="20"/>
        <v>#NAME?</v>
      </c>
      <c r="G139" s="100" t="e">
        <f t="shared" ca="1" si="22"/>
        <v>#NAME?</v>
      </c>
      <c r="H139" s="100" t="e">
        <f t="shared" ca="1" si="23"/>
        <v>#NAME?</v>
      </c>
      <c r="I139" s="100" t="e">
        <f t="shared" ca="1" si="24"/>
        <v>#NAME?</v>
      </c>
      <c r="J139" s="100" t="e">
        <f t="shared" ca="1" si="25"/>
        <v>#NAME?</v>
      </c>
      <c r="K139" s="100" t="e">
        <f t="shared" ca="1" si="26"/>
        <v>#NAME?</v>
      </c>
      <c r="L139" s="100" t="e">
        <f t="shared" ca="1" si="27"/>
        <v>#NAME?</v>
      </c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</row>
    <row r="140" spans="1:27">
      <c r="A140" s="100" t="e">
        <f t="shared" ca="1" si="21"/>
        <v>#NAME?</v>
      </c>
      <c r="B140" s="100" t="e">
        <f ca="1">IFERROR(__xludf.DUMMYFUNCTION("""COMPUTED_VALUE"""),139)</f>
        <v>#NAME?</v>
      </c>
      <c r="C140" s="100" t="e">
        <f ca="1">IFERROR(__xludf.DUMMYFUNCTION("""COMPUTED_VALUE"""),"CHZ-USDC")</f>
        <v>#NAME?</v>
      </c>
      <c r="D140" s="100" t="e">
        <f ca="1">IFERROR(__xludf.DUMMYFUNCTION("""COMPUTED_VALUE"""),"0.03723")</f>
        <v>#NAME?</v>
      </c>
      <c r="E140" s="100" t="e">
        <f t="shared" ca="1" si="20"/>
        <v>#NAME?</v>
      </c>
      <c r="F140" s="100" t="e">
        <f t="shared" ca="1" si="20"/>
        <v>#NAME?</v>
      </c>
      <c r="G140" s="100" t="e">
        <f t="shared" ca="1" si="22"/>
        <v>#NAME?</v>
      </c>
      <c r="H140" s="100" t="e">
        <f t="shared" ca="1" si="23"/>
        <v>#NAME?</v>
      </c>
      <c r="I140" s="100" t="e">
        <f t="shared" ca="1" si="24"/>
        <v>#NAME?</v>
      </c>
      <c r="J140" s="100" t="e">
        <f t="shared" ca="1" si="25"/>
        <v>#NAME?</v>
      </c>
      <c r="K140" s="100" t="e">
        <f t="shared" ca="1" si="26"/>
        <v>#NAME?</v>
      </c>
      <c r="L140" s="100" t="e">
        <f t="shared" ca="1" si="27"/>
        <v>#NAME?</v>
      </c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</row>
    <row r="141" spans="1:27">
      <c r="A141" s="100" t="e">
        <f t="shared" ca="1" si="21"/>
        <v>#NAME?</v>
      </c>
      <c r="B141" s="100" t="e">
        <f ca="1">IFERROR(__xludf.DUMMYFUNCTION("""COMPUTED_VALUE"""),140)</f>
        <v>#NAME?</v>
      </c>
      <c r="C141" s="100" t="e">
        <f ca="1">IFERROR(__xludf.DUMMYFUNCTION("""COMPUTED_VALUE"""),"BAT-EUR")</f>
        <v>#NAME?</v>
      </c>
      <c r="D141" s="100" t="e">
        <f ca="1">IFERROR(__xludf.DUMMYFUNCTION("""COMPUTED_VALUE"""),"0.1151")</f>
        <v>#NAME?</v>
      </c>
      <c r="E141" s="100" t="e">
        <f t="shared" ca="1" si="20"/>
        <v>#NAME?</v>
      </c>
      <c r="F141" s="100" t="e">
        <f t="shared" ca="1" si="20"/>
        <v>#NAME?</v>
      </c>
      <c r="G141" s="100" t="e">
        <f t="shared" ca="1" si="22"/>
        <v>#NAME?</v>
      </c>
      <c r="H141" s="100" t="e">
        <f t="shared" ca="1" si="23"/>
        <v>#NAME?</v>
      </c>
      <c r="I141" s="100" t="e">
        <f t="shared" ca="1" si="24"/>
        <v>#NAME?</v>
      </c>
      <c r="J141" s="100" t="e">
        <f t="shared" ca="1" si="25"/>
        <v>#NAME?</v>
      </c>
      <c r="K141" s="100" t="e">
        <f t="shared" ca="1" si="26"/>
        <v>#NAME?</v>
      </c>
      <c r="L141" s="100" t="e">
        <f t="shared" ca="1" si="27"/>
        <v>#NAME?</v>
      </c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</row>
    <row r="142" spans="1:27">
      <c r="A142" s="100" t="e">
        <f t="shared" ca="1" si="21"/>
        <v>#NAME?</v>
      </c>
      <c r="B142" s="100" t="e">
        <f ca="1">IFERROR(__xludf.DUMMYFUNCTION("""COMPUTED_VALUE"""),141)</f>
        <v>#NAME?</v>
      </c>
      <c r="C142" s="100" t="e">
        <f ca="1">IFERROR(__xludf.DUMMYFUNCTION("""COMPUTED_VALUE"""),"ALGO-EUR")</f>
        <v>#NAME?</v>
      </c>
      <c r="D142" s="100" t="e">
        <f ca="1">IFERROR(__xludf.DUMMYFUNCTION("""COMPUTED_VALUE"""),"0.1682")</f>
        <v>#NAME?</v>
      </c>
      <c r="E142" s="100" t="e">
        <f t="shared" ref="E142:F161" ca="1" si="28">IFERROR(__xludf.DUMMYFUNCTION("""COMPUTED_VALUE"""),"-")</f>
        <v>#NAME?</v>
      </c>
      <c r="F142" s="100" t="e">
        <f t="shared" ca="1" si="28"/>
        <v>#NAME?</v>
      </c>
      <c r="G142" s="100" t="e">
        <f t="shared" ca="1" si="22"/>
        <v>#NAME?</v>
      </c>
      <c r="H142" s="100" t="e">
        <f t="shared" ca="1" si="23"/>
        <v>#NAME?</v>
      </c>
      <c r="I142" s="100" t="e">
        <f t="shared" ca="1" si="24"/>
        <v>#NAME?</v>
      </c>
      <c r="J142" s="100" t="e">
        <f t="shared" ca="1" si="25"/>
        <v>#NAME?</v>
      </c>
      <c r="K142" s="100" t="e">
        <f t="shared" ca="1" si="26"/>
        <v>#NAME?</v>
      </c>
      <c r="L142" s="100" t="e">
        <f t="shared" ca="1" si="27"/>
        <v>#NAME?</v>
      </c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</row>
    <row r="143" spans="1:27">
      <c r="A143" s="100" t="e">
        <f t="shared" ca="1" si="21"/>
        <v>#NAME?</v>
      </c>
      <c r="B143" s="100" t="e">
        <f ca="1">IFERROR(__xludf.DUMMYFUNCTION("""COMPUTED_VALUE"""),142)</f>
        <v>#NAME?</v>
      </c>
      <c r="C143" s="100" t="e">
        <f ca="1">IFERROR(__xludf.DUMMYFUNCTION("""COMPUTED_VALUE"""),"ONT-USD")</f>
        <v>#NAME?</v>
      </c>
      <c r="D143" s="100" t="e">
        <f ca="1">IFERROR(__xludf.DUMMYFUNCTION("""COMPUTED_VALUE"""),"0.1479")</f>
        <v>#NAME?</v>
      </c>
      <c r="E143" s="100" t="e">
        <f t="shared" ca="1" si="28"/>
        <v>#NAME?</v>
      </c>
      <c r="F143" s="100" t="e">
        <f t="shared" ca="1" si="28"/>
        <v>#NAME?</v>
      </c>
      <c r="G143" s="100" t="e">
        <f t="shared" ca="1" si="22"/>
        <v>#NAME?</v>
      </c>
      <c r="H143" s="100" t="e">
        <f t="shared" ca="1" si="23"/>
        <v>#NAME?</v>
      </c>
      <c r="I143" s="100" t="e">
        <f t="shared" ca="1" si="24"/>
        <v>#NAME?</v>
      </c>
      <c r="J143" s="100" t="e">
        <f t="shared" ca="1" si="25"/>
        <v>#NAME?</v>
      </c>
      <c r="K143" s="100" t="e">
        <f t="shared" ca="1" si="26"/>
        <v>#NAME?</v>
      </c>
      <c r="L143" s="100" t="e">
        <f t="shared" ca="1" si="27"/>
        <v>#NAME?</v>
      </c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</row>
    <row r="144" spans="1:27">
      <c r="A144" s="100" t="e">
        <f t="shared" ca="1" si="21"/>
        <v>#NAME?</v>
      </c>
      <c r="B144" s="100" t="e">
        <f ca="1">IFERROR(__xludf.DUMMYFUNCTION("""COMPUTED_VALUE"""),143)</f>
        <v>#NAME?</v>
      </c>
      <c r="C144" s="100" t="e">
        <f ca="1">IFERROR(__xludf.DUMMYFUNCTION("""COMPUTED_VALUE"""),"BTC-USDC")</f>
        <v>#NAME?</v>
      </c>
      <c r="D144" s="100" t="e">
        <f ca="1">IFERROR(__xludf.DUMMYFUNCTION("""COMPUTED_VALUE"""),"88492.6")</f>
        <v>#NAME?</v>
      </c>
      <c r="E144" s="100" t="e">
        <f t="shared" ca="1" si="28"/>
        <v>#NAME?</v>
      </c>
      <c r="F144" s="100" t="e">
        <f t="shared" ca="1" si="28"/>
        <v>#NAME?</v>
      </c>
      <c r="G144" s="100" t="e">
        <f t="shared" ca="1" si="22"/>
        <v>#NAME?</v>
      </c>
      <c r="H144" s="100" t="e">
        <f t="shared" ca="1" si="23"/>
        <v>#NAME?</v>
      </c>
      <c r="I144" s="100" t="e">
        <f t="shared" ca="1" si="24"/>
        <v>#NAME?</v>
      </c>
      <c r="J144" s="100" t="e">
        <f t="shared" ca="1" si="25"/>
        <v>#NAME?</v>
      </c>
      <c r="K144" s="100" t="e">
        <f t="shared" ca="1" si="26"/>
        <v>#NAME?</v>
      </c>
      <c r="L144" s="100" t="e">
        <f t="shared" ca="1" si="27"/>
        <v>#NAME?</v>
      </c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</row>
    <row r="145" spans="1:27">
      <c r="A145" s="100" t="e">
        <f t="shared" ca="1" si="21"/>
        <v>#NAME?</v>
      </c>
      <c r="B145" s="100" t="e">
        <f ca="1">IFERROR(__xludf.DUMMYFUNCTION("""COMPUTED_VALUE"""),144)</f>
        <v>#NAME?</v>
      </c>
      <c r="C145" s="100" t="e">
        <f ca="1">IFERROR(__xludf.DUMMYFUNCTION("""COMPUTED_VALUE"""),"CFG-USDT")</f>
        <v>#NAME?</v>
      </c>
      <c r="D145" s="100" t="e">
        <f ca="1">IFERROR(__xludf.DUMMYFUNCTION("""COMPUTED_VALUE"""),"0.1403")</f>
        <v>#NAME?</v>
      </c>
      <c r="E145" s="100" t="e">
        <f t="shared" ca="1" si="28"/>
        <v>#NAME?</v>
      </c>
      <c r="F145" s="100" t="e">
        <f t="shared" ca="1" si="28"/>
        <v>#NAME?</v>
      </c>
      <c r="G145" s="100" t="e">
        <f t="shared" ca="1" si="22"/>
        <v>#NAME?</v>
      </c>
      <c r="H145" s="100" t="e">
        <f t="shared" ca="1" si="23"/>
        <v>#NAME?</v>
      </c>
      <c r="I145" s="100" t="e">
        <f t="shared" ca="1" si="24"/>
        <v>#NAME?</v>
      </c>
      <c r="J145" s="100" t="e">
        <f t="shared" ca="1" si="25"/>
        <v>#NAME?</v>
      </c>
      <c r="K145" s="100" t="e">
        <f t="shared" ca="1" si="26"/>
        <v>#NAME?</v>
      </c>
      <c r="L145" s="100" t="e">
        <f t="shared" ca="1" si="27"/>
        <v>#NAME?</v>
      </c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</row>
    <row r="146" spans="1:27">
      <c r="A146" s="100" t="e">
        <f t="shared" ca="1" si="21"/>
        <v>#NAME?</v>
      </c>
      <c r="B146" s="100" t="e">
        <f ca="1">IFERROR(__xludf.DUMMYFUNCTION("""COMPUTED_VALUE"""),145)</f>
        <v>#NAME?</v>
      </c>
      <c r="C146" s="100" t="e">
        <f ca="1">IFERROR(__xludf.DUMMYFUNCTION("""COMPUTED_VALUE"""),"TRA-USD")</f>
        <v>#NAME?</v>
      </c>
      <c r="D146" s="100" t="e">
        <f ca="1">IFERROR(__xludf.DUMMYFUNCTION("""COMPUTED_VALUE"""),"0.4742")</f>
        <v>#NAME?</v>
      </c>
      <c r="E146" s="100" t="e">
        <f t="shared" ca="1" si="28"/>
        <v>#NAME?</v>
      </c>
      <c r="F146" s="100" t="e">
        <f t="shared" ca="1" si="28"/>
        <v>#NAME?</v>
      </c>
      <c r="G146" s="100" t="e">
        <f t="shared" ca="1" si="22"/>
        <v>#NAME?</v>
      </c>
      <c r="H146" s="100" t="e">
        <f t="shared" ca="1" si="23"/>
        <v>#NAME?</v>
      </c>
      <c r="I146" s="100" t="e">
        <f t="shared" ca="1" si="24"/>
        <v>#NAME?</v>
      </c>
      <c r="J146" s="100" t="e">
        <f t="shared" ca="1" si="25"/>
        <v>#NAME?</v>
      </c>
      <c r="K146" s="100" t="e">
        <f t="shared" ca="1" si="26"/>
        <v>#NAME?</v>
      </c>
      <c r="L146" s="100" t="e">
        <f t="shared" ca="1" si="27"/>
        <v>#NAME?</v>
      </c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</row>
    <row r="147" spans="1:27">
      <c r="A147" s="100" t="e">
        <f t="shared" ca="1" si="21"/>
        <v>#NAME?</v>
      </c>
      <c r="B147" s="100" t="e">
        <f ca="1">IFERROR(__xludf.DUMMYFUNCTION("""COMPUTED_VALUE"""),146)</f>
        <v>#NAME?</v>
      </c>
      <c r="C147" s="100" t="e">
        <f ca="1">IFERROR(__xludf.DUMMYFUNCTION("""COMPUTED_VALUE"""),"BTC-USDT")</f>
        <v>#NAME?</v>
      </c>
      <c r="D147" s="100" t="e">
        <f ca="1">IFERROR(__xludf.DUMMYFUNCTION("""COMPUTED_VALUE"""),"88486.3")</f>
        <v>#NAME?</v>
      </c>
      <c r="E147" s="100" t="e">
        <f t="shared" ca="1" si="28"/>
        <v>#NAME?</v>
      </c>
      <c r="F147" s="100" t="e">
        <f t="shared" ca="1" si="28"/>
        <v>#NAME?</v>
      </c>
      <c r="G147" s="100" t="e">
        <f t="shared" ca="1" si="22"/>
        <v>#NAME?</v>
      </c>
      <c r="H147" s="100" t="e">
        <f t="shared" ca="1" si="23"/>
        <v>#NAME?</v>
      </c>
      <c r="I147" s="100" t="e">
        <f t="shared" ca="1" si="24"/>
        <v>#NAME?</v>
      </c>
      <c r="J147" s="100" t="e">
        <f t="shared" ca="1" si="25"/>
        <v>#NAME?</v>
      </c>
      <c r="K147" s="100" t="e">
        <f t="shared" ca="1" si="26"/>
        <v>#NAME?</v>
      </c>
      <c r="L147" s="100" t="e">
        <f t="shared" ca="1" si="27"/>
        <v>#NAME?</v>
      </c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</row>
    <row r="148" spans="1:27">
      <c r="A148" s="100" t="e">
        <f t="shared" ca="1" si="21"/>
        <v>#NAME?</v>
      </c>
      <c r="B148" s="100" t="e">
        <f ca="1">IFERROR(__xludf.DUMMYFUNCTION("""COMPUTED_VALUE"""),147)</f>
        <v>#NAME?</v>
      </c>
      <c r="C148" s="100" t="e">
        <f ca="1">IFERROR(__xludf.DUMMYFUNCTION("""COMPUTED_VALUE"""),"TIA-USDC")</f>
        <v>#NAME?</v>
      </c>
      <c r="D148" s="100" t="e">
        <f ca="1">IFERROR(__xludf.DUMMYFUNCTION("""COMPUTED_VALUE"""),"2.523")</f>
        <v>#NAME?</v>
      </c>
      <c r="E148" s="100" t="e">
        <f t="shared" ca="1" si="28"/>
        <v>#NAME?</v>
      </c>
      <c r="F148" s="100" t="e">
        <f t="shared" ca="1" si="28"/>
        <v>#NAME?</v>
      </c>
      <c r="G148" s="100" t="e">
        <f t="shared" ca="1" si="22"/>
        <v>#NAME?</v>
      </c>
      <c r="H148" s="100" t="e">
        <f t="shared" ca="1" si="23"/>
        <v>#NAME?</v>
      </c>
      <c r="I148" s="100" t="e">
        <f t="shared" ca="1" si="24"/>
        <v>#NAME?</v>
      </c>
      <c r="J148" s="100" t="e">
        <f t="shared" ca="1" si="25"/>
        <v>#NAME?</v>
      </c>
      <c r="K148" s="100" t="e">
        <f t="shared" ca="1" si="26"/>
        <v>#NAME?</v>
      </c>
      <c r="L148" s="100" t="e">
        <f t="shared" ca="1" si="27"/>
        <v>#NAME?</v>
      </c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</row>
    <row r="149" spans="1:27">
      <c r="A149" s="100" t="e">
        <f t="shared" ca="1" si="21"/>
        <v>#NAME?</v>
      </c>
      <c r="B149" s="100" t="e">
        <f ca="1">IFERROR(__xludf.DUMMYFUNCTION("""COMPUTED_VALUE"""),148)</f>
        <v>#NAME?</v>
      </c>
      <c r="C149" s="100" t="e">
        <f ca="1">IFERROR(__xludf.DUMMYFUNCTION("""COMPUTED_VALUE"""),"CETUS-USDT")</f>
        <v>#NAME?</v>
      </c>
      <c r="D149" s="100" t="e">
        <f ca="1">IFERROR(__xludf.DUMMYFUNCTION("""COMPUTED_VALUE"""),"0.1076")</f>
        <v>#NAME?</v>
      </c>
      <c r="E149" s="100" t="e">
        <f t="shared" ca="1" si="28"/>
        <v>#NAME?</v>
      </c>
      <c r="F149" s="100" t="e">
        <f t="shared" ca="1" si="28"/>
        <v>#NAME?</v>
      </c>
      <c r="G149" s="100" t="e">
        <f t="shared" ca="1" si="22"/>
        <v>#NAME?</v>
      </c>
      <c r="H149" s="100" t="e">
        <f t="shared" ca="1" si="23"/>
        <v>#NAME?</v>
      </c>
      <c r="I149" s="100" t="e">
        <f t="shared" ca="1" si="24"/>
        <v>#NAME?</v>
      </c>
      <c r="J149" s="100" t="e">
        <f t="shared" ca="1" si="25"/>
        <v>#NAME?</v>
      </c>
      <c r="K149" s="100" t="e">
        <f t="shared" ca="1" si="26"/>
        <v>#NAME?</v>
      </c>
      <c r="L149" s="100" t="e">
        <f t="shared" ca="1" si="27"/>
        <v>#NAME?</v>
      </c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</row>
    <row r="150" spans="1:27">
      <c r="A150" s="100" t="e">
        <f t="shared" ca="1" si="21"/>
        <v>#NAME?</v>
      </c>
      <c r="B150" s="100" t="e">
        <f ca="1">IFERROR(__xludf.DUMMYFUNCTION("""COMPUTED_VALUE"""),149)</f>
        <v>#NAME?</v>
      </c>
      <c r="C150" s="100" t="e">
        <f ca="1">IFERROR(__xludf.DUMMYFUNCTION("""COMPUTED_VALUE"""),"AERGO-USD")</f>
        <v>#NAME?</v>
      </c>
      <c r="D150" s="100" t="e">
        <f ca="1">IFERROR(__xludf.DUMMYFUNCTION("""COMPUTED_VALUE"""),"0.2436")</f>
        <v>#NAME?</v>
      </c>
      <c r="E150" s="100" t="e">
        <f t="shared" ca="1" si="28"/>
        <v>#NAME?</v>
      </c>
      <c r="F150" s="100" t="e">
        <f t="shared" ca="1" si="28"/>
        <v>#NAME?</v>
      </c>
      <c r="G150" s="100" t="e">
        <f t="shared" ca="1" si="22"/>
        <v>#NAME?</v>
      </c>
      <c r="H150" s="100" t="e">
        <f t="shared" ca="1" si="23"/>
        <v>#NAME?</v>
      </c>
      <c r="I150" s="100" t="e">
        <f t="shared" ca="1" si="24"/>
        <v>#NAME?</v>
      </c>
      <c r="J150" s="100" t="e">
        <f t="shared" ca="1" si="25"/>
        <v>#NAME?</v>
      </c>
      <c r="K150" s="100" t="e">
        <f t="shared" ca="1" si="26"/>
        <v>#NAME?</v>
      </c>
      <c r="L150" s="100" t="e">
        <f t="shared" ca="1" si="27"/>
        <v>#NAME?</v>
      </c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</row>
    <row r="151" spans="1:27">
      <c r="A151" s="100" t="e">
        <f t="shared" ca="1" si="21"/>
        <v>#NAME?</v>
      </c>
      <c r="B151" s="100" t="e">
        <f ca="1">IFERROR(__xludf.DUMMYFUNCTION("""COMPUTED_VALUE"""),150)</f>
        <v>#NAME?</v>
      </c>
      <c r="C151" s="100" t="e">
        <f ca="1">IFERROR(__xludf.DUMMYFUNCTION("""COMPUTED_VALUE"""),"ETH-AUD")</f>
        <v>#NAME?</v>
      </c>
      <c r="D151" s="100" t="e">
        <f ca="1">IFERROR(__xludf.DUMMYFUNCTION("""COMPUTED_VALUE"""),"2543")</f>
        <v>#NAME?</v>
      </c>
      <c r="E151" s="100" t="e">
        <f t="shared" ca="1" si="28"/>
        <v>#NAME?</v>
      </c>
      <c r="F151" s="100" t="e">
        <f t="shared" ca="1" si="28"/>
        <v>#NAME?</v>
      </c>
      <c r="G151" s="100" t="e">
        <f t="shared" ca="1" si="22"/>
        <v>#NAME?</v>
      </c>
      <c r="H151" s="100" t="e">
        <f t="shared" ca="1" si="23"/>
        <v>#NAME?</v>
      </c>
      <c r="I151" s="100" t="e">
        <f t="shared" ca="1" si="24"/>
        <v>#NAME?</v>
      </c>
      <c r="J151" s="100" t="e">
        <f t="shared" ca="1" si="25"/>
        <v>#NAME?</v>
      </c>
      <c r="K151" s="100" t="e">
        <f t="shared" ca="1" si="26"/>
        <v>#NAME?</v>
      </c>
      <c r="L151" s="100" t="e">
        <f t="shared" ca="1" si="27"/>
        <v>#NAME?</v>
      </c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</row>
    <row r="152" spans="1:27">
      <c r="A152" s="100" t="e">
        <f t="shared" ca="1" si="21"/>
        <v>#NAME?</v>
      </c>
      <c r="B152" s="100" t="e">
        <f ca="1">IFERROR(__xludf.DUMMYFUNCTION("""COMPUTED_VALUE"""),151)</f>
        <v>#NAME?</v>
      </c>
      <c r="C152" s="100" t="e">
        <f ca="1">IFERROR(__xludf.DUMMYFUNCTION("""COMPUTED_VALUE"""),"PARTI-USDT")</f>
        <v>#NAME?</v>
      </c>
      <c r="D152" s="100" t="e">
        <f ca="1">IFERROR(__xludf.DUMMYFUNCTION("""COMPUTED_VALUE"""),"0.1707")</f>
        <v>#NAME?</v>
      </c>
      <c r="E152" s="100" t="e">
        <f t="shared" ca="1" si="28"/>
        <v>#NAME?</v>
      </c>
      <c r="F152" s="100" t="e">
        <f t="shared" ca="1" si="28"/>
        <v>#NAME?</v>
      </c>
      <c r="G152" s="100" t="e">
        <f t="shared" ca="1" si="22"/>
        <v>#NAME?</v>
      </c>
      <c r="H152" s="100" t="e">
        <f t="shared" ca="1" si="23"/>
        <v>#NAME?</v>
      </c>
      <c r="I152" s="100" t="e">
        <f t="shared" ca="1" si="24"/>
        <v>#NAME?</v>
      </c>
      <c r="J152" s="100" t="e">
        <f t="shared" ca="1" si="25"/>
        <v>#NAME?</v>
      </c>
      <c r="K152" s="100" t="e">
        <f t="shared" ca="1" si="26"/>
        <v>#NAME?</v>
      </c>
      <c r="L152" s="100" t="e">
        <f t="shared" ca="1" si="27"/>
        <v>#NAME?</v>
      </c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</row>
    <row r="153" spans="1:27">
      <c r="A153" s="100" t="e">
        <f t="shared" ca="1" si="21"/>
        <v>#NAME?</v>
      </c>
      <c r="B153" s="100" t="e">
        <f ca="1">IFERROR(__xludf.DUMMYFUNCTION("""COMPUTED_VALUE"""),152)</f>
        <v>#NAME?</v>
      </c>
      <c r="C153" s="100" t="e">
        <f ca="1">IFERROR(__xludf.DUMMYFUNCTION("""COMPUTED_VALUE"""),"ONE-USD")</f>
        <v>#NAME?</v>
      </c>
      <c r="D153" s="100" t="e">
        <f ca="1">IFERROR(__xludf.DUMMYFUNCTION("""COMPUTED_VALUE"""),"0.01148")</f>
        <v>#NAME?</v>
      </c>
      <c r="E153" s="100" t="e">
        <f t="shared" ca="1" si="28"/>
        <v>#NAME?</v>
      </c>
      <c r="F153" s="100" t="e">
        <f t="shared" ca="1" si="28"/>
        <v>#NAME?</v>
      </c>
      <c r="G153" s="100" t="e">
        <f t="shared" ca="1" si="22"/>
        <v>#NAME?</v>
      </c>
      <c r="H153" s="100" t="e">
        <f t="shared" ca="1" si="23"/>
        <v>#NAME?</v>
      </c>
      <c r="I153" s="100" t="e">
        <f t="shared" ca="1" si="24"/>
        <v>#NAME?</v>
      </c>
      <c r="J153" s="100" t="e">
        <f t="shared" ca="1" si="25"/>
        <v>#NAME?</v>
      </c>
      <c r="K153" s="100" t="e">
        <f t="shared" ca="1" si="26"/>
        <v>#NAME?</v>
      </c>
      <c r="L153" s="100" t="e">
        <f t="shared" ca="1" si="27"/>
        <v>#NAME?</v>
      </c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</row>
    <row r="154" spans="1:27">
      <c r="A154" s="100" t="e">
        <f t="shared" ca="1" si="21"/>
        <v>#NAME?</v>
      </c>
      <c r="B154" s="100" t="e">
        <f ca="1">IFERROR(__xludf.DUMMYFUNCTION("""COMPUTED_VALUE"""),153)</f>
        <v>#NAME?</v>
      </c>
      <c r="C154" s="100" t="e">
        <f ca="1">IFERROR(__xludf.DUMMYFUNCTION("""COMPUTED_VALUE"""),"APE-USDT")</f>
        <v>#NAME?</v>
      </c>
      <c r="D154" s="100" t="e">
        <f ca="1">IFERROR(__xludf.DUMMYFUNCTION("""COMPUTED_VALUE"""),"0.4618")</f>
        <v>#NAME?</v>
      </c>
      <c r="E154" s="100" t="e">
        <f t="shared" ca="1" si="28"/>
        <v>#NAME?</v>
      </c>
      <c r="F154" s="100" t="e">
        <f t="shared" ca="1" si="28"/>
        <v>#NAME?</v>
      </c>
      <c r="G154" s="100" t="e">
        <f t="shared" ca="1" si="22"/>
        <v>#NAME?</v>
      </c>
      <c r="H154" s="100" t="e">
        <f t="shared" ca="1" si="23"/>
        <v>#NAME?</v>
      </c>
      <c r="I154" s="100" t="e">
        <f t="shared" ca="1" si="24"/>
        <v>#NAME?</v>
      </c>
      <c r="J154" s="100" t="e">
        <f t="shared" ca="1" si="25"/>
        <v>#NAME?</v>
      </c>
      <c r="K154" s="100" t="e">
        <f t="shared" ca="1" si="26"/>
        <v>#NAME?</v>
      </c>
      <c r="L154" s="100" t="e">
        <f t="shared" ca="1" si="27"/>
        <v>#NAME?</v>
      </c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</row>
    <row r="155" spans="1:27">
      <c r="A155" s="100" t="e">
        <f t="shared" ca="1" si="21"/>
        <v>#NAME?</v>
      </c>
      <c r="B155" s="100" t="e">
        <f ca="1">IFERROR(__xludf.DUMMYFUNCTION("""COMPUTED_VALUE"""),154)</f>
        <v>#NAME?</v>
      </c>
      <c r="C155" s="100" t="e">
        <f ca="1">IFERROR(__xludf.DUMMYFUNCTION("""COMPUTED_VALUE"""),"ZETA-USDT")</f>
        <v>#NAME?</v>
      </c>
      <c r="D155" s="100" t="e">
        <f ca="1">IFERROR(__xludf.DUMMYFUNCTION("""COMPUTED_VALUE"""),"0.2359")</f>
        <v>#NAME?</v>
      </c>
      <c r="E155" s="100" t="e">
        <f t="shared" ca="1" si="28"/>
        <v>#NAME?</v>
      </c>
      <c r="F155" s="100" t="e">
        <f t="shared" ca="1" si="28"/>
        <v>#NAME?</v>
      </c>
      <c r="G155" s="100" t="e">
        <f t="shared" ca="1" si="22"/>
        <v>#NAME?</v>
      </c>
      <c r="H155" s="100" t="e">
        <f t="shared" ca="1" si="23"/>
        <v>#NAME?</v>
      </c>
      <c r="I155" s="100" t="e">
        <f t="shared" ca="1" si="24"/>
        <v>#NAME?</v>
      </c>
      <c r="J155" s="100" t="e">
        <f t="shared" ca="1" si="25"/>
        <v>#NAME?</v>
      </c>
      <c r="K155" s="100" t="e">
        <f t="shared" ca="1" si="26"/>
        <v>#NAME?</v>
      </c>
      <c r="L155" s="100" t="e">
        <f t="shared" ca="1" si="27"/>
        <v>#NAME?</v>
      </c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</row>
    <row r="156" spans="1:27">
      <c r="A156" s="100" t="e">
        <f t="shared" ca="1" si="21"/>
        <v>#NAME?</v>
      </c>
      <c r="B156" s="100" t="e">
        <f ca="1">IFERROR(__xludf.DUMMYFUNCTION("""COMPUTED_VALUE"""),155)</f>
        <v>#NAME?</v>
      </c>
      <c r="C156" s="100" t="e">
        <f ca="1">IFERROR(__xludf.DUMMYFUNCTION("""COMPUTED_VALUE"""),"STRK-USDC")</f>
        <v>#NAME?</v>
      </c>
      <c r="D156" s="100" t="e">
        <f ca="1">IFERROR(__xludf.DUMMYFUNCTION("""COMPUTED_VALUE"""),"0.1349")</f>
        <v>#NAME?</v>
      </c>
      <c r="E156" s="100" t="e">
        <f t="shared" ca="1" si="28"/>
        <v>#NAME?</v>
      </c>
      <c r="F156" s="100" t="e">
        <f t="shared" ca="1" si="28"/>
        <v>#NAME?</v>
      </c>
      <c r="G156" s="100" t="e">
        <f t="shared" ca="1" si="22"/>
        <v>#NAME?</v>
      </c>
      <c r="H156" s="100" t="e">
        <f t="shared" ca="1" si="23"/>
        <v>#NAME?</v>
      </c>
      <c r="I156" s="100" t="e">
        <f t="shared" ca="1" si="24"/>
        <v>#NAME?</v>
      </c>
      <c r="J156" s="100" t="e">
        <f t="shared" ca="1" si="25"/>
        <v>#NAME?</v>
      </c>
      <c r="K156" s="100" t="e">
        <f t="shared" ca="1" si="26"/>
        <v>#NAME?</v>
      </c>
      <c r="L156" s="100" t="e">
        <f t="shared" ca="1" si="27"/>
        <v>#NAME?</v>
      </c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</row>
    <row r="157" spans="1:27">
      <c r="A157" s="100" t="e">
        <f t="shared" ca="1" si="21"/>
        <v>#NAME?</v>
      </c>
      <c r="B157" s="100" t="e">
        <f ca="1">IFERROR(__xludf.DUMMYFUNCTION("""COMPUTED_VALUE"""),156)</f>
        <v>#NAME?</v>
      </c>
      <c r="C157" s="100" t="e">
        <f ca="1">IFERROR(__xludf.DUMMYFUNCTION("""COMPUTED_VALUE"""),"CRV-USD")</f>
        <v>#NAME?</v>
      </c>
      <c r="D157" s="100" t="e">
        <f ca="1">IFERROR(__xludf.DUMMYFUNCTION("""COMPUTED_VALUE"""),"0.6171")</f>
        <v>#NAME?</v>
      </c>
      <c r="E157" s="100" t="e">
        <f t="shared" ca="1" si="28"/>
        <v>#NAME?</v>
      </c>
      <c r="F157" s="100" t="e">
        <f t="shared" ca="1" si="28"/>
        <v>#NAME?</v>
      </c>
      <c r="G157" s="100" t="e">
        <f t="shared" ca="1" si="22"/>
        <v>#NAME?</v>
      </c>
      <c r="H157" s="100" t="e">
        <f t="shared" ca="1" si="23"/>
        <v>#NAME?</v>
      </c>
      <c r="I157" s="100" t="e">
        <f t="shared" ca="1" si="24"/>
        <v>#NAME?</v>
      </c>
      <c r="J157" s="100" t="e">
        <f t="shared" ca="1" si="25"/>
        <v>#NAME?</v>
      </c>
      <c r="K157" s="100" t="e">
        <f t="shared" ca="1" si="26"/>
        <v>#NAME?</v>
      </c>
      <c r="L157" s="100" t="e">
        <f t="shared" ca="1" si="27"/>
        <v>#NAME?</v>
      </c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</row>
    <row r="158" spans="1:27">
      <c r="A158" s="100" t="e">
        <f t="shared" ca="1" si="21"/>
        <v>#NAME?</v>
      </c>
      <c r="B158" s="100" t="e">
        <f ca="1">IFERROR(__xludf.DUMMYFUNCTION("""COMPUTED_VALUE"""),157)</f>
        <v>#NAME?</v>
      </c>
      <c r="C158" s="100" t="e">
        <f ca="1">IFERROR(__xludf.DUMMYFUNCTION("""COMPUTED_VALUE"""),"LOOKS-USDT")</f>
        <v>#NAME?</v>
      </c>
      <c r="D158" s="100" t="e">
        <f ca="1">IFERROR(__xludf.DUMMYFUNCTION("""COMPUTED_VALUE"""),"0.01036")</f>
        <v>#NAME?</v>
      </c>
      <c r="E158" s="100" t="e">
        <f t="shared" ca="1" si="28"/>
        <v>#NAME?</v>
      </c>
      <c r="F158" s="100" t="e">
        <f t="shared" ca="1" si="28"/>
        <v>#NAME?</v>
      </c>
      <c r="G158" s="100" t="e">
        <f t="shared" ca="1" si="22"/>
        <v>#NAME?</v>
      </c>
      <c r="H158" s="100" t="e">
        <f t="shared" ca="1" si="23"/>
        <v>#NAME?</v>
      </c>
      <c r="I158" s="100" t="e">
        <f t="shared" ca="1" si="24"/>
        <v>#NAME?</v>
      </c>
      <c r="J158" s="100" t="e">
        <f t="shared" ca="1" si="25"/>
        <v>#NAME?</v>
      </c>
      <c r="K158" s="100" t="e">
        <f t="shared" ca="1" si="26"/>
        <v>#NAME?</v>
      </c>
      <c r="L158" s="100" t="e">
        <f t="shared" ca="1" si="27"/>
        <v>#NAME?</v>
      </c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</row>
    <row r="159" spans="1:27">
      <c r="A159" s="100" t="e">
        <f t="shared" ca="1" si="21"/>
        <v>#NAME?</v>
      </c>
      <c r="B159" s="100" t="e">
        <f ca="1">IFERROR(__xludf.DUMMYFUNCTION("""COMPUTED_VALUE"""),158)</f>
        <v>#NAME?</v>
      </c>
      <c r="C159" s="100" t="e">
        <f ca="1">IFERROR(__xludf.DUMMYFUNCTION("""COMPUTED_VALUE"""),"WLD-USD")</f>
        <v>#NAME?</v>
      </c>
      <c r="D159" s="100" t="e">
        <f ca="1">IFERROR(__xludf.DUMMYFUNCTION("""COMPUTED_VALUE"""),"0.7912")</f>
        <v>#NAME?</v>
      </c>
      <c r="E159" s="100" t="e">
        <f t="shared" ca="1" si="28"/>
        <v>#NAME?</v>
      </c>
      <c r="F159" s="100" t="e">
        <f t="shared" ca="1" si="28"/>
        <v>#NAME?</v>
      </c>
      <c r="G159" s="100" t="e">
        <f t="shared" ca="1" si="22"/>
        <v>#NAME?</v>
      </c>
      <c r="H159" s="100" t="e">
        <f t="shared" ca="1" si="23"/>
        <v>#NAME?</v>
      </c>
      <c r="I159" s="100" t="e">
        <f t="shared" ca="1" si="24"/>
        <v>#NAME?</v>
      </c>
      <c r="J159" s="100" t="e">
        <f t="shared" ca="1" si="25"/>
        <v>#NAME?</v>
      </c>
      <c r="K159" s="100" t="e">
        <f t="shared" ca="1" si="26"/>
        <v>#NAME?</v>
      </c>
      <c r="L159" s="100" t="e">
        <f t="shared" ca="1" si="27"/>
        <v>#NAME?</v>
      </c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</row>
    <row r="160" spans="1:27">
      <c r="A160" s="100" t="e">
        <f t="shared" ca="1" si="21"/>
        <v>#NAME?</v>
      </c>
      <c r="B160" s="100" t="e">
        <f ca="1">IFERROR(__xludf.DUMMYFUNCTION("""COMPUTED_VALUE"""),159)</f>
        <v>#NAME?</v>
      </c>
      <c r="C160" s="100" t="e">
        <f ca="1">IFERROR(__xludf.DUMMYFUNCTION("""COMPUTED_VALUE"""),"APE-USDC")</f>
        <v>#NAME?</v>
      </c>
      <c r="D160" s="100" t="e">
        <f ca="1">IFERROR(__xludf.DUMMYFUNCTION("""COMPUTED_VALUE"""),"0.4618")</f>
        <v>#NAME?</v>
      </c>
      <c r="E160" s="100" t="e">
        <f t="shared" ca="1" si="28"/>
        <v>#NAME?</v>
      </c>
      <c r="F160" s="100" t="e">
        <f t="shared" ca="1" si="28"/>
        <v>#NAME?</v>
      </c>
      <c r="G160" s="100" t="e">
        <f t="shared" ca="1" si="22"/>
        <v>#NAME?</v>
      </c>
      <c r="H160" s="100" t="e">
        <f t="shared" ca="1" si="23"/>
        <v>#NAME?</v>
      </c>
      <c r="I160" s="100" t="e">
        <f t="shared" ca="1" si="24"/>
        <v>#NAME?</v>
      </c>
      <c r="J160" s="100" t="e">
        <f t="shared" ca="1" si="25"/>
        <v>#NAME?</v>
      </c>
      <c r="K160" s="100" t="e">
        <f t="shared" ca="1" si="26"/>
        <v>#NAME?</v>
      </c>
      <c r="L160" s="100" t="e">
        <f t="shared" ca="1" si="27"/>
        <v>#NAME?</v>
      </c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</row>
    <row r="161" spans="1:27">
      <c r="A161" s="100" t="e">
        <f t="shared" ca="1" si="21"/>
        <v>#NAME?</v>
      </c>
      <c r="B161" s="100" t="e">
        <f ca="1">IFERROR(__xludf.DUMMYFUNCTION("""COMPUTED_VALUE"""),160)</f>
        <v>#NAME?</v>
      </c>
      <c r="C161" s="100" t="e">
        <f ca="1">IFERROR(__xludf.DUMMYFUNCTION("""COMPUTED_VALUE"""),"PYUSD-USDT")</f>
        <v>#NAME?</v>
      </c>
      <c r="D161" s="100" t="e">
        <f ca="1">IFERROR(__xludf.DUMMYFUNCTION("""COMPUTED_VALUE"""),"0.9997")</f>
        <v>#NAME?</v>
      </c>
      <c r="E161" s="100" t="e">
        <f t="shared" ca="1" si="28"/>
        <v>#NAME?</v>
      </c>
      <c r="F161" s="100" t="e">
        <f t="shared" ca="1" si="28"/>
        <v>#NAME?</v>
      </c>
      <c r="G161" s="100" t="e">
        <f t="shared" ca="1" si="22"/>
        <v>#NAME?</v>
      </c>
      <c r="H161" s="100" t="e">
        <f t="shared" ca="1" si="23"/>
        <v>#NAME?</v>
      </c>
      <c r="I161" s="100" t="e">
        <f t="shared" ca="1" si="24"/>
        <v>#NAME?</v>
      </c>
      <c r="J161" s="100" t="e">
        <f t="shared" ca="1" si="25"/>
        <v>#NAME?</v>
      </c>
      <c r="K161" s="100" t="e">
        <f t="shared" ca="1" si="26"/>
        <v>#NAME?</v>
      </c>
      <c r="L161" s="100" t="e">
        <f t="shared" ca="1" si="27"/>
        <v>#NAME?</v>
      </c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</row>
    <row r="162" spans="1:27">
      <c r="A162" s="100" t="e">
        <f t="shared" ca="1" si="21"/>
        <v>#NAME?</v>
      </c>
      <c r="B162" s="100" t="e">
        <f ca="1">IFERROR(__xludf.DUMMYFUNCTION("""COMPUTED_VALUE"""),161)</f>
        <v>#NAME?</v>
      </c>
      <c r="C162" s="100" t="e">
        <f ca="1">IFERROR(__xludf.DUMMYFUNCTION("""COMPUTED_VALUE"""),"ADA-USDC")</f>
        <v>#NAME?</v>
      </c>
      <c r="D162" s="100" t="e">
        <f ca="1">IFERROR(__xludf.DUMMYFUNCTION("""COMPUTED_VALUE"""),"0.6399")</f>
        <v>#NAME?</v>
      </c>
      <c r="E162" s="100" t="e">
        <f t="shared" ref="E162:F181" ca="1" si="29">IFERROR(__xludf.DUMMYFUNCTION("""COMPUTED_VALUE"""),"-")</f>
        <v>#NAME?</v>
      </c>
      <c r="F162" s="100" t="e">
        <f t="shared" ca="1" si="29"/>
        <v>#NAME?</v>
      </c>
      <c r="G162" s="100" t="e">
        <f t="shared" ca="1" si="22"/>
        <v>#NAME?</v>
      </c>
      <c r="H162" s="100" t="e">
        <f t="shared" ca="1" si="23"/>
        <v>#NAME?</v>
      </c>
      <c r="I162" s="100" t="e">
        <f t="shared" ca="1" si="24"/>
        <v>#NAME?</v>
      </c>
      <c r="J162" s="100" t="e">
        <f t="shared" ca="1" si="25"/>
        <v>#NAME?</v>
      </c>
      <c r="K162" s="100" t="e">
        <f t="shared" ca="1" si="26"/>
        <v>#NAME?</v>
      </c>
      <c r="L162" s="100" t="e">
        <f t="shared" ca="1" si="27"/>
        <v>#NAME?</v>
      </c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</row>
    <row r="163" spans="1:27">
      <c r="A163" s="100" t="e">
        <f t="shared" ca="1" si="21"/>
        <v>#NAME?</v>
      </c>
      <c r="B163" s="100" t="e">
        <f ca="1">IFERROR(__xludf.DUMMYFUNCTION("""COMPUTED_VALUE"""),162)</f>
        <v>#NAME?</v>
      </c>
      <c r="C163" s="100" t="e">
        <f ca="1">IFERROR(__xludf.DUMMYFUNCTION("""COMPUTED_VALUE"""),"YFI-USD")</f>
        <v>#NAME?</v>
      </c>
      <c r="D163" s="100" t="e">
        <f ca="1">IFERROR(__xludf.DUMMYFUNCTION("""COMPUTED_VALUE"""),"4792")</f>
        <v>#NAME?</v>
      </c>
      <c r="E163" s="100" t="e">
        <f t="shared" ca="1" si="29"/>
        <v>#NAME?</v>
      </c>
      <c r="F163" s="100" t="e">
        <f t="shared" ca="1" si="29"/>
        <v>#NAME?</v>
      </c>
      <c r="G163" s="100" t="e">
        <f t="shared" ca="1" si="22"/>
        <v>#NAME?</v>
      </c>
      <c r="H163" s="100" t="e">
        <f t="shared" ca="1" si="23"/>
        <v>#NAME?</v>
      </c>
      <c r="I163" s="100" t="e">
        <f t="shared" ca="1" si="24"/>
        <v>#NAME?</v>
      </c>
      <c r="J163" s="100" t="e">
        <f t="shared" ca="1" si="25"/>
        <v>#NAME?</v>
      </c>
      <c r="K163" s="100" t="e">
        <f t="shared" ca="1" si="26"/>
        <v>#NAME?</v>
      </c>
      <c r="L163" s="100" t="e">
        <f t="shared" ca="1" si="27"/>
        <v>#NAME?</v>
      </c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</row>
    <row r="164" spans="1:27">
      <c r="A164" s="100" t="e">
        <f t="shared" ca="1" si="21"/>
        <v>#NAME?</v>
      </c>
      <c r="B164" s="100" t="e">
        <f ca="1">IFERROR(__xludf.DUMMYFUNCTION("""COMPUTED_VALUE"""),163)</f>
        <v>#NAME?</v>
      </c>
      <c r="C164" s="100" t="e">
        <f ca="1">IFERROR(__xludf.DUMMYFUNCTION("""COMPUTED_VALUE"""),"DYDX-EUR")</f>
        <v>#NAME?</v>
      </c>
      <c r="D164" s="100" t="e">
        <f ca="1">IFERROR(__xludf.DUMMYFUNCTION("""COMPUTED_VALUE"""),"0.5112")</f>
        <v>#NAME?</v>
      </c>
      <c r="E164" s="100" t="e">
        <f t="shared" ca="1" si="29"/>
        <v>#NAME?</v>
      </c>
      <c r="F164" s="100" t="e">
        <f t="shared" ca="1" si="29"/>
        <v>#NAME?</v>
      </c>
      <c r="G164" s="100" t="e">
        <f t="shared" ca="1" si="22"/>
        <v>#NAME?</v>
      </c>
      <c r="H164" s="100" t="e">
        <f t="shared" ca="1" si="23"/>
        <v>#NAME?</v>
      </c>
      <c r="I164" s="100" t="e">
        <f t="shared" ca="1" si="24"/>
        <v>#NAME?</v>
      </c>
      <c r="J164" s="100" t="e">
        <f t="shared" ca="1" si="25"/>
        <v>#NAME?</v>
      </c>
      <c r="K164" s="100" t="e">
        <f t="shared" ca="1" si="26"/>
        <v>#NAME?</v>
      </c>
      <c r="L164" s="100" t="e">
        <f t="shared" ca="1" si="27"/>
        <v>#NAME?</v>
      </c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</row>
    <row r="165" spans="1:27">
      <c r="A165" s="100" t="e">
        <f t="shared" ca="1" si="21"/>
        <v>#NAME?</v>
      </c>
      <c r="B165" s="100" t="e">
        <f ca="1">IFERROR(__xludf.DUMMYFUNCTION("""COMPUTED_VALUE"""),164)</f>
        <v>#NAME?</v>
      </c>
      <c r="C165" s="100" t="e">
        <f ca="1">IFERROR(__xludf.DUMMYFUNCTION("""COMPUTED_VALUE"""),"ID-USDT")</f>
        <v>#NAME?</v>
      </c>
      <c r="D165" s="100" t="e">
        <f ca="1">IFERROR(__xludf.DUMMYFUNCTION("""COMPUTED_VALUE"""),"0.1805")</f>
        <v>#NAME?</v>
      </c>
      <c r="E165" s="100" t="e">
        <f t="shared" ca="1" si="29"/>
        <v>#NAME?</v>
      </c>
      <c r="F165" s="100" t="e">
        <f t="shared" ca="1" si="29"/>
        <v>#NAME?</v>
      </c>
      <c r="G165" s="100" t="e">
        <f t="shared" ca="1" si="22"/>
        <v>#NAME?</v>
      </c>
      <c r="H165" s="100" t="e">
        <f t="shared" ca="1" si="23"/>
        <v>#NAME?</v>
      </c>
      <c r="I165" s="100" t="e">
        <f t="shared" ca="1" si="24"/>
        <v>#NAME?</v>
      </c>
      <c r="J165" s="100" t="e">
        <f t="shared" ca="1" si="25"/>
        <v>#NAME?</v>
      </c>
      <c r="K165" s="100" t="e">
        <f t="shared" ca="1" si="26"/>
        <v>#NAME?</v>
      </c>
      <c r="L165" s="100" t="e">
        <f t="shared" ca="1" si="27"/>
        <v>#NAME?</v>
      </c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</row>
    <row r="166" spans="1:27">
      <c r="A166" s="100" t="e">
        <f t="shared" ca="1" si="21"/>
        <v>#NAME?</v>
      </c>
      <c r="B166" s="100" t="e">
        <f ca="1">IFERROR(__xludf.DUMMYFUNCTION("""COMPUTED_VALUE"""),165)</f>
        <v>#NAME?</v>
      </c>
      <c r="C166" s="100" t="e">
        <f ca="1">IFERROR(__xludf.DUMMYFUNCTION("""COMPUTED_VALUE"""),"GHST-USDT")</f>
        <v>#NAME?</v>
      </c>
      <c r="D166" s="100" t="e">
        <f ca="1">IFERROR(__xludf.DUMMYFUNCTION("""COMPUTED_VALUE"""),"0.4657")</f>
        <v>#NAME?</v>
      </c>
      <c r="E166" s="100" t="e">
        <f t="shared" ca="1" si="29"/>
        <v>#NAME?</v>
      </c>
      <c r="F166" s="100" t="e">
        <f t="shared" ca="1" si="29"/>
        <v>#NAME?</v>
      </c>
      <c r="G166" s="100" t="e">
        <f t="shared" ca="1" si="22"/>
        <v>#NAME?</v>
      </c>
      <c r="H166" s="100" t="e">
        <f t="shared" ca="1" si="23"/>
        <v>#NAME?</v>
      </c>
      <c r="I166" s="100" t="e">
        <f t="shared" ca="1" si="24"/>
        <v>#NAME?</v>
      </c>
      <c r="J166" s="100" t="e">
        <f t="shared" ca="1" si="25"/>
        <v>#NAME?</v>
      </c>
      <c r="K166" s="100" t="e">
        <f t="shared" ca="1" si="26"/>
        <v>#NAME?</v>
      </c>
      <c r="L166" s="100" t="e">
        <f t="shared" ca="1" si="27"/>
        <v>#NAME?</v>
      </c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</row>
    <row r="167" spans="1:27">
      <c r="A167" s="100" t="e">
        <f t="shared" ca="1" si="21"/>
        <v>#NAME?</v>
      </c>
      <c r="B167" s="100" t="e">
        <f ca="1">IFERROR(__xludf.DUMMYFUNCTION("""COMPUTED_VALUE"""),166)</f>
        <v>#NAME?</v>
      </c>
      <c r="C167" s="100" t="e">
        <f ca="1">IFERROR(__xludf.DUMMYFUNCTION("""COMPUTED_VALUE"""),"TIA-USDT")</f>
        <v>#NAME?</v>
      </c>
      <c r="D167" s="100" t="e">
        <f ca="1">IFERROR(__xludf.DUMMYFUNCTION("""COMPUTED_VALUE"""),"2.513")</f>
        <v>#NAME?</v>
      </c>
      <c r="E167" s="100" t="e">
        <f t="shared" ca="1" si="29"/>
        <v>#NAME?</v>
      </c>
      <c r="F167" s="100" t="e">
        <f t="shared" ca="1" si="29"/>
        <v>#NAME?</v>
      </c>
      <c r="G167" s="100" t="e">
        <f t="shared" ca="1" si="22"/>
        <v>#NAME?</v>
      </c>
      <c r="H167" s="100" t="e">
        <f t="shared" ca="1" si="23"/>
        <v>#NAME?</v>
      </c>
      <c r="I167" s="100" t="e">
        <f t="shared" ca="1" si="24"/>
        <v>#NAME?</v>
      </c>
      <c r="J167" s="100" t="e">
        <f t="shared" ca="1" si="25"/>
        <v>#NAME?</v>
      </c>
      <c r="K167" s="100" t="e">
        <f t="shared" ca="1" si="26"/>
        <v>#NAME?</v>
      </c>
      <c r="L167" s="100" t="e">
        <f t="shared" ca="1" si="27"/>
        <v>#NAME?</v>
      </c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</row>
    <row r="168" spans="1:27">
      <c r="A168" s="100" t="e">
        <f t="shared" ca="1" si="21"/>
        <v>#NAME?</v>
      </c>
      <c r="B168" s="100" t="e">
        <f ca="1">IFERROR(__xludf.DUMMYFUNCTION("""COMPUTED_VALUE"""),167)</f>
        <v>#NAME?</v>
      </c>
      <c r="C168" s="100" t="e">
        <f ca="1">IFERROR(__xludf.DUMMYFUNCTION("""COMPUTED_VALUE"""),"ADA-USDT")</f>
        <v>#NAME?</v>
      </c>
      <c r="D168" s="100" t="e">
        <f ca="1">IFERROR(__xludf.DUMMYFUNCTION("""COMPUTED_VALUE"""),"0.6398")</f>
        <v>#NAME?</v>
      </c>
      <c r="E168" s="100" t="e">
        <f t="shared" ca="1" si="29"/>
        <v>#NAME?</v>
      </c>
      <c r="F168" s="100" t="e">
        <f t="shared" ca="1" si="29"/>
        <v>#NAME?</v>
      </c>
      <c r="G168" s="100" t="e">
        <f t="shared" ca="1" si="22"/>
        <v>#NAME?</v>
      </c>
      <c r="H168" s="100" t="e">
        <f t="shared" ca="1" si="23"/>
        <v>#NAME?</v>
      </c>
      <c r="I168" s="100" t="e">
        <f t="shared" ca="1" si="24"/>
        <v>#NAME?</v>
      </c>
      <c r="J168" s="100" t="e">
        <f t="shared" ca="1" si="25"/>
        <v>#NAME?</v>
      </c>
      <c r="K168" s="100" t="e">
        <f t="shared" ca="1" si="26"/>
        <v>#NAME?</v>
      </c>
      <c r="L168" s="100" t="e">
        <f t="shared" ca="1" si="27"/>
        <v>#NAME?</v>
      </c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</row>
    <row r="169" spans="1:27">
      <c r="A169" s="100" t="e">
        <f t="shared" ca="1" si="21"/>
        <v>#NAME?</v>
      </c>
      <c r="B169" s="100" t="e">
        <f ca="1">IFERROR(__xludf.DUMMYFUNCTION("""COMPUTED_VALUE"""),168)</f>
        <v>#NAME?</v>
      </c>
      <c r="C169" s="100" t="e">
        <f ca="1">IFERROR(__xludf.DUMMYFUNCTION("""COMPUTED_VALUE"""),"DIA-USDT")</f>
        <v>#NAME?</v>
      </c>
      <c r="D169" s="100" t="e">
        <f ca="1">IFERROR(__xludf.DUMMYFUNCTION("""COMPUTED_VALUE"""),"0.4018")</f>
        <v>#NAME?</v>
      </c>
      <c r="E169" s="100" t="e">
        <f t="shared" ca="1" si="29"/>
        <v>#NAME?</v>
      </c>
      <c r="F169" s="100" t="e">
        <f t="shared" ca="1" si="29"/>
        <v>#NAME?</v>
      </c>
      <c r="G169" s="100" t="e">
        <f t="shared" ca="1" si="22"/>
        <v>#NAME?</v>
      </c>
      <c r="H169" s="100" t="e">
        <f t="shared" ca="1" si="23"/>
        <v>#NAME?</v>
      </c>
      <c r="I169" s="100" t="e">
        <f t="shared" ca="1" si="24"/>
        <v>#NAME?</v>
      </c>
      <c r="J169" s="100" t="e">
        <f t="shared" ca="1" si="25"/>
        <v>#NAME?</v>
      </c>
      <c r="K169" s="100" t="e">
        <f t="shared" ca="1" si="26"/>
        <v>#NAME?</v>
      </c>
      <c r="L169" s="100" t="e">
        <f t="shared" ca="1" si="27"/>
        <v>#NAME?</v>
      </c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</row>
    <row r="170" spans="1:27">
      <c r="A170" s="100" t="e">
        <f t="shared" ca="1" si="21"/>
        <v>#NAME?</v>
      </c>
      <c r="B170" s="100" t="e">
        <f ca="1">IFERROR(__xludf.DUMMYFUNCTION("""COMPUTED_VALUE"""),169)</f>
        <v>#NAME?</v>
      </c>
      <c r="C170" s="100" t="e">
        <f ca="1">IFERROR(__xludf.DUMMYFUNCTION("""COMPUTED_VALUE"""),"ALPHA-USDT")</f>
        <v>#NAME?</v>
      </c>
      <c r="D170" s="100" t="e">
        <f ca="1">IFERROR(__xludf.DUMMYFUNCTION("""COMPUTED_VALUE"""),"0.03013")</f>
        <v>#NAME?</v>
      </c>
      <c r="E170" s="100" t="e">
        <f t="shared" ca="1" si="29"/>
        <v>#NAME?</v>
      </c>
      <c r="F170" s="100" t="e">
        <f t="shared" ca="1" si="29"/>
        <v>#NAME?</v>
      </c>
      <c r="G170" s="100" t="e">
        <f t="shared" ca="1" si="22"/>
        <v>#NAME?</v>
      </c>
      <c r="H170" s="100" t="e">
        <f t="shared" ca="1" si="23"/>
        <v>#NAME?</v>
      </c>
      <c r="I170" s="100" t="e">
        <f t="shared" ca="1" si="24"/>
        <v>#NAME?</v>
      </c>
      <c r="J170" s="100" t="e">
        <f t="shared" ca="1" si="25"/>
        <v>#NAME?</v>
      </c>
      <c r="K170" s="100" t="e">
        <f t="shared" ca="1" si="26"/>
        <v>#NAME?</v>
      </c>
      <c r="L170" s="100" t="e">
        <f t="shared" ca="1" si="27"/>
        <v>#NAME?</v>
      </c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</row>
    <row r="171" spans="1:27">
      <c r="A171" s="100" t="e">
        <f t="shared" ca="1" si="21"/>
        <v>#NAME?</v>
      </c>
      <c r="B171" s="100" t="e">
        <f ca="1">IFERROR(__xludf.DUMMYFUNCTION("""COMPUTED_VALUE"""),170)</f>
        <v>#NAME?</v>
      </c>
      <c r="C171" s="100" t="e">
        <f ca="1">IFERROR(__xludf.DUMMYFUNCTION("""COMPUTED_VALUE"""),"RSS3-USDT")</f>
        <v>#NAME?</v>
      </c>
      <c r="D171" s="100" t="e">
        <f ca="1">IFERROR(__xludf.DUMMYFUNCTION("""COMPUTED_VALUE"""),"0.05701")</f>
        <v>#NAME?</v>
      </c>
      <c r="E171" s="100" t="e">
        <f t="shared" ca="1" si="29"/>
        <v>#NAME?</v>
      </c>
      <c r="F171" s="100" t="e">
        <f t="shared" ca="1" si="29"/>
        <v>#NAME?</v>
      </c>
      <c r="G171" s="100" t="e">
        <f t="shared" ca="1" si="22"/>
        <v>#NAME?</v>
      </c>
      <c r="H171" s="100" t="e">
        <f t="shared" ca="1" si="23"/>
        <v>#NAME?</v>
      </c>
      <c r="I171" s="100" t="e">
        <f t="shared" ca="1" si="24"/>
        <v>#NAME?</v>
      </c>
      <c r="J171" s="100" t="e">
        <f t="shared" ca="1" si="25"/>
        <v>#NAME?</v>
      </c>
      <c r="K171" s="100" t="e">
        <f t="shared" ca="1" si="26"/>
        <v>#NAME?</v>
      </c>
      <c r="L171" s="100" t="e">
        <f t="shared" ca="1" si="27"/>
        <v>#NAME?</v>
      </c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</row>
    <row r="172" spans="1:27">
      <c r="A172" s="100" t="e">
        <f t="shared" ca="1" si="21"/>
        <v>#NAME?</v>
      </c>
      <c r="B172" s="100" t="e">
        <f ca="1">IFERROR(__xludf.DUMMYFUNCTION("""COMPUTED_VALUE"""),171)</f>
        <v>#NAME?</v>
      </c>
      <c r="C172" s="100" t="e">
        <f ca="1">IFERROR(__xludf.DUMMYFUNCTION("""COMPUTED_VALUE"""),"MAJOR-USD")</f>
        <v>#NAME?</v>
      </c>
      <c r="D172" s="100" t="e">
        <f ca="1">IFERROR(__xludf.DUMMYFUNCTION("""COMPUTED_VALUE"""),"0.1885")</f>
        <v>#NAME?</v>
      </c>
      <c r="E172" s="100" t="e">
        <f t="shared" ca="1" si="29"/>
        <v>#NAME?</v>
      </c>
      <c r="F172" s="100" t="e">
        <f t="shared" ca="1" si="29"/>
        <v>#NAME?</v>
      </c>
      <c r="G172" s="100" t="e">
        <f t="shared" ca="1" si="22"/>
        <v>#NAME?</v>
      </c>
      <c r="H172" s="100" t="e">
        <f t="shared" ca="1" si="23"/>
        <v>#NAME?</v>
      </c>
      <c r="I172" s="100" t="e">
        <f t="shared" ca="1" si="24"/>
        <v>#NAME?</v>
      </c>
      <c r="J172" s="100" t="e">
        <f t="shared" ca="1" si="25"/>
        <v>#NAME?</v>
      </c>
      <c r="K172" s="100" t="e">
        <f t="shared" ca="1" si="26"/>
        <v>#NAME?</v>
      </c>
      <c r="L172" s="100" t="e">
        <f t="shared" ca="1" si="27"/>
        <v>#NAME?</v>
      </c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</row>
    <row r="173" spans="1:27">
      <c r="A173" s="100" t="e">
        <f t="shared" ca="1" si="21"/>
        <v>#NAME?</v>
      </c>
      <c r="B173" s="100" t="e">
        <f ca="1">IFERROR(__xludf.DUMMYFUNCTION("""COMPUTED_VALUE"""),172)</f>
        <v>#NAME?</v>
      </c>
      <c r="C173" s="100" t="e">
        <f ca="1">IFERROR(__xludf.DUMMYFUNCTION("""COMPUTED_VALUE"""),"AERGO-USDT")</f>
        <v>#NAME?</v>
      </c>
      <c r="D173" s="100" t="e">
        <f ca="1">IFERROR(__xludf.DUMMYFUNCTION("""COMPUTED_VALUE"""),"0.24447")</f>
        <v>#NAME?</v>
      </c>
      <c r="E173" s="100" t="e">
        <f t="shared" ca="1" si="29"/>
        <v>#NAME?</v>
      </c>
      <c r="F173" s="100" t="e">
        <f t="shared" ca="1" si="29"/>
        <v>#NAME?</v>
      </c>
      <c r="G173" s="100" t="e">
        <f t="shared" ca="1" si="22"/>
        <v>#NAME?</v>
      </c>
      <c r="H173" s="100" t="e">
        <f t="shared" ca="1" si="23"/>
        <v>#NAME?</v>
      </c>
      <c r="I173" s="100" t="e">
        <f t="shared" ca="1" si="24"/>
        <v>#NAME?</v>
      </c>
      <c r="J173" s="100" t="e">
        <f t="shared" ca="1" si="25"/>
        <v>#NAME?</v>
      </c>
      <c r="K173" s="100" t="e">
        <f t="shared" ca="1" si="26"/>
        <v>#NAME?</v>
      </c>
      <c r="L173" s="100" t="e">
        <f t="shared" ca="1" si="27"/>
        <v>#NAME?</v>
      </c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</row>
    <row r="174" spans="1:27">
      <c r="A174" s="100" t="e">
        <f t="shared" ca="1" si="21"/>
        <v>#NAME?</v>
      </c>
      <c r="B174" s="100" t="e">
        <f ca="1">IFERROR(__xludf.DUMMYFUNCTION("""COMPUTED_VALUE"""),173)</f>
        <v>#NAME?</v>
      </c>
      <c r="C174" s="100" t="e">
        <f ca="1">IFERROR(__xludf.DUMMYFUNCTION("""COMPUTED_VALUE"""),"PEPE-USDC")</f>
        <v>#NAME?</v>
      </c>
      <c r="D174" s="100" t="e">
        <f ca="1">IFERROR(__xludf.DUMMYFUNCTION("""COMPUTED_VALUE"""),"0.000008119")</f>
        <v>#NAME?</v>
      </c>
      <c r="E174" s="100" t="e">
        <f t="shared" ca="1" si="29"/>
        <v>#NAME?</v>
      </c>
      <c r="F174" s="100" t="e">
        <f t="shared" ca="1" si="29"/>
        <v>#NAME?</v>
      </c>
      <c r="G174" s="100" t="e">
        <f t="shared" ca="1" si="22"/>
        <v>#NAME?</v>
      </c>
      <c r="H174" s="100" t="e">
        <f t="shared" ca="1" si="23"/>
        <v>#NAME?</v>
      </c>
      <c r="I174" s="100" t="e">
        <f t="shared" ca="1" si="24"/>
        <v>#NAME?</v>
      </c>
      <c r="J174" s="100" t="e">
        <f t="shared" ca="1" si="25"/>
        <v>#NAME?</v>
      </c>
      <c r="K174" s="100" t="e">
        <f t="shared" ca="1" si="26"/>
        <v>#NAME?</v>
      </c>
      <c r="L174" s="100" t="e">
        <f t="shared" ca="1" si="27"/>
        <v>#NAME?</v>
      </c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</row>
    <row r="175" spans="1:27">
      <c r="A175" s="100" t="e">
        <f t="shared" ca="1" si="21"/>
        <v>#NAME?</v>
      </c>
      <c r="B175" s="100" t="e">
        <f ca="1">IFERROR(__xludf.DUMMYFUNCTION("""COMPUTED_VALUE"""),174)</f>
        <v>#NAME?</v>
      </c>
      <c r="C175" s="100" t="e">
        <f ca="1">IFERROR(__xludf.DUMMYFUNCTION("""COMPUTED_VALUE"""),"USDT-USDC")</f>
        <v>#NAME?</v>
      </c>
      <c r="D175" s="100" t="e">
        <f ca="1">IFERROR(__xludf.DUMMYFUNCTION("""COMPUTED_VALUE"""),"1.0001")</f>
        <v>#NAME?</v>
      </c>
      <c r="E175" s="100" t="e">
        <f t="shared" ca="1" si="29"/>
        <v>#NAME?</v>
      </c>
      <c r="F175" s="100" t="e">
        <f t="shared" ca="1" si="29"/>
        <v>#NAME?</v>
      </c>
      <c r="G175" s="100" t="e">
        <f t="shared" ca="1" si="22"/>
        <v>#NAME?</v>
      </c>
      <c r="H175" s="100" t="e">
        <f t="shared" ca="1" si="23"/>
        <v>#NAME?</v>
      </c>
      <c r="I175" s="100" t="e">
        <f t="shared" ca="1" si="24"/>
        <v>#NAME?</v>
      </c>
      <c r="J175" s="100" t="e">
        <f t="shared" ca="1" si="25"/>
        <v>#NAME?</v>
      </c>
      <c r="K175" s="100" t="e">
        <f t="shared" ca="1" si="26"/>
        <v>#NAME?</v>
      </c>
      <c r="L175" s="100" t="e">
        <f t="shared" ca="1" si="27"/>
        <v>#NAME?</v>
      </c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</row>
    <row r="176" spans="1:27">
      <c r="A176" s="100" t="e">
        <f t="shared" ca="1" si="21"/>
        <v>#NAME?</v>
      </c>
      <c r="B176" s="100" t="e">
        <f ca="1">IFERROR(__xludf.DUMMYFUNCTION("""COMPUTED_VALUE"""),175)</f>
        <v>#NAME?</v>
      </c>
      <c r="C176" s="100" t="e">
        <f ca="1">IFERROR(__xludf.DUMMYFUNCTION("""COMPUTED_VALUE"""),"CFX-USDT")</f>
        <v>#NAME?</v>
      </c>
      <c r="D176" s="100" t="e">
        <f ca="1">IFERROR(__xludf.DUMMYFUNCTION("""COMPUTED_VALUE"""),"0.07149")</f>
        <v>#NAME?</v>
      </c>
      <c r="E176" s="100" t="e">
        <f t="shared" ca="1" si="29"/>
        <v>#NAME?</v>
      </c>
      <c r="F176" s="100" t="e">
        <f t="shared" ca="1" si="29"/>
        <v>#NAME?</v>
      </c>
      <c r="G176" s="100" t="e">
        <f t="shared" ca="1" si="22"/>
        <v>#NAME?</v>
      </c>
      <c r="H176" s="100" t="e">
        <f t="shared" ca="1" si="23"/>
        <v>#NAME?</v>
      </c>
      <c r="I176" s="100" t="e">
        <f t="shared" ca="1" si="24"/>
        <v>#NAME?</v>
      </c>
      <c r="J176" s="100" t="e">
        <f t="shared" ca="1" si="25"/>
        <v>#NAME?</v>
      </c>
      <c r="K176" s="100" t="e">
        <f t="shared" ca="1" si="26"/>
        <v>#NAME?</v>
      </c>
      <c r="L176" s="100" t="e">
        <f t="shared" ca="1" si="27"/>
        <v>#NAME?</v>
      </c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</row>
    <row r="177" spans="1:27">
      <c r="A177" s="100" t="e">
        <f t="shared" ca="1" si="21"/>
        <v>#NAME?</v>
      </c>
      <c r="B177" s="100" t="e">
        <f ca="1">IFERROR(__xludf.DUMMYFUNCTION("""COMPUTED_VALUE"""),176)</f>
        <v>#NAME?</v>
      </c>
      <c r="C177" s="100" t="e">
        <f ca="1">IFERROR(__xludf.DUMMYFUNCTION("""COMPUTED_VALUE"""),"OKT-USDT")</f>
        <v>#NAME?</v>
      </c>
      <c r="D177" s="100" t="e">
        <f ca="1">IFERROR(__xludf.DUMMYFUNCTION("""COMPUTED_VALUE"""),"4.834")</f>
        <v>#NAME?</v>
      </c>
      <c r="E177" s="100" t="e">
        <f t="shared" ca="1" si="29"/>
        <v>#NAME?</v>
      </c>
      <c r="F177" s="100" t="e">
        <f t="shared" ca="1" si="29"/>
        <v>#NAME?</v>
      </c>
      <c r="G177" s="100" t="e">
        <f t="shared" ca="1" si="22"/>
        <v>#NAME?</v>
      </c>
      <c r="H177" s="100" t="e">
        <f t="shared" ca="1" si="23"/>
        <v>#NAME?</v>
      </c>
      <c r="I177" s="100" t="e">
        <f t="shared" ca="1" si="24"/>
        <v>#NAME?</v>
      </c>
      <c r="J177" s="100" t="e">
        <f t="shared" ca="1" si="25"/>
        <v>#NAME?</v>
      </c>
      <c r="K177" s="100" t="e">
        <f t="shared" ca="1" si="26"/>
        <v>#NAME?</v>
      </c>
      <c r="L177" s="100" t="e">
        <f t="shared" ca="1" si="27"/>
        <v>#NAME?</v>
      </c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</row>
    <row r="178" spans="1:27">
      <c r="A178" s="100" t="e">
        <f t="shared" ca="1" si="21"/>
        <v>#NAME?</v>
      </c>
      <c r="B178" s="100" t="e">
        <f ca="1">IFERROR(__xludf.DUMMYFUNCTION("""COMPUTED_VALUE"""),177)</f>
        <v>#NAME?</v>
      </c>
      <c r="C178" s="100" t="e">
        <f ca="1">IFERROR(__xludf.DUMMYFUNCTION("""COMPUTED_VALUE"""),"GOAT-USD")</f>
        <v>#NAME?</v>
      </c>
      <c r="D178" s="100" t="e">
        <f ca="1">IFERROR(__xludf.DUMMYFUNCTION("""COMPUTED_VALUE"""),"0.05496")</f>
        <v>#NAME?</v>
      </c>
      <c r="E178" s="100" t="e">
        <f t="shared" ca="1" si="29"/>
        <v>#NAME?</v>
      </c>
      <c r="F178" s="100" t="e">
        <f t="shared" ca="1" si="29"/>
        <v>#NAME?</v>
      </c>
      <c r="G178" s="100" t="e">
        <f t="shared" ca="1" si="22"/>
        <v>#NAME?</v>
      </c>
      <c r="H178" s="100" t="e">
        <f t="shared" ca="1" si="23"/>
        <v>#NAME?</v>
      </c>
      <c r="I178" s="100" t="e">
        <f t="shared" ca="1" si="24"/>
        <v>#NAME?</v>
      </c>
      <c r="J178" s="100" t="e">
        <f t="shared" ca="1" si="25"/>
        <v>#NAME?</v>
      </c>
      <c r="K178" s="100" t="e">
        <f t="shared" ca="1" si="26"/>
        <v>#NAME?</v>
      </c>
      <c r="L178" s="100" t="e">
        <f t="shared" ca="1" si="27"/>
        <v>#NAME?</v>
      </c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</row>
    <row r="179" spans="1:27">
      <c r="A179" s="100" t="e">
        <f t="shared" ca="1" si="21"/>
        <v>#NAME?</v>
      </c>
      <c r="B179" s="100" t="e">
        <f ca="1">IFERROR(__xludf.DUMMYFUNCTION("""COMPUTED_VALUE"""),178)</f>
        <v>#NAME?</v>
      </c>
      <c r="C179" s="100" t="e">
        <f ca="1">IFERROR(__xludf.DUMMYFUNCTION("""COMPUTED_VALUE"""),"ERN-USDT")</f>
        <v>#NAME?</v>
      </c>
      <c r="D179" s="100" t="e">
        <f ca="1">IFERROR(__xludf.DUMMYFUNCTION("""COMPUTED_VALUE"""),"1.393")</f>
        <v>#NAME?</v>
      </c>
      <c r="E179" s="100" t="e">
        <f t="shared" ca="1" si="29"/>
        <v>#NAME?</v>
      </c>
      <c r="F179" s="100" t="e">
        <f t="shared" ca="1" si="29"/>
        <v>#NAME?</v>
      </c>
      <c r="G179" s="100" t="e">
        <f t="shared" ca="1" si="22"/>
        <v>#NAME?</v>
      </c>
      <c r="H179" s="100" t="e">
        <f t="shared" ca="1" si="23"/>
        <v>#NAME?</v>
      </c>
      <c r="I179" s="100" t="e">
        <f t="shared" ca="1" si="24"/>
        <v>#NAME?</v>
      </c>
      <c r="J179" s="100" t="e">
        <f t="shared" ca="1" si="25"/>
        <v>#NAME?</v>
      </c>
      <c r="K179" s="100" t="e">
        <f t="shared" ca="1" si="26"/>
        <v>#NAME?</v>
      </c>
      <c r="L179" s="100" t="e">
        <f t="shared" ca="1" si="27"/>
        <v>#NAME?</v>
      </c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</row>
    <row r="180" spans="1:27">
      <c r="A180" s="100" t="e">
        <f t="shared" ca="1" si="21"/>
        <v>#NAME?</v>
      </c>
      <c r="B180" s="100" t="e">
        <f ca="1">IFERROR(__xludf.DUMMYFUNCTION("""COMPUTED_VALUE"""),179)</f>
        <v>#NAME?</v>
      </c>
      <c r="C180" s="100" t="e">
        <f ca="1">IFERROR(__xludf.DUMMYFUNCTION("""COMPUTED_VALUE"""),"POR-USD")</f>
        <v>#NAME?</v>
      </c>
      <c r="D180" s="100" t="e">
        <f ca="1">IFERROR(__xludf.DUMMYFUNCTION("""COMPUTED_VALUE"""),"0.7438")</f>
        <v>#NAME?</v>
      </c>
      <c r="E180" s="100" t="e">
        <f t="shared" ca="1" si="29"/>
        <v>#NAME?</v>
      </c>
      <c r="F180" s="100" t="e">
        <f t="shared" ca="1" si="29"/>
        <v>#NAME?</v>
      </c>
      <c r="G180" s="100" t="e">
        <f t="shared" ca="1" si="22"/>
        <v>#NAME?</v>
      </c>
      <c r="H180" s="100" t="e">
        <f t="shared" ca="1" si="23"/>
        <v>#NAME?</v>
      </c>
      <c r="I180" s="100" t="e">
        <f t="shared" ca="1" si="24"/>
        <v>#NAME?</v>
      </c>
      <c r="J180" s="100" t="e">
        <f t="shared" ca="1" si="25"/>
        <v>#NAME?</v>
      </c>
      <c r="K180" s="100" t="e">
        <f t="shared" ca="1" si="26"/>
        <v>#NAME?</v>
      </c>
      <c r="L180" s="100" t="e">
        <f t="shared" ca="1" si="27"/>
        <v>#NAME?</v>
      </c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</row>
    <row r="181" spans="1:27">
      <c r="A181" s="100" t="e">
        <f t="shared" ca="1" si="21"/>
        <v>#NAME?</v>
      </c>
      <c r="B181" s="100" t="e">
        <f ca="1">IFERROR(__xludf.DUMMYFUNCTION("""COMPUTED_VALUE"""),180)</f>
        <v>#NAME?</v>
      </c>
      <c r="C181" s="100" t="e">
        <f ca="1">IFERROR(__xludf.DUMMYFUNCTION("""COMPUTED_VALUE"""),"PEPE-USDT")</f>
        <v>#NAME?</v>
      </c>
      <c r="D181" s="100" t="e">
        <f ca="1">IFERROR(__xludf.DUMMYFUNCTION("""COMPUTED_VALUE"""),"0.000008128")</f>
        <v>#NAME?</v>
      </c>
      <c r="E181" s="100" t="e">
        <f t="shared" ca="1" si="29"/>
        <v>#NAME?</v>
      </c>
      <c r="F181" s="100" t="e">
        <f t="shared" ca="1" si="29"/>
        <v>#NAME?</v>
      </c>
      <c r="G181" s="100" t="e">
        <f t="shared" ca="1" si="22"/>
        <v>#NAME?</v>
      </c>
      <c r="H181" s="100" t="e">
        <f t="shared" ca="1" si="23"/>
        <v>#NAME?</v>
      </c>
      <c r="I181" s="100" t="e">
        <f t="shared" ca="1" si="24"/>
        <v>#NAME?</v>
      </c>
      <c r="J181" s="100" t="e">
        <f t="shared" ca="1" si="25"/>
        <v>#NAME?</v>
      </c>
      <c r="K181" s="100" t="e">
        <f t="shared" ca="1" si="26"/>
        <v>#NAME?</v>
      </c>
      <c r="L181" s="100" t="e">
        <f t="shared" ca="1" si="27"/>
        <v>#NAME?</v>
      </c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</row>
    <row r="182" spans="1:27">
      <c r="A182" s="100" t="e">
        <f t="shared" ca="1" si="21"/>
        <v>#NAME?</v>
      </c>
      <c r="B182" s="100" t="e">
        <f ca="1">IFERROR(__xludf.DUMMYFUNCTION("""COMPUTED_VALUE"""),181)</f>
        <v>#NAME?</v>
      </c>
      <c r="C182" s="100" t="e">
        <f ca="1">IFERROR(__xludf.DUMMYFUNCTION("""COMPUTED_VALUE"""),"FLR-EUR")</f>
        <v>#NAME?</v>
      </c>
      <c r="D182" s="100" t="e">
        <f ca="1">IFERROR(__xludf.DUMMYFUNCTION("""COMPUTED_VALUE"""),"0.014")</f>
        <v>#NAME?</v>
      </c>
      <c r="E182" s="100" t="e">
        <f t="shared" ref="E182:F201" ca="1" si="30">IFERROR(__xludf.DUMMYFUNCTION("""COMPUTED_VALUE"""),"-")</f>
        <v>#NAME?</v>
      </c>
      <c r="F182" s="100" t="e">
        <f t="shared" ca="1" si="30"/>
        <v>#NAME?</v>
      </c>
      <c r="G182" s="100" t="e">
        <f t="shared" ca="1" si="22"/>
        <v>#NAME?</v>
      </c>
      <c r="H182" s="100" t="e">
        <f t="shared" ca="1" si="23"/>
        <v>#NAME?</v>
      </c>
      <c r="I182" s="100" t="e">
        <f t="shared" ca="1" si="24"/>
        <v>#NAME?</v>
      </c>
      <c r="J182" s="100" t="e">
        <f t="shared" ca="1" si="25"/>
        <v>#NAME?</v>
      </c>
      <c r="K182" s="100" t="e">
        <f t="shared" ca="1" si="26"/>
        <v>#NAME?</v>
      </c>
      <c r="L182" s="100" t="e">
        <f t="shared" ca="1" si="27"/>
        <v>#NAME?</v>
      </c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</row>
    <row r="183" spans="1:27">
      <c r="A183" s="100" t="e">
        <f t="shared" ca="1" si="21"/>
        <v>#NAME?</v>
      </c>
      <c r="B183" s="100" t="e">
        <f ca="1">IFERROR(__xludf.DUMMYFUNCTION("""COMPUTED_VALUE"""),182)</f>
        <v>#NAME?</v>
      </c>
      <c r="C183" s="100" t="e">
        <f ca="1">IFERROR(__xludf.DUMMYFUNCTION("""COMPUTED_VALUE"""),"PENGU-USDT")</f>
        <v>#NAME?</v>
      </c>
      <c r="D183" s="100" t="e">
        <f ca="1">IFERROR(__xludf.DUMMYFUNCTION("""COMPUTED_VALUE"""),"0.005086")</f>
        <v>#NAME?</v>
      </c>
      <c r="E183" s="100" t="e">
        <f t="shared" ca="1" si="30"/>
        <v>#NAME?</v>
      </c>
      <c r="F183" s="100" t="e">
        <f t="shared" ca="1" si="30"/>
        <v>#NAME?</v>
      </c>
      <c r="G183" s="100" t="e">
        <f t="shared" ca="1" si="22"/>
        <v>#NAME?</v>
      </c>
      <c r="H183" s="100" t="e">
        <f t="shared" ca="1" si="23"/>
        <v>#NAME?</v>
      </c>
      <c r="I183" s="100" t="e">
        <f t="shared" ca="1" si="24"/>
        <v>#NAME?</v>
      </c>
      <c r="J183" s="100" t="e">
        <f t="shared" ca="1" si="25"/>
        <v>#NAME?</v>
      </c>
      <c r="K183" s="100" t="e">
        <f t="shared" ca="1" si="26"/>
        <v>#NAME?</v>
      </c>
      <c r="L183" s="100" t="e">
        <f t="shared" ca="1" si="27"/>
        <v>#NAME?</v>
      </c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</row>
    <row r="184" spans="1:27">
      <c r="A184" s="100" t="e">
        <f t="shared" ca="1" si="21"/>
        <v>#NAME?</v>
      </c>
      <c r="B184" s="100" t="e">
        <f ca="1">IFERROR(__xludf.DUMMYFUNCTION("""COMPUTED_VALUE"""),183)</f>
        <v>#NAME?</v>
      </c>
      <c r="C184" s="100" t="e">
        <f ca="1">IFERROR(__xludf.DUMMYFUNCTION("""COMPUTED_VALUE"""),"YGG-USD")</f>
        <v>#NAME?</v>
      </c>
      <c r="D184" s="100" t="e">
        <f ca="1">IFERROR(__xludf.DUMMYFUNCTION("""COMPUTED_VALUE"""),"0.1879")</f>
        <v>#NAME?</v>
      </c>
      <c r="E184" s="100" t="e">
        <f t="shared" ca="1" si="30"/>
        <v>#NAME?</v>
      </c>
      <c r="F184" s="100" t="e">
        <f t="shared" ca="1" si="30"/>
        <v>#NAME?</v>
      </c>
      <c r="G184" s="100" t="e">
        <f t="shared" ca="1" si="22"/>
        <v>#NAME?</v>
      </c>
      <c r="H184" s="100" t="e">
        <f t="shared" ca="1" si="23"/>
        <v>#NAME?</v>
      </c>
      <c r="I184" s="100" t="e">
        <f t="shared" ca="1" si="24"/>
        <v>#NAME?</v>
      </c>
      <c r="J184" s="100" t="e">
        <f t="shared" ca="1" si="25"/>
        <v>#NAME?</v>
      </c>
      <c r="K184" s="100" t="e">
        <f t="shared" ca="1" si="26"/>
        <v>#NAME?</v>
      </c>
      <c r="L184" s="100" t="e">
        <f t="shared" ca="1" si="27"/>
        <v>#NAME?</v>
      </c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</row>
    <row r="185" spans="1:27">
      <c r="A185" s="100" t="e">
        <f t="shared" ca="1" si="21"/>
        <v>#NAME?</v>
      </c>
      <c r="B185" s="100" t="e">
        <f ca="1">IFERROR(__xludf.DUMMYFUNCTION("""COMPUTED_VALUE"""),184)</f>
        <v>#NAME?</v>
      </c>
      <c r="C185" s="100" t="e">
        <f ca="1">IFERROR(__xludf.DUMMYFUNCTION("""COMPUTED_VALUE"""),"SOL-BRL")</f>
        <v>#NAME?</v>
      </c>
      <c r="D185" s="100" t="e">
        <f ca="1">IFERROR(__xludf.DUMMYFUNCTION("""COMPUTED_VALUE"""),"811.4")</f>
        <v>#NAME?</v>
      </c>
      <c r="E185" s="100" t="e">
        <f t="shared" ca="1" si="30"/>
        <v>#NAME?</v>
      </c>
      <c r="F185" s="100" t="e">
        <f t="shared" ca="1" si="30"/>
        <v>#NAME?</v>
      </c>
      <c r="G185" s="100" t="e">
        <f t="shared" ca="1" si="22"/>
        <v>#NAME?</v>
      </c>
      <c r="H185" s="100" t="e">
        <f t="shared" ca="1" si="23"/>
        <v>#NAME?</v>
      </c>
      <c r="I185" s="100" t="e">
        <f t="shared" ca="1" si="24"/>
        <v>#NAME?</v>
      </c>
      <c r="J185" s="100" t="e">
        <f t="shared" ca="1" si="25"/>
        <v>#NAME?</v>
      </c>
      <c r="K185" s="100" t="e">
        <f t="shared" ca="1" si="26"/>
        <v>#NAME?</v>
      </c>
      <c r="L185" s="100" t="e">
        <f t="shared" ca="1" si="27"/>
        <v>#NAME?</v>
      </c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</row>
    <row r="186" spans="1:27">
      <c r="A186" s="100" t="e">
        <f t="shared" ca="1" si="21"/>
        <v>#NAME?</v>
      </c>
      <c r="B186" s="100" t="e">
        <f ca="1">IFERROR(__xludf.DUMMYFUNCTION("""COMPUTED_VALUE"""),185)</f>
        <v>#NAME?</v>
      </c>
      <c r="C186" s="100" t="e">
        <f ca="1">IFERROR(__xludf.DUMMYFUNCTION("""COMPUTED_VALUE"""),"ZETA-USDC")</f>
        <v>#NAME?</v>
      </c>
      <c r="D186" s="100" t="e">
        <f ca="1">IFERROR(__xludf.DUMMYFUNCTION("""COMPUTED_VALUE"""),"0.233")</f>
        <v>#NAME?</v>
      </c>
      <c r="E186" s="100" t="e">
        <f t="shared" ca="1" si="30"/>
        <v>#NAME?</v>
      </c>
      <c r="F186" s="100" t="e">
        <f t="shared" ca="1" si="30"/>
        <v>#NAME?</v>
      </c>
      <c r="G186" s="100" t="e">
        <f t="shared" ca="1" si="22"/>
        <v>#NAME?</v>
      </c>
      <c r="H186" s="100" t="e">
        <f t="shared" ca="1" si="23"/>
        <v>#NAME?</v>
      </c>
      <c r="I186" s="100" t="e">
        <f t="shared" ca="1" si="24"/>
        <v>#NAME?</v>
      </c>
      <c r="J186" s="100" t="e">
        <f t="shared" ca="1" si="25"/>
        <v>#NAME?</v>
      </c>
      <c r="K186" s="100" t="e">
        <f t="shared" ca="1" si="26"/>
        <v>#NAME?</v>
      </c>
      <c r="L186" s="100" t="e">
        <f t="shared" ca="1" si="27"/>
        <v>#NAME?</v>
      </c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</row>
    <row r="187" spans="1:27">
      <c r="A187" s="100" t="e">
        <f t="shared" ca="1" si="21"/>
        <v>#NAME?</v>
      </c>
      <c r="B187" s="100" t="e">
        <f ca="1">IFERROR(__xludf.DUMMYFUNCTION("""COMPUTED_VALUE"""),186)</f>
        <v>#NAME?</v>
      </c>
      <c r="C187" s="100" t="e">
        <f ca="1">IFERROR(__xludf.DUMMYFUNCTION("""COMPUTED_VALUE"""),"AUCTION-USD")</f>
        <v>#NAME?</v>
      </c>
      <c r="D187" s="100" t="e">
        <f ca="1">IFERROR(__xludf.DUMMYFUNCTION("""COMPUTED_VALUE"""),"11.534")</f>
        <v>#NAME?</v>
      </c>
      <c r="E187" s="100" t="e">
        <f t="shared" ca="1" si="30"/>
        <v>#NAME?</v>
      </c>
      <c r="F187" s="100" t="e">
        <f t="shared" ca="1" si="30"/>
        <v>#NAME?</v>
      </c>
      <c r="G187" s="100" t="e">
        <f t="shared" ca="1" si="22"/>
        <v>#NAME?</v>
      </c>
      <c r="H187" s="100" t="e">
        <f t="shared" ca="1" si="23"/>
        <v>#NAME?</v>
      </c>
      <c r="I187" s="100" t="e">
        <f t="shared" ca="1" si="24"/>
        <v>#NAME?</v>
      </c>
      <c r="J187" s="100" t="e">
        <f t="shared" ca="1" si="25"/>
        <v>#NAME?</v>
      </c>
      <c r="K187" s="100" t="e">
        <f t="shared" ca="1" si="26"/>
        <v>#NAME?</v>
      </c>
      <c r="L187" s="100" t="e">
        <f t="shared" ca="1" si="27"/>
        <v>#NAME?</v>
      </c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</row>
    <row r="188" spans="1:27">
      <c r="A188" s="100" t="e">
        <f t="shared" ca="1" si="21"/>
        <v>#NAME?</v>
      </c>
      <c r="B188" s="100" t="e">
        <f ca="1">IFERROR(__xludf.DUMMYFUNCTION("""COMPUTED_VALUE"""),187)</f>
        <v>#NAME?</v>
      </c>
      <c r="C188" s="100" t="e">
        <f ca="1">IFERROR(__xludf.DUMMYFUNCTION("""COMPUTED_VALUE"""),"KAIA-USD")</f>
        <v>#NAME?</v>
      </c>
      <c r="D188" s="100" t="e">
        <f ca="1">IFERROR(__xludf.DUMMYFUNCTION("""COMPUTED_VALUE"""),"0.1128")</f>
        <v>#NAME?</v>
      </c>
      <c r="E188" s="100" t="e">
        <f t="shared" ca="1" si="30"/>
        <v>#NAME?</v>
      </c>
      <c r="F188" s="100" t="e">
        <f t="shared" ca="1" si="30"/>
        <v>#NAME?</v>
      </c>
      <c r="G188" s="100" t="e">
        <f t="shared" ca="1" si="22"/>
        <v>#NAME?</v>
      </c>
      <c r="H188" s="100" t="e">
        <f t="shared" ca="1" si="23"/>
        <v>#NAME?</v>
      </c>
      <c r="I188" s="100" t="e">
        <f t="shared" ca="1" si="24"/>
        <v>#NAME?</v>
      </c>
      <c r="J188" s="100" t="e">
        <f t="shared" ca="1" si="25"/>
        <v>#NAME?</v>
      </c>
      <c r="K188" s="100" t="e">
        <f t="shared" ca="1" si="26"/>
        <v>#NAME?</v>
      </c>
      <c r="L188" s="100" t="e">
        <f t="shared" ca="1" si="27"/>
        <v>#NAME?</v>
      </c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</row>
    <row r="189" spans="1:27">
      <c r="A189" s="100" t="e">
        <f t="shared" ca="1" si="21"/>
        <v>#NAME?</v>
      </c>
      <c r="B189" s="100" t="e">
        <f ca="1">IFERROR(__xludf.DUMMYFUNCTION("""COMPUTED_VALUE"""),188)</f>
        <v>#NAME?</v>
      </c>
      <c r="C189" s="100" t="e">
        <f ca="1">IFERROR(__xludf.DUMMYFUNCTION("""COMPUTED_VALUE"""),"BTC-USD")</f>
        <v>#NAME?</v>
      </c>
      <c r="D189" s="100" t="e">
        <f ca="1">IFERROR(__xludf.DUMMYFUNCTION("""COMPUTED_VALUE"""),"88478.9")</f>
        <v>#NAME?</v>
      </c>
      <c r="E189" s="100" t="e">
        <f t="shared" ca="1" si="30"/>
        <v>#NAME?</v>
      </c>
      <c r="F189" s="100" t="e">
        <f t="shared" ca="1" si="30"/>
        <v>#NAME?</v>
      </c>
      <c r="G189" s="100" t="e">
        <f t="shared" ca="1" si="22"/>
        <v>#NAME?</v>
      </c>
      <c r="H189" s="100" t="e">
        <f t="shared" ca="1" si="23"/>
        <v>#NAME?</v>
      </c>
      <c r="I189" s="100" t="e">
        <f t="shared" ca="1" si="24"/>
        <v>#NAME?</v>
      </c>
      <c r="J189" s="100" t="e">
        <f t="shared" ca="1" si="25"/>
        <v>#NAME?</v>
      </c>
      <c r="K189" s="100" t="e">
        <f t="shared" ca="1" si="26"/>
        <v>#NAME?</v>
      </c>
      <c r="L189" s="100" t="e">
        <f t="shared" ca="1" si="27"/>
        <v>#NAME?</v>
      </c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</row>
    <row r="190" spans="1:27">
      <c r="A190" s="100" t="e">
        <f t="shared" ca="1" si="21"/>
        <v>#NAME?</v>
      </c>
      <c r="B190" s="100" t="e">
        <f ca="1">IFERROR(__xludf.DUMMYFUNCTION("""COMPUTED_VALUE"""),189)</f>
        <v>#NAME?</v>
      </c>
      <c r="C190" s="100" t="e">
        <f ca="1">IFERROR(__xludf.DUMMYFUNCTION("""COMPUTED_VALUE"""),"HBAR-EUR")</f>
        <v>#NAME?</v>
      </c>
      <c r="D190" s="100" t="e">
        <f ca="1">IFERROR(__xludf.DUMMYFUNCTION("""COMPUTED_VALUE"""),"0.14992")</f>
        <v>#NAME?</v>
      </c>
      <c r="E190" s="100" t="e">
        <f t="shared" ca="1" si="30"/>
        <v>#NAME?</v>
      </c>
      <c r="F190" s="100" t="e">
        <f t="shared" ca="1" si="30"/>
        <v>#NAME?</v>
      </c>
      <c r="G190" s="100" t="e">
        <f t="shared" ca="1" si="22"/>
        <v>#NAME?</v>
      </c>
      <c r="H190" s="100" t="e">
        <f t="shared" ca="1" si="23"/>
        <v>#NAME?</v>
      </c>
      <c r="I190" s="100" t="e">
        <f t="shared" ca="1" si="24"/>
        <v>#NAME?</v>
      </c>
      <c r="J190" s="100" t="e">
        <f t="shared" ca="1" si="25"/>
        <v>#NAME?</v>
      </c>
      <c r="K190" s="100" t="e">
        <f t="shared" ca="1" si="26"/>
        <v>#NAME?</v>
      </c>
      <c r="L190" s="100" t="e">
        <f t="shared" ca="1" si="27"/>
        <v>#NAME?</v>
      </c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</row>
    <row r="191" spans="1:27">
      <c r="A191" s="100" t="e">
        <f t="shared" ca="1" si="21"/>
        <v>#NAME?</v>
      </c>
      <c r="B191" s="100" t="e">
        <f ca="1">IFERROR(__xludf.DUMMYFUNCTION("""COMPUTED_VALUE"""),190)</f>
        <v>#NAME?</v>
      </c>
      <c r="C191" s="100" t="e">
        <f ca="1">IFERROR(__xludf.DUMMYFUNCTION("""COMPUTED_VALUE"""),"TNSR-USD")</f>
        <v>#NAME?</v>
      </c>
      <c r="D191" s="100" t="e">
        <f ca="1">IFERROR(__xludf.DUMMYFUNCTION("""COMPUTED_VALUE"""),"0.1578")</f>
        <v>#NAME?</v>
      </c>
      <c r="E191" s="100" t="e">
        <f t="shared" ca="1" si="30"/>
        <v>#NAME?</v>
      </c>
      <c r="F191" s="100" t="e">
        <f t="shared" ca="1" si="30"/>
        <v>#NAME?</v>
      </c>
      <c r="G191" s="100" t="e">
        <f t="shared" ca="1" si="22"/>
        <v>#NAME?</v>
      </c>
      <c r="H191" s="100" t="e">
        <f t="shared" ca="1" si="23"/>
        <v>#NAME?</v>
      </c>
      <c r="I191" s="100" t="e">
        <f t="shared" ca="1" si="24"/>
        <v>#NAME?</v>
      </c>
      <c r="J191" s="100" t="e">
        <f t="shared" ca="1" si="25"/>
        <v>#NAME?</v>
      </c>
      <c r="K191" s="100" t="e">
        <f t="shared" ca="1" si="26"/>
        <v>#NAME?</v>
      </c>
      <c r="L191" s="100" t="e">
        <f t="shared" ca="1" si="27"/>
        <v>#NAME?</v>
      </c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</row>
    <row r="192" spans="1:27">
      <c r="A192" s="100" t="e">
        <f t="shared" ca="1" si="21"/>
        <v>#NAME?</v>
      </c>
      <c r="B192" s="100" t="e">
        <f ca="1">IFERROR(__xludf.DUMMYFUNCTION("""COMPUTED_VALUE"""),191)</f>
        <v>#NAME?</v>
      </c>
      <c r="C192" s="100" t="e">
        <f ca="1">IFERROR(__xludf.DUMMYFUNCTION("""COMPUTED_VALUE"""),"OKT-USDC")</f>
        <v>#NAME?</v>
      </c>
      <c r="D192" s="100" t="e">
        <f ca="1">IFERROR(__xludf.DUMMYFUNCTION("""COMPUTED_VALUE"""),"4.842")</f>
        <v>#NAME?</v>
      </c>
      <c r="E192" s="100" t="e">
        <f t="shared" ca="1" si="30"/>
        <v>#NAME?</v>
      </c>
      <c r="F192" s="100" t="e">
        <f t="shared" ca="1" si="30"/>
        <v>#NAME?</v>
      </c>
      <c r="G192" s="100" t="e">
        <f t="shared" ca="1" si="22"/>
        <v>#NAME?</v>
      </c>
      <c r="H192" s="100" t="e">
        <f t="shared" ca="1" si="23"/>
        <v>#NAME?</v>
      </c>
      <c r="I192" s="100" t="e">
        <f t="shared" ca="1" si="24"/>
        <v>#NAME?</v>
      </c>
      <c r="J192" s="100" t="e">
        <f t="shared" ca="1" si="25"/>
        <v>#NAME?</v>
      </c>
      <c r="K192" s="100" t="e">
        <f t="shared" ca="1" si="26"/>
        <v>#NAME?</v>
      </c>
      <c r="L192" s="100" t="e">
        <f t="shared" ca="1" si="27"/>
        <v>#NAME?</v>
      </c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</row>
    <row r="193" spans="1:27">
      <c r="A193" s="100" t="e">
        <f t="shared" ca="1" si="21"/>
        <v>#NAME?</v>
      </c>
      <c r="B193" s="100" t="e">
        <f ca="1">IFERROR(__xludf.DUMMYFUNCTION("""COMPUTED_VALUE"""),192)</f>
        <v>#NAME?</v>
      </c>
      <c r="C193" s="100" t="e">
        <f ca="1">IFERROR(__xludf.DUMMYFUNCTION("""COMPUTED_VALUE"""),"NULS-USD")</f>
        <v>#NAME?</v>
      </c>
      <c r="D193" s="100" t="e">
        <f ca="1">IFERROR(__xludf.DUMMYFUNCTION("""COMPUTED_VALUE"""),"0.0308")</f>
        <v>#NAME?</v>
      </c>
      <c r="E193" s="100" t="e">
        <f t="shared" ca="1" si="30"/>
        <v>#NAME?</v>
      </c>
      <c r="F193" s="100" t="e">
        <f t="shared" ca="1" si="30"/>
        <v>#NAME?</v>
      </c>
      <c r="G193" s="100" t="e">
        <f t="shared" ca="1" si="22"/>
        <v>#NAME?</v>
      </c>
      <c r="H193" s="100" t="e">
        <f t="shared" ca="1" si="23"/>
        <v>#NAME?</v>
      </c>
      <c r="I193" s="100" t="e">
        <f t="shared" ca="1" si="24"/>
        <v>#NAME?</v>
      </c>
      <c r="J193" s="100" t="e">
        <f t="shared" ca="1" si="25"/>
        <v>#NAME?</v>
      </c>
      <c r="K193" s="100" t="e">
        <f t="shared" ca="1" si="26"/>
        <v>#NAME?</v>
      </c>
      <c r="L193" s="100" t="e">
        <f t="shared" ca="1" si="27"/>
        <v>#NAME?</v>
      </c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</row>
    <row r="194" spans="1:27">
      <c r="A194" s="100" t="e">
        <f t="shared" ref="A194:A257" ca="1" si="31">SUBSTITUTE(C194,"-","",)</f>
        <v>#NAME?</v>
      </c>
      <c r="B194" s="100" t="e">
        <f ca="1">IFERROR(__xludf.DUMMYFUNCTION("""COMPUTED_VALUE"""),193)</f>
        <v>#NAME?</v>
      </c>
      <c r="C194" s="100" t="e">
        <f ca="1">IFERROR(__xludf.DUMMYFUNCTION("""COMPUTED_VALUE"""),"CLV-USDT")</f>
        <v>#NAME?</v>
      </c>
      <c r="D194" s="100" t="e">
        <f ca="1">IFERROR(__xludf.DUMMYFUNCTION("""COMPUTED_VALUE"""),"0.02511")</f>
        <v>#NAME?</v>
      </c>
      <c r="E194" s="100" t="e">
        <f t="shared" ca="1" si="30"/>
        <v>#NAME?</v>
      </c>
      <c r="F194" s="100" t="e">
        <f t="shared" ca="1" si="30"/>
        <v>#NAME?</v>
      </c>
      <c r="G194" s="100" t="e">
        <f t="shared" ref="G194:G257" ca="1" si="32">IFERROR(__xludf.DUMMYFUNCTION("""COMPUTED_VALUE"""),20200)</f>
        <v>#NAME?</v>
      </c>
      <c r="H194" s="100" t="e">
        <f t="shared" ref="H194:H257" ca="1" si="33">IFERROR(__xludf.DUMMYFUNCTION("""COMPUTED_VALUE"""),2885)</f>
        <v>#NAME?</v>
      </c>
      <c r="I194" s="100" t="e">
        <f t="shared" ref="I194:I257" ca="1" si="34">IFERROR(__xludf.DUMMYFUNCTION("""COMPUTED_VALUE"""),663)</f>
        <v>#NAME?</v>
      </c>
      <c r="J194" s="100" t="e">
        <f t="shared" ref="J194:J257" ca="1" si="35">IFERROR(__xludf.DUMMYFUNCTION("""COMPUTED_VALUE"""),5817714)</f>
        <v>#NAME?</v>
      </c>
      <c r="K194" s="100" t="e">
        <f t="shared" ref="K194:K257" ca="1" si="36">IFERROR(__xludf.DUMMYFUNCTION("""COMPUTED_VALUE"""),"-")</f>
        <v>#NAME?</v>
      </c>
      <c r="L194" s="100" t="e">
        <f t="shared" ref="L194:L257" ca="1" si="37">IFERROR(__xludf.DUMMYFUNCTION("""COMPUTED_VALUE"""),"22.04.2025 12:32:49")</f>
        <v>#NAME?</v>
      </c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</row>
    <row r="195" spans="1:27">
      <c r="A195" s="100" t="e">
        <f t="shared" ca="1" si="31"/>
        <v>#NAME?</v>
      </c>
      <c r="B195" s="100" t="e">
        <f ca="1">IFERROR(__xludf.DUMMYFUNCTION("""COMPUTED_VALUE"""),194)</f>
        <v>#NAME?</v>
      </c>
      <c r="C195" s="100" t="e">
        <f ca="1">IFERROR(__xludf.DUMMYFUNCTION("""COMPUTED_VALUE"""),"ZKJ-USD")</f>
        <v>#NAME?</v>
      </c>
      <c r="D195" s="100" t="e">
        <f ca="1">IFERROR(__xludf.DUMMYFUNCTION("""COMPUTED_VALUE"""),"2.2008")</f>
        <v>#NAME?</v>
      </c>
      <c r="E195" s="100" t="e">
        <f t="shared" ca="1" si="30"/>
        <v>#NAME?</v>
      </c>
      <c r="F195" s="100" t="e">
        <f t="shared" ca="1" si="30"/>
        <v>#NAME?</v>
      </c>
      <c r="G195" s="100" t="e">
        <f t="shared" ca="1" si="32"/>
        <v>#NAME?</v>
      </c>
      <c r="H195" s="100" t="e">
        <f t="shared" ca="1" si="33"/>
        <v>#NAME?</v>
      </c>
      <c r="I195" s="100" t="e">
        <f t="shared" ca="1" si="34"/>
        <v>#NAME?</v>
      </c>
      <c r="J195" s="100" t="e">
        <f t="shared" ca="1" si="35"/>
        <v>#NAME?</v>
      </c>
      <c r="K195" s="100" t="e">
        <f t="shared" ca="1" si="36"/>
        <v>#NAME?</v>
      </c>
      <c r="L195" s="100" t="e">
        <f t="shared" ca="1" si="37"/>
        <v>#NAME?</v>
      </c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</row>
    <row r="196" spans="1:27">
      <c r="A196" s="100" t="e">
        <f t="shared" ca="1" si="31"/>
        <v>#NAME?</v>
      </c>
      <c r="B196" s="100" t="e">
        <f ca="1">IFERROR(__xludf.DUMMYFUNCTION("""COMPUTED_VALUE"""),195)</f>
        <v>#NAME?</v>
      </c>
      <c r="C196" s="100" t="e">
        <f ca="1">IFERROR(__xludf.DUMMYFUNCTION("""COMPUTED_VALUE"""),"OXT-USD")</f>
        <v>#NAME?</v>
      </c>
      <c r="D196" s="100" t="e">
        <f ca="1">IFERROR(__xludf.DUMMYFUNCTION("""COMPUTED_VALUE"""),"0.07044")</f>
        <v>#NAME?</v>
      </c>
      <c r="E196" s="100" t="e">
        <f t="shared" ca="1" si="30"/>
        <v>#NAME?</v>
      </c>
      <c r="F196" s="100" t="e">
        <f t="shared" ca="1" si="30"/>
        <v>#NAME?</v>
      </c>
      <c r="G196" s="100" t="e">
        <f t="shared" ca="1" si="32"/>
        <v>#NAME?</v>
      </c>
      <c r="H196" s="100" t="e">
        <f t="shared" ca="1" si="33"/>
        <v>#NAME?</v>
      </c>
      <c r="I196" s="100" t="e">
        <f t="shared" ca="1" si="34"/>
        <v>#NAME?</v>
      </c>
      <c r="J196" s="100" t="e">
        <f t="shared" ca="1" si="35"/>
        <v>#NAME?</v>
      </c>
      <c r="K196" s="100" t="e">
        <f t="shared" ca="1" si="36"/>
        <v>#NAME?</v>
      </c>
      <c r="L196" s="100" t="e">
        <f t="shared" ca="1" si="37"/>
        <v>#NAME?</v>
      </c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</row>
    <row r="197" spans="1:27">
      <c r="A197" s="100" t="e">
        <f t="shared" ca="1" si="31"/>
        <v>#NAME?</v>
      </c>
      <c r="B197" s="100" t="e">
        <f ca="1">IFERROR(__xludf.DUMMYFUNCTION("""COMPUTED_VALUE"""),196)</f>
        <v>#NAME?</v>
      </c>
      <c r="C197" s="100" t="e">
        <f ca="1">IFERROR(__xludf.DUMMYFUNCTION("""COMPUTED_VALUE"""),"BTT-USDT")</f>
        <v>#NAME?</v>
      </c>
      <c r="D197" s="100" t="e">
        <f ca="1">IFERROR(__xludf.DUMMYFUNCTION("""COMPUTED_VALUE"""),"0.0000006108")</f>
        <v>#NAME?</v>
      </c>
      <c r="E197" s="100" t="e">
        <f t="shared" ca="1" si="30"/>
        <v>#NAME?</v>
      </c>
      <c r="F197" s="100" t="e">
        <f t="shared" ca="1" si="30"/>
        <v>#NAME?</v>
      </c>
      <c r="G197" s="100" t="e">
        <f t="shared" ca="1" si="32"/>
        <v>#NAME?</v>
      </c>
      <c r="H197" s="100" t="e">
        <f t="shared" ca="1" si="33"/>
        <v>#NAME?</v>
      </c>
      <c r="I197" s="100" t="e">
        <f t="shared" ca="1" si="34"/>
        <v>#NAME?</v>
      </c>
      <c r="J197" s="100" t="e">
        <f t="shared" ca="1" si="35"/>
        <v>#NAME?</v>
      </c>
      <c r="K197" s="100" t="e">
        <f t="shared" ca="1" si="36"/>
        <v>#NAME?</v>
      </c>
      <c r="L197" s="100" t="e">
        <f t="shared" ca="1" si="37"/>
        <v>#NAME?</v>
      </c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</row>
    <row r="198" spans="1:27">
      <c r="A198" s="100" t="e">
        <f t="shared" ca="1" si="31"/>
        <v>#NAME?</v>
      </c>
      <c r="B198" s="100" t="e">
        <f ca="1">IFERROR(__xludf.DUMMYFUNCTION("""COMPUTED_VALUE"""),197)</f>
        <v>#NAME?</v>
      </c>
      <c r="C198" s="100" t="e">
        <f ca="1">IFERROR(__xludf.DUMMYFUNCTION("""COMPUTED_VALUE"""),"DOGS-USDT")</f>
        <v>#NAME?</v>
      </c>
      <c r="D198" s="100" t="e">
        <f ca="1">IFERROR(__xludf.DUMMYFUNCTION("""COMPUTED_VALUE"""),"0.0001191")</f>
        <v>#NAME?</v>
      </c>
      <c r="E198" s="100" t="e">
        <f t="shared" ca="1" si="30"/>
        <v>#NAME?</v>
      </c>
      <c r="F198" s="100" t="e">
        <f t="shared" ca="1" si="30"/>
        <v>#NAME?</v>
      </c>
      <c r="G198" s="100" t="e">
        <f t="shared" ca="1" si="32"/>
        <v>#NAME?</v>
      </c>
      <c r="H198" s="100" t="e">
        <f t="shared" ca="1" si="33"/>
        <v>#NAME?</v>
      </c>
      <c r="I198" s="100" t="e">
        <f t="shared" ca="1" si="34"/>
        <v>#NAME?</v>
      </c>
      <c r="J198" s="100" t="e">
        <f t="shared" ca="1" si="35"/>
        <v>#NAME?</v>
      </c>
      <c r="K198" s="100" t="e">
        <f t="shared" ca="1" si="36"/>
        <v>#NAME?</v>
      </c>
      <c r="L198" s="100" t="e">
        <f t="shared" ca="1" si="37"/>
        <v>#NAME?</v>
      </c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</row>
    <row r="199" spans="1:27">
      <c r="A199" s="100" t="e">
        <f t="shared" ca="1" si="31"/>
        <v>#NAME?</v>
      </c>
      <c r="B199" s="100" t="e">
        <f ca="1">IFERROR(__xludf.DUMMYFUNCTION("""COMPUTED_VALUE"""),198)</f>
        <v>#NAME?</v>
      </c>
      <c r="C199" s="100" t="e">
        <f ca="1">IFERROR(__xludf.DUMMYFUNCTION("""COMPUTED_VALUE"""),"ID-USD")</f>
        <v>#NAME?</v>
      </c>
      <c r="D199" s="100" t="e">
        <f ca="1">IFERROR(__xludf.DUMMYFUNCTION("""COMPUTED_VALUE"""),"0.1831")</f>
        <v>#NAME?</v>
      </c>
      <c r="E199" s="100" t="e">
        <f t="shared" ca="1" si="30"/>
        <v>#NAME?</v>
      </c>
      <c r="F199" s="100" t="e">
        <f t="shared" ca="1" si="30"/>
        <v>#NAME?</v>
      </c>
      <c r="G199" s="100" t="e">
        <f t="shared" ca="1" si="32"/>
        <v>#NAME?</v>
      </c>
      <c r="H199" s="100" t="e">
        <f t="shared" ca="1" si="33"/>
        <v>#NAME?</v>
      </c>
      <c r="I199" s="100" t="e">
        <f t="shared" ca="1" si="34"/>
        <v>#NAME?</v>
      </c>
      <c r="J199" s="100" t="e">
        <f t="shared" ca="1" si="35"/>
        <v>#NAME?</v>
      </c>
      <c r="K199" s="100" t="e">
        <f t="shared" ca="1" si="36"/>
        <v>#NAME?</v>
      </c>
      <c r="L199" s="100" t="e">
        <f t="shared" ca="1" si="37"/>
        <v>#NAME?</v>
      </c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</row>
    <row r="200" spans="1:27">
      <c r="A200" s="100" t="e">
        <f t="shared" ca="1" si="31"/>
        <v>#NAME?</v>
      </c>
      <c r="B200" s="100" t="e">
        <f ca="1">IFERROR(__xludf.DUMMYFUNCTION("""COMPUTED_VALUE"""),199)</f>
        <v>#NAME?</v>
      </c>
      <c r="C200" s="100" t="e">
        <f ca="1">IFERROR(__xludf.DUMMYFUNCTION("""COMPUTED_VALUE"""),"SUSHI-EUR")</f>
        <v>#NAME?</v>
      </c>
      <c r="D200" s="100" t="e">
        <f ca="1">IFERROR(__xludf.DUMMYFUNCTION("""COMPUTED_VALUE"""),"0.5222")</f>
        <v>#NAME?</v>
      </c>
      <c r="E200" s="100" t="e">
        <f t="shared" ca="1" si="30"/>
        <v>#NAME?</v>
      </c>
      <c r="F200" s="100" t="e">
        <f t="shared" ca="1" si="30"/>
        <v>#NAME?</v>
      </c>
      <c r="G200" s="100" t="e">
        <f t="shared" ca="1" si="32"/>
        <v>#NAME?</v>
      </c>
      <c r="H200" s="100" t="e">
        <f t="shared" ca="1" si="33"/>
        <v>#NAME?</v>
      </c>
      <c r="I200" s="100" t="e">
        <f t="shared" ca="1" si="34"/>
        <v>#NAME?</v>
      </c>
      <c r="J200" s="100" t="e">
        <f t="shared" ca="1" si="35"/>
        <v>#NAME?</v>
      </c>
      <c r="K200" s="100" t="e">
        <f t="shared" ca="1" si="36"/>
        <v>#NAME?</v>
      </c>
      <c r="L200" s="100" t="e">
        <f t="shared" ca="1" si="37"/>
        <v>#NAME?</v>
      </c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</row>
    <row r="201" spans="1:27">
      <c r="A201" s="100" t="e">
        <f t="shared" ca="1" si="31"/>
        <v>#NAME?</v>
      </c>
      <c r="B201" s="100" t="e">
        <f ca="1">IFERROR(__xludf.DUMMYFUNCTION("""COMPUTED_VALUE"""),200)</f>
        <v>#NAME?</v>
      </c>
      <c r="C201" s="100" t="e">
        <f ca="1">IFERROR(__xludf.DUMMYFUNCTION("""COMPUTED_VALUE"""),"BETH-ETH")</f>
        <v>#NAME?</v>
      </c>
      <c r="D201" s="100" t="e">
        <f ca="1">IFERROR(__xludf.DUMMYFUNCTION("""COMPUTED_VALUE"""),"0.9998")</f>
        <v>#NAME?</v>
      </c>
      <c r="E201" s="100" t="e">
        <f t="shared" ca="1" si="30"/>
        <v>#NAME?</v>
      </c>
      <c r="F201" s="100" t="e">
        <f t="shared" ca="1" si="30"/>
        <v>#NAME?</v>
      </c>
      <c r="G201" s="100" t="e">
        <f t="shared" ca="1" si="32"/>
        <v>#NAME?</v>
      </c>
      <c r="H201" s="100" t="e">
        <f t="shared" ca="1" si="33"/>
        <v>#NAME?</v>
      </c>
      <c r="I201" s="100" t="e">
        <f t="shared" ca="1" si="34"/>
        <v>#NAME?</v>
      </c>
      <c r="J201" s="100" t="e">
        <f t="shared" ca="1" si="35"/>
        <v>#NAME?</v>
      </c>
      <c r="K201" s="100" t="e">
        <f t="shared" ca="1" si="36"/>
        <v>#NAME?</v>
      </c>
      <c r="L201" s="100" t="e">
        <f t="shared" ca="1" si="37"/>
        <v>#NAME?</v>
      </c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</row>
    <row r="202" spans="1:27">
      <c r="A202" s="100" t="e">
        <f t="shared" ca="1" si="31"/>
        <v>#NAME?</v>
      </c>
      <c r="B202" s="100" t="e">
        <f ca="1">IFERROR(__xludf.DUMMYFUNCTION("""COMPUTED_VALUE"""),201)</f>
        <v>#NAME?</v>
      </c>
      <c r="C202" s="100" t="e">
        <f ca="1">IFERROR(__xludf.DUMMYFUNCTION("""COMPUTED_VALUE"""),"ICX-USDT")</f>
        <v>#NAME?</v>
      </c>
      <c r="D202" s="100" t="e">
        <f ca="1">IFERROR(__xludf.DUMMYFUNCTION("""COMPUTED_VALUE"""),"0.10062")</f>
        <v>#NAME?</v>
      </c>
      <c r="E202" s="100" t="e">
        <f t="shared" ref="E202:F221" ca="1" si="38">IFERROR(__xludf.DUMMYFUNCTION("""COMPUTED_VALUE"""),"-")</f>
        <v>#NAME?</v>
      </c>
      <c r="F202" s="100" t="e">
        <f t="shared" ca="1" si="38"/>
        <v>#NAME?</v>
      </c>
      <c r="G202" s="100" t="e">
        <f t="shared" ca="1" si="32"/>
        <v>#NAME?</v>
      </c>
      <c r="H202" s="100" t="e">
        <f t="shared" ca="1" si="33"/>
        <v>#NAME?</v>
      </c>
      <c r="I202" s="100" t="e">
        <f t="shared" ca="1" si="34"/>
        <v>#NAME?</v>
      </c>
      <c r="J202" s="100" t="e">
        <f t="shared" ca="1" si="35"/>
        <v>#NAME?</v>
      </c>
      <c r="K202" s="100" t="e">
        <f t="shared" ca="1" si="36"/>
        <v>#NAME?</v>
      </c>
      <c r="L202" s="100" t="e">
        <f t="shared" ca="1" si="37"/>
        <v>#NAME?</v>
      </c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</row>
    <row r="203" spans="1:27">
      <c r="A203" s="100" t="e">
        <f t="shared" ca="1" si="31"/>
        <v>#NAME?</v>
      </c>
      <c r="B203" s="100" t="e">
        <f ca="1">IFERROR(__xludf.DUMMYFUNCTION("""COMPUTED_VALUE"""),202)</f>
        <v>#NAME?</v>
      </c>
      <c r="C203" s="100" t="e">
        <f ca="1">IFERROR(__xludf.DUMMYFUNCTION("""COMPUTED_VALUE"""),"BORA-USD")</f>
        <v>#NAME?</v>
      </c>
      <c r="D203" s="100" t="e">
        <f ca="1">IFERROR(__xludf.DUMMYFUNCTION("""COMPUTED_VALUE"""),"0.09444")</f>
        <v>#NAME?</v>
      </c>
      <c r="E203" s="100" t="e">
        <f t="shared" ca="1" si="38"/>
        <v>#NAME?</v>
      </c>
      <c r="F203" s="100" t="e">
        <f t="shared" ca="1" si="38"/>
        <v>#NAME?</v>
      </c>
      <c r="G203" s="100" t="e">
        <f t="shared" ca="1" si="32"/>
        <v>#NAME?</v>
      </c>
      <c r="H203" s="100" t="e">
        <f t="shared" ca="1" si="33"/>
        <v>#NAME?</v>
      </c>
      <c r="I203" s="100" t="e">
        <f t="shared" ca="1" si="34"/>
        <v>#NAME?</v>
      </c>
      <c r="J203" s="100" t="e">
        <f t="shared" ca="1" si="35"/>
        <v>#NAME?</v>
      </c>
      <c r="K203" s="100" t="e">
        <f t="shared" ca="1" si="36"/>
        <v>#NAME?</v>
      </c>
      <c r="L203" s="100" t="e">
        <f t="shared" ca="1" si="37"/>
        <v>#NAME?</v>
      </c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</row>
    <row r="204" spans="1:27">
      <c r="A204" s="100" t="e">
        <f t="shared" ca="1" si="31"/>
        <v>#NAME?</v>
      </c>
      <c r="B204" s="100" t="e">
        <f ca="1">IFERROR(__xludf.DUMMYFUNCTION("""COMPUTED_VALUE"""),203)</f>
        <v>#NAME?</v>
      </c>
      <c r="C204" s="100" t="e">
        <f ca="1">IFERROR(__xludf.DUMMYFUNCTION("""COMPUTED_VALUE"""),"BABY-USDT")</f>
        <v>#NAME?</v>
      </c>
      <c r="D204" s="100" t="e">
        <f ca="1">IFERROR(__xludf.DUMMYFUNCTION("""COMPUTED_VALUE"""),"0.08156")</f>
        <v>#NAME?</v>
      </c>
      <c r="E204" s="100" t="e">
        <f t="shared" ca="1" si="38"/>
        <v>#NAME?</v>
      </c>
      <c r="F204" s="100" t="e">
        <f t="shared" ca="1" si="38"/>
        <v>#NAME?</v>
      </c>
      <c r="G204" s="100" t="e">
        <f t="shared" ca="1" si="32"/>
        <v>#NAME?</v>
      </c>
      <c r="H204" s="100" t="e">
        <f t="shared" ca="1" si="33"/>
        <v>#NAME?</v>
      </c>
      <c r="I204" s="100" t="e">
        <f t="shared" ca="1" si="34"/>
        <v>#NAME?</v>
      </c>
      <c r="J204" s="100" t="e">
        <f t="shared" ca="1" si="35"/>
        <v>#NAME?</v>
      </c>
      <c r="K204" s="100" t="e">
        <f t="shared" ca="1" si="36"/>
        <v>#NAME?</v>
      </c>
      <c r="L204" s="100" t="e">
        <f t="shared" ca="1" si="37"/>
        <v>#NAME?</v>
      </c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</row>
    <row r="205" spans="1:27">
      <c r="A205" s="100" t="e">
        <f t="shared" ca="1" si="31"/>
        <v>#NAME?</v>
      </c>
      <c r="B205" s="100" t="e">
        <f ca="1">IFERROR(__xludf.DUMMYFUNCTION("""COMPUTED_VALUE"""),204)</f>
        <v>#NAME?</v>
      </c>
      <c r="C205" s="100" t="e">
        <f ca="1">IFERROR(__xludf.DUMMYFUNCTION("""COMPUTED_VALUE"""),"DEP-USD")</f>
        <v>#NAME?</v>
      </c>
      <c r="D205" s="100" t="e">
        <f ca="1">IFERROR(__xludf.DUMMYFUNCTION("""COMPUTED_VALUE"""),"0.001092")</f>
        <v>#NAME?</v>
      </c>
      <c r="E205" s="100" t="e">
        <f t="shared" ca="1" si="38"/>
        <v>#NAME?</v>
      </c>
      <c r="F205" s="100" t="e">
        <f t="shared" ca="1" si="38"/>
        <v>#NAME?</v>
      </c>
      <c r="G205" s="100" t="e">
        <f t="shared" ca="1" si="32"/>
        <v>#NAME?</v>
      </c>
      <c r="H205" s="100" t="e">
        <f t="shared" ca="1" si="33"/>
        <v>#NAME?</v>
      </c>
      <c r="I205" s="100" t="e">
        <f t="shared" ca="1" si="34"/>
        <v>#NAME?</v>
      </c>
      <c r="J205" s="100" t="e">
        <f t="shared" ca="1" si="35"/>
        <v>#NAME?</v>
      </c>
      <c r="K205" s="100" t="e">
        <f t="shared" ca="1" si="36"/>
        <v>#NAME?</v>
      </c>
      <c r="L205" s="100" t="e">
        <f t="shared" ca="1" si="37"/>
        <v>#NAME?</v>
      </c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</row>
    <row r="206" spans="1:27">
      <c r="A206" s="100" t="e">
        <f t="shared" ca="1" si="31"/>
        <v>#NAME?</v>
      </c>
      <c r="B206" s="100" t="e">
        <f ca="1">IFERROR(__xludf.DUMMYFUNCTION("""COMPUTED_VALUE"""),205)</f>
        <v>#NAME?</v>
      </c>
      <c r="C206" s="100" t="e">
        <f ca="1">IFERROR(__xludf.DUMMYFUNCTION("""COMPUTED_VALUE"""),"NAVX-USDT")</f>
        <v>#NAME?</v>
      </c>
      <c r="D206" s="100" t="e">
        <f ca="1">IFERROR(__xludf.DUMMYFUNCTION("""COMPUTED_VALUE"""),"0.04169")</f>
        <v>#NAME?</v>
      </c>
      <c r="E206" s="100" t="e">
        <f t="shared" ca="1" si="38"/>
        <v>#NAME?</v>
      </c>
      <c r="F206" s="100" t="e">
        <f t="shared" ca="1" si="38"/>
        <v>#NAME?</v>
      </c>
      <c r="G206" s="100" t="e">
        <f t="shared" ca="1" si="32"/>
        <v>#NAME?</v>
      </c>
      <c r="H206" s="100" t="e">
        <f t="shared" ca="1" si="33"/>
        <v>#NAME?</v>
      </c>
      <c r="I206" s="100" t="e">
        <f t="shared" ca="1" si="34"/>
        <v>#NAME?</v>
      </c>
      <c r="J206" s="100" t="e">
        <f t="shared" ca="1" si="35"/>
        <v>#NAME?</v>
      </c>
      <c r="K206" s="100" t="e">
        <f t="shared" ca="1" si="36"/>
        <v>#NAME?</v>
      </c>
      <c r="L206" s="100" t="e">
        <f t="shared" ca="1" si="37"/>
        <v>#NAME?</v>
      </c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</row>
    <row r="207" spans="1:27">
      <c r="A207" s="100" t="e">
        <f t="shared" ca="1" si="31"/>
        <v>#NAME?</v>
      </c>
      <c r="B207" s="100" t="e">
        <f ca="1">IFERROR(__xludf.DUMMYFUNCTION("""COMPUTED_VALUE"""),206)</f>
        <v>#NAME?</v>
      </c>
      <c r="C207" s="100" t="e">
        <f ca="1">IFERROR(__xludf.DUMMYFUNCTION("""COMPUTED_VALUE"""),"SOL-BTC")</f>
        <v>#NAME?</v>
      </c>
      <c r="D207" s="100" t="e">
        <f ca="1">IFERROR(__xludf.DUMMYFUNCTION("""COMPUTED_VALUE"""),"0.0015729")</f>
        <v>#NAME?</v>
      </c>
      <c r="E207" s="100" t="e">
        <f t="shared" ca="1" si="38"/>
        <v>#NAME?</v>
      </c>
      <c r="F207" s="100" t="e">
        <f t="shared" ca="1" si="38"/>
        <v>#NAME?</v>
      </c>
      <c r="G207" s="100" t="e">
        <f t="shared" ca="1" si="32"/>
        <v>#NAME?</v>
      </c>
      <c r="H207" s="100" t="e">
        <f t="shared" ca="1" si="33"/>
        <v>#NAME?</v>
      </c>
      <c r="I207" s="100" t="e">
        <f t="shared" ca="1" si="34"/>
        <v>#NAME?</v>
      </c>
      <c r="J207" s="100" t="e">
        <f t="shared" ca="1" si="35"/>
        <v>#NAME?</v>
      </c>
      <c r="K207" s="100" t="e">
        <f t="shared" ca="1" si="36"/>
        <v>#NAME?</v>
      </c>
      <c r="L207" s="100" t="e">
        <f t="shared" ca="1" si="37"/>
        <v>#NAME?</v>
      </c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</row>
    <row r="208" spans="1:27">
      <c r="A208" s="100" t="e">
        <f t="shared" ca="1" si="31"/>
        <v>#NAME?</v>
      </c>
      <c r="B208" s="100" t="e">
        <f ca="1">IFERROR(__xludf.DUMMYFUNCTION("""COMPUTED_VALUE"""),207)</f>
        <v>#NAME?</v>
      </c>
      <c r="C208" s="100" t="e">
        <f ca="1">IFERROR(__xludf.DUMMYFUNCTION("""COMPUTED_VALUE"""),"IMX-EUR")</f>
        <v>#NAME?</v>
      </c>
      <c r="D208" s="100" t="e">
        <f ca="1">IFERROR(__xludf.DUMMYFUNCTION("""COMPUTED_VALUE"""),"0.3985")</f>
        <v>#NAME?</v>
      </c>
      <c r="E208" s="100" t="e">
        <f t="shared" ca="1" si="38"/>
        <v>#NAME?</v>
      </c>
      <c r="F208" s="100" t="e">
        <f t="shared" ca="1" si="38"/>
        <v>#NAME?</v>
      </c>
      <c r="G208" s="100" t="e">
        <f t="shared" ca="1" si="32"/>
        <v>#NAME?</v>
      </c>
      <c r="H208" s="100" t="e">
        <f t="shared" ca="1" si="33"/>
        <v>#NAME?</v>
      </c>
      <c r="I208" s="100" t="e">
        <f t="shared" ca="1" si="34"/>
        <v>#NAME?</v>
      </c>
      <c r="J208" s="100" t="e">
        <f t="shared" ca="1" si="35"/>
        <v>#NAME?</v>
      </c>
      <c r="K208" s="100" t="e">
        <f t="shared" ca="1" si="36"/>
        <v>#NAME?</v>
      </c>
      <c r="L208" s="100" t="e">
        <f t="shared" ca="1" si="37"/>
        <v>#NAME?</v>
      </c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</row>
    <row r="209" spans="1:27">
      <c r="A209" s="100" t="e">
        <f t="shared" ca="1" si="31"/>
        <v>#NAME?</v>
      </c>
      <c r="B209" s="100" t="e">
        <f ca="1">IFERROR(__xludf.DUMMYFUNCTION("""COMPUTED_VALUE"""),208)</f>
        <v>#NAME?</v>
      </c>
      <c r="C209" s="100" t="e">
        <f ca="1">IFERROR(__xludf.DUMMYFUNCTION("""COMPUTED_VALUE"""),"WIN-USDT")</f>
        <v>#NAME?</v>
      </c>
      <c r="D209" s="100" t="e">
        <f ca="1">IFERROR(__xludf.DUMMYFUNCTION("""COMPUTED_VALUE"""),"0.00005247")</f>
        <v>#NAME?</v>
      </c>
      <c r="E209" s="100" t="e">
        <f t="shared" ca="1" si="38"/>
        <v>#NAME?</v>
      </c>
      <c r="F209" s="100" t="e">
        <f t="shared" ca="1" si="38"/>
        <v>#NAME?</v>
      </c>
      <c r="G209" s="100" t="e">
        <f t="shared" ca="1" si="32"/>
        <v>#NAME?</v>
      </c>
      <c r="H209" s="100" t="e">
        <f t="shared" ca="1" si="33"/>
        <v>#NAME?</v>
      </c>
      <c r="I209" s="100" t="e">
        <f t="shared" ca="1" si="34"/>
        <v>#NAME?</v>
      </c>
      <c r="J209" s="100" t="e">
        <f t="shared" ca="1" si="35"/>
        <v>#NAME?</v>
      </c>
      <c r="K209" s="100" t="e">
        <f t="shared" ca="1" si="36"/>
        <v>#NAME?</v>
      </c>
      <c r="L209" s="100" t="e">
        <f t="shared" ca="1" si="37"/>
        <v>#NAME?</v>
      </c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</row>
    <row r="210" spans="1:27">
      <c r="A210" s="100" t="e">
        <f t="shared" ca="1" si="31"/>
        <v>#NAME?</v>
      </c>
      <c r="B210" s="100" t="e">
        <f ca="1">IFERROR(__xludf.DUMMYFUNCTION("""COMPUTED_VALUE"""),209)</f>
        <v>#NAME?</v>
      </c>
      <c r="C210" s="100" t="e">
        <f ca="1">IFERROR(__xludf.DUMMYFUNCTION("""COMPUTED_VALUE"""),"ICP-USD")</f>
        <v>#NAME?</v>
      </c>
      <c r="D210" s="100" t="e">
        <f ca="1">IFERROR(__xludf.DUMMYFUNCTION("""COMPUTED_VALUE"""),"4.956")</f>
        <v>#NAME?</v>
      </c>
      <c r="E210" s="100" t="e">
        <f t="shared" ca="1" si="38"/>
        <v>#NAME?</v>
      </c>
      <c r="F210" s="100" t="e">
        <f t="shared" ca="1" si="38"/>
        <v>#NAME?</v>
      </c>
      <c r="G210" s="100" t="e">
        <f t="shared" ca="1" si="32"/>
        <v>#NAME?</v>
      </c>
      <c r="H210" s="100" t="e">
        <f t="shared" ca="1" si="33"/>
        <v>#NAME?</v>
      </c>
      <c r="I210" s="100" t="e">
        <f t="shared" ca="1" si="34"/>
        <v>#NAME?</v>
      </c>
      <c r="J210" s="100" t="e">
        <f t="shared" ca="1" si="35"/>
        <v>#NAME?</v>
      </c>
      <c r="K210" s="100" t="e">
        <f t="shared" ca="1" si="36"/>
        <v>#NAME?</v>
      </c>
      <c r="L210" s="100" t="e">
        <f t="shared" ca="1" si="37"/>
        <v>#NAME?</v>
      </c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</row>
    <row r="211" spans="1:27">
      <c r="A211" s="100" t="e">
        <f t="shared" ca="1" si="31"/>
        <v>#NAME?</v>
      </c>
      <c r="B211" s="100" t="e">
        <f ca="1">IFERROR(__xludf.DUMMYFUNCTION("""COMPUTED_VALUE"""),210)</f>
        <v>#NAME?</v>
      </c>
      <c r="C211" s="100" t="e">
        <f ca="1">IFERROR(__xludf.DUMMYFUNCTION("""COMPUTED_VALUE"""),"SAND-USD")</f>
        <v>#NAME?</v>
      </c>
      <c r="D211" s="100" t="e">
        <f ca="1">IFERROR(__xludf.DUMMYFUNCTION("""COMPUTED_VALUE"""),"0.2644")</f>
        <v>#NAME?</v>
      </c>
      <c r="E211" s="100" t="e">
        <f t="shared" ca="1" si="38"/>
        <v>#NAME?</v>
      </c>
      <c r="F211" s="100" t="e">
        <f t="shared" ca="1" si="38"/>
        <v>#NAME?</v>
      </c>
      <c r="G211" s="100" t="e">
        <f t="shared" ca="1" si="32"/>
        <v>#NAME?</v>
      </c>
      <c r="H211" s="100" t="e">
        <f t="shared" ca="1" si="33"/>
        <v>#NAME?</v>
      </c>
      <c r="I211" s="100" t="e">
        <f t="shared" ca="1" si="34"/>
        <v>#NAME?</v>
      </c>
      <c r="J211" s="100" t="e">
        <f t="shared" ca="1" si="35"/>
        <v>#NAME?</v>
      </c>
      <c r="K211" s="100" t="e">
        <f t="shared" ca="1" si="36"/>
        <v>#NAME?</v>
      </c>
      <c r="L211" s="100" t="e">
        <f t="shared" ca="1" si="37"/>
        <v>#NAME?</v>
      </c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</row>
    <row r="212" spans="1:27">
      <c r="A212" s="100" t="e">
        <f t="shared" ca="1" si="31"/>
        <v>#NAME?</v>
      </c>
      <c r="B212" s="100" t="e">
        <f ca="1">IFERROR(__xludf.DUMMYFUNCTION("""COMPUTED_VALUE"""),211)</f>
        <v>#NAME?</v>
      </c>
      <c r="C212" s="100" t="e">
        <f ca="1">IFERROR(__xludf.DUMMYFUNCTION("""COMPUTED_VALUE"""),"ADA-EUR")</f>
        <v>#NAME?</v>
      </c>
      <c r="D212" s="100" t="e">
        <f ca="1">IFERROR(__xludf.DUMMYFUNCTION("""COMPUTED_VALUE"""),"0.5557")</f>
        <v>#NAME?</v>
      </c>
      <c r="E212" s="100" t="e">
        <f t="shared" ca="1" si="38"/>
        <v>#NAME?</v>
      </c>
      <c r="F212" s="100" t="e">
        <f t="shared" ca="1" si="38"/>
        <v>#NAME?</v>
      </c>
      <c r="G212" s="100" t="e">
        <f t="shared" ca="1" si="32"/>
        <v>#NAME?</v>
      </c>
      <c r="H212" s="100" t="e">
        <f t="shared" ca="1" si="33"/>
        <v>#NAME?</v>
      </c>
      <c r="I212" s="100" t="e">
        <f t="shared" ca="1" si="34"/>
        <v>#NAME?</v>
      </c>
      <c r="J212" s="100" t="e">
        <f t="shared" ca="1" si="35"/>
        <v>#NAME?</v>
      </c>
      <c r="K212" s="100" t="e">
        <f t="shared" ca="1" si="36"/>
        <v>#NAME?</v>
      </c>
      <c r="L212" s="100" t="e">
        <f t="shared" ca="1" si="37"/>
        <v>#NAME?</v>
      </c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</row>
    <row r="213" spans="1:27">
      <c r="A213" s="100" t="e">
        <f t="shared" ca="1" si="31"/>
        <v>#NAME?</v>
      </c>
      <c r="B213" s="100" t="e">
        <f ca="1">IFERROR(__xludf.DUMMYFUNCTION("""COMPUTED_VALUE"""),212)</f>
        <v>#NAME?</v>
      </c>
      <c r="C213" s="100" t="e">
        <f ca="1">IFERROR(__xludf.DUMMYFUNCTION("""COMPUTED_VALUE"""),"MINA-EUR")</f>
        <v>#NAME?</v>
      </c>
      <c r="D213" s="100" t="e">
        <f ca="1">IFERROR(__xludf.DUMMYFUNCTION("""COMPUTED_VALUE"""),"0.1906")</f>
        <v>#NAME?</v>
      </c>
      <c r="E213" s="100" t="e">
        <f t="shared" ca="1" si="38"/>
        <v>#NAME?</v>
      </c>
      <c r="F213" s="100" t="e">
        <f t="shared" ca="1" si="38"/>
        <v>#NAME?</v>
      </c>
      <c r="G213" s="100" t="e">
        <f t="shared" ca="1" si="32"/>
        <v>#NAME?</v>
      </c>
      <c r="H213" s="100" t="e">
        <f t="shared" ca="1" si="33"/>
        <v>#NAME?</v>
      </c>
      <c r="I213" s="100" t="e">
        <f t="shared" ca="1" si="34"/>
        <v>#NAME?</v>
      </c>
      <c r="J213" s="100" t="e">
        <f t="shared" ca="1" si="35"/>
        <v>#NAME?</v>
      </c>
      <c r="K213" s="100" t="e">
        <f t="shared" ca="1" si="36"/>
        <v>#NAME?</v>
      </c>
      <c r="L213" s="100" t="e">
        <f t="shared" ca="1" si="37"/>
        <v>#NAME?</v>
      </c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</row>
    <row r="214" spans="1:27">
      <c r="A214" s="100" t="e">
        <f t="shared" ca="1" si="31"/>
        <v>#NAME?</v>
      </c>
      <c r="B214" s="100" t="e">
        <f ca="1">IFERROR(__xludf.DUMMYFUNCTION("""COMPUTED_VALUE"""),213)</f>
        <v>#NAME?</v>
      </c>
      <c r="C214" s="100" t="e">
        <f ca="1">IFERROR(__xludf.DUMMYFUNCTION("""COMPUTED_VALUE"""),"SATS-USDT")</f>
        <v>#NAME?</v>
      </c>
      <c r="D214" s="100" t="e">
        <f ca="1">IFERROR(__xludf.DUMMYFUNCTION("""COMPUTED_VALUE"""),"0.0000000387")</f>
        <v>#NAME?</v>
      </c>
      <c r="E214" s="100" t="e">
        <f t="shared" ca="1" si="38"/>
        <v>#NAME?</v>
      </c>
      <c r="F214" s="100" t="e">
        <f t="shared" ca="1" si="38"/>
        <v>#NAME?</v>
      </c>
      <c r="G214" s="100" t="e">
        <f t="shared" ca="1" si="32"/>
        <v>#NAME?</v>
      </c>
      <c r="H214" s="100" t="e">
        <f t="shared" ca="1" si="33"/>
        <v>#NAME?</v>
      </c>
      <c r="I214" s="100" t="e">
        <f t="shared" ca="1" si="34"/>
        <v>#NAME?</v>
      </c>
      <c r="J214" s="100" t="e">
        <f t="shared" ca="1" si="35"/>
        <v>#NAME?</v>
      </c>
      <c r="K214" s="100" t="e">
        <f t="shared" ca="1" si="36"/>
        <v>#NAME?</v>
      </c>
      <c r="L214" s="100" t="e">
        <f t="shared" ca="1" si="37"/>
        <v>#NAME?</v>
      </c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</row>
    <row r="215" spans="1:27">
      <c r="A215" s="100" t="e">
        <f t="shared" ca="1" si="31"/>
        <v>#NAME?</v>
      </c>
      <c r="B215" s="100" t="e">
        <f ca="1">IFERROR(__xludf.DUMMYFUNCTION("""COMPUTED_VALUE"""),214)</f>
        <v>#NAME?</v>
      </c>
      <c r="C215" s="100" t="e">
        <f ca="1">IFERROR(__xludf.DUMMYFUNCTION("""COMPUTED_VALUE"""),"STX-EUR")</f>
        <v>#NAME?</v>
      </c>
      <c r="D215" s="100" t="e">
        <f ca="1">IFERROR(__xludf.DUMMYFUNCTION("""COMPUTED_VALUE"""),"0.6541")</f>
        <v>#NAME?</v>
      </c>
      <c r="E215" s="100" t="e">
        <f t="shared" ca="1" si="38"/>
        <v>#NAME?</v>
      </c>
      <c r="F215" s="100" t="e">
        <f t="shared" ca="1" si="38"/>
        <v>#NAME?</v>
      </c>
      <c r="G215" s="100" t="e">
        <f t="shared" ca="1" si="32"/>
        <v>#NAME?</v>
      </c>
      <c r="H215" s="100" t="e">
        <f t="shared" ca="1" si="33"/>
        <v>#NAME?</v>
      </c>
      <c r="I215" s="100" t="e">
        <f t="shared" ca="1" si="34"/>
        <v>#NAME?</v>
      </c>
      <c r="J215" s="100" t="e">
        <f t="shared" ca="1" si="35"/>
        <v>#NAME?</v>
      </c>
      <c r="K215" s="100" t="e">
        <f t="shared" ca="1" si="36"/>
        <v>#NAME?</v>
      </c>
      <c r="L215" s="100" t="e">
        <f t="shared" ca="1" si="37"/>
        <v>#NAME?</v>
      </c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</row>
    <row r="216" spans="1:27">
      <c r="A216" s="100" t="e">
        <f t="shared" ca="1" si="31"/>
        <v>#NAME?</v>
      </c>
      <c r="B216" s="100" t="e">
        <f ca="1">IFERROR(__xludf.DUMMYFUNCTION("""COMPUTED_VALUE"""),215)</f>
        <v>#NAME?</v>
      </c>
      <c r="C216" s="100" t="e">
        <f ca="1">IFERROR(__xludf.DUMMYFUNCTION("""COMPUTED_VALUE"""),"SOL-TRY")</f>
        <v>#NAME?</v>
      </c>
      <c r="D216" s="100" t="e">
        <f ca="1">IFERROR(__xludf.DUMMYFUNCTION("""COMPUTED_VALUE"""),"5315.3")</f>
        <v>#NAME?</v>
      </c>
      <c r="E216" s="100" t="e">
        <f t="shared" ca="1" si="38"/>
        <v>#NAME?</v>
      </c>
      <c r="F216" s="100" t="e">
        <f t="shared" ca="1" si="38"/>
        <v>#NAME?</v>
      </c>
      <c r="G216" s="100" t="e">
        <f t="shared" ca="1" si="32"/>
        <v>#NAME?</v>
      </c>
      <c r="H216" s="100" t="e">
        <f t="shared" ca="1" si="33"/>
        <v>#NAME?</v>
      </c>
      <c r="I216" s="100" t="e">
        <f t="shared" ca="1" si="34"/>
        <v>#NAME?</v>
      </c>
      <c r="J216" s="100" t="e">
        <f t="shared" ca="1" si="35"/>
        <v>#NAME?</v>
      </c>
      <c r="K216" s="100" t="e">
        <f t="shared" ca="1" si="36"/>
        <v>#NAME?</v>
      </c>
      <c r="L216" s="100" t="e">
        <f t="shared" ca="1" si="37"/>
        <v>#NAME?</v>
      </c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</row>
    <row r="217" spans="1:27">
      <c r="A217" s="100" t="e">
        <f t="shared" ca="1" si="31"/>
        <v>#NAME?</v>
      </c>
      <c r="B217" s="100" t="e">
        <f ca="1">IFERROR(__xludf.DUMMYFUNCTION("""COMPUTED_VALUE"""),216)</f>
        <v>#NAME?</v>
      </c>
      <c r="C217" s="100" t="e">
        <f ca="1">IFERROR(__xludf.DUMMYFUNCTION("""COMPUTED_VALUE"""),"ICE-USDT")</f>
        <v>#NAME?</v>
      </c>
      <c r="D217" s="100" t="e">
        <f ca="1">IFERROR(__xludf.DUMMYFUNCTION("""COMPUTED_VALUE"""),"0.004375")</f>
        <v>#NAME?</v>
      </c>
      <c r="E217" s="100" t="e">
        <f t="shared" ca="1" si="38"/>
        <v>#NAME?</v>
      </c>
      <c r="F217" s="100" t="e">
        <f t="shared" ca="1" si="38"/>
        <v>#NAME?</v>
      </c>
      <c r="G217" s="100" t="e">
        <f t="shared" ca="1" si="32"/>
        <v>#NAME?</v>
      </c>
      <c r="H217" s="100" t="e">
        <f t="shared" ca="1" si="33"/>
        <v>#NAME?</v>
      </c>
      <c r="I217" s="100" t="e">
        <f t="shared" ca="1" si="34"/>
        <v>#NAME?</v>
      </c>
      <c r="J217" s="100" t="e">
        <f t="shared" ca="1" si="35"/>
        <v>#NAME?</v>
      </c>
      <c r="K217" s="100" t="e">
        <f t="shared" ca="1" si="36"/>
        <v>#NAME?</v>
      </c>
      <c r="L217" s="100" t="e">
        <f t="shared" ca="1" si="37"/>
        <v>#NAME?</v>
      </c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</row>
    <row r="218" spans="1:27">
      <c r="A218" s="100" t="e">
        <f t="shared" ca="1" si="31"/>
        <v>#NAME?</v>
      </c>
      <c r="B218" s="100" t="e">
        <f ca="1">IFERROR(__xludf.DUMMYFUNCTION("""COMPUTED_VALUE"""),217)</f>
        <v>#NAME?</v>
      </c>
      <c r="C218" s="100" t="e">
        <f ca="1">IFERROR(__xludf.DUMMYFUNCTION("""COMPUTED_VALUE"""),"OKB-USDT")</f>
        <v>#NAME?</v>
      </c>
      <c r="D218" s="100" t="e">
        <f ca="1">IFERROR(__xludf.DUMMYFUNCTION("""COMPUTED_VALUE"""),"51.1")</f>
        <v>#NAME?</v>
      </c>
      <c r="E218" s="100" t="e">
        <f t="shared" ca="1" si="38"/>
        <v>#NAME?</v>
      </c>
      <c r="F218" s="100" t="e">
        <f t="shared" ca="1" si="38"/>
        <v>#NAME?</v>
      </c>
      <c r="G218" s="100" t="e">
        <f t="shared" ca="1" si="32"/>
        <v>#NAME?</v>
      </c>
      <c r="H218" s="100" t="e">
        <f t="shared" ca="1" si="33"/>
        <v>#NAME?</v>
      </c>
      <c r="I218" s="100" t="e">
        <f t="shared" ca="1" si="34"/>
        <v>#NAME?</v>
      </c>
      <c r="J218" s="100" t="e">
        <f t="shared" ca="1" si="35"/>
        <v>#NAME?</v>
      </c>
      <c r="K218" s="100" t="e">
        <f t="shared" ca="1" si="36"/>
        <v>#NAME?</v>
      </c>
      <c r="L218" s="100" t="e">
        <f t="shared" ca="1" si="37"/>
        <v>#NAME?</v>
      </c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</row>
    <row r="219" spans="1:27">
      <c r="A219" s="100" t="e">
        <f t="shared" ca="1" si="31"/>
        <v>#NAME?</v>
      </c>
      <c r="B219" s="100" t="e">
        <f ca="1">IFERROR(__xludf.DUMMYFUNCTION("""COMPUTED_VALUE"""),218)</f>
        <v>#NAME?</v>
      </c>
      <c r="C219" s="100" t="e">
        <f ca="1">IFERROR(__xludf.DUMMYFUNCTION("""COMPUTED_VALUE"""),"MERL-USD")</f>
        <v>#NAME?</v>
      </c>
      <c r="D219" s="100" t="e">
        <f ca="1">IFERROR(__xludf.DUMMYFUNCTION("""COMPUTED_VALUE"""),"0.08176")</f>
        <v>#NAME?</v>
      </c>
      <c r="E219" s="100" t="e">
        <f t="shared" ca="1" si="38"/>
        <v>#NAME?</v>
      </c>
      <c r="F219" s="100" t="e">
        <f t="shared" ca="1" si="38"/>
        <v>#NAME?</v>
      </c>
      <c r="G219" s="100" t="e">
        <f t="shared" ca="1" si="32"/>
        <v>#NAME?</v>
      </c>
      <c r="H219" s="100" t="e">
        <f t="shared" ca="1" si="33"/>
        <v>#NAME?</v>
      </c>
      <c r="I219" s="100" t="e">
        <f t="shared" ca="1" si="34"/>
        <v>#NAME?</v>
      </c>
      <c r="J219" s="100" t="e">
        <f t="shared" ca="1" si="35"/>
        <v>#NAME?</v>
      </c>
      <c r="K219" s="100" t="e">
        <f t="shared" ca="1" si="36"/>
        <v>#NAME?</v>
      </c>
      <c r="L219" s="100" t="e">
        <f t="shared" ca="1" si="37"/>
        <v>#NAME?</v>
      </c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</row>
    <row r="220" spans="1:27">
      <c r="A220" s="100" t="e">
        <f t="shared" ca="1" si="31"/>
        <v>#NAME?</v>
      </c>
      <c r="B220" s="100" t="e">
        <f ca="1">IFERROR(__xludf.DUMMYFUNCTION("""COMPUTED_VALUE"""),219)</f>
        <v>#NAME?</v>
      </c>
      <c r="C220" s="100" t="e">
        <f ca="1">IFERROR(__xludf.DUMMYFUNCTION("""COMPUTED_VALUE"""),"ZENT-USDT")</f>
        <v>#NAME?</v>
      </c>
      <c r="D220" s="100" t="e">
        <f ca="1">IFERROR(__xludf.DUMMYFUNCTION("""COMPUTED_VALUE"""),"0.01049")</f>
        <v>#NAME?</v>
      </c>
      <c r="E220" s="100" t="e">
        <f t="shared" ca="1" si="38"/>
        <v>#NAME?</v>
      </c>
      <c r="F220" s="100" t="e">
        <f t="shared" ca="1" si="38"/>
        <v>#NAME?</v>
      </c>
      <c r="G220" s="100" t="e">
        <f t="shared" ca="1" si="32"/>
        <v>#NAME?</v>
      </c>
      <c r="H220" s="100" t="e">
        <f t="shared" ca="1" si="33"/>
        <v>#NAME?</v>
      </c>
      <c r="I220" s="100" t="e">
        <f t="shared" ca="1" si="34"/>
        <v>#NAME?</v>
      </c>
      <c r="J220" s="100" t="e">
        <f t="shared" ca="1" si="35"/>
        <v>#NAME?</v>
      </c>
      <c r="K220" s="100" t="e">
        <f t="shared" ca="1" si="36"/>
        <v>#NAME?</v>
      </c>
      <c r="L220" s="100" t="e">
        <f t="shared" ca="1" si="37"/>
        <v>#NAME?</v>
      </c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</row>
    <row r="221" spans="1:27">
      <c r="A221" s="100" t="e">
        <f t="shared" ca="1" si="31"/>
        <v>#NAME?</v>
      </c>
      <c r="B221" s="100" t="e">
        <f ca="1">IFERROR(__xludf.DUMMYFUNCTION("""COMPUTED_VALUE"""),220)</f>
        <v>#NAME?</v>
      </c>
      <c r="C221" s="100" t="e">
        <f ca="1">IFERROR(__xludf.DUMMYFUNCTION("""COMPUTED_VALUE"""),"GOG-USDT")</f>
        <v>#NAME?</v>
      </c>
      <c r="D221" s="100" t="e">
        <f ca="1">IFERROR(__xludf.DUMMYFUNCTION("""COMPUTED_VALUE"""),"0.01437")</f>
        <v>#NAME?</v>
      </c>
      <c r="E221" s="100" t="e">
        <f t="shared" ca="1" si="38"/>
        <v>#NAME?</v>
      </c>
      <c r="F221" s="100" t="e">
        <f t="shared" ca="1" si="38"/>
        <v>#NAME?</v>
      </c>
      <c r="G221" s="100" t="e">
        <f t="shared" ca="1" si="32"/>
        <v>#NAME?</v>
      </c>
      <c r="H221" s="100" t="e">
        <f t="shared" ca="1" si="33"/>
        <v>#NAME?</v>
      </c>
      <c r="I221" s="100" t="e">
        <f t="shared" ca="1" si="34"/>
        <v>#NAME?</v>
      </c>
      <c r="J221" s="100" t="e">
        <f t="shared" ca="1" si="35"/>
        <v>#NAME?</v>
      </c>
      <c r="K221" s="100" t="e">
        <f t="shared" ca="1" si="36"/>
        <v>#NAME?</v>
      </c>
      <c r="L221" s="100" t="e">
        <f t="shared" ca="1" si="37"/>
        <v>#NAME?</v>
      </c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</row>
    <row r="222" spans="1:27">
      <c r="A222" s="100" t="e">
        <f t="shared" ca="1" si="31"/>
        <v>#NAME?</v>
      </c>
      <c r="B222" s="100" t="e">
        <f ca="1">IFERROR(__xludf.DUMMYFUNCTION("""COMPUTED_VALUE"""),221)</f>
        <v>#NAME?</v>
      </c>
      <c r="C222" s="100" t="e">
        <f ca="1">IFERROR(__xludf.DUMMYFUNCTION("""COMPUTED_VALUE"""),"OKB-USDC")</f>
        <v>#NAME?</v>
      </c>
      <c r="D222" s="100" t="e">
        <f ca="1">IFERROR(__xludf.DUMMYFUNCTION("""COMPUTED_VALUE"""),"51.1")</f>
        <v>#NAME?</v>
      </c>
      <c r="E222" s="100" t="e">
        <f t="shared" ref="E222:F241" ca="1" si="39">IFERROR(__xludf.DUMMYFUNCTION("""COMPUTED_VALUE"""),"-")</f>
        <v>#NAME?</v>
      </c>
      <c r="F222" s="100" t="e">
        <f t="shared" ca="1" si="39"/>
        <v>#NAME?</v>
      </c>
      <c r="G222" s="100" t="e">
        <f t="shared" ca="1" si="32"/>
        <v>#NAME?</v>
      </c>
      <c r="H222" s="100" t="e">
        <f t="shared" ca="1" si="33"/>
        <v>#NAME?</v>
      </c>
      <c r="I222" s="100" t="e">
        <f t="shared" ca="1" si="34"/>
        <v>#NAME?</v>
      </c>
      <c r="J222" s="100" t="e">
        <f t="shared" ca="1" si="35"/>
        <v>#NAME?</v>
      </c>
      <c r="K222" s="100" t="e">
        <f t="shared" ca="1" si="36"/>
        <v>#NAME?</v>
      </c>
      <c r="L222" s="100" t="e">
        <f t="shared" ca="1" si="37"/>
        <v>#NAME?</v>
      </c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</row>
    <row r="223" spans="1:27">
      <c r="A223" s="100" t="e">
        <f t="shared" ca="1" si="31"/>
        <v>#NAME?</v>
      </c>
      <c r="B223" s="100" t="e">
        <f ca="1">IFERROR(__xludf.DUMMYFUNCTION("""COMPUTED_VALUE"""),222)</f>
        <v>#NAME?</v>
      </c>
      <c r="C223" s="100" t="e">
        <f ca="1">IFERROR(__xludf.DUMMYFUNCTION("""COMPUTED_VALUE"""),"AXS-EUR")</f>
        <v>#NAME?</v>
      </c>
      <c r="D223" s="100" t="e">
        <f ca="1">IFERROR(__xludf.DUMMYFUNCTION("""COMPUTED_VALUE"""),"1.97")</f>
        <v>#NAME?</v>
      </c>
      <c r="E223" s="100" t="e">
        <f t="shared" ca="1" si="39"/>
        <v>#NAME?</v>
      </c>
      <c r="F223" s="100" t="e">
        <f t="shared" ca="1" si="39"/>
        <v>#NAME?</v>
      </c>
      <c r="G223" s="100" t="e">
        <f t="shared" ca="1" si="32"/>
        <v>#NAME?</v>
      </c>
      <c r="H223" s="100" t="e">
        <f t="shared" ca="1" si="33"/>
        <v>#NAME?</v>
      </c>
      <c r="I223" s="100" t="e">
        <f t="shared" ca="1" si="34"/>
        <v>#NAME?</v>
      </c>
      <c r="J223" s="100" t="e">
        <f t="shared" ca="1" si="35"/>
        <v>#NAME?</v>
      </c>
      <c r="K223" s="100" t="e">
        <f t="shared" ca="1" si="36"/>
        <v>#NAME?</v>
      </c>
      <c r="L223" s="100" t="e">
        <f t="shared" ca="1" si="37"/>
        <v>#NAME?</v>
      </c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</row>
    <row r="224" spans="1:27">
      <c r="A224" s="100" t="e">
        <f t="shared" ca="1" si="31"/>
        <v>#NAME?</v>
      </c>
      <c r="B224" s="100" t="e">
        <f ca="1">IFERROR(__xludf.DUMMYFUNCTION("""COMPUTED_VALUE"""),223)</f>
        <v>#NAME?</v>
      </c>
      <c r="C224" s="100" t="e">
        <f ca="1">IFERROR(__xludf.DUMMYFUNCTION("""COMPUTED_VALUE"""),"KISHU-USD")</f>
        <v>#NAME?</v>
      </c>
      <c r="D224" s="100" t="e">
        <f ca="1">IFERROR(__xludf.DUMMYFUNCTION("""COMPUTED_VALUE"""),"0.0000000001221")</f>
        <v>#NAME?</v>
      </c>
      <c r="E224" s="100" t="e">
        <f t="shared" ca="1" si="39"/>
        <v>#NAME?</v>
      </c>
      <c r="F224" s="100" t="e">
        <f t="shared" ca="1" si="39"/>
        <v>#NAME?</v>
      </c>
      <c r="G224" s="100" t="e">
        <f t="shared" ca="1" si="32"/>
        <v>#NAME?</v>
      </c>
      <c r="H224" s="100" t="e">
        <f t="shared" ca="1" si="33"/>
        <v>#NAME?</v>
      </c>
      <c r="I224" s="100" t="e">
        <f t="shared" ca="1" si="34"/>
        <v>#NAME?</v>
      </c>
      <c r="J224" s="100" t="e">
        <f t="shared" ca="1" si="35"/>
        <v>#NAME?</v>
      </c>
      <c r="K224" s="100" t="e">
        <f t="shared" ca="1" si="36"/>
        <v>#NAME?</v>
      </c>
      <c r="L224" s="100" t="e">
        <f t="shared" ca="1" si="37"/>
        <v>#NAME?</v>
      </c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</row>
    <row r="225" spans="1:27">
      <c r="A225" s="100" t="e">
        <f t="shared" ca="1" si="31"/>
        <v>#NAME?</v>
      </c>
      <c r="B225" s="100" t="e">
        <f ca="1">IFERROR(__xludf.DUMMYFUNCTION("""COMPUTED_VALUE"""),224)</f>
        <v>#NAME?</v>
      </c>
      <c r="C225" s="100" t="e">
        <f ca="1">IFERROR(__xludf.DUMMYFUNCTION("""COMPUTED_VALUE"""),"GRT-USD")</f>
        <v>#NAME?</v>
      </c>
      <c r="D225" s="100" t="e">
        <f ca="1">IFERROR(__xludf.DUMMYFUNCTION("""COMPUTED_VALUE"""),"0.08482")</f>
        <v>#NAME?</v>
      </c>
      <c r="E225" s="100" t="e">
        <f t="shared" ca="1" si="39"/>
        <v>#NAME?</v>
      </c>
      <c r="F225" s="100" t="e">
        <f t="shared" ca="1" si="39"/>
        <v>#NAME?</v>
      </c>
      <c r="G225" s="100" t="e">
        <f t="shared" ca="1" si="32"/>
        <v>#NAME?</v>
      </c>
      <c r="H225" s="100" t="e">
        <f t="shared" ca="1" si="33"/>
        <v>#NAME?</v>
      </c>
      <c r="I225" s="100" t="e">
        <f t="shared" ca="1" si="34"/>
        <v>#NAME?</v>
      </c>
      <c r="J225" s="100" t="e">
        <f t="shared" ca="1" si="35"/>
        <v>#NAME?</v>
      </c>
      <c r="K225" s="100" t="e">
        <f t="shared" ca="1" si="36"/>
        <v>#NAME?</v>
      </c>
      <c r="L225" s="100" t="e">
        <f t="shared" ca="1" si="37"/>
        <v>#NAME?</v>
      </c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</row>
    <row r="226" spans="1:27">
      <c r="A226" s="100" t="e">
        <f t="shared" ca="1" si="31"/>
        <v>#NAME?</v>
      </c>
      <c r="B226" s="100" t="e">
        <f ca="1">IFERROR(__xludf.DUMMYFUNCTION("""COMPUTED_VALUE"""),225)</f>
        <v>#NAME?</v>
      </c>
      <c r="C226" s="100" t="e">
        <f ca="1">IFERROR(__xludf.DUMMYFUNCTION("""COMPUTED_VALUE"""),"FORTH-USD")</f>
        <v>#NAME?</v>
      </c>
      <c r="D226" s="100" t="e">
        <f ca="1">IFERROR(__xludf.DUMMYFUNCTION("""COMPUTED_VALUE"""),"2.402")</f>
        <v>#NAME?</v>
      </c>
      <c r="E226" s="100" t="e">
        <f t="shared" ca="1" si="39"/>
        <v>#NAME?</v>
      </c>
      <c r="F226" s="100" t="e">
        <f t="shared" ca="1" si="39"/>
        <v>#NAME?</v>
      </c>
      <c r="G226" s="100" t="e">
        <f t="shared" ca="1" si="32"/>
        <v>#NAME?</v>
      </c>
      <c r="H226" s="100" t="e">
        <f t="shared" ca="1" si="33"/>
        <v>#NAME?</v>
      </c>
      <c r="I226" s="100" t="e">
        <f t="shared" ca="1" si="34"/>
        <v>#NAME?</v>
      </c>
      <c r="J226" s="100" t="e">
        <f t="shared" ca="1" si="35"/>
        <v>#NAME?</v>
      </c>
      <c r="K226" s="100" t="e">
        <f t="shared" ca="1" si="36"/>
        <v>#NAME?</v>
      </c>
      <c r="L226" s="100" t="e">
        <f t="shared" ca="1" si="37"/>
        <v>#NAME?</v>
      </c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</row>
    <row r="227" spans="1:27">
      <c r="A227" s="100" t="e">
        <f t="shared" ca="1" si="31"/>
        <v>#NAME?</v>
      </c>
      <c r="B227" s="100" t="e">
        <f ca="1">IFERROR(__xludf.DUMMYFUNCTION("""COMPUTED_VALUE"""),226)</f>
        <v>#NAME?</v>
      </c>
      <c r="C227" s="100" t="e">
        <f ca="1">IFERROR(__xludf.DUMMYFUNCTION("""COMPUTED_VALUE"""),"USDT-EUR")</f>
        <v>#NAME?</v>
      </c>
      <c r="D227" s="100" t="e">
        <f ca="1">IFERROR(__xludf.DUMMYFUNCTION("""COMPUTED_VALUE"""),"0.8694")</f>
        <v>#NAME?</v>
      </c>
      <c r="E227" s="100" t="e">
        <f t="shared" ca="1" si="39"/>
        <v>#NAME?</v>
      </c>
      <c r="F227" s="100" t="e">
        <f t="shared" ca="1" si="39"/>
        <v>#NAME?</v>
      </c>
      <c r="G227" s="100" t="e">
        <f t="shared" ca="1" si="32"/>
        <v>#NAME?</v>
      </c>
      <c r="H227" s="100" t="e">
        <f t="shared" ca="1" si="33"/>
        <v>#NAME?</v>
      </c>
      <c r="I227" s="100" t="e">
        <f t="shared" ca="1" si="34"/>
        <v>#NAME?</v>
      </c>
      <c r="J227" s="100" t="e">
        <f t="shared" ca="1" si="35"/>
        <v>#NAME?</v>
      </c>
      <c r="K227" s="100" t="e">
        <f t="shared" ca="1" si="36"/>
        <v>#NAME?</v>
      </c>
      <c r="L227" s="100" t="e">
        <f t="shared" ca="1" si="37"/>
        <v>#NAME?</v>
      </c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</row>
    <row r="228" spans="1:27">
      <c r="A228" s="100" t="e">
        <f t="shared" ca="1" si="31"/>
        <v>#NAME?</v>
      </c>
      <c r="B228" s="100" t="e">
        <f ca="1">IFERROR(__xludf.DUMMYFUNCTION("""COMPUTED_VALUE"""),227)</f>
        <v>#NAME?</v>
      </c>
      <c r="C228" s="100" t="e">
        <f ca="1">IFERROR(__xludf.DUMMYFUNCTION("""COMPUTED_VALUE"""),"SOL-ETH")</f>
        <v>#NAME?</v>
      </c>
      <c r="D228" s="100" t="e">
        <f ca="1">IFERROR(__xludf.DUMMYFUNCTION("""COMPUTED_VALUE"""),"0.0856")</f>
        <v>#NAME?</v>
      </c>
      <c r="E228" s="100" t="e">
        <f t="shared" ca="1" si="39"/>
        <v>#NAME?</v>
      </c>
      <c r="F228" s="100" t="e">
        <f t="shared" ca="1" si="39"/>
        <v>#NAME?</v>
      </c>
      <c r="G228" s="100" t="e">
        <f t="shared" ca="1" si="32"/>
        <v>#NAME?</v>
      </c>
      <c r="H228" s="100" t="e">
        <f t="shared" ca="1" si="33"/>
        <v>#NAME?</v>
      </c>
      <c r="I228" s="100" t="e">
        <f t="shared" ca="1" si="34"/>
        <v>#NAME?</v>
      </c>
      <c r="J228" s="100" t="e">
        <f t="shared" ca="1" si="35"/>
        <v>#NAME?</v>
      </c>
      <c r="K228" s="100" t="e">
        <f t="shared" ca="1" si="36"/>
        <v>#NAME?</v>
      </c>
      <c r="L228" s="100" t="e">
        <f t="shared" ca="1" si="37"/>
        <v>#NAME?</v>
      </c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</row>
    <row r="229" spans="1:27">
      <c r="A229" s="100" t="e">
        <f t="shared" ca="1" si="31"/>
        <v>#NAME?</v>
      </c>
      <c r="B229" s="100" t="e">
        <f ca="1">IFERROR(__xludf.DUMMYFUNCTION("""COMPUTED_VALUE"""),228)</f>
        <v>#NAME?</v>
      </c>
      <c r="C229" s="100" t="e">
        <f ca="1">IFERROR(__xludf.DUMMYFUNCTION("""COMPUTED_VALUE"""),"RPL-USDT")</f>
        <v>#NAME?</v>
      </c>
      <c r="D229" s="100" t="e">
        <f ca="1">IFERROR(__xludf.DUMMYFUNCTION("""COMPUTED_VALUE"""),"4.036")</f>
        <v>#NAME?</v>
      </c>
      <c r="E229" s="100" t="e">
        <f t="shared" ca="1" si="39"/>
        <v>#NAME?</v>
      </c>
      <c r="F229" s="100" t="e">
        <f t="shared" ca="1" si="39"/>
        <v>#NAME?</v>
      </c>
      <c r="G229" s="100" t="e">
        <f t="shared" ca="1" si="32"/>
        <v>#NAME?</v>
      </c>
      <c r="H229" s="100" t="e">
        <f t="shared" ca="1" si="33"/>
        <v>#NAME?</v>
      </c>
      <c r="I229" s="100" t="e">
        <f t="shared" ca="1" si="34"/>
        <v>#NAME?</v>
      </c>
      <c r="J229" s="100" t="e">
        <f t="shared" ca="1" si="35"/>
        <v>#NAME?</v>
      </c>
      <c r="K229" s="100" t="e">
        <f t="shared" ca="1" si="36"/>
        <v>#NAME?</v>
      </c>
      <c r="L229" s="100" t="e">
        <f t="shared" ca="1" si="37"/>
        <v>#NAME?</v>
      </c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</row>
    <row r="230" spans="1:27">
      <c r="A230" s="100" t="e">
        <f t="shared" ca="1" si="31"/>
        <v>#NAME?</v>
      </c>
      <c r="B230" s="100" t="e">
        <f ca="1">IFERROR(__xludf.DUMMYFUNCTION("""COMPUTED_VALUE"""),229)</f>
        <v>#NAME?</v>
      </c>
      <c r="C230" s="100" t="e">
        <f ca="1">IFERROR(__xludf.DUMMYFUNCTION("""COMPUTED_VALUE"""),"BLUR-USDT")</f>
        <v>#NAME?</v>
      </c>
      <c r="D230" s="100" t="e">
        <f ca="1">IFERROR(__xludf.DUMMYFUNCTION("""COMPUTED_VALUE"""),"0.10445")</f>
        <v>#NAME?</v>
      </c>
      <c r="E230" s="100" t="e">
        <f t="shared" ca="1" si="39"/>
        <v>#NAME?</v>
      </c>
      <c r="F230" s="100" t="e">
        <f t="shared" ca="1" si="39"/>
        <v>#NAME?</v>
      </c>
      <c r="G230" s="100" t="e">
        <f t="shared" ca="1" si="32"/>
        <v>#NAME?</v>
      </c>
      <c r="H230" s="100" t="e">
        <f t="shared" ca="1" si="33"/>
        <v>#NAME?</v>
      </c>
      <c r="I230" s="100" t="e">
        <f t="shared" ca="1" si="34"/>
        <v>#NAME?</v>
      </c>
      <c r="J230" s="100" t="e">
        <f t="shared" ca="1" si="35"/>
        <v>#NAME?</v>
      </c>
      <c r="K230" s="100" t="e">
        <f t="shared" ca="1" si="36"/>
        <v>#NAME?</v>
      </c>
      <c r="L230" s="100" t="e">
        <f t="shared" ca="1" si="37"/>
        <v>#NAME?</v>
      </c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</row>
    <row r="231" spans="1:27">
      <c r="A231" s="100" t="e">
        <f t="shared" ca="1" si="31"/>
        <v>#NAME?</v>
      </c>
      <c r="B231" s="100" t="e">
        <f ca="1">IFERROR(__xludf.DUMMYFUNCTION("""COMPUTED_VALUE"""),230)</f>
        <v>#NAME?</v>
      </c>
      <c r="C231" s="100" t="e">
        <f ca="1">IFERROR(__xludf.DUMMYFUNCTION("""COMPUTED_VALUE"""),"LUNC-USDT")</f>
        <v>#NAME?</v>
      </c>
      <c r="D231" s="100" t="e">
        <f ca="1">IFERROR(__xludf.DUMMYFUNCTION("""COMPUTED_VALUE"""),"0.00006048")</f>
        <v>#NAME?</v>
      </c>
      <c r="E231" s="100" t="e">
        <f t="shared" ca="1" si="39"/>
        <v>#NAME?</v>
      </c>
      <c r="F231" s="100" t="e">
        <f t="shared" ca="1" si="39"/>
        <v>#NAME?</v>
      </c>
      <c r="G231" s="100" t="e">
        <f t="shared" ca="1" si="32"/>
        <v>#NAME?</v>
      </c>
      <c r="H231" s="100" t="e">
        <f t="shared" ca="1" si="33"/>
        <v>#NAME?</v>
      </c>
      <c r="I231" s="100" t="e">
        <f t="shared" ca="1" si="34"/>
        <v>#NAME?</v>
      </c>
      <c r="J231" s="100" t="e">
        <f t="shared" ca="1" si="35"/>
        <v>#NAME?</v>
      </c>
      <c r="K231" s="100" t="e">
        <f t="shared" ca="1" si="36"/>
        <v>#NAME?</v>
      </c>
      <c r="L231" s="100" t="e">
        <f t="shared" ca="1" si="37"/>
        <v>#NAME?</v>
      </c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</row>
    <row r="232" spans="1:27">
      <c r="A232" s="100" t="e">
        <f t="shared" ca="1" si="31"/>
        <v>#NAME?</v>
      </c>
      <c r="B232" s="100" t="e">
        <f ca="1">IFERROR(__xludf.DUMMYFUNCTION("""COMPUTED_VALUE"""),231)</f>
        <v>#NAME?</v>
      </c>
      <c r="C232" s="100" t="e">
        <f ca="1">IFERROR(__xludf.DUMMYFUNCTION("""COMPUTED_VALUE"""),"MOODENG-USDT")</f>
        <v>#NAME?</v>
      </c>
      <c r="D232" s="100" t="e">
        <f ca="1">IFERROR(__xludf.DUMMYFUNCTION("""COMPUTED_VALUE"""),"0.02824")</f>
        <v>#NAME?</v>
      </c>
      <c r="E232" s="100" t="e">
        <f t="shared" ca="1" si="39"/>
        <v>#NAME?</v>
      </c>
      <c r="F232" s="100" t="e">
        <f t="shared" ca="1" si="39"/>
        <v>#NAME?</v>
      </c>
      <c r="G232" s="100" t="e">
        <f t="shared" ca="1" si="32"/>
        <v>#NAME?</v>
      </c>
      <c r="H232" s="100" t="e">
        <f t="shared" ca="1" si="33"/>
        <v>#NAME?</v>
      </c>
      <c r="I232" s="100" t="e">
        <f t="shared" ca="1" si="34"/>
        <v>#NAME?</v>
      </c>
      <c r="J232" s="100" t="e">
        <f t="shared" ca="1" si="35"/>
        <v>#NAME?</v>
      </c>
      <c r="K232" s="100" t="e">
        <f t="shared" ca="1" si="36"/>
        <v>#NAME?</v>
      </c>
      <c r="L232" s="100" t="e">
        <f t="shared" ca="1" si="37"/>
        <v>#NAME?</v>
      </c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</row>
    <row r="233" spans="1:27">
      <c r="A233" s="100" t="e">
        <f t="shared" ca="1" si="31"/>
        <v>#NAME?</v>
      </c>
      <c r="B233" s="100" t="e">
        <f ca="1">IFERROR(__xludf.DUMMYFUNCTION("""COMPUTED_VALUE"""),232)</f>
        <v>#NAME?</v>
      </c>
      <c r="C233" s="100" t="e">
        <f ca="1">IFERROR(__xludf.DUMMYFUNCTION("""COMPUTED_VALUE"""),"APT-USD")</f>
        <v>#NAME?</v>
      </c>
      <c r="D233" s="100" t="e">
        <f ca="1">IFERROR(__xludf.DUMMYFUNCTION("""COMPUTED_VALUE"""),"5.197")</f>
        <v>#NAME?</v>
      </c>
      <c r="E233" s="100" t="e">
        <f t="shared" ca="1" si="39"/>
        <v>#NAME?</v>
      </c>
      <c r="F233" s="100" t="e">
        <f t="shared" ca="1" si="39"/>
        <v>#NAME?</v>
      </c>
      <c r="G233" s="100" t="e">
        <f t="shared" ca="1" si="32"/>
        <v>#NAME?</v>
      </c>
      <c r="H233" s="100" t="e">
        <f t="shared" ca="1" si="33"/>
        <v>#NAME?</v>
      </c>
      <c r="I233" s="100" t="e">
        <f t="shared" ca="1" si="34"/>
        <v>#NAME?</v>
      </c>
      <c r="J233" s="100" t="e">
        <f t="shared" ca="1" si="35"/>
        <v>#NAME?</v>
      </c>
      <c r="K233" s="100" t="e">
        <f t="shared" ca="1" si="36"/>
        <v>#NAME?</v>
      </c>
      <c r="L233" s="100" t="e">
        <f t="shared" ca="1" si="37"/>
        <v>#NAME?</v>
      </c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</row>
    <row r="234" spans="1:27">
      <c r="A234" s="100" t="e">
        <f t="shared" ca="1" si="31"/>
        <v>#NAME?</v>
      </c>
      <c r="B234" s="100" t="e">
        <f ca="1">IFERROR(__xludf.DUMMYFUNCTION("""COMPUTED_VALUE"""),233)</f>
        <v>#NAME?</v>
      </c>
      <c r="C234" s="100" t="e">
        <f ca="1">IFERROR(__xludf.DUMMYFUNCTION("""COMPUTED_VALUE"""),"IMX-USD")</f>
        <v>#NAME?</v>
      </c>
      <c r="D234" s="100" t="e">
        <f ca="1">IFERROR(__xludf.DUMMYFUNCTION("""COMPUTED_VALUE"""),"0.4584")</f>
        <v>#NAME?</v>
      </c>
      <c r="E234" s="100" t="e">
        <f t="shared" ca="1" si="39"/>
        <v>#NAME?</v>
      </c>
      <c r="F234" s="100" t="e">
        <f t="shared" ca="1" si="39"/>
        <v>#NAME?</v>
      </c>
      <c r="G234" s="100" t="e">
        <f t="shared" ca="1" si="32"/>
        <v>#NAME?</v>
      </c>
      <c r="H234" s="100" t="e">
        <f t="shared" ca="1" si="33"/>
        <v>#NAME?</v>
      </c>
      <c r="I234" s="100" t="e">
        <f t="shared" ca="1" si="34"/>
        <v>#NAME?</v>
      </c>
      <c r="J234" s="100" t="e">
        <f t="shared" ca="1" si="35"/>
        <v>#NAME?</v>
      </c>
      <c r="K234" s="100" t="e">
        <f t="shared" ca="1" si="36"/>
        <v>#NAME?</v>
      </c>
      <c r="L234" s="100" t="e">
        <f t="shared" ca="1" si="37"/>
        <v>#NAME?</v>
      </c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</row>
    <row r="235" spans="1:27">
      <c r="A235" s="100" t="e">
        <f t="shared" ca="1" si="31"/>
        <v>#NAME?</v>
      </c>
      <c r="B235" s="100" t="e">
        <f ca="1">IFERROR(__xludf.DUMMYFUNCTION("""COMPUTED_VALUE"""),234)</f>
        <v>#NAME?</v>
      </c>
      <c r="C235" s="100" t="e">
        <f ca="1">IFERROR(__xludf.DUMMYFUNCTION("""COMPUTED_VALUE"""),"WOO-EUR")</f>
        <v>#NAME?</v>
      </c>
      <c r="D235" s="100" t="e">
        <f ca="1">IFERROR(__xludf.DUMMYFUNCTION("""COMPUTED_VALUE"""),"0.05358")</f>
        <v>#NAME?</v>
      </c>
      <c r="E235" s="100" t="e">
        <f t="shared" ca="1" si="39"/>
        <v>#NAME?</v>
      </c>
      <c r="F235" s="100" t="e">
        <f t="shared" ca="1" si="39"/>
        <v>#NAME?</v>
      </c>
      <c r="G235" s="100" t="e">
        <f t="shared" ca="1" si="32"/>
        <v>#NAME?</v>
      </c>
      <c r="H235" s="100" t="e">
        <f t="shared" ca="1" si="33"/>
        <v>#NAME?</v>
      </c>
      <c r="I235" s="100" t="e">
        <f t="shared" ca="1" si="34"/>
        <v>#NAME?</v>
      </c>
      <c r="J235" s="100" t="e">
        <f t="shared" ca="1" si="35"/>
        <v>#NAME?</v>
      </c>
      <c r="K235" s="100" t="e">
        <f t="shared" ca="1" si="36"/>
        <v>#NAME?</v>
      </c>
      <c r="L235" s="100" t="e">
        <f t="shared" ca="1" si="37"/>
        <v>#NAME?</v>
      </c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</row>
    <row r="236" spans="1:27">
      <c r="A236" s="100" t="e">
        <f t="shared" ca="1" si="31"/>
        <v>#NAME?</v>
      </c>
      <c r="B236" s="100" t="e">
        <f ca="1">IFERROR(__xludf.DUMMYFUNCTION("""COMPUTED_VALUE"""),235)</f>
        <v>#NAME?</v>
      </c>
      <c r="C236" s="100" t="e">
        <f ca="1">IFERROR(__xludf.DUMMYFUNCTION("""COMPUTED_VALUE"""),"BCH-BTC")</f>
        <v>#NAME?</v>
      </c>
      <c r="D236" s="100" t="e">
        <f ca="1">IFERROR(__xludf.DUMMYFUNCTION("""COMPUTED_VALUE"""),"0.003926")</f>
        <v>#NAME?</v>
      </c>
      <c r="E236" s="100" t="e">
        <f t="shared" ca="1" si="39"/>
        <v>#NAME?</v>
      </c>
      <c r="F236" s="100" t="e">
        <f t="shared" ca="1" si="39"/>
        <v>#NAME?</v>
      </c>
      <c r="G236" s="100" t="e">
        <f t="shared" ca="1" si="32"/>
        <v>#NAME?</v>
      </c>
      <c r="H236" s="100" t="e">
        <f t="shared" ca="1" si="33"/>
        <v>#NAME?</v>
      </c>
      <c r="I236" s="100" t="e">
        <f t="shared" ca="1" si="34"/>
        <v>#NAME?</v>
      </c>
      <c r="J236" s="100" t="e">
        <f t="shared" ca="1" si="35"/>
        <v>#NAME?</v>
      </c>
      <c r="K236" s="100" t="e">
        <f t="shared" ca="1" si="36"/>
        <v>#NAME?</v>
      </c>
      <c r="L236" s="100" t="e">
        <f t="shared" ca="1" si="37"/>
        <v>#NAME?</v>
      </c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</row>
    <row r="237" spans="1:27">
      <c r="A237" s="100" t="e">
        <f t="shared" ca="1" si="31"/>
        <v>#NAME?</v>
      </c>
      <c r="B237" s="100" t="e">
        <f ca="1">IFERROR(__xludf.DUMMYFUNCTION("""COMPUTED_VALUE"""),236)</f>
        <v>#NAME?</v>
      </c>
      <c r="C237" s="100" t="e">
        <f ca="1">IFERROR(__xludf.DUMMYFUNCTION("""COMPUTED_VALUE"""),"MOODENG-USDC")</f>
        <v>#NAME?</v>
      </c>
      <c r="D237" s="100" t="e">
        <f ca="1">IFERROR(__xludf.DUMMYFUNCTION("""COMPUTED_VALUE"""),"0.02832")</f>
        <v>#NAME?</v>
      </c>
      <c r="E237" s="100" t="e">
        <f t="shared" ca="1" si="39"/>
        <v>#NAME?</v>
      </c>
      <c r="F237" s="100" t="e">
        <f t="shared" ca="1" si="39"/>
        <v>#NAME?</v>
      </c>
      <c r="G237" s="100" t="e">
        <f t="shared" ca="1" si="32"/>
        <v>#NAME?</v>
      </c>
      <c r="H237" s="100" t="e">
        <f t="shared" ca="1" si="33"/>
        <v>#NAME?</v>
      </c>
      <c r="I237" s="100" t="e">
        <f t="shared" ca="1" si="34"/>
        <v>#NAME?</v>
      </c>
      <c r="J237" s="100" t="e">
        <f t="shared" ca="1" si="35"/>
        <v>#NAME?</v>
      </c>
      <c r="K237" s="100" t="e">
        <f t="shared" ca="1" si="36"/>
        <v>#NAME?</v>
      </c>
      <c r="L237" s="100" t="e">
        <f t="shared" ca="1" si="37"/>
        <v>#NAME?</v>
      </c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</row>
    <row r="238" spans="1:27">
      <c r="A238" s="100" t="e">
        <f t="shared" ca="1" si="31"/>
        <v>#NAME?</v>
      </c>
      <c r="B238" s="100" t="e">
        <f ca="1">IFERROR(__xludf.DUMMYFUNCTION("""COMPUTED_VALUE"""),237)</f>
        <v>#NAME?</v>
      </c>
      <c r="C238" s="100" t="e">
        <f ca="1">IFERROR(__xludf.DUMMYFUNCTION("""COMPUTED_VALUE"""),"ALCX-USDT")</f>
        <v>#NAME?</v>
      </c>
      <c r="D238" s="100" t="e">
        <f ca="1">IFERROR(__xludf.DUMMYFUNCTION("""COMPUTED_VALUE"""),"8.499")</f>
        <v>#NAME?</v>
      </c>
      <c r="E238" s="100" t="e">
        <f t="shared" ca="1" si="39"/>
        <v>#NAME?</v>
      </c>
      <c r="F238" s="100" t="e">
        <f t="shared" ca="1" si="39"/>
        <v>#NAME?</v>
      </c>
      <c r="G238" s="100" t="e">
        <f t="shared" ca="1" si="32"/>
        <v>#NAME?</v>
      </c>
      <c r="H238" s="100" t="e">
        <f t="shared" ca="1" si="33"/>
        <v>#NAME?</v>
      </c>
      <c r="I238" s="100" t="e">
        <f t="shared" ca="1" si="34"/>
        <v>#NAME?</v>
      </c>
      <c r="J238" s="100" t="e">
        <f t="shared" ca="1" si="35"/>
        <v>#NAME?</v>
      </c>
      <c r="K238" s="100" t="e">
        <f t="shared" ca="1" si="36"/>
        <v>#NAME?</v>
      </c>
      <c r="L238" s="100" t="e">
        <f t="shared" ca="1" si="37"/>
        <v>#NAME?</v>
      </c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</row>
    <row r="239" spans="1:27">
      <c r="A239" s="100" t="e">
        <f t="shared" ca="1" si="31"/>
        <v>#NAME?</v>
      </c>
      <c r="B239" s="100" t="e">
        <f ca="1">IFERROR(__xludf.DUMMYFUNCTION("""COMPUTED_VALUE"""),238)</f>
        <v>#NAME?</v>
      </c>
      <c r="C239" s="100" t="e">
        <f ca="1">IFERROR(__xludf.DUMMYFUNCTION("""COMPUTED_VALUE"""),"BLUR-USDC")</f>
        <v>#NAME?</v>
      </c>
      <c r="D239" s="100" t="e">
        <f ca="1">IFERROR(__xludf.DUMMYFUNCTION("""COMPUTED_VALUE"""),"0.1047")</f>
        <v>#NAME?</v>
      </c>
      <c r="E239" s="100" t="e">
        <f t="shared" ca="1" si="39"/>
        <v>#NAME?</v>
      </c>
      <c r="F239" s="100" t="e">
        <f t="shared" ca="1" si="39"/>
        <v>#NAME?</v>
      </c>
      <c r="G239" s="100" t="e">
        <f t="shared" ca="1" si="32"/>
        <v>#NAME?</v>
      </c>
      <c r="H239" s="100" t="e">
        <f t="shared" ca="1" si="33"/>
        <v>#NAME?</v>
      </c>
      <c r="I239" s="100" t="e">
        <f t="shared" ca="1" si="34"/>
        <v>#NAME?</v>
      </c>
      <c r="J239" s="100" t="e">
        <f t="shared" ca="1" si="35"/>
        <v>#NAME?</v>
      </c>
      <c r="K239" s="100" t="e">
        <f t="shared" ca="1" si="36"/>
        <v>#NAME?</v>
      </c>
      <c r="L239" s="100" t="e">
        <f t="shared" ca="1" si="37"/>
        <v>#NAME?</v>
      </c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</row>
    <row r="240" spans="1:27">
      <c r="A240" s="100" t="e">
        <f t="shared" ca="1" si="31"/>
        <v>#NAME?</v>
      </c>
      <c r="B240" s="100" t="e">
        <f ca="1">IFERROR(__xludf.DUMMYFUNCTION("""COMPUTED_VALUE"""),239)</f>
        <v>#NAME?</v>
      </c>
      <c r="C240" s="100" t="e">
        <f ca="1">IFERROR(__xludf.DUMMYFUNCTION("""COMPUTED_VALUE"""),"LUNC-USDC")</f>
        <v>#NAME?</v>
      </c>
      <c r="D240" s="100" t="e">
        <f ca="1">IFERROR(__xludf.DUMMYFUNCTION("""COMPUTED_VALUE"""),"0.00006053")</f>
        <v>#NAME?</v>
      </c>
      <c r="E240" s="100" t="e">
        <f t="shared" ca="1" si="39"/>
        <v>#NAME?</v>
      </c>
      <c r="F240" s="100" t="e">
        <f t="shared" ca="1" si="39"/>
        <v>#NAME?</v>
      </c>
      <c r="G240" s="100" t="e">
        <f t="shared" ca="1" si="32"/>
        <v>#NAME?</v>
      </c>
      <c r="H240" s="100" t="e">
        <f t="shared" ca="1" si="33"/>
        <v>#NAME?</v>
      </c>
      <c r="I240" s="100" t="e">
        <f t="shared" ca="1" si="34"/>
        <v>#NAME?</v>
      </c>
      <c r="J240" s="100" t="e">
        <f t="shared" ca="1" si="35"/>
        <v>#NAME?</v>
      </c>
      <c r="K240" s="100" t="e">
        <f t="shared" ca="1" si="36"/>
        <v>#NAME?</v>
      </c>
      <c r="L240" s="100" t="e">
        <f t="shared" ca="1" si="37"/>
        <v>#NAME?</v>
      </c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</row>
    <row r="241" spans="1:27">
      <c r="A241" s="100" t="e">
        <f t="shared" ca="1" si="31"/>
        <v>#NAME?</v>
      </c>
      <c r="B241" s="100" t="e">
        <f ca="1">IFERROR(__xludf.DUMMYFUNCTION("""COMPUTED_VALUE"""),240)</f>
        <v>#NAME?</v>
      </c>
      <c r="C241" s="100" t="e">
        <f ca="1">IFERROR(__xludf.DUMMYFUNCTION("""COMPUTED_VALUE"""),"KAIA-USDT")</f>
        <v>#NAME?</v>
      </c>
      <c r="D241" s="100" t="e">
        <f ca="1">IFERROR(__xludf.DUMMYFUNCTION("""COMPUTED_VALUE"""),"0.1119")</f>
        <v>#NAME?</v>
      </c>
      <c r="E241" s="100" t="e">
        <f t="shared" ca="1" si="39"/>
        <v>#NAME?</v>
      </c>
      <c r="F241" s="100" t="e">
        <f t="shared" ca="1" si="39"/>
        <v>#NAME?</v>
      </c>
      <c r="G241" s="100" t="e">
        <f t="shared" ca="1" si="32"/>
        <v>#NAME?</v>
      </c>
      <c r="H241" s="100" t="e">
        <f t="shared" ca="1" si="33"/>
        <v>#NAME?</v>
      </c>
      <c r="I241" s="100" t="e">
        <f t="shared" ca="1" si="34"/>
        <v>#NAME?</v>
      </c>
      <c r="J241" s="100" t="e">
        <f t="shared" ca="1" si="35"/>
        <v>#NAME?</v>
      </c>
      <c r="K241" s="100" t="e">
        <f t="shared" ca="1" si="36"/>
        <v>#NAME?</v>
      </c>
      <c r="L241" s="100" t="e">
        <f t="shared" ca="1" si="37"/>
        <v>#NAME?</v>
      </c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</row>
    <row r="242" spans="1:27">
      <c r="A242" s="100" t="e">
        <f t="shared" ca="1" si="31"/>
        <v>#NAME?</v>
      </c>
      <c r="B242" s="100" t="e">
        <f ca="1">IFERROR(__xludf.DUMMYFUNCTION("""COMPUTED_VALUE"""),241)</f>
        <v>#NAME?</v>
      </c>
      <c r="C242" s="100" t="e">
        <f ca="1">IFERROR(__xludf.DUMMYFUNCTION("""COMPUTED_VALUE"""),"ASTR-EUR")</f>
        <v>#NAME?</v>
      </c>
      <c r="D242" s="100" t="e">
        <f ca="1">IFERROR(__xludf.DUMMYFUNCTION("""COMPUTED_VALUE"""),"0.02354")</f>
        <v>#NAME?</v>
      </c>
      <c r="E242" s="100" t="e">
        <f t="shared" ref="E242:F261" ca="1" si="40">IFERROR(__xludf.DUMMYFUNCTION("""COMPUTED_VALUE"""),"-")</f>
        <v>#NAME?</v>
      </c>
      <c r="F242" s="100" t="e">
        <f t="shared" ca="1" si="40"/>
        <v>#NAME?</v>
      </c>
      <c r="G242" s="100" t="e">
        <f t="shared" ca="1" si="32"/>
        <v>#NAME?</v>
      </c>
      <c r="H242" s="100" t="e">
        <f t="shared" ca="1" si="33"/>
        <v>#NAME?</v>
      </c>
      <c r="I242" s="100" t="e">
        <f t="shared" ca="1" si="34"/>
        <v>#NAME?</v>
      </c>
      <c r="J242" s="100" t="e">
        <f t="shared" ca="1" si="35"/>
        <v>#NAME?</v>
      </c>
      <c r="K242" s="100" t="e">
        <f t="shared" ca="1" si="36"/>
        <v>#NAME?</v>
      </c>
      <c r="L242" s="100" t="e">
        <f t="shared" ca="1" si="37"/>
        <v>#NAME?</v>
      </c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</row>
    <row r="243" spans="1:27">
      <c r="A243" s="100" t="e">
        <f t="shared" ca="1" si="31"/>
        <v>#NAME?</v>
      </c>
      <c r="B243" s="100" t="e">
        <f ca="1">IFERROR(__xludf.DUMMYFUNCTION("""COMPUTED_VALUE"""),242)</f>
        <v>#NAME?</v>
      </c>
      <c r="C243" s="100" t="e">
        <f ca="1">IFERROR(__xludf.DUMMYFUNCTION("""COMPUTED_VALUE"""),"BERA-USDT")</f>
        <v>#NAME?</v>
      </c>
      <c r="D243" s="100" t="e">
        <f ca="1">IFERROR(__xludf.DUMMYFUNCTION("""COMPUTED_VALUE"""),"3.402")</f>
        <v>#NAME?</v>
      </c>
      <c r="E243" s="100" t="e">
        <f t="shared" ca="1" si="40"/>
        <v>#NAME?</v>
      </c>
      <c r="F243" s="100" t="e">
        <f t="shared" ca="1" si="40"/>
        <v>#NAME?</v>
      </c>
      <c r="G243" s="100" t="e">
        <f t="shared" ca="1" si="32"/>
        <v>#NAME?</v>
      </c>
      <c r="H243" s="100" t="e">
        <f t="shared" ca="1" si="33"/>
        <v>#NAME?</v>
      </c>
      <c r="I243" s="100" t="e">
        <f t="shared" ca="1" si="34"/>
        <v>#NAME?</v>
      </c>
      <c r="J243" s="100" t="e">
        <f t="shared" ca="1" si="35"/>
        <v>#NAME?</v>
      </c>
      <c r="K243" s="100" t="e">
        <f t="shared" ca="1" si="36"/>
        <v>#NAME?</v>
      </c>
      <c r="L243" s="100" t="e">
        <f t="shared" ca="1" si="37"/>
        <v>#NAME?</v>
      </c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</row>
    <row r="244" spans="1:27">
      <c r="A244" s="100" t="e">
        <f t="shared" ca="1" si="31"/>
        <v>#NAME?</v>
      </c>
      <c r="B244" s="100" t="e">
        <f ca="1">IFERROR(__xludf.DUMMYFUNCTION("""COMPUTED_VALUE"""),243)</f>
        <v>#NAME?</v>
      </c>
      <c r="C244" s="100" t="e">
        <f ca="1">IFERROR(__xludf.DUMMYFUNCTION("""COMPUTED_VALUE"""),"SCR-USDT")</f>
        <v>#NAME?</v>
      </c>
      <c r="D244" s="100" t="e">
        <f ca="1">IFERROR(__xludf.DUMMYFUNCTION("""COMPUTED_VALUE"""),"0.2515")</f>
        <v>#NAME?</v>
      </c>
      <c r="E244" s="100" t="e">
        <f t="shared" ca="1" si="40"/>
        <v>#NAME?</v>
      </c>
      <c r="F244" s="100" t="e">
        <f t="shared" ca="1" si="40"/>
        <v>#NAME?</v>
      </c>
      <c r="G244" s="100" t="e">
        <f t="shared" ca="1" si="32"/>
        <v>#NAME?</v>
      </c>
      <c r="H244" s="100" t="e">
        <f t="shared" ca="1" si="33"/>
        <v>#NAME?</v>
      </c>
      <c r="I244" s="100" t="e">
        <f t="shared" ca="1" si="34"/>
        <v>#NAME?</v>
      </c>
      <c r="J244" s="100" t="e">
        <f t="shared" ca="1" si="35"/>
        <v>#NAME?</v>
      </c>
      <c r="K244" s="100" t="e">
        <f t="shared" ca="1" si="36"/>
        <v>#NAME?</v>
      </c>
      <c r="L244" s="100" t="e">
        <f t="shared" ca="1" si="37"/>
        <v>#NAME?</v>
      </c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</row>
    <row r="245" spans="1:27">
      <c r="A245" s="100" t="e">
        <f t="shared" ca="1" si="31"/>
        <v>#NAME?</v>
      </c>
      <c r="B245" s="100" t="e">
        <f ca="1">IFERROR(__xludf.DUMMYFUNCTION("""COMPUTED_VALUE"""),244)</f>
        <v>#NAME?</v>
      </c>
      <c r="C245" s="100" t="e">
        <f ca="1">IFERROR(__xludf.DUMMYFUNCTION("""COMPUTED_VALUE"""),"ACT-USDT")</f>
        <v>#NAME?</v>
      </c>
      <c r="D245" s="100" t="e">
        <f ca="1">IFERROR(__xludf.DUMMYFUNCTION("""COMPUTED_VALUE"""),"0.05504")</f>
        <v>#NAME?</v>
      </c>
      <c r="E245" s="100" t="e">
        <f t="shared" ca="1" si="40"/>
        <v>#NAME?</v>
      </c>
      <c r="F245" s="100" t="e">
        <f t="shared" ca="1" si="40"/>
        <v>#NAME?</v>
      </c>
      <c r="G245" s="100" t="e">
        <f t="shared" ca="1" si="32"/>
        <v>#NAME?</v>
      </c>
      <c r="H245" s="100" t="e">
        <f t="shared" ca="1" si="33"/>
        <v>#NAME?</v>
      </c>
      <c r="I245" s="100" t="e">
        <f t="shared" ca="1" si="34"/>
        <v>#NAME?</v>
      </c>
      <c r="J245" s="100" t="e">
        <f t="shared" ca="1" si="35"/>
        <v>#NAME?</v>
      </c>
      <c r="K245" s="100" t="e">
        <f t="shared" ca="1" si="36"/>
        <v>#NAME?</v>
      </c>
      <c r="L245" s="100" t="e">
        <f t="shared" ca="1" si="37"/>
        <v>#NAME?</v>
      </c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</row>
    <row r="246" spans="1:27">
      <c r="A246" s="100" t="e">
        <f t="shared" ca="1" si="31"/>
        <v>#NAME?</v>
      </c>
      <c r="B246" s="100" t="e">
        <f ca="1">IFERROR(__xludf.DUMMYFUNCTION("""COMPUTED_VALUE"""),245)</f>
        <v>#NAME?</v>
      </c>
      <c r="C246" s="100" t="e">
        <f ca="1">IFERROR(__xludf.DUMMYFUNCTION("""COMPUTED_VALUE"""),"FXS-EUR")</f>
        <v>#NAME?</v>
      </c>
      <c r="D246" s="100" t="e">
        <f ca="1">IFERROR(__xludf.DUMMYFUNCTION("""COMPUTED_VALUE"""),"1.616")</f>
        <v>#NAME?</v>
      </c>
      <c r="E246" s="100" t="e">
        <f t="shared" ca="1" si="40"/>
        <v>#NAME?</v>
      </c>
      <c r="F246" s="100" t="e">
        <f t="shared" ca="1" si="40"/>
        <v>#NAME?</v>
      </c>
      <c r="G246" s="100" t="e">
        <f t="shared" ca="1" si="32"/>
        <v>#NAME?</v>
      </c>
      <c r="H246" s="100" t="e">
        <f t="shared" ca="1" si="33"/>
        <v>#NAME?</v>
      </c>
      <c r="I246" s="100" t="e">
        <f t="shared" ca="1" si="34"/>
        <v>#NAME?</v>
      </c>
      <c r="J246" s="100" t="e">
        <f t="shared" ca="1" si="35"/>
        <v>#NAME?</v>
      </c>
      <c r="K246" s="100" t="e">
        <f t="shared" ca="1" si="36"/>
        <v>#NAME?</v>
      </c>
      <c r="L246" s="100" t="e">
        <f t="shared" ca="1" si="37"/>
        <v>#NAME?</v>
      </c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</row>
    <row r="247" spans="1:27">
      <c r="A247" s="100" t="e">
        <f t="shared" ca="1" si="31"/>
        <v>#NAME?</v>
      </c>
      <c r="B247" s="100" t="e">
        <f ca="1">IFERROR(__xludf.DUMMYFUNCTION("""COMPUTED_VALUE"""),246)</f>
        <v>#NAME?</v>
      </c>
      <c r="C247" s="100" t="e">
        <f ca="1">IFERROR(__xludf.DUMMYFUNCTION("""COMPUTED_VALUE"""),"MEMEFI-USD")</f>
        <v>#NAME?</v>
      </c>
      <c r="D247" s="100" t="e">
        <f ca="1">IFERROR(__xludf.DUMMYFUNCTION("""COMPUTED_VALUE"""),"0.0007778")</f>
        <v>#NAME?</v>
      </c>
      <c r="E247" s="100" t="e">
        <f t="shared" ca="1" si="40"/>
        <v>#NAME?</v>
      </c>
      <c r="F247" s="100" t="e">
        <f t="shared" ca="1" si="40"/>
        <v>#NAME?</v>
      </c>
      <c r="G247" s="100" t="e">
        <f t="shared" ca="1" si="32"/>
        <v>#NAME?</v>
      </c>
      <c r="H247" s="100" t="e">
        <f t="shared" ca="1" si="33"/>
        <v>#NAME?</v>
      </c>
      <c r="I247" s="100" t="e">
        <f t="shared" ca="1" si="34"/>
        <v>#NAME?</v>
      </c>
      <c r="J247" s="100" t="e">
        <f t="shared" ca="1" si="35"/>
        <v>#NAME?</v>
      </c>
      <c r="K247" s="100" t="e">
        <f t="shared" ca="1" si="36"/>
        <v>#NAME?</v>
      </c>
      <c r="L247" s="100" t="e">
        <f t="shared" ca="1" si="37"/>
        <v>#NAME?</v>
      </c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</row>
    <row r="248" spans="1:27">
      <c r="A248" s="100" t="e">
        <f t="shared" ca="1" si="31"/>
        <v>#NAME?</v>
      </c>
      <c r="B248" s="100" t="e">
        <f ca="1">IFERROR(__xludf.DUMMYFUNCTION("""COMPUTED_VALUE"""),247)</f>
        <v>#NAME?</v>
      </c>
      <c r="C248" s="100" t="e">
        <f ca="1">IFERROR(__xludf.DUMMYFUNCTION("""COMPUTED_VALUE"""),"BIO-USDT")</f>
        <v>#NAME?</v>
      </c>
      <c r="D248" s="100" t="e">
        <f ca="1">IFERROR(__xludf.DUMMYFUNCTION("""COMPUTED_VALUE"""),"0.05377")</f>
        <v>#NAME?</v>
      </c>
      <c r="E248" s="100" t="e">
        <f t="shared" ca="1" si="40"/>
        <v>#NAME?</v>
      </c>
      <c r="F248" s="100" t="e">
        <f t="shared" ca="1" si="40"/>
        <v>#NAME?</v>
      </c>
      <c r="G248" s="100" t="e">
        <f t="shared" ca="1" si="32"/>
        <v>#NAME?</v>
      </c>
      <c r="H248" s="100" t="e">
        <f t="shared" ca="1" si="33"/>
        <v>#NAME?</v>
      </c>
      <c r="I248" s="100" t="e">
        <f t="shared" ca="1" si="34"/>
        <v>#NAME?</v>
      </c>
      <c r="J248" s="100" t="e">
        <f t="shared" ca="1" si="35"/>
        <v>#NAME?</v>
      </c>
      <c r="K248" s="100" t="e">
        <f t="shared" ca="1" si="36"/>
        <v>#NAME?</v>
      </c>
      <c r="L248" s="100" t="e">
        <f t="shared" ca="1" si="37"/>
        <v>#NAME?</v>
      </c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</row>
    <row r="249" spans="1:27">
      <c r="A249" s="100" t="e">
        <f t="shared" ca="1" si="31"/>
        <v>#NAME?</v>
      </c>
      <c r="B249" s="100" t="e">
        <f ca="1">IFERROR(__xludf.DUMMYFUNCTION("""COMPUTED_VALUE"""),248)</f>
        <v>#NAME?</v>
      </c>
      <c r="C249" s="100" t="e">
        <f ca="1">IFERROR(__xludf.DUMMYFUNCTION("""COMPUTED_VALUE"""),"IQ-USD")</f>
        <v>#NAME?</v>
      </c>
      <c r="D249" s="100" t="e">
        <f ca="1">IFERROR(__xludf.DUMMYFUNCTION("""COMPUTED_VALUE"""),"0.004299")</f>
        <v>#NAME?</v>
      </c>
      <c r="E249" s="100" t="e">
        <f t="shared" ca="1" si="40"/>
        <v>#NAME?</v>
      </c>
      <c r="F249" s="100" t="e">
        <f t="shared" ca="1" si="40"/>
        <v>#NAME?</v>
      </c>
      <c r="G249" s="100" t="e">
        <f t="shared" ca="1" si="32"/>
        <v>#NAME?</v>
      </c>
      <c r="H249" s="100" t="e">
        <f t="shared" ca="1" si="33"/>
        <v>#NAME?</v>
      </c>
      <c r="I249" s="100" t="e">
        <f t="shared" ca="1" si="34"/>
        <v>#NAME?</v>
      </c>
      <c r="J249" s="100" t="e">
        <f t="shared" ca="1" si="35"/>
        <v>#NAME?</v>
      </c>
      <c r="K249" s="100" t="e">
        <f t="shared" ca="1" si="36"/>
        <v>#NAME?</v>
      </c>
      <c r="L249" s="100" t="e">
        <f t="shared" ca="1" si="37"/>
        <v>#NAME?</v>
      </c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</row>
    <row r="250" spans="1:27">
      <c r="A250" s="100" t="e">
        <f t="shared" ca="1" si="31"/>
        <v>#NAME?</v>
      </c>
      <c r="B250" s="100" t="e">
        <f ca="1">IFERROR(__xludf.DUMMYFUNCTION("""COMPUTED_VALUE"""),249)</f>
        <v>#NAME?</v>
      </c>
      <c r="C250" s="100" t="e">
        <f ca="1">IFERROR(__xludf.DUMMYFUNCTION("""COMPUTED_VALUE"""),"RPL-USD")</f>
        <v>#NAME?</v>
      </c>
      <c r="D250" s="100" t="e">
        <f ca="1">IFERROR(__xludf.DUMMYFUNCTION("""COMPUTED_VALUE"""),"4.167")</f>
        <v>#NAME?</v>
      </c>
      <c r="E250" s="100" t="e">
        <f t="shared" ca="1" si="40"/>
        <v>#NAME?</v>
      </c>
      <c r="F250" s="100" t="e">
        <f t="shared" ca="1" si="40"/>
        <v>#NAME?</v>
      </c>
      <c r="G250" s="100" t="e">
        <f t="shared" ca="1" si="32"/>
        <v>#NAME?</v>
      </c>
      <c r="H250" s="100" t="e">
        <f t="shared" ca="1" si="33"/>
        <v>#NAME?</v>
      </c>
      <c r="I250" s="100" t="e">
        <f t="shared" ca="1" si="34"/>
        <v>#NAME?</v>
      </c>
      <c r="J250" s="100" t="e">
        <f t="shared" ca="1" si="35"/>
        <v>#NAME?</v>
      </c>
      <c r="K250" s="100" t="e">
        <f t="shared" ca="1" si="36"/>
        <v>#NAME?</v>
      </c>
      <c r="L250" s="100" t="e">
        <f t="shared" ca="1" si="37"/>
        <v>#NAME?</v>
      </c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</row>
    <row r="251" spans="1:27">
      <c r="A251" s="100" t="e">
        <f t="shared" ca="1" si="31"/>
        <v>#NAME?</v>
      </c>
      <c r="B251" s="100" t="e">
        <f ca="1">IFERROR(__xludf.DUMMYFUNCTION("""COMPUTED_VALUE"""),250)</f>
        <v>#NAME?</v>
      </c>
      <c r="C251" s="100" t="e">
        <f ca="1">IFERROR(__xludf.DUMMYFUNCTION("""COMPUTED_VALUE"""),"ETH-USD")</f>
        <v>#NAME?</v>
      </c>
      <c r="D251" s="100" t="e">
        <f ca="1">IFERROR(__xludf.DUMMYFUNCTION("""COMPUTED_VALUE"""),"1625.69")</f>
        <v>#NAME?</v>
      </c>
      <c r="E251" s="100" t="e">
        <f t="shared" ca="1" si="40"/>
        <v>#NAME?</v>
      </c>
      <c r="F251" s="100" t="e">
        <f t="shared" ca="1" si="40"/>
        <v>#NAME?</v>
      </c>
      <c r="G251" s="100" t="e">
        <f t="shared" ca="1" si="32"/>
        <v>#NAME?</v>
      </c>
      <c r="H251" s="100" t="e">
        <f t="shared" ca="1" si="33"/>
        <v>#NAME?</v>
      </c>
      <c r="I251" s="100" t="e">
        <f t="shared" ca="1" si="34"/>
        <v>#NAME?</v>
      </c>
      <c r="J251" s="100" t="e">
        <f t="shared" ca="1" si="35"/>
        <v>#NAME?</v>
      </c>
      <c r="K251" s="100" t="e">
        <f t="shared" ca="1" si="36"/>
        <v>#NAME?</v>
      </c>
      <c r="L251" s="100" t="e">
        <f t="shared" ca="1" si="37"/>
        <v>#NAME?</v>
      </c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</row>
    <row r="252" spans="1:27">
      <c r="A252" s="100" t="e">
        <f t="shared" ca="1" si="31"/>
        <v>#NAME?</v>
      </c>
      <c r="B252" s="100" t="e">
        <f ca="1">IFERROR(__xludf.DUMMYFUNCTION("""COMPUTED_VALUE"""),251)</f>
        <v>#NAME?</v>
      </c>
      <c r="C252" s="100" t="e">
        <f ca="1">IFERROR(__xludf.DUMMYFUNCTION("""COMPUTED_VALUE"""),"OL-USD")</f>
        <v>#NAME?</v>
      </c>
      <c r="D252" s="100" t="e">
        <f ca="1">IFERROR(__xludf.DUMMYFUNCTION("""COMPUTED_VALUE"""),"0.074351")</f>
        <v>#NAME?</v>
      </c>
      <c r="E252" s="100" t="e">
        <f t="shared" ca="1" si="40"/>
        <v>#NAME?</v>
      </c>
      <c r="F252" s="100" t="e">
        <f t="shared" ca="1" si="40"/>
        <v>#NAME?</v>
      </c>
      <c r="G252" s="100" t="e">
        <f t="shared" ca="1" si="32"/>
        <v>#NAME?</v>
      </c>
      <c r="H252" s="100" t="e">
        <f t="shared" ca="1" si="33"/>
        <v>#NAME?</v>
      </c>
      <c r="I252" s="100" t="e">
        <f t="shared" ca="1" si="34"/>
        <v>#NAME?</v>
      </c>
      <c r="J252" s="100" t="e">
        <f t="shared" ca="1" si="35"/>
        <v>#NAME?</v>
      </c>
      <c r="K252" s="100" t="e">
        <f t="shared" ca="1" si="36"/>
        <v>#NAME?</v>
      </c>
      <c r="L252" s="100" t="e">
        <f t="shared" ca="1" si="37"/>
        <v>#NAME?</v>
      </c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</row>
    <row r="253" spans="1:27">
      <c r="A253" s="100" t="e">
        <f t="shared" ca="1" si="31"/>
        <v>#NAME?</v>
      </c>
      <c r="B253" s="100" t="e">
        <f ca="1">IFERROR(__xludf.DUMMYFUNCTION("""COMPUTED_VALUE"""),252)</f>
        <v>#NAME?</v>
      </c>
      <c r="C253" s="100" t="e">
        <f ca="1">IFERROR(__xludf.DUMMYFUNCTION("""COMPUTED_VALUE"""),"CLV-USD")</f>
        <v>#NAME?</v>
      </c>
      <c r="D253" s="100" t="e">
        <f ca="1">IFERROR(__xludf.DUMMYFUNCTION("""COMPUTED_VALUE"""),"0.02518")</f>
        <v>#NAME?</v>
      </c>
      <c r="E253" s="100" t="e">
        <f t="shared" ca="1" si="40"/>
        <v>#NAME?</v>
      </c>
      <c r="F253" s="100" t="e">
        <f t="shared" ca="1" si="40"/>
        <v>#NAME?</v>
      </c>
      <c r="G253" s="100" t="e">
        <f t="shared" ca="1" si="32"/>
        <v>#NAME?</v>
      </c>
      <c r="H253" s="100" t="e">
        <f t="shared" ca="1" si="33"/>
        <v>#NAME?</v>
      </c>
      <c r="I253" s="100" t="e">
        <f t="shared" ca="1" si="34"/>
        <v>#NAME?</v>
      </c>
      <c r="J253" s="100" t="e">
        <f t="shared" ca="1" si="35"/>
        <v>#NAME?</v>
      </c>
      <c r="K253" s="100" t="e">
        <f t="shared" ca="1" si="36"/>
        <v>#NAME?</v>
      </c>
      <c r="L253" s="100" t="e">
        <f t="shared" ca="1" si="37"/>
        <v>#NAME?</v>
      </c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</row>
    <row r="254" spans="1:27">
      <c r="A254" s="100" t="e">
        <f t="shared" ca="1" si="31"/>
        <v>#NAME?</v>
      </c>
      <c r="B254" s="100" t="e">
        <f ca="1">IFERROR(__xludf.DUMMYFUNCTION("""COMPUTED_VALUE"""),253)</f>
        <v>#NAME?</v>
      </c>
      <c r="C254" s="100" t="e">
        <f ca="1">IFERROR(__xludf.DUMMYFUNCTION("""COMPUTED_VALUE"""),"MAGIC-USDT")</f>
        <v>#NAME?</v>
      </c>
      <c r="D254" s="100" t="e">
        <f ca="1">IFERROR(__xludf.DUMMYFUNCTION("""COMPUTED_VALUE"""),"0.2569")</f>
        <v>#NAME?</v>
      </c>
      <c r="E254" s="100" t="e">
        <f t="shared" ca="1" si="40"/>
        <v>#NAME?</v>
      </c>
      <c r="F254" s="100" t="e">
        <f t="shared" ca="1" si="40"/>
        <v>#NAME?</v>
      </c>
      <c r="G254" s="100" t="e">
        <f t="shared" ca="1" si="32"/>
        <v>#NAME?</v>
      </c>
      <c r="H254" s="100" t="e">
        <f t="shared" ca="1" si="33"/>
        <v>#NAME?</v>
      </c>
      <c r="I254" s="100" t="e">
        <f t="shared" ca="1" si="34"/>
        <v>#NAME?</v>
      </c>
      <c r="J254" s="100" t="e">
        <f t="shared" ca="1" si="35"/>
        <v>#NAME?</v>
      </c>
      <c r="K254" s="100" t="e">
        <f t="shared" ca="1" si="36"/>
        <v>#NAME?</v>
      </c>
      <c r="L254" s="100" t="e">
        <f t="shared" ca="1" si="37"/>
        <v>#NAME?</v>
      </c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</row>
    <row r="255" spans="1:27">
      <c r="A255" s="100" t="e">
        <f t="shared" ca="1" si="31"/>
        <v>#NAME?</v>
      </c>
      <c r="B255" s="100" t="e">
        <f ca="1">IFERROR(__xludf.DUMMYFUNCTION("""COMPUTED_VALUE"""),254)</f>
        <v>#NAME?</v>
      </c>
      <c r="C255" s="100" t="e">
        <f ca="1">IFERROR(__xludf.DUMMYFUNCTION("""COMPUTED_VALUE"""),"ZENT-USDC")</f>
        <v>#NAME?</v>
      </c>
      <c r="D255" s="100" t="e">
        <f ca="1">IFERROR(__xludf.DUMMYFUNCTION("""COMPUTED_VALUE"""),"0.01044")</f>
        <v>#NAME?</v>
      </c>
      <c r="E255" s="100" t="e">
        <f t="shared" ca="1" si="40"/>
        <v>#NAME?</v>
      </c>
      <c r="F255" s="100" t="e">
        <f t="shared" ca="1" si="40"/>
        <v>#NAME?</v>
      </c>
      <c r="G255" s="100" t="e">
        <f t="shared" ca="1" si="32"/>
        <v>#NAME?</v>
      </c>
      <c r="H255" s="100" t="e">
        <f t="shared" ca="1" si="33"/>
        <v>#NAME?</v>
      </c>
      <c r="I255" s="100" t="e">
        <f t="shared" ca="1" si="34"/>
        <v>#NAME?</v>
      </c>
      <c r="J255" s="100" t="e">
        <f t="shared" ca="1" si="35"/>
        <v>#NAME?</v>
      </c>
      <c r="K255" s="100" t="e">
        <f t="shared" ca="1" si="36"/>
        <v>#NAME?</v>
      </c>
      <c r="L255" s="100" t="e">
        <f t="shared" ca="1" si="37"/>
        <v>#NAME?</v>
      </c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</row>
    <row r="256" spans="1:27">
      <c r="A256" s="100" t="e">
        <f t="shared" ca="1" si="31"/>
        <v>#NAME?</v>
      </c>
      <c r="B256" s="100" t="e">
        <f ca="1">IFERROR(__xludf.DUMMYFUNCTION("""COMPUTED_VALUE"""),255)</f>
        <v>#NAME?</v>
      </c>
      <c r="C256" s="100" t="e">
        <f ca="1">IFERROR(__xludf.DUMMYFUNCTION("""COMPUTED_VALUE"""),"DYDX-USDC")</f>
        <v>#NAME?</v>
      </c>
      <c r="D256" s="100" t="e">
        <f ca="1">IFERROR(__xludf.DUMMYFUNCTION("""COMPUTED_VALUE"""),"0.5853")</f>
        <v>#NAME?</v>
      </c>
      <c r="E256" s="100" t="e">
        <f t="shared" ca="1" si="40"/>
        <v>#NAME?</v>
      </c>
      <c r="F256" s="100" t="e">
        <f t="shared" ca="1" si="40"/>
        <v>#NAME?</v>
      </c>
      <c r="G256" s="100" t="e">
        <f t="shared" ca="1" si="32"/>
        <v>#NAME?</v>
      </c>
      <c r="H256" s="100" t="e">
        <f t="shared" ca="1" si="33"/>
        <v>#NAME?</v>
      </c>
      <c r="I256" s="100" t="e">
        <f t="shared" ca="1" si="34"/>
        <v>#NAME?</v>
      </c>
      <c r="J256" s="100" t="e">
        <f t="shared" ca="1" si="35"/>
        <v>#NAME?</v>
      </c>
      <c r="K256" s="100" t="e">
        <f t="shared" ca="1" si="36"/>
        <v>#NAME?</v>
      </c>
      <c r="L256" s="100" t="e">
        <f t="shared" ca="1" si="37"/>
        <v>#NAME?</v>
      </c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</row>
    <row r="257" spans="1:27">
      <c r="A257" s="100" t="e">
        <f t="shared" ca="1" si="31"/>
        <v>#NAME?</v>
      </c>
      <c r="B257" s="100" t="e">
        <f ca="1">IFERROR(__xludf.DUMMYFUNCTION("""COMPUTED_VALUE"""),256)</f>
        <v>#NAME?</v>
      </c>
      <c r="C257" s="100" t="e">
        <f ca="1">IFERROR(__xludf.DUMMYFUNCTION("""COMPUTED_VALUE"""),"DOT-USD")</f>
        <v>#NAME?</v>
      </c>
      <c r="D257" s="100" t="e">
        <f ca="1">IFERROR(__xludf.DUMMYFUNCTION("""COMPUTED_VALUE"""),"3.714")</f>
        <v>#NAME?</v>
      </c>
      <c r="E257" s="100" t="e">
        <f t="shared" ca="1" si="40"/>
        <v>#NAME?</v>
      </c>
      <c r="F257" s="100" t="e">
        <f t="shared" ca="1" si="40"/>
        <v>#NAME?</v>
      </c>
      <c r="G257" s="100" t="e">
        <f t="shared" ca="1" si="32"/>
        <v>#NAME?</v>
      </c>
      <c r="H257" s="100" t="e">
        <f t="shared" ca="1" si="33"/>
        <v>#NAME?</v>
      </c>
      <c r="I257" s="100" t="e">
        <f t="shared" ca="1" si="34"/>
        <v>#NAME?</v>
      </c>
      <c r="J257" s="100" t="e">
        <f t="shared" ca="1" si="35"/>
        <v>#NAME?</v>
      </c>
      <c r="K257" s="100" t="e">
        <f t="shared" ca="1" si="36"/>
        <v>#NAME?</v>
      </c>
      <c r="L257" s="100" t="e">
        <f t="shared" ca="1" si="37"/>
        <v>#NAME?</v>
      </c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</row>
    <row r="258" spans="1:27">
      <c r="A258" s="100" t="e">
        <f t="shared" ref="A258:A321" ca="1" si="41">SUBSTITUTE(C258,"-","",)</f>
        <v>#NAME?</v>
      </c>
      <c r="B258" s="100" t="e">
        <f ca="1">IFERROR(__xludf.DUMMYFUNCTION("""COMPUTED_VALUE"""),257)</f>
        <v>#NAME?</v>
      </c>
      <c r="C258" s="100" t="e">
        <f ca="1">IFERROR(__xludf.DUMMYFUNCTION("""COMPUTED_VALUE"""),"DEGEN-USD")</f>
        <v>#NAME?</v>
      </c>
      <c r="D258" s="100" t="e">
        <f ca="1">IFERROR(__xludf.DUMMYFUNCTION("""COMPUTED_VALUE"""),"0.00264")</f>
        <v>#NAME?</v>
      </c>
      <c r="E258" s="100" t="e">
        <f t="shared" ca="1" si="40"/>
        <v>#NAME?</v>
      </c>
      <c r="F258" s="100" t="e">
        <f t="shared" ca="1" si="40"/>
        <v>#NAME?</v>
      </c>
      <c r="G258" s="100" t="e">
        <f t="shared" ref="G258:G321" ca="1" si="42">IFERROR(__xludf.DUMMYFUNCTION("""COMPUTED_VALUE"""),20200)</f>
        <v>#NAME?</v>
      </c>
      <c r="H258" s="100" t="e">
        <f t="shared" ref="H258:H321" ca="1" si="43">IFERROR(__xludf.DUMMYFUNCTION("""COMPUTED_VALUE"""),2885)</f>
        <v>#NAME?</v>
      </c>
      <c r="I258" s="100" t="e">
        <f t="shared" ref="I258:I321" ca="1" si="44">IFERROR(__xludf.DUMMYFUNCTION("""COMPUTED_VALUE"""),663)</f>
        <v>#NAME?</v>
      </c>
      <c r="J258" s="100" t="e">
        <f t="shared" ref="J258:J321" ca="1" si="45">IFERROR(__xludf.DUMMYFUNCTION("""COMPUTED_VALUE"""),5817714)</f>
        <v>#NAME?</v>
      </c>
      <c r="K258" s="100" t="e">
        <f t="shared" ref="K258:K321" ca="1" si="46">IFERROR(__xludf.DUMMYFUNCTION("""COMPUTED_VALUE"""),"-")</f>
        <v>#NAME?</v>
      </c>
      <c r="L258" s="100" t="e">
        <f t="shared" ref="L258:L321" ca="1" si="47">IFERROR(__xludf.DUMMYFUNCTION("""COMPUTED_VALUE"""),"22.04.2025 12:32:49")</f>
        <v>#NAME?</v>
      </c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</row>
    <row r="259" spans="1:27">
      <c r="A259" s="100" t="e">
        <f t="shared" ca="1" si="41"/>
        <v>#NAME?</v>
      </c>
      <c r="B259" s="100" t="e">
        <f ca="1">IFERROR(__xludf.DUMMYFUNCTION("""COMPUTED_VALUE"""),258)</f>
        <v>#NAME?</v>
      </c>
      <c r="C259" s="100" t="e">
        <f ca="1">IFERROR(__xludf.DUMMYFUNCTION("""COMPUTED_VALUE"""),"DYDX-USDT")</f>
        <v>#NAME?</v>
      </c>
      <c r="D259" s="100" t="e">
        <f ca="1">IFERROR(__xludf.DUMMYFUNCTION("""COMPUTED_VALUE"""),"0.5852")</f>
        <v>#NAME?</v>
      </c>
      <c r="E259" s="100" t="e">
        <f t="shared" ca="1" si="40"/>
        <v>#NAME?</v>
      </c>
      <c r="F259" s="100" t="e">
        <f t="shared" ca="1" si="40"/>
        <v>#NAME?</v>
      </c>
      <c r="G259" s="100" t="e">
        <f t="shared" ca="1" si="42"/>
        <v>#NAME?</v>
      </c>
      <c r="H259" s="100" t="e">
        <f t="shared" ca="1" si="43"/>
        <v>#NAME?</v>
      </c>
      <c r="I259" s="100" t="e">
        <f t="shared" ca="1" si="44"/>
        <v>#NAME?</v>
      </c>
      <c r="J259" s="100" t="e">
        <f t="shared" ca="1" si="45"/>
        <v>#NAME?</v>
      </c>
      <c r="K259" s="100" t="e">
        <f t="shared" ca="1" si="46"/>
        <v>#NAME?</v>
      </c>
      <c r="L259" s="100" t="e">
        <f t="shared" ca="1" si="47"/>
        <v>#NAME?</v>
      </c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</row>
    <row r="260" spans="1:27">
      <c r="A260" s="100" t="e">
        <f t="shared" ca="1" si="41"/>
        <v>#NAME?</v>
      </c>
      <c r="B260" s="100" t="e">
        <f ca="1">IFERROR(__xludf.DUMMYFUNCTION("""COMPUTED_VALUE"""),259)</f>
        <v>#NAME?</v>
      </c>
      <c r="C260" s="100" t="e">
        <f ca="1">IFERROR(__xludf.DUMMYFUNCTION("""COMPUTED_VALUE"""),"TRUMP-USD")</f>
        <v>#NAME?</v>
      </c>
      <c r="D260" s="100" t="e">
        <f ca="1">IFERROR(__xludf.DUMMYFUNCTION("""COMPUTED_VALUE"""),"8.465")</f>
        <v>#NAME?</v>
      </c>
      <c r="E260" s="100" t="e">
        <f t="shared" ca="1" si="40"/>
        <v>#NAME?</v>
      </c>
      <c r="F260" s="100" t="e">
        <f t="shared" ca="1" si="40"/>
        <v>#NAME?</v>
      </c>
      <c r="G260" s="100" t="e">
        <f t="shared" ca="1" si="42"/>
        <v>#NAME?</v>
      </c>
      <c r="H260" s="100" t="e">
        <f t="shared" ca="1" si="43"/>
        <v>#NAME?</v>
      </c>
      <c r="I260" s="100" t="e">
        <f t="shared" ca="1" si="44"/>
        <v>#NAME?</v>
      </c>
      <c r="J260" s="100" t="e">
        <f t="shared" ca="1" si="45"/>
        <v>#NAME?</v>
      </c>
      <c r="K260" s="100" t="e">
        <f t="shared" ca="1" si="46"/>
        <v>#NAME?</v>
      </c>
      <c r="L260" s="100" t="e">
        <f t="shared" ca="1" si="47"/>
        <v>#NAME?</v>
      </c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</row>
    <row r="261" spans="1:27">
      <c r="A261" s="100" t="e">
        <f t="shared" ca="1" si="41"/>
        <v>#NAME?</v>
      </c>
      <c r="B261" s="100" t="e">
        <f ca="1">IFERROR(__xludf.DUMMYFUNCTION("""COMPUTED_VALUE"""),260)</f>
        <v>#NAME?</v>
      </c>
      <c r="C261" s="100" t="e">
        <f ca="1">IFERROR(__xludf.DUMMYFUNCTION("""COMPUTED_VALUE"""),"SOL-EUR")</f>
        <v>#NAME?</v>
      </c>
      <c r="D261" s="100" t="e">
        <f ca="1">IFERROR(__xludf.DUMMYFUNCTION("""COMPUTED_VALUE"""),"120.99")</f>
        <v>#NAME?</v>
      </c>
      <c r="E261" s="100" t="e">
        <f t="shared" ca="1" si="40"/>
        <v>#NAME?</v>
      </c>
      <c r="F261" s="100" t="e">
        <f t="shared" ca="1" si="40"/>
        <v>#NAME?</v>
      </c>
      <c r="G261" s="100" t="e">
        <f t="shared" ca="1" si="42"/>
        <v>#NAME?</v>
      </c>
      <c r="H261" s="100" t="e">
        <f t="shared" ca="1" si="43"/>
        <v>#NAME?</v>
      </c>
      <c r="I261" s="100" t="e">
        <f t="shared" ca="1" si="44"/>
        <v>#NAME?</v>
      </c>
      <c r="J261" s="100" t="e">
        <f t="shared" ca="1" si="45"/>
        <v>#NAME?</v>
      </c>
      <c r="K261" s="100" t="e">
        <f t="shared" ca="1" si="46"/>
        <v>#NAME?</v>
      </c>
      <c r="L261" s="100" t="e">
        <f t="shared" ca="1" si="47"/>
        <v>#NAME?</v>
      </c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</row>
    <row r="262" spans="1:27">
      <c r="A262" s="100" t="e">
        <f t="shared" ca="1" si="41"/>
        <v>#NAME?</v>
      </c>
      <c r="B262" s="100" t="e">
        <f ca="1">IFERROR(__xludf.DUMMYFUNCTION("""COMPUTED_VALUE"""),261)</f>
        <v>#NAME?</v>
      </c>
      <c r="C262" s="100" t="e">
        <f ca="1">IFERROR(__xludf.DUMMYFUNCTION("""COMPUTED_VALUE"""),"BTC-EUR")</f>
        <v>#NAME?</v>
      </c>
      <c r="D262" s="100" t="e">
        <f ca="1">IFERROR(__xludf.DUMMYFUNCTION("""COMPUTED_VALUE"""),"76928.8")</f>
        <v>#NAME?</v>
      </c>
      <c r="E262" s="100" t="e">
        <f t="shared" ref="E262:F281" ca="1" si="48">IFERROR(__xludf.DUMMYFUNCTION("""COMPUTED_VALUE"""),"-")</f>
        <v>#NAME?</v>
      </c>
      <c r="F262" s="100" t="e">
        <f t="shared" ca="1" si="48"/>
        <v>#NAME?</v>
      </c>
      <c r="G262" s="100" t="e">
        <f t="shared" ca="1" si="42"/>
        <v>#NAME?</v>
      </c>
      <c r="H262" s="100" t="e">
        <f t="shared" ca="1" si="43"/>
        <v>#NAME?</v>
      </c>
      <c r="I262" s="100" t="e">
        <f t="shared" ca="1" si="44"/>
        <v>#NAME?</v>
      </c>
      <c r="J262" s="100" t="e">
        <f t="shared" ca="1" si="45"/>
        <v>#NAME?</v>
      </c>
      <c r="K262" s="100" t="e">
        <f t="shared" ca="1" si="46"/>
        <v>#NAME?</v>
      </c>
      <c r="L262" s="100" t="e">
        <f t="shared" ca="1" si="47"/>
        <v>#NAME?</v>
      </c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</row>
    <row r="263" spans="1:27">
      <c r="A263" s="100" t="e">
        <f t="shared" ca="1" si="41"/>
        <v>#NAME?</v>
      </c>
      <c r="B263" s="100" t="e">
        <f ca="1">IFERROR(__xludf.DUMMYFUNCTION("""COMPUTED_VALUE"""),262)</f>
        <v>#NAME?</v>
      </c>
      <c r="C263" s="100" t="e">
        <f ca="1">IFERROR(__xludf.DUMMYFUNCTION("""COMPUTED_VALUE"""),"UNI-EUR")</f>
        <v>#NAME?</v>
      </c>
      <c r="D263" s="100" t="e">
        <f ca="1">IFERROR(__xludf.DUMMYFUNCTION("""COMPUTED_VALUE"""),"4.659")</f>
        <v>#NAME?</v>
      </c>
      <c r="E263" s="100" t="e">
        <f t="shared" ca="1" si="48"/>
        <v>#NAME?</v>
      </c>
      <c r="F263" s="100" t="e">
        <f t="shared" ca="1" si="48"/>
        <v>#NAME?</v>
      </c>
      <c r="G263" s="100" t="e">
        <f t="shared" ca="1" si="42"/>
        <v>#NAME?</v>
      </c>
      <c r="H263" s="100" t="e">
        <f t="shared" ca="1" si="43"/>
        <v>#NAME?</v>
      </c>
      <c r="I263" s="100" t="e">
        <f t="shared" ca="1" si="44"/>
        <v>#NAME?</v>
      </c>
      <c r="J263" s="100" t="e">
        <f t="shared" ca="1" si="45"/>
        <v>#NAME?</v>
      </c>
      <c r="K263" s="100" t="e">
        <f t="shared" ca="1" si="46"/>
        <v>#NAME?</v>
      </c>
      <c r="L263" s="100" t="e">
        <f t="shared" ca="1" si="47"/>
        <v>#NAME?</v>
      </c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</row>
    <row r="264" spans="1:27">
      <c r="A264" s="100" t="e">
        <f t="shared" ca="1" si="41"/>
        <v>#NAME?</v>
      </c>
      <c r="B264" s="100" t="e">
        <f ca="1">IFERROR(__xludf.DUMMYFUNCTION("""COMPUTED_VALUE"""),263)</f>
        <v>#NAME?</v>
      </c>
      <c r="C264" s="100" t="e">
        <f ca="1">IFERROR(__xludf.DUMMYFUNCTION("""COMPUTED_VALUE"""),"CVC-USD")</f>
        <v>#NAME?</v>
      </c>
      <c r="D264" s="100" t="e">
        <f ca="1">IFERROR(__xludf.DUMMYFUNCTION("""COMPUTED_VALUE"""),"0.10912")</f>
        <v>#NAME?</v>
      </c>
      <c r="E264" s="100" t="e">
        <f t="shared" ca="1" si="48"/>
        <v>#NAME?</v>
      </c>
      <c r="F264" s="100" t="e">
        <f t="shared" ca="1" si="48"/>
        <v>#NAME?</v>
      </c>
      <c r="G264" s="100" t="e">
        <f t="shared" ca="1" si="42"/>
        <v>#NAME?</v>
      </c>
      <c r="H264" s="100" t="e">
        <f t="shared" ca="1" si="43"/>
        <v>#NAME?</v>
      </c>
      <c r="I264" s="100" t="e">
        <f t="shared" ca="1" si="44"/>
        <v>#NAME?</v>
      </c>
      <c r="J264" s="100" t="e">
        <f t="shared" ca="1" si="45"/>
        <v>#NAME?</v>
      </c>
      <c r="K264" s="100" t="e">
        <f t="shared" ca="1" si="46"/>
        <v>#NAME?</v>
      </c>
      <c r="L264" s="100" t="e">
        <f t="shared" ca="1" si="47"/>
        <v>#NAME?</v>
      </c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</row>
    <row r="265" spans="1:27">
      <c r="A265" s="100" t="e">
        <f t="shared" ca="1" si="41"/>
        <v>#NAME?</v>
      </c>
      <c r="B265" s="100" t="e">
        <f ca="1">IFERROR(__xludf.DUMMYFUNCTION("""COMPUTED_VALUE"""),264)</f>
        <v>#NAME?</v>
      </c>
      <c r="C265" s="100" t="e">
        <f ca="1">IFERROR(__xludf.DUMMYFUNCTION("""COMPUTED_VALUE"""),"BTC-AUD")</f>
        <v>#NAME?</v>
      </c>
      <c r="D265" s="100" t="e">
        <f ca="1">IFERROR(__xludf.DUMMYFUNCTION("""COMPUTED_VALUE"""),"138025")</f>
        <v>#NAME?</v>
      </c>
      <c r="E265" s="100" t="e">
        <f t="shared" ca="1" si="48"/>
        <v>#NAME?</v>
      </c>
      <c r="F265" s="100" t="e">
        <f t="shared" ca="1" si="48"/>
        <v>#NAME?</v>
      </c>
      <c r="G265" s="100" t="e">
        <f t="shared" ca="1" si="42"/>
        <v>#NAME?</v>
      </c>
      <c r="H265" s="100" t="e">
        <f t="shared" ca="1" si="43"/>
        <v>#NAME?</v>
      </c>
      <c r="I265" s="100" t="e">
        <f t="shared" ca="1" si="44"/>
        <v>#NAME?</v>
      </c>
      <c r="J265" s="100" t="e">
        <f t="shared" ca="1" si="45"/>
        <v>#NAME?</v>
      </c>
      <c r="K265" s="100" t="e">
        <f t="shared" ca="1" si="46"/>
        <v>#NAME?</v>
      </c>
      <c r="L265" s="100" t="e">
        <f t="shared" ca="1" si="47"/>
        <v>#NAME?</v>
      </c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</row>
    <row r="266" spans="1:27">
      <c r="A266" s="100" t="e">
        <f t="shared" ca="1" si="41"/>
        <v>#NAME?</v>
      </c>
      <c r="B266" s="100" t="e">
        <f ca="1">IFERROR(__xludf.DUMMYFUNCTION("""COMPUTED_VALUE"""),265)</f>
        <v>#NAME?</v>
      </c>
      <c r="C266" s="100" t="e">
        <f ca="1">IFERROR(__xludf.DUMMYFUNCTION("""COMPUTED_VALUE"""),"SNT-USD")</f>
        <v>#NAME?</v>
      </c>
      <c r="D266" s="100" t="e">
        <f ca="1">IFERROR(__xludf.DUMMYFUNCTION("""COMPUTED_VALUE"""),"0.02245")</f>
        <v>#NAME?</v>
      </c>
      <c r="E266" s="100" t="e">
        <f t="shared" ca="1" si="48"/>
        <v>#NAME?</v>
      </c>
      <c r="F266" s="100" t="e">
        <f t="shared" ca="1" si="48"/>
        <v>#NAME?</v>
      </c>
      <c r="G266" s="100" t="e">
        <f t="shared" ca="1" si="42"/>
        <v>#NAME?</v>
      </c>
      <c r="H266" s="100" t="e">
        <f t="shared" ca="1" si="43"/>
        <v>#NAME?</v>
      </c>
      <c r="I266" s="100" t="e">
        <f t="shared" ca="1" si="44"/>
        <v>#NAME?</v>
      </c>
      <c r="J266" s="100" t="e">
        <f t="shared" ca="1" si="45"/>
        <v>#NAME?</v>
      </c>
      <c r="K266" s="100" t="e">
        <f t="shared" ca="1" si="46"/>
        <v>#NAME?</v>
      </c>
      <c r="L266" s="100" t="e">
        <f t="shared" ca="1" si="47"/>
        <v>#NAME?</v>
      </c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</row>
    <row r="267" spans="1:27">
      <c r="A267" s="100" t="e">
        <f t="shared" ca="1" si="41"/>
        <v>#NAME?</v>
      </c>
      <c r="B267" s="100" t="e">
        <f ca="1">IFERROR(__xludf.DUMMYFUNCTION("""COMPUTED_VALUE"""),266)</f>
        <v>#NAME?</v>
      </c>
      <c r="C267" s="100" t="e">
        <f ca="1">IFERROR(__xludf.DUMMYFUNCTION("""COMPUTED_VALUE"""),"MOODENG-USD")</f>
        <v>#NAME?</v>
      </c>
      <c r="D267" s="100" t="e">
        <f ca="1">IFERROR(__xludf.DUMMYFUNCTION("""COMPUTED_VALUE"""),"0.02792")</f>
        <v>#NAME?</v>
      </c>
      <c r="E267" s="100" t="e">
        <f t="shared" ca="1" si="48"/>
        <v>#NAME?</v>
      </c>
      <c r="F267" s="100" t="e">
        <f t="shared" ca="1" si="48"/>
        <v>#NAME?</v>
      </c>
      <c r="G267" s="100" t="e">
        <f t="shared" ca="1" si="42"/>
        <v>#NAME?</v>
      </c>
      <c r="H267" s="100" t="e">
        <f t="shared" ca="1" si="43"/>
        <v>#NAME?</v>
      </c>
      <c r="I267" s="100" t="e">
        <f t="shared" ca="1" si="44"/>
        <v>#NAME?</v>
      </c>
      <c r="J267" s="100" t="e">
        <f t="shared" ca="1" si="45"/>
        <v>#NAME?</v>
      </c>
      <c r="K267" s="100" t="e">
        <f t="shared" ca="1" si="46"/>
        <v>#NAME?</v>
      </c>
      <c r="L267" s="100" t="e">
        <f t="shared" ca="1" si="47"/>
        <v>#NAME?</v>
      </c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</row>
    <row r="268" spans="1:27">
      <c r="A268" s="100" t="e">
        <f t="shared" ca="1" si="41"/>
        <v>#NAME?</v>
      </c>
      <c r="B268" s="100" t="e">
        <f ca="1">IFERROR(__xludf.DUMMYFUNCTION("""COMPUTED_VALUE"""),267)</f>
        <v>#NAME?</v>
      </c>
      <c r="C268" s="100" t="e">
        <f ca="1">IFERROR(__xludf.DUMMYFUNCTION("""COMPUTED_VALUE"""),"SHIB-EUR")</f>
        <v>#NAME?</v>
      </c>
      <c r="D268" s="100" t="e">
        <f ca="1">IFERROR(__xludf.DUMMYFUNCTION("""COMPUTED_VALUE"""),"0.000010852")</f>
        <v>#NAME?</v>
      </c>
      <c r="E268" s="100" t="e">
        <f t="shared" ca="1" si="48"/>
        <v>#NAME?</v>
      </c>
      <c r="F268" s="100" t="e">
        <f t="shared" ca="1" si="48"/>
        <v>#NAME?</v>
      </c>
      <c r="G268" s="100" t="e">
        <f t="shared" ca="1" si="42"/>
        <v>#NAME?</v>
      </c>
      <c r="H268" s="100" t="e">
        <f t="shared" ca="1" si="43"/>
        <v>#NAME?</v>
      </c>
      <c r="I268" s="100" t="e">
        <f t="shared" ca="1" si="44"/>
        <v>#NAME?</v>
      </c>
      <c r="J268" s="100" t="e">
        <f t="shared" ca="1" si="45"/>
        <v>#NAME?</v>
      </c>
      <c r="K268" s="100" t="e">
        <f t="shared" ca="1" si="46"/>
        <v>#NAME?</v>
      </c>
      <c r="L268" s="100" t="e">
        <f t="shared" ca="1" si="47"/>
        <v>#NAME?</v>
      </c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</row>
    <row r="269" spans="1:27">
      <c r="A269" s="100" t="e">
        <f t="shared" ca="1" si="41"/>
        <v>#NAME?</v>
      </c>
      <c r="B269" s="100" t="e">
        <f ca="1">IFERROR(__xludf.DUMMYFUNCTION("""COMPUTED_VALUE"""),268)</f>
        <v>#NAME?</v>
      </c>
      <c r="C269" s="100" t="e">
        <f ca="1">IFERROR(__xludf.DUMMYFUNCTION("""COMPUTED_VALUE"""),"ZRX-USDT")</f>
        <v>#NAME?</v>
      </c>
      <c r="D269" s="100" t="e">
        <f ca="1">IFERROR(__xludf.DUMMYFUNCTION("""COMPUTED_VALUE"""),"0.2529")</f>
        <v>#NAME?</v>
      </c>
      <c r="E269" s="100" t="e">
        <f t="shared" ca="1" si="48"/>
        <v>#NAME?</v>
      </c>
      <c r="F269" s="100" t="e">
        <f t="shared" ca="1" si="48"/>
        <v>#NAME?</v>
      </c>
      <c r="G269" s="100" t="e">
        <f t="shared" ca="1" si="42"/>
        <v>#NAME?</v>
      </c>
      <c r="H269" s="100" t="e">
        <f t="shared" ca="1" si="43"/>
        <v>#NAME?</v>
      </c>
      <c r="I269" s="100" t="e">
        <f t="shared" ca="1" si="44"/>
        <v>#NAME?</v>
      </c>
      <c r="J269" s="100" t="e">
        <f t="shared" ca="1" si="45"/>
        <v>#NAME?</v>
      </c>
      <c r="K269" s="100" t="e">
        <f t="shared" ca="1" si="46"/>
        <v>#NAME?</v>
      </c>
      <c r="L269" s="100" t="e">
        <f t="shared" ca="1" si="47"/>
        <v>#NAME?</v>
      </c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</row>
    <row r="270" spans="1:27">
      <c r="A270" s="100" t="e">
        <f t="shared" ca="1" si="41"/>
        <v>#NAME?</v>
      </c>
      <c r="B270" s="100" t="e">
        <f ca="1">IFERROR(__xludf.DUMMYFUNCTION("""COMPUTED_VALUE"""),269)</f>
        <v>#NAME?</v>
      </c>
      <c r="C270" s="100" t="e">
        <f ca="1">IFERROR(__xludf.DUMMYFUNCTION("""COMPUTED_VALUE"""),"DUCK-USDT")</f>
        <v>#NAME?</v>
      </c>
      <c r="D270" s="100" t="e">
        <f ca="1">IFERROR(__xludf.DUMMYFUNCTION("""COMPUTED_VALUE"""),"0.002335")</f>
        <v>#NAME?</v>
      </c>
      <c r="E270" s="100" t="e">
        <f t="shared" ca="1" si="48"/>
        <v>#NAME?</v>
      </c>
      <c r="F270" s="100" t="e">
        <f t="shared" ca="1" si="48"/>
        <v>#NAME?</v>
      </c>
      <c r="G270" s="100" t="e">
        <f t="shared" ca="1" si="42"/>
        <v>#NAME?</v>
      </c>
      <c r="H270" s="100" t="e">
        <f t="shared" ca="1" si="43"/>
        <v>#NAME?</v>
      </c>
      <c r="I270" s="100" t="e">
        <f t="shared" ca="1" si="44"/>
        <v>#NAME?</v>
      </c>
      <c r="J270" s="100" t="e">
        <f t="shared" ca="1" si="45"/>
        <v>#NAME?</v>
      </c>
      <c r="K270" s="100" t="e">
        <f t="shared" ca="1" si="46"/>
        <v>#NAME?</v>
      </c>
      <c r="L270" s="100" t="e">
        <f t="shared" ca="1" si="47"/>
        <v>#NAME?</v>
      </c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</row>
    <row r="271" spans="1:27">
      <c r="A271" s="100" t="e">
        <f t="shared" ca="1" si="41"/>
        <v>#NAME?</v>
      </c>
      <c r="B271" s="100" t="e">
        <f ca="1">IFERROR(__xludf.DUMMYFUNCTION("""COMPUTED_VALUE"""),270)</f>
        <v>#NAME?</v>
      </c>
      <c r="C271" s="100" t="e">
        <f ca="1">IFERROR(__xludf.DUMMYFUNCTION("""COMPUTED_VALUE"""),"DAO-USDT")</f>
        <v>#NAME?</v>
      </c>
      <c r="D271" s="100" t="e">
        <f ca="1">IFERROR(__xludf.DUMMYFUNCTION("""COMPUTED_VALUE"""),"0.1298")</f>
        <v>#NAME?</v>
      </c>
      <c r="E271" s="100" t="e">
        <f t="shared" ca="1" si="48"/>
        <v>#NAME?</v>
      </c>
      <c r="F271" s="100" t="e">
        <f t="shared" ca="1" si="48"/>
        <v>#NAME?</v>
      </c>
      <c r="G271" s="100" t="e">
        <f t="shared" ca="1" si="42"/>
        <v>#NAME?</v>
      </c>
      <c r="H271" s="100" t="e">
        <f t="shared" ca="1" si="43"/>
        <v>#NAME?</v>
      </c>
      <c r="I271" s="100" t="e">
        <f t="shared" ca="1" si="44"/>
        <v>#NAME?</v>
      </c>
      <c r="J271" s="100" t="e">
        <f t="shared" ca="1" si="45"/>
        <v>#NAME?</v>
      </c>
      <c r="K271" s="100" t="e">
        <f t="shared" ca="1" si="46"/>
        <v>#NAME?</v>
      </c>
      <c r="L271" s="100" t="e">
        <f t="shared" ca="1" si="47"/>
        <v>#NAME?</v>
      </c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</row>
    <row r="272" spans="1:27">
      <c r="A272" s="100" t="e">
        <f t="shared" ca="1" si="41"/>
        <v>#NAME?</v>
      </c>
      <c r="B272" s="100" t="e">
        <f ca="1">IFERROR(__xludf.DUMMYFUNCTION("""COMPUTED_VALUE"""),271)</f>
        <v>#NAME?</v>
      </c>
      <c r="C272" s="100" t="e">
        <f ca="1">IFERROR(__xludf.DUMMYFUNCTION("""COMPUTED_VALUE"""),"GODS-USDT")</f>
        <v>#NAME?</v>
      </c>
      <c r="D272" s="100" t="e">
        <f ca="1">IFERROR(__xludf.DUMMYFUNCTION("""COMPUTED_VALUE"""),"0.09138")</f>
        <v>#NAME?</v>
      </c>
      <c r="E272" s="100" t="e">
        <f t="shared" ca="1" si="48"/>
        <v>#NAME?</v>
      </c>
      <c r="F272" s="100" t="e">
        <f t="shared" ca="1" si="48"/>
        <v>#NAME?</v>
      </c>
      <c r="G272" s="100" t="e">
        <f t="shared" ca="1" si="42"/>
        <v>#NAME?</v>
      </c>
      <c r="H272" s="100" t="e">
        <f t="shared" ca="1" si="43"/>
        <v>#NAME?</v>
      </c>
      <c r="I272" s="100" t="e">
        <f t="shared" ca="1" si="44"/>
        <v>#NAME?</v>
      </c>
      <c r="J272" s="100" t="e">
        <f t="shared" ca="1" si="45"/>
        <v>#NAME?</v>
      </c>
      <c r="K272" s="100" t="e">
        <f t="shared" ca="1" si="46"/>
        <v>#NAME?</v>
      </c>
      <c r="L272" s="100" t="e">
        <f t="shared" ca="1" si="47"/>
        <v>#NAME?</v>
      </c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</row>
    <row r="273" spans="1:27">
      <c r="A273" s="100" t="e">
        <f t="shared" ca="1" si="41"/>
        <v>#NAME?</v>
      </c>
      <c r="B273" s="100" t="e">
        <f ca="1">IFERROR(__xludf.DUMMYFUNCTION("""COMPUTED_VALUE"""),272)</f>
        <v>#NAME?</v>
      </c>
      <c r="C273" s="100" t="e">
        <f ca="1">IFERROR(__xludf.DUMMYFUNCTION("""COMPUTED_VALUE"""),"ETH-BTC")</f>
        <v>#NAME?</v>
      </c>
      <c r="D273" s="100" t="e">
        <f ca="1">IFERROR(__xludf.DUMMYFUNCTION("""COMPUTED_VALUE"""),"0.01838")</f>
        <v>#NAME?</v>
      </c>
      <c r="E273" s="100" t="e">
        <f t="shared" ca="1" si="48"/>
        <v>#NAME?</v>
      </c>
      <c r="F273" s="100" t="e">
        <f t="shared" ca="1" si="48"/>
        <v>#NAME?</v>
      </c>
      <c r="G273" s="100" t="e">
        <f t="shared" ca="1" si="42"/>
        <v>#NAME?</v>
      </c>
      <c r="H273" s="100" t="e">
        <f t="shared" ca="1" si="43"/>
        <v>#NAME?</v>
      </c>
      <c r="I273" s="100" t="e">
        <f t="shared" ca="1" si="44"/>
        <v>#NAME?</v>
      </c>
      <c r="J273" s="100" t="e">
        <f t="shared" ca="1" si="45"/>
        <v>#NAME?</v>
      </c>
      <c r="K273" s="100" t="e">
        <f t="shared" ca="1" si="46"/>
        <v>#NAME?</v>
      </c>
      <c r="L273" s="100" t="e">
        <f t="shared" ca="1" si="47"/>
        <v>#NAME?</v>
      </c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</row>
    <row r="274" spans="1:27">
      <c r="A274" s="100" t="e">
        <f t="shared" ca="1" si="41"/>
        <v>#NAME?</v>
      </c>
      <c r="B274" s="100" t="e">
        <f ca="1">IFERROR(__xludf.DUMMYFUNCTION("""COMPUTED_VALUE"""),273)</f>
        <v>#NAME?</v>
      </c>
      <c r="C274" s="100" t="e">
        <f ca="1">IFERROR(__xludf.DUMMYFUNCTION("""COMPUTED_VALUE"""),"AUCTION-USDT")</f>
        <v>#NAME?</v>
      </c>
      <c r="D274" s="100" t="e">
        <f ca="1">IFERROR(__xludf.DUMMYFUNCTION("""COMPUTED_VALUE"""),"11.084")</f>
        <v>#NAME?</v>
      </c>
      <c r="E274" s="100" t="e">
        <f t="shared" ca="1" si="48"/>
        <v>#NAME?</v>
      </c>
      <c r="F274" s="100" t="e">
        <f t="shared" ca="1" si="48"/>
        <v>#NAME?</v>
      </c>
      <c r="G274" s="100" t="e">
        <f t="shared" ca="1" si="42"/>
        <v>#NAME?</v>
      </c>
      <c r="H274" s="100" t="e">
        <f t="shared" ca="1" si="43"/>
        <v>#NAME?</v>
      </c>
      <c r="I274" s="100" t="e">
        <f t="shared" ca="1" si="44"/>
        <v>#NAME?</v>
      </c>
      <c r="J274" s="100" t="e">
        <f t="shared" ca="1" si="45"/>
        <v>#NAME?</v>
      </c>
      <c r="K274" s="100" t="e">
        <f t="shared" ca="1" si="46"/>
        <v>#NAME?</v>
      </c>
      <c r="L274" s="100" t="e">
        <f t="shared" ca="1" si="47"/>
        <v>#NAME?</v>
      </c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</row>
    <row r="275" spans="1:27">
      <c r="A275" s="100" t="e">
        <f t="shared" ca="1" si="41"/>
        <v>#NAME?</v>
      </c>
      <c r="B275" s="100" t="e">
        <f ca="1">IFERROR(__xludf.DUMMYFUNCTION("""COMPUTED_VALUE"""),274)</f>
        <v>#NAME?</v>
      </c>
      <c r="C275" s="100" t="e">
        <f ca="1">IFERROR(__xludf.DUMMYFUNCTION("""COMPUTED_VALUE"""),"TRB-USD")</f>
        <v>#NAME?</v>
      </c>
      <c r="D275" s="100" t="e">
        <f ca="1">IFERROR(__xludf.DUMMYFUNCTION("""COMPUTED_VALUE"""),"26.43")</f>
        <v>#NAME?</v>
      </c>
      <c r="E275" s="100" t="e">
        <f t="shared" ca="1" si="48"/>
        <v>#NAME?</v>
      </c>
      <c r="F275" s="100" t="e">
        <f t="shared" ca="1" si="48"/>
        <v>#NAME?</v>
      </c>
      <c r="G275" s="100" t="e">
        <f t="shared" ca="1" si="42"/>
        <v>#NAME?</v>
      </c>
      <c r="H275" s="100" t="e">
        <f t="shared" ca="1" si="43"/>
        <v>#NAME?</v>
      </c>
      <c r="I275" s="100" t="e">
        <f t="shared" ca="1" si="44"/>
        <v>#NAME?</v>
      </c>
      <c r="J275" s="100" t="e">
        <f t="shared" ca="1" si="45"/>
        <v>#NAME?</v>
      </c>
      <c r="K275" s="100" t="e">
        <f t="shared" ca="1" si="46"/>
        <v>#NAME?</v>
      </c>
      <c r="L275" s="100" t="e">
        <f t="shared" ca="1" si="47"/>
        <v>#NAME?</v>
      </c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</row>
    <row r="276" spans="1:27">
      <c r="A276" s="100" t="e">
        <f t="shared" ca="1" si="41"/>
        <v>#NAME?</v>
      </c>
      <c r="B276" s="100" t="e">
        <f ca="1">IFERROR(__xludf.DUMMYFUNCTION("""COMPUTED_VALUE"""),275)</f>
        <v>#NAME?</v>
      </c>
      <c r="C276" s="100" t="e">
        <f ca="1">IFERROR(__xludf.DUMMYFUNCTION("""COMPUTED_VALUE"""),"WIF-EUR")</f>
        <v>#NAME?</v>
      </c>
      <c r="D276" s="100" t="e">
        <f ca="1">IFERROR(__xludf.DUMMYFUNCTION("""COMPUTED_VALUE"""),"0.3807")</f>
        <v>#NAME?</v>
      </c>
      <c r="E276" s="100" t="e">
        <f t="shared" ca="1" si="48"/>
        <v>#NAME?</v>
      </c>
      <c r="F276" s="100" t="e">
        <f t="shared" ca="1" si="48"/>
        <v>#NAME?</v>
      </c>
      <c r="G276" s="100" t="e">
        <f t="shared" ca="1" si="42"/>
        <v>#NAME?</v>
      </c>
      <c r="H276" s="100" t="e">
        <f t="shared" ca="1" si="43"/>
        <v>#NAME?</v>
      </c>
      <c r="I276" s="100" t="e">
        <f t="shared" ca="1" si="44"/>
        <v>#NAME?</v>
      </c>
      <c r="J276" s="100" t="e">
        <f t="shared" ca="1" si="45"/>
        <v>#NAME?</v>
      </c>
      <c r="K276" s="100" t="e">
        <f t="shared" ca="1" si="46"/>
        <v>#NAME?</v>
      </c>
      <c r="L276" s="100" t="e">
        <f t="shared" ca="1" si="47"/>
        <v>#NAME?</v>
      </c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</row>
    <row r="277" spans="1:27">
      <c r="A277" s="100" t="e">
        <f t="shared" ca="1" si="41"/>
        <v>#NAME?</v>
      </c>
      <c r="B277" s="100" t="e">
        <f ca="1">IFERROR(__xludf.DUMMYFUNCTION("""COMPUTED_VALUE"""),276)</f>
        <v>#NAME?</v>
      </c>
      <c r="C277" s="100" t="e">
        <f ca="1">IFERROR(__xludf.DUMMYFUNCTION("""COMPUTED_VALUE"""),"ORBS-USDT")</f>
        <v>#NAME?</v>
      </c>
      <c r="D277" s="100" t="e">
        <f ca="1">IFERROR(__xludf.DUMMYFUNCTION("""COMPUTED_VALUE"""),"0.02107")</f>
        <v>#NAME?</v>
      </c>
      <c r="E277" s="100" t="e">
        <f t="shared" ca="1" si="48"/>
        <v>#NAME?</v>
      </c>
      <c r="F277" s="100" t="e">
        <f t="shared" ca="1" si="48"/>
        <v>#NAME?</v>
      </c>
      <c r="G277" s="100" t="e">
        <f t="shared" ca="1" si="42"/>
        <v>#NAME?</v>
      </c>
      <c r="H277" s="100" t="e">
        <f t="shared" ca="1" si="43"/>
        <v>#NAME?</v>
      </c>
      <c r="I277" s="100" t="e">
        <f t="shared" ca="1" si="44"/>
        <v>#NAME?</v>
      </c>
      <c r="J277" s="100" t="e">
        <f t="shared" ca="1" si="45"/>
        <v>#NAME?</v>
      </c>
      <c r="K277" s="100" t="e">
        <f t="shared" ca="1" si="46"/>
        <v>#NAME?</v>
      </c>
      <c r="L277" s="100" t="e">
        <f t="shared" ca="1" si="47"/>
        <v>#NAME?</v>
      </c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</row>
    <row r="278" spans="1:27">
      <c r="A278" s="100" t="e">
        <f t="shared" ca="1" si="41"/>
        <v>#NAME?</v>
      </c>
      <c r="B278" s="100" t="e">
        <f ca="1">IFERROR(__xludf.DUMMYFUNCTION("""COMPUTED_VALUE"""),277)</f>
        <v>#NAME?</v>
      </c>
      <c r="C278" s="100" t="e">
        <f ca="1">IFERROR(__xludf.DUMMYFUNCTION("""COMPUTED_VALUE"""),"VELODROME-USDT")</f>
        <v>#NAME?</v>
      </c>
      <c r="D278" s="100" t="e">
        <f ca="1">IFERROR(__xludf.DUMMYFUNCTION("""COMPUTED_VALUE"""),"0.04534")</f>
        <v>#NAME?</v>
      </c>
      <c r="E278" s="100" t="e">
        <f t="shared" ca="1" si="48"/>
        <v>#NAME?</v>
      </c>
      <c r="F278" s="100" t="e">
        <f t="shared" ca="1" si="48"/>
        <v>#NAME?</v>
      </c>
      <c r="G278" s="100" t="e">
        <f t="shared" ca="1" si="42"/>
        <v>#NAME?</v>
      </c>
      <c r="H278" s="100" t="e">
        <f t="shared" ca="1" si="43"/>
        <v>#NAME?</v>
      </c>
      <c r="I278" s="100" t="e">
        <f t="shared" ca="1" si="44"/>
        <v>#NAME?</v>
      </c>
      <c r="J278" s="100" t="e">
        <f t="shared" ca="1" si="45"/>
        <v>#NAME?</v>
      </c>
      <c r="K278" s="100" t="e">
        <f t="shared" ca="1" si="46"/>
        <v>#NAME?</v>
      </c>
      <c r="L278" s="100" t="e">
        <f t="shared" ca="1" si="47"/>
        <v>#NAME?</v>
      </c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</row>
    <row r="279" spans="1:27">
      <c r="A279" s="100" t="e">
        <f t="shared" ca="1" si="41"/>
        <v>#NAME?</v>
      </c>
      <c r="B279" s="100" t="e">
        <f ca="1">IFERROR(__xludf.DUMMYFUNCTION("""COMPUTED_VALUE"""),278)</f>
        <v>#NAME?</v>
      </c>
      <c r="C279" s="100" t="e">
        <f ca="1">IFERROR(__xludf.DUMMYFUNCTION("""COMPUTED_VALUE"""),"G-USDT")</f>
        <v>#NAME?</v>
      </c>
      <c r="D279" s="100" t="e">
        <f ca="1">IFERROR(__xludf.DUMMYFUNCTION("""COMPUTED_VALUE"""),"0.01396")</f>
        <v>#NAME?</v>
      </c>
      <c r="E279" s="100" t="e">
        <f t="shared" ca="1" si="48"/>
        <v>#NAME?</v>
      </c>
      <c r="F279" s="100" t="e">
        <f t="shared" ca="1" si="48"/>
        <v>#NAME?</v>
      </c>
      <c r="G279" s="100" t="e">
        <f t="shared" ca="1" si="42"/>
        <v>#NAME?</v>
      </c>
      <c r="H279" s="100" t="e">
        <f t="shared" ca="1" si="43"/>
        <v>#NAME?</v>
      </c>
      <c r="I279" s="100" t="e">
        <f t="shared" ca="1" si="44"/>
        <v>#NAME?</v>
      </c>
      <c r="J279" s="100" t="e">
        <f t="shared" ca="1" si="45"/>
        <v>#NAME?</v>
      </c>
      <c r="K279" s="100" t="e">
        <f t="shared" ca="1" si="46"/>
        <v>#NAME?</v>
      </c>
      <c r="L279" s="100" t="e">
        <f t="shared" ca="1" si="47"/>
        <v>#NAME?</v>
      </c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</row>
    <row r="280" spans="1:27">
      <c r="A280" s="100" t="e">
        <f t="shared" ca="1" si="41"/>
        <v>#NAME?</v>
      </c>
      <c r="B280" s="100" t="e">
        <f ca="1">IFERROR(__xludf.DUMMYFUNCTION("""COMPUTED_VALUE"""),279)</f>
        <v>#NAME?</v>
      </c>
      <c r="C280" s="100" t="e">
        <f ca="1">IFERROR(__xludf.DUMMYFUNCTION("""COMPUTED_VALUE"""),"OL-USDT")</f>
        <v>#NAME?</v>
      </c>
      <c r="D280" s="100" t="e">
        <f ca="1">IFERROR(__xludf.DUMMYFUNCTION("""COMPUTED_VALUE"""),"0.074881")</f>
        <v>#NAME?</v>
      </c>
      <c r="E280" s="100" t="e">
        <f t="shared" ca="1" si="48"/>
        <v>#NAME?</v>
      </c>
      <c r="F280" s="100" t="e">
        <f t="shared" ca="1" si="48"/>
        <v>#NAME?</v>
      </c>
      <c r="G280" s="100" t="e">
        <f t="shared" ca="1" si="42"/>
        <v>#NAME?</v>
      </c>
      <c r="H280" s="100" t="e">
        <f t="shared" ca="1" si="43"/>
        <v>#NAME?</v>
      </c>
      <c r="I280" s="100" t="e">
        <f t="shared" ca="1" si="44"/>
        <v>#NAME?</v>
      </c>
      <c r="J280" s="100" t="e">
        <f t="shared" ca="1" si="45"/>
        <v>#NAME?</v>
      </c>
      <c r="K280" s="100" t="e">
        <f t="shared" ca="1" si="46"/>
        <v>#NAME?</v>
      </c>
      <c r="L280" s="100" t="e">
        <f t="shared" ca="1" si="47"/>
        <v>#NAME?</v>
      </c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</row>
    <row r="281" spans="1:27">
      <c r="A281" s="100" t="e">
        <f t="shared" ca="1" si="41"/>
        <v>#NAME?</v>
      </c>
      <c r="B281" s="100" t="e">
        <f ca="1">IFERROR(__xludf.DUMMYFUNCTION("""COMPUTED_VALUE"""),280)</f>
        <v>#NAME?</v>
      </c>
      <c r="C281" s="100" t="e">
        <f ca="1">IFERROR(__xludf.DUMMYFUNCTION("""COMPUTED_VALUE"""),"FXS-USDT")</f>
        <v>#NAME?</v>
      </c>
      <c r="D281" s="100" t="e">
        <f ca="1">IFERROR(__xludf.DUMMYFUNCTION("""COMPUTED_VALUE"""),"1.872")</f>
        <v>#NAME?</v>
      </c>
      <c r="E281" s="100" t="e">
        <f t="shared" ca="1" si="48"/>
        <v>#NAME?</v>
      </c>
      <c r="F281" s="100" t="e">
        <f t="shared" ca="1" si="48"/>
        <v>#NAME?</v>
      </c>
      <c r="G281" s="100" t="e">
        <f t="shared" ca="1" si="42"/>
        <v>#NAME?</v>
      </c>
      <c r="H281" s="100" t="e">
        <f t="shared" ca="1" si="43"/>
        <v>#NAME?</v>
      </c>
      <c r="I281" s="100" t="e">
        <f t="shared" ca="1" si="44"/>
        <v>#NAME?</v>
      </c>
      <c r="J281" s="100" t="e">
        <f t="shared" ca="1" si="45"/>
        <v>#NAME?</v>
      </c>
      <c r="K281" s="100" t="e">
        <f t="shared" ca="1" si="46"/>
        <v>#NAME?</v>
      </c>
      <c r="L281" s="100" t="e">
        <f t="shared" ca="1" si="47"/>
        <v>#NAME?</v>
      </c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</row>
    <row r="282" spans="1:27">
      <c r="A282" s="100" t="e">
        <f t="shared" ca="1" si="41"/>
        <v>#NAME?</v>
      </c>
      <c r="B282" s="100" t="e">
        <f ca="1">IFERROR(__xludf.DUMMYFUNCTION("""COMPUTED_VALUE"""),281)</f>
        <v>#NAME?</v>
      </c>
      <c r="C282" s="100" t="e">
        <f ca="1">IFERROR(__xludf.DUMMYFUNCTION("""COMPUTED_VALUE"""),"SAMO-USD")</f>
        <v>#NAME?</v>
      </c>
      <c r="D282" s="100" t="e">
        <f ca="1">IFERROR(__xludf.DUMMYFUNCTION("""COMPUTED_VALUE"""),"0.003076")</f>
        <v>#NAME?</v>
      </c>
      <c r="E282" s="100" t="e">
        <f t="shared" ref="E282:F301" ca="1" si="49">IFERROR(__xludf.DUMMYFUNCTION("""COMPUTED_VALUE"""),"-")</f>
        <v>#NAME?</v>
      </c>
      <c r="F282" s="100" t="e">
        <f t="shared" ca="1" si="49"/>
        <v>#NAME?</v>
      </c>
      <c r="G282" s="100" t="e">
        <f t="shared" ca="1" si="42"/>
        <v>#NAME?</v>
      </c>
      <c r="H282" s="100" t="e">
        <f t="shared" ca="1" si="43"/>
        <v>#NAME?</v>
      </c>
      <c r="I282" s="100" t="e">
        <f t="shared" ca="1" si="44"/>
        <v>#NAME?</v>
      </c>
      <c r="J282" s="100" t="e">
        <f t="shared" ca="1" si="45"/>
        <v>#NAME?</v>
      </c>
      <c r="K282" s="100" t="e">
        <f t="shared" ca="1" si="46"/>
        <v>#NAME?</v>
      </c>
      <c r="L282" s="100" t="e">
        <f t="shared" ca="1" si="47"/>
        <v>#NAME?</v>
      </c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</row>
    <row r="283" spans="1:27">
      <c r="A283" s="100" t="e">
        <f t="shared" ca="1" si="41"/>
        <v>#NAME?</v>
      </c>
      <c r="B283" s="100" t="e">
        <f ca="1">IFERROR(__xludf.DUMMYFUNCTION("""COMPUTED_VALUE"""),282)</f>
        <v>#NAME?</v>
      </c>
      <c r="C283" s="100" t="e">
        <f ca="1">IFERROR(__xludf.DUMMYFUNCTION("""COMPUTED_VALUE"""),"GOAT-USDT")</f>
        <v>#NAME?</v>
      </c>
      <c r="D283" s="100" t="e">
        <f ca="1">IFERROR(__xludf.DUMMYFUNCTION("""COMPUTED_VALUE"""),"0.05559")</f>
        <v>#NAME?</v>
      </c>
      <c r="E283" s="100" t="e">
        <f t="shared" ca="1" si="49"/>
        <v>#NAME?</v>
      </c>
      <c r="F283" s="100" t="e">
        <f t="shared" ca="1" si="49"/>
        <v>#NAME?</v>
      </c>
      <c r="G283" s="100" t="e">
        <f t="shared" ca="1" si="42"/>
        <v>#NAME?</v>
      </c>
      <c r="H283" s="100" t="e">
        <f t="shared" ca="1" si="43"/>
        <v>#NAME?</v>
      </c>
      <c r="I283" s="100" t="e">
        <f t="shared" ca="1" si="44"/>
        <v>#NAME?</v>
      </c>
      <c r="J283" s="100" t="e">
        <f t="shared" ca="1" si="45"/>
        <v>#NAME?</v>
      </c>
      <c r="K283" s="100" t="e">
        <f t="shared" ca="1" si="46"/>
        <v>#NAME?</v>
      </c>
      <c r="L283" s="100" t="e">
        <f t="shared" ca="1" si="47"/>
        <v>#NAME?</v>
      </c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</row>
    <row r="284" spans="1:27">
      <c r="A284" s="100" t="e">
        <f t="shared" ca="1" si="41"/>
        <v>#NAME?</v>
      </c>
      <c r="B284" s="100" t="e">
        <f ca="1">IFERROR(__xludf.DUMMYFUNCTION("""COMPUTED_VALUE"""),283)</f>
        <v>#NAME?</v>
      </c>
      <c r="C284" s="100" t="e">
        <f ca="1">IFERROR(__xludf.DUMMYFUNCTION("""COMPUTED_VALUE"""),"BONE-USD")</f>
        <v>#NAME?</v>
      </c>
      <c r="D284" s="100" t="e">
        <f ca="1">IFERROR(__xludf.DUMMYFUNCTION("""COMPUTED_VALUE"""),"0.2702")</f>
        <v>#NAME?</v>
      </c>
      <c r="E284" s="100" t="e">
        <f t="shared" ca="1" si="49"/>
        <v>#NAME?</v>
      </c>
      <c r="F284" s="100" t="e">
        <f t="shared" ca="1" si="49"/>
        <v>#NAME?</v>
      </c>
      <c r="G284" s="100" t="e">
        <f t="shared" ca="1" si="42"/>
        <v>#NAME?</v>
      </c>
      <c r="H284" s="100" t="e">
        <f t="shared" ca="1" si="43"/>
        <v>#NAME?</v>
      </c>
      <c r="I284" s="100" t="e">
        <f t="shared" ca="1" si="44"/>
        <v>#NAME?</v>
      </c>
      <c r="J284" s="100" t="e">
        <f t="shared" ca="1" si="45"/>
        <v>#NAME?</v>
      </c>
      <c r="K284" s="100" t="e">
        <f t="shared" ca="1" si="46"/>
        <v>#NAME?</v>
      </c>
      <c r="L284" s="100" t="e">
        <f t="shared" ca="1" si="47"/>
        <v>#NAME?</v>
      </c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</row>
    <row r="285" spans="1:27">
      <c r="A285" s="100" t="e">
        <f t="shared" ca="1" si="41"/>
        <v>#NAME?</v>
      </c>
      <c r="B285" s="100" t="e">
        <f ca="1">IFERROR(__xludf.DUMMYFUNCTION("""COMPUTED_VALUE"""),284)</f>
        <v>#NAME?</v>
      </c>
      <c r="C285" s="100" t="e">
        <f ca="1">IFERROR(__xludf.DUMMYFUNCTION("""COMPUTED_VALUE"""),"ZETA-USD")</f>
        <v>#NAME?</v>
      </c>
      <c r="D285" s="100" t="e">
        <f ca="1">IFERROR(__xludf.DUMMYFUNCTION("""COMPUTED_VALUE"""),"0.2394")</f>
        <v>#NAME?</v>
      </c>
      <c r="E285" s="100" t="e">
        <f t="shared" ca="1" si="49"/>
        <v>#NAME?</v>
      </c>
      <c r="F285" s="100" t="e">
        <f t="shared" ca="1" si="49"/>
        <v>#NAME?</v>
      </c>
      <c r="G285" s="100" t="e">
        <f t="shared" ca="1" si="42"/>
        <v>#NAME?</v>
      </c>
      <c r="H285" s="100" t="e">
        <f t="shared" ca="1" si="43"/>
        <v>#NAME?</v>
      </c>
      <c r="I285" s="100" t="e">
        <f t="shared" ca="1" si="44"/>
        <v>#NAME?</v>
      </c>
      <c r="J285" s="100" t="e">
        <f t="shared" ca="1" si="45"/>
        <v>#NAME?</v>
      </c>
      <c r="K285" s="100" t="e">
        <f t="shared" ca="1" si="46"/>
        <v>#NAME?</v>
      </c>
      <c r="L285" s="100" t="e">
        <f t="shared" ca="1" si="47"/>
        <v>#NAME?</v>
      </c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</row>
    <row r="286" spans="1:27">
      <c r="A286" s="100" t="e">
        <f t="shared" ca="1" si="41"/>
        <v>#NAME?</v>
      </c>
      <c r="B286" s="100" t="e">
        <f ca="1">IFERROR(__xludf.DUMMYFUNCTION("""COMPUTED_VALUE"""),285)</f>
        <v>#NAME?</v>
      </c>
      <c r="C286" s="100" t="e">
        <f ca="1">IFERROR(__xludf.DUMMYFUNCTION("""COMPUTED_VALUE"""),"AIDOGE-USDT")</f>
        <v>#NAME?</v>
      </c>
      <c r="D286" s="100" t="e">
        <f ca="1">IFERROR(__xludf.DUMMYFUNCTION("""COMPUTED_VALUE"""),"0.0000000001089")</f>
        <v>#NAME?</v>
      </c>
      <c r="E286" s="100" t="e">
        <f t="shared" ca="1" si="49"/>
        <v>#NAME?</v>
      </c>
      <c r="F286" s="100" t="e">
        <f t="shared" ca="1" si="49"/>
        <v>#NAME?</v>
      </c>
      <c r="G286" s="100" t="e">
        <f t="shared" ca="1" si="42"/>
        <v>#NAME?</v>
      </c>
      <c r="H286" s="100" t="e">
        <f t="shared" ca="1" si="43"/>
        <v>#NAME?</v>
      </c>
      <c r="I286" s="100" t="e">
        <f t="shared" ca="1" si="44"/>
        <v>#NAME?</v>
      </c>
      <c r="J286" s="100" t="e">
        <f t="shared" ca="1" si="45"/>
        <v>#NAME?</v>
      </c>
      <c r="K286" s="100" t="e">
        <f t="shared" ca="1" si="46"/>
        <v>#NAME?</v>
      </c>
      <c r="L286" s="100" t="e">
        <f t="shared" ca="1" si="47"/>
        <v>#NAME?</v>
      </c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</row>
    <row r="287" spans="1:27">
      <c r="A287" s="100" t="e">
        <f t="shared" ca="1" si="41"/>
        <v>#NAME?</v>
      </c>
      <c r="B287" s="100" t="e">
        <f ca="1">IFERROR(__xludf.DUMMYFUNCTION("""COMPUTED_VALUE"""),286)</f>
        <v>#NAME?</v>
      </c>
      <c r="C287" s="100" t="e">
        <f ca="1">IFERROR(__xludf.DUMMYFUNCTION("""COMPUTED_VALUE"""),"ZENT-USD")</f>
        <v>#NAME?</v>
      </c>
      <c r="D287" s="100" t="e">
        <f ca="1">IFERROR(__xludf.DUMMYFUNCTION("""COMPUTED_VALUE"""),"0.01003")</f>
        <v>#NAME?</v>
      </c>
      <c r="E287" s="100" t="e">
        <f t="shared" ca="1" si="49"/>
        <v>#NAME?</v>
      </c>
      <c r="F287" s="100" t="e">
        <f t="shared" ca="1" si="49"/>
        <v>#NAME?</v>
      </c>
      <c r="G287" s="100" t="e">
        <f t="shared" ca="1" si="42"/>
        <v>#NAME?</v>
      </c>
      <c r="H287" s="100" t="e">
        <f t="shared" ca="1" si="43"/>
        <v>#NAME?</v>
      </c>
      <c r="I287" s="100" t="e">
        <f t="shared" ca="1" si="44"/>
        <v>#NAME?</v>
      </c>
      <c r="J287" s="100" t="e">
        <f t="shared" ca="1" si="45"/>
        <v>#NAME?</v>
      </c>
      <c r="K287" s="100" t="e">
        <f t="shared" ca="1" si="46"/>
        <v>#NAME?</v>
      </c>
      <c r="L287" s="100" t="e">
        <f t="shared" ca="1" si="47"/>
        <v>#NAME?</v>
      </c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</row>
    <row r="288" spans="1:27">
      <c r="A288" s="100" t="e">
        <f t="shared" ca="1" si="41"/>
        <v>#NAME?</v>
      </c>
      <c r="B288" s="100" t="e">
        <f ca="1">IFERROR(__xludf.DUMMYFUNCTION("""COMPUTED_VALUE"""),287)</f>
        <v>#NAME?</v>
      </c>
      <c r="C288" s="100" t="e">
        <f ca="1">IFERROR(__xludf.DUMMYFUNCTION("""COMPUTED_VALUE"""),"IP-USD")</f>
        <v>#NAME?</v>
      </c>
      <c r="D288" s="100" t="e">
        <f ca="1">IFERROR(__xludf.DUMMYFUNCTION("""COMPUTED_VALUE"""),"3.6043")</f>
        <v>#NAME?</v>
      </c>
      <c r="E288" s="100" t="e">
        <f t="shared" ca="1" si="49"/>
        <v>#NAME?</v>
      </c>
      <c r="F288" s="100" t="e">
        <f t="shared" ca="1" si="49"/>
        <v>#NAME?</v>
      </c>
      <c r="G288" s="100" t="e">
        <f t="shared" ca="1" si="42"/>
        <v>#NAME?</v>
      </c>
      <c r="H288" s="100" t="e">
        <f t="shared" ca="1" si="43"/>
        <v>#NAME?</v>
      </c>
      <c r="I288" s="100" t="e">
        <f t="shared" ca="1" si="44"/>
        <v>#NAME?</v>
      </c>
      <c r="J288" s="100" t="e">
        <f t="shared" ca="1" si="45"/>
        <v>#NAME?</v>
      </c>
      <c r="K288" s="100" t="e">
        <f t="shared" ca="1" si="46"/>
        <v>#NAME?</v>
      </c>
      <c r="L288" s="100" t="e">
        <f t="shared" ca="1" si="47"/>
        <v>#NAME?</v>
      </c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</row>
    <row r="289" spans="1:27">
      <c r="A289" s="100" t="e">
        <f t="shared" ca="1" si="41"/>
        <v>#NAME?</v>
      </c>
      <c r="B289" s="100" t="e">
        <f ca="1">IFERROR(__xludf.DUMMYFUNCTION("""COMPUTED_VALUE"""),288)</f>
        <v>#NAME?</v>
      </c>
      <c r="C289" s="100" t="e">
        <f ca="1">IFERROR(__xludf.DUMMYFUNCTION("""COMPUTED_VALUE"""),"ATOM-USDC")</f>
        <v>#NAME?</v>
      </c>
      <c r="D289" s="100" t="e">
        <f ca="1">IFERROR(__xludf.DUMMYFUNCTION("""COMPUTED_VALUE"""),"4.081")</f>
        <v>#NAME?</v>
      </c>
      <c r="E289" s="100" t="e">
        <f t="shared" ca="1" si="49"/>
        <v>#NAME?</v>
      </c>
      <c r="F289" s="100" t="e">
        <f t="shared" ca="1" si="49"/>
        <v>#NAME?</v>
      </c>
      <c r="G289" s="100" t="e">
        <f t="shared" ca="1" si="42"/>
        <v>#NAME?</v>
      </c>
      <c r="H289" s="100" t="e">
        <f t="shared" ca="1" si="43"/>
        <v>#NAME?</v>
      </c>
      <c r="I289" s="100" t="e">
        <f t="shared" ca="1" si="44"/>
        <v>#NAME?</v>
      </c>
      <c r="J289" s="100" t="e">
        <f t="shared" ca="1" si="45"/>
        <v>#NAME?</v>
      </c>
      <c r="K289" s="100" t="e">
        <f t="shared" ca="1" si="46"/>
        <v>#NAME?</v>
      </c>
      <c r="L289" s="100" t="e">
        <f t="shared" ca="1" si="47"/>
        <v>#NAME?</v>
      </c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</row>
    <row r="290" spans="1:27">
      <c r="A290" s="100" t="e">
        <f t="shared" ca="1" si="41"/>
        <v>#NAME?</v>
      </c>
      <c r="B290" s="100" t="e">
        <f ca="1">IFERROR(__xludf.DUMMYFUNCTION("""COMPUTED_VALUE"""),289)</f>
        <v>#NAME?</v>
      </c>
      <c r="C290" s="100" t="e">
        <f ca="1">IFERROR(__xludf.DUMMYFUNCTION("""COMPUTED_VALUE"""),"TRX-USD")</f>
        <v>#NAME?</v>
      </c>
      <c r="D290" s="100" t="e">
        <f ca="1">IFERROR(__xludf.DUMMYFUNCTION("""COMPUTED_VALUE"""),"0.24788")</f>
        <v>#NAME?</v>
      </c>
      <c r="E290" s="100" t="e">
        <f t="shared" ca="1" si="49"/>
        <v>#NAME?</v>
      </c>
      <c r="F290" s="100" t="e">
        <f t="shared" ca="1" si="49"/>
        <v>#NAME?</v>
      </c>
      <c r="G290" s="100" t="e">
        <f t="shared" ca="1" si="42"/>
        <v>#NAME?</v>
      </c>
      <c r="H290" s="100" t="e">
        <f t="shared" ca="1" si="43"/>
        <v>#NAME?</v>
      </c>
      <c r="I290" s="100" t="e">
        <f t="shared" ca="1" si="44"/>
        <v>#NAME?</v>
      </c>
      <c r="J290" s="100" t="e">
        <f t="shared" ca="1" si="45"/>
        <v>#NAME?</v>
      </c>
      <c r="K290" s="100" t="e">
        <f t="shared" ca="1" si="46"/>
        <v>#NAME?</v>
      </c>
      <c r="L290" s="100" t="e">
        <f t="shared" ca="1" si="47"/>
        <v>#NAME?</v>
      </c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</row>
    <row r="291" spans="1:27">
      <c r="A291" s="100" t="e">
        <f t="shared" ca="1" si="41"/>
        <v>#NAME?</v>
      </c>
      <c r="B291" s="100" t="e">
        <f ca="1">IFERROR(__xludf.DUMMYFUNCTION("""COMPUTED_VALUE"""),290)</f>
        <v>#NAME?</v>
      </c>
      <c r="C291" s="100" t="e">
        <f ca="1">IFERROR(__xludf.DUMMYFUNCTION("""COMPUTED_VALUE"""),"USDT-AUD")</f>
        <v>#NAME?</v>
      </c>
      <c r="D291" s="100" t="e">
        <f ca="1">IFERROR(__xludf.DUMMYFUNCTION("""COMPUTED_VALUE"""),"1.5624")</f>
        <v>#NAME?</v>
      </c>
      <c r="E291" s="100" t="e">
        <f t="shared" ca="1" si="49"/>
        <v>#NAME?</v>
      </c>
      <c r="F291" s="100" t="e">
        <f t="shared" ca="1" si="49"/>
        <v>#NAME?</v>
      </c>
      <c r="G291" s="100" t="e">
        <f t="shared" ca="1" si="42"/>
        <v>#NAME?</v>
      </c>
      <c r="H291" s="100" t="e">
        <f t="shared" ca="1" si="43"/>
        <v>#NAME?</v>
      </c>
      <c r="I291" s="100" t="e">
        <f t="shared" ca="1" si="44"/>
        <v>#NAME?</v>
      </c>
      <c r="J291" s="100" t="e">
        <f t="shared" ca="1" si="45"/>
        <v>#NAME?</v>
      </c>
      <c r="K291" s="100" t="e">
        <f t="shared" ca="1" si="46"/>
        <v>#NAME?</v>
      </c>
      <c r="L291" s="100" t="e">
        <f t="shared" ca="1" si="47"/>
        <v>#NAME?</v>
      </c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</row>
    <row r="292" spans="1:27">
      <c r="A292" s="100" t="e">
        <f t="shared" ca="1" si="41"/>
        <v>#NAME?</v>
      </c>
      <c r="B292" s="100" t="e">
        <f ca="1">IFERROR(__xludf.DUMMYFUNCTION("""COMPUTED_VALUE"""),291)</f>
        <v>#NAME?</v>
      </c>
      <c r="C292" s="100" t="e">
        <f ca="1">IFERROR(__xludf.DUMMYFUNCTION("""COMPUTED_VALUE"""),"ONDO-USD")</f>
        <v>#NAME?</v>
      </c>
      <c r="D292" s="100" t="e">
        <f ca="1">IFERROR(__xludf.DUMMYFUNCTION("""COMPUTED_VALUE"""),"0.8573")</f>
        <v>#NAME?</v>
      </c>
      <c r="E292" s="100" t="e">
        <f t="shared" ca="1" si="49"/>
        <v>#NAME?</v>
      </c>
      <c r="F292" s="100" t="e">
        <f t="shared" ca="1" si="49"/>
        <v>#NAME?</v>
      </c>
      <c r="G292" s="100" t="e">
        <f t="shared" ca="1" si="42"/>
        <v>#NAME?</v>
      </c>
      <c r="H292" s="100" t="e">
        <f t="shared" ca="1" si="43"/>
        <v>#NAME?</v>
      </c>
      <c r="I292" s="100" t="e">
        <f t="shared" ca="1" si="44"/>
        <v>#NAME?</v>
      </c>
      <c r="J292" s="100" t="e">
        <f t="shared" ca="1" si="45"/>
        <v>#NAME?</v>
      </c>
      <c r="K292" s="100" t="e">
        <f t="shared" ca="1" si="46"/>
        <v>#NAME?</v>
      </c>
      <c r="L292" s="100" t="e">
        <f t="shared" ca="1" si="47"/>
        <v>#NAME?</v>
      </c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</row>
    <row r="293" spans="1:27">
      <c r="A293" s="100" t="e">
        <f t="shared" ca="1" si="41"/>
        <v>#NAME?</v>
      </c>
      <c r="B293" s="100" t="e">
        <f ca="1">IFERROR(__xludf.DUMMYFUNCTION("""COMPUTED_VALUE"""),292)</f>
        <v>#NAME?</v>
      </c>
      <c r="C293" s="100" t="e">
        <f ca="1">IFERROR(__xludf.DUMMYFUNCTION("""COMPUTED_VALUE"""),"ETH-BRL")</f>
        <v>#NAME?</v>
      </c>
      <c r="D293" s="100" t="e">
        <f ca="1">IFERROR(__xludf.DUMMYFUNCTION("""COMPUTED_VALUE"""),"9480.3")</f>
        <v>#NAME?</v>
      </c>
      <c r="E293" s="100" t="e">
        <f t="shared" ca="1" si="49"/>
        <v>#NAME?</v>
      </c>
      <c r="F293" s="100" t="e">
        <f t="shared" ca="1" si="49"/>
        <v>#NAME?</v>
      </c>
      <c r="G293" s="100" t="e">
        <f t="shared" ca="1" si="42"/>
        <v>#NAME?</v>
      </c>
      <c r="H293" s="100" t="e">
        <f t="shared" ca="1" si="43"/>
        <v>#NAME?</v>
      </c>
      <c r="I293" s="100" t="e">
        <f t="shared" ca="1" si="44"/>
        <v>#NAME?</v>
      </c>
      <c r="J293" s="100" t="e">
        <f t="shared" ca="1" si="45"/>
        <v>#NAME?</v>
      </c>
      <c r="K293" s="100" t="e">
        <f t="shared" ca="1" si="46"/>
        <v>#NAME?</v>
      </c>
      <c r="L293" s="100" t="e">
        <f t="shared" ca="1" si="47"/>
        <v>#NAME?</v>
      </c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</row>
    <row r="294" spans="1:27">
      <c r="A294" s="100" t="e">
        <f t="shared" ca="1" si="41"/>
        <v>#NAME?</v>
      </c>
      <c r="B294" s="100" t="e">
        <f ca="1">IFERROR(__xludf.DUMMYFUNCTION("""COMPUTED_VALUE"""),293)</f>
        <v>#NAME?</v>
      </c>
      <c r="C294" s="100" t="e">
        <f ca="1">IFERROR(__xludf.DUMMYFUNCTION("""COMPUTED_VALUE"""),"AVAX-EUR")</f>
        <v>#NAME?</v>
      </c>
      <c r="D294" s="100" t="e">
        <f ca="1">IFERROR(__xludf.DUMMYFUNCTION("""COMPUTED_VALUE"""),"17.5")</f>
        <v>#NAME?</v>
      </c>
      <c r="E294" s="100" t="e">
        <f t="shared" ca="1" si="49"/>
        <v>#NAME?</v>
      </c>
      <c r="F294" s="100" t="e">
        <f t="shared" ca="1" si="49"/>
        <v>#NAME?</v>
      </c>
      <c r="G294" s="100" t="e">
        <f t="shared" ca="1" si="42"/>
        <v>#NAME?</v>
      </c>
      <c r="H294" s="100" t="e">
        <f t="shared" ca="1" si="43"/>
        <v>#NAME?</v>
      </c>
      <c r="I294" s="100" t="e">
        <f t="shared" ca="1" si="44"/>
        <v>#NAME?</v>
      </c>
      <c r="J294" s="100" t="e">
        <f t="shared" ca="1" si="45"/>
        <v>#NAME?</v>
      </c>
      <c r="K294" s="100" t="e">
        <f t="shared" ca="1" si="46"/>
        <v>#NAME?</v>
      </c>
      <c r="L294" s="100" t="e">
        <f t="shared" ca="1" si="47"/>
        <v>#NAME?</v>
      </c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</row>
    <row r="295" spans="1:27">
      <c r="A295" s="100" t="e">
        <f t="shared" ca="1" si="41"/>
        <v>#NAME?</v>
      </c>
      <c r="B295" s="100" t="e">
        <f ca="1">IFERROR(__xludf.DUMMYFUNCTION("""COMPUTED_VALUE"""),294)</f>
        <v>#NAME?</v>
      </c>
      <c r="C295" s="100" t="e">
        <f ca="1">IFERROR(__xludf.DUMMYFUNCTION("""COMPUTED_VALUE"""),"ALPHA-USD")</f>
        <v>#NAME?</v>
      </c>
      <c r="D295" s="100" t="e">
        <f ca="1">IFERROR(__xludf.DUMMYFUNCTION("""COMPUTED_VALUE"""),"0.03047")</f>
        <v>#NAME?</v>
      </c>
      <c r="E295" s="100" t="e">
        <f t="shared" ca="1" si="49"/>
        <v>#NAME?</v>
      </c>
      <c r="F295" s="100" t="e">
        <f t="shared" ca="1" si="49"/>
        <v>#NAME?</v>
      </c>
      <c r="G295" s="100" t="e">
        <f t="shared" ca="1" si="42"/>
        <v>#NAME?</v>
      </c>
      <c r="H295" s="100" t="e">
        <f t="shared" ca="1" si="43"/>
        <v>#NAME?</v>
      </c>
      <c r="I295" s="100" t="e">
        <f t="shared" ca="1" si="44"/>
        <v>#NAME?</v>
      </c>
      <c r="J295" s="100" t="e">
        <f t="shared" ca="1" si="45"/>
        <v>#NAME?</v>
      </c>
      <c r="K295" s="100" t="e">
        <f t="shared" ca="1" si="46"/>
        <v>#NAME?</v>
      </c>
      <c r="L295" s="100" t="e">
        <f t="shared" ca="1" si="47"/>
        <v>#NAME?</v>
      </c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</row>
    <row r="296" spans="1:27">
      <c r="A296" s="100" t="e">
        <f t="shared" ca="1" si="41"/>
        <v>#NAME?</v>
      </c>
      <c r="B296" s="100" t="e">
        <f ca="1">IFERROR(__xludf.DUMMYFUNCTION("""COMPUTED_VALUE"""),295)</f>
        <v>#NAME?</v>
      </c>
      <c r="C296" s="100" t="e">
        <f ca="1">IFERROR(__xludf.DUMMYFUNCTION("""COMPUTED_VALUE"""),"NOT-USD")</f>
        <v>#NAME?</v>
      </c>
      <c r="D296" s="100" t="e">
        <f ca="1">IFERROR(__xludf.DUMMYFUNCTION("""COMPUTED_VALUE"""),"0.001922")</f>
        <v>#NAME?</v>
      </c>
      <c r="E296" s="100" t="e">
        <f t="shared" ca="1" si="49"/>
        <v>#NAME?</v>
      </c>
      <c r="F296" s="100" t="e">
        <f t="shared" ca="1" si="49"/>
        <v>#NAME?</v>
      </c>
      <c r="G296" s="100" t="e">
        <f t="shared" ca="1" si="42"/>
        <v>#NAME?</v>
      </c>
      <c r="H296" s="100" t="e">
        <f t="shared" ca="1" si="43"/>
        <v>#NAME?</v>
      </c>
      <c r="I296" s="100" t="e">
        <f t="shared" ca="1" si="44"/>
        <v>#NAME?</v>
      </c>
      <c r="J296" s="100" t="e">
        <f t="shared" ca="1" si="45"/>
        <v>#NAME?</v>
      </c>
      <c r="K296" s="100" t="e">
        <f t="shared" ca="1" si="46"/>
        <v>#NAME?</v>
      </c>
      <c r="L296" s="100" t="e">
        <f t="shared" ca="1" si="47"/>
        <v>#NAME?</v>
      </c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</row>
    <row r="297" spans="1:27">
      <c r="A297" s="100" t="e">
        <f t="shared" ca="1" si="41"/>
        <v>#NAME?</v>
      </c>
      <c r="B297" s="100" t="e">
        <f ca="1">IFERROR(__xludf.DUMMYFUNCTION("""COMPUTED_VALUE"""),296)</f>
        <v>#NAME?</v>
      </c>
      <c r="C297" s="100" t="e">
        <f ca="1">IFERROR(__xludf.DUMMYFUNCTION("""COMPUTED_VALUE"""),"SNX-USDT")</f>
        <v>#NAME?</v>
      </c>
      <c r="D297" s="100" t="e">
        <f ca="1">IFERROR(__xludf.DUMMYFUNCTION("""COMPUTED_VALUE"""),"0.6679")</f>
        <v>#NAME?</v>
      </c>
      <c r="E297" s="100" t="e">
        <f t="shared" ca="1" si="49"/>
        <v>#NAME?</v>
      </c>
      <c r="F297" s="100" t="e">
        <f t="shared" ca="1" si="49"/>
        <v>#NAME?</v>
      </c>
      <c r="G297" s="100" t="e">
        <f t="shared" ca="1" si="42"/>
        <v>#NAME?</v>
      </c>
      <c r="H297" s="100" t="e">
        <f t="shared" ca="1" si="43"/>
        <v>#NAME?</v>
      </c>
      <c r="I297" s="100" t="e">
        <f t="shared" ca="1" si="44"/>
        <v>#NAME?</v>
      </c>
      <c r="J297" s="100" t="e">
        <f t="shared" ca="1" si="45"/>
        <v>#NAME?</v>
      </c>
      <c r="K297" s="100" t="e">
        <f t="shared" ca="1" si="46"/>
        <v>#NAME?</v>
      </c>
      <c r="L297" s="100" t="e">
        <f t="shared" ca="1" si="47"/>
        <v>#NAME?</v>
      </c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</row>
    <row r="298" spans="1:27">
      <c r="A298" s="100" t="e">
        <f t="shared" ca="1" si="41"/>
        <v>#NAME?</v>
      </c>
      <c r="B298" s="100" t="e">
        <f ca="1">IFERROR(__xludf.DUMMYFUNCTION("""COMPUTED_VALUE"""),297)</f>
        <v>#NAME?</v>
      </c>
      <c r="C298" s="100" t="e">
        <f ca="1">IFERROR(__xludf.DUMMYFUNCTION("""COMPUTED_VALUE"""),"INJ-USDT")</f>
        <v>#NAME?</v>
      </c>
      <c r="D298" s="100" t="e">
        <f ca="1">IFERROR(__xludf.DUMMYFUNCTION("""COMPUTED_VALUE"""),"8.491")</f>
        <v>#NAME?</v>
      </c>
      <c r="E298" s="100" t="e">
        <f t="shared" ca="1" si="49"/>
        <v>#NAME?</v>
      </c>
      <c r="F298" s="100" t="e">
        <f t="shared" ca="1" si="49"/>
        <v>#NAME?</v>
      </c>
      <c r="G298" s="100" t="e">
        <f t="shared" ca="1" si="42"/>
        <v>#NAME?</v>
      </c>
      <c r="H298" s="100" t="e">
        <f t="shared" ca="1" si="43"/>
        <v>#NAME?</v>
      </c>
      <c r="I298" s="100" t="e">
        <f t="shared" ca="1" si="44"/>
        <v>#NAME?</v>
      </c>
      <c r="J298" s="100" t="e">
        <f t="shared" ca="1" si="45"/>
        <v>#NAME?</v>
      </c>
      <c r="K298" s="100" t="e">
        <f t="shared" ca="1" si="46"/>
        <v>#NAME?</v>
      </c>
      <c r="L298" s="100" t="e">
        <f t="shared" ca="1" si="47"/>
        <v>#NAME?</v>
      </c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</row>
    <row r="299" spans="1:27">
      <c r="A299" s="100" t="e">
        <f t="shared" ca="1" si="41"/>
        <v>#NAME?</v>
      </c>
      <c r="B299" s="100" t="e">
        <f ca="1">IFERROR(__xludf.DUMMYFUNCTION("""COMPUTED_VALUE"""),298)</f>
        <v>#NAME?</v>
      </c>
      <c r="C299" s="100" t="e">
        <f ca="1">IFERROR(__xludf.DUMMYFUNCTION("""COMPUTED_VALUE"""),"ATOM-USDT")</f>
        <v>#NAME?</v>
      </c>
      <c r="D299" s="100" t="e">
        <f ca="1">IFERROR(__xludf.DUMMYFUNCTION("""COMPUTED_VALUE"""),"4.082")</f>
        <v>#NAME?</v>
      </c>
      <c r="E299" s="100" t="e">
        <f t="shared" ca="1" si="49"/>
        <v>#NAME?</v>
      </c>
      <c r="F299" s="100" t="e">
        <f t="shared" ca="1" si="49"/>
        <v>#NAME?</v>
      </c>
      <c r="G299" s="100" t="e">
        <f t="shared" ca="1" si="42"/>
        <v>#NAME?</v>
      </c>
      <c r="H299" s="100" t="e">
        <f t="shared" ca="1" si="43"/>
        <v>#NAME?</v>
      </c>
      <c r="I299" s="100" t="e">
        <f t="shared" ca="1" si="44"/>
        <v>#NAME?</v>
      </c>
      <c r="J299" s="100" t="e">
        <f t="shared" ca="1" si="45"/>
        <v>#NAME?</v>
      </c>
      <c r="K299" s="100" t="e">
        <f t="shared" ca="1" si="46"/>
        <v>#NAME?</v>
      </c>
      <c r="L299" s="100" t="e">
        <f t="shared" ca="1" si="47"/>
        <v>#NAME?</v>
      </c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</row>
    <row r="300" spans="1:27">
      <c r="A300" s="100" t="e">
        <f t="shared" ca="1" si="41"/>
        <v>#NAME?</v>
      </c>
      <c r="B300" s="100" t="e">
        <f ca="1">IFERROR(__xludf.DUMMYFUNCTION("""COMPUTED_VALUE"""),299)</f>
        <v>#NAME?</v>
      </c>
      <c r="C300" s="100" t="e">
        <f ca="1">IFERROR(__xludf.DUMMYFUNCTION("""COMPUTED_VALUE"""),"MANA-USDT")</f>
        <v>#NAME?</v>
      </c>
      <c r="D300" s="100" t="e">
        <f ca="1">IFERROR(__xludf.DUMMYFUNCTION("""COMPUTED_VALUE"""),"0.2998")</f>
        <v>#NAME?</v>
      </c>
      <c r="E300" s="100" t="e">
        <f t="shared" ca="1" si="49"/>
        <v>#NAME?</v>
      </c>
      <c r="F300" s="100" t="e">
        <f t="shared" ca="1" si="49"/>
        <v>#NAME?</v>
      </c>
      <c r="G300" s="100" t="e">
        <f t="shared" ca="1" si="42"/>
        <v>#NAME?</v>
      </c>
      <c r="H300" s="100" t="e">
        <f t="shared" ca="1" si="43"/>
        <v>#NAME?</v>
      </c>
      <c r="I300" s="100" t="e">
        <f t="shared" ca="1" si="44"/>
        <v>#NAME?</v>
      </c>
      <c r="J300" s="100" t="e">
        <f t="shared" ca="1" si="45"/>
        <v>#NAME?</v>
      </c>
      <c r="K300" s="100" t="e">
        <f t="shared" ca="1" si="46"/>
        <v>#NAME?</v>
      </c>
      <c r="L300" s="100" t="e">
        <f t="shared" ca="1" si="47"/>
        <v>#NAME?</v>
      </c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</row>
    <row r="301" spans="1:27">
      <c r="A301" s="100" t="e">
        <f t="shared" ca="1" si="41"/>
        <v>#NAME?</v>
      </c>
      <c r="B301" s="100" t="e">
        <f ca="1">IFERROR(__xludf.DUMMYFUNCTION("""COMPUTED_VALUE"""),300)</f>
        <v>#NAME?</v>
      </c>
      <c r="C301" s="100" t="e">
        <f ca="1">IFERROR(__xludf.DUMMYFUNCTION("""COMPUTED_VALUE"""),"EOS-USD")</f>
        <v>#NAME?</v>
      </c>
      <c r="D301" s="100" t="e">
        <f ca="1">IFERROR(__xludf.DUMMYFUNCTION("""COMPUTED_VALUE"""),"0.6345")</f>
        <v>#NAME?</v>
      </c>
      <c r="E301" s="100" t="e">
        <f t="shared" ca="1" si="49"/>
        <v>#NAME?</v>
      </c>
      <c r="F301" s="100" t="e">
        <f t="shared" ca="1" si="49"/>
        <v>#NAME?</v>
      </c>
      <c r="G301" s="100" t="e">
        <f t="shared" ca="1" si="42"/>
        <v>#NAME?</v>
      </c>
      <c r="H301" s="100" t="e">
        <f t="shared" ca="1" si="43"/>
        <v>#NAME?</v>
      </c>
      <c r="I301" s="100" t="e">
        <f t="shared" ca="1" si="44"/>
        <v>#NAME?</v>
      </c>
      <c r="J301" s="100" t="e">
        <f t="shared" ca="1" si="45"/>
        <v>#NAME?</v>
      </c>
      <c r="K301" s="100" t="e">
        <f t="shared" ca="1" si="46"/>
        <v>#NAME?</v>
      </c>
      <c r="L301" s="100" t="e">
        <f t="shared" ca="1" si="47"/>
        <v>#NAME?</v>
      </c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</row>
    <row r="302" spans="1:27">
      <c r="A302" s="100" t="e">
        <f t="shared" ca="1" si="41"/>
        <v>#NAME?</v>
      </c>
      <c r="B302" s="100" t="e">
        <f ca="1">IFERROR(__xludf.DUMMYFUNCTION("""COMPUTED_VALUE"""),301)</f>
        <v>#NAME?</v>
      </c>
      <c r="C302" s="100" t="e">
        <f ca="1">IFERROR(__xludf.DUMMYFUNCTION("""COMPUTED_VALUE"""),"KDA-USD")</f>
        <v>#NAME?</v>
      </c>
      <c r="D302" s="100" t="e">
        <f ca="1">IFERROR(__xludf.DUMMYFUNCTION("""COMPUTED_VALUE"""),"0.46")</f>
        <v>#NAME?</v>
      </c>
      <c r="E302" s="100" t="e">
        <f t="shared" ref="E302:F321" ca="1" si="50">IFERROR(__xludf.DUMMYFUNCTION("""COMPUTED_VALUE"""),"-")</f>
        <v>#NAME?</v>
      </c>
      <c r="F302" s="100" t="e">
        <f t="shared" ca="1" si="50"/>
        <v>#NAME?</v>
      </c>
      <c r="G302" s="100" t="e">
        <f t="shared" ca="1" si="42"/>
        <v>#NAME?</v>
      </c>
      <c r="H302" s="100" t="e">
        <f t="shared" ca="1" si="43"/>
        <v>#NAME?</v>
      </c>
      <c r="I302" s="100" t="e">
        <f t="shared" ca="1" si="44"/>
        <v>#NAME?</v>
      </c>
      <c r="J302" s="100" t="e">
        <f t="shared" ca="1" si="45"/>
        <v>#NAME?</v>
      </c>
      <c r="K302" s="100" t="e">
        <f t="shared" ca="1" si="46"/>
        <v>#NAME?</v>
      </c>
      <c r="L302" s="100" t="e">
        <f t="shared" ca="1" si="47"/>
        <v>#NAME?</v>
      </c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</row>
    <row r="303" spans="1:27">
      <c r="A303" s="100" t="e">
        <f t="shared" ca="1" si="41"/>
        <v>#NAME?</v>
      </c>
      <c r="B303" s="100" t="e">
        <f ca="1">IFERROR(__xludf.DUMMYFUNCTION("""COMPUTED_VALUE"""),302)</f>
        <v>#NAME?</v>
      </c>
      <c r="C303" s="100" t="e">
        <f ca="1">IFERROR(__xludf.DUMMYFUNCTION("""COMPUTED_VALUE"""),"VENOM-USDT")</f>
        <v>#NAME?</v>
      </c>
      <c r="D303" s="100" t="e">
        <f ca="1">IFERROR(__xludf.DUMMYFUNCTION("""COMPUTED_VALUE"""),"0.13982")</f>
        <v>#NAME?</v>
      </c>
      <c r="E303" s="100" t="e">
        <f t="shared" ca="1" si="50"/>
        <v>#NAME?</v>
      </c>
      <c r="F303" s="100" t="e">
        <f t="shared" ca="1" si="50"/>
        <v>#NAME?</v>
      </c>
      <c r="G303" s="100" t="e">
        <f t="shared" ca="1" si="42"/>
        <v>#NAME?</v>
      </c>
      <c r="H303" s="100" t="e">
        <f t="shared" ca="1" si="43"/>
        <v>#NAME?</v>
      </c>
      <c r="I303" s="100" t="e">
        <f t="shared" ca="1" si="44"/>
        <v>#NAME?</v>
      </c>
      <c r="J303" s="100" t="e">
        <f t="shared" ca="1" si="45"/>
        <v>#NAME?</v>
      </c>
      <c r="K303" s="100" t="e">
        <f t="shared" ca="1" si="46"/>
        <v>#NAME?</v>
      </c>
      <c r="L303" s="100" t="e">
        <f t="shared" ca="1" si="47"/>
        <v>#NAME?</v>
      </c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</row>
    <row r="304" spans="1:27">
      <c r="A304" s="100" t="e">
        <f t="shared" ca="1" si="41"/>
        <v>#NAME?</v>
      </c>
      <c r="B304" s="100" t="e">
        <f ca="1">IFERROR(__xludf.DUMMYFUNCTION("""COMPUTED_VALUE"""),303)</f>
        <v>#NAME?</v>
      </c>
      <c r="C304" s="100" t="e">
        <f ca="1">IFERROR(__xludf.DUMMYFUNCTION("""COMPUTED_VALUE"""),"FLOW-EUR")</f>
        <v>#NAME?</v>
      </c>
      <c r="D304" s="100" t="e">
        <f ca="1">IFERROR(__xludf.DUMMYFUNCTION("""COMPUTED_VALUE"""),"0.3279")</f>
        <v>#NAME?</v>
      </c>
      <c r="E304" s="100" t="e">
        <f t="shared" ca="1" si="50"/>
        <v>#NAME?</v>
      </c>
      <c r="F304" s="100" t="e">
        <f t="shared" ca="1" si="50"/>
        <v>#NAME?</v>
      </c>
      <c r="G304" s="100" t="e">
        <f t="shared" ca="1" si="42"/>
        <v>#NAME?</v>
      </c>
      <c r="H304" s="100" t="e">
        <f t="shared" ca="1" si="43"/>
        <v>#NAME?</v>
      </c>
      <c r="I304" s="100" t="e">
        <f t="shared" ca="1" si="44"/>
        <v>#NAME?</v>
      </c>
      <c r="J304" s="100" t="e">
        <f t="shared" ca="1" si="45"/>
        <v>#NAME?</v>
      </c>
      <c r="K304" s="100" t="e">
        <f t="shared" ca="1" si="46"/>
        <v>#NAME?</v>
      </c>
      <c r="L304" s="100" t="e">
        <f t="shared" ca="1" si="47"/>
        <v>#NAME?</v>
      </c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</row>
    <row r="305" spans="1:27">
      <c r="A305" s="100" t="e">
        <f t="shared" ca="1" si="41"/>
        <v>#NAME?</v>
      </c>
      <c r="B305" s="100" t="e">
        <f ca="1">IFERROR(__xludf.DUMMYFUNCTION("""COMPUTED_VALUE"""),304)</f>
        <v>#NAME?</v>
      </c>
      <c r="C305" s="100" t="e">
        <f ca="1">IFERROR(__xludf.DUMMYFUNCTION("""COMPUTED_VALUE"""),"LRC-USD")</f>
        <v>#NAME?</v>
      </c>
      <c r="D305" s="100" t="e">
        <f ca="1">IFERROR(__xludf.DUMMYFUNCTION("""COMPUTED_VALUE"""),"0.0952")</f>
        <v>#NAME?</v>
      </c>
      <c r="E305" s="100" t="e">
        <f t="shared" ca="1" si="50"/>
        <v>#NAME?</v>
      </c>
      <c r="F305" s="100" t="e">
        <f t="shared" ca="1" si="50"/>
        <v>#NAME?</v>
      </c>
      <c r="G305" s="100" t="e">
        <f t="shared" ca="1" si="42"/>
        <v>#NAME?</v>
      </c>
      <c r="H305" s="100" t="e">
        <f t="shared" ca="1" si="43"/>
        <v>#NAME?</v>
      </c>
      <c r="I305" s="100" t="e">
        <f t="shared" ca="1" si="44"/>
        <v>#NAME?</v>
      </c>
      <c r="J305" s="100" t="e">
        <f t="shared" ca="1" si="45"/>
        <v>#NAME?</v>
      </c>
      <c r="K305" s="100" t="e">
        <f t="shared" ca="1" si="46"/>
        <v>#NAME?</v>
      </c>
      <c r="L305" s="100" t="e">
        <f t="shared" ca="1" si="47"/>
        <v>#NAME?</v>
      </c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</row>
    <row r="306" spans="1:27">
      <c r="A306" s="100" t="e">
        <f t="shared" ca="1" si="41"/>
        <v>#NAME?</v>
      </c>
      <c r="B306" s="100" t="e">
        <f ca="1">IFERROR(__xludf.DUMMYFUNCTION("""COMPUTED_VALUE"""),305)</f>
        <v>#NAME?</v>
      </c>
      <c r="C306" s="100" t="e">
        <f ca="1">IFERROR(__xludf.DUMMYFUNCTION("""COMPUTED_VALUE"""),"KAITO-USD")</f>
        <v>#NAME?</v>
      </c>
      <c r="D306" s="100" t="e">
        <f ca="1">IFERROR(__xludf.DUMMYFUNCTION("""COMPUTED_VALUE"""),"0.7675")</f>
        <v>#NAME?</v>
      </c>
      <c r="E306" s="100" t="e">
        <f t="shared" ca="1" si="50"/>
        <v>#NAME?</v>
      </c>
      <c r="F306" s="100" t="e">
        <f t="shared" ca="1" si="50"/>
        <v>#NAME?</v>
      </c>
      <c r="G306" s="100" t="e">
        <f t="shared" ca="1" si="42"/>
        <v>#NAME?</v>
      </c>
      <c r="H306" s="100" t="e">
        <f t="shared" ca="1" si="43"/>
        <v>#NAME?</v>
      </c>
      <c r="I306" s="100" t="e">
        <f t="shared" ca="1" si="44"/>
        <v>#NAME?</v>
      </c>
      <c r="J306" s="100" t="e">
        <f t="shared" ca="1" si="45"/>
        <v>#NAME?</v>
      </c>
      <c r="K306" s="100" t="e">
        <f t="shared" ca="1" si="46"/>
        <v>#NAME?</v>
      </c>
      <c r="L306" s="100" t="e">
        <f t="shared" ca="1" si="47"/>
        <v>#NAME?</v>
      </c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</row>
    <row r="307" spans="1:27">
      <c r="A307" s="100" t="e">
        <f t="shared" ca="1" si="41"/>
        <v>#NAME?</v>
      </c>
      <c r="B307" s="100" t="e">
        <f ca="1">IFERROR(__xludf.DUMMYFUNCTION("""COMPUTED_VALUE"""),306)</f>
        <v>#NAME?</v>
      </c>
      <c r="C307" s="100" t="e">
        <f ca="1">IFERROR(__xludf.DUMMYFUNCTION("""COMPUTED_VALUE"""),"UXLINK-USDT")</f>
        <v>#NAME?</v>
      </c>
      <c r="D307" s="100" t="e">
        <f ca="1">IFERROR(__xludf.DUMMYFUNCTION("""COMPUTED_VALUE"""),"0.4325")</f>
        <v>#NAME?</v>
      </c>
      <c r="E307" s="100" t="e">
        <f t="shared" ca="1" si="50"/>
        <v>#NAME?</v>
      </c>
      <c r="F307" s="100" t="e">
        <f t="shared" ca="1" si="50"/>
        <v>#NAME?</v>
      </c>
      <c r="G307" s="100" t="e">
        <f t="shared" ca="1" si="42"/>
        <v>#NAME?</v>
      </c>
      <c r="H307" s="100" t="e">
        <f t="shared" ca="1" si="43"/>
        <v>#NAME?</v>
      </c>
      <c r="I307" s="100" t="e">
        <f t="shared" ca="1" si="44"/>
        <v>#NAME?</v>
      </c>
      <c r="J307" s="100" t="e">
        <f t="shared" ca="1" si="45"/>
        <v>#NAME?</v>
      </c>
      <c r="K307" s="100" t="e">
        <f t="shared" ca="1" si="46"/>
        <v>#NAME?</v>
      </c>
      <c r="L307" s="100" t="e">
        <f t="shared" ca="1" si="47"/>
        <v>#NAME?</v>
      </c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</row>
    <row r="308" spans="1:27">
      <c r="A308" s="100" t="e">
        <f t="shared" ca="1" si="41"/>
        <v>#NAME?</v>
      </c>
      <c r="B308" s="100" t="e">
        <f ca="1">IFERROR(__xludf.DUMMYFUNCTION("""COMPUTED_VALUE"""),307)</f>
        <v>#NAME?</v>
      </c>
      <c r="C308" s="100" t="e">
        <f ca="1">IFERROR(__xludf.DUMMYFUNCTION("""COMPUTED_VALUE"""),"USDT-AED")</f>
        <v>#NAME?</v>
      </c>
      <c r="D308" s="100" t="e">
        <f ca="1">IFERROR(__xludf.DUMMYFUNCTION("""COMPUTED_VALUE"""),"3.676")</f>
        <v>#NAME?</v>
      </c>
      <c r="E308" s="100" t="e">
        <f t="shared" ca="1" si="50"/>
        <v>#NAME?</v>
      </c>
      <c r="F308" s="100" t="e">
        <f t="shared" ca="1" si="50"/>
        <v>#NAME?</v>
      </c>
      <c r="G308" s="100" t="e">
        <f t="shared" ca="1" si="42"/>
        <v>#NAME?</v>
      </c>
      <c r="H308" s="100" t="e">
        <f t="shared" ca="1" si="43"/>
        <v>#NAME?</v>
      </c>
      <c r="I308" s="100" t="e">
        <f t="shared" ca="1" si="44"/>
        <v>#NAME?</v>
      </c>
      <c r="J308" s="100" t="e">
        <f t="shared" ca="1" si="45"/>
        <v>#NAME?</v>
      </c>
      <c r="K308" s="100" t="e">
        <f t="shared" ca="1" si="46"/>
        <v>#NAME?</v>
      </c>
      <c r="L308" s="100" t="e">
        <f t="shared" ca="1" si="47"/>
        <v>#NAME?</v>
      </c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</row>
    <row r="309" spans="1:27">
      <c r="A309" s="100" t="e">
        <f t="shared" ca="1" si="41"/>
        <v>#NAME?</v>
      </c>
      <c r="B309" s="100" t="e">
        <f ca="1">IFERROR(__xludf.DUMMYFUNCTION("""COMPUTED_VALUE"""),308)</f>
        <v>#NAME?</v>
      </c>
      <c r="C309" s="100" t="e">
        <f ca="1">IFERROR(__xludf.DUMMYFUNCTION("""COMPUTED_VALUE"""),"ORDI-USDT")</f>
        <v>#NAME?</v>
      </c>
      <c r="D309" s="100" t="e">
        <f ca="1">IFERROR(__xludf.DUMMYFUNCTION("""COMPUTED_VALUE"""),"6.64")</f>
        <v>#NAME?</v>
      </c>
      <c r="E309" s="100" t="e">
        <f t="shared" ca="1" si="50"/>
        <v>#NAME?</v>
      </c>
      <c r="F309" s="100" t="e">
        <f t="shared" ca="1" si="50"/>
        <v>#NAME?</v>
      </c>
      <c r="G309" s="100" t="e">
        <f t="shared" ca="1" si="42"/>
        <v>#NAME?</v>
      </c>
      <c r="H309" s="100" t="e">
        <f t="shared" ca="1" si="43"/>
        <v>#NAME?</v>
      </c>
      <c r="I309" s="100" t="e">
        <f t="shared" ca="1" si="44"/>
        <v>#NAME?</v>
      </c>
      <c r="J309" s="100" t="e">
        <f t="shared" ca="1" si="45"/>
        <v>#NAME?</v>
      </c>
      <c r="K309" s="100" t="e">
        <f t="shared" ca="1" si="46"/>
        <v>#NAME?</v>
      </c>
      <c r="L309" s="100" t="e">
        <f t="shared" ca="1" si="47"/>
        <v>#NAME?</v>
      </c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</row>
    <row r="310" spans="1:27">
      <c r="A310" s="100" t="e">
        <f t="shared" ca="1" si="41"/>
        <v>#NAME?</v>
      </c>
      <c r="B310" s="100" t="e">
        <f ca="1">IFERROR(__xludf.DUMMYFUNCTION("""COMPUTED_VALUE"""),309)</f>
        <v>#NAME?</v>
      </c>
      <c r="C310" s="100" t="e">
        <f ca="1">IFERROR(__xludf.DUMMYFUNCTION("""COMPUTED_VALUE"""),"KSM-USDT")</f>
        <v>#NAME?</v>
      </c>
      <c r="D310" s="100" t="e">
        <f ca="1">IFERROR(__xludf.DUMMYFUNCTION("""COMPUTED_VALUE"""),"13.94")</f>
        <v>#NAME?</v>
      </c>
      <c r="E310" s="100" t="e">
        <f t="shared" ca="1" si="50"/>
        <v>#NAME?</v>
      </c>
      <c r="F310" s="100" t="e">
        <f t="shared" ca="1" si="50"/>
        <v>#NAME?</v>
      </c>
      <c r="G310" s="100" t="e">
        <f t="shared" ca="1" si="42"/>
        <v>#NAME?</v>
      </c>
      <c r="H310" s="100" t="e">
        <f t="shared" ca="1" si="43"/>
        <v>#NAME?</v>
      </c>
      <c r="I310" s="100" t="e">
        <f t="shared" ca="1" si="44"/>
        <v>#NAME?</v>
      </c>
      <c r="J310" s="100" t="e">
        <f t="shared" ca="1" si="45"/>
        <v>#NAME?</v>
      </c>
      <c r="K310" s="100" t="e">
        <f t="shared" ca="1" si="46"/>
        <v>#NAME?</v>
      </c>
      <c r="L310" s="100" t="e">
        <f t="shared" ca="1" si="47"/>
        <v>#NAME?</v>
      </c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</row>
    <row r="311" spans="1:27">
      <c r="A311" s="100" t="e">
        <f t="shared" ca="1" si="41"/>
        <v>#NAME?</v>
      </c>
      <c r="B311" s="100" t="e">
        <f ca="1">IFERROR(__xludf.DUMMYFUNCTION("""COMPUTED_VALUE"""),310)</f>
        <v>#NAME?</v>
      </c>
      <c r="C311" s="100" t="e">
        <f ca="1">IFERROR(__xludf.DUMMYFUNCTION("""COMPUTED_VALUE"""),"SUI-EUR")</f>
        <v>#NAME?</v>
      </c>
      <c r="D311" s="100" t="e">
        <f ca="1">IFERROR(__xludf.DUMMYFUNCTION("""COMPUTED_VALUE"""),"2.0131")</f>
        <v>#NAME?</v>
      </c>
      <c r="E311" s="100" t="e">
        <f t="shared" ca="1" si="50"/>
        <v>#NAME?</v>
      </c>
      <c r="F311" s="100" t="e">
        <f t="shared" ca="1" si="50"/>
        <v>#NAME?</v>
      </c>
      <c r="G311" s="100" t="e">
        <f t="shared" ca="1" si="42"/>
        <v>#NAME?</v>
      </c>
      <c r="H311" s="100" t="e">
        <f t="shared" ca="1" si="43"/>
        <v>#NAME?</v>
      </c>
      <c r="I311" s="100" t="e">
        <f t="shared" ca="1" si="44"/>
        <v>#NAME?</v>
      </c>
      <c r="J311" s="100" t="e">
        <f t="shared" ca="1" si="45"/>
        <v>#NAME?</v>
      </c>
      <c r="K311" s="100" t="e">
        <f t="shared" ca="1" si="46"/>
        <v>#NAME?</v>
      </c>
      <c r="L311" s="100" t="e">
        <f t="shared" ca="1" si="47"/>
        <v>#NAME?</v>
      </c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</row>
    <row r="312" spans="1:27">
      <c r="A312" s="100" t="e">
        <f t="shared" ca="1" si="41"/>
        <v>#NAME?</v>
      </c>
      <c r="B312" s="100" t="e">
        <f ca="1">IFERROR(__xludf.DUMMYFUNCTION("""COMPUTED_VALUE"""),311)</f>
        <v>#NAME?</v>
      </c>
      <c r="C312" s="100" t="e">
        <f ca="1">IFERROR(__xludf.DUMMYFUNCTION("""COMPUTED_VALUE"""),"ZK-USDC")</f>
        <v>#NAME?</v>
      </c>
      <c r="D312" s="100" t="e">
        <f ca="1">IFERROR(__xludf.DUMMYFUNCTION("""COMPUTED_VALUE"""),"0.05163")</f>
        <v>#NAME?</v>
      </c>
      <c r="E312" s="100" t="e">
        <f t="shared" ca="1" si="50"/>
        <v>#NAME?</v>
      </c>
      <c r="F312" s="100" t="e">
        <f t="shared" ca="1" si="50"/>
        <v>#NAME?</v>
      </c>
      <c r="G312" s="100" t="e">
        <f t="shared" ca="1" si="42"/>
        <v>#NAME?</v>
      </c>
      <c r="H312" s="100" t="e">
        <f t="shared" ca="1" si="43"/>
        <v>#NAME?</v>
      </c>
      <c r="I312" s="100" t="e">
        <f t="shared" ca="1" si="44"/>
        <v>#NAME?</v>
      </c>
      <c r="J312" s="100" t="e">
        <f t="shared" ca="1" si="45"/>
        <v>#NAME?</v>
      </c>
      <c r="K312" s="100" t="e">
        <f t="shared" ca="1" si="46"/>
        <v>#NAME?</v>
      </c>
      <c r="L312" s="100" t="e">
        <f t="shared" ca="1" si="47"/>
        <v>#NAME?</v>
      </c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</row>
    <row r="313" spans="1:27">
      <c r="A313" s="100" t="e">
        <f t="shared" ca="1" si="41"/>
        <v>#NAME?</v>
      </c>
      <c r="B313" s="100" t="e">
        <f ca="1">IFERROR(__xludf.DUMMYFUNCTION("""COMPUTED_VALUE"""),312)</f>
        <v>#NAME?</v>
      </c>
      <c r="C313" s="100" t="e">
        <f ca="1">IFERROR(__xludf.DUMMYFUNCTION("""COMPUTED_VALUE"""),"JOE-USDT")</f>
        <v>#NAME?</v>
      </c>
      <c r="D313" s="100" t="e">
        <f ca="1">IFERROR(__xludf.DUMMYFUNCTION("""COMPUTED_VALUE"""),"0.1769")</f>
        <v>#NAME?</v>
      </c>
      <c r="E313" s="100" t="e">
        <f t="shared" ca="1" si="50"/>
        <v>#NAME?</v>
      </c>
      <c r="F313" s="100" t="e">
        <f t="shared" ca="1" si="50"/>
        <v>#NAME?</v>
      </c>
      <c r="G313" s="100" t="e">
        <f t="shared" ca="1" si="42"/>
        <v>#NAME?</v>
      </c>
      <c r="H313" s="100" t="e">
        <f t="shared" ca="1" si="43"/>
        <v>#NAME?</v>
      </c>
      <c r="I313" s="100" t="e">
        <f t="shared" ca="1" si="44"/>
        <v>#NAME?</v>
      </c>
      <c r="J313" s="100" t="e">
        <f t="shared" ca="1" si="45"/>
        <v>#NAME?</v>
      </c>
      <c r="K313" s="100" t="e">
        <f t="shared" ca="1" si="46"/>
        <v>#NAME?</v>
      </c>
      <c r="L313" s="100" t="e">
        <f t="shared" ca="1" si="47"/>
        <v>#NAME?</v>
      </c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</row>
    <row r="314" spans="1:27">
      <c r="A314" s="100" t="e">
        <f t="shared" ca="1" si="41"/>
        <v>#NAME?</v>
      </c>
      <c r="B314" s="100" t="e">
        <f ca="1">IFERROR(__xludf.DUMMYFUNCTION("""COMPUTED_VALUE"""),313)</f>
        <v>#NAME?</v>
      </c>
      <c r="C314" s="100" t="e">
        <f ca="1">IFERROR(__xludf.DUMMYFUNCTION("""COMPUTED_VALUE"""),"COMP-EUR")</f>
        <v>#NAME?</v>
      </c>
      <c r="D314" s="100" t="e">
        <f ca="1">IFERROR(__xludf.DUMMYFUNCTION("""COMPUTED_VALUE"""),"34.76")</f>
        <v>#NAME?</v>
      </c>
      <c r="E314" s="100" t="e">
        <f t="shared" ca="1" si="50"/>
        <v>#NAME?</v>
      </c>
      <c r="F314" s="100" t="e">
        <f t="shared" ca="1" si="50"/>
        <v>#NAME?</v>
      </c>
      <c r="G314" s="100" t="e">
        <f t="shared" ca="1" si="42"/>
        <v>#NAME?</v>
      </c>
      <c r="H314" s="100" t="e">
        <f t="shared" ca="1" si="43"/>
        <v>#NAME?</v>
      </c>
      <c r="I314" s="100" t="e">
        <f t="shared" ca="1" si="44"/>
        <v>#NAME?</v>
      </c>
      <c r="J314" s="100" t="e">
        <f t="shared" ca="1" si="45"/>
        <v>#NAME?</v>
      </c>
      <c r="K314" s="100" t="e">
        <f t="shared" ca="1" si="46"/>
        <v>#NAME?</v>
      </c>
      <c r="L314" s="100" t="e">
        <f t="shared" ca="1" si="47"/>
        <v>#NAME?</v>
      </c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</row>
    <row r="315" spans="1:27">
      <c r="A315" s="100" t="e">
        <f t="shared" ca="1" si="41"/>
        <v>#NAME?</v>
      </c>
      <c r="B315" s="100" t="e">
        <f ca="1">IFERROR(__xludf.DUMMYFUNCTION("""COMPUTED_VALUE"""),314)</f>
        <v>#NAME?</v>
      </c>
      <c r="C315" s="100" t="e">
        <f ca="1">IFERROR(__xludf.DUMMYFUNCTION("""COMPUTED_VALUE"""),"CAT-USDT")</f>
        <v>#NAME?</v>
      </c>
      <c r="D315" s="100" t="e">
        <f ca="1">IFERROR(__xludf.DUMMYFUNCTION("""COMPUTED_VALUE"""),"0.000005567")</f>
        <v>#NAME?</v>
      </c>
      <c r="E315" s="100" t="e">
        <f t="shared" ca="1" si="50"/>
        <v>#NAME?</v>
      </c>
      <c r="F315" s="100" t="e">
        <f t="shared" ca="1" si="50"/>
        <v>#NAME?</v>
      </c>
      <c r="G315" s="100" t="e">
        <f t="shared" ca="1" si="42"/>
        <v>#NAME?</v>
      </c>
      <c r="H315" s="100" t="e">
        <f t="shared" ca="1" si="43"/>
        <v>#NAME?</v>
      </c>
      <c r="I315" s="100" t="e">
        <f t="shared" ca="1" si="44"/>
        <v>#NAME?</v>
      </c>
      <c r="J315" s="100" t="e">
        <f t="shared" ca="1" si="45"/>
        <v>#NAME?</v>
      </c>
      <c r="K315" s="100" t="e">
        <f t="shared" ca="1" si="46"/>
        <v>#NAME?</v>
      </c>
      <c r="L315" s="100" t="e">
        <f t="shared" ca="1" si="47"/>
        <v>#NAME?</v>
      </c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</row>
    <row r="316" spans="1:27">
      <c r="A316" s="100" t="e">
        <f t="shared" ca="1" si="41"/>
        <v>#NAME?</v>
      </c>
      <c r="B316" s="100" t="e">
        <f ca="1">IFERROR(__xludf.DUMMYFUNCTION("""COMPUTED_VALUE"""),315)</f>
        <v>#NAME?</v>
      </c>
      <c r="C316" s="100" t="e">
        <f ca="1">IFERROR(__xludf.DUMMYFUNCTION("""COMPUTED_VALUE"""),"ETH-USDT")</f>
        <v>#NAME?</v>
      </c>
      <c r="D316" s="100" t="e">
        <f ca="1">IFERROR(__xludf.DUMMYFUNCTION("""COMPUTED_VALUE"""),"1626.6")</f>
        <v>#NAME?</v>
      </c>
      <c r="E316" s="100" t="e">
        <f t="shared" ca="1" si="50"/>
        <v>#NAME?</v>
      </c>
      <c r="F316" s="100" t="e">
        <f t="shared" ca="1" si="50"/>
        <v>#NAME?</v>
      </c>
      <c r="G316" s="100" t="e">
        <f t="shared" ca="1" si="42"/>
        <v>#NAME?</v>
      </c>
      <c r="H316" s="100" t="e">
        <f t="shared" ca="1" si="43"/>
        <v>#NAME?</v>
      </c>
      <c r="I316" s="100" t="e">
        <f t="shared" ca="1" si="44"/>
        <v>#NAME?</v>
      </c>
      <c r="J316" s="100" t="e">
        <f t="shared" ca="1" si="45"/>
        <v>#NAME?</v>
      </c>
      <c r="K316" s="100" t="e">
        <f t="shared" ca="1" si="46"/>
        <v>#NAME?</v>
      </c>
      <c r="L316" s="100" t="e">
        <f t="shared" ca="1" si="47"/>
        <v>#NAME?</v>
      </c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</row>
    <row r="317" spans="1:27">
      <c r="A317" s="100" t="e">
        <f t="shared" ca="1" si="41"/>
        <v>#NAME?</v>
      </c>
      <c r="B317" s="100" t="e">
        <f ca="1">IFERROR(__xludf.DUMMYFUNCTION("""COMPUTED_VALUE"""),316)</f>
        <v>#NAME?</v>
      </c>
      <c r="C317" s="100" t="e">
        <f ca="1">IFERROR(__xludf.DUMMYFUNCTION("""COMPUTED_VALUE"""),"RADAR-USD")</f>
        <v>#NAME?</v>
      </c>
      <c r="D317" s="100" t="e">
        <f ca="1">IFERROR(__xludf.DUMMYFUNCTION("""COMPUTED_VALUE"""),"0.002577")</f>
        <v>#NAME?</v>
      </c>
      <c r="E317" s="100" t="e">
        <f t="shared" ca="1" si="50"/>
        <v>#NAME?</v>
      </c>
      <c r="F317" s="100" t="e">
        <f t="shared" ca="1" si="50"/>
        <v>#NAME?</v>
      </c>
      <c r="G317" s="100" t="e">
        <f t="shared" ca="1" si="42"/>
        <v>#NAME?</v>
      </c>
      <c r="H317" s="100" t="e">
        <f t="shared" ca="1" si="43"/>
        <v>#NAME?</v>
      </c>
      <c r="I317" s="100" t="e">
        <f t="shared" ca="1" si="44"/>
        <v>#NAME?</v>
      </c>
      <c r="J317" s="100" t="e">
        <f t="shared" ca="1" si="45"/>
        <v>#NAME?</v>
      </c>
      <c r="K317" s="100" t="e">
        <f t="shared" ca="1" si="46"/>
        <v>#NAME?</v>
      </c>
      <c r="L317" s="100" t="e">
        <f t="shared" ca="1" si="47"/>
        <v>#NAME?</v>
      </c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</row>
    <row r="318" spans="1:27">
      <c r="A318" s="100" t="e">
        <f t="shared" ca="1" si="41"/>
        <v>#NAME?</v>
      </c>
      <c r="B318" s="100" t="e">
        <f ca="1">IFERROR(__xludf.DUMMYFUNCTION("""COMPUTED_VALUE"""),317)</f>
        <v>#NAME?</v>
      </c>
      <c r="C318" s="100" t="e">
        <f ca="1">IFERROR(__xludf.DUMMYFUNCTION("""COMPUTED_VALUE"""),"STORJ-USDT")</f>
        <v>#NAME?</v>
      </c>
      <c r="D318" s="100" t="e">
        <f ca="1">IFERROR(__xludf.DUMMYFUNCTION("""COMPUTED_VALUE"""),"0.291")</f>
        <v>#NAME?</v>
      </c>
      <c r="E318" s="100" t="e">
        <f t="shared" ca="1" si="50"/>
        <v>#NAME?</v>
      </c>
      <c r="F318" s="100" t="e">
        <f t="shared" ca="1" si="50"/>
        <v>#NAME?</v>
      </c>
      <c r="G318" s="100" t="e">
        <f t="shared" ca="1" si="42"/>
        <v>#NAME?</v>
      </c>
      <c r="H318" s="100" t="e">
        <f t="shared" ca="1" si="43"/>
        <v>#NAME?</v>
      </c>
      <c r="I318" s="100" t="e">
        <f t="shared" ca="1" si="44"/>
        <v>#NAME?</v>
      </c>
      <c r="J318" s="100" t="e">
        <f t="shared" ca="1" si="45"/>
        <v>#NAME?</v>
      </c>
      <c r="K318" s="100" t="e">
        <f t="shared" ca="1" si="46"/>
        <v>#NAME?</v>
      </c>
      <c r="L318" s="100" t="e">
        <f t="shared" ca="1" si="47"/>
        <v>#NAME?</v>
      </c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</row>
    <row r="319" spans="1:27">
      <c r="A319" s="100" t="e">
        <f t="shared" ca="1" si="41"/>
        <v>#NAME?</v>
      </c>
      <c r="B319" s="100" t="e">
        <f ca="1">IFERROR(__xludf.DUMMYFUNCTION("""COMPUTED_VALUE"""),318)</f>
        <v>#NAME?</v>
      </c>
      <c r="C319" s="100" t="e">
        <f ca="1">IFERROR(__xludf.DUMMYFUNCTION("""COMPUTED_VALUE"""),"GAS-USD")</f>
        <v>#NAME?</v>
      </c>
      <c r="D319" s="100" t="e">
        <f ca="1">IFERROR(__xludf.DUMMYFUNCTION("""COMPUTED_VALUE"""),"3.252")</f>
        <v>#NAME?</v>
      </c>
      <c r="E319" s="100" t="e">
        <f t="shared" ca="1" si="50"/>
        <v>#NAME?</v>
      </c>
      <c r="F319" s="100" t="e">
        <f t="shared" ca="1" si="50"/>
        <v>#NAME?</v>
      </c>
      <c r="G319" s="100" t="e">
        <f t="shared" ca="1" si="42"/>
        <v>#NAME?</v>
      </c>
      <c r="H319" s="100" t="e">
        <f t="shared" ca="1" si="43"/>
        <v>#NAME?</v>
      </c>
      <c r="I319" s="100" t="e">
        <f t="shared" ca="1" si="44"/>
        <v>#NAME?</v>
      </c>
      <c r="J319" s="100" t="e">
        <f t="shared" ca="1" si="45"/>
        <v>#NAME?</v>
      </c>
      <c r="K319" s="100" t="e">
        <f t="shared" ca="1" si="46"/>
        <v>#NAME?</v>
      </c>
      <c r="L319" s="100" t="e">
        <f t="shared" ca="1" si="47"/>
        <v>#NAME?</v>
      </c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</row>
    <row r="320" spans="1:27">
      <c r="A320" s="100" t="e">
        <f t="shared" ca="1" si="41"/>
        <v>#NAME?</v>
      </c>
      <c r="B320" s="100" t="e">
        <f ca="1">IFERROR(__xludf.DUMMYFUNCTION("""COMPUTED_VALUE"""),319)</f>
        <v>#NAME?</v>
      </c>
      <c r="C320" s="100" t="e">
        <f ca="1">IFERROR(__xludf.DUMMYFUNCTION("""COMPUTED_VALUE"""),"ZK-USDT")</f>
        <v>#NAME?</v>
      </c>
      <c r="D320" s="100" t="e">
        <f ca="1">IFERROR(__xludf.DUMMYFUNCTION("""COMPUTED_VALUE"""),"0.05157")</f>
        <v>#NAME?</v>
      </c>
      <c r="E320" s="100" t="e">
        <f t="shared" ca="1" si="50"/>
        <v>#NAME?</v>
      </c>
      <c r="F320" s="100" t="e">
        <f t="shared" ca="1" si="50"/>
        <v>#NAME?</v>
      </c>
      <c r="G320" s="100" t="e">
        <f t="shared" ca="1" si="42"/>
        <v>#NAME?</v>
      </c>
      <c r="H320" s="100" t="e">
        <f t="shared" ca="1" si="43"/>
        <v>#NAME?</v>
      </c>
      <c r="I320" s="100" t="e">
        <f t="shared" ca="1" si="44"/>
        <v>#NAME?</v>
      </c>
      <c r="J320" s="100" t="e">
        <f t="shared" ca="1" si="45"/>
        <v>#NAME?</v>
      </c>
      <c r="K320" s="100" t="e">
        <f t="shared" ca="1" si="46"/>
        <v>#NAME?</v>
      </c>
      <c r="L320" s="100" t="e">
        <f t="shared" ca="1" si="47"/>
        <v>#NAME?</v>
      </c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</row>
    <row r="321" spans="1:27">
      <c r="A321" s="100" t="e">
        <f t="shared" ca="1" si="41"/>
        <v>#NAME?</v>
      </c>
      <c r="B321" s="100" t="e">
        <f ca="1">IFERROR(__xludf.DUMMYFUNCTION("""COMPUTED_VALUE"""),320)</f>
        <v>#NAME?</v>
      </c>
      <c r="C321" s="100" t="e">
        <f ca="1">IFERROR(__xludf.DUMMYFUNCTION("""COMPUTED_VALUE"""),"CRO-USD")</f>
        <v>#NAME?</v>
      </c>
      <c r="D321" s="100" t="e">
        <f ca="1">IFERROR(__xludf.DUMMYFUNCTION("""COMPUTED_VALUE"""),"0.08277")</f>
        <v>#NAME?</v>
      </c>
      <c r="E321" s="100" t="e">
        <f t="shared" ca="1" si="50"/>
        <v>#NAME?</v>
      </c>
      <c r="F321" s="100" t="e">
        <f t="shared" ca="1" si="50"/>
        <v>#NAME?</v>
      </c>
      <c r="G321" s="100" t="e">
        <f t="shared" ca="1" si="42"/>
        <v>#NAME?</v>
      </c>
      <c r="H321" s="100" t="e">
        <f t="shared" ca="1" si="43"/>
        <v>#NAME?</v>
      </c>
      <c r="I321" s="100" t="e">
        <f t="shared" ca="1" si="44"/>
        <v>#NAME?</v>
      </c>
      <c r="J321" s="100" t="e">
        <f t="shared" ca="1" si="45"/>
        <v>#NAME?</v>
      </c>
      <c r="K321" s="100" t="e">
        <f t="shared" ca="1" si="46"/>
        <v>#NAME?</v>
      </c>
      <c r="L321" s="100" t="e">
        <f t="shared" ca="1" si="47"/>
        <v>#NAME?</v>
      </c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</row>
    <row r="322" spans="1:27">
      <c r="A322" s="100" t="e">
        <f t="shared" ref="A322:A385" ca="1" si="51">SUBSTITUTE(C322,"-","",)</f>
        <v>#NAME?</v>
      </c>
      <c r="B322" s="100" t="e">
        <f ca="1">IFERROR(__xludf.DUMMYFUNCTION("""COMPUTED_VALUE"""),321)</f>
        <v>#NAME?</v>
      </c>
      <c r="C322" s="100" t="e">
        <f ca="1">IFERROR(__xludf.DUMMYFUNCTION("""COMPUTED_VALUE"""),"NEIRO-USD")</f>
        <v>#NAME?</v>
      </c>
      <c r="D322" s="100" t="e">
        <f ca="1">IFERROR(__xludf.DUMMYFUNCTION("""COMPUTED_VALUE"""),"0.0001971")</f>
        <v>#NAME?</v>
      </c>
      <c r="E322" s="100" t="e">
        <f t="shared" ref="E322:F341" ca="1" si="52">IFERROR(__xludf.DUMMYFUNCTION("""COMPUTED_VALUE"""),"-")</f>
        <v>#NAME?</v>
      </c>
      <c r="F322" s="100" t="e">
        <f t="shared" ca="1" si="52"/>
        <v>#NAME?</v>
      </c>
      <c r="G322" s="100" t="e">
        <f t="shared" ref="G322:G385" ca="1" si="53">IFERROR(__xludf.DUMMYFUNCTION("""COMPUTED_VALUE"""),20200)</f>
        <v>#NAME?</v>
      </c>
      <c r="H322" s="100" t="e">
        <f t="shared" ref="H322:H385" ca="1" si="54">IFERROR(__xludf.DUMMYFUNCTION("""COMPUTED_VALUE"""),2885)</f>
        <v>#NAME?</v>
      </c>
      <c r="I322" s="100" t="e">
        <f t="shared" ref="I322:I385" ca="1" si="55">IFERROR(__xludf.DUMMYFUNCTION("""COMPUTED_VALUE"""),663)</f>
        <v>#NAME?</v>
      </c>
      <c r="J322" s="100" t="e">
        <f t="shared" ref="J322:J385" ca="1" si="56">IFERROR(__xludf.DUMMYFUNCTION("""COMPUTED_VALUE"""),5817714)</f>
        <v>#NAME?</v>
      </c>
      <c r="K322" s="100" t="e">
        <f t="shared" ref="K322:K385" ca="1" si="57">IFERROR(__xludf.DUMMYFUNCTION("""COMPUTED_VALUE"""),"-")</f>
        <v>#NAME?</v>
      </c>
      <c r="L322" s="100" t="e">
        <f t="shared" ref="L322:L385" ca="1" si="58">IFERROR(__xludf.DUMMYFUNCTION("""COMPUTED_VALUE"""),"22.04.2025 12:32:49")</f>
        <v>#NAME?</v>
      </c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</row>
    <row r="323" spans="1:27">
      <c r="A323" s="100" t="e">
        <f t="shared" ca="1" si="51"/>
        <v>#NAME?</v>
      </c>
      <c r="B323" s="100" t="e">
        <f ca="1">IFERROR(__xludf.DUMMYFUNCTION("""COMPUTED_VALUE"""),322)</f>
        <v>#NAME?</v>
      </c>
      <c r="C323" s="100" t="e">
        <f ca="1">IFERROR(__xludf.DUMMYFUNCTION("""COMPUTED_VALUE"""),"MEME-USD")</f>
        <v>#NAME?</v>
      </c>
      <c r="D323" s="100" t="e">
        <f ca="1">IFERROR(__xludf.DUMMYFUNCTION("""COMPUTED_VALUE"""),"0.002051")</f>
        <v>#NAME?</v>
      </c>
      <c r="E323" s="100" t="e">
        <f t="shared" ca="1" si="52"/>
        <v>#NAME?</v>
      </c>
      <c r="F323" s="100" t="e">
        <f t="shared" ca="1" si="52"/>
        <v>#NAME?</v>
      </c>
      <c r="G323" s="100" t="e">
        <f t="shared" ca="1" si="53"/>
        <v>#NAME?</v>
      </c>
      <c r="H323" s="100" t="e">
        <f t="shared" ca="1" si="54"/>
        <v>#NAME?</v>
      </c>
      <c r="I323" s="100" t="e">
        <f t="shared" ca="1" si="55"/>
        <v>#NAME?</v>
      </c>
      <c r="J323" s="100" t="e">
        <f t="shared" ca="1" si="56"/>
        <v>#NAME?</v>
      </c>
      <c r="K323" s="100" t="e">
        <f t="shared" ca="1" si="57"/>
        <v>#NAME?</v>
      </c>
      <c r="L323" s="100" t="e">
        <f t="shared" ca="1" si="58"/>
        <v>#NAME?</v>
      </c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</row>
    <row r="324" spans="1:27">
      <c r="A324" s="100" t="e">
        <f t="shared" ca="1" si="51"/>
        <v>#NAME?</v>
      </c>
      <c r="B324" s="100" t="e">
        <f ca="1">IFERROR(__xludf.DUMMYFUNCTION("""COMPUTED_VALUE"""),323)</f>
        <v>#NAME?</v>
      </c>
      <c r="C324" s="100" t="e">
        <f ca="1">IFERROR(__xludf.DUMMYFUNCTION("""COMPUTED_VALUE"""),"BSV-BTC")</f>
        <v>#NAME?</v>
      </c>
      <c r="D324" s="100" t="e">
        <f ca="1">IFERROR(__xludf.DUMMYFUNCTION("""COMPUTED_VALUE"""),"0.0003301")</f>
        <v>#NAME?</v>
      </c>
      <c r="E324" s="100" t="e">
        <f t="shared" ca="1" si="52"/>
        <v>#NAME?</v>
      </c>
      <c r="F324" s="100" t="e">
        <f t="shared" ca="1" si="52"/>
        <v>#NAME?</v>
      </c>
      <c r="G324" s="100" t="e">
        <f t="shared" ca="1" si="53"/>
        <v>#NAME?</v>
      </c>
      <c r="H324" s="100" t="e">
        <f t="shared" ca="1" si="54"/>
        <v>#NAME?</v>
      </c>
      <c r="I324" s="100" t="e">
        <f t="shared" ca="1" si="55"/>
        <v>#NAME?</v>
      </c>
      <c r="J324" s="100" t="e">
        <f t="shared" ca="1" si="56"/>
        <v>#NAME?</v>
      </c>
      <c r="K324" s="100" t="e">
        <f t="shared" ca="1" si="57"/>
        <v>#NAME?</v>
      </c>
      <c r="L324" s="100" t="e">
        <f t="shared" ca="1" si="58"/>
        <v>#NAME?</v>
      </c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</row>
    <row r="325" spans="1:27">
      <c r="A325" s="100" t="e">
        <f t="shared" ca="1" si="51"/>
        <v>#NAME?</v>
      </c>
      <c r="B325" s="100" t="e">
        <f ca="1">IFERROR(__xludf.DUMMYFUNCTION("""COMPUTED_VALUE"""),324)</f>
        <v>#NAME?</v>
      </c>
      <c r="C325" s="100" t="e">
        <f ca="1">IFERROR(__xludf.DUMMYFUNCTION("""COMPUTED_VALUE"""),"USDC-EUR")</f>
        <v>#NAME?</v>
      </c>
      <c r="D325" s="100" t="e">
        <f ca="1">IFERROR(__xludf.DUMMYFUNCTION("""COMPUTED_VALUE"""),"0.8694")</f>
        <v>#NAME?</v>
      </c>
      <c r="E325" s="100" t="e">
        <f t="shared" ca="1" si="52"/>
        <v>#NAME?</v>
      </c>
      <c r="F325" s="100" t="e">
        <f t="shared" ca="1" si="52"/>
        <v>#NAME?</v>
      </c>
      <c r="G325" s="100" t="e">
        <f t="shared" ca="1" si="53"/>
        <v>#NAME?</v>
      </c>
      <c r="H325" s="100" t="e">
        <f t="shared" ca="1" si="54"/>
        <v>#NAME?</v>
      </c>
      <c r="I325" s="100" t="e">
        <f t="shared" ca="1" si="55"/>
        <v>#NAME?</v>
      </c>
      <c r="J325" s="100" t="e">
        <f t="shared" ca="1" si="56"/>
        <v>#NAME?</v>
      </c>
      <c r="K325" s="100" t="e">
        <f t="shared" ca="1" si="57"/>
        <v>#NAME?</v>
      </c>
      <c r="L325" s="100" t="e">
        <f t="shared" ca="1" si="58"/>
        <v>#NAME?</v>
      </c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</row>
    <row r="326" spans="1:27">
      <c r="A326" s="100" t="e">
        <f t="shared" ca="1" si="51"/>
        <v>#NAME?</v>
      </c>
      <c r="B326" s="100" t="e">
        <f ca="1">IFERROR(__xludf.DUMMYFUNCTION("""COMPUTED_VALUE"""),325)</f>
        <v>#NAME?</v>
      </c>
      <c r="C326" s="100" t="e">
        <f ca="1">IFERROR(__xludf.DUMMYFUNCTION("""COMPUTED_VALUE"""),"CFX-USD")</f>
        <v>#NAME?</v>
      </c>
      <c r="D326" s="100" t="e">
        <f ca="1">IFERROR(__xludf.DUMMYFUNCTION("""COMPUTED_VALUE"""),"0.0734")</f>
        <v>#NAME?</v>
      </c>
      <c r="E326" s="100" t="e">
        <f t="shared" ca="1" si="52"/>
        <v>#NAME?</v>
      </c>
      <c r="F326" s="100" t="e">
        <f t="shared" ca="1" si="52"/>
        <v>#NAME?</v>
      </c>
      <c r="G326" s="100" t="e">
        <f t="shared" ca="1" si="53"/>
        <v>#NAME?</v>
      </c>
      <c r="H326" s="100" t="e">
        <f t="shared" ca="1" si="54"/>
        <v>#NAME?</v>
      </c>
      <c r="I326" s="100" t="e">
        <f t="shared" ca="1" si="55"/>
        <v>#NAME?</v>
      </c>
      <c r="J326" s="100" t="e">
        <f t="shared" ca="1" si="56"/>
        <v>#NAME?</v>
      </c>
      <c r="K326" s="100" t="e">
        <f t="shared" ca="1" si="57"/>
        <v>#NAME?</v>
      </c>
      <c r="L326" s="100" t="e">
        <f t="shared" ca="1" si="58"/>
        <v>#NAME?</v>
      </c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</row>
    <row r="327" spans="1:27">
      <c r="A327" s="100" t="e">
        <f t="shared" ca="1" si="51"/>
        <v>#NAME?</v>
      </c>
      <c r="B327" s="100" t="e">
        <f ca="1">IFERROR(__xludf.DUMMYFUNCTION("""COMPUTED_VALUE"""),326)</f>
        <v>#NAME?</v>
      </c>
      <c r="C327" s="100" t="e">
        <f ca="1">IFERROR(__xludf.DUMMYFUNCTION("""COMPUTED_VALUE"""),"ZIL-USD")</f>
        <v>#NAME?</v>
      </c>
      <c r="D327" s="100" t="e">
        <f ca="1">IFERROR(__xludf.DUMMYFUNCTION("""COMPUTED_VALUE"""),"0.01181")</f>
        <v>#NAME?</v>
      </c>
      <c r="E327" s="100" t="e">
        <f t="shared" ca="1" si="52"/>
        <v>#NAME?</v>
      </c>
      <c r="F327" s="100" t="e">
        <f t="shared" ca="1" si="52"/>
        <v>#NAME?</v>
      </c>
      <c r="G327" s="100" t="e">
        <f t="shared" ca="1" si="53"/>
        <v>#NAME?</v>
      </c>
      <c r="H327" s="100" t="e">
        <f t="shared" ca="1" si="54"/>
        <v>#NAME?</v>
      </c>
      <c r="I327" s="100" t="e">
        <f t="shared" ca="1" si="55"/>
        <v>#NAME?</v>
      </c>
      <c r="J327" s="100" t="e">
        <f t="shared" ca="1" si="56"/>
        <v>#NAME?</v>
      </c>
      <c r="K327" s="100" t="e">
        <f t="shared" ca="1" si="57"/>
        <v>#NAME?</v>
      </c>
      <c r="L327" s="100" t="e">
        <f t="shared" ca="1" si="58"/>
        <v>#NAME?</v>
      </c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</row>
    <row r="328" spans="1:27">
      <c r="A328" s="100" t="e">
        <f t="shared" ca="1" si="51"/>
        <v>#NAME?</v>
      </c>
      <c r="B328" s="100" t="e">
        <f ca="1">IFERROR(__xludf.DUMMYFUNCTION("""COMPUTED_VALUE"""),327)</f>
        <v>#NAME?</v>
      </c>
      <c r="C328" s="100" t="e">
        <f ca="1">IFERROR(__xludf.DUMMYFUNCTION("""COMPUTED_VALUE"""),"PI-EUR")</f>
        <v>#NAME?</v>
      </c>
      <c r="D328" s="100" t="e">
        <f ca="1">IFERROR(__xludf.DUMMYFUNCTION("""COMPUTED_VALUE"""),"0.5497")</f>
        <v>#NAME?</v>
      </c>
      <c r="E328" s="100" t="e">
        <f t="shared" ca="1" si="52"/>
        <v>#NAME?</v>
      </c>
      <c r="F328" s="100" t="e">
        <f t="shared" ca="1" si="52"/>
        <v>#NAME?</v>
      </c>
      <c r="G328" s="100" t="e">
        <f t="shared" ca="1" si="53"/>
        <v>#NAME?</v>
      </c>
      <c r="H328" s="100" t="e">
        <f t="shared" ca="1" si="54"/>
        <v>#NAME?</v>
      </c>
      <c r="I328" s="100" t="e">
        <f t="shared" ca="1" si="55"/>
        <v>#NAME?</v>
      </c>
      <c r="J328" s="100" t="e">
        <f t="shared" ca="1" si="56"/>
        <v>#NAME?</v>
      </c>
      <c r="K328" s="100" t="e">
        <f t="shared" ca="1" si="57"/>
        <v>#NAME?</v>
      </c>
      <c r="L328" s="100" t="e">
        <f t="shared" ca="1" si="58"/>
        <v>#NAME?</v>
      </c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</row>
    <row r="329" spans="1:27">
      <c r="A329" s="100" t="e">
        <f t="shared" ca="1" si="51"/>
        <v>#NAME?</v>
      </c>
      <c r="B329" s="100" t="e">
        <f ca="1">IFERROR(__xludf.DUMMYFUNCTION("""COMPUTED_VALUE"""),328)</f>
        <v>#NAME?</v>
      </c>
      <c r="C329" s="100" t="e">
        <f ca="1">IFERROR(__xludf.DUMMYFUNCTION("""COMPUTED_VALUE"""),"WIF-USDC")</f>
        <v>#NAME?</v>
      </c>
      <c r="D329" s="100" t="e">
        <f ca="1">IFERROR(__xludf.DUMMYFUNCTION("""COMPUTED_VALUE"""),"0.4359")</f>
        <v>#NAME?</v>
      </c>
      <c r="E329" s="100" t="e">
        <f t="shared" ca="1" si="52"/>
        <v>#NAME?</v>
      </c>
      <c r="F329" s="100" t="e">
        <f t="shared" ca="1" si="52"/>
        <v>#NAME?</v>
      </c>
      <c r="G329" s="100" t="e">
        <f t="shared" ca="1" si="53"/>
        <v>#NAME?</v>
      </c>
      <c r="H329" s="100" t="e">
        <f t="shared" ca="1" si="54"/>
        <v>#NAME?</v>
      </c>
      <c r="I329" s="100" t="e">
        <f t="shared" ca="1" si="55"/>
        <v>#NAME?</v>
      </c>
      <c r="J329" s="100" t="e">
        <f t="shared" ca="1" si="56"/>
        <v>#NAME?</v>
      </c>
      <c r="K329" s="100" t="e">
        <f t="shared" ca="1" si="57"/>
        <v>#NAME?</v>
      </c>
      <c r="L329" s="100" t="e">
        <f t="shared" ca="1" si="58"/>
        <v>#NAME?</v>
      </c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</row>
    <row r="330" spans="1:27">
      <c r="A330" s="100" t="e">
        <f t="shared" ca="1" si="51"/>
        <v>#NAME?</v>
      </c>
      <c r="B330" s="100" t="e">
        <f ca="1">IFERROR(__xludf.DUMMYFUNCTION("""COMPUTED_VALUE"""),329)</f>
        <v>#NAME?</v>
      </c>
      <c r="C330" s="100" t="e">
        <f ca="1">IFERROR(__xludf.DUMMYFUNCTION("""COMPUTED_VALUE"""),"PEOPLE-USDT")</f>
        <v>#NAME?</v>
      </c>
      <c r="D330" s="100" t="e">
        <f ca="1">IFERROR(__xludf.DUMMYFUNCTION("""COMPUTED_VALUE"""),"0.01208")</f>
        <v>#NAME?</v>
      </c>
      <c r="E330" s="100" t="e">
        <f t="shared" ca="1" si="52"/>
        <v>#NAME?</v>
      </c>
      <c r="F330" s="100" t="e">
        <f t="shared" ca="1" si="52"/>
        <v>#NAME?</v>
      </c>
      <c r="G330" s="100" t="e">
        <f t="shared" ca="1" si="53"/>
        <v>#NAME?</v>
      </c>
      <c r="H330" s="100" t="e">
        <f t="shared" ca="1" si="54"/>
        <v>#NAME?</v>
      </c>
      <c r="I330" s="100" t="e">
        <f t="shared" ca="1" si="55"/>
        <v>#NAME?</v>
      </c>
      <c r="J330" s="100" t="e">
        <f t="shared" ca="1" si="56"/>
        <v>#NAME?</v>
      </c>
      <c r="K330" s="100" t="e">
        <f t="shared" ca="1" si="57"/>
        <v>#NAME?</v>
      </c>
      <c r="L330" s="100" t="e">
        <f t="shared" ca="1" si="58"/>
        <v>#NAME?</v>
      </c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</row>
    <row r="331" spans="1:27">
      <c r="A331" s="100" t="e">
        <f t="shared" ca="1" si="51"/>
        <v>#NAME?</v>
      </c>
      <c r="B331" s="100" t="e">
        <f ca="1">IFERROR(__xludf.DUMMYFUNCTION("""COMPUTED_VALUE"""),330)</f>
        <v>#NAME?</v>
      </c>
      <c r="C331" s="100" t="e">
        <f ca="1">IFERROR(__xludf.DUMMYFUNCTION("""COMPUTED_VALUE"""),"XRP-AUD")</f>
        <v>#NAME?</v>
      </c>
      <c r="D331" s="100" t="e">
        <f ca="1">IFERROR(__xludf.DUMMYFUNCTION("""COMPUTED_VALUE"""),"3.2663")</f>
        <v>#NAME?</v>
      </c>
      <c r="E331" s="100" t="e">
        <f t="shared" ca="1" si="52"/>
        <v>#NAME?</v>
      </c>
      <c r="F331" s="100" t="e">
        <f t="shared" ca="1" si="52"/>
        <v>#NAME?</v>
      </c>
      <c r="G331" s="100" t="e">
        <f t="shared" ca="1" si="53"/>
        <v>#NAME?</v>
      </c>
      <c r="H331" s="100" t="e">
        <f t="shared" ca="1" si="54"/>
        <v>#NAME?</v>
      </c>
      <c r="I331" s="100" t="e">
        <f t="shared" ca="1" si="55"/>
        <v>#NAME?</v>
      </c>
      <c r="J331" s="100" t="e">
        <f t="shared" ca="1" si="56"/>
        <v>#NAME?</v>
      </c>
      <c r="K331" s="100" t="e">
        <f t="shared" ca="1" si="57"/>
        <v>#NAME?</v>
      </c>
      <c r="L331" s="100" t="e">
        <f t="shared" ca="1" si="58"/>
        <v>#NAME?</v>
      </c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</row>
    <row r="332" spans="1:27">
      <c r="A332" s="100" t="e">
        <f t="shared" ca="1" si="51"/>
        <v>#NAME?</v>
      </c>
      <c r="B332" s="100" t="e">
        <f ca="1">IFERROR(__xludf.DUMMYFUNCTION("""COMPUTED_VALUE"""),331)</f>
        <v>#NAME?</v>
      </c>
      <c r="C332" s="100" t="e">
        <f ca="1">IFERROR(__xludf.DUMMYFUNCTION("""COMPUTED_VALUE"""),"PI-TRY")</f>
        <v>#NAME?</v>
      </c>
      <c r="D332" s="100" t="e">
        <f ca="1">IFERROR(__xludf.DUMMYFUNCTION("""COMPUTED_VALUE"""),"24.14")</f>
        <v>#NAME?</v>
      </c>
      <c r="E332" s="100" t="e">
        <f t="shared" ca="1" si="52"/>
        <v>#NAME?</v>
      </c>
      <c r="F332" s="100" t="e">
        <f t="shared" ca="1" si="52"/>
        <v>#NAME?</v>
      </c>
      <c r="G332" s="100" t="e">
        <f t="shared" ca="1" si="53"/>
        <v>#NAME?</v>
      </c>
      <c r="H332" s="100" t="e">
        <f t="shared" ca="1" si="54"/>
        <v>#NAME?</v>
      </c>
      <c r="I332" s="100" t="e">
        <f t="shared" ca="1" si="55"/>
        <v>#NAME?</v>
      </c>
      <c r="J332" s="100" t="e">
        <f t="shared" ca="1" si="56"/>
        <v>#NAME?</v>
      </c>
      <c r="K332" s="100" t="e">
        <f t="shared" ca="1" si="57"/>
        <v>#NAME?</v>
      </c>
      <c r="L332" s="100" t="e">
        <f t="shared" ca="1" si="58"/>
        <v>#NAME?</v>
      </c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</row>
    <row r="333" spans="1:27">
      <c r="A333" s="100" t="e">
        <f t="shared" ca="1" si="51"/>
        <v>#NAME?</v>
      </c>
      <c r="B333" s="100" t="e">
        <f ca="1">IFERROR(__xludf.DUMMYFUNCTION("""COMPUTED_VALUE"""),332)</f>
        <v>#NAME?</v>
      </c>
      <c r="C333" s="100" t="e">
        <f ca="1">IFERROR(__xludf.DUMMYFUNCTION("""COMPUTED_VALUE"""),"MKR-USD")</f>
        <v>#NAME?</v>
      </c>
      <c r="D333" s="100" t="e">
        <f ca="1">IFERROR(__xludf.DUMMYFUNCTION("""COMPUTED_VALUE"""),"1343.3")</f>
        <v>#NAME?</v>
      </c>
      <c r="E333" s="100" t="e">
        <f t="shared" ca="1" si="52"/>
        <v>#NAME?</v>
      </c>
      <c r="F333" s="100" t="e">
        <f t="shared" ca="1" si="52"/>
        <v>#NAME?</v>
      </c>
      <c r="G333" s="100" t="e">
        <f t="shared" ca="1" si="53"/>
        <v>#NAME?</v>
      </c>
      <c r="H333" s="100" t="e">
        <f t="shared" ca="1" si="54"/>
        <v>#NAME?</v>
      </c>
      <c r="I333" s="100" t="e">
        <f t="shared" ca="1" si="55"/>
        <v>#NAME?</v>
      </c>
      <c r="J333" s="100" t="e">
        <f t="shared" ca="1" si="56"/>
        <v>#NAME?</v>
      </c>
      <c r="K333" s="100" t="e">
        <f t="shared" ca="1" si="57"/>
        <v>#NAME?</v>
      </c>
      <c r="L333" s="100" t="e">
        <f t="shared" ca="1" si="58"/>
        <v>#NAME?</v>
      </c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</row>
    <row r="334" spans="1:27">
      <c r="A334" s="100" t="e">
        <f t="shared" ca="1" si="51"/>
        <v>#NAME?</v>
      </c>
      <c r="B334" s="100" t="e">
        <f ca="1">IFERROR(__xludf.DUMMYFUNCTION("""COMPUTED_VALUE"""),333)</f>
        <v>#NAME?</v>
      </c>
      <c r="C334" s="100" t="e">
        <f ca="1">IFERROR(__xludf.DUMMYFUNCTION("""COMPUTED_VALUE"""),"BAL-USDT")</f>
        <v>#NAME?</v>
      </c>
      <c r="D334" s="100" t="e">
        <f ca="1">IFERROR(__xludf.DUMMYFUNCTION("""COMPUTED_VALUE"""),"0.923")</f>
        <v>#NAME?</v>
      </c>
      <c r="E334" s="100" t="e">
        <f t="shared" ca="1" si="52"/>
        <v>#NAME?</v>
      </c>
      <c r="F334" s="100" t="e">
        <f t="shared" ca="1" si="52"/>
        <v>#NAME?</v>
      </c>
      <c r="G334" s="100" t="e">
        <f t="shared" ca="1" si="53"/>
        <v>#NAME?</v>
      </c>
      <c r="H334" s="100" t="e">
        <f t="shared" ca="1" si="54"/>
        <v>#NAME?</v>
      </c>
      <c r="I334" s="100" t="e">
        <f t="shared" ca="1" si="55"/>
        <v>#NAME?</v>
      </c>
      <c r="J334" s="100" t="e">
        <f t="shared" ca="1" si="56"/>
        <v>#NAME?</v>
      </c>
      <c r="K334" s="100" t="e">
        <f t="shared" ca="1" si="57"/>
        <v>#NAME?</v>
      </c>
      <c r="L334" s="100" t="e">
        <f t="shared" ca="1" si="58"/>
        <v>#NAME?</v>
      </c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</row>
    <row r="335" spans="1:27">
      <c r="A335" s="100" t="e">
        <f t="shared" ca="1" si="51"/>
        <v>#NAME?</v>
      </c>
      <c r="B335" s="100" t="e">
        <f ca="1">IFERROR(__xludf.DUMMYFUNCTION("""COMPUTED_VALUE"""),334)</f>
        <v>#NAME?</v>
      </c>
      <c r="C335" s="100" t="e">
        <f ca="1">IFERROR(__xludf.DUMMYFUNCTION("""COMPUTED_VALUE"""),"FLOW-USDT")</f>
        <v>#NAME?</v>
      </c>
      <c r="D335" s="100" t="e">
        <f ca="1">IFERROR(__xludf.DUMMYFUNCTION("""COMPUTED_VALUE"""),"0.3734")</f>
        <v>#NAME?</v>
      </c>
      <c r="E335" s="100" t="e">
        <f t="shared" ca="1" si="52"/>
        <v>#NAME?</v>
      </c>
      <c r="F335" s="100" t="e">
        <f t="shared" ca="1" si="52"/>
        <v>#NAME?</v>
      </c>
      <c r="G335" s="100" t="e">
        <f t="shared" ca="1" si="53"/>
        <v>#NAME?</v>
      </c>
      <c r="H335" s="100" t="e">
        <f t="shared" ca="1" si="54"/>
        <v>#NAME?</v>
      </c>
      <c r="I335" s="100" t="e">
        <f t="shared" ca="1" si="55"/>
        <v>#NAME?</v>
      </c>
      <c r="J335" s="100" t="e">
        <f t="shared" ca="1" si="56"/>
        <v>#NAME?</v>
      </c>
      <c r="K335" s="100" t="e">
        <f t="shared" ca="1" si="57"/>
        <v>#NAME?</v>
      </c>
      <c r="L335" s="100" t="e">
        <f t="shared" ca="1" si="58"/>
        <v>#NAME?</v>
      </c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</row>
    <row r="336" spans="1:27">
      <c r="A336" s="100" t="e">
        <f t="shared" ca="1" si="51"/>
        <v>#NAME?</v>
      </c>
      <c r="B336" s="100" t="e">
        <f ca="1">IFERROR(__xludf.DUMMYFUNCTION("""COMPUTED_VALUE"""),335)</f>
        <v>#NAME?</v>
      </c>
      <c r="C336" s="100" t="e">
        <f ca="1">IFERROR(__xludf.DUMMYFUNCTION("""COMPUTED_VALUE"""),"ME-USDT")</f>
        <v>#NAME?</v>
      </c>
      <c r="D336" s="100" t="e">
        <f ca="1">IFERROR(__xludf.DUMMYFUNCTION("""COMPUTED_VALUE"""),"0.794")</f>
        <v>#NAME?</v>
      </c>
      <c r="E336" s="100" t="e">
        <f t="shared" ca="1" si="52"/>
        <v>#NAME?</v>
      </c>
      <c r="F336" s="100" t="e">
        <f t="shared" ca="1" si="52"/>
        <v>#NAME?</v>
      </c>
      <c r="G336" s="100" t="e">
        <f t="shared" ca="1" si="53"/>
        <v>#NAME?</v>
      </c>
      <c r="H336" s="100" t="e">
        <f t="shared" ca="1" si="54"/>
        <v>#NAME?</v>
      </c>
      <c r="I336" s="100" t="e">
        <f t="shared" ca="1" si="55"/>
        <v>#NAME?</v>
      </c>
      <c r="J336" s="100" t="e">
        <f t="shared" ca="1" si="56"/>
        <v>#NAME?</v>
      </c>
      <c r="K336" s="100" t="e">
        <f t="shared" ca="1" si="57"/>
        <v>#NAME?</v>
      </c>
      <c r="L336" s="100" t="e">
        <f t="shared" ca="1" si="58"/>
        <v>#NAME?</v>
      </c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</row>
    <row r="337" spans="1:27">
      <c r="A337" s="100" t="e">
        <f t="shared" ca="1" si="51"/>
        <v>#NAME?</v>
      </c>
      <c r="B337" s="100" t="e">
        <f ca="1">IFERROR(__xludf.DUMMYFUNCTION("""COMPUTED_VALUE"""),336)</f>
        <v>#NAME?</v>
      </c>
      <c r="C337" s="100" t="e">
        <f ca="1">IFERROR(__xludf.DUMMYFUNCTION("""COMPUTED_VALUE"""),"WIF-USDT")</f>
        <v>#NAME?</v>
      </c>
      <c r="D337" s="100" t="e">
        <f ca="1">IFERROR(__xludf.DUMMYFUNCTION("""COMPUTED_VALUE"""),"0.4363")</f>
        <v>#NAME?</v>
      </c>
      <c r="E337" s="100" t="e">
        <f t="shared" ca="1" si="52"/>
        <v>#NAME?</v>
      </c>
      <c r="F337" s="100" t="e">
        <f t="shared" ca="1" si="52"/>
        <v>#NAME?</v>
      </c>
      <c r="G337" s="100" t="e">
        <f t="shared" ca="1" si="53"/>
        <v>#NAME?</v>
      </c>
      <c r="H337" s="100" t="e">
        <f t="shared" ca="1" si="54"/>
        <v>#NAME?</v>
      </c>
      <c r="I337" s="100" t="e">
        <f t="shared" ca="1" si="55"/>
        <v>#NAME?</v>
      </c>
      <c r="J337" s="100" t="e">
        <f t="shared" ca="1" si="56"/>
        <v>#NAME?</v>
      </c>
      <c r="K337" s="100" t="e">
        <f t="shared" ca="1" si="57"/>
        <v>#NAME?</v>
      </c>
      <c r="L337" s="100" t="e">
        <f t="shared" ca="1" si="58"/>
        <v>#NAME?</v>
      </c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</row>
    <row r="338" spans="1:27">
      <c r="A338" s="100" t="e">
        <f t="shared" ca="1" si="51"/>
        <v>#NAME?</v>
      </c>
      <c r="B338" s="100" t="e">
        <f ca="1">IFERROR(__xludf.DUMMYFUNCTION("""COMPUTED_VALUE"""),337)</f>
        <v>#NAME?</v>
      </c>
      <c r="C338" s="100" t="e">
        <f ca="1">IFERROR(__xludf.DUMMYFUNCTION("""COMPUTED_VALUE"""),"IMX-USDT")</f>
        <v>#NAME?</v>
      </c>
      <c r="D338" s="100" t="e">
        <f ca="1">IFERROR(__xludf.DUMMYFUNCTION("""COMPUTED_VALUE"""),"0.4573")</f>
        <v>#NAME?</v>
      </c>
      <c r="E338" s="100" t="e">
        <f t="shared" ca="1" si="52"/>
        <v>#NAME?</v>
      </c>
      <c r="F338" s="100" t="e">
        <f t="shared" ca="1" si="52"/>
        <v>#NAME?</v>
      </c>
      <c r="G338" s="100" t="e">
        <f t="shared" ca="1" si="53"/>
        <v>#NAME?</v>
      </c>
      <c r="H338" s="100" t="e">
        <f t="shared" ca="1" si="54"/>
        <v>#NAME?</v>
      </c>
      <c r="I338" s="100" t="e">
        <f t="shared" ca="1" si="55"/>
        <v>#NAME?</v>
      </c>
      <c r="J338" s="100" t="e">
        <f t="shared" ca="1" si="56"/>
        <v>#NAME?</v>
      </c>
      <c r="K338" s="100" t="e">
        <f t="shared" ca="1" si="57"/>
        <v>#NAME?</v>
      </c>
      <c r="L338" s="100" t="e">
        <f t="shared" ca="1" si="58"/>
        <v>#NAME?</v>
      </c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</row>
    <row r="339" spans="1:27">
      <c r="A339" s="100" t="e">
        <f t="shared" ca="1" si="51"/>
        <v>#NAME?</v>
      </c>
      <c r="B339" s="100" t="e">
        <f ca="1">IFERROR(__xludf.DUMMYFUNCTION("""COMPUTED_VALUE"""),338)</f>
        <v>#NAME?</v>
      </c>
      <c r="C339" s="100" t="e">
        <f ca="1">IFERROR(__xludf.DUMMYFUNCTION("""COMPUTED_VALUE"""),"BABYDOGE-USD")</f>
        <v>#NAME?</v>
      </c>
      <c r="D339" s="100" t="e">
        <f ca="1">IFERROR(__xludf.DUMMYFUNCTION("""COMPUTED_VALUE"""),"0.0000000013")</f>
        <v>#NAME?</v>
      </c>
      <c r="E339" s="100" t="e">
        <f t="shared" ca="1" si="52"/>
        <v>#NAME?</v>
      </c>
      <c r="F339" s="100" t="e">
        <f t="shared" ca="1" si="52"/>
        <v>#NAME?</v>
      </c>
      <c r="G339" s="100" t="e">
        <f t="shared" ca="1" si="53"/>
        <v>#NAME?</v>
      </c>
      <c r="H339" s="100" t="e">
        <f t="shared" ca="1" si="54"/>
        <v>#NAME?</v>
      </c>
      <c r="I339" s="100" t="e">
        <f t="shared" ca="1" si="55"/>
        <v>#NAME?</v>
      </c>
      <c r="J339" s="100" t="e">
        <f t="shared" ca="1" si="56"/>
        <v>#NAME?</v>
      </c>
      <c r="K339" s="100" t="e">
        <f t="shared" ca="1" si="57"/>
        <v>#NAME?</v>
      </c>
      <c r="L339" s="100" t="e">
        <f t="shared" ca="1" si="58"/>
        <v>#NAME?</v>
      </c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</row>
    <row r="340" spans="1:27">
      <c r="A340" s="100" t="e">
        <f t="shared" ca="1" si="51"/>
        <v>#NAME?</v>
      </c>
      <c r="B340" s="100" t="e">
        <f ca="1">IFERROR(__xludf.DUMMYFUNCTION("""COMPUTED_VALUE"""),339)</f>
        <v>#NAME?</v>
      </c>
      <c r="C340" s="100" t="e">
        <f ca="1">IFERROR(__xludf.DUMMYFUNCTION("""COMPUTED_VALUE"""),"MAX-USDT")</f>
        <v>#NAME?</v>
      </c>
      <c r="D340" s="100" t="e">
        <f ca="1">IFERROR(__xludf.DUMMYFUNCTION("""COMPUTED_VALUE"""),"0.03196")</f>
        <v>#NAME?</v>
      </c>
      <c r="E340" s="100" t="e">
        <f t="shared" ca="1" si="52"/>
        <v>#NAME?</v>
      </c>
      <c r="F340" s="100" t="e">
        <f t="shared" ca="1" si="52"/>
        <v>#NAME?</v>
      </c>
      <c r="G340" s="100" t="e">
        <f t="shared" ca="1" si="53"/>
        <v>#NAME?</v>
      </c>
      <c r="H340" s="100" t="e">
        <f t="shared" ca="1" si="54"/>
        <v>#NAME?</v>
      </c>
      <c r="I340" s="100" t="e">
        <f t="shared" ca="1" si="55"/>
        <v>#NAME?</v>
      </c>
      <c r="J340" s="100" t="e">
        <f t="shared" ca="1" si="56"/>
        <v>#NAME?</v>
      </c>
      <c r="K340" s="100" t="e">
        <f t="shared" ca="1" si="57"/>
        <v>#NAME?</v>
      </c>
      <c r="L340" s="100" t="e">
        <f t="shared" ca="1" si="58"/>
        <v>#NAME?</v>
      </c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</row>
    <row r="341" spans="1:27">
      <c r="A341" s="100" t="e">
        <f t="shared" ca="1" si="51"/>
        <v>#NAME?</v>
      </c>
      <c r="B341" s="100" t="e">
        <f ca="1">IFERROR(__xludf.DUMMYFUNCTION("""COMPUTED_VALUE"""),340)</f>
        <v>#NAME?</v>
      </c>
      <c r="C341" s="100" t="e">
        <f ca="1">IFERROR(__xludf.DUMMYFUNCTION("""COMPUTED_VALUE"""),"OKB-BTC")</f>
        <v>#NAME?</v>
      </c>
      <c r="D341" s="100" t="e">
        <f ca="1">IFERROR(__xludf.DUMMYFUNCTION("""COMPUTED_VALUE"""),"0.0005776")</f>
        <v>#NAME?</v>
      </c>
      <c r="E341" s="100" t="e">
        <f t="shared" ca="1" si="52"/>
        <v>#NAME?</v>
      </c>
      <c r="F341" s="100" t="e">
        <f t="shared" ca="1" si="52"/>
        <v>#NAME?</v>
      </c>
      <c r="G341" s="100" t="e">
        <f t="shared" ca="1" si="53"/>
        <v>#NAME?</v>
      </c>
      <c r="H341" s="100" t="e">
        <f t="shared" ca="1" si="54"/>
        <v>#NAME?</v>
      </c>
      <c r="I341" s="100" t="e">
        <f t="shared" ca="1" si="55"/>
        <v>#NAME?</v>
      </c>
      <c r="J341" s="100" t="e">
        <f t="shared" ca="1" si="56"/>
        <v>#NAME?</v>
      </c>
      <c r="K341" s="100" t="e">
        <f t="shared" ca="1" si="57"/>
        <v>#NAME?</v>
      </c>
      <c r="L341" s="100" t="e">
        <f t="shared" ca="1" si="58"/>
        <v>#NAME?</v>
      </c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</row>
    <row r="342" spans="1:27">
      <c r="A342" s="100" t="e">
        <f t="shared" ca="1" si="51"/>
        <v>#NAME?</v>
      </c>
      <c r="B342" s="100" t="e">
        <f ca="1">IFERROR(__xludf.DUMMYFUNCTION("""COMPUTED_VALUE"""),341)</f>
        <v>#NAME?</v>
      </c>
      <c r="C342" s="100" t="e">
        <f ca="1">IFERROR(__xludf.DUMMYFUNCTION("""COMPUTED_VALUE"""),"BERA-USD")</f>
        <v>#NAME?</v>
      </c>
      <c r="D342" s="100" t="e">
        <f ca="1">IFERROR(__xludf.DUMMYFUNCTION("""COMPUTED_VALUE"""),"3.425")</f>
        <v>#NAME?</v>
      </c>
      <c r="E342" s="100" t="e">
        <f t="shared" ref="E342:F361" ca="1" si="59">IFERROR(__xludf.DUMMYFUNCTION("""COMPUTED_VALUE"""),"-")</f>
        <v>#NAME?</v>
      </c>
      <c r="F342" s="100" t="e">
        <f t="shared" ca="1" si="59"/>
        <v>#NAME?</v>
      </c>
      <c r="G342" s="100" t="e">
        <f t="shared" ca="1" si="53"/>
        <v>#NAME?</v>
      </c>
      <c r="H342" s="100" t="e">
        <f t="shared" ca="1" si="54"/>
        <v>#NAME?</v>
      </c>
      <c r="I342" s="100" t="e">
        <f t="shared" ca="1" si="55"/>
        <v>#NAME?</v>
      </c>
      <c r="J342" s="100" t="e">
        <f t="shared" ca="1" si="56"/>
        <v>#NAME?</v>
      </c>
      <c r="K342" s="100" t="e">
        <f t="shared" ca="1" si="57"/>
        <v>#NAME?</v>
      </c>
      <c r="L342" s="100" t="e">
        <f t="shared" ca="1" si="58"/>
        <v>#NAME?</v>
      </c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</row>
    <row r="343" spans="1:27">
      <c r="A343" s="100" t="e">
        <f t="shared" ca="1" si="51"/>
        <v>#NAME?</v>
      </c>
      <c r="B343" s="100" t="e">
        <f ca="1">IFERROR(__xludf.DUMMYFUNCTION("""COMPUTED_VALUE"""),342)</f>
        <v>#NAME?</v>
      </c>
      <c r="C343" s="100" t="e">
        <f ca="1">IFERROR(__xludf.DUMMYFUNCTION("""COMPUTED_VALUE"""),"SOL-AED")</f>
        <v>#NAME?</v>
      </c>
      <c r="D343" s="100" t="e">
        <f ca="1">IFERROR(__xludf.DUMMYFUNCTION("""COMPUTED_VALUE"""),"505.65")</f>
        <v>#NAME?</v>
      </c>
      <c r="E343" s="100" t="e">
        <f t="shared" ca="1" si="59"/>
        <v>#NAME?</v>
      </c>
      <c r="F343" s="100" t="e">
        <f t="shared" ca="1" si="59"/>
        <v>#NAME?</v>
      </c>
      <c r="G343" s="100" t="e">
        <f t="shared" ca="1" si="53"/>
        <v>#NAME?</v>
      </c>
      <c r="H343" s="100" t="e">
        <f t="shared" ca="1" si="54"/>
        <v>#NAME?</v>
      </c>
      <c r="I343" s="100" t="e">
        <f t="shared" ca="1" si="55"/>
        <v>#NAME?</v>
      </c>
      <c r="J343" s="100" t="e">
        <f t="shared" ca="1" si="56"/>
        <v>#NAME?</v>
      </c>
      <c r="K343" s="100" t="e">
        <f t="shared" ca="1" si="57"/>
        <v>#NAME?</v>
      </c>
      <c r="L343" s="100" t="e">
        <f t="shared" ca="1" si="58"/>
        <v>#NAME?</v>
      </c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</row>
    <row r="344" spans="1:27">
      <c r="A344" s="100" t="e">
        <f t="shared" ca="1" si="51"/>
        <v>#NAME?</v>
      </c>
      <c r="B344" s="100" t="e">
        <f ca="1">IFERROR(__xludf.DUMMYFUNCTION("""COMPUTED_VALUE"""),343)</f>
        <v>#NAME?</v>
      </c>
      <c r="C344" s="100" t="e">
        <f ca="1">IFERROR(__xludf.DUMMYFUNCTION("""COMPUTED_VALUE"""),"BCH-USD")</f>
        <v>#NAME?</v>
      </c>
      <c r="D344" s="100" t="e">
        <f ca="1">IFERROR(__xludf.DUMMYFUNCTION("""COMPUTED_VALUE"""),"348.4")</f>
        <v>#NAME?</v>
      </c>
      <c r="E344" s="100" t="e">
        <f t="shared" ca="1" si="59"/>
        <v>#NAME?</v>
      </c>
      <c r="F344" s="100" t="e">
        <f t="shared" ca="1" si="59"/>
        <v>#NAME?</v>
      </c>
      <c r="G344" s="100" t="e">
        <f t="shared" ca="1" si="53"/>
        <v>#NAME?</v>
      </c>
      <c r="H344" s="100" t="e">
        <f t="shared" ca="1" si="54"/>
        <v>#NAME?</v>
      </c>
      <c r="I344" s="100" t="e">
        <f t="shared" ca="1" si="55"/>
        <v>#NAME?</v>
      </c>
      <c r="J344" s="100" t="e">
        <f t="shared" ca="1" si="56"/>
        <v>#NAME?</v>
      </c>
      <c r="K344" s="100" t="e">
        <f t="shared" ca="1" si="57"/>
        <v>#NAME?</v>
      </c>
      <c r="L344" s="100" t="e">
        <f t="shared" ca="1" si="58"/>
        <v>#NAME?</v>
      </c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</row>
    <row r="345" spans="1:27">
      <c r="A345" s="100" t="e">
        <f t="shared" ca="1" si="51"/>
        <v>#NAME?</v>
      </c>
      <c r="B345" s="100" t="e">
        <f ca="1">IFERROR(__xludf.DUMMYFUNCTION("""COMPUTED_VALUE"""),344)</f>
        <v>#NAME?</v>
      </c>
      <c r="C345" s="100" t="e">
        <f ca="1">IFERROR(__xludf.DUMMYFUNCTION("""COMPUTED_VALUE"""),"LEO-USDT")</f>
        <v>#NAME?</v>
      </c>
      <c r="D345" s="100" t="e">
        <f ca="1">IFERROR(__xludf.DUMMYFUNCTION("""COMPUTED_VALUE"""),"9.064")</f>
        <v>#NAME?</v>
      </c>
      <c r="E345" s="100" t="e">
        <f t="shared" ca="1" si="59"/>
        <v>#NAME?</v>
      </c>
      <c r="F345" s="100" t="e">
        <f t="shared" ca="1" si="59"/>
        <v>#NAME?</v>
      </c>
      <c r="G345" s="100" t="e">
        <f t="shared" ca="1" si="53"/>
        <v>#NAME?</v>
      </c>
      <c r="H345" s="100" t="e">
        <f t="shared" ca="1" si="54"/>
        <v>#NAME?</v>
      </c>
      <c r="I345" s="100" t="e">
        <f t="shared" ca="1" si="55"/>
        <v>#NAME?</v>
      </c>
      <c r="J345" s="100" t="e">
        <f t="shared" ca="1" si="56"/>
        <v>#NAME?</v>
      </c>
      <c r="K345" s="100" t="e">
        <f t="shared" ca="1" si="57"/>
        <v>#NAME?</v>
      </c>
      <c r="L345" s="100" t="e">
        <f t="shared" ca="1" si="58"/>
        <v>#NAME?</v>
      </c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</row>
    <row r="346" spans="1:27">
      <c r="A346" s="100" t="e">
        <f t="shared" ca="1" si="51"/>
        <v>#NAME?</v>
      </c>
      <c r="B346" s="100" t="e">
        <f ca="1">IFERROR(__xludf.DUMMYFUNCTION("""COMPUTED_VALUE"""),345)</f>
        <v>#NAME?</v>
      </c>
      <c r="C346" s="100" t="e">
        <f ca="1">IFERROR(__xludf.DUMMYFUNCTION("""COMPUTED_VALUE"""),"EIGEN-USD")</f>
        <v>#NAME?</v>
      </c>
      <c r="D346" s="100" t="e">
        <f ca="1">IFERROR(__xludf.DUMMYFUNCTION("""COMPUTED_VALUE"""),"0.848")</f>
        <v>#NAME?</v>
      </c>
      <c r="E346" s="100" t="e">
        <f t="shared" ca="1" si="59"/>
        <v>#NAME?</v>
      </c>
      <c r="F346" s="100" t="e">
        <f t="shared" ca="1" si="59"/>
        <v>#NAME?</v>
      </c>
      <c r="G346" s="100" t="e">
        <f t="shared" ca="1" si="53"/>
        <v>#NAME?</v>
      </c>
      <c r="H346" s="100" t="e">
        <f t="shared" ca="1" si="54"/>
        <v>#NAME?</v>
      </c>
      <c r="I346" s="100" t="e">
        <f t="shared" ca="1" si="55"/>
        <v>#NAME?</v>
      </c>
      <c r="J346" s="100" t="e">
        <f t="shared" ca="1" si="56"/>
        <v>#NAME?</v>
      </c>
      <c r="K346" s="100" t="e">
        <f t="shared" ca="1" si="57"/>
        <v>#NAME?</v>
      </c>
      <c r="L346" s="100" t="e">
        <f t="shared" ca="1" si="58"/>
        <v>#NAME?</v>
      </c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</row>
    <row r="347" spans="1:27">
      <c r="A347" s="100" t="e">
        <f t="shared" ca="1" si="51"/>
        <v>#NAME?</v>
      </c>
      <c r="B347" s="100" t="e">
        <f ca="1">IFERROR(__xludf.DUMMYFUNCTION("""COMPUTED_VALUE"""),346)</f>
        <v>#NAME?</v>
      </c>
      <c r="C347" s="100" t="e">
        <f ca="1">IFERROR(__xludf.DUMMYFUNCTION("""COMPUTED_VALUE"""),"ZEUS-USDT")</f>
        <v>#NAME?</v>
      </c>
      <c r="D347" s="100" t="e">
        <f ca="1">IFERROR(__xludf.DUMMYFUNCTION("""COMPUTED_VALUE"""),"0.252")</f>
        <v>#NAME?</v>
      </c>
      <c r="E347" s="100" t="e">
        <f t="shared" ca="1" si="59"/>
        <v>#NAME?</v>
      </c>
      <c r="F347" s="100" t="e">
        <f t="shared" ca="1" si="59"/>
        <v>#NAME?</v>
      </c>
      <c r="G347" s="100" t="e">
        <f t="shared" ca="1" si="53"/>
        <v>#NAME?</v>
      </c>
      <c r="H347" s="100" t="e">
        <f t="shared" ca="1" si="54"/>
        <v>#NAME?</v>
      </c>
      <c r="I347" s="100" t="e">
        <f t="shared" ca="1" si="55"/>
        <v>#NAME?</v>
      </c>
      <c r="J347" s="100" t="e">
        <f t="shared" ca="1" si="56"/>
        <v>#NAME?</v>
      </c>
      <c r="K347" s="100" t="e">
        <f t="shared" ca="1" si="57"/>
        <v>#NAME?</v>
      </c>
      <c r="L347" s="100" t="e">
        <f t="shared" ca="1" si="58"/>
        <v>#NAME?</v>
      </c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</row>
    <row r="348" spans="1:27">
      <c r="A348" s="100" t="e">
        <f t="shared" ca="1" si="51"/>
        <v>#NAME?</v>
      </c>
      <c r="B348" s="100" t="e">
        <f ca="1">IFERROR(__xludf.DUMMYFUNCTION("""COMPUTED_VALUE"""),347)</f>
        <v>#NAME?</v>
      </c>
      <c r="C348" s="100" t="e">
        <f ca="1">IFERROR(__xludf.DUMMYFUNCTION("""COMPUTED_VALUE"""),"MEW-USD")</f>
        <v>#NAME?</v>
      </c>
      <c r="D348" s="100" t="e">
        <f ca="1">IFERROR(__xludf.DUMMYFUNCTION("""COMPUTED_VALUE"""),"0.002521")</f>
        <v>#NAME?</v>
      </c>
      <c r="E348" s="100" t="e">
        <f t="shared" ca="1" si="59"/>
        <v>#NAME?</v>
      </c>
      <c r="F348" s="100" t="e">
        <f t="shared" ca="1" si="59"/>
        <v>#NAME?</v>
      </c>
      <c r="G348" s="100" t="e">
        <f t="shared" ca="1" si="53"/>
        <v>#NAME?</v>
      </c>
      <c r="H348" s="100" t="e">
        <f t="shared" ca="1" si="54"/>
        <v>#NAME?</v>
      </c>
      <c r="I348" s="100" t="e">
        <f t="shared" ca="1" si="55"/>
        <v>#NAME?</v>
      </c>
      <c r="J348" s="100" t="e">
        <f t="shared" ca="1" si="56"/>
        <v>#NAME?</v>
      </c>
      <c r="K348" s="100" t="e">
        <f t="shared" ca="1" si="57"/>
        <v>#NAME?</v>
      </c>
      <c r="L348" s="100" t="e">
        <f t="shared" ca="1" si="58"/>
        <v>#NAME?</v>
      </c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</row>
    <row r="349" spans="1:27">
      <c r="A349" s="100" t="e">
        <f t="shared" ca="1" si="51"/>
        <v>#NAME?</v>
      </c>
      <c r="B349" s="100" t="e">
        <f ca="1">IFERROR(__xludf.DUMMYFUNCTION("""COMPUTED_VALUE"""),348)</f>
        <v>#NAME?</v>
      </c>
      <c r="C349" s="100" t="e">
        <f ca="1">IFERROR(__xludf.DUMMYFUNCTION("""COMPUTED_VALUE"""),"VRA-USDT")</f>
        <v>#NAME?</v>
      </c>
      <c r="D349" s="100" t="e">
        <f ca="1">IFERROR(__xludf.DUMMYFUNCTION("""COMPUTED_VALUE"""),"0.001321")</f>
        <v>#NAME?</v>
      </c>
      <c r="E349" s="100" t="e">
        <f t="shared" ca="1" si="59"/>
        <v>#NAME?</v>
      </c>
      <c r="F349" s="100" t="e">
        <f t="shared" ca="1" si="59"/>
        <v>#NAME?</v>
      </c>
      <c r="G349" s="100" t="e">
        <f t="shared" ca="1" si="53"/>
        <v>#NAME?</v>
      </c>
      <c r="H349" s="100" t="e">
        <f t="shared" ca="1" si="54"/>
        <v>#NAME?</v>
      </c>
      <c r="I349" s="100" t="e">
        <f t="shared" ca="1" si="55"/>
        <v>#NAME?</v>
      </c>
      <c r="J349" s="100" t="e">
        <f t="shared" ca="1" si="56"/>
        <v>#NAME?</v>
      </c>
      <c r="K349" s="100" t="e">
        <f t="shared" ca="1" si="57"/>
        <v>#NAME?</v>
      </c>
      <c r="L349" s="100" t="e">
        <f t="shared" ca="1" si="58"/>
        <v>#NAME?</v>
      </c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</row>
    <row r="350" spans="1:27">
      <c r="A350" s="100" t="e">
        <f t="shared" ca="1" si="51"/>
        <v>#NAME?</v>
      </c>
      <c r="B350" s="100" t="e">
        <f ca="1">IFERROR(__xludf.DUMMYFUNCTION("""COMPUTED_VALUE"""),349)</f>
        <v>#NAME?</v>
      </c>
      <c r="C350" s="100" t="e">
        <f ca="1">IFERROR(__xludf.DUMMYFUNCTION("""COMPUTED_VALUE"""),"HMSTR-USD")</f>
        <v>#NAME?</v>
      </c>
      <c r="D350" s="100" t="e">
        <f ca="1">IFERROR(__xludf.DUMMYFUNCTION("""COMPUTED_VALUE"""),"0.002617")</f>
        <v>#NAME?</v>
      </c>
      <c r="E350" s="100" t="e">
        <f t="shared" ca="1" si="59"/>
        <v>#NAME?</v>
      </c>
      <c r="F350" s="100" t="e">
        <f t="shared" ca="1" si="59"/>
        <v>#NAME?</v>
      </c>
      <c r="G350" s="100" t="e">
        <f t="shared" ca="1" si="53"/>
        <v>#NAME?</v>
      </c>
      <c r="H350" s="100" t="e">
        <f t="shared" ca="1" si="54"/>
        <v>#NAME?</v>
      </c>
      <c r="I350" s="100" t="e">
        <f t="shared" ca="1" si="55"/>
        <v>#NAME?</v>
      </c>
      <c r="J350" s="100" t="e">
        <f t="shared" ca="1" si="56"/>
        <v>#NAME?</v>
      </c>
      <c r="K350" s="100" t="e">
        <f t="shared" ca="1" si="57"/>
        <v>#NAME?</v>
      </c>
      <c r="L350" s="100" t="e">
        <f t="shared" ca="1" si="58"/>
        <v>#NAME?</v>
      </c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</row>
    <row r="351" spans="1:27">
      <c r="A351" s="100" t="e">
        <f t="shared" ca="1" si="51"/>
        <v>#NAME?</v>
      </c>
      <c r="B351" s="100" t="e">
        <f ca="1">IFERROR(__xludf.DUMMYFUNCTION("""COMPUTED_VALUE"""),350)</f>
        <v>#NAME?</v>
      </c>
      <c r="C351" s="100" t="e">
        <f ca="1">IFERROR(__xludf.DUMMYFUNCTION("""COMPUTED_VALUE"""),"RADAR-USDT")</f>
        <v>#NAME?</v>
      </c>
      <c r="D351" s="100" t="e">
        <f ca="1">IFERROR(__xludf.DUMMYFUNCTION("""COMPUTED_VALUE"""),"0.002594")</f>
        <v>#NAME?</v>
      </c>
      <c r="E351" s="100" t="e">
        <f t="shared" ca="1" si="59"/>
        <v>#NAME?</v>
      </c>
      <c r="F351" s="100" t="e">
        <f t="shared" ca="1" si="59"/>
        <v>#NAME?</v>
      </c>
      <c r="G351" s="100" t="e">
        <f t="shared" ca="1" si="53"/>
        <v>#NAME?</v>
      </c>
      <c r="H351" s="100" t="e">
        <f t="shared" ca="1" si="54"/>
        <v>#NAME?</v>
      </c>
      <c r="I351" s="100" t="e">
        <f t="shared" ca="1" si="55"/>
        <v>#NAME?</v>
      </c>
      <c r="J351" s="100" t="e">
        <f t="shared" ca="1" si="56"/>
        <v>#NAME?</v>
      </c>
      <c r="K351" s="100" t="e">
        <f t="shared" ca="1" si="57"/>
        <v>#NAME?</v>
      </c>
      <c r="L351" s="100" t="e">
        <f t="shared" ca="1" si="58"/>
        <v>#NAME?</v>
      </c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</row>
    <row r="352" spans="1:27">
      <c r="A352" s="100" t="e">
        <f t="shared" ca="1" si="51"/>
        <v>#NAME?</v>
      </c>
      <c r="B352" s="100" t="e">
        <f ca="1">IFERROR(__xludf.DUMMYFUNCTION("""COMPUTED_VALUE"""),351)</f>
        <v>#NAME?</v>
      </c>
      <c r="C352" s="100" t="e">
        <f ca="1">IFERROR(__xludf.DUMMYFUNCTION("""COMPUTED_VALUE"""),"ZEUS-USDC")</f>
        <v>#NAME?</v>
      </c>
      <c r="D352" s="100" t="e">
        <f ca="1">IFERROR(__xludf.DUMMYFUNCTION("""COMPUTED_VALUE"""),"0.2584")</f>
        <v>#NAME?</v>
      </c>
      <c r="E352" s="100" t="e">
        <f t="shared" ca="1" si="59"/>
        <v>#NAME?</v>
      </c>
      <c r="F352" s="100" t="e">
        <f t="shared" ca="1" si="59"/>
        <v>#NAME?</v>
      </c>
      <c r="G352" s="100" t="e">
        <f t="shared" ca="1" si="53"/>
        <v>#NAME?</v>
      </c>
      <c r="H352" s="100" t="e">
        <f t="shared" ca="1" si="54"/>
        <v>#NAME?</v>
      </c>
      <c r="I352" s="100" t="e">
        <f t="shared" ca="1" si="55"/>
        <v>#NAME?</v>
      </c>
      <c r="J352" s="100" t="e">
        <f t="shared" ca="1" si="56"/>
        <v>#NAME?</v>
      </c>
      <c r="K352" s="100" t="e">
        <f t="shared" ca="1" si="57"/>
        <v>#NAME?</v>
      </c>
      <c r="L352" s="100" t="e">
        <f t="shared" ca="1" si="58"/>
        <v>#NAME?</v>
      </c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</row>
    <row r="353" spans="1:27">
      <c r="A353" s="100" t="e">
        <f t="shared" ca="1" si="51"/>
        <v>#NAME?</v>
      </c>
      <c r="B353" s="100" t="e">
        <f ca="1">IFERROR(__xludf.DUMMYFUNCTION("""COMPUTED_VALUE"""),352)</f>
        <v>#NAME?</v>
      </c>
      <c r="C353" s="100" t="e">
        <f ca="1">IFERROR(__xludf.DUMMYFUNCTION("""COMPUTED_VALUE"""),"XCH-USDT")</f>
        <v>#NAME?</v>
      </c>
      <c r="D353" s="100" t="e">
        <f ca="1">IFERROR(__xludf.DUMMYFUNCTION("""COMPUTED_VALUE"""),"10.86")</f>
        <v>#NAME?</v>
      </c>
      <c r="E353" s="100" t="e">
        <f t="shared" ca="1" si="59"/>
        <v>#NAME?</v>
      </c>
      <c r="F353" s="100" t="e">
        <f t="shared" ca="1" si="59"/>
        <v>#NAME?</v>
      </c>
      <c r="G353" s="100" t="e">
        <f t="shared" ca="1" si="53"/>
        <v>#NAME?</v>
      </c>
      <c r="H353" s="100" t="e">
        <f t="shared" ca="1" si="54"/>
        <v>#NAME?</v>
      </c>
      <c r="I353" s="100" t="e">
        <f t="shared" ca="1" si="55"/>
        <v>#NAME?</v>
      </c>
      <c r="J353" s="100" t="e">
        <f t="shared" ca="1" si="56"/>
        <v>#NAME?</v>
      </c>
      <c r="K353" s="100" t="e">
        <f t="shared" ca="1" si="57"/>
        <v>#NAME?</v>
      </c>
      <c r="L353" s="100" t="e">
        <f t="shared" ca="1" si="58"/>
        <v>#NAME?</v>
      </c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</row>
    <row r="354" spans="1:27">
      <c r="A354" s="100" t="e">
        <f t="shared" ca="1" si="51"/>
        <v>#NAME?</v>
      </c>
      <c r="B354" s="100" t="e">
        <f ca="1">IFERROR(__xludf.DUMMYFUNCTION("""COMPUTED_VALUE"""),353)</f>
        <v>#NAME?</v>
      </c>
      <c r="C354" s="100" t="e">
        <f ca="1">IFERROR(__xludf.DUMMYFUNCTION("""COMPUTED_VALUE"""),"POLYDOGE-USD")</f>
        <v>#NAME?</v>
      </c>
      <c r="D354" s="100" t="e">
        <f ca="1">IFERROR(__xludf.DUMMYFUNCTION("""COMPUTED_VALUE"""),"0.000000005346")</f>
        <v>#NAME?</v>
      </c>
      <c r="E354" s="100" t="e">
        <f t="shared" ca="1" si="59"/>
        <v>#NAME?</v>
      </c>
      <c r="F354" s="100" t="e">
        <f t="shared" ca="1" si="59"/>
        <v>#NAME?</v>
      </c>
      <c r="G354" s="100" t="e">
        <f t="shared" ca="1" si="53"/>
        <v>#NAME?</v>
      </c>
      <c r="H354" s="100" t="e">
        <f t="shared" ca="1" si="54"/>
        <v>#NAME?</v>
      </c>
      <c r="I354" s="100" t="e">
        <f t="shared" ca="1" si="55"/>
        <v>#NAME?</v>
      </c>
      <c r="J354" s="100" t="e">
        <f t="shared" ca="1" si="56"/>
        <v>#NAME?</v>
      </c>
      <c r="K354" s="100" t="e">
        <f t="shared" ca="1" si="57"/>
        <v>#NAME?</v>
      </c>
      <c r="L354" s="100" t="e">
        <f t="shared" ca="1" si="58"/>
        <v>#NAME?</v>
      </c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</row>
    <row r="355" spans="1:27">
      <c r="A355" s="100" t="e">
        <f t="shared" ca="1" si="51"/>
        <v>#NAME?</v>
      </c>
      <c r="B355" s="100" t="e">
        <f ca="1">IFERROR(__xludf.DUMMYFUNCTION("""COMPUTED_VALUE"""),354)</f>
        <v>#NAME?</v>
      </c>
      <c r="C355" s="100" t="e">
        <f ca="1">IFERROR(__xludf.DUMMYFUNCTION("""COMPUTED_VALUE"""),"WBTC-BTC")</f>
        <v>#NAME?</v>
      </c>
      <c r="D355" s="100" t="e">
        <f ca="1">IFERROR(__xludf.DUMMYFUNCTION("""COMPUTED_VALUE"""),"0.9999")</f>
        <v>#NAME?</v>
      </c>
      <c r="E355" s="100" t="e">
        <f t="shared" ca="1" si="59"/>
        <v>#NAME?</v>
      </c>
      <c r="F355" s="100" t="e">
        <f t="shared" ca="1" si="59"/>
        <v>#NAME?</v>
      </c>
      <c r="G355" s="100" t="e">
        <f t="shared" ca="1" si="53"/>
        <v>#NAME?</v>
      </c>
      <c r="H355" s="100" t="e">
        <f t="shared" ca="1" si="54"/>
        <v>#NAME?</v>
      </c>
      <c r="I355" s="100" t="e">
        <f t="shared" ca="1" si="55"/>
        <v>#NAME?</v>
      </c>
      <c r="J355" s="100" t="e">
        <f t="shared" ca="1" si="56"/>
        <v>#NAME?</v>
      </c>
      <c r="K355" s="100" t="e">
        <f t="shared" ca="1" si="57"/>
        <v>#NAME?</v>
      </c>
      <c r="L355" s="100" t="e">
        <f t="shared" ca="1" si="58"/>
        <v>#NAME?</v>
      </c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</row>
    <row r="356" spans="1:27">
      <c r="A356" s="100" t="e">
        <f t="shared" ca="1" si="51"/>
        <v>#NAME?</v>
      </c>
      <c r="B356" s="100" t="e">
        <f ca="1">IFERROR(__xludf.DUMMYFUNCTION("""COMPUTED_VALUE"""),355)</f>
        <v>#NAME?</v>
      </c>
      <c r="C356" s="100" t="e">
        <f ca="1">IFERROR(__xludf.DUMMYFUNCTION("""COMPUTED_VALUE"""),"TURBO-USDT")</f>
        <v>#NAME?</v>
      </c>
      <c r="D356" s="100" t="e">
        <f ca="1">IFERROR(__xludf.DUMMYFUNCTION("""COMPUTED_VALUE"""),"0.002621")</f>
        <v>#NAME?</v>
      </c>
      <c r="E356" s="100" t="e">
        <f t="shared" ca="1" si="59"/>
        <v>#NAME?</v>
      </c>
      <c r="F356" s="100" t="e">
        <f t="shared" ca="1" si="59"/>
        <v>#NAME?</v>
      </c>
      <c r="G356" s="100" t="e">
        <f t="shared" ca="1" si="53"/>
        <v>#NAME?</v>
      </c>
      <c r="H356" s="100" t="e">
        <f t="shared" ca="1" si="54"/>
        <v>#NAME?</v>
      </c>
      <c r="I356" s="100" t="e">
        <f t="shared" ca="1" si="55"/>
        <v>#NAME?</v>
      </c>
      <c r="J356" s="100" t="e">
        <f t="shared" ca="1" si="56"/>
        <v>#NAME?</v>
      </c>
      <c r="K356" s="100" t="e">
        <f t="shared" ca="1" si="57"/>
        <v>#NAME?</v>
      </c>
      <c r="L356" s="100" t="e">
        <f t="shared" ca="1" si="58"/>
        <v>#NAME?</v>
      </c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</row>
    <row r="357" spans="1:27">
      <c r="A357" s="100" t="e">
        <f t="shared" ca="1" si="51"/>
        <v>#NAME?</v>
      </c>
      <c r="B357" s="100" t="e">
        <f ca="1">IFERROR(__xludf.DUMMYFUNCTION("""COMPUTED_VALUE"""),356)</f>
        <v>#NAME?</v>
      </c>
      <c r="C357" s="100" t="e">
        <f ca="1">IFERROR(__xludf.DUMMYFUNCTION("""COMPUTED_VALUE"""),"DOGE-USD")</f>
        <v>#NAME?</v>
      </c>
      <c r="D357" s="100" t="e">
        <f ca="1">IFERROR(__xludf.DUMMYFUNCTION("""COMPUTED_VALUE"""),"0.16349")</f>
        <v>#NAME?</v>
      </c>
      <c r="E357" s="100" t="e">
        <f t="shared" ca="1" si="59"/>
        <v>#NAME?</v>
      </c>
      <c r="F357" s="100" t="e">
        <f t="shared" ca="1" si="59"/>
        <v>#NAME?</v>
      </c>
      <c r="G357" s="100" t="e">
        <f t="shared" ca="1" si="53"/>
        <v>#NAME?</v>
      </c>
      <c r="H357" s="100" t="e">
        <f t="shared" ca="1" si="54"/>
        <v>#NAME?</v>
      </c>
      <c r="I357" s="100" t="e">
        <f t="shared" ca="1" si="55"/>
        <v>#NAME?</v>
      </c>
      <c r="J357" s="100" t="e">
        <f t="shared" ca="1" si="56"/>
        <v>#NAME?</v>
      </c>
      <c r="K357" s="100" t="e">
        <f t="shared" ca="1" si="57"/>
        <v>#NAME?</v>
      </c>
      <c r="L357" s="100" t="e">
        <f t="shared" ca="1" si="58"/>
        <v>#NAME?</v>
      </c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</row>
    <row r="358" spans="1:27">
      <c r="A358" s="100" t="e">
        <f t="shared" ca="1" si="51"/>
        <v>#NAME?</v>
      </c>
      <c r="B358" s="100" t="e">
        <f ca="1">IFERROR(__xludf.DUMMYFUNCTION("""COMPUTED_VALUE"""),357)</f>
        <v>#NAME?</v>
      </c>
      <c r="C358" s="100" t="e">
        <f ca="1">IFERROR(__xludf.DUMMYFUNCTION("""COMPUTED_VALUE"""),"BETH-USDT")</f>
        <v>#NAME?</v>
      </c>
      <c r="D358" s="100" t="e">
        <f ca="1">IFERROR(__xludf.DUMMYFUNCTION("""COMPUTED_VALUE"""),"1624.8")</f>
        <v>#NAME?</v>
      </c>
      <c r="E358" s="100" t="e">
        <f t="shared" ca="1" si="59"/>
        <v>#NAME?</v>
      </c>
      <c r="F358" s="100" t="e">
        <f t="shared" ca="1" si="59"/>
        <v>#NAME?</v>
      </c>
      <c r="G358" s="100" t="e">
        <f t="shared" ca="1" si="53"/>
        <v>#NAME?</v>
      </c>
      <c r="H358" s="100" t="e">
        <f t="shared" ca="1" si="54"/>
        <v>#NAME?</v>
      </c>
      <c r="I358" s="100" t="e">
        <f t="shared" ca="1" si="55"/>
        <v>#NAME?</v>
      </c>
      <c r="J358" s="100" t="e">
        <f t="shared" ca="1" si="56"/>
        <v>#NAME?</v>
      </c>
      <c r="K358" s="100" t="e">
        <f t="shared" ca="1" si="57"/>
        <v>#NAME?</v>
      </c>
      <c r="L358" s="100" t="e">
        <f t="shared" ca="1" si="58"/>
        <v>#NAME?</v>
      </c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</row>
    <row r="359" spans="1:27">
      <c r="A359" s="100" t="e">
        <f t="shared" ca="1" si="51"/>
        <v>#NAME?</v>
      </c>
      <c r="B359" s="100" t="e">
        <f ca="1">IFERROR(__xludf.DUMMYFUNCTION("""COMPUTED_VALUE"""),358)</f>
        <v>#NAME?</v>
      </c>
      <c r="C359" s="100" t="e">
        <f ca="1">IFERROR(__xludf.DUMMYFUNCTION("""COMPUTED_VALUE"""),"ACH-USD")</f>
        <v>#NAME?</v>
      </c>
      <c r="D359" s="100" t="e">
        <f ca="1">IFERROR(__xludf.DUMMYFUNCTION("""COMPUTED_VALUE"""),"0.02567")</f>
        <v>#NAME?</v>
      </c>
      <c r="E359" s="100" t="e">
        <f t="shared" ca="1" si="59"/>
        <v>#NAME?</v>
      </c>
      <c r="F359" s="100" t="e">
        <f t="shared" ca="1" si="59"/>
        <v>#NAME?</v>
      </c>
      <c r="G359" s="100" t="e">
        <f t="shared" ca="1" si="53"/>
        <v>#NAME?</v>
      </c>
      <c r="H359" s="100" t="e">
        <f t="shared" ca="1" si="54"/>
        <v>#NAME?</v>
      </c>
      <c r="I359" s="100" t="e">
        <f t="shared" ca="1" si="55"/>
        <v>#NAME?</v>
      </c>
      <c r="J359" s="100" t="e">
        <f t="shared" ca="1" si="56"/>
        <v>#NAME?</v>
      </c>
      <c r="K359" s="100" t="e">
        <f t="shared" ca="1" si="57"/>
        <v>#NAME?</v>
      </c>
      <c r="L359" s="100" t="e">
        <f t="shared" ca="1" si="58"/>
        <v>#NAME?</v>
      </c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</row>
    <row r="360" spans="1:27">
      <c r="A360" s="100" t="e">
        <f t="shared" ca="1" si="51"/>
        <v>#NAME?</v>
      </c>
      <c r="B360" s="100" t="e">
        <f ca="1">IFERROR(__xludf.DUMMYFUNCTION("""COMPUTED_VALUE"""),359)</f>
        <v>#NAME?</v>
      </c>
      <c r="C360" s="100" t="e">
        <f ca="1">IFERROR(__xludf.DUMMYFUNCTION("""COMPUTED_VALUE"""),"EURC-USD")</f>
        <v>#NAME?</v>
      </c>
      <c r="D360" s="100" t="e">
        <f ca="1">IFERROR(__xludf.DUMMYFUNCTION("""COMPUTED_VALUE"""),"1.1496")</f>
        <v>#NAME?</v>
      </c>
      <c r="E360" s="100" t="e">
        <f t="shared" ca="1" si="59"/>
        <v>#NAME?</v>
      </c>
      <c r="F360" s="100" t="e">
        <f t="shared" ca="1" si="59"/>
        <v>#NAME?</v>
      </c>
      <c r="G360" s="100" t="e">
        <f t="shared" ca="1" si="53"/>
        <v>#NAME?</v>
      </c>
      <c r="H360" s="100" t="e">
        <f t="shared" ca="1" si="54"/>
        <v>#NAME?</v>
      </c>
      <c r="I360" s="100" t="e">
        <f t="shared" ca="1" si="55"/>
        <v>#NAME?</v>
      </c>
      <c r="J360" s="100" t="e">
        <f t="shared" ca="1" si="56"/>
        <v>#NAME?</v>
      </c>
      <c r="K360" s="100" t="e">
        <f t="shared" ca="1" si="57"/>
        <v>#NAME?</v>
      </c>
      <c r="L360" s="100" t="e">
        <f t="shared" ca="1" si="58"/>
        <v>#NAME?</v>
      </c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</row>
    <row r="361" spans="1:27">
      <c r="A361" s="100" t="e">
        <f t="shared" ca="1" si="51"/>
        <v>#NAME?</v>
      </c>
      <c r="B361" s="100" t="e">
        <f ca="1">IFERROR(__xludf.DUMMYFUNCTION("""COMPUTED_VALUE"""),360)</f>
        <v>#NAME?</v>
      </c>
      <c r="C361" s="100" t="e">
        <f ca="1">IFERROR(__xludf.DUMMYFUNCTION("""COMPUTED_VALUE"""),"1INCH-USDT")</f>
        <v>#NAME?</v>
      </c>
      <c r="D361" s="100" t="e">
        <f ca="1">IFERROR(__xludf.DUMMYFUNCTION("""COMPUTED_VALUE"""),"0.1752")</f>
        <v>#NAME?</v>
      </c>
      <c r="E361" s="100" t="e">
        <f t="shared" ca="1" si="59"/>
        <v>#NAME?</v>
      </c>
      <c r="F361" s="100" t="e">
        <f t="shared" ca="1" si="59"/>
        <v>#NAME?</v>
      </c>
      <c r="G361" s="100" t="e">
        <f t="shared" ca="1" si="53"/>
        <v>#NAME?</v>
      </c>
      <c r="H361" s="100" t="e">
        <f t="shared" ca="1" si="54"/>
        <v>#NAME?</v>
      </c>
      <c r="I361" s="100" t="e">
        <f t="shared" ca="1" si="55"/>
        <v>#NAME?</v>
      </c>
      <c r="J361" s="100" t="e">
        <f t="shared" ca="1" si="56"/>
        <v>#NAME?</v>
      </c>
      <c r="K361" s="100" t="e">
        <f t="shared" ca="1" si="57"/>
        <v>#NAME?</v>
      </c>
      <c r="L361" s="100" t="e">
        <f t="shared" ca="1" si="58"/>
        <v>#NAME?</v>
      </c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</row>
    <row r="362" spans="1:27">
      <c r="A362" s="100" t="e">
        <f t="shared" ca="1" si="51"/>
        <v>#NAME?</v>
      </c>
      <c r="B362" s="100" t="e">
        <f ca="1">IFERROR(__xludf.DUMMYFUNCTION("""COMPUTED_VALUE"""),361)</f>
        <v>#NAME?</v>
      </c>
      <c r="C362" s="100" t="e">
        <f ca="1">IFERROR(__xludf.DUMMYFUNCTION("""COMPUTED_VALUE"""),"PERP-USDT")</f>
        <v>#NAME?</v>
      </c>
      <c r="D362" s="100" t="e">
        <f ca="1">IFERROR(__xludf.DUMMYFUNCTION("""COMPUTED_VALUE"""),"0.2263")</f>
        <v>#NAME?</v>
      </c>
      <c r="E362" s="100" t="e">
        <f t="shared" ref="E362:F381" ca="1" si="60">IFERROR(__xludf.DUMMYFUNCTION("""COMPUTED_VALUE"""),"-")</f>
        <v>#NAME?</v>
      </c>
      <c r="F362" s="100" t="e">
        <f t="shared" ca="1" si="60"/>
        <v>#NAME?</v>
      </c>
      <c r="G362" s="100" t="e">
        <f t="shared" ca="1" si="53"/>
        <v>#NAME?</v>
      </c>
      <c r="H362" s="100" t="e">
        <f t="shared" ca="1" si="54"/>
        <v>#NAME?</v>
      </c>
      <c r="I362" s="100" t="e">
        <f t="shared" ca="1" si="55"/>
        <v>#NAME?</v>
      </c>
      <c r="J362" s="100" t="e">
        <f t="shared" ca="1" si="56"/>
        <v>#NAME?</v>
      </c>
      <c r="K362" s="100" t="e">
        <f t="shared" ca="1" si="57"/>
        <v>#NAME?</v>
      </c>
      <c r="L362" s="100" t="e">
        <f t="shared" ca="1" si="58"/>
        <v>#NAME?</v>
      </c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</row>
    <row r="363" spans="1:27">
      <c r="A363" s="100" t="e">
        <f t="shared" ca="1" si="51"/>
        <v>#NAME?</v>
      </c>
      <c r="B363" s="100" t="e">
        <f ca="1">IFERROR(__xludf.DUMMYFUNCTION("""COMPUTED_VALUE"""),362)</f>
        <v>#NAME?</v>
      </c>
      <c r="C363" s="100" t="e">
        <f ca="1">IFERROR(__xludf.DUMMYFUNCTION("""COMPUTED_VALUE"""),"BONE-USDT")</f>
        <v>#NAME?</v>
      </c>
      <c r="D363" s="100" t="e">
        <f ca="1">IFERROR(__xludf.DUMMYFUNCTION("""COMPUTED_VALUE"""),"0.2809")</f>
        <v>#NAME?</v>
      </c>
      <c r="E363" s="100" t="e">
        <f t="shared" ca="1" si="60"/>
        <v>#NAME?</v>
      </c>
      <c r="F363" s="100" t="e">
        <f t="shared" ca="1" si="60"/>
        <v>#NAME?</v>
      </c>
      <c r="G363" s="100" t="e">
        <f t="shared" ca="1" si="53"/>
        <v>#NAME?</v>
      </c>
      <c r="H363" s="100" t="e">
        <f t="shared" ca="1" si="54"/>
        <v>#NAME?</v>
      </c>
      <c r="I363" s="100" t="e">
        <f t="shared" ca="1" si="55"/>
        <v>#NAME?</v>
      </c>
      <c r="J363" s="100" t="e">
        <f t="shared" ca="1" si="56"/>
        <v>#NAME?</v>
      </c>
      <c r="K363" s="100" t="e">
        <f t="shared" ca="1" si="57"/>
        <v>#NAME?</v>
      </c>
      <c r="L363" s="100" t="e">
        <f t="shared" ca="1" si="58"/>
        <v>#NAME?</v>
      </c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</row>
    <row r="364" spans="1:27">
      <c r="A364" s="100" t="e">
        <f t="shared" ca="1" si="51"/>
        <v>#NAME?</v>
      </c>
      <c r="B364" s="100" t="e">
        <f ca="1">IFERROR(__xludf.DUMMYFUNCTION("""COMPUTED_VALUE"""),363)</f>
        <v>#NAME?</v>
      </c>
      <c r="C364" s="100" t="e">
        <f ca="1">IFERROR(__xludf.DUMMYFUNCTION("""COMPUTED_VALUE"""),"ARTY-USD")</f>
        <v>#NAME?</v>
      </c>
      <c r="D364" s="100" t="e">
        <f ca="1">IFERROR(__xludf.DUMMYFUNCTION("""COMPUTED_VALUE"""),"0.24")</f>
        <v>#NAME?</v>
      </c>
      <c r="E364" s="100" t="e">
        <f t="shared" ca="1" si="60"/>
        <v>#NAME?</v>
      </c>
      <c r="F364" s="100" t="e">
        <f t="shared" ca="1" si="60"/>
        <v>#NAME?</v>
      </c>
      <c r="G364" s="100" t="e">
        <f t="shared" ca="1" si="53"/>
        <v>#NAME?</v>
      </c>
      <c r="H364" s="100" t="e">
        <f t="shared" ca="1" si="54"/>
        <v>#NAME?</v>
      </c>
      <c r="I364" s="100" t="e">
        <f t="shared" ca="1" si="55"/>
        <v>#NAME?</v>
      </c>
      <c r="J364" s="100" t="e">
        <f t="shared" ca="1" si="56"/>
        <v>#NAME?</v>
      </c>
      <c r="K364" s="100" t="e">
        <f t="shared" ca="1" si="57"/>
        <v>#NAME?</v>
      </c>
      <c r="L364" s="100" t="e">
        <f t="shared" ca="1" si="58"/>
        <v>#NAME?</v>
      </c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</row>
    <row r="365" spans="1:27">
      <c r="A365" s="100" t="e">
        <f t="shared" ca="1" si="51"/>
        <v>#NAME?</v>
      </c>
      <c r="B365" s="100" t="e">
        <f ca="1">IFERROR(__xludf.DUMMYFUNCTION("""COMPUTED_VALUE"""),364)</f>
        <v>#NAME?</v>
      </c>
      <c r="C365" s="100" t="e">
        <f ca="1">IFERROR(__xludf.DUMMYFUNCTION("""COMPUTED_VALUE"""),"TURBO-USDC")</f>
        <v>#NAME?</v>
      </c>
      <c r="D365" s="100" t="e">
        <f ca="1">IFERROR(__xludf.DUMMYFUNCTION("""COMPUTED_VALUE"""),"0.002561")</f>
        <v>#NAME?</v>
      </c>
      <c r="E365" s="100" t="e">
        <f t="shared" ca="1" si="60"/>
        <v>#NAME?</v>
      </c>
      <c r="F365" s="100" t="e">
        <f t="shared" ca="1" si="60"/>
        <v>#NAME?</v>
      </c>
      <c r="G365" s="100" t="e">
        <f t="shared" ca="1" si="53"/>
        <v>#NAME?</v>
      </c>
      <c r="H365" s="100" t="e">
        <f t="shared" ca="1" si="54"/>
        <v>#NAME?</v>
      </c>
      <c r="I365" s="100" t="e">
        <f t="shared" ca="1" si="55"/>
        <v>#NAME?</v>
      </c>
      <c r="J365" s="100" t="e">
        <f t="shared" ca="1" si="56"/>
        <v>#NAME?</v>
      </c>
      <c r="K365" s="100" t="e">
        <f t="shared" ca="1" si="57"/>
        <v>#NAME?</v>
      </c>
      <c r="L365" s="100" t="e">
        <f t="shared" ca="1" si="58"/>
        <v>#NAME?</v>
      </c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</row>
    <row r="366" spans="1:27">
      <c r="A366" s="100" t="e">
        <f t="shared" ca="1" si="51"/>
        <v>#NAME?</v>
      </c>
      <c r="B366" s="100" t="e">
        <f ca="1">IFERROR(__xludf.DUMMYFUNCTION("""COMPUTED_VALUE"""),365)</f>
        <v>#NAME?</v>
      </c>
      <c r="C366" s="100" t="e">
        <f ca="1">IFERROR(__xludf.DUMMYFUNCTION("""COMPUTED_VALUE"""),"XTZ-EUR")</f>
        <v>#NAME?</v>
      </c>
      <c r="D366" s="100" t="e">
        <f ca="1">IFERROR(__xludf.DUMMYFUNCTION("""COMPUTED_VALUE"""),"0.4404")</f>
        <v>#NAME?</v>
      </c>
      <c r="E366" s="100" t="e">
        <f t="shared" ca="1" si="60"/>
        <v>#NAME?</v>
      </c>
      <c r="F366" s="100" t="e">
        <f t="shared" ca="1" si="60"/>
        <v>#NAME?</v>
      </c>
      <c r="G366" s="100" t="e">
        <f t="shared" ca="1" si="53"/>
        <v>#NAME?</v>
      </c>
      <c r="H366" s="100" t="e">
        <f t="shared" ca="1" si="54"/>
        <v>#NAME?</v>
      </c>
      <c r="I366" s="100" t="e">
        <f t="shared" ca="1" si="55"/>
        <v>#NAME?</v>
      </c>
      <c r="J366" s="100" t="e">
        <f t="shared" ca="1" si="56"/>
        <v>#NAME?</v>
      </c>
      <c r="K366" s="100" t="e">
        <f t="shared" ca="1" si="57"/>
        <v>#NAME?</v>
      </c>
      <c r="L366" s="100" t="e">
        <f t="shared" ca="1" si="58"/>
        <v>#NAME?</v>
      </c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</row>
    <row r="367" spans="1:27">
      <c r="A367" s="100" t="e">
        <f t="shared" ca="1" si="51"/>
        <v>#NAME?</v>
      </c>
      <c r="B367" s="100" t="e">
        <f ca="1">IFERROR(__xludf.DUMMYFUNCTION("""COMPUTED_VALUE"""),366)</f>
        <v>#NAME?</v>
      </c>
      <c r="C367" s="100" t="e">
        <f ca="1">IFERROR(__xludf.DUMMYFUNCTION("""COMPUTED_VALUE"""),"J-USDT")</f>
        <v>#NAME?</v>
      </c>
      <c r="D367" s="100" t="e">
        <f ca="1">IFERROR(__xludf.DUMMYFUNCTION("""COMPUTED_VALUE"""),"0.224")</f>
        <v>#NAME?</v>
      </c>
      <c r="E367" s="100" t="e">
        <f t="shared" ca="1" si="60"/>
        <v>#NAME?</v>
      </c>
      <c r="F367" s="100" t="e">
        <f t="shared" ca="1" si="60"/>
        <v>#NAME?</v>
      </c>
      <c r="G367" s="100" t="e">
        <f t="shared" ca="1" si="53"/>
        <v>#NAME?</v>
      </c>
      <c r="H367" s="100" t="e">
        <f t="shared" ca="1" si="54"/>
        <v>#NAME?</v>
      </c>
      <c r="I367" s="100" t="e">
        <f t="shared" ca="1" si="55"/>
        <v>#NAME?</v>
      </c>
      <c r="J367" s="100" t="e">
        <f t="shared" ca="1" si="56"/>
        <v>#NAME?</v>
      </c>
      <c r="K367" s="100" t="e">
        <f t="shared" ca="1" si="57"/>
        <v>#NAME?</v>
      </c>
      <c r="L367" s="100" t="e">
        <f t="shared" ca="1" si="58"/>
        <v>#NAME?</v>
      </c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</row>
    <row r="368" spans="1:27">
      <c r="A368" s="100" t="e">
        <f t="shared" ca="1" si="51"/>
        <v>#NAME?</v>
      </c>
      <c r="B368" s="100" t="e">
        <f ca="1">IFERROR(__xludf.DUMMYFUNCTION("""COMPUTED_VALUE"""),367)</f>
        <v>#NAME?</v>
      </c>
      <c r="C368" s="100" t="e">
        <f ca="1">IFERROR(__xludf.DUMMYFUNCTION("""COMPUTED_VALUE"""),"EGLD-USD")</f>
        <v>#NAME?</v>
      </c>
      <c r="D368" s="100" t="e">
        <f ca="1">IFERROR(__xludf.DUMMYFUNCTION("""COMPUTED_VALUE"""),"14.45")</f>
        <v>#NAME?</v>
      </c>
      <c r="E368" s="100" t="e">
        <f t="shared" ca="1" si="60"/>
        <v>#NAME?</v>
      </c>
      <c r="F368" s="100" t="e">
        <f t="shared" ca="1" si="60"/>
        <v>#NAME?</v>
      </c>
      <c r="G368" s="100" t="e">
        <f t="shared" ca="1" si="53"/>
        <v>#NAME?</v>
      </c>
      <c r="H368" s="100" t="e">
        <f t="shared" ca="1" si="54"/>
        <v>#NAME?</v>
      </c>
      <c r="I368" s="100" t="e">
        <f t="shared" ca="1" si="55"/>
        <v>#NAME?</v>
      </c>
      <c r="J368" s="100" t="e">
        <f t="shared" ca="1" si="56"/>
        <v>#NAME?</v>
      </c>
      <c r="K368" s="100" t="e">
        <f t="shared" ca="1" si="57"/>
        <v>#NAME?</v>
      </c>
      <c r="L368" s="100" t="e">
        <f t="shared" ca="1" si="58"/>
        <v>#NAME?</v>
      </c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</row>
    <row r="369" spans="1:27">
      <c r="A369" s="100" t="e">
        <f t="shared" ca="1" si="51"/>
        <v>#NAME?</v>
      </c>
      <c r="B369" s="100" t="e">
        <f ca="1">IFERROR(__xludf.DUMMYFUNCTION("""COMPUTED_VALUE"""),368)</f>
        <v>#NAME?</v>
      </c>
      <c r="C369" s="100" t="e">
        <f ca="1">IFERROR(__xludf.DUMMYFUNCTION("""COMPUTED_VALUE"""),"1INCH-USDC")</f>
        <v>#NAME?</v>
      </c>
      <c r="D369" s="100" t="e">
        <f ca="1">IFERROR(__xludf.DUMMYFUNCTION("""COMPUTED_VALUE"""),"0.1724")</f>
        <v>#NAME?</v>
      </c>
      <c r="E369" s="100" t="e">
        <f t="shared" ca="1" si="60"/>
        <v>#NAME?</v>
      </c>
      <c r="F369" s="100" t="e">
        <f t="shared" ca="1" si="60"/>
        <v>#NAME?</v>
      </c>
      <c r="G369" s="100" t="e">
        <f t="shared" ca="1" si="53"/>
        <v>#NAME?</v>
      </c>
      <c r="H369" s="100" t="e">
        <f t="shared" ca="1" si="54"/>
        <v>#NAME?</v>
      </c>
      <c r="I369" s="100" t="e">
        <f t="shared" ca="1" si="55"/>
        <v>#NAME?</v>
      </c>
      <c r="J369" s="100" t="e">
        <f t="shared" ca="1" si="56"/>
        <v>#NAME?</v>
      </c>
      <c r="K369" s="100" t="e">
        <f t="shared" ca="1" si="57"/>
        <v>#NAME?</v>
      </c>
      <c r="L369" s="100" t="e">
        <f t="shared" ca="1" si="58"/>
        <v>#NAME?</v>
      </c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</row>
    <row r="370" spans="1:27">
      <c r="A370" s="100" t="e">
        <f t="shared" ca="1" si="51"/>
        <v>#NAME?</v>
      </c>
      <c r="B370" s="100" t="e">
        <f ca="1">IFERROR(__xludf.DUMMYFUNCTION("""COMPUTED_VALUE"""),369)</f>
        <v>#NAME?</v>
      </c>
      <c r="C370" s="100" t="e">
        <f ca="1">IFERROR(__xludf.DUMMYFUNCTION("""COMPUTED_VALUE"""),"TRUMP-BRL")</f>
        <v>#NAME?</v>
      </c>
      <c r="D370" s="100" t="e">
        <f ca="1">IFERROR(__xludf.DUMMYFUNCTION("""COMPUTED_VALUE"""),"47.86")</f>
        <v>#NAME?</v>
      </c>
      <c r="E370" s="100" t="e">
        <f t="shared" ca="1" si="60"/>
        <v>#NAME?</v>
      </c>
      <c r="F370" s="100" t="e">
        <f t="shared" ca="1" si="60"/>
        <v>#NAME?</v>
      </c>
      <c r="G370" s="100" t="e">
        <f t="shared" ca="1" si="53"/>
        <v>#NAME?</v>
      </c>
      <c r="H370" s="100" t="e">
        <f t="shared" ca="1" si="54"/>
        <v>#NAME?</v>
      </c>
      <c r="I370" s="100" t="e">
        <f t="shared" ca="1" si="55"/>
        <v>#NAME?</v>
      </c>
      <c r="J370" s="100" t="e">
        <f t="shared" ca="1" si="56"/>
        <v>#NAME?</v>
      </c>
      <c r="K370" s="100" t="e">
        <f t="shared" ca="1" si="57"/>
        <v>#NAME?</v>
      </c>
      <c r="L370" s="100" t="e">
        <f t="shared" ca="1" si="58"/>
        <v>#NAME?</v>
      </c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</row>
    <row r="371" spans="1:27">
      <c r="A371" s="100" t="e">
        <f t="shared" ca="1" si="51"/>
        <v>#NAME?</v>
      </c>
      <c r="B371" s="100" t="e">
        <f ca="1">IFERROR(__xludf.DUMMYFUNCTION("""COMPUTED_VALUE"""),370)</f>
        <v>#NAME?</v>
      </c>
      <c r="C371" s="100" t="e">
        <f ca="1">IFERROR(__xludf.DUMMYFUNCTION("""COMPUTED_VALUE"""),"CELR-USD")</f>
        <v>#NAME?</v>
      </c>
      <c r="D371" s="100" t="e">
        <f ca="1">IFERROR(__xludf.DUMMYFUNCTION("""COMPUTED_VALUE"""),"0.009031")</f>
        <v>#NAME?</v>
      </c>
      <c r="E371" s="100" t="e">
        <f t="shared" ca="1" si="60"/>
        <v>#NAME?</v>
      </c>
      <c r="F371" s="100" t="e">
        <f t="shared" ca="1" si="60"/>
        <v>#NAME?</v>
      </c>
      <c r="G371" s="100" t="e">
        <f t="shared" ca="1" si="53"/>
        <v>#NAME?</v>
      </c>
      <c r="H371" s="100" t="e">
        <f t="shared" ca="1" si="54"/>
        <v>#NAME?</v>
      </c>
      <c r="I371" s="100" t="e">
        <f t="shared" ca="1" si="55"/>
        <v>#NAME?</v>
      </c>
      <c r="J371" s="100" t="e">
        <f t="shared" ca="1" si="56"/>
        <v>#NAME?</v>
      </c>
      <c r="K371" s="100" t="e">
        <f t="shared" ca="1" si="57"/>
        <v>#NAME?</v>
      </c>
      <c r="L371" s="100" t="e">
        <f t="shared" ca="1" si="58"/>
        <v>#NAME?</v>
      </c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</row>
    <row r="372" spans="1:27">
      <c r="A372" s="100" t="e">
        <f t="shared" ca="1" si="51"/>
        <v>#NAME?</v>
      </c>
      <c r="B372" s="100" t="e">
        <f ca="1">IFERROR(__xludf.DUMMYFUNCTION("""COMPUTED_VALUE"""),371)</f>
        <v>#NAME?</v>
      </c>
      <c r="C372" s="100" t="e">
        <f ca="1">IFERROR(__xludf.DUMMYFUNCTION("""COMPUTED_VALUE"""),"STX-USDC")</f>
        <v>#NAME?</v>
      </c>
      <c r="D372" s="100" t="e">
        <f ca="1">IFERROR(__xludf.DUMMYFUNCTION("""COMPUTED_VALUE"""),"0.7534")</f>
        <v>#NAME?</v>
      </c>
      <c r="E372" s="100" t="e">
        <f t="shared" ca="1" si="60"/>
        <v>#NAME?</v>
      </c>
      <c r="F372" s="100" t="e">
        <f t="shared" ca="1" si="60"/>
        <v>#NAME?</v>
      </c>
      <c r="G372" s="100" t="e">
        <f t="shared" ca="1" si="53"/>
        <v>#NAME?</v>
      </c>
      <c r="H372" s="100" t="e">
        <f t="shared" ca="1" si="54"/>
        <v>#NAME?</v>
      </c>
      <c r="I372" s="100" t="e">
        <f t="shared" ca="1" si="55"/>
        <v>#NAME?</v>
      </c>
      <c r="J372" s="100" t="e">
        <f t="shared" ca="1" si="56"/>
        <v>#NAME?</v>
      </c>
      <c r="K372" s="100" t="e">
        <f t="shared" ca="1" si="57"/>
        <v>#NAME?</v>
      </c>
      <c r="L372" s="100" t="e">
        <f t="shared" ca="1" si="58"/>
        <v>#NAME?</v>
      </c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</row>
    <row r="373" spans="1:27">
      <c r="A373" s="100" t="e">
        <f t="shared" ca="1" si="51"/>
        <v>#NAME?</v>
      </c>
      <c r="B373" s="100" t="e">
        <f ca="1">IFERROR(__xludf.DUMMYFUNCTION("""COMPUTED_VALUE"""),372)</f>
        <v>#NAME?</v>
      </c>
      <c r="C373" s="100" t="e">
        <f ca="1">IFERROR(__xludf.DUMMYFUNCTION("""COMPUTED_VALUE"""),"ETH-USDC")</f>
        <v>#NAME?</v>
      </c>
      <c r="D373" s="100" t="e">
        <f ca="1">IFERROR(__xludf.DUMMYFUNCTION("""COMPUTED_VALUE"""),"1626.55")</f>
        <v>#NAME?</v>
      </c>
      <c r="E373" s="100" t="e">
        <f t="shared" ca="1" si="60"/>
        <v>#NAME?</v>
      </c>
      <c r="F373" s="100" t="e">
        <f t="shared" ca="1" si="60"/>
        <v>#NAME?</v>
      </c>
      <c r="G373" s="100" t="e">
        <f t="shared" ca="1" si="53"/>
        <v>#NAME?</v>
      </c>
      <c r="H373" s="100" t="e">
        <f t="shared" ca="1" si="54"/>
        <v>#NAME?</v>
      </c>
      <c r="I373" s="100" t="e">
        <f t="shared" ca="1" si="55"/>
        <v>#NAME?</v>
      </c>
      <c r="J373" s="100" t="e">
        <f t="shared" ca="1" si="56"/>
        <v>#NAME?</v>
      </c>
      <c r="K373" s="100" t="e">
        <f t="shared" ca="1" si="57"/>
        <v>#NAME?</v>
      </c>
      <c r="L373" s="100" t="e">
        <f t="shared" ca="1" si="58"/>
        <v>#NAME?</v>
      </c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</row>
    <row r="374" spans="1:27">
      <c r="A374" s="100" t="e">
        <f t="shared" ca="1" si="51"/>
        <v>#NAME?</v>
      </c>
      <c r="B374" s="100" t="e">
        <f ca="1">IFERROR(__xludf.DUMMYFUNCTION("""COMPUTED_VALUE"""),373)</f>
        <v>#NAME?</v>
      </c>
      <c r="C374" s="100" t="e">
        <f ca="1">IFERROR(__xludf.DUMMYFUNCTION("""COMPUTED_VALUE"""),"LOOKS-USD")</f>
        <v>#NAME?</v>
      </c>
      <c r="D374" s="100" t="e">
        <f ca="1">IFERROR(__xludf.DUMMYFUNCTION("""COMPUTED_VALUE"""),"0.01072")</f>
        <v>#NAME?</v>
      </c>
      <c r="E374" s="100" t="e">
        <f t="shared" ca="1" si="60"/>
        <v>#NAME?</v>
      </c>
      <c r="F374" s="100" t="e">
        <f t="shared" ca="1" si="60"/>
        <v>#NAME?</v>
      </c>
      <c r="G374" s="100" t="e">
        <f t="shared" ca="1" si="53"/>
        <v>#NAME?</v>
      </c>
      <c r="H374" s="100" t="e">
        <f t="shared" ca="1" si="54"/>
        <v>#NAME?</v>
      </c>
      <c r="I374" s="100" t="e">
        <f t="shared" ca="1" si="55"/>
        <v>#NAME?</v>
      </c>
      <c r="J374" s="100" t="e">
        <f t="shared" ca="1" si="56"/>
        <v>#NAME?</v>
      </c>
      <c r="K374" s="100" t="e">
        <f t="shared" ca="1" si="57"/>
        <v>#NAME?</v>
      </c>
      <c r="L374" s="100" t="e">
        <f t="shared" ca="1" si="58"/>
        <v>#NAME?</v>
      </c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</row>
    <row r="375" spans="1:27">
      <c r="A375" s="100" t="e">
        <f t="shared" ca="1" si="51"/>
        <v>#NAME?</v>
      </c>
      <c r="B375" s="100" t="e">
        <f ca="1">IFERROR(__xludf.DUMMYFUNCTION("""COMPUTED_VALUE"""),374)</f>
        <v>#NAME?</v>
      </c>
      <c r="C375" s="100" t="e">
        <f ca="1">IFERROR(__xludf.DUMMYFUNCTION("""COMPUTED_VALUE"""),"USDT-TRY")</f>
        <v>#NAME?</v>
      </c>
      <c r="D375" s="100" t="e">
        <f ca="1">IFERROR(__xludf.DUMMYFUNCTION("""COMPUTED_VALUE"""),"38.23")</f>
        <v>#NAME?</v>
      </c>
      <c r="E375" s="100" t="e">
        <f t="shared" ca="1" si="60"/>
        <v>#NAME?</v>
      </c>
      <c r="F375" s="100" t="e">
        <f t="shared" ca="1" si="60"/>
        <v>#NAME?</v>
      </c>
      <c r="G375" s="100" t="e">
        <f t="shared" ca="1" si="53"/>
        <v>#NAME?</v>
      </c>
      <c r="H375" s="100" t="e">
        <f t="shared" ca="1" si="54"/>
        <v>#NAME?</v>
      </c>
      <c r="I375" s="100" t="e">
        <f t="shared" ca="1" si="55"/>
        <v>#NAME?</v>
      </c>
      <c r="J375" s="100" t="e">
        <f t="shared" ca="1" si="56"/>
        <v>#NAME?</v>
      </c>
      <c r="K375" s="100" t="e">
        <f t="shared" ca="1" si="57"/>
        <v>#NAME?</v>
      </c>
      <c r="L375" s="100" t="e">
        <f t="shared" ca="1" si="58"/>
        <v>#NAME?</v>
      </c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</row>
    <row r="376" spans="1:27">
      <c r="A376" s="100" t="e">
        <f t="shared" ca="1" si="51"/>
        <v>#NAME?</v>
      </c>
      <c r="B376" s="100" t="e">
        <f ca="1">IFERROR(__xludf.DUMMYFUNCTION("""COMPUTED_VALUE"""),375)</f>
        <v>#NAME?</v>
      </c>
      <c r="C376" s="100" t="e">
        <f ca="1">IFERROR(__xludf.DUMMYFUNCTION("""COMPUTED_VALUE"""),"APE-USD")</f>
        <v>#NAME?</v>
      </c>
      <c r="D376" s="100" t="e">
        <f ca="1">IFERROR(__xludf.DUMMYFUNCTION("""COMPUTED_VALUE"""),"0.4632")</f>
        <v>#NAME?</v>
      </c>
      <c r="E376" s="100" t="e">
        <f t="shared" ca="1" si="60"/>
        <v>#NAME?</v>
      </c>
      <c r="F376" s="100" t="e">
        <f t="shared" ca="1" si="60"/>
        <v>#NAME?</v>
      </c>
      <c r="G376" s="100" t="e">
        <f t="shared" ca="1" si="53"/>
        <v>#NAME?</v>
      </c>
      <c r="H376" s="100" t="e">
        <f t="shared" ca="1" si="54"/>
        <v>#NAME?</v>
      </c>
      <c r="I376" s="100" t="e">
        <f t="shared" ca="1" si="55"/>
        <v>#NAME?</v>
      </c>
      <c r="J376" s="100" t="e">
        <f t="shared" ca="1" si="56"/>
        <v>#NAME?</v>
      </c>
      <c r="K376" s="100" t="e">
        <f t="shared" ca="1" si="57"/>
        <v>#NAME?</v>
      </c>
      <c r="L376" s="100" t="e">
        <f t="shared" ca="1" si="58"/>
        <v>#NAME?</v>
      </c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</row>
    <row r="377" spans="1:27">
      <c r="A377" s="100" t="e">
        <f t="shared" ca="1" si="51"/>
        <v>#NAME?</v>
      </c>
      <c r="B377" s="100" t="e">
        <f ca="1">IFERROR(__xludf.DUMMYFUNCTION("""COMPUTED_VALUE"""),376)</f>
        <v>#NAME?</v>
      </c>
      <c r="C377" s="100" t="e">
        <f ca="1">IFERROR(__xludf.DUMMYFUNCTION("""COMPUTED_VALUE"""),"ARKM-USD")</f>
        <v>#NAME?</v>
      </c>
      <c r="D377" s="100" t="e">
        <f ca="1">IFERROR(__xludf.DUMMYFUNCTION("""COMPUTED_VALUE"""),"0.4936")</f>
        <v>#NAME?</v>
      </c>
      <c r="E377" s="100" t="e">
        <f t="shared" ca="1" si="60"/>
        <v>#NAME?</v>
      </c>
      <c r="F377" s="100" t="e">
        <f t="shared" ca="1" si="60"/>
        <v>#NAME?</v>
      </c>
      <c r="G377" s="100" t="e">
        <f t="shared" ca="1" si="53"/>
        <v>#NAME?</v>
      </c>
      <c r="H377" s="100" t="e">
        <f t="shared" ca="1" si="54"/>
        <v>#NAME?</v>
      </c>
      <c r="I377" s="100" t="e">
        <f t="shared" ca="1" si="55"/>
        <v>#NAME?</v>
      </c>
      <c r="J377" s="100" t="e">
        <f t="shared" ca="1" si="56"/>
        <v>#NAME?</v>
      </c>
      <c r="K377" s="100" t="e">
        <f t="shared" ca="1" si="57"/>
        <v>#NAME?</v>
      </c>
      <c r="L377" s="100" t="e">
        <f t="shared" ca="1" si="58"/>
        <v>#NAME?</v>
      </c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</row>
    <row r="378" spans="1:27">
      <c r="A378" s="100" t="e">
        <f t="shared" ca="1" si="51"/>
        <v>#NAME?</v>
      </c>
      <c r="B378" s="100" t="e">
        <f ca="1">IFERROR(__xludf.DUMMYFUNCTION("""COMPUTED_VALUE"""),377)</f>
        <v>#NAME?</v>
      </c>
      <c r="C378" s="100" t="e">
        <f ca="1">IFERROR(__xludf.DUMMYFUNCTION("""COMPUTED_VALUE"""),"ONE-USDT")</f>
        <v>#NAME?</v>
      </c>
      <c r="D378" s="100" t="e">
        <f ca="1">IFERROR(__xludf.DUMMYFUNCTION("""COMPUTED_VALUE"""),"0.01157")</f>
        <v>#NAME?</v>
      </c>
      <c r="E378" s="100" t="e">
        <f t="shared" ca="1" si="60"/>
        <v>#NAME?</v>
      </c>
      <c r="F378" s="100" t="e">
        <f t="shared" ca="1" si="60"/>
        <v>#NAME?</v>
      </c>
      <c r="G378" s="100" t="e">
        <f t="shared" ca="1" si="53"/>
        <v>#NAME?</v>
      </c>
      <c r="H378" s="100" t="e">
        <f t="shared" ca="1" si="54"/>
        <v>#NAME?</v>
      </c>
      <c r="I378" s="100" t="e">
        <f t="shared" ca="1" si="55"/>
        <v>#NAME?</v>
      </c>
      <c r="J378" s="100" t="e">
        <f t="shared" ca="1" si="56"/>
        <v>#NAME?</v>
      </c>
      <c r="K378" s="100" t="e">
        <f t="shared" ca="1" si="57"/>
        <v>#NAME?</v>
      </c>
      <c r="L378" s="100" t="e">
        <f t="shared" ca="1" si="58"/>
        <v>#NAME?</v>
      </c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</row>
    <row r="379" spans="1:27">
      <c r="A379" s="100" t="e">
        <f t="shared" ca="1" si="51"/>
        <v>#NAME?</v>
      </c>
      <c r="B379" s="100" t="e">
        <f ca="1">IFERROR(__xludf.DUMMYFUNCTION("""COMPUTED_VALUE"""),378)</f>
        <v>#NAME?</v>
      </c>
      <c r="C379" s="100" t="e">
        <f ca="1">IFERROR(__xludf.DUMMYFUNCTION("""COMPUTED_VALUE"""),"OM-USD")</f>
        <v>#NAME?</v>
      </c>
      <c r="D379" s="100" t="e">
        <f ca="1">IFERROR(__xludf.DUMMYFUNCTION("""COMPUTED_VALUE"""),"0.5287")</f>
        <v>#NAME?</v>
      </c>
      <c r="E379" s="100" t="e">
        <f t="shared" ca="1" si="60"/>
        <v>#NAME?</v>
      </c>
      <c r="F379" s="100" t="e">
        <f t="shared" ca="1" si="60"/>
        <v>#NAME?</v>
      </c>
      <c r="G379" s="100" t="e">
        <f t="shared" ca="1" si="53"/>
        <v>#NAME?</v>
      </c>
      <c r="H379" s="100" t="e">
        <f t="shared" ca="1" si="54"/>
        <v>#NAME?</v>
      </c>
      <c r="I379" s="100" t="e">
        <f t="shared" ca="1" si="55"/>
        <v>#NAME?</v>
      </c>
      <c r="J379" s="100" t="e">
        <f t="shared" ca="1" si="56"/>
        <v>#NAME?</v>
      </c>
      <c r="K379" s="100" t="e">
        <f t="shared" ca="1" si="57"/>
        <v>#NAME?</v>
      </c>
      <c r="L379" s="100" t="e">
        <f t="shared" ca="1" si="58"/>
        <v>#NAME?</v>
      </c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</row>
    <row r="380" spans="1:27">
      <c r="A380" s="100" t="e">
        <f t="shared" ca="1" si="51"/>
        <v>#NAME?</v>
      </c>
      <c r="B380" s="100" t="e">
        <f ca="1">IFERROR(__xludf.DUMMYFUNCTION("""COMPUTED_VALUE"""),379)</f>
        <v>#NAME?</v>
      </c>
      <c r="C380" s="100" t="e">
        <f ca="1">IFERROR(__xludf.DUMMYFUNCTION("""COMPUTED_VALUE"""),"ATH-USD")</f>
        <v>#NAME?</v>
      </c>
      <c r="D380" s="100" t="e">
        <f ca="1">IFERROR(__xludf.DUMMYFUNCTION("""COMPUTED_VALUE"""),"0.02791")</f>
        <v>#NAME?</v>
      </c>
      <c r="E380" s="100" t="e">
        <f t="shared" ca="1" si="60"/>
        <v>#NAME?</v>
      </c>
      <c r="F380" s="100" t="e">
        <f t="shared" ca="1" si="60"/>
        <v>#NAME?</v>
      </c>
      <c r="G380" s="100" t="e">
        <f t="shared" ca="1" si="53"/>
        <v>#NAME?</v>
      </c>
      <c r="H380" s="100" t="e">
        <f t="shared" ca="1" si="54"/>
        <v>#NAME?</v>
      </c>
      <c r="I380" s="100" t="e">
        <f t="shared" ca="1" si="55"/>
        <v>#NAME?</v>
      </c>
      <c r="J380" s="100" t="e">
        <f t="shared" ca="1" si="56"/>
        <v>#NAME?</v>
      </c>
      <c r="K380" s="100" t="e">
        <f t="shared" ca="1" si="57"/>
        <v>#NAME?</v>
      </c>
      <c r="L380" s="100" t="e">
        <f t="shared" ca="1" si="58"/>
        <v>#NAME?</v>
      </c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</row>
    <row r="381" spans="1:27">
      <c r="A381" s="100" t="e">
        <f t="shared" ca="1" si="51"/>
        <v>#NAME?</v>
      </c>
      <c r="B381" s="100" t="e">
        <f ca="1">IFERROR(__xludf.DUMMYFUNCTION("""COMPUTED_VALUE"""),380)</f>
        <v>#NAME?</v>
      </c>
      <c r="C381" s="100" t="e">
        <f ca="1">IFERROR(__xludf.DUMMYFUNCTION("""COMPUTED_VALUE"""),"RENDER-USDT")</f>
        <v>#NAME?</v>
      </c>
      <c r="D381" s="100" t="e">
        <f ca="1">IFERROR(__xludf.DUMMYFUNCTION("""COMPUTED_VALUE"""),"4.368")</f>
        <v>#NAME?</v>
      </c>
      <c r="E381" s="100" t="e">
        <f t="shared" ca="1" si="60"/>
        <v>#NAME?</v>
      </c>
      <c r="F381" s="100" t="e">
        <f t="shared" ca="1" si="60"/>
        <v>#NAME?</v>
      </c>
      <c r="G381" s="100" t="e">
        <f t="shared" ca="1" si="53"/>
        <v>#NAME?</v>
      </c>
      <c r="H381" s="100" t="e">
        <f t="shared" ca="1" si="54"/>
        <v>#NAME?</v>
      </c>
      <c r="I381" s="100" t="e">
        <f t="shared" ca="1" si="55"/>
        <v>#NAME?</v>
      </c>
      <c r="J381" s="100" t="e">
        <f t="shared" ca="1" si="56"/>
        <v>#NAME?</v>
      </c>
      <c r="K381" s="100" t="e">
        <f t="shared" ca="1" si="57"/>
        <v>#NAME?</v>
      </c>
      <c r="L381" s="100" t="e">
        <f t="shared" ca="1" si="58"/>
        <v>#NAME?</v>
      </c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</row>
    <row r="382" spans="1:27">
      <c r="A382" s="100" t="e">
        <f t="shared" ca="1" si="51"/>
        <v>#NAME?</v>
      </c>
      <c r="B382" s="100" t="e">
        <f ca="1">IFERROR(__xludf.DUMMYFUNCTION("""COMPUTED_VALUE"""),381)</f>
        <v>#NAME?</v>
      </c>
      <c r="C382" s="100" t="e">
        <f ca="1">IFERROR(__xludf.DUMMYFUNCTION("""COMPUTED_VALUE"""),"MOVR-USD")</f>
        <v>#NAME?</v>
      </c>
      <c r="D382" s="100" t="e">
        <f ca="1">IFERROR(__xludf.DUMMYFUNCTION("""COMPUTED_VALUE"""),"5.518")</f>
        <v>#NAME?</v>
      </c>
      <c r="E382" s="100" t="e">
        <f t="shared" ref="E382:F401" ca="1" si="61">IFERROR(__xludf.DUMMYFUNCTION("""COMPUTED_VALUE"""),"-")</f>
        <v>#NAME?</v>
      </c>
      <c r="F382" s="100" t="e">
        <f t="shared" ca="1" si="61"/>
        <v>#NAME?</v>
      </c>
      <c r="G382" s="100" t="e">
        <f t="shared" ca="1" si="53"/>
        <v>#NAME?</v>
      </c>
      <c r="H382" s="100" t="e">
        <f t="shared" ca="1" si="54"/>
        <v>#NAME?</v>
      </c>
      <c r="I382" s="100" t="e">
        <f t="shared" ca="1" si="55"/>
        <v>#NAME?</v>
      </c>
      <c r="J382" s="100" t="e">
        <f t="shared" ca="1" si="56"/>
        <v>#NAME?</v>
      </c>
      <c r="K382" s="100" t="e">
        <f t="shared" ca="1" si="57"/>
        <v>#NAME?</v>
      </c>
      <c r="L382" s="100" t="e">
        <f t="shared" ca="1" si="58"/>
        <v>#NAME?</v>
      </c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</row>
    <row r="383" spans="1:27">
      <c r="A383" s="100" t="e">
        <f t="shared" ca="1" si="51"/>
        <v>#NAME?</v>
      </c>
      <c r="B383" s="100" t="e">
        <f ca="1">IFERROR(__xludf.DUMMYFUNCTION("""COMPUTED_VALUE"""),382)</f>
        <v>#NAME?</v>
      </c>
      <c r="C383" s="100" t="e">
        <f ca="1">IFERROR(__xludf.DUMMYFUNCTION("""COMPUTED_VALUE"""),"AVAX-USDC")</f>
        <v>#NAME?</v>
      </c>
      <c r="D383" s="100" t="e">
        <f ca="1">IFERROR(__xludf.DUMMYFUNCTION("""COMPUTED_VALUE"""),"20.164")</f>
        <v>#NAME?</v>
      </c>
      <c r="E383" s="100" t="e">
        <f t="shared" ca="1" si="61"/>
        <v>#NAME?</v>
      </c>
      <c r="F383" s="100" t="e">
        <f t="shared" ca="1" si="61"/>
        <v>#NAME?</v>
      </c>
      <c r="G383" s="100" t="e">
        <f t="shared" ca="1" si="53"/>
        <v>#NAME?</v>
      </c>
      <c r="H383" s="100" t="e">
        <f t="shared" ca="1" si="54"/>
        <v>#NAME?</v>
      </c>
      <c r="I383" s="100" t="e">
        <f t="shared" ca="1" si="55"/>
        <v>#NAME?</v>
      </c>
      <c r="J383" s="100" t="e">
        <f t="shared" ca="1" si="56"/>
        <v>#NAME?</v>
      </c>
      <c r="K383" s="100" t="e">
        <f t="shared" ca="1" si="57"/>
        <v>#NAME?</v>
      </c>
      <c r="L383" s="100" t="e">
        <f t="shared" ca="1" si="58"/>
        <v>#NAME?</v>
      </c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</row>
    <row r="384" spans="1:27">
      <c r="A384" s="100" t="e">
        <f t="shared" ca="1" si="51"/>
        <v>#NAME?</v>
      </c>
      <c r="B384" s="100" t="e">
        <f ca="1">IFERROR(__xludf.DUMMYFUNCTION("""COMPUTED_VALUE"""),383)</f>
        <v>#NAME?</v>
      </c>
      <c r="C384" s="100" t="e">
        <f ca="1">IFERROR(__xludf.DUMMYFUNCTION("""COMPUTED_VALUE"""),"GALFT-USDT")</f>
        <v>#NAME?</v>
      </c>
      <c r="D384" s="100" t="e">
        <f ca="1">IFERROR(__xludf.DUMMYFUNCTION("""COMPUTED_VALUE"""),"2.779")</f>
        <v>#NAME?</v>
      </c>
      <c r="E384" s="100" t="e">
        <f t="shared" ca="1" si="61"/>
        <v>#NAME?</v>
      </c>
      <c r="F384" s="100" t="e">
        <f t="shared" ca="1" si="61"/>
        <v>#NAME?</v>
      </c>
      <c r="G384" s="100" t="e">
        <f t="shared" ca="1" si="53"/>
        <v>#NAME?</v>
      </c>
      <c r="H384" s="100" t="e">
        <f t="shared" ca="1" si="54"/>
        <v>#NAME?</v>
      </c>
      <c r="I384" s="100" t="e">
        <f t="shared" ca="1" si="55"/>
        <v>#NAME?</v>
      </c>
      <c r="J384" s="100" t="e">
        <f t="shared" ca="1" si="56"/>
        <v>#NAME?</v>
      </c>
      <c r="K384" s="100" t="e">
        <f t="shared" ca="1" si="57"/>
        <v>#NAME?</v>
      </c>
      <c r="L384" s="100" t="e">
        <f t="shared" ca="1" si="58"/>
        <v>#NAME?</v>
      </c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</row>
    <row r="385" spans="1:27">
      <c r="A385" s="100" t="e">
        <f t="shared" ca="1" si="51"/>
        <v>#NAME?</v>
      </c>
      <c r="B385" s="100" t="e">
        <f ca="1">IFERROR(__xludf.DUMMYFUNCTION("""COMPUTED_VALUE"""),384)</f>
        <v>#NAME?</v>
      </c>
      <c r="C385" s="100" t="e">
        <f ca="1">IFERROR(__xludf.DUMMYFUNCTION("""COMPUTED_VALUE"""),"LAT-USD")</f>
        <v>#NAME?</v>
      </c>
      <c r="D385" s="100" t="e">
        <f ca="1">IFERROR(__xludf.DUMMYFUNCTION("""COMPUTED_VALUE"""),"0.004307")</f>
        <v>#NAME?</v>
      </c>
      <c r="E385" s="100" t="e">
        <f t="shared" ca="1" si="61"/>
        <v>#NAME?</v>
      </c>
      <c r="F385" s="100" t="e">
        <f t="shared" ca="1" si="61"/>
        <v>#NAME?</v>
      </c>
      <c r="G385" s="100" t="e">
        <f t="shared" ca="1" si="53"/>
        <v>#NAME?</v>
      </c>
      <c r="H385" s="100" t="e">
        <f t="shared" ca="1" si="54"/>
        <v>#NAME?</v>
      </c>
      <c r="I385" s="100" t="e">
        <f t="shared" ca="1" si="55"/>
        <v>#NAME?</v>
      </c>
      <c r="J385" s="100" t="e">
        <f t="shared" ca="1" si="56"/>
        <v>#NAME?</v>
      </c>
      <c r="K385" s="100" t="e">
        <f t="shared" ca="1" si="57"/>
        <v>#NAME?</v>
      </c>
      <c r="L385" s="100" t="e">
        <f t="shared" ca="1" si="58"/>
        <v>#NAME?</v>
      </c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</row>
    <row r="386" spans="1:27">
      <c r="A386" s="100" t="e">
        <f t="shared" ref="A386:A449" ca="1" si="62">SUBSTITUTE(C386,"-","",)</f>
        <v>#NAME?</v>
      </c>
      <c r="B386" s="100" t="e">
        <f ca="1">IFERROR(__xludf.DUMMYFUNCTION("""COMPUTED_VALUE"""),385)</f>
        <v>#NAME?</v>
      </c>
      <c r="C386" s="100" t="e">
        <f ca="1">IFERROR(__xludf.DUMMYFUNCTION("""COMPUTED_VALUE"""),"LTC-EUR")</f>
        <v>#NAME?</v>
      </c>
      <c r="D386" s="100" t="e">
        <f ca="1">IFERROR(__xludf.DUMMYFUNCTION("""COMPUTED_VALUE"""),"69.42")</f>
        <v>#NAME?</v>
      </c>
      <c r="E386" s="100" t="e">
        <f t="shared" ca="1" si="61"/>
        <v>#NAME?</v>
      </c>
      <c r="F386" s="100" t="e">
        <f t="shared" ca="1" si="61"/>
        <v>#NAME?</v>
      </c>
      <c r="G386" s="100" t="e">
        <f t="shared" ref="G386:G449" ca="1" si="63">IFERROR(__xludf.DUMMYFUNCTION("""COMPUTED_VALUE"""),20200)</f>
        <v>#NAME?</v>
      </c>
      <c r="H386" s="100" t="e">
        <f t="shared" ref="H386:H449" ca="1" si="64">IFERROR(__xludf.DUMMYFUNCTION("""COMPUTED_VALUE"""),2885)</f>
        <v>#NAME?</v>
      </c>
      <c r="I386" s="100" t="e">
        <f t="shared" ref="I386:I449" ca="1" si="65">IFERROR(__xludf.DUMMYFUNCTION("""COMPUTED_VALUE"""),663)</f>
        <v>#NAME?</v>
      </c>
      <c r="J386" s="100" t="e">
        <f t="shared" ref="J386:J449" ca="1" si="66">IFERROR(__xludf.DUMMYFUNCTION("""COMPUTED_VALUE"""),5817714)</f>
        <v>#NAME?</v>
      </c>
      <c r="K386" s="100" t="e">
        <f t="shared" ref="K386:K449" ca="1" si="67">IFERROR(__xludf.DUMMYFUNCTION("""COMPUTED_VALUE"""),"-")</f>
        <v>#NAME?</v>
      </c>
      <c r="L386" s="100" t="e">
        <f t="shared" ref="L386:L449" ca="1" si="68">IFERROR(__xludf.DUMMYFUNCTION("""COMPUTED_VALUE"""),"22.04.2025 12:32:49")</f>
        <v>#NAME?</v>
      </c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</row>
    <row r="387" spans="1:27">
      <c r="A387" s="100" t="e">
        <f t="shared" ca="1" si="62"/>
        <v>#NAME?</v>
      </c>
      <c r="B387" s="100" t="e">
        <f ca="1">IFERROR(__xludf.DUMMYFUNCTION("""COMPUTED_VALUE"""),386)</f>
        <v>#NAME?</v>
      </c>
      <c r="C387" s="100" t="e">
        <f ca="1">IFERROR(__xludf.DUMMYFUNCTION("""COMPUTED_VALUE"""),"JUP-USD")</f>
        <v>#NAME?</v>
      </c>
      <c r="D387" s="100" t="e">
        <f ca="1">IFERROR(__xludf.DUMMYFUNCTION("""COMPUTED_VALUE"""),"0.403")</f>
        <v>#NAME?</v>
      </c>
      <c r="E387" s="100" t="e">
        <f t="shared" ca="1" si="61"/>
        <v>#NAME?</v>
      </c>
      <c r="F387" s="100" t="e">
        <f t="shared" ca="1" si="61"/>
        <v>#NAME?</v>
      </c>
      <c r="G387" s="100" t="e">
        <f t="shared" ca="1" si="63"/>
        <v>#NAME?</v>
      </c>
      <c r="H387" s="100" t="e">
        <f t="shared" ca="1" si="64"/>
        <v>#NAME?</v>
      </c>
      <c r="I387" s="100" t="e">
        <f t="shared" ca="1" si="65"/>
        <v>#NAME?</v>
      </c>
      <c r="J387" s="100" t="e">
        <f t="shared" ca="1" si="66"/>
        <v>#NAME?</v>
      </c>
      <c r="K387" s="100" t="e">
        <f t="shared" ca="1" si="67"/>
        <v>#NAME?</v>
      </c>
      <c r="L387" s="100" t="e">
        <f t="shared" ca="1" si="68"/>
        <v>#NAME?</v>
      </c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</row>
    <row r="388" spans="1:27">
      <c r="A388" s="100" t="e">
        <f t="shared" ca="1" si="62"/>
        <v>#NAME?</v>
      </c>
      <c r="B388" s="100" t="e">
        <f ca="1">IFERROR(__xludf.DUMMYFUNCTION("""COMPUTED_VALUE"""),387)</f>
        <v>#NAME?</v>
      </c>
      <c r="C388" s="100" t="e">
        <f ca="1">IFERROR(__xludf.DUMMYFUNCTION("""COMPUTED_VALUE"""),"AVAX-USDT")</f>
        <v>#NAME?</v>
      </c>
      <c r="D388" s="100" t="e">
        <f ca="1">IFERROR(__xludf.DUMMYFUNCTION("""COMPUTED_VALUE"""),"20.167")</f>
        <v>#NAME?</v>
      </c>
      <c r="E388" s="100" t="e">
        <f t="shared" ca="1" si="61"/>
        <v>#NAME?</v>
      </c>
      <c r="F388" s="100" t="e">
        <f t="shared" ca="1" si="61"/>
        <v>#NAME?</v>
      </c>
      <c r="G388" s="100" t="e">
        <f t="shared" ca="1" si="63"/>
        <v>#NAME?</v>
      </c>
      <c r="H388" s="100" t="e">
        <f t="shared" ca="1" si="64"/>
        <v>#NAME?</v>
      </c>
      <c r="I388" s="100" t="e">
        <f t="shared" ca="1" si="65"/>
        <v>#NAME?</v>
      </c>
      <c r="J388" s="100" t="e">
        <f t="shared" ca="1" si="66"/>
        <v>#NAME?</v>
      </c>
      <c r="K388" s="100" t="e">
        <f t="shared" ca="1" si="67"/>
        <v>#NAME?</v>
      </c>
      <c r="L388" s="100" t="e">
        <f t="shared" ca="1" si="68"/>
        <v>#NAME?</v>
      </c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</row>
    <row r="389" spans="1:27">
      <c r="A389" s="100" t="e">
        <f t="shared" ca="1" si="62"/>
        <v>#NAME?</v>
      </c>
      <c r="B389" s="100" t="e">
        <f ca="1">IFERROR(__xludf.DUMMYFUNCTION("""COMPUTED_VALUE"""),388)</f>
        <v>#NAME?</v>
      </c>
      <c r="C389" s="100" t="e">
        <f ca="1">IFERROR(__xludf.DUMMYFUNCTION("""COMPUTED_VALUE"""),"MASK-USDT")</f>
        <v>#NAME?</v>
      </c>
      <c r="D389" s="100" t="e">
        <f ca="1">IFERROR(__xludf.DUMMYFUNCTION("""COMPUTED_VALUE"""),"1.055")</f>
        <v>#NAME?</v>
      </c>
      <c r="E389" s="100" t="e">
        <f t="shared" ca="1" si="61"/>
        <v>#NAME?</v>
      </c>
      <c r="F389" s="100" t="e">
        <f t="shared" ca="1" si="61"/>
        <v>#NAME?</v>
      </c>
      <c r="G389" s="100" t="e">
        <f t="shared" ca="1" si="63"/>
        <v>#NAME?</v>
      </c>
      <c r="H389" s="100" t="e">
        <f t="shared" ca="1" si="64"/>
        <v>#NAME?</v>
      </c>
      <c r="I389" s="100" t="e">
        <f t="shared" ca="1" si="65"/>
        <v>#NAME?</v>
      </c>
      <c r="J389" s="100" t="e">
        <f t="shared" ca="1" si="66"/>
        <v>#NAME?</v>
      </c>
      <c r="K389" s="100" t="e">
        <f t="shared" ca="1" si="67"/>
        <v>#NAME?</v>
      </c>
      <c r="L389" s="100" t="e">
        <f t="shared" ca="1" si="68"/>
        <v>#NAME?</v>
      </c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</row>
    <row r="390" spans="1:27">
      <c r="A390" s="100" t="e">
        <f t="shared" ca="1" si="62"/>
        <v>#NAME?</v>
      </c>
      <c r="B390" s="100" t="e">
        <f ca="1">IFERROR(__xludf.DUMMYFUNCTION("""COMPUTED_VALUE"""),389)</f>
        <v>#NAME?</v>
      </c>
      <c r="C390" s="100" t="e">
        <f ca="1">IFERROR(__xludf.DUMMYFUNCTION("""COMPUTED_VALUE"""),"CITY-USD")</f>
        <v>#NAME?</v>
      </c>
      <c r="D390" s="100" t="e">
        <f ca="1">IFERROR(__xludf.DUMMYFUNCTION("""COMPUTED_VALUE"""),"1.047")</f>
        <v>#NAME?</v>
      </c>
      <c r="E390" s="100" t="e">
        <f t="shared" ca="1" si="61"/>
        <v>#NAME?</v>
      </c>
      <c r="F390" s="100" t="e">
        <f t="shared" ca="1" si="61"/>
        <v>#NAME?</v>
      </c>
      <c r="G390" s="100" t="e">
        <f t="shared" ca="1" si="63"/>
        <v>#NAME?</v>
      </c>
      <c r="H390" s="100" t="e">
        <f t="shared" ca="1" si="64"/>
        <v>#NAME?</v>
      </c>
      <c r="I390" s="100" t="e">
        <f t="shared" ca="1" si="65"/>
        <v>#NAME?</v>
      </c>
      <c r="J390" s="100" t="e">
        <f t="shared" ca="1" si="66"/>
        <v>#NAME?</v>
      </c>
      <c r="K390" s="100" t="e">
        <f t="shared" ca="1" si="67"/>
        <v>#NAME?</v>
      </c>
      <c r="L390" s="100" t="e">
        <f t="shared" ca="1" si="68"/>
        <v>#NAME?</v>
      </c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</row>
    <row r="391" spans="1:27">
      <c r="A391" s="100" t="e">
        <f t="shared" ca="1" si="62"/>
        <v>#NAME?</v>
      </c>
      <c r="B391" s="100" t="e">
        <f ca="1">IFERROR(__xludf.DUMMYFUNCTION("""COMPUTED_VALUE"""),390)</f>
        <v>#NAME?</v>
      </c>
      <c r="C391" s="100" t="e">
        <f ca="1">IFERROR(__xludf.DUMMYFUNCTION("""COMPUTED_VALUE"""),"ETHW-USD")</f>
        <v>#NAME?</v>
      </c>
      <c r="D391" s="100" t="e">
        <f ca="1">IFERROR(__xludf.DUMMYFUNCTION("""COMPUTED_VALUE"""),"1.312")</f>
        <v>#NAME?</v>
      </c>
      <c r="E391" s="100" t="e">
        <f t="shared" ca="1" si="61"/>
        <v>#NAME?</v>
      </c>
      <c r="F391" s="100" t="e">
        <f t="shared" ca="1" si="61"/>
        <v>#NAME?</v>
      </c>
      <c r="G391" s="100" t="e">
        <f t="shared" ca="1" si="63"/>
        <v>#NAME?</v>
      </c>
      <c r="H391" s="100" t="e">
        <f t="shared" ca="1" si="64"/>
        <v>#NAME?</v>
      </c>
      <c r="I391" s="100" t="e">
        <f t="shared" ca="1" si="65"/>
        <v>#NAME?</v>
      </c>
      <c r="J391" s="100" t="e">
        <f t="shared" ca="1" si="66"/>
        <v>#NAME?</v>
      </c>
      <c r="K391" s="100" t="e">
        <f t="shared" ca="1" si="67"/>
        <v>#NAME?</v>
      </c>
      <c r="L391" s="100" t="e">
        <f t="shared" ca="1" si="68"/>
        <v>#NAME?</v>
      </c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</row>
    <row r="392" spans="1:27">
      <c r="A392" s="100" t="e">
        <f t="shared" ca="1" si="62"/>
        <v>#NAME?</v>
      </c>
      <c r="B392" s="100" t="e">
        <f ca="1">IFERROR(__xludf.DUMMYFUNCTION("""COMPUTED_VALUE"""),391)</f>
        <v>#NAME?</v>
      </c>
      <c r="C392" s="100" t="e">
        <f ca="1">IFERROR(__xludf.DUMMYFUNCTION("""COMPUTED_VALUE"""),"CFG-USD")</f>
        <v>#NAME?</v>
      </c>
      <c r="D392" s="100" t="e">
        <f ca="1">IFERROR(__xludf.DUMMYFUNCTION("""COMPUTED_VALUE"""),"0.1377")</f>
        <v>#NAME?</v>
      </c>
      <c r="E392" s="100" t="e">
        <f t="shared" ca="1" si="61"/>
        <v>#NAME?</v>
      </c>
      <c r="F392" s="100" t="e">
        <f t="shared" ca="1" si="61"/>
        <v>#NAME?</v>
      </c>
      <c r="G392" s="100" t="e">
        <f t="shared" ca="1" si="63"/>
        <v>#NAME?</v>
      </c>
      <c r="H392" s="100" t="e">
        <f t="shared" ca="1" si="64"/>
        <v>#NAME?</v>
      </c>
      <c r="I392" s="100" t="e">
        <f t="shared" ca="1" si="65"/>
        <v>#NAME?</v>
      </c>
      <c r="J392" s="100" t="e">
        <f t="shared" ca="1" si="66"/>
        <v>#NAME?</v>
      </c>
      <c r="K392" s="100" t="e">
        <f t="shared" ca="1" si="67"/>
        <v>#NAME?</v>
      </c>
      <c r="L392" s="100" t="e">
        <f t="shared" ca="1" si="68"/>
        <v>#NAME?</v>
      </c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</row>
    <row r="393" spans="1:27">
      <c r="A393" s="100" t="e">
        <f t="shared" ca="1" si="62"/>
        <v>#NAME?</v>
      </c>
      <c r="B393" s="100" t="e">
        <f ca="1">IFERROR(__xludf.DUMMYFUNCTION("""COMPUTED_VALUE"""),392)</f>
        <v>#NAME?</v>
      </c>
      <c r="C393" s="100" t="e">
        <f ca="1">IFERROR(__xludf.DUMMYFUNCTION("""COMPUTED_VALUE"""),"IOTA-USD")</f>
        <v>#NAME?</v>
      </c>
      <c r="D393" s="100" t="e">
        <f ca="1">IFERROR(__xludf.DUMMYFUNCTION("""COMPUTED_VALUE"""),"0.17")</f>
        <v>#NAME?</v>
      </c>
      <c r="E393" s="100" t="e">
        <f t="shared" ca="1" si="61"/>
        <v>#NAME?</v>
      </c>
      <c r="F393" s="100" t="e">
        <f t="shared" ca="1" si="61"/>
        <v>#NAME?</v>
      </c>
      <c r="G393" s="100" t="e">
        <f t="shared" ca="1" si="63"/>
        <v>#NAME?</v>
      </c>
      <c r="H393" s="100" t="e">
        <f t="shared" ca="1" si="64"/>
        <v>#NAME?</v>
      </c>
      <c r="I393" s="100" t="e">
        <f t="shared" ca="1" si="65"/>
        <v>#NAME?</v>
      </c>
      <c r="J393" s="100" t="e">
        <f t="shared" ca="1" si="66"/>
        <v>#NAME?</v>
      </c>
      <c r="K393" s="100" t="e">
        <f t="shared" ca="1" si="67"/>
        <v>#NAME?</v>
      </c>
      <c r="L393" s="100" t="e">
        <f t="shared" ca="1" si="68"/>
        <v>#NAME?</v>
      </c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</row>
    <row r="394" spans="1:27">
      <c r="A394" s="100" t="e">
        <f t="shared" ca="1" si="62"/>
        <v>#NAME?</v>
      </c>
      <c r="B394" s="100" t="e">
        <f ca="1">IFERROR(__xludf.DUMMYFUNCTION("""COMPUTED_VALUE"""),393)</f>
        <v>#NAME?</v>
      </c>
      <c r="C394" s="100" t="e">
        <f ca="1">IFERROR(__xludf.DUMMYFUNCTION("""COMPUTED_VALUE"""),"BABY-USD")</f>
        <v>#NAME?</v>
      </c>
      <c r="D394" s="100" t="e">
        <f ca="1">IFERROR(__xludf.DUMMYFUNCTION("""COMPUTED_VALUE"""),"0.08188")</f>
        <v>#NAME?</v>
      </c>
      <c r="E394" s="100" t="e">
        <f t="shared" ca="1" si="61"/>
        <v>#NAME?</v>
      </c>
      <c r="F394" s="100" t="e">
        <f t="shared" ca="1" si="61"/>
        <v>#NAME?</v>
      </c>
      <c r="G394" s="100" t="e">
        <f t="shared" ca="1" si="63"/>
        <v>#NAME?</v>
      </c>
      <c r="H394" s="100" t="e">
        <f t="shared" ca="1" si="64"/>
        <v>#NAME?</v>
      </c>
      <c r="I394" s="100" t="e">
        <f t="shared" ca="1" si="65"/>
        <v>#NAME?</v>
      </c>
      <c r="J394" s="100" t="e">
        <f t="shared" ca="1" si="66"/>
        <v>#NAME?</v>
      </c>
      <c r="K394" s="100" t="e">
        <f t="shared" ca="1" si="67"/>
        <v>#NAME?</v>
      </c>
      <c r="L394" s="100" t="e">
        <f t="shared" ca="1" si="68"/>
        <v>#NAME?</v>
      </c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</row>
    <row r="395" spans="1:27">
      <c r="A395" s="100" t="e">
        <f t="shared" ca="1" si="62"/>
        <v>#NAME?</v>
      </c>
      <c r="B395" s="100" t="e">
        <f ca="1">IFERROR(__xludf.DUMMYFUNCTION("""COMPUTED_VALUE"""),394)</f>
        <v>#NAME?</v>
      </c>
      <c r="C395" s="100" t="e">
        <f ca="1">IFERROR(__xludf.DUMMYFUNCTION("""COMPUTED_VALUE"""),"NAVX-USD")</f>
        <v>#NAME?</v>
      </c>
      <c r="D395" s="100" t="e">
        <f ca="1">IFERROR(__xludf.DUMMYFUNCTION("""COMPUTED_VALUE"""),"0.04115")</f>
        <v>#NAME?</v>
      </c>
      <c r="E395" s="100" t="e">
        <f t="shared" ca="1" si="61"/>
        <v>#NAME?</v>
      </c>
      <c r="F395" s="100" t="e">
        <f t="shared" ca="1" si="61"/>
        <v>#NAME?</v>
      </c>
      <c r="G395" s="100" t="e">
        <f t="shared" ca="1" si="63"/>
        <v>#NAME?</v>
      </c>
      <c r="H395" s="100" t="e">
        <f t="shared" ca="1" si="64"/>
        <v>#NAME?</v>
      </c>
      <c r="I395" s="100" t="e">
        <f t="shared" ca="1" si="65"/>
        <v>#NAME?</v>
      </c>
      <c r="J395" s="100" t="e">
        <f t="shared" ca="1" si="66"/>
        <v>#NAME?</v>
      </c>
      <c r="K395" s="100" t="e">
        <f t="shared" ca="1" si="67"/>
        <v>#NAME?</v>
      </c>
      <c r="L395" s="100" t="e">
        <f t="shared" ca="1" si="68"/>
        <v>#NAME?</v>
      </c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</row>
    <row r="396" spans="1:27">
      <c r="A396" s="100" t="e">
        <f t="shared" ca="1" si="62"/>
        <v>#NAME?</v>
      </c>
      <c r="B396" s="100" t="e">
        <f ca="1">IFERROR(__xludf.DUMMYFUNCTION("""COMPUTED_VALUE"""),395)</f>
        <v>#NAME?</v>
      </c>
      <c r="C396" s="100" t="e">
        <f ca="1">IFERROR(__xludf.DUMMYFUNCTION("""COMPUTED_VALUE"""),"GLMR-USDT")</f>
        <v>#NAME?</v>
      </c>
      <c r="D396" s="100" t="e">
        <f ca="1">IFERROR(__xludf.DUMMYFUNCTION("""COMPUTED_VALUE"""),"0.07043")</f>
        <v>#NAME?</v>
      </c>
      <c r="E396" s="100" t="e">
        <f t="shared" ca="1" si="61"/>
        <v>#NAME?</v>
      </c>
      <c r="F396" s="100" t="e">
        <f t="shared" ca="1" si="61"/>
        <v>#NAME?</v>
      </c>
      <c r="G396" s="100" t="e">
        <f t="shared" ca="1" si="63"/>
        <v>#NAME?</v>
      </c>
      <c r="H396" s="100" t="e">
        <f t="shared" ca="1" si="64"/>
        <v>#NAME?</v>
      </c>
      <c r="I396" s="100" t="e">
        <f t="shared" ca="1" si="65"/>
        <v>#NAME?</v>
      </c>
      <c r="J396" s="100" t="e">
        <f t="shared" ca="1" si="66"/>
        <v>#NAME?</v>
      </c>
      <c r="K396" s="100" t="e">
        <f t="shared" ca="1" si="67"/>
        <v>#NAME?</v>
      </c>
      <c r="L396" s="100" t="e">
        <f t="shared" ca="1" si="68"/>
        <v>#NAME?</v>
      </c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</row>
    <row r="397" spans="1:27">
      <c r="A397" s="100" t="e">
        <f t="shared" ca="1" si="62"/>
        <v>#NAME?</v>
      </c>
      <c r="B397" s="100" t="e">
        <f ca="1">IFERROR(__xludf.DUMMYFUNCTION("""COMPUTED_VALUE"""),396)</f>
        <v>#NAME?</v>
      </c>
      <c r="C397" s="100" t="e">
        <f ca="1">IFERROR(__xludf.DUMMYFUNCTION("""COMPUTED_VALUE"""),"METIS-USD")</f>
        <v>#NAME?</v>
      </c>
      <c r="D397" s="100" t="e">
        <f ca="1">IFERROR(__xludf.DUMMYFUNCTION("""COMPUTED_VALUE"""),"14.36")</f>
        <v>#NAME?</v>
      </c>
      <c r="E397" s="100" t="e">
        <f t="shared" ca="1" si="61"/>
        <v>#NAME?</v>
      </c>
      <c r="F397" s="100" t="e">
        <f t="shared" ca="1" si="61"/>
        <v>#NAME?</v>
      </c>
      <c r="G397" s="100" t="e">
        <f t="shared" ca="1" si="63"/>
        <v>#NAME?</v>
      </c>
      <c r="H397" s="100" t="e">
        <f t="shared" ca="1" si="64"/>
        <v>#NAME?</v>
      </c>
      <c r="I397" s="100" t="e">
        <f t="shared" ca="1" si="65"/>
        <v>#NAME?</v>
      </c>
      <c r="J397" s="100" t="e">
        <f t="shared" ca="1" si="66"/>
        <v>#NAME?</v>
      </c>
      <c r="K397" s="100" t="e">
        <f t="shared" ca="1" si="67"/>
        <v>#NAME?</v>
      </c>
      <c r="L397" s="100" t="e">
        <f t="shared" ca="1" si="68"/>
        <v>#NAME?</v>
      </c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</row>
    <row r="398" spans="1:27">
      <c r="A398" s="100" t="e">
        <f t="shared" ca="1" si="62"/>
        <v>#NAME?</v>
      </c>
      <c r="B398" s="100" t="e">
        <f ca="1">IFERROR(__xludf.DUMMYFUNCTION("""COMPUTED_VALUE"""),397)</f>
        <v>#NAME?</v>
      </c>
      <c r="C398" s="100" t="e">
        <f ca="1">IFERROR(__xludf.DUMMYFUNCTION("""COMPUTED_VALUE"""),"BICO-USD")</f>
        <v>#NAME?</v>
      </c>
      <c r="D398" s="100" t="e">
        <f ca="1">IFERROR(__xludf.DUMMYFUNCTION("""COMPUTED_VALUE"""),"0.1015")</f>
        <v>#NAME?</v>
      </c>
      <c r="E398" s="100" t="e">
        <f t="shared" ca="1" si="61"/>
        <v>#NAME?</v>
      </c>
      <c r="F398" s="100" t="e">
        <f t="shared" ca="1" si="61"/>
        <v>#NAME?</v>
      </c>
      <c r="G398" s="100" t="e">
        <f t="shared" ca="1" si="63"/>
        <v>#NAME?</v>
      </c>
      <c r="H398" s="100" t="e">
        <f t="shared" ca="1" si="64"/>
        <v>#NAME?</v>
      </c>
      <c r="I398" s="100" t="e">
        <f t="shared" ca="1" si="65"/>
        <v>#NAME?</v>
      </c>
      <c r="J398" s="100" t="e">
        <f t="shared" ca="1" si="66"/>
        <v>#NAME?</v>
      </c>
      <c r="K398" s="100" t="e">
        <f t="shared" ca="1" si="67"/>
        <v>#NAME?</v>
      </c>
      <c r="L398" s="100" t="e">
        <f t="shared" ca="1" si="68"/>
        <v>#NAME?</v>
      </c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</row>
    <row r="399" spans="1:27">
      <c r="A399" s="100" t="e">
        <f t="shared" ca="1" si="62"/>
        <v>#NAME?</v>
      </c>
      <c r="B399" s="100" t="e">
        <f ca="1">IFERROR(__xludf.DUMMYFUNCTION("""COMPUTED_VALUE"""),398)</f>
        <v>#NAME?</v>
      </c>
      <c r="C399" s="100" t="e">
        <f ca="1">IFERROR(__xludf.DUMMYFUNCTION("""COMPUTED_VALUE"""),"ZRX-USD")</f>
        <v>#NAME?</v>
      </c>
      <c r="D399" s="100" t="e">
        <f ca="1">IFERROR(__xludf.DUMMYFUNCTION("""COMPUTED_VALUE"""),"0.2568")</f>
        <v>#NAME?</v>
      </c>
      <c r="E399" s="100" t="e">
        <f t="shared" ca="1" si="61"/>
        <v>#NAME?</v>
      </c>
      <c r="F399" s="100" t="e">
        <f t="shared" ca="1" si="61"/>
        <v>#NAME?</v>
      </c>
      <c r="G399" s="100" t="e">
        <f t="shared" ca="1" si="63"/>
        <v>#NAME?</v>
      </c>
      <c r="H399" s="100" t="e">
        <f t="shared" ca="1" si="64"/>
        <v>#NAME?</v>
      </c>
      <c r="I399" s="100" t="e">
        <f t="shared" ca="1" si="65"/>
        <v>#NAME?</v>
      </c>
      <c r="J399" s="100" t="e">
        <f t="shared" ca="1" si="66"/>
        <v>#NAME?</v>
      </c>
      <c r="K399" s="100" t="e">
        <f t="shared" ca="1" si="67"/>
        <v>#NAME?</v>
      </c>
      <c r="L399" s="100" t="e">
        <f t="shared" ca="1" si="68"/>
        <v>#NAME?</v>
      </c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</row>
    <row r="400" spans="1:27">
      <c r="A400" s="100" t="e">
        <f t="shared" ca="1" si="62"/>
        <v>#NAME?</v>
      </c>
      <c r="B400" s="100" t="e">
        <f ca="1">IFERROR(__xludf.DUMMYFUNCTION("""COMPUTED_VALUE"""),399)</f>
        <v>#NAME?</v>
      </c>
      <c r="C400" s="100" t="e">
        <f ca="1">IFERROR(__xludf.DUMMYFUNCTION("""COMPUTED_VALUE"""),"STX-USDT")</f>
        <v>#NAME?</v>
      </c>
      <c r="D400" s="100" t="e">
        <f ca="1">IFERROR(__xludf.DUMMYFUNCTION("""COMPUTED_VALUE"""),"0.7497")</f>
        <v>#NAME?</v>
      </c>
      <c r="E400" s="100" t="e">
        <f t="shared" ca="1" si="61"/>
        <v>#NAME?</v>
      </c>
      <c r="F400" s="100" t="e">
        <f t="shared" ca="1" si="61"/>
        <v>#NAME?</v>
      </c>
      <c r="G400" s="100" t="e">
        <f t="shared" ca="1" si="63"/>
        <v>#NAME?</v>
      </c>
      <c r="H400" s="100" t="e">
        <f t="shared" ca="1" si="64"/>
        <v>#NAME?</v>
      </c>
      <c r="I400" s="100" t="e">
        <f t="shared" ca="1" si="65"/>
        <v>#NAME?</v>
      </c>
      <c r="J400" s="100" t="e">
        <f t="shared" ca="1" si="66"/>
        <v>#NAME?</v>
      </c>
      <c r="K400" s="100" t="e">
        <f t="shared" ca="1" si="67"/>
        <v>#NAME?</v>
      </c>
      <c r="L400" s="100" t="e">
        <f t="shared" ca="1" si="68"/>
        <v>#NAME?</v>
      </c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</row>
    <row r="401" spans="1:27">
      <c r="A401" s="100" t="e">
        <f t="shared" ca="1" si="62"/>
        <v>#NAME?</v>
      </c>
      <c r="B401" s="100" t="e">
        <f ca="1">IFERROR(__xludf.DUMMYFUNCTION("""COMPUTED_VALUE"""),400)</f>
        <v>#NAME?</v>
      </c>
      <c r="C401" s="100" t="e">
        <f ca="1">IFERROR(__xludf.DUMMYFUNCTION("""COMPUTED_VALUE"""),"ILV-USD")</f>
        <v>#NAME?</v>
      </c>
      <c r="D401" s="100" t="e">
        <f ca="1">IFERROR(__xludf.DUMMYFUNCTION("""COMPUTED_VALUE"""),"13.27")</f>
        <v>#NAME?</v>
      </c>
      <c r="E401" s="100" t="e">
        <f t="shared" ca="1" si="61"/>
        <v>#NAME?</v>
      </c>
      <c r="F401" s="100" t="e">
        <f t="shared" ca="1" si="61"/>
        <v>#NAME?</v>
      </c>
      <c r="G401" s="100" t="e">
        <f t="shared" ca="1" si="63"/>
        <v>#NAME?</v>
      </c>
      <c r="H401" s="100" t="e">
        <f t="shared" ca="1" si="64"/>
        <v>#NAME?</v>
      </c>
      <c r="I401" s="100" t="e">
        <f t="shared" ca="1" si="65"/>
        <v>#NAME?</v>
      </c>
      <c r="J401" s="100" t="e">
        <f t="shared" ca="1" si="66"/>
        <v>#NAME?</v>
      </c>
      <c r="K401" s="100" t="e">
        <f t="shared" ca="1" si="67"/>
        <v>#NAME?</v>
      </c>
      <c r="L401" s="100" t="e">
        <f t="shared" ca="1" si="68"/>
        <v>#NAME?</v>
      </c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</row>
    <row r="402" spans="1:27">
      <c r="A402" s="100" t="e">
        <f t="shared" ca="1" si="62"/>
        <v>#NAME?</v>
      </c>
      <c r="B402" s="100" t="e">
        <f ca="1">IFERROR(__xludf.DUMMYFUNCTION("""COMPUTED_VALUE"""),401)</f>
        <v>#NAME?</v>
      </c>
      <c r="C402" s="100" t="e">
        <f ca="1">IFERROR(__xludf.DUMMYFUNCTION("""COMPUTED_VALUE"""),"1INCH-EUR")</f>
        <v>#NAME?</v>
      </c>
      <c r="D402" s="100" t="e">
        <f ca="1">IFERROR(__xludf.DUMMYFUNCTION("""COMPUTED_VALUE"""),"0.154")</f>
        <v>#NAME?</v>
      </c>
      <c r="E402" s="100" t="e">
        <f t="shared" ref="E402:F421" ca="1" si="69">IFERROR(__xludf.DUMMYFUNCTION("""COMPUTED_VALUE"""),"-")</f>
        <v>#NAME?</v>
      </c>
      <c r="F402" s="100" t="e">
        <f t="shared" ca="1" si="69"/>
        <v>#NAME?</v>
      </c>
      <c r="G402" s="100" t="e">
        <f t="shared" ca="1" si="63"/>
        <v>#NAME?</v>
      </c>
      <c r="H402" s="100" t="e">
        <f t="shared" ca="1" si="64"/>
        <v>#NAME?</v>
      </c>
      <c r="I402" s="100" t="e">
        <f t="shared" ca="1" si="65"/>
        <v>#NAME?</v>
      </c>
      <c r="J402" s="100" t="e">
        <f t="shared" ca="1" si="66"/>
        <v>#NAME?</v>
      </c>
      <c r="K402" s="100" t="e">
        <f t="shared" ca="1" si="67"/>
        <v>#NAME?</v>
      </c>
      <c r="L402" s="100" t="e">
        <f t="shared" ca="1" si="68"/>
        <v>#NAME?</v>
      </c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</row>
    <row r="403" spans="1:27">
      <c r="A403" s="100" t="e">
        <f t="shared" ca="1" si="62"/>
        <v>#NAME?</v>
      </c>
      <c r="B403" s="100" t="e">
        <f ca="1">IFERROR(__xludf.DUMMYFUNCTION("""COMPUTED_VALUE"""),402)</f>
        <v>#NAME?</v>
      </c>
      <c r="C403" s="100" t="e">
        <f ca="1">IFERROR(__xludf.DUMMYFUNCTION("""COMPUTED_VALUE"""),"LUNA-USDC")</f>
        <v>#NAME?</v>
      </c>
      <c r="D403" s="100" t="e">
        <f ca="1">IFERROR(__xludf.DUMMYFUNCTION("""COMPUTED_VALUE"""),"0.1657")</f>
        <v>#NAME?</v>
      </c>
      <c r="E403" s="100" t="e">
        <f t="shared" ca="1" si="69"/>
        <v>#NAME?</v>
      </c>
      <c r="F403" s="100" t="e">
        <f t="shared" ca="1" si="69"/>
        <v>#NAME?</v>
      </c>
      <c r="G403" s="100" t="e">
        <f t="shared" ca="1" si="63"/>
        <v>#NAME?</v>
      </c>
      <c r="H403" s="100" t="e">
        <f t="shared" ca="1" si="64"/>
        <v>#NAME?</v>
      </c>
      <c r="I403" s="100" t="e">
        <f t="shared" ca="1" si="65"/>
        <v>#NAME?</v>
      </c>
      <c r="J403" s="100" t="e">
        <f t="shared" ca="1" si="66"/>
        <v>#NAME?</v>
      </c>
      <c r="K403" s="100" t="e">
        <f t="shared" ca="1" si="67"/>
        <v>#NAME?</v>
      </c>
      <c r="L403" s="100" t="e">
        <f t="shared" ca="1" si="68"/>
        <v>#NAME?</v>
      </c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</row>
    <row r="404" spans="1:27">
      <c r="A404" s="100" t="e">
        <f t="shared" ca="1" si="62"/>
        <v>#NAME?</v>
      </c>
      <c r="B404" s="100" t="e">
        <f ca="1">IFERROR(__xludf.DUMMYFUNCTION("""COMPUTED_VALUE"""),403)</f>
        <v>#NAME?</v>
      </c>
      <c r="C404" s="100" t="e">
        <f ca="1">IFERROR(__xludf.DUMMYFUNCTION("""COMPUTED_VALUE"""),"DAO-USD")</f>
        <v>#NAME?</v>
      </c>
      <c r="D404" s="100" t="e">
        <f ca="1">IFERROR(__xludf.DUMMYFUNCTION("""COMPUTED_VALUE"""),"0.1308")</f>
        <v>#NAME?</v>
      </c>
      <c r="E404" s="100" t="e">
        <f t="shared" ca="1" si="69"/>
        <v>#NAME?</v>
      </c>
      <c r="F404" s="100" t="e">
        <f t="shared" ca="1" si="69"/>
        <v>#NAME?</v>
      </c>
      <c r="G404" s="100" t="e">
        <f t="shared" ca="1" si="63"/>
        <v>#NAME?</v>
      </c>
      <c r="H404" s="100" t="e">
        <f t="shared" ca="1" si="64"/>
        <v>#NAME?</v>
      </c>
      <c r="I404" s="100" t="e">
        <f t="shared" ca="1" si="65"/>
        <v>#NAME?</v>
      </c>
      <c r="J404" s="100" t="e">
        <f t="shared" ca="1" si="66"/>
        <v>#NAME?</v>
      </c>
      <c r="K404" s="100" t="e">
        <f t="shared" ca="1" si="67"/>
        <v>#NAME?</v>
      </c>
      <c r="L404" s="100" t="e">
        <f t="shared" ca="1" si="68"/>
        <v>#NAME?</v>
      </c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</row>
    <row r="405" spans="1:27">
      <c r="A405" s="100" t="e">
        <f t="shared" ca="1" si="62"/>
        <v>#NAME?</v>
      </c>
      <c r="B405" s="100" t="e">
        <f ca="1">IFERROR(__xludf.DUMMYFUNCTION("""COMPUTED_VALUE"""),404)</f>
        <v>#NAME?</v>
      </c>
      <c r="C405" s="100" t="e">
        <f ca="1">IFERROR(__xludf.DUMMYFUNCTION("""COMPUTED_VALUE"""),"ORBS-USD")</f>
        <v>#NAME?</v>
      </c>
      <c r="D405" s="100" t="e">
        <f ca="1">IFERROR(__xludf.DUMMYFUNCTION("""COMPUTED_VALUE"""),"0.02107")</f>
        <v>#NAME?</v>
      </c>
      <c r="E405" s="100" t="e">
        <f t="shared" ca="1" si="69"/>
        <v>#NAME?</v>
      </c>
      <c r="F405" s="100" t="e">
        <f t="shared" ca="1" si="69"/>
        <v>#NAME?</v>
      </c>
      <c r="G405" s="100" t="e">
        <f t="shared" ca="1" si="63"/>
        <v>#NAME?</v>
      </c>
      <c r="H405" s="100" t="e">
        <f t="shared" ca="1" si="64"/>
        <v>#NAME?</v>
      </c>
      <c r="I405" s="100" t="e">
        <f t="shared" ca="1" si="65"/>
        <v>#NAME?</v>
      </c>
      <c r="J405" s="100" t="e">
        <f t="shared" ca="1" si="66"/>
        <v>#NAME?</v>
      </c>
      <c r="K405" s="100" t="e">
        <f t="shared" ca="1" si="67"/>
        <v>#NAME?</v>
      </c>
      <c r="L405" s="100" t="e">
        <f t="shared" ca="1" si="68"/>
        <v>#NAME?</v>
      </c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</row>
    <row r="406" spans="1:27">
      <c r="A406" s="100" t="e">
        <f t="shared" ca="1" si="62"/>
        <v>#NAME?</v>
      </c>
      <c r="B406" s="100" t="e">
        <f ca="1">IFERROR(__xludf.DUMMYFUNCTION("""COMPUTED_VALUE"""),405)</f>
        <v>#NAME?</v>
      </c>
      <c r="C406" s="100" t="e">
        <f ca="1">IFERROR(__xludf.DUMMYFUNCTION("""COMPUTED_VALUE"""),"TRUMP-USDT")</f>
        <v>#NAME?</v>
      </c>
      <c r="D406" s="100" t="e">
        <f ca="1">IFERROR(__xludf.DUMMYFUNCTION("""COMPUTED_VALUE"""),"8.534")</f>
        <v>#NAME?</v>
      </c>
      <c r="E406" s="100" t="e">
        <f t="shared" ca="1" si="69"/>
        <v>#NAME?</v>
      </c>
      <c r="F406" s="100" t="e">
        <f t="shared" ca="1" si="69"/>
        <v>#NAME?</v>
      </c>
      <c r="G406" s="100" t="e">
        <f t="shared" ca="1" si="63"/>
        <v>#NAME?</v>
      </c>
      <c r="H406" s="100" t="e">
        <f t="shared" ca="1" si="64"/>
        <v>#NAME?</v>
      </c>
      <c r="I406" s="100" t="e">
        <f t="shared" ca="1" si="65"/>
        <v>#NAME?</v>
      </c>
      <c r="J406" s="100" t="e">
        <f t="shared" ca="1" si="66"/>
        <v>#NAME?</v>
      </c>
      <c r="K406" s="100" t="e">
        <f t="shared" ca="1" si="67"/>
        <v>#NAME?</v>
      </c>
      <c r="L406" s="100" t="e">
        <f t="shared" ca="1" si="68"/>
        <v>#NAME?</v>
      </c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</row>
    <row r="407" spans="1:27">
      <c r="A407" s="100" t="e">
        <f t="shared" ca="1" si="62"/>
        <v>#NAME?</v>
      </c>
      <c r="B407" s="100" t="e">
        <f ca="1">IFERROR(__xludf.DUMMYFUNCTION("""COMPUTED_VALUE"""),406)</f>
        <v>#NAME?</v>
      </c>
      <c r="C407" s="100" t="e">
        <f ca="1">IFERROR(__xludf.DUMMYFUNCTION("""COMPUTED_VALUE"""),"SSV-USD")</f>
        <v>#NAME?</v>
      </c>
      <c r="D407" s="100" t="e">
        <f ca="1">IFERROR(__xludf.DUMMYFUNCTION("""COMPUTED_VALUE"""),"5.652")</f>
        <v>#NAME?</v>
      </c>
      <c r="E407" s="100" t="e">
        <f t="shared" ca="1" si="69"/>
        <v>#NAME?</v>
      </c>
      <c r="F407" s="100" t="e">
        <f t="shared" ca="1" si="69"/>
        <v>#NAME?</v>
      </c>
      <c r="G407" s="100" t="e">
        <f t="shared" ca="1" si="63"/>
        <v>#NAME?</v>
      </c>
      <c r="H407" s="100" t="e">
        <f t="shared" ca="1" si="64"/>
        <v>#NAME?</v>
      </c>
      <c r="I407" s="100" t="e">
        <f t="shared" ca="1" si="65"/>
        <v>#NAME?</v>
      </c>
      <c r="J407" s="100" t="e">
        <f t="shared" ca="1" si="66"/>
        <v>#NAME?</v>
      </c>
      <c r="K407" s="100" t="e">
        <f t="shared" ca="1" si="67"/>
        <v>#NAME?</v>
      </c>
      <c r="L407" s="100" t="e">
        <f t="shared" ca="1" si="68"/>
        <v>#NAME?</v>
      </c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</row>
    <row r="408" spans="1:27">
      <c r="A408" s="100" t="e">
        <f t="shared" ca="1" si="62"/>
        <v>#NAME?</v>
      </c>
      <c r="B408" s="100" t="e">
        <f ca="1">IFERROR(__xludf.DUMMYFUNCTION("""COMPUTED_VALUE"""),407)</f>
        <v>#NAME?</v>
      </c>
      <c r="C408" s="100" t="e">
        <f ca="1">IFERROR(__xludf.DUMMYFUNCTION("""COMPUTED_VALUE"""),"DAI-USDT")</f>
        <v>#NAME?</v>
      </c>
      <c r="D408" s="100" t="e">
        <f ca="1">IFERROR(__xludf.DUMMYFUNCTION("""COMPUTED_VALUE"""),"1.0002")</f>
        <v>#NAME?</v>
      </c>
      <c r="E408" s="100" t="e">
        <f t="shared" ca="1" si="69"/>
        <v>#NAME?</v>
      </c>
      <c r="F408" s="100" t="e">
        <f t="shared" ca="1" si="69"/>
        <v>#NAME?</v>
      </c>
      <c r="G408" s="100" t="e">
        <f t="shared" ca="1" si="63"/>
        <v>#NAME?</v>
      </c>
      <c r="H408" s="100" t="e">
        <f t="shared" ca="1" si="64"/>
        <v>#NAME?</v>
      </c>
      <c r="I408" s="100" t="e">
        <f t="shared" ca="1" si="65"/>
        <v>#NAME?</v>
      </c>
      <c r="J408" s="100" t="e">
        <f t="shared" ca="1" si="66"/>
        <v>#NAME?</v>
      </c>
      <c r="K408" s="100" t="e">
        <f t="shared" ca="1" si="67"/>
        <v>#NAME?</v>
      </c>
      <c r="L408" s="100" t="e">
        <f t="shared" ca="1" si="68"/>
        <v>#NAME?</v>
      </c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</row>
    <row r="409" spans="1:27">
      <c r="A409" s="100" t="e">
        <f t="shared" ca="1" si="62"/>
        <v>#NAME?</v>
      </c>
      <c r="B409" s="100" t="e">
        <f ca="1">IFERROR(__xludf.DUMMYFUNCTION("""COMPUTED_VALUE"""),408)</f>
        <v>#NAME?</v>
      </c>
      <c r="C409" s="100" t="e">
        <f ca="1">IFERROR(__xludf.DUMMYFUNCTION("""COMPUTED_VALUE"""),"LUNA-USDT")</f>
        <v>#NAME?</v>
      </c>
      <c r="D409" s="100" t="e">
        <f ca="1">IFERROR(__xludf.DUMMYFUNCTION("""COMPUTED_VALUE"""),"0.1652")</f>
        <v>#NAME?</v>
      </c>
      <c r="E409" s="100" t="e">
        <f t="shared" ca="1" si="69"/>
        <v>#NAME?</v>
      </c>
      <c r="F409" s="100" t="e">
        <f t="shared" ca="1" si="69"/>
        <v>#NAME?</v>
      </c>
      <c r="G409" s="100" t="e">
        <f t="shared" ca="1" si="63"/>
        <v>#NAME?</v>
      </c>
      <c r="H409" s="100" t="e">
        <f t="shared" ca="1" si="64"/>
        <v>#NAME?</v>
      </c>
      <c r="I409" s="100" t="e">
        <f t="shared" ca="1" si="65"/>
        <v>#NAME?</v>
      </c>
      <c r="J409" s="100" t="e">
        <f t="shared" ca="1" si="66"/>
        <v>#NAME?</v>
      </c>
      <c r="K409" s="100" t="e">
        <f t="shared" ca="1" si="67"/>
        <v>#NAME?</v>
      </c>
      <c r="L409" s="100" t="e">
        <f t="shared" ca="1" si="68"/>
        <v>#NAME?</v>
      </c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</row>
    <row r="410" spans="1:27">
      <c r="A410" s="100" t="e">
        <f t="shared" ca="1" si="62"/>
        <v>#NAME?</v>
      </c>
      <c r="B410" s="100" t="e">
        <f ca="1">IFERROR(__xludf.DUMMYFUNCTION("""COMPUTED_VALUE"""),409)</f>
        <v>#NAME?</v>
      </c>
      <c r="C410" s="100" t="e">
        <f ca="1">IFERROR(__xludf.DUMMYFUNCTION("""COMPUTED_VALUE"""),"XNO-USDT")</f>
        <v>#NAME?</v>
      </c>
      <c r="D410" s="100" t="e">
        <f ca="1">IFERROR(__xludf.DUMMYFUNCTION("""COMPUTED_VALUE"""),"0.9296")</f>
        <v>#NAME?</v>
      </c>
      <c r="E410" s="100" t="e">
        <f t="shared" ca="1" si="69"/>
        <v>#NAME?</v>
      </c>
      <c r="F410" s="100" t="e">
        <f t="shared" ca="1" si="69"/>
        <v>#NAME?</v>
      </c>
      <c r="G410" s="100" t="e">
        <f t="shared" ca="1" si="63"/>
        <v>#NAME?</v>
      </c>
      <c r="H410" s="100" t="e">
        <f t="shared" ca="1" si="64"/>
        <v>#NAME?</v>
      </c>
      <c r="I410" s="100" t="e">
        <f t="shared" ca="1" si="65"/>
        <v>#NAME?</v>
      </c>
      <c r="J410" s="100" t="e">
        <f t="shared" ca="1" si="66"/>
        <v>#NAME?</v>
      </c>
      <c r="K410" s="100" t="e">
        <f t="shared" ca="1" si="67"/>
        <v>#NAME?</v>
      </c>
      <c r="L410" s="100" t="e">
        <f t="shared" ca="1" si="68"/>
        <v>#NAME?</v>
      </c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</row>
    <row r="411" spans="1:27">
      <c r="A411" s="100" t="e">
        <f t="shared" ca="1" si="62"/>
        <v>#NAME?</v>
      </c>
      <c r="B411" s="100" t="e">
        <f ca="1">IFERROR(__xludf.DUMMYFUNCTION("""COMPUTED_VALUE"""),410)</f>
        <v>#NAME?</v>
      </c>
      <c r="C411" s="100" t="e">
        <f ca="1">IFERROR(__xludf.DUMMYFUNCTION("""COMPUTED_VALUE"""),"JST-USD")</f>
        <v>#NAME?</v>
      </c>
      <c r="D411" s="100" t="e">
        <f ca="1">IFERROR(__xludf.DUMMYFUNCTION("""COMPUTED_VALUE"""),"0.0314")</f>
        <v>#NAME?</v>
      </c>
      <c r="E411" s="100" t="e">
        <f t="shared" ca="1" si="69"/>
        <v>#NAME?</v>
      </c>
      <c r="F411" s="100" t="e">
        <f t="shared" ca="1" si="69"/>
        <v>#NAME?</v>
      </c>
      <c r="G411" s="100" t="e">
        <f t="shared" ca="1" si="63"/>
        <v>#NAME?</v>
      </c>
      <c r="H411" s="100" t="e">
        <f t="shared" ca="1" si="64"/>
        <v>#NAME?</v>
      </c>
      <c r="I411" s="100" t="e">
        <f t="shared" ca="1" si="65"/>
        <v>#NAME?</v>
      </c>
      <c r="J411" s="100" t="e">
        <f t="shared" ca="1" si="66"/>
        <v>#NAME?</v>
      </c>
      <c r="K411" s="100" t="e">
        <f t="shared" ca="1" si="67"/>
        <v>#NAME?</v>
      </c>
      <c r="L411" s="100" t="e">
        <f t="shared" ca="1" si="68"/>
        <v>#NAME?</v>
      </c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</row>
    <row r="412" spans="1:27">
      <c r="A412" s="100" t="e">
        <f t="shared" ca="1" si="62"/>
        <v>#NAME?</v>
      </c>
      <c r="B412" s="100" t="e">
        <f ca="1">IFERROR(__xludf.DUMMYFUNCTION("""COMPUTED_VALUE"""),411)</f>
        <v>#NAME?</v>
      </c>
      <c r="C412" s="100" t="e">
        <f ca="1">IFERROR(__xludf.DUMMYFUNCTION("""COMPUTED_VALUE"""),"PNUT-USDC")</f>
        <v>#NAME?</v>
      </c>
      <c r="D412" s="100" t="e">
        <f ca="1">IFERROR(__xludf.DUMMYFUNCTION("""COMPUTED_VALUE"""),"0.1316")</f>
        <v>#NAME?</v>
      </c>
      <c r="E412" s="100" t="e">
        <f t="shared" ca="1" si="69"/>
        <v>#NAME?</v>
      </c>
      <c r="F412" s="100" t="e">
        <f t="shared" ca="1" si="69"/>
        <v>#NAME?</v>
      </c>
      <c r="G412" s="100" t="e">
        <f t="shared" ca="1" si="63"/>
        <v>#NAME?</v>
      </c>
      <c r="H412" s="100" t="e">
        <f t="shared" ca="1" si="64"/>
        <v>#NAME?</v>
      </c>
      <c r="I412" s="100" t="e">
        <f t="shared" ca="1" si="65"/>
        <v>#NAME?</v>
      </c>
      <c r="J412" s="100" t="e">
        <f t="shared" ca="1" si="66"/>
        <v>#NAME?</v>
      </c>
      <c r="K412" s="100" t="e">
        <f t="shared" ca="1" si="67"/>
        <v>#NAME?</v>
      </c>
      <c r="L412" s="100" t="e">
        <f t="shared" ca="1" si="68"/>
        <v>#NAME?</v>
      </c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</row>
    <row r="413" spans="1:27">
      <c r="A413" s="100" t="e">
        <f t="shared" ca="1" si="62"/>
        <v>#NAME?</v>
      </c>
      <c r="B413" s="100" t="e">
        <f ca="1">IFERROR(__xludf.DUMMYFUNCTION("""COMPUTED_VALUE"""),412)</f>
        <v>#NAME?</v>
      </c>
      <c r="C413" s="100" t="e">
        <f ca="1">IFERROR(__xludf.DUMMYFUNCTION("""COMPUTED_VALUE"""),"CVX-USDT")</f>
        <v>#NAME?</v>
      </c>
      <c r="D413" s="100" t="e">
        <f ca="1">IFERROR(__xludf.DUMMYFUNCTION("""COMPUTED_VALUE"""),"2.656")</f>
        <v>#NAME?</v>
      </c>
      <c r="E413" s="100" t="e">
        <f t="shared" ca="1" si="69"/>
        <v>#NAME?</v>
      </c>
      <c r="F413" s="100" t="e">
        <f t="shared" ca="1" si="69"/>
        <v>#NAME?</v>
      </c>
      <c r="G413" s="100" t="e">
        <f t="shared" ca="1" si="63"/>
        <v>#NAME?</v>
      </c>
      <c r="H413" s="100" t="e">
        <f t="shared" ca="1" si="64"/>
        <v>#NAME?</v>
      </c>
      <c r="I413" s="100" t="e">
        <f t="shared" ca="1" si="65"/>
        <v>#NAME?</v>
      </c>
      <c r="J413" s="100" t="e">
        <f t="shared" ca="1" si="66"/>
        <v>#NAME?</v>
      </c>
      <c r="K413" s="100" t="e">
        <f t="shared" ca="1" si="67"/>
        <v>#NAME?</v>
      </c>
      <c r="L413" s="100" t="e">
        <f t="shared" ca="1" si="68"/>
        <v>#NAME?</v>
      </c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</row>
    <row r="414" spans="1:27">
      <c r="A414" s="100" t="e">
        <f t="shared" ca="1" si="62"/>
        <v>#NAME?</v>
      </c>
      <c r="B414" s="100" t="e">
        <f ca="1">IFERROR(__xludf.DUMMYFUNCTION("""COMPUTED_VALUE"""),413)</f>
        <v>#NAME?</v>
      </c>
      <c r="C414" s="100" t="e">
        <f ca="1">IFERROR(__xludf.DUMMYFUNCTION("""COMPUTED_VALUE"""),"JTO-USDT")</f>
        <v>#NAME?</v>
      </c>
      <c r="D414" s="100" t="e">
        <f ca="1">IFERROR(__xludf.DUMMYFUNCTION("""COMPUTED_VALUE"""),"1.711")</f>
        <v>#NAME?</v>
      </c>
      <c r="E414" s="100" t="e">
        <f t="shared" ca="1" si="69"/>
        <v>#NAME?</v>
      </c>
      <c r="F414" s="100" t="e">
        <f t="shared" ca="1" si="69"/>
        <v>#NAME?</v>
      </c>
      <c r="G414" s="100" t="e">
        <f t="shared" ca="1" si="63"/>
        <v>#NAME?</v>
      </c>
      <c r="H414" s="100" t="e">
        <f t="shared" ca="1" si="64"/>
        <v>#NAME?</v>
      </c>
      <c r="I414" s="100" t="e">
        <f t="shared" ca="1" si="65"/>
        <v>#NAME?</v>
      </c>
      <c r="J414" s="100" t="e">
        <f t="shared" ca="1" si="66"/>
        <v>#NAME?</v>
      </c>
      <c r="K414" s="100" t="e">
        <f t="shared" ca="1" si="67"/>
        <v>#NAME?</v>
      </c>
      <c r="L414" s="100" t="e">
        <f t="shared" ca="1" si="68"/>
        <v>#NAME?</v>
      </c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</row>
    <row r="415" spans="1:27">
      <c r="A415" s="100" t="e">
        <f t="shared" ca="1" si="62"/>
        <v>#NAME?</v>
      </c>
      <c r="B415" s="100" t="e">
        <f ca="1">IFERROR(__xludf.DUMMYFUNCTION("""COMPUTED_VALUE"""),414)</f>
        <v>#NAME?</v>
      </c>
      <c r="C415" s="100" t="e">
        <f ca="1">IFERROR(__xludf.DUMMYFUNCTION("""COMPUTED_VALUE"""),"DAI-USDC")</f>
        <v>#NAME?</v>
      </c>
      <c r="D415" s="100" t="e">
        <f ca="1">IFERROR(__xludf.DUMMYFUNCTION("""COMPUTED_VALUE"""),"1.0011")</f>
        <v>#NAME?</v>
      </c>
      <c r="E415" s="100" t="e">
        <f t="shared" ca="1" si="69"/>
        <v>#NAME?</v>
      </c>
      <c r="F415" s="100" t="e">
        <f t="shared" ca="1" si="69"/>
        <v>#NAME?</v>
      </c>
      <c r="G415" s="100" t="e">
        <f t="shared" ca="1" si="63"/>
        <v>#NAME?</v>
      </c>
      <c r="H415" s="100" t="e">
        <f t="shared" ca="1" si="64"/>
        <v>#NAME?</v>
      </c>
      <c r="I415" s="100" t="e">
        <f t="shared" ca="1" si="65"/>
        <v>#NAME?</v>
      </c>
      <c r="J415" s="100" t="e">
        <f t="shared" ca="1" si="66"/>
        <v>#NAME?</v>
      </c>
      <c r="K415" s="100" t="e">
        <f t="shared" ca="1" si="67"/>
        <v>#NAME?</v>
      </c>
      <c r="L415" s="100" t="e">
        <f t="shared" ca="1" si="68"/>
        <v>#NAME?</v>
      </c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</row>
    <row r="416" spans="1:27">
      <c r="A416" s="100" t="e">
        <f t="shared" ca="1" si="62"/>
        <v>#NAME?</v>
      </c>
      <c r="B416" s="100" t="e">
        <f ca="1">IFERROR(__xludf.DUMMYFUNCTION("""COMPUTED_VALUE"""),415)</f>
        <v>#NAME?</v>
      </c>
      <c r="C416" s="100" t="e">
        <f ca="1">IFERROR(__xludf.DUMMYFUNCTION("""COMPUTED_VALUE"""),"STETH-ETH")</f>
        <v>#NAME?</v>
      </c>
      <c r="D416" s="100" t="e">
        <f ca="1">IFERROR(__xludf.DUMMYFUNCTION("""COMPUTED_VALUE"""),"0.9993")</f>
        <v>#NAME?</v>
      </c>
      <c r="E416" s="100" t="e">
        <f t="shared" ca="1" si="69"/>
        <v>#NAME?</v>
      </c>
      <c r="F416" s="100" t="e">
        <f t="shared" ca="1" si="69"/>
        <v>#NAME?</v>
      </c>
      <c r="G416" s="100" t="e">
        <f t="shared" ca="1" si="63"/>
        <v>#NAME?</v>
      </c>
      <c r="H416" s="100" t="e">
        <f t="shared" ca="1" si="64"/>
        <v>#NAME?</v>
      </c>
      <c r="I416" s="100" t="e">
        <f t="shared" ca="1" si="65"/>
        <v>#NAME?</v>
      </c>
      <c r="J416" s="100" t="e">
        <f t="shared" ca="1" si="66"/>
        <v>#NAME?</v>
      </c>
      <c r="K416" s="100" t="e">
        <f t="shared" ca="1" si="67"/>
        <v>#NAME?</v>
      </c>
      <c r="L416" s="100" t="e">
        <f t="shared" ca="1" si="68"/>
        <v>#NAME?</v>
      </c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</row>
    <row r="417" spans="1:27">
      <c r="A417" s="100" t="e">
        <f t="shared" ca="1" si="62"/>
        <v>#NAME?</v>
      </c>
      <c r="B417" s="100" t="e">
        <f ca="1">IFERROR(__xludf.DUMMYFUNCTION("""COMPUTED_VALUE"""),416)</f>
        <v>#NAME?</v>
      </c>
      <c r="C417" s="100" t="e">
        <f ca="1">IFERROR(__xludf.DUMMYFUNCTION("""COMPUTED_VALUE"""),"LSK-USDT")</f>
        <v>#NAME?</v>
      </c>
      <c r="D417" s="100" t="e">
        <f ca="1">IFERROR(__xludf.DUMMYFUNCTION("""COMPUTED_VALUE"""),"0.5033")</f>
        <v>#NAME?</v>
      </c>
      <c r="E417" s="100" t="e">
        <f t="shared" ca="1" si="69"/>
        <v>#NAME?</v>
      </c>
      <c r="F417" s="100" t="e">
        <f t="shared" ca="1" si="69"/>
        <v>#NAME?</v>
      </c>
      <c r="G417" s="100" t="e">
        <f t="shared" ca="1" si="63"/>
        <v>#NAME?</v>
      </c>
      <c r="H417" s="100" t="e">
        <f t="shared" ca="1" si="64"/>
        <v>#NAME?</v>
      </c>
      <c r="I417" s="100" t="e">
        <f t="shared" ca="1" si="65"/>
        <v>#NAME?</v>
      </c>
      <c r="J417" s="100" t="e">
        <f t="shared" ca="1" si="66"/>
        <v>#NAME?</v>
      </c>
      <c r="K417" s="100" t="e">
        <f t="shared" ca="1" si="67"/>
        <v>#NAME?</v>
      </c>
      <c r="L417" s="100" t="e">
        <f t="shared" ca="1" si="68"/>
        <v>#NAME?</v>
      </c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</row>
    <row r="418" spans="1:27">
      <c r="A418" s="100" t="e">
        <f t="shared" ca="1" si="62"/>
        <v>#NAME?</v>
      </c>
      <c r="B418" s="100" t="e">
        <f ca="1">IFERROR(__xludf.DUMMYFUNCTION("""COMPUTED_VALUE"""),417)</f>
        <v>#NAME?</v>
      </c>
      <c r="C418" s="100" t="e">
        <f ca="1">IFERROR(__xludf.DUMMYFUNCTION("""COMPUTED_VALUE"""),"AAVE-USD")</f>
        <v>#NAME?</v>
      </c>
      <c r="D418" s="100" t="e">
        <f ca="1">IFERROR(__xludf.DUMMYFUNCTION("""COMPUTED_VALUE"""),"147.99")</f>
        <v>#NAME?</v>
      </c>
      <c r="E418" s="100" t="e">
        <f t="shared" ca="1" si="69"/>
        <v>#NAME?</v>
      </c>
      <c r="F418" s="100" t="e">
        <f t="shared" ca="1" si="69"/>
        <v>#NAME?</v>
      </c>
      <c r="G418" s="100" t="e">
        <f t="shared" ca="1" si="63"/>
        <v>#NAME?</v>
      </c>
      <c r="H418" s="100" t="e">
        <f t="shared" ca="1" si="64"/>
        <v>#NAME?</v>
      </c>
      <c r="I418" s="100" t="e">
        <f t="shared" ca="1" si="65"/>
        <v>#NAME?</v>
      </c>
      <c r="J418" s="100" t="e">
        <f t="shared" ca="1" si="66"/>
        <v>#NAME?</v>
      </c>
      <c r="K418" s="100" t="e">
        <f t="shared" ca="1" si="67"/>
        <v>#NAME?</v>
      </c>
      <c r="L418" s="100" t="e">
        <f t="shared" ca="1" si="68"/>
        <v>#NAME?</v>
      </c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</row>
    <row r="419" spans="1:27">
      <c r="A419" s="100" t="e">
        <f t="shared" ca="1" si="62"/>
        <v>#NAME?</v>
      </c>
      <c r="B419" s="100" t="e">
        <f ca="1">IFERROR(__xludf.DUMMYFUNCTION("""COMPUTED_VALUE"""),418)</f>
        <v>#NAME?</v>
      </c>
      <c r="C419" s="100" t="e">
        <f ca="1">IFERROR(__xludf.DUMMYFUNCTION("""COMPUTED_VALUE"""),"IOTA-USDT")</f>
        <v>#NAME?</v>
      </c>
      <c r="D419" s="100" t="e">
        <f ca="1">IFERROR(__xludf.DUMMYFUNCTION("""COMPUTED_VALUE"""),"0.1708")</f>
        <v>#NAME?</v>
      </c>
      <c r="E419" s="100" t="e">
        <f t="shared" ca="1" si="69"/>
        <v>#NAME?</v>
      </c>
      <c r="F419" s="100" t="e">
        <f t="shared" ca="1" si="69"/>
        <v>#NAME?</v>
      </c>
      <c r="G419" s="100" t="e">
        <f t="shared" ca="1" si="63"/>
        <v>#NAME?</v>
      </c>
      <c r="H419" s="100" t="e">
        <f t="shared" ca="1" si="64"/>
        <v>#NAME?</v>
      </c>
      <c r="I419" s="100" t="e">
        <f t="shared" ca="1" si="65"/>
        <v>#NAME?</v>
      </c>
      <c r="J419" s="100" t="e">
        <f t="shared" ca="1" si="66"/>
        <v>#NAME?</v>
      </c>
      <c r="K419" s="100" t="e">
        <f t="shared" ca="1" si="67"/>
        <v>#NAME?</v>
      </c>
      <c r="L419" s="100" t="e">
        <f t="shared" ca="1" si="68"/>
        <v>#NAME?</v>
      </c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</row>
    <row r="420" spans="1:27">
      <c r="A420" s="100" t="e">
        <f t="shared" ca="1" si="62"/>
        <v>#NAME?</v>
      </c>
      <c r="B420" s="100" t="e">
        <f ca="1">IFERROR(__xludf.DUMMYFUNCTION("""COMPUTED_VALUE"""),419)</f>
        <v>#NAME?</v>
      </c>
      <c r="C420" s="100" t="e">
        <f ca="1">IFERROR(__xludf.DUMMYFUNCTION("""COMPUTED_VALUE"""),"OP-USD")</f>
        <v>#NAME?</v>
      </c>
      <c r="D420" s="100" t="e">
        <f ca="1">IFERROR(__xludf.DUMMYFUNCTION("""COMPUTED_VALUE"""),"0.6963")</f>
        <v>#NAME?</v>
      </c>
      <c r="E420" s="100" t="e">
        <f t="shared" ca="1" si="69"/>
        <v>#NAME?</v>
      </c>
      <c r="F420" s="100" t="e">
        <f t="shared" ca="1" si="69"/>
        <v>#NAME?</v>
      </c>
      <c r="G420" s="100" t="e">
        <f t="shared" ca="1" si="63"/>
        <v>#NAME?</v>
      </c>
      <c r="H420" s="100" t="e">
        <f t="shared" ca="1" si="64"/>
        <v>#NAME?</v>
      </c>
      <c r="I420" s="100" t="e">
        <f t="shared" ca="1" si="65"/>
        <v>#NAME?</v>
      </c>
      <c r="J420" s="100" t="e">
        <f t="shared" ca="1" si="66"/>
        <v>#NAME?</v>
      </c>
      <c r="K420" s="100" t="e">
        <f t="shared" ca="1" si="67"/>
        <v>#NAME?</v>
      </c>
      <c r="L420" s="100" t="e">
        <f t="shared" ca="1" si="68"/>
        <v>#NAME?</v>
      </c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</row>
    <row r="421" spans="1:27">
      <c r="A421" s="100" t="e">
        <f t="shared" ca="1" si="62"/>
        <v>#NAME?</v>
      </c>
      <c r="B421" s="100" t="e">
        <f ca="1">IFERROR(__xludf.DUMMYFUNCTION("""COMPUTED_VALUE"""),420)</f>
        <v>#NAME?</v>
      </c>
      <c r="C421" s="100" t="e">
        <f ca="1">IFERROR(__xludf.DUMMYFUNCTION("""COMPUTED_VALUE"""),"ALCX-USD")</f>
        <v>#NAME?</v>
      </c>
      <c r="D421" s="100" t="e">
        <f ca="1">IFERROR(__xludf.DUMMYFUNCTION("""COMPUTED_VALUE"""),"8.558")</f>
        <v>#NAME?</v>
      </c>
      <c r="E421" s="100" t="e">
        <f t="shared" ca="1" si="69"/>
        <v>#NAME?</v>
      </c>
      <c r="F421" s="100" t="e">
        <f t="shared" ca="1" si="69"/>
        <v>#NAME?</v>
      </c>
      <c r="G421" s="100" t="e">
        <f t="shared" ca="1" si="63"/>
        <v>#NAME?</v>
      </c>
      <c r="H421" s="100" t="e">
        <f t="shared" ca="1" si="64"/>
        <v>#NAME?</v>
      </c>
      <c r="I421" s="100" t="e">
        <f t="shared" ca="1" si="65"/>
        <v>#NAME?</v>
      </c>
      <c r="J421" s="100" t="e">
        <f t="shared" ca="1" si="66"/>
        <v>#NAME?</v>
      </c>
      <c r="K421" s="100" t="e">
        <f t="shared" ca="1" si="67"/>
        <v>#NAME?</v>
      </c>
      <c r="L421" s="100" t="e">
        <f t="shared" ca="1" si="68"/>
        <v>#NAME?</v>
      </c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</row>
    <row r="422" spans="1:27">
      <c r="A422" s="100" t="e">
        <f t="shared" ca="1" si="62"/>
        <v>#NAME?</v>
      </c>
      <c r="B422" s="100" t="e">
        <f ca="1">IFERROR(__xludf.DUMMYFUNCTION("""COMPUTED_VALUE"""),421)</f>
        <v>#NAME?</v>
      </c>
      <c r="C422" s="100" t="e">
        <f ca="1">IFERROR(__xludf.DUMMYFUNCTION("""COMPUTED_VALUE"""),"EIGEN-USDC")</f>
        <v>#NAME?</v>
      </c>
      <c r="D422" s="100" t="e">
        <f ca="1">IFERROR(__xludf.DUMMYFUNCTION("""COMPUTED_VALUE"""),"0.849")</f>
        <v>#NAME?</v>
      </c>
      <c r="E422" s="100" t="e">
        <f t="shared" ref="E422:F441" ca="1" si="70">IFERROR(__xludf.DUMMYFUNCTION("""COMPUTED_VALUE"""),"-")</f>
        <v>#NAME?</v>
      </c>
      <c r="F422" s="100" t="e">
        <f t="shared" ca="1" si="70"/>
        <v>#NAME?</v>
      </c>
      <c r="G422" s="100" t="e">
        <f t="shared" ca="1" si="63"/>
        <v>#NAME?</v>
      </c>
      <c r="H422" s="100" t="e">
        <f t="shared" ca="1" si="64"/>
        <v>#NAME?</v>
      </c>
      <c r="I422" s="100" t="e">
        <f t="shared" ca="1" si="65"/>
        <v>#NAME?</v>
      </c>
      <c r="J422" s="100" t="e">
        <f t="shared" ca="1" si="66"/>
        <v>#NAME?</v>
      </c>
      <c r="K422" s="100" t="e">
        <f t="shared" ca="1" si="67"/>
        <v>#NAME?</v>
      </c>
      <c r="L422" s="100" t="e">
        <f t="shared" ca="1" si="68"/>
        <v>#NAME?</v>
      </c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</row>
    <row r="423" spans="1:27">
      <c r="A423" s="100" t="e">
        <f t="shared" ca="1" si="62"/>
        <v>#NAME?</v>
      </c>
      <c r="B423" s="100" t="e">
        <f ca="1">IFERROR(__xludf.DUMMYFUNCTION("""COMPUTED_VALUE"""),422)</f>
        <v>#NAME?</v>
      </c>
      <c r="C423" s="100" t="e">
        <f ca="1">IFERROR(__xludf.DUMMYFUNCTION("""COMPUTED_VALUE"""),"PRCL-USD")</f>
        <v>#NAME?</v>
      </c>
      <c r="D423" s="100" t="e">
        <f ca="1">IFERROR(__xludf.DUMMYFUNCTION("""COMPUTED_VALUE"""),"0.06721")</f>
        <v>#NAME?</v>
      </c>
      <c r="E423" s="100" t="e">
        <f t="shared" ca="1" si="70"/>
        <v>#NAME?</v>
      </c>
      <c r="F423" s="100" t="e">
        <f t="shared" ca="1" si="70"/>
        <v>#NAME?</v>
      </c>
      <c r="G423" s="100" t="e">
        <f t="shared" ca="1" si="63"/>
        <v>#NAME?</v>
      </c>
      <c r="H423" s="100" t="e">
        <f t="shared" ca="1" si="64"/>
        <v>#NAME?</v>
      </c>
      <c r="I423" s="100" t="e">
        <f t="shared" ca="1" si="65"/>
        <v>#NAME?</v>
      </c>
      <c r="J423" s="100" t="e">
        <f t="shared" ca="1" si="66"/>
        <v>#NAME?</v>
      </c>
      <c r="K423" s="100" t="e">
        <f t="shared" ca="1" si="67"/>
        <v>#NAME?</v>
      </c>
      <c r="L423" s="100" t="e">
        <f t="shared" ca="1" si="68"/>
        <v>#NAME?</v>
      </c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</row>
    <row r="424" spans="1:27">
      <c r="A424" s="100" t="e">
        <f t="shared" ca="1" si="62"/>
        <v>#NAME?</v>
      </c>
      <c r="B424" s="100" t="e">
        <f ca="1">IFERROR(__xludf.DUMMYFUNCTION("""COMPUTED_VALUE"""),423)</f>
        <v>#NAME?</v>
      </c>
      <c r="C424" s="100" t="e">
        <f ca="1">IFERROR(__xludf.DUMMYFUNCTION("""COMPUTED_VALUE"""),"JTO-USDC")</f>
        <v>#NAME?</v>
      </c>
      <c r="D424" s="100" t="e">
        <f ca="1">IFERROR(__xludf.DUMMYFUNCTION("""COMPUTED_VALUE"""),"1.71")</f>
        <v>#NAME?</v>
      </c>
      <c r="E424" s="100" t="e">
        <f t="shared" ca="1" si="70"/>
        <v>#NAME?</v>
      </c>
      <c r="F424" s="100" t="e">
        <f t="shared" ca="1" si="70"/>
        <v>#NAME?</v>
      </c>
      <c r="G424" s="100" t="e">
        <f t="shared" ca="1" si="63"/>
        <v>#NAME?</v>
      </c>
      <c r="H424" s="100" t="e">
        <f t="shared" ca="1" si="64"/>
        <v>#NAME?</v>
      </c>
      <c r="I424" s="100" t="e">
        <f t="shared" ca="1" si="65"/>
        <v>#NAME?</v>
      </c>
      <c r="J424" s="100" t="e">
        <f t="shared" ca="1" si="66"/>
        <v>#NAME?</v>
      </c>
      <c r="K424" s="100" t="e">
        <f t="shared" ca="1" si="67"/>
        <v>#NAME?</v>
      </c>
      <c r="L424" s="100" t="e">
        <f t="shared" ca="1" si="68"/>
        <v>#NAME?</v>
      </c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</row>
    <row r="425" spans="1:27">
      <c r="A425" s="100" t="e">
        <f t="shared" ca="1" si="62"/>
        <v>#NAME?</v>
      </c>
      <c r="B425" s="100" t="e">
        <f ca="1">IFERROR(__xludf.DUMMYFUNCTION("""COMPUTED_VALUE"""),424)</f>
        <v>#NAME?</v>
      </c>
      <c r="C425" s="100" t="e">
        <f ca="1">IFERROR(__xludf.DUMMYFUNCTION("""COMPUTED_VALUE"""),"PNUT-USDT")</f>
        <v>#NAME?</v>
      </c>
      <c r="D425" s="100" t="e">
        <f ca="1">IFERROR(__xludf.DUMMYFUNCTION("""COMPUTED_VALUE"""),"0.1317")</f>
        <v>#NAME?</v>
      </c>
      <c r="E425" s="100" t="e">
        <f t="shared" ca="1" si="70"/>
        <v>#NAME?</v>
      </c>
      <c r="F425" s="100" t="e">
        <f t="shared" ca="1" si="70"/>
        <v>#NAME?</v>
      </c>
      <c r="G425" s="100" t="e">
        <f t="shared" ca="1" si="63"/>
        <v>#NAME?</v>
      </c>
      <c r="H425" s="100" t="e">
        <f t="shared" ca="1" si="64"/>
        <v>#NAME?</v>
      </c>
      <c r="I425" s="100" t="e">
        <f t="shared" ca="1" si="65"/>
        <v>#NAME?</v>
      </c>
      <c r="J425" s="100" t="e">
        <f t="shared" ca="1" si="66"/>
        <v>#NAME?</v>
      </c>
      <c r="K425" s="100" t="e">
        <f t="shared" ca="1" si="67"/>
        <v>#NAME?</v>
      </c>
      <c r="L425" s="100" t="e">
        <f t="shared" ca="1" si="68"/>
        <v>#NAME?</v>
      </c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</row>
    <row r="426" spans="1:27">
      <c r="A426" s="100" t="e">
        <f t="shared" ca="1" si="62"/>
        <v>#NAME?</v>
      </c>
      <c r="B426" s="100" t="e">
        <f ca="1">IFERROR(__xludf.DUMMYFUNCTION("""COMPUTED_VALUE"""),425)</f>
        <v>#NAME?</v>
      </c>
      <c r="C426" s="100" t="e">
        <f ca="1">IFERROR(__xludf.DUMMYFUNCTION("""COMPUTED_VALUE"""),"XRP-USDC")</f>
        <v>#NAME?</v>
      </c>
      <c r="D426" s="100" t="e">
        <f ca="1">IFERROR(__xludf.DUMMYFUNCTION("""COMPUTED_VALUE"""),"2.1003")</f>
        <v>#NAME?</v>
      </c>
      <c r="E426" s="100" t="e">
        <f t="shared" ca="1" si="70"/>
        <v>#NAME?</v>
      </c>
      <c r="F426" s="100" t="e">
        <f t="shared" ca="1" si="70"/>
        <v>#NAME?</v>
      </c>
      <c r="G426" s="100" t="e">
        <f t="shared" ca="1" si="63"/>
        <v>#NAME?</v>
      </c>
      <c r="H426" s="100" t="e">
        <f t="shared" ca="1" si="64"/>
        <v>#NAME?</v>
      </c>
      <c r="I426" s="100" t="e">
        <f t="shared" ca="1" si="65"/>
        <v>#NAME?</v>
      </c>
      <c r="J426" s="100" t="e">
        <f t="shared" ca="1" si="66"/>
        <v>#NAME?</v>
      </c>
      <c r="K426" s="100" t="e">
        <f t="shared" ca="1" si="67"/>
        <v>#NAME?</v>
      </c>
      <c r="L426" s="100" t="e">
        <f t="shared" ca="1" si="68"/>
        <v>#NAME?</v>
      </c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</row>
    <row r="427" spans="1:27">
      <c r="A427" s="100" t="e">
        <f t="shared" ca="1" si="62"/>
        <v>#NAME?</v>
      </c>
      <c r="B427" s="100" t="e">
        <f ca="1">IFERROR(__xludf.DUMMYFUNCTION("""COMPUTED_VALUE"""),426)</f>
        <v>#NAME?</v>
      </c>
      <c r="C427" s="100" t="e">
        <f ca="1">IFERROR(__xludf.DUMMYFUNCTION("""COMPUTED_VALUE"""),"QTUM-USDT")</f>
        <v>#NAME?</v>
      </c>
      <c r="D427" s="100" t="e">
        <f ca="1">IFERROR(__xludf.DUMMYFUNCTION("""COMPUTED_VALUE"""),"2.101")</f>
        <v>#NAME?</v>
      </c>
      <c r="E427" s="100" t="e">
        <f t="shared" ca="1" si="70"/>
        <v>#NAME?</v>
      </c>
      <c r="F427" s="100" t="e">
        <f t="shared" ca="1" si="70"/>
        <v>#NAME?</v>
      </c>
      <c r="G427" s="100" t="e">
        <f t="shared" ca="1" si="63"/>
        <v>#NAME?</v>
      </c>
      <c r="H427" s="100" t="e">
        <f t="shared" ca="1" si="64"/>
        <v>#NAME?</v>
      </c>
      <c r="I427" s="100" t="e">
        <f t="shared" ca="1" si="65"/>
        <v>#NAME?</v>
      </c>
      <c r="J427" s="100" t="e">
        <f t="shared" ca="1" si="66"/>
        <v>#NAME?</v>
      </c>
      <c r="K427" s="100" t="e">
        <f t="shared" ca="1" si="67"/>
        <v>#NAME?</v>
      </c>
      <c r="L427" s="100" t="e">
        <f t="shared" ca="1" si="68"/>
        <v>#NAME?</v>
      </c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</row>
    <row r="428" spans="1:27">
      <c r="A428" s="100" t="e">
        <f t="shared" ca="1" si="62"/>
        <v>#NAME?</v>
      </c>
      <c r="B428" s="100" t="e">
        <f ca="1">IFERROR(__xludf.DUMMYFUNCTION("""COMPUTED_VALUE"""),427)</f>
        <v>#NAME?</v>
      </c>
      <c r="C428" s="100" t="e">
        <f ca="1">IFERROR(__xludf.DUMMYFUNCTION("""COMPUTED_VALUE"""),"CHZ-EUR")</f>
        <v>#NAME?</v>
      </c>
      <c r="D428" s="100" t="e">
        <f ca="1">IFERROR(__xludf.DUMMYFUNCTION("""COMPUTED_VALUE"""),"0.03232")</f>
        <v>#NAME?</v>
      </c>
      <c r="E428" s="100" t="e">
        <f t="shared" ca="1" si="70"/>
        <v>#NAME?</v>
      </c>
      <c r="F428" s="100" t="e">
        <f t="shared" ca="1" si="70"/>
        <v>#NAME?</v>
      </c>
      <c r="G428" s="100" t="e">
        <f t="shared" ca="1" si="63"/>
        <v>#NAME?</v>
      </c>
      <c r="H428" s="100" t="e">
        <f t="shared" ca="1" si="64"/>
        <v>#NAME?</v>
      </c>
      <c r="I428" s="100" t="e">
        <f t="shared" ca="1" si="65"/>
        <v>#NAME?</v>
      </c>
      <c r="J428" s="100" t="e">
        <f t="shared" ca="1" si="66"/>
        <v>#NAME?</v>
      </c>
      <c r="K428" s="100" t="e">
        <f t="shared" ca="1" si="67"/>
        <v>#NAME?</v>
      </c>
      <c r="L428" s="100" t="e">
        <f t="shared" ca="1" si="68"/>
        <v>#NAME?</v>
      </c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</row>
    <row r="429" spans="1:27">
      <c r="A429" s="100" t="e">
        <f t="shared" ca="1" si="62"/>
        <v>#NAME?</v>
      </c>
      <c r="B429" s="100" t="e">
        <f ca="1">IFERROR(__xludf.DUMMYFUNCTION("""COMPUTED_VALUE"""),428)</f>
        <v>#NAME?</v>
      </c>
      <c r="C429" s="100" t="e">
        <f ca="1">IFERROR(__xludf.DUMMYFUNCTION("""COMPUTED_VALUE"""),"EIGEN-USDT")</f>
        <v>#NAME?</v>
      </c>
      <c r="D429" s="100" t="e">
        <f ca="1">IFERROR(__xludf.DUMMYFUNCTION("""COMPUTED_VALUE"""),"0.838")</f>
        <v>#NAME?</v>
      </c>
      <c r="E429" s="100" t="e">
        <f t="shared" ca="1" si="70"/>
        <v>#NAME?</v>
      </c>
      <c r="F429" s="100" t="e">
        <f t="shared" ca="1" si="70"/>
        <v>#NAME?</v>
      </c>
      <c r="G429" s="100" t="e">
        <f t="shared" ca="1" si="63"/>
        <v>#NAME?</v>
      </c>
      <c r="H429" s="100" t="e">
        <f t="shared" ca="1" si="64"/>
        <v>#NAME?</v>
      </c>
      <c r="I429" s="100" t="e">
        <f t="shared" ca="1" si="65"/>
        <v>#NAME?</v>
      </c>
      <c r="J429" s="100" t="e">
        <f t="shared" ca="1" si="66"/>
        <v>#NAME?</v>
      </c>
      <c r="K429" s="100" t="e">
        <f t="shared" ca="1" si="67"/>
        <v>#NAME?</v>
      </c>
      <c r="L429" s="100" t="e">
        <f t="shared" ca="1" si="68"/>
        <v>#NAME?</v>
      </c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</row>
    <row r="430" spans="1:27">
      <c r="A430" s="100" t="e">
        <f t="shared" ca="1" si="62"/>
        <v>#NAME?</v>
      </c>
      <c r="B430" s="100" t="e">
        <f ca="1">IFERROR(__xludf.DUMMYFUNCTION("""COMPUTED_VALUE"""),429)</f>
        <v>#NAME?</v>
      </c>
      <c r="C430" s="100" t="e">
        <f ca="1">IFERROR(__xludf.DUMMYFUNCTION("""COMPUTED_VALUE"""),"CSPR-USDT")</f>
        <v>#NAME?</v>
      </c>
      <c r="D430" s="100" t="e">
        <f ca="1">IFERROR(__xludf.DUMMYFUNCTION("""COMPUTED_VALUE"""),"0.009555")</f>
        <v>#NAME?</v>
      </c>
      <c r="E430" s="100" t="e">
        <f t="shared" ca="1" si="70"/>
        <v>#NAME?</v>
      </c>
      <c r="F430" s="100" t="e">
        <f t="shared" ca="1" si="70"/>
        <v>#NAME?</v>
      </c>
      <c r="G430" s="100" t="e">
        <f t="shared" ca="1" si="63"/>
        <v>#NAME?</v>
      </c>
      <c r="H430" s="100" t="e">
        <f t="shared" ca="1" si="64"/>
        <v>#NAME?</v>
      </c>
      <c r="I430" s="100" t="e">
        <f t="shared" ca="1" si="65"/>
        <v>#NAME?</v>
      </c>
      <c r="J430" s="100" t="e">
        <f t="shared" ca="1" si="66"/>
        <v>#NAME?</v>
      </c>
      <c r="K430" s="100" t="e">
        <f t="shared" ca="1" si="67"/>
        <v>#NAME?</v>
      </c>
      <c r="L430" s="100" t="e">
        <f t="shared" ca="1" si="68"/>
        <v>#NAME?</v>
      </c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</row>
    <row r="431" spans="1:27">
      <c r="A431" s="100" t="e">
        <f t="shared" ca="1" si="62"/>
        <v>#NAME?</v>
      </c>
      <c r="B431" s="100" t="e">
        <f ca="1">IFERROR(__xludf.DUMMYFUNCTION("""COMPUTED_VALUE"""),430)</f>
        <v>#NAME?</v>
      </c>
      <c r="C431" s="100" t="e">
        <f ca="1">IFERROR(__xludf.DUMMYFUNCTION("""COMPUTED_VALUE"""),"ELON-USDT")</f>
        <v>#NAME?</v>
      </c>
      <c r="D431" s="100" t="e">
        <f ca="1">IFERROR(__xludf.DUMMYFUNCTION("""COMPUTED_VALUE"""),"0.0000001296")</f>
        <v>#NAME?</v>
      </c>
      <c r="E431" s="100" t="e">
        <f t="shared" ca="1" si="70"/>
        <v>#NAME?</v>
      </c>
      <c r="F431" s="100" t="e">
        <f t="shared" ca="1" si="70"/>
        <v>#NAME?</v>
      </c>
      <c r="G431" s="100" t="e">
        <f t="shared" ca="1" si="63"/>
        <v>#NAME?</v>
      </c>
      <c r="H431" s="100" t="e">
        <f t="shared" ca="1" si="64"/>
        <v>#NAME?</v>
      </c>
      <c r="I431" s="100" t="e">
        <f t="shared" ca="1" si="65"/>
        <v>#NAME?</v>
      </c>
      <c r="J431" s="100" t="e">
        <f t="shared" ca="1" si="66"/>
        <v>#NAME?</v>
      </c>
      <c r="K431" s="100" t="e">
        <f t="shared" ca="1" si="67"/>
        <v>#NAME?</v>
      </c>
      <c r="L431" s="100" t="e">
        <f t="shared" ca="1" si="68"/>
        <v>#NAME?</v>
      </c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</row>
    <row r="432" spans="1:27">
      <c r="A432" s="100" t="e">
        <f t="shared" ca="1" si="62"/>
        <v>#NAME?</v>
      </c>
      <c r="B432" s="100" t="e">
        <f ca="1">IFERROR(__xludf.DUMMYFUNCTION("""COMPUTED_VALUE"""),431)</f>
        <v>#NAME?</v>
      </c>
      <c r="C432" s="100" t="e">
        <f ca="1">IFERROR(__xludf.DUMMYFUNCTION("""COMPUTED_VALUE"""),"ZEUS-USD")</f>
        <v>#NAME?</v>
      </c>
      <c r="D432" s="100" t="e">
        <f ca="1">IFERROR(__xludf.DUMMYFUNCTION("""COMPUTED_VALUE"""),"0.2502")</f>
        <v>#NAME?</v>
      </c>
      <c r="E432" s="100" t="e">
        <f t="shared" ca="1" si="70"/>
        <v>#NAME?</v>
      </c>
      <c r="F432" s="100" t="e">
        <f t="shared" ca="1" si="70"/>
        <v>#NAME?</v>
      </c>
      <c r="G432" s="100" t="e">
        <f t="shared" ca="1" si="63"/>
        <v>#NAME?</v>
      </c>
      <c r="H432" s="100" t="e">
        <f t="shared" ca="1" si="64"/>
        <v>#NAME?</v>
      </c>
      <c r="I432" s="100" t="e">
        <f t="shared" ca="1" si="65"/>
        <v>#NAME?</v>
      </c>
      <c r="J432" s="100" t="e">
        <f t="shared" ca="1" si="66"/>
        <v>#NAME?</v>
      </c>
      <c r="K432" s="100" t="e">
        <f t="shared" ca="1" si="67"/>
        <v>#NAME?</v>
      </c>
      <c r="L432" s="100" t="e">
        <f t="shared" ca="1" si="68"/>
        <v>#NAME?</v>
      </c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</row>
    <row r="433" spans="1:27">
      <c r="A433" s="100" t="e">
        <f t="shared" ca="1" si="62"/>
        <v>#NAME?</v>
      </c>
      <c r="B433" s="100" t="e">
        <f ca="1">IFERROR(__xludf.DUMMYFUNCTION("""COMPUTED_VALUE"""),432)</f>
        <v>#NAME?</v>
      </c>
      <c r="C433" s="100" t="e">
        <f ca="1">IFERROR(__xludf.DUMMYFUNCTION("""COMPUTED_VALUE"""),"AXS-USDT")</f>
        <v>#NAME?</v>
      </c>
      <c r="D433" s="100" t="e">
        <f ca="1">IFERROR(__xludf.DUMMYFUNCTION("""COMPUTED_VALUE"""),"2.266")</f>
        <v>#NAME?</v>
      </c>
      <c r="E433" s="100" t="e">
        <f t="shared" ca="1" si="70"/>
        <v>#NAME?</v>
      </c>
      <c r="F433" s="100" t="e">
        <f t="shared" ca="1" si="70"/>
        <v>#NAME?</v>
      </c>
      <c r="G433" s="100" t="e">
        <f t="shared" ca="1" si="63"/>
        <v>#NAME?</v>
      </c>
      <c r="H433" s="100" t="e">
        <f t="shared" ca="1" si="64"/>
        <v>#NAME?</v>
      </c>
      <c r="I433" s="100" t="e">
        <f t="shared" ca="1" si="65"/>
        <v>#NAME?</v>
      </c>
      <c r="J433" s="100" t="e">
        <f t="shared" ca="1" si="66"/>
        <v>#NAME?</v>
      </c>
      <c r="K433" s="100" t="e">
        <f t="shared" ca="1" si="67"/>
        <v>#NAME?</v>
      </c>
      <c r="L433" s="100" t="e">
        <f t="shared" ca="1" si="68"/>
        <v>#NAME?</v>
      </c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</row>
    <row r="434" spans="1:27">
      <c r="A434" s="100" t="e">
        <f t="shared" ca="1" si="62"/>
        <v>#NAME?</v>
      </c>
      <c r="B434" s="100" t="e">
        <f ca="1">IFERROR(__xludf.DUMMYFUNCTION("""COMPUTED_VALUE"""),433)</f>
        <v>#NAME?</v>
      </c>
      <c r="C434" s="100" t="e">
        <f ca="1">IFERROR(__xludf.DUMMYFUNCTION("""COMPUTED_VALUE"""),"MEMEFI-USDT")</f>
        <v>#NAME?</v>
      </c>
      <c r="D434" s="100" t="e">
        <f ca="1">IFERROR(__xludf.DUMMYFUNCTION("""COMPUTED_VALUE"""),"0.0007563")</f>
        <v>#NAME?</v>
      </c>
      <c r="E434" s="100" t="e">
        <f t="shared" ca="1" si="70"/>
        <v>#NAME?</v>
      </c>
      <c r="F434" s="100" t="e">
        <f t="shared" ca="1" si="70"/>
        <v>#NAME?</v>
      </c>
      <c r="G434" s="100" t="e">
        <f t="shared" ca="1" si="63"/>
        <v>#NAME?</v>
      </c>
      <c r="H434" s="100" t="e">
        <f t="shared" ca="1" si="64"/>
        <v>#NAME?</v>
      </c>
      <c r="I434" s="100" t="e">
        <f t="shared" ca="1" si="65"/>
        <v>#NAME?</v>
      </c>
      <c r="J434" s="100" t="e">
        <f t="shared" ca="1" si="66"/>
        <v>#NAME?</v>
      </c>
      <c r="K434" s="100" t="e">
        <f t="shared" ca="1" si="67"/>
        <v>#NAME?</v>
      </c>
      <c r="L434" s="100" t="e">
        <f t="shared" ca="1" si="68"/>
        <v>#NAME?</v>
      </c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</row>
    <row r="435" spans="1:27">
      <c r="A435" s="100" t="e">
        <f t="shared" ca="1" si="62"/>
        <v>#NAME?</v>
      </c>
      <c r="B435" s="100" t="e">
        <f ca="1">IFERROR(__xludf.DUMMYFUNCTION("""COMPUTED_VALUE"""),434)</f>
        <v>#NAME?</v>
      </c>
      <c r="C435" s="100" t="e">
        <f ca="1">IFERROR(__xludf.DUMMYFUNCTION("""COMPUTED_VALUE"""),"LQTY-USDT")</f>
        <v>#NAME?</v>
      </c>
      <c r="D435" s="100" t="e">
        <f ca="1">IFERROR(__xludf.DUMMYFUNCTION("""COMPUTED_VALUE"""),"0.5995")</f>
        <v>#NAME?</v>
      </c>
      <c r="E435" s="100" t="e">
        <f t="shared" ca="1" si="70"/>
        <v>#NAME?</v>
      </c>
      <c r="F435" s="100" t="e">
        <f t="shared" ca="1" si="70"/>
        <v>#NAME?</v>
      </c>
      <c r="G435" s="100" t="e">
        <f t="shared" ca="1" si="63"/>
        <v>#NAME?</v>
      </c>
      <c r="H435" s="100" t="e">
        <f t="shared" ca="1" si="64"/>
        <v>#NAME?</v>
      </c>
      <c r="I435" s="100" t="e">
        <f t="shared" ca="1" si="65"/>
        <v>#NAME?</v>
      </c>
      <c r="J435" s="100" t="e">
        <f t="shared" ca="1" si="66"/>
        <v>#NAME?</v>
      </c>
      <c r="K435" s="100" t="e">
        <f t="shared" ca="1" si="67"/>
        <v>#NAME?</v>
      </c>
      <c r="L435" s="100" t="e">
        <f t="shared" ca="1" si="68"/>
        <v>#NAME?</v>
      </c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</row>
    <row r="436" spans="1:27">
      <c r="A436" s="100" t="e">
        <f t="shared" ca="1" si="62"/>
        <v>#NAME?</v>
      </c>
      <c r="B436" s="100" t="e">
        <f ca="1">IFERROR(__xludf.DUMMYFUNCTION("""COMPUTED_VALUE"""),435)</f>
        <v>#NAME?</v>
      </c>
      <c r="C436" s="100" t="e">
        <f ca="1">IFERROR(__xludf.DUMMYFUNCTION("""COMPUTED_VALUE"""),"PEOPLE-USD")</f>
        <v>#NAME?</v>
      </c>
      <c r="D436" s="100" t="e">
        <f ca="1">IFERROR(__xludf.DUMMYFUNCTION("""COMPUTED_VALUE"""),"0.0126")</f>
        <v>#NAME?</v>
      </c>
      <c r="E436" s="100" t="e">
        <f t="shared" ca="1" si="70"/>
        <v>#NAME?</v>
      </c>
      <c r="F436" s="100" t="e">
        <f t="shared" ca="1" si="70"/>
        <v>#NAME?</v>
      </c>
      <c r="G436" s="100" t="e">
        <f t="shared" ca="1" si="63"/>
        <v>#NAME?</v>
      </c>
      <c r="H436" s="100" t="e">
        <f t="shared" ca="1" si="64"/>
        <v>#NAME?</v>
      </c>
      <c r="I436" s="100" t="e">
        <f t="shared" ca="1" si="65"/>
        <v>#NAME?</v>
      </c>
      <c r="J436" s="100" t="e">
        <f t="shared" ca="1" si="66"/>
        <v>#NAME?</v>
      </c>
      <c r="K436" s="100" t="e">
        <f t="shared" ca="1" si="67"/>
        <v>#NAME?</v>
      </c>
      <c r="L436" s="100" t="e">
        <f t="shared" ca="1" si="68"/>
        <v>#NAME?</v>
      </c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</row>
    <row r="437" spans="1:27">
      <c r="A437" s="100" t="e">
        <f t="shared" ca="1" si="62"/>
        <v>#NAME?</v>
      </c>
      <c r="B437" s="100" t="e">
        <f ca="1">IFERROR(__xludf.DUMMYFUNCTION("""COMPUTED_VALUE"""),436)</f>
        <v>#NAME?</v>
      </c>
      <c r="C437" s="100" t="e">
        <f ca="1">IFERROR(__xludf.DUMMYFUNCTION("""COMPUTED_VALUE"""),"VELO-USDT")</f>
        <v>#NAME?</v>
      </c>
      <c r="D437" s="100" t="e">
        <f ca="1">IFERROR(__xludf.DUMMYFUNCTION("""COMPUTED_VALUE"""),"0.013949")</f>
        <v>#NAME?</v>
      </c>
      <c r="E437" s="100" t="e">
        <f t="shared" ca="1" si="70"/>
        <v>#NAME?</v>
      </c>
      <c r="F437" s="100" t="e">
        <f t="shared" ca="1" si="70"/>
        <v>#NAME?</v>
      </c>
      <c r="G437" s="100" t="e">
        <f t="shared" ca="1" si="63"/>
        <v>#NAME?</v>
      </c>
      <c r="H437" s="100" t="e">
        <f t="shared" ca="1" si="64"/>
        <v>#NAME?</v>
      </c>
      <c r="I437" s="100" t="e">
        <f t="shared" ca="1" si="65"/>
        <v>#NAME?</v>
      </c>
      <c r="J437" s="100" t="e">
        <f t="shared" ca="1" si="66"/>
        <v>#NAME?</v>
      </c>
      <c r="K437" s="100" t="e">
        <f t="shared" ca="1" si="67"/>
        <v>#NAME?</v>
      </c>
      <c r="L437" s="100" t="e">
        <f t="shared" ca="1" si="68"/>
        <v>#NAME?</v>
      </c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</row>
    <row r="438" spans="1:27">
      <c r="A438" s="100" t="e">
        <f t="shared" ca="1" si="62"/>
        <v>#NAME?</v>
      </c>
      <c r="B438" s="100" t="e">
        <f ca="1">IFERROR(__xludf.DUMMYFUNCTION("""COMPUTED_VALUE"""),437)</f>
        <v>#NAME?</v>
      </c>
      <c r="C438" s="100" t="e">
        <f ca="1">IFERROR(__xludf.DUMMYFUNCTION("""COMPUTED_VALUE"""),"ACE-USD")</f>
        <v>#NAME?</v>
      </c>
      <c r="D438" s="100" t="e">
        <f ca="1">IFERROR(__xludf.DUMMYFUNCTION("""COMPUTED_VALUE"""),"0.6188")</f>
        <v>#NAME?</v>
      </c>
      <c r="E438" s="100" t="e">
        <f t="shared" ca="1" si="70"/>
        <v>#NAME?</v>
      </c>
      <c r="F438" s="100" t="e">
        <f t="shared" ca="1" si="70"/>
        <v>#NAME?</v>
      </c>
      <c r="G438" s="100" t="e">
        <f t="shared" ca="1" si="63"/>
        <v>#NAME?</v>
      </c>
      <c r="H438" s="100" t="e">
        <f t="shared" ca="1" si="64"/>
        <v>#NAME?</v>
      </c>
      <c r="I438" s="100" t="e">
        <f t="shared" ca="1" si="65"/>
        <v>#NAME?</v>
      </c>
      <c r="J438" s="100" t="e">
        <f t="shared" ca="1" si="66"/>
        <v>#NAME?</v>
      </c>
      <c r="K438" s="100" t="e">
        <f t="shared" ca="1" si="67"/>
        <v>#NAME?</v>
      </c>
      <c r="L438" s="100" t="e">
        <f t="shared" ca="1" si="68"/>
        <v>#NAME?</v>
      </c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</row>
    <row r="439" spans="1:27">
      <c r="A439" s="100" t="e">
        <f t="shared" ca="1" si="62"/>
        <v>#NAME?</v>
      </c>
      <c r="B439" s="100" t="e">
        <f ca="1">IFERROR(__xludf.DUMMYFUNCTION("""COMPUTED_VALUE"""),438)</f>
        <v>#NAME?</v>
      </c>
      <c r="C439" s="100" t="e">
        <f ca="1">IFERROR(__xludf.DUMMYFUNCTION("""COMPUTED_VALUE"""),"USDC-AUD")</f>
        <v>#NAME?</v>
      </c>
      <c r="D439" s="100" t="e">
        <f ca="1">IFERROR(__xludf.DUMMYFUNCTION("""COMPUTED_VALUE"""),"1.5578")</f>
        <v>#NAME?</v>
      </c>
      <c r="E439" s="100" t="e">
        <f t="shared" ca="1" si="70"/>
        <v>#NAME?</v>
      </c>
      <c r="F439" s="100" t="e">
        <f t="shared" ca="1" si="70"/>
        <v>#NAME?</v>
      </c>
      <c r="G439" s="100" t="e">
        <f t="shared" ca="1" si="63"/>
        <v>#NAME?</v>
      </c>
      <c r="H439" s="100" t="e">
        <f t="shared" ca="1" si="64"/>
        <v>#NAME?</v>
      </c>
      <c r="I439" s="100" t="e">
        <f t="shared" ca="1" si="65"/>
        <v>#NAME?</v>
      </c>
      <c r="J439" s="100" t="e">
        <f t="shared" ca="1" si="66"/>
        <v>#NAME?</v>
      </c>
      <c r="K439" s="100" t="e">
        <f t="shared" ca="1" si="67"/>
        <v>#NAME?</v>
      </c>
      <c r="L439" s="100" t="e">
        <f t="shared" ca="1" si="68"/>
        <v>#NAME?</v>
      </c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</row>
    <row r="440" spans="1:27">
      <c r="A440" s="100" t="e">
        <f t="shared" ca="1" si="62"/>
        <v>#NAME?</v>
      </c>
      <c r="B440" s="100" t="e">
        <f ca="1">IFERROR(__xludf.DUMMYFUNCTION("""COMPUTED_VALUE"""),439)</f>
        <v>#NAME?</v>
      </c>
      <c r="C440" s="100" t="e">
        <f ca="1">IFERROR(__xludf.DUMMYFUNCTION("""COMPUTED_VALUE"""),"IP-USDT")</f>
        <v>#NAME?</v>
      </c>
      <c r="D440" s="100" t="e">
        <f ca="1">IFERROR(__xludf.DUMMYFUNCTION("""COMPUTED_VALUE"""),"3.6292")</f>
        <v>#NAME?</v>
      </c>
      <c r="E440" s="100" t="e">
        <f t="shared" ca="1" si="70"/>
        <v>#NAME?</v>
      </c>
      <c r="F440" s="100" t="e">
        <f t="shared" ca="1" si="70"/>
        <v>#NAME?</v>
      </c>
      <c r="G440" s="100" t="e">
        <f t="shared" ca="1" si="63"/>
        <v>#NAME?</v>
      </c>
      <c r="H440" s="100" t="e">
        <f t="shared" ca="1" si="64"/>
        <v>#NAME?</v>
      </c>
      <c r="I440" s="100" t="e">
        <f t="shared" ca="1" si="65"/>
        <v>#NAME?</v>
      </c>
      <c r="J440" s="100" t="e">
        <f t="shared" ca="1" si="66"/>
        <v>#NAME?</v>
      </c>
      <c r="K440" s="100" t="e">
        <f t="shared" ca="1" si="67"/>
        <v>#NAME?</v>
      </c>
      <c r="L440" s="100" t="e">
        <f t="shared" ca="1" si="68"/>
        <v>#NAME?</v>
      </c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</row>
    <row r="441" spans="1:27">
      <c r="A441" s="100" t="e">
        <f t="shared" ca="1" si="62"/>
        <v>#NAME?</v>
      </c>
      <c r="B441" s="100" t="e">
        <f ca="1">IFERROR(__xludf.DUMMYFUNCTION("""COMPUTED_VALUE"""),440)</f>
        <v>#NAME?</v>
      </c>
      <c r="C441" s="100" t="e">
        <f ca="1">IFERROR(__xludf.DUMMYFUNCTION("""COMPUTED_VALUE"""),"CTXC-USDT")</f>
        <v>#NAME?</v>
      </c>
      <c r="D441" s="100" t="e">
        <f ca="1">IFERROR(__xludf.DUMMYFUNCTION("""COMPUTED_VALUE"""),"0.0703")</f>
        <v>#NAME?</v>
      </c>
      <c r="E441" s="100" t="e">
        <f t="shared" ca="1" si="70"/>
        <v>#NAME?</v>
      </c>
      <c r="F441" s="100" t="e">
        <f t="shared" ca="1" si="70"/>
        <v>#NAME?</v>
      </c>
      <c r="G441" s="100" t="e">
        <f t="shared" ca="1" si="63"/>
        <v>#NAME?</v>
      </c>
      <c r="H441" s="100" t="e">
        <f t="shared" ca="1" si="64"/>
        <v>#NAME?</v>
      </c>
      <c r="I441" s="100" t="e">
        <f t="shared" ca="1" si="65"/>
        <v>#NAME?</v>
      </c>
      <c r="J441" s="100" t="e">
        <f t="shared" ca="1" si="66"/>
        <v>#NAME?</v>
      </c>
      <c r="K441" s="100" t="e">
        <f t="shared" ca="1" si="67"/>
        <v>#NAME?</v>
      </c>
      <c r="L441" s="100" t="e">
        <f t="shared" ca="1" si="68"/>
        <v>#NAME?</v>
      </c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</row>
    <row r="442" spans="1:27">
      <c r="A442" s="100" t="e">
        <f t="shared" ca="1" si="62"/>
        <v>#NAME?</v>
      </c>
      <c r="B442" s="100" t="e">
        <f ca="1">IFERROR(__xludf.DUMMYFUNCTION("""COMPUTED_VALUE"""),441)</f>
        <v>#NAME?</v>
      </c>
      <c r="C442" s="100" t="e">
        <f ca="1">IFERROR(__xludf.DUMMYFUNCTION("""COMPUTED_VALUE"""),"VELO-USD")</f>
        <v>#NAME?</v>
      </c>
      <c r="D442" s="100" t="e">
        <f ca="1">IFERROR(__xludf.DUMMYFUNCTION("""COMPUTED_VALUE"""),"0.013285")</f>
        <v>#NAME?</v>
      </c>
      <c r="E442" s="100" t="e">
        <f t="shared" ref="E442:F461" ca="1" si="71">IFERROR(__xludf.DUMMYFUNCTION("""COMPUTED_VALUE"""),"-")</f>
        <v>#NAME?</v>
      </c>
      <c r="F442" s="100" t="e">
        <f t="shared" ca="1" si="71"/>
        <v>#NAME?</v>
      </c>
      <c r="G442" s="100" t="e">
        <f t="shared" ca="1" si="63"/>
        <v>#NAME?</v>
      </c>
      <c r="H442" s="100" t="e">
        <f t="shared" ca="1" si="64"/>
        <v>#NAME?</v>
      </c>
      <c r="I442" s="100" t="e">
        <f t="shared" ca="1" si="65"/>
        <v>#NAME?</v>
      </c>
      <c r="J442" s="100" t="e">
        <f t="shared" ca="1" si="66"/>
        <v>#NAME?</v>
      </c>
      <c r="K442" s="100" t="e">
        <f t="shared" ca="1" si="67"/>
        <v>#NAME?</v>
      </c>
      <c r="L442" s="100" t="e">
        <f t="shared" ca="1" si="68"/>
        <v>#NAME?</v>
      </c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</row>
    <row r="443" spans="1:27">
      <c r="A443" s="100" t="e">
        <f t="shared" ca="1" si="62"/>
        <v>#NAME?</v>
      </c>
      <c r="B443" s="100" t="e">
        <f ca="1">IFERROR(__xludf.DUMMYFUNCTION("""COMPUTED_VALUE"""),442)</f>
        <v>#NAME?</v>
      </c>
      <c r="C443" s="100" t="e">
        <f ca="1">IFERROR(__xludf.DUMMYFUNCTION("""COMPUTED_VALUE"""),"SAFE-USDT")</f>
        <v>#NAME?</v>
      </c>
      <c r="D443" s="100" t="e">
        <f ca="1">IFERROR(__xludf.DUMMYFUNCTION("""COMPUTED_VALUE"""),"0.4179")</f>
        <v>#NAME?</v>
      </c>
      <c r="E443" s="100" t="e">
        <f t="shared" ca="1" si="71"/>
        <v>#NAME?</v>
      </c>
      <c r="F443" s="100" t="e">
        <f t="shared" ca="1" si="71"/>
        <v>#NAME?</v>
      </c>
      <c r="G443" s="100" t="e">
        <f t="shared" ca="1" si="63"/>
        <v>#NAME?</v>
      </c>
      <c r="H443" s="100" t="e">
        <f t="shared" ca="1" si="64"/>
        <v>#NAME?</v>
      </c>
      <c r="I443" s="100" t="e">
        <f t="shared" ca="1" si="65"/>
        <v>#NAME?</v>
      </c>
      <c r="J443" s="100" t="e">
        <f t="shared" ca="1" si="66"/>
        <v>#NAME?</v>
      </c>
      <c r="K443" s="100" t="e">
        <f t="shared" ca="1" si="67"/>
        <v>#NAME?</v>
      </c>
      <c r="L443" s="100" t="e">
        <f t="shared" ca="1" si="68"/>
        <v>#NAME?</v>
      </c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</row>
    <row r="444" spans="1:27">
      <c r="A444" s="100" t="e">
        <f t="shared" ca="1" si="62"/>
        <v>#NAME?</v>
      </c>
      <c r="B444" s="100" t="e">
        <f ca="1">IFERROR(__xludf.DUMMYFUNCTION("""COMPUTED_VALUE"""),443)</f>
        <v>#NAME?</v>
      </c>
      <c r="C444" s="100" t="e">
        <f ca="1">IFERROR(__xludf.DUMMYFUNCTION("""COMPUTED_VALUE"""),"GOG-USD")</f>
        <v>#NAME?</v>
      </c>
      <c r="D444" s="100" t="e">
        <f ca="1">IFERROR(__xludf.DUMMYFUNCTION("""COMPUTED_VALUE"""),"0.01462")</f>
        <v>#NAME?</v>
      </c>
      <c r="E444" s="100" t="e">
        <f t="shared" ca="1" si="71"/>
        <v>#NAME?</v>
      </c>
      <c r="F444" s="100" t="e">
        <f t="shared" ca="1" si="71"/>
        <v>#NAME?</v>
      </c>
      <c r="G444" s="100" t="e">
        <f t="shared" ca="1" si="63"/>
        <v>#NAME?</v>
      </c>
      <c r="H444" s="100" t="e">
        <f t="shared" ca="1" si="64"/>
        <v>#NAME?</v>
      </c>
      <c r="I444" s="100" t="e">
        <f t="shared" ca="1" si="65"/>
        <v>#NAME?</v>
      </c>
      <c r="J444" s="100" t="e">
        <f t="shared" ca="1" si="66"/>
        <v>#NAME?</v>
      </c>
      <c r="K444" s="100" t="e">
        <f t="shared" ca="1" si="67"/>
        <v>#NAME?</v>
      </c>
      <c r="L444" s="100" t="e">
        <f t="shared" ca="1" si="68"/>
        <v>#NAME?</v>
      </c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</row>
    <row r="445" spans="1:27">
      <c r="A445" s="100" t="e">
        <f t="shared" ca="1" si="62"/>
        <v>#NAME?</v>
      </c>
      <c r="B445" s="100" t="e">
        <f ca="1">IFERROR(__xludf.DUMMYFUNCTION("""COMPUTED_VALUE"""),444)</f>
        <v>#NAME?</v>
      </c>
      <c r="C445" s="100" t="e">
        <f ca="1">IFERROR(__xludf.DUMMYFUNCTION("""COMPUTED_VALUE"""),"BOME-USD")</f>
        <v>#NAME?</v>
      </c>
      <c r="D445" s="100" t="e">
        <f ca="1">IFERROR(__xludf.DUMMYFUNCTION("""COMPUTED_VALUE"""),"0.00124")</f>
        <v>#NAME?</v>
      </c>
      <c r="E445" s="100" t="e">
        <f t="shared" ca="1" si="71"/>
        <v>#NAME?</v>
      </c>
      <c r="F445" s="100" t="e">
        <f t="shared" ca="1" si="71"/>
        <v>#NAME?</v>
      </c>
      <c r="G445" s="100" t="e">
        <f t="shared" ca="1" si="63"/>
        <v>#NAME?</v>
      </c>
      <c r="H445" s="100" t="e">
        <f t="shared" ca="1" si="64"/>
        <v>#NAME?</v>
      </c>
      <c r="I445" s="100" t="e">
        <f t="shared" ca="1" si="65"/>
        <v>#NAME?</v>
      </c>
      <c r="J445" s="100" t="e">
        <f t="shared" ca="1" si="66"/>
        <v>#NAME?</v>
      </c>
      <c r="K445" s="100" t="e">
        <f t="shared" ca="1" si="67"/>
        <v>#NAME?</v>
      </c>
      <c r="L445" s="100" t="e">
        <f t="shared" ca="1" si="68"/>
        <v>#NAME?</v>
      </c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</row>
    <row r="446" spans="1:27">
      <c r="A446" s="100" t="e">
        <f t="shared" ca="1" si="62"/>
        <v>#NAME?</v>
      </c>
      <c r="B446" s="100" t="e">
        <f ca="1">IFERROR(__xludf.DUMMYFUNCTION("""COMPUTED_VALUE"""),445)</f>
        <v>#NAME?</v>
      </c>
      <c r="C446" s="100" t="e">
        <f ca="1">IFERROR(__xludf.DUMMYFUNCTION("""COMPUTED_VALUE"""),"XRP-EUR")</f>
        <v>#NAME?</v>
      </c>
      <c r="D446" s="100" t="e">
        <f ca="1">IFERROR(__xludf.DUMMYFUNCTION("""COMPUTED_VALUE"""),"1.8253")</f>
        <v>#NAME?</v>
      </c>
      <c r="E446" s="100" t="e">
        <f t="shared" ca="1" si="71"/>
        <v>#NAME?</v>
      </c>
      <c r="F446" s="100" t="e">
        <f t="shared" ca="1" si="71"/>
        <v>#NAME?</v>
      </c>
      <c r="G446" s="100" t="e">
        <f t="shared" ca="1" si="63"/>
        <v>#NAME?</v>
      </c>
      <c r="H446" s="100" t="e">
        <f t="shared" ca="1" si="64"/>
        <v>#NAME?</v>
      </c>
      <c r="I446" s="100" t="e">
        <f t="shared" ca="1" si="65"/>
        <v>#NAME?</v>
      </c>
      <c r="J446" s="100" t="e">
        <f t="shared" ca="1" si="66"/>
        <v>#NAME?</v>
      </c>
      <c r="K446" s="100" t="e">
        <f t="shared" ca="1" si="67"/>
        <v>#NAME?</v>
      </c>
      <c r="L446" s="100" t="e">
        <f t="shared" ca="1" si="68"/>
        <v>#NAME?</v>
      </c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</row>
    <row r="447" spans="1:27">
      <c r="A447" s="100" t="e">
        <f t="shared" ca="1" si="62"/>
        <v>#NAME?</v>
      </c>
      <c r="B447" s="100" t="e">
        <f ca="1">IFERROR(__xludf.DUMMYFUNCTION("""COMPUTED_VALUE"""),446)</f>
        <v>#NAME?</v>
      </c>
      <c r="C447" s="100" t="e">
        <f ca="1">IFERROR(__xludf.DUMMYFUNCTION("""COMPUTED_VALUE"""),"XRP-TRY")</f>
        <v>#NAME?</v>
      </c>
      <c r="D447" s="100" t="e">
        <f ca="1">IFERROR(__xludf.DUMMYFUNCTION("""COMPUTED_VALUE"""),"80.21")</f>
        <v>#NAME?</v>
      </c>
      <c r="E447" s="100" t="e">
        <f t="shared" ca="1" si="71"/>
        <v>#NAME?</v>
      </c>
      <c r="F447" s="100" t="e">
        <f t="shared" ca="1" si="71"/>
        <v>#NAME?</v>
      </c>
      <c r="G447" s="100" t="e">
        <f t="shared" ca="1" si="63"/>
        <v>#NAME?</v>
      </c>
      <c r="H447" s="100" t="e">
        <f t="shared" ca="1" si="64"/>
        <v>#NAME?</v>
      </c>
      <c r="I447" s="100" t="e">
        <f t="shared" ca="1" si="65"/>
        <v>#NAME?</v>
      </c>
      <c r="J447" s="100" t="e">
        <f t="shared" ca="1" si="66"/>
        <v>#NAME?</v>
      </c>
      <c r="K447" s="100" t="e">
        <f t="shared" ca="1" si="67"/>
        <v>#NAME?</v>
      </c>
      <c r="L447" s="100" t="e">
        <f t="shared" ca="1" si="68"/>
        <v>#NAME?</v>
      </c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</row>
    <row r="448" spans="1:27">
      <c r="A448" s="100" t="e">
        <f t="shared" ca="1" si="62"/>
        <v>#NAME?</v>
      </c>
      <c r="B448" s="100" t="e">
        <f ca="1">IFERROR(__xludf.DUMMYFUNCTION("""COMPUTED_VALUE"""),447)</f>
        <v>#NAME?</v>
      </c>
      <c r="C448" s="100" t="e">
        <f ca="1">IFERROR(__xludf.DUMMYFUNCTION("""COMPUTED_VALUE"""),"WBTC-USD")</f>
        <v>#NAME?</v>
      </c>
      <c r="D448" s="100" t="e">
        <f ca="1">IFERROR(__xludf.DUMMYFUNCTION("""COMPUTED_VALUE"""),"87354.9")</f>
        <v>#NAME?</v>
      </c>
      <c r="E448" s="100" t="e">
        <f t="shared" ca="1" si="71"/>
        <v>#NAME?</v>
      </c>
      <c r="F448" s="100" t="e">
        <f t="shared" ca="1" si="71"/>
        <v>#NAME?</v>
      </c>
      <c r="G448" s="100" t="e">
        <f t="shared" ca="1" si="63"/>
        <v>#NAME?</v>
      </c>
      <c r="H448" s="100" t="e">
        <f t="shared" ca="1" si="64"/>
        <v>#NAME?</v>
      </c>
      <c r="I448" s="100" t="e">
        <f t="shared" ca="1" si="65"/>
        <v>#NAME?</v>
      </c>
      <c r="J448" s="100" t="e">
        <f t="shared" ca="1" si="66"/>
        <v>#NAME?</v>
      </c>
      <c r="K448" s="100" t="e">
        <f t="shared" ca="1" si="67"/>
        <v>#NAME?</v>
      </c>
      <c r="L448" s="100" t="e">
        <f t="shared" ca="1" si="68"/>
        <v>#NAME?</v>
      </c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</row>
    <row r="449" spans="1:27">
      <c r="A449" s="100" t="e">
        <f t="shared" ca="1" si="62"/>
        <v>#NAME?</v>
      </c>
      <c r="B449" s="100" t="e">
        <f ca="1">IFERROR(__xludf.DUMMYFUNCTION("""COMPUTED_VALUE"""),448)</f>
        <v>#NAME?</v>
      </c>
      <c r="C449" s="100" t="e">
        <f ca="1">IFERROR(__xludf.DUMMYFUNCTION("""COMPUTED_VALUE"""),"CELR-USDT")</f>
        <v>#NAME?</v>
      </c>
      <c r="D449" s="100" t="e">
        <f ca="1">IFERROR(__xludf.DUMMYFUNCTION("""COMPUTED_VALUE"""),"0.009062")</f>
        <v>#NAME?</v>
      </c>
      <c r="E449" s="100" t="e">
        <f t="shared" ca="1" si="71"/>
        <v>#NAME?</v>
      </c>
      <c r="F449" s="100" t="e">
        <f t="shared" ca="1" si="71"/>
        <v>#NAME?</v>
      </c>
      <c r="G449" s="100" t="e">
        <f t="shared" ca="1" si="63"/>
        <v>#NAME?</v>
      </c>
      <c r="H449" s="100" t="e">
        <f t="shared" ca="1" si="64"/>
        <v>#NAME?</v>
      </c>
      <c r="I449" s="100" t="e">
        <f t="shared" ca="1" si="65"/>
        <v>#NAME?</v>
      </c>
      <c r="J449" s="100" t="e">
        <f t="shared" ca="1" si="66"/>
        <v>#NAME?</v>
      </c>
      <c r="K449" s="100" t="e">
        <f t="shared" ca="1" si="67"/>
        <v>#NAME?</v>
      </c>
      <c r="L449" s="100" t="e">
        <f t="shared" ca="1" si="68"/>
        <v>#NAME?</v>
      </c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</row>
    <row r="450" spans="1:27">
      <c r="A450" s="100" t="e">
        <f t="shared" ref="A450:A513" ca="1" si="72">SUBSTITUTE(C450,"-","",)</f>
        <v>#NAME?</v>
      </c>
      <c r="B450" s="100" t="e">
        <f ca="1">IFERROR(__xludf.DUMMYFUNCTION("""COMPUTED_VALUE"""),449)</f>
        <v>#NAME?</v>
      </c>
      <c r="C450" s="100" t="e">
        <f ca="1">IFERROR(__xludf.DUMMYFUNCTION("""COMPUTED_VALUE"""),"VRA-USD")</f>
        <v>#NAME?</v>
      </c>
      <c r="D450" s="100" t="e">
        <f ca="1">IFERROR(__xludf.DUMMYFUNCTION("""COMPUTED_VALUE"""),"0.001337")</f>
        <v>#NAME?</v>
      </c>
      <c r="E450" s="100" t="e">
        <f t="shared" ca="1" si="71"/>
        <v>#NAME?</v>
      </c>
      <c r="F450" s="100" t="e">
        <f t="shared" ca="1" si="71"/>
        <v>#NAME?</v>
      </c>
      <c r="G450" s="100" t="e">
        <f t="shared" ref="G450:G513" ca="1" si="73">IFERROR(__xludf.DUMMYFUNCTION("""COMPUTED_VALUE"""),20200)</f>
        <v>#NAME?</v>
      </c>
      <c r="H450" s="100" t="e">
        <f t="shared" ref="H450:H513" ca="1" si="74">IFERROR(__xludf.DUMMYFUNCTION("""COMPUTED_VALUE"""),2885)</f>
        <v>#NAME?</v>
      </c>
      <c r="I450" s="100" t="e">
        <f t="shared" ref="I450:I513" ca="1" si="75">IFERROR(__xludf.DUMMYFUNCTION("""COMPUTED_VALUE"""),663)</f>
        <v>#NAME?</v>
      </c>
      <c r="J450" s="100" t="e">
        <f t="shared" ref="J450:J513" ca="1" si="76">IFERROR(__xludf.DUMMYFUNCTION("""COMPUTED_VALUE"""),5817714)</f>
        <v>#NAME?</v>
      </c>
      <c r="K450" s="100" t="e">
        <f t="shared" ref="K450:K513" ca="1" si="77">IFERROR(__xludf.DUMMYFUNCTION("""COMPUTED_VALUE"""),"-")</f>
        <v>#NAME?</v>
      </c>
      <c r="L450" s="100" t="e">
        <f t="shared" ref="L450:L513" ca="1" si="78">IFERROR(__xludf.DUMMYFUNCTION("""COMPUTED_VALUE"""),"22.04.2025 12:32:49")</f>
        <v>#NAME?</v>
      </c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</row>
    <row r="451" spans="1:27">
      <c r="A451" s="100" t="e">
        <f t="shared" ca="1" si="72"/>
        <v>#NAME?</v>
      </c>
      <c r="B451" s="100" t="e">
        <f ca="1">IFERROR(__xludf.DUMMYFUNCTION("""COMPUTED_VALUE"""),450)</f>
        <v>#NAME?</v>
      </c>
      <c r="C451" s="100" t="e">
        <f ca="1">IFERROR(__xludf.DUMMYFUNCTION("""COMPUTED_VALUE"""),"W-USDT")</f>
        <v>#NAME?</v>
      </c>
      <c r="D451" s="100" t="e">
        <f ca="1">IFERROR(__xludf.DUMMYFUNCTION("""COMPUTED_VALUE"""),"0.07603")</f>
        <v>#NAME?</v>
      </c>
      <c r="E451" s="100" t="e">
        <f t="shared" ca="1" si="71"/>
        <v>#NAME?</v>
      </c>
      <c r="F451" s="100" t="e">
        <f t="shared" ca="1" si="71"/>
        <v>#NAME?</v>
      </c>
      <c r="G451" s="100" t="e">
        <f t="shared" ca="1" si="73"/>
        <v>#NAME?</v>
      </c>
      <c r="H451" s="100" t="e">
        <f t="shared" ca="1" si="74"/>
        <v>#NAME?</v>
      </c>
      <c r="I451" s="100" t="e">
        <f t="shared" ca="1" si="75"/>
        <v>#NAME?</v>
      </c>
      <c r="J451" s="100" t="e">
        <f t="shared" ca="1" si="76"/>
        <v>#NAME?</v>
      </c>
      <c r="K451" s="100" t="e">
        <f t="shared" ca="1" si="77"/>
        <v>#NAME?</v>
      </c>
      <c r="L451" s="100" t="e">
        <f t="shared" ca="1" si="78"/>
        <v>#NAME?</v>
      </c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</row>
    <row r="452" spans="1:27">
      <c r="A452" s="100" t="e">
        <f t="shared" ca="1" si="72"/>
        <v>#NAME?</v>
      </c>
      <c r="B452" s="100" t="e">
        <f ca="1">IFERROR(__xludf.DUMMYFUNCTION("""COMPUTED_VALUE"""),451)</f>
        <v>#NAME?</v>
      </c>
      <c r="C452" s="100" t="e">
        <f ca="1">IFERROR(__xludf.DUMMYFUNCTION("""COMPUTED_VALUE"""),"ANIME-USD")</f>
        <v>#NAME?</v>
      </c>
      <c r="D452" s="100" t="e">
        <f ca="1">IFERROR(__xludf.DUMMYFUNCTION("""COMPUTED_VALUE"""),"0.01748")</f>
        <v>#NAME?</v>
      </c>
      <c r="E452" s="100" t="e">
        <f t="shared" ca="1" si="71"/>
        <v>#NAME?</v>
      </c>
      <c r="F452" s="100" t="e">
        <f t="shared" ca="1" si="71"/>
        <v>#NAME?</v>
      </c>
      <c r="G452" s="100" t="e">
        <f t="shared" ca="1" si="73"/>
        <v>#NAME?</v>
      </c>
      <c r="H452" s="100" t="e">
        <f t="shared" ca="1" si="74"/>
        <v>#NAME?</v>
      </c>
      <c r="I452" s="100" t="e">
        <f t="shared" ca="1" si="75"/>
        <v>#NAME?</v>
      </c>
      <c r="J452" s="100" t="e">
        <f t="shared" ca="1" si="76"/>
        <v>#NAME?</v>
      </c>
      <c r="K452" s="100" t="e">
        <f t="shared" ca="1" si="77"/>
        <v>#NAME?</v>
      </c>
      <c r="L452" s="100" t="e">
        <f t="shared" ca="1" si="78"/>
        <v>#NAME?</v>
      </c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</row>
    <row r="453" spans="1:27">
      <c r="A453" s="100" t="e">
        <f t="shared" ca="1" si="72"/>
        <v>#NAME?</v>
      </c>
      <c r="B453" s="100" t="e">
        <f ca="1">IFERROR(__xludf.DUMMYFUNCTION("""COMPUTED_VALUE"""),452)</f>
        <v>#NAME?</v>
      </c>
      <c r="C453" s="100" t="e">
        <f ca="1">IFERROR(__xludf.DUMMYFUNCTION("""COMPUTED_VALUE"""),"CRO-USDT")</f>
        <v>#NAME?</v>
      </c>
      <c r="D453" s="100" t="e">
        <f ca="1">IFERROR(__xludf.DUMMYFUNCTION("""COMPUTED_VALUE"""),"0.08252")</f>
        <v>#NAME?</v>
      </c>
      <c r="E453" s="100" t="e">
        <f t="shared" ca="1" si="71"/>
        <v>#NAME?</v>
      </c>
      <c r="F453" s="100" t="e">
        <f t="shared" ca="1" si="71"/>
        <v>#NAME?</v>
      </c>
      <c r="G453" s="100" t="e">
        <f t="shared" ca="1" si="73"/>
        <v>#NAME?</v>
      </c>
      <c r="H453" s="100" t="e">
        <f t="shared" ca="1" si="74"/>
        <v>#NAME?</v>
      </c>
      <c r="I453" s="100" t="e">
        <f t="shared" ca="1" si="75"/>
        <v>#NAME?</v>
      </c>
      <c r="J453" s="100" t="e">
        <f t="shared" ca="1" si="76"/>
        <v>#NAME?</v>
      </c>
      <c r="K453" s="100" t="e">
        <f t="shared" ca="1" si="77"/>
        <v>#NAME?</v>
      </c>
      <c r="L453" s="100" t="e">
        <f t="shared" ca="1" si="78"/>
        <v>#NAME?</v>
      </c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</row>
    <row r="454" spans="1:27">
      <c r="A454" s="100" t="e">
        <f t="shared" ca="1" si="72"/>
        <v>#NAME?</v>
      </c>
      <c r="B454" s="100" t="e">
        <f ca="1">IFERROR(__xludf.DUMMYFUNCTION("""COMPUTED_VALUE"""),453)</f>
        <v>#NAME?</v>
      </c>
      <c r="C454" s="100" t="e">
        <f ca="1">IFERROR(__xludf.DUMMYFUNCTION("""COMPUTED_VALUE"""),"API3-USD")</f>
        <v>#NAME?</v>
      </c>
      <c r="D454" s="100" t="e">
        <f ca="1">IFERROR(__xludf.DUMMYFUNCTION("""COMPUTED_VALUE"""),"0.7417")</f>
        <v>#NAME?</v>
      </c>
      <c r="E454" s="100" t="e">
        <f t="shared" ca="1" si="71"/>
        <v>#NAME?</v>
      </c>
      <c r="F454" s="100" t="e">
        <f t="shared" ca="1" si="71"/>
        <v>#NAME?</v>
      </c>
      <c r="G454" s="100" t="e">
        <f t="shared" ca="1" si="73"/>
        <v>#NAME?</v>
      </c>
      <c r="H454" s="100" t="e">
        <f t="shared" ca="1" si="74"/>
        <v>#NAME?</v>
      </c>
      <c r="I454" s="100" t="e">
        <f t="shared" ca="1" si="75"/>
        <v>#NAME?</v>
      </c>
      <c r="J454" s="100" t="e">
        <f t="shared" ca="1" si="76"/>
        <v>#NAME?</v>
      </c>
      <c r="K454" s="100" t="e">
        <f t="shared" ca="1" si="77"/>
        <v>#NAME?</v>
      </c>
      <c r="L454" s="100" t="e">
        <f t="shared" ca="1" si="78"/>
        <v>#NAME?</v>
      </c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</row>
    <row r="455" spans="1:27">
      <c r="A455" s="100" t="e">
        <f t="shared" ca="1" si="72"/>
        <v>#NAME?</v>
      </c>
      <c r="B455" s="100" t="e">
        <f ca="1">IFERROR(__xludf.DUMMYFUNCTION("""COMPUTED_VALUE"""),454)</f>
        <v>#NAME?</v>
      </c>
      <c r="C455" s="100" t="e">
        <f ca="1">IFERROR(__xludf.DUMMYFUNCTION("""COMPUTED_VALUE"""),"XLM-EUR")</f>
        <v>#NAME?</v>
      </c>
      <c r="D455" s="100" t="e">
        <f ca="1">IFERROR(__xludf.DUMMYFUNCTION("""COMPUTED_VALUE"""),"0.21499")</f>
        <v>#NAME?</v>
      </c>
      <c r="E455" s="100" t="e">
        <f t="shared" ca="1" si="71"/>
        <v>#NAME?</v>
      </c>
      <c r="F455" s="100" t="e">
        <f t="shared" ca="1" si="71"/>
        <v>#NAME?</v>
      </c>
      <c r="G455" s="100" t="e">
        <f t="shared" ca="1" si="73"/>
        <v>#NAME?</v>
      </c>
      <c r="H455" s="100" t="e">
        <f t="shared" ca="1" si="74"/>
        <v>#NAME?</v>
      </c>
      <c r="I455" s="100" t="e">
        <f t="shared" ca="1" si="75"/>
        <v>#NAME?</v>
      </c>
      <c r="J455" s="100" t="e">
        <f t="shared" ca="1" si="76"/>
        <v>#NAME?</v>
      </c>
      <c r="K455" s="100" t="e">
        <f t="shared" ca="1" si="77"/>
        <v>#NAME?</v>
      </c>
      <c r="L455" s="100" t="e">
        <f t="shared" ca="1" si="78"/>
        <v>#NAME?</v>
      </c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</row>
    <row r="456" spans="1:27">
      <c r="A456" s="100" t="e">
        <f t="shared" ca="1" si="72"/>
        <v>#NAME?</v>
      </c>
      <c r="B456" s="100" t="e">
        <f ca="1">IFERROR(__xludf.DUMMYFUNCTION("""COMPUTED_VALUE"""),455)</f>
        <v>#NAME?</v>
      </c>
      <c r="C456" s="100" t="e">
        <f ca="1">IFERROR(__xludf.DUMMYFUNCTION("""COMPUTED_VALUE"""),"SOL-USDT")</f>
        <v>#NAME?</v>
      </c>
      <c r="D456" s="100" t="e">
        <f ca="1">IFERROR(__xludf.DUMMYFUNCTION("""COMPUTED_VALUE"""),"139.22")</f>
        <v>#NAME?</v>
      </c>
      <c r="E456" s="100" t="e">
        <f t="shared" ca="1" si="71"/>
        <v>#NAME?</v>
      </c>
      <c r="F456" s="100" t="e">
        <f t="shared" ca="1" si="71"/>
        <v>#NAME?</v>
      </c>
      <c r="G456" s="100" t="e">
        <f t="shared" ca="1" si="73"/>
        <v>#NAME?</v>
      </c>
      <c r="H456" s="100" t="e">
        <f t="shared" ca="1" si="74"/>
        <v>#NAME?</v>
      </c>
      <c r="I456" s="100" t="e">
        <f t="shared" ca="1" si="75"/>
        <v>#NAME?</v>
      </c>
      <c r="J456" s="100" t="e">
        <f t="shared" ca="1" si="76"/>
        <v>#NAME?</v>
      </c>
      <c r="K456" s="100" t="e">
        <f t="shared" ca="1" si="77"/>
        <v>#NAME?</v>
      </c>
      <c r="L456" s="100" t="e">
        <f t="shared" ca="1" si="78"/>
        <v>#NAME?</v>
      </c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</row>
    <row r="457" spans="1:27">
      <c r="A457" s="100" t="e">
        <f t="shared" ca="1" si="72"/>
        <v>#NAME?</v>
      </c>
      <c r="B457" s="100" t="e">
        <f ca="1">IFERROR(__xludf.DUMMYFUNCTION("""COMPUTED_VALUE"""),456)</f>
        <v>#NAME?</v>
      </c>
      <c r="C457" s="100" t="e">
        <f ca="1">IFERROR(__xludf.DUMMYFUNCTION("""COMPUTED_VALUE"""),"API3-USDT")</f>
        <v>#NAME?</v>
      </c>
      <c r="D457" s="100" t="e">
        <f ca="1">IFERROR(__xludf.DUMMYFUNCTION("""COMPUTED_VALUE"""),"0.7257")</f>
        <v>#NAME?</v>
      </c>
      <c r="E457" s="100" t="e">
        <f t="shared" ca="1" si="71"/>
        <v>#NAME?</v>
      </c>
      <c r="F457" s="100" t="e">
        <f t="shared" ca="1" si="71"/>
        <v>#NAME?</v>
      </c>
      <c r="G457" s="100" t="e">
        <f t="shared" ca="1" si="73"/>
        <v>#NAME?</v>
      </c>
      <c r="H457" s="100" t="e">
        <f t="shared" ca="1" si="74"/>
        <v>#NAME?</v>
      </c>
      <c r="I457" s="100" t="e">
        <f t="shared" ca="1" si="75"/>
        <v>#NAME?</v>
      </c>
      <c r="J457" s="100" t="e">
        <f t="shared" ca="1" si="76"/>
        <v>#NAME?</v>
      </c>
      <c r="K457" s="100" t="e">
        <f t="shared" ca="1" si="77"/>
        <v>#NAME?</v>
      </c>
      <c r="L457" s="100" t="e">
        <f t="shared" ca="1" si="78"/>
        <v>#NAME?</v>
      </c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</row>
    <row r="458" spans="1:27">
      <c r="A458" s="100" t="e">
        <f t="shared" ca="1" si="72"/>
        <v>#NAME?</v>
      </c>
      <c r="B458" s="100" t="e">
        <f ca="1">IFERROR(__xludf.DUMMYFUNCTION("""COMPUTED_VALUE"""),457)</f>
        <v>#NAME?</v>
      </c>
      <c r="C458" s="100" t="e">
        <f ca="1">IFERROR(__xludf.DUMMYFUNCTION("""COMPUTED_VALUE"""),"SWFTC-USDT")</f>
        <v>#NAME?</v>
      </c>
      <c r="D458" s="100" t="e">
        <f ca="1">IFERROR(__xludf.DUMMYFUNCTION("""COMPUTED_VALUE"""),"0.012848")</f>
        <v>#NAME?</v>
      </c>
      <c r="E458" s="100" t="e">
        <f t="shared" ca="1" si="71"/>
        <v>#NAME?</v>
      </c>
      <c r="F458" s="100" t="e">
        <f t="shared" ca="1" si="71"/>
        <v>#NAME?</v>
      </c>
      <c r="G458" s="100" t="e">
        <f t="shared" ca="1" si="73"/>
        <v>#NAME?</v>
      </c>
      <c r="H458" s="100" t="e">
        <f t="shared" ca="1" si="74"/>
        <v>#NAME?</v>
      </c>
      <c r="I458" s="100" t="e">
        <f t="shared" ca="1" si="75"/>
        <v>#NAME?</v>
      </c>
      <c r="J458" s="100" t="e">
        <f t="shared" ca="1" si="76"/>
        <v>#NAME?</v>
      </c>
      <c r="K458" s="100" t="e">
        <f t="shared" ca="1" si="77"/>
        <v>#NAME?</v>
      </c>
      <c r="L458" s="100" t="e">
        <f t="shared" ca="1" si="78"/>
        <v>#NAME?</v>
      </c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</row>
    <row r="459" spans="1:27">
      <c r="A459" s="100" t="e">
        <f t="shared" ca="1" si="72"/>
        <v>#NAME?</v>
      </c>
      <c r="B459" s="100" t="e">
        <f ca="1">IFERROR(__xludf.DUMMYFUNCTION("""COMPUTED_VALUE"""),458)</f>
        <v>#NAME?</v>
      </c>
      <c r="C459" s="100" t="e">
        <f ca="1">IFERROR(__xludf.DUMMYFUNCTION("""COMPUTED_VALUE"""),"YFI-USDT")</f>
        <v>#NAME?</v>
      </c>
      <c r="D459" s="100" t="e">
        <f ca="1">IFERROR(__xludf.DUMMYFUNCTION("""COMPUTED_VALUE"""),"4689")</f>
        <v>#NAME?</v>
      </c>
      <c r="E459" s="100" t="e">
        <f t="shared" ca="1" si="71"/>
        <v>#NAME?</v>
      </c>
      <c r="F459" s="100" t="e">
        <f t="shared" ca="1" si="71"/>
        <v>#NAME?</v>
      </c>
      <c r="G459" s="100" t="e">
        <f t="shared" ca="1" si="73"/>
        <v>#NAME?</v>
      </c>
      <c r="H459" s="100" t="e">
        <f t="shared" ca="1" si="74"/>
        <v>#NAME?</v>
      </c>
      <c r="I459" s="100" t="e">
        <f t="shared" ca="1" si="75"/>
        <v>#NAME?</v>
      </c>
      <c r="J459" s="100" t="e">
        <f t="shared" ca="1" si="76"/>
        <v>#NAME?</v>
      </c>
      <c r="K459" s="100" t="e">
        <f t="shared" ca="1" si="77"/>
        <v>#NAME?</v>
      </c>
      <c r="L459" s="100" t="e">
        <f t="shared" ca="1" si="78"/>
        <v>#NAME?</v>
      </c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</row>
    <row r="460" spans="1:27">
      <c r="A460" s="100" t="e">
        <f t="shared" ca="1" si="72"/>
        <v>#NAME?</v>
      </c>
      <c r="B460" s="100" t="e">
        <f ca="1">IFERROR(__xludf.DUMMYFUNCTION("""COMPUTED_VALUE"""),459)</f>
        <v>#NAME?</v>
      </c>
      <c r="C460" s="100" t="e">
        <f ca="1">IFERROR(__xludf.DUMMYFUNCTION("""COMPUTED_VALUE"""),"WCT-USDT")</f>
        <v>#NAME?</v>
      </c>
      <c r="D460" s="100" t="e">
        <f ca="1">IFERROR(__xludf.DUMMYFUNCTION("""COMPUTED_VALUE"""),"0.4163")</f>
        <v>#NAME?</v>
      </c>
      <c r="E460" s="100" t="e">
        <f t="shared" ca="1" si="71"/>
        <v>#NAME?</v>
      </c>
      <c r="F460" s="100" t="e">
        <f t="shared" ca="1" si="71"/>
        <v>#NAME?</v>
      </c>
      <c r="G460" s="100" t="e">
        <f t="shared" ca="1" si="73"/>
        <v>#NAME?</v>
      </c>
      <c r="H460" s="100" t="e">
        <f t="shared" ca="1" si="74"/>
        <v>#NAME?</v>
      </c>
      <c r="I460" s="100" t="e">
        <f t="shared" ca="1" si="75"/>
        <v>#NAME?</v>
      </c>
      <c r="J460" s="100" t="e">
        <f t="shared" ca="1" si="76"/>
        <v>#NAME?</v>
      </c>
      <c r="K460" s="100" t="e">
        <f t="shared" ca="1" si="77"/>
        <v>#NAME?</v>
      </c>
      <c r="L460" s="100" t="e">
        <f t="shared" ca="1" si="78"/>
        <v>#NAME?</v>
      </c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</row>
    <row r="461" spans="1:27">
      <c r="A461" s="100" t="e">
        <f t="shared" ca="1" si="72"/>
        <v>#NAME?</v>
      </c>
      <c r="B461" s="100" t="e">
        <f ca="1">IFERROR(__xludf.DUMMYFUNCTION("""COMPUTED_VALUE"""),460)</f>
        <v>#NAME?</v>
      </c>
      <c r="C461" s="100" t="e">
        <f ca="1">IFERROR(__xludf.DUMMYFUNCTION("""COMPUTED_VALUE"""),"CRO-USDC")</f>
        <v>#NAME?</v>
      </c>
      <c r="D461" s="100" t="e">
        <f ca="1">IFERROR(__xludf.DUMMYFUNCTION("""COMPUTED_VALUE"""),"0.08263")</f>
        <v>#NAME?</v>
      </c>
      <c r="E461" s="100" t="e">
        <f t="shared" ca="1" si="71"/>
        <v>#NAME?</v>
      </c>
      <c r="F461" s="100" t="e">
        <f t="shared" ca="1" si="71"/>
        <v>#NAME?</v>
      </c>
      <c r="G461" s="100" t="e">
        <f t="shared" ca="1" si="73"/>
        <v>#NAME?</v>
      </c>
      <c r="H461" s="100" t="e">
        <f t="shared" ca="1" si="74"/>
        <v>#NAME?</v>
      </c>
      <c r="I461" s="100" t="e">
        <f t="shared" ca="1" si="75"/>
        <v>#NAME?</v>
      </c>
      <c r="J461" s="100" t="e">
        <f t="shared" ca="1" si="76"/>
        <v>#NAME?</v>
      </c>
      <c r="K461" s="100" t="e">
        <f t="shared" ca="1" si="77"/>
        <v>#NAME?</v>
      </c>
      <c r="L461" s="100" t="e">
        <f t="shared" ca="1" si="78"/>
        <v>#NAME?</v>
      </c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</row>
    <row r="462" spans="1:27">
      <c r="A462" s="100" t="e">
        <f t="shared" ca="1" si="72"/>
        <v>#NAME?</v>
      </c>
      <c r="B462" s="100" t="e">
        <f ca="1">IFERROR(__xludf.DUMMYFUNCTION("""COMPUTED_VALUE"""),461)</f>
        <v>#NAME?</v>
      </c>
      <c r="C462" s="100" t="e">
        <f ca="1">IFERROR(__xludf.DUMMYFUNCTION("""COMPUTED_VALUE"""),"DEGEN-USDT")</f>
        <v>#NAME?</v>
      </c>
      <c r="D462" s="100" t="e">
        <f ca="1">IFERROR(__xludf.DUMMYFUNCTION("""COMPUTED_VALUE"""),"0.002622")</f>
        <v>#NAME?</v>
      </c>
      <c r="E462" s="100" t="e">
        <f t="shared" ref="E462:F481" ca="1" si="79">IFERROR(__xludf.DUMMYFUNCTION("""COMPUTED_VALUE"""),"-")</f>
        <v>#NAME?</v>
      </c>
      <c r="F462" s="100" t="e">
        <f t="shared" ca="1" si="79"/>
        <v>#NAME?</v>
      </c>
      <c r="G462" s="100" t="e">
        <f t="shared" ca="1" si="73"/>
        <v>#NAME?</v>
      </c>
      <c r="H462" s="100" t="e">
        <f t="shared" ca="1" si="74"/>
        <v>#NAME?</v>
      </c>
      <c r="I462" s="100" t="e">
        <f t="shared" ca="1" si="75"/>
        <v>#NAME?</v>
      </c>
      <c r="J462" s="100" t="e">
        <f t="shared" ca="1" si="76"/>
        <v>#NAME?</v>
      </c>
      <c r="K462" s="100" t="e">
        <f t="shared" ca="1" si="77"/>
        <v>#NAME?</v>
      </c>
      <c r="L462" s="100" t="e">
        <f t="shared" ca="1" si="78"/>
        <v>#NAME?</v>
      </c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</row>
    <row r="463" spans="1:27">
      <c r="A463" s="100" t="e">
        <f t="shared" ca="1" si="72"/>
        <v>#NAME?</v>
      </c>
      <c r="B463" s="100" t="e">
        <f ca="1">IFERROR(__xludf.DUMMYFUNCTION("""COMPUTED_VALUE"""),462)</f>
        <v>#NAME?</v>
      </c>
      <c r="C463" s="100" t="e">
        <f ca="1">IFERROR(__xludf.DUMMYFUNCTION("""COMPUTED_VALUE"""),"MERL-USDT")</f>
        <v>#NAME?</v>
      </c>
      <c r="D463" s="100" t="e">
        <f ca="1">IFERROR(__xludf.DUMMYFUNCTION("""COMPUTED_VALUE"""),"0.0801")</f>
        <v>#NAME?</v>
      </c>
      <c r="E463" s="100" t="e">
        <f t="shared" ca="1" si="79"/>
        <v>#NAME?</v>
      </c>
      <c r="F463" s="100" t="e">
        <f t="shared" ca="1" si="79"/>
        <v>#NAME?</v>
      </c>
      <c r="G463" s="100" t="e">
        <f t="shared" ca="1" si="73"/>
        <v>#NAME?</v>
      </c>
      <c r="H463" s="100" t="e">
        <f t="shared" ca="1" si="74"/>
        <v>#NAME?</v>
      </c>
      <c r="I463" s="100" t="e">
        <f t="shared" ca="1" si="75"/>
        <v>#NAME?</v>
      </c>
      <c r="J463" s="100" t="e">
        <f t="shared" ca="1" si="76"/>
        <v>#NAME?</v>
      </c>
      <c r="K463" s="100" t="e">
        <f t="shared" ca="1" si="77"/>
        <v>#NAME?</v>
      </c>
      <c r="L463" s="100" t="e">
        <f t="shared" ca="1" si="78"/>
        <v>#NAME?</v>
      </c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</row>
    <row r="464" spans="1:27">
      <c r="A464" s="100" t="e">
        <f t="shared" ca="1" si="72"/>
        <v>#NAME?</v>
      </c>
      <c r="B464" s="100" t="e">
        <f ca="1">IFERROR(__xludf.DUMMYFUNCTION("""COMPUTED_VALUE"""),463)</f>
        <v>#NAME?</v>
      </c>
      <c r="C464" s="100" t="e">
        <f ca="1">IFERROR(__xludf.DUMMYFUNCTION("""COMPUTED_VALUE"""),"DUCK-USD")</f>
        <v>#NAME?</v>
      </c>
      <c r="D464" s="100" t="e">
        <f ca="1">IFERROR(__xludf.DUMMYFUNCTION("""COMPUTED_VALUE"""),"0.00234")</f>
        <v>#NAME?</v>
      </c>
      <c r="E464" s="100" t="e">
        <f t="shared" ca="1" si="79"/>
        <v>#NAME?</v>
      </c>
      <c r="F464" s="100" t="e">
        <f t="shared" ca="1" si="79"/>
        <v>#NAME?</v>
      </c>
      <c r="G464" s="100" t="e">
        <f t="shared" ca="1" si="73"/>
        <v>#NAME?</v>
      </c>
      <c r="H464" s="100" t="e">
        <f t="shared" ca="1" si="74"/>
        <v>#NAME?</v>
      </c>
      <c r="I464" s="100" t="e">
        <f t="shared" ca="1" si="75"/>
        <v>#NAME?</v>
      </c>
      <c r="J464" s="100" t="e">
        <f t="shared" ca="1" si="76"/>
        <v>#NAME?</v>
      </c>
      <c r="K464" s="100" t="e">
        <f t="shared" ca="1" si="77"/>
        <v>#NAME?</v>
      </c>
      <c r="L464" s="100" t="e">
        <f t="shared" ca="1" si="78"/>
        <v>#NAME?</v>
      </c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</row>
    <row r="465" spans="1:27">
      <c r="A465" s="100" t="e">
        <f t="shared" ca="1" si="72"/>
        <v>#NAME?</v>
      </c>
      <c r="B465" s="100" t="e">
        <f ca="1">IFERROR(__xludf.DUMMYFUNCTION("""COMPUTED_VALUE"""),464)</f>
        <v>#NAME?</v>
      </c>
      <c r="C465" s="100" t="e">
        <f ca="1">IFERROR(__xludf.DUMMYFUNCTION("""COMPUTED_VALUE"""),"FET-USDT")</f>
        <v>#NAME?</v>
      </c>
      <c r="D465" s="100" t="e">
        <f ca="1">IFERROR(__xludf.DUMMYFUNCTION("""COMPUTED_VALUE"""),"0.5898")</f>
        <v>#NAME?</v>
      </c>
      <c r="E465" s="100" t="e">
        <f t="shared" ca="1" si="79"/>
        <v>#NAME?</v>
      </c>
      <c r="F465" s="100" t="e">
        <f t="shared" ca="1" si="79"/>
        <v>#NAME?</v>
      </c>
      <c r="G465" s="100" t="e">
        <f t="shared" ca="1" si="73"/>
        <v>#NAME?</v>
      </c>
      <c r="H465" s="100" t="e">
        <f t="shared" ca="1" si="74"/>
        <v>#NAME?</v>
      </c>
      <c r="I465" s="100" t="e">
        <f t="shared" ca="1" si="75"/>
        <v>#NAME?</v>
      </c>
      <c r="J465" s="100" t="e">
        <f t="shared" ca="1" si="76"/>
        <v>#NAME?</v>
      </c>
      <c r="K465" s="100" t="e">
        <f t="shared" ca="1" si="77"/>
        <v>#NAME?</v>
      </c>
      <c r="L465" s="100" t="e">
        <f t="shared" ca="1" si="78"/>
        <v>#NAME?</v>
      </c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</row>
    <row r="466" spans="1:27">
      <c r="A466" s="100" t="e">
        <f t="shared" ca="1" si="72"/>
        <v>#NAME?</v>
      </c>
      <c r="B466" s="100" t="e">
        <f ca="1">IFERROR(__xludf.DUMMYFUNCTION("""COMPUTED_VALUE"""),465)</f>
        <v>#NAME?</v>
      </c>
      <c r="C466" s="100" t="e">
        <f ca="1">IFERROR(__xludf.DUMMYFUNCTION("""COMPUTED_VALUE"""),"LDO-USD")</f>
        <v>#NAME?</v>
      </c>
      <c r="D466" s="100" t="e">
        <f ca="1">IFERROR(__xludf.DUMMYFUNCTION("""COMPUTED_VALUE"""),"0.7381")</f>
        <v>#NAME?</v>
      </c>
      <c r="E466" s="100" t="e">
        <f t="shared" ca="1" si="79"/>
        <v>#NAME?</v>
      </c>
      <c r="F466" s="100" t="e">
        <f t="shared" ca="1" si="79"/>
        <v>#NAME?</v>
      </c>
      <c r="G466" s="100" t="e">
        <f t="shared" ca="1" si="73"/>
        <v>#NAME?</v>
      </c>
      <c r="H466" s="100" t="e">
        <f t="shared" ca="1" si="74"/>
        <v>#NAME?</v>
      </c>
      <c r="I466" s="100" t="e">
        <f t="shared" ca="1" si="75"/>
        <v>#NAME?</v>
      </c>
      <c r="J466" s="100" t="e">
        <f t="shared" ca="1" si="76"/>
        <v>#NAME?</v>
      </c>
      <c r="K466" s="100" t="e">
        <f t="shared" ca="1" si="77"/>
        <v>#NAME?</v>
      </c>
      <c r="L466" s="100" t="e">
        <f t="shared" ca="1" si="78"/>
        <v>#NAME?</v>
      </c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</row>
    <row r="467" spans="1:27">
      <c r="A467" s="100" t="e">
        <f t="shared" ca="1" si="72"/>
        <v>#NAME?</v>
      </c>
      <c r="B467" s="100" t="e">
        <f ca="1">IFERROR(__xludf.DUMMYFUNCTION("""COMPUTED_VALUE"""),466)</f>
        <v>#NAME?</v>
      </c>
      <c r="C467" s="100" t="e">
        <f ca="1">IFERROR(__xludf.DUMMYFUNCTION("""COMPUTED_VALUE"""),"ETC-USD")</f>
        <v>#NAME?</v>
      </c>
      <c r="D467" s="100" t="e">
        <f ca="1">IFERROR(__xludf.DUMMYFUNCTION("""COMPUTED_VALUE"""),"15.65")</f>
        <v>#NAME?</v>
      </c>
      <c r="E467" s="100" t="e">
        <f t="shared" ca="1" si="79"/>
        <v>#NAME?</v>
      </c>
      <c r="F467" s="100" t="e">
        <f t="shared" ca="1" si="79"/>
        <v>#NAME?</v>
      </c>
      <c r="G467" s="100" t="e">
        <f t="shared" ca="1" si="73"/>
        <v>#NAME?</v>
      </c>
      <c r="H467" s="100" t="e">
        <f t="shared" ca="1" si="74"/>
        <v>#NAME?</v>
      </c>
      <c r="I467" s="100" t="e">
        <f t="shared" ca="1" si="75"/>
        <v>#NAME?</v>
      </c>
      <c r="J467" s="100" t="e">
        <f t="shared" ca="1" si="76"/>
        <v>#NAME?</v>
      </c>
      <c r="K467" s="100" t="e">
        <f t="shared" ca="1" si="77"/>
        <v>#NAME?</v>
      </c>
      <c r="L467" s="100" t="e">
        <f t="shared" ca="1" si="78"/>
        <v>#NAME?</v>
      </c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</row>
    <row r="468" spans="1:27">
      <c r="A468" s="100" t="e">
        <f t="shared" ca="1" si="72"/>
        <v>#NAME?</v>
      </c>
      <c r="B468" s="100" t="e">
        <f ca="1">IFERROR(__xludf.DUMMYFUNCTION("""COMPUTED_VALUE"""),467)</f>
        <v>#NAME?</v>
      </c>
      <c r="C468" s="100" t="e">
        <f ca="1">IFERROR(__xludf.DUMMYFUNCTION("""COMPUTED_VALUE"""),"ELF-USD")</f>
        <v>#NAME?</v>
      </c>
      <c r="D468" s="100" t="e">
        <f ca="1">IFERROR(__xludf.DUMMYFUNCTION("""COMPUTED_VALUE"""),"0.2303")</f>
        <v>#NAME?</v>
      </c>
      <c r="E468" s="100" t="e">
        <f t="shared" ca="1" si="79"/>
        <v>#NAME?</v>
      </c>
      <c r="F468" s="100" t="e">
        <f t="shared" ca="1" si="79"/>
        <v>#NAME?</v>
      </c>
      <c r="G468" s="100" t="e">
        <f t="shared" ca="1" si="73"/>
        <v>#NAME?</v>
      </c>
      <c r="H468" s="100" t="e">
        <f t="shared" ca="1" si="74"/>
        <v>#NAME?</v>
      </c>
      <c r="I468" s="100" t="e">
        <f t="shared" ca="1" si="75"/>
        <v>#NAME?</v>
      </c>
      <c r="J468" s="100" t="e">
        <f t="shared" ca="1" si="76"/>
        <v>#NAME?</v>
      </c>
      <c r="K468" s="100" t="e">
        <f t="shared" ca="1" si="77"/>
        <v>#NAME?</v>
      </c>
      <c r="L468" s="100" t="e">
        <f t="shared" ca="1" si="78"/>
        <v>#NAME?</v>
      </c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</row>
    <row r="469" spans="1:27">
      <c r="A469" s="100" t="e">
        <f t="shared" ca="1" si="72"/>
        <v>#NAME?</v>
      </c>
      <c r="B469" s="100" t="e">
        <f ca="1">IFERROR(__xludf.DUMMYFUNCTION("""COMPUTED_VALUE"""),468)</f>
        <v>#NAME?</v>
      </c>
      <c r="C469" s="100" t="e">
        <f ca="1">IFERROR(__xludf.DUMMYFUNCTION("""COMPUTED_VALUE"""),"HMSTR-USDT")</f>
        <v>#NAME?</v>
      </c>
      <c r="D469" s="100" t="e">
        <f ca="1">IFERROR(__xludf.DUMMYFUNCTION("""COMPUTED_VALUE"""),"0.0026")</f>
        <v>#NAME?</v>
      </c>
      <c r="E469" s="100" t="e">
        <f t="shared" ca="1" si="79"/>
        <v>#NAME?</v>
      </c>
      <c r="F469" s="100" t="e">
        <f t="shared" ca="1" si="79"/>
        <v>#NAME?</v>
      </c>
      <c r="G469" s="100" t="e">
        <f t="shared" ca="1" si="73"/>
        <v>#NAME?</v>
      </c>
      <c r="H469" s="100" t="e">
        <f t="shared" ca="1" si="74"/>
        <v>#NAME?</v>
      </c>
      <c r="I469" s="100" t="e">
        <f t="shared" ca="1" si="75"/>
        <v>#NAME?</v>
      </c>
      <c r="J469" s="100" t="e">
        <f t="shared" ca="1" si="76"/>
        <v>#NAME?</v>
      </c>
      <c r="K469" s="100" t="e">
        <f t="shared" ca="1" si="77"/>
        <v>#NAME?</v>
      </c>
      <c r="L469" s="100" t="e">
        <f t="shared" ca="1" si="78"/>
        <v>#NAME?</v>
      </c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</row>
    <row r="470" spans="1:27">
      <c r="A470" s="100" t="e">
        <f t="shared" ca="1" si="72"/>
        <v>#NAME?</v>
      </c>
      <c r="B470" s="100" t="e">
        <f ca="1">IFERROR(__xludf.DUMMYFUNCTION("""COMPUTED_VALUE"""),469)</f>
        <v>#NAME?</v>
      </c>
      <c r="C470" s="100" t="e">
        <f ca="1">IFERROR(__xludf.DUMMYFUNCTION("""COMPUTED_VALUE"""),"SWEAT-USDT")</f>
        <v>#NAME?</v>
      </c>
      <c r="D470" s="100" t="e">
        <f ca="1">IFERROR(__xludf.DUMMYFUNCTION("""COMPUTED_VALUE"""),"0.004194")</f>
        <v>#NAME?</v>
      </c>
      <c r="E470" s="100" t="e">
        <f t="shared" ca="1" si="79"/>
        <v>#NAME?</v>
      </c>
      <c r="F470" s="100" t="e">
        <f t="shared" ca="1" si="79"/>
        <v>#NAME?</v>
      </c>
      <c r="G470" s="100" t="e">
        <f t="shared" ca="1" si="73"/>
        <v>#NAME?</v>
      </c>
      <c r="H470" s="100" t="e">
        <f t="shared" ca="1" si="74"/>
        <v>#NAME?</v>
      </c>
      <c r="I470" s="100" t="e">
        <f t="shared" ca="1" si="75"/>
        <v>#NAME?</v>
      </c>
      <c r="J470" s="100" t="e">
        <f t="shared" ca="1" si="76"/>
        <v>#NAME?</v>
      </c>
      <c r="K470" s="100" t="e">
        <f t="shared" ca="1" si="77"/>
        <v>#NAME?</v>
      </c>
      <c r="L470" s="100" t="e">
        <f t="shared" ca="1" si="78"/>
        <v>#NAME?</v>
      </c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</row>
    <row r="471" spans="1:27">
      <c r="A471" s="100" t="e">
        <f t="shared" ca="1" si="72"/>
        <v>#NAME?</v>
      </c>
      <c r="B471" s="100" t="e">
        <f ca="1">IFERROR(__xludf.DUMMYFUNCTION("""COMPUTED_VALUE"""),470)</f>
        <v>#NAME?</v>
      </c>
      <c r="C471" s="100" t="e">
        <f ca="1">IFERROR(__xludf.DUMMYFUNCTION("""COMPUTED_VALUE"""),"ETHFI-USD")</f>
        <v>#NAME?</v>
      </c>
      <c r="D471" s="100" t="e">
        <f ca="1">IFERROR(__xludf.DUMMYFUNCTION("""COMPUTED_VALUE"""),"0.4809")</f>
        <v>#NAME?</v>
      </c>
      <c r="E471" s="100" t="e">
        <f t="shared" ca="1" si="79"/>
        <v>#NAME?</v>
      </c>
      <c r="F471" s="100" t="e">
        <f t="shared" ca="1" si="79"/>
        <v>#NAME?</v>
      </c>
      <c r="G471" s="100" t="e">
        <f t="shared" ca="1" si="73"/>
        <v>#NAME?</v>
      </c>
      <c r="H471" s="100" t="e">
        <f t="shared" ca="1" si="74"/>
        <v>#NAME?</v>
      </c>
      <c r="I471" s="100" t="e">
        <f t="shared" ca="1" si="75"/>
        <v>#NAME?</v>
      </c>
      <c r="J471" s="100" t="e">
        <f t="shared" ca="1" si="76"/>
        <v>#NAME?</v>
      </c>
      <c r="K471" s="100" t="e">
        <f t="shared" ca="1" si="77"/>
        <v>#NAME?</v>
      </c>
      <c r="L471" s="100" t="e">
        <f t="shared" ca="1" si="78"/>
        <v>#NAME?</v>
      </c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</row>
    <row r="472" spans="1:27">
      <c r="A472" s="100" t="e">
        <f t="shared" ca="1" si="72"/>
        <v>#NAME?</v>
      </c>
      <c r="B472" s="100" t="e">
        <f ca="1">IFERROR(__xludf.DUMMYFUNCTION("""COMPUTED_VALUE"""),471)</f>
        <v>#NAME?</v>
      </c>
      <c r="C472" s="100" t="e">
        <f ca="1">IFERROR(__xludf.DUMMYFUNCTION("""COMPUTED_VALUE"""),"SOL-USDC")</f>
        <v>#NAME?</v>
      </c>
      <c r="D472" s="100" t="e">
        <f ca="1">IFERROR(__xludf.DUMMYFUNCTION("""COMPUTED_VALUE"""),"139.23")</f>
        <v>#NAME?</v>
      </c>
      <c r="E472" s="100" t="e">
        <f t="shared" ca="1" si="79"/>
        <v>#NAME?</v>
      </c>
      <c r="F472" s="100" t="e">
        <f t="shared" ca="1" si="79"/>
        <v>#NAME?</v>
      </c>
      <c r="G472" s="100" t="e">
        <f t="shared" ca="1" si="73"/>
        <v>#NAME?</v>
      </c>
      <c r="H472" s="100" t="e">
        <f t="shared" ca="1" si="74"/>
        <v>#NAME?</v>
      </c>
      <c r="I472" s="100" t="e">
        <f t="shared" ca="1" si="75"/>
        <v>#NAME?</v>
      </c>
      <c r="J472" s="100" t="e">
        <f t="shared" ca="1" si="76"/>
        <v>#NAME?</v>
      </c>
      <c r="K472" s="100" t="e">
        <f t="shared" ca="1" si="77"/>
        <v>#NAME?</v>
      </c>
      <c r="L472" s="100" t="e">
        <f t="shared" ca="1" si="78"/>
        <v>#NAME?</v>
      </c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</row>
    <row r="473" spans="1:27">
      <c r="A473" s="100" t="e">
        <f t="shared" ca="1" si="72"/>
        <v>#NAME?</v>
      </c>
      <c r="B473" s="100" t="e">
        <f ca="1">IFERROR(__xludf.DUMMYFUNCTION("""COMPUTED_VALUE"""),472)</f>
        <v>#NAME?</v>
      </c>
      <c r="C473" s="100" t="e">
        <f ca="1">IFERROR(__xludf.DUMMYFUNCTION("""COMPUTED_VALUE"""),"RENDER-USD")</f>
        <v>#NAME?</v>
      </c>
      <c r="D473" s="100" t="e">
        <f ca="1">IFERROR(__xludf.DUMMYFUNCTION("""COMPUTED_VALUE"""),"4.341")</f>
        <v>#NAME?</v>
      </c>
      <c r="E473" s="100" t="e">
        <f t="shared" ca="1" si="79"/>
        <v>#NAME?</v>
      </c>
      <c r="F473" s="100" t="e">
        <f t="shared" ca="1" si="79"/>
        <v>#NAME?</v>
      </c>
      <c r="G473" s="100" t="e">
        <f t="shared" ca="1" si="73"/>
        <v>#NAME?</v>
      </c>
      <c r="H473" s="100" t="e">
        <f t="shared" ca="1" si="74"/>
        <v>#NAME?</v>
      </c>
      <c r="I473" s="100" t="e">
        <f t="shared" ca="1" si="75"/>
        <v>#NAME?</v>
      </c>
      <c r="J473" s="100" t="e">
        <f t="shared" ca="1" si="76"/>
        <v>#NAME?</v>
      </c>
      <c r="K473" s="100" t="e">
        <f t="shared" ca="1" si="77"/>
        <v>#NAME?</v>
      </c>
      <c r="L473" s="100" t="e">
        <f t="shared" ca="1" si="78"/>
        <v>#NAME?</v>
      </c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</row>
    <row r="474" spans="1:27">
      <c r="A474" s="100" t="e">
        <f t="shared" ca="1" si="72"/>
        <v>#NAME?</v>
      </c>
      <c r="B474" s="100" t="e">
        <f ca="1">IFERROR(__xludf.DUMMYFUNCTION("""COMPUTED_VALUE"""),473)</f>
        <v>#NAME?</v>
      </c>
      <c r="C474" s="100" t="e">
        <f ca="1">IFERROR(__xludf.DUMMYFUNCTION("""COMPUTED_VALUE"""),"DGB-USD")</f>
        <v>#NAME?</v>
      </c>
      <c r="D474" s="100" t="e">
        <f ca="1">IFERROR(__xludf.DUMMYFUNCTION("""COMPUTED_VALUE"""),"0.009999")</f>
        <v>#NAME?</v>
      </c>
      <c r="E474" s="100" t="e">
        <f t="shared" ca="1" si="79"/>
        <v>#NAME?</v>
      </c>
      <c r="F474" s="100" t="e">
        <f t="shared" ca="1" si="79"/>
        <v>#NAME?</v>
      </c>
      <c r="G474" s="100" t="e">
        <f t="shared" ca="1" si="73"/>
        <v>#NAME?</v>
      </c>
      <c r="H474" s="100" t="e">
        <f t="shared" ca="1" si="74"/>
        <v>#NAME?</v>
      </c>
      <c r="I474" s="100" t="e">
        <f t="shared" ca="1" si="75"/>
        <v>#NAME?</v>
      </c>
      <c r="J474" s="100" t="e">
        <f t="shared" ca="1" si="76"/>
        <v>#NAME?</v>
      </c>
      <c r="K474" s="100" t="e">
        <f t="shared" ca="1" si="77"/>
        <v>#NAME?</v>
      </c>
      <c r="L474" s="100" t="e">
        <f t="shared" ca="1" si="78"/>
        <v>#NAME?</v>
      </c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</row>
    <row r="475" spans="1:27">
      <c r="A475" s="100" t="e">
        <f t="shared" ca="1" si="72"/>
        <v>#NAME?</v>
      </c>
      <c r="B475" s="100" t="e">
        <f ca="1">IFERROR(__xludf.DUMMYFUNCTION("""COMPUTED_VALUE"""),474)</f>
        <v>#NAME?</v>
      </c>
      <c r="C475" s="100" t="e">
        <f ca="1">IFERROR(__xludf.DUMMYFUNCTION("""COMPUTED_VALUE"""),"LINK-USD")</f>
        <v>#NAME?</v>
      </c>
      <c r="D475" s="100" t="e">
        <f ca="1">IFERROR(__xludf.DUMMYFUNCTION("""COMPUTED_VALUE"""),"13.194")</f>
        <v>#NAME?</v>
      </c>
      <c r="E475" s="100" t="e">
        <f t="shared" ca="1" si="79"/>
        <v>#NAME?</v>
      </c>
      <c r="F475" s="100" t="e">
        <f t="shared" ca="1" si="79"/>
        <v>#NAME?</v>
      </c>
      <c r="G475" s="100" t="e">
        <f t="shared" ca="1" si="73"/>
        <v>#NAME?</v>
      </c>
      <c r="H475" s="100" t="e">
        <f t="shared" ca="1" si="74"/>
        <v>#NAME?</v>
      </c>
      <c r="I475" s="100" t="e">
        <f t="shared" ca="1" si="75"/>
        <v>#NAME?</v>
      </c>
      <c r="J475" s="100" t="e">
        <f t="shared" ca="1" si="76"/>
        <v>#NAME?</v>
      </c>
      <c r="K475" s="100" t="e">
        <f t="shared" ca="1" si="77"/>
        <v>#NAME?</v>
      </c>
      <c r="L475" s="100" t="e">
        <f t="shared" ca="1" si="78"/>
        <v>#NAME?</v>
      </c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</row>
    <row r="476" spans="1:27">
      <c r="A476" s="100" t="e">
        <f t="shared" ca="1" si="72"/>
        <v>#NAME?</v>
      </c>
      <c r="B476" s="100" t="e">
        <f ca="1">IFERROR(__xludf.DUMMYFUNCTION("""COMPUTED_VALUE"""),475)</f>
        <v>#NAME?</v>
      </c>
      <c r="C476" s="100" t="e">
        <f ca="1">IFERROR(__xludf.DUMMYFUNCTION("""COMPUTED_VALUE"""),"FOXY-USDT")</f>
        <v>#NAME?</v>
      </c>
      <c r="D476" s="100" t="e">
        <f ca="1">IFERROR(__xludf.DUMMYFUNCTION("""COMPUTED_VALUE"""),"0.001325")</f>
        <v>#NAME?</v>
      </c>
      <c r="E476" s="100" t="e">
        <f t="shared" ca="1" si="79"/>
        <v>#NAME?</v>
      </c>
      <c r="F476" s="100" t="e">
        <f t="shared" ca="1" si="79"/>
        <v>#NAME?</v>
      </c>
      <c r="G476" s="100" t="e">
        <f t="shared" ca="1" si="73"/>
        <v>#NAME?</v>
      </c>
      <c r="H476" s="100" t="e">
        <f t="shared" ca="1" si="74"/>
        <v>#NAME?</v>
      </c>
      <c r="I476" s="100" t="e">
        <f t="shared" ca="1" si="75"/>
        <v>#NAME?</v>
      </c>
      <c r="J476" s="100" t="e">
        <f t="shared" ca="1" si="76"/>
        <v>#NAME?</v>
      </c>
      <c r="K476" s="100" t="e">
        <f t="shared" ca="1" si="77"/>
        <v>#NAME?</v>
      </c>
      <c r="L476" s="100" t="e">
        <f t="shared" ca="1" si="78"/>
        <v>#NAME?</v>
      </c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</row>
    <row r="477" spans="1:27">
      <c r="A477" s="100" t="e">
        <f t="shared" ca="1" si="72"/>
        <v>#NAME?</v>
      </c>
      <c r="B477" s="100" t="e">
        <f ca="1">IFERROR(__xludf.DUMMYFUNCTION("""COMPUTED_VALUE"""),476)</f>
        <v>#NAME?</v>
      </c>
      <c r="C477" s="100" t="e">
        <f ca="1">IFERROR(__xludf.DUMMYFUNCTION("""COMPUTED_VALUE"""),"XRP-USDT")</f>
        <v>#NAME?</v>
      </c>
      <c r="D477" s="100" t="e">
        <f ca="1">IFERROR(__xludf.DUMMYFUNCTION("""COMPUTED_VALUE"""),"2.1005")</f>
        <v>#NAME?</v>
      </c>
      <c r="E477" s="100" t="e">
        <f t="shared" ca="1" si="79"/>
        <v>#NAME?</v>
      </c>
      <c r="F477" s="100" t="e">
        <f t="shared" ca="1" si="79"/>
        <v>#NAME?</v>
      </c>
      <c r="G477" s="100" t="e">
        <f t="shared" ca="1" si="73"/>
        <v>#NAME?</v>
      </c>
      <c r="H477" s="100" t="e">
        <f t="shared" ca="1" si="74"/>
        <v>#NAME?</v>
      </c>
      <c r="I477" s="100" t="e">
        <f t="shared" ca="1" si="75"/>
        <v>#NAME?</v>
      </c>
      <c r="J477" s="100" t="e">
        <f t="shared" ca="1" si="76"/>
        <v>#NAME?</v>
      </c>
      <c r="K477" s="100" t="e">
        <f t="shared" ca="1" si="77"/>
        <v>#NAME?</v>
      </c>
      <c r="L477" s="100" t="e">
        <f t="shared" ca="1" si="78"/>
        <v>#NAME?</v>
      </c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</row>
    <row r="478" spans="1:27">
      <c r="A478" s="100" t="e">
        <f t="shared" ca="1" si="72"/>
        <v>#NAME?</v>
      </c>
      <c r="B478" s="100" t="e">
        <f ca="1">IFERROR(__xludf.DUMMYFUNCTION("""COMPUTED_VALUE"""),477)</f>
        <v>#NAME?</v>
      </c>
      <c r="C478" s="100" t="e">
        <f ca="1">IFERROR(__xludf.DUMMYFUNCTION("""COMPUTED_VALUE"""),"X-USDT")</f>
        <v>#NAME?</v>
      </c>
      <c r="D478" s="100" t="e">
        <f ca="1">IFERROR(__xludf.DUMMYFUNCTION("""COMPUTED_VALUE"""),"0.00006832")</f>
        <v>#NAME?</v>
      </c>
      <c r="E478" s="100" t="e">
        <f t="shared" ca="1" si="79"/>
        <v>#NAME?</v>
      </c>
      <c r="F478" s="100" t="e">
        <f t="shared" ca="1" si="79"/>
        <v>#NAME?</v>
      </c>
      <c r="G478" s="100" t="e">
        <f t="shared" ca="1" si="73"/>
        <v>#NAME?</v>
      </c>
      <c r="H478" s="100" t="e">
        <f t="shared" ca="1" si="74"/>
        <v>#NAME?</v>
      </c>
      <c r="I478" s="100" t="e">
        <f t="shared" ca="1" si="75"/>
        <v>#NAME?</v>
      </c>
      <c r="J478" s="100" t="e">
        <f t="shared" ca="1" si="76"/>
        <v>#NAME?</v>
      </c>
      <c r="K478" s="100" t="e">
        <f t="shared" ca="1" si="77"/>
        <v>#NAME?</v>
      </c>
      <c r="L478" s="100" t="e">
        <f t="shared" ca="1" si="78"/>
        <v>#NAME?</v>
      </c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</row>
    <row r="479" spans="1:27">
      <c r="A479" s="100" t="e">
        <f t="shared" ca="1" si="72"/>
        <v>#NAME?</v>
      </c>
      <c r="B479" s="100" t="e">
        <f ca="1">IFERROR(__xludf.DUMMYFUNCTION("""COMPUTED_VALUE"""),478)</f>
        <v>#NAME?</v>
      </c>
      <c r="C479" s="100" t="e">
        <f ca="1">IFERROR(__xludf.DUMMYFUNCTION("""COMPUTED_VALUE"""),"BNB-USDT")</f>
        <v>#NAME?</v>
      </c>
      <c r="D479" s="100" t="e">
        <f ca="1">IFERROR(__xludf.DUMMYFUNCTION("""COMPUTED_VALUE"""),"605.7")</f>
        <v>#NAME?</v>
      </c>
      <c r="E479" s="100" t="e">
        <f t="shared" ca="1" si="79"/>
        <v>#NAME?</v>
      </c>
      <c r="F479" s="100" t="e">
        <f t="shared" ca="1" si="79"/>
        <v>#NAME?</v>
      </c>
      <c r="G479" s="100" t="e">
        <f t="shared" ca="1" si="73"/>
        <v>#NAME?</v>
      </c>
      <c r="H479" s="100" t="e">
        <f t="shared" ca="1" si="74"/>
        <v>#NAME?</v>
      </c>
      <c r="I479" s="100" t="e">
        <f t="shared" ca="1" si="75"/>
        <v>#NAME?</v>
      </c>
      <c r="J479" s="100" t="e">
        <f t="shared" ca="1" si="76"/>
        <v>#NAME?</v>
      </c>
      <c r="K479" s="100" t="e">
        <f t="shared" ca="1" si="77"/>
        <v>#NAME?</v>
      </c>
      <c r="L479" s="100" t="e">
        <f t="shared" ca="1" si="78"/>
        <v>#NAME?</v>
      </c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</row>
    <row r="480" spans="1:27">
      <c r="A480" s="100" t="e">
        <f t="shared" ca="1" si="72"/>
        <v>#NAME?</v>
      </c>
      <c r="B480" s="100" t="e">
        <f ca="1">IFERROR(__xludf.DUMMYFUNCTION("""COMPUTED_VALUE"""),479)</f>
        <v>#NAME?</v>
      </c>
      <c r="C480" s="100" t="e">
        <f ca="1">IFERROR(__xludf.DUMMYFUNCTION("""COMPUTED_VALUE"""),"PRQ-USDT")</f>
        <v>#NAME?</v>
      </c>
      <c r="D480" s="100" t="e">
        <f ca="1">IFERROR(__xludf.DUMMYFUNCTION("""COMPUTED_VALUE"""),"0.08592")</f>
        <v>#NAME?</v>
      </c>
      <c r="E480" s="100" t="e">
        <f t="shared" ca="1" si="79"/>
        <v>#NAME?</v>
      </c>
      <c r="F480" s="100" t="e">
        <f t="shared" ca="1" si="79"/>
        <v>#NAME?</v>
      </c>
      <c r="G480" s="100" t="e">
        <f t="shared" ca="1" si="73"/>
        <v>#NAME?</v>
      </c>
      <c r="H480" s="100" t="e">
        <f t="shared" ca="1" si="74"/>
        <v>#NAME?</v>
      </c>
      <c r="I480" s="100" t="e">
        <f t="shared" ca="1" si="75"/>
        <v>#NAME?</v>
      </c>
      <c r="J480" s="100" t="e">
        <f t="shared" ca="1" si="76"/>
        <v>#NAME?</v>
      </c>
      <c r="K480" s="100" t="e">
        <f t="shared" ca="1" si="77"/>
        <v>#NAME?</v>
      </c>
      <c r="L480" s="100" t="e">
        <f t="shared" ca="1" si="78"/>
        <v>#NAME?</v>
      </c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</row>
    <row r="481" spans="1:27">
      <c r="A481" s="100" t="e">
        <f t="shared" ca="1" si="72"/>
        <v>#NAME?</v>
      </c>
      <c r="B481" s="100" t="e">
        <f ca="1">IFERROR(__xludf.DUMMYFUNCTION("""COMPUTED_VALUE"""),480)</f>
        <v>#NAME?</v>
      </c>
      <c r="C481" s="100" t="e">
        <f ca="1">IFERROR(__xludf.DUMMYFUNCTION("""COMPUTED_VALUE"""),"CELO-USD")</f>
        <v>#NAME?</v>
      </c>
      <c r="D481" s="100" t="e">
        <f ca="1">IFERROR(__xludf.DUMMYFUNCTION("""COMPUTED_VALUE"""),"0.3131")</f>
        <v>#NAME?</v>
      </c>
      <c r="E481" s="100" t="e">
        <f t="shared" ca="1" si="79"/>
        <v>#NAME?</v>
      </c>
      <c r="F481" s="100" t="e">
        <f t="shared" ca="1" si="79"/>
        <v>#NAME?</v>
      </c>
      <c r="G481" s="100" t="e">
        <f t="shared" ca="1" si="73"/>
        <v>#NAME?</v>
      </c>
      <c r="H481" s="100" t="e">
        <f t="shared" ca="1" si="74"/>
        <v>#NAME?</v>
      </c>
      <c r="I481" s="100" t="e">
        <f t="shared" ca="1" si="75"/>
        <v>#NAME?</v>
      </c>
      <c r="J481" s="100" t="e">
        <f t="shared" ca="1" si="76"/>
        <v>#NAME?</v>
      </c>
      <c r="K481" s="100" t="e">
        <f t="shared" ca="1" si="77"/>
        <v>#NAME?</v>
      </c>
      <c r="L481" s="100" t="e">
        <f t="shared" ca="1" si="78"/>
        <v>#NAME?</v>
      </c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</row>
    <row r="482" spans="1:27">
      <c r="A482" s="100" t="e">
        <f t="shared" ca="1" si="72"/>
        <v>#NAME?</v>
      </c>
      <c r="B482" s="100" t="e">
        <f ca="1">IFERROR(__xludf.DUMMYFUNCTION("""COMPUTED_VALUE"""),481)</f>
        <v>#NAME?</v>
      </c>
      <c r="C482" s="100" t="e">
        <f ca="1">IFERROR(__xludf.DUMMYFUNCTION("""COMPUTED_VALUE"""),"CRV-USDT")</f>
        <v>#NAME?</v>
      </c>
      <c r="D482" s="100" t="e">
        <f ca="1">IFERROR(__xludf.DUMMYFUNCTION("""COMPUTED_VALUE"""),"0.6142")</f>
        <v>#NAME?</v>
      </c>
      <c r="E482" s="100" t="e">
        <f t="shared" ref="E482:F501" ca="1" si="80">IFERROR(__xludf.DUMMYFUNCTION("""COMPUTED_VALUE"""),"-")</f>
        <v>#NAME?</v>
      </c>
      <c r="F482" s="100" t="e">
        <f t="shared" ca="1" si="80"/>
        <v>#NAME?</v>
      </c>
      <c r="G482" s="100" t="e">
        <f t="shared" ca="1" si="73"/>
        <v>#NAME?</v>
      </c>
      <c r="H482" s="100" t="e">
        <f t="shared" ca="1" si="74"/>
        <v>#NAME?</v>
      </c>
      <c r="I482" s="100" t="e">
        <f t="shared" ca="1" si="75"/>
        <v>#NAME?</v>
      </c>
      <c r="J482" s="100" t="e">
        <f t="shared" ca="1" si="76"/>
        <v>#NAME?</v>
      </c>
      <c r="K482" s="100" t="e">
        <f t="shared" ca="1" si="77"/>
        <v>#NAME?</v>
      </c>
      <c r="L482" s="100" t="e">
        <f t="shared" ca="1" si="78"/>
        <v>#NAME?</v>
      </c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</row>
    <row r="483" spans="1:27">
      <c r="A483" s="100" t="e">
        <f t="shared" ca="1" si="72"/>
        <v>#NAME?</v>
      </c>
      <c r="B483" s="100" t="e">
        <f ca="1">IFERROR(__xludf.DUMMYFUNCTION("""COMPUTED_VALUE"""),482)</f>
        <v>#NAME?</v>
      </c>
      <c r="C483" s="100" t="e">
        <f ca="1">IFERROR(__xludf.DUMMYFUNCTION("""COMPUTED_VALUE"""),"WIN-USD")</f>
        <v>#NAME?</v>
      </c>
      <c r="D483" s="100" t="e">
        <f ca="1">IFERROR(__xludf.DUMMYFUNCTION("""COMPUTED_VALUE"""),"0.00004996")</f>
        <v>#NAME?</v>
      </c>
      <c r="E483" s="100" t="e">
        <f t="shared" ca="1" si="80"/>
        <v>#NAME?</v>
      </c>
      <c r="F483" s="100" t="e">
        <f t="shared" ca="1" si="80"/>
        <v>#NAME?</v>
      </c>
      <c r="G483" s="100" t="e">
        <f t="shared" ca="1" si="73"/>
        <v>#NAME?</v>
      </c>
      <c r="H483" s="100" t="e">
        <f t="shared" ca="1" si="74"/>
        <v>#NAME?</v>
      </c>
      <c r="I483" s="100" t="e">
        <f t="shared" ca="1" si="75"/>
        <v>#NAME?</v>
      </c>
      <c r="J483" s="100" t="e">
        <f t="shared" ca="1" si="76"/>
        <v>#NAME?</v>
      </c>
      <c r="K483" s="100" t="e">
        <f t="shared" ca="1" si="77"/>
        <v>#NAME?</v>
      </c>
      <c r="L483" s="100" t="e">
        <f t="shared" ca="1" si="78"/>
        <v>#NAME?</v>
      </c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</row>
    <row r="484" spans="1:27">
      <c r="A484" s="100" t="e">
        <f t="shared" ca="1" si="72"/>
        <v>#NAME?</v>
      </c>
      <c r="B484" s="100" t="e">
        <f ca="1">IFERROR(__xludf.DUMMYFUNCTION("""COMPUTED_VALUE"""),483)</f>
        <v>#NAME?</v>
      </c>
      <c r="C484" s="100" t="e">
        <f ca="1">IFERROR(__xludf.DUMMYFUNCTION("""COMPUTED_VALUE"""),"TNSR-USDT")</f>
        <v>#NAME?</v>
      </c>
      <c r="D484" s="100" t="e">
        <f ca="1">IFERROR(__xludf.DUMMYFUNCTION("""COMPUTED_VALUE"""),"0.1432")</f>
        <v>#NAME?</v>
      </c>
      <c r="E484" s="100" t="e">
        <f t="shared" ca="1" si="80"/>
        <v>#NAME?</v>
      </c>
      <c r="F484" s="100" t="e">
        <f t="shared" ca="1" si="80"/>
        <v>#NAME?</v>
      </c>
      <c r="G484" s="100" t="e">
        <f t="shared" ca="1" si="73"/>
        <v>#NAME?</v>
      </c>
      <c r="H484" s="100" t="e">
        <f t="shared" ca="1" si="74"/>
        <v>#NAME?</v>
      </c>
      <c r="I484" s="100" t="e">
        <f t="shared" ca="1" si="75"/>
        <v>#NAME?</v>
      </c>
      <c r="J484" s="100" t="e">
        <f t="shared" ca="1" si="76"/>
        <v>#NAME?</v>
      </c>
      <c r="K484" s="100" t="e">
        <f t="shared" ca="1" si="77"/>
        <v>#NAME?</v>
      </c>
      <c r="L484" s="100" t="e">
        <f t="shared" ca="1" si="78"/>
        <v>#NAME?</v>
      </c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</row>
    <row r="485" spans="1:27">
      <c r="A485" s="100" t="e">
        <f t="shared" ca="1" si="72"/>
        <v>#NAME?</v>
      </c>
      <c r="B485" s="100" t="e">
        <f ca="1">IFERROR(__xludf.DUMMYFUNCTION("""COMPUTED_VALUE"""),484)</f>
        <v>#NAME?</v>
      </c>
      <c r="C485" s="100" t="e">
        <f ca="1">IFERROR(__xludf.DUMMYFUNCTION("""COMPUTED_VALUE"""),"EGLD-USDT")</f>
        <v>#NAME?</v>
      </c>
      <c r="D485" s="100" t="e">
        <f ca="1">IFERROR(__xludf.DUMMYFUNCTION("""COMPUTED_VALUE"""),"14.05")</f>
        <v>#NAME?</v>
      </c>
      <c r="E485" s="100" t="e">
        <f t="shared" ca="1" si="80"/>
        <v>#NAME?</v>
      </c>
      <c r="F485" s="100" t="e">
        <f t="shared" ca="1" si="80"/>
        <v>#NAME?</v>
      </c>
      <c r="G485" s="100" t="e">
        <f t="shared" ca="1" si="73"/>
        <v>#NAME?</v>
      </c>
      <c r="H485" s="100" t="e">
        <f t="shared" ca="1" si="74"/>
        <v>#NAME?</v>
      </c>
      <c r="I485" s="100" t="e">
        <f t="shared" ca="1" si="75"/>
        <v>#NAME?</v>
      </c>
      <c r="J485" s="100" t="e">
        <f t="shared" ca="1" si="76"/>
        <v>#NAME?</v>
      </c>
      <c r="K485" s="100" t="e">
        <f t="shared" ca="1" si="77"/>
        <v>#NAME?</v>
      </c>
      <c r="L485" s="100" t="e">
        <f t="shared" ca="1" si="78"/>
        <v>#NAME?</v>
      </c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</row>
    <row r="486" spans="1:27">
      <c r="A486" s="100" t="e">
        <f t="shared" ca="1" si="72"/>
        <v>#NAME?</v>
      </c>
      <c r="B486" s="100" t="e">
        <f ca="1">IFERROR(__xludf.DUMMYFUNCTION("""COMPUTED_VALUE"""),485)</f>
        <v>#NAME?</v>
      </c>
      <c r="C486" s="100" t="e">
        <f ca="1">IFERROR(__xludf.DUMMYFUNCTION("""COMPUTED_VALUE"""),"MERL-USDC")</f>
        <v>#NAME?</v>
      </c>
      <c r="D486" s="100" t="e">
        <f ca="1">IFERROR(__xludf.DUMMYFUNCTION("""COMPUTED_VALUE"""),"0.08069")</f>
        <v>#NAME?</v>
      </c>
      <c r="E486" s="100" t="e">
        <f t="shared" ca="1" si="80"/>
        <v>#NAME?</v>
      </c>
      <c r="F486" s="100" t="e">
        <f t="shared" ca="1" si="80"/>
        <v>#NAME?</v>
      </c>
      <c r="G486" s="100" t="e">
        <f t="shared" ca="1" si="73"/>
        <v>#NAME?</v>
      </c>
      <c r="H486" s="100" t="e">
        <f t="shared" ca="1" si="74"/>
        <v>#NAME?</v>
      </c>
      <c r="I486" s="100" t="e">
        <f t="shared" ca="1" si="75"/>
        <v>#NAME?</v>
      </c>
      <c r="J486" s="100" t="e">
        <f t="shared" ca="1" si="76"/>
        <v>#NAME?</v>
      </c>
      <c r="K486" s="100" t="e">
        <f t="shared" ca="1" si="77"/>
        <v>#NAME?</v>
      </c>
      <c r="L486" s="100" t="e">
        <f t="shared" ca="1" si="78"/>
        <v>#NAME?</v>
      </c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</row>
    <row r="487" spans="1:27">
      <c r="A487" s="100" t="e">
        <f t="shared" ca="1" si="72"/>
        <v>#NAME?</v>
      </c>
      <c r="B487" s="100" t="e">
        <f ca="1">IFERROR(__xludf.DUMMYFUNCTION("""COMPUTED_VALUE"""),486)</f>
        <v>#NAME?</v>
      </c>
      <c r="C487" s="100" t="e">
        <f ca="1">IFERROR(__xludf.DUMMYFUNCTION("""COMPUTED_VALUE"""),"ALGO-USD")</f>
        <v>#NAME?</v>
      </c>
      <c r="D487" s="100" t="e">
        <f ca="1">IFERROR(__xludf.DUMMYFUNCTION("""COMPUTED_VALUE"""),"0.2031")</f>
        <v>#NAME?</v>
      </c>
      <c r="E487" s="100" t="e">
        <f t="shared" ca="1" si="80"/>
        <v>#NAME?</v>
      </c>
      <c r="F487" s="100" t="e">
        <f t="shared" ca="1" si="80"/>
        <v>#NAME?</v>
      </c>
      <c r="G487" s="100" t="e">
        <f t="shared" ca="1" si="73"/>
        <v>#NAME?</v>
      </c>
      <c r="H487" s="100" t="e">
        <f t="shared" ca="1" si="74"/>
        <v>#NAME?</v>
      </c>
      <c r="I487" s="100" t="e">
        <f t="shared" ca="1" si="75"/>
        <v>#NAME?</v>
      </c>
      <c r="J487" s="100" t="e">
        <f t="shared" ca="1" si="76"/>
        <v>#NAME?</v>
      </c>
      <c r="K487" s="100" t="e">
        <f t="shared" ca="1" si="77"/>
        <v>#NAME?</v>
      </c>
      <c r="L487" s="100" t="e">
        <f t="shared" ca="1" si="78"/>
        <v>#NAME?</v>
      </c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</row>
    <row r="488" spans="1:27">
      <c r="A488" s="100" t="e">
        <f t="shared" ca="1" si="72"/>
        <v>#NAME?</v>
      </c>
      <c r="B488" s="100" t="e">
        <f ca="1">IFERROR(__xludf.DUMMYFUNCTION("""COMPUTED_VALUE"""),487)</f>
        <v>#NAME?</v>
      </c>
      <c r="C488" s="100" t="e">
        <f ca="1">IFERROR(__xludf.DUMMYFUNCTION("""COMPUTED_VALUE"""),"CORE-USD")</f>
        <v>#NAME?</v>
      </c>
      <c r="D488" s="100" t="e">
        <f ca="1">IFERROR(__xludf.DUMMYFUNCTION("""COMPUTED_VALUE"""),"0.655")</f>
        <v>#NAME?</v>
      </c>
      <c r="E488" s="100" t="e">
        <f t="shared" ca="1" si="80"/>
        <v>#NAME?</v>
      </c>
      <c r="F488" s="100" t="e">
        <f t="shared" ca="1" si="80"/>
        <v>#NAME?</v>
      </c>
      <c r="G488" s="100" t="e">
        <f t="shared" ca="1" si="73"/>
        <v>#NAME?</v>
      </c>
      <c r="H488" s="100" t="e">
        <f t="shared" ca="1" si="74"/>
        <v>#NAME?</v>
      </c>
      <c r="I488" s="100" t="e">
        <f t="shared" ca="1" si="75"/>
        <v>#NAME?</v>
      </c>
      <c r="J488" s="100" t="e">
        <f t="shared" ca="1" si="76"/>
        <v>#NAME?</v>
      </c>
      <c r="K488" s="100" t="e">
        <f t="shared" ca="1" si="77"/>
        <v>#NAME?</v>
      </c>
      <c r="L488" s="100" t="e">
        <f t="shared" ca="1" si="78"/>
        <v>#NAME?</v>
      </c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</row>
    <row r="489" spans="1:27">
      <c r="A489" s="100" t="e">
        <f t="shared" ca="1" si="72"/>
        <v>#NAME?</v>
      </c>
      <c r="B489" s="100" t="e">
        <f ca="1">IFERROR(__xludf.DUMMYFUNCTION("""COMPUTED_VALUE"""),488)</f>
        <v>#NAME?</v>
      </c>
      <c r="C489" s="100" t="e">
        <f ca="1">IFERROR(__xludf.DUMMYFUNCTION("""COMPUTED_VALUE"""),"BORA-USDT")</f>
        <v>#NAME?</v>
      </c>
      <c r="D489" s="100" t="e">
        <f ca="1">IFERROR(__xludf.DUMMYFUNCTION("""COMPUTED_VALUE"""),"0.09405")</f>
        <v>#NAME?</v>
      </c>
      <c r="E489" s="100" t="e">
        <f t="shared" ca="1" si="80"/>
        <v>#NAME?</v>
      </c>
      <c r="F489" s="100" t="e">
        <f t="shared" ca="1" si="80"/>
        <v>#NAME?</v>
      </c>
      <c r="G489" s="100" t="e">
        <f t="shared" ca="1" si="73"/>
        <v>#NAME?</v>
      </c>
      <c r="H489" s="100" t="e">
        <f t="shared" ca="1" si="74"/>
        <v>#NAME?</v>
      </c>
      <c r="I489" s="100" t="e">
        <f t="shared" ca="1" si="75"/>
        <v>#NAME?</v>
      </c>
      <c r="J489" s="100" t="e">
        <f t="shared" ca="1" si="76"/>
        <v>#NAME?</v>
      </c>
      <c r="K489" s="100" t="e">
        <f t="shared" ca="1" si="77"/>
        <v>#NAME?</v>
      </c>
      <c r="L489" s="100" t="e">
        <f t="shared" ca="1" si="78"/>
        <v>#NAME?</v>
      </c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</row>
    <row r="490" spans="1:27">
      <c r="A490" s="100" t="e">
        <f t="shared" ca="1" si="72"/>
        <v>#NAME?</v>
      </c>
      <c r="B490" s="100" t="e">
        <f ca="1">IFERROR(__xludf.DUMMYFUNCTION("""COMPUTED_VALUE"""),489)</f>
        <v>#NAME?</v>
      </c>
      <c r="C490" s="100" t="e">
        <f ca="1">IFERROR(__xludf.DUMMYFUNCTION("""COMPUTED_VALUE"""),"CRV-USDC")</f>
        <v>#NAME?</v>
      </c>
      <c r="D490" s="100" t="e">
        <f ca="1">IFERROR(__xludf.DUMMYFUNCTION("""COMPUTED_VALUE"""),"0.6144")</f>
        <v>#NAME?</v>
      </c>
      <c r="E490" s="100" t="e">
        <f t="shared" ca="1" si="80"/>
        <v>#NAME?</v>
      </c>
      <c r="F490" s="100" t="e">
        <f t="shared" ca="1" si="80"/>
        <v>#NAME?</v>
      </c>
      <c r="G490" s="100" t="e">
        <f t="shared" ca="1" si="73"/>
        <v>#NAME?</v>
      </c>
      <c r="H490" s="100" t="e">
        <f t="shared" ca="1" si="74"/>
        <v>#NAME?</v>
      </c>
      <c r="I490" s="100" t="e">
        <f t="shared" ca="1" si="75"/>
        <v>#NAME?</v>
      </c>
      <c r="J490" s="100" t="e">
        <f t="shared" ca="1" si="76"/>
        <v>#NAME?</v>
      </c>
      <c r="K490" s="100" t="e">
        <f t="shared" ca="1" si="77"/>
        <v>#NAME?</v>
      </c>
      <c r="L490" s="100" t="e">
        <f t="shared" ca="1" si="78"/>
        <v>#NAME?</v>
      </c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</row>
    <row r="491" spans="1:27">
      <c r="A491" s="100" t="e">
        <f t="shared" ca="1" si="72"/>
        <v>#NAME?</v>
      </c>
      <c r="B491" s="100" t="e">
        <f ca="1">IFERROR(__xludf.DUMMYFUNCTION("""COMPUTED_VALUE"""),490)</f>
        <v>#NAME?</v>
      </c>
      <c r="C491" s="100" t="e">
        <f ca="1">IFERROR(__xludf.DUMMYFUNCTION("""COMPUTED_VALUE"""),"ME-USD")</f>
        <v>#NAME?</v>
      </c>
      <c r="D491" s="100" t="e">
        <f ca="1">IFERROR(__xludf.DUMMYFUNCTION("""COMPUTED_VALUE"""),"0.8")</f>
        <v>#NAME?</v>
      </c>
      <c r="E491" s="100" t="e">
        <f t="shared" ca="1" si="80"/>
        <v>#NAME?</v>
      </c>
      <c r="F491" s="100" t="e">
        <f t="shared" ca="1" si="80"/>
        <v>#NAME?</v>
      </c>
      <c r="G491" s="100" t="e">
        <f t="shared" ca="1" si="73"/>
        <v>#NAME?</v>
      </c>
      <c r="H491" s="100" t="e">
        <f t="shared" ca="1" si="74"/>
        <v>#NAME?</v>
      </c>
      <c r="I491" s="100" t="e">
        <f t="shared" ca="1" si="75"/>
        <v>#NAME?</v>
      </c>
      <c r="J491" s="100" t="e">
        <f t="shared" ca="1" si="76"/>
        <v>#NAME?</v>
      </c>
      <c r="K491" s="100" t="e">
        <f t="shared" ca="1" si="77"/>
        <v>#NAME?</v>
      </c>
      <c r="L491" s="100" t="e">
        <f t="shared" ca="1" si="78"/>
        <v>#NAME?</v>
      </c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</row>
    <row r="492" spans="1:27">
      <c r="A492" s="100" t="e">
        <f t="shared" ca="1" si="72"/>
        <v>#NAME?</v>
      </c>
      <c r="B492" s="100" t="e">
        <f ca="1">IFERROR(__xludf.DUMMYFUNCTION("""COMPUTED_VALUE"""),491)</f>
        <v>#NAME?</v>
      </c>
      <c r="C492" s="100" t="e">
        <f ca="1">IFERROR(__xludf.DUMMYFUNCTION("""COMPUTED_VALUE"""),"USDT-SGD")</f>
        <v>#NAME?</v>
      </c>
      <c r="D492" s="100" t="e">
        <f ca="1">IFERROR(__xludf.DUMMYFUNCTION("""COMPUTED_VALUE"""),"1.3097")</f>
        <v>#NAME?</v>
      </c>
      <c r="E492" s="100" t="e">
        <f t="shared" ca="1" si="80"/>
        <v>#NAME?</v>
      </c>
      <c r="F492" s="100" t="e">
        <f t="shared" ca="1" si="80"/>
        <v>#NAME?</v>
      </c>
      <c r="G492" s="100" t="e">
        <f t="shared" ca="1" si="73"/>
        <v>#NAME?</v>
      </c>
      <c r="H492" s="100" t="e">
        <f t="shared" ca="1" si="74"/>
        <v>#NAME?</v>
      </c>
      <c r="I492" s="100" t="e">
        <f t="shared" ca="1" si="75"/>
        <v>#NAME?</v>
      </c>
      <c r="J492" s="100" t="e">
        <f t="shared" ca="1" si="76"/>
        <v>#NAME?</v>
      </c>
      <c r="K492" s="100" t="e">
        <f t="shared" ca="1" si="77"/>
        <v>#NAME?</v>
      </c>
      <c r="L492" s="100" t="e">
        <f t="shared" ca="1" si="78"/>
        <v>#NAME?</v>
      </c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</row>
    <row r="493" spans="1:27">
      <c r="A493" s="100" t="e">
        <f t="shared" ca="1" si="72"/>
        <v>#NAME?</v>
      </c>
      <c r="B493" s="100" t="e">
        <f ca="1">IFERROR(__xludf.DUMMYFUNCTION("""COMPUTED_VALUE"""),492)</f>
        <v>#NAME?</v>
      </c>
      <c r="C493" s="100" t="e">
        <f ca="1">IFERROR(__xludf.DUMMYFUNCTION("""COMPUTED_VALUE"""),"LPT-USD")</f>
        <v>#NAME?</v>
      </c>
      <c r="D493" s="100" t="e">
        <f ca="1">IFERROR(__xludf.DUMMYFUNCTION("""COMPUTED_VALUE"""),"4.111")</f>
        <v>#NAME?</v>
      </c>
      <c r="E493" s="100" t="e">
        <f t="shared" ca="1" si="80"/>
        <v>#NAME?</v>
      </c>
      <c r="F493" s="100" t="e">
        <f t="shared" ca="1" si="80"/>
        <v>#NAME?</v>
      </c>
      <c r="G493" s="100" t="e">
        <f t="shared" ca="1" si="73"/>
        <v>#NAME?</v>
      </c>
      <c r="H493" s="100" t="e">
        <f t="shared" ca="1" si="74"/>
        <v>#NAME?</v>
      </c>
      <c r="I493" s="100" t="e">
        <f t="shared" ca="1" si="75"/>
        <v>#NAME?</v>
      </c>
      <c r="J493" s="100" t="e">
        <f t="shared" ca="1" si="76"/>
        <v>#NAME?</v>
      </c>
      <c r="K493" s="100" t="e">
        <f t="shared" ca="1" si="77"/>
        <v>#NAME?</v>
      </c>
      <c r="L493" s="100" t="e">
        <f t="shared" ca="1" si="78"/>
        <v>#NAME?</v>
      </c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</row>
    <row r="494" spans="1:27">
      <c r="A494" s="100" t="e">
        <f t="shared" ca="1" si="72"/>
        <v>#NAME?</v>
      </c>
      <c r="B494" s="100" t="e">
        <f ca="1">IFERROR(__xludf.DUMMYFUNCTION("""COMPUTED_VALUE"""),493)</f>
        <v>#NAME?</v>
      </c>
      <c r="C494" s="100" t="e">
        <f ca="1">IFERROR(__xludf.DUMMYFUNCTION("""COMPUTED_VALUE"""),"ZK-USD")</f>
        <v>#NAME?</v>
      </c>
      <c r="D494" s="100" t="e">
        <f ca="1">IFERROR(__xludf.DUMMYFUNCTION("""COMPUTED_VALUE"""),"0.05185")</f>
        <v>#NAME?</v>
      </c>
      <c r="E494" s="100" t="e">
        <f t="shared" ca="1" si="80"/>
        <v>#NAME?</v>
      </c>
      <c r="F494" s="100" t="e">
        <f t="shared" ca="1" si="80"/>
        <v>#NAME?</v>
      </c>
      <c r="G494" s="100" t="e">
        <f t="shared" ca="1" si="73"/>
        <v>#NAME?</v>
      </c>
      <c r="H494" s="100" t="e">
        <f t="shared" ca="1" si="74"/>
        <v>#NAME?</v>
      </c>
      <c r="I494" s="100" t="e">
        <f t="shared" ca="1" si="75"/>
        <v>#NAME?</v>
      </c>
      <c r="J494" s="100" t="e">
        <f t="shared" ca="1" si="76"/>
        <v>#NAME?</v>
      </c>
      <c r="K494" s="100" t="e">
        <f t="shared" ca="1" si="77"/>
        <v>#NAME?</v>
      </c>
      <c r="L494" s="100" t="e">
        <f t="shared" ca="1" si="78"/>
        <v>#NAME?</v>
      </c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</row>
    <row r="495" spans="1:27">
      <c r="A495" s="100" t="e">
        <f t="shared" ca="1" si="72"/>
        <v>#NAME?</v>
      </c>
      <c r="B495" s="100" t="e">
        <f ca="1">IFERROR(__xludf.DUMMYFUNCTION("""COMPUTED_VALUE"""),494)</f>
        <v>#NAME?</v>
      </c>
      <c r="C495" s="100" t="e">
        <f ca="1">IFERROR(__xludf.DUMMYFUNCTION("""COMPUTED_VALUE"""),"CATI-USDC")</f>
        <v>#NAME?</v>
      </c>
      <c r="D495" s="100" t="e">
        <f ca="1">IFERROR(__xludf.DUMMYFUNCTION("""COMPUTED_VALUE"""),"0.0838")</f>
        <v>#NAME?</v>
      </c>
      <c r="E495" s="100" t="e">
        <f t="shared" ca="1" si="80"/>
        <v>#NAME?</v>
      </c>
      <c r="F495" s="100" t="e">
        <f t="shared" ca="1" si="80"/>
        <v>#NAME?</v>
      </c>
      <c r="G495" s="100" t="e">
        <f t="shared" ca="1" si="73"/>
        <v>#NAME?</v>
      </c>
      <c r="H495" s="100" t="e">
        <f t="shared" ca="1" si="74"/>
        <v>#NAME?</v>
      </c>
      <c r="I495" s="100" t="e">
        <f t="shared" ca="1" si="75"/>
        <v>#NAME?</v>
      </c>
      <c r="J495" s="100" t="e">
        <f t="shared" ca="1" si="76"/>
        <v>#NAME?</v>
      </c>
      <c r="K495" s="100" t="e">
        <f t="shared" ca="1" si="77"/>
        <v>#NAME?</v>
      </c>
      <c r="L495" s="100" t="e">
        <f t="shared" ca="1" si="78"/>
        <v>#NAME?</v>
      </c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</row>
    <row r="496" spans="1:27">
      <c r="A496" s="100" t="e">
        <f t="shared" ca="1" si="72"/>
        <v>#NAME?</v>
      </c>
      <c r="B496" s="100" t="e">
        <f ca="1">IFERROR(__xludf.DUMMYFUNCTION("""COMPUTED_VALUE"""),495)</f>
        <v>#NAME?</v>
      </c>
      <c r="C496" s="100" t="e">
        <f ca="1">IFERROR(__xludf.DUMMYFUNCTION("""COMPUTED_VALUE"""),"RDNT-USDC")</f>
        <v>#NAME?</v>
      </c>
      <c r="D496" s="100" t="e">
        <f ca="1">IFERROR(__xludf.DUMMYFUNCTION("""COMPUTED_VALUE"""),"0.02124")</f>
        <v>#NAME?</v>
      </c>
      <c r="E496" s="100" t="e">
        <f t="shared" ca="1" si="80"/>
        <v>#NAME?</v>
      </c>
      <c r="F496" s="100" t="e">
        <f t="shared" ca="1" si="80"/>
        <v>#NAME?</v>
      </c>
      <c r="G496" s="100" t="e">
        <f t="shared" ca="1" si="73"/>
        <v>#NAME?</v>
      </c>
      <c r="H496" s="100" t="e">
        <f t="shared" ca="1" si="74"/>
        <v>#NAME?</v>
      </c>
      <c r="I496" s="100" t="e">
        <f t="shared" ca="1" si="75"/>
        <v>#NAME?</v>
      </c>
      <c r="J496" s="100" t="e">
        <f t="shared" ca="1" si="76"/>
        <v>#NAME?</v>
      </c>
      <c r="K496" s="100" t="e">
        <f t="shared" ca="1" si="77"/>
        <v>#NAME?</v>
      </c>
      <c r="L496" s="100" t="e">
        <f t="shared" ca="1" si="78"/>
        <v>#NAME?</v>
      </c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</row>
    <row r="497" spans="1:27">
      <c r="A497" s="100" t="e">
        <f t="shared" ca="1" si="72"/>
        <v>#NAME?</v>
      </c>
      <c r="B497" s="100" t="e">
        <f ca="1">IFERROR(__xludf.DUMMYFUNCTION("""COMPUTED_VALUE"""),496)</f>
        <v>#NAME?</v>
      </c>
      <c r="C497" s="100" t="e">
        <f ca="1">IFERROR(__xludf.DUMMYFUNCTION("""COMPUTED_VALUE"""),"GRT-USDC")</f>
        <v>#NAME?</v>
      </c>
      <c r="D497" s="100" t="e">
        <f ca="1">IFERROR(__xludf.DUMMYFUNCTION("""COMPUTED_VALUE"""),"0.0843")</f>
        <v>#NAME?</v>
      </c>
      <c r="E497" s="100" t="e">
        <f t="shared" ca="1" si="80"/>
        <v>#NAME?</v>
      </c>
      <c r="F497" s="100" t="e">
        <f t="shared" ca="1" si="80"/>
        <v>#NAME?</v>
      </c>
      <c r="G497" s="100" t="e">
        <f t="shared" ca="1" si="73"/>
        <v>#NAME?</v>
      </c>
      <c r="H497" s="100" t="e">
        <f t="shared" ca="1" si="74"/>
        <v>#NAME?</v>
      </c>
      <c r="I497" s="100" t="e">
        <f t="shared" ca="1" si="75"/>
        <v>#NAME?</v>
      </c>
      <c r="J497" s="100" t="e">
        <f t="shared" ca="1" si="76"/>
        <v>#NAME?</v>
      </c>
      <c r="K497" s="100" t="e">
        <f t="shared" ca="1" si="77"/>
        <v>#NAME?</v>
      </c>
      <c r="L497" s="100" t="e">
        <f t="shared" ca="1" si="78"/>
        <v>#NAME?</v>
      </c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</row>
    <row r="498" spans="1:27">
      <c r="A498" s="100" t="e">
        <f t="shared" ca="1" si="72"/>
        <v>#NAME?</v>
      </c>
      <c r="B498" s="100" t="e">
        <f ca="1">IFERROR(__xludf.DUMMYFUNCTION("""COMPUTED_VALUE"""),497)</f>
        <v>#NAME?</v>
      </c>
      <c r="C498" s="100" t="e">
        <f ca="1">IFERROR(__xludf.DUMMYFUNCTION("""COMPUTED_VALUE"""),"SOL-AUD")</f>
        <v>#NAME?</v>
      </c>
      <c r="D498" s="100" t="e">
        <f ca="1">IFERROR(__xludf.DUMMYFUNCTION("""COMPUTED_VALUE"""),"218.75")</f>
        <v>#NAME?</v>
      </c>
      <c r="E498" s="100" t="e">
        <f t="shared" ca="1" si="80"/>
        <v>#NAME?</v>
      </c>
      <c r="F498" s="100" t="e">
        <f t="shared" ca="1" si="80"/>
        <v>#NAME?</v>
      </c>
      <c r="G498" s="100" t="e">
        <f t="shared" ca="1" si="73"/>
        <v>#NAME?</v>
      </c>
      <c r="H498" s="100" t="e">
        <f t="shared" ca="1" si="74"/>
        <v>#NAME?</v>
      </c>
      <c r="I498" s="100" t="e">
        <f t="shared" ca="1" si="75"/>
        <v>#NAME?</v>
      </c>
      <c r="J498" s="100" t="e">
        <f t="shared" ca="1" si="76"/>
        <v>#NAME?</v>
      </c>
      <c r="K498" s="100" t="e">
        <f t="shared" ca="1" si="77"/>
        <v>#NAME?</v>
      </c>
      <c r="L498" s="100" t="e">
        <f t="shared" ca="1" si="78"/>
        <v>#NAME?</v>
      </c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</row>
    <row r="499" spans="1:27">
      <c r="A499" s="100" t="e">
        <f t="shared" ca="1" si="72"/>
        <v>#NAME?</v>
      </c>
      <c r="B499" s="100" t="e">
        <f ca="1">IFERROR(__xludf.DUMMYFUNCTION("""COMPUTED_VALUE"""),498)</f>
        <v>#NAME?</v>
      </c>
      <c r="C499" s="100" t="e">
        <f ca="1">IFERROR(__xludf.DUMMYFUNCTION("""COMPUTED_VALUE"""),"POLYDOGE-USDT")</f>
        <v>#NAME?</v>
      </c>
      <c r="D499" s="100" t="e">
        <f ca="1">IFERROR(__xludf.DUMMYFUNCTION("""COMPUTED_VALUE"""),"0.0000000054")</f>
        <v>#NAME?</v>
      </c>
      <c r="E499" s="100" t="e">
        <f t="shared" ca="1" si="80"/>
        <v>#NAME?</v>
      </c>
      <c r="F499" s="100" t="e">
        <f t="shared" ca="1" si="80"/>
        <v>#NAME?</v>
      </c>
      <c r="G499" s="100" t="e">
        <f t="shared" ca="1" si="73"/>
        <v>#NAME?</v>
      </c>
      <c r="H499" s="100" t="e">
        <f t="shared" ca="1" si="74"/>
        <v>#NAME?</v>
      </c>
      <c r="I499" s="100" t="e">
        <f t="shared" ca="1" si="75"/>
        <v>#NAME?</v>
      </c>
      <c r="J499" s="100" t="e">
        <f t="shared" ca="1" si="76"/>
        <v>#NAME?</v>
      </c>
      <c r="K499" s="100" t="e">
        <f t="shared" ca="1" si="77"/>
        <v>#NAME?</v>
      </c>
      <c r="L499" s="100" t="e">
        <f t="shared" ca="1" si="78"/>
        <v>#NAME?</v>
      </c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</row>
    <row r="500" spans="1:27">
      <c r="A500" s="100" t="e">
        <f t="shared" ca="1" si="72"/>
        <v>#NAME?</v>
      </c>
      <c r="B500" s="100" t="e">
        <f ca="1">IFERROR(__xludf.DUMMYFUNCTION("""COMPUTED_VALUE"""),499)</f>
        <v>#NAME?</v>
      </c>
      <c r="C500" s="100" t="e">
        <f ca="1">IFERROR(__xludf.DUMMYFUNCTION("""COMPUTED_VALUE"""),"MINA-USDT")</f>
        <v>#NAME?</v>
      </c>
      <c r="D500" s="100" t="e">
        <f ca="1">IFERROR(__xludf.DUMMYFUNCTION("""COMPUTED_VALUE"""),"0.219")</f>
        <v>#NAME?</v>
      </c>
      <c r="E500" s="100" t="e">
        <f t="shared" ca="1" si="80"/>
        <v>#NAME?</v>
      </c>
      <c r="F500" s="100" t="e">
        <f t="shared" ca="1" si="80"/>
        <v>#NAME?</v>
      </c>
      <c r="G500" s="100" t="e">
        <f t="shared" ca="1" si="73"/>
        <v>#NAME?</v>
      </c>
      <c r="H500" s="100" t="e">
        <f t="shared" ca="1" si="74"/>
        <v>#NAME?</v>
      </c>
      <c r="I500" s="100" t="e">
        <f t="shared" ca="1" si="75"/>
        <v>#NAME?</v>
      </c>
      <c r="J500" s="100" t="e">
        <f t="shared" ca="1" si="76"/>
        <v>#NAME?</v>
      </c>
      <c r="K500" s="100" t="e">
        <f t="shared" ca="1" si="77"/>
        <v>#NAME?</v>
      </c>
      <c r="L500" s="100" t="e">
        <f t="shared" ca="1" si="78"/>
        <v>#NAME?</v>
      </c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</row>
    <row r="501" spans="1:27">
      <c r="A501" s="100" t="e">
        <f t="shared" ca="1" si="72"/>
        <v>#NAME?</v>
      </c>
      <c r="B501" s="100" t="e">
        <f ca="1">IFERROR(__xludf.DUMMYFUNCTION("""COMPUTED_VALUE"""),500)</f>
        <v>#NAME?</v>
      </c>
      <c r="C501" s="100" t="e">
        <f ca="1">IFERROR(__xludf.DUMMYFUNCTION("""COMPUTED_VALUE"""),"MANA-USD")</f>
        <v>#NAME?</v>
      </c>
      <c r="D501" s="100" t="e">
        <f ca="1">IFERROR(__xludf.DUMMYFUNCTION("""COMPUTED_VALUE"""),"0.3035")</f>
        <v>#NAME?</v>
      </c>
      <c r="E501" s="100" t="e">
        <f t="shared" ca="1" si="80"/>
        <v>#NAME?</v>
      </c>
      <c r="F501" s="100" t="e">
        <f t="shared" ca="1" si="80"/>
        <v>#NAME?</v>
      </c>
      <c r="G501" s="100" t="e">
        <f t="shared" ca="1" si="73"/>
        <v>#NAME?</v>
      </c>
      <c r="H501" s="100" t="e">
        <f t="shared" ca="1" si="74"/>
        <v>#NAME?</v>
      </c>
      <c r="I501" s="100" t="e">
        <f t="shared" ca="1" si="75"/>
        <v>#NAME?</v>
      </c>
      <c r="J501" s="100" t="e">
        <f t="shared" ca="1" si="76"/>
        <v>#NAME?</v>
      </c>
      <c r="K501" s="100" t="e">
        <f t="shared" ca="1" si="77"/>
        <v>#NAME?</v>
      </c>
      <c r="L501" s="100" t="e">
        <f t="shared" ca="1" si="78"/>
        <v>#NAME?</v>
      </c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</row>
    <row r="502" spans="1:27">
      <c r="A502" s="100" t="e">
        <f t="shared" ca="1" si="72"/>
        <v>#NAME?</v>
      </c>
      <c r="B502" s="100" t="e">
        <f ca="1">IFERROR(__xludf.DUMMYFUNCTION("""COMPUTED_VALUE"""),501)</f>
        <v>#NAME?</v>
      </c>
      <c r="C502" s="100" t="e">
        <f ca="1">IFERROR(__xludf.DUMMYFUNCTION("""COMPUTED_VALUE"""),"DIA-USD")</f>
        <v>#NAME?</v>
      </c>
      <c r="D502" s="100" t="e">
        <f ca="1">IFERROR(__xludf.DUMMYFUNCTION("""COMPUTED_VALUE"""),"0.404")</f>
        <v>#NAME?</v>
      </c>
      <c r="E502" s="100" t="e">
        <f t="shared" ref="E502:F521" ca="1" si="81">IFERROR(__xludf.DUMMYFUNCTION("""COMPUTED_VALUE"""),"-")</f>
        <v>#NAME?</v>
      </c>
      <c r="F502" s="100" t="e">
        <f t="shared" ca="1" si="81"/>
        <v>#NAME?</v>
      </c>
      <c r="G502" s="100" t="e">
        <f t="shared" ca="1" si="73"/>
        <v>#NAME?</v>
      </c>
      <c r="H502" s="100" t="e">
        <f t="shared" ca="1" si="74"/>
        <v>#NAME?</v>
      </c>
      <c r="I502" s="100" t="e">
        <f t="shared" ca="1" si="75"/>
        <v>#NAME?</v>
      </c>
      <c r="J502" s="100" t="e">
        <f t="shared" ca="1" si="76"/>
        <v>#NAME?</v>
      </c>
      <c r="K502" s="100" t="e">
        <f t="shared" ca="1" si="77"/>
        <v>#NAME?</v>
      </c>
      <c r="L502" s="100" t="e">
        <f t="shared" ca="1" si="78"/>
        <v>#NAME?</v>
      </c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</row>
    <row r="503" spans="1:27">
      <c r="A503" s="100" t="e">
        <f t="shared" ca="1" si="72"/>
        <v>#NAME?</v>
      </c>
      <c r="B503" s="100" t="e">
        <f ca="1">IFERROR(__xludf.DUMMYFUNCTION("""COMPUTED_VALUE"""),502)</f>
        <v>#NAME?</v>
      </c>
      <c r="C503" s="100" t="e">
        <f ca="1">IFERROR(__xludf.DUMMYFUNCTION("""COMPUTED_VALUE"""),"PHA-USDT")</f>
        <v>#NAME?</v>
      </c>
      <c r="D503" s="100" t="e">
        <f ca="1">IFERROR(__xludf.DUMMYFUNCTION("""COMPUTED_VALUE"""),"0.0996")</f>
        <v>#NAME?</v>
      </c>
      <c r="E503" s="100" t="e">
        <f t="shared" ca="1" si="81"/>
        <v>#NAME?</v>
      </c>
      <c r="F503" s="100" t="e">
        <f t="shared" ca="1" si="81"/>
        <v>#NAME?</v>
      </c>
      <c r="G503" s="100" t="e">
        <f t="shared" ca="1" si="73"/>
        <v>#NAME?</v>
      </c>
      <c r="H503" s="100" t="e">
        <f t="shared" ca="1" si="74"/>
        <v>#NAME?</v>
      </c>
      <c r="I503" s="100" t="e">
        <f t="shared" ca="1" si="75"/>
        <v>#NAME?</v>
      </c>
      <c r="J503" s="100" t="e">
        <f t="shared" ca="1" si="76"/>
        <v>#NAME?</v>
      </c>
      <c r="K503" s="100" t="e">
        <f t="shared" ca="1" si="77"/>
        <v>#NAME?</v>
      </c>
      <c r="L503" s="100" t="e">
        <f t="shared" ca="1" si="78"/>
        <v>#NAME?</v>
      </c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</row>
    <row r="504" spans="1:27">
      <c r="A504" s="100" t="e">
        <f t="shared" ca="1" si="72"/>
        <v>#NAME?</v>
      </c>
      <c r="B504" s="100" t="e">
        <f ca="1">IFERROR(__xludf.DUMMYFUNCTION("""COMPUTED_VALUE"""),503)</f>
        <v>#NAME?</v>
      </c>
      <c r="C504" s="100" t="e">
        <f ca="1">IFERROR(__xludf.DUMMYFUNCTION("""COMPUTED_VALUE"""),"GRT-USDT")</f>
        <v>#NAME?</v>
      </c>
      <c r="D504" s="100" t="e">
        <f ca="1">IFERROR(__xludf.DUMMYFUNCTION("""COMPUTED_VALUE"""),"0.08396")</f>
        <v>#NAME?</v>
      </c>
      <c r="E504" s="100" t="e">
        <f t="shared" ca="1" si="81"/>
        <v>#NAME?</v>
      </c>
      <c r="F504" s="100" t="e">
        <f t="shared" ca="1" si="81"/>
        <v>#NAME?</v>
      </c>
      <c r="G504" s="100" t="e">
        <f t="shared" ca="1" si="73"/>
        <v>#NAME?</v>
      </c>
      <c r="H504" s="100" t="e">
        <f t="shared" ca="1" si="74"/>
        <v>#NAME?</v>
      </c>
      <c r="I504" s="100" t="e">
        <f t="shared" ca="1" si="75"/>
        <v>#NAME?</v>
      </c>
      <c r="J504" s="100" t="e">
        <f t="shared" ca="1" si="76"/>
        <v>#NAME?</v>
      </c>
      <c r="K504" s="100" t="e">
        <f t="shared" ca="1" si="77"/>
        <v>#NAME?</v>
      </c>
      <c r="L504" s="100" t="e">
        <f t="shared" ca="1" si="78"/>
        <v>#NAME?</v>
      </c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</row>
    <row r="505" spans="1:27">
      <c r="A505" s="100" t="e">
        <f t="shared" ca="1" si="72"/>
        <v>#NAME?</v>
      </c>
      <c r="B505" s="100" t="e">
        <f ca="1">IFERROR(__xludf.DUMMYFUNCTION("""COMPUTED_VALUE"""),504)</f>
        <v>#NAME?</v>
      </c>
      <c r="C505" s="100" t="e">
        <f ca="1">IFERROR(__xludf.DUMMYFUNCTION("""COMPUTED_VALUE"""),"LUNA-USD")</f>
        <v>#NAME?</v>
      </c>
      <c r="D505" s="100" t="e">
        <f ca="1">IFERROR(__xludf.DUMMYFUNCTION("""COMPUTED_VALUE"""),"0.1626")</f>
        <v>#NAME?</v>
      </c>
      <c r="E505" s="100" t="e">
        <f t="shared" ca="1" si="81"/>
        <v>#NAME?</v>
      </c>
      <c r="F505" s="100" t="e">
        <f t="shared" ca="1" si="81"/>
        <v>#NAME?</v>
      </c>
      <c r="G505" s="100" t="e">
        <f t="shared" ca="1" si="73"/>
        <v>#NAME?</v>
      </c>
      <c r="H505" s="100" t="e">
        <f t="shared" ca="1" si="74"/>
        <v>#NAME?</v>
      </c>
      <c r="I505" s="100" t="e">
        <f t="shared" ca="1" si="75"/>
        <v>#NAME?</v>
      </c>
      <c r="J505" s="100" t="e">
        <f t="shared" ca="1" si="76"/>
        <v>#NAME?</v>
      </c>
      <c r="K505" s="100" t="e">
        <f t="shared" ca="1" si="77"/>
        <v>#NAME?</v>
      </c>
      <c r="L505" s="100" t="e">
        <f t="shared" ca="1" si="78"/>
        <v>#NAME?</v>
      </c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</row>
    <row r="506" spans="1:27">
      <c r="A506" s="100" t="e">
        <f t="shared" ca="1" si="72"/>
        <v>#NAME?</v>
      </c>
      <c r="B506" s="100" t="e">
        <f ca="1">IFERROR(__xludf.DUMMYFUNCTION("""COMPUTED_VALUE"""),505)</f>
        <v>#NAME?</v>
      </c>
      <c r="C506" s="100" t="e">
        <f ca="1">IFERROR(__xludf.DUMMYFUNCTION("""COMPUTED_VALUE"""),"YGG-USDC")</f>
        <v>#NAME?</v>
      </c>
      <c r="D506" s="100" t="e">
        <f ca="1">IFERROR(__xludf.DUMMYFUNCTION("""COMPUTED_VALUE"""),"0.1822")</f>
        <v>#NAME?</v>
      </c>
      <c r="E506" s="100" t="e">
        <f t="shared" ca="1" si="81"/>
        <v>#NAME?</v>
      </c>
      <c r="F506" s="100" t="e">
        <f t="shared" ca="1" si="81"/>
        <v>#NAME?</v>
      </c>
      <c r="G506" s="100" t="e">
        <f t="shared" ca="1" si="73"/>
        <v>#NAME?</v>
      </c>
      <c r="H506" s="100" t="e">
        <f t="shared" ca="1" si="74"/>
        <v>#NAME?</v>
      </c>
      <c r="I506" s="100" t="e">
        <f t="shared" ca="1" si="75"/>
        <v>#NAME?</v>
      </c>
      <c r="J506" s="100" t="e">
        <f t="shared" ca="1" si="76"/>
        <v>#NAME?</v>
      </c>
      <c r="K506" s="100" t="e">
        <f t="shared" ca="1" si="77"/>
        <v>#NAME?</v>
      </c>
      <c r="L506" s="100" t="e">
        <f t="shared" ca="1" si="78"/>
        <v>#NAME?</v>
      </c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</row>
    <row r="507" spans="1:27">
      <c r="A507" s="100" t="e">
        <f t="shared" ca="1" si="72"/>
        <v>#NAME?</v>
      </c>
      <c r="B507" s="100" t="e">
        <f ca="1">IFERROR(__xludf.DUMMYFUNCTION("""COMPUTED_VALUE"""),506)</f>
        <v>#NAME?</v>
      </c>
      <c r="C507" s="100" t="e">
        <f ca="1">IFERROR(__xludf.DUMMYFUNCTION("""COMPUTED_VALUE"""),"MEW-USDT")</f>
        <v>#NAME?</v>
      </c>
      <c r="D507" s="100" t="e">
        <f ca="1">IFERROR(__xludf.DUMMYFUNCTION("""COMPUTED_VALUE"""),"0.00259")</f>
        <v>#NAME?</v>
      </c>
      <c r="E507" s="100" t="e">
        <f t="shared" ca="1" si="81"/>
        <v>#NAME?</v>
      </c>
      <c r="F507" s="100" t="e">
        <f t="shared" ca="1" si="81"/>
        <v>#NAME?</v>
      </c>
      <c r="G507" s="100" t="e">
        <f t="shared" ca="1" si="73"/>
        <v>#NAME?</v>
      </c>
      <c r="H507" s="100" t="e">
        <f t="shared" ca="1" si="74"/>
        <v>#NAME?</v>
      </c>
      <c r="I507" s="100" t="e">
        <f t="shared" ca="1" si="75"/>
        <v>#NAME?</v>
      </c>
      <c r="J507" s="100" t="e">
        <f t="shared" ca="1" si="76"/>
        <v>#NAME?</v>
      </c>
      <c r="K507" s="100" t="e">
        <f t="shared" ca="1" si="77"/>
        <v>#NAME?</v>
      </c>
      <c r="L507" s="100" t="e">
        <f t="shared" ca="1" si="78"/>
        <v>#NAME?</v>
      </c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</row>
    <row r="508" spans="1:27">
      <c r="A508" s="100" t="e">
        <f t="shared" ca="1" si="72"/>
        <v>#NAME?</v>
      </c>
      <c r="B508" s="100" t="e">
        <f ca="1">IFERROR(__xludf.DUMMYFUNCTION("""COMPUTED_VALUE"""),507)</f>
        <v>#NAME?</v>
      </c>
      <c r="C508" s="100" t="e">
        <f ca="1">IFERROR(__xludf.DUMMYFUNCTION("""COMPUTED_VALUE"""),"XNO-USD")</f>
        <v>#NAME?</v>
      </c>
      <c r="D508" s="100" t="e">
        <f ca="1">IFERROR(__xludf.DUMMYFUNCTION("""COMPUTED_VALUE"""),"0.9353")</f>
        <v>#NAME?</v>
      </c>
      <c r="E508" s="100" t="e">
        <f t="shared" ca="1" si="81"/>
        <v>#NAME?</v>
      </c>
      <c r="F508" s="100" t="e">
        <f t="shared" ca="1" si="81"/>
        <v>#NAME?</v>
      </c>
      <c r="G508" s="100" t="e">
        <f t="shared" ca="1" si="73"/>
        <v>#NAME?</v>
      </c>
      <c r="H508" s="100" t="e">
        <f t="shared" ca="1" si="74"/>
        <v>#NAME?</v>
      </c>
      <c r="I508" s="100" t="e">
        <f t="shared" ca="1" si="75"/>
        <v>#NAME?</v>
      </c>
      <c r="J508" s="100" t="e">
        <f t="shared" ca="1" si="76"/>
        <v>#NAME?</v>
      </c>
      <c r="K508" s="100" t="e">
        <f t="shared" ca="1" si="77"/>
        <v>#NAME?</v>
      </c>
      <c r="L508" s="100" t="e">
        <f t="shared" ca="1" si="78"/>
        <v>#NAME?</v>
      </c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</row>
    <row r="509" spans="1:27">
      <c r="A509" s="100" t="e">
        <f t="shared" ca="1" si="72"/>
        <v>#NAME?</v>
      </c>
      <c r="B509" s="100" t="e">
        <f ca="1">IFERROR(__xludf.DUMMYFUNCTION("""COMPUTED_VALUE"""),508)</f>
        <v>#NAME?</v>
      </c>
      <c r="C509" s="100" t="e">
        <f ca="1">IFERROR(__xludf.DUMMYFUNCTION("""COMPUTED_VALUE"""),"SKL-USDT")</f>
        <v>#NAME?</v>
      </c>
      <c r="D509" s="100" t="e">
        <f ca="1">IFERROR(__xludf.DUMMYFUNCTION("""COMPUTED_VALUE"""),"0.0222")</f>
        <v>#NAME?</v>
      </c>
      <c r="E509" s="100" t="e">
        <f t="shared" ca="1" si="81"/>
        <v>#NAME?</v>
      </c>
      <c r="F509" s="100" t="e">
        <f t="shared" ca="1" si="81"/>
        <v>#NAME?</v>
      </c>
      <c r="G509" s="100" t="e">
        <f t="shared" ca="1" si="73"/>
        <v>#NAME?</v>
      </c>
      <c r="H509" s="100" t="e">
        <f t="shared" ca="1" si="74"/>
        <v>#NAME?</v>
      </c>
      <c r="I509" s="100" t="e">
        <f t="shared" ca="1" si="75"/>
        <v>#NAME?</v>
      </c>
      <c r="J509" s="100" t="e">
        <f t="shared" ca="1" si="76"/>
        <v>#NAME?</v>
      </c>
      <c r="K509" s="100" t="e">
        <f t="shared" ca="1" si="77"/>
        <v>#NAME?</v>
      </c>
      <c r="L509" s="100" t="e">
        <f t="shared" ca="1" si="78"/>
        <v>#NAME?</v>
      </c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</row>
    <row r="510" spans="1:27">
      <c r="A510" s="100" t="e">
        <f t="shared" ca="1" si="72"/>
        <v>#NAME?</v>
      </c>
      <c r="B510" s="100" t="e">
        <f ca="1">IFERROR(__xludf.DUMMYFUNCTION("""COMPUTED_VALUE"""),509)</f>
        <v>#NAME?</v>
      </c>
      <c r="C510" s="100" t="e">
        <f ca="1">IFERROR(__xludf.DUMMYFUNCTION("""COMPUTED_VALUE"""),"MXC-USD")</f>
        <v>#NAME?</v>
      </c>
      <c r="D510" s="100" t="e">
        <f ca="1">IFERROR(__xludf.DUMMYFUNCTION("""COMPUTED_VALUE"""),"0.000979")</f>
        <v>#NAME?</v>
      </c>
      <c r="E510" s="100" t="e">
        <f t="shared" ca="1" si="81"/>
        <v>#NAME?</v>
      </c>
      <c r="F510" s="100" t="e">
        <f t="shared" ca="1" si="81"/>
        <v>#NAME?</v>
      </c>
      <c r="G510" s="100" t="e">
        <f t="shared" ca="1" si="73"/>
        <v>#NAME?</v>
      </c>
      <c r="H510" s="100" t="e">
        <f t="shared" ca="1" si="74"/>
        <v>#NAME?</v>
      </c>
      <c r="I510" s="100" t="e">
        <f t="shared" ca="1" si="75"/>
        <v>#NAME?</v>
      </c>
      <c r="J510" s="100" t="e">
        <f t="shared" ca="1" si="76"/>
        <v>#NAME?</v>
      </c>
      <c r="K510" s="100" t="e">
        <f t="shared" ca="1" si="77"/>
        <v>#NAME?</v>
      </c>
      <c r="L510" s="100" t="e">
        <f t="shared" ca="1" si="78"/>
        <v>#NAME?</v>
      </c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</row>
    <row r="511" spans="1:27">
      <c r="A511" s="100" t="e">
        <f t="shared" ca="1" si="72"/>
        <v>#NAME?</v>
      </c>
      <c r="B511" s="100" t="e">
        <f ca="1">IFERROR(__xludf.DUMMYFUNCTION("""COMPUTED_VALUE"""),510)</f>
        <v>#NAME?</v>
      </c>
      <c r="C511" s="100" t="e">
        <f ca="1">IFERROR(__xludf.DUMMYFUNCTION("""COMPUTED_VALUE"""),"TRUMP-AED")</f>
        <v>#NAME?</v>
      </c>
      <c r="D511" s="100" t="e">
        <f ca="1">IFERROR(__xludf.DUMMYFUNCTION("""COMPUTED_VALUE"""),"29.9")</f>
        <v>#NAME?</v>
      </c>
      <c r="E511" s="100" t="e">
        <f t="shared" ca="1" si="81"/>
        <v>#NAME?</v>
      </c>
      <c r="F511" s="100" t="e">
        <f t="shared" ca="1" si="81"/>
        <v>#NAME?</v>
      </c>
      <c r="G511" s="100" t="e">
        <f t="shared" ca="1" si="73"/>
        <v>#NAME?</v>
      </c>
      <c r="H511" s="100" t="e">
        <f t="shared" ca="1" si="74"/>
        <v>#NAME?</v>
      </c>
      <c r="I511" s="100" t="e">
        <f t="shared" ca="1" si="75"/>
        <v>#NAME?</v>
      </c>
      <c r="J511" s="100" t="e">
        <f t="shared" ca="1" si="76"/>
        <v>#NAME?</v>
      </c>
      <c r="K511" s="100" t="e">
        <f t="shared" ca="1" si="77"/>
        <v>#NAME?</v>
      </c>
      <c r="L511" s="100" t="e">
        <f t="shared" ca="1" si="78"/>
        <v>#NAME?</v>
      </c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</row>
    <row r="512" spans="1:27">
      <c r="A512" s="100" t="e">
        <f t="shared" ca="1" si="72"/>
        <v>#NAME?</v>
      </c>
      <c r="B512" s="100" t="e">
        <f ca="1">IFERROR(__xludf.DUMMYFUNCTION("""COMPUTED_VALUE"""),511)</f>
        <v>#NAME?</v>
      </c>
      <c r="C512" s="100" t="e">
        <f ca="1">IFERROR(__xludf.DUMMYFUNCTION("""COMPUTED_VALUE"""),"NMR-USD")</f>
        <v>#NAME?</v>
      </c>
      <c r="D512" s="100" t="e">
        <f ca="1">IFERROR(__xludf.DUMMYFUNCTION("""COMPUTED_VALUE"""),"7.629")</f>
        <v>#NAME?</v>
      </c>
      <c r="E512" s="100" t="e">
        <f t="shared" ca="1" si="81"/>
        <v>#NAME?</v>
      </c>
      <c r="F512" s="100" t="e">
        <f t="shared" ca="1" si="81"/>
        <v>#NAME?</v>
      </c>
      <c r="G512" s="100" t="e">
        <f t="shared" ca="1" si="73"/>
        <v>#NAME?</v>
      </c>
      <c r="H512" s="100" t="e">
        <f t="shared" ca="1" si="74"/>
        <v>#NAME?</v>
      </c>
      <c r="I512" s="100" t="e">
        <f t="shared" ca="1" si="75"/>
        <v>#NAME?</v>
      </c>
      <c r="J512" s="100" t="e">
        <f t="shared" ca="1" si="76"/>
        <v>#NAME?</v>
      </c>
      <c r="K512" s="100" t="e">
        <f t="shared" ca="1" si="77"/>
        <v>#NAME?</v>
      </c>
      <c r="L512" s="100" t="e">
        <f t="shared" ca="1" si="78"/>
        <v>#NAME?</v>
      </c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</row>
    <row r="513" spans="1:27">
      <c r="A513" s="100" t="e">
        <f t="shared" ca="1" si="72"/>
        <v>#NAME?</v>
      </c>
      <c r="B513" s="100" t="e">
        <f ca="1">IFERROR(__xludf.DUMMYFUNCTION("""COMPUTED_VALUE"""),512)</f>
        <v>#NAME?</v>
      </c>
      <c r="C513" s="100" t="e">
        <f ca="1">IFERROR(__xludf.DUMMYFUNCTION("""COMPUTED_VALUE"""),"ARTY-USDT")</f>
        <v>#NAME?</v>
      </c>
      <c r="D513" s="100" t="e">
        <f ca="1">IFERROR(__xludf.DUMMYFUNCTION("""COMPUTED_VALUE"""),"0.2439")</f>
        <v>#NAME?</v>
      </c>
      <c r="E513" s="100" t="e">
        <f t="shared" ca="1" si="81"/>
        <v>#NAME?</v>
      </c>
      <c r="F513" s="100" t="e">
        <f t="shared" ca="1" si="81"/>
        <v>#NAME?</v>
      </c>
      <c r="G513" s="100" t="e">
        <f t="shared" ca="1" si="73"/>
        <v>#NAME?</v>
      </c>
      <c r="H513" s="100" t="e">
        <f t="shared" ca="1" si="74"/>
        <v>#NAME?</v>
      </c>
      <c r="I513" s="100" t="e">
        <f t="shared" ca="1" si="75"/>
        <v>#NAME?</v>
      </c>
      <c r="J513" s="100" t="e">
        <f t="shared" ca="1" si="76"/>
        <v>#NAME?</v>
      </c>
      <c r="K513" s="100" t="e">
        <f t="shared" ca="1" si="77"/>
        <v>#NAME?</v>
      </c>
      <c r="L513" s="100" t="e">
        <f t="shared" ca="1" si="78"/>
        <v>#NAME?</v>
      </c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</row>
    <row r="514" spans="1:27">
      <c r="A514" s="100" t="e">
        <f t="shared" ref="A514:A571" ca="1" si="82">SUBSTITUTE(C514,"-","",)</f>
        <v>#NAME?</v>
      </c>
      <c r="B514" s="100" t="e">
        <f ca="1">IFERROR(__xludf.DUMMYFUNCTION("""COMPUTED_VALUE"""),513)</f>
        <v>#NAME?</v>
      </c>
      <c r="C514" s="100" t="e">
        <f ca="1">IFERROR(__xludf.DUMMYFUNCTION("""COMPUTED_VALUE"""),"NOT-USDT")</f>
        <v>#NAME?</v>
      </c>
      <c r="D514" s="100" t="e">
        <f ca="1">IFERROR(__xludf.DUMMYFUNCTION("""COMPUTED_VALUE"""),"0.001923")</f>
        <v>#NAME?</v>
      </c>
      <c r="E514" s="100" t="e">
        <f t="shared" ca="1" si="81"/>
        <v>#NAME?</v>
      </c>
      <c r="F514" s="100" t="e">
        <f t="shared" ca="1" si="81"/>
        <v>#NAME?</v>
      </c>
      <c r="G514" s="100" t="e">
        <f t="shared" ref="G514:G577" ca="1" si="83">IFERROR(__xludf.DUMMYFUNCTION("""COMPUTED_VALUE"""),20200)</f>
        <v>#NAME?</v>
      </c>
      <c r="H514" s="100" t="e">
        <f t="shared" ref="H514:H577" ca="1" si="84">IFERROR(__xludf.DUMMYFUNCTION("""COMPUTED_VALUE"""),2885)</f>
        <v>#NAME?</v>
      </c>
      <c r="I514" s="100" t="e">
        <f t="shared" ref="I514:I577" ca="1" si="85">IFERROR(__xludf.DUMMYFUNCTION("""COMPUTED_VALUE"""),663)</f>
        <v>#NAME?</v>
      </c>
      <c r="J514" s="100" t="e">
        <f t="shared" ref="J514:J577" ca="1" si="86">IFERROR(__xludf.DUMMYFUNCTION("""COMPUTED_VALUE"""),5817714)</f>
        <v>#NAME?</v>
      </c>
      <c r="K514" s="100" t="e">
        <f t="shared" ref="K514:K577" ca="1" si="87">IFERROR(__xludf.DUMMYFUNCTION("""COMPUTED_VALUE"""),"-")</f>
        <v>#NAME?</v>
      </c>
      <c r="L514" s="100" t="e">
        <f t="shared" ref="L514:L577" ca="1" si="88">IFERROR(__xludf.DUMMYFUNCTION("""COMPUTED_VALUE"""),"22.04.2025 12:32:49")</f>
        <v>#NAME?</v>
      </c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</row>
    <row r="515" spans="1:27">
      <c r="A515" s="100" t="e">
        <f t="shared" ca="1" si="82"/>
        <v>#NAME?</v>
      </c>
      <c r="B515" s="100" t="e">
        <f ca="1">IFERROR(__xludf.DUMMYFUNCTION("""COMPUTED_VALUE"""),514)</f>
        <v>#NAME?</v>
      </c>
      <c r="C515" s="100" t="e">
        <f ca="1">IFERROR(__xludf.DUMMYFUNCTION("""COMPUTED_VALUE"""),"GEAR-USD")</f>
        <v>#NAME?</v>
      </c>
      <c r="D515" s="100" t="e">
        <f ca="1">IFERROR(__xludf.DUMMYFUNCTION("""COMPUTED_VALUE"""),"0.003024")</f>
        <v>#NAME?</v>
      </c>
      <c r="E515" s="100" t="e">
        <f t="shared" ca="1" si="81"/>
        <v>#NAME?</v>
      </c>
      <c r="F515" s="100" t="e">
        <f t="shared" ca="1" si="81"/>
        <v>#NAME?</v>
      </c>
      <c r="G515" s="100" t="e">
        <f t="shared" ca="1" si="83"/>
        <v>#NAME?</v>
      </c>
      <c r="H515" s="100" t="e">
        <f t="shared" ca="1" si="84"/>
        <v>#NAME?</v>
      </c>
      <c r="I515" s="100" t="e">
        <f t="shared" ca="1" si="85"/>
        <v>#NAME?</v>
      </c>
      <c r="J515" s="100" t="e">
        <f t="shared" ca="1" si="86"/>
        <v>#NAME?</v>
      </c>
      <c r="K515" s="100" t="e">
        <f t="shared" ca="1" si="87"/>
        <v>#NAME?</v>
      </c>
      <c r="L515" s="100" t="e">
        <f t="shared" ca="1" si="88"/>
        <v>#NAME?</v>
      </c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</row>
    <row r="516" spans="1:27">
      <c r="A516" s="100" t="e">
        <f t="shared" ca="1" si="82"/>
        <v>#NAME?</v>
      </c>
      <c r="B516" s="100" t="e">
        <f ca="1">IFERROR(__xludf.DUMMYFUNCTION("""COMPUTED_VALUE"""),515)</f>
        <v>#NAME?</v>
      </c>
      <c r="C516" s="100" t="e">
        <f ca="1">IFERROR(__xludf.DUMMYFUNCTION("""COMPUTED_VALUE"""),"CAT-USD")</f>
        <v>#NAME?</v>
      </c>
      <c r="D516" s="100" t="e">
        <f ca="1">IFERROR(__xludf.DUMMYFUNCTION("""COMPUTED_VALUE"""),"0.000005614")</f>
        <v>#NAME?</v>
      </c>
      <c r="E516" s="100" t="e">
        <f t="shared" ca="1" si="81"/>
        <v>#NAME?</v>
      </c>
      <c r="F516" s="100" t="e">
        <f t="shared" ca="1" si="81"/>
        <v>#NAME?</v>
      </c>
      <c r="G516" s="100" t="e">
        <f t="shared" ca="1" si="83"/>
        <v>#NAME?</v>
      </c>
      <c r="H516" s="100" t="e">
        <f t="shared" ca="1" si="84"/>
        <v>#NAME?</v>
      </c>
      <c r="I516" s="100" t="e">
        <f t="shared" ca="1" si="85"/>
        <v>#NAME?</v>
      </c>
      <c r="J516" s="100" t="e">
        <f t="shared" ca="1" si="86"/>
        <v>#NAME?</v>
      </c>
      <c r="K516" s="100" t="e">
        <f t="shared" ca="1" si="87"/>
        <v>#NAME?</v>
      </c>
      <c r="L516" s="100" t="e">
        <f t="shared" ca="1" si="88"/>
        <v>#NAME?</v>
      </c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</row>
    <row r="517" spans="1:27">
      <c r="A517" s="100" t="e">
        <f t="shared" ca="1" si="82"/>
        <v>#NAME?</v>
      </c>
      <c r="B517" s="100" t="e">
        <f ca="1">IFERROR(__xludf.DUMMYFUNCTION("""COMPUTED_VALUE"""),516)</f>
        <v>#NAME?</v>
      </c>
      <c r="C517" s="100" t="e">
        <f ca="1">IFERROR(__xludf.DUMMYFUNCTION("""COMPUTED_VALUE"""),"HBAR-USDC")</f>
        <v>#NAME?</v>
      </c>
      <c r="D517" s="100" t="e">
        <f ca="1">IFERROR(__xludf.DUMMYFUNCTION("""COMPUTED_VALUE"""),"0.17291")</f>
        <v>#NAME?</v>
      </c>
      <c r="E517" s="100" t="e">
        <f t="shared" ca="1" si="81"/>
        <v>#NAME?</v>
      </c>
      <c r="F517" s="100" t="e">
        <f t="shared" ca="1" si="81"/>
        <v>#NAME?</v>
      </c>
      <c r="G517" s="100" t="e">
        <f t="shared" ca="1" si="83"/>
        <v>#NAME?</v>
      </c>
      <c r="H517" s="100" t="e">
        <f t="shared" ca="1" si="84"/>
        <v>#NAME?</v>
      </c>
      <c r="I517" s="100" t="e">
        <f t="shared" ca="1" si="85"/>
        <v>#NAME?</v>
      </c>
      <c r="J517" s="100" t="e">
        <f t="shared" ca="1" si="86"/>
        <v>#NAME?</v>
      </c>
      <c r="K517" s="100" t="e">
        <f t="shared" ca="1" si="87"/>
        <v>#NAME?</v>
      </c>
      <c r="L517" s="100" t="e">
        <f t="shared" ca="1" si="88"/>
        <v>#NAME?</v>
      </c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</row>
    <row r="518" spans="1:27">
      <c r="A518" s="100" t="e">
        <f t="shared" ca="1" si="82"/>
        <v>#NAME?</v>
      </c>
      <c r="B518" s="100" t="e">
        <f ca="1">IFERROR(__xludf.DUMMYFUNCTION("""COMPUTED_VALUE"""),517)</f>
        <v>#NAME?</v>
      </c>
      <c r="C518" s="100" t="e">
        <f ca="1">IFERROR(__xludf.DUMMYFUNCTION("""COMPUTED_VALUE"""),"LTC-USDC")</f>
        <v>#NAME?</v>
      </c>
      <c r="D518" s="100" t="e">
        <f ca="1">IFERROR(__xludf.DUMMYFUNCTION("""COMPUTED_VALUE"""),"79.77")</f>
        <v>#NAME?</v>
      </c>
      <c r="E518" s="100" t="e">
        <f t="shared" ca="1" si="81"/>
        <v>#NAME?</v>
      </c>
      <c r="F518" s="100" t="e">
        <f t="shared" ca="1" si="81"/>
        <v>#NAME?</v>
      </c>
      <c r="G518" s="100" t="e">
        <f t="shared" ca="1" si="83"/>
        <v>#NAME?</v>
      </c>
      <c r="H518" s="100" t="e">
        <f t="shared" ca="1" si="84"/>
        <v>#NAME?</v>
      </c>
      <c r="I518" s="100" t="e">
        <f t="shared" ca="1" si="85"/>
        <v>#NAME?</v>
      </c>
      <c r="J518" s="100" t="e">
        <f t="shared" ca="1" si="86"/>
        <v>#NAME?</v>
      </c>
      <c r="K518" s="100" t="e">
        <f t="shared" ca="1" si="87"/>
        <v>#NAME?</v>
      </c>
      <c r="L518" s="100" t="e">
        <f t="shared" ca="1" si="88"/>
        <v>#NAME?</v>
      </c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</row>
    <row r="519" spans="1:27">
      <c r="A519" s="100" t="e">
        <f t="shared" ca="1" si="82"/>
        <v>#NAME?</v>
      </c>
      <c r="B519" s="100" t="e">
        <f ca="1">IFERROR(__xludf.DUMMYFUNCTION("""COMPUTED_VALUE"""),518)</f>
        <v>#NAME?</v>
      </c>
      <c r="C519" s="100" t="e">
        <f ca="1">IFERROR(__xludf.DUMMYFUNCTION("""COMPUTED_VALUE"""),"RDNT-USDT")</f>
        <v>#NAME?</v>
      </c>
      <c r="D519" s="100" t="e">
        <f ca="1">IFERROR(__xludf.DUMMYFUNCTION("""COMPUTED_VALUE"""),"0.02094")</f>
        <v>#NAME?</v>
      </c>
      <c r="E519" s="100" t="e">
        <f t="shared" ca="1" si="81"/>
        <v>#NAME?</v>
      </c>
      <c r="F519" s="100" t="e">
        <f t="shared" ca="1" si="81"/>
        <v>#NAME?</v>
      </c>
      <c r="G519" s="100" t="e">
        <f t="shared" ca="1" si="83"/>
        <v>#NAME?</v>
      </c>
      <c r="H519" s="100" t="e">
        <f t="shared" ca="1" si="84"/>
        <v>#NAME?</v>
      </c>
      <c r="I519" s="100" t="e">
        <f t="shared" ca="1" si="85"/>
        <v>#NAME?</v>
      </c>
      <c r="J519" s="100" t="e">
        <f t="shared" ca="1" si="86"/>
        <v>#NAME?</v>
      </c>
      <c r="K519" s="100" t="e">
        <f t="shared" ca="1" si="87"/>
        <v>#NAME?</v>
      </c>
      <c r="L519" s="100" t="e">
        <f t="shared" ca="1" si="88"/>
        <v>#NAME?</v>
      </c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</row>
    <row r="520" spans="1:27">
      <c r="A520" s="100" t="e">
        <f t="shared" ca="1" si="82"/>
        <v>#NAME?</v>
      </c>
      <c r="B520" s="100" t="e">
        <f ca="1">IFERROR(__xludf.DUMMYFUNCTION("""COMPUTED_VALUE"""),519)</f>
        <v>#NAME?</v>
      </c>
      <c r="C520" s="100" t="e">
        <f ca="1">IFERROR(__xludf.DUMMYFUNCTION("""COMPUTED_VALUE"""),"CATI-USDT")</f>
        <v>#NAME?</v>
      </c>
      <c r="D520" s="100" t="e">
        <f ca="1">IFERROR(__xludf.DUMMYFUNCTION("""COMPUTED_VALUE"""),"0.08334")</f>
        <v>#NAME?</v>
      </c>
      <c r="E520" s="100" t="e">
        <f t="shared" ca="1" si="81"/>
        <v>#NAME?</v>
      </c>
      <c r="F520" s="100" t="e">
        <f t="shared" ca="1" si="81"/>
        <v>#NAME?</v>
      </c>
      <c r="G520" s="100" t="e">
        <f t="shared" ca="1" si="83"/>
        <v>#NAME?</v>
      </c>
      <c r="H520" s="100" t="e">
        <f t="shared" ca="1" si="84"/>
        <v>#NAME?</v>
      </c>
      <c r="I520" s="100" t="e">
        <f t="shared" ca="1" si="85"/>
        <v>#NAME?</v>
      </c>
      <c r="J520" s="100" t="e">
        <f t="shared" ca="1" si="86"/>
        <v>#NAME?</v>
      </c>
      <c r="K520" s="100" t="e">
        <f t="shared" ca="1" si="87"/>
        <v>#NAME?</v>
      </c>
      <c r="L520" s="100" t="e">
        <f t="shared" ca="1" si="88"/>
        <v>#NAME?</v>
      </c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</row>
    <row r="521" spans="1:27">
      <c r="A521" s="100" t="e">
        <f t="shared" ca="1" si="82"/>
        <v>#NAME?</v>
      </c>
      <c r="B521" s="100" t="e">
        <f ca="1">IFERROR(__xludf.DUMMYFUNCTION("""COMPUTED_VALUE"""),520)</f>
        <v>#NAME?</v>
      </c>
      <c r="C521" s="100" t="e">
        <f ca="1">IFERROR(__xludf.DUMMYFUNCTION("""COMPUTED_VALUE"""),"PRQ-USD")</f>
        <v>#NAME?</v>
      </c>
      <c r="D521" s="100" t="e">
        <f ca="1">IFERROR(__xludf.DUMMYFUNCTION("""COMPUTED_VALUE"""),"0.08514")</f>
        <v>#NAME?</v>
      </c>
      <c r="E521" s="100" t="e">
        <f t="shared" ca="1" si="81"/>
        <v>#NAME?</v>
      </c>
      <c r="F521" s="100" t="e">
        <f t="shared" ca="1" si="81"/>
        <v>#NAME?</v>
      </c>
      <c r="G521" s="100" t="e">
        <f t="shared" ca="1" si="83"/>
        <v>#NAME?</v>
      </c>
      <c r="H521" s="100" t="e">
        <f t="shared" ca="1" si="84"/>
        <v>#NAME?</v>
      </c>
      <c r="I521" s="100" t="e">
        <f t="shared" ca="1" si="85"/>
        <v>#NAME?</v>
      </c>
      <c r="J521" s="100" t="e">
        <f t="shared" ca="1" si="86"/>
        <v>#NAME?</v>
      </c>
      <c r="K521" s="100" t="e">
        <f t="shared" ca="1" si="87"/>
        <v>#NAME?</v>
      </c>
      <c r="L521" s="100" t="e">
        <f t="shared" ca="1" si="88"/>
        <v>#NAME?</v>
      </c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</row>
    <row r="522" spans="1:27">
      <c r="A522" s="100" t="e">
        <f t="shared" ca="1" si="82"/>
        <v>#NAME?</v>
      </c>
      <c r="B522" s="100" t="e">
        <f ca="1">IFERROR(__xludf.DUMMYFUNCTION("""COMPUTED_VALUE"""),521)</f>
        <v>#NAME?</v>
      </c>
      <c r="C522" s="100" t="e">
        <f ca="1">IFERROR(__xludf.DUMMYFUNCTION("""COMPUTED_VALUE"""),"WOO-USDT")</f>
        <v>#NAME?</v>
      </c>
      <c r="D522" s="100" t="e">
        <f ca="1">IFERROR(__xludf.DUMMYFUNCTION("""COMPUTED_VALUE"""),"0.06167")</f>
        <v>#NAME?</v>
      </c>
      <c r="E522" s="100" t="e">
        <f t="shared" ref="E522:F541" ca="1" si="89">IFERROR(__xludf.DUMMYFUNCTION("""COMPUTED_VALUE"""),"-")</f>
        <v>#NAME?</v>
      </c>
      <c r="F522" s="100" t="e">
        <f t="shared" ca="1" si="89"/>
        <v>#NAME?</v>
      </c>
      <c r="G522" s="100" t="e">
        <f t="shared" ca="1" si="83"/>
        <v>#NAME?</v>
      </c>
      <c r="H522" s="100" t="e">
        <f t="shared" ca="1" si="84"/>
        <v>#NAME?</v>
      </c>
      <c r="I522" s="100" t="e">
        <f t="shared" ca="1" si="85"/>
        <v>#NAME?</v>
      </c>
      <c r="J522" s="100" t="e">
        <f t="shared" ca="1" si="86"/>
        <v>#NAME?</v>
      </c>
      <c r="K522" s="100" t="e">
        <f t="shared" ca="1" si="87"/>
        <v>#NAME?</v>
      </c>
      <c r="L522" s="100" t="e">
        <f t="shared" ca="1" si="88"/>
        <v>#NAME?</v>
      </c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</row>
    <row r="523" spans="1:27">
      <c r="A523" s="100" t="e">
        <f t="shared" ca="1" si="82"/>
        <v>#NAME?</v>
      </c>
      <c r="B523" s="100" t="e">
        <f ca="1">IFERROR(__xludf.DUMMYFUNCTION("""COMPUTED_VALUE"""),522)</f>
        <v>#NAME?</v>
      </c>
      <c r="C523" s="100" t="e">
        <f ca="1">IFERROR(__xludf.DUMMYFUNCTION("""COMPUTED_VALUE"""),"RACA-USDT")</f>
        <v>#NAME?</v>
      </c>
      <c r="D523" s="100" t="e">
        <f ca="1">IFERROR(__xludf.DUMMYFUNCTION("""COMPUTED_VALUE"""),"0.00008729")</f>
        <v>#NAME?</v>
      </c>
      <c r="E523" s="100" t="e">
        <f t="shared" ca="1" si="89"/>
        <v>#NAME?</v>
      </c>
      <c r="F523" s="100" t="e">
        <f t="shared" ca="1" si="89"/>
        <v>#NAME?</v>
      </c>
      <c r="G523" s="100" t="e">
        <f t="shared" ca="1" si="83"/>
        <v>#NAME?</v>
      </c>
      <c r="H523" s="100" t="e">
        <f t="shared" ca="1" si="84"/>
        <v>#NAME?</v>
      </c>
      <c r="I523" s="100" t="e">
        <f t="shared" ca="1" si="85"/>
        <v>#NAME?</v>
      </c>
      <c r="J523" s="100" t="e">
        <f t="shared" ca="1" si="86"/>
        <v>#NAME?</v>
      </c>
      <c r="K523" s="100" t="e">
        <f t="shared" ca="1" si="87"/>
        <v>#NAME?</v>
      </c>
      <c r="L523" s="100" t="e">
        <f t="shared" ca="1" si="88"/>
        <v>#NAME?</v>
      </c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</row>
    <row r="524" spans="1:27">
      <c r="A524" s="100" t="e">
        <f t="shared" ca="1" si="82"/>
        <v>#NAME?</v>
      </c>
      <c r="B524" s="100" t="e">
        <f ca="1">IFERROR(__xludf.DUMMYFUNCTION("""COMPUTED_VALUE"""),523)</f>
        <v>#NAME?</v>
      </c>
      <c r="C524" s="100" t="e">
        <f ca="1">IFERROR(__xludf.DUMMYFUNCTION("""COMPUTED_VALUE"""),"BAL-EUR")</f>
        <v>#NAME?</v>
      </c>
      <c r="D524" s="100" t="e">
        <f ca="1">IFERROR(__xludf.DUMMYFUNCTION("""COMPUTED_VALUE"""),"0.797")</f>
        <v>#NAME?</v>
      </c>
      <c r="E524" s="100" t="e">
        <f t="shared" ca="1" si="89"/>
        <v>#NAME?</v>
      </c>
      <c r="F524" s="100" t="e">
        <f t="shared" ca="1" si="89"/>
        <v>#NAME?</v>
      </c>
      <c r="G524" s="100" t="e">
        <f t="shared" ca="1" si="83"/>
        <v>#NAME?</v>
      </c>
      <c r="H524" s="100" t="e">
        <f t="shared" ca="1" si="84"/>
        <v>#NAME?</v>
      </c>
      <c r="I524" s="100" t="e">
        <f t="shared" ca="1" si="85"/>
        <v>#NAME?</v>
      </c>
      <c r="J524" s="100" t="e">
        <f t="shared" ca="1" si="86"/>
        <v>#NAME?</v>
      </c>
      <c r="K524" s="100" t="e">
        <f t="shared" ca="1" si="87"/>
        <v>#NAME?</v>
      </c>
      <c r="L524" s="100" t="e">
        <f t="shared" ca="1" si="88"/>
        <v>#NAME?</v>
      </c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</row>
    <row r="525" spans="1:27">
      <c r="A525" s="100" t="e">
        <f t="shared" ca="1" si="82"/>
        <v>#NAME?</v>
      </c>
      <c r="B525" s="100" t="e">
        <f ca="1">IFERROR(__xludf.DUMMYFUNCTION("""COMPUTED_VALUE"""),524)</f>
        <v>#NAME?</v>
      </c>
      <c r="C525" s="100" t="e">
        <f ca="1">IFERROR(__xludf.DUMMYFUNCTION("""COMPUTED_VALUE"""),"ARG-USDT")</f>
        <v>#NAME?</v>
      </c>
      <c r="D525" s="100" t="e">
        <f ca="1">IFERROR(__xludf.DUMMYFUNCTION("""COMPUTED_VALUE"""),"0.6515")</f>
        <v>#NAME?</v>
      </c>
      <c r="E525" s="100" t="e">
        <f t="shared" ca="1" si="89"/>
        <v>#NAME?</v>
      </c>
      <c r="F525" s="100" t="e">
        <f t="shared" ca="1" si="89"/>
        <v>#NAME?</v>
      </c>
      <c r="G525" s="100" t="e">
        <f t="shared" ca="1" si="83"/>
        <v>#NAME?</v>
      </c>
      <c r="H525" s="100" t="e">
        <f t="shared" ca="1" si="84"/>
        <v>#NAME?</v>
      </c>
      <c r="I525" s="100" t="e">
        <f t="shared" ca="1" si="85"/>
        <v>#NAME?</v>
      </c>
      <c r="J525" s="100" t="e">
        <f t="shared" ca="1" si="86"/>
        <v>#NAME?</v>
      </c>
      <c r="K525" s="100" t="e">
        <f t="shared" ca="1" si="87"/>
        <v>#NAME?</v>
      </c>
      <c r="L525" s="100" t="e">
        <f t="shared" ca="1" si="88"/>
        <v>#NAME?</v>
      </c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</row>
    <row r="526" spans="1:27">
      <c r="A526" s="100" t="e">
        <f t="shared" ca="1" si="82"/>
        <v>#NAME?</v>
      </c>
      <c r="B526" s="100" t="e">
        <f ca="1">IFERROR(__xludf.DUMMYFUNCTION("""COMPUTED_VALUE"""),525)</f>
        <v>#NAME?</v>
      </c>
      <c r="C526" s="100" t="e">
        <f ca="1">IFERROR(__xludf.DUMMYFUNCTION("""COMPUTED_VALUE"""),"DYDX-USD")</f>
        <v>#NAME?</v>
      </c>
      <c r="D526" s="100" t="e">
        <f ca="1">IFERROR(__xludf.DUMMYFUNCTION("""COMPUTED_VALUE"""),"0.5872")</f>
        <v>#NAME?</v>
      </c>
      <c r="E526" s="100" t="e">
        <f t="shared" ca="1" si="89"/>
        <v>#NAME?</v>
      </c>
      <c r="F526" s="100" t="e">
        <f t="shared" ca="1" si="89"/>
        <v>#NAME?</v>
      </c>
      <c r="G526" s="100" t="e">
        <f t="shared" ca="1" si="83"/>
        <v>#NAME?</v>
      </c>
      <c r="H526" s="100" t="e">
        <f t="shared" ca="1" si="84"/>
        <v>#NAME?</v>
      </c>
      <c r="I526" s="100" t="e">
        <f t="shared" ca="1" si="85"/>
        <v>#NAME?</v>
      </c>
      <c r="J526" s="100" t="e">
        <f t="shared" ca="1" si="86"/>
        <v>#NAME?</v>
      </c>
      <c r="K526" s="100" t="e">
        <f t="shared" ca="1" si="87"/>
        <v>#NAME?</v>
      </c>
      <c r="L526" s="100" t="e">
        <f t="shared" ca="1" si="88"/>
        <v>#NAME?</v>
      </c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</row>
    <row r="527" spans="1:27">
      <c r="A527" s="100" t="e">
        <f t="shared" ca="1" si="82"/>
        <v>#NAME?</v>
      </c>
      <c r="B527" s="100" t="e">
        <f ca="1">IFERROR(__xludf.DUMMYFUNCTION("""COMPUTED_VALUE"""),526)</f>
        <v>#NAME?</v>
      </c>
      <c r="C527" s="100" t="e">
        <f ca="1">IFERROR(__xludf.DUMMYFUNCTION("""COMPUTED_VALUE"""),"FLR-USD")</f>
        <v>#NAME?</v>
      </c>
      <c r="D527" s="100" t="e">
        <f ca="1">IFERROR(__xludf.DUMMYFUNCTION("""COMPUTED_VALUE"""),"0.01616")</f>
        <v>#NAME?</v>
      </c>
      <c r="E527" s="100" t="e">
        <f t="shared" ca="1" si="89"/>
        <v>#NAME?</v>
      </c>
      <c r="F527" s="100" t="e">
        <f t="shared" ca="1" si="89"/>
        <v>#NAME?</v>
      </c>
      <c r="G527" s="100" t="e">
        <f t="shared" ca="1" si="83"/>
        <v>#NAME?</v>
      </c>
      <c r="H527" s="100" t="e">
        <f t="shared" ca="1" si="84"/>
        <v>#NAME?</v>
      </c>
      <c r="I527" s="100" t="e">
        <f t="shared" ca="1" si="85"/>
        <v>#NAME?</v>
      </c>
      <c r="J527" s="100" t="e">
        <f t="shared" ca="1" si="86"/>
        <v>#NAME?</v>
      </c>
      <c r="K527" s="100" t="e">
        <f t="shared" ca="1" si="87"/>
        <v>#NAME?</v>
      </c>
      <c r="L527" s="100" t="e">
        <f t="shared" ca="1" si="88"/>
        <v>#NAME?</v>
      </c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</row>
    <row r="528" spans="1:27">
      <c r="A528" s="100" t="e">
        <f t="shared" ca="1" si="82"/>
        <v>#NAME?</v>
      </c>
      <c r="B528" s="100" t="e">
        <f ca="1">IFERROR(__xludf.DUMMYFUNCTION("""COMPUTED_VALUE"""),527)</f>
        <v>#NAME?</v>
      </c>
      <c r="C528" s="100" t="e">
        <f ca="1">IFERROR(__xludf.DUMMYFUNCTION("""COMPUTED_VALUE"""),"ACH-USDT")</f>
        <v>#NAME?</v>
      </c>
      <c r="D528" s="100" t="e">
        <f ca="1">IFERROR(__xludf.DUMMYFUNCTION("""COMPUTED_VALUE"""),"0.0257")</f>
        <v>#NAME?</v>
      </c>
      <c r="E528" s="100" t="e">
        <f t="shared" ca="1" si="89"/>
        <v>#NAME?</v>
      </c>
      <c r="F528" s="100" t="e">
        <f t="shared" ca="1" si="89"/>
        <v>#NAME?</v>
      </c>
      <c r="G528" s="100" t="e">
        <f t="shared" ca="1" si="83"/>
        <v>#NAME?</v>
      </c>
      <c r="H528" s="100" t="e">
        <f t="shared" ca="1" si="84"/>
        <v>#NAME?</v>
      </c>
      <c r="I528" s="100" t="e">
        <f t="shared" ca="1" si="85"/>
        <v>#NAME?</v>
      </c>
      <c r="J528" s="100" t="e">
        <f t="shared" ca="1" si="86"/>
        <v>#NAME?</v>
      </c>
      <c r="K528" s="100" t="e">
        <f t="shared" ca="1" si="87"/>
        <v>#NAME?</v>
      </c>
      <c r="L528" s="100" t="e">
        <f t="shared" ca="1" si="88"/>
        <v>#NAME?</v>
      </c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</row>
    <row r="529" spans="1:27">
      <c r="A529" s="100" t="e">
        <f t="shared" ca="1" si="82"/>
        <v>#NAME?</v>
      </c>
      <c r="B529" s="100" t="e">
        <f ca="1">IFERROR(__xludf.DUMMYFUNCTION("""COMPUTED_VALUE"""),528)</f>
        <v>#NAME?</v>
      </c>
      <c r="C529" s="100" t="e">
        <f ca="1">IFERROR(__xludf.DUMMYFUNCTION("""COMPUTED_VALUE"""),"ILV-USDT")</f>
        <v>#NAME?</v>
      </c>
      <c r="D529" s="100" t="e">
        <f ca="1">IFERROR(__xludf.DUMMYFUNCTION("""COMPUTED_VALUE"""),"13.12")</f>
        <v>#NAME?</v>
      </c>
      <c r="E529" s="100" t="e">
        <f t="shared" ca="1" si="89"/>
        <v>#NAME?</v>
      </c>
      <c r="F529" s="100" t="e">
        <f t="shared" ca="1" si="89"/>
        <v>#NAME?</v>
      </c>
      <c r="G529" s="100" t="e">
        <f t="shared" ca="1" si="83"/>
        <v>#NAME?</v>
      </c>
      <c r="H529" s="100" t="e">
        <f t="shared" ca="1" si="84"/>
        <v>#NAME?</v>
      </c>
      <c r="I529" s="100" t="e">
        <f t="shared" ca="1" si="85"/>
        <v>#NAME?</v>
      </c>
      <c r="J529" s="100" t="e">
        <f t="shared" ca="1" si="86"/>
        <v>#NAME?</v>
      </c>
      <c r="K529" s="100" t="e">
        <f t="shared" ca="1" si="87"/>
        <v>#NAME?</v>
      </c>
      <c r="L529" s="100" t="e">
        <f t="shared" ca="1" si="88"/>
        <v>#NAME?</v>
      </c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</row>
    <row r="530" spans="1:27">
      <c r="A530" s="100" t="e">
        <f t="shared" ca="1" si="82"/>
        <v>#NAME?</v>
      </c>
      <c r="B530" s="100" t="e">
        <f ca="1">IFERROR(__xludf.DUMMYFUNCTION("""COMPUTED_VALUE"""),529)</f>
        <v>#NAME?</v>
      </c>
      <c r="C530" s="100" t="e">
        <f ca="1">IFERROR(__xludf.DUMMYFUNCTION("""COMPUTED_VALUE"""),"ZERO-USDT")</f>
        <v>#NAME?</v>
      </c>
      <c r="D530" s="100" t="e">
        <f ca="1">IFERROR(__xludf.DUMMYFUNCTION("""COMPUTED_VALUE"""),"0.00008587")</f>
        <v>#NAME?</v>
      </c>
      <c r="E530" s="100" t="e">
        <f t="shared" ca="1" si="89"/>
        <v>#NAME?</v>
      </c>
      <c r="F530" s="100" t="e">
        <f t="shared" ca="1" si="89"/>
        <v>#NAME?</v>
      </c>
      <c r="G530" s="100" t="e">
        <f t="shared" ca="1" si="83"/>
        <v>#NAME?</v>
      </c>
      <c r="H530" s="100" t="e">
        <f t="shared" ca="1" si="84"/>
        <v>#NAME?</v>
      </c>
      <c r="I530" s="100" t="e">
        <f t="shared" ca="1" si="85"/>
        <v>#NAME?</v>
      </c>
      <c r="J530" s="100" t="e">
        <f t="shared" ca="1" si="86"/>
        <v>#NAME?</v>
      </c>
      <c r="K530" s="100" t="e">
        <f t="shared" ca="1" si="87"/>
        <v>#NAME?</v>
      </c>
      <c r="L530" s="100" t="e">
        <f t="shared" ca="1" si="88"/>
        <v>#NAME?</v>
      </c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</row>
    <row r="531" spans="1:27">
      <c r="A531" s="100" t="e">
        <f t="shared" ca="1" si="82"/>
        <v>#NAME?</v>
      </c>
      <c r="B531" s="100" t="e">
        <f ca="1">IFERROR(__xludf.DUMMYFUNCTION("""COMPUTED_VALUE"""),530)</f>
        <v>#NAME?</v>
      </c>
      <c r="C531" s="100" t="e">
        <f ca="1">IFERROR(__xludf.DUMMYFUNCTION("""COMPUTED_VALUE"""),"BIGTIME-USDT")</f>
        <v>#NAME?</v>
      </c>
      <c r="D531" s="100" t="e">
        <f ca="1">IFERROR(__xludf.DUMMYFUNCTION("""COMPUTED_VALUE"""),"0.0694")</f>
        <v>#NAME?</v>
      </c>
      <c r="E531" s="100" t="e">
        <f t="shared" ca="1" si="89"/>
        <v>#NAME?</v>
      </c>
      <c r="F531" s="100" t="e">
        <f t="shared" ca="1" si="89"/>
        <v>#NAME?</v>
      </c>
      <c r="G531" s="100" t="e">
        <f t="shared" ca="1" si="83"/>
        <v>#NAME?</v>
      </c>
      <c r="H531" s="100" t="e">
        <f t="shared" ca="1" si="84"/>
        <v>#NAME?</v>
      </c>
      <c r="I531" s="100" t="e">
        <f t="shared" ca="1" si="85"/>
        <v>#NAME?</v>
      </c>
      <c r="J531" s="100" t="e">
        <f t="shared" ca="1" si="86"/>
        <v>#NAME?</v>
      </c>
      <c r="K531" s="100" t="e">
        <f t="shared" ca="1" si="87"/>
        <v>#NAME?</v>
      </c>
      <c r="L531" s="100" t="e">
        <f t="shared" ca="1" si="88"/>
        <v>#NAME?</v>
      </c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</row>
    <row r="532" spans="1:27">
      <c r="A532" s="100" t="e">
        <f t="shared" ca="1" si="82"/>
        <v>#NAME?</v>
      </c>
      <c r="B532" s="100" t="e">
        <f ca="1">IFERROR(__xludf.DUMMYFUNCTION("""COMPUTED_VALUE"""),531)</f>
        <v>#NAME?</v>
      </c>
      <c r="C532" s="100" t="e">
        <f ca="1">IFERROR(__xludf.DUMMYFUNCTION("""COMPUTED_VALUE"""),"METIS-USDT")</f>
        <v>#NAME?</v>
      </c>
      <c r="D532" s="100" t="e">
        <f ca="1">IFERROR(__xludf.DUMMYFUNCTION("""COMPUTED_VALUE"""),"14.3")</f>
        <v>#NAME?</v>
      </c>
      <c r="E532" s="100" t="e">
        <f t="shared" ca="1" si="89"/>
        <v>#NAME?</v>
      </c>
      <c r="F532" s="100" t="e">
        <f t="shared" ca="1" si="89"/>
        <v>#NAME?</v>
      </c>
      <c r="G532" s="100" t="e">
        <f t="shared" ca="1" si="83"/>
        <v>#NAME?</v>
      </c>
      <c r="H532" s="100" t="e">
        <f t="shared" ca="1" si="84"/>
        <v>#NAME?</v>
      </c>
      <c r="I532" s="100" t="e">
        <f t="shared" ca="1" si="85"/>
        <v>#NAME?</v>
      </c>
      <c r="J532" s="100" t="e">
        <f t="shared" ca="1" si="86"/>
        <v>#NAME?</v>
      </c>
      <c r="K532" s="100" t="e">
        <f t="shared" ca="1" si="87"/>
        <v>#NAME?</v>
      </c>
      <c r="L532" s="100" t="e">
        <f t="shared" ca="1" si="88"/>
        <v>#NAME?</v>
      </c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</row>
    <row r="533" spans="1:27">
      <c r="A533" s="100" t="e">
        <f t="shared" ca="1" si="82"/>
        <v>#NAME?</v>
      </c>
      <c r="B533" s="100" t="e">
        <f ca="1">IFERROR(__xludf.DUMMYFUNCTION("""COMPUTED_VALUE"""),532)</f>
        <v>#NAME?</v>
      </c>
      <c r="C533" s="100" t="e">
        <f ca="1">IFERROR(__xludf.DUMMYFUNCTION("""COMPUTED_VALUE"""),"ETHFI-USDT")</f>
        <v>#NAME?</v>
      </c>
      <c r="D533" s="100" t="e">
        <f ca="1">IFERROR(__xludf.DUMMYFUNCTION("""COMPUTED_VALUE"""),"0.509")</f>
        <v>#NAME?</v>
      </c>
      <c r="E533" s="100" t="e">
        <f t="shared" ca="1" si="89"/>
        <v>#NAME?</v>
      </c>
      <c r="F533" s="100" t="e">
        <f t="shared" ca="1" si="89"/>
        <v>#NAME?</v>
      </c>
      <c r="G533" s="100" t="e">
        <f t="shared" ca="1" si="83"/>
        <v>#NAME?</v>
      </c>
      <c r="H533" s="100" t="e">
        <f t="shared" ca="1" si="84"/>
        <v>#NAME?</v>
      </c>
      <c r="I533" s="100" t="e">
        <f t="shared" ca="1" si="85"/>
        <v>#NAME?</v>
      </c>
      <c r="J533" s="100" t="e">
        <f t="shared" ca="1" si="86"/>
        <v>#NAME?</v>
      </c>
      <c r="K533" s="100" t="e">
        <f t="shared" ca="1" si="87"/>
        <v>#NAME?</v>
      </c>
      <c r="L533" s="100" t="e">
        <f t="shared" ca="1" si="88"/>
        <v>#NAME?</v>
      </c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</row>
    <row r="534" spans="1:27">
      <c r="A534" s="100" t="e">
        <f t="shared" ca="1" si="82"/>
        <v>#NAME?</v>
      </c>
      <c r="B534" s="100" t="e">
        <f ca="1">IFERROR(__xludf.DUMMYFUNCTION("""COMPUTED_VALUE"""),533)</f>
        <v>#NAME?</v>
      </c>
      <c r="C534" s="100" t="e">
        <f ca="1">IFERROR(__xludf.DUMMYFUNCTION("""COMPUTED_VALUE"""),"UNI-USDC")</f>
        <v>#NAME?</v>
      </c>
      <c r="D534" s="100" t="e">
        <f ca="1">IFERROR(__xludf.DUMMYFUNCTION("""COMPUTED_VALUE"""),"5.343")</f>
        <v>#NAME?</v>
      </c>
      <c r="E534" s="100" t="e">
        <f t="shared" ca="1" si="89"/>
        <v>#NAME?</v>
      </c>
      <c r="F534" s="100" t="e">
        <f t="shared" ca="1" si="89"/>
        <v>#NAME?</v>
      </c>
      <c r="G534" s="100" t="e">
        <f t="shared" ca="1" si="83"/>
        <v>#NAME?</v>
      </c>
      <c r="H534" s="100" t="e">
        <f t="shared" ca="1" si="84"/>
        <v>#NAME?</v>
      </c>
      <c r="I534" s="100" t="e">
        <f t="shared" ca="1" si="85"/>
        <v>#NAME?</v>
      </c>
      <c r="J534" s="100" t="e">
        <f t="shared" ca="1" si="86"/>
        <v>#NAME?</v>
      </c>
      <c r="K534" s="100" t="e">
        <f t="shared" ca="1" si="87"/>
        <v>#NAME?</v>
      </c>
      <c r="L534" s="100" t="e">
        <f t="shared" ca="1" si="88"/>
        <v>#NAME?</v>
      </c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</row>
    <row r="535" spans="1:27">
      <c r="A535" s="100" t="e">
        <f t="shared" ca="1" si="82"/>
        <v>#NAME?</v>
      </c>
      <c r="B535" s="100" t="e">
        <f ca="1">IFERROR(__xludf.DUMMYFUNCTION("""COMPUTED_VALUE"""),534)</f>
        <v>#NAME?</v>
      </c>
      <c r="C535" s="100" t="e">
        <f ca="1">IFERROR(__xludf.DUMMYFUNCTION("""COMPUTED_VALUE"""),"XRP-AED")</f>
        <v>#NAME?</v>
      </c>
      <c r="D535" s="100" t="e">
        <f ca="1">IFERROR(__xludf.DUMMYFUNCTION("""COMPUTED_VALUE"""),"7.8585")</f>
        <v>#NAME?</v>
      </c>
      <c r="E535" s="100" t="e">
        <f t="shared" ca="1" si="89"/>
        <v>#NAME?</v>
      </c>
      <c r="F535" s="100" t="e">
        <f t="shared" ca="1" si="89"/>
        <v>#NAME?</v>
      </c>
      <c r="G535" s="100" t="e">
        <f t="shared" ca="1" si="83"/>
        <v>#NAME?</v>
      </c>
      <c r="H535" s="100" t="e">
        <f t="shared" ca="1" si="84"/>
        <v>#NAME?</v>
      </c>
      <c r="I535" s="100" t="e">
        <f t="shared" ca="1" si="85"/>
        <v>#NAME?</v>
      </c>
      <c r="J535" s="100" t="e">
        <f t="shared" ca="1" si="86"/>
        <v>#NAME?</v>
      </c>
      <c r="K535" s="100" t="e">
        <f t="shared" ca="1" si="87"/>
        <v>#NAME?</v>
      </c>
      <c r="L535" s="100" t="e">
        <f t="shared" ca="1" si="88"/>
        <v>#NAME?</v>
      </c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</row>
    <row r="536" spans="1:27">
      <c r="A536" s="100" t="e">
        <f t="shared" ca="1" si="82"/>
        <v>#NAME?</v>
      </c>
      <c r="B536" s="100" t="e">
        <f ca="1">IFERROR(__xludf.DUMMYFUNCTION("""COMPUTED_VALUE"""),535)</f>
        <v>#NAME?</v>
      </c>
      <c r="C536" s="100" t="e">
        <f ca="1">IFERROR(__xludf.DUMMYFUNCTION("""COMPUTED_VALUE"""),"HBAR-USD")</f>
        <v>#NAME?</v>
      </c>
      <c r="D536" s="100" t="e">
        <f ca="1">IFERROR(__xludf.DUMMYFUNCTION("""COMPUTED_VALUE"""),"0.17355")</f>
        <v>#NAME?</v>
      </c>
      <c r="E536" s="100" t="e">
        <f t="shared" ca="1" si="89"/>
        <v>#NAME?</v>
      </c>
      <c r="F536" s="100" t="e">
        <f t="shared" ca="1" si="89"/>
        <v>#NAME?</v>
      </c>
      <c r="G536" s="100" t="e">
        <f t="shared" ca="1" si="83"/>
        <v>#NAME?</v>
      </c>
      <c r="H536" s="100" t="e">
        <f t="shared" ca="1" si="84"/>
        <v>#NAME?</v>
      </c>
      <c r="I536" s="100" t="e">
        <f t="shared" ca="1" si="85"/>
        <v>#NAME?</v>
      </c>
      <c r="J536" s="100" t="e">
        <f t="shared" ca="1" si="86"/>
        <v>#NAME?</v>
      </c>
      <c r="K536" s="100" t="e">
        <f t="shared" ca="1" si="87"/>
        <v>#NAME?</v>
      </c>
      <c r="L536" s="100" t="e">
        <f t="shared" ca="1" si="88"/>
        <v>#NAME?</v>
      </c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</row>
    <row r="537" spans="1:27">
      <c r="A537" s="100" t="e">
        <f t="shared" ca="1" si="82"/>
        <v>#NAME?</v>
      </c>
      <c r="B537" s="100" t="e">
        <f ca="1">IFERROR(__xludf.DUMMYFUNCTION("""COMPUTED_VALUE"""),536)</f>
        <v>#NAME?</v>
      </c>
      <c r="C537" s="100" t="e">
        <f ca="1">IFERROR(__xludf.DUMMYFUNCTION("""COMPUTED_VALUE"""),"ETHFI-USDC")</f>
        <v>#NAME?</v>
      </c>
      <c r="D537" s="100" t="e">
        <f ca="1">IFERROR(__xludf.DUMMYFUNCTION("""COMPUTED_VALUE"""),"0.5147")</f>
        <v>#NAME?</v>
      </c>
      <c r="E537" s="100" t="e">
        <f t="shared" ca="1" si="89"/>
        <v>#NAME?</v>
      </c>
      <c r="F537" s="100" t="e">
        <f t="shared" ca="1" si="89"/>
        <v>#NAME?</v>
      </c>
      <c r="G537" s="100" t="e">
        <f t="shared" ca="1" si="83"/>
        <v>#NAME?</v>
      </c>
      <c r="H537" s="100" t="e">
        <f t="shared" ca="1" si="84"/>
        <v>#NAME?</v>
      </c>
      <c r="I537" s="100" t="e">
        <f t="shared" ca="1" si="85"/>
        <v>#NAME?</v>
      </c>
      <c r="J537" s="100" t="e">
        <f t="shared" ca="1" si="86"/>
        <v>#NAME?</v>
      </c>
      <c r="K537" s="100" t="e">
        <f t="shared" ca="1" si="87"/>
        <v>#NAME?</v>
      </c>
      <c r="L537" s="100" t="e">
        <f t="shared" ca="1" si="88"/>
        <v>#NAME?</v>
      </c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</row>
    <row r="538" spans="1:27">
      <c r="A538" s="100" t="e">
        <f t="shared" ca="1" si="82"/>
        <v>#NAME?</v>
      </c>
      <c r="B538" s="100" t="e">
        <f ca="1">IFERROR(__xludf.DUMMYFUNCTION("""COMPUTED_VALUE"""),537)</f>
        <v>#NAME?</v>
      </c>
      <c r="C538" s="100" t="e">
        <f ca="1">IFERROR(__xludf.DUMMYFUNCTION("""COMPUTED_VALUE"""),"BTC-AED")</f>
        <v>#NAME?</v>
      </c>
      <c r="D538" s="100" t="e">
        <f ca="1">IFERROR(__xludf.DUMMYFUNCTION("""COMPUTED_VALUE"""),"324395")</f>
        <v>#NAME?</v>
      </c>
      <c r="E538" s="100" t="e">
        <f t="shared" ca="1" si="89"/>
        <v>#NAME?</v>
      </c>
      <c r="F538" s="100" t="e">
        <f t="shared" ca="1" si="89"/>
        <v>#NAME?</v>
      </c>
      <c r="G538" s="100" t="e">
        <f t="shared" ca="1" si="83"/>
        <v>#NAME?</v>
      </c>
      <c r="H538" s="100" t="e">
        <f t="shared" ca="1" si="84"/>
        <v>#NAME?</v>
      </c>
      <c r="I538" s="100" t="e">
        <f t="shared" ca="1" si="85"/>
        <v>#NAME?</v>
      </c>
      <c r="J538" s="100" t="e">
        <f t="shared" ca="1" si="86"/>
        <v>#NAME?</v>
      </c>
      <c r="K538" s="100" t="e">
        <f t="shared" ca="1" si="87"/>
        <v>#NAME?</v>
      </c>
      <c r="L538" s="100" t="e">
        <f t="shared" ca="1" si="88"/>
        <v>#NAME?</v>
      </c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</row>
    <row r="539" spans="1:27">
      <c r="A539" s="100" t="e">
        <f t="shared" ca="1" si="82"/>
        <v>#NAME?</v>
      </c>
      <c r="B539" s="100" t="e">
        <f ca="1">IFERROR(__xludf.DUMMYFUNCTION("""COMPUTED_VALUE"""),538)</f>
        <v>#NAME?</v>
      </c>
      <c r="C539" s="100" t="e">
        <f ca="1">IFERROR(__xludf.DUMMYFUNCTION("""COMPUTED_VALUE"""),"INJ-EUR")</f>
        <v>#NAME?</v>
      </c>
      <c r="D539" s="100" t="e">
        <f ca="1">IFERROR(__xludf.DUMMYFUNCTION("""COMPUTED_VALUE"""),"7.375")</f>
        <v>#NAME?</v>
      </c>
      <c r="E539" s="100" t="e">
        <f t="shared" ca="1" si="89"/>
        <v>#NAME?</v>
      </c>
      <c r="F539" s="100" t="e">
        <f t="shared" ca="1" si="89"/>
        <v>#NAME?</v>
      </c>
      <c r="G539" s="100" t="e">
        <f t="shared" ca="1" si="83"/>
        <v>#NAME?</v>
      </c>
      <c r="H539" s="100" t="e">
        <f t="shared" ca="1" si="84"/>
        <v>#NAME?</v>
      </c>
      <c r="I539" s="100" t="e">
        <f t="shared" ca="1" si="85"/>
        <v>#NAME?</v>
      </c>
      <c r="J539" s="100" t="e">
        <f t="shared" ca="1" si="86"/>
        <v>#NAME?</v>
      </c>
      <c r="K539" s="100" t="e">
        <f t="shared" ca="1" si="87"/>
        <v>#NAME?</v>
      </c>
      <c r="L539" s="100" t="e">
        <f t="shared" ca="1" si="88"/>
        <v>#NAME?</v>
      </c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</row>
    <row r="540" spans="1:27">
      <c r="A540" s="100" t="e">
        <f t="shared" ca="1" si="82"/>
        <v>#NAME?</v>
      </c>
      <c r="B540" s="100" t="e">
        <f ca="1">IFERROR(__xludf.DUMMYFUNCTION("""COMPUTED_VALUE"""),539)</f>
        <v>#NAME?</v>
      </c>
      <c r="C540" s="100" t="e">
        <f ca="1">IFERROR(__xludf.DUMMYFUNCTION("""COMPUTED_VALUE"""),"BAT-USD")</f>
        <v>#NAME?</v>
      </c>
      <c r="D540" s="100" t="e">
        <f ca="1">IFERROR(__xludf.DUMMYFUNCTION("""COMPUTED_VALUE"""),"0.1298")</f>
        <v>#NAME?</v>
      </c>
      <c r="E540" s="100" t="e">
        <f t="shared" ca="1" si="89"/>
        <v>#NAME?</v>
      </c>
      <c r="F540" s="100" t="e">
        <f t="shared" ca="1" si="89"/>
        <v>#NAME?</v>
      </c>
      <c r="G540" s="100" t="e">
        <f t="shared" ca="1" si="83"/>
        <v>#NAME?</v>
      </c>
      <c r="H540" s="100" t="e">
        <f t="shared" ca="1" si="84"/>
        <v>#NAME?</v>
      </c>
      <c r="I540" s="100" t="e">
        <f t="shared" ca="1" si="85"/>
        <v>#NAME?</v>
      </c>
      <c r="J540" s="100" t="e">
        <f t="shared" ca="1" si="86"/>
        <v>#NAME?</v>
      </c>
      <c r="K540" s="100" t="e">
        <f t="shared" ca="1" si="87"/>
        <v>#NAME?</v>
      </c>
      <c r="L540" s="100" t="e">
        <f t="shared" ca="1" si="88"/>
        <v>#NAME?</v>
      </c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</row>
    <row r="541" spans="1:27">
      <c r="A541" s="100" t="e">
        <f t="shared" ca="1" si="82"/>
        <v>#NAME?</v>
      </c>
      <c r="B541" s="100" t="e">
        <f ca="1">IFERROR(__xludf.DUMMYFUNCTION("""COMPUTED_VALUE"""),540)</f>
        <v>#NAME?</v>
      </c>
      <c r="C541" s="100" t="e">
        <f ca="1">IFERROR(__xludf.DUMMYFUNCTION("""COMPUTED_VALUE"""),"ICX-USD")</f>
        <v>#NAME?</v>
      </c>
      <c r="D541" s="100" t="e">
        <f ca="1">IFERROR(__xludf.DUMMYFUNCTION("""COMPUTED_VALUE"""),"0.09989")</f>
        <v>#NAME?</v>
      </c>
      <c r="E541" s="100" t="e">
        <f t="shared" ca="1" si="89"/>
        <v>#NAME?</v>
      </c>
      <c r="F541" s="100" t="e">
        <f t="shared" ca="1" si="89"/>
        <v>#NAME?</v>
      </c>
      <c r="G541" s="100" t="e">
        <f t="shared" ca="1" si="83"/>
        <v>#NAME?</v>
      </c>
      <c r="H541" s="100" t="e">
        <f t="shared" ca="1" si="84"/>
        <v>#NAME?</v>
      </c>
      <c r="I541" s="100" t="e">
        <f t="shared" ca="1" si="85"/>
        <v>#NAME?</v>
      </c>
      <c r="J541" s="100" t="e">
        <f t="shared" ca="1" si="86"/>
        <v>#NAME?</v>
      </c>
      <c r="K541" s="100" t="e">
        <f t="shared" ca="1" si="87"/>
        <v>#NAME?</v>
      </c>
      <c r="L541" s="100" t="e">
        <f t="shared" ca="1" si="88"/>
        <v>#NAME?</v>
      </c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</row>
    <row r="542" spans="1:27">
      <c r="A542" s="100" t="e">
        <f t="shared" ca="1" si="82"/>
        <v>#NAME?</v>
      </c>
      <c r="B542" s="100" t="e">
        <f ca="1">IFERROR(__xludf.DUMMYFUNCTION("""COMPUTED_VALUE"""),541)</f>
        <v>#NAME?</v>
      </c>
      <c r="C542" s="100" t="e">
        <f ca="1">IFERROR(__xludf.DUMMYFUNCTION("""COMPUTED_VALUE"""),"SHIB-USDT")</f>
        <v>#NAME?</v>
      </c>
      <c r="D542" s="100" t="e">
        <f ca="1">IFERROR(__xludf.DUMMYFUNCTION("""COMPUTED_VALUE"""),"0.000012509")</f>
        <v>#NAME?</v>
      </c>
      <c r="E542" s="100" t="e">
        <f t="shared" ref="E542:F561" ca="1" si="90">IFERROR(__xludf.DUMMYFUNCTION("""COMPUTED_VALUE"""),"-")</f>
        <v>#NAME?</v>
      </c>
      <c r="F542" s="100" t="e">
        <f t="shared" ca="1" si="90"/>
        <v>#NAME?</v>
      </c>
      <c r="G542" s="100" t="e">
        <f t="shared" ca="1" si="83"/>
        <v>#NAME?</v>
      </c>
      <c r="H542" s="100" t="e">
        <f t="shared" ca="1" si="84"/>
        <v>#NAME?</v>
      </c>
      <c r="I542" s="100" t="e">
        <f t="shared" ca="1" si="85"/>
        <v>#NAME?</v>
      </c>
      <c r="J542" s="100" t="e">
        <f t="shared" ca="1" si="86"/>
        <v>#NAME?</v>
      </c>
      <c r="K542" s="100" t="e">
        <f t="shared" ca="1" si="87"/>
        <v>#NAME?</v>
      </c>
      <c r="L542" s="100" t="e">
        <f t="shared" ca="1" si="88"/>
        <v>#NAME?</v>
      </c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</row>
    <row r="543" spans="1:27">
      <c r="A543" s="100" t="e">
        <f t="shared" ca="1" si="82"/>
        <v>#NAME?</v>
      </c>
      <c r="B543" s="100" t="e">
        <f ca="1">IFERROR(__xludf.DUMMYFUNCTION("""COMPUTED_VALUE"""),542)</f>
        <v>#NAME?</v>
      </c>
      <c r="C543" s="100" t="e">
        <f ca="1">IFERROR(__xludf.DUMMYFUNCTION("""COMPUTED_VALUE"""),"SNT-USDT")</f>
        <v>#NAME?</v>
      </c>
      <c r="D543" s="100" t="e">
        <f ca="1">IFERROR(__xludf.DUMMYFUNCTION("""COMPUTED_VALUE"""),"0.02222")</f>
        <v>#NAME?</v>
      </c>
      <c r="E543" s="100" t="e">
        <f t="shared" ca="1" si="90"/>
        <v>#NAME?</v>
      </c>
      <c r="F543" s="100" t="e">
        <f t="shared" ca="1" si="90"/>
        <v>#NAME?</v>
      </c>
      <c r="G543" s="100" t="e">
        <f t="shared" ca="1" si="83"/>
        <v>#NAME?</v>
      </c>
      <c r="H543" s="100" t="e">
        <f t="shared" ca="1" si="84"/>
        <v>#NAME?</v>
      </c>
      <c r="I543" s="100" t="e">
        <f t="shared" ca="1" si="85"/>
        <v>#NAME?</v>
      </c>
      <c r="J543" s="100" t="e">
        <f t="shared" ca="1" si="86"/>
        <v>#NAME?</v>
      </c>
      <c r="K543" s="100" t="e">
        <f t="shared" ca="1" si="87"/>
        <v>#NAME?</v>
      </c>
      <c r="L543" s="100" t="e">
        <f t="shared" ca="1" si="88"/>
        <v>#NAME?</v>
      </c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</row>
    <row r="544" spans="1:27">
      <c r="A544" s="100" t="e">
        <f t="shared" ca="1" si="82"/>
        <v>#NAME?</v>
      </c>
      <c r="B544" s="100" t="e">
        <f ca="1">IFERROR(__xludf.DUMMYFUNCTION("""COMPUTED_VALUE"""),543)</f>
        <v>#NAME?</v>
      </c>
      <c r="C544" s="100" t="e">
        <f ca="1">IFERROR(__xludf.DUMMYFUNCTION("""COMPUTED_VALUE"""),"BTC-TRY")</f>
        <v>#NAME?</v>
      </c>
      <c r="D544" s="100" t="e">
        <f ca="1">IFERROR(__xludf.DUMMYFUNCTION("""COMPUTED_VALUE"""),"3382121")</f>
        <v>#NAME?</v>
      </c>
      <c r="E544" s="100" t="e">
        <f t="shared" ca="1" si="90"/>
        <v>#NAME?</v>
      </c>
      <c r="F544" s="100" t="e">
        <f t="shared" ca="1" si="90"/>
        <v>#NAME?</v>
      </c>
      <c r="G544" s="100" t="e">
        <f t="shared" ca="1" si="83"/>
        <v>#NAME?</v>
      </c>
      <c r="H544" s="100" t="e">
        <f t="shared" ca="1" si="84"/>
        <v>#NAME?</v>
      </c>
      <c r="I544" s="100" t="e">
        <f t="shared" ca="1" si="85"/>
        <v>#NAME?</v>
      </c>
      <c r="J544" s="100" t="e">
        <f t="shared" ca="1" si="86"/>
        <v>#NAME?</v>
      </c>
      <c r="K544" s="100" t="e">
        <f t="shared" ca="1" si="87"/>
        <v>#NAME?</v>
      </c>
      <c r="L544" s="100" t="e">
        <f t="shared" ca="1" si="88"/>
        <v>#NAME?</v>
      </c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</row>
    <row r="545" spans="1:27">
      <c r="A545" s="100" t="e">
        <f t="shared" ca="1" si="82"/>
        <v>#NAME?</v>
      </c>
      <c r="B545" s="100" t="e">
        <f ca="1">IFERROR(__xludf.DUMMYFUNCTION("""COMPUTED_VALUE"""),544)</f>
        <v>#NAME?</v>
      </c>
      <c r="C545" s="100" t="e">
        <f ca="1">IFERROR(__xludf.DUMMYFUNCTION("""COMPUTED_VALUE"""),"JTO-USD")</f>
        <v>#NAME?</v>
      </c>
      <c r="D545" s="100" t="e">
        <f ca="1">IFERROR(__xludf.DUMMYFUNCTION("""COMPUTED_VALUE"""),"1.695")</f>
        <v>#NAME?</v>
      </c>
      <c r="E545" s="100" t="e">
        <f t="shared" ca="1" si="90"/>
        <v>#NAME?</v>
      </c>
      <c r="F545" s="100" t="e">
        <f t="shared" ca="1" si="90"/>
        <v>#NAME?</v>
      </c>
      <c r="G545" s="100" t="e">
        <f t="shared" ca="1" si="83"/>
        <v>#NAME?</v>
      </c>
      <c r="H545" s="100" t="e">
        <f t="shared" ca="1" si="84"/>
        <v>#NAME?</v>
      </c>
      <c r="I545" s="100" t="e">
        <f t="shared" ca="1" si="85"/>
        <v>#NAME?</v>
      </c>
      <c r="J545" s="100" t="e">
        <f t="shared" ca="1" si="86"/>
        <v>#NAME?</v>
      </c>
      <c r="K545" s="100" t="e">
        <f t="shared" ca="1" si="87"/>
        <v>#NAME?</v>
      </c>
      <c r="L545" s="100" t="e">
        <f t="shared" ca="1" si="88"/>
        <v>#NAME?</v>
      </c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</row>
    <row r="546" spans="1:27">
      <c r="A546" s="100" t="e">
        <f t="shared" ca="1" si="82"/>
        <v>#NAME?</v>
      </c>
      <c r="B546" s="100" t="e">
        <f ca="1">IFERROR(__xludf.DUMMYFUNCTION("""COMPUTED_VALUE"""),545)</f>
        <v>#NAME?</v>
      </c>
      <c r="C546" s="100" t="e">
        <f ca="1">IFERROR(__xludf.DUMMYFUNCTION("""COMPUTED_VALUE"""),"LSK-USD")</f>
        <v>#NAME?</v>
      </c>
      <c r="D546" s="100" t="e">
        <f ca="1">IFERROR(__xludf.DUMMYFUNCTION("""COMPUTED_VALUE"""),"0.516")</f>
        <v>#NAME?</v>
      </c>
      <c r="E546" s="100" t="e">
        <f t="shared" ca="1" si="90"/>
        <v>#NAME?</v>
      </c>
      <c r="F546" s="100" t="e">
        <f t="shared" ca="1" si="90"/>
        <v>#NAME?</v>
      </c>
      <c r="G546" s="100" t="e">
        <f t="shared" ca="1" si="83"/>
        <v>#NAME?</v>
      </c>
      <c r="H546" s="100" t="e">
        <f t="shared" ca="1" si="84"/>
        <v>#NAME?</v>
      </c>
      <c r="I546" s="100" t="e">
        <f t="shared" ca="1" si="85"/>
        <v>#NAME?</v>
      </c>
      <c r="J546" s="100" t="e">
        <f t="shared" ca="1" si="86"/>
        <v>#NAME?</v>
      </c>
      <c r="K546" s="100" t="e">
        <f t="shared" ca="1" si="87"/>
        <v>#NAME?</v>
      </c>
      <c r="L546" s="100" t="e">
        <f t="shared" ca="1" si="88"/>
        <v>#NAME?</v>
      </c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</row>
    <row r="547" spans="1:27">
      <c r="A547" s="100" t="e">
        <f t="shared" ca="1" si="82"/>
        <v>#NAME?</v>
      </c>
      <c r="B547" s="100" t="e">
        <f ca="1">IFERROR(__xludf.DUMMYFUNCTION("""COMPUTED_VALUE"""),546)</f>
        <v>#NAME?</v>
      </c>
      <c r="C547" s="100" t="e">
        <f ca="1">IFERROR(__xludf.DUMMYFUNCTION("""COMPUTED_VALUE"""),"NC-USD")</f>
        <v>#NAME?</v>
      </c>
      <c r="D547" s="100" t="e">
        <f ca="1">IFERROR(__xludf.DUMMYFUNCTION("""COMPUTED_VALUE"""),"0.03968")</f>
        <v>#NAME?</v>
      </c>
      <c r="E547" s="100" t="e">
        <f t="shared" ca="1" si="90"/>
        <v>#NAME?</v>
      </c>
      <c r="F547" s="100" t="e">
        <f t="shared" ca="1" si="90"/>
        <v>#NAME?</v>
      </c>
      <c r="G547" s="100" t="e">
        <f t="shared" ca="1" si="83"/>
        <v>#NAME?</v>
      </c>
      <c r="H547" s="100" t="e">
        <f t="shared" ca="1" si="84"/>
        <v>#NAME?</v>
      </c>
      <c r="I547" s="100" t="e">
        <f t="shared" ca="1" si="85"/>
        <v>#NAME?</v>
      </c>
      <c r="J547" s="100" t="e">
        <f t="shared" ca="1" si="86"/>
        <v>#NAME?</v>
      </c>
      <c r="K547" s="100" t="e">
        <f t="shared" ca="1" si="87"/>
        <v>#NAME?</v>
      </c>
      <c r="L547" s="100" t="e">
        <f t="shared" ca="1" si="88"/>
        <v>#NAME?</v>
      </c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</row>
    <row r="548" spans="1:27">
      <c r="A548" s="100" t="e">
        <f t="shared" ca="1" si="82"/>
        <v>#NAME?</v>
      </c>
      <c r="B548" s="100" t="e">
        <f ca="1">IFERROR(__xludf.DUMMYFUNCTION("""COMPUTED_VALUE"""),547)</f>
        <v>#NAME?</v>
      </c>
      <c r="C548" s="100" t="e">
        <f ca="1">IFERROR(__xludf.DUMMYFUNCTION("""COMPUTED_VALUE"""),"UNI-USDT")</f>
        <v>#NAME?</v>
      </c>
      <c r="D548" s="100" t="e">
        <f ca="1">IFERROR(__xludf.DUMMYFUNCTION("""COMPUTED_VALUE"""),"5.343")</f>
        <v>#NAME?</v>
      </c>
      <c r="E548" s="100" t="e">
        <f t="shared" ca="1" si="90"/>
        <v>#NAME?</v>
      </c>
      <c r="F548" s="100" t="e">
        <f t="shared" ca="1" si="90"/>
        <v>#NAME?</v>
      </c>
      <c r="G548" s="100" t="e">
        <f t="shared" ca="1" si="83"/>
        <v>#NAME?</v>
      </c>
      <c r="H548" s="100" t="e">
        <f t="shared" ca="1" si="84"/>
        <v>#NAME?</v>
      </c>
      <c r="I548" s="100" t="e">
        <f t="shared" ca="1" si="85"/>
        <v>#NAME?</v>
      </c>
      <c r="J548" s="100" t="e">
        <f t="shared" ca="1" si="86"/>
        <v>#NAME?</v>
      </c>
      <c r="K548" s="100" t="e">
        <f t="shared" ca="1" si="87"/>
        <v>#NAME?</v>
      </c>
      <c r="L548" s="100" t="e">
        <f t="shared" ca="1" si="88"/>
        <v>#NAME?</v>
      </c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</row>
    <row r="549" spans="1:27">
      <c r="A549" s="100" t="e">
        <f t="shared" ca="1" si="82"/>
        <v>#NAME?</v>
      </c>
      <c r="B549" s="100" t="e">
        <f ca="1">IFERROR(__xludf.DUMMYFUNCTION("""COMPUTED_VALUE"""),548)</f>
        <v>#NAME?</v>
      </c>
      <c r="C549" s="100" t="e">
        <f ca="1">IFERROR(__xludf.DUMMYFUNCTION("""COMPUTED_VALUE"""),"BADGER-USD")</f>
        <v>#NAME?</v>
      </c>
      <c r="D549" s="100" t="e">
        <f ca="1">IFERROR(__xludf.DUMMYFUNCTION("""COMPUTED_VALUE"""),"0.943")</f>
        <v>#NAME?</v>
      </c>
      <c r="E549" s="100" t="e">
        <f t="shared" ca="1" si="90"/>
        <v>#NAME?</v>
      </c>
      <c r="F549" s="100" t="e">
        <f t="shared" ca="1" si="90"/>
        <v>#NAME?</v>
      </c>
      <c r="G549" s="100" t="e">
        <f t="shared" ca="1" si="83"/>
        <v>#NAME?</v>
      </c>
      <c r="H549" s="100" t="e">
        <f t="shared" ca="1" si="84"/>
        <v>#NAME?</v>
      </c>
      <c r="I549" s="100" t="e">
        <f t="shared" ca="1" si="85"/>
        <v>#NAME?</v>
      </c>
      <c r="J549" s="100" t="e">
        <f t="shared" ca="1" si="86"/>
        <v>#NAME?</v>
      </c>
      <c r="K549" s="100" t="e">
        <f t="shared" ca="1" si="87"/>
        <v>#NAME?</v>
      </c>
      <c r="L549" s="100" t="e">
        <f t="shared" ca="1" si="88"/>
        <v>#NAME?</v>
      </c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</row>
    <row r="550" spans="1:27">
      <c r="A550" s="100" t="e">
        <f t="shared" ca="1" si="82"/>
        <v>#NAME?</v>
      </c>
      <c r="B550" s="100" t="e">
        <f ca="1">IFERROR(__xludf.DUMMYFUNCTION("""COMPUTED_VALUE"""),549)</f>
        <v>#NAME?</v>
      </c>
      <c r="C550" s="100" t="e">
        <f ca="1">IFERROR(__xludf.DUMMYFUNCTION("""COMPUTED_VALUE"""),"SUSHI-USD")</f>
        <v>#NAME?</v>
      </c>
      <c r="D550" s="100" t="e">
        <f ca="1">IFERROR(__xludf.DUMMYFUNCTION("""COMPUTED_VALUE"""),"0.5913")</f>
        <v>#NAME?</v>
      </c>
      <c r="E550" s="100" t="e">
        <f t="shared" ca="1" si="90"/>
        <v>#NAME?</v>
      </c>
      <c r="F550" s="100" t="e">
        <f t="shared" ca="1" si="90"/>
        <v>#NAME?</v>
      </c>
      <c r="G550" s="100" t="e">
        <f t="shared" ca="1" si="83"/>
        <v>#NAME?</v>
      </c>
      <c r="H550" s="100" t="e">
        <f t="shared" ca="1" si="84"/>
        <v>#NAME?</v>
      </c>
      <c r="I550" s="100" t="e">
        <f t="shared" ca="1" si="85"/>
        <v>#NAME?</v>
      </c>
      <c r="J550" s="100" t="e">
        <f t="shared" ca="1" si="86"/>
        <v>#NAME?</v>
      </c>
      <c r="K550" s="100" t="e">
        <f t="shared" ca="1" si="87"/>
        <v>#NAME?</v>
      </c>
      <c r="L550" s="100" t="e">
        <f t="shared" ca="1" si="88"/>
        <v>#NAME?</v>
      </c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</row>
    <row r="551" spans="1:27">
      <c r="A551" s="100" t="e">
        <f t="shared" ca="1" si="82"/>
        <v>#NAME?</v>
      </c>
      <c r="B551" s="100" t="e">
        <f ca="1">IFERROR(__xludf.DUMMYFUNCTION("""COMPUTED_VALUE"""),550)</f>
        <v>#NAME?</v>
      </c>
      <c r="C551" s="100" t="e">
        <f ca="1">IFERROR(__xludf.DUMMYFUNCTION("""COMPUTED_VALUE"""),"CRV-EUR")</f>
        <v>#NAME?</v>
      </c>
      <c r="D551" s="100" t="e">
        <f ca="1">IFERROR(__xludf.DUMMYFUNCTION("""COMPUTED_VALUE"""),"0.5362")</f>
        <v>#NAME?</v>
      </c>
      <c r="E551" s="100" t="e">
        <f t="shared" ca="1" si="90"/>
        <v>#NAME?</v>
      </c>
      <c r="F551" s="100" t="e">
        <f t="shared" ca="1" si="90"/>
        <v>#NAME?</v>
      </c>
      <c r="G551" s="100" t="e">
        <f t="shared" ca="1" si="83"/>
        <v>#NAME?</v>
      </c>
      <c r="H551" s="100" t="e">
        <f t="shared" ca="1" si="84"/>
        <v>#NAME?</v>
      </c>
      <c r="I551" s="100" t="e">
        <f t="shared" ca="1" si="85"/>
        <v>#NAME?</v>
      </c>
      <c r="J551" s="100" t="e">
        <f t="shared" ca="1" si="86"/>
        <v>#NAME?</v>
      </c>
      <c r="K551" s="100" t="e">
        <f t="shared" ca="1" si="87"/>
        <v>#NAME?</v>
      </c>
      <c r="L551" s="100" t="e">
        <f t="shared" ca="1" si="88"/>
        <v>#NAME?</v>
      </c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</row>
    <row r="552" spans="1:27">
      <c r="A552" s="100" t="e">
        <f t="shared" ca="1" si="82"/>
        <v>#NAME?</v>
      </c>
      <c r="B552" s="100" t="e">
        <f ca="1">IFERROR(__xludf.DUMMYFUNCTION("""COMPUTED_VALUE"""),551)</f>
        <v>#NAME?</v>
      </c>
      <c r="C552" s="100" t="e">
        <f ca="1">IFERROR(__xludf.DUMMYFUNCTION("""COMPUTED_VALUE"""),"SNX-EUR")</f>
        <v>#NAME?</v>
      </c>
      <c r="D552" s="100" t="e">
        <f ca="1">IFERROR(__xludf.DUMMYFUNCTION("""COMPUTED_VALUE"""),"0.5832")</f>
        <v>#NAME?</v>
      </c>
      <c r="E552" s="100" t="e">
        <f t="shared" ca="1" si="90"/>
        <v>#NAME?</v>
      </c>
      <c r="F552" s="100" t="e">
        <f t="shared" ca="1" si="90"/>
        <v>#NAME?</v>
      </c>
      <c r="G552" s="100" t="e">
        <f t="shared" ca="1" si="83"/>
        <v>#NAME?</v>
      </c>
      <c r="H552" s="100" t="e">
        <f t="shared" ca="1" si="84"/>
        <v>#NAME?</v>
      </c>
      <c r="I552" s="100" t="e">
        <f t="shared" ca="1" si="85"/>
        <v>#NAME?</v>
      </c>
      <c r="J552" s="100" t="e">
        <f t="shared" ca="1" si="86"/>
        <v>#NAME?</v>
      </c>
      <c r="K552" s="100" t="e">
        <f t="shared" ca="1" si="87"/>
        <v>#NAME?</v>
      </c>
      <c r="L552" s="100" t="e">
        <f t="shared" ca="1" si="88"/>
        <v>#NAME?</v>
      </c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</row>
    <row r="553" spans="1:27">
      <c r="A553" s="100" t="e">
        <f t="shared" ca="1" si="82"/>
        <v>#NAME?</v>
      </c>
      <c r="B553" s="100" t="e">
        <f ca="1">IFERROR(__xludf.DUMMYFUNCTION("""COMPUTED_VALUE"""),552)</f>
        <v>#NAME?</v>
      </c>
      <c r="C553" s="100" t="e">
        <f ca="1">IFERROR(__xludf.DUMMYFUNCTION("""COMPUTED_VALUE"""),"ACA-USDT")</f>
        <v>#NAME?</v>
      </c>
      <c r="D553" s="100" t="e">
        <f ca="1">IFERROR(__xludf.DUMMYFUNCTION("""COMPUTED_VALUE"""),"0.03084")</f>
        <v>#NAME?</v>
      </c>
      <c r="E553" s="100" t="e">
        <f t="shared" ca="1" si="90"/>
        <v>#NAME?</v>
      </c>
      <c r="F553" s="100" t="e">
        <f t="shared" ca="1" si="90"/>
        <v>#NAME?</v>
      </c>
      <c r="G553" s="100" t="e">
        <f t="shared" ca="1" si="83"/>
        <v>#NAME?</v>
      </c>
      <c r="H553" s="100" t="e">
        <f t="shared" ca="1" si="84"/>
        <v>#NAME?</v>
      </c>
      <c r="I553" s="100" t="e">
        <f t="shared" ca="1" si="85"/>
        <v>#NAME?</v>
      </c>
      <c r="J553" s="100" t="e">
        <f t="shared" ca="1" si="86"/>
        <v>#NAME?</v>
      </c>
      <c r="K553" s="100" t="e">
        <f t="shared" ca="1" si="87"/>
        <v>#NAME?</v>
      </c>
      <c r="L553" s="100" t="e">
        <f t="shared" ca="1" si="88"/>
        <v>#NAME?</v>
      </c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</row>
    <row r="554" spans="1:27">
      <c r="A554" s="100" t="e">
        <f t="shared" ca="1" si="82"/>
        <v>#NAME?</v>
      </c>
      <c r="B554" s="100" t="e">
        <f ca="1">IFERROR(__xludf.DUMMYFUNCTION("""COMPUTED_VALUE"""),553)</f>
        <v>#NAME?</v>
      </c>
      <c r="C554" s="100" t="e">
        <f ca="1">IFERROR(__xludf.DUMMYFUNCTION("""COMPUTED_VALUE"""),"GLMR-USD")</f>
        <v>#NAME?</v>
      </c>
      <c r="D554" s="100" t="e">
        <f ca="1">IFERROR(__xludf.DUMMYFUNCTION("""COMPUTED_VALUE"""),"0.0697")</f>
        <v>#NAME?</v>
      </c>
      <c r="E554" s="100" t="e">
        <f t="shared" ca="1" si="90"/>
        <v>#NAME?</v>
      </c>
      <c r="F554" s="100" t="e">
        <f t="shared" ca="1" si="90"/>
        <v>#NAME?</v>
      </c>
      <c r="G554" s="100" t="e">
        <f t="shared" ca="1" si="83"/>
        <v>#NAME?</v>
      </c>
      <c r="H554" s="100" t="e">
        <f t="shared" ca="1" si="84"/>
        <v>#NAME?</v>
      </c>
      <c r="I554" s="100" t="e">
        <f t="shared" ca="1" si="85"/>
        <v>#NAME?</v>
      </c>
      <c r="J554" s="100" t="e">
        <f t="shared" ca="1" si="86"/>
        <v>#NAME?</v>
      </c>
      <c r="K554" s="100" t="e">
        <f t="shared" ca="1" si="87"/>
        <v>#NAME?</v>
      </c>
      <c r="L554" s="100" t="e">
        <f t="shared" ca="1" si="88"/>
        <v>#NAME?</v>
      </c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</row>
    <row r="555" spans="1:27">
      <c r="A555" s="100" t="e">
        <f t="shared" ca="1" si="82"/>
        <v>#NAME?</v>
      </c>
      <c r="B555" s="100" t="e">
        <f ca="1">IFERROR(__xludf.DUMMYFUNCTION("""COMPUTED_VALUE"""),554)</f>
        <v>#NAME?</v>
      </c>
      <c r="C555" s="100" t="e">
        <f ca="1">IFERROR(__xludf.DUMMYFUNCTION("""COMPUTED_VALUE"""),"RIO-USD")</f>
        <v>#NAME?</v>
      </c>
      <c r="D555" s="100" t="e">
        <f ca="1">IFERROR(__xludf.DUMMYFUNCTION("""COMPUTED_VALUE"""),"0.1908")</f>
        <v>#NAME?</v>
      </c>
      <c r="E555" s="100" t="e">
        <f t="shared" ca="1" si="90"/>
        <v>#NAME?</v>
      </c>
      <c r="F555" s="100" t="e">
        <f t="shared" ca="1" si="90"/>
        <v>#NAME?</v>
      </c>
      <c r="G555" s="100" t="e">
        <f t="shared" ca="1" si="83"/>
        <v>#NAME?</v>
      </c>
      <c r="H555" s="100" t="e">
        <f t="shared" ca="1" si="84"/>
        <v>#NAME?</v>
      </c>
      <c r="I555" s="100" t="e">
        <f t="shared" ca="1" si="85"/>
        <v>#NAME?</v>
      </c>
      <c r="J555" s="100" t="e">
        <f t="shared" ca="1" si="86"/>
        <v>#NAME?</v>
      </c>
      <c r="K555" s="100" t="e">
        <f t="shared" ca="1" si="87"/>
        <v>#NAME?</v>
      </c>
      <c r="L555" s="100" t="e">
        <f t="shared" ca="1" si="88"/>
        <v>#NAME?</v>
      </c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</row>
    <row r="556" spans="1:27">
      <c r="A556" s="100" t="e">
        <f t="shared" ca="1" si="82"/>
        <v>#NAME?</v>
      </c>
      <c r="B556" s="100" t="e">
        <f ca="1">IFERROR(__xludf.DUMMYFUNCTION("""COMPUTED_VALUE"""),555)</f>
        <v>#NAME?</v>
      </c>
      <c r="C556" s="100" t="e">
        <f ca="1">IFERROR(__xludf.DUMMYFUNCTION("""COMPUTED_VALUE"""),"SHIB-USDC")</f>
        <v>#NAME?</v>
      </c>
      <c r="D556" s="100" t="e">
        <f ca="1">IFERROR(__xludf.DUMMYFUNCTION("""COMPUTED_VALUE"""),"0.000012528")</f>
        <v>#NAME?</v>
      </c>
      <c r="E556" s="100" t="e">
        <f t="shared" ca="1" si="90"/>
        <v>#NAME?</v>
      </c>
      <c r="F556" s="100" t="e">
        <f t="shared" ca="1" si="90"/>
        <v>#NAME?</v>
      </c>
      <c r="G556" s="100" t="e">
        <f t="shared" ca="1" si="83"/>
        <v>#NAME?</v>
      </c>
      <c r="H556" s="100" t="e">
        <f t="shared" ca="1" si="84"/>
        <v>#NAME?</v>
      </c>
      <c r="I556" s="100" t="e">
        <f t="shared" ca="1" si="85"/>
        <v>#NAME?</v>
      </c>
      <c r="J556" s="100" t="e">
        <f t="shared" ca="1" si="86"/>
        <v>#NAME?</v>
      </c>
      <c r="K556" s="100" t="e">
        <f t="shared" ca="1" si="87"/>
        <v>#NAME?</v>
      </c>
      <c r="L556" s="100" t="e">
        <f t="shared" ca="1" si="88"/>
        <v>#NAME?</v>
      </c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</row>
    <row r="557" spans="1:27">
      <c r="A557" s="100" t="e">
        <f t="shared" ca="1" si="82"/>
        <v>#NAME?</v>
      </c>
      <c r="B557" s="100" t="e">
        <f ca="1">IFERROR(__xludf.DUMMYFUNCTION("""COMPUTED_VALUE"""),556)</f>
        <v>#NAME?</v>
      </c>
      <c r="C557" s="100" t="e">
        <f ca="1">IFERROR(__xludf.DUMMYFUNCTION("""COMPUTED_VALUE"""),"ICP-EUR")</f>
        <v>#NAME?</v>
      </c>
      <c r="D557" s="100" t="e">
        <f ca="1">IFERROR(__xludf.DUMMYFUNCTION("""COMPUTED_VALUE"""),"4.182")</f>
        <v>#NAME?</v>
      </c>
      <c r="E557" s="100" t="e">
        <f t="shared" ca="1" si="90"/>
        <v>#NAME?</v>
      </c>
      <c r="F557" s="100" t="e">
        <f t="shared" ca="1" si="90"/>
        <v>#NAME?</v>
      </c>
      <c r="G557" s="100" t="e">
        <f t="shared" ca="1" si="83"/>
        <v>#NAME?</v>
      </c>
      <c r="H557" s="100" t="e">
        <f t="shared" ca="1" si="84"/>
        <v>#NAME?</v>
      </c>
      <c r="I557" s="100" t="e">
        <f t="shared" ca="1" si="85"/>
        <v>#NAME?</v>
      </c>
      <c r="J557" s="100" t="e">
        <f t="shared" ca="1" si="86"/>
        <v>#NAME?</v>
      </c>
      <c r="K557" s="100" t="e">
        <f t="shared" ca="1" si="87"/>
        <v>#NAME?</v>
      </c>
      <c r="L557" s="100" t="e">
        <f t="shared" ca="1" si="88"/>
        <v>#NAME?</v>
      </c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</row>
    <row r="558" spans="1:27">
      <c r="A558" s="100" t="e">
        <f t="shared" ca="1" si="82"/>
        <v>#NAME?</v>
      </c>
      <c r="B558" s="100" t="e">
        <f ca="1">IFERROR(__xludf.DUMMYFUNCTION("""COMPUTED_VALUE"""),557)</f>
        <v>#NAME?</v>
      </c>
      <c r="C558" s="100" t="e">
        <f ca="1">IFERROR(__xludf.DUMMYFUNCTION("""COMPUTED_VALUE"""),"KAITO-USDT")</f>
        <v>#NAME?</v>
      </c>
      <c r="D558" s="100" t="e">
        <f ca="1">IFERROR(__xludf.DUMMYFUNCTION("""COMPUTED_VALUE"""),"0.7695")</f>
        <v>#NAME?</v>
      </c>
      <c r="E558" s="100" t="e">
        <f t="shared" ca="1" si="90"/>
        <v>#NAME?</v>
      </c>
      <c r="F558" s="100" t="e">
        <f t="shared" ca="1" si="90"/>
        <v>#NAME?</v>
      </c>
      <c r="G558" s="100" t="e">
        <f t="shared" ca="1" si="83"/>
        <v>#NAME?</v>
      </c>
      <c r="H558" s="100" t="e">
        <f t="shared" ca="1" si="84"/>
        <v>#NAME?</v>
      </c>
      <c r="I558" s="100" t="e">
        <f t="shared" ca="1" si="85"/>
        <v>#NAME?</v>
      </c>
      <c r="J558" s="100" t="e">
        <f t="shared" ca="1" si="86"/>
        <v>#NAME?</v>
      </c>
      <c r="K558" s="100" t="e">
        <f t="shared" ca="1" si="87"/>
        <v>#NAME?</v>
      </c>
      <c r="L558" s="100" t="e">
        <f t="shared" ca="1" si="88"/>
        <v>#NAME?</v>
      </c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</row>
    <row r="559" spans="1:27">
      <c r="A559" s="100" t="e">
        <f t="shared" ca="1" si="82"/>
        <v>#NAME?</v>
      </c>
      <c r="B559" s="100" t="e">
        <f ca="1">IFERROR(__xludf.DUMMYFUNCTION("""COMPUTED_VALUE"""),558)</f>
        <v>#NAME?</v>
      </c>
      <c r="C559" s="100" t="e">
        <f ca="1">IFERROR(__xludf.DUMMYFUNCTION("""COMPUTED_VALUE"""),"THETA-USDT")</f>
        <v>#NAME?</v>
      </c>
      <c r="D559" s="100" t="e">
        <f ca="1">IFERROR(__xludf.DUMMYFUNCTION("""COMPUTED_VALUE"""),"0.6268")</f>
        <v>#NAME?</v>
      </c>
      <c r="E559" s="100" t="e">
        <f t="shared" ca="1" si="90"/>
        <v>#NAME?</v>
      </c>
      <c r="F559" s="100" t="e">
        <f t="shared" ca="1" si="90"/>
        <v>#NAME?</v>
      </c>
      <c r="G559" s="100" t="e">
        <f t="shared" ca="1" si="83"/>
        <v>#NAME?</v>
      </c>
      <c r="H559" s="100" t="e">
        <f t="shared" ca="1" si="84"/>
        <v>#NAME?</v>
      </c>
      <c r="I559" s="100" t="e">
        <f t="shared" ca="1" si="85"/>
        <v>#NAME?</v>
      </c>
      <c r="J559" s="100" t="e">
        <f t="shared" ca="1" si="86"/>
        <v>#NAME?</v>
      </c>
      <c r="K559" s="100" t="e">
        <f t="shared" ca="1" si="87"/>
        <v>#NAME?</v>
      </c>
      <c r="L559" s="100" t="e">
        <f t="shared" ca="1" si="88"/>
        <v>#NAME?</v>
      </c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</row>
    <row r="560" spans="1:27">
      <c r="A560" s="100" t="e">
        <f t="shared" ca="1" si="82"/>
        <v>#NAME?</v>
      </c>
      <c r="B560" s="100" t="e">
        <f ca="1">IFERROR(__xludf.DUMMYFUNCTION("""COMPUTED_VALUE"""),559)</f>
        <v>#NAME?</v>
      </c>
      <c r="C560" s="100" t="e">
        <f ca="1">IFERROR(__xludf.DUMMYFUNCTION("""COMPUTED_VALUE"""),"SAND-EUR")</f>
        <v>#NAME?</v>
      </c>
      <c r="D560" s="100" t="e">
        <f ca="1">IFERROR(__xludf.DUMMYFUNCTION("""COMPUTED_VALUE"""),"0.238")</f>
        <v>#NAME?</v>
      </c>
      <c r="E560" s="100" t="e">
        <f t="shared" ca="1" si="90"/>
        <v>#NAME?</v>
      </c>
      <c r="F560" s="100" t="e">
        <f t="shared" ca="1" si="90"/>
        <v>#NAME?</v>
      </c>
      <c r="G560" s="100" t="e">
        <f t="shared" ca="1" si="83"/>
        <v>#NAME?</v>
      </c>
      <c r="H560" s="100" t="e">
        <f t="shared" ca="1" si="84"/>
        <v>#NAME?</v>
      </c>
      <c r="I560" s="100" t="e">
        <f t="shared" ca="1" si="85"/>
        <v>#NAME?</v>
      </c>
      <c r="J560" s="100" t="e">
        <f t="shared" ca="1" si="86"/>
        <v>#NAME?</v>
      </c>
      <c r="K560" s="100" t="e">
        <f t="shared" ca="1" si="87"/>
        <v>#NAME?</v>
      </c>
      <c r="L560" s="100" t="e">
        <f t="shared" ca="1" si="88"/>
        <v>#NAME?</v>
      </c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</row>
    <row r="561" spans="1:27">
      <c r="A561" s="100" t="e">
        <f t="shared" ca="1" si="82"/>
        <v>#NAME?</v>
      </c>
      <c r="B561" s="100" t="e">
        <f ca="1">IFERROR(__xludf.DUMMYFUNCTION("""COMPUTED_VALUE"""),560)</f>
        <v>#NAME?</v>
      </c>
      <c r="C561" s="100" t="e">
        <f ca="1">IFERROR(__xludf.DUMMYFUNCTION("""COMPUTED_VALUE"""),"ADA-USD")</f>
        <v>#NAME?</v>
      </c>
      <c r="D561" s="100" t="e">
        <f ca="1">IFERROR(__xludf.DUMMYFUNCTION("""COMPUTED_VALUE"""),"0.6337")</f>
        <v>#NAME?</v>
      </c>
      <c r="E561" s="100" t="e">
        <f t="shared" ca="1" si="90"/>
        <v>#NAME?</v>
      </c>
      <c r="F561" s="100" t="e">
        <f t="shared" ca="1" si="90"/>
        <v>#NAME?</v>
      </c>
      <c r="G561" s="100" t="e">
        <f t="shared" ca="1" si="83"/>
        <v>#NAME?</v>
      </c>
      <c r="H561" s="100" t="e">
        <f t="shared" ca="1" si="84"/>
        <v>#NAME?</v>
      </c>
      <c r="I561" s="100" t="e">
        <f t="shared" ca="1" si="85"/>
        <v>#NAME?</v>
      </c>
      <c r="J561" s="100" t="e">
        <f t="shared" ca="1" si="86"/>
        <v>#NAME?</v>
      </c>
      <c r="K561" s="100" t="e">
        <f t="shared" ca="1" si="87"/>
        <v>#NAME?</v>
      </c>
      <c r="L561" s="100" t="e">
        <f t="shared" ca="1" si="88"/>
        <v>#NAME?</v>
      </c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</row>
    <row r="562" spans="1:27">
      <c r="A562" s="100" t="e">
        <f t="shared" ca="1" si="82"/>
        <v>#NAME?</v>
      </c>
      <c r="B562" s="100" t="e">
        <f ca="1">IFERROR(__xludf.DUMMYFUNCTION("""COMPUTED_VALUE"""),561)</f>
        <v>#NAME?</v>
      </c>
      <c r="C562" s="100" t="e">
        <f ca="1">IFERROR(__xludf.DUMMYFUNCTION("""COMPUTED_VALUE"""),"HBAR-USDT")</f>
        <v>#NAME?</v>
      </c>
      <c r="D562" s="100" t="e">
        <f ca="1">IFERROR(__xludf.DUMMYFUNCTION("""COMPUTED_VALUE"""),"0.17249")</f>
        <v>#NAME?</v>
      </c>
      <c r="E562" s="100" t="e">
        <f t="shared" ref="E562:F581" ca="1" si="91">IFERROR(__xludf.DUMMYFUNCTION("""COMPUTED_VALUE"""),"-")</f>
        <v>#NAME?</v>
      </c>
      <c r="F562" s="100" t="e">
        <f t="shared" ca="1" si="91"/>
        <v>#NAME?</v>
      </c>
      <c r="G562" s="100" t="e">
        <f t="shared" ca="1" si="83"/>
        <v>#NAME?</v>
      </c>
      <c r="H562" s="100" t="e">
        <f t="shared" ca="1" si="84"/>
        <v>#NAME?</v>
      </c>
      <c r="I562" s="100" t="e">
        <f t="shared" ca="1" si="85"/>
        <v>#NAME?</v>
      </c>
      <c r="J562" s="100" t="e">
        <f t="shared" ca="1" si="86"/>
        <v>#NAME?</v>
      </c>
      <c r="K562" s="100" t="e">
        <f t="shared" ca="1" si="87"/>
        <v>#NAME?</v>
      </c>
      <c r="L562" s="100" t="e">
        <f t="shared" ca="1" si="88"/>
        <v>#NAME?</v>
      </c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</row>
    <row r="563" spans="1:27">
      <c r="A563" s="100" t="e">
        <f t="shared" ca="1" si="82"/>
        <v>#NAME?</v>
      </c>
      <c r="B563" s="100" t="e">
        <f ca="1">IFERROR(__xludf.DUMMYFUNCTION("""COMPUTED_VALUE"""),562)</f>
        <v>#NAME?</v>
      </c>
      <c r="C563" s="100" t="e">
        <f ca="1">IFERROR(__xludf.DUMMYFUNCTION("""COMPUTED_VALUE"""),"UMA-USD")</f>
        <v>#NAME?</v>
      </c>
      <c r="D563" s="100" t="e">
        <f ca="1">IFERROR(__xludf.DUMMYFUNCTION("""COMPUTED_VALUE"""),"1.111")</f>
        <v>#NAME?</v>
      </c>
      <c r="E563" s="100" t="e">
        <f t="shared" ca="1" si="91"/>
        <v>#NAME?</v>
      </c>
      <c r="F563" s="100" t="e">
        <f t="shared" ca="1" si="91"/>
        <v>#NAME?</v>
      </c>
      <c r="G563" s="100" t="e">
        <f t="shared" ca="1" si="83"/>
        <v>#NAME?</v>
      </c>
      <c r="H563" s="100" t="e">
        <f t="shared" ca="1" si="84"/>
        <v>#NAME?</v>
      </c>
      <c r="I563" s="100" t="e">
        <f t="shared" ca="1" si="85"/>
        <v>#NAME?</v>
      </c>
      <c r="J563" s="100" t="e">
        <f t="shared" ca="1" si="86"/>
        <v>#NAME?</v>
      </c>
      <c r="K563" s="100" t="e">
        <f t="shared" ca="1" si="87"/>
        <v>#NAME?</v>
      </c>
      <c r="L563" s="100" t="e">
        <f t="shared" ca="1" si="88"/>
        <v>#NAME?</v>
      </c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</row>
    <row r="564" spans="1:27">
      <c r="A564" s="100" t="e">
        <f t="shared" ca="1" si="82"/>
        <v>#NAME?</v>
      </c>
      <c r="B564" s="100" t="e">
        <f ca="1">IFERROR(__xludf.DUMMYFUNCTION("""COMPUTED_VALUE"""),563)</f>
        <v>#NAME?</v>
      </c>
      <c r="C564" s="100" t="e">
        <f ca="1">IFERROR(__xludf.DUMMYFUNCTION("""COMPUTED_VALUE"""),"ARB-USD")</f>
        <v>#NAME?</v>
      </c>
      <c r="D564" s="100" t="e">
        <f ca="1">IFERROR(__xludf.DUMMYFUNCTION("""COMPUTED_VALUE"""),"0.3017")</f>
        <v>#NAME?</v>
      </c>
      <c r="E564" s="100" t="e">
        <f t="shared" ca="1" si="91"/>
        <v>#NAME?</v>
      </c>
      <c r="F564" s="100" t="e">
        <f t="shared" ca="1" si="91"/>
        <v>#NAME?</v>
      </c>
      <c r="G564" s="100" t="e">
        <f t="shared" ca="1" si="83"/>
        <v>#NAME?</v>
      </c>
      <c r="H564" s="100" t="e">
        <f t="shared" ca="1" si="84"/>
        <v>#NAME?</v>
      </c>
      <c r="I564" s="100" t="e">
        <f t="shared" ca="1" si="85"/>
        <v>#NAME?</v>
      </c>
      <c r="J564" s="100" t="e">
        <f t="shared" ca="1" si="86"/>
        <v>#NAME?</v>
      </c>
      <c r="K564" s="100" t="e">
        <f t="shared" ca="1" si="87"/>
        <v>#NAME?</v>
      </c>
      <c r="L564" s="100" t="e">
        <f t="shared" ca="1" si="88"/>
        <v>#NAME?</v>
      </c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</row>
    <row r="565" spans="1:27">
      <c r="A565" s="100" t="e">
        <f t="shared" ca="1" si="82"/>
        <v>#NAME?</v>
      </c>
      <c r="B565" s="100" t="e">
        <f ca="1">IFERROR(__xludf.DUMMYFUNCTION("""COMPUTED_VALUE"""),564)</f>
        <v>#NAME?</v>
      </c>
      <c r="C565" s="100" t="e">
        <f ca="1">IFERROR(__xludf.DUMMYFUNCTION("""COMPUTED_VALUE"""),"ANIME-USDT")</f>
        <v>#NAME?</v>
      </c>
      <c r="D565" s="100" t="e">
        <f ca="1">IFERROR(__xludf.DUMMYFUNCTION("""COMPUTED_VALUE"""),"0.01637")</f>
        <v>#NAME?</v>
      </c>
      <c r="E565" s="100" t="e">
        <f t="shared" ca="1" si="91"/>
        <v>#NAME?</v>
      </c>
      <c r="F565" s="100" t="e">
        <f t="shared" ca="1" si="91"/>
        <v>#NAME?</v>
      </c>
      <c r="G565" s="100" t="e">
        <f t="shared" ca="1" si="83"/>
        <v>#NAME?</v>
      </c>
      <c r="H565" s="100" t="e">
        <f t="shared" ca="1" si="84"/>
        <v>#NAME?</v>
      </c>
      <c r="I565" s="100" t="e">
        <f t="shared" ca="1" si="85"/>
        <v>#NAME?</v>
      </c>
      <c r="J565" s="100" t="e">
        <f t="shared" ca="1" si="86"/>
        <v>#NAME?</v>
      </c>
      <c r="K565" s="100" t="e">
        <f t="shared" ca="1" si="87"/>
        <v>#NAME?</v>
      </c>
      <c r="L565" s="100" t="e">
        <f t="shared" ca="1" si="88"/>
        <v>#NAME?</v>
      </c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</row>
    <row r="566" spans="1:27">
      <c r="A566" s="100" t="e">
        <f t="shared" ca="1" si="82"/>
        <v>#NAME?</v>
      </c>
      <c r="B566" s="100" t="e">
        <f ca="1">IFERROR(__xludf.DUMMYFUNCTION("""COMPUTED_VALUE"""),565)</f>
        <v>#NAME?</v>
      </c>
      <c r="C566" s="100" t="e">
        <f ca="1">IFERROR(__xludf.DUMMYFUNCTION("""COMPUTED_VALUE"""),"MAGIC-USD")</f>
        <v>#NAME?</v>
      </c>
      <c r="D566" s="100" t="e">
        <f ca="1">IFERROR(__xludf.DUMMYFUNCTION("""COMPUTED_VALUE"""),"0.258")</f>
        <v>#NAME?</v>
      </c>
      <c r="E566" s="100" t="e">
        <f t="shared" ca="1" si="91"/>
        <v>#NAME?</v>
      </c>
      <c r="F566" s="100" t="e">
        <f t="shared" ca="1" si="91"/>
        <v>#NAME?</v>
      </c>
      <c r="G566" s="100" t="e">
        <f t="shared" ca="1" si="83"/>
        <v>#NAME?</v>
      </c>
      <c r="H566" s="100" t="e">
        <f t="shared" ca="1" si="84"/>
        <v>#NAME?</v>
      </c>
      <c r="I566" s="100" t="e">
        <f t="shared" ca="1" si="85"/>
        <v>#NAME?</v>
      </c>
      <c r="J566" s="100" t="e">
        <f t="shared" ca="1" si="86"/>
        <v>#NAME?</v>
      </c>
      <c r="K566" s="100" t="e">
        <f t="shared" ca="1" si="87"/>
        <v>#NAME?</v>
      </c>
      <c r="L566" s="100" t="e">
        <f t="shared" ca="1" si="88"/>
        <v>#NAME?</v>
      </c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</row>
    <row r="567" spans="1:27">
      <c r="A567" s="100" t="e">
        <f t="shared" ca="1" si="82"/>
        <v>#NAME?</v>
      </c>
      <c r="B567" s="100" t="e">
        <f ca="1">IFERROR(__xludf.DUMMYFUNCTION("""COMPUTED_VALUE"""),566)</f>
        <v>#NAME?</v>
      </c>
      <c r="C567" s="100" t="e">
        <f ca="1">IFERROR(__xludf.DUMMYFUNCTION("""COMPUTED_VALUE"""),"NOT-USDC")</f>
        <v>#NAME?</v>
      </c>
      <c r="D567" s="100" t="e">
        <f ca="1">IFERROR(__xludf.DUMMYFUNCTION("""COMPUTED_VALUE"""),"0.001926")</f>
        <v>#NAME?</v>
      </c>
      <c r="E567" s="100" t="e">
        <f t="shared" ca="1" si="91"/>
        <v>#NAME?</v>
      </c>
      <c r="F567" s="100" t="e">
        <f t="shared" ca="1" si="91"/>
        <v>#NAME?</v>
      </c>
      <c r="G567" s="100" t="e">
        <f t="shared" ca="1" si="83"/>
        <v>#NAME?</v>
      </c>
      <c r="H567" s="100" t="e">
        <f t="shared" ca="1" si="84"/>
        <v>#NAME?</v>
      </c>
      <c r="I567" s="100" t="e">
        <f t="shared" ca="1" si="85"/>
        <v>#NAME?</v>
      </c>
      <c r="J567" s="100" t="e">
        <f t="shared" ca="1" si="86"/>
        <v>#NAME?</v>
      </c>
      <c r="K567" s="100" t="e">
        <f t="shared" ca="1" si="87"/>
        <v>#NAME?</v>
      </c>
      <c r="L567" s="100" t="e">
        <f t="shared" ca="1" si="88"/>
        <v>#NAME?</v>
      </c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</row>
    <row r="568" spans="1:27">
      <c r="A568" s="100" t="e">
        <f t="shared" ca="1" si="82"/>
        <v>#NAME?</v>
      </c>
      <c r="B568" s="100" t="e">
        <f ca="1">IFERROR(__xludf.DUMMYFUNCTION("""COMPUTED_VALUE"""),567)</f>
        <v>#NAME?</v>
      </c>
      <c r="C568" s="100" t="e">
        <f ca="1">IFERROR(__xludf.DUMMYFUNCTION("""COMPUTED_VALUE"""),"SUSHI-USDT")</f>
        <v>#NAME?</v>
      </c>
      <c r="D568" s="100" t="e">
        <f ca="1">IFERROR(__xludf.DUMMYFUNCTION("""COMPUTED_VALUE"""),"0.5999")</f>
        <v>#NAME?</v>
      </c>
      <c r="E568" s="100" t="e">
        <f t="shared" ca="1" si="91"/>
        <v>#NAME?</v>
      </c>
      <c r="F568" s="100" t="e">
        <f t="shared" ca="1" si="91"/>
        <v>#NAME?</v>
      </c>
      <c r="G568" s="100" t="e">
        <f t="shared" ca="1" si="83"/>
        <v>#NAME?</v>
      </c>
      <c r="H568" s="100" t="e">
        <f t="shared" ca="1" si="84"/>
        <v>#NAME?</v>
      </c>
      <c r="I568" s="100" t="e">
        <f t="shared" ca="1" si="85"/>
        <v>#NAME?</v>
      </c>
      <c r="J568" s="100" t="e">
        <f t="shared" ca="1" si="86"/>
        <v>#NAME?</v>
      </c>
      <c r="K568" s="100" t="e">
        <f t="shared" ca="1" si="87"/>
        <v>#NAME?</v>
      </c>
      <c r="L568" s="100" t="e">
        <f t="shared" ca="1" si="88"/>
        <v>#NAME?</v>
      </c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</row>
    <row r="569" spans="1:27">
      <c r="A569" s="100" t="e">
        <f t="shared" ca="1" si="82"/>
        <v>#NAME?</v>
      </c>
      <c r="B569" s="100" t="e">
        <f ca="1">IFERROR(__xludf.DUMMYFUNCTION("""COMPUTED_VALUE"""),568)</f>
        <v>#NAME?</v>
      </c>
      <c r="C569" s="100" t="e">
        <f ca="1">IFERROR(__xludf.DUMMYFUNCTION("""COMPUTED_VALUE"""),"LINK-USDC")</f>
        <v>#NAME?</v>
      </c>
      <c r="D569" s="100" t="e">
        <f ca="1">IFERROR(__xludf.DUMMYFUNCTION("""COMPUTED_VALUE"""),"13.398")</f>
        <v>#NAME?</v>
      </c>
      <c r="E569" s="100" t="e">
        <f t="shared" ca="1" si="91"/>
        <v>#NAME?</v>
      </c>
      <c r="F569" s="100" t="e">
        <f t="shared" ca="1" si="91"/>
        <v>#NAME?</v>
      </c>
      <c r="G569" s="100" t="e">
        <f t="shared" ca="1" si="83"/>
        <v>#NAME?</v>
      </c>
      <c r="H569" s="100" t="e">
        <f t="shared" ca="1" si="84"/>
        <v>#NAME?</v>
      </c>
      <c r="I569" s="100" t="e">
        <f t="shared" ca="1" si="85"/>
        <v>#NAME?</v>
      </c>
      <c r="J569" s="100" t="e">
        <f t="shared" ca="1" si="86"/>
        <v>#NAME?</v>
      </c>
      <c r="K569" s="100" t="e">
        <f t="shared" ca="1" si="87"/>
        <v>#NAME?</v>
      </c>
      <c r="L569" s="100" t="e">
        <f t="shared" ca="1" si="88"/>
        <v>#NAME?</v>
      </c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</row>
    <row r="570" spans="1:27">
      <c r="A570" s="100" t="e">
        <f t="shared" ca="1" si="82"/>
        <v>#NAME?</v>
      </c>
      <c r="B570" s="100" t="e">
        <f ca="1">IFERROR(__xludf.DUMMYFUNCTION("""COMPUTED_VALUE"""),569)</f>
        <v>#NAME?</v>
      </c>
      <c r="C570" s="100" t="e">
        <f ca="1">IFERROR(__xludf.DUMMYFUNCTION("""COMPUTED_VALUE"""),"LTC-USDT")</f>
        <v>#NAME?</v>
      </c>
      <c r="D570" s="100" t="e">
        <f ca="1">IFERROR(__xludf.DUMMYFUNCTION("""COMPUTED_VALUE"""),"79.79")</f>
        <v>#NAME?</v>
      </c>
      <c r="E570" s="100" t="e">
        <f t="shared" ca="1" si="91"/>
        <v>#NAME?</v>
      </c>
      <c r="F570" s="100" t="e">
        <f t="shared" ca="1" si="91"/>
        <v>#NAME?</v>
      </c>
      <c r="G570" s="100" t="e">
        <f t="shared" ca="1" si="83"/>
        <v>#NAME?</v>
      </c>
      <c r="H570" s="100" t="e">
        <f t="shared" ca="1" si="84"/>
        <v>#NAME?</v>
      </c>
      <c r="I570" s="100" t="e">
        <f t="shared" ca="1" si="85"/>
        <v>#NAME?</v>
      </c>
      <c r="J570" s="100" t="e">
        <f t="shared" ca="1" si="86"/>
        <v>#NAME?</v>
      </c>
      <c r="K570" s="100" t="e">
        <f t="shared" ca="1" si="87"/>
        <v>#NAME?</v>
      </c>
      <c r="L570" s="100" t="e">
        <f t="shared" ca="1" si="88"/>
        <v>#NAME?</v>
      </c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</row>
    <row r="571" spans="1:27">
      <c r="A571" s="100" t="e">
        <f t="shared" ca="1" si="82"/>
        <v>#NAME?</v>
      </c>
      <c r="B571" s="100" t="e">
        <f ca="1">IFERROR(__xludf.DUMMYFUNCTION("""COMPUTED_VALUE"""),570)</f>
        <v>#NAME?</v>
      </c>
      <c r="C571" s="100" t="e">
        <f ca="1">IFERROR(__xludf.DUMMYFUNCTION("""COMPUTED_VALUE"""),"ULTI-USDT")</f>
        <v>#NAME?</v>
      </c>
      <c r="D571" s="100" t="e">
        <f ca="1">IFERROR(__xludf.DUMMYFUNCTION("""COMPUTED_VALUE"""),"0.003207")</f>
        <v>#NAME?</v>
      </c>
      <c r="E571" s="100" t="e">
        <f t="shared" ca="1" si="91"/>
        <v>#NAME?</v>
      </c>
      <c r="F571" s="100" t="e">
        <f t="shared" ca="1" si="91"/>
        <v>#NAME?</v>
      </c>
      <c r="G571" s="100" t="e">
        <f t="shared" ca="1" si="83"/>
        <v>#NAME?</v>
      </c>
      <c r="H571" s="100" t="e">
        <f t="shared" ca="1" si="84"/>
        <v>#NAME?</v>
      </c>
      <c r="I571" s="100" t="e">
        <f t="shared" ca="1" si="85"/>
        <v>#NAME?</v>
      </c>
      <c r="J571" s="100" t="e">
        <f t="shared" ca="1" si="86"/>
        <v>#NAME?</v>
      </c>
      <c r="K571" s="100" t="e">
        <f t="shared" ca="1" si="87"/>
        <v>#NAME?</v>
      </c>
      <c r="L571" s="100" t="e">
        <f t="shared" ca="1" si="88"/>
        <v>#NAME?</v>
      </c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</row>
    <row r="572" spans="1:27">
      <c r="B572" s="100" t="e">
        <f ca="1">IFERROR(__xludf.DUMMYFUNCTION("""COMPUTED_VALUE"""),571)</f>
        <v>#NAME?</v>
      </c>
      <c r="C572" s="100" t="e">
        <f ca="1">IFERROR(__xludf.DUMMYFUNCTION("""COMPUTED_VALUE"""),"LINK-USDT")</f>
        <v>#NAME?</v>
      </c>
      <c r="D572" s="100" t="e">
        <f ca="1">IFERROR(__xludf.DUMMYFUNCTION("""COMPUTED_VALUE"""),"13.348")</f>
        <v>#NAME?</v>
      </c>
      <c r="E572" s="100" t="e">
        <f t="shared" ca="1" si="91"/>
        <v>#NAME?</v>
      </c>
      <c r="F572" s="100" t="e">
        <f t="shared" ca="1" si="91"/>
        <v>#NAME?</v>
      </c>
      <c r="G572" s="100" t="e">
        <f t="shared" ca="1" si="83"/>
        <v>#NAME?</v>
      </c>
      <c r="H572" s="100" t="e">
        <f t="shared" ca="1" si="84"/>
        <v>#NAME?</v>
      </c>
      <c r="I572" s="100" t="e">
        <f t="shared" ca="1" si="85"/>
        <v>#NAME?</v>
      </c>
      <c r="J572" s="100" t="e">
        <f t="shared" ca="1" si="86"/>
        <v>#NAME?</v>
      </c>
      <c r="K572" s="100" t="e">
        <f t="shared" ca="1" si="87"/>
        <v>#NAME?</v>
      </c>
      <c r="L572" s="100" t="e">
        <f t="shared" ca="1" si="88"/>
        <v>#NAME?</v>
      </c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</row>
    <row r="573" spans="1:27">
      <c r="B573" s="100" t="e">
        <f ca="1">IFERROR(__xludf.DUMMYFUNCTION("""COMPUTED_VALUE"""),572)</f>
        <v>#NAME?</v>
      </c>
      <c r="C573" s="100" t="e">
        <f ca="1">IFERROR(__xludf.DUMMYFUNCTION("""COMPUTED_VALUE"""),"CITY-USDT")</f>
        <v>#NAME?</v>
      </c>
      <c r="D573" s="100" t="e">
        <f ca="1">IFERROR(__xludf.DUMMYFUNCTION("""COMPUTED_VALUE"""),"1.034")</f>
        <v>#NAME?</v>
      </c>
      <c r="E573" s="100" t="e">
        <f t="shared" ca="1" si="91"/>
        <v>#NAME?</v>
      </c>
      <c r="F573" s="100" t="e">
        <f t="shared" ca="1" si="91"/>
        <v>#NAME?</v>
      </c>
      <c r="G573" s="100" t="e">
        <f t="shared" ca="1" si="83"/>
        <v>#NAME?</v>
      </c>
      <c r="H573" s="100" t="e">
        <f t="shared" ca="1" si="84"/>
        <v>#NAME?</v>
      </c>
      <c r="I573" s="100" t="e">
        <f t="shared" ca="1" si="85"/>
        <v>#NAME?</v>
      </c>
      <c r="J573" s="100" t="e">
        <f t="shared" ca="1" si="86"/>
        <v>#NAME?</v>
      </c>
      <c r="K573" s="100" t="e">
        <f t="shared" ca="1" si="87"/>
        <v>#NAME?</v>
      </c>
      <c r="L573" s="100" t="e">
        <f t="shared" ca="1" si="88"/>
        <v>#NAME?</v>
      </c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</row>
    <row r="574" spans="1:27">
      <c r="B574" s="100" t="e">
        <f ca="1">IFERROR(__xludf.DUMMYFUNCTION("""COMPUTED_VALUE"""),573)</f>
        <v>#NAME?</v>
      </c>
      <c r="C574" s="100" t="e">
        <f ca="1">IFERROR(__xludf.DUMMYFUNCTION("""COMPUTED_VALUE"""),"DOGS-USD")</f>
        <v>#NAME?</v>
      </c>
      <c r="D574" s="100" t="e">
        <f ca="1">IFERROR(__xludf.DUMMYFUNCTION("""COMPUTED_VALUE"""),"0.0001244")</f>
        <v>#NAME?</v>
      </c>
      <c r="E574" s="100" t="e">
        <f t="shared" ca="1" si="91"/>
        <v>#NAME?</v>
      </c>
      <c r="F574" s="100" t="e">
        <f t="shared" ca="1" si="91"/>
        <v>#NAME?</v>
      </c>
      <c r="G574" s="100" t="e">
        <f t="shared" ca="1" si="83"/>
        <v>#NAME?</v>
      </c>
      <c r="H574" s="100" t="e">
        <f t="shared" ca="1" si="84"/>
        <v>#NAME?</v>
      </c>
      <c r="I574" s="100" t="e">
        <f t="shared" ca="1" si="85"/>
        <v>#NAME?</v>
      </c>
      <c r="J574" s="100" t="e">
        <f t="shared" ca="1" si="86"/>
        <v>#NAME?</v>
      </c>
      <c r="K574" s="100" t="e">
        <f t="shared" ca="1" si="87"/>
        <v>#NAME?</v>
      </c>
      <c r="L574" s="100" t="e">
        <f t="shared" ca="1" si="88"/>
        <v>#NAME?</v>
      </c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</row>
    <row r="575" spans="1:27">
      <c r="B575" s="100" t="e">
        <f ca="1">IFERROR(__xludf.DUMMYFUNCTION("""COMPUTED_VALUE"""),574)</f>
        <v>#NAME?</v>
      </c>
      <c r="C575" s="100" t="e">
        <f ca="1">IFERROR(__xludf.DUMMYFUNCTION("""COMPUTED_VALUE"""),"AIXBT-USDT")</f>
        <v>#NAME?</v>
      </c>
      <c r="D575" s="100" t="e">
        <f ca="1">IFERROR(__xludf.DUMMYFUNCTION("""COMPUTED_VALUE"""),"0.08439")</f>
        <v>#NAME?</v>
      </c>
      <c r="E575" s="100" t="e">
        <f t="shared" ca="1" si="91"/>
        <v>#NAME?</v>
      </c>
      <c r="F575" s="100" t="e">
        <f t="shared" ca="1" si="91"/>
        <v>#NAME?</v>
      </c>
      <c r="G575" s="100" t="e">
        <f t="shared" ca="1" si="83"/>
        <v>#NAME?</v>
      </c>
      <c r="H575" s="100" t="e">
        <f t="shared" ca="1" si="84"/>
        <v>#NAME?</v>
      </c>
      <c r="I575" s="100" t="e">
        <f t="shared" ca="1" si="85"/>
        <v>#NAME?</v>
      </c>
      <c r="J575" s="100" t="e">
        <f t="shared" ca="1" si="86"/>
        <v>#NAME?</v>
      </c>
      <c r="K575" s="100" t="e">
        <f t="shared" ca="1" si="87"/>
        <v>#NAME?</v>
      </c>
      <c r="L575" s="100" t="e">
        <f t="shared" ca="1" si="88"/>
        <v>#NAME?</v>
      </c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</row>
    <row r="576" spans="1:27">
      <c r="B576" s="100" t="e">
        <f ca="1">IFERROR(__xludf.DUMMYFUNCTION("""COMPUTED_VALUE"""),575)</f>
        <v>#NAME?</v>
      </c>
      <c r="C576" s="100" t="e">
        <f ca="1">IFERROR(__xludf.DUMMYFUNCTION("""COMPUTED_VALUE"""),"YGG-EUR")</f>
        <v>#NAME?</v>
      </c>
      <c r="D576" s="100" t="e">
        <f ca="1">IFERROR(__xludf.DUMMYFUNCTION("""COMPUTED_VALUE"""),"0.162")</f>
        <v>#NAME?</v>
      </c>
      <c r="E576" s="100" t="e">
        <f t="shared" ca="1" si="91"/>
        <v>#NAME?</v>
      </c>
      <c r="F576" s="100" t="e">
        <f t="shared" ca="1" si="91"/>
        <v>#NAME?</v>
      </c>
      <c r="G576" s="100" t="e">
        <f t="shared" ca="1" si="83"/>
        <v>#NAME?</v>
      </c>
      <c r="H576" s="100" t="e">
        <f t="shared" ca="1" si="84"/>
        <v>#NAME?</v>
      </c>
      <c r="I576" s="100" t="e">
        <f t="shared" ca="1" si="85"/>
        <v>#NAME?</v>
      </c>
      <c r="J576" s="100" t="e">
        <f t="shared" ca="1" si="86"/>
        <v>#NAME?</v>
      </c>
      <c r="K576" s="100" t="e">
        <f t="shared" ca="1" si="87"/>
        <v>#NAME?</v>
      </c>
      <c r="L576" s="100" t="e">
        <f t="shared" ca="1" si="88"/>
        <v>#NAME?</v>
      </c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</row>
    <row r="577" spans="2:27">
      <c r="B577" s="100" t="e">
        <f ca="1">IFERROR(__xludf.DUMMYFUNCTION("""COMPUTED_VALUE"""),576)</f>
        <v>#NAME?</v>
      </c>
      <c r="C577" s="100" t="e">
        <f ca="1">IFERROR(__xludf.DUMMYFUNCTION("""COMPUTED_VALUE"""),"ATOM-EUR")</f>
        <v>#NAME?</v>
      </c>
      <c r="D577" s="100" t="e">
        <f ca="1">IFERROR(__xludf.DUMMYFUNCTION("""COMPUTED_VALUE"""),"3.565")</f>
        <v>#NAME?</v>
      </c>
      <c r="E577" s="100" t="e">
        <f t="shared" ca="1" si="91"/>
        <v>#NAME?</v>
      </c>
      <c r="F577" s="100" t="e">
        <f t="shared" ca="1" si="91"/>
        <v>#NAME?</v>
      </c>
      <c r="G577" s="100" t="e">
        <f t="shared" ca="1" si="83"/>
        <v>#NAME?</v>
      </c>
      <c r="H577" s="100" t="e">
        <f t="shared" ca="1" si="84"/>
        <v>#NAME?</v>
      </c>
      <c r="I577" s="100" t="e">
        <f t="shared" ca="1" si="85"/>
        <v>#NAME?</v>
      </c>
      <c r="J577" s="100" t="e">
        <f t="shared" ca="1" si="86"/>
        <v>#NAME?</v>
      </c>
      <c r="K577" s="100" t="e">
        <f t="shared" ca="1" si="87"/>
        <v>#NAME?</v>
      </c>
      <c r="L577" s="100" t="e">
        <f t="shared" ca="1" si="88"/>
        <v>#NAME?</v>
      </c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</row>
    <row r="578" spans="2:27">
      <c r="B578" s="100" t="e">
        <f ca="1">IFERROR(__xludf.DUMMYFUNCTION("""COMPUTED_VALUE"""),577)</f>
        <v>#NAME?</v>
      </c>
      <c r="C578" s="100" t="e">
        <f ca="1">IFERROR(__xludf.DUMMYFUNCTION("""COMPUTED_VALUE"""),"KDA-USDT")</f>
        <v>#NAME?</v>
      </c>
      <c r="D578" s="100" t="e">
        <f ca="1">IFERROR(__xludf.DUMMYFUNCTION("""COMPUTED_VALUE"""),"0.4627")</f>
        <v>#NAME?</v>
      </c>
      <c r="E578" s="100" t="e">
        <f t="shared" ca="1" si="91"/>
        <v>#NAME?</v>
      </c>
      <c r="F578" s="100" t="e">
        <f t="shared" ca="1" si="91"/>
        <v>#NAME?</v>
      </c>
      <c r="G578" s="100" t="e">
        <f t="shared" ref="G578:G641" ca="1" si="92">IFERROR(__xludf.DUMMYFUNCTION("""COMPUTED_VALUE"""),20200)</f>
        <v>#NAME?</v>
      </c>
      <c r="H578" s="100" t="e">
        <f t="shared" ref="H578:H641" ca="1" si="93">IFERROR(__xludf.DUMMYFUNCTION("""COMPUTED_VALUE"""),2885)</f>
        <v>#NAME?</v>
      </c>
      <c r="I578" s="100" t="e">
        <f t="shared" ref="I578:I641" ca="1" si="94">IFERROR(__xludf.DUMMYFUNCTION("""COMPUTED_VALUE"""),663)</f>
        <v>#NAME?</v>
      </c>
      <c r="J578" s="100" t="e">
        <f t="shared" ref="J578:J641" ca="1" si="95">IFERROR(__xludf.DUMMYFUNCTION("""COMPUTED_VALUE"""),5817714)</f>
        <v>#NAME?</v>
      </c>
      <c r="K578" s="100" t="e">
        <f t="shared" ref="K578:K641" ca="1" si="96">IFERROR(__xludf.DUMMYFUNCTION("""COMPUTED_VALUE"""),"-")</f>
        <v>#NAME?</v>
      </c>
      <c r="L578" s="100" t="e">
        <f t="shared" ref="L578:L641" ca="1" si="97">IFERROR(__xludf.DUMMYFUNCTION("""COMPUTED_VALUE"""),"22.04.2025 12:32:49")</f>
        <v>#NAME?</v>
      </c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</row>
    <row r="579" spans="2:27">
      <c r="B579" s="100" t="e">
        <f ca="1">IFERROR(__xludf.DUMMYFUNCTION("""COMPUTED_VALUE"""),578)</f>
        <v>#NAME?</v>
      </c>
      <c r="C579" s="100" t="e">
        <f ca="1">IFERROR(__xludf.DUMMYFUNCTION("""COMPUTED_VALUE"""),"FLR-USDC")</f>
        <v>#NAME?</v>
      </c>
      <c r="D579" s="100" t="e">
        <f ca="1">IFERROR(__xludf.DUMMYFUNCTION("""COMPUTED_VALUE"""),"0.01608")</f>
        <v>#NAME?</v>
      </c>
      <c r="E579" s="100" t="e">
        <f t="shared" ca="1" si="91"/>
        <v>#NAME?</v>
      </c>
      <c r="F579" s="100" t="e">
        <f t="shared" ca="1" si="91"/>
        <v>#NAME?</v>
      </c>
      <c r="G579" s="100" t="e">
        <f t="shared" ca="1" si="92"/>
        <v>#NAME?</v>
      </c>
      <c r="H579" s="100" t="e">
        <f t="shared" ca="1" si="93"/>
        <v>#NAME?</v>
      </c>
      <c r="I579" s="100" t="e">
        <f t="shared" ca="1" si="94"/>
        <v>#NAME?</v>
      </c>
      <c r="J579" s="100" t="e">
        <f t="shared" ca="1" si="95"/>
        <v>#NAME?</v>
      </c>
      <c r="K579" s="100" t="e">
        <f t="shared" ca="1" si="96"/>
        <v>#NAME?</v>
      </c>
      <c r="L579" s="100" t="e">
        <f t="shared" ca="1" si="97"/>
        <v>#NAME?</v>
      </c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</row>
    <row r="580" spans="2:27">
      <c r="B580" s="100" t="e">
        <f ca="1">IFERROR(__xludf.DUMMYFUNCTION("""COMPUTED_VALUE"""),579)</f>
        <v>#NAME?</v>
      </c>
      <c r="C580" s="100" t="e">
        <f ca="1">IFERROR(__xludf.DUMMYFUNCTION("""COMPUTED_VALUE"""),"ICP-USDC")</f>
        <v>#NAME?</v>
      </c>
      <c r="D580" s="100" t="e">
        <f ca="1">IFERROR(__xludf.DUMMYFUNCTION("""COMPUTED_VALUE"""),"4.687")</f>
        <v>#NAME?</v>
      </c>
      <c r="E580" s="100" t="e">
        <f t="shared" ca="1" si="91"/>
        <v>#NAME?</v>
      </c>
      <c r="F580" s="100" t="e">
        <f t="shared" ca="1" si="91"/>
        <v>#NAME?</v>
      </c>
      <c r="G580" s="100" t="e">
        <f t="shared" ca="1" si="92"/>
        <v>#NAME?</v>
      </c>
      <c r="H580" s="100" t="e">
        <f t="shared" ca="1" si="93"/>
        <v>#NAME?</v>
      </c>
      <c r="I580" s="100" t="e">
        <f t="shared" ca="1" si="94"/>
        <v>#NAME?</v>
      </c>
      <c r="J580" s="100" t="e">
        <f t="shared" ca="1" si="95"/>
        <v>#NAME?</v>
      </c>
      <c r="K580" s="100" t="e">
        <f t="shared" ca="1" si="96"/>
        <v>#NAME?</v>
      </c>
      <c r="L580" s="100" t="e">
        <f t="shared" ca="1" si="97"/>
        <v>#NAME?</v>
      </c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</row>
    <row r="581" spans="2:27">
      <c r="B581" s="100" t="e">
        <f ca="1">IFERROR(__xludf.DUMMYFUNCTION("""COMPUTED_VALUE"""),580)</f>
        <v>#NAME?</v>
      </c>
      <c r="C581" s="100" t="e">
        <f ca="1">IFERROR(__xludf.DUMMYFUNCTION("""COMPUTED_VALUE"""),"PENDLE-USDT")</f>
        <v>#NAME?</v>
      </c>
      <c r="D581" s="100" t="e">
        <f ca="1">IFERROR(__xludf.DUMMYFUNCTION("""COMPUTED_VALUE"""),"3.32")</f>
        <v>#NAME?</v>
      </c>
      <c r="E581" s="100" t="e">
        <f t="shared" ca="1" si="91"/>
        <v>#NAME?</v>
      </c>
      <c r="F581" s="100" t="e">
        <f t="shared" ca="1" si="91"/>
        <v>#NAME?</v>
      </c>
      <c r="G581" s="100" t="e">
        <f t="shared" ca="1" si="92"/>
        <v>#NAME?</v>
      </c>
      <c r="H581" s="100" t="e">
        <f t="shared" ca="1" si="93"/>
        <v>#NAME?</v>
      </c>
      <c r="I581" s="100" t="e">
        <f t="shared" ca="1" si="94"/>
        <v>#NAME?</v>
      </c>
      <c r="J581" s="100" t="e">
        <f t="shared" ca="1" si="95"/>
        <v>#NAME?</v>
      </c>
      <c r="K581" s="100" t="e">
        <f t="shared" ca="1" si="96"/>
        <v>#NAME?</v>
      </c>
      <c r="L581" s="100" t="e">
        <f t="shared" ca="1" si="97"/>
        <v>#NAME?</v>
      </c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</row>
    <row r="582" spans="2:27">
      <c r="B582" s="100" t="e">
        <f ca="1">IFERROR(__xludf.DUMMYFUNCTION("""COMPUTED_VALUE"""),581)</f>
        <v>#NAME?</v>
      </c>
      <c r="C582" s="100" t="e">
        <f ca="1">IFERROR(__xludf.DUMMYFUNCTION("""COMPUTED_VALUE"""),"WLD-USDC")</f>
        <v>#NAME?</v>
      </c>
      <c r="D582" s="100" t="e">
        <f ca="1">IFERROR(__xludf.DUMMYFUNCTION("""COMPUTED_VALUE"""),"0.7891")</f>
        <v>#NAME?</v>
      </c>
      <c r="E582" s="100" t="e">
        <f t="shared" ref="E582:F601" ca="1" si="98">IFERROR(__xludf.DUMMYFUNCTION("""COMPUTED_VALUE"""),"-")</f>
        <v>#NAME?</v>
      </c>
      <c r="F582" s="100" t="e">
        <f t="shared" ca="1" si="98"/>
        <v>#NAME?</v>
      </c>
      <c r="G582" s="100" t="e">
        <f t="shared" ca="1" si="92"/>
        <v>#NAME?</v>
      </c>
      <c r="H582" s="100" t="e">
        <f t="shared" ca="1" si="93"/>
        <v>#NAME?</v>
      </c>
      <c r="I582" s="100" t="e">
        <f t="shared" ca="1" si="94"/>
        <v>#NAME?</v>
      </c>
      <c r="J582" s="100" t="e">
        <f t="shared" ca="1" si="95"/>
        <v>#NAME?</v>
      </c>
      <c r="K582" s="100" t="e">
        <f t="shared" ca="1" si="96"/>
        <v>#NAME?</v>
      </c>
      <c r="L582" s="100" t="e">
        <f t="shared" ca="1" si="97"/>
        <v>#NAME?</v>
      </c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</row>
    <row r="583" spans="2:27">
      <c r="B583" s="100" t="e">
        <f ca="1">IFERROR(__xludf.DUMMYFUNCTION("""COMPUTED_VALUE"""),582)</f>
        <v>#NAME?</v>
      </c>
      <c r="C583" s="100" t="e">
        <f ca="1">IFERROR(__xludf.DUMMYFUNCTION("""COMPUTED_VALUE"""),"TURBO-USD")</f>
        <v>#NAME?</v>
      </c>
      <c r="D583" s="100" t="e">
        <f ca="1">IFERROR(__xludf.DUMMYFUNCTION("""COMPUTED_VALUE"""),"0.002569")</f>
        <v>#NAME?</v>
      </c>
      <c r="E583" s="100" t="e">
        <f t="shared" ca="1" si="98"/>
        <v>#NAME?</v>
      </c>
      <c r="F583" s="100" t="e">
        <f t="shared" ca="1" si="98"/>
        <v>#NAME?</v>
      </c>
      <c r="G583" s="100" t="e">
        <f t="shared" ca="1" si="92"/>
        <v>#NAME?</v>
      </c>
      <c r="H583" s="100" t="e">
        <f t="shared" ca="1" si="93"/>
        <v>#NAME?</v>
      </c>
      <c r="I583" s="100" t="e">
        <f t="shared" ca="1" si="94"/>
        <v>#NAME?</v>
      </c>
      <c r="J583" s="100" t="e">
        <f t="shared" ca="1" si="95"/>
        <v>#NAME?</v>
      </c>
      <c r="K583" s="100" t="e">
        <f t="shared" ca="1" si="96"/>
        <v>#NAME?</v>
      </c>
      <c r="L583" s="100" t="e">
        <f t="shared" ca="1" si="97"/>
        <v>#NAME?</v>
      </c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</row>
    <row r="584" spans="2:27">
      <c r="B584" s="100" t="e">
        <f ca="1">IFERROR(__xludf.DUMMYFUNCTION("""COMPUTED_VALUE"""),583)</f>
        <v>#NAME?</v>
      </c>
      <c r="C584" s="100" t="e">
        <f ca="1">IFERROR(__xludf.DUMMYFUNCTION("""COMPUTED_VALUE"""),"XTZ-USDT")</f>
        <v>#NAME?</v>
      </c>
      <c r="D584" s="100" t="e">
        <f ca="1">IFERROR(__xludf.DUMMYFUNCTION("""COMPUTED_VALUE"""),"0.5071")</f>
        <v>#NAME?</v>
      </c>
      <c r="E584" s="100" t="e">
        <f t="shared" ca="1" si="98"/>
        <v>#NAME?</v>
      </c>
      <c r="F584" s="100" t="e">
        <f t="shared" ca="1" si="98"/>
        <v>#NAME?</v>
      </c>
      <c r="G584" s="100" t="e">
        <f t="shared" ca="1" si="92"/>
        <v>#NAME?</v>
      </c>
      <c r="H584" s="100" t="e">
        <f t="shared" ca="1" si="93"/>
        <v>#NAME?</v>
      </c>
      <c r="I584" s="100" t="e">
        <f t="shared" ca="1" si="94"/>
        <v>#NAME?</v>
      </c>
      <c r="J584" s="100" t="e">
        <f t="shared" ca="1" si="95"/>
        <v>#NAME?</v>
      </c>
      <c r="K584" s="100" t="e">
        <f t="shared" ca="1" si="96"/>
        <v>#NAME?</v>
      </c>
      <c r="L584" s="100" t="e">
        <f t="shared" ca="1" si="97"/>
        <v>#NAME?</v>
      </c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</row>
    <row r="585" spans="2:27">
      <c r="B585" s="100" t="e">
        <f ca="1">IFERROR(__xludf.DUMMYFUNCTION("""COMPUTED_VALUE"""),584)</f>
        <v>#NAME?</v>
      </c>
      <c r="C585" s="100" t="e">
        <f ca="1">IFERROR(__xludf.DUMMYFUNCTION("""COMPUTED_VALUE"""),"KSM-USD")</f>
        <v>#NAME?</v>
      </c>
      <c r="D585" s="100" t="e">
        <f ca="1">IFERROR(__xludf.DUMMYFUNCTION("""COMPUTED_VALUE"""),"14")</f>
        <v>#NAME?</v>
      </c>
      <c r="E585" s="100" t="e">
        <f t="shared" ca="1" si="98"/>
        <v>#NAME?</v>
      </c>
      <c r="F585" s="100" t="e">
        <f t="shared" ca="1" si="98"/>
        <v>#NAME?</v>
      </c>
      <c r="G585" s="100" t="e">
        <f t="shared" ca="1" si="92"/>
        <v>#NAME?</v>
      </c>
      <c r="H585" s="100" t="e">
        <f t="shared" ca="1" si="93"/>
        <v>#NAME?</v>
      </c>
      <c r="I585" s="100" t="e">
        <f t="shared" ca="1" si="94"/>
        <v>#NAME?</v>
      </c>
      <c r="J585" s="100" t="e">
        <f t="shared" ca="1" si="95"/>
        <v>#NAME?</v>
      </c>
      <c r="K585" s="100" t="e">
        <f t="shared" ca="1" si="96"/>
        <v>#NAME?</v>
      </c>
      <c r="L585" s="100" t="e">
        <f t="shared" ca="1" si="97"/>
        <v>#NAME?</v>
      </c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</row>
    <row r="586" spans="2:27">
      <c r="B586" s="100" t="e">
        <f ca="1">IFERROR(__xludf.DUMMYFUNCTION("""COMPUTED_VALUE"""),585)</f>
        <v>#NAME?</v>
      </c>
      <c r="C586" s="100" t="e">
        <f ca="1">IFERROR(__xludf.DUMMYFUNCTION("""COMPUTED_VALUE"""),"ACE-USDT")</f>
        <v>#NAME?</v>
      </c>
      <c r="D586" s="100" t="e">
        <f ca="1">IFERROR(__xludf.DUMMYFUNCTION("""COMPUTED_VALUE"""),"0.6166")</f>
        <v>#NAME?</v>
      </c>
      <c r="E586" s="100" t="e">
        <f t="shared" ca="1" si="98"/>
        <v>#NAME?</v>
      </c>
      <c r="F586" s="100" t="e">
        <f t="shared" ca="1" si="98"/>
        <v>#NAME?</v>
      </c>
      <c r="G586" s="100" t="e">
        <f t="shared" ca="1" si="92"/>
        <v>#NAME?</v>
      </c>
      <c r="H586" s="100" t="e">
        <f t="shared" ca="1" si="93"/>
        <v>#NAME?</v>
      </c>
      <c r="I586" s="100" t="e">
        <f t="shared" ca="1" si="94"/>
        <v>#NAME?</v>
      </c>
      <c r="J586" s="100" t="e">
        <f t="shared" ca="1" si="95"/>
        <v>#NAME?</v>
      </c>
      <c r="K586" s="100" t="e">
        <f t="shared" ca="1" si="96"/>
        <v>#NAME?</v>
      </c>
      <c r="L586" s="100" t="e">
        <f t="shared" ca="1" si="97"/>
        <v>#NAME?</v>
      </c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</row>
    <row r="587" spans="2:27">
      <c r="B587" s="100" t="e">
        <f ca="1">IFERROR(__xludf.DUMMYFUNCTION("""COMPUTED_VALUE"""),586)</f>
        <v>#NAME?</v>
      </c>
      <c r="C587" s="100" t="e">
        <f ca="1">IFERROR(__xludf.DUMMYFUNCTION("""COMPUTED_VALUE"""),"BTC-BRL")</f>
        <v>#NAME?</v>
      </c>
      <c r="D587" s="100" t="e">
        <f ca="1">IFERROR(__xludf.DUMMYFUNCTION("""COMPUTED_VALUE"""),"515352")</f>
        <v>#NAME?</v>
      </c>
      <c r="E587" s="100" t="e">
        <f t="shared" ca="1" si="98"/>
        <v>#NAME?</v>
      </c>
      <c r="F587" s="100" t="e">
        <f t="shared" ca="1" si="98"/>
        <v>#NAME?</v>
      </c>
      <c r="G587" s="100" t="e">
        <f t="shared" ca="1" si="92"/>
        <v>#NAME?</v>
      </c>
      <c r="H587" s="100" t="e">
        <f t="shared" ca="1" si="93"/>
        <v>#NAME?</v>
      </c>
      <c r="I587" s="100" t="e">
        <f t="shared" ca="1" si="94"/>
        <v>#NAME?</v>
      </c>
      <c r="J587" s="100" t="e">
        <f t="shared" ca="1" si="95"/>
        <v>#NAME?</v>
      </c>
      <c r="K587" s="100" t="e">
        <f t="shared" ca="1" si="96"/>
        <v>#NAME?</v>
      </c>
      <c r="L587" s="100" t="e">
        <f t="shared" ca="1" si="97"/>
        <v>#NAME?</v>
      </c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</row>
    <row r="588" spans="2:27">
      <c r="B588" s="100" t="e">
        <f ca="1">IFERROR(__xludf.DUMMYFUNCTION("""COMPUTED_VALUE"""),587)</f>
        <v>#NAME?</v>
      </c>
      <c r="C588" s="100" t="e">
        <f ca="1">IFERROR(__xludf.DUMMYFUNCTION("""COMPUTED_VALUE"""),"FLM-USD")</f>
        <v>#NAME?</v>
      </c>
      <c r="D588" s="100" t="e">
        <f ca="1">IFERROR(__xludf.DUMMYFUNCTION("""COMPUTED_VALUE"""),"0.01839")</f>
        <v>#NAME?</v>
      </c>
      <c r="E588" s="100" t="e">
        <f t="shared" ca="1" si="98"/>
        <v>#NAME?</v>
      </c>
      <c r="F588" s="100" t="e">
        <f t="shared" ca="1" si="98"/>
        <v>#NAME?</v>
      </c>
      <c r="G588" s="100" t="e">
        <f t="shared" ca="1" si="92"/>
        <v>#NAME?</v>
      </c>
      <c r="H588" s="100" t="e">
        <f t="shared" ca="1" si="93"/>
        <v>#NAME?</v>
      </c>
      <c r="I588" s="100" t="e">
        <f t="shared" ca="1" si="94"/>
        <v>#NAME?</v>
      </c>
      <c r="J588" s="100" t="e">
        <f t="shared" ca="1" si="95"/>
        <v>#NAME?</v>
      </c>
      <c r="K588" s="100" t="e">
        <f t="shared" ca="1" si="96"/>
        <v>#NAME?</v>
      </c>
      <c r="L588" s="100" t="e">
        <f t="shared" ca="1" si="97"/>
        <v>#NAME?</v>
      </c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</row>
    <row r="589" spans="2:27">
      <c r="B589" s="100" t="e">
        <f ca="1">IFERROR(__xludf.DUMMYFUNCTION("""COMPUTED_VALUE"""),588)</f>
        <v>#NAME?</v>
      </c>
      <c r="C589" s="100" t="e">
        <f ca="1">IFERROR(__xludf.DUMMYFUNCTION("""COMPUTED_VALUE"""),"AVAX-USD")</f>
        <v>#NAME?</v>
      </c>
      <c r="D589" s="100" t="e">
        <f ca="1">IFERROR(__xludf.DUMMYFUNCTION("""COMPUTED_VALUE"""),"20.075")</f>
        <v>#NAME?</v>
      </c>
      <c r="E589" s="100" t="e">
        <f t="shared" ca="1" si="98"/>
        <v>#NAME?</v>
      </c>
      <c r="F589" s="100" t="e">
        <f t="shared" ca="1" si="98"/>
        <v>#NAME?</v>
      </c>
      <c r="G589" s="100" t="e">
        <f t="shared" ca="1" si="92"/>
        <v>#NAME?</v>
      </c>
      <c r="H589" s="100" t="e">
        <f t="shared" ca="1" si="93"/>
        <v>#NAME?</v>
      </c>
      <c r="I589" s="100" t="e">
        <f t="shared" ca="1" si="94"/>
        <v>#NAME?</v>
      </c>
      <c r="J589" s="100" t="e">
        <f t="shared" ca="1" si="95"/>
        <v>#NAME?</v>
      </c>
      <c r="K589" s="100" t="e">
        <f t="shared" ca="1" si="96"/>
        <v>#NAME?</v>
      </c>
      <c r="L589" s="100" t="e">
        <f t="shared" ca="1" si="97"/>
        <v>#NAME?</v>
      </c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</row>
    <row r="590" spans="2:27">
      <c r="B590" s="100" t="e">
        <f ca="1">IFERROR(__xludf.DUMMYFUNCTION("""COMPUTED_VALUE"""),589)</f>
        <v>#NAME?</v>
      </c>
      <c r="C590" s="100" t="e">
        <f ca="1">IFERROR(__xludf.DUMMYFUNCTION("""COMPUTED_VALUE"""),"STETH-USDT")</f>
        <v>#NAME?</v>
      </c>
      <c r="D590" s="100" t="e">
        <f ca="1">IFERROR(__xludf.DUMMYFUNCTION("""COMPUTED_VALUE"""),"1624.9")</f>
        <v>#NAME?</v>
      </c>
      <c r="E590" s="100" t="e">
        <f t="shared" ca="1" si="98"/>
        <v>#NAME?</v>
      </c>
      <c r="F590" s="100" t="e">
        <f t="shared" ca="1" si="98"/>
        <v>#NAME?</v>
      </c>
      <c r="G590" s="100" t="e">
        <f t="shared" ca="1" si="92"/>
        <v>#NAME?</v>
      </c>
      <c r="H590" s="100" t="e">
        <f t="shared" ca="1" si="93"/>
        <v>#NAME?</v>
      </c>
      <c r="I590" s="100" t="e">
        <f t="shared" ca="1" si="94"/>
        <v>#NAME?</v>
      </c>
      <c r="J590" s="100" t="e">
        <f t="shared" ca="1" si="95"/>
        <v>#NAME?</v>
      </c>
      <c r="K590" s="100" t="e">
        <f t="shared" ca="1" si="96"/>
        <v>#NAME?</v>
      </c>
      <c r="L590" s="100" t="e">
        <f t="shared" ca="1" si="97"/>
        <v>#NAME?</v>
      </c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</row>
    <row r="591" spans="2:27">
      <c r="B591" s="100" t="e">
        <f ca="1">IFERROR(__xludf.DUMMYFUNCTION("""COMPUTED_VALUE"""),590)</f>
        <v>#NAME?</v>
      </c>
      <c r="C591" s="100" t="e">
        <f ca="1">IFERROR(__xludf.DUMMYFUNCTION("""COMPUTED_VALUE"""),"ARB-EUR")</f>
        <v>#NAME?</v>
      </c>
      <c r="D591" s="100" t="e">
        <f ca="1">IFERROR(__xludf.DUMMYFUNCTION("""COMPUTED_VALUE"""),"0.2604")</f>
        <v>#NAME?</v>
      </c>
      <c r="E591" s="100" t="e">
        <f t="shared" ca="1" si="98"/>
        <v>#NAME?</v>
      </c>
      <c r="F591" s="100" t="e">
        <f t="shared" ca="1" si="98"/>
        <v>#NAME?</v>
      </c>
      <c r="G591" s="100" t="e">
        <f t="shared" ca="1" si="92"/>
        <v>#NAME?</v>
      </c>
      <c r="H591" s="100" t="e">
        <f t="shared" ca="1" si="93"/>
        <v>#NAME?</v>
      </c>
      <c r="I591" s="100" t="e">
        <f t="shared" ca="1" si="94"/>
        <v>#NAME?</v>
      </c>
      <c r="J591" s="100" t="e">
        <f t="shared" ca="1" si="95"/>
        <v>#NAME?</v>
      </c>
      <c r="K591" s="100" t="e">
        <f t="shared" ca="1" si="96"/>
        <v>#NAME?</v>
      </c>
      <c r="L591" s="100" t="e">
        <f t="shared" ca="1" si="97"/>
        <v>#NAME?</v>
      </c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</row>
    <row r="592" spans="2:27">
      <c r="B592" s="100" t="e">
        <f ca="1">IFERROR(__xludf.DUMMYFUNCTION("""COMPUTED_VALUE"""),591)</f>
        <v>#NAME?</v>
      </c>
      <c r="C592" s="100" t="e">
        <f ca="1">IFERROR(__xludf.DUMMYFUNCTION("""COMPUTED_VALUE"""),"TRUMP-TRY")</f>
        <v>#NAME?</v>
      </c>
      <c r="D592" s="100" t="e">
        <f ca="1">IFERROR(__xludf.DUMMYFUNCTION("""COMPUTED_VALUE"""),"326.8")</f>
        <v>#NAME?</v>
      </c>
      <c r="E592" s="100" t="e">
        <f t="shared" ca="1" si="98"/>
        <v>#NAME?</v>
      </c>
      <c r="F592" s="100" t="e">
        <f t="shared" ca="1" si="98"/>
        <v>#NAME?</v>
      </c>
      <c r="G592" s="100" t="e">
        <f t="shared" ca="1" si="92"/>
        <v>#NAME?</v>
      </c>
      <c r="H592" s="100" t="e">
        <f t="shared" ca="1" si="93"/>
        <v>#NAME?</v>
      </c>
      <c r="I592" s="100" t="e">
        <f t="shared" ca="1" si="94"/>
        <v>#NAME?</v>
      </c>
      <c r="J592" s="100" t="e">
        <f t="shared" ca="1" si="95"/>
        <v>#NAME?</v>
      </c>
      <c r="K592" s="100" t="e">
        <f t="shared" ca="1" si="96"/>
        <v>#NAME?</v>
      </c>
      <c r="L592" s="100" t="e">
        <f t="shared" ca="1" si="97"/>
        <v>#NAME?</v>
      </c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</row>
    <row r="593" spans="2:27">
      <c r="B593" s="100" t="e">
        <f ca="1">IFERROR(__xludf.DUMMYFUNCTION("""COMPUTED_VALUE"""),592)</f>
        <v>#NAME?</v>
      </c>
      <c r="C593" s="100" t="e">
        <f ca="1">IFERROR(__xludf.DUMMYFUNCTION("""COMPUTED_VALUE"""),"ETHW-USDC")</f>
        <v>#NAME?</v>
      </c>
      <c r="D593" s="100" t="e">
        <f ca="1">IFERROR(__xludf.DUMMYFUNCTION("""COMPUTED_VALUE"""),"1.3")</f>
        <v>#NAME?</v>
      </c>
      <c r="E593" s="100" t="e">
        <f t="shared" ca="1" si="98"/>
        <v>#NAME?</v>
      </c>
      <c r="F593" s="100" t="e">
        <f t="shared" ca="1" si="98"/>
        <v>#NAME?</v>
      </c>
      <c r="G593" s="100" t="e">
        <f t="shared" ca="1" si="92"/>
        <v>#NAME?</v>
      </c>
      <c r="H593" s="100" t="e">
        <f t="shared" ca="1" si="93"/>
        <v>#NAME?</v>
      </c>
      <c r="I593" s="100" t="e">
        <f t="shared" ca="1" si="94"/>
        <v>#NAME?</v>
      </c>
      <c r="J593" s="100" t="e">
        <f t="shared" ca="1" si="95"/>
        <v>#NAME?</v>
      </c>
      <c r="K593" s="100" t="e">
        <f t="shared" ca="1" si="96"/>
        <v>#NAME?</v>
      </c>
      <c r="L593" s="100" t="e">
        <f t="shared" ca="1" si="97"/>
        <v>#NAME?</v>
      </c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</row>
    <row r="594" spans="2:27">
      <c r="B594" s="100" t="e">
        <f ca="1">IFERROR(__xludf.DUMMYFUNCTION("""COMPUTED_VALUE"""),593)</f>
        <v>#NAME?</v>
      </c>
      <c r="C594" s="100" t="e">
        <f ca="1">IFERROR(__xludf.DUMMYFUNCTION("""COMPUTED_VALUE"""),"ELF-USDT")</f>
        <v>#NAME?</v>
      </c>
      <c r="D594" s="100" t="e">
        <f ca="1">IFERROR(__xludf.DUMMYFUNCTION("""COMPUTED_VALUE"""),"0.2252")</f>
        <v>#NAME?</v>
      </c>
      <c r="E594" s="100" t="e">
        <f t="shared" ca="1" si="98"/>
        <v>#NAME?</v>
      </c>
      <c r="F594" s="100" t="e">
        <f t="shared" ca="1" si="98"/>
        <v>#NAME?</v>
      </c>
      <c r="G594" s="100" t="e">
        <f t="shared" ca="1" si="92"/>
        <v>#NAME?</v>
      </c>
      <c r="H594" s="100" t="e">
        <f t="shared" ca="1" si="93"/>
        <v>#NAME?</v>
      </c>
      <c r="I594" s="100" t="e">
        <f t="shared" ca="1" si="94"/>
        <v>#NAME?</v>
      </c>
      <c r="J594" s="100" t="e">
        <f t="shared" ca="1" si="95"/>
        <v>#NAME?</v>
      </c>
      <c r="K594" s="100" t="e">
        <f t="shared" ca="1" si="96"/>
        <v>#NAME?</v>
      </c>
      <c r="L594" s="100" t="e">
        <f t="shared" ca="1" si="97"/>
        <v>#NAME?</v>
      </c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</row>
    <row r="595" spans="2:27">
      <c r="B595" s="100" t="e">
        <f ca="1">IFERROR(__xludf.DUMMYFUNCTION("""COMPUTED_VALUE"""),594)</f>
        <v>#NAME?</v>
      </c>
      <c r="C595" s="100" t="e">
        <f ca="1">IFERROR(__xludf.DUMMYFUNCTION("""COMPUTED_VALUE"""),"SUI-USDC")</f>
        <v>#NAME?</v>
      </c>
      <c r="D595" s="100" t="e">
        <f ca="1">IFERROR(__xludf.DUMMYFUNCTION("""COMPUTED_VALUE"""),"2.3083")</f>
        <v>#NAME?</v>
      </c>
      <c r="E595" s="100" t="e">
        <f t="shared" ca="1" si="98"/>
        <v>#NAME?</v>
      </c>
      <c r="F595" s="100" t="e">
        <f t="shared" ca="1" si="98"/>
        <v>#NAME?</v>
      </c>
      <c r="G595" s="100" t="e">
        <f t="shared" ca="1" si="92"/>
        <v>#NAME?</v>
      </c>
      <c r="H595" s="100" t="e">
        <f t="shared" ca="1" si="93"/>
        <v>#NAME?</v>
      </c>
      <c r="I595" s="100" t="e">
        <f t="shared" ca="1" si="94"/>
        <v>#NAME?</v>
      </c>
      <c r="J595" s="100" t="e">
        <f t="shared" ca="1" si="95"/>
        <v>#NAME?</v>
      </c>
      <c r="K595" s="100" t="e">
        <f t="shared" ca="1" si="96"/>
        <v>#NAME?</v>
      </c>
      <c r="L595" s="100" t="e">
        <f t="shared" ca="1" si="97"/>
        <v>#NAME?</v>
      </c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</row>
    <row r="596" spans="2:27">
      <c r="B596" s="100" t="e">
        <f ca="1">IFERROR(__xludf.DUMMYFUNCTION("""COMPUTED_VALUE"""),595)</f>
        <v>#NAME?</v>
      </c>
      <c r="C596" s="100" t="e">
        <f ca="1">IFERROR(__xludf.DUMMYFUNCTION("""COMPUTED_VALUE"""),"RVN-USDT")</f>
        <v>#NAME?</v>
      </c>
      <c r="D596" s="100" t="e">
        <f ca="1">IFERROR(__xludf.DUMMYFUNCTION("""COMPUTED_VALUE"""),"0.01118")</f>
        <v>#NAME?</v>
      </c>
      <c r="E596" s="100" t="e">
        <f t="shared" ca="1" si="98"/>
        <v>#NAME?</v>
      </c>
      <c r="F596" s="100" t="e">
        <f t="shared" ca="1" si="98"/>
        <v>#NAME?</v>
      </c>
      <c r="G596" s="100" t="e">
        <f t="shared" ca="1" si="92"/>
        <v>#NAME?</v>
      </c>
      <c r="H596" s="100" t="e">
        <f t="shared" ca="1" si="93"/>
        <v>#NAME?</v>
      </c>
      <c r="I596" s="100" t="e">
        <f t="shared" ca="1" si="94"/>
        <v>#NAME?</v>
      </c>
      <c r="J596" s="100" t="e">
        <f t="shared" ca="1" si="95"/>
        <v>#NAME?</v>
      </c>
      <c r="K596" s="100" t="e">
        <f t="shared" ca="1" si="96"/>
        <v>#NAME?</v>
      </c>
      <c r="L596" s="100" t="e">
        <f t="shared" ca="1" si="97"/>
        <v>#NAME?</v>
      </c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</row>
    <row r="597" spans="2:27">
      <c r="B597" s="100" t="e">
        <f ca="1">IFERROR(__xludf.DUMMYFUNCTION("""COMPUTED_VALUE"""),596)</f>
        <v>#NAME?</v>
      </c>
      <c r="C597" s="100" t="e">
        <f ca="1">IFERROR(__xludf.DUMMYFUNCTION("""COMPUTED_VALUE"""),"WLD-USDT")</f>
        <v>#NAME?</v>
      </c>
      <c r="D597" s="100" t="e">
        <f ca="1">IFERROR(__xludf.DUMMYFUNCTION("""COMPUTED_VALUE"""),"0.7795")</f>
        <v>#NAME?</v>
      </c>
      <c r="E597" s="100" t="e">
        <f t="shared" ca="1" si="98"/>
        <v>#NAME?</v>
      </c>
      <c r="F597" s="100" t="e">
        <f t="shared" ca="1" si="98"/>
        <v>#NAME?</v>
      </c>
      <c r="G597" s="100" t="e">
        <f t="shared" ca="1" si="92"/>
        <v>#NAME?</v>
      </c>
      <c r="H597" s="100" t="e">
        <f t="shared" ca="1" si="93"/>
        <v>#NAME?</v>
      </c>
      <c r="I597" s="100" t="e">
        <f t="shared" ca="1" si="94"/>
        <v>#NAME?</v>
      </c>
      <c r="J597" s="100" t="e">
        <f t="shared" ca="1" si="95"/>
        <v>#NAME?</v>
      </c>
      <c r="K597" s="100" t="e">
        <f t="shared" ca="1" si="96"/>
        <v>#NAME?</v>
      </c>
      <c r="L597" s="100" t="e">
        <f t="shared" ca="1" si="97"/>
        <v>#NAME?</v>
      </c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</row>
    <row r="598" spans="2:27">
      <c r="B598" s="100" t="e">
        <f ca="1">IFERROR(__xludf.DUMMYFUNCTION("""COMPUTED_VALUE"""),597)</f>
        <v>#NAME?</v>
      </c>
      <c r="C598" s="100" t="e">
        <f ca="1">IFERROR(__xludf.DUMMYFUNCTION("""COMPUTED_VALUE"""),"TRUMP-EUR")</f>
        <v>#NAME?</v>
      </c>
      <c r="D598" s="100" t="e">
        <f ca="1">IFERROR(__xludf.DUMMYFUNCTION("""COMPUTED_VALUE"""),"7.435")</f>
        <v>#NAME?</v>
      </c>
      <c r="E598" s="100" t="e">
        <f t="shared" ca="1" si="98"/>
        <v>#NAME?</v>
      </c>
      <c r="F598" s="100" t="e">
        <f t="shared" ca="1" si="98"/>
        <v>#NAME?</v>
      </c>
      <c r="G598" s="100" t="e">
        <f t="shared" ca="1" si="92"/>
        <v>#NAME?</v>
      </c>
      <c r="H598" s="100" t="e">
        <f t="shared" ca="1" si="93"/>
        <v>#NAME?</v>
      </c>
      <c r="I598" s="100" t="e">
        <f t="shared" ca="1" si="94"/>
        <v>#NAME?</v>
      </c>
      <c r="J598" s="100" t="e">
        <f t="shared" ca="1" si="95"/>
        <v>#NAME?</v>
      </c>
      <c r="K598" s="100" t="e">
        <f t="shared" ca="1" si="96"/>
        <v>#NAME?</v>
      </c>
      <c r="L598" s="100" t="e">
        <f t="shared" ca="1" si="97"/>
        <v>#NAME?</v>
      </c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</row>
    <row r="599" spans="2:27">
      <c r="B599" s="100" t="e">
        <f ca="1">IFERROR(__xludf.DUMMYFUNCTION("""COMPUTED_VALUE"""),598)</f>
        <v>#NAME?</v>
      </c>
      <c r="C599" s="100" t="e">
        <f ca="1">IFERROR(__xludf.DUMMYFUNCTION("""COMPUTED_VALUE"""),"OP-USDT")</f>
        <v>#NAME?</v>
      </c>
      <c r="D599" s="100" t="e">
        <f ca="1">IFERROR(__xludf.DUMMYFUNCTION("""COMPUTED_VALUE"""),"0.6937")</f>
        <v>#NAME?</v>
      </c>
      <c r="E599" s="100" t="e">
        <f t="shared" ca="1" si="98"/>
        <v>#NAME?</v>
      </c>
      <c r="F599" s="100" t="e">
        <f t="shared" ca="1" si="98"/>
        <v>#NAME?</v>
      </c>
      <c r="G599" s="100" t="e">
        <f t="shared" ca="1" si="92"/>
        <v>#NAME?</v>
      </c>
      <c r="H599" s="100" t="e">
        <f t="shared" ca="1" si="93"/>
        <v>#NAME?</v>
      </c>
      <c r="I599" s="100" t="e">
        <f t="shared" ca="1" si="94"/>
        <v>#NAME?</v>
      </c>
      <c r="J599" s="100" t="e">
        <f t="shared" ca="1" si="95"/>
        <v>#NAME?</v>
      </c>
      <c r="K599" s="100" t="e">
        <f t="shared" ca="1" si="96"/>
        <v>#NAME?</v>
      </c>
      <c r="L599" s="100" t="e">
        <f t="shared" ca="1" si="97"/>
        <v>#NAME?</v>
      </c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</row>
    <row r="600" spans="2:27">
      <c r="B600" s="100" t="e">
        <f ca="1">IFERROR(__xludf.DUMMYFUNCTION("""COMPUTED_VALUE"""),599)</f>
        <v>#NAME?</v>
      </c>
      <c r="C600" s="100" t="e">
        <f ca="1">IFERROR(__xludf.DUMMYFUNCTION("""COMPUTED_VALUE"""),"ENS-USD")</f>
        <v>#NAME?</v>
      </c>
      <c r="D600" s="100" t="e">
        <f ca="1">IFERROR(__xludf.DUMMYFUNCTION("""COMPUTED_VALUE"""),"15.437")</f>
        <v>#NAME?</v>
      </c>
      <c r="E600" s="100" t="e">
        <f t="shared" ca="1" si="98"/>
        <v>#NAME?</v>
      </c>
      <c r="F600" s="100" t="e">
        <f t="shared" ca="1" si="98"/>
        <v>#NAME?</v>
      </c>
      <c r="G600" s="100" t="e">
        <f t="shared" ca="1" si="92"/>
        <v>#NAME?</v>
      </c>
      <c r="H600" s="100" t="e">
        <f t="shared" ca="1" si="93"/>
        <v>#NAME?</v>
      </c>
      <c r="I600" s="100" t="e">
        <f t="shared" ca="1" si="94"/>
        <v>#NAME?</v>
      </c>
      <c r="J600" s="100" t="e">
        <f t="shared" ca="1" si="95"/>
        <v>#NAME?</v>
      </c>
      <c r="K600" s="100" t="e">
        <f t="shared" ca="1" si="96"/>
        <v>#NAME?</v>
      </c>
      <c r="L600" s="100" t="e">
        <f t="shared" ca="1" si="97"/>
        <v>#NAME?</v>
      </c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</row>
    <row r="601" spans="2:27">
      <c r="B601" s="100" t="e">
        <f ca="1">IFERROR(__xludf.DUMMYFUNCTION("""COMPUTED_VALUE"""),600)</f>
        <v>#NAME?</v>
      </c>
      <c r="C601" s="100" t="e">
        <f ca="1">IFERROR(__xludf.DUMMYFUNCTION("""COMPUTED_VALUE"""),"FET-EUR")</f>
        <v>#NAME?</v>
      </c>
      <c r="D601" s="100" t="e">
        <f ca="1">IFERROR(__xludf.DUMMYFUNCTION("""COMPUTED_VALUE"""),"0.5128")</f>
        <v>#NAME?</v>
      </c>
      <c r="E601" s="100" t="e">
        <f t="shared" ca="1" si="98"/>
        <v>#NAME?</v>
      </c>
      <c r="F601" s="100" t="e">
        <f t="shared" ca="1" si="98"/>
        <v>#NAME?</v>
      </c>
      <c r="G601" s="100" t="e">
        <f t="shared" ca="1" si="92"/>
        <v>#NAME?</v>
      </c>
      <c r="H601" s="100" t="e">
        <f t="shared" ca="1" si="93"/>
        <v>#NAME?</v>
      </c>
      <c r="I601" s="100" t="e">
        <f t="shared" ca="1" si="94"/>
        <v>#NAME?</v>
      </c>
      <c r="J601" s="100" t="e">
        <f t="shared" ca="1" si="95"/>
        <v>#NAME?</v>
      </c>
      <c r="K601" s="100" t="e">
        <f t="shared" ca="1" si="96"/>
        <v>#NAME?</v>
      </c>
      <c r="L601" s="100" t="e">
        <f t="shared" ca="1" si="97"/>
        <v>#NAME?</v>
      </c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</row>
    <row r="602" spans="2:27">
      <c r="B602" s="100" t="e">
        <f ca="1">IFERROR(__xludf.DUMMYFUNCTION("""COMPUTED_VALUE"""),601)</f>
        <v>#NAME?</v>
      </c>
      <c r="C602" s="100" t="e">
        <f ca="1">IFERROR(__xludf.DUMMYFUNCTION("""COMPUTED_VALUE"""),"CVX-USD")</f>
        <v>#NAME?</v>
      </c>
      <c r="D602" s="100" t="e">
        <f ca="1">IFERROR(__xludf.DUMMYFUNCTION("""COMPUTED_VALUE"""),"2.648")</f>
        <v>#NAME?</v>
      </c>
      <c r="E602" s="100" t="e">
        <f t="shared" ref="E602:F621" ca="1" si="99">IFERROR(__xludf.DUMMYFUNCTION("""COMPUTED_VALUE"""),"-")</f>
        <v>#NAME?</v>
      </c>
      <c r="F602" s="100" t="e">
        <f t="shared" ca="1" si="99"/>
        <v>#NAME?</v>
      </c>
      <c r="G602" s="100" t="e">
        <f t="shared" ca="1" si="92"/>
        <v>#NAME?</v>
      </c>
      <c r="H602" s="100" t="e">
        <f t="shared" ca="1" si="93"/>
        <v>#NAME?</v>
      </c>
      <c r="I602" s="100" t="e">
        <f t="shared" ca="1" si="94"/>
        <v>#NAME?</v>
      </c>
      <c r="J602" s="100" t="e">
        <f t="shared" ca="1" si="95"/>
        <v>#NAME?</v>
      </c>
      <c r="K602" s="100" t="e">
        <f t="shared" ca="1" si="96"/>
        <v>#NAME?</v>
      </c>
      <c r="L602" s="100" t="e">
        <f t="shared" ca="1" si="97"/>
        <v>#NAME?</v>
      </c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</row>
    <row r="603" spans="2:27">
      <c r="B603" s="100" t="e">
        <f ca="1">IFERROR(__xludf.DUMMYFUNCTION("""COMPUTED_VALUE"""),602)</f>
        <v>#NAME?</v>
      </c>
      <c r="C603" s="100" t="e">
        <f ca="1">IFERROR(__xludf.DUMMYFUNCTION("""COMPUTED_VALUE"""),"W-USD")</f>
        <v>#NAME?</v>
      </c>
      <c r="D603" s="100" t="e">
        <f ca="1">IFERROR(__xludf.DUMMYFUNCTION("""COMPUTED_VALUE"""),"0.07732")</f>
        <v>#NAME?</v>
      </c>
      <c r="E603" s="100" t="e">
        <f t="shared" ca="1" si="99"/>
        <v>#NAME?</v>
      </c>
      <c r="F603" s="100" t="e">
        <f t="shared" ca="1" si="99"/>
        <v>#NAME?</v>
      </c>
      <c r="G603" s="100" t="e">
        <f t="shared" ca="1" si="92"/>
        <v>#NAME?</v>
      </c>
      <c r="H603" s="100" t="e">
        <f t="shared" ca="1" si="93"/>
        <v>#NAME?</v>
      </c>
      <c r="I603" s="100" t="e">
        <f t="shared" ca="1" si="94"/>
        <v>#NAME?</v>
      </c>
      <c r="J603" s="100" t="e">
        <f t="shared" ca="1" si="95"/>
        <v>#NAME?</v>
      </c>
      <c r="K603" s="100" t="e">
        <f t="shared" ca="1" si="96"/>
        <v>#NAME?</v>
      </c>
      <c r="L603" s="100" t="e">
        <f t="shared" ca="1" si="97"/>
        <v>#NAME?</v>
      </c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</row>
    <row r="604" spans="2:27">
      <c r="B604" s="100" t="e">
        <f ca="1">IFERROR(__xludf.DUMMYFUNCTION("""COMPUTED_VALUE"""),603)</f>
        <v>#NAME?</v>
      </c>
      <c r="C604" s="100" t="e">
        <f ca="1">IFERROR(__xludf.DUMMYFUNCTION("""COMPUTED_VALUE"""),"SOL-USD")</f>
        <v>#NAME?</v>
      </c>
      <c r="D604" s="100" t="e">
        <f ca="1">IFERROR(__xludf.DUMMYFUNCTION("""COMPUTED_VALUE"""),"139.39")</f>
        <v>#NAME?</v>
      </c>
      <c r="E604" s="100" t="e">
        <f t="shared" ca="1" si="99"/>
        <v>#NAME?</v>
      </c>
      <c r="F604" s="100" t="e">
        <f t="shared" ca="1" si="99"/>
        <v>#NAME?</v>
      </c>
      <c r="G604" s="100" t="e">
        <f t="shared" ca="1" si="92"/>
        <v>#NAME?</v>
      </c>
      <c r="H604" s="100" t="e">
        <f t="shared" ca="1" si="93"/>
        <v>#NAME?</v>
      </c>
      <c r="I604" s="100" t="e">
        <f t="shared" ca="1" si="94"/>
        <v>#NAME?</v>
      </c>
      <c r="J604" s="100" t="e">
        <f t="shared" ca="1" si="95"/>
        <v>#NAME?</v>
      </c>
      <c r="K604" s="100" t="e">
        <f t="shared" ca="1" si="96"/>
        <v>#NAME?</v>
      </c>
      <c r="L604" s="100" t="e">
        <f t="shared" ca="1" si="97"/>
        <v>#NAME?</v>
      </c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</row>
    <row r="605" spans="2:27">
      <c r="B605" s="100" t="e">
        <f ca="1">IFERROR(__xludf.DUMMYFUNCTION("""COMPUTED_VALUE"""),604)</f>
        <v>#NAME?</v>
      </c>
      <c r="C605" s="100" t="e">
        <f ca="1">IFERROR(__xludf.DUMMYFUNCTION("""COMPUTED_VALUE"""),"ETHW-USDT")</f>
        <v>#NAME?</v>
      </c>
      <c r="D605" s="100" t="e">
        <f ca="1">IFERROR(__xludf.DUMMYFUNCTION("""COMPUTED_VALUE"""),"1.297")</f>
        <v>#NAME?</v>
      </c>
      <c r="E605" s="100" t="e">
        <f t="shared" ca="1" si="99"/>
        <v>#NAME?</v>
      </c>
      <c r="F605" s="100" t="e">
        <f t="shared" ca="1" si="99"/>
        <v>#NAME?</v>
      </c>
      <c r="G605" s="100" t="e">
        <f t="shared" ca="1" si="92"/>
        <v>#NAME?</v>
      </c>
      <c r="H605" s="100" t="e">
        <f t="shared" ca="1" si="93"/>
        <v>#NAME?</v>
      </c>
      <c r="I605" s="100" t="e">
        <f t="shared" ca="1" si="94"/>
        <v>#NAME?</v>
      </c>
      <c r="J605" s="100" t="e">
        <f t="shared" ca="1" si="95"/>
        <v>#NAME?</v>
      </c>
      <c r="K605" s="100" t="e">
        <f t="shared" ca="1" si="96"/>
        <v>#NAME?</v>
      </c>
      <c r="L605" s="100" t="e">
        <f t="shared" ca="1" si="97"/>
        <v>#NAME?</v>
      </c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</row>
    <row r="606" spans="2:27">
      <c r="B606" s="100" t="e">
        <f ca="1">IFERROR(__xludf.DUMMYFUNCTION("""COMPUTED_VALUE"""),605)</f>
        <v>#NAME?</v>
      </c>
      <c r="C606" s="100" t="e">
        <f ca="1">IFERROR(__xludf.DUMMYFUNCTION("""COMPUTED_VALUE"""),"SUI-USDT")</f>
        <v>#NAME?</v>
      </c>
      <c r="D606" s="100" t="e">
        <f ca="1">IFERROR(__xludf.DUMMYFUNCTION("""COMPUTED_VALUE"""),"2.3092")</f>
        <v>#NAME?</v>
      </c>
      <c r="E606" s="100" t="e">
        <f t="shared" ca="1" si="99"/>
        <v>#NAME?</v>
      </c>
      <c r="F606" s="100" t="e">
        <f t="shared" ca="1" si="99"/>
        <v>#NAME?</v>
      </c>
      <c r="G606" s="100" t="e">
        <f t="shared" ca="1" si="92"/>
        <v>#NAME?</v>
      </c>
      <c r="H606" s="100" t="e">
        <f t="shared" ca="1" si="93"/>
        <v>#NAME?</v>
      </c>
      <c r="I606" s="100" t="e">
        <f t="shared" ca="1" si="94"/>
        <v>#NAME?</v>
      </c>
      <c r="J606" s="100" t="e">
        <f t="shared" ca="1" si="95"/>
        <v>#NAME?</v>
      </c>
      <c r="K606" s="100" t="e">
        <f t="shared" ca="1" si="96"/>
        <v>#NAME?</v>
      </c>
      <c r="L606" s="100" t="e">
        <f t="shared" ca="1" si="97"/>
        <v>#NAME?</v>
      </c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</row>
    <row r="607" spans="2:27">
      <c r="B607" s="100" t="e">
        <f ca="1">IFERROR(__xludf.DUMMYFUNCTION("""COMPUTED_VALUE"""),606)</f>
        <v>#NAME?</v>
      </c>
      <c r="C607" s="100" t="e">
        <f ca="1">IFERROR(__xludf.DUMMYFUNCTION("""COMPUTED_VALUE"""),"ETH-TRY")</f>
        <v>#NAME?</v>
      </c>
      <c r="D607" s="100" t="e">
        <f ca="1">IFERROR(__xludf.DUMMYFUNCTION("""COMPUTED_VALUE"""),"62198.4")</f>
        <v>#NAME?</v>
      </c>
      <c r="E607" s="100" t="e">
        <f t="shared" ca="1" si="99"/>
        <v>#NAME?</v>
      </c>
      <c r="F607" s="100" t="e">
        <f t="shared" ca="1" si="99"/>
        <v>#NAME?</v>
      </c>
      <c r="G607" s="100" t="e">
        <f t="shared" ca="1" si="92"/>
        <v>#NAME?</v>
      </c>
      <c r="H607" s="100" t="e">
        <f t="shared" ca="1" si="93"/>
        <v>#NAME?</v>
      </c>
      <c r="I607" s="100" t="e">
        <f t="shared" ca="1" si="94"/>
        <v>#NAME?</v>
      </c>
      <c r="J607" s="100" t="e">
        <f t="shared" ca="1" si="95"/>
        <v>#NAME?</v>
      </c>
      <c r="K607" s="100" t="e">
        <f t="shared" ca="1" si="96"/>
        <v>#NAME?</v>
      </c>
      <c r="L607" s="100" t="e">
        <f t="shared" ca="1" si="97"/>
        <v>#NAME?</v>
      </c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</row>
    <row r="608" spans="2:27">
      <c r="B608" s="100" t="e">
        <f ca="1">IFERROR(__xludf.DUMMYFUNCTION("""COMPUTED_VALUE"""),607)</f>
        <v>#NAME?</v>
      </c>
      <c r="C608" s="100" t="e">
        <f ca="1">IFERROR(__xludf.DUMMYFUNCTION("""COMPUTED_VALUE"""),"ICP-USDT")</f>
        <v>#NAME?</v>
      </c>
      <c r="D608" s="100" t="e">
        <f ca="1">IFERROR(__xludf.DUMMYFUNCTION("""COMPUTED_VALUE"""),"4.662")</f>
        <v>#NAME?</v>
      </c>
      <c r="E608" s="100" t="e">
        <f t="shared" ca="1" si="99"/>
        <v>#NAME?</v>
      </c>
      <c r="F608" s="100" t="e">
        <f t="shared" ca="1" si="99"/>
        <v>#NAME?</v>
      </c>
      <c r="G608" s="100" t="e">
        <f t="shared" ca="1" si="92"/>
        <v>#NAME?</v>
      </c>
      <c r="H608" s="100" t="e">
        <f t="shared" ca="1" si="93"/>
        <v>#NAME?</v>
      </c>
      <c r="I608" s="100" t="e">
        <f t="shared" ca="1" si="94"/>
        <v>#NAME?</v>
      </c>
      <c r="J608" s="100" t="e">
        <f t="shared" ca="1" si="95"/>
        <v>#NAME?</v>
      </c>
      <c r="K608" s="100" t="e">
        <f t="shared" ca="1" si="96"/>
        <v>#NAME?</v>
      </c>
      <c r="L608" s="100" t="e">
        <f t="shared" ca="1" si="97"/>
        <v>#NAME?</v>
      </c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</row>
    <row r="609" spans="2:27">
      <c r="B609" s="100" t="e">
        <f ca="1">IFERROR(__xludf.DUMMYFUNCTION("""COMPUTED_VALUE"""),608)</f>
        <v>#NAME?</v>
      </c>
      <c r="C609" s="100" t="e">
        <f ca="1">IFERROR(__xludf.DUMMYFUNCTION("""COMPUTED_VALUE"""),"CATI-USD")</f>
        <v>#NAME?</v>
      </c>
      <c r="D609" s="100" t="e">
        <f ca="1">IFERROR(__xludf.DUMMYFUNCTION("""COMPUTED_VALUE"""),"0.0927")</f>
        <v>#NAME?</v>
      </c>
      <c r="E609" s="100" t="e">
        <f t="shared" ca="1" si="99"/>
        <v>#NAME?</v>
      </c>
      <c r="F609" s="100" t="e">
        <f t="shared" ca="1" si="99"/>
        <v>#NAME?</v>
      </c>
      <c r="G609" s="100" t="e">
        <f t="shared" ca="1" si="92"/>
        <v>#NAME?</v>
      </c>
      <c r="H609" s="100" t="e">
        <f t="shared" ca="1" si="93"/>
        <v>#NAME?</v>
      </c>
      <c r="I609" s="100" t="e">
        <f t="shared" ca="1" si="94"/>
        <v>#NAME?</v>
      </c>
      <c r="J609" s="100" t="e">
        <f t="shared" ca="1" si="95"/>
        <v>#NAME?</v>
      </c>
      <c r="K609" s="100" t="e">
        <f t="shared" ca="1" si="96"/>
        <v>#NAME?</v>
      </c>
      <c r="L609" s="100" t="e">
        <f t="shared" ca="1" si="97"/>
        <v>#NAME?</v>
      </c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</row>
    <row r="610" spans="2:27">
      <c r="B610" s="100" t="e">
        <f ca="1">IFERROR(__xludf.DUMMYFUNCTION("""COMPUTED_VALUE"""),609)</f>
        <v>#NAME?</v>
      </c>
      <c r="C610" s="100" t="e">
        <f ca="1">IFERROR(__xludf.DUMMYFUNCTION("""COMPUTED_VALUE"""),"CXT-USD")</f>
        <v>#NAME?</v>
      </c>
      <c r="D610" s="100" t="e">
        <f ca="1">IFERROR(__xludf.DUMMYFUNCTION("""COMPUTED_VALUE"""),"0.02956")</f>
        <v>#NAME?</v>
      </c>
      <c r="E610" s="100" t="e">
        <f t="shared" ca="1" si="99"/>
        <v>#NAME?</v>
      </c>
      <c r="F610" s="100" t="e">
        <f t="shared" ca="1" si="99"/>
        <v>#NAME?</v>
      </c>
      <c r="G610" s="100" t="e">
        <f t="shared" ca="1" si="92"/>
        <v>#NAME?</v>
      </c>
      <c r="H610" s="100" t="e">
        <f t="shared" ca="1" si="93"/>
        <v>#NAME?</v>
      </c>
      <c r="I610" s="100" t="e">
        <f t="shared" ca="1" si="94"/>
        <v>#NAME?</v>
      </c>
      <c r="J610" s="100" t="e">
        <f t="shared" ca="1" si="95"/>
        <v>#NAME?</v>
      </c>
      <c r="K610" s="100" t="e">
        <f t="shared" ca="1" si="96"/>
        <v>#NAME?</v>
      </c>
      <c r="L610" s="100" t="e">
        <f t="shared" ca="1" si="97"/>
        <v>#NAME?</v>
      </c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</row>
    <row r="611" spans="2:27">
      <c r="B611" s="100" t="e">
        <f ca="1">IFERROR(__xludf.DUMMYFUNCTION("""COMPUTED_VALUE"""),610)</f>
        <v>#NAME?</v>
      </c>
      <c r="C611" s="100" t="e">
        <f ca="1">IFERROR(__xludf.DUMMYFUNCTION("""COMPUTED_VALUE"""),"OP-USDC")</f>
        <v>#NAME?</v>
      </c>
      <c r="D611" s="100" t="e">
        <f ca="1">IFERROR(__xludf.DUMMYFUNCTION("""COMPUTED_VALUE"""),"0.6931")</f>
        <v>#NAME?</v>
      </c>
      <c r="E611" s="100" t="e">
        <f t="shared" ca="1" si="99"/>
        <v>#NAME?</v>
      </c>
      <c r="F611" s="100" t="e">
        <f t="shared" ca="1" si="99"/>
        <v>#NAME?</v>
      </c>
      <c r="G611" s="100" t="e">
        <f t="shared" ca="1" si="92"/>
        <v>#NAME?</v>
      </c>
      <c r="H611" s="100" t="e">
        <f t="shared" ca="1" si="93"/>
        <v>#NAME?</v>
      </c>
      <c r="I611" s="100" t="e">
        <f t="shared" ca="1" si="94"/>
        <v>#NAME?</v>
      </c>
      <c r="J611" s="100" t="e">
        <f t="shared" ca="1" si="95"/>
        <v>#NAME?</v>
      </c>
      <c r="K611" s="100" t="e">
        <f t="shared" ca="1" si="96"/>
        <v>#NAME?</v>
      </c>
      <c r="L611" s="100" t="e">
        <f t="shared" ca="1" si="97"/>
        <v>#NAME?</v>
      </c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</row>
    <row r="612" spans="2:27">
      <c r="B612" s="100" t="e">
        <f ca="1">IFERROR(__xludf.DUMMYFUNCTION("""COMPUTED_VALUE"""),611)</f>
        <v>#NAME?</v>
      </c>
      <c r="C612" s="100" t="e">
        <f ca="1">IFERROR(__xludf.DUMMYFUNCTION("""COMPUTED_VALUE"""),"ETH-EUR")</f>
        <v>#NAME?</v>
      </c>
      <c r="D612" s="100" t="e">
        <f ca="1">IFERROR(__xludf.DUMMYFUNCTION("""COMPUTED_VALUE"""),"1413.34")</f>
        <v>#NAME?</v>
      </c>
      <c r="E612" s="100" t="e">
        <f t="shared" ca="1" si="99"/>
        <v>#NAME?</v>
      </c>
      <c r="F612" s="100" t="e">
        <f t="shared" ca="1" si="99"/>
        <v>#NAME?</v>
      </c>
      <c r="G612" s="100" t="e">
        <f t="shared" ca="1" si="92"/>
        <v>#NAME?</v>
      </c>
      <c r="H612" s="100" t="e">
        <f t="shared" ca="1" si="93"/>
        <v>#NAME?</v>
      </c>
      <c r="I612" s="100" t="e">
        <f t="shared" ca="1" si="94"/>
        <v>#NAME?</v>
      </c>
      <c r="J612" s="100" t="e">
        <f t="shared" ca="1" si="95"/>
        <v>#NAME?</v>
      </c>
      <c r="K612" s="100" t="e">
        <f t="shared" ca="1" si="96"/>
        <v>#NAME?</v>
      </c>
      <c r="L612" s="100" t="e">
        <f t="shared" ca="1" si="97"/>
        <v>#NAME?</v>
      </c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</row>
    <row r="613" spans="2:27">
      <c r="B613" s="100" t="e">
        <f ca="1">IFERROR(__xludf.DUMMYFUNCTION("""COMPUTED_VALUE"""),612)</f>
        <v>#NAME?</v>
      </c>
      <c r="C613" s="100" t="e">
        <f ca="1">IFERROR(__xludf.DUMMYFUNCTION("""COMPUTED_VALUE"""),"BSV-USDT")</f>
        <v>#NAME?</v>
      </c>
      <c r="D613" s="100" t="e">
        <f ca="1">IFERROR(__xludf.DUMMYFUNCTION("""COMPUTED_VALUE"""),"29.25")</f>
        <v>#NAME?</v>
      </c>
      <c r="E613" s="100" t="e">
        <f t="shared" ca="1" si="99"/>
        <v>#NAME?</v>
      </c>
      <c r="F613" s="100" t="e">
        <f t="shared" ca="1" si="99"/>
        <v>#NAME?</v>
      </c>
      <c r="G613" s="100" t="e">
        <f t="shared" ca="1" si="92"/>
        <v>#NAME?</v>
      </c>
      <c r="H613" s="100" t="e">
        <f t="shared" ca="1" si="93"/>
        <v>#NAME?</v>
      </c>
      <c r="I613" s="100" t="e">
        <f t="shared" ca="1" si="94"/>
        <v>#NAME?</v>
      </c>
      <c r="J613" s="100" t="e">
        <f t="shared" ca="1" si="95"/>
        <v>#NAME?</v>
      </c>
      <c r="K613" s="100" t="e">
        <f t="shared" ca="1" si="96"/>
        <v>#NAME?</v>
      </c>
      <c r="L613" s="100" t="e">
        <f t="shared" ca="1" si="97"/>
        <v>#NAME?</v>
      </c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</row>
    <row r="614" spans="2:27">
      <c r="B614" s="100" t="e">
        <f ca="1">IFERROR(__xludf.DUMMYFUNCTION("""COMPUTED_VALUE"""),613)</f>
        <v>#NAME?</v>
      </c>
      <c r="C614" s="100" t="e">
        <f ca="1">IFERROR(__xludf.DUMMYFUNCTION("""COMPUTED_VALUE"""),"AEVO-USDT")</f>
        <v>#NAME?</v>
      </c>
      <c r="D614" s="100" t="e">
        <f ca="1">IFERROR(__xludf.DUMMYFUNCTION("""COMPUTED_VALUE"""),"0.0976")</f>
        <v>#NAME?</v>
      </c>
      <c r="E614" s="100" t="e">
        <f t="shared" ca="1" si="99"/>
        <v>#NAME?</v>
      </c>
      <c r="F614" s="100" t="e">
        <f t="shared" ca="1" si="99"/>
        <v>#NAME?</v>
      </c>
      <c r="G614" s="100" t="e">
        <f t="shared" ca="1" si="92"/>
        <v>#NAME?</v>
      </c>
      <c r="H614" s="100" t="e">
        <f t="shared" ca="1" si="93"/>
        <v>#NAME?</v>
      </c>
      <c r="I614" s="100" t="e">
        <f t="shared" ca="1" si="94"/>
        <v>#NAME?</v>
      </c>
      <c r="J614" s="100" t="e">
        <f t="shared" ca="1" si="95"/>
        <v>#NAME?</v>
      </c>
      <c r="K614" s="100" t="e">
        <f t="shared" ca="1" si="96"/>
        <v>#NAME?</v>
      </c>
      <c r="L614" s="100" t="e">
        <f t="shared" ca="1" si="97"/>
        <v>#NAME?</v>
      </c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</row>
    <row r="615" spans="2:27">
      <c r="B615" s="100" t="e">
        <f ca="1">IFERROR(__xludf.DUMMYFUNCTION("""COMPUTED_VALUE"""),614)</f>
        <v>#NAME?</v>
      </c>
      <c r="C615" s="100" t="e">
        <f ca="1">IFERROR(__xludf.DUMMYFUNCTION("""COMPUTED_VALUE"""),"PRCL-USDT")</f>
        <v>#NAME?</v>
      </c>
      <c r="D615" s="100" t="e">
        <f ca="1">IFERROR(__xludf.DUMMYFUNCTION("""COMPUTED_VALUE"""),"0.06697")</f>
        <v>#NAME?</v>
      </c>
      <c r="E615" s="100" t="e">
        <f t="shared" ca="1" si="99"/>
        <v>#NAME?</v>
      </c>
      <c r="F615" s="100" t="e">
        <f t="shared" ca="1" si="99"/>
        <v>#NAME?</v>
      </c>
      <c r="G615" s="100" t="e">
        <f t="shared" ca="1" si="92"/>
        <v>#NAME?</v>
      </c>
      <c r="H615" s="100" t="e">
        <f t="shared" ca="1" si="93"/>
        <v>#NAME?</v>
      </c>
      <c r="I615" s="100" t="e">
        <f t="shared" ca="1" si="94"/>
        <v>#NAME?</v>
      </c>
      <c r="J615" s="100" t="e">
        <f t="shared" ca="1" si="95"/>
        <v>#NAME?</v>
      </c>
      <c r="K615" s="100" t="e">
        <f t="shared" ca="1" si="96"/>
        <v>#NAME?</v>
      </c>
      <c r="L615" s="100" t="e">
        <f t="shared" ca="1" si="97"/>
        <v>#NAME?</v>
      </c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</row>
    <row r="616" spans="2:27">
      <c r="B616" s="100" t="e">
        <f ca="1">IFERROR(__xludf.DUMMYFUNCTION("""COMPUTED_VALUE"""),615)</f>
        <v>#NAME?</v>
      </c>
      <c r="C616" s="100" t="e">
        <f ca="1">IFERROR(__xludf.DUMMYFUNCTION("""COMPUTED_VALUE"""),"FIL-USD")</f>
        <v>#NAME?</v>
      </c>
      <c r="D616" s="100" t="e">
        <f ca="1">IFERROR(__xludf.DUMMYFUNCTION("""COMPUTED_VALUE"""),"2.592")</f>
        <v>#NAME?</v>
      </c>
      <c r="E616" s="100" t="e">
        <f t="shared" ca="1" si="99"/>
        <v>#NAME?</v>
      </c>
      <c r="F616" s="100" t="e">
        <f t="shared" ca="1" si="99"/>
        <v>#NAME?</v>
      </c>
      <c r="G616" s="100" t="e">
        <f t="shared" ca="1" si="92"/>
        <v>#NAME?</v>
      </c>
      <c r="H616" s="100" t="e">
        <f t="shared" ca="1" si="93"/>
        <v>#NAME?</v>
      </c>
      <c r="I616" s="100" t="e">
        <f t="shared" ca="1" si="94"/>
        <v>#NAME?</v>
      </c>
      <c r="J616" s="100" t="e">
        <f t="shared" ca="1" si="95"/>
        <v>#NAME?</v>
      </c>
      <c r="K616" s="100" t="e">
        <f t="shared" ca="1" si="96"/>
        <v>#NAME?</v>
      </c>
      <c r="L616" s="100" t="e">
        <f t="shared" ca="1" si="97"/>
        <v>#NAME?</v>
      </c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</row>
    <row r="617" spans="2:27">
      <c r="B617" s="100" t="e">
        <f ca="1">IFERROR(__xludf.DUMMYFUNCTION("""COMPUTED_VALUE"""),616)</f>
        <v>#NAME?</v>
      </c>
      <c r="C617" s="100" t="e">
        <f ca="1">IFERROR(__xludf.DUMMYFUNCTION("""COMPUTED_VALUE"""),"JTO-EUR")</f>
        <v>#NAME?</v>
      </c>
      <c r="D617" s="100" t="e">
        <f ca="1">IFERROR(__xludf.DUMMYFUNCTION("""COMPUTED_VALUE"""),"1.42")</f>
        <v>#NAME?</v>
      </c>
      <c r="E617" s="100" t="e">
        <f t="shared" ca="1" si="99"/>
        <v>#NAME?</v>
      </c>
      <c r="F617" s="100" t="e">
        <f t="shared" ca="1" si="99"/>
        <v>#NAME?</v>
      </c>
      <c r="G617" s="100" t="e">
        <f t="shared" ca="1" si="92"/>
        <v>#NAME?</v>
      </c>
      <c r="H617" s="100" t="e">
        <f t="shared" ca="1" si="93"/>
        <v>#NAME?</v>
      </c>
      <c r="I617" s="100" t="e">
        <f t="shared" ca="1" si="94"/>
        <v>#NAME?</v>
      </c>
      <c r="J617" s="100" t="e">
        <f t="shared" ca="1" si="95"/>
        <v>#NAME?</v>
      </c>
      <c r="K617" s="100" t="e">
        <f t="shared" ca="1" si="96"/>
        <v>#NAME?</v>
      </c>
      <c r="L617" s="100" t="e">
        <f t="shared" ca="1" si="97"/>
        <v>#NAME?</v>
      </c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</row>
    <row r="618" spans="2:27">
      <c r="B618" s="100" t="e">
        <f ca="1">IFERROR(__xludf.DUMMYFUNCTION("""COMPUTED_VALUE"""),617)</f>
        <v>#NAME?</v>
      </c>
      <c r="C618" s="100" t="e">
        <f ca="1">IFERROR(__xludf.DUMMYFUNCTION("""COMPUTED_VALUE"""),"SHIB-USD")</f>
        <v>#NAME?</v>
      </c>
      <c r="D618" s="100" t="e">
        <f ca="1">IFERROR(__xludf.DUMMYFUNCTION("""COMPUTED_VALUE"""),"0.000012355")</f>
        <v>#NAME?</v>
      </c>
      <c r="E618" s="100" t="e">
        <f t="shared" ca="1" si="99"/>
        <v>#NAME?</v>
      </c>
      <c r="F618" s="100" t="e">
        <f t="shared" ca="1" si="99"/>
        <v>#NAME?</v>
      </c>
      <c r="G618" s="100" t="e">
        <f t="shared" ca="1" si="92"/>
        <v>#NAME?</v>
      </c>
      <c r="H618" s="100" t="e">
        <f t="shared" ca="1" si="93"/>
        <v>#NAME?</v>
      </c>
      <c r="I618" s="100" t="e">
        <f t="shared" ca="1" si="94"/>
        <v>#NAME?</v>
      </c>
      <c r="J618" s="100" t="e">
        <f t="shared" ca="1" si="95"/>
        <v>#NAME?</v>
      </c>
      <c r="K618" s="100" t="e">
        <f t="shared" ca="1" si="96"/>
        <v>#NAME?</v>
      </c>
      <c r="L618" s="100" t="e">
        <f t="shared" ca="1" si="97"/>
        <v>#NAME?</v>
      </c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</row>
    <row r="619" spans="2:27">
      <c r="B619" s="100" t="e">
        <f ca="1">IFERROR(__xludf.DUMMYFUNCTION("""COMPUTED_VALUE"""),618)</f>
        <v>#NAME?</v>
      </c>
      <c r="C619" s="100" t="e">
        <f ca="1">IFERROR(__xludf.DUMMYFUNCTION("""COMPUTED_VALUE"""),"AR-USD")</f>
        <v>#NAME?</v>
      </c>
      <c r="D619" s="100" t="e">
        <f ca="1">IFERROR(__xludf.DUMMYFUNCTION("""COMPUTED_VALUE"""),"5.554")</f>
        <v>#NAME?</v>
      </c>
      <c r="E619" s="100" t="e">
        <f t="shared" ca="1" si="99"/>
        <v>#NAME?</v>
      </c>
      <c r="F619" s="100" t="e">
        <f t="shared" ca="1" si="99"/>
        <v>#NAME?</v>
      </c>
      <c r="G619" s="100" t="e">
        <f t="shared" ca="1" si="92"/>
        <v>#NAME?</v>
      </c>
      <c r="H619" s="100" t="e">
        <f t="shared" ca="1" si="93"/>
        <v>#NAME?</v>
      </c>
      <c r="I619" s="100" t="e">
        <f t="shared" ca="1" si="94"/>
        <v>#NAME?</v>
      </c>
      <c r="J619" s="100" t="e">
        <f t="shared" ca="1" si="95"/>
        <v>#NAME?</v>
      </c>
      <c r="K619" s="100" t="e">
        <f t="shared" ca="1" si="96"/>
        <v>#NAME?</v>
      </c>
      <c r="L619" s="100" t="e">
        <f t="shared" ca="1" si="97"/>
        <v>#NAME?</v>
      </c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</row>
    <row r="620" spans="2:27">
      <c r="B620" s="100" t="e">
        <f ca="1">IFERROR(__xludf.DUMMYFUNCTION("""COMPUTED_VALUE"""),619)</f>
        <v>#NAME?</v>
      </c>
      <c r="C620" s="100" t="e">
        <f ca="1">IFERROR(__xludf.DUMMYFUNCTION("""COMPUTED_VALUE"""),"AXS-USD")</f>
        <v>#NAME?</v>
      </c>
      <c r="D620" s="100" t="e">
        <f ca="1">IFERROR(__xludf.DUMMYFUNCTION("""COMPUTED_VALUE"""),"2.293")</f>
        <v>#NAME?</v>
      </c>
      <c r="E620" s="100" t="e">
        <f t="shared" ca="1" si="99"/>
        <v>#NAME?</v>
      </c>
      <c r="F620" s="100" t="e">
        <f t="shared" ca="1" si="99"/>
        <v>#NAME?</v>
      </c>
      <c r="G620" s="100" t="e">
        <f t="shared" ca="1" si="92"/>
        <v>#NAME?</v>
      </c>
      <c r="H620" s="100" t="e">
        <f t="shared" ca="1" si="93"/>
        <v>#NAME?</v>
      </c>
      <c r="I620" s="100" t="e">
        <f t="shared" ca="1" si="94"/>
        <v>#NAME?</v>
      </c>
      <c r="J620" s="100" t="e">
        <f t="shared" ca="1" si="95"/>
        <v>#NAME?</v>
      </c>
      <c r="K620" s="100" t="e">
        <f t="shared" ca="1" si="96"/>
        <v>#NAME?</v>
      </c>
      <c r="L620" s="100" t="e">
        <f t="shared" ca="1" si="97"/>
        <v>#NAME?</v>
      </c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</row>
    <row r="621" spans="2:27">
      <c r="B621" s="100" t="e">
        <f ca="1">IFERROR(__xludf.DUMMYFUNCTION("""COMPUTED_VALUE"""),620)</f>
        <v>#NAME?</v>
      </c>
      <c r="C621" s="100" t="e">
        <f ca="1">IFERROR(__xludf.DUMMYFUNCTION("""COMPUTED_VALUE"""),"DOT-EUR")</f>
        <v>#NAME?</v>
      </c>
      <c r="D621" s="100" t="e">
        <f ca="1">IFERROR(__xludf.DUMMYFUNCTION("""COMPUTED_VALUE"""),"3.25")</f>
        <v>#NAME?</v>
      </c>
      <c r="E621" s="100" t="e">
        <f t="shared" ca="1" si="99"/>
        <v>#NAME?</v>
      </c>
      <c r="F621" s="100" t="e">
        <f t="shared" ca="1" si="99"/>
        <v>#NAME?</v>
      </c>
      <c r="G621" s="100" t="e">
        <f t="shared" ca="1" si="92"/>
        <v>#NAME?</v>
      </c>
      <c r="H621" s="100" t="e">
        <f t="shared" ca="1" si="93"/>
        <v>#NAME?</v>
      </c>
      <c r="I621" s="100" t="e">
        <f t="shared" ca="1" si="94"/>
        <v>#NAME?</v>
      </c>
      <c r="J621" s="100" t="e">
        <f t="shared" ca="1" si="95"/>
        <v>#NAME?</v>
      </c>
      <c r="K621" s="100" t="e">
        <f t="shared" ca="1" si="96"/>
        <v>#NAME?</v>
      </c>
      <c r="L621" s="100" t="e">
        <f t="shared" ca="1" si="97"/>
        <v>#NAME?</v>
      </c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</row>
    <row r="622" spans="2:27">
      <c r="B622" s="100" t="e">
        <f ca="1">IFERROR(__xludf.DUMMYFUNCTION("""COMPUTED_VALUE"""),621)</f>
        <v>#NAME?</v>
      </c>
      <c r="C622" s="100" t="e">
        <f ca="1">IFERROR(__xludf.DUMMYFUNCTION("""COMPUTED_VALUE"""),"BADGER-USDT")</f>
        <v>#NAME?</v>
      </c>
      <c r="D622" s="100" t="e">
        <f ca="1">IFERROR(__xludf.DUMMYFUNCTION("""COMPUTED_VALUE"""),"0.932")</f>
        <v>#NAME?</v>
      </c>
      <c r="E622" s="100" t="e">
        <f t="shared" ref="E622:F641" ca="1" si="100">IFERROR(__xludf.DUMMYFUNCTION("""COMPUTED_VALUE"""),"-")</f>
        <v>#NAME?</v>
      </c>
      <c r="F622" s="100" t="e">
        <f t="shared" ca="1" si="100"/>
        <v>#NAME?</v>
      </c>
      <c r="G622" s="100" t="e">
        <f t="shared" ca="1" si="92"/>
        <v>#NAME?</v>
      </c>
      <c r="H622" s="100" t="e">
        <f t="shared" ca="1" si="93"/>
        <v>#NAME?</v>
      </c>
      <c r="I622" s="100" t="e">
        <f t="shared" ca="1" si="94"/>
        <v>#NAME?</v>
      </c>
      <c r="J622" s="100" t="e">
        <f t="shared" ca="1" si="95"/>
        <v>#NAME?</v>
      </c>
      <c r="K622" s="100" t="e">
        <f t="shared" ca="1" si="96"/>
        <v>#NAME?</v>
      </c>
      <c r="L622" s="100" t="e">
        <f t="shared" ca="1" si="97"/>
        <v>#NAME?</v>
      </c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</row>
    <row r="623" spans="2:27">
      <c r="B623" s="100" t="e">
        <f ca="1">IFERROR(__xludf.DUMMYFUNCTION("""COMPUTED_VALUE"""),622)</f>
        <v>#NAME?</v>
      </c>
      <c r="C623" s="100" t="e">
        <f ca="1">IFERROR(__xludf.DUMMYFUNCTION("""COMPUTED_VALUE"""),"AEVO-USDC")</f>
        <v>#NAME?</v>
      </c>
      <c r="D623" s="100" t="e">
        <f ca="1">IFERROR(__xludf.DUMMYFUNCTION("""COMPUTED_VALUE"""),"0.1012")</f>
        <v>#NAME?</v>
      </c>
      <c r="E623" s="100" t="e">
        <f t="shared" ca="1" si="100"/>
        <v>#NAME?</v>
      </c>
      <c r="F623" s="100" t="e">
        <f t="shared" ca="1" si="100"/>
        <v>#NAME?</v>
      </c>
      <c r="G623" s="100" t="e">
        <f t="shared" ca="1" si="92"/>
        <v>#NAME?</v>
      </c>
      <c r="H623" s="100" t="e">
        <f t="shared" ca="1" si="93"/>
        <v>#NAME?</v>
      </c>
      <c r="I623" s="100" t="e">
        <f t="shared" ca="1" si="94"/>
        <v>#NAME?</v>
      </c>
      <c r="J623" s="100" t="e">
        <f t="shared" ca="1" si="95"/>
        <v>#NAME?</v>
      </c>
      <c r="K623" s="100" t="e">
        <f t="shared" ca="1" si="96"/>
        <v>#NAME?</v>
      </c>
      <c r="L623" s="100" t="e">
        <f t="shared" ca="1" si="97"/>
        <v>#NAME?</v>
      </c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</row>
    <row r="624" spans="2:27">
      <c r="B624" s="100" t="e">
        <f ca="1">IFERROR(__xludf.DUMMYFUNCTION("""COMPUTED_VALUE"""),623)</f>
        <v>#NAME?</v>
      </c>
      <c r="C624" s="100" t="e">
        <f ca="1">IFERROR(__xludf.DUMMYFUNCTION("""COMPUTED_VALUE"""),"DORA-USDT")</f>
        <v>#NAME?</v>
      </c>
      <c r="D624" s="100" t="e">
        <f ca="1">IFERROR(__xludf.DUMMYFUNCTION("""COMPUTED_VALUE"""),"0.02201")</f>
        <v>#NAME?</v>
      </c>
      <c r="E624" s="100" t="e">
        <f t="shared" ca="1" si="100"/>
        <v>#NAME?</v>
      </c>
      <c r="F624" s="100" t="e">
        <f t="shared" ca="1" si="100"/>
        <v>#NAME?</v>
      </c>
      <c r="G624" s="100" t="e">
        <f t="shared" ca="1" si="92"/>
        <v>#NAME?</v>
      </c>
      <c r="H624" s="100" t="e">
        <f t="shared" ca="1" si="93"/>
        <v>#NAME?</v>
      </c>
      <c r="I624" s="100" t="e">
        <f t="shared" ca="1" si="94"/>
        <v>#NAME?</v>
      </c>
      <c r="J624" s="100" t="e">
        <f t="shared" ca="1" si="95"/>
        <v>#NAME?</v>
      </c>
      <c r="K624" s="100" t="e">
        <f t="shared" ca="1" si="96"/>
        <v>#NAME?</v>
      </c>
      <c r="L624" s="100" t="e">
        <f t="shared" ca="1" si="97"/>
        <v>#NAME?</v>
      </c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</row>
    <row r="625" spans="2:27">
      <c r="B625" s="100" t="e">
        <f ca="1">IFERROR(__xludf.DUMMYFUNCTION("""COMPUTED_VALUE"""),624)</f>
        <v>#NAME?</v>
      </c>
      <c r="C625" s="100" t="e">
        <f ca="1">IFERROR(__xludf.DUMMYFUNCTION("""COMPUTED_VALUE"""),"SSWP-USDT")</f>
        <v>#NAME?</v>
      </c>
      <c r="D625" s="100" t="e">
        <f ca="1">IFERROR(__xludf.DUMMYFUNCTION("""COMPUTED_VALUE"""),"0.0000691")</f>
        <v>#NAME?</v>
      </c>
      <c r="E625" s="100" t="e">
        <f t="shared" ca="1" si="100"/>
        <v>#NAME?</v>
      </c>
      <c r="F625" s="100" t="e">
        <f t="shared" ca="1" si="100"/>
        <v>#NAME?</v>
      </c>
      <c r="G625" s="100" t="e">
        <f t="shared" ca="1" si="92"/>
        <v>#NAME?</v>
      </c>
      <c r="H625" s="100" t="e">
        <f t="shared" ca="1" si="93"/>
        <v>#NAME?</v>
      </c>
      <c r="I625" s="100" t="e">
        <f t="shared" ca="1" si="94"/>
        <v>#NAME?</v>
      </c>
      <c r="J625" s="100" t="e">
        <f t="shared" ca="1" si="95"/>
        <v>#NAME?</v>
      </c>
      <c r="K625" s="100" t="e">
        <f t="shared" ca="1" si="96"/>
        <v>#NAME?</v>
      </c>
      <c r="L625" s="100" t="e">
        <f t="shared" ca="1" si="97"/>
        <v>#NAME?</v>
      </c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</row>
    <row r="626" spans="2:27">
      <c r="B626" s="100" t="e">
        <f ca="1">IFERROR(__xludf.DUMMYFUNCTION("""COMPUTED_VALUE"""),625)</f>
        <v>#NAME?</v>
      </c>
      <c r="C626" s="100" t="e">
        <f ca="1">IFERROR(__xludf.DUMMYFUNCTION("""COMPUTED_VALUE"""),"STX-USD")</f>
        <v>#NAME?</v>
      </c>
      <c r="D626" s="100" t="e">
        <f ca="1">IFERROR(__xludf.DUMMYFUNCTION("""COMPUTED_VALUE"""),"0.7385")</f>
        <v>#NAME?</v>
      </c>
      <c r="E626" s="100" t="e">
        <f t="shared" ca="1" si="100"/>
        <v>#NAME?</v>
      </c>
      <c r="F626" s="100" t="e">
        <f t="shared" ca="1" si="100"/>
        <v>#NAME?</v>
      </c>
      <c r="G626" s="100" t="e">
        <f t="shared" ca="1" si="92"/>
        <v>#NAME?</v>
      </c>
      <c r="H626" s="100" t="e">
        <f t="shared" ca="1" si="93"/>
        <v>#NAME?</v>
      </c>
      <c r="I626" s="100" t="e">
        <f t="shared" ca="1" si="94"/>
        <v>#NAME?</v>
      </c>
      <c r="J626" s="100" t="e">
        <f t="shared" ca="1" si="95"/>
        <v>#NAME?</v>
      </c>
      <c r="K626" s="100" t="e">
        <f t="shared" ca="1" si="96"/>
        <v>#NAME?</v>
      </c>
      <c r="L626" s="100" t="e">
        <f t="shared" ca="1" si="97"/>
        <v>#NAME?</v>
      </c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</row>
    <row r="627" spans="2:27">
      <c r="B627" s="100" t="e">
        <f ca="1">IFERROR(__xludf.DUMMYFUNCTION("""COMPUTED_VALUE"""),626)</f>
        <v>#NAME?</v>
      </c>
      <c r="C627" s="100" t="e">
        <f ca="1">IFERROR(__xludf.DUMMYFUNCTION("""COMPUTED_VALUE"""),"RIO-USDT")</f>
        <v>#NAME?</v>
      </c>
      <c r="D627" s="100" t="e">
        <f ca="1">IFERROR(__xludf.DUMMYFUNCTION("""COMPUTED_VALUE"""),"0.1872")</f>
        <v>#NAME?</v>
      </c>
      <c r="E627" s="100" t="e">
        <f t="shared" ca="1" si="100"/>
        <v>#NAME?</v>
      </c>
      <c r="F627" s="100" t="e">
        <f t="shared" ca="1" si="100"/>
        <v>#NAME?</v>
      </c>
      <c r="G627" s="100" t="e">
        <f t="shared" ca="1" si="92"/>
        <v>#NAME?</v>
      </c>
      <c r="H627" s="100" t="e">
        <f t="shared" ca="1" si="93"/>
        <v>#NAME?</v>
      </c>
      <c r="I627" s="100" t="e">
        <f t="shared" ca="1" si="94"/>
        <v>#NAME?</v>
      </c>
      <c r="J627" s="100" t="e">
        <f t="shared" ca="1" si="95"/>
        <v>#NAME?</v>
      </c>
      <c r="K627" s="100" t="e">
        <f t="shared" ca="1" si="96"/>
        <v>#NAME?</v>
      </c>
      <c r="L627" s="100" t="e">
        <f t="shared" ca="1" si="97"/>
        <v>#NAME?</v>
      </c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</row>
    <row r="628" spans="2:27">
      <c r="B628" s="100" t="e">
        <f ca="1">IFERROR(__xludf.DUMMYFUNCTION("""COMPUTED_VALUE"""),627)</f>
        <v>#NAME?</v>
      </c>
      <c r="C628" s="100" t="e">
        <f ca="1">IFERROR(__xludf.DUMMYFUNCTION("""COMPUTED_VALUE"""),"CTXC-USD")</f>
        <v>#NAME?</v>
      </c>
      <c r="D628" s="100" t="e">
        <f ca="1">IFERROR(__xludf.DUMMYFUNCTION("""COMPUTED_VALUE"""),"0.0716")</f>
        <v>#NAME?</v>
      </c>
      <c r="E628" s="100" t="e">
        <f t="shared" ca="1" si="100"/>
        <v>#NAME?</v>
      </c>
      <c r="F628" s="100" t="e">
        <f t="shared" ca="1" si="100"/>
        <v>#NAME?</v>
      </c>
      <c r="G628" s="100" t="e">
        <f t="shared" ca="1" si="92"/>
        <v>#NAME?</v>
      </c>
      <c r="H628" s="100" t="e">
        <f t="shared" ca="1" si="93"/>
        <v>#NAME?</v>
      </c>
      <c r="I628" s="100" t="e">
        <f t="shared" ca="1" si="94"/>
        <v>#NAME?</v>
      </c>
      <c r="J628" s="100" t="e">
        <f t="shared" ca="1" si="95"/>
        <v>#NAME?</v>
      </c>
      <c r="K628" s="100" t="e">
        <f t="shared" ca="1" si="96"/>
        <v>#NAME?</v>
      </c>
      <c r="L628" s="100" t="e">
        <f t="shared" ca="1" si="97"/>
        <v>#NAME?</v>
      </c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</row>
    <row r="629" spans="2:27">
      <c r="B629" s="100" t="e">
        <f ca="1">IFERROR(__xludf.DUMMYFUNCTION("""COMPUTED_VALUE"""),628)</f>
        <v>#NAME?</v>
      </c>
      <c r="C629" s="100" t="e">
        <f ca="1">IFERROR(__xludf.DUMMYFUNCTION("""COMPUTED_VALUE"""),"LRC-USDC")</f>
        <v>#NAME?</v>
      </c>
      <c r="D629" s="100" t="e">
        <f ca="1">IFERROR(__xludf.DUMMYFUNCTION("""COMPUTED_VALUE"""),"0.0933")</f>
        <v>#NAME?</v>
      </c>
      <c r="E629" s="100" t="e">
        <f t="shared" ca="1" si="100"/>
        <v>#NAME?</v>
      </c>
      <c r="F629" s="100" t="e">
        <f t="shared" ca="1" si="100"/>
        <v>#NAME?</v>
      </c>
      <c r="G629" s="100" t="e">
        <f t="shared" ca="1" si="92"/>
        <v>#NAME?</v>
      </c>
      <c r="H629" s="100" t="e">
        <f t="shared" ca="1" si="93"/>
        <v>#NAME?</v>
      </c>
      <c r="I629" s="100" t="e">
        <f t="shared" ca="1" si="94"/>
        <v>#NAME?</v>
      </c>
      <c r="J629" s="100" t="e">
        <f t="shared" ca="1" si="95"/>
        <v>#NAME?</v>
      </c>
      <c r="K629" s="100" t="e">
        <f t="shared" ca="1" si="96"/>
        <v>#NAME?</v>
      </c>
      <c r="L629" s="100" t="e">
        <f t="shared" ca="1" si="97"/>
        <v>#NAME?</v>
      </c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</row>
    <row r="630" spans="2:27">
      <c r="B630" s="100" t="e">
        <f ca="1">IFERROR(__xludf.DUMMYFUNCTION("""COMPUTED_VALUE"""),629)</f>
        <v>#NAME?</v>
      </c>
      <c r="C630" s="100" t="e">
        <f ca="1">IFERROR(__xludf.DUMMYFUNCTION("""COMPUTED_VALUE"""),"LTC-BTC")</f>
        <v>#NAME?</v>
      </c>
      <c r="D630" s="100" t="e">
        <f ca="1">IFERROR(__xludf.DUMMYFUNCTION("""COMPUTED_VALUE"""),"0.000903")</f>
        <v>#NAME?</v>
      </c>
      <c r="E630" s="100" t="e">
        <f t="shared" ca="1" si="100"/>
        <v>#NAME?</v>
      </c>
      <c r="F630" s="100" t="e">
        <f t="shared" ca="1" si="100"/>
        <v>#NAME?</v>
      </c>
      <c r="G630" s="100" t="e">
        <f t="shared" ca="1" si="92"/>
        <v>#NAME?</v>
      </c>
      <c r="H630" s="100" t="e">
        <f t="shared" ca="1" si="93"/>
        <v>#NAME?</v>
      </c>
      <c r="I630" s="100" t="e">
        <f t="shared" ca="1" si="94"/>
        <v>#NAME?</v>
      </c>
      <c r="J630" s="100" t="e">
        <f t="shared" ca="1" si="95"/>
        <v>#NAME?</v>
      </c>
      <c r="K630" s="100" t="e">
        <f t="shared" ca="1" si="96"/>
        <v>#NAME?</v>
      </c>
      <c r="L630" s="100" t="e">
        <f t="shared" ca="1" si="97"/>
        <v>#NAME?</v>
      </c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</row>
    <row r="631" spans="2:27">
      <c r="B631" s="100" t="e">
        <f ca="1">IFERROR(__xludf.DUMMYFUNCTION("""COMPUTED_VALUE"""),630)</f>
        <v>#NAME?</v>
      </c>
      <c r="C631" s="100" t="e">
        <f ca="1">IFERROR(__xludf.DUMMYFUNCTION("""COMPUTED_VALUE"""),"NEAR-USD")</f>
        <v>#NAME?</v>
      </c>
      <c r="D631" s="100" t="e">
        <f ca="1">IFERROR(__xludf.DUMMYFUNCTION("""COMPUTED_VALUE"""),"2.195")</f>
        <v>#NAME?</v>
      </c>
      <c r="E631" s="100" t="e">
        <f t="shared" ca="1" si="100"/>
        <v>#NAME?</v>
      </c>
      <c r="F631" s="100" t="e">
        <f t="shared" ca="1" si="100"/>
        <v>#NAME?</v>
      </c>
      <c r="G631" s="100" t="e">
        <f t="shared" ca="1" si="92"/>
        <v>#NAME?</v>
      </c>
      <c r="H631" s="100" t="e">
        <f t="shared" ca="1" si="93"/>
        <v>#NAME?</v>
      </c>
      <c r="I631" s="100" t="e">
        <f t="shared" ca="1" si="94"/>
        <v>#NAME?</v>
      </c>
      <c r="J631" s="100" t="e">
        <f t="shared" ca="1" si="95"/>
        <v>#NAME?</v>
      </c>
      <c r="K631" s="100" t="e">
        <f t="shared" ca="1" si="96"/>
        <v>#NAME?</v>
      </c>
      <c r="L631" s="100" t="e">
        <f t="shared" ca="1" si="97"/>
        <v>#NAME?</v>
      </c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</row>
    <row r="632" spans="2:27">
      <c r="B632" s="100" t="e">
        <f ca="1">IFERROR(__xludf.DUMMYFUNCTION("""COMPUTED_VALUE"""),631)</f>
        <v>#NAME?</v>
      </c>
      <c r="C632" s="100" t="e">
        <f ca="1">IFERROR(__xludf.DUMMYFUNCTION("""COMPUTED_VALUE"""),"DGB-USDT")</f>
        <v>#NAME?</v>
      </c>
      <c r="D632" s="100" t="e">
        <f ca="1">IFERROR(__xludf.DUMMYFUNCTION("""COMPUTED_VALUE"""),"0.01015")</f>
        <v>#NAME?</v>
      </c>
      <c r="E632" s="100" t="e">
        <f t="shared" ca="1" si="100"/>
        <v>#NAME?</v>
      </c>
      <c r="F632" s="100" t="e">
        <f t="shared" ca="1" si="100"/>
        <v>#NAME?</v>
      </c>
      <c r="G632" s="100" t="e">
        <f t="shared" ca="1" si="92"/>
        <v>#NAME?</v>
      </c>
      <c r="H632" s="100" t="e">
        <f t="shared" ca="1" si="93"/>
        <v>#NAME?</v>
      </c>
      <c r="I632" s="100" t="e">
        <f t="shared" ca="1" si="94"/>
        <v>#NAME?</v>
      </c>
      <c r="J632" s="100" t="e">
        <f t="shared" ca="1" si="95"/>
        <v>#NAME?</v>
      </c>
      <c r="K632" s="100" t="e">
        <f t="shared" ca="1" si="96"/>
        <v>#NAME?</v>
      </c>
      <c r="L632" s="100" t="e">
        <f t="shared" ca="1" si="97"/>
        <v>#NAME?</v>
      </c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</row>
    <row r="633" spans="2:27">
      <c r="B633" s="100" t="e">
        <f ca="1">IFERROR(__xludf.DUMMYFUNCTION("""COMPUTED_VALUE"""),632)</f>
        <v>#NAME?</v>
      </c>
      <c r="C633" s="100" t="e">
        <f ca="1">IFERROR(__xludf.DUMMYFUNCTION("""COMPUTED_VALUE"""),"LRC-USDT")</f>
        <v>#NAME?</v>
      </c>
      <c r="D633" s="100" t="e">
        <f ca="1">IFERROR(__xludf.DUMMYFUNCTION("""COMPUTED_VALUE"""),"0.0944")</f>
        <v>#NAME?</v>
      </c>
      <c r="E633" s="100" t="e">
        <f t="shared" ca="1" si="100"/>
        <v>#NAME?</v>
      </c>
      <c r="F633" s="100" t="e">
        <f t="shared" ca="1" si="100"/>
        <v>#NAME?</v>
      </c>
      <c r="G633" s="100" t="e">
        <f t="shared" ca="1" si="92"/>
        <v>#NAME?</v>
      </c>
      <c r="H633" s="100" t="e">
        <f t="shared" ca="1" si="93"/>
        <v>#NAME?</v>
      </c>
      <c r="I633" s="100" t="e">
        <f t="shared" ca="1" si="94"/>
        <v>#NAME?</v>
      </c>
      <c r="J633" s="100" t="e">
        <f t="shared" ca="1" si="95"/>
        <v>#NAME?</v>
      </c>
      <c r="K633" s="100" t="e">
        <f t="shared" ca="1" si="96"/>
        <v>#NAME?</v>
      </c>
      <c r="L633" s="100" t="e">
        <f t="shared" ca="1" si="97"/>
        <v>#NAME?</v>
      </c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</row>
    <row r="634" spans="2:27">
      <c r="B634" s="100" t="e">
        <f ca="1">IFERROR(__xludf.DUMMYFUNCTION("""COMPUTED_VALUE"""),633)</f>
        <v>#NAME?</v>
      </c>
      <c r="C634" s="100" t="e">
        <f ca="1">IFERROR(__xludf.DUMMYFUNCTION("""COMPUTED_VALUE"""),"APT-EUR")</f>
        <v>#NAME?</v>
      </c>
      <c r="D634" s="100" t="e">
        <f ca="1">IFERROR(__xludf.DUMMYFUNCTION("""COMPUTED_VALUE"""),"4.23")</f>
        <v>#NAME?</v>
      </c>
      <c r="E634" s="100" t="e">
        <f t="shared" ca="1" si="100"/>
        <v>#NAME?</v>
      </c>
      <c r="F634" s="100" t="e">
        <f t="shared" ca="1" si="100"/>
        <v>#NAME?</v>
      </c>
      <c r="G634" s="100" t="e">
        <f t="shared" ca="1" si="92"/>
        <v>#NAME?</v>
      </c>
      <c r="H634" s="100" t="e">
        <f t="shared" ca="1" si="93"/>
        <v>#NAME?</v>
      </c>
      <c r="I634" s="100" t="e">
        <f t="shared" ca="1" si="94"/>
        <v>#NAME?</v>
      </c>
      <c r="J634" s="100" t="e">
        <f t="shared" ca="1" si="95"/>
        <v>#NAME?</v>
      </c>
      <c r="K634" s="100" t="e">
        <f t="shared" ca="1" si="96"/>
        <v>#NAME?</v>
      </c>
      <c r="L634" s="100" t="e">
        <f t="shared" ca="1" si="97"/>
        <v>#NAME?</v>
      </c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</row>
    <row r="635" spans="2:27">
      <c r="B635" s="100" t="e">
        <f ca="1">IFERROR(__xludf.DUMMYFUNCTION("""COMPUTED_VALUE"""),634)</f>
        <v>#NAME?</v>
      </c>
      <c r="C635" s="100" t="e">
        <f ca="1">IFERROR(__xludf.DUMMYFUNCTION("""COMPUTED_VALUE"""),"USDC-SGD")</f>
        <v>#NAME?</v>
      </c>
      <c r="D635" s="100" t="e">
        <f ca="1">IFERROR(__xludf.DUMMYFUNCTION("""COMPUTED_VALUE"""),"1.31")</f>
        <v>#NAME?</v>
      </c>
      <c r="E635" s="100" t="e">
        <f t="shared" ca="1" si="100"/>
        <v>#NAME?</v>
      </c>
      <c r="F635" s="100" t="e">
        <f t="shared" ca="1" si="100"/>
        <v>#NAME?</v>
      </c>
      <c r="G635" s="100" t="e">
        <f t="shared" ca="1" si="92"/>
        <v>#NAME?</v>
      </c>
      <c r="H635" s="100" t="e">
        <f t="shared" ca="1" si="93"/>
        <v>#NAME?</v>
      </c>
      <c r="I635" s="100" t="e">
        <f t="shared" ca="1" si="94"/>
        <v>#NAME?</v>
      </c>
      <c r="J635" s="100" t="e">
        <f t="shared" ca="1" si="95"/>
        <v>#NAME?</v>
      </c>
      <c r="K635" s="100" t="e">
        <f t="shared" ca="1" si="96"/>
        <v>#NAME?</v>
      </c>
      <c r="L635" s="100" t="e">
        <f t="shared" ca="1" si="97"/>
        <v>#NAME?</v>
      </c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</row>
    <row r="636" spans="2:27">
      <c r="B636" s="100" t="e">
        <f ca="1">IFERROR(__xludf.DUMMYFUNCTION("""COMPUTED_VALUE"""),635)</f>
        <v>#NAME?</v>
      </c>
      <c r="C636" s="100" t="e">
        <f ca="1">IFERROR(__xludf.DUMMYFUNCTION("""COMPUTED_VALUE"""),"MLN-USD")</f>
        <v>#NAME?</v>
      </c>
      <c r="D636" s="100" t="e">
        <f ca="1">IFERROR(__xludf.DUMMYFUNCTION("""COMPUTED_VALUE"""),"8.18")</f>
        <v>#NAME?</v>
      </c>
      <c r="E636" s="100" t="e">
        <f t="shared" ca="1" si="100"/>
        <v>#NAME?</v>
      </c>
      <c r="F636" s="100" t="e">
        <f t="shared" ca="1" si="100"/>
        <v>#NAME?</v>
      </c>
      <c r="G636" s="100" t="e">
        <f t="shared" ca="1" si="92"/>
        <v>#NAME?</v>
      </c>
      <c r="H636" s="100" t="e">
        <f t="shared" ca="1" si="93"/>
        <v>#NAME?</v>
      </c>
      <c r="I636" s="100" t="e">
        <f t="shared" ca="1" si="94"/>
        <v>#NAME?</v>
      </c>
      <c r="J636" s="100" t="e">
        <f t="shared" ca="1" si="95"/>
        <v>#NAME?</v>
      </c>
      <c r="K636" s="100" t="e">
        <f t="shared" ca="1" si="96"/>
        <v>#NAME?</v>
      </c>
      <c r="L636" s="100" t="e">
        <f t="shared" ca="1" si="97"/>
        <v>#NAME?</v>
      </c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</row>
    <row r="637" spans="2:27">
      <c r="B637" s="100" t="e">
        <f ca="1">IFERROR(__xludf.DUMMYFUNCTION("""COMPUTED_VALUE"""),636)</f>
        <v>#NAME?</v>
      </c>
      <c r="C637" s="100" t="e">
        <f ca="1">IFERROR(__xludf.DUMMYFUNCTION("""COMPUTED_VALUE"""),"USDT-BRL")</f>
        <v>#NAME?</v>
      </c>
      <c r="D637" s="100" t="e">
        <f ca="1">IFERROR(__xludf.DUMMYFUNCTION("""COMPUTED_VALUE"""),"5.828")</f>
        <v>#NAME?</v>
      </c>
      <c r="E637" s="100" t="e">
        <f t="shared" ca="1" si="100"/>
        <v>#NAME?</v>
      </c>
      <c r="F637" s="100" t="e">
        <f t="shared" ca="1" si="100"/>
        <v>#NAME?</v>
      </c>
      <c r="G637" s="100" t="e">
        <f t="shared" ca="1" si="92"/>
        <v>#NAME?</v>
      </c>
      <c r="H637" s="100" t="e">
        <f t="shared" ca="1" si="93"/>
        <v>#NAME?</v>
      </c>
      <c r="I637" s="100" t="e">
        <f t="shared" ca="1" si="94"/>
        <v>#NAME?</v>
      </c>
      <c r="J637" s="100" t="e">
        <f t="shared" ca="1" si="95"/>
        <v>#NAME?</v>
      </c>
      <c r="K637" s="100" t="e">
        <f t="shared" ca="1" si="96"/>
        <v>#NAME?</v>
      </c>
      <c r="L637" s="100" t="e">
        <f t="shared" ca="1" si="97"/>
        <v>#NAME?</v>
      </c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</row>
    <row r="638" spans="2:27">
      <c r="B638" s="100" t="e">
        <f ca="1">IFERROR(__xludf.DUMMYFUNCTION("""COMPUTED_VALUE"""),637)</f>
        <v>#NAME?</v>
      </c>
      <c r="C638" s="100" t="e">
        <f ca="1">IFERROR(__xludf.DUMMYFUNCTION("""COMPUTED_VALUE"""),"ASTR-USD")</f>
        <v>#NAME?</v>
      </c>
      <c r="D638" s="100" t="e">
        <f ca="1">IFERROR(__xludf.DUMMYFUNCTION("""COMPUTED_VALUE"""),"0.02694")</f>
        <v>#NAME?</v>
      </c>
      <c r="E638" s="100" t="e">
        <f t="shared" ca="1" si="100"/>
        <v>#NAME?</v>
      </c>
      <c r="F638" s="100" t="e">
        <f t="shared" ca="1" si="100"/>
        <v>#NAME?</v>
      </c>
      <c r="G638" s="100" t="e">
        <f t="shared" ca="1" si="92"/>
        <v>#NAME?</v>
      </c>
      <c r="H638" s="100" t="e">
        <f t="shared" ca="1" si="93"/>
        <v>#NAME?</v>
      </c>
      <c r="I638" s="100" t="e">
        <f t="shared" ca="1" si="94"/>
        <v>#NAME?</v>
      </c>
      <c r="J638" s="100" t="e">
        <f t="shared" ca="1" si="95"/>
        <v>#NAME?</v>
      </c>
      <c r="K638" s="100" t="e">
        <f t="shared" ca="1" si="96"/>
        <v>#NAME?</v>
      </c>
      <c r="L638" s="100" t="e">
        <f t="shared" ca="1" si="97"/>
        <v>#NAME?</v>
      </c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</row>
    <row r="639" spans="2:27">
      <c r="B639" s="100" t="e">
        <f ca="1">IFERROR(__xludf.DUMMYFUNCTION("""COMPUTED_VALUE"""),638)</f>
        <v>#NAME?</v>
      </c>
      <c r="C639" s="100" t="e">
        <f ca="1">IFERROR(__xludf.DUMMYFUNCTION("""COMPUTED_VALUE"""),"TRX-EUR")</f>
        <v>#NAME?</v>
      </c>
      <c r="D639" s="100" t="e">
        <f ca="1">IFERROR(__xludf.DUMMYFUNCTION("""COMPUTED_VALUE"""),"0.21656")</f>
        <v>#NAME?</v>
      </c>
      <c r="E639" s="100" t="e">
        <f t="shared" ca="1" si="100"/>
        <v>#NAME?</v>
      </c>
      <c r="F639" s="100" t="e">
        <f t="shared" ca="1" si="100"/>
        <v>#NAME?</v>
      </c>
      <c r="G639" s="100" t="e">
        <f t="shared" ca="1" si="92"/>
        <v>#NAME?</v>
      </c>
      <c r="H639" s="100" t="e">
        <f t="shared" ca="1" si="93"/>
        <v>#NAME?</v>
      </c>
      <c r="I639" s="100" t="e">
        <f t="shared" ca="1" si="94"/>
        <v>#NAME?</v>
      </c>
      <c r="J639" s="100" t="e">
        <f t="shared" ca="1" si="95"/>
        <v>#NAME?</v>
      </c>
      <c r="K639" s="100" t="e">
        <f t="shared" ca="1" si="96"/>
        <v>#NAME?</v>
      </c>
      <c r="L639" s="100" t="e">
        <f t="shared" ca="1" si="97"/>
        <v>#NAME?</v>
      </c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</row>
    <row r="640" spans="2:27">
      <c r="B640" s="100" t="e">
        <f ca="1">IFERROR(__xludf.DUMMYFUNCTION("""COMPUTED_VALUE"""),639)</f>
        <v>#NAME?</v>
      </c>
      <c r="C640" s="100" t="e">
        <f ca="1">IFERROR(__xludf.DUMMYFUNCTION("""COMPUTED_VALUE"""),"FIL-USDC")</f>
        <v>#NAME?</v>
      </c>
      <c r="D640" s="100" t="e">
        <f ca="1">IFERROR(__xludf.DUMMYFUNCTION("""COMPUTED_VALUE"""),"2.505")</f>
        <v>#NAME?</v>
      </c>
      <c r="E640" s="100" t="e">
        <f t="shared" ca="1" si="100"/>
        <v>#NAME?</v>
      </c>
      <c r="F640" s="100" t="e">
        <f t="shared" ca="1" si="100"/>
        <v>#NAME?</v>
      </c>
      <c r="G640" s="100" t="e">
        <f t="shared" ca="1" si="92"/>
        <v>#NAME?</v>
      </c>
      <c r="H640" s="100" t="e">
        <f t="shared" ca="1" si="93"/>
        <v>#NAME?</v>
      </c>
      <c r="I640" s="100" t="e">
        <f t="shared" ca="1" si="94"/>
        <v>#NAME?</v>
      </c>
      <c r="J640" s="100" t="e">
        <f t="shared" ca="1" si="95"/>
        <v>#NAME?</v>
      </c>
      <c r="K640" s="100" t="e">
        <f t="shared" ca="1" si="96"/>
        <v>#NAME?</v>
      </c>
      <c r="L640" s="100" t="e">
        <f t="shared" ca="1" si="97"/>
        <v>#NAME?</v>
      </c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</row>
    <row r="641" spans="2:27">
      <c r="B641" s="100" t="e">
        <f ca="1">IFERROR(__xludf.DUMMYFUNCTION("""COMPUTED_VALUE"""),640)</f>
        <v>#NAME?</v>
      </c>
      <c r="C641" s="100" t="e">
        <f ca="1">IFERROR(__xludf.DUMMYFUNCTION("""COMPUTED_VALUE"""),"ACA-USD")</f>
        <v>#NAME?</v>
      </c>
      <c r="D641" s="100" t="e">
        <f ca="1">IFERROR(__xludf.DUMMYFUNCTION("""COMPUTED_VALUE"""),"0.03079")</f>
        <v>#NAME?</v>
      </c>
      <c r="E641" s="100" t="e">
        <f t="shared" ca="1" si="100"/>
        <v>#NAME?</v>
      </c>
      <c r="F641" s="100" t="e">
        <f t="shared" ca="1" si="100"/>
        <v>#NAME?</v>
      </c>
      <c r="G641" s="100" t="e">
        <f t="shared" ca="1" si="92"/>
        <v>#NAME?</v>
      </c>
      <c r="H641" s="100" t="e">
        <f t="shared" ca="1" si="93"/>
        <v>#NAME?</v>
      </c>
      <c r="I641" s="100" t="e">
        <f t="shared" ca="1" si="94"/>
        <v>#NAME?</v>
      </c>
      <c r="J641" s="100" t="e">
        <f t="shared" ca="1" si="95"/>
        <v>#NAME?</v>
      </c>
      <c r="K641" s="100" t="e">
        <f t="shared" ca="1" si="96"/>
        <v>#NAME?</v>
      </c>
      <c r="L641" s="100" t="e">
        <f t="shared" ca="1" si="97"/>
        <v>#NAME?</v>
      </c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</row>
    <row r="642" spans="2:27">
      <c r="B642" s="100" t="e">
        <f ca="1">IFERROR(__xludf.DUMMYFUNCTION("""COMPUTED_VALUE"""),641)</f>
        <v>#NAME?</v>
      </c>
      <c r="C642" s="100" t="e">
        <f ca="1">IFERROR(__xludf.DUMMYFUNCTION("""COMPUTED_VALUE"""),"BNT-USD")</f>
        <v>#NAME?</v>
      </c>
      <c r="D642" s="100" t="e">
        <f ca="1">IFERROR(__xludf.DUMMYFUNCTION("""COMPUTED_VALUE"""),"0.375")</f>
        <v>#NAME?</v>
      </c>
      <c r="E642" s="100" t="e">
        <f t="shared" ref="E642:F661" ca="1" si="101">IFERROR(__xludf.DUMMYFUNCTION("""COMPUTED_VALUE"""),"-")</f>
        <v>#NAME?</v>
      </c>
      <c r="F642" s="100" t="e">
        <f t="shared" ca="1" si="101"/>
        <v>#NAME?</v>
      </c>
      <c r="G642" s="100" t="e">
        <f t="shared" ref="G642:G705" ca="1" si="102">IFERROR(__xludf.DUMMYFUNCTION("""COMPUTED_VALUE"""),20200)</f>
        <v>#NAME?</v>
      </c>
      <c r="H642" s="100" t="e">
        <f t="shared" ref="H642:H705" ca="1" si="103">IFERROR(__xludf.DUMMYFUNCTION("""COMPUTED_VALUE"""),2885)</f>
        <v>#NAME?</v>
      </c>
      <c r="I642" s="100" t="e">
        <f t="shared" ref="I642:I705" ca="1" si="104">IFERROR(__xludf.DUMMYFUNCTION("""COMPUTED_VALUE"""),663)</f>
        <v>#NAME?</v>
      </c>
      <c r="J642" s="100" t="e">
        <f t="shared" ref="J642:J705" ca="1" si="105">IFERROR(__xludf.DUMMYFUNCTION("""COMPUTED_VALUE"""),5817714)</f>
        <v>#NAME?</v>
      </c>
      <c r="K642" s="100" t="e">
        <f t="shared" ref="K642:K705" ca="1" si="106">IFERROR(__xludf.DUMMYFUNCTION("""COMPUTED_VALUE"""),"-")</f>
        <v>#NAME?</v>
      </c>
      <c r="L642" s="100" t="e">
        <f t="shared" ref="L642:L705" ca="1" si="107">IFERROR(__xludf.DUMMYFUNCTION("""COMPUTED_VALUE"""),"22.04.2025 12:32:49")</f>
        <v>#NAME?</v>
      </c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</row>
    <row r="643" spans="2:27">
      <c r="B643" s="100" t="e">
        <f ca="1">IFERROR(__xludf.DUMMYFUNCTION("""COMPUTED_VALUE"""),642)</f>
        <v>#NAME?</v>
      </c>
      <c r="C643" s="100" t="e">
        <f ca="1">IFERROR(__xludf.DUMMYFUNCTION("""COMPUTED_VALUE"""),"PYTH-USDT")</f>
        <v>#NAME?</v>
      </c>
      <c r="D643" s="100" t="e">
        <f ca="1">IFERROR(__xludf.DUMMYFUNCTION("""COMPUTED_VALUE"""),"0.1419")</f>
        <v>#NAME?</v>
      </c>
      <c r="E643" s="100" t="e">
        <f t="shared" ca="1" si="101"/>
        <v>#NAME?</v>
      </c>
      <c r="F643" s="100" t="e">
        <f t="shared" ca="1" si="101"/>
        <v>#NAME?</v>
      </c>
      <c r="G643" s="100" t="e">
        <f t="shared" ca="1" si="102"/>
        <v>#NAME?</v>
      </c>
      <c r="H643" s="100" t="e">
        <f t="shared" ca="1" si="103"/>
        <v>#NAME?</v>
      </c>
      <c r="I643" s="100" t="e">
        <f t="shared" ca="1" si="104"/>
        <v>#NAME?</v>
      </c>
      <c r="J643" s="100" t="e">
        <f t="shared" ca="1" si="105"/>
        <v>#NAME?</v>
      </c>
      <c r="K643" s="100" t="e">
        <f t="shared" ca="1" si="106"/>
        <v>#NAME?</v>
      </c>
      <c r="L643" s="100" t="e">
        <f t="shared" ca="1" si="107"/>
        <v>#NAME?</v>
      </c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</row>
    <row r="644" spans="2:27">
      <c r="B644" s="100" t="e">
        <f ca="1">IFERROR(__xludf.DUMMYFUNCTION("""COMPUTED_VALUE"""),643)</f>
        <v>#NAME?</v>
      </c>
      <c r="C644" s="100" t="e">
        <f ca="1">IFERROR(__xludf.DUMMYFUNCTION("""COMPUTED_VALUE"""),"GHST-USD")</f>
        <v>#NAME?</v>
      </c>
      <c r="D644" s="100" t="e">
        <f ca="1">IFERROR(__xludf.DUMMYFUNCTION("""COMPUTED_VALUE"""),"0.4749")</f>
        <v>#NAME?</v>
      </c>
      <c r="E644" s="100" t="e">
        <f t="shared" ca="1" si="101"/>
        <v>#NAME?</v>
      </c>
      <c r="F644" s="100" t="e">
        <f t="shared" ca="1" si="101"/>
        <v>#NAME?</v>
      </c>
      <c r="G644" s="100" t="e">
        <f t="shared" ca="1" si="102"/>
        <v>#NAME?</v>
      </c>
      <c r="H644" s="100" t="e">
        <f t="shared" ca="1" si="103"/>
        <v>#NAME?</v>
      </c>
      <c r="I644" s="100" t="e">
        <f t="shared" ca="1" si="104"/>
        <v>#NAME?</v>
      </c>
      <c r="J644" s="100" t="e">
        <f t="shared" ca="1" si="105"/>
        <v>#NAME?</v>
      </c>
      <c r="K644" s="100" t="e">
        <f t="shared" ca="1" si="106"/>
        <v>#NAME?</v>
      </c>
      <c r="L644" s="100" t="e">
        <f t="shared" ca="1" si="107"/>
        <v>#NAME?</v>
      </c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</row>
    <row r="645" spans="2:27">
      <c r="B645" s="100" t="e">
        <f ca="1">IFERROR(__xludf.DUMMYFUNCTION("""COMPUTED_VALUE"""),644)</f>
        <v>#NAME?</v>
      </c>
      <c r="C645" s="100" t="e">
        <f ca="1">IFERROR(__xludf.DUMMYFUNCTION("""COMPUTED_VALUE"""),"SC-USDT")</f>
        <v>#NAME?</v>
      </c>
      <c r="D645" s="100" t="e">
        <f ca="1">IFERROR(__xludf.DUMMYFUNCTION("""COMPUTED_VALUE"""),"0.003336")</f>
        <v>#NAME?</v>
      </c>
      <c r="E645" s="100" t="e">
        <f t="shared" ca="1" si="101"/>
        <v>#NAME?</v>
      </c>
      <c r="F645" s="100" t="e">
        <f t="shared" ca="1" si="101"/>
        <v>#NAME?</v>
      </c>
      <c r="G645" s="100" t="e">
        <f t="shared" ca="1" si="102"/>
        <v>#NAME?</v>
      </c>
      <c r="H645" s="100" t="e">
        <f t="shared" ca="1" si="103"/>
        <v>#NAME?</v>
      </c>
      <c r="I645" s="100" t="e">
        <f t="shared" ca="1" si="104"/>
        <v>#NAME?</v>
      </c>
      <c r="J645" s="100" t="e">
        <f t="shared" ca="1" si="105"/>
        <v>#NAME?</v>
      </c>
      <c r="K645" s="100" t="e">
        <f t="shared" ca="1" si="106"/>
        <v>#NAME?</v>
      </c>
      <c r="L645" s="100" t="e">
        <f t="shared" ca="1" si="107"/>
        <v>#NAME?</v>
      </c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</row>
    <row r="646" spans="2:27">
      <c r="B646" s="100" t="e">
        <f ca="1">IFERROR(__xludf.DUMMYFUNCTION("""COMPUTED_VALUE"""),645)</f>
        <v>#NAME?</v>
      </c>
      <c r="C646" s="100" t="e">
        <f ca="1">IFERROR(__xludf.DUMMYFUNCTION("""COMPUTED_VALUE"""),"MENGO-USDT")</f>
        <v>#NAME?</v>
      </c>
      <c r="D646" s="100" t="e">
        <f ca="1">IFERROR(__xludf.DUMMYFUNCTION("""COMPUTED_VALUE"""),"0.1016")</f>
        <v>#NAME?</v>
      </c>
      <c r="E646" s="100" t="e">
        <f t="shared" ca="1" si="101"/>
        <v>#NAME?</v>
      </c>
      <c r="F646" s="100" t="e">
        <f t="shared" ca="1" si="101"/>
        <v>#NAME?</v>
      </c>
      <c r="G646" s="100" t="e">
        <f t="shared" ca="1" si="102"/>
        <v>#NAME?</v>
      </c>
      <c r="H646" s="100" t="e">
        <f t="shared" ca="1" si="103"/>
        <v>#NAME?</v>
      </c>
      <c r="I646" s="100" t="e">
        <f t="shared" ca="1" si="104"/>
        <v>#NAME?</v>
      </c>
      <c r="J646" s="100" t="e">
        <f t="shared" ca="1" si="105"/>
        <v>#NAME?</v>
      </c>
      <c r="K646" s="100" t="e">
        <f t="shared" ca="1" si="106"/>
        <v>#NAME?</v>
      </c>
      <c r="L646" s="100" t="e">
        <f t="shared" ca="1" si="107"/>
        <v>#NAME?</v>
      </c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</row>
    <row r="647" spans="2:27">
      <c r="B647" s="100" t="e">
        <f ca="1">IFERROR(__xludf.DUMMYFUNCTION("""COMPUTED_VALUE"""),646)</f>
        <v>#NAME?</v>
      </c>
      <c r="C647" s="100" t="e">
        <f ca="1">IFERROR(__xludf.DUMMYFUNCTION("""COMPUTED_VALUE"""),"PYTH-USDC")</f>
        <v>#NAME?</v>
      </c>
      <c r="D647" s="100" t="e">
        <f ca="1">IFERROR(__xludf.DUMMYFUNCTION("""COMPUTED_VALUE"""),"0.1418")</f>
        <v>#NAME?</v>
      </c>
      <c r="E647" s="100" t="e">
        <f t="shared" ca="1" si="101"/>
        <v>#NAME?</v>
      </c>
      <c r="F647" s="100" t="e">
        <f t="shared" ca="1" si="101"/>
        <v>#NAME?</v>
      </c>
      <c r="G647" s="100" t="e">
        <f t="shared" ca="1" si="102"/>
        <v>#NAME?</v>
      </c>
      <c r="H647" s="100" t="e">
        <f t="shared" ca="1" si="103"/>
        <v>#NAME?</v>
      </c>
      <c r="I647" s="100" t="e">
        <f t="shared" ca="1" si="104"/>
        <v>#NAME?</v>
      </c>
      <c r="J647" s="100" t="e">
        <f t="shared" ca="1" si="105"/>
        <v>#NAME?</v>
      </c>
      <c r="K647" s="100" t="e">
        <f t="shared" ca="1" si="106"/>
        <v>#NAME?</v>
      </c>
      <c r="L647" s="100" t="e">
        <f t="shared" ca="1" si="107"/>
        <v>#NAME?</v>
      </c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</row>
    <row r="648" spans="2:27">
      <c r="B648" s="100" t="e">
        <f ca="1">IFERROR(__xludf.DUMMYFUNCTION("""COMPUTED_VALUE"""),647)</f>
        <v>#NAME?</v>
      </c>
      <c r="C648" s="100" t="e">
        <f ca="1">IFERROR(__xludf.DUMMYFUNCTION("""COMPUTED_VALUE"""),"FIL-USDT")</f>
        <v>#NAME?</v>
      </c>
      <c r="D648" s="100" t="e">
        <f ca="1">IFERROR(__xludf.DUMMYFUNCTION("""COMPUTED_VALUE"""),"2.507")</f>
        <v>#NAME?</v>
      </c>
      <c r="E648" s="100" t="e">
        <f t="shared" ca="1" si="101"/>
        <v>#NAME?</v>
      </c>
      <c r="F648" s="100" t="e">
        <f t="shared" ca="1" si="101"/>
        <v>#NAME?</v>
      </c>
      <c r="G648" s="100" t="e">
        <f t="shared" ca="1" si="102"/>
        <v>#NAME?</v>
      </c>
      <c r="H648" s="100" t="e">
        <f t="shared" ca="1" si="103"/>
        <v>#NAME?</v>
      </c>
      <c r="I648" s="100" t="e">
        <f t="shared" ca="1" si="104"/>
        <v>#NAME?</v>
      </c>
      <c r="J648" s="100" t="e">
        <f t="shared" ca="1" si="105"/>
        <v>#NAME?</v>
      </c>
      <c r="K648" s="100" t="e">
        <f t="shared" ca="1" si="106"/>
        <v>#NAME?</v>
      </c>
      <c r="L648" s="100" t="e">
        <f t="shared" ca="1" si="107"/>
        <v>#NAME?</v>
      </c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</row>
    <row r="649" spans="2:27">
      <c r="B649" s="100" t="e">
        <f ca="1">IFERROR(__xludf.DUMMYFUNCTION("""COMPUTED_VALUE"""),648)</f>
        <v>#NAME?</v>
      </c>
      <c r="C649" s="100" t="e">
        <f ca="1">IFERROR(__xludf.DUMMYFUNCTION("""COMPUTED_VALUE"""),"GEAR-USDT")</f>
        <v>#NAME?</v>
      </c>
      <c r="D649" s="100" t="e">
        <f ca="1">IFERROR(__xludf.DUMMYFUNCTION("""COMPUTED_VALUE"""),"0.003071")</f>
        <v>#NAME?</v>
      </c>
      <c r="E649" s="100" t="e">
        <f t="shared" ca="1" si="101"/>
        <v>#NAME?</v>
      </c>
      <c r="F649" s="100" t="e">
        <f t="shared" ca="1" si="101"/>
        <v>#NAME?</v>
      </c>
      <c r="G649" s="100" t="e">
        <f t="shared" ca="1" si="102"/>
        <v>#NAME?</v>
      </c>
      <c r="H649" s="100" t="e">
        <f t="shared" ca="1" si="103"/>
        <v>#NAME?</v>
      </c>
      <c r="I649" s="100" t="e">
        <f t="shared" ca="1" si="104"/>
        <v>#NAME?</v>
      </c>
      <c r="J649" s="100" t="e">
        <f t="shared" ca="1" si="105"/>
        <v>#NAME?</v>
      </c>
      <c r="K649" s="100" t="e">
        <f t="shared" ca="1" si="106"/>
        <v>#NAME?</v>
      </c>
      <c r="L649" s="100" t="e">
        <f t="shared" ca="1" si="107"/>
        <v>#NAME?</v>
      </c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</row>
    <row r="650" spans="2:27">
      <c r="B650" s="100" t="e">
        <f ca="1">IFERROR(__xludf.DUMMYFUNCTION("""COMPUTED_VALUE"""),649)</f>
        <v>#NAME?</v>
      </c>
      <c r="C650" s="100" t="e">
        <f ca="1">IFERROR(__xludf.DUMMYFUNCTION("""COMPUTED_VALUE"""),"SD-USD")</f>
        <v>#NAME?</v>
      </c>
      <c r="D650" s="100" t="e">
        <f ca="1">IFERROR(__xludf.DUMMYFUNCTION("""COMPUTED_VALUE"""),"0.4804")</f>
        <v>#NAME?</v>
      </c>
      <c r="E650" s="100" t="e">
        <f t="shared" ca="1" si="101"/>
        <v>#NAME?</v>
      </c>
      <c r="F650" s="100" t="e">
        <f t="shared" ca="1" si="101"/>
        <v>#NAME?</v>
      </c>
      <c r="G650" s="100" t="e">
        <f t="shared" ca="1" si="102"/>
        <v>#NAME?</v>
      </c>
      <c r="H650" s="100" t="e">
        <f t="shared" ca="1" si="103"/>
        <v>#NAME?</v>
      </c>
      <c r="I650" s="100" t="e">
        <f t="shared" ca="1" si="104"/>
        <v>#NAME?</v>
      </c>
      <c r="J650" s="100" t="e">
        <f t="shared" ca="1" si="105"/>
        <v>#NAME?</v>
      </c>
      <c r="K650" s="100" t="e">
        <f t="shared" ca="1" si="106"/>
        <v>#NAME?</v>
      </c>
      <c r="L650" s="100" t="e">
        <f t="shared" ca="1" si="107"/>
        <v>#NAME?</v>
      </c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</row>
    <row r="651" spans="2:27">
      <c r="B651" s="100" t="e">
        <f ca="1">IFERROR(__xludf.DUMMYFUNCTION("""COMPUTED_VALUE"""),650)</f>
        <v>#NAME?</v>
      </c>
      <c r="C651" s="100" t="e">
        <f ca="1">IFERROR(__xludf.DUMMYFUNCTION("""COMPUTED_VALUE"""),"RSR-USDT")</f>
        <v>#NAME?</v>
      </c>
      <c r="D651" s="100" t="e">
        <f ca="1">IFERROR(__xludf.DUMMYFUNCTION("""COMPUTED_VALUE"""),"0.008305")</f>
        <v>#NAME?</v>
      </c>
      <c r="E651" s="100" t="e">
        <f t="shared" ca="1" si="101"/>
        <v>#NAME?</v>
      </c>
      <c r="F651" s="100" t="e">
        <f t="shared" ca="1" si="101"/>
        <v>#NAME?</v>
      </c>
      <c r="G651" s="100" t="e">
        <f t="shared" ca="1" si="102"/>
        <v>#NAME?</v>
      </c>
      <c r="H651" s="100" t="e">
        <f t="shared" ca="1" si="103"/>
        <v>#NAME?</v>
      </c>
      <c r="I651" s="100" t="e">
        <f t="shared" ca="1" si="104"/>
        <v>#NAME?</v>
      </c>
      <c r="J651" s="100" t="e">
        <f t="shared" ca="1" si="105"/>
        <v>#NAME?</v>
      </c>
      <c r="K651" s="100" t="e">
        <f t="shared" ca="1" si="106"/>
        <v>#NAME?</v>
      </c>
      <c r="L651" s="100" t="e">
        <f t="shared" ca="1" si="107"/>
        <v>#NAME?</v>
      </c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</row>
    <row r="652" spans="2:27">
      <c r="B652" s="100" t="e">
        <f ca="1">IFERROR(__xludf.DUMMYFUNCTION("""COMPUTED_VALUE"""),651)</f>
        <v>#NAME?</v>
      </c>
      <c r="C652" s="100" t="e">
        <f ca="1">IFERROR(__xludf.DUMMYFUNCTION("""COMPUTED_VALUE"""),"RON-USDT")</f>
        <v>#NAME?</v>
      </c>
      <c r="D652" s="100" t="e">
        <f ca="1">IFERROR(__xludf.DUMMYFUNCTION("""COMPUTED_VALUE"""),"0.5301")</f>
        <v>#NAME?</v>
      </c>
      <c r="E652" s="100" t="e">
        <f t="shared" ca="1" si="101"/>
        <v>#NAME?</v>
      </c>
      <c r="F652" s="100" t="e">
        <f t="shared" ca="1" si="101"/>
        <v>#NAME?</v>
      </c>
      <c r="G652" s="100" t="e">
        <f t="shared" ca="1" si="102"/>
        <v>#NAME?</v>
      </c>
      <c r="H652" s="100" t="e">
        <f t="shared" ca="1" si="103"/>
        <v>#NAME?</v>
      </c>
      <c r="I652" s="100" t="e">
        <f t="shared" ca="1" si="104"/>
        <v>#NAME?</v>
      </c>
      <c r="J652" s="100" t="e">
        <f t="shared" ca="1" si="105"/>
        <v>#NAME?</v>
      </c>
      <c r="K652" s="100" t="e">
        <f t="shared" ca="1" si="106"/>
        <v>#NAME?</v>
      </c>
      <c r="L652" s="100" t="e">
        <f t="shared" ca="1" si="107"/>
        <v>#NAME?</v>
      </c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</row>
    <row r="653" spans="2:27">
      <c r="B653" s="100" t="e">
        <f ca="1">IFERROR(__xludf.DUMMYFUNCTION("""COMPUTED_VALUE"""),652)</f>
        <v>#NAME?</v>
      </c>
      <c r="C653" s="100" t="e">
        <f ca="1">IFERROR(__xludf.DUMMYFUNCTION("""COMPUTED_VALUE"""),"ONDO-USDT")</f>
        <v>#NAME?</v>
      </c>
      <c r="D653" s="100" t="e">
        <f ca="1">IFERROR(__xludf.DUMMYFUNCTION("""COMPUTED_VALUE"""),"0.8595")</f>
        <v>#NAME?</v>
      </c>
      <c r="E653" s="100" t="e">
        <f t="shared" ca="1" si="101"/>
        <v>#NAME?</v>
      </c>
      <c r="F653" s="100" t="e">
        <f t="shared" ca="1" si="101"/>
        <v>#NAME?</v>
      </c>
      <c r="G653" s="100" t="e">
        <f t="shared" ca="1" si="102"/>
        <v>#NAME?</v>
      </c>
      <c r="H653" s="100" t="e">
        <f t="shared" ca="1" si="103"/>
        <v>#NAME?</v>
      </c>
      <c r="I653" s="100" t="e">
        <f t="shared" ca="1" si="104"/>
        <v>#NAME?</v>
      </c>
      <c r="J653" s="100" t="e">
        <f t="shared" ca="1" si="105"/>
        <v>#NAME?</v>
      </c>
      <c r="K653" s="100" t="e">
        <f t="shared" ca="1" si="106"/>
        <v>#NAME?</v>
      </c>
      <c r="L653" s="100" t="e">
        <f t="shared" ca="1" si="107"/>
        <v>#NAME?</v>
      </c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</row>
    <row r="654" spans="2:27">
      <c r="B654" s="100" t="e">
        <f ca="1">IFERROR(__xludf.DUMMYFUNCTION("""COMPUTED_VALUE"""),653)</f>
        <v>#NAME?</v>
      </c>
      <c r="C654" s="100" t="e">
        <f ca="1">IFERROR(__xludf.DUMMYFUNCTION("""COMPUTED_VALUE"""),"JUP-USDC")</f>
        <v>#NAME?</v>
      </c>
      <c r="D654" s="100" t="e">
        <f ca="1">IFERROR(__xludf.DUMMYFUNCTION("""COMPUTED_VALUE"""),"0.4054")</f>
        <v>#NAME?</v>
      </c>
      <c r="E654" s="100" t="e">
        <f t="shared" ca="1" si="101"/>
        <v>#NAME?</v>
      </c>
      <c r="F654" s="100" t="e">
        <f t="shared" ca="1" si="101"/>
        <v>#NAME?</v>
      </c>
      <c r="G654" s="100" t="e">
        <f t="shared" ca="1" si="102"/>
        <v>#NAME?</v>
      </c>
      <c r="H654" s="100" t="e">
        <f t="shared" ca="1" si="103"/>
        <v>#NAME?</v>
      </c>
      <c r="I654" s="100" t="e">
        <f t="shared" ca="1" si="104"/>
        <v>#NAME?</v>
      </c>
      <c r="J654" s="100" t="e">
        <f t="shared" ca="1" si="105"/>
        <v>#NAME?</v>
      </c>
      <c r="K654" s="100" t="e">
        <f t="shared" ca="1" si="106"/>
        <v>#NAME?</v>
      </c>
      <c r="L654" s="100" t="e">
        <f t="shared" ca="1" si="107"/>
        <v>#NAME?</v>
      </c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</row>
    <row r="655" spans="2:27">
      <c r="B655" s="100" t="e">
        <f ca="1">IFERROR(__xludf.DUMMYFUNCTION("""COMPUTED_VALUE"""),654)</f>
        <v>#NAME?</v>
      </c>
      <c r="C655" s="100" t="e">
        <f ca="1">IFERROR(__xludf.DUMMYFUNCTION("""COMPUTED_VALUE"""),"CETUS-USD")</f>
        <v>#NAME?</v>
      </c>
      <c r="D655" s="100" t="e">
        <f ca="1">IFERROR(__xludf.DUMMYFUNCTION("""COMPUTED_VALUE"""),"0.10676")</f>
        <v>#NAME?</v>
      </c>
      <c r="E655" s="100" t="e">
        <f t="shared" ca="1" si="101"/>
        <v>#NAME?</v>
      </c>
      <c r="F655" s="100" t="e">
        <f t="shared" ca="1" si="101"/>
        <v>#NAME?</v>
      </c>
      <c r="G655" s="100" t="e">
        <f t="shared" ca="1" si="102"/>
        <v>#NAME?</v>
      </c>
      <c r="H655" s="100" t="e">
        <f t="shared" ca="1" si="103"/>
        <v>#NAME?</v>
      </c>
      <c r="I655" s="100" t="e">
        <f t="shared" ca="1" si="104"/>
        <v>#NAME?</v>
      </c>
      <c r="J655" s="100" t="e">
        <f t="shared" ca="1" si="105"/>
        <v>#NAME?</v>
      </c>
      <c r="K655" s="100" t="e">
        <f t="shared" ca="1" si="106"/>
        <v>#NAME?</v>
      </c>
      <c r="L655" s="100" t="e">
        <f t="shared" ca="1" si="107"/>
        <v>#NAME?</v>
      </c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</row>
    <row r="656" spans="2:27">
      <c r="B656" s="100" t="e">
        <f ca="1">IFERROR(__xludf.DUMMYFUNCTION("""COMPUTED_VALUE"""),655)</f>
        <v>#NAME?</v>
      </c>
      <c r="C656" s="100" t="e">
        <f ca="1">IFERROR(__xludf.DUMMYFUNCTION("""COMPUTED_VALUE"""),"FLOKI-USD")</f>
        <v>#NAME?</v>
      </c>
      <c r="D656" s="100" t="e">
        <f ca="1">IFERROR(__xludf.DUMMYFUNCTION("""COMPUTED_VALUE"""),"0.00005804")</f>
        <v>#NAME?</v>
      </c>
      <c r="E656" s="100" t="e">
        <f t="shared" ca="1" si="101"/>
        <v>#NAME?</v>
      </c>
      <c r="F656" s="100" t="e">
        <f t="shared" ca="1" si="101"/>
        <v>#NAME?</v>
      </c>
      <c r="G656" s="100" t="e">
        <f t="shared" ca="1" si="102"/>
        <v>#NAME?</v>
      </c>
      <c r="H656" s="100" t="e">
        <f t="shared" ca="1" si="103"/>
        <v>#NAME?</v>
      </c>
      <c r="I656" s="100" t="e">
        <f t="shared" ca="1" si="104"/>
        <v>#NAME?</v>
      </c>
      <c r="J656" s="100" t="e">
        <f t="shared" ca="1" si="105"/>
        <v>#NAME?</v>
      </c>
      <c r="K656" s="100" t="e">
        <f t="shared" ca="1" si="106"/>
        <v>#NAME?</v>
      </c>
      <c r="L656" s="100" t="e">
        <f t="shared" ca="1" si="107"/>
        <v>#NAME?</v>
      </c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</row>
    <row r="657" spans="2:27">
      <c r="B657" s="100" t="e">
        <f ca="1">IFERROR(__xludf.DUMMYFUNCTION("""COMPUTED_VALUE"""),656)</f>
        <v>#NAME?</v>
      </c>
      <c r="C657" s="100" t="e">
        <f ca="1">IFERROR(__xludf.DUMMYFUNCTION("""COMPUTED_VALUE"""),"ONDO-USDC")</f>
        <v>#NAME?</v>
      </c>
      <c r="D657" s="100" t="e">
        <f ca="1">IFERROR(__xludf.DUMMYFUNCTION("""COMPUTED_VALUE"""),"0.8608")</f>
        <v>#NAME?</v>
      </c>
      <c r="E657" s="100" t="e">
        <f t="shared" ca="1" si="101"/>
        <v>#NAME?</v>
      </c>
      <c r="F657" s="100" t="e">
        <f t="shared" ca="1" si="101"/>
        <v>#NAME?</v>
      </c>
      <c r="G657" s="100" t="e">
        <f t="shared" ca="1" si="102"/>
        <v>#NAME?</v>
      </c>
      <c r="H657" s="100" t="e">
        <f t="shared" ca="1" si="103"/>
        <v>#NAME?</v>
      </c>
      <c r="I657" s="100" t="e">
        <f t="shared" ca="1" si="104"/>
        <v>#NAME?</v>
      </c>
      <c r="J657" s="100" t="e">
        <f t="shared" ca="1" si="105"/>
        <v>#NAME?</v>
      </c>
      <c r="K657" s="100" t="e">
        <f t="shared" ca="1" si="106"/>
        <v>#NAME?</v>
      </c>
      <c r="L657" s="100" t="e">
        <f t="shared" ca="1" si="107"/>
        <v>#NAME?</v>
      </c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</row>
    <row r="658" spans="2:27">
      <c r="B658" s="100" t="e">
        <f ca="1">IFERROR(__xludf.DUMMYFUNCTION("""COMPUTED_VALUE"""),657)</f>
        <v>#NAME?</v>
      </c>
      <c r="C658" s="100" t="e">
        <f ca="1">IFERROR(__xludf.DUMMYFUNCTION("""COMPUTED_VALUE"""),"PROMPT-USDT")</f>
        <v>#NAME?</v>
      </c>
      <c r="D658" s="100" t="e">
        <f ca="1">IFERROR(__xludf.DUMMYFUNCTION("""COMPUTED_VALUE"""),"0.22835")</f>
        <v>#NAME?</v>
      </c>
      <c r="E658" s="100" t="e">
        <f t="shared" ca="1" si="101"/>
        <v>#NAME?</v>
      </c>
      <c r="F658" s="100" t="e">
        <f t="shared" ca="1" si="101"/>
        <v>#NAME?</v>
      </c>
      <c r="G658" s="100" t="e">
        <f t="shared" ca="1" si="102"/>
        <v>#NAME?</v>
      </c>
      <c r="H658" s="100" t="e">
        <f t="shared" ca="1" si="103"/>
        <v>#NAME?</v>
      </c>
      <c r="I658" s="100" t="e">
        <f t="shared" ca="1" si="104"/>
        <v>#NAME?</v>
      </c>
      <c r="J658" s="100" t="e">
        <f t="shared" ca="1" si="105"/>
        <v>#NAME?</v>
      </c>
      <c r="K658" s="100" t="e">
        <f t="shared" ca="1" si="106"/>
        <v>#NAME?</v>
      </c>
      <c r="L658" s="100" t="e">
        <f t="shared" ca="1" si="107"/>
        <v>#NAME?</v>
      </c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</row>
    <row r="659" spans="2:27">
      <c r="B659" s="100" t="e">
        <f ca="1">IFERROR(__xludf.DUMMYFUNCTION("""COMPUTED_VALUE"""),658)</f>
        <v>#NAME?</v>
      </c>
      <c r="C659" s="100" t="e">
        <f ca="1">IFERROR(__xludf.DUMMYFUNCTION("""COMPUTED_VALUE"""),"MXC-USDT")</f>
        <v>#NAME?</v>
      </c>
      <c r="D659" s="100" t="e">
        <f ca="1">IFERROR(__xludf.DUMMYFUNCTION("""COMPUTED_VALUE"""),"0.000963")</f>
        <v>#NAME?</v>
      </c>
      <c r="E659" s="100" t="e">
        <f t="shared" ca="1" si="101"/>
        <v>#NAME?</v>
      </c>
      <c r="F659" s="100" t="e">
        <f t="shared" ca="1" si="101"/>
        <v>#NAME?</v>
      </c>
      <c r="G659" s="100" t="e">
        <f t="shared" ca="1" si="102"/>
        <v>#NAME?</v>
      </c>
      <c r="H659" s="100" t="e">
        <f t="shared" ca="1" si="103"/>
        <v>#NAME?</v>
      </c>
      <c r="I659" s="100" t="e">
        <f t="shared" ca="1" si="104"/>
        <v>#NAME?</v>
      </c>
      <c r="J659" s="100" t="e">
        <f t="shared" ca="1" si="105"/>
        <v>#NAME?</v>
      </c>
      <c r="K659" s="100" t="e">
        <f t="shared" ca="1" si="106"/>
        <v>#NAME?</v>
      </c>
      <c r="L659" s="100" t="e">
        <f t="shared" ca="1" si="107"/>
        <v>#NAME?</v>
      </c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</row>
    <row r="660" spans="2:27">
      <c r="B660" s="100" t="e">
        <f ca="1">IFERROR(__xludf.DUMMYFUNCTION("""COMPUTED_VALUE"""),659)</f>
        <v>#NAME?</v>
      </c>
      <c r="C660" s="100" t="e">
        <f ca="1">IFERROR(__xludf.DUMMYFUNCTION("""COMPUTED_VALUE"""),"NFT-USDT")</f>
        <v>#NAME?</v>
      </c>
      <c r="D660" s="100" t="e">
        <f ca="1">IFERROR(__xludf.DUMMYFUNCTION("""COMPUTED_VALUE"""),"0.000000428")</f>
        <v>#NAME?</v>
      </c>
      <c r="E660" s="100" t="e">
        <f t="shared" ca="1" si="101"/>
        <v>#NAME?</v>
      </c>
      <c r="F660" s="100" t="e">
        <f t="shared" ca="1" si="101"/>
        <v>#NAME?</v>
      </c>
      <c r="G660" s="100" t="e">
        <f t="shared" ca="1" si="102"/>
        <v>#NAME?</v>
      </c>
      <c r="H660" s="100" t="e">
        <f t="shared" ca="1" si="103"/>
        <v>#NAME?</v>
      </c>
      <c r="I660" s="100" t="e">
        <f t="shared" ca="1" si="104"/>
        <v>#NAME?</v>
      </c>
      <c r="J660" s="100" t="e">
        <f t="shared" ca="1" si="105"/>
        <v>#NAME?</v>
      </c>
      <c r="K660" s="100" t="e">
        <f t="shared" ca="1" si="106"/>
        <v>#NAME?</v>
      </c>
      <c r="L660" s="100" t="e">
        <f t="shared" ca="1" si="107"/>
        <v>#NAME?</v>
      </c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</row>
    <row r="661" spans="2:27">
      <c r="B661" s="100" t="e">
        <f ca="1">IFERROR(__xludf.DUMMYFUNCTION("""COMPUTED_VALUE"""),660)</f>
        <v>#NAME?</v>
      </c>
      <c r="C661" s="100" t="e">
        <f ca="1">IFERROR(__xludf.DUMMYFUNCTION("""COMPUTED_VALUE"""),"JUP-USDT")</f>
        <v>#NAME?</v>
      </c>
      <c r="D661" s="100" t="e">
        <f ca="1">IFERROR(__xludf.DUMMYFUNCTION("""COMPUTED_VALUE"""),"0.404")</f>
        <v>#NAME?</v>
      </c>
      <c r="E661" s="100" t="e">
        <f t="shared" ca="1" si="101"/>
        <v>#NAME?</v>
      </c>
      <c r="F661" s="100" t="e">
        <f t="shared" ca="1" si="101"/>
        <v>#NAME?</v>
      </c>
      <c r="G661" s="100" t="e">
        <f t="shared" ca="1" si="102"/>
        <v>#NAME?</v>
      </c>
      <c r="H661" s="100" t="e">
        <f t="shared" ca="1" si="103"/>
        <v>#NAME?</v>
      </c>
      <c r="I661" s="100" t="e">
        <f t="shared" ca="1" si="104"/>
        <v>#NAME?</v>
      </c>
      <c r="J661" s="100" t="e">
        <f t="shared" ca="1" si="105"/>
        <v>#NAME?</v>
      </c>
      <c r="K661" s="100" t="e">
        <f t="shared" ca="1" si="106"/>
        <v>#NAME?</v>
      </c>
      <c r="L661" s="100" t="e">
        <f t="shared" ca="1" si="107"/>
        <v>#NAME?</v>
      </c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</row>
    <row r="662" spans="2:27">
      <c r="B662" s="100" t="e">
        <f ca="1">IFERROR(__xludf.DUMMYFUNCTION("""COMPUTED_VALUE"""),661)</f>
        <v>#NAME?</v>
      </c>
      <c r="C662" s="100" t="e">
        <f ca="1">IFERROR(__xludf.DUMMYFUNCTION("""COMPUTED_VALUE"""),"ONT-USDT")</f>
        <v>#NAME?</v>
      </c>
      <c r="D662" s="100" t="e">
        <f ca="1">IFERROR(__xludf.DUMMYFUNCTION("""COMPUTED_VALUE"""),"0.1441")</f>
        <v>#NAME?</v>
      </c>
      <c r="E662" s="100" t="e">
        <f t="shared" ref="E662:F681" ca="1" si="108">IFERROR(__xludf.DUMMYFUNCTION("""COMPUTED_VALUE"""),"-")</f>
        <v>#NAME?</v>
      </c>
      <c r="F662" s="100" t="e">
        <f t="shared" ca="1" si="108"/>
        <v>#NAME?</v>
      </c>
      <c r="G662" s="100" t="e">
        <f t="shared" ca="1" si="102"/>
        <v>#NAME?</v>
      </c>
      <c r="H662" s="100" t="e">
        <f t="shared" ca="1" si="103"/>
        <v>#NAME?</v>
      </c>
      <c r="I662" s="100" t="e">
        <f t="shared" ca="1" si="104"/>
        <v>#NAME?</v>
      </c>
      <c r="J662" s="100" t="e">
        <f t="shared" ca="1" si="105"/>
        <v>#NAME?</v>
      </c>
      <c r="K662" s="100" t="e">
        <f t="shared" ca="1" si="106"/>
        <v>#NAME?</v>
      </c>
      <c r="L662" s="100" t="e">
        <f t="shared" ca="1" si="107"/>
        <v>#NAME?</v>
      </c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</row>
    <row r="663" spans="2:27">
      <c r="B663" s="100" t="e">
        <f ca="1">IFERROR(__xludf.DUMMYFUNCTION("""COMPUTED_VALUE"""),662)</f>
        <v>#NAME?</v>
      </c>
      <c r="C663" s="100" t="e">
        <f ca="1">IFERROR(__xludf.DUMMYFUNCTION("""COMPUTED_VALUE"""),"AGLD-USD")</f>
        <v>#NAME?</v>
      </c>
      <c r="D663" s="100" t="e">
        <f ca="1">IFERROR(__xludf.DUMMYFUNCTION("""COMPUTED_VALUE"""),"0.824")</f>
        <v>#NAME?</v>
      </c>
      <c r="E663" s="100" t="e">
        <f t="shared" ca="1" si="108"/>
        <v>#NAME?</v>
      </c>
      <c r="F663" s="100" t="e">
        <f t="shared" ca="1" si="108"/>
        <v>#NAME?</v>
      </c>
      <c r="G663" s="100" t="e">
        <f t="shared" ca="1" si="102"/>
        <v>#NAME?</v>
      </c>
      <c r="H663" s="100" t="e">
        <f t="shared" ca="1" si="103"/>
        <v>#NAME?</v>
      </c>
      <c r="I663" s="100" t="e">
        <f t="shared" ca="1" si="104"/>
        <v>#NAME?</v>
      </c>
      <c r="J663" s="100" t="e">
        <f t="shared" ca="1" si="105"/>
        <v>#NAME?</v>
      </c>
      <c r="K663" s="100" t="e">
        <f t="shared" ca="1" si="106"/>
        <v>#NAME?</v>
      </c>
      <c r="L663" s="100" t="e">
        <f t="shared" ca="1" si="107"/>
        <v>#NAME?</v>
      </c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</row>
    <row r="664" spans="2:27">
      <c r="B664" s="100" t="e">
        <f ca="1">IFERROR(__xludf.DUMMYFUNCTION("""COMPUTED_VALUE"""),663)</f>
        <v>#NAME?</v>
      </c>
      <c r="C664" s="100" t="e">
        <f ca="1">IFERROR(__xludf.DUMMYFUNCTION("""COMPUTED_VALUE"""),"SLERF-USDT")</f>
        <v>#NAME?</v>
      </c>
      <c r="D664" s="100" t="e">
        <f ca="1">IFERROR(__xludf.DUMMYFUNCTION("""COMPUTED_VALUE"""),"0.06403")</f>
        <v>#NAME?</v>
      </c>
      <c r="E664" s="100" t="e">
        <f t="shared" ca="1" si="108"/>
        <v>#NAME?</v>
      </c>
      <c r="F664" s="100" t="e">
        <f t="shared" ca="1" si="108"/>
        <v>#NAME?</v>
      </c>
      <c r="G664" s="100" t="e">
        <f t="shared" ca="1" si="102"/>
        <v>#NAME?</v>
      </c>
      <c r="H664" s="100" t="e">
        <f t="shared" ca="1" si="103"/>
        <v>#NAME?</v>
      </c>
      <c r="I664" s="100" t="e">
        <f t="shared" ca="1" si="104"/>
        <v>#NAME?</v>
      </c>
      <c r="J664" s="100" t="e">
        <f t="shared" ca="1" si="105"/>
        <v>#NAME?</v>
      </c>
      <c r="K664" s="100" t="e">
        <f t="shared" ca="1" si="106"/>
        <v>#NAME?</v>
      </c>
      <c r="L664" s="100" t="e">
        <f t="shared" ca="1" si="107"/>
        <v>#NAME?</v>
      </c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</row>
    <row r="665" spans="2:27">
      <c r="B665" s="100" t="e">
        <f ca="1">IFERROR(__xludf.DUMMYFUNCTION("""COMPUTED_VALUE"""),664)</f>
        <v>#NAME?</v>
      </c>
      <c r="C665" s="100" t="e">
        <f ca="1">IFERROR(__xludf.DUMMYFUNCTION("""COMPUTED_VALUE"""),"BAND-USD")</f>
        <v>#NAME?</v>
      </c>
      <c r="D665" s="100" t="e">
        <f ca="1">IFERROR(__xludf.DUMMYFUNCTION("""COMPUTED_VALUE"""),"0.7269")</f>
        <v>#NAME?</v>
      </c>
      <c r="E665" s="100" t="e">
        <f t="shared" ca="1" si="108"/>
        <v>#NAME?</v>
      </c>
      <c r="F665" s="100" t="e">
        <f t="shared" ca="1" si="108"/>
        <v>#NAME?</v>
      </c>
      <c r="G665" s="100" t="e">
        <f t="shared" ca="1" si="102"/>
        <v>#NAME?</v>
      </c>
      <c r="H665" s="100" t="e">
        <f t="shared" ca="1" si="103"/>
        <v>#NAME?</v>
      </c>
      <c r="I665" s="100" t="e">
        <f t="shared" ca="1" si="104"/>
        <v>#NAME?</v>
      </c>
      <c r="J665" s="100" t="e">
        <f t="shared" ca="1" si="105"/>
        <v>#NAME?</v>
      </c>
      <c r="K665" s="100" t="e">
        <f t="shared" ca="1" si="106"/>
        <v>#NAME?</v>
      </c>
      <c r="L665" s="100" t="e">
        <f t="shared" ca="1" si="107"/>
        <v>#NAME?</v>
      </c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</row>
    <row r="666" spans="2:27">
      <c r="B666" s="100" t="e">
        <f ca="1">IFERROR(__xludf.DUMMYFUNCTION("""COMPUTED_VALUE"""),665)</f>
        <v>#NAME?</v>
      </c>
      <c r="C666" s="100" t="e">
        <f ca="1">IFERROR(__xludf.DUMMYFUNCTION("""COMPUTED_VALUE"""),"VENOM-USD")</f>
        <v>#NAME?</v>
      </c>
      <c r="D666" s="100" t="e">
        <f ca="1">IFERROR(__xludf.DUMMYFUNCTION("""COMPUTED_VALUE"""),"0.13918")</f>
        <v>#NAME?</v>
      </c>
      <c r="E666" s="100" t="e">
        <f t="shared" ca="1" si="108"/>
        <v>#NAME?</v>
      </c>
      <c r="F666" s="100" t="e">
        <f t="shared" ca="1" si="108"/>
        <v>#NAME?</v>
      </c>
      <c r="G666" s="100" t="e">
        <f t="shared" ca="1" si="102"/>
        <v>#NAME?</v>
      </c>
      <c r="H666" s="100" t="e">
        <f t="shared" ca="1" si="103"/>
        <v>#NAME?</v>
      </c>
      <c r="I666" s="100" t="e">
        <f t="shared" ca="1" si="104"/>
        <v>#NAME?</v>
      </c>
      <c r="J666" s="100" t="e">
        <f t="shared" ca="1" si="105"/>
        <v>#NAME?</v>
      </c>
      <c r="K666" s="100" t="e">
        <f t="shared" ca="1" si="106"/>
        <v>#NAME?</v>
      </c>
      <c r="L666" s="100" t="e">
        <f t="shared" ca="1" si="107"/>
        <v>#NAME?</v>
      </c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</row>
    <row r="667" spans="2:27">
      <c r="B667" s="100" t="e">
        <f ca="1">IFERROR(__xludf.DUMMYFUNCTION("""COMPUTED_VALUE"""),666)</f>
        <v>#NAME?</v>
      </c>
      <c r="C667" s="100" t="e">
        <f ca="1">IFERROR(__xludf.DUMMYFUNCTION("""COMPUTED_VALUE"""),"POL-USD")</f>
        <v>#NAME?</v>
      </c>
      <c r="D667" s="100" t="e">
        <f ca="1">IFERROR(__xludf.DUMMYFUNCTION("""COMPUTED_VALUE"""),"0.2213")</f>
        <v>#NAME?</v>
      </c>
      <c r="E667" s="100" t="e">
        <f t="shared" ca="1" si="108"/>
        <v>#NAME?</v>
      </c>
      <c r="F667" s="100" t="e">
        <f t="shared" ca="1" si="108"/>
        <v>#NAME?</v>
      </c>
      <c r="G667" s="100" t="e">
        <f t="shared" ca="1" si="102"/>
        <v>#NAME?</v>
      </c>
      <c r="H667" s="100" t="e">
        <f t="shared" ca="1" si="103"/>
        <v>#NAME?</v>
      </c>
      <c r="I667" s="100" t="e">
        <f t="shared" ca="1" si="104"/>
        <v>#NAME?</v>
      </c>
      <c r="J667" s="100" t="e">
        <f t="shared" ca="1" si="105"/>
        <v>#NAME?</v>
      </c>
      <c r="K667" s="100" t="e">
        <f t="shared" ca="1" si="106"/>
        <v>#NAME?</v>
      </c>
      <c r="L667" s="100" t="e">
        <f t="shared" ca="1" si="107"/>
        <v>#NAME?</v>
      </c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</row>
    <row r="668" spans="2:27">
      <c r="B668" s="100" t="e">
        <f ca="1">IFERROR(__xludf.DUMMYFUNCTION("""COMPUTED_VALUE"""),667)</f>
        <v>#NAME?</v>
      </c>
      <c r="C668" s="100" t="e">
        <f ca="1">IFERROR(__xludf.DUMMYFUNCTION("""COMPUTED_VALUE"""),"UMA-USDT")</f>
        <v>#NAME?</v>
      </c>
      <c r="D668" s="100" t="e">
        <f ca="1">IFERROR(__xludf.DUMMYFUNCTION("""COMPUTED_VALUE"""),"1.117")</f>
        <v>#NAME?</v>
      </c>
      <c r="E668" s="100" t="e">
        <f t="shared" ca="1" si="108"/>
        <v>#NAME?</v>
      </c>
      <c r="F668" s="100" t="e">
        <f t="shared" ca="1" si="108"/>
        <v>#NAME?</v>
      </c>
      <c r="G668" s="100" t="e">
        <f t="shared" ca="1" si="102"/>
        <v>#NAME?</v>
      </c>
      <c r="H668" s="100" t="e">
        <f t="shared" ca="1" si="103"/>
        <v>#NAME?</v>
      </c>
      <c r="I668" s="100" t="e">
        <f t="shared" ca="1" si="104"/>
        <v>#NAME?</v>
      </c>
      <c r="J668" s="100" t="e">
        <f t="shared" ca="1" si="105"/>
        <v>#NAME?</v>
      </c>
      <c r="K668" s="100" t="e">
        <f t="shared" ca="1" si="106"/>
        <v>#NAME?</v>
      </c>
      <c r="L668" s="100" t="e">
        <f t="shared" ca="1" si="107"/>
        <v>#NAME?</v>
      </c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</row>
    <row r="669" spans="2:27">
      <c r="B669" s="100" t="e">
        <f ca="1">IFERROR(__xludf.DUMMYFUNCTION("""COMPUTED_VALUE"""),668)</f>
        <v>#NAME?</v>
      </c>
      <c r="C669" s="100" t="e">
        <f ca="1">IFERROR(__xludf.DUMMYFUNCTION("""COMPUTED_VALUE"""),"ATH-USDC")</f>
        <v>#NAME?</v>
      </c>
      <c r="D669" s="100" t="e">
        <f ca="1">IFERROR(__xludf.DUMMYFUNCTION("""COMPUTED_VALUE"""),"0.02768")</f>
        <v>#NAME?</v>
      </c>
      <c r="E669" s="100" t="e">
        <f t="shared" ca="1" si="108"/>
        <v>#NAME?</v>
      </c>
      <c r="F669" s="100" t="e">
        <f t="shared" ca="1" si="108"/>
        <v>#NAME?</v>
      </c>
      <c r="G669" s="100" t="e">
        <f t="shared" ca="1" si="102"/>
        <v>#NAME?</v>
      </c>
      <c r="H669" s="100" t="e">
        <f t="shared" ca="1" si="103"/>
        <v>#NAME?</v>
      </c>
      <c r="I669" s="100" t="e">
        <f t="shared" ca="1" si="104"/>
        <v>#NAME?</v>
      </c>
      <c r="J669" s="100" t="e">
        <f t="shared" ca="1" si="105"/>
        <v>#NAME?</v>
      </c>
      <c r="K669" s="100" t="e">
        <f t="shared" ca="1" si="106"/>
        <v>#NAME?</v>
      </c>
      <c r="L669" s="100" t="e">
        <f t="shared" ca="1" si="107"/>
        <v>#NAME?</v>
      </c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</row>
    <row r="670" spans="2:27">
      <c r="B670" s="100" t="e">
        <f ca="1">IFERROR(__xludf.DUMMYFUNCTION("""COMPUTED_VALUE"""),669)</f>
        <v>#NAME?</v>
      </c>
      <c r="C670" s="100" t="e">
        <f ca="1">IFERROR(__xludf.DUMMYFUNCTION("""COMPUTED_VALUE"""),"FORTH-USDT")</f>
        <v>#NAME?</v>
      </c>
      <c r="D670" s="100" t="e">
        <f ca="1">IFERROR(__xludf.DUMMYFUNCTION("""COMPUTED_VALUE"""),"2.399")</f>
        <v>#NAME?</v>
      </c>
      <c r="E670" s="100" t="e">
        <f t="shared" ca="1" si="108"/>
        <v>#NAME?</v>
      </c>
      <c r="F670" s="100" t="e">
        <f t="shared" ca="1" si="108"/>
        <v>#NAME?</v>
      </c>
      <c r="G670" s="100" t="e">
        <f t="shared" ca="1" si="102"/>
        <v>#NAME?</v>
      </c>
      <c r="H670" s="100" t="e">
        <f t="shared" ca="1" si="103"/>
        <v>#NAME?</v>
      </c>
      <c r="I670" s="100" t="e">
        <f t="shared" ca="1" si="104"/>
        <v>#NAME?</v>
      </c>
      <c r="J670" s="100" t="e">
        <f t="shared" ca="1" si="105"/>
        <v>#NAME?</v>
      </c>
      <c r="K670" s="100" t="e">
        <f t="shared" ca="1" si="106"/>
        <v>#NAME?</v>
      </c>
      <c r="L670" s="100" t="e">
        <f t="shared" ca="1" si="107"/>
        <v>#NAME?</v>
      </c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</row>
    <row r="671" spans="2:27">
      <c r="B671" s="100" t="e">
        <f ca="1">IFERROR(__xludf.DUMMYFUNCTION("""COMPUTED_VALUE"""),670)</f>
        <v>#NAME?</v>
      </c>
      <c r="C671" s="100" t="e">
        <f ca="1">IFERROR(__xludf.DUMMYFUNCTION("""COMPUTED_VALUE"""),"MOVR-USDT")</f>
        <v>#NAME?</v>
      </c>
      <c r="D671" s="100" t="e">
        <f ca="1">IFERROR(__xludf.DUMMYFUNCTION("""COMPUTED_VALUE"""),"5.517")</f>
        <v>#NAME?</v>
      </c>
      <c r="E671" s="100" t="e">
        <f t="shared" ca="1" si="108"/>
        <v>#NAME?</v>
      </c>
      <c r="F671" s="100" t="e">
        <f t="shared" ca="1" si="108"/>
        <v>#NAME?</v>
      </c>
      <c r="G671" s="100" t="e">
        <f t="shared" ca="1" si="102"/>
        <v>#NAME?</v>
      </c>
      <c r="H671" s="100" t="e">
        <f t="shared" ca="1" si="103"/>
        <v>#NAME?</v>
      </c>
      <c r="I671" s="100" t="e">
        <f t="shared" ca="1" si="104"/>
        <v>#NAME?</v>
      </c>
      <c r="J671" s="100" t="e">
        <f t="shared" ca="1" si="105"/>
        <v>#NAME?</v>
      </c>
      <c r="K671" s="100" t="e">
        <f t="shared" ca="1" si="106"/>
        <v>#NAME?</v>
      </c>
      <c r="L671" s="100" t="e">
        <f t="shared" ca="1" si="107"/>
        <v>#NAME?</v>
      </c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</row>
    <row r="672" spans="2:27">
      <c r="B672" s="100" t="e">
        <f ca="1">IFERROR(__xludf.DUMMYFUNCTION("""COMPUTED_VALUE"""),671)</f>
        <v>#NAME?</v>
      </c>
      <c r="C672" s="100" t="e">
        <f ca="1">IFERROR(__xludf.DUMMYFUNCTION("""COMPUTED_VALUE"""),"AR-USDT")</f>
        <v>#NAME?</v>
      </c>
      <c r="D672" s="100" t="e">
        <f ca="1">IFERROR(__xludf.DUMMYFUNCTION("""COMPUTED_VALUE"""),"5.493")</f>
        <v>#NAME?</v>
      </c>
      <c r="E672" s="100" t="e">
        <f t="shared" ca="1" si="108"/>
        <v>#NAME?</v>
      </c>
      <c r="F672" s="100" t="e">
        <f t="shared" ca="1" si="108"/>
        <v>#NAME?</v>
      </c>
      <c r="G672" s="100" t="e">
        <f t="shared" ca="1" si="102"/>
        <v>#NAME?</v>
      </c>
      <c r="H672" s="100" t="e">
        <f t="shared" ca="1" si="103"/>
        <v>#NAME?</v>
      </c>
      <c r="I672" s="100" t="e">
        <f t="shared" ca="1" si="104"/>
        <v>#NAME?</v>
      </c>
      <c r="J672" s="100" t="e">
        <f t="shared" ca="1" si="105"/>
        <v>#NAME?</v>
      </c>
      <c r="K672" s="100" t="e">
        <f t="shared" ca="1" si="106"/>
        <v>#NAME?</v>
      </c>
      <c r="L672" s="100" t="e">
        <f t="shared" ca="1" si="107"/>
        <v>#NAME?</v>
      </c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</row>
    <row r="673" spans="2:27">
      <c r="B673" s="100" t="e">
        <f ca="1">IFERROR(__xludf.DUMMYFUNCTION("""COMPUTED_VALUE"""),672)</f>
        <v>#NAME?</v>
      </c>
      <c r="C673" s="100" t="e">
        <f ca="1">IFERROR(__xludf.DUMMYFUNCTION("""COMPUTED_VALUE"""),"USTC-USDT")</f>
        <v>#NAME?</v>
      </c>
      <c r="D673" s="100" t="e">
        <f ca="1">IFERROR(__xludf.DUMMYFUNCTION("""COMPUTED_VALUE"""),"0.01205")</f>
        <v>#NAME?</v>
      </c>
      <c r="E673" s="100" t="e">
        <f t="shared" ca="1" si="108"/>
        <v>#NAME?</v>
      </c>
      <c r="F673" s="100" t="e">
        <f t="shared" ca="1" si="108"/>
        <v>#NAME?</v>
      </c>
      <c r="G673" s="100" t="e">
        <f t="shared" ca="1" si="102"/>
        <v>#NAME?</v>
      </c>
      <c r="H673" s="100" t="e">
        <f t="shared" ca="1" si="103"/>
        <v>#NAME?</v>
      </c>
      <c r="I673" s="100" t="e">
        <f t="shared" ca="1" si="104"/>
        <v>#NAME?</v>
      </c>
      <c r="J673" s="100" t="e">
        <f t="shared" ca="1" si="105"/>
        <v>#NAME?</v>
      </c>
      <c r="K673" s="100" t="e">
        <f t="shared" ca="1" si="106"/>
        <v>#NAME?</v>
      </c>
      <c r="L673" s="100" t="e">
        <f t="shared" ca="1" si="107"/>
        <v>#NAME?</v>
      </c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</row>
    <row r="674" spans="2:27">
      <c r="B674" s="100" t="e">
        <f ca="1">IFERROR(__xludf.DUMMYFUNCTION("""COMPUTED_VALUE"""),673)</f>
        <v>#NAME?</v>
      </c>
      <c r="C674" s="100" t="e">
        <f ca="1">IFERROR(__xludf.DUMMYFUNCTION("""COMPUTED_VALUE"""),"XLM-USDC")</f>
        <v>#NAME?</v>
      </c>
      <c r="D674" s="100" t="e">
        <f ca="1">IFERROR(__xludf.DUMMYFUNCTION("""COMPUTED_VALUE"""),"0.24786")</f>
        <v>#NAME?</v>
      </c>
      <c r="E674" s="100" t="e">
        <f t="shared" ca="1" si="108"/>
        <v>#NAME?</v>
      </c>
      <c r="F674" s="100" t="e">
        <f t="shared" ca="1" si="108"/>
        <v>#NAME?</v>
      </c>
      <c r="G674" s="100" t="e">
        <f t="shared" ca="1" si="102"/>
        <v>#NAME?</v>
      </c>
      <c r="H674" s="100" t="e">
        <f t="shared" ca="1" si="103"/>
        <v>#NAME?</v>
      </c>
      <c r="I674" s="100" t="e">
        <f t="shared" ca="1" si="104"/>
        <v>#NAME?</v>
      </c>
      <c r="J674" s="100" t="e">
        <f t="shared" ca="1" si="105"/>
        <v>#NAME?</v>
      </c>
      <c r="K674" s="100" t="e">
        <f t="shared" ca="1" si="106"/>
        <v>#NAME?</v>
      </c>
      <c r="L674" s="100" t="e">
        <f t="shared" ca="1" si="107"/>
        <v>#NAME?</v>
      </c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</row>
    <row r="675" spans="2:27">
      <c r="B675" s="100" t="e">
        <f ca="1">IFERROR(__xludf.DUMMYFUNCTION("""COMPUTED_VALUE"""),674)</f>
        <v>#NAME?</v>
      </c>
      <c r="C675" s="100" t="e">
        <f ca="1">IFERROR(__xludf.DUMMYFUNCTION("""COMPUTED_VALUE"""),"CTC-USDT")</f>
        <v>#NAME?</v>
      </c>
      <c r="D675" s="100" t="e">
        <f ca="1">IFERROR(__xludf.DUMMYFUNCTION("""COMPUTED_VALUE"""),"0.5742")</f>
        <v>#NAME?</v>
      </c>
      <c r="E675" s="100" t="e">
        <f t="shared" ca="1" si="108"/>
        <v>#NAME?</v>
      </c>
      <c r="F675" s="100" t="e">
        <f t="shared" ca="1" si="108"/>
        <v>#NAME?</v>
      </c>
      <c r="G675" s="100" t="e">
        <f t="shared" ca="1" si="102"/>
        <v>#NAME?</v>
      </c>
      <c r="H675" s="100" t="e">
        <f t="shared" ca="1" si="103"/>
        <v>#NAME?</v>
      </c>
      <c r="I675" s="100" t="e">
        <f t="shared" ca="1" si="104"/>
        <v>#NAME?</v>
      </c>
      <c r="J675" s="100" t="e">
        <f t="shared" ca="1" si="105"/>
        <v>#NAME?</v>
      </c>
      <c r="K675" s="100" t="e">
        <f t="shared" ca="1" si="106"/>
        <v>#NAME?</v>
      </c>
      <c r="L675" s="100" t="e">
        <f t="shared" ca="1" si="107"/>
        <v>#NAME?</v>
      </c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</row>
    <row r="676" spans="2:27">
      <c r="B676" s="100" t="e">
        <f ca="1">IFERROR(__xludf.DUMMYFUNCTION("""COMPUTED_VALUE"""),675)</f>
        <v>#NAME?</v>
      </c>
      <c r="C676" s="100" t="e">
        <f ca="1">IFERROR(__xludf.DUMMYFUNCTION("""COMPUTED_VALUE"""),"WAXP-USDT")</f>
        <v>#NAME?</v>
      </c>
      <c r="D676" s="100" t="e">
        <f ca="1">IFERROR(__xludf.DUMMYFUNCTION("""COMPUTED_VALUE"""),"0.02352")</f>
        <v>#NAME?</v>
      </c>
      <c r="E676" s="100" t="e">
        <f t="shared" ca="1" si="108"/>
        <v>#NAME?</v>
      </c>
      <c r="F676" s="100" t="e">
        <f t="shared" ca="1" si="108"/>
        <v>#NAME?</v>
      </c>
      <c r="G676" s="100" t="e">
        <f t="shared" ca="1" si="102"/>
        <v>#NAME?</v>
      </c>
      <c r="H676" s="100" t="e">
        <f t="shared" ca="1" si="103"/>
        <v>#NAME?</v>
      </c>
      <c r="I676" s="100" t="e">
        <f t="shared" ca="1" si="104"/>
        <v>#NAME?</v>
      </c>
      <c r="J676" s="100" t="e">
        <f t="shared" ca="1" si="105"/>
        <v>#NAME?</v>
      </c>
      <c r="K676" s="100" t="e">
        <f t="shared" ca="1" si="106"/>
        <v>#NAME?</v>
      </c>
      <c r="L676" s="100" t="e">
        <f t="shared" ca="1" si="107"/>
        <v>#NAME?</v>
      </c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</row>
    <row r="677" spans="2:27">
      <c r="B677" s="100" t="e">
        <f ca="1">IFERROR(__xludf.DUMMYFUNCTION("""COMPUTED_VALUE"""),676)</f>
        <v>#NAME?</v>
      </c>
      <c r="C677" s="100" t="e">
        <f ca="1">IFERROR(__xludf.DUMMYFUNCTION("""COMPUTED_VALUE"""),"GRT-EUR")</f>
        <v>#NAME?</v>
      </c>
      <c r="D677" s="100" t="e">
        <f ca="1">IFERROR(__xludf.DUMMYFUNCTION("""COMPUTED_VALUE"""),"0.07321")</f>
        <v>#NAME?</v>
      </c>
      <c r="E677" s="100" t="e">
        <f t="shared" ca="1" si="108"/>
        <v>#NAME?</v>
      </c>
      <c r="F677" s="100" t="e">
        <f t="shared" ca="1" si="108"/>
        <v>#NAME?</v>
      </c>
      <c r="G677" s="100" t="e">
        <f t="shared" ca="1" si="102"/>
        <v>#NAME?</v>
      </c>
      <c r="H677" s="100" t="e">
        <f t="shared" ca="1" si="103"/>
        <v>#NAME?</v>
      </c>
      <c r="I677" s="100" t="e">
        <f t="shared" ca="1" si="104"/>
        <v>#NAME?</v>
      </c>
      <c r="J677" s="100" t="e">
        <f t="shared" ca="1" si="105"/>
        <v>#NAME?</v>
      </c>
      <c r="K677" s="100" t="e">
        <f t="shared" ca="1" si="106"/>
        <v>#NAME?</v>
      </c>
      <c r="L677" s="100" t="e">
        <f t="shared" ca="1" si="107"/>
        <v>#NAME?</v>
      </c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</row>
    <row r="678" spans="2:27">
      <c r="B678" s="100" t="e">
        <f ca="1">IFERROR(__xludf.DUMMYFUNCTION("""COMPUTED_VALUE"""),677)</f>
        <v>#NAME?</v>
      </c>
      <c r="C678" s="100" t="e">
        <f ca="1">IFERROR(__xludf.DUMMYFUNCTION("""COMPUTED_VALUE"""),"BAND-USDT")</f>
        <v>#NAME?</v>
      </c>
      <c r="D678" s="100" t="e">
        <f ca="1">IFERROR(__xludf.DUMMYFUNCTION("""COMPUTED_VALUE"""),"0.7246")</f>
        <v>#NAME?</v>
      </c>
      <c r="E678" s="100" t="e">
        <f t="shared" ca="1" si="108"/>
        <v>#NAME?</v>
      </c>
      <c r="F678" s="100" t="e">
        <f t="shared" ca="1" si="108"/>
        <v>#NAME?</v>
      </c>
      <c r="G678" s="100" t="e">
        <f t="shared" ca="1" si="102"/>
        <v>#NAME?</v>
      </c>
      <c r="H678" s="100" t="e">
        <f t="shared" ca="1" si="103"/>
        <v>#NAME?</v>
      </c>
      <c r="I678" s="100" t="e">
        <f t="shared" ca="1" si="104"/>
        <v>#NAME?</v>
      </c>
      <c r="J678" s="100" t="e">
        <f t="shared" ca="1" si="105"/>
        <v>#NAME?</v>
      </c>
      <c r="K678" s="100" t="e">
        <f t="shared" ca="1" si="106"/>
        <v>#NAME?</v>
      </c>
      <c r="L678" s="100" t="e">
        <f t="shared" ca="1" si="107"/>
        <v>#NAME?</v>
      </c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</row>
    <row r="679" spans="2:27">
      <c r="B679" s="100" t="e">
        <f ca="1">IFERROR(__xludf.DUMMYFUNCTION("""COMPUTED_VALUE"""),678)</f>
        <v>#NAME?</v>
      </c>
      <c r="C679" s="100" t="e">
        <f ca="1">IFERROR(__xludf.DUMMYFUNCTION("""COMPUTED_VALUE"""),"SPURS-USD")</f>
        <v>#NAME?</v>
      </c>
      <c r="D679" s="100" t="e">
        <f ca="1">IFERROR(__xludf.DUMMYFUNCTION("""COMPUTED_VALUE"""),"0.4612")</f>
        <v>#NAME?</v>
      </c>
      <c r="E679" s="100" t="e">
        <f t="shared" ca="1" si="108"/>
        <v>#NAME?</v>
      </c>
      <c r="F679" s="100" t="e">
        <f t="shared" ca="1" si="108"/>
        <v>#NAME?</v>
      </c>
      <c r="G679" s="100" t="e">
        <f t="shared" ca="1" si="102"/>
        <v>#NAME?</v>
      </c>
      <c r="H679" s="100" t="e">
        <f t="shared" ca="1" si="103"/>
        <v>#NAME?</v>
      </c>
      <c r="I679" s="100" t="e">
        <f t="shared" ca="1" si="104"/>
        <v>#NAME?</v>
      </c>
      <c r="J679" s="100" t="e">
        <f t="shared" ca="1" si="105"/>
        <v>#NAME?</v>
      </c>
      <c r="K679" s="100" t="e">
        <f t="shared" ca="1" si="106"/>
        <v>#NAME?</v>
      </c>
      <c r="L679" s="100" t="e">
        <f t="shared" ca="1" si="107"/>
        <v>#NAME?</v>
      </c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</row>
    <row r="680" spans="2:27">
      <c r="B680" s="100" t="e">
        <f ca="1">IFERROR(__xludf.DUMMYFUNCTION("""COMPUTED_VALUE"""),679)</f>
        <v>#NAME?</v>
      </c>
      <c r="C680" s="100" t="e">
        <f ca="1">IFERROR(__xludf.DUMMYFUNCTION("""COMPUTED_VALUE"""),"XLM-USDT")</f>
        <v>#NAME?</v>
      </c>
      <c r="D680" s="100" t="e">
        <f ca="1">IFERROR(__xludf.DUMMYFUNCTION("""COMPUTED_VALUE"""),"0.24722")</f>
        <v>#NAME?</v>
      </c>
      <c r="E680" s="100" t="e">
        <f t="shared" ca="1" si="108"/>
        <v>#NAME?</v>
      </c>
      <c r="F680" s="100" t="e">
        <f t="shared" ca="1" si="108"/>
        <v>#NAME?</v>
      </c>
      <c r="G680" s="100" t="e">
        <f t="shared" ca="1" si="102"/>
        <v>#NAME?</v>
      </c>
      <c r="H680" s="100" t="e">
        <f t="shared" ca="1" si="103"/>
        <v>#NAME?</v>
      </c>
      <c r="I680" s="100" t="e">
        <f t="shared" ca="1" si="104"/>
        <v>#NAME?</v>
      </c>
      <c r="J680" s="100" t="e">
        <f t="shared" ca="1" si="105"/>
        <v>#NAME?</v>
      </c>
      <c r="K680" s="100" t="e">
        <f t="shared" ca="1" si="106"/>
        <v>#NAME?</v>
      </c>
      <c r="L680" s="100" t="e">
        <f t="shared" ca="1" si="107"/>
        <v>#NAME?</v>
      </c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</row>
    <row r="681" spans="2:27">
      <c r="B681" s="100" t="e">
        <f ca="1">IFERROR(__xludf.DUMMYFUNCTION("""COMPUTED_VALUE"""),680)</f>
        <v>#NAME?</v>
      </c>
      <c r="C681" s="100" t="e">
        <f ca="1">IFERROR(__xludf.DUMMYFUNCTION("""COMPUTED_VALUE"""),"ULTI-USD")</f>
        <v>#NAME?</v>
      </c>
      <c r="D681" s="100" t="e">
        <f ca="1">IFERROR(__xludf.DUMMYFUNCTION("""COMPUTED_VALUE"""),"0.00321")</f>
        <v>#NAME?</v>
      </c>
      <c r="E681" s="100" t="e">
        <f t="shared" ca="1" si="108"/>
        <v>#NAME?</v>
      </c>
      <c r="F681" s="100" t="e">
        <f t="shared" ca="1" si="108"/>
        <v>#NAME?</v>
      </c>
      <c r="G681" s="100" t="e">
        <f t="shared" ca="1" si="102"/>
        <v>#NAME?</v>
      </c>
      <c r="H681" s="100" t="e">
        <f t="shared" ca="1" si="103"/>
        <v>#NAME?</v>
      </c>
      <c r="I681" s="100" t="e">
        <f t="shared" ca="1" si="104"/>
        <v>#NAME?</v>
      </c>
      <c r="J681" s="100" t="e">
        <f t="shared" ca="1" si="105"/>
        <v>#NAME?</v>
      </c>
      <c r="K681" s="100" t="e">
        <f t="shared" ca="1" si="106"/>
        <v>#NAME?</v>
      </c>
      <c r="L681" s="100" t="e">
        <f t="shared" ca="1" si="107"/>
        <v>#NAME?</v>
      </c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</row>
    <row r="682" spans="2:27">
      <c r="B682" s="100" t="e">
        <f ca="1">IFERROR(__xludf.DUMMYFUNCTION("""COMPUTED_VALUE"""),681)</f>
        <v>#NAME?</v>
      </c>
      <c r="C682" s="100" t="e">
        <f ca="1">IFERROR(__xludf.DUMMYFUNCTION("""COMPUTED_VALUE"""),"YGG-USDT")</f>
        <v>#NAME?</v>
      </c>
      <c r="D682" s="100" t="e">
        <f ca="1">IFERROR(__xludf.DUMMYFUNCTION("""COMPUTED_VALUE"""),"0.1813")</f>
        <v>#NAME?</v>
      </c>
      <c r="E682" s="100" t="e">
        <f t="shared" ref="E682:F701" ca="1" si="109">IFERROR(__xludf.DUMMYFUNCTION("""COMPUTED_VALUE"""),"-")</f>
        <v>#NAME?</v>
      </c>
      <c r="F682" s="100" t="e">
        <f t="shared" ca="1" si="109"/>
        <v>#NAME?</v>
      </c>
      <c r="G682" s="100" t="e">
        <f t="shared" ca="1" si="102"/>
        <v>#NAME?</v>
      </c>
      <c r="H682" s="100" t="e">
        <f t="shared" ca="1" si="103"/>
        <v>#NAME?</v>
      </c>
      <c r="I682" s="100" t="e">
        <f t="shared" ca="1" si="104"/>
        <v>#NAME?</v>
      </c>
      <c r="J682" s="100" t="e">
        <f t="shared" ca="1" si="105"/>
        <v>#NAME?</v>
      </c>
      <c r="K682" s="100" t="e">
        <f t="shared" ca="1" si="106"/>
        <v>#NAME?</v>
      </c>
      <c r="L682" s="100" t="e">
        <f t="shared" ca="1" si="107"/>
        <v>#NAME?</v>
      </c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</row>
    <row r="683" spans="2:27">
      <c r="B683" s="100" t="e">
        <f ca="1">IFERROR(__xludf.DUMMYFUNCTION("""COMPUTED_VALUE"""),682)</f>
        <v>#NAME?</v>
      </c>
      <c r="C683" s="100" t="e">
        <f ca="1">IFERROR(__xludf.DUMMYFUNCTION("""COMPUTED_VALUE"""),"POL-USDT")</f>
        <v>#NAME?</v>
      </c>
      <c r="D683" s="100" t="e">
        <f ca="1">IFERROR(__xludf.DUMMYFUNCTION("""COMPUTED_VALUE"""),"0.2161")</f>
        <v>#NAME?</v>
      </c>
      <c r="E683" s="100" t="e">
        <f t="shared" ca="1" si="109"/>
        <v>#NAME?</v>
      </c>
      <c r="F683" s="100" t="e">
        <f t="shared" ca="1" si="109"/>
        <v>#NAME?</v>
      </c>
      <c r="G683" s="100" t="e">
        <f t="shared" ca="1" si="102"/>
        <v>#NAME?</v>
      </c>
      <c r="H683" s="100" t="e">
        <f t="shared" ca="1" si="103"/>
        <v>#NAME?</v>
      </c>
      <c r="I683" s="100" t="e">
        <f t="shared" ca="1" si="104"/>
        <v>#NAME?</v>
      </c>
      <c r="J683" s="100" t="e">
        <f t="shared" ca="1" si="105"/>
        <v>#NAME?</v>
      </c>
      <c r="K683" s="100" t="e">
        <f t="shared" ca="1" si="106"/>
        <v>#NAME?</v>
      </c>
      <c r="L683" s="100" t="e">
        <f t="shared" ca="1" si="107"/>
        <v>#NAME?</v>
      </c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</row>
    <row r="684" spans="2:27">
      <c r="B684" s="100" t="e">
        <f ca="1">IFERROR(__xludf.DUMMYFUNCTION("""COMPUTED_VALUE"""),683)</f>
        <v>#NAME?</v>
      </c>
      <c r="C684" s="100" t="e">
        <f ca="1">IFERROR(__xludf.DUMMYFUNCTION("""COMPUTED_VALUE"""),"PNUT-USD")</f>
        <v>#NAME?</v>
      </c>
      <c r="D684" s="100" t="e">
        <f ca="1">IFERROR(__xludf.DUMMYFUNCTION("""COMPUTED_VALUE"""),"0.1328")</f>
        <v>#NAME?</v>
      </c>
      <c r="E684" s="100" t="e">
        <f t="shared" ca="1" si="109"/>
        <v>#NAME?</v>
      </c>
      <c r="F684" s="100" t="e">
        <f t="shared" ca="1" si="109"/>
        <v>#NAME?</v>
      </c>
      <c r="G684" s="100" t="e">
        <f t="shared" ca="1" si="102"/>
        <v>#NAME?</v>
      </c>
      <c r="H684" s="100" t="e">
        <f t="shared" ca="1" si="103"/>
        <v>#NAME?</v>
      </c>
      <c r="I684" s="100" t="e">
        <f t="shared" ca="1" si="104"/>
        <v>#NAME?</v>
      </c>
      <c r="J684" s="100" t="e">
        <f t="shared" ca="1" si="105"/>
        <v>#NAME?</v>
      </c>
      <c r="K684" s="100" t="e">
        <f t="shared" ca="1" si="106"/>
        <v>#NAME?</v>
      </c>
      <c r="L684" s="100" t="e">
        <f t="shared" ca="1" si="107"/>
        <v>#NAME?</v>
      </c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</row>
    <row r="685" spans="2:27">
      <c r="B685" s="100" t="e">
        <f ca="1">IFERROR(__xludf.DUMMYFUNCTION("""COMPUTED_VALUE"""),684)</f>
        <v>#NAME?</v>
      </c>
      <c r="C685" s="100" t="e">
        <f ca="1">IFERROR(__xludf.DUMMYFUNCTION("""COMPUTED_VALUE"""),"BIGTIME-USD")</f>
        <v>#NAME?</v>
      </c>
      <c r="D685" s="100" t="e">
        <f ca="1">IFERROR(__xludf.DUMMYFUNCTION("""COMPUTED_VALUE"""),"0.06994")</f>
        <v>#NAME?</v>
      </c>
      <c r="E685" s="100" t="e">
        <f t="shared" ca="1" si="109"/>
        <v>#NAME?</v>
      </c>
      <c r="F685" s="100" t="e">
        <f t="shared" ca="1" si="109"/>
        <v>#NAME?</v>
      </c>
      <c r="G685" s="100" t="e">
        <f t="shared" ca="1" si="102"/>
        <v>#NAME?</v>
      </c>
      <c r="H685" s="100" t="e">
        <f t="shared" ca="1" si="103"/>
        <v>#NAME?</v>
      </c>
      <c r="I685" s="100" t="e">
        <f t="shared" ca="1" si="104"/>
        <v>#NAME?</v>
      </c>
      <c r="J685" s="100" t="e">
        <f t="shared" ca="1" si="105"/>
        <v>#NAME?</v>
      </c>
      <c r="K685" s="100" t="e">
        <f t="shared" ca="1" si="106"/>
        <v>#NAME?</v>
      </c>
      <c r="L685" s="100" t="e">
        <f t="shared" ca="1" si="107"/>
        <v>#NAME?</v>
      </c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</row>
    <row r="686" spans="2:27">
      <c r="B686" s="100" t="e">
        <f ca="1">IFERROR(__xludf.DUMMYFUNCTION("""COMPUTED_VALUE"""),685)</f>
        <v>#NAME?</v>
      </c>
      <c r="C686" s="100" t="e">
        <f ca="1">IFERROR(__xludf.DUMMYFUNCTION("""COMPUTED_VALUE"""),"FLR-USDT")</f>
        <v>#NAME?</v>
      </c>
      <c r="D686" s="100" t="e">
        <f ca="1">IFERROR(__xludf.DUMMYFUNCTION("""COMPUTED_VALUE"""),"0.01611")</f>
        <v>#NAME?</v>
      </c>
      <c r="E686" s="100" t="e">
        <f t="shared" ca="1" si="109"/>
        <v>#NAME?</v>
      </c>
      <c r="F686" s="100" t="e">
        <f t="shared" ca="1" si="109"/>
        <v>#NAME?</v>
      </c>
      <c r="G686" s="100" t="e">
        <f t="shared" ca="1" si="102"/>
        <v>#NAME?</v>
      </c>
      <c r="H686" s="100" t="e">
        <f t="shared" ca="1" si="103"/>
        <v>#NAME?</v>
      </c>
      <c r="I686" s="100" t="e">
        <f t="shared" ca="1" si="104"/>
        <v>#NAME?</v>
      </c>
      <c r="J686" s="100" t="e">
        <f t="shared" ca="1" si="105"/>
        <v>#NAME?</v>
      </c>
      <c r="K686" s="100" t="e">
        <f t="shared" ca="1" si="106"/>
        <v>#NAME?</v>
      </c>
      <c r="L686" s="100" t="e">
        <f t="shared" ca="1" si="107"/>
        <v>#NAME?</v>
      </c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</row>
    <row r="687" spans="2:27">
      <c r="B687" s="100" t="e">
        <f ca="1">IFERROR(__xludf.DUMMYFUNCTION("""COMPUTED_VALUE"""),686)</f>
        <v>#NAME?</v>
      </c>
      <c r="C687" s="100" t="e">
        <f ca="1">IFERROR(__xludf.DUMMYFUNCTION("""COMPUTED_VALUE"""),"WAXP-USD")</f>
        <v>#NAME?</v>
      </c>
      <c r="D687" s="100" t="e">
        <f ca="1">IFERROR(__xludf.DUMMYFUNCTION("""COMPUTED_VALUE"""),"0.02392")</f>
        <v>#NAME?</v>
      </c>
      <c r="E687" s="100" t="e">
        <f t="shared" ca="1" si="109"/>
        <v>#NAME?</v>
      </c>
      <c r="F687" s="100" t="e">
        <f t="shared" ca="1" si="109"/>
        <v>#NAME?</v>
      </c>
      <c r="G687" s="100" t="e">
        <f t="shared" ca="1" si="102"/>
        <v>#NAME?</v>
      </c>
      <c r="H687" s="100" t="e">
        <f t="shared" ca="1" si="103"/>
        <v>#NAME?</v>
      </c>
      <c r="I687" s="100" t="e">
        <f t="shared" ca="1" si="104"/>
        <v>#NAME?</v>
      </c>
      <c r="J687" s="100" t="e">
        <f t="shared" ca="1" si="105"/>
        <v>#NAME?</v>
      </c>
      <c r="K687" s="100" t="e">
        <f t="shared" ca="1" si="106"/>
        <v>#NAME?</v>
      </c>
      <c r="L687" s="100" t="e">
        <f t="shared" ca="1" si="107"/>
        <v>#NAME?</v>
      </c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</row>
    <row r="688" spans="2:27">
      <c r="B688" s="100" t="e">
        <f ca="1">IFERROR(__xludf.DUMMYFUNCTION("""COMPUTED_VALUE"""),687)</f>
        <v>#NAME?</v>
      </c>
      <c r="C688" s="100" t="e">
        <f ca="1">IFERROR(__xludf.DUMMYFUNCTION("""COMPUTED_VALUE"""),"MLN-USDT")</f>
        <v>#NAME?</v>
      </c>
      <c r="D688" s="100" t="e">
        <f ca="1">IFERROR(__xludf.DUMMYFUNCTION("""COMPUTED_VALUE"""),"8.149")</f>
        <v>#NAME?</v>
      </c>
      <c r="E688" s="100" t="e">
        <f t="shared" ca="1" si="109"/>
        <v>#NAME?</v>
      </c>
      <c r="F688" s="100" t="e">
        <f t="shared" ca="1" si="109"/>
        <v>#NAME?</v>
      </c>
      <c r="G688" s="100" t="e">
        <f t="shared" ca="1" si="102"/>
        <v>#NAME?</v>
      </c>
      <c r="H688" s="100" t="e">
        <f t="shared" ca="1" si="103"/>
        <v>#NAME?</v>
      </c>
      <c r="I688" s="100" t="e">
        <f t="shared" ca="1" si="104"/>
        <v>#NAME?</v>
      </c>
      <c r="J688" s="100" t="e">
        <f t="shared" ca="1" si="105"/>
        <v>#NAME?</v>
      </c>
      <c r="K688" s="100" t="e">
        <f t="shared" ca="1" si="106"/>
        <v>#NAME?</v>
      </c>
      <c r="L688" s="100" t="e">
        <f t="shared" ca="1" si="107"/>
        <v>#NAME?</v>
      </c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</row>
    <row r="689" spans="2:27">
      <c r="B689" s="100" t="e">
        <f ca="1">IFERROR(__xludf.DUMMYFUNCTION("""COMPUTED_VALUE"""),688)</f>
        <v>#NAME?</v>
      </c>
      <c r="C689" s="100" t="e">
        <f ca="1">IFERROR(__xludf.DUMMYFUNCTION("""COMPUTED_VALUE"""),"BAT-USDT")</f>
        <v>#NAME?</v>
      </c>
      <c r="D689" s="100" t="e">
        <f ca="1">IFERROR(__xludf.DUMMYFUNCTION("""COMPUTED_VALUE"""),"0.1333")</f>
        <v>#NAME?</v>
      </c>
      <c r="E689" s="100" t="e">
        <f t="shared" ca="1" si="109"/>
        <v>#NAME?</v>
      </c>
      <c r="F689" s="100" t="e">
        <f t="shared" ca="1" si="109"/>
        <v>#NAME?</v>
      </c>
      <c r="G689" s="100" t="e">
        <f t="shared" ca="1" si="102"/>
        <v>#NAME?</v>
      </c>
      <c r="H689" s="100" t="e">
        <f t="shared" ca="1" si="103"/>
        <v>#NAME?</v>
      </c>
      <c r="I689" s="100" t="e">
        <f t="shared" ca="1" si="104"/>
        <v>#NAME?</v>
      </c>
      <c r="J689" s="100" t="e">
        <f t="shared" ca="1" si="105"/>
        <v>#NAME?</v>
      </c>
      <c r="K689" s="100" t="e">
        <f t="shared" ca="1" si="106"/>
        <v>#NAME?</v>
      </c>
      <c r="L689" s="100" t="e">
        <f t="shared" ca="1" si="107"/>
        <v>#NAME?</v>
      </c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</row>
    <row r="690" spans="2:27">
      <c r="B690" s="100" t="e">
        <f ca="1">IFERROR(__xludf.DUMMYFUNCTION("""COMPUTED_VALUE"""),689)</f>
        <v>#NAME?</v>
      </c>
      <c r="C690" s="100" t="e">
        <f ca="1">IFERROR(__xludf.DUMMYFUNCTION("""COMPUTED_VALUE"""),"SWEAT-USD")</f>
        <v>#NAME?</v>
      </c>
      <c r="D690" s="100" t="e">
        <f ca="1">IFERROR(__xludf.DUMMYFUNCTION("""COMPUTED_VALUE"""),"0.004228")</f>
        <v>#NAME?</v>
      </c>
      <c r="E690" s="100" t="e">
        <f t="shared" ca="1" si="109"/>
        <v>#NAME?</v>
      </c>
      <c r="F690" s="100" t="e">
        <f t="shared" ca="1" si="109"/>
        <v>#NAME?</v>
      </c>
      <c r="G690" s="100" t="e">
        <f t="shared" ca="1" si="102"/>
        <v>#NAME?</v>
      </c>
      <c r="H690" s="100" t="e">
        <f t="shared" ca="1" si="103"/>
        <v>#NAME?</v>
      </c>
      <c r="I690" s="100" t="e">
        <f t="shared" ca="1" si="104"/>
        <v>#NAME?</v>
      </c>
      <c r="J690" s="100" t="e">
        <f t="shared" ca="1" si="105"/>
        <v>#NAME?</v>
      </c>
      <c r="K690" s="100" t="e">
        <f t="shared" ca="1" si="106"/>
        <v>#NAME?</v>
      </c>
      <c r="L690" s="100" t="e">
        <f t="shared" ca="1" si="107"/>
        <v>#NAME?</v>
      </c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</row>
    <row r="691" spans="2:27">
      <c r="B691" s="100" t="e">
        <f ca="1">IFERROR(__xludf.DUMMYFUNCTION("""COMPUTED_VALUE"""),690)</f>
        <v>#NAME?</v>
      </c>
      <c r="C691" s="100" t="e">
        <f ca="1">IFERROR(__xludf.DUMMYFUNCTION("""COMPUTED_VALUE"""),"SUI-USD")</f>
        <v>#NAME?</v>
      </c>
      <c r="D691" s="100" t="e">
        <f ca="1">IFERROR(__xludf.DUMMYFUNCTION("""COMPUTED_VALUE"""),"2.3005")</f>
        <v>#NAME?</v>
      </c>
      <c r="E691" s="100" t="e">
        <f t="shared" ca="1" si="109"/>
        <v>#NAME?</v>
      </c>
      <c r="F691" s="100" t="e">
        <f t="shared" ca="1" si="109"/>
        <v>#NAME?</v>
      </c>
      <c r="G691" s="100" t="e">
        <f t="shared" ca="1" si="102"/>
        <v>#NAME?</v>
      </c>
      <c r="H691" s="100" t="e">
        <f t="shared" ca="1" si="103"/>
        <v>#NAME?</v>
      </c>
      <c r="I691" s="100" t="e">
        <f t="shared" ca="1" si="104"/>
        <v>#NAME?</v>
      </c>
      <c r="J691" s="100" t="e">
        <f t="shared" ca="1" si="105"/>
        <v>#NAME?</v>
      </c>
      <c r="K691" s="100" t="e">
        <f t="shared" ca="1" si="106"/>
        <v>#NAME?</v>
      </c>
      <c r="L691" s="100" t="e">
        <f t="shared" ca="1" si="107"/>
        <v>#NAME?</v>
      </c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</row>
    <row r="692" spans="2:27">
      <c r="B692" s="100" t="e">
        <f ca="1">IFERROR(__xludf.DUMMYFUNCTION("""COMPUTED_VALUE"""),691)</f>
        <v>#NAME?</v>
      </c>
      <c r="C692" s="100" t="e">
        <f ca="1">IFERROR(__xludf.DUMMYFUNCTION("""COMPUTED_VALUE"""),"PI-USD")</f>
        <v>#NAME?</v>
      </c>
      <c r="D692" s="100" t="e">
        <f ca="1">IFERROR(__xludf.DUMMYFUNCTION("""COMPUTED_VALUE"""),"0.6305")</f>
        <v>#NAME?</v>
      </c>
      <c r="E692" s="100" t="e">
        <f t="shared" ca="1" si="109"/>
        <v>#NAME?</v>
      </c>
      <c r="F692" s="100" t="e">
        <f t="shared" ca="1" si="109"/>
        <v>#NAME?</v>
      </c>
      <c r="G692" s="100" t="e">
        <f t="shared" ca="1" si="102"/>
        <v>#NAME?</v>
      </c>
      <c r="H692" s="100" t="e">
        <f t="shared" ca="1" si="103"/>
        <v>#NAME?</v>
      </c>
      <c r="I692" s="100" t="e">
        <f t="shared" ca="1" si="104"/>
        <v>#NAME?</v>
      </c>
      <c r="J692" s="100" t="e">
        <f t="shared" ca="1" si="105"/>
        <v>#NAME?</v>
      </c>
      <c r="K692" s="100" t="e">
        <f t="shared" ca="1" si="106"/>
        <v>#NAME?</v>
      </c>
      <c r="L692" s="100" t="e">
        <f t="shared" ca="1" si="107"/>
        <v>#NAME?</v>
      </c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</row>
    <row r="693" spans="2:27">
      <c r="B693" s="100" t="e">
        <f ca="1">IFERROR(__xludf.DUMMYFUNCTION("""COMPUTED_VALUE"""),692)</f>
        <v>#NAME?</v>
      </c>
      <c r="C693" s="100" t="e">
        <f ca="1">IFERROR(__xludf.DUMMYFUNCTION("""COMPUTED_VALUE"""),"PEPE-USD")</f>
        <v>#NAME?</v>
      </c>
      <c r="D693" s="100" t="e">
        <f ca="1">IFERROR(__xludf.DUMMYFUNCTION("""COMPUTED_VALUE"""),"0.000008148")</f>
        <v>#NAME?</v>
      </c>
      <c r="E693" s="100" t="e">
        <f t="shared" ca="1" si="109"/>
        <v>#NAME?</v>
      </c>
      <c r="F693" s="100" t="e">
        <f t="shared" ca="1" si="109"/>
        <v>#NAME?</v>
      </c>
      <c r="G693" s="100" t="e">
        <f t="shared" ca="1" si="102"/>
        <v>#NAME?</v>
      </c>
      <c r="H693" s="100" t="e">
        <f t="shared" ca="1" si="103"/>
        <v>#NAME?</v>
      </c>
      <c r="I693" s="100" t="e">
        <f t="shared" ca="1" si="104"/>
        <v>#NAME?</v>
      </c>
      <c r="J693" s="100" t="e">
        <f t="shared" ca="1" si="105"/>
        <v>#NAME?</v>
      </c>
      <c r="K693" s="100" t="e">
        <f t="shared" ca="1" si="106"/>
        <v>#NAME?</v>
      </c>
      <c r="L693" s="100" t="e">
        <f t="shared" ca="1" si="107"/>
        <v>#NAME?</v>
      </c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</row>
    <row r="694" spans="2:27">
      <c r="B694" s="100" t="e">
        <f ca="1">IFERROR(__xludf.DUMMYFUNCTION("""COMPUTED_VALUE"""),693)</f>
        <v>#NAME?</v>
      </c>
      <c r="C694" s="100" t="e">
        <f ca="1">IFERROR(__xludf.DUMMYFUNCTION("""COMPUTED_VALUE"""),"ARKM-USDT")</f>
        <v>#NAME?</v>
      </c>
      <c r="D694" s="100" t="e">
        <f ca="1">IFERROR(__xludf.DUMMYFUNCTION("""COMPUTED_VALUE"""),"0.5034")</f>
        <v>#NAME?</v>
      </c>
      <c r="E694" s="100" t="e">
        <f t="shared" ca="1" si="109"/>
        <v>#NAME?</v>
      </c>
      <c r="F694" s="100" t="e">
        <f t="shared" ca="1" si="109"/>
        <v>#NAME?</v>
      </c>
      <c r="G694" s="100" t="e">
        <f t="shared" ca="1" si="102"/>
        <v>#NAME?</v>
      </c>
      <c r="H694" s="100" t="e">
        <f t="shared" ca="1" si="103"/>
        <v>#NAME?</v>
      </c>
      <c r="I694" s="100" t="e">
        <f t="shared" ca="1" si="104"/>
        <v>#NAME?</v>
      </c>
      <c r="J694" s="100" t="e">
        <f t="shared" ca="1" si="105"/>
        <v>#NAME?</v>
      </c>
      <c r="K694" s="100" t="e">
        <f t="shared" ca="1" si="106"/>
        <v>#NAME?</v>
      </c>
      <c r="L694" s="100" t="e">
        <f t="shared" ca="1" si="107"/>
        <v>#NAME?</v>
      </c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</row>
    <row r="695" spans="2:27">
      <c r="B695" s="100" t="e">
        <f ca="1">IFERROR(__xludf.DUMMYFUNCTION("""COMPUTED_VALUE"""),694)</f>
        <v>#NAME?</v>
      </c>
      <c r="C695" s="100" t="e">
        <f ca="1">IFERROR(__xludf.DUMMYFUNCTION("""COMPUTED_VALUE"""),"CVC-USDT")</f>
        <v>#NAME?</v>
      </c>
      <c r="D695" s="100" t="e">
        <f ca="1">IFERROR(__xludf.DUMMYFUNCTION("""COMPUTED_VALUE"""),"0.1057")</f>
        <v>#NAME?</v>
      </c>
      <c r="E695" s="100" t="e">
        <f t="shared" ca="1" si="109"/>
        <v>#NAME?</v>
      </c>
      <c r="F695" s="100" t="e">
        <f t="shared" ca="1" si="109"/>
        <v>#NAME?</v>
      </c>
      <c r="G695" s="100" t="e">
        <f t="shared" ca="1" si="102"/>
        <v>#NAME?</v>
      </c>
      <c r="H695" s="100" t="e">
        <f t="shared" ca="1" si="103"/>
        <v>#NAME?</v>
      </c>
      <c r="I695" s="100" t="e">
        <f t="shared" ca="1" si="104"/>
        <v>#NAME?</v>
      </c>
      <c r="J695" s="100" t="e">
        <f t="shared" ca="1" si="105"/>
        <v>#NAME?</v>
      </c>
      <c r="K695" s="100" t="e">
        <f t="shared" ca="1" si="106"/>
        <v>#NAME?</v>
      </c>
      <c r="L695" s="100" t="e">
        <f t="shared" ca="1" si="107"/>
        <v>#NAME?</v>
      </c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</row>
    <row r="696" spans="2:27">
      <c r="B696" s="100" t="e">
        <f ca="1">IFERROR(__xludf.DUMMYFUNCTION("""COMPUTED_VALUE"""),695)</f>
        <v>#NAME?</v>
      </c>
      <c r="C696" s="100" t="e">
        <f ca="1">IFERROR(__xludf.DUMMYFUNCTION("""COMPUTED_VALUE"""),"MKR-EUR")</f>
        <v>#NAME?</v>
      </c>
      <c r="D696" s="100" t="e">
        <f ca="1">IFERROR(__xludf.DUMMYFUNCTION("""COMPUTED_VALUE"""),"1172.7")</f>
        <v>#NAME?</v>
      </c>
      <c r="E696" s="100" t="e">
        <f t="shared" ca="1" si="109"/>
        <v>#NAME?</v>
      </c>
      <c r="F696" s="100" t="e">
        <f t="shared" ca="1" si="109"/>
        <v>#NAME?</v>
      </c>
      <c r="G696" s="100" t="e">
        <f t="shared" ca="1" si="102"/>
        <v>#NAME?</v>
      </c>
      <c r="H696" s="100" t="e">
        <f t="shared" ca="1" si="103"/>
        <v>#NAME?</v>
      </c>
      <c r="I696" s="100" t="e">
        <f t="shared" ca="1" si="104"/>
        <v>#NAME?</v>
      </c>
      <c r="J696" s="100" t="e">
        <f t="shared" ca="1" si="105"/>
        <v>#NAME?</v>
      </c>
      <c r="K696" s="100" t="e">
        <f t="shared" ca="1" si="106"/>
        <v>#NAME?</v>
      </c>
      <c r="L696" s="100" t="e">
        <f t="shared" ca="1" si="107"/>
        <v>#NAME?</v>
      </c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</row>
    <row r="697" spans="2:27">
      <c r="B697" s="100" t="e">
        <f ca="1">IFERROR(__xludf.DUMMYFUNCTION("""COMPUTED_VALUE"""),696)</f>
        <v>#NAME?</v>
      </c>
      <c r="C697" s="100" t="e">
        <f ca="1">IFERROR(__xludf.DUMMYFUNCTION("""COMPUTED_VALUE"""),"LTC-USD")</f>
        <v>#NAME?</v>
      </c>
      <c r="D697" s="100" t="e">
        <f ca="1">IFERROR(__xludf.DUMMYFUNCTION("""COMPUTED_VALUE"""),"79.78")</f>
        <v>#NAME?</v>
      </c>
      <c r="E697" s="100" t="e">
        <f t="shared" ca="1" si="109"/>
        <v>#NAME?</v>
      </c>
      <c r="F697" s="100" t="e">
        <f t="shared" ca="1" si="109"/>
        <v>#NAME?</v>
      </c>
      <c r="G697" s="100" t="e">
        <f t="shared" ca="1" si="102"/>
        <v>#NAME?</v>
      </c>
      <c r="H697" s="100" t="e">
        <f t="shared" ca="1" si="103"/>
        <v>#NAME?</v>
      </c>
      <c r="I697" s="100" t="e">
        <f t="shared" ca="1" si="104"/>
        <v>#NAME?</v>
      </c>
      <c r="J697" s="100" t="e">
        <f t="shared" ca="1" si="105"/>
        <v>#NAME?</v>
      </c>
      <c r="K697" s="100" t="e">
        <f t="shared" ca="1" si="106"/>
        <v>#NAME?</v>
      </c>
      <c r="L697" s="100" t="e">
        <f t="shared" ca="1" si="107"/>
        <v>#NAME?</v>
      </c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</row>
    <row r="698" spans="2:27">
      <c r="B698" s="100" t="e">
        <f ca="1">IFERROR(__xludf.DUMMYFUNCTION("""COMPUTED_VALUE"""),697)</f>
        <v>#NAME?</v>
      </c>
      <c r="C698" s="100" t="e">
        <f ca="1">IFERROR(__xludf.DUMMYFUNCTION("""COMPUTED_VALUE"""),"SLP-USDT")</f>
        <v>#NAME?</v>
      </c>
      <c r="D698" s="100" t="e">
        <f ca="1">IFERROR(__xludf.DUMMYFUNCTION("""COMPUTED_VALUE"""),"0.001615")</f>
        <v>#NAME?</v>
      </c>
      <c r="E698" s="100" t="e">
        <f t="shared" ca="1" si="109"/>
        <v>#NAME?</v>
      </c>
      <c r="F698" s="100" t="e">
        <f t="shared" ca="1" si="109"/>
        <v>#NAME?</v>
      </c>
      <c r="G698" s="100" t="e">
        <f t="shared" ca="1" si="102"/>
        <v>#NAME?</v>
      </c>
      <c r="H698" s="100" t="e">
        <f t="shared" ca="1" si="103"/>
        <v>#NAME?</v>
      </c>
      <c r="I698" s="100" t="e">
        <f t="shared" ca="1" si="104"/>
        <v>#NAME?</v>
      </c>
      <c r="J698" s="100" t="e">
        <f t="shared" ca="1" si="105"/>
        <v>#NAME?</v>
      </c>
      <c r="K698" s="100" t="e">
        <f t="shared" ca="1" si="106"/>
        <v>#NAME?</v>
      </c>
      <c r="L698" s="100" t="e">
        <f t="shared" ca="1" si="107"/>
        <v>#NAME?</v>
      </c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</row>
    <row r="699" spans="2:27">
      <c r="B699" s="100" t="e">
        <f ca="1">IFERROR(__xludf.DUMMYFUNCTION("""COMPUTED_VALUE"""),698)</f>
        <v>#NAME?</v>
      </c>
      <c r="C699" s="100" t="e">
        <f ca="1">IFERROR(__xludf.DUMMYFUNCTION("""COMPUTED_VALUE"""),"OXT-USDT")</f>
        <v>#NAME?</v>
      </c>
      <c r="D699" s="100" t="e">
        <f ca="1">IFERROR(__xludf.DUMMYFUNCTION("""COMPUTED_VALUE"""),"0.06913")</f>
        <v>#NAME?</v>
      </c>
      <c r="E699" s="100" t="e">
        <f t="shared" ca="1" si="109"/>
        <v>#NAME?</v>
      </c>
      <c r="F699" s="100" t="e">
        <f t="shared" ca="1" si="109"/>
        <v>#NAME?</v>
      </c>
      <c r="G699" s="100" t="e">
        <f t="shared" ca="1" si="102"/>
        <v>#NAME?</v>
      </c>
      <c r="H699" s="100" t="e">
        <f t="shared" ca="1" si="103"/>
        <v>#NAME?</v>
      </c>
      <c r="I699" s="100" t="e">
        <f t="shared" ca="1" si="104"/>
        <v>#NAME?</v>
      </c>
      <c r="J699" s="100" t="e">
        <f t="shared" ca="1" si="105"/>
        <v>#NAME?</v>
      </c>
      <c r="K699" s="100" t="e">
        <f t="shared" ca="1" si="106"/>
        <v>#NAME?</v>
      </c>
      <c r="L699" s="100" t="e">
        <f t="shared" ca="1" si="107"/>
        <v>#NAME?</v>
      </c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</row>
    <row r="700" spans="2:27">
      <c r="B700" s="100" t="e">
        <f ca="1">IFERROR(__xludf.DUMMYFUNCTION("""COMPUTED_VALUE"""),699)</f>
        <v>#NAME?</v>
      </c>
      <c r="C700" s="100" t="e">
        <f ca="1">IFERROR(__xludf.DUMMYFUNCTION("""COMPUTED_VALUE"""),"SSV-USDT")</f>
        <v>#NAME?</v>
      </c>
      <c r="D700" s="100" t="e">
        <f ca="1">IFERROR(__xludf.DUMMYFUNCTION("""COMPUTED_VALUE"""),"5.67")</f>
        <v>#NAME?</v>
      </c>
      <c r="E700" s="100" t="e">
        <f t="shared" ca="1" si="109"/>
        <v>#NAME?</v>
      </c>
      <c r="F700" s="100" t="e">
        <f t="shared" ca="1" si="109"/>
        <v>#NAME?</v>
      </c>
      <c r="G700" s="100" t="e">
        <f t="shared" ca="1" si="102"/>
        <v>#NAME?</v>
      </c>
      <c r="H700" s="100" t="e">
        <f t="shared" ca="1" si="103"/>
        <v>#NAME?</v>
      </c>
      <c r="I700" s="100" t="e">
        <f t="shared" ca="1" si="104"/>
        <v>#NAME?</v>
      </c>
      <c r="J700" s="100" t="e">
        <f t="shared" ca="1" si="105"/>
        <v>#NAME?</v>
      </c>
      <c r="K700" s="100" t="e">
        <f t="shared" ca="1" si="106"/>
        <v>#NAME?</v>
      </c>
      <c r="L700" s="100" t="e">
        <f t="shared" ca="1" si="107"/>
        <v>#NAME?</v>
      </c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</row>
    <row r="701" spans="2:27">
      <c r="B701" s="100" t="e">
        <f ca="1">IFERROR(__xludf.DUMMYFUNCTION("""COMPUTED_VALUE"""),700)</f>
        <v>#NAME?</v>
      </c>
      <c r="C701" s="100" t="e">
        <f ca="1">IFERROR(__xludf.DUMMYFUNCTION("""COMPUTED_VALUE"""),"ARKM-USDC")</f>
        <v>#NAME?</v>
      </c>
      <c r="D701" s="100" t="e">
        <f ca="1">IFERROR(__xludf.DUMMYFUNCTION("""COMPUTED_VALUE"""),"0.5053")</f>
        <v>#NAME?</v>
      </c>
      <c r="E701" s="100" t="e">
        <f t="shared" ca="1" si="109"/>
        <v>#NAME?</v>
      </c>
      <c r="F701" s="100" t="e">
        <f t="shared" ca="1" si="109"/>
        <v>#NAME?</v>
      </c>
      <c r="G701" s="100" t="e">
        <f t="shared" ca="1" si="102"/>
        <v>#NAME?</v>
      </c>
      <c r="H701" s="100" t="e">
        <f t="shared" ca="1" si="103"/>
        <v>#NAME?</v>
      </c>
      <c r="I701" s="100" t="e">
        <f t="shared" ca="1" si="104"/>
        <v>#NAME?</v>
      </c>
      <c r="J701" s="100" t="e">
        <f t="shared" ca="1" si="105"/>
        <v>#NAME?</v>
      </c>
      <c r="K701" s="100" t="e">
        <f t="shared" ca="1" si="106"/>
        <v>#NAME?</v>
      </c>
      <c r="L701" s="100" t="e">
        <f t="shared" ca="1" si="107"/>
        <v>#NAME?</v>
      </c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</row>
    <row r="702" spans="2:27">
      <c r="B702" s="100" t="e">
        <f ca="1">IFERROR(__xludf.DUMMYFUNCTION("""COMPUTED_VALUE"""),701)</f>
        <v>#NAME?</v>
      </c>
      <c r="C702" s="100" t="e">
        <f ca="1">IFERROR(__xludf.DUMMYFUNCTION("""COMPUTED_VALUE"""),"PSTAKE-USDT")</f>
        <v>#NAME?</v>
      </c>
      <c r="D702" s="100" t="e">
        <f ca="1">IFERROR(__xludf.DUMMYFUNCTION("""COMPUTED_VALUE"""),"0.01123")</f>
        <v>#NAME?</v>
      </c>
      <c r="E702" s="100" t="e">
        <f t="shared" ref="E702:F721" ca="1" si="110">IFERROR(__xludf.DUMMYFUNCTION("""COMPUTED_VALUE"""),"-")</f>
        <v>#NAME?</v>
      </c>
      <c r="F702" s="100" t="e">
        <f t="shared" ca="1" si="110"/>
        <v>#NAME?</v>
      </c>
      <c r="G702" s="100" t="e">
        <f t="shared" ca="1" si="102"/>
        <v>#NAME?</v>
      </c>
      <c r="H702" s="100" t="e">
        <f t="shared" ca="1" si="103"/>
        <v>#NAME?</v>
      </c>
      <c r="I702" s="100" t="e">
        <f t="shared" ca="1" si="104"/>
        <v>#NAME?</v>
      </c>
      <c r="J702" s="100" t="e">
        <f t="shared" ca="1" si="105"/>
        <v>#NAME?</v>
      </c>
      <c r="K702" s="100" t="e">
        <f t="shared" ca="1" si="106"/>
        <v>#NAME?</v>
      </c>
      <c r="L702" s="100" t="e">
        <f t="shared" ca="1" si="107"/>
        <v>#NAME?</v>
      </c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</row>
    <row r="703" spans="2:27">
      <c r="B703" s="100" t="e">
        <f ca="1">IFERROR(__xludf.DUMMYFUNCTION("""COMPUTED_VALUE"""),702)</f>
        <v>#NAME?</v>
      </c>
      <c r="C703" s="100" t="e">
        <f ca="1">IFERROR(__xludf.DUMMYFUNCTION("""COMPUTED_VALUE"""),"OM-USDT")</f>
        <v>#NAME?</v>
      </c>
      <c r="D703" s="100" t="e">
        <f ca="1">IFERROR(__xludf.DUMMYFUNCTION("""COMPUTED_VALUE"""),"0.5262")</f>
        <v>#NAME?</v>
      </c>
      <c r="E703" s="100" t="e">
        <f t="shared" ca="1" si="110"/>
        <v>#NAME?</v>
      </c>
      <c r="F703" s="100" t="e">
        <f t="shared" ca="1" si="110"/>
        <v>#NAME?</v>
      </c>
      <c r="G703" s="100" t="e">
        <f t="shared" ca="1" si="102"/>
        <v>#NAME?</v>
      </c>
      <c r="H703" s="100" t="e">
        <f t="shared" ca="1" si="103"/>
        <v>#NAME?</v>
      </c>
      <c r="I703" s="100" t="e">
        <f t="shared" ca="1" si="104"/>
        <v>#NAME?</v>
      </c>
      <c r="J703" s="100" t="e">
        <f t="shared" ca="1" si="105"/>
        <v>#NAME?</v>
      </c>
      <c r="K703" s="100" t="e">
        <f t="shared" ca="1" si="106"/>
        <v>#NAME?</v>
      </c>
      <c r="L703" s="100" t="e">
        <f t="shared" ca="1" si="107"/>
        <v>#NAME?</v>
      </c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</row>
    <row r="704" spans="2:27">
      <c r="B704" s="100" t="e">
        <f ca="1">IFERROR(__xludf.DUMMYFUNCTION("""COMPUTED_VALUE"""),703)</f>
        <v>#NAME?</v>
      </c>
      <c r="C704" s="100" t="e">
        <f ca="1">IFERROR(__xludf.DUMMYFUNCTION("""COMPUTED_VALUE"""),"ARG-USD")</f>
        <v>#NAME?</v>
      </c>
      <c r="D704" s="100" t="e">
        <f ca="1">IFERROR(__xludf.DUMMYFUNCTION("""COMPUTED_VALUE"""),"0.6352")</f>
        <v>#NAME?</v>
      </c>
      <c r="E704" s="100" t="e">
        <f t="shared" ca="1" si="110"/>
        <v>#NAME?</v>
      </c>
      <c r="F704" s="100" t="e">
        <f t="shared" ca="1" si="110"/>
        <v>#NAME?</v>
      </c>
      <c r="G704" s="100" t="e">
        <f t="shared" ca="1" si="102"/>
        <v>#NAME?</v>
      </c>
      <c r="H704" s="100" t="e">
        <f t="shared" ca="1" si="103"/>
        <v>#NAME?</v>
      </c>
      <c r="I704" s="100" t="e">
        <f t="shared" ca="1" si="104"/>
        <v>#NAME?</v>
      </c>
      <c r="J704" s="100" t="e">
        <f t="shared" ca="1" si="105"/>
        <v>#NAME?</v>
      </c>
      <c r="K704" s="100" t="e">
        <f t="shared" ca="1" si="106"/>
        <v>#NAME?</v>
      </c>
      <c r="L704" s="100" t="e">
        <f t="shared" ca="1" si="107"/>
        <v>#NAME?</v>
      </c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</row>
    <row r="705" spans="2:27">
      <c r="B705" s="100" t="e">
        <f ca="1">IFERROR(__xludf.DUMMYFUNCTION("""COMPUTED_VALUE"""),704)</f>
        <v>#NAME?</v>
      </c>
      <c r="C705" s="100" t="e">
        <f ca="1">IFERROR(__xludf.DUMMYFUNCTION("""COMPUTED_VALUE"""),"CXT-USDT")</f>
        <v>#NAME?</v>
      </c>
      <c r="D705" s="100" t="e">
        <f ca="1">IFERROR(__xludf.DUMMYFUNCTION("""COMPUTED_VALUE"""),"0.02963")</f>
        <v>#NAME?</v>
      </c>
      <c r="E705" s="100" t="e">
        <f t="shared" ca="1" si="110"/>
        <v>#NAME?</v>
      </c>
      <c r="F705" s="100" t="e">
        <f t="shared" ca="1" si="110"/>
        <v>#NAME?</v>
      </c>
      <c r="G705" s="100" t="e">
        <f t="shared" ca="1" si="102"/>
        <v>#NAME?</v>
      </c>
      <c r="H705" s="100" t="e">
        <f t="shared" ca="1" si="103"/>
        <v>#NAME?</v>
      </c>
      <c r="I705" s="100" t="e">
        <f t="shared" ca="1" si="104"/>
        <v>#NAME?</v>
      </c>
      <c r="J705" s="100" t="e">
        <f t="shared" ca="1" si="105"/>
        <v>#NAME?</v>
      </c>
      <c r="K705" s="100" t="e">
        <f t="shared" ca="1" si="106"/>
        <v>#NAME?</v>
      </c>
      <c r="L705" s="100" t="e">
        <f t="shared" ca="1" si="107"/>
        <v>#NAME?</v>
      </c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</row>
    <row r="706" spans="2:27">
      <c r="B706" s="100" t="e">
        <f ca="1">IFERROR(__xludf.DUMMYFUNCTION("""COMPUTED_VALUE"""),705)</f>
        <v>#NAME?</v>
      </c>
      <c r="C706" s="100" t="e">
        <f ca="1">IFERROR(__xludf.DUMMYFUNCTION("""COMPUTED_VALUE"""),"EOS-EUR")</f>
        <v>#NAME?</v>
      </c>
      <c r="D706" s="100" t="e">
        <f ca="1">IFERROR(__xludf.DUMMYFUNCTION("""COMPUTED_VALUE"""),"0.5528")</f>
        <v>#NAME?</v>
      </c>
      <c r="E706" s="100" t="e">
        <f t="shared" ca="1" si="110"/>
        <v>#NAME?</v>
      </c>
      <c r="F706" s="100" t="e">
        <f t="shared" ca="1" si="110"/>
        <v>#NAME?</v>
      </c>
      <c r="G706" s="100" t="e">
        <f t="shared" ref="G706:G769" ca="1" si="111">IFERROR(__xludf.DUMMYFUNCTION("""COMPUTED_VALUE"""),20200)</f>
        <v>#NAME?</v>
      </c>
      <c r="H706" s="100" t="e">
        <f t="shared" ref="H706:H769" ca="1" si="112">IFERROR(__xludf.DUMMYFUNCTION("""COMPUTED_VALUE"""),2885)</f>
        <v>#NAME?</v>
      </c>
      <c r="I706" s="100" t="e">
        <f t="shared" ref="I706:I769" ca="1" si="113">IFERROR(__xludf.DUMMYFUNCTION("""COMPUTED_VALUE"""),663)</f>
        <v>#NAME?</v>
      </c>
      <c r="J706" s="100" t="e">
        <f t="shared" ref="J706:J769" ca="1" si="114">IFERROR(__xludf.DUMMYFUNCTION("""COMPUTED_VALUE"""),5817714)</f>
        <v>#NAME?</v>
      </c>
      <c r="K706" s="100" t="e">
        <f t="shared" ref="K706:K769" ca="1" si="115">IFERROR(__xludf.DUMMYFUNCTION("""COMPUTED_VALUE"""),"-")</f>
        <v>#NAME?</v>
      </c>
      <c r="L706" s="100" t="e">
        <f t="shared" ref="L706:L769" ca="1" si="116">IFERROR(__xludf.DUMMYFUNCTION("""COMPUTED_VALUE"""),"22.04.2025 12:32:49")</f>
        <v>#NAME?</v>
      </c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</row>
    <row r="707" spans="2:27">
      <c r="B707" s="100" t="e">
        <f ca="1">IFERROR(__xludf.DUMMYFUNCTION("""COMPUTED_VALUE"""),706)</f>
        <v>#NAME?</v>
      </c>
      <c r="C707" s="100" t="e">
        <f ca="1">IFERROR(__xludf.DUMMYFUNCTION("""COMPUTED_VALUE"""),"ETH-AED")</f>
        <v>#NAME?</v>
      </c>
      <c r="D707" s="100" t="e">
        <f ca="1">IFERROR(__xludf.DUMMYFUNCTION("""COMPUTED_VALUE"""),"5969.6")</f>
        <v>#NAME?</v>
      </c>
      <c r="E707" s="100" t="e">
        <f t="shared" ca="1" si="110"/>
        <v>#NAME?</v>
      </c>
      <c r="F707" s="100" t="e">
        <f t="shared" ca="1" si="110"/>
        <v>#NAME?</v>
      </c>
      <c r="G707" s="100" t="e">
        <f t="shared" ca="1" si="111"/>
        <v>#NAME?</v>
      </c>
      <c r="H707" s="100" t="e">
        <f t="shared" ca="1" si="112"/>
        <v>#NAME?</v>
      </c>
      <c r="I707" s="100" t="e">
        <f t="shared" ca="1" si="113"/>
        <v>#NAME?</v>
      </c>
      <c r="J707" s="100" t="e">
        <f t="shared" ca="1" si="114"/>
        <v>#NAME?</v>
      </c>
      <c r="K707" s="100" t="e">
        <f t="shared" ca="1" si="115"/>
        <v>#NAME?</v>
      </c>
      <c r="L707" s="100" t="e">
        <f t="shared" ca="1" si="116"/>
        <v>#NAME?</v>
      </c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</row>
    <row r="708" spans="2:27">
      <c r="B708" s="100" t="e">
        <f ca="1">IFERROR(__xludf.DUMMYFUNCTION("""COMPUTED_VALUE"""),707)</f>
        <v>#NAME?</v>
      </c>
      <c r="C708" s="100" t="e">
        <f ca="1">IFERROR(__xludf.DUMMYFUNCTION("""COMPUTED_VALUE"""),"THETA-USD")</f>
        <v>#NAME?</v>
      </c>
      <c r="D708" s="100" t="e">
        <f ca="1">IFERROR(__xludf.DUMMYFUNCTION("""COMPUTED_VALUE"""),"0.6214")</f>
        <v>#NAME?</v>
      </c>
      <c r="E708" s="100" t="e">
        <f t="shared" ca="1" si="110"/>
        <v>#NAME?</v>
      </c>
      <c r="F708" s="100" t="e">
        <f t="shared" ca="1" si="110"/>
        <v>#NAME?</v>
      </c>
      <c r="G708" s="100" t="e">
        <f t="shared" ca="1" si="111"/>
        <v>#NAME?</v>
      </c>
      <c r="H708" s="100" t="e">
        <f t="shared" ca="1" si="112"/>
        <v>#NAME?</v>
      </c>
      <c r="I708" s="100" t="e">
        <f t="shared" ca="1" si="113"/>
        <v>#NAME?</v>
      </c>
      <c r="J708" s="100" t="e">
        <f t="shared" ca="1" si="114"/>
        <v>#NAME?</v>
      </c>
      <c r="K708" s="100" t="e">
        <f t="shared" ca="1" si="115"/>
        <v>#NAME?</v>
      </c>
      <c r="L708" s="100" t="e">
        <f t="shared" ca="1" si="116"/>
        <v>#NAME?</v>
      </c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</row>
    <row r="709" spans="2:27">
      <c r="B709" s="100" t="e">
        <f ca="1">IFERROR(__xludf.DUMMYFUNCTION("""COMPUTED_VALUE"""),708)</f>
        <v>#NAME?</v>
      </c>
      <c r="C709" s="100" t="e">
        <f ca="1">IFERROR(__xludf.DUMMYFUNCTION("""COMPUTED_VALUE"""),"GMT-USDT")</f>
        <v>#NAME?</v>
      </c>
      <c r="D709" s="100" t="e">
        <f ca="1">IFERROR(__xludf.DUMMYFUNCTION("""COMPUTED_VALUE"""),"0.06121")</f>
        <v>#NAME?</v>
      </c>
      <c r="E709" s="100" t="e">
        <f t="shared" ca="1" si="110"/>
        <v>#NAME?</v>
      </c>
      <c r="F709" s="100" t="e">
        <f t="shared" ca="1" si="110"/>
        <v>#NAME?</v>
      </c>
      <c r="G709" s="100" t="e">
        <f t="shared" ca="1" si="111"/>
        <v>#NAME?</v>
      </c>
      <c r="H709" s="100" t="e">
        <f t="shared" ca="1" si="112"/>
        <v>#NAME?</v>
      </c>
      <c r="I709" s="100" t="e">
        <f t="shared" ca="1" si="113"/>
        <v>#NAME?</v>
      </c>
      <c r="J709" s="100" t="e">
        <f t="shared" ca="1" si="114"/>
        <v>#NAME?</v>
      </c>
      <c r="K709" s="100" t="e">
        <f t="shared" ca="1" si="115"/>
        <v>#NAME?</v>
      </c>
      <c r="L709" s="100" t="e">
        <f t="shared" ca="1" si="116"/>
        <v>#NAME?</v>
      </c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</row>
    <row r="710" spans="2:27">
      <c r="B710" s="100" t="e">
        <f ca="1">IFERROR(__xludf.DUMMYFUNCTION("""COMPUTED_VALUE"""),709)</f>
        <v>#NAME?</v>
      </c>
      <c r="C710" s="100" t="e">
        <f ca="1">IFERROR(__xludf.DUMMYFUNCTION("""COMPUTED_VALUE"""),"BANANA-USDT")</f>
        <v>#NAME?</v>
      </c>
      <c r="D710" s="100" t="e">
        <f ca="1">IFERROR(__xludf.DUMMYFUNCTION("""COMPUTED_VALUE"""),"17.38")</f>
        <v>#NAME?</v>
      </c>
      <c r="E710" s="100" t="e">
        <f t="shared" ca="1" si="110"/>
        <v>#NAME?</v>
      </c>
      <c r="F710" s="100" t="e">
        <f t="shared" ca="1" si="110"/>
        <v>#NAME?</v>
      </c>
      <c r="G710" s="100" t="e">
        <f t="shared" ca="1" si="111"/>
        <v>#NAME?</v>
      </c>
      <c r="H710" s="100" t="e">
        <f t="shared" ca="1" si="112"/>
        <v>#NAME?</v>
      </c>
      <c r="I710" s="100" t="e">
        <f t="shared" ca="1" si="113"/>
        <v>#NAME?</v>
      </c>
      <c r="J710" s="100" t="e">
        <f t="shared" ca="1" si="114"/>
        <v>#NAME?</v>
      </c>
      <c r="K710" s="100" t="e">
        <f t="shared" ca="1" si="115"/>
        <v>#NAME?</v>
      </c>
      <c r="L710" s="100" t="e">
        <f t="shared" ca="1" si="116"/>
        <v>#NAME?</v>
      </c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</row>
    <row r="711" spans="2:27">
      <c r="B711" s="100" t="e">
        <f ca="1">IFERROR(__xludf.DUMMYFUNCTION("""COMPUTED_VALUE"""),710)</f>
        <v>#NAME?</v>
      </c>
      <c r="C711" s="100" t="e">
        <f ca="1">IFERROR(__xludf.DUMMYFUNCTION("""COMPUTED_VALUE"""),"TIA-USD")</f>
        <v>#NAME?</v>
      </c>
      <c r="D711" s="100" t="e">
        <f ca="1">IFERROR(__xludf.DUMMYFUNCTION("""COMPUTED_VALUE"""),"2.581")</f>
        <v>#NAME?</v>
      </c>
      <c r="E711" s="100" t="e">
        <f t="shared" ca="1" si="110"/>
        <v>#NAME?</v>
      </c>
      <c r="F711" s="100" t="e">
        <f t="shared" ca="1" si="110"/>
        <v>#NAME?</v>
      </c>
      <c r="G711" s="100" t="e">
        <f t="shared" ca="1" si="111"/>
        <v>#NAME?</v>
      </c>
      <c r="H711" s="100" t="e">
        <f t="shared" ca="1" si="112"/>
        <v>#NAME?</v>
      </c>
      <c r="I711" s="100" t="e">
        <f t="shared" ca="1" si="113"/>
        <v>#NAME?</v>
      </c>
      <c r="J711" s="100" t="e">
        <f t="shared" ca="1" si="114"/>
        <v>#NAME?</v>
      </c>
      <c r="K711" s="100" t="e">
        <f t="shared" ca="1" si="115"/>
        <v>#NAME?</v>
      </c>
      <c r="L711" s="100" t="e">
        <f t="shared" ca="1" si="116"/>
        <v>#NAME?</v>
      </c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</row>
    <row r="712" spans="2:27">
      <c r="B712" s="100" t="e">
        <f ca="1">IFERROR(__xludf.DUMMYFUNCTION("""COMPUTED_VALUE"""),711)</f>
        <v>#NAME?</v>
      </c>
      <c r="C712" s="100" t="e">
        <f ca="1">IFERROR(__xludf.DUMMYFUNCTION("""COMPUTED_VALUE"""),"RVN-USD")</f>
        <v>#NAME?</v>
      </c>
      <c r="D712" s="100" t="e">
        <f ca="1">IFERROR(__xludf.DUMMYFUNCTION("""COMPUTED_VALUE"""),"0.01117")</f>
        <v>#NAME?</v>
      </c>
      <c r="E712" s="100" t="e">
        <f t="shared" ca="1" si="110"/>
        <v>#NAME?</v>
      </c>
      <c r="F712" s="100" t="e">
        <f t="shared" ca="1" si="110"/>
        <v>#NAME?</v>
      </c>
      <c r="G712" s="100" t="e">
        <f t="shared" ca="1" si="111"/>
        <v>#NAME?</v>
      </c>
      <c r="H712" s="100" t="e">
        <f t="shared" ca="1" si="112"/>
        <v>#NAME?</v>
      </c>
      <c r="I712" s="100" t="e">
        <f t="shared" ca="1" si="113"/>
        <v>#NAME?</v>
      </c>
      <c r="J712" s="100" t="e">
        <f t="shared" ca="1" si="114"/>
        <v>#NAME?</v>
      </c>
      <c r="K712" s="100" t="e">
        <f t="shared" ca="1" si="115"/>
        <v>#NAME?</v>
      </c>
      <c r="L712" s="100" t="e">
        <f t="shared" ca="1" si="116"/>
        <v>#NAME?</v>
      </c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</row>
    <row r="713" spans="2:27">
      <c r="B713" s="100" t="e">
        <f ca="1">IFERROR(__xludf.DUMMYFUNCTION("""COMPUTED_VALUE"""),712)</f>
        <v>#NAME?</v>
      </c>
      <c r="C713" s="100" t="e">
        <f ca="1">IFERROR(__xludf.DUMMYFUNCTION("""COMPUTED_VALUE"""),"VINE-USDT")</f>
        <v>#NAME?</v>
      </c>
      <c r="D713" s="100" t="e">
        <f ca="1">IFERROR(__xludf.DUMMYFUNCTION("""COMPUTED_VALUE"""),"0.03044")</f>
        <v>#NAME?</v>
      </c>
      <c r="E713" s="100" t="e">
        <f t="shared" ca="1" si="110"/>
        <v>#NAME?</v>
      </c>
      <c r="F713" s="100" t="e">
        <f t="shared" ca="1" si="110"/>
        <v>#NAME?</v>
      </c>
      <c r="G713" s="100" t="e">
        <f t="shared" ca="1" si="111"/>
        <v>#NAME?</v>
      </c>
      <c r="H713" s="100" t="e">
        <f t="shared" ca="1" si="112"/>
        <v>#NAME?</v>
      </c>
      <c r="I713" s="100" t="e">
        <f t="shared" ca="1" si="113"/>
        <v>#NAME?</v>
      </c>
      <c r="J713" s="100" t="e">
        <f t="shared" ca="1" si="114"/>
        <v>#NAME?</v>
      </c>
      <c r="K713" s="100" t="e">
        <f t="shared" ca="1" si="115"/>
        <v>#NAME?</v>
      </c>
      <c r="L713" s="100" t="e">
        <f t="shared" ca="1" si="116"/>
        <v>#NAME?</v>
      </c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</row>
    <row r="714" spans="2:27">
      <c r="B714" s="100" t="e">
        <f ca="1">IFERROR(__xludf.DUMMYFUNCTION("""COMPUTED_VALUE"""),713)</f>
        <v>#NAME?</v>
      </c>
      <c r="C714" s="100" t="e">
        <f ca="1">IFERROR(__xludf.DUMMYFUNCTION("""COMPUTED_VALUE"""),"MAJOR-USDT")</f>
        <v>#NAME?</v>
      </c>
      <c r="D714" s="100" t="e">
        <f ca="1">IFERROR(__xludf.DUMMYFUNCTION("""COMPUTED_VALUE"""),"0.1929")</f>
        <v>#NAME?</v>
      </c>
      <c r="E714" s="100" t="e">
        <f t="shared" ca="1" si="110"/>
        <v>#NAME?</v>
      </c>
      <c r="F714" s="100" t="e">
        <f t="shared" ca="1" si="110"/>
        <v>#NAME?</v>
      </c>
      <c r="G714" s="100" t="e">
        <f t="shared" ca="1" si="111"/>
        <v>#NAME?</v>
      </c>
      <c r="H714" s="100" t="e">
        <f t="shared" ca="1" si="112"/>
        <v>#NAME?</v>
      </c>
      <c r="I714" s="100" t="e">
        <f t="shared" ca="1" si="113"/>
        <v>#NAME?</v>
      </c>
      <c r="J714" s="100" t="e">
        <f t="shared" ca="1" si="114"/>
        <v>#NAME?</v>
      </c>
      <c r="K714" s="100" t="e">
        <f t="shared" ca="1" si="115"/>
        <v>#NAME?</v>
      </c>
      <c r="L714" s="100" t="e">
        <f t="shared" ca="1" si="116"/>
        <v>#NAME?</v>
      </c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</row>
    <row r="715" spans="2:27">
      <c r="B715" s="100" t="e">
        <f ca="1">IFERROR(__xludf.DUMMYFUNCTION("""COMPUTED_VALUE"""),714)</f>
        <v>#NAME?</v>
      </c>
      <c r="C715" s="100" t="e">
        <f ca="1">IFERROR(__xludf.DUMMYFUNCTION("""COMPUTED_VALUE"""),"UNI-USD")</f>
        <v>#NAME?</v>
      </c>
      <c r="D715" s="100" t="e">
        <f ca="1">IFERROR(__xludf.DUMMYFUNCTION("""COMPUTED_VALUE"""),"5.23")</f>
        <v>#NAME?</v>
      </c>
      <c r="E715" s="100" t="e">
        <f t="shared" ca="1" si="110"/>
        <v>#NAME?</v>
      </c>
      <c r="F715" s="100" t="e">
        <f t="shared" ca="1" si="110"/>
        <v>#NAME?</v>
      </c>
      <c r="G715" s="100" t="e">
        <f t="shared" ca="1" si="111"/>
        <v>#NAME?</v>
      </c>
      <c r="H715" s="100" t="e">
        <f t="shared" ca="1" si="112"/>
        <v>#NAME?</v>
      </c>
      <c r="I715" s="100" t="e">
        <f t="shared" ca="1" si="113"/>
        <v>#NAME?</v>
      </c>
      <c r="J715" s="100" t="e">
        <f t="shared" ca="1" si="114"/>
        <v>#NAME?</v>
      </c>
      <c r="K715" s="100" t="e">
        <f t="shared" ca="1" si="115"/>
        <v>#NAME?</v>
      </c>
      <c r="L715" s="100" t="e">
        <f t="shared" ca="1" si="116"/>
        <v>#NAME?</v>
      </c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</row>
    <row r="716" spans="2:27">
      <c r="B716" s="100" t="e">
        <f ca="1">IFERROR(__xludf.DUMMYFUNCTION("""COMPUTED_VALUE"""),715)</f>
        <v>#NAME?</v>
      </c>
      <c r="C716" s="100" t="e">
        <f ca="1">IFERROR(__xludf.DUMMYFUNCTION("""COMPUTED_VALUE"""),"COMP-USDC")</f>
        <v>#NAME?</v>
      </c>
      <c r="D716" s="100" t="e">
        <f ca="1">IFERROR(__xludf.DUMMYFUNCTION("""COMPUTED_VALUE"""),"40.09")</f>
        <v>#NAME?</v>
      </c>
      <c r="E716" s="100" t="e">
        <f t="shared" ca="1" si="110"/>
        <v>#NAME?</v>
      </c>
      <c r="F716" s="100" t="e">
        <f t="shared" ca="1" si="110"/>
        <v>#NAME?</v>
      </c>
      <c r="G716" s="100" t="e">
        <f t="shared" ca="1" si="111"/>
        <v>#NAME?</v>
      </c>
      <c r="H716" s="100" t="e">
        <f t="shared" ca="1" si="112"/>
        <v>#NAME?</v>
      </c>
      <c r="I716" s="100" t="e">
        <f t="shared" ca="1" si="113"/>
        <v>#NAME?</v>
      </c>
      <c r="J716" s="100" t="e">
        <f t="shared" ca="1" si="114"/>
        <v>#NAME?</v>
      </c>
      <c r="K716" s="100" t="e">
        <f t="shared" ca="1" si="115"/>
        <v>#NAME?</v>
      </c>
      <c r="L716" s="100" t="e">
        <f t="shared" ca="1" si="116"/>
        <v>#NAME?</v>
      </c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</row>
    <row r="717" spans="2:27">
      <c r="B717" s="100" t="e">
        <f ca="1">IFERROR(__xludf.DUMMYFUNCTION("""COMPUTED_VALUE"""),716)</f>
        <v>#NAME?</v>
      </c>
      <c r="C717" s="100" t="e">
        <f ca="1">IFERROR(__xludf.DUMMYFUNCTION("""COMPUTED_VALUE"""),"ALGO-USDC")</f>
        <v>#NAME?</v>
      </c>
      <c r="D717" s="100" t="e">
        <f ca="1">IFERROR(__xludf.DUMMYFUNCTION("""COMPUTED_VALUE"""),"0.1933")</f>
        <v>#NAME?</v>
      </c>
      <c r="E717" s="100" t="e">
        <f t="shared" ca="1" si="110"/>
        <v>#NAME?</v>
      </c>
      <c r="F717" s="100" t="e">
        <f t="shared" ca="1" si="110"/>
        <v>#NAME?</v>
      </c>
      <c r="G717" s="100" t="e">
        <f t="shared" ca="1" si="111"/>
        <v>#NAME?</v>
      </c>
      <c r="H717" s="100" t="e">
        <f t="shared" ca="1" si="112"/>
        <v>#NAME?</v>
      </c>
      <c r="I717" s="100" t="e">
        <f t="shared" ca="1" si="113"/>
        <v>#NAME?</v>
      </c>
      <c r="J717" s="100" t="e">
        <f t="shared" ca="1" si="114"/>
        <v>#NAME?</v>
      </c>
      <c r="K717" s="100" t="e">
        <f t="shared" ca="1" si="115"/>
        <v>#NAME?</v>
      </c>
      <c r="L717" s="100" t="e">
        <f t="shared" ca="1" si="116"/>
        <v>#NAME?</v>
      </c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</row>
    <row r="718" spans="2:27">
      <c r="B718" s="100" t="e">
        <f ca="1">IFERROR(__xludf.DUMMYFUNCTION("""COMPUTED_VALUE"""),717)</f>
        <v>#NAME?</v>
      </c>
      <c r="C718" s="100" t="e">
        <f ca="1">IFERROR(__xludf.DUMMYFUNCTION("""COMPUTED_VALUE"""),"ZERO-USD")</f>
        <v>#NAME?</v>
      </c>
      <c r="D718" s="100" t="e">
        <f ca="1">IFERROR(__xludf.DUMMYFUNCTION("""COMPUTED_VALUE"""),"0.0000862")</f>
        <v>#NAME?</v>
      </c>
      <c r="E718" s="100" t="e">
        <f t="shared" ca="1" si="110"/>
        <v>#NAME?</v>
      </c>
      <c r="F718" s="100" t="e">
        <f t="shared" ca="1" si="110"/>
        <v>#NAME?</v>
      </c>
      <c r="G718" s="100" t="e">
        <f t="shared" ca="1" si="111"/>
        <v>#NAME?</v>
      </c>
      <c r="H718" s="100" t="e">
        <f t="shared" ca="1" si="112"/>
        <v>#NAME?</v>
      </c>
      <c r="I718" s="100" t="e">
        <f t="shared" ca="1" si="113"/>
        <v>#NAME?</v>
      </c>
      <c r="J718" s="100" t="e">
        <f t="shared" ca="1" si="114"/>
        <v>#NAME?</v>
      </c>
      <c r="K718" s="100" t="e">
        <f t="shared" ca="1" si="115"/>
        <v>#NAME?</v>
      </c>
      <c r="L718" s="100" t="e">
        <f t="shared" ca="1" si="116"/>
        <v>#NAME?</v>
      </c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</row>
    <row r="719" spans="2:27">
      <c r="B719" s="100" t="e">
        <f ca="1">IFERROR(__xludf.DUMMYFUNCTION("""COMPUTED_VALUE"""),718)</f>
        <v>#NAME?</v>
      </c>
      <c r="C719" s="100" t="e">
        <f ca="1">IFERROR(__xludf.DUMMYFUNCTION("""COMPUTED_VALUE"""),"TRUMP-AUD")</f>
        <v>#NAME?</v>
      </c>
      <c r="D719" s="100" t="e">
        <f ca="1">IFERROR(__xludf.DUMMYFUNCTION("""COMPUTED_VALUE"""),"13.018")</f>
        <v>#NAME?</v>
      </c>
      <c r="E719" s="100" t="e">
        <f t="shared" ca="1" si="110"/>
        <v>#NAME?</v>
      </c>
      <c r="F719" s="100" t="e">
        <f t="shared" ca="1" si="110"/>
        <v>#NAME?</v>
      </c>
      <c r="G719" s="100" t="e">
        <f t="shared" ca="1" si="111"/>
        <v>#NAME?</v>
      </c>
      <c r="H719" s="100" t="e">
        <f t="shared" ca="1" si="112"/>
        <v>#NAME?</v>
      </c>
      <c r="I719" s="100" t="e">
        <f t="shared" ca="1" si="113"/>
        <v>#NAME?</v>
      </c>
      <c r="J719" s="100" t="e">
        <f t="shared" ca="1" si="114"/>
        <v>#NAME?</v>
      </c>
      <c r="K719" s="100" t="e">
        <f t="shared" ca="1" si="115"/>
        <v>#NAME?</v>
      </c>
      <c r="L719" s="100" t="e">
        <f t="shared" ca="1" si="116"/>
        <v>#NAME?</v>
      </c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</row>
    <row r="720" spans="2:27">
      <c r="B720" s="100" t="e">
        <f ca="1">IFERROR(__xludf.DUMMYFUNCTION("""COMPUTED_VALUE"""),719)</f>
        <v>#NAME?</v>
      </c>
      <c r="C720" s="100" t="e">
        <f ca="1">IFERROR(__xludf.DUMMYFUNCTION("""COMPUTED_VALUE"""),"PERP-USD")</f>
        <v>#NAME?</v>
      </c>
      <c r="D720" s="100" t="e">
        <f ca="1">IFERROR(__xludf.DUMMYFUNCTION("""COMPUTED_VALUE"""),"0.2297")</f>
        <v>#NAME?</v>
      </c>
      <c r="E720" s="100" t="e">
        <f t="shared" ca="1" si="110"/>
        <v>#NAME?</v>
      </c>
      <c r="F720" s="100" t="e">
        <f t="shared" ca="1" si="110"/>
        <v>#NAME?</v>
      </c>
      <c r="G720" s="100" t="e">
        <f t="shared" ca="1" si="111"/>
        <v>#NAME?</v>
      </c>
      <c r="H720" s="100" t="e">
        <f t="shared" ca="1" si="112"/>
        <v>#NAME?</v>
      </c>
      <c r="I720" s="100" t="e">
        <f t="shared" ca="1" si="113"/>
        <v>#NAME?</v>
      </c>
      <c r="J720" s="100" t="e">
        <f t="shared" ca="1" si="114"/>
        <v>#NAME?</v>
      </c>
      <c r="K720" s="100" t="e">
        <f t="shared" ca="1" si="115"/>
        <v>#NAME?</v>
      </c>
      <c r="L720" s="100" t="e">
        <f t="shared" ca="1" si="116"/>
        <v>#NAME?</v>
      </c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</row>
    <row r="721" spans="2:27">
      <c r="B721" s="100" t="e">
        <f ca="1">IFERROR(__xludf.DUMMYFUNCTION("""COMPUTED_VALUE"""),720)</f>
        <v>#NAME?</v>
      </c>
      <c r="C721" s="100" t="e">
        <f ca="1">IFERROR(__xludf.DUMMYFUNCTION("""COMPUTED_VALUE"""),"TON-USDC")</f>
        <v>#NAME?</v>
      </c>
      <c r="D721" s="100" t="e">
        <f ca="1">IFERROR(__xludf.DUMMYFUNCTION("""COMPUTED_VALUE"""),"2.916")</f>
        <v>#NAME?</v>
      </c>
      <c r="E721" s="100" t="e">
        <f t="shared" ca="1" si="110"/>
        <v>#NAME?</v>
      </c>
      <c r="F721" s="100" t="e">
        <f t="shared" ca="1" si="110"/>
        <v>#NAME?</v>
      </c>
      <c r="G721" s="100" t="e">
        <f t="shared" ca="1" si="111"/>
        <v>#NAME?</v>
      </c>
      <c r="H721" s="100" t="e">
        <f t="shared" ca="1" si="112"/>
        <v>#NAME?</v>
      </c>
      <c r="I721" s="100" t="e">
        <f t="shared" ca="1" si="113"/>
        <v>#NAME?</v>
      </c>
      <c r="J721" s="100" t="e">
        <f t="shared" ca="1" si="114"/>
        <v>#NAME?</v>
      </c>
      <c r="K721" s="100" t="e">
        <f t="shared" ca="1" si="115"/>
        <v>#NAME?</v>
      </c>
      <c r="L721" s="100" t="e">
        <f t="shared" ca="1" si="116"/>
        <v>#NAME?</v>
      </c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</row>
    <row r="722" spans="2:27">
      <c r="B722" s="100" t="e">
        <f ca="1">IFERROR(__xludf.DUMMYFUNCTION("""COMPUTED_VALUE"""),721)</f>
        <v>#NAME?</v>
      </c>
      <c r="C722" s="100" t="e">
        <f ca="1">IFERROR(__xludf.DUMMYFUNCTION("""COMPUTED_VALUE"""),"BIO-USD")</f>
        <v>#NAME?</v>
      </c>
      <c r="D722" s="100" t="e">
        <f ca="1">IFERROR(__xludf.DUMMYFUNCTION("""COMPUTED_VALUE"""),"0.054")</f>
        <v>#NAME?</v>
      </c>
      <c r="E722" s="100" t="e">
        <f t="shared" ref="E722:F741" ca="1" si="117">IFERROR(__xludf.DUMMYFUNCTION("""COMPUTED_VALUE"""),"-")</f>
        <v>#NAME?</v>
      </c>
      <c r="F722" s="100" t="e">
        <f t="shared" ca="1" si="117"/>
        <v>#NAME?</v>
      </c>
      <c r="G722" s="100" t="e">
        <f t="shared" ca="1" si="111"/>
        <v>#NAME?</v>
      </c>
      <c r="H722" s="100" t="e">
        <f t="shared" ca="1" si="112"/>
        <v>#NAME?</v>
      </c>
      <c r="I722" s="100" t="e">
        <f t="shared" ca="1" si="113"/>
        <v>#NAME?</v>
      </c>
      <c r="J722" s="100" t="e">
        <f t="shared" ca="1" si="114"/>
        <v>#NAME?</v>
      </c>
      <c r="K722" s="100" t="e">
        <f t="shared" ca="1" si="115"/>
        <v>#NAME?</v>
      </c>
      <c r="L722" s="100" t="e">
        <f t="shared" ca="1" si="116"/>
        <v>#NAME?</v>
      </c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</row>
    <row r="723" spans="2:27">
      <c r="B723" s="100" t="e">
        <f ca="1">IFERROR(__xludf.DUMMYFUNCTION("""COMPUTED_VALUE"""),722)</f>
        <v>#NAME?</v>
      </c>
      <c r="C723" s="100" t="e">
        <f ca="1">IFERROR(__xludf.DUMMYFUNCTION("""COMPUTED_VALUE"""),"ZIL-USDT")</f>
        <v>#NAME?</v>
      </c>
      <c r="D723" s="100" t="e">
        <f ca="1">IFERROR(__xludf.DUMMYFUNCTION("""COMPUTED_VALUE"""),"0.01189")</f>
        <v>#NAME?</v>
      </c>
      <c r="E723" s="100" t="e">
        <f t="shared" ca="1" si="117"/>
        <v>#NAME?</v>
      </c>
      <c r="F723" s="100" t="e">
        <f t="shared" ca="1" si="117"/>
        <v>#NAME?</v>
      </c>
      <c r="G723" s="100" t="e">
        <f t="shared" ca="1" si="111"/>
        <v>#NAME?</v>
      </c>
      <c r="H723" s="100" t="e">
        <f t="shared" ca="1" si="112"/>
        <v>#NAME?</v>
      </c>
      <c r="I723" s="100" t="e">
        <f t="shared" ca="1" si="113"/>
        <v>#NAME?</v>
      </c>
      <c r="J723" s="100" t="e">
        <f t="shared" ca="1" si="114"/>
        <v>#NAME?</v>
      </c>
      <c r="K723" s="100" t="e">
        <f t="shared" ca="1" si="115"/>
        <v>#NAME?</v>
      </c>
      <c r="L723" s="100" t="e">
        <f t="shared" ca="1" si="116"/>
        <v>#NAME?</v>
      </c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</row>
    <row r="724" spans="2:27">
      <c r="B724" s="100" t="e">
        <f ca="1">IFERROR(__xludf.DUMMYFUNCTION("""COMPUTED_VALUE"""),723)</f>
        <v>#NAME?</v>
      </c>
      <c r="C724" s="100" t="e">
        <f ca="1">IFERROR(__xludf.DUMMYFUNCTION("""COMPUTED_VALUE"""),"SLP-USD")</f>
        <v>#NAME?</v>
      </c>
      <c r="D724" s="100" t="e">
        <f ca="1">IFERROR(__xludf.DUMMYFUNCTION("""COMPUTED_VALUE"""),"0.00156")</f>
        <v>#NAME?</v>
      </c>
      <c r="E724" s="100" t="e">
        <f t="shared" ca="1" si="117"/>
        <v>#NAME?</v>
      </c>
      <c r="F724" s="100" t="e">
        <f t="shared" ca="1" si="117"/>
        <v>#NAME?</v>
      </c>
      <c r="G724" s="100" t="e">
        <f t="shared" ca="1" si="111"/>
        <v>#NAME?</v>
      </c>
      <c r="H724" s="100" t="e">
        <f t="shared" ca="1" si="112"/>
        <v>#NAME?</v>
      </c>
      <c r="I724" s="100" t="e">
        <f t="shared" ca="1" si="113"/>
        <v>#NAME?</v>
      </c>
      <c r="J724" s="100" t="e">
        <f t="shared" ca="1" si="114"/>
        <v>#NAME?</v>
      </c>
      <c r="K724" s="100" t="e">
        <f t="shared" ca="1" si="115"/>
        <v>#NAME?</v>
      </c>
      <c r="L724" s="100" t="e">
        <f t="shared" ca="1" si="116"/>
        <v>#NAME?</v>
      </c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</row>
    <row r="725" spans="2:27">
      <c r="B725" s="100" t="e">
        <f ca="1">IFERROR(__xludf.DUMMYFUNCTION("""COMPUTED_VALUE"""),724)</f>
        <v>#NAME?</v>
      </c>
      <c r="C725" s="100" t="e">
        <f ca="1">IFERROR(__xludf.DUMMYFUNCTION("""COMPUTED_VALUE"""),"PENGU-USD")</f>
        <v>#NAME?</v>
      </c>
      <c r="D725" s="100" t="e">
        <f ca="1">IFERROR(__xludf.DUMMYFUNCTION("""COMPUTED_VALUE"""),"0.005115")</f>
        <v>#NAME?</v>
      </c>
      <c r="E725" s="100" t="e">
        <f t="shared" ca="1" si="117"/>
        <v>#NAME?</v>
      </c>
      <c r="F725" s="100" t="e">
        <f t="shared" ca="1" si="117"/>
        <v>#NAME?</v>
      </c>
      <c r="G725" s="100" t="e">
        <f t="shared" ca="1" si="111"/>
        <v>#NAME?</v>
      </c>
      <c r="H725" s="100" t="e">
        <f t="shared" ca="1" si="112"/>
        <v>#NAME?</v>
      </c>
      <c r="I725" s="100" t="e">
        <f t="shared" ca="1" si="113"/>
        <v>#NAME?</v>
      </c>
      <c r="J725" s="100" t="e">
        <f t="shared" ca="1" si="114"/>
        <v>#NAME?</v>
      </c>
      <c r="K725" s="100" t="e">
        <f t="shared" ca="1" si="115"/>
        <v>#NAME?</v>
      </c>
      <c r="L725" s="100" t="e">
        <f t="shared" ca="1" si="116"/>
        <v>#NAME?</v>
      </c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</row>
    <row r="726" spans="2:27">
      <c r="B726" s="100" t="e">
        <f ca="1">IFERROR(__xludf.DUMMYFUNCTION("""COMPUTED_VALUE"""),725)</f>
        <v>#NAME?</v>
      </c>
      <c r="C726" s="100" t="e">
        <f ca="1">IFERROR(__xludf.DUMMYFUNCTION("""COMPUTED_VALUE"""),"COMP-USDT")</f>
        <v>#NAME?</v>
      </c>
      <c r="D726" s="100" t="e">
        <f ca="1">IFERROR(__xludf.DUMMYFUNCTION("""COMPUTED_VALUE"""),"39.82")</f>
        <v>#NAME?</v>
      </c>
      <c r="E726" s="100" t="e">
        <f t="shared" ca="1" si="117"/>
        <v>#NAME?</v>
      </c>
      <c r="F726" s="100" t="e">
        <f t="shared" ca="1" si="117"/>
        <v>#NAME?</v>
      </c>
      <c r="G726" s="100" t="e">
        <f t="shared" ca="1" si="111"/>
        <v>#NAME?</v>
      </c>
      <c r="H726" s="100" t="e">
        <f t="shared" ca="1" si="112"/>
        <v>#NAME?</v>
      </c>
      <c r="I726" s="100" t="e">
        <f t="shared" ca="1" si="113"/>
        <v>#NAME?</v>
      </c>
      <c r="J726" s="100" t="e">
        <f t="shared" ca="1" si="114"/>
        <v>#NAME?</v>
      </c>
      <c r="K726" s="100" t="e">
        <f t="shared" ca="1" si="115"/>
        <v>#NAME?</v>
      </c>
      <c r="L726" s="100" t="e">
        <f t="shared" ca="1" si="116"/>
        <v>#NAME?</v>
      </c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</row>
    <row r="727" spans="2:27">
      <c r="B727" s="100" t="e">
        <f ca="1">IFERROR(__xludf.DUMMYFUNCTION("""COMPUTED_VALUE"""),726)</f>
        <v>#NAME?</v>
      </c>
      <c r="C727" s="100" t="e">
        <f ca="1">IFERROR(__xludf.DUMMYFUNCTION("""COMPUTED_VALUE"""),"ALGO-USDT")</f>
        <v>#NAME?</v>
      </c>
      <c r="D727" s="100" t="e">
        <f ca="1">IFERROR(__xludf.DUMMYFUNCTION("""COMPUTED_VALUE"""),"0.1929")</f>
        <v>#NAME?</v>
      </c>
      <c r="E727" s="100" t="e">
        <f t="shared" ca="1" si="117"/>
        <v>#NAME?</v>
      </c>
      <c r="F727" s="100" t="e">
        <f t="shared" ca="1" si="117"/>
        <v>#NAME?</v>
      </c>
      <c r="G727" s="100" t="e">
        <f t="shared" ca="1" si="111"/>
        <v>#NAME?</v>
      </c>
      <c r="H727" s="100" t="e">
        <f t="shared" ca="1" si="112"/>
        <v>#NAME?</v>
      </c>
      <c r="I727" s="100" t="e">
        <f t="shared" ca="1" si="113"/>
        <v>#NAME?</v>
      </c>
      <c r="J727" s="100" t="e">
        <f t="shared" ca="1" si="114"/>
        <v>#NAME?</v>
      </c>
      <c r="K727" s="100" t="e">
        <f t="shared" ca="1" si="115"/>
        <v>#NAME?</v>
      </c>
      <c r="L727" s="100" t="e">
        <f t="shared" ca="1" si="116"/>
        <v>#NAME?</v>
      </c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</row>
    <row r="728" spans="2:27">
      <c r="B728" s="100" t="e">
        <f ca="1">IFERROR(__xludf.DUMMYFUNCTION("""COMPUTED_VALUE"""),727)</f>
        <v>#NAME?</v>
      </c>
      <c r="C728" s="100" t="e">
        <f ca="1">IFERROR(__xludf.DUMMYFUNCTION("""COMPUTED_VALUE"""),"KISHU-USDT")</f>
        <v>#NAME?</v>
      </c>
      <c r="D728" s="100" t="e">
        <f ca="1">IFERROR(__xludf.DUMMYFUNCTION("""COMPUTED_VALUE"""),"0.0000000001109")</f>
        <v>#NAME?</v>
      </c>
      <c r="E728" s="100" t="e">
        <f t="shared" ca="1" si="117"/>
        <v>#NAME?</v>
      </c>
      <c r="F728" s="100" t="e">
        <f t="shared" ca="1" si="117"/>
        <v>#NAME?</v>
      </c>
      <c r="G728" s="100" t="e">
        <f t="shared" ca="1" si="111"/>
        <v>#NAME?</v>
      </c>
      <c r="H728" s="100" t="e">
        <f t="shared" ca="1" si="112"/>
        <v>#NAME?</v>
      </c>
      <c r="I728" s="100" t="e">
        <f t="shared" ca="1" si="113"/>
        <v>#NAME?</v>
      </c>
      <c r="J728" s="100" t="e">
        <f t="shared" ca="1" si="114"/>
        <v>#NAME?</v>
      </c>
      <c r="K728" s="100" t="e">
        <f t="shared" ca="1" si="115"/>
        <v>#NAME?</v>
      </c>
      <c r="L728" s="100" t="e">
        <f t="shared" ca="1" si="116"/>
        <v>#NAME?</v>
      </c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</row>
    <row r="729" spans="2:27">
      <c r="B729" s="100" t="e">
        <f ca="1">IFERROR(__xludf.DUMMYFUNCTION("""COMPUTED_VALUE"""),728)</f>
        <v>#NAME?</v>
      </c>
      <c r="C729" s="100" t="e">
        <f ca="1">IFERROR(__xludf.DUMMYFUNCTION("""COMPUTED_VALUE"""),"PARTI-USD")</f>
        <v>#NAME?</v>
      </c>
      <c r="D729" s="100" t="e">
        <f ca="1">IFERROR(__xludf.DUMMYFUNCTION("""COMPUTED_VALUE"""),"0.1703")</f>
        <v>#NAME?</v>
      </c>
      <c r="E729" s="100" t="e">
        <f t="shared" ca="1" si="117"/>
        <v>#NAME?</v>
      </c>
      <c r="F729" s="100" t="e">
        <f t="shared" ca="1" si="117"/>
        <v>#NAME?</v>
      </c>
      <c r="G729" s="100" t="e">
        <f t="shared" ca="1" si="111"/>
        <v>#NAME?</v>
      </c>
      <c r="H729" s="100" t="e">
        <f t="shared" ca="1" si="112"/>
        <v>#NAME?</v>
      </c>
      <c r="I729" s="100" t="e">
        <f t="shared" ca="1" si="113"/>
        <v>#NAME?</v>
      </c>
      <c r="J729" s="100" t="e">
        <f t="shared" ca="1" si="114"/>
        <v>#NAME?</v>
      </c>
      <c r="K729" s="100" t="e">
        <f t="shared" ca="1" si="115"/>
        <v>#NAME?</v>
      </c>
      <c r="L729" s="100" t="e">
        <f t="shared" ca="1" si="116"/>
        <v>#NAME?</v>
      </c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</row>
    <row r="730" spans="2:27">
      <c r="B730" s="100" t="e">
        <f ca="1">IFERROR(__xludf.DUMMYFUNCTION("""COMPUTED_VALUE"""),729)</f>
        <v>#NAME?</v>
      </c>
      <c r="C730" s="100" t="e">
        <f ca="1">IFERROR(__xludf.DUMMYFUNCTION("""COMPUTED_VALUE"""),"COMP-USD")</f>
        <v>#NAME?</v>
      </c>
      <c r="D730" s="100" t="e">
        <f ca="1">IFERROR(__xludf.DUMMYFUNCTION("""COMPUTED_VALUE"""),"39.9")</f>
        <v>#NAME?</v>
      </c>
      <c r="E730" s="100" t="e">
        <f t="shared" ca="1" si="117"/>
        <v>#NAME?</v>
      </c>
      <c r="F730" s="100" t="e">
        <f t="shared" ca="1" si="117"/>
        <v>#NAME?</v>
      </c>
      <c r="G730" s="100" t="e">
        <f t="shared" ca="1" si="111"/>
        <v>#NAME?</v>
      </c>
      <c r="H730" s="100" t="e">
        <f t="shared" ca="1" si="112"/>
        <v>#NAME?</v>
      </c>
      <c r="I730" s="100" t="e">
        <f t="shared" ca="1" si="113"/>
        <v>#NAME?</v>
      </c>
      <c r="J730" s="100" t="e">
        <f t="shared" ca="1" si="114"/>
        <v>#NAME?</v>
      </c>
      <c r="K730" s="100" t="e">
        <f t="shared" ca="1" si="115"/>
        <v>#NAME?</v>
      </c>
      <c r="L730" s="100" t="e">
        <f t="shared" ca="1" si="116"/>
        <v>#NAME?</v>
      </c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</row>
    <row r="731" spans="2:27">
      <c r="B731" s="100" t="e">
        <f ca="1">IFERROR(__xludf.DUMMYFUNCTION("""COMPUTED_VALUE"""),730)</f>
        <v>#NAME?</v>
      </c>
      <c r="C731" s="100" t="e">
        <f ca="1">IFERROR(__xludf.DUMMYFUNCTION("""COMPUTED_VALUE"""),"TON-USD")</f>
        <v>#NAME?</v>
      </c>
      <c r="D731" s="100" t="e">
        <f ca="1">IFERROR(__xludf.DUMMYFUNCTION("""COMPUTED_VALUE"""),"2.928")</f>
        <v>#NAME?</v>
      </c>
      <c r="E731" s="100" t="e">
        <f t="shared" ca="1" si="117"/>
        <v>#NAME?</v>
      </c>
      <c r="F731" s="100" t="e">
        <f t="shared" ca="1" si="117"/>
        <v>#NAME?</v>
      </c>
      <c r="G731" s="100" t="e">
        <f t="shared" ca="1" si="111"/>
        <v>#NAME?</v>
      </c>
      <c r="H731" s="100" t="e">
        <f t="shared" ca="1" si="112"/>
        <v>#NAME?</v>
      </c>
      <c r="I731" s="100" t="e">
        <f t="shared" ca="1" si="113"/>
        <v>#NAME?</v>
      </c>
      <c r="J731" s="100" t="e">
        <f t="shared" ca="1" si="114"/>
        <v>#NAME?</v>
      </c>
      <c r="K731" s="100" t="e">
        <f t="shared" ca="1" si="115"/>
        <v>#NAME?</v>
      </c>
      <c r="L731" s="100" t="e">
        <f t="shared" ca="1" si="116"/>
        <v>#NAME?</v>
      </c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</row>
    <row r="732" spans="2:27">
      <c r="B732" s="100" t="e">
        <f ca="1">IFERROR(__xludf.DUMMYFUNCTION("""COMPUTED_VALUE"""),731)</f>
        <v>#NAME?</v>
      </c>
      <c r="C732" s="100" t="e">
        <f ca="1">IFERROR(__xludf.DUMMYFUNCTION("""COMPUTED_VALUE"""),"BABYDOGE-USDT")</f>
        <v>#NAME?</v>
      </c>
      <c r="D732" s="100" t="e">
        <f ca="1">IFERROR(__xludf.DUMMYFUNCTION("""COMPUTED_VALUE"""),"0.000000001297")</f>
        <v>#NAME?</v>
      </c>
      <c r="E732" s="100" t="e">
        <f t="shared" ca="1" si="117"/>
        <v>#NAME?</v>
      </c>
      <c r="F732" s="100" t="e">
        <f t="shared" ca="1" si="117"/>
        <v>#NAME?</v>
      </c>
      <c r="G732" s="100" t="e">
        <f t="shared" ca="1" si="111"/>
        <v>#NAME?</v>
      </c>
      <c r="H732" s="100" t="e">
        <f t="shared" ca="1" si="112"/>
        <v>#NAME?</v>
      </c>
      <c r="I732" s="100" t="e">
        <f t="shared" ca="1" si="113"/>
        <v>#NAME?</v>
      </c>
      <c r="J732" s="100" t="e">
        <f t="shared" ca="1" si="114"/>
        <v>#NAME?</v>
      </c>
      <c r="K732" s="100" t="e">
        <f t="shared" ca="1" si="115"/>
        <v>#NAME?</v>
      </c>
      <c r="L732" s="100" t="e">
        <f t="shared" ca="1" si="116"/>
        <v>#NAME?</v>
      </c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</row>
    <row r="733" spans="2:27">
      <c r="B733" s="100" t="e">
        <f ca="1">IFERROR(__xludf.DUMMYFUNCTION("""COMPUTED_VALUE"""),732)</f>
        <v>#NAME?</v>
      </c>
      <c r="C733" s="100" t="e">
        <f ca="1">IFERROR(__xludf.DUMMYFUNCTION("""COMPUTED_VALUE"""),"PSTAKE-USD")</f>
        <v>#NAME?</v>
      </c>
      <c r="D733" s="100" t="e">
        <f ca="1">IFERROR(__xludf.DUMMYFUNCTION("""COMPUTED_VALUE"""),"0.01122")</f>
        <v>#NAME?</v>
      </c>
      <c r="E733" s="100" t="e">
        <f t="shared" ca="1" si="117"/>
        <v>#NAME?</v>
      </c>
      <c r="F733" s="100" t="e">
        <f t="shared" ca="1" si="117"/>
        <v>#NAME?</v>
      </c>
      <c r="G733" s="100" t="e">
        <f t="shared" ca="1" si="111"/>
        <v>#NAME?</v>
      </c>
      <c r="H733" s="100" t="e">
        <f t="shared" ca="1" si="112"/>
        <v>#NAME?</v>
      </c>
      <c r="I733" s="100" t="e">
        <f t="shared" ca="1" si="113"/>
        <v>#NAME?</v>
      </c>
      <c r="J733" s="100" t="e">
        <f t="shared" ca="1" si="114"/>
        <v>#NAME?</v>
      </c>
      <c r="K733" s="100" t="e">
        <f t="shared" ca="1" si="115"/>
        <v>#NAME?</v>
      </c>
      <c r="L733" s="100" t="e">
        <f t="shared" ca="1" si="116"/>
        <v>#NAME?</v>
      </c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</row>
    <row r="734" spans="2:27">
      <c r="B734" s="100" t="e">
        <f ca="1">IFERROR(__xludf.DUMMYFUNCTION("""COMPUTED_VALUE"""),733)</f>
        <v>#NAME?</v>
      </c>
      <c r="C734" s="100" t="e">
        <f ca="1">IFERROR(__xludf.DUMMYFUNCTION("""COMPUTED_VALUE"""),"ENJ-USDT")</f>
        <v>#NAME?</v>
      </c>
      <c r="D734" s="100" t="e">
        <f ca="1">IFERROR(__xludf.DUMMYFUNCTION("""COMPUTED_VALUE"""),"0.08743")</f>
        <v>#NAME?</v>
      </c>
      <c r="E734" s="100" t="e">
        <f t="shared" ca="1" si="117"/>
        <v>#NAME?</v>
      </c>
      <c r="F734" s="100" t="e">
        <f t="shared" ca="1" si="117"/>
        <v>#NAME?</v>
      </c>
      <c r="G734" s="100" t="e">
        <f t="shared" ca="1" si="111"/>
        <v>#NAME?</v>
      </c>
      <c r="H734" s="100" t="e">
        <f t="shared" ca="1" si="112"/>
        <v>#NAME?</v>
      </c>
      <c r="I734" s="100" t="e">
        <f t="shared" ca="1" si="113"/>
        <v>#NAME?</v>
      </c>
      <c r="J734" s="100" t="e">
        <f t="shared" ca="1" si="114"/>
        <v>#NAME?</v>
      </c>
      <c r="K734" s="100" t="e">
        <f t="shared" ca="1" si="115"/>
        <v>#NAME?</v>
      </c>
      <c r="L734" s="100" t="e">
        <f t="shared" ca="1" si="116"/>
        <v>#NAME?</v>
      </c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</row>
    <row r="735" spans="2:27">
      <c r="B735" s="100" t="e">
        <f ca="1">IFERROR(__xludf.DUMMYFUNCTION("""COMPUTED_VALUE"""),734)</f>
        <v>#NAME?</v>
      </c>
      <c r="C735" s="100" t="e">
        <f ca="1">IFERROR(__xludf.DUMMYFUNCTION("""COMPUTED_VALUE"""),"PENDLE-USD")</f>
        <v>#NAME?</v>
      </c>
      <c r="D735" s="100" t="e">
        <f ca="1">IFERROR(__xludf.DUMMYFUNCTION("""COMPUTED_VALUE"""),"3.307")</f>
        <v>#NAME?</v>
      </c>
      <c r="E735" s="100" t="e">
        <f t="shared" ca="1" si="117"/>
        <v>#NAME?</v>
      </c>
      <c r="F735" s="100" t="e">
        <f t="shared" ca="1" si="117"/>
        <v>#NAME?</v>
      </c>
      <c r="G735" s="100" t="e">
        <f t="shared" ca="1" si="111"/>
        <v>#NAME?</v>
      </c>
      <c r="H735" s="100" t="e">
        <f t="shared" ca="1" si="112"/>
        <v>#NAME?</v>
      </c>
      <c r="I735" s="100" t="e">
        <f t="shared" ca="1" si="113"/>
        <v>#NAME?</v>
      </c>
      <c r="J735" s="100" t="e">
        <f t="shared" ca="1" si="114"/>
        <v>#NAME?</v>
      </c>
      <c r="K735" s="100" t="e">
        <f t="shared" ca="1" si="115"/>
        <v>#NAME?</v>
      </c>
      <c r="L735" s="100" t="e">
        <f t="shared" ca="1" si="116"/>
        <v>#NAME?</v>
      </c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</row>
    <row r="736" spans="2:27">
      <c r="B736" s="100" t="e">
        <f ca="1">IFERROR(__xludf.DUMMYFUNCTION("""COMPUTED_VALUE"""),735)</f>
        <v>#NAME?</v>
      </c>
      <c r="C736" s="100" t="e">
        <f ca="1">IFERROR(__xludf.DUMMYFUNCTION("""COMPUTED_VALUE"""),"GLM-USDT")</f>
        <v>#NAME?</v>
      </c>
      <c r="D736" s="100" t="e">
        <f ca="1">IFERROR(__xludf.DUMMYFUNCTION("""COMPUTED_VALUE"""),"0.2608")</f>
        <v>#NAME?</v>
      </c>
      <c r="E736" s="100" t="e">
        <f t="shared" ca="1" si="117"/>
        <v>#NAME?</v>
      </c>
      <c r="F736" s="100" t="e">
        <f t="shared" ca="1" si="117"/>
        <v>#NAME?</v>
      </c>
      <c r="G736" s="100" t="e">
        <f t="shared" ca="1" si="111"/>
        <v>#NAME?</v>
      </c>
      <c r="H736" s="100" t="e">
        <f t="shared" ca="1" si="112"/>
        <v>#NAME?</v>
      </c>
      <c r="I736" s="100" t="e">
        <f t="shared" ca="1" si="113"/>
        <v>#NAME?</v>
      </c>
      <c r="J736" s="100" t="e">
        <f t="shared" ca="1" si="114"/>
        <v>#NAME?</v>
      </c>
      <c r="K736" s="100" t="e">
        <f t="shared" ca="1" si="115"/>
        <v>#NAME?</v>
      </c>
      <c r="L736" s="100" t="e">
        <f t="shared" ca="1" si="116"/>
        <v>#NAME?</v>
      </c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</row>
    <row r="737" spans="2:27">
      <c r="B737" s="100" t="e">
        <f ca="1">IFERROR(__xludf.DUMMYFUNCTION("""COMPUTED_VALUE"""),736)</f>
        <v>#NAME?</v>
      </c>
      <c r="C737" s="100" t="e">
        <f ca="1">IFERROR(__xludf.DUMMYFUNCTION("""COMPUTED_VALUE"""),"LEO-USD")</f>
        <v>#NAME?</v>
      </c>
      <c r="D737" s="100" t="e">
        <f ca="1">IFERROR(__xludf.DUMMYFUNCTION("""COMPUTED_VALUE"""),"9.034")</f>
        <v>#NAME?</v>
      </c>
      <c r="E737" s="100" t="e">
        <f t="shared" ca="1" si="117"/>
        <v>#NAME?</v>
      </c>
      <c r="F737" s="100" t="e">
        <f t="shared" ca="1" si="117"/>
        <v>#NAME?</v>
      </c>
      <c r="G737" s="100" t="e">
        <f t="shared" ca="1" si="111"/>
        <v>#NAME?</v>
      </c>
      <c r="H737" s="100" t="e">
        <f t="shared" ca="1" si="112"/>
        <v>#NAME?</v>
      </c>
      <c r="I737" s="100" t="e">
        <f t="shared" ca="1" si="113"/>
        <v>#NAME?</v>
      </c>
      <c r="J737" s="100" t="e">
        <f t="shared" ca="1" si="114"/>
        <v>#NAME?</v>
      </c>
      <c r="K737" s="100" t="e">
        <f t="shared" ca="1" si="115"/>
        <v>#NAME?</v>
      </c>
      <c r="L737" s="100" t="e">
        <f t="shared" ca="1" si="116"/>
        <v>#NAME?</v>
      </c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</row>
    <row r="738" spans="2:27">
      <c r="B738" s="100" t="e">
        <f ca="1">IFERROR(__xludf.DUMMYFUNCTION("""COMPUTED_VALUE"""),737)</f>
        <v>#NAME?</v>
      </c>
      <c r="C738" s="100" t="e">
        <f ca="1">IFERROR(__xludf.DUMMYFUNCTION("""COMPUTED_VALUE"""),"BONK-USD")</f>
        <v>#NAME?</v>
      </c>
      <c r="D738" s="100" t="e">
        <f ca="1">IFERROR(__xludf.DUMMYFUNCTION("""COMPUTED_VALUE"""),"0.000012804")</f>
        <v>#NAME?</v>
      </c>
      <c r="E738" s="100" t="e">
        <f t="shared" ca="1" si="117"/>
        <v>#NAME?</v>
      </c>
      <c r="F738" s="100" t="e">
        <f t="shared" ca="1" si="117"/>
        <v>#NAME?</v>
      </c>
      <c r="G738" s="100" t="e">
        <f t="shared" ca="1" si="111"/>
        <v>#NAME?</v>
      </c>
      <c r="H738" s="100" t="e">
        <f t="shared" ca="1" si="112"/>
        <v>#NAME?</v>
      </c>
      <c r="I738" s="100" t="e">
        <f t="shared" ca="1" si="113"/>
        <v>#NAME?</v>
      </c>
      <c r="J738" s="100" t="e">
        <f t="shared" ca="1" si="114"/>
        <v>#NAME?</v>
      </c>
      <c r="K738" s="100" t="e">
        <f t="shared" ca="1" si="115"/>
        <v>#NAME?</v>
      </c>
      <c r="L738" s="100" t="e">
        <f t="shared" ca="1" si="116"/>
        <v>#NAME?</v>
      </c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</row>
    <row r="739" spans="2:27">
      <c r="B739" s="100" t="e">
        <f ca="1">IFERROR(__xludf.DUMMYFUNCTION("""COMPUTED_VALUE"""),738)</f>
        <v>#NAME?</v>
      </c>
      <c r="C739" s="100" t="e">
        <f ca="1">IFERROR(__xludf.DUMMYFUNCTION("""COMPUTED_VALUE"""),"FLUID-USDT")</f>
        <v>#NAME?</v>
      </c>
      <c r="D739" s="100" t="e">
        <f ca="1">IFERROR(__xludf.DUMMYFUNCTION("""COMPUTED_VALUE"""),"3.954")</f>
        <v>#NAME?</v>
      </c>
      <c r="E739" s="100" t="e">
        <f t="shared" ca="1" si="117"/>
        <v>#NAME?</v>
      </c>
      <c r="F739" s="100" t="e">
        <f t="shared" ca="1" si="117"/>
        <v>#NAME?</v>
      </c>
      <c r="G739" s="100" t="e">
        <f t="shared" ca="1" si="111"/>
        <v>#NAME?</v>
      </c>
      <c r="H739" s="100" t="e">
        <f t="shared" ca="1" si="112"/>
        <v>#NAME?</v>
      </c>
      <c r="I739" s="100" t="e">
        <f t="shared" ca="1" si="113"/>
        <v>#NAME?</v>
      </c>
      <c r="J739" s="100" t="e">
        <f t="shared" ca="1" si="114"/>
        <v>#NAME?</v>
      </c>
      <c r="K739" s="100" t="e">
        <f t="shared" ca="1" si="115"/>
        <v>#NAME?</v>
      </c>
      <c r="L739" s="100" t="e">
        <f t="shared" ca="1" si="116"/>
        <v>#NAME?</v>
      </c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</row>
    <row r="740" spans="2:27">
      <c r="B740" s="100" t="e">
        <f ca="1">IFERROR(__xludf.DUMMYFUNCTION("""COMPUTED_VALUE"""),739)</f>
        <v>#NAME?</v>
      </c>
      <c r="C740" s="100" t="e">
        <f ca="1">IFERROR(__xludf.DUMMYFUNCTION("""COMPUTED_VALUE"""),"APE-EUR")</f>
        <v>#NAME?</v>
      </c>
      <c r="D740" s="100" t="e">
        <f ca="1">IFERROR(__xludf.DUMMYFUNCTION("""COMPUTED_VALUE"""),"0.4013")</f>
        <v>#NAME?</v>
      </c>
      <c r="E740" s="100" t="e">
        <f t="shared" ca="1" si="117"/>
        <v>#NAME?</v>
      </c>
      <c r="F740" s="100" t="e">
        <f t="shared" ca="1" si="117"/>
        <v>#NAME?</v>
      </c>
      <c r="G740" s="100" t="e">
        <f t="shared" ca="1" si="111"/>
        <v>#NAME?</v>
      </c>
      <c r="H740" s="100" t="e">
        <f t="shared" ca="1" si="112"/>
        <v>#NAME?</v>
      </c>
      <c r="I740" s="100" t="e">
        <f t="shared" ca="1" si="113"/>
        <v>#NAME?</v>
      </c>
      <c r="J740" s="100" t="e">
        <f t="shared" ca="1" si="114"/>
        <v>#NAME?</v>
      </c>
      <c r="K740" s="100" t="e">
        <f t="shared" ca="1" si="115"/>
        <v>#NAME?</v>
      </c>
      <c r="L740" s="100" t="e">
        <f t="shared" ca="1" si="116"/>
        <v>#NAME?</v>
      </c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</row>
    <row r="741" spans="2:27">
      <c r="B741" s="100" t="e">
        <f ca="1">IFERROR(__xludf.DUMMYFUNCTION("""COMPUTED_VALUE"""),740)</f>
        <v>#NAME?</v>
      </c>
      <c r="C741" s="100" t="e">
        <f ca="1">IFERROR(__xludf.DUMMYFUNCTION("""COMPUTED_VALUE"""),"STX-BTC")</f>
        <v>#NAME?</v>
      </c>
      <c r="D741" s="100" t="e">
        <f ca="1">IFERROR(__xludf.DUMMYFUNCTION("""COMPUTED_VALUE"""),"0.000008444")</f>
        <v>#NAME?</v>
      </c>
      <c r="E741" s="100" t="e">
        <f t="shared" ca="1" si="117"/>
        <v>#NAME?</v>
      </c>
      <c r="F741" s="100" t="e">
        <f t="shared" ca="1" si="117"/>
        <v>#NAME?</v>
      </c>
      <c r="G741" s="100" t="e">
        <f t="shared" ca="1" si="111"/>
        <v>#NAME?</v>
      </c>
      <c r="H741" s="100" t="e">
        <f t="shared" ca="1" si="112"/>
        <v>#NAME?</v>
      </c>
      <c r="I741" s="100" t="e">
        <f t="shared" ca="1" si="113"/>
        <v>#NAME?</v>
      </c>
      <c r="J741" s="100" t="e">
        <f t="shared" ca="1" si="114"/>
        <v>#NAME?</v>
      </c>
      <c r="K741" s="100" t="e">
        <f t="shared" ca="1" si="115"/>
        <v>#NAME?</v>
      </c>
      <c r="L741" s="100" t="e">
        <f t="shared" ca="1" si="116"/>
        <v>#NAME?</v>
      </c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</row>
    <row r="742" spans="2:27">
      <c r="B742" s="100" t="e">
        <f ca="1">IFERROR(__xludf.DUMMYFUNCTION("""COMPUTED_VALUE"""),741)</f>
        <v>#NAME?</v>
      </c>
      <c r="C742" s="100" t="e">
        <f ca="1">IFERROR(__xludf.DUMMYFUNCTION("""COMPUTED_VALUE"""),"MORPHO-USD")</f>
        <v>#NAME?</v>
      </c>
      <c r="D742" s="100" t="e">
        <f ca="1">IFERROR(__xludf.DUMMYFUNCTION("""COMPUTED_VALUE"""),"0.9299")</f>
        <v>#NAME?</v>
      </c>
      <c r="E742" s="100" t="e">
        <f t="shared" ref="E742:F761" ca="1" si="118">IFERROR(__xludf.DUMMYFUNCTION("""COMPUTED_VALUE"""),"-")</f>
        <v>#NAME?</v>
      </c>
      <c r="F742" s="100" t="e">
        <f t="shared" ca="1" si="118"/>
        <v>#NAME?</v>
      </c>
      <c r="G742" s="100" t="e">
        <f t="shared" ca="1" si="111"/>
        <v>#NAME?</v>
      </c>
      <c r="H742" s="100" t="e">
        <f t="shared" ca="1" si="112"/>
        <v>#NAME?</v>
      </c>
      <c r="I742" s="100" t="e">
        <f t="shared" ca="1" si="113"/>
        <v>#NAME?</v>
      </c>
      <c r="J742" s="100" t="e">
        <f t="shared" ca="1" si="114"/>
        <v>#NAME?</v>
      </c>
      <c r="K742" s="100" t="e">
        <f t="shared" ca="1" si="115"/>
        <v>#NAME?</v>
      </c>
      <c r="L742" s="100" t="e">
        <f t="shared" ca="1" si="116"/>
        <v>#NAME?</v>
      </c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</row>
    <row r="743" spans="2:27">
      <c r="B743" s="100" t="e">
        <f ca="1">IFERROR(__xludf.DUMMYFUNCTION("""COMPUTED_VALUE"""),742)</f>
        <v>#NAME?</v>
      </c>
      <c r="C743" s="100" t="e">
        <f ca="1">IFERROR(__xludf.DUMMYFUNCTION("""COMPUTED_VALUE"""),"AIXBT-USD")</f>
        <v>#NAME?</v>
      </c>
      <c r="D743" s="100" t="e">
        <f ca="1">IFERROR(__xludf.DUMMYFUNCTION("""COMPUTED_VALUE"""),"0.084")</f>
        <v>#NAME?</v>
      </c>
      <c r="E743" s="100" t="e">
        <f t="shared" ca="1" si="118"/>
        <v>#NAME?</v>
      </c>
      <c r="F743" s="100" t="e">
        <f t="shared" ca="1" si="118"/>
        <v>#NAME?</v>
      </c>
      <c r="G743" s="100" t="e">
        <f t="shared" ca="1" si="111"/>
        <v>#NAME?</v>
      </c>
      <c r="H743" s="100" t="e">
        <f t="shared" ca="1" si="112"/>
        <v>#NAME?</v>
      </c>
      <c r="I743" s="100" t="e">
        <f t="shared" ca="1" si="113"/>
        <v>#NAME?</v>
      </c>
      <c r="J743" s="100" t="e">
        <f t="shared" ca="1" si="114"/>
        <v>#NAME?</v>
      </c>
      <c r="K743" s="100" t="e">
        <f t="shared" ca="1" si="115"/>
        <v>#NAME?</v>
      </c>
      <c r="L743" s="100" t="e">
        <f t="shared" ca="1" si="116"/>
        <v>#NAME?</v>
      </c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</row>
    <row r="744" spans="2:27">
      <c r="B744" s="100" t="e">
        <f ca="1">IFERROR(__xludf.DUMMYFUNCTION("""COMPUTED_VALUE"""),743)</f>
        <v>#NAME?</v>
      </c>
      <c r="C744" s="100" t="e">
        <f ca="1">IFERROR(__xludf.DUMMYFUNCTION("""COMPUTED_VALUE"""),"DOGE-EUR")</f>
        <v>#NAME?</v>
      </c>
      <c r="D744" s="100" t="e">
        <f ca="1">IFERROR(__xludf.DUMMYFUNCTION("""COMPUTED_VALUE"""),"0.1427")</f>
        <v>#NAME?</v>
      </c>
      <c r="E744" s="100" t="e">
        <f t="shared" ca="1" si="118"/>
        <v>#NAME?</v>
      </c>
      <c r="F744" s="100" t="e">
        <f t="shared" ca="1" si="118"/>
        <v>#NAME?</v>
      </c>
      <c r="G744" s="100" t="e">
        <f t="shared" ca="1" si="111"/>
        <v>#NAME?</v>
      </c>
      <c r="H744" s="100" t="e">
        <f t="shared" ca="1" si="112"/>
        <v>#NAME?</v>
      </c>
      <c r="I744" s="100" t="e">
        <f t="shared" ca="1" si="113"/>
        <v>#NAME?</v>
      </c>
      <c r="J744" s="100" t="e">
        <f t="shared" ca="1" si="114"/>
        <v>#NAME?</v>
      </c>
      <c r="K744" s="100" t="e">
        <f t="shared" ca="1" si="115"/>
        <v>#NAME?</v>
      </c>
      <c r="L744" s="100" t="e">
        <f t="shared" ca="1" si="116"/>
        <v>#NAME?</v>
      </c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</row>
    <row r="745" spans="2:27">
      <c r="B745" s="100" t="e">
        <f ca="1">IFERROR(__xludf.DUMMYFUNCTION("""COMPUTED_VALUE"""),744)</f>
        <v>#NAME?</v>
      </c>
      <c r="C745" s="100" t="e">
        <f ca="1">IFERROR(__xludf.DUMMYFUNCTION("""COMPUTED_VALUE"""),"CORE-USDT")</f>
        <v>#NAME?</v>
      </c>
      <c r="D745" s="100" t="e">
        <f ca="1">IFERROR(__xludf.DUMMYFUNCTION("""COMPUTED_VALUE"""),"0.6487")</f>
        <v>#NAME?</v>
      </c>
      <c r="E745" s="100" t="e">
        <f t="shared" ca="1" si="118"/>
        <v>#NAME?</v>
      </c>
      <c r="F745" s="100" t="e">
        <f t="shared" ca="1" si="118"/>
        <v>#NAME?</v>
      </c>
      <c r="G745" s="100" t="e">
        <f t="shared" ca="1" si="111"/>
        <v>#NAME?</v>
      </c>
      <c r="H745" s="100" t="e">
        <f t="shared" ca="1" si="112"/>
        <v>#NAME?</v>
      </c>
      <c r="I745" s="100" t="e">
        <f t="shared" ca="1" si="113"/>
        <v>#NAME?</v>
      </c>
      <c r="J745" s="100" t="e">
        <f t="shared" ca="1" si="114"/>
        <v>#NAME?</v>
      </c>
      <c r="K745" s="100" t="e">
        <f t="shared" ca="1" si="115"/>
        <v>#NAME?</v>
      </c>
      <c r="L745" s="100" t="e">
        <f t="shared" ca="1" si="116"/>
        <v>#NAME?</v>
      </c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</row>
    <row r="746" spans="2:27">
      <c r="B746" s="100" t="e">
        <f ca="1">IFERROR(__xludf.DUMMYFUNCTION("""COMPUTED_VALUE"""),745)</f>
        <v>#NAME?</v>
      </c>
      <c r="C746" s="100" t="e">
        <f ca="1">IFERROR(__xludf.DUMMYFUNCTION("""COMPUTED_VALUE"""),"TRX-USDC")</f>
        <v>#NAME?</v>
      </c>
      <c r="D746" s="100" t="e">
        <f ca="1">IFERROR(__xludf.DUMMYFUNCTION("""COMPUTED_VALUE"""),"0.24913")</f>
        <v>#NAME?</v>
      </c>
      <c r="E746" s="100" t="e">
        <f t="shared" ca="1" si="118"/>
        <v>#NAME?</v>
      </c>
      <c r="F746" s="100" t="e">
        <f t="shared" ca="1" si="118"/>
        <v>#NAME?</v>
      </c>
      <c r="G746" s="100" t="e">
        <f t="shared" ca="1" si="111"/>
        <v>#NAME?</v>
      </c>
      <c r="H746" s="100" t="e">
        <f t="shared" ca="1" si="112"/>
        <v>#NAME?</v>
      </c>
      <c r="I746" s="100" t="e">
        <f t="shared" ca="1" si="113"/>
        <v>#NAME?</v>
      </c>
      <c r="J746" s="100" t="e">
        <f t="shared" ca="1" si="114"/>
        <v>#NAME?</v>
      </c>
      <c r="K746" s="100" t="e">
        <f t="shared" ca="1" si="115"/>
        <v>#NAME?</v>
      </c>
      <c r="L746" s="100" t="e">
        <f t="shared" ca="1" si="116"/>
        <v>#NAME?</v>
      </c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</row>
    <row r="747" spans="2:27">
      <c r="B747" s="100" t="e">
        <f ca="1">IFERROR(__xludf.DUMMYFUNCTION("""COMPUTED_VALUE"""),746)</f>
        <v>#NAME?</v>
      </c>
      <c r="C747" s="100" t="e">
        <f ca="1">IFERROR(__xludf.DUMMYFUNCTION("""COMPUTED_VALUE"""),"ORDI-USD")</f>
        <v>#NAME?</v>
      </c>
      <c r="D747" s="100" t="e">
        <f ca="1">IFERROR(__xludf.DUMMYFUNCTION("""COMPUTED_VALUE"""),"6.645")</f>
        <v>#NAME?</v>
      </c>
      <c r="E747" s="100" t="e">
        <f t="shared" ca="1" si="118"/>
        <v>#NAME?</v>
      </c>
      <c r="F747" s="100" t="e">
        <f t="shared" ca="1" si="118"/>
        <v>#NAME?</v>
      </c>
      <c r="G747" s="100" t="e">
        <f t="shared" ca="1" si="111"/>
        <v>#NAME?</v>
      </c>
      <c r="H747" s="100" t="e">
        <f t="shared" ca="1" si="112"/>
        <v>#NAME?</v>
      </c>
      <c r="I747" s="100" t="e">
        <f t="shared" ca="1" si="113"/>
        <v>#NAME?</v>
      </c>
      <c r="J747" s="100" t="e">
        <f t="shared" ca="1" si="114"/>
        <v>#NAME?</v>
      </c>
      <c r="K747" s="100" t="e">
        <f t="shared" ca="1" si="115"/>
        <v>#NAME?</v>
      </c>
      <c r="L747" s="100" t="e">
        <f t="shared" ca="1" si="116"/>
        <v>#NAME?</v>
      </c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</row>
    <row r="748" spans="2:27">
      <c r="B748" s="100" t="e">
        <f ca="1">IFERROR(__xludf.DUMMYFUNCTION("""COMPUTED_VALUE"""),747)</f>
        <v>#NAME?</v>
      </c>
      <c r="C748" s="100" t="e">
        <f ca="1">IFERROR(__xludf.DUMMYFUNCTION("""COMPUTED_VALUE"""),"RON-USD")</f>
        <v>#NAME?</v>
      </c>
      <c r="D748" s="100" t="e">
        <f ca="1">IFERROR(__xludf.DUMMYFUNCTION("""COMPUTED_VALUE"""),"0.5307")</f>
        <v>#NAME?</v>
      </c>
      <c r="E748" s="100" t="e">
        <f t="shared" ca="1" si="118"/>
        <v>#NAME?</v>
      </c>
      <c r="F748" s="100" t="e">
        <f t="shared" ca="1" si="118"/>
        <v>#NAME?</v>
      </c>
      <c r="G748" s="100" t="e">
        <f t="shared" ca="1" si="111"/>
        <v>#NAME?</v>
      </c>
      <c r="H748" s="100" t="e">
        <f t="shared" ca="1" si="112"/>
        <v>#NAME?</v>
      </c>
      <c r="I748" s="100" t="e">
        <f t="shared" ca="1" si="113"/>
        <v>#NAME?</v>
      </c>
      <c r="J748" s="100" t="e">
        <f t="shared" ca="1" si="114"/>
        <v>#NAME?</v>
      </c>
      <c r="K748" s="100" t="e">
        <f t="shared" ca="1" si="115"/>
        <v>#NAME?</v>
      </c>
      <c r="L748" s="100" t="e">
        <f t="shared" ca="1" si="116"/>
        <v>#NAME?</v>
      </c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</row>
    <row r="749" spans="2:27">
      <c r="B749" s="100" t="e">
        <f ca="1">IFERROR(__xludf.DUMMYFUNCTION("""COMPUTED_VALUE"""),748)</f>
        <v>#NAME?</v>
      </c>
      <c r="C749" s="100" t="e">
        <f ca="1">IFERROR(__xludf.DUMMYFUNCTION("""COMPUTED_VALUE"""),"JST-USDT")</f>
        <v>#NAME?</v>
      </c>
      <c r="D749" s="100" t="e">
        <f ca="1">IFERROR(__xludf.DUMMYFUNCTION("""COMPUTED_VALUE"""),"0.03138")</f>
        <v>#NAME?</v>
      </c>
      <c r="E749" s="100" t="e">
        <f t="shared" ca="1" si="118"/>
        <v>#NAME?</v>
      </c>
      <c r="F749" s="100" t="e">
        <f t="shared" ca="1" si="118"/>
        <v>#NAME?</v>
      </c>
      <c r="G749" s="100" t="e">
        <f t="shared" ca="1" si="111"/>
        <v>#NAME?</v>
      </c>
      <c r="H749" s="100" t="e">
        <f t="shared" ca="1" si="112"/>
        <v>#NAME?</v>
      </c>
      <c r="I749" s="100" t="e">
        <f t="shared" ca="1" si="113"/>
        <v>#NAME?</v>
      </c>
      <c r="J749" s="100" t="e">
        <f t="shared" ca="1" si="114"/>
        <v>#NAME?</v>
      </c>
      <c r="K749" s="100" t="e">
        <f t="shared" ca="1" si="115"/>
        <v>#NAME?</v>
      </c>
      <c r="L749" s="100" t="e">
        <f t="shared" ca="1" si="116"/>
        <v>#NAME?</v>
      </c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</row>
    <row r="750" spans="2:27">
      <c r="B750" s="100" t="e">
        <f ca="1">IFERROR(__xludf.DUMMYFUNCTION("""COMPUTED_VALUE"""),749)</f>
        <v>#NAME?</v>
      </c>
      <c r="C750" s="100" t="e">
        <f ca="1">IFERROR(__xludf.DUMMYFUNCTION("""COMPUTED_VALUE"""),"DAI-USD")</f>
        <v>#NAME?</v>
      </c>
      <c r="D750" s="100" t="e">
        <f ca="1">IFERROR(__xludf.DUMMYFUNCTION("""COMPUTED_VALUE"""),"0.9992")</f>
        <v>#NAME?</v>
      </c>
      <c r="E750" s="100" t="e">
        <f t="shared" ca="1" si="118"/>
        <v>#NAME?</v>
      </c>
      <c r="F750" s="100" t="e">
        <f t="shared" ca="1" si="118"/>
        <v>#NAME?</v>
      </c>
      <c r="G750" s="100" t="e">
        <f t="shared" ca="1" si="111"/>
        <v>#NAME?</v>
      </c>
      <c r="H750" s="100" t="e">
        <f t="shared" ca="1" si="112"/>
        <v>#NAME?</v>
      </c>
      <c r="I750" s="100" t="e">
        <f t="shared" ca="1" si="113"/>
        <v>#NAME?</v>
      </c>
      <c r="J750" s="100" t="e">
        <f t="shared" ca="1" si="114"/>
        <v>#NAME?</v>
      </c>
      <c r="K750" s="100" t="e">
        <f t="shared" ca="1" si="115"/>
        <v>#NAME?</v>
      </c>
      <c r="L750" s="100" t="e">
        <f t="shared" ca="1" si="116"/>
        <v>#NAME?</v>
      </c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</row>
    <row r="751" spans="2:27">
      <c r="B751" s="100" t="e">
        <f ca="1">IFERROR(__xludf.DUMMYFUNCTION("""COMPUTED_VALUE"""),750)</f>
        <v>#NAME?</v>
      </c>
      <c r="C751" s="100" t="e">
        <f ca="1">IFERROR(__xludf.DUMMYFUNCTION("""COMPUTED_VALUE"""),"NEAR-USDC")</f>
        <v>#NAME?</v>
      </c>
      <c r="D751" s="100" t="e">
        <f ca="1">IFERROR(__xludf.DUMMYFUNCTION("""COMPUTED_VALUE"""),"2.185")</f>
        <v>#NAME?</v>
      </c>
      <c r="E751" s="100" t="e">
        <f t="shared" ca="1" si="118"/>
        <v>#NAME?</v>
      </c>
      <c r="F751" s="100" t="e">
        <f t="shared" ca="1" si="118"/>
        <v>#NAME?</v>
      </c>
      <c r="G751" s="100" t="e">
        <f t="shared" ca="1" si="111"/>
        <v>#NAME?</v>
      </c>
      <c r="H751" s="100" t="e">
        <f t="shared" ca="1" si="112"/>
        <v>#NAME?</v>
      </c>
      <c r="I751" s="100" t="e">
        <f t="shared" ca="1" si="113"/>
        <v>#NAME?</v>
      </c>
      <c r="J751" s="100" t="e">
        <f t="shared" ca="1" si="114"/>
        <v>#NAME?</v>
      </c>
      <c r="K751" s="100" t="e">
        <f t="shared" ca="1" si="115"/>
        <v>#NAME?</v>
      </c>
      <c r="L751" s="100" t="e">
        <f t="shared" ca="1" si="116"/>
        <v>#NAME?</v>
      </c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</row>
    <row r="752" spans="2:27">
      <c r="B752" s="100" t="e">
        <f ca="1">IFERROR(__xludf.DUMMYFUNCTION("""COMPUTED_VALUE"""),751)</f>
        <v>#NAME?</v>
      </c>
      <c r="C752" s="100" t="e">
        <f ca="1">IFERROR(__xludf.DUMMYFUNCTION("""COMPUTED_VALUE"""),"ZBCN-USDT")</f>
        <v>#NAME?</v>
      </c>
      <c r="D752" s="100" t="e">
        <f ca="1">IFERROR(__xludf.DUMMYFUNCTION("""COMPUTED_VALUE"""),"0.000805")</f>
        <v>#NAME?</v>
      </c>
      <c r="E752" s="100" t="e">
        <f t="shared" ca="1" si="118"/>
        <v>#NAME?</v>
      </c>
      <c r="F752" s="100" t="e">
        <f t="shared" ca="1" si="118"/>
        <v>#NAME?</v>
      </c>
      <c r="G752" s="100" t="e">
        <f t="shared" ca="1" si="111"/>
        <v>#NAME?</v>
      </c>
      <c r="H752" s="100" t="e">
        <f t="shared" ca="1" si="112"/>
        <v>#NAME?</v>
      </c>
      <c r="I752" s="100" t="e">
        <f t="shared" ca="1" si="113"/>
        <v>#NAME?</v>
      </c>
      <c r="J752" s="100" t="e">
        <f t="shared" ca="1" si="114"/>
        <v>#NAME?</v>
      </c>
      <c r="K752" s="100" t="e">
        <f t="shared" ca="1" si="115"/>
        <v>#NAME?</v>
      </c>
      <c r="L752" s="100" t="e">
        <f t="shared" ca="1" si="116"/>
        <v>#NAME?</v>
      </c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</row>
    <row r="753" spans="2:27">
      <c r="B753" s="100" t="e">
        <f ca="1">IFERROR(__xludf.DUMMYFUNCTION("""COMPUTED_VALUE"""),752)</f>
        <v>#NAME?</v>
      </c>
      <c r="C753" s="100" t="e">
        <f ca="1">IFERROR(__xludf.DUMMYFUNCTION("""COMPUTED_VALUE"""),"IQ-USDT")</f>
        <v>#NAME?</v>
      </c>
      <c r="D753" s="100" t="e">
        <f ca="1">IFERROR(__xludf.DUMMYFUNCTION("""COMPUTED_VALUE"""),"0.004217")</f>
        <v>#NAME?</v>
      </c>
      <c r="E753" s="100" t="e">
        <f t="shared" ca="1" si="118"/>
        <v>#NAME?</v>
      </c>
      <c r="F753" s="100" t="e">
        <f t="shared" ca="1" si="118"/>
        <v>#NAME?</v>
      </c>
      <c r="G753" s="100" t="e">
        <f t="shared" ca="1" si="111"/>
        <v>#NAME?</v>
      </c>
      <c r="H753" s="100" t="e">
        <f t="shared" ca="1" si="112"/>
        <v>#NAME?</v>
      </c>
      <c r="I753" s="100" t="e">
        <f t="shared" ca="1" si="113"/>
        <v>#NAME?</v>
      </c>
      <c r="J753" s="100" t="e">
        <f t="shared" ca="1" si="114"/>
        <v>#NAME?</v>
      </c>
      <c r="K753" s="100" t="e">
        <f t="shared" ca="1" si="115"/>
        <v>#NAME?</v>
      </c>
      <c r="L753" s="100" t="e">
        <f t="shared" ca="1" si="116"/>
        <v>#NAME?</v>
      </c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</row>
    <row r="754" spans="2:27">
      <c r="B754" s="100" t="e">
        <f ca="1">IFERROR(__xludf.DUMMYFUNCTION("""COMPUTED_VALUE"""),753)</f>
        <v>#NAME?</v>
      </c>
      <c r="C754" s="100" t="e">
        <f ca="1">IFERROR(__xludf.DUMMYFUNCTION("""COMPUTED_VALUE"""),"NULS-USDT")</f>
        <v>#NAME?</v>
      </c>
      <c r="D754" s="100" t="e">
        <f ca="1">IFERROR(__xludf.DUMMYFUNCTION("""COMPUTED_VALUE"""),"0.0312")</f>
        <v>#NAME?</v>
      </c>
      <c r="E754" s="100" t="e">
        <f t="shared" ca="1" si="118"/>
        <v>#NAME?</v>
      </c>
      <c r="F754" s="100" t="e">
        <f t="shared" ca="1" si="118"/>
        <v>#NAME?</v>
      </c>
      <c r="G754" s="100" t="e">
        <f t="shared" ca="1" si="111"/>
        <v>#NAME?</v>
      </c>
      <c r="H754" s="100" t="e">
        <f t="shared" ca="1" si="112"/>
        <v>#NAME?</v>
      </c>
      <c r="I754" s="100" t="e">
        <f t="shared" ca="1" si="113"/>
        <v>#NAME?</v>
      </c>
      <c r="J754" s="100" t="e">
        <f t="shared" ca="1" si="114"/>
        <v>#NAME?</v>
      </c>
      <c r="K754" s="100" t="e">
        <f t="shared" ca="1" si="115"/>
        <v>#NAME?</v>
      </c>
      <c r="L754" s="100" t="e">
        <f t="shared" ca="1" si="116"/>
        <v>#NAME?</v>
      </c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</row>
    <row r="755" spans="2:27">
      <c r="B755" s="100" t="e">
        <f ca="1">IFERROR(__xludf.DUMMYFUNCTION("""COMPUTED_VALUE"""),754)</f>
        <v>#NAME?</v>
      </c>
      <c r="C755" s="100" t="e">
        <f ca="1">IFERROR(__xludf.DUMMYFUNCTION("""COMPUTED_VALUE"""),"NEAR-USDT")</f>
        <v>#NAME?</v>
      </c>
      <c r="D755" s="100" t="e">
        <f ca="1">IFERROR(__xludf.DUMMYFUNCTION("""COMPUTED_VALUE"""),"2.183")</f>
        <v>#NAME?</v>
      </c>
      <c r="E755" s="100" t="e">
        <f t="shared" ca="1" si="118"/>
        <v>#NAME?</v>
      </c>
      <c r="F755" s="100" t="e">
        <f t="shared" ca="1" si="118"/>
        <v>#NAME?</v>
      </c>
      <c r="G755" s="100" t="e">
        <f t="shared" ca="1" si="111"/>
        <v>#NAME?</v>
      </c>
      <c r="H755" s="100" t="e">
        <f t="shared" ca="1" si="112"/>
        <v>#NAME?</v>
      </c>
      <c r="I755" s="100" t="e">
        <f t="shared" ca="1" si="113"/>
        <v>#NAME?</v>
      </c>
      <c r="J755" s="100" t="e">
        <f t="shared" ca="1" si="114"/>
        <v>#NAME?</v>
      </c>
      <c r="K755" s="100" t="e">
        <f t="shared" ca="1" si="115"/>
        <v>#NAME?</v>
      </c>
      <c r="L755" s="100" t="e">
        <f t="shared" ca="1" si="116"/>
        <v>#NAME?</v>
      </c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</row>
    <row r="756" spans="2:27">
      <c r="B756" s="100" t="e">
        <f ca="1">IFERROR(__xludf.DUMMYFUNCTION("""COMPUTED_VALUE"""),755)</f>
        <v>#NAME?</v>
      </c>
      <c r="C756" s="100" t="e">
        <f ca="1">IFERROR(__xludf.DUMMYFUNCTION("""COMPUTED_VALUE"""),"QTUM-USD")</f>
        <v>#NAME?</v>
      </c>
      <c r="D756" s="100" t="e">
        <f ca="1">IFERROR(__xludf.DUMMYFUNCTION("""COMPUTED_VALUE"""),"2.121")</f>
        <v>#NAME?</v>
      </c>
      <c r="E756" s="100" t="e">
        <f t="shared" ca="1" si="118"/>
        <v>#NAME?</v>
      </c>
      <c r="F756" s="100" t="e">
        <f t="shared" ca="1" si="118"/>
        <v>#NAME?</v>
      </c>
      <c r="G756" s="100" t="e">
        <f t="shared" ca="1" si="111"/>
        <v>#NAME?</v>
      </c>
      <c r="H756" s="100" t="e">
        <f t="shared" ca="1" si="112"/>
        <v>#NAME?</v>
      </c>
      <c r="I756" s="100" t="e">
        <f t="shared" ca="1" si="113"/>
        <v>#NAME?</v>
      </c>
      <c r="J756" s="100" t="e">
        <f t="shared" ca="1" si="114"/>
        <v>#NAME?</v>
      </c>
      <c r="K756" s="100" t="e">
        <f t="shared" ca="1" si="115"/>
        <v>#NAME?</v>
      </c>
      <c r="L756" s="100" t="e">
        <f t="shared" ca="1" si="116"/>
        <v>#NAME?</v>
      </c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</row>
    <row r="757" spans="2:27">
      <c r="B757" s="100" t="e">
        <f ca="1">IFERROR(__xludf.DUMMYFUNCTION("""COMPUTED_VALUE"""),756)</f>
        <v>#NAME?</v>
      </c>
      <c r="C757" s="100" t="e">
        <f ca="1">IFERROR(__xludf.DUMMYFUNCTION("""COMPUTED_VALUE"""),"NEO-USD")</f>
        <v>#NAME?</v>
      </c>
      <c r="D757" s="100" t="e">
        <f ca="1">IFERROR(__xludf.DUMMYFUNCTION("""COMPUTED_VALUE"""),"5.606")</f>
        <v>#NAME?</v>
      </c>
      <c r="E757" s="100" t="e">
        <f t="shared" ca="1" si="118"/>
        <v>#NAME?</v>
      </c>
      <c r="F757" s="100" t="e">
        <f t="shared" ca="1" si="118"/>
        <v>#NAME?</v>
      </c>
      <c r="G757" s="100" t="e">
        <f t="shared" ca="1" si="111"/>
        <v>#NAME?</v>
      </c>
      <c r="H757" s="100" t="e">
        <f t="shared" ca="1" si="112"/>
        <v>#NAME?</v>
      </c>
      <c r="I757" s="100" t="e">
        <f t="shared" ca="1" si="113"/>
        <v>#NAME?</v>
      </c>
      <c r="J757" s="100" t="e">
        <f t="shared" ca="1" si="114"/>
        <v>#NAME?</v>
      </c>
      <c r="K757" s="100" t="e">
        <f t="shared" ca="1" si="115"/>
        <v>#NAME?</v>
      </c>
      <c r="L757" s="100" t="e">
        <f t="shared" ca="1" si="116"/>
        <v>#NAME?</v>
      </c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</row>
    <row r="758" spans="2:27">
      <c r="B758" s="100" t="e">
        <f ca="1">IFERROR(__xludf.DUMMYFUNCTION("""COMPUTED_VALUE"""),757)</f>
        <v>#NAME?</v>
      </c>
      <c r="C758" s="100" t="e">
        <f ca="1">IFERROR(__xludf.DUMMYFUNCTION("""COMPUTED_VALUE"""),"ZRO-USDC")</f>
        <v>#NAME?</v>
      </c>
      <c r="D758" s="100" t="e">
        <f ca="1">IFERROR(__xludf.DUMMYFUNCTION("""COMPUTED_VALUE"""),"2.497")</f>
        <v>#NAME?</v>
      </c>
      <c r="E758" s="100" t="e">
        <f t="shared" ca="1" si="118"/>
        <v>#NAME?</v>
      </c>
      <c r="F758" s="100" t="e">
        <f t="shared" ca="1" si="118"/>
        <v>#NAME?</v>
      </c>
      <c r="G758" s="100" t="e">
        <f t="shared" ca="1" si="111"/>
        <v>#NAME?</v>
      </c>
      <c r="H758" s="100" t="e">
        <f t="shared" ca="1" si="112"/>
        <v>#NAME?</v>
      </c>
      <c r="I758" s="100" t="e">
        <f t="shared" ca="1" si="113"/>
        <v>#NAME?</v>
      </c>
      <c r="J758" s="100" t="e">
        <f t="shared" ca="1" si="114"/>
        <v>#NAME?</v>
      </c>
      <c r="K758" s="100" t="e">
        <f t="shared" ca="1" si="115"/>
        <v>#NAME?</v>
      </c>
      <c r="L758" s="100" t="e">
        <f t="shared" ca="1" si="116"/>
        <v>#NAME?</v>
      </c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</row>
    <row r="759" spans="2:27">
      <c r="B759" s="100" t="e">
        <f ca="1">IFERROR(__xludf.DUMMYFUNCTION("""COMPUTED_VALUE"""),758)</f>
        <v>#NAME?</v>
      </c>
      <c r="C759" s="100" t="e">
        <f ca="1">IFERROR(__xludf.DUMMYFUNCTION("""COMPUTED_VALUE"""),"XRP-BRL")</f>
        <v>#NAME?</v>
      </c>
      <c r="D759" s="100" t="e">
        <f ca="1">IFERROR(__xludf.DUMMYFUNCTION("""COMPUTED_VALUE"""),"12.199")</f>
        <v>#NAME?</v>
      </c>
      <c r="E759" s="100" t="e">
        <f t="shared" ca="1" si="118"/>
        <v>#NAME?</v>
      </c>
      <c r="F759" s="100" t="e">
        <f t="shared" ca="1" si="118"/>
        <v>#NAME?</v>
      </c>
      <c r="G759" s="100" t="e">
        <f t="shared" ca="1" si="111"/>
        <v>#NAME?</v>
      </c>
      <c r="H759" s="100" t="e">
        <f t="shared" ca="1" si="112"/>
        <v>#NAME?</v>
      </c>
      <c r="I759" s="100" t="e">
        <f t="shared" ca="1" si="113"/>
        <v>#NAME?</v>
      </c>
      <c r="J759" s="100" t="e">
        <f t="shared" ca="1" si="114"/>
        <v>#NAME?</v>
      </c>
      <c r="K759" s="100" t="e">
        <f t="shared" ca="1" si="115"/>
        <v>#NAME?</v>
      </c>
      <c r="L759" s="100" t="e">
        <f t="shared" ca="1" si="116"/>
        <v>#NAME?</v>
      </c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</row>
    <row r="760" spans="2:27">
      <c r="B760" s="100" t="e">
        <f ca="1">IFERROR(__xludf.DUMMYFUNCTION("""COMPUTED_VALUE"""),759)</f>
        <v>#NAME?</v>
      </c>
      <c r="C760" s="100" t="e">
        <f ca="1">IFERROR(__xludf.DUMMYFUNCTION("""COMPUTED_VALUE"""),"MINA-USD")</f>
        <v>#NAME?</v>
      </c>
      <c r="D760" s="100" t="e">
        <f ca="1">IFERROR(__xludf.DUMMYFUNCTION("""COMPUTED_VALUE"""),"0.2214")</f>
        <v>#NAME?</v>
      </c>
      <c r="E760" s="100" t="e">
        <f t="shared" ca="1" si="118"/>
        <v>#NAME?</v>
      </c>
      <c r="F760" s="100" t="e">
        <f t="shared" ca="1" si="118"/>
        <v>#NAME?</v>
      </c>
      <c r="G760" s="100" t="e">
        <f t="shared" ca="1" si="111"/>
        <v>#NAME?</v>
      </c>
      <c r="H760" s="100" t="e">
        <f t="shared" ca="1" si="112"/>
        <v>#NAME?</v>
      </c>
      <c r="I760" s="100" t="e">
        <f t="shared" ca="1" si="113"/>
        <v>#NAME?</v>
      </c>
      <c r="J760" s="100" t="e">
        <f t="shared" ca="1" si="114"/>
        <v>#NAME?</v>
      </c>
      <c r="K760" s="100" t="e">
        <f t="shared" ca="1" si="115"/>
        <v>#NAME?</v>
      </c>
      <c r="L760" s="100" t="e">
        <f t="shared" ca="1" si="116"/>
        <v>#NAME?</v>
      </c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</row>
    <row r="761" spans="2:27">
      <c r="B761" s="100" t="e">
        <f ca="1">IFERROR(__xludf.DUMMYFUNCTION("""COMPUTED_VALUE"""),760)</f>
        <v>#NAME?</v>
      </c>
      <c r="C761" s="100" t="e">
        <f ca="1">IFERROR(__xludf.DUMMYFUNCTION("""COMPUTED_VALUE"""),"MEME-USDT")</f>
        <v>#NAME?</v>
      </c>
      <c r="D761" s="100" t="e">
        <f ca="1">IFERROR(__xludf.DUMMYFUNCTION("""COMPUTED_VALUE"""),"0.001961")</f>
        <v>#NAME?</v>
      </c>
      <c r="E761" s="100" t="e">
        <f t="shared" ca="1" si="118"/>
        <v>#NAME?</v>
      </c>
      <c r="F761" s="100" t="e">
        <f t="shared" ca="1" si="118"/>
        <v>#NAME?</v>
      </c>
      <c r="G761" s="100" t="e">
        <f t="shared" ca="1" si="111"/>
        <v>#NAME?</v>
      </c>
      <c r="H761" s="100" t="e">
        <f t="shared" ca="1" si="112"/>
        <v>#NAME?</v>
      </c>
      <c r="I761" s="100" t="e">
        <f t="shared" ca="1" si="113"/>
        <v>#NAME?</v>
      </c>
      <c r="J761" s="100" t="e">
        <f t="shared" ca="1" si="114"/>
        <v>#NAME?</v>
      </c>
      <c r="K761" s="100" t="e">
        <f t="shared" ca="1" si="115"/>
        <v>#NAME?</v>
      </c>
      <c r="L761" s="100" t="e">
        <f t="shared" ca="1" si="116"/>
        <v>#NAME?</v>
      </c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</row>
    <row r="762" spans="2:27">
      <c r="B762" s="100" t="e">
        <f ca="1">IFERROR(__xludf.DUMMYFUNCTION("""COMPUTED_VALUE"""),761)</f>
        <v>#NAME?</v>
      </c>
      <c r="C762" s="100" t="e">
        <f ca="1">IFERROR(__xludf.DUMMYFUNCTION("""COMPUTED_VALUE"""),"DEP-USDT")</f>
        <v>#NAME?</v>
      </c>
      <c r="D762" s="100" t="e">
        <f ca="1">IFERROR(__xludf.DUMMYFUNCTION("""COMPUTED_VALUE"""),"0.001086")</f>
        <v>#NAME?</v>
      </c>
      <c r="E762" s="100" t="e">
        <f t="shared" ref="E762:F781" ca="1" si="119">IFERROR(__xludf.DUMMYFUNCTION("""COMPUTED_VALUE"""),"-")</f>
        <v>#NAME?</v>
      </c>
      <c r="F762" s="100" t="e">
        <f t="shared" ca="1" si="119"/>
        <v>#NAME?</v>
      </c>
      <c r="G762" s="100" t="e">
        <f t="shared" ca="1" si="111"/>
        <v>#NAME?</v>
      </c>
      <c r="H762" s="100" t="e">
        <f t="shared" ca="1" si="112"/>
        <v>#NAME?</v>
      </c>
      <c r="I762" s="100" t="e">
        <f t="shared" ca="1" si="113"/>
        <v>#NAME?</v>
      </c>
      <c r="J762" s="100" t="e">
        <f t="shared" ca="1" si="114"/>
        <v>#NAME?</v>
      </c>
      <c r="K762" s="100" t="e">
        <f t="shared" ca="1" si="115"/>
        <v>#NAME?</v>
      </c>
      <c r="L762" s="100" t="e">
        <f t="shared" ca="1" si="116"/>
        <v>#NAME?</v>
      </c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</row>
    <row r="763" spans="2:27">
      <c r="B763" s="100" t="e">
        <f ca="1">IFERROR(__xludf.DUMMYFUNCTION("""COMPUTED_VALUE"""),762)</f>
        <v>#NAME?</v>
      </c>
      <c r="C763" s="100" t="e">
        <f ca="1">IFERROR(__xludf.DUMMYFUNCTION("""COMPUTED_VALUE"""),"OKSOL-USDT")</f>
        <v>#NAME?</v>
      </c>
      <c r="D763" s="100" t="e">
        <f ca="1">IFERROR(__xludf.DUMMYFUNCTION("""COMPUTED_VALUE"""),"139.5")</f>
        <v>#NAME?</v>
      </c>
      <c r="E763" s="100" t="e">
        <f t="shared" ca="1" si="119"/>
        <v>#NAME?</v>
      </c>
      <c r="F763" s="100" t="e">
        <f t="shared" ca="1" si="119"/>
        <v>#NAME?</v>
      </c>
      <c r="G763" s="100" t="e">
        <f t="shared" ca="1" si="111"/>
        <v>#NAME?</v>
      </c>
      <c r="H763" s="100" t="e">
        <f t="shared" ca="1" si="112"/>
        <v>#NAME?</v>
      </c>
      <c r="I763" s="100" t="e">
        <f t="shared" ca="1" si="113"/>
        <v>#NAME?</v>
      </c>
      <c r="J763" s="100" t="e">
        <f t="shared" ca="1" si="114"/>
        <v>#NAME?</v>
      </c>
      <c r="K763" s="100" t="e">
        <f t="shared" ca="1" si="115"/>
        <v>#NAME?</v>
      </c>
      <c r="L763" s="100" t="e">
        <f t="shared" ca="1" si="116"/>
        <v>#NAME?</v>
      </c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</row>
    <row r="764" spans="2:27">
      <c r="B764" s="100" t="e">
        <f ca="1">IFERROR(__xludf.DUMMYFUNCTION("""COMPUTED_VALUE"""),763)</f>
        <v>#NAME?</v>
      </c>
      <c r="C764" s="100" t="e">
        <f ca="1">IFERROR(__xludf.DUMMYFUNCTION("""COMPUTED_VALUE"""),"XCH-USD")</f>
        <v>#NAME?</v>
      </c>
      <c r="D764" s="100" t="e">
        <f ca="1">IFERROR(__xludf.DUMMYFUNCTION("""COMPUTED_VALUE"""),"10.9")</f>
        <v>#NAME?</v>
      </c>
      <c r="E764" s="100" t="e">
        <f t="shared" ca="1" si="119"/>
        <v>#NAME?</v>
      </c>
      <c r="F764" s="100" t="e">
        <f t="shared" ca="1" si="119"/>
        <v>#NAME?</v>
      </c>
      <c r="G764" s="100" t="e">
        <f t="shared" ca="1" si="111"/>
        <v>#NAME?</v>
      </c>
      <c r="H764" s="100" t="e">
        <f t="shared" ca="1" si="112"/>
        <v>#NAME?</v>
      </c>
      <c r="I764" s="100" t="e">
        <f t="shared" ca="1" si="113"/>
        <v>#NAME?</v>
      </c>
      <c r="J764" s="100" t="e">
        <f t="shared" ca="1" si="114"/>
        <v>#NAME?</v>
      </c>
      <c r="K764" s="100" t="e">
        <f t="shared" ca="1" si="115"/>
        <v>#NAME?</v>
      </c>
      <c r="L764" s="100" t="e">
        <f t="shared" ca="1" si="116"/>
        <v>#NAME?</v>
      </c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</row>
    <row r="765" spans="2:27">
      <c r="B765" s="100" t="e">
        <f ca="1">IFERROR(__xludf.DUMMYFUNCTION("""COMPUTED_VALUE"""),764)</f>
        <v>#NAME?</v>
      </c>
      <c r="C765" s="100" t="e">
        <f ca="1">IFERROR(__xludf.DUMMYFUNCTION("""COMPUTED_VALUE"""),"GALA-USDC")</f>
        <v>#NAME?</v>
      </c>
      <c r="D765" s="100" t="e">
        <f ca="1">IFERROR(__xludf.DUMMYFUNCTION("""COMPUTED_VALUE"""),"0.01585")</f>
        <v>#NAME?</v>
      </c>
      <c r="E765" s="100" t="e">
        <f t="shared" ca="1" si="119"/>
        <v>#NAME?</v>
      </c>
      <c r="F765" s="100" t="e">
        <f t="shared" ca="1" si="119"/>
        <v>#NAME?</v>
      </c>
      <c r="G765" s="100" t="e">
        <f t="shared" ca="1" si="111"/>
        <v>#NAME?</v>
      </c>
      <c r="H765" s="100" t="e">
        <f t="shared" ca="1" si="112"/>
        <v>#NAME?</v>
      </c>
      <c r="I765" s="100" t="e">
        <f t="shared" ca="1" si="113"/>
        <v>#NAME?</v>
      </c>
      <c r="J765" s="100" t="e">
        <f t="shared" ca="1" si="114"/>
        <v>#NAME?</v>
      </c>
      <c r="K765" s="100" t="e">
        <f t="shared" ca="1" si="115"/>
        <v>#NAME?</v>
      </c>
      <c r="L765" s="100" t="e">
        <f t="shared" ca="1" si="116"/>
        <v>#NAME?</v>
      </c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</row>
    <row r="766" spans="2:27">
      <c r="B766" s="100" t="e">
        <f ca="1">IFERROR(__xludf.DUMMYFUNCTION("""COMPUTED_VALUE"""),765)</f>
        <v>#NAME?</v>
      </c>
      <c r="C766" s="100" t="e">
        <f ca="1">IFERROR(__xludf.DUMMYFUNCTION("""COMPUTED_VALUE"""),"MKR-USDT")</f>
        <v>#NAME?</v>
      </c>
      <c r="D766" s="100" t="e">
        <f ca="1">IFERROR(__xludf.DUMMYFUNCTION("""COMPUTED_VALUE"""),"1388.4")</f>
        <v>#NAME?</v>
      </c>
      <c r="E766" s="100" t="e">
        <f t="shared" ca="1" si="119"/>
        <v>#NAME?</v>
      </c>
      <c r="F766" s="100" t="e">
        <f t="shared" ca="1" si="119"/>
        <v>#NAME?</v>
      </c>
      <c r="G766" s="100" t="e">
        <f t="shared" ca="1" si="111"/>
        <v>#NAME?</v>
      </c>
      <c r="H766" s="100" t="e">
        <f t="shared" ca="1" si="112"/>
        <v>#NAME?</v>
      </c>
      <c r="I766" s="100" t="e">
        <f t="shared" ca="1" si="113"/>
        <v>#NAME?</v>
      </c>
      <c r="J766" s="100" t="e">
        <f t="shared" ca="1" si="114"/>
        <v>#NAME?</v>
      </c>
      <c r="K766" s="100" t="e">
        <f t="shared" ca="1" si="115"/>
        <v>#NAME?</v>
      </c>
      <c r="L766" s="100" t="e">
        <f t="shared" ca="1" si="116"/>
        <v>#NAME?</v>
      </c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</row>
    <row r="767" spans="2:27">
      <c r="B767" s="100" t="e">
        <f ca="1">IFERROR(__xludf.DUMMYFUNCTION("""COMPUTED_VALUE"""),766)</f>
        <v>#NAME?</v>
      </c>
      <c r="C767" s="100" t="e">
        <f ca="1">IFERROR(__xludf.DUMMYFUNCTION("""COMPUTED_VALUE"""),"NC-USDT")</f>
        <v>#NAME?</v>
      </c>
      <c r="D767" s="100" t="e">
        <f ca="1">IFERROR(__xludf.DUMMYFUNCTION("""COMPUTED_VALUE"""),"0.03949")</f>
        <v>#NAME?</v>
      </c>
      <c r="E767" s="100" t="e">
        <f t="shared" ca="1" si="119"/>
        <v>#NAME?</v>
      </c>
      <c r="F767" s="100" t="e">
        <f t="shared" ca="1" si="119"/>
        <v>#NAME?</v>
      </c>
      <c r="G767" s="100" t="e">
        <f t="shared" ca="1" si="111"/>
        <v>#NAME?</v>
      </c>
      <c r="H767" s="100" t="e">
        <f t="shared" ca="1" si="112"/>
        <v>#NAME?</v>
      </c>
      <c r="I767" s="100" t="e">
        <f t="shared" ca="1" si="113"/>
        <v>#NAME?</v>
      </c>
      <c r="J767" s="100" t="e">
        <f t="shared" ca="1" si="114"/>
        <v>#NAME?</v>
      </c>
      <c r="K767" s="100" t="e">
        <f t="shared" ca="1" si="115"/>
        <v>#NAME?</v>
      </c>
      <c r="L767" s="100" t="e">
        <f t="shared" ca="1" si="116"/>
        <v>#NAME?</v>
      </c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</row>
    <row r="768" spans="2:27">
      <c r="B768" s="100" t="e">
        <f ca="1">IFERROR(__xludf.DUMMYFUNCTION("""COMPUTED_VALUE"""),767)</f>
        <v>#NAME?</v>
      </c>
      <c r="C768" s="100" t="e">
        <f ca="1">IFERROR(__xludf.DUMMYFUNCTION("""COMPUTED_VALUE"""),"SPURS-USDT")</f>
        <v>#NAME?</v>
      </c>
      <c r="D768" s="100" t="e">
        <f ca="1">IFERROR(__xludf.DUMMYFUNCTION("""COMPUTED_VALUE"""),"0.4602")</f>
        <v>#NAME?</v>
      </c>
      <c r="E768" s="100" t="e">
        <f t="shared" ca="1" si="119"/>
        <v>#NAME?</v>
      </c>
      <c r="F768" s="100" t="e">
        <f t="shared" ca="1" si="119"/>
        <v>#NAME?</v>
      </c>
      <c r="G768" s="100" t="e">
        <f t="shared" ca="1" si="111"/>
        <v>#NAME?</v>
      </c>
      <c r="H768" s="100" t="e">
        <f t="shared" ca="1" si="112"/>
        <v>#NAME?</v>
      </c>
      <c r="I768" s="100" t="e">
        <f t="shared" ca="1" si="113"/>
        <v>#NAME?</v>
      </c>
      <c r="J768" s="100" t="e">
        <f t="shared" ca="1" si="114"/>
        <v>#NAME?</v>
      </c>
      <c r="K768" s="100" t="e">
        <f t="shared" ca="1" si="115"/>
        <v>#NAME?</v>
      </c>
      <c r="L768" s="100" t="e">
        <f t="shared" ca="1" si="116"/>
        <v>#NAME?</v>
      </c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</row>
    <row r="769" spans="2:27">
      <c r="B769" s="100" t="e">
        <f ca="1">IFERROR(__xludf.DUMMYFUNCTION("""COMPUTED_VALUE"""),768)</f>
        <v>#NAME?</v>
      </c>
      <c r="C769" s="100" t="e">
        <f ca="1">IFERROR(__xludf.DUMMYFUNCTION("""COMPUTED_VALUE"""),"FLOW-USD")</f>
        <v>#NAME?</v>
      </c>
      <c r="D769" s="100" t="e">
        <f ca="1">IFERROR(__xludf.DUMMYFUNCTION("""COMPUTED_VALUE"""),"0.3786")</f>
        <v>#NAME?</v>
      </c>
      <c r="E769" s="100" t="e">
        <f t="shared" ca="1" si="119"/>
        <v>#NAME?</v>
      </c>
      <c r="F769" s="100" t="e">
        <f t="shared" ca="1" si="119"/>
        <v>#NAME?</v>
      </c>
      <c r="G769" s="100" t="e">
        <f t="shared" ca="1" si="111"/>
        <v>#NAME?</v>
      </c>
      <c r="H769" s="100" t="e">
        <f t="shared" ca="1" si="112"/>
        <v>#NAME?</v>
      </c>
      <c r="I769" s="100" t="e">
        <f t="shared" ca="1" si="113"/>
        <v>#NAME?</v>
      </c>
      <c r="J769" s="100" t="e">
        <f t="shared" ca="1" si="114"/>
        <v>#NAME?</v>
      </c>
      <c r="K769" s="100" t="e">
        <f t="shared" ca="1" si="115"/>
        <v>#NAME?</v>
      </c>
      <c r="L769" s="100" t="e">
        <f t="shared" ca="1" si="116"/>
        <v>#NAME?</v>
      </c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</row>
    <row r="770" spans="2:27">
      <c r="B770" s="100" t="e">
        <f ca="1">IFERROR(__xludf.DUMMYFUNCTION("""COMPUTED_VALUE"""),769)</f>
        <v>#NAME?</v>
      </c>
      <c r="C770" s="100" t="e">
        <f ca="1">IFERROR(__xludf.DUMMYFUNCTION("""COMPUTED_VALUE"""),"FLOKI-USDT")</f>
        <v>#NAME?</v>
      </c>
      <c r="D770" s="100" t="e">
        <f ca="1">IFERROR(__xludf.DUMMYFUNCTION("""COMPUTED_VALUE"""),"0.00005875")</f>
        <v>#NAME?</v>
      </c>
      <c r="E770" s="100" t="e">
        <f t="shared" ca="1" si="119"/>
        <v>#NAME?</v>
      </c>
      <c r="F770" s="100" t="e">
        <f t="shared" ca="1" si="119"/>
        <v>#NAME?</v>
      </c>
      <c r="G770" s="100" t="e">
        <f t="shared" ref="G770:G782" ca="1" si="120">IFERROR(__xludf.DUMMYFUNCTION("""COMPUTED_VALUE"""),20200)</f>
        <v>#NAME?</v>
      </c>
      <c r="H770" s="100" t="e">
        <f t="shared" ref="H770:H782" ca="1" si="121">IFERROR(__xludf.DUMMYFUNCTION("""COMPUTED_VALUE"""),2885)</f>
        <v>#NAME?</v>
      </c>
      <c r="I770" s="100" t="e">
        <f t="shared" ref="I770:I792" ca="1" si="122">IFERROR(__xludf.DUMMYFUNCTION("""COMPUTED_VALUE"""),663)</f>
        <v>#NAME?</v>
      </c>
      <c r="J770" s="100" t="e">
        <f t="shared" ref="J770:J782" ca="1" si="123">IFERROR(__xludf.DUMMYFUNCTION("""COMPUTED_VALUE"""),5817714)</f>
        <v>#NAME?</v>
      </c>
      <c r="K770" s="100" t="e">
        <f t="shared" ref="K770:K782" ca="1" si="124">IFERROR(__xludf.DUMMYFUNCTION("""COMPUTED_VALUE"""),"-")</f>
        <v>#NAME?</v>
      </c>
      <c r="L770" s="100" t="e">
        <f t="shared" ref="L770:L782" ca="1" si="125">IFERROR(__xludf.DUMMYFUNCTION("""COMPUTED_VALUE"""),"22.04.2025 12:32:49")</f>
        <v>#NAME?</v>
      </c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</row>
    <row r="771" spans="2:27">
      <c r="B771" s="100" t="e">
        <f ca="1">IFERROR(__xludf.DUMMYFUNCTION("""COMPUTED_VALUE"""),770)</f>
        <v>#NAME?</v>
      </c>
      <c r="C771" s="100" t="e">
        <f ca="1">IFERROR(__xludf.DUMMYFUNCTION("""COMPUTED_VALUE"""),"EGLD-EUR")</f>
        <v>#NAME?</v>
      </c>
      <c r="D771" s="100" t="e">
        <f ca="1">IFERROR(__xludf.DUMMYFUNCTION("""COMPUTED_VALUE"""),"12.23")</f>
        <v>#NAME?</v>
      </c>
      <c r="E771" s="100" t="e">
        <f t="shared" ca="1" si="119"/>
        <v>#NAME?</v>
      </c>
      <c r="F771" s="100" t="e">
        <f t="shared" ca="1" si="119"/>
        <v>#NAME?</v>
      </c>
      <c r="G771" s="100" t="e">
        <f t="shared" ca="1" si="120"/>
        <v>#NAME?</v>
      </c>
      <c r="H771" s="100" t="e">
        <f t="shared" ca="1" si="121"/>
        <v>#NAME?</v>
      </c>
      <c r="I771" s="100" t="e">
        <f t="shared" ca="1" si="122"/>
        <v>#NAME?</v>
      </c>
      <c r="J771" s="100" t="e">
        <f t="shared" ca="1" si="123"/>
        <v>#NAME?</v>
      </c>
      <c r="K771" s="100" t="e">
        <f t="shared" ca="1" si="124"/>
        <v>#NAME?</v>
      </c>
      <c r="L771" s="100" t="e">
        <f t="shared" ca="1" si="125"/>
        <v>#NAME?</v>
      </c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</row>
    <row r="772" spans="2:27">
      <c r="B772" s="100" t="e">
        <f ca="1">IFERROR(__xludf.DUMMYFUNCTION("""COMPUTED_VALUE"""),771)</f>
        <v>#NAME?</v>
      </c>
      <c r="C772" s="100" t="e">
        <f ca="1">IFERROR(__xludf.DUMMYFUNCTION("""COMPUTED_VALUE"""),"GALA-USDT")</f>
        <v>#NAME?</v>
      </c>
      <c r="D772" s="100" t="e">
        <f ca="1">IFERROR(__xludf.DUMMYFUNCTION("""COMPUTED_VALUE"""),"0.01585")</f>
        <v>#NAME?</v>
      </c>
      <c r="E772" s="100" t="e">
        <f t="shared" ca="1" si="119"/>
        <v>#NAME?</v>
      </c>
      <c r="F772" s="100" t="e">
        <f t="shared" ca="1" si="119"/>
        <v>#NAME?</v>
      </c>
      <c r="G772" s="100" t="e">
        <f t="shared" ca="1" si="120"/>
        <v>#NAME?</v>
      </c>
      <c r="H772" s="100" t="e">
        <f t="shared" ca="1" si="121"/>
        <v>#NAME?</v>
      </c>
      <c r="I772" s="100" t="e">
        <f t="shared" ca="1" si="122"/>
        <v>#NAME?</v>
      </c>
      <c r="J772" s="100" t="e">
        <f t="shared" ca="1" si="123"/>
        <v>#NAME?</v>
      </c>
      <c r="K772" s="100" t="e">
        <f t="shared" ca="1" si="124"/>
        <v>#NAME?</v>
      </c>
      <c r="L772" s="100" t="e">
        <f t="shared" ca="1" si="125"/>
        <v>#NAME?</v>
      </c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</row>
    <row r="773" spans="2:27">
      <c r="B773" s="100" t="e">
        <f ca="1">IFERROR(__xludf.DUMMYFUNCTION("""COMPUTED_VALUE"""),772)</f>
        <v>#NAME?</v>
      </c>
      <c r="C773" s="100" t="e">
        <f ca="1">IFERROR(__xludf.DUMMYFUNCTION("""COMPUTED_VALUE"""),"SAMO-USDT")</f>
        <v>#NAME?</v>
      </c>
      <c r="D773" s="100" t="e">
        <f ca="1">IFERROR(__xludf.DUMMYFUNCTION("""COMPUTED_VALUE"""),"0.003125")</f>
        <v>#NAME?</v>
      </c>
      <c r="E773" s="100" t="e">
        <f t="shared" ca="1" si="119"/>
        <v>#NAME?</v>
      </c>
      <c r="F773" s="100" t="e">
        <f t="shared" ca="1" si="119"/>
        <v>#NAME?</v>
      </c>
      <c r="G773" s="100" t="e">
        <f t="shared" ca="1" si="120"/>
        <v>#NAME?</v>
      </c>
      <c r="H773" s="100" t="e">
        <f t="shared" ca="1" si="121"/>
        <v>#NAME?</v>
      </c>
      <c r="I773" s="100" t="e">
        <f t="shared" ca="1" si="122"/>
        <v>#NAME?</v>
      </c>
      <c r="J773" s="100" t="e">
        <f t="shared" ca="1" si="123"/>
        <v>#NAME?</v>
      </c>
      <c r="K773" s="100" t="e">
        <f t="shared" ca="1" si="124"/>
        <v>#NAME?</v>
      </c>
      <c r="L773" s="100" t="e">
        <f t="shared" ca="1" si="125"/>
        <v>#NAME?</v>
      </c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</row>
    <row r="774" spans="2:27">
      <c r="B774" s="100" t="e">
        <f ca="1">IFERROR(__xludf.DUMMYFUNCTION("""COMPUTED_VALUE"""),773)</f>
        <v>#NAME?</v>
      </c>
      <c r="C774" s="100" t="e">
        <f ca="1">IFERROR(__xludf.DUMMYFUNCTION("""COMPUTED_VALUE"""),"LQTY-USD")</f>
        <v>#NAME?</v>
      </c>
      <c r="D774" s="100" t="e">
        <f ca="1">IFERROR(__xludf.DUMMYFUNCTION("""COMPUTED_VALUE"""),"0.593")</f>
        <v>#NAME?</v>
      </c>
      <c r="E774" s="100" t="e">
        <f t="shared" ca="1" si="119"/>
        <v>#NAME?</v>
      </c>
      <c r="F774" s="100" t="e">
        <f t="shared" ca="1" si="119"/>
        <v>#NAME?</v>
      </c>
      <c r="G774" s="100" t="e">
        <f t="shared" ca="1" si="120"/>
        <v>#NAME?</v>
      </c>
      <c r="H774" s="100" t="e">
        <f t="shared" ca="1" si="121"/>
        <v>#NAME?</v>
      </c>
      <c r="I774" s="100" t="e">
        <f t="shared" ca="1" si="122"/>
        <v>#NAME?</v>
      </c>
      <c r="J774" s="100" t="e">
        <f t="shared" ca="1" si="123"/>
        <v>#NAME?</v>
      </c>
      <c r="K774" s="100" t="e">
        <f t="shared" ca="1" si="124"/>
        <v>#NAME?</v>
      </c>
      <c r="L774" s="100" t="e">
        <f t="shared" ca="1" si="125"/>
        <v>#NAME?</v>
      </c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</row>
    <row r="775" spans="2:27">
      <c r="B775" s="100" t="e">
        <f ca="1">IFERROR(__xludf.DUMMYFUNCTION("""COMPUTED_VALUE"""),774)</f>
        <v>#NAME?</v>
      </c>
      <c r="C775" s="100" t="e">
        <f ca="1">IFERROR(__xludf.DUMMYFUNCTION("""COMPUTED_VALUE"""),"SKL-USD")</f>
        <v>#NAME?</v>
      </c>
      <c r="D775" s="100" t="e">
        <f ca="1">IFERROR(__xludf.DUMMYFUNCTION("""COMPUTED_VALUE"""),"0.0223")</f>
        <v>#NAME?</v>
      </c>
      <c r="E775" s="100" t="e">
        <f t="shared" ca="1" si="119"/>
        <v>#NAME?</v>
      </c>
      <c r="F775" s="100" t="e">
        <f t="shared" ca="1" si="119"/>
        <v>#NAME?</v>
      </c>
      <c r="G775" s="100" t="e">
        <f t="shared" ca="1" si="120"/>
        <v>#NAME?</v>
      </c>
      <c r="H775" s="100" t="e">
        <f t="shared" ca="1" si="121"/>
        <v>#NAME?</v>
      </c>
      <c r="I775" s="100" t="e">
        <f t="shared" ca="1" si="122"/>
        <v>#NAME?</v>
      </c>
      <c r="J775" s="100" t="e">
        <f t="shared" ca="1" si="123"/>
        <v>#NAME?</v>
      </c>
      <c r="K775" s="100" t="e">
        <f t="shared" ca="1" si="124"/>
        <v>#NAME?</v>
      </c>
      <c r="L775" s="100" t="e">
        <f t="shared" ca="1" si="125"/>
        <v>#NAME?</v>
      </c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</row>
    <row r="776" spans="2:27">
      <c r="B776" s="100" t="e">
        <f ca="1">IFERROR(__xludf.DUMMYFUNCTION("""COMPUTED_VALUE"""),775)</f>
        <v>#NAME?</v>
      </c>
      <c r="C776" s="100" t="e">
        <f ca="1">IFERROR(__xludf.DUMMYFUNCTION("""COMPUTED_VALUE"""),"MKR-USDC")</f>
        <v>#NAME?</v>
      </c>
      <c r="D776" s="100" t="e">
        <f ca="1">IFERROR(__xludf.DUMMYFUNCTION("""COMPUTED_VALUE"""),"1391.7")</f>
        <v>#NAME?</v>
      </c>
      <c r="E776" s="100" t="e">
        <f t="shared" ca="1" si="119"/>
        <v>#NAME?</v>
      </c>
      <c r="F776" s="100" t="e">
        <f t="shared" ca="1" si="119"/>
        <v>#NAME?</v>
      </c>
      <c r="G776" s="100" t="e">
        <f t="shared" ca="1" si="120"/>
        <v>#NAME?</v>
      </c>
      <c r="H776" s="100" t="e">
        <f t="shared" ca="1" si="121"/>
        <v>#NAME?</v>
      </c>
      <c r="I776" s="100" t="e">
        <f t="shared" ca="1" si="122"/>
        <v>#NAME?</v>
      </c>
      <c r="J776" s="100" t="e">
        <f t="shared" ca="1" si="123"/>
        <v>#NAME?</v>
      </c>
      <c r="K776" s="100" t="e">
        <f t="shared" ca="1" si="124"/>
        <v>#NAME?</v>
      </c>
      <c r="L776" s="100" t="e">
        <f t="shared" ca="1" si="125"/>
        <v>#NAME?</v>
      </c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</row>
    <row r="777" spans="2:27">
      <c r="B777" s="100" t="e">
        <f ca="1">IFERROR(__xludf.DUMMYFUNCTION("""COMPUTED_VALUE"""),776)</f>
        <v>#NAME?</v>
      </c>
      <c r="C777" s="100" t="e">
        <f ca="1">IFERROR(__xludf.DUMMYFUNCTION("""COMPUTED_VALUE"""),"USDT-USD")</f>
        <v>#NAME?</v>
      </c>
      <c r="D777" s="100" t="e">
        <f ca="1">IFERROR(__xludf.DUMMYFUNCTION("""COMPUTED_VALUE"""),"1")</f>
        <v>#NAME?</v>
      </c>
      <c r="E777" s="100" t="e">
        <f t="shared" ca="1" si="119"/>
        <v>#NAME?</v>
      </c>
      <c r="F777" s="100" t="e">
        <f t="shared" ca="1" si="119"/>
        <v>#NAME?</v>
      </c>
      <c r="G777" s="100" t="e">
        <f t="shared" ca="1" si="120"/>
        <v>#NAME?</v>
      </c>
      <c r="H777" s="100" t="e">
        <f t="shared" ca="1" si="121"/>
        <v>#NAME?</v>
      </c>
      <c r="I777" s="100" t="e">
        <f t="shared" ca="1" si="122"/>
        <v>#NAME?</v>
      </c>
      <c r="J777" s="100" t="e">
        <f t="shared" ca="1" si="123"/>
        <v>#NAME?</v>
      </c>
      <c r="K777" s="100" t="e">
        <f t="shared" ca="1" si="124"/>
        <v>#NAME?</v>
      </c>
      <c r="L777" s="100" t="e">
        <f t="shared" ca="1" si="125"/>
        <v>#NAME?</v>
      </c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</row>
    <row r="778" spans="2:27">
      <c r="B778" s="100" t="e">
        <f ca="1">IFERROR(__xludf.DUMMYFUNCTION("""COMPUTED_VALUE"""),777)</f>
        <v>#NAME?</v>
      </c>
      <c r="C778" s="100" t="e">
        <f ca="1">IFERROR(__xludf.DUMMYFUNCTION("""COMPUTED_VALUE"""),"USDC-BRL")</f>
        <v>#NAME?</v>
      </c>
      <c r="D778" s="100" t="e">
        <f ca="1">IFERROR(__xludf.DUMMYFUNCTION("""COMPUTED_VALUE"""),"5.823")</f>
        <v>#NAME?</v>
      </c>
      <c r="E778" s="100" t="e">
        <f t="shared" ca="1" si="119"/>
        <v>#NAME?</v>
      </c>
      <c r="F778" s="100" t="e">
        <f t="shared" ca="1" si="119"/>
        <v>#NAME?</v>
      </c>
      <c r="G778" s="100" t="e">
        <f t="shared" ca="1" si="120"/>
        <v>#NAME?</v>
      </c>
      <c r="H778" s="100" t="e">
        <f t="shared" ca="1" si="121"/>
        <v>#NAME?</v>
      </c>
      <c r="I778" s="100" t="e">
        <f t="shared" ca="1" si="122"/>
        <v>#NAME?</v>
      </c>
      <c r="J778" s="100" t="e">
        <f t="shared" ca="1" si="123"/>
        <v>#NAME?</v>
      </c>
      <c r="K778" s="100" t="e">
        <f t="shared" ca="1" si="124"/>
        <v>#NAME?</v>
      </c>
      <c r="L778" s="100" t="e">
        <f t="shared" ca="1" si="125"/>
        <v>#NAME?</v>
      </c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</row>
    <row r="779" spans="2:27">
      <c r="B779" s="100" t="e">
        <f ca="1">IFERROR(__xludf.DUMMYFUNCTION("""COMPUTED_VALUE"""),778)</f>
        <v>#NAME?</v>
      </c>
      <c r="C779" s="100" t="e">
        <f ca="1">IFERROR(__xludf.DUMMYFUNCTION("""COMPUTED_VALUE"""),"OKSOL-SOL")</f>
        <v>#NAME?</v>
      </c>
      <c r="D779" s="100" t="e">
        <f ca="1">IFERROR(__xludf.DUMMYFUNCTION("""COMPUTED_VALUE"""),"0.9996")</f>
        <v>#NAME?</v>
      </c>
      <c r="E779" s="100" t="e">
        <f t="shared" ca="1" si="119"/>
        <v>#NAME?</v>
      </c>
      <c r="F779" s="100" t="e">
        <f t="shared" ca="1" si="119"/>
        <v>#NAME?</v>
      </c>
      <c r="G779" s="100" t="e">
        <f t="shared" ca="1" si="120"/>
        <v>#NAME?</v>
      </c>
      <c r="H779" s="100" t="e">
        <f t="shared" ca="1" si="121"/>
        <v>#NAME?</v>
      </c>
      <c r="I779" s="100" t="e">
        <f t="shared" ca="1" si="122"/>
        <v>#NAME?</v>
      </c>
      <c r="J779" s="100" t="e">
        <f t="shared" ca="1" si="123"/>
        <v>#NAME?</v>
      </c>
      <c r="K779" s="100" t="e">
        <f t="shared" ca="1" si="124"/>
        <v>#NAME?</v>
      </c>
      <c r="L779" s="100" t="e">
        <f t="shared" ca="1" si="125"/>
        <v>#NAME?</v>
      </c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</row>
    <row r="780" spans="2:27">
      <c r="B780" s="100" t="e">
        <f ca="1">IFERROR(__xludf.DUMMYFUNCTION("""COMPUTED_VALUE"""),779)</f>
        <v>#NAME?</v>
      </c>
      <c r="C780" s="100" t="e">
        <f ca="1">IFERROR(__xludf.DUMMYFUNCTION("""COMPUTED_VALUE"""),"GLM-USD")</f>
        <v>#NAME?</v>
      </c>
      <c r="D780" s="100" t="e">
        <f ca="1">IFERROR(__xludf.DUMMYFUNCTION("""COMPUTED_VALUE"""),"0.2652")</f>
        <v>#NAME?</v>
      </c>
      <c r="E780" s="100" t="e">
        <f t="shared" ca="1" si="119"/>
        <v>#NAME?</v>
      </c>
      <c r="F780" s="100" t="e">
        <f t="shared" ca="1" si="119"/>
        <v>#NAME?</v>
      </c>
      <c r="G780" s="100" t="e">
        <f t="shared" ca="1" si="120"/>
        <v>#NAME?</v>
      </c>
      <c r="H780" s="100" t="e">
        <f t="shared" ca="1" si="121"/>
        <v>#NAME?</v>
      </c>
      <c r="I780" s="100" t="e">
        <f t="shared" ca="1" si="122"/>
        <v>#NAME?</v>
      </c>
      <c r="J780" s="100" t="e">
        <f t="shared" ca="1" si="123"/>
        <v>#NAME?</v>
      </c>
      <c r="K780" s="100" t="e">
        <f t="shared" ca="1" si="124"/>
        <v>#NAME?</v>
      </c>
      <c r="L780" s="100" t="e">
        <f t="shared" ca="1" si="125"/>
        <v>#NAME?</v>
      </c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</row>
    <row r="781" spans="2:27">
      <c r="B781" s="100" t="e">
        <f ca="1">IFERROR(__xludf.DUMMYFUNCTION("""COMPUTED_VALUE"""),780)</f>
        <v>#NAME?</v>
      </c>
      <c r="C781" s="100" t="e">
        <f ca="1">IFERROR(__xludf.DUMMYFUNCTION("""COMPUTED_VALUE"""),"ZRO-USD")</f>
        <v>#NAME?</v>
      </c>
      <c r="D781" s="100" t="e">
        <f ca="1">IFERROR(__xludf.DUMMYFUNCTION("""COMPUTED_VALUE"""),"2.569")</f>
        <v>#NAME?</v>
      </c>
      <c r="E781" s="100" t="e">
        <f t="shared" ca="1" si="119"/>
        <v>#NAME?</v>
      </c>
      <c r="F781" s="100" t="e">
        <f t="shared" ca="1" si="119"/>
        <v>#NAME?</v>
      </c>
      <c r="G781" s="100" t="e">
        <f t="shared" ca="1" si="120"/>
        <v>#NAME?</v>
      </c>
      <c r="H781" s="100" t="e">
        <f t="shared" ca="1" si="121"/>
        <v>#NAME?</v>
      </c>
      <c r="I781" s="100" t="e">
        <f t="shared" ca="1" si="122"/>
        <v>#NAME?</v>
      </c>
      <c r="J781" s="100" t="e">
        <f t="shared" ca="1" si="123"/>
        <v>#NAME?</v>
      </c>
      <c r="K781" s="100" t="e">
        <f t="shared" ca="1" si="124"/>
        <v>#NAME?</v>
      </c>
      <c r="L781" s="100" t="e">
        <f t="shared" ca="1" si="125"/>
        <v>#NAME?</v>
      </c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</row>
    <row r="782" spans="2:27">
      <c r="B782" s="100" t="e">
        <f ca="1">IFERROR(__xludf.DUMMYFUNCTION("""COMPUTED_VALUE"""),781)</f>
        <v>#NAME?</v>
      </c>
      <c r="C782" s="100" t="e">
        <f ca="1">IFERROR(__xludf.DUMMYFUNCTION("""COMPUTED_VALUE"""),"ZRO-USDT")</f>
        <v>#NAME?</v>
      </c>
      <c r="D782" s="100" t="e">
        <f ca="1">IFERROR(__xludf.DUMMYFUNCTION("""COMPUTED_VALUE"""),"2.482")</f>
        <v>#NAME?</v>
      </c>
      <c r="E782" s="100" t="e">
        <f t="shared" ref="E782:F792" ca="1" si="126">IFERROR(__xludf.DUMMYFUNCTION("""COMPUTED_VALUE"""),"-")</f>
        <v>#NAME?</v>
      </c>
      <c r="F782" s="100" t="e">
        <f t="shared" ca="1" si="126"/>
        <v>#NAME?</v>
      </c>
      <c r="G782" s="100" t="e">
        <f t="shared" ca="1" si="120"/>
        <v>#NAME?</v>
      </c>
      <c r="H782" s="100" t="e">
        <f t="shared" ca="1" si="121"/>
        <v>#NAME?</v>
      </c>
      <c r="I782" s="100" t="e">
        <f t="shared" ca="1" si="122"/>
        <v>#NAME?</v>
      </c>
      <c r="J782" s="100" t="e">
        <f t="shared" ca="1" si="123"/>
        <v>#NAME?</v>
      </c>
      <c r="K782" s="100" t="e">
        <f t="shared" ca="1" si="124"/>
        <v>#NAME?</v>
      </c>
      <c r="L782" s="100" t="e">
        <f t="shared" ca="1" si="125"/>
        <v>#NAME?</v>
      </c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</row>
    <row r="783" spans="2:27">
      <c r="B783" s="100" t="e">
        <f ca="1">IFERROR(__xludf.DUMMYFUNCTION("""COMPUTED_VALUE"""),11753258)</f>
        <v>#NAME?</v>
      </c>
      <c r="C783" s="100" t="e">
        <f ca="1">IFERROR(__xludf.DUMMYFUNCTION("""COMPUTED_VALUE"""),"ZRO-USDT")</f>
        <v>#NAME?</v>
      </c>
      <c r="D783" s="100" t="e">
        <f ca="1">IFERROR(__xludf.DUMMYFUNCTION("""COMPUTED_VALUE"""),"2.451")</f>
        <v>#NAME?</v>
      </c>
      <c r="E783" s="100" t="e">
        <f t="shared" ca="1" si="126"/>
        <v>#NAME?</v>
      </c>
      <c r="F783" s="100" t="e">
        <f t="shared" ca="1" si="126"/>
        <v>#NAME?</v>
      </c>
      <c r="G783" s="100" t="e">
        <f t="shared" ref="G783:G792" ca="1" si="127">IFERROR(__xludf.DUMMYFUNCTION("""COMPUTED_VALUE"""),20188)</f>
        <v>#NAME?</v>
      </c>
      <c r="H783" s="100" t="e">
        <f t="shared" ref="H783:H792" ca="1" si="128">IFERROR(__xludf.DUMMYFUNCTION("""COMPUTED_VALUE"""),2884)</f>
        <v>#NAME?</v>
      </c>
      <c r="I783" s="100" t="e">
        <f t="shared" ca="1" si="122"/>
        <v>#NAME?</v>
      </c>
      <c r="J783" s="100" t="e">
        <f ca="1">IFERROR(__xludf.DUMMYFUNCTION("""COMPUTED_VALUE"""),5814271)</f>
        <v>#NAME?</v>
      </c>
      <c r="K783" s="100" t="e">
        <f ca="1">IFERROR(__xludf.DUMMYFUNCTION("""COMPUTED_VALUE"""),"2.81")</f>
        <v>#NAME?</v>
      </c>
      <c r="L783" s="100" t="e">
        <f ca="1">IFERROR(__xludf.DUMMYFUNCTION("""COMPUTED_VALUE"""),"10.04.2025 13:35:01")</f>
        <v>#NAME?</v>
      </c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</row>
    <row r="784" spans="2:27">
      <c r="B784" s="100" t="e">
        <f ca="1">IFERROR(__xludf.DUMMYFUNCTION("""COMPUTED_VALUE"""),11752218)</f>
        <v>#NAME?</v>
      </c>
      <c r="C784" s="100" t="e">
        <f ca="1">IFERROR(__xludf.DUMMYFUNCTION("""COMPUTED_VALUE"""),"BAL-EUR")</f>
        <v>#NAME?</v>
      </c>
      <c r="D784" s="100" t="e">
        <f ca="1">IFERROR(__xludf.DUMMYFUNCTION("""COMPUTED_VALUE"""),"0.781")</f>
        <v>#NAME?</v>
      </c>
      <c r="E784" s="100" t="e">
        <f t="shared" ca="1" si="126"/>
        <v>#NAME?</v>
      </c>
      <c r="F784" s="100" t="e">
        <f t="shared" ca="1" si="126"/>
        <v>#NAME?</v>
      </c>
      <c r="G784" s="100" t="e">
        <f t="shared" ca="1" si="127"/>
        <v>#NAME?</v>
      </c>
      <c r="H784" s="100" t="e">
        <f t="shared" ca="1" si="128"/>
        <v>#NAME?</v>
      </c>
      <c r="I784" s="100" t="e">
        <f t="shared" ca="1" si="122"/>
        <v>#NAME?</v>
      </c>
      <c r="J784" s="100" t="e">
        <f ca="1">IFERROR(__xludf.DUMMYFUNCTION("""COMPUTED_VALUE"""),5814270)</f>
        <v>#NAME?</v>
      </c>
      <c r="K784" s="100" t="e">
        <f ca="1">IFERROR(__xludf.DUMMYFUNCTION("""COMPUTED_VALUE"""),"3.58")</f>
        <v>#NAME?</v>
      </c>
      <c r="L784" s="100" t="e">
        <f ca="1">IFERROR(__xludf.DUMMYFUNCTION("""COMPUTED_VALUE"""),"10.04.2025 13:30:01")</f>
        <v>#NAME?</v>
      </c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</row>
    <row r="785" spans="2:27">
      <c r="B785" s="100" t="e">
        <f ca="1">IFERROR(__xludf.DUMMYFUNCTION("""COMPUTED_VALUE"""),11752219)</f>
        <v>#NAME?</v>
      </c>
      <c r="C785" s="100" t="e">
        <f ca="1">IFERROR(__xludf.DUMMYFUNCTION("""COMPUTED_VALUE"""),"ARG-USDT")</f>
        <v>#NAME?</v>
      </c>
      <c r="D785" s="100" t="e">
        <f ca="1">IFERROR(__xludf.DUMMYFUNCTION("""COMPUTED_VALUE"""),"0.6266")</f>
        <v>#NAME?</v>
      </c>
      <c r="E785" s="100" t="e">
        <f t="shared" ca="1" si="126"/>
        <v>#NAME?</v>
      </c>
      <c r="F785" s="100" t="e">
        <f t="shared" ca="1" si="126"/>
        <v>#NAME?</v>
      </c>
      <c r="G785" s="100" t="e">
        <f t="shared" ca="1" si="127"/>
        <v>#NAME?</v>
      </c>
      <c r="H785" s="100" t="e">
        <f t="shared" ca="1" si="128"/>
        <v>#NAME?</v>
      </c>
      <c r="I785" s="100" t="e">
        <f t="shared" ca="1" si="122"/>
        <v>#NAME?</v>
      </c>
      <c r="J785" s="100" t="e">
        <f ca="1">IFERROR(__xludf.DUMMYFUNCTION("""COMPUTED_VALUE"""),5814270)</f>
        <v>#NAME?</v>
      </c>
      <c r="K785" s="100" t="e">
        <f ca="1">IFERROR(__xludf.DUMMYFUNCTION("""COMPUTED_VALUE"""),"2.20")</f>
        <v>#NAME?</v>
      </c>
      <c r="L785" s="100" t="e">
        <f ca="1">IFERROR(__xludf.DUMMYFUNCTION("""COMPUTED_VALUE"""),"10.04.2025 13:30:01")</f>
        <v>#NAME?</v>
      </c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</row>
    <row r="786" spans="2:27">
      <c r="B786" s="100" t="e">
        <f ca="1">IFERROR(__xludf.DUMMYFUNCTION("""COMPUTED_VALUE"""),11752220)</f>
        <v>#NAME?</v>
      </c>
      <c r="C786" s="100" t="e">
        <f ca="1">IFERROR(__xludf.DUMMYFUNCTION("""COMPUTED_VALUE"""),"DYDX-USD")</f>
        <v>#NAME?</v>
      </c>
      <c r="D786" s="100" t="e">
        <f ca="1">IFERROR(__xludf.DUMMYFUNCTION("""COMPUTED_VALUE"""),"0.5654")</f>
        <v>#NAME?</v>
      </c>
      <c r="E786" s="100" t="e">
        <f t="shared" ca="1" si="126"/>
        <v>#NAME?</v>
      </c>
      <c r="F786" s="100" t="e">
        <f t="shared" ca="1" si="126"/>
        <v>#NAME?</v>
      </c>
      <c r="G786" s="100" t="e">
        <f t="shared" ca="1" si="127"/>
        <v>#NAME?</v>
      </c>
      <c r="H786" s="100" t="e">
        <f t="shared" ca="1" si="128"/>
        <v>#NAME?</v>
      </c>
      <c r="I786" s="100" t="e">
        <f t="shared" ca="1" si="122"/>
        <v>#NAME?</v>
      </c>
      <c r="J786" s="100" t="e">
        <f ca="1">IFERROR(__xludf.DUMMYFUNCTION("""COMPUTED_VALUE"""),5814270)</f>
        <v>#NAME?</v>
      </c>
      <c r="K786" s="100" t="e">
        <f ca="1">IFERROR(__xludf.DUMMYFUNCTION("""COMPUTED_VALUE"""),"0.86")</f>
        <v>#NAME?</v>
      </c>
      <c r="L786" s="100" t="e">
        <f ca="1">IFERROR(__xludf.DUMMYFUNCTION("""COMPUTED_VALUE"""),"10.04.2025 13:30:01")</f>
        <v>#NAME?</v>
      </c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</row>
    <row r="787" spans="2:27">
      <c r="B787" s="100" t="e">
        <f ca="1">IFERROR(__xludf.DUMMYFUNCTION("""COMPUTED_VALUE"""),11739634)</f>
        <v>#NAME?</v>
      </c>
      <c r="C787" s="100" t="e">
        <f ca="1">IFERROR(__xludf.DUMMYFUNCTION("""COMPUTED_VALUE"""),"DIA-USD")</f>
        <v>#NAME?</v>
      </c>
      <c r="D787" s="100" t="e">
        <f ca="1">IFERROR(__xludf.DUMMYFUNCTION("""COMPUTED_VALUE"""),"0.3114")</f>
        <v>#NAME?</v>
      </c>
      <c r="E787" s="100" t="e">
        <f t="shared" ca="1" si="126"/>
        <v>#NAME?</v>
      </c>
      <c r="F787" s="100" t="e">
        <f t="shared" ca="1" si="126"/>
        <v>#NAME?</v>
      </c>
      <c r="G787" s="100" t="e">
        <f t="shared" ca="1" si="127"/>
        <v>#NAME?</v>
      </c>
      <c r="H787" s="100" t="e">
        <f t="shared" ca="1" si="128"/>
        <v>#NAME?</v>
      </c>
      <c r="I787" s="100" t="e">
        <f t="shared" ca="1" si="122"/>
        <v>#NAME?</v>
      </c>
      <c r="J787" s="100" t="e">
        <f ca="1">IFERROR(__xludf.DUMMYFUNCTION("""COMPUTED_VALUE"""),5814254)</f>
        <v>#NAME?</v>
      </c>
      <c r="K787" s="100" t="e">
        <f ca="1">IFERROR(__xludf.DUMMYFUNCTION("""COMPUTED_VALUE"""),"0.00")</f>
        <v>#NAME?</v>
      </c>
      <c r="L787" s="100" t="e">
        <f ca="1">IFERROR(__xludf.DUMMYFUNCTION("""COMPUTED_VALUE"""),"10.04.2025 12:10:01")</f>
        <v>#NAME?</v>
      </c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</row>
    <row r="788" spans="2:27">
      <c r="B788" s="100" t="e">
        <f ca="1">IFERROR(__xludf.DUMMYFUNCTION("""COMPUTED_VALUE"""),11739129)</f>
        <v>#NAME?</v>
      </c>
      <c r="C788" s="100" t="e">
        <f ca="1">IFERROR(__xludf.DUMMYFUNCTION("""COMPUTED_VALUE"""),"ZRO-USD")</f>
        <v>#NAME?</v>
      </c>
      <c r="D788" s="100" t="e">
        <f ca="1">IFERROR(__xludf.DUMMYFUNCTION("""COMPUTED_VALUE"""),"2.474")</f>
        <v>#NAME?</v>
      </c>
      <c r="E788" s="100" t="e">
        <f t="shared" ca="1" si="126"/>
        <v>#NAME?</v>
      </c>
      <c r="F788" s="100" t="e">
        <f t="shared" ca="1" si="126"/>
        <v>#NAME?</v>
      </c>
      <c r="G788" s="100" t="e">
        <f t="shared" ca="1" si="127"/>
        <v>#NAME?</v>
      </c>
      <c r="H788" s="100" t="e">
        <f t="shared" ca="1" si="128"/>
        <v>#NAME?</v>
      </c>
      <c r="I788" s="100" t="e">
        <f t="shared" ca="1" si="122"/>
        <v>#NAME?</v>
      </c>
      <c r="J788" s="100" t="e">
        <f ca="1">IFERROR(__xludf.DUMMYFUNCTION("""COMPUTED_VALUE"""),5814253)</f>
        <v>#NAME?</v>
      </c>
      <c r="K788" s="100" t="e">
        <f ca="1">IFERROR(__xludf.DUMMYFUNCTION("""COMPUTED_VALUE"""),"3.64")</f>
        <v>#NAME?</v>
      </c>
      <c r="L788" s="100" t="e">
        <f ca="1">IFERROR(__xludf.DUMMYFUNCTION("""COMPUTED_VALUE"""),"10.04.2025 12:05:01")</f>
        <v>#NAME?</v>
      </c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</row>
    <row r="789" spans="2:27">
      <c r="B789" s="100" t="e">
        <f ca="1">IFERROR(__xludf.DUMMYFUNCTION("""COMPUTED_VALUE"""),11739130)</f>
        <v>#NAME?</v>
      </c>
      <c r="C789" s="100" t="e">
        <f ca="1">IFERROR(__xludf.DUMMYFUNCTION("""COMPUTED_VALUE"""),"ZRO-USDT")</f>
        <v>#NAME?</v>
      </c>
      <c r="D789" s="100" t="e">
        <f ca="1">IFERROR(__xludf.DUMMYFUNCTION("""COMPUTED_VALUE"""),"2.438")</f>
        <v>#NAME?</v>
      </c>
      <c r="E789" s="100" t="e">
        <f t="shared" ca="1" si="126"/>
        <v>#NAME?</v>
      </c>
      <c r="F789" s="100" t="e">
        <f t="shared" ca="1" si="126"/>
        <v>#NAME?</v>
      </c>
      <c r="G789" s="100" t="e">
        <f t="shared" ca="1" si="127"/>
        <v>#NAME?</v>
      </c>
      <c r="H789" s="100" t="e">
        <f t="shared" ca="1" si="128"/>
        <v>#NAME?</v>
      </c>
      <c r="I789" s="100" t="e">
        <f t="shared" ca="1" si="122"/>
        <v>#NAME?</v>
      </c>
      <c r="J789" s="100" t="e">
        <f ca="1">IFERROR(__xludf.DUMMYFUNCTION("""COMPUTED_VALUE"""),5814253)</f>
        <v>#NAME?</v>
      </c>
      <c r="K789" s="100" t="e">
        <f ca="1">IFERROR(__xludf.DUMMYFUNCTION("""COMPUTED_VALUE"""),"1.29")</f>
        <v>#NAME?</v>
      </c>
      <c r="L789" s="100" t="e">
        <f ca="1">IFERROR(__xludf.DUMMYFUNCTION("""COMPUTED_VALUE"""),"10.04.2025 12:05:01")</f>
        <v>#NAME?</v>
      </c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</row>
    <row r="790" spans="2:27">
      <c r="B790" s="100" t="e">
        <f ca="1">IFERROR(__xludf.DUMMYFUNCTION("""COMPUTED_VALUE"""),11738340)</f>
        <v>#NAME?</v>
      </c>
      <c r="C790" s="100" t="e">
        <f ca="1">IFERROR(__xludf.DUMMYFUNCTION("""COMPUTED_VALUE"""),"GLM-USD")</f>
        <v>#NAME?</v>
      </c>
      <c r="D790" s="100" t="e">
        <f ca="1">IFERROR(__xludf.DUMMYFUNCTION("""COMPUTED_VALUE"""),"0.2451")</f>
        <v>#NAME?</v>
      </c>
      <c r="E790" s="100" t="e">
        <f t="shared" ca="1" si="126"/>
        <v>#NAME?</v>
      </c>
      <c r="F790" s="100" t="e">
        <f t="shared" ca="1" si="126"/>
        <v>#NAME?</v>
      </c>
      <c r="G790" s="100" t="e">
        <f t="shared" ca="1" si="127"/>
        <v>#NAME?</v>
      </c>
      <c r="H790" s="100" t="e">
        <f t="shared" ca="1" si="128"/>
        <v>#NAME?</v>
      </c>
      <c r="I790" s="100" t="e">
        <f t="shared" ca="1" si="122"/>
        <v>#NAME?</v>
      </c>
      <c r="J790" s="100" t="e">
        <f ca="1">IFERROR(__xludf.DUMMYFUNCTION("""COMPUTED_VALUE"""),5814252)</f>
        <v>#NAME?</v>
      </c>
      <c r="K790" s="100" t="e">
        <f ca="1">IFERROR(__xludf.DUMMYFUNCTION("""COMPUTED_VALUE"""),"1.70")</f>
        <v>#NAME?</v>
      </c>
      <c r="L790" s="100" t="e">
        <f ca="1">IFERROR(__xludf.DUMMYFUNCTION("""COMPUTED_VALUE"""),"10.04.2025 12:00:02")</f>
        <v>#NAME?</v>
      </c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</row>
    <row r="791" spans="2:27">
      <c r="B791" s="100" t="e">
        <f ca="1">IFERROR(__xludf.DUMMYFUNCTION("""COMPUTED_VALUE"""),11738341)</f>
        <v>#NAME?</v>
      </c>
      <c r="C791" s="100" t="e">
        <f ca="1">IFERROR(__xludf.DUMMYFUNCTION("""COMPUTED_VALUE"""),"ZRO-USD")</f>
        <v>#NAME?</v>
      </c>
      <c r="D791" s="100" t="e">
        <f ca="1">IFERROR(__xludf.DUMMYFUNCTION("""COMPUTED_VALUE"""),"2.474")</f>
        <v>#NAME?</v>
      </c>
      <c r="E791" s="100" t="e">
        <f t="shared" ca="1" si="126"/>
        <v>#NAME?</v>
      </c>
      <c r="F791" s="100" t="e">
        <f t="shared" ca="1" si="126"/>
        <v>#NAME?</v>
      </c>
      <c r="G791" s="100" t="e">
        <f t="shared" ca="1" si="127"/>
        <v>#NAME?</v>
      </c>
      <c r="H791" s="100" t="e">
        <f t="shared" ca="1" si="128"/>
        <v>#NAME?</v>
      </c>
      <c r="I791" s="100" t="e">
        <f t="shared" ca="1" si="122"/>
        <v>#NAME?</v>
      </c>
      <c r="J791" s="100" t="e">
        <f ca="1">IFERROR(__xludf.DUMMYFUNCTION("""COMPUTED_VALUE"""),5814252)</f>
        <v>#NAME?</v>
      </c>
      <c r="K791" s="100" t="e">
        <f ca="1">IFERROR(__xludf.DUMMYFUNCTION("""COMPUTED_VALUE"""),"3.64")</f>
        <v>#NAME?</v>
      </c>
      <c r="L791" s="100" t="e">
        <f ca="1">IFERROR(__xludf.DUMMYFUNCTION("""COMPUTED_VALUE"""),"10.04.2025 12:00:02")</f>
        <v>#NAME?</v>
      </c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</row>
    <row r="792" spans="2:27">
      <c r="B792" s="100" t="e">
        <f ca="1">IFERROR(__xludf.DUMMYFUNCTION("""COMPUTED_VALUE"""),11738342)</f>
        <v>#NAME?</v>
      </c>
      <c r="C792" s="100" t="e">
        <f ca="1">IFERROR(__xludf.DUMMYFUNCTION("""COMPUTED_VALUE"""),"ZRO-USDT")</f>
        <v>#NAME?</v>
      </c>
      <c r="D792" s="100" t="e">
        <f ca="1">IFERROR(__xludf.DUMMYFUNCTION("""COMPUTED_VALUE"""),"2.452")</f>
        <v>#NAME?</v>
      </c>
      <c r="E792" s="100" t="e">
        <f t="shared" ca="1" si="126"/>
        <v>#NAME?</v>
      </c>
      <c r="F792" s="100" t="e">
        <f t="shared" ca="1" si="126"/>
        <v>#NAME?</v>
      </c>
      <c r="G792" s="100" t="e">
        <f t="shared" ca="1" si="127"/>
        <v>#NAME?</v>
      </c>
      <c r="H792" s="100" t="e">
        <f t="shared" ca="1" si="128"/>
        <v>#NAME?</v>
      </c>
      <c r="I792" s="100" t="e">
        <f t="shared" ca="1" si="122"/>
        <v>#NAME?</v>
      </c>
      <c r="J792" s="100" t="e">
        <f ca="1">IFERROR(__xludf.DUMMYFUNCTION("""COMPUTED_VALUE"""),5814252)</f>
        <v>#NAME?</v>
      </c>
      <c r="K792" s="100" t="e">
        <f ca="1">IFERROR(__xludf.DUMMYFUNCTION("""COMPUTED_VALUE"""),"1.62")</f>
        <v>#NAME?</v>
      </c>
      <c r="L792" s="100" t="e">
        <f ca="1">IFERROR(__xludf.DUMMYFUNCTION("""COMPUTED_VALUE"""),"10.04.2025 12:00:02")</f>
        <v>#NAME?</v>
      </c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</row>
    <row r="793" spans="2:27"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</row>
    <row r="794" spans="2:27"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</row>
    <row r="795" spans="2:27"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</row>
    <row r="796" spans="2:27"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</row>
    <row r="797" spans="2:27"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</row>
    <row r="798" spans="2:27"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</row>
    <row r="799" spans="2:27"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</row>
    <row r="800" spans="2:27"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</row>
    <row r="801" spans="2:27"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</row>
    <row r="802" spans="2:27"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</row>
    <row r="803" spans="2:27"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</row>
    <row r="804" spans="2:27"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</row>
    <row r="805" spans="2:27"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</row>
    <row r="806" spans="2:27"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</row>
    <row r="807" spans="2:27"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</row>
    <row r="808" spans="2:27"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</row>
    <row r="809" spans="2:27"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</row>
    <row r="810" spans="2:27"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</row>
    <row r="811" spans="2:27"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</row>
    <row r="812" spans="2:27"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</row>
    <row r="813" spans="2:27"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</row>
    <row r="814" spans="2:27"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</row>
    <row r="815" spans="2:27"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</row>
    <row r="816" spans="2:27"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</row>
    <row r="817" spans="2:27"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</row>
    <row r="818" spans="2:27"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</row>
    <row r="819" spans="2:27"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</row>
    <row r="820" spans="2:27"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</row>
    <row r="821" spans="2:27"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</row>
    <row r="822" spans="2:27"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</row>
    <row r="823" spans="2:27"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</row>
    <row r="824" spans="2:27"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</row>
    <row r="825" spans="2:27"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</row>
    <row r="826" spans="2:27"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</row>
    <row r="827" spans="2:27"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</row>
    <row r="828" spans="2:27"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</row>
    <row r="829" spans="2:27"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</row>
    <row r="830" spans="2:27"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</row>
    <row r="831" spans="2:27"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</row>
    <row r="832" spans="2:27"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</row>
    <row r="833" spans="2:27"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</row>
    <row r="834" spans="2:27"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</row>
    <row r="835" spans="2:27"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</row>
    <row r="836" spans="2:27"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</row>
    <row r="837" spans="2:27"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</row>
    <row r="838" spans="2:27"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</row>
    <row r="839" spans="2:27"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</row>
    <row r="840" spans="2:27"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</row>
    <row r="841" spans="2:27"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</row>
    <row r="842" spans="2:27"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</row>
    <row r="843" spans="2:27"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</row>
    <row r="844" spans="2:27"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</row>
    <row r="845" spans="2:27"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</row>
    <row r="846" spans="2:27"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</row>
    <row r="847" spans="2:27"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</row>
    <row r="848" spans="2:27"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</row>
    <row r="849" spans="2:27"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</row>
    <row r="850" spans="2:27"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</row>
    <row r="851" spans="2:27"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</row>
    <row r="852" spans="2:27"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</row>
    <row r="853" spans="2:27"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</row>
    <row r="854" spans="2:27"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</row>
    <row r="855" spans="2:27"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</row>
    <row r="856" spans="2:27"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</row>
    <row r="857" spans="2:27"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</row>
    <row r="858" spans="2:27"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</row>
    <row r="859" spans="2:27"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</row>
    <row r="860" spans="2:27"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</row>
    <row r="861" spans="2:27"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</row>
    <row r="862" spans="2:27"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</row>
    <row r="863" spans="2:27"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</row>
    <row r="864" spans="2:27"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</row>
    <row r="865" spans="2:27"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</row>
    <row r="866" spans="2:27"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</row>
    <row r="867" spans="2:27"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</row>
    <row r="868" spans="2:27"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</row>
    <row r="869" spans="2:27"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</row>
    <row r="870" spans="2:27"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</row>
    <row r="871" spans="2:27"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</row>
    <row r="872" spans="2:27"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</row>
    <row r="873" spans="2:27"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</row>
    <row r="874" spans="2:27"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</row>
    <row r="875" spans="2:27"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</row>
    <row r="876" spans="2:27"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</row>
    <row r="877" spans="2:27"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</row>
    <row r="878" spans="2:27"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</row>
    <row r="879" spans="2:27"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</row>
    <row r="880" spans="2:27"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</row>
    <row r="881" spans="2:27"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</row>
    <row r="882" spans="2:27"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</row>
    <row r="883" spans="2:27"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</row>
    <row r="884" spans="2:27"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</row>
    <row r="885" spans="2:27"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</row>
    <row r="886" spans="2:27"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</row>
    <row r="887" spans="2:27"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</row>
    <row r="888" spans="2:27"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</row>
    <row r="889" spans="2:27"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</row>
    <row r="890" spans="2:27"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</row>
    <row r="891" spans="2:27"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</row>
    <row r="892" spans="2:27"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</row>
    <row r="893" spans="2:27"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</row>
    <row r="894" spans="2:27"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</row>
    <row r="895" spans="2:27"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</row>
    <row r="896" spans="2:27"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</row>
    <row r="897" spans="2:27"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</row>
    <row r="898" spans="2:27"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</row>
    <row r="899" spans="2:27"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</row>
    <row r="900" spans="2:27"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</row>
    <row r="901" spans="2:27"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</row>
    <row r="902" spans="2:27"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</row>
    <row r="903" spans="2:27"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</row>
    <row r="904" spans="2:27"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</row>
    <row r="905" spans="2:27"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</row>
    <row r="906" spans="2:27"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</row>
    <row r="907" spans="2:27"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</row>
    <row r="908" spans="2:27"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</row>
    <row r="909" spans="2:27"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</row>
    <row r="910" spans="2:27"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</row>
    <row r="911" spans="2:27"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</row>
    <row r="912" spans="2:27"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</row>
    <row r="913" spans="2:27"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</row>
    <row r="914" spans="2:27"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</row>
    <row r="915" spans="2:27"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</row>
    <row r="916" spans="2:27"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</row>
    <row r="917" spans="2:27"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</row>
    <row r="918" spans="2:27"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</row>
    <row r="919" spans="2:27"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</row>
    <row r="920" spans="2:27"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</row>
    <row r="921" spans="2:27"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</row>
    <row r="922" spans="2:27"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</row>
    <row r="923" spans="2:27"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</row>
    <row r="924" spans="2:27"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</row>
    <row r="925" spans="2:27"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</row>
    <row r="926" spans="2:27"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</row>
    <row r="927" spans="2:27"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</row>
    <row r="928" spans="2:27"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</row>
    <row r="929" spans="2:27"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</row>
    <row r="930" spans="2:27"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</row>
    <row r="931" spans="2:27"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</row>
    <row r="932" spans="2:27"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</row>
    <row r="933" spans="2:27"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</row>
    <row r="934" spans="2:27"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</row>
    <row r="935" spans="2:27"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</row>
    <row r="936" spans="2:27"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</row>
    <row r="937" spans="2:27"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</row>
    <row r="938" spans="2:27"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</row>
    <row r="939" spans="2:27"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</row>
    <row r="940" spans="2:27"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</row>
    <row r="941" spans="2:27"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</row>
    <row r="942" spans="2:27"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</row>
    <row r="943" spans="2:27"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</row>
    <row r="944" spans="2:27"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</row>
    <row r="945" spans="2:27"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</row>
    <row r="946" spans="2:27"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</row>
    <row r="947" spans="2:27"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</row>
    <row r="948" spans="2:27"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</row>
    <row r="949" spans="2:27"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</row>
    <row r="950" spans="2:27"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</row>
    <row r="951" spans="2:27"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</row>
    <row r="952" spans="2:27"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</row>
    <row r="953" spans="2:27"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</row>
    <row r="954" spans="2:27"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</row>
    <row r="955" spans="2:27"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</row>
    <row r="956" spans="2:27"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</row>
    <row r="957" spans="2:27"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</row>
    <row r="958" spans="2:27"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</row>
    <row r="959" spans="2:27"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</row>
    <row r="960" spans="2:27"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</row>
    <row r="961" spans="2:27"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</row>
    <row r="962" spans="2:27"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</row>
    <row r="963" spans="2:27"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</row>
    <row r="964" spans="2:27"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</row>
    <row r="965" spans="2:27"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</row>
    <row r="966" spans="2:27"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</row>
    <row r="967" spans="2:27"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</row>
    <row r="968" spans="2:27"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</row>
    <row r="969" spans="2:27"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</row>
    <row r="970" spans="2:27"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</row>
    <row r="971" spans="2:27"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</row>
    <row r="972" spans="2:27"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</row>
    <row r="973" spans="2:27"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</row>
    <row r="974" spans="2:27"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</row>
    <row r="975" spans="2:27"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</row>
    <row r="976" spans="2:27"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</row>
    <row r="977" spans="2:27"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</row>
    <row r="978" spans="2:27"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</row>
    <row r="979" spans="2:27"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</row>
    <row r="980" spans="2:27"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</row>
    <row r="981" spans="2:27"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</row>
    <row r="982" spans="2:27"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</row>
    <row r="983" spans="2:27"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</row>
    <row r="984" spans="2:27"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</row>
    <row r="985" spans="2:27"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</row>
    <row r="986" spans="2:27"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</row>
    <row r="987" spans="2:27"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</row>
    <row r="988" spans="2:27"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</row>
    <row r="989" spans="2:27"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</row>
    <row r="990" spans="2:27"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</row>
    <row r="991" spans="2:27"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</row>
    <row r="992" spans="2:27"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</row>
    <row r="993" spans="2:27"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  <c r="AA993" s="100"/>
    </row>
    <row r="994" spans="2:27">
      <c r="B994" s="100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  <c r="AA994" s="100"/>
    </row>
    <row r="995" spans="2:27">
      <c r="B995" s="100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  <c r="AA995" s="100"/>
    </row>
    <row r="996" spans="2:27">
      <c r="B996" s="100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  <c r="AA996" s="100"/>
    </row>
    <row r="997" spans="2:27">
      <c r="B997" s="100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  <c r="AA997" s="100"/>
    </row>
    <row r="998" spans="2:27">
      <c r="B998" s="100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  <c r="AA998" s="100"/>
    </row>
    <row r="999" spans="2:27">
      <c r="B999" s="100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  <c r="AA999" s="100"/>
    </row>
    <row r="1000" spans="2:27">
      <c r="B1000" s="100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  <c r="AA1000" s="100"/>
    </row>
    <row r="1001" spans="2:27"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</row>
    <row r="1002" spans="2:27">
      <c r="B1002" s="100"/>
      <c r="C1002" s="1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  <c r="AA1002" s="100"/>
    </row>
    <row r="1003" spans="2:27">
      <c r="B1003" s="100"/>
      <c r="C1003" s="1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  <c r="AA1003" s="100"/>
    </row>
    <row r="1004" spans="2:27">
      <c r="B1004" s="100"/>
      <c r="C1004" s="1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  <c r="AA1004" s="100"/>
    </row>
    <row r="1005" spans="2:27">
      <c r="B1005" s="100"/>
      <c r="C1005" s="1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  <c r="AA1005" s="100"/>
    </row>
    <row r="1006" spans="2:27">
      <c r="B1006" s="100"/>
      <c r="C1006" s="1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  <c r="AA1006" s="100"/>
    </row>
    <row r="1007" spans="2:27">
      <c r="B1007" s="100"/>
      <c r="C1007" s="1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  <c r="AA1007" s="100"/>
    </row>
    <row r="1008" spans="2:27">
      <c r="B1008" s="100"/>
      <c r="C1008" s="1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  <c r="AA1008" s="100"/>
    </row>
    <row r="1009" spans="2:27">
      <c r="B1009" s="100"/>
      <c r="C1009" s="1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  <c r="AA1009" s="100"/>
    </row>
    <row r="1010" spans="2:27">
      <c r="B1010" s="100"/>
      <c r="C1010" s="1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  <c r="AA1010" s="100"/>
    </row>
    <row r="1011" spans="2:27">
      <c r="B1011" s="100"/>
      <c r="C1011" s="1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  <c r="AA1011" s="100"/>
    </row>
    <row r="1012" spans="2:27">
      <c r="B1012" s="100"/>
      <c r="C1012" s="1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  <c r="AA1012" s="100"/>
    </row>
    <row r="1013" spans="2:27">
      <c r="B1013" s="100"/>
      <c r="C1013" s="1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  <c r="AA1013" s="100"/>
    </row>
    <row r="1014" spans="2:27">
      <c r="B1014" s="100"/>
      <c r="C1014" s="1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  <c r="AA1014" s="100"/>
    </row>
    <row r="1015" spans="2:27">
      <c r="B1015" s="100"/>
      <c r="C1015" s="1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  <c r="AA1015" s="100"/>
    </row>
    <row r="1016" spans="2:27">
      <c r="B1016" s="100"/>
      <c r="C1016" s="1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  <c r="AA1016" s="100"/>
    </row>
    <row r="1017" spans="2:27">
      <c r="B1017" s="100"/>
      <c r="C1017" s="1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  <c r="AA1017" s="100"/>
    </row>
    <row r="1018" spans="2:27">
      <c r="B1018" s="100"/>
      <c r="C1018" s="1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  <c r="AA1018" s="100"/>
    </row>
    <row r="1019" spans="2:27">
      <c r="B1019" s="100"/>
      <c r="C1019" s="1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  <c r="AA1019" s="100"/>
    </row>
    <row r="1020" spans="2:27">
      <c r="B1020" s="100"/>
      <c r="C1020" s="1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  <c r="AA1020" s="100"/>
    </row>
    <row r="1021" spans="2:27">
      <c r="B1021" s="100"/>
      <c r="C1021" s="1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  <c r="AA1021" s="100"/>
    </row>
    <row r="1022" spans="2:27">
      <c r="B1022" s="100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  <c r="AA1022" s="100"/>
    </row>
    <row r="1023" spans="2:27">
      <c r="B1023" s="10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  <c r="AA1023" s="100"/>
    </row>
    <row r="1024" spans="2:27">
      <c r="B1024" s="10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  <c r="AA1024" s="100"/>
    </row>
    <row r="1025" spans="2:27">
      <c r="B1025" s="10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  <c r="AA1025" s="100"/>
    </row>
    <row r="1026" spans="2:27">
      <c r="B1026" s="10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  <c r="AA1026" s="100"/>
    </row>
    <row r="1027" spans="2:27">
      <c r="B1027" s="100"/>
      <c r="C1027" s="1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  <c r="AA1027" s="100"/>
    </row>
    <row r="1028" spans="2:27">
      <c r="B1028" s="100"/>
      <c r="C1028" s="1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  <c r="AA1028" s="100"/>
    </row>
    <row r="1029" spans="2:27">
      <c r="B1029" s="100"/>
      <c r="C1029" s="1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  <c r="AA1029" s="100"/>
    </row>
    <row r="1030" spans="2:27">
      <c r="B1030" s="100"/>
      <c r="C1030" s="1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  <c r="AA1030" s="100"/>
    </row>
    <row r="1031" spans="2:27">
      <c r="B1031" s="100"/>
      <c r="C1031" s="1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  <c r="AA1031" s="100"/>
    </row>
    <row r="1032" spans="2:27">
      <c r="B1032" s="100"/>
      <c r="C1032" s="1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  <c r="AA1032" s="100"/>
    </row>
    <row r="1033" spans="2:27">
      <c r="B1033" s="100"/>
      <c r="C1033" s="1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  <c r="AA1033" s="100"/>
    </row>
    <row r="1034" spans="2:27">
      <c r="B1034" s="100"/>
      <c r="C1034" s="1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  <c r="AA1034" s="100"/>
    </row>
    <row r="1035" spans="2:27">
      <c r="B1035" s="100"/>
      <c r="C1035" s="1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  <c r="AA1035" s="100"/>
    </row>
    <row r="1036" spans="2:27">
      <c r="B1036" s="100"/>
      <c r="C1036" s="1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  <c r="AA1036" s="100"/>
    </row>
    <row r="1037" spans="2:27">
      <c r="B1037" s="100"/>
      <c r="C1037" s="1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  <c r="AA1037" s="100"/>
    </row>
    <row r="1038" spans="2:27">
      <c r="B1038" s="100"/>
      <c r="C1038" s="1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  <c r="AA1038" s="100"/>
    </row>
    <row r="1039" spans="2:27">
      <c r="B1039" s="100"/>
      <c r="C1039" s="1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  <c r="AA1039" s="100"/>
    </row>
    <row r="1040" spans="2:27">
      <c r="B1040" s="100"/>
      <c r="C1040" s="1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  <c r="AA1040" s="100"/>
    </row>
    <row r="1041" spans="2:27">
      <c r="B1041" s="100"/>
      <c r="C1041" s="1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  <c r="AA1041" s="100"/>
    </row>
    <row r="1042" spans="2:27">
      <c r="B1042" s="100"/>
      <c r="C1042" s="1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  <c r="AA1042" s="100"/>
    </row>
    <row r="1043" spans="2:27">
      <c r="B1043" s="100"/>
      <c r="C1043" s="1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  <c r="AA1043" s="100"/>
    </row>
    <row r="1044" spans="2:27">
      <c r="B1044" s="100"/>
      <c r="C1044" s="1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  <c r="AA1044" s="100"/>
    </row>
    <row r="1045" spans="2:27">
      <c r="B1045" s="100"/>
      <c r="C1045" s="1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  <c r="AA1045" s="100"/>
    </row>
    <row r="1046" spans="2:27">
      <c r="B1046" s="100"/>
      <c r="C1046" s="1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  <c r="AA1046" s="100"/>
    </row>
    <row r="1047" spans="2:27">
      <c r="B1047" s="100"/>
      <c r="C1047" s="1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  <c r="AA1047" s="100"/>
    </row>
    <row r="1048" spans="2:27">
      <c r="B1048" s="100"/>
      <c r="C1048" s="1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  <c r="AA1048" s="100"/>
    </row>
    <row r="1049" spans="2:27">
      <c r="B1049" s="100"/>
      <c r="C1049" s="1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  <c r="AA1049" s="100"/>
    </row>
    <row r="1050" spans="2:27">
      <c r="B1050" s="100"/>
      <c r="C1050" s="1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  <c r="AA1050" s="100"/>
    </row>
    <row r="1051" spans="2:27">
      <c r="B1051" s="100"/>
      <c r="C1051" s="1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  <c r="AA1051" s="100"/>
    </row>
    <row r="1052" spans="2:27">
      <c r="B1052" s="100"/>
      <c r="C1052" s="1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  <c r="AA1052" s="100"/>
    </row>
    <row r="1053" spans="2:27">
      <c r="B1053" s="100"/>
      <c r="C1053" s="1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  <c r="AA1053" s="100"/>
    </row>
    <row r="1054" spans="2:27">
      <c r="B1054" s="100"/>
      <c r="C1054" s="1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  <c r="AA1054" s="100"/>
    </row>
    <row r="1055" spans="2:27">
      <c r="B1055" s="100"/>
      <c r="C1055" s="1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  <c r="AA1055" s="100"/>
    </row>
    <row r="1056" spans="2:27">
      <c r="B1056" s="100"/>
      <c r="C1056" s="1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  <c r="AA1056" s="100"/>
    </row>
    <row r="1057" spans="2:27">
      <c r="B1057" s="100"/>
      <c r="C1057" s="1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  <c r="AA1057" s="100"/>
    </row>
    <row r="1058" spans="2:27">
      <c r="B1058" s="100"/>
      <c r="C1058" s="1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  <c r="AA1058" s="100"/>
    </row>
    <row r="1059" spans="2:27">
      <c r="B1059" s="100"/>
      <c r="C1059" s="1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  <c r="AA1059" s="100"/>
    </row>
    <row r="1060" spans="2:27">
      <c r="B1060" s="100"/>
      <c r="C1060" s="1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  <c r="AA1060" s="100"/>
    </row>
    <row r="1061" spans="2:27">
      <c r="B1061" s="100"/>
      <c r="C1061" s="1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  <c r="AA1061" s="100"/>
    </row>
    <row r="1062" spans="2:27">
      <c r="B1062" s="100"/>
      <c r="C1062" s="1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  <c r="AA1062" s="100"/>
    </row>
    <row r="1063" spans="2:27">
      <c r="B1063" s="100"/>
      <c r="C1063" s="1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  <c r="AA1063" s="100"/>
    </row>
    <row r="1064" spans="2:27">
      <c r="B1064" s="100"/>
      <c r="C1064" s="1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  <c r="AA1064" s="100"/>
    </row>
    <row r="1065" spans="2:27">
      <c r="B1065" s="100"/>
      <c r="C1065" s="1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  <c r="AA1065" s="100"/>
    </row>
    <row r="1066" spans="2:27">
      <c r="B1066" s="100"/>
      <c r="C1066" s="1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  <c r="AA1066" s="100"/>
    </row>
    <row r="1067" spans="2:27">
      <c r="B1067" s="100"/>
      <c r="C1067" s="1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  <c r="AA1067" s="100"/>
    </row>
    <row r="1068" spans="2:27">
      <c r="B1068" s="100"/>
      <c r="C1068" s="1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  <c r="AA1068" s="100"/>
    </row>
    <row r="1069" spans="2:27">
      <c r="B1069" s="100"/>
      <c r="C1069" s="1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  <c r="AA1069" s="100"/>
    </row>
    <row r="1070" spans="2:27">
      <c r="B1070" s="100"/>
      <c r="C1070" s="1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  <c r="AA1070" s="100"/>
    </row>
    <row r="1071" spans="2:27">
      <c r="B1071" s="100"/>
      <c r="C1071" s="1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  <c r="AA1071" s="100"/>
    </row>
    <row r="1072" spans="2:27">
      <c r="B1072" s="100"/>
      <c r="C1072" s="1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  <c r="AA1072" s="100"/>
    </row>
    <row r="1073" spans="2:27">
      <c r="B1073" s="100"/>
      <c r="C1073" s="1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  <c r="AA1073" s="100"/>
    </row>
    <row r="1074" spans="2:27">
      <c r="B1074" s="100"/>
      <c r="C1074" s="1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  <c r="AA1074" s="100"/>
    </row>
    <row r="1075" spans="2:27">
      <c r="B1075" s="100"/>
      <c r="C1075" s="1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  <c r="AA1075" s="100"/>
    </row>
    <row r="1076" spans="2:27">
      <c r="B1076" s="100"/>
      <c r="C1076" s="1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  <c r="AA1076" s="100"/>
    </row>
    <row r="1077" spans="2:27">
      <c r="B1077" s="100"/>
      <c r="C1077" s="1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  <c r="AA1077" s="100"/>
    </row>
    <row r="1078" spans="2:27">
      <c r="B1078" s="100"/>
      <c r="C1078" s="1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  <c r="AA1078" s="100"/>
    </row>
    <row r="1079" spans="2:27">
      <c r="B1079" s="100"/>
      <c r="C1079" s="1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  <c r="AA1079" s="100"/>
    </row>
    <row r="1080" spans="2:27">
      <c r="B1080" s="100"/>
      <c r="C1080" s="1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  <c r="AA1080" s="100"/>
    </row>
    <row r="1081" spans="2:27">
      <c r="B1081" s="100"/>
      <c r="C1081" s="1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  <c r="AA1081" s="100"/>
    </row>
    <row r="1082" spans="2:27">
      <c r="B1082" s="100"/>
      <c r="C1082" s="1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  <c r="AA1082" s="100"/>
    </row>
    <row r="1083" spans="2:27">
      <c r="B1083" s="100"/>
      <c r="C1083" s="1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  <c r="AA1083" s="100"/>
    </row>
    <row r="1084" spans="2:27">
      <c r="B1084" s="100"/>
      <c r="C1084" s="1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  <c r="AA1084" s="100"/>
    </row>
    <row r="1085" spans="2:27">
      <c r="B1085" s="100"/>
      <c r="C1085" s="1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  <c r="AA1085" s="100"/>
    </row>
    <row r="1086" spans="2:27">
      <c r="B1086" s="100"/>
      <c r="C1086" s="1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  <c r="AA1086" s="100"/>
    </row>
    <row r="1087" spans="2:27">
      <c r="B1087" s="100"/>
      <c r="C1087" s="1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  <c r="AA1087" s="100"/>
    </row>
    <row r="1088" spans="2:27">
      <c r="B1088" s="100"/>
      <c r="C1088" s="1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  <c r="AA1088" s="100"/>
    </row>
    <row r="1089" spans="2:27">
      <c r="B1089" s="100"/>
      <c r="C1089" s="1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  <c r="AA1089" s="100"/>
    </row>
    <row r="1090" spans="2:27">
      <c r="B1090" s="100"/>
      <c r="C1090" s="1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  <c r="AA1090" s="100"/>
    </row>
    <row r="1091" spans="2:27">
      <c r="B1091" s="100"/>
      <c r="C1091" s="1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  <c r="AA1091" s="100"/>
    </row>
    <row r="1092" spans="2:27">
      <c r="B1092" s="100"/>
      <c r="C1092" s="1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  <c r="AA1092" s="100"/>
    </row>
    <row r="1093" spans="2:27">
      <c r="B1093" s="100"/>
      <c r="C1093" s="1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  <c r="AA1093" s="100"/>
    </row>
    <row r="1094" spans="2:27">
      <c r="B1094" s="100"/>
      <c r="C1094" s="1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  <c r="AA1094" s="100"/>
    </row>
    <row r="1095" spans="2:27">
      <c r="B1095" s="100"/>
      <c r="C1095" s="1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  <c r="AA1095" s="100"/>
    </row>
    <row r="1096" spans="2:27">
      <c r="B1096" s="100"/>
      <c r="C1096" s="1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  <c r="AA1096" s="100"/>
    </row>
    <row r="1097" spans="2:27">
      <c r="B1097" s="100"/>
      <c r="C1097" s="1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  <c r="AA1097" s="100"/>
    </row>
    <row r="1098" spans="2:27">
      <c r="B1098" s="100"/>
      <c r="C1098" s="1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  <c r="AA1098" s="100"/>
    </row>
    <row r="1099" spans="2:27">
      <c r="B1099" s="100"/>
      <c r="C1099" s="1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  <c r="AA1099" s="100"/>
    </row>
    <row r="1100" spans="2:27">
      <c r="B1100" s="100"/>
      <c r="C1100" s="1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  <c r="AA1100" s="100"/>
    </row>
    <row r="1101" spans="2:27">
      <c r="B1101" s="100"/>
      <c r="C1101" s="1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  <c r="AA1101" s="100"/>
    </row>
    <row r="1102" spans="2:27">
      <c r="B1102" s="100"/>
      <c r="C1102" s="1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  <c r="AA1102" s="100"/>
    </row>
    <row r="1103" spans="2:27">
      <c r="B1103" s="100"/>
      <c r="C1103" s="1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  <c r="AA1103" s="100"/>
    </row>
    <row r="1104" spans="2:27">
      <c r="B1104" s="100"/>
      <c r="C1104" s="1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  <c r="AA1104" s="100"/>
    </row>
    <row r="1105" spans="2:27">
      <c r="B1105" s="100"/>
      <c r="C1105" s="1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  <c r="AA1105" s="100"/>
    </row>
    <row r="1106" spans="2:27">
      <c r="B1106" s="100"/>
      <c r="C1106" s="1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  <c r="AA1106" s="100"/>
    </row>
    <row r="1107" spans="2:27">
      <c r="B1107" s="100"/>
      <c r="C1107" s="1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  <c r="AA1107" s="100"/>
    </row>
    <row r="1108" spans="2:27">
      <c r="B1108" s="100"/>
      <c r="C1108" s="1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  <c r="AA1108" s="100"/>
    </row>
    <row r="1109" spans="2:27">
      <c r="B1109" s="100"/>
      <c r="C1109" s="1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  <c r="AA1109" s="100"/>
    </row>
    <row r="1110" spans="2:27">
      <c r="B1110" s="100"/>
      <c r="C1110" s="1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  <c r="AA1110" s="100"/>
    </row>
    <row r="1111" spans="2:27">
      <c r="B1111" s="100"/>
      <c r="C1111" s="1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  <c r="AA1111" s="100"/>
    </row>
    <row r="1112" spans="2:27">
      <c r="B1112" s="100"/>
      <c r="C1112" s="1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  <c r="AA1112" s="100"/>
    </row>
    <row r="1113" spans="2:27">
      <c r="B1113" s="100"/>
      <c r="C1113" s="1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  <c r="AA1113" s="100"/>
    </row>
    <row r="1114" spans="2:27">
      <c r="B1114" s="100"/>
      <c r="C1114" s="1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  <c r="AA1114" s="100"/>
    </row>
    <row r="1115" spans="2:27">
      <c r="B1115" s="100"/>
      <c r="C1115" s="1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  <c r="AA1115" s="100"/>
    </row>
    <row r="1116" spans="2:27">
      <c r="B1116" s="100"/>
      <c r="C1116" s="1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  <c r="AA1116" s="100"/>
    </row>
    <row r="1117" spans="2:27">
      <c r="B1117" s="100"/>
      <c r="C1117" s="1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  <c r="AA1117" s="100"/>
    </row>
    <row r="1118" spans="2:27">
      <c r="B1118" s="100"/>
      <c r="C1118" s="1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  <c r="AA1118" s="100"/>
    </row>
    <row r="1119" spans="2:27">
      <c r="B1119" s="100"/>
      <c r="C1119" s="1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  <c r="AA1119" s="100"/>
    </row>
    <row r="1120" spans="2:27">
      <c r="B1120" s="100"/>
      <c r="C1120" s="1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  <c r="AA1120" s="100"/>
    </row>
    <row r="1121" spans="2:27">
      <c r="B1121" s="100"/>
      <c r="C1121" s="1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  <c r="AA1121" s="100"/>
    </row>
    <row r="1122" spans="2:27">
      <c r="B1122" s="100"/>
      <c r="C1122" s="1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  <c r="AA1122" s="100"/>
    </row>
    <row r="1123" spans="2:27">
      <c r="B1123" s="100"/>
      <c r="C1123" s="1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  <c r="AA1123" s="100"/>
    </row>
    <row r="1124" spans="2:27">
      <c r="B1124" s="100"/>
      <c r="C1124" s="1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  <c r="AA1124" s="100"/>
    </row>
    <row r="1125" spans="2:27">
      <c r="B1125" s="100"/>
      <c r="C1125" s="1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  <c r="AA1125" s="100"/>
    </row>
    <row r="1126" spans="2:27">
      <c r="B1126" s="100"/>
      <c r="C1126" s="1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  <c r="AA1126" s="100"/>
    </row>
    <row r="1127" spans="2:27">
      <c r="B1127" s="100"/>
      <c r="C1127" s="1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  <c r="AA1127" s="100"/>
    </row>
    <row r="1128" spans="2:27">
      <c r="B1128" s="100"/>
      <c r="C1128" s="1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  <c r="AA1128" s="100"/>
    </row>
    <row r="1129" spans="2:27">
      <c r="B1129" s="100"/>
      <c r="C1129" s="1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  <c r="AA1129" s="100"/>
    </row>
    <row r="1130" spans="2:27">
      <c r="B1130" s="100"/>
      <c r="C1130" s="1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  <c r="AA1130" s="100"/>
    </row>
    <row r="1131" spans="2:27">
      <c r="B1131" s="100"/>
      <c r="C1131" s="1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  <c r="AA1131" s="100"/>
    </row>
    <row r="1132" spans="2:27">
      <c r="B1132" s="100"/>
      <c r="C1132" s="1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  <c r="AA1132" s="100"/>
    </row>
    <row r="1133" spans="2:27">
      <c r="B1133" s="100"/>
      <c r="C1133" s="1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  <c r="AA1133" s="100"/>
    </row>
    <row r="1134" spans="2:27">
      <c r="B1134" s="100"/>
      <c r="C1134" s="1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  <c r="AA1134" s="100"/>
    </row>
    <row r="1135" spans="2:27">
      <c r="B1135" s="100"/>
      <c r="C1135" s="1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  <c r="AA1135" s="100"/>
    </row>
    <row r="1136" spans="2:27">
      <c r="B1136" s="100"/>
      <c r="C1136" s="1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  <c r="AA1136" s="100"/>
    </row>
    <row r="1137" spans="2:27">
      <c r="B1137" s="100"/>
      <c r="C1137" s="1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  <c r="AA1137" s="100"/>
    </row>
    <row r="1138" spans="2:27">
      <c r="B1138" s="100"/>
      <c r="C1138" s="1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  <c r="AA1138" s="100"/>
    </row>
    <row r="1139" spans="2:27">
      <c r="B1139" s="100"/>
      <c r="C1139" s="1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  <c r="AA1139" s="100"/>
    </row>
    <row r="1140" spans="2:27">
      <c r="B1140" s="100"/>
      <c r="C1140" s="1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  <c r="AA1140" s="100"/>
    </row>
    <row r="1141" spans="2:27">
      <c r="B1141" s="100"/>
      <c r="C1141" s="1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  <c r="AA1141" s="100"/>
    </row>
    <row r="1142" spans="2:27">
      <c r="B1142" s="100"/>
      <c r="C1142" s="1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  <c r="AA1142" s="100"/>
    </row>
    <row r="1143" spans="2:27">
      <c r="B1143" s="100"/>
      <c r="C1143" s="1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  <c r="AA1143" s="100"/>
    </row>
    <row r="1144" spans="2:27">
      <c r="B1144" s="100"/>
      <c r="C1144" s="1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  <c r="AA1144" s="100"/>
    </row>
    <row r="1145" spans="2:27">
      <c r="B1145" s="100"/>
      <c r="C1145" s="1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  <c r="AA1145" s="100"/>
    </row>
    <row r="1146" spans="2:27">
      <c r="B1146" s="100"/>
      <c r="C1146" s="1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  <c r="AA1146" s="100"/>
    </row>
    <row r="1147" spans="2:27">
      <c r="B1147" s="100"/>
      <c r="C1147" s="1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  <c r="AA1147" s="100"/>
    </row>
    <row r="1148" spans="2:27">
      <c r="B1148" s="100"/>
      <c r="C1148" s="1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  <c r="AA1148" s="100"/>
    </row>
    <row r="1149" spans="2:27">
      <c r="B1149" s="100"/>
      <c r="C1149" s="1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  <c r="AA1149" s="100"/>
    </row>
    <row r="1150" spans="2:27">
      <c r="B1150" s="100"/>
      <c r="C1150" s="1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  <c r="AA1150" s="100"/>
    </row>
    <row r="1151" spans="2:27">
      <c r="B1151" s="100"/>
      <c r="C1151" s="1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  <c r="AA1151" s="100"/>
    </row>
    <row r="1152" spans="2:27">
      <c r="B1152" s="100"/>
      <c r="C1152" s="1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  <c r="AA1152" s="100"/>
    </row>
    <row r="1153" spans="2:27">
      <c r="B1153" s="100"/>
      <c r="C1153" s="1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  <c r="AA1153" s="100"/>
    </row>
    <row r="1154" spans="2:27">
      <c r="B1154" s="100"/>
      <c r="C1154" s="1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  <c r="AA1154" s="100"/>
    </row>
    <row r="1155" spans="2:27">
      <c r="B1155" s="100"/>
      <c r="C1155" s="1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  <c r="AA1155" s="100"/>
    </row>
    <row r="1156" spans="2:27">
      <c r="B1156" s="100"/>
      <c r="C1156" s="1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  <c r="AA1156" s="100"/>
    </row>
    <row r="1157" spans="2:27">
      <c r="B1157" s="100"/>
      <c r="C1157" s="1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  <c r="AA1157" s="100"/>
    </row>
    <row r="1158" spans="2:27">
      <c r="B1158" s="100"/>
      <c r="C1158" s="1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  <c r="AA1158" s="100"/>
    </row>
    <row r="1159" spans="2:27">
      <c r="B1159" s="100"/>
      <c r="C1159" s="1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  <c r="AA1159" s="100"/>
    </row>
    <row r="1160" spans="2:27">
      <c r="B1160" s="100"/>
      <c r="C1160" s="1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  <c r="AA1160" s="100"/>
    </row>
    <row r="1161" spans="2:27">
      <c r="B1161" s="100"/>
      <c r="C1161" s="1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  <c r="AA1161" s="100"/>
    </row>
    <row r="1162" spans="2:27">
      <c r="B1162" s="100"/>
      <c r="C1162" s="1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  <c r="AA1162" s="100"/>
    </row>
    <row r="1163" spans="2:27">
      <c r="B1163" s="100"/>
      <c r="C1163" s="1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  <c r="AA1163" s="100"/>
    </row>
    <row r="1164" spans="2:27">
      <c r="B1164" s="100"/>
      <c r="C1164" s="1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  <c r="AA1164" s="100"/>
    </row>
    <row r="1165" spans="2:27">
      <c r="B1165" s="100"/>
      <c r="C1165" s="1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  <c r="AA1165" s="100"/>
    </row>
    <row r="1166" spans="2:27">
      <c r="B1166" s="100"/>
      <c r="C1166" s="1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  <c r="AA1166" s="100"/>
    </row>
    <row r="1167" spans="2:27">
      <c r="B1167" s="100"/>
      <c r="C1167" s="1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  <c r="AA1167" s="100"/>
    </row>
    <row r="1168" spans="2:27">
      <c r="B1168" s="100"/>
      <c r="C1168" s="1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  <c r="AA1168" s="100"/>
    </row>
    <row r="1169" spans="2:27">
      <c r="B1169" s="100"/>
      <c r="C1169" s="1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  <c r="AA1169" s="100"/>
    </row>
    <row r="1170" spans="2:27">
      <c r="B1170" s="100"/>
      <c r="C1170" s="1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  <c r="AA1170" s="100"/>
    </row>
    <row r="1171" spans="2:27">
      <c r="B1171" s="100"/>
      <c r="C1171" s="1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  <c r="AA1171" s="100"/>
    </row>
    <row r="1172" spans="2:27">
      <c r="B1172" s="100"/>
      <c r="C1172" s="1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  <c r="AA1172" s="100"/>
    </row>
    <row r="1173" spans="2:27">
      <c r="B1173" s="100"/>
      <c r="C1173" s="1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  <c r="AA1173" s="100"/>
    </row>
    <row r="1174" spans="2:27">
      <c r="B1174" s="100"/>
      <c r="C1174" s="1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  <c r="AA1174" s="100"/>
    </row>
    <row r="1175" spans="2:27">
      <c r="B1175" s="100"/>
      <c r="C1175" s="1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  <c r="AA1175" s="100"/>
    </row>
    <row r="1176" spans="2:27">
      <c r="B1176" s="100"/>
      <c r="C1176" s="1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  <c r="AA1176" s="100"/>
    </row>
    <row r="1177" spans="2:27">
      <c r="B1177" s="100"/>
      <c r="C1177" s="1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  <c r="AA1177" s="100"/>
    </row>
    <row r="1178" spans="2:27">
      <c r="B1178" s="100"/>
      <c r="C1178" s="1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  <c r="AA1178" s="100"/>
    </row>
    <row r="1179" spans="2:27">
      <c r="B1179" s="100"/>
      <c r="C1179" s="1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  <c r="AA1179" s="100"/>
    </row>
    <row r="1180" spans="2:27">
      <c r="B1180" s="100"/>
      <c r="C1180" s="1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  <c r="AA1180" s="100"/>
    </row>
    <row r="1181" spans="2:27">
      <c r="B1181" s="100"/>
      <c r="C1181" s="1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  <c r="AA1181" s="100"/>
    </row>
    <row r="1182" spans="2:27">
      <c r="B1182" s="100"/>
      <c r="C1182" s="1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  <c r="AA1182" s="100"/>
    </row>
    <row r="1183" spans="2:27">
      <c r="B1183" s="100"/>
      <c r="C1183" s="1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  <c r="AA1183" s="100"/>
    </row>
    <row r="1184" spans="2:27">
      <c r="B1184" s="100"/>
      <c r="C1184" s="1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  <c r="AA1184" s="100"/>
    </row>
    <row r="1185" spans="2:27">
      <c r="B1185" s="100"/>
      <c r="C1185" s="1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  <c r="AA1185" s="100"/>
    </row>
    <row r="1186" spans="2:27">
      <c r="B1186" s="100"/>
      <c r="C1186" s="1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  <c r="AA1186" s="100"/>
    </row>
    <row r="1187" spans="2:27">
      <c r="B1187" s="100"/>
      <c r="C1187" s="1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  <c r="AA1187" s="100"/>
    </row>
    <row r="1188" spans="2:27">
      <c r="B1188" s="100"/>
      <c r="C1188" s="1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  <c r="AA1188" s="100"/>
    </row>
    <row r="1189" spans="2:27">
      <c r="B1189" s="100"/>
      <c r="C1189" s="1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  <c r="AA1189" s="100"/>
    </row>
    <row r="1190" spans="2:27">
      <c r="B1190" s="100"/>
      <c r="C1190" s="1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  <c r="AA1190" s="100"/>
    </row>
    <row r="1191" spans="2:27">
      <c r="B1191" s="100"/>
      <c r="C1191" s="1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  <c r="AA1191" s="100"/>
    </row>
    <row r="1192" spans="2:27">
      <c r="B1192" s="100"/>
      <c r="C1192" s="1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  <c r="AA1192" s="100"/>
    </row>
    <row r="1193" spans="2:27">
      <c r="B1193" s="100"/>
      <c r="C1193" s="1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  <c r="AA1193" s="100"/>
    </row>
    <row r="1194" spans="2:27">
      <c r="B1194" s="100"/>
      <c r="C1194" s="1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  <c r="AA1194" s="100"/>
    </row>
    <row r="1195" spans="2:27">
      <c r="B1195" s="100"/>
      <c r="C1195" s="1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  <c r="AA1195" s="100"/>
    </row>
    <row r="1196" spans="2:27">
      <c r="B1196" s="100"/>
      <c r="C1196" s="1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  <c r="AA1196" s="100"/>
    </row>
    <row r="1197" spans="2:27">
      <c r="B1197" s="100"/>
      <c r="C1197" s="1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  <c r="AA1197" s="100"/>
    </row>
    <row r="1198" spans="2:27">
      <c r="B1198" s="100"/>
      <c r="C1198" s="1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  <c r="AA1198" s="100"/>
    </row>
    <row r="1199" spans="2:27">
      <c r="B1199" s="100"/>
      <c r="C1199" s="1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  <c r="AA1199" s="100"/>
    </row>
    <row r="1200" spans="2:27">
      <c r="B1200" s="100"/>
      <c r="C1200" s="1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  <c r="AA1200" s="100"/>
    </row>
    <row r="1201" spans="2:27">
      <c r="B1201" s="100"/>
      <c r="C1201" s="1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  <c r="AA1201" s="100"/>
    </row>
    <row r="1202" spans="2:27">
      <c r="B1202" s="100"/>
      <c r="C1202" s="1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  <c r="AA1202" s="100"/>
    </row>
    <row r="1203" spans="2:27">
      <c r="B1203" s="100"/>
      <c r="C1203" s="1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  <c r="AA1203" s="100"/>
    </row>
    <row r="1204" spans="2:27">
      <c r="B1204" s="100"/>
      <c r="C1204" s="1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  <c r="AA1204" s="100"/>
    </row>
    <row r="1205" spans="2:27">
      <c r="B1205" s="100"/>
      <c r="C1205" s="1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  <c r="AA1205" s="100"/>
    </row>
    <row r="1206" spans="2:27">
      <c r="B1206" s="100"/>
      <c r="C1206" s="1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  <c r="AA1206" s="100"/>
    </row>
    <row r="1207" spans="2:27">
      <c r="B1207" s="100"/>
      <c r="C1207" s="1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  <c r="AA1207" s="100"/>
    </row>
    <row r="1208" spans="2:27">
      <c r="B1208" s="100"/>
      <c r="C1208" s="1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  <c r="AA1208" s="100"/>
    </row>
    <row r="1209" spans="2:27">
      <c r="B1209" s="100"/>
      <c r="C1209" s="1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  <c r="AA1209" s="100"/>
    </row>
    <row r="1210" spans="2:27">
      <c r="B1210" s="100"/>
      <c r="C1210" s="1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  <c r="AA1210" s="100"/>
    </row>
    <row r="1211" spans="2:27">
      <c r="B1211" s="100"/>
      <c r="C1211" s="1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  <c r="AA1211" s="100"/>
    </row>
    <row r="1212" spans="2:27">
      <c r="B1212" s="100"/>
      <c r="C1212" s="1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  <c r="AA1212" s="100"/>
    </row>
    <row r="1213" spans="2:27">
      <c r="B1213" s="100"/>
      <c r="C1213" s="1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  <c r="AA1213" s="100"/>
    </row>
    <row r="1214" spans="2:27">
      <c r="B1214" s="100"/>
      <c r="C1214" s="1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  <c r="AA1214" s="100"/>
    </row>
    <row r="1215" spans="2:27">
      <c r="B1215" s="100"/>
      <c r="C1215" s="1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  <c r="AA1215" s="100"/>
    </row>
    <row r="1216" spans="2:27">
      <c r="B1216" s="100"/>
      <c r="C1216" s="1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  <c r="AA1216" s="100"/>
    </row>
    <row r="1217" spans="2:27">
      <c r="B1217" s="100"/>
      <c r="C1217" s="1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  <c r="AA1217" s="100"/>
    </row>
    <row r="1218" spans="2:27">
      <c r="B1218" s="100"/>
      <c r="C1218" s="1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</row>
    <row r="1219" spans="2:27">
      <c r="B1219" s="100"/>
      <c r="C1219" s="1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  <c r="AA1219" s="100"/>
    </row>
    <row r="1220" spans="2:27">
      <c r="B1220" s="100"/>
      <c r="C1220" s="1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  <c r="AA1220" s="100"/>
    </row>
    <row r="1221" spans="2:27">
      <c r="B1221" s="100"/>
      <c r="C1221" s="1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  <c r="AA1221" s="100"/>
    </row>
    <row r="1222" spans="2:27">
      <c r="B1222" s="100"/>
      <c r="C1222" s="1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  <c r="AA1222" s="100"/>
    </row>
    <row r="1223" spans="2:27">
      <c r="B1223" s="100"/>
      <c r="C1223" s="1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  <c r="AA1223" s="100"/>
    </row>
    <row r="1224" spans="2:27">
      <c r="B1224" s="100"/>
      <c r="C1224" s="1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  <c r="AA1224" s="100"/>
    </row>
    <row r="1225" spans="2:27">
      <c r="B1225" s="100"/>
      <c r="C1225" s="1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  <c r="AA1225" s="100"/>
    </row>
    <row r="1226" spans="2:27">
      <c r="B1226" s="100"/>
      <c r="C1226" s="1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  <c r="AA1226" s="100"/>
    </row>
    <row r="1227" spans="2:27">
      <c r="B1227" s="100"/>
      <c r="C1227" s="1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  <c r="AA1227" s="100"/>
    </row>
    <row r="1228" spans="2:27">
      <c r="B1228" s="100"/>
      <c r="C1228" s="1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  <c r="AA1228" s="100"/>
    </row>
    <row r="1229" spans="2:27">
      <c r="B1229" s="100"/>
      <c r="C1229" s="1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  <c r="AA1229" s="100"/>
    </row>
    <row r="1230" spans="2:27">
      <c r="B1230" s="100"/>
      <c r="C1230" s="1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  <c r="AA1230" s="100"/>
    </row>
    <row r="1231" spans="2:27">
      <c r="B1231" s="100"/>
      <c r="C1231" s="1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  <c r="AA1231" s="100"/>
    </row>
    <row r="1232" spans="2:27">
      <c r="B1232" s="100"/>
      <c r="C1232" s="1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  <c r="AA1232" s="100"/>
    </row>
    <row r="1233" spans="2:27">
      <c r="B1233" s="100"/>
      <c r="C1233" s="1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  <c r="AA1233" s="100"/>
    </row>
    <row r="1234" spans="2:27">
      <c r="B1234" s="100"/>
      <c r="C1234" s="1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  <c r="AA1234" s="100"/>
    </row>
    <row r="1235" spans="2:27">
      <c r="B1235" s="100"/>
      <c r="C1235" s="1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  <c r="AA1235" s="100"/>
    </row>
    <row r="1236" spans="2:27">
      <c r="B1236" s="100"/>
      <c r="C1236" s="1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  <c r="AA1236" s="100"/>
    </row>
    <row r="1237" spans="2:27">
      <c r="B1237" s="100"/>
      <c r="C1237" s="1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  <c r="AA1237" s="100"/>
    </row>
    <row r="1238" spans="2:27">
      <c r="B1238" s="100"/>
      <c r="C1238" s="1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  <c r="AA1238" s="100"/>
    </row>
    <row r="1239" spans="2:27">
      <c r="B1239" s="100"/>
      <c r="C1239" s="1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  <c r="AA1239" s="100"/>
    </row>
    <row r="1240" spans="2:27">
      <c r="B1240" s="100"/>
      <c r="C1240" s="1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  <c r="AA1240" s="100"/>
    </row>
    <row r="1241" spans="2:27">
      <c r="B1241" s="100"/>
      <c r="C1241" s="1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  <c r="AA1241" s="100"/>
    </row>
    <row r="1242" spans="2:27">
      <c r="B1242" s="100"/>
      <c r="C1242" s="1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  <c r="AA1242" s="100"/>
    </row>
    <row r="1243" spans="2:27">
      <c r="B1243" s="100"/>
      <c r="C1243" s="1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  <c r="AA1243" s="100"/>
    </row>
    <row r="1244" spans="2:27">
      <c r="B1244" s="100"/>
      <c r="C1244" s="1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  <c r="AA1244" s="100"/>
    </row>
    <row r="1245" spans="2:27">
      <c r="B1245" s="100"/>
      <c r="C1245" s="1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  <c r="AA1245" s="100"/>
    </row>
    <row r="1246" spans="2:27">
      <c r="B1246" s="100"/>
      <c r="C1246" s="1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  <c r="AA1246" s="100"/>
    </row>
    <row r="1247" spans="2:27">
      <c r="B1247" s="100"/>
      <c r="C1247" s="1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  <c r="AA1247" s="100"/>
    </row>
    <row r="1248" spans="2:27">
      <c r="B1248" s="100"/>
      <c r="C1248" s="1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  <c r="AA1248" s="100"/>
    </row>
    <row r="1249" spans="2:27">
      <c r="B1249" s="100"/>
      <c r="C1249" s="1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  <c r="AA1249" s="100"/>
    </row>
    <row r="1250" spans="2:27">
      <c r="B1250" s="100"/>
      <c r="C1250" s="1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  <c r="AA1250" s="100"/>
    </row>
    <row r="1251" spans="2:27">
      <c r="B1251" s="100"/>
      <c r="C1251" s="1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  <c r="AA1251" s="100"/>
    </row>
    <row r="1252" spans="2:27">
      <c r="B1252" s="100"/>
      <c r="C1252" s="1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  <c r="AA1252" s="100"/>
    </row>
    <row r="1253" spans="2:27">
      <c r="B1253" s="100"/>
      <c r="C1253" s="1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  <c r="AA1253" s="100"/>
    </row>
    <row r="1254" spans="2:27">
      <c r="B1254" s="100"/>
      <c r="C1254" s="1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  <c r="AA1254" s="100"/>
    </row>
    <row r="1255" spans="2:27">
      <c r="B1255" s="100"/>
      <c r="C1255" s="1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  <c r="AA1255" s="100"/>
    </row>
    <row r="1256" spans="2:27">
      <c r="B1256" s="100"/>
      <c r="C1256" s="1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  <c r="AA1256" s="100"/>
    </row>
    <row r="1257" spans="2:27">
      <c r="B1257" s="100"/>
      <c r="C1257" s="1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  <c r="AA1257" s="100"/>
    </row>
    <row r="1258" spans="2:27">
      <c r="B1258" s="100"/>
      <c r="C1258" s="1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  <c r="AA1258" s="100"/>
    </row>
    <row r="1259" spans="2:27">
      <c r="B1259" s="100"/>
      <c r="C1259" s="1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  <c r="AA1259" s="100"/>
    </row>
    <row r="1260" spans="2:27">
      <c r="B1260" s="100"/>
      <c r="C1260" s="1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  <c r="AA1260" s="100"/>
    </row>
    <row r="1261" spans="2:27">
      <c r="B1261" s="100"/>
      <c r="C1261" s="1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  <c r="AA1261" s="100"/>
    </row>
    <row r="1262" spans="2:27">
      <c r="B1262" s="100"/>
      <c r="C1262" s="1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  <c r="AA1262" s="100"/>
    </row>
    <row r="1263" spans="2:27">
      <c r="B1263" s="100"/>
      <c r="C1263" s="1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  <c r="AA1263" s="100"/>
    </row>
    <row r="1264" spans="2:27">
      <c r="B1264" s="100"/>
      <c r="C1264" s="1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  <c r="AA1264" s="100"/>
    </row>
    <row r="1265" spans="2:27">
      <c r="B1265" s="100"/>
      <c r="C1265" s="1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  <c r="AA1265" s="100"/>
    </row>
    <row r="1266" spans="2:27">
      <c r="B1266" s="100"/>
      <c r="C1266" s="1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  <c r="AA1266" s="100"/>
    </row>
    <row r="1267" spans="2:27">
      <c r="B1267" s="100"/>
      <c r="C1267" s="1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  <c r="AA1267" s="100"/>
    </row>
    <row r="1268" spans="2:27">
      <c r="B1268" s="100"/>
      <c r="C1268" s="1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  <c r="AA1268" s="100"/>
    </row>
    <row r="1269" spans="2:27">
      <c r="B1269" s="100"/>
      <c r="C1269" s="1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  <c r="AA1269" s="100"/>
    </row>
    <row r="1270" spans="2:27">
      <c r="B1270" s="100"/>
      <c r="C1270" s="1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  <c r="AA1270" s="100"/>
    </row>
    <row r="1271" spans="2:27">
      <c r="B1271" s="100"/>
      <c r="C1271" s="1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  <c r="AA1271" s="100"/>
    </row>
    <row r="1272" spans="2:27">
      <c r="B1272" s="100"/>
      <c r="C1272" s="1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  <c r="AA1272" s="100"/>
    </row>
    <row r="1273" spans="2:27">
      <c r="B1273" s="100"/>
      <c r="C1273" s="1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  <c r="AA1273" s="100"/>
    </row>
    <row r="1274" spans="2:27">
      <c r="B1274" s="100"/>
      <c r="C1274" s="1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  <c r="AA1274" s="100"/>
    </row>
    <row r="1275" spans="2:27">
      <c r="B1275" s="100"/>
      <c r="C1275" s="1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  <c r="AA1275" s="100"/>
    </row>
    <row r="1276" spans="2:27">
      <c r="B1276" s="100"/>
      <c r="C1276" s="1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  <c r="AA1276" s="100"/>
    </row>
    <row r="1277" spans="2:27">
      <c r="B1277" s="100"/>
      <c r="C1277" s="1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  <c r="AA1277" s="100"/>
    </row>
    <row r="1278" spans="2:27">
      <c r="B1278" s="100"/>
      <c r="C1278" s="1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  <c r="AA1278" s="100"/>
    </row>
    <row r="1279" spans="2:27">
      <c r="B1279" s="100"/>
      <c r="C1279" s="1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  <c r="AA1279" s="100"/>
    </row>
    <row r="1280" spans="2:27">
      <c r="B1280" s="100"/>
      <c r="C1280" s="1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  <c r="AA1280" s="100"/>
    </row>
    <row r="1281" spans="2:27">
      <c r="B1281" s="100"/>
      <c r="C1281" s="1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  <c r="AA1281" s="100"/>
    </row>
    <row r="1282" spans="2:27">
      <c r="B1282" s="100"/>
      <c r="C1282" s="1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  <c r="AA1282" s="100"/>
    </row>
    <row r="1283" spans="2:27">
      <c r="B1283" s="100"/>
      <c r="C1283" s="1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  <c r="AA1283" s="100"/>
    </row>
    <row r="1284" spans="2:27">
      <c r="B1284" s="100"/>
      <c r="C1284" s="1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  <c r="AA1284" s="100"/>
    </row>
    <row r="1285" spans="2:27">
      <c r="B1285" s="100"/>
      <c r="C1285" s="1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  <c r="AA1285" s="100"/>
    </row>
    <row r="1286" spans="2:27">
      <c r="B1286" s="100"/>
      <c r="C1286" s="1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  <c r="AA1286" s="100"/>
    </row>
    <row r="1287" spans="2:27">
      <c r="B1287" s="100"/>
      <c r="C1287" s="1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  <c r="AA1287" s="100"/>
    </row>
    <row r="1288" spans="2:27">
      <c r="B1288" s="100"/>
      <c r="C1288" s="1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  <c r="AA1288" s="100"/>
    </row>
    <row r="1289" spans="2:27">
      <c r="B1289" s="100"/>
      <c r="C1289" s="1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  <c r="AA1289" s="100"/>
    </row>
    <row r="1290" spans="2:27">
      <c r="B1290" s="100"/>
      <c r="C1290" s="1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  <c r="AA1290" s="100"/>
    </row>
    <row r="1291" spans="2:27">
      <c r="B1291" s="100"/>
      <c r="C1291" s="1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  <c r="AA1291" s="100"/>
    </row>
    <row r="1292" spans="2:27">
      <c r="B1292" s="100"/>
      <c r="C1292" s="1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  <c r="AA1292" s="100"/>
    </row>
    <row r="1293" spans="2:27">
      <c r="B1293" s="100"/>
      <c r="C1293" s="1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  <c r="AA1293" s="100"/>
    </row>
    <row r="1294" spans="2:27">
      <c r="B1294" s="100"/>
      <c r="C1294" s="1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  <c r="AA1294" s="100"/>
    </row>
    <row r="1295" spans="2:27">
      <c r="B1295" s="100"/>
      <c r="C1295" s="100"/>
      <c r="D1295" s="100"/>
      <c r="E1295" s="100"/>
      <c r="F1295" s="100"/>
      <c r="G1295" s="100"/>
      <c r="H1295" s="100"/>
      <c r="I1295" s="100"/>
      <c r="J1295" s="100"/>
      <c r="K1295" s="100"/>
      <c r="L1295" s="100"/>
      <c r="M1295" s="100"/>
      <c r="N1295" s="100"/>
      <c r="O1295" s="100"/>
      <c r="P1295" s="100"/>
      <c r="Q1295" s="100"/>
      <c r="R1295" s="100"/>
      <c r="S1295" s="100"/>
      <c r="T1295" s="100"/>
      <c r="U1295" s="100"/>
      <c r="V1295" s="100"/>
      <c r="W1295" s="100"/>
      <c r="X1295" s="100"/>
      <c r="Y1295" s="100"/>
      <c r="Z1295" s="100"/>
      <c r="AA1295" s="100"/>
    </row>
    <row r="1296" spans="2:27">
      <c r="B1296" s="100"/>
      <c r="C1296" s="100"/>
      <c r="D1296" s="100"/>
      <c r="E1296" s="100"/>
      <c r="F1296" s="100"/>
      <c r="G1296" s="100"/>
      <c r="H1296" s="100"/>
      <c r="I1296" s="100"/>
      <c r="J1296" s="100"/>
      <c r="K1296" s="100"/>
      <c r="L1296" s="100"/>
      <c r="M1296" s="100"/>
      <c r="N1296" s="100"/>
      <c r="O1296" s="100"/>
      <c r="P1296" s="100"/>
      <c r="Q1296" s="100"/>
      <c r="R1296" s="100"/>
      <c r="S1296" s="100"/>
      <c r="T1296" s="100"/>
      <c r="U1296" s="100"/>
      <c r="V1296" s="100"/>
      <c r="W1296" s="100"/>
      <c r="X1296" s="100"/>
      <c r="Y1296" s="100"/>
      <c r="Z1296" s="100"/>
      <c r="AA1296" s="100"/>
    </row>
    <row r="1297" spans="2:27">
      <c r="B1297" s="100"/>
      <c r="C1297" s="100"/>
      <c r="D1297" s="100"/>
      <c r="E1297" s="100"/>
      <c r="F1297" s="100"/>
      <c r="G1297" s="100"/>
      <c r="H1297" s="100"/>
      <c r="I1297" s="100"/>
      <c r="J1297" s="100"/>
      <c r="K1297" s="100"/>
      <c r="L1297" s="100"/>
      <c r="M1297" s="100"/>
      <c r="N1297" s="100"/>
      <c r="O1297" s="100"/>
      <c r="P1297" s="100"/>
      <c r="Q1297" s="100"/>
      <c r="R1297" s="100"/>
      <c r="S1297" s="100"/>
      <c r="T1297" s="100"/>
      <c r="U1297" s="100"/>
      <c r="V1297" s="100"/>
      <c r="W1297" s="100"/>
      <c r="X1297" s="100"/>
      <c r="Y1297" s="100"/>
      <c r="Z1297" s="100"/>
      <c r="AA1297" s="100"/>
    </row>
    <row r="1298" spans="2:27">
      <c r="B1298" s="100"/>
      <c r="C1298" s="100"/>
      <c r="D1298" s="100"/>
      <c r="E1298" s="100"/>
      <c r="F1298" s="100"/>
      <c r="G1298" s="100"/>
      <c r="H1298" s="100"/>
      <c r="I1298" s="100"/>
      <c r="J1298" s="100"/>
      <c r="K1298" s="100"/>
      <c r="L1298" s="100"/>
      <c r="M1298" s="100"/>
      <c r="N1298" s="100"/>
      <c r="O1298" s="100"/>
      <c r="P1298" s="100"/>
      <c r="Q1298" s="100"/>
      <c r="R1298" s="100"/>
      <c r="S1298" s="100"/>
      <c r="T1298" s="100"/>
      <c r="U1298" s="100"/>
      <c r="V1298" s="100"/>
      <c r="W1298" s="100"/>
      <c r="X1298" s="100"/>
      <c r="Y1298" s="100"/>
      <c r="Z1298" s="100"/>
      <c r="AA1298" s="100"/>
    </row>
    <row r="1299" spans="2:27">
      <c r="B1299" s="100"/>
      <c r="C1299" s="100"/>
      <c r="D1299" s="100"/>
      <c r="E1299" s="100"/>
      <c r="F1299" s="100"/>
      <c r="G1299" s="100"/>
      <c r="H1299" s="100"/>
      <c r="I1299" s="100"/>
      <c r="J1299" s="100"/>
      <c r="K1299" s="100"/>
      <c r="L1299" s="100"/>
      <c r="M1299" s="100"/>
      <c r="N1299" s="100"/>
      <c r="O1299" s="100"/>
      <c r="P1299" s="100"/>
      <c r="Q1299" s="100"/>
      <c r="R1299" s="100"/>
      <c r="S1299" s="100"/>
      <c r="T1299" s="100"/>
      <c r="U1299" s="100"/>
      <c r="V1299" s="100"/>
      <c r="W1299" s="100"/>
      <c r="X1299" s="100"/>
      <c r="Y1299" s="100"/>
      <c r="Z1299" s="100"/>
      <c r="AA1299" s="100"/>
    </row>
    <row r="1300" spans="2:27">
      <c r="B1300" s="100"/>
      <c r="C1300" s="100"/>
      <c r="D1300" s="100"/>
      <c r="E1300" s="100"/>
      <c r="F1300" s="100"/>
      <c r="G1300" s="100"/>
      <c r="H1300" s="100"/>
      <c r="I1300" s="100"/>
      <c r="J1300" s="100"/>
      <c r="K1300" s="100"/>
      <c r="L1300" s="100"/>
      <c r="M1300" s="100"/>
      <c r="N1300" s="100"/>
      <c r="O1300" s="100"/>
      <c r="P1300" s="100"/>
      <c r="Q1300" s="100"/>
      <c r="R1300" s="100"/>
      <c r="S1300" s="100"/>
      <c r="T1300" s="100"/>
      <c r="U1300" s="100"/>
      <c r="V1300" s="100"/>
      <c r="W1300" s="100"/>
      <c r="X1300" s="100"/>
      <c r="Y1300" s="100"/>
      <c r="Z1300" s="100"/>
      <c r="AA1300" s="100"/>
    </row>
    <row r="1301" spans="2:27">
      <c r="B1301" s="100"/>
      <c r="C1301" s="100"/>
      <c r="D1301" s="100"/>
      <c r="E1301" s="100"/>
      <c r="F1301" s="100"/>
      <c r="G1301" s="100"/>
      <c r="H1301" s="100"/>
      <c r="I1301" s="100"/>
      <c r="J1301" s="100"/>
      <c r="K1301" s="100"/>
      <c r="L1301" s="100"/>
      <c r="M1301" s="100"/>
      <c r="N1301" s="100"/>
      <c r="O1301" s="100"/>
      <c r="P1301" s="100"/>
      <c r="Q1301" s="100"/>
      <c r="R1301" s="100"/>
      <c r="S1301" s="100"/>
      <c r="T1301" s="100"/>
      <c r="U1301" s="100"/>
      <c r="V1301" s="100"/>
      <c r="W1301" s="100"/>
      <c r="X1301" s="100"/>
      <c r="Y1301" s="100"/>
      <c r="Z1301" s="100"/>
      <c r="AA1301" s="100"/>
    </row>
    <row r="1302" spans="2:27">
      <c r="B1302" s="100"/>
      <c r="C1302" s="100"/>
      <c r="D1302" s="100"/>
      <c r="E1302" s="100"/>
      <c r="F1302" s="100"/>
      <c r="G1302" s="100"/>
      <c r="H1302" s="100"/>
      <c r="I1302" s="100"/>
      <c r="J1302" s="100"/>
      <c r="K1302" s="100"/>
      <c r="L1302" s="100"/>
      <c r="M1302" s="100"/>
      <c r="N1302" s="100"/>
      <c r="O1302" s="100"/>
      <c r="P1302" s="100"/>
      <c r="Q1302" s="100"/>
      <c r="R1302" s="100"/>
      <c r="S1302" s="100"/>
      <c r="T1302" s="100"/>
      <c r="U1302" s="100"/>
      <c r="V1302" s="100"/>
      <c r="W1302" s="100"/>
      <c r="X1302" s="100"/>
      <c r="Y1302" s="100"/>
      <c r="Z1302" s="100"/>
      <c r="AA1302" s="100"/>
    </row>
    <row r="1303" spans="2:27">
      <c r="B1303" s="100"/>
      <c r="C1303" s="100"/>
      <c r="D1303" s="100"/>
      <c r="E1303" s="100"/>
      <c r="F1303" s="100"/>
      <c r="G1303" s="100"/>
      <c r="H1303" s="100"/>
      <c r="I1303" s="100"/>
      <c r="J1303" s="100"/>
      <c r="K1303" s="100"/>
      <c r="L1303" s="100"/>
      <c r="M1303" s="100"/>
      <c r="N1303" s="100"/>
      <c r="O1303" s="100"/>
      <c r="P1303" s="100"/>
      <c r="Q1303" s="100"/>
      <c r="R1303" s="100"/>
      <c r="S1303" s="100"/>
      <c r="T1303" s="100"/>
      <c r="U1303" s="100"/>
      <c r="V1303" s="100"/>
      <c r="W1303" s="100"/>
      <c r="X1303" s="100"/>
      <c r="Y1303" s="100"/>
      <c r="Z1303" s="100"/>
      <c r="AA1303" s="100"/>
    </row>
    <row r="1304" spans="2:27">
      <c r="B1304" s="100"/>
      <c r="C1304" s="100"/>
      <c r="D1304" s="100"/>
      <c r="E1304" s="100"/>
      <c r="F1304" s="100"/>
      <c r="G1304" s="100"/>
      <c r="H1304" s="100"/>
      <c r="I1304" s="100"/>
      <c r="J1304" s="100"/>
      <c r="K1304" s="100"/>
      <c r="L1304" s="100"/>
      <c r="M1304" s="100"/>
      <c r="N1304" s="100"/>
      <c r="O1304" s="100"/>
      <c r="P1304" s="100"/>
      <c r="Q1304" s="100"/>
      <c r="R1304" s="100"/>
      <c r="S1304" s="100"/>
      <c r="T1304" s="100"/>
      <c r="U1304" s="100"/>
      <c r="V1304" s="100"/>
      <c r="W1304" s="100"/>
      <c r="X1304" s="100"/>
      <c r="Y1304" s="100"/>
      <c r="Z1304" s="100"/>
      <c r="AA1304" s="100"/>
    </row>
    <row r="1305" spans="2:27">
      <c r="B1305" s="100"/>
      <c r="C1305" s="100"/>
      <c r="D1305" s="100"/>
      <c r="E1305" s="100"/>
      <c r="F1305" s="100"/>
      <c r="G1305" s="100"/>
      <c r="H1305" s="100"/>
      <c r="I1305" s="100"/>
      <c r="J1305" s="100"/>
      <c r="K1305" s="100"/>
      <c r="L1305" s="100"/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  <c r="AA1305" s="100"/>
    </row>
    <row r="1306" spans="2:27">
      <c r="B1306" s="100"/>
      <c r="C1306" s="100"/>
      <c r="D1306" s="100"/>
      <c r="E1306" s="100"/>
      <c r="F1306" s="100"/>
      <c r="G1306" s="100"/>
      <c r="H1306" s="100"/>
      <c r="I1306" s="100"/>
      <c r="J1306" s="100"/>
      <c r="K1306" s="100"/>
      <c r="L1306" s="100"/>
      <c r="M1306" s="100"/>
      <c r="N1306" s="100"/>
      <c r="O1306" s="100"/>
      <c r="P1306" s="100"/>
      <c r="Q1306" s="100"/>
      <c r="R1306" s="100"/>
      <c r="S1306" s="100"/>
      <c r="T1306" s="100"/>
      <c r="U1306" s="100"/>
      <c r="V1306" s="100"/>
      <c r="W1306" s="100"/>
      <c r="X1306" s="100"/>
      <c r="Y1306" s="100"/>
      <c r="Z1306" s="100"/>
      <c r="AA1306" s="100"/>
    </row>
    <row r="1307" spans="2:27">
      <c r="B1307" s="100"/>
      <c r="C1307" s="100"/>
      <c r="D1307" s="100"/>
      <c r="E1307" s="100"/>
      <c r="F1307" s="100"/>
      <c r="G1307" s="100"/>
      <c r="H1307" s="100"/>
      <c r="I1307" s="100"/>
      <c r="J1307" s="100"/>
      <c r="K1307" s="100"/>
      <c r="L1307" s="100"/>
      <c r="M1307" s="100"/>
      <c r="N1307" s="100"/>
      <c r="O1307" s="100"/>
      <c r="P1307" s="100"/>
      <c r="Q1307" s="100"/>
      <c r="R1307" s="100"/>
      <c r="S1307" s="100"/>
      <c r="T1307" s="100"/>
      <c r="U1307" s="100"/>
      <c r="V1307" s="100"/>
      <c r="W1307" s="100"/>
      <c r="X1307" s="100"/>
      <c r="Y1307" s="100"/>
      <c r="Z1307" s="100"/>
      <c r="AA1307" s="100"/>
    </row>
    <row r="1308" spans="2:27">
      <c r="B1308" s="100"/>
      <c r="C1308" s="100"/>
      <c r="D1308" s="100"/>
      <c r="E1308" s="100"/>
      <c r="F1308" s="100"/>
      <c r="G1308" s="100"/>
      <c r="H1308" s="100"/>
      <c r="I1308" s="100"/>
      <c r="J1308" s="100"/>
      <c r="K1308" s="100"/>
      <c r="L1308" s="100"/>
      <c r="M1308" s="100"/>
      <c r="N1308" s="100"/>
      <c r="O1308" s="100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  <c r="AA1308" s="100"/>
    </row>
    <row r="1309" spans="2:27">
      <c r="B1309" s="100"/>
      <c r="C1309" s="100"/>
      <c r="D1309" s="100"/>
      <c r="E1309" s="100"/>
      <c r="F1309" s="100"/>
      <c r="G1309" s="100"/>
      <c r="H1309" s="100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  <c r="AA1309" s="100"/>
    </row>
    <row r="1310" spans="2:27">
      <c r="B1310" s="100"/>
      <c r="C1310" s="100"/>
      <c r="D1310" s="100"/>
      <c r="E1310" s="100"/>
      <c r="F1310" s="100"/>
      <c r="G1310" s="100"/>
      <c r="H1310" s="100"/>
      <c r="I1310" s="100"/>
      <c r="J1310" s="100"/>
      <c r="K1310" s="100"/>
      <c r="L1310" s="100"/>
      <c r="M1310" s="100"/>
      <c r="N1310" s="100"/>
      <c r="O1310" s="100"/>
      <c r="P1310" s="100"/>
      <c r="Q1310" s="100"/>
      <c r="R1310" s="100"/>
      <c r="S1310" s="100"/>
      <c r="T1310" s="100"/>
      <c r="U1310" s="100"/>
      <c r="V1310" s="100"/>
      <c r="W1310" s="100"/>
      <c r="X1310" s="100"/>
      <c r="Y1310" s="100"/>
      <c r="Z1310" s="100"/>
      <c r="AA1310" s="100"/>
    </row>
    <row r="1311" spans="2:27">
      <c r="B1311" s="100"/>
      <c r="C1311" s="100"/>
      <c r="D1311" s="100"/>
      <c r="E1311" s="100"/>
      <c r="F1311" s="100"/>
      <c r="G1311" s="100"/>
      <c r="H1311" s="100"/>
      <c r="I1311" s="100"/>
      <c r="J1311" s="100"/>
      <c r="K1311" s="100"/>
      <c r="L1311" s="100"/>
      <c r="M1311" s="100"/>
      <c r="N1311" s="100"/>
      <c r="O1311" s="100"/>
      <c r="P1311" s="100"/>
      <c r="Q1311" s="100"/>
      <c r="R1311" s="100"/>
      <c r="S1311" s="100"/>
      <c r="T1311" s="100"/>
      <c r="U1311" s="100"/>
      <c r="V1311" s="100"/>
      <c r="W1311" s="100"/>
      <c r="X1311" s="100"/>
      <c r="Y1311" s="100"/>
      <c r="Z1311" s="100"/>
      <c r="AA1311" s="100"/>
    </row>
    <row r="1312" spans="2:27">
      <c r="B1312" s="100"/>
      <c r="C1312" s="100"/>
      <c r="D1312" s="100"/>
      <c r="E1312" s="100"/>
      <c r="F1312" s="100"/>
      <c r="G1312" s="100"/>
      <c r="H1312" s="100"/>
      <c r="I1312" s="100"/>
      <c r="J1312" s="100"/>
      <c r="K1312" s="100"/>
      <c r="L1312" s="100"/>
      <c r="M1312" s="100"/>
      <c r="N1312" s="100"/>
      <c r="O1312" s="100"/>
      <c r="P1312" s="100"/>
      <c r="Q1312" s="100"/>
      <c r="R1312" s="100"/>
      <c r="S1312" s="100"/>
      <c r="T1312" s="100"/>
      <c r="U1312" s="100"/>
      <c r="V1312" s="100"/>
      <c r="W1312" s="100"/>
      <c r="X1312" s="100"/>
      <c r="Y1312" s="100"/>
      <c r="Z1312" s="100"/>
      <c r="AA1312" s="100"/>
    </row>
    <row r="1313" spans="2:27">
      <c r="B1313" s="100"/>
      <c r="C1313" s="100"/>
      <c r="D1313" s="100"/>
      <c r="E1313" s="100"/>
      <c r="F1313" s="100"/>
      <c r="G1313" s="100"/>
      <c r="H1313" s="100"/>
      <c r="I1313" s="100"/>
      <c r="J1313" s="100"/>
      <c r="K1313" s="100"/>
      <c r="L1313" s="100"/>
      <c r="M1313" s="100"/>
      <c r="N1313" s="100"/>
      <c r="O1313" s="100"/>
      <c r="P1313" s="100"/>
      <c r="Q1313" s="100"/>
      <c r="R1313" s="100"/>
      <c r="S1313" s="100"/>
      <c r="T1313" s="100"/>
      <c r="U1313" s="100"/>
      <c r="V1313" s="100"/>
      <c r="W1313" s="100"/>
      <c r="X1313" s="100"/>
      <c r="Y1313" s="100"/>
      <c r="Z1313" s="100"/>
      <c r="AA1313" s="100"/>
    </row>
    <row r="1314" spans="2:27">
      <c r="B1314" s="100"/>
      <c r="C1314" s="100"/>
      <c r="D1314" s="100"/>
      <c r="E1314" s="100"/>
      <c r="F1314" s="100"/>
      <c r="G1314" s="100"/>
      <c r="H1314" s="100"/>
      <c r="I1314" s="100"/>
      <c r="J1314" s="100"/>
      <c r="K1314" s="100"/>
      <c r="L1314" s="100"/>
      <c r="M1314" s="100"/>
      <c r="N1314" s="100"/>
      <c r="O1314" s="100"/>
      <c r="P1314" s="100"/>
      <c r="Q1314" s="100"/>
      <c r="R1314" s="100"/>
      <c r="S1314" s="100"/>
      <c r="T1314" s="100"/>
      <c r="U1314" s="100"/>
      <c r="V1314" s="100"/>
      <c r="W1314" s="100"/>
      <c r="X1314" s="100"/>
      <c r="Y1314" s="100"/>
      <c r="Z1314" s="100"/>
      <c r="AA1314" s="100"/>
    </row>
    <row r="1315" spans="2:27">
      <c r="B1315" s="100"/>
      <c r="C1315" s="100"/>
      <c r="D1315" s="100"/>
      <c r="E1315" s="100"/>
      <c r="F1315" s="100"/>
      <c r="G1315" s="100"/>
      <c r="H1315" s="100"/>
      <c r="I1315" s="100"/>
      <c r="J1315" s="100"/>
      <c r="K1315" s="100"/>
      <c r="L1315" s="100"/>
      <c r="M1315" s="100"/>
      <c r="N1315" s="100"/>
      <c r="O1315" s="100"/>
      <c r="P1315" s="100"/>
      <c r="Q1315" s="100"/>
      <c r="R1315" s="100"/>
      <c r="S1315" s="100"/>
      <c r="T1315" s="100"/>
      <c r="U1315" s="100"/>
      <c r="V1315" s="100"/>
      <c r="W1315" s="100"/>
      <c r="X1315" s="100"/>
      <c r="Y1315" s="100"/>
      <c r="Z1315" s="100"/>
      <c r="AA1315" s="100"/>
    </row>
    <row r="1316" spans="2:27">
      <c r="B1316" s="100"/>
      <c r="C1316" s="100"/>
      <c r="D1316" s="100"/>
      <c r="E1316" s="100"/>
      <c r="F1316" s="100"/>
      <c r="G1316" s="100"/>
      <c r="H1316" s="100"/>
      <c r="I1316" s="100"/>
      <c r="J1316" s="100"/>
      <c r="K1316" s="100"/>
      <c r="L1316" s="100"/>
      <c r="M1316" s="100"/>
      <c r="N1316" s="100"/>
      <c r="O1316" s="100"/>
      <c r="P1316" s="100"/>
      <c r="Q1316" s="100"/>
      <c r="R1316" s="100"/>
      <c r="S1316" s="100"/>
      <c r="T1316" s="100"/>
      <c r="U1316" s="100"/>
      <c r="V1316" s="100"/>
      <c r="W1316" s="100"/>
      <c r="X1316" s="100"/>
      <c r="Y1316" s="100"/>
      <c r="Z1316" s="100"/>
      <c r="AA1316" s="100"/>
    </row>
    <row r="1317" spans="2:27">
      <c r="B1317" s="100"/>
      <c r="C1317" s="100"/>
      <c r="D1317" s="100"/>
      <c r="E1317" s="100"/>
      <c r="F1317" s="100"/>
      <c r="G1317" s="100"/>
      <c r="H1317" s="100"/>
      <c r="I1317" s="100"/>
      <c r="J1317" s="100"/>
      <c r="K1317" s="100"/>
      <c r="L1317" s="100"/>
      <c r="M1317" s="100"/>
      <c r="N1317" s="100"/>
      <c r="O1317" s="100"/>
      <c r="P1317" s="100"/>
      <c r="Q1317" s="100"/>
      <c r="R1317" s="100"/>
      <c r="S1317" s="100"/>
      <c r="T1317" s="100"/>
      <c r="U1317" s="100"/>
      <c r="V1317" s="100"/>
      <c r="W1317" s="100"/>
      <c r="X1317" s="100"/>
      <c r="Y1317" s="100"/>
      <c r="Z1317" s="100"/>
      <c r="AA1317" s="100"/>
    </row>
    <row r="1318" spans="2:27">
      <c r="B1318" s="100"/>
      <c r="C1318" s="100"/>
      <c r="D1318" s="100"/>
      <c r="E1318" s="100"/>
      <c r="F1318" s="100"/>
      <c r="G1318" s="100"/>
      <c r="H1318" s="100"/>
      <c r="I1318" s="100"/>
      <c r="J1318" s="100"/>
      <c r="K1318" s="100"/>
      <c r="L1318" s="100"/>
      <c r="M1318" s="100"/>
      <c r="N1318" s="100"/>
      <c r="O1318" s="100"/>
      <c r="P1318" s="100"/>
      <c r="Q1318" s="100"/>
      <c r="R1318" s="100"/>
      <c r="S1318" s="100"/>
      <c r="T1318" s="100"/>
      <c r="U1318" s="100"/>
      <c r="V1318" s="100"/>
      <c r="W1318" s="100"/>
      <c r="X1318" s="100"/>
      <c r="Y1318" s="100"/>
      <c r="Z1318" s="100"/>
      <c r="AA1318" s="100"/>
    </row>
    <row r="1319" spans="2:27">
      <c r="B1319" s="100"/>
      <c r="C1319" s="100"/>
      <c r="D1319" s="100"/>
      <c r="E1319" s="100"/>
      <c r="F1319" s="100"/>
      <c r="G1319" s="100"/>
      <c r="H1319" s="100"/>
      <c r="I1319" s="100"/>
      <c r="J1319" s="100"/>
      <c r="K1319" s="100"/>
      <c r="L1319" s="100"/>
      <c r="M1319" s="100"/>
      <c r="N1319" s="100"/>
      <c r="O1319" s="100"/>
      <c r="P1319" s="100"/>
      <c r="Q1319" s="100"/>
      <c r="R1319" s="100"/>
      <c r="S1319" s="100"/>
      <c r="T1319" s="100"/>
      <c r="U1319" s="100"/>
      <c r="V1319" s="100"/>
      <c r="W1319" s="100"/>
      <c r="X1319" s="100"/>
      <c r="Y1319" s="100"/>
      <c r="Z1319" s="100"/>
      <c r="AA1319" s="100"/>
    </row>
    <row r="1320" spans="2:27">
      <c r="B1320" s="100"/>
      <c r="C1320" s="100"/>
      <c r="D1320" s="100"/>
      <c r="E1320" s="100"/>
      <c r="F1320" s="100"/>
      <c r="G1320" s="100"/>
      <c r="H1320" s="100"/>
      <c r="I1320" s="100"/>
      <c r="J1320" s="100"/>
      <c r="K1320" s="100"/>
      <c r="L1320" s="100"/>
      <c r="M1320" s="100"/>
      <c r="N1320" s="100"/>
      <c r="O1320" s="100"/>
      <c r="P1320" s="100"/>
      <c r="Q1320" s="100"/>
      <c r="R1320" s="100"/>
      <c r="S1320" s="100"/>
      <c r="T1320" s="100"/>
      <c r="U1320" s="100"/>
      <c r="V1320" s="100"/>
      <c r="W1320" s="100"/>
      <c r="X1320" s="100"/>
      <c r="Y1320" s="100"/>
      <c r="Z1320" s="100"/>
      <c r="AA1320" s="100"/>
    </row>
    <row r="1321" spans="2:27">
      <c r="B1321" s="100"/>
      <c r="C1321" s="100"/>
      <c r="D1321" s="100"/>
      <c r="E1321" s="100"/>
      <c r="F1321" s="100"/>
      <c r="G1321" s="100"/>
      <c r="H1321" s="100"/>
      <c r="I1321" s="100"/>
      <c r="J1321" s="100"/>
      <c r="K1321" s="100"/>
      <c r="L1321" s="100"/>
      <c r="M1321" s="100"/>
      <c r="N1321" s="100"/>
      <c r="O1321" s="100"/>
      <c r="P1321" s="100"/>
      <c r="Q1321" s="100"/>
      <c r="R1321" s="100"/>
      <c r="S1321" s="100"/>
      <c r="T1321" s="100"/>
      <c r="U1321" s="100"/>
      <c r="V1321" s="100"/>
      <c r="W1321" s="100"/>
      <c r="X1321" s="100"/>
      <c r="Y1321" s="100"/>
      <c r="Z1321" s="100"/>
      <c r="AA1321" s="100"/>
    </row>
    <row r="1322" spans="2:27">
      <c r="B1322" s="100"/>
      <c r="C1322" s="100"/>
      <c r="D1322" s="100"/>
      <c r="E1322" s="100"/>
      <c r="F1322" s="100"/>
      <c r="G1322" s="100"/>
      <c r="H1322" s="100"/>
      <c r="I1322" s="100"/>
      <c r="J1322" s="100"/>
      <c r="K1322" s="100"/>
      <c r="L1322" s="100"/>
      <c r="M1322" s="100"/>
      <c r="N1322" s="100"/>
      <c r="O1322" s="100"/>
      <c r="P1322" s="100"/>
      <c r="Q1322" s="100"/>
      <c r="R1322" s="100"/>
      <c r="S1322" s="100"/>
      <c r="T1322" s="100"/>
      <c r="U1322" s="100"/>
      <c r="V1322" s="100"/>
      <c r="W1322" s="100"/>
      <c r="X1322" s="100"/>
      <c r="Y1322" s="100"/>
      <c r="Z1322" s="100"/>
      <c r="AA1322" s="100"/>
    </row>
    <row r="1323" spans="2:27">
      <c r="B1323" s="100"/>
      <c r="C1323" s="100"/>
      <c r="D1323" s="100"/>
      <c r="E1323" s="100"/>
      <c r="F1323" s="100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  <c r="AA1323" s="100"/>
    </row>
    <row r="1324" spans="2:27">
      <c r="B1324" s="100"/>
      <c r="C1324" s="100"/>
      <c r="D1324" s="100"/>
      <c r="E1324" s="100"/>
      <c r="F1324" s="100"/>
      <c r="G1324" s="100"/>
      <c r="H1324" s="100"/>
      <c r="I1324" s="100"/>
      <c r="J1324" s="100"/>
      <c r="K1324" s="100"/>
      <c r="L1324" s="100"/>
      <c r="M1324" s="100"/>
      <c r="N1324" s="100"/>
      <c r="O1324" s="100"/>
      <c r="P1324" s="100"/>
      <c r="Q1324" s="100"/>
      <c r="R1324" s="100"/>
      <c r="S1324" s="100"/>
      <c r="T1324" s="100"/>
      <c r="U1324" s="100"/>
      <c r="V1324" s="100"/>
      <c r="W1324" s="100"/>
      <c r="X1324" s="100"/>
      <c r="Y1324" s="100"/>
      <c r="Z1324" s="100"/>
      <c r="AA1324" s="100"/>
    </row>
    <row r="1325" spans="2:27">
      <c r="B1325" s="100"/>
      <c r="C1325" s="100"/>
      <c r="D1325" s="100"/>
      <c r="E1325" s="100"/>
      <c r="F1325" s="100"/>
      <c r="G1325" s="100"/>
      <c r="H1325" s="100"/>
      <c r="I1325" s="100"/>
      <c r="J1325" s="100"/>
      <c r="K1325" s="100"/>
      <c r="L1325" s="100"/>
      <c r="M1325" s="100"/>
      <c r="N1325" s="100"/>
      <c r="O1325" s="100"/>
      <c r="P1325" s="100"/>
      <c r="Q1325" s="100"/>
      <c r="R1325" s="100"/>
      <c r="S1325" s="100"/>
      <c r="T1325" s="100"/>
      <c r="U1325" s="100"/>
      <c r="V1325" s="100"/>
      <c r="W1325" s="100"/>
      <c r="X1325" s="100"/>
      <c r="Y1325" s="100"/>
      <c r="Z1325" s="100"/>
      <c r="AA1325" s="100"/>
    </row>
    <row r="1326" spans="2:27">
      <c r="B1326" s="100"/>
      <c r="C1326" s="100"/>
      <c r="D1326" s="100"/>
      <c r="E1326" s="100"/>
      <c r="F1326" s="100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  <c r="AA1326" s="100"/>
    </row>
    <row r="1327" spans="2:27">
      <c r="B1327" s="100"/>
      <c r="C1327" s="100"/>
      <c r="D1327" s="100"/>
      <c r="E1327" s="100"/>
      <c r="F1327" s="100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  <c r="AA1327" s="100"/>
    </row>
    <row r="1328" spans="2:27">
      <c r="B1328" s="100"/>
      <c r="C1328" s="100"/>
      <c r="D1328" s="100"/>
      <c r="E1328" s="100"/>
      <c r="F1328" s="100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  <c r="AA1328" s="100"/>
    </row>
    <row r="1329" spans="2:27">
      <c r="B1329" s="100"/>
      <c r="C1329" s="100"/>
      <c r="D1329" s="100"/>
      <c r="E1329" s="100"/>
      <c r="F1329" s="100"/>
      <c r="G1329" s="100"/>
      <c r="H1329" s="100"/>
      <c r="I1329" s="100"/>
      <c r="J1329" s="100"/>
      <c r="K1329" s="100"/>
      <c r="L1329" s="100"/>
      <c r="M1329" s="100"/>
      <c r="N1329" s="100"/>
      <c r="O1329" s="100"/>
      <c r="P1329" s="100"/>
      <c r="Q1329" s="100"/>
      <c r="R1329" s="100"/>
      <c r="S1329" s="100"/>
      <c r="T1329" s="100"/>
      <c r="U1329" s="100"/>
      <c r="V1329" s="100"/>
      <c r="W1329" s="100"/>
      <c r="X1329" s="100"/>
      <c r="Y1329" s="100"/>
      <c r="Z1329" s="100"/>
      <c r="AA1329" s="100"/>
    </row>
    <row r="1330" spans="2:27">
      <c r="B1330" s="100"/>
      <c r="C1330" s="100"/>
      <c r="D1330" s="100"/>
      <c r="E1330" s="100"/>
      <c r="F1330" s="100"/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  <c r="AA1330" s="100"/>
    </row>
    <row r="1331" spans="2:27">
      <c r="B1331" s="100"/>
      <c r="C1331" s="100"/>
      <c r="D1331" s="100"/>
      <c r="E1331" s="100"/>
      <c r="F1331" s="100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  <c r="AA1331" s="100"/>
    </row>
    <row r="1332" spans="2:27">
      <c r="B1332" s="100"/>
      <c r="C1332" s="100"/>
      <c r="D1332" s="100"/>
      <c r="E1332" s="100"/>
      <c r="F1332" s="100"/>
      <c r="G1332" s="100"/>
      <c r="H1332" s="100"/>
      <c r="I1332" s="100"/>
      <c r="J1332" s="100"/>
      <c r="K1332" s="100"/>
      <c r="L1332" s="100"/>
      <c r="M1332" s="100"/>
      <c r="N1332" s="100"/>
      <c r="O1332" s="100"/>
      <c r="P1332" s="100"/>
      <c r="Q1332" s="100"/>
      <c r="R1332" s="100"/>
      <c r="S1332" s="100"/>
      <c r="T1332" s="100"/>
      <c r="U1332" s="100"/>
      <c r="V1332" s="100"/>
      <c r="W1332" s="100"/>
      <c r="X1332" s="100"/>
      <c r="Y1332" s="100"/>
      <c r="Z1332" s="100"/>
      <c r="AA1332" s="100"/>
    </row>
    <row r="1333" spans="2:27">
      <c r="B1333" s="100"/>
      <c r="C1333" s="100"/>
      <c r="D1333" s="100"/>
      <c r="E1333" s="100"/>
      <c r="F1333" s="100"/>
      <c r="G1333" s="100"/>
      <c r="H1333" s="100"/>
      <c r="I1333" s="100"/>
      <c r="J1333" s="100"/>
      <c r="K1333" s="100"/>
      <c r="L1333" s="100"/>
      <c r="M1333" s="100"/>
      <c r="N1333" s="100"/>
      <c r="O1333" s="100"/>
      <c r="P1333" s="100"/>
      <c r="Q1333" s="100"/>
      <c r="R1333" s="100"/>
      <c r="S1333" s="100"/>
      <c r="T1333" s="100"/>
      <c r="U1333" s="100"/>
      <c r="V1333" s="100"/>
      <c r="W1333" s="100"/>
      <c r="X1333" s="100"/>
      <c r="Y1333" s="100"/>
      <c r="Z1333" s="100"/>
      <c r="AA1333" s="100"/>
    </row>
    <row r="1334" spans="2:27">
      <c r="B1334" s="100"/>
      <c r="C1334" s="100"/>
      <c r="D1334" s="100"/>
      <c r="E1334" s="100"/>
      <c r="F1334" s="100"/>
      <c r="G1334" s="100"/>
      <c r="H1334" s="100"/>
      <c r="I1334" s="100"/>
      <c r="J1334" s="100"/>
      <c r="K1334" s="100"/>
      <c r="L1334" s="100"/>
      <c r="M1334" s="100"/>
      <c r="N1334" s="100"/>
      <c r="O1334" s="100"/>
      <c r="P1334" s="100"/>
      <c r="Q1334" s="100"/>
      <c r="R1334" s="100"/>
      <c r="S1334" s="100"/>
      <c r="T1334" s="100"/>
      <c r="U1334" s="100"/>
      <c r="V1334" s="100"/>
      <c r="W1334" s="100"/>
      <c r="X1334" s="100"/>
      <c r="Y1334" s="100"/>
      <c r="Z1334" s="100"/>
      <c r="AA1334" s="100"/>
    </row>
    <row r="1335" spans="2:27">
      <c r="B1335" s="100"/>
      <c r="C1335" s="100"/>
      <c r="D1335" s="100"/>
      <c r="E1335" s="100"/>
      <c r="F1335" s="100"/>
      <c r="G1335" s="100"/>
      <c r="H1335" s="100"/>
      <c r="I1335" s="100"/>
      <c r="J1335" s="100"/>
      <c r="K1335" s="100"/>
      <c r="L1335" s="100"/>
      <c r="M1335" s="100"/>
      <c r="N1335" s="100"/>
      <c r="O1335" s="100"/>
      <c r="P1335" s="100"/>
      <c r="Q1335" s="100"/>
      <c r="R1335" s="100"/>
      <c r="S1335" s="100"/>
      <c r="T1335" s="100"/>
      <c r="U1335" s="100"/>
      <c r="V1335" s="100"/>
      <c r="W1335" s="100"/>
      <c r="X1335" s="100"/>
      <c r="Y1335" s="100"/>
      <c r="Z1335" s="100"/>
      <c r="AA1335" s="100"/>
    </row>
    <row r="1336" spans="2:27">
      <c r="B1336" s="100"/>
      <c r="C1336" s="100"/>
      <c r="D1336" s="100"/>
      <c r="E1336" s="100"/>
      <c r="F1336" s="100"/>
      <c r="G1336" s="100"/>
      <c r="H1336" s="100"/>
      <c r="I1336" s="100"/>
      <c r="J1336" s="100"/>
      <c r="K1336" s="100"/>
      <c r="L1336" s="100"/>
      <c r="M1336" s="100"/>
      <c r="N1336" s="100"/>
      <c r="O1336" s="100"/>
      <c r="P1336" s="100"/>
      <c r="Q1336" s="100"/>
      <c r="R1336" s="100"/>
      <c r="S1336" s="100"/>
      <c r="T1336" s="100"/>
      <c r="U1336" s="100"/>
      <c r="V1336" s="100"/>
      <c r="W1336" s="100"/>
      <c r="X1336" s="100"/>
      <c r="Y1336" s="100"/>
      <c r="Z1336" s="100"/>
      <c r="AA1336" s="100"/>
    </row>
    <row r="1337" spans="2:27">
      <c r="B1337" s="100"/>
      <c r="C1337" s="100"/>
      <c r="D1337" s="100"/>
      <c r="E1337" s="100"/>
      <c r="F1337" s="100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  <c r="AA1337" s="100"/>
    </row>
    <row r="1338" spans="2:27">
      <c r="B1338" s="100"/>
      <c r="C1338" s="100"/>
      <c r="D1338" s="100"/>
      <c r="E1338" s="100"/>
      <c r="F1338" s="100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  <c r="AA1338" s="100"/>
    </row>
    <row r="1339" spans="2:27">
      <c r="B1339" s="100"/>
      <c r="C1339" s="100"/>
      <c r="D1339" s="100"/>
      <c r="E1339" s="100"/>
      <c r="F1339" s="100"/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  <c r="AA1339" s="100"/>
    </row>
    <row r="1340" spans="2:27">
      <c r="B1340" s="100"/>
      <c r="C1340" s="100"/>
      <c r="D1340" s="100"/>
      <c r="E1340" s="100"/>
      <c r="F1340" s="100"/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  <c r="AA1340" s="100"/>
    </row>
    <row r="1341" spans="2:27">
      <c r="B1341" s="100"/>
      <c r="C1341" s="100"/>
      <c r="D1341" s="100"/>
      <c r="E1341" s="100"/>
      <c r="F1341" s="100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  <c r="AA1341" s="100"/>
    </row>
    <row r="1342" spans="2:27">
      <c r="B1342" s="100"/>
      <c r="C1342" s="100"/>
      <c r="D1342" s="100"/>
      <c r="E1342" s="100"/>
      <c r="F1342" s="100"/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  <c r="AA1342" s="100"/>
    </row>
    <row r="1343" spans="2:27">
      <c r="B1343" s="100"/>
      <c r="C1343" s="100"/>
      <c r="D1343" s="100"/>
      <c r="E1343" s="100"/>
      <c r="F1343" s="100"/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  <c r="AA1343" s="100"/>
    </row>
    <row r="1344" spans="2:27">
      <c r="B1344" s="100"/>
      <c r="C1344" s="100"/>
      <c r="D1344" s="100"/>
      <c r="E1344" s="100"/>
      <c r="F1344" s="100"/>
      <c r="G1344" s="100"/>
      <c r="H1344" s="100"/>
      <c r="I1344" s="100"/>
      <c r="J1344" s="100"/>
      <c r="K1344" s="100"/>
      <c r="L1344" s="100"/>
      <c r="M1344" s="100"/>
      <c r="N1344" s="100"/>
      <c r="O1344" s="100"/>
      <c r="P1344" s="100"/>
      <c r="Q1344" s="100"/>
      <c r="R1344" s="100"/>
      <c r="S1344" s="100"/>
      <c r="T1344" s="100"/>
      <c r="U1344" s="100"/>
      <c r="V1344" s="100"/>
      <c r="W1344" s="100"/>
      <c r="X1344" s="100"/>
      <c r="Y1344" s="100"/>
      <c r="Z1344" s="100"/>
      <c r="AA1344" s="100"/>
    </row>
    <row r="1345" spans="2:27">
      <c r="B1345" s="100"/>
      <c r="C1345" s="100"/>
      <c r="D1345" s="100"/>
      <c r="E1345" s="100"/>
      <c r="F1345" s="100"/>
      <c r="G1345" s="100"/>
      <c r="H1345" s="100"/>
      <c r="I1345" s="100"/>
      <c r="J1345" s="100"/>
      <c r="K1345" s="100"/>
      <c r="L1345" s="100"/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  <c r="AA1345" s="100"/>
    </row>
    <row r="1346" spans="2:27">
      <c r="B1346" s="100"/>
      <c r="C1346" s="100"/>
      <c r="D1346" s="100"/>
      <c r="E1346" s="100"/>
      <c r="F1346" s="100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  <c r="AA1346" s="100"/>
    </row>
    <row r="1347" spans="2:27">
      <c r="B1347" s="100"/>
      <c r="C1347" s="100"/>
      <c r="D1347" s="100"/>
      <c r="E1347" s="100"/>
      <c r="F1347" s="100"/>
      <c r="G1347" s="100"/>
      <c r="H1347" s="100"/>
      <c r="I1347" s="100"/>
      <c r="J1347" s="100"/>
      <c r="K1347" s="100"/>
      <c r="L1347" s="100"/>
      <c r="M1347" s="100"/>
      <c r="N1347" s="100"/>
      <c r="O1347" s="100"/>
      <c r="P1347" s="100"/>
      <c r="Q1347" s="100"/>
      <c r="R1347" s="100"/>
      <c r="S1347" s="100"/>
      <c r="T1347" s="100"/>
      <c r="U1347" s="100"/>
      <c r="V1347" s="100"/>
      <c r="W1347" s="100"/>
      <c r="X1347" s="100"/>
      <c r="Y1347" s="100"/>
      <c r="Z1347" s="100"/>
      <c r="AA1347" s="100"/>
    </row>
    <row r="1348" spans="2:27">
      <c r="B1348" s="100"/>
      <c r="C1348" s="100"/>
      <c r="D1348" s="100"/>
      <c r="E1348" s="100"/>
      <c r="F1348" s="100"/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  <c r="AA1348" s="100"/>
    </row>
    <row r="1349" spans="2:27">
      <c r="B1349" s="100"/>
      <c r="C1349" s="100"/>
      <c r="D1349" s="100"/>
      <c r="E1349" s="100"/>
      <c r="F1349" s="100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  <c r="AA1349" s="100"/>
    </row>
    <row r="1350" spans="2:27">
      <c r="B1350" s="100"/>
      <c r="C1350" s="100"/>
      <c r="D1350" s="100"/>
      <c r="E1350" s="100"/>
      <c r="F1350" s="100"/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  <c r="AA1350" s="100"/>
    </row>
    <row r="1351" spans="2:27">
      <c r="B1351" s="100"/>
      <c r="C1351" s="100"/>
      <c r="D1351" s="100"/>
      <c r="E1351" s="100"/>
      <c r="F1351" s="100"/>
      <c r="G1351" s="100"/>
      <c r="H1351" s="100"/>
      <c r="I1351" s="100"/>
      <c r="J1351" s="100"/>
      <c r="K1351" s="100"/>
      <c r="L1351" s="100"/>
      <c r="M1351" s="100"/>
      <c r="N1351" s="100"/>
      <c r="O1351" s="100"/>
      <c r="P1351" s="100"/>
      <c r="Q1351" s="100"/>
      <c r="R1351" s="100"/>
      <c r="S1351" s="100"/>
      <c r="T1351" s="100"/>
      <c r="U1351" s="100"/>
      <c r="V1351" s="100"/>
      <c r="W1351" s="100"/>
      <c r="X1351" s="100"/>
      <c r="Y1351" s="100"/>
      <c r="Z1351" s="100"/>
      <c r="AA1351" s="100"/>
    </row>
    <row r="1352" spans="2:27">
      <c r="B1352" s="100"/>
      <c r="C1352" s="100"/>
      <c r="D1352" s="100"/>
      <c r="E1352" s="100"/>
      <c r="F1352" s="100"/>
      <c r="G1352" s="100"/>
      <c r="H1352" s="100"/>
      <c r="I1352" s="100"/>
      <c r="J1352" s="100"/>
      <c r="K1352" s="100"/>
      <c r="L1352" s="100"/>
      <c r="M1352" s="100"/>
      <c r="N1352" s="100"/>
      <c r="O1352" s="100"/>
      <c r="P1352" s="100"/>
      <c r="Q1352" s="100"/>
      <c r="R1352" s="100"/>
      <c r="S1352" s="100"/>
      <c r="T1352" s="100"/>
      <c r="U1352" s="100"/>
      <c r="V1352" s="100"/>
      <c r="W1352" s="100"/>
      <c r="X1352" s="100"/>
      <c r="Y1352" s="100"/>
      <c r="Z1352" s="100"/>
      <c r="AA1352" s="100"/>
    </row>
    <row r="1353" spans="2:27">
      <c r="B1353" s="100"/>
      <c r="C1353" s="100"/>
      <c r="D1353" s="100"/>
      <c r="E1353" s="100"/>
      <c r="F1353" s="100"/>
      <c r="G1353" s="100"/>
      <c r="H1353" s="100"/>
      <c r="I1353" s="100"/>
      <c r="J1353" s="100"/>
      <c r="K1353" s="100"/>
      <c r="L1353" s="100"/>
      <c r="M1353" s="100"/>
      <c r="N1353" s="100"/>
      <c r="O1353" s="100"/>
      <c r="P1353" s="100"/>
      <c r="Q1353" s="100"/>
      <c r="R1353" s="100"/>
      <c r="S1353" s="100"/>
      <c r="T1353" s="100"/>
      <c r="U1353" s="100"/>
      <c r="V1353" s="100"/>
      <c r="W1353" s="100"/>
      <c r="X1353" s="100"/>
      <c r="Y1353" s="100"/>
      <c r="Z1353" s="100"/>
      <c r="AA1353" s="100"/>
    </row>
    <row r="1354" spans="2:27">
      <c r="B1354" s="100"/>
      <c r="C1354" s="100"/>
      <c r="D1354" s="100"/>
      <c r="E1354" s="100"/>
      <c r="F1354" s="100"/>
      <c r="G1354" s="100"/>
      <c r="H1354" s="100"/>
      <c r="I1354" s="100"/>
      <c r="J1354" s="100"/>
      <c r="K1354" s="100"/>
      <c r="L1354" s="100"/>
      <c r="M1354" s="100"/>
      <c r="N1354" s="100"/>
      <c r="O1354" s="100"/>
      <c r="P1354" s="100"/>
      <c r="Q1354" s="100"/>
      <c r="R1354" s="100"/>
      <c r="S1354" s="100"/>
      <c r="T1354" s="100"/>
      <c r="U1354" s="100"/>
      <c r="V1354" s="100"/>
      <c r="W1354" s="100"/>
      <c r="X1354" s="100"/>
      <c r="Y1354" s="100"/>
      <c r="Z1354" s="100"/>
      <c r="AA1354" s="100"/>
    </row>
    <row r="1355" spans="2:27">
      <c r="B1355" s="100"/>
      <c r="C1355" s="100"/>
      <c r="D1355" s="100"/>
      <c r="E1355" s="100"/>
      <c r="F1355" s="100"/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  <c r="AA1355" s="100"/>
    </row>
    <row r="1356" spans="2:27">
      <c r="B1356" s="100"/>
      <c r="C1356" s="100"/>
      <c r="D1356" s="100"/>
      <c r="E1356" s="100"/>
      <c r="F1356" s="100"/>
      <c r="G1356" s="100"/>
      <c r="H1356" s="100"/>
      <c r="I1356" s="100"/>
      <c r="J1356" s="100"/>
      <c r="K1356" s="100"/>
      <c r="L1356" s="100"/>
      <c r="M1356" s="100"/>
      <c r="N1356" s="100"/>
      <c r="O1356" s="100"/>
      <c r="P1356" s="100"/>
      <c r="Q1356" s="100"/>
      <c r="R1356" s="100"/>
      <c r="S1356" s="100"/>
      <c r="T1356" s="100"/>
      <c r="U1356" s="100"/>
      <c r="V1356" s="100"/>
      <c r="W1356" s="100"/>
      <c r="X1356" s="100"/>
      <c r="Y1356" s="100"/>
      <c r="Z1356" s="100"/>
      <c r="AA1356" s="100"/>
    </row>
    <row r="1357" spans="2:27">
      <c r="B1357" s="100"/>
      <c r="C1357" s="100"/>
      <c r="D1357" s="100"/>
      <c r="E1357" s="100"/>
      <c r="F1357" s="100"/>
      <c r="G1357" s="100"/>
      <c r="H1357" s="100"/>
      <c r="I1357" s="100"/>
      <c r="J1357" s="100"/>
      <c r="K1357" s="100"/>
      <c r="L1357" s="100"/>
      <c r="M1357" s="100"/>
      <c r="N1357" s="100"/>
      <c r="O1357" s="100"/>
      <c r="P1357" s="100"/>
      <c r="Q1357" s="100"/>
      <c r="R1357" s="100"/>
      <c r="S1357" s="100"/>
      <c r="T1357" s="100"/>
      <c r="U1357" s="100"/>
      <c r="V1357" s="100"/>
      <c r="W1357" s="100"/>
      <c r="X1357" s="100"/>
      <c r="Y1357" s="100"/>
      <c r="Z1357" s="100"/>
      <c r="AA1357" s="100"/>
    </row>
    <row r="1358" spans="2:27">
      <c r="B1358" s="100"/>
      <c r="C1358" s="100"/>
      <c r="D1358" s="100"/>
      <c r="E1358" s="100"/>
      <c r="F1358" s="100"/>
      <c r="G1358" s="100"/>
      <c r="H1358" s="100"/>
      <c r="I1358" s="100"/>
      <c r="J1358" s="100"/>
      <c r="K1358" s="100"/>
      <c r="L1358" s="100"/>
      <c r="M1358" s="100"/>
      <c r="N1358" s="100"/>
      <c r="O1358" s="100"/>
      <c r="P1358" s="100"/>
      <c r="Q1358" s="100"/>
      <c r="R1358" s="100"/>
      <c r="S1358" s="100"/>
      <c r="T1358" s="100"/>
      <c r="U1358" s="100"/>
      <c r="V1358" s="100"/>
      <c r="W1358" s="100"/>
      <c r="X1358" s="100"/>
      <c r="Y1358" s="100"/>
      <c r="Z1358" s="100"/>
      <c r="AA1358" s="100"/>
    </row>
    <row r="1359" spans="2:27">
      <c r="B1359" s="100"/>
      <c r="C1359" s="100"/>
      <c r="D1359" s="100"/>
      <c r="E1359" s="100"/>
      <c r="F1359" s="100"/>
      <c r="G1359" s="100"/>
      <c r="H1359" s="100"/>
      <c r="I1359" s="100"/>
      <c r="J1359" s="100"/>
      <c r="K1359" s="100"/>
      <c r="L1359" s="100"/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  <c r="AA1359" s="100"/>
    </row>
    <row r="1360" spans="2:27">
      <c r="B1360" s="100"/>
      <c r="C1360" s="100"/>
      <c r="D1360" s="100"/>
      <c r="E1360" s="100"/>
      <c r="F1360" s="100"/>
      <c r="G1360" s="100"/>
      <c r="H1360" s="100"/>
      <c r="I1360" s="100"/>
      <c r="J1360" s="100"/>
      <c r="K1360" s="100"/>
      <c r="L1360" s="100"/>
      <c r="M1360" s="100"/>
      <c r="N1360" s="100"/>
      <c r="O1360" s="100"/>
      <c r="P1360" s="100"/>
      <c r="Q1360" s="100"/>
      <c r="R1360" s="100"/>
      <c r="S1360" s="100"/>
      <c r="T1360" s="100"/>
      <c r="U1360" s="100"/>
      <c r="V1360" s="100"/>
      <c r="W1360" s="100"/>
      <c r="X1360" s="100"/>
      <c r="Y1360" s="100"/>
      <c r="Z1360" s="100"/>
      <c r="AA1360" s="100"/>
    </row>
    <row r="1361" spans="2:27">
      <c r="B1361" s="100"/>
      <c r="C1361" s="100"/>
      <c r="D1361" s="100"/>
      <c r="E1361" s="100"/>
      <c r="F1361" s="100"/>
      <c r="G1361" s="100"/>
      <c r="H1361" s="100"/>
      <c r="I1361" s="100"/>
      <c r="J1361" s="100"/>
      <c r="K1361" s="100"/>
      <c r="L1361" s="100"/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  <c r="AA1361" s="100"/>
    </row>
    <row r="1362" spans="2:27">
      <c r="B1362" s="100"/>
      <c r="C1362" s="100"/>
      <c r="D1362" s="100"/>
      <c r="E1362" s="100"/>
      <c r="F1362" s="100"/>
      <c r="G1362" s="100"/>
      <c r="H1362" s="100"/>
      <c r="I1362" s="100"/>
      <c r="J1362" s="100"/>
      <c r="K1362" s="100"/>
      <c r="L1362" s="100"/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  <c r="AA1362" s="100"/>
    </row>
    <row r="1363" spans="2:27">
      <c r="B1363" s="100"/>
      <c r="C1363" s="100"/>
      <c r="D1363" s="100"/>
      <c r="E1363" s="100"/>
      <c r="F1363" s="100"/>
      <c r="G1363" s="100"/>
      <c r="H1363" s="100"/>
      <c r="I1363" s="100"/>
      <c r="J1363" s="100"/>
      <c r="K1363" s="100"/>
      <c r="L1363" s="100"/>
      <c r="M1363" s="100"/>
      <c r="N1363" s="100"/>
      <c r="O1363" s="100"/>
      <c r="P1363" s="100"/>
      <c r="Q1363" s="100"/>
      <c r="R1363" s="100"/>
      <c r="S1363" s="100"/>
      <c r="T1363" s="100"/>
      <c r="U1363" s="100"/>
      <c r="V1363" s="100"/>
      <c r="W1363" s="100"/>
      <c r="X1363" s="100"/>
      <c r="Y1363" s="100"/>
      <c r="Z1363" s="100"/>
      <c r="AA1363" s="100"/>
    </row>
    <row r="1364" spans="2:27">
      <c r="B1364" s="100"/>
      <c r="C1364" s="100"/>
      <c r="D1364" s="100"/>
      <c r="E1364" s="100"/>
      <c r="F1364" s="100"/>
      <c r="G1364" s="100"/>
      <c r="H1364" s="100"/>
      <c r="I1364" s="100"/>
      <c r="J1364" s="100"/>
      <c r="K1364" s="100"/>
      <c r="L1364" s="100"/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  <c r="AA1364" s="100"/>
    </row>
    <row r="1365" spans="2:27">
      <c r="B1365" s="100"/>
      <c r="C1365" s="100"/>
      <c r="D1365" s="100"/>
      <c r="E1365" s="100"/>
      <c r="F1365" s="100"/>
      <c r="G1365" s="100"/>
      <c r="H1365" s="100"/>
      <c r="I1365" s="100"/>
      <c r="J1365" s="100"/>
      <c r="K1365" s="100"/>
      <c r="L1365" s="100"/>
      <c r="M1365" s="100"/>
      <c r="N1365" s="100"/>
      <c r="O1365" s="100"/>
      <c r="P1365" s="100"/>
      <c r="Q1365" s="100"/>
      <c r="R1365" s="100"/>
      <c r="S1365" s="100"/>
      <c r="T1365" s="100"/>
      <c r="U1365" s="100"/>
      <c r="V1365" s="100"/>
      <c r="W1365" s="100"/>
      <c r="X1365" s="100"/>
      <c r="Y1365" s="100"/>
      <c r="Z1365" s="100"/>
      <c r="AA1365" s="100"/>
    </row>
    <row r="1366" spans="2:27">
      <c r="B1366" s="100"/>
      <c r="C1366" s="100"/>
      <c r="D1366" s="100"/>
      <c r="E1366" s="100"/>
      <c r="F1366" s="100"/>
      <c r="G1366" s="100"/>
      <c r="H1366" s="100"/>
      <c r="I1366" s="100"/>
      <c r="J1366" s="100"/>
      <c r="K1366" s="100"/>
      <c r="L1366" s="100"/>
      <c r="M1366" s="100"/>
      <c r="N1366" s="100"/>
      <c r="O1366" s="100"/>
      <c r="P1366" s="100"/>
      <c r="Q1366" s="100"/>
      <c r="R1366" s="100"/>
      <c r="S1366" s="100"/>
      <c r="T1366" s="100"/>
      <c r="U1366" s="100"/>
      <c r="V1366" s="100"/>
      <c r="W1366" s="100"/>
      <c r="X1366" s="100"/>
      <c r="Y1366" s="100"/>
      <c r="Z1366" s="100"/>
      <c r="AA1366" s="100"/>
    </row>
    <row r="1367" spans="2:27">
      <c r="B1367" s="100"/>
      <c r="C1367" s="100"/>
      <c r="D1367" s="100"/>
      <c r="E1367" s="100"/>
      <c r="F1367" s="100"/>
      <c r="G1367" s="100"/>
      <c r="H1367" s="100"/>
      <c r="I1367" s="100"/>
      <c r="J1367" s="100"/>
      <c r="K1367" s="100"/>
      <c r="L1367" s="100"/>
      <c r="M1367" s="100"/>
      <c r="N1367" s="100"/>
      <c r="O1367" s="100"/>
      <c r="P1367" s="100"/>
      <c r="Q1367" s="100"/>
      <c r="R1367" s="100"/>
      <c r="S1367" s="100"/>
      <c r="T1367" s="100"/>
      <c r="U1367" s="100"/>
      <c r="V1367" s="100"/>
      <c r="W1367" s="100"/>
      <c r="X1367" s="100"/>
      <c r="Y1367" s="100"/>
      <c r="Z1367" s="100"/>
      <c r="AA1367" s="100"/>
    </row>
    <row r="1368" spans="2:27">
      <c r="B1368" s="100"/>
      <c r="C1368" s="100"/>
      <c r="D1368" s="100"/>
      <c r="E1368" s="100"/>
      <c r="F1368" s="100"/>
      <c r="G1368" s="100"/>
      <c r="H1368" s="100"/>
      <c r="I1368" s="100"/>
      <c r="J1368" s="100"/>
      <c r="K1368" s="100"/>
      <c r="L1368" s="100"/>
      <c r="M1368" s="100"/>
      <c r="N1368" s="100"/>
      <c r="O1368" s="100"/>
      <c r="P1368" s="100"/>
      <c r="Q1368" s="100"/>
      <c r="R1368" s="100"/>
      <c r="S1368" s="100"/>
      <c r="T1368" s="100"/>
      <c r="U1368" s="100"/>
      <c r="V1368" s="100"/>
      <c r="W1368" s="100"/>
      <c r="X1368" s="100"/>
      <c r="Y1368" s="100"/>
      <c r="Z1368" s="100"/>
      <c r="AA1368" s="100"/>
    </row>
    <row r="1369" spans="2:27">
      <c r="B1369" s="100"/>
      <c r="C1369" s="100"/>
      <c r="D1369" s="100"/>
      <c r="E1369" s="100"/>
      <c r="F1369" s="100"/>
      <c r="G1369" s="100"/>
      <c r="H1369" s="100"/>
      <c r="I1369" s="100"/>
      <c r="J1369" s="100"/>
      <c r="K1369" s="100"/>
      <c r="L1369" s="100"/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  <c r="AA1369" s="100"/>
    </row>
    <row r="1370" spans="2:27">
      <c r="B1370" s="100"/>
      <c r="C1370" s="100"/>
      <c r="D1370" s="100"/>
      <c r="E1370" s="100"/>
      <c r="F1370" s="100"/>
      <c r="G1370" s="100"/>
      <c r="H1370" s="100"/>
      <c r="I1370" s="100"/>
      <c r="J1370" s="100"/>
      <c r="K1370" s="100"/>
      <c r="L1370" s="100"/>
      <c r="M1370" s="100"/>
      <c r="N1370" s="100"/>
      <c r="O1370" s="100"/>
      <c r="P1370" s="100"/>
      <c r="Q1370" s="100"/>
      <c r="R1370" s="100"/>
      <c r="S1370" s="100"/>
      <c r="T1370" s="100"/>
      <c r="U1370" s="100"/>
      <c r="V1370" s="100"/>
      <c r="W1370" s="100"/>
      <c r="X1370" s="100"/>
      <c r="Y1370" s="100"/>
      <c r="Z1370" s="100"/>
      <c r="AA1370" s="100"/>
    </row>
    <row r="1371" spans="2:27">
      <c r="B1371" s="100"/>
      <c r="C1371" s="100"/>
      <c r="D1371" s="100"/>
      <c r="E1371" s="100"/>
      <c r="F1371" s="100"/>
      <c r="G1371" s="100"/>
      <c r="H1371" s="100"/>
      <c r="I1371" s="100"/>
      <c r="J1371" s="100"/>
      <c r="K1371" s="100"/>
      <c r="L1371" s="100"/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  <c r="AA1371" s="100"/>
    </row>
    <row r="1372" spans="2:27">
      <c r="B1372" s="100"/>
      <c r="C1372" s="100"/>
      <c r="D1372" s="100"/>
      <c r="E1372" s="100"/>
      <c r="F1372" s="100"/>
      <c r="G1372" s="100"/>
      <c r="H1372" s="100"/>
      <c r="I1372" s="100"/>
      <c r="J1372" s="100"/>
      <c r="K1372" s="100"/>
      <c r="L1372" s="100"/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  <c r="AA1372" s="100"/>
    </row>
    <row r="1373" spans="2:27">
      <c r="B1373" s="100"/>
      <c r="C1373" s="100"/>
      <c r="D1373" s="100"/>
      <c r="E1373" s="100"/>
      <c r="F1373" s="100"/>
      <c r="G1373" s="100"/>
      <c r="H1373" s="100"/>
      <c r="I1373" s="100"/>
      <c r="J1373" s="100"/>
      <c r="K1373" s="100"/>
      <c r="L1373" s="100"/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  <c r="AA1373" s="100"/>
    </row>
    <row r="1374" spans="2:27">
      <c r="B1374" s="100"/>
      <c r="C1374" s="100"/>
      <c r="D1374" s="100"/>
      <c r="E1374" s="100"/>
      <c r="F1374" s="100"/>
      <c r="G1374" s="100"/>
      <c r="H1374" s="100"/>
      <c r="I1374" s="100"/>
      <c r="J1374" s="100"/>
      <c r="K1374" s="100"/>
      <c r="L1374" s="100"/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  <c r="AA1374" s="100"/>
    </row>
    <row r="1375" spans="2:27">
      <c r="B1375" s="100"/>
      <c r="C1375" s="100"/>
      <c r="D1375" s="100"/>
      <c r="E1375" s="100"/>
      <c r="F1375" s="100"/>
      <c r="G1375" s="100"/>
      <c r="H1375" s="100"/>
      <c r="I1375" s="100"/>
      <c r="J1375" s="100"/>
      <c r="K1375" s="100"/>
      <c r="L1375" s="100"/>
      <c r="M1375" s="100"/>
      <c r="N1375" s="100"/>
      <c r="O1375" s="100"/>
      <c r="P1375" s="100"/>
      <c r="Q1375" s="100"/>
      <c r="R1375" s="100"/>
      <c r="S1375" s="100"/>
      <c r="T1375" s="100"/>
      <c r="U1375" s="100"/>
      <c r="V1375" s="100"/>
      <c r="W1375" s="100"/>
      <c r="X1375" s="100"/>
      <c r="Y1375" s="100"/>
      <c r="Z1375" s="100"/>
      <c r="AA1375" s="100"/>
    </row>
    <row r="1376" spans="2:27">
      <c r="B1376" s="100"/>
      <c r="C1376" s="100"/>
      <c r="D1376" s="100"/>
      <c r="E1376" s="100"/>
      <c r="F1376" s="100"/>
      <c r="G1376" s="100"/>
      <c r="H1376" s="100"/>
      <c r="I1376" s="100"/>
      <c r="J1376" s="100"/>
      <c r="K1376" s="100"/>
      <c r="L1376" s="100"/>
      <c r="M1376" s="100"/>
      <c r="N1376" s="100"/>
      <c r="O1376" s="100"/>
      <c r="P1376" s="100"/>
      <c r="Q1376" s="100"/>
      <c r="R1376" s="100"/>
      <c r="S1376" s="100"/>
      <c r="T1376" s="100"/>
      <c r="U1376" s="100"/>
      <c r="V1376" s="100"/>
      <c r="W1376" s="100"/>
      <c r="X1376" s="100"/>
      <c r="Y1376" s="100"/>
      <c r="Z1376" s="100"/>
      <c r="AA1376" s="100"/>
    </row>
    <row r="1377" spans="2:27">
      <c r="B1377" s="100"/>
      <c r="C1377" s="100"/>
      <c r="D1377" s="100"/>
      <c r="E1377" s="100"/>
      <c r="F1377" s="100"/>
      <c r="G1377" s="100"/>
      <c r="H1377" s="100"/>
      <c r="I1377" s="100"/>
      <c r="J1377" s="100"/>
      <c r="K1377" s="100"/>
      <c r="L1377" s="100"/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  <c r="AA1377" s="100"/>
    </row>
    <row r="1378" spans="2:27">
      <c r="B1378" s="100"/>
      <c r="C1378" s="100"/>
      <c r="D1378" s="100"/>
      <c r="E1378" s="100"/>
      <c r="F1378" s="100"/>
      <c r="G1378" s="100"/>
      <c r="H1378" s="100"/>
      <c r="I1378" s="100"/>
      <c r="J1378" s="100"/>
      <c r="K1378" s="100"/>
      <c r="L1378" s="100"/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  <c r="AA1378" s="100"/>
    </row>
    <row r="1379" spans="2:27">
      <c r="B1379" s="100"/>
      <c r="C1379" s="100"/>
      <c r="D1379" s="100"/>
      <c r="E1379" s="100"/>
      <c r="F1379" s="100"/>
      <c r="G1379" s="100"/>
      <c r="H1379" s="100"/>
      <c r="I1379" s="100"/>
      <c r="J1379" s="100"/>
      <c r="K1379" s="100"/>
      <c r="L1379" s="100"/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  <c r="AA1379" s="100"/>
    </row>
    <row r="1380" spans="2:27">
      <c r="B1380" s="100"/>
      <c r="C1380" s="100"/>
      <c r="D1380" s="100"/>
      <c r="E1380" s="100"/>
      <c r="F1380" s="100"/>
      <c r="G1380" s="100"/>
      <c r="H1380" s="100"/>
      <c r="I1380" s="100"/>
      <c r="J1380" s="100"/>
      <c r="K1380" s="100"/>
      <c r="L1380" s="100"/>
      <c r="M1380" s="100"/>
      <c r="N1380" s="100"/>
      <c r="O1380" s="100"/>
      <c r="P1380" s="100"/>
      <c r="Q1380" s="100"/>
      <c r="R1380" s="100"/>
      <c r="S1380" s="100"/>
      <c r="T1380" s="100"/>
      <c r="U1380" s="100"/>
      <c r="V1380" s="100"/>
      <c r="W1380" s="100"/>
      <c r="X1380" s="100"/>
      <c r="Y1380" s="100"/>
      <c r="Z1380" s="100"/>
      <c r="AA1380" s="100"/>
    </row>
    <row r="1381" spans="2:27">
      <c r="B1381" s="100"/>
      <c r="C1381" s="100"/>
      <c r="D1381" s="100"/>
      <c r="E1381" s="100"/>
      <c r="F1381" s="100"/>
      <c r="G1381" s="100"/>
      <c r="H1381" s="100"/>
      <c r="I1381" s="100"/>
      <c r="J1381" s="100"/>
      <c r="K1381" s="100"/>
      <c r="L1381" s="100"/>
      <c r="M1381" s="100"/>
      <c r="N1381" s="100"/>
      <c r="O1381" s="100"/>
      <c r="P1381" s="100"/>
      <c r="Q1381" s="100"/>
      <c r="R1381" s="100"/>
      <c r="S1381" s="100"/>
      <c r="T1381" s="100"/>
      <c r="U1381" s="100"/>
      <c r="V1381" s="100"/>
      <c r="W1381" s="100"/>
      <c r="X1381" s="100"/>
      <c r="Y1381" s="100"/>
      <c r="Z1381" s="100"/>
      <c r="AA1381" s="100"/>
    </row>
    <row r="1382" spans="2:27">
      <c r="B1382" s="100"/>
      <c r="C1382" s="100"/>
      <c r="D1382" s="100"/>
      <c r="E1382" s="100"/>
      <c r="F1382" s="100"/>
      <c r="G1382" s="100"/>
      <c r="H1382" s="100"/>
      <c r="I1382" s="100"/>
      <c r="J1382" s="100"/>
      <c r="K1382" s="100"/>
      <c r="L1382" s="100"/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  <c r="AA1382" s="100"/>
    </row>
    <row r="1383" spans="2:27">
      <c r="B1383" s="100"/>
      <c r="C1383" s="100"/>
      <c r="D1383" s="100"/>
      <c r="E1383" s="100"/>
      <c r="F1383" s="100"/>
      <c r="G1383" s="100"/>
      <c r="H1383" s="100"/>
      <c r="I1383" s="100"/>
      <c r="J1383" s="100"/>
      <c r="K1383" s="100"/>
      <c r="L1383" s="100"/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  <c r="AA1383" s="100"/>
    </row>
    <row r="1384" spans="2:27">
      <c r="B1384" s="100"/>
      <c r="C1384" s="100"/>
      <c r="D1384" s="100"/>
      <c r="E1384" s="100"/>
      <c r="F1384" s="100"/>
      <c r="G1384" s="100"/>
      <c r="H1384" s="100"/>
      <c r="I1384" s="100"/>
      <c r="J1384" s="100"/>
      <c r="K1384" s="100"/>
      <c r="L1384" s="100"/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  <c r="AA1384" s="100"/>
    </row>
    <row r="1385" spans="2:27">
      <c r="B1385" s="100"/>
      <c r="C1385" s="100"/>
      <c r="D1385" s="100"/>
      <c r="E1385" s="100"/>
      <c r="F1385" s="100"/>
      <c r="G1385" s="100"/>
      <c r="H1385" s="100"/>
      <c r="I1385" s="100"/>
      <c r="J1385" s="100"/>
      <c r="K1385" s="100"/>
      <c r="L1385" s="100"/>
      <c r="M1385" s="100"/>
      <c r="N1385" s="100"/>
      <c r="O1385" s="100"/>
      <c r="P1385" s="100"/>
      <c r="Q1385" s="100"/>
      <c r="R1385" s="100"/>
      <c r="S1385" s="100"/>
      <c r="T1385" s="100"/>
      <c r="U1385" s="100"/>
      <c r="V1385" s="100"/>
      <c r="W1385" s="100"/>
      <c r="X1385" s="100"/>
      <c r="Y1385" s="100"/>
      <c r="Z1385" s="100"/>
      <c r="AA1385" s="100"/>
    </row>
    <row r="1386" spans="2:27">
      <c r="B1386" s="100"/>
      <c r="C1386" s="100"/>
      <c r="D1386" s="100"/>
      <c r="E1386" s="100"/>
      <c r="F1386" s="100"/>
      <c r="G1386" s="100"/>
      <c r="H1386" s="100"/>
      <c r="I1386" s="100"/>
      <c r="J1386" s="100"/>
      <c r="K1386" s="100"/>
      <c r="L1386" s="100"/>
      <c r="M1386" s="100"/>
      <c r="N1386" s="100"/>
      <c r="O1386" s="100"/>
      <c r="P1386" s="100"/>
      <c r="Q1386" s="100"/>
      <c r="R1386" s="100"/>
      <c r="S1386" s="100"/>
      <c r="T1386" s="100"/>
      <c r="U1386" s="100"/>
      <c r="V1386" s="100"/>
      <c r="W1386" s="100"/>
      <c r="X1386" s="100"/>
      <c r="Y1386" s="100"/>
      <c r="Z1386" s="100"/>
      <c r="AA1386" s="100"/>
    </row>
    <row r="1387" spans="2:27">
      <c r="B1387" s="100"/>
      <c r="C1387" s="100"/>
      <c r="D1387" s="100"/>
      <c r="E1387" s="100"/>
      <c r="F1387" s="100"/>
      <c r="G1387" s="100"/>
      <c r="H1387" s="100"/>
      <c r="I1387" s="100"/>
      <c r="J1387" s="100"/>
      <c r="K1387" s="100"/>
      <c r="L1387" s="100"/>
      <c r="M1387" s="100"/>
      <c r="N1387" s="100"/>
      <c r="O1387" s="100"/>
      <c r="P1387" s="100"/>
      <c r="Q1387" s="100"/>
      <c r="R1387" s="100"/>
      <c r="S1387" s="100"/>
      <c r="T1387" s="100"/>
      <c r="U1387" s="100"/>
      <c r="V1387" s="100"/>
      <c r="W1387" s="100"/>
      <c r="X1387" s="100"/>
      <c r="Y1387" s="100"/>
      <c r="Z1387" s="100"/>
      <c r="AA1387" s="100"/>
    </row>
    <row r="1388" spans="2:27">
      <c r="B1388" s="100"/>
      <c r="C1388" s="100"/>
      <c r="D1388" s="100"/>
      <c r="E1388" s="100"/>
      <c r="F1388" s="100"/>
      <c r="G1388" s="100"/>
      <c r="H1388" s="100"/>
      <c r="I1388" s="100"/>
      <c r="J1388" s="100"/>
      <c r="K1388" s="100"/>
      <c r="L1388" s="100"/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  <c r="AA1388" s="100"/>
    </row>
    <row r="1389" spans="2:27">
      <c r="B1389" s="100"/>
      <c r="C1389" s="100"/>
      <c r="D1389" s="100"/>
      <c r="E1389" s="100"/>
      <c r="F1389" s="100"/>
      <c r="G1389" s="100"/>
      <c r="H1389" s="100"/>
      <c r="I1389" s="100"/>
      <c r="J1389" s="100"/>
      <c r="K1389" s="100"/>
      <c r="L1389" s="100"/>
      <c r="M1389" s="100"/>
      <c r="N1389" s="100"/>
      <c r="O1389" s="100"/>
      <c r="P1389" s="100"/>
      <c r="Q1389" s="100"/>
      <c r="R1389" s="100"/>
      <c r="S1389" s="100"/>
      <c r="T1389" s="100"/>
      <c r="U1389" s="100"/>
      <c r="V1389" s="100"/>
      <c r="W1389" s="100"/>
      <c r="X1389" s="100"/>
      <c r="Y1389" s="100"/>
      <c r="Z1389" s="100"/>
      <c r="AA1389" s="100"/>
    </row>
    <row r="1390" spans="2:27">
      <c r="B1390" s="100"/>
      <c r="C1390" s="100"/>
      <c r="D1390" s="100"/>
      <c r="E1390" s="100"/>
      <c r="F1390" s="100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  <c r="AA1390" s="100"/>
    </row>
    <row r="1391" spans="2:27">
      <c r="B1391" s="100"/>
      <c r="C1391" s="100"/>
      <c r="D1391" s="100"/>
      <c r="E1391" s="100"/>
      <c r="F1391" s="100"/>
      <c r="G1391" s="100"/>
      <c r="H1391" s="100"/>
      <c r="I1391" s="100"/>
      <c r="J1391" s="100"/>
      <c r="K1391" s="100"/>
      <c r="L1391" s="100"/>
      <c r="M1391" s="100"/>
      <c r="N1391" s="100"/>
      <c r="O1391" s="100"/>
      <c r="P1391" s="100"/>
      <c r="Q1391" s="100"/>
      <c r="R1391" s="100"/>
      <c r="S1391" s="100"/>
      <c r="T1391" s="100"/>
      <c r="U1391" s="100"/>
      <c r="V1391" s="100"/>
      <c r="W1391" s="100"/>
      <c r="X1391" s="100"/>
      <c r="Y1391" s="100"/>
      <c r="Z1391" s="100"/>
      <c r="AA1391" s="100"/>
    </row>
    <row r="1392" spans="2:27">
      <c r="B1392" s="100"/>
      <c r="C1392" s="100"/>
      <c r="D1392" s="100"/>
      <c r="E1392" s="100"/>
      <c r="F1392" s="100"/>
      <c r="G1392" s="100"/>
      <c r="H1392" s="100"/>
      <c r="I1392" s="100"/>
      <c r="J1392" s="100"/>
      <c r="K1392" s="100"/>
      <c r="L1392" s="100"/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  <c r="AA1392" s="100"/>
    </row>
    <row r="1393" spans="2:27">
      <c r="B1393" s="100"/>
      <c r="C1393" s="100"/>
      <c r="D1393" s="100"/>
      <c r="E1393" s="100"/>
      <c r="F1393" s="100"/>
      <c r="G1393" s="100"/>
      <c r="H1393" s="100"/>
      <c r="I1393" s="100"/>
      <c r="J1393" s="100"/>
      <c r="K1393" s="100"/>
      <c r="L1393" s="100"/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  <c r="AA1393" s="100"/>
    </row>
    <row r="1394" spans="2:27">
      <c r="B1394" s="100"/>
      <c r="C1394" s="100"/>
      <c r="D1394" s="100"/>
      <c r="E1394" s="100"/>
      <c r="F1394" s="100"/>
      <c r="G1394" s="100"/>
      <c r="H1394" s="100"/>
      <c r="I1394" s="100"/>
      <c r="J1394" s="100"/>
      <c r="K1394" s="100"/>
      <c r="L1394" s="100"/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  <c r="AA1394" s="100"/>
    </row>
    <row r="1395" spans="2:27">
      <c r="B1395" s="100"/>
      <c r="C1395" s="100"/>
      <c r="D1395" s="100"/>
      <c r="E1395" s="100"/>
      <c r="F1395" s="100"/>
      <c r="G1395" s="100"/>
      <c r="H1395" s="100"/>
      <c r="I1395" s="100"/>
      <c r="J1395" s="100"/>
      <c r="K1395" s="100"/>
      <c r="L1395" s="100"/>
      <c r="M1395" s="100"/>
      <c r="N1395" s="100"/>
      <c r="O1395" s="100"/>
      <c r="P1395" s="100"/>
      <c r="Q1395" s="100"/>
      <c r="R1395" s="100"/>
      <c r="S1395" s="100"/>
      <c r="T1395" s="100"/>
      <c r="U1395" s="100"/>
      <c r="V1395" s="100"/>
      <c r="W1395" s="100"/>
      <c r="X1395" s="100"/>
      <c r="Y1395" s="100"/>
      <c r="Z1395" s="100"/>
      <c r="AA1395" s="100"/>
    </row>
    <row r="1396" spans="2:27">
      <c r="B1396" s="100"/>
      <c r="C1396" s="100"/>
      <c r="D1396" s="100"/>
      <c r="E1396" s="100"/>
      <c r="F1396" s="100"/>
      <c r="G1396" s="100"/>
      <c r="H1396" s="100"/>
      <c r="I1396" s="100"/>
      <c r="J1396" s="100"/>
      <c r="K1396" s="100"/>
      <c r="L1396" s="100"/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  <c r="AA1396" s="100"/>
    </row>
    <row r="1397" spans="2:27">
      <c r="B1397" s="100"/>
      <c r="C1397" s="100"/>
      <c r="D1397" s="100"/>
      <c r="E1397" s="100"/>
      <c r="F1397" s="100"/>
      <c r="G1397" s="100"/>
      <c r="H1397" s="100"/>
      <c r="I1397" s="100"/>
      <c r="J1397" s="100"/>
      <c r="K1397" s="100"/>
      <c r="L1397" s="100"/>
      <c r="M1397" s="100"/>
      <c r="N1397" s="100"/>
      <c r="O1397" s="100"/>
      <c r="P1397" s="100"/>
      <c r="Q1397" s="100"/>
      <c r="R1397" s="100"/>
      <c r="S1397" s="100"/>
      <c r="T1397" s="100"/>
      <c r="U1397" s="100"/>
      <c r="V1397" s="100"/>
      <c r="W1397" s="100"/>
      <c r="X1397" s="100"/>
      <c r="Y1397" s="100"/>
      <c r="Z1397" s="100"/>
      <c r="AA1397" s="100"/>
    </row>
    <row r="1398" spans="2:27">
      <c r="B1398" s="100"/>
      <c r="C1398" s="100"/>
      <c r="D1398" s="100"/>
      <c r="E1398" s="100"/>
      <c r="F1398" s="100"/>
      <c r="G1398" s="100"/>
      <c r="H1398" s="100"/>
      <c r="I1398" s="100"/>
      <c r="J1398" s="100"/>
      <c r="K1398" s="100"/>
      <c r="L1398" s="100"/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  <c r="AA1398" s="100"/>
    </row>
    <row r="1399" spans="2:27">
      <c r="B1399" s="100"/>
      <c r="C1399" s="100"/>
      <c r="D1399" s="100"/>
      <c r="E1399" s="100"/>
      <c r="F1399" s="100"/>
      <c r="G1399" s="100"/>
      <c r="H1399" s="100"/>
      <c r="I1399" s="100"/>
      <c r="J1399" s="100"/>
      <c r="K1399" s="100"/>
      <c r="L1399" s="100"/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  <c r="AA1399" s="100"/>
    </row>
    <row r="1400" spans="2:27">
      <c r="B1400" s="100"/>
      <c r="C1400" s="100"/>
      <c r="D1400" s="100"/>
      <c r="E1400" s="100"/>
      <c r="F1400" s="100"/>
      <c r="G1400" s="100"/>
      <c r="H1400" s="100"/>
      <c r="I1400" s="100"/>
      <c r="J1400" s="100"/>
      <c r="K1400" s="100"/>
      <c r="L1400" s="100"/>
      <c r="M1400" s="100"/>
      <c r="N1400" s="100"/>
      <c r="O1400" s="100"/>
      <c r="P1400" s="100"/>
      <c r="Q1400" s="100"/>
      <c r="R1400" s="100"/>
      <c r="S1400" s="100"/>
      <c r="T1400" s="100"/>
      <c r="U1400" s="100"/>
      <c r="V1400" s="100"/>
      <c r="W1400" s="100"/>
      <c r="X1400" s="100"/>
      <c r="Y1400" s="100"/>
      <c r="Z1400" s="100"/>
      <c r="AA1400" s="100"/>
    </row>
    <row r="1401" spans="2:27">
      <c r="B1401" s="100"/>
      <c r="C1401" s="100"/>
      <c r="D1401" s="100"/>
      <c r="E1401" s="100"/>
      <c r="F1401" s="100"/>
      <c r="G1401" s="100"/>
      <c r="H1401" s="100"/>
      <c r="I1401" s="100"/>
      <c r="J1401" s="100"/>
      <c r="K1401" s="100"/>
      <c r="L1401" s="100"/>
      <c r="M1401" s="100"/>
      <c r="N1401" s="100"/>
      <c r="O1401" s="100"/>
      <c r="P1401" s="100"/>
      <c r="Q1401" s="100"/>
      <c r="R1401" s="100"/>
      <c r="S1401" s="100"/>
      <c r="T1401" s="100"/>
      <c r="U1401" s="100"/>
      <c r="V1401" s="100"/>
      <c r="W1401" s="100"/>
      <c r="X1401" s="100"/>
      <c r="Y1401" s="100"/>
      <c r="Z1401" s="100"/>
      <c r="AA1401" s="100"/>
    </row>
    <row r="1402" spans="2:27">
      <c r="B1402" s="100"/>
      <c r="C1402" s="100"/>
      <c r="D1402" s="100"/>
      <c r="E1402" s="100"/>
      <c r="F1402" s="100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  <c r="AA1402" s="100"/>
    </row>
    <row r="1403" spans="2:27">
      <c r="B1403" s="100"/>
      <c r="C1403" s="100"/>
      <c r="D1403" s="100"/>
      <c r="E1403" s="100"/>
      <c r="F1403" s="100"/>
      <c r="G1403" s="100"/>
      <c r="H1403" s="100"/>
      <c r="I1403" s="100"/>
      <c r="J1403" s="100"/>
      <c r="K1403" s="100"/>
      <c r="L1403" s="100"/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  <c r="AA1403" s="100"/>
    </row>
    <row r="1404" spans="2:27">
      <c r="B1404" s="100"/>
      <c r="C1404" s="100"/>
      <c r="D1404" s="100"/>
      <c r="E1404" s="100"/>
      <c r="F1404" s="100"/>
      <c r="G1404" s="100"/>
      <c r="H1404" s="100"/>
      <c r="I1404" s="100"/>
      <c r="J1404" s="100"/>
      <c r="K1404" s="100"/>
      <c r="L1404" s="100"/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  <c r="AA1404" s="100"/>
    </row>
    <row r="1405" spans="2:27">
      <c r="B1405" s="100"/>
      <c r="C1405" s="100"/>
      <c r="D1405" s="100"/>
      <c r="E1405" s="100"/>
      <c r="F1405" s="100"/>
      <c r="G1405" s="100"/>
      <c r="H1405" s="100"/>
      <c r="I1405" s="100"/>
      <c r="J1405" s="100"/>
      <c r="K1405" s="100"/>
      <c r="L1405" s="100"/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  <c r="AA1405" s="100"/>
    </row>
    <row r="1406" spans="2:27">
      <c r="B1406" s="100"/>
      <c r="C1406" s="100"/>
      <c r="D1406" s="100"/>
      <c r="E1406" s="100"/>
      <c r="F1406" s="100"/>
      <c r="G1406" s="100"/>
      <c r="H1406" s="100"/>
      <c r="I1406" s="100"/>
      <c r="J1406" s="100"/>
      <c r="K1406" s="100"/>
      <c r="L1406" s="100"/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  <c r="AA1406" s="100"/>
    </row>
    <row r="1407" spans="2:27">
      <c r="B1407" s="100"/>
      <c r="C1407" s="100"/>
      <c r="D1407" s="100"/>
      <c r="E1407" s="100"/>
      <c r="F1407" s="100"/>
      <c r="G1407" s="100"/>
      <c r="H1407" s="100"/>
      <c r="I1407" s="100"/>
      <c r="J1407" s="100"/>
      <c r="K1407" s="100"/>
      <c r="L1407" s="100"/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  <c r="AA1407" s="100"/>
    </row>
    <row r="1408" spans="2:27">
      <c r="B1408" s="100"/>
      <c r="C1408" s="100"/>
      <c r="D1408" s="100"/>
      <c r="E1408" s="100"/>
      <c r="F1408" s="100"/>
      <c r="G1408" s="100"/>
      <c r="H1408" s="100"/>
      <c r="I1408" s="100"/>
      <c r="J1408" s="100"/>
      <c r="K1408" s="100"/>
      <c r="L1408" s="100"/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  <c r="AA1408" s="100"/>
    </row>
    <row r="1409" spans="2:27">
      <c r="B1409" s="100"/>
      <c r="C1409" s="100"/>
      <c r="D1409" s="100"/>
      <c r="E1409" s="100"/>
      <c r="F1409" s="100"/>
      <c r="G1409" s="100"/>
      <c r="H1409" s="100"/>
      <c r="I1409" s="100"/>
      <c r="J1409" s="100"/>
      <c r="K1409" s="100"/>
      <c r="L1409" s="100"/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  <c r="AA1409" s="100"/>
    </row>
    <row r="1410" spans="2:27">
      <c r="B1410" s="100"/>
      <c r="C1410" s="100"/>
      <c r="D1410" s="100"/>
      <c r="E1410" s="100"/>
      <c r="F1410" s="100"/>
      <c r="G1410" s="100"/>
      <c r="H1410" s="100"/>
      <c r="I1410" s="100"/>
      <c r="J1410" s="100"/>
      <c r="K1410" s="100"/>
      <c r="L1410" s="100"/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  <c r="AA1410" s="100"/>
    </row>
    <row r="1411" spans="2:27">
      <c r="B1411" s="100"/>
      <c r="C1411" s="100"/>
      <c r="D1411" s="100"/>
      <c r="E1411" s="100"/>
      <c r="F1411" s="100"/>
      <c r="G1411" s="100"/>
      <c r="H1411" s="100"/>
      <c r="I1411" s="100"/>
      <c r="J1411" s="100"/>
      <c r="K1411" s="100"/>
      <c r="L1411" s="100"/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  <c r="AA1411" s="100"/>
    </row>
    <row r="1412" spans="2:27">
      <c r="B1412" s="100"/>
      <c r="C1412" s="100"/>
      <c r="D1412" s="100"/>
      <c r="E1412" s="100"/>
      <c r="F1412" s="100"/>
      <c r="G1412" s="100"/>
      <c r="H1412" s="100"/>
      <c r="I1412" s="100"/>
      <c r="J1412" s="100"/>
      <c r="K1412" s="100"/>
      <c r="L1412" s="100"/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  <c r="AA1412" s="100"/>
    </row>
    <row r="1413" spans="2:27">
      <c r="B1413" s="100"/>
      <c r="C1413" s="100"/>
      <c r="D1413" s="100"/>
      <c r="E1413" s="100"/>
      <c r="F1413" s="100"/>
      <c r="G1413" s="100"/>
      <c r="H1413" s="100"/>
      <c r="I1413" s="100"/>
      <c r="J1413" s="100"/>
      <c r="K1413" s="100"/>
      <c r="L1413" s="100"/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  <c r="AA1413" s="100"/>
    </row>
    <row r="1414" spans="2:27">
      <c r="B1414" s="100"/>
      <c r="C1414" s="100"/>
      <c r="D1414" s="100"/>
      <c r="E1414" s="100"/>
      <c r="F1414" s="100"/>
      <c r="G1414" s="100"/>
      <c r="H1414" s="100"/>
      <c r="I1414" s="100"/>
      <c r="J1414" s="100"/>
      <c r="K1414" s="100"/>
      <c r="L1414" s="100"/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  <c r="AA1414" s="100"/>
    </row>
    <row r="1415" spans="2:27">
      <c r="B1415" s="100"/>
      <c r="C1415" s="100"/>
      <c r="D1415" s="100"/>
      <c r="E1415" s="100"/>
      <c r="F1415" s="100"/>
      <c r="G1415" s="100"/>
      <c r="H1415" s="100"/>
      <c r="I1415" s="100"/>
      <c r="J1415" s="100"/>
      <c r="K1415" s="100"/>
      <c r="L1415" s="100"/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  <c r="AA1415" s="100"/>
    </row>
    <row r="1416" spans="2:27">
      <c r="B1416" s="100"/>
      <c r="C1416" s="100"/>
      <c r="D1416" s="100"/>
      <c r="E1416" s="100"/>
      <c r="F1416" s="100"/>
      <c r="G1416" s="100"/>
      <c r="H1416" s="100"/>
      <c r="I1416" s="100"/>
      <c r="J1416" s="100"/>
      <c r="K1416" s="100"/>
      <c r="L1416" s="100"/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  <c r="AA1416" s="100"/>
    </row>
    <row r="1417" spans="2:27">
      <c r="B1417" s="100"/>
      <c r="C1417" s="100"/>
      <c r="D1417" s="100"/>
      <c r="E1417" s="100"/>
      <c r="F1417" s="100"/>
      <c r="G1417" s="100"/>
      <c r="H1417" s="100"/>
      <c r="I1417" s="100"/>
      <c r="J1417" s="100"/>
      <c r="K1417" s="100"/>
      <c r="L1417" s="100"/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  <c r="AA1417" s="100"/>
    </row>
    <row r="1418" spans="2:27">
      <c r="B1418" s="100"/>
      <c r="C1418" s="100"/>
      <c r="D1418" s="100"/>
      <c r="E1418" s="100"/>
      <c r="F1418" s="100"/>
      <c r="G1418" s="100"/>
      <c r="H1418" s="100"/>
      <c r="I1418" s="100"/>
      <c r="J1418" s="100"/>
      <c r="K1418" s="100"/>
      <c r="L1418" s="100"/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  <c r="AA1418" s="100"/>
    </row>
    <row r="1419" spans="2:27">
      <c r="B1419" s="100"/>
      <c r="C1419" s="100"/>
      <c r="D1419" s="100"/>
      <c r="E1419" s="100"/>
      <c r="F1419" s="100"/>
      <c r="G1419" s="100"/>
      <c r="H1419" s="100"/>
      <c r="I1419" s="100"/>
      <c r="J1419" s="100"/>
      <c r="K1419" s="100"/>
      <c r="L1419" s="100"/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  <c r="AA1419" s="100"/>
    </row>
    <row r="1420" spans="2:27">
      <c r="B1420" s="100"/>
      <c r="C1420" s="100"/>
      <c r="D1420" s="100"/>
      <c r="E1420" s="100"/>
      <c r="F1420" s="100"/>
      <c r="G1420" s="100"/>
      <c r="H1420" s="100"/>
      <c r="I1420" s="100"/>
      <c r="J1420" s="100"/>
      <c r="K1420" s="100"/>
      <c r="L1420" s="100"/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  <c r="AA1420" s="100"/>
    </row>
    <row r="1421" spans="2:27">
      <c r="B1421" s="100"/>
      <c r="C1421" s="100"/>
      <c r="D1421" s="100"/>
      <c r="E1421" s="100"/>
      <c r="F1421" s="100"/>
      <c r="G1421" s="100"/>
      <c r="H1421" s="100"/>
      <c r="I1421" s="100"/>
      <c r="J1421" s="100"/>
      <c r="K1421" s="100"/>
      <c r="L1421" s="100"/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  <c r="AA1421" s="100"/>
    </row>
    <row r="1422" spans="2:27">
      <c r="B1422" s="100"/>
      <c r="C1422" s="100"/>
      <c r="D1422" s="100"/>
      <c r="E1422" s="100"/>
      <c r="F1422" s="100"/>
      <c r="G1422" s="100"/>
      <c r="H1422" s="100"/>
      <c r="I1422" s="100"/>
      <c r="J1422" s="100"/>
      <c r="K1422" s="100"/>
      <c r="L1422" s="100"/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  <c r="AA1422" s="100"/>
    </row>
    <row r="1423" spans="2:27">
      <c r="B1423" s="100"/>
      <c r="C1423" s="100"/>
      <c r="D1423" s="100"/>
      <c r="E1423" s="100"/>
      <c r="F1423" s="100"/>
      <c r="G1423" s="100"/>
      <c r="H1423" s="100"/>
      <c r="I1423" s="100"/>
      <c r="J1423" s="100"/>
      <c r="K1423" s="100"/>
      <c r="L1423" s="100"/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  <c r="AA1423" s="100"/>
    </row>
    <row r="1424" spans="2:27">
      <c r="B1424" s="100"/>
      <c r="C1424" s="100"/>
      <c r="D1424" s="100"/>
      <c r="E1424" s="100"/>
      <c r="F1424" s="100"/>
      <c r="G1424" s="100"/>
      <c r="H1424" s="100"/>
      <c r="I1424" s="100"/>
      <c r="J1424" s="100"/>
      <c r="K1424" s="100"/>
      <c r="L1424" s="100"/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  <c r="AA1424" s="100"/>
    </row>
    <row r="1425" spans="2:27">
      <c r="B1425" s="100"/>
      <c r="C1425" s="100"/>
      <c r="D1425" s="100"/>
      <c r="E1425" s="100"/>
      <c r="F1425" s="100"/>
      <c r="G1425" s="100"/>
      <c r="H1425" s="100"/>
      <c r="I1425" s="100"/>
      <c r="J1425" s="100"/>
      <c r="K1425" s="100"/>
      <c r="L1425" s="100"/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  <c r="AA1425" s="100"/>
    </row>
    <row r="1426" spans="2:27">
      <c r="B1426" s="100"/>
      <c r="C1426" s="100"/>
      <c r="D1426" s="100"/>
      <c r="E1426" s="100"/>
      <c r="F1426" s="100"/>
      <c r="G1426" s="100"/>
      <c r="H1426" s="100"/>
      <c r="I1426" s="100"/>
      <c r="J1426" s="100"/>
      <c r="K1426" s="100"/>
      <c r="L1426" s="100"/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  <c r="AA1426" s="100"/>
    </row>
    <row r="1427" spans="2:27">
      <c r="B1427" s="100"/>
      <c r="C1427" s="100"/>
      <c r="D1427" s="100"/>
      <c r="E1427" s="100"/>
      <c r="F1427" s="100"/>
      <c r="G1427" s="100"/>
      <c r="H1427" s="100"/>
      <c r="I1427" s="100"/>
      <c r="J1427" s="100"/>
      <c r="K1427" s="100"/>
      <c r="L1427" s="100"/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  <c r="AA1427" s="100"/>
    </row>
    <row r="1428" spans="2:27">
      <c r="B1428" s="100"/>
      <c r="C1428" s="100"/>
      <c r="D1428" s="100"/>
      <c r="E1428" s="100"/>
      <c r="F1428" s="100"/>
      <c r="G1428" s="100"/>
      <c r="H1428" s="100"/>
      <c r="I1428" s="100"/>
      <c r="J1428" s="100"/>
      <c r="K1428" s="100"/>
      <c r="L1428" s="100"/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  <c r="AA1428" s="100"/>
    </row>
    <row r="1429" spans="2:27">
      <c r="B1429" s="100"/>
      <c r="C1429" s="100"/>
      <c r="D1429" s="100"/>
      <c r="E1429" s="100"/>
      <c r="F1429" s="100"/>
      <c r="G1429" s="100"/>
      <c r="H1429" s="100"/>
      <c r="I1429" s="100"/>
      <c r="J1429" s="100"/>
      <c r="K1429" s="100"/>
      <c r="L1429" s="100"/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  <c r="AA1429" s="100"/>
    </row>
    <row r="1430" spans="2:27">
      <c r="B1430" s="100"/>
      <c r="C1430" s="100"/>
      <c r="D1430" s="100"/>
      <c r="E1430" s="100"/>
      <c r="F1430" s="100"/>
      <c r="G1430" s="100"/>
      <c r="H1430" s="100"/>
      <c r="I1430" s="100"/>
      <c r="J1430" s="100"/>
      <c r="K1430" s="100"/>
      <c r="L1430" s="100"/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  <c r="AA1430" s="100"/>
    </row>
    <row r="1431" spans="2:27">
      <c r="B1431" s="100"/>
      <c r="C1431" s="100"/>
      <c r="D1431" s="100"/>
      <c r="E1431" s="100"/>
      <c r="F1431" s="100"/>
      <c r="G1431" s="100"/>
      <c r="H1431" s="100"/>
      <c r="I1431" s="100"/>
      <c r="J1431" s="100"/>
      <c r="K1431" s="100"/>
      <c r="L1431" s="100"/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  <c r="AA1431" s="100"/>
    </row>
    <row r="1432" spans="2:27">
      <c r="B1432" s="100"/>
      <c r="C1432" s="100"/>
      <c r="D1432" s="100"/>
      <c r="E1432" s="100"/>
      <c r="F1432" s="100"/>
      <c r="G1432" s="100"/>
      <c r="H1432" s="100"/>
      <c r="I1432" s="100"/>
      <c r="J1432" s="100"/>
      <c r="K1432" s="100"/>
      <c r="L1432" s="100"/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  <c r="AA1432" s="100"/>
    </row>
    <row r="1433" spans="2:27">
      <c r="B1433" s="100"/>
      <c r="C1433" s="100"/>
      <c r="D1433" s="100"/>
      <c r="E1433" s="100"/>
      <c r="F1433" s="100"/>
      <c r="G1433" s="100"/>
      <c r="H1433" s="100"/>
      <c r="I1433" s="100"/>
      <c r="J1433" s="100"/>
      <c r="K1433" s="100"/>
      <c r="L1433" s="100"/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  <c r="AA1433" s="100"/>
    </row>
    <row r="1434" spans="2:27">
      <c r="B1434" s="100"/>
      <c r="C1434" s="100"/>
      <c r="D1434" s="100"/>
      <c r="E1434" s="100"/>
      <c r="F1434" s="100"/>
      <c r="G1434" s="100"/>
      <c r="H1434" s="100"/>
      <c r="I1434" s="100"/>
      <c r="J1434" s="100"/>
      <c r="K1434" s="100"/>
      <c r="L1434" s="100"/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  <c r="AA1434" s="100"/>
    </row>
    <row r="1435" spans="2:27">
      <c r="B1435" s="100"/>
      <c r="C1435" s="100"/>
      <c r="D1435" s="100"/>
      <c r="E1435" s="100"/>
      <c r="F1435" s="100"/>
      <c r="G1435" s="100"/>
      <c r="H1435" s="100"/>
      <c r="I1435" s="100"/>
      <c r="J1435" s="100"/>
      <c r="K1435" s="100"/>
      <c r="L1435" s="100"/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  <c r="AA1435" s="100"/>
    </row>
    <row r="1436" spans="2:27">
      <c r="B1436" s="100"/>
      <c r="C1436" s="100"/>
      <c r="D1436" s="100"/>
      <c r="E1436" s="100"/>
      <c r="F1436" s="100"/>
      <c r="G1436" s="100"/>
      <c r="H1436" s="100"/>
      <c r="I1436" s="100"/>
      <c r="J1436" s="100"/>
      <c r="K1436" s="100"/>
      <c r="L1436" s="100"/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  <c r="AA1436" s="100"/>
    </row>
    <row r="1437" spans="2:27">
      <c r="B1437" s="100"/>
      <c r="C1437" s="100"/>
      <c r="D1437" s="100"/>
      <c r="E1437" s="100"/>
      <c r="F1437" s="100"/>
      <c r="G1437" s="100"/>
      <c r="H1437" s="100"/>
      <c r="I1437" s="100"/>
      <c r="J1437" s="100"/>
      <c r="K1437" s="100"/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  <c r="AA1437" s="100"/>
    </row>
    <row r="1438" spans="2:27">
      <c r="B1438" s="100"/>
      <c r="C1438" s="100"/>
      <c r="D1438" s="100"/>
      <c r="E1438" s="100"/>
      <c r="F1438" s="100"/>
      <c r="G1438" s="100"/>
      <c r="H1438" s="100"/>
      <c r="I1438" s="100"/>
      <c r="J1438" s="100"/>
      <c r="K1438" s="100"/>
      <c r="L1438" s="100"/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  <c r="AA1438" s="100"/>
    </row>
    <row r="1439" spans="2:27">
      <c r="B1439" s="100"/>
      <c r="C1439" s="100"/>
      <c r="D1439" s="100"/>
      <c r="E1439" s="100"/>
      <c r="F1439" s="100"/>
      <c r="G1439" s="100"/>
      <c r="H1439" s="100"/>
      <c r="I1439" s="100"/>
      <c r="J1439" s="100"/>
      <c r="K1439" s="100"/>
      <c r="L1439" s="100"/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  <c r="AA1439" s="100"/>
    </row>
    <row r="1440" spans="2:27">
      <c r="B1440" s="100"/>
      <c r="C1440" s="100"/>
      <c r="D1440" s="100"/>
      <c r="E1440" s="100"/>
      <c r="F1440" s="100"/>
      <c r="G1440" s="100"/>
      <c r="H1440" s="100"/>
      <c r="I1440" s="100"/>
      <c r="J1440" s="100"/>
      <c r="K1440" s="100"/>
      <c r="L1440" s="100"/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  <c r="AA1440" s="100"/>
    </row>
    <row r="1441" spans="2:27">
      <c r="B1441" s="100"/>
      <c r="C1441" s="100"/>
      <c r="D1441" s="100"/>
      <c r="E1441" s="100"/>
      <c r="F1441" s="100"/>
      <c r="G1441" s="100"/>
      <c r="H1441" s="100"/>
      <c r="I1441" s="100"/>
      <c r="J1441" s="100"/>
      <c r="K1441" s="100"/>
      <c r="L1441" s="100"/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  <c r="AA1441" s="100"/>
    </row>
    <row r="1442" spans="2:27">
      <c r="B1442" s="100"/>
      <c r="C1442" s="100"/>
      <c r="D1442" s="100"/>
      <c r="E1442" s="100"/>
      <c r="F1442" s="100"/>
      <c r="G1442" s="100"/>
      <c r="H1442" s="100"/>
      <c r="I1442" s="100"/>
      <c r="J1442" s="100"/>
      <c r="K1442" s="100"/>
      <c r="L1442" s="100"/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  <c r="AA1442" s="100"/>
    </row>
    <row r="1443" spans="2:27">
      <c r="B1443" s="100"/>
      <c r="C1443" s="100"/>
      <c r="D1443" s="100"/>
      <c r="E1443" s="100"/>
      <c r="F1443" s="100"/>
      <c r="G1443" s="100"/>
      <c r="H1443" s="100"/>
      <c r="I1443" s="100"/>
      <c r="J1443" s="100"/>
      <c r="K1443" s="100"/>
      <c r="L1443" s="100"/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  <c r="AA1443" s="100"/>
    </row>
    <row r="1444" spans="2:27">
      <c r="B1444" s="100"/>
      <c r="C1444" s="100"/>
      <c r="D1444" s="100"/>
      <c r="E1444" s="100"/>
      <c r="F1444" s="100"/>
      <c r="G1444" s="100"/>
      <c r="H1444" s="100"/>
      <c r="I1444" s="100"/>
      <c r="J1444" s="100"/>
      <c r="K1444" s="100"/>
      <c r="L1444" s="100"/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  <c r="AA1444" s="100"/>
    </row>
    <row r="1445" spans="2:27">
      <c r="B1445" s="100"/>
      <c r="C1445" s="100"/>
      <c r="D1445" s="100"/>
      <c r="E1445" s="100"/>
      <c r="F1445" s="100"/>
      <c r="G1445" s="100"/>
      <c r="H1445" s="100"/>
      <c r="I1445" s="100"/>
      <c r="J1445" s="100"/>
      <c r="K1445" s="100"/>
      <c r="L1445" s="100"/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  <c r="AA1445" s="100"/>
    </row>
    <row r="1446" spans="2:27">
      <c r="B1446" s="100"/>
      <c r="C1446" s="100"/>
      <c r="D1446" s="100"/>
      <c r="E1446" s="100"/>
      <c r="F1446" s="100"/>
      <c r="G1446" s="100"/>
      <c r="H1446" s="100"/>
      <c r="I1446" s="100"/>
      <c r="J1446" s="100"/>
      <c r="K1446" s="100"/>
      <c r="L1446" s="100"/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  <c r="AA1446" s="100"/>
    </row>
    <row r="1447" spans="2:27">
      <c r="B1447" s="100"/>
      <c r="C1447" s="100"/>
      <c r="D1447" s="100"/>
      <c r="E1447" s="100"/>
      <c r="F1447" s="100"/>
      <c r="G1447" s="100"/>
      <c r="H1447" s="100"/>
      <c r="I1447" s="100"/>
      <c r="J1447" s="100"/>
      <c r="K1447" s="100"/>
      <c r="L1447" s="100"/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  <c r="AA1447" s="100"/>
    </row>
    <row r="1448" spans="2:27">
      <c r="B1448" s="100"/>
      <c r="C1448" s="100"/>
      <c r="D1448" s="100"/>
      <c r="E1448" s="100"/>
      <c r="F1448" s="100"/>
      <c r="G1448" s="100"/>
      <c r="H1448" s="100"/>
      <c r="I1448" s="100"/>
      <c r="J1448" s="100"/>
      <c r="K1448" s="100"/>
      <c r="L1448" s="100"/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  <c r="AA1448" s="100"/>
    </row>
    <row r="1449" spans="2:27">
      <c r="B1449" s="100"/>
      <c r="C1449" s="100"/>
      <c r="D1449" s="100"/>
      <c r="E1449" s="100"/>
      <c r="F1449" s="100"/>
      <c r="G1449" s="100"/>
      <c r="H1449" s="100"/>
      <c r="I1449" s="100"/>
      <c r="J1449" s="100"/>
      <c r="K1449" s="100"/>
      <c r="L1449" s="100"/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  <c r="AA1449" s="100"/>
    </row>
    <row r="1450" spans="2:27">
      <c r="B1450" s="100"/>
      <c r="C1450" s="100"/>
      <c r="D1450" s="100"/>
      <c r="E1450" s="100"/>
      <c r="F1450" s="100"/>
      <c r="G1450" s="100"/>
      <c r="H1450" s="100"/>
      <c r="I1450" s="100"/>
      <c r="J1450" s="100"/>
      <c r="K1450" s="100"/>
      <c r="L1450" s="100"/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  <c r="AA1450" s="100"/>
    </row>
    <row r="1451" spans="2:27">
      <c r="B1451" s="100"/>
      <c r="C1451" s="100"/>
      <c r="D1451" s="100"/>
      <c r="E1451" s="100"/>
      <c r="F1451" s="100"/>
      <c r="G1451" s="100"/>
      <c r="H1451" s="100"/>
      <c r="I1451" s="100"/>
      <c r="J1451" s="100"/>
      <c r="K1451" s="100"/>
      <c r="L1451" s="100"/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  <c r="AA1451" s="100"/>
    </row>
    <row r="1452" spans="2:27">
      <c r="B1452" s="100"/>
      <c r="C1452" s="100"/>
      <c r="D1452" s="100"/>
      <c r="E1452" s="100"/>
      <c r="F1452" s="100"/>
      <c r="G1452" s="100"/>
      <c r="H1452" s="100"/>
      <c r="I1452" s="100"/>
      <c r="J1452" s="100"/>
      <c r="K1452" s="100"/>
      <c r="L1452" s="100"/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  <c r="AA1452" s="100"/>
    </row>
    <row r="1453" spans="2:27">
      <c r="B1453" s="100"/>
      <c r="C1453" s="100"/>
      <c r="D1453" s="100"/>
      <c r="E1453" s="100"/>
      <c r="F1453" s="100"/>
      <c r="G1453" s="100"/>
      <c r="H1453" s="100"/>
      <c r="I1453" s="100"/>
      <c r="J1453" s="100"/>
      <c r="K1453" s="100"/>
      <c r="L1453" s="100"/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  <c r="AA1453" s="100"/>
    </row>
    <row r="1454" spans="2:27">
      <c r="B1454" s="100"/>
      <c r="C1454" s="100"/>
      <c r="D1454" s="100"/>
      <c r="E1454" s="100"/>
      <c r="F1454" s="100"/>
      <c r="G1454" s="100"/>
      <c r="H1454" s="100"/>
      <c r="I1454" s="100"/>
      <c r="J1454" s="100"/>
      <c r="K1454" s="100"/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  <c r="AA1454" s="100"/>
    </row>
    <row r="1455" spans="2:27">
      <c r="B1455" s="100"/>
      <c r="C1455" s="100"/>
      <c r="D1455" s="100"/>
      <c r="E1455" s="100"/>
      <c r="F1455" s="100"/>
      <c r="G1455" s="100"/>
      <c r="H1455" s="100"/>
      <c r="I1455" s="100"/>
      <c r="J1455" s="100"/>
      <c r="K1455" s="100"/>
      <c r="L1455" s="100"/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  <c r="AA1455" s="100"/>
    </row>
    <row r="1456" spans="2:27">
      <c r="B1456" s="100"/>
      <c r="C1456" s="100"/>
      <c r="D1456" s="100"/>
      <c r="E1456" s="100"/>
      <c r="F1456" s="100"/>
      <c r="G1456" s="100"/>
      <c r="H1456" s="100"/>
      <c r="I1456" s="100"/>
      <c r="J1456" s="100"/>
      <c r="K1456" s="100"/>
      <c r="L1456" s="100"/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  <c r="AA1456" s="100"/>
    </row>
    <row r="1457" spans="2:27">
      <c r="B1457" s="100"/>
      <c r="C1457" s="100"/>
      <c r="D1457" s="100"/>
      <c r="E1457" s="100"/>
      <c r="F1457" s="100"/>
      <c r="G1457" s="100"/>
      <c r="H1457" s="100"/>
      <c r="I1457" s="100"/>
      <c r="J1457" s="100"/>
      <c r="K1457" s="100"/>
      <c r="L1457" s="100"/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  <c r="AA1457" s="100"/>
    </row>
    <row r="1458" spans="2:27">
      <c r="B1458" s="100"/>
      <c r="C1458" s="100"/>
      <c r="D1458" s="100"/>
      <c r="E1458" s="100"/>
      <c r="F1458" s="100"/>
      <c r="G1458" s="100"/>
      <c r="H1458" s="100"/>
      <c r="I1458" s="100"/>
      <c r="J1458" s="100"/>
      <c r="K1458" s="100"/>
      <c r="L1458" s="100"/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  <c r="AA1458" s="100"/>
    </row>
    <row r="1459" spans="2:27">
      <c r="B1459" s="100"/>
      <c r="C1459" s="100"/>
      <c r="D1459" s="100"/>
      <c r="E1459" s="100"/>
      <c r="F1459" s="100"/>
      <c r="G1459" s="100"/>
      <c r="H1459" s="100"/>
      <c r="I1459" s="100"/>
      <c r="J1459" s="100"/>
      <c r="K1459" s="100"/>
      <c r="L1459" s="100"/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  <c r="AA1459" s="100"/>
    </row>
    <row r="1460" spans="2:27">
      <c r="B1460" s="100"/>
      <c r="C1460" s="100"/>
      <c r="D1460" s="100"/>
      <c r="E1460" s="100"/>
      <c r="F1460" s="100"/>
      <c r="G1460" s="100"/>
      <c r="H1460" s="100"/>
      <c r="I1460" s="100"/>
      <c r="J1460" s="100"/>
      <c r="K1460" s="100"/>
      <c r="L1460" s="100"/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  <c r="AA1460" s="100"/>
    </row>
    <row r="1461" spans="2:27">
      <c r="B1461" s="100"/>
      <c r="C1461" s="100"/>
      <c r="D1461" s="100"/>
      <c r="E1461" s="100"/>
      <c r="F1461" s="100"/>
      <c r="G1461" s="100"/>
      <c r="H1461" s="100"/>
      <c r="I1461" s="100"/>
      <c r="J1461" s="100"/>
      <c r="K1461" s="100"/>
      <c r="L1461" s="100"/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  <c r="AA1461" s="100"/>
    </row>
    <row r="1462" spans="2:27">
      <c r="B1462" s="100"/>
      <c r="C1462" s="100"/>
      <c r="D1462" s="100"/>
      <c r="E1462" s="100"/>
      <c r="F1462" s="100"/>
      <c r="G1462" s="100"/>
      <c r="H1462" s="100"/>
      <c r="I1462" s="100"/>
      <c r="J1462" s="100"/>
      <c r="K1462" s="100"/>
      <c r="L1462" s="100"/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  <c r="AA1462" s="100"/>
    </row>
    <row r="1463" spans="2:27">
      <c r="B1463" s="100"/>
      <c r="C1463" s="100"/>
      <c r="D1463" s="100"/>
      <c r="E1463" s="100"/>
      <c r="F1463" s="100"/>
      <c r="G1463" s="100"/>
      <c r="H1463" s="100"/>
      <c r="I1463" s="100"/>
      <c r="J1463" s="100"/>
      <c r="K1463" s="100"/>
      <c r="L1463" s="100"/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  <c r="AA1463" s="100"/>
    </row>
    <row r="1464" spans="2:27">
      <c r="B1464" s="100"/>
      <c r="C1464" s="100"/>
      <c r="D1464" s="100"/>
      <c r="E1464" s="100"/>
      <c r="F1464" s="100"/>
      <c r="G1464" s="100"/>
      <c r="H1464" s="100"/>
      <c r="I1464" s="100"/>
      <c r="J1464" s="100"/>
      <c r="K1464" s="100"/>
      <c r="L1464" s="100"/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  <c r="AA1464" s="100"/>
    </row>
    <row r="1465" spans="2:27">
      <c r="B1465" s="100"/>
      <c r="C1465" s="100"/>
      <c r="D1465" s="100"/>
      <c r="E1465" s="100"/>
      <c r="F1465" s="100"/>
      <c r="G1465" s="100"/>
      <c r="H1465" s="100"/>
      <c r="I1465" s="100"/>
      <c r="J1465" s="100"/>
      <c r="K1465" s="100"/>
      <c r="L1465" s="100"/>
      <c r="M1465" s="100"/>
      <c r="N1465" s="100"/>
      <c r="O1465" s="100"/>
      <c r="P1465" s="100"/>
      <c r="Q1465" s="100"/>
      <c r="R1465" s="100"/>
      <c r="S1465" s="100"/>
      <c r="T1465" s="100"/>
      <c r="U1465" s="100"/>
      <c r="V1465" s="100"/>
      <c r="W1465" s="100"/>
      <c r="X1465" s="100"/>
      <c r="Y1465" s="100"/>
      <c r="Z1465" s="100"/>
      <c r="AA1465" s="100"/>
    </row>
    <row r="1466" spans="2:27">
      <c r="B1466" s="100"/>
      <c r="C1466" s="100"/>
      <c r="D1466" s="100"/>
      <c r="E1466" s="100"/>
      <c r="F1466" s="100"/>
      <c r="G1466" s="100"/>
      <c r="H1466" s="100"/>
      <c r="I1466" s="100"/>
      <c r="J1466" s="100"/>
      <c r="K1466" s="100"/>
      <c r="L1466" s="100"/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  <c r="AA1466" s="100"/>
    </row>
    <row r="1467" spans="2:27">
      <c r="B1467" s="100"/>
      <c r="C1467" s="100"/>
      <c r="D1467" s="100"/>
      <c r="E1467" s="100"/>
      <c r="F1467" s="100"/>
      <c r="G1467" s="100"/>
      <c r="H1467" s="100"/>
      <c r="I1467" s="100"/>
      <c r="J1467" s="100"/>
      <c r="K1467" s="100"/>
      <c r="L1467" s="100"/>
      <c r="M1467" s="100"/>
      <c r="N1467" s="100"/>
      <c r="O1467" s="100"/>
      <c r="P1467" s="100"/>
      <c r="Q1467" s="100"/>
      <c r="R1467" s="100"/>
      <c r="S1467" s="100"/>
      <c r="T1467" s="100"/>
      <c r="U1467" s="100"/>
      <c r="V1467" s="100"/>
      <c r="W1467" s="100"/>
      <c r="X1467" s="100"/>
      <c r="Y1467" s="100"/>
      <c r="Z1467" s="100"/>
      <c r="AA1467" s="100"/>
    </row>
    <row r="1468" spans="2:27">
      <c r="B1468" s="100"/>
      <c r="C1468" s="100"/>
      <c r="D1468" s="100"/>
      <c r="E1468" s="100"/>
      <c r="F1468" s="100"/>
      <c r="G1468" s="100"/>
      <c r="H1468" s="100"/>
      <c r="I1468" s="100"/>
      <c r="J1468" s="100"/>
      <c r="K1468" s="100"/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  <c r="AA1468" s="100"/>
    </row>
    <row r="1469" spans="2:27">
      <c r="B1469" s="100"/>
      <c r="C1469" s="100"/>
      <c r="D1469" s="100"/>
      <c r="E1469" s="100"/>
      <c r="F1469" s="100"/>
      <c r="G1469" s="100"/>
      <c r="H1469" s="100"/>
      <c r="I1469" s="100"/>
      <c r="J1469" s="100"/>
      <c r="K1469" s="100"/>
      <c r="L1469" s="100"/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  <c r="AA1469" s="100"/>
    </row>
    <row r="1470" spans="2:27">
      <c r="B1470" s="100"/>
      <c r="C1470" s="100"/>
      <c r="D1470" s="100"/>
      <c r="E1470" s="100"/>
      <c r="F1470" s="100"/>
      <c r="G1470" s="100"/>
      <c r="H1470" s="100"/>
      <c r="I1470" s="100"/>
      <c r="J1470" s="100"/>
      <c r="K1470" s="100"/>
      <c r="L1470" s="100"/>
      <c r="M1470" s="100"/>
      <c r="N1470" s="100"/>
      <c r="O1470" s="100"/>
      <c r="P1470" s="100"/>
      <c r="Q1470" s="100"/>
      <c r="R1470" s="100"/>
      <c r="S1470" s="100"/>
      <c r="T1470" s="100"/>
      <c r="U1470" s="100"/>
      <c r="V1470" s="100"/>
      <c r="W1470" s="100"/>
      <c r="X1470" s="100"/>
      <c r="Y1470" s="100"/>
      <c r="Z1470" s="100"/>
      <c r="AA1470" s="100"/>
    </row>
    <row r="1471" spans="2:27">
      <c r="B1471" s="100"/>
      <c r="C1471" s="100"/>
      <c r="D1471" s="100"/>
      <c r="E1471" s="100"/>
      <c r="F1471" s="100"/>
      <c r="G1471" s="100"/>
      <c r="H1471" s="100"/>
      <c r="I1471" s="100"/>
      <c r="J1471" s="100"/>
      <c r="K1471" s="100"/>
      <c r="L1471" s="100"/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  <c r="AA1471" s="100"/>
    </row>
    <row r="1472" spans="2:27">
      <c r="B1472" s="100"/>
      <c r="C1472" s="100"/>
      <c r="D1472" s="100"/>
      <c r="E1472" s="100"/>
      <c r="F1472" s="100"/>
      <c r="G1472" s="100"/>
      <c r="H1472" s="100"/>
      <c r="I1472" s="100"/>
      <c r="J1472" s="100"/>
      <c r="K1472" s="100"/>
      <c r="L1472" s="100"/>
      <c r="M1472" s="100"/>
      <c r="N1472" s="100"/>
      <c r="O1472" s="100"/>
      <c r="P1472" s="100"/>
      <c r="Q1472" s="100"/>
      <c r="R1472" s="100"/>
      <c r="S1472" s="100"/>
      <c r="T1472" s="100"/>
      <c r="U1472" s="100"/>
      <c r="V1472" s="100"/>
      <c r="W1472" s="100"/>
      <c r="X1472" s="100"/>
      <c r="Y1472" s="100"/>
      <c r="Z1472" s="100"/>
      <c r="AA1472" s="100"/>
    </row>
    <row r="1473" spans="2:27">
      <c r="B1473" s="100"/>
      <c r="C1473" s="100"/>
      <c r="D1473" s="100"/>
      <c r="E1473" s="100"/>
      <c r="F1473" s="100"/>
      <c r="G1473" s="100"/>
      <c r="H1473" s="100"/>
      <c r="I1473" s="100"/>
      <c r="J1473" s="100"/>
      <c r="K1473" s="100"/>
      <c r="L1473" s="100"/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  <c r="AA1473" s="100"/>
    </row>
    <row r="1474" spans="2:27">
      <c r="B1474" s="100"/>
      <c r="C1474" s="100"/>
      <c r="D1474" s="100"/>
      <c r="E1474" s="100"/>
      <c r="F1474" s="100"/>
      <c r="G1474" s="100"/>
      <c r="H1474" s="100"/>
      <c r="I1474" s="100"/>
      <c r="J1474" s="100"/>
      <c r="K1474" s="100"/>
      <c r="L1474" s="100"/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  <c r="AA1474" s="100"/>
    </row>
    <row r="1475" spans="2:27">
      <c r="B1475" s="100"/>
      <c r="C1475" s="100"/>
      <c r="D1475" s="100"/>
      <c r="E1475" s="100"/>
      <c r="F1475" s="100"/>
      <c r="G1475" s="100"/>
      <c r="H1475" s="100"/>
      <c r="I1475" s="100"/>
      <c r="J1475" s="100"/>
      <c r="K1475" s="100"/>
      <c r="L1475" s="100"/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  <c r="AA1475" s="100"/>
    </row>
    <row r="1476" spans="2:27">
      <c r="B1476" s="100"/>
      <c r="C1476" s="100"/>
      <c r="D1476" s="100"/>
      <c r="E1476" s="100"/>
      <c r="F1476" s="100"/>
      <c r="G1476" s="100"/>
      <c r="H1476" s="100"/>
      <c r="I1476" s="100"/>
      <c r="J1476" s="100"/>
      <c r="K1476" s="100"/>
      <c r="L1476" s="100"/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  <c r="AA1476" s="100"/>
    </row>
    <row r="1477" spans="2:27">
      <c r="B1477" s="100"/>
      <c r="C1477" s="100"/>
      <c r="D1477" s="100"/>
      <c r="E1477" s="100"/>
      <c r="F1477" s="100"/>
      <c r="G1477" s="100"/>
      <c r="H1477" s="100"/>
      <c r="I1477" s="100"/>
      <c r="J1477" s="100"/>
      <c r="K1477" s="100"/>
      <c r="L1477" s="100"/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  <c r="AA1477" s="100"/>
    </row>
    <row r="1478" spans="2:27">
      <c r="B1478" s="100"/>
      <c r="C1478" s="100"/>
      <c r="D1478" s="100"/>
      <c r="E1478" s="100"/>
      <c r="F1478" s="100"/>
      <c r="G1478" s="100"/>
      <c r="H1478" s="100"/>
      <c r="I1478" s="100"/>
      <c r="J1478" s="100"/>
      <c r="K1478" s="100"/>
      <c r="L1478" s="100"/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  <c r="AA1478" s="100"/>
    </row>
    <row r="1479" spans="2:27">
      <c r="B1479" s="100"/>
      <c r="C1479" s="100"/>
      <c r="D1479" s="100"/>
      <c r="E1479" s="100"/>
      <c r="F1479" s="100"/>
      <c r="G1479" s="100"/>
      <c r="H1479" s="100"/>
      <c r="I1479" s="100"/>
      <c r="J1479" s="100"/>
      <c r="K1479" s="100"/>
      <c r="L1479" s="100"/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  <c r="AA1479" s="100"/>
    </row>
    <row r="1480" spans="2:27">
      <c r="B1480" s="100"/>
      <c r="C1480" s="100"/>
      <c r="D1480" s="100"/>
      <c r="E1480" s="100"/>
      <c r="F1480" s="100"/>
      <c r="G1480" s="100"/>
      <c r="H1480" s="100"/>
      <c r="I1480" s="100"/>
      <c r="J1480" s="100"/>
      <c r="K1480" s="100"/>
      <c r="L1480" s="100"/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  <c r="AA1480" s="100"/>
    </row>
    <row r="1481" spans="2:27">
      <c r="B1481" s="100"/>
      <c r="C1481" s="100"/>
      <c r="D1481" s="100"/>
      <c r="E1481" s="100"/>
      <c r="F1481" s="100"/>
      <c r="G1481" s="100"/>
      <c r="H1481" s="100"/>
      <c r="I1481" s="100"/>
      <c r="J1481" s="100"/>
      <c r="K1481" s="100"/>
      <c r="L1481" s="100"/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  <c r="AA1481" s="100"/>
    </row>
    <row r="1482" spans="2:27">
      <c r="B1482" s="100"/>
      <c r="C1482" s="100"/>
      <c r="D1482" s="100"/>
      <c r="E1482" s="100"/>
      <c r="F1482" s="100"/>
      <c r="G1482" s="100"/>
      <c r="H1482" s="100"/>
      <c r="I1482" s="100"/>
      <c r="J1482" s="100"/>
      <c r="K1482" s="100"/>
      <c r="L1482" s="100"/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  <c r="AA1482" s="100"/>
    </row>
    <row r="1483" spans="2:27">
      <c r="B1483" s="100"/>
      <c r="C1483" s="100"/>
      <c r="D1483" s="100"/>
      <c r="E1483" s="100"/>
      <c r="F1483" s="100"/>
      <c r="G1483" s="100"/>
      <c r="H1483" s="100"/>
      <c r="I1483" s="100"/>
      <c r="J1483" s="100"/>
      <c r="K1483" s="100"/>
      <c r="L1483" s="100"/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  <c r="AA1483" s="100"/>
    </row>
    <row r="1484" spans="2:27">
      <c r="B1484" s="100"/>
      <c r="C1484" s="100"/>
      <c r="D1484" s="100"/>
      <c r="E1484" s="100"/>
      <c r="F1484" s="100"/>
      <c r="G1484" s="100"/>
      <c r="H1484" s="100"/>
      <c r="I1484" s="100"/>
      <c r="J1484" s="100"/>
      <c r="K1484" s="100"/>
      <c r="L1484" s="100"/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  <c r="AA1484" s="100"/>
    </row>
    <row r="1485" spans="2:27">
      <c r="B1485" s="100"/>
      <c r="C1485" s="100"/>
      <c r="D1485" s="100"/>
      <c r="E1485" s="100"/>
      <c r="F1485" s="100"/>
      <c r="G1485" s="100"/>
      <c r="H1485" s="100"/>
      <c r="I1485" s="100"/>
      <c r="J1485" s="100"/>
      <c r="K1485" s="100"/>
      <c r="L1485" s="100"/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  <c r="AA1485" s="100"/>
    </row>
    <row r="1486" spans="2:27">
      <c r="B1486" s="100"/>
      <c r="C1486" s="100"/>
      <c r="D1486" s="100"/>
      <c r="E1486" s="100"/>
      <c r="F1486" s="100"/>
      <c r="G1486" s="100"/>
      <c r="H1486" s="100"/>
      <c r="I1486" s="100"/>
      <c r="J1486" s="100"/>
      <c r="K1486" s="100"/>
      <c r="L1486" s="100"/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  <c r="AA1486" s="100"/>
    </row>
    <row r="1487" spans="2:27">
      <c r="B1487" s="100"/>
      <c r="C1487" s="100"/>
      <c r="D1487" s="100"/>
      <c r="E1487" s="100"/>
      <c r="F1487" s="100"/>
      <c r="G1487" s="100"/>
      <c r="H1487" s="100"/>
      <c r="I1487" s="100"/>
      <c r="J1487" s="100"/>
      <c r="K1487" s="100"/>
      <c r="L1487" s="100"/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  <c r="AA1487" s="100"/>
    </row>
    <row r="1488" spans="2:27">
      <c r="B1488" s="100"/>
      <c r="C1488" s="100"/>
      <c r="D1488" s="100"/>
      <c r="E1488" s="100"/>
      <c r="F1488" s="100"/>
      <c r="G1488" s="100"/>
      <c r="H1488" s="100"/>
      <c r="I1488" s="100"/>
      <c r="J1488" s="100"/>
      <c r="K1488" s="100"/>
      <c r="L1488" s="100"/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  <c r="AA1488" s="100"/>
    </row>
    <row r="1489" spans="2:27">
      <c r="B1489" s="100"/>
      <c r="C1489" s="100"/>
      <c r="D1489" s="100"/>
      <c r="E1489" s="100"/>
      <c r="F1489" s="100"/>
      <c r="G1489" s="100"/>
      <c r="H1489" s="100"/>
      <c r="I1489" s="100"/>
      <c r="J1489" s="100"/>
      <c r="K1489" s="100"/>
      <c r="L1489" s="100"/>
      <c r="M1489" s="100"/>
      <c r="N1489" s="100"/>
      <c r="O1489" s="100"/>
      <c r="P1489" s="100"/>
      <c r="Q1489" s="100"/>
      <c r="R1489" s="100"/>
      <c r="S1489" s="100"/>
      <c r="T1489" s="100"/>
      <c r="U1489" s="100"/>
      <c r="V1489" s="100"/>
      <c r="W1489" s="100"/>
      <c r="X1489" s="100"/>
      <c r="Y1489" s="100"/>
      <c r="Z1489" s="100"/>
      <c r="AA1489" s="100"/>
    </row>
    <row r="1490" spans="2:27">
      <c r="B1490" s="100"/>
      <c r="C1490" s="100"/>
      <c r="D1490" s="100"/>
      <c r="E1490" s="100"/>
      <c r="F1490" s="100"/>
      <c r="G1490" s="100"/>
      <c r="H1490" s="100"/>
      <c r="I1490" s="100"/>
      <c r="J1490" s="100"/>
      <c r="K1490" s="100"/>
      <c r="L1490" s="100"/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  <c r="AA1490" s="100"/>
    </row>
    <row r="1491" spans="2:27">
      <c r="B1491" s="100"/>
      <c r="C1491" s="100"/>
      <c r="D1491" s="100"/>
      <c r="E1491" s="100"/>
      <c r="F1491" s="100"/>
      <c r="G1491" s="100"/>
      <c r="H1491" s="100"/>
      <c r="I1491" s="100"/>
      <c r="J1491" s="100"/>
      <c r="K1491" s="100"/>
      <c r="L1491" s="100"/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  <c r="AA1491" s="100"/>
    </row>
    <row r="1492" spans="2:27">
      <c r="B1492" s="100"/>
      <c r="C1492" s="100"/>
      <c r="D1492" s="100"/>
      <c r="E1492" s="100"/>
      <c r="F1492" s="100"/>
      <c r="G1492" s="100"/>
      <c r="H1492" s="100"/>
      <c r="I1492" s="100"/>
      <c r="J1492" s="100"/>
      <c r="K1492" s="100"/>
      <c r="L1492" s="100"/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  <c r="AA1492" s="100"/>
    </row>
    <row r="1493" spans="2:27">
      <c r="B1493" s="100"/>
      <c r="C1493" s="100"/>
      <c r="D1493" s="100"/>
      <c r="E1493" s="100"/>
      <c r="F1493" s="100"/>
      <c r="G1493" s="100"/>
      <c r="H1493" s="100"/>
      <c r="I1493" s="100"/>
      <c r="J1493" s="100"/>
      <c r="K1493" s="100"/>
      <c r="L1493" s="100"/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  <c r="AA1493" s="100"/>
    </row>
    <row r="1494" spans="2:27">
      <c r="B1494" s="100"/>
      <c r="C1494" s="100"/>
      <c r="D1494" s="100"/>
      <c r="E1494" s="100"/>
      <c r="F1494" s="100"/>
      <c r="G1494" s="100"/>
      <c r="H1494" s="100"/>
      <c r="I1494" s="100"/>
      <c r="J1494" s="100"/>
      <c r="K1494" s="100"/>
      <c r="L1494" s="100"/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  <c r="AA1494" s="100"/>
    </row>
    <row r="1495" spans="2:27">
      <c r="B1495" s="100"/>
      <c r="C1495" s="100"/>
      <c r="D1495" s="100"/>
      <c r="E1495" s="100"/>
      <c r="F1495" s="100"/>
      <c r="G1495" s="100"/>
      <c r="H1495" s="100"/>
      <c r="I1495" s="100"/>
      <c r="J1495" s="100"/>
      <c r="K1495" s="100"/>
      <c r="L1495" s="100"/>
      <c r="M1495" s="100"/>
      <c r="N1495" s="100"/>
      <c r="O1495" s="100"/>
      <c r="P1495" s="100"/>
      <c r="Q1495" s="100"/>
      <c r="R1495" s="100"/>
      <c r="S1495" s="100"/>
      <c r="T1495" s="100"/>
      <c r="U1495" s="100"/>
      <c r="V1495" s="100"/>
      <c r="W1495" s="100"/>
      <c r="X1495" s="100"/>
      <c r="Y1495" s="100"/>
      <c r="Z1495" s="100"/>
      <c r="AA1495" s="100"/>
    </row>
    <row r="1496" spans="2:27">
      <c r="B1496" s="100"/>
      <c r="C1496" s="100"/>
      <c r="D1496" s="100"/>
      <c r="E1496" s="100"/>
      <c r="F1496" s="100"/>
      <c r="G1496" s="100"/>
      <c r="H1496" s="100"/>
      <c r="I1496" s="100"/>
      <c r="J1496" s="100"/>
      <c r="K1496" s="100"/>
      <c r="L1496" s="100"/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  <c r="AA1496" s="100"/>
    </row>
    <row r="1497" spans="2:27">
      <c r="B1497" s="100"/>
      <c r="C1497" s="100"/>
      <c r="D1497" s="100"/>
      <c r="E1497" s="100"/>
      <c r="F1497" s="100"/>
      <c r="G1497" s="100"/>
      <c r="H1497" s="100"/>
      <c r="I1497" s="100"/>
      <c r="J1497" s="100"/>
      <c r="K1497" s="100"/>
      <c r="L1497" s="100"/>
      <c r="M1497" s="100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  <c r="AA1497" s="100"/>
    </row>
    <row r="1498" spans="2:27">
      <c r="B1498" s="100"/>
      <c r="C1498" s="100"/>
      <c r="D1498" s="100"/>
      <c r="E1498" s="100"/>
      <c r="F1498" s="100"/>
      <c r="G1498" s="100"/>
      <c r="H1498" s="100"/>
      <c r="I1498" s="100"/>
      <c r="J1498" s="100"/>
      <c r="K1498" s="100"/>
      <c r="L1498" s="100"/>
      <c r="M1498" s="100"/>
      <c r="N1498" s="100"/>
      <c r="O1498" s="100"/>
      <c r="P1498" s="100"/>
      <c r="Q1498" s="100"/>
      <c r="R1498" s="100"/>
      <c r="S1498" s="100"/>
      <c r="T1498" s="100"/>
      <c r="U1498" s="100"/>
      <c r="V1498" s="100"/>
      <c r="W1498" s="100"/>
      <c r="X1498" s="100"/>
      <c r="Y1498" s="100"/>
      <c r="Z1498" s="100"/>
      <c r="AA1498" s="100"/>
    </row>
    <row r="1499" spans="2:27">
      <c r="B1499" s="100"/>
      <c r="C1499" s="100"/>
      <c r="D1499" s="100"/>
      <c r="E1499" s="100"/>
      <c r="F1499" s="100"/>
      <c r="G1499" s="100"/>
      <c r="H1499" s="100"/>
      <c r="I1499" s="100"/>
      <c r="J1499" s="100"/>
      <c r="K1499" s="100"/>
      <c r="L1499" s="100"/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  <c r="AA1499" s="100"/>
    </row>
    <row r="1500" spans="2:27">
      <c r="B1500" s="100"/>
      <c r="C1500" s="100"/>
      <c r="D1500" s="100"/>
      <c r="E1500" s="100"/>
      <c r="F1500" s="100"/>
      <c r="G1500" s="100"/>
      <c r="H1500" s="100"/>
      <c r="I1500" s="100"/>
      <c r="J1500" s="100"/>
      <c r="K1500" s="100"/>
      <c r="L1500" s="100"/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  <c r="AA1500" s="100"/>
    </row>
    <row r="1501" spans="2:27">
      <c r="B1501" s="100"/>
      <c r="C1501" s="100"/>
      <c r="D1501" s="100"/>
      <c r="E1501" s="100"/>
      <c r="F1501" s="100"/>
      <c r="G1501" s="100"/>
      <c r="H1501" s="100"/>
      <c r="I1501" s="100"/>
      <c r="J1501" s="100"/>
      <c r="K1501" s="100"/>
      <c r="L1501" s="100"/>
      <c r="M1501" s="100"/>
      <c r="N1501" s="100"/>
      <c r="O1501" s="100"/>
      <c r="P1501" s="100"/>
      <c r="Q1501" s="100"/>
      <c r="R1501" s="100"/>
      <c r="S1501" s="100"/>
      <c r="T1501" s="100"/>
      <c r="U1501" s="100"/>
      <c r="V1501" s="100"/>
      <c r="W1501" s="100"/>
      <c r="X1501" s="100"/>
      <c r="Y1501" s="100"/>
      <c r="Z1501" s="100"/>
      <c r="AA1501" s="100"/>
    </row>
    <row r="1502" spans="2:27">
      <c r="B1502" s="100"/>
      <c r="C1502" s="100"/>
      <c r="D1502" s="100"/>
      <c r="E1502" s="100"/>
      <c r="F1502" s="100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  <c r="AA1502" s="100"/>
    </row>
    <row r="1503" spans="2:27">
      <c r="B1503" s="100"/>
      <c r="C1503" s="100"/>
      <c r="D1503" s="100"/>
      <c r="E1503" s="100"/>
      <c r="F1503" s="100"/>
      <c r="G1503" s="100"/>
      <c r="H1503" s="100"/>
      <c r="I1503" s="100"/>
      <c r="J1503" s="100"/>
      <c r="K1503" s="100"/>
      <c r="L1503" s="100"/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  <c r="AA1503" s="100"/>
    </row>
    <row r="1504" spans="2:27">
      <c r="B1504" s="100"/>
      <c r="C1504" s="100"/>
      <c r="D1504" s="100"/>
      <c r="E1504" s="100"/>
      <c r="F1504" s="100"/>
      <c r="G1504" s="100"/>
      <c r="H1504" s="100"/>
      <c r="I1504" s="100"/>
      <c r="J1504" s="100"/>
      <c r="K1504" s="100"/>
      <c r="L1504" s="100"/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  <c r="AA1504" s="100"/>
    </row>
    <row r="1505" spans="2:27">
      <c r="B1505" s="100"/>
      <c r="C1505" s="100"/>
      <c r="D1505" s="100"/>
      <c r="E1505" s="100"/>
      <c r="F1505" s="100"/>
      <c r="G1505" s="100"/>
      <c r="H1505" s="100"/>
      <c r="I1505" s="100"/>
      <c r="J1505" s="100"/>
      <c r="K1505" s="100"/>
      <c r="L1505" s="100"/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  <c r="AA1505" s="100"/>
    </row>
    <row r="1506" spans="2:27">
      <c r="B1506" s="100"/>
      <c r="C1506" s="100"/>
      <c r="D1506" s="100"/>
      <c r="E1506" s="100"/>
      <c r="F1506" s="100"/>
      <c r="G1506" s="100"/>
      <c r="H1506" s="100"/>
      <c r="I1506" s="100"/>
      <c r="J1506" s="100"/>
      <c r="K1506" s="100"/>
      <c r="L1506" s="100"/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  <c r="AA1506" s="100"/>
    </row>
    <row r="1507" spans="2:27">
      <c r="B1507" s="100"/>
      <c r="C1507" s="100"/>
      <c r="D1507" s="100"/>
      <c r="E1507" s="100"/>
      <c r="F1507" s="100"/>
      <c r="G1507" s="100"/>
      <c r="H1507" s="100"/>
      <c r="I1507" s="100"/>
      <c r="J1507" s="100"/>
      <c r="K1507" s="100"/>
      <c r="L1507" s="100"/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  <c r="AA1507" s="100"/>
    </row>
    <row r="1508" spans="2:27">
      <c r="B1508" s="100"/>
      <c r="C1508" s="100"/>
      <c r="D1508" s="100"/>
      <c r="E1508" s="100"/>
      <c r="F1508" s="100"/>
      <c r="G1508" s="100"/>
      <c r="H1508" s="100"/>
      <c r="I1508" s="100"/>
      <c r="J1508" s="100"/>
      <c r="K1508" s="100"/>
      <c r="L1508" s="100"/>
      <c r="M1508" s="100"/>
      <c r="N1508" s="100"/>
      <c r="O1508" s="100"/>
      <c r="P1508" s="100"/>
      <c r="Q1508" s="100"/>
      <c r="R1508" s="100"/>
      <c r="S1508" s="100"/>
      <c r="T1508" s="100"/>
      <c r="U1508" s="100"/>
      <c r="V1508" s="100"/>
      <c r="W1508" s="100"/>
      <c r="X1508" s="100"/>
      <c r="Y1508" s="100"/>
      <c r="Z1508" s="100"/>
      <c r="AA1508" s="100"/>
    </row>
    <row r="1509" spans="2:27">
      <c r="B1509" s="100"/>
      <c r="C1509" s="100"/>
      <c r="D1509" s="100"/>
      <c r="E1509" s="100"/>
      <c r="F1509" s="100"/>
      <c r="G1509" s="100"/>
      <c r="H1509" s="100"/>
      <c r="I1509" s="100"/>
      <c r="J1509" s="100"/>
      <c r="K1509" s="100"/>
      <c r="L1509" s="100"/>
      <c r="M1509" s="100"/>
      <c r="N1509" s="100"/>
      <c r="O1509" s="100"/>
      <c r="P1509" s="100"/>
      <c r="Q1509" s="100"/>
      <c r="R1509" s="100"/>
      <c r="S1509" s="100"/>
      <c r="T1509" s="100"/>
      <c r="U1509" s="100"/>
      <c r="V1509" s="100"/>
      <c r="W1509" s="100"/>
      <c r="X1509" s="100"/>
      <c r="Y1509" s="100"/>
      <c r="Z1509" s="100"/>
      <c r="AA1509" s="100"/>
    </row>
    <row r="1510" spans="2:27">
      <c r="B1510" s="100"/>
      <c r="C1510" s="100"/>
      <c r="D1510" s="100"/>
      <c r="E1510" s="100"/>
      <c r="F1510" s="100"/>
      <c r="G1510" s="100"/>
      <c r="H1510" s="100"/>
      <c r="I1510" s="100"/>
      <c r="J1510" s="100"/>
      <c r="K1510" s="100"/>
      <c r="L1510" s="100"/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  <c r="AA1510" s="100"/>
    </row>
    <row r="1511" spans="2:27">
      <c r="B1511" s="100"/>
      <c r="C1511" s="100"/>
      <c r="D1511" s="100"/>
      <c r="E1511" s="100"/>
      <c r="F1511" s="100"/>
      <c r="G1511" s="100"/>
      <c r="H1511" s="100"/>
      <c r="I1511" s="100"/>
      <c r="J1511" s="100"/>
      <c r="K1511" s="100"/>
      <c r="L1511" s="100"/>
      <c r="M1511" s="100"/>
      <c r="N1511" s="100"/>
      <c r="O1511" s="100"/>
      <c r="P1511" s="100"/>
      <c r="Q1511" s="100"/>
      <c r="R1511" s="100"/>
      <c r="S1511" s="100"/>
      <c r="T1511" s="100"/>
      <c r="U1511" s="100"/>
      <c r="V1511" s="100"/>
      <c r="W1511" s="100"/>
      <c r="X1511" s="100"/>
      <c r="Y1511" s="100"/>
      <c r="Z1511" s="100"/>
      <c r="AA1511" s="100"/>
    </row>
    <row r="1512" spans="2:27">
      <c r="B1512" s="100"/>
      <c r="C1512" s="100"/>
      <c r="D1512" s="100"/>
      <c r="E1512" s="100"/>
      <c r="F1512" s="100"/>
      <c r="G1512" s="100"/>
      <c r="H1512" s="100"/>
      <c r="I1512" s="100"/>
      <c r="J1512" s="100"/>
      <c r="K1512" s="100"/>
      <c r="L1512" s="100"/>
      <c r="M1512" s="100"/>
      <c r="N1512" s="100"/>
      <c r="O1512" s="100"/>
      <c r="P1512" s="100"/>
      <c r="Q1512" s="100"/>
      <c r="R1512" s="100"/>
      <c r="S1512" s="100"/>
      <c r="T1512" s="100"/>
      <c r="U1512" s="100"/>
      <c r="V1512" s="100"/>
      <c r="W1512" s="100"/>
      <c r="X1512" s="100"/>
      <c r="Y1512" s="100"/>
      <c r="Z1512" s="100"/>
      <c r="AA1512" s="100"/>
    </row>
    <row r="1513" spans="2:27">
      <c r="B1513" s="100"/>
      <c r="C1513" s="100"/>
      <c r="D1513" s="100"/>
      <c r="E1513" s="100"/>
      <c r="F1513" s="100"/>
      <c r="G1513" s="100"/>
      <c r="H1513" s="100"/>
      <c r="I1513" s="100"/>
      <c r="J1513" s="100"/>
      <c r="K1513" s="100"/>
      <c r="L1513" s="100"/>
      <c r="M1513" s="100"/>
      <c r="N1513" s="100"/>
      <c r="O1513" s="100"/>
      <c r="P1513" s="100"/>
      <c r="Q1513" s="100"/>
      <c r="R1513" s="100"/>
      <c r="S1513" s="100"/>
      <c r="T1513" s="100"/>
      <c r="U1513" s="100"/>
      <c r="V1513" s="100"/>
      <c r="W1513" s="100"/>
      <c r="X1513" s="100"/>
      <c r="Y1513" s="100"/>
      <c r="Z1513" s="100"/>
      <c r="AA1513" s="100"/>
    </row>
    <row r="1514" spans="2:27">
      <c r="B1514" s="100"/>
      <c r="C1514" s="100"/>
      <c r="D1514" s="100"/>
      <c r="E1514" s="100"/>
      <c r="F1514" s="100"/>
      <c r="G1514" s="100"/>
      <c r="H1514" s="100"/>
      <c r="I1514" s="100"/>
      <c r="J1514" s="100"/>
      <c r="K1514" s="100"/>
      <c r="L1514" s="100"/>
      <c r="M1514" s="100"/>
      <c r="N1514" s="100"/>
      <c r="O1514" s="100"/>
      <c r="P1514" s="100"/>
      <c r="Q1514" s="100"/>
      <c r="R1514" s="100"/>
      <c r="S1514" s="100"/>
      <c r="T1514" s="100"/>
      <c r="U1514" s="100"/>
      <c r="V1514" s="100"/>
      <c r="W1514" s="100"/>
      <c r="X1514" s="100"/>
      <c r="Y1514" s="100"/>
      <c r="Z1514" s="100"/>
      <c r="AA1514" s="100"/>
    </row>
    <row r="1515" spans="2:27">
      <c r="B1515" s="100"/>
      <c r="C1515" s="100"/>
      <c r="D1515" s="100"/>
      <c r="E1515" s="100"/>
      <c r="F1515" s="100"/>
      <c r="G1515" s="100"/>
      <c r="H1515" s="100"/>
      <c r="I1515" s="100"/>
      <c r="J1515" s="100"/>
      <c r="K1515" s="100"/>
      <c r="L1515" s="100"/>
      <c r="M1515" s="100"/>
      <c r="N1515" s="100"/>
      <c r="O1515" s="100"/>
      <c r="P1515" s="100"/>
      <c r="Q1515" s="100"/>
      <c r="R1515" s="100"/>
      <c r="S1515" s="100"/>
      <c r="T1515" s="100"/>
      <c r="U1515" s="100"/>
      <c r="V1515" s="100"/>
      <c r="W1515" s="100"/>
      <c r="X1515" s="100"/>
      <c r="Y1515" s="100"/>
      <c r="Z1515" s="100"/>
      <c r="AA1515" s="100"/>
    </row>
    <row r="1516" spans="2:27">
      <c r="B1516" s="100"/>
      <c r="C1516" s="100"/>
      <c r="D1516" s="100"/>
      <c r="E1516" s="100"/>
      <c r="F1516" s="100"/>
      <c r="G1516" s="100"/>
      <c r="H1516" s="100"/>
      <c r="I1516" s="100"/>
      <c r="J1516" s="100"/>
      <c r="K1516" s="100"/>
      <c r="L1516" s="100"/>
      <c r="M1516" s="100"/>
      <c r="N1516" s="100"/>
      <c r="O1516" s="100"/>
      <c r="P1516" s="100"/>
      <c r="Q1516" s="100"/>
      <c r="R1516" s="100"/>
      <c r="S1516" s="100"/>
      <c r="T1516" s="100"/>
      <c r="U1516" s="100"/>
      <c r="V1516" s="100"/>
      <c r="W1516" s="100"/>
      <c r="X1516" s="100"/>
      <c r="Y1516" s="100"/>
      <c r="Z1516" s="100"/>
      <c r="AA1516" s="100"/>
    </row>
    <row r="1517" spans="2:27">
      <c r="B1517" s="100"/>
      <c r="C1517" s="100"/>
      <c r="D1517" s="100"/>
      <c r="E1517" s="100"/>
      <c r="F1517" s="100"/>
      <c r="G1517" s="100"/>
      <c r="H1517" s="100"/>
      <c r="I1517" s="100"/>
      <c r="J1517" s="100"/>
      <c r="K1517" s="100"/>
      <c r="L1517" s="100"/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  <c r="AA1517" s="100"/>
    </row>
    <row r="1518" spans="2:27">
      <c r="B1518" s="100"/>
      <c r="C1518" s="100"/>
      <c r="D1518" s="100"/>
      <c r="E1518" s="100"/>
      <c r="F1518" s="100"/>
      <c r="G1518" s="100"/>
      <c r="H1518" s="100"/>
      <c r="I1518" s="100"/>
      <c r="J1518" s="100"/>
      <c r="K1518" s="100"/>
      <c r="L1518" s="100"/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  <c r="AA1518" s="100"/>
    </row>
    <row r="1519" spans="2:27">
      <c r="B1519" s="100"/>
      <c r="C1519" s="100"/>
      <c r="D1519" s="100"/>
      <c r="E1519" s="100"/>
      <c r="F1519" s="100"/>
      <c r="G1519" s="100"/>
      <c r="H1519" s="100"/>
      <c r="I1519" s="100"/>
      <c r="J1519" s="100"/>
      <c r="K1519" s="100"/>
      <c r="L1519" s="100"/>
      <c r="M1519" s="100"/>
      <c r="N1519" s="100"/>
      <c r="O1519" s="100"/>
      <c r="P1519" s="100"/>
      <c r="Q1519" s="100"/>
      <c r="R1519" s="100"/>
      <c r="S1519" s="100"/>
      <c r="T1519" s="100"/>
      <c r="U1519" s="100"/>
      <c r="V1519" s="100"/>
      <c r="W1519" s="100"/>
      <c r="X1519" s="100"/>
      <c r="Y1519" s="100"/>
      <c r="Z1519" s="100"/>
      <c r="AA1519" s="100"/>
    </row>
    <row r="1520" spans="2:27">
      <c r="B1520" s="100"/>
      <c r="C1520" s="100"/>
      <c r="D1520" s="100"/>
      <c r="E1520" s="100"/>
      <c r="F1520" s="100"/>
      <c r="G1520" s="100"/>
      <c r="H1520" s="100"/>
      <c r="I1520" s="100"/>
      <c r="J1520" s="100"/>
      <c r="K1520" s="100"/>
      <c r="L1520" s="100"/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  <c r="AA1520" s="100"/>
    </row>
    <row r="1521" spans="2:27">
      <c r="B1521" s="100"/>
      <c r="C1521" s="100"/>
      <c r="D1521" s="100"/>
      <c r="E1521" s="100"/>
      <c r="F1521" s="100"/>
      <c r="G1521" s="100"/>
      <c r="H1521" s="100"/>
      <c r="I1521" s="100"/>
      <c r="J1521" s="100"/>
      <c r="K1521" s="100"/>
      <c r="L1521" s="100"/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  <c r="AA1521" s="100"/>
    </row>
    <row r="1522" spans="2:27">
      <c r="B1522" s="100"/>
      <c r="C1522" s="100"/>
      <c r="D1522" s="100"/>
      <c r="E1522" s="100"/>
      <c r="F1522" s="100"/>
      <c r="G1522" s="100"/>
      <c r="H1522" s="100"/>
      <c r="I1522" s="100"/>
      <c r="J1522" s="100"/>
      <c r="K1522" s="100"/>
      <c r="L1522" s="100"/>
      <c r="M1522" s="100"/>
      <c r="N1522" s="100"/>
      <c r="O1522" s="100"/>
      <c r="P1522" s="100"/>
      <c r="Q1522" s="100"/>
      <c r="R1522" s="100"/>
      <c r="S1522" s="100"/>
      <c r="T1522" s="100"/>
      <c r="U1522" s="100"/>
      <c r="V1522" s="100"/>
      <c r="W1522" s="100"/>
      <c r="X1522" s="100"/>
      <c r="Y1522" s="100"/>
      <c r="Z1522" s="100"/>
      <c r="AA1522" s="100"/>
    </row>
    <row r="1523" spans="2:27">
      <c r="B1523" s="100"/>
      <c r="C1523" s="100"/>
      <c r="D1523" s="100"/>
      <c r="E1523" s="100"/>
      <c r="F1523" s="100"/>
      <c r="G1523" s="100"/>
      <c r="H1523" s="100"/>
      <c r="I1523" s="100"/>
      <c r="J1523" s="100"/>
      <c r="K1523" s="100"/>
      <c r="L1523" s="100"/>
      <c r="M1523" s="100"/>
      <c r="N1523" s="100"/>
      <c r="O1523" s="100"/>
      <c r="P1523" s="100"/>
      <c r="Q1523" s="100"/>
      <c r="R1523" s="100"/>
      <c r="S1523" s="100"/>
      <c r="T1523" s="100"/>
      <c r="U1523" s="100"/>
      <c r="V1523" s="100"/>
      <c r="W1523" s="100"/>
      <c r="X1523" s="100"/>
      <c r="Y1523" s="100"/>
      <c r="Z1523" s="100"/>
      <c r="AA1523" s="100"/>
    </row>
    <row r="1524" spans="2:27">
      <c r="B1524" s="100"/>
      <c r="C1524" s="100"/>
      <c r="D1524" s="100"/>
      <c r="E1524" s="100"/>
      <c r="F1524" s="100"/>
      <c r="G1524" s="100"/>
      <c r="H1524" s="100"/>
      <c r="I1524" s="100"/>
      <c r="J1524" s="100"/>
      <c r="K1524" s="100"/>
      <c r="L1524" s="100"/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  <c r="AA1524" s="100"/>
    </row>
    <row r="1525" spans="2:27">
      <c r="B1525" s="100"/>
      <c r="C1525" s="100"/>
      <c r="D1525" s="100"/>
      <c r="E1525" s="100"/>
      <c r="F1525" s="100"/>
      <c r="G1525" s="100"/>
      <c r="H1525" s="100"/>
      <c r="I1525" s="100"/>
      <c r="J1525" s="100"/>
      <c r="K1525" s="100"/>
      <c r="L1525" s="100"/>
      <c r="M1525" s="100"/>
      <c r="N1525" s="100"/>
      <c r="O1525" s="100"/>
      <c r="P1525" s="100"/>
      <c r="Q1525" s="100"/>
      <c r="R1525" s="100"/>
      <c r="S1525" s="100"/>
      <c r="T1525" s="100"/>
      <c r="U1525" s="100"/>
      <c r="V1525" s="100"/>
      <c r="W1525" s="100"/>
      <c r="X1525" s="100"/>
      <c r="Y1525" s="100"/>
      <c r="Z1525" s="100"/>
      <c r="AA1525" s="100"/>
    </row>
    <row r="1526" spans="2:27">
      <c r="B1526" s="100"/>
      <c r="C1526" s="100"/>
      <c r="D1526" s="100"/>
      <c r="E1526" s="100"/>
      <c r="F1526" s="100"/>
      <c r="G1526" s="100"/>
      <c r="H1526" s="100"/>
      <c r="I1526" s="100"/>
      <c r="J1526" s="100"/>
      <c r="K1526" s="100"/>
      <c r="L1526" s="100"/>
      <c r="M1526" s="100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  <c r="AA1526" s="100"/>
    </row>
    <row r="1527" spans="2:27">
      <c r="B1527" s="100"/>
      <c r="C1527" s="100"/>
      <c r="D1527" s="100"/>
      <c r="E1527" s="100"/>
      <c r="F1527" s="100"/>
      <c r="G1527" s="100"/>
      <c r="H1527" s="100"/>
      <c r="I1527" s="100"/>
      <c r="J1527" s="100"/>
      <c r="K1527" s="100"/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  <c r="AA1527" s="100"/>
    </row>
    <row r="1528" spans="2:27">
      <c r="B1528" s="100"/>
      <c r="C1528" s="100"/>
      <c r="D1528" s="100"/>
      <c r="E1528" s="100"/>
      <c r="F1528" s="100"/>
      <c r="G1528" s="100"/>
      <c r="H1528" s="100"/>
      <c r="I1528" s="100"/>
      <c r="J1528" s="100"/>
      <c r="K1528" s="100"/>
      <c r="L1528" s="100"/>
      <c r="M1528" s="100"/>
      <c r="N1528" s="100"/>
      <c r="O1528" s="100"/>
      <c r="P1528" s="100"/>
      <c r="Q1528" s="100"/>
      <c r="R1528" s="100"/>
      <c r="S1528" s="100"/>
      <c r="T1528" s="100"/>
      <c r="U1528" s="100"/>
      <c r="V1528" s="100"/>
      <c r="W1528" s="100"/>
      <c r="X1528" s="100"/>
      <c r="Y1528" s="100"/>
      <c r="Z1528" s="100"/>
      <c r="AA1528" s="100"/>
    </row>
    <row r="1529" spans="2:27">
      <c r="B1529" s="100"/>
      <c r="C1529" s="100"/>
      <c r="D1529" s="100"/>
      <c r="E1529" s="100"/>
      <c r="F1529" s="100"/>
      <c r="G1529" s="100"/>
      <c r="H1529" s="100"/>
      <c r="I1529" s="100"/>
      <c r="J1529" s="100"/>
      <c r="K1529" s="100"/>
      <c r="L1529" s="100"/>
      <c r="M1529" s="100"/>
      <c r="N1529" s="100"/>
      <c r="O1529" s="100"/>
      <c r="P1529" s="100"/>
      <c r="Q1529" s="100"/>
      <c r="R1529" s="100"/>
      <c r="S1529" s="100"/>
      <c r="T1529" s="100"/>
      <c r="U1529" s="100"/>
      <c r="V1529" s="100"/>
      <c r="W1529" s="100"/>
      <c r="X1529" s="100"/>
      <c r="Y1529" s="100"/>
      <c r="Z1529" s="100"/>
      <c r="AA1529" s="100"/>
    </row>
    <row r="1530" spans="2:27">
      <c r="B1530" s="100"/>
      <c r="C1530" s="100"/>
      <c r="D1530" s="100"/>
      <c r="E1530" s="100"/>
      <c r="F1530" s="100"/>
      <c r="G1530" s="100"/>
      <c r="H1530" s="100"/>
      <c r="I1530" s="100"/>
      <c r="J1530" s="100"/>
      <c r="K1530" s="100"/>
      <c r="L1530" s="100"/>
      <c r="M1530" s="100"/>
      <c r="N1530" s="100"/>
      <c r="O1530" s="100"/>
      <c r="P1530" s="100"/>
      <c r="Q1530" s="100"/>
      <c r="R1530" s="100"/>
      <c r="S1530" s="100"/>
      <c r="T1530" s="100"/>
      <c r="U1530" s="100"/>
      <c r="V1530" s="100"/>
      <c r="W1530" s="100"/>
      <c r="X1530" s="100"/>
      <c r="Y1530" s="100"/>
      <c r="Z1530" s="100"/>
      <c r="AA1530" s="100"/>
    </row>
    <row r="1531" spans="2:27">
      <c r="B1531" s="100"/>
      <c r="C1531" s="100"/>
      <c r="D1531" s="100"/>
      <c r="E1531" s="100"/>
      <c r="F1531" s="100"/>
      <c r="G1531" s="100"/>
      <c r="H1531" s="100"/>
      <c r="I1531" s="100"/>
      <c r="J1531" s="100"/>
      <c r="K1531" s="100"/>
      <c r="L1531" s="100"/>
      <c r="M1531" s="100"/>
      <c r="N1531" s="100"/>
      <c r="O1531" s="100"/>
      <c r="P1531" s="100"/>
      <c r="Q1531" s="100"/>
      <c r="R1531" s="100"/>
      <c r="S1531" s="100"/>
      <c r="T1531" s="100"/>
      <c r="U1531" s="100"/>
      <c r="V1531" s="100"/>
      <c r="W1531" s="100"/>
      <c r="X1531" s="100"/>
      <c r="Y1531" s="100"/>
      <c r="Z1531" s="100"/>
      <c r="AA1531" s="100"/>
    </row>
    <row r="1532" spans="2:27">
      <c r="B1532" s="100"/>
      <c r="C1532" s="100"/>
      <c r="D1532" s="100"/>
      <c r="E1532" s="100"/>
      <c r="F1532" s="100"/>
      <c r="G1532" s="100"/>
      <c r="H1532" s="100"/>
      <c r="I1532" s="100"/>
      <c r="J1532" s="100"/>
      <c r="K1532" s="100"/>
      <c r="L1532" s="100"/>
      <c r="M1532" s="100"/>
      <c r="N1532" s="100"/>
      <c r="O1532" s="100"/>
      <c r="P1532" s="100"/>
      <c r="Q1532" s="100"/>
      <c r="R1532" s="100"/>
      <c r="S1532" s="100"/>
      <c r="T1532" s="100"/>
      <c r="U1532" s="100"/>
      <c r="V1532" s="100"/>
      <c r="W1532" s="100"/>
      <c r="X1532" s="100"/>
      <c r="Y1532" s="100"/>
      <c r="Z1532" s="100"/>
      <c r="AA1532" s="100"/>
    </row>
    <row r="1533" spans="2:27">
      <c r="B1533" s="100"/>
      <c r="C1533" s="100"/>
      <c r="D1533" s="100"/>
      <c r="E1533" s="100"/>
      <c r="F1533" s="100"/>
      <c r="G1533" s="100"/>
      <c r="H1533" s="100"/>
      <c r="I1533" s="100"/>
      <c r="J1533" s="100"/>
      <c r="K1533" s="100"/>
      <c r="L1533" s="100"/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  <c r="AA1533" s="100"/>
    </row>
    <row r="1534" spans="2:27">
      <c r="B1534" s="100"/>
      <c r="C1534" s="100"/>
      <c r="D1534" s="100"/>
      <c r="E1534" s="100"/>
      <c r="F1534" s="100"/>
      <c r="G1534" s="100"/>
      <c r="H1534" s="100"/>
      <c r="I1534" s="100"/>
      <c r="J1534" s="100"/>
      <c r="K1534" s="100"/>
      <c r="L1534" s="100"/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  <c r="AA1534" s="100"/>
    </row>
    <row r="1535" spans="2:27">
      <c r="B1535" s="100"/>
      <c r="C1535" s="100"/>
      <c r="D1535" s="100"/>
      <c r="E1535" s="100"/>
      <c r="F1535" s="100"/>
      <c r="G1535" s="100"/>
      <c r="H1535" s="100"/>
      <c r="I1535" s="100"/>
      <c r="J1535" s="100"/>
      <c r="K1535" s="100"/>
      <c r="L1535" s="100"/>
      <c r="M1535" s="100"/>
      <c r="N1535" s="100"/>
      <c r="O1535" s="100"/>
      <c r="P1535" s="100"/>
      <c r="Q1535" s="100"/>
      <c r="R1535" s="100"/>
      <c r="S1535" s="100"/>
      <c r="T1535" s="100"/>
      <c r="U1535" s="100"/>
      <c r="V1535" s="100"/>
      <c r="W1535" s="100"/>
      <c r="X1535" s="100"/>
      <c r="Y1535" s="100"/>
      <c r="Z1535" s="100"/>
      <c r="AA1535" s="100"/>
    </row>
    <row r="1536" spans="2:27">
      <c r="B1536" s="100"/>
      <c r="C1536" s="100"/>
      <c r="D1536" s="100"/>
      <c r="E1536" s="100"/>
      <c r="F1536" s="100"/>
      <c r="G1536" s="100"/>
      <c r="H1536" s="100"/>
      <c r="I1536" s="100"/>
      <c r="J1536" s="100"/>
      <c r="K1536" s="100"/>
      <c r="L1536" s="100"/>
      <c r="M1536" s="100"/>
      <c r="N1536" s="100"/>
      <c r="O1536" s="100"/>
      <c r="P1536" s="100"/>
      <c r="Q1536" s="100"/>
      <c r="R1536" s="100"/>
      <c r="S1536" s="100"/>
      <c r="T1536" s="100"/>
      <c r="U1536" s="100"/>
      <c r="V1536" s="100"/>
      <c r="W1536" s="100"/>
      <c r="X1536" s="100"/>
      <c r="Y1536" s="100"/>
      <c r="Z1536" s="100"/>
      <c r="AA1536" s="100"/>
    </row>
    <row r="1537" spans="2:27">
      <c r="B1537" s="100"/>
      <c r="C1537" s="100"/>
      <c r="D1537" s="100"/>
      <c r="E1537" s="100"/>
      <c r="F1537" s="100"/>
      <c r="G1537" s="100"/>
      <c r="H1537" s="100"/>
      <c r="I1537" s="100"/>
      <c r="J1537" s="100"/>
      <c r="K1537" s="100"/>
      <c r="L1537" s="100"/>
      <c r="M1537" s="100"/>
      <c r="N1537" s="100"/>
      <c r="O1537" s="100"/>
      <c r="P1537" s="100"/>
      <c r="Q1537" s="100"/>
      <c r="R1537" s="100"/>
      <c r="S1537" s="100"/>
      <c r="T1537" s="100"/>
      <c r="U1537" s="100"/>
      <c r="V1537" s="100"/>
      <c r="W1537" s="100"/>
      <c r="X1537" s="100"/>
      <c r="Y1537" s="100"/>
      <c r="Z1537" s="100"/>
      <c r="AA1537" s="100"/>
    </row>
    <row r="1538" spans="2:27">
      <c r="B1538" s="100"/>
      <c r="C1538" s="100"/>
      <c r="D1538" s="100"/>
      <c r="E1538" s="100"/>
      <c r="F1538" s="100"/>
      <c r="G1538" s="100"/>
      <c r="H1538" s="100"/>
      <c r="I1538" s="100"/>
      <c r="J1538" s="100"/>
      <c r="K1538" s="100"/>
      <c r="L1538" s="100"/>
      <c r="M1538" s="100"/>
      <c r="N1538" s="100"/>
      <c r="O1538" s="100"/>
      <c r="P1538" s="100"/>
      <c r="Q1538" s="100"/>
      <c r="R1538" s="100"/>
      <c r="S1538" s="100"/>
      <c r="T1538" s="100"/>
      <c r="U1538" s="100"/>
      <c r="V1538" s="100"/>
      <c r="W1538" s="100"/>
      <c r="X1538" s="100"/>
      <c r="Y1538" s="100"/>
      <c r="Z1538" s="100"/>
      <c r="AA1538" s="100"/>
    </row>
    <row r="1539" spans="2:27">
      <c r="B1539" s="100"/>
      <c r="C1539" s="100"/>
      <c r="D1539" s="100"/>
      <c r="E1539" s="100"/>
      <c r="F1539" s="100"/>
      <c r="G1539" s="100"/>
      <c r="H1539" s="100"/>
      <c r="I1539" s="100"/>
      <c r="J1539" s="100"/>
      <c r="K1539" s="100"/>
      <c r="L1539" s="100"/>
      <c r="M1539" s="100"/>
      <c r="N1539" s="100"/>
      <c r="O1539" s="100"/>
      <c r="P1539" s="100"/>
      <c r="Q1539" s="100"/>
      <c r="R1539" s="100"/>
      <c r="S1539" s="100"/>
      <c r="T1539" s="100"/>
      <c r="U1539" s="100"/>
      <c r="V1539" s="100"/>
      <c r="W1539" s="100"/>
      <c r="X1539" s="100"/>
      <c r="Y1539" s="100"/>
      <c r="Z1539" s="100"/>
      <c r="AA1539" s="100"/>
    </row>
    <row r="1540" spans="2:27">
      <c r="B1540" s="100"/>
      <c r="C1540" s="100"/>
      <c r="D1540" s="100"/>
      <c r="E1540" s="100"/>
      <c r="F1540" s="100"/>
      <c r="G1540" s="100"/>
      <c r="H1540" s="100"/>
      <c r="I1540" s="100"/>
      <c r="J1540" s="100"/>
      <c r="K1540" s="100"/>
      <c r="L1540" s="100"/>
      <c r="M1540" s="100"/>
      <c r="N1540" s="100"/>
      <c r="O1540" s="100"/>
      <c r="P1540" s="100"/>
      <c r="Q1540" s="100"/>
      <c r="R1540" s="100"/>
      <c r="S1540" s="100"/>
      <c r="T1540" s="100"/>
      <c r="U1540" s="100"/>
      <c r="V1540" s="100"/>
      <c r="W1540" s="100"/>
      <c r="X1540" s="100"/>
      <c r="Y1540" s="100"/>
      <c r="Z1540" s="100"/>
      <c r="AA1540" s="100"/>
    </row>
    <row r="1541" spans="2:27">
      <c r="B1541" s="100"/>
      <c r="C1541" s="100"/>
      <c r="D1541" s="100"/>
      <c r="E1541" s="100"/>
      <c r="F1541" s="100"/>
      <c r="G1541" s="100"/>
      <c r="H1541" s="100"/>
      <c r="I1541" s="100"/>
      <c r="J1541" s="100"/>
      <c r="K1541" s="100"/>
      <c r="L1541" s="100"/>
      <c r="M1541" s="100"/>
      <c r="N1541" s="100"/>
      <c r="O1541" s="100"/>
      <c r="P1541" s="100"/>
      <c r="Q1541" s="100"/>
      <c r="R1541" s="100"/>
      <c r="S1541" s="100"/>
      <c r="T1541" s="100"/>
      <c r="U1541" s="100"/>
      <c r="V1541" s="100"/>
      <c r="W1541" s="100"/>
      <c r="X1541" s="100"/>
      <c r="Y1541" s="100"/>
      <c r="Z1541" s="100"/>
      <c r="AA1541" s="100"/>
    </row>
    <row r="1542" spans="2:27">
      <c r="B1542" s="100"/>
      <c r="C1542" s="100"/>
      <c r="D1542" s="100"/>
      <c r="E1542" s="100"/>
      <c r="F1542" s="100"/>
      <c r="G1542" s="100"/>
      <c r="H1542" s="100"/>
      <c r="I1542" s="100"/>
      <c r="J1542" s="100"/>
      <c r="K1542" s="100"/>
      <c r="L1542" s="100"/>
      <c r="M1542" s="100"/>
      <c r="N1542" s="100"/>
      <c r="O1542" s="100"/>
      <c r="P1542" s="100"/>
      <c r="Q1542" s="100"/>
      <c r="R1542" s="100"/>
      <c r="S1542" s="100"/>
      <c r="T1542" s="100"/>
      <c r="U1542" s="100"/>
      <c r="V1542" s="100"/>
      <c r="W1542" s="100"/>
      <c r="X1542" s="100"/>
      <c r="Y1542" s="100"/>
      <c r="Z1542" s="100"/>
      <c r="AA1542" s="100"/>
    </row>
    <row r="1543" spans="2:27">
      <c r="B1543" s="100"/>
      <c r="C1543" s="100"/>
      <c r="D1543" s="100"/>
      <c r="E1543" s="100"/>
      <c r="F1543" s="100"/>
      <c r="G1543" s="100"/>
      <c r="H1543" s="100"/>
      <c r="I1543" s="100"/>
      <c r="J1543" s="100"/>
      <c r="K1543" s="100"/>
      <c r="L1543" s="100"/>
      <c r="M1543" s="100"/>
      <c r="N1543" s="100"/>
      <c r="O1543" s="100"/>
      <c r="P1543" s="100"/>
      <c r="Q1543" s="100"/>
      <c r="R1543" s="100"/>
      <c r="S1543" s="100"/>
      <c r="T1543" s="100"/>
      <c r="U1543" s="100"/>
      <c r="V1543" s="100"/>
      <c r="W1543" s="100"/>
      <c r="X1543" s="100"/>
      <c r="Y1543" s="100"/>
      <c r="Z1543" s="100"/>
      <c r="AA1543" s="100"/>
    </row>
    <row r="1544" spans="2:27">
      <c r="B1544" s="100"/>
      <c r="C1544" s="100"/>
      <c r="D1544" s="100"/>
      <c r="E1544" s="100"/>
      <c r="F1544" s="100"/>
      <c r="G1544" s="100"/>
      <c r="H1544" s="100"/>
      <c r="I1544" s="100"/>
      <c r="J1544" s="100"/>
      <c r="K1544" s="100"/>
      <c r="L1544" s="100"/>
      <c r="M1544" s="100"/>
      <c r="N1544" s="100"/>
      <c r="O1544" s="100"/>
      <c r="P1544" s="100"/>
      <c r="Q1544" s="100"/>
      <c r="R1544" s="100"/>
      <c r="S1544" s="100"/>
      <c r="T1544" s="100"/>
      <c r="U1544" s="100"/>
      <c r="V1544" s="100"/>
      <c r="W1544" s="100"/>
      <c r="X1544" s="100"/>
      <c r="Y1544" s="100"/>
      <c r="Z1544" s="100"/>
      <c r="AA1544" s="100"/>
    </row>
    <row r="1545" spans="2:27">
      <c r="B1545" s="100"/>
      <c r="C1545" s="100"/>
      <c r="D1545" s="100"/>
      <c r="E1545" s="100"/>
      <c r="F1545" s="100"/>
      <c r="G1545" s="100"/>
      <c r="H1545" s="100"/>
      <c r="I1545" s="100"/>
      <c r="J1545" s="100"/>
      <c r="K1545" s="100"/>
      <c r="L1545" s="100"/>
      <c r="M1545" s="100"/>
      <c r="N1545" s="100"/>
      <c r="O1545" s="100"/>
      <c r="P1545" s="100"/>
      <c r="Q1545" s="100"/>
      <c r="R1545" s="100"/>
      <c r="S1545" s="100"/>
      <c r="T1545" s="100"/>
      <c r="U1545" s="100"/>
      <c r="V1545" s="100"/>
      <c r="W1545" s="100"/>
      <c r="X1545" s="100"/>
      <c r="Y1545" s="100"/>
      <c r="Z1545" s="100"/>
      <c r="AA1545" s="100"/>
    </row>
    <row r="1546" spans="2:27">
      <c r="B1546" s="100"/>
      <c r="C1546" s="100"/>
      <c r="D1546" s="100"/>
      <c r="E1546" s="100"/>
      <c r="F1546" s="100"/>
      <c r="G1546" s="100"/>
      <c r="H1546" s="100"/>
      <c r="I1546" s="100"/>
      <c r="J1546" s="100"/>
      <c r="K1546" s="100"/>
      <c r="L1546" s="100"/>
      <c r="M1546" s="100"/>
      <c r="N1546" s="100"/>
      <c r="O1546" s="100"/>
      <c r="P1546" s="100"/>
      <c r="Q1546" s="100"/>
      <c r="R1546" s="100"/>
      <c r="S1546" s="100"/>
      <c r="T1546" s="100"/>
      <c r="U1546" s="100"/>
      <c r="V1546" s="100"/>
      <c r="W1546" s="100"/>
      <c r="X1546" s="100"/>
      <c r="Y1546" s="100"/>
      <c r="Z1546" s="100"/>
      <c r="AA1546" s="100"/>
    </row>
    <row r="1547" spans="2:27">
      <c r="B1547" s="100"/>
      <c r="C1547" s="100"/>
      <c r="D1547" s="100"/>
      <c r="E1547" s="100"/>
      <c r="F1547" s="100"/>
      <c r="G1547" s="100"/>
      <c r="H1547" s="100"/>
      <c r="I1547" s="100"/>
      <c r="J1547" s="100"/>
      <c r="K1547" s="100"/>
      <c r="L1547" s="100"/>
      <c r="M1547" s="100"/>
      <c r="N1547" s="100"/>
      <c r="O1547" s="100"/>
      <c r="P1547" s="100"/>
      <c r="Q1547" s="100"/>
      <c r="R1547" s="100"/>
      <c r="S1547" s="100"/>
      <c r="T1547" s="100"/>
      <c r="U1547" s="100"/>
      <c r="V1547" s="100"/>
      <c r="W1547" s="100"/>
      <c r="X1547" s="100"/>
      <c r="Y1547" s="100"/>
      <c r="Z1547" s="100"/>
      <c r="AA1547" s="100"/>
    </row>
    <row r="1548" spans="2:27">
      <c r="B1548" s="100"/>
      <c r="C1548" s="100"/>
      <c r="D1548" s="100"/>
      <c r="E1548" s="100"/>
      <c r="F1548" s="100"/>
      <c r="G1548" s="100"/>
      <c r="H1548" s="100"/>
      <c r="I1548" s="100"/>
      <c r="J1548" s="100"/>
      <c r="K1548" s="100"/>
      <c r="L1548" s="100"/>
      <c r="M1548" s="100"/>
      <c r="N1548" s="100"/>
      <c r="O1548" s="100"/>
      <c r="P1548" s="100"/>
      <c r="Q1548" s="100"/>
      <c r="R1548" s="100"/>
      <c r="S1548" s="100"/>
      <c r="T1548" s="100"/>
      <c r="U1548" s="100"/>
      <c r="V1548" s="100"/>
      <c r="W1548" s="100"/>
      <c r="X1548" s="100"/>
      <c r="Y1548" s="100"/>
      <c r="Z1548" s="100"/>
      <c r="AA1548" s="100"/>
    </row>
    <row r="1549" spans="2:27">
      <c r="B1549" s="100"/>
      <c r="C1549" s="100"/>
      <c r="D1549" s="100"/>
      <c r="E1549" s="100"/>
      <c r="F1549" s="100"/>
      <c r="G1549" s="100"/>
      <c r="H1549" s="100"/>
      <c r="I1549" s="100"/>
      <c r="J1549" s="100"/>
      <c r="K1549" s="100"/>
      <c r="L1549" s="100"/>
      <c r="M1549" s="100"/>
      <c r="N1549" s="100"/>
      <c r="O1549" s="100"/>
      <c r="P1549" s="100"/>
      <c r="Q1549" s="100"/>
      <c r="R1549" s="100"/>
      <c r="S1549" s="100"/>
      <c r="T1549" s="100"/>
      <c r="U1549" s="100"/>
      <c r="V1549" s="100"/>
      <c r="W1549" s="100"/>
      <c r="X1549" s="100"/>
      <c r="Y1549" s="100"/>
      <c r="Z1549" s="100"/>
      <c r="AA1549" s="100"/>
    </row>
    <row r="1550" spans="2:27">
      <c r="B1550" s="100"/>
      <c r="C1550" s="100"/>
      <c r="D1550" s="100"/>
      <c r="E1550" s="100"/>
      <c r="F1550" s="100"/>
      <c r="G1550" s="100"/>
      <c r="H1550" s="100"/>
      <c r="I1550" s="100"/>
      <c r="J1550" s="100"/>
      <c r="K1550" s="100"/>
      <c r="L1550" s="100"/>
      <c r="M1550" s="100"/>
      <c r="N1550" s="100"/>
      <c r="O1550" s="100"/>
      <c r="P1550" s="100"/>
      <c r="Q1550" s="100"/>
      <c r="R1550" s="100"/>
      <c r="S1550" s="100"/>
      <c r="T1550" s="100"/>
      <c r="U1550" s="100"/>
      <c r="V1550" s="100"/>
      <c r="W1550" s="100"/>
      <c r="X1550" s="100"/>
      <c r="Y1550" s="100"/>
      <c r="Z1550" s="100"/>
      <c r="AA1550" s="100"/>
    </row>
    <row r="1551" spans="2:27">
      <c r="B1551" s="100"/>
      <c r="C1551" s="100"/>
      <c r="D1551" s="100"/>
      <c r="E1551" s="100"/>
      <c r="F1551" s="100"/>
      <c r="G1551" s="100"/>
      <c r="H1551" s="100"/>
      <c r="I1551" s="100"/>
      <c r="J1551" s="100"/>
      <c r="K1551" s="100"/>
      <c r="L1551" s="100"/>
      <c r="M1551" s="100"/>
      <c r="N1551" s="100"/>
      <c r="O1551" s="100"/>
      <c r="P1551" s="100"/>
      <c r="Q1551" s="100"/>
      <c r="R1551" s="100"/>
      <c r="S1551" s="100"/>
      <c r="T1551" s="100"/>
      <c r="U1551" s="100"/>
      <c r="V1551" s="100"/>
      <c r="W1551" s="100"/>
      <c r="X1551" s="100"/>
      <c r="Y1551" s="100"/>
      <c r="Z1551" s="100"/>
      <c r="AA1551" s="100"/>
    </row>
    <row r="1552" spans="2:27">
      <c r="B1552" s="100"/>
      <c r="C1552" s="100"/>
      <c r="D1552" s="100"/>
      <c r="E1552" s="100"/>
      <c r="F1552" s="100"/>
      <c r="G1552" s="100"/>
      <c r="H1552" s="100"/>
      <c r="I1552" s="100"/>
      <c r="J1552" s="100"/>
      <c r="K1552" s="100"/>
      <c r="L1552" s="100"/>
      <c r="M1552" s="100"/>
      <c r="N1552" s="100"/>
      <c r="O1552" s="100"/>
      <c r="P1552" s="100"/>
      <c r="Q1552" s="100"/>
      <c r="R1552" s="100"/>
      <c r="S1552" s="100"/>
      <c r="T1552" s="100"/>
      <c r="U1552" s="100"/>
      <c r="V1552" s="100"/>
      <c r="W1552" s="100"/>
      <c r="X1552" s="100"/>
      <c r="Y1552" s="100"/>
      <c r="Z1552" s="100"/>
      <c r="AA1552" s="100"/>
    </row>
    <row r="1553" spans="2:27">
      <c r="B1553" s="100"/>
      <c r="C1553" s="100"/>
      <c r="D1553" s="100"/>
      <c r="E1553" s="100"/>
      <c r="F1553" s="100"/>
      <c r="G1553" s="100"/>
      <c r="H1553" s="100"/>
      <c r="I1553" s="100"/>
      <c r="J1553" s="100"/>
      <c r="K1553" s="100"/>
      <c r="L1553" s="100"/>
      <c r="M1553" s="100"/>
      <c r="N1553" s="100"/>
      <c r="O1553" s="100"/>
      <c r="P1553" s="100"/>
      <c r="Q1553" s="100"/>
      <c r="R1553" s="100"/>
      <c r="S1553" s="100"/>
      <c r="T1553" s="100"/>
      <c r="U1553" s="100"/>
      <c r="V1553" s="100"/>
      <c r="W1553" s="100"/>
      <c r="X1553" s="100"/>
      <c r="Y1553" s="100"/>
      <c r="Z1553" s="100"/>
      <c r="AA1553" s="100"/>
    </row>
    <row r="1554" spans="2:27">
      <c r="B1554" s="100"/>
      <c r="C1554" s="100"/>
      <c r="D1554" s="100"/>
      <c r="E1554" s="100"/>
      <c r="F1554" s="100"/>
      <c r="G1554" s="100"/>
      <c r="H1554" s="100"/>
      <c r="I1554" s="100"/>
      <c r="J1554" s="100"/>
      <c r="K1554" s="100"/>
      <c r="L1554" s="100"/>
      <c r="M1554" s="100"/>
      <c r="N1554" s="100"/>
      <c r="O1554" s="100"/>
      <c r="P1554" s="100"/>
      <c r="Q1554" s="100"/>
      <c r="R1554" s="100"/>
      <c r="S1554" s="100"/>
      <c r="T1554" s="100"/>
      <c r="U1554" s="100"/>
      <c r="V1554" s="100"/>
      <c r="W1554" s="100"/>
      <c r="X1554" s="100"/>
      <c r="Y1554" s="100"/>
      <c r="Z1554" s="100"/>
      <c r="AA1554" s="100"/>
    </row>
    <row r="1555" spans="2:27">
      <c r="B1555" s="100"/>
      <c r="C1555" s="100"/>
      <c r="D1555" s="100"/>
      <c r="E1555" s="100"/>
      <c r="F1555" s="100"/>
      <c r="G1555" s="100"/>
      <c r="H1555" s="100"/>
      <c r="I1555" s="100"/>
      <c r="J1555" s="100"/>
      <c r="K1555" s="100"/>
      <c r="L1555" s="100"/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  <c r="AA1555" s="100"/>
    </row>
    <row r="1556" spans="2:27">
      <c r="B1556" s="100"/>
      <c r="C1556" s="100"/>
      <c r="D1556" s="100"/>
      <c r="E1556" s="100"/>
      <c r="F1556" s="100"/>
      <c r="G1556" s="100"/>
      <c r="H1556" s="100"/>
      <c r="I1556" s="100"/>
      <c r="J1556" s="100"/>
      <c r="K1556" s="100"/>
      <c r="L1556" s="100"/>
      <c r="M1556" s="100"/>
      <c r="N1556" s="100"/>
      <c r="O1556" s="100"/>
      <c r="P1556" s="100"/>
      <c r="Q1556" s="100"/>
      <c r="R1556" s="100"/>
      <c r="S1556" s="100"/>
      <c r="T1556" s="100"/>
      <c r="U1556" s="100"/>
      <c r="V1556" s="100"/>
      <c r="W1556" s="100"/>
      <c r="X1556" s="100"/>
      <c r="Y1556" s="100"/>
      <c r="Z1556" s="100"/>
      <c r="AA1556" s="100"/>
    </row>
    <row r="1557" spans="2:27">
      <c r="B1557" s="100"/>
      <c r="C1557" s="100"/>
      <c r="D1557" s="100"/>
      <c r="E1557" s="100"/>
      <c r="F1557" s="100"/>
      <c r="G1557" s="100"/>
      <c r="H1557" s="100"/>
      <c r="I1557" s="100"/>
      <c r="J1557" s="100"/>
      <c r="K1557" s="100"/>
      <c r="L1557" s="100"/>
      <c r="M1557" s="100"/>
      <c r="N1557" s="100"/>
      <c r="O1557" s="100"/>
      <c r="P1557" s="100"/>
      <c r="Q1557" s="100"/>
      <c r="R1557" s="100"/>
      <c r="S1557" s="100"/>
      <c r="T1557" s="100"/>
      <c r="U1557" s="100"/>
      <c r="V1557" s="100"/>
      <c r="W1557" s="100"/>
      <c r="X1557" s="100"/>
      <c r="Y1557" s="100"/>
      <c r="Z1557" s="100"/>
      <c r="AA1557" s="100"/>
    </row>
    <row r="1558" spans="2:27">
      <c r="B1558" s="100"/>
      <c r="C1558" s="100"/>
      <c r="D1558" s="100"/>
      <c r="E1558" s="100"/>
      <c r="F1558" s="100"/>
      <c r="G1558" s="100"/>
      <c r="H1558" s="100"/>
      <c r="I1558" s="100"/>
      <c r="J1558" s="100"/>
      <c r="K1558" s="100"/>
      <c r="L1558" s="100"/>
      <c r="M1558" s="100"/>
      <c r="N1558" s="100"/>
      <c r="O1558" s="100"/>
      <c r="P1558" s="100"/>
      <c r="Q1558" s="100"/>
      <c r="R1558" s="100"/>
      <c r="S1558" s="100"/>
      <c r="T1558" s="100"/>
      <c r="U1558" s="100"/>
      <c r="V1558" s="100"/>
      <c r="W1558" s="100"/>
      <c r="X1558" s="100"/>
      <c r="Y1558" s="100"/>
      <c r="Z1558" s="100"/>
      <c r="AA1558" s="100"/>
    </row>
    <row r="1559" spans="2:27">
      <c r="B1559" s="100"/>
      <c r="C1559" s="100"/>
      <c r="D1559" s="100"/>
      <c r="E1559" s="100"/>
      <c r="F1559" s="100"/>
      <c r="G1559" s="100"/>
      <c r="H1559" s="100"/>
      <c r="I1559" s="100"/>
      <c r="J1559" s="100"/>
      <c r="K1559" s="100"/>
      <c r="L1559" s="100"/>
      <c r="M1559" s="100"/>
      <c r="N1559" s="100"/>
      <c r="O1559" s="100"/>
      <c r="P1559" s="100"/>
      <c r="Q1559" s="100"/>
      <c r="R1559" s="100"/>
      <c r="S1559" s="100"/>
      <c r="T1559" s="100"/>
      <c r="U1559" s="100"/>
      <c r="V1559" s="100"/>
      <c r="W1559" s="100"/>
      <c r="X1559" s="100"/>
      <c r="Y1559" s="100"/>
      <c r="Z1559" s="100"/>
      <c r="AA1559" s="100"/>
    </row>
    <row r="1560" spans="2:27">
      <c r="B1560" s="100"/>
      <c r="C1560" s="100"/>
      <c r="D1560" s="100"/>
      <c r="E1560" s="100"/>
      <c r="F1560" s="100"/>
      <c r="G1560" s="100"/>
      <c r="H1560" s="100"/>
      <c r="I1560" s="100"/>
      <c r="J1560" s="100"/>
      <c r="K1560" s="100"/>
      <c r="L1560" s="100"/>
      <c r="M1560" s="100"/>
      <c r="N1560" s="100"/>
      <c r="O1560" s="100"/>
      <c r="P1560" s="100"/>
      <c r="Q1560" s="100"/>
      <c r="R1560" s="100"/>
      <c r="S1560" s="100"/>
      <c r="T1560" s="100"/>
      <c r="U1560" s="100"/>
      <c r="V1560" s="100"/>
      <c r="W1560" s="100"/>
      <c r="X1560" s="100"/>
      <c r="Y1560" s="100"/>
      <c r="Z1560" s="100"/>
      <c r="AA1560" s="100"/>
    </row>
    <row r="1561" spans="2:27">
      <c r="B1561" s="100"/>
      <c r="C1561" s="100"/>
      <c r="D1561" s="100"/>
      <c r="E1561" s="100"/>
      <c r="F1561" s="100"/>
      <c r="G1561" s="100"/>
      <c r="H1561" s="100"/>
      <c r="I1561" s="100"/>
      <c r="J1561" s="100"/>
      <c r="K1561" s="100"/>
      <c r="L1561" s="100"/>
      <c r="M1561" s="100"/>
      <c r="N1561" s="100"/>
      <c r="O1561" s="100"/>
      <c r="P1561" s="100"/>
      <c r="Q1561" s="100"/>
      <c r="R1561" s="100"/>
      <c r="S1561" s="100"/>
      <c r="T1561" s="100"/>
      <c r="U1561" s="100"/>
      <c r="V1561" s="100"/>
      <c r="W1561" s="100"/>
      <c r="X1561" s="100"/>
      <c r="Y1561" s="100"/>
      <c r="Z1561" s="100"/>
      <c r="AA1561" s="100"/>
    </row>
    <row r="1562" spans="2:27">
      <c r="B1562" s="100"/>
      <c r="C1562" s="100"/>
      <c r="D1562" s="100"/>
      <c r="E1562" s="100"/>
      <c r="F1562" s="100"/>
      <c r="G1562" s="100"/>
      <c r="H1562" s="100"/>
      <c r="I1562" s="100"/>
      <c r="J1562" s="100"/>
      <c r="K1562" s="100"/>
      <c r="L1562" s="100"/>
      <c r="M1562" s="100"/>
      <c r="N1562" s="100"/>
      <c r="O1562" s="100"/>
      <c r="P1562" s="100"/>
      <c r="Q1562" s="100"/>
      <c r="R1562" s="100"/>
      <c r="S1562" s="100"/>
      <c r="T1562" s="100"/>
      <c r="U1562" s="100"/>
      <c r="V1562" s="100"/>
      <c r="W1562" s="100"/>
      <c r="X1562" s="100"/>
      <c r="Y1562" s="100"/>
      <c r="Z1562" s="100"/>
      <c r="AA1562" s="100"/>
    </row>
    <row r="1563" spans="2:27">
      <c r="B1563" s="100"/>
      <c r="C1563" s="100"/>
      <c r="D1563" s="100"/>
      <c r="E1563" s="100"/>
      <c r="F1563" s="100"/>
      <c r="G1563" s="100"/>
      <c r="H1563" s="100"/>
      <c r="I1563" s="100"/>
      <c r="J1563" s="100"/>
      <c r="K1563" s="100"/>
      <c r="L1563" s="100"/>
      <c r="M1563" s="100"/>
      <c r="N1563" s="100"/>
      <c r="O1563" s="100"/>
      <c r="P1563" s="100"/>
      <c r="Q1563" s="100"/>
      <c r="R1563" s="100"/>
      <c r="S1563" s="100"/>
      <c r="T1563" s="100"/>
      <c r="U1563" s="100"/>
      <c r="V1563" s="100"/>
      <c r="W1563" s="100"/>
      <c r="X1563" s="100"/>
      <c r="Y1563" s="100"/>
      <c r="Z1563" s="100"/>
      <c r="AA1563" s="100"/>
    </row>
    <row r="1564" spans="2:27">
      <c r="B1564" s="100"/>
      <c r="C1564" s="100"/>
      <c r="D1564" s="100"/>
      <c r="E1564" s="100"/>
      <c r="F1564" s="100"/>
      <c r="G1564" s="100"/>
      <c r="H1564" s="100"/>
      <c r="I1564" s="100"/>
      <c r="J1564" s="100"/>
      <c r="K1564" s="100"/>
      <c r="L1564" s="100"/>
      <c r="M1564" s="100"/>
      <c r="N1564" s="100"/>
      <c r="O1564" s="100"/>
      <c r="P1564" s="100"/>
      <c r="Q1564" s="100"/>
      <c r="R1564" s="100"/>
      <c r="S1564" s="100"/>
      <c r="T1564" s="100"/>
      <c r="U1564" s="100"/>
      <c r="V1564" s="100"/>
      <c r="W1564" s="100"/>
      <c r="X1564" s="100"/>
      <c r="Y1564" s="100"/>
      <c r="Z1564" s="100"/>
      <c r="AA1564" s="100"/>
    </row>
    <row r="1565" spans="2:27">
      <c r="B1565" s="100"/>
      <c r="C1565" s="100"/>
      <c r="D1565" s="100"/>
      <c r="E1565" s="100"/>
      <c r="F1565" s="100"/>
      <c r="G1565" s="100"/>
      <c r="H1565" s="100"/>
      <c r="I1565" s="100"/>
      <c r="J1565" s="100"/>
      <c r="K1565" s="100"/>
      <c r="L1565" s="100"/>
      <c r="M1565" s="100"/>
      <c r="N1565" s="100"/>
      <c r="O1565" s="100"/>
      <c r="P1565" s="100"/>
      <c r="Q1565" s="100"/>
      <c r="R1565" s="100"/>
      <c r="S1565" s="100"/>
      <c r="T1565" s="100"/>
      <c r="U1565" s="100"/>
      <c r="V1565" s="100"/>
      <c r="W1565" s="100"/>
      <c r="X1565" s="100"/>
      <c r="Y1565" s="100"/>
      <c r="Z1565" s="100"/>
      <c r="AA1565" s="100"/>
    </row>
    <row r="1566" spans="2:27">
      <c r="B1566" s="100"/>
      <c r="C1566" s="100"/>
      <c r="D1566" s="100"/>
      <c r="E1566" s="100"/>
      <c r="F1566" s="100"/>
      <c r="G1566" s="100"/>
      <c r="H1566" s="100"/>
      <c r="I1566" s="100"/>
      <c r="J1566" s="100"/>
      <c r="K1566" s="100"/>
      <c r="L1566" s="100"/>
      <c r="M1566" s="100"/>
      <c r="N1566" s="100"/>
      <c r="O1566" s="100"/>
      <c r="P1566" s="100"/>
      <c r="Q1566" s="100"/>
      <c r="R1566" s="100"/>
      <c r="S1566" s="100"/>
      <c r="T1566" s="100"/>
      <c r="U1566" s="100"/>
      <c r="V1566" s="100"/>
      <c r="W1566" s="100"/>
      <c r="X1566" s="100"/>
      <c r="Y1566" s="100"/>
      <c r="Z1566" s="100"/>
      <c r="AA1566" s="100"/>
    </row>
    <row r="1567" spans="2:27">
      <c r="B1567" s="100"/>
      <c r="C1567" s="100"/>
      <c r="D1567" s="100"/>
      <c r="E1567" s="100"/>
      <c r="F1567" s="100"/>
      <c r="G1567" s="100"/>
      <c r="H1567" s="100"/>
      <c r="I1567" s="100"/>
      <c r="J1567" s="100"/>
      <c r="K1567" s="100"/>
      <c r="L1567" s="100"/>
      <c r="M1567" s="100"/>
      <c r="N1567" s="100"/>
      <c r="O1567" s="100"/>
      <c r="P1567" s="100"/>
      <c r="Q1567" s="100"/>
      <c r="R1567" s="100"/>
      <c r="S1567" s="100"/>
      <c r="T1567" s="100"/>
      <c r="U1567" s="100"/>
      <c r="V1567" s="100"/>
      <c r="W1567" s="100"/>
      <c r="X1567" s="100"/>
      <c r="Y1567" s="100"/>
      <c r="Z1567" s="100"/>
      <c r="AA1567" s="100"/>
    </row>
    <row r="1568" spans="2:27">
      <c r="B1568" s="100"/>
      <c r="C1568" s="100"/>
      <c r="D1568" s="100"/>
      <c r="E1568" s="100"/>
      <c r="F1568" s="100"/>
      <c r="G1568" s="100"/>
      <c r="H1568" s="100"/>
      <c r="I1568" s="100"/>
      <c r="J1568" s="100"/>
      <c r="K1568" s="100"/>
      <c r="L1568" s="100"/>
      <c r="M1568" s="100"/>
      <c r="N1568" s="100"/>
      <c r="O1568" s="100"/>
      <c r="P1568" s="100"/>
      <c r="Q1568" s="100"/>
      <c r="R1568" s="100"/>
      <c r="S1568" s="100"/>
      <c r="T1568" s="100"/>
      <c r="U1568" s="100"/>
      <c r="V1568" s="100"/>
      <c r="W1568" s="100"/>
      <c r="X1568" s="100"/>
      <c r="Y1568" s="100"/>
      <c r="Z1568" s="100"/>
      <c r="AA1568" s="100"/>
    </row>
    <row r="1569" spans="2:27">
      <c r="B1569" s="100"/>
      <c r="C1569" s="100"/>
      <c r="D1569" s="100"/>
      <c r="E1569" s="100"/>
      <c r="F1569" s="100"/>
      <c r="G1569" s="100"/>
      <c r="H1569" s="100"/>
      <c r="I1569" s="100"/>
      <c r="J1569" s="100"/>
      <c r="K1569" s="100"/>
      <c r="L1569" s="100"/>
      <c r="M1569" s="100"/>
      <c r="N1569" s="100"/>
      <c r="O1569" s="100"/>
      <c r="P1569" s="100"/>
      <c r="Q1569" s="100"/>
      <c r="R1569" s="100"/>
      <c r="S1569" s="100"/>
      <c r="T1569" s="100"/>
      <c r="U1569" s="100"/>
      <c r="V1569" s="100"/>
      <c r="W1569" s="100"/>
      <c r="X1569" s="100"/>
      <c r="Y1569" s="100"/>
      <c r="Z1569" s="100"/>
      <c r="AA1569" s="100"/>
    </row>
    <row r="1570" spans="2:27">
      <c r="B1570" s="100"/>
      <c r="C1570" s="100"/>
      <c r="D1570" s="100"/>
      <c r="E1570" s="100"/>
      <c r="F1570" s="100"/>
      <c r="G1570" s="100"/>
      <c r="H1570" s="100"/>
      <c r="I1570" s="100"/>
      <c r="J1570" s="100"/>
      <c r="K1570" s="100"/>
      <c r="L1570" s="100"/>
      <c r="M1570" s="100"/>
      <c r="N1570" s="100"/>
      <c r="O1570" s="100"/>
      <c r="P1570" s="100"/>
      <c r="Q1570" s="100"/>
      <c r="R1570" s="100"/>
      <c r="S1570" s="100"/>
      <c r="T1570" s="100"/>
      <c r="U1570" s="100"/>
      <c r="V1570" s="100"/>
      <c r="W1570" s="100"/>
      <c r="X1570" s="100"/>
      <c r="Y1570" s="100"/>
      <c r="Z1570" s="100"/>
      <c r="AA1570" s="100"/>
    </row>
    <row r="1571" spans="2:27">
      <c r="B1571" s="100"/>
      <c r="C1571" s="100"/>
      <c r="D1571" s="100"/>
      <c r="E1571" s="100"/>
      <c r="F1571" s="100"/>
      <c r="G1571" s="100"/>
      <c r="H1571" s="100"/>
      <c r="I1571" s="100"/>
      <c r="J1571" s="100"/>
      <c r="K1571" s="100"/>
      <c r="L1571" s="100"/>
      <c r="M1571" s="100"/>
      <c r="N1571" s="100"/>
      <c r="O1571" s="100"/>
      <c r="P1571" s="100"/>
      <c r="Q1571" s="100"/>
      <c r="R1571" s="100"/>
      <c r="S1571" s="100"/>
      <c r="T1571" s="100"/>
      <c r="U1571" s="100"/>
      <c r="V1571" s="100"/>
      <c r="W1571" s="100"/>
      <c r="X1571" s="100"/>
      <c r="Y1571" s="100"/>
      <c r="Z1571" s="100"/>
      <c r="AA1571" s="100"/>
    </row>
    <row r="1572" spans="2:27">
      <c r="B1572" s="100"/>
      <c r="C1572" s="100"/>
      <c r="D1572" s="100"/>
      <c r="E1572" s="100"/>
      <c r="F1572" s="100"/>
      <c r="G1572" s="100"/>
      <c r="H1572" s="100"/>
      <c r="I1572" s="100"/>
      <c r="J1572" s="100"/>
      <c r="K1572" s="100"/>
      <c r="L1572" s="100"/>
      <c r="M1572" s="100"/>
      <c r="N1572" s="100"/>
      <c r="O1572" s="100"/>
      <c r="P1572" s="100"/>
      <c r="Q1572" s="100"/>
      <c r="R1572" s="100"/>
      <c r="S1572" s="100"/>
      <c r="T1572" s="100"/>
      <c r="U1572" s="100"/>
      <c r="V1572" s="100"/>
      <c r="W1572" s="100"/>
      <c r="X1572" s="100"/>
      <c r="Y1572" s="100"/>
      <c r="Z1572" s="100"/>
      <c r="AA1572" s="100"/>
    </row>
    <row r="1573" spans="2:27">
      <c r="B1573" s="100"/>
      <c r="C1573" s="100"/>
      <c r="D1573" s="100"/>
      <c r="E1573" s="100"/>
      <c r="F1573" s="100"/>
      <c r="G1573" s="100"/>
      <c r="H1573" s="100"/>
      <c r="I1573" s="100"/>
      <c r="J1573" s="100"/>
      <c r="K1573" s="100"/>
      <c r="L1573" s="100"/>
      <c r="M1573" s="100"/>
      <c r="N1573" s="100"/>
      <c r="O1573" s="100"/>
      <c r="P1573" s="100"/>
      <c r="Q1573" s="100"/>
      <c r="R1573" s="100"/>
      <c r="S1573" s="100"/>
      <c r="T1573" s="100"/>
      <c r="U1573" s="100"/>
      <c r="V1573" s="100"/>
      <c r="W1573" s="100"/>
      <c r="X1573" s="100"/>
      <c r="Y1573" s="100"/>
      <c r="Z1573" s="100"/>
      <c r="AA1573" s="100"/>
    </row>
    <row r="1574" spans="2:27">
      <c r="B1574" s="100"/>
      <c r="C1574" s="100"/>
      <c r="D1574" s="100"/>
      <c r="E1574" s="100"/>
      <c r="F1574" s="100"/>
      <c r="G1574" s="100"/>
      <c r="H1574" s="100"/>
      <c r="I1574" s="100"/>
      <c r="J1574" s="100"/>
      <c r="K1574" s="100"/>
      <c r="L1574" s="100"/>
      <c r="M1574" s="100"/>
      <c r="N1574" s="100"/>
      <c r="O1574" s="100"/>
      <c r="P1574" s="100"/>
      <c r="Q1574" s="100"/>
      <c r="R1574" s="100"/>
      <c r="S1574" s="100"/>
      <c r="T1574" s="100"/>
      <c r="U1574" s="100"/>
      <c r="V1574" s="100"/>
      <c r="W1574" s="100"/>
      <c r="X1574" s="100"/>
      <c r="Y1574" s="100"/>
      <c r="Z1574" s="100"/>
      <c r="AA1574" s="100"/>
    </row>
    <row r="1575" spans="2:27">
      <c r="B1575" s="100"/>
      <c r="C1575" s="100"/>
      <c r="D1575" s="100"/>
      <c r="E1575" s="100"/>
      <c r="F1575" s="100"/>
      <c r="G1575" s="100"/>
      <c r="H1575" s="100"/>
      <c r="I1575" s="100"/>
      <c r="J1575" s="100"/>
      <c r="K1575" s="100"/>
      <c r="L1575" s="100"/>
      <c r="M1575" s="100"/>
      <c r="N1575" s="100"/>
      <c r="O1575" s="100"/>
      <c r="P1575" s="100"/>
      <c r="Q1575" s="100"/>
      <c r="R1575" s="100"/>
      <c r="S1575" s="100"/>
      <c r="T1575" s="100"/>
      <c r="U1575" s="100"/>
      <c r="V1575" s="100"/>
      <c r="W1575" s="100"/>
      <c r="X1575" s="100"/>
      <c r="Y1575" s="100"/>
      <c r="Z1575" s="100"/>
      <c r="AA1575" s="100"/>
    </row>
    <row r="1576" spans="2:27">
      <c r="B1576" s="100"/>
      <c r="C1576" s="100"/>
      <c r="D1576" s="100"/>
      <c r="E1576" s="100"/>
      <c r="F1576" s="100"/>
      <c r="G1576" s="100"/>
      <c r="H1576" s="100"/>
      <c r="I1576" s="100"/>
      <c r="J1576" s="100"/>
      <c r="K1576" s="100"/>
      <c r="L1576" s="100"/>
      <c r="M1576" s="100"/>
      <c r="N1576" s="100"/>
      <c r="O1576" s="100"/>
      <c r="P1576" s="100"/>
      <c r="Q1576" s="100"/>
      <c r="R1576" s="100"/>
      <c r="S1576" s="100"/>
      <c r="T1576" s="100"/>
      <c r="U1576" s="100"/>
      <c r="V1576" s="100"/>
      <c r="W1576" s="100"/>
      <c r="X1576" s="100"/>
      <c r="Y1576" s="100"/>
      <c r="Z1576" s="100"/>
      <c r="AA1576" s="100"/>
    </row>
    <row r="1577" spans="2:27">
      <c r="B1577" s="100"/>
      <c r="C1577" s="100"/>
      <c r="D1577" s="100"/>
      <c r="E1577" s="100"/>
      <c r="F1577" s="100"/>
      <c r="G1577" s="100"/>
      <c r="H1577" s="100"/>
      <c r="I1577" s="100"/>
      <c r="J1577" s="100"/>
      <c r="K1577" s="100"/>
      <c r="L1577" s="100"/>
      <c r="M1577" s="100"/>
      <c r="N1577" s="100"/>
      <c r="O1577" s="100"/>
      <c r="P1577" s="100"/>
      <c r="Q1577" s="100"/>
      <c r="R1577" s="100"/>
      <c r="S1577" s="100"/>
      <c r="T1577" s="100"/>
      <c r="U1577" s="100"/>
      <c r="V1577" s="100"/>
      <c r="W1577" s="100"/>
      <c r="X1577" s="100"/>
      <c r="Y1577" s="100"/>
      <c r="Z1577" s="100"/>
      <c r="AA1577" s="100"/>
    </row>
    <row r="1578" spans="2:27">
      <c r="B1578" s="100"/>
      <c r="C1578" s="100"/>
      <c r="D1578" s="100"/>
      <c r="E1578" s="100"/>
      <c r="F1578" s="100"/>
      <c r="G1578" s="100"/>
      <c r="H1578" s="100"/>
      <c r="I1578" s="100"/>
      <c r="J1578" s="100"/>
      <c r="K1578" s="100"/>
      <c r="L1578" s="100"/>
      <c r="M1578" s="100"/>
      <c r="N1578" s="100"/>
      <c r="O1578" s="100"/>
      <c r="P1578" s="100"/>
      <c r="Q1578" s="100"/>
      <c r="R1578" s="100"/>
      <c r="S1578" s="100"/>
      <c r="T1578" s="100"/>
      <c r="U1578" s="100"/>
      <c r="V1578" s="100"/>
      <c r="W1578" s="100"/>
      <c r="X1578" s="100"/>
      <c r="Y1578" s="100"/>
      <c r="Z1578" s="100"/>
      <c r="AA1578" s="100"/>
    </row>
    <row r="1579" spans="2:27">
      <c r="B1579" s="100"/>
      <c r="C1579" s="100"/>
      <c r="D1579" s="100"/>
      <c r="E1579" s="100"/>
      <c r="F1579" s="100"/>
      <c r="G1579" s="100"/>
      <c r="H1579" s="100"/>
      <c r="I1579" s="100"/>
      <c r="J1579" s="100"/>
      <c r="K1579" s="100"/>
      <c r="L1579" s="100"/>
      <c r="M1579" s="100"/>
      <c r="N1579" s="100"/>
      <c r="O1579" s="100"/>
      <c r="P1579" s="100"/>
      <c r="Q1579" s="100"/>
      <c r="R1579" s="100"/>
      <c r="S1579" s="100"/>
      <c r="T1579" s="100"/>
      <c r="U1579" s="100"/>
      <c r="V1579" s="100"/>
      <c r="W1579" s="100"/>
      <c r="X1579" s="100"/>
      <c r="Y1579" s="100"/>
      <c r="Z1579" s="100"/>
      <c r="AA1579" s="100"/>
    </row>
    <row r="1580" spans="2:27">
      <c r="B1580" s="100"/>
      <c r="C1580" s="100"/>
      <c r="D1580" s="100"/>
      <c r="E1580" s="100"/>
      <c r="F1580" s="100"/>
      <c r="G1580" s="100"/>
      <c r="H1580" s="100"/>
      <c r="I1580" s="100"/>
      <c r="J1580" s="100"/>
      <c r="K1580" s="100"/>
      <c r="L1580" s="100"/>
      <c r="M1580" s="100"/>
      <c r="N1580" s="100"/>
      <c r="O1580" s="100"/>
      <c r="P1580" s="100"/>
      <c r="Q1580" s="100"/>
      <c r="R1580" s="100"/>
      <c r="S1580" s="100"/>
      <c r="T1580" s="100"/>
      <c r="U1580" s="100"/>
      <c r="V1580" s="100"/>
      <c r="W1580" s="100"/>
      <c r="X1580" s="100"/>
      <c r="Y1580" s="100"/>
      <c r="Z1580" s="100"/>
      <c r="AA1580" s="100"/>
    </row>
    <row r="1581" spans="2:27">
      <c r="B1581" s="100"/>
      <c r="C1581" s="100"/>
      <c r="D1581" s="100"/>
      <c r="E1581" s="100"/>
      <c r="F1581" s="100"/>
      <c r="G1581" s="100"/>
      <c r="H1581" s="100"/>
      <c r="I1581" s="100"/>
      <c r="J1581" s="100"/>
      <c r="K1581" s="100"/>
      <c r="L1581" s="100"/>
      <c r="M1581" s="100"/>
      <c r="N1581" s="100"/>
      <c r="O1581" s="100"/>
      <c r="P1581" s="100"/>
      <c r="Q1581" s="100"/>
      <c r="R1581" s="100"/>
      <c r="S1581" s="100"/>
      <c r="T1581" s="100"/>
      <c r="U1581" s="100"/>
      <c r="V1581" s="100"/>
      <c r="W1581" s="100"/>
      <c r="X1581" s="100"/>
      <c r="Y1581" s="100"/>
      <c r="Z1581" s="100"/>
      <c r="AA1581" s="100"/>
    </row>
    <row r="1582" spans="2:27">
      <c r="B1582" s="100"/>
      <c r="C1582" s="100"/>
      <c r="D1582" s="100"/>
      <c r="E1582" s="100"/>
      <c r="F1582" s="100"/>
      <c r="G1582" s="100"/>
      <c r="H1582" s="100"/>
      <c r="I1582" s="100"/>
      <c r="J1582" s="100"/>
      <c r="K1582" s="100"/>
      <c r="L1582" s="100"/>
      <c r="M1582" s="100"/>
      <c r="N1582" s="100"/>
      <c r="O1582" s="100"/>
      <c r="P1582" s="100"/>
      <c r="Q1582" s="100"/>
      <c r="R1582" s="100"/>
      <c r="S1582" s="100"/>
      <c r="T1582" s="100"/>
      <c r="U1582" s="100"/>
      <c r="V1582" s="100"/>
      <c r="W1582" s="100"/>
      <c r="X1582" s="100"/>
      <c r="Y1582" s="100"/>
      <c r="Z1582" s="100"/>
      <c r="AA1582" s="100"/>
    </row>
    <row r="1583" spans="2:27">
      <c r="B1583" s="100"/>
      <c r="C1583" s="100"/>
      <c r="D1583" s="100"/>
      <c r="E1583" s="100"/>
      <c r="F1583" s="100"/>
      <c r="G1583" s="100"/>
      <c r="H1583" s="100"/>
      <c r="I1583" s="100"/>
      <c r="J1583" s="100"/>
      <c r="K1583" s="100"/>
      <c r="L1583" s="100"/>
      <c r="M1583" s="100"/>
      <c r="N1583" s="100"/>
      <c r="O1583" s="100"/>
      <c r="P1583" s="100"/>
      <c r="Q1583" s="100"/>
      <c r="R1583" s="100"/>
      <c r="S1583" s="100"/>
      <c r="T1583" s="100"/>
      <c r="U1583" s="100"/>
      <c r="V1583" s="100"/>
      <c r="W1583" s="100"/>
      <c r="X1583" s="100"/>
      <c r="Y1583" s="100"/>
      <c r="Z1583" s="100"/>
      <c r="AA1583" s="100"/>
    </row>
    <row r="1584" spans="2:27">
      <c r="B1584" s="100"/>
      <c r="C1584" s="100"/>
      <c r="D1584" s="100"/>
      <c r="E1584" s="100"/>
      <c r="F1584" s="100"/>
      <c r="G1584" s="100"/>
      <c r="H1584" s="100"/>
      <c r="I1584" s="100"/>
      <c r="J1584" s="100"/>
      <c r="K1584" s="100"/>
      <c r="L1584" s="100"/>
      <c r="M1584" s="100"/>
      <c r="N1584" s="100"/>
      <c r="O1584" s="100"/>
      <c r="P1584" s="100"/>
      <c r="Q1584" s="100"/>
      <c r="R1584" s="100"/>
      <c r="S1584" s="100"/>
      <c r="T1584" s="100"/>
      <c r="U1584" s="100"/>
      <c r="V1584" s="100"/>
      <c r="W1584" s="100"/>
      <c r="X1584" s="100"/>
      <c r="Y1584" s="100"/>
      <c r="Z1584" s="100"/>
      <c r="AA1584" s="100"/>
    </row>
    <row r="1585" spans="2:27">
      <c r="B1585" s="100"/>
      <c r="C1585" s="100"/>
      <c r="D1585" s="100"/>
      <c r="E1585" s="100"/>
      <c r="F1585" s="100"/>
      <c r="G1585" s="100"/>
      <c r="H1585" s="100"/>
      <c r="I1585" s="100"/>
      <c r="J1585" s="100"/>
      <c r="K1585" s="100"/>
      <c r="L1585" s="100"/>
      <c r="M1585" s="100"/>
      <c r="N1585" s="100"/>
      <c r="O1585" s="100"/>
      <c r="P1585" s="100"/>
      <c r="Q1585" s="100"/>
      <c r="R1585" s="100"/>
      <c r="S1585" s="100"/>
      <c r="T1585" s="100"/>
      <c r="U1585" s="100"/>
      <c r="V1585" s="100"/>
      <c r="W1585" s="100"/>
      <c r="X1585" s="100"/>
      <c r="Y1585" s="100"/>
      <c r="Z1585" s="100"/>
      <c r="AA1585" s="100"/>
    </row>
    <row r="1586" spans="2:27">
      <c r="B1586" s="100"/>
      <c r="C1586" s="100"/>
      <c r="D1586" s="100"/>
      <c r="E1586" s="100"/>
      <c r="F1586" s="100"/>
      <c r="G1586" s="100"/>
      <c r="H1586" s="100"/>
      <c r="I1586" s="100"/>
      <c r="J1586" s="100"/>
      <c r="K1586" s="100"/>
      <c r="L1586" s="100"/>
      <c r="M1586" s="100"/>
      <c r="N1586" s="100"/>
      <c r="O1586" s="100"/>
      <c r="P1586" s="100"/>
      <c r="Q1586" s="100"/>
      <c r="R1586" s="100"/>
      <c r="S1586" s="100"/>
      <c r="T1586" s="100"/>
      <c r="U1586" s="100"/>
      <c r="V1586" s="100"/>
      <c r="W1586" s="100"/>
      <c r="X1586" s="100"/>
      <c r="Y1586" s="100"/>
      <c r="Z1586" s="100"/>
      <c r="AA1586" s="100"/>
    </row>
    <row r="1587" spans="2:27">
      <c r="B1587" s="100"/>
      <c r="C1587" s="100"/>
      <c r="D1587" s="100"/>
      <c r="E1587" s="100"/>
      <c r="F1587" s="100"/>
      <c r="G1587" s="100"/>
      <c r="H1587" s="100"/>
      <c r="I1587" s="100"/>
      <c r="J1587" s="100"/>
      <c r="K1587" s="100"/>
      <c r="L1587" s="100"/>
      <c r="M1587" s="100"/>
      <c r="N1587" s="100"/>
      <c r="O1587" s="100"/>
      <c r="P1587" s="100"/>
      <c r="Q1587" s="100"/>
      <c r="R1587" s="100"/>
      <c r="S1587" s="100"/>
      <c r="T1587" s="100"/>
      <c r="U1587" s="100"/>
      <c r="V1587" s="100"/>
      <c r="W1587" s="100"/>
      <c r="X1587" s="100"/>
      <c r="Y1587" s="100"/>
      <c r="Z1587" s="100"/>
      <c r="AA1587" s="100"/>
    </row>
    <row r="1588" spans="2:27">
      <c r="B1588" s="100"/>
      <c r="C1588" s="100"/>
      <c r="D1588" s="100"/>
      <c r="E1588" s="100"/>
      <c r="F1588" s="100"/>
      <c r="G1588" s="100"/>
      <c r="H1588" s="100"/>
      <c r="I1588" s="100"/>
      <c r="J1588" s="100"/>
      <c r="K1588" s="100"/>
      <c r="L1588" s="100"/>
      <c r="M1588" s="100"/>
      <c r="N1588" s="100"/>
      <c r="O1588" s="100"/>
      <c r="P1588" s="100"/>
      <c r="Q1588" s="100"/>
      <c r="R1588" s="100"/>
      <c r="S1588" s="100"/>
      <c r="T1588" s="100"/>
      <c r="U1588" s="100"/>
      <c r="V1588" s="100"/>
      <c r="W1588" s="100"/>
      <c r="X1588" s="100"/>
      <c r="Y1588" s="100"/>
      <c r="Z1588" s="100"/>
      <c r="AA1588" s="100"/>
    </row>
    <row r="1589" spans="2:27">
      <c r="B1589" s="100"/>
      <c r="C1589" s="100"/>
      <c r="D1589" s="100"/>
      <c r="E1589" s="100"/>
      <c r="F1589" s="100"/>
      <c r="G1589" s="100"/>
      <c r="H1589" s="100"/>
      <c r="I1589" s="100"/>
      <c r="J1589" s="100"/>
      <c r="K1589" s="100"/>
      <c r="L1589" s="100"/>
      <c r="M1589" s="100"/>
      <c r="N1589" s="100"/>
      <c r="O1589" s="100"/>
      <c r="P1589" s="100"/>
      <c r="Q1589" s="100"/>
      <c r="R1589" s="100"/>
      <c r="S1589" s="100"/>
      <c r="T1589" s="100"/>
      <c r="U1589" s="100"/>
      <c r="V1589" s="100"/>
      <c r="W1589" s="100"/>
      <c r="X1589" s="100"/>
      <c r="Y1589" s="100"/>
      <c r="Z1589" s="100"/>
      <c r="AA1589" s="100"/>
    </row>
    <row r="1590" spans="2:27">
      <c r="B1590" s="100"/>
      <c r="C1590" s="100"/>
      <c r="D1590" s="100"/>
      <c r="E1590" s="100"/>
      <c r="F1590" s="100"/>
      <c r="G1590" s="100"/>
      <c r="H1590" s="100"/>
      <c r="I1590" s="100"/>
      <c r="J1590" s="100"/>
      <c r="K1590" s="100"/>
      <c r="L1590" s="100"/>
      <c r="M1590" s="100"/>
      <c r="N1590" s="100"/>
      <c r="O1590" s="100"/>
      <c r="P1590" s="100"/>
      <c r="Q1590" s="100"/>
      <c r="R1590" s="100"/>
      <c r="S1590" s="100"/>
      <c r="T1590" s="100"/>
      <c r="U1590" s="100"/>
      <c r="V1590" s="100"/>
      <c r="W1590" s="100"/>
      <c r="X1590" s="100"/>
      <c r="Y1590" s="100"/>
      <c r="Z1590" s="100"/>
      <c r="AA1590" s="100"/>
    </row>
    <row r="1591" spans="2:27">
      <c r="B1591" s="100"/>
      <c r="C1591" s="100"/>
      <c r="D1591" s="100"/>
      <c r="E1591" s="100"/>
      <c r="F1591" s="100"/>
      <c r="G1591" s="100"/>
      <c r="H1591" s="100"/>
      <c r="I1591" s="100"/>
      <c r="J1591" s="100"/>
      <c r="K1591" s="100"/>
      <c r="L1591" s="100"/>
      <c r="M1591" s="100"/>
      <c r="N1591" s="100"/>
      <c r="O1591" s="100"/>
      <c r="P1591" s="100"/>
      <c r="Q1591" s="100"/>
      <c r="R1591" s="100"/>
      <c r="S1591" s="100"/>
      <c r="T1591" s="100"/>
      <c r="U1591" s="100"/>
      <c r="V1591" s="100"/>
      <c r="W1591" s="100"/>
      <c r="X1591" s="100"/>
      <c r="Y1591" s="100"/>
      <c r="Z1591" s="100"/>
      <c r="AA1591" s="100"/>
    </row>
    <row r="1592" spans="2:27">
      <c r="B1592" s="100"/>
      <c r="C1592" s="100"/>
      <c r="D1592" s="100"/>
      <c r="E1592" s="100"/>
      <c r="F1592" s="100"/>
      <c r="G1592" s="100"/>
      <c r="H1592" s="100"/>
      <c r="I1592" s="100"/>
      <c r="J1592" s="100"/>
      <c r="K1592" s="100"/>
      <c r="L1592" s="100"/>
      <c r="M1592" s="100"/>
      <c r="N1592" s="100"/>
      <c r="O1592" s="100"/>
      <c r="P1592" s="100"/>
      <c r="Q1592" s="100"/>
      <c r="R1592" s="100"/>
      <c r="S1592" s="100"/>
      <c r="T1592" s="100"/>
      <c r="U1592" s="100"/>
      <c r="V1592" s="100"/>
      <c r="W1592" s="100"/>
      <c r="X1592" s="100"/>
      <c r="Y1592" s="100"/>
      <c r="Z1592" s="100"/>
      <c r="AA1592" s="100"/>
    </row>
    <row r="1593" spans="2:27">
      <c r="B1593" s="100"/>
      <c r="C1593" s="100"/>
      <c r="D1593" s="100"/>
      <c r="E1593" s="100"/>
      <c r="F1593" s="100"/>
      <c r="G1593" s="100"/>
      <c r="H1593" s="100"/>
      <c r="I1593" s="100"/>
      <c r="J1593" s="100"/>
      <c r="K1593" s="100"/>
      <c r="L1593" s="100"/>
      <c r="M1593" s="100"/>
      <c r="N1593" s="100"/>
      <c r="O1593" s="100"/>
      <c r="P1593" s="100"/>
      <c r="Q1593" s="100"/>
      <c r="R1593" s="100"/>
      <c r="S1593" s="100"/>
      <c r="T1593" s="100"/>
      <c r="U1593" s="100"/>
      <c r="V1593" s="100"/>
      <c r="W1593" s="100"/>
      <c r="X1593" s="100"/>
      <c r="Y1593" s="100"/>
      <c r="Z1593" s="100"/>
      <c r="AA1593" s="100"/>
    </row>
    <row r="1594" spans="2:27">
      <c r="B1594" s="100"/>
      <c r="C1594" s="100"/>
      <c r="D1594" s="100"/>
      <c r="E1594" s="100"/>
      <c r="F1594" s="100"/>
      <c r="G1594" s="100"/>
      <c r="H1594" s="100"/>
      <c r="I1594" s="100"/>
      <c r="J1594" s="100"/>
      <c r="K1594" s="100"/>
      <c r="L1594" s="100"/>
      <c r="M1594" s="100"/>
      <c r="N1594" s="100"/>
      <c r="O1594" s="100"/>
      <c r="P1594" s="100"/>
      <c r="Q1594" s="100"/>
      <c r="R1594" s="100"/>
      <c r="S1594" s="100"/>
      <c r="T1594" s="100"/>
      <c r="U1594" s="100"/>
      <c r="V1594" s="100"/>
      <c r="W1594" s="100"/>
      <c r="X1594" s="100"/>
      <c r="Y1594" s="100"/>
      <c r="Z1594" s="100"/>
      <c r="AA1594" s="100"/>
    </row>
    <row r="1595" spans="2:27">
      <c r="B1595" s="100"/>
      <c r="C1595" s="100"/>
      <c r="D1595" s="100"/>
      <c r="E1595" s="100"/>
      <c r="F1595" s="100"/>
      <c r="G1595" s="100"/>
      <c r="H1595" s="100"/>
      <c r="I1595" s="100"/>
      <c r="J1595" s="100"/>
      <c r="K1595" s="100"/>
      <c r="L1595" s="100"/>
      <c r="M1595" s="100"/>
      <c r="N1595" s="100"/>
      <c r="O1595" s="100"/>
      <c r="P1595" s="100"/>
      <c r="Q1595" s="100"/>
      <c r="R1595" s="100"/>
      <c r="S1595" s="100"/>
      <c r="T1595" s="100"/>
      <c r="U1595" s="100"/>
      <c r="V1595" s="100"/>
      <c r="W1595" s="100"/>
      <c r="X1595" s="100"/>
      <c r="Y1595" s="100"/>
      <c r="Z1595" s="100"/>
      <c r="AA1595" s="100"/>
    </row>
    <row r="1596" spans="2:27">
      <c r="B1596" s="100"/>
      <c r="C1596" s="100"/>
      <c r="D1596" s="100"/>
      <c r="E1596" s="100"/>
      <c r="F1596" s="100"/>
      <c r="G1596" s="100"/>
      <c r="H1596" s="100"/>
      <c r="I1596" s="100"/>
      <c r="J1596" s="100"/>
      <c r="K1596" s="100"/>
      <c r="L1596" s="100"/>
      <c r="M1596" s="100"/>
      <c r="N1596" s="100"/>
      <c r="O1596" s="100"/>
      <c r="P1596" s="100"/>
      <c r="Q1596" s="100"/>
      <c r="R1596" s="100"/>
      <c r="S1596" s="100"/>
      <c r="T1596" s="100"/>
      <c r="U1596" s="100"/>
      <c r="V1596" s="100"/>
      <c r="W1596" s="100"/>
      <c r="X1596" s="100"/>
      <c r="Y1596" s="100"/>
      <c r="Z1596" s="100"/>
      <c r="AA1596" s="100"/>
    </row>
    <row r="1597" spans="2:27">
      <c r="B1597" s="100"/>
      <c r="C1597" s="100"/>
      <c r="D1597" s="100"/>
      <c r="E1597" s="100"/>
      <c r="F1597" s="100"/>
      <c r="G1597" s="100"/>
      <c r="H1597" s="100"/>
      <c r="I1597" s="100"/>
      <c r="J1597" s="100"/>
      <c r="K1597" s="100"/>
      <c r="L1597" s="100"/>
      <c r="M1597" s="100"/>
      <c r="N1597" s="100"/>
      <c r="O1597" s="100"/>
      <c r="P1597" s="100"/>
      <c r="Q1597" s="100"/>
      <c r="R1597" s="100"/>
      <c r="S1597" s="100"/>
      <c r="T1597" s="100"/>
      <c r="U1597" s="100"/>
      <c r="V1597" s="100"/>
      <c r="W1597" s="100"/>
      <c r="X1597" s="100"/>
      <c r="Y1597" s="100"/>
      <c r="Z1597" s="100"/>
      <c r="AA1597" s="100"/>
    </row>
    <row r="1598" spans="2:27">
      <c r="B1598" s="100"/>
      <c r="C1598" s="100"/>
      <c r="D1598" s="100"/>
      <c r="E1598" s="100"/>
      <c r="F1598" s="100"/>
      <c r="G1598" s="100"/>
      <c r="H1598" s="100"/>
      <c r="I1598" s="100"/>
      <c r="J1598" s="100"/>
      <c r="K1598" s="100"/>
      <c r="L1598" s="100"/>
      <c r="M1598" s="100"/>
      <c r="N1598" s="100"/>
      <c r="O1598" s="100"/>
      <c r="P1598" s="100"/>
      <c r="Q1598" s="100"/>
      <c r="R1598" s="100"/>
      <c r="S1598" s="100"/>
      <c r="T1598" s="100"/>
      <c r="U1598" s="100"/>
      <c r="V1598" s="100"/>
      <c r="W1598" s="100"/>
      <c r="X1598" s="100"/>
      <c r="Y1598" s="100"/>
      <c r="Z1598" s="100"/>
      <c r="AA1598" s="100"/>
    </row>
    <row r="1599" spans="2:27">
      <c r="B1599" s="100"/>
      <c r="C1599" s="100"/>
      <c r="D1599" s="100"/>
      <c r="E1599" s="100"/>
      <c r="F1599" s="100"/>
      <c r="G1599" s="100"/>
      <c r="H1599" s="100"/>
      <c r="I1599" s="100"/>
      <c r="J1599" s="100"/>
      <c r="K1599" s="100"/>
      <c r="L1599" s="100"/>
      <c r="M1599" s="100"/>
      <c r="N1599" s="100"/>
      <c r="O1599" s="100"/>
      <c r="P1599" s="100"/>
      <c r="Q1599" s="100"/>
      <c r="R1599" s="100"/>
      <c r="S1599" s="100"/>
      <c r="T1599" s="100"/>
      <c r="U1599" s="100"/>
      <c r="V1599" s="100"/>
      <c r="W1599" s="100"/>
      <c r="X1599" s="100"/>
      <c r="Y1599" s="100"/>
      <c r="Z1599" s="100"/>
      <c r="AA1599" s="100"/>
    </row>
    <row r="1600" spans="2:27">
      <c r="B1600" s="100"/>
      <c r="C1600" s="100"/>
      <c r="D1600" s="100"/>
      <c r="E1600" s="100"/>
      <c r="F1600" s="100"/>
      <c r="G1600" s="100"/>
      <c r="H1600" s="100"/>
      <c r="I1600" s="100"/>
      <c r="J1600" s="100"/>
      <c r="K1600" s="100"/>
      <c r="L1600" s="100"/>
      <c r="M1600" s="100"/>
      <c r="N1600" s="100"/>
      <c r="O1600" s="100"/>
      <c r="P1600" s="100"/>
      <c r="Q1600" s="100"/>
      <c r="R1600" s="100"/>
      <c r="S1600" s="100"/>
      <c r="T1600" s="100"/>
      <c r="U1600" s="100"/>
      <c r="V1600" s="100"/>
      <c r="W1600" s="100"/>
      <c r="X1600" s="100"/>
      <c r="Y1600" s="100"/>
      <c r="Z1600" s="100"/>
      <c r="AA1600" s="100"/>
    </row>
    <row r="1601" spans="2:27">
      <c r="B1601" s="100"/>
      <c r="C1601" s="100"/>
      <c r="D1601" s="100"/>
      <c r="E1601" s="100"/>
      <c r="F1601" s="100"/>
      <c r="G1601" s="100"/>
      <c r="H1601" s="100"/>
      <c r="I1601" s="100"/>
      <c r="J1601" s="100"/>
      <c r="K1601" s="100"/>
      <c r="L1601" s="100"/>
      <c r="M1601" s="100"/>
      <c r="N1601" s="100"/>
      <c r="O1601" s="100"/>
      <c r="P1601" s="100"/>
      <c r="Q1601" s="100"/>
      <c r="R1601" s="100"/>
      <c r="S1601" s="100"/>
      <c r="T1601" s="100"/>
      <c r="U1601" s="100"/>
      <c r="V1601" s="100"/>
      <c r="W1601" s="100"/>
      <c r="X1601" s="100"/>
      <c r="Y1601" s="100"/>
      <c r="Z1601" s="100"/>
      <c r="AA1601" s="100"/>
    </row>
    <row r="1602" spans="2:27">
      <c r="B1602" s="100"/>
      <c r="C1602" s="100"/>
      <c r="D1602" s="100"/>
      <c r="E1602" s="100"/>
      <c r="F1602" s="100"/>
      <c r="G1602" s="100"/>
      <c r="H1602" s="100"/>
      <c r="I1602" s="100"/>
      <c r="J1602" s="100"/>
      <c r="K1602" s="100"/>
      <c r="L1602" s="100"/>
      <c r="M1602" s="100"/>
      <c r="N1602" s="100"/>
      <c r="O1602" s="100"/>
      <c r="P1602" s="100"/>
      <c r="Q1602" s="100"/>
      <c r="R1602" s="100"/>
      <c r="S1602" s="100"/>
      <c r="T1602" s="100"/>
      <c r="U1602" s="100"/>
      <c r="V1602" s="100"/>
      <c r="W1602" s="100"/>
      <c r="X1602" s="100"/>
      <c r="Y1602" s="100"/>
      <c r="Z1602" s="100"/>
      <c r="AA1602" s="100"/>
    </row>
    <row r="1603" spans="2:27">
      <c r="B1603" s="100"/>
      <c r="C1603" s="100"/>
      <c r="D1603" s="100"/>
      <c r="E1603" s="100"/>
      <c r="F1603" s="100"/>
      <c r="G1603" s="100"/>
      <c r="H1603" s="100"/>
      <c r="I1603" s="100"/>
      <c r="J1603" s="100"/>
      <c r="K1603" s="100"/>
      <c r="L1603" s="100"/>
      <c r="M1603" s="100"/>
      <c r="N1603" s="100"/>
      <c r="O1603" s="100"/>
      <c r="P1603" s="100"/>
      <c r="Q1603" s="100"/>
      <c r="R1603" s="100"/>
      <c r="S1603" s="100"/>
      <c r="T1603" s="100"/>
      <c r="U1603" s="100"/>
      <c r="V1603" s="100"/>
      <c r="W1603" s="100"/>
      <c r="X1603" s="100"/>
      <c r="Y1603" s="100"/>
      <c r="Z1603" s="100"/>
      <c r="AA1603" s="100"/>
    </row>
    <row r="1604" spans="2:27">
      <c r="B1604" s="100"/>
      <c r="C1604" s="100"/>
      <c r="D1604" s="100"/>
      <c r="E1604" s="100"/>
      <c r="F1604" s="100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  <c r="AA1604" s="100"/>
    </row>
    <row r="1605" spans="2:27">
      <c r="B1605" s="100"/>
      <c r="C1605" s="100"/>
      <c r="D1605" s="100"/>
      <c r="E1605" s="100"/>
      <c r="F1605" s="100"/>
      <c r="G1605" s="100"/>
      <c r="H1605" s="100"/>
      <c r="I1605" s="100"/>
      <c r="J1605" s="100"/>
      <c r="K1605" s="100"/>
      <c r="L1605" s="100"/>
      <c r="M1605" s="100"/>
      <c r="N1605" s="100"/>
      <c r="O1605" s="100"/>
      <c r="P1605" s="100"/>
      <c r="Q1605" s="100"/>
      <c r="R1605" s="100"/>
      <c r="S1605" s="100"/>
      <c r="T1605" s="100"/>
      <c r="U1605" s="100"/>
      <c r="V1605" s="100"/>
      <c r="W1605" s="100"/>
      <c r="X1605" s="100"/>
      <c r="Y1605" s="100"/>
      <c r="Z1605" s="100"/>
      <c r="AA1605" s="100"/>
    </row>
    <row r="1606" spans="2:27">
      <c r="B1606" s="100"/>
      <c r="C1606" s="100"/>
      <c r="D1606" s="100"/>
      <c r="E1606" s="100"/>
      <c r="F1606" s="100"/>
      <c r="G1606" s="100"/>
      <c r="H1606" s="100"/>
      <c r="I1606" s="100"/>
      <c r="J1606" s="100"/>
      <c r="K1606" s="100"/>
      <c r="L1606" s="100"/>
      <c r="M1606" s="100"/>
      <c r="N1606" s="100"/>
      <c r="O1606" s="100"/>
      <c r="P1606" s="100"/>
      <c r="Q1606" s="100"/>
      <c r="R1606" s="100"/>
      <c r="S1606" s="100"/>
      <c r="T1606" s="100"/>
      <c r="U1606" s="100"/>
      <c r="V1606" s="100"/>
      <c r="W1606" s="100"/>
      <c r="X1606" s="100"/>
      <c r="Y1606" s="100"/>
      <c r="Z1606" s="100"/>
      <c r="AA1606" s="100"/>
    </row>
    <row r="1607" spans="2:27">
      <c r="B1607" s="100"/>
      <c r="C1607" s="100"/>
      <c r="D1607" s="100"/>
      <c r="E1607" s="100"/>
      <c r="F1607" s="100"/>
      <c r="G1607" s="100"/>
      <c r="H1607" s="100"/>
      <c r="I1607" s="100"/>
      <c r="J1607" s="100"/>
      <c r="K1607" s="100"/>
      <c r="L1607" s="100"/>
      <c r="M1607" s="100"/>
      <c r="N1607" s="100"/>
      <c r="O1607" s="100"/>
      <c r="P1607" s="100"/>
      <c r="Q1607" s="100"/>
      <c r="R1607" s="100"/>
      <c r="S1607" s="100"/>
      <c r="T1607" s="100"/>
      <c r="U1607" s="100"/>
      <c r="V1607" s="100"/>
      <c r="W1607" s="100"/>
      <c r="X1607" s="100"/>
      <c r="Y1607" s="100"/>
      <c r="Z1607" s="100"/>
      <c r="AA1607" s="100"/>
    </row>
    <row r="1608" spans="2:27">
      <c r="B1608" s="100"/>
      <c r="C1608" s="100"/>
      <c r="D1608" s="100"/>
      <c r="E1608" s="100"/>
      <c r="F1608" s="100"/>
      <c r="G1608" s="100"/>
      <c r="H1608" s="100"/>
      <c r="I1608" s="100"/>
      <c r="J1608" s="100"/>
      <c r="K1608" s="100"/>
      <c r="L1608" s="100"/>
      <c r="M1608" s="100"/>
      <c r="N1608" s="100"/>
      <c r="O1608" s="100"/>
      <c r="P1608" s="100"/>
      <c r="Q1608" s="100"/>
      <c r="R1608" s="100"/>
      <c r="S1608" s="100"/>
      <c r="T1608" s="100"/>
      <c r="U1608" s="100"/>
      <c r="V1608" s="100"/>
      <c r="W1608" s="100"/>
      <c r="X1608" s="100"/>
      <c r="Y1608" s="100"/>
      <c r="Z1608" s="100"/>
      <c r="AA1608" s="100"/>
    </row>
    <row r="1609" spans="2:27">
      <c r="B1609" s="100"/>
      <c r="C1609" s="100"/>
      <c r="D1609" s="100"/>
      <c r="E1609" s="100"/>
      <c r="F1609" s="100"/>
      <c r="G1609" s="100"/>
      <c r="H1609" s="100"/>
      <c r="I1609" s="100"/>
      <c r="J1609" s="100"/>
      <c r="K1609" s="100"/>
      <c r="L1609" s="100"/>
      <c r="M1609" s="100"/>
      <c r="N1609" s="100"/>
      <c r="O1609" s="100"/>
      <c r="P1609" s="100"/>
      <c r="Q1609" s="100"/>
      <c r="R1609" s="100"/>
      <c r="S1609" s="100"/>
      <c r="T1609" s="100"/>
      <c r="U1609" s="100"/>
      <c r="V1609" s="100"/>
      <c r="W1609" s="100"/>
      <c r="X1609" s="100"/>
      <c r="Y1609" s="100"/>
      <c r="Z1609" s="100"/>
      <c r="AA1609" s="100"/>
    </row>
    <row r="1610" spans="2:27">
      <c r="B1610" s="100"/>
      <c r="C1610" s="100"/>
      <c r="D1610" s="100"/>
      <c r="E1610" s="100"/>
      <c r="F1610" s="100"/>
      <c r="G1610" s="100"/>
      <c r="H1610" s="100"/>
      <c r="I1610" s="100"/>
      <c r="J1610" s="100"/>
      <c r="K1610" s="100"/>
      <c r="L1610" s="100"/>
      <c r="M1610" s="100"/>
      <c r="N1610" s="100"/>
      <c r="O1610" s="100"/>
      <c r="P1610" s="100"/>
      <c r="Q1610" s="100"/>
      <c r="R1610" s="100"/>
      <c r="S1610" s="100"/>
      <c r="T1610" s="100"/>
      <c r="U1610" s="100"/>
      <c r="V1610" s="100"/>
      <c r="W1610" s="100"/>
      <c r="X1610" s="100"/>
      <c r="Y1610" s="100"/>
      <c r="Z1610" s="100"/>
      <c r="AA1610" s="100"/>
    </row>
    <row r="1611" spans="2:27">
      <c r="B1611" s="100"/>
      <c r="C1611" s="100"/>
      <c r="D1611" s="100"/>
      <c r="E1611" s="100"/>
      <c r="F1611" s="100"/>
      <c r="G1611" s="100"/>
      <c r="H1611" s="100"/>
      <c r="I1611" s="100"/>
      <c r="J1611" s="100"/>
      <c r="K1611" s="100"/>
      <c r="L1611" s="100"/>
      <c r="M1611" s="100"/>
      <c r="N1611" s="100"/>
      <c r="O1611" s="100"/>
      <c r="P1611" s="100"/>
      <c r="Q1611" s="100"/>
      <c r="R1611" s="100"/>
      <c r="S1611" s="100"/>
      <c r="T1611" s="100"/>
      <c r="U1611" s="100"/>
      <c r="V1611" s="100"/>
      <c r="W1611" s="100"/>
      <c r="X1611" s="100"/>
      <c r="Y1611" s="100"/>
      <c r="Z1611" s="100"/>
      <c r="AA1611" s="100"/>
    </row>
    <row r="1612" spans="2:27">
      <c r="B1612" s="100"/>
      <c r="C1612" s="100"/>
      <c r="D1612" s="100"/>
      <c r="E1612" s="100"/>
      <c r="F1612" s="100"/>
      <c r="G1612" s="100"/>
      <c r="H1612" s="100"/>
      <c r="I1612" s="100"/>
      <c r="J1612" s="100"/>
      <c r="K1612" s="100"/>
      <c r="L1612" s="100"/>
      <c r="M1612" s="100"/>
      <c r="N1612" s="100"/>
      <c r="O1612" s="100"/>
      <c r="P1612" s="100"/>
      <c r="Q1612" s="100"/>
      <c r="R1612" s="100"/>
      <c r="S1612" s="100"/>
      <c r="T1612" s="100"/>
      <c r="U1612" s="100"/>
      <c r="V1612" s="100"/>
      <c r="W1612" s="100"/>
      <c r="X1612" s="100"/>
      <c r="Y1612" s="100"/>
      <c r="Z1612" s="100"/>
      <c r="AA1612" s="100"/>
    </row>
    <row r="1613" spans="2:27">
      <c r="B1613" s="100"/>
      <c r="C1613" s="100"/>
      <c r="D1613" s="100"/>
      <c r="E1613" s="100"/>
      <c r="F1613" s="100"/>
      <c r="G1613" s="100"/>
      <c r="H1613" s="100"/>
      <c r="I1613" s="100"/>
      <c r="J1613" s="100"/>
      <c r="K1613" s="100"/>
      <c r="L1613" s="100"/>
      <c r="M1613" s="100"/>
      <c r="N1613" s="100"/>
      <c r="O1613" s="100"/>
      <c r="P1613" s="100"/>
      <c r="Q1613" s="100"/>
      <c r="R1613" s="100"/>
      <c r="S1613" s="100"/>
      <c r="T1613" s="100"/>
      <c r="U1613" s="100"/>
      <c r="V1613" s="100"/>
      <c r="W1613" s="100"/>
      <c r="X1613" s="100"/>
      <c r="Y1613" s="100"/>
      <c r="Z1613" s="100"/>
      <c r="AA1613" s="100"/>
    </row>
    <row r="1614" spans="2:27">
      <c r="B1614" s="100"/>
      <c r="C1614" s="100"/>
      <c r="D1614" s="100"/>
      <c r="E1614" s="100"/>
      <c r="F1614" s="100"/>
      <c r="G1614" s="100"/>
      <c r="H1614" s="100"/>
      <c r="I1614" s="100"/>
      <c r="J1614" s="100"/>
      <c r="K1614" s="100"/>
      <c r="L1614" s="100"/>
      <c r="M1614" s="100"/>
      <c r="N1614" s="100"/>
      <c r="O1614" s="100"/>
      <c r="P1614" s="100"/>
      <c r="Q1614" s="100"/>
      <c r="R1614" s="100"/>
      <c r="S1614" s="100"/>
      <c r="T1614" s="100"/>
      <c r="U1614" s="100"/>
      <c r="V1614" s="100"/>
      <c r="W1614" s="100"/>
      <c r="X1614" s="100"/>
      <c r="Y1614" s="100"/>
      <c r="Z1614" s="100"/>
      <c r="AA1614" s="100"/>
    </row>
    <row r="1615" spans="2:27">
      <c r="B1615" s="100"/>
      <c r="C1615" s="100"/>
      <c r="D1615" s="100"/>
      <c r="E1615" s="100"/>
      <c r="F1615" s="100"/>
      <c r="G1615" s="100"/>
      <c r="H1615" s="100"/>
      <c r="I1615" s="100"/>
      <c r="J1615" s="100"/>
      <c r="K1615" s="100"/>
      <c r="L1615" s="100"/>
      <c r="M1615" s="100"/>
      <c r="N1615" s="100"/>
      <c r="O1615" s="100"/>
      <c r="P1615" s="100"/>
      <c r="Q1615" s="100"/>
      <c r="R1615" s="100"/>
      <c r="S1615" s="100"/>
      <c r="T1615" s="100"/>
      <c r="U1615" s="100"/>
      <c r="V1615" s="100"/>
      <c r="W1615" s="100"/>
      <c r="X1615" s="100"/>
      <c r="Y1615" s="100"/>
      <c r="Z1615" s="100"/>
      <c r="AA1615" s="100"/>
    </row>
    <row r="1616" spans="2:27">
      <c r="B1616" s="100"/>
      <c r="C1616" s="100"/>
      <c r="D1616" s="100"/>
      <c r="E1616" s="100"/>
      <c r="F1616" s="100"/>
      <c r="G1616" s="100"/>
      <c r="H1616" s="100"/>
      <c r="I1616" s="100"/>
      <c r="J1616" s="100"/>
      <c r="K1616" s="100"/>
      <c r="L1616" s="100"/>
      <c r="M1616" s="100"/>
      <c r="N1616" s="100"/>
      <c r="O1616" s="100"/>
      <c r="P1616" s="100"/>
      <c r="Q1616" s="100"/>
      <c r="R1616" s="100"/>
      <c r="S1616" s="100"/>
      <c r="T1616" s="100"/>
      <c r="U1616" s="100"/>
      <c r="V1616" s="100"/>
      <c r="W1616" s="100"/>
      <c r="X1616" s="100"/>
      <c r="Y1616" s="100"/>
      <c r="Z1616" s="100"/>
      <c r="AA1616" s="100"/>
    </row>
    <row r="1617" spans="2:27">
      <c r="B1617" s="100"/>
      <c r="C1617" s="100"/>
      <c r="D1617" s="100"/>
      <c r="E1617" s="100"/>
      <c r="F1617" s="100"/>
      <c r="G1617" s="100"/>
      <c r="H1617" s="100"/>
      <c r="I1617" s="100"/>
      <c r="J1617" s="100"/>
      <c r="K1617" s="100"/>
      <c r="L1617" s="100"/>
      <c r="M1617" s="100"/>
      <c r="N1617" s="100"/>
      <c r="O1617" s="100"/>
      <c r="P1617" s="100"/>
      <c r="Q1617" s="100"/>
      <c r="R1617" s="100"/>
      <c r="S1617" s="100"/>
      <c r="T1617" s="100"/>
      <c r="U1617" s="100"/>
      <c r="V1617" s="100"/>
      <c r="W1617" s="100"/>
      <c r="X1617" s="100"/>
      <c r="Y1617" s="100"/>
      <c r="Z1617" s="100"/>
      <c r="AA1617" s="100"/>
    </row>
    <row r="1618" spans="2:27">
      <c r="B1618" s="100"/>
      <c r="C1618" s="100"/>
      <c r="D1618" s="100"/>
      <c r="E1618" s="100"/>
      <c r="F1618" s="100"/>
      <c r="G1618" s="100"/>
      <c r="H1618" s="100"/>
      <c r="I1618" s="100"/>
      <c r="J1618" s="100"/>
      <c r="K1618" s="100"/>
      <c r="L1618" s="100"/>
      <c r="M1618" s="100"/>
      <c r="N1618" s="100"/>
      <c r="O1618" s="100"/>
      <c r="P1618" s="100"/>
      <c r="Q1618" s="100"/>
      <c r="R1618" s="100"/>
      <c r="S1618" s="100"/>
      <c r="T1618" s="100"/>
      <c r="U1618" s="100"/>
      <c r="V1618" s="100"/>
      <c r="W1618" s="100"/>
      <c r="X1618" s="100"/>
      <c r="Y1618" s="100"/>
      <c r="Z1618" s="100"/>
      <c r="AA1618" s="100"/>
    </row>
    <row r="1619" spans="2:27">
      <c r="B1619" s="100"/>
      <c r="C1619" s="100"/>
      <c r="D1619" s="100"/>
      <c r="E1619" s="100"/>
      <c r="F1619" s="100"/>
      <c r="G1619" s="100"/>
      <c r="H1619" s="100"/>
      <c r="I1619" s="100"/>
      <c r="J1619" s="100"/>
      <c r="K1619" s="100"/>
      <c r="L1619" s="100"/>
      <c r="M1619" s="100"/>
      <c r="N1619" s="100"/>
      <c r="O1619" s="100"/>
      <c r="P1619" s="100"/>
      <c r="Q1619" s="100"/>
      <c r="R1619" s="100"/>
      <c r="S1619" s="100"/>
      <c r="T1619" s="100"/>
      <c r="U1619" s="100"/>
      <c r="V1619" s="100"/>
      <c r="W1619" s="100"/>
      <c r="X1619" s="100"/>
      <c r="Y1619" s="100"/>
      <c r="Z1619" s="100"/>
      <c r="AA1619" s="100"/>
    </row>
    <row r="1620" spans="2:27">
      <c r="B1620" s="100"/>
      <c r="C1620" s="100"/>
      <c r="D1620" s="100"/>
      <c r="E1620" s="100"/>
      <c r="F1620" s="100"/>
      <c r="G1620" s="100"/>
      <c r="H1620" s="100"/>
      <c r="I1620" s="100"/>
      <c r="J1620" s="100"/>
      <c r="K1620" s="100"/>
      <c r="L1620" s="100"/>
      <c r="M1620" s="100"/>
      <c r="N1620" s="100"/>
      <c r="O1620" s="100"/>
      <c r="P1620" s="100"/>
      <c r="Q1620" s="100"/>
      <c r="R1620" s="100"/>
      <c r="S1620" s="100"/>
      <c r="T1620" s="100"/>
      <c r="U1620" s="100"/>
      <c r="V1620" s="100"/>
      <c r="W1620" s="100"/>
      <c r="X1620" s="100"/>
      <c r="Y1620" s="100"/>
      <c r="Z1620" s="100"/>
      <c r="AA1620" s="100"/>
    </row>
    <row r="1621" spans="2:27">
      <c r="B1621" s="100"/>
      <c r="C1621" s="100"/>
      <c r="D1621" s="100"/>
      <c r="E1621" s="100"/>
      <c r="F1621" s="100"/>
      <c r="G1621" s="100"/>
      <c r="H1621" s="100"/>
      <c r="I1621" s="100"/>
      <c r="J1621" s="100"/>
      <c r="K1621" s="100"/>
      <c r="L1621" s="100"/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  <c r="AA1621" s="100"/>
    </row>
    <row r="1622" spans="2:27">
      <c r="B1622" s="100"/>
      <c r="C1622" s="100"/>
      <c r="D1622" s="100"/>
      <c r="E1622" s="100"/>
      <c r="F1622" s="100"/>
      <c r="G1622" s="100"/>
      <c r="H1622" s="100"/>
      <c r="I1622" s="100"/>
      <c r="J1622" s="100"/>
      <c r="K1622" s="100"/>
      <c r="L1622" s="100"/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  <c r="AA1622" s="100"/>
    </row>
    <row r="1623" spans="2:27">
      <c r="B1623" s="100"/>
      <c r="C1623" s="100"/>
      <c r="D1623" s="100"/>
      <c r="E1623" s="100"/>
      <c r="F1623" s="100"/>
      <c r="G1623" s="100"/>
      <c r="H1623" s="100"/>
      <c r="I1623" s="100"/>
      <c r="J1623" s="100"/>
      <c r="K1623" s="100"/>
      <c r="L1623" s="100"/>
      <c r="M1623" s="100"/>
      <c r="N1623" s="100"/>
      <c r="O1623" s="100"/>
      <c r="P1623" s="100"/>
      <c r="Q1623" s="100"/>
      <c r="R1623" s="100"/>
      <c r="S1623" s="100"/>
      <c r="T1623" s="100"/>
      <c r="U1623" s="100"/>
      <c r="V1623" s="100"/>
      <c r="W1623" s="100"/>
      <c r="X1623" s="100"/>
      <c r="Y1623" s="100"/>
      <c r="Z1623" s="100"/>
      <c r="AA1623" s="100"/>
    </row>
    <row r="1624" spans="2:27">
      <c r="B1624" s="100"/>
      <c r="C1624" s="100"/>
      <c r="D1624" s="100"/>
      <c r="E1624" s="100"/>
      <c r="F1624" s="100"/>
      <c r="G1624" s="100"/>
      <c r="H1624" s="100"/>
      <c r="I1624" s="100"/>
      <c r="J1624" s="100"/>
      <c r="K1624" s="100"/>
      <c r="L1624" s="100"/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  <c r="AA1624" s="100"/>
    </row>
    <row r="1625" spans="2:27">
      <c r="B1625" s="100"/>
      <c r="C1625" s="100"/>
      <c r="D1625" s="100"/>
      <c r="E1625" s="100"/>
      <c r="F1625" s="100"/>
      <c r="G1625" s="100"/>
      <c r="H1625" s="100"/>
      <c r="I1625" s="100"/>
      <c r="J1625" s="100"/>
      <c r="K1625" s="100"/>
      <c r="L1625" s="100"/>
      <c r="M1625" s="100"/>
      <c r="N1625" s="100"/>
      <c r="O1625" s="100"/>
      <c r="P1625" s="100"/>
      <c r="Q1625" s="100"/>
      <c r="R1625" s="100"/>
      <c r="S1625" s="100"/>
      <c r="T1625" s="100"/>
      <c r="U1625" s="100"/>
      <c r="V1625" s="100"/>
      <c r="W1625" s="100"/>
      <c r="X1625" s="100"/>
      <c r="Y1625" s="100"/>
      <c r="Z1625" s="100"/>
      <c r="AA1625" s="100"/>
    </row>
    <row r="1626" spans="2:27">
      <c r="B1626" s="100"/>
      <c r="C1626" s="100"/>
      <c r="D1626" s="100"/>
      <c r="E1626" s="100"/>
      <c r="F1626" s="100"/>
      <c r="G1626" s="100"/>
      <c r="H1626" s="100"/>
      <c r="I1626" s="100"/>
      <c r="J1626" s="100"/>
      <c r="K1626" s="100"/>
      <c r="L1626" s="100"/>
      <c r="M1626" s="100"/>
      <c r="N1626" s="100"/>
      <c r="O1626" s="100"/>
      <c r="P1626" s="100"/>
      <c r="Q1626" s="100"/>
      <c r="R1626" s="100"/>
      <c r="S1626" s="100"/>
      <c r="T1626" s="100"/>
      <c r="U1626" s="100"/>
      <c r="V1626" s="100"/>
      <c r="W1626" s="100"/>
      <c r="X1626" s="100"/>
      <c r="Y1626" s="100"/>
      <c r="Z1626" s="100"/>
      <c r="AA1626" s="100"/>
    </row>
    <row r="1627" spans="2:27">
      <c r="B1627" s="100"/>
      <c r="C1627" s="100"/>
      <c r="D1627" s="100"/>
      <c r="E1627" s="100"/>
      <c r="F1627" s="100"/>
      <c r="G1627" s="100"/>
      <c r="H1627" s="100"/>
      <c r="I1627" s="100"/>
      <c r="J1627" s="100"/>
      <c r="K1627" s="100"/>
      <c r="L1627" s="100"/>
      <c r="M1627" s="100"/>
      <c r="N1627" s="100"/>
      <c r="O1627" s="100"/>
      <c r="P1627" s="100"/>
      <c r="Q1627" s="100"/>
      <c r="R1627" s="100"/>
      <c r="S1627" s="100"/>
      <c r="T1627" s="100"/>
      <c r="U1627" s="100"/>
      <c r="V1627" s="100"/>
      <c r="W1627" s="100"/>
      <c r="X1627" s="100"/>
      <c r="Y1627" s="100"/>
      <c r="Z1627" s="100"/>
      <c r="AA1627" s="100"/>
    </row>
    <row r="1628" spans="2:27">
      <c r="B1628" s="100"/>
      <c r="C1628" s="100"/>
      <c r="D1628" s="100"/>
      <c r="E1628" s="100"/>
      <c r="F1628" s="100"/>
      <c r="G1628" s="100"/>
      <c r="H1628" s="100"/>
      <c r="I1628" s="100"/>
      <c r="J1628" s="100"/>
      <c r="K1628" s="100"/>
      <c r="L1628" s="100"/>
      <c r="M1628" s="100"/>
      <c r="N1628" s="100"/>
      <c r="O1628" s="100"/>
      <c r="P1628" s="100"/>
      <c r="Q1628" s="100"/>
      <c r="R1628" s="100"/>
      <c r="S1628" s="100"/>
      <c r="T1628" s="100"/>
      <c r="U1628" s="100"/>
      <c r="V1628" s="100"/>
      <c r="W1628" s="100"/>
      <c r="X1628" s="100"/>
      <c r="Y1628" s="100"/>
      <c r="Z1628" s="100"/>
      <c r="AA1628" s="100"/>
    </row>
    <row r="1629" spans="2:27">
      <c r="B1629" s="100"/>
      <c r="C1629" s="100"/>
      <c r="D1629" s="100"/>
      <c r="E1629" s="100"/>
      <c r="F1629" s="100"/>
      <c r="G1629" s="100"/>
      <c r="H1629" s="100"/>
      <c r="I1629" s="100"/>
      <c r="J1629" s="100"/>
      <c r="K1629" s="100"/>
      <c r="L1629" s="100"/>
      <c r="M1629" s="100"/>
      <c r="N1629" s="100"/>
      <c r="O1629" s="100"/>
      <c r="P1629" s="100"/>
      <c r="Q1629" s="100"/>
      <c r="R1629" s="100"/>
      <c r="S1629" s="100"/>
      <c r="T1629" s="100"/>
      <c r="U1629" s="100"/>
      <c r="V1629" s="100"/>
      <c r="W1629" s="100"/>
      <c r="X1629" s="100"/>
      <c r="Y1629" s="100"/>
      <c r="Z1629" s="100"/>
      <c r="AA1629" s="100"/>
    </row>
    <row r="1630" spans="2:27">
      <c r="B1630" s="100"/>
      <c r="C1630" s="100"/>
      <c r="D1630" s="100"/>
      <c r="E1630" s="100"/>
      <c r="F1630" s="100"/>
      <c r="G1630" s="100"/>
      <c r="H1630" s="100"/>
      <c r="I1630" s="100"/>
      <c r="J1630" s="100"/>
      <c r="K1630" s="100"/>
      <c r="L1630" s="100"/>
      <c r="M1630" s="100"/>
      <c r="N1630" s="100"/>
      <c r="O1630" s="100"/>
      <c r="P1630" s="100"/>
      <c r="Q1630" s="100"/>
      <c r="R1630" s="100"/>
      <c r="S1630" s="100"/>
      <c r="T1630" s="100"/>
      <c r="U1630" s="100"/>
      <c r="V1630" s="100"/>
      <c r="W1630" s="100"/>
      <c r="X1630" s="100"/>
      <c r="Y1630" s="100"/>
      <c r="Z1630" s="100"/>
      <c r="AA1630" s="100"/>
    </row>
    <row r="1631" spans="2:27">
      <c r="B1631" s="100"/>
      <c r="C1631" s="100"/>
      <c r="D1631" s="100"/>
      <c r="E1631" s="100"/>
      <c r="F1631" s="100"/>
      <c r="G1631" s="100"/>
      <c r="H1631" s="100"/>
      <c r="I1631" s="100"/>
      <c r="J1631" s="100"/>
      <c r="K1631" s="100"/>
      <c r="L1631" s="100"/>
      <c r="M1631" s="100"/>
      <c r="N1631" s="100"/>
      <c r="O1631" s="100"/>
      <c r="P1631" s="100"/>
      <c r="Q1631" s="100"/>
      <c r="R1631" s="100"/>
      <c r="S1631" s="100"/>
      <c r="T1631" s="100"/>
      <c r="U1631" s="100"/>
      <c r="V1631" s="100"/>
      <c r="W1631" s="100"/>
      <c r="X1631" s="100"/>
      <c r="Y1631" s="100"/>
      <c r="Z1631" s="100"/>
      <c r="AA1631" s="100"/>
    </row>
    <row r="1632" spans="2:27">
      <c r="B1632" s="100"/>
      <c r="C1632" s="100"/>
      <c r="D1632" s="100"/>
      <c r="E1632" s="100"/>
      <c r="F1632" s="100"/>
      <c r="G1632" s="100"/>
      <c r="H1632" s="100"/>
      <c r="I1632" s="100"/>
      <c r="J1632" s="100"/>
      <c r="K1632" s="100"/>
      <c r="L1632" s="100"/>
      <c r="M1632" s="100"/>
      <c r="N1632" s="100"/>
      <c r="O1632" s="100"/>
      <c r="P1632" s="100"/>
      <c r="Q1632" s="100"/>
      <c r="R1632" s="100"/>
      <c r="S1632" s="100"/>
      <c r="T1632" s="100"/>
      <c r="U1632" s="100"/>
      <c r="V1632" s="100"/>
      <c r="W1632" s="100"/>
      <c r="X1632" s="100"/>
      <c r="Y1632" s="100"/>
      <c r="Z1632" s="100"/>
      <c r="AA1632" s="100"/>
    </row>
    <row r="1633" spans="2:27">
      <c r="B1633" s="100"/>
      <c r="C1633" s="100"/>
      <c r="D1633" s="100"/>
      <c r="E1633" s="100"/>
      <c r="F1633" s="100"/>
      <c r="G1633" s="100"/>
      <c r="H1633" s="100"/>
      <c r="I1633" s="100"/>
      <c r="J1633" s="100"/>
      <c r="K1633" s="100"/>
      <c r="L1633" s="100"/>
      <c r="M1633" s="100"/>
      <c r="N1633" s="100"/>
      <c r="O1633" s="100"/>
      <c r="P1633" s="100"/>
      <c r="Q1633" s="100"/>
      <c r="R1633" s="100"/>
      <c r="S1633" s="100"/>
      <c r="T1633" s="100"/>
      <c r="U1633" s="100"/>
      <c r="V1633" s="100"/>
      <c r="W1633" s="100"/>
      <c r="X1633" s="100"/>
      <c r="Y1633" s="100"/>
      <c r="Z1633" s="100"/>
      <c r="AA1633" s="100"/>
    </row>
    <row r="1634" spans="2:27">
      <c r="B1634" s="100"/>
      <c r="C1634" s="100"/>
      <c r="D1634" s="100"/>
      <c r="E1634" s="100"/>
      <c r="F1634" s="100"/>
      <c r="G1634" s="100"/>
      <c r="H1634" s="100"/>
      <c r="I1634" s="100"/>
      <c r="J1634" s="100"/>
      <c r="K1634" s="100"/>
      <c r="L1634" s="100"/>
      <c r="M1634" s="100"/>
      <c r="N1634" s="100"/>
      <c r="O1634" s="100"/>
      <c r="P1634" s="100"/>
      <c r="Q1634" s="100"/>
      <c r="R1634" s="100"/>
      <c r="S1634" s="100"/>
      <c r="T1634" s="100"/>
      <c r="U1634" s="100"/>
      <c r="V1634" s="100"/>
      <c r="W1634" s="100"/>
      <c r="X1634" s="100"/>
      <c r="Y1634" s="100"/>
      <c r="Z1634" s="100"/>
      <c r="AA1634" s="100"/>
    </row>
    <row r="1635" spans="2:27">
      <c r="B1635" s="100"/>
      <c r="C1635" s="100"/>
      <c r="D1635" s="100"/>
      <c r="E1635" s="100"/>
      <c r="F1635" s="100"/>
      <c r="G1635" s="100"/>
      <c r="H1635" s="100"/>
      <c r="I1635" s="100"/>
      <c r="J1635" s="100"/>
      <c r="K1635" s="100"/>
      <c r="L1635" s="100"/>
      <c r="M1635" s="100"/>
      <c r="N1635" s="100"/>
      <c r="O1635" s="100"/>
      <c r="P1635" s="100"/>
      <c r="Q1635" s="100"/>
      <c r="R1635" s="100"/>
      <c r="S1635" s="100"/>
      <c r="T1635" s="100"/>
      <c r="U1635" s="100"/>
      <c r="V1635" s="100"/>
      <c r="W1635" s="100"/>
      <c r="X1635" s="100"/>
      <c r="Y1635" s="100"/>
      <c r="Z1635" s="100"/>
      <c r="AA1635" s="100"/>
    </row>
    <row r="1636" spans="2:27">
      <c r="B1636" s="100"/>
      <c r="C1636" s="100"/>
      <c r="D1636" s="100"/>
      <c r="E1636" s="100"/>
      <c r="F1636" s="100"/>
      <c r="G1636" s="100"/>
      <c r="H1636" s="100"/>
      <c r="I1636" s="100"/>
      <c r="J1636" s="100"/>
      <c r="K1636" s="100"/>
      <c r="L1636" s="100"/>
      <c r="M1636" s="100"/>
      <c r="N1636" s="100"/>
      <c r="O1636" s="100"/>
      <c r="P1636" s="100"/>
      <c r="Q1636" s="100"/>
      <c r="R1636" s="100"/>
      <c r="S1636" s="100"/>
      <c r="T1636" s="100"/>
      <c r="U1636" s="100"/>
      <c r="V1636" s="100"/>
      <c r="W1636" s="100"/>
      <c r="X1636" s="100"/>
      <c r="Y1636" s="100"/>
      <c r="Z1636" s="100"/>
      <c r="AA1636" s="100"/>
    </row>
    <row r="1637" spans="2:27">
      <c r="B1637" s="100"/>
      <c r="C1637" s="100"/>
      <c r="D1637" s="100"/>
      <c r="E1637" s="100"/>
      <c r="F1637" s="100"/>
      <c r="G1637" s="100"/>
      <c r="H1637" s="100"/>
      <c r="I1637" s="100"/>
      <c r="J1637" s="100"/>
      <c r="K1637" s="100"/>
      <c r="L1637" s="100"/>
      <c r="M1637" s="100"/>
      <c r="N1637" s="100"/>
      <c r="O1637" s="100"/>
      <c r="P1637" s="100"/>
      <c r="Q1637" s="100"/>
      <c r="R1637" s="100"/>
      <c r="S1637" s="100"/>
      <c r="T1637" s="100"/>
      <c r="U1637" s="100"/>
      <c r="V1637" s="100"/>
      <c r="W1637" s="100"/>
      <c r="X1637" s="100"/>
      <c r="Y1637" s="100"/>
      <c r="Z1637" s="100"/>
      <c r="AA1637" s="100"/>
    </row>
    <row r="1638" spans="2:27">
      <c r="B1638" s="100"/>
      <c r="C1638" s="100"/>
      <c r="D1638" s="100"/>
      <c r="E1638" s="100"/>
      <c r="F1638" s="100"/>
      <c r="G1638" s="100"/>
      <c r="H1638" s="100"/>
      <c r="I1638" s="100"/>
      <c r="J1638" s="100"/>
      <c r="K1638" s="100"/>
      <c r="L1638" s="100"/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  <c r="AA1638" s="100"/>
    </row>
    <row r="1639" spans="2:27">
      <c r="B1639" s="100"/>
      <c r="C1639" s="100"/>
      <c r="D1639" s="100"/>
      <c r="E1639" s="100"/>
      <c r="F1639" s="100"/>
      <c r="G1639" s="100"/>
      <c r="H1639" s="100"/>
      <c r="I1639" s="100"/>
      <c r="J1639" s="100"/>
      <c r="K1639" s="100"/>
      <c r="L1639" s="100"/>
      <c r="M1639" s="100"/>
      <c r="N1639" s="100"/>
      <c r="O1639" s="100"/>
      <c r="P1639" s="100"/>
      <c r="Q1639" s="100"/>
      <c r="R1639" s="100"/>
      <c r="S1639" s="100"/>
      <c r="T1639" s="100"/>
      <c r="U1639" s="100"/>
      <c r="V1639" s="100"/>
      <c r="W1639" s="100"/>
      <c r="X1639" s="100"/>
      <c r="Y1639" s="100"/>
      <c r="Z1639" s="100"/>
      <c r="AA1639" s="100"/>
    </row>
    <row r="1640" spans="2:27">
      <c r="B1640" s="100"/>
      <c r="C1640" s="100"/>
      <c r="D1640" s="100"/>
      <c r="E1640" s="100"/>
      <c r="F1640" s="100"/>
      <c r="G1640" s="100"/>
      <c r="H1640" s="100"/>
      <c r="I1640" s="100"/>
      <c r="J1640" s="100"/>
      <c r="K1640" s="100"/>
      <c r="L1640" s="100"/>
      <c r="M1640" s="100"/>
      <c r="N1640" s="100"/>
      <c r="O1640" s="100"/>
      <c r="P1640" s="100"/>
      <c r="Q1640" s="100"/>
      <c r="R1640" s="100"/>
      <c r="S1640" s="100"/>
      <c r="T1640" s="100"/>
      <c r="U1640" s="100"/>
      <c r="V1640" s="100"/>
      <c r="W1640" s="100"/>
      <c r="X1640" s="100"/>
      <c r="Y1640" s="100"/>
      <c r="Z1640" s="100"/>
      <c r="AA1640" s="100"/>
    </row>
    <row r="1641" spans="2:27">
      <c r="B1641" s="100"/>
      <c r="C1641" s="100"/>
      <c r="D1641" s="100"/>
      <c r="E1641" s="100"/>
      <c r="F1641" s="100"/>
      <c r="G1641" s="100"/>
      <c r="H1641" s="100"/>
      <c r="I1641" s="100"/>
      <c r="J1641" s="100"/>
      <c r="K1641" s="100"/>
      <c r="L1641" s="100"/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  <c r="AA1641" s="100"/>
    </row>
    <row r="1642" spans="2:27">
      <c r="B1642" s="100"/>
      <c r="C1642" s="100"/>
      <c r="D1642" s="100"/>
      <c r="E1642" s="100"/>
      <c r="F1642" s="100"/>
      <c r="G1642" s="100"/>
      <c r="H1642" s="100"/>
      <c r="I1642" s="100"/>
      <c r="J1642" s="100"/>
      <c r="K1642" s="100"/>
      <c r="L1642" s="100"/>
      <c r="M1642" s="100"/>
      <c r="N1642" s="100"/>
      <c r="O1642" s="100"/>
      <c r="P1642" s="100"/>
      <c r="Q1642" s="100"/>
      <c r="R1642" s="100"/>
      <c r="S1642" s="100"/>
      <c r="T1642" s="100"/>
      <c r="U1642" s="100"/>
      <c r="V1642" s="100"/>
      <c r="W1642" s="100"/>
      <c r="X1642" s="100"/>
      <c r="Y1642" s="100"/>
      <c r="Z1642" s="100"/>
      <c r="AA1642" s="100"/>
    </row>
    <row r="1643" spans="2:27">
      <c r="B1643" s="100"/>
      <c r="C1643" s="100"/>
      <c r="D1643" s="100"/>
      <c r="E1643" s="100"/>
      <c r="F1643" s="100"/>
      <c r="G1643" s="100"/>
      <c r="H1643" s="100"/>
      <c r="I1643" s="100"/>
      <c r="J1643" s="100"/>
      <c r="K1643" s="100"/>
      <c r="L1643" s="100"/>
      <c r="M1643" s="100"/>
      <c r="N1643" s="100"/>
      <c r="O1643" s="100"/>
      <c r="P1643" s="100"/>
      <c r="Q1643" s="100"/>
      <c r="R1643" s="100"/>
      <c r="S1643" s="100"/>
      <c r="T1643" s="100"/>
      <c r="U1643" s="100"/>
      <c r="V1643" s="100"/>
      <c r="W1643" s="100"/>
      <c r="X1643" s="100"/>
      <c r="Y1643" s="100"/>
      <c r="Z1643" s="100"/>
      <c r="AA1643" s="100"/>
    </row>
    <row r="1644" spans="2:27">
      <c r="B1644" s="100"/>
      <c r="C1644" s="100"/>
      <c r="D1644" s="100"/>
      <c r="E1644" s="100"/>
      <c r="F1644" s="100"/>
      <c r="G1644" s="100"/>
      <c r="H1644" s="100"/>
      <c r="I1644" s="100"/>
      <c r="J1644" s="100"/>
      <c r="K1644" s="100"/>
      <c r="L1644" s="100"/>
      <c r="M1644" s="100"/>
      <c r="N1644" s="100"/>
      <c r="O1644" s="100"/>
      <c r="P1644" s="100"/>
      <c r="Q1644" s="100"/>
      <c r="R1644" s="100"/>
      <c r="S1644" s="100"/>
      <c r="T1644" s="100"/>
      <c r="U1644" s="100"/>
      <c r="V1644" s="100"/>
      <c r="W1644" s="100"/>
      <c r="X1644" s="100"/>
      <c r="Y1644" s="100"/>
      <c r="Z1644" s="100"/>
      <c r="AA1644" s="100"/>
    </row>
    <row r="1645" spans="2:27">
      <c r="B1645" s="100"/>
      <c r="C1645" s="100"/>
      <c r="D1645" s="100"/>
      <c r="E1645" s="100"/>
      <c r="F1645" s="100"/>
      <c r="G1645" s="100"/>
      <c r="H1645" s="100"/>
      <c r="I1645" s="100"/>
      <c r="J1645" s="100"/>
      <c r="K1645" s="100"/>
      <c r="L1645" s="100"/>
      <c r="M1645" s="100"/>
      <c r="N1645" s="100"/>
      <c r="O1645" s="100"/>
      <c r="P1645" s="100"/>
      <c r="Q1645" s="100"/>
      <c r="R1645" s="100"/>
      <c r="S1645" s="100"/>
      <c r="T1645" s="100"/>
      <c r="U1645" s="100"/>
      <c r="V1645" s="100"/>
      <c r="W1645" s="100"/>
      <c r="X1645" s="100"/>
      <c r="Y1645" s="100"/>
      <c r="Z1645" s="100"/>
      <c r="AA1645" s="100"/>
    </row>
    <row r="1646" spans="2:27">
      <c r="B1646" s="100"/>
      <c r="C1646" s="100"/>
      <c r="D1646" s="100"/>
      <c r="E1646" s="100"/>
      <c r="F1646" s="100"/>
      <c r="G1646" s="100"/>
      <c r="H1646" s="100"/>
      <c r="I1646" s="100"/>
      <c r="J1646" s="100"/>
      <c r="K1646" s="100"/>
      <c r="L1646" s="100"/>
      <c r="M1646" s="100"/>
      <c r="N1646" s="100"/>
      <c r="O1646" s="100"/>
      <c r="P1646" s="100"/>
      <c r="Q1646" s="100"/>
      <c r="R1646" s="100"/>
      <c r="S1646" s="100"/>
      <c r="T1646" s="100"/>
      <c r="U1646" s="100"/>
      <c r="V1646" s="100"/>
      <c r="W1646" s="100"/>
      <c r="X1646" s="100"/>
      <c r="Y1646" s="100"/>
      <c r="Z1646" s="100"/>
      <c r="AA1646" s="100"/>
    </row>
    <row r="1647" spans="2:27">
      <c r="B1647" s="100"/>
      <c r="C1647" s="100"/>
      <c r="D1647" s="100"/>
      <c r="E1647" s="100"/>
      <c r="F1647" s="100"/>
      <c r="G1647" s="100"/>
      <c r="H1647" s="100"/>
      <c r="I1647" s="100"/>
      <c r="J1647" s="100"/>
      <c r="K1647" s="100"/>
      <c r="L1647" s="100"/>
      <c r="M1647" s="100"/>
      <c r="N1647" s="100"/>
      <c r="O1647" s="100"/>
      <c r="P1647" s="100"/>
      <c r="Q1647" s="100"/>
      <c r="R1647" s="100"/>
      <c r="S1647" s="100"/>
      <c r="T1647" s="100"/>
      <c r="U1647" s="100"/>
      <c r="V1647" s="100"/>
      <c r="W1647" s="100"/>
      <c r="X1647" s="100"/>
      <c r="Y1647" s="100"/>
      <c r="Z1647" s="100"/>
      <c r="AA1647" s="100"/>
    </row>
    <row r="1648" spans="2:27">
      <c r="B1648" s="100"/>
      <c r="C1648" s="100"/>
      <c r="D1648" s="100"/>
      <c r="E1648" s="100"/>
      <c r="F1648" s="100"/>
      <c r="G1648" s="100"/>
      <c r="H1648" s="100"/>
      <c r="I1648" s="100"/>
      <c r="J1648" s="100"/>
      <c r="K1648" s="100"/>
      <c r="L1648" s="100"/>
      <c r="M1648" s="100"/>
      <c r="N1648" s="100"/>
      <c r="O1648" s="100"/>
      <c r="P1648" s="100"/>
      <c r="Q1648" s="100"/>
      <c r="R1648" s="100"/>
      <c r="S1648" s="100"/>
      <c r="T1648" s="100"/>
      <c r="U1648" s="100"/>
      <c r="V1648" s="100"/>
      <c r="W1648" s="100"/>
      <c r="X1648" s="100"/>
      <c r="Y1648" s="100"/>
      <c r="Z1648" s="100"/>
      <c r="AA1648" s="100"/>
    </row>
    <row r="1649" spans="2:27">
      <c r="B1649" s="100"/>
      <c r="C1649" s="100"/>
      <c r="D1649" s="100"/>
      <c r="E1649" s="100"/>
      <c r="F1649" s="100"/>
      <c r="G1649" s="100"/>
      <c r="H1649" s="100"/>
      <c r="I1649" s="100"/>
      <c r="J1649" s="100"/>
      <c r="K1649" s="100"/>
      <c r="L1649" s="100"/>
      <c r="M1649" s="100"/>
      <c r="N1649" s="100"/>
      <c r="O1649" s="100"/>
      <c r="P1649" s="100"/>
      <c r="Q1649" s="100"/>
      <c r="R1649" s="100"/>
      <c r="S1649" s="100"/>
      <c r="T1649" s="100"/>
      <c r="U1649" s="100"/>
      <c r="V1649" s="100"/>
      <c r="W1649" s="100"/>
      <c r="X1649" s="100"/>
      <c r="Y1649" s="100"/>
      <c r="Z1649" s="100"/>
      <c r="AA1649" s="100"/>
    </row>
    <row r="1650" spans="2:27">
      <c r="B1650" s="100"/>
      <c r="C1650" s="100"/>
      <c r="D1650" s="100"/>
      <c r="E1650" s="100"/>
      <c r="F1650" s="100"/>
      <c r="G1650" s="100"/>
      <c r="H1650" s="100"/>
      <c r="I1650" s="100"/>
      <c r="J1650" s="100"/>
      <c r="K1650" s="100"/>
      <c r="L1650" s="100"/>
      <c r="M1650" s="100"/>
      <c r="N1650" s="100"/>
      <c r="O1650" s="100"/>
      <c r="P1650" s="100"/>
      <c r="Q1650" s="100"/>
      <c r="R1650" s="100"/>
      <c r="S1650" s="100"/>
      <c r="T1650" s="100"/>
      <c r="U1650" s="100"/>
      <c r="V1650" s="100"/>
      <c r="W1650" s="100"/>
      <c r="X1650" s="100"/>
      <c r="Y1650" s="100"/>
      <c r="Z1650" s="100"/>
      <c r="AA1650" s="100"/>
    </row>
    <row r="1651" spans="2:27">
      <c r="B1651" s="100"/>
      <c r="C1651" s="100"/>
      <c r="D1651" s="100"/>
      <c r="E1651" s="100"/>
      <c r="F1651" s="100"/>
      <c r="G1651" s="100"/>
      <c r="H1651" s="100"/>
      <c r="I1651" s="100"/>
      <c r="J1651" s="100"/>
      <c r="K1651" s="100"/>
      <c r="L1651" s="100"/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  <c r="AA1651" s="100"/>
    </row>
    <row r="1652" spans="2:27">
      <c r="B1652" s="100"/>
      <c r="C1652" s="100"/>
      <c r="D1652" s="100"/>
      <c r="E1652" s="100"/>
      <c r="F1652" s="100"/>
      <c r="G1652" s="100"/>
      <c r="H1652" s="100"/>
      <c r="I1652" s="100"/>
      <c r="J1652" s="100"/>
      <c r="K1652" s="100"/>
      <c r="L1652" s="100"/>
      <c r="M1652" s="100"/>
      <c r="N1652" s="100"/>
      <c r="O1652" s="100"/>
      <c r="P1652" s="100"/>
      <c r="Q1652" s="100"/>
      <c r="R1652" s="100"/>
      <c r="S1652" s="100"/>
      <c r="T1652" s="100"/>
      <c r="U1652" s="100"/>
      <c r="V1652" s="100"/>
      <c r="W1652" s="100"/>
      <c r="X1652" s="100"/>
      <c r="Y1652" s="100"/>
      <c r="Z1652" s="100"/>
      <c r="AA1652" s="100"/>
    </row>
    <row r="1653" spans="2:27">
      <c r="B1653" s="100"/>
      <c r="C1653" s="100"/>
      <c r="D1653" s="100"/>
      <c r="E1653" s="100"/>
      <c r="F1653" s="100"/>
      <c r="G1653" s="100"/>
      <c r="H1653" s="100"/>
      <c r="I1653" s="100"/>
      <c r="J1653" s="100"/>
      <c r="K1653" s="100"/>
      <c r="L1653" s="100"/>
      <c r="M1653" s="100"/>
      <c r="N1653" s="100"/>
      <c r="O1653" s="100"/>
      <c r="P1653" s="100"/>
      <c r="Q1653" s="100"/>
      <c r="R1653" s="100"/>
      <c r="S1653" s="100"/>
      <c r="T1653" s="100"/>
      <c r="U1653" s="100"/>
      <c r="V1653" s="100"/>
      <c r="W1653" s="100"/>
      <c r="X1653" s="100"/>
      <c r="Y1653" s="100"/>
      <c r="Z1653" s="100"/>
      <c r="AA1653" s="100"/>
    </row>
    <row r="1654" spans="2:27">
      <c r="B1654" s="100"/>
      <c r="C1654" s="100"/>
      <c r="D1654" s="100"/>
      <c r="E1654" s="100"/>
      <c r="F1654" s="100"/>
      <c r="G1654" s="100"/>
      <c r="H1654" s="100"/>
      <c r="I1654" s="100"/>
      <c r="J1654" s="100"/>
      <c r="K1654" s="100"/>
      <c r="L1654" s="100"/>
      <c r="M1654" s="100"/>
      <c r="N1654" s="100"/>
      <c r="O1654" s="100"/>
      <c r="P1654" s="100"/>
      <c r="Q1654" s="100"/>
      <c r="R1654" s="100"/>
      <c r="S1654" s="100"/>
      <c r="T1654" s="100"/>
      <c r="U1654" s="100"/>
      <c r="V1654" s="100"/>
      <c r="W1654" s="100"/>
      <c r="X1654" s="100"/>
      <c r="Y1654" s="100"/>
      <c r="Z1654" s="100"/>
      <c r="AA1654" s="100"/>
    </row>
    <row r="1655" spans="2:27">
      <c r="B1655" s="100"/>
      <c r="C1655" s="100"/>
      <c r="D1655" s="100"/>
      <c r="E1655" s="100"/>
      <c r="F1655" s="100"/>
      <c r="G1655" s="100"/>
      <c r="H1655" s="100"/>
      <c r="I1655" s="100"/>
      <c r="J1655" s="100"/>
      <c r="K1655" s="100"/>
      <c r="L1655" s="100"/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  <c r="AA1655" s="100"/>
    </row>
    <row r="1656" spans="2:27">
      <c r="B1656" s="100"/>
      <c r="C1656" s="100"/>
      <c r="D1656" s="100"/>
      <c r="E1656" s="100"/>
      <c r="F1656" s="100"/>
      <c r="G1656" s="100"/>
      <c r="H1656" s="100"/>
      <c r="I1656" s="100"/>
      <c r="J1656" s="100"/>
      <c r="K1656" s="100"/>
      <c r="L1656" s="100"/>
      <c r="M1656" s="100"/>
      <c r="N1656" s="100"/>
      <c r="O1656" s="100"/>
      <c r="P1656" s="100"/>
      <c r="Q1656" s="100"/>
      <c r="R1656" s="100"/>
      <c r="S1656" s="100"/>
      <c r="T1656" s="100"/>
      <c r="U1656" s="100"/>
      <c r="V1656" s="100"/>
      <c r="W1656" s="100"/>
      <c r="X1656" s="100"/>
      <c r="Y1656" s="100"/>
      <c r="Z1656" s="100"/>
      <c r="AA1656" s="100"/>
    </row>
    <row r="1657" spans="2:27">
      <c r="B1657" s="100"/>
      <c r="C1657" s="100"/>
      <c r="D1657" s="100"/>
      <c r="E1657" s="100"/>
      <c r="F1657" s="100"/>
      <c r="G1657" s="100"/>
      <c r="H1657" s="100"/>
      <c r="I1657" s="100"/>
      <c r="J1657" s="100"/>
      <c r="K1657" s="100"/>
      <c r="L1657" s="100"/>
      <c r="M1657" s="100"/>
      <c r="N1657" s="100"/>
      <c r="O1657" s="100"/>
      <c r="P1657" s="100"/>
      <c r="Q1657" s="100"/>
      <c r="R1657" s="100"/>
      <c r="S1657" s="100"/>
      <c r="T1657" s="100"/>
      <c r="U1657" s="100"/>
      <c r="V1657" s="100"/>
      <c r="W1657" s="100"/>
      <c r="X1657" s="100"/>
      <c r="Y1657" s="100"/>
      <c r="Z1657" s="100"/>
      <c r="AA1657" s="100"/>
    </row>
    <row r="1658" spans="2:27">
      <c r="B1658" s="100"/>
      <c r="C1658" s="100"/>
      <c r="D1658" s="100"/>
      <c r="E1658" s="100"/>
      <c r="F1658" s="100"/>
      <c r="G1658" s="100"/>
      <c r="H1658" s="100"/>
      <c r="I1658" s="100"/>
      <c r="J1658" s="100"/>
      <c r="K1658" s="100"/>
      <c r="L1658" s="100"/>
      <c r="M1658" s="100"/>
      <c r="N1658" s="100"/>
      <c r="O1658" s="100"/>
      <c r="P1658" s="100"/>
      <c r="Q1658" s="100"/>
      <c r="R1658" s="100"/>
      <c r="S1658" s="100"/>
      <c r="T1658" s="100"/>
      <c r="U1658" s="100"/>
      <c r="V1658" s="100"/>
      <c r="W1658" s="100"/>
      <c r="X1658" s="100"/>
      <c r="Y1658" s="100"/>
      <c r="Z1658" s="100"/>
      <c r="AA1658" s="100"/>
    </row>
    <row r="1659" spans="2:27">
      <c r="B1659" s="100"/>
      <c r="C1659" s="100"/>
      <c r="D1659" s="100"/>
      <c r="E1659" s="100"/>
      <c r="F1659" s="100"/>
      <c r="G1659" s="100"/>
      <c r="H1659" s="100"/>
      <c r="I1659" s="100"/>
      <c r="J1659" s="100"/>
      <c r="K1659" s="100"/>
      <c r="L1659" s="100"/>
      <c r="M1659" s="100"/>
      <c r="N1659" s="100"/>
      <c r="O1659" s="100"/>
      <c r="P1659" s="100"/>
      <c r="Q1659" s="100"/>
      <c r="R1659" s="100"/>
      <c r="S1659" s="100"/>
      <c r="T1659" s="100"/>
      <c r="U1659" s="100"/>
      <c r="V1659" s="100"/>
      <c r="W1659" s="100"/>
      <c r="X1659" s="100"/>
      <c r="Y1659" s="100"/>
      <c r="Z1659" s="100"/>
      <c r="AA1659" s="100"/>
    </row>
    <row r="1660" spans="2:27">
      <c r="B1660" s="100"/>
      <c r="C1660" s="100"/>
      <c r="D1660" s="100"/>
      <c r="E1660" s="100"/>
      <c r="F1660" s="100"/>
      <c r="G1660" s="100"/>
      <c r="H1660" s="100"/>
      <c r="I1660" s="100"/>
      <c r="J1660" s="100"/>
      <c r="K1660" s="100"/>
      <c r="L1660" s="100"/>
      <c r="M1660" s="100"/>
      <c r="N1660" s="100"/>
      <c r="O1660" s="100"/>
      <c r="P1660" s="100"/>
      <c r="Q1660" s="100"/>
      <c r="R1660" s="100"/>
      <c r="S1660" s="100"/>
      <c r="T1660" s="100"/>
      <c r="U1660" s="100"/>
      <c r="V1660" s="100"/>
      <c r="W1660" s="100"/>
      <c r="X1660" s="100"/>
      <c r="Y1660" s="100"/>
      <c r="Z1660" s="100"/>
      <c r="AA1660" s="100"/>
    </row>
    <row r="1661" spans="2:27">
      <c r="B1661" s="100"/>
      <c r="C1661" s="100"/>
      <c r="D1661" s="100"/>
      <c r="E1661" s="100"/>
      <c r="F1661" s="100"/>
      <c r="G1661" s="100"/>
      <c r="H1661" s="100"/>
      <c r="I1661" s="100"/>
      <c r="J1661" s="100"/>
      <c r="K1661" s="100"/>
      <c r="L1661" s="100"/>
      <c r="M1661" s="100"/>
      <c r="N1661" s="100"/>
      <c r="O1661" s="100"/>
      <c r="P1661" s="100"/>
      <c r="Q1661" s="100"/>
      <c r="R1661" s="100"/>
      <c r="S1661" s="100"/>
      <c r="T1661" s="100"/>
      <c r="U1661" s="100"/>
      <c r="V1661" s="100"/>
      <c r="W1661" s="100"/>
      <c r="X1661" s="100"/>
      <c r="Y1661" s="100"/>
      <c r="Z1661" s="100"/>
      <c r="AA1661" s="100"/>
    </row>
    <row r="1662" spans="2:27">
      <c r="B1662" s="100"/>
      <c r="C1662" s="100"/>
      <c r="D1662" s="100"/>
      <c r="E1662" s="100"/>
      <c r="F1662" s="100"/>
      <c r="G1662" s="100"/>
      <c r="H1662" s="100"/>
      <c r="I1662" s="100"/>
      <c r="J1662" s="100"/>
      <c r="K1662" s="100"/>
      <c r="L1662" s="100"/>
      <c r="M1662" s="100"/>
      <c r="N1662" s="100"/>
      <c r="O1662" s="100"/>
      <c r="P1662" s="100"/>
      <c r="Q1662" s="100"/>
      <c r="R1662" s="100"/>
      <c r="S1662" s="100"/>
      <c r="T1662" s="100"/>
      <c r="U1662" s="100"/>
      <c r="V1662" s="100"/>
      <c r="W1662" s="100"/>
      <c r="X1662" s="100"/>
      <c r="Y1662" s="100"/>
      <c r="Z1662" s="100"/>
      <c r="AA1662" s="100"/>
    </row>
    <row r="1663" spans="2:27">
      <c r="B1663" s="100"/>
      <c r="C1663" s="100"/>
      <c r="D1663" s="100"/>
      <c r="E1663" s="100"/>
      <c r="F1663" s="100"/>
      <c r="G1663" s="100"/>
      <c r="H1663" s="100"/>
      <c r="I1663" s="100"/>
      <c r="J1663" s="100"/>
      <c r="K1663" s="100"/>
      <c r="L1663" s="100"/>
      <c r="M1663" s="100"/>
      <c r="N1663" s="100"/>
      <c r="O1663" s="100"/>
      <c r="P1663" s="100"/>
      <c r="Q1663" s="100"/>
      <c r="R1663" s="100"/>
      <c r="S1663" s="100"/>
      <c r="T1663" s="100"/>
      <c r="U1663" s="100"/>
      <c r="V1663" s="100"/>
      <c r="W1663" s="100"/>
      <c r="X1663" s="100"/>
      <c r="Y1663" s="100"/>
      <c r="Z1663" s="100"/>
      <c r="AA1663" s="100"/>
    </row>
    <row r="1664" spans="2:27">
      <c r="B1664" s="100"/>
      <c r="C1664" s="100"/>
      <c r="D1664" s="100"/>
      <c r="E1664" s="100"/>
      <c r="F1664" s="100"/>
      <c r="G1664" s="100"/>
      <c r="H1664" s="100"/>
      <c r="I1664" s="100"/>
      <c r="J1664" s="100"/>
      <c r="K1664" s="100"/>
      <c r="L1664" s="100"/>
      <c r="M1664" s="100"/>
      <c r="N1664" s="100"/>
      <c r="O1664" s="100"/>
      <c r="P1664" s="100"/>
      <c r="Q1664" s="100"/>
      <c r="R1664" s="100"/>
      <c r="S1664" s="100"/>
      <c r="T1664" s="100"/>
      <c r="U1664" s="100"/>
      <c r="V1664" s="100"/>
      <c r="W1664" s="100"/>
      <c r="X1664" s="100"/>
      <c r="Y1664" s="100"/>
      <c r="Z1664" s="100"/>
      <c r="AA1664" s="100"/>
    </row>
    <row r="1665" spans="2:27">
      <c r="B1665" s="100"/>
      <c r="C1665" s="100"/>
      <c r="D1665" s="100"/>
      <c r="E1665" s="100"/>
      <c r="F1665" s="100"/>
      <c r="G1665" s="100"/>
      <c r="H1665" s="100"/>
      <c r="I1665" s="100"/>
      <c r="J1665" s="100"/>
      <c r="K1665" s="100"/>
      <c r="L1665" s="100"/>
      <c r="M1665" s="100"/>
      <c r="N1665" s="100"/>
      <c r="O1665" s="100"/>
      <c r="P1665" s="100"/>
      <c r="Q1665" s="100"/>
      <c r="R1665" s="100"/>
      <c r="S1665" s="100"/>
      <c r="T1665" s="100"/>
      <c r="U1665" s="100"/>
      <c r="V1665" s="100"/>
      <c r="W1665" s="100"/>
      <c r="X1665" s="100"/>
      <c r="Y1665" s="100"/>
      <c r="Z1665" s="100"/>
      <c r="AA1665" s="100"/>
    </row>
    <row r="1666" spans="2:27">
      <c r="B1666" s="100"/>
      <c r="C1666" s="100"/>
      <c r="D1666" s="100"/>
      <c r="E1666" s="100"/>
      <c r="F1666" s="100"/>
      <c r="G1666" s="100"/>
      <c r="H1666" s="100"/>
      <c r="I1666" s="100"/>
      <c r="J1666" s="100"/>
      <c r="K1666" s="100"/>
      <c r="L1666" s="100"/>
      <c r="M1666" s="100"/>
      <c r="N1666" s="100"/>
      <c r="O1666" s="100"/>
      <c r="P1666" s="100"/>
      <c r="Q1666" s="100"/>
      <c r="R1666" s="100"/>
      <c r="S1666" s="100"/>
      <c r="T1666" s="100"/>
      <c r="U1666" s="100"/>
      <c r="V1666" s="100"/>
      <c r="W1666" s="100"/>
      <c r="X1666" s="100"/>
      <c r="Y1666" s="100"/>
      <c r="Z1666" s="100"/>
      <c r="AA1666" s="100"/>
    </row>
    <row r="1667" spans="2:27">
      <c r="B1667" s="100"/>
      <c r="C1667" s="100"/>
      <c r="D1667" s="100"/>
      <c r="E1667" s="100"/>
      <c r="F1667" s="100"/>
      <c r="G1667" s="100"/>
      <c r="H1667" s="100"/>
      <c r="I1667" s="100"/>
      <c r="J1667" s="100"/>
      <c r="K1667" s="100"/>
      <c r="L1667" s="100"/>
      <c r="M1667" s="100"/>
      <c r="N1667" s="100"/>
      <c r="O1667" s="100"/>
      <c r="P1667" s="100"/>
      <c r="Q1667" s="100"/>
      <c r="R1667" s="100"/>
      <c r="S1667" s="100"/>
      <c r="T1667" s="100"/>
      <c r="U1667" s="100"/>
      <c r="V1667" s="100"/>
      <c r="W1667" s="100"/>
      <c r="X1667" s="100"/>
      <c r="Y1667" s="100"/>
      <c r="Z1667" s="100"/>
      <c r="AA1667" s="100"/>
    </row>
    <row r="1668" spans="2:27">
      <c r="B1668" s="100"/>
      <c r="C1668" s="100"/>
      <c r="D1668" s="100"/>
      <c r="E1668" s="100"/>
      <c r="F1668" s="100"/>
      <c r="G1668" s="100"/>
      <c r="H1668" s="100"/>
      <c r="I1668" s="100"/>
      <c r="J1668" s="100"/>
      <c r="K1668" s="100"/>
      <c r="L1668" s="100"/>
      <c r="M1668" s="100"/>
      <c r="N1668" s="100"/>
      <c r="O1668" s="100"/>
      <c r="P1668" s="100"/>
      <c r="Q1668" s="100"/>
      <c r="R1668" s="100"/>
      <c r="S1668" s="100"/>
      <c r="T1668" s="100"/>
      <c r="U1668" s="100"/>
      <c r="V1668" s="100"/>
      <c r="W1668" s="100"/>
      <c r="X1668" s="100"/>
      <c r="Y1668" s="100"/>
      <c r="Z1668" s="100"/>
      <c r="AA1668" s="100"/>
    </row>
    <row r="1669" spans="2:27">
      <c r="B1669" s="100"/>
      <c r="C1669" s="100"/>
      <c r="D1669" s="100"/>
      <c r="E1669" s="100"/>
      <c r="F1669" s="100"/>
      <c r="G1669" s="100"/>
      <c r="H1669" s="100"/>
      <c r="I1669" s="100"/>
      <c r="J1669" s="100"/>
      <c r="K1669" s="100"/>
      <c r="L1669" s="100"/>
      <c r="M1669" s="100"/>
      <c r="N1669" s="100"/>
      <c r="O1669" s="100"/>
      <c r="P1669" s="100"/>
      <c r="Q1669" s="100"/>
      <c r="R1669" s="100"/>
      <c r="S1669" s="100"/>
      <c r="T1669" s="100"/>
      <c r="U1669" s="100"/>
      <c r="V1669" s="100"/>
      <c r="W1669" s="100"/>
      <c r="X1669" s="100"/>
      <c r="Y1669" s="100"/>
      <c r="Z1669" s="100"/>
      <c r="AA1669" s="100"/>
    </row>
    <row r="1670" spans="2:27">
      <c r="B1670" s="100"/>
      <c r="C1670" s="100"/>
      <c r="D1670" s="100"/>
      <c r="E1670" s="100"/>
      <c r="F1670" s="100"/>
      <c r="G1670" s="100"/>
      <c r="H1670" s="100"/>
      <c r="I1670" s="100"/>
      <c r="J1670" s="100"/>
      <c r="K1670" s="100"/>
      <c r="L1670" s="100"/>
      <c r="M1670" s="100"/>
      <c r="N1670" s="100"/>
      <c r="O1670" s="100"/>
      <c r="P1670" s="100"/>
      <c r="Q1670" s="100"/>
      <c r="R1670" s="100"/>
      <c r="S1670" s="100"/>
      <c r="T1670" s="100"/>
      <c r="U1670" s="100"/>
      <c r="V1670" s="100"/>
      <c r="W1670" s="100"/>
      <c r="X1670" s="100"/>
      <c r="Y1670" s="100"/>
      <c r="Z1670" s="100"/>
      <c r="AA1670" s="100"/>
    </row>
    <row r="1671" spans="2:27">
      <c r="B1671" s="100"/>
      <c r="C1671" s="100"/>
      <c r="D1671" s="100"/>
      <c r="E1671" s="100"/>
      <c r="F1671" s="100"/>
      <c r="G1671" s="100"/>
      <c r="H1671" s="100"/>
      <c r="I1671" s="100"/>
      <c r="J1671" s="100"/>
      <c r="K1671" s="100"/>
      <c r="L1671" s="100"/>
      <c r="M1671" s="100"/>
      <c r="N1671" s="100"/>
      <c r="O1671" s="100"/>
      <c r="P1671" s="100"/>
      <c r="Q1671" s="100"/>
      <c r="R1671" s="100"/>
      <c r="S1671" s="100"/>
      <c r="T1671" s="100"/>
      <c r="U1671" s="100"/>
      <c r="V1671" s="100"/>
      <c r="W1671" s="100"/>
      <c r="X1671" s="100"/>
      <c r="Y1671" s="100"/>
      <c r="Z1671" s="100"/>
      <c r="AA1671" s="100"/>
    </row>
    <row r="1672" spans="2:27">
      <c r="B1672" s="100"/>
      <c r="C1672" s="100"/>
      <c r="D1672" s="100"/>
      <c r="E1672" s="100"/>
      <c r="F1672" s="100"/>
      <c r="G1672" s="100"/>
      <c r="H1672" s="100"/>
      <c r="I1672" s="100"/>
      <c r="J1672" s="100"/>
      <c r="K1672" s="100"/>
      <c r="L1672" s="100"/>
      <c r="M1672" s="100"/>
      <c r="N1672" s="100"/>
      <c r="O1672" s="100"/>
      <c r="P1672" s="100"/>
      <c r="Q1672" s="100"/>
      <c r="R1672" s="100"/>
      <c r="S1672" s="100"/>
      <c r="T1672" s="100"/>
      <c r="U1672" s="100"/>
      <c r="V1672" s="100"/>
      <c r="W1672" s="100"/>
      <c r="X1672" s="100"/>
      <c r="Y1672" s="100"/>
      <c r="Z1672" s="100"/>
      <c r="AA1672" s="100"/>
    </row>
    <row r="1673" spans="2:27">
      <c r="B1673" s="100"/>
      <c r="C1673" s="100"/>
      <c r="D1673" s="100"/>
      <c r="E1673" s="100"/>
      <c r="F1673" s="100"/>
      <c r="G1673" s="100"/>
      <c r="H1673" s="100"/>
      <c r="I1673" s="100"/>
      <c r="J1673" s="100"/>
      <c r="K1673" s="100"/>
      <c r="L1673" s="100"/>
      <c r="M1673" s="100"/>
      <c r="N1673" s="100"/>
      <c r="O1673" s="100"/>
      <c r="P1673" s="100"/>
      <c r="Q1673" s="100"/>
      <c r="R1673" s="100"/>
      <c r="S1673" s="100"/>
      <c r="T1673" s="100"/>
      <c r="U1673" s="100"/>
      <c r="V1673" s="100"/>
      <c r="W1673" s="100"/>
      <c r="X1673" s="100"/>
      <c r="Y1673" s="100"/>
      <c r="Z1673" s="100"/>
      <c r="AA1673" s="100"/>
    </row>
    <row r="1674" spans="2:27">
      <c r="B1674" s="100"/>
      <c r="C1674" s="100"/>
      <c r="D1674" s="100"/>
      <c r="E1674" s="100"/>
      <c r="F1674" s="100"/>
      <c r="G1674" s="100"/>
      <c r="H1674" s="100"/>
      <c r="I1674" s="100"/>
      <c r="J1674" s="100"/>
      <c r="K1674" s="100"/>
      <c r="L1674" s="100"/>
      <c r="M1674" s="100"/>
      <c r="N1674" s="100"/>
      <c r="O1674" s="100"/>
      <c r="P1674" s="100"/>
      <c r="Q1674" s="100"/>
      <c r="R1674" s="100"/>
      <c r="S1674" s="100"/>
      <c r="T1674" s="100"/>
      <c r="U1674" s="100"/>
      <c r="V1674" s="100"/>
      <c r="W1674" s="100"/>
      <c r="X1674" s="100"/>
      <c r="Y1674" s="100"/>
      <c r="Z1674" s="100"/>
      <c r="AA1674" s="100"/>
    </row>
    <row r="1675" spans="2:27">
      <c r="B1675" s="100"/>
      <c r="C1675" s="100"/>
      <c r="D1675" s="100"/>
      <c r="E1675" s="100"/>
      <c r="F1675" s="100"/>
      <c r="G1675" s="100"/>
      <c r="H1675" s="100"/>
      <c r="I1675" s="100"/>
      <c r="J1675" s="100"/>
      <c r="K1675" s="100"/>
      <c r="L1675" s="100"/>
      <c r="M1675" s="100"/>
      <c r="N1675" s="100"/>
      <c r="O1675" s="100"/>
      <c r="P1675" s="100"/>
      <c r="Q1675" s="100"/>
      <c r="R1675" s="100"/>
      <c r="S1675" s="100"/>
      <c r="T1675" s="100"/>
      <c r="U1675" s="100"/>
      <c r="V1675" s="100"/>
      <c r="W1675" s="100"/>
      <c r="X1675" s="100"/>
      <c r="Y1675" s="100"/>
      <c r="Z1675" s="100"/>
      <c r="AA1675" s="100"/>
    </row>
    <row r="1676" spans="2:27">
      <c r="B1676" s="100"/>
      <c r="C1676" s="100"/>
      <c r="D1676" s="100"/>
      <c r="E1676" s="100"/>
      <c r="F1676" s="100"/>
      <c r="G1676" s="100"/>
      <c r="H1676" s="100"/>
      <c r="I1676" s="100"/>
      <c r="J1676" s="100"/>
      <c r="K1676" s="100"/>
      <c r="L1676" s="100"/>
      <c r="M1676" s="100"/>
      <c r="N1676" s="100"/>
      <c r="O1676" s="100"/>
      <c r="P1676" s="100"/>
      <c r="Q1676" s="100"/>
      <c r="R1676" s="100"/>
      <c r="S1676" s="100"/>
      <c r="T1676" s="100"/>
      <c r="U1676" s="100"/>
      <c r="V1676" s="100"/>
      <c r="W1676" s="100"/>
      <c r="X1676" s="100"/>
      <c r="Y1676" s="100"/>
      <c r="Z1676" s="100"/>
      <c r="AA1676" s="100"/>
    </row>
    <row r="1677" spans="2:27">
      <c r="B1677" s="100"/>
      <c r="C1677" s="100"/>
      <c r="D1677" s="100"/>
      <c r="E1677" s="100"/>
      <c r="F1677" s="100"/>
      <c r="G1677" s="100"/>
      <c r="H1677" s="100"/>
      <c r="I1677" s="100"/>
      <c r="J1677" s="100"/>
      <c r="K1677" s="100"/>
      <c r="L1677" s="100"/>
      <c r="M1677" s="100"/>
      <c r="N1677" s="100"/>
      <c r="O1677" s="100"/>
      <c r="P1677" s="100"/>
      <c r="Q1677" s="100"/>
      <c r="R1677" s="100"/>
      <c r="S1677" s="100"/>
      <c r="T1677" s="100"/>
      <c r="U1677" s="100"/>
      <c r="V1677" s="100"/>
      <c r="W1677" s="100"/>
      <c r="X1677" s="100"/>
      <c r="Y1677" s="100"/>
      <c r="Z1677" s="100"/>
      <c r="AA1677" s="100"/>
    </row>
    <row r="1678" spans="2:27">
      <c r="B1678" s="100"/>
      <c r="C1678" s="100"/>
      <c r="D1678" s="100"/>
      <c r="E1678" s="100"/>
      <c r="F1678" s="100"/>
      <c r="G1678" s="100"/>
      <c r="H1678" s="100"/>
      <c r="I1678" s="100"/>
      <c r="J1678" s="100"/>
      <c r="K1678" s="100"/>
      <c r="L1678" s="100"/>
      <c r="M1678" s="100"/>
      <c r="N1678" s="100"/>
      <c r="O1678" s="100"/>
      <c r="P1678" s="100"/>
      <c r="Q1678" s="100"/>
      <c r="R1678" s="100"/>
      <c r="S1678" s="100"/>
      <c r="T1678" s="100"/>
      <c r="U1678" s="100"/>
      <c r="V1678" s="100"/>
      <c r="W1678" s="100"/>
      <c r="X1678" s="100"/>
      <c r="Y1678" s="100"/>
      <c r="Z1678" s="100"/>
      <c r="AA1678" s="100"/>
    </row>
    <row r="1679" spans="2:27">
      <c r="B1679" s="100"/>
      <c r="C1679" s="100"/>
      <c r="D1679" s="100"/>
      <c r="E1679" s="100"/>
      <c r="F1679" s="100"/>
      <c r="G1679" s="100"/>
      <c r="H1679" s="100"/>
      <c r="I1679" s="100"/>
      <c r="J1679" s="100"/>
      <c r="K1679" s="100"/>
      <c r="L1679" s="100"/>
      <c r="M1679" s="100"/>
      <c r="N1679" s="100"/>
      <c r="O1679" s="100"/>
      <c r="P1679" s="100"/>
      <c r="Q1679" s="100"/>
      <c r="R1679" s="100"/>
      <c r="S1679" s="100"/>
      <c r="T1679" s="100"/>
      <c r="U1679" s="100"/>
      <c r="V1679" s="100"/>
      <c r="W1679" s="100"/>
      <c r="X1679" s="100"/>
      <c r="Y1679" s="100"/>
      <c r="Z1679" s="100"/>
      <c r="AA1679" s="100"/>
    </row>
    <row r="1680" spans="2:27">
      <c r="B1680" s="100"/>
      <c r="C1680" s="100"/>
      <c r="D1680" s="100"/>
      <c r="E1680" s="100"/>
      <c r="F1680" s="100"/>
      <c r="G1680" s="100"/>
      <c r="H1680" s="100"/>
      <c r="I1680" s="100"/>
      <c r="J1680" s="100"/>
      <c r="K1680" s="100"/>
      <c r="L1680" s="100"/>
      <c r="M1680" s="100"/>
      <c r="N1680" s="100"/>
      <c r="O1680" s="100"/>
      <c r="P1680" s="100"/>
      <c r="Q1680" s="100"/>
      <c r="R1680" s="100"/>
      <c r="S1680" s="100"/>
      <c r="T1680" s="100"/>
      <c r="U1680" s="100"/>
      <c r="V1680" s="100"/>
      <c r="W1680" s="100"/>
      <c r="X1680" s="100"/>
      <c r="Y1680" s="100"/>
      <c r="Z1680" s="100"/>
      <c r="AA1680" s="100"/>
    </row>
    <row r="1681" spans="2:27">
      <c r="B1681" s="100"/>
      <c r="C1681" s="100"/>
      <c r="D1681" s="100"/>
      <c r="E1681" s="100"/>
      <c r="F1681" s="100"/>
      <c r="G1681" s="100"/>
      <c r="H1681" s="100"/>
      <c r="I1681" s="100"/>
      <c r="J1681" s="100"/>
      <c r="K1681" s="100"/>
      <c r="L1681" s="100"/>
      <c r="M1681" s="100"/>
      <c r="N1681" s="100"/>
      <c r="O1681" s="100"/>
      <c r="P1681" s="100"/>
      <c r="Q1681" s="100"/>
      <c r="R1681" s="100"/>
      <c r="S1681" s="100"/>
      <c r="T1681" s="100"/>
      <c r="U1681" s="100"/>
      <c r="V1681" s="100"/>
      <c r="W1681" s="100"/>
      <c r="X1681" s="100"/>
      <c r="Y1681" s="100"/>
      <c r="Z1681" s="100"/>
      <c r="AA1681" s="100"/>
    </row>
    <row r="1682" spans="2:27">
      <c r="B1682" s="100"/>
      <c r="C1682" s="100"/>
      <c r="D1682" s="100"/>
      <c r="E1682" s="100"/>
      <c r="F1682" s="100"/>
      <c r="G1682" s="100"/>
      <c r="H1682" s="100"/>
      <c r="I1682" s="100"/>
      <c r="J1682" s="100"/>
      <c r="K1682" s="100"/>
      <c r="L1682" s="100"/>
      <c r="M1682" s="100"/>
      <c r="N1682" s="100"/>
      <c r="O1682" s="100"/>
      <c r="P1682" s="100"/>
      <c r="Q1682" s="100"/>
      <c r="R1682" s="100"/>
      <c r="S1682" s="100"/>
      <c r="T1682" s="100"/>
      <c r="U1682" s="100"/>
      <c r="V1682" s="100"/>
      <c r="W1682" s="100"/>
      <c r="X1682" s="100"/>
      <c r="Y1682" s="100"/>
      <c r="Z1682" s="100"/>
      <c r="AA1682" s="100"/>
    </row>
    <row r="1683" spans="2:27">
      <c r="B1683" s="100"/>
      <c r="C1683" s="100"/>
      <c r="D1683" s="100"/>
      <c r="E1683" s="100"/>
      <c r="F1683" s="100"/>
      <c r="G1683" s="100"/>
      <c r="H1683" s="100"/>
      <c r="I1683" s="100"/>
      <c r="J1683" s="100"/>
      <c r="K1683" s="100"/>
      <c r="L1683" s="100"/>
      <c r="M1683" s="100"/>
      <c r="N1683" s="100"/>
      <c r="O1683" s="100"/>
      <c r="P1683" s="100"/>
      <c r="Q1683" s="100"/>
      <c r="R1683" s="100"/>
      <c r="S1683" s="100"/>
      <c r="T1683" s="100"/>
      <c r="U1683" s="100"/>
      <c r="V1683" s="100"/>
      <c r="W1683" s="100"/>
      <c r="X1683" s="100"/>
      <c r="Y1683" s="100"/>
      <c r="Z1683" s="100"/>
      <c r="AA1683" s="100"/>
    </row>
    <row r="1684" spans="2:27">
      <c r="B1684" s="100"/>
      <c r="C1684" s="100"/>
      <c r="D1684" s="100"/>
      <c r="E1684" s="100"/>
      <c r="F1684" s="100"/>
      <c r="G1684" s="100"/>
      <c r="H1684" s="100"/>
      <c r="I1684" s="100"/>
      <c r="J1684" s="100"/>
      <c r="K1684" s="100"/>
      <c r="L1684" s="100"/>
      <c r="M1684" s="100"/>
      <c r="N1684" s="100"/>
      <c r="O1684" s="100"/>
      <c r="P1684" s="100"/>
      <c r="Q1684" s="100"/>
      <c r="R1684" s="100"/>
      <c r="S1684" s="100"/>
      <c r="T1684" s="100"/>
      <c r="U1684" s="100"/>
      <c r="V1684" s="100"/>
      <c r="W1684" s="100"/>
      <c r="X1684" s="100"/>
      <c r="Y1684" s="100"/>
      <c r="Z1684" s="100"/>
      <c r="AA1684" s="100"/>
    </row>
    <row r="1685" spans="2:27">
      <c r="B1685" s="100"/>
      <c r="C1685" s="100"/>
      <c r="D1685" s="100"/>
      <c r="E1685" s="100"/>
      <c r="F1685" s="100"/>
      <c r="G1685" s="100"/>
      <c r="H1685" s="100"/>
      <c r="I1685" s="100"/>
      <c r="J1685" s="100"/>
      <c r="K1685" s="100"/>
      <c r="L1685" s="100"/>
      <c r="M1685" s="100"/>
      <c r="N1685" s="100"/>
      <c r="O1685" s="100"/>
      <c r="P1685" s="100"/>
      <c r="Q1685" s="100"/>
      <c r="R1685" s="100"/>
      <c r="S1685" s="100"/>
      <c r="T1685" s="100"/>
      <c r="U1685" s="100"/>
      <c r="V1685" s="100"/>
      <c r="W1685" s="100"/>
      <c r="X1685" s="100"/>
      <c r="Y1685" s="100"/>
      <c r="Z1685" s="100"/>
      <c r="AA1685" s="100"/>
    </row>
    <row r="1686" spans="2:27">
      <c r="B1686" s="100"/>
      <c r="C1686" s="100"/>
      <c r="D1686" s="100"/>
      <c r="E1686" s="100"/>
      <c r="F1686" s="100"/>
      <c r="G1686" s="100"/>
      <c r="H1686" s="100"/>
      <c r="I1686" s="100"/>
      <c r="J1686" s="100"/>
      <c r="K1686" s="100"/>
      <c r="L1686" s="100"/>
      <c r="M1686" s="100"/>
      <c r="N1686" s="100"/>
      <c r="O1686" s="100"/>
      <c r="P1686" s="100"/>
      <c r="Q1686" s="100"/>
      <c r="R1686" s="100"/>
      <c r="S1686" s="100"/>
      <c r="T1686" s="100"/>
      <c r="U1686" s="100"/>
      <c r="V1686" s="100"/>
      <c r="W1686" s="100"/>
      <c r="X1686" s="100"/>
      <c r="Y1686" s="100"/>
      <c r="Z1686" s="100"/>
      <c r="AA1686" s="100"/>
    </row>
    <row r="1687" spans="2:27">
      <c r="B1687" s="100"/>
      <c r="C1687" s="100"/>
      <c r="D1687" s="100"/>
      <c r="E1687" s="100"/>
      <c r="F1687" s="100"/>
      <c r="G1687" s="100"/>
      <c r="H1687" s="100"/>
      <c r="I1687" s="100"/>
      <c r="J1687" s="100"/>
      <c r="K1687" s="100"/>
      <c r="L1687" s="100"/>
      <c r="M1687" s="100"/>
      <c r="N1687" s="100"/>
      <c r="O1687" s="100"/>
      <c r="P1687" s="100"/>
      <c r="Q1687" s="100"/>
      <c r="R1687" s="100"/>
      <c r="S1687" s="100"/>
      <c r="T1687" s="100"/>
      <c r="U1687" s="100"/>
      <c r="V1687" s="100"/>
      <c r="W1687" s="100"/>
      <c r="X1687" s="100"/>
      <c r="Y1687" s="100"/>
      <c r="Z1687" s="100"/>
      <c r="AA1687" s="100"/>
    </row>
    <row r="1688" spans="2:27">
      <c r="B1688" s="100"/>
      <c r="C1688" s="100"/>
      <c r="D1688" s="100"/>
      <c r="E1688" s="100"/>
      <c r="F1688" s="100"/>
      <c r="G1688" s="100"/>
      <c r="H1688" s="100"/>
      <c r="I1688" s="100"/>
      <c r="J1688" s="100"/>
      <c r="K1688" s="100"/>
      <c r="L1688" s="100"/>
      <c r="M1688" s="100"/>
      <c r="N1688" s="100"/>
      <c r="O1688" s="100"/>
      <c r="P1688" s="100"/>
      <c r="Q1688" s="100"/>
      <c r="R1688" s="100"/>
      <c r="S1688" s="100"/>
      <c r="T1688" s="100"/>
      <c r="U1688" s="100"/>
      <c r="V1688" s="100"/>
      <c r="W1688" s="100"/>
      <c r="X1688" s="100"/>
      <c r="Y1688" s="100"/>
      <c r="Z1688" s="100"/>
      <c r="AA1688" s="100"/>
    </row>
    <row r="1689" spans="2:27">
      <c r="B1689" s="100"/>
      <c r="C1689" s="100"/>
      <c r="D1689" s="100"/>
      <c r="E1689" s="100"/>
      <c r="F1689" s="100"/>
      <c r="G1689" s="100"/>
      <c r="H1689" s="100"/>
      <c r="I1689" s="100"/>
      <c r="J1689" s="100"/>
      <c r="K1689" s="100"/>
      <c r="L1689" s="100"/>
      <c r="M1689" s="100"/>
      <c r="N1689" s="100"/>
      <c r="O1689" s="100"/>
      <c r="P1689" s="100"/>
      <c r="Q1689" s="100"/>
      <c r="R1689" s="100"/>
      <c r="S1689" s="100"/>
      <c r="T1689" s="100"/>
      <c r="U1689" s="100"/>
      <c r="V1689" s="100"/>
      <c r="W1689" s="100"/>
      <c r="X1689" s="100"/>
      <c r="Y1689" s="100"/>
      <c r="Z1689" s="100"/>
      <c r="AA1689" s="100"/>
    </row>
    <row r="1690" spans="2:27">
      <c r="B1690" s="100"/>
      <c r="C1690" s="100"/>
      <c r="D1690" s="100"/>
      <c r="E1690" s="100"/>
      <c r="F1690" s="100"/>
      <c r="G1690" s="100"/>
      <c r="H1690" s="100"/>
      <c r="I1690" s="100"/>
      <c r="J1690" s="100"/>
      <c r="K1690" s="100"/>
      <c r="L1690" s="100"/>
      <c r="M1690" s="100"/>
      <c r="N1690" s="100"/>
      <c r="O1690" s="100"/>
      <c r="P1690" s="100"/>
      <c r="Q1690" s="100"/>
      <c r="R1690" s="100"/>
      <c r="S1690" s="100"/>
      <c r="T1690" s="100"/>
      <c r="U1690" s="100"/>
      <c r="V1690" s="100"/>
      <c r="W1690" s="100"/>
      <c r="X1690" s="100"/>
      <c r="Y1690" s="100"/>
      <c r="Z1690" s="100"/>
      <c r="AA1690" s="100"/>
    </row>
    <row r="1691" spans="2:27">
      <c r="B1691" s="100"/>
      <c r="C1691" s="100"/>
      <c r="D1691" s="100"/>
      <c r="E1691" s="100"/>
      <c r="F1691" s="100"/>
      <c r="G1691" s="100"/>
      <c r="H1691" s="100"/>
      <c r="I1691" s="100"/>
      <c r="J1691" s="100"/>
      <c r="K1691" s="100"/>
      <c r="L1691" s="100"/>
      <c r="M1691" s="100"/>
      <c r="N1691" s="100"/>
      <c r="O1691" s="100"/>
      <c r="P1691" s="100"/>
      <c r="Q1691" s="100"/>
      <c r="R1691" s="100"/>
      <c r="S1691" s="100"/>
      <c r="T1691" s="100"/>
      <c r="U1691" s="100"/>
      <c r="V1691" s="100"/>
      <c r="W1691" s="100"/>
      <c r="X1691" s="100"/>
      <c r="Y1691" s="100"/>
      <c r="Z1691" s="100"/>
      <c r="AA1691" s="100"/>
    </row>
    <row r="1692" spans="2:27">
      <c r="B1692" s="100"/>
      <c r="C1692" s="100"/>
      <c r="D1692" s="100"/>
      <c r="E1692" s="100"/>
      <c r="F1692" s="100"/>
      <c r="G1692" s="100"/>
      <c r="H1692" s="100"/>
      <c r="I1692" s="100"/>
      <c r="J1692" s="100"/>
      <c r="K1692" s="100"/>
      <c r="L1692" s="100"/>
      <c r="M1692" s="100"/>
      <c r="N1692" s="100"/>
      <c r="O1692" s="100"/>
      <c r="P1692" s="100"/>
      <c r="Q1692" s="100"/>
      <c r="R1692" s="100"/>
      <c r="S1692" s="100"/>
      <c r="T1692" s="100"/>
      <c r="U1692" s="100"/>
      <c r="V1692" s="100"/>
      <c r="W1692" s="100"/>
      <c r="X1692" s="100"/>
      <c r="Y1692" s="100"/>
      <c r="Z1692" s="100"/>
      <c r="AA1692" s="100"/>
    </row>
    <row r="1693" spans="2:27">
      <c r="B1693" s="100"/>
      <c r="C1693" s="100"/>
      <c r="D1693" s="100"/>
      <c r="E1693" s="100"/>
      <c r="F1693" s="100"/>
      <c r="G1693" s="100"/>
      <c r="H1693" s="100"/>
      <c r="I1693" s="100"/>
      <c r="J1693" s="100"/>
      <c r="K1693" s="100"/>
      <c r="L1693" s="100"/>
      <c r="M1693" s="100"/>
      <c r="N1693" s="100"/>
      <c r="O1693" s="100"/>
      <c r="P1693" s="100"/>
      <c r="Q1693" s="100"/>
      <c r="R1693" s="100"/>
      <c r="S1693" s="100"/>
      <c r="T1693" s="100"/>
      <c r="U1693" s="100"/>
      <c r="V1693" s="100"/>
      <c r="W1693" s="100"/>
      <c r="X1693" s="100"/>
      <c r="Y1693" s="100"/>
      <c r="Z1693" s="100"/>
      <c r="AA1693" s="100"/>
    </row>
    <row r="1694" spans="2:27">
      <c r="B1694" s="100"/>
      <c r="C1694" s="100"/>
      <c r="D1694" s="100"/>
      <c r="E1694" s="100"/>
      <c r="F1694" s="100"/>
      <c r="G1694" s="100"/>
      <c r="H1694" s="100"/>
      <c r="I1694" s="100"/>
      <c r="J1694" s="100"/>
      <c r="K1694" s="100"/>
      <c r="L1694" s="100"/>
      <c r="M1694" s="100"/>
      <c r="N1694" s="100"/>
      <c r="O1694" s="100"/>
      <c r="P1694" s="100"/>
      <c r="Q1694" s="100"/>
      <c r="R1694" s="100"/>
      <c r="S1694" s="100"/>
      <c r="T1694" s="100"/>
      <c r="U1694" s="100"/>
      <c r="V1694" s="100"/>
      <c r="W1694" s="100"/>
      <c r="X1694" s="100"/>
      <c r="Y1694" s="100"/>
      <c r="Z1694" s="100"/>
      <c r="AA1694" s="100"/>
    </row>
    <row r="1695" spans="2:27">
      <c r="B1695" s="100"/>
      <c r="C1695" s="100"/>
      <c r="D1695" s="100"/>
      <c r="E1695" s="100"/>
      <c r="F1695" s="100"/>
      <c r="G1695" s="100"/>
      <c r="H1695" s="100"/>
      <c r="I1695" s="100"/>
      <c r="J1695" s="100"/>
      <c r="K1695" s="100"/>
      <c r="L1695" s="100"/>
      <c r="M1695" s="100"/>
      <c r="N1695" s="100"/>
      <c r="O1695" s="100"/>
      <c r="P1695" s="100"/>
      <c r="Q1695" s="100"/>
      <c r="R1695" s="100"/>
      <c r="S1695" s="100"/>
      <c r="T1695" s="100"/>
      <c r="U1695" s="100"/>
      <c r="V1695" s="100"/>
      <c r="W1695" s="100"/>
      <c r="X1695" s="100"/>
      <c r="Y1695" s="100"/>
      <c r="Z1695" s="100"/>
      <c r="AA1695" s="100"/>
    </row>
    <row r="1696" spans="2:27">
      <c r="B1696" s="100"/>
      <c r="C1696" s="100"/>
      <c r="D1696" s="100"/>
      <c r="E1696" s="100"/>
      <c r="F1696" s="100"/>
      <c r="G1696" s="100"/>
      <c r="H1696" s="100"/>
      <c r="I1696" s="100"/>
      <c r="J1696" s="100"/>
      <c r="K1696" s="100"/>
      <c r="L1696" s="100"/>
      <c r="M1696" s="100"/>
      <c r="N1696" s="100"/>
      <c r="O1696" s="100"/>
      <c r="P1696" s="100"/>
      <c r="Q1696" s="100"/>
      <c r="R1696" s="100"/>
      <c r="S1696" s="100"/>
      <c r="T1696" s="100"/>
      <c r="U1696" s="100"/>
      <c r="V1696" s="100"/>
      <c r="W1696" s="100"/>
      <c r="X1696" s="100"/>
      <c r="Y1696" s="100"/>
      <c r="Z1696" s="100"/>
      <c r="AA1696" s="100"/>
    </row>
    <row r="1697" spans="2:27">
      <c r="B1697" s="100"/>
      <c r="C1697" s="100"/>
      <c r="D1697" s="100"/>
      <c r="E1697" s="100"/>
      <c r="F1697" s="100"/>
      <c r="G1697" s="100"/>
      <c r="H1697" s="100"/>
      <c r="I1697" s="100"/>
      <c r="J1697" s="100"/>
      <c r="K1697" s="100"/>
      <c r="L1697" s="100"/>
      <c r="M1697" s="100"/>
      <c r="N1697" s="100"/>
      <c r="O1697" s="100"/>
      <c r="P1697" s="100"/>
      <c r="Q1697" s="100"/>
      <c r="R1697" s="100"/>
      <c r="S1697" s="100"/>
      <c r="T1697" s="100"/>
      <c r="U1697" s="100"/>
      <c r="V1697" s="100"/>
      <c r="W1697" s="100"/>
      <c r="X1697" s="100"/>
      <c r="Y1697" s="100"/>
      <c r="Z1697" s="100"/>
      <c r="AA1697" s="100"/>
    </row>
    <row r="1698" spans="2:27">
      <c r="B1698" s="100"/>
      <c r="C1698" s="100"/>
      <c r="D1698" s="100"/>
      <c r="E1698" s="100"/>
      <c r="F1698" s="100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  <c r="AA1698" s="100"/>
    </row>
    <row r="1699" spans="2:27">
      <c r="B1699" s="100"/>
      <c r="C1699" s="100"/>
      <c r="D1699" s="100"/>
      <c r="E1699" s="100"/>
      <c r="F1699" s="100"/>
      <c r="G1699" s="100"/>
      <c r="H1699" s="100"/>
      <c r="I1699" s="100"/>
      <c r="J1699" s="100"/>
      <c r="K1699" s="100"/>
      <c r="L1699" s="100"/>
      <c r="M1699" s="100"/>
      <c r="N1699" s="100"/>
      <c r="O1699" s="100"/>
      <c r="P1699" s="100"/>
      <c r="Q1699" s="100"/>
      <c r="R1699" s="100"/>
      <c r="S1699" s="100"/>
      <c r="T1699" s="100"/>
      <c r="U1699" s="100"/>
      <c r="V1699" s="100"/>
      <c r="W1699" s="100"/>
      <c r="X1699" s="100"/>
      <c r="Y1699" s="100"/>
      <c r="Z1699" s="100"/>
      <c r="AA1699" s="100"/>
    </row>
    <row r="1700" spans="2:27">
      <c r="B1700" s="100"/>
      <c r="C1700" s="100"/>
      <c r="D1700" s="100"/>
      <c r="E1700" s="100"/>
      <c r="F1700" s="100"/>
      <c r="G1700" s="100"/>
      <c r="H1700" s="100"/>
      <c r="I1700" s="100"/>
      <c r="J1700" s="100"/>
      <c r="K1700" s="100"/>
      <c r="L1700" s="100"/>
      <c r="M1700" s="100"/>
      <c r="N1700" s="100"/>
      <c r="O1700" s="100"/>
      <c r="P1700" s="100"/>
      <c r="Q1700" s="100"/>
      <c r="R1700" s="100"/>
      <c r="S1700" s="100"/>
      <c r="T1700" s="100"/>
      <c r="U1700" s="100"/>
      <c r="V1700" s="100"/>
      <c r="W1700" s="100"/>
      <c r="X1700" s="100"/>
      <c r="Y1700" s="100"/>
      <c r="Z1700" s="100"/>
      <c r="AA1700" s="100"/>
    </row>
    <row r="1701" spans="2:27">
      <c r="B1701" s="100"/>
      <c r="C1701" s="100"/>
      <c r="D1701" s="100"/>
      <c r="E1701" s="100"/>
      <c r="F1701" s="100"/>
      <c r="G1701" s="100"/>
      <c r="H1701" s="100"/>
      <c r="I1701" s="100"/>
      <c r="J1701" s="100"/>
      <c r="K1701" s="100"/>
      <c r="L1701" s="100"/>
      <c r="M1701" s="100"/>
      <c r="N1701" s="100"/>
      <c r="O1701" s="100"/>
      <c r="P1701" s="100"/>
      <c r="Q1701" s="100"/>
      <c r="R1701" s="100"/>
      <c r="S1701" s="100"/>
      <c r="T1701" s="100"/>
      <c r="U1701" s="100"/>
      <c r="V1701" s="100"/>
      <c r="W1701" s="100"/>
      <c r="X1701" s="100"/>
      <c r="Y1701" s="100"/>
      <c r="Z1701" s="100"/>
      <c r="AA1701" s="100"/>
    </row>
    <row r="1702" spans="2:27">
      <c r="B1702" s="100"/>
      <c r="C1702" s="100"/>
      <c r="D1702" s="100"/>
      <c r="E1702" s="100"/>
      <c r="F1702" s="100"/>
      <c r="G1702" s="100"/>
      <c r="H1702" s="100"/>
      <c r="I1702" s="100"/>
      <c r="J1702" s="100"/>
      <c r="K1702" s="100"/>
      <c r="L1702" s="100"/>
      <c r="M1702" s="100"/>
      <c r="N1702" s="100"/>
      <c r="O1702" s="100"/>
      <c r="P1702" s="100"/>
      <c r="Q1702" s="100"/>
      <c r="R1702" s="100"/>
      <c r="S1702" s="100"/>
      <c r="T1702" s="100"/>
      <c r="U1702" s="100"/>
      <c r="V1702" s="100"/>
      <c r="W1702" s="100"/>
      <c r="X1702" s="100"/>
      <c r="Y1702" s="100"/>
      <c r="Z1702" s="100"/>
      <c r="AA1702" s="100"/>
    </row>
    <row r="1703" spans="2:27">
      <c r="B1703" s="100"/>
      <c r="C1703" s="100"/>
      <c r="D1703" s="100"/>
      <c r="E1703" s="100"/>
      <c r="F1703" s="100"/>
      <c r="G1703" s="100"/>
      <c r="H1703" s="100"/>
      <c r="I1703" s="100"/>
      <c r="J1703" s="100"/>
      <c r="K1703" s="100"/>
      <c r="L1703" s="100"/>
      <c r="M1703" s="100"/>
      <c r="N1703" s="100"/>
      <c r="O1703" s="100"/>
      <c r="P1703" s="100"/>
      <c r="Q1703" s="100"/>
      <c r="R1703" s="100"/>
      <c r="S1703" s="100"/>
      <c r="T1703" s="100"/>
      <c r="U1703" s="100"/>
      <c r="V1703" s="100"/>
      <c r="W1703" s="100"/>
      <c r="X1703" s="100"/>
      <c r="Y1703" s="100"/>
      <c r="Z1703" s="100"/>
      <c r="AA1703" s="100"/>
    </row>
    <row r="1704" spans="2:27">
      <c r="B1704" s="100"/>
      <c r="C1704" s="100"/>
      <c r="D1704" s="100"/>
      <c r="E1704" s="100"/>
      <c r="F1704" s="100"/>
      <c r="G1704" s="100"/>
      <c r="H1704" s="100"/>
      <c r="I1704" s="100"/>
      <c r="J1704" s="100"/>
      <c r="K1704" s="100"/>
      <c r="L1704" s="100"/>
      <c r="M1704" s="100"/>
      <c r="N1704" s="100"/>
      <c r="O1704" s="100"/>
      <c r="P1704" s="100"/>
      <c r="Q1704" s="100"/>
      <c r="R1704" s="100"/>
      <c r="S1704" s="100"/>
      <c r="T1704" s="100"/>
      <c r="U1704" s="100"/>
      <c r="V1704" s="100"/>
      <c r="W1704" s="100"/>
      <c r="X1704" s="100"/>
      <c r="Y1704" s="100"/>
      <c r="Z1704" s="100"/>
      <c r="AA1704" s="100"/>
    </row>
    <row r="1705" spans="2:27">
      <c r="B1705" s="100"/>
      <c r="C1705" s="100"/>
      <c r="D1705" s="100"/>
      <c r="E1705" s="100"/>
      <c r="F1705" s="100"/>
      <c r="G1705" s="100"/>
      <c r="H1705" s="100"/>
      <c r="I1705" s="100"/>
      <c r="J1705" s="100"/>
      <c r="K1705" s="100"/>
      <c r="L1705" s="100"/>
      <c r="M1705" s="100"/>
      <c r="N1705" s="100"/>
      <c r="O1705" s="100"/>
      <c r="P1705" s="100"/>
      <c r="Q1705" s="100"/>
      <c r="R1705" s="100"/>
      <c r="S1705" s="100"/>
      <c r="T1705" s="100"/>
      <c r="U1705" s="100"/>
      <c r="V1705" s="100"/>
      <c r="W1705" s="100"/>
      <c r="X1705" s="100"/>
      <c r="Y1705" s="100"/>
      <c r="Z1705" s="100"/>
      <c r="AA1705" s="100"/>
    </row>
    <row r="1706" spans="2:27">
      <c r="B1706" s="100"/>
      <c r="C1706" s="100"/>
      <c r="D1706" s="100"/>
      <c r="E1706" s="100"/>
      <c r="F1706" s="100"/>
      <c r="G1706" s="100"/>
      <c r="H1706" s="100"/>
      <c r="I1706" s="100"/>
      <c r="J1706" s="100"/>
      <c r="K1706" s="100"/>
      <c r="L1706" s="100"/>
      <c r="M1706" s="100"/>
      <c r="N1706" s="100"/>
      <c r="O1706" s="100"/>
      <c r="P1706" s="100"/>
      <c r="Q1706" s="100"/>
      <c r="R1706" s="100"/>
      <c r="S1706" s="100"/>
      <c r="T1706" s="100"/>
      <c r="U1706" s="100"/>
      <c r="V1706" s="100"/>
      <c r="W1706" s="100"/>
      <c r="X1706" s="100"/>
      <c r="Y1706" s="100"/>
      <c r="Z1706" s="100"/>
      <c r="AA1706" s="100"/>
    </row>
    <row r="1707" spans="2:27">
      <c r="B1707" s="100"/>
      <c r="C1707" s="100"/>
      <c r="D1707" s="100"/>
      <c r="E1707" s="100"/>
      <c r="F1707" s="100"/>
      <c r="G1707" s="100"/>
      <c r="H1707" s="100"/>
      <c r="I1707" s="100"/>
      <c r="J1707" s="100"/>
      <c r="K1707" s="100"/>
      <c r="L1707" s="100"/>
      <c r="M1707" s="100"/>
      <c r="N1707" s="100"/>
      <c r="O1707" s="100"/>
      <c r="P1707" s="100"/>
      <c r="Q1707" s="100"/>
      <c r="R1707" s="100"/>
      <c r="S1707" s="100"/>
      <c r="T1707" s="100"/>
      <c r="U1707" s="100"/>
      <c r="V1707" s="100"/>
      <c r="W1707" s="100"/>
      <c r="X1707" s="100"/>
      <c r="Y1707" s="100"/>
      <c r="Z1707" s="100"/>
      <c r="AA1707" s="100"/>
    </row>
    <row r="1708" spans="2:27">
      <c r="B1708" s="100"/>
      <c r="C1708" s="100"/>
      <c r="D1708" s="100"/>
      <c r="E1708" s="100"/>
      <c r="F1708" s="100"/>
      <c r="G1708" s="100"/>
      <c r="H1708" s="100"/>
      <c r="I1708" s="100"/>
      <c r="J1708" s="100"/>
      <c r="K1708" s="100"/>
      <c r="L1708" s="100"/>
      <c r="M1708" s="100"/>
      <c r="N1708" s="100"/>
      <c r="O1708" s="100"/>
      <c r="P1708" s="100"/>
      <c r="Q1708" s="100"/>
      <c r="R1708" s="100"/>
      <c r="S1708" s="100"/>
      <c r="T1708" s="100"/>
      <c r="U1708" s="100"/>
      <c r="V1708" s="100"/>
      <c r="W1708" s="100"/>
      <c r="X1708" s="100"/>
      <c r="Y1708" s="100"/>
      <c r="Z1708" s="100"/>
      <c r="AA1708" s="100"/>
    </row>
    <row r="1709" spans="2:27">
      <c r="B1709" s="100"/>
      <c r="C1709" s="100"/>
      <c r="D1709" s="100"/>
      <c r="E1709" s="100"/>
      <c r="F1709" s="100"/>
      <c r="G1709" s="100"/>
      <c r="H1709" s="100"/>
      <c r="I1709" s="100"/>
      <c r="J1709" s="100"/>
      <c r="K1709" s="100"/>
      <c r="L1709" s="100"/>
      <c r="M1709" s="100"/>
      <c r="N1709" s="100"/>
      <c r="O1709" s="100"/>
      <c r="P1709" s="100"/>
      <c r="Q1709" s="100"/>
      <c r="R1709" s="100"/>
      <c r="S1709" s="100"/>
      <c r="T1709" s="100"/>
      <c r="U1709" s="100"/>
      <c r="V1709" s="100"/>
      <c r="W1709" s="100"/>
      <c r="X1709" s="100"/>
      <c r="Y1709" s="100"/>
      <c r="Z1709" s="100"/>
      <c r="AA1709" s="100"/>
    </row>
    <row r="1710" spans="2:27">
      <c r="B1710" s="100"/>
      <c r="C1710" s="100"/>
      <c r="D1710" s="100"/>
      <c r="E1710" s="100"/>
      <c r="F1710" s="100"/>
      <c r="G1710" s="100"/>
      <c r="H1710" s="100"/>
      <c r="I1710" s="100"/>
      <c r="J1710" s="100"/>
      <c r="K1710" s="100"/>
      <c r="L1710" s="100"/>
      <c r="M1710" s="100"/>
      <c r="N1710" s="100"/>
      <c r="O1710" s="100"/>
      <c r="P1710" s="100"/>
      <c r="Q1710" s="100"/>
      <c r="R1710" s="100"/>
      <c r="S1710" s="100"/>
      <c r="T1710" s="100"/>
      <c r="U1710" s="100"/>
      <c r="V1710" s="100"/>
      <c r="W1710" s="100"/>
      <c r="X1710" s="100"/>
      <c r="Y1710" s="100"/>
      <c r="Z1710" s="100"/>
      <c r="AA1710" s="100"/>
    </row>
    <row r="1711" spans="2:27">
      <c r="B1711" s="100"/>
      <c r="C1711" s="100"/>
      <c r="D1711" s="100"/>
      <c r="E1711" s="100"/>
      <c r="F1711" s="100"/>
      <c r="G1711" s="100"/>
      <c r="H1711" s="100"/>
      <c r="I1711" s="100"/>
      <c r="J1711" s="100"/>
      <c r="K1711" s="100"/>
      <c r="L1711" s="100"/>
      <c r="M1711" s="100"/>
      <c r="N1711" s="100"/>
      <c r="O1711" s="100"/>
      <c r="P1711" s="100"/>
      <c r="Q1711" s="100"/>
      <c r="R1711" s="100"/>
      <c r="S1711" s="100"/>
      <c r="T1711" s="100"/>
      <c r="U1711" s="100"/>
      <c r="V1711" s="100"/>
      <c r="W1711" s="100"/>
      <c r="X1711" s="100"/>
      <c r="Y1711" s="100"/>
      <c r="Z1711" s="100"/>
      <c r="AA1711" s="100"/>
    </row>
    <row r="1712" spans="2:27">
      <c r="B1712" s="100"/>
      <c r="C1712" s="100"/>
      <c r="D1712" s="100"/>
      <c r="E1712" s="100"/>
      <c r="F1712" s="100"/>
      <c r="G1712" s="100"/>
      <c r="H1712" s="100"/>
      <c r="I1712" s="100"/>
      <c r="J1712" s="100"/>
      <c r="K1712" s="100"/>
      <c r="L1712" s="100"/>
      <c r="M1712" s="100"/>
      <c r="N1712" s="100"/>
      <c r="O1712" s="100"/>
      <c r="P1712" s="100"/>
      <c r="Q1712" s="100"/>
      <c r="R1712" s="100"/>
      <c r="S1712" s="100"/>
      <c r="T1712" s="100"/>
      <c r="U1712" s="100"/>
      <c r="V1712" s="100"/>
      <c r="W1712" s="100"/>
      <c r="X1712" s="100"/>
      <c r="Y1712" s="100"/>
      <c r="Z1712" s="100"/>
      <c r="AA1712" s="100"/>
    </row>
    <row r="1713" spans="2:27">
      <c r="B1713" s="100"/>
      <c r="C1713" s="100"/>
      <c r="D1713" s="100"/>
      <c r="E1713" s="100"/>
      <c r="F1713" s="100"/>
      <c r="G1713" s="100"/>
      <c r="H1713" s="100"/>
      <c r="I1713" s="100"/>
      <c r="J1713" s="100"/>
      <c r="K1713" s="100"/>
      <c r="L1713" s="100"/>
      <c r="M1713" s="100"/>
      <c r="N1713" s="100"/>
      <c r="O1713" s="100"/>
      <c r="P1713" s="100"/>
      <c r="Q1713" s="100"/>
      <c r="R1713" s="100"/>
      <c r="S1713" s="100"/>
      <c r="T1713" s="100"/>
      <c r="U1713" s="100"/>
      <c r="V1713" s="100"/>
      <c r="W1713" s="100"/>
      <c r="X1713" s="100"/>
      <c r="Y1713" s="100"/>
      <c r="Z1713" s="100"/>
      <c r="AA1713" s="100"/>
    </row>
    <row r="1714" spans="2:27">
      <c r="B1714" s="100"/>
      <c r="C1714" s="100"/>
      <c r="D1714" s="100"/>
      <c r="E1714" s="100"/>
      <c r="F1714" s="100"/>
      <c r="G1714" s="100"/>
      <c r="H1714" s="100"/>
      <c r="I1714" s="100"/>
      <c r="J1714" s="100"/>
      <c r="K1714" s="100"/>
      <c r="L1714" s="100"/>
      <c r="M1714" s="100"/>
      <c r="N1714" s="100"/>
      <c r="O1714" s="100"/>
      <c r="P1714" s="100"/>
      <c r="Q1714" s="100"/>
      <c r="R1714" s="100"/>
      <c r="S1714" s="100"/>
      <c r="T1714" s="100"/>
      <c r="U1714" s="100"/>
      <c r="V1714" s="100"/>
      <c r="W1714" s="100"/>
      <c r="X1714" s="100"/>
      <c r="Y1714" s="100"/>
      <c r="Z1714" s="100"/>
      <c r="AA1714" s="100"/>
    </row>
    <row r="1715" spans="2:27">
      <c r="B1715" s="100"/>
      <c r="C1715" s="100"/>
      <c r="D1715" s="100"/>
      <c r="E1715" s="100"/>
      <c r="F1715" s="100"/>
      <c r="G1715" s="100"/>
      <c r="H1715" s="100"/>
      <c r="I1715" s="100"/>
      <c r="J1715" s="100"/>
      <c r="K1715" s="100"/>
      <c r="L1715" s="100"/>
      <c r="M1715" s="100"/>
      <c r="N1715" s="100"/>
      <c r="O1715" s="100"/>
      <c r="P1715" s="100"/>
      <c r="Q1715" s="100"/>
      <c r="R1715" s="100"/>
      <c r="S1715" s="100"/>
      <c r="T1715" s="100"/>
      <c r="U1715" s="100"/>
      <c r="V1715" s="100"/>
      <c r="W1715" s="100"/>
      <c r="X1715" s="100"/>
      <c r="Y1715" s="100"/>
      <c r="Z1715" s="100"/>
      <c r="AA1715" s="100"/>
    </row>
    <row r="1716" spans="2:27">
      <c r="B1716" s="100"/>
      <c r="C1716" s="100"/>
      <c r="D1716" s="100"/>
      <c r="E1716" s="100"/>
      <c r="F1716" s="100"/>
      <c r="G1716" s="100"/>
      <c r="H1716" s="100"/>
      <c r="I1716" s="100"/>
      <c r="J1716" s="100"/>
      <c r="K1716" s="100"/>
      <c r="L1716" s="100"/>
      <c r="M1716" s="100"/>
      <c r="N1716" s="100"/>
      <c r="O1716" s="100"/>
      <c r="P1716" s="100"/>
      <c r="Q1716" s="100"/>
      <c r="R1716" s="100"/>
      <c r="S1716" s="100"/>
      <c r="T1716" s="100"/>
      <c r="U1716" s="100"/>
      <c r="V1716" s="100"/>
      <c r="W1716" s="100"/>
      <c r="X1716" s="100"/>
      <c r="Y1716" s="100"/>
      <c r="Z1716" s="100"/>
      <c r="AA1716" s="100"/>
    </row>
    <row r="1717" spans="2:27">
      <c r="B1717" s="100"/>
      <c r="C1717" s="100"/>
      <c r="D1717" s="100"/>
      <c r="E1717" s="100"/>
      <c r="F1717" s="100"/>
      <c r="G1717" s="100"/>
      <c r="H1717" s="100"/>
      <c r="I1717" s="100"/>
      <c r="J1717" s="100"/>
      <c r="K1717" s="100"/>
      <c r="L1717" s="100"/>
      <c r="M1717" s="100"/>
      <c r="N1717" s="100"/>
      <c r="O1717" s="100"/>
      <c r="P1717" s="100"/>
      <c r="Q1717" s="100"/>
      <c r="R1717" s="100"/>
      <c r="S1717" s="100"/>
      <c r="T1717" s="100"/>
      <c r="U1717" s="100"/>
      <c r="V1717" s="100"/>
      <c r="W1717" s="100"/>
      <c r="X1717" s="100"/>
      <c r="Y1717" s="100"/>
      <c r="Z1717" s="100"/>
      <c r="AA1717" s="100"/>
    </row>
    <row r="1718" spans="2:27">
      <c r="B1718" s="100"/>
      <c r="C1718" s="100"/>
      <c r="D1718" s="100"/>
      <c r="E1718" s="100"/>
      <c r="F1718" s="100"/>
      <c r="G1718" s="100"/>
      <c r="H1718" s="100"/>
      <c r="I1718" s="100"/>
      <c r="J1718" s="100"/>
      <c r="K1718" s="100"/>
      <c r="L1718" s="100"/>
      <c r="M1718" s="100"/>
      <c r="N1718" s="100"/>
      <c r="O1718" s="100"/>
      <c r="P1718" s="100"/>
      <c r="Q1718" s="100"/>
      <c r="R1718" s="100"/>
      <c r="S1718" s="100"/>
      <c r="T1718" s="100"/>
      <c r="U1718" s="100"/>
      <c r="V1718" s="100"/>
      <c r="W1718" s="100"/>
      <c r="X1718" s="100"/>
      <c r="Y1718" s="100"/>
      <c r="Z1718" s="100"/>
      <c r="AA1718" s="100"/>
    </row>
    <row r="1719" spans="2:27">
      <c r="B1719" s="100"/>
      <c r="C1719" s="100"/>
      <c r="D1719" s="100"/>
      <c r="E1719" s="100"/>
      <c r="F1719" s="100"/>
      <c r="G1719" s="100"/>
      <c r="H1719" s="100"/>
      <c r="I1719" s="100"/>
      <c r="J1719" s="100"/>
      <c r="K1719" s="100"/>
      <c r="L1719" s="100"/>
      <c r="M1719" s="100"/>
      <c r="N1719" s="100"/>
      <c r="O1719" s="100"/>
      <c r="P1719" s="100"/>
      <c r="Q1719" s="100"/>
      <c r="R1719" s="100"/>
      <c r="S1719" s="100"/>
      <c r="T1719" s="100"/>
      <c r="U1719" s="100"/>
      <c r="V1719" s="100"/>
      <c r="W1719" s="100"/>
      <c r="X1719" s="100"/>
      <c r="Y1719" s="100"/>
      <c r="Z1719" s="100"/>
      <c r="AA1719" s="100"/>
    </row>
    <row r="1720" spans="2:27">
      <c r="B1720" s="100"/>
      <c r="C1720" s="100"/>
      <c r="D1720" s="100"/>
      <c r="E1720" s="100"/>
      <c r="F1720" s="100"/>
      <c r="G1720" s="100"/>
      <c r="H1720" s="100"/>
      <c r="I1720" s="100"/>
      <c r="J1720" s="100"/>
      <c r="K1720" s="100"/>
      <c r="L1720" s="100"/>
      <c r="M1720" s="100"/>
      <c r="N1720" s="100"/>
      <c r="O1720" s="100"/>
      <c r="P1720" s="100"/>
      <c r="Q1720" s="100"/>
      <c r="R1720" s="100"/>
      <c r="S1720" s="100"/>
      <c r="T1720" s="100"/>
      <c r="U1720" s="100"/>
      <c r="V1720" s="100"/>
      <c r="W1720" s="100"/>
      <c r="X1720" s="100"/>
      <c r="Y1720" s="100"/>
      <c r="Z1720" s="100"/>
      <c r="AA1720" s="100"/>
    </row>
    <row r="1721" spans="2:27">
      <c r="B1721" s="100"/>
      <c r="C1721" s="100"/>
      <c r="D1721" s="100"/>
      <c r="E1721" s="100"/>
      <c r="F1721" s="100"/>
      <c r="G1721" s="100"/>
      <c r="H1721" s="100"/>
      <c r="I1721" s="100"/>
      <c r="J1721" s="100"/>
      <c r="K1721" s="100"/>
      <c r="L1721" s="100"/>
      <c r="M1721" s="100"/>
      <c r="N1721" s="100"/>
      <c r="O1721" s="100"/>
      <c r="P1721" s="100"/>
      <c r="Q1721" s="100"/>
      <c r="R1721" s="100"/>
      <c r="S1721" s="100"/>
      <c r="T1721" s="100"/>
      <c r="U1721" s="100"/>
      <c r="V1721" s="100"/>
      <c r="W1721" s="100"/>
      <c r="X1721" s="100"/>
      <c r="Y1721" s="100"/>
      <c r="Z1721" s="100"/>
      <c r="AA1721" s="100"/>
    </row>
    <row r="1722" spans="2:27">
      <c r="B1722" s="100"/>
      <c r="C1722" s="100"/>
      <c r="D1722" s="100"/>
      <c r="E1722" s="100"/>
      <c r="F1722" s="100"/>
      <c r="G1722" s="100"/>
      <c r="H1722" s="100"/>
      <c r="I1722" s="100"/>
      <c r="J1722" s="100"/>
      <c r="K1722" s="100"/>
      <c r="L1722" s="100"/>
      <c r="M1722" s="100"/>
      <c r="N1722" s="100"/>
      <c r="O1722" s="100"/>
      <c r="P1722" s="100"/>
      <c r="Q1722" s="100"/>
      <c r="R1722" s="100"/>
      <c r="S1722" s="100"/>
      <c r="T1722" s="100"/>
      <c r="U1722" s="100"/>
      <c r="V1722" s="100"/>
      <c r="W1722" s="100"/>
      <c r="X1722" s="100"/>
      <c r="Y1722" s="100"/>
      <c r="Z1722" s="100"/>
      <c r="AA1722" s="100"/>
    </row>
    <row r="1723" spans="2:27">
      <c r="B1723" s="100"/>
      <c r="C1723" s="100"/>
      <c r="D1723" s="100"/>
      <c r="E1723" s="100"/>
      <c r="F1723" s="100"/>
      <c r="G1723" s="100"/>
      <c r="H1723" s="100"/>
      <c r="I1723" s="100"/>
      <c r="J1723" s="100"/>
      <c r="K1723" s="100"/>
      <c r="L1723" s="100"/>
      <c r="M1723" s="100"/>
      <c r="N1723" s="100"/>
      <c r="O1723" s="100"/>
      <c r="P1723" s="100"/>
      <c r="Q1723" s="100"/>
      <c r="R1723" s="100"/>
      <c r="S1723" s="100"/>
      <c r="T1723" s="100"/>
      <c r="U1723" s="100"/>
      <c r="V1723" s="100"/>
      <c r="W1723" s="100"/>
      <c r="X1723" s="100"/>
      <c r="Y1723" s="100"/>
      <c r="Z1723" s="100"/>
      <c r="AA1723" s="100"/>
    </row>
    <row r="1724" spans="2:27">
      <c r="B1724" s="100"/>
      <c r="C1724" s="100"/>
      <c r="D1724" s="100"/>
      <c r="E1724" s="100"/>
      <c r="F1724" s="100"/>
      <c r="G1724" s="100"/>
      <c r="H1724" s="100"/>
      <c r="I1724" s="100"/>
      <c r="J1724" s="100"/>
      <c r="K1724" s="100"/>
      <c r="L1724" s="100"/>
      <c r="M1724" s="100"/>
      <c r="N1724" s="100"/>
      <c r="O1724" s="100"/>
      <c r="P1724" s="100"/>
      <c r="Q1724" s="100"/>
      <c r="R1724" s="100"/>
      <c r="S1724" s="100"/>
      <c r="T1724" s="100"/>
      <c r="U1724" s="100"/>
      <c r="V1724" s="100"/>
      <c r="W1724" s="100"/>
      <c r="X1724" s="100"/>
      <c r="Y1724" s="100"/>
      <c r="Z1724" s="100"/>
      <c r="AA1724" s="100"/>
    </row>
    <row r="1725" spans="2:27">
      <c r="B1725" s="100"/>
      <c r="C1725" s="100"/>
      <c r="D1725" s="100"/>
      <c r="E1725" s="100"/>
      <c r="F1725" s="100"/>
      <c r="G1725" s="100"/>
      <c r="H1725" s="100"/>
      <c r="I1725" s="100"/>
      <c r="J1725" s="100"/>
      <c r="K1725" s="100"/>
      <c r="L1725" s="100"/>
      <c r="M1725" s="100"/>
      <c r="N1725" s="100"/>
      <c r="O1725" s="100"/>
      <c r="P1725" s="100"/>
      <c r="Q1725" s="100"/>
      <c r="R1725" s="100"/>
      <c r="S1725" s="100"/>
      <c r="T1725" s="100"/>
      <c r="U1725" s="100"/>
      <c r="V1725" s="100"/>
      <c r="W1725" s="100"/>
      <c r="X1725" s="100"/>
      <c r="Y1725" s="100"/>
      <c r="Z1725" s="100"/>
      <c r="AA1725" s="100"/>
    </row>
    <row r="1726" spans="2:27">
      <c r="B1726" s="100"/>
      <c r="C1726" s="100"/>
      <c r="D1726" s="100"/>
      <c r="E1726" s="100"/>
      <c r="F1726" s="100"/>
      <c r="G1726" s="100"/>
      <c r="H1726" s="100"/>
      <c r="I1726" s="100"/>
      <c r="J1726" s="100"/>
      <c r="K1726" s="100"/>
      <c r="L1726" s="100"/>
      <c r="M1726" s="100"/>
      <c r="N1726" s="100"/>
      <c r="O1726" s="100"/>
      <c r="P1726" s="100"/>
      <c r="Q1726" s="100"/>
      <c r="R1726" s="100"/>
      <c r="S1726" s="100"/>
      <c r="T1726" s="100"/>
      <c r="U1726" s="100"/>
      <c r="V1726" s="100"/>
      <c r="W1726" s="100"/>
      <c r="X1726" s="100"/>
      <c r="Y1726" s="100"/>
      <c r="Z1726" s="100"/>
      <c r="AA1726" s="100"/>
    </row>
    <row r="1727" spans="2:27">
      <c r="B1727" s="100"/>
      <c r="C1727" s="100"/>
      <c r="D1727" s="100"/>
      <c r="E1727" s="100"/>
      <c r="F1727" s="100"/>
      <c r="G1727" s="100"/>
      <c r="H1727" s="100"/>
      <c r="I1727" s="100"/>
      <c r="J1727" s="100"/>
      <c r="K1727" s="100"/>
      <c r="L1727" s="100"/>
      <c r="M1727" s="100"/>
      <c r="N1727" s="100"/>
      <c r="O1727" s="100"/>
      <c r="P1727" s="100"/>
      <c r="Q1727" s="100"/>
      <c r="R1727" s="100"/>
      <c r="S1727" s="100"/>
      <c r="T1727" s="100"/>
      <c r="U1727" s="100"/>
      <c r="V1727" s="100"/>
      <c r="W1727" s="100"/>
      <c r="X1727" s="100"/>
      <c r="Y1727" s="100"/>
      <c r="Z1727" s="100"/>
      <c r="AA1727" s="100"/>
    </row>
    <row r="1728" spans="2:27">
      <c r="B1728" s="100"/>
      <c r="C1728" s="100"/>
      <c r="D1728" s="100"/>
      <c r="E1728" s="100"/>
      <c r="F1728" s="100"/>
      <c r="G1728" s="100"/>
      <c r="H1728" s="100"/>
      <c r="I1728" s="100"/>
      <c r="J1728" s="100"/>
      <c r="K1728" s="100"/>
      <c r="L1728" s="100"/>
      <c r="M1728" s="100"/>
      <c r="N1728" s="100"/>
      <c r="O1728" s="100"/>
      <c r="P1728" s="100"/>
      <c r="Q1728" s="100"/>
      <c r="R1728" s="100"/>
      <c r="S1728" s="100"/>
      <c r="T1728" s="100"/>
      <c r="U1728" s="100"/>
      <c r="V1728" s="100"/>
      <c r="W1728" s="100"/>
      <c r="X1728" s="100"/>
      <c r="Y1728" s="100"/>
      <c r="Z1728" s="100"/>
      <c r="AA1728" s="100"/>
    </row>
    <row r="1729" spans="2:27">
      <c r="B1729" s="100"/>
      <c r="C1729" s="100"/>
      <c r="D1729" s="100"/>
      <c r="E1729" s="100"/>
      <c r="F1729" s="100"/>
      <c r="G1729" s="100"/>
      <c r="H1729" s="100"/>
      <c r="I1729" s="100"/>
      <c r="J1729" s="100"/>
      <c r="K1729" s="100"/>
      <c r="L1729" s="100"/>
      <c r="M1729" s="100"/>
      <c r="N1729" s="100"/>
      <c r="O1729" s="100"/>
      <c r="P1729" s="100"/>
      <c r="Q1729" s="100"/>
      <c r="R1729" s="100"/>
      <c r="S1729" s="100"/>
      <c r="T1729" s="100"/>
      <c r="U1729" s="100"/>
      <c r="V1729" s="100"/>
      <c r="W1729" s="100"/>
      <c r="X1729" s="100"/>
      <c r="Y1729" s="100"/>
      <c r="Z1729" s="100"/>
      <c r="AA1729" s="100"/>
    </row>
    <row r="1730" spans="2:27">
      <c r="B1730" s="100"/>
      <c r="C1730" s="100"/>
      <c r="D1730" s="100"/>
      <c r="E1730" s="100"/>
      <c r="F1730" s="100"/>
      <c r="G1730" s="100"/>
      <c r="H1730" s="100"/>
      <c r="I1730" s="100"/>
      <c r="J1730" s="100"/>
      <c r="K1730" s="100"/>
      <c r="L1730" s="100"/>
      <c r="M1730" s="100"/>
      <c r="N1730" s="100"/>
      <c r="O1730" s="100"/>
      <c r="P1730" s="100"/>
      <c r="Q1730" s="100"/>
      <c r="R1730" s="100"/>
      <c r="S1730" s="100"/>
      <c r="T1730" s="100"/>
      <c r="U1730" s="100"/>
      <c r="V1730" s="100"/>
      <c r="W1730" s="100"/>
      <c r="X1730" s="100"/>
      <c r="Y1730" s="100"/>
      <c r="Z1730" s="100"/>
      <c r="AA1730" s="100"/>
    </row>
    <row r="1731" spans="2:27">
      <c r="B1731" s="100"/>
      <c r="C1731" s="100"/>
      <c r="D1731" s="100"/>
      <c r="E1731" s="100"/>
      <c r="F1731" s="100"/>
      <c r="G1731" s="100"/>
      <c r="H1731" s="100"/>
      <c r="I1731" s="100"/>
      <c r="J1731" s="100"/>
      <c r="K1731" s="100"/>
      <c r="L1731" s="100"/>
      <c r="M1731" s="100"/>
      <c r="N1731" s="100"/>
      <c r="O1731" s="100"/>
      <c r="P1731" s="100"/>
      <c r="Q1731" s="100"/>
      <c r="R1731" s="100"/>
      <c r="S1731" s="100"/>
      <c r="T1731" s="100"/>
      <c r="U1731" s="100"/>
      <c r="V1731" s="100"/>
      <c r="W1731" s="100"/>
      <c r="X1731" s="100"/>
      <c r="Y1731" s="100"/>
      <c r="Z1731" s="100"/>
      <c r="AA1731" s="100"/>
    </row>
    <row r="1732" spans="2:27">
      <c r="B1732" s="100"/>
      <c r="C1732" s="100"/>
      <c r="D1732" s="100"/>
      <c r="E1732" s="100"/>
      <c r="F1732" s="100"/>
      <c r="G1732" s="100"/>
      <c r="H1732" s="100"/>
      <c r="I1732" s="100"/>
      <c r="J1732" s="100"/>
      <c r="K1732" s="100"/>
      <c r="L1732" s="100"/>
      <c r="M1732" s="100"/>
      <c r="N1732" s="100"/>
      <c r="O1732" s="100"/>
      <c r="P1732" s="100"/>
      <c r="Q1732" s="100"/>
      <c r="R1732" s="100"/>
      <c r="S1732" s="100"/>
      <c r="T1732" s="100"/>
      <c r="U1732" s="100"/>
      <c r="V1732" s="100"/>
      <c r="W1732" s="100"/>
      <c r="X1732" s="100"/>
      <c r="Y1732" s="100"/>
      <c r="Z1732" s="100"/>
      <c r="AA1732" s="100"/>
    </row>
    <row r="1733" spans="2:27">
      <c r="B1733" s="100"/>
      <c r="C1733" s="100"/>
      <c r="D1733" s="100"/>
      <c r="E1733" s="100"/>
      <c r="F1733" s="100"/>
      <c r="G1733" s="100"/>
      <c r="H1733" s="100"/>
      <c r="I1733" s="100"/>
      <c r="J1733" s="100"/>
      <c r="K1733" s="100"/>
      <c r="L1733" s="100"/>
      <c r="M1733" s="100"/>
      <c r="N1733" s="100"/>
      <c r="O1733" s="100"/>
      <c r="P1733" s="100"/>
      <c r="Q1733" s="100"/>
      <c r="R1733" s="100"/>
      <c r="S1733" s="100"/>
      <c r="T1733" s="100"/>
      <c r="U1733" s="100"/>
      <c r="V1733" s="100"/>
      <c r="W1733" s="100"/>
      <c r="X1733" s="100"/>
      <c r="Y1733" s="100"/>
      <c r="Z1733" s="100"/>
      <c r="AA1733" s="100"/>
    </row>
    <row r="1734" spans="2:27">
      <c r="B1734" s="100"/>
      <c r="C1734" s="100"/>
      <c r="D1734" s="100"/>
      <c r="E1734" s="100"/>
      <c r="F1734" s="100"/>
      <c r="G1734" s="100"/>
      <c r="H1734" s="100"/>
      <c r="I1734" s="100"/>
      <c r="J1734" s="100"/>
      <c r="K1734" s="100"/>
      <c r="L1734" s="100"/>
      <c r="M1734" s="100"/>
      <c r="N1734" s="100"/>
      <c r="O1734" s="100"/>
      <c r="P1734" s="100"/>
      <c r="Q1734" s="100"/>
      <c r="R1734" s="100"/>
      <c r="S1734" s="100"/>
      <c r="T1734" s="100"/>
      <c r="U1734" s="100"/>
      <c r="V1734" s="100"/>
      <c r="W1734" s="100"/>
      <c r="X1734" s="100"/>
      <c r="Y1734" s="100"/>
      <c r="Z1734" s="100"/>
      <c r="AA1734" s="100"/>
    </row>
    <row r="1735" spans="2:27">
      <c r="B1735" s="100"/>
      <c r="C1735" s="100"/>
      <c r="D1735" s="100"/>
      <c r="E1735" s="100"/>
      <c r="F1735" s="100"/>
      <c r="G1735" s="100"/>
      <c r="H1735" s="100"/>
      <c r="I1735" s="100"/>
      <c r="J1735" s="100"/>
      <c r="K1735" s="100"/>
      <c r="L1735" s="100"/>
      <c r="M1735" s="100"/>
      <c r="N1735" s="100"/>
      <c r="O1735" s="100"/>
      <c r="P1735" s="100"/>
      <c r="Q1735" s="100"/>
      <c r="R1735" s="100"/>
      <c r="S1735" s="100"/>
      <c r="T1735" s="100"/>
      <c r="U1735" s="100"/>
      <c r="V1735" s="100"/>
      <c r="W1735" s="100"/>
      <c r="X1735" s="100"/>
      <c r="Y1735" s="100"/>
      <c r="Z1735" s="100"/>
      <c r="AA1735" s="100"/>
    </row>
    <row r="1736" spans="2:27">
      <c r="B1736" s="100"/>
      <c r="C1736" s="100"/>
      <c r="D1736" s="100"/>
      <c r="E1736" s="100"/>
      <c r="F1736" s="100"/>
      <c r="G1736" s="100"/>
      <c r="H1736" s="100"/>
      <c r="I1736" s="100"/>
      <c r="J1736" s="100"/>
      <c r="K1736" s="100"/>
      <c r="L1736" s="100"/>
      <c r="M1736" s="100"/>
      <c r="N1736" s="100"/>
      <c r="O1736" s="100"/>
      <c r="P1736" s="100"/>
      <c r="Q1736" s="100"/>
      <c r="R1736" s="100"/>
      <c r="S1736" s="100"/>
      <c r="T1736" s="100"/>
      <c r="U1736" s="100"/>
      <c r="V1736" s="100"/>
      <c r="W1736" s="100"/>
      <c r="X1736" s="100"/>
      <c r="Y1736" s="100"/>
      <c r="Z1736" s="100"/>
      <c r="AA1736" s="100"/>
    </row>
    <row r="1737" spans="2:27">
      <c r="B1737" s="100"/>
      <c r="C1737" s="100"/>
      <c r="D1737" s="100"/>
      <c r="E1737" s="100"/>
      <c r="F1737" s="100"/>
      <c r="G1737" s="100"/>
      <c r="H1737" s="100"/>
      <c r="I1737" s="100"/>
      <c r="J1737" s="100"/>
      <c r="K1737" s="100"/>
      <c r="L1737" s="100"/>
      <c r="M1737" s="100"/>
      <c r="N1737" s="100"/>
      <c r="O1737" s="100"/>
      <c r="P1737" s="100"/>
      <c r="Q1737" s="100"/>
      <c r="R1737" s="100"/>
      <c r="S1737" s="100"/>
      <c r="T1737" s="100"/>
      <c r="U1737" s="100"/>
      <c r="V1737" s="100"/>
      <c r="W1737" s="100"/>
      <c r="X1737" s="100"/>
      <c r="Y1737" s="100"/>
      <c r="Z1737" s="100"/>
      <c r="AA1737" s="100"/>
    </row>
    <row r="1738" spans="2:27">
      <c r="B1738" s="100"/>
      <c r="C1738" s="100"/>
      <c r="D1738" s="100"/>
      <c r="E1738" s="100"/>
      <c r="F1738" s="100"/>
      <c r="G1738" s="100"/>
      <c r="H1738" s="100"/>
      <c r="I1738" s="100"/>
      <c r="J1738" s="100"/>
      <c r="K1738" s="100"/>
      <c r="L1738" s="100"/>
      <c r="M1738" s="100"/>
      <c r="N1738" s="100"/>
      <c r="O1738" s="100"/>
      <c r="P1738" s="100"/>
      <c r="Q1738" s="100"/>
      <c r="R1738" s="100"/>
      <c r="S1738" s="100"/>
      <c r="T1738" s="100"/>
      <c r="U1738" s="100"/>
      <c r="V1738" s="100"/>
      <c r="W1738" s="100"/>
      <c r="X1738" s="100"/>
      <c r="Y1738" s="100"/>
      <c r="Z1738" s="100"/>
      <c r="AA1738" s="100"/>
    </row>
    <row r="1739" spans="2:27">
      <c r="B1739" s="100"/>
      <c r="C1739" s="100"/>
      <c r="D1739" s="100"/>
      <c r="E1739" s="100"/>
      <c r="F1739" s="100"/>
      <c r="G1739" s="100"/>
      <c r="H1739" s="100"/>
      <c r="I1739" s="100"/>
      <c r="J1739" s="100"/>
      <c r="K1739" s="100"/>
      <c r="L1739" s="100"/>
      <c r="M1739" s="100"/>
      <c r="N1739" s="100"/>
      <c r="O1739" s="100"/>
      <c r="P1739" s="100"/>
      <c r="Q1739" s="100"/>
      <c r="R1739" s="100"/>
      <c r="S1739" s="100"/>
      <c r="T1739" s="100"/>
      <c r="U1739" s="100"/>
      <c r="V1739" s="100"/>
      <c r="W1739" s="100"/>
      <c r="X1739" s="100"/>
      <c r="Y1739" s="100"/>
      <c r="Z1739" s="100"/>
      <c r="AA1739" s="100"/>
    </row>
    <row r="1740" spans="2:27">
      <c r="B1740" s="100"/>
      <c r="C1740" s="100"/>
      <c r="D1740" s="100"/>
      <c r="E1740" s="100"/>
      <c r="F1740" s="100"/>
      <c r="G1740" s="100"/>
      <c r="H1740" s="100"/>
      <c r="I1740" s="100"/>
      <c r="J1740" s="100"/>
      <c r="K1740" s="100"/>
      <c r="L1740" s="100"/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  <c r="AA1740" s="100"/>
    </row>
    <row r="1741" spans="2:27">
      <c r="B1741" s="100"/>
      <c r="C1741" s="100"/>
      <c r="D1741" s="100"/>
      <c r="E1741" s="100"/>
      <c r="F1741" s="100"/>
      <c r="G1741" s="100"/>
      <c r="H1741" s="100"/>
      <c r="I1741" s="100"/>
      <c r="J1741" s="100"/>
      <c r="K1741" s="100"/>
      <c r="L1741" s="100"/>
      <c r="M1741" s="100"/>
      <c r="N1741" s="100"/>
      <c r="O1741" s="100"/>
      <c r="P1741" s="100"/>
      <c r="Q1741" s="100"/>
      <c r="R1741" s="100"/>
      <c r="S1741" s="100"/>
      <c r="T1741" s="100"/>
      <c r="U1741" s="100"/>
      <c r="V1741" s="100"/>
      <c r="W1741" s="100"/>
      <c r="X1741" s="100"/>
      <c r="Y1741" s="100"/>
      <c r="Z1741" s="100"/>
      <c r="AA1741" s="100"/>
    </row>
    <row r="1742" spans="2:27">
      <c r="B1742" s="100"/>
      <c r="C1742" s="100"/>
      <c r="D1742" s="100"/>
      <c r="E1742" s="100"/>
      <c r="F1742" s="100"/>
      <c r="G1742" s="100"/>
      <c r="H1742" s="100"/>
      <c r="I1742" s="100"/>
      <c r="J1742" s="100"/>
      <c r="K1742" s="100"/>
      <c r="L1742" s="100"/>
      <c r="M1742" s="100"/>
      <c r="N1742" s="100"/>
      <c r="O1742" s="100"/>
      <c r="P1742" s="100"/>
      <c r="Q1742" s="100"/>
      <c r="R1742" s="100"/>
      <c r="S1742" s="100"/>
      <c r="T1742" s="100"/>
      <c r="U1742" s="100"/>
      <c r="V1742" s="100"/>
      <c r="W1742" s="100"/>
      <c r="X1742" s="100"/>
      <c r="Y1742" s="100"/>
      <c r="Z1742" s="100"/>
      <c r="AA1742" s="100"/>
    </row>
    <row r="1743" spans="2:27">
      <c r="B1743" s="100"/>
      <c r="C1743" s="100"/>
      <c r="D1743" s="100"/>
      <c r="E1743" s="100"/>
      <c r="F1743" s="100"/>
      <c r="G1743" s="100"/>
      <c r="H1743" s="100"/>
      <c r="I1743" s="100"/>
      <c r="J1743" s="100"/>
      <c r="K1743" s="100"/>
      <c r="L1743" s="100"/>
      <c r="M1743" s="100"/>
      <c r="N1743" s="100"/>
      <c r="O1743" s="100"/>
      <c r="P1743" s="100"/>
      <c r="Q1743" s="100"/>
      <c r="R1743" s="100"/>
      <c r="S1743" s="100"/>
      <c r="T1743" s="100"/>
      <c r="U1743" s="100"/>
      <c r="V1743" s="100"/>
      <c r="W1743" s="100"/>
      <c r="X1743" s="100"/>
      <c r="Y1743" s="100"/>
      <c r="Z1743" s="100"/>
      <c r="AA1743" s="100"/>
    </row>
    <row r="1744" spans="2:27">
      <c r="B1744" s="100"/>
      <c r="C1744" s="100"/>
      <c r="D1744" s="100"/>
      <c r="E1744" s="100"/>
      <c r="F1744" s="100"/>
      <c r="G1744" s="100"/>
      <c r="H1744" s="100"/>
      <c r="I1744" s="100"/>
      <c r="J1744" s="100"/>
      <c r="K1744" s="100"/>
      <c r="L1744" s="100"/>
      <c r="M1744" s="100"/>
      <c r="N1744" s="100"/>
      <c r="O1744" s="100"/>
      <c r="P1744" s="100"/>
      <c r="Q1744" s="100"/>
      <c r="R1744" s="100"/>
      <c r="S1744" s="100"/>
      <c r="T1744" s="100"/>
      <c r="U1744" s="100"/>
      <c r="V1744" s="100"/>
      <c r="W1744" s="100"/>
      <c r="X1744" s="100"/>
      <c r="Y1744" s="100"/>
      <c r="Z1744" s="100"/>
      <c r="AA1744" s="100"/>
    </row>
    <row r="1745" spans="2:27">
      <c r="B1745" s="100"/>
      <c r="C1745" s="100"/>
      <c r="D1745" s="100"/>
      <c r="E1745" s="100"/>
      <c r="F1745" s="100"/>
      <c r="G1745" s="100"/>
      <c r="H1745" s="100"/>
      <c r="I1745" s="100"/>
      <c r="J1745" s="100"/>
      <c r="K1745" s="100"/>
      <c r="L1745" s="100"/>
      <c r="M1745" s="100"/>
      <c r="N1745" s="100"/>
      <c r="O1745" s="100"/>
      <c r="P1745" s="100"/>
      <c r="Q1745" s="100"/>
      <c r="R1745" s="100"/>
      <c r="S1745" s="100"/>
      <c r="T1745" s="100"/>
      <c r="U1745" s="100"/>
      <c r="V1745" s="100"/>
      <c r="W1745" s="100"/>
      <c r="X1745" s="100"/>
      <c r="Y1745" s="100"/>
      <c r="Z1745" s="100"/>
      <c r="AA1745" s="100"/>
    </row>
    <row r="1746" spans="2:27">
      <c r="B1746" s="100"/>
      <c r="C1746" s="100"/>
      <c r="D1746" s="100"/>
      <c r="E1746" s="100"/>
      <c r="F1746" s="100"/>
      <c r="G1746" s="100"/>
      <c r="H1746" s="100"/>
      <c r="I1746" s="100"/>
      <c r="J1746" s="100"/>
      <c r="K1746" s="100"/>
      <c r="L1746" s="100"/>
      <c r="M1746" s="100"/>
      <c r="N1746" s="100"/>
      <c r="O1746" s="100"/>
      <c r="P1746" s="100"/>
      <c r="Q1746" s="100"/>
      <c r="R1746" s="100"/>
      <c r="S1746" s="100"/>
      <c r="T1746" s="100"/>
      <c r="U1746" s="100"/>
      <c r="V1746" s="100"/>
      <c r="W1746" s="100"/>
      <c r="X1746" s="100"/>
      <c r="Y1746" s="100"/>
      <c r="Z1746" s="100"/>
      <c r="AA1746" s="100"/>
    </row>
    <row r="1747" spans="2:27">
      <c r="B1747" s="100"/>
      <c r="C1747" s="100"/>
      <c r="D1747" s="100"/>
      <c r="E1747" s="100"/>
      <c r="F1747" s="100"/>
      <c r="G1747" s="100"/>
      <c r="H1747" s="100"/>
      <c r="I1747" s="100"/>
      <c r="J1747" s="100"/>
      <c r="K1747" s="100"/>
      <c r="L1747" s="100"/>
      <c r="M1747" s="100"/>
      <c r="N1747" s="100"/>
      <c r="O1747" s="100"/>
      <c r="P1747" s="100"/>
      <c r="Q1747" s="100"/>
      <c r="R1747" s="100"/>
      <c r="S1747" s="100"/>
      <c r="T1747" s="100"/>
      <c r="U1747" s="100"/>
      <c r="V1747" s="100"/>
      <c r="W1747" s="100"/>
      <c r="X1747" s="100"/>
      <c r="Y1747" s="100"/>
      <c r="Z1747" s="100"/>
      <c r="AA1747" s="100"/>
    </row>
    <row r="1748" spans="2:27">
      <c r="B1748" s="100"/>
      <c r="C1748" s="100"/>
      <c r="D1748" s="100"/>
      <c r="E1748" s="100"/>
      <c r="F1748" s="100"/>
      <c r="G1748" s="100"/>
      <c r="H1748" s="100"/>
      <c r="I1748" s="100"/>
      <c r="J1748" s="100"/>
      <c r="K1748" s="100"/>
      <c r="L1748" s="100"/>
      <c r="M1748" s="100"/>
      <c r="N1748" s="100"/>
      <c r="O1748" s="100"/>
      <c r="P1748" s="100"/>
      <c r="Q1748" s="100"/>
      <c r="R1748" s="100"/>
      <c r="S1748" s="100"/>
      <c r="T1748" s="100"/>
      <c r="U1748" s="100"/>
      <c r="V1748" s="100"/>
      <c r="W1748" s="100"/>
      <c r="X1748" s="100"/>
      <c r="Y1748" s="100"/>
      <c r="Z1748" s="100"/>
      <c r="AA1748" s="100"/>
    </row>
    <row r="1749" spans="2:27">
      <c r="B1749" s="100"/>
      <c r="C1749" s="100"/>
      <c r="D1749" s="100"/>
      <c r="E1749" s="100"/>
      <c r="F1749" s="100"/>
      <c r="G1749" s="100"/>
      <c r="H1749" s="100"/>
      <c r="I1749" s="100"/>
      <c r="J1749" s="100"/>
      <c r="K1749" s="100"/>
      <c r="L1749" s="100"/>
      <c r="M1749" s="100"/>
      <c r="N1749" s="100"/>
      <c r="O1749" s="100"/>
      <c r="P1749" s="100"/>
      <c r="Q1749" s="100"/>
      <c r="R1749" s="100"/>
      <c r="S1749" s="100"/>
      <c r="T1749" s="100"/>
      <c r="U1749" s="100"/>
      <c r="V1749" s="100"/>
      <c r="W1749" s="100"/>
      <c r="X1749" s="100"/>
      <c r="Y1749" s="100"/>
      <c r="Z1749" s="100"/>
      <c r="AA1749" s="100"/>
    </row>
    <row r="1750" spans="2:27">
      <c r="B1750" s="100"/>
      <c r="C1750" s="100"/>
      <c r="D1750" s="100"/>
      <c r="E1750" s="100"/>
      <c r="F1750" s="100"/>
      <c r="G1750" s="100"/>
      <c r="H1750" s="100"/>
      <c r="I1750" s="100"/>
      <c r="J1750" s="100"/>
      <c r="K1750" s="100"/>
      <c r="L1750" s="100"/>
      <c r="M1750" s="100"/>
      <c r="N1750" s="100"/>
      <c r="O1750" s="100"/>
      <c r="P1750" s="100"/>
      <c r="Q1750" s="100"/>
      <c r="R1750" s="100"/>
      <c r="S1750" s="100"/>
      <c r="T1750" s="100"/>
      <c r="U1750" s="100"/>
      <c r="V1750" s="100"/>
      <c r="W1750" s="100"/>
      <c r="X1750" s="100"/>
      <c r="Y1750" s="100"/>
      <c r="Z1750" s="100"/>
      <c r="AA1750" s="100"/>
    </row>
    <row r="1751" spans="2:27">
      <c r="B1751" s="100"/>
      <c r="C1751" s="100"/>
      <c r="D1751" s="100"/>
      <c r="E1751" s="100"/>
      <c r="F1751" s="100"/>
      <c r="G1751" s="100"/>
      <c r="H1751" s="100"/>
      <c r="I1751" s="100"/>
      <c r="J1751" s="100"/>
      <c r="K1751" s="100"/>
      <c r="L1751" s="100"/>
      <c r="M1751" s="100"/>
      <c r="N1751" s="100"/>
      <c r="O1751" s="100"/>
      <c r="P1751" s="100"/>
      <c r="Q1751" s="100"/>
      <c r="R1751" s="100"/>
      <c r="S1751" s="100"/>
      <c r="T1751" s="100"/>
      <c r="U1751" s="100"/>
      <c r="V1751" s="100"/>
      <c r="W1751" s="100"/>
      <c r="X1751" s="100"/>
      <c r="Y1751" s="100"/>
      <c r="Z1751" s="100"/>
      <c r="AA1751" s="100"/>
    </row>
    <row r="1752" spans="2:27">
      <c r="B1752" s="100"/>
      <c r="C1752" s="100"/>
      <c r="D1752" s="100"/>
      <c r="E1752" s="100"/>
      <c r="F1752" s="100"/>
      <c r="G1752" s="100"/>
      <c r="H1752" s="100"/>
      <c r="I1752" s="100"/>
      <c r="J1752" s="100"/>
      <c r="K1752" s="100"/>
      <c r="L1752" s="100"/>
      <c r="M1752" s="100"/>
      <c r="N1752" s="100"/>
      <c r="O1752" s="100"/>
      <c r="P1752" s="100"/>
      <c r="Q1752" s="100"/>
      <c r="R1752" s="100"/>
      <c r="S1752" s="100"/>
      <c r="T1752" s="100"/>
      <c r="U1752" s="100"/>
      <c r="V1752" s="100"/>
      <c r="W1752" s="100"/>
      <c r="X1752" s="100"/>
      <c r="Y1752" s="100"/>
      <c r="Z1752" s="100"/>
      <c r="AA1752" s="100"/>
    </row>
    <row r="1753" spans="2:27">
      <c r="B1753" s="100"/>
      <c r="C1753" s="100"/>
      <c r="D1753" s="100"/>
      <c r="E1753" s="100"/>
      <c r="F1753" s="100"/>
      <c r="G1753" s="100"/>
      <c r="H1753" s="100"/>
      <c r="I1753" s="100"/>
      <c r="J1753" s="100"/>
      <c r="K1753" s="100"/>
      <c r="L1753" s="100"/>
      <c r="M1753" s="100"/>
      <c r="N1753" s="100"/>
      <c r="O1753" s="100"/>
      <c r="P1753" s="100"/>
      <c r="Q1753" s="100"/>
      <c r="R1753" s="100"/>
      <c r="S1753" s="100"/>
      <c r="T1753" s="100"/>
      <c r="U1753" s="100"/>
      <c r="V1753" s="100"/>
      <c r="W1753" s="100"/>
      <c r="X1753" s="100"/>
      <c r="Y1753" s="100"/>
      <c r="Z1753" s="100"/>
      <c r="AA1753" s="100"/>
    </row>
    <row r="1754" spans="2:27">
      <c r="B1754" s="100"/>
      <c r="C1754" s="100"/>
      <c r="D1754" s="100"/>
      <c r="E1754" s="100"/>
      <c r="F1754" s="100"/>
      <c r="G1754" s="100"/>
      <c r="H1754" s="100"/>
      <c r="I1754" s="100"/>
      <c r="J1754" s="100"/>
      <c r="K1754" s="100"/>
      <c r="L1754" s="100"/>
      <c r="M1754" s="100"/>
      <c r="N1754" s="100"/>
      <c r="O1754" s="100"/>
      <c r="P1754" s="100"/>
      <c r="Q1754" s="100"/>
      <c r="R1754" s="100"/>
      <c r="S1754" s="100"/>
      <c r="T1754" s="100"/>
      <c r="U1754" s="100"/>
      <c r="V1754" s="100"/>
      <c r="W1754" s="100"/>
      <c r="X1754" s="100"/>
      <c r="Y1754" s="100"/>
      <c r="Z1754" s="100"/>
      <c r="AA1754" s="100"/>
    </row>
    <row r="1755" spans="2:27">
      <c r="B1755" s="100"/>
      <c r="C1755" s="100"/>
      <c r="D1755" s="100"/>
      <c r="E1755" s="100"/>
      <c r="F1755" s="100"/>
      <c r="G1755" s="100"/>
      <c r="H1755" s="100"/>
      <c r="I1755" s="100"/>
      <c r="J1755" s="100"/>
      <c r="K1755" s="100"/>
      <c r="L1755" s="100"/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  <c r="AA1755" s="100"/>
    </row>
    <row r="1756" spans="2:27">
      <c r="B1756" s="100"/>
      <c r="C1756" s="100"/>
      <c r="D1756" s="100"/>
      <c r="E1756" s="100"/>
      <c r="F1756" s="100"/>
      <c r="G1756" s="100"/>
      <c r="H1756" s="100"/>
      <c r="I1756" s="100"/>
      <c r="J1756" s="100"/>
      <c r="K1756" s="100"/>
      <c r="L1756" s="100"/>
      <c r="M1756" s="100"/>
      <c r="N1756" s="100"/>
      <c r="O1756" s="100"/>
      <c r="P1756" s="100"/>
      <c r="Q1756" s="100"/>
      <c r="R1756" s="100"/>
      <c r="S1756" s="100"/>
      <c r="T1756" s="100"/>
      <c r="U1756" s="100"/>
      <c r="V1756" s="100"/>
      <c r="W1756" s="100"/>
      <c r="X1756" s="100"/>
      <c r="Y1756" s="100"/>
      <c r="Z1756" s="100"/>
      <c r="AA1756" s="100"/>
    </row>
    <row r="1757" spans="2:27">
      <c r="B1757" s="100"/>
      <c r="C1757" s="100"/>
      <c r="D1757" s="100"/>
      <c r="E1757" s="100"/>
      <c r="F1757" s="100"/>
      <c r="G1757" s="100"/>
      <c r="H1757" s="100"/>
      <c r="I1757" s="100"/>
      <c r="J1757" s="100"/>
      <c r="K1757" s="100"/>
      <c r="L1757" s="100"/>
      <c r="M1757" s="100"/>
      <c r="N1757" s="100"/>
      <c r="O1757" s="100"/>
      <c r="P1757" s="100"/>
      <c r="Q1757" s="100"/>
      <c r="R1757" s="100"/>
      <c r="S1757" s="100"/>
      <c r="T1757" s="100"/>
      <c r="U1757" s="100"/>
      <c r="V1757" s="100"/>
      <c r="W1757" s="100"/>
      <c r="X1757" s="100"/>
      <c r="Y1757" s="100"/>
      <c r="Z1757" s="100"/>
      <c r="AA1757" s="100"/>
    </row>
    <row r="1758" spans="2:27">
      <c r="B1758" s="100"/>
      <c r="C1758" s="100"/>
      <c r="D1758" s="100"/>
      <c r="E1758" s="100"/>
      <c r="F1758" s="100"/>
      <c r="G1758" s="100"/>
      <c r="H1758" s="100"/>
      <c r="I1758" s="100"/>
      <c r="J1758" s="100"/>
      <c r="K1758" s="100"/>
      <c r="L1758" s="100"/>
      <c r="M1758" s="100"/>
      <c r="N1758" s="100"/>
      <c r="O1758" s="100"/>
      <c r="P1758" s="100"/>
      <c r="Q1758" s="100"/>
      <c r="R1758" s="100"/>
      <c r="S1758" s="100"/>
      <c r="T1758" s="100"/>
      <c r="U1758" s="100"/>
      <c r="V1758" s="100"/>
      <c r="W1758" s="100"/>
      <c r="X1758" s="100"/>
      <c r="Y1758" s="100"/>
      <c r="Z1758" s="100"/>
      <c r="AA1758" s="100"/>
    </row>
    <row r="1759" spans="2:27">
      <c r="B1759" s="100"/>
      <c r="C1759" s="100"/>
      <c r="D1759" s="100"/>
      <c r="E1759" s="100"/>
      <c r="F1759" s="100"/>
      <c r="G1759" s="100"/>
      <c r="H1759" s="100"/>
      <c r="I1759" s="100"/>
      <c r="J1759" s="100"/>
      <c r="K1759" s="100"/>
      <c r="L1759" s="100"/>
      <c r="M1759" s="100"/>
      <c r="N1759" s="100"/>
      <c r="O1759" s="100"/>
      <c r="P1759" s="100"/>
      <c r="Q1759" s="100"/>
      <c r="R1759" s="100"/>
      <c r="S1759" s="100"/>
      <c r="T1759" s="100"/>
      <c r="U1759" s="100"/>
      <c r="V1759" s="100"/>
      <c r="W1759" s="100"/>
      <c r="X1759" s="100"/>
      <c r="Y1759" s="100"/>
      <c r="Z1759" s="100"/>
      <c r="AA1759" s="100"/>
    </row>
    <row r="1760" spans="2:27">
      <c r="B1760" s="100"/>
      <c r="C1760" s="100"/>
      <c r="D1760" s="100"/>
      <c r="E1760" s="100"/>
      <c r="F1760" s="100"/>
      <c r="G1760" s="100"/>
      <c r="H1760" s="100"/>
      <c r="I1760" s="100"/>
      <c r="J1760" s="100"/>
      <c r="K1760" s="100"/>
      <c r="L1760" s="100"/>
      <c r="M1760" s="100"/>
      <c r="N1760" s="100"/>
      <c r="O1760" s="100"/>
      <c r="P1760" s="100"/>
      <c r="Q1760" s="100"/>
      <c r="R1760" s="100"/>
      <c r="S1760" s="100"/>
      <c r="T1760" s="100"/>
      <c r="U1760" s="100"/>
      <c r="V1760" s="100"/>
      <c r="W1760" s="100"/>
      <c r="X1760" s="100"/>
      <c r="Y1760" s="100"/>
      <c r="Z1760" s="100"/>
      <c r="AA1760" s="100"/>
    </row>
    <row r="1761" spans="2:27">
      <c r="B1761" s="100"/>
      <c r="C1761" s="100"/>
      <c r="D1761" s="100"/>
      <c r="E1761" s="100"/>
      <c r="F1761" s="100"/>
      <c r="G1761" s="100"/>
      <c r="H1761" s="100"/>
      <c r="I1761" s="100"/>
      <c r="J1761" s="100"/>
      <c r="K1761" s="100"/>
      <c r="L1761" s="100"/>
      <c r="M1761" s="100"/>
      <c r="N1761" s="100"/>
      <c r="O1761" s="100"/>
      <c r="P1761" s="100"/>
      <c r="Q1761" s="100"/>
      <c r="R1761" s="100"/>
      <c r="S1761" s="100"/>
      <c r="T1761" s="100"/>
      <c r="U1761" s="100"/>
      <c r="V1761" s="100"/>
      <c r="W1761" s="100"/>
      <c r="X1761" s="100"/>
      <c r="Y1761" s="100"/>
      <c r="Z1761" s="100"/>
      <c r="AA1761" s="100"/>
    </row>
    <row r="1762" spans="2:27">
      <c r="B1762" s="100"/>
      <c r="C1762" s="100"/>
      <c r="D1762" s="100"/>
      <c r="E1762" s="100"/>
      <c r="F1762" s="100"/>
      <c r="G1762" s="100"/>
      <c r="H1762" s="100"/>
      <c r="I1762" s="100"/>
      <c r="J1762" s="100"/>
      <c r="K1762" s="100"/>
      <c r="L1762" s="100"/>
      <c r="M1762" s="100"/>
      <c r="N1762" s="100"/>
      <c r="O1762" s="100"/>
      <c r="P1762" s="100"/>
      <c r="Q1762" s="100"/>
      <c r="R1762" s="100"/>
      <c r="S1762" s="100"/>
      <c r="T1762" s="100"/>
      <c r="U1762" s="100"/>
      <c r="V1762" s="100"/>
      <c r="W1762" s="100"/>
      <c r="X1762" s="100"/>
      <c r="Y1762" s="100"/>
      <c r="Z1762" s="100"/>
      <c r="AA1762" s="100"/>
    </row>
    <row r="1763" spans="2:27">
      <c r="B1763" s="100"/>
      <c r="C1763" s="100"/>
      <c r="D1763" s="100"/>
      <c r="E1763" s="100"/>
      <c r="F1763" s="100"/>
      <c r="G1763" s="100"/>
      <c r="H1763" s="100"/>
      <c r="I1763" s="100"/>
      <c r="J1763" s="100"/>
      <c r="K1763" s="100"/>
      <c r="L1763" s="100"/>
      <c r="M1763" s="100"/>
      <c r="N1763" s="100"/>
      <c r="O1763" s="100"/>
      <c r="P1763" s="100"/>
      <c r="Q1763" s="100"/>
      <c r="R1763" s="100"/>
      <c r="S1763" s="100"/>
      <c r="T1763" s="100"/>
      <c r="U1763" s="100"/>
      <c r="V1763" s="100"/>
      <c r="W1763" s="100"/>
      <c r="X1763" s="100"/>
      <c r="Y1763" s="100"/>
      <c r="Z1763" s="100"/>
      <c r="AA1763" s="100"/>
    </row>
    <row r="1764" spans="2:27">
      <c r="B1764" s="100"/>
      <c r="C1764" s="100"/>
      <c r="D1764" s="100"/>
      <c r="E1764" s="100"/>
      <c r="F1764" s="100"/>
      <c r="G1764" s="100"/>
      <c r="H1764" s="100"/>
      <c r="I1764" s="100"/>
      <c r="J1764" s="100"/>
      <c r="K1764" s="100"/>
      <c r="L1764" s="100"/>
      <c r="M1764" s="100"/>
      <c r="N1764" s="100"/>
      <c r="O1764" s="100"/>
      <c r="P1764" s="100"/>
      <c r="Q1764" s="100"/>
      <c r="R1764" s="100"/>
      <c r="S1764" s="100"/>
      <c r="T1764" s="100"/>
      <c r="U1764" s="100"/>
      <c r="V1764" s="100"/>
      <c r="W1764" s="100"/>
      <c r="X1764" s="100"/>
      <c r="Y1764" s="100"/>
      <c r="Z1764" s="100"/>
      <c r="AA1764" s="100"/>
    </row>
    <row r="1765" spans="2:27">
      <c r="B1765" s="100"/>
      <c r="C1765" s="100"/>
      <c r="D1765" s="100"/>
      <c r="E1765" s="100"/>
      <c r="F1765" s="100"/>
      <c r="G1765" s="100"/>
      <c r="H1765" s="100"/>
      <c r="I1765" s="100"/>
      <c r="J1765" s="100"/>
      <c r="K1765" s="100"/>
      <c r="L1765" s="100"/>
      <c r="M1765" s="100"/>
      <c r="N1765" s="100"/>
      <c r="O1765" s="100"/>
      <c r="P1765" s="100"/>
      <c r="Q1765" s="100"/>
      <c r="R1765" s="100"/>
      <c r="S1765" s="100"/>
      <c r="T1765" s="100"/>
      <c r="U1765" s="100"/>
      <c r="V1765" s="100"/>
      <c r="W1765" s="100"/>
      <c r="X1765" s="100"/>
      <c r="Y1765" s="100"/>
      <c r="Z1765" s="100"/>
      <c r="AA1765" s="100"/>
    </row>
    <row r="1766" spans="2:27">
      <c r="B1766" s="100"/>
      <c r="C1766" s="100"/>
      <c r="D1766" s="100"/>
      <c r="E1766" s="100"/>
      <c r="F1766" s="100"/>
      <c r="G1766" s="100"/>
      <c r="H1766" s="100"/>
      <c r="I1766" s="100"/>
      <c r="J1766" s="100"/>
      <c r="K1766" s="100"/>
      <c r="L1766" s="100"/>
      <c r="M1766" s="100"/>
      <c r="N1766" s="100"/>
      <c r="O1766" s="100"/>
      <c r="P1766" s="100"/>
      <c r="Q1766" s="100"/>
      <c r="R1766" s="100"/>
      <c r="S1766" s="100"/>
      <c r="T1766" s="100"/>
      <c r="U1766" s="100"/>
      <c r="V1766" s="100"/>
      <c r="W1766" s="100"/>
      <c r="X1766" s="100"/>
      <c r="Y1766" s="100"/>
      <c r="Z1766" s="100"/>
      <c r="AA1766" s="100"/>
    </row>
    <row r="1767" spans="2:27">
      <c r="B1767" s="100"/>
      <c r="C1767" s="100"/>
      <c r="D1767" s="100"/>
      <c r="E1767" s="100"/>
      <c r="F1767" s="100"/>
      <c r="G1767" s="100"/>
      <c r="H1767" s="100"/>
      <c r="I1767" s="100"/>
      <c r="J1767" s="100"/>
      <c r="K1767" s="100"/>
      <c r="L1767" s="100"/>
      <c r="M1767" s="100"/>
      <c r="N1767" s="100"/>
      <c r="O1767" s="100"/>
      <c r="P1767" s="100"/>
      <c r="Q1767" s="100"/>
      <c r="R1767" s="100"/>
      <c r="S1767" s="100"/>
      <c r="T1767" s="100"/>
      <c r="U1767" s="100"/>
      <c r="V1767" s="100"/>
      <c r="W1767" s="100"/>
      <c r="X1767" s="100"/>
      <c r="Y1767" s="100"/>
      <c r="Z1767" s="100"/>
      <c r="AA1767" s="100"/>
    </row>
    <row r="1768" spans="2:27">
      <c r="B1768" s="100"/>
      <c r="C1768" s="100"/>
      <c r="D1768" s="100"/>
      <c r="E1768" s="100"/>
      <c r="F1768" s="100"/>
      <c r="G1768" s="100"/>
      <c r="H1768" s="100"/>
      <c r="I1768" s="100"/>
      <c r="J1768" s="100"/>
      <c r="K1768" s="100"/>
      <c r="L1768" s="100"/>
      <c r="M1768" s="100"/>
      <c r="N1768" s="100"/>
      <c r="O1768" s="100"/>
      <c r="P1768" s="100"/>
      <c r="Q1768" s="100"/>
      <c r="R1768" s="100"/>
      <c r="S1768" s="100"/>
      <c r="T1768" s="100"/>
      <c r="U1768" s="100"/>
      <c r="V1768" s="100"/>
      <c r="W1768" s="100"/>
      <c r="X1768" s="100"/>
      <c r="Y1768" s="100"/>
      <c r="Z1768" s="100"/>
      <c r="AA1768" s="100"/>
    </row>
    <row r="1769" spans="2:27">
      <c r="B1769" s="100"/>
      <c r="C1769" s="100"/>
      <c r="D1769" s="100"/>
      <c r="E1769" s="100"/>
      <c r="F1769" s="100"/>
      <c r="G1769" s="100"/>
      <c r="H1769" s="100"/>
      <c r="I1769" s="100"/>
      <c r="J1769" s="100"/>
      <c r="K1769" s="100"/>
      <c r="L1769" s="100"/>
      <c r="M1769" s="100"/>
      <c r="N1769" s="100"/>
      <c r="O1769" s="100"/>
      <c r="P1769" s="100"/>
      <c r="Q1769" s="100"/>
      <c r="R1769" s="100"/>
      <c r="S1769" s="100"/>
      <c r="T1769" s="100"/>
      <c r="U1769" s="100"/>
      <c r="V1769" s="100"/>
      <c r="W1769" s="100"/>
      <c r="X1769" s="100"/>
      <c r="Y1769" s="100"/>
      <c r="Z1769" s="100"/>
      <c r="AA1769" s="100"/>
    </row>
    <row r="1770" spans="2:27">
      <c r="B1770" s="100"/>
      <c r="C1770" s="100"/>
      <c r="D1770" s="100"/>
      <c r="E1770" s="100"/>
      <c r="F1770" s="100"/>
      <c r="G1770" s="100"/>
      <c r="H1770" s="100"/>
      <c r="I1770" s="100"/>
      <c r="J1770" s="100"/>
      <c r="K1770" s="100"/>
      <c r="L1770" s="100"/>
      <c r="M1770" s="100"/>
      <c r="N1770" s="100"/>
      <c r="O1770" s="100"/>
      <c r="P1770" s="100"/>
      <c r="Q1770" s="100"/>
      <c r="R1770" s="100"/>
      <c r="S1770" s="100"/>
      <c r="T1770" s="100"/>
      <c r="U1770" s="100"/>
      <c r="V1770" s="100"/>
      <c r="W1770" s="100"/>
      <c r="X1770" s="100"/>
      <c r="Y1770" s="100"/>
      <c r="Z1770" s="100"/>
      <c r="AA1770" s="100"/>
    </row>
    <row r="1771" spans="2:27">
      <c r="B1771" s="100"/>
      <c r="C1771" s="100"/>
      <c r="D1771" s="100"/>
      <c r="E1771" s="100"/>
      <c r="F1771" s="100"/>
      <c r="G1771" s="100"/>
      <c r="H1771" s="100"/>
      <c r="I1771" s="100"/>
      <c r="J1771" s="100"/>
      <c r="K1771" s="100"/>
      <c r="L1771" s="100"/>
      <c r="M1771" s="100"/>
      <c r="N1771" s="100"/>
      <c r="O1771" s="100"/>
      <c r="P1771" s="100"/>
      <c r="Q1771" s="100"/>
      <c r="R1771" s="100"/>
      <c r="S1771" s="100"/>
      <c r="T1771" s="100"/>
      <c r="U1771" s="100"/>
      <c r="V1771" s="100"/>
      <c r="W1771" s="100"/>
      <c r="X1771" s="100"/>
      <c r="Y1771" s="100"/>
      <c r="Z1771" s="100"/>
      <c r="AA1771" s="100"/>
    </row>
    <row r="1772" spans="2:27">
      <c r="B1772" s="100"/>
      <c r="C1772" s="100"/>
      <c r="D1772" s="100"/>
      <c r="E1772" s="100"/>
      <c r="F1772" s="100"/>
      <c r="G1772" s="100"/>
      <c r="H1772" s="100"/>
      <c r="I1772" s="100"/>
      <c r="J1772" s="100"/>
      <c r="K1772" s="100"/>
      <c r="L1772" s="100"/>
      <c r="M1772" s="100"/>
      <c r="N1772" s="100"/>
      <c r="O1772" s="100"/>
      <c r="P1772" s="100"/>
      <c r="Q1772" s="100"/>
      <c r="R1772" s="100"/>
      <c r="S1772" s="100"/>
      <c r="T1772" s="100"/>
      <c r="U1772" s="100"/>
      <c r="V1772" s="100"/>
      <c r="W1772" s="100"/>
      <c r="X1772" s="100"/>
      <c r="Y1772" s="100"/>
      <c r="Z1772" s="100"/>
      <c r="AA1772" s="100"/>
    </row>
    <row r="1773" spans="2:27">
      <c r="B1773" s="100"/>
      <c r="C1773" s="100"/>
      <c r="D1773" s="100"/>
      <c r="E1773" s="100"/>
      <c r="F1773" s="100"/>
      <c r="G1773" s="100"/>
      <c r="H1773" s="100"/>
      <c r="I1773" s="100"/>
      <c r="J1773" s="100"/>
      <c r="K1773" s="100"/>
      <c r="L1773" s="100"/>
      <c r="M1773" s="100"/>
      <c r="N1773" s="100"/>
      <c r="O1773" s="100"/>
      <c r="P1773" s="100"/>
      <c r="Q1773" s="100"/>
      <c r="R1773" s="100"/>
      <c r="S1773" s="100"/>
      <c r="T1773" s="100"/>
      <c r="U1773" s="100"/>
      <c r="V1773" s="100"/>
      <c r="W1773" s="100"/>
      <c r="X1773" s="100"/>
      <c r="Y1773" s="100"/>
      <c r="Z1773" s="100"/>
      <c r="AA1773" s="100"/>
    </row>
    <row r="1774" spans="2:27">
      <c r="B1774" s="100"/>
      <c r="C1774" s="100"/>
      <c r="D1774" s="100"/>
      <c r="E1774" s="100"/>
      <c r="F1774" s="100"/>
      <c r="G1774" s="100"/>
      <c r="H1774" s="100"/>
      <c r="I1774" s="100"/>
      <c r="J1774" s="100"/>
      <c r="K1774" s="100"/>
      <c r="L1774" s="100"/>
      <c r="M1774" s="100"/>
      <c r="N1774" s="100"/>
      <c r="O1774" s="100"/>
      <c r="P1774" s="100"/>
      <c r="Q1774" s="100"/>
      <c r="R1774" s="100"/>
      <c r="S1774" s="100"/>
      <c r="T1774" s="100"/>
      <c r="U1774" s="100"/>
      <c r="V1774" s="100"/>
      <c r="W1774" s="100"/>
      <c r="X1774" s="100"/>
      <c r="Y1774" s="100"/>
      <c r="Z1774" s="100"/>
      <c r="AA1774" s="100"/>
    </row>
    <row r="1775" spans="2:27">
      <c r="B1775" s="100"/>
      <c r="C1775" s="100"/>
      <c r="D1775" s="100"/>
      <c r="E1775" s="100"/>
      <c r="F1775" s="100"/>
      <c r="G1775" s="100"/>
      <c r="H1775" s="100"/>
      <c r="I1775" s="100"/>
      <c r="J1775" s="100"/>
      <c r="K1775" s="100"/>
      <c r="L1775" s="100"/>
      <c r="M1775" s="100"/>
      <c r="N1775" s="100"/>
      <c r="O1775" s="100"/>
      <c r="P1775" s="100"/>
      <c r="Q1775" s="100"/>
      <c r="R1775" s="100"/>
      <c r="S1775" s="100"/>
      <c r="T1775" s="100"/>
      <c r="U1775" s="100"/>
      <c r="V1775" s="100"/>
      <c r="W1775" s="100"/>
      <c r="X1775" s="100"/>
      <c r="Y1775" s="100"/>
      <c r="Z1775" s="100"/>
      <c r="AA1775" s="100"/>
    </row>
    <row r="1776" spans="2:27">
      <c r="B1776" s="100"/>
      <c r="C1776" s="100"/>
      <c r="D1776" s="100"/>
      <c r="E1776" s="100"/>
      <c r="F1776" s="100"/>
      <c r="G1776" s="100"/>
      <c r="H1776" s="100"/>
      <c r="I1776" s="100"/>
      <c r="J1776" s="100"/>
      <c r="K1776" s="100"/>
      <c r="L1776" s="100"/>
      <c r="M1776" s="100"/>
      <c r="N1776" s="100"/>
      <c r="O1776" s="100"/>
      <c r="P1776" s="100"/>
      <c r="Q1776" s="100"/>
      <c r="R1776" s="100"/>
      <c r="S1776" s="100"/>
      <c r="T1776" s="100"/>
      <c r="U1776" s="100"/>
      <c r="V1776" s="100"/>
      <c r="W1776" s="100"/>
      <c r="X1776" s="100"/>
      <c r="Y1776" s="100"/>
      <c r="Z1776" s="100"/>
      <c r="AA1776" s="100"/>
    </row>
    <row r="1777" spans="2:27">
      <c r="B1777" s="100"/>
      <c r="C1777" s="100"/>
      <c r="D1777" s="100"/>
      <c r="E1777" s="100"/>
      <c r="F1777" s="100"/>
      <c r="G1777" s="100"/>
      <c r="H1777" s="100"/>
      <c r="I1777" s="100"/>
      <c r="J1777" s="100"/>
      <c r="K1777" s="100"/>
      <c r="L1777" s="100"/>
      <c r="M1777" s="100"/>
      <c r="N1777" s="100"/>
      <c r="O1777" s="100"/>
      <c r="P1777" s="100"/>
      <c r="Q1777" s="100"/>
      <c r="R1777" s="100"/>
      <c r="S1777" s="100"/>
      <c r="T1777" s="100"/>
      <c r="U1777" s="100"/>
      <c r="V1777" s="100"/>
      <c r="W1777" s="100"/>
      <c r="X1777" s="100"/>
      <c r="Y1777" s="100"/>
      <c r="Z1777" s="100"/>
      <c r="AA1777" s="100"/>
    </row>
    <row r="1778" spans="2:27">
      <c r="B1778" s="100"/>
      <c r="C1778" s="100"/>
      <c r="D1778" s="100"/>
      <c r="E1778" s="100"/>
      <c r="F1778" s="100"/>
      <c r="G1778" s="100"/>
      <c r="H1778" s="100"/>
      <c r="I1778" s="100"/>
      <c r="J1778" s="100"/>
      <c r="K1778" s="100"/>
      <c r="L1778" s="100"/>
      <c r="M1778" s="100"/>
      <c r="N1778" s="100"/>
      <c r="O1778" s="100"/>
      <c r="P1778" s="100"/>
      <c r="Q1778" s="100"/>
      <c r="R1778" s="100"/>
      <c r="S1778" s="100"/>
      <c r="T1778" s="100"/>
      <c r="U1778" s="100"/>
      <c r="V1778" s="100"/>
      <c r="W1778" s="100"/>
      <c r="X1778" s="100"/>
      <c r="Y1778" s="100"/>
      <c r="Z1778" s="100"/>
      <c r="AA1778" s="100"/>
    </row>
    <row r="1779" spans="2:27">
      <c r="B1779" s="100"/>
      <c r="C1779" s="100"/>
      <c r="D1779" s="100"/>
      <c r="E1779" s="100"/>
      <c r="F1779" s="100"/>
      <c r="G1779" s="100"/>
      <c r="H1779" s="100"/>
      <c r="I1779" s="100"/>
      <c r="J1779" s="100"/>
      <c r="K1779" s="100"/>
      <c r="L1779" s="100"/>
      <c r="M1779" s="100"/>
      <c r="N1779" s="100"/>
      <c r="O1779" s="100"/>
      <c r="P1779" s="100"/>
      <c r="Q1779" s="100"/>
      <c r="R1779" s="100"/>
      <c r="S1779" s="100"/>
      <c r="T1779" s="100"/>
      <c r="U1779" s="100"/>
      <c r="V1779" s="100"/>
      <c r="W1779" s="100"/>
      <c r="X1779" s="100"/>
      <c r="Y1779" s="100"/>
      <c r="Z1779" s="100"/>
      <c r="AA1779" s="100"/>
    </row>
    <row r="1780" spans="2:27">
      <c r="B1780" s="100"/>
      <c r="C1780" s="100"/>
      <c r="D1780" s="100"/>
      <c r="E1780" s="100"/>
      <c r="F1780" s="100"/>
      <c r="G1780" s="100"/>
      <c r="H1780" s="100"/>
      <c r="I1780" s="100"/>
      <c r="J1780" s="100"/>
      <c r="K1780" s="100"/>
      <c r="L1780" s="100"/>
      <c r="M1780" s="100"/>
      <c r="N1780" s="100"/>
      <c r="O1780" s="100"/>
      <c r="P1780" s="100"/>
      <c r="Q1780" s="100"/>
      <c r="R1780" s="100"/>
      <c r="S1780" s="100"/>
      <c r="T1780" s="100"/>
      <c r="U1780" s="100"/>
      <c r="V1780" s="100"/>
      <c r="W1780" s="100"/>
      <c r="X1780" s="100"/>
      <c r="Y1780" s="100"/>
      <c r="Z1780" s="100"/>
      <c r="AA1780" s="100"/>
    </row>
    <row r="1781" spans="2:27">
      <c r="B1781" s="100"/>
      <c r="C1781" s="100"/>
      <c r="D1781" s="100"/>
      <c r="E1781" s="100"/>
      <c r="F1781" s="100"/>
      <c r="G1781" s="100"/>
      <c r="H1781" s="100"/>
      <c r="I1781" s="100"/>
      <c r="J1781" s="100"/>
      <c r="K1781" s="100"/>
      <c r="L1781" s="100"/>
      <c r="M1781" s="100"/>
      <c r="N1781" s="100"/>
      <c r="O1781" s="100"/>
      <c r="P1781" s="100"/>
      <c r="Q1781" s="100"/>
      <c r="R1781" s="100"/>
      <c r="S1781" s="100"/>
      <c r="T1781" s="100"/>
      <c r="U1781" s="100"/>
      <c r="V1781" s="100"/>
      <c r="W1781" s="100"/>
      <c r="X1781" s="100"/>
      <c r="Y1781" s="100"/>
      <c r="Z1781" s="100"/>
      <c r="AA1781" s="100"/>
    </row>
    <row r="1782" spans="2:27">
      <c r="B1782" s="100"/>
      <c r="C1782" s="100"/>
      <c r="D1782" s="100"/>
      <c r="E1782" s="100"/>
      <c r="F1782" s="100"/>
      <c r="G1782" s="100"/>
      <c r="H1782" s="100"/>
      <c r="I1782" s="100"/>
      <c r="J1782" s="100"/>
      <c r="K1782" s="100"/>
      <c r="L1782" s="100"/>
      <c r="M1782" s="100"/>
      <c r="N1782" s="100"/>
      <c r="O1782" s="100"/>
      <c r="P1782" s="100"/>
      <c r="Q1782" s="100"/>
      <c r="R1782" s="100"/>
      <c r="S1782" s="100"/>
      <c r="T1782" s="100"/>
      <c r="U1782" s="100"/>
      <c r="V1782" s="100"/>
      <c r="W1782" s="100"/>
      <c r="X1782" s="100"/>
      <c r="Y1782" s="100"/>
      <c r="Z1782" s="100"/>
      <c r="AA1782" s="100"/>
    </row>
    <row r="1783" spans="2:27">
      <c r="B1783" s="100"/>
      <c r="C1783" s="100"/>
      <c r="D1783" s="100"/>
      <c r="E1783" s="100"/>
      <c r="F1783" s="100"/>
      <c r="G1783" s="100"/>
      <c r="H1783" s="100"/>
      <c r="I1783" s="100"/>
      <c r="J1783" s="100"/>
      <c r="K1783" s="100"/>
      <c r="L1783" s="100"/>
      <c r="M1783" s="100"/>
      <c r="N1783" s="100"/>
      <c r="O1783" s="100"/>
      <c r="P1783" s="100"/>
      <c r="Q1783" s="100"/>
      <c r="R1783" s="100"/>
      <c r="S1783" s="100"/>
      <c r="T1783" s="100"/>
      <c r="U1783" s="100"/>
      <c r="V1783" s="100"/>
      <c r="W1783" s="100"/>
      <c r="X1783" s="100"/>
      <c r="Y1783" s="100"/>
      <c r="Z1783" s="100"/>
      <c r="AA1783" s="100"/>
    </row>
    <row r="1784" spans="2:27">
      <c r="B1784" s="100"/>
      <c r="C1784" s="100"/>
      <c r="D1784" s="100"/>
      <c r="E1784" s="100"/>
      <c r="F1784" s="100"/>
      <c r="G1784" s="100"/>
      <c r="H1784" s="100"/>
      <c r="I1784" s="100"/>
      <c r="J1784" s="100"/>
      <c r="K1784" s="100"/>
      <c r="L1784" s="100"/>
      <c r="M1784" s="100"/>
      <c r="N1784" s="100"/>
      <c r="O1784" s="100"/>
      <c r="P1784" s="100"/>
      <c r="Q1784" s="100"/>
      <c r="R1784" s="100"/>
      <c r="S1784" s="100"/>
      <c r="T1784" s="100"/>
      <c r="U1784" s="100"/>
      <c r="V1784" s="100"/>
      <c r="W1784" s="100"/>
      <c r="X1784" s="100"/>
      <c r="Y1784" s="100"/>
      <c r="Z1784" s="100"/>
      <c r="AA1784" s="100"/>
    </row>
    <row r="1785" spans="2:27">
      <c r="B1785" s="100"/>
      <c r="C1785" s="100"/>
      <c r="D1785" s="100"/>
      <c r="E1785" s="100"/>
      <c r="F1785" s="100"/>
      <c r="G1785" s="100"/>
      <c r="H1785" s="100"/>
      <c r="I1785" s="100"/>
      <c r="J1785" s="100"/>
      <c r="K1785" s="100"/>
      <c r="L1785" s="100"/>
      <c r="M1785" s="100"/>
      <c r="N1785" s="100"/>
      <c r="O1785" s="100"/>
      <c r="P1785" s="100"/>
      <c r="Q1785" s="100"/>
      <c r="R1785" s="100"/>
      <c r="S1785" s="100"/>
      <c r="T1785" s="100"/>
      <c r="U1785" s="100"/>
      <c r="V1785" s="100"/>
      <c r="W1785" s="100"/>
      <c r="X1785" s="100"/>
      <c r="Y1785" s="100"/>
      <c r="Z1785" s="100"/>
      <c r="AA1785" s="100"/>
    </row>
    <row r="1786" spans="2:27">
      <c r="B1786" s="100"/>
      <c r="C1786" s="100"/>
      <c r="D1786" s="100"/>
      <c r="E1786" s="100"/>
      <c r="F1786" s="100"/>
      <c r="G1786" s="100"/>
      <c r="H1786" s="100"/>
      <c r="I1786" s="100"/>
      <c r="J1786" s="100"/>
      <c r="K1786" s="100"/>
      <c r="L1786" s="100"/>
      <c r="M1786" s="100"/>
      <c r="N1786" s="100"/>
      <c r="O1786" s="100"/>
      <c r="P1786" s="100"/>
      <c r="Q1786" s="100"/>
      <c r="R1786" s="100"/>
      <c r="S1786" s="100"/>
      <c r="T1786" s="100"/>
      <c r="U1786" s="100"/>
      <c r="V1786" s="100"/>
      <c r="W1786" s="100"/>
      <c r="X1786" s="100"/>
      <c r="Y1786" s="100"/>
      <c r="Z1786" s="100"/>
      <c r="AA1786" s="100"/>
    </row>
    <row r="1787" spans="2:27">
      <c r="B1787" s="100"/>
      <c r="C1787" s="100"/>
      <c r="D1787" s="100"/>
      <c r="E1787" s="100"/>
      <c r="F1787" s="100"/>
      <c r="G1787" s="100"/>
      <c r="H1787" s="100"/>
      <c r="I1787" s="100"/>
      <c r="J1787" s="100"/>
      <c r="K1787" s="100"/>
      <c r="L1787" s="100"/>
      <c r="M1787" s="100"/>
      <c r="N1787" s="100"/>
      <c r="O1787" s="100"/>
      <c r="P1787" s="100"/>
      <c r="Q1787" s="100"/>
      <c r="R1787" s="100"/>
      <c r="S1787" s="100"/>
      <c r="T1787" s="100"/>
      <c r="U1787" s="100"/>
      <c r="V1787" s="100"/>
      <c r="W1787" s="100"/>
      <c r="X1787" s="100"/>
      <c r="Y1787" s="100"/>
      <c r="Z1787" s="100"/>
      <c r="AA1787" s="100"/>
    </row>
    <row r="1788" spans="2:27">
      <c r="B1788" s="100"/>
      <c r="C1788" s="100"/>
      <c r="D1788" s="100"/>
      <c r="E1788" s="100"/>
      <c r="F1788" s="100"/>
      <c r="G1788" s="100"/>
      <c r="H1788" s="100"/>
      <c r="I1788" s="100"/>
      <c r="J1788" s="100"/>
      <c r="K1788" s="100"/>
      <c r="L1788" s="100"/>
      <c r="M1788" s="100"/>
      <c r="N1788" s="100"/>
      <c r="O1788" s="100"/>
      <c r="P1788" s="100"/>
      <c r="Q1788" s="100"/>
      <c r="R1788" s="100"/>
      <c r="S1788" s="100"/>
      <c r="T1788" s="100"/>
      <c r="U1788" s="100"/>
      <c r="V1788" s="100"/>
      <c r="W1788" s="100"/>
      <c r="X1788" s="100"/>
      <c r="Y1788" s="100"/>
      <c r="Z1788" s="100"/>
      <c r="AA1788" s="100"/>
    </row>
    <row r="1789" spans="2:27">
      <c r="B1789" s="100"/>
      <c r="C1789" s="100"/>
      <c r="D1789" s="100"/>
      <c r="E1789" s="100"/>
      <c r="F1789" s="100"/>
      <c r="G1789" s="100"/>
      <c r="H1789" s="100"/>
      <c r="I1789" s="100"/>
      <c r="J1789" s="100"/>
      <c r="K1789" s="100"/>
      <c r="L1789" s="100"/>
      <c r="M1789" s="100"/>
      <c r="N1789" s="100"/>
      <c r="O1789" s="100"/>
      <c r="P1789" s="100"/>
      <c r="Q1789" s="100"/>
      <c r="R1789" s="100"/>
      <c r="S1789" s="100"/>
      <c r="T1789" s="100"/>
      <c r="U1789" s="100"/>
      <c r="V1789" s="100"/>
      <c r="W1789" s="100"/>
      <c r="X1789" s="100"/>
      <c r="Y1789" s="100"/>
      <c r="Z1789" s="100"/>
      <c r="AA1789" s="100"/>
    </row>
    <row r="1790" spans="2:27">
      <c r="B1790" s="100"/>
      <c r="C1790" s="100"/>
      <c r="D1790" s="100"/>
      <c r="E1790" s="100"/>
      <c r="F1790" s="100"/>
      <c r="G1790" s="100"/>
      <c r="H1790" s="100"/>
      <c r="I1790" s="100"/>
      <c r="J1790" s="100"/>
      <c r="K1790" s="100"/>
      <c r="L1790" s="100"/>
      <c r="M1790" s="100"/>
      <c r="N1790" s="100"/>
      <c r="O1790" s="100"/>
      <c r="P1790" s="100"/>
      <c r="Q1790" s="100"/>
      <c r="R1790" s="100"/>
      <c r="S1790" s="100"/>
      <c r="T1790" s="100"/>
      <c r="U1790" s="100"/>
      <c r="V1790" s="100"/>
      <c r="W1790" s="100"/>
      <c r="X1790" s="100"/>
      <c r="Y1790" s="100"/>
      <c r="Z1790" s="100"/>
      <c r="AA1790" s="100"/>
    </row>
    <row r="1791" spans="2:27">
      <c r="B1791" s="100"/>
      <c r="C1791" s="100"/>
      <c r="D1791" s="100"/>
      <c r="E1791" s="100"/>
      <c r="F1791" s="100"/>
      <c r="G1791" s="100"/>
      <c r="H1791" s="100"/>
      <c r="I1791" s="100"/>
      <c r="J1791" s="100"/>
      <c r="K1791" s="100"/>
      <c r="L1791" s="100"/>
      <c r="M1791" s="100"/>
      <c r="N1791" s="100"/>
      <c r="O1791" s="100"/>
      <c r="P1791" s="100"/>
      <c r="Q1791" s="100"/>
      <c r="R1791" s="100"/>
      <c r="S1791" s="100"/>
      <c r="T1791" s="100"/>
      <c r="U1791" s="100"/>
      <c r="V1791" s="100"/>
      <c r="W1791" s="100"/>
      <c r="X1791" s="100"/>
      <c r="Y1791" s="100"/>
      <c r="Z1791" s="100"/>
      <c r="AA1791" s="100"/>
    </row>
    <row r="1792" spans="2:27">
      <c r="B1792" s="100"/>
      <c r="C1792" s="100"/>
      <c r="D1792" s="100"/>
      <c r="E1792" s="100"/>
      <c r="F1792" s="100"/>
      <c r="G1792" s="100"/>
      <c r="H1792" s="100"/>
      <c r="I1792" s="100"/>
      <c r="J1792" s="100"/>
      <c r="K1792" s="100"/>
      <c r="L1792" s="100"/>
      <c r="M1792" s="100"/>
      <c r="N1792" s="100"/>
      <c r="O1792" s="100"/>
      <c r="P1792" s="100"/>
      <c r="Q1792" s="100"/>
      <c r="R1792" s="100"/>
      <c r="S1792" s="100"/>
      <c r="T1792" s="100"/>
      <c r="U1792" s="100"/>
      <c r="V1792" s="100"/>
      <c r="W1792" s="100"/>
      <c r="X1792" s="100"/>
      <c r="Y1792" s="100"/>
      <c r="Z1792" s="100"/>
      <c r="AA1792" s="100"/>
    </row>
    <row r="1793" spans="2:27">
      <c r="B1793" s="100"/>
      <c r="C1793" s="100"/>
      <c r="D1793" s="100"/>
      <c r="E1793" s="100"/>
      <c r="F1793" s="100"/>
      <c r="G1793" s="100"/>
      <c r="H1793" s="100"/>
      <c r="I1793" s="100"/>
      <c r="J1793" s="100"/>
      <c r="K1793" s="100"/>
      <c r="L1793" s="100"/>
      <c r="M1793" s="100"/>
      <c r="N1793" s="100"/>
      <c r="O1793" s="100"/>
      <c r="P1793" s="100"/>
      <c r="Q1793" s="100"/>
      <c r="R1793" s="100"/>
      <c r="S1793" s="100"/>
      <c r="T1793" s="100"/>
      <c r="U1793" s="100"/>
      <c r="V1793" s="100"/>
      <c r="W1793" s="100"/>
      <c r="X1793" s="100"/>
      <c r="Y1793" s="100"/>
      <c r="Z1793" s="100"/>
      <c r="AA1793" s="100"/>
    </row>
    <row r="1794" spans="2:27">
      <c r="B1794" s="100"/>
      <c r="C1794" s="100"/>
      <c r="D1794" s="100"/>
      <c r="E1794" s="100"/>
      <c r="F1794" s="100"/>
      <c r="G1794" s="100"/>
      <c r="H1794" s="100"/>
      <c r="I1794" s="100"/>
      <c r="J1794" s="100"/>
      <c r="K1794" s="100"/>
      <c r="L1794" s="100"/>
      <c r="M1794" s="100"/>
      <c r="N1794" s="100"/>
      <c r="O1794" s="100"/>
      <c r="P1794" s="100"/>
      <c r="Q1794" s="100"/>
      <c r="R1794" s="100"/>
      <c r="S1794" s="100"/>
      <c r="T1794" s="100"/>
      <c r="U1794" s="100"/>
      <c r="V1794" s="100"/>
      <c r="W1794" s="100"/>
      <c r="X1794" s="100"/>
      <c r="Y1794" s="100"/>
      <c r="Z1794" s="100"/>
      <c r="AA1794" s="100"/>
    </row>
    <row r="1795" spans="2:27">
      <c r="B1795" s="100"/>
      <c r="C1795" s="100"/>
      <c r="D1795" s="100"/>
      <c r="E1795" s="100"/>
      <c r="F1795" s="100"/>
      <c r="G1795" s="100"/>
      <c r="H1795" s="100"/>
      <c r="I1795" s="100"/>
      <c r="J1795" s="100"/>
      <c r="K1795" s="100"/>
      <c r="L1795" s="100"/>
      <c r="M1795" s="100"/>
      <c r="N1795" s="100"/>
      <c r="O1795" s="100"/>
      <c r="P1795" s="100"/>
      <c r="Q1795" s="100"/>
      <c r="R1795" s="100"/>
      <c r="S1795" s="100"/>
      <c r="T1795" s="100"/>
      <c r="U1795" s="100"/>
      <c r="V1795" s="100"/>
      <c r="W1795" s="100"/>
      <c r="X1795" s="100"/>
      <c r="Y1795" s="100"/>
      <c r="Z1795" s="100"/>
      <c r="AA1795" s="100"/>
    </row>
    <row r="1796" spans="2:27">
      <c r="B1796" s="100"/>
      <c r="C1796" s="100"/>
      <c r="D1796" s="100"/>
      <c r="E1796" s="100"/>
      <c r="F1796" s="100"/>
      <c r="G1796" s="100"/>
      <c r="H1796" s="100"/>
      <c r="I1796" s="100"/>
      <c r="J1796" s="100"/>
      <c r="K1796" s="100"/>
      <c r="L1796" s="100"/>
      <c r="M1796" s="100"/>
      <c r="N1796" s="100"/>
      <c r="O1796" s="100"/>
      <c r="P1796" s="100"/>
      <c r="Q1796" s="100"/>
      <c r="R1796" s="100"/>
      <c r="S1796" s="100"/>
      <c r="T1796" s="100"/>
      <c r="U1796" s="100"/>
      <c r="V1796" s="100"/>
      <c r="W1796" s="100"/>
      <c r="X1796" s="100"/>
      <c r="Y1796" s="100"/>
      <c r="Z1796" s="100"/>
      <c r="AA1796" s="100"/>
    </row>
    <row r="1797" spans="2:27">
      <c r="B1797" s="100"/>
      <c r="C1797" s="100"/>
      <c r="D1797" s="100"/>
      <c r="E1797" s="100"/>
      <c r="F1797" s="100"/>
      <c r="G1797" s="100"/>
      <c r="H1797" s="100"/>
      <c r="I1797" s="100"/>
      <c r="J1797" s="100"/>
      <c r="K1797" s="100"/>
      <c r="L1797" s="100"/>
      <c r="M1797" s="100"/>
      <c r="N1797" s="100"/>
      <c r="O1797" s="100"/>
      <c r="P1797" s="100"/>
      <c r="Q1797" s="100"/>
      <c r="R1797" s="100"/>
      <c r="S1797" s="100"/>
      <c r="T1797" s="100"/>
      <c r="U1797" s="100"/>
      <c r="V1797" s="100"/>
      <c r="W1797" s="100"/>
      <c r="X1797" s="100"/>
      <c r="Y1797" s="100"/>
      <c r="Z1797" s="100"/>
      <c r="AA1797" s="100"/>
    </row>
    <row r="1798" spans="2:27">
      <c r="B1798" s="100"/>
      <c r="C1798" s="100"/>
      <c r="D1798" s="100"/>
      <c r="E1798" s="100"/>
      <c r="F1798" s="100"/>
      <c r="G1798" s="100"/>
      <c r="H1798" s="100"/>
      <c r="I1798" s="100"/>
      <c r="J1798" s="100"/>
      <c r="K1798" s="100"/>
      <c r="L1798" s="100"/>
      <c r="M1798" s="100"/>
      <c r="N1798" s="100"/>
      <c r="O1798" s="100"/>
      <c r="P1798" s="100"/>
      <c r="Q1798" s="100"/>
      <c r="R1798" s="100"/>
      <c r="S1798" s="100"/>
      <c r="T1798" s="100"/>
      <c r="U1798" s="100"/>
      <c r="V1798" s="100"/>
      <c r="W1798" s="100"/>
      <c r="X1798" s="100"/>
      <c r="Y1798" s="100"/>
      <c r="Z1798" s="100"/>
      <c r="AA1798" s="100"/>
    </row>
    <row r="1799" spans="2:27">
      <c r="B1799" s="100"/>
      <c r="C1799" s="100"/>
      <c r="D1799" s="100"/>
      <c r="E1799" s="100"/>
      <c r="F1799" s="100"/>
      <c r="G1799" s="100"/>
      <c r="H1799" s="100"/>
      <c r="I1799" s="100"/>
      <c r="J1799" s="100"/>
      <c r="K1799" s="100"/>
      <c r="L1799" s="100"/>
      <c r="M1799" s="100"/>
      <c r="N1799" s="100"/>
      <c r="O1799" s="100"/>
      <c r="P1799" s="100"/>
      <c r="Q1799" s="100"/>
      <c r="R1799" s="100"/>
      <c r="S1799" s="100"/>
      <c r="T1799" s="100"/>
      <c r="U1799" s="100"/>
      <c r="V1799" s="100"/>
      <c r="W1799" s="100"/>
      <c r="X1799" s="100"/>
      <c r="Y1799" s="100"/>
      <c r="Z1799" s="100"/>
      <c r="AA1799" s="100"/>
    </row>
    <row r="1800" spans="2:27">
      <c r="B1800" s="100"/>
      <c r="C1800" s="100"/>
      <c r="D1800" s="100"/>
      <c r="E1800" s="100"/>
      <c r="F1800" s="100"/>
      <c r="G1800" s="100"/>
      <c r="H1800" s="100"/>
      <c r="I1800" s="100"/>
      <c r="J1800" s="100"/>
      <c r="K1800" s="100"/>
      <c r="L1800" s="100"/>
      <c r="M1800" s="100"/>
      <c r="N1800" s="100"/>
      <c r="O1800" s="100"/>
      <c r="P1800" s="100"/>
      <c r="Q1800" s="100"/>
      <c r="R1800" s="100"/>
      <c r="S1800" s="100"/>
      <c r="T1800" s="100"/>
      <c r="U1800" s="100"/>
      <c r="V1800" s="100"/>
      <c r="W1800" s="100"/>
      <c r="X1800" s="100"/>
      <c r="Y1800" s="100"/>
      <c r="Z1800" s="100"/>
      <c r="AA1800" s="100"/>
    </row>
    <row r="1801" spans="2:27">
      <c r="B1801" s="100"/>
      <c r="C1801" s="100"/>
      <c r="D1801" s="100"/>
      <c r="E1801" s="100"/>
      <c r="F1801" s="100"/>
      <c r="G1801" s="100"/>
      <c r="H1801" s="100"/>
      <c r="I1801" s="100"/>
      <c r="J1801" s="100"/>
      <c r="K1801" s="100"/>
      <c r="L1801" s="100"/>
      <c r="M1801" s="100"/>
      <c r="N1801" s="100"/>
      <c r="O1801" s="100"/>
      <c r="P1801" s="100"/>
      <c r="Q1801" s="100"/>
      <c r="R1801" s="100"/>
      <c r="S1801" s="100"/>
      <c r="T1801" s="100"/>
      <c r="U1801" s="100"/>
      <c r="V1801" s="100"/>
      <c r="W1801" s="100"/>
      <c r="X1801" s="100"/>
      <c r="Y1801" s="100"/>
      <c r="Z1801" s="100"/>
      <c r="AA1801" s="100"/>
    </row>
    <row r="1802" spans="2:27">
      <c r="B1802" s="100"/>
      <c r="C1802" s="100"/>
      <c r="D1802" s="100"/>
      <c r="E1802" s="100"/>
      <c r="F1802" s="100"/>
      <c r="G1802" s="100"/>
      <c r="H1802" s="100"/>
      <c r="I1802" s="100"/>
      <c r="J1802" s="100"/>
      <c r="K1802" s="100"/>
      <c r="L1802" s="100"/>
      <c r="M1802" s="100"/>
      <c r="N1802" s="100"/>
      <c r="O1802" s="100"/>
      <c r="P1802" s="100"/>
      <c r="Q1802" s="100"/>
      <c r="R1802" s="100"/>
      <c r="S1802" s="100"/>
      <c r="T1802" s="100"/>
      <c r="U1802" s="100"/>
      <c r="V1802" s="100"/>
      <c r="W1802" s="100"/>
      <c r="X1802" s="100"/>
      <c r="Y1802" s="100"/>
      <c r="Z1802" s="100"/>
      <c r="AA1802" s="100"/>
    </row>
    <row r="1803" spans="2:27">
      <c r="B1803" s="100"/>
      <c r="C1803" s="100"/>
      <c r="D1803" s="100"/>
      <c r="E1803" s="100"/>
      <c r="F1803" s="100"/>
      <c r="G1803" s="100"/>
      <c r="H1803" s="100"/>
      <c r="I1803" s="100"/>
      <c r="J1803" s="100"/>
      <c r="K1803" s="100"/>
      <c r="L1803" s="100"/>
      <c r="M1803" s="100"/>
      <c r="N1803" s="100"/>
      <c r="O1803" s="100"/>
      <c r="P1803" s="100"/>
      <c r="Q1803" s="100"/>
      <c r="R1803" s="100"/>
      <c r="S1803" s="100"/>
      <c r="T1803" s="100"/>
      <c r="U1803" s="100"/>
      <c r="V1803" s="100"/>
      <c r="W1803" s="100"/>
      <c r="X1803" s="100"/>
      <c r="Y1803" s="100"/>
      <c r="Z1803" s="100"/>
      <c r="AA1803" s="100"/>
    </row>
    <row r="1804" spans="2:27">
      <c r="B1804" s="100"/>
      <c r="C1804" s="100"/>
      <c r="D1804" s="100"/>
      <c r="E1804" s="100"/>
      <c r="F1804" s="100"/>
      <c r="G1804" s="100"/>
      <c r="H1804" s="100"/>
      <c r="I1804" s="100"/>
      <c r="J1804" s="100"/>
      <c r="K1804" s="100"/>
      <c r="L1804" s="100"/>
      <c r="M1804" s="100"/>
      <c r="N1804" s="100"/>
      <c r="O1804" s="100"/>
      <c r="P1804" s="100"/>
      <c r="Q1804" s="100"/>
      <c r="R1804" s="100"/>
      <c r="S1804" s="100"/>
      <c r="T1804" s="100"/>
      <c r="U1804" s="100"/>
      <c r="V1804" s="100"/>
      <c r="W1804" s="100"/>
      <c r="X1804" s="100"/>
      <c r="Y1804" s="100"/>
      <c r="Z1804" s="100"/>
      <c r="AA1804" s="100"/>
    </row>
    <row r="1805" spans="2:27">
      <c r="B1805" s="100"/>
      <c r="C1805" s="100"/>
      <c r="D1805" s="100"/>
      <c r="E1805" s="100"/>
      <c r="F1805" s="100"/>
      <c r="G1805" s="100"/>
      <c r="H1805" s="100"/>
      <c r="I1805" s="100"/>
      <c r="J1805" s="100"/>
      <c r="K1805" s="100"/>
      <c r="L1805" s="100"/>
      <c r="M1805" s="100"/>
      <c r="N1805" s="100"/>
      <c r="O1805" s="100"/>
      <c r="P1805" s="100"/>
      <c r="Q1805" s="100"/>
      <c r="R1805" s="100"/>
      <c r="S1805" s="100"/>
      <c r="T1805" s="100"/>
      <c r="U1805" s="100"/>
      <c r="V1805" s="100"/>
      <c r="W1805" s="100"/>
      <c r="X1805" s="100"/>
      <c r="Y1805" s="100"/>
      <c r="Z1805" s="100"/>
      <c r="AA1805" s="100"/>
    </row>
    <row r="1806" spans="2:27">
      <c r="B1806" s="100"/>
      <c r="C1806" s="100"/>
      <c r="D1806" s="100"/>
      <c r="E1806" s="100"/>
      <c r="F1806" s="100"/>
      <c r="G1806" s="100"/>
      <c r="H1806" s="100"/>
      <c r="I1806" s="100"/>
      <c r="J1806" s="100"/>
      <c r="K1806" s="100"/>
      <c r="L1806" s="100"/>
      <c r="M1806" s="100"/>
      <c r="N1806" s="100"/>
      <c r="O1806" s="100"/>
      <c r="P1806" s="100"/>
      <c r="Q1806" s="100"/>
      <c r="R1806" s="100"/>
      <c r="S1806" s="100"/>
      <c r="T1806" s="100"/>
      <c r="U1806" s="100"/>
      <c r="V1806" s="100"/>
      <c r="W1806" s="100"/>
      <c r="X1806" s="100"/>
      <c r="Y1806" s="100"/>
      <c r="Z1806" s="100"/>
      <c r="AA1806" s="100"/>
    </row>
    <row r="1807" spans="2:27">
      <c r="B1807" s="100"/>
      <c r="C1807" s="100"/>
      <c r="D1807" s="100"/>
      <c r="E1807" s="100"/>
      <c r="F1807" s="100"/>
      <c r="G1807" s="100"/>
      <c r="H1807" s="100"/>
      <c r="I1807" s="100"/>
      <c r="J1807" s="100"/>
      <c r="K1807" s="100"/>
      <c r="L1807" s="100"/>
      <c r="M1807" s="100"/>
      <c r="N1807" s="100"/>
      <c r="O1807" s="100"/>
      <c r="P1807" s="100"/>
      <c r="Q1807" s="100"/>
      <c r="R1807" s="100"/>
      <c r="S1807" s="100"/>
      <c r="T1807" s="100"/>
      <c r="U1807" s="100"/>
      <c r="V1807" s="100"/>
      <c r="W1807" s="100"/>
      <c r="X1807" s="100"/>
      <c r="Y1807" s="100"/>
      <c r="Z1807" s="100"/>
      <c r="AA1807" s="100"/>
    </row>
    <row r="1808" spans="2:27">
      <c r="B1808" s="100"/>
      <c r="C1808" s="100"/>
      <c r="D1808" s="100"/>
      <c r="E1808" s="100"/>
      <c r="F1808" s="100"/>
      <c r="G1808" s="100"/>
      <c r="H1808" s="100"/>
      <c r="I1808" s="100"/>
      <c r="J1808" s="100"/>
      <c r="K1808" s="100"/>
      <c r="L1808" s="100"/>
      <c r="M1808" s="100"/>
      <c r="N1808" s="100"/>
      <c r="O1808" s="100"/>
      <c r="P1808" s="100"/>
      <c r="Q1808" s="100"/>
      <c r="R1808" s="100"/>
      <c r="S1808" s="100"/>
      <c r="T1808" s="100"/>
      <c r="U1808" s="100"/>
      <c r="V1808" s="100"/>
      <c r="W1808" s="100"/>
      <c r="X1808" s="100"/>
      <c r="Y1808" s="100"/>
      <c r="Z1808" s="100"/>
      <c r="AA1808" s="100"/>
    </row>
    <row r="1809" spans="2:27">
      <c r="B1809" s="100"/>
      <c r="C1809" s="100"/>
      <c r="D1809" s="100"/>
      <c r="E1809" s="100"/>
      <c r="F1809" s="100"/>
      <c r="G1809" s="100"/>
      <c r="H1809" s="100"/>
      <c r="I1809" s="100"/>
      <c r="J1809" s="100"/>
      <c r="K1809" s="100"/>
      <c r="L1809" s="100"/>
      <c r="M1809" s="100"/>
      <c r="N1809" s="100"/>
      <c r="O1809" s="100"/>
      <c r="P1809" s="100"/>
      <c r="Q1809" s="100"/>
      <c r="R1809" s="100"/>
      <c r="S1809" s="100"/>
      <c r="T1809" s="100"/>
      <c r="U1809" s="100"/>
      <c r="V1809" s="100"/>
      <c r="W1809" s="100"/>
      <c r="X1809" s="100"/>
      <c r="Y1809" s="100"/>
      <c r="Z1809" s="100"/>
      <c r="AA1809" s="100"/>
    </row>
    <row r="1810" spans="2:27">
      <c r="B1810" s="100"/>
      <c r="C1810" s="100"/>
      <c r="D1810" s="100"/>
      <c r="E1810" s="100"/>
      <c r="F1810" s="100"/>
      <c r="G1810" s="100"/>
      <c r="H1810" s="100"/>
      <c r="I1810" s="100"/>
      <c r="J1810" s="100"/>
      <c r="K1810" s="100"/>
      <c r="L1810" s="100"/>
      <c r="M1810" s="100"/>
      <c r="N1810" s="100"/>
      <c r="O1810" s="100"/>
      <c r="P1810" s="100"/>
      <c r="Q1810" s="100"/>
      <c r="R1810" s="100"/>
      <c r="S1810" s="100"/>
      <c r="T1810" s="100"/>
      <c r="U1810" s="100"/>
      <c r="V1810" s="100"/>
      <c r="W1810" s="100"/>
      <c r="X1810" s="100"/>
      <c r="Y1810" s="100"/>
      <c r="Z1810" s="100"/>
      <c r="AA1810" s="100"/>
    </row>
    <row r="1811" spans="2:27">
      <c r="B1811" s="100"/>
      <c r="C1811" s="100"/>
      <c r="D1811" s="100"/>
      <c r="E1811" s="100"/>
      <c r="F1811" s="100"/>
      <c r="G1811" s="100"/>
      <c r="H1811" s="100"/>
      <c r="I1811" s="100"/>
      <c r="J1811" s="100"/>
      <c r="K1811" s="100"/>
      <c r="L1811" s="100"/>
      <c r="M1811" s="100"/>
      <c r="N1811" s="100"/>
      <c r="O1811" s="100"/>
      <c r="P1811" s="100"/>
      <c r="Q1811" s="100"/>
      <c r="R1811" s="100"/>
      <c r="S1811" s="100"/>
      <c r="T1811" s="100"/>
      <c r="U1811" s="100"/>
      <c r="V1811" s="100"/>
      <c r="W1811" s="100"/>
      <c r="X1811" s="100"/>
      <c r="Y1811" s="100"/>
      <c r="Z1811" s="100"/>
      <c r="AA1811" s="100"/>
    </row>
    <row r="1812" spans="2:27">
      <c r="B1812" s="100"/>
      <c r="C1812" s="100"/>
      <c r="D1812" s="100"/>
      <c r="E1812" s="100"/>
      <c r="F1812" s="100"/>
      <c r="G1812" s="100"/>
      <c r="H1812" s="100"/>
      <c r="I1812" s="100"/>
      <c r="J1812" s="100"/>
      <c r="K1812" s="100"/>
      <c r="L1812" s="100"/>
      <c r="M1812" s="100"/>
      <c r="N1812" s="100"/>
      <c r="O1812" s="100"/>
      <c r="P1812" s="100"/>
      <c r="Q1812" s="100"/>
      <c r="R1812" s="100"/>
      <c r="S1812" s="100"/>
      <c r="T1812" s="100"/>
      <c r="U1812" s="100"/>
      <c r="V1812" s="100"/>
      <c r="W1812" s="100"/>
      <c r="X1812" s="100"/>
      <c r="Y1812" s="100"/>
      <c r="Z1812" s="100"/>
      <c r="AA1812" s="100"/>
    </row>
    <row r="1813" spans="2:27">
      <c r="B1813" s="100"/>
      <c r="C1813" s="100"/>
      <c r="D1813" s="100"/>
      <c r="E1813" s="100"/>
      <c r="F1813" s="100"/>
      <c r="G1813" s="100"/>
      <c r="H1813" s="100"/>
      <c r="I1813" s="100"/>
      <c r="J1813" s="100"/>
      <c r="K1813" s="100"/>
      <c r="L1813" s="100"/>
      <c r="M1813" s="100"/>
      <c r="N1813" s="100"/>
      <c r="O1813" s="100"/>
      <c r="P1813" s="100"/>
      <c r="Q1813" s="100"/>
      <c r="R1813" s="100"/>
      <c r="S1813" s="100"/>
      <c r="T1813" s="100"/>
      <c r="U1813" s="100"/>
      <c r="V1813" s="100"/>
      <c r="W1813" s="100"/>
      <c r="X1813" s="100"/>
      <c r="Y1813" s="100"/>
      <c r="Z1813" s="100"/>
      <c r="AA1813" s="100"/>
    </row>
    <row r="1814" spans="2:27">
      <c r="B1814" s="100"/>
      <c r="C1814" s="100"/>
      <c r="D1814" s="100"/>
      <c r="E1814" s="100"/>
      <c r="F1814" s="100"/>
      <c r="G1814" s="100"/>
      <c r="H1814" s="100"/>
      <c r="I1814" s="100"/>
      <c r="J1814" s="100"/>
      <c r="K1814" s="100"/>
      <c r="L1814" s="100"/>
      <c r="M1814" s="100"/>
      <c r="N1814" s="100"/>
      <c r="O1814" s="100"/>
      <c r="P1814" s="100"/>
      <c r="Q1814" s="100"/>
      <c r="R1814" s="100"/>
      <c r="S1814" s="100"/>
      <c r="T1814" s="100"/>
      <c r="U1814" s="100"/>
      <c r="V1814" s="100"/>
      <c r="W1814" s="100"/>
      <c r="X1814" s="100"/>
      <c r="Y1814" s="100"/>
      <c r="Z1814" s="100"/>
      <c r="AA1814" s="100"/>
    </row>
    <row r="1815" spans="2:27">
      <c r="B1815" s="100"/>
      <c r="C1815" s="100"/>
      <c r="D1815" s="100"/>
      <c r="E1815" s="100"/>
      <c r="F1815" s="100"/>
      <c r="G1815" s="100"/>
      <c r="H1815" s="100"/>
      <c r="I1815" s="100"/>
      <c r="J1815" s="100"/>
      <c r="K1815" s="100"/>
      <c r="L1815" s="100"/>
      <c r="M1815" s="100"/>
      <c r="N1815" s="100"/>
      <c r="O1815" s="100"/>
      <c r="P1815" s="100"/>
      <c r="Q1815" s="100"/>
      <c r="R1815" s="100"/>
      <c r="S1815" s="100"/>
      <c r="T1815" s="100"/>
      <c r="U1815" s="100"/>
      <c r="V1815" s="100"/>
      <c r="W1815" s="100"/>
      <c r="X1815" s="100"/>
      <c r="Y1815" s="100"/>
      <c r="Z1815" s="100"/>
      <c r="AA1815" s="100"/>
    </row>
    <row r="1816" spans="2:27">
      <c r="B1816" s="100"/>
      <c r="C1816" s="100"/>
      <c r="D1816" s="100"/>
      <c r="E1816" s="100"/>
      <c r="F1816" s="100"/>
      <c r="G1816" s="100"/>
      <c r="H1816" s="100"/>
      <c r="I1816" s="100"/>
      <c r="J1816" s="100"/>
      <c r="K1816" s="100"/>
      <c r="L1816" s="100"/>
      <c r="M1816" s="100"/>
      <c r="N1816" s="100"/>
      <c r="O1816" s="100"/>
      <c r="P1816" s="100"/>
      <c r="Q1816" s="100"/>
      <c r="R1816" s="100"/>
      <c r="S1816" s="100"/>
      <c r="T1816" s="100"/>
      <c r="U1816" s="100"/>
      <c r="V1816" s="100"/>
      <c r="W1816" s="100"/>
      <c r="X1816" s="100"/>
      <c r="Y1816" s="100"/>
      <c r="Z1816" s="100"/>
      <c r="AA1816" s="100"/>
    </row>
    <row r="1817" spans="2:27">
      <c r="B1817" s="100"/>
      <c r="C1817" s="100"/>
      <c r="D1817" s="100"/>
      <c r="E1817" s="100"/>
      <c r="F1817" s="100"/>
      <c r="G1817" s="100"/>
      <c r="H1817" s="100"/>
      <c r="I1817" s="100"/>
      <c r="J1817" s="100"/>
      <c r="K1817" s="100"/>
      <c r="L1817" s="100"/>
      <c r="M1817" s="100"/>
      <c r="N1817" s="100"/>
      <c r="O1817" s="100"/>
      <c r="P1817" s="100"/>
      <c r="Q1817" s="100"/>
      <c r="R1817" s="100"/>
      <c r="S1817" s="100"/>
      <c r="T1817" s="100"/>
      <c r="U1817" s="100"/>
      <c r="V1817" s="100"/>
      <c r="W1817" s="100"/>
      <c r="X1817" s="100"/>
      <c r="Y1817" s="100"/>
      <c r="Z1817" s="100"/>
      <c r="AA1817" s="100"/>
    </row>
    <row r="1818" spans="2:27">
      <c r="B1818" s="100"/>
      <c r="C1818" s="100"/>
      <c r="D1818" s="100"/>
      <c r="E1818" s="100"/>
      <c r="F1818" s="100"/>
      <c r="G1818" s="100"/>
      <c r="H1818" s="100"/>
      <c r="I1818" s="100"/>
      <c r="J1818" s="100"/>
      <c r="K1818" s="100"/>
      <c r="L1818" s="100"/>
      <c r="M1818" s="100"/>
      <c r="N1818" s="100"/>
      <c r="O1818" s="100"/>
      <c r="P1818" s="100"/>
      <c r="Q1818" s="100"/>
      <c r="R1818" s="100"/>
      <c r="S1818" s="100"/>
      <c r="T1818" s="100"/>
      <c r="U1818" s="100"/>
      <c r="V1818" s="100"/>
      <c r="W1818" s="100"/>
      <c r="X1818" s="100"/>
      <c r="Y1818" s="100"/>
      <c r="Z1818" s="100"/>
      <c r="AA1818" s="100"/>
    </row>
    <row r="1819" spans="2:27">
      <c r="B1819" s="100"/>
      <c r="C1819" s="100"/>
      <c r="D1819" s="100"/>
      <c r="E1819" s="100"/>
      <c r="F1819" s="100"/>
      <c r="G1819" s="100"/>
      <c r="H1819" s="100"/>
      <c r="I1819" s="100"/>
      <c r="J1819" s="100"/>
      <c r="K1819" s="100"/>
      <c r="L1819" s="100"/>
      <c r="M1819" s="100"/>
      <c r="N1819" s="100"/>
      <c r="O1819" s="100"/>
      <c r="P1819" s="100"/>
      <c r="Q1819" s="100"/>
      <c r="R1819" s="100"/>
      <c r="S1819" s="100"/>
      <c r="T1819" s="100"/>
      <c r="U1819" s="100"/>
      <c r="V1819" s="100"/>
      <c r="W1819" s="100"/>
      <c r="X1819" s="100"/>
      <c r="Y1819" s="100"/>
      <c r="Z1819" s="100"/>
      <c r="AA1819" s="100"/>
    </row>
    <row r="1820" spans="2:27">
      <c r="B1820" s="100"/>
      <c r="C1820" s="100"/>
      <c r="D1820" s="100"/>
      <c r="E1820" s="100"/>
      <c r="F1820" s="100"/>
      <c r="G1820" s="100"/>
      <c r="H1820" s="100"/>
      <c r="I1820" s="100"/>
      <c r="J1820" s="100"/>
      <c r="K1820" s="100"/>
      <c r="L1820" s="100"/>
      <c r="M1820" s="100"/>
      <c r="N1820" s="100"/>
      <c r="O1820" s="100"/>
      <c r="P1820" s="100"/>
      <c r="Q1820" s="100"/>
      <c r="R1820" s="100"/>
      <c r="S1820" s="100"/>
      <c r="T1820" s="100"/>
      <c r="U1820" s="100"/>
      <c r="V1820" s="100"/>
      <c r="W1820" s="100"/>
      <c r="X1820" s="100"/>
      <c r="Y1820" s="100"/>
      <c r="Z1820" s="100"/>
      <c r="AA1820" s="100"/>
    </row>
    <row r="1821" spans="2:27">
      <c r="B1821" s="100"/>
      <c r="C1821" s="100"/>
      <c r="D1821" s="100"/>
      <c r="E1821" s="100"/>
      <c r="F1821" s="100"/>
      <c r="G1821" s="100"/>
      <c r="H1821" s="100"/>
      <c r="I1821" s="100"/>
      <c r="J1821" s="100"/>
      <c r="K1821" s="100"/>
      <c r="L1821" s="100"/>
      <c r="M1821" s="100"/>
      <c r="N1821" s="100"/>
      <c r="O1821" s="100"/>
      <c r="P1821" s="100"/>
      <c r="Q1821" s="100"/>
      <c r="R1821" s="100"/>
      <c r="S1821" s="100"/>
      <c r="T1821" s="100"/>
      <c r="U1821" s="100"/>
      <c r="V1821" s="100"/>
      <c r="W1821" s="100"/>
      <c r="X1821" s="100"/>
      <c r="Y1821" s="100"/>
      <c r="Z1821" s="100"/>
      <c r="AA1821" s="100"/>
    </row>
    <row r="1822" spans="2:27">
      <c r="B1822" s="100"/>
      <c r="C1822" s="100"/>
      <c r="D1822" s="100"/>
      <c r="E1822" s="100"/>
      <c r="F1822" s="100"/>
      <c r="G1822" s="100"/>
      <c r="H1822" s="100"/>
      <c r="I1822" s="100"/>
      <c r="J1822" s="100"/>
      <c r="K1822" s="100"/>
      <c r="L1822" s="100"/>
      <c r="M1822" s="100"/>
      <c r="N1822" s="100"/>
      <c r="O1822" s="100"/>
      <c r="P1822" s="100"/>
      <c r="Q1822" s="100"/>
      <c r="R1822" s="100"/>
      <c r="S1822" s="100"/>
      <c r="T1822" s="100"/>
      <c r="U1822" s="100"/>
      <c r="V1822" s="100"/>
      <c r="W1822" s="100"/>
      <c r="X1822" s="100"/>
      <c r="Y1822" s="100"/>
      <c r="Z1822" s="100"/>
      <c r="AA1822" s="100"/>
    </row>
    <row r="1823" spans="2:27">
      <c r="B1823" s="100"/>
      <c r="C1823" s="100"/>
      <c r="D1823" s="100"/>
      <c r="E1823" s="100"/>
      <c r="F1823" s="100"/>
      <c r="G1823" s="100"/>
      <c r="H1823" s="100"/>
      <c r="I1823" s="100"/>
      <c r="J1823" s="100"/>
      <c r="K1823" s="100"/>
      <c r="L1823" s="100"/>
      <c r="M1823" s="100"/>
      <c r="N1823" s="100"/>
      <c r="O1823" s="100"/>
      <c r="P1823" s="100"/>
      <c r="Q1823" s="100"/>
      <c r="R1823" s="100"/>
      <c r="S1823" s="100"/>
      <c r="T1823" s="100"/>
      <c r="U1823" s="100"/>
      <c r="V1823" s="100"/>
      <c r="W1823" s="100"/>
      <c r="X1823" s="100"/>
      <c r="Y1823" s="100"/>
      <c r="Z1823" s="100"/>
      <c r="AA1823" s="100"/>
    </row>
    <row r="1824" spans="2:27">
      <c r="B1824" s="100"/>
      <c r="C1824" s="100"/>
      <c r="D1824" s="100"/>
      <c r="E1824" s="100"/>
      <c r="F1824" s="100"/>
      <c r="G1824" s="100"/>
      <c r="H1824" s="100"/>
      <c r="I1824" s="100"/>
      <c r="J1824" s="100"/>
      <c r="K1824" s="100"/>
      <c r="L1824" s="100"/>
      <c r="M1824" s="100"/>
      <c r="N1824" s="100"/>
      <c r="O1824" s="100"/>
      <c r="P1824" s="100"/>
      <c r="Q1824" s="100"/>
      <c r="R1824" s="100"/>
      <c r="S1824" s="100"/>
      <c r="T1824" s="100"/>
      <c r="U1824" s="100"/>
      <c r="V1824" s="100"/>
      <c r="W1824" s="100"/>
      <c r="X1824" s="100"/>
      <c r="Y1824" s="100"/>
      <c r="Z1824" s="100"/>
      <c r="AA1824" s="100"/>
    </row>
    <row r="1825" spans="2:27">
      <c r="B1825" s="100"/>
      <c r="C1825" s="100"/>
      <c r="D1825" s="100"/>
      <c r="E1825" s="100"/>
      <c r="F1825" s="100"/>
      <c r="G1825" s="100"/>
      <c r="H1825" s="100"/>
      <c r="I1825" s="100"/>
      <c r="J1825" s="100"/>
      <c r="K1825" s="100"/>
      <c r="L1825" s="100"/>
      <c r="M1825" s="100"/>
      <c r="N1825" s="100"/>
      <c r="O1825" s="100"/>
      <c r="P1825" s="100"/>
      <c r="Q1825" s="100"/>
      <c r="R1825" s="100"/>
      <c r="S1825" s="100"/>
      <c r="T1825" s="100"/>
      <c r="U1825" s="100"/>
      <c r="V1825" s="100"/>
      <c r="W1825" s="100"/>
      <c r="X1825" s="100"/>
      <c r="Y1825" s="100"/>
      <c r="Z1825" s="100"/>
      <c r="AA1825" s="100"/>
    </row>
    <row r="1826" spans="2:27">
      <c r="B1826" s="100"/>
      <c r="C1826" s="100"/>
      <c r="D1826" s="100"/>
      <c r="E1826" s="100"/>
      <c r="F1826" s="100"/>
      <c r="G1826" s="100"/>
      <c r="H1826" s="100"/>
      <c r="I1826" s="100"/>
      <c r="J1826" s="100"/>
      <c r="K1826" s="100"/>
      <c r="L1826" s="100"/>
      <c r="M1826" s="100"/>
      <c r="N1826" s="100"/>
      <c r="O1826" s="100"/>
      <c r="P1826" s="100"/>
      <c r="Q1826" s="100"/>
      <c r="R1826" s="100"/>
      <c r="S1826" s="100"/>
      <c r="T1826" s="100"/>
      <c r="U1826" s="100"/>
      <c r="V1826" s="100"/>
      <c r="W1826" s="100"/>
      <c r="X1826" s="100"/>
      <c r="Y1826" s="100"/>
      <c r="Z1826" s="100"/>
      <c r="AA1826" s="100"/>
    </row>
    <row r="1827" spans="2:27">
      <c r="B1827" s="100"/>
      <c r="C1827" s="100"/>
      <c r="D1827" s="100"/>
      <c r="E1827" s="100"/>
      <c r="F1827" s="100"/>
      <c r="G1827" s="100"/>
      <c r="H1827" s="100"/>
      <c r="I1827" s="100"/>
      <c r="J1827" s="100"/>
      <c r="K1827" s="100"/>
      <c r="L1827" s="100"/>
      <c r="M1827" s="100"/>
      <c r="N1827" s="100"/>
      <c r="O1827" s="100"/>
      <c r="P1827" s="100"/>
      <c r="Q1827" s="100"/>
      <c r="R1827" s="100"/>
      <c r="S1827" s="100"/>
      <c r="T1827" s="100"/>
      <c r="U1827" s="100"/>
      <c r="V1827" s="100"/>
      <c r="W1827" s="100"/>
      <c r="X1827" s="100"/>
      <c r="Y1827" s="100"/>
      <c r="Z1827" s="100"/>
      <c r="AA1827" s="100"/>
    </row>
    <row r="1828" spans="2:27">
      <c r="B1828" s="100"/>
      <c r="C1828" s="100"/>
      <c r="D1828" s="100"/>
      <c r="E1828" s="100"/>
      <c r="F1828" s="100"/>
      <c r="G1828" s="100"/>
      <c r="H1828" s="100"/>
      <c r="I1828" s="100"/>
      <c r="J1828" s="100"/>
      <c r="K1828" s="100"/>
      <c r="L1828" s="100"/>
      <c r="M1828" s="100"/>
      <c r="N1828" s="100"/>
      <c r="O1828" s="100"/>
      <c r="P1828" s="100"/>
      <c r="Q1828" s="100"/>
      <c r="R1828" s="100"/>
      <c r="S1828" s="100"/>
      <c r="T1828" s="100"/>
      <c r="U1828" s="100"/>
      <c r="V1828" s="100"/>
      <c r="W1828" s="100"/>
      <c r="X1828" s="100"/>
      <c r="Y1828" s="100"/>
      <c r="Z1828" s="100"/>
      <c r="AA1828" s="100"/>
    </row>
    <row r="1829" spans="2:27">
      <c r="B1829" s="100"/>
      <c r="C1829" s="100"/>
      <c r="D1829" s="100"/>
      <c r="E1829" s="100"/>
      <c r="F1829" s="100"/>
      <c r="G1829" s="100"/>
      <c r="H1829" s="100"/>
      <c r="I1829" s="100"/>
      <c r="J1829" s="100"/>
      <c r="K1829" s="100"/>
      <c r="L1829" s="100"/>
      <c r="M1829" s="100"/>
      <c r="N1829" s="100"/>
      <c r="O1829" s="100"/>
      <c r="P1829" s="100"/>
      <c r="Q1829" s="100"/>
      <c r="R1829" s="100"/>
      <c r="S1829" s="100"/>
      <c r="T1829" s="100"/>
      <c r="U1829" s="100"/>
      <c r="V1829" s="100"/>
      <c r="W1829" s="100"/>
      <c r="X1829" s="100"/>
      <c r="Y1829" s="100"/>
      <c r="Z1829" s="100"/>
      <c r="AA1829" s="100"/>
    </row>
    <row r="1830" spans="2:27">
      <c r="B1830" s="100"/>
      <c r="C1830" s="100"/>
      <c r="D1830" s="100"/>
      <c r="E1830" s="100"/>
      <c r="F1830" s="100"/>
      <c r="G1830" s="100"/>
      <c r="H1830" s="100"/>
      <c r="I1830" s="100"/>
      <c r="J1830" s="100"/>
      <c r="K1830" s="100"/>
      <c r="L1830" s="100"/>
      <c r="M1830" s="100"/>
      <c r="N1830" s="100"/>
      <c r="O1830" s="100"/>
      <c r="P1830" s="100"/>
      <c r="Q1830" s="100"/>
      <c r="R1830" s="100"/>
      <c r="S1830" s="100"/>
      <c r="T1830" s="100"/>
      <c r="U1830" s="100"/>
      <c r="V1830" s="100"/>
      <c r="W1830" s="100"/>
      <c r="X1830" s="100"/>
      <c r="Y1830" s="100"/>
      <c r="Z1830" s="100"/>
      <c r="AA1830" s="100"/>
    </row>
    <row r="1831" spans="2:27">
      <c r="B1831" s="100"/>
      <c r="C1831" s="100"/>
      <c r="D1831" s="100"/>
      <c r="E1831" s="100"/>
      <c r="F1831" s="100"/>
      <c r="G1831" s="100"/>
      <c r="H1831" s="100"/>
      <c r="I1831" s="100"/>
      <c r="J1831" s="100"/>
      <c r="K1831" s="100"/>
      <c r="L1831" s="100"/>
      <c r="M1831" s="100"/>
      <c r="N1831" s="100"/>
      <c r="O1831" s="100"/>
      <c r="P1831" s="100"/>
      <c r="Q1831" s="100"/>
      <c r="R1831" s="100"/>
      <c r="S1831" s="100"/>
      <c r="T1831" s="100"/>
      <c r="U1831" s="100"/>
      <c r="V1831" s="100"/>
      <c r="W1831" s="100"/>
      <c r="X1831" s="100"/>
      <c r="Y1831" s="100"/>
      <c r="Z1831" s="100"/>
      <c r="AA1831" s="100"/>
    </row>
    <row r="1832" spans="2:27">
      <c r="B1832" s="100"/>
      <c r="C1832" s="100"/>
      <c r="D1832" s="100"/>
      <c r="E1832" s="100"/>
      <c r="F1832" s="100"/>
      <c r="G1832" s="100"/>
      <c r="H1832" s="100"/>
      <c r="I1832" s="100"/>
      <c r="J1832" s="100"/>
      <c r="K1832" s="100"/>
      <c r="L1832" s="100"/>
      <c r="M1832" s="100"/>
      <c r="N1832" s="100"/>
      <c r="O1832" s="100"/>
      <c r="P1832" s="100"/>
      <c r="Q1832" s="100"/>
      <c r="R1832" s="100"/>
      <c r="S1832" s="100"/>
      <c r="T1832" s="100"/>
      <c r="U1832" s="100"/>
      <c r="V1832" s="100"/>
      <c r="W1832" s="100"/>
      <c r="X1832" s="100"/>
      <c r="Y1832" s="100"/>
      <c r="Z1832" s="100"/>
      <c r="AA1832" s="100"/>
    </row>
    <row r="1833" spans="2:27">
      <c r="B1833" s="100"/>
      <c r="C1833" s="100"/>
      <c r="D1833" s="100"/>
      <c r="E1833" s="100"/>
      <c r="F1833" s="100"/>
      <c r="G1833" s="100"/>
      <c r="H1833" s="100"/>
      <c r="I1833" s="100"/>
      <c r="J1833" s="100"/>
      <c r="K1833" s="100"/>
      <c r="L1833" s="100"/>
      <c r="M1833" s="100"/>
      <c r="N1833" s="100"/>
      <c r="O1833" s="100"/>
      <c r="P1833" s="100"/>
      <c r="Q1833" s="100"/>
      <c r="R1833" s="100"/>
      <c r="S1833" s="100"/>
      <c r="T1833" s="100"/>
      <c r="U1833" s="100"/>
      <c r="V1833" s="100"/>
      <c r="W1833" s="100"/>
      <c r="X1833" s="100"/>
      <c r="Y1833" s="100"/>
      <c r="Z1833" s="100"/>
      <c r="AA1833" s="100"/>
    </row>
    <row r="1834" spans="2:27">
      <c r="B1834" s="100"/>
      <c r="C1834" s="100"/>
      <c r="D1834" s="100"/>
      <c r="E1834" s="100"/>
      <c r="F1834" s="100"/>
      <c r="G1834" s="100"/>
      <c r="H1834" s="100"/>
      <c r="I1834" s="100"/>
      <c r="J1834" s="100"/>
      <c r="K1834" s="100"/>
      <c r="L1834" s="100"/>
      <c r="M1834" s="100"/>
      <c r="N1834" s="100"/>
      <c r="O1834" s="100"/>
      <c r="P1834" s="100"/>
      <c r="Q1834" s="100"/>
      <c r="R1834" s="100"/>
      <c r="S1834" s="100"/>
      <c r="T1834" s="100"/>
      <c r="U1834" s="100"/>
      <c r="V1834" s="100"/>
      <c r="W1834" s="100"/>
      <c r="X1834" s="100"/>
      <c r="Y1834" s="100"/>
      <c r="Z1834" s="100"/>
      <c r="AA1834" s="100"/>
    </row>
    <row r="1835" spans="2:27">
      <c r="B1835" s="100"/>
      <c r="C1835" s="100"/>
      <c r="D1835" s="100"/>
      <c r="E1835" s="100"/>
      <c r="F1835" s="100"/>
      <c r="G1835" s="100"/>
      <c r="H1835" s="100"/>
      <c r="I1835" s="100"/>
      <c r="J1835" s="100"/>
      <c r="K1835" s="100"/>
      <c r="L1835" s="100"/>
      <c r="M1835" s="100"/>
      <c r="N1835" s="100"/>
      <c r="O1835" s="100"/>
      <c r="P1835" s="100"/>
      <c r="Q1835" s="100"/>
      <c r="R1835" s="100"/>
      <c r="S1835" s="100"/>
      <c r="T1835" s="100"/>
      <c r="U1835" s="100"/>
      <c r="V1835" s="100"/>
      <c r="W1835" s="100"/>
      <c r="X1835" s="100"/>
      <c r="Y1835" s="100"/>
      <c r="Z1835" s="100"/>
      <c r="AA1835" s="100"/>
    </row>
    <row r="1836" spans="2:27">
      <c r="B1836" s="100"/>
      <c r="C1836" s="100"/>
      <c r="D1836" s="100"/>
      <c r="E1836" s="100"/>
      <c r="F1836" s="100"/>
      <c r="G1836" s="100"/>
      <c r="H1836" s="100"/>
      <c r="I1836" s="100"/>
      <c r="J1836" s="100"/>
      <c r="K1836" s="100"/>
      <c r="L1836" s="100"/>
      <c r="M1836" s="100"/>
      <c r="N1836" s="100"/>
      <c r="O1836" s="100"/>
      <c r="P1836" s="100"/>
      <c r="Q1836" s="100"/>
      <c r="R1836" s="100"/>
      <c r="S1836" s="100"/>
      <c r="T1836" s="100"/>
      <c r="U1836" s="100"/>
      <c r="V1836" s="100"/>
      <c r="W1836" s="100"/>
      <c r="X1836" s="100"/>
      <c r="Y1836" s="100"/>
      <c r="Z1836" s="100"/>
      <c r="AA1836" s="100"/>
    </row>
    <row r="1837" spans="2:27">
      <c r="B1837" s="100"/>
      <c r="C1837" s="100"/>
      <c r="D1837" s="100"/>
      <c r="E1837" s="100"/>
      <c r="F1837" s="100"/>
      <c r="G1837" s="100"/>
      <c r="H1837" s="100"/>
      <c r="I1837" s="100"/>
      <c r="J1837" s="100"/>
      <c r="K1837" s="100"/>
      <c r="L1837" s="100"/>
      <c r="M1837" s="100"/>
      <c r="N1837" s="100"/>
      <c r="O1837" s="100"/>
      <c r="P1837" s="100"/>
      <c r="Q1837" s="100"/>
      <c r="R1837" s="100"/>
      <c r="S1837" s="100"/>
      <c r="T1837" s="100"/>
      <c r="U1837" s="100"/>
      <c r="V1837" s="100"/>
      <c r="W1837" s="100"/>
      <c r="X1837" s="100"/>
      <c r="Y1837" s="100"/>
      <c r="Z1837" s="100"/>
      <c r="AA1837" s="100"/>
    </row>
    <row r="1838" spans="2:27">
      <c r="B1838" s="100"/>
      <c r="C1838" s="100"/>
      <c r="D1838" s="100"/>
      <c r="E1838" s="100"/>
      <c r="F1838" s="100"/>
      <c r="G1838" s="100"/>
      <c r="H1838" s="100"/>
      <c r="I1838" s="100"/>
      <c r="J1838" s="100"/>
      <c r="K1838" s="100"/>
      <c r="L1838" s="100"/>
      <c r="M1838" s="100"/>
      <c r="N1838" s="100"/>
      <c r="O1838" s="100"/>
      <c r="P1838" s="100"/>
      <c r="Q1838" s="100"/>
      <c r="R1838" s="100"/>
      <c r="S1838" s="100"/>
      <c r="T1838" s="100"/>
      <c r="U1838" s="100"/>
      <c r="V1838" s="100"/>
      <c r="W1838" s="100"/>
      <c r="X1838" s="100"/>
      <c r="Y1838" s="100"/>
      <c r="Z1838" s="100"/>
      <c r="AA1838" s="100"/>
    </row>
    <row r="1839" spans="2:27">
      <c r="B1839" s="100"/>
      <c r="C1839" s="100"/>
      <c r="D1839" s="100"/>
      <c r="E1839" s="100"/>
      <c r="F1839" s="100"/>
      <c r="G1839" s="100"/>
      <c r="H1839" s="100"/>
      <c r="I1839" s="100"/>
      <c r="J1839" s="100"/>
      <c r="K1839" s="100"/>
      <c r="L1839" s="100"/>
      <c r="M1839" s="100"/>
      <c r="N1839" s="100"/>
      <c r="O1839" s="100"/>
      <c r="P1839" s="100"/>
      <c r="Q1839" s="100"/>
      <c r="R1839" s="100"/>
      <c r="S1839" s="100"/>
      <c r="T1839" s="100"/>
      <c r="U1839" s="100"/>
      <c r="V1839" s="100"/>
      <c r="W1839" s="100"/>
      <c r="X1839" s="100"/>
      <c r="Y1839" s="100"/>
      <c r="Z1839" s="100"/>
      <c r="AA1839" s="100"/>
    </row>
    <row r="1840" spans="2:27">
      <c r="B1840" s="100"/>
      <c r="C1840" s="100"/>
      <c r="D1840" s="100"/>
      <c r="E1840" s="100"/>
      <c r="F1840" s="100"/>
      <c r="G1840" s="100"/>
      <c r="H1840" s="100"/>
      <c r="I1840" s="100"/>
      <c r="J1840" s="100"/>
      <c r="K1840" s="100"/>
      <c r="L1840" s="100"/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  <c r="AA1840" s="100"/>
    </row>
    <row r="1841" spans="2:27">
      <c r="B1841" s="100"/>
      <c r="C1841" s="100"/>
      <c r="D1841" s="100"/>
      <c r="E1841" s="100"/>
      <c r="F1841" s="100"/>
      <c r="G1841" s="100"/>
      <c r="H1841" s="100"/>
      <c r="I1841" s="100"/>
      <c r="J1841" s="100"/>
      <c r="K1841" s="100"/>
      <c r="L1841" s="100"/>
      <c r="M1841" s="100"/>
      <c r="N1841" s="100"/>
      <c r="O1841" s="100"/>
      <c r="P1841" s="100"/>
      <c r="Q1841" s="100"/>
      <c r="R1841" s="100"/>
      <c r="S1841" s="100"/>
      <c r="T1841" s="100"/>
      <c r="U1841" s="100"/>
      <c r="V1841" s="100"/>
      <c r="W1841" s="100"/>
      <c r="X1841" s="100"/>
      <c r="Y1841" s="100"/>
      <c r="Z1841" s="100"/>
      <c r="AA1841" s="100"/>
    </row>
    <row r="1842" spans="2:27">
      <c r="B1842" s="100"/>
      <c r="C1842" s="100"/>
      <c r="D1842" s="100"/>
      <c r="E1842" s="100"/>
      <c r="F1842" s="100"/>
      <c r="G1842" s="100"/>
      <c r="H1842" s="100"/>
      <c r="I1842" s="100"/>
      <c r="J1842" s="100"/>
      <c r="K1842" s="100"/>
      <c r="L1842" s="100"/>
      <c r="M1842" s="100"/>
      <c r="N1842" s="100"/>
      <c r="O1842" s="100"/>
      <c r="P1842" s="100"/>
      <c r="Q1842" s="100"/>
      <c r="R1842" s="100"/>
      <c r="S1842" s="100"/>
      <c r="T1842" s="100"/>
      <c r="U1842" s="100"/>
      <c r="V1842" s="100"/>
      <c r="W1842" s="100"/>
      <c r="X1842" s="100"/>
      <c r="Y1842" s="100"/>
      <c r="Z1842" s="100"/>
      <c r="AA1842" s="100"/>
    </row>
    <row r="1843" spans="2:27">
      <c r="B1843" s="100"/>
      <c r="C1843" s="100"/>
      <c r="D1843" s="100"/>
      <c r="E1843" s="100"/>
      <c r="F1843" s="100"/>
      <c r="G1843" s="100"/>
      <c r="H1843" s="100"/>
      <c r="I1843" s="100"/>
      <c r="J1843" s="100"/>
      <c r="K1843" s="100"/>
      <c r="L1843" s="100"/>
      <c r="M1843" s="100"/>
      <c r="N1843" s="100"/>
      <c r="O1843" s="100"/>
      <c r="P1843" s="100"/>
      <c r="Q1843" s="100"/>
      <c r="R1843" s="100"/>
      <c r="S1843" s="100"/>
      <c r="T1843" s="100"/>
      <c r="U1843" s="100"/>
      <c r="V1843" s="100"/>
      <c r="W1843" s="100"/>
      <c r="X1843" s="100"/>
      <c r="Y1843" s="100"/>
      <c r="Z1843" s="100"/>
      <c r="AA1843" s="100"/>
    </row>
    <row r="1844" spans="2:27">
      <c r="B1844" s="100"/>
      <c r="C1844" s="100"/>
      <c r="D1844" s="100"/>
      <c r="E1844" s="100"/>
      <c r="F1844" s="100"/>
      <c r="G1844" s="100"/>
      <c r="H1844" s="100"/>
      <c r="I1844" s="100"/>
      <c r="J1844" s="100"/>
      <c r="K1844" s="100"/>
      <c r="L1844" s="100"/>
      <c r="M1844" s="100"/>
      <c r="N1844" s="100"/>
      <c r="O1844" s="100"/>
      <c r="P1844" s="100"/>
      <c r="Q1844" s="100"/>
      <c r="R1844" s="100"/>
      <c r="S1844" s="100"/>
      <c r="T1844" s="100"/>
      <c r="U1844" s="100"/>
      <c r="V1844" s="100"/>
      <c r="W1844" s="100"/>
      <c r="X1844" s="100"/>
      <c r="Y1844" s="100"/>
      <c r="Z1844" s="100"/>
      <c r="AA1844" s="100"/>
    </row>
    <row r="1845" spans="2:27">
      <c r="B1845" s="100"/>
      <c r="C1845" s="100"/>
      <c r="D1845" s="100"/>
      <c r="E1845" s="100"/>
      <c r="F1845" s="100"/>
      <c r="G1845" s="100"/>
      <c r="H1845" s="100"/>
      <c r="I1845" s="100"/>
      <c r="J1845" s="100"/>
      <c r="K1845" s="100"/>
      <c r="L1845" s="100"/>
      <c r="M1845" s="100"/>
      <c r="N1845" s="100"/>
      <c r="O1845" s="100"/>
      <c r="P1845" s="100"/>
      <c r="Q1845" s="100"/>
      <c r="R1845" s="100"/>
      <c r="S1845" s="100"/>
      <c r="T1845" s="100"/>
      <c r="U1845" s="100"/>
      <c r="V1845" s="100"/>
      <c r="W1845" s="100"/>
      <c r="X1845" s="100"/>
      <c r="Y1845" s="100"/>
      <c r="Z1845" s="100"/>
      <c r="AA1845" s="100"/>
    </row>
    <row r="1846" spans="2:27">
      <c r="B1846" s="100"/>
      <c r="C1846" s="100"/>
      <c r="D1846" s="100"/>
      <c r="E1846" s="100"/>
      <c r="F1846" s="100"/>
      <c r="G1846" s="100"/>
      <c r="H1846" s="100"/>
      <c r="I1846" s="100"/>
      <c r="J1846" s="100"/>
      <c r="K1846" s="100"/>
      <c r="L1846" s="100"/>
      <c r="M1846" s="100"/>
      <c r="N1846" s="100"/>
      <c r="O1846" s="100"/>
      <c r="P1846" s="100"/>
      <c r="Q1846" s="100"/>
      <c r="R1846" s="100"/>
      <c r="S1846" s="100"/>
      <c r="T1846" s="100"/>
      <c r="U1846" s="100"/>
      <c r="V1846" s="100"/>
      <c r="W1846" s="100"/>
      <c r="X1846" s="100"/>
      <c r="Y1846" s="100"/>
      <c r="Z1846" s="100"/>
      <c r="AA1846" s="100"/>
    </row>
    <row r="1847" spans="2:27">
      <c r="B1847" s="100"/>
      <c r="C1847" s="100"/>
      <c r="D1847" s="100"/>
      <c r="E1847" s="100"/>
      <c r="F1847" s="100"/>
      <c r="G1847" s="100"/>
      <c r="H1847" s="100"/>
      <c r="I1847" s="100"/>
      <c r="J1847" s="100"/>
      <c r="K1847" s="100"/>
      <c r="L1847" s="100"/>
      <c r="M1847" s="100"/>
      <c r="N1847" s="100"/>
      <c r="O1847" s="100"/>
      <c r="P1847" s="100"/>
      <c r="Q1847" s="100"/>
      <c r="R1847" s="100"/>
      <c r="S1847" s="100"/>
      <c r="T1847" s="100"/>
      <c r="U1847" s="100"/>
      <c r="V1847" s="100"/>
      <c r="W1847" s="100"/>
      <c r="X1847" s="100"/>
      <c r="Y1847" s="100"/>
      <c r="Z1847" s="100"/>
      <c r="AA1847" s="100"/>
    </row>
    <row r="1848" spans="2:27">
      <c r="B1848" s="100"/>
      <c r="C1848" s="100"/>
      <c r="D1848" s="100"/>
      <c r="E1848" s="100"/>
      <c r="F1848" s="100"/>
      <c r="G1848" s="100"/>
      <c r="H1848" s="100"/>
      <c r="I1848" s="100"/>
      <c r="J1848" s="100"/>
      <c r="K1848" s="100"/>
      <c r="L1848" s="100"/>
      <c r="M1848" s="100"/>
      <c r="N1848" s="100"/>
      <c r="O1848" s="100"/>
      <c r="P1848" s="100"/>
      <c r="Q1848" s="100"/>
      <c r="R1848" s="100"/>
      <c r="S1848" s="100"/>
      <c r="T1848" s="100"/>
      <c r="U1848" s="100"/>
      <c r="V1848" s="100"/>
      <c r="W1848" s="100"/>
      <c r="X1848" s="100"/>
      <c r="Y1848" s="100"/>
      <c r="Z1848" s="100"/>
      <c r="AA1848" s="100"/>
    </row>
    <row r="1849" spans="2:27">
      <c r="B1849" s="100"/>
      <c r="C1849" s="100"/>
      <c r="D1849" s="100"/>
      <c r="E1849" s="100"/>
      <c r="F1849" s="100"/>
      <c r="G1849" s="100"/>
      <c r="H1849" s="100"/>
      <c r="I1849" s="100"/>
      <c r="J1849" s="100"/>
      <c r="K1849" s="100"/>
      <c r="L1849" s="100"/>
      <c r="M1849" s="100"/>
      <c r="N1849" s="100"/>
      <c r="O1849" s="100"/>
      <c r="P1849" s="100"/>
      <c r="Q1849" s="100"/>
      <c r="R1849" s="100"/>
      <c r="S1849" s="100"/>
      <c r="T1849" s="100"/>
      <c r="U1849" s="100"/>
      <c r="V1849" s="100"/>
      <c r="W1849" s="100"/>
      <c r="X1849" s="100"/>
      <c r="Y1849" s="100"/>
      <c r="Z1849" s="100"/>
      <c r="AA1849" s="100"/>
    </row>
    <row r="1850" spans="2:27">
      <c r="B1850" s="100"/>
      <c r="C1850" s="100"/>
      <c r="D1850" s="100"/>
      <c r="E1850" s="100"/>
      <c r="F1850" s="100"/>
      <c r="G1850" s="100"/>
      <c r="H1850" s="100"/>
      <c r="I1850" s="100"/>
      <c r="J1850" s="100"/>
      <c r="K1850" s="100"/>
      <c r="L1850" s="100"/>
      <c r="M1850" s="100"/>
      <c r="N1850" s="100"/>
      <c r="O1850" s="100"/>
      <c r="P1850" s="100"/>
      <c r="Q1850" s="100"/>
      <c r="R1850" s="100"/>
      <c r="S1850" s="100"/>
      <c r="T1850" s="100"/>
      <c r="U1850" s="100"/>
      <c r="V1850" s="100"/>
      <c r="W1850" s="100"/>
      <c r="X1850" s="100"/>
      <c r="Y1850" s="100"/>
      <c r="Z1850" s="100"/>
      <c r="AA1850" s="100"/>
    </row>
    <row r="1851" spans="2:27">
      <c r="B1851" s="100"/>
      <c r="C1851" s="100"/>
      <c r="D1851" s="100"/>
      <c r="E1851" s="100"/>
      <c r="F1851" s="100"/>
      <c r="G1851" s="100"/>
      <c r="H1851" s="100"/>
      <c r="I1851" s="100"/>
      <c r="J1851" s="100"/>
      <c r="K1851" s="100"/>
      <c r="L1851" s="100"/>
      <c r="M1851" s="100"/>
      <c r="N1851" s="100"/>
      <c r="O1851" s="100"/>
      <c r="P1851" s="100"/>
      <c r="Q1851" s="100"/>
      <c r="R1851" s="100"/>
      <c r="S1851" s="100"/>
      <c r="T1851" s="100"/>
      <c r="U1851" s="100"/>
      <c r="V1851" s="100"/>
      <c r="W1851" s="100"/>
      <c r="X1851" s="100"/>
      <c r="Y1851" s="100"/>
      <c r="Z1851" s="100"/>
      <c r="AA1851" s="100"/>
    </row>
    <row r="1852" spans="2:27">
      <c r="B1852" s="100"/>
      <c r="C1852" s="100"/>
      <c r="D1852" s="100"/>
      <c r="E1852" s="100"/>
      <c r="F1852" s="100"/>
      <c r="G1852" s="100"/>
      <c r="H1852" s="100"/>
      <c r="I1852" s="100"/>
      <c r="J1852" s="100"/>
      <c r="K1852" s="100"/>
      <c r="L1852" s="100"/>
      <c r="M1852" s="100"/>
      <c r="N1852" s="100"/>
      <c r="O1852" s="100"/>
      <c r="P1852" s="100"/>
      <c r="Q1852" s="100"/>
      <c r="R1852" s="100"/>
      <c r="S1852" s="100"/>
      <c r="T1852" s="100"/>
      <c r="U1852" s="100"/>
      <c r="V1852" s="100"/>
      <c r="W1852" s="100"/>
      <c r="X1852" s="100"/>
      <c r="Y1852" s="100"/>
      <c r="Z1852" s="100"/>
      <c r="AA1852" s="100"/>
    </row>
    <row r="1853" spans="2:27">
      <c r="B1853" s="100"/>
      <c r="C1853" s="100"/>
      <c r="D1853" s="100"/>
      <c r="E1853" s="100"/>
      <c r="F1853" s="100"/>
      <c r="G1853" s="100"/>
      <c r="H1853" s="100"/>
      <c r="I1853" s="100"/>
      <c r="J1853" s="100"/>
      <c r="K1853" s="100"/>
      <c r="L1853" s="100"/>
      <c r="M1853" s="100"/>
      <c r="N1853" s="100"/>
      <c r="O1853" s="100"/>
      <c r="P1853" s="100"/>
      <c r="Q1853" s="100"/>
      <c r="R1853" s="100"/>
      <c r="S1853" s="100"/>
      <c r="T1853" s="100"/>
      <c r="U1853" s="100"/>
      <c r="V1853" s="100"/>
      <c r="W1853" s="100"/>
      <c r="X1853" s="100"/>
      <c r="Y1853" s="100"/>
      <c r="Z1853" s="100"/>
      <c r="AA1853" s="100"/>
    </row>
    <row r="1854" spans="2:27">
      <c r="B1854" s="100"/>
      <c r="C1854" s="100"/>
      <c r="D1854" s="100"/>
      <c r="E1854" s="100"/>
      <c r="F1854" s="100"/>
      <c r="G1854" s="100"/>
      <c r="H1854" s="100"/>
      <c r="I1854" s="100"/>
      <c r="J1854" s="100"/>
      <c r="K1854" s="100"/>
      <c r="L1854" s="100"/>
      <c r="M1854" s="100"/>
      <c r="N1854" s="100"/>
      <c r="O1854" s="100"/>
      <c r="P1854" s="100"/>
      <c r="Q1854" s="100"/>
      <c r="R1854" s="100"/>
      <c r="S1854" s="100"/>
      <c r="T1854" s="100"/>
      <c r="U1854" s="100"/>
      <c r="V1854" s="100"/>
      <c r="W1854" s="100"/>
      <c r="X1854" s="100"/>
      <c r="Y1854" s="100"/>
      <c r="Z1854" s="100"/>
      <c r="AA1854" s="100"/>
    </row>
    <row r="1855" spans="2:27">
      <c r="B1855" s="100"/>
      <c r="C1855" s="100"/>
      <c r="D1855" s="100"/>
      <c r="E1855" s="100"/>
      <c r="F1855" s="100"/>
      <c r="G1855" s="100"/>
      <c r="H1855" s="100"/>
      <c r="I1855" s="100"/>
      <c r="J1855" s="100"/>
      <c r="K1855" s="100"/>
      <c r="L1855" s="100"/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  <c r="AA1855" s="100"/>
    </row>
    <row r="1856" spans="2:27">
      <c r="B1856" s="100"/>
      <c r="C1856" s="100"/>
      <c r="D1856" s="100"/>
      <c r="E1856" s="100"/>
      <c r="F1856" s="100"/>
      <c r="G1856" s="100"/>
      <c r="H1856" s="100"/>
      <c r="I1856" s="100"/>
      <c r="J1856" s="100"/>
      <c r="K1856" s="100"/>
      <c r="L1856" s="100"/>
      <c r="M1856" s="100"/>
      <c r="N1856" s="100"/>
      <c r="O1856" s="100"/>
      <c r="P1856" s="100"/>
      <c r="Q1856" s="100"/>
      <c r="R1856" s="100"/>
      <c r="S1856" s="100"/>
      <c r="T1856" s="100"/>
      <c r="U1856" s="100"/>
      <c r="V1856" s="100"/>
      <c r="W1856" s="100"/>
      <c r="X1856" s="100"/>
      <c r="Y1856" s="100"/>
      <c r="Z1856" s="100"/>
      <c r="AA1856" s="100"/>
    </row>
    <row r="1857" spans="2:27">
      <c r="B1857" s="100"/>
      <c r="C1857" s="100"/>
      <c r="D1857" s="100"/>
      <c r="E1857" s="100"/>
      <c r="F1857" s="100"/>
      <c r="G1857" s="100"/>
      <c r="H1857" s="100"/>
      <c r="I1857" s="100"/>
      <c r="J1857" s="100"/>
      <c r="K1857" s="100"/>
      <c r="L1857" s="100"/>
      <c r="M1857" s="100"/>
      <c r="N1857" s="100"/>
      <c r="O1857" s="100"/>
      <c r="P1857" s="100"/>
      <c r="Q1857" s="100"/>
      <c r="R1857" s="100"/>
      <c r="S1857" s="100"/>
      <c r="T1857" s="100"/>
      <c r="U1857" s="100"/>
      <c r="V1857" s="100"/>
      <c r="W1857" s="100"/>
      <c r="X1857" s="100"/>
      <c r="Y1857" s="100"/>
      <c r="Z1857" s="100"/>
      <c r="AA1857" s="100"/>
    </row>
    <row r="1858" spans="2:27">
      <c r="B1858" s="100"/>
      <c r="C1858" s="100"/>
      <c r="D1858" s="100"/>
      <c r="E1858" s="100"/>
      <c r="F1858" s="100"/>
      <c r="G1858" s="100"/>
      <c r="H1858" s="100"/>
      <c r="I1858" s="100"/>
      <c r="J1858" s="100"/>
      <c r="K1858" s="100"/>
      <c r="L1858" s="100"/>
      <c r="M1858" s="100"/>
      <c r="N1858" s="100"/>
      <c r="O1858" s="100"/>
      <c r="P1858" s="100"/>
      <c r="Q1858" s="100"/>
      <c r="R1858" s="100"/>
      <c r="S1858" s="100"/>
      <c r="T1858" s="100"/>
      <c r="U1858" s="100"/>
      <c r="V1858" s="100"/>
      <c r="W1858" s="100"/>
      <c r="X1858" s="100"/>
      <c r="Y1858" s="100"/>
      <c r="Z1858" s="100"/>
      <c r="AA1858" s="100"/>
    </row>
    <row r="1859" spans="2:27">
      <c r="B1859" s="100"/>
      <c r="C1859" s="100"/>
      <c r="D1859" s="100"/>
      <c r="E1859" s="100"/>
      <c r="F1859" s="100"/>
      <c r="G1859" s="100"/>
      <c r="H1859" s="100"/>
      <c r="I1859" s="100"/>
      <c r="J1859" s="100"/>
      <c r="K1859" s="100"/>
      <c r="L1859" s="100"/>
      <c r="M1859" s="100"/>
      <c r="N1859" s="100"/>
      <c r="O1859" s="100"/>
      <c r="P1859" s="100"/>
      <c r="Q1859" s="100"/>
      <c r="R1859" s="100"/>
      <c r="S1859" s="100"/>
      <c r="T1859" s="100"/>
      <c r="U1859" s="100"/>
      <c r="V1859" s="100"/>
      <c r="W1859" s="100"/>
      <c r="X1859" s="100"/>
      <c r="Y1859" s="100"/>
      <c r="Z1859" s="100"/>
      <c r="AA1859" s="100"/>
    </row>
    <row r="1860" spans="2:27">
      <c r="B1860" s="100"/>
      <c r="C1860" s="100"/>
      <c r="D1860" s="100"/>
      <c r="E1860" s="100"/>
      <c r="F1860" s="100"/>
      <c r="G1860" s="100"/>
      <c r="H1860" s="100"/>
      <c r="I1860" s="100"/>
      <c r="J1860" s="100"/>
      <c r="K1860" s="100"/>
      <c r="L1860" s="100"/>
      <c r="M1860" s="100"/>
      <c r="N1860" s="100"/>
      <c r="O1860" s="100"/>
      <c r="P1860" s="100"/>
      <c r="Q1860" s="100"/>
      <c r="R1860" s="100"/>
      <c r="S1860" s="100"/>
      <c r="T1860" s="100"/>
      <c r="U1860" s="100"/>
      <c r="V1860" s="100"/>
      <c r="W1860" s="100"/>
      <c r="X1860" s="100"/>
      <c r="Y1860" s="100"/>
      <c r="Z1860" s="100"/>
      <c r="AA1860" s="100"/>
    </row>
    <row r="1861" spans="2:27">
      <c r="B1861" s="100"/>
      <c r="C1861" s="100"/>
      <c r="D1861" s="100"/>
      <c r="E1861" s="100"/>
      <c r="F1861" s="100"/>
      <c r="G1861" s="100"/>
      <c r="H1861" s="100"/>
      <c r="I1861" s="100"/>
      <c r="J1861" s="100"/>
      <c r="K1861" s="100"/>
      <c r="L1861" s="100"/>
      <c r="M1861" s="100"/>
      <c r="N1861" s="100"/>
      <c r="O1861" s="100"/>
      <c r="P1861" s="100"/>
      <c r="Q1861" s="100"/>
      <c r="R1861" s="100"/>
      <c r="S1861" s="100"/>
      <c r="T1861" s="100"/>
      <c r="U1861" s="100"/>
      <c r="V1861" s="100"/>
      <c r="W1861" s="100"/>
      <c r="X1861" s="100"/>
      <c r="Y1861" s="100"/>
      <c r="Z1861" s="100"/>
      <c r="AA1861" s="100"/>
    </row>
    <row r="1862" spans="2:27">
      <c r="B1862" s="100"/>
      <c r="C1862" s="100"/>
      <c r="D1862" s="100"/>
      <c r="E1862" s="100"/>
      <c r="F1862" s="100"/>
      <c r="G1862" s="100"/>
      <c r="H1862" s="100"/>
      <c r="I1862" s="100"/>
      <c r="J1862" s="100"/>
      <c r="K1862" s="100"/>
      <c r="L1862" s="100"/>
      <c r="M1862" s="100"/>
      <c r="N1862" s="100"/>
      <c r="O1862" s="100"/>
      <c r="P1862" s="100"/>
      <c r="Q1862" s="100"/>
      <c r="R1862" s="100"/>
      <c r="S1862" s="100"/>
      <c r="T1862" s="100"/>
      <c r="U1862" s="100"/>
      <c r="V1862" s="100"/>
      <c r="W1862" s="100"/>
      <c r="X1862" s="100"/>
      <c r="Y1862" s="100"/>
      <c r="Z1862" s="100"/>
      <c r="AA1862" s="100"/>
    </row>
    <row r="1863" spans="2:27">
      <c r="B1863" s="100"/>
      <c r="C1863" s="100"/>
      <c r="D1863" s="100"/>
      <c r="E1863" s="100"/>
      <c r="F1863" s="100"/>
      <c r="G1863" s="100"/>
      <c r="H1863" s="100"/>
      <c r="I1863" s="100"/>
      <c r="J1863" s="100"/>
      <c r="K1863" s="100"/>
      <c r="L1863" s="100"/>
      <c r="M1863" s="100"/>
      <c r="N1863" s="100"/>
      <c r="O1863" s="100"/>
      <c r="P1863" s="100"/>
      <c r="Q1863" s="100"/>
      <c r="R1863" s="100"/>
      <c r="S1863" s="100"/>
      <c r="T1863" s="100"/>
      <c r="U1863" s="100"/>
      <c r="V1863" s="100"/>
      <c r="W1863" s="100"/>
      <c r="X1863" s="100"/>
      <c r="Y1863" s="100"/>
      <c r="Z1863" s="100"/>
      <c r="AA1863" s="100"/>
    </row>
    <row r="1864" spans="2:27">
      <c r="B1864" s="100"/>
      <c r="C1864" s="100"/>
      <c r="D1864" s="100"/>
      <c r="E1864" s="100"/>
      <c r="F1864" s="100"/>
      <c r="G1864" s="100"/>
      <c r="H1864" s="100"/>
      <c r="I1864" s="100"/>
      <c r="J1864" s="100"/>
      <c r="K1864" s="100"/>
      <c r="L1864" s="100"/>
      <c r="M1864" s="100"/>
      <c r="N1864" s="100"/>
      <c r="O1864" s="100"/>
      <c r="P1864" s="100"/>
      <c r="Q1864" s="100"/>
      <c r="R1864" s="100"/>
      <c r="S1864" s="100"/>
      <c r="T1864" s="100"/>
      <c r="U1864" s="100"/>
      <c r="V1864" s="100"/>
      <c r="W1864" s="100"/>
      <c r="X1864" s="100"/>
      <c r="Y1864" s="100"/>
      <c r="Z1864" s="100"/>
      <c r="AA1864" s="100"/>
    </row>
    <row r="1865" spans="2:27">
      <c r="B1865" s="100"/>
      <c r="C1865" s="100"/>
      <c r="D1865" s="100"/>
      <c r="E1865" s="100"/>
      <c r="F1865" s="100"/>
      <c r="G1865" s="100"/>
      <c r="H1865" s="100"/>
      <c r="I1865" s="100"/>
      <c r="J1865" s="100"/>
      <c r="K1865" s="100"/>
      <c r="L1865" s="100"/>
      <c r="M1865" s="100"/>
      <c r="N1865" s="100"/>
      <c r="O1865" s="100"/>
      <c r="P1865" s="100"/>
      <c r="Q1865" s="100"/>
      <c r="R1865" s="100"/>
      <c r="S1865" s="100"/>
      <c r="T1865" s="100"/>
      <c r="U1865" s="100"/>
      <c r="V1865" s="100"/>
      <c r="W1865" s="100"/>
      <c r="X1865" s="100"/>
      <c r="Y1865" s="100"/>
      <c r="Z1865" s="100"/>
      <c r="AA1865" s="100"/>
    </row>
    <row r="1866" spans="2:27">
      <c r="B1866" s="100"/>
      <c r="C1866" s="100"/>
      <c r="D1866" s="100"/>
      <c r="E1866" s="100"/>
      <c r="F1866" s="100"/>
      <c r="G1866" s="100"/>
      <c r="H1866" s="100"/>
      <c r="I1866" s="100"/>
      <c r="J1866" s="100"/>
      <c r="K1866" s="100"/>
      <c r="L1866" s="100"/>
      <c r="M1866" s="100"/>
      <c r="N1866" s="100"/>
      <c r="O1866" s="100"/>
      <c r="P1866" s="100"/>
      <c r="Q1866" s="100"/>
      <c r="R1866" s="100"/>
      <c r="S1866" s="100"/>
      <c r="T1866" s="100"/>
      <c r="U1866" s="100"/>
      <c r="V1866" s="100"/>
      <c r="W1866" s="100"/>
      <c r="X1866" s="100"/>
      <c r="Y1866" s="100"/>
      <c r="Z1866" s="100"/>
      <c r="AA1866" s="100"/>
    </row>
    <row r="1867" spans="2:27">
      <c r="B1867" s="100"/>
      <c r="C1867" s="100"/>
      <c r="D1867" s="100"/>
      <c r="E1867" s="100"/>
      <c r="F1867" s="100"/>
      <c r="G1867" s="100"/>
      <c r="H1867" s="100"/>
      <c r="I1867" s="100"/>
      <c r="J1867" s="100"/>
      <c r="K1867" s="100"/>
      <c r="L1867" s="100"/>
      <c r="M1867" s="100"/>
      <c r="N1867" s="100"/>
      <c r="O1867" s="100"/>
      <c r="P1867" s="100"/>
      <c r="Q1867" s="100"/>
      <c r="R1867" s="100"/>
      <c r="S1867" s="100"/>
      <c r="T1867" s="100"/>
      <c r="U1867" s="100"/>
      <c r="V1867" s="100"/>
      <c r="W1867" s="100"/>
      <c r="X1867" s="100"/>
      <c r="Y1867" s="100"/>
      <c r="Z1867" s="100"/>
      <c r="AA1867" s="100"/>
    </row>
    <row r="1868" spans="2:27">
      <c r="B1868" s="100"/>
      <c r="C1868" s="100"/>
      <c r="D1868" s="100"/>
      <c r="E1868" s="100"/>
      <c r="F1868" s="100"/>
      <c r="G1868" s="100"/>
      <c r="H1868" s="100"/>
      <c r="I1868" s="100"/>
      <c r="J1868" s="100"/>
      <c r="K1868" s="100"/>
      <c r="L1868" s="100"/>
      <c r="M1868" s="100"/>
      <c r="N1868" s="100"/>
      <c r="O1868" s="100"/>
      <c r="P1868" s="100"/>
      <c r="Q1868" s="100"/>
      <c r="R1868" s="100"/>
      <c r="S1868" s="100"/>
      <c r="T1868" s="100"/>
      <c r="U1868" s="100"/>
      <c r="V1868" s="100"/>
      <c r="W1868" s="100"/>
      <c r="X1868" s="100"/>
      <c r="Y1868" s="100"/>
      <c r="Z1868" s="100"/>
      <c r="AA1868" s="100"/>
    </row>
    <row r="1869" spans="2:27">
      <c r="B1869" s="100"/>
      <c r="C1869" s="100"/>
      <c r="D1869" s="100"/>
      <c r="E1869" s="100"/>
      <c r="F1869" s="100"/>
      <c r="G1869" s="100"/>
      <c r="H1869" s="100"/>
      <c r="I1869" s="100"/>
      <c r="J1869" s="100"/>
      <c r="K1869" s="100"/>
      <c r="L1869" s="100"/>
      <c r="M1869" s="100"/>
      <c r="N1869" s="100"/>
      <c r="O1869" s="100"/>
      <c r="P1869" s="100"/>
      <c r="Q1869" s="100"/>
      <c r="R1869" s="100"/>
      <c r="S1869" s="100"/>
      <c r="T1869" s="100"/>
      <c r="U1869" s="100"/>
      <c r="V1869" s="100"/>
      <c r="W1869" s="100"/>
      <c r="X1869" s="100"/>
      <c r="Y1869" s="100"/>
      <c r="Z1869" s="100"/>
      <c r="AA1869" s="100"/>
    </row>
    <row r="1870" spans="2:27">
      <c r="B1870" s="100"/>
      <c r="C1870" s="100"/>
      <c r="D1870" s="100"/>
      <c r="E1870" s="100"/>
      <c r="F1870" s="100"/>
      <c r="G1870" s="100"/>
      <c r="H1870" s="100"/>
      <c r="I1870" s="100"/>
      <c r="J1870" s="100"/>
      <c r="K1870" s="100"/>
      <c r="L1870" s="100"/>
      <c r="M1870" s="100"/>
      <c r="N1870" s="100"/>
      <c r="O1870" s="100"/>
      <c r="P1870" s="100"/>
      <c r="Q1870" s="100"/>
      <c r="R1870" s="100"/>
      <c r="S1870" s="100"/>
      <c r="T1870" s="100"/>
      <c r="U1870" s="100"/>
      <c r="V1870" s="100"/>
      <c r="W1870" s="100"/>
      <c r="X1870" s="100"/>
      <c r="Y1870" s="100"/>
      <c r="Z1870" s="100"/>
      <c r="AA1870" s="100"/>
    </row>
    <row r="1871" spans="2:27">
      <c r="B1871" s="100"/>
      <c r="C1871" s="100"/>
      <c r="D1871" s="100"/>
      <c r="E1871" s="100"/>
      <c r="F1871" s="100"/>
      <c r="G1871" s="100"/>
      <c r="H1871" s="100"/>
      <c r="I1871" s="100"/>
      <c r="J1871" s="100"/>
      <c r="K1871" s="100"/>
      <c r="L1871" s="100"/>
      <c r="M1871" s="100"/>
      <c r="N1871" s="100"/>
      <c r="O1871" s="100"/>
      <c r="P1871" s="100"/>
      <c r="Q1871" s="100"/>
      <c r="R1871" s="100"/>
      <c r="S1871" s="100"/>
      <c r="T1871" s="100"/>
      <c r="U1871" s="100"/>
      <c r="V1871" s="100"/>
      <c r="W1871" s="100"/>
      <c r="X1871" s="100"/>
      <c r="Y1871" s="100"/>
      <c r="Z1871" s="100"/>
      <c r="AA1871" s="100"/>
    </row>
    <row r="1872" spans="2:27">
      <c r="B1872" s="100"/>
      <c r="C1872" s="100"/>
      <c r="D1872" s="100"/>
      <c r="E1872" s="100"/>
      <c r="F1872" s="100"/>
      <c r="G1872" s="100"/>
      <c r="H1872" s="100"/>
      <c r="I1872" s="100"/>
      <c r="J1872" s="100"/>
      <c r="K1872" s="100"/>
      <c r="L1872" s="100"/>
      <c r="M1872" s="100"/>
      <c r="N1872" s="100"/>
      <c r="O1872" s="100"/>
      <c r="P1872" s="100"/>
      <c r="Q1872" s="100"/>
      <c r="R1872" s="100"/>
      <c r="S1872" s="100"/>
      <c r="T1872" s="100"/>
      <c r="U1872" s="100"/>
      <c r="V1872" s="100"/>
      <c r="W1872" s="100"/>
      <c r="X1872" s="100"/>
      <c r="Y1872" s="100"/>
      <c r="Z1872" s="100"/>
      <c r="AA1872" s="100"/>
    </row>
    <row r="1873" spans="2:27">
      <c r="B1873" s="100"/>
      <c r="C1873" s="100"/>
      <c r="D1873" s="100"/>
      <c r="E1873" s="100"/>
      <c r="F1873" s="100"/>
      <c r="G1873" s="100"/>
      <c r="H1873" s="100"/>
      <c r="I1873" s="100"/>
      <c r="J1873" s="100"/>
      <c r="K1873" s="100"/>
      <c r="L1873" s="100"/>
      <c r="M1873" s="100"/>
      <c r="N1873" s="100"/>
      <c r="O1873" s="100"/>
      <c r="P1873" s="100"/>
      <c r="Q1873" s="100"/>
      <c r="R1873" s="100"/>
      <c r="S1873" s="100"/>
      <c r="T1873" s="100"/>
      <c r="U1873" s="100"/>
      <c r="V1873" s="100"/>
      <c r="W1873" s="100"/>
      <c r="X1873" s="100"/>
      <c r="Y1873" s="100"/>
      <c r="Z1873" s="100"/>
      <c r="AA1873" s="100"/>
    </row>
    <row r="1874" spans="2:27">
      <c r="B1874" s="100"/>
      <c r="C1874" s="100"/>
      <c r="D1874" s="100"/>
      <c r="E1874" s="100"/>
      <c r="F1874" s="100"/>
      <c r="G1874" s="100"/>
      <c r="H1874" s="100"/>
      <c r="I1874" s="100"/>
      <c r="J1874" s="100"/>
      <c r="K1874" s="100"/>
      <c r="L1874" s="100"/>
      <c r="M1874" s="100"/>
      <c r="N1874" s="100"/>
      <c r="O1874" s="100"/>
      <c r="P1874" s="100"/>
      <c r="Q1874" s="100"/>
      <c r="R1874" s="100"/>
      <c r="S1874" s="100"/>
      <c r="T1874" s="100"/>
      <c r="U1874" s="100"/>
      <c r="V1874" s="100"/>
      <c r="W1874" s="100"/>
      <c r="X1874" s="100"/>
      <c r="Y1874" s="100"/>
      <c r="Z1874" s="100"/>
      <c r="AA1874" s="100"/>
    </row>
    <row r="1875" spans="2:27">
      <c r="B1875" s="100"/>
      <c r="C1875" s="100"/>
      <c r="D1875" s="100"/>
      <c r="E1875" s="100"/>
      <c r="F1875" s="100"/>
      <c r="G1875" s="100"/>
      <c r="H1875" s="100"/>
      <c r="I1875" s="100"/>
      <c r="J1875" s="100"/>
      <c r="K1875" s="100"/>
      <c r="L1875" s="100"/>
      <c r="M1875" s="100"/>
      <c r="N1875" s="100"/>
      <c r="O1875" s="100"/>
      <c r="P1875" s="100"/>
      <c r="Q1875" s="100"/>
      <c r="R1875" s="100"/>
      <c r="S1875" s="100"/>
      <c r="T1875" s="100"/>
      <c r="U1875" s="100"/>
      <c r="V1875" s="100"/>
      <c r="W1875" s="100"/>
      <c r="X1875" s="100"/>
      <c r="Y1875" s="100"/>
      <c r="Z1875" s="100"/>
      <c r="AA1875" s="100"/>
    </row>
    <row r="1876" spans="2:27">
      <c r="B1876" s="100"/>
      <c r="C1876" s="100"/>
      <c r="D1876" s="100"/>
      <c r="E1876" s="100"/>
      <c r="F1876" s="100"/>
      <c r="G1876" s="100"/>
      <c r="H1876" s="100"/>
      <c r="I1876" s="100"/>
      <c r="J1876" s="100"/>
      <c r="K1876" s="100"/>
      <c r="L1876" s="100"/>
      <c r="M1876" s="100"/>
      <c r="N1876" s="100"/>
      <c r="O1876" s="100"/>
      <c r="P1876" s="100"/>
      <c r="Q1876" s="100"/>
      <c r="R1876" s="100"/>
      <c r="S1876" s="100"/>
      <c r="T1876" s="100"/>
      <c r="U1876" s="100"/>
      <c r="V1876" s="100"/>
      <c r="W1876" s="100"/>
      <c r="X1876" s="100"/>
      <c r="Y1876" s="100"/>
      <c r="Z1876" s="100"/>
      <c r="AA1876" s="100"/>
    </row>
    <row r="1877" spans="2:27">
      <c r="B1877" s="100"/>
      <c r="C1877" s="100"/>
      <c r="D1877" s="100"/>
      <c r="E1877" s="100"/>
      <c r="F1877" s="100"/>
      <c r="G1877" s="100"/>
      <c r="H1877" s="100"/>
      <c r="I1877" s="100"/>
      <c r="J1877" s="100"/>
      <c r="K1877" s="100"/>
      <c r="L1877" s="100"/>
      <c r="M1877" s="100"/>
      <c r="N1877" s="100"/>
      <c r="O1877" s="100"/>
      <c r="P1877" s="100"/>
      <c r="Q1877" s="100"/>
      <c r="R1877" s="100"/>
      <c r="S1877" s="100"/>
      <c r="T1877" s="100"/>
      <c r="U1877" s="100"/>
      <c r="V1877" s="100"/>
      <c r="W1877" s="100"/>
      <c r="X1877" s="100"/>
      <c r="Y1877" s="100"/>
      <c r="Z1877" s="100"/>
      <c r="AA1877" s="100"/>
    </row>
    <row r="1878" spans="2:27">
      <c r="B1878" s="100"/>
      <c r="C1878" s="100"/>
      <c r="D1878" s="100"/>
      <c r="E1878" s="100"/>
      <c r="F1878" s="100"/>
      <c r="G1878" s="100"/>
      <c r="H1878" s="100"/>
      <c r="I1878" s="100"/>
      <c r="J1878" s="100"/>
      <c r="K1878" s="100"/>
      <c r="L1878" s="100"/>
      <c r="M1878" s="100"/>
      <c r="N1878" s="100"/>
      <c r="O1878" s="100"/>
      <c r="P1878" s="100"/>
      <c r="Q1878" s="100"/>
      <c r="R1878" s="100"/>
      <c r="S1878" s="100"/>
      <c r="T1878" s="100"/>
      <c r="U1878" s="100"/>
      <c r="V1878" s="100"/>
      <c r="W1878" s="100"/>
      <c r="X1878" s="100"/>
      <c r="Y1878" s="100"/>
      <c r="Z1878" s="100"/>
      <c r="AA1878" s="100"/>
    </row>
    <row r="1879" spans="2:27">
      <c r="B1879" s="100"/>
      <c r="C1879" s="100"/>
      <c r="D1879" s="100"/>
      <c r="E1879" s="100"/>
      <c r="F1879" s="100"/>
      <c r="G1879" s="100"/>
      <c r="H1879" s="100"/>
      <c r="I1879" s="100"/>
      <c r="J1879" s="100"/>
      <c r="K1879" s="100"/>
      <c r="L1879" s="100"/>
      <c r="M1879" s="100"/>
      <c r="N1879" s="100"/>
      <c r="O1879" s="100"/>
      <c r="P1879" s="100"/>
      <c r="Q1879" s="100"/>
      <c r="R1879" s="100"/>
      <c r="S1879" s="100"/>
      <c r="T1879" s="100"/>
      <c r="U1879" s="100"/>
      <c r="V1879" s="100"/>
      <c r="W1879" s="100"/>
      <c r="X1879" s="100"/>
      <c r="Y1879" s="100"/>
      <c r="Z1879" s="100"/>
      <c r="AA1879" s="100"/>
    </row>
    <row r="1880" spans="2:27">
      <c r="B1880" s="100"/>
      <c r="C1880" s="100"/>
      <c r="D1880" s="100"/>
      <c r="E1880" s="100"/>
      <c r="F1880" s="100"/>
      <c r="G1880" s="100"/>
      <c r="H1880" s="100"/>
      <c r="I1880" s="100"/>
      <c r="J1880" s="100"/>
      <c r="K1880" s="100"/>
      <c r="L1880" s="100"/>
      <c r="M1880" s="100"/>
      <c r="N1880" s="100"/>
      <c r="O1880" s="100"/>
      <c r="P1880" s="100"/>
      <c r="Q1880" s="100"/>
      <c r="R1880" s="100"/>
      <c r="S1880" s="100"/>
      <c r="T1880" s="100"/>
      <c r="U1880" s="100"/>
      <c r="V1880" s="100"/>
      <c r="W1880" s="100"/>
      <c r="X1880" s="100"/>
      <c r="Y1880" s="100"/>
      <c r="Z1880" s="100"/>
      <c r="AA1880" s="100"/>
    </row>
    <row r="1881" spans="2:27">
      <c r="B1881" s="100"/>
      <c r="C1881" s="100"/>
      <c r="D1881" s="100"/>
      <c r="E1881" s="100"/>
      <c r="F1881" s="100"/>
      <c r="G1881" s="100"/>
      <c r="H1881" s="100"/>
      <c r="I1881" s="100"/>
      <c r="J1881" s="100"/>
      <c r="K1881" s="100"/>
      <c r="L1881" s="100"/>
      <c r="M1881" s="100"/>
      <c r="N1881" s="100"/>
      <c r="O1881" s="100"/>
      <c r="P1881" s="100"/>
      <c r="Q1881" s="100"/>
      <c r="R1881" s="100"/>
      <c r="S1881" s="100"/>
      <c r="T1881" s="100"/>
      <c r="U1881" s="100"/>
      <c r="V1881" s="100"/>
      <c r="W1881" s="100"/>
      <c r="X1881" s="100"/>
      <c r="Y1881" s="100"/>
      <c r="Z1881" s="100"/>
      <c r="AA1881" s="100"/>
    </row>
    <row r="1882" spans="2:27">
      <c r="B1882" s="100"/>
      <c r="C1882" s="100"/>
      <c r="D1882" s="100"/>
      <c r="E1882" s="100"/>
      <c r="F1882" s="100"/>
      <c r="G1882" s="100"/>
      <c r="H1882" s="100"/>
      <c r="I1882" s="100"/>
      <c r="J1882" s="100"/>
      <c r="K1882" s="100"/>
      <c r="L1882" s="100"/>
      <c r="M1882" s="100"/>
      <c r="N1882" s="100"/>
      <c r="O1882" s="100"/>
      <c r="P1882" s="100"/>
      <c r="Q1882" s="100"/>
      <c r="R1882" s="100"/>
      <c r="S1882" s="100"/>
      <c r="T1882" s="100"/>
      <c r="U1882" s="100"/>
      <c r="V1882" s="100"/>
      <c r="W1882" s="100"/>
      <c r="X1882" s="100"/>
      <c r="Y1882" s="100"/>
      <c r="Z1882" s="100"/>
      <c r="AA1882" s="100"/>
    </row>
    <row r="1883" spans="2:27">
      <c r="B1883" s="100"/>
      <c r="C1883" s="100"/>
      <c r="D1883" s="100"/>
      <c r="E1883" s="100"/>
      <c r="F1883" s="100"/>
      <c r="G1883" s="100"/>
      <c r="H1883" s="100"/>
      <c r="I1883" s="100"/>
      <c r="J1883" s="100"/>
      <c r="K1883" s="100"/>
      <c r="L1883" s="100"/>
      <c r="M1883" s="100"/>
      <c r="N1883" s="100"/>
      <c r="O1883" s="100"/>
      <c r="P1883" s="100"/>
      <c r="Q1883" s="100"/>
      <c r="R1883" s="100"/>
      <c r="S1883" s="100"/>
      <c r="T1883" s="100"/>
      <c r="U1883" s="100"/>
      <c r="V1883" s="100"/>
      <c r="W1883" s="100"/>
      <c r="X1883" s="100"/>
      <c r="Y1883" s="100"/>
      <c r="Z1883" s="100"/>
      <c r="AA1883" s="100"/>
    </row>
    <row r="1884" spans="2:27">
      <c r="B1884" s="100"/>
      <c r="C1884" s="100"/>
      <c r="D1884" s="100"/>
      <c r="E1884" s="100"/>
      <c r="F1884" s="100"/>
      <c r="G1884" s="100"/>
      <c r="H1884" s="100"/>
      <c r="I1884" s="100"/>
      <c r="J1884" s="100"/>
      <c r="K1884" s="100"/>
      <c r="L1884" s="100"/>
      <c r="M1884" s="100"/>
      <c r="N1884" s="100"/>
      <c r="O1884" s="100"/>
      <c r="P1884" s="100"/>
      <c r="Q1884" s="100"/>
      <c r="R1884" s="100"/>
      <c r="S1884" s="100"/>
      <c r="T1884" s="100"/>
      <c r="U1884" s="100"/>
      <c r="V1884" s="100"/>
      <c r="W1884" s="100"/>
      <c r="X1884" s="100"/>
      <c r="Y1884" s="100"/>
      <c r="Z1884" s="100"/>
      <c r="AA1884" s="100"/>
    </row>
    <row r="1885" spans="2:27">
      <c r="B1885" s="100"/>
      <c r="C1885" s="100"/>
      <c r="D1885" s="100"/>
      <c r="E1885" s="100"/>
      <c r="F1885" s="100"/>
      <c r="G1885" s="100"/>
      <c r="H1885" s="100"/>
      <c r="I1885" s="100"/>
      <c r="J1885" s="100"/>
      <c r="K1885" s="100"/>
      <c r="L1885" s="100"/>
      <c r="M1885" s="100"/>
      <c r="N1885" s="100"/>
      <c r="O1885" s="100"/>
      <c r="P1885" s="100"/>
      <c r="Q1885" s="100"/>
      <c r="R1885" s="100"/>
      <c r="S1885" s="100"/>
      <c r="T1885" s="100"/>
      <c r="U1885" s="100"/>
      <c r="V1885" s="100"/>
      <c r="W1885" s="100"/>
      <c r="X1885" s="100"/>
      <c r="Y1885" s="100"/>
      <c r="Z1885" s="100"/>
      <c r="AA1885" s="100"/>
    </row>
    <row r="1886" spans="2:27">
      <c r="B1886" s="100"/>
      <c r="C1886" s="100"/>
      <c r="D1886" s="100"/>
      <c r="E1886" s="100"/>
      <c r="F1886" s="100"/>
      <c r="G1886" s="100"/>
      <c r="H1886" s="100"/>
      <c r="I1886" s="100"/>
      <c r="J1886" s="100"/>
      <c r="K1886" s="100"/>
      <c r="L1886" s="100"/>
      <c r="M1886" s="100"/>
      <c r="N1886" s="100"/>
      <c r="O1886" s="100"/>
      <c r="P1886" s="100"/>
      <c r="Q1886" s="100"/>
      <c r="R1886" s="100"/>
      <c r="S1886" s="100"/>
      <c r="T1886" s="100"/>
      <c r="U1886" s="100"/>
      <c r="V1886" s="100"/>
      <c r="W1886" s="100"/>
      <c r="X1886" s="100"/>
      <c r="Y1886" s="100"/>
      <c r="Z1886" s="100"/>
      <c r="AA1886" s="100"/>
    </row>
    <row r="1887" spans="2:27">
      <c r="B1887" s="100"/>
      <c r="C1887" s="100"/>
      <c r="D1887" s="100"/>
      <c r="E1887" s="100"/>
      <c r="F1887" s="100"/>
      <c r="G1887" s="100"/>
      <c r="H1887" s="100"/>
      <c r="I1887" s="100"/>
      <c r="J1887" s="100"/>
      <c r="K1887" s="100"/>
      <c r="L1887" s="100"/>
      <c r="M1887" s="100"/>
      <c r="N1887" s="100"/>
      <c r="O1887" s="100"/>
      <c r="P1887" s="100"/>
      <c r="Q1887" s="100"/>
      <c r="R1887" s="100"/>
      <c r="S1887" s="100"/>
      <c r="T1887" s="100"/>
      <c r="U1887" s="100"/>
      <c r="V1887" s="100"/>
      <c r="W1887" s="100"/>
      <c r="X1887" s="100"/>
      <c r="Y1887" s="100"/>
      <c r="Z1887" s="100"/>
      <c r="AA1887" s="100"/>
    </row>
    <row r="1888" spans="2:27">
      <c r="B1888" s="100"/>
      <c r="C1888" s="100"/>
      <c r="D1888" s="100"/>
      <c r="E1888" s="100"/>
      <c r="F1888" s="100"/>
      <c r="G1888" s="100"/>
      <c r="H1888" s="100"/>
      <c r="I1888" s="100"/>
      <c r="J1888" s="100"/>
      <c r="K1888" s="100"/>
      <c r="L1888" s="100"/>
      <c r="M1888" s="100"/>
      <c r="N1888" s="100"/>
      <c r="O1888" s="100"/>
      <c r="P1888" s="100"/>
      <c r="Q1888" s="100"/>
      <c r="R1888" s="100"/>
      <c r="S1888" s="100"/>
      <c r="T1888" s="100"/>
      <c r="U1888" s="100"/>
      <c r="V1888" s="100"/>
      <c r="W1888" s="100"/>
      <c r="X1888" s="100"/>
      <c r="Y1888" s="100"/>
      <c r="Z1888" s="100"/>
      <c r="AA1888" s="100"/>
    </row>
    <row r="1889" spans="2:27">
      <c r="B1889" s="100"/>
      <c r="C1889" s="100"/>
      <c r="D1889" s="100"/>
      <c r="E1889" s="100"/>
      <c r="F1889" s="100"/>
      <c r="G1889" s="100"/>
      <c r="H1889" s="100"/>
      <c r="I1889" s="100"/>
      <c r="J1889" s="100"/>
      <c r="K1889" s="100"/>
      <c r="L1889" s="100"/>
      <c r="M1889" s="100"/>
      <c r="N1889" s="100"/>
      <c r="O1889" s="100"/>
      <c r="P1889" s="100"/>
      <c r="Q1889" s="100"/>
      <c r="R1889" s="100"/>
      <c r="S1889" s="100"/>
      <c r="T1889" s="100"/>
      <c r="U1889" s="100"/>
      <c r="V1889" s="100"/>
      <c r="W1889" s="100"/>
      <c r="X1889" s="100"/>
      <c r="Y1889" s="100"/>
      <c r="Z1889" s="100"/>
      <c r="AA1889" s="100"/>
    </row>
    <row r="1890" spans="2:27">
      <c r="B1890" s="100"/>
      <c r="C1890" s="100"/>
      <c r="D1890" s="100"/>
      <c r="E1890" s="100"/>
      <c r="F1890" s="100"/>
      <c r="G1890" s="100"/>
      <c r="H1890" s="100"/>
      <c r="I1890" s="100"/>
      <c r="J1890" s="100"/>
      <c r="K1890" s="100"/>
      <c r="L1890" s="100"/>
      <c r="M1890" s="100"/>
      <c r="N1890" s="100"/>
      <c r="O1890" s="100"/>
      <c r="P1890" s="100"/>
      <c r="Q1890" s="100"/>
      <c r="R1890" s="100"/>
      <c r="S1890" s="100"/>
      <c r="T1890" s="100"/>
      <c r="U1890" s="100"/>
      <c r="V1890" s="100"/>
      <c r="W1890" s="100"/>
      <c r="X1890" s="100"/>
      <c r="Y1890" s="100"/>
      <c r="Z1890" s="100"/>
      <c r="AA1890" s="100"/>
    </row>
    <row r="1891" spans="2:27">
      <c r="B1891" s="100"/>
      <c r="C1891" s="100"/>
      <c r="D1891" s="100"/>
      <c r="E1891" s="100"/>
      <c r="F1891" s="100"/>
      <c r="G1891" s="100"/>
      <c r="H1891" s="100"/>
      <c r="I1891" s="100"/>
      <c r="J1891" s="100"/>
      <c r="K1891" s="100"/>
      <c r="L1891" s="100"/>
      <c r="M1891" s="100"/>
      <c r="N1891" s="100"/>
      <c r="O1891" s="100"/>
      <c r="P1891" s="100"/>
      <c r="Q1891" s="100"/>
      <c r="R1891" s="100"/>
      <c r="S1891" s="100"/>
      <c r="T1891" s="100"/>
      <c r="U1891" s="100"/>
      <c r="V1891" s="100"/>
      <c r="W1891" s="100"/>
      <c r="X1891" s="100"/>
      <c r="Y1891" s="100"/>
      <c r="Z1891" s="100"/>
      <c r="AA1891" s="100"/>
    </row>
    <row r="1892" spans="2:27">
      <c r="B1892" s="100"/>
      <c r="C1892" s="100"/>
      <c r="D1892" s="100"/>
      <c r="E1892" s="100"/>
      <c r="F1892" s="100"/>
      <c r="G1892" s="100"/>
      <c r="H1892" s="100"/>
      <c r="I1892" s="100"/>
      <c r="J1892" s="100"/>
      <c r="K1892" s="100"/>
      <c r="L1892" s="100"/>
      <c r="M1892" s="100"/>
      <c r="N1892" s="100"/>
      <c r="O1892" s="100"/>
      <c r="P1892" s="100"/>
      <c r="Q1892" s="100"/>
      <c r="R1892" s="100"/>
      <c r="S1892" s="100"/>
      <c r="T1892" s="100"/>
      <c r="U1892" s="100"/>
      <c r="V1892" s="100"/>
      <c r="W1892" s="100"/>
      <c r="X1892" s="100"/>
      <c r="Y1892" s="100"/>
      <c r="Z1892" s="100"/>
      <c r="AA1892" s="100"/>
    </row>
    <row r="1893" spans="2:27">
      <c r="B1893" s="100"/>
      <c r="C1893" s="100"/>
      <c r="D1893" s="100"/>
      <c r="E1893" s="100"/>
      <c r="F1893" s="100"/>
      <c r="G1893" s="100"/>
      <c r="H1893" s="100"/>
      <c r="I1893" s="100"/>
      <c r="J1893" s="100"/>
      <c r="K1893" s="100"/>
      <c r="L1893" s="100"/>
      <c r="M1893" s="100"/>
      <c r="N1893" s="100"/>
      <c r="O1893" s="100"/>
      <c r="P1893" s="100"/>
      <c r="Q1893" s="100"/>
      <c r="R1893" s="100"/>
      <c r="S1893" s="100"/>
      <c r="T1893" s="100"/>
      <c r="U1893" s="100"/>
      <c r="V1893" s="100"/>
      <c r="W1893" s="100"/>
      <c r="X1893" s="100"/>
      <c r="Y1893" s="100"/>
      <c r="Z1893" s="100"/>
      <c r="AA1893" s="100"/>
    </row>
    <row r="1894" spans="2:27">
      <c r="B1894" s="100"/>
      <c r="C1894" s="100"/>
      <c r="D1894" s="100"/>
      <c r="E1894" s="100"/>
      <c r="F1894" s="100"/>
      <c r="G1894" s="100"/>
      <c r="H1894" s="100"/>
      <c r="I1894" s="100"/>
      <c r="J1894" s="100"/>
      <c r="K1894" s="100"/>
      <c r="L1894" s="100"/>
      <c r="M1894" s="100"/>
      <c r="N1894" s="100"/>
      <c r="O1894" s="100"/>
      <c r="P1894" s="100"/>
      <c r="Q1894" s="100"/>
      <c r="R1894" s="100"/>
      <c r="S1894" s="100"/>
      <c r="T1894" s="100"/>
      <c r="U1894" s="100"/>
      <c r="V1894" s="100"/>
      <c r="W1894" s="100"/>
      <c r="X1894" s="100"/>
      <c r="Y1894" s="100"/>
      <c r="Z1894" s="100"/>
      <c r="AA1894" s="100"/>
    </row>
    <row r="1895" spans="2:27">
      <c r="B1895" s="100"/>
      <c r="C1895" s="100"/>
      <c r="D1895" s="100"/>
      <c r="E1895" s="100"/>
      <c r="F1895" s="100"/>
      <c r="G1895" s="100"/>
      <c r="H1895" s="100"/>
      <c r="I1895" s="100"/>
      <c r="J1895" s="100"/>
      <c r="K1895" s="100"/>
      <c r="L1895" s="100"/>
      <c r="M1895" s="100"/>
      <c r="N1895" s="100"/>
      <c r="O1895" s="100"/>
      <c r="P1895" s="100"/>
      <c r="Q1895" s="100"/>
      <c r="R1895" s="100"/>
      <c r="S1895" s="100"/>
      <c r="T1895" s="100"/>
      <c r="U1895" s="100"/>
      <c r="V1895" s="100"/>
      <c r="W1895" s="100"/>
      <c r="X1895" s="100"/>
      <c r="Y1895" s="100"/>
      <c r="Z1895" s="100"/>
      <c r="AA1895" s="100"/>
    </row>
    <row r="1896" spans="2:27">
      <c r="B1896" s="100"/>
      <c r="C1896" s="100"/>
      <c r="D1896" s="100"/>
      <c r="E1896" s="100"/>
      <c r="F1896" s="100"/>
      <c r="G1896" s="100"/>
      <c r="H1896" s="100"/>
      <c r="I1896" s="100"/>
      <c r="J1896" s="100"/>
      <c r="K1896" s="100"/>
      <c r="L1896" s="100"/>
      <c r="M1896" s="100"/>
      <c r="N1896" s="100"/>
      <c r="O1896" s="100"/>
      <c r="P1896" s="100"/>
      <c r="Q1896" s="100"/>
      <c r="R1896" s="100"/>
      <c r="S1896" s="100"/>
      <c r="T1896" s="100"/>
      <c r="U1896" s="100"/>
      <c r="V1896" s="100"/>
      <c r="W1896" s="100"/>
      <c r="X1896" s="100"/>
      <c r="Y1896" s="100"/>
      <c r="Z1896" s="100"/>
      <c r="AA1896" s="100"/>
    </row>
    <row r="1897" spans="2:27">
      <c r="B1897" s="100"/>
      <c r="C1897" s="100"/>
      <c r="D1897" s="100"/>
      <c r="E1897" s="100"/>
      <c r="F1897" s="100"/>
      <c r="G1897" s="100"/>
      <c r="H1897" s="100"/>
      <c r="I1897" s="100"/>
      <c r="J1897" s="100"/>
      <c r="K1897" s="100"/>
      <c r="L1897" s="100"/>
      <c r="M1897" s="100"/>
      <c r="N1897" s="100"/>
      <c r="O1897" s="100"/>
      <c r="P1897" s="100"/>
      <c r="Q1897" s="100"/>
      <c r="R1897" s="100"/>
      <c r="S1897" s="100"/>
      <c r="T1897" s="100"/>
      <c r="U1897" s="100"/>
      <c r="V1897" s="100"/>
      <c r="W1897" s="100"/>
      <c r="X1897" s="100"/>
      <c r="Y1897" s="100"/>
      <c r="Z1897" s="100"/>
      <c r="AA1897" s="100"/>
    </row>
    <row r="1898" spans="2:27">
      <c r="B1898" s="100"/>
      <c r="C1898" s="100"/>
      <c r="D1898" s="100"/>
      <c r="E1898" s="100"/>
      <c r="F1898" s="100"/>
      <c r="G1898" s="100"/>
      <c r="H1898" s="100"/>
      <c r="I1898" s="100"/>
      <c r="J1898" s="100"/>
      <c r="K1898" s="100"/>
      <c r="L1898" s="100"/>
      <c r="M1898" s="100"/>
      <c r="N1898" s="100"/>
      <c r="O1898" s="100"/>
      <c r="P1898" s="100"/>
      <c r="Q1898" s="100"/>
      <c r="R1898" s="100"/>
      <c r="S1898" s="100"/>
      <c r="T1898" s="100"/>
      <c r="U1898" s="100"/>
      <c r="V1898" s="100"/>
      <c r="W1898" s="100"/>
      <c r="X1898" s="100"/>
      <c r="Y1898" s="100"/>
      <c r="Z1898" s="100"/>
      <c r="AA1898" s="100"/>
    </row>
    <row r="1899" spans="2:27">
      <c r="B1899" s="100"/>
      <c r="C1899" s="100"/>
      <c r="D1899" s="100"/>
      <c r="E1899" s="100"/>
      <c r="F1899" s="100"/>
      <c r="G1899" s="100"/>
      <c r="H1899" s="100"/>
      <c r="I1899" s="100"/>
      <c r="J1899" s="100"/>
      <c r="K1899" s="100"/>
      <c r="L1899" s="100"/>
      <c r="M1899" s="100"/>
      <c r="N1899" s="100"/>
      <c r="O1899" s="100"/>
      <c r="P1899" s="100"/>
      <c r="Q1899" s="100"/>
      <c r="R1899" s="100"/>
      <c r="S1899" s="100"/>
      <c r="T1899" s="100"/>
      <c r="U1899" s="100"/>
      <c r="V1899" s="100"/>
      <c r="W1899" s="100"/>
      <c r="X1899" s="100"/>
      <c r="Y1899" s="100"/>
      <c r="Z1899" s="100"/>
      <c r="AA1899" s="100"/>
    </row>
    <row r="1900" spans="2:27">
      <c r="B1900" s="100"/>
      <c r="C1900" s="100"/>
      <c r="D1900" s="100"/>
      <c r="E1900" s="100"/>
      <c r="F1900" s="100"/>
      <c r="G1900" s="100"/>
      <c r="H1900" s="100"/>
      <c r="I1900" s="100"/>
      <c r="J1900" s="100"/>
      <c r="K1900" s="100"/>
      <c r="L1900" s="100"/>
      <c r="M1900" s="100"/>
      <c r="N1900" s="100"/>
      <c r="O1900" s="100"/>
      <c r="P1900" s="100"/>
      <c r="Q1900" s="100"/>
      <c r="R1900" s="100"/>
      <c r="S1900" s="100"/>
      <c r="T1900" s="100"/>
      <c r="U1900" s="100"/>
      <c r="V1900" s="100"/>
      <c r="W1900" s="100"/>
      <c r="X1900" s="100"/>
      <c r="Y1900" s="100"/>
      <c r="Z1900" s="100"/>
      <c r="AA1900" s="100"/>
    </row>
    <row r="1901" spans="2:27">
      <c r="B1901" s="100"/>
      <c r="C1901" s="100"/>
      <c r="D1901" s="100"/>
      <c r="E1901" s="100"/>
      <c r="F1901" s="100"/>
      <c r="G1901" s="100"/>
      <c r="H1901" s="100"/>
      <c r="I1901" s="100"/>
      <c r="J1901" s="100"/>
      <c r="K1901" s="100"/>
      <c r="L1901" s="100"/>
      <c r="M1901" s="100"/>
      <c r="N1901" s="100"/>
      <c r="O1901" s="100"/>
      <c r="P1901" s="100"/>
      <c r="Q1901" s="100"/>
      <c r="R1901" s="100"/>
      <c r="S1901" s="100"/>
      <c r="T1901" s="100"/>
      <c r="U1901" s="100"/>
      <c r="V1901" s="100"/>
      <c r="W1901" s="100"/>
      <c r="X1901" s="100"/>
      <c r="Y1901" s="100"/>
      <c r="Z1901" s="100"/>
      <c r="AA1901" s="100"/>
    </row>
    <row r="1902" spans="2:27">
      <c r="B1902" s="100"/>
      <c r="C1902" s="100"/>
      <c r="D1902" s="100"/>
      <c r="E1902" s="100"/>
      <c r="F1902" s="100"/>
      <c r="G1902" s="100"/>
      <c r="H1902" s="100"/>
      <c r="I1902" s="100"/>
      <c r="J1902" s="100"/>
      <c r="K1902" s="100"/>
      <c r="L1902" s="100"/>
      <c r="M1902" s="100"/>
      <c r="N1902" s="100"/>
      <c r="O1902" s="100"/>
      <c r="P1902" s="100"/>
      <c r="Q1902" s="100"/>
      <c r="R1902" s="100"/>
      <c r="S1902" s="100"/>
      <c r="T1902" s="100"/>
      <c r="U1902" s="100"/>
      <c r="V1902" s="100"/>
      <c r="W1902" s="100"/>
      <c r="X1902" s="100"/>
      <c r="Y1902" s="100"/>
      <c r="Z1902" s="100"/>
      <c r="AA1902" s="100"/>
    </row>
    <row r="1903" spans="2:27">
      <c r="B1903" s="100"/>
      <c r="C1903" s="100"/>
      <c r="D1903" s="100"/>
      <c r="E1903" s="100"/>
      <c r="F1903" s="100"/>
      <c r="G1903" s="100"/>
      <c r="H1903" s="100"/>
      <c r="I1903" s="100"/>
      <c r="J1903" s="100"/>
      <c r="K1903" s="100"/>
      <c r="L1903" s="100"/>
      <c r="M1903" s="100"/>
      <c r="N1903" s="100"/>
      <c r="O1903" s="100"/>
      <c r="P1903" s="100"/>
      <c r="Q1903" s="100"/>
      <c r="R1903" s="100"/>
      <c r="S1903" s="100"/>
      <c r="T1903" s="100"/>
      <c r="U1903" s="100"/>
      <c r="V1903" s="100"/>
      <c r="W1903" s="100"/>
      <c r="X1903" s="100"/>
      <c r="Y1903" s="100"/>
      <c r="Z1903" s="100"/>
      <c r="AA1903" s="100"/>
    </row>
    <row r="1904" spans="2:27">
      <c r="B1904" s="100"/>
      <c r="C1904" s="100"/>
      <c r="D1904" s="100"/>
      <c r="E1904" s="100"/>
      <c r="F1904" s="100"/>
      <c r="G1904" s="100"/>
      <c r="H1904" s="100"/>
      <c r="I1904" s="100"/>
      <c r="J1904" s="100"/>
      <c r="K1904" s="100"/>
      <c r="L1904" s="100"/>
      <c r="M1904" s="100"/>
      <c r="N1904" s="100"/>
      <c r="O1904" s="100"/>
      <c r="P1904" s="100"/>
      <c r="Q1904" s="100"/>
      <c r="R1904" s="100"/>
      <c r="S1904" s="100"/>
      <c r="T1904" s="100"/>
      <c r="U1904" s="100"/>
      <c r="V1904" s="100"/>
      <c r="W1904" s="100"/>
      <c r="X1904" s="100"/>
      <c r="Y1904" s="100"/>
      <c r="Z1904" s="100"/>
      <c r="AA1904" s="100"/>
    </row>
    <row r="1905" spans="2:27">
      <c r="B1905" s="100"/>
      <c r="C1905" s="100"/>
      <c r="D1905" s="100"/>
      <c r="E1905" s="100"/>
      <c r="F1905" s="100"/>
      <c r="G1905" s="100"/>
      <c r="H1905" s="100"/>
      <c r="I1905" s="100"/>
      <c r="J1905" s="100"/>
      <c r="K1905" s="100"/>
      <c r="L1905" s="100"/>
      <c r="M1905" s="100"/>
      <c r="N1905" s="100"/>
      <c r="O1905" s="100"/>
      <c r="P1905" s="100"/>
      <c r="Q1905" s="100"/>
      <c r="R1905" s="100"/>
      <c r="S1905" s="100"/>
      <c r="T1905" s="100"/>
      <c r="U1905" s="100"/>
      <c r="V1905" s="100"/>
      <c r="W1905" s="100"/>
      <c r="X1905" s="100"/>
      <c r="Y1905" s="100"/>
      <c r="Z1905" s="100"/>
      <c r="AA1905" s="100"/>
    </row>
    <row r="1906" spans="2:27">
      <c r="B1906" s="100"/>
      <c r="C1906" s="100"/>
      <c r="D1906" s="100"/>
      <c r="E1906" s="100"/>
      <c r="F1906" s="100"/>
      <c r="G1906" s="100"/>
      <c r="H1906" s="100"/>
      <c r="I1906" s="100"/>
      <c r="J1906" s="100"/>
      <c r="K1906" s="100"/>
      <c r="L1906" s="100"/>
      <c r="M1906" s="100"/>
      <c r="N1906" s="100"/>
      <c r="O1906" s="100"/>
      <c r="P1906" s="100"/>
      <c r="Q1906" s="100"/>
      <c r="R1906" s="100"/>
      <c r="S1906" s="100"/>
      <c r="T1906" s="100"/>
      <c r="U1906" s="100"/>
      <c r="V1906" s="100"/>
      <c r="W1906" s="100"/>
      <c r="X1906" s="100"/>
      <c r="Y1906" s="100"/>
      <c r="Z1906" s="100"/>
      <c r="AA1906" s="100"/>
    </row>
    <row r="1907" spans="2:27">
      <c r="B1907" s="100"/>
      <c r="C1907" s="100"/>
      <c r="D1907" s="100"/>
      <c r="E1907" s="100"/>
      <c r="F1907" s="100"/>
      <c r="G1907" s="100"/>
      <c r="H1907" s="100"/>
      <c r="I1907" s="100"/>
      <c r="J1907" s="100"/>
      <c r="K1907" s="100"/>
      <c r="L1907" s="100"/>
      <c r="M1907" s="100"/>
      <c r="N1907" s="100"/>
      <c r="O1907" s="100"/>
      <c r="P1907" s="100"/>
      <c r="Q1907" s="100"/>
      <c r="R1907" s="100"/>
      <c r="S1907" s="100"/>
      <c r="T1907" s="100"/>
      <c r="U1907" s="100"/>
      <c r="V1907" s="100"/>
      <c r="W1907" s="100"/>
      <c r="X1907" s="100"/>
      <c r="Y1907" s="100"/>
      <c r="Z1907" s="100"/>
      <c r="AA1907" s="100"/>
    </row>
    <row r="1908" spans="2:27">
      <c r="B1908" s="100"/>
      <c r="C1908" s="100"/>
      <c r="D1908" s="100"/>
      <c r="E1908" s="100"/>
      <c r="F1908" s="100"/>
      <c r="G1908" s="100"/>
      <c r="H1908" s="100"/>
      <c r="I1908" s="100"/>
      <c r="J1908" s="100"/>
      <c r="K1908" s="100"/>
      <c r="L1908" s="100"/>
      <c r="M1908" s="100"/>
      <c r="N1908" s="100"/>
      <c r="O1908" s="100"/>
      <c r="P1908" s="100"/>
      <c r="Q1908" s="100"/>
      <c r="R1908" s="100"/>
      <c r="S1908" s="100"/>
      <c r="T1908" s="100"/>
      <c r="U1908" s="100"/>
      <c r="V1908" s="100"/>
      <c r="W1908" s="100"/>
      <c r="X1908" s="100"/>
      <c r="Y1908" s="100"/>
      <c r="Z1908" s="100"/>
      <c r="AA1908" s="100"/>
    </row>
    <row r="1909" spans="2:27">
      <c r="B1909" s="100"/>
      <c r="C1909" s="100"/>
      <c r="D1909" s="100"/>
      <c r="E1909" s="100"/>
      <c r="F1909" s="100"/>
      <c r="G1909" s="100"/>
      <c r="H1909" s="100"/>
      <c r="I1909" s="100"/>
      <c r="J1909" s="100"/>
      <c r="K1909" s="100"/>
      <c r="L1909" s="100"/>
      <c r="M1909" s="100"/>
      <c r="N1909" s="100"/>
      <c r="O1909" s="100"/>
      <c r="P1909" s="100"/>
      <c r="Q1909" s="100"/>
      <c r="R1909" s="100"/>
      <c r="S1909" s="100"/>
      <c r="T1909" s="100"/>
      <c r="U1909" s="100"/>
      <c r="V1909" s="100"/>
      <c r="W1909" s="100"/>
      <c r="X1909" s="100"/>
      <c r="Y1909" s="100"/>
      <c r="Z1909" s="100"/>
      <c r="AA1909" s="100"/>
    </row>
    <row r="1910" spans="2:27">
      <c r="B1910" s="100"/>
      <c r="C1910" s="100"/>
      <c r="D1910" s="100"/>
      <c r="E1910" s="100"/>
      <c r="F1910" s="100"/>
      <c r="G1910" s="100"/>
      <c r="H1910" s="100"/>
      <c r="I1910" s="100"/>
      <c r="J1910" s="100"/>
      <c r="K1910" s="100"/>
      <c r="L1910" s="100"/>
      <c r="M1910" s="100"/>
      <c r="N1910" s="100"/>
      <c r="O1910" s="100"/>
      <c r="P1910" s="100"/>
      <c r="Q1910" s="100"/>
      <c r="R1910" s="100"/>
      <c r="S1910" s="100"/>
      <c r="T1910" s="100"/>
      <c r="U1910" s="100"/>
      <c r="V1910" s="100"/>
      <c r="W1910" s="100"/>
      <c r="X1910" s="100"/>
      <c r="Y1910" s="100"/>
      <c r="Z1910" s="100"/>
      <c r="AA1910" s="100"/>
    </row>
    <row r="1911" spans="2:27">
      <c r="B1911" s="100"/>
      <c r="C1911" s="100"/>
      <c r="D1911" s="100"/>
      <c r="E1911" s="100"/>
      <c r="F1911" s="100"/>
      <c r="G1911" s="100"/>
      <c r="H1911" s="100"/>
      <c r="I1911" s="100"/>
      <c r="J1911" s="100"/>
      <c r="K1911" s="100"/>
      <c r="L1911" s="100"/>
      <c r="M1911" s="100"/>
      <c r="N1911" s="100"/>
      <c r="O1911" s="100"/>
      <c r="P1911" s="100"/>
      <c r="Q1911" s="100"/>
      <c r="R1911" s="100"/>
      <c r="S1911" s="100"/>
      <c r="T1911" s="100"/>
      <c r="U1911" s="100"/>
      <c r="V1911" s="100"/>
      <c r="W1911" s="100"/>
      <c r="X1911" s="100"/>
      <c r="Y1911" s="100"/>
      <c r="Z1911" s="100"/>
      <c r="AA1911" s="100"/>
    </row>
    <row r="1912" spans="2:27">
      <c r="B1912" s="100"/>
      <c r="C1912" s="100"/>
      <c r="D1912" s="100"/>
      <c r="E1912" s="100"/>
      <c r="F1912" s="100"/>
      <c r="G1912" s="100"/>
      <c r="H1912" s="100"/>
      <c r="I1912" s="100"/>
      <c r="J1912" s="100"/>
      <c r="K1912" s="100"/>
      <c r="L1912" s="100"/>
      <c r="M1912" s="100"/>
      <c r="N1912" s="100"/>
      <c r="O1912" s="100"/>
      <c r="P1912" s="100"/>
      <c r="Q1912" s="100"/>
      <c r="R1912" s="100"/>
      <c r="S1912" s="100"/>
      <c r="T1912" s="100"/>
      <c r="U1912" s="100"/>
      <c r="V1912" s="100"/>
      <c r="W1912" s="100"/>
      <c r="X1912" s="100"/>
      <c r="Y1912" s="100"/>
      <c r="Z1912" s="100"/>
      <c r="AA1912" s="100"/>
    </row>
    <row r="1913" spans="2:27">
      <c r="B1913" s="100"/>
      <c r="C1913" s="100"/>
      <c r="D1913" s="100"/>
      <c r="E1913" s="100"/>
      <c r="F1913" s="100"/>
      <c r="G1913" s="100"/>
      <c r="H1913" s="100"/>
      <c r="I1913" s="100"/>
      <c r="J1913" s="100"/>
      <c r="K1913" s="100"/>
      <c r="L1913" s="100"/>
      <c r="M1913" s="100"/>
      <c r="N1913" s="100"/>
      <c r="O1913" s="100"/>
      <c r="P1913" s="100"/>
      <c r="Q1913" s="100"/>
      <c r="R1913" s="100"/>
      <c r="S1913" s="100"/>
      <c r="T1913" s="100"/>
      <c r="U1913" s="100"/>
      <c r="V1913" s="100"/>
      <c r="W1913" s="100"/>
      <c r="X1913" s="100"/>
      <c r="Y1913" s="100"/>
      <c r="Z1913" s="100"/>
      <c r="AA1913" s="100"/>
    </row>
    <row r="1914" spans="2:27">
      <c r="B1914" s="100"/>
      <c r="C1914" s="100"/>
      <c r="D1914" s="100"/>
      <c r="E1914" s="100"/>
      <c r="F1914" s="100"/>
      <c r="G1914" s="100"/>
      <c r="H1914" s="100"/>
      <c r="I1914" s="100"/>
      <c r="J1914" s="100"/>
      <c r="K1914" s="100"/>
      <c r="L1914" s="100"/>
      <c r="M1914" s="100"/>
      <c r="N1914" s="100"/>
      <c r="O1914" s="100"/>
      <c r="P1914" s="100"/>
      <c r="Q1914" s="100"/>
      <c r="R1914" s="100"/>
      <c r="S1914" s="100"/>
      <c r="T1914" s="100"/>
      <c r="U1914" s="100"/>
      <c r="V1914" s="100"/>
      <c r="W1914" s="100"/>
      <c r="X1914" s="100"/>
      <c r="Y1914" s="100"/>
      <c r="Z1914" s="100"/>
      <c r="AA1914" s="100"/>
    </row>
    <row r="1915" spans="2:27">
      <c r="B1915" s="100"/>
      <c r="C1915" s="100"/>
      <c r="D1915" s="100"/>
      <c r="E1915" s="100"/>
      <c r="F1915" s="100"/>
      <c r="G1915" s="100"/>
      <c r="H1915" s="100"/>
      <c r="I1915" s="100"/>
      <c r="J1915" s="100"/>
      <c r="K1915" s="100"/>
      <c r="L1915" s="100"/>
      <c r="M1915" s="100"/>
      <c r="N1915" s="100"/>
      <c r="O1915" s="100"/>
      <c r="P1915" s="100"/>
      <c r="Q1915" s="100"/>
      <c r="R1915" s="100"/>
      <c r="S1915" s="100"/>
      <c r="T1915" s="100"/>
      <c r="U1915" s="100"/>
      <c r="V1915" s="100"/>
      <c r="W1915" s="100"/>
      <c r="X1915" s="100"/>
      <c r="Y1915" s="100"/>
      <c r="Z1915" s="100"/>
      <c r="AA1915" s="100"/>
    </row>
    <row r="1916" spans="2:27">
      <c r="B1916" s="100"/>
      <c r="C1916" s="100"/>
      <c r="D1916" s="100"/>
      <c r="E1916" s="100"/>
      <c r="F1916" s="100"/>
      <c r="G1916" s="100"/>
      <c r="H1916" s="100"/>
      <c r="I1916" s="100"/>
      <c r="J1916" s="100"/>
      <c r="K1916" s="100"/>
      <c r="L1916" s="100"/>
      <c r="M1916" s="100"/>
      <c r="N1916" s="100"/>
      <c r="O1916" s="100"/>
      <c r="P1916" s="100"/>
      <c r="Q1916" s="100"/>
      <c r="R1916" s="100"/>
      <c r="S1916" s="100"/>
      <c r="T1916" s="100"/>
      <c r="U1916" s="100"/>
      <c r="V1916" s="100"/>
      <c r="W1916" s="100"/>
      <c r="X1916" s="100"/>
      <c r="Y1916" s="100"/>
      <c r="Z1916" s="100"/>
      <c r="AA1916" s="100"/>
    </row>
    <row r="1917" spans="2:27">
      <c r="B1917" s="100"/>
      <c r="C1917" s="100"/>
      <c r="D1917" s="100"/>
      <c r="E1917" s="100"/>
      <c r="F1917" s="100"/>
      <c r="G1917" s="100"/>
      <c r="H1917" s="100"/>
      <c r="I1917" s="100"/>
      <c r="J1917" s="100"/>
      <c r="K1917" s="100"/>
      <c r="L1917" s="100"/>
      <c r="M1917" s="100"/>
      <c r="N1917" s="100"/>
      <c r="O1917" s="100"/>
      <c r="P1917" s="100"/>
      <c r="Q1917" s="100"/>
      <c r="R1917" s="100"/>
      <c r="S1917" s="100"/>
      <c r="T1917" s="100"/>
      <c r="U1917" s="100"/>
      <c r="V1917" s="100"/>
      <c r="W1917" s="100"/>
      <c r="X1917" s="100"/>
      <c r="Y1917" s="100"/>
      <c r="Z1917" s="100"/>
      <c r="AA1917" s="100"/>
    </row>
    <row r="1918" spans="2:27">
      <c r="B1918" s="100"/>
      <c r="C1918" s="100"/>
      <c r="D1918" s="100"/>
      <c r="E1918" s="100"/>
      <c r="F1918" s="100"/>
      <c r="G1918" s="100"/>
      <c r="H1918" s="100"/>
      <c r="I1918" s="100"/>
      <c r="J1918" s="100"/>
      <c r="K1918" s="100"/>
      <c r="L1918" s="100"/>
      <c r="M1918" s="100"/>
      <c r="N1918" s="100"/>
      <c r="O1918" s="100"/>
      <c r="P1918" s="100"/>
      <c r="Q1918" s="100"/>
      <c r="R1918" s="100"/>
      <c r="S1918" s="100"/>
      <c r="T1918" s="100"/>
      <c r="U1918" s="100"/>
      <c r="V1918" s="100"/>
      <c r="W1918" s="100"/>
      <c r="X1918" s="100"/>
      <c r="Y1918" s="100"/>
      <c r="Z1918" s="100"/>
      <c r="AA1918" s="100"/>
    </row>
    <row r="1919" spans="2:27">
      <c r="B1919" s="100"/>
      <c r="C1919" s="100"/>
      <c r="D1919" s="100"/>
      <c r="E1919" s="100"/>
      <c r="F1919" s="100"/>
      <c r="G1919" s="100"/>
      <c r="H1919" s="100"/>
      <c r="I1919" s="100"/>
      <c r="J1919" s="100"/>
      <c r="K1919" s="100"/>
      <c r="L1919" s="100"/>
      <c r="M1919" s="100"/>
      <c r="N1919" s="100"/>
      <c r="O1919" s="100"/>
      <c r="P1919" s="100"/>
      <c r="Q1919" s="100"/>
      <c r="R1919" s="100"/>
      <c r="S1919" s="100"/>
      <c r="T1919" s="100"/>
      <c r="U1919" s="100"/>
      <c r="V1919" s="100"/>
      <c r="W1919" s="100"/>
      <c r="X1919" s="100"/>
      <c r="Y1919" s="100"/>
      <c r="Z1919" s="100"/>
      <c r="AA1919" s="100"/>
    </row>
    <row r="1920" spans="2:27">
      <c r="B1920" s="100"/>
      <c r="C1920" s="100"/>
      <c r="D1920" s="100"/>
      <c r="E1920" s="100"/>
      <c r="F1920" s="100"/>
      <c r="G1920" s="100"/>
      <c r="H1920" s="100"/>
      <c r="I1920" s="100"/>
      <c r="J1920" s="100"/>
      <c r="K1920" s="100"/>
      <c r="L1920" s="100"/>
      <c r="M1920" s="100"/>
      <c r="N1920" s="100"/>
      <c r="O1920" s="100"/>
      <c r="P1920" s="100"/>
      <c r="Q1920" s="100"/>
      <c r="R1920" s="100"/>
      <c r="S1920" s="100"/>
      <c r="T1920" s="100"/>
      <c r="U1920" s="100"/>
      <c r="V1920" s="100"/>
      <c r="W1920" s="100"/>
      <c r="X1920" s="100"/>
      <c r="Y1920" s="100"/>
      <c r="Z1920" s="100"/>
      <c r="AA1920" s="100"/>
    </row>
    <row r="1921" spans="2:27">
      <c r="B1921" s="100"/>
      <c r="C1921" s="100"/>
      <c r="D1921" s="100"/>
      <c r="E1921" s="100"/>
      <c r="F1921" s="100"/>
      <c r="G1921" s="100"/>
      <c r="H1921" s="100"/>
      <c r="I1921" s="100"/>
      <c r="J1921" s="100"/>
      <c r="K1921" s="100"/>
      <c r="L1921" s="100"/>
      <c r="M1921" s="100"/>
      <c r="N1921" s="100"/>
      <c r="O1921" s="100"/>
      <c r="P1921" s="100"/>
      <c r="Q1921" s="100"/>
      <c r="R1921" s="100"/>
      <c r="S1921" s="100"/>
      <c r="T1921" s="100"/>
      <c r="U1921" s="100"/>
      <c r="V1921" s="100"/>
      <c r="W1921" s="100"/>
      <c r="X1921" s="100"/>
      <c r="Y1921" s="100"/>
      <c r="Z1921" s="100"/>
      <c r="AA1921" s="100"/>
    </row>
    <row r="1922" spans="2:27">
      <c r="B1922" s="100"/>
      <c r="C1922" s="100"/>
      <c r="D1922" s="100"/>
      <c r="E1922" s="100"/>
      <c r="F1922" s="100"/>
      <c r="G1922" s="100"/>
      <c r="H1922" s="100"/>
      <c r="I1922" s="100"/>
      <c r="J1922" s="100"/>
      <c r="K1922" s="100"/>
      <c r="L1922" s="100"/>
      <c r="M1922" s="100"/>
      <c r="N1922" s="100"/>
      <c r="O1922" s="100"/>
      <c r="P1922" s="100"/>
      <c r="Q1922" s="100"/>
      <c r="R1922" s="100"/>
      <c r="S1922" s="100"/>
      <c r="T1922" s="100"/>
      <c r="U1922" s="100"/>
      <c r="V1922" s="100"/>
      <c r="W1922" s="100"/>
      <c r="X1922" s="100"/>
      <c r="Y1922" s="100"/>
      <c r="Z1922" s="100"/>
      <c r="AA1922" s="100"/>
    </row>
    <row r="1923" spans="2:27">
      <c r="B1923" s="100"/>
      <c r="C1923" s="100"/>
      <c r="D1923" s="100"/>
      <c r="E1923" s="100"/>
      <c r="F1923" s="100"/>
      <c r="G1923" s="100"/>
      <c r="H1923" s="100"/>
      <c r="I1923" s="100"/>
      <c r="J1923" s="100"/>
      <c r="K1923" s="100"/>
      <c r="L1923" s="100"/>
      <c r="M1923" s="100"/>
      <c r="N1923" s="100"/>
      <c r="O1923" s="100"/>
      <c r="P1923" s="100"/>
      <c r="Q1923" s="100"/>
      <c r="R1923" s="100"/>
      <c r="S1923" s="100"/>
      <c r="T1923" s="100"/>
      <c r="U1923" s="100"/>
      <c r="V1923" s="100"/>
      <c r="W1923" s="100"/>
      <c r="X1923" s="100"/>
      <c r="Y1923" s="100"/>
      <c r="Z1923" s="100"/>
      <c r="AA1923" s="100"/>
    </row>
    <row r="1924" spans="2:27">
      <c r="B1924" s="100"/>
      <c r="C1924" s="100"/>
      <c r="D1924" s="100"/>
      <c r="E1924" s="100"/>
      <c r="F1924" s="100"/>
      <c r="G1924" s="100"/>
      <c r="H1924" s="100"/>
      <c r="I1924" s="100"/>
      <c r="J1924" s="100"/>
      <c r="K1924" s="100"/>
      <c r="L1924" s="100"/>
      <c r="M1924" s="100"/>
      <c r="N1924" s="100"/>
      <c r="O1924" s="100"/>
      <c r="P1924" s="100"/>
      <c r="Q1924" s="100"/>
      <c r="R1924" s="100"/>
      <c r="S1924" s="100"/>
      <c r="T1924" s="100"/>
      <c r="U1924" s="100"/>
      <c r="V1924" s="100"/>
      <c r="W1924" s="100"/>
      <c r="X1924" s="100"/>
      <c r="Y1924" s="100"/>
      <c r="Z1924" s="100"/>
      <c r="AA1924" s="100"/>
    </row>
    <row r="1925" spans="2:27">
      <c r="B1925" s="100"/>
      <c r="C1925" s="100"/>
      <c r="D1925" s="100"/>
      <c r="E1925" s="100"/>
      <c r="F1925" s="100"/>
      <c r="G1925" s="100"/>
      <c r="H1925" s="100"/>
      <c r="I1925" s="100"/>
      <c r="J1925" s="100"/>
      <c r="K1925" s="100"/>
      <c r="L1925" s="100"/>
      <c r="M1925" s="100"/>
      <c r="N1925" s="100"/>
      <c r="O1925" s="100"/>
      <c r="P1925" s="100"/>
      <c r="Q1925" s="100"/>
      <c r="R1925" s="100"/>
      <c r="S1925" s="100"/>
      <c r="T1925" s="100"/>
      <c r="U1925" s="100"/>
      <c r="V1925" s="100"/>
      <c r="W1925" s="100"/>
      <c r="X1925" s="100"/>
      <c r="Y1925" s="100"/>
      <c r="Z1925" s="100"/>
      <c r="AA1925" s="100"/>
    </row>
    <row r="1926" spans="2:27">
      <c r="B1926" s="100"/>
      <c r="C1926" s="100"/>
      <c r="D1926" s="100"/>
      <c r="E1926" s="100"/>
      <c r="F1926" s="100"/>
      <c r="G1926" s="100"/>
      <c r="H1926" s="100"/>
      <c r="I1926" s="100"/>
      <c r="J1926" s="100"/>
      <c r="K1926" s="100"/>
      <c r="L1926" s="100"/>
      <c r="M1926" s="100"/>
      <c r="N1926" s="100"/>
      <c r="O1926" s="100"/>
      <c r="P1926" s="100"/>
      <c r="Q1926" s="100"/>
      <c r="R1926" s="100"/>
      <c r="S1926" s="100"/>
      <c r="T1926" s="100"/>
      <c r="U1926" s="100"/>
      <c r="V1926" s="100"/>
      <c r="W1926" s="100"/>
      <c r="X1926" s="100"/>
      <c r="Y1926" s="100"/>
      <c r="Z1926" s="100"/>
      <c r="AA1926" s="100"/>
    </row>
    <row r="1927" spans="2:27">
      <c r="B1927" s="100"/>
      <c r="C1927" s="100"/>
      <c r="D1927" s="100"/>
      <c r="E1927" s="100"/>
      <c r="F1927" s="100"/>
      <c r="G1927" s="100"/>
      <c r="H1927" s="100"/>
      <c r="I1927" s="100"/>
      <c r="J1927" s="100"/>
      <c r="K1927" s="100"/>
      <c r="L1927" s="100"/>
      <c r="M1927" s="100"/>
      <c r="N1927" s="100"/>
      <c r="O1927" s="100"/>
      <c r="P1927" s="100"/>
      <c r="Q1927" s="100"/>
      <c r="R1927" s="100"/>
      <c r="S1927" s="100"/>
      <c r="T1927" s="100"/>
      <c r="U1927" s="100"/>
      <c r="V1927" s="100"/>
      <c r="W1927" s="100"/>
      <c r="X1927" s="100"/>
      <c r="Y1927" s="100"/>
      <c r="Z1927" s="100"/>
      <c r="AA1927" s="100"/>
    </row>
    <row r="1928" spans="2:27">
      <c r="B1928" s="100"/>
      <c r="C1928" s="100"/>
      <c r="D1928" s="100"/>
      <c r="E1928" s="100"/>
      <c r="F1928" s="100"/>
      <c r="G1928" s="100"/>
      <c r="H1928" s="100"/>
      <c r="I1928" s="100"/>
      <c r="J1928" s="100"/>
      <c r="K1928" s="100"/>
      <c r="L1928" s="100"/>
      <c r="M1928" s="100"/>
      <c r="N1928" s="100"/>
      <c r="O1928" s="100"/>
      <c r="P1928" s="100"/>
      <c r="Q1928" s="100"/>
      <c r="R1928" s="100"/>
      <c r="S1928" s="100"/>
      <c r="T1928" s="100"/>
      <c r="U1928" s="100"/>
      <c r="V1928" s="100"/>
      <c r="W1928" s="100"/>
      <c r="X1928" s="100"/>
      <c r="Y1928" s="100"/>
      <c r="Z1928" s="100"/>
      <c r="AA1928" s="100"/>
    </row>
    <row r="1929" spans="2:27">
      <c r="B1929" s="100"/>
      <c r="C1929" s="100"/>
      <c r="D1929" s="100"/>
      <c r="E1929" s="100"/>
      <c r="F1929" s="100"/>
      <c r="G1929" s="100"/>
      <c r="H1929" s="100"/>
      <c r="I1929" s="100"/>
      <c r="J1929" s="100"/>
      <c r="K1929" s="100"/>
      <c r="L1929" s="100"/>
      <c r="M1929" s="100"/>
      <c r="N1929" s="100"/>
      <c r="O1929" s="100"/>
      <c r="P1929" s="100"/>
      <c r="Q1929" s="100"/>
      <c r="R1929" s="100"/>
      <c r="S1929" s="100"/>
      <c r="T1929" s="100"/>
      <c r="U1929" s="100"/>
      <c r="V1929" s="100"/>
      <c r="W1929" s="100"/>
      <c r="X1929" s="100"/>
      <c r="Y1929" s="100"/>
      <c r="Z1929" s="100"/>
      <c r="AA1929" s="100"/>
    </row>
    <row r="1930" spans="2:27">
      <c r="B1930" s="100"/>
      <c r="C1930" s="100"/>
      <c r="D1930" s="100"/>
      <c r="E1930" s="100"/>
      <c r="F1930" s="100"/>
      <c r="G1930" s="100"/>
      <c r="H1930" s="100"/>
      <c r="I1930" s="100"/>
      <c r="J1930" s="100"/>
      <c r="K1930" s="100"/>
      <c r="L1930" s="100"/>
      <c r="M1930" s="100"/>
      <c r="N1930" s="100"/>
      <c r="O1930" s="100"/>
      <c r="P1930" s="100"/>
      <c r="Q1930" s="100"/>
      <c r="R1930" s="100"/>
      <c r="S1930" s="100"/>
      <c r="T1930" s="100"/>
      <c r="U1930" s="100"/>
      <c r="V1930" s="100"/>
      <c r="W1930" s="100"/>
      <c r="X1930" s="100"/>
      <c r="Y1930" s="100"/>
      <c r="Z1930" s="100"/>
      <c r="AA1930" s="100"/>
    </row>
    <row r="1931" spans="2:27">
      <c r="B1931" s="100"/>
      <c r="C1931" s="100"/>
      <c r="D1931" s="100"/>
      <c r="E1931" s="100"/>
      <c r="F1931" s="100"/>
      <c r="G1931" s="100"/>
      <c r="H1931" s="100"/>
      <c r="I1931" s="100"/>
      <c r="J1931" s="100"/>
      <c r="K1931" s="100"/>
      <c r="L1931" s="100"/>
      <c r="M1931" s="100"/>
      <c r="N1931" s="100"/>
      <c r="O1931" s="100"/>
      <c r="P1931" s="100"/>
      <c r="Q1931" s="100"/>
      <c r="R1931" s="100"/>
      <c r="S1931" s="100"/>
      <c r="T1931" s="100"/>
      <c r="U1931" s="100"/>
      <c r="V1931" s="100"/>
      <c r="W1931" s="100"/>
      <c r="X1931" s="100"/>
      <c r="Y1931" s="100"/>
      <c r="Z1931" s="100"/>
      <c r="AA1931" s="100"/>
    </row>
    <row r="1932" spans="2:27">
      <c r="B1932" s="100"/>
      <c r="C1932" s="100"/>
      <c r="D1932" s="100"/>
      <c r="E1932" s="100"/>
      <c r="F1932" s="100"/>
      <c r="G1932" s="100"/>
      <c r="H1932" s="100"/>
      <c r="I1932" s="100"/>
      <c r="J1932" s="100"/>
      <c r="K1932" s="100"/>
      <c r="L1932" s="100"/>
      <c r="M1932" s="100"/>
      <c r="N1932" s="100"/>
      <c r="O1932" s="100"/>
      <c r="P1932" s="100"/>
      <c r="Q1932" s="100"/>
      <c r="R1932" s="100"/>
      <c r="S1932" s="100"/>
      <c r="T1932" s="100"/>
      <c r="U1932" s="100"/>
      <c r="V1932" s="100"/>
      <c r="W1932" s="100"/>
      <c r="X1932" s="100"/>
      <c r="Y1932" s="100"/>
      <c r="Z1932" s="100"/>
      <c r="AA1932" s="100"/>
    </row>
    <row r="1933" spans="2:27">
      <c r="B1933" s="100"/>
      <c r="C1933" s="100"/>
      <c r="D1933" s="100"/>
      <c r="E1933" s="100"/>
      <c r="F1933" s="100"/>
      <c r="G1933" s="100"/>
      <c r="H1933" s="100"/>
      <c r="I1933" s="100"/>
      <c r="J1933" s="100"/>
      <c r="K1933" s="100"/>
      <c r="L1933" s="100"/>
      <c r="M1933" s="100"/>
      <c r="N1933" s="100"/>
      <c r="O1933" s="100"/>
      <c r="P1933" s="100"/>
      <c r="Q1933" s="100"/>
      <c r="R1933" s="100"/>
      <c r="S1933" s="100"/>
      <c r="T1933" s="100"/>
      <c r="U1933" s="100"/>
      <c r="V1933" s="100"/>
      <c r="W1933" s="100"/>
      <c r="X1933" s="100"/>
      <c r="Y1933" s="100"/>
      <c r="Z1933" s="100"/>
      <c r="AA1933" s="100"/>
    </row>
    <row r="1934" spans="2:27">
      <c r="B1934" s="100"/>
      <c r="C1934" s="100"/>
      <c r="D1934" s="100"/>
      <c r="E1934" s="100"/>
      <c r="F1934" s="100"/>
      <c r="G1934" s="100"/>
      <c r="H1934" s="100"/>
      <c r="I1934" s="100"/>
      <c r="J1934" s="100"/>
      <c r="K1934" s="100"/>
      <c r="L1934" s="100"/>
      <c r="M1934" s="100"/>
      <c r="N1934" s="100"/>
      <c r="O1934" s="100"/>
      <c r="P1934" s="100"/>
      <c r="Q1934" s="100"/>
      <c r="R1934" s="100"/>
      <c r="S1934" s="100"/>
      <c r="T1934" s="100"/>
      <c r="U1934" s="100"/>
      <c r="V1934" s="100"/>
      <c r="W1934" s="100"/>
      <c r="X1934" s="100"/>
      <c r="Y1934" s="100"/>
      <c r="Z1934" s="100"/>
      <c r="AA1934" s="100"/>
    </row>
    <row r="1935" spans="2:27">
      <c r="B1935" s="100"/>
      <c r="C1935" s="100"/>
      <c r="D1935" s="100"/>
      <c r="E1935" s="100"/>
      <c r="F1935" s="100"/>
      <c r="G1935" s="100"/>
      <c r="H1935" s="100"/>
      <c r="I1935" s="100"/>
      <c r="J1935" s="100"/>
      <c r="K1935" s="100"/>
      <c r="L1935" s="100"/>
      <c r="M1935" s="100"/>
      <c r="N1935" s="100"/>
      <c r="O1935" s="100"/>
      <c r="P1935" s="100"/>
      <c r="Q1935" s="100"/>
      <c r="R1935" s="100"/>
      <c r="S1935" s="100"/>
      <c r="T1935" s="100"/>
      <c r="U1935" s="100"/>
      <c r="V1935" s="100"/>
      <c r="W1935" s="100"/>
      <c r="X1935" s="100"/>
      <c r="Y1935" s="100"/>
      <c r="Z1935" s="100"/>
      <c r="AA1935" s="100"/>
    </row>
    <row r="1936" spans="2:27">
      <c r="B1936" s="100"/>
      <c r="C1936" s="100"/>
      <c r="D1936" s="100"/>
      <c r="E1936" s="100"/>
      <c r="F1936" s="100"/>
      <c r="G1936" s="100"/>
      <c r="H1936" s="100"/>
      <c r="I1936" s="100"/>
      <c r="J1936" s="100"/>
      <c r="K1936" s="100"/>
      <c r="L1936" s="100"/>
      <c r="M1936" s="100"/>
      <c r="N1936" s="100"/>
      <c r="O1936" s="100"/>
      <c r="P1936" s="100"/>
      <c r="Q1936" s="100"/>
      <c r="R1936" s="100"/>
      <c r="S1936" s="100"/>
      <c r="T1936" s="100"/>
      <c r="U1936" s="100"/>
      <c r="V1936" s="100"/>
      <c r="W1936" s="100"/>
      <c r="X1936" s="100"/>
      <c r="Y1936" s="100"/>
      <c r="Z1936" s="100"/>
      <c r="AA1936" s="100"/>
    </row>
    <row r="1937" spans="2:27">
      <c r="B1937" s="100"/>
      <c r="C1937" s="100"/>
      <c r="D1937" s="100"/>
      <c r="E1937" s="100"/>
      <c r="F1937" s="100"/>
      <c r="G1937" s="100"/>
      <c r="H1937" s="100"/>
      <c r="I1937" s="100"/>
      <c r="J1937" s="100"/>
      <c r="K1937" s="100"/>
      <c r="L1937" s="100"/>
      <c r="M1937" s="100"/>
      <c r="N1937" s="100"/>
      <c r="O1937" s="100"/>
      <c r="P1937" s="100"/>
      <c r="Q1937" s="100"/>
      <c r="R1937" s="100"/>
      <c r="S1937" s="100"/>
      <c r="T1937" s="100"/>
      <c r="U1937" s="100"/>
      <c r="V1937" s="100"/>
      <c r="W1937" s="100"/>
      <c r="X1937" s="100"/>
      <c r="Y1937" s="100"/>
      <c r="Z1937" s="100"/>
      <c r="AA1937" s="100"/>
    </row>
    <row r="1938" spans="2:27">
      <c r="B1938" s="100"/>
      <c r="C1938" s="100"/>
      <c r="D1938" s="100"/>
      <c r="E1938" s="100"/>
      <c r="F1938" s="100"/>
      <c r="G1938" s="100"/>
      <c r="H1938" s="100"/>
      <c r="I1938" s="100"/>
      <c r="J1938" s="100"/>
      <c r="K1938" s="100"/>
      <c r="L1938" s="100"/>
      <c r="M1938" s="100"/>
      <c r="N1938" s="100"/>
      <c r="O1938" s="100"/>
      <c r="P1938" s="100"/>
      <c r="Q1938" s="100"/>
      <c r="R1938" s="100"/>
      <c r="S1938" s="100"/>
      <c r="T1938" s="100"/>
      <c r="U1938" s="100"/>
      <c r="V1938" s="100"/>
      <c r="W1938" s="100"/>
      <c r="X1938" s="100"/>
      <c r="Y1938" s="100"/>
      <c r="Z1938" s="100"/>
      <c r="AA1938" s="100"/>
    </row>
    <row r="1939" spans="2:27">
      <c r="B1939" s="100"/>
      <c r="C1939" s="100"/>
      <c r="D1939" s="100"/>
      <c r="E1939" s="100"/>
      <c r="F1939" s="100"/>
      <c r="G1939" s="100"/>
      <c r="H1939" s="100"/>
      <c r="I1939" s="100"/>
      <c r="J1939" s="100"/>
      <c r="K1939" s="100"/>
      <c r="L1939" s="100"/>
      <c r="M1939" s="100"/>
      <c r="N1939" s="100"/>
      <c r="O1939" s="100"/>
      <c r="P1939" s="100"/>
      <c r="Q1939" s="100"/>
      <c r="R1939" s="100"/>
      <c r="S1939" s="100"/>
      <c r="T1939" s="100"/>
      <c r="U1939" s="100"/>
      <c r="V1939" s="100"/>
      <c r="W1939" s="100"/>
      <c r="X1939" s="100"/>
      <c r="Y1939" s="100"/>
      <c r="Z1939" s="100"/>
      <c r="AA1939" s="100"/>
    </row>
    <row r="1940" spans="2:27">
      <c r="B1940" s="100"/>
      <c r="C1940" s="100"/>
      <c r="D1940" s="100"/>
      <c r="E1940" s="100"/>
      <c r="F1940" s="100"/>
      <c r="G1940" s="100"/>
      <c r="H1940" s="100"/>
      <c r="I1940" s="100"/>
      <c r="J1940" s="100"/>
      <c r="K1940" s="100"/>
      <c r="L1940" s="100"/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  <c r="AA1940" s="100"/>
    </row>
    <row r="1941" spans="2:27">
      <c r="B1941" s="100"/>
      <c r="C1941" s="100"/>
      <c r="D1941" s="100"/>
      <c r="E1941" s="100"/>
      <c r="F1941" s="100"/>
      <c r="G1941" s="100"/>
      <c r="H1941" s="100"/>
      <c r="I1941" s="100"/>
      <c r="J1941" s="100"/>
      <c r="K1941" s="100"/>
      <c r="L1941" s="100"/>
      <c r="M1941" s="100"/>
      <c r="N1941" s="100"/>
      <c r="O1941" s="100"/>
      <c r="P1941" s="100"/>
      <c r="Q1941" s="100"/>
      <c r="R1941" s="100"/>
      <c r="S1941" s="100"/>
      <c r="T1941" s="100"/>
      <c r="U1941" s="100"/>
      <c r="V1941" s="100"/>
      <c r="W1941" s="100"/>
      <c r="X1941" s="100"/>
      <c r="Y1941" s="100"/>
      <c r="Z1941" s="100"/>
      <c r="AA1941" s="100"/>
    </row>
    <row r="1942" spans="2:27">
      <c r="B1942" s="100"/>
      <c r="C1942" s="100"/>
      <c r="D1942" s="100"/>
      <c r="E1942" s="100"/>
      <c r="F1942" s="100"/>
      <c r="G1942" s="100"/>
      <c r="H1942" s="100"/>
      <c r="I1942" s="100"/>
      <c r="J1942" s="100"/>
      <c r="K1942" s="100"/>
      <c r="L1942" s="100"/>
      <c r="M1942" s="100"/>
      <c r="N1942" s="100"/>
      <c r="O1942" s="100"/>
      <c r="P1942" s="100"/>
      <c r="Q1942" s="100"/>
      <c r="R1942" s="100"/>
      <c r="S1942" s="100"/>
      <c r="T1942" s="100"/>
      <c r="U1942" s="100"/>
      <c r="V1942" s="100"/>
      <c r="W1942" s="100"/>
      <c r="X1942" s="100"/>
      <c r="Y1942" s="100"/>
      <c r="Z1942" s="100"/>
      <c r="AA1942" s="100"/>
    </row>
    <row r="1943" spans="2:27">
      <c r="B1943" s="100"/>
      <c r="C1943" s="100"/>
      <c r="D1943" s="100"/>
      <c r="E1943" s="100"/>
      <c r="F1943" s="100"/>
      <c r="G1943" s="100"/>
      <c r="H1943" s="100"/>
      <c r="I1943" s="100"/>
      <c r="J1943" s="100"/>
      <c r="K1943" s="100"/>
      <c r="L1943" s="100"/>
      <c r="M1943" s="100"/>
      <c r="N1943" s="100"/>
      <c r="O1943" s="100"/>
      <c r="P1943" s="100"/>
      <c r="Q1943" s="100"/>
      <c r="R1943" s="100"/>
      <c r="S1943" s="100"/>
      <c r="T1943" s="100"/>
      <c r="U1943" s="100"/>
      <c r="V1943" s="100"/>
      <c r="W1943" s="100"/>
      <c r="X1943" s="100"/>
      <c r="Y1943" s="100"/>
      <c r="Z1943" s="100"/>
      <c r="AA1943" s="100"/>
    </row>
    <row r="1944" spans="2:27">
      <c r="B1944" s="100"/>
      <c r="C1944" s="100"/>
      <c r="D1944" s="100"/>
      <c r="E1944" s="100"/>
      <c r="F1944" s="100"/>
      <c r="G1944" s="100"/>
      <c r="H1944" s="100"/>
      <c r="I1944" s="100"/>
      <c r="J1944" s="100"/>
      <c r="K1944" s="100"/>
      <c r="L1944" s="100"/>
      <c r="M1944" s="100"/>
      <c r="N1944" s="100"/>
      <c r="O1944" s="100"/>
      <c r="P1944" s="100"/>
      <c r="Q1944" s="100"/>
      <c r="R1944" s="100"/>
      <c r="S1944" s="100"/>
      <c r="T1944" s="100"/>
      <c r="U1944" s="100"/>
      <c r="V1944" s="100"/>
      <c r="W1944" s="100"/>
      <c r="X1944" s="100"/>
      <c r="Y1944" s="100"/>
      <c r="Z1944" s="100"/>
      <c r="AA1944" s="100"/>
    </row>
    <row r="1945" spans="2:27">
      <c r="B1945" s="100"/>
      <c r="C1945" s="100"/>
      <c r="D1945" s="100"/>
      <c r="E1945" s="100"/>
      <c r="F1945" s="100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  <c r="AA1945" s="100"/>
    </row>
    <row r="1946" spans="2:27">
      <c r="B1946" s="100"/>
      <c r="C1946" s="100"/>
      <c r="D1946" s="100"/>
      <c r="E1946" s="100"/>
      <c r="F1946" s="100"/>
      <c r="G1946" s="100"/>
      <c r="H1946" s="100"/>
      <c r="I1946" s="100"/>
      <c r="J1946" s="100"/>
      <c r="K1946" s="100"/>
      <c r="L1946" s="100"/>
      <c r="M1946" s="100"/>
      <c r="N1946" s="100"/>
      <c r="O1946" s="100"/>
      <c r="P1946" s="100"/>
      <c r="Q1946" s="100"/>
      <c r="R1946" s="100"/>
      <c r="S1946" s="100"/>
      <c r="T1946" s="100"/>
      <c r="U1946" s="100"/>
      <c r="V1946" s="100"/>
      <c r="W1946" s="100"/>
      <c r="X1946" s="100"/>
      <c r="Y1946" s="100"/>
      <c r="Z1946" s="100"/>
      <c r="AA1946" s="100"/>
    </row>
    <row r="1947" spans="2:27">
      <c r="B1947" s="100"/>
      <c r="C1947" s="100"/>
      <c r="D1947" s="100"/>
      <c r="E1947" s="100"/>
      <c r="F1947" s="100"/>
      <c r="G1947" s="100"/>
      <c r="H1947" s="100"/>
      <c r="I1947" s="100"/>
      <c r="J1947" s="100"/>
      <c r="K1947" s="100"/>
      <c r="L1947" s="100"/>
      <c r="M1947" s="100"/>
      <c r="N1947" s="100"/>
      <c r="O1947" s="100"/>
      <c r="P1947" s="100"/>
      <c r="Q1947" s="100"/>
      <c r="R1947" s="100"/>
      <c r="S1947" s="100"/>
      <c r="T1947" s="100"/>
      <c r="U1947" s="100"/>
      <c r="V1947" s="100"/>
      <c r="W1947" s="100"/>
      <c r="X1947" s="100"/>
      <c r="Y1947" s="100"/>
      <c r="Z1947" s="100"/>
      <c r="AA1947" s="100"/>
    </row>
    <row r="1948" spans="2:27">
      <c r="B1948" s="100"/>
      <c r="C1948" s="100"/>
      <c r="D1948" s="100"/>
      <c r="E1948" s="100"/>
      <c r="F1948" s="100"/>
      <c r="G1948" s="100"/>
      <c r="H1948" s="100"/>
      <c r="I1948" s="100"/>
      <c r="J1948" s="100"/>
      <c r="K1948" s="100"/>
      <c r="L1948" s="100"/>
      <c r="M1948" s="100"/>
      <c r="N1948" s="100"/>
      <c r="O1948" s="100"/>
      <c r="P1948" s="100"/>
      <c r="Q1948" s="100"/>
      <c r="R1948" s="100"/>
      <c r="S1948" s="100"/>
      <c r="T1948" s="100"/>
      <c r="U1948" s="100"/>
      <c r="V1948" s="100"/>
      <c r="W1948" s="100"/>
      <c r="X1948" s="100"/>
      <c r="Y1948" s="100"/>
      <c r="Z1948" s="100"/>
      <c r="AA1948" s="100"/>
    </row>
    <row r="1949" spans="2:27">
      <c r="B1949" s="100"/>
      <c r="C1949" s="100"/>
      <c r="D1949" s="100"/>
      <c r="E1949" s="100"/>
      <c r="F1949" s="100"/>
      <c r="G1949" s="100"/>
      <c r="H1949" s="100"/>
      <c r="I1949" s="100"/>
      <c r="J1949" s="100"/>
      <c r="K1949" s="100"/>
      <c r="L1949" s="100"/>
      <c r="M1949" s="100"/>
      <c r="N1949" s="100"/>
      <c r="O1949" s="100"/>
      <c r="P1949" s="100"/>
      <c r="Q1949" s="100"/>
      <c r="R1949" s="100"/>
      <c r="S1949" s="100"/>
      <c r="T1949" s="100"/>
      <c r="U1949" s="100"/>
      <c r="V1949" s="100"/>
      <c r="W1949" s="100"/>
      <c r="X1949" s="100"/>
      <c r="Y1949" s="100"/>
      <c r="Z1949" s="100"/>
      <c r="AA1949" s="100"/>
    </row>
    <row r="1950" spans="2:27">
      <c r="B1950" s="100"/>
      <c r="C1950" s="100"/>
      <c r="D1950" s="100"/>
      <c r="E1950" s="100"/>
      <c r="F1950" s="100"/>
      <c r="G1950" s="100"/>
      <c r="H1950" s="100"/>
      <c r="I1950" s="100"/>
      <c r="J1950" s="100"/>
      <c r="K1950" s="100"/>
      <c r="L1950" s="100"/>
      <c r="M1950" s="100"/>
      <c r="N1950" s="100"/>
      <c r="O1950" s="100"/>
      <c r="P1950" s="100"/>
      <c r="Q1950" s="100"/>
      <c r="R1950" s="100"/>
      <c r="S1950" s="100"/>
      <c r="T1950" s="100"/>
      <c r="U1950" s="100"/>
      <c r="V1950" s="100"/>
      <c r="W1950" s="100"/>
      <c r="X1950" s="100"/>
      <c r="Y1950" s="100"/>
      <c r="Z1950" s="100"/>
      <c r="AA1950" s="100"/>
    </row>
    <row r="1951" spans="2:27">
      <c r="B1951" s="100"/>
      <c r="C1951" s="100"/>
      <c r="D1951" s="100"/>
      <c r="E1951" s="100"/>
      <c r="F1951" s="100"/>
      <c r="G1951" s="100"/>
      <c r="H1951" s="100"/>
      <c r="I1951" s="100"/>
      <c r="J1951" s="100"/>
      <c r="K1951" s="100"/>
      <c r="L1951" s="100"/>
      <c r="M1951" s="100"/>
      <c r="N1951" s="100"/>
      <c r="O1951" s="100"/>
      <c r="P1951" s="100"/>
      <c r="Q1951" s="100"/>
      <c r="R1951" s="100"/>
      <c r="S1951" s="100"/>
      <c r="T1951" s="100"/>
      <c r="U1951" s="100"/>
      <c r="V1951" s="100"/>
      <c r="W1951" s="100"/>
      <c r="X1951" s="100"/>
      <c r="Y1951" s="100"/>
      <c r="Z1951" s="100"/>
      <c r="AA1951" s="100"/>
    </row>
    <row r="1952" spans="2:27">
      <c r="B1952" s="100"/>
      <c r="C1952" s="100"/>
      <c r="D1952" s="100"/>
      <c r="E1952" s="100"/>
      <c r="F1952" s="100"/>
      <c r="G1952" s="100"/>
      <c r="H1952" s="100"/>
      <c r="I1952" s="100"/>
      <c r="J1952" s="100"/>
      <c r="K1952" s="100"/>
      <c r="L1952" s="100"/>
      <c r="M1952" s="100"/>
      <c r="N1952" s="100"/>
      <c r="O1952" s="100"/>
      <c r="P1952" s="100"/>
      <c r="Q1952" s="100"/>
      <c r="R1952" s="100"/>
      <c r="S1952" s="100"/>
      <c r="T1952" s="100"/>
      <c r="U1952" s="100"/>
      <c r="V1952" s="100"/>
      <c r="W1952" s="100"/>
      <c r="X1952" s="100"/>
      <c r="Y1952" s="100"/>
      <c r="Z1952" s="100"/>
      <c r="AA1952" s="100"/>
    </row>
    <row r="1953" spans="2:27">
      <c r="B1953" s="100"/>
      <c r="C1953" s="100"/>
      <c r="D1953" s="100"/>
      <c r="E1953" s="100"/>
      <c r="F1953" s="100"/>
      <c r="G1953" s="100"/>
      <c r="H1953" s="100"/>
      <c r="I1953" s="100"/>
      <c r="J1953" s="100"/>
      <c r="K1953" s="100"/>
      <c r="L1953" s="100"/>
      <c r="M1953" s="100"/>
      <c r="N1953" s="100"/>
      <c r="O1953" s="100"/>
      <c r="P1953" s="100"/>
      <c r="Q1953" s="100"/>
      <c r="R1953" s="100"/>
      <c r="S1953" s="100"/>
      <c r="T1953" s="100"/>
      <c r="U1953" s="100"/>
      <c r="V1953" s="100"/>
      <c r="W1953" s="100"/>
      <c r="X1953" s="100"/>
      <c r="Y1953" s="100"/>
      <c r="Z1953" s="100"/>
      <c r="AA1953" s="100"/>
    </row>
    <row r="1954" spans="2:27">
      <c r="B1954" s="100"/>
      <c r="C1954" s="100"/>
      <c r="D1954" s="100"/>
      <c r="E1954" s="100"/>
      <c r="F1954" s="100"/>
      <c r="G1954" s="100"/>
      <c r="H1954" s="100"/>
      <c r="I1954" s="100"/>
      <c r="J1954" s="100"/>
      <c r="K1954" s="100"/>
      <c r="L1954" s="100"/>
      <c r="M1954" s="100"/>
      <c r="N1954" s="100"/>
      <c r="O1954" s="100"/>
      <c r="P1954" s="100"/>
      <c r="Q1954" s="100"/>
      <c r="R1954" s="100"/>
      <c r="S1954" s="100"/>
      <c r="T1954" s="100"/>
      <c r="U1954" s="100"/>
      <c r="V1954" s="100"/>
      <c r="W1954" s="100"/>
      <c r="X1954" s="100"/>
      <c r="Y1954" s="100"/>
      <c r="Z1954" s="100"/>
      <c r="AA1954" s="100"/>
    </row>
    <row r="1955" spans="2:27">
      <c r="B1955" s="100"/>
      <c r="C1955" s="100"/>
      <c r="D1955" s="100"/>
      <c r="E1955" s="100"/>
      <c r="F1955" s="100"/>
      <c r="G1955" s="100"/>
      <c r="H1955" s="100"/>
      <c r="I1955" s="100"/>
      <c r="J1955" s="100"/>
      <c r="K1955" s="100"/>
      <c r="L1955" s="100"/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  <c r="AA1955" s="100"/>
    </row>
    <row r="1956" spans="2:27">
      <c r="B1956" s="100"/>
      <c r="C1956" s="100"/>
      <c r="D1956" s="100"/>
      <c r="E1956" s="100"/>
      <c r="F1956" s="100"/>
      <c r="G1956" s="100"/>
      <c r="H1956" s="100"/>
      <c r="I1956" s="100"/>
      <c r="J1956" s="100"/>
      <c r="K1956" s="100"/>
      <c r="L1956" s="100"/>
      <c r="M1956" s="100"/>
      <c r="N1956" s="100"/>
      <c r="O1956" s="100"/>
      <c r="P1956" s="100"/>
      <c r="Q1956" s="100"/>
      <c r="R1956" s="100"/>
      <c r="S1956" s="100"/>
      <c r="T1956" s="100"/>
      <c r="U1956" s="100"/>
      <c r="V1956" s="100"/>
      <c r="W1956" s="100"/>
      <c r="X1956" s="100"/>
      <c r="Y1956" s="100"/>
      <c r="Z1956" s="100"/>
      <c r="AA1956" s="100"/>
    </row>
    <row r="1957" spans="2:27">
      <c r="B1957" s="100"/>
      <c r="C1957" s="100"/>
      <c r="D1957" s="100"/>
      <c r="E1957" s="100"/>
      <c r="F1957" s="100"/>
      <c r="G1957" s="100"/>
      <c r="H1957" s="100"/>
      <c r="I1957" s="100"/>
      <c r="J1957" s="100"/>
      <c r="K1957" s="100"/>
      <c r="L1957" s="100"/>
      <c r="M1957" s="100"/>
      <c r="N1957" s="100"/>
      <c r="O1957" s="100"/>
      <c r="P1957" s="100"/>
      <c r="Q1957" s="100"/>
      <c r="R1957" s="100"/>
      <c r="S1957" s="100"/>
      <c r="T1957" s="100"/>
      <c r="U1957" s="100"/>
      <c r="V1957" s="100"/>
      <c r="W1957" s="100"/>
      <c r="X1957" s="100"/>
      <c r="Y1957" s="100"/>
      <c r="Z1957" s="100"/>
      <c r="AA1957" s="100"/>
    </row>
    <row r="1958" spans="2:27">
      <c r="B1958" s="100"/>
      <c r="C1958" s="100"/>
      <c r="D1958" s="100"/>
      <c r="E1958" s="100"/>
      <c r="F1958" s="100"/>
      <c r="G1958" s="100"/>
      <c r="H1958" s="100"/>
      <c r="I1958" s="100"/>
      <c r="J1958" s="100"/>
      <c r="K1958" s="100"/>
      <c r="L1958" s="100"/>
      <c r="M1958" s="100"/>
      <c r="N1958" s="100"/>
      <c r="O1958" s="100"/>
      <c r="P1958" s="100"/>
      <c r="Q1958" s="100"/>
      <c r="R1958" s="100"/>
      <c r="S1958" s="100"/>
      <c r="T1958" s="100"/>
      <c r="U1958" s="100"/>
      <c r="V1958" s="100"/>
      <c r="W1958" s="100"/>
      <c r="X1958" s="100"/>
      <c r="Y1958" s="100"/>
      <c r="Z1958" s="100"/>
      <c r="AA1958" s="100"/>
    </row>
    <row r="1959" spans="2:27">
      <c r="B1959" s="100"/>
      <c r="C1959" s="100"/>
      <c r="D1959" s="100"/>
      <c r="E1959" s="100"/>
      <c r="F1959" s="100"/>
      <c r="G1959" s="100"/>
      <c r="H1959" s="100"/>
      <c r="I1959" s="100"/>
      <c r="J1959" s="100"/>
      <c r="K1959" s="100"/>
      <c r="L1959" s="100"/>
      <c r="M1959" s="100"/>
      <c r="N1959" s="100"/>
      <c r="O1959" s="100"/>
      <c r="P1959" s="100"/>
      <c r="Q1959" s="100"/>
      <c r="R1959" s="100"/>
      <c r="S1959" s="100"/>
      <c r="T1959" s="100"/>
      <c r="U1959" s="100"/>
      <c r="V1959" s="100"/>
      <c r="W1959" s="100"/>
      <c r="X1959" s="100"/>
      <c r="Y1959" s="100"/>
      <c r="Z1959" s="100"/>
      <c r="AA1959" s="100"/>
    </row>
    <row r="1960" spans="2:27">
      <c r="B1960" s="100"/>
      <c r="C1960" s="100"/>
      <c r="D1960" s="100"/>
      <c r="E1960" s="100"/>
      <c r="F1960" s="100"/>
      <c r="G1960" s="100"/>
      <c r="H1960" s="100"/>
      <c r="I1960" s="100"/>
      <c r="J1960" s="100"/>
      <c r="K1960" s="100"/>
      <c r="L1960" s="100"/>
      <c r="M1960" s="100"/>
      <c r="N1960" s="100"/>
      <c r="O1960" s="100"/>
      <c r="P1960" s="100"/>
      <c r="Q1960" s="100"/>
      <c r="R1960" s="100"/>
      <c r="S1960" s="100"/>
      <c r="T1960" s="100"/>
      <c r="U1960" s="100"/>
      <c r="V1960" s="100"/>
      <c r="W1960" s="100"/>
      <c r="X1960" s="100"/>
      <c r="Y1960" s="100"/>
      <c r="Z1960" s="100"/>
      <c r="AA1960" s="100"/>
    </row>
    <row r="1961" spans="2:27">
      <c r="B1961" s="100"/>
      <c r="C1961" s="100"/>
      <c r="D1961" s="100"/>
      <c r="E1961" s="100"/>
      <c r="F1961" s="100"/>
      <c r="G1961" s="100"/>
      <c r="H1961" s="100"/>
      <c r="I1961" s="100"/>
      <c r="J1961" s="100"/>
      <c r="K1961" s="100"/>
      <c r="L1961" s="100"/>
      <c r="M1961" s="100"/>
      <c r="N1961" s="100"/>
      <c r="O1961" s="100"/>
      <c r="P1961" s="100"/>
      <c r="Q1961" s="100"/>
      <c r="R1961" s="100"/>
      <c r="S1961" s="100"/>
      <c r="T1961" s="100"/>
      <c r="U1961" s="100"/>
      <c r="V1961" s="100"/>
      <c r="W1961" s="100"/>
      <c r="X1961" s="100"/>
      <c r="Y1961" s="100"/>
      <c r="Z1961" s="100"/>
      <c r="AA1961" s="100"/>
    </row>
    <row r="1962" spans="2:27">
      <c r="B1962" s="100"/>
      <c r="C1962" s="100"/>
      <c r="D1962" s="100"/>
      <c r="E1962" s="100"/>
      <c r="F1962" s="100"/>
      <c r="G1962" s="100"/>
      <c r="H1962" s="100"/>
      <c r="I1962" s="100"/>
      <c r="J1962" s="100"/>
      <c r="K1962" s="100"/>
      <c r="L1962" s="100"/>
      <c r="M1962" s="100"/>
      <c r="N1962" s="100"/>
      <c r="O1962" s="100"/>
      <c r="P1962" s="100"/>
      <c r="Q1962" s="100"/>
      <c r="R1962" s="100"/>
      <c r="S1962" s="100"/>
      <c r="T1962" s="100"/>
      <c r="U1962" s="100"/>
      <c r="V1962" s="100"/>
      <c r="W1962" s="100"/>
      <c r="X1962" s="100"/>
      <c r="Y1962" s="100"/>
      <c r="Z1962" s="100"/>
      <c r="AA1962" s="100"/>
    </row>
    <row r="1963" spans="2:27">
      <c r="B1963" s="100"/>
      <c r="C1963" s="100"/>
      <c r="D1963" s="100"/>
      <c r="E1963" s="100"/>
      <c r="F1963" s="100"/>
      <c r="G1963" s="100"/>
      <c r="H1963" s="100"/>
      <c r="I1963" s="100"/>
      <c r="J1963" s="100"/>
      <c r="K1963" s="100"/>
      <c r="L1963" s="100"/>
      <c r="M1963" s="100"/>
      <c r="N1963" s="100"/>
      <c r="O1963" s="100"/>
      <c r="P1963" s="100"/>
      <c r="Q1963" s="100"/>
      <c r="R1963" s="100"/>
      <c r="S1963" s="100"/>
      <c r="T1963" s="100"/>
      <c r="U1963" s="100"/>
      <c r="V1963" s="100"/>
      <c r="W1963" s="100"/>
      <c r="X1963" s="100"/>
      <c r="Y1963" s="100"/>
      <c r="Z1963" s="100"/>
      <c r="AA1963" s="100"/>
    </row>
    <row r="1964" spans="2:27">
      <c r="B1964" s="100"/>
      <c r="C1964" s="100"/>
      <c r="D1964" s="100"/>
      <c r="E1964" s="100"/>
      <c r="F1964" s="100"/>
      <c r="G1964" s="100"/>
      <c r="H1964" s="100"/>
      <c r="I1964" s="100"/>
      <c r="J1964" s="100"/>
      <c r="K1964" s="100"/>
      <c r="L1964" s="100"/>
      <c r="M1964" s="100"/>
      <c r="N1964" s="100"/>
      <c r="O1964" s="100"/>
      <c r="P1964" s="100"/>
      <c r="Q1964" s="100"/>
      <c r="R1964" s="100"/>
      <c r="S1964" s="100"/>
      <c r="T1964" s="100"/>
      <c r="U1964" s="100"/>
      <c r="V1964" s="100"/>
      <c r="W1964" s="100"/>
      <c r="X1964" s="100"/>
      <c r="Y1964" s="100"/>
      <c r="Z1964" s="100"/>
      <c r="AA1964" s="100"/>
    </row>
    <row r="1965" spans="2:27">
      <c r="B1965" s="100"/>
      <c r="C1965" s="100"/>
      <c r="D1965" s="100"/>
      <c r="E1965" s="100"/>
      <c r="F1965" s="100"/>
      <c r="G1965" s="100"/>
      <c r="H1965" s="100"/>
      <c r="I1965" s="100"/>
      <c r="J1965" s="100"/>
      <c r="K1965" s="100"/>
      <c r="L1965" s="100"/>
      <c r="M1965" s="100"/>
      <c r="N1965" s="100"/>
      <c r="O1965" s="100"/>
      <c r="P1965" s="100"/>
      <c r="Q1965" s="100"/>
      <c r="R1965" s="100"/>
      <c r="S1965" s="100"/>
      <c r="T1965" s="100"/>
      <c r="U1965" s="100"/>
      <c r="V1965" s="100"/>
      <c r="W1965" s="100"/>
      <c r="X1965" s="100"/>
      <c r="Y1965" s="100"/>
      <c r="Z1965" s="100"/>
      <c r="AA1965" s="100"/>
    </row>
    <row r="1966" spans="2:27">
      <c r="B1966" s="100"/>
      <c r="C1966" s="100"/>
      <c r="D1966" s="100"/>
      <c r="E1966" s="100"/>
      <c r="F1966" s="100"/>
      <c r="G1966" s="100"/>
      <c r="H1966" s="100"/>
      <c r="I1966" s="100"/>
      <c r="J1966" s="100"/>
      <c r="K1966" s="100"/>
      <c r="L1966" s="100"/>
      <c r="M1966" s="100"/>
      <c r="N1966" s="100"/>
      <c r="O1966" s="100"/>
      <c r="P1966" s="100"/>
      <c r="Q1966" s="100"/>
      <c r="R1966" s="100"/>
      <c r="S1966" s="100"/>
      <c r="T1966" s="100"/>
      <c r="U1966" s="100"/>
      <c r="V1966" s="100"/>
      <c r="W1966" s="100"/>
      <c r="X1966" s="100"/>
      <c r="Y1966" s="100"/>
      <c r="Z1966" s="100"/>
      <c r="AA1966" s="100"/>
    </row>
    <row r="1967" spans="2:27">
      <c r="B1967" s="100"/>
      <c r="C1967" s="100"/>
      <c r="D1967" s="100"/>
      <c r="E1967" s="100"/>
      <c r="F1967" s="100"/>
      <c r="G1967" s="100"/>
      <c r="H1967" s="100"/>
      <c r="I1967" s="100"/>
      <c r="J1967" s="100"/>
      <c r="K1967" s="100"/>
      <c r="L1967" s="100"/>
      <c r="M1967" s="100"/>
      <c r="N1967" s="100"/>
      <c r="O1967" s="100"/>
      <c r="P1967" s="100"/>
      <c r="Q1967" s="100"/>
      <c r="R1967" s="100"/>
      <c r="S1967" s="100"/>
      <c r="T1967" s="100"/>
      <c r="U1967" s="100"/>
      <c r="V1967" s="100"/>
      <c r="W1967" s="100"/>
      <c r="X1967" s="100"/>
      <c r="Y1967" s="100"/>
      <c r="Z1967" s="100"/>
      <c r="AA1967" s="100"/>
    </row>
    <row r="1968" spans="2:27">
      <c r="B1968" s="100"/>
      <c r="C1968" s="100"/>
      <c r="D1968" s="100"/>
      <c r="E1968" s="100"/>
      <c r="F1968" s="100"/>
      <c r="G1968" s="100"/>
      <c r="H1968" s="100"/>
      <c r="I1968" s="100"/>
      <c r="J1968" s="100"/>
      <c r="K1968" s="100"/>
      <c r="L1968" s="100"/>
      <c r="M1968" s="100"/>
      <c r="N1968" s="100"/>
      <c r="O1968" s="100"/>
      <c r="P1968" s="100"/>
      <c r="Q1968" s="100"/>
      <c r="R1968" s="100"/>
      <c r="S1968" s="100"/>
      <c r="T1968" s="100"/>
      <c r="U1968" s="100"/>
      <c r="V1968" s="100"/>
      <c r="W1968" s="100"/>
      <c r="X1968" s="100"/>
      <c r="Y1968" s="100"/>
      <c r="Z1968" s="100"/>
      <c r="AA1968" s="100"/>
    </row>
    <row r="1969" spans="2:27">
      <c r="B1969" s="100"/>
      <c r="C1969" s="100"/>
      <c r="D1969" s="100"/>
      <c r="E1969" s="100"/>
      <c r="F1969" s="100"/>
      <c r="G1969" s="100"/>
      <c r="H1969" s="100"/>
      <c r="I1969" s="100"/>
      <c r="J1969" s="100"/>
      <c r="K1969" s="100"/>
      <c r="L1969" s="100"/>
      <c r="M1969" s="100"/>
      <c r="N1969" s="100"/>
      <c r="O1969" s="100"/>
      <c r="P1969" s="100"/>
      <c r="Q1969" s="100"/>
      <c r="R1969" s="100"/>
      <c r="S1969" s="100"/>
      <c r="T1969" s="100"/>
      <c r="U1969" s="100"/>
      <c r="V1969" s="100"/>
      <c r="W1969" s="100"/>
      <c r="X1969" s="100"/>
      <c r="Y1969" s="100"/>
      <c r="Z1969" s="100"/>
      <c r="AA1969" s="100"/>
    </row>
    <row r="1970" spans="2:27">
      <c r="B1970" s="100"/>
      <c r="C1970" s="100"/>
      <c r="D1970" s="100"/>
      <c r="E1970" s="100"/>
      <c r="F1970" s="100"/>
      <c r="G1970" s="100"/>
      <c r="H1970" s="100"/>
      <c r="I1970" s="100"/>
      <c r="J1970" s="100"/>
      <c r="K1970" s="100"/>
      <c r="L1970" s="100"/>
      <c r="M1970" s="100"/>
      <c r="N1970" s="100"/>
      <c r="O1970" s="100"/>
      <c r="P1970" s="100"/>
      <c r="Q1970" s="100"/>
      <c r="R1970" s="100"/>
      <c r="S1970" s="100"/>
      <c r="T1970" s="100"/>
      <c r="U1970" s="100"/>
      <c r="V1970" s="100"/>
      <c r="W1970" s="100"/>
      <c r="X1970" s="100"/>
      <c r="Y1970" s="100"/>
      <c r="Z1970" s="100"/>
      <c r="AA1970" s="100"/>
    </row>
    <row r="1971" spans="2:27">
      <c r="B1971" s="100"/>
      <c r="C1971" s="100"/>
      <c r="D1971" s="100"/>
      <c r="E1971" s="100"/>
      <c r="F1971" s="100"/>
      <c r="G1971" s="100"/>
      <c r="H1971" s="100"/>
      <c r="I1971" s="100"/>
      <c r="J1971" s="100"/>
      <c r="K1971" s="100"/>
      <c r="L1971" s="100"/>
      <c r="M1971" s="100"/>
      <c r="N1971" s="100"/>
      <c r="O1971" s="100"/>
      <c r="P1971" s="100"/>
      <c r="Q1971" s="100"/>
      <c r="R1971" s="100"/>
      <c r="S1971" s="100"/>
      <c r="T1971" s="100"/>
      <c r="U1971" s="100"/>
      <c r="V1971" s="100"/>
      <c r="W1971" s="100"/>
      <c r="X1971" s="100"/>
      <c r="Y1971" s="100"/>
      <c r="Z1971" s="100"/>
      <c r="AA1971" s="100"/>
    </row>
    <row r="1972" spans="2:27">
      <c r="B1972" s="100"/>
      <c r="C1972" s="100"/>
      <c r="D1972" s="100"/>
      <c r="E1972" s="100"/>
      <c r="F1972" s="100"/>
      <c r="G1972" s="100"/>
      <c r="H1972" s="100"/>
      <c r="I1972" s="100"/>
      <c r="J1972" s="100"/>
      <c r="K1972" s="100"/>
      <c r="L1972" s="100"/>
      <c r="M1972" s="100"/>
      <c r="N1972" s="100"/>
      <c r="O1972" s="100"/>
      <c r="P1972" s="100"/>
      <c r="Q1972" s="100"/>
      <c r="R1972" s="100"/>
      <c r="S1972" s="100"/>
      <c r="T1972" s="100"/>
      <c r="U1972" s="100"/>
      <c r="V1972" s="100"/>
      <c r="W1972" s="100"/>
      <c r="X1972" s="100"/>
      <c r="Y1972" s="100"/>
      <c r="Z1972" s="100"/>
      <c r="AA1972" s="100"/>
    </row>
    <row r="1973" spans="2:27">
      <c r="B1973" s="100"/>
      <c r="C1973" s="100"/>
      <c r="D1973" s="100"/>
      <c r="E1973" s="100"/>
      <c r="F1973" s="100"/>
      <c r="G1973" s="100"/>
      <c r="H1973" s="100"/>
      <c r="I1973" s="100"/>
      <c r="J1973" s="100"/>
      <c r="K1973" s="100"/>
      <c r="L1973" s="100"/>
      <c r="M1973" s="100"/>
      <c r="N1973" s="100"/>
      <c r="O1973" s="100"/>
      <c r="P1973" s="100"/>
      <c r="Q1973" s="100"/>
      <c r="R1973" s="100"/>
      <c r="S1973" s="100"/>
      <c r="T1973" s="100"/>
      <c r="U1973" s="100"/>
      <c r="V1973" s="100"/>
      <c r="W1973" s="100"/>
      <c r="X1973" s="100"/>
      <c r="Y1973" s="100"/>
      <c r="Z1973" s="100"/>
      <c r="AA1973" s="100"/>
    </row>
    <row r="1974" spans="2:27">
      <c r="B1974" s="100"/>
      <c r="C1974" s="100"/>
      <c r="D1974" s="100"/>
      <c r="E1974" s="100"/>
      <c r="F1974" s="100"/>
      <c r="G1974" s="100"/>
      <c r="H1974" s="100"/>
      <c r="I1974" s="100"/>
      <c r="J1974" s="100"/>
      <c r="K1974" s="100"/>
      <c r="L1974" s="100"/>
      <c r="M1974" s="100"/>
      <c r="N1974" s="100"/>
      <c r="O1974" s="100"/>
      <c r="P1974" s="100"/>
      <c r="Q1974" s="100"/>
      <c r="R1974" s="100"/>
      <c r="S1974" s="100"/>
      <c r="T1974" s="100"/>
      <c r="U1974" s="100"/>
      <c r="V1974" s="100"/>
      <c r="W1974" s="100"/>
      <c r="X1974" s="100"/>
      <c r="Y1974" s="100"/>
      <c r="Z1974" s="100"/>
      <c r="AA1974" s="100"/>
    </row>
    <row r="1975" spans="2:27">
      <c r="B1975" s="100"/>
      <c r="C1975" s="100"/>
      <c r="D1975" s="100"/>
      <c r="E1975" s="100"/>
      <c r="F1975" s="100"/>
      <c r="G1975" s="100"/>
      <c r="H1975" s="100"/>
      <c r="I1975" s="100"/>
      <c r="J1975" s="100"/>
      <c r="K1975" s="100"/>
      <c r="L1975" s="100"/>
      <c r="M1975" s="100"/>
      <c r="N1975" s="100"/>
      <c r="O1975" s="100"/>
      <c r="P1975" s="100"/>
      <c r="Q1975" s="100"/>
      <c r="R1975" s="100"/>
      <c r="S1975" s="100"/>
      <c r="T1975" s="100"/>
      <c r="U1975" s="100"/>
      <c r="V1975" s="100"/>
      <c r="W1975" s="100"/>
      <c r="X1975" s="100"/>
      <c r="Y1975" s="100"/>
      <c r="Z1975" s="100"/>
      <c r="AA1975" s="100"/>
    </row>
    <row r="1976" spans="2:27">
      <c r="B1976" s="100"/>
      <c r="C1976" s="100"/>
      <c r="D1976" s="100"/>
      <c r="E1976" s="100"/>
      <c r="F1976" s="100"/>
      <c r="G1976" s="100"/>
      <c r="H1976" s="100"/>
      <c r="I1976" s="100"/>
      <c r="J1976" s="100"/>
      <c r="K1976" s="100"/>
      <c r="L1976" s="100"/>
      <c r="M1976" s="100"/>
      <c r="N1976" s="100"/>
      <c r="O1976" s="100"/>
      <c r="P1976" s="100"/>
      <c r="Q1976" s="100"/>
      <c r="R1976" s="100"/>
      <c r="S1976" s="100"/>
      <c r="T1976" s="100"/>
      <c r="U1976" s="100"/>
      <c r="V1976" s="100"/>
      <c r="W1976" s="100"/>
      <c r="X1976" s="100"/>
      <c r="Y1976" s="100"/>
      <c r="Z1976" s="100"/>
      <c r="AA1976" s="100"/>
    </row>
    <row r="1977" spans="2:27">
      <c r="B1977" s="100"/>
      <c r="C1977" s="100"/>
      <c r="D1977" s="100"/>
      <c r="E1977" s="100"/>
      <c r="F1977" s="100"/>
      <c r="G1977" s="100"/>
      <c r="H1977" s="100"/>
      <c r="I1977" s="100"/>
      <c r="J1977" s="100"/>
      <c r="K1977" s="100"/>
      <c r="L1977" s="100"/>
      <c r="M1977" s="100"/>
      <c r="N1977" s="100"/>
      <c r="O1977" s="100"/>
      <c r="P1977" s="100"/>
      <c r="Q1977" s="100"/>
      <c r="R1977" s="100"/>
      <c r="S1977" s="100"/>
      <c r="T1977" s="100"/>
      <c r="U1977" s="100"/>
      <c r="V1977" s="100"/>
      <c r="W1977" s="100"/>
      <c r="X1977" s="100"/>
      <c r="Y1977" s="100"/>
      <c r="Z1977" s="100"/>
      <c r="AA1977" s="100"/>
    </row>
    <row r="1978" spans="2:27">
      <c r="B1978" s="100"/>
      <c r="C1978" s="100"/>
      <c r="D1978" s="100"/>
      <c r="E1978" s="100"/>
      <c r="F1978" s="100"/>
      <c r="G1978" s="100"/>
      <c r="H1978" s="100"/>
      <c r="I1978" s="100"/>
      <c r="J1978" s="100"/>
      <c r="K1978" s="100"/>
      <c r="L1978" s="100"/>
      <c r="M1978" s="100"/>
      <c r="N1978" s="100"/>
      <c r="O1978" s="100"/>
      <c r="P1978" s="100"/>
      <c r="Q1978" s="100"/>
      <c r="R1978" s="100"/>
      <c r="S1978" s="100"/>
      <c r="T1978" s="100"/>
      <c r="U1978" s="100"/>
      <c r="V1978" s="100"/>
      <c r="W1978" s="100"/>
      <c r="X1978" s="100"/>
      <c r="Y1978" s="100"/>
      <c r="Z1978" s="100"/>
      <c r="AA1978" s="100"/>
    </row>
    <row r="1979" spans="2:27">
      <c r="B1979" s="100"/>
      <c r="C1979" s="100"/>
      <c r="D1979" s="100"/>
      <c r="E1979" s="100"/>
      <c r="F1979" s="100"/>
      <c r="G1979" s="100"/>
      <c r="H1979" s="100"/>
      <c r="I1979" s="100"/>
      <c r="J1979" s="100"/>
      <c r="K1979" s="100"/>
      <c r="L1979" s="100"/>
      <c r="M1979" s="100"/>
      <c r="N1979" s="100"/>
      <c r="O1979" s="100"/>
      <c r="P1979" s="100"/>
      <c r="Q1979" s="100"/>
      <c r="R1979" s="100"/>
      <c r="S1979" s="100"/>
      <c r="T1979" s="100"/>
      <c r="U1979" s="100"/>
      <c r="V1979" s="100"/>
      <c r="W1979" s="100"/>
      <c r="X1979" s="100"/>
      <c r="Y1979" s="100"/>
      <c r="Z1979" s="100"/>
      <c r="AA1979" s="100"/>
    </row>
    <row r="1980" spans="2:27">
      <c r="B1980" s="100"/>
      <c r="C1980" s="100"/>
      <c r="D1980" s="100"/>
      <c r="E1980" s="100"/>
      <c r="F1980" s="100"/>
      <c r="G1980" s="100"/>
      <c r="H1980" s="100"/>
      <c r="I1980" s="100"/>
      <c r="J1980" s="100"/>
      <c r="K1980" s="100"/>
      <c r="L1980" s="100"/>
      <c r="M1980" s="100"/>
      <c r="N1980" s="100"/>
      <c r="O1980" s="100"/>
      <c r="P1980" s="100"/>
      <c r="Q1980" s="100"/>
      <c r="R1980" s="100"/>
      <c r="S1980" s="100"/>
      <c r="T1980" s="100"/>
      <c r="U1980" s="100"/>
      <c r="V1980" s="100"/>
      <c r="W1980" s="100"/>
      <c r="X1980" s="100"/>
      <c r="Y1980" s="100"/>
      <c r="Z1980" s="100"/>
      <c r="AA1980" s="100"/>
    </row>
    <row r="1981" spans="2:27">
      <c r="B1981" s="100"/>
      <c r="C1981" s="100"/>
      <c r="D1981" s="100"/>
      <c r="E1981" s="100"/>
      <c r="F1981" s="100"/>
      <c r="G1981" s="100"/>
      <c r="H1981" s="100"/>
      <c r="I1981" s="100"/>
      <c r="J1981" s="100"/>
      <c r="K1981" s="100"/>
      <c r="L1981" s="100"/>
      <c r="M1981" s="100"/>
      <c r="N1981" s="100"/>
      <c r="O1981" s="100"/>
      <c r="P1981" s="100"/>
      <c r="Q1981" s="100"/>
      <c r="R1981" s="100"/>
      <c r="S1981" s="100"/>
      <c r="T1981" s="100"/>
      <c r="U1981" s="100"/>
      <c r="V1981" s="100"/>
      <c r="W1981" s="100"/>
      <c r="X1981" s="100"/>
      <c r="Y1981" s="100"/>
      <c r="Z1981" s="100"/>
      <c r="AA1981" s="100"/>
    </row>
    <row r="1982" spans="2:27">
      <c r="B1982" s="100"/>
      <c r="C1982" s="100"/>
      <c r="D1982" s="100"/>
      <c r="E1982" s="100"/>
      <c r="F1982" s="100"/>
      <c r="G1982" s="100"/>
      <c r="H1982" s="100"/>
      <c r="I1982" s="100"/>
      <c r="J1982" s="100"/>
      <c r="K1982" s="100"/>
      <c r="L1982" s="100"/>
      <c r="M1982" s="100"/>
      <c r="N1982" s="100"/>
      <c r="O1982" s="100"/>
      <c r="P1982" s="100"/>
      <c r="Q1982" s="100"/>
      <c r="R1982" s="100"/>
      <c r="S1982" s="100"/>
      <c r="T1982" s="100"/>
      <c r="U1982" s="100"/>
      <c r="V1982" s="100"/>
      <c r="W1982" s="100"/>
      <c r="X1982" s="100"/>
      <c r="Y1982" s="100"/>
      <c r="Z1982" s="100"/>
      <c r="AA1982" s="100"/>
    </row>
    <row r="1983" spans="2:27">
      <c r="B1983" s="100"/>
      <c r="C1983" s="100"/>
      <c r="D1983" s="100"/>
      <c r="E1983" s="100"/>
      <c r="F1983" s="100"/>
      <c r="G1983" s="100"/>
      <c r="H1983" s="100"/>
      <c r="I1983" s="100"/>
      <c r="J1983" s="100"/>
      <c r="K1983" s="100"/>
      <c r="L1983" s="100"/>
      <c r="M1983" s="100"/>
      <c r="N1983" s="100"/>
      <c r="O1983" s="100"/>
      <c r="P1983" s="100"/>
      <c r="Q1983" s="100"/>
      <c r="R1983" s="100"/>
      <c r="S1983" s="100"/>
      <c r="T1983" s="100"/>
      <c r="U1983" s="100"/>
      <c r="V1983" s="100"/>
      <c r="W1983" s="100"/>
      <c r="X1983" s="100"/>
      <c r="Y1983" s="100"/>
      <c r="Z1983" s="100"/>
      <c r="AA1983" s="100"/>
    </row>
    <row r="1984" spans="2:27">
      <c r="B1984" s="100"/>
      <c r="C1984" s="100"/>
      <c r="D1984" s="100"/>
      <c r="E1984" s="100"/>
      <c r="F1984" s="100"/>
      <c r="G1984" s="100"/>
      <c r="H1984" s="100"/>
      <c r="I1984" s="100"/>
      <c r="J1984" s="100"/>
      <c r="K1984" s="100"/>
      <c r="L1984" s="100"/>
      <c r="M1984" s="100"/>
      <c r="N1984" s="100"/>
      <c r="O1984" s="100"/>
      <c r="P1984" s="100"/>
      <c r="Q1984" s="100"/>
      <c r="R1984" s="100"/>
      <c r="S1984" s="100"/>
      <c r="T1984" s="100"/>
      <c r="U1984" s="100"/>
      <c r="V1984" s="100"/>
      <c r="W1984" s="100"/>
      <c r="X1984" s="100"/>
      <c r="Y1984" s="100"/>
      <c r="Z1984" s="100"/>
      <c r="AA1984" s="100"/>
    </row>
    <row r="1985" spans="2:27">
      <c r="B1985" s="100"/>
      <c r="C1985" s="100"/>
      <c r="D1985" s="100"/>
      <c r="E1985" s="100"/>
      <c r="F1985" s="100"/>
      <c r="G1985" s="100"/>
      <c r="H1985" s="100"/>
      <c r="I1985" s="100"/>
      <c r="J1985" s="100"/>
      <c r="K1985" s="100"/>
      <c r="L1985" s="100"/>
      <c r="M1985" s="100"/>
      <c r="N1985" s="100"/>
      <c r="O1985" s="100"/>
      <c r="P1985" s="100"/>
      <c r="Q1985" s="100"/>
      <c r="R1985" s="100"/>
      <c r="S1985" s="100"/>
      <c r="T1985" s="100"/>
      <c r="U1985" s="100"/>
      <c r="V1985" s="100"/>
      <c r="W1985" s="100"/>
      <c r="X1985" s="100"/>
      <c r="Y1985" s="100"/>
      <c r="Z1985" s="100"/>
      <c r="AA1985" s="100"/>
    </row>
    <row r="1986" spans="2:27">
      <c r="B1986" s="100"/>
      <c r="C1986" s="100"/>
      <c r="D1986" s="100"/>
      <c r="E1986" s="100"/>
      <c r="F1986" s="100"/>
      <c r="G1986" s="100"/>
      <c r="H1986" s="100"/>
      <c r="I1986" s="100"/>
      <c r="J1986" s="100"/>
      <c r="K1986" s="100"/>
      <c r="L1986" s="100"/>
      <c r="M1986" s="100"/>
      <c r="N1986" s="100"/>
      <c r="O1986" s="100"/>
      <c r="P1986" s="100"/>
      <c r="Q1986" s="100"/>
      <c r="R1986" s="100"/>
      <c r="S1986" s="100"/>
      <c r="T1986" s="100"/>
      <c r="U1986" s="100"/>
      <c r="V1986" s="100"/>
      <c r="W1986" s="100"/>
      <c r="X1986" s="100"/>
      <c r="Y1986" s="100"/>
      <c r="Z1986" s="100"/>
      <c r="AA1986" s="100"/>
    </row>
    <row r="1987" spans="2:27">
      <c r="B1987" s="100"/>
      <c r="C1987" s="100"/>
      <c r="D1987" s="100"/>
      <c r="E1987" s="100"/>
      <c r="F1987" s="100"/>
      <c r="G1987" s="100"/>
      <c r="H1987" s="100"/>
      <c r="I1987" s="100"/>
      <c r="J1987" s="100"/>
      <c r="K1987" s="100"/>
      <c r="L1987" s="100"/>
      <c r="M1987" s="100"/>
      <c r="N1987" s="100"/>
      <c r="O1987" s="100"/>
      <c r="P1987" s="100"/>
      <c r="Q1987" s="100"/>
      <c r="R1987" s="100"/>
      <c r="S1987" s="100"/>
      <c r="T1987" s="100"/>
      <c r="U1987" s="100"/>
      <c r="V1987" s="100"/>
      <c r="W1987" s="100"/>
      <c r="X1987" s="100"/>
      <c r="Y1987" s="100"/>
      <c r="Z1987" s="100"/>
      <c r="AA1987" s="100"/>
    </row>
    <row r="1988" spans="2:27">
      <c r="B1988" s="100"/>
      <c r="C1988" s="100"/>
      <c r="D1988" s="100"/>
      <c r="E1988" s="100"/>
      <c r="F1988" s="100"/>
      <c r="G1988" s="100"/>
      <c r="H1988" s="100"/>
      <c r="I1988" s="100"/>
      <c r="J1988" s="100"/>
      <c r="K1988" s="100"/>
      <c r="L1988" s="100"/>
      <c r="M1988" s="100"/>
      <c r="N1988" s="100"/>
      <c r="O1988" s="100"/>
      <c r="P1988" s="100"/>
      <c r="Q1988" s="100"/>
      <c r="R1988" s="100"/>
      <c r="S1988" s="100"/>
      <c r="T1988" s="100"/>
      <c r="U1988" s="100"/>
      <c r="V1988" s="100"/>
      <c r="W1988" s="100"/>
      <c r="X1988" s="100"/>
      <c r="Y1988" s="100"/>
      <c r="Z1988" s="100"/>
      <c r="AA1988" s="100"/>
    </row>
    <row r="1989" spans="2:27">
      <c r="B1989" s="100"/>
      <c r="C1989" s="100"/>
      <c r="D1989" s="100"/>
      <c r="E1989" s="100"/>
      <c r="F1989" s="100"/>
      <c r="G1989" s="100"/>
      <c r="H1989" s="100"/>
      <c r="I1989" s="100"/>
      <c r="J1989" s="100"/>
      <c r="K1989" s="100"/>
      <c r="L1989" s="100"/>
      <c r="M1989" s="100"/>
      <c r="N1989" s="100"/>
      <c r="O1989" s="100"/>
      <c r="P1989" s="100"/>
      <c r="Q1989" s="100"/>
      <c r="R1989" s="100"/>
      <c r="S1989" s="100"/>
      <c r="T1989" s="100"/>
      <c r="U1989" s="100"/>
      <c r="V1989" s="100"/>
      <c r="W1989" s="100"/>
      <c r="X1989" s="100"/>
      <c r="Y1989" s="100"/>
      <c r="Z1989" s="100"/>
      <c r="AA1989" s="100"/>
    </row>
    <row r="1990" spans="2:27">
      <c r="B1990" s="100"/>
      <c r="C1990" s="100"/>
      <c r="D1990" s="100"/>
      <c r="E1990" s="100"/>
      <c r="F1990" s="100"/>
      <c r="G1990" s="100"/>
      <c r="H1990" s="100"/>
      <c r="I1990" s="100"/>
      <c r="J1990" s="100"/>
      <c r="K1990" s="100"/>
      <c r="L1990" s="100"/>
      <c r="M1990" s="100"/>
      <c r="N1990" s="100"/>
      <c r="O1990" s="100"/>
      <c r="P1990" s="100"/>
      <c r="Q1990" s="100"/>
      <c r="R1990" s="100"/>
      <c r="S1990" s="100"/>
      <c r="T1990" s="100"/>
      <c r="U1990" s="100"/>
      <c r="V1990" s="100"/>
      <c r="W1990" s="100"/>
      <c r="X1990" s="100"/>
      <c r="Y1990" s="100"/>
      <c r="Z1990" s="100"/>
      <c r="AA1990" s="100"/>
    </row>
    <row r="1991" spans="2:27">
      <c r="B1991" s="100"/>
      <c r="C1991" s="100"/>
      <c r="D1991" s="100"/>
      <c r="E1991" s="100"/>
      <c r="F1991" s="100"/>
      <c r="G1991" s="100"/>
      <c r="H1991" s="100"/>
      <c r="I1991" s="100"/>
      <c r="J1991" s="100"/>
      <c r="K1991" s="100"/>
      <c r="L1991" s="100"/>
      <c r="M1991" s="100"/>
      <c r="N1991" s="100"/>
      <c r="O1991" s="100"/>
      <c r="P1991" s="100"/>
      <c r="Q1991" s="100"/>
      <c r="R1991" s="100"/>
      <c r="S1991" s="100"/>
      <c r="T1991" s="100"/>
      <c r="U1991" s="100"/>
      <c r="V1991" s="100"/>
      <c r="W1991" s="100"/>
      <c r="X1991" s="100"/>
      <c r="Y1991" s="100"/>
      <c r="Z1991" s="100"/>
      <c r="AA1991" s="100"/>
    </row>
    <row r="1992" spans="2:27">
      <c r="B1992" s="100"/>
      <c r="C1992" s="100"/>
      <c r="D1992" s="100"/>
      <c r="E1992" s="100"/>
      <c r="F1992" s="100"/>
      <c r="G1992" s="100"/>
      <c r="H1992" s="100"/>
      <c r="I1992" s="100"/>
      <c r="J1992" s="100"/>
      <c r="K1992" s="100"/>
      <c r="L1992" s="100"/>
      <c r="M1992" s="100"/>
      <c r="N1992" s="100"/>
      <c r="O1992" s="100"/>
      <c r="P1992" s="100"/>
      <c r="Q1992" s="100"/>
      <c r="R1992" s="100"/>
      <c r="S1992" s="100"/>
      <c r="T1992" s="100"/>
      <c r="U1992" s="100"/>
      <c r="V1992" s="100"/>
      <c r="W1992" s="100"/>
      <c r="X1992" s="100"/>
      <c r="Y1992" s="100"/>
      <c r="Z1992" s="100"/>
      <c r="AA1992" s="100"/>
    </row>
    <row r="1993" spans="2:27">
      <c r="B1993" s="100"/>
      <c r="C1993" s="100"/>
      <c r="D1993" s="100"/>
      <c r="E1993" s="100"/>
      <c r="F1993" s="100"/>
      <c r="G1993" s="100"/>
      <c r="H1993" s="100"/>
      <c r="I1993" s="100"/>
      <c r="J1993" s="100"/>
      <c r="K1993" s="100"/>
      <c r="L1993" s="100"/>
      <c r="M1993" s="100"/>
      <c r="N1993" s="100"/>
      <c r="O1993" s="100"/>
      <c r="P1993" s="100"/>
      <c r="Q1993" s="100"/>
      <c r="R1993" s="100"/>
      <c r="S1993" s="100"/>
      <c r="T1993" s="100"/>
      <c r="U1993" s="100"/>
      <c r="V1993" s="100"/>
      <c r="W1993" s="100"/>
      <c r="X1993" s="100"/>
      <c r="Y1993" s="100"/>
      <c r="Z1993" s="100"/>
      <c r="AA1993" s="100"/>
    </row>
    <row r="1994" spans="2:27">
      <c r="B1994" s="100"/>
      <c r="C1994" s="100"/>
      <c r="D1994" s="100"/>
      <c r="E1994" s="100"/>
      <c r="F1994" s="100"/>
      <c r="G1994" s="100"/>
      <c r="H1994" s="100"/>
      <c r="I1994" s="100"/>
      <c r="J1994" s="100"/>
      <c r="K1994" s="100"/>
      <c r="L1994" s="100"/>
      <c r="M1994" s="100"/>
      <c r="N1994" s="100"/>
      <c r="O1994" s="100"/>
      <c r="P1994" s="100"/>
      <c r="Q1994" s="100"/>
      <c r="R1994" s="100"/>
      <c r="S1994" s="100"/>
      <c r="T1994" s="100"/>
      <c r="U1994" s="100"/>
      <c r="V1994" s="100"/>
      <c r="W1994" s="100"/>
      <c r="X1994" s="100"/>
      <c r="Y1994" s="100"/>
      <c r="Z1994" s="100"/>
      <c r="AA1994" s="100"/>
    </row>
    <row r="1995" spans="2:27">
      <c r="B1995" s="100"/>
      <c r="C1995" s="100"/>
      <c r="D1995" s="100"/>
      <c r="E1995" s="100"/>
      <c r="F1995" s="100"/>
      <c r="G1995" s="100"/>
      <c r="H1995" s="100"/>
      <c r="I1995" s="100"/>
      <c r="J1995" s="100"/>
      <c r="K1995" s="100"/>
      <c r="L1995" s="100"/>
      <c r="M1995" s="100"/>
      <c r="N1995" s="100"/>
      <c r="O1995" s="100"/>
      <c r="P1995" s="100"/>
      <c r="Q1995" s="100"/>
      <c r="R1995" s="100"/>
      <c r="S1995" s="100"/>
      <c r="T1995" s="100"/>
      <c r="U1995" s="100"/>
      <c r="V1995" s="100"/>
      <c r="W1995" s="100"/>
      <c r="X1995" s="100"/>
      <c r="Y1995" s="100"/>
      <c r="Z1995" s="100"/>
      <c r="AA1995" s="100"/>
    </row>
    <row r="1996" spans="2:27">
      <c r="B1996" s="100"/>
      <c r="C1996" s="100"/>
      <c r="D1996" s="100"/>
      <c r="E1996" s="100"/>
      <c r="F1996" s="100"/>
      <c r="G1996" s="100"/>
      <c r="H1996" s="100"/>
      <c r="I1996" s="100"/>
      <c r="J1996" s="100"/>
      <c r="K1996" s="100"/>
      <c r="L1996" s="100"/>
      <c r="M1996" s="100"/>
      <c r="N1996" s="100"/>
      <c r="O1996" s="100"/>
      <c r="P1996" s="100"/>
      <c r="Q1996" s="100"/>
      <c r="R1996" s="100"/>
      <c r="S1996" s="100"/>
      <c r="T1996" s="100"/>
      <c r="U1996" s="100"/>
      <c r="V1996" s="100"/>
      <c r="W1996" s="100"/>
      <c r="X1996" s="100"/>
      <c r="Y1996" s="100"/>
      <c r="Z1996" s="100"/>
      <c r="AA1996" s="100"/>
    </row>
    <row r="1997" spans="2:27">
      <c r="B1997" s="100"/>
      <c r="C1997" s="100"/>
      <c r="D1997" s="100"/>
      <c r="E1997" s="100"/>
      <c r="F1997" s="100"/>
      <c r="G1997" s="100"/>
      <c r="H1997" s="100"/>
      <c r="I1997" s="100"/>
      <c r="J1997" s="100"/>
      <c r="K1997" s="100"/>
      <c r="L1997" s="100"/>
      <c r="M1997" s="100"/>
      <c r="N1997" s="100"/>
      <c r="O1997" s="100"/>
      <c r="P1997" s="100"/>
      <c r="Q1997" s="100"/>
      <c r="R1997" s="100"/>
      <c r="S1997" s="100"/>
      <c r="T1997" s="100"/>
      <c r="U1997" s="100"/>
      <c r="V1997" s="100"/>
      <c r="W1997" s="100"/>
      <c r="X1997" s="100"/>
      <c r="Y1997" s="100"/>
      <c r="Z1997" s="100"/>
      <c r="AA1997" s="100"/>
    </row>
    <row r="1998" spans="2:27">
      <c r="B1998" s="100"/>
      <c r="C1998" s="100"/>
      <c r="D1998" s="100"/>
      <c r="E1998" s="100"/>
      <c r="F1998" s="100"/>
      <c r="G1998" s="100"/>
      <c r="H1998" s="100"/>
      <c r="I1998" s="100"/>
      <c r="J1998" s="100"/>
      <c r="K1998" s="100"/>
      <c r="L1998" s="100"/>
      <c r="M1998" s="100"/>
      <c r="N1998" s="100"/>
      <c r="O1998" s="100"/>
      <c r="P1998" s="100"/>
      <c r="Q1998" s="100"/>
      <c r="R1998" s="100"/>
      <c r="S1998" s="100"/>
      <c r="T1998" s="100"/>
      <c r="U1998" s="100"/>
      <c r="V1998" s="100"/>
      <c r="W1998" s="100"/>
      <c r="X1998" s="100"/>
      <c r="Y1998" s="100"/>
      <c r="Z1998" s="100"/>
      <c r="AA1998" s="100"/>
    </row>
    <row r="1999" spans="2:27">
      <c r="B1999" s="100"/>
      <c r="C1999" s="100"/>
      <c r="D1999" s="100"/>
      <c r="E1999" s="100"/>
      <c r="F1999" s="100"/>
      <c r="G1999" s="100"/>
      <c r="H1999" s="100"/>
      <c r="I1999" s="100"/>
      <c r="J1999" s="100"/>
      <c r="K1999" s="100"/>
      <c r="L1999" s="100"/>
      <c r="M1999" s="100"/>
      <c r="N1999" s="100"/>
      <c r="O1999" s="100"/>
      <c r="P1999" s="100"/>
      <c r="Q1999" s="100"/>
      <c r="R1999" s="100"/>
      <c r="S1999" s="100"/>
      <c r="T1999" s="100"/>
      <c r="U1999" s="100"/>
      <c r="V1999" s="100"/>
      <c r="W1999" s="100"/>
      <c r="X1999" s="100"/>
      <c r="Y1999" s="100"/>
      <c r="Z1999" s="100"/>
      <c r="AA1999" s="100"/>
    </row>
    <row r="2000" spans="2:27">
      <c r="B2000" s="100"/>
      <c r="C2000" s="100"/>
      <c r="D2000" s="100"/>
      <c r="E2000" s="100"/>
      <c r="F2000" s="100"/>
      <c r="G2000" s="100"/>
      <c r="H2000" s="100"/>
      <c r="I2000" s="100"/>
      <c r="J2000" s="100"/>
      <c r="K2000" s="100"/>
      <c r="L2000" s="100"/>
      <c r="M2000" s="100"/>
      <c r="N2000" s="100"/>
      <c r="O2000" s="100"/>
      <c r="P2000" s="100"/>
      <c r="Q2000" s="100"/>
      <c r="R2000" s="100"/>
      <c r="S2000" s="100"/>
      <c r="T2000" s="100"/>
      <c r="U2000" s="100"/>
      <c r="V2000" s="100"/>
      <c r="W2000" s="100"/>
      <c r="X2000" s="100"/>
      <c r="Y2000" s="100"/>
      <c r="Z2000" s="100"/>
      <c r="AA2000" s="100"/>
    </row>
    <row r="2001" spans="2:27">
      <c r="B2001" s="100"/>
      <c r="C2001" s="100"/>
      <c r="D2001" s="100"/>
      <c r="E2001" s="100"/>
      <c r="F2001" s="100"/>
      <c r="G2001" s="100"/>
      <c r="H2001" s="100"/>
      <c r="I2001" s="100"/>
      <c r="J2001" s="100"/>
      <c r="K2001" s="100"/>
      <c r="L2001" s="100"/>
      <c r="M2001" s="100"/>
      <c r="N2001" s="100"/>
      <c r="O2001" s="100"/>
      <c r="P2001" s="100"/>
      <c r="Q2001" s="100"/>
      <c r="R2001" s="100"/>
      <c r="S2001" s="100"/>
      <c r="T2001" s="100"/>
      <c r="U2001" s="100"/>
      <c r="V2001" s="100"/>
      <c r="W2001" s="100"/>
      <c r="X2001" s="100"/>
      <c r="Y2001" s="100"/>
      <c r="Z2001" s="100"/>
      <c r="AA2001" s="100"/>
    </row>
    <row r="2002" spans="2:27">
      <c r="B2002" s="100"/>
      <c r="C2002" s="100"/>
      <c r="D2002" s="100"/>
      <c r="E2002" s="100"/>
      <c r="F2002" s="100"/>
      <c r="G2002" s="100"/>
      <c r="H2002" s="100"/>
      <c r="I2002" s="100"/>
      <c r="J2002" s="100"/>
      <c r="K2002" s="100"/>
      <c r="L2002" s="100"/>
      <c r="M2002" s="100"/>
      <c r="N2002" s="100"/>
      <c r="O2002" s="100"/>
      <c r="P2002" s="100"/>
      <c r="Q2002" s="100"/>
      <c r="R2002" s="100"/>
      <c r="S2002" s="100"/>
      <c r="T2002" s="100"/>
      <c r="U2002" s="100"/>
      <c r="V2002" s="100"/>
      <c r="W2002" s="100"/>
      <c r="X2002" s="100"/>
      <c r="Y2002" s="100"/>
      <c r="Z2002" s="100"/>
      <c r="AA2002" s="100"/>
    </row>
    <row r="2003" spans="2:27">
      <c r="B2003" s="100"/>
      <c r="C2003" s="100"/>
      <c r="D2003" s="100"/>
      <c r="E2003" s="100"/>
      <c r="F2003" s="100"/>
      <c r="G2003" s="100"/>
      <c r="H2003" s="100"/>
      <c r="I2003" s="100"/>
      <c r="J2003" s="100"/>
      <c r="K2003" s="100"/>
      <c r="L2003" s="100"/>
      <c r="M2003" s="100"/>
      <c r="N2003" s="100"/>
      <c r="O2003" s="100"/>
      <c r="P2003" s="100"/>
      <c r="Q2003" s="100"/>
      <c r="R2003" s="100"/>
      <c r="S2003" s="100"/>
      <c r="T2003" s="100"/>
      <c r="U2003" s="100"/>
      <c r="V2003" s="100"/>
      <c r="W2003" s="100"/>
      <c r="X2003" s="100"/>
      <c r="Y2003" s="100"/>
      <c r="Z2003" s="100"/>
      <c r="AA2003" s="100"/>
    </row>
    <row r="2004" spans="2:27">
      <c r="B2004" s="100"/>
      <c r="C2004" s="100"/>
      <c r="D2004" s="100"/>
      <c r="E2004" s="100"/>
      <c r="F2004" s="100"/>
      <c r="G2004" s="100"/>
      <c r="H2004" s="100"/>
      <c r="I2004" s="100"/>
      <c r="J2004" s="100"/>
      <c r="K2004" s="100"/>
      <c r="L2004" s="100"/>
      <c r="M2004" s="100"/>
      <c r="N2004" s="100"/>
      <c r="O2004" s="100"/>
      <c r="P2004" s="100"/>
      <c r="Q2004" s="100"/>
      <c r="R2004" s="100"/>
      <c r="S2004" s="100"/>
      <c r="T2004" s="100"/>
      <c r="U2004" s="100"/>
      <c r="V2004" s="100"/>
      <c r="W2004" s="100"/>
      <c r="X2004" s="100"/>
      <c r="Y2004" s="100"/>
      <c r="Z2004" s="100"/>
      <c r="AA2004" s="100"/>
    </row>
    <row r="2005" spans="2:27">
      <c r="B2005" s="100"/>
      <c r="C2005" s="100"/>
      <c r="D2005" s="100"/>
      <c r="E2005" s="100"/>
      <c r="F2005" s="100"/>
      <c r="G2005" s="100"/>
      <c r="H2005" s="100"/>
      <c r="I2005" s="100"/>
      <c r="J2005" s="100"/>
      <c r="K2005" s="100"/>
      <c r="L2005" s="100"/>
      <c r="M2005" s="100"/>
      <c r="N2005" s="100"/>
      <c r="O2005" s="100"/>
      <c r="P2005" s="100"/>
      <c r="Q2005" s="100"/>
      <c r="R2005" s="100"/>
      <c r="S2005" s="100"/>
      <c r="T2005" s="100"/>
      <c r="U2005" s="100"/>
      <c r="V2005" s="100"/>
      <c r="W2005" s="100"/>
      <c r="X2005" s="100"/>
      <c r="Y2005" s="100"/>
      <c r="Z2005" s="100"/>
      <c r="AA2005" s="100"/>
    </row>
    <row r="2006" spans="2:27">
      <c r="B2006" s="100"/>
      <c r="C2006" s="100"/>
      <c r="D2006" s="100"/>
      <c r="E2006" s="100"/>
      <c r="F2006" s="100"/>
      <c r="G2006" s="100"/>
      <c r="H2006" s="100"/>
      <c r="I2006" s="100"/>
      <c r="J2006" s="100"/>
      <c r="K2006" s="100"/>
      <c r="L2006" s="100"/>
      <c r="M2006" s="100"/>
      <c r="N2006" s="100"/>
      <c r="O2006" s="100"/>
      <c r="P2006" s="100"/>
      <c r="Q2006" s="100"/>
      <c r="R2006" s="100"/>
      <c r="S2006" s="100"/>
      <c r="T2006" s="100"/>
      <c r="U2006" s="100"/>
      <c r="V2006" s="100"/>
      <c r="W2006" s="100"/>
      <c r="X2006" s="100"/>
      <c r="Y2006" s="100"/>
      <c r="Z2006" s="100"/>
      <c r="AA2006" s="100"/>
    </row>
    <row r="2007" spans="2:27">
      <c r="B2007" s="100"/>
      <c r="C2007" s="100"/>
      <c r="D2007" s="100"/>
      <c r="E2007" s="100"/>
      <c r="F2007" s="100"/>
      <c r="G2007" s="100"/>
      <c r="H2007" s="100"/>
      <c r="I2007" s="100"/>
      <c r="J2007" s="100"/>
      <c r="K2007" s="100"/>
      <c r="L2007" s="100"/>
      <c r="M2007" s="100"/>
      <c r="N2007" s="100"/>
      <c r="O2007" s="100"/>
      <c r="P2007" s="100"/>
      <c r="Q2007" s="100"/>
      <c r="R2007" s="100"/>
      <c r="S2007" s="100"/>
      <c r="T2007" s="100"/>
      <c r="U2007" s="100"/>
      <c r="V2007" s="100"/>
      <c r="W2007" s="100"/>
      <c r="X2007" s="100"/>
      <c r="Y2007" s="100"/>
      <c r="Z2007" s="100"/>
      <c r="AA2007" s="100"/>
    </row>
    <row r="2008" spans="2:27">
      <c r="B2008" s="100"/>
      <c r="C2008" s="100"/>
      <c r="D2008" s="100"/>
      <c r="E2008" s="100"/>
      <c r="F2008" s="100"/>
      <c r="G2008" s="100"/>
      <c r="H2008" s="100"/>
      <c r="I2008" s="100"/>
      <c r="J2008" s="100"/>
      <c r="K2008" s="100"/>
      <c r="L2008" s="100"/>
      <c r="M2008" s="100"/>
      <c r="N2008" s="100"/>
      <c r="O2008" s="100"/>
      <c r="P2008" s="100"/>
      <c r="Q2008" s="100"/>
      <c r="R2008" s="100"/>
      <c r="S2008" s="100"/>
      <c r="T2008" s="100"/>
      <c r="U2008" s="100"/>
      <c r="V2008" s="100"/>
      <c r="W2008" s="100"/>
      <c r="X2008" s="100"/>
      <c r="Y2008" s="100"/>
      <c r="Z2008" s="100"/>
      <c r="AA2008" s="100"/>
    </row>
    <row r="2009" spans="2:27">
      <c r="B2009" s="100"/>
      <c r="C2009" s="100"/>
      <c r="D2009" s="100"/>
      <c r="E2009" s="100"/>
      <c r="F2009" s="100"/>
      <c r="G2009" s="100"/>
      <c r="H2009" s="100"/>
      <c r="I2009" s="100"/>
      <c r="J2009" s="100"/>
      <c r="K2009" s="100"/>
      <c r="L2009" s="100"/>
      <c r="M2009" s="100"/>
      <c r="N2009" s="100"/>
      <c r="O2009" s="100"/>
      <c r="P2009" s="100"/>
      <c r="Q2009" s="100"/>
      <c r="R2009" s="100"/>
      <c r="S2009" s="100"/>
      <c r="T2009" s="100"/>
      <c r="U2009" s="100"/>
      <c r="V2009" s="100"/>
      <c r="W2009" s="100"/>
      <c r="X2009" s="100"/>
      <c r="Y2009" s="100"/>
      <c r="Z2009" s="100"/>
      <c r="AA2009" s="100"/>
    </row>
    <row r="2010" spans="2:27">
      <c r="B2010" s="100"/>
      <c r="C2010" s="100"/>
      <c r="D2010" s="100"/>
      <c r="E2010" s="100"/>
      <c r="F2010" s="100"/>
      <c r="G2010" s="100"/>
      <c r="H2010" s="100"/>
      <c r="I2010" s="100"/>
      <c r="J2010" s="100"/>
      <c r="K2010" s="100"/>
      <c r="L2010" s="100"/>
      <c r="M2010" s="100"/>
      <c r="N2010" s="100"/>
      <c r="O2010" s="100"/>
      <c r="P2010" s="100"/>
      <c r="Q2010" s="100"/>
      <c r="R2010" s="100"/>
      <c r="S2010" s="100"/>
      <c r="T2010" s="100"/>
      <c r="U2010" s="100"/>
      <c r="V2010" s="100"/>
      <c r="W2010" s="100"/>
      <c r="X2010" s="100"/>
      <c r="Y2010" s="100"/>
      <c r="Z2010" s="100"/>
      <c r="AA2010" s="100"/>
    </row>
    <row r="2011" spans="2:27">
      <c r="B2011" s="100"/>
      <c r="C2011" s="100"/>
      <c r="D2011" s="100"/>
      <c r="E2011" s="100"/>
      <c r="F2011" s="100"/>
      <c r="G2011" s="100"/>
      <c r="H2011" s="100"/>
      <c r="I2011" s="100"/>
      <c r="J2011" s="100"/>
      <c r="K2011" s="100"/>
      <c r="L2011" s="100"/>
      <c r="M2011" s="100"/>
      <c r="N2011" s="100"/>
      <c r="O2011" s="100"/>
      <c r="P2011" s="100"/>
      <c r="Q2011" s="100"/>
      <c r="R2011" s="100"/>
      <c r="S2011" s="100"/>
      <c r="T2011" s="100"/>
      <c r="U2011" s="100"/>
      <c r="V2011" s="100"/>
      <c r="W2011" s="100"/>
      <c r="X2011" s="100"/>
      <c r="Y2011" s="100"/>
      <c r="Z2011" s="100"/>
      <c r="AA2011" s="100"/>
    </row>
    <row r="2012" spans="2:27">
      <c r="B2012" s="100"/>
      <c r="C2012" s="100"/>
      <c r="D2012" s="100"/>
      <c r="E2012" s="100"/>
      <c r="F2012" s="100"/>
      <c r="G2012" s="100"/>
      <c r="H2012" s="100"/>
      <c r="I2012" s="100"/>
      <c r="J2012" s="100"/>
      <c r="K2012" s="100"/>
      <c r="L2012" s="100"/>
      <c r="M2012" s="100"/>
      <c r="N2012" s="100"/>
      <c r="O2012" s="100"/>
      <c r="P2012" s="100"/>
      <c r="Q2012" s="100"/>
      <c r="R2012" s="100"/>
      <c r="S2012" s="100"/>
      <c r="T2012" s="100"/>
      <c r="U2012" s="100"/>
      <c r="V2012" s="100"/>
      <c r="W2012" s="100"/>
      <c r="X2012" s="100"/>
      <c r="Y2012" s="100"/>
      <c r="Z2012" s="100"/>
      <c r="AA2012" s="100"/>
    </row>
    <row r="2013" spans="2:27">
      <c r="B2013" s="100"/>
      <c r="C2013" s="100"/>
      <c r="D2013" s="100"/>
      <c r="E2013" s="100"/>
      <c r="F2013" s="100"/>
      <c r="G2013" s="100"/>
      <c r="H2013" s="100"/>
      <c r="I2013" s="100"/>
      <c r="J2013" s="100"/>
      <c r="K2013" s="100"/>
      <c r="L2013" s="100"/>
      <c r="M2013" s="100"/>
      <c r="N2013" s="100"/>
      <c r="O2013" s="100"/>
      <c r="P2013" s="100"/>
      <c r="Q2013" s="100"/>
      <c r="R2013" s="100"/>
      <c r="S2013" s="100"/>
      <c r="T2013" s="100"/>
      <c r="U2013" s="100"/>
      <c r="V2013" s="100"/>
      <c r="W2013" s="100"/>
      <c r="X2013" s="100"/>
      <c r="Y2013" s="100"/>
      <c r="Z2013" s="100"/>
      <c r="AA2013" s="100"/>
    </row>
    <row r="2014" spans="2:27">
      <c r="B2014" s="100"/>
      <c r="C2014" s="100"/>
      <c r="D2014" s="100"/>
      <c r="E2014" s="100"/>
      <c r="F2014" s="100"/>
      <c r="G2014" s="100"/>
      <c r="H2014" s="100"/>
      <c r="I2014" s="100"/>
      <c r="J2014" s="100"/>
      <c r="K2014" s="100"/>
      <c r="L2014" s="100"/>
      <c r="M2014" s="100"/>
      <c r="N2014" s="100"/>
      <c r="O2014" s="100"/>
      <c r="P2014" s="100"/>
      <c r="Q2014" s="100"/>
      <c r="R2014" s="100"/>
      <c r="S2014" s="100"/>
      <c r="T2014" s="100"/>
      <c r="U2014" s="100"/>
      <c r="V2014" s="100"/>
      <c r="W2014" s="100"/>
      <c r="X2014" s="100"/>
      <c r="Y2014" s="100"/>
      <c r="Z2014" s="100"/>
      <c r="AA2014" s="100"/>
    </row>
    <row r="2015" spans="2:27">
      <c r="B2015" s="100"/>
      <c r="C2015" s="100"/>
      <c r="D2015" s="100"/>
      <c r="E2015" s="100"/>
      <c r="F2015" s="100"/>
      <c r="G2015" s="100"/>
      <c r="H2015" s="100"/>
      <c r="I2015" s="100"/>
      <c r="J2015" s="100"/>
      <c r="K2015" s="100"/>
      <c r="L2015" s="100"/>
      <c r="M2015" s="100"/>
      <c r="N2015" s="100"/>
      <c r="O2015" s="100"/>
      <c r="P2015" s="100"/>
      <c r="Q2015" s="100"/>
      <c r="R2015" s="100"/>
      <c r="S2015" s="100"/>
      <c r="T2015" s="100"/>
      <c r="U2015" s="100"/>
      <c r="V2015" s="100"/>
      <c r="W2015" s="100"/>
      <c r="X2015" s="100"/>
      <c r="Y2015" s="100"/>
      <c r="Z2015" s="100"/>
      <c r="AA2015" s="100"/>
    </row>
    <row r="2016" spans="2:27">
      <c r="B2016" s="100"/>
      <c r="C2016" s="100"/>
      <c r="D2016" s="100"/>
      <c r="E2016" s="100"/>
      <c r="F2016" s="100"/>
      <c r="G2016" s="100"/>
      <c r="H2016" s="100"/>
      <c r="I2016" s="100"/>
      <c r="J2016" s="100"/>
      <c r="K2016" s="100"/>
      <c r="L2016" s="100"/>
      <c r="M2016" s="100"/>
      <c r="N2016" s="100"/>
      <c r="O2016" s="100"/>
      <c r="P2016" s="100"/>
      <c r="Q2016" s="100"/>
      <c r="R2016" s="100"/>
      <c r="S2016" s="100"/>
      <c r="T2016" s="100"/>
      <c r="U2016" s="100"/>
      <c r="V2016" s="100"/>
      <c r="W2016" s="100"/>
      <c r="X2016" s="100"/>
      <c r="Y2016" s="100"/>
      <c r="Z2016" s="100"/>
      <c r="AA2016" s="100"/>
    </row>
    <row r="2017" spans="2:27">
      <c r="B2017" s="100"/>
      <c r="C2017" s="100"/>
      <c r="D2017" s="100"/>
      <c r="E2017" s="100"/>
      <c r="F2017" s="100"/>
      <c r="G2017" s="100"/>
      <c r="H2017" s="100"/>
      <c r="I2017" s="100"/>
      <c r="J2017" s="100"/>
      <c r="K2017" s="100"/>
      <c r="L2017" s="100"/>
      <c r="M2017" s="100"/>
      <c r="N2017" s="100"/>
      <c r="O2017" s="100"/>
      <c r="P2017" s="100"/>
      <c r="Q2017" s="100"/>
      <c r="R2017" s="100"/>
      <c r="S2017" s="100"/>
      <c r="T2017" s="100"/>
      <c r="U2017" s="100"/>
      <c r="V2017" s="100"/>
      <c r="W2017" s="100"/>
      <c r="X2017" s="100"/>
      <c r="Y2017" s="100"/>
      <c r="Z2017" s="100"/>
      <c r="AA2017" s="100"/>
    </row>
    <row r="2018" spans="2:27">
      <c r="B2018" s="100"/>
      <c r="C2018" s="100"/>
      <c r="D2018" s="100"/>
      <c r="E2018" s="100"/>
      <c r="F2018" s="100"/>
      <c r="G2018" s="100"/>
      <c r="H2018" s="100"/>
      <c r="I2018" s="100"/>
      <c r="J2018" s="100"/>
      <c r="K2018" s="100"/>
      <c r="L2018" s="100"/>
      <c r="M2018" s="100"/>
      <c r="N2018" s="100"/>
      <c r="O2018" s="100"/>
      <c r="P2018" s="100"/>
      <c r="Q2018" s="100"/>
      <c r="R2018" s="100"/>
      <c r="S2018" s="100"/>
      <c r="T2018" s="100"/>
      <c r="U2018" s="100"/>
      <c r="V2018" s="100"/>
      <c r="W2018" s="100"/>
      <c r="X2018" s="100"/>
      <c r="Y2018" s="100"/>
      <c r="Z2018" s="100"/>
      <c r="AA2018" s="100"/>
    </row>
    <row r="2019" spans="2:27">
      <c r="B2019" s="100"/>
      <c r="C2019" s="100"/>
      <c r="D2019" s="100"/>
      <c r="E2019" s="100"/>
      <c r="F2019" s="100"/>
      <c r="G2019" s="100"/>
      <c r="H2019" s="100"/>
      <c r="I2019" s="100"/>
      <c r="J2019" s="100"/>
      <c r="K2019" s="100"/>
      <c r="L2019" s="100"/>
      <c r="M2019" s="100"/>
      <c r="N2019" s="100"/>
      <c r="O2019" s="100"/>
      <c r="P2019" s="100"/>
      <c r="Q2019" s="100"/>
      <c r="R2019" s="100"/>
      <c r="S2019" s="100"/>
      <c r="T2019" s="100"/>
      <c r="U2019" s="100"/>
      <c r="V2019" s="100"/>
      <c r="W2019" s="100"/>
      <c r="X2019" s="100"/>
      <c r="Y2019" s="100"/>
      <c r="Z2019" s="100"/>
      <c r="AA2019" s="100"/>
    </row>
    <row r="2020" spans="2:27">
      <c r="B2020" s="100"/>
      <c r="C2020" s="100"/>
      <c r="D2020" s="100"/>
      <c r="E2020" s="100"/>
      <c r="F2020" s="100"/>
      <c r="G2020" s="100"/>
      <c r="H2020" s="100"/>
      <c r="I2020" s="100"/>
      <c r="J2020" s="100"/>
      <c r="K2020" s="100"/>
      <c r="L2020" s="100"/>
      <c r="M2020" s="100"/>
      <c r="N2020" s="100"/>
      <c r="O2020" s="100"/>
      <c r="P2020" s="100"/>
      <c r="Q2020" s="100"/>
      <c r="R2020" s="100"/>
      <c r="S2020" s="100"/>
      <c r="T2020" s="100"/>
      <c r="U2020" s="100"/>
      <c r="V2020" s="100"/>
      <c r="W2020" s="100"/>
      <c r="X2020" s="100"/>
      <c r="Y2020" s="100"/>
      <c r="Z2020" s="100"/>
      <c r="AA2020" s="100"/>
    </row>
    <row r="2021" spans="2:27">
      <c r="B2021" s="100"/>
      <c r="C2021" s="100"/>
      <c r="D2021" s="100"/>
      <c r="E2021" s="100"/>
      <c r="F2021" s="100"/>
      <c r="G2021" s="100"/>
      <c r="H2021" s="100"/>
      <c r="I2021" s="100"/>
      <c r="J2021" s="100"/>
      <c r="K2021" s="100"/>
      <c r="L2021" s="100"/>
      <c r="M2021" s="100"/>
      <c r="N2021" s="100"/>
      <c r="O2021" s="100"/>
      <c r="P2021" s="100"/>
      <c r="Q2021" s="100"/>
      <c r="R2021" s="100"/>
      <c r="S2021" s="100"/>
      <c r="T2021" s="100"/>
      <c r="U2021" s="100"/>
      <c r="V2021" s="100"/>
      <c r="W2021" s="100"/>
      <c r="X2021" s="100"/>
      <c r="Y2021" s="100"/>
      <c r="Z2021" s="100"/>
      <c r="AA2021" s="100"/>
    </row>
    <row r="2022" spans="2:27">
      <c r="B2022" s="100"/>
      <c r="C2022" s="100"/>
      <c r="D2022" s="100"/>
      <c r="E2022" s="100"/>
      <c r="F2022" s="100"/>
      <c r="G2022" s="100"/>
      <c r="H2022" s="100"/>
      <c r="I2022" s="100"/>
      <c r="J2022" s="100"/>
      <c r="K2022" s="100"/>
      <c r="L2022" s="100"/>
      <c r="M2022" s="100"/>
      <c r="N2022" s="100"/>
      <c r="O2022" s="100"/>
      <c r="P2022" s="100"/>
      <c r="Q2022" s="100"/>
      <c r="R2022" s="100"/>
      <c r="S2022" s="100"/>
      <c r="T2022" s="100"/>
      <c r="U2022" s="100"/>
      <c r="V2022" s="100"/>
      <c r="W2022" s="100"/>
      <c r="X2022" s="100"/>
      <c r="Y2022" s="100"/>
      <c r="Z2022" s="100"/>
      <c r="AA2022" s="100"/>
    </row>
    <row r="2023" spans="2:27">
      <c r="B2023" s="100"/>
      <c r="C2023" s="100"/>
      <c r="D2023" s="100"/>
      <c r="E2023" s="100"/>
      <c r="F2023" s="100"/>
      <c r="G2023" s="100"/>
      <c r="H2023" s="100"/>
      <c r="I2023" s="100"/>
      <c r="J2023" s="100"/>
      <c r="K2023" s="100"/>
      <c r="L2023" s="100"/>
      <c r="M2023" s="100"/>
      <c r="N2023" s="100"/>
      <c r="O2023" s="100"/>
      <c r="P2023" s="100"/>
      <c r="Q2023" s="100"/>
      <c r="R2023" s="100"/>
      <c r="S2023" s="100"/>
      <c r="T2023" s="100"/>
      <c r="U2023" s="100"/>
      <c r="V2023" s="100"/>
      <c r="W2023" s="100"/>
      <c r="X2023" s="100"/>
      <c r="Y2023" s="100"/>
      <c r="Z2023" s="100"/>
      <c r="AA2023" s="100"/>
    </row>
    <row r="2024" spans="2:27">
      <c r="B2024" s="100"/>
      <c r="C2024" s="100"/>
      <c r="D2024" s="100"/>
      <c r="E2024" s="100"/>
      <c r="F2024" s="100"/>
      <c r="G2024" s="100"/>
      <c r="H2024" s="100"/>
      <c r="I2024" s="100"/>
      <c r="J2024" s="100"/>
      <c r="K2024" s="100"/>
      <c r="L2024" s="100"/>
      <c r="M2024" s="100"/>
      <c r="N2024" s="100"/>
      <c r="O2024" s="100"/>
      <c r="P2024" s="100"/>
      <c r="Q2024" s="100"/>
      <c r="R2024" s="100"/>
      <c r="S2024" s="100"/>
      <c r="T2024" s="100"/>
      <c r="U2024" s="100"/>
      <c r="V2024" s="100"/>
      <c r="W2024" s="100"/>
      <c r="X2024" s="100"/>
      <c r="Y2024" s="100"/>
      <c r="Z2024" s="100"/>
      <c r="AA2024" s="100"/>
    </row>
    <row r="2025" spans="2:27">
      <c r="B2025" s="100"/>
      <c r="C2025" s="100"/>
      <c r="D2025" s="100"/>
      <c r="E2025" s="100"/>
      <c r="F2025" s="100"/>
      <c r="G2025" s="100"/>
      <c r="H2025" s="100"/>
      <c r="I2025" s="100"/>
      <c r="J2025" s="100"/>
      <c r="K2025" s="100"/>
      <c r="L2025" s="100"/>
      <c r="M2025" s="100"/>
      <c r="N2025" s="100"/>
      <c r="O2025" s="100"/>
      <c r="P2025" s="100"/>
      <c r="Q2025" s="100"/>
      <c r="R2025" s="100"/>
      <c r="S2025" s="100"/>
      <c r="T2025" s="100"/>
      <c r="U2025" s="100"/>
      <c r="V2025" s="100"/>
      <c r="W2025" s="100"/>
      <c r="X2025" s="100"/>
      <c r="Y2025" s="100"/>
      <c r="Z2025" s="100"/>
      <c r="AA2025" s="100"/>
    </row>
    <row r="2026" spans="2:27">
      <c r="B2026" s="100"/>
      <c r="C2026" s="100"/>
      <c r="D2026" s="100"/>
      <c r="E2026" s="100"/>
      <c r="F2026" s="100"/>
      <c r="G2026" s="100"/>
      <c r="H2026" s="100"/>
      <c r="I2026" s="100"/>
      <c r="J2026" s="100"/>
      <c r="K2026" s="100"/>
      <c r="L2026" s="100"/>
      <c r="M2026" s="100"/>
      <c r="N2026" s="100"/>
      <c r="O2026" s="100"/>
      <c r="P2026" s="100"/>
      <c r="Q2026" s="100"/>
      <c r="R2026" s="100"/>
      <c r="S2026" s="100"/>
      <c r="T2026" s="100"/>
      <c r="U2026" s="100"/>
      <c r="V2026" s="100"/>
      <c r="W2026" s="100"/>
      <c r="X2026" s="100"/>
      <c r="Y2026" s="100"/>
      <c r="Z2026" s="100"/>
      <c r="AA2026" s="100"/>
    </row>
    <row r="2027" spans="2:27">
      <c r="B2027" s="100"/>
      <c r="C2027" s="100"/>
      <c r="D2027" s="100"/>
      <c r="E2027" s="100"/>
      <c r="F2027" s="100"/>
      <c r="G2027" s="100"/>
      <c r="H2027" s="100"/>
      <c r="I2027" s="100"/>
      <c r="J2027" s="100"/>
      <c r="K2027" s="100"/>
      <c r="L2027" s="100"/>
      <c r="M2027" s="100"/>
      <c r="N2027" s="100"/>
      <c r="O2027" s="100"/>
      <c r="P2027" s="100"/>
      <c r="Q2027" s="100"/>
      <c r="R2027" s="100"/>
      <c r="S2027" s="100"/>
      <c r="T2027" s="100"/>
      <c r="U2027" s="100"/>
      <c r="V2027" s="100"/>
      <c r="W2027" s="100"/>
      <c r="X2027" s="100"/>
      <c r="Y2027" s="100"/>
      <c r="Z2027" s="100"/>
      <c r="AA2027" s="100"/>
    </row>
    <row r="2028" spans="2:27">
      <c r="B2028" s="100"/>
      <c r="C2028" s="100"/>
      <c r="D2028" s="100"/>
      <c r="E2028" s="100"/>
      <c r="F2028" s="100"/>
      <c r="G2028" s="100"/>
      <c r="H2028" s="100"/>
      <c r="I2028" s="100"/>
      <c r="J2028" s="100"/>
      <c r="K2028" s="100"/>
      <c r="L2028" s="100"/>
      <c r="M2028" s="100"/>
      <c r="N2028" s="100"/>
      <c r="O2028" s="100"/>
      <c r="P2028" s="100"/>
      <c r="Q2028" s="100"/>
      <c r="R2028" s="100"/>
      <c r="S2028" s="100"/>
      <c r="T2028" s="100"/>
      <c r="U2028" s="100"/>
      <c r="V2028" s="100"/>
      <c r="W2028" s="100"/>
      <c r="X2028" s="100"/>
      <c r="Y2028" s="100"/>
      <c r="Z2028" s="100"/>
      <c r="AA2028" s="100"/>
    </row>
    <row r="2029" spans="2:27">
      <c r="B2029" s="100"/>
      <c r="C2029" s="100"/>
      <c r="D2029" s="100"/>
      <c r="E2029" s="100"/>
      <c r="F2029" s="100"/>
      <c r="G2029" s="100"/>
      <c r="H2029" s="100"/>
      <c r="I2029" s="100"/>
      <c r="J2029" s="100"/>
      <c r="K2029" s="100"/>
      <c r="L2029" s="100"/>
      <c r="M2029" s="100"/>
      <c r="N2029" s="100"/>
      <c r="O2029" s="100"/>
      <c r="P2029" s="100"/>
      <c r="Q2029" s="100"/>
      <c r="R2029" s="100"/>
      <c r="S2029" s="100"/>
      <c r="T2029" s="100"/>
      <c r="U2029" s="100"/>
      <c r="V2029" s="100"/>
      <c r="W2029" s="100"/>
      <c r="X2029" s="100"/>
      <c r="Y2029" s="100"/>
      <c r="Z2029" s="100"/>
      <c r="AA2029" s="100"/>
    </row>
    <row r="2030" spans="2:27">
      <c r="B2030" s="100"/>
      <c r="C2030" s="100"/>
      <c r="D2030" s="100"/>
      <c r="E2030" s="100"/>
      <c r="F2030" s="100"/>
      <c r="G2030" s="100"/>
      <c r="H2030" s="100"/>
      <c r="I2030" s="100"/>
      <c r="J2030" s="100"/>
      <c r="K2030" s="100"/>
      <c r="L2030" s="100"/>
      <c r="M2030" s="100"/>
      <c r="N2030" s="100"/>
      <c r="O2030" s="100"/>
      <c r="P2030" s="100"/>
      <c r="Q2030" s="100"/>
      <c r="R2030" s="100"/>
      <c r="S2030" s="100"/>
      <c r="T2030" s="100"/>
      <c r="U2030" s="100"/>
      <c r="V2030" s="100"/>
      <c r="W2030" s="100"/>
      <c r="X2030" s="100"/>
      <c r="Y2030" s="100"/>
      <c r="Z2030" s="100"/>
      <c r="AA2030" s="100"/>
    </row>
    <row r="2031" spans="2:27">
      <c r="B2031" s="100"/>
      <c r="C2031" s="100"/>
      <c r="D2031" s="100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  <c r="AA2031" s="100"/>
    </row>
    <row r="2032" spans="2:27">
      <c r="B2032" s="100"/>
      <c r="C2032" s="100"/>
      <c r="D2032" s="100"/>
      <c r="E2032" s="100"/>
      <c r="F2032" s="100"/>
      <c r="G2032" s="100"/>
      <c r="H2032" s="100"/>
      <c r="I2032" s="100"/>
      <c r="J2032" s="100"/>
      <c r="K2032" s="100"/>
      <c r="L2032" s="100"/>
      <c r="M2032" s="100"/>
      <c r="N2032" s="100"/>
      <c r="O2032" s="100"/>
      <c r="P2032" s="100"/>
      <c r="Q2032" s="100"/>
      <c r="R2032" s="100"/>
      <c r="S2032" s="100"/>
      <c r="T2032" s="100"/>
      <c r="U2032" s="100"/>
      <c r="V2032" s="100"/>
      <c r="W2032" s="100"/>
      <c r="X2032" s="100"/>
      <c r="Y2032" s="100"/>
      <c r="Z2032" s="100"/>
      <c r="AA2032" s="100"/>
    </row>
    <row r="2033" spans="2:27">
      <c r="B2033" s="100"/>
      <c r="C2033" s="100"/>
      <c r="D2033" s="100"/>
      <c r="E2033" s="100"/>
      <c r="F2033" s="100"/>
      <c r="G2033" s="100"/>
      <c r="H2033" s="100"/>
      <c r="I2033" s="100"/>
      <c r="J2033" s="100"/>
      <c r="K2033" s="100"/>
      <c r="L2033" s="100"/>
      <c r="M2033" s="100"/>
      <c r="N2033" s="100"/>
      <c r="O2033" s="100"/>
      <c r="P2033" s="100"/>
      <c r="Q2033" s="100"/>
      <c r="R2033" s="100"/>
      <c r="S2033" s="100"/>
      <c r="T2033" s="100"/>
      <c r="U2033" s="100"/>
      <c r="V2033" s="100"/>
      <c r="W2033" s="100"/>
      <c r="X2033" s="100"/>
      <c r="Y2033" s="100"/>
      <c r="Z2033" s="100"/>
      <c r="AA2033" s="100"/>
    </row>
    <row r="2034" spans="2:27">
      <c r="B2034" s="100"/>
      <c r="C2034" s="100"/>
      <c r="D2034" s="100"/>
      <c r="E2034" s="100"/>
      <c r="F2034" s="100"/>
      <c r="G2034" s="100"/>
      <c r="H2034" s="100"/>
      <c r="I2034" s="100"/>
      <c r="J2034" s="100"/>
      <c r="K2034" s="100"/>
      <c r="L2034" s="100"/>
      <c r="M2034" s="100"/>
      <c r="N2034" s="100"/>
      <c r="O2034" s="100"/>
      <c r="P2034" s="100"/>
      <c r="Q2034" s="100"/>
      <c r="R2034" s="100"/>
      <c r="S2034" s="100"/>
      <c r="T2034" s="100"/>
      <c r="U2034" s="100"/>
      <c r="V2034" s="100"/>
      <c r="W2034" s="100"/>
      <c r="X2034" s="100"/>
      <c r="Y2034" s="100"/>
      <c r="Z2034" s="100"/>
      <c r="AA2034" s="100"/>
    </row>
    <row r="2035" spans="2:27">
      <c r="B2035" s="100"/>
      <c r="C2035" s="100"/>
      <c r="D2035" s="100"/>
      <c r="E2035" s="100"/>
      <c r="F2035" s="100"/>
      <c r="G2035" s="100"/>
      <c r="H2035" s="100"/>
      <c r="I2035" s="100"/>
      <c r="J2035" s="100"/>
      <c r="K2035" s="100"/>
      <c r="L2035" s="100"/>
      <c r="M2035" s="100"/>
      <c r="N2035" s="100"/>
      <c r="O2035" s="100"/>
      <c r="P2035" s="100"/>
      <c r="Q2035" s="100"/>
      <c r="R2035" s="100"/>
      <c r="S2035" s="100"/>
      <c r="T2035" s="100"/>
      <c r="U2035" s="100"/>
      <c r="V2035" s="100"/>
      <c r="W2035" s="100"/>
      <c r="X2035" s="100"/>
      <c r="Y2035" s="100"/>
      <c r="Z2035" s="100"/>
      <c r="AA2035" s="100"/>
    </row>
    <row r="2036" spans="2:27">
      <c r="B2036" s="100"/>
      <c r="C2036" s="100"/>
      <c r="D2036" s="100"/>
      <c r="E2036" s="100"/>
      <c r="F2036" s="100"/>
      <c r="G2036" s="100"/>
      <c r="H2036" s="100"/>
      <c r="I2036" s="100"/>
      <c r="J2036" s="100"/>
      <c r="K2036" s="100"/>
      <c r="L2036" s="100"/>
      <c r="M2036" s="100"/>
      <c r="N2036" s="100"/>
      <c r="O2036" s="100"/>
      <c r="P2036" s="100"/>
      <c r="Q2036" s="100"/>
      <c r="R2036" s="100"/>
      <c r="S2036" s="100"/>
      <c r="T2036" s="100"/>
      <c r="U2036" s="100"/>
      <c r="V2036" s="100"/>
      <c r="W2036" s="100"/>
      <c r="X2036" s="100"/>
      <c r="Y2036" s="100"/>
      <c r="Z2036" s="100"/>
      <c r="AA2036" s="100"/>
    </row>
    <row r="2037" spans="2:27">
      <c r="B2037" s="100"/>
      <c r="C2037" s="100"/>
      <c r="D2037" s="100"/>
      <c r="E2037" s="100"/>
      <c r="F2037" s="100"/>
      <c r="G2037" s="100"/>
      <c r="H2037" s="100"/>
      <c r="I2037" s="100"/>
      <c r="J2037" s="100"/>
      <c r="K2037" s="100"/>
      <c r="L2037" s="100"/>
      <c r="M2037" s="100"/>
      <c r="N2037" s="100"/>
      <c r="O2037" s="100"/>
      <c r="P2037" s="100"/>
      <c r="Q2037" s="100"/>
      <c r="R2037" s="100"/>
      <c r="S2037" s="100"/>
      <c r="T2037" s="100"/>
      <c r="U2037" s="100"/>
      <c r="V2037" s="100"/>
      <c r="W2037" s="100"/>
      <c r="X2037" s="100"/>
      <c r="Y2037" s="100"/>
      <c r="Z2037" s="100"/>
      <c r="AA2037" s="100"/>
    </row>
    <row r="2038" spans="2:27">
      <c r="B2038" s="100"/>
      <c r="C2038" s="100"/>
      <c r="D2038" s="100"/>
      <c r="E2038" s="100"/>
      <c r="F2038" s="100"/>
      <c r="G2038" s="100"/>
      <c r="H2038" s="100"/>
      <c r="I2038" s="100"/>
      <c r="J2038" s="100"/>
      <c r="K2038" s="100"/>
      <c r="L2038" s="100"/>
      <c r="M2038" s="100"/>
      <c r="N2038" s="100"/>
      <c r="O2038" s="100"/>
      <c r="P2038" s="100"/>
      <c r="Q2038" s="100"/>
      <c r="R2038" s="100"/>
      <c r="S2038" s="100"/>
      <c r="T2038" s="100"/>
      <c r="U2038" s="100"/>
      <c r="V2038" s="100"/>
      <c r="W2038" s="100"/>
      <c r="X2038" s="100"/>
      <c r="Y2038" s="100"/>
      <c r="Z2038" s="100"/>
      <c r="AA2038" s="100"/>
    </row>
    <row r="2039" spans="2:27">
      <c r="B2039" s="100"/>
      <c r="C2039" s="100"/>
      <c r="D2039" s="100"/>
      <c r="E2039" s="100"/>
      <c r="F2039" s="100"/>
      <c r="G2039" s="100"/>
      <c r="H2039" s="100"/>
      <c r="I2039" s="100"/>
      <c r="J2039" s="100"/>
      <c r="K2039" s="100"/>
      <c r="L2039" s="100"/>
      <c r="M2039" s="100"/>
      <c r="N2039" s="100"/>
      <c r="O2039" s="100"/>
      <c r="P2039" s="100"/>
      <c r="Q2039" s="100"/>
      <c r="R2039" s="100"/>
      <c r="S2039" s="100"/>
      <c r="T2039" s="100"/>
      <c r="U2039" s="100"/>
      <c r="V2039" s="100"/>
      <c r="W2039" s="100"/>
      <c r="X2039" s="100"/>
      <c r="Y2039" s="100"/>
      <c r="Z2039" s="100"/>
      <c r="AA2039" s="100"/>
    </row>
    <row r="2040" spans="2:27">
      <c r="B2040" s="100"/>
      <c r="C2040" s="100"/>
      <c r="D2040" s="100"/>
      <c r="E2040" s="100"/>
      <c r="F2040" s="100"/>
      <c r="G2040" s="100"/>
      <c r="H2040" s="100"/>
      <c r="I2040" s="100"/>
      <c r="J2040" s="100"/>
      <c r="K2040" s="100"/>
      <c r="L2040" s="100"/>
      <c r="M2040" s="100"/>
      <c r="N2040" s="100"/>
      <c r="O2040" s="100"/>
      <c r="P2040" s="100"/>
      <c r="Q2040" s="100"/>
      <c r="R2040" s="100"/>
      <c r="S2040" s="100"/>
      <c r="T2040" s="100"/>
      <c r="U2040" s="100"/>
      <c r="V2040" s="100"/>
      <c r="W2040" s="100"/>
      <c r="X2040" s="100"/>
      <c r="Y2040" s="100"/>
      <c r="Z2040" s="100"/>
      <c r="AA2040" s="100"/>
    </row>
    <row r="2041" spans="2:27">
      <c r="B2041" s="100"/>
      <c r="C2041" s="100"/>
      <c r="D2041" s="100"/>
      <c r="E2041" s="100"/>
      <c r="F2041" s="100"/>
      <c r="G2041" s="100"/>
      <c r="H2041" s="100"/>
      <c r="I2041" s="100"/>
      <c r="J2041" s="100"/>
      <c r="K2041" s="100"/>
      <c r="L2041" s="100"/>
      <c r="M2041" s="100"/>
      <c r="N2041" s="100"/>
      <c r="O2041" s="100"/>
      <c r="P2041" s="100"/>
      <c r="Q2041" s="100"/>
      <c r="R2041" s="100"/>
      <c r="S2041" s="100"/>
      <c r="T2041" s="100"/>
      <c r="U2041" s="100"/>
      <c r="V2041" s="100"/>
      <c r="W2041" s="100"/>
      <c r="X2041" s="100"/>
      <c r="Y2041" s="100"/>
      <c r="Z2041" s="100"/>
      <c r="AA2041" s="100"/>
    </row>
    <row r="2042" spans="2:27">
      <c r="B2042" s="100"/>
      <c r="C2042" s="100"/>
      <c r="D2042" s="100"/>
      <c r="E2042" s="100"/>
      <c r="F2042" s="100"/>
      <c r="G2042" s="100"/>
      <c r="H2042" s="100"/>
      <c r="I2042" s="100"/>
      <c r="J2042" s="100"/>
      <c r="K2042" s="100"/>
      <c r="L2042" s="100"/>
      <c r="M2042" s="100"/>
      <c r="N2042" s="100"/>
      <c r="O2042" s="100"/>
      <c r="P2042" s="100"/>
      <c r="Q2042" s="100"/>
      <c r="R2042" s="100"/>
      <c r="S2042" s="100"/>
      <c r="T2042" s="100"/>
      <c r="U2042" s="100"/>
      <c r="V2042" s="100"/>
      <c r="W2042" s="100"/>
      <c r="X2042" s="100"/>
      <c r="Y2042" s="100"/>
      <c r="Z2042" s="100"/>
      <c r="AA2042" s="100"/>
    </row>
    <row r="2043" spans="2:27">
      <c r="B2043" s="100"/>
      <c r="C2043" s="100"/>
      <c r="D2043" s="100"/>
      <c r="E2043" s="100"/>
      <c r="F2043" s="100"/>
      <c r="G2043" s="100"/>
      <c r="H2043" s="100"/>
      <c r="I2043" s="100"/>
      <c r="J2043" s="100"/>
      <c r="K2043" s="100"/>
      <c r="L2043" s="100"/>
      <c r="M2043" s="100"/>
      <c r="N2043" s="100"/>
      <c r="O2043" s="100"/>
      <c r="P2043" s="100"/>
      <c r="Q2043" s="100"/>
      <c r="R2043" s="100"/>
      <c r="S2043" s="100"/>
      <c r="T2043" s="100"/>
      <c r="U2043" s="100"/>
      <c r="V2043" s="100"/>
      <c r="W2043" s="100"/>
      <c r="X2043" s="100"/>
      <c r="Y2043" s="100"/>
      <c r="Z2043" s="100"/>
      <c r="AA2043" s="100"/>
    </row>
    <row r="2044" spans="2:27">
      <c r="B2044" s="100"/>
      <c r="C2044" s="100"/>
      <c r="D2044" s="100"/>
      <c r="E2044" s="100"/>
      <c r="F2044" s="100"/>
      <c r="G2044" s="100"/>
      <c r="H2044" s="100"/>
      <c r="I2044" s="100"/>
      <c r="J2044" s="100"/>
      <c r="K2044" s="100"/>
      <c r="L2044" s="100"/>
      <c r="M2044" s="100"/>
      <c r="N2044" s="100"/>
      <c r="O2044" s="100"/>
      <c r="P2044" s="100"/>
      <c r="Q2044" s="100"/>
      <c r="R2044" s="100"/>
      <c r="S2044" s="100"/>
      <c r="T2044" s="100"/>
      <c r="U2044" s="100"/>
      <c r="V2044" s="100"/>
      <c r="W2044" s="100"/>
      <c r="X2044" s="100"/>
      <c r="Y2044" s="100"/>
      <c r="Z2044" s="100"/>
      <c r="AA2044" s="100"/>
    </row>
    <row r="2045" spans="2:27">
      <c r="B2045" s="100"/>
      <c r="C2045" s="100"/>
      <c r="D2045" s="100"/>
      <c r="E2045" s="100"/>
      <c r="F2045" s="100"/>
      <c r="G2045" s="100"/>
      <c r="H2045" s="100"/>
      <c r="I2045" s="100"/>
      <c r="J2045" s="100"/>
      <c r="K2045" s="100"/>
      <c r="L2045" s="100"/>
      <c r="M2045" s="100"/>
      <c r="N2045" s="100"/>
      <c r="O2045" s="100"/>
      <c r="P2045" s="100"/>
      <c r="Q2045" s="100"/>
      <c r="R2045" s="100"/>
      <c r="S2045" s="100"/>
      <c r="T2045" s="100"/>
      <c r="U2045" s="100"/>
      <c r="V2045" s="100"/>
      <c r="W2045" s="100"/>
      <c r="X2045" s="100"/>
      <c r="Y2045" s="100"/>
      <c r="Z2045" s="100"/>
      <c r="AA2045" s="100"/>
    </row>
    <row r="2046" spans="2:27">
      <c r="B2046" s="100"/>
      <c r="C2046" s="100"/>
      <c r="D2046" s="100"/>
      <c r="E2046" s="100"/>
      <c r="F2046" s="100"/>
      <c r="G2046" s="100"/>
      <c r="H2046" s="100"/>
      <c r="I2046" s="100"/>
      <c r="J2046" s="100"/>
      <c r="K2046" s="100"/>
      <c r="L2046" s="100"/>
      <c r="M2046" s="100"/>
      <c r="N2046" s="100"/>
      <c r="O2046" s="100"/>
      <c r="P2046" s="100"/>
      <c r="Q2046" s="100"/>
      <c r="R2046" s="100"/>
      <c r="S2046" s="100"/>
      <c r="T2046" s="100"/>
      <c r="U2046" s="100"/>
      <c r="V2046" s="100"/>
      <c r="W2046" s="100"/>
      <c r="X2046" s="100"/>
      <c r="Y2046" s="100"/>
      <c r="Z2046" s="100"/>
      <c r="AA2046" s="100"/>
    </row>
    <row r="2047" spans="2:27">
      <c r="B2047" s="100"/>
      <c r="C2047" s="100"/>
      <c r="D2047" s="100"/>
      <c r="E2047" s="100"/>
      <c r="F2047" s="100"/>
      <c r="G2047" s="100"/>
      <c r="H2047" s="100"/>
      <c r="I2047" s="100"/>
      <c r="J2047" s="100"/>
      <c r="K2047" s="100"/>
      <c r="L2047" s="100"/>
      <c r="M2047" s="100"/>
      <c r="N2047" s="100"/>
      <c r="O2047" s="100"/>
      <c r="P2047" s="100"/>
      <c r="Q2047" s="100"/>
      <c r="R2047" s="100"/>
      <c r="S2047" s="100"/>
      <c r="T2047" s="100"/>
      <c r="U2047" s="100"/>
      <c r="V2047" s="100"/>
      <c r="W2047" s="100"/>
      <c r="X2047" s="100"/>
      <c r="Y2047" s="100"/>
      <c r="Z2047" s="100"/>
      <c r="AA2047" s="100"/>
    </row>
    <row r="2048" spans="2:27">
      <c r="B2048" s="100"/>
      <c r="C2048" s="100"/>
      <c r="D2048" s="100"/>
      <c r="E2048" s="100"/>
      <c r="F2048" s="100"/>
      <c r="G2048" s="100"/>
      <c r="H2048" s="100"/>
      <c r="I2048" s="100"/>
      <c r="J2048" s="100"/>
      <c r="K2048" s="100"/>
      <c r="L2048" s="100"/>
      <c r="M2048" s="100"/>
      <c r="N2048" s="100"/>
      <c r="O2048" s="100"/>
      <c r="P2048" s="100"/>
      <c r="Q2048" s="100"/>
      <c r="R2048" s="100"/>
      <c r="S2048" s="100"/>
      <c r="T2048" s="100"/>
      <c r="U2048" s="100"/>
      <c r="V2048" s="100"/>
      <c r="W2048" s="100"/>
      <c r="X2048" s="100"/>
      <c r="Y2048" s="100"/>
      <c r="Z2048" s="100"/>
      <c r="AA2048" s="100"/>
    </row>
    <row r="2049" spans="2:27">
      <c r="B2049" s="100"/>
      <c r="C2049" s="100"/>
      <c r="D2049" s="100"/>
      <c r="E2049" s="100"/>
      <c r="F2049" s="100"/>
      <c r="G2049" s="100"/>
      <c r="H2049" s="100"/>
      <c r="I2049" s="100"/>
      <c r="J2049" s="100"/>
      <c r="K2049" s="100"/>
      <c r="L2049" s="100"/>
      <c r="M2049" s="100"/>
      <c r="N2049" s="100"/>
      <c r="O2049" s="100"/>
      <c r="P2049" s="100"/>
      <c r="Q2049" s="100"/>
      <c r="R2049" s="100"/>
      <c r="S2049" s="100"/>
      <c r="T2049" s="100"/>
      <c r="U2049" s="100"/>
      <c r="V2049" s="100"/>
      <c r="W2049" s="100"/>
      <c r="X2049" s="100"/>
      <c r="Y2049" s="100"/>
      <c r="Z2049" s="100"/>
      <c r="AA2049" s="100"/>
    </row>
    <row r="2050" spans="2:27">
      <c r="B2050" s="100"/>
      <c r="C2050" s="100"/>
      <c r="D2050" s="100"/>
      <c r="E2050" s="100"/>
      <c r="F2050" s="100"/>
      <c r="G2050" s="100"/>
      <c r="H2050" s="100"/>
      <c r="I2050" s="100"/>
      <c r="J2050" s="100"/>
      <c r="K2050" s="100"/>
      <c r="L2050" s="100"/>
      <c r="M2050" s="100"/>
      <c r="N2050" s="100"/>
      <c r="O2050" s="100"/>
      <c r="P2050" s="100"/>
      <c r="Q2050" s="100"/>
      <c r="R2050" s="100"/>
      <c r="S2050" s="100"/>
      <c r="T2050" s="100"/>
      <c r="U2050" s="100"/>
      <c r="V2050" s="100"/>
      <c r="W2050" s="100"/>
      <c r="X2050" s="100"/>
      <c r="Y2050" s="100"/>
      <c r="Z2050" s="100"/>
      <c r="AA2050" s="100"/>
    </row>
    <row r="2051" spans="2:27">
      <c r="B2051" s="100"/>
      <c r="C2051" s="100"/>
      <c r="D2051" s="100"/>
      <c r="E2051" s="100"/>
      <c r="F2051" s="100"/>
      <c r="G2051" s="100"/>
      <c r="H2051" s="100"/>
      <c r="I2051" s="100"/>
      <c r="J2051" s="100"/>
      <c r="K2051" s="100"/>
      <c r="L2051" s="100"/>
      <c r="M2051" s="100"/>
      <c r="N2051" s="100"/>
      <c r="O2051" s="100"/>
      <c r="P2051" s="100"/>
      <c r="Q2051" s="100"/>
      <c r="R2051" s="100"/>
      <c r="S2051" s="100"/>
      <c r="T2051" s="100"/>
      <c r="U2051" s="100"/>
      <c r="V2051" s="100"/>
      <c r="W2051" s="100"/>
      <c r="X2051" s="100"/>
      <c r="Y2051" s="100"/>
      <c r="Z2051" s="100"/>
      <c r="AA2051" s="100"/>
    </row>
    <row r="2052" spans="2:27">
      <c r="B2052" s="100"/>
      <c r="C2052" s="100"/>
      <c r="D2052" s="100"/>
      <c r="E2052" s="100"/>
      <c r="F2052" s="100"/>
      <c r="G2052" s="100"/>
      <c r="H2052" s="100"/>
      <c r="I2052" s="100"/>
      <c r="J2052" s="100"/>
      <c r="K2052" s="100"/>
      <c r="L2052" s="100"/>
      <c r="M2052" s="100"/>
      <c r="N2052" s="100"/>
      <c r="O2052" s="100"/>
      <c r="P2052" s="100"/>
      <c r="Q2052" s="100"/>
      <c r="R2052" s="100"/>
      <c r="S2052" s="100"/>
      <c r="T2052" s="100"/>
      <c r="U2052" s="100"/>
      <c r="V2052" s="100"/>
      <c r="W2052" s="100"/>
      <c r="X2052" s="100"/>
      <c r="Y2052" s="100"/>
      <c r="Z2052" s="100"/>
      <c r="AA2052" s="100"/>
    </row>
    <row r="2053" spans="2:27">
      <c r="B2053" s="100"/>
      <c r="C2053" s="100"/>
      <c r="D2053" s="100"/>
      <c r="E2053" s="100"/>
      <c r="F2053" s="100"/>
      <c r="G2053" s="100"/>
      <c r="H2053" s="100"/>
      <c r="I2053" s="100"/>
      <c r="J2053" s="100"/>
      <c r="K2053" s="100"/>
      <c r="L2053" s="100"/>
      <c r="M2053" s="100"/>
      <c r="N2053" s="100"/>
      <c r="O2053" s="100"/>
      <c r="P2053" s="100"/>
      <c r="Q2053" s="100"/>
      <c r="R2053" s="100"/>
      <c r="S2053" s="100"/>
      <c r="T2053" s="100"/>
      <c r="U2053" s="100"/>
      <c r="V2053" s="100"/>
      <c r="W2053" s="100"/>
      <c r="X2053" s="100"/>
      <c r="Y2053" s="100"/>
      <c r="Z2053" s="100"/>
      <c r="AA2053" s="100"/>
    </row>
    <row r="2054" spans="2:27">
      <c r="B2054" s="100"/>
      <c r="C2054" s="100"/>
      <c r="D2054" s="100"/>
      <c r="E2054" s="100"/>
      <c r="F2054" s="100"/>
      <c r="G2054" s="100"/>
      <c r="H2054" s="100"/>
      <c r="I2054" s="100"/>
      <c r="J2054" s="100"/>
      <c r="K2054" s="100"/>
      <c r="L2054" s="100"/>
      <c r="M2054" s="100"/>
      <c r="N2054" s="100"/>
      <c r="O2054" s="100"/>
      <c r="P2054" s="100"/>
      <c r="Q2054" s="100"/>
      <c r="R2054" s="100"/>
      <c r="S2054" s="100"/>
      <c r="T2054" s="100"/>
      <c r="U2054" s="100"/>
      <c r="V2054" s="100"/>
      <c r="W2054" s="100"/>
      <c r="X2054" s="100"/>
      <c r="Y2054" s="100"/>
      <c r="Z2054" s="100"/>
      <c r="AA2054" s="100"/>
    </row>
    <row r="2055" spans="2:27">
      <c r="B2055" s="100"/>
      <c r="C2055" s="100"/>
      <c r="D2055" s="100"/>
      <c r="E2055" s="100"/>
      <c r="F2055" s="100"/>
      <c r="G2055" s="100"/>
      <c r="H2055" s="100"/>
      <c r="I2055" s="100"/>
      <c r="J2055" s="100"/>
      <c r="K2055" s="100"/>
      <c r="L2055" s="100"/>
      <c r="M2055" s="100"/>
      <c r="N2055" s="100"/>
      <c r="O2055" s="100"/>
      <c r="P2055" s="100"/>
      <c r="Q2055" s="100"/>
      <c r="R2055" s="100"/>
      <c r="S2055" s="100"/>
      <c r="T2055" s="100"/>
      <c r="U2055" s="100"/>
      <c r="V2055" s="100"/>
      <c r="W2055" s="100"/>
      <c r="X2055" s="100"/>
      <c r="Y2055" s="100"/>
      <c r="Z2055" s="100"/>
      <c r="AA2055" s="100"/>
    </row>
    <row r="2056" spans="2:27">
      <c r="B2056" s="100"/>
      <c r="C2056" s="100"/>
      <c r="D2056" s="100"/>
      <c r="E2056" s="100"/>
      <c r="F2056" s="100"/>
      <c r="G2056" s="100"/>
      <c r="H2056" s="100"/>
      <c r="I2056" s="100"/>
      <c r="J2056" s="100"/>
      <c r="K2056" s="100"/>
      <c r="L2056" s="100"/>
      <c r="M2056" s="100"/>
      <c r="N2056" s="100"/>
      <c r="O2056" s="100"/>
      <c r="P2056" s="100"/>
      <c r="Q2056" s="100"/>
      <c r="R2056" s="100"/>
      <c r="S2056" s="100"/>
      <c r="T2056" s="100"/>
      <c r="U2056" s="100"/>
      <c r="V2056" s="100"/>
      <c r="W2056" s="100"/>
      <c r="X2056" s="100"/>
      <c r="Y2056" s="100"/>
      <c r="Z2056" s="100"/>
      <c r="AA2056" s="100"/>
    </row>
    <row r="2057" spans="2:27">
      <c r="B2057" s="100"/>
      <c r="C2057" s="100"/>
      <c r="D2057" s="100"/>
      <c r="E2057" s="100"/>
      <c r="F2057" s="100"/>
      <c r="G2057" s="100"/>
      <c r="H2057" s="100"/>
      <c r="I2057" s="100"/>
      <c r="J2057" s="100"/>
      <c r="K2057" s="100"/>
      <c r="L2057" s="100"/>
      <c r="M2057" s="100"/>
      <c r="N2057" s="100"/>
      <c r="O2057" s="100"/>
      <c r="P2057" s="100"/>
      <c r="Q2057" s="100"/>
      <c r="R2057" s="100"/>
      <c r="S2057" s="100"/>
      <c r="T2057" s="100"/>
      <c r="U2057" s="100"/>
      <c r="V2057" s="100"/>
      <c r="W2057" s="100"/>
      <c r="X2057" s="100"/>
      <c r="Y2057" s="100"/>
      <c r="Z2057" s="100"/>
      <c r="AA2057" s="100"/>
    </row>
    <row r="2058" spans="2:27">
      <c r="B2058" s="100"/>
      <c r="C2058" s="100"/>
      <c r="D2058" s="100"/>
      <c r="E2058" s="100"/>
      <c r="F2058" s="100"/>
      <c r="G2058" s="100"/>
      <c r="H2058" s="100"/>
      <c r="I2058" s="100"/>
      <c r="J2058" s="100"/>
      <c r="K2058" s="100"/>
      <c r="L2058" s="100"/>
      <c r="M2058" s="100"/>
      <c r="N2058" s="100"/>
      <c r="O2058" s="100"/>
      <c r="P2058" s="100"/>
      <c r="Q2058" s="100"/>
      <c r="R2058" s="100"/>
      <c r="S2058" s="100"/>
      <c r="T2058" s="100"/>
      <c r="U2058" s="100"/>
      <c r="V2058" s="100"/>
      <c r="W2058" s="100"/>
      <c r="X2058" s="100"/>
      <c r="Y2058" s="100"/>
      <c r="Z2058" s="100"/>
      <c r="AA2058" s="100"/>
    </row>
    <row r="2059" spans="2:27">
      <c r="B2059" s="100"/>
      <c r="C2059" s="100"/>
      <c r="D2059" s="100"/>
      <c r="E2059" s="100"/>
      <c r="F2059" s="100"/>
      <c r="G2059" s="100"/>
      <c r="H2059" s="100"/>
      <c r="I2059" s="100"/>
      <c r="J2059" s="100"/>
      <c r="K2059" s="100"/>
      <c r="L2059" s="100"/>
      <c r="M2059" s="100"/>
      <c r="N2059" s="100"/>
      <c r="O2059" s="100"/>
      <c r="P2059" s="100"/>
      <c r="Q2059" s="100"/>
      <c r="R2059" s="100"/>
      <c r="S2059" s="100"/>
      <c r="T2059" s="100"/>
      <c r="U2059" s="100"/>
      <c r="V2059" s="100"/>
      <c r="W2059" s="100"/>
      <c r="X2059" s="100"/>
      <c r="Y2059" s="100"/>
      <c r="Z2059" s="100"/>
      <c r="AA2059" s="100"/>
    </row>
    <row r="2060" spans="2:27">
      <c r="B2060" s="100"/>
      <c r="C2060" s="100"/>
      <c r="D2060" s="100"/>
      <c r="E2060" s="100"/>
      <c r="F2060" s="100"/>
      <c r="G2060" s="100"/>
      <c r="H2060" s="100"/>
      <c r="I2060" s="100"/>
      <c r="J2060" s="100"/>
      <c r="K2060" s="100"/>
      <c r="L2060" s="100"/>
      <c r="M2060" s="100"/>
      <c r="N2060" s="100"/>
      <c r="O2060" s="100"/>
      <c r="P2060" s="100"/>
      <c r="Q2060" s="100"/>
      <c r="R2060" s="100"/>
      <c r="S2060" s="100"/>
      <c r="T2060" s="100"/>
      <c r="U2060" s="100"/>
      <c r="V2060" s="100"/>
      <c r="W2060" s="100"/>
      <c r="X2060" s="100"/>
      <c r="Y2060" s="100"/>
      <c r="Z2060" s="100"/>
      <c r="AA2060" s="100"/>
    </row>
    <row r="2061" spans="2:27">
      <c r="B2061" s="100"/>
      <c r="C2061" s="100"/>
      <c r="D2061" s="100"/>
      <c r="E2061" s="100"/>
      <c r="F2061" s="100"/>
      <c r="G2061" s="100"/>
      <c r="H2061" s="100"/>
      <c r="I2061" s="100"/>
      <c r="J2061" s="100"/>
      <c r="K2061" s="100"/>
      <c r="L2061" s="100"/>
      <c r="M2061" s="100"/>
      <c r="N2061" s="100"/>
      <c r="O2061" s="100"/>
      <c r="P2061" s="100"/>
      <c r="Q2061" s="100"/>
      <c r="R2061" s="100"/>
      <c r="S2061" s="100"/>
      <c r="T2061" s="100"/>
      <c r="U2061" s="100"/>
      <c r="V2061" s="100"/>
      <c r="W2061" s="100"/>
      <c r="X2061" s="100"/>
      <c r="Y2061" s="100"/>
      <c r="Z2061" s="100"/>
      <c r="AA2061" s="100"/>
    </row>
    <row r="2062" spans="2:27">
      <c r="B2062" s="100"/>
      <c r="C2062" s="100"/>
      <c r="D2062" s="100"/>
      <c r="E2062" s="100"/>
      <c r="F2062" s="100"/>
      <c r="G2062" s="100"/>
      <c r="H2062" s="100"/>
      <c r="I2062" s="100"/>
      <c r="J2062" s="100"/>
      <c r="K2062" s="100"/>
      <c r="L2062" s="100"/>
      <c r="M2062" s="100"/>
      <c r="N2062" s="100"/>
      <c r="O2062" s="100"/>
      <c r="P2062" s="100"/>
      <c r="Q2062" s="100"/>
      <c r="R2062" s="100"/>
      <c r="S2062" s="100"/>
      <c r="T2062" s="100"/>
      <c r="U2062" s="100"/>
      <c r="V2062" s="100"/>
      <c r="W2062" s="100"/>
      <c r="X2062" s="100"/>
      <c r="Y2062" s="100"/>
      <c r="Z2062" s="100"/>
      <c r="AA2062" s="100"/>
    </row>
    <row r="2063" spans="2:27">
      <c r="B2063" s="100"/>
      <c r="C2063" s="100"/>
      <c r="D2063" s="100"/>
      <c r="E2063" s="100"/>
      <c r="F2063" s="100"/>
      <c r="G2063" s="100"/>
      <c r="H2063" s="100"/>
      <c r="I2063" s="100"/>
      <c r="J2063" s="100"/>
      <c r="K2063" s="100"/>
      <c r="L2063" s="100"/>
      <c r="M2063" s="100"/>
      <c r="N2063" s="100"/>
      <c r="O2063" s="100"/>
      <c r="P2063" s="100"/>
      <c r="Q2063" s="100"/>
      <c r="R2063" s="100"/>
      <c r="S2063" s="100"/>
      <c r="T2063" s="100"/>
      <c r="U2063" s="100"/>
      <c r="V2063" s="100"/>
      <c r="W2063" s="100"/>
      <c r="X2063" s="100"/>
      <c r="Y2063" s="100"/>
      <c r="Z2063" s="100"/>
      <c r="AA2063" s="100"/>
    </row>
    <row r="2064" spans="2:27">
      <c r="B2064" s="100"/>
      <c r="C2064" s="100"/>
      <c r="D2064" s="100"/>
      <c r="E2064" s="100"/>
      <c r="F2064" s="100"/>
      <c r="G2064" s="100"/>
      <c r="H2064" s="100"/>
      <c r="I2064" s="100"/>
      <c r="J2064" s="100"/>
      <c r="K2064" s="100"/>
      <c r="L2064" s="100"/>
      <c r="M2064" s="100"/>
      <c r="N2064" s="100"/>
      <c r="O2064" s="100"/>
      <c r="P2064" s="100"/>
      <c r="Q2064" s="100"/>
      <c r="R2064" s="100"/>
      <c r="S2064" s="100"/>
      <c r="T2064" s="100"/>
      <c r="U2064" s="100"/>
      <c r="V2064" s="100"/>
      <c r="W2064" s="100"/>
      <c r="X2064" s="100"/>
      <c r="Y2064" s="100"/>
      <c r="Z2064" s="100"/>
      <c r="AA2064" s="100"/>
    </row>
    <row r="2065" spans="2:27">
      <c r="B2065" s="100"/>
      <c r="C2065" s="100"/>
      <c r="D2065" s="100"/>
      <c r="E2065" s="100"/>
      <c r="F2065" s="100"/>
      <c r="G2065" s="100"/>
      <c r="H2065" s="100"/>
      <c r="I2065" s="100"/>
      <c r="J2065" s="100"/>
      <c r="K2065" s="100"/>
      <c r="L2065" s="100"/>
      <c r="M2065" s="100"/>
      <c r="N2065" s="100"/>
      <c r="O2065" s="100"/>
      <c r="P2065" s="100"/>
      <c r="Q2065" s="100"/>
      <c r="R2065" s="100"/>
      <c r="S2065" s="100"/>
      <c r="T2065" s="100"/>
      <c r="U2065" s="100"/>
      <c r="V2065" s="100"/>
      <c r="W2065" s="100"/>
      <c r="X2065" s="100"/>
      <c r="Y2065" s="100"/>
      <c r="Z2065" s="100"/>
      <c r="AA2065" s="100"/>
    </row>
    <row r="2066" spans="2:27">
      <c r="B2066" s="100"/>
      <c r="C2066" s="100"/>
      <c r="D2066" s="100"/>
      <c r="E2066" s="100"/>
      <c r="F2066" s="100"/>
      <c r="G2066" s="100"/>
      <c r="H2066" s="100"/>
      <c r="I2066" s="100"/>
      <c r="J2066" s="100"/>
      <c r="K2066" s="100"/>
      <c r="L2066" s="100"/>
      <c r="M2066" s="100"/>
      <c r="N2066" s="100"/>
      <c r="O2066" s="100"/>
      <c r="P2066" s="100"/>
      <c r="Q2066" s="100"/>
      <c r="R2066" s="100"/>
      <c r="S2066" s="100"/>
      <c r="T2066" s="100"/>
      <c r="U2066" s="100"/>
      <c r="V2066" s="100"/>
      <c r="W2066" s="100"/>
      <c r="X2066" s="100"/>
      <c r="Y2066" s="100"/>
      <c r="Z2066" s="100"/>
      <c r="AA2066" s="100"/>
    </row>
    <row r="2067" spans="2:27">
      <c r="B2067" s="100"/>
      <c r="C2067" s="100"/>
      <c r="D2067" s="100"/>
      <c r="E2067" s="100"/>
      <c r="F2067" s="100"/>
      <c r="G2067" s="100"/>
      <c r="H2067" s="100"/>
      <c r="I2067" s="100"/>
      <c r="J2067" s="100"/>
      <c r="K2067" s="100"/>
      <c r="L2067" s="100"/>
      <c r="M2067" s="100"/>
      <c r="N2067" s="100"/>
      <c r="O2067" s="100"/>
      <c r="P2067" s="100"/>
      <c r="Q2067" s="100"/>
      <c r="R2067" s="100"/>
      <c r="S2067" s="100"/>
      <c r="T2067" s="100"/>
      <c r="U2067" s="100"/>
      <c r="V2067" s="100"/>
      <c r="W2067" s="100"/>
      <c r="X2067" s="100"/>
      <c r="Y2067" s="100"/>
      <c r="Z2067" s="100"/>
      <c r="AA2067" s="100"/>
    </row>
    <row r="2068" spans="2:27">
      <c r="B2068" s="100"/>
      <c r="C2068" s="100"/>
      <c r="D2068" s="100"/>
      <c r="E2068" s="100"/>
      <c r="F2068" s="100"/>
      <c r="G2068" s="100"/>
      <c r="H2068" s="100"/>
      <c r="I2068" s="100"/>
      <c r="J2068" s="100"/>
      <c r="K2068" s="100"/>
      <c r="L2068" s="100"/>
      <c r="M2068" s="100"/>
      <c r="N2068" s="100"/>
      <c r="O2068" s="100"/>
      <c r="P2068" s="100"/>
      <c r="Q2068" s="100"/>
      <c r="R2068" s="100"/>
      <c r="S2068" s="100"/>
      <c r="T2068" s="100"/>
      <c r="U2068" s="100"/>
      <c r="V2068" s="100"/>
      <c r="W2068" s="100"/>
      <c r="X2068" s="100"/>
      <c r="Y2068" s="100"/>
      <c r="Z2068" s="100"/>
      <c r="AA2068" s="100"/>
    </row>
    <row r="2069" spans="2:27">
      <c r="B2069" s="100"/>
      <c r="C2069" s="100"/>
      <c r="D2069" s="100"/>
      <c r="E2069" s="100"/>
      <c r="F2069" s="100"/>
      <c r="G2069" s="100"/>
      <c r="H2069" s="100"/>
      <c r="I2069" s="100"/>
      <c r="J2069" s="100"/>
      <c r="K2069" s="100"/>
      <c r="L2069" s="100"/>
      <c r="M2069" s="100"/>
      <c r="N2069" s="100"/>
      <c r="O2069" s="100"/>
      <c r="P2069" s="100"/>
      <c r="Q2069" s="100"/>
      <c r="R2069" s="100"/>
      <c r="S2069" s="100"/>
      <c r="T2069" s="100"/>
      <c r="U2069" s="100"/>
      <c r="V2069" s="100"/>
      <c r="W2069" s="100"/>
      <c r="X2069" s="100"/>
      <c r="Y2069" s="100"/>
      <c r="Z2069" s="100"/>
      <c r="AA2069" s="100"/>
    </row>
    <row r="2070" spans="2:27">
      <c r="B2070" s="100"/>
      <c r="C2070" s="100"/>
      <c r="D2070" s="100"/>
      <c r="E2070" s="100"/>
      <c r="F2070" s="100"/>
      <c r="G2070" s="100"/>
      <c r="H2070" s="100"/>
      <c r="I2070" s="100"/>
      <c r="J2070" s="100"/>
      <c r="K2070" s="100"/>
      <c r="L2070" s="100"/>
      <c r="M2070" s="100"/>
      <c r="N2070" s="100"/>
      <c r="O2070" s="100"/>
      <c r="P2070" s="100"/>
      <c r="Q2070" s="100"/>
      <c r="R2070" s="100"/>
      <c r="S2070" s="100"/>
      <c r="T2070" s="100"/>
      <c r="U2070" s="100"/>
      <c r="V2070" s="100"/>
      <c r="W2070" s="100"/>
      <c r="X2070" s="100"/>
      <c r="Y2070" s="100"/>
      <c r="Z2070" s="100"/>
      <c r="AA2070" s="100"/>
    </row>
    <row r="2071" spans="2:27">
      <c r="B2071" s="100"/>
      <c r="C2071" s="100"/>
      <c r="D2071" s="100"/>
      <c r="E2071" s="100"/>
      <c r="F2071" s="100"/>
      <c r="G2071" s="100"/>
      <c r="H2071" s="100"/>
      <c r="I2071" s="100"/>
      <c r="J2071" s="100"/>
      <c r="K2071" s="100"/>
      <c r="L2071" s="100"/>
      <c r="M2071" s="100"/>
      <c r="N2071" s="100"/>
      <c r="O2071" s="100"/>
      <c r="P2071" s="100"/>
      <c r="Q2071" s="100"/>
      <c r="R2071" s="100"/>
      <c r="S2071" s="100"/>
      <c r="T2071" s="100"/>
      <c r="U2071" s="100"/>
      <c r="V2071" s="100"/>
      <c r="W2071" s="100"/>
      <c r="X2071" s="100"/>
      <c r="Y2071" s="100"/>
      <c r="Z2071" s="100"/>
      <c r="AA2071" s="100"/>
    </row>
    <row r="2072" spans="2:27">
      <c r="B2072" s="100"/>
      <c r="C2072" s="100"/>
      <c r="D2072" s="100"/>
      <c r="E2072" s="100"/>
      <c r="F2072" s="100"/>
      <c r="G2072" s="100"/>
      <c r="H2072" s="100"/>
      <c r="I2072" s="100"/>
      <c r="J2072" s="100"/>
      <c r="K2072" s="100"/>
      <c r="L2072" s="100"/>
      <c r="M2072" s="100"/>
      <c r="N2072" s="100"/>
      <c r="O2072" s="100"/>
      <c r="P2072" s="100"/>
      <c r="Q2072" s="100"/>
      <c r="R2072" s="100"/>
      <c r="S2072" s="100"/>
      <c r="T2072" s="100"/>
      <c r="U2072" s="100"/>
      <c r="V2072" s="100"/>
      <c r="W2072" s="100"/>
      <c r="X2072" s="100"/>
      <c r="Y2072" s="100"/>
      <c r="Z2072" s="100"/>
      <c r="AA2072" s="100"/>
    </row>
    <row r="2073" spans="2:27">
      <c r="B2073" s="100"/>
      <c r="C2073" s="100"/>
      <c r="D2073" s="100"/>
      <c r="E2073" s="100"/>
      <c r="F2073" s="100"/>
      <c r="G2073" s="100"/>
      <c r="H2073" s="100"/>
      <c r="I2073" s="100"/>
      <c r="J2073" s="100"/>
      <c r="K2073" s="100"/>
      <c r="L2073" s="100"/>
      <c r="M2073" s="100"/>
      <c r="N2073" s="100"/>
      <c r="O2073" s="100"/>
      <c r="P2073" s="100"/>
      <c r="Q2073" s="100"/>
      <c r="R2073" s="100"/>
      <c r="S2073" s="100"/>
      <c r="T2073" s="100"/>
      <c r="U2073" s="100"/>
      <c r="V2073" s="100"/>
      <c r="W2073" s="100"/>
      <c r="X2073" s="100"/>
      <c r="Y2073" s="100"/>
      <c r="Z2073" s="100"/>
      <c r="AA2073" s="100"/>
    </row>
    <row r="2074" spans="2:27">
      <c r="B2074" s="100"/>
      <c r="C2074" s="100"/>
      <c r="D2074" s="100"/>
      <c r="E2074" s="100"/>
      <c r="F2074" s="100"/>
      <c r="G2074" s="100"/>
      <c r="H2074" s="100"/>
      <c r="I2074" s="100"/>
      <c r="J2074" s="100"/>
      <c r="K2074" s="100"/>
      <c r="L2074" s="100"/>
      <c r="M2074" s="100"/>
      <c r="N2074" s="100"/>
      <c r="O2074" s="100"/>
      <c r="P2074" s="100"/>
      <c r="Q2074" s="100"/>
      <c r="R2074" s="100"/>
      <c r="S2074" s="100"/>
      <c r="T2074" s="100"/>
      <c r="U2074" s="100"/>
      <c r="V2074" s="100"/>
      <c r="W2074" s="100"/>
      <c r="X2074" s="100"/>
      <c r="Y2074" s="100"/>
      <c r="Z2074" s="100"/>
      <c r="AA2074" s="100"/>
    </row>
    <row r="2075" spans="2:27">
      <c r="B2075" s="100"/>
      <c r="C2075" s="100"/>
      <c r="D2075" s="100"/>
      <c r="E2075" s="100"/>
      <c r="F2075" s="100"/>
      <c r="G2075" s="100"/>
      <c r="H2075" s="100"/>
      <c r="I2075" s="100"/>
      <c r="J2075" s="100"/>
      <c r="K2075" s="100"/>
      <c r="L2075" s="100"/>
      <c r="M2075" s="100"/>
      <c r="N2075" s="100"/>
      <c r="O2075" s="100"/>
      <c r="P2075" s="100"/>
      <c r="Q2075" s="100"/>
      <c r="R2075" s="100"/>
      <c r="S2075" s="100"/>
      <c r="T2075" s="100"/>
      <c r="U2075" s="100"/>
      <c r="V2075" s="100"/>
      <c r="W2075" s="100"/>
      <c r="X2075" s="100"/>
      <c r="Y2075" s="100"/>
      <c r="Z2075" s="100"/>
      <c r="AA2075" s="100"/>
    </row>
    <row r="2076" spans="2:27">
      <c r="B2076" s="100"/>
      <c r="C2076" s="100"/>
      <c r="D2076" s="100"/>
      <c r="E2076" s="100"/>
      <c r="F2076" s="100"/>
      <c r="G2076" s="100"/>
      <c r="H2076" s="100"/>
      <c r="I2076" s="100"/>
      <c r="J2076" s="100"/>
      <c r="K2076" s="100"/>
      <c r="L2076" s="100"/>
      <c r="M2076" s="100"/>
      <c r="N2076" s="100"/>
      <c r="O2076" s="100"/>
      <c r="P2076" s="100"/>
      <c r="Q2076" s="100"/>
      <c r="R2076" s="100"/>
      <c r="S2076" s="100"/>
      <c r="T2076" s="100"/>
      <c r="U2076" s="100"/>
      <c r="V2076" s="100"/>
      <c r="W2076" s="100"/>
      <c r="X2076" s="100"/>
      <c r="Y2076" s="100"/>
      <c r="Z2076" s="100"/>
      <c r="AA2076" s="100"/>
    </row>
    <row r="2077" spans="2:27">
      <c r="B2077" s="100"/>
      <c r="C2077" s="100"/>
      <c r="D2077" s="100"/>
      <c r="E2077" s="100"/>
      <c r="F2077" s="100"/>
      <c r="G2077" s="100"/>
      <c r="H2077" s="100"/>
      <c r="I2077" s="100"/>
      <c r="J2077" s="100"/>
      <c r="K2077" s="100"/>
      <c r="L2077" s="100"/>
      <c r="M2077" s="100"/>
      <c r="N2077" s="100"/>
      <c r="O2077" s="100"/>
      <c r="P2077" s="100"/>
      <c r="Q2077" s="100"/>
      <c r="R2077" s="100"/>
      <c r="S2077" s="100"/>
      <c r="T2077" s="100"/>
      <c r="U2077" s="100"/>
      <c r="V2077" s="100"/>
      <c r="W2077" s="100"/>
      <c r="X2077" s="100"/>
      <c r="Y2077" s="100"/>
      <c r="Z2077" s="100"/>
      <c r="AA2077" s="100"/>
    </row>
    <row r="2078" spans="2:27">
      <c r="B2078" s="100"/>
      <c r="C2078" s="100"/>
      <c r="D2078" s="100"/>
      <c r="E2078" s="100"/>
      <c r="F2078" s="100"/>
      <c r="G2078" s="100"/>
      <c r="H2078" s="100"/>
      <c r="I2078" s="100"/>
      <c r="J2078" s="100"/>
      <c r="K2078" s="100"/>
      <c r="L2078" s="100"/>
      <c r="M2078" s="100"/>
      <c r="N2078" s="100"/>
      <c r="O2078" s="100"/>
      <c r="P2078" s="100"/>
      <c r="Q2078" s="100"/>
      <c r="R2078" s="100"/>
      <c r="S2078" s="100"/>
      <c r="T2078" s="100"/>
      <c r="U2078" s="100"/>
      <c r="V2078" s="100"/>
      <c r="W2078" s="100"/>
      <c r="X2078" s="100"/>
      <c r="Y2078" s="100"/>
      <c r="Z2078" s="100"/>
      <c r="AA2078" s="100"/>
    </row>
    <row r="2079" spans="2:27">
      <c r="B2079" s="100"/>
      <c r="C2079" s="100"/>
      <c r="D2079" s="100"/>
      <c r="E2079" s="100"/>
      <c r="F2079" s="100"/>
      <c r="G2079" s="100"/>
      <c r="H2079" s="100"/>
      <c r="I2079" s="100"/>
      <c r="J2079" s="100"/>
      <c r="K2079" s="100"/>
      <c r="L2079" s="100"/>
      <c r="M2079" s="100"/>
      <c r="N2079" s="100"/>
      <c r="O2079" s="100"/>
      <c r="P2079" s="100"/>
      <c r="Q2079" s="100"/>
      <c r="R2079" s="100"/>
      <c r="S2079" s="100"/>
      <c r="T2079" s="100"/>
      <c r="U2079" s="100"/>
      <c r="V2079" s="100"/>
      <c r="W2079" s="100"/>
      <c r="X2079" s="100"/>
      <c r="Y2079" s="100"/>
      <c r="Z2079" s="100"/>
      <c r="AA2079" s="100"/>
    </row>
    <row r="2080" spans="2:27">
      <c r="B2080" s="100"/>
      <c r="C2080" s="100"/>
      <c r="D2080" s="100"/>
      <c r="E2080" s="100"/>
      <c r="F2080" s="100"/>
      <c r="G2080" s="100"/>
      <c r="H2080" s="100"/>
      <c r="I2080" s="100"/>
      <c r="J2080" s="100"/>
      <c r="K2080" s="100"/>
      <c r="L2080" s="100"/>
      <c r="M2080" s="100"/>
      <c r="N2080" s="100"/>
      <c r="O2080" s="100"/>
      <c r="P2080" s="100"/>
      <c r="Q2080" s="100"/>
      <c r="R2080" s="100"/>
      <c r="S2080" s="100"/>
      <c r="T2080" s="100"/>
      <c r="U2080" s="100"/>
      <c r="V2080" s="100"/>
      <c r="W2080" s="100"/>
      <c r="X2080" s="100"/>
      <c r="Y2080" s="100"/>
      <c r="Z2080" s="100"/>
      <c r="AA2080" s="100"/>
    </row>
    <row r="2081" spans="2:27">
      <c r="B2081" s="100"/>
      <c r="C2081" s="100"/>
      <c r="D2081" s="100"/>
      <c r="E2081" s="100"/>
      <c r="F2081" s="100"/>
      <c r="G2081" s="100"/>
      <c r="H2081" s="100"/>
      <c r="I2081" s="100"/>
      <c r="J2081" s="100"/>
      <c r="K2081" s="100"/>
      <c r="L2081" s="100"/>
      <c r="M2081" s="100"/>
      <c r="N2081" s="100"/>
      <c r="O2081" s="100"/>
      <c r="P2081" s="100"/>
      <c r="Q2081" s="100"/>
      <c r="R2081" s="100"/>
      <c r="S2081" s="100"/>
      <c r="T2081" s="100"/>
      <c r="U2081" s="100"/>
      <c r="V2081" s="100"/>
      <c r="W2081" s="100"/>
      <c r="X2081" s="100"/>
      <c r="Y2081" s="100"/>
      <c r="Z2081" s="100"/>
      <c r="AA2081" s="100"/>
    </row>
    <row r="2082" spans="2:27">
      <c r="B2082" s="100"/>
      <c r="C2082" s="100"/>
      <c r="D2082" s="100"/>
      <c r="E2082" s="100"/>
      <c r="F2082" s="100"/>
      <c r="G2082" s="100"/>
      <c r="H2082" s="100"/>
      <c r="I2082" s="100"/>
      <c r="J2082" s="100"/>
      <c r="K2082" s="100"/>
      <c r="L2082" s="100"/>
      <c r="M2082" s="100"/>
      <c r="N2082" s="100"/>
      <c r="O2082" s="100"/>
      <c r="P2082" s="100"/>
      <c r="Q2082" s="100"/>
      <c r="R2082" s="100"/>
      <c r="S2082" s="100"/>
      <c r="T2082" s="100"/>
      <c r="U2082" s="100"/>
      <c r="V2082" s="100"/>
      <c r="W2082" s="100"/>
      <c r="X2082" s="100"/>
      <c r="Y2082" s="100"/>
      <c r="Z2082" s="100"/>
      <c r="AA2082" s="100"/>
    </row>
    <row r="2083" spans="2:27">
      <c r="B2083" s="100"/>
      <c r="C2083" s="100"/>
      <c r="D2083" s="100"/>
      <c r="E2083" s="100"/>
      <c r="F2083" s="100"/>
      <c r="G2083" s="100"/>
      <c r="H2083" s="100"/>
      <c r="I2083" s="100"/>
      <c r="J2083" s="100"/>
      <c r="K2083" s="100"/>
      <c r="L2083" s="100"/>
      <c r="M2083" s="100"/>
      <c r="N2083" s="100"/>
      <c r="O2083" s="100"/>
      <c r="P2083" s="100"/>
      <c r="Q2083" s="100"/>
      <c r="R2083" s="100"/>
      <c r="S2083" s="100"/>
      <c r="T2083" s="100"/>
      <c r="U2083" s="100"/>
      <c r="V2083" s="100"/>
      <c r="W2083" s="100"/>
      <c r="X2083" s="100"/>
      <c r="Y2083" s="100"/>
      <c r="Z2083" s="100"/>
      <c r="AA2083" s="100"/>
    </row>
    <row r="2084" spans="2:27">
      <c r="B2084" s="100"/>
      <c r="C2084" s="100"/>
      <c r="D2084" s="100"/>
      <c r="E2084" s="100"/>
      <c r="F2084" s="100"/>
      <c r="G2084" s="100"/>
      <c r="H2084" s="100"/>
      <c r="I2084" s="100"/>
      <c r="J2084" s="100"/>
      <c r="K2084" s="100"/>
      <c r="L2084" s="100"/>
      <c r="M2084" s="100"/>
      <c r="N2084" s="100"/>
      <c r="O2084" s="100"/>
      <c r="P2084" s="100"/>
      <c r="Q2084" s="100"/>
      <c r="R2084" s="100"/>
      <c r="S2084" s="100"/>
      <c r="T2084" s="100"/>
      <c r="U2084" s="100"/>
      <c r="V2084" s="100"/>
      <c r="W2084" s="100"/>
      <c r="X2084" s="100"/>
      <c r="Y2084" s="100"/>
      <c r="Z2084" s="100"/>
      <c r="AA2084" s="100"/>
    </row>
    <row r="2085" spans="2:27">
      <c r="B2085" s="100"/>
      <c r="C2085" s="100"/>
      <c r="D2085" s="100"/>
      <c r="E2085" s="100"/>
      <c r="F2085" s="100"/>
      <c r="G2085" s="100"/>
      <c r="H2085" s="100"/>
      <c r="I2085" s="100"/>
      <c r="J2085" s="100"/>
      <c r="K2085" s="100"/>
      <c r="L2085" s="100"/>
      <c r="M2085" s="100"/>
      <c r="N2085" s="100"/>
      <c r="O2085" s="100"/>
      <c r="P2085" s="100"/>
      <c r="Q2085" s="100"/>
      <c r="R2085" s="100"/>
      <c r="S2085" s="100"/>
      <c r="T2085" s="100"/>
      <c r="U2085" s="100"/>
      <c r="V2085" s="100"/>
      <c r="W2085" s="100"/>
      <c r="X2085" s="100"/>
      <c r="Y2085" s="100"/>
      <c r="Z2085" s="100"/>
      <c r="AA2085" s="100"/>
    </row>
    <row r="2086" spans="2:27">
      <c r="B2086" s="100"/>
      <c r="C2086" s="100"/>
      <c r="D2086" s="100"/>
      <c r="E2086" s="100"/>
      <c r="F2086" s="100"/>
      <c r="G2086" s="100"/>
      <c r="H2086" s="100"/>
      <c r="I2086" s="100"/>
      <c r="J2086" s="100"/>
      <c r="K2086" s="100"/>
      <c r="L2086" s="100"/>
      <c r="M2086" s="100"/>
      <c r="N2086" s="100"/>
      <c r="O2086" s="100"/>
      <c r="P2086" s="100"/>
      <c r="Q2086" s="100"/>
      <c r="R2086" s="100"/>
      <c r="S2086" s="100"/>
      <c r="T2086" s="100"/>
      <c r="U2086" s="100"/>
      <c r="V2086" s="100"/>
      <c r="W2086" s="100"/>
      <c r="X2086" s="100"/>
      <c r="Y2086" s="100"/>
      <c r="Z2086" s="100"/>
      <c r="AA2086" s="100"/>
    </row>
    <row r="2087" spans="2:27">
      <c r="B2087" s="100"/>
      <c r="C2087" s="100"/>
      <c r="D2087" s="100"/>
      <c r="E2087" s="100"/>
      <c r="F2087" s="100"/>
      <c r="G2087" s="100"/>
      <c r="H2087" s="100"/>
      <c r="I2087" s="100"/>
      <c r="J2087" s="100"/>
      <c r="K2087" s="100"/>
      <c r="L2087" s="100"/>
      <c r="M2087" s="100"/>
      <c r="N2087" s="100"/>
      <c r="O2087" s="100"/>
      <c r="P2087" s="100"/>
      <c r="Q2087" s="100"/>
      <c r="R2087" s="100"/>
      <c r="S2087" s="100"/>
      <c r="T2087" s="100"/>
      <c r="U2087" s="100"/>
      <c r="V2087" s="100"/>
      <c r="W2087" s="100"/>
      <c r="X2087" s="100"/>
      <c r="Y2087" s="100"/>
      <c r="Z2087" s="100"/>
      <c r="AA2087" s="100"/>
    </row>
    <row r="2088" spans="2:27">
      <c r="B2088" s="100"/>
      <c r="C2088" s="100"/>
      <c r="D2088" s="100"/>
      <c r="E2088" s="100"/>
      <c r="F2088" s="100"/>
      <c r="G2088" s="100"/>
      <c r="H2088" s="100"/>
      <c r="I2088" s="100"/>
      <c r="J2088" s="100"/>
      <c r="K2088" s="100"/>
      <c r="L2088" s="100"/>
      <c r="M2088" s="100"/>
      <c r="N2088" s="100"/>
      <c r="O2088" s="100"/>
      <c r="P2088" s="100"/>
      <c r="Q2088" s="100"/>
      <c r="R2088" s="100"/>
      <c r="S2088" s="100"/>
      <c r="T2088" s="100"/>
      <c r="U2088" s="100"/>
      <c r="V2088" s="100"/>
      <c r="W2088" s="100"/>
      <c r="X2088" s="100"/>
      <c r="Y2088" s="100"/>
      <c r="Z2088" s="100"/>
      <c r="AA2088" s="100"/>
    </row>
    <row r="2089" spans="2:27">
      <c r="B2089" s="100"/>
      <c r="C2089" s="100"/>
      <c r="D2089" s="100"/>
      <c r="E2089" s="100"/>
      <c r="F2089" s="100"/>
      <c r="G2089" s="100"/>
      <c r="H2089" s="100"/>
      <c r="I2089" s="100"/>
      <c r="J2089" s="100"/>
      <c r="K2089" s="100"/>
      <c r="L2089" s="100"/>
      <c r="M2089" s="100"/>
      <c r="N2089" s="100"/>
      <c r="O2089" s="100"/>
      <c r="P2089" s="100"/>
      <c r="Q2089" s="100"/>
      <c r="R2089" s="100"/>
      <c r="S2089" s="100"/>
      <c r="T2089" s="100"/>
      <c r="U2089" s="100"/>
      <c r="V2089" s="100"/>
      <c r="W2089" s="100"/>
      <c r="X2089" s="100"/>
      <c r="Y2089" s="100"/>
      <c r="Z2089" s="100"/>
      <c r="AA2089" s="100"/>
    </row>
    <row r="2090" spans="2:27">
      <c r="B2090" s="100"/>
      <c r="C2090" s="100"/>
      <c r="D2090" s="100"/>
      <c r="E2090" s="100"/>
      <c r="F2090" s="100"/>
      <c r="G2090" s="100"/>
      <c r="H2090" s="100"/>
      <c r="I2090" s="100"/>
      <c r="J2090" s="100"/>
      <c r="K2090" s="100"/>
      <c r="L2090" s="100"/>
      <c r="M2090" s="100"/>
      <c r="N2090" s="100"/>
      <c r="O2090" s="100"/>
      <c r="P2090" s="100"/>
      <c r="Q2090" s="100"/>
      <c r="R2090" s="100"/>
      <c r="S2090" s="100"/>
      <c r="T2090" s="100"/>
      <c r="U2090" s="100"/>
      <c r="V2090" s="100"/>
      <c r="W2090" s="100"/>
      <c r="X2090" s="100"/>
      <c r="Y2090" s="100"/>
      <c r="Z2090" s="100"/>
      <c r="AA2090" s="100"/>
    </row>
    <row r="2091" spans="2:27">
      <c r="B2091" s="100"/>
      <c r="C2091" s="100"/>
      <c r="D2091" s="100"/>
      <c r="E2091" s="100"/>
      <c r="F2091" s="100"/>
      <c r="G2091" s="100"/>
      <c r="H2091" s="100"/>
      <c r="I2091" s="100"/>
      <c r="J2091" s="100"/>
      <c r="K2091" s="100"/>
      <c r="L2091" s="100"/>
      <c r="M2091" s="100"/>
      <c r="N2091" s="100"/>
      <c r="O2091" s="100"/>
      <c r="P2091" s="100"/>
      <c r="Q2091" s="100"/>
      <c r="R2091" s="100"/>
      <c r="S2091" s="100"/>
      <c r="T2091" s="100"/>
      <c r="U2091" s="100"/>
      <c r="V2091" s="100"/>
      <c r="W2091" s="100"/>
      <c r="X2091" s="100"/>
      <c r="Y2091" s="100"/>
      <c r="Z2091" s="100"/>
      <c r="AA2091" s="100"/>
    </row>
    <row r="2092" spans="2:27">
      <c r="B2092" s="100"/>
      <c r="C2092" s="100"/>
      <c r="D2092" s="100"/>
      <c r="E2092" s="100"/>
      <c r="F2092" s="100"/>
      <c r="G2092" s="100"/>
      <c r="H2092" s="100"/>
      <c r="I2092" s="100"/>
      <c r="J2092" s="100"/>
      <c r="K2092" s="100"/>
      <c r="L2092" s="100"/>
      <c r="M2092" s="100"/>
      <c r="N2092" s="100"/>
      <c r="O2092" s="100"/>
      <c r="P2092" s="100"/>
      <c r="Q2092" s="100"/>
      <c r="R2092" s="100"/>
      <c r="S2092" s="100"/>
      <c r="T2092" s="100"/>
      <c r="U2092" s="100"/>
      <c r="V2092" s="100"/>
      <c r="W2092" s="100"/>
      <c r="X2092" s="100"/>
      <c r="Y2092" s="100"/>
      <c r="Z2092" s="100"/>
      <c r="AA2092" s="100"/>
    </row>
    <row r="2093" spans="2:27">
      <c r="B2093" s="100"/>
      <c r="C2093" s="100"/>
      <c r="D2093" s="100"/>
      <c r="E2093" s="100"/>
      <c r="F2093" s="100"/>
      <c r="G2093" s="100"/>
      <c r="H2093" s="100"/>
      <c r="I2093" s="100"/>
      <c r="J2093" s="100"/>
      <c r="K2093" s="100"/>
      <c r="L2093" s="100"/>
      <c r="M2093" s="100"/>
      <c r="N2093" s="100"/>
      <c r="O2093" s="100"/>
      <c r="P2093" s="100"/>
      <c r="Q2093" s="100"/>
      <c r="R2093" s="100"/>
      <c r="S2093" s="100"/>
      <c r="T2093" s="100"/>
      <c r="U2093" s="100"/>
      <c r="V2093" s="100"/>
      <c r="W2093" s="100"/>
      <c r="X2093" s="100"/>
      <c r="Y2093" s="100"/>
      <c r="Z2093" s="100"/>
      <c r="AA2093" s="100"/>
    </row>
    <row r="2094" spans="2:27">
      <c r="B2094" s="100"/>
      <c r="C2094" s="100"/>
      <c r="D2094" s="100"/>
      <c r="E2094" s="100"/>
      <c r="F2094" s="100"/>
      <c r="G2094" s="100"/>
      <c r="H2094" s="100"/>
      <c r="I2094" s="100"/>
      <c r="J2094" s="100"/>
      <c r="K2094" s="100"/>
      <c r="L2094" s="100"/>
      <c r="M2094" s="100"/>
      <c r="N2094" s="100"/>
      <c r="O2094" s="100"/>
      <c r="P2094" s="100"/>
      <c r="Q2094" s="100"/>
      <c r="R2094" s="100"/>
      <c r="S2094" s="100"/>
      <c r="T2094" s="100"/>
      <c r="U2094" s="100"/>
      <c r="V2094" s="100"/>
      <c r="W2094" s="100"/>
      <c r="X2094" s="100"/>
      <c r="Y2094" s="100"/>
      <c r="Z2094" s="100"/>
      <c r="AA2094" s="100"/>
    </row>
    <row r="2095" spans="2:27">
      <c r="B2095" s="100"/>
      <c r="C2095" s="100"/>
      <c r="D2095" s="100"/>
      <c r="E2095" s="100"/>
      <c r="F2095" s="100"/>
      <c r="G2095" s="100"/>
      <c r="H2095" s="100"/>
      <c r="I2095" s="100"/>
      <c r="J2095" s="100"/>
      <c r="K2095" s="100"/>
      <c r="L2095" s="100"/>
      <c r="M2095" s="100"/>
      <c r="N2095" s="100"/>
      <c r="O2095" s="100"/>
      <c r="P2095" s="100"/>
      <c r="Q2095" s="100"/>
      <c r="R2095" s="100"/>
      <c r="S2095" s="100"/>
      <c r="T2095" s="100"/>
      <c r="U2095" s="100"/>
      <c r="V2095" s="100"/>
      <c r="W2095" s="100"/>
      <c r="X2095" s="100"/>
      <c r="Y2095" s="100"/>
      <c r="Z2095" s="100"/>
      <c r="AA2095" s="100"/>
    </row>
    <row r="2096" spans="2:27">
      <c r="B2096" s="100"/>
      <c r="C2096" s="100"/>
      <c r="D2096" s="100"/>
      <c r="E2096" s="100"/>
      <c r="F2096" s="100"/>
      <c r="G2096" s="100"/>
      <c r="H2096" s="100"/>
      <c r="I2096" s="100"/>
      <c r="J2096" s="100"/>
      <c r="K2096" s="100"/>
      <c r="L2096" s="100"/>
      <c r="M2096" s="100"/>
      <c r="N2096" s="100"/>
      <c r="O2096" s="100"/>
      <c r="P2096" s="100"/>
      <c r="Q2096" s="100"/>
      <c r="R2096" s="100"/>
      <c r="S2096" s="100"/>
      <c r="T2096" s="100"/>
      <c r="U2096" s="100"/>
      <c r="V2096" s="100"/>
      <c r="W2096" s="100"/>
      <c r="X2096" s="100"/>
      <c r="Y2096" s="100"/>
      <c r="Z2096" s="100"/>
      <c r="AA2096" s="100"/>
    </row>
    <row r="2097" spans="2:27">
      <c r="B2097" s="100"/>
      <c r="C2097" s="100"/>
      <c r="D2097" s="100"/>
      <c r="E2097" s="100"/>
      <c r="F2097" s="100"/>
      <c r="G2097" s="100"/>
      <c r="H2097" s="100"/>
      <c r="I2097" s="100"/>
      <c r="J2097" s="100"/>
      <c r="K2097" s="100"/>
      <c r="L2097" s="100"/>
      <c r="M2097" s="100"/>
      <c r="N2097" s="100"/>
      <c r="O2097" s="100"/>
      <c r="P2097" s="100"/>
      <c r="Q2097" s="100"/>
      <c r="R2097" s="100"/>
      <c r="S2097" s="100"/>
      <c r="T2097" s="100"/>
      <c r="U2097" s="100"/>
      <c r="V2097" s="100"/>
      <c r="W2097" s="100"/>
      <c r="X2097" s="100"/>
      <c r="Y2097" s="100"/>
      <c r="Z2097" s="100"/>
      <c r="AA2097" s="100"/>
    </row>
    <row r="2098" spans="2:27">
      <c r="B2098" s="100"/>
      <c r="C2098" s="100"/>
      <c r="D2098" s="100"/>
      <c r="E2098" s="100"/>
      <c r="F2098" s="100"/>
      <c r="G2098" s="100"/>
      <c r="H2098" s="100"/>
      <c r="I2098" s="100"/>
      <c r="J2098" s="100"/>
      <c r="K2098" s="100"/>
      <c r="L2098" s="100"/>
      <c r="M2098" s="100"/>
      <c r="N2098" s="100"/>
      <c r="O2098" s="100"/>
      <c r="P2098" s="100"/>
      <c r="Q2098" s="100"/>
      <c r="R2098" s="100"/>
      <c r="S2098" s="100"/>
      <c r="T2098" s="100"/>
      <c r="U2098" s="100"/>
      <c r="V2098" s="100"/>
      <c r="W2098" s="100"/>
      <c r="X2098" s="100"/>
      <c r="Y2098" s="100"/>
      <c r="Z2098" s="100"/>
      <c r="AA2098" s="100"/>
    </row>
    <row r="2099" spans="2:27">
      <c r="B2099" s="100"/>
      <c r="C2099" s="100"/>
      <c r="D2099" s="100"/>
      <c r="E2099" s="100"/>
      <c r="F2099" s="100"/>
      <c r="G2099" s="100"/>
      <c r="H2099" s="100"/>
      <c r="I2099" s="100"/>
      <c r="J2099" s="100"/>
      <c r="K2099" s="100"/>
      <c r="L2099" s="100"/>
      <c r="M2099" s="100"/>
      <c r="N2099" s="100"/>
      <c r="O2099" s="100"/>
      <c r="P2099" s="100"/>
      <c r="Q2099" s="100"/>
      <c r="R2099" s="100"/>
      <c r="S2099" s="100"/>
      <c r="T2099" s="100"/>
      <c r="U2099" s="100"/>
      <c r="V2099" s="100"/>
      <c r="W2099" s="100"/>
      <c r="X2099" s="100"/>
      <c r="Y2099" s="100"/>
      <c r="Z2099" s="100"/>
      <c r="AA2099" s="100"/>
    </row>
    <row r="2100" spans="2:27">
      <c r="B2100" s="100"/>
      <c r="C2100" s="100"/>
      <c r="D2100" s="100"/>
      <c r="E2100" s="100"/>
      <c r="F2100" s="100"/>
      <c r="G2100" s="100"/>
      <c r="H2100" s="100"/>
      <c r="I2100" s="100"/>
      <c r="J2100" s="100"/>
      <c r="K2100" s="100"/>
      <c r="L2100" s="100"/>
      <c r="M2100" s="100"/>
      <c r="N2100" s="100"/>
      <c r="O2100" s="100"/>
      <c r="P2100" s="100"/>
      <c r="Q2100" s="100"/>
      <c r="R2100" s="100"/>
      <c r="S2100" s="100"/>
      <c r="T2100" s="100"/>
      <c r="U2100" s="100"/>
      <c r="V2100" s="100"/>
      <c r="W2100" s="100"/>
      <c r="X2100" s="100"/>
      <c r="Y2100" s="100"/>
      <c r="Z2100" s="100"/>
      <c r="AA2100" s="100"/>
    </row>
    <row r="2101" spans="2:27">
      <c r="B2101" s="100"/>
      <c r="C2101" s="100"/>
      <c r="D2101" s="100"/>
      <c r="E2101" s="100"/>
      <c r="F2101" s="100"/>
      <c r="G2101" s="100"/>
      <c r="H2101" s="100"/>
      <c r="I2101" s="100"/>
      <c r="J2101" s="100"/>
      <c r="K2101" s="100"/>
      <c r="L2101" s="100"/>
      <c r="M2101" s="100"/>
      <c r="N2101" s="100"/>
      <c r="O2101" s="100"/>
      <c r="P2101" s="100"/>
      <c r="Q2101" s="100"/>
      <c r="R2101" s="100"/>
      <c r="S2101" s="100"/>
      <c r="T2101" s="100"/>
      <c r="U2101" s="100"/>
      <c r="V2101" s="100"/>
      <c r="W2101" s="100"/>
      <c r="X2101" s="100"/>
      <c r="Y2101" s="100"/>
      <c r="Z2101" s="100"/>
      <c r="AA2101" s="100"/>
    </row>
    <row r="2102" spans="2:27">
      <c r="B2102" s="100"/>
      <c r="C2102" s="100"/>
      <c r="D2102" s="100"/>
      <c r="E2102" s="100"/>
      <c r="F2102" s="100"/>
      <c r="G2102" s="100"/>
      <c r="H2102" s="100"/>
      <c r="I2102" s="100"/>
      <c r="J2102" s="100"/>
      <c r="K2102" s="100"/>
      <c r="L2102" s="100"/>
      <c r="M2102" s="100"/>
      <c r="N2102" s="100"/>
      <c r="O2102" s="100"/>
      <c r="P2102" s="100"/>
      <c r="Q2102" s="100"/>
      <c r="R2102" s="100"/>
      <c r="S2102" s="100"/>
      <c r="T2102" s="100"/>
      <c r="U2102" s="100"/>
      <c r="V2102" s="100"/>
      <c r="W2102" s="100"/>
      <c r="X2102" s="100"/>
      <c r="Y2102" s="100"/>
      <c r="Z2102" s="100"/>
      <c r="AA2102" s="100"/>
    </row>
    <row r="2103" spans="2:27">
      <c r="B2103" s="100"/>
      <c r="C2103" s="100"/>
      <c r="D2103" s="100"/>
      <c r="E2103" s="100"/>
      <c r="F2103" s="100"/>
      <c r="G2103" s="100"/>
      <c r="H2103" s="100"/>
      <c r="I2103" s="100"/>
      <c r="J2103" s="100"/>
      <c r="K2103" s="100"/>
      <c r="L2103" s="100"/>
      <c r="M2103" s="100"/>
      <c r="N2103" s="100"/>
      <c r="O2103" s="100"/>
      <c r="P2103" s="100"/>
      <c r="Q2103" s="100"/>
      <c r="R2103" s="100"/>
      <c r="S2103" s="100"/>
      <c r="T2103" s="100"/>
      <c r="U2103" s="100"/>
      <c r="V2103" s="100"/>
      <c r="W2103" s="100"/>
      <c r="X2103" s="100"/>
      <c r="Y2103" s="100"/>
      <c r="Z2103" s="100"/>
      <c r="AA2103" s="100"/>
    </row>
    <row r="2104" spans="2:27">
      <c r="B2104" s="100"/>
      <c r="C2104" s="100"/>
      <c r="D2104" s="100"/>
      <c r="E2104" s="100"/>
      <c r="F2104" s="100"/>
      <c r="G2104" s="100"/>
      <c r="H2104" s="100"/>
      <c r="I2104" s="100"/>
      <c r="J2104" s="100"/>
      <c r="K2104" s="100"/>
      <c r="L2104" s="100"/>
      <c r="M2104" s="100"/>
      <c r="N2104" s="100"/>
      <c r="O2104" s="100"/>
      <c r="P2104" s="100"/>
      <c r="Q2104" s="100"/>
      <c r="R2104" s="100"/>
      <c r="S2104" s="100"/>
      <c r="T2104" s="100"/>
      <c r="U2104" s="100"/>
      <c r="V2104" s="100"/>
      <c r="W2104" s="100"/>
      <c r="X2104" s="100"/>
      <c r="Y2104" s="100"/>
      <c r="Z2104" s="100"/>
      <c r="AA2104" s="100"/>
    </row>
    <row r="2105" spans="2:27">
      <c r="B2105" s="100"/>
      <c r="C2105" s="100"/>
      <c r="D2105" s="100"/>
      <c r="E2105" s="100"/>
      <c r="F2105" s="100"/>
      <c r="G2105" s="100"/>
      <c r="H2105" s="100"/>
      <c r="I2105" s="100"/>
      <c r="J2105" s="100"/>
      <c r="K2105" s="100"/>
      <c r="L2105" s="100"/>
      <c r="M2105" s="100"/>
      <c r="N2105" s="100"/>
      <c r="O2105" s="100"/>
      <c r="P2105" s="100"/>
      <c r="Q2105" s="100"/>
      <c r="R2105" s="100"/>
      <c r="S2105" s="100"/>
      <c r="T2105" s="100"/>
      <c r="U2105" s="100"/>
      <c r="V2105" s="100"/>
      <c r="W2105" s="100"/>
      <c r="X2105" s="100"/>
      <c r="Y2105" s="100"/>
      <c r="Z2105" s="100"/>
      <c r="AA2105" s="100"/>
    </row>
    <row r="2106" spans="2:27">
      <c r="B2106" s="100"/>
      <c r="C2106" s="100"/>
      <c r="D2106" s="100"/>
      <c r="E2106" s="100"/>
      <c r="F2106" s="100"/>
      <c r="G2106" s="100"/>
      <c r="H2106" s="100"/>
      <c r="I2106" s="100"/>
      <c r="J2106" s="100"/>
      <c r="K2106" s="100"/>
      <c r="L2106" s="100"/>
      <c r="M2106" s="100"/>
      <c r="N2106" s="100"/>
      <c r="O2106" s="100"/>
      <c r="P2106" s="100"/>
      <c r="Q2106" s="100"/>
      <c r="R2106" s="100"/>
      <c r="S2106" s="100"/>
      <c r="T2106" s="100"/>
      <c r="U2106" s="100"/>
      <c r="V2106" s="100"/>
      <c r="W2106" s="100"/>
      <c r="X2106" s="100"/>
      <c r="Y2106" s="100"/>
      <c r="Z2106" s="100"/>
      <c r="AA2106" s="100"/>
    </row>
    <row r="2107" spans="2:27">
      <c r="B2107" s="100"/>
      <c r="C2107" s="100"/>
      <c r="D2107" s="100"/>
      <c r="E2107" s="100"/>
      <c r="F2107" s="100"/>
      <c r="G2107" s="100"/>
      <c r="H2107" s="100"/>
      <c r="I2107" s="100"/>
      <c r="J2107" s="100"/>
      <c r="K2107" s="100"/>
      <c r="L2107" s="100"/>
      <c r="M2107" s="100"/>
      <c r="N2107" s="100"/>
      <c r="O2107" s="100"/>
      <c r="P2107" s="100"/>
      <c r="Q2107" s="100"/>
      <c r="R2107" s="100"/>
      <c r="S2107" s="100"/>
      <c r="T2107" s="100"/>
      <c r="U2107" s="100"/>
      <c r="V2107" s="100"/>
      <c r="W2107" s="100"/>
      <c r="X2107" s="100"/>
      <c r="Y2107" s="100"/>
      <c r="Z2107" s="100"/>
      <c r="AA2107" s="100"/>
    </row>
    <row r="2108" spans="2:27">
      <c r="B2108" s="100"/>
      <c r="C2108" s="100"/>
      <c r="D2108" s="100"/>
      <c r="E2108" s="100"/>
      <c r="F2108" s="100"/>
      <c r="G2108" s="100"/>
      <c r="H2108" s="100"/>
      <c r="I2108" s="100"/>
      <c r="J2108" s="100"/>
      <c r="K2108" s="100"/>
      <c r="L2108" s="100"/>
      <c r="M2108" s="100"/>
      <c r="N2108" s="100"/>
      <c r="O2108" s="100"/>
      <c r="P2108" s="100"/>
      <c r="Q2108" s="100"/>
      <c r="R2108" s="100"/>
      <c r="S2108" s="100"/>
      <c r="T2108" s="100"/>
      <c r="U2108" s="100"/>
      <c r="V2108" s="100"/>
      <c r="W2108" s="100"/>
      <c r="X2108" s="100"/>
      <c r="Y2108" s="100"/>
      <c r="Z2108" s="100"/>
      <c r="AA2108" s="100"/>
    </row>
    <row r="2109" spans="2:27">
      <c r="B2109" s="100"/>
      <c r="C2109" s="100"/>
      <c r="D2109" s="100"/>
      <c r="E2109" s="100"/>
      <c r="F2109" s="100"/>
      <c r="G2109" s="100"/>
      <c r="H2109" s="100"/>
      <c r="I2109" s="100"/>
      <c r="J2109" s="100"/>
      <c r="K2109" s="100"/>
      <c r="L2109" s="100"/>
      <c r="M2109" s="100"/>
      <c r="N2109" s="100"/>
      <c r="O2109" s="100"/>
      <c r="P2109" s="100"/>
      <c r="Q2109" s="100"/>
      <c r="R2109" s="100"/>
      <c r="S2109" s="100"/>
      <c r="T2109" s="100"/>
      <c r="U2109" s="100"/>
      <c r="V2109" s="100"/>
      <c r="W2109" s="100"/>
      <c r="X2109" s="100"/>
      <c r="Y2109" s="100"/>
      <c r="Z2109" s="100"/>
      <c r="AA2109" s="100"/>
    </row>
    <row r="2110" spans="2:27">
      <c r="B2110" s="100"/>
      <c r="C2110" s="100"/>
      <c r="D2110" s="100"/>
      <c r="E2110" s="100"/>
      <c r="F2110" s="100"/>
      <c r="G2110" s="100"/>
      <c r="H2110" s="100"/>
      <c r="I2110" s="100"/>
      <c r="J2110" s="100"/>
      <c r="K2110" s="100"/>
      <c r="L2110" s="100"/>
      <c r="M2110" s="100"/>
      <c r="N2110" s="100"/>
      <c r="O2110" s="100"/>
      <c r="P2110" s="100"/>
      <c r="Q2110" s="100"/>
      <c r="R2110" s="100"/>
      <c r="S2110" s="100"/>
      <c r="T2110" s="100"/>
      <c r="U2110" s="100"/>
      <c r="V2110" s="100"/>
      <c r="W2110" s="100"/>
      <c r="X2110" s="100"/>
      <c r="Y2110" s="100"/>
      <c r="Z2110" s="100"/>
      <c r="AA2110" s="100"/>
    </row>
    <row r="2111" spans="2:27">
      <c r="B2111" s="100"/>
      <c r="C2111" s="100"/>
      <c r="D2111" s="100"/>
      <c r="E2111" s="100"/>
      <c r="F2111" s="100"/>
      <c r="G2111" s="100"/>
      <c r="H2111" s="100"/>
      <c r="I2111" s="100"/>
      <c r="J2111" s="100"/>
      <c r="K2111" s="100"/>
      <c r="L2111" s="100"/>
      <c r="M2111" s="100"/>
      <c r="N2111" s="100"/>
      <c r="O2111" s="100"/>
      <c r="P2111" s="100"/>
      <c r="Q2111" s="100"/>
      <c r="R2111" s="100"/>
      <c r="S2111" s="100"/>
      <c r="T2111" s="100"/>
      <c r="U2111" s="100"/>
      <c r="V2111" s="100"/>
      <c r="W2111" s="100"/>
      <c r="X2111" s="100"/>
      <c r="Y2111" s="100"/>
      <c r="Z2111" s="100"/>
      <c r="AA2111" s="100"/>
    </row>
    <row r="2112" spans="2:27">
      <c r="B2112" s="100"/>
      <c r="C2112" s="100"/>
      <c r="D2112" s="100"/>
      <c r="E2112" s="100"/>
      <c r="F2112" s="100"/>
      <c r="G2112" s="100"/>
      <c r="H2112" s="100"/>
      <c r="I2112" s="100"/>
      <c r="J2112" s="100"/>
      <c r="K2112" s="100"/>
      <c r="L2112" s="100"/>
      <c r="M2112" s="100"/>
      <c r="N2112" s="100"/>
      <c r="O2112" s="100"/>
      <c r="P2112" s="100"/>
      <c r="Q2112" s="100"/>
      <c r="R2112" s="100"/>
      <c r="S2112" s="100"/>
      <c r="T2112" s="100"/>
      <c r="U2112" s="100"/>
      <c r="V2112" s="100"/>
      <c r="W2112" s="100"/>
      <c r="X2112" s="100"/>
      <c r="Y2112" s="100"/>
      <c r="Z2112" s="100"/>
      <c r="AA2112" s="100"/>
    </row>
    <row r="2113" spans="2:27">
      <c r="B2113" s="100"/>
      <c r="C2113" s="100"/>
      <c r="D2113" s="100"/>
      <c r="E2113" s="100"/>
      <c r="F2113" s="100"/>
      <c r="G2113" s="100"/>
      <c r="H2113" s="100"/>
      <c r="I2113" s="100"/>
      <c r="J2113" s="100"/>
      <c r="K2113" s="100"/>
      <c r="L2113" s="100"/>
      <c r="M2113" s="100"/>
      <c r="N2113" s="100"/>
      <c r="O2113" s="100"/>
      <c r="P2113" s="100"/>
      <c r="Q2113" s="100"/>
      <c r="R2113" s="100"/>
      <c r="S2113" s="100"/>
      <c r="T2113" s="100"/>
      <c r="U2113" s="100"/>
      <c r="V2113" s="100"/>
      <c r="W2113" s="100"/>
      <c r="X2113" s="100"/>
      <c r="Y2113" s="100"/>
      <c r="Z2113" s="100"/>
      <c r="AA2113" s="100"/>
    </row>
    <row r="2114" spans="2:27">
      <c r="B2114" s="100"/>
      <c r="C2114" s="100"/>
      <c r="D2114" s="100"/>
      <c r="E2114" s="100"/>
      <c r="F2114" s="100"/>
      <c r="G2114" s="100"/>
      <c r="H2114" s="100"/>
      <c r="I2114" s="100"/>
      <c r="J2114" s="100"/>
      <c r="K2114" s="100"/>
      <c r="L2114" s="100"/>
      <c r="M2114" s="100"/>
      <c r="N2114" s="100"/>
      <c r="O2114" s="100"/>
      <c r="P2114" s="100"/>
      <c r="Q2114" s="100"/>
      <c r="R2114" s="100"/>
      <c r="S2114" s="100"/>
      <c r="T2114" s="100"/>
      <c r="U2114" s="100"/>
      <c r="V2114" s="100"/>
      <c r="W2114" s="100"/>
      <c r="X2114" s="100"/>
      <c r="Y2114" s="100"/>
      <c r="Z2114" s="100"/>
      <c r="AA2114" s="100"/>
    </row>
    <row r="2115" spans="2:27">
      <c r="B2115" s="100"/>
      <c r="C2115" s="100"/>
      <c r="D2115" s="100"/>
      <c r="E2115" s="100"/>
      <c r="F2115" s="100"/>
      <c r="G2115" s="100"/>
      <c r="H2115" s="100"/>
      <c r="I2115" s="100"/>
      <c r="J2115" s="100"/>
      <c r="K2115" s="100"/>
      <c r="L2115" s="100"/>
      <c r="M2115" s="100"/>
      <c r="N2115" s="100"/>
      <c r="O2115" s="100"/>
      <c r="P2115" s="100"/>
      <c r="Q2115" s="100"/>
      <c r="R2115" s="100"/>
      <c r="S2115" s="100"/>
      <c r="T2115" s="100"/>
      <c r="U2115" s="100"/>
      <c r="V2115" s="100"/>
      <c r="W2115" s="100"/>
      <c r="X2115" s="100"/>
      <c r="Y2115" s="100"/>
      <c r="Z2115" s="100"/>
      <c r="AA2115" s="100"/>
    </row>
    <row r="2116" spans="2:27">
      <c r="B2116" s="100"/>
      <c r="C2116" s="100"/>
      <c r="D2116" s="100"/>
      <c r="E2116" s="100"/>
      <c r="F2116" s="100"/>
      <c r="G2116" s="100"/>
      <c r="H2116" s="100"/>
      <c r="I2116" s="100"/>
      <c r="J2116" s="100"/>
      <c r="K2116" s="100"/>
      <c r="L2116" s="100"/>
      <c r="M2116" s="100"/>
      <c r="N2116" s="100"/>
      <c r="O2116" s="100"/>
      <c r="P2116" s="100"/>
      <c r="Q2116" s="100"/>
      <c r="R2116" s="100"/>
      <c r="S2116" s="100"/>
      <c r="T2116" s="100"/>
      <c r="U2116" s="100"/>
      <c r="V2116" s="100"/>
      <c r="W2116" s="100"/>
      <c r="X2116" s="100"/>
      <c r="Y2116" s="100"/>
      <c r="Z2116" s="100"/>
      <c r="AA2116" s="100"/>
    </row>
    <row r="2117" spans="2:27">
      <c r="B2117" s="100"/>
      <c r="C2117" s="100"/>
      <c r="D2117" s="100"/>
      <c r="E2117" s="100"/>
      <c r="F2117" s="100"/>
      <c r="G2117" s="100"/>
      <c r="H2117" s="100"/>
      <c r="I2117" s="100"/>
      <c r="J2117" s="100"/>
      <c r="K2117" s="100"/>
      <c r="L2117" s="100"/>
      <c r="M2117" s="100"/>
      <c r="N2117" s="100"/>
      <c r="O2117" s="100"/>
      <c r="P2117" s="100"/>
      <c r="Q2117" s="100"/>
      <c r="R2117" s="100"/>
      <c r="S2117" s="100"/>
      <c r="T2117" s="100"/>
      <c r="U2117" s="100"/>
      <c r="V2117" s="100"/>
      <c r="W2117" s="100"/>
      <c r="X2117" s="100"/>
      <c r="Y2117" s="100"/>
      <c r="Z2117" s="100"/>
      <c r="AA2117" s="100"/>
    </row>
    <row r="2118" spans="2:27">
      <c r="B2118" s="100"/>
      <c r="C2118" s="100"/>
      <c r="D2118" s="100"/>
      <c r="E2118" s="100"/>
      <c r="F2118" s="100"/>
      <c r="G2118" s="100"/>
      <c r="H2118" s="100"/>
      <c r="I2118" s="100"/>
      <c r="J2118" s="100"/>
      <c r="K2118" s="100"/>
      <c r="L2118" s="100"/>
      <c r="M2118" s="100"/>
      <c r="N2118" s="100"/>
      <c r="O2118" s="100"/>
      <c r="P2118" s="100"/>
      <c r="Q2118" s="100"/>
      <c r="R2118" s="100"/>
      <c r="S2118" s="100"/>
      <c r="T2118" s="100"/>
      <c r="U2118" s="100"/>
      <c r="V2118" s="100"/>
      <c r="W2118" s="100"/>
      <c r="X2118" s="100"/>
      <c r="Y2118" s="100"/>
      <c r="Z2118" s="100"/>
      <c r="AA2118" s="100"/>
    </row>
    <row r="2119" spans="2:27">
      <c r="B2119" s="100"/>
      <c r="C2119" s="100"/>
      <c r="D2119" s="100"/>
      <c r="E2119" s="100"/>
      <c r="F2119" s="100"/>
      <c r="G2119" s="100"/>
      <c r="H2119" s="100"/>
      <c r="I2119" s="100"/>
      <c r="J2119" s="100"/>
      <c r="K2119" s="100"/>
      <c r="L2119" s="100"/>
      <c r="M2119" s="100"/>
      <c r="N2119" s="100"/>
      <c r="O2119" s="100"/>
      <c r="P2119" s="100"/>
      <c r="Q2119" s="100"/>
      <c r="R2119" s="100"/>
      <c r="S2119" s="100"/>
      <c r="T2119" s="100"/>
      <c r="U2119" s="100"/>
      <c r="V2119" s="100"/>
      <c r="W2119" s="100"/>
      <c r="X2119" s="100"/>
      <c r="Y2119" s="100"/>
      <c r="Z2119" s="100"/>
      <c r="AA2119" s="100"/>
    </row>
    <row r="2120" spans="2:27">
      <c r="B2120" s="100"/>
      <c r="C2120" s="100"/>
      <c r="D2120" s="100"/>
      <c r="E2120" s="100"/>
      <c r="F2120" s="100"/>
      <c r="G2120" s="100"/>
      <c r="H2120" s="100"/>
      <c r="I2120" s="100"/>
      <c r="J2120" s="100"/>
      <c r="K2120" s="100"/>
      <c r="L2120" s="100"/>
      <c r="M2120" s="100"/>
      <c r="N2120" s="100"/>
      <c r="O2120" s="100"/>
      <c r="P2120" s="100"/>
      <c r="Q2120" s="100"/>
      <c r="R2120" s="100"/>
      <c r="S2120" s="100"/>
      <c r="T2120" s="100"/>
      <c r="U2120" s="100"/>
      <c r="V2120" s="100"/>
      <c r="W2120" s="100"/>
      <c r="X2120" s="100"/>
      <c r="Y2120" s="100"/>
      <c r="Z2120" s="100"/>
      <c r="AA2120" s="100"/>
    </row>
    <row r="2121" spans="2:27">
      <c r="B2121" s="100"/>
      <c r="C2121" s="100"/>
      <c r="D2121" s="100"/>
      <c r="E2121" s="100"/>
      <c r="F2121" s="100"/>
      <c r="G2121" s="100"/>
      <c r="H2121" s="100"/>
      <c r="I2121" s="100"/>
      <c r="J2121" s="100"/>
      <c r="K2121" s="100"/>
      <c r="L2121" s="100"/>
      <c r="M2121" s="100"/>
      <c r="N2121" s="100"/>
      <c r="O2121" s="100"/>
      <c r="P2121" s="100"/>
      <c r="Q2121" s="100"/>
      <c r="R2121" s="100"/>
      <c r="S2121" s="100"/>
      <c r="T2121" s="100"/>
      <c r="U2121" s="100"/>
      <c r="V2121" s="100"/>
      <c r="W2121" s="100"/>
      <c r="X2121" s="100"/>
      <c r="Y2121" s="100"/>
      <c r="Z2121" s="100"/>
      <c r="AA2121" s="100"/>
    </row>
    <row r="2122" spans="2:27">
      <c r="B2122" s="100"/>
      <c r="C2122" s="100"/>
      <c r="D2122" s="100"/>
      <c r="E2122" s="100"/>
      <c r="F2122" s="100"/>
      <c r="G2122" s="100"/>
      <c r="H2122" s="100"/>
      <c r="I2122" s="100"/>
      <c r="J2122" s="100"/>
      <c r="K2122" s="100"/>
      <c r="L2122" s="100"/>
      <c r="M2122" s="100"/>
      <c r="N2122" s="100"/>
      <c r="O2122" s="100"/>
      <c r="P2122" s="100"/>
      <c r="Q2122" s="100"/>
      <c r="R2122" s="100"/>
      <c r="S2122" s="100"/>
      <c r="T2122" s="100"/>
      <c r="U2122" s="100"/>
      <c r="V2122" s="100"/>
      <c r="W2122" s="100"/>
      <c r="X2122" s="100"/>
      <c r="Y2122" s="100"/>
      <c r="Z2122" s="100"/>
      <c r="AA2122" s="100"/>
    </row>
    <row r="2123" spans="2:27">
      <c r="B2123" s="100"/>
      <c r="C2123" s="100"/>
      <c r="D2123" s="100"/>
      <c r="E2123" s="100"/>
      <c r="F2123" s="100"/>
      <c r="G2123" s="100"/>
      <c r="H2123" s="100"/>
      <c r="I2123" s="100"/>
      <c r="J2123" s="100"/>
      <c r="K2123" s="100"/>
      <c r="L2123" s="100"/>
      <c r="M2123" s="100"/>
      <c r="N2123" s="100"/>
      <c r="O2123" s="100"/>
      <c r="P2123" s="100"/>
      <c r="Q2123" s="100"/>
      <c r="R2123" s="100"/>
      <c r="S2123" s="100"/>
      <c r="T2123" s="100"/>
      <c r="U2123" s="100"/>
      <c r="V2123" s="100"/>
      <c r="W2123" s="100"/>
      <c r="X2123" s="100"/>
      <c r="Y2123" s="100"/>
      <c r="Z2123" s="100"/>
      <c r="AA2123" s="100"/>
    </row>
    <row r="2124" spans="2:27">
      <c r="B2124" s="100"/>
      <c r="C2124" s="100"/>
      <c r="D2124" s="100"/>
      <c r="E2124" s="100"/>
      <c r="F2124" s="100"/>
      <c r="G2124" s="100"/>
      <c r="H2124" s="100"/>
      <c r="I2124" s="100"/>
      <c r="J2124" s="100"/>
      <c r="K2124" s="100"/>
      <c r="L2124" s="100"/>
      <c r="M2124" s="100"/>
      <c r="N2124" s="100"/>
      <c r="O2124" s="100"/>
      <c r="P2124" s="100"/>
      <c r="Q2124" s="100"/>
      <c r="R2124" s="100"/>
      <c r="S2124" s="100"/>
      <c r="T2124" s="100"/>
      <c r="U2124" s="100"/>
      <c r="V2124" s="100"/>
      <c r="W2124" s="100"/>
      <c r="X2124" s="100"/>
      <c r="Y2124" s="100"/>
      <c r="Z2124" s="100"/>
      <c r="AA2124" s="100"/>
    </row>
    <row r="2125" spans="2:27">
      <c r="B2125" s="100"/>
      <c r="C2125" s="100"/>
      <c r="D2125" s="100"/>
      <c r="E2125" s="100"/>
      <c r="F2125" s="100"/>
      <c r="G2125" s="100"/>
      <c r="H2125" s="100"/>
      <c r="I2125" s="100"/>
      <c r="J2125" s="100"/>
      <c r="K2125" s="100"/>
      <c r="L2125" s="100"/>
      <c r="M2125" s="100"/>
      <c r="N2125" s="100"/>
      <c r="O2125" s="100"/>
      <c r="P2125" s="100"/>
      <c r="Q2125" s="100"/>
      <c r="R2125" s="100"/>
      <c r="S2125" s="100"/>
      <c r="T2125" s="100"/>
      <c r="U2125" s="100"/>
      <c r="V2125" s="100"/>
      <c r="W2125" s="100"/>
      <c r="X2125" s="100"/>
      <c r="Y2125" s="100"/>
      <c r="Z2125" s="100"/>
      <c r="AA2125" s="100"/>
    </row>
    <row r="2126" spans="2:27">
      <c r="B2126" s="100"/>
      <c r="C2126" s="100"/>
      <c r="D2126" s="100"/>
      <c r="E2126" s="100"/>
      <c r="F2126" s="100"/>
      <c r="G2126" s="100"/>
      <c r="H2126" s="100"/>
      <c r="I2126" s="100"/>
      <c r="J2126" s="100"/>
      <c r="K2126" s="100"/>
      <c r="L2126" s="100"/>
      <c r="M2126" s="100"/>
      <c r="N2126" s="100"/>
      <c r="O2126" s="100"/>
      <c r="P2126" s="100"/>
      <c r="Q2126" s="100"/>
      <c r="R2126" s="100"/>
      <c r="S2126" s="100"/>
      <c r="T2126" s="100"/>
      <c r="U2126" s="100"/>
      <c r="V2126" s="100"/>
      <c r="W2126" s="100"/>
      <c r="X2126" s="100"/>
      <c r="Y2126" s="100"/>
      <c r="Z2126" s="100"/>
      <c r="AA2126" s="100"/>
    </row>
    <row r="2127" spans="2:27">
      <c r="B2127" s="100"/>
      <c r="C2127" s="100"/>
      <c r="D2127" s="100"/>
      <c r="E2127" s="100"/>
      <c r="F2127" s="100"/>
      <c r="G2127" s="100"/>
      <c r="H2127" s="100"/>
      <c r="I2127" s="100"/>
      <c r="J2127" s="100"/>
      <c r="K2127" s="100"/>
      <c r="L2127" s="100"/>
      <c r="M2127" s="100"/>
      <c r="N2127" s="100"/>
      <c r="O2127" s="100"/>
      <c r="P2127" s="100"/>
      <c r="Q2127" s="100"/>
      <c r="R2127" s="100"/>
      <c r="S2127" s="100"/>
      <c r="T2127" s="100"/>
      <c r="U2127" s="100"/>
      <c r="V2127" s="100"/>
      <c r="W2127" s="100"/>
      <c r="X2127" s="100"/>
      <c r="Y2127" s="100"/>
      <c r="Z2127" s="100"/>
      <c r="AA2127" s="100"/>
    </row>
    <row r="2128" spans="2:27">
      <c r="B2128" s="100"/>
      <c r="C2128" s="100"/>
      <c r="D2128" s="100"/>
      <c r="E2128" s="100"/>
      <c r="F2128" s="100"/>
      <c r="G2128" s="100"/>
      <c r="H2128" s="100"/>
      <c r="I2128" s="100"/>
      <c r="J2128" s="100"/>
      <c r="K2128" s="100"/>
      <c r="L2128" s="100"/>
      <c r="M2128" s="100"/>
      <c r="N2128" s="100"/>
      <c r="O2128" s="100"/>
      <c r="P2128" s="100"/>
      <c r="Q2128" s="100"/>
      <c r="R2128" s="100"/>
      <c r="S2128" s="100"/>
      <c r="T2128" s="100"/>
      <c r="U2128" s="100"/>
      <c r="V2128" s="100"/>
      <c r="W2128" s="100"/>
      <c r="X2128" s="100"/>
      <c r="Y2128" s="100"/>
      <c r="Z2128" s="100"/>
      <c r="AA2128" s="100"/>
    </row>
    <row r="2129" spans="2:27">
      <c r="B2129" s="100"/>
      <c r="C2129" s="100"/>
      <c r="D2129" s="100"/>
      <c r="E2129" s="100"/>
      <c r="F2129" s="100"/>
      <c r="G2129" s="100"/>
      <c r="H2129" s="100"/>
      <c r="I2129" s="100"/>
      <c r="J2129" s="100"/>
      <c r="K2129" s="100"/>
      <c r="L2129" s="100"/>
      <c r="M2129" s="100"/>
      <c r="N2129" s="100"/>
      <c r="O2129" s="100"/>
      <c r="P2129" s="100"/>
      <c r="Q2129" s="100"/>
      <c r="R2129" s="100"/>
      <c r="S2129" s="100"/>
      <c r="T2129" s="100"/>
      <c r="U2129" s="100"/>
      <c r="V2129" s="100"/>
      <c r="W2129" s="100"/>
      <c r="X2129" s="100"/>
      <c r="Y2129" s="100"/>
      <c r="Z2129" s="100"/>
      <c r="AA2129" s="100"/>
    </row>
    <row r="2130" spans="2:27">
      <c r="B2130" s="100"/>
      <c r="C2130" s="100"/>
      <c r="D2130" s="100"/>
      <c r="E2130" s="100"/>
      <c r="F2130" s="100"/>
      <c r="G2130" s="100"/>
      <c r="H2130" s="100"/>
      <c r="I2130" s="100"/>
      <c r="J2130" s="100"/>
      <c r="K2130" s="100"/>
      <c r="L2130" s="100"/>
      <c r="M2130" s="100"/>
      <c r="N2130" s="100"/>
      <c r="O2130" s="100"/>
      <c r="P2130" s="100"/>
      <c r="Q2130" s="100"/>
      <c r="R2130" s="100"/>
      <c r="S2130" s="100"/>
      <c r="T2130" s="100"/>
      <c r="U2130" s="100"/>
      <c r="V2130" s="100"/>
      <c r="W2130" s="100"/>
      <c r="X2130" s="100"/>
      <c r="Y2130" s="100"/>
      <c r="Z2130" s="100"/>
      <c r="AA2130" s="100"/>
    </row>
    <row r="2131" spans="2:27">
      <c r="B2131" s="100"/>
      <c r="C2131" s="100"/>
      <c r="D2131" s="100"/>
      <c r="E2131" s="100"/>
      <c r="F2131" s="100"/>
      <c r="G2131" s="100"/>
      <c r="H2131" s="100"/>
      <c r="I2131" s="100"/>
      <c r="J2131" s="100"/>
      <c r="K2131" s="100"/>
      <c r="L2131" s="100"/>
      <c r="M2131" s="100"/>
      <c r="N2131" s="100"/>
      <c r="O2131" s="100"/>
      <c r="P2131" s="100"/>
      <c r="Q2131" s="100"/>
      <c r="R2131" s="100"/>
      <c r="S2131" s="100"/>
      <c r="T2131" s="100"/>
      <c r="U2131" s="100"/>
      <c r="V2131" s="100"/>
      <c r="W2131" s="100"/>
      <c r="X2131" s="100"/>
      <c r="Y2131" s="100"/>
      <c r="Z2131" s="100"/>
      <c r="AA2131" s="100"/>
    </row>
    <row r="2132" spans="2:27">
      <c r="B2132" s="100"/>
      <c r="C2132" s="100"/>
      <c r="D2132" s="100"/>
      <c r="E2132" s="100"/>
      <c r="F2132" s="100"/>
      <c r="G2132" s="100"/>
      <c r="H2132" s="100"/>
      <c r="I2132" s="100"/>
      <c r="J2132" s="100"/>
      <c r="K2132" s="100"/>
      <c r="L2132" s="100"/>
      <c r="M2132" s="100"/>
      <c r="N2132" s="100"/>
      <c r="O2132" s="100"/>
      <c r="P2132" s="100"/>
      <c r="Q2132" s="100"/>
      <c r="R2132" s="100"/>
      <c r="S2132" s="100"/>
      <c r="T2132" s="100"/>
      <c r="U2132" s="100"/>
      <c r="V2132" s="100"/>
      <c r="W2132" s="100"/>
      <c r="X2132" s="100"/>
      <c r="Y2132" s="100"/>
      <c r="Z2132" s="100"/>
      <c r="AA2132" s="100"/>
    </row>
    <row r="2133" spans="2:27">
      <c r="B2133" s="100"/>
      <c r="C2133" s="100"/>
      <c r="D2133" s="100"/>
      <c r="E2133" s="100"/>
      <c r="F2133" s="100"/>
      <c r="G2133" s="100"/>
      <c r="H2133" s="100"/>
      <c r="I2133" s="100"/>
      <c r="J2133" s="100"/>
      <c r="K2133" s="100"/>
      <c r="L2133" s="100"/>
      <c r="M2133" s="100"/>
      <c r="N2133" s="100"/>
      <c r="O2133" s="100"/>
      <c r="P2133" s="100"/>
      <c r="Q2133" s="100"/>
      <c r="R2133" s="100"/>
      <c r="S2133" s="100"/>
      <c r="T2133" s="100"/>
      <c r="U2133" s="100"/>
      <c r="V2133" s="100"/>
      <c r="W2133" s="100"/>
      <c r="X2133" s="100"/>
      <c r="Y2133" s="100"/>
      <c r="Z2133" s="100"/>
      <c r="AA2133" s="100"/>
    </row>
    <row r="2134" spans="2:27">
      <c r="B2134" s="100"/>
      <c r="C2134" s="100"/>
      <c r="D2134" s="100"/>
      <c r="E2134" s="100"/>
      <c r="F2134" s="100"/>
      <c r="G2134" s="100"/>
      <c r="H2134" s="100"/>
      <c r="I2134" s="100"/>
      <c r="J2134" s="100"/>
      <c r="K2134" s="100"/>
      <c r="L2134" s="100"/>
      <c r="M2134" s="100"/>
      <c r="N2134" s="100"/>
      <c r="O2134" s="100"/>
      <c r="P2134" s="100"/>
      <c r="Q2134" s="100"/>
      <c r="R2134" s="100"/>
      <c r="S2134" s="100"/>
      <c r="T2134" s="100"/>
      <c r="U2134" s="100"/>
      <c r="V2134" s="100"/>
      <c r="W2134" s="100"/>
      <c r="X2134" s="100"/>
      <c r="Y2134" s="100"/>
      <c r="Z2134" s="100"/>
      <c r="AA2134" s="100"/>
    </row>
    <row r="2135" spans="2:27">
      <c r="B2135" s="100"/>
      <c r="C2135" s="100"/>
      <c r="D2135" s="100"/>
      <c r="E2135" s="100"/>
      <c r="F2135" s="100"/>
      <c r="G2135" s="100"/>
      <c r="H2135" s="100"/>
      <c r="I2135" s="100"/>
      <c r="J2135" s="100"/>
      <c r="K2135" s="100"/>
      <c r="L2135" s="100"/>
      <c r="M2135" s="100"/>
      <c r="N2135" s="100"/>
      <c r="O2135" s="100"/>
      <c r="P2135" s="100"/>
      <c r="Q2135" s="100"/>
      <c r="R2135" s="100"/>
      <c r="S2135" s="100"/>
      <c r="T2135" s="100"/>
      <c r="U2135" s="100"/>
      <c r="V2135" s="100"/>
      <c r="W2135" s="100"/>
      <c r="X2135" s="100"/>
      <c r="Y2135" s="100"/>
      <c r="Z2135" s="100"/>
      <c r="AA2135" s="100"/>
    </row>
    <row r="2136" spans="2:27">
      <c r="B2136" s="100"/>
      <c r="C2136" s="100"/>
      <c r="D2136" s="100"/>
      <c r="E2136" s="100"/>
      <c r="F2136" s="100"/>
      <c r="G2136" s="100"/>
      <c r="H2136" s="100"/>
      <c r="I2136" s="100"/>
      <c r="J2136" s="100"/>
      <c r="K2136" s="100"/>
      <c r="L2136" s="100"/>
      <c r="M2136" s="100"/>
      <c r="N2136" s="100"/>
      <c r="O2136" s="100"/>
      <c r="P2136" s="100"/>
      <c r="Q2136" s="100"/>
      <c r="R2136" s="100"/>
      <c r="S2136" s="100"/>
      <c r="T2136" s="100"/>
      <c r="U2136" s="100"/>
      <c r="V2136" s="100"/>
      <c r="W2136" s="100"/>
      <c r="X2136" s="100"/>
      <c r="Y2136" s="100"/>
      <c r="Z2136" s="100"/>
      <c r="AA2136" s="100"/>
    </row>
    <row r="2137" spans="2:27">
      <c r="B2137" s="100"/>
      <c r="C2137" s="100"/>
      <c r="D2137" s="100"/>
      <c r="E2137" s="100"/>
      <c r="F2137" s="100"/>
      <c r="G2137" s="100"/>
      <c r="H2137" s="100"/>
      <c r="I2137" s="100"/>
      <c r="J2137" s="100"/>
      <c r="K2137" s="100"/>
      <c r="L2137" s="100"/>
      <c r="M2137" s="100"/>
      <c r="N2137" s="100"/>
      <c r="O2137" s="100"/>
      <c r="P2137" s="100"/>
      <c r="Q2137" s="100"/>
      <c r="R2137" s="100"/>
      <c r="S2137" s="100"/>
      <c r="T2137" s="100"/>
      <c r="U2137" s="100"/>
      <c r="V2137" s="100"/>
      <c r="W2137" s="100"/>
      <c r="X2137" s="100"/>
      <c r="Y2137" s="100"/>
      <c r="Z2137" s="100"/>
      <c r="AA2137" s="100"/>
    </row>
    <row r="2138" spans="2:27">
      <c r="B2138" s="100"/>
      <c r="C2138" s="100"/>
      <c r="D2138" s="100"/>
      <c r="E2138" s="100"/>
      <c r="F2138" s="100"/>
      <c r="G2138" s="100"/>
      <c r="H2138" s="100"/>
      <c r="I2138" s="100"/>
      <c r="J2138" s="100"/>
      <c r="K2138" s="100"/>
      <c r="L2138" s="100"/>
      <c r="M2138" s="100"/>
      <c r="N2138" s="100"/>
      <c r="O2138" s="100"/>
      <c r="P2138" s="100"/>
      <c r="Q2138" s="100"/>
      <c r="R2138" s="100"/>
      <c r="S2138" s="100"/>
      <c r="T2138" s="100"/>
      <c r="U2138" s="100"/>
      <c r="V2138" s="100"/>
      <c r="W2138" s="100"/>
      <c r="X2138" s="100"/>
      <c r="Y2138" s="100"/>
      <c r="Z2138" s="100"/>
      <c r="AA2138" s="100"/>
    </row>
    <row r="2139" spans="2:27">
      <c r="B2139" s="100"/>
      <c r="C2139" s="100"/>
      <c r="D2139" s="100"/>
      <c r="E2139" s="100"/>
      <c r="F2139" s="100"/>
      <c r="G2139" s="100"/>
      <c r="H2139" s="100"/>
      <c r="I2139" s="100"/>
      <c r="J2139" s="100"/>
      <c r="K2139" s="100"/>
      <c r="L2139" s="100"/>
      <c r="M2139" s="100"/>
      <c r="N2139" s="100"/>
      <c r="O2139" s="100"/>
      <c r="P2139" s="100"/>
      <c r="Q2139" s="100"/>
      <c r="R2139" s="100"/>
      <c r="S2139" s="100"/>
      <c r="T2139" s="100"/>
      <c r="U2139" s="100"/>
      <c r="V2139" s="100"/>
      <c r="W2139" s="100"/>
      <c r="X2139" s="100"/>
      <c r="Y2139" s="100"/>
      <c r="Z2139" s="100"/>
      <c r="AA2139" s="100"/>
    </row>
    <row r="2140" spans="2:27">
      <c r="B2140" s="100"/>
      <c r="C2140" s="100"/>
      <c r="D2140" s="100"/>
      <c r="E2140" s="100"/>
      <c r="F2140" s="100"/>
      <c r="G2140" s="100"/>
      <c r="H2140" s="100"/>
      <c r="I2140" s="100"/>
      <c r="J2140" s="100"/>
      <c r="K2140" s="100"/>
      <c r="L2140" s="100"/>
      <c r="M2140" s="100"/>
      <c r="N2140" s="100"/>
      <c r="O2140" s="100"/>
      <c r="P2140" s="100"/>
      <c r="Q2140" s="100"/>
      <c r="R2140" s="100"/>
      <c r="S2140" s="100"/>
      <c r="T2140" s="100"/>
      <c r="U2140" s="100"/>
      <c r="V2140" s="100"/>
      <c r="W2140" s="100"/>
      <c r="X2140" s="100"/>
      <c r="Y2140" s="100"/>
      <c r="Z2140" s="100"/>
      <c r="AA2140" s="100"/>
    </row>
    <row r="2141" spans="2:27">
      <c r="B2141" s="100"/>
      <c r="C2141" s="100"/>
      <c r="D2141" s="100"/>
      <c r="E2141" s="100"/>
      <c r="F2141" s="100"/>
      <c r="G2141" s="100"/>
      <c r="H2141" s="100"/>
      <c r="I2141" s="100"/>
      <c r="J2141" s="100"/>
      <c r="K2141" s="100"/>
      <c r="L2141" s="100"/>
      <c r="M2141" s="100"/>
      <c r="N2141" s="100"/>
      <c r="O2141" s="100"/>
      <c r="P2141" s="100"/>
      <c r="Q2141" s="100"/>
      <c r="R2141" s="100"/>
      <c r="S2141" s="100"/>
      <c r="T2141" s="100"/>
      <c r="U2141" s="100"/>
      <c r="V2141" s="100"/>
      <c r="W2141" s="100"/>
      <c r="X2141" s="100"/>
      <c r="Y2141" s="100"/>
      <c r="Z2141" s="100"/>
      <c r="AA2141" s="100"/>
    </row>
    <row r="2142" spans="2:27">
      <c r="B2142" s="100"/>
      <c r="C2142" s="100"/>
      <c r="D2142" s="100"/>
      <c r="E2142" s="100"/>
      <c r="F2142" s="100"/>
      <c r="G2142" s="100"/>
      <c r="H2142" s="100"/>
      <c r="I2142" s="100"/>
      <c r="J2142" s="100"/>
      <c r="K2142" s="100"/>
      <c r="L2142" s="100"/>
      <c r="M2142" s="100"/>
      <c r="N2142" s="100"/>
      <c r="O2142" s="100"/>
      <c r="P2142" s="100"/>
      <c r="Q2142" s="100"/>
      <c r="R2142" s="100"/>
      <c r="S2142" s="100"/>
      <c r="T2142" s="100"/>
      <c r="U2142" s="100"/>
      <c r="V2142" s="100"/>
      <c r="W2142" s="100"/>
      <c r="X2142" s="100"/>
      <c r="Y2142" s="100"/>
      <c r="Z2142" s="100"/>
      <c r="AA2142" s="100"/>
    </row>
    <row r="2143" spans="2:27">
      <c r="B2143" s="100"/>
      <c r="C2143" s="100"/>
      <c r="D2143" s="100"/>
      <c r="E2143" s="100"/>
      <c r="F2143" s="100"/>
      <c r="G2143" s="100"/>
      <c r="H2143" s="100"/>
      <c r="I2143" s="100"/>
      <c r="J2143" s="100"/>
      <c r="K2143" s="100"/>
      <c r="L2143" s="100"/>
      <c r="M2143" s="100"/>
      <c r="N2143" s="100"/>
      <c r="O2143" s="100"/>
      <c r="P2143" s="100"/>
      <c r="Q2143" s="100"/>
      <c r="R2143" s="100"/>
      <c r="S2143" s="100"/>
      <c r="T2143" s="100"/>
      <c r="U2143" s="100"/>
      <c r="V2143" s="100"/>
      <c r="W2143" s="100"/>
      <c r="X2143" s="100"/>
      <c r="Y2143" s="100"/>
      <c r="Z2143" s="100"/>
      <c r="AA2143" s="100"/>
    </row>
    <row r="2144" spans="2:27">
      <c r="B2144" s="100"/>
      <c r="C2144" s="100"/>
      <c r="D2144" s="100"/>
      <c r="E2144" s="100"/>
      <c r="F2144" s="100"/>
      <c r="G2144" s="100"/>
      <c r="H2144" s="100"/>
      <c r="I2144" s="100"/>
      <c r="J2144" s="100"/>
      <c r="K2144" s="100"/>
      <c r="L2144" s="100"/>
      <c r="M2144" s="100"/>
      <c r="N2144" s="100"/>
      <c r="O2144" s="100"/>
      <c r="P2144" s="100"/>
      <c r="Q2144" s="100"/>
      <c r="R2144" s="100"/>
      <c r="S2144" s="100"/>
      <c r="T2144" s="100"/>
      <c r="U2144" s="100"/>
      <c r="V2144" s="100"/>
      <c r="W2144" s="100"/>
      <c r="X2144" s="100"/>
      <c r="Y2144" s="100"/>
      <c r="Z2144" s="100"/>
      <c r="AA2144" s="100"/>
    </row>
    <row r="2145" spans="2:27">
      <c r="B2145" s="100"/>
      <c r="C2145" s="100"/>
      <c r="D2145" s="100"/>
      <c r="E2145" s="100"/>
      <c r="F2145" s="100"/>
      <c r="G2145" s="100"/>
      <c r="H2145" s="100"/>
      <c r="I2145" s="100"/>
      <c r="J2145" s="100"/>
      <c r="K2145" s="100"/>
      <c r="L2145" s="100"/>
      <c r="M2145" s="100"/>
      <c r="N2145" s="100"/>
      <c r="O2145" s="100"/>
      <c r="P2145" s="100"/>
      <c r="Q2145" s="100"/>
      <c r="R2145" s="100"/>
      <c r="S2145" s="100"/>
      <c r="T2145" s="100"/>
      <c r="U2145" s="100"/>
      <c r="V2145" s="100"/>
      <c r="W2145" s="100"/>
      <c r="X2145" s="100"/>
      <c r="Y2145" s="100"/>
      <c r="Z2145" s="100"/>
      <c r="AA2145" s="100"/>
    </row>
    <row r="2146" spans="2:27">
      <c r="B2146" s="100"/>
      <c r="C2146" s="100"/>
      <c r="D2146" s="100"/>
      <c r="E2146" s="100"/>
      <c r="F2146" s="100"/>
      <c r="G2146" s="100"/>
      <c r="H2146" s="100"/>
      <c r="I2146" s="100"/>
      <c r="J2146" s="100"/>
      <c r="K2146" s="100"/>
      <c r="L2146" s="100"/>
      <c r="M2146" s="100"/>
      <c r="N2146" s="100"/>
      <c r="O2146" s="100"/>
      <c r="P2146" s="100"/>
      <c r="Q2146" s="100"/>
      <c r="R2146" s="100"/>
      <c r="S2146" s="100"/>
      <c r="T2146" s="100"/>
      <c r="U2146" s="100"/>
      <c r="V2146" s="100"/>
      <c r="W2146" s="100"/>
      <c r="X2146" s="100"/>
      <c r="Y2146" s="100"/>
      <c r="Z2146" s="100"/>
      <c r="AA2146" s="100"/>
    </row>
    <row r="2147" spans="2:27">
      <c r="B2147" s="100"/>
      <c r="C2147" s="100"/>
      <c r="D2147" s="100"/>
      <c r="E2147" s="100"/>
      <c r="F2147" s="100"/>
      <c r="G2147" s="100"/>
      <c r="H2147" s="100"/>
      <c r="I2147" s="100"/>
      <c r="J2147" s="100"/>
      <c r="K2147" s="100"/>
      <c r="L2147" s="100"/>
      <c r="M2147" s="100"/>
      <c r="N2147" s="100"/>
      <c r="O2147" s="100"/>
      <c r="P2147" s="100"/>
      <c r="Q2147" s="100"/>
      <c r="R2147" s="100"/>
      <c r="S2147" s="100"/>
      <c r="T2147" s="100"/>
      <c r="U2147" s="100"/>
      <c r="V2147" s="100"/>
      <c r="W2147" s="100"/>
      <c r="X2147" s="100"/>
      <c r="Y2147" s="100"/>
      <c r="Z2147" s="100"/>
      <c r="AA2147" s="100"/>
    </row>
    <row r="2148" spans="2:27">
      <c r="B2148" s="100"/>
      <c r="C2148" s="100"/>
      <c r="D2148" s="100"/>
      <c r="E2148" s="100"/>
      <c r="F2148" s="100"/>
      <c r="G2148" s="100"/>
      <c r="H2148" s="100"/>
      <c r="I2148" s="100"/>
      <c r="J2148" s="100"/>
      <c r="K2148" s="100"/>
      <c r="L2148" s="100"/>
      <c r="M2148" s="100"/>
      <c r="N2148" s="100"/>
      <c r="O2148" s="100"/>
      <c r="P2148" s="100"/>
      <c r="Q2148" s="100"/>
      <c r="R2148" s="100"/>
      <c r="S2148" s="100"/>
      <c r="T2148" s="100"/>
      <c r="U2148" s="100"/>
      <c r="V2148" s="100"/>
      <c r="W2148" s="100"/>
      <c r="X2148" s="100"/>
      <c r="Y2148" s="100"/>
      <c r="Z2148" s="100"/>
      <c r="AA2148" s="100"/>
    </row>
    <row r="2149" spans="2:27">
      <c r="B2149" s="100"/>
      <c r="C2149" s="100"/>
      <c r="D2149" s="100"/>
      <c r="E2149" s="100"/>
      <c r="F2149" s="100"/>
      <c r="G2149" s="100"/>
      <c r="H2149" s="100"/>
      <c r="I2149" s="100"/>
      <c r="J2149" s="100"/>
      <c r="K2149" s="100"/>
      <c r="L2149" s="100"/>
      <c r="M2149" s="100"/>
      <c r="N2149" s="100"/>
      <c r="O2149" s="100"/>
      <c r="P2149" s="100"/>
      <c r="Q2149" s="100"/>
      <c r="R2149" s="100"/>
      <c r="S2149" s="100"/>
      <c r="T2149" s="100"/>
      <c r="U2149" s="100"/>
      <c r="V2149" s="100"/>
      <c r="W2149" s="100"/>
      <c r="X2149" s="100"/>
      <c r="Y2149" s="100"/>
      <c r="Z2149" s="100"/>
      <c r="AA2149" s="100"/>
    </row>
    <row r="2150" spans="2:27">
      <c r="B2150" s="100"/>
      <c r="C2150" s="100"/>
      <c r="D2150" s="100"/>
      <c r="E2150" s="100"/>
      <c r="F2150" s="100"/>
      <c r="G2150" s="100"/>
      <c r="H2150" s="100"/>
      <c r="I2150" s="100"/>
      <c r="J2150" s="100"/>
      <c r="K2150" s="100"/>
      <c r="L2150" s="100"/>
      <c r="M2150" s="100"/>
      <c r="N2150" s="100"/>
      <c r="O2150" s="100"/>
      <c r="P2150" s="100"/>
      <c r="Q2150" s="100"/>
      <c r="R2150" s="100"/>
      <c r="S2150" s="100"/>
      <c r="T2150" s="100"/>
      <c r="U2150" s="100"/>
      <c r="V2150" s="100"/>
      <c r="W2150" s="100"/>
      <c r="X2150" s="100"/>
      <c r="Y2150" s="100"/>
      <c r="Z2150" s="100"/>
      <c r="AA2150" s="100"/>
    </row>
    <row r="2151" spans="2:27">
      <c r="B2151" s="100"/>
      <c r="C2151" s="100"/>
      <c r="D2151" s="100"/>
      <c r="E2151" s="100"/>
      <c r="F2151" s="100"/>
      <c r="G2151" s="100"/>
      <c r="H2151" s="100"/>
      <c r="I2151" s="100"/>
      <c r="J2151" s="100"/>
      <c r="K2151" s="100"/>
      <c r="L2151" s="100"/>
      <c r="M2151" s="100"/>
      <c r="N2151" s="100"/>
      <c r="O2151" s="100"/>
      <c r="P2151" s="100"/>
      <c r="Q2151" s="100"/>
      <c r="R2151" s="100"/>
      <c r="S2151" s="100"/>
      <c r="T2151" s="100"/>
      <c r="U2151" s="100"/>
      <c r="V2151" s="100"/>
      <c r="W2151" s="100"/>
      <c r="X2151" s="100"/>
      <c r="Y2151" s="100"/>
      <c r="Z2151" s="100"/>
      <c r="AA2151" s="100"/>
    </row>
    <row r="2152" spans="2:27">
      <c r="B2152" s="100"/>
      <c r="C2152" s="100"/>
      <c r="D2152" s="100"/>
      <c r="E2152" s="100"/>
      <c r="F2152" s="100"/>
      <c r="G2152" s="100"/>
      <c r="H2152" s="100"/>
      <c r="I2152" s="100"/>
      <c r="J2152" s="100"/>
      <c r="K2152" s="100"/>
      <c r="L2152" s="100"/>
      <c r="M2152" s="100"/>
      <c r="N2152" s="100"/>
      <c r="O2152" s="100"/>
      <c r="P2152" s="100"/>
      <c r="Q2152" s="100"/>
      <c r="R2152" s="100"/>
      <c r="S2152" s="100"/>
      <c r="T2152" s="100"/>
      <c r="U2152" s="100"/>
      <c r="V2152" s="100"/>
      <c r="W2152" s="100"/>
      <c r="X2152" s="100"/>
      <c r="Y2152" s="100"/>
      <c r="Z2152" s="100"/>
      <c r="AA2152" s="100"/>
    </row>
    <row r="2153" spans="2:27">
      <c r="B2153" s="100"/>
      <c r="C2153" s="100"/>
      <c r="D2153" s="100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  <c r="AA2153" s="100"/>
    </row>
    <row r="2154" spans="2:27">
      <c r="B2154" s="100"/>
      <c r="C2154" s="100"/>
      <c r="D2154" s="100"/>
      <c r="E2154" s="100"/>
      <c r="F2154" s="100"/>
      <c r="G2154" s="100"/>
      <c r="H2154" s="100"/>
      <c r="I2154" s="100"/>
      <c r="J2154" s="100"/>
      <c r="K2154" s="100"/>
      <c r="L2154" s="100"/>
      <c r="M2154" s="100"/>
      <c r="N2154" s="100"/>
      <c r="O2154" s="100"/>
      <c r="P2154" s="100"/>
      <c r="Q2154" s="100"/>
      <c r="R2154" s="100"/>
      <c r="S2154" s="100"/>
      <c r="T2154" s="100"/>
      <c r="U2154" s="100"/>
      <c r="V2154" s="100"/>
      <c r="W2154" s="100"/>
      <c r="X2154" s="100"/>
      <c r="Y2154" s="100"/>
      <c r="Z2154" s="100"/>
      <c r="AA2154" s="100"/>
    </row>
    <row r="2155" spans="2:27">
      <c r="B2155" s="100"/>
      <c r="C2155" s="100"/>
      <c r="D2155" s="100"/>
      <c r="E2155" s="100"/>
      <c r="F2155" s="100"/>
      <c r="G2155" s="100"/>
      <c r="H2155" s="100"/>
      <c r="I2155" s="100"/>
      <c r="J2155" s="100"/>
      <c r="K2155" s="100"/>
      <c r="L2155" s="100"/>
      <c r="M2155" s="100"/>
      <c r="N2155" s="100"/>
      <c r="O2155" s="100"/>
      <c r="P2155" s="100"/>
      <c r="Q2155" s="100"/>
      <c r="R2155" s="100"/>
      <c r="S2155" s="100"/>
      <c r="T2155" s="100"/>
      <c r="U2155" s="100"/>
      <c r="V2155" s="100"/>
      <c r="W2155" s="100"/>
      <c r="X2155" s="100"/>
      <c r="Y2155" s="100"/>
      <c r="Z2155" s="100"/>
      <c r="AA2155" s="100"/>
    </row>
    <row r="2156" spans="2:27">
      <c r="B2156" s="100"/>
      <c r="C2156" s="100"/>
      <c r="D2156" s="100"/>
      <c r="E2156" s="100"/>
      <c r="F2156" s="100"/>
      <c r="G2156" s="100"/>
      <c r="H2156" s="100"/>
      <c r="I2156" s="100"/>
      <c r="J2156" s="100"/>
      <c r="K2156" s="100"/>
      <c r="L2156" s="100"/>
      <c r="M2156" s="100"/>
      <c r="N2156" s="100"/>
      <c r="O2156" s="100"/>
      <c r="P2156" s="100"/>
      <c r="Q2156" s="100"/>
      <c r="R2156" s="100"/>
      <c r="S2156" s="100"/>
      <c r="T2156" s="100"/>
      <c r="U2156" s="100"/>
      <c r="V2156" s="100"/>
      <c r="W2156" s="100"/>
      <c r="X2156" s="100"/>
      <c r="Y2156" s="100"/>
      <c r="Z2156" s="100"/>
      <c r="AA2156" s="100"/>
    </row>
    <row r="2157" spans="2:27">
      <c r="B2157" s="100"/>
      <c r="C2157" s="100"/>
      <c r="D2157" s="100"/>
      <c r="E2157" s="100"/>
      <c r="F2157" s="100"/>
      <c r="G2157" s="100"/>
      <c r="H2157" s="100"/>
      <c r="I2157" s="100"/>
      <c r="J2157" s="100"/>
      <c r="K2157" s="100"/>
      <c r="L2157" s="100"/>
      <c r="M2157" s="100"/>
      <c r="N2157" s="100"/>
      <c r="O2157" s="100"/>
      <c r="P2157" s="100"/>
      <c r="Q2157" s="100"/>
      <c r="R2157" s="100"/>
      <c r="S2157" s="100"/>
      <c r="T2157" s="100"/>
      <c r="U2157" s="100"/>
      <c r="V2157" s="100"/>
      <c r="W2157" s="100"/>
      <c r="X2157" s="100"/>
      <c r="Y2157" s="100"/>
      <c r="Z2157" s="100"/>
      <c r="AA2157" s="100"/>
    </row>
    <row r="2158" spans="2:27">
      <c r="B2158" s="100"/>
      <c r="C2158" s="100"/>
      <c r="D2158" s="100"/>
      <c r="E2158" s="100"/>
      <c r="F2158" s="100"/>
      <c r="G2158" s="100"/>
      <c r="H2158" s="100"/>
      <c r="I2158" s="100"/>
      <c r="J2158" s="100"/>
      <c r="K2158" s="100"/>
      <c r="L2158" s="100"/>
      <c r="M2158" s="100"/>
      <c r="N2158" s="100"/>
      <c r="O2158" s="100"/>
      <c r="P2158" s="100"/>
      <c r="Q2158" s="100"/>
      <c r="R2158" s="100"/>
      <c r="S2158" s="100"/>
      <c r="T2158" s="100"/>
      <c r="U2158" s="100"/>
      <c r="V2158" s="100"/>
      <c r="W2158" s="100"/>
      <c r="X2158" s="100"/>
      <c r="Y2158" s="100"/>
      <c r="Z2158" s="100"/>
      <c r="AA2158" s="100"/>
    </row>
    <row r="2159" spans="2:27">
      <c r="B2159" s="100"/>
      <c r="C2159" s="100"/>
      <c r="D2159" s="100"/>
      <c r="E2159" s="100"/>
      <c r="F2159" s="100"/>
      <c r="G2159" s="100"/>
      <c r="H2159" s="100"/>
      <c r="I2159" s="100"/>
      <c r="J2159" s="100"/>
      <c r="K2159" s="100"/>
      <c r="L2159" s="100"/>
      <c r="M2159" s="100"/>
      <c r="N2159" s="100"/>
      <c r="O2159" s="100"/>
      <c r="P2159" s="100"/>
      <c r="Q2159" s="100"/>
      <c r="R2159" s="100"/>
      <c r="S2159" s="100"/>
      <c r="T2159" s="100"/>
      <c r="U2159" s="100"/>
      <c r="V2159" s="100"/>
      <c r="W2159" s="100"/>
      <c r="X2159" s="100"/>
      <c r="Y2159" s="100"/>
      <c r="Z2159" s="100"/>
      <c r="AA2159" s="100"/>
    </row>
    <row r="2160" spans="2:27">
      <c r="B2160" s="100"/>
      <c r="C2160" s="100"/>
      <c r="D2160" s="100"/>
      <c r="E2160" s="100"/>
      <c r="F2160" s="100"/>
      <c r="G2160" s="100"/>
      <c r="H2160" s="100"/>
      <c r="I2160" s="100"/>
      <c r="J2160" s="100"/>
      <c r="K2160" s="100"/>
      <c r="L2160" s="100"/>
      <c r="M2160" s="100"/>
      <c r="N2160" s="100"/>
      <c r="O2160" s="100"/>
      <c r="P2160" s="100"/>
      <c r="Q2160" s="100"/>
      <c r="R2160" s="100"/>
      <c r="S2160" s="100"/>
      <c r="T2160" s="100"/>
      <c r="U2160" s="100"/>
      <c r="V2160" s="100"/>
      <c r="W2160" s="100"/>
      <c r="X2160" s="100"/>
      <c r="Y2160" s="100"/>
      <c r="Z2160" s="100"/>
      <c r="AA2160" s="100"/>
    </row>
    <row r="2161" spans="2:27">
      <c r="B2161" s="100"/>
      <c r="C2161" s="100"/>
      <c r="D2161" s="100"/>
      <c r="E2161" s="100"/>
      <c r="F2161" s="100"/>
      <c r="G2161" s="100"/>
      <c r="H2161" s="100"/>
      <c r="I2161" s="100"/>
      <c r="J2161" s="100"/>
      <c r="K2161" s="100"/>
      <c r="L2161" s="100"/>
      <c r="M2161" s="100"/>
      <c r="N2161" s="100"/>
      <c r="O2161" s="100"/>
      <c r="P2161" s="100"/>
      <c r="Q2161" s="100"/>
      <c r="R2161" s="100"/>
      <c r="S2161" s="100"/>
      <c r="T2161" s="100"/>
      <c r="U2161" s="100"/>
      <c r="V2161" s="100"/>
      <c r="W2161" s="100"/>
      <c r="X2161" s="100"/>
      <c r="Y2161" s="100"/>
      <c r="Z2161" s="100"/>
      <c r="AA2161" s="100"/>
    </row>
    <row r="2162" spans="2:27">
      <c r="B2162" s="100"/>
      <c r="C2162" s="100"/>
      <c r="D2162" s="100"/>
      <c r="E2162" s="100"/>
      <c r="F2162" s="100"/>
      <c r="G2162" s="100"/>
      <c r="H2162" s="100"/>
      <c r="I2162" s="100"/>
      <c r="J2162" s="100"/>
      <c r="K2162" s="100"/>
      <c r="L2162" s="100"/>
      <c r="M2162" s="100"/>
      <c r="N2162" s="100"/>
      <c r="O2162" s="100"/>
      <c r="P2162" s="100"/>
      <c r="Q2162" s="100"/>
      <c r="R2162" s="100"/>
      <c r="S2162" s="100"/>
      <c r="T2162" s="100"/>
      <c r="U2162" s="100"/>
      <c r="V2162" s="100"/>
      <c r="W2162" s="100"/>
      <c r="X2162" s="100"/>
      <c r="Y2162" s="100"/>
      <c r="Z2162" s="100"/>
      <c r="AA2162" s="100"/>
    </row>
    <row r="2163" spans="2:27">
      <c r="B2163" s="100"/>
      <c r="C2163" s="100"/>
      <c r="D2163" s="100"/>
      <c r="E2163" s="100"/>
      <c r="F2163" s="100"/>
      <c r="G2163" s="100"/>
      <c r="H2163" s="100"/>
      <c r="I2163" s="100"/>
      <c r="J2163" s="100"/>
      <c r="K2163" s="100"/>
      <c r="L2163" s="100"/>
      <c r="M2163" s="100"/>
      <c r="N2163" s="100"/>
      <c r="O2163" s="100"/>
      <c r="P2163" s="100"/>
      <c r="Q2163" s="100"/>
      <c r="R2163" s="100"/>
      <c r="S2163" s="100"/>
      <c r="T2163" s="100"/>
      <c r="U2163" s="100"/>
      <c r="V2163" s="100"/>
      <c r="W2163" s="100"/>
      <c r="X2163" s="100"/>
      <c r="Y2163" s="100"/>
      <c r="Z2163" s="100"/>
      <c r="AA2163" s="100"/>
    </row>
    <row r="2164" spans="2:27">
      <c r="B2164" s="100"/>
      <c r="C2164" s="100"/>
      <c r="D2164" s="100"/>
      <c r="E2164" s="100"/>
      <c r="F2164" s="100"/>
      <c r="G2164" s="100"/>
      <c r="H2164" s="100"/>
      <c r="I2164" s="100"/>
      <c r="J2164" s="100"/>
      <c r="K2164" s="100"/>
      <c r="L2164" s="100"/>
      <c r="M2164" s="100"/>
      <c r="N2164" s="100"/>
      <c r="O2164" s="100"/>
      <c r="P2164" s="100"/>
      <c r="Q2164" s="100"/>
      <c r="R2164" s="100"/>
      <c r="S2164" s="100"/>
      <c r="T2164" s="100"/>
      <c r="U2164" s="100"/>
      <c r="V2164" s="100"/>
      <c r="W2164" s="100"/>
      <c r="X2164" s="100"/>
      <c r="Y2164" s="100"/>
      <c r="Z2164" s="100"/>
      <c r="AA2164" s="100"/>
    </row>
    <row r="2165" spans="2:27">
      <c r="B2165" s="100"/>
      <c r="C2165" s="100"/>
      <c r="D2165" s="100"/>
      <c r="E2165" s="100"/>
      <c r="F2165" s="100"/>
      <c r="G2165" s="100"/>
      <c r="H2165" s="100"/>
      <c r="I2165" s="100"/>
      <c r="J2165" s="100"/>
      <c r="K2165" s="100"/>
      <c r="L2165" s="100"/>
      <c r="M2165" s="100"/>
      <c r="N2165" s="100"/>
      <c r="O2165" s="100"/>
      <c r="P2165" s="100"/>
      <c r="Q2165" s="100"/>
      <c r="R2165" s="100"/>
      <c r="S2165" s="100"/>
      <c r="T2165" s="100"/>
      <c r="U2165" s="100"/>
      <c r="V2165" s="100"/>
      <c r="W2165" s="100"/>
      <c r="X2165" s="100"/>
      <c r="Y2165" s="100"/>
      <c r="Z2165" s="100"/>
      <c r="AA2165" s="100"/>
    </row>
    <row r="2166" spans="2:27">
      <c r="B2166" s="100"/>
      <c r="C2166" s="100"/>
      <c r="D2166" s="100"/>
      <c r="E2166" s="100"/>
      <c r="F2166" s="100"/>
      <c r="G2166" s="100"/>
      <c r="H2166" s="100"/>
      <c r="I2166" s="100"/>
      <c r="J2166" s="100"/>
      <c r="K2166" s="100"/>
      <c r="L2166" s="100"/>
      <c r="M2166" s="100"/>
      <c r="N2166" s="100"/>
      <c r="O2166" s="100"/>
      <c r="P2166" s="100"/>
      <c r="Q2166" s="100"/>
      <c r="R2166" s="100"/>
      <c r="S2166" s="100"/>
      <c r="T2166" s="100"/>
      <c r="U2166" s="100"/>
      <c r="V2166" s="100"/>
      <c r="W2166" s="100"/>
      <c r="X2166" s="100"/>
      <c r="Y2166" s="100"/>
      <c r="Z2166" s="100"/>
      <c r="AA2166" s="100"/>
    </row>
    <row r="2167" spans="2:27">
      <c r="B2167" s="100"/>
      <c r="C2167" s="100"/>
      <c r="D2167" s="100"/>
      <c r="E2167" s="100"/>
      <c r="F2167" s="100"/>
      <c r="G2167" s="100"/>
      <c r="H2167" s="100"/>
      <c r="I2167" s="100"/>
      <c r="J2167" s="100"/>
      <c r="K2167" s="100"/>
      <c r="L2167" s="100"/>
      <c r="M2167" s="100"/>
      <c r="N2167" s="100"/>
      <c r="O2167" s="100"/>
      <c r="P2167" s="100"/>
      <c r="Q2167" s="100"/>
      <c r="R2167" s="100"/>
      <c r="S2167" s="100"/>
      <c r="T2167" s="100"/>
      <c r="U2167" s="100"/>
      <c r="V2167" s="100"/>
      <c r="W2167" s="100"/>
      <c r="X2167" s="100"/>
      <c r="Y2167" s="100"/>
      <c r="Z2167" s="100"/>
      <c r="AA2167" s="100"/>
    </row>
    <row r="2168" spans="2:27">
      <c r="B2168" s="100"/>
      <c r="C2168" s="100"/>
      <c r="D2168" s="100"/>
      <c r="E2168" s="100"/>
      <c r="F2168" s="100"/>
      <c r="G2168" s="100"/>
      <c r="H2168" s="100"/>
      <c r="I2168" s="100"/>
      <c r="J2168" s="100"/>
      <c r="K2168" s="100"/>
      <c r="L2168" s="100"/>
      <c r="M2168" s="100"/>
      <c r="N2168" s="100"/>
      <c r="O2168" s="100"/>
      <c r="P2168" s="100"/>
      <c r="Q2168" s="100"/>
      <c r="R2168" s="100"/>
      <c r="S2168" s="100"/>
      <c r="T2168" s="100"/>
      <c r="U2168" s="100"/>
      <c r="V2168" s="100"/>
      <c r="W2168" s="100"/>
      <c r="X2168" s="100"/>
      <c r="Y2168" s="100"/>
      <c r="Z2168" s="100"/>
      <c r="AA2168" s="100"/>
    </row>
    <row r="2169" spans="2:27">
      <c r="B2169" s="100"/>
      <c r="C2169" s="100"/>
      <c r="D2169" s="100"/>
      <c r="E2169" s="100"/>
      <c r="F2169" s="100"/>
      <c r="G2169" s="100"/>
      <c r="H2169" s="100"/>
      <c r="I2169" s="100"/>
      <c r="J2169" s="100"/>
      <c r="K2169" s="100"/>
      <c r="L2169" s="100"/>
      <c r="M2169" s="100"/>
      <c r="N2169" s="100"/>
      <c r="O2169" s="100"/>
      <c r="P2169" s="100"/>
      <c r="Q2169" s="100"/>
      <c r="R2169" s="100"/>
      <c r="S2169" s="100"/>
      <c r="T2169" s="100"/>
      <c r="U2169" s="100"/>
      <c r="V2169" s="100"/>
      <c r="W2169" s="100"/>
      <c r="X2169" s="100"/>
      <c r="Y2169" s="100"/>
      <c r="Z2169" s="100"/>
      <c r="AA2169" s="100"/>
    </row>
    <row r="2170" spans="2:27">
      <c r="B2170" s="100"/>
      <c r="C2170" s="100"/>
      <c r="D2170" s="100"/>
      <c r="E2170" s="100"/>
      <c r="F2170" s="100"/>
      <c r="G2170" s="100"/>
      <c r="H2170" s="100"/>
      <c r="I2170" s="100"/>
      <c r="J2170" s="100"/>
      <c r="K2170" s="100"/>
      <c r="L2170" s="100"/>
      <c r="M2170" s="100"/>
      <c r="N2170" s="100"/>
      <c r="O2170" s="100"/>
      <c r="P2170" s="100"/>
      <c r="Q2170" s="100"/>
      <c r="R2170" s="100"/>
      <c r="S2170" s="100"/>
      <c r="T2170" s="100"/>
      <c r="U2170" s="100"/>
      <c r="V2170" s="100"/>
      <c r="W2170" s="100"/>
      <c r="X2170" s="100"/>
      <c r="Y2170" s="100"/>
      <c r="Z2170" s="100"/>
      <c r="AA2170" s="100"/>
    </row>
    <row r="2171" spans="2:27">
      <c r="B2171" s="100"/>
      <c r="C2171" s="100"/>
      <c r="D2171" s="100"/>
      <c r="E2171" s="100"/>
      <c r="F2171" s="100"/>
      <c r="G2171" s="100"/>
      <c r="H2171" s="100"/>
      <c r="I2171" s="100"/>
      <c r="J2171" s="100"/>
      <c r="K2171" s="100"/>
      <c r="L2171" s="100"/>
      <c r="M2171" s="100"/>
      <c r="N2171" s="100"/>
      <c r="O2171" s="100"/>
      <c r="P2171" s="100"/>
      <c r="Q2171" s="100"/>
      <c r="R2171" s="100"/>
      <c r="S2171" s="100"/>
      <c r="T2171" s="100"/>
      <c r="U2171" s="100"/>
      <c r="V2171" s="100"/>
      <c r="W2171" s="100"/>
      <c r="X2171" s="100"/>
      <c r="Y2171" s="100"/>
      <c r="Z2171" s="100"/>
      <c r="AA2171" s="100"/>
    </row>
    <row r="2172" spans="2:27">
      <c r="B2172" s="100"/>
      <c r="C2172" s="100"/>
      <c r="D2172" s="100"/>
      <c r="E2172" s="100"/>
      <c r="F2172" s="100"/>
      <c r="G2172" s="100"/>
      <c r="H2172" s="100"/>
      <c r="I2172" s="100"/>
      <c r="J2172" s="100"/>
      <c r="K2172" s="100"/>
      <c r="L2172" s="100"/>
      <c r="M2172" s="100"/>
      <c r="N2172" s="100"/>
      <c r="O2172" s="100"/>
      <c r="P2172" s="100"/>
      <c r="Q2172" s="100"/>
      <c r="R2172" s="100"/>
      <c r="S2172" s="100"/>
      <c r="T2172" s="100"/>
      <c r="U2172" s="100"/>
      <c r="V2172" s="100"/>
      <c r="W2172" s="100"/>
      <c r="X2172" s="100"/>
      <c r="Y2172" s="100"/>
      <c r="Z2172" s="100"/>
      <c r="AA2172" s="100"/>
    </row>
    <row r="2173" spans="2:27">
      <c r="B2173" s="100"/>
      <c r="C2173" s="100"/>
      <c r="D2173" s="100"/>
      <c r="E2173" s="100"/>
      <c r="F2173" s="100"/>
      <c r="G2173" s="100"/>
      <c r="H2173" s="100"/>
      <c r="I2173" s="100"/>
      <c r="J2173" s="100"/>
      <c r="K2173" s="100"/>
      <c r="L2173" s="100"/>
      <c r="M2173" s="100"/>
      <c r="N2173" s="100"/>
      <c r="O2173" s="100"/>
      <c r="P2173" s="100"/>
      <c r="Q2173" s="100"/>
      <c r="R2173" s="100"/>
      <c r="S2173" s="100"/>
      <c r="T2173" s="100"/>
      <c r="U2173" s="100"/>
      <c r="V2173" s="100"/>
      <c r="W2173" s="100"/>
      <c r="X2173" s="100"/>
      <c r="Y2173" s="100"/>
      <c r="Z2173" s="100"/>
      <c r="AA2173" s="100"/>
    </row>
    <row r="2174" spans="2:27">
      <c r="B2174" s="100"/>
      <c r="C2174" s="100"/>
      <c r="D2174" s="100"/>
      <c r="E2174" s="100"/>
      <c r="F2174" s="100"/>
      <c r="G2174" s="100"/>
      <c r="H2174" s="100"/>
      <c r="I2174" s="100"/>
      <c r="J2174" s="100"/>
      <c r="K2174" s="100"/>
      <c r="L2174" s="100"/>
      <c r="M2174" s="100"/>
      <c r="N2174" s="100"/>
      <c r="O2174" s="100"/>
      <c r="P2174" s="100"/>
      <c r="Q2174" s="100"/>
      <c r="R2174" s="100"/>
      <c r="S2174" s="100"/>
      <c r="T2174" s="100"/>
      <c r="U2174" s="100"/>
      <c r="V2174" s="100"/>
      <c r="W2174" s="100"/>
      <c r="X2174" s="100"/>
      <c r="Y2174" s="100"/>
      <c r="Z2174" s="100"/>
      <c r="AA2174" s="100"/>
    </row>
    <row r="2175" spans="2:27">
      <c r="B2175" s="100"/>
      <c r="C2175" s="100"/>
      <c r="D2175" s="100"/>
      <c r="E2175" s="100"/>
      <c r="F2175" s="100"/>
      <c r="G2175" s="100"/>
      <c r="H2175" s="100"/>
      <c r="I2175" s="100"/>
      <c r="J2175" s="100"/>
      <c r="K2175" s="100"/>
      <c r="L2175" s="100"/>
      <c r="M2175" s="100"/>
      <c r="N2175" s="100"/>
      <c r="O2175" s="100"/>
      <c r="P2175" s="100"/>
      <c r="Q2175" s="100"/>
      <c r="R2175" s="100"/>
      <c r="S2175" s="100"/>
      <c r="T2175" s="100"/>
      <c r="U2175" s="100"/>
      <c r="V2175" s="100"/>
      <c r="W2175" s="100"/>
      <c r="X2175" s="100"/>
      <c r="Y2175" s="100"/>
      <c r="Z2175" s="100"/>
      <c r="AA2175" s="100"/>
    </row>
    <row r="2176" spans="2:27">
      <c r="B2176" s="100"/>
      <c r="C2176" s="100"/>
      <c r="D2176" s="100"/>
      <c r="E2176" s="100"/>
      <c r="F2176" s="100"/>
      <c r="G2176" s="100"/>
      <c r="H2176" s="100"/>
      <c r="I2176" s="100"/>
      <c r="J2176" s="100"/>
      <c r="K2176" s="100"/>
      <c r="L2176" s="100"/>
      <c r="M2176" s="100"/>
      <c r="N2176" s="100"/>
      <c r="O2176" s="100"/>
      <c r="P2176" s="100"/>
      <c r="Q2176" s="100"/>
      <c r="R2176" s="100"/>
      <c r="S2176" s="100"/>
      <c r="T2176" s="100"/>
      <c r="U2176" s="100"/>
      <c r="V2176" s="100"/>
      <c r="W2176" s="100"/>
      <c r="X2176" s="100"/>
      <c r="Y2176" s="100"/>
      <c r="Z2176" s="100"/>
      <c r="AA2176" s="100"/>
    </row>
    <row r="2177" spans="2:27">
      <c r="B2177" s="100"/>
      <c r="C2177" s="100"/>
      <c r="D2177" s="100"/>
      <c r="E2177" s="100"/>
      <c r="F2177" s="100"/>
      <c r="G2177" s="100"/>
      <c r="H2177" s="100"/>
      <c r="I2177" s="100"/>
      <c r="J2177" s="100"/>
      <c r="K2177" s="100"/>
      <c r="L2177" s="100"/>
      <c r="M2177" s="100"/>
      <c r="N2177" s="100"/>
      <c r="O2177" s="100"/>
      <c r="P2177" s="100"/>
      <c r="Q2177" s="100"/>
      <c r="R2177" s="100"/>
      <c r="S2177" s="100"/>
      <c r="T2177" s="100"/>
      <c r="U2177" s="100"/>
      <c r="V2177" s="100"/>
      <c r="W2177" s="100"/>
      <c r="X2177" s="100"/>
      <c r="Y2177" s="100"/>
      <c r="Z2177" s="100"/>
      <c r="AA2177" s="100"/>
    </row>
    <row r="2178" spans="2:27">
      <c r="B2178" s="100"/>
      <c r="C2178" s="100"/>
      <c r="D2178" s="100"/>
      <c r="E2178" s="100"/>
      <c r="F2178" s="100"/>
      <c r="G2178" s="100"/>
      <c r="H2178" s="100"/>
      <c r="I2178" s="100"/>
      <c r="J2178" s="100"/>
      <c r="K2178" s="100"/>
      <c r="L2178" s="100"/>
      <c r="M2178" s="100"/>
      <c r="N2178" s="100"/>
      <c r="O2178" s="100"/>
      <c r="P2178" s="100"/>
      <c r="Q2178" s="100"/>
      <c r="R2178" s="100"/>
      <c r="S2178" s="100"/>
      <c r="T2178" s="100"/>
      <c r="U2178" s="100"/>
      <c r="V2178" s="100"/>
      <c r="W2178" s="100"/>
      <c r="X2178" s="100"/>
      <c r="Y2178" s="100"/>
      <c r="Z2178" s="100"/>
      <c r="AA2178" s="100"/>
    </row>
    <row r="2179" spans="2:27">
      <c r="B2179" s="100"/>
      <c r="C2179" s="100"/>
      <c r="D2179" s="100"/>
      <c r="E2179" s="100"/>
      <c r="F2179" s="100"/>
      <c r="G2179" s="100"/>
      <c r="H2179" s="100"/>
      <c r="I2179" s="100"/>
      <c r="J2179" s="100"/>
      <c r="K2179" s="100"/>
      <c r="L2179" s="100"/>
      <c r="M2179" s="100"/>
      <c r="N2179" s="100"/>
      <c r="O2179" s="100"/>
      <c r="P2179" s="100"/>
      <c r="Q2179" s="100"/>
      <c r="R2179" s="100"/>
      <c r="S2179" s="100"/>
      <c r="T2179" s="100"/>
      <c r="U2179" s="100"/>
      <c r="V2179" s="100"/>
      <c r="W2179" s="100"/>
      <c r="X2179" s="100"/>
      <c r="Y2179" s="100"/>
      <c r="Z2179" s="100"/>
      <c r="AA2179" s="100"/>
    </row>
    <row r="2180" spans="2:27">
      <c r="B2180" s="100"/>
      <c r="C2180" s="100"/>
      <c r="D2180" s="100"/>
      <c r="E2180" s="100"/>
      <c r="F2180" s="100"/>
      <c r="G2180" s="100"/>
      <c r="H2180" s="100"/>
      <c r="I2180" s="100"/>
      <c r="J2180" s="100"/>
      <c r="K2180" s="100"/>
      <c r="L2180" s="100"/>
      <c r="M2180" s="100"/>
      <c r="N2180" s="100"/>
      <c r="O2180" s="100"/>
      <c r="P2180" s="100"/>
      <c r="Q2180" s="100"/>
      <c r="R2180" s="100"/>
      <c r="S2180" s="100"/>
      <c r="T2180" s="100"/>
      <c r="U2180" s="100"/>
      <c r="V2180" s="100"/>
      <c r="W2180" s="100"/>
      <c r="X2180" s="100"/>
      <c r="Y2180" s="100"/>
      <c r="Z2180" s="100"/>
      <c r="AA2180" s="100"/>
    </row>
    <row r="2181" spans="2:27">
      <c r="B2181" s="100"/>
      <c r="C2181" s="100"/>
      <c r="D2181" s="100"/>
      <c r="E2181" s="100"/>
      <c r="F2181" s="100"/>
      <c r="G2181" s="100"/>
      <c r="H2181" s="100"/>
      <c r="I2181" s="100"/>
      <c r="J2181" s="100"/>
      <c r="K2181" s="100"/>
      <c r="L2181" s="100"/>
      <c r="M2181" s="100"/>
      <c r="N2181" s="100"/>
      <c r="O2181" s="100"/>
      <c r="P2181" s="100"/>
      <c r="Q2181" s="100"/>
      <c r="R2181" s="100"/>
      <c r="S2181" s="100"/>
      <c r="T2181" s="100"/>
      <c r="U2181" s="100"/>
      <c r="V2181" s="100"/>
      <c r="W2181" s="100"/>
      <c r="X2181" s="100"/>
      <c r="Y2181" s="100"/>
      <c r="Z2181" s="100"/>
      <c r="AA2181" s="100"/>
    </row>
    <row r="2182" spans="2:27">
      <c r="B2182" s="100"/>
      <c r="C2182" s="100"/>
      <c r="D2182" s="100"/>
      <c r="E2182" s="100"/>
      <c r="F2182" s="100"/>
      <c r="G2182" s="100"/>
      <c r="H2182" s="100"/>
      <c r="I2182" s="100"/>
      <c r="J2182" s="100"/>
      <c r="K2182" s="100"/>
      <c r="L2182" s="100"/>
      <c r="M2182" s="100"/>
      <c r="N2182" s="100"/>
      <c r="O2182" s="100"/>
      <c r="P2182" s="100"/>
      <c r="Q2182" s="100"/>
      <c r="R2182" s="100"/>
      <c r="S2182" s="100"/>
      <c r="T2182" s="100"/>
      <c r="U2182" s="100"/>
      <c r="V2182" s="100"/>
      <c r="W2182" s="100"/>
      <c r="X2182" s="100"/>
      <c r="Y2182" s="100"/>
      <c r="Z2182" s="100"/>
      <c r="AA2182" s="100"/>
    </row>
    <row r="2183" spans="2:27">
      <c r="B2183" s="100"/>
      <c r="C2183" s="100"/>
      <c r="D2183" s="100"/>
      <c r="E2183" s="100"/>
      <c r="F2183" s="100"/>
      <c r="G2183" s="100"/>
      <c r="H2183" s="100"/>
      <c r="I2183" s="100"/>
      <c r="J2183" s="100"/>
      <c r="K2183" s="100"/>
      <c r="L2183" s="100"/>
      <c r="M2183" s="100"/>
      <c r="N2183" s="100"/>
      <c r="O2183" s="100"/>
      <c r="P2183" s="100"/>
      <c r="Q2183" s="100"/>
      <c r="R2183" s="100"/>
      <c r="S2183" s="100"/>
      <c r="T2183" s="100"/>
      <c r="U2183" s="100"/>
      <c r="V2183" s="100"/>
      <c r="W2183" s="100"/>
      <c r="X2183" s="100"/>
      <c r="Y2183" s="100"/>
      <c r="Z2183" s="100"/>
      <c r="AA2183" s="100"/>
    </row>
    <row r="2184" spans="2:27">
      <c r="B2184" s="100"/>
      <c r="C2184" s="100"/>
      <c r="D2184" s="100"/>
      <c r="E2184" s="100"/>
      <c r="F2184" s="100"/>
      <c r="G2184" s="100"/>
      <c r="H2184" s="100"/>
      <c r="I2184" s="100"/>
      <c r="J2184" s="100"/>
      <c r="K2184" s="100"/>
      <c r="L2184" s="100"/>
      <c r="M2184" s="100"/>
      <c r="N2184" s="100"/>
      <c r="O2184" s="100"/>
      <c r="P2184" s="100"/>
      <c r="Q2184" s="100"/>
      <c r="R2184" s="100"/>
      <c r="S2184" s="100"/>
      <c r="T2184" s="100"/>
      <c r="U2184" s="100"/>
      <c r="V2184" s="100"/>
      <c r="W2184" s="100"/>
      <c r="X2184" s="100"/>
      <c r="Y2184" s="100"/>
      <c r="Z2184" s="100"/>
      <c r="AA2184" s="100"/>
    </row>
    <row r="2185" spans="2:27">
      <c r="B2185" s="100"/>
      <c r="C2185" s="100"/>
      <c r="D2185" s="100"/>
      <c r="E2185" s="100"/>
      <c r="F2185" s="100"/>
      <c r="G2185" s="100"/>
      <c r="H2185" s="100"/>
      <c r="I2185" s="100"/>
      <c r="J2185" s="100"/>
      <c r="K2185" s="100"/>
      <c r="L2185" s="100"/>
      <c r="M2185" s="100"/>
      <c r="N2185" s="100"/>
      <c r="O2185" s="100"/>
      <c r="P2185" s="100"/>
      <c r="Q2185" s="100"/>
      <c r="R2185" s="100"/>
      <c r="S2185" s="100"/>
      <c r="T2185" s="100"/>
      <c r="U2185" s="100"/>
      <c r="V2185" s="100"/>
      <c r="W2185" s="100"/>
      <c r="X2185" s="100"/>
      <c r="Y2185" s="100"/>
      <c r="Z2185" s="100"/>
      <c r="AA2185" s="100"/>
    </row>
    <row r="2186" spans="2:27">
      <c r="B2186" s="100"/>
      <c r="C2186" s="100"/>
      <c r="D2186" s="100"/>
      <c r="E2186" s="100"/>
      <c r="F2186" s="100"/>
      <c r="G2186" s="100"/>
      <c r="H2186" s="100"/>
      <c r="I2186" s="100"/>
      <c r="J2186" s="100"/>
      <c r="K2186" s="100"/>
      <c r="L2186" s="100"/>
      <c r="M2186" s="100"/>
      <c r="N2186" s="100"/>
      <c r="O2186" s="100"/>
      <c r="P2186" s="100"/>
      <c r="Q2186" s="100"/>
      <c r="R2186" s="100"/>
      <c r="S2186" s="100"/>
      <c r="T2186" s="100"/>
      <c r="U2186" s="100"/>
      <c r="V2186" s="100"/>
      <c r="W2186" s="100"/>
      <c r="X2186" s="100"/>
      <c r="Y2186" s="100"/>
      <c r="Z2186" s="100"/>
      <c r="AA2186" s="100"/>
    </row>
    <row r="2187" spans="2:27">
      <c r="B2187" s="100"/>
      <c r="C2187" s="100"/>
      <c r="D2187" s="100"/>
      <c r="E2187" s="100"/>
      <c r="F2187" s="100"/>
      <c r="G2187" s="100"/>
      <c r="H2187" s="100"/>
      <c r="I2187" s="100"/>
      <c r="J2187" s="100"/>
      <c r="K2187" s="100"/>
      <c r="L2187" s="100"/>
      <c r="M2187" s="100"/>
      <c r="N2187" s="100"/>
      <c r="O2187" s="100"/>
      <c r="P2187" s="100"/>
      <c r="Q2187" s="100"/>
      <c r="R2187" s="100"/>
      <c r="S2187" s="100"/>
      <c r="T2187" s="100"/>
      <c r="U2187" s="100"/>
      <c r="V2187" s="100"/>
      <c r="W2187" s="100"/>
      <c r="X2187" s="100"/>
      <c r="Y2187" s="100"/>
      <c r="Z2187" s="100"/>
      <c r="AA2187" s="100"/>
    </row>
    <row r="2188" spans="2:27">
      <c r="B2188" s="100"/>
      <c r="C2188" s="100"/>
      <c r="D2188" s="100"/>
      <c r="E2188" s="100"/>
      <c r="F2188" s="100"/>
      <c r="G2188" s="100"/>
      <c r="H2188" s="100"/>
      <c r="I2188" s="100"/>
      <c r="J2188" s="100"/>
      <c r="K2188" s="100"/>
      <c r="L2188" s="100"/>
      <c r="M2188" s="100"/>
      <c r="N2188" s="100"/>
      <c r="O2188" s="100"/>
      <c r="P2188" s="100"/>
      <c r="Q2188" s="100"/>
      <c r="R2188" s="100"/>
      <c r="S2188" s="100"/>
      <c r="T2188" s="100"/>
      <c r="U2188" s="100"/>
      <c r="V2188" s="100"/>
      <c r="W2188" s="100"/>
      <c r="X2188" s="100"/>
      <c r="Y2188" s="100"/>
      <c r="Z2188" s="100"/>
      <c r="AA2188" s="100"/>
    </row>
    <row r="2189" spans="2:27">
      <c r="B2189" s="100"/>
      <c r="C2189" s="100"/>
      <c r="D2189" s="100"/>
      <c r="E2189" s="100"/>
      <c r="F2189" s="100"/>
      <c r="G2189" s="100"/>
      <c r="H2189" s="100"/>
      <c r="I2189" s="100"/>
      <c r="J2189" s="100"/>
      <c r="K2189" s="100"/>
      <c r="L2189" s="100"/>
      <c r="M2189" s="100"/>
      <c r="N2189" s="100"/>
      <c r="O2189" s="100"/>
      <c r="P2189" s="100"/>
      <c r="Q2189" s="100"/>
      <c r="R2189" s="100"/>
      <c r="S2189" s="100"/>
      <c r="T2189" s="100"/>
      <c r="U2189" s="100"/>
      <c r="V2189" s="100"/>
      <c r="W2189" s="100"/>
      <c r="X2189" s="100"/>
      <c r="Y2189" s="100"/>
      <c r="Z2189" s="100"/>
      <c r="AA2189" s="100"/>
    </row>
    <row r="2190" spans="2:27">
      <c r="B2190" s="100"/>
      <c r="C2190" s="100"/>
      <c r="D2190" s="100"/>
      <c r="E2190" s="100"/>
      <c r="F2190" s="100"/>
      <c r="G2190" s="100"/>
      <c r="H2190" s="100"/>
      <c r="I2190" s="100"/>
      <c r="J2190" s="100"/>
      <c r="K2190" s="100"/>
      <c r="L2190" s="100"/>
      <c r="M2190" s="100"/>
      <c r="N2190" s="100"/>
      <c r="O2190" s="100"/>
      <c r="P2190" s="100"/>
      <c r="Q2190" s="100"/>
      <c r="R2190" s="100"/>
      <c r="S2190" s="100"/>
      <c r="T2190" s="100"/>
      <c r="U2190" s="100"/>
      <c r="V2190" s="100"/>
      <c r="W2190" s="100"/>
      <c r="X2190" s="100"/>
      <c r="Y2190" s="100"/>
      <c r="Z2190" s="100"/>
      <c r="AA2190" s="100"/>
    </row>
    <row r="2191" spans="2:27">
      <c r="B2191" s="100"/>
      <c r="C2191" s="100"/>
      <c r="D2191" s="100"/>
      <c r="E2191" s="100"/>
      <c r="F2191" s="100"/>
      <c r="G2191" s="100"/>
      <c r="H2191" s="100"/>
      <c r="I2191" s="100"/>
      <c r="J2191" s="100"/>
      <c r="K2191" s="100"/>
      <c r="L2191" s="100"/>
      <c r="M2191" s="100"/>
      <c r="N2191" s="100"/>
      <c r="O2191" s="100"/>
      <c r="P2191" s="100"/>
      <c r="Q2191" s="100"/>
      <c r="R2191" s="100"/>
      <c r="S2191" s="100"/>
      <c r="T2191" s="100"/>
      <c r="U2191" s="100"/>
      <c r="V2191" s="100"/>
      <c r="W2191" s="100"/>
      <c r="X2191" s="100"/>
      <c r="Y2191" s="100"/>
      <c r="Z2191" s="100"/>
      <c r="AA2191" s="100"/>
    </row>
    <row r="2192" spans="2:27">
      <c r="B2192" s="100"/>
      <c r="C2192" s="100"/>
      <c r="D2192" s="100"/>
      <c r="E2192" s="100"/>
      <c r="F2192" s="100"/>
      <c r="G2192" s="100"/>
      <c r="H2192" s="100"/>
      <c r="I2192" s="100"/>
      <c r="J2192" s="100"/>
      <c r="K2192" s="100"/>
      <c r="L2192" s="100"/>
      <c r="M2192" s="100"/>
      <c r="N2192" s="100"/>
      <c r="O2192" s="100"/>
      <c r="P2192" s="100"/>
      <c r="Q2192" s="100"/>
      <c r="R2192" s="100"/>
      <c r="S2192" s="100"/>
      <c r="T2192" s="100"/>
      <c r="U2192" s="100"/>
      <c r="V2192" s="100"/>
      <c r="W2192" s="100"/>
      <c r="X2192" s="100"/>
      <c r="Y2192" s="100"/>
      <c r="Z2192" s="100"/>
      <c r="AA2192" s="100"/>
    </row>
    <row r="2193" spans="2:27">
      <c r="B2193" s="100"/>
      <c r="C2193" s="100"/>
      <c r="D2193" s="100"/>
      <c r="E2193" s="100"/>
      <c r="F2193" s="100"/>
      <c r="G2193" s="100"/>
      <c r="H2193" s="100"/>
      <c r="I2193" s="100"/>
      <c r="J2193" s="100"/>
      <c r="K2193" s="100"/>
      <c r="L2193" s="100"/>
      <c r="M2193" s="100"/>
      <c r="N2193" s="100"/>
      <c r="O2193" s="100"/>
      <c r="P2193" s="100"/>
      <c r="Q2193" s="100"/>
      <c r="R2193" s="100"/>
      <c r="S2193" s="100"/>
      <c r="T2193" s="100"/>
      <c r="U2193" s="100"/>
      <c r="V2193" s="100"/>
      <c r="W2193" s="100"/>
      <c r="X2193" s="100"/>
      <c r="Y2193" s="100"/>
      <c r="Z2193" s="100"/>
      <c r="AA2193" s="100"/>
    </row>
    <row r="2194" spans="2:27">
      <c r="B2194" s="100"/>
      <c r="C2194" s="100"/>
      <c r="D2194" s="100"/>
      <c r="E2194" s="100"/>
      <c r="F2194" s="100"/>
      <c r="G2194" s="100"/>
      <c r="H2194" s="100"/>
      <c r="I2194" s="100"/>
      <c r="J2194" s="100"/>
      <c r="K2194" s="100"/>
      <c r="L2194" s="100"/>
      <c r="M2194" s="100"/>
      <c r="N2194" s="100"/>
      <c r="O2194" s="100"/>
      <c r="P2194" s="100"/>
      <c r="Q2194" s="100"/>
      <c r="R2194" s="100"/>
      <c r="S2194" s="100"/>
      <c r="T2194" s="100"/>
      <c r="U2194" s="100"/>
      <c r="V2194" s="100"/>
      <c r="W2194" s="100"/>
      <c r="X2194" s="100"/>
      <c r="Y2194" s="100"/>
      <c r="Z2194" s="100"/>
      <c r="AA2194" s="100"/>
    </row>
    <row r="2195" spans="2:27">
      <c r="B2195" s="100"/>
      <c r="C2195" s="100"/>
      <c r="D2195" s="100"/>
      <c r="E2195" s="100"/>
      <c r="F2195" s="100"/>
      <c r="G2195" s="100"/>
      <c r="H2195" s="100"/>
      <c r="I2195" s="100"/>
      <c r="J2195" s="100"/>
      <c r="K2195" s="100"/>
      <c r="L2195" s="100"/>
      <c r="M2195" s="100"/>
      <c r="N2195" s="100"/>
      <c r="O2195" s="100"/>
      <c r="P2195" s="100"/>
      <c r="Q2195" s="100"/>
      <c r="R2195" s="100"/>
      <c r="S2195" s="100"/>
      <c r="T2195" s="100"/>
      <c r="U2195" s="100"/>
      <c r="V2195" s="100"/>
      <c r="W2195" s="100"/>
      <c r="X2195" s="100"/>
      <c r="Y2195" s="100"/>
      <c r="Z2195" s="100"/>
      <c r="AA2195" s="100"/>
    </row>
    <row r="2196" spans="2:27">
      <c r="B2196" s="100"/>
      <c r="C2196" s="100"/>
      <c r="D2196" s="100"/>
      <c r="E2196" s="100"/>
      <c r="F2196" s="100"/>
      <c r="G2196" s="100"/>
      <c r="H2196" s="100"/>
      <c r="I2196" s="100"/>
      <c r="J2196" s="100"/>
      <c r="K2196" s="100"/>
      <c r="L2196" s="100"/>
      <c r="M2196" s="100"/>
      <c r="N2196" s="100"/>
      <c r="O2196" s="100"/>
      <c r="P2196" s="100"/>
      <c r="Q2196" s="100"/>
      <c r="R2196" s="100"/>
      <c r="S2196" s="100"/>
      <c r="T2196" s="100"/>
      <c r="U2196" s="100"/>
      <c r="V2196" s="100"/>
      <c r="W2196" s="100"/>
      <c r="X2196" s="100"/>
      <c r="Y2196" s="100"/>
      <c r="Z2196" s="100"/>
      <c r="AA2196" s="100"/>
    </row>
    <row r="2197" spans="2:27">
      <c r="B2197" s="100"/>
      <c r="C2197" s="100"/>
      <c r="D2197" s="100"/>
      <c r="E2197" s="100"/>
      <c r="F2197" s="100"/>
      <c r="G2197" s="100"/>
      <c r="H2197" s="100"/>
      <c r="I2197" s="100"/>
      <c r="J2197" s="100"/>
      <c r="K2197" s="100"/>
      <c r="L2197" s="100"/>
      <c r="M2197" s="100"/>
      <c r="N2197" s="100"/>
      <c r="O2197" s="100"/>
      <c r="P2197" s="100"/>
      <c r="Q2197" s="100"/>
      <c r="R2197" s="100"/>
      <c r="S2197" s="100"/>
      <c r="T2197" s="100"/>
      <c r="U2197" s="100"/>
      <c r="V2197" s="100"/>
      <c r="W2197" s="100"/>
      <c r="X2197" s="100"/>
      <c r="Y2197" s="100"/>
      <c r="Z2197" s="100"/>
      <c r="AA2197" s="100"/>
    </row>
    <row r="2198" spans="2:27">
      <c r="B2198" s="100"/>
      <c r="C2198" s="100"/>
      <c r="D2198" s="100"/>
      <c r="E2198" s="100"/>
      <c r="F2198" s="100"/>
      <c r="G2198" s="100"/>
      <c r="H2198" s="100"/>
      <c r="I2198" s="100"/>
      <c r="J2198" s="100"/>
      <c r="K2198" s="100"/>
      <c r="L2198" s="100"/>
      <c r="M2198" s="100"/>
      <c r="N2198" s="100"/>
      <c r="O2198" s="100"/>
      <c r="P2198" s="100"/>
      <c r="Q2198" s="100"/>
      <c r="R2198" s="100"/>
      <c r="S2198" s="100"/>
      <c r="T2198" s="100"/>
      <c r="U2198" s="100"/>
      <c r="V2198" s="100"/>
      <c r="W2198" s="100"/>
      <c r="X2198" s="100"/>
      <c r="Y2198" s="100"/>
      <c r="Z2198" s="100"/>
      <c r="AA2198" s="100"/>
    </row>
    <row r="2199" spans="2:27">
      <c r="B2199" s="100"/>
      <c r="C2199" s="100"/>
      <c r="D2199" s="100"/>
      <c r="E2199" s="100"/>
      <c r="F2199" s="100"/>
      <c r="G2199" s="100"/>
      <c r="H2199" s="100"/>
      <c r="I2199" s="100"/>
      <c r="J2199" s="100"/>
      <c r="K2199" s="100"/>
      <c r="L2199" s="100"/>
      <c r="M2199" s="100"/>
      <c r="N2199" s="100"/>
      <c r="O2199" s="100"/>
      <c r="P2199" s="100"/>
      <c r="Q2199" s="100"/>
      <c r="R2199" s="100"/>
      <c r="S2199" s="100"/>
      <c r="T2199" s="100"/>
      <c r="U2199" s="100"/>
      <c r="V2199" s="100"/>
      <c r="W2199" s="100"/>
      <c r="X2199" s="100"/>
      <c r="Y2199" s="100"/>
      <c r="Z2199" s="100"/>
      <c r="AA2199" s="100"/>
    </row>
    <row r="2200" spans="2:27">
      <c r="B2200" s="100"/>
      <c r="C2200" s="100"/>
      <c r="D2200" s="100"/>
      <c r="E2200" s="100"/>
      <c r="F2200" s="100"/>
      <c r="G2200" s="100"/>
      <c r="H2200" s="100"/>
      <c r="I2200" s="100"/>
      <c r="J2200" s="100"/>
      <c r="K2200" s="100"/>
      <c r="L2200" s="100"/>
      <c r="M2200" s="100"/>
      <c r="N2200" s="100"/>
      <c r="O2200" s="100"/>
      <c r="P2200" s="100"/>
      <c r="Q2200" s="100"/>
      <c r="R2200" s="100"/>
      <c r="S2200" s="100"/>
      <c r="T2200" s="100"/>
      <c r="U2200" s="100"/>
      <c r="V2200" s="100"/>
      <c r="W2200" s="100"/>
      <c r="X2200" s="100"/>
      <c r="Y2200" s="100"/>
      <c r="Z2200" s="100"/>
      <c r="AA2200" s="100"/>
    </row>
    <row r="2201" spans="2:27">
      <c r="B2201" s="100"/>
      <c r="C2201" s="100"/>
      <c r="D2201" s="100"/>
      <c r="E2201" s="100"/>
      <c r="F2201" s="100"/>
      <c r="G2201" s="100"/>
      <c r="H2201" s="100"/>
      <c r="I2201" s="100"/>
      <c r="J2201" s="100"/>
      <c r="K2201" s="100"/>
      <c r="L2201" s="100"/>
      <c r="M2201" s="100"/>
      <c r="N2201" s="100"/>
      <c r="O2201" s="100"/>
      <c r="P2201" s="100"/>
      <c r="Q2201" s="100"/>
      <c r="R2201" s="100"/>
      <c r="S2201" s="100"/>
      <c r="T2201" s="100"/>
      <c r="U2201" s="100"/>
      <c r="V2201" s="100"/>
      <c r="W2201" s="100"/>
      <c r="X2201" s="100"/>
      <c r="Y2201" s="100"/>
      <c r="Z2201" s="100"/>
      <c r="AA2201" s="100"/>
    </row>
    <row r="2202" spans="2:27">
      <c r="B2202" s="100"/>
      <c r="C2202" s="100"/>
      <c r="D2202" s="100"/>
      <c r="E2202" s="100"/>
      <c r="F2202" s="100"/>
      <c r="G2202" s="100"/>
      <c r="H2202" s="100"/>
      <c r="I2202" s="100"/>
      <c r="J2202" s="100"/>
      <c r="K2202" s="100"/>
      <c r="L2202" s="100"/>
      <c r="M2202" s="100"/>
      <c r="N2202" s="100"/>
      <c r="O2202" s="100"/>
      <c r="P2202" s="100"/>
      <c r="Q2202" s="100"/>
      <c r="R2202" s="100"/>
      <c r="S2202" s="100"/>
      <c r="T2202" s="100"/>
      <c r="U2202" s="100"/>
      <c r="V2202" s="100"/>
      <c r="W2202" s="100"/>
      <c r="X2202" s="100"/>
      <c r="Y2202" s="100"/>
      <c r="Z2202" s="100"/>
      <c r="AA2202" s="100"/>
    </row>
    <row r="2203" spans="2:27">
      <c r="B2203" s="100"/>
      <c r="C2203" s="100"/>
      <c r="D2203" s="100"/>
      <c r="E2203" s="100"/>
      <c r="F2203" s="100"/>
      <c r="G2203" s="100"/>
      <c r="H2203" s="100"/>
      <c r="I2203" s="100"/>
      <c r="J2203" s="100"/>
      <c r="K2203" s="100"/>
      <c r="L2203" s="100"/>
      <c r="M2203" s="100"/>
      <c r="N2203" s="100"/>
      <c r="O2203" s="100"/>
      <c r="P2203" s="100"/>
      <c r="Q2203" s="100"/>
      <c r="R2203" s="100"/>
      <c r="S2203" s="100"/>
      <c r="T2203" s="100"/>
      <c r="U2203" s="100"/>
      <c r="V2203" s="100"/>
      <c r="W2203" s="100"/>
      <c r="X2203" s="100"/>
      <c r="Y2203" s="100"/>
      <c r="Z2203" s="100"/>
      <c r="AA2203" s="100"/>
    </row>
    <row r="2204" spans="2:27">
      <c r="B2204" s="100"/>
      <c r="C2204" s="100"/>
      <c r="D2204" s="100"/>
      <c r="E2204" s="100"/>
      <c r="F2204" s="100"/>
      <c r="G2204" s="100"/>
      <c r="H2204" s="100"/>
      <c r="I2204" s="100"/>
      <c r="J2204" s="100"/>
      <c r="K2204" s="100"/>
      <c r="L2204" s="100"/>
      <c r="M2204" s="100"/>
      <c r="N2204" s="100"/>
      <c r="O2204" s="100"/>
      <c r="P2204" s="100"/>
      <c r="Q2204" s="100"/>
      <c r="R2204" s="100"/>
      <c r="S2204" s="100"/>
      <c r="T2204" s="100"/>
      <c r="U2204" s="100"/>
      <c r="V2204" s="100"/>
      <c r="W2204" s="100"/>
      <c r="X2204" s="100"/>
      <c r="Y2204" s="100"/>
      <c r="Z2204" s="100"/>
      <c r="AA2204" s="100"/>
    </row>
    <row r="2205" spans="2:27">
      <c r="B2205" s="100"/>
      <c r="C2205" s="100"/>
      <c r="D2205" s="100"/>
      <c r="E2205" s="100"/>
      <c r="F2205" s="100"/>
      <c r="G2205" s="100"/>
      <c r="H2205" s="100"/>
      <c r="I2205" s="100"/>
      <c r="J2205" s="100"/>
      <c r="K2205" s="100"/>
      <c r="L2205" s="100"/>
      <c r="M2205" s="100"/>
      <c r="N2205" s="100"/>
      <c r="O2205" s="100"/>
      <c r="P2205" s="100"/>
      <c r="Q2205" s="100"/>
      <c r="R2205" s="100"/>
      <c r="S2205" s="100"/>
      <c r="T2205" s="100"/>
      <c r="U2205" s="100"/>
      <c r="V2205" s="100"/>
      <c r="W2205" s="100"/>
      <c r="X2205" s="100"/>
      <c r="Y2205" s="100"/>
      <c r="Z2205" s="100"/>
      <c r="AA2205" s="100"/>
    </row>
    <row r="2206" spans="2:27">
      <c r="B2206" s="100"/>
      <c r="C2206" s="100"/>
      <c r="D2206" s="100"/>
      <c r="E2206" s="100"/>
      <c r="F2206" s="100"/>
      <c r="G2206" s="100"/>
      <c r="H2206" s="100"/>
      <c r="I2206" s="100"/>
      <c r="J2206" s="100"/>
      <c r="K2206" s="100"/>
      <c r="L2206" s="100"/>
      <c r="M2206" s="100"/>
      <c r="N2206" s="100"/>
      <c r="O2206" s="100"/>
      <c r="P2206" s="100"/>
      <c r="Q2206" s="100"/>
      <c r="R2206" s="100"/>
      <c r="S2206" s="100"/>
      <c r="T2206" s="100"/>
      <c r="U2206" s="100"/>
      <c r="V2206" s="100"/>
      <c r="W2206" s="100"/>
      <c r="X2206" s="100"/>
      <c r="Y2206" s="100"/>
      <c r="Z2206" s="100"/>
      <c r="AA2206" s="100"/>
    </row>
    <row r="2207" spans="2:27">
      <c r="B2207" s="100"/>
      <c r="C2207" s="100"/>
      <c r="D2207" s="100"/>
      <c r="E2207" s="100"/>
      <c r="F2207" s="100"/>
      <c r="G2207" s="100"/>
      <c r="H2207" s="100"/>
      <c r="I2207" s="100"/>
      <c r="J2207" s="100"/>
      <c r="K2207" s="100"/>
      <c r="L2207" s="100"/>
      <c r="M2207" s="100"/>
      <c r="N2207" s="100"/>
      <c r="O2207" s="100"/>
      <c r="P2207" s="100"/>
      <c r="Q2207" s="100"/>
      <c r="R2207" s="100"/>
      <c r="S2207" s="100"/>
      <c r="T2207" s="100"/>
      <c r="U2207" s="100"/>
      <c r="V2207" s="100"/>
      <c r="W2207" s="100"/>
      <c r="X2207" s="100"/>
      <c r="Y2207" s="100"/>
      <c r="Z2207" s="100"/>
      <c r="AA2207" s="100"/>
    </row>
    <row r="2208" spans="2:27">
      <c r="B2208" s="100"/>
      <c r="C2208" s="100"/>
      <c r="D2208" s="100"/>
      <c r="E2208" s="100"/>
      <c r="F2208" s="100"/>
      <c r="G2208" s="100"/>
      <c r="H2208" s="100"/>
      <c r="I2208" s="100"/>
      <c r="J2208" s="100"/>
      <c r="K2208" s="100"/>
      <c r="L2208" s="100"/>
      <c r="M2208" s="100"/>
      <c r="N2208" s="100"/>
      <c r="O2208" s="100"/>
      <c r="P2208" s="100"/>
      <c r="Q2208" s="100"/>
      <c r="R2208" s="100"/>
      <c r="S2208" s="100"/>
      <c r="T2208" s="100"/>
      <c r="U2208" s="100"/>
      <c r="V2208" s="100"/>
      <c r="W2208" s="100"/>
      <c r="X2208" s="100"/>
      <c r="Y2208" s="100"/>
      <c r="Z2208" s="100"/>
      <c r="AA2208" s="100"/>
    </row>
    <row r="2209" spans="2:27">
      <c r="B2209" s="100"/>
      <c r="C2209" s="100"/>
      <c r="D2209" s="100"/>
      <c r="E2209" s="100"/>
      <c r="F2209" s="100"/>
      <c r="G2209" s="100"/>
      <c r="H2209" s="100"/>
      <c r="I2209" s="100"/>
      <c r="J2209" s="100"/>
      <c r="K2209" s="100"/>
      <c r="L2209" s="100"/>
      <c r="M2209" s="100"/>
      <c r="N2209" s="100"/>
      <c r="O2209" s="100"/>
      <c r="P2209" s="100"/>
      <c r="Q2209" s="100"/>
      <c r="R2209" s="100"/>
      <c r="S2209" s="100"/>
      <c r="T2209" s="100"/>
      <c r="U2209" s="100"/>
      <c r="V2209" s="100"/>
      <c r="W2209" s="100"/>
      <c r="X2209" s="100"/>
      <c r="Y2209" s="100"/>
      <c r="Z2209" s="100"/>
      <c r="AA2209" s="100"/>
    </row>
    <row r="2210" spans="2:27">
      <c r="B2210" s="100"/>
      <c r="C2210" s="100"/>
      <c r="D2210" s="100"/>
      <c r="E2210" s="100"/>
      <c r="F2210" s="100"/>
      <c r="G2210" s="100"/>
      <c r="H2210" s="100"/>
      <c r="I2210" s="100"/>
      <c r="J2210" s="100"/>
      <c r="K2210" s="100"/>
      <c r="L2210" s="100"/>
      <c r="M2210" s="100"/>
      <c r="N2210" s="100"/>
      <c r="O2210" s="100"/>
      <c r="P2210" s="100"/>
      <c r="Q2210" s="100"/>
      <c r="R2210" s="100"/>
      <c r="S2210" s="100"/>
      <c r="T2210" s="100"/>
      <c r="U2210" s="100"/>
      <c r="V2210" s="100"/>
      <c r="W2210" s="100"/>
      <c r="X2210" s="100"/>
      <c r="Y2210" s="100"/>
      <c r="Z2210" s="100"/>
      <c r="AA2210" s="100"/>
    </row>
    <row r="2211" spans="2:27">
      <c r="B2211" s="100"/>
      <c r="C2211" s="100"/>
      <c r="D2211" s="100"/>
      <c r="E2211" s="100"/>
      <c r="F2211" s="100"/>
      <c r="G2211" s="100"/>
      <c r="H2211" s="100"/>
      <c r="I2211" s="100"/>
      <c r="J2211" s="100"/>
      <c r="K2211" s="100"/>
      <c r="L2211" s="100"/>
      <c r="M2211" s="100"/>
      <c r="N2211" s="100"/>
      <c r="O2211" s="100"/>
      <c r="P2211" s="100"/>
      <c r="Q2211" s="100"/>
      <c r="R2211" s="100"/>
      <c r="S2211" s="100"/>
      <c r="T2211" s="100"/>
      <c r="U2211" s="100"/>
      <c r="V2211" s="100"/>
      <c r="W2211" s="100"/>
      <c r="X2211" s="100"/>
      <c r="Y2211" s="100"/>
      <c r="Z2211" s="100"/>
      <c r="AA2211" s="100"/>
    </row>
    <row r="2212" spans="2:27">
      <c r="B2212" s="100"/>
      <c r="C2212" s="100"/>
      <c r="D2212" s="100"/>
      <c r="E2212" s="100"/>
      <c r="F2212" s="100"/>
      <c r="G2212" s="100"/>
      <c r="H2212" s="100"/>
      <c r="I2212" s="100"/>
      <c r="J2212" s="100"/>
      <c r="K2212" s="100"/>
      <c r="L2212" s="100"/>
      <c r="M2212" s="100"/>
      <c r="N2212" s="100"/>
      <c r="O2212" s="100"/>
      <c r="P2212" s="100"/>
      <c r="Q2212" s="100"/>
      <c r="R2212" s="100"/>
      <c r="S2212" s="100"/>
      <c r="T2212" s="100"/>
      <c r="U2212" s="100"/>
      <c r="V2212" s="100"/>
      <c r="W2212" s="100"/>
      <c r="X2212" s="100"/>
      <c r="Y2212" s="100"/>
      <c r="Z2212" s="100"/>
      <c r="AA2212" s="100"/>
    </row>
    <row r="2213" spans="2:27">
      <c r="B2213" s="100"/>
      <c r="C2213" s="100"/>
      <c r="D2213" s="100"/>
      <c r="E2213" s="100"/>
      <c r="F2213" s="100"/>
      <c r="G2213" s="100"/>
      <c r="H2213" s="100"/>
      <c r="I2213" s="100"/>
      <c r="J2213" s="100"/>
      <c r="K2213" s="100"/>
      <c r="L2213" s="100"/>
      <c r="M2213" s="100"/>
      <c r="N2213" s="100"/>
      <c r="O2213" s="100"/>
      <c r="P2213" s="100"/>
      <c r="Q2213" s="100"/>
      <c r="R2213" s="100"/>
      <c r="S2213" s="100"/>
      <c r="T2213" s="100"/>
      <c r="U2213" s="100"/>
      <c r="V2213" s="100"/>
      <c r="W2213" s="100"/>
      <c r="X2213" s="100"/>
      <c r="Y2213" s="100"/>
      <c r="Z2213" s="100"/>
      <c r="AA2213" s="100"/>
    </row>
    <row r="2214" spans="2:27">
      <c r="B2214" s="100"/>
      <c r="C2214" s="100"/>
      <c r="D2214" s="100"/>
      <c r="E2214" s="100"/>
      <c r="F2214" s="100"/>
      <c r="G2214" s="100"/>
      <c r="H2214" s="100"/>
      <c r="I2214" s="100"/>
      <c r="J2214" s="100"/>
      <c r="K2214" s="100"/>
      <c r="L2214" s="100"/>
      <c r="M2214" s="100"/>
      <c r="N2214" s="100"/>
      <c r="O2214" s="100"/>
      <c r="P2214" s="100"/>
      <c r="Q2214" s="100"/>
      <c r="R2214" s="100"/>
      <c r="S2214" s="100"/>
      <c r="T2214" s="100"/>
      <c r="U2214" s="100"/>
      <c r="V2214" s="100"/>
      <c r="W2214" s="100"/>
      <c r="X2214" s="100"/>
      <c r="Y2214" s="100"/>
      <c r="Z2214" s="100"/>
      <c r="AA2214" s="100"/>
    </row>
    <row r="2215" spans="2:27">
      <c r="B2215" s="100"/>
      <c r="C2215" s="100"/>
      <c r="D2215" s="100"/>
      <c r="E2215" s="100"/>
      <c r="F2215" s="100"/>
      <c r="G2215" s="100"/>
      <c r="H2215" s="100"/>
      <c r="I2215" s="100"/>
      <c r="J2215" s="100"/>
      <c r="K2215" s="100"/>
      <c r="L2215" s="100"/>
      <c r="M2215" s="100"/>
      <c r="N2215" s="100"/>
      <c r="O2215" s="100"/>
      <c r="P2215" s="100"/>
      <c r="Q2215" s="100"/>
      <c r="R2215" s="100"/>
      <c r="S2215" s="100"/>
      <c r="T2215" s="100"/>
      <c r="U2215" s="100"/>
      <c r="V2215" s="100"/>
      <c r="W2215" s="100"/>
      <c r="X2215" s="100"/>
      <c r="Y2215" s="100"/>
      <c r="Z2215" s="100"/>
      <c r="AA2215" s="100"/>
    </row>
    <row r="2216" spans="2:27">
      <c r="B2216" s="100"/>
      <c r="C2216" s="100"/>
      <c r="D2216" s="100"/>
      <c r="E2216" s="100"/>
      <c r="F2216" s="100"/>
      <c r="G2216" s="100"/>
      <c r="H2216" s="100"/>
      <c r="I2216" s="100"/>
      <c r="J2216" s="100"/>
      <c r="K2216" s="100"/>
      <c r="L2216" s="100"/>
      <c r="M2216" s="100"/>
      <c r="N2216" s="100"/>
      <c r="O2216" s="100"/>
      <c r="P2216" s="100"/>
      <c r="Q2216" s="100"/>
      <c r="R2216" s="100"/>
      <c r="S2216" s="100"/>
      <c r="T2216" s="100"/>
      <c r="U2216" s="100"/>
      <c r="V2216" s="100"/>
      <c r="W2216" s="100"/>
      <c r="X2216" s="100"/>
      <c r="Y2216" s="100"/>
      <c r="Z2216" s="100"/>
      <c r="AA2216" s="100"/>
    </row>
    <row r="2217" spans="2:27">
      <c r="B2217" s="100"/>
      <c r="C2217" s="100"/>
      <c r="D2217" s="100"/>
      <c r="E2217" s="100"/>
      <c r="F2217" s="100"/>
      <c r="G2217" s="100"/>
      <c r="H2217" s="100"/>
      <c r="I2217" s="100"/>
      <c r="J2217" s="100"/>
      <c r="K2217" s="100"/>
      <c r="L2217" s="100"/>
      <c r="M2217" s="100"/>
      <c r="N2217" s="100"/>
      <c r="O2217" s="100"/>
      <c r="P2217" s="100"/>
      <c r="Q2217" s="100"/>
      <c r="R2217" s="100"/>
      <c r="S2217" s="100"/>
      <c r="T2217" s="100"/>
      <c r="U2217" s="100"/>
      <c r="V2217" s="100"/>
      <c r="W2217" s="100"/>
      <c r="X2217" s="100"/>
      <c r="Y2217" s="100"/>
      <c r="Z2217" s="100"/>
      <c r="AA2217" s="100"/>
    </row>
    <row r="2218" spans="2:27">
      <c r="B2218" s="100"/>
      <c r="C2218" s="100"/>
      <c r="D2218" s="100"/>
      <c r="E2218" s="100"/>
      <c r="F2218" s="100"/>
      <c r="G2218" s="100"/>
      <c r="H2218" s="100"/>
      <c r="I2218" s="100"/>
      <c r="J2218" s="100"/>
      <c r="K2218" s="100"/>
      <c r="L2218" s="100"/>
      <c r="M2218" s="100"/>
      <c r="N2218" s="100"/>
      <c r="O2218" s="100"/>
      <c r="P2218" s="100"/>
      <c r="Q2218" s="100"/>
      <c r="R2218" s="100"/>
      <c r="S2218" s="100"/>
      <c r="T2218" s="100"/>
      <c r="U2218" s="100"/>
      <c r="V2218" s="100"/>
      <c r="W2218" s="100"/>
      <c r="X2218" s="100"/>
      <c r="Y2218" s="100"/>
      <c r="Z2218" s="100"/>
      <c r="AA2218" s="100"/>
    </row>
    <row r="2219" spans="2:27">
      <c r="B2219" s="100"/>
      <c r="C2219" s="100"/>
      <c r="D2219" s="100"/>
      <c r="E2219" s="100"/>
      <c r="F2219" s="100"/>
      <c r="G2219" s="100"/>
      <c r="H2219" s="100"/>
      <c r="I2219" s="100"/>
      <c r="J2219" s="100"/>
      <c r="K2219" s="100"/>
      <c r="L2219" s="100"/>
      <c r="M2219" s="100"/>
      <c r="N2219" s="100"/>
      <c r="O2219" s="100"/>
      <c r="P2219" s="100"/>
      <c r="Q2219" s="100"/>
      <c r="R2219" s="100"/>
      <c r="S2219" s="100"/>
      <c r="T2219" s="100"/>
      <c r="U2219" s="100"/>
      <c r="V2219" s="100"/>
      <c r="W2219" s="100"/>
      <c r="X2219" s="100"/>
      <c r="Y2219" s="100"/>
      <c r="Z2219" s="100"/>
      <c r="AA2219" s="100"/>
    </row>
    <row r="2220" spans="2:27">
      <c r="B2220" s="100"/>
      <c r="C2220" s="100"/>
      <c r="D2220" s="100"/>
      <c r="E2220" s="100"/>
      <c r="F2220" s="100"/>
      <c r="G2220" s="100"/>
      <c r="H2220" s="100"/>
      <c r="I2220" s="100"/>
      <c r="J2220" s="100"/>
      <c r="K2220" s="100"/>
      <c r="L2220" s="100"/>
      <c r="M2220" s="100"/>
      <c r="N2220" s="100"/>
      <c r="O2220" s="100"/>
      <c r="P2220" s="100"/>
      <c r="Q2220" s="100"/>
      <c r="R2220" s="100"/>
      <c r="S2220" s="100"/>
      <c r="T2220" s="100"/>
      <c r="U2220" s="100"/>
      <c r="V2220" s="100"/>
      <c r="W2220" s="100"/>
      <c r="X2220" s="100"/>
      <c r="Y2220" s="100"/>
      <c r="Z2220" s="100"/>
      <c r="AA2220" s="100"/>
    </row>
    <row r="2221" spans="2:27">
      <c r="B2221" s="100"/>
      <c r="C2221" s="100"/>
      <c r="D2221" s="100"/>
      <c r="E2221" s="100"/>
      <c r="F2221" s="100"/>
      <c r="G2221" s="100"/>
      <c r="H2221" s="100"/>
      <c r="I2221" s="100"/>
      <c r="J2221" s="100"/>
      <c r="K2221" s="100"/>
      <c r="L2221" s="100"/>
      <c r="M2221" s="100"/>
      <c r="N2221" s="100"/>
      <c r="O2221" s="100"/>
      <c r="P2221" s="100"/>
      <c r="Q2221" s="100"/>
      <c r="R2221" s="100"/>
      <c r="S2221" s="100"/>
      <c r="T2221" s="100"/>
      <c r="U2221" s="100"/>
      <c r="V2221" s="100"/>
      <c r="W2221" s="100"/>
      <c r="X2221" s="100"/>
      <c r="Y2221" s="100"/>
      <c r="Z2221" s="100"/>
      <c r="AA2221" s="100"/>
    </row>
    <row r="2222" spans="2:27">
      <c r="B2222" s="100"/>
      <c r="C2222" s="100"/>
      <c r="D2222" s="100"/>
      <c r="E2222" s="100"/>
      <c r="F2222" s="100"/>
      <c r="G2222" s="100"/>
      <c r="H2222" s="100"/>
      <c r="I2222" s="100"/>
      <c r="J2222" s="100"/>
      <c r="K2222" s="100"/>
      <c r="L2222" s="100"/>
      <c r="M2222" s="100"/>
      <c r="N2222" s="100"/>
      <c r="O2222" s="100"/>
      <c r="P2222" s="100"/>
      <c r="Q2222" s="100"/>
      <c r="R2222" s="100"/>
      <c r="S2222" s="100"/>
      <c r="T2222" s="100"/>
      <c r="U2222" s="100"/>
      <c r="V2222" s="100"/>
      <c r="W2222" s="100"/>
      <c r="X2222" s="100"/>
      <c r="Y2222" s="100"/>
      <c r="Z2222" s="100"/>
      <c r="AA2222" s="100"/>
    </row>
    <row r="2223" spans="2:27">
      <c r="B2223" s="100"/>
      <c r="C2223" s="100"/>
      <c r="D2223" s="100"/>
      <c r="E2223" s="100"/>
      <c r="F2223" s="100"/>
      <c r="G2223" s="100"/>
      <c r="H2223" s="100"/>
      <c r="I2223" s="100"/>
      <c r="J2223" s="100"/>
      <c r="K2223" s="100"/>
      <c r="L2223" s="100"/>
      <c r="M2223" s="100"/>
      <c r="N2223" s="100"/>
      <c r="O2223" s="100"/>
      <c r="P2223" s="100"/>
      <c r="Q2223" s="100"/>
      <c r="R2223" s="100"/>
      <c r="S2223" s="100"/>
      <c r="T2223" s="100"/>
      <c r="U2223" s="100"/>
      <c r="V2223" s="100"/>
      <c r="W2223" s="100"/>
      <c r="X2223" s="100"/>
      <c r="Y2223" s="100"/>
      <c r="Z2223" s="100"/>
      <c r="AA2223" s="100"/>
    </row>
    <row r="2224" spans="2:27">
      <c r="B2224" s="100"/>
      <c r="C2224" s="100"/>
      <c r="D2224" s="100"/>
      <c r="E2224" s="100"/>
      <c r="F2224" s="100"/>
      <c r="G2224" s="100"/>
      <c r="H2224" s="100"/>
      <c r="I2224" s="100"/>
      <c r="J2224" s="100"/>
      <c r="K2224" s="100"/>
      <c r="L2224" s="100"/>
      <c r="M2224" s="100"/>
      <c r="N2224" s="100"/>
      <c r="O2224" s="100"/>
      <c r="P2224" s="100"/>
      <c r="Q2224" s="100"/>
      <c r="R2224" s="100"/>
      <c r="S2224" s="100"/>
      <c r="T2224" s="100"/>
      <c r="U2224" s="100"/>
      <c r="V2224" s="100"/>
      <c r="W2224" s="100"/>
      <c r="X2224" s="100"/>
      <c r="Y2224" s="100"/>
      <c r="Z2224" s="100"/>
      <c r="AA2224" s="100"/>
    </row>
    <row r="2225" spans="2:27">
      <c r="B2225" s="100"/>
      <c r="C2225" s="100"/>
      <c r="D2225" s="100"/>
      <c r="E2225" s="100"/>
      <c r="F2225" s="100"/>
      <c r="G2225" s="100"/>
      <c r="H2225" s="100"/>
      <c r="I2225" s="100"/>
      <c r="J2225" s="100"/>
      <c r="K2225" s="100"/>
      <c r="L2225" s="100"/>
      <c r="M2225" s="100"/>
      <c r="N2225" s="100"/>
      <c r="O2225" s="100"/>
      <c r="P2225" s="100"/>
      <c r="Q2225" s="100"/>
      <c r="R2225" s="100"/>
      <c r="S2225" s="100"/>
      <c r="T2225" s="100"/>
      <c r="U2225" s="100"/>
      <c r="V2225" s="100"/>
      <c r="W2225" s="100"/>
      <c r="X2225" s="100"/>
      <c r="Y2225" s="100"/>
      <c r="Z2225" s="100"/>
      <c r="AA2225" s="100"/>
    </row>
    <row r="2226" spans="2:27">
      <c r="B2226" s="100"/>
      <c r="C2226" s="100"/>
      <c r="D2226" s="100"/>
      <c r="E2226" s="100"/>
      <c r="F2226" s="100"/>
      <c r="G2226" s="100"/>
      <c r="H2226" s="100"/>
      <c r="I2226" s="100"/>
      <c r="J2226" s="100"/>
      <c r="K2226" s="100"/>
      <c r="L2226" s="100"/>
      <c r="M2226" s="100"/>
      <c r="N2226" s="100"/>
      <c r="O2226" s="100"/>
      <c r="P2226" s="100"/>
      <c r="Q2226" s="100"/>
      <c r="R2226" s="100"/>
      <c r="S2226" s="100"/>
      <c r="T2226" s="100"/>
      <c r="U2226" s="100"/>
      <c r="V2226" s="100"/>
      <c r="W2226" s="100"/>
      <c r="X2226" s="100"/>
      <c r="Y2226" s="100"/>
      <c r="Z2226" s="100"/>
      <c r="AA2226" s="100"/>
    </row>
    <row r="2227" spans="2:27">
      <c r="B2227" s="100"/>
      <c r="C2227" s="100"/>
      <c r="D2227" s="100"/>
      <c r="E2227" s="100"/>
      <c r="F2227" s="100"/>
      <c r="G2227" s="100"/>
      <c r="H2227" s="100"/>
      <c r="I2227" s="100"/>
      <c r="J2227" s="100"/>
      <c r="K2227" s="100"/>
      <c r="L2227" s="100"/>
      <c r="M2227" s="100"/>
      <c r="N2227" s="100"/>
      <c r="O2227" s="100"/>
      <c r="P2227" s="100"/>
      <c r="Q2227" s="100"/>
      <c r="R2227" s="100"/>
      <c r="S2227" s="100"/>
      <c r="T2227" s="100"/>
      <c r="U2227" s="100"/>
      <c r="V2227" s="100"/>
      <c r="W2227" s="100"/>
      <c r="X2227" s="100"/>
      <c r="Y2227" s="100"/>
      <c r="Z2227" s="100"/>
      <c r="AA2227" s="100"/>
    </row>
    <row r="2228" spans="2:27">
      <c r="B2228" s="100"/>
      <c r="C2228" s="100"/>
      <c r="D2228" s="100"/>
      <c r="E2228" s="100"/>
      <c r="F2228" s="100"/>
      <c r="G2228" s="100"/>
      <c r="H2228" s="100"/>
      <c r="I2228" s="100"/>
      <c r="J2228" s="100"/>
      <c r="K2228" s="100"/>
      <c r="L2228" s="100"/>
      <c r="M2228" s="100"/>
      <c r="N2228" s="100"/>
      <c r="O2228" s="100"/>
      <c r="P2228" s="100"/>
      <c r="Q2228" s="100"/>
      <c r="R2228" s="100"/>
      <c r="S2228" s="100"/>
      <c r="T2228" s="100"/>
      <c r="U2228" s="100"/>
      <c r="V2228" s="100"/>
      <c r="W2228" s="100"/>
      <c r="X2228" s="100"/>
      <c r="Y2228" s="100"/>
      <c r="Z2228" s="100"/>
      <c r="AA2228" s="100"/>
    </row>
    <row r="2229" spans="2:27">
      <c r="B2229" s="100"/>
      <c r="C2229" s="100"/>
      <c r="D2229" s="100"/>
      <c r="E2229" s="100"/>
      <c r="F2229" s="100"/>
      <c r="G2229" s="100"/>
      <c r="H2229" s="100"/>
      <c r="I2229" s="100"/>
      <c r="J2229" s="100"/>
      <c r="K2229" s="100"/>
      <c r="L2229" s="100"/>
      <c r="M2229" s="100"/>
      <c r="N2229" s="100"/>
      <c r="O2229" s="100"/>
      <c r="P2229" s="100"/>
      <c r="Q2229" s="100"/>
      <c r="R2229" s="100"/>
      <c r="S2229" s="100"/>
      <c r="T2229" s="100"/>
      <c r="U2229" s="100"/>
      <c r="V2229" s="100"/>
      <c r="W2229" s="100"/>
      <c r="X2229" s="100"/>
      <c r="Y2229" s="100"/>
      <c r="Z2229" s="100"/>
      <c r="AA2229" s="100"/>
    </row>
    <row r="2230" spans="2:27">
      <c r="B2230" s="100"/>
      <c r="C2230" s="100"/>
      <c r="D2230" s="100"/>
      <c r="E2230" s="100"/>
      <c r="F2230" s="100"/>
      <c r="G2230" s="100"/>
      <c r="H2230" s="100"/>
      <c r="I2230" s="100"/>
      <c r="J2230" s="100"/>
      <c r="K2230" s="100"/>
      <c r="L2230" s="100"/>
      <c r="M2230" s="100"/>
      <c r="N2230" s="100"/>
      <c r="O2230" s="100"/>
      <c r="P2230" s="100"/>
      <c r="Q2230" s="100"/>
      <c r="R2230" s="100"/>
      <c r="S2230" s="100"/>
      <c r="T2230" s="100"/>
      <c r="U2230" s="100"/>
      <c r="V2230" s="100"/>
      <c r="W2230" s="100"/>
      <c r="X2230" s="100"/>
      <c r="Y2230" s="100"/>
      <c r="Z2230" s="100"/>
      <c r="AA2230" s="100"/>
    </row>
    <row r="2231" spans="2:27">
      <c r="B2231" s="100"/>
      <c r="C2231" s="100"/>
      <c r="D2231" s="100"/>
      <c r="E2231" s="100"/>
      <c r="F2231" s="100"/>
      <c r="G2231" s="100"/>
      <c r="H2231" s="100"/>
      <c r="I2231" s="100"/>
      <c r="J2231" s="100"/>
      <c r="K2231" s="100"/>
      <c r="L2231" s="100"/>
      <c r="M2231" s="100"/>
      <c r="N2231" s="100"/>
      <c r="O2231" s="100"/>
      <c r="P2231" s="100"/>
      <c r="Q2231" s="100"/>
      <c r="R2231" s="100"/>
      <c r="S2231" s="100"/>
      <c r="T2231" s="100"/>
      <c r="U2231" s="100"/>
      <c r="V2231" s="100"/>
      <c r="W2231" s="100"/>
      <c r="X2231" s="100"/>
      <c r="Y2231" s="100"/>
      <c r="Z2231" s="100"/>
      <c r="AA2231" s="100"/>
    </row>
    <row r="2232" spans="2:27">
      <c r="B2232" s="100"/>
      <c r="C2232" s="100"/>
      <c r="D2232" s="100"/>
      <c r="E2232" s="100"/>
      <c r="F2232" s="100"/>
      <c r="G2232" s="100"/>
      <c r="H2232" s="100"/>
      <c r="I2232" s="100"/>
      <c r="J2232" s="100"/>
      <c r="K2232" s="100"/>
      <c r="L2232" s="100"/>
      <c r="M2232" s="100"/>
      <c r="N2232" s="100"/>
      <c r="O2232" s="100"/>
      <c r="P2232" s="100"/>
      <c r="Q2232" s="100"/>
      <c r="R2232" s="100"/>
      <c r="S2232" s="100"/>
      <c r="T2232" s="100"/>
      <c r="U2232" s="100"/>
      <c r="V2232" s="100"/>
      <c r="W2232" s="100"/>
      <c r="X2232" s="100"/>
      <c r="Y2232" s="100"/>
      <c r="Z2232" s="100"/>
      <c r="AA2232" s="100"/>
    </row>
    <row r="2233" spans="2:27">
      <c r="B2233" s="100"/>
      <c r="C2233" s="100"/>
      <c r="D2233" s="100"/>
      <c r="E2233" s="100"/>
      <c r="F2233" s="100"/>
      <c r="G2233" s="100"/>
      <c r="H2233" s="100"/>
      <c r="I2233" s="100"/>
      <c r="J2233" s="100"/>
      <c r="K2233" s="100"/>
      <c r="L2233" s="100"/>
      <c r="M2233" s="100"/>
      <c r="N2233" s="100"/>
      <c r="O2233" s="100"/>
      <c r="P2233" s="100"/>
      <c r="Q2233" s="100"/>
      <c r="R2233" s="100"/>
      <c r="S2233" s="100"/>
      <c r="T2233" s="100"/>
      <c r="U2233" s="100"/>
      <c r="V2233" s="100"/>
      <c r="W2233" s="100"/>
      <c r="X2233" s="100"/>
      <c r="Y2233" s="100"/>
      <c r="Z2233" s="100"/>
      <c r="AA2233" s="100"/>
    </row>
    <row r="2234" spans="2:27">
      <c r="B2234" s="100"/>
      <c r="C2234" s="100"/>
      <c r="D2234" s="100"/>
      <c r="E2234" s="100"/>
      <c r="F2234" s="100"/>
      <c r="G2234" s="100"/>
      <c r="H2234" s="100"/>
      <c r="I2234" s="100"/>
      <c r="J2234" s="100"/>
      <c r="K2234" s="100"/>
      <c r="L2234" s="100"/>
      <c r="M2234" s="100"/>
      <c r="N2234" s="100"/>
      <c r="O2234" s="100"/>
      <c r="P2234" s="100"/>
      <c r="Q2234" s="100"/>
      <c r="R2234" s="100"/>
      <c r="S2234" s="100"/>
      <c r="T2234" s="100"/>
      <c r="U2234" s="100"/>
      <c r="V2234" s="100"/>
      <c r="W2234" s="100"/>
      <c r="X2234" s="100"/>
      <c r="Y2234" s="100"/>
      <c r="Z2234" s="100"/>
      <c r="AA2234" s="100"/>
    </row>
    <row r="2235" spans="2:27">
      <c r="B2235" s="100"/>
      <c r="C2235" s="100"/>
      <c r="D2235" s="100"/>
      <c r="E2235" s="100"/>
      <c r="F2235" s="100"/>
      <c r="G2235" s="100"/>
      <c r="H2235" s="100"/>
      <c r="I2235" s="100"/>
      <c r="J2235" s="100"/>
      <c r="K2235" s="100"/>
      <c r="L2235" s="100"/>
      <c r="M2235" s="100"/>
      <c r="N2235" s="100"/>
      <c r="O2235" s="100"/>
      <c r="P2235" s="100"/>
      <c r="Q2235" s="100"/>
      <c r="R2235" s="100"/>
      <c r="S2235" s="100"/>
      <c r="T2235" s="100"/>
      <c r="U2235" s="100"/>
      <c r="V2235" s="100"/>
      <c r="W2235" s="100"/>
      <c r="X2235" s="100"/>
      <c r="Y2235" s="100"/>
      <c r="Z2235" s="100"/>
      <c r="AA2235" s="100"/>
    </row>
    <row r="2236" spans="2:27">
      <c r="B2236" s="100"/>
      <c r="C2236" s="100"/>
      <c r="D2236" s="100"/>
      <c r="E2236" s="100"/>
      <c r="F2236" s="100"/>
      <c r="G2236" s="100"/>
      <c r="H2236" s="100"/>
      <c r="I2236" s="100"/>
      <c r="J2236" s="100"/>
      <c r="K2236" s="100"/>
      <c r="L2236" s="100"/>
      <c r="M2236" s="100"/>
      <c r="N2236" s="100"/>
      <c r="O2236" s="100"/>
      <c r="P2236" s="100"/>
      <c r="Q2236" s="100"/>
      <c r="R2236" s="100"/>
      <c r="S2236" s="100"/>
      <c r="T2236" s="100"/>
      <c r="U2236" s="100"/>
      <c r="V2236" s="100"/>
      <c r="W2236" s="100"/>
      <c r="X2236" s="100"/>
      <c r="Y2236" s="100"/>
      <c r="Z2236" s="100"/>
      <c r="AA2236" s="100"/>
    </row>
    <row r="2237" spans="2:27">
      <c r="B2237" s="100"/>
      <c r="C2237" s="100"/>
      <c r="D2237" s="100"/>
      <c r="E2237" s="100"/>
      <c r="F2237" s="100"/>
      <c r="G2237" s="100"/>
      <c r="H2237" s="100"/>
      <c r="I2237" s="100"/>
      <c r="J2237" s="100"/>
      <c r="K2237" s="100"/>
      <c r="L2237" s="100"/>
      <c r="M2237" s="100"/>
      <c r="N2237" s="100"/>
      <c r="O2237" s="100"/>
      <c r="P2237" s="100"/>
      <c r="Q2237" s="100"/>
      <c r="R2237" s="100"/>
      <c r="S2237" s="100"/>
      <c r="T2237" s="100"/>
      <c r="U2237" s="100"/>
      <c r="V2237" s="100"/>
      <c r="W2237" s="100"/>
      <c r="X2237" s="100"/>
      <c r="Y2237" s="100"/>
      <c r="Z2237" s="100"/>
      <c r="AA2237" s="100"/>
    </row>
    <row r="2238" spans="2:27">
      <c r="B2238" s="100"/>
      <c r="C2238" s="100"/>
      <c r="D2238" s="100"/>
      <c r="E2238" s="100"/>
      <c r="F2238" s="100"/>
      <c r="G2238" s="100"/>
      <c r="H2238" s="100"/>
      <c r="I2238" s="100"/>
      <c r="J2238" s="100"/>
      <c r="K2238" s="100"/>
      <c r="L2238" s="100"/>
      <c r="M2238" s="100"/>
      <c r="N2238" s="100"/>
      <c r="O2238" s="100"/>
      <c r="P2238" s="100"/>
      <c r="Q2238" s="100"/>
      <c r="R2238" s="100"/>
      <c r="S2238" s="100"/>
      <c r="T2238" s="100"/>
      <c r="U2238" s="100"/>
      <c r="V2238" s="100"/>
      <c r="W2238" s="100"/>
      <c r="X2238" s="100"/>
      <c r="Y2238" s="100"/>
      <c r="Z2238" s="100"/>
      <c r="AA2238" s="100"/>
    </row>
    <row r="2239" spans="2:27">
      <c r="B2239" s="100"/>
      <c r="C2239" s="100"/>
      <c r="D2239" s="100"/>
      <c r="E2239" s="100"/>
      <c r="F2239" s="100"/>
      <c r="G2239" s="100"/>
      <c r="H2239" s="100"/>
      <c r="I2239" s="100"/>
      <c r="J2239" s="100"/>
      <c r="K2239" s="100"/>
      <c r="L2239" s="100"/>
      <c r="M2239" s="100"/>
      <c r="N2239" s="100"/>
      <c r="O2239" s="100"/>
      <c r="P2239" s="100"/>
      <c r="Q2239" s="100"/>
      <c r="R2239" s="100"/>
      <c r="S2239" s="100"/>
      <c r="T2239" s="100"/>
      <c r="U2239" s="100"/>
      <c r="V2239" s="100"/>
      <c r="W2239" s="100"/>
      <c r="X2239" s="100"/>
      <c r="Y2239" s="100"/>
      <c r="Z2239" s="100"/>
      <c r="AA2239" s="100"/>
    </row>
    <row r="2240" spans="2:27">
      <c r="B2240" s="100"/>
      <c r="C2240" s="100"/>
      <c r="D2240" s="100"/>
      <c r="E2240" s="100"/>
      <c r="F2240" s="100"/>
      <c r="G2240" s="100"/>
      <c r="H2240" s="100"/>
      <c r="I2240" s="100"/>
      <c r="J2240" s="100"/>
      <c r="K2240" s="100"/>
      <c r="L2240" s="100"/>
      <c r="M2240" s="100"/>
      <c r="N2240" s="100"/>
      <c r="O2240" s="100"/>
      <c r="P2240" s="100"/>
      <c r="Q2240" s="100"/>
      <c r="R2240" s="100"/>
      <c r="S2240" s="100"/>
      <c r="T2240" s="100"/>
      <c r="U2240" s="100"/>
      <c r="V2240" s="100"/>
      <c r="W2240" s="100"/>
      <c r="X2240" s="100"/>
      <c r="Y2240" s="100"/>
      <c r="Z2240" s="100"/>
      <c r="AA2240" s="100"/>
    </row>
    <row r="2241" spans="2:27">
      <c r="B2241" s="100"/>
      <c r="C2241" s="100"/>
      <c r="D2241" s="100"/>
      <c r="E2241" s="100"/>
      <c r="F2241" s="100"/>
      <c r="G2241" s="100"/>
      <c r="H2241" s="100"/>
      <c r="I2241" s="100"/>
      <c r="J2241" s="100"/>
      <c r="K2241" s="100"/>
      <c r="L2241" s="100"/>
      <c r="M2241" s="100"/>
      <c r="N2241" s="100"/>
      <c r="O2241" s="100"/>
      <c r="P2241" s="100"/>
      <c r="Q2241" s="100"/>
      <c r="R2241" s="100"/>
      <c r="S2241" s="100"/>
      <c r="T2241" s="100"/>
      <c r="U2241" s="100"/>
      <c r="V2241" s="100"/>
      <c r="W2241" s="100"/>
      <c r="X2241" s="100"/>
      <c r="Y2241" s="100"/>
      <c r="Z2241" s="100"/>
      <c r="AA2241" s="100"/>
    </row>
    <row r="2242" spans="2:27">
      <c r="B2242" s="100"/>
      <c r="C2242" s="100"/>
      <c r="D2242" s="100"/>
      <c r="E2242" s="100"/>
      <c r="F2242" s="100"/>
      <c r="G2242" s="100"/>
      <c r="H2242" s="100"/>
      <c r="I2242" s="100"/>
      <c r="J2242" s="100"/>
      <c r="K2242" s="100"/>
      <c r="L2242" s="100"/>
      <c r="M2242" s="100"/>
      <c r="N2242" s="100"/>
      <c r="O2242" s="100"/>
      <c r="P2242" s="100"/>
      <c r="Q2242" s="100"/>
      <c r="R2242" s="100"/>
      <c r="S2242" s="100"/>
      <c r="T2242" s="100"/>
      <c r="U2242" s="100"/>
      <c r="V2242" s="100"/>
      <c r="W2242" s="100"/>
      <c r="X2242" s="100"/>
      <c r="Y2242" s="100"/>
      <c r="Z2242" s="100"/>
      <c r="AA2242" s="100"/>
    </row>
    <row r="2243" spans="2:27">
      <c r="B2243" s="100"/>
      <c r="C2243" s="100"/>
      <c r="D2243" s="100"/>
      <c r="E2243" s="100"/>
      <c r="F2243" s="100"/>
      <c r="G2243" s="100"/>
      <c r="H2243" s="100"/>
      <c r="I2243" s="100"/>
      <c r="J2243" s="100"/>
      <c r="K2243" s="100"/>
      <c r="L2243" s="100"/>
      <c r="M2243" s="100"/>
      <c r="N2243" s="100"/>
      <c r="O2243" s="100"/>
      <c r="P2243" s="100"/>
      <c r="Q2243" s="100"/>
      <c r="R2243" s="100"/>
      <c r="S2243" s="100"/>
      <c r="T2243" s="100"/>
      <c r="U2243" s="100"/>
      <c r="V2243" s="100"/>
      <c r="W2243" s="100"/>
      <c r="X2243" s="100"/>
      <c r="Y2243" s="100"/>
      <c r="Z2243" s="100"/>
      <c r="AA2243" s="100"/>
    </row>
    <row r="2244" spans="2:27">
      <c r="B2244" s="100"/>
      <c r="C2244" s="100"/>
      <c r="D2244" s="100"/>
      <c r="E2244" s="100"/>
      <c r="F2244" s="100"/>
      <c r="G2244" s="100"/>
      <c r="H2244" s="100"/>
      <c r="I2244" s="100"/>
      <c r="J2244" s="100"/>
      <c r="K2244" s="100"/>
      <c r="L2244" s="100"/>
      <c r="M2244" s="100"/>
      <c r="N2244" s="100"/>
      <c r="O2244" s="100"/>
      <c r="P2244" s="100"/>
      <c r="Q2244" s="100"/>
      <c r="R2244" s="100"/>
      <c r="S2244" s="100"/>
      <c r="T2244" s="100"/>
      <c r="U2244" s="100"/>
      <c r="V2244" s="100"/>
      <c r="W2244" s="100"/>
      <c r="X2244" s="100"/>
      <c r="Y2244" s="100"/>
      <c r="Z2244" s="100"/>
      <c r="AA2244" s="100"/>
    </row>
    <row r="2245" spans="2:27">
      <c r="B2245" s="100"/>
      <c r="C2245" s="100"/>
      <c r="D2245" s="100"/>
      <c r="E2245" s="100"/>
      <c r="F2245" s="100"/>
      <c r="G2245" s="100"/>
      <c r="H2245" s="100"/>
      <c r="I2245" s="100"/>
      <c r="J2245" s="100"/>
      <c r="K2245" s="100"/>
      <c r="L2245" s="100"/>
      <c r="M2245" s="100"/>
      <c r="N2245" s="100"/>
      <c r="O2245" s="100"/>
      <c r="P2245" s="100"/>
      <c r="Q2245" s="100"/>
      <c r="R2245" s="100"/>
      <c r="S2245" s="100"/>
      <c r="T2245" s="100"/>
      <c r="U2245" s="100"/>
      <c r="V2245" s="100"/>
      <c r="W2245" s="100"/>
      <c r="X2245" s="100"/>
      <c r="Y2245" s="100"/>
      <c r="Z2245" s="100"/>
      <c r="AA2245" s="100"/>
    </row>
    <row r="2246" spans="2:27">
      <c r="B2246" s="100"/>
      <c r="C2246" s="100"/>
      <c r="D2246" s="100"/>
      <c r="E2246" s="100"/>
      <c r="F2246" s="100"/>
      <c r="G2246" s="100"/>
      <c r="H2246" s="100"/>
      <c r="I2246" s="100"/>
      <c r="J2246" s="100"/>
      <c r="K2246" s="100"/>
      <c r="L2246" s="100"/>
      <c r="M2246" s="100"/>
      <c r="N2246" s="100"/>
      <c r="O2246" s="100"/>
      <c r="P2246" s="100"/>
      <c r="Q2246" s="100"/>
      <c r="R2246" s="100"/>
      <c r="S2246" s="100"/>
      <c r="T2246" s="100"/>
      <c r="U2246" s="100"/>
      <c r="V2246" s="100"/>
      <c r="W2246" s="100"/>
      <c r="X2246" s="100"/>
      <c r="Y2246" s="100"/>
      <c r="Z2246" s="100"/>
      <c r="AA2246" s="100"/>
    </row>
    <row r="2247" spans="2:27">
      <c r="B2247" s="100"/>
      <c r="C2247" s="100"/>
      <c r="D2247" s="100"/>
      <c r="E2247" s="100"/>
      <c r="F2247" s="100"/>
      <c r="G2247" s="100"/>
      <c r="H2247" s="100"/>
      <c r="I2247" s="100"/>
      <c r="J2247" s="100"/>
      <c r="K2247" s="100"/>
      <c r="L2247" s="100"/>
      <c r="M2247" s="100"/>
      <c r="N2247" s="100"/>
      <c r="O2247" s="100"/>
      <c r="P2247" s="100"/>
      <c r="Q2247" s="100"/>
      <c r="R2247" s="100"/>
      <c r="S2247" s="100"/>
      <c r="T2247" s="100"/>
      <c r="U2247" s="100"/>
      <c r="V2247" s="100"/>
      <c r="W2247" s="100"/>
      <c r="X2247" s="100"/>
      <c r="Y2247" s="100"/>
      <c r="Z2247" s="100"/>
      <c r="AA2247" s="100"/>
    </row>
    <row r="2248" spans="2:27">
      <c r="B2248" s="100"/>
      <c r="C2248" s="100"/>
      <c r="D2248" s="100"/>
      <c r="E2248" s="100"/>
      <c r="F2248" s="100"/>
      <c r="G2248" s="100"/>
      <c r="H2248" s="100"/>
      <c r="I2248" s="100"/>
      <c r="J2248" s="100"/>
      <c r="K2248" s="100"/>
      <c r="L2248" s="100"/>
      <c r="M2248" s="100"/>
      <c r="N2248" s="100"/>
      <c r="O2248" s="100"/>
      <c r="P2248" s="100"/>
      <c r="Q2248" s="100"/>
      <c r="R2248" s="100"/>
      <c r="S2248" s="100"/>
      <c r="T2248" s="100"/>
      <c r="U2248" s="100"/>
      <c r="V2248" s="100"/>
      <c r="W2248" s="100"/>
      <c r="X2248" s="100"/>
      <c r="Y2248" s="100"/>
      <c r="Z2248" s="100"/>
      <c r="AA2248" s="100"/>
    </row>
    <row r="2249" spans="2:27">
      <c r="B2249" s="100"/>
      <c r="C2249" s="100"/>
      <c r="D2249" s="100"/>
      <c r="E2249" s="100"/>
      <c r="F2249" s="100"/>
      <c r="G2249" s="100"/>
      <c r="H2249" s="100"/>
      <c r="I2249" s="100"/>
      <c r="J2249" s="100"/>
      <c r="K2249" s="100"/>
      <c r="L2249" s="100"/>
      <c r="M2249" s="100"/>
      <c r="N2249" s="100"/>
      <c r="O2249" s="100"/>
      <c r="P2249" s="100"/>
      <c r="Q2249" s="100"/>
      <c r="R2249" s="100"/>
      <c r="S2249" s="100"/>
      <c r="T2249" s="100"/>
      <c r="U2249" s="100"/>
      <c r="V2249" s="100"/>
      <c r="W2249" s="100"/>
      <c r="X2249" s="100"/>
      <c r="Y2249" s="100"/>
      <c r="Z2249" s="100"/>
      <c r="AA2249" s="100"/>
    </row>
    <row r="2250" spans="2:27">
      <c r="B2250" s="100"/>
      <c r="C2250" s="100"/>
      <c r="D2250" s="100"/>
      <c r="E2250" s="100"/>
      <c r="F2250" s="100"/>
      <c r="G2250" s="100"/>
      <c r="H2250" s="100"/>
      <c r="I2250" s="100"/>
      <c r="J2250" s="100"/>
      <c r="K2250" s="100"/>
      <c r="L2250" s="100"/>
      <c r="M2250" s="100"/>
      <c r="N2250" s="100"/>
      <c r="O2250" s="100"/>
      <c r="P2250" s="100"/>
      <c r="Q2250" s="100"/>
      <c r="R2250" s="100"/>
      <c r="S2250" s="100"/>
      <c r="T2250" s="100"/>
      <c r="U2250" s="100"/>
      <c r="V2250" s="100"/>
      <c r="W2250" s="100"/>
      <c r="X2250" s="100"/>
      <c r="Y2250" s="100"/>
      <c r="Z2250" s="100"/>
      <c r="AA2250" s="100"/>
    </row>
    <row r="2251" spans="2:27">
      <c r="B2251" s="100"/>
      <c r="C2251" s="100"/>
      <c r="D2251" s="100"/>
      <c r="E2251" s="100"/>
      <c r="F2251" s="100"/>
      <c r="G2251" s="100"/>
      <c r="H2251" s="100"/>
      <c r="I2251" s="100"/>
      <c r="J2251" s="100"/>
      <c r="K2251" s="100"/>
      <c r="L2251" s="100"/>
      <c r="M2251" s="100"/>
      <c r="N2251" s="100"/>
      <c r="O2251" s="100"/>
      <c r="P2251" s="100"/>
      <c r="Q2251" s="100"/>
      <c r="R2251" s="100"/>
      <c r="S2251" s="100"/>
      <c r="T2251" s="100"/>
      <c r="U2251" s="100"/>
      <c r="V2251" s="100"/>
      <c r="W2251" s="100"/>
      <c r="X2251" s="100"/>
      <c r="Y2251" s="100"/>
      <c r="Z2251" s="100"/>
      <c r="AA2251" s="100"/>
    </row>
    <row r="2252" spans="2:27">
      <c r="B2252" s="100"/>
      <c r="C2252" s="100"/>
      <c r="D2252" s="100"/>
      <c r="E2252" s="100"/>
      <c r="F2252" s="100"/>
      <c r="G2252" s="100"/>
      <c r="H2252" s="100"/>
      <c r="I2252" s="100"/>
      <c r="J2252" s="100"/>
      <c r="K2252" s="100"/>
      <c r="L2252" s="100"/>
      <c r="M2252" s="100"/>
      <c r="N2252" s="100"/>
      <c r="O2252" s="100"/>
      <c r="P2252" s="100"/>
      <c r="Q2252" s="100"/>
      <c r="R2252" s="100"/>
      <c r="S2252" s="100"/>
      <c r="T2252" s="100"/>
      <c r="U2252" s="100"/>
      <c r="V2252" s="100"/>
      <c r="W2252" s="100"/>
      <c r="X2252" s="100"/>
      <c r="Y2252" s="100"/>
      <c r="Z2252" s="100"/>
      <c r="AA2252" s="100"/>
    </row>
    <row r="2253" spans="2:27">
      <c r="B2253" s="100"/>
      <c r="C2253" s="100"/>
      <c r="D2253" s="100"/>
      <c r="E2253" s="100"/>
      <c r="F2253" s="100"/>
      <c r="G2253" s="100"/>
      <c r="H2253" s="100"/>
      <c r="I2253" s="100"/>
      <c r="J2253" s="100"/>
      <c r="K2253" s="100"/>
      <c r="L2253" s="100"/>
      <c r="M2253" s="100"/>
      <c r="N2253" s="100"/>
      <c r="O2253" s="100"/>
      <c r="P2253" s="100"/>
      <c r="Q2253" s="100"/>
      <c r="R2253" s="100"/>
      <c r="S2253" s="100"/>
      <c r="T2253" s="100"/>
      <c r="U2253" s="100"/>
      <c r="V2253" s="100"/>
      <c r="W2253" s="100"/>
      <c r="X2253" s="100"/>
      <c r="Y2253" s="100"/>
      <c r="Z2253" s="100"/>
      <c r="AA2253" s="100"/>
    </row>
    <row r="2254" spans="2:27">
      <c r="B2254" s="100"/>
      <c r="C2254" s="100"/>
      <c r="D2254" s="100"/>
      <c r="E2254" s="100"/>
      <c r="F2254" s="100"/>
      <c r="G2254" s="100"/>
      <c r="H2254" s="100"/>
      <c r="I2254" s="100"/>
      <c r="J2254" s="100"/>
      <c r="K2254" s="100"/>
      <c r="L2254" s="100"/>
      <c r="M2254" s="100"/>
      <c r="N2254" s="100"/>
      <c r="O2254" s="100"/>
      <c r="P2254" s="100"/>
      <c r="Q2254" s="100"/>
      <c r="R2254" s="100"/>
      <c r="S2254" s="100"/>
      <c r="T2254" s="100"/>
      <c r="U2254" s="100"/>
      <c r="V2254" s="100"/>
      <c r="W2254" s="100"/>
      <c r="X2254" s="100"/>
      <c r="Y2254" s="100"/>
      <c r="Z2254" s="100"/>
      <c r="AA2254" s="100"/>
    </row>
    <row r="2255" spans="2:27">
      <c r="B2255" s="100"/>
      <c r="C2255" s="100"/>
      <c r="D2255" s="100"/>
      <c r="E2255" s="100"/>
      <c r="F2255" s="100"/>
      <c r="G2255" s="100"/>
      <c r="H2255" s="100"/>
      <c r="I2255" s="100"/>
      <c r="J2255" s="100"/>
      <c r="K2255" s="100"/>
      <c r="L2255" s="100"/>
      <c r="M2255" s="100"/>
      <c r="N2255" s="100"/>
      <c r="O2255" s="100"/>
      <c r="P2255" s="100"/>
      <c r="Q2255" s="100"/>
      <c r="R2255" s="100"/>
      <c r="S2255" s="100"/>
      <c r="T2255" s="100"/>
      <c r="U2255" s="100"/>
      <c r="V2255" s="100"/>
      <c r="W2255" s="100"/>
      <c r="X2255" s="100"/>
      <c r="Y2255" s="100"/>
      <c r="Z2255" s="100"/>
      <c r="AA2255" s="100"/>
    </row>
    <row r="2256" spans="2:27">
      <c r="B2256" s="100"/>
      <c r="C2256" s="100"/>
      <c r="D2256" s="100"/>
      <c r="E2256" s="100"/>
      <c r="F2256" s="100"/>
      <c r="G2256" s="100"/>
      <c r="H2256" s="100"/>
      <c r="I2256" s="100"/>
      <c r="J2256" s="100"/>
      <c r="K2256" s="100"/>
      <c r="L2256" s="100"/>
      <c r="M2256" s="100"/>
      <c r="N2256" s="100"/>
      <c r="O2256" s="100"/>
      <c r="P2256" s="100"/>
      <c r="Q2256" s="100"/>
      <c r="R2256" s="100"/>
      <c r="S2256" s="100"/>
      <c r="T2256" s="100"/>
      <c r="U2256" s="100"/>
      <c r="V2256" s="100"/>
      <c r="W2256" s="100"/>
      <c r="X2256" s="100"/>
      <c r="Y2256" s="100"/>
      <c r="Z2256" s="100"/>
      <c r="AA2256" s="100"/>
    </row>
    <row r="2257" spans="2:27">
      <c r="B2257" s="100"/>
      <c r="C2257" s="100"/>
      <c r="D2257" s="100"/>
      <c r="E2257" s="100"/>
      <c r="F2257" s="100"/>
      <c r="G2257" s="100"/>
      <c r="H2257" s="100"/>
      <c r="I2257" s="100"/>
      <c r="J2257" s="100"/>
      <c r="K2257" s="100"/>
      <c r="L2257" s="100"/>
      <c r="M2257" s="100"/>
      <c r="N2257" s="100"/>
      <c r="O2257" s="100"/>
      <c r="P2257" s="100"/>
      <c r="Q2257" s="100"/>
      <c r="R2257" s="100"/>
      <c r="S2257" s="100"/>
      <c r="T2257" s="100"/>
      <c r="U2257" s="100"/>
      <c r="V2257" s="100"/>
      <c r="W2257" s="100"/>
      <c r="X2257" s="100"/>
      <c r="Y2257" s="100"/>
      <c r="Z2257" s="100"/>
      <c r="AA2257" s="100"/>
    </row>
    <row r="2258" spans="2:27">
      <c r="B2258" s="100"/>
      <c r="C2258" s="100"/>
      <c r="D2258" s="100"/>
      <c r="E2258" s="100"/>
      <c r="F2258" s="100"/>
      <c r="G2258" s="100"/>
      <c r="H2258" s="100"/>
      <c r="I2258" s="100"/>
      <c r="J2258" s="100"/>
      <c r="K2258" s="100"/>
      <c r="L2258" s="100"/>
      <c r="M2258" s="100"/>
      <c r="N2258" s="100"/>
      <c r="O2258" s="100"/>
      <c r="P2258" s="100"/>
      <c r="Q2258" s="100"/>
      <c r="R2258" s="100"/>
      <c r="S2258" s="100"/>
      <c r="T2258" s="100"/>
      <c r="U2258" s="100"/>
      <c r="V2258" s="100"/>
      <c r="W2258" s="100"/>
      <c r="X2258" s="100"/>
      <c r="Y2258" s="100"/>
      <c r="Z2258" s="100"/>
      <c r="AA2258" s="100"/>
    </row>
    <row r="2259" spans="2:27">
      <c r="B2259" s="100"/>
      <c r="C2259" s="100"/>
      <c r="D2259" s="100"/>
      <c r="E2259" s="100"/>
      <c r="F2259" s="100"/>
      <c r="G2259" s="100"/>
      <c r="H2259" s="100"/>
      <c r="I2259" s="100"/>
      <c r="J2259" s="100"/>
      <c r="K2259" s="100"/>
      <c r="L2259" s="100"/>
      <c r="M2259" s="100"/>
      <c r="N2259" s="100"/>
      <c r="O2259" s="100"/>
      <c r="P2259" s="100"/>
      <c r="Q2259" s="100"/>
      <c r="R2259" s="100"/>
      <c r="S2259" s="100"/>
      <c r="T2259" s="100"/>
      <c r="U2259" s="100"/>
      <c r="V2259" s="100"/>
      <c r="W2259" s="100"/>
      <c r="X2259" s="100"/>
      <c r="Y2259" s="100"/>
      <c r="Z2259" s="100"/>
      <c r="AA2259" s="100"/>
    </row>
    <row r="2260" spans="2:27">
      <c r="B2260" s="100"/>
      <c r="C2260" s="100"/>
      <c r="D2260" s="100"/>
      <c r="E2260" s="100"/>
      <c r="F2260" s="100"/>
      <c r="G2260" s="100"/>
      <c r="H2260" s="100"/>
      <c r="I2260" s="100"/>
      <c r="J2260" s="100"/>
      <c r="K2260" s="100"/>
      <c r="L2260" s="100"/>
      <c r="M2260" s="100"/>
      <c r="N2260" s="100"/>
      <c r="O2260" s="100"/>
      <c r="P2260" s="100"/>
      <c r="Q2260" s="100"/>
      <c r="R2260" s="100"/>
      <c r="S2260" s="100"/>
      <c r="T2260" s="100"/>
      <c r="U2260" s="100"/>
      <c r="V2260" s="100"/>
      <c r="W2260" s="100"/>
      <c r="X2260" s="100"/>
      <c r="Y2260" s="100"/>
      <c r="Z2260" s="100"/>
      <c r="AA2260" s="100"/>
    </row>
    <row r="2261" spans="2:27">
      <c r="B2261" s="100"/>
      <c r="C2261" s="100"/>
      <c r="D2261" s="100"/>
      <c r="E2261" s="100"/>
      <c r="F2261" s="100"/>
      <c r="G2261" s="100"/>
      <c r="H2261" s="100"/>
      <c r="I2261" s="100"/>
      <c r="J2261" s="100"/>
      <c r="K2261" s="100"/>
      <c r="L2261" s="100"/>
      <c r="M2261" s="100"/>
      <c r="N2261" s="100"/>
      <c r="O2261" s="100"/>
      <c r="P2261" s="100"/>
      <c r="Q2261" s="100"/>
      <c r="R2261" s="100"/>
      <c r="S2261" s="100"/>
      <c r="T2261" s="100"/>
      <c r="U2261" s="100"/>
      <c r="V2261" s="100"/>
      <c r="W2261" s="100"/>
      <c r="X2261" s="100"/>
      <c r="Y2261" s="100"/>
      <c r="Z2261" s="100"/>
      <c r="AA2261" s="100"/>
    </row>
    <row r="2262" spans="2:27">
      <c r="B2262" s="100"/>
      <c r="C2262" s="100"/>
      <c r="D2262" s="100"/>
      <c r="E2262" s="100"/>
      <c r="F2262" s="100"/>
      <c r="G2262" s="100"/>
      <c r="H2262" s="100"/>
      <c r="I2262" s="100"/>
      <c r="J2262" s="100"/>
      <c r="K2262" s="100"/>
      <c r="L2262" s="100"/>
      <c r="M2262" s="100"/>
      <c r="N2262" s="100"/>
      <c r="O2262" s="100"/>
      <c r="P2262" s="100"/>
      <c r="Q2262" s="100"/>
      <c r="R2262" s="100"/>
      <c r="S2262" s="100"/>
      <c r="T2262" s="100"/>
      <c r="U2262" s="100"/>
      <c r="V2262" s="100"/>
      <c r="W2262" s="100"/>
      <c r="X2262" s="100"/>
      <c r="Y2262" s="100"/>
      <c r="Z2262" s="100"/>
      <c r="AA2262" s="100"/>
    </row>
    <row r="2263" spans="2:27">
      <c r="B2263" s="100"/>
      <c r="C2263" s="100"/>
      <c r="D2263" s="100"/>
      <c r="E2263" s="100"/>
      <c r="F2263" s="100"/>
      <c r="G2263" s="100"/>
      <c r="H2263" s="100"/>
      <c r="I2263" s="100"/>
      <c r="J2263" s="100"/>
      <c r="K2263" s="100"/>
      <c r="L2263" s="100"/>
      <c r="M2263" s="100"/>
      <c r="N2263" s="100"/>
      <c r="O2263" s="100"/>
      <c r="P2263" s="100"/>
      <c r="Q2263" s="100"/>
      <c r="R2263" s="100"/>
      <c r="S2263" s="100"/>
      <c r="T2263" s="100"/>
      <c r="U2263" s="100"/>
      <c r="V2263" s="100"/>
      <c r="W2263" s="100"/>
      <c r="X2263" s="100"/>
      <c r="Y2263" s="100"/>
      <c r="Z2263" s="100"/>
      <c r="AA2263" s="100"/>
    </row>
    <row r="2264" spans="2:27">
      <c r="B2264" s="100"/>
      <c r="C2264" s="100"/>
      <c r="D2264" s="100"/>
      <c r="E2264" s="100"/>
      <c r="F2264" s="100"/>
      <c r="G2264" s="100"/>
      <c r="H2264" s="100"/>
      <c r="I2264" s="100"/>
      <c r="J2264" s="100"/>
      <c r="K2264" s="100"/>
      <c r="L2264" s="100"/>
      <c r="M2264" s="100"/>
      <c r="N2264" s="100"/>
      <c r="O2264" s="100"/>
      <c r="P2264" s="100"/>
      <c r="Q2264" s="100"/>
      <c r="R2264" s="100"/>
      <c r="S2264" s="100"/>
      <c r="T2264" s="100"/>
      <c r="U2264" s="100"/>
      <c r="V2264" s="100"/>
      <c r="W2264" s="100"/>
      <c r="X2264" s="100"/>
      <c r="Y2264" s="100"/>
      <c r="Z2264" s="100"/>
      <c r="AA2264" s="100"/>
    </row>
    <row r="2265" spans="2:27">
      <c r="B2265" s="100"/>
      <c r="C2265" s="100"/>
      <c r="D2265" s="100"/>
      <c r="E2265" s="100"/>
      <c r="F2265" s="100"/>
      <c r="G2265" s="100"/>
      <c r="H2265" s="100"/>
      <c r="I2265" s="100"/>
      <c r="J2265" s="100"/>
      <c r="K2265" s="100"/>
      <c r="L2265" s="100"/>
      <c r="M2265" s="100"/>
      <c r="N2265" s="100"/>
      <c r="O2265" s="100"/>
      <c r="P2265" s="100"/>
      <c r="Q2265" s="100"/>
      <c r="R2265" s="100"/>
      <c r="S2265" s="100"/>
      <c r="T2265" s="100"/>
      <c r="U2265" s="100"/>
      <c r="V2265" s="100"/>
      <c r="W2265" s="100"/>
      <c r="X2265" s="100"/>
      <c r="Y2265" s="100"/>
      <c r="Z2265" s="100"/>
      <c r="AA2265" s="100"/>
    </row>
    <row r="2266" spans="2:27">
      <c r="B2266" s="100"/>
      <c r="C2266" s="100"/>
      <c r="D2266" s="100"/>
      <c r="E2266" s="100"/>
      <c r="F2266" s="100"/>
      <c r="G2266" s="100"/>
      <c r="H2266" s="100"/>
      <c r="I2266" s="100"/>
      <c r="J2266" s="100"/>
      <c r="K2266" s="100"/>
      <c r="L2266" s="100"/>
      <c r="M2266" s="100"/>
      <c r="N2266" s="100"/>
      <c r="O2266" s="100"/>
      <c r="P2266" s="100"/>
      <c r="Q2266" s="100"/>
      <c r="R2266" s="100"/>
      <c r="S2266" s="100"/>
      <c r="T2266" s="100"/>
      <c r="U2266" s="100"/>
      <c r="V2266" s="100"/>
      <c r="W2266" s="100"/>
      <c r="X2266" s="100"/>
      <c r="Y2266" s="100"/>
      <c r="Z2266" s="100"/>
      <c r="AA2266" s="100"/>
    </row>
    <row r="2267" spans="2:27">
      <c r="B2267" s="100"/>
      <c r="C2267" s="100"/>
      <c r="D2267" s="100"/>
      <c r="E2267" s="100"/>
      <c r="F2267" s="100"/>
      <c r="G2267" s="100"/>
      <c r="H2267" s="100"/>
      <c r="I2267" s="100"/>
      <c r="J2267" s="100"/>
      <c r="K2267" s="100"/>
      <c r="L2267" s="100"/>
      <c r="M2267" s="100"/>
      <c r="N2267" s="100"/>
      <c r="O2267" s="100"/>
      <c r="P2267" s="100"/>
      <c r="Q2267" s="100"/>
      <c r="R2267" s="100"/>
      <c r="S2267" s="100"/>
      <c r="T2267" s="100"/>
      <c r="U2267" s="100"/>
      <c r="V2267" s="100"/>
      <c r="W2267" s="100"/>
      <c r="X2267" s="100"/>
      <c r="Y2267" s="100"/>
      <c r="Z2267" s="100"/>
      <c r="AA2267" s="100"/>
    </row>
    <row r="2268" spans="2:27">
      <c r="B2268" s="100"/>
      <c r="C2268" s="100"/>
      <c r="D2268" s="100"/>
      <c r="E2268" s="100"/>
      <c r="F2268" s="100"/>
      <c r="G2268" s="100"/>
      <c r="H2268" s="100"/>
      <c r="I2268" s="100"/>
      <c r="J2268" s="100"/>
      <c r="K2268" s="100"/>
      <c r="L2268" s="100"/>
      <c r="M2268" s="100"/>
      <c r="N2268" s="100"/>
      <c r="O2268" s="100"/>
      <c r="P2268" s="100"/>
      <c r="Q2268" s="100"/>
      <c r="R2268" s="100"/>
      <c r="S2268" s="100"/>
      <c r="T2268" s="100"/>
      <c r="U2268" s="100"/>
      <c r="V2268" s="100"/>
      <c r="W2268" s="100"/>
      <c r="X2268" s="100"/>
      <c r="Y2268" s="100"/>
      <c r="Z2268" s="100"/>
      <c r="AA2268" s="100"/>
    </row>
    <row r="2269" spans="2:27">
      <c r="B2269" s="100"/>
      <c r="C2269" s="100"/>
      <c r="D2269" s="100"/>
      <c r="E2269" s="100"/>
      <c r="F2269" s="100"/>
      <c r="G2269" s="100"/>
      <c r="H2269" s="100"/>
      <c r="I2269" s="100"/>
      <c r="J2269" s="100"/>
      <c r="K2269" s="100"/>
      <c r="L2269" s="100"/>
      <c r="M2269" s="100"/>
      <c r="N2269" s="100"/>
      <c r="O2269" s="100"/>
      <c r="P2269" s="100"/>
      <c r="Q2269" s="100"/>
      <c r="R2269" s="100"/>
      <c r="S2269" s="100"/>
      <c r="T2269" s="100"/>
      <c r="U2269" s="100"/>
      <c r="V2269" s="100"/>
      <c r="W2269" s="100"/>
      <c r="X2269" s="100"/>
      <c r="Y2269" s="100"/>
      <c r="Z2269" s="100"/>
      <c r="AA2269" s="100"/>
    </row>
    <row r="2270" spans="2:27">
      <c r="B2270" s="100"/>
      <c r="C2270" s="100"/>
      <c r="D2270" s="100"/>
      <c r="E2270" s="100"/>
      <c r="F2270" s="100"/>
      <c r="G2270" s="100"/>
      <c r="H2270" s="100"/>
      <c r="I2270" s="100"/>
      <c r="J2270" s="100"/>
      <c r="K2270" s="100"/>
      <c r="L2270" s="100"/>
      <c r="M2270" s="100"/>
      <c r="N2270" s="100"/>
      <c r="O2270" s="100"/>
      <c r="P2270" s="100"/>
      <c r="Q2270" s="100"/>
      <c r="R2270" s="100"/>
      <c r="S2270" s="100"/>
      <c r="T2270" s="100"/>
      <c r="U2270" s="100"/>
      <c r="V2270" s="100"/>
      <c r="W2270" s="100"/>
      <c r="X2270" s="100"/>
      <c r="Y2270" s="100"/>
      <c r="Z2270" s="100"/>
      <c r="AA2270" s="100"/>
    </row>
    <row r="2271" spans="2:27">
      <c r="B2271" s="100"/>
      <c r="C2271" s="100"/>
      <c r="D2271" s="100"/>
      <c r="E2271" s="100"/>
      <c r="F2271" s="100"/>
      <c r="G2271" s="100"/>
      <c r="H2271" s="100"/>
      <c r="I2271" s="100"/>
      <c r="J2271" s="100"/>
      <c r="K2271" s="100"/>
      <c r="L2271" s="100"/>
      <c r="M2271" s="100"/>
      <c r="N2271" s="100"/>
      <c r="O2271" s="100"/>
      <c r="P2271" s="100"/>
      <c r="Q2271" s="100"/>
      <c r="R2271" s="100"/>
      <c r="S2271" s="100"/>
      <c r="T2271" s="100"/>
      <c r="U2271" s="100"/>
      <c r="V2271" s="100"/>
      <c r="W2271" s="100"/>
      <c r="X2271" s="100"/>
      <c r="Y2271" s="100"/>
      <c r="Z2271" s="100"/>
      <c r="AA2271" s="100"/>
    </row>
    <row r="2272" spans="2:27">
      <c r="B2272" s="100"/>
      <c r="C2272" s="100"/>
      <c r="D2272" s="100"/>
      <c r="E2272" s="100"/>
      <c r="F2272" s="100"/>
      <c r="G2272" s="100"/>
      <c r="H2272" s="100"/>
      <c r="I2272" s="100"/>
      <c r="J2272" s="100"/>
      <c r="K2272" s="100"/>
      <c r="L2272" s="100"/>
      <c r="M2272" s="100"/>
      <c r="N2272" s="100"/>
      <c r="O2272" s="100"/>
      <c r="P2272" s="100"/>
      <c r="Q2272" s="100"/>
      <c r="R2272" s="100"/>
      <c r="S2272" s="100"/>
      <c r="T2272" s="100"/>
      <c r="U2272" s="100"/>
      <c r="V2272" s="100"/>
      <c r="W2272" s="100"/>
      <c r="X2272" s="100"/>
      <c r="Y2272" s="100"/>
      <c r="Z2272" s="100"/>
      <c r="AA2272" s="100"/>
    </row>
    <row r="2273" spans="2:27">
      <c r="B2273" s="100"/>
      <c r="C2273" s="100"/>
      <c r="D2273" s="100"/>
      <c r="E2273" s="100"/>
      <c r="F2273" s="100"/>
      <c r="G2273" s="100"/>
      <c r="H2273" s="100"/>
      <c r="I2273" s="100"/>
      <c r="J2273" s="100"/>
      <c r="K2273" s="100"/>
      <c r="L2273" s="100"/>
      <c r="M2273" s="100"/>
      <c r="N2273" s="100"/>
      <c r="O2273" s="100"/>
      <c r="P2273" s="100"/>
      <c r="Q2273" s="100"/>
      <c r="R2273" s="100"/>
      <c r="S2273" s="100"/>
      <c r="T2273" s="100"/>
      <c r="U2273" s="100"/>
      <c r="V2273" s="100"/>
      <c r="W2273" s="100"/>
      <c r="X2273" s="100"/>
      <c r="Y2273" s="100"/>
      <c r="Z2273" s="100"/>
      <c r="AA2273" s="100"/>
    </row>
    <row r="2274" spans="2:27">
      <c r="B2274" s="100"/>
      <c r="C2274" s="100"/>
      <c r="D2274" s="100"/>
      <c r="E2274" s="100"/>
      <c r="F2274" s="100"/>
      <c r="G2274" s="100"/>
      <c r="H2274" s="100"/>
      <c r="I2274" s="100"/>
      <c r="J2274" s="100"/>
      <c r="K2274" s="100"/>
      <c r="L2274" s="100"/>
      <c r="M2274" s="100"/>
      <c r="N2274" s="100"/>
      <c r="O2274" s="100"/>
      <c r="P2274" s="100"/>
      <c r="Q2274" s="100"/>
      <c r="R2274" s="100"/>
      <c r="S2274" s="100"/>
      <c r="T2274" s="100"/>
      <c r="U2274" s="100"/>
      <c r="V2274" s="100"/>
      <c r="W2274" s="100"/>
      <c r="X2274" s="100"/>
      <c r="Y2274" s="100"/>
      <c r="Z2274" s="100"/>
      <c r="AA2274" s="100"/>
    </row>
    <row r="2275" spans="2:27">
      <c r="B2275" s="100"/>
      <c r="C2275" s="100"/>
      <c r="D2275" s="100"/>
      <c r="E2275" s="100"/>
      <c r="F2275" s="100"/>
      <c r="G2275" s="100"/>
      <c r="H2275" s="100"/>
      <c r="I2275" s="100"/>
      <c r="J2275" s="100"/>
      <c r="K2275" s="100"/>
      <c r="L2275" s="100"/>
      <c r="M2275" s="100"/>
      <c r="N2275" s="100"/>
      <c r="O2275" s="100"/>
      <c r="P2275" s="100"/>
      <c r="Q2275" s="100"/>
      <c r="R2275" s="100"/>
      <c r="S2275" s="100"/>
      <c r="T2275" s="100"/>
      <c r="U2275" s="100"/>
      <c r="V2275" s="100"/>
      <c r="W2275" s="100"/>
      <c r="X2275" s="100"/>
      <c r="Y2275" s="100"/>
      <c r="Z2275" s="100"/>
      <c r="AA2275" s="100"/>
    </row>
    <row r="2276" spans="2:27">
      <c r="B2276" s="100"/>
      <c r="C2276" s="100"/>
      <c r="D2276" s="100"/>
      <c r="E2276" s="100"/>
      <c r="F2276" s="100"/>
      <c r="G2276" s="100"/>
      <c r="H2276" s="100"/>
      <c r="I2276" s="100"/>
      <c r="J2276" s="100"/>
      <c r="K2276" s="100"/>
      <c r="L2276" s="100"/>
      <c r="M2276" s="100"/>
      <c r="N2276" s="100"/>
      <c r="O2276" s="100"/>
      <c r="P2276" s="100"/>
      <c r="Q2276" s="100"/>
      <c r="R2276" s="100"/>
      <c r="S2276" s="100"/>
      <c r="T2276" s="100"/>
      <c r="U2276" s="100"/>
      <c r="V2276" s="100"/>
      <c r="W2276" s="100"/>
      <c r="X2276" s="100"/>
      <c r="Y2276" s="100"/>
      <c r="Z2276" s="100"/>
      <c r="AA2276" s="100"/>
    </row>
    <row r="2277" spans="2:27">
      <c r="B2277" s="100"/>
      <c r="C2277" s="100"/>
      <c r="D2277" s="100"/>
      <c r="E2277" s="100"/>
      <c r="F2277" s="100"/>
      <c r="G2277" s="100"/>
      <c r="H2277" s="100"/>
      <c r="I2277" s="100"/>
      <c r="J2277" s="100"/>
      <c r="K2277" s="100"/>
      <c r="L2277" s="100"/>
      <c r="M2277" s="100"/>
      <c r="N2277" s="100"/>
      <c r="O2277" s="100"/>
      <c r="P2277" s="100"/>
      <c r="Q2277" s="100"/>
      <c r="R2277" s="100"/>
      <c r="S2277" s="100"/>
      <c r="T2277" s="100"/>
      <c r="U2277" s="100"/>
      <c r="V2277" s="100"/>
      <c r="W2277" s="100"/>
      <c r="X2277" s="100"/>
      <c r="Y2277" s="100"/>
      <c r="Z2277" s="100"/>
      <c r="AA2277" s="100"/>
    </row>
    <row r="2278" spans="2:27">
      <c r="B2278" s="100"/>
      <c r="C2278" s="100"/>
      <c r="D2278" s="100"/>
      <c r="E2278" s="100"/>
      <c r="F2278" s="100"/>
      <c r="G2278" s="100"/>
      <c r="H2278" s="100"/>
      <c r="I2278" s="100"/>
      <c r="J2278" s="100"/>
      <c r="K2278" s="100"/>
      <c r="L2278" s="100"/>
      <c r="M2278" s="100"/>
      <c r="N2278" s="100"/>
      <c r="O2278" s="100"/>
      <c r="P2278" s="100"/>
      <c r="Q2278" s="100"/>
      <c r="R2278" s="100"/>
      <c r="S2278" s="100"/>
      <c r="T2278" s="100"/>
      <c r="U2278" s="100"/>
      <c r="V2278" s="100"/>
      <c r="W2278" s="100"/>
      <c r="X2278" s="100"/>
      <c r="Y2278" s="100"/>
      <c r="Z2278" s="100"/>
      <c r="AA2278" s="100"/>
    </row>
    <row r="2279" spans="2:27">
      <c r="B2279" s="100"/>
      <c r="C2279" s="100"/>
      <c r="D2279" s="100"/>
      <c r="E2279" s="100"/>
      <c r="F2279" s="100"/>
      <c r="G2279" s="100"/>
      <c r="H2279" s="100"/>
      <c r="I2279" s="100"/>
      <c r="J2279" s="100"/>
      <c r="K2279" s="100"/>
      <c r="L2279" s="100"/>
      <c r="M2279" s="100"/>
      <c r="N2279" s="100"/>
      <c r="O2279" s="100"/>
      <c r="P2279" s="100"/>
      <c r="Q2279" s="100"/>
      <c r="R2279" s="100"/>
      <c r="S2279" s="100"/>
      <c r="T2279" s="100"/>
      <c r="U2279" s="100"/>
      <c r="V2279" s="100"/>
      <c r="W2279" s="100"/>
      <c r="X2279" s="100"/>
      <c r="Y2279" s="100"/>
      <c r="Z2279" s="100"/>
      <c r="AA2279" s="100"/>
    </row>
    <row r="2280" spans="2:27">
      <c r="B2280" s="100"/>
      <c r="C2280" s="100"/>
      <c r="D2280" s="100"/>
      <c r="E2280" s="100"/>
      <c r="F2280" s="100"/>
      <c r="G2280" s="100"/>
      <c r="H2280" s="100"/>
      <c r="I2280" s="100"/>
      <c r="J2280" s="100"/>
      <c r="K2280" s="100"/>
      <c r="L2280" s="100"/>
      <c r="M2280" s="100"/>
      <c r="N2280" s="100"/>
      <c r="O2280" s="100"/>
      <c r="P2280" s="100"/>
      <c r="Q2280" s="100"/>
      <c r="R2280" s="100"/>
      <c r="S2280" s="100"/>
      <c r="T2280" s="100"/>
      <c r="U2280" s="100"/>
      <c r="V2280" s="100"/>
      <c r="W2280" s="100"/>
      <c r="X2280" s="100"/>
      <c r="Y2280" s="100"/>
      <c r="Z2280" s="100"/>
      <c r="AA2280" s="100"/>
    </row>
    <row r="2281" spans="2:27">
      <c r="B2281" s="100"/>
      <c r="C2281" s="100"/>
      <c r="D2281" s="100"/>
      <c r="E2281" s="100"/>
      <c r="F2281" s="100"/>
      <c r="G2281" s="100"/>
      <c r="H2281" s="100"/>
      <c r="I2281" s="100"/>
      <c r="J2281" s="100"/>
      <c r="K2281" s="100"/>
      <c r="L2281" s="100"/>
      <c r="M2281" s="100"/>
      <c r="N2281" s="100"/>
      <c r="O2281" s="100"/>
      <c r="P2281" s="100"/>
      <c r="Q2281" s="100"/>
      <c r="R2281" s="100"/>
      <c r="S2281" s="100"/>
      <c r="T2281" s="100"/>
      <c r="U2281" s="100"/>
      <c r="V2281" s="100"/>
      <c r="W2281" s="100"/>
      <c r="X2281" s="100"/>
      <c r="Y2281" s="100"/>
      <c r="Z2281" s="100"/>
      <c r="AA2281" s="100"/>
    </row>
    <row r="2282" spans="2:27">
      <c r="B2282" s="100"/>
      <c r="C2282" s="100"/>
      <c r="D2282" s="100"/>
      <c r="E2282" s="100"/>
      <c r="F2282" s="100"/>
      <c r="G2282" s="100"/>
      <c r="H2282" s="100"/>
      <c r="I2282" s="100"/>
      <c r="J2282" s="100"/>
      <c r="K2282" s="100"/>
      <c r="L2282" s="100"/>
      <c r="M2282" s="100"/>
      <c r="N2282" s="100"/>
      <c r="O2282" s="100"/>
      <c r="P2282" s="100"/>
      <c r="Q2282" s="100"/>
      <c r="R2282" s="100"/>
      <c r="S2282" s="100"/>
      <c r="T2282" s="100"/>
      <c r="U2282" s="100"/>
      <c r="V2282" s="100"/>
      <c r="W2282" s="100"/>
      <c r="X2282" s="100"/>
      <c r="Y2282" s="100"/>
      <c r="Z2282" s="100"/>
      <c r="AA2282" s="100"/>
    </row>
    <row r="2283" spans="2:27">
      <c r="B2283" s="100"/>
      <c r="C2283" s="100"/>
      <c r="D2283" s="100"/>
      <c r="E2283" s="100"/>
      <c r="F2283" s="100"/>
      <c r="G2283" s="100"/>
      <c r="H2283" s="100"/>
      <c r="I2283" s="100"/>
      <c r="J2283" s="100"/>
      <c r="K2283" s="100"/>
      <c r="L2283" s="100"/>
      <c r="M2283" s="100"/>
      <c r="N2283" s="100"/>
      <c r="O2283" s="100"/>
      <c r="P2283" s="100"/>
      <c r="Q2283" s="100"/>
      <c r="R2283" s="100"/>
      <c r="S2283" s="100"/>
      <c r="T2283" s="100"/>
      <c r="U2283" s="100"/>
      <c r="V2283" s="100"/>
      <c r="W2283" s="100"/>
      <c r="X2283" s="100"/>
      <c r="Y2283" s="100"/>
      <c r="Z2283" s="100"/>
      <c r="AA2283" s="100"/>
    </row>
    <row r="2284" spans="2:27">
      <c r="B2284" s="100"/>
      <c r="C2284" s="100"/>
      <c r="D2284" s="100"/>
      <c r="E2284" s="100"/>
      <c r="F2284" s="100"/>
      <c r="G2284" s="100"/>
      <c r="H2284" s="100"/>
      <c r="I2284" s="100"/>
      <c r="J2284" s="100"/>
      <c r="K2284" s="100"/>
      <c r="L2284" s="100"/>
      <c r="M2284" s="100"/>
      <c r="N2284" s="100"/>
      <c r="O2284" s="100"/>
      <c r="P2284" s="100"/>
      <c r="Q2284" s="100"/>
      <c r="R2284" s="100"/>
      <c r="S2284" s="100"/>
      <c r="T2284" s="100"/>
      <c r="U2284" s="100"/>
      <c r="V2284" s="100"/>
      <c r="W2284" s="100"/>
      <c r="X2284" s="100"/>
      <c r="Y2284" s="100"/>
      <c r="Z2284" s="100"/>
      <c r="AA2284" s="100"/>
    </row>
    <row r="2285" spans="2:27">
      <c r="B2285" s="100"/>
      <c r="C2285" s="100"/>
      <c r="D2285" s="100"/>
      <c r="E2285" s="100"/>
      <c r="F2285" s="100"/>
      <c r="G2285" s="100"/>
      <c r="H2285" s="100"/>
      <c r="I2285" s="100"/>
      <c r="J2285" s="100"/>
      <c r="K2285" s="100"/>
      <c r="L2285" s="100"/>
      <c r="M2285" s="100"/>
      <c r="N2285" s="100"/>
      <c r="O2285" s="100"/>
      <c r="P2285" s="100"/>
      <c r="Q2285" s="100"/>
      <c r="R2285" s="100"/>
      <c r="S2285" s="100"/>
      <c r="T2285" s="100"/>
      <c r="U2285" s="100"/>
      <c r="V2285" s="100"/>
      <c r="W2285" s="100"/>
      <c r="X2285" s="100"/>
      <c r="Y2285" s="100"/>
      <c r="Z2285" s="100"/>
      <c r="AA2285" s="100"/>
    </row>
    <row r="2286" spans="2:27">
      <c r="B2286" s="100"/>
      <c r="C2286" s="100"/>
      <c r="D2286" s="100"/>
      <c r="E2286" s="100"/>
      <c r="F2286" s="100"/>
      <c r="G2286" s="100"/>
      <c r="H2286" s="100"/>
      <c r="I2286" s="100"/>
      <c r="J2286" s="100"/>
      <c r="K2286" s="100"/>
      <c r="L2286" s="100"/>
      <c r="M2286" s="100"/>
      <c r="N2286" s="100"/>
      <c r="O2286" s="100"/>
      <c r="P2286" s="100"/>
      <c r="Q2286" s="100"/>
      <c r="R2286" s="100"/>
      <c r="S2286" s="100"/>
      <c r="T2286" s="100"/>
      <c r="U2286" s="100"/>
      <c r="V2286" s="100"/>
      <c r="W2286" s="100"/>
      <c r="X2286" s="100"/>
      <c r="Y2286" s="100"/>
      <c r="Z2286" s="100"/>
      <c r="AA2286" s="100"/>
    </row>
    <row r="2287" spans="2:27">
      <c r="B2287" s="100"/>
      <c r="C2287" s="100"/>
      <c r="D2287" s="100"/>
      <c r="E2287" s="100"/>
      <c r="F2287" s="100"/>
      <c r="G2287" s="100"/>
      <c r="H2287" s="100"/>
      <c r="I2287" s="100"/>
      <c r="J2287" s="100"/>
      <c r="K2287" s="100"/>
      <c r="L2287" s="100"/>
      <c r="M2287" s="100"/>
      <c r="N2287" s="100"/>
      <c r="O2287" s="100"/>
      <c r="P2287" s="100"/>
      <c r="Q2287" s="100"/>
      <c r="R2287" s="100"/>
      <c r="S2287" s="100"/>
      <c r="T2287" s="100"/>
      <c r="U2287" s="100"/>
      <c r="V2287" s="100"/>
      <c r="W2287" s="100"/>
      <c r="X2287" s="100"/>
      <c r="Y2287" s="100"/>
      <c r="Z2287" s="100"/>
      <c r="AA2287" s="100"/>
    </row>
    <row r="2288" spans="2:27">
      <c r="B2288" s="100"/>
      <c r="C2288" s="100"/>
      <c r="D2288" s="100"/>
      <c r="E2288" s="100"/>
      <c r="F2288" s="100"/>
      <c r="G2288" s="100"/>
      <c r="H2288" s="100"/>
      <c r="I2288" s="100"/>
      <c r="J2288" s="100"/>
      <c r="K2288" s="100"/>
      <c r="L2288" s="100"/>
      <c r="M2288" s="100"/>
      <c r="N2288" s="100"/>
      <c r="O2288" s="100"/>
      <c r="P2288" s="100"/>
      <c r="Q2288" s="100"/>
      <c r="R2288" s="100"/>
      <c r="S2288" s="100"/>
      <c r="T2288" s="100"/>
      <c r="U2288" s="100"/>
      <c r="V2288" s="100"/>
      <c r="W2288" s="100"/>
      <c r="X2288" s="100"/>
      <c r="Y2288" s="100"/>
      <c r="Z2288" s="100"/>
      <c r="AA2288" s="100"/>
    </row>
    <row r="2289" spans="2:27">
      <c r="B2289" s="100"/>
      <c r="C2289" s="100"/>
      <c r="D2289" s="100"/>
      <c r="E2289" s="100"/>
      <c r="F2289" s="100"/>
      <c r="G2289" s="100"/>
      <c r="H2289" s="100"/>
      <c r="I2289" s="100"/>
      <c r="J2289" s="100"/>
      <c r="K2289" s="100"/>
      <c r="L2289" s="100"/>
      <c r="M2289" s="100"/>
      <c r="N2289" s="100"/>
      <c r="O2289" s="100"/>
      <c r="P2289" s="100"/>
      <c r="Q2289" s="100"/>
      <c r="R2289" s="100"/>
      <c r="S2289" s="100"/>
      <c r="T2289" s="100"/>
      <c r="U2289" s="100"/>
      <c r="V2289" s="100"/>
      <c r="W2289" s="100"/>
      <c r="X2289" s="100"/>
      <c r="Y2289" s="100"/>
      <c r="Z2289" s="100"/>
      <c r="AA2289" s="100"/>
    </row>
    <row r="2290" spans="2:27">
      <c r="B2290" s="100"/>
      <c r="C2290" s="100"/>
      <c r="D2290" s="100"/>
      <c r="E2290" s="100"/>
      <c r="F2290" s="100"/>
      <c r="G2290" s="100"/>
      <c r="H2290" s="100"/>
      <c r="I2290" s="100"/>
      <c r="J2290" s="100"/>
      <c r="K2290" s="100"/>
      <c r="L2290" s="100"/>
      <c r="M2290" s="100"/>
      <c r="N2290" s="100"/>
      <c r="O2290" s="100"/>
      <c r="P2290" s="100"/>
      <c r="Q2290" s="100"/>
      <c r="R2290" s="100"/>
      <c r="S2290" s="100"/>
      <c r="T2290" s="100"/>
      <c r="U2290" s="100"/>
      <c r="V2290" s="100"/>
      <c r="W2290" s="100"/>
      <c r="X2290" s="100"/>
      <c r="Y2290" s="100"/>
      <c r="Z2290" s="100"/>
      <c r="AA2290" s="100"/>
    </row>
    <row r="2291" spans="2:27">
      <c r="B2291" s="100"/>
      <c r="C2291" s="100"/>
      <c r="D2291" s="100"/>
      <c r="E2291" s="100"/>
      <c r="F2291" s="100"/>
      <c r="G2291" s="100"/>
      <c r="H2291" s="100"/>
      <c r="I2291" s="100"/>
      <c r="J2291" s="100"/>
      <c r="K2291" s="100"/>
      <c r="L2291" s="100"/>
      <c r="M2291" s="100"/>
      <c r="N2291" s="100"/>
      <c r="O2291" s="100"/>
      <c r="P2291" s="100"/>
      <c r="Q2291" s="100"/>
      <c r="R2291" s="100"/>
      <c r="S2291" s="100"/>
      <c r="T2291" s="100"/>
      <c r="U2291" s="100"/>
      <c r="V2291" s="100"/>
      <c r="W2291" s="100"/>
      <c r="X2291" s="100"/>
      <c r="Y2291" s="100"/>
      <c r="Z2291" s="100"/>
      <c r="AA2291" s="100"/>
    </row>
    <row r="2292" spans="2:27">
      <c r="B2292" s="100"/>
      <c r="C2292" s="100"/>
      <c r="D2292" s="100"/>
      <c r="E2292" s="100"/>
      <c r="F2292" s="100"/>
      <c r="G2292" s="100"/>
      <c r="H2292" s="100"/>
      <c r="I2292" s="100"/>
      <c r="J2292" s="100"/>
      <c r="K2292" s="100"/>
      <c r="L2292" s="100"/>
      <c r="M2292" s="100"/>
      <c r="N2292" s="100"/>
      <c r="O2292" s="100"/>
      <c r="P2292" s="100"/>
      <c r="Q2292" s="100"/>
      <c r="R2292" s="100"/>
      <c r="S2292" s="100"/>
      <c r="T2292" s="100"/>
      <c r="U2292" s="100"/>
      <c r="V2292" s="100"/>
      <c r="W2292" s="100"/>
      <c r="X2292" s="100"/>
      <c r="Y2292" s="100"/>
      <c r="Z2292" s="100"/>
      <c r="AA2292" s="100"/>
    </row>
    <row r="2293" spans="2:27">
      <c r="B2293" s="100"/>
      <c r="C2293" s="100"/>
      <c r="D2293" s="100"/>
      <c r="E2293" s="100"/>
      <c r="F2293" s="100"/>
      <c r="G2293" s="100"/>
      <c r="H2293" s="100"/>
      <c r="I2293" s="100"/>
      <c r="J2293" s="100"/>
      <c r="K2293" s="100"/>
      <c r="L2293" s="100"/>
      <c r="M2293" s="100"/>
      <c r="N2293" s="100"/>
      <c r="O2293" s="100"/>
      <c r="P2293" s="100"/>
      <c r="Q2293" s="100"/>
      <c r="R2293" s="100"/>
      <c r="S2293" s="100"/>
      <c r="T2293" s="100"/>
      <c r="U2293" s="100"/>
      <c r="V2293" s="100"/>
      <c r="W2293" s="100"/>
      <c r="X2293" s="100"/>
      <c r="Y2293" s="100"/>
      <c r="Z2293" s="100"/>
      <c r="AA2293" s="100"/>
    </row>
    <row r="2294" spans="2:27">
      <c r="B2294" s="100"/>
      <c r="C2294" s="100"/>
      <c r="D2294" s="100"/>
      <c r="E2294" s="100"/>
      <c r="F2294" s="100"/>
      <c r="G2294" s="100"/>
      <c r="H2294" s="100"/>
      <c r="I2294" s="100"/>
      <c r="J2294" s="100"/>
      <c r="K2294" s="100"/>
      <c r="L2294" s="100"/>
      <c r="M2294" s="100"/>
      <c r="N2294" s="100"/>
      <c r="O2294" s="100"/>
      <c r="P2294" s="100"/>
      <c r="Q2294" s="100"/>
      <c r="R2294" s="100"/>
      <c r="S2294" s="100"/>
      <c r="T2294" s="100"/>
      <c r="U2294" s="100"/>
      <c r="V2294" s="100"/>
      <c r="W2294" s="100"/>
      <c r="X2294" s="100"/>
      <c r="Y2294" s="100"/>
      <c r="Z2294" s="100"/>
      <c r="AA2294" s="100"/>
    </row>
    <row r="2295" spans="2:27">
      <c r="B2295" s="100"/>
      <c r="C2295" s="100"/>
      <c r="D2295" s="100"/>
      <c r="E2295" s="100"/>
      <c r="F2295" s="100"/>
      <c r="G2295" s="100"/>
      <c r="H2295" s="100"/>
      <c r="I2295" s="100"/>
      <c r="J2295" s="100"/>
      <c r="K2295" s="100"/>
      <c r="L2295" s="100"/>
      <c r="M2295" s="100"/>
      <c r="N2295" s="100"/>
      <c r="O2295" s="100"/>
      <c r="P2295" s="100"/>
      <c r="Q2295" s="100"/>
      <c r="R2295" s="100"/>
      <c r="S2295" s="100"/>
      <c r="T2295" s="100"/>
      <c r="U2295" s="100"/>
      <c r="V2295" s="100"/>
      <c r="W2295" s="100"/>
      <c r="X2295" s="100"/>
      <c r="Y2295" s="100"/>
      <c r="Z2295" s="100"/>
      <c r="AA2295" s="100"/>
    </row>
    <row r="2296" spans="2:27">
      <c r="B2296" s="100"/>
      <c r="C2296" s="100"/>
      <c r="D2296" s="100"/>
      <c r="E2296" s="100"/>
      <c r="F2296" s="100"/>
      <c r="G2296" s="100"/>
      <c r="H2296" s="100"/>
      <c r="I2296" s="100"/>
      <c r="J2296" s="100"/>
      <c r="K2296" s="100"/>
      <c r="L2296" s="100"/>
      <c r="M2296" s="100"/>
      <c r="N2296" s="100"/>
      <c r="O2296" s="100"/>
      <c r="P2296" s="100"/>
      <c r="Q2296" s="100"/>
      <c r="R2296" s="100"/>
      <c r="S2296" s="100"/>
      <c r="T2296" s="100"/>
      <c r="U2296" s="100"/>
      <c r="V2296" s="100"/>
      <c r="W2296" s="100"/>
      <c r="X2296" s="100"/>
      <c r="Y2296" s="100"/>
      <c r="Z2296" s="100"/>
      <c r="AA2296" s="100"/>
    </row>
    <row r="2297" spans="2:27">
      <c r="B2297" s="100"/>
      <c r="C2297" s="100"/>
      <c r="D2297" s="100"/>
      <c r="E2297" s="100"/>
      <c r="F2297" s="100"/>
      <c r="G2297" s="100"/>
      <c r="H2297" s="100"/>
      <c r="I2297" s="100"/>
      <c r="J2297" s="100"/>
      <c r="K2297" s="100"/>
      <c r="L2297" s="100"/>
      <c r="M2297" s="100"/>
      <c r="N2297" s="100"/>
      <c r="O2297" s="100"/>
      <c r="P2297" s="100"/>
      <c r="Q2297" s="100"/>
      <c r="R2297" s="100"/>
      <c r="S2297" s="100"/>
      <c r="T2297" s="100"/>
      <c r="U2297" s="100"/>
      <c r="V2297" s="100"/>
      <c r="W2297" s="100"/>
      <c r="X2297" s="100"/>
      <c r="Y2297" s="100"/>
      <c r="Z2297" s="100"/>
      <c r="AA2297" s="100"/>
    </row>
    <row r="2298" spans="2:27">
      <c r="B2298" s="100"/>
      <c r="C2298" s="100"/>
      <c r="D2298" s="100"/>
      <c r="E2298" s="100"/>
      <c r="F2298" s="100"/>
      <c r="G2298" s="100"/>
      <c r="H2298" s="100"/>
      <c r="I2298" s="100"/>
      <c r="J2298" s="100"/>
      <c r="K2298" s="100"/>
      <c r="L2298" s="100"/>
      <c r="M2298" s="100"/>
      <c r="N2298" s="100"/>
      <c r="O2298" s="100"/>
      <c r="P2298" s="100"/>
      <c r="Q2298" s="100"/>
      <c r="R2298" s="100"/>
      <c r="S2298" s="100"/>
      <c r="T2298" s="100"/>
      <c r="U2298" s="100"/>
      <c r="V2298" s="100"/>
      <c r="W2298" s="100"/>
      <c r="X2298" s="100"/>
      <c r="Y2298" s="100"/>
      <c r="Z2298" s="100"/>
      <c r="AA2298" s="100"/>
    </row>
    <row r="2299" spans="2:27">
      <c r="B2299" s="100"/>
      <c r="C2299" s="100"/>
      <c r="D2299" s="100"/>
      <c r="E2299" s="100"/>
      <c r="F2299" s="100"/>
      <c r="G2299" s="100"/>
      <c r="H2299" s="100"/>
      <c r="I2299" s="100"/>
      <c r="J2299" s="100"/>
      <c r="K2299" s="100"/>
      <c r="L2299" s="100"/>
      <c r="M2299" s="100"/>
      <c r="N2299" s="100"/>
      <c r="O2299" s="100"/>
      <c r="P2299" s="100"/>
      <c r="Q2299" s="100"/>
      <c r="R2299" s="100"/>
      <c r="S2299" s="100"/>
      <c r="T2299" s="100"/>
      <c r="U2299" s="100"/>
      <c r="V2299" s="100"/>
      <c r="W2299" s="100"/>
      <c r="X2299" s="100"/>
      <c r="Y2299" s="100"/>
      <c r="Z2299" s="100"/>
      <c r="AA2299" s="100"/>
    </row>
    <row r="2300" spans="2:27">
      <c r="B2300" s="100"/>
      <c r="C2300" s="100"/>
      <c r="D2300" s="100"/>
      <c r="E2300" s="100"/>
      <c r="F2300" s="100"/>
      <c r="G2300" s="100"/>
      <c r="H2300" s="100"/>
      <c r="I2300" s="100"/>
      <c r="J2300" s="100"/>
      <c r="K2300" s="100"/>
      <c r="L2300" s="100"/>
      <c r="M2300" s="100"/>
      <c r="N2300" s="100"/>
      <c r="O2300" s="100"/>
      <c r="P2300" s="100"/>
      <c r="Q2300" s="100"/>
      <c r="R2300" s="100"/>
      <c r="S2300" s="100"/>
      <c r="T2300" s="100"/>
      <c r="U2300" s="100"/>
      <c r="V2300" s="100"/>
      <c r="W2300" s="100"/>
      <c r="X2300" s="100"/>
      <c r="Y2300" s="100"/>
      <c r="Z2300" s="100"/>
      <c r="AA2300" s="100"/>
    </row>
    <row r="2301" spans="2:27">
      <c r="B2301" s="100"/>
      <c r="C2301" s="100"/>
      <c r="D2301" s="100"/>
      <c r="E2301" s="100"/>
      <c r="F2301" s="100"/>
      <c r="G2301" s="100"/>
      <c r="H2301" s="100"/>
      <c r="I2301" s="100"/>
      <c r="J2301" s="100"/>
      <c r="K2301" s="100"/>
      <c r="L2301" s="100"/>
      <c r="M2301" s="100"/>
      <c r="N2301" s="100"/>
      <c r="O2301" s="100"/>
      <c r="P2301" s="100"/>
      <c r="Q2301" s="100"/>
      <c r="R2301" s="100"/>
      <c r="S2301" s="100"/>
      <c r="T2301" s="100"/>
      <c r="U2301" s="100"/>
      <c r="V2301" s="100"/>
      <c r="W2301" s="100"/>
      <c r="X2301" s="100"/>
      <c r="Y2301" s="100"/>
      <c r="Z2301" s="100"/>
      <c r="AA2301" s="100"/>
    </row>
    <row r="2302" spans="2:27">
      <c r="B2302" s="100"/>
      <c r="C2302" s="100"/>
      <c r="D2302" s="100"/>
      <c r="E2302" s="100"/>
      <c r="F2302" s="100"/>
      <c r="G2302" s="100"/>
      <c r="H2302" s="100"/>
      <c r="I2302" s="100"/>
      <c r="J2302" s="100"/>
      <c r="K2302" s="100"/>
      <c r="L2302" s="100"/>
      <c r="M2302" s="100"/>
      <c r="N2302" s="100"/>
      <c r="O2302" s="100"/>
      <c r="P2302" s="100"/>
      <c r="Q2302" s="100"/>
      <c r="R2302" s="100"/>
      <c r="S2302" s="100"/>
      <c r="T2302" s="100"/>
      <c r="U2302" s="100"/>
      <c r="V2302" s="100"/>
      <c r="W2302" s="100"/>
      <c r="X2302" s="100"/>
      <c r="Y2302" s="100"/>
      <c r="Z2302" s="100"/>
      <c r="AA2302" s="100"/>
    </row>
    <row r="2303" spans="2:27">
      <c r="B2303" s="100"/>
      <c r="C2303" s="100"/>
      <c r="D2303" s="100"/>
      <c r="E2303" s="100"/>
      <c r="F2303" s="100"/>
      <c r="G2303" s="100"/>
      <c r="H2303" s="100"/>
      <c r="I2303" s="100"/>
      <c r="J2303" s="100"/>
      <c r="K2303" s="100"/>
      <c r="L2303" s="100"/>
      <c r="M2303" s="100"/>
      <c r="N2303" s="100"/>
      <c r="O2303" s="100"/>
      <c r="P2303" s="100"/>
      <c r="Q2303" s="100"/>
      <c r="R2303" s="100"/>
      <c r="S2303" s="100"/>
      <c r="T2303" s="100"/>
      <c r="U2303" s="100"/>
      <c r="V2303" s="100"/>
      <c r="W2303" s="100"/>
      <c r="X2303" s="100"/>
      <c r="Y2303" s="100"/>
      <c r="Z2303" s="100"/>
      <c r="AA2303" s="100"/>
    </row>
    <row r="2304" spans="2:27">
      <c r="B2304" s="100"/>
      <c r="C2304" s="100"/>
      <c r="D2304" s="100"/>
      <c r="E2304" s="100"/>
      <c r="F2304" s="100"/>
      <c r="G2304" s="100"/>
      <c r="H2304" s="100"/>
      <c r="I2304" s="100"/>
      <c r="J2304" s="100"/>
      <c r="K2304" s="100"/>
      <c r="L2304" s="100"/>
      <c r="M2304" s="100"/>
      <c r="N2304" s="100"/>
      <c r="O2304" s="100"/>
      <c r="P2304" s="100"/>
      <c r="Q2304" s="100"/>
      <c r="R2304" s="100"/>
      <c r="S2304" s="100"/>
      <c r="T2304" s="100"/>
      <c r="U2304" s="100"/>
      <c r="V2304" s="100"/>
      <c r="W2304" s="100"/>
      <c r="X2304" s="100"/>
      <c r="Y2304" s="100"/>
      <c r="Z2304" s="100"/>
      <c r="AA2304" s="100"/>
    </row>
    <row r="2305" spans="2:27">
      <c r="B2305" s="100"/>
      <c r="C2305" s="100"/>
      <c r="D2305" s="100"/>
      <c r="E2305" s="100"/>
      <c r="F2305" s="100"/>
      <c r="G2305" s="100"/>
      <c r="H2305" s="100"/>
      <c r="I2305" s="100"/>
      <c r="J2305" s="100"/>
      <c r="K2305" s="100"/>
      <c r="L2305" s="100"/>
      <c r="M2305" s="100"/>
      <c r="N2305" s="100"/>
      <c r="O2305" s="100"/>
      <c r="P2305" s="100"/>
      <c r="Q2305" s="100"/>
      <c r="R2305" s="100"/>
      <c r="S2305" s="100"/>
      <c r="T2305" s="100"/>
      <c r="U2305" s="100"/>
      <c r="V2305" s="100"/>
      <c r="W2305" s="100"/>
      <c r="X2305" s="100"/>
      <c r="Y2305" s="100"/>
      <c r="Z2305" s="100"/>
      <c r="AA2305" s="100"/>
    </row>
    <row r="2306" spans="2:27">
      <c r="B2306" s="100"/>
      <c r="C2306" s="100"/>
      <c r="D2306" s="100"/>
      <c r="E2306" s="100"/>
      <c r="F2306" s="100"/>
      <c r="G2306" s="100"/>
      <c r="H2306" s="100"/>
      <c r="I2306" s="100"/>
      <c r="J2306" s="100"/>
      <c r="K2306" s="100"/>
      <c r="L2306" s="100"/>
      <c r="M2306" s="100"/>
      <c r="N2306" s="100"/>
      <c r="O2306" s="100"/>
      <c r="P2306" s="100"/>
      <c r="Q2306" s="100"/>
      <c r="R2306" s="100"/>
      <c r="S2306" s="100"/>
      <c r="T2306" s="100"/>
      <c r="U2306" s="100"/>
      <c r="V2306" s="100"/>
      <c r="W2306" s="100"/>
      <c r="X2306" s="100"/>
      <c r="Y2306" s="100"/>
      <c r="Z2306" s="100"/>
      <c r="AA2306" s="100"/>
    </row>
    <row r="2307" spans="2:27">
      <c r="B2307" s="100"/>
      <c r="C2307" s="100"/>
      <c r="D2307" s="100"/>
      <c r="E2307" s="100"/>
      <c r="F2307" s="100"/>
      <c r="G2307" s="100"/>
      <c r="H2307" s="100"/>
      <c r="I2307" s="100"/>
      <c r="J2307" s="100"/>
      <c r="K2307" s="100"/>
      <c r="L2307" s="100"/>
      <c r="M2307" s="100"/>
      <c r="N2307" s="100"/>
      <c r="O2307" s="100"/>
      <c r="P2307" s="100"/>
      <c r="Q2307" s="100"/>
      <c r="R2307" s="100"/>
      <c r="S2307" s="100"/>
      <c r="T2307" s="100"/>
      <c r="U2307" s="100"/>
      <c r="V2307" s="100"/>
      <c r="W2307" s="100"/>
      <c r="X2307" s="100"/>
      <c r="Y2307" s="100"/>
      <c r="Z2307" s="100"/>
      <c r="AA2307" s="100"/>
    </row>
    <row r="2308" spans="2:27">
      <c r="B2308" s="100"/>
      <c r="C2308" s="100"/>
      <c r="D2308" s="100"/>
      <c r="E2308" s="100"/>
      <c r="F2308" s="100"/>
      <c r="G2308" s="100"/>
      <c r="H2308" s="100"/>
      <c r="I2308" s="100"/>
      <c r="J2308" s="100"/>
      <c r="K2308" s="100"/>
      <c r="L2308" s="100"/>
      <c r="M2308" s="100"/>
      <c r="N2308" s="100"/>
      <c r="O2308" s="100"/>
      <c r="P2308" s="100"/>
      <c r="Q2308" s="100"/>
      <c r="R2308" s="100"/>
      <c r="S2308" s="100"/>
      <c r="T2308" s="100"/>
      <c r="U2308" s="100"/>
      <c r="V2308" s="100"/>
      <c r="W2308" s="100"/>
      <c r="X2308" s="100"/>
      <c r="Y2308" s="100"/>
      <c r="Z2308" s="100"/>
      <c r="AA2308" s="100"/>
    </row>
    <row r="2309" spans="2:27">
      <c r="B2309" s="100"/>
      <c r="C2309" s="100"/>
      <c r="D2309" s="100"/>
      <c r="E2309" s="100"/>
      <c r="F2309" s="100"/>
      <c r="G2309" s="100"/>
      <c r="H2309" s="100"/>
      <c r="I2309" s="100"/>
      <c r="J2309" s="100"/>
      <c r="K2309" s="100"/>
      <c r="L2309" s="100"/>
      <c r="M2309" s="100"/>
      <c r="N2309" s="100"/>
      <c r="O2309" s="100"/>
      <c r="P2309" s="100"/>
      <c r="Q2309" s="100"/>
      <c r="R2309" s="100"/>
      <c r="S2309" s="100"/>
      <c r="T2309" s="100"/>
      <c r="U2309" s="100"/>
      <c r="V2309" s="100"/>
      <c r="W2309" s="100"/>
      <c r="X2309" s="100"/>
      <c r="Y2309" s="100"/>
      <c r="Z2309" s="100"/>
      <c r="AA2309" s="100"/>
    </row>
    <row r="2310" spans="2:27">
      <c r="B2310" s="100"/>
      <c r="C2310" s="100"/>
      <c r="D2310" s="100"/>
      <c r="E2310" s="100"/>
      <c r="F2310" s="100"/>
      <c r="G2310" s="100"/>
      <c r="H2310" s="100"/>
      <c r="I2310" s="100"/>
      <c r="J2310" s="100"/>
      <c r="K2310" s="100"/>
      <c r="L2310" s="100"/>
      <c r="M2310" s="100"/>
      <c r="N2310" s="100"/>
      <c r="O2310" s="100"/>
      <c r="P2310" s="100"/>
      <c r="Q2310" s="100"/>
      <c r="R2310" s="100"/>
      <c r="S2310" s="100"/>
      <c r="T2310" s="100"/>
      <c r="U2310" s="100"/>
      <c r="V2310" s="100"/>
      <c r="W2310" s="100"/>
      <c r="X2310" s="100"/>
      <c r="Y2310" s="100"/>
      <c r="Z2310" s="100"/>
      <c r="AA2310" s="100"/>
    </row>
    <row r="2311" spans="2:27">
      <c r="B2311" s="100"/>
      <c r="C2311" s="100"/>
      <c r="D2311" s="100"/>
      <c r="E2311" s="100"/>
      <c r="F2311" s="100"/>
      <c r="G2311" s="100"/>
      <c r="H2311" s="100"/>
      <c r="I2311" s="100"/>
      <c r="J2311" s="100"/>
      <c r="K2311" s="100"/>
      <c r="L2311" s="100"/>
      <c r="M2311" s="100"/>
      <c r="N2311" s="100"/>
      <c r="O2311" s="100"/>
      <c r="P2311" s="100"/>
      <c r="Q2311" s="100"/>
      <c r="R2311" s="100"/>
      <c r="S2311" s="100"/>
      <c r="T2311" s="100"/>
      <c r="U2311" s="100"/>
      <c r="V2311" s="100"/>
      <c r="W2311" s="100"/>
      <c r="X2311" s="100"/>
      <c r="Y2311" s="100"/>
      <c r="Z2311" s="100"/>
      <c r="AA2311" s="100"/>
    </row>
    <row r="2312" spans="2:27">
      <c r="B2312" s="100"/>
      <c r="C2312" s="100"/>
      <c r="D2312" s="100"/>
      <c r="E2312" s="100"/>
      <c r="F2312" s="100"/>
      <c r="G2312" s="100"/>
      <c r="H2312" s="100"/>
      <c r="I2312" s="100"/>
      <c r="J2312" s="100"/>
      <c r="K2312" s="100"/>
      <c r="L2312" s="100"/>
      <c r="M2312" s="100"/>
      <c r="N2312" s="100"/>
      <c r="O2312" s="100"/>
      <c r="P2312" s="100"/>
      <c r="Q2312" s="100"/>
      <c r="R2312" s="100"/>
      <c r="S2312" s="100"/>
      <c r="T2312" s="100"/>
      <c r="U2312" s="100"/>
      <c r="V2312" s="100"/>
      <c r="W2312" s="100"/>
      <c r="X2312" s="100"/>
      <c r="Y2312" s="100"/>
      <c r="Z2312" s="100"/>
      <c r="AA2312" s="100"/>
    </row>
    <row r="2313" spans="2:27">
      <c r="B2313" s="100"/>
      <c r="C2313" s="100"/>
      <c r="D2313" s="100"/>
      <c r="E2313" s="100"/>
      <c r="F2313" s="100"/>
      <c r="G2313" s="100"/>
      <c r="H2313" s="100"/>
      <c r="I2313" s="100"/>
      <c r="J2313" s="100"/>
      <c r="K2313" s="100"/>
      <c r="L2313" s="100"/>
      <c r="M2313" s="100"/>
      <c r="N2313" s="100"/>
      <c r="O2313" s="100"/>
      <c r="P2313" s="100"/>
      <c r="Q2313" s="100"/>
      <c r="R2313" s="100"/>
      <c r="S2313" s="100"/>
      <c r="T2313" s="100"/>
      <c r="U2313" s="100"/>
      <c r="V2313" s="100"/>
      <c r="W2313" s="100"/>
      <c r="X2313" s="100"/>
      <c r="Y2313" s="100"/>
      <c r="Z2313" s="100"/>
      <c r="AA2313" s="100"/>
    </row>
    <row r="2314" spans="2:27">
      <c r="B2314" s="100"/>
      <c r="C2314" s="100"/>
      <c r="D2314" s="100"/>
      <c r="E2314" s="100"/>
      <c r="F2314" s="100"/>
      <c r="G2314" s="100"/>
      <c r="H2314" s="100"/>
      <c r="I2314" s="100"/>
      <c r="J2314" s="100"/>
      <c r="K2314" s="100"/>
      <c r="L2314" s="100"/>
      <c r="M2314" s="100"/>
      <c r="N2314" s="100"/>
      <c r="O2314" s="100"/>
      <c r="P2314" s="100"/>
      <c r="Q2314" s="100"/>
      <c r="R2314" s="100"/>
      <c r="S2314" s="100"/>
      <c r="T2314" s="100"/>
      <c r="U2314" s="100"/>
      <c r="V2314" s="100"/>
      <c r="W2314" s="100"/>
      <c r="X2314" s="100"/>
      <c r="Y2314" s="100"/>
      <c r="Z2314" s="100"/>
      <c r="AA2314" s="100"/>
    </row>
    <row r="2315" spans="2:27">
      <c r="B2315" s="100"/>
      <c r="C2315" s="100"/>
      <c r="D2315" s="100"/>
      <c r="E2315" s="100"/>
      <c r="F2315" s="100"/>
      <c r="G2315" s="100"/>
      <c r="H2315" s="100"/>
      <c r="I2315" s="100"/>
      <c r="J2315" s="100"/>
      <c r="K2315" s="100"/>
      <c r="L2315" s="100"/>
      <c r="M2315" s="100"/>
      <c r="N2315" s="100"/>
      <c r="O2315" s="100"/>
      <c r="P2315" s="100"/>
      <c r="Q2315" s="100"/>
      <c r="R2315" s="100"/>
      <c r="S2315" s="100"/>
      <c r="T2315" s="100"/>
      <c r="U2315" s="100"/>
      <c r="V2315" s="100"/>
      <c r="W2315" s="100"/>
      <c r="X2315" s="100"/>
      <c r="Y2315" s="100"/>
      <c r="Z2315" s="100"/>
      <c r="AA2315" s="100"/>
    </row>
    <row r="2316" spans="2:27">
      <c r="B2316" s="100"/>
      <c r="C2316" s="100"/>
      <c r="D2316" s="100"/>
      <c r="E2316" s="100"/>
      <c r="F2316" s="100"/>
      <c r="G2316" s="100"/>
      <c r="H2316" s="100"/>
      <c r="I2316" s="100"/>
      <c r="J2316" s="100"/>
      <c r="K2316" s="100"/>
      <c r="L2316" s="100"/>
      <c r="M2316" s="100"/>
      <c r="N2316" s="100"/>
      <c r="O2316" s="100"/>
      <c r="P2316" s="100"/>
      <c r="Q2316" s="100"/>
      <c r="R2316" s="100"/>
      <c r="S2316" s="100"/>
      <c r="T2316" s="100"/>
      <c r="U2316" s="100"/>
      <c r="V2316" s="100"/>
      <c r="W2316" s="100"/>
      <c r="X2316" s="100"/>
      <c r="Y2316" s="100"/>
      <c r="Z2316" s="100"/>
      <c r="AA2316" s="100"/>
    </row>
    <row r="2317" spans="2:27">
      <c r="B2317" s="100"/>
      <c r="C2317" s="100"/>
      <c r="D2317" s="100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  <c r="AA2317" s="100"/>
    </row>
    <row r="2318" spans="2:27">
      <c r="B2318" s="100"/>
      <c r="C2318" s="100"/>
      <c r="D2318" s="100"/>
      <c r="E2318" s="100"/>
      <c r="F2318" s="100"/>
      <c r="G2318" s="100"/>
      <c r="H2318" s="100"/>
      <c r="I2318" s="100"/>
      <c r="J2318" s="100"/>
      <c r="K2318" s="100"/>
      <c r="L2318" s="100"/>
      <c r="M2318" s="100"/>
      <c r="N2318" s="100"/>
      <c r="O2318" s="100"/>
      <c r="P2318" s="100"/>
      <c r="Q2318" s="100"/>
      <c r="R2318" s="100"/>
      <c r="S2318" s="100"/>
      <c r="T2318" s="100"/>
      <c r="U2318" s="100"/>
      <c r="V2318" s="100"/>
      <c r="W2318" s="100"/>
      <c r="X2318" s="100"/>
      <c r="Y2318" s="100"/>
      <c r="Z2318" s="100"/>
      <c r="AA2318" s="100"/>
    </row>
    <row r="2319" spans="2:27">
      <c r="B2319" s="100"/>
      <c r="C2319" s="100"/>
      <c r="D2319" s="100"/>
      <c r="E2319" s="100"/>
      <c r="F2319" s="100"/>
      <c r="G2319" s="100"/>
      <c r="H2319" s="100"/>
      <c r="I2319" s="100"/>
      <c r="J2319" s="100"/>
      <c r="K2319" s="100"/>
      <c r="L2319" s="100"/>
      <c r="M2319" s="100"/>
      <c r="N2319" s="100"/>
      <c r="O2319" s="100"/>
      <c r="P2319" s="100"/>
      <c r="Q2319" s="100"/>
      <c r="R2319" s="100"/>
      <c r="S2319" s="100"/>
      <c r="T2319" s="100"/>
      <c r="U2319" s="100"/>
      <c r="V2319" s="100"/>
      <c r="W2319" s="100"/>
      <c r="X2319" s="100"/>
      <c r="Y2319" s="100"/>
      <c r="Z2319" s="100"/>
      <c r="AA2319" s="100"/>
    </row>
    <row r="2320" spans="2:27">
      <c r="B2320" s="100"/>
      <c r="C2320" s="100"/>
      <c r="D2320" s="100"/>
      <c r="E2320" s="100"/>
      <c r="F2320" s="100"/>
      <c r="G2320" s="100"/>
      <c r="H2320" s="100"/>
      <c r="I2320" s="100"/>
      <c r="J2320" s="100"/>
      <c r="K2320" s="100"/>
      <c r="L2320" s="100"/>
      <c r="M2320" s="100"/>
      <c r="N2320" s="100"/>
      <c r="O2320" s="100"/>
      <c r="P2320" s="100"/>
      <c r="Q2320" s="100"/>
      <c r="R2320" s="100"/>
      <c r="S2320" s="100"/>
      <c r="T2320" s="100"/>
      <c r="U2320" s="100"/>
      <c r="V2320" s="100"/>
      <c r="W2320" s="100"/>
      <c r="X2320" s="100"/>
      <c r="Y2320" s="100"/>
      <c r="Z2320" s="100"/>
      <c r="AA2320" s="100"/>
    </row>
    <row r="2321" spans="2:27">
      <c r="B2321" s="100"/>
      <c r="C2321" s="100"/>
      <c r="D2321" s="100"/>
      <c r="E2321" s="100"/>
      <c r="F2321" s="100"/>
      <c r="G2321" s="100"/>
      <c r="H2321" s="100"/>
      <c r="I2321" s="100"/>
      <c r="J2321" s="100"/>
      <c r="K2321" s="100"/>
      <c r="L2321" s="100"/>
      <c r="M2321" s="100"/>
      <c r="N2321" s="100"/>
      <c r="O2321" s="100"/>
      <c r="P2321" s="100"/>
      <c r="Q2321" s="100"/>
      <c r="R2321" s="100"/>
      <c r="S2321" s="100"/>
      <c r="T2321" s="100"/>
      <c r="U2321" s="100"/>
      <c r="V2321" s="100"/>
      <c r="W2321" s="100"/>
      <c r="X2321" s="100"/>
      <c r="Y2321" s="100"/>
      <c r="Z2321" s="100"/>
      <c r="AA2321" s="100"/>
    </row>
    <row r="2322" spans="2:27">
      <c r="B2322" s="100"/>
      <c r="C2322" s="100"/>
      <c r="D2322" s="100"/>
      <c r="E2322" s="100"/>
      <c r="F2322" s="100"/>
      <c r="G2322" s="100"/>
      <c r="H2322" s="100"/>
      <c r="I2322" s="100"/>
      <c r="J2322" s="100"/>
      <c r="K2322" s="100"/>
      <c r="L2322" s="100"/>
      <c r="M2322" s="100"/>
      <c r="N2322" s="100"/>
      <c r="O2322" s="100"/>
      <c r="P2322" s="100"/>
      <c r="Q2322" s="100"/>
      <c r="R2322" s="100"/>
      <c r="S2322" s="100"/>
      <c r="T2322" s="100"/>
      <c r="U2322" s="100"/>
      <c r="V2322" s="100"/>
      <c r="W2322" s="100"/>
      <c r="X2322" s="100"/>
      <c r="Y2322" s="100"/>
      <c r="Z2322" s="100"/>
      <c r="AA2322" s="100"/>
    </row>
    <row r="2323" spans="2:27">
      <c r="B2323" s="100"/>
      <c r="C2323" s="100"/>
      <c r="D2323" s="100"/>
      <c r="E2323" s="100"/>
      <c r="F2323" s="100"/>
      <c r="G2323" s="100"/>
      <c r="H2323" s="100"/>
      <c r="I2323" s="100"/>
      <c r="J2323" s="100"/>
      <c r="K2323" s="100"/>
      <c r="L2323" s="100"/>
      <c r="M2323" s="100"/>
      <c r="N2323" s="100"/>
      <c r="O2323" s="100"/>
      <c r="P2323" s="100"/>
      <c r="Q2323" s="100"/>
      <c r="R2323" s="100"/>
      <c r="S2323" s="100"/>
      <c r="T2323" s="100"/>
      <c r="U2323" s="100"/>
      <c r="V2323" s="100"/>
      <c r="W2323" s="100"/>
      <c r="X2323" s="100"/>
      <c r="Y2323" s="100"/>
      <c r="Z2323" s="100"/>
      <c r="AA2323" s="100"/>
    </row>
    <row r="2324" spans="2:27">
      <c r="B2324" s="100"/>
      <c r="C2324" s="100"/>
      <c r="D2324" s="100"/>
      <c r="E2324" s="100"/>
      <c r="F2324" s="100"/>
      <c r="G2324" s="100"/>
      <c r="H2324" s="100"/>
      <c r="I2324" s="100"/>
      <c r="J2324" s="100"/>
      <c r="K2324" s="100"/>
      <c r="L2324" s="100"/>
      <c r="M2324" s="100"/>
      <c r="N2324" s="100"/>
      <c r="O2324" s="100"/>
      <c r="P2324" s="100"/>
      <c r="Q2324" s="100"/>
      <c r="R2324" s="100"/>
      <c r="S2324" s="100"/>
      <c r="T2324" s="100"/>
      <c r="U2324" s="100"/>
      <c r="V2324" s="100"/>
      <c r="W2324" s="100"/>
      <c r="X2324" s="100"/>
      <c r="Y2324" s="100"/>
      <c r="Z2324" s="100"/>
      <c r="AA2324" s="100"/>
    </row>
    <row r="2325" spans="2:27">
      <c r="B2325" s="100"/>
      <c r="C2325" s="100"/>
      <c r="D2325" s="100"/>
      <c r="E2325" s="100"/>
      <c r="F2325" s="100"/>
      <c r="G2325" s="100"/>
      <c r="H2325" s="100"/>
      <c r="I2325" s="100"/>
      <c r="J2325" s="100"/>
      <c r="K2325" s="100"/>
      <c r="L2325" s="100"/>
      <c r="M2325" s="100"/>
      <c r="N2325" s="100"/>
      <c r="O2325" s="100"/>
      <c r="P2325" s="100"/>
      <c r="Q2325" s="100"/>
      <c r="R2325" s="100"/>
      <c r="S2325" s="100"/>
      <c r="T2325" s="100"/>
      <c r="U2325" s="100"/>
      <c r="V2325" s="100"/>
      <c r="W2325" s="100"/>
      <c r="X2325" s="100"/>
      <c r="Y2325" s="100"/>
      <c r="Z2325" s="100"/>
      <c r="AA2325" s="100"/>
    </row>
    <row r="2326" spans="2:27">
      <c r="B2326" s="100"/>
      <c r="C2326" s="100"/>
      <c r="D2326" s="100"/>
      <c r="E2326" s="100"/>
      <c r="F2326" s="100"/>
      <c r="G2326" s="100"/>
      <c r="H2326" s="100"/>
      <c r="I2326" s="100"/>
      <c r="J2326" s="100"/>
      <c r="K2326" s="100"/>
      <c r="L2326" s="100"/>
      <c r="M2326" s="100"/>
      <c r="N2326" s="100"/>
      <c r="O2326" s="100"/>
      <c r="P2326" s="100"/>
      <c r="Q2326" s="100"/>
      <c r="R2326" s="100"/>
      <c r="S2326" s="100"/>
      <c r="T2326" s="100"/>
      <c r="U2326" s="100"/>
      <c r="V2326" s="100"/>
      <c r="W2326" s="100"/>
      <c r="X2326" s="100"/>
      <c r="Y2326" s="100"/>
      <c r="Z2326" s="100"/>
      <c r="AA2326" s="100"/>
    </row>
    <row r="2327" spans="2:27">
      <c r="B2327" s="100"/>
      <c r="C2327" s="100"/>
      <c r="D2327" s="100"/>
      <c r="E2327" s="100"/>
      <c r="F2327" s="100"/>
      <c r="G2327" s="100"/>
      <c r="H2327" s="100"/>
      <c r="I2327" s="100"/>
      <c r="J2327" s="100"/>
      <c r="K2327" s="100"/>
      <c r="L2327" s="100"/>
      <c r="M2327" s="100"/>
      <c r="N2327" s="100"/>
      <c r="O2327" s="100"/>
      <c r="P2327" s="100"/>
      <c r="Q2327" s="100"/>
      <c r="R2327" s="100"/>
      <c r="S2327" s="100"/>
      <c r="T2327" s="100"/>
      <c r="U2327" s="100"/>
      <c r="V2327" s="100"/>
      <c r="W2327" s="100"/>
      <c r="X2327" s="100"/>
      <c r="Y2327" s="100"/>
      <c r="Z2327" s="100"/>
      <c r="AA2327" s="100"/>
    </row>
    <row r="2328" spans="2:27">
      <c r="B2328" s="100"/>
      <c r="C2328" s="100"/>
      <c r="D2328" s="100"/>
      <c r="E2328" s="100"/>
      <c r="F2328" s="100"/>
      <c r="G2328" s="100"/>
      <c r="H2328" s="100"/>
      <c r="I2328" s="100"/>
      <c r="J2328" s="100"/>
      <c r="K2328" s="100"/>
      <c r="L2328" s="100"/>
      <c r="M2328" s="100"/>
      <c r="N2328" s="100"/>
      <c r="O2328" s="100"/>
      <c r="P2328" s="100"/>
      <c r="Q2328" s="100"/>
      <c r="R2328" s="100"/>
      <c r="S2328" s="100"/>
      <c r="T2328" s="100"/>
      <c r="U2328" s="100"/>
      <c r="V2328" s="100"/>
      <c r="W2328" s="100"/>
      <c r="X2328" s="100"/>
      <c r="Y2328" s="100"/>
      <c r="Z2328" s="100"/>
      <c r="AA2328" s="100"/>
    </row>
    <row r="2329" spans="2:27">
      <c r="B2329" s="100"/>
      <c r="C2329" s="100"/>
      <c r="D2329" s="100"/>
      <c r="E2329" s="100"/>
      <c r="F2329" s="100"/>
      <c r="G2329" s="100"/>
      <c r="H2329" s="100"/>
      <c r="I2329" s="100"/>
      <c r="J2329" s="100"/>
      <c r="K2329" s="100"/>
      <c r="L2329" s="100"/>
      <c r="M2329" s="100"/>
      <c r="N2329" s="100"/>
      <c r="O2329" s="100"/>
      <c r="P2329" s="100"/>
      <c r="Q2329" s="100"/>
      <c r="R2329" s="100"/>
      <c r="S2329" s="100"/>
      <c r="T2329" s="100"/>
      <c r="U2329" s="100"/>
      <c r="V2329" s="100"/>
      <c r="W2329" s="100"/>
      <c r="X2329" s="100"/>
      <c r="Y2329" s="100"/>
      <c r="Z2329" s="100"/>
      <c r="AA2329" s="100"/>
    </row>
    <row r="2330" spans="2:27">
      <c r="B2330" s="100"/>
      <c r="C2330" s="100"/>
      <c r="D2330" s="100"/>
      <c r="E2330" s="100"/>
      <c r="F2330" s="100"/>
      <c r="G2330" s="100"/>
      <c r="H2330" s="100"/>
      <c r="I2330" s="100"/>
      <c r="J2330" s="100"/>
      <c r="K2330" s="100"/>
      <c r="L2330" s="100"/>
      <c r="M2330" s="100"/>
      <c r="N2330" s="100"/>
      <c r="O2330" s="100"/>
      <c r="P2330" s="100"/>
      <c r="Q2330" s="100"/>
      <c r="R2330" s="100"/>
      <c r="S2330" s="100"/>
      <c r="T2330" s="100"/>
      <c r="U2330" s="100"/>
      <c r="V2330" s="100"/>
      <c r="W2330" s="100"/>
      <c r="X2330" s="100"/>
      <c r="Y2330" s="100"/>
      <c r="Z2330" s="100"/>
      <c r="AA2330" s="100"/>
    </row>
    <row r="2331" spans="2:27">
      <c r="B2331" s="100"/>
      <c r="C2331" s="100"/>
      <c r="D2331" s="100"/>
      <c r="E2331" s="100"/>
      <c r="F2331" s="100"/>
      <c r="G2331" s="100"/>
      <c r="H2331" s="100"/>
      <c r="I2331" s="100"/>
      <c r="J2331" s="100"/>
      <c r="K2331" s="100"/>
      <c r="L2331" s="100"/>
      <c r="M2331" s="100"/>
      <c r="N2331" s="100"/>
      <c r="O2331" s="100"/>
      <c r="P2331" s="100"/>
      <c r="Q2331" s="100"/>
      <c r="R2331" s="100"/>
      <c r="S2331" s="100"/>
      <c r="T2331" s="100"/>
      <c r="U2331" s="100"/>
      <c r="V2331" s="100"/>
      <c r="W2331" s="100"/>
      <c r="X2331" s="100"/>
      <c r="Y2331" s="100"/>
      <c r="Z2331" s="100"/>
      <c r="AA2331" s="100"/>
    </row>
    <row r="2332" spans="2:27">
      <c r="B2332" s="100"/>
      <c r="C2332" s="100"/>
      <c r="D2332" s="100"/>
      <c r="E2332" s="100"/>
      <c r="F2332" s="100"/>
      <c r="G2332" s="100"/>
      <c r="H2332" s="100"/>
      <c r="I2332" s="100"/>
      <c r="J2332" s="100"/>
      <c r="K2332" s="100"/>
      <c r="L2332" s="100"/>
      <c r="M2332" s="100"/>
      <c r="N2332" s="100"/>
      <c r="O2332" s="100"/>
      <c r="P2332" s="100"/>
      <c r="Q2332" s="100"/>
      <c r="R2332" s="100"/>
      <c r="S2332" s="100"/>
      <c r="T2332" s="100"/>
      <c r="U2332" s="100"/>
      <c r="V2332" s="100"/>
      <c r="W2332" s="100"/>
      <c r="X2332" s="100"/>
      <c r="Y2332" s="100"/>
      <c r="Z2332" s="100"/>
      <c r="AA2332" s="100"/>
    </row>
    <row r="2333" spans="2:27">
      <c r="B2333" s="100"/>
      <c r="C2333" s="100"/>
      <c r="D2333" s="100"/>
      <c r="E2333" s="100"/>
      <c r="F2333" s="100"/>
      <c r="G2333" s="100"/>
      <c r="H2333" s="100"/>
      <c r="I2333" s="100"/>
      <c r="J2333" s="100"/>
      <c r="K2333" s="100"/>
      <c r="L2333" s="100"/>
      <c r="M2333" s="100"/>
      <c r="N2333" s="100"/>
      <c r="O2333" s="100"/>
      <c r="P2333" s="100"/>
      <c r="Q2333" s="100"/>
      <c r="R2333" s="100"/>
      <c r="S2333" s="100"/>
      <c r="T2333" s="100"/>
      <c r="U2333" s="100"/>
      <c r="V2333" s="100"/>
      <c r="W2333" s="100"/>
      <c r="X2333" s="100"/>
      <c r="Y2333" s="100"/>
      <c r="Z2333" s="100"/>
      <c r="AA2333" s="100"/>
    </row>
    <row r="2334" spans="2:27">
      <c r="B2334" s="100"/>
      <c r="C2334" s="100"/>
      <c r="D2334" s="100"/>
      <c r="E2334" s="100"/>
      <c r="F2334" s="100"/>
      <c r="G2334" s="100"/>
      <c r="H2334" s="100"/>
      <c r="I2334" s="100"/>
      <c r="J2334" s="100"/>
      <c r="K2334" s="100"/>
      <c r="L2334" s="100"/>
      <c r="M2334" s="100"/>
      <c r="N2334" s="100"/>
      <c r="O2334" s="100"/>
      <c r="P2334" s="100"/>
      <c r="Q2334" s="100"/>
      <c r="R2334" s="100"/>
      <c r="S2334" s="100"/>
      <c r="T2334" s="100"/>
      <c r="U2334" s="100"/>
      <c r="V2334" s="100"/>
      <c r="W2334" s="100"/>
      <c r="X2334" s="100"/>
      <c r="Y2334" s="100"/>
      <c r="Z2334" s="100"/>
      <c r="AA2334" s="100"/>
    </row>
    <row r="2335" spans="2:27">
      <c r="B2335" s="100"/>
      <c r="C2335" s="100"/>
      <c r="D2335" s="100"/>
      <c r="E2335" s="100"/>
      <c r="F2335" s="100"/>
      <c r="G2335" s="100"/>
      <c r="H2335" s="100"/>
      <c r="I2335" s="100"/>
      <c r="J2335" s="100"/>
      <c r="K2335" s="100"/>
      <c r="L2335" s="100"/>
      <c r="M2335" s="100"/>
      <c r="N2335" s="100"/>
      <c r="O2335" s="100"/>
      <c r="P2335" s="100"/>
      <c r="Q2335" s="100"/>
      <c r="R2335" s="100"/>
      <c r="S2335" s="100"/>
      <c r="T2335" s="100"/>
      <c r="U2335" s="100"/>
      <c r="V2335" s="100"/>
      <c r="W2335" s="100"/>
      <c r="X2335" s="100"/>
      <c r="Y2335" s="100"/>
      <c r="Z2335" s="100"/>
      <c r="AA2335" s="100"/>
    </row>
    <row r="2336" spans="2:27">
      <c r="B2336" s="100"/>
      <c r="C2336" s="100"/>
      <c r="D2336" s="100"/>
      <c r="E2336" s="100"/>
      <c r="F2336" s="100"/>
      <c r="G2336" s="100"/>
      <c r="H2336" s="100"/>
      <c r="I2336" s="100"/>
      <c r="J2336" s="100"/>
      <c r="K2336" s="100"/>
      <c r="L2336" s="100"/>
      <c r="M2336" s="100"/>
      <c r="N2336" s="100"/>
      <c r="O2336" s="100"/>
      <c r="P2336" s="100"/>
      <c r="Q2336" s="100"/>
      <c r="R2336" s="100"/>
      <c r="S2336" s="100"/>
      <c r="T2336" s="100"/>
      <c r="U2336" s="100"/>
      <c r="V2336" s="100"/>
      <c r="W2336" s="100"/>
      <c r="X2336" s="100"/>
      <c r="Y2336" s="100"/>
      <c r="Z2336" s="100"/>
      <c r="AA2336" s="100"/>
    </row>
    <row r="2337" spans="2:27">
      <c r="B2337" s="100"/>
      <c r="C2337" s="100"/>
      <c r="D2337" s="100"/>
      <c r="E2337" s="100"/>
      <c r="F2337" s="100"/>
      <c r="G2337" s="100"/>
      <c r="H2337" s="100"/>
      <c r="I2337" s="100"/>
      <c r="J2337" s="100"/>
      <c r="K2337" s="100"/>
      <c r="L2337" s="100"/>
      <c r="M2337" s="100"/>
      <c r="N2337" s="100"/>
      <c r="O2337" s="100"/>
      <c r="P2337" s="100"/>
      <c r="Q2337" s="100"/>
      <c r="R2337" s="100"/>
      <c r="S2337" s="100"/>
      <c r="T2337" s="100"/>
      <c r="U2337" s="100"/>
      <c r="V2337" s="100"/>
      <c r="W2337" s="100"/>
      <c r="X2337" s="100"/>
      <c r="Y2337" s="100"/>
      <c r="Z2337" s="100"/>
      <c r="AA2337" s="100"/>
    </row>
    <row r="2338" spans="2:27">
      <c r="B2338" s="100"/>
      <c r="C2338" s="100"/>
      <c r="D2338" s="100"/>
      <c r="E2338" s="100"/>
      <c r="F2338" s="100"/>
      <c r="G2338" s="100"/>
      <c r="H2338" s="100"/>
      <c r="I2338" s="100"/>
      <c r="J2338" s="100"/>
      <c r="K2338" s="100"/>
      <c r="L2338" s="100"/>
      <c r="M2338" s="100"/>
      <c r="N2338" s="100"/>
      <c r="O2338" s="100"/>
      <c r="P2338" s="100"/>
      <c r="Q2338" s="100"/>
      <c r="R2338" s="100"/>
      <c r="S2338" s="100"/>
      <c r="T2338" s="100"/>
      <c r="U2338" s="100"/>
      <c r="V2338" s="100"/>
      <c r="W2338" s="100"/>
      <c r="X2338" s="100"/>
      <c r="Y2338" s="100"/>
      <c r="Z2338" s="100"/>
      <c r="AA2338" s="100"/>
    </row>
    <row r="2339" spans="2:27">
      <c r="B2339" s="100"/>
      <c r="C2339" s="100"/>
      <c r="D2339" s="100"/>
      <c r="E2339" s="100"/>
      <c r="F2339" s="100"/>
      <c r="G2339" s="100"/>
      <c r="H2339" s="100"/>
      <c r="I2339" s="100"/>
      <c r="J2339" s="100"/>
      <c r="K2339" s="100"/>
      <c r="L2339" s="100"/>
      <c r="M2339" s="100"/>
      <c r="N2339" s="100"/>
      <c r="O2339" s="100"/>
      <c r="P2339" s="100"/>
      <c r="Q2339" s="100"/>
      <c r="R2339" s="100"/>
      <c r="S2339" s="100"/>
      <c r="T2339" s="100"/>
      <c r="U2339" s="100"/>
      <c r="V2339" s="100"/>
      <c r="W2339" s="100"/>
      <c r="X2339" s="100"/>
      <c r="Y2339" s="100"/>
      <c r="Z2339" s="100"/>
      <c r="AA2339" s="100"/>
    </row>
    <row r="2340" spans="2:27">
      <c r="B2340" s="100"/>
      <c r="C2340" s="100"/>
      <c r="D2340" s="100"/>
      <c r="E2340" s="100"/>
      <c r="F2340" s="100"/>
      <c r="G2340" s="100"/>
      <c r="H2340" s="100"/>
      <c r="I2340" s="100"/>
      <c r="J2340" s="100"/>
      <c r="K2340" s="100"/>
      <c r="L2340" s="100"/>
      <c r="M2340" s="100"/>
      <c r="N2340" s="100"/>
      <c r="O2340" s="100"/>
      <c r="P2340" s="100"/>
      <c r="Q2340" s="100"/>
      <c r="R2340" s="100"/>
      <c r="S2340" s="100"/>
      <c r="T2340" s="100"/>
      <c r="U2340" s="100"/>
      <c r="V2340" s="100"/>
      <c r="W2340" s="100"/>
      <c r="X2340" s="100"/>
      <c r="Y2340" s="100"/>
      <c r="Z2340" s="100"/>
      <c r="AA2340" s="100"/>
    </row>
    <row r="2341" spans="2:27">
      <c r="B2341" s="100"/>
      <c r="C2341" s="100"/>
      <c r="D2341" s="100"/>
      <c r="E2341" s="100"/>
      <c r="F2341" s="100"/>
      <c r="G2341" s="100"/>
      <c r="H2341" s="100"/>
      <c r="I2341" s="100"/>
      <c r="J2341" s="100"/>
      <c r="K2341" s="100"/>
      <c r="L2341" s="100"/>
      <c r="M2341" s="100"/>
      <c r="N2341" s="100"/>
      <c r="O2341" s="100"/>
      <c r="P2341" s="100"/>
      <c r="Q2341" s="100"/>
      <c r="R2341" s="100"/>
      <c r="S2341" s="100"/>
      <c r="T2341" s="100"/>
      <c r="U2341" s="100"/>
      <c r="V2341" s="100"/>
      <c r="W2341" s="100"/>
      <c r="X2341" s="100"/>
      <c r="Y2341" s="100"/>
      <c r="Z2341" s="100"/>
      <c r="AA2341" s="100"/>
    </row>
    <row r="2342" spans="2:27">
      <c r="B2342" s="100"/>
      <c r="C2342" s="100"/>
      <c r="D2342" s="100"/>
      <c r="E2342" s="100"/>
      <c r="F2342" s="100"/>
      <c r="G2342" s="100"/>
      <c r="H2342" s="100"/>
      <c r="I2342" s="100"/>
      <c r="J2342" s="100"/>
      <c r="K2342" s="100"/>
      <c r="L2342" s="100"/>
      <c r="M2342" s="100"/>
      <c r="N2342" s="100"/>
      <c r="O2342" s="100"/>
      <c r="P2342" s="100"/>
      <c r="Q2342" s="100"/>
      <c r="R2342" s="100"/>
      <c r="S2342" s="100"/>
      <c r="T2342" s="100"/>
      <c r="U2342" s="100"/>
      <c r="V2342" s="100"/>
      <c r="W2342" s="100"/>
      <c r="X2342" s="100"/>
      <c r="Y2342" s="100"/>
      <c r="Z2342" s="100"/>
      <c r="AA2342" s="100"/>
    </row>
    <row r="2343" spans="2:27">
      <c r="B2343" s="100"/>
      <c r="C2343" s="100"/>
      <c r="D2343" s="100"/>
      <c r="E2343" s="100"/>
      <c r="F2343" s="100"/>
      <c r="G2343" s="100"/>
      <c r="H2343" s="100"/>
      <c r="I2343" s="100"/>
      <c r="J2343" s="100"/>
      <c r="K2343" s="100"/>
      <c r="L2343" s="100"/>
      <c r="M2343" s="100"/>
      <c r="N2343" s="100"/>
      <c r="O2343" s="100"/>
      <c r="P2343" s="100"/>
      <c r="Q2343" s="100"/>
      <c r="R2343" s="100"/>
      <c r="S2343" s="100"/>
      <c r="T2343" s="100"/>
      <c r="U2343" s="100"/>
      <c r="V2343" s="100"/>
      <c r="W2343" s="100"/>
      <c r="X2343" s="100"/>
      <c r="Y2343" s="100"/>
      <c r="Z2343" s="100"/>
      <c r="AA2343" s="100"/>
    </row>
    <row r="2344" spans="2:27">
      <c r="B2344" s="100"/>
      <c r="C2344" s="100"/>
      <c r="D2344" s="100"/>
      <c r="E2344" s="100"/>
      <c r="F2344" s="100"/>
      <c r="G2344" s="100"/>
      <c r="H2344" s="100"/>
      <c r="I2344" s="100"/>
      <c r="J2344" s="100"/>
      <c r="K2344" s="100"/>
      <c r="L2344" s="100"/>
      <c r="M2344" s="100"/>
      <c r="N2344" s="100"/>
      <c r="O2344" s="100"/>
      <c r="P2344" s="100"/>
      <c r="Q2344" s="100"/>
      <c r="R2344" s="100"/>
      <c r="S2344" s="100"/>
      <c r="T2344" s="100"/>
      <c r="U2344" s="100"/>
      <c r="V2344" s="100"/>
      <c r="W2344" s="100"/>
      <c r="X2344" s="100"/>
      <c r="Y2344" s="100"/>
      <c r="Z2344" s="100"/>
      <c r="AA2344" s="100"/>
    </row>
    <row r="2345" spans="2:27">
      <c r="B2345" s="100"/>
      <c r="C2345" s="100"/>
      <c r="D2345" s="100"/>
      <c r="E2345" s="100"/>
      <c r="F2345" s="100"/>
      <c r="G2345" s="100"/>
      <c r="H2345" s="100"/>
      <c r="I2345" s="100"/>
      <c r="J2345" s="100"/>
      <c r="K2345" s="100"/>
      <c r="L2345" s="100"/>
      <c r="M2345" s="100"/>
      <c r="N2345" s="100"/>
      <c r="O2345" s="100"/>
      <c r="P2345" s="100"/>
      <c r="Q2345" s="100"/>
      <c r="R2345" s="100"/>
      <c r="S2345" s="100"/>
      <c r="T2345" s="100"/>
      <c r="U2345" s="100"/>
      <c r="V2345" s="100"/>
      <c r="W2345" s="100"/>
      <c r="X2345" s="100"/>
      <c r="Y2345" s="100"/>
      <c r="Z2345" s="100"/>
      <c r="AA2345" s="100"/>
    </row>
    <row r="2346" spans="2:27">
      <c r="B2346" s="100"/>
      <c r="C2346" s="100"/>
      <c r="D2346" s="100"/>
      <c r="E2346" s="100"/>
      <c r="F2346" s="100"/>
      <c r="G2346" s="100"/>
      <c r="H2346" s="100"/>
      <c r="I2346" s="100"/>
      <c r="J2346" s="100"/>
      <c r="K2346" s="100"/>
      <c r="L2346" s="100"/>
      <c r="M2346" s="100"/>
      <c r="N2346" s="100"/>
      <c r="O2346" s="100"/>
      <c r="P2346" s="100"/>
      <c r="Q2346" s="100"/>
      <c r="R2346" s="100"/>
      <c r="S2346" s="100"/>
      <c r="T2346" s="100"/>
      <c r="U2346" s="100"/>
      <c r="V2346" s="100"/>
      <c r="W2346" s="100"/>
      <c r="X2346" s="100"/>
      <c r="Y2346" s="100"/>
      <c r="Z2346" s="100"/>
      <c r="AA2346" s="100"/>
    </row>
    <row r="2347" spans="2:27">
      <c r="B2347" s="100"/>
      <c r="C2347" s="100"/>
      <c r="D2347" s="100"/>
      <c r="E2347" s="100"/>
      <c r="F2347" s="100"/>
      <c r="G2347" s="100"/>
      <c r="H2347" s="100"/>
      <c r="I2347" s="100"/>
      <c r="J2347" s="100"/>
      <c r="K2347" s="100"/>
      <c r="L2347" s="100"/>
      <c r="M2347" s="100"/>
      <c r="N2347" s="100"/>
      <c r="O2347" s="100"/>
      <c r="P2347" s="100"/>
      <c r="Q2347" s="100"/>
      <c r="R2347" s="100"/>
      <c r="S2347" s="100"/>
      <c r="T2347" s="100"/>
      <c r="U2347" s="100"/>
      <c r="V2347" s="100"/>
      <c r="W2347" s="100"/>
      <c r="X2347" s="100"/>
      <c r="Y2347" s="100"/>
      <c r="Z2347" s="100"/>
      <c r="AA2347" s="100"/>
    </row>
    <row r="2348" spans="2:27">
      <c r="B2348" s="100"/>
      <c r="C2348" s="100"/>
      <c r="D2348" s="100"/>
      <c r="E2348" s="100"/>
      <c r="F2348" s="100"/>
      <c r="G2348" s="100"/>
      <c r="H2348" s="100"/>
      <c r="I2348" s="100"/>
      <c r="J2348" s="100"/>
      <c r="K2348" s="100"/>
      <c r="L2348" s="100"/>
      <c r="M2348" s="100"/>
      <c r="N2348" s="100"/>
      <c r="O2348" s="100"/>
      <c r="P2348" s="100"/>
      <c r="Q2348" s="100"/>
      <c r="R2348" s="100"/>
      <c r="S2348" s="100"/>
      <c r="T2348" s="100"/>
      <c r="U2348" s="100"/>
      <c r="V2348" s="100"/>
      <c r="W2348" s="100"/>
      <c r="X2348" s="100"/>
      <c r="Y2348" s="100"/>
      <c r="Z2348" s="100"/>
      <c r="AA2348" s="100"/>
    </row>
    <row r="2349" spans="2:27">
      <c r="B2349" s="100"/>
      <c r="C2349" s="100"/>
      <c r="D2349" s="100"/>
      <c r="E2349" s="100"/>
      <c r="F2349" s="100"/>
      <c r="G2349" s="100"/>
      <c r="H2349" s="100"/>
      <c r="I2349" s="100"/>
      <c r="J2349" s="100"/>
      <c r="K2349" s="100"/>
      <c r="L2349" s="100"/>
      <c r="M2349" s="100"/>
      <c r="N2349" s="100"/>
      <c r="O2349" s="100"/>
      <c r="P2349" s="100"/>
      <c r="Q2349" s="100"/>
      <c r="R2349" s="100"/>
      <c r="S2349" s="100"/>
      <c r="T2349" s="100"/>
      <c r="U2349" s="100"/>
      <c r="V2349" s="100"/>
      <c r="W2349" s="100"/>
      <c r="X2349" s="100"/>
      <c r="Y2349" s="100"/>
      <c r="Z2349" s="100"/>
      <c r="AA2349" s="100"/>
    </row>
    <row r="2350" spans="2:27">
      <c r="B2350" s="100"/>
      <c r="C2350" s="100"/>
      <c r="D2350" s="100"/>
      <c r="E2350" s="100"/>
      <c r="F2350" s="100"/>
      <c r="G2350" s="100"/>
      <c r="H2350" s="100"/>
      <c r="I2350" s="100"/>
      <c r="J2350" s="100"/>
      <c r="K2350" s="100"/>
      <c r="L2350" s="100"/>
      <c r="M2350" s="100"/>
      <c r="N2350" s="100"/>
      <c r="O2350" s="100"/>
      <c r="P2350" s="100"/>
      <c r="Q2350" s="100"/>
      <c r="R2350" s="100"/>
      <c r="S2350" s="100"/>
      <c r="T2350" s="100"/>
      <c r="U2350" s="100"/>
      <c r="V2350" s="100"/>
      <c r="W2350" s="100"/>
      <c r="X2350" s="100"/>
      <c r="Y2350" s="100"/>
      <c r="Z2350" s="100"/>
      <c r="AA2350" s="100"/>
    </row>
    <row r="2351" spans="2:27">
      <c r="B2351" s="100"/>
      <c r="C2351" s="100"/>
      <c r="D2351" s="100"/>
      <c r="E2351" s="100"/>
      <c r="F2351" s="100"/>
      <c r="G2351" s="100"/>
      <c r="H2351" s="100"/>
      <c r="I2351" s="100"/>
      <c r="J2351" s="100"/>
      <c r="K2351" s="100"/>
      <c r="L2351" s="100"/>
      <c r="M2351" s="100"/>
      <c r="N2351" s="100"/>
      <c r="O2351" s="100"/>
      <c r="P2351" s="100"/>
      <c r="Q2351" s="100"/>
      <c r="R2351" s="100"/>
      <c r="S2351" s="100"/>
      <c r="T2351" s="100"/>
      <c r="U2351" s="100"/>
      <c r="V2351" s="100"/>
      <c r="W2351" s="100"/>
      <c r="X2351" s="100"/>
      <c r="Y2351" s="100"/>
      <c r="Z2351" s="100"/>
      <c r="AA2351" s="100"/>
    </row>
    <row r="2352" spans="2:27">
      <c r="B2352" s="100"/>
      <c r="C2352" s="100"/>
      <c r="D2352" s="100"/>
      <c r="E2352" s="100"/>
      <c r="F2352" s="100"/>
      <c r="G2352" s="100"/>
      <c r="H2352" s="100"/>
      <c r="I2352" s="100"/>
      <c r="J2352" s="100"/>
      <c r="K2352" s="100"/>
      <c r="L2352" s="100"/>
      <c r="M2352" s="100"/>
      <c r="N2352" s="100"/>
      <c r="O2352" s="100"/>
      <c r="P2352" s="100"/>
      <c r="Q2352" s="100"/>
      <c r="R2352" s="100"/>
      <c r="S2352" s="100"/>
      <c r="T2352" s="100"/>
      <c r="U2352" s="100"/>
      <c r="V2352" s="100"/>
      <c r="W2352" s="100"/>
      <c r="X2352" s="100"/>
      <c r="Y2352" s="100"/>
      <c r="Z2352" s="100"/>
      <c r="AA2352" s="100"/>
    </row>
    <row r="2353" spans="2:27">
      <c r="B2353" s="100"/>
      <c r="C2353" s="100"/>
      <c r="D2353" s="100"/>
      <c r="E2353" s="100"/>
      <c r="F2353" s="100"/>
      <c r="G2353" s="100"/>
      <c r="H2353" s="100"/>
      <c r="I2353" s="100"/>
      <c r="J2353" s="100"/>
      <c r="K2353" s="100"/>
      <c r="L2353" s="100"/>
      <c r="M2353" s="100"/>
      <c r="N2353" s="100"/>
      <c r="O2353" s="100"/>
      <c r="P2353" s="100"/>
      <c r="Q2353" s="100"/>
      <c r="R2353" s="100"/>
      <c r="S2353" s="100"/>
      <c r="T2353" s="100"/>
      <c r="U2353" s="100"/>
      <c r="V2353" s="100"/>
      <c r="W2353" s="100"/>
      <c r="X2353" s="100"/>
      <c r="Y2353" s="100"/>
      <c r="Z2353" s="100"/>
      <c r="AA2353" s="100"/>
    </row>
    <row r="2354" spans="2:27">
      <c r="B2354" s="100"/>
      <c r="C2354" s="100"/>
      <c r="D2354" s="100"/>
      <c r="E2354" s="100"/>
      <c r="F2354" s="100"/>
      <c r="G2354" s="100"/>
      <c r="H2354" s="100"/>
      <c r="I2354" s="100"/>
      <c r="J2354" s="100"/>
      <c r="K2354" s="100"/>
      <c r="L2354" s="100"/>
      <c r="M2354" s="100"/>
      <c r="N2354" s="100"/>
      <c r="O2354" s="100"/>
      <c r="P2354" s="100"/>
      <c r="Q2354" s="100"/>
      <c r="R2354" s="100"/>
      <c r="S2354" s="100"/>
      <c r="T2354" s="100"/>
      <c r="U2354" s="100"/>
      <c r="V2354" s="100"/>
      <c r="W2354" s="100"/>
      <c r="X2354" s="100"/>
      <c r="Y2354" s="100"/>
      <c r="Z2354" s="100"/>
      <c r="AA2354" s="100"/>
    </row>
    <row r="2355" spans="2:27">
      <c r="B2355" s="100"/>
      <c r="C2355" s="100"/>
      <c r="D2355" s="100"/>
      <c r="E2355" s="100"/>
      <c r="F2355" s="100"/>
      <c r="G2355" s="100"/>
      <c r="H2355" s="100"/>
      <c r="I2355" s="100"/>
      <c r="J2355" s="100"/>
      <c r="K2355" s="100"/>
      <c r="L2355" s="100"/>
      <c r="M2355" s="100"/>
      <c r="N2355" s="100"/>
      <c r="O2355" s="100"/>
      <c r="P2355" s="100"/>
      <c r="Q2355" s="100"/>
      <c r="R2355" s="100"/>
      <c r="S2355" s="100"/>
      <c r="T2355" s="100"/>
      <c r="U2355" s="100"/>
      <c r="V2355" s="100"/>
      <c r="W2355" s="100"/>
      <c r="X2355" s="100"/>
      <c r="Y2355" s="100"/>
      <c r="Z2355" s="100"/>
      <c r="AA2355" s="100"/>
    </row>
    <row r="2356" spans="2:27">
      <c r="B2356" s="100"/>
      <c r="C2356" s="100"/>
      <c r="D2356" s="100"/>
      <c r="E2356" s="100"/>
      <c r="F2356" s="100"/>
      <c r="G2356" s="100"/>
      <c r="H2356" s="100"/>
      <c r="I2356" s="100"/>
      <c r="J2356" s="100"/>
      <c r="K2356" s="100"/>
      <c r="L2356" s="100"/>
      <c r="M2356" s="100"/>
      <c r="N2356" s="100"/>
      <c r="O2356" s="100"/>
      <c r="P2356" s="100"/>
      <c r="Q2356" s="100"/>
      <c r="R2356" s="100"/>
      <c r="S2356" s="100"/>
      <c r="T2356" s="100"/>
      <c r="U2356" s="100"/>
      <c r="V2356" s="100"/>
      <c r="W2356" s="100"/>
      <c r="X2356" s="100"/>
      <c r="Y2356" s="100"/>
      <c r="Z2356" s="100"/>
      <c r="AA2356" s="100"/>
    </row>
    <row r="2357" spans="2:27">
      <c r="B2357" s="100"/>
      <c r="C2357" s="100"/>
      <c r="D2357" s="100"/>
      <c r="E2357" s="100"/>
      <c r="F2357" s="100"/>
      <c r="G2357" s="100"/>
      <c r="H2357" s="100"/>
      <c r="I2357" s="100"/>
      <c r="J2357" s="100"/>
      <c r="K2357" s="100"/>
      <c r="L2357" s="100"/>
      <c r="M2357" s="100"/>
      <c r="N2357" s="100"/>
      <c r="O2357" s="100"/>
      <c r="P2357" s="100"/>
      <c r="Q2357" s="100"/>
      <c r="R2357" s="100"/>
      <c r="S2357" s="100"/>
      <c r="T2357" s="100"/>
      <c r="U2357" s="100"/>
      <c r="V2357" s="100"/>
      <c r="W2357" s="100"/>
      <c r="X2357" s="100"/>
      <c r="Y2357" s="100"/>
      <c r="Z2357" s="100"/>
      <c r="AA2357" s="100"/>
    </row>
    <row r="2358" spans="2:27">
      <c r="B2358" s="100"/>
      <c r="C2358" s="100"/>
      <c r="D2358" s="100"/>
      <c r="E2358" s="100"/>
      <c r="F2358" s="100"/>
      <c r="G2358" s="100"/>
      <c r="H2358" s="100"/>
      <c r="I2358" s="100"/>
      <c r="J2358" s="100"/>
      <c r="K2358" s="100"/>
      <c r="L2358" s="100"/>
      <c r="M2358" s="100"/>
      <c r="N2358" s="100"/>
      <c r="O2358" s="100"/>
      <c r="P2358" s="100"/>
      <c r="Q2358" s="100"/>
      <c r="R2358" s="100"/>
      <c r="S2358" s="100"/>
      <c r="T2358" s="100"/>
      <c r="U2358" s="100"/>
      <c r="V2358" s="100"/>
      <c r="W2358" s="100"/>
      <c r="X2358" s="100"/>
      <c r="Y2358" s="100"/>
      <c r="Z2358" s="100"/>
      <c r="AA2358" s="100"/>
    </row>
    <row r="2359" spans="2:27">
      <c r="B2359" s="100"/>
      <c r="C2359" s="100"/>
      <c r="D2359" s="100"/>
      <c r="E2359" s="100"/>
      <c r="F2359" s="100"/>
      <c r="G2359" s="100"/>
      <c r="H2359" s="100"/>
      <c r="I2359" s="100"/>
      <c r="J2359" s="100"/>
      <c r="K2359" s="100"/>
      <c r="L2359" s="100"/>
      <c r="M2359" s="100"/>
      <c r="N2359" s="100"/>
      <c r="O2359" s="100"/>
      <c r="P2359" s="100"/>
      <c r="Q2359" s="100"/>
      <c r="R2359" s="100"/>
      <c r="S2359" s="100"/>
      <c r="T2359" s="100"/>
      <c r="U2359" s="100"/>
      <c r="V2359" s="100"/>
      <c r="W2359" s="100"/>
      <c r="X2359" s="100"/>
      <c r="Y2359" s="100"/>
      <c r="Z2359" s="100"/>
      <c r="AA2359" s="100"/>
    </row>
    <row r="2360" spans="2:27">
      <c r="B2360" s="100"/>
      <c r="C2360" s="100"/>
      <c r="D2360" s="100"/>
      <c r="E2360" s="100"/>
      <c r="F2360" s="100"/>
      <c r="G2360" s="100"/>
      <c r="H2360" s="100"/>
      <c r="I2360" s="100"/>
      <c r="J2360" s="100"/>
      <c r="K2360" s="100"/>
      <c r="L2360" s="100"/>
      <c r="M2360" s="100"/>
      <c r="N2360" s="100"/>
      <c r="O2360" s="100"/>
      <c r="P2360" s="100"/>
      <c r="Q2360" s="100"/>
      <c r="R2360" s="100"/>
      <c r="S2360" s="100"/>
      <c r="T2360" s="100"/>
      <c r="U2360" s="100"/>
      <c r="V2360" s="100"/>
      <c r="W2360" s="100"/>
      <c r="X2360" s="100"/>
      <c r="Y2360" s="100"/>
      <c r="Z2360" s="100"/>
      <c r="AA2360" s="100"/>
    </row>
    <row r="2361" spans="2:27">
      <c r="B2361" s="100"/>
      <c r="C2361" s="100"/>
      <c r="D2361" s="100"/>
      <c r="E2361" s="100"/>
      <c r="F2361" s="100"/>
      <c r="G2361" s="100"/>
      <c r="H2361" s="100"/>
      <c r="I2361" s="100"/>
      <c r="J2361" s="100"/>
      <c r="K2361" s="100"/>
      <c r="L2361" s="100"/>
      <c r="M2361" s="100"/>
      <c r="N2361" s="100"/>
      <c r="O2361" s="100"/>
      <c r="P2361" s="100"/>
      <c r="Q2361" s="100"/>
      <c r="R2361" s="100"/>
      <c r="S2361" s="100"/>
      <c r="T2361" s="100"/>
      <c r="U2361" s="100"/>
      <c r="V2361" s="100"/>
      <c r="W2361" s="100"/>
      <c r="X2361" s="100"/>
      <c r="Y2361" s="100"/>
      <c r="Z2361" s="100"/>
      <c r="AA2361" s="100"/>
    </row>
    <row r="2362" spans="2:27">
      <c r="B2362" s="100"/>
      <c r="C2362" s="100"/>
      <c r="D2362" s="100"/>
      <c r="E2362" s="100"/>
      <c r="F2362" s="100"/>
      <c r="G2362" s="100"/>
      <c r="H2362" s="100"/>
      <c r="I2362" s="100"/>
      <c r="J2362" s="100"/>
      <c r="K2362" s="100"/>
      <c r="L2362" s="100"/>
      <c r="M2362" s="100"/>
      <c r="N2362" s="100"/>
      <c r="O2362" s="100"/>
      <c r="P2362" s="100"/>
      <c r="Q2362" s="100"/>
      <c r="R2362" s="100"/>
      <c r="S2362" s="100"/>
      <c r="T2362" s="100"/>
      <c r="U2362" s="100"/>
      <c r="V2362" s="100"/>
      <c r="W2362" s="100"/>
      <c r="X2362" s="100"/>
      <c r="Y2362" s="100"/>
      <c r="Z2362" s="100"/>
      <c r="AA2362" s="100"/>
    </row>
    <row r="2363" spans="2:27">
      <c r="B2363" s="100"/>
      <c r="C2363" s="100"/>
      <c r="D2363" s="100"/>
      <c r="E2363" s="100"/>
      <c r="F2363" s="100"/>
      <c r="G2363" s="100"/>
      <c r="H2363" s="100"/>
      <c r="I2363" s="100"/>
      <c r="J2363" s="100"/>
      <c r="K2363" s="100"/>
      <c r="L2363" s="100"/>
      <c r="M2363" s="100"/>
      <c r="N2363" s="100"/>
      <c r="O2363" s="100"/>
      <c r="P2363" s="100"/>
      <c r="Q2363" s="100"/>
      <c r="R2363" s="100"/>
      <c r="S2363" s="100"/>
      <c r="T2363" s="100"/>
      <c r="U2363" s="100"/>
      <c r="V2363" s="100"/>
      <c r="W2363" s="100"/>
      <c r="X2363" s="100"/>
      <c r="Y2363" s="100"/>
      <c r="Z2363" s="100"/>
      <c r="AA2363" s="100"/>
    </row>
    <row r="2364" spans="2:27">
      <c r="B2364" s="100"/>
      <c r="C2364" s="100"/>
      <c r="D2364" s="100"/>
      <c r="E2364" s="100"/>
      <c r="F2364" s="100"/>
      <c r="G2364" s="100"/>
      <c r="H2364" s="100"/>
      <c r="I2364" s="100"/>
      <c r="J2364" s="100"/>
      <c r="K2364" s="100"/>
      <c r="L2364" s="100"/>
      <c r="M2364" s="100"/>
      <c r="N2364" s="100"/>
      <c r="O2364" s="100"/>
      <c r="P2364" s="100"/>
      <c r="Q2364" s="100"/>
      <c r="R2364" s="100"/>
      <c r="S2364" s="100"/>
      <c r="T2364" s="100"/>
      <c r="U2364" s="100"/>
      <c r="V2364" s="100"/>
      <c r="W2364" s="100"/>
      <c r="X2364" s="100"/>
      <c r="Y2364" s="100"/>
      <c r="Z2364" s="100"/>
      <c r="AA2364" s="100"/>
    </row>
    <row r="2365" spans="2:27">
      <c r="B2365" s="100"/>
      <c r="C2365" s="100"/>
      <c r="D2365" s="100"/>
      <c r="E2365" s="100"/>
      <c r="F2365" s="100"/>
      <c r="G2365" s="100"/>
      <c r="H2365" s="100"/>
      <c r="I2365" s="100"/>
      <c r="J2365" s="100"/>
      <c r="K2365" s="100"/>
      <c r="L2365" s="100"/>
      <c r="M2365" s="100"/>
      <c r="N2365" s="100"/>
      <c r="O2365" s="100"/>
      <c r="P2365" s="100"/>
      <c r="Q2365" s="100"/>
      <c r="R2365" s="100"/>
      <c r="S2365" s="100"/>
      <c r="T2365" s="100"/>
      <c r="U2365" s="100"/>
      <c r="V2365" s="100"/>
      <c r="W2365" s="100"/>
      <c r="X2365" s="100"/>
      <c r="Y2365" s="100"/>
      <c r="Z2365" s="100"/>
      <c r="AA2365" s="100"/>
    </row>
    <row r="2366" spans="2:27">
      <c r="B2366" s="100"/>
      <c r="C2366" s="100"/>
      <c r="D2366" s="100"/>
      <c r="E2366" s="100"/>
      <c r="F2366" s="100"/>
      <c r="G2366" s="100"/>
      <c r="H2366" s="100"/>
      <c r="I2366" s="100"/>
      <c r="J2366" s="100"/>
      <c r="K2366" s="100"/>
      <c r="L2366" s="100"/>
      <c r="M2366" s="100"/>
      <c r="N2366" s="100"/>
      <c r="O2366" s="100"/>
      <c r="P2366" s="100"/>
      <c r="Q2366" s="100"/>
      <c r="R2366" s="100"/>
      <c r="S2366" s="100"/>
      <c r="T2366" s="100"/>
      <c r="U2366" s="100"/>
      <c r="V2366" s="100"/>
      <c r="W2366" s="100"/>
      <c r="X2366" s="100"/>
      <c r="Y2366" s="100"/>
      <c r="Z2366" s="100"/>
      <c r="AA2366" s="100"/>
    </row>
    <row r="2367" spans="2:27">
      <c r="B2367" s="100"/>
      <c r="C2367" s="100"/>
      <c r="D2367" s="100"/>
      <c r="E2367" s="100"/>
      <c r="F2367" s="100"/>
      <c r="G2367" s="100"/>
      <c r="H2367" s="100"/>
      <c r="I2367" s="100"/>
      <c r="J2367" s="100"/>
      <c r="K2367" s="100"/>
      <c r="L2367" s="100"/>
      <c r="M2367" s="100"/>
      <c r="N2367" s="100"/>
      <c r="O2367" s="100"/>
      <c r="P2367" s="100"/>
      <c r="Q2367" s="100"/>
      <c r="R2367" s="100"/>
      <c r="S2367" s="100"/>
      <c r="T2367" s="100"/>
      <c r="U2367" s="100"/>
      <c r="V2367" s="100"/>
      <c r="W2367" s="100"/>
      <c r="X2367" s="100"/>
      <c r="Y2367" s="100"/>
      <c r="Z2367" s="100"/>
      <c r="AA2367" s="100"/>
    </row>
    <row r="2368" spans="2:27">
      <c r="B2368" s="100"/>
      <c r="C2368" s="100"/>
      <c r="D2368" s="100"/>
      <c r="E2368" s="100"/>
      <c r="F2368" s="100"/>
      <c r="G2368" s="100"/>
      <c r="H2368" s="100"/>
      <c r="I2368" s="100"/>
      <c r="J2368" s="100"/>
      <c r="K2368" s="100"/>
      <c r="L2368" s="100"/>
      <c r="M2368" s="100"/>
      <c r="N2368" s="100"/>
      <c r="O2368" s="100"/>
      <c r="P2368" s="100"/>
      <c r="Q2368" s="100"/>
      <c r="R2368" s="100"/>
      <c r="S2368" s="100"/>
      <c r="T2368" s="100"/>
      <c r="U2368" s="100"/>
      <c r="V2368" s="100"/>
      <c r="W2368" s="100"/>
      <c r="X2368" s="100"/>
      <c r="Y2368" s="100"/>
      <c r="Z2368" s="100"/>
      <c r="AA2368" s="100"/>
    </row>
    <row r="2369" spans="2:27">
      <c r="B2369" s="100"/>
      <c r="C2369" s="100"/>
      <c r="D2369" s="100"/>
      <c r="E2369" s="100"/>
      <c r="F2369" s="100"/>
      <c r="G2369" s="100"/>
      <c r="H2369" s="100"/>
      <c r="I2369" s="100"/>
      <c r="J2369" s="100"/>
      <c r="K2369" s="100"/>
      <c r="L2369" s="100"/>
      <c r="M2369" s="100"/>
      <c r="N2369" s="100"/>
      <c r="O2369" s="100"/>
      <c r="P2369" s="100"/>
      <c r="Q2369" s="100"/>
      <c r="R2369" s="100"/>
      <c r="S2369" s="100"/>
      <c r="T2369" s="100"/>
      <c r="U2369" s="100"/>
      <c r="V2369" s="100"/>
      <c r="W2369" s="100"/>
      <c r="X2369" s="100"/>
      <c r="Y2369" s="100"/>
      <c r="Z2369" s="100"/>
      <c r="AA2369" s="100"/>
    </row>
    <row r="2370" spans="2:27">
      <c r="B2370" s="100"/>
      <c r="C2370" s="100"/>
      <c r="D2370" s="100"/>
      <c r="E2370" s="100"/>
      <c r="F2370" s="100"/>
      <c r="G2370" s="100"/>
      <c r="H2370" s="100"/>
      <c r="I2370" s="100"/>
      <c r="J2370" s="100"/>
      <c r="K2370" s="100"/>
      <c r="L2370" s="100"/>
      <c r="M2370" s="100"/>
      <c r="N2370" s="100"/>
      <c r="O2370" s="100"/>
      <c r="P2370" s="100"/>
      <c r="Q2370" s="100"/>
      <c r="R2370" s="100"/>
      <c r="S2370" s="100"/>
      <c r="T2370" s="100"/>
      <c r="U2370" s="100"/>
      <c r="V2370" s="100"/>
      <c r="W2370" s="100"/>
      <c r="X2370" s="100"/>
      <c r="Y2370" s="100"/>
      <c r="Z2370" s="100"/>
      <c r="AA2370" s="100"/>
    </row>
    <row r="2371" spans="2:27">
      <c r="B2371" s="100"/>
      <c r="C2371" s="100"/>
      <c r="D2371" s="100"/>
      <c r="E2371" s="100"/>
      <c r="F2371" s="100"/>
      <c r="G2371" s="100"/>
      <c r="H2371" s="100"/>
      <c r="I2371" s="100"/>
      <c r="J2371" s="100"/>
      <c r="K2371" s="100"/>
      <c r="L2371" s="100"/>
      <c r="M2371" s="100"/>
      <c r="N2371" s="100"/>
      <c r="O2371" s="100"/>
      <c r="P2371" s="100"/>
      <c r="Q2371" s="100"/>
      <c r="R2371" s="100"/>
      <c r="S2371" s="100"/>
      <c r="T2371" s="100"/>
      <c r="U2371" s="100"/>
      <c r="V2371" s="100"/>
      <c r="W2371" s="100"/>
      <c r="X2371" s="100"/>
      <c r="Y2371" s="100"/>
      <c r="Z2371" s="100"/>
      <c r="AA2371" s="100"/>
    </row>
    <row r="2372" spans="2:27">
      <c r="B2372" s="100"/>
      <c r="C2372" s="100"/>
      <c r="D2372" s="100"/>
      <c r="E2372" s="100"/>
      <c r="F2372" s="100"/>
      <c r="G2372" s="100"/>
      <c r="H2372" s="100"/>
      <c r="I2372" s="100"/>
      <c r="J2372" s="100"/>
      <c r="K2372" s="100"/>
      <c r="L2372" s="100"/>
      <c r="M2372" s="100"/>
      <c r="N2372" s="100"/>
      <c r="O2372" s="100"/>
      <c r="P2372" s="100"/>
      <c r="Q2372" s="100"/>
      <c r="R2372" s="100"/>
      <c r="S2372" s="100"/>
      <c r="T2372" s="100"/>
      <c r="U2372" s="100"/>
      <c r="V2372" s="100"/>
      <c r="W2372" s="100"/>
      <c r="X2372" s="100"/>
      <c r="Y2372" s="100"/>
      <c r="Z2372" s="100"/>
      <c r="AA2372" s="100"/>
    </row>
    <row r="2373" spans="2:27">
      <c r="B2373" s="100"/>
      <c r="C2373" s="100"/>
      <c r="D2373" s="100"/>
      <c r="E2373" s="100"/>
      <c r="F2373" s="100"/>
      <c r="G2373" s="100"/>
      <c r="H2373" s="100"/>
      <c r="I2373" s="100"/>
      <c r="J2373" s="100"/>
      <c r="K2373" s="100"/>
      <c r="L2373" s="100"/>
      <c r="M2373" s="100"/>
      <c r="N2373" s="100"/>
      <c r="O2373" s="100"/>
      <c r="P2373" s="100"/>
      <c r="Q2373" s="100"/>
      <c r="R2373" s="100"/>
      <c r="S2373" s="100"/>
      <c r="T2373" s="100"/>
      <c r="U2373" s="100"/>
      <c r="V2373" s="100"/>
      <c r="W2373" s="100"/>
      <c r="X2373" s="100"/>
      <c r="Y2373" s="100"/>
      <c r="Z2373" s="100"/>
      <c r="AA2373" s="100"/>
    </row>
    <row r="2374" spans="2:27">
      <c r="B2374" s="100"/>
      <c r="C2374" s="100"/>
      <c r="D2374" s="100"/>
      <c r="E2374" s="100"/>
      <c r="F2374" s="100"/>
      <c r="G2374" s="100"/>
      <c r="H2374" s="100"/>
      <c r="I2374" s="100"/>
      <c r="J2374" s="100"/>
      <c r="K2374" s="100"/>
      <c r="L2374" s="100"/>
      <c r="M2374" s="100"/>
      <c r="N2374" s="100"/>
      <c r="O2374" s="100"/>
      <c r="P2374" s="100"/>
      <c r="Q2374" s="100"/>
      <c r="R2374" s="100"/>
      <c r="S2374" s="100"/>
      <c r="T2374" s="100"/>
      <c r="U2374" s="100"/>
      <c r="V2374" s="100"/>
      <c r="W2374" s="100"/>
      <c r="X2374" s="100"/>
      <c r="Y2374" s="100"/>
      <c r="Z2374" s="100"/>
      <c r="AA2374" s="100"/>
    </row>
    <row r="2375" spans="2:27">
      <c r="B2375" s="100"/>
      <c r="C2375" s="100"/>
      <c r="D2375" s="100"/>
      <c r="E2375" s="100"/>
      <c r="F2375" s="100"/>
      <c r="G2375" s="100"/>
      <c r="H2375" s="100"/>
      <c r="I2375" s="100"/>
      <c r="J2375" s="100"/>
      <c r="K2375" s="100"/>
      <c r="L2375" s="100"/>
      <c r="M2375" s="100"/>
      <c r="N2375" s="100"/>
      <c r="O2375" s="100"/>
      <c r="P2375" s="100"/>
      <c r="Q2375" s="100"/>
      <c r="R2375" s="100"/>
      <c r="S2375" s="100"/>
      <c r="T2375" s="100"/>
      <c r="U2375" s="100"/>
      <c r="V2375" s="100"/>
      <c r="W2375" s="100"/>
      <c r="X2375" s="100"/>
      <c r="Y2375" s="100"/>
      <c r="Z2375" s="100"/>
      <c r="AA2375" s="100"/>
    </row>
    <row r="2376" spans="2:27">
      <c r="B2376" s="100"/>
      <c r="C2376" s="100"/>
      <c r="D2376" s="100"/>
      <c r="E2376" s="100"/>
      <c r="F2376" s="100"/>
      <c r="G2376" s="100"/>
      <c r="H2376" s="100"/>
      <c r="I2376" s="100"/>
      <c r="J2376" s="100"/>
      <c r="K2376" s="100"/>
      <c r="L2376" s="100"/>
      <c r="M2376" s="100"/>
      <c r="N2376" s="100"/>
      <c r="O2376" s="100"/>
      <c r="P2376" s="100"/>
      <c r="Q2376" s="100"/>
      <c r="R2376" s="100"/>
      <c r="S2376" s="100"/>
      <c r="T2376" s="100"/>
      <c r="U2376" s="100"/>
      <c r="V2376" s="100"/>
      <c r="W2376" s="100"/>
      <c r="X2376" s="100"/>
      <c r="Y2376" s="100"/>
      <c r="Z2376" s="100"/>
      <c r="AA2376" s="100"/>
    </row>
    <row r="2377" spans="2:27">
      <c r="B2377" s="100"/>
      <c r="C2377" s="100"/>
      <c r="D2377" s="100"/>
      <c r="E2377" s="100"/>
      <c r="F2377" s="100"/>
      <c r="G2377" s="100"/>
      <c r="H2377" s="100"/>
      <c r="I2377" s="100"/>
      <c r="J2377" s="100"/>
      <c r="K2377" s="100"/>
      <c r="L2377" s="100"/>
      <c r="M2377" s="100"/>
      <c r="N2377" s="100"/>
      <c r="O2377" s="100"/>
      <c r="P2377" s="100"/>
      <c r="Q2377" s="100"/>
      <c r="R2377" s="100"/>
      <c r="S2377" s="100"/>
      <c r="T2377" s="100"/>
      <c r="U2377" s="100"/>
      <c r="V2377" s="100"/>
      <c r="W2377" s="100"/>
      <c r="X2377" s="100"/>
      <c r="Y2377" s="100"/>
      <c r="Z2377" s="100"/>
      <c r="AA2377" s="100"/>
    </row>
    <row r="2378" spans="2:27">
      <c r="B2378" s="100"/>
      <c r="C2378" s="100"/>
      <c r="D2378" s="100"/>
      <c r="E2378" s="100"/>
      <c r="F2378" s="100"/>
      <c r="G2378" s="100"/>
      <c r="H2378" s="100"/>
      <c r="I2378" s="100"/>
      <c r="J2378" s="100"/>
      <c r="K2378" s="100"/>
      <c r="L2378" s="100"/>
      <c r="M2378" s="100"/>
      <c r="N2378" s="100"/>
      <c r="O2378" s="100"/>
      <c r="P2378" s="100"/>
      <c r="Q2378" s="100"/>
      <c r="R2378" s="100"/>
      <c r="S2378" s="100"/>
      <c r="T2378" s="100"/>
      <c r="U2378" s="100"/>
      <c r="V2378" s="100"/>
      <c r="W2378" s="100"/>
      <c r="X2378" s="100"/>
      <c r="Y2378" s="100"/>
      <c r="Z2378" s="100"/>
      <c r="AA2378" s="100"/>
    </row>
    <row r="2379" spans="2:27">
      <c r="B2379" s="100"/>
      <c r="C2379" s="100"/>
      <c r="D2379" s="100"/>
      <c r="E2379" s="100"/>
      <c r="F2379" s="100"/>
      <c r="G2379" s="100"/>
      <c r="H2379" s="100"/>
      <c r="I2379" s="100"/>
      <c r="J2379" s="100"/>
      <c r="K2379" s="100"/>
      <c r="L2379" s="100"/>
      <c r="M2379" s="100"/>
      <c r="N2379" s="100"/>
      <c r="O2379" s="100"/>
      <c r="P2379" s="100"/>
      <c r="Q2379" s="100"/>
      <c r="R2379" s="100"/>
      <c r="S2379" s="100"/>
      <c r="T2379" s="100"/>
      <c r="U2379" s="100"/>
      <c r="V2379" s="100"/>
      <c r="W2379" s="100"/>
      <c r="X2379" s="100"/>
      <c r="Y2379" s="100"/>
      <c r="Z2379" s="100"/>
      <c r="AA2379" s="100"/>
    </row>
    <row r="2380" spans="2:27">
      <c r="B2380" s="100"/>
      <c r="C2380" s="100"/>
      <c r="D2380" s="100"/>
      <c r="E2380" s="100"/>
      <c r="F2380" s="100"/>
      <c r="G2380" s="100"/>
      <c r="H2380" s="100"/>
      <c r="I2380" s="100"/>
      <c r="J2380" s="100"/>
      <c r="K2380" s="100"/>
      <c r="L2380" s="100"/>
      <c r="M2380" s="100"/>
      <c r="N2380" s="100"/>
      <c r="O2380" s="100"/>
      <c r="P2380" s="100"/>
      <c r="Q2380" s="100"/>
      <c r="R2380" s="100"/>
      <c r="S2380" s="100"/>
      <c r="T2380" s="100"/>
      <c r="U2380" s="100"/>
      <c r="V2380" s="100"/>
      <c r="W2380" s="100"/>
      <c r="X2380" s="100"/>
      <c r="Y2380" s="100"/>
      <c r="Z2380" s="100"/>
      <c r="AA2380" s="100"/>
    </row>
    <row r="2381" spans="2:27">
      <c r="B2381" s="100"/>
      <c r="C2381" s="100"/>
      <c r="D2381" s="100"/>
      <c r="E2381" s="100"/>
      <c r="F2381" s="100"/>
      <c r="G2381" s="100"/>
      <c r="H2381" s="100"/>
      <c r="I2381" s="100"/>
      <c r="J2381" s="100"/>
      <c r="K2381" s="100"/>
      <c r="L2381" s="100"/>
      <c r="M2381" s="100"/>
      <c r="N2381" s="100"/>
      <c r="O2381" s="100"/>
      <c r="P2381" s="100"/>
      <c r="Q2381" s="100"/>
      <c r="R2381" s="100"/>
      <c r="S2381" s="100"/>
      <c r="T2381" s="100"/>
      <c r="U2381" s="100"/>
      <c r="V2381" s="100"/>
      <c r="W2381" s="100"/>
      <c r="X2381" s="100"/>
      <c r="Y2381" s="100"/>
      <c r="Z2381" s="100"/>
      <c r="AA2381" s="100"/>
    </row>
    <row r="2382" spans="2:27">
      <c r="B2382" s="100"/>
      <c r="C2382" s="100"/>
      <c r="D2382" s="100"/>
      <c r="E2382" s="100"/>
      <c r="F2382" s="100"/>
      <c r="G2382" s="100"/>
      <c r="H2382" s="100"/>
      <c r="I2382" s="100"/>
      <c r="J2382" s="100"/>
      <c r="K2382" s="100"/>
      <c r="L2382" s="100"/>
      <c r="M2382" s="100"/>
      <c r="N2382" s="100"/>
      <c r="O2382" s="100"/>
      <c r="P2382" s="100"/>
      <c r="Q2382" s="100"/>
      <c r="R2382" s="100"/>
      <c r="S2382" s="100"/>
      <c r="T2382" s="100"/>
      <c r="U2382" s="100"/>
      <c r="V2382" s="100"/>
      <c r="W2382" s="100"/>
      <c r="X2382" s="100"/>
      <c r="Y2382" s="100"/>
      <c r="Z2382" s="100"/>
      <c r="AA2382" s="100"/>
    </row>
    <row r="2383" spans="2:27">
      <c r="B2383" s="100"/>
      <c r="C2383" s="100"/>
      <c r="D2383" s="100"/>
      <c r="E2383" s="100"/>
      <c r="F2383" s="100"/>
      <c r="G2383" s="100"/>
      <c r="H2383" s="100"/>
      <c r="I2383" s="100"/>
      <c r="J2383" s="100"/>
      <c r="K2383" s="100"/>
      <c r="L2383" s="100"/>
      <c r="M2383" s="100"/>
      <c r="N2383" s="100"/>
      <c r="O2383" s="100"/>
      <c r="P2383" s="100"/>
      <c r="Q2383" s="100"/>
      <c r="R2383" s="100"/>
      <c r="S2383" s="100"/>
      <c r="T2383" s="100"/>
      <c r="U2383" s="100"/>
      <c r="V2383" s="100"/>
      <c r="W2383" s="100"/>
      <c r="X2383" s="100"/>
      <c r="Y2383" s="100"/>
      <c r="Z2383" s="100"/>
      <c r="AA2383" s="100"/>
    </row>
    <row r="2384" spans="2:27">
      <c r="B2384" s="100"/>
      <c r="C2384" s="100"/>
      <c r="D2384" s="100"/>
      <c r="E2384" s="100"/>
      <c r="F2384" s="100"/>
      <c r="G2384" s="100"/>
      <c r="H2384" s="100"/>
      <c r="I2384" s="100"/>
      <c r="J2384" s="100"/>
      <c r="K2384" s="100"/>
      <c r="L2384" s="100"/>
      <c r="M2384" s="100"/>
      <c r="N2384" s="100"/>
      <c r="O2384" s="100"/>
      <c r="P2384" s="100"/>
      <c r="Q2384" s="100"/>
      <c r="R2384" s="100"/>
      <c r="S2384" s="100"/>
      <c r="T2384" s="100"/>
      <c r="U2384" s="100"/>
      <c r="V2384" s="100"/>
      <c r="W2384" s="100"/>
      <c r="X2384" s="100"/>
      <c r="Y2384" s="100"/>
      <c r="Z2384" s="100"/>
      <c r="AA2384" s="100"/>
    </row>
    <row r="2385" spans="2:27">
      <c r="B2385" s="100"/>
      <c r="C2385" s="100"/>
      <c r="D2385" s="100"/>
      <c r="E2385" s="100"/>
      <c r="F2385" s="100"/>
      <c r="G2385" s="100"/>
      <c r="H2385" s="100"/>
      <c r="I2385" s="100"/>
      <c r="J2385" s="100"/>
      <c r="K2385" s="100"/>
      <c r="L2385" s="100"/>
      <c r="M2385" s="100"/>
      <c r="N2385" s="100"/>
      <c r="O2385" s="100"/>
      <c r="P2385" s="100"/>
      <c r="Q2385" s="100"/>
      <c r="R2385" s="100"/>
      <c r="S2385" s="100"/>
      <c r="T2385" s="100"/>
      <c r="U2385" s="100"/>
      <c r="V2385" s="100"/>
      <c r="W2385" s="100"/>
      <c r="X2385" s="100"/>
      <c r="Y2385" s="100"/>
      <c r="Z2385" s="100"/>
      <c r="AA2385" s="100"/>
    </row>
    <row r="2386" spans="2:27">
      <c r="B2386" s="100"/>
      <c r="C2386" s="100"/>
      <c r="D2386" s="100"/>
      <c r="E2386" s="100"/>
      <c r="F2386" s="100"/>
      <c r="G2386" s="100"/>
      <c r="H2386" s="100"/>
      <c r="I2386" s="100"/>
      <c r="J2386" s="100"/>
      <c r="K2386" s="100"/>
      <c r="L2386" s="100"/>
      <c r="M2386" s="100"/>
      <c r="N2386" s="100"/>
      <c r="O2386" s="100"/>
      <c r="P2386" s="100"/>
      <c r="Q2386" s="100"/>
      <c r="R2386" s="100"/>
      <c r="S2386" s="100"/>
      <c r="T2386" s="100"/>
      <c r="U2386" s="100"/>
      <c r="V2386" s="100"/>
      <c r="W2386" s="100"/>
      <c r="X2386" s="100"/>
      <c r="Y2386" s="100"/>
      <c r="Z2386" s="100"/>
      <c r="AA2386" s="100"/>
    </row>
    <row r="2387" spans="2:27">
      <c r="B2387" s="100"/>
      <c r="C2387" s="100"/>
      <c r="D2387" s="100"/>
      <c r="E2387" s="100"/>
      <c r="F2387" s="100"/>
      <c r="G2387" s="100"/>
      <c r="H2387" s="100"/>
      <c r="I2387" s="100"/>
      <c r="J2387" s="100"/>
      <c r="K2387" s="100"/>
      <c r="L2387" s="100"/>
      <c r="M2387" s="100"/>
      <c r="N2387" s="100"/>
      <c r="O2387" s="100"/>
      <c r="P2387" s="100"/>
      <c r="Q2387" s="100"/>
      <c r="R2387" s="100"/>
      <c r="S2387" s="100"/>
      <c r="T2387" s="100"/>
      <c r="U2387" s="100"/>
      <c r="V2387" s="100"/>
      <c r="W2387" s="100"/>
      <c r="X2387" s="100"/>
      <c r="Y2387" s="100"/>
      <c r="Z2387" s="100"/>
      <c r="AA2387" s="100"/>
    </row>
    <row r="2388" spans="2:27">
      <c r="B2388" s="100"/>
      <c r="C2388" s="100"/>
      <c r="D2388" s="100"/>
      <c r="E2388" s="100"/>
      <c r="F2388" s="100"/>
      <c r="G2388" s="100"/>
      <c r="H2388" s="100"/>
      <c r="I2388" s="100"/>
      <c r="J2388" s="100"/>
      <c r="K2388" s="100"/>
      <c r="L2388" s="100"/>
      <c r="M2388" s="100"/>
      <c r="N2388" s="100"/>
      <c r="O2388" s="100"/>
      <c r="P2388" s="100"/>
      <c r="Q2388" s="100"/>
      <c r="R2388" s="100"/>
      <c r="S2388" s="100"/>
      <c r="T2388" s="100"/>
      <c r="U2388" s="100"/>
      <c r="V2388" s="100"/>
      <c r="W2388" s="100"/>
      <c r="X2388" s="100"/>
      <c r="Y2388" s="100"/>
      <c r="Z2388" s="100"/>
      <c r="AA2388" s="100"/>
    </row>
    <row r="2389" spans="2:27">
      <c r="B2389" s="100"/>
      <c r="C2389" s="100"/>
      <c r="D2389" s="100"/>
      <c r="E2389" s="100"/>
      <c r="F2389" s="100"/>
      <c r="G2389" s="100"/>
      <c r="H2389" s="100"/>
      <c r="I2389" s="100"/>
      <c r="J2389" s="100"/>
      <c r="K2389" s="100"/>
      <c r="L2389" s="100"/>
      <c r="M2389" s="100"/>
      <c r="N2389" s="100"/>
      <c r="O2389" s="100"/>
      <c r="P2389" s="100"/>
      <c r="Q2389" s="100"/>
      <c r="R2389" s="100"/>
      <c r="S2389" s="100"/>
      <c r="T2389" s="100"/>
      <c r="U2389" s="100"/>
      <c r="V2389" s="100"/>
      <c r="W2389" s="100"/>
      <c r="X2389" s="100"/>
      <c r="Y2389" s="100"/>
      <c r="Z2389" s="100"/>
      <c r="AA2389" s="100"/>
    </row>
    <row r="2390" spans="2:27">
      <c r="B2390" s="100"/>
      <c r="C2390" s="100"/>
      <c r="D2390" s="100"/>
      <c r="E2390" s="100"/>
      <c r="F2390" s="100"/>
      <c r="G2390" s="100"/>
      <c r="H2390" s="100"/>
      <c r="I2390" s="100"/>
      <c r="J2390" s="100"/>
      <c r="K2390" s="100"/>
      <c r="L2390" s="100"/>
      <c r="M2390" s="100"/>
      <c r="N2390" s="100"/>
      <c r="O2390" s="100"/>
      <c r="P2390" s="100"/>
      <c r="Q2390" s="100"/>
      <c r="R2390" s="100"/>
      <c r="S2390" s="100"/>
      <c r="T2390" s="100"/>
      <c r="U2390" s="100"/>
      <c r="V2390" s="100"/>
      <c r="W2390" s="100"/>
      <c r="X2390" s="100"/>
      <c r="Y2390" s="100"/>
      <c r="Z2390" s="100"/>
      <c r="AA2390" s="100"/>
    </row>
    <row r="2391" spans="2:27">
      <c r="B2391" s="100"/>
      <c r="C2391" s="100"/>
      <c r="D2391" s="100"/>
      <c r="E2391" s="100"/>
      <c r="F2391" s="100"/>
      <c r="G2391" s="100"/>
      <c r="H2391" s="100"/>
      <c r="I2391" s="100"/>
      <c r="J2391" s="100"/>
      <c r="K2391" s="100"/>
      <c r="L2391" s="100"/>
      <c r="M2391" s="100"/>
      <c r="N2391" s="100"/>
      <c r="O2391" s="100"/>
      <c r="P2391" s="100"/>
      <c r="Q2391" s="100"/>
      <c r="R2391" s="100"/>
      <c r="S2391" s="100"/>
      <c r="T2391" s="100"/>
      <c r="U2391" s="100"/>
      <c r="V2391" s="100"/>
      <c r="W2391" s="100"/>
      <c r="X2391" s="100"/>
      <c r="Y2391" s="100"/>
      <c r="Z2391" s="100"/>
      <c r="AA2391" s="100"/>
    </row>
    <row r="2392" spans="2:27">
      <c r="B2392" s="100"/>
      <c r="C2392" s="100"/>
      <c r="D2392" s="100"/>
      <c r="E2392" s="100"/>
      <c r="F2392" s="100"/>
      <c r="G2392" s="100"/>
      <c r="H2392" s="100"/>
      <c r="I2392" s="100"/>
      <c r="J2392" s="100"/>
      <c r="K2392" s="100"/>
      <c r="L2392" s="100"/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  <c r="AA2392" s="100"/>
    </row>
    <row r="2393" spans="2:27">
      <c r="B2393" s="100"/>
      <c r="C2393" s="100"/>
      <c r="D2393" s="100"/>
      <c r="E2393" s="100"/>
      <c r="F2393" s="100"/>
      <c r="G2393" s="100"/>
      <c r="H2393" s="100"/>
      <c r="I2393" s="100"/>
      <c r="J2393" s="100"/>
      <c r="K2393" s="100"/>
      <c r="L2393" s="100"/>
      <c r="M2393" s="100"/>
      <c r="N2393" s="100"/>
      <c r="O2393" s="100"/>
      <c r="P2393" s="100"/>
      <c r="Q2393" s="100"/>
      <c r="R2393" s="100"/>
      <c r="S2393" s="100"/>
      <c r="T2393" s="100"/>
      <c r="U2393" s="100"/>
      <c r="V2393" s="100"/>
      <c r="W2393" s="100"/>
      <c r="X2393" s="100"/>
      <c r="Y2393" s="100"/>
      <c r="Z2393" s="100"/>
      <c r="AA2393" s="100"/>
    </row>
    <row r="2394" spans="2:27">
      <c r="B2394" s="100"/>
      <c r="C2394" s="100"/>
      <c r="D2394" s="100"/>
      <c r="E2394" s="100"/>
      <c r="F2394" s="100"/>
      <c r="G2394" s="100"/>
      <c r="H2394" s="100"/>
      <c r="I2394" s="100"/>
      <c r="J2394" s="100"/>
      <c r="K2394" s="100"/>
      <c r="L2394" s="100"/>
      <c r="M2394" s="100"/>
      <c r="N2394" s="100"/>
      <c r="O2394" s="100"/>
      <c r="P2394" s="100"/>
      <c r="Q2394" s="100"/>
      <c r="R2394" s="100"/>
      <c r="S2394" s="100"/>
      <c r="T2394" s="100"/>
      <c r="U2394" s="100"/>
      <c r="V2394" s="100"/>
      <c r="W2394" s="100"/>
      <c r="X2394" s="100"/>
      <c r="Y2394" s="100"/>
      <c r="Z2394" s="100"/>
      <c r="AA2394" s="100"/>
    </row>
    <row r="2395" spans="2:27">
      <c r="B2395" s="100"/>
      <c r="C2395" s="100"/>
      <c r="D2395" s="100"/>
      <c r="E2395" s="100"/>
      <c r="F2395" s="100"/>
      <c r="G2395" s="100"/>
      <c r="H2395" s="100"/>
      <c r="I2395" s="100"/>
      <c r="J2395" s="100"/>
      <c r="K2395" s="100"/>
      <c r="L2395" s="100"/>
      <c r="M2395" s="100"/>
      <c r="N2395" s="100"/>
      <c r="O2395" s="100"/>
      <c r="P2395" s="100"/>
      <c r="Q2395" s="100"/>
      <c r="R2395" s="100"/>
      <c r="S2395" s="100"/>
      <c r="T2395" s="100"/>
      <c r="U2395" s="100"/>
      <c r="V2395" s="100"/>
      <c r="W2395" s="100"/>
      <c r="X2395" s="100"/>
      <c r="Y2395" s="100"/>
      <c r="Z2395" s="100"/>
      <c r="AA2395" s="100"/>
    </row>
    <row r="2396" spans="2:27">
      <c r="B2396" s="100"/>
      <c r="C2396" s="100"/>
      <c r="D2396" s="100"/>
      <c r="E2396" s="100"/>
      <c r="F2396" s="100"/>
      <c r="G2396" s="100"/>
      <c r="H2396" s="100"/>
      <c r="I2396" s="100"/>
      <c r="J2396" s="100"/>
      <c r="K2396" s="100"/>
      <c r="L2396" s="100"/>
      <c r="M2396" s="100"/>
      <c r="N2396" s="100"/>
      <c r="O2396" s="100"/>
      <c r="P2396" s="100"/>
      <c r="Q2396" s="100"/>
      <c r="R2396" s="100"/>
      <c r="S2396" s="100"/>
      <c r="T2396" s="100"/>
      <c r="U2396" s="100"/>
      <c r="V2396" s="100"/>
      <c r="W2396" s="100"/>
      <c r="X2396" s="100"/>
      <c r="Y2396" s="100"/>
      <c r="Z2396" s="100"/>
      <c r="AA2396" s="100"/>
    </row>
    <row r="2397" spans="2:27">
      <c r="B2397" s="100"/>
      <c r="C2397" s="100"/>
      <c r="D2397" s="100"/>
      <c r="E2397" s="100"/>
      <c r="F2397" s="100"/>
      <c r="G2397" s="100"/>
      <c r="H2397" s="100"/>
      <c r="I2397" s="100"/>
      <c r="J2397" s="100"/>
      <c r="K2397" s="100"/>
      <c r="L2397" s="100"/>
      <c r="M2397" s="100"/>
      <c r="N2397" s="100"/>
      <c r="O2397" s="100"/>
      <c r="P2397" s="100"/>
      <c r="Q2397" s="100"/>
      <c r="R2397" s="100"/>
      <c r="S2397" s="100"/>
      <c r="T2397" s="100"/>
      <c r="U2397" s="100"/>
      <c r="V2397" s="100"/>
      <c r="W2397" s="100"/>
      <c r="X2397" s="100"/>
      <c r="Y2397" s="100"/>
      <c r="Z2397" s="100"/>
      <c r="AA2397" s="100"/>
    </row>
    <row r="2398" spans="2:27">
      <c r="B2398" s="100"/>
      <c r="C2398" s="100"/>
      <c r="D2398" s="100"/>
      <c r="E2398" s="100"/>
      <c r="F2398" s="100"/>
      <c r="G2398" s="100"/>
      <c r="H2398" s="100"/>
      <c r="I2398" s="100"/>
      <c r="J2398" s="100"/>
      <c r="K2398" s="100"/>
      <c r="L2398" s="100"/>
      <c r="M2398" s="100"/>
      <c r="N2398" s="100"/>
      <c r="O2398" s="100"/>
      <c r="P2398" s="100"/>
      <c r="Q2398" s="100"/>
      <c r="R2398" s="100"/>
      <c r="S2398" s="100"/>
      <c r="T2398" s="100"/>
      <c r="U2398" s="100"/>
      <c r="V2398" s="100"/>
      <c r="W2398" s="100"/>
      <c r="X2398" s="100"/>
      <c r="Y2398" s="100"/>
      <c r="Z2398" s="100"/>
      <c r="AA2398" s="100"/>
    </row>
    <row r="2399" spans="2:27">
      <c r="B2399" s="100"/>
      <c r="C2399" s="100"/>
      <c r="D2399" s="100"/>
      <c r="E2399" s="100"/>
      <c r="F2399" s="100"/>
      <c r="G2399" s="100"/>
      <c r="H2399" s="100"/>
      <c r="I2399" s="100"/>
      <c r="J2399" s="100"/>
      <c r="K2399" s="100"/>
      <c r="L2399" s="100"/>
      <c r="M2399" s="100"/>
      <c r="N2399" s="100"/>
      <c r="O2399" s="100"/>
      <c r="P2399" s="100"/>
      <c r="Q2399" s="100"/>
      <c r="R2399" s="100"/>
      <c r="S2399" s="100"/>
      <c r="T2399" s="100"/>
      <c r="U2399" s="100"/>
      <c r="V2399" s="100"/>
      <c r="W2399" s="100"/>
      <c r="X2399" s="100"/>
      <c r="Y2399" s="100"/>
      <c r="Z2399" s="100"/>
      <c r="AA2399" s="100"/>
    </row>
    <row r="2400" spans="2:27">
      <c r="B2400" s="100"/>
      <c r="C2400" s="100"/>
      <c r="D2400" s="100"/>
      <c r="E2400" s="100"/>
      <c r="F2400" s="100"/>
      <c r="G2400" s="100"/>
      <c r="H2400" s="100"/>
      <c r="I2400" s="100"/>
      <c r="J2400" s="100"/>
      <c r="K2400" s="100"/>
      <c r="L2400" s="100"/>
      <c r="M2400" s="100"/>
      <c r="N2400" s="100"/>
      <c r="O2400" s="100"/>
      <c r="P2400" s="100"/>
      <c r="Q2400" s="100"/>
      <c r="R2400" s="100"/>
      <c r="S2400" s="100"/>
      <c r="T2400" s="100"/>
      <c r="U2400" s="100"/>
      <c r="V2400" s="100"/>
      <c r="W2400" s="100"/>
      <c r="X2400" s="100"/>
      <c r="Y2400" s="100"/>
      <c r="Z2400" s="100"/>
      <c r="AA2400" s="100"/>
    </row>
    <row r="2401" spans="2:27">
      <c r="B2401" s="100"/>
      <c r="C2401" s="100"/>
      <c r="D2401" s="100"/>
      <c r="E2401" s="100"/>
      <c r="F2401" s="100"/>
      <c r="G2401" s="100"/>
      <c r="H2401" s="100"/>
      <c r="I2401" s="100"/>
      <c r="J2401" s="100"/>
      <c r="K2401" s="100"/>
      <c r="L2401" s="100"/>
      <c r="M2401" s="100"/>
      <c r="N2401" s="100"/>
      <c r="O2401" s="100"/>
      <c r="P2401" s="100"/>
      <c r="Q2401" s="100"/>
      <c r="R2401" s="100"/>
      <c r="S2401" s="100"/>
      <c r="T2401" s="100"/>
      <c r="U2401" s="100"/>
      <c r="V2401" s="100"/>
      <c r="W2401" s="100"/>
      <c r="X2401" s="100"/>
      <c r="Y2401" s="100"/>
      <c r="Z2401" s="100"/>
      <c r="AA2401" s="100"/>
    </row>
    <row r="2402" spans="2:27">
      <c r="B2402" s="100"/>
      <c r="C2402" s="100"/>
      <c r="D2402" s="100"/>
      <c r="E2402" s="100"/>
      <c r="F2402" s="100"/>
      <c r="G2402" s="100"/>
      <c r="H2402" s="100"/>
      <c r="I2402" s="100"/>
      <c r="J2402" s="100"/>
      <c r="K2402" s="100"/>
      <c r="L2402" s="100"/>
      <c r="M2402" s="100"/>
      <c r="N2402" s="100"/>
      <c r="O2402" s="100"/>
      <c r="P2402" s="100"/>
      <c r="Q2402" s="100"/>
      <c r="R2402" s="100"/>
      <c r="S2402" s="100"/>
      <c r="T2402" s="100"/>
      <c r="U2402" s="100"/>
      <c r="V2402" s="100"/>
      <c r="W2402" s="100"/>
      <c r="X2402" s="100"/>
      <c r="Y2402" s="100"/>
      <c r="Z2402" s="100"/>
      <c r="AA2402" s="100"/>
    </row>
    <row r="2403" spans="2:27">
      <c r="B2403" s="100"/>
      <c r="C2403" s="100"/>
      <c r="D2403" s="100"/>
      <c r="E2403" s="100"/>
      <c r="F2403" s="100"/>
      <c r="G2403" s="100"/>
      <c r="H2403" s="100"/>
      <c r="I2403" s="100"/>
      <c r="J2403" s="100"/>
      <c r="K2403" s="100"/>
      <c r="L2403" s="100"/>
      <c r="M2403" s="100"/>
      <c r="N2403" s="100"/>
      <c r="O2403" s="100"/>
      <c r="P2403" s="100"/>
      <c r="Q2403" s="100"/>
      <c r="R2403" s="100"/>
      <c r="S2403" s="100"/>
      <c r="T2403" s="100"/>
      <c r="U2403" s="100"/>
      <c r="V2403" s="100"/>
      <c r="W2403" s="100"/>
      <c r="X2403" s="100"/>
      <c r="Y2403" s="100"/>
      <c r="Z2403" s="100"/>
      <c r="AA2403" s="100"/>
    </row>
    <row r="2404" spans="2:27">
      <c r="B2404" s="100"/>
      <c r="C2404" s="100"/>
      <c r="D2404" s="100"/>
      <c r="E2404" s="100"/>
      <c r="F2404" s="100"/>
      <c r="G2404" s="100"/>
      <c r="H2404" s="100"/>
      <c r="I2404" s="100"/>
      <c r="J2404" s="100"/>
      <c r="K2404" s="100"/>
      <c r="L2404" s="100"/>
      <c r="M2404" s="100"/>
      <c r="N2404" s="100"/>
      <c r="O2404" s="100"/>
      <c r="P2404" s="100"/>
      <c r="Q2404" s="100"/>
      <c r="R2404" s="100"/>
      <c r="S2404" s="100"/>
      <c r="T2404" s="100"/>
      <c r="U2404" s="100"/>
      <c r="V2404" s="100"/>
      <c r="W2404" s="100"/>
      <c r="X2404" s="100"/>
      <c r="Y2404" s="100"/>
      <c r="Z2404" s="100"/>
      <c r="AA2404" s="100"/>
    </row>
    <row r="2405" spans="2:27">
      <c r="B2405" s="100"/>
      <c r="C2405" s="100"/>
      <c r="D2405" s="100"/>
      <c r="E2405" s="100"/>
      <c r="F2405" s="100"/>
      <c r="G2405" s="100"/>
      <c r="H2405" s="100"/>
      <c r="I2405" s="100"/>
      <c r="J2405" s="100"/>
      <c r="K2405" s="100"/>
      <c r="L2405" s="100"/>
      <c r="M2405" s="100"/>
      <c r="N2405" s="100"/>
      <c r="O2405" s="100"/>
      <c r="P2405" s="100"/>
      <c r="Q2405" s="100"/>
      <c r="R2405" s="100"/>
      <c r="S2405" s="100"/>
      <c r="T2405" s="100"/>
      <c r="U2405" s="100"/>
      <c r="V2405" s="100"/>
      <c r="W2405" s="100"/>
      <c r="X2405" s="100"/>
      <c r="Y2405" s="100"/>
      <c r="Z2405" s="100"/>
      <c r="AA2405" s="100"/>
    </row>
    <row r="2406" spans="2:27">
      <c r="B2406" s="100"/>
      <c r="C2406" s="100"/>
      <c r="D2406" s="100"/>
      <c r="E2406" s="100"/>
      <c r="F2406" s="100"/>
      <c r="G2406" s="100"/>
      <c r="H2406" s="100"/>
      <c r="I2406" s="100"/>
      <c r="J2406" s="100"/>
      <c r="K2406" s="100"/>
      <c r="L2406" s="100"/>
      <c r="M2406" s="100"/>
      <c r="N2406" s="100"/>
      <c r="O2406" s="100"/>
      <c r="P2406" s="100"/>
      <c r="Q2406" s="100"/>
      <c r="R2406" s="100"/>
      <c r="S2406" s="100"/>
      <c r="T2406" s="100"/>
      <c r="U2406" s="100"/>
      <c r="V2406" s="100"/>
      <c r="W2406" s="100"/>
      <c r="X2406" s="100"/>
      <c r="Y2406" s="100"/>
      <c r="Z2406" s="100"/>
      <c r="AA2406" s="100"/>
    </row>
    <row r="2407" spans="2:27">
      <c r="B2407" s="100"/>
      <c r="C2407" s="100"/>
      <c r="D2407" s="100"/>
      <c r="E2407" s="100"/>
      <c r="F2407" s="100"/>
      <c r="G2407" s="100"/>
      <c r="H2407" s="100"/>
      <c r="I2407" s="100"/>
      <c r="J2407" s="100"/>
      <c r="K2407" s="100"/>
      <c r="L2407" s="100"/>
      <c r="M2407" s="100"/>
      <c r="N2407" s="100"/>
      <c r="O2407" s="100"/>
      <c r="P2407" s="100"/>
      <c r="Q2407" s="100"/>
      <c r="R2407" s="100"/>
      <c r="S2407" s="100"/>
      <c r="T2407" s="100"/>
      <c r="U2407" s="100"/>
      <c r="V2407" s="100"/>
      <c r="W2407" s="100"/>
      <c r="X2407" s="100"/>
      <c r="Y2407" s="100"/>
      <c r="Z2407" s="100"/>
      <c r="AA2407" s="100"/>
    </row>
    <row r="2408" spans="2:27">
      <c r="B2408" s="100"/>
      <c r="C2408" s="100"/>
      <c r="D2408" s="100"/>
      <c r="E2408" s="100"/>
      <c r="F2408" s="100"/>
      <c r="G2408" s="100"/>
      <c r="H2408" s="100"/>
      <c r="I2408" s="100"/>
      <c r="J2408" s="100"/>
      <c r="K2408" s="100"/>
      <c r="L2408" s="100"/>
      <c r="M2408" s="100"/>
      <c r="N2408" s="100"/>
      <c r="O2408" s="100"/>
      <c r="P2408" s="100"/>
      <c r="Q2408" s="100"/>
      <c r="R2408" s="100"/>
      <c r="S2408" s="100"/>
      <c r="T2408" s="100"/>
      <c r="U2408" s="100"/>
      <c r="V2408" s="100"/>
      <c r="W2408" s="100"/>
      <c r="X2408" s="100"/>
      <c r="Y2408" s="100"/>
      <c r="Z2408" s="100"/>
      <c r="AA2408" s="100"/>
    </row>
    <row r="2409" spans="2:27">
      <c r="B2409" s="100"/>
      <c r="C2409" s="100"/>
      <c r="D2409" s="100"/>
      <c r="E2409" s="100"/>
      <c r="F2409" s="100"/>
      <c r="G2409" s="100"/>
      <c r="H2409" s="100"/>
      <c r="I2409" s="100"/>
      <c r="J2409" s="100"/>
      <c r="K2409" s="100"/>
      <c r="L2409" s="100"/>
      <c r="M2409" s="100"/>
      <c r="N2409" s="100"/>
      <c r="O2409" s="100"/>
      <c r="P2409" s="100"/>
      <c r="Q2409" s="100"/>
      <c r="R2409" s="100"/>
      <c r="S2409" s="100"/>
      <c r="T2409" s="100"/>
      <c r="U2409" s="100"/>
      <c r="V2409" s="100"/>
      <c r="W2409" s="100"/>
      <c r="X2409" s="100"/>
      <c r="Y2409" s="100"/>
      <c r="Z2409" s="100"/>
      <c r="AA2409" s="100"/>
    </row>
    <row r="2410" spans="2:27">
      <c r="B2410" s="100"/>
      <c r="C2410" s="100"/>
      <c r="D2410" s="100"/>
      <c r="E2410" s="100"/>
      <c r="F2410" s="100"/>
      <c r="G2410" s="100"/>
      <c r="H2410" s="100"/>
      <c r="I2410" s="100"/>
      <c r="J2410" s="100"/>
      <c r="K2410" s="100"/>
      <c r="L2410" s="100"/>
      <c r="M2410" s="100"/>
      <c r="N2410" s="100"/>
      <c r="O2410" s="100"/>
      <c r="P2410" s="100"/>
      <c r="Q2410" s="100"/>
      <c r="R2410" s="100"/>
      <c r="S2410" s="100"/>
      <c r="T2410" s="100"/>
      <c r="U2410" s="100"/>
      <c r="V2410" s="100"/>
      <c r="W2410" s="100"/>
      <c r="X2410" s="100"/>
      <c r="Y2410" s="100"/>
      <c r="Z2410" s="100"/>
      <c r="AA2410" s="100"/>
    </row>
    <row r="2411" spans="2:27">
      <c r="B2411" s="100"/>
      <c r="C2411" s="100"/>
      <c r="D2411" s="100"/>
      <c r="E2411" s="100"/>
      <c r="F2411" s="100"/>
      <c r="G2411" s="100"/>
      <c r="H2411" s="100"/>
      <c r="I2411" s="100"/>
      <c r="J2411" s="100"/>
      <c r="K2411" s="100"/>
      <c r="L2411" s="100"/>
      <c r="M2411" s="100"/>
      <c r="N2411" s="100"/>
      <c r="O2411" s="100"/>
      <c r="P2411" s="100"/>
      <c r="Q2411" s="100"/>
      <c r="R2411" s="100"/>
      <c r="S2411" s="100"/>
      <c r="T2411" s="100"/>
      <c r="U2411" s="100"/>
      <c r="V2411" s="100"/>
      <c r="W2411" s="100"/>
      <c r="X2411" s="100"/>
      <c r="Y2411" s="100"/>
      <c r="Z2411" s="100"/>
      <c r="AA2411" s="100"/>
    </row>
    <row r="2412" spans="2:27">
      <c r="B2412" s="100"/>
      <c r="C2412" s="100"/>
      <c r="D2412" s="100"/>
      <c r="E2412" s="100"/>
      <c r="F2412" s="100"/>
      <c r="G2412" s="100"/>
      <c r="H2412" s="100"/>
      <c r="I2412" s="100"/>
      <c r="J2412" s="100"/>
      <c r="K2412" s="100"/>
      <c r="L2412" s="100"/>
      <c r="M2412" s="100"/>
      <c r="N2412" s="100"/>
      <c r="O2412" s="100"/>
      <c r="P2412" s="100"/>
      <c r="Q2412" s="100"/>
      <c r="R2412" s="100"/>
      <c r="S2412" s="100"/>
      <c r="T2412" s="100"/>
      <c r="U2412" s="100"/>
      <c r="V2412" s="100"/>
      <c r="W2412" s="100"/>
      <c r="X2412" s="100"/>
      <c r="Y2412" s="100"/>
      <c r="Z2412" s="100"/>
      <c r="AA2412" s="100"/>
    </row>
    <row r="2413" spans="2:27">
      <c r="B2413" s="100"/>
      <c r="C2413" s="100"/>
      <c r="D2413" s="100"/>
      <c r="E2413" s="100"/>
      <c r="F2413" s="100"/>
      <c r="G2413" s="100"/>
      <c r="H2413" s="100"/>
      <c r="I2413" s="100"/>
      <c r="J2413" s="100"/>
      <c r="K2413" s="100"/>
      <c r="L2413" s="100"/>
      <c r="M2413" s="100"/>
      <c r="N2413" s="100"/>
      <c r="O2413" s="100"/>
      <c r="P2413" s="100"/>
      <c r="Q2413" s="100"/>
      <c r="R2413" s="100"/>
      <c r="S2413" s="100"/>
      <c r="T2413" s="100"/>
      <c r="U2413" s="100"/>
      <c r="V2413" s="100"/>
      <c r="W2413" s="100"/>
      <c r="X2413" s="100"/>
      <c r="Y2413" s="100"/>
      <c r="Z2413" s="100"/>
      <c r="AA2413" s="100"/>
    </row>
    <row r="2414" spans="2:27">
      <c r="B2414" s="100"/>
      <c r="C2414" s="100"/>
      <c r="D2414" s="100"/>
      <c r="E2414" s="100"/>
      <c r="F2414" s="100"/>
      <c r="G2414" s="100"/>
      <c r="H2414" s="100"/>
      <c r="I2414" s="100"/>
      <c r="J2414" s="100"/>
      <c r="K2414" s="100"/>
      <c r="L2414" s="100"/>
      <c r="M2414" s="100"/>
      <c r="N2414" s="100"/>
      <c r="O2414" s="100"/>
      <c r="P2414" s="100"/>
      <c r="Q2414" s="100"/>
      <c r="R2414" s="100"/>
      <c r="S2414" s="100"/>
      <c r="T2414" s="100"/>
      <c r="U2414" s="100"/>
      <c r="V2414" s="100"/>
      <c r="W2414" s="100"/>
      <c r="X2414" s="100"/>
      <c r="Y2414" s="100"/>
      <c r="Z2414" s="100"/>
      <c r="AA2414" s="100"/>
    </row>
    <row r="2415" spans="2:27">
      <c r="B2415" s="100"/>
      <c r="C2415" s="100"/>
      <c r="D2415" s="100"/>
      <c r="E2415" s="100"/>
      <c r="F2415" s="100"/>
      <c r="G2415" s="100"/>
      <c r="H2415" s="100"/>
      <c r="I2415" s="100"/>
      <c r="J2415" s="100"/>
      <c r="K2415" s="100"/>
      <c r="L2415" s="100"/>
      <c r="M2415" s="100"/>
      <c r="N2415" s="100"/>
      <c r="O2415" s="100"/>
      <c r="P2415" s="100"/>
      <c r="Q2415" s="100"/>
      <c r="R2415" s="100"/>
      <c r="S2415" s="100"/>
      <c r="T2415" s="100"/>
      <c r="U2415" s="100"/>
      <c r="V2415" s="100"/>
      <c r="W2415" s="100"/>
      <c r="X2415" s="100"/>
      <c r="Y2415" s="100"/>
      <c r="Z2415" s="100"/>
      <c r="AA2415" s="100"/>
    </row>
    <row r="2416" spans="2:27">
      <c r="B2416" s="100"/>
      <c r="C2416" s="100"/>
      <c r="D2416" s="100"/>
      <c r="E2416" s="100"/>
      <c r="F2416" s="100"/>
      <c r="G2416" s="100"/>
      <c r="H2416" s="100"/>
      <c r="I2416" s="100"/>
      <c r="J2416" s="100"/>
      <c r="K2416" s="100"/>
      <c r="L2416" s="100"/>
      <c r="M2416" s="100"/>
      <c r="N2416" s="100"/>
      <c r="O2416" s="100"/>
      <c r="P2416" s="100"/>
      <c r="Q2416" s="100"/>
      <c r="R2416" s="100"/>
      <c r="S2416" s="100"/>
      <c r="T2416" s="100"/>
      <c r="U2416" s="100"/>
      <c r="V2416" s="100"/>
      <c r="W2416" s="100"/>
      <c r="X2416" s="100"/>
      <c r="Y2416" s="100"/>
      <c r="Z2416" s="100"/>
      <c r="AA2416" s="100"/>
    </row>
    <row r="2417" spans="2:27">
      <c r="B2417" s="100"/>
      <c r="C2417" s="100"/>
      <c r="D2417" s="100"/>
      <c r="E2417" s="100"/>
      <c r="F2417" s="100"/>
      <c r="G2417" s="100"/>
      <c r="H2417" s="100"/>
      <c r="I2417" s="100"/>
      <c r="J2417" s="100"/>
      <c r="K2417" s="100"/>
      <c r="L2417" s="100"/>
      <c r="M2417" s="100"/>
      <c r="N2417" s="100"/>
      <c r="O2417" s="100"/>
      <c r="P2417" s="100"/>
      <c r="Q2417" s="100"/>
      <c r="R2417" s="100"/>
      <c r="S2417" s="100"/>
      <c r="T2417" s="100"/>
      <c r="U2417" s="100"/>
      <c r="V2417" s="100"/>
      <c r="W2417" s="100"/>
      <c r="X2417" s="100"/>
      <c r="Y2417" s="100"/>
      <c r="Z2417" s="100"/>
      <c r="AA2417" s="100"/>
    </row>
    <row r="2418" spans="2:27">
      <c r="B2418" s="100"/>
      <c r="C2418" s="100"/>
      <c r="D2418" s="100"/>
      <c r="E2418" s="100"/>
      <c r="F2418" s="100"/>
      <c r="G2418" s="100"/>
      <c r="H2418" s="100"/>
      <c r="I2418" s="100"/>
      <c r="J2418" s="100"/>
      <c r="K2418" s="100"/>
      <c r="L2418" s="100"/>
      <c r="M2418" s="100"/>
      <c r="N2418" s="100"/>
      <c r="O2418" s="100"/>
      <c r="P2418" s="100"/>
      <c r="Q2418" s="100"/>
      <c r="R2418" s="100"/>
      <c r="S2418" s="100"/>
      <c r="T2418" s="100"/>
      <c r="U2418" s="100"/>
      <c r="V2418" s="100"/>
      <c r="W2418" s="100"/>
      <c r="X2418" s="100"/>
      <c r="Y2418" s="100"/>
      <c r="Z2418" s="100"/>
      <c r="AA2418" s="100"/>
    </row>
    <row r="2419" spans="2:27">
      <c r="B2419" s="100"/>
      <c r="C2419" s="100"/>
      <c r="D2419" s="100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  <c r="AA2419" s="100"/>
    </row>
    <row r="2420" spans="2:27">
      <c r="B2420" s="100"/>
      <c r="C2420" s="100"/>
      <c r="D2420" s="100"/>
      <c r="E2420" s="100"/>
      <c r="F2420" s="100"/>
      <c r="G2420" s="100"/>
      <c r="H2420" s="100"/>
      <c r="I2420" s="100"/>
      <c r="J2420" s="100"/>
      <c r="K2420" s="100"/>
      <c r="L2420" s="100"/>
      <c r="M2420" s="100"/>
      <c r="N2420" s="100"/>
      <c r="O2420" s="100"/>
      <c r="P2420" s="100"/>
      <c r="Q2420" s="100"/>
      <c r="R2420" s="100"/>
      <c r="S2420" s="100"/>
      <c r="T2420" s="100"/>
      <c r="U2420" s="100"/>
      <c r="V2420" s="100"/>
      <c r="W2420" s="100"/>
      <c r="X2420" s="100"/>
      <c r="Y2420" s="100"/>
      <c r="Z2420" s="100"/>
      <c r="AA2420" s="100"/>
    </row>
    <row r="2421" spans="2:27">
      <c r="B2421" s="100"/>
      <c r="C2421" s="100"/>
      <c r="D2421" s="100"/>
      <c r="E2421" s="100"/>
      <c r="F2421" s="100"/>
      <c r="G2421" s="100"/>
      <c r="H2421" s="100"/>
      <c r="I2421" s="100"/>
      <c r="J2421" s="100"/>
      <c r="K2421" s="100"/>
      <c r="L2421" s="100"/>
      <c r="M2421" s="100"/>
      <c r="N2421" s="100"/>
      <c r="O2421" s="100"/>
      <c r="P2421" s="100"/>
      <c r="Q2421" s="100"/>
      <c r="R2421" s="100"/>
      <c r="S2421" s="100"/>
      <c r="T2421" s="100"/>
      <c r="U2421" s="100"/>
      <c r="V2421" s="100"/>
      <c r="W2421" s="100"/>
      <c r="X2421" s="100"/>
      <c r="Y2421" s="100"/>
      <c r="Z2421" s="100"/>
      <c r="AA2421" s="100"/>
    </row>
    <row r="2422" spans="2:27">
      <c r="B2422" s="100"/>
      <c r="C2422" s="100"/>
      <c r="D2422" s="100"/>
      <c r="E2422" s="100"/>
      <c r="F2422" s="100"/>
      <c r="G2422" s="100"/>
      <c r="H2422" s="100"/>
      <c r="I2422" s="100"/>
      <c r="J2422" s="100"/>
      <c r="K2422" s="100"/>
      <c r="L2422" s="100"/>
      <c r="M2422" s="100"/>
      <c r="N2422" s="100"/>
      <c r="O2422" s="100"/>
      <c r="P2422" s="100"/>
      <c r="Q2422" s="100"/>
      <c r="R2422" s="100"/>
      <c r="S2422" s="100"/>
      <c r="T2422" s="100"/>
      <c r="U2422" s="100"/>
      <c r="V2422" s="100"/>
      <c r="W2422" s="100"/>
      <c r="X2422" s="100"/>
      <c r="Y2422" s="100"/>
      <c r="Z2422" s="100"/>
      <c r="AA2422" s="100"/>
    </row>
    <row r="2423" spans="2:27">
      <c r="B2423" s="100"/>
      <c r="C2423" s="100"/>
      <c r="D2423" s="100"/>
      <c r="E2423" s="100"/>
      <c r="F2423" s="100"/>
      <c r="G2423" s="100"/>
      <c r="H2423" s="100"/>
      <c r="I2423" s="100"/>
      <c r="J2423" s="100"/>
      <c r="K2423" s="100"/>
      <c r="L2423" s="100"/>
      <c r="M2423" s="100"/>
      <c r="N2423" s="100"/>
      <c r="O2423" s="100"/>
      <c r="P2423" s="100"/>
      <c r="Q2423" s="100"/>
      <c r="R2423" s="100"/>
      <c r="S2423" s="100"/>
      <c r="T2423" s="100"/>
      <c r="U2423" s="100"/>
      <c r="V2423" s="100"/>
      <c r="W2423" s="100"/>
      <c r="X2423" s="100"/>
      <c r="Y2423" s="100"/>
      <c r="Z2423" s="100"/>
      <c r="AA2423" s="100"/>
    </row>
    <row r="2424" spans="2:27">
      <c r="B2424" s="100"/>
      <c r="C2424" s="100"/>
      <c r="D2424" s="100"/>
      <c r="E2424" s="100"/>
      <c r="F2424" s="100"/>
      <c r="G2424" s="100"/>
      <c r="H2424" s="100"/>
      <c r="I2424" s="100"/>
      <c r="J2424" s="100"/>
      <c r="K2424" s="100"/>
      <c r="L2424" s="100"/>
      <c r="M2424" s="100"/>
      <c r="N2424" s="100"/>
      <c r="O2424" s="100"/>
      <c r="P2424" s="100"/>
      <c r="Q2424" s="100"/>
      <c r="R2424" s="100"/>
      <c r="S2424" s="100"/>
      <c r="T2424" s="100"/>
      <c r="U2424" s="100"/>
      <c r="V2424" s="100"/>
      <c r="W2424" s="100"/>
      <c r="X2424" s="100"/>
      <c r="Y2424" s="100"/>
      <c r="Z2424" s="100"/>
      <c r="AA2424" s="100"/>
    </row>
    <row r="2425" spans="2:27">
      <c r="B2425" s="100"/>
      <c r="C2425" s="100"/>
      <c r="D2425" s="100"/>
      <c r="E2425" s="100"/>
      <c r="F2425" s="100"/>
      <c r="G2425" s="100"/>
      <c r="H2425" s="100"/>
      <c r="I2425" s="100"/>
      <c r="J2425" s="100"/>
      <c r="K2425" s="100"/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  <c r="AA2425" s="100"/>
    </row>
    <row r="2426" spans="2:27">
      <c r="B2426" s="100"/>
      <c r="C2426" s="100"/>
      <c r="D2426" s="100"/>
      <c r="E2426" s="100"/>
      <c r="F2426" s="100"/>
      <c r="G2426" s="100"/>
      <c r="H2426" s="100"/>
      <c r="I2426" s="100"/>
      <c r="J2426" s="100"/>
      <c r="K2426" s="100"/>
      <c r="L2426" s="100"/>
      <c r="M2426" s="100"/>
      <c r="N2426" s="100"/>
      <c r="O2426" s="100"/>
      <c r="P2426" s="100"/>
      <c r="Q2426" s="100"/>
      <c r="R2426" s="100"/>
      <c r="S2426" s="100"/>
      <c r="T2426" s="100"/>
      <c r="U2426" s="100"/>
      <c r="V2426" s="100"/>
      <c r="W2426" s="100"/>
      <c r="X2426" s="100"/>
      <c r="Y2426" s="100"/>
      <c r="Z2426" s="100"/>
      <c r="AA2426" s="100"/>
    </row>
    <row r="2427" spans="2:27">
      <c r="B2427" s="100"/>
      <c r="C2427" s="100"/>
      <c r="D2427" s="100"/>
      <c r="E2427" s="100"/>
      <c r="F2427" s="100"/>
      <c r="G2427" s="100"/>
      <c r="H2427" s="100"/>
      <c r="I2427" s="100"/>
      <c r="J2427" s="100"/>
      <c r="K2427" s="100"/>
      <c r="L2427" s="100"/>
      <c r="M2427" s="100"/>
      <c r="N2427" s="100"/>
      <c r="O2427" s="100"/>
      <c r="P2427" s="100"/>
      <c r="Q2427" s="100"/>
      <c r="R2427" s="100"/>
      <c r="S2427" s="100"/>
      <c r="T2427" s="100"/>
      <c r="U2427" s="100"/>
      <c r="V2427" s="100"/>
      <c r="W2427" s="100"/>
      <c r="X2427" s="100"/>
      <c r="Y2427" s="100"/>
      <c r="Z2427" s="100"/>
      <c r="AA2427" s="100"/>
    </row>
    <row r="2428" spans="2:27">
      <c r="B2428" s="100"/>
      <c r="C2428" s="100"/>
      <c r="D2428" s="100"/>
      <c r="E2428" s="100"/>
      <c r="F2428" s="100"/>
      <c r="G2428" s="100"/>
      <c r="H2428" s="100"/>
      <c r="I2428" s="100"/>
      <c r="J2428" s="100"/>
      <c r="K2428" s="100"/>
      <c r="L2428" s="100"/>
      <c r="M2428" s="100"/>
      <c r="N2428" s="100"/>
      <c r="O2428" s="100"/>
      <c r="P2428" s="100"/>
      <c r="Q2428" s="100"/>
      <c r="R2428" s="100"/>
      <c r="S2428" s="100"/>
      <c r="T2428" s="100"/>
      <c r="U2428" s="100"/>
      <c r="V2428" s="100"/>
      <c r="W2428" s="100"/>
      <c r="X2428" s="100"/>
      <c r="Y2428" s="100"/>
      <c r="Z2428" s="100"/>
      <c r="AA2428" s="100"/>
    </row>
    <row r="2429" spans="2:27">
      <c r="B2429" s="100"/>
      <c r="C2429" s="100"/>
      <c r="D2429" s="100"/>
      <c r="E2429" s="100"/>
      <c r="F2429" s="100"/>
      <c r="G2429" s="100"/>
      <c r="H2429" s="100"/>
      <c r="I2429" s="100"/>
      <c r="J2429" s="100"/>
      <c r="K2429" s="100"/>
      <c r="L2429" s="100"/>
      <c r="M2429" s="100"/>
      <c r="N2429" s="100"/>
      <c r="O2429" s="100"/>
      <c r="P2429" s="100"/>
      <c r="Q2429" s="100"/>
      <c r="R2429" s="100"/>
      <c r="S2429" s="100"/>
      <c r="T2429" s="100"/>
      <c r="U2429" s="100"/>
      <c r="V2429" s="100"/>
      <c r="W2429" s="100"/>
      <c r="X2429" s="100"/>
      <c r="Y2429" s="100"/>
      <c r="Z2429" s="100"/>
      <c r="AA2429" s="100"/>
    </row>
    <row r="2430" spans="2:27">
      <c r="B2430" s="100"/>
      <c r="C2430" s="100"/>
      <c r="D2430" s="100"/>
      <c r="E2430" s="100"/>
      <c r="F2430" s="100"/>
      <c r="G2430" s="100"/>
      <c r="H2430" s="100"/>
      <c r="I2430" s="100"/>
      <c r="J2430" s="100"/>
      <c r="K2430" s="100"/>
      <c r="L2430" s="100"/>
      <c r="M2430" s="100"/>
      <c r="N2430" s="100"/>
      <c r="O2430" s="100"/>
      <c r="P2430" s="100"/>
      <c r="Q2430" s="100"/>
      <c r="R2430" s="100"/>
      <c r="S2430" s="100"/>
      <c r="T2430" s="100"/>
      <c r="U2430" s="100"/>
      <c r="V2430" s="100"/>
      <c r="W2430" s="100"/>
      <c r="X2430" s="100"/>
      <c r="Y2430" s="100"/>
      <c r="Z2430" s="100"/>
      <c r="AA2430" s="100"/>
    </row>
    <row r="2431" spans="2:27">
      <c r="B2431" s="100"/>
      <c r="C2431" s="100"/>
      <c r="D2431" s="100"/>
      <c r="E2431" s="100"/>
      <c r="F2431" s="100"/>
      <c r="G2431" s="100"/>
      <c r="H2431" s="100"/>
      <c r="I2431" s="100"/>
      <c r="J2431" s="100"/>
      <c r="K2431" s="100"/>
      <c r="L2431" s="100"/>
      <c r="M2431" s="100"/>
      <c r="N2431" s="100"/>
      <c r="O2431" s="100"/>
      <c r="P2431" s="100"/>
      <c r="Q2431" s="100"/>
      <c r="R2431" s="100"/>
      <c r="S2431" s="100"/>
      <c r="T2431" s="100"/>
      <c r="U2431" s="100"/>
      <c r="V2431" s="100"/>
      <c r="W2431" s="100"/>
      <c r="X2431" s="100"/>
      <c r="Y2431" s="100"/>
      <c r="Z2431" s="100"/>
      <c r="AA2431" s="100"/>
    </row>
    <row r="2432" spans="2:27">
      <c r="B2432" s="100"/>
      <c r="C2432" s="100"/>
      <c r="D2432" s="100"/>
      <c r="E2432" s="100"/>
      <c r="F2432" s="100"/>
      <c r="G2432" s="100"/>
      <c r="H2432" s="100"/>
      <c r="I2432" s="100"/>
      <c r="J2432" s="100"/>
      <c r="K2432" s="100"/>
      <c r="L2432" s="100"/>
      <c r="M2432" s="100"/>
      <c r="N2432" s="100"/>
      <c r="O2432" s="100"/>
      <c r="P2432" s="100"/>
      <c r="Q2432" s="100"/>
      <c r="R2432" s="100"/>
      <c r="S2432" s="100"/>
      <c r="T2432" s="100"/>
      <c r="U2432" s="100"/>
      <c r="V2432" s="100"/>
      <c r="W2432" s="100"/>
      <c r="X2432" s="100"/>
      <c r="Y2432" s="100"/>
      <c r="Z2432" s="100"/>
      <c r="AA2432" s="100"/>
    </row>
    <row r="2433" spans="2:27">
      <c r="B2433" s="100"/>
      <c r="C2433" s="100"/>
      <c r="D2433" s="100"/>
      <c r="E2433" s="100"/>
      <c r="F2433" s="100"/>
      <c r="G2433" s="100"/>
      <c r="H2433" s="100"/>
      <c r="I2433" s="100"/>
      <c r="J2433" s="100"/>
      <c r="K2433" s="100"/>
      <c r="L2433" s="100"/>
      <c r="M2433" s="100"/>
      <c r="N2433" s="100"/>
      <c r="O2433" s="100"/>
      <c r="P2433" s="100"/>
      <c r="Q2433" s="100"/>
      <c r="R2433" s="100"/>
      <c r="S2433" s="100"/>
      <c r="T2433" s="100"/>
      <c r="U2433" s="100"/>
      <c r="V2433" s="100"/>
      <c r="W2433" s="100"/>
      <c r="X2433" s="100"/>
      <c r="Y2433" s="100"/>
      <c r="Z2433" s="100"/>
      <c r="AA2433" s="100"/>
    </row>
    <row r="2434" spans="2:27">
      <c r="B2434" s="100"/>
      <c r="C2434" s="100"/>
      <c r="D2434" s="100"/>
      <c r="E2434" s="100"/>
      <c r="F2434" s="100"/>
      <c r="G2434" s="100"/>
      <c r="H2434" s="100"/>
      <c r="I2434" s="100"/>
      <c r="J2434" s="100"/>
      <c r="K2434" s="100"/>
      <c r="L2434" s="100"/>
      <c r="M2434" s="100"/>
      <c r="N2434" s="100"/>
      <c r="O2434" s="100"/>
      <c r="P2434" s="100"/>
      <c r="Q2434" s="100"/>
      <c r="R2434" s="100"/>
      <c r="S2434" s="100"/>
      <c r="T2434" s="100"/>
      <c r="U2434" s="100"/>
      <c r="V2434" s="100"/>
      <c r="W2434" s="100"/>
      <c r="X2434" s="100"/>
      <c r="Y2434" s="100"/>
      <c r="Z2434" s="100"/>
      <c r="AA2434" s="100"/>
    </row>
    <row r="2435" spans="2:27">
      <c r="B2435" s="100"/>
      <c r="C2435" s="100"/>
      <c r="D2435" s="100"/>
      <c r="E2435" s="100"/>
      <c r="F2435" s="100"/>
      <c r="G2435" s="100"/>
      <c r="H2435" s="100"/>
      <c r="I2435" s="100"/>
      <c r="J2435" s="100"/>
      <c r="K2435" s="100"/>
      <c r="L2435" s="100"/>
      <c r="M2435" s="100"/>
      <c r="N2435" s="100"/>
      <c r="O2435" s="100"/>
      <c r="P2435" s="100"/>
      <c r="Q2435" s="100"/>
      <c r="R2435" s="100"/>
      <c r="S2435" s="100"/>
      <c r="T2435" s="100"/>
      <c r="U2435" s="100"/>
      <c r="V2435" s="100"/>
      <c r="W2435" s="100"/>
      <c r="X2435" s="100"/>
      <c r="Y2435" s="100"/>
      <c r="Z2435" s="100"/>
      <c r="AA2435" s="100"/>
    </row>
    <row r="2436" spans="2:27">
      <c r="B2436" s="100"/>
      <c r="C2436" s="100"/>
      <c r="D2436" s="100"/>
      <c r="E2436" s="100"/>
      <c r="F2436" s="100"/>
      <c r="G2436" s="100"/>
      <c r="H2436" s="100"/>
      <c r="I2436" s="100"/>
      <c r="J2436" s="100"/>
      <c r="K2436" s="100"/>
      <c r="L2436" s="100"/>
      <c r="M2436" s="100"/>
      <c r="N2436" s="100"/>
      <c r="O2436" s="100"/>
      <c r="P2436" s="100"/>
      <c r="Q2436" s="100"/>
      <c r="R2436" s="100"/>
      <c r="S2436" s="100"/>
      <c r="T2436" s="100"/>
      <c r="U2436" s="100"/>
      <c r="V2436" s="100"/>
      <c r="W2436" s="100"/>
      <c r="X2436" s="100"/>
      <c r="Y2436" s="100"/>
      <c r="Z2436" s="100"/>
      <c r="AA2436" s="100"/>
    </row>
    <row r="2437" spans="2:27">
      <c r="B2437" s="100"/>
      <c r="C2437" s="100"/>
      <c r="D2437" s="100"/>
      <c r="E2437" s="100"/>
      <c r="F2437" s="100"/>
      <c r="G2437" s="100"/>
      <c r="H2437" s="100"/>
      <c r="I2437" s="100"/>
      <c r="J2437" s="100"/>
      <c r="K2437" s="100"/>
      <c r="L2437" s="100"/>
      <c r="M2437" s="100"/>
      <c r="N2437" s="100"/>
      <c r="O2437" s="100"/>
      <c r="P2437" s="100"/>
      <c r="Q2437" s="100"/>
      <c r="R2437" s="100"/>
      <c r="S2437" s="100"/>
      <c r="T2437" s="100"/>
      <c r="U2437" s="100"/>
      <c r="V2437" s="100"/>
      <c r="W2437" s="100"/>
      <c r="X2437" s="100"/>
      <c r="Y2437" s="100"/>
      <c r="Z2437" s="100"/>
      <c r="AA2437" s="100"/>
    </row>
    <row r="2438" spans="2:27">
      <c r="B2438" s="100"/>
      <c r="C2438" s="100"/>
      <c r="D2438" s="100"/>
      <c r="E2438" s="100"/>
      <c r="F2438" s="100"/>
      <c r="G2438" s="100"/>
      <c r="H2438" s="100"/>
      <c r="I2438" s="100"/>
      <c r="J2438" s="100"/>
      <c r="K2438" s="100"/>
      <c r="L2438" s="100"/>
      <c r="M2438" s="100"/>
      <c r="N2438" s="100"/>
      <c r="O2438" s="100"/>
      <c r="P2438" s="100"/>
      <c r="Q2438" s="100"/>
      <c r="R2438" s="100"/>
      <c r="S2438" s="100"/>
      <c r="T2438" s="100"/>
      <c r="U2438" s="100"/>
      <c r="V2438" s="100"/>
      <c r="W2438" s="100"/>
      <c r="X2438" s="100"/>
      <c r="Y2438" s="100"/>
      <c r="Z2438" s="100"/>
      <c r="AA2438" s="100"/>
    </row>
    <row r="2439" spans="2:27">
      <c r="B2439" s="100"/>
      <c r="C2439" s="100"/>
      <c r="D2439" s="100"/>
      <c r="E2439" s="100"/>
      <c r="F2439" s="100"/>
      <c r="G2439" s="100"/>
      <c r="H2439" s="100"/>
      <c r="I2439" s="100"/>
      <c r="J2439" s="100"/>
      <c r="K2439" s="100"/>
      <c r="L2439" s="100"/>
      <c r="M2439" s="100"/>
      <c r="N2439" s="100"/>
      <c r="O2439" s="100"/>
      <c r="P2439" s="100"/>
      <c r="Q2439" s="100"/>
      <c r="R2439" s="100"/>
      <c r="S2439" s="100"/>
      <c r="T2439" s="100"/>
      <c r="U2439" s="100"/>
      <c r="V2439" s="100"/>
      <c r="W2439" s="100"/>
      <c r="X2439" s="100"/>
      <c r="Y2439" s="100"/>
      <c r="Z2439" s="100"/>
      <c r="AA2439" s="100"/>
    </row>
    <row r="2440" spans="2:27">
      <c r="B2440" s="100"/>
      <c r="C2440" s="100"/>
      <c r="D2440" s="100"/>
      <c r="E2440" s="100"/>
      <c r="F2440" s="100"/>
      <c r="G2440" s="100"/>
      <c r="H2440" s="100"/>
      <c r="I2440" s="100"/>
      <c r="J2440" s="100"/>
      <c r="K2440" s="100"/>
      <c r="L2440" s="100"/>
      <c r="M2440" s="100"/>
      <c r="N2440" s="100"/>
      <c r="O2440" s="100"/>
      <c r="P2440" s="100"/>
      <c r="Q2440" s="100"/>
      <c r="R2440" s="100"/>
      <c r="S2440" s="100"/>
      <c r="T2440" s="100"/>
      <c r="U2440" s="100"/>
      <c r="V2440" s="100"/>
      <c r="W2440" s="100"/>
      <c r="X2440" s="100"/>
      <c r="Y2440" s="100"/>
      <c r="Z2440" s="100"/>
      <c r="AA2440" s="100"/>
    </row>
    <row r="2441" spans="2:27">
      <c r="B2441" s="100"/>
      <c r="C2441" s="100"/>
      <c r="D2441" s="100"/>
      <c r="E2441" s="100"/>
      <c r="F2441" s="100"/>
      <c r="G2441" s="100"/>
      <c r="H2441" s="100"/>
      <c r="I2441" s="100"/>
      <c r="J2441" s="100"/>
      <c r="K2441" s="100"/>
      <c r="L2441" s="100"/>
      <c r="M2441" s="100"/>
      <c r="N2441" s="100"/>
      <c r="O2441" s="100"/>
      <c r="P2441" s="100"/>
      <c r="Q2441" s="100"/>
      <c r="R2441" s="100"/>
      <c r="S2441" s="100"/>
      <c r="T2441" s="100"/>
      <c r="U2441" s="100"/>
      <c r="V2441" s="100"/>
      <c r="W2441" s="100"/>
      <c r="X2441" s="100"/>
      <c r="Y2441" s="100"/>
      <c r="Z2441" s="100"/>
      <c r="AA2441" s="100"/>
    </row>
    <row r="2442" spans="2:27">
      <c r="B2442" s="100"/>
      <c r="C2442" s="100"/>
      <c r="D2442" s="100"/>
      <c r="E2442" s="100"/>
      <c r="F2442" s="100"/>
      <c r="G2442" s="100"/>
      <c r="H2442" s="100"/>
      <c r="I2442" s="100"/>
      <c r="J2442" s="100"/>
      <c r="K2442" s="100"/>
      <c r="L2442" s="100"/>
      <c r="M2442" s="100"/>
      <c r="N2442" s="100"/>
      <c r="O2442" s="100"/>
      <c r="P2442" s="100"/>
      <c r="Q2442" s="100"/>
      <c r="R2442" s="100"/>
      <c r="S2442" s="100"/>
      <c r="T2442" s="100"/>
      <c r="U2442" s="100"/>
      <c r="V2442" s="100"/>
      <c r="W2442" s="100"/>
      <c r="X2442" s="100"/>
      <c r="Y2442" s="100"/>
      <c r="Z2442" s="100"/>
      <c r="AA2442" s="100"/>
    </row>
    <row r="2443" spans="2:27">
      <c r="B2443" s="100"/>
      <c r="C2443" s="100"/>
      <c r="D2443" s="100"/>
      <c r="E2443" s="100"/>
      <c r="F2443" s="100"/>
      <c r="G2443" s="100"/>
      <c r="H2443" s="100"/>
      <c r="I2443" s="100"/>
      <c r="J2443" s="100"/>
      <c r="K2443" s="100"/>
      <c r="L2443" s="100"/>
      <c r="M2443" s="100"/>
      <c r="N2443" s="100"/>
      <c r="O2443" s="100"/>
      <c r="P2443" s="100"/>
      <c r="Q2443" s="100"/>
      <c r="R2443" s="100"/>
      <c r="S2443" s="100"/>
      <c r="T2443" s="100"/>
      <c r="U2443" s="100"/>
      <c r="V2443" s="100"/>
      <c r="W2443" s="100"/>
      <c r="X2443" s="100"/>
      <c r="Y2443" s="100"/>
      <c r="Z2443" s="100"/>
      <c r="AA2443" s="100"/>
    </row>
    <row r="2444" spans="2:27">
      <c r="B2444" s="100"/>
      <c r="C2444" s="100"/>
      <c r="D2444" s="100"/>
      <c r="E2444" s="100"/>
      <c r="F2444" s="100"/>
      <c r="G2444" s="100"/>
      <c r="H2444" s="100"/>
      <c r="I2444" s="100"/>
      <c r="J2444" s="100"/>
      <c r="K2444" s="100"/>
      <c r="L2444" s="100"/>
      <c r="M2444" s="100"/>
      <c r="N2444" s="100"/>
      <c r="O2444" s="100"/>
      <c r="P2444" s="100"/>
      <c r="Q2444" s="100"/>
      <c r="R2444" s="100"/>
      <c r="S2444" s="100"/>
      <c r="T2444" s="100"/>
      <c r="U2444" s="100"/>
      <c r="V2444" s="100"/>
      <c r="W2444" s="100"/>
      <c r="X2444" s="100"/>
      <c r="Y2444" s="100"/>
      <c r="Z2444" s="100"/>
      <c r="AA2444" s="100"/>
    </row>
    <row r="2445" spans="2:27">
      <c r="B2445" s="100"/>
      <c r="C2445" s="100"/>
      <c r="D2445" s="100"/>
      <c r="E2445" s="100"/>
      <c r="F2445" s="100"/>
      <c r="G2445" s="100"/>
      <c r="H2445" s="100"/>
      <c r="I2445" s="100"/>
      <c r="J2445" s="100"/>
      <c r="K2445" s="100"/>
      <c r="L2445" s="100"/>
      <c r="M2445" s="100"/>
      <c r="N2445" s="100"/>
      <c r="O2445" s="100"/>
      <c r="P2445" s="100"/>
      <c r="Q2445" s="100"/>
      <c r="R2445" s="100"/>
      <c r="S2445" s="100"/>
      <c r="T2445" s="100"/>
      <c r="U2445" s="100"/>
      <c r="V2445" s="100"/>
      <c r="W2445" s="100"/>
      <c r="X2445" s="100"/>
      <c r="Y2445" s="100"/>
      <c r="Z2445" s="100"/>
      <c r="AA2445" s="100"/>
    </row>
    <row r="2446" spans="2:27">
      <c r="B2446" s="100"/>
      <c r="C2446" s="100"/>
      <c r="D2446" s="100"/>
      <c r="E2446" s="100"/>
      <c r="F2446" s="100"/>
      <c r="G2446" s="100"/>
      <c r="H2446" s="100"/>
      <c r="I2446" s="100"/>
      <c r="J2446" s="100"/>
      <c r="K2446" s="100"/>
      <c r="L2446" s="100"/>
      <c r="M2446" s="100"/>
      <c r="N2446" s="100"/>
      <c r="O2446" s="100"/>
      <c r="P2446" s="100"/>
      <c r="Q2446" s="100"/>
      <c r="R2446" s="100"/>
      <c r="S2446" s="100"/>
      <c r="T2446" s="100"/>
      <c r="U2446" s="100"/>
      <c r="V2446" s="100"/>
      <c r="W2446" s="100"/>
      <c r="X2446" s="100"/>
      <c r="Y2446" s="100"/>
      <c r="Z2446" s="100"/>
      <c r="AA2446" s="100"/>
    </row>
    <row r="2447" spans="2:27">
      <c r="B2447" s="100"/>
      <c r="C2447" s="100"/>
      <c r="D2447" s="100"/>
      <c r="E2447" s="100"/>
      <c r="F2447" s="100"/>
      <c r="G2447" s="100"/>
      <c r="H2447" s="100"/>
      <c r="I2447" s="100"/>
      <c r="J2447" s="100"/>
      <c r="K2447" s="100"/>
      <c r="L2447" s="100"/>
      <c r="M2447" s="100"/>
      <c r="N2447" s="100"/>
      <c r="O2447" s="100"/>
      <c r="P2447" s="100"/>
      <c r="Q2447" s="100"/>
      <c r="R2447" s="100"/>
      <c r="S2447" s="100"/>
      <c r="T2447" s="100"/>
      <c r="U2447" s="100"/>
      <c r="V2447" s="100"/>
      <c r="W2447" s="100"/>
      <c r="X2447" s="100"/>
      <c r="Y2447" s="100"/>
      <c r="Z2447" s="100"/>
      <c r="AA2447" s="100"/>
    </row>
    <row r="2448" spans="2:27">
      <c r="B2448" s="100"/>
      <c r="C2448" s="100"/>
      <c r="D2448" s="100"/>
      <c r="E2448" s="100"/>
      <c r="F2448" s="100"/>
      <c r="G2448" s="100"/>
      <c r="H2448" s="100"/>
      <c r="I2448" s="100"/>
      <c r="J2448" s="100"/>
      <c r="K2448" s="100"/>
      <c r="L2448" s="100"/>
      <c r="M2448" s="100"/>
      <c r="N2448" s="100"/>
      <c r="O2448" s="100"/>
      <c r="P2448" s="100"/>
      <c r="Q2448" s="100"/>
      <c r="R2448" s="100"/>
      <c r="S2448" s="100"/>
      <c r="T2448" s="100"/>
      <c r="U2448" s="100"/>
      <c r="V2448" s="100"/>
      <c r="W2448" s="100"/>
      <c r="X2448" s="100"/>
      <c r="Y2448" s="100"/>
      <c r="Z2448" s="100"/>
      <c r="AA2448" s="100"/>
    </row>
    <row r="2449" spans="2:27">
      <c r="B2449" s="100"/>
      <c r="C2449" s="100"/>
      <c r="D2449" s="100"/>
      <c r="E2449" s="100"/>
      <c r="F2449" s="100"/>
      <c r="G2449" s="100"/>
      <c r="H2449" s="100"/>
      <c r="I2449" s="100"/>
      <c r="J2449" s="100"/>
      <c r="K2449" s="100"/>
      <c r="L2449" s="100"/>
      <c r="M2449" s="100"/>
      <c r="N2449" s="100"/>
      <c r="O2449" s="100"/>
      <c r="P2449" s="100"/>
      <c r="Q2449" s="100"/>
      <c r="R2449" s="100"/>
      <c r="S2449" s="100"/>
      <c r="T2449" s="100"/>
      <c r="U2449" s="100"/>
      <c r="V2449" s="100"/>
      <c r="W2449" s="100"/>
      <c r="X2449" s="100"/>
      <c r="Y2449" s="100"/>
      <c r="Z2449" s="100"/>
      <c r="AA2449" s="100"/>
    </row>
    <row r="2450" spans="2:27">
      <c r="B2450" s="100"/>
      <c r="C2450" s="100"/>
      <c r="D2450" s="100"/>
      <c r="E2450" s="100"/>
      <c r="F2450" s="100"/>
      <c r="G2450" s="100"/>
      <c r="H2450" s="100"/>
      <c r="I2450" s="100"/>
      <c r="J2450" s="100"/>
      <c r="K2450" s="100"/>
      <c r="L2450" s="100"/>
      <c r="M2450" s="100"/>
      <c r="N2450" s="100"/>
      <c r="O2450" s="100"/>
      <c r="P2450" s="100"/>
      <c r="Q2450" s="100"/>
      <c r="R2450" s="100"/>
      <c r="S2450" s="100"/>
      <c r="T2450" s="100"/>
      <c r="U2450" s="100"/>
      <c r="V2450" s="100"/>
      <c r="W2450" s="100"/>
      <c r="X2450" s="100"/>
      <c r="Y2450" s="100"/>
      <c r="Z2450" s="100"/>
      <c r="AA2450" s="100"/>
    </row>
    <row r="2451" spans="2:27">
      <c r="B2451" s="100"/>
      <c r="C2451" s="100"/>
      <c r="D2451" s="100"/>
      <c r="E2451" s="100"/>
      <c r="F2451" s="100"/>
      <c r="G2451" s="100"/>
      <c r="H2451" s="100"/>
      <c r="I2451" s="100"/>
      <c r="J2451" s="100"/>
      <c r="K2451" s="100"/>
      <c r="L2451" s="100"/>
      <c r="M2451" s="100"/>
      <c r="N2451" s="100"/>
      <c r="O2451" s="100"/>
      <c r="P2451" s="100"/>
      <c r="Q2451" s="100"/>
      <c r="R2451" s="100"/>
      <c r="S2451" s="100"/>
      <c r="T2451" s="100"/>
      <c r="U2451" s="100"/>
      <c r="V2451" s="100"/>
      <c r="W2451" s="100"/>
      <c r="X2451" s="100"/>
      <c r="Y2451" s="100"/>
      <c r="Z2451" s="100"/>
      <c r="AA2451" s="100"/>
    </row>
    <row r="2452" spans="2:27">
      <c r="B2452" s="100"/>
      <c r="C2452" s="100"/>
      <c r="D2452" s="100"/>
      <c r="E2452" s="100"/>
      <c r="F2452" s="100"/>
      <c r="G2452" s="100"/>
      <c r="H2452" s="100"/>
      <c r="I2452" s="100"/>
      <c r="J2452" s="100"/>
      <c r="K2452" s="100"/>
      <c r="L2452" s="100"/>
      <c r="M2452" s="100"/>
      <c r="N2452" s="100"/>
      <c r="O2452" s="100"/>
      <c r="P2452" s="100"/>
      <c r="Q2452" s="100"/>
      <c r="R2452" s="100"/>
      <c r="S2452" s="100"/>
      <c r="T2452" s="100"/>
      <c r="U2452" s="100"/>
      <c r="V2452" s="100"/>
      <c r="W2452" s="100"/>
      <c r="X2452" s="100"/>
      <c r="Y2452" s="100"/>
      <c r="Z2452" s="100"/>
      <c r="AA2452" s="100"/>
    </row>
    <row r="2453" spans="2:27">
      <c r="B2453" s="100"/>
      <c r="C2453" s="100"/>
      <c r="D2453" s="100"/>
      <c r="E2453" s="100"/>
      <c r="F2453" s="100"/>
      <c r="G2453" s="100"/>
      <c r="H2453" s="100"/>
      <c r="I2453" s="100"/>
      <c r="J2453" s="100"/>
      <c r="K2453" s="100"/>
      <c r="L2453" s="100"/>
      <c r="M2453" s="100"/>
      <c r="N2453" s="100"/>
      <c r="O2453" s="100"/>
      <c r="P2453" s="100"/>
      <c r="Q2453" s="100"/>
      <c r="R2453" s="100"/>
      <c r="S2453" s="100"/>
      <c r="T2453" s="100"/>
      <c r="U2453" s="100"/>
      <c r="V2453" s="100"/>
      <c r="W2453" s="100"/>
      <c r="X2453" s="100"/>
      <c r="Y2453" s="100"/>
      <c r="Z2453" s="100"/>
      <c r="AA2453" s="100"/>
    </row>
    <row r="2454" spans="2:27">
      <c r="B2454" s="100"/>
      <c r="C2454" s="100"/>
      <c r="D2454" s="100"/>
      <c r="E2454" s="100"/>
      <c r="F2454" s="100"/>
      <c r="G2454" s="100"/>
      <c r="H2454" s="100"/>
      <c r="I2454" s="100"/>
      <c r="J2454" s="100"/>
      <c r="K2454" s="100"/>
      <c r="L2454" s="100"/>
      <c r="M2454" s="100"/>
      <c r="N2454" s="100"/>
      <c r="O2454" s="100"/>
      <c r="P2454" s="100"/>
      <c r="Q2454" s="100"/>
      <c r="R2454" s="100"/>
      <c r="S2454" s="100"/>
      <c r="T2454" s="100"/>
      <c r="U2454" s="100"/>
      <c r="V2454" s="100"/>
      <c r="W2454" s="100"/>
      <c r="X2454" s="100"/>
      <c r="Y2454" s="100"/>
      <c r="Z2454" s="100"/>
      <c r="AA2454" s="100"/>
    </row>
    <row r="2455" spans="2:27">
      <c r="B2455" s="100"/>
      <c r="C2455" s="100"/>
      <c r="D2455" s="100"/>
      <c r="E2455" s="100"/>
      <c r="F2455" s="100"/>
      <c r="G2455" s="100"/>
      <c r="H2455" s="100"/>
      <c r="I2455" s="100"/>
      <c r="J2455" s="100"/>
      <c r="K2455" s="100"/>
      <c r="L2455" s="100"/>
      <c r="M2455" s="100"/>
      <c r="N2455" s="100"/>
      <c r="O2455" s="100"/>
      <c r="P2455" s="100"/>
      <c r="Q2455" s="100"/>
      <c r="R2455" s="100"/>
      <c r="S2455" s="100"/>
      <c r="T2455" s="100"/>
      <c r="U2455" s="100"/>
      <c r="V2455" s="100"/>
      <c r="W2455" s="100"/>
      <c r="X2455" s="100"/>
      <c r="Y2455" s="100"/>
      <c r="Z2455" s="100"/>
      <c r="AA2455" s="100"/>
    </row>
    <row r="2456" spans="2:27">
      <c r="B2456" s="100"/>
      <c r="C2456" s="100"/>
      <c r="D2456" s="100"/>
      <c r="E2456" s="100"/>
      <c r="F2456" s="100"/>
      <c r="G2456" s="100"/>
      <c r="H2456" s="100"/>
      <c r="I2456" s="100"/>
      <c r="J2456" s="100"/>
      <c r="K2456" s="100"/>
      <c r="L2456" s="100"/>
      <c r="M2456" s="100"/>
      <c r="N2456" s="100"/>
      <c r="O2456" s="100"/>
      <c r="P2456" s="100"/>
      <c r="Q2456" s="100"/>
      <c r="R2456" s="100"/>
      <c r="S2456" s="100"/>
      <c r="T2456" s="100"/>
      <c r="U2456" s="100"/>
      <c r="V2456" s="100"/>
      <c r="W2456" s="100"/>
      <c r="X2456" s="100"/>
      <c r="Y2456" s="100"/>
      <c r="Z2456" s="100"/>
      <c r="AA2456" s="100"/>
    </row>
    <row r="2457" spans="2:27">
      <c r="B2457" s="100"/>
      <c r="C2457" s="100"/>
      <c r="D2457" s="100"/>
      <c r="E2457" s="100"/>
      <c r="F2457" s="100"/>
      <c r="G2457" s="100"/>
      <c r="H2457" s="100"/>
      <c r="I2457" s="100"/>
      <c r="J2457" s="100"/>
      <c r="K2457" s="100"/>
      <c r="L2457" s="100"/>
      <c r="M2457" s="100"/>
      <c r="N2457" s="100"/>
      <c r="O2457" s="100"/>
      <c r="P2457" s="100"/>
      <c r="Q2457" s="100"/>
      <c r="R2457" s="100"/>
      <c r="S2457" s="100"/>
      <c r="T2457" s="100"/>
      <c r="U2457" s="100"/>
      <c r="V2457" s="100"/>
      <c r="W2457" s="100"/>
      <c r="X2457" s="100"/>
      <c r="Y2457" s="100"/>
      <c r="Z2457" s="100"/>
      <c r="AA2457" s="100"/>
    </row>
    <row r="2458" spans="2:27">
      <c r="B2458" s="100"/>
      <c r="C2458" s="100"/>
      <c r="D2458" s="100"/>
      <c r="E2458" s="100"/>
      <c r="F2458" s="100"/>
      <c r="G2458" s="100"/>
      <c r="H2458" s="100"/>
      <c r="I2458" s="100"/>
      <c r="J2458" s="100"/>
      <c r="K2458" s="100"/>
      <c r="L2458" s="100"/>
      <c r="M2458" s="100"/>
      <c r="N2458" s="100"/>
      <c r="O2458" s="100"/>
      <c r="P2458" s="100"/>
      <c r="Q2458" s="100"/>
      <c r="R2458" s="100"/>
      <c r="S2458" s="100"/>
      <c r="T2458" s="100"/>
      <c r="U2458" s="100"/>
      <c r="V2458" s="100"/>
      <c r="W2458" s="100"/>
      <c r="X2458" s="100"/>
      <c r="Y2458" s="100"/>
      <c r="Z2458" s="100"/>
      <c r="AA2458" s="100"/>
    </row>
    <row r="2459" spans="2:27">
      <c r="B2459" s="100"/>
      <c r="C2459" s="100"/>
      <c r="D2459" s="100"/>
      <c r="E2459" s="100"/>
      <c r="F2459" s="100"/>
      <c r="G2459" s="100"/>
      <c r="H2459" s="100"/>
      <c r="I2459" s="100"/>
      <c r="J2459" s="100"/>
      <c r="K2459" s="100"/>
      <c r="L2459" s="100"/>
      <c r="M2459" s="100"/>
      <c r="N2459" s="100"/>
      <c r="O2459" s="100"/>
      <c r="P2459" s="100"/>
      <c r="Q2459" s="100"/>
      <c r="R2459" s="100"/>
      <c r="S2459" s="100"/>
      <c r="T2459" s="100"/>
      <c r="U2459" s="100"/>
      <c r="V2459" s="100"/>
      <c r="W2459" s="100"/>
      <c r="X2459" s="100"/>
      <c r="Y2459" s="100"/>
      <c r="Z2459" s="100"/>
      <c r="AA2459" s="100"/>
    </row>
    <row r="2460" spans="2:27">
      <c r="B2460" s="100"/>
      <c r="C2460" s="100"/>
      <c r="D2460" s="100"/>
      <c r="E2460" s="100"/>
      <c r="F2460" s="100"/>
      <c r="G2460" s="100"/>
      <c r="H2460" s="100"/>
      <c r="I2460" s="100"/>
      <c r="J2460" s="100"/>
      <c r="K2460" s="100"/>
      <c r="L2460" s="100"/>
      <c r="M2460" s="100"/>
      <c r="N2460" s="100"/>
      <c r="O2460" s="100"/>
      <c r="P2460" s="100"/>
      <c r="Q2460" s="100"/>
      <c r="R2460" s="100"/>
      <c r="S2460" s="100"/>
      <c r="T2460" s="100"/>
      <c r="U2460" s="100"/>
      <c r="V2460" s="100"/>
      <c r="W2460" s="100"/>
      <c r="X2460" s="100"/>
      <c r="Y2460" s="100"/>
      <c r="Z2460" s="100"/>
      <c r="AA2460" s="100"/>
    </row>
    <row r="2461" spans="2:27">
      <c r="B2461" s="100"/>
      <c r="C2461" s="100"/>
      <c r="D2461" s="100"/>
      <c r="E2461" s="100"/>
      <c r="F2461" s="100"/>
      <c r="G2461" s="100"/>
      <c r="H2461" s="100"/>
      <c r="I2461" s="100"/>
      <c r="J2461" s="100"/>
      <c r="K2461" s="100"/>
      <c r="L2461" s="100"/>
      <c r="M2461" s="100"/>
      <c r="N2461" s="100"/>
      <c r="O2461" s="100"/>
      <c r="P2461" s="100"/>
      <c r="Q2461" s="100"/>
      <c r="R2461" s="100"/>
      <c r="S2461" s="100"/>
      <c r="T2461" s="100"/>
      <c r="U2461" s="100"/>
      <c r="V2461" s="100"/>
      <c r="W2461" s="100"/>
      <c r="X2461" s="100"/>
      <c r="Y2461" s="100"/>
      <c r="Z2461" s="100"/>
      <c r="AA2461" s="100"/>
    </row>
    <row r="2462" spans="2:27">
      <c r="B2462" s="100"/>
      <c r="C2462" s="100"/>
      <c r="D2462" s="100"/>
      <c r="E2462" s="100"/>
      <c r="F2462" s="100"/>
      <c r="G2462" s="100"/>
      <c r="H2462" s="100"/>
      <c r="I2462" s="100"/>
      <c r="J2462" s="100"/>
      <c r="K2462" s="100"/>
      <c r="L2462" s="100"/>
      <c r="M2462" s="100"/>
      <c r="N2462" s="100"/>
      <c r="O2462" s="100"/>
      <c r="P2462" s="100"/>
      <c r="Q2462" s="100"/>
      <c r="R2462" s="100"/>
      <c r="S2462" s="100"/>
      <c r="T2462" s="100"/>
      <c r="U2462" s="100"/>
      <c r="V2462" s="100"/>
      <c r="W2462" s="100"/>
      <c r="X2462" s="100"/>
      <c r="Y2462" s="100"/>
      <c r="Z2462" s="100"/>
      <c r="AA2462" s="100"/>
    </row>
    <row r="2463" spans="2:27">
      <c r="B2463" s="100"/>
      <c r="C2463" s="100"/>
      <c r="D2463" s="100"/>
      <c r="E2463" s="100"/>
      <c r="F2463" s="100"/>
      <c r="G2463" s="100"/>
      <c r="H2463" s="100"/>
      <c r="I2463" s="100"/>
      <c r="J2463" s="100"/>
      <c r="K2463" s="100"/>
      <c r="L2463" s="100"/>
      <c r="M2463" s="100"/>
      <c r="N2463" s="100"/>
      <c r="O2463" s="100"/>
      <c r="P2463" s="100"/>
      <c r="Q2463" s="100"/>
      <c r="R2463" s="100"/>
      <c r="S2463" s="100"/>
      <c r="T2463" s="100"/>
      <c r="U2463" s="100"/>
      <c r="V2463" s="100"/>
      <c r="W2463" s="100"/>
      <c r="X2463" s="100"/>
      <c r="Y2463" s="100"/>
      <c r="Z2463" s="100"/>
      <c r="AA2463" s="100"/>
    </row>
    <row r="2464" spans="2:27">
      <c r="B2464" s="100"/>
      <c r="C2464" s="100"/>
      <c r="D2464" s="100"/>
      <c r="E2464" s="100"/>
      <c r="F2464" s="100"/>
      <c r="G2464" s="100"/>
      <c r="H2464" s="100"/>
      <c r="I2464" s="100"/>
      <c r="J2464" s="100"/>
      <c r="K2464" s="100"/>
      <c r="L2464" s="100"/>
      <c r="M2464" s="100"/>
      <c r="N2464" s="100"/>
      <c r="O2464" s="100"/>
      <c r="P2464" s="100"/>
      <c r="Q2464" s="100"/>
      <c r="R2464" s="100"/>
      <c r="S2464" s="100"/>
      <c r="T2464" s="100"/>
      <c r="U2464" s="100"/>
      <c r="V2464" s="100"/>
      <c r="W2464" s="100"/>
      <c r="X2464" s="100"/>
      <c r="Y2464" s="100"/>
      <c r="Z2464" s="100"/>
      <c r="AA2464" s="100"/>
    </row>
    <row r="2465" spans="2:27">
      <c r="B2465" s="100"/>
      <c r="C2465" s="100"/>
      <c r="D2465" s="100"/>
      <c r="E2465" s="100"/>
      <c r="F2465" s="100"/>
      <c r="G2465" s="100"/>
      <c r="H2465" s="100"/>
      <c r="I2465" s="100"/>
      <c r="J2465" s="100"/>
      <c r="K2465" s="100"/>
      <c r="L2465" s="100"/>
      <c r="M2465" s="100"/>
      <c r="N2465" s="100"/>
      <c r="O2465" s="100"/>
      <c r="P2465" s="100"/>
      <c r="Q2465" s="100"/>
      <c r="R2465" s="100"/>
      <c r="S2465" s="100"/>
      <c r="T2465" s="100"/>
      <c r="U2465" s="100"/>
      <c r="V2465" s="100"/>
      <c r="W2465" s="100"/>
      <c r="X2465" s="100"/>
      <c r="Y2465" s="100"/>
      <c r="Z2465" s="100"/>
      <c r="AA2465" s="100"/>
    </row>
    <row r="2466" spans="2:27">
      <c r="B2466" s="100"/>
      <c r="C2466" s="100"/>
      <c r="D2466" s="100"/>
      <c r="E2466" s="100"/>
      <c r="F2466" s="100"/>
      <c r="G2466" s="100"/>
      <c r="H2466" s="100"/>
      <c r="I2466" s="100"/>
      <c r="J2466" s="100"/>
      <c r="K2466" s="100"/>
      <c r="L2466" s="100"/>
      <c r="M2466" s="100"/>
      <c r="N2466" s="100"/>
      <c r="O2466" s="100"/>
      <c r="P2466" s="100"/>
      <c r="Q2466" s="100"/>
      <c r="R2466" s="100"/>
      <c r="S2466" s="100"/>
      <c r="T2466" s="100"/>
      <c r="U2466" s="100"/>
      <c r="V2466" s="100"/>
      <c r="W2466" s="100"/>
      <c r="X2466" s="100"/>
      <c r="Y2466" s="100"/>
      <c r="Z2466" s="100"/>
      <c r="AA2466" s="100"/>
    </row>
    <row r="2467" spans="2:27">
      <c r="B2467" s="100"/>
      <c r="C2467" s="100"/>
      <c r="D2467" s="100"/>
      <c r="E2467" s="100"/>
      <c r="F2467" s="100"/>
      <c r="G2467" s="100"/>
      <c r="H2467" s="100"/>
      <c r="I2467" s="100"/>
      <c r="J2467" s="100"/>
      <c r="K2467" s="100"/>
      <c r="L2467" s="100"/>
      <c r="M2467" s="100"/>
      <c r="N2467" s="100"/>
      <c r="O2467" s="100"/>
      <c r="P2467" s="100"/>
      <c r="Q2467" s="100"/>
      <c r="R2467" s="100"/>
      <c r="S2467" s="100"/>
      <c r="T2467" s="100"/>
      <c r="U2467" s="100"/>
      <c r="V2467" s="100"/>
      <c r="W2467" s="100"/>
      <c r="X2467" s="100"/>
      <c r="Y2467" s="100"/>
      <c r="Z2467" s="100"/>
      <c r="AA2467" s="100"/>
    </row>
    <row r="2468" spans="2:27">
      <c r="B2468" s="100"/>
      <c r="C2468" s="100"/>
      <c r="D2468" s="100"/>
      <c r="E2468" s="100"/>
      <c r="F2468" s="100"/>
      <c r="G2468" s="100"/>
      <c r="H2468" s="100"/>
      <c r="I2468" s="100"/>
      <c r="J2468" s="100"/>
      <c r="K2468" s="100"/>
      <c r="L2468" s="100"/>
      <c r="M2468" s="100"/>
      <c r="N2468" s="100"/>
      <c r="O2468" s="100"/>
      <c r="P2468" s="100"/>
      <c r="Q2468" s="100"/>
      <c r="R2468" s="100"/>
      <c r="S2468" s="100"/>
      <c r="T2468" s="100"/>
      <c r="U2468" s="100"/>
      <c r="V2468" s="100"/>
      <c r="W2468" s="100"/>
      <c r="X2468" s="100"/>
      <c r="Y2468" s="100"/>
      <c r="Z2468" s="100"/>
      <c r="AA2468" s="100"/>
    </row>
    <row r="2469" spans="2:27">
      <c r="B2469" s="100"/>
      <c r="C2469" s="100"/>
      <c r="D2469" s="100"/>
      <c r="E2469" s="100"/>
      <c r="F2469" s="100"/>
      <c r="G2469" s="100"/>
      <c r="H2469" s="100"/>
      <c r="I2469" s="100"/>
      <c r="J2469" s="100"/>
      <c r="K2469" s="100"/>
      <c r="L2469" s="100"/>
      <c r="M2469" s="100"/>
      <c r="N2469" s="100"/>
      <c r="O2469" s="100"/>
      <c r="P2469" s="100"/>
      <c r="Q2469" s="100"/>
      <c r="R2469" s="100"/>
      <c r="S2469" s="100"/>
      <c r="T2469" s="100"/>
      <c r="U2469" s="100"/>
      <c r="V2469" s="100"/>
      <c r="W2469" s="100"/>
      <c r="X2469" s="100"/>
      <c r="Y2469" s="100"/>
      <c r="Z2469" s="100"/>
      <c r="AA2469" s="100"/>
    </row>
    <row r="2470" spans="2:27">
      <c r="B2470" s="100"/>
      <c r="C2470" s="100"/>
      <c r="D2470" s="100"/>
      <c r="E2470" s="100"/>
      <c r="F2470" s="100"/>
      <c r="G2470" s="100"/>
      <c r="H2470" s="100"/>
      <c r="I2470" s="100"/>
      <c r="J2470" s="100"/>
      <c r="K2470" s="100"/>
      <c r="L2470" s="100"/>
      <c r="M2470" s="100"/>
      <c r="N2470" s="100"/>
      <c r="O2470" s="100"/>
      <c r="P2470" s="100"/>
      <c r="Q2470" s="100"/>
      <c r="R2470" s="100"/>
      <c r="S2470" s="100"/>
      <c r="T2470" s="100"/>
      <c r="U2470" s="100"/>
      <c r="V2470" s="100"/>
      <c r="W2470" s="100"/>
      <c r="X2470" s="100"/>
      <c r="Y2470" s="100"/>
      <c r="Z2470" s="100"/>
      <c r="AA2470" s="100"/>
    </row>
    <row r="2471" spans="2:27">
      <c r="B2471" s="100"/>
      <c r="C2471" s="100"/>
      <c r="D2471" s="100"/>
      <c r="E2471" s="100"/>
      <c r="F2471" s="100"/>
      <c r="G2471" s="100"/>
      <c r="H2471" s="100"/>
      <c r="I2471" s="100"/>
      <c r="J2471" s="100"/>
      <c r="K2471" s="100"/>
      <c r="L2471" s="100"/>
      <c r="M2471" s="100"/>
      <c r="N2471" s="100"/>
      <c r="O2471" s="100"/>
      <c r="P2471" s="100"/>
      <c r="Q2471" s="100"/>
      <c r="R2471" s="100"/>
      <c r="S2471" s="100"/>
      <c r="T2471" s="100"/>
      <c r="U2471" s="100"/>
      <c r="V2471" s="100"/>
      <c r="W2471" s="100"/>
      <c r="X2471" s="100"/>
      <c r="Y2471" s="100"/>
      <c r="Z2471" s="100"/>
      <c r="AA2471" s="100"/>
    </row>
    <row r="2472" spans="2:27">
      <c r="B2472" s="100"/>
      <c r="C2472" s="100"/>
      <c r="D2472" s="100"/>
      <c r="E2472" s="100"/>
      <c r="F2472" s="100"/>
      <c r="G2472" s="100"/>
      <c r="H2472" s="100"/>
      <c r="I2472" s="100"/>
      <c r="J2472" s="100"/>
      <c r="K2472" s="100"/>
      <c r="L2472" s="100"/>
      <c r="M2472" s="100"/>
      <c r="N2472" s="100"/>
      <c r="O2472" s="100"/>
      <c r="P2472" s="100"/>
      <c r="Q2472" s="100"/>
      <c r="R2472" s="100"/>
      <c r="S2472" s="100"/>
      <c r="T2472" s="100"/>
      <c r="U2472" s="100"/>
      <c r="V2472" s="100"/>
      <c r="W2472" s="100"/>
      <c r="X2472" s="100"/>
      <c r="Y2472" s="100"/>
      <c r="Z2472" s="100"/>
      <c r="AA2472" s="100"/>
    </row>
    <row r="2473" spans="2:27">
      <c r="B2473" s="100"/>
      <c r="C2473" s="100"/>
      <c r="D2473" s="100"/>
      <c r="E2473" s="100"/>
      <c r="F2473" s="100"/>
      <c r="G2473" s="100"/>
      <c r="H2473" s="100"/>
      <c r="I2473" s="100"/>
      <c r="J2473" s="100"/>
      <c r="K2473" s="100"/>
      <c r="L2473" s="100"/>
      <c r="M2473" s="100"/>
      <c r="N2473" s="100"/>
      <c r="O2473" s="100"/>
      <c r="P2473" s="100"/>
      <c r="Q2473" s="100"/>
      <c r="R2473" s="100"/>
      <c r="S2473" s="100"/>
      <c r="T2473" s="100"/>
      <c r="U2473" s="100"/>
      <c r="V2473" s="100"/>
      <c r="W2473" s="100"/>
      <c r="X2473" s="100"/>
      <c r="Y2473" s="100"/>
      <c r="Z2473" s="100"/>
      <c r="AA2473" s="100"/>
    </row>
    <row r="2474" spans="2:27">
      <c r="B2474" s="100"/>
      <c r="C2474" s="100"/>
      <c r="D2474" s="100"/>
      <c r="E2474" s="100"/>
      <c r="F2474" s="100"/>
      <c r="G2474" s="100"/>
      <c r="H2474" s="100"/>
      <c r="I2474" s="100"/>
      <c r="J2474" s="100"/>
      <c r="K2474" s="100"/>
      <c r="L2474" s="100"/>
      <c r="M2474" s="100"/>
      <c r="N2474" s="100"/>
      <c r="O2474" s="100"/>
      <c r="P2474" s="100"/>
      <c r="Q2474" s="100"/>
      <c r="R2474" s="100"/>
      <c r="S2474" s="100"/>
      <c r="T2474" s="100"/>
      <c r="U2474" s="100"/>
      <c r="V2474" s="100"/>
      <c r="W2474" s="100"/>
      <c r="X2474" s="100"/>
      <c r="Y2474" s="100"/>
      <c r="Z2474" s="100"/>
      <c r="AA2474" s="100"/>
    </row>
    <row r="2475" spans="2:27">
      <c r="B2475" s="100"/>
      <c r="C2475" s="100"/>
      <c r="D2475" s="100"/>
      <c r="E2475" s="100"/>
      <c r="F2475" s="100"/>
      <c r="G2475" s="100"/>
      <c r="H2475" s="100"/>
      <c r="I2475" s="100"/>
      <c r="J2475" s="100"/>
      <c r="K2475" s="100"/>
      <c r="L2475" s="100"/>
      <c r="M2475" s="100"/>
      <c r="N2475" s="100"/>
      <c r="O2475" s="100"/>
      <c r="P2475" s="100"/>
      <c r="Q2475" s="100"/>
      <c r="R2475" s="100"/>
      <c r="S2475" s="100"/>
      <c r="T2475" s="100"/>
      <c r="U2475" s="100"/>
      <c r="V2475" s="100"/>
      <c r="W2475" s="100"/>
      <c r="X2475" s="100"/>
      <c r="Y2475" s="100"/>
      <c r="Z2475" s="100"/>
      <c r="AA2475" s="100"/>
    </row>
    <row r="2476" spans="2:27">
      <c r="B2476" s="100"/>
      <c r="C2476" s="100"/>
      <c r="D2476" s="100"/>
      <c r="E2476" s="100"/>
      <c r="F2476" s="100"/>
      <c r="G2476" s="100"/>
      <c r="H2476" s="100"/>
      <c r="I2476" s="100"/>
      <c r="J2476" s="100"/>
      <c r="K2476" s="100"/>
      <c r="L2476" s="100"/>
      <c r="M2476" s="100"/>
      <c r="N2476" s="100"/>
      <c r="O2476" s="100"/>
      <c r="P2476" s="100"/>
      <c r="Q2476" s="100"/>
      <c r="R2476" s="100"/>
      <c r="S2476" s="100"/>
      <c r="T2476" s="100"/>
      <c r="U2476" s="100"/>
      <c r="V2476" s="100"/>
      <c r="W2476" s="100"/>
      <c r="X2476" s="100"/>
      <c r="Y2476" s="100"/>
      <c r="Z2476" s="100"/>
      <c r="AA2476" s="100"/>
    </row>
    <row r="2477" spans="2:27">
      <c r="B2477" s="100"/>
      <c r="C2477" s="100"/>
      <c r="D2477" s="100"/>
      <c r="E2477" s="100"/>
      <c r="F2477" s="100"/>
      <c r="G2477" s="100"/>
      <c r="H2477" s="100"/>
      <c r="I2477" s="100"/>
      <c r="J2477" s="100"/>
      <c r="K2477" s="100"/>
      <c r="L2477" s="100"/>
      <c r="M2477" s="100"/>
      <c r="N2477" s="100"/>
      <c r="O2477" s="100"/>
      <c r="P2477" s="100"/>
      <c r="Q2477" s="100"/>
      <c r="R2477" s="100"/>
      <c r="S2477" s="100"/>
      <c r="T2477" s="100"/>
      <c r="U2477" s="100"/>
      <c r="V2477" s="100"/>
      <c r="W2477" s="100"/>
      <c r="X2477" s="100"/>
      <c r="Y2477" s="100"/>
      <c r="Z2477" s="100"/>
      <c r="AA2477" s="100"/>
    </row>
    <row r="2478" spans="2:27">
      <c r="B2478" s="100"/>
      <c r="C2478" s="100"/>
      <c r="D2478" s="100"/>
      <c r="E2478" s="100"/>
      <c r="F2478" s="100"/>
      <c r="G2478" s="100"/>
      <c r="H2478" s="100"/>
      <c r="I2478" s="100"/>
      <c r="J2478" s="100"/>
      <c r="K2478" s="100"/>
      <c r="L2478" s="100"/>
      <c r="M2478" s="100"/>
      <c r="N2478" s="100"/>
      <c r="O2478" s="100"/>
      <c r="P2478" s="100"/>
      <c r="Q2478" s="100"/>
      <c r="R2478" s="100"/>
      <c r="S2478" s="100"/>
      <c r="T2478" s="100"/>
      <c r="U2478" s="100"/>
      <c r="V2478" s="100"/>
      <c r="W2478" s="100"/>
      <c r="X2478" s="100"/>
      <c r="Y2478" s="100"/>
      <c r="Z2478" s="100"/>
      <c r="AA2478" s="100"/>
    </row>
    <row r="2479" spans="2:27">
      <c r="B2479" s="100"/>
      <c r="C2479" s="100"/>
      <c r="D2479" s="100"/>
      <c r="E2479" s="100"/>
      <c r="F2479" s="100"/>
      <c r="G2479" s="100"/>
      <c r="H2479" s="100"/>
      <c r="I2479" s="100"/>
      <c r="J2479" s="100"/>
      <c r="K2479" s="100"/>
      <c r="L2479" s="100"/>
      <c r="M2479" s="100"/>
      <c r="N2479" s="100"/>
      <c r="O2479" s="100"/>
      <c r="P2479" s="100"/>
      <c r="Q2479" s="100"/>
      <c r="R2479" s="100"/>
      <c r="S2479" s="100"/>
      <c r="T2479" s="100"/>
      <c r="U2479" s="100"/>
      <c r="V2479" s="100"/>
      <c r="W2479" s="100"/>
      <c r="X2479" s="100"/>
      <c r="Y2479" s="100"/>
      <c r="Z2479" s="100"/>
      <c r="AA2479" s="100"/>
    </row>
    <row r="2480" spans="2:27">
      <c r="B2480" s="100"/>
      <c r="C2480" s="100"/>
      <c r="D2480" s="100"/>
      <c r="E2480" s="100"/>
      <c r="F2480" s="100"/>
      <c r="G2480" s="100"/>
      <c r="H2480" s="100"/>
      <c r="I2480" s="100"/>
      <c r="J2480" s="100"/>
      <c r="K2480" s="100"/>
      <c r="L2480" s="100"/>
      <c r="M2480" s="100"/>
      <c r="N2480" s="100"/>
      <c r="O2480" s="100"/>
      <c r="P2480" s="100"/>
      <c r="Q2480" s="100"/>
      <c r="R2480" s="100"/>
      <c r="S2480" s="100"/>
      <c r="T2480" s="100"/>
      <c r="U2480" s="100"/>
      <c r="V2480" s="100"/>
      <c r="W2480" s="100"/>
      <c r="X2480" s="100"/>
      <c r="Y2480" s="100"/>
      <c r="Z2480" s="100"/>
      <c r="AA2480" s="100"/>
    </row>
    <row r="2481" spans="2:27">
      <c r="B2481" s="100"/>
      <c r="C2481" s="100"/>
      <c r="D2481" s="100"/>
      <c r="E2481" s="100"/>
      <c r="F2481" s="100"/>
      <c r="G2481" s="100"/>
      <c r="H2481" s="100"/>
      <c r="I2481" s="100"/>
      <c r="J2481" s="100"/>
      <c r="K2481" s="100"/>
      <c r="L2481" s="100"/>
      <c r="M2481" s="100"/>
      <c r="N2481" s="100"/>
      <c r="O2481" s="100"/>
      <c r="P2481" s="100"/>
      <c r="Q2481" s="100"/>
      <c r="R2481" s="100"/>
      <c r="S2481" s="100"/>
      <c r="T2481" s="100"/>
      <c r="U2481" s="100"/>
      <c r="V2481" s="100"/>
      <c r="W2481" s="100"/>
      <c r="X2481" s="100"/>
      <c r="Y2481" s="100"/>
      <c r="Z2481" s="100"/>
      <c r="AA2481" s="100"/>
    </row>
    <row r="2482" spans="2:27">
      <c r="B2482" s="100"/>
      <c r="C2482" s="100"/>
      <c r="D2482" s="100"/>
      <c r="E2482" s="100"/>
      <c r="F2482" s="100"/>
      <c r="G2482" s="100"/>
      <c r="H2482" s="100"/>
      <c r="I2482" s="100"/>
      <c r="J2482" s="100"/>
      <c r="K2482" s="100"/>
      <c r="L2482" s="100"/>
      <c r="M2482" s="100"/>
      <c r="N2482" s="100"/>
      <c r="O2482" s="100"/>
      <c r="P2482" s="100"/>
      <c r="Q2482" s="100"/>
      <c r="R2482" s="100"/>
      <c r="S2482" s="100"/>
      <c r="T2482" s="100"/>
      <c r="U2482" s="100"/>
      <c r="V2482" s="100"/>
      <c r="W2482" s="100"/>
      <c r="X2482" s="100"/>
      <c r="Y2482" s="100"/>
      <c r="Z2482" s="100"/>
      <c r="AA2482" s="100"/>
    </row>
    <row r="2483" spans="2:27">
      <c r="B2483" s="100"/>
      <c r="C2483" s="100"/>
      <c r="D2483" s="100"/>
      <c r="E2483" s="100"/>
      <c r="F2483" s="100"/>
      <c r="G2483" s="100"/>
      <c r="H2483" s="100"/>
      <c r="I2483" s="100"/>
      <c r="J2483" s="100"/>
      <c r="K2483" s="100"/>
      <c r="L2483" s="100"/>
      <c r="M2483" s="100"/>
      <c r="N2483" s="100"/>
      <c r="O2483" s="100"/>
      <c r="P2483" s="100"/>
      <c r="Q2483" s="100"/>
      <c r="R2483" s="100"/>
      <c r="S2483" s="100"/>
      <c r="T2483" s="100"/>
      <c r="U2483" s="100"/>
      <c r="V2483" s="100"/>
      <c r="W2483" s="100"/>
      <c r="X2483" s="100"/>
      <c r="Y2483" s="100"/>
      <c r="Z2483" s="100"/>
      <c r="AA2483" s="100"/>
    </row>
    <row r="2484" spans="2:27">
      <c r="B2484" s="100"/>
      <c r="C2484" s="100"/>
      <c r="D2484" s="100"/>
      <c r="E2484" s="100"/>
      <c r="F2484" s="100"/>
      <c r="G2484" s="100"/>
      <c r="H2484" s="100"/>
      <c r="I2484" s="100"/>
      <c r="J2484" s="100"/>
      <c r="K2484" s="100"/>
      <c r="L2484" s="100"/>
      <c r="M2484" s="100"/>
      <c r="N2484" s="100"/>
      <c r="O2484" s="100"/>
      <c r="P2484" s="100"/>
      <c r="Q2484" s="100"/>
      <c r="R2484" s="100"/>
      <c r="S2484" s="100"/>
      <c r="T2484" s="100"/>
      <c r="U2484" s="100"/>
      <c r="V2484" s="100"/>
      <c r="W2484" s="100"/>
      <c r="X2484" s="100"/>
      <c r="Y2484" s="100"/>
      <c r="Z2484" s="100"/>
      <c r="AA2484" s="100"/>
    </row>
    <row r="2485" spans="2:27">
      <c r="B2485" s="100"/>
      <c r="C2485" s="100"/>
      <c r="D2485" s="100"/>
      <c r="E2485" s="100"/>
      <c r="F2485" s="100"/>
      <c r="G2485" s="100"/>
      <c r="H2485" s="100"/>
      <c r="I2485" s="100"/>
      <c r="J2485" s="100"/>
      <c r="K2485" s="100"/>
      <c r="L2485" s="100"/>
      <c r="M2485" s="100"/>
      <c r="N2485" s="100"/>
      <c r="O2485" s="100"/>
      <c r="P2485" s="100"/>
      <c r="Q2485" s="100"/>
      <c r="R2485" s="100"/>
      <c r="S2485" s="100"/>
      <c r="T2485" s="100"/>
      <c r="U2485" s="100"/>
      <c r="V2485" s="100"/>
      <c r="W2485" s="100"/>
      <c r="X2485" s="100"/>
      <c r="Y2485" s="100"/>
      <c r="Z2485" s="100"/>
      <c r="AA2485" s="100"/>
    </row>
    <row r="2486" spans="2:27">
      <c r="B2486" s="100"/>
      <c r="C2486" s="100"/>
      <c r="D2486" s="100"/>
      <c r="E2486" s="100"/>
      <c r="F2486" s="100"/>
      <c r="G2486" s="100"/>
      <c r="H2486" s="100"/>
      <c r="I2486" s="100"/>
      <c r="J2486" s="100"/>
      <c r="K2486" s="100"/>
      <c r="L2486" s="100"/>
      <c r="M2486" s="100"/>
      <c r="N2486" s="100"/>
      <c r="O2486" s="100"/>
      <c r="P2486" s="100"/>
      <c r="Q2486" s="100"/>
      <c r="R2486" s="100"/>
      <c r="S2486" s="100"/>
      <c r="T2486" s="100"/>
      <c r="U2486" s="100"/>
      <c r="V2486" s="100"/>
      <c r="W2486" s="100"/>
      <c r="X2486" s="100"/>
      <c r="Y2486" s="100"/>
      <c r="Z2486" s="100"/>
      <c r="AA2486" s="100"/>
    </row>
    <row r="2487" spans="2:27">
      <c r="B2487" s="100"/>
      <c r="C2487" s="100"/>
      <c r="D2487" s="100"/>
      <c r="E2487" s="100"/>
      <c r="F2487" s="100"/>
      <c r="G2487" s="100"/>
      <c r="H2487" s="100"/>
      <c r="I2487" s="100"/>
      <c r="J2487" s="100"/>
      <c r="K2487" s="100"/>
      <c r="L2487" s="100"/>
      <c r="M2487" s="100"/>
      <c r="N2487" s="100"/>
      <c r="O2487" s="100"/>
      <c r="P2487" s="100"/>
      <c r="Q2487" s="100"/>
      <c r="R2487" s="100"/>
      <c r="S2487" s="100"/>
      <c r="T2487" s="100"/>
      <c r="U2487" s="100"/>
      <c r="V2487" s="100"/>
      <c r="W2487" s="100"/>
      <c r="X2487" s="100"/>
      <c r="Y2487" s="100"/>
      <c r="Z2487" s="100"/>
      <c r="AA2487" s="100"/>
    </row>
    <row r="2488" spans="2:27">
      <c r="B2488" s="100"/>
      <c r="C2488" s="100"/>
      <c r="D2488" s="100"/>
      <c r="E2488" s="100"/>
      <c r="F2488" s="100"/>
      <c r="G2488" s="100"/>
      <c r="H2488" s="100"/>
      <c r="I2488" s="100"/>
      <c r="J2488" s="100"/>
      <c r="K2488" s="100"/>
      <c r="L2488" s="100"/>
      <c r="M2488" s="100"/>
      <c r="N2488" s="100"/>
      <c r="O2488" s="100"/>
      <c r="P2488" s="100"/>
      <c r="Q2488" s="100"/>
      <c r="R2488" s="100"/>
      <c r="S2488" s="100"/>
      <c r="T2488" s="100"/>
      <c r="U2488" s="100"/>
      <c r="V2488" s="100"/>
      <c r="W2488" s="100"/>
      <c r="X2488" s="100"/>
      <c r="Y2488" s="100"/>
      <c r="Z2488" s="100"/>
      <c r="AA2488" s="100"/>
    </row>
    <row r="2489" spans="2:27">
      <c r="B2489" s="100"/>
      <c r="C2489" s="100"/>
      <c r="D2489" s="100"/>
      <c r="E2489" s="100"/>
      <c r="F2489" s="100"/>
      <c r="G2489" s="100"/>
      <c r="H2489" s="100"/>
      <c r="I2489" s="100"/>
      <c r="J2489" s="100"/>
      <c r="K2489" s="100"/>
      <c r="L2489" s="100"/>
      <c r="M2489" s="100"/>
      <c r="N2489" s="100"/>
      <c r="O2489" s="100"/>
      <c r="P2489" s="100"/>
      <c r="Q2489" s="100"/>
      <c r="R2489" s="100"/>
      <c r="S2489" s="100"/>
      <c r="T2489" s="100"/>
      <c r="U2489" s="100"/>
      <c r="V2489" s="100"/>
      <c r="W2489" s="100"/>
      <c r="X2489" s="100"/>
      <c r="Y2489" s="100"/>
      <c r="Z2489" s="100"/>
      <c r="AA2489" s="100"/>
    </row>
    <row r="2490" spans="2:27">
      <c r="B2490" s="100"/>
      <c r="C2490" s="100"/>
      <c r="D2490" s="100"/>
      <c r="E2490" s="100"/>
      <c r="F2490" s="100"/>
      <c r="G2490" s="100"/>
      <c r="H2490" s="100"/>
      <c r="I2490" s="100"/>
      <c r="J2490" s="100"/>
      <c r="K2490" s="100"/>
      <c r="L2490" s="100"/>
      <c r="M2490" s="100"/>
      <c r="N2490" s="100"/>
      <c r="O2490" s="100"/>
      <c r="P2490" s="100"/>
      <c r="Q2490" s="100"/>
      <c r="R2490" s="100"/>
      <c r="S2490" s="100"/>
      <c r="T2490" s="100"/>
      <c r="U2490" s="100"/>
      <c r="V2490" s="100"/>
      <c r="W2490" s="100"/>
      <c r="X2490" s="100"/>
      <c r="Y2490" s="100"/>
      <c r="Z2490" s="100"/>
      <c r="AA2490" s="100"/>
    </row>
    <row r="2491" spans="2:27">
      <c r="B2491" s="100"/>
      <c r="C2491" s="100"/>
      <c r="D2491" s="100"/>
      <c r="E2491" s="100"/>
      <c r="F2491" s="100"/>
      <c r="G2491" s="100"/>
      <c r="H2491" s="100"/>
      <c r="I2491" s="100"/>
      <c r="J2491" s="100"/>
      <c r="K2491" s="100"/>
      <c r="L2491" s="100"/>
      <c r="M2491" s="100"/>
      <c r="N2491" s="100"/>
      <c r="O2491" s="100"/>
      <c r="P2491" s="100"/>
      <c r="Q2491" s="100"/>
      <c r="R2491" s="100"/>
      <c r="S2491" s="100"/>
      <c r="T2491" s="100"/>
      <c r="U2491" s="100"/>
      <c r="V2491" s="100"/>
      <c r="W2491" s="100"/>
      <c r="X2491" s="100"/>
      <c r="Y2491" s="100"/>
      <c r="Z2491" s="100"/>
      <c r="AA2491" s="100"/>
    </row>
    <row r="2492" spans="2:27">
      <c r="B2492" s="100"/>
      <c r="C2492" s="100"/>
      <c r="D2492" s="100"/>
      <c r="E2492" s="100"/>
      <c r="F2492" s="100"/>
      <c r="G2492" s="100"/>
      <c r="H2492" s="100"/>
      <c r="I2492" s="100"/>
      <c r="J2492" s="100"/>
      <c r="K2492" s="100"/>
      <c r="L2492" s="100"/>
      <c r="M2492" s="100"/>
      <c r="N2492" s="100"/>
      <c r="O2492" s="100"/>
      <c r="P2492" s="100"/>
      <c r="Q2492" s="100"/>
      <c r="R2492" s="100"/>
      <c r="S2492" s="100"/>
      <c r="T2492" s="100"/>
      <c r="U2492" s="100"/>
      <c r="V2492" s="100"/>
      <c r="W2492" s="100"/>
      <c r="X2492" s="100"/>
      <c r="Y2492" s="100"/>
      <c r="Z2492" s="100"/>
      <c r="AA2492" s="100"/>
    </row>
    <row r="2493" spans="2:27">
      <c r="B2493" s="100"/>
      <c r="C2493" s="100"/>
      <c r="D2493" s="100"/>
      <c r="E2493" s="100"/>
      <c r="F2493" s="100"/>
      <c r="G2493" s="100"/>
      <c r="H2493" s="100"/>
      <c r="I2493" s="100"/>
      <c r="J2493" s="100"/>
      <c r="K2493" s="100"/>
      <c r="L2493" s="100"/>
      <c r="M2493" s="100"/>
      <c r="N2493" s="100"/>
      <c r="O2493" s="100"/>
      <c r="P2493" s="100"/>
      <c r="Q2493" s="100"/>
      <c r="R2493" s="100"/>
      <c r="S2493" s="100"/>
      <c r="T2493" s="100"/>
      <c r="U2493" s="100"/>
      <c r="V2493" s="100"/>
      <c r="W2493" s="100"/>
      <c r="X2493" s="100"/>
      <c r="Y2493" s="100"/>
      <c r="Z2493" s="100"/>
      <c r="AA2493" s="100"/>
    </row>
    <row r="2494" spans="2:27">
      <c r="B2494" s="100"/>
      <c r="C2494" s="100"/>
      <c r="D2494" s="100"/>
      <c r="E2494" s="100"/>
      <c r="F2494" s="100"/>
      <c r="G2494" s="100"/>
      <c r="H2494" s="100"/>
      <c r="I2494" s="100"/>
      <c r="J2494" s="100"/>
      <c r="K2494" s="100"/>
      <c r="L2494" s="100"/>
      <c r="M2494" s="100"/>
      <c r="N2494" s="100"/>
      <c r="O2494" s="100"/>
      <c r="P2494" s="100"/>
      <c r="Q2494" s="100"/>
      <c r="R2494" s="100"/>
      <c r="S2494" s="100"/>
      <c r="T2494" s="100"/>
      <c r="U2494" s="100"/>
      <c r="V2494" s="100"/>
      <c r="W2494" s="100"/>
      <c r="X2494" s="100"/>
      <c r="Y2494" s="100"/>
      <c r="Z2494" s="100"/>
      <c r="AA2494" s="100"/>
    </row>
    <row r="2495" spans="2:27">
      <c r="B2495" s="100"/>
      <c r="C2495" s="100"/>
      <c r="D2495" s="100"/>
      <c r="E2495" s="100"/>
      <c r="F2495" s="100"/>
      <c r="G2495" s="100"/>
      <c r="H2495" s="100"/>
      <c r="I2495" s="100"/>
      <c r="J2495" s="100"/>
      <c r="K2495" s="100"/>
      <c r="L2495" s="100"/>
      <c r="M2495" s="100"/>
      <c r="N2495" s="100"/>
      <c r="O2495" s="100"/>
      <c r="P2495" s="100"/>
      <c r="Q2495" s="100"/>
      <c r="R2495" s="100"/>
      <c r="S2495" s="100"/>
      <c r="T2495" s="100"/>
      <c r="U2495" s="100"/>
      <c r="V2495" s="100"/>
      <c r="W2495" s="100"/>
      <c r="X2495" s="100"/>
      <c r="Y2495" s="100"/>
      <c r="Z2495" s="100"/>
      <c r="AA2495" s="100"/>
    </row>
    <row r="2496" spans="2:27">
      <c r="B2496" s="100"/>
      <c r="C2496" s="100"/>
      <c r="D2496" s="100"/>
      <c r="E2496" s="100"/>
      <c r="F2496" s="100"/>
      <c r="G2496" s="100"/>
      <c r="H2496" s="100"/>
      <c r="I2496" s="100"/>
      <c r="J2496" s="100"/>
      <c r="K2496" s="100"/>
      <c r="L2496" s="100"/>
      <c r="M2496" s="100"/>
      <c r="N2496" s="100"/>
      <c r="O2496" s="100"/>
      <c r="P2496" s="100"/>
      <c r="Q2496" s="100"/>
      <c r="R2496" s="100"/>
      <c r="S2496" s="100"/>
      <c r="T2496" s="100"/>
      <c r="U2496" s="100"/>
      <c r="V2496" s="100"/>
      <c r="W2496" s="100"/>
      <c r="X2496" s="100"/>
      <c r="Y2496" s="100"/>
      <c r="Z2496" s="100"/>
      <c r="AA2496" s="100"/>
    </row>
    <row r="2497" spans="2:27">
      <c r="B2497" s="100"/>
      <c r="C2497" s="100"/>
      <c r="D2497" s="100"/>
      <c r="E2497" s="100"/>
      <c r="F2497" s="100"/>
      <c r="G2497" s="100"/>
      <c r="H2497" s="100"/>
      <c r="I2497" s="100"/>
      <c r="J2497" s="100"/>
      <c r="K2497" s="100"/>
      <c r="L2497" s="100"/>
      <c r="M2497" s="100"/>
      <c r="N2497" s="100"/>
      <c r="O2497" s="100"/>
      <c r="P2497" s="100"/>
      <c r="Q2497" s="100"/>
      <c r="R2497" s="100"/>
      <c r="S2497" s="100"/>
      <c r="T2497" s="100"/>
      <c r="U2497" s="100"/>
      <c r="V2497" s="100"/>
      <c r="W2497" s="100"/>
      <c r="X2497" s="100"/>
      <c r="Y2497" s="100"/>
      <c r="Z2497" s="100"/>
      <c r="AA2497" s="100"/>
    </row>
    <row r="2498" spans="2:27">
      <c r="B2498" s="100"/>
      <c r="C2498" s="100"/>
      <c r="D2498" s="100"/>
      <c r="E2498" s="100"/>
      <c r="F2498" s="100"/>
      <c r="G2498" s="100"/>
      <c r="H2498" s="100"/>
      <c r="I2498" s="100"/>
      <c r="J2498" s="100"/>
      <c r="K2498" s="100"/>
      <c r="L2498" s="100"/>
      <c r="M2498" s="100"/>
      <c r="N2498" s="100"/>
      <c r="O2498" s="100"/>
      <c r="P2498" s="100"/>
      <c r="Q2498" s="100"/>
      <c r="R2498" s="100"/>
      <c r="S2498" s="100"/>
      <c r="T2498" s="100"/>
      <c r="U2498" s="100"/>
      <c r="V2498" s="100"/>
      <c r="W2498" s="100"/>
      <c r="X2498" s="100"/>
      <c r="Y2498" s="100"/>
      <c r="Z2498" s="100"/>
      <c r="AA2498" s="100"/>
    </row>
    <row r="2499" spans="2:27">
      <c r="B2499" s="100"/>
      <c r="C2499" s="100"/>
      <c r="D2499" s="100"/>
      <c r="E2499" s="100"/>
      <c r="F2499" s="100"/>
      <c r="G2499" s="100"/>
      <c r="H2499" s="100"/>
      <c r="I2499" s="100"/>
      <c r="J2499" s="100"/>
      <c r="K2499" s="100"/>
      <c r="L2499" s="100"/>
      <c r="M2499" s="100"/>
      <c r="N2499" s="100"/>
      <c r="O2499" s="100"/>
      <c r="P2499" s="100"/>
      <c r="Q2499" s="100"/>
      <c r="R2499" s="100"/>
      <c r="S2499" s="100"/>
      <c r="T2499" s="100"/>
      <c r="U2499" s="100"/>
      <c r="V2499" s="100"/>
      <c r="W2499" s="100"/>
      <c r="X2499" s="100"/>
      <c r="Y2499" s="100"/>
      <c r="Z2499" s="100"/>
      <c r="AA2499" s="100"/>
    </row>
    <row r="2500" spans="2:27">
      <c r="B2500" s="100"/>
      <c r="C2500" s="100"/>
      <c r="D2500" s="100"/>
      <c r="E2500" s="100"/>
      <c r="F2500" s="100"/>
      <c r="G2500" s="100"/>
      <c r="H2500" s="100"/>
      <c r="I2500" s="100"/>
      <c r="J2500" s="100"/>
      <c r="K2500" s="100"/>
      <c r="L2500" s="100"/>
      <c r="M2500" s="100"/>
      <c r="N2500" s="100"/>
      <c r="O2500" s="100"/>
      <c r="P2500" s="100"/>
      <c r="Q2500" s="100"/>
      <c r="R2500" s="100"/>
      <c r="S2500" s="100"/>
      <c r="T2500" s="100"/>
      <c r="U2500" s="100"/>
      <c r="V2500" s="100"/>
      <c r="W2500" s="100"/>
      <c r="X2500" s="100"/>
      <c r="Y2500" s="100"/>
      <c r="Z2500" s="100"/>
      <c r="AA2500" s="100"/>
    </row>
    <row r="2501" spans="2:27">
      <c r="B2501" s="100"/>
      <c r="C2501" s="100"/>
      <c r="D2501" s="100"/>
      <c r="E2501" s="100"/>
      <c r="F2501" s="100"/>
      <c r="G2501" s="100"/>
      <c r="H2501" s="100"/>
      <c r="I2501" s="100"/>
      <c r="J2501" s="100"/>
      <c r="K2501" s="100"/>
      <c r="L2501" s="100"/>
      <c r="M2501" s="100"/>
      <c r="N2501" s="100"/>
      <c r="O2501" s="100"/>
      <c r="P2501" s="100"/>
      <c r="Q2501" s="100"/>
      <c r="R2501" s="100"/>
      <c r="S2501" s="100"/>
      <c r="T2501" s="100"/>
      <c r="U2501" s="100"/>
      <c r="V2501" s="100"/>
      <c r="W2501" s="100"/>
      <c r="X2501" s="100"/>
      <c r="Y2501" s="100"/>
      <c r="Z2501" s="100"/>
      <c r="AA2501" s="100"/>
    </row>
    <row r="2502" spans="2:27">
      <c r="B2502" s="100"/>
      <c r="C2502" s="100"/>
      <c r="D2502" s="100"/>
      <c r="E2502" s="100"/>
      <c r="F2502" s="100"/>
      <c r="G2502" s="100"/>
      <c r="H2502" s="100"/>
      <c r="I2502" s="100"/>
      <c r="J2502" s="100"/>
      <c r="K2502" s="100"/>
      <c r="L2502" s="100"/>
      <c r="M2502" s="100"/>
      <c r="N2502" s="100"/>
      <c r="O2502" s="100"/>
      <c r="P2502" s="100"/>
      <c r="Q2502" s="100"/>
      <c r="R2502" s="100"/>
      <c r="S2502" s="100"/>
      <c r="T2502" s="100"/>
      <c r="U2502" s="100"/>
      <c r="V2502" s="100"/>
      <c r="W2502" s="100"/>
      <c r="X2502" s="100"/>
      <c r="Y2502" s="100"/>
      <c r="Z2502" s="100"/>
      <c r="AA2502" s="100"/>
    </row>
    <row r="2503" spans="2:27">
      <c r="B2503" s="100"/>
      <c r="C2503" s="100"/>
      <c r="D2503" s="100"/>
      <c r="E2503" s="100"/>
      <c r="F2503" s="100"/>
      <c r="G2503" s="100"/>
      <c r="H2503" s="100"/>
      <c r="I2503" s="100"/>
      <c r="J2503" s="100"/>
      <c r="K2503" s="100"/>
      <c r="L2503" s="100"/>
      <c r="M2503" s="100"/>
      <c r="N2503" s="100"/>
      <c r="O2503" s="100"/>
      <c r="P2503" s="100"/>
      <c r="Q2503" s="100"/>
      <c r="R2503" s="100"/>
      <c r="S2503" s="100"/>
      <c r="T2503" s="100"/>
      <c r="U2503" s="100"/>
      <c r="V2503" s="100"/>
      <c r="W2503" s="100"/>
      <c r="X2503" s="100"/>
      <c r="Y2503" s="100"/>
      <c r="Z2503" s="100"/>
      <c r="AA2503" s="100"/>
    </row>
    <row r="2504" spans="2:27">
      <c r="B2504" s="100"/>
      <c r="C2504" s="100"/>
      <c r="D2504" s="100"/>
      <c r="E2504" s="100"/>
      <c r="F2504" s="100"/>
      <c r="G2504" s="100"/>
      <c r="H2504" s="100"/>
      <c r="I2504" s="100"/>
      <c r="J2504" s="100"/>
      <c r="K2504" s="100"/>
      <c r="L2504" s="100"/>
      <c r="M2504" s="100"/>
      <c r="N2504" s="100"/>
      <c r="O2504" s="100"/>
      <c r="P2504" s="100"/>
      <c r="Q2504" s="100"/>
      <c r="R2504" s="100"/>
      <c r="S2504" s="100"/>
      <c r="T2504" s="100"/>
      <c r="U2504" s="100"/>
      <c r="V2504" s="100"/>
      <c r="W2504" s="100"/>
      <c r="X2504" s="100"/>
      <c r="Y2504" s="100"/>
      <c r="Z2504" s="100"/>
      <c r="AA2504" s="100"/>
    </row>
    <row r="2505" spans="2:27">
      <c r="B2505" s="100"/>
      <c r="C2505" s="100"/>
      <c r="D2505" s="100"/>
      <c r="E2505" s="100"/>
      <c r="F2505" s="100"/>
      <c r="G2505" s="100"/>
      <c r="H2505" s="100"/>
      <c r="I2505" s="100"/>
      <c r="J2505" s="100"/>
      <c r="K2505" s="100"/>
      <c r="L2505" s="100"/>
      <c r="M2505" s="100"/>
      <c r="N2505" s="100"/>
      <c r="O2505" s="100"/>
      <c r="P2505" s="100"/>
      <c r="Q2505" s="100"/>
      <c r="R2505" s="100"/>
      <c r="S2505" s="100"/>
      <c r="T2505" s="100"/>
      <c r="U2505" s="100"/>
      <c r="V2505" s="100"/>
      <c r="W2505" s="100"/>
      <c r="X2505" s="100"/>
      <c r="Y2505" s="100"/>
      <c r="Z2505" s="100"/>
      <c r="AA2505" s="100"/>
    </row>
    <row r="2506" spans="2:27">
      <c r="B2506" s="100"/>
      <c r="C2506" s="100"/>
      <c r="D2506" s="100"/>
      <c r="E2506" s="100"/>
      <c r="F2506" s="100"/>
      <c r="G2506" s="100"/>
      <c r="H2506" s="100"/>
      <c r="I2506" s="100"/>
      <c r="J2506" s="100"/>
      <c r="K2506" s="100"/>
      <c r="L2506" s="100"/>
      <c r="M2506" s="100"/>
      <c r="N2506" s="100"/>
      <c r="O2506" s="100"/>
      <c r="P2506" s="100"/>
      <c r="Q2506" s="100"/>
      <c r="R2506" s="100"/>
      <c r="S2506" s="100"/>
      <c r="T2506" s="100"/>
      <c r="U2506" s="100"/>
      <c r="V2506" s="100"/>
      <c r="W2506" s="100"/>
      <c r="X2506" s="100"/>
      <c r="Y2506" s="100"/>
      <c r="Z2506" s="100"/>
      <c r="AA2506" s="100"/>
    </row>
    <row r="2507" spans="2:27">
      <c r="B2507" s="100"/>
      <c r="C2507" s="100"/>
      <c r="D2507" s="100"/>
      <c r="E2507" s="100"/>
      <c r="F2507" s="100"/>
      <c r="G2507" s="100"/>
      <c r="H2507" s="100"/>
      <c r="I2507" s="100"/>
      <c r="J2507" s="100"/>
      <c r="K2507" s="100"/>
      <c r="L2507" s="100"/>
      <c r="M2507" s="100"/>
      <c r="N2507" s="100"/>
      <c r="O2507" s="100"/>
      <c r="P2507" s="100"/>
      <c r="Q2507" s="100"/>
      <c r="R2507" s="100"/>
      <c r="S2507" s="100"/>
      <c r="T2507" s="100"/>
      <c r="U2507" s="100"/>
      <c r="V2507" s="100"/>
      <c r="W2507" s="100"/>
      <c r="X2507" s="100"/>
      <c r="Y2507" s="100"/>
      <c r="Z2507" s="100"/>
      <c r="AA2507" s="100"/>
    </row>
    <row r="2508" spans="2:27">
      <c r="B2508" s="100"/>
      <c r="C2508" s="100"/>
      <c r="D2508" s="100"/>
      <c r="E2508" s="100"/>
      <c r="F2508" s="100"/>
      <c r="G2508" s="100"/>
      <c r="H2508" s="100"/>
      <c r="I2508" s="100"/>
      <c r="J2508" s="100"/>
      <c r="K2508" s="100"/>
      <c r="L2508" s="100"/>
      <c r="M2508" s="100"/>
      <c r="N2508" s="100"/>
      <c r="O2508" s="100"/>
      <c r="P2508" s="100"/>
      <c r="Q2508" s="100"/>
      <c r="R2508" s="100"/>
      <c r="S2508" s="100"/>
      <c r="T2508" s="100"/>
      <c r="U2508" s="100"/>
      <c r="V2508" s="100"/>
      <c r="W2508" s="100"/>
      <c r="X2508" s="100"/>
      <c r="Y2508" s="100"/>
      <c r="Z2508" s="100"/>
      <c r="AA2508" s="100"/>
    </row>
    <row r="2509" spans="2:27">
      <c r="B2509" s="100"/>
      <c r="C2509" s="100"/>
      <c r="D2509" s="100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  <c r="AA2509" s="100"/>
    </row>
    <row r="2510" spans="2:27">
      <c r="B2510" s="100"/>
      <c r="C2510" s="100"/>
      <c r="D2510" s="100"/>
      <c r="E2510" s="100"/>
      <c r="F2510" s="100"/>
      <c r="G2510" s="100"/>
      <c r="H2510" s="100"/>
      <c r="I2510" s="100"/>
      <c r="J2510" s="100"/>
      <c r="K2510" s="100"/>
      <c r="L2510" s="100"/>
      <c r="M2510" s="100"/>
      <c r="N2510" s="100"/>
      <c r="O2510" s="100"/>
      <c r="P2510" s="100"/>
      <c r="Q2510" s="100"/>
      <c r="R2510" s="100"/>
      <c r="S2510" s="100"/>
      <c r="T2510" s="100"/>
      <c r="U2510" s="100"/>
      <c r="V2510" s="100"/>
      <c r="W2510" s="100"/>
      <c r="X2510" s="100"/>
      <c r="Y2510" s="100"/>
      <c r="Z2510" s="100"/>
      <c r="AA2510" s="100"/>
    </row>
    <row r="2511" spans="2:27">
      <c r="B2511" s="100"/>
      <c r="C2511" s="100"/>
      <c r="D2511" s="100"/>
      <c r="E2511" s="100"/>
      <c r="F2511" s="100"/>
      <c r="G2511" s="100"/>
      <c r="H2511" s="100"/>
      <c r="I2511" s="100"/>
      <c r="J2511" s="100"/>
      <c r="K2511" s="100"/>
      <c r="L2511" s="100"/>
      <c r="M2511" s="100"/>
      <c r="N2511" s="100"/>
      <c r="O2511" s="100"/>
      <c r="P2511" s="100"/>
      <c r="Q2511" s="100"/>
      <c r="R2511" s="100"/>
      <c r="S2511" s="100"/>
      <c r="T2511" s="100"/>
      <c r="U2511" s="100"/>
      <c r="V2511" s="100"/>
      <c r="W2511" s="100"/>
      <c r="X2511" s="100"/>
      <c r="Y2511" s="100"/>
      <c r="Z2511" s="100"/>
      <c r="AA2511" s="100"/>
    </row>
    <row r="2512" spans="2:27">
      <c r="B2512" s="100"/>
      <c r="C2512" s="100"/>
      <c r="D2512" s="100"/>
      <c r="E2512" s="100"/>
      <c r="F2512" s="100"/>
      <c r="G2512" s="100"/>
      <c r="H2512" s="100"/>
      <c r="I2512" s="100"/>
      <c r="J2512" s="100"/>
      <c r="K2512" s="100"/>
      <c r="L2512" s="100"/>
      <c r="M2512" s="100"/>
      <c r="N2512" s="100"/>
      <c r="O2512" s="100"/>
      <c r="P2512" s="100"/>
      <c r="Q2512" s="100"/>
      <c r="R2512" s="100"/>
      <c r="S2512" s="100"/>
      <c r="T2512" s="100"/>
      <c r="U2512" s="100"/>
      <c r="V2512" s="100"/>
      <c r="W2512" s="100"/>
      <c r="X2512" s="100"/>
      <c r="Y2512" s="100"/>
      <c r="Z2512" s="100"/>
      <c r="AA2512" s="100"/>
    </row>
    <row r="2513" spans="2:27">
      <c r="B2513" s="100"/>
      <c r="C2513" s="100"/>
      <c r="D2513" s="100"/>
      <c r="E2513" s="100"/>
      <c r="F2513" s="100"/>
      <c r="G2513" s="100"/>
      <c r="H2513" s="100"/>
      <c r="I2513" s="100"/>
      <c r="J2513" s="100"/>
      <c r="K2513" s="100"/>
      <c r="L2513" s="100"/>
      <c r="M2513" s="100"/>
      <c r="N2513" s="100"/>
      <c r="O2513" s="100"/>
      <c r="P2513" s="100"/>
      <c r="Q2513" s="100"/>
      <c r="R2513" s="100"/>
      <c r="S2513" s="100"/>
      <c r="T2513" s="100"/>
      <c r="U2513" s="100"/>
      <c r="V2513" s="100"/>
      <c r="W2513" s="100"/>
      <c r="X2513" s="100"/>
      <c r="Y2513" s="100"/>
      <c r="Z2513" s="100"/>
      <c r="AA2513" s="100"/>
    </row>
    <row r="2514" spans="2:27">
      <c r="B2514" s="100"/>
      <c r="C2514" s="100"/>
      <c r="D2514" s="100"/>
      <c r="E2514" s="100"/>
      <c r="F2514" s="100"/>
      <c r="G2514" s="100"/>
      <c r="H2514" s="100"/>
      <c r="I2514" s="100"/>
      <c r="J2514" s="100"/>
      <c r="K2514" s="100"/>
      <c r="L2514" s="100"/>
      <c r="M2514" s="100"/>
      <c r="N2514" s="100"/>
      <c r="O2514" s="100"/>
      <c r="P2514" s="100"/>
      <c r="Q2514" s="100"/>
      <c r="R2514" s="100"/>
      <c r="S2514" s="100"/>
      <c r="T2514" s="100"/>
      <c r="U2514" s="100"/>
      <c r="V2514" s="100"/>
      <c r="W2514" s="100"/>
      <c r="X2514" s="100"/>
      <c r="Y2514" s="100"/>
      <c r="Z2514" s="100"/>
      <c r="AA2514" s="100"/>
    </row>
    <row r="2515" spans="2:27">
      <c r="B2515" s="100"/>
      <c r="C2515" s="100"/>
      <c r="D2515" s="100"/>
      <c r="E2515" s="100"/>
      <c r="F2515" s="100"/>
      <c r="G2515" s="100"/>
      <c r="H2515" s="100"/>
      <c r="I2515" s="100"/>
      <c r="J2515" s="100"/>
      <c r="K2515" s="100"/>
      <c r="L2515" s="100"/>
      <c r="M2515" s="100"/>
      <c r="N2515" s="100"/>
      <c r="O2515" s="100"/>
      <c r="P2515" s="100"/>
      <c r="Q2515" s="100"/>
      <c r="R2515" s="100"/>
      <c r="S2515" s="100"/>
      <c r="T2515" s="100"/>
      <c r="U2515" s="100"/>
      <c r="V2515" s="100"/>
      <c r="W2515" s="100"/>
      <c r="X2515" s="100"/>
      <c r="Y2515" s="100"/>
      <c r="Z2515" s="100"/>
      <c r="AA2515" s="100"/>
    </row>
    <row r="2516" spans="2:27">
      <c r="B2516" s="100"/>
      <c r="C2516" s="100"/>
      <c r="D2516" s="100"/>
      <c r="E2516" s="100"/>
      <c r="F2516" s="100"/>
      <c r="G2516" s="100"/>
      <c r="H2516" s="100"/>
      <c r="I2516" s="100"/>
      <c r="J2516" s="100"/>
      <c r="K2516" s="100"/>
      <c r="L2516" s="100"/>
      <c r="M2516" s="100"/>
      <c r="N2516" s="100"/>
      <c r="O2516" s="100"/>
      <c r="P2516" s="100"/>
      <c r="Q2516" s="100"/>
      <c r="R2516" s="100"/>
      <c r="S2516" s="100"/>
      <c r="T2516" s="100"/>
      <c r="U2516" s="100"/>
      <c r="V2516" s="100"/>
      <c r="W2516" s="100"/>
      <c r="X2516" s="100"/>
      <c r="Y2516" s="100"/>
      <c r="Z2516" s="100"/>
      <c r="AA2516" s="100"/>
    </row>
    <row r="2517" spans="2:27">
      <c r="B2517" s="100"/>
      <c r="C2517" s="100"/>
      <c r="D2517" s="100"/>
      <c r="E2517" s="100"/>
      <c r="F2517" s="100"/>
      <c r="G2517" s="100"/>
      <c r="H2517" s="100"/>
      <c r="I2517" s="100"/>
      <c r="J2517" s="100"/>
      <c r="K2517" s="100"/>
      <c r="L2517" s="100"/>
      <c r="M2517" s="100"/>
      <c r="N2517" s="100"/>
      <c r="O2517" s="100"/>
      <c r="P2517" s="100"/>
      <c r="Q2517" s="100"/>
      <c r="R2517" s="100"/>
      <c r="S2517" s="100"/>
      <c r="T2517" s="100"/>
      <c r="U2517" s="100"/>
      <c r="V2517" s="100"/>
      <c r="W2517" s="100"/>
      <c r="X2517" s="100"/>
      <c r="Y2517" s="100"/>
      <c r="Z2517" s="100"/>
      <c r="AA2517" s="100"/>
    </row>
    <row r="2518" spans="2:27">
      <c r="B2518" s="100"/>
      <c r="C2518" s="100"/>
      <c r="D2518" s="100"/>
      <c r="E2518" s="100"/>
      <c r="F2518" s="100"/>
      <c r="G2518" s="100"/>
      <c r="H2518" s="100"/>
      <c r="I2518" s="100"/>
      <c r="J2518" s="100"/>
      <c r="K2518" s="100"/>
      <c r="L2518" s="100"/>
      <c r="M2518" s="100"/>
      <c r="N2518" s="100"/>
      <c r="O2518" s="100"/>
      <c r="P2518" s="100"/>
      <c r="Q2518" s="100"/>
      <c r="R2518" s="100"/>
      <c r="S2518" s="100"/>
      <c r="T2518" s="100"/>
      <c r="U2518" s="100"/>
      <c r="V2518" s="100"/>
      <c r="W2518" s="100"/>
      <c r="X2518" s="100"/>
      <c r="Y2518" s="100"/>
      <c r="Z2518" s="100"/>
      <c r="AA2518" s="100"/>
    </row>
    <row r="2519" spans="2:27">
      <c r="B2519" s="100"/>
      <c r="C2519" s="100"/>
      <c r="D2519" s="100"/>
      <c r="E2519" s="100"/>
      <c r="F2519" s="100"/>
      <c r="G2519" s="100"/>
      <c r="H2519" s="100"/>
      <c r="I2519" s="100"/>
      <c r="J2519" s="100"/>
      <c r="K2519" s="100"/>
      <c r="L2519" s="100"/>
      <c r="M2519" s="100"/>
      <c r="N2519" s="100"/>
      <c r="O2519" s="100"/>
      <c r="P2519" s="100"/>
      <c r="Q2519" s="100"/>
      <c r="R2519" s="100"/>
      <c r="S2519" s="100"/>
      <c r="T2519" s="100"/>
      <c r="U2519" s="100"/>
      <c r="V2519" s="100"/>
      <c r="W2519" s="100"/>
      <c r="X2519" s="100"/>
      <c r="Y2519" s="100"/>
      <c r="Z2519" s="100"/>
      <c r="AA2519" s="100"/>
    </row>
    <row r="2520" spans="2:27">
      <c r="B2520" s="100"/>
      <c r="C2520" s="100"/>
      <c r="D2520" s="100"/>
      <c r="E2520" s="100"/>
      <c r="F2520" s="100"/>
      <c r="G2520" s="100"/>
      <c r="H2520" s="100"/>
      <c r="I2520" s="100"/>
      <c r="J2520" s="100"/>
      <c r="K2520" s="100"/>
      <c r="L2520" s="100"/>
      <c r="M2520" s="100"/>
      <c r="N2520" s="100"/>
      <c r="O2520" s="100"/>
      <c r="P2520" s="100"/>
      <c r="Q2520" s="100"/>
      <c r="R2520" s="100"/>
      <c r="S2520" s="100"/>
      <c r="T2520" s="100"/>
      <c r="U2520" s="100"/>
      <c r="V2520" s="100"/>
      <c r="W2520" s="100"/>
      <c r="X2520" s="100"/>
      <c r="Y2520" s="100"/>
      <c r="Z2520" s="100"/>
      <c r="AA2520" s="100"/>
    </row>
    <row r="2521" spans="2:27">
      <c r="B2521" s="100"/>
      <c r="C2521" s="100"/>
      <c r="D2521" s="100"/>
      <c r="E2521" s="100"/>
      <c r="F2521" s="100"/>
      <c r="G2521" s="100"/>
      <c r="H2521" s="100"/>
      <c r="I2521" s="100"/>
      <c r="J2521" s="100"/>
      <c r="K2521" s="100"/>
      <c r="L2521" s="100"/>
      <c r="M2521" s="100"/>
      <c r="N2521" s="100"/>
      <c r="O2521" s="100"/>
      <c r="P2521" s="100"/>
      <c r="Q2521" s="100"/>
      <c r="R2521" s="100"/>
      <c r="S2521" s="100"/>
      <c r="T2521" s="100"/>
      <c r="U2521" s="100"/>
      <c r="V2521" s="100"/>
      <c r="W2521" s="100"/>
      <c r="X2521" s="100"/>
      <c r="Y2521" s="100"/>
      <c r="Z2521" s="100"/>
      <c r="AA2521" s="100"/>
    </row>
    <row r="2522" spans="2:27">
      <c r="B2522" s="100"/>
      <c r="C2522" s="100"/>
      <c r="D2522" s="100"/>
      <c r="E2522" s="100"/>
      <c r="F2522" s="100"/>
      <c r="G2522" s="100"/>
      <c r="H2522" s="100"/>
      <c r="I2522" s="100"/>
      <c r="J2522" s="100"/>
      <c r="K2522" s="100"/>
      <c r="L2522" s="100"/>
      <c r="M2522" s="100"/>
      <c r="N2522" s="100"/>
      <c r="O2522" s="100"/>
      <c r="P2522" s="100"/>
      <c r="Q2522" s="100"/>
      <c r="R2522" s="100"/>
      <c r="S2522" s="100"/>
      <c r="T2522" s="100"/>
      <c r="U2522" s="100"/>
      <c r="V2522" s="100"/>
      <c r="W2522" s="100"/>
      <c r="X2522" s="100"/>
      <c r="Y2522" s="100"/>
      <c r="Z2522" s="100"/>
      <c r="AA2522" s="100"/>
    </row>
    <row r="2523" spans="2:27">
      <c r="B2523" s="100"/>
      <c r="C2523" s="100"/>
      <c r="D2523" s="100"/>
      <c r="E2523" s="100"/>
      <c r="F2523" s="100"/>
      <c r="G2523" s="100"/>
      <c r="H2523" s="100"/>
      <c r="I2523" s="100"/>
      <c r="J2523" s="100"/>
      <c r="K2523" s="100"/>
      <c r="L2523" s="100"/>
      <c r="M2523" s="100"/>
      <c r="N2523" s="100"/>
      <c r="O2523" s="100"/>
      <c r="P2523" s="100"/>
      <c r="Q2523" s="100"/>
      <c r="R2523" s="100"/>
      <c r="S2523" s="100"/>
      <c r="T2523" s="100"/>
      <c r="U2523" s="100"/>
      <c r="V2523" s="100"/>
      <c r="W2523" s="100"/>
      <c r="X2523" s="100"/>
      <c r="Y2523" s="100"/>
      <c r="Z2523" s="100"/>
      <c r="AA2523" s="100"/>
    </row>
    <row r="2524" spans="2:27">
      <c r="B2524" s="100"/>
      <c r="C2524" s="100"/>
      <c r="D2524" s="100"/>
      <c r="E2524" s="100"/>
      <c r="F2524" s="100"/>
      <c r="G2524" s="100"/>
      <c r="H2524" s="100"/>
      <c r="I2524" s="100"/>
      <c r="J2524" s="100"/>
      <c r="K2524" s="100"/>
      <c r="L2524" s="100"/>
      <c r="M2524" s="100"/>
      <c r="N2524" s="100"/>
      <c r="O2524" s="100"/>
      <c r="P2524" s="100"/>
      <c r="Q2524" s="100"/>
      <c r="R2524" s="100"/>
      <c r="S2524" s="100"/>
      <c r="T2524" s="100"/>
      <c r="U2524" s="100"/>
      <c r="V2524" s="100"/>
      <c r="W2524" s="100"/>
      <c r="X2524" s="100"/>
      <c r="Y2524" s="100"/>
      <c r="Z2524" s="100"/>
      <c r="AA2524" s="100"/>
    </row>
    <row r="2525" spans="2:27">
      <c r="B2525" s="100"/>
      <c r="C2525" s="100"/>
      <c r="D2525" s="100"/>
      <c r="E2525" s="100"/>
      <c r="F2525" s="100"/>
      <c r="G2525" s="100"/>
      <c r="H2525" s="100"/>
      <c r="I2525" s="100"/>
      <c r="J2525" s="100"/>
      <c r="K2525" s="100"/>
      <c r="L2525" s="100"/>
      <c r="M2525" s="100"/>
      <c r="N2525" s="100"/>
      <c r="O2525" s="100"/>
      <c r="P2525" s="100"/>
      <c r="Q2525" s="100"/>
      <c r="R2525" s="100"/>
      <c r="S2525" s="100"/>
      <c r="T2525" s="100"/>
      <c r="U2525" s="100"/>
      <c r="V2525" s="100"/>
      <c r="W2525" s="100"/>
      <c r="X2525" s="100"/>
      <c r="Y2525" s="100"/>
      <c r="Z2525" s="100"/>
      <c r="AA2525" s="100"/>
    </row>
    <row r="2526" spans="2:27">
      <c r="B2526" s="100"/>
      <c r="C2526" s="100"/>
      <c r="D2526" s="100"/>
      <c r="E2526" s="100"/>
      <c r="F2526" s="100"/>
      <c r="G2526" s="100"/>
      <c r="H2526" s="100"/>
      <c r="I2526" s="100"/>
      <c r="J2526" s="100"/>
      <c r="K2526" s="100"/>
      <c r="L2526" s="100"/>
      <c r="M2526" s="100"/>
      <c r="N2526" s="100"/>
      <c r="O2526" s="100"/>
      <c r="P2526" s="100"/>
      <c r="Q2526" s="100"/>
      <c r="R2526" s="100"/>
      <c r="S2526" s="100"/>
      <c r="T2526" s="100"/>
      <c r="U2526" s="100"/>
      <c r="V2526" s="100"/>
      <c r="W2526" s="100"/>
      <c r="X2526" s="100"/>
      <c r="Y2526" s="100"/>
      <c r="Z2526" s="100"/>
      <c r="AA2526" s="100"/>
    </row>
    <row r="2527" spans="2:27">
      <c r="B2527" s="100"/>
      <c r="C2527" s="100"/>
      <c r="D2527" s="100"/>
      <c r="E2527" s="100"/>
      <c r="F2527" s="100"/>
      <c r="G2527" s="100"/>
      <c r="H2527" s="100"/>
      <c r="I2527" s="100"/>
      <c r="J2527" s="100"/>
      <c r="K2527" s="100"/>
      <c r="L2527" s="100"/>
      <c r="M2527" s="100"/>
      <c r="N2527" s="100"/>
      <c r="O2527" s="100"/>
      <c r="P2527" s="100"/>
      <c r="Q2527" s="100"/>
      <c r="R2527" s="100"/>
      <c r="S2527" s="100"/>
      <c r="T2527" s="100"/>
      <c r="U2527" s="100"/>
      <c r="V2527" s="100"/>
      <c r="W2527" s="100"/>
      <c r="X2527" s="100"/>
      <c r="Y2527" s="100"/>
      <c r="Z2527" s="100"/>
      <c r="AA2527" s="100"/>
    </row>
    <row r="2528" spans="2:27">
      <c r="B2528" s="100"/>
      <c r="C2528" s="100"/>
      <c r="D2528" s="100"/>
      <c r="E2528" s="100"/>
      <c r="F2528" s="100"/>
      <c r="G2528" s="100"/>
      <c r="H2528" s="100"/>
      <c r="I2528" s="100"/>
      <c r="J2528" s="100"/>
      <c r="K2528" s="100"/>
      <c r="L2528" s="100"/>
      <c r="M2528" s="100"/>
      <c r="N2528" s="100"/>
      <c r="O2528" s="100"/>
      <c r="P2528" s="100"/>
      <c r="Q2528" s="100"/>
      <c r="R2528" s="100"/>
      <c r="S2528" s="100"/>
      <c r="T2528" s="100"/>
      <c r="U2528" s="100"/>
      <c r="V2528" s="100"/>
      <c r="W2528" s="100"/>
      <c r="X2528" s="100"/>
      <c r="Y2528" s="100"/>
      <c r="Z2528" s="100"/>
      <c r="AA2528" s="100"/>
    </row>
    <row r="2529" spans="2:27">
      <c r="B2529" s="100"/>
      <c r="C2529" s="100"/>
      <c r="D2529" s="100"/>
      <c r="E2529" s="100"/>
      <c r="F2529" s="100"/>
      <c r="G2529" s="100"/>
      <c r="H2529" s="100"/>
      <c r="I2529" s="100"/>
      <c r="J2529" s="100"/>
      <c r="K2529" s="100"/>
      <c r="L2529" s="100"/>
      <c r="M2529" s="100"/>
      <c r="N2529" s="100"/>
      <c r="O2529" s="100"/>
      <c r="P2529" s="100"/>
      <c r="Q2529" s="100"/>
      <c r="R2529" s="100"/>
      <c r="S2529" s="100"/>
      <c r="T2529" s="100"/>
      <c r="U2529" s="100"/>
      <c r="V2529" s="100"/>
      <c r="W2529" s="100"/>
      <c r="X2529" s="100"/>
      <c r="Y2529" s="100"/>
      <c r="Z2529" s="100"/>
      <c r="AA2529" s="100"/>
    </row>
    <row r="2530" spans="2:27">
      <c r="B2530" s="100"/>
      <c r="C2530" s="100"/>
      <c r="D2530" s="100"/>
      <c r="E2530" s="100"/>
      <c r="F2530" s="100"/>
      <c r="G2530" s="100"/>
      <c r="H2530" s="100"/>
      <c r="I2530" s="100"/>
      <c r="J2530" s="100"/>
      <c r="K2530" s="100"/>
      <c r="L2530" s="100"/>
      <c r="M2530" s="100"/>
      <c r="N2530" s="100"/>
      <c r="O2530" s="100"/>
      <c r="P2530" s="100"/>
      <c r="Q2530" s="100"/>
      <c r="R2530" s="100"/>
      <c r="S2530" s="100"/>
      <c r="T2530" s="100"/>
      <c r="U2530" s="100"/>
      <c r="V2530" s="100"/>
      <c r="W2530" s="100"/>
      <c r="X2530" s="100"/>
      <c r="Y2530" s="100"/>
      <c r="Z2530" s="100"/>
      <c r="AA2530" s="100"/>
    </row>
    <row r="2531" spans="2:27">
      <c r="B2531" s="100"/>
      <c r="C2531" s="100"/>
      <c r="D2531" s="100"/>
      <c r="E2531" s="100"/>
      <c r="F2531" s="100"/>
      <c r="G2531" s="100"/>
      <c r="H2531" s="100"/>
      <c r="I2531" s="100"/>
      <c r="J2531" s="100"/>
      <c r="K2531" s="100"/>
      <c r="L2531" s="100"/>
      <c r="M2531" s="100"/>
      <c r="N2531" s="100"/>
      <c r="O2531" s="100"/>
      <c r="P2531" s="100"/>
      <c r="Q2531" s="100"/>
      <c r="R2531" s="100"/>
      <c r="S2531" s="100"/>
      <c r="T2531" s="100"/>
      <c r="U2531" s="100"/>
      <c r="V2531" s="100"/>
      <c r="W2531" s="100"/>
      <c r="X2531" s="100"/>
      <c r="Y2531" s="100"/>
      <c r="Z2531" s="100"/>
      <c r="AA2531" s="100"/>
    </row>
    <row r="2532" spans="2:27">
      <c r="B2532" s="100"/>
      <c r="C2532" s="100"/>
      <c r="D2532" s="100"/>
      <c r="E2532" s="100"/>
      <c r="F2532" s="100"/>
      <c r="G2532" s="100"/>
      <c r="H2532" s="100"/>
      <c r="I2532" s="100"/>
      <c r="J2532" s="100"/>
      <c r="K2532" s="100"/>
      <c r="L2532" s="100"/>
      <c r="M2532" s="100"/>
      <c r="N2532" s="100"/>
      <c r="O2532" s="100"/>
      <c r="P2532" s="100"/>
      <c r="Q2532" s="100"/>
      <c r="R2532" s="100"/>
      <c r="S2532" s="100"/>
      <c r="T2532" s="100"/>
      <c r="U2532" s="100"/>
      <c r="V2532" s="100"/>
      <c r="W2532" s="100"/>
      <c r="X2532" s="100"/>
      <c r="Y2532" s="100"/>
      <c r="Z2532" s="100"/>
      <c r="AA2532" s="100"/>
    </row>
    <row r="2533" spans="2:27">
      <c r="B2533" s="100"/>
      <c r="C2533" s="100"/>
      <c r="D2533" s="100"/>
      <c r="E2533" s="100"/>
      <c r="F2533" s="100"/>
      <c r="G2533" s="100"/>
      <c r="H2533" s="100"/>
      <c r="I2533" s="100"/>
      <c r="J2533" s="100"/>
      <c r="K2533" s="100"/>
      <c r="L2533" s="100"/>
      <c r="M2533" s="100"/>
      <c r="N2533" s="100"/>
      <c r="O2533" s="100"/>
      <c r="P2533" s="100"/>
      <c r="Q2533" s="100"/>
      <c r="R2533" s="100"/>
      <c r="S2533" s="100"/>
      <c r="T2533" s="100"/>
      <c r="U2533" s="100"/>
      <c r="V2533" s="100"/>
      <c r="W2533" s="100"/>
      <c r="X2533" s="100"/>
      <c r="Y2533" s="100"/>
      <c r="Z2533" s="100"/>
      <c r="AA2533" s="100"/>
    </row>
    <row r="2534" spans="2:27">
      <c r="B2534" s="100"/>
      <c r="C2534" s="100"/>
      <c r="D2534" s="100"/>
      <c r="E2534" s="100"/>
      <c r="F2534" s="100"/>
      <c r="G2534" s="100"/>
      <c r="H2534" s="100"/>
      <c r="I2534" s="100"/>
      <c r="J2534" s="100"/>
      <c r="K2534" s="100"/>
      <c r="L2534" s="100"/>
      <c r="M2534" s="100"/>
      <c r="N2534" s="100"/>
      <c r="O2534" s="100"/>
      <c r="P2534" s="100"/>
      <c r="Q2534" s="100"/>
      <c r="R2534" s="100"/>
      <c r="S2534" s="100"/>
      <c r="T2534" s="100"/>
      <c r="U2534" s="100"/>
      <c r="V2534" s="100"/>
      <c r="W2534" s="100"/>
      <c r="X2534" s="100"/>
      <c r="Y2534" s="100"/>
      <c r="Z2534" s="100"/>
      <c r="AA2534" s="100"/>
    </row>
    <row r="2535" spans="2:27">
      <c r="B2535" s="100"/>
      <c r="C2535" s="100"/>
      <c r="D2535" s="100"/>
      <c r="E2535" s="100"/>
      <c r="F2535" s="100"/>
      <c r="G2535" s="100"/>
      <c r="H2535" s="100"/>
      <c r="I2535" s="100"/>
      <c r="J2535" s="100"/>
      <c r="K2535" s="100"/>
      <c r="L2535" s="100"/>
      <c r="M2535" s="100"/>
      <c r="N2535" s="100"/>
      <c r="O2535" s="100"/>
      <c r="P2535" s="100"/>
      <c r="Q2535" s="100"/>
      <c r="R2535" s="100"/>
      <c r="S2535" s="100"/>
      <c r="T2535" s="100"/>
      <c r="U2535" s="100"/>
      <c r="V2535" s="100"/>
      <c r="W2535" s="100"/>
      <c r="X2535" s="100"/>
      <c r="Y2535" s="100"/>
      <c r="Z2535" s="100"/>
      <c r="AA2535" s="100"/>
    </row>
    <row r="2536" spans="2:27">
      <c r="B2536" s="100"/>
      <c r="C2536" s="100"/>
      <c r="D2536" s="100"/>
      <c r="E2536" s="100"/>
      <c r="F2536" s="100"/>
      <c r="G2536" s="100"/>
      <c r="H2536" s="100"/>
      <c r="I2536" s="100"/>
      <c r="J2536" s="100"/>
      <c r="K2536" s="100"/>
      <c r="L2536" s="100"/>
      <c r="M2536" s="100"/>
      <c r="N2536" s="100"/>
      <c r="O2536" s="100"/>
      <c r="P2536" s="100"/>
      <c r="Q2536" s="100"/>
      <c r="R2536" s="100"/>
      <c r="S2536" s="100"/>
      <c r="T2536" s="100"/>
      <c r="U2536" s="100"/>
      <c r="V2536" s="100"/>
      <c r="W2536" s="100"/>
      <c r="X2536" s="100"/>
      <c r="Y2536" s="100"/>
      <c r="Z2536" s="100"/>
      <c r="AA2536" s="100"/>
    </row>
    <row r="2537" spans="2:27">
      <c r="B2537" s="100"/>
      <c r="C2537" s="100"/>
      <c r="D2537" s="100"/>
      <c r="E2537" s="100"/>
      <c r="F2537" s="100"/>
      <c r="G2537" s="100"/>
      <c r="H2537" s="100"/>
      <c r="I2537" s="100"/>
      <c r="J2537" s="100"/>
      <c r="K2537" s="100"/>
      <c r="L2537" s="100"/>
      <c r="M2537" s="100"/>
      <c r="N2537" s="100"/>
      <c r="O2537" s="100"/>
      <c r="P2537" s="100"/>
      <c r="Q2537" s="100"/>
      <c r="R2537" s="100"/>
      <c r="S2537" s="100"/>
      <c r="T2537" s="100"/>
      <c r="U2537" s="100"/>
      <c r="V2537" s="100"/>
      <c r="W2537" s="100"/>
      <c r="X2537" s="100"/>
      <c r="Y2537" s="100"/>
      <c r="Z2537" s="100"/>
      <c r="AA2537" s="100"/>
    </row>
    <row r="2538" spans="2:27">
      <c r="B2538" s="100"/>
      <c r="C2538" s="100"/>
      <c r="D2538" s="100"/>
      <c r="E2538" s="100"/>
      <c r="F2538" s="100"/>
      <c r="G2538" s="100"/>
      <c r="H2538" s="100"/>
      <c r="I2538" s="100"/>
      <c r="J2538" s="100"/>
      <c r="K2538" s="100"/>
      <c r="L2538" s="100"/>
      <c r="M2538" s="100"/>
      <c r="N2538" s="100"/>
      <c r="O2538" s="100"/>
      <c r="P2538" s="100"/>
      <c r="Q2538" s="100"/>
      <c r="R2538" s="100"/>
      <c r="S2538" s="100"/>
      <c r="T2538" s="100"/>
      <c r="U2538" s="100"/>
      <c r="V2538" s="100"/>
      <c r="W2538" s="100"/>
      <c r="X2538" s="100"/>
      <c r="Y2538" s="100"/>
      <c r="Z2538" s="100"/>
      <c r="AA2538" s="100"/>
    </row>
    <row r="2539" spans="2:27">
      <c r="B2539" s="100"/>
      <c r="C2539" s="100"/>
      <c r="D2539" s="100"/>
      <c r="E2539" s="100"/>
      <c r="F2539" s="100"/>
      <c r="G2539" s="100"/>
      <c r="H2539" s="100"/>
      <c r="I2539" s="100"/>
      <c r="J2539" s="100"/>
      <c r="K2539" s="100"/>
      <c r="L2539" s="100"/>
      <c r="M2539" s="100"/>
      <c r="N2539" s="100"/>
      <c r="O2539" s="100"/>
      <c r="P2539" s="100"/>
      <c r="Q2539" s="100"/>
      <c r="R2539" s="100"/>
      <c r="S2539" s="100"/>
      <c r="T2539" s="100"/>
      <c r="U2539" s="100"/>
      <c r="V2539" s="100"/>
      <c r="W2539" s="100"/>
      <c r="X2539" s="100"/>
      <c r="Y2539" s="100"/>
      <c r="Z2539" s="100"/>
      <c r="AA2539" s="100"/>
    </row>
    <row r="2540" spans="2:27">
      <c r="B2540" s="100"/>
      <c r="C2540" s="100"/>
      <c r="D2540" s="100"/>
      <c r="E2540" s="100"/>
      <c r="F2540" s="100"/>
      <c r="G2540" s="100"/>
      <c r="H2540" s="100"/>
      <c r="I2540" s="100"/>
      <c r="J2540" s="100"/>
      <c r="K2540" s="100"/>
      <c r="L2540" s="100"/>
      <c r="M2540" s="100"/>
      <c r="N2540" s="100"/>
      <c r="O2540" s="100"/>
      <c r="P2540" s="100"/>
      <c r="Q2540" s="100"/>
      <c r="R2540" s="100"/>
      <c r="S2540" s="100"/>
      <c r="T2540" s="100"/>
      <c r="U2540" s="100"/>
      <c r="V2540" s="100"/>
      <c r="W2540" s="100"/>
      <c r="X2540" s="100"/>
      <c r="Y2540" s="100"/>
      <c r="Z2540" s="100"/>
      <c r="AA2540" s="100"/>
    </row>
    <row r="2541" spans="2:27">
      <c r="B2541" s="100"/>
      <c r="C2541" s="100"/>
      <c r="D2541" s="100"/>
      <c r="E2541" s="100"/>
      <c r="F2541" s="100"/>
      <c r="G2541" s="100"/>
      <c r="H2541" s="100"/>
      <c r="I2541" s="100"/>
      <c r="J2541" s="100"/>
      <c r="K2541" s="100"/>
      <c r="L2541" s="100"/>
      <c r="M2541" s="100"/>
      <c r="N2541" s="100"/>
      <c r="O2541" s="100"/>
      <c r="P2541" s="100"/>
      <c r="Q2541" s="100"/>
      <c r="R2541" s="100"/>
      <c r="S2541" s="100"/>
      <c r="T2541" s="100"/>
      <c r="U2541" s="100"/>
      <c r="V2541" s="100"/>
      <c r="W2541" s="100"/>
      <c r="X2541" s="100"/>
      <c r="Y2541" s="100"/>
      <c r="Z2541" s="100"/>
      <c r="AA2541" s="100"/>
    </row>
    <row r="2542" spans="2:27">
      <c r="B2542" s="100"/>
      <c r="C2542" s="100"/>
      <c r="D2542" s="100"/>
      <c r="E2542" s="100"/>
      <c r="F2542" s="100"/>
      <c r="G2542" s="100"/>
      <c r="H2542" s="100"/>
      <c r="I2542" s="100"/>
      <c r="J2542" s="100"/>
      <c r="K2542" s="100"/>
      <c r="L2542" s="100"/>
      <c r="M2542" s="100"/>
      <c r="N2542" s="100"/>
      <c r="O2542" s="100"/>
      <c r="P2542" s="100"/>
      <c r="Q2542" s="100"/>
      <c r="R2542" s="100"/>
      <c r="S2542" s="100"/>
      <c r="T2542" s="100"/>
      <c r="U2542" s="100"/>
      <c r="V2542" s="100"/>
      <c r="W2542" s="100"/>
      <c r="X2542" s="100"/>
      <c r="Y2542" s="100"/>
      <c r="Z2542" s="100"/>
      <c r="AA2542" s="100"/>
    </row>
    <row r="2543" spans="2:27">
      <c r="B2543" s="100"/>
      <c r="C2543" s="100"/>
      <c r="D2543" s="100"/>
      <c r="E2543" s="100"/>
      <c r="F2543" s="100"/>
      <c r="G2543" s="100"/>
      <c r="H2543" s="100"/>
      <c r="I2543" s="100"/>
      <c r="J2543" s="100"/>
      <c r="K2543" s="100"/>
      <c r="L2543" s="100"/>
      <c r="M2543" s="100"/>
      <c r="N2543" s="100"/>
      <c r="O2543" s="100"/>
      <c r="P2543" s="100"/>
      <c r="Q2543" s="100"/>
      <c r="R2543" s="100"/>
      <c r="S2543" s="100"/>
      <c r="T2543" s="100"/>
      <c r="U2543" s="100"/>
      <c r="V2543" s="100"/>
      <c r="W2543" s="100"/>
      <c r="X2543" s="100"/>
      <c r="Y2543" s="100"/>
      <c r="Z2543" s="100"/>
      <c r="AA2543" s="100"/>
    </row>
    <row r="2544" spans="2:27">
      <c r="B2544" s="100"/>
      <c r="C2544" s="100"/>
      <c r="D2544" s="100"/>
      <c r="E2544" s="100"/>
      <c r="F2544" s="100"/>
      <c r="G2544" s="100"/>
      <c r="H2544" s="100"/>
      <c r="I2544" s="100"/>
      <c r="J2544" s="100"/>
      <c r="K2544" s="100"/>
      <c r="L2544" s="100"/>
      <c r="M2544" s="100"/>
      <c r="N2544" s="100"/>
      <c r="O2544" s="100"/>
      <c r="P2544" s="100"/>
      <c r="Q2544" s="100"/>
      <c r="R2544" s="100"/>
      <c r="S2544" s="100"/>
      <c r="T2544" s="100"/>
      <c r="U2544" s="100"/>
      <c r="V2544" s="100"/>
      <c r="W2544" s="100"/>
      <c r="X2544" s="100"/>
      <c r="Y2544" s="100"/>
      <c r="Z2544" s="100"/>
      <c r="AA2544" s="100"/>
    </row>
    <row r="2545" spans="2:27">
      <c r="B2545" s="100"/>
      <c r="C2545" s="100"/>
      <c r="D2545" s="100"/>
      <c r="E2545" s="100"/>
      <c r="F2545" s="100"/>
      <c r="G2545" s="100"/>
      <c r="H2545" s="100"/>
      <c r="I2545" s="100"/>
      <c r="J2545" s="100"/>
      <c r="K2545" s="100"/>
      <c r="L2545" s="100"/>
      <c r="M2545" s="100"/>
      <c r="N2545" s="100"/>
      <c r="O2545" s="100"/>
      <c r="P2545" s="100"/>
      <c r="Q2545" s="100"/>
      <c r="R2545" s="100"/>
      <c r="S2545" s="100"/>
      <c r="T2545" s="100"/>
      <c r="U2545" s="100"/>
      <c r="V2545" s="100"/>
      <c r="W2545" s="100"/>
      <c r="X2545" s="100"/>
      <c r="Y2545" s="100"/>
      <c r="Z2545" s="100"/>
      <c r="AA2545" s="100"/>
    </row>
    <row r="2546" spans="2:27">
      <c r="B2546" s="100"/>
      <c r="C2546" s="100"/>
      <c r="D2546" s="100"/>
      <c r="E2546" s="100"/>
      <c r="F2546" s="100"/>
      <c r="G2546" s="100"/>
      <c r="H2546" s="100"/>
      <c r="I2546" s="100"/>
      <c r="J2546" s="100"/>
      <c r="K2546" s="100"/>
      <c r="L2546" s="100"/>
      <c r="M2546" s="100"/>
      <c r="N2546" s="100"/>
      <c r="O2546" s="100"/>
      <c r="P2546" s="100"/>
      <c r="Q2546" s="100"/>
      <c r="R2546" s="100"/>
      <c r="S2546" s="100"/>
      <c r="T2546" s="100"/>
      <c r="U2546" s="100"/>
      <c r="V2546" s="100"/>
      <c r="W2546" s="100"/>
      <c r="X2546" s="100"/>
      <c r="Y2546" s="100"/>
      <c r="Z2546" s="100"/>
      <c r="AA2546" s="100"/>
    </row>
    <row r="2547" spans="2:27">
      <c r="B2547" s="100"/>
      <c r="C2547" s="100"/>
      <c r="D2547" s="100"/>
      <c r="E2547" s="100"/>
      <c r="F2547" s="100"/>
      <c r="G2547" s="100"/>
      <c r="H2547" s="100"/>
      <c r="I2547" s="100"/>
      <c r="J2547" s="100"/>
      <c r="K2547" s="100"/>
      <c r="L2547" s="100"/>
      <c r="M2547" s="100"/>
      <c r="N2547" s="100"/>
      <c r="O2547" s="100"/>
      <c r="P2547" s="100"/>
      <c r="Q2547" s="100"/>
      <c r="R2547" s="100"/>
      <c r="S2547" s="100"/>
      <c r="T2547" s="100"/>
      <c r="U2547" s="100"/>
      <c r="V2547" s="100"/>
      <c r="W2547" s="100"/>
      <c r="X2547" s="100"/>
      <c r="Y2547" s="100"/>
      <c r="Z2547" s="100"/>
      <c r="AA2547" s="100"/>
    </row>
    <row r="2548" spans="2:27">
      <c r="B2548" s="100"/>
      <c r="C2548" s="100"/>
      <c r="D2548" s="100"/>
      <c r="E2548" s="100"/>
      <c r="F2548" s="100"/>
      <c r="G2548" s="100"/>
      <c r="H2548" s="100"/>
      <c r="I2548" s="100"/>
      <c r="J2548" s="100"/>
      <c r="K2548" s="100"/>
      <c r="L2548" s="100"/>
      <c r="M2548" s="100"/>
      <c r="N2548" s="100"/>
      <c r="O2548" s="100"/>
      <c r="P2548" s="100"/>
      <c r="Q2548" s="100"/>
      <c r="R2548" s="100"/>
      <c r="S2548" s="100"/>
      <c r="T2548" s="100"/>
      <c r="U2548" s="100"/>
      <c r="V2548" s="100"/>
      <c r="W2548" s="100"/>
      <c r="X2548" s="100"/>
      <c r="Y2548" s="100"/>
      <c r="Z2548" s="100"/>
      <c r="AA2548" s="100"/>
    </row>
    <row r="2549" spans="2:27">
      <c r="B2549" s="100"/>
      <c r="C2549" s="100"/>
      <c r="D2549" s="100"/>
      <c r="E2549" s="100"/>
      <c r="F2549" s="100"/>
      <c r="G2549" s="100"/>
      <c r="H2549" s="100"/>
      <c r="I2549" s="100"/>
      <c r="J2549" s="100"/>
      <c r="K2549" s="100"/>
      <c r="L2549" s="100"/>
      <c r="M2549" s="100"/>
      <c r="N2549" s="100"/>
      <c r="O2549" s="100"/>
      <c r="P2549" s="100"/>
      <c r="Q2549" s="100"/>
      <c r="R2549" s="100"/>
      <c r="S2549" s="100"/>
      <c r="T2549" s="100"/>
      <c r="U2549" s="100"/>
      <c r="V2549" s="100"/>
      <c r="W2549" s="100"/>
      <c r="X2549" s="100"/>
      <c r="Y2549" s="100"/>
      <c r="Z2549" s="100"/>
      <c r="AA2549" s="100"/>
    </row>
    <row r="2550" spans="2:27">
      <c r="B2550" s="100"/>
      <c r="C2550" s="100"/>
      <c r="D2550" s="100"/>
      <c r="E2550" s="100"/>
      <c r="F2550" s="100"/>
      <c r="G2550" s="100"/>
      <c r="H2550" s="100"/>
      <c r="I2550" s="100"/>
      <c r="J2550" s="100"/>
      <c r="K2550" s="100"/>
      <c r="L2550" s="100"/>
      <c r="M2550" s="100"/>
      <c r="N2550" s="100"/>
      <c r="O2550" s="100"/>
      <c r="P2550" s="100"/>
      <c r="Q2550" s="100"/>
      <c r="R2550" s="100"/>
      <c r="S2550" s="100"/>
      <c r="T2550" s="100"/>
      <c r="U2550" s="100"/>
      <c r="V2550" s="100"/>
      <c r="W2550" s="100"/>
      <c r="X2550" s="100"/>
      <c r="Y2550" s="100"/>
      <c r="Z2550" s="100"/>
      <c r="AA2550" s="100"/>
    </row>
    <row r="2551" spans="2:27">
      <c r="B2551" s="100"/>
      <c r="C2551" s="100"/>
      <c r="D2551" s="100"/>
      <c r="E2551" s="100"/>
      <c r="F2551" s="100"/>
      <c r="G2551" s="100"/>
      <c r="H2551" s="100"/>
      <c r="I2551" s="100"/>
      <c r="J2551" s="100"/>
      <c r="K2551" s="100"/>
      <c r="L2551" s="100"/>
      <c r="M2551" s="100"/>
      <c r="N2551" s="100"/>
      <c r="O2551" s="100"/>
      <c r="P2551" s="100"/>
      <c r="Q2551" s="100"/>
      <c r="R2551" s="100"/>
      <c r="S2551" s="100"/>
      <c r="T2551" s="100"/>
      <c r="U2551" s="100"/>
      <c r="V2551" s="100"/>
      <c r="W2551" s="100"/>
      <c r="X2551" s="100"/>
      <c r="Y2551" s="100"/>
      <c r="Z2551" s="100"/>
      <c r="AA2551" s="100"/>
    </row>
    <row r="2552" spans="2:27">
      <c r="B2552" s="100"/>
      <c r="C2552" s="100"/>
      <c r="D2552" s="100"/>
      <c r="E2552" s="100"/>
      <c r="F2552" s="100"/>
      <c r="G2552" s="100"/>
      <c r="H2552" s="100"/>
      <c r="I2552" s="100"/>
      <c r="J2552" s="100"/>
      <c r="K2552" s="100"/>
      <c r="L2552" s="100"/>
      <c r="M2552" s="100"/>
      <c r="N2552" s="100"/>
      <c r="O2552" s="100"/>
      <c r="P2552" s="100"/>
      <c r="Q2552" s="100"/>
      <c r="R2552" s="100"/>
      <c r="S2552" s="100"/>
      <c r="T2552" s="100"/>
      <c r="U2552" s="100"/>
      <c r="V2552" s="100"/>
      <c r="W2552" s="100"/>
      <c r="X2552" s="100"/>
      <c r="Y2552" s="100"/>
      <c r="Z2552" s="100"/>
      <c r="AA2552" s="100"/>
    </row>
    <row r="2553" spans="2:27">
      <c r="B2553" s="100"/>
      <c r="C2553" s="100"/>
      <c r="D2553" s="100"/>
      <c r="E2553" s="100"/>
      <c r="F2553" s="100"/>
      <c r="G2553" s="100"/>
      <c r="H2553" s="100"/>
      <c r="I2553" s="100"/>
      <c r="J2553" s="100"/>
      <c r="K2553" s="100"/>
      <c r="L2553" s="100"/>
      <c r="M2553" s="100"/>
      <c r="N2553" s="100"/>
      <c r="O2553" s="100"/>
      <c r="P2553" s="100"/>
      <c r="Q2553" s="100"/>
      <c r="R2553" s="100"/>
      <c r="S2553" s="100"/>
      <c r="T2553" s="100"/>
      <c r="U2553" s="100"/>
      <c r="V2553" s="100"/>
      <c r="W2553" s="100"/>
      <c r="X2553" s="100"/>
      <c r="Y2553" s="100"/>
      <c r="Z2553" s="100"/>
      <c r="AA2553" s="100"/>
    </row>
    <row r="2554" spans="2:27">
      <c r="B2554" s="100"/>
      <c r="C2554" s="100"/>
      <c r="D2554" s="100"/>
      <c r="E2554" s="100"/>
      <c r="F2554" s="100"/>
      <c r="G2554" s="100"/>
      <c r="H2554" s="100"/>
      <c r="I2554" s="100"/>
      <c r="J2554" s="100"/>
      <c r="K2554" s="100"/>
      <c r="L2554" s="100"/>
      <c r="M2554" s="100"/>
      <c r="N2554" s="100"/>
      <c r="O2554" s="100"/>
      <c r="P2554" s="100"/>
      <c r="Q2554" s="100"/>
      <c r="R2554" s="100"/>
      <c r="S2554" s="100"/>
      <c r="T2554" s="100"/>
      <c r="U2554" s="100"/>
      <c r="V2554" s="100"/>
      <c r="W2554" s="100"/>
      <c r="X2554" s="100"/>
      <c r="Y2554" s="100"/>
      <c r="Z2554" s="100"/>
      <c r="AA2554" s="100"/>
    </row>
    <row r="2555" spans="2:27">
      <c r="B2555" s="100"/>
      <c r="C2555" s="100"/>
      <c r="D2555" s="100"/>
      <c r="E2555" s="100"/>
      <c r="F2555" s="100"/>
      <c r="G2555" s="100"/>
      <c r="H2555" s="100"/>
      <c r="I2555" s="100"/>
      <c r="J2555" s="100"/>
      <c r="K2555" s="100"/>
      <c r="L2555" s="100"/>
      <c r="M2555" s="100"/>
      <c r="N2555" s="100"/>
      <c r="O2555" s="100"/>
      <c r="P2555" s="100"/>
      <c r="Q2555" s="100"/>
      <c r="R2555" s="100"/>
      <c r="S2555" s="100"/>
      <c r="T2555" s="100"/>
      <c r="U2555" s="100"/>
      <c r="V2555" s="100"/>
      <c r="W2555" s="100"/>
      <c r="X2555" s="100"/>
      <c r="Y2555" s="100"/>
      <c r="Z2555" s="100"/>
      <c r="AA2555" s="100"/>
    </row>
    <row r="2556" spans="2:27">
      <c r="B2556" s="100"/>
      <c r="C2556" s="100"/>
      <c r="D2556" s="100"/>
      <c r="E2556" s="100"/>
      <c r="F2556" s="100"/>
      <c r="G2556" s="100"/>
      <c r="H2556" s="100"/>
      <c r="I2556" s="100"/>
      <c r="J2556" s="100"/>
      <c r="K2556" s="100"/>
      <c r="L2556" s="100"/>
      <c r="M2556" s="100"/>
      <c r="N2556" s="100"/>
      <c r="O2556" s="100"/>
      <c r="P2556" s="100"/>
      <c r="Q2556" s="100"/>
      <c r="R2556" s="100"/>
      <c r="S2556" s="100"/>
      <c r="T2556" s="100"/>
      <c r="U2556" s="100"/>
      <c r="V2556" s="100"/>
      <c r="W2556" s="100"/>
      <c r="X2556" s="100"/>
      <c r="Y2556" s="100"/>
      <c r="Z2556" s="100"/>
      <c r="AA2556" s="100"/>
    </row>
    <row r="2557" spans="2:27">
      <c r="B2557" s="100"/>
      <c r="C2557" s="100"/>
      <c r="D2557" s="100"/>
      <c r="E2557" s="100"/>
      <c r="F2557" s="100"/>
      <c r="G2557" s="100"/>
      <c r="H2557" s="100"/>
      <c r="I2557" s="100"/>
      <c r="J2557" s="100"/>
      <c r="K2557" s="100"/>
      <c r="L2557" s="100"/>
      <c r="M2557" s="100"/>
      <c r="N2557" s="100"/>
      <c r="O2557" s="100"/>
      <c r="P2557" s="100"/>
      <c r="Q2557" s="100"/>
      <c r="R2557" s="100"/>
      <c r="S2557" s="100"/>
      <c r="T2557" s="100"/>
      <c r="U2557" s="100"/>
      <c r="V2557" s="100"/>
      <c r="W2557" s="100"/>
      <c r="X2557" s="100"/>
      <c r="Y2557" s="100"/>
      <c r="Z2557" s="100"/>
      <c r="AA2557" s="100"/>
    </row>
    <row r="2558" spans="2:27">
      <c r="B2558" s="100"/>
      <c r="C2558" s="100"/>
      <c r="D2558" s="100"/>
      <c r="E2558" s="100"/>
      <c r="F2558" s="100"/>
      <c r="G2558" s="100"/>
      <c r="H2558" s="100"/>
      <c r="I2558" s="100"/>
      <c r="J2558" s="100"/>
      <c r="K2558" s="100"/>
      <c r="L2558" s="100"/>
      <c r="M2558" s="100"/>
      <c r="N2558" s="100"/>
      <c r="O2558" s="100"/>
      <c r="P2558" s="100"/>
      <c r="Q2558" s="100"/>
      <c r="R2558" s="100"/>
      <c r="S2558" s="100"/>
      <c r="T2558" s="100"/>
      <c r="U2558" s="100"/>
      <c r="V2558" s="100"/>
      <c r="W2558" s="100"/>
      <c r="X2558" s="100"/>
      <c r="Y2558" s="100"/>
      <c r="Z2558" s="100"/>
      <c r="AA2558" s="100"/>
    </row>
    <row r="2559" spans="2:27">
      <c r="B2559" s="100"/>
      <c r="C2559" s="100"/>
      <c r="D2559" s="100"/>
      <c r="E2559" s="100"/>
      <c r="F2559" s="100"/>
      <c r="G2559" s="100"/>
      <c r="H2559" s="100"/>
      <c r="I2559" s="100"/>
      <c r="J2559" s="100"/>
      <c r="K2559" s="100"/>
      <c r="L2559" s="100"/>
      <c r="M2559" s="100"/>
      <c r="N2559" s="100"/>
      <c r="O2559" s="100"/>
      <c r="P2559" s="100"/>
      <c r="Q2559" s="100"/>
      <c r="R2559" s="100"/>
      <c r="S2559" s="100"/>
      <c r="T2559" s="100"/>
      <c r="U2559" s="100"/>
      <c r="V2559" s="100"/>
      <c r="W2559" s="100"/>
      <c r="X2559" s="100"/>
      <c r="Y2559" s="100"/>
      <c r="Z2559" s="100"/>
      <c r="AA2559" s="100"/>
    </row>
    <row r="2560" spans="2:27">
      <c r="B2560" s="100"/>
      <c r="C2560" s="100"/>
      <c r="D2560" s="100"/>
      <c r="E2560" s="100"/>
      <c r="F2560" s="100"/>
      <c r="G2560" s="100"/>
      <c r="H2560" s="100"/>
      <c r="I2560" s="100"/>
      <c r="J2560" s="100"/>
      <c r="K2560" s="100"/>
      <c r="L2560" s="100"/>
      <c r="M2560" s="100"/>
      <c r="N2560" s="100"/>
      <c r="O2560" s="100"/>
      <c r="P2560" s="100"/>
      <c r="Q2560" s="100"/>
      <c r="R2560" s="100"/>
      <c r="S2560" s="100"/>
      <c r="T2560" s="100"/>
      <c r="U2560" s="100"/>
      <c r="V2560" s="100"/>
      <c r="W2560" s="100"/>
      <c r="X2560" s="100"/>
      <c r="Y2560" s="100"/>
      <c r="Z2560" s="100"/>
      <c r="AA2560" s="100"/>
    </row>
    <row r="2561" spans="2:27">
      <c r="B2561" s="100"/>
      <c r="C2561" s="100"/>
      <c r="D2561" s="100"/>
      <c r="E2561" s="100"/>
      <c r="F2561" s="100"/>
      <c r="G2561" s="100"/>
      <c r="H2561" s="100"/>
      <c r="I2561" s="100"/>
      <c r="J2561" s="100"/>
      <c r="K2561" s="100"/>
      <c r="L2561" s="100"/>
      <c r="M2561" s="100"/>
      <c r="N2561" s="100"/>
      <c r="O2561" s="100"/>
      <c r="P2561" s="100"/>
      <c r="Q2561" s="100"/>
      <c r="R2561" s="100"/>
      <c r="S2561" s="100"/>
      <c r="T2561" s="100"/>
      <c r="U2561" s="100"/>
      <c r="V2561" s="100"/>
      <c r="W2561" s="100"/>
      <c r="X2561" s="100"/>
      <c r="Y2561" s="100"/>
      <c r="Z2561" s="100"/>
      <c r="AA2561" s="100"/>
    </row>
    <row r="2562" spans="2:27">
      <c r="B2562" s="100"/>
      <c r="C2562" s="100"/>
      <c r="D2562" s="100"/>
      <c r="E2562" s="100"/>
      <c r="F2562" s="100"/>
      <c r="G2562" s="100"/>
      <c r="H2562" s="100"/>
      <c r="I2562" s="100"/>
      <c r="J2562" s="100"/>
      <c r="K2562" s="100"/>
      <c r="L2562" s="100"/>
      <c r="M2562" s="100"/>
      <c r="N2562" s="100"/>
      <c r="O2562" s="100"/>
      <c r="P2562" s="100"/>
      <c r="Q2562" s="100"/>
      <c r="R2562" s="100"/>
      <c r="S2562" s="100"/>
      <c r="T2562" s="100"/>
      <c r="U2562" s="100"/>
      <c r="V2562" s="100"/>
      <c r="W2562" s="100"/>
      <c r="X2562" s="100"/>
      <c r="Y2562" s="100"/>
      <c r="Z2562" s="100"/>
      <c r="AA2562" s="100"/>
    </row>
    <row r="2563" spans="2:27">
      <c r="B2563" s="100"/>
      <c r="C2563" s="100"/>
      <c r="D2563" s="100"/>
      <c r="E2563" s="100"/>
      <c r="F2563" s="100"/>
      <c r="G2563" s="100"/>
      <c r="H2563" s="100"/>
      <c r="I2563" s="100"/>
      <c r="J2563" s="100"/>
      <c r="K2563" s="100"/>
      <c r="L2563" s="100"/>
      <c r="M2563" s="100"/>
      <c r="N2563" s="100"/>
      <c r="O2563" s="100"/>
      <c r="P2563" s="100"/>
      <c r="Q2563" s="100"/>
      <c r="R2563" s="100"/>
      <c r="S2563" s="100"/>
      <c r="T2563" s="100"/>
      <c r="U2563" s="100"/>
      <c r="V2563" s="100"/>
      <c r="W2563" s="100"/>
      <c r="X2563" s="100"/>
      <c r="Y2563" s="100"/>
      <c r="Z2563" s="100"/>
      <c r="AA2563" s="100"/>
    </row>
    <row r="2564" spans="2:27">
      <c r="B2564" s="100"/>
      <c r="C2564" s="100"/>
      <c r="D2564" s="100"/>
      <c r="E2564" s="100"/>
      <c r="F2564" s="100"/>
      <c r="G2564" s="100"/>
      <c r="H2564" s="100"/>
      <c r="I2564" s="100"/>
      <c r="J2564" s="100"/>
      <c r="K2564" s="100"/>
      <c r="L2564" s="100"/>
      <c r="M2564" s="100"/>
      <c r="N2564" s="100"/>
      <c r="O2564" s="100"/>
      <c r="P2564" s="100"/>
      <c r="Q2564" s="100"/>
      <c r="R2564" s="100"/>
      <c r="S2564" s="100"/>
      <c r="T2564" s="100"/>
      <c r="U2564" s="100"/>
      <c r="V2564" s="100"/>
      <c r="W2564" s="100"/>
      <c r="X2564" s="100"/>
      <c r="Y2564" s="100"/>
      <c r="Z2564" s="100"/>
      <c r="AA2564" s="100"/>
    </row>
    <row r="2565" spans="2:27">
      <c r="B2565" s="100"/>
      <c r="C2565" s="100"/>
      <c r="D2565" s="100"/>
      <c r="E2565" s="100"/>
      <c r="F2565" s="100"/>
      <c r="G2565" s="100"/>
      <c r="H2565" s="100"/>
      <c r="I2565" s="100"/>
      <c r="J2565" s="100"/>
      <c r="K2565" s="100"/>
      <c r="L2565" s="100"/>
      <c r="M2565" s="100"/>
      <c r="N2565" s="100"/>
      <c r="O2565" s="100"/>
      <c r="P2565" s="100"/>
      <c r="Q2565" s="100"/>
      <c r="R2565" s="100"/>
      <c r="S2565" s="100"/>
      <c r="T2565" s="100"/>
      <c r="U2565" s="100"/>
      <c r="V2565" s="100"/>
      <c r="W2565" s="100"/>
      <c r="X2565" s="100"/>
      <c r="Y2565" s="100"/>
      <c r="Z2565" s="100"/>
      <c r="AA2565" s="100"/>
    </row>
    <row r="2566" spans="2:27">
      <c r="B2566" s="100"/>
      <c r="C2566" s="100"/>
      <c r="D2566" s="100"/>
      <c r="E2566" s="100"/>
      <c r="F2566" s="100"/>
      <c r="G2566" s="100"/>
      <c r="H2566" s="100"/>
      <c r="I2566" s="100"/>
      <c r="J2566" s="100"/>
      <c r="K2566" s="100"/>
      <c r="L2566" s="100"/>
      <c r="M2566" s="100"/>
      <c r="N2566" s="100"/>
      <c r="O2566" s="100"/>
      <c r="P2566" s="100"/>
      <c r="Q2566" s="100"/>
      <c r="R2566" s="100"/>
      <c r="S2566" s="100"/>
      <c r="T2566" s="100"/>
      <c r="U2566" s="100"/>
      <c r="V2566" s="100"/>
      <c r="W2566" s="100"/>
      <c r="X2566" s="100"/>
      <c r="Y2566" s="100"/>
      <c r="Z2566" s="100"/>
      <c r="AA2566" s="100"/>
    </row>
    <row r="2567" spans="2:27">
      <c r="B2567" s="100"/>
      <c r="C2567" s="100"/>
      <c r="D2567" s="100"/>
      <c r="E2567" s="100"/>
      <c r="F2567" s="100"/>
      <c r="G2567" s="100"/>
      <c r="H2567" s="100"/>
      <c r="I2567" s="100"/>
      <c r="J2567" s="100"/>
      <c r="K2567" s="100"/>
      <c r="L2567" s="100"/>
      <c r="M2567" s="100"/>
      <c r="N2567" s="100"/>
      <c r="O2567" s="100"/>
      <c r="P2567" s="100"/>
      <c r="Q2567" s="100"/>
      <c r="R2567" s="100"/>
      <c r="S2567" s="100"/>
      <c r="T2567" s="100"/>
      <c r="U2567" s="100"/>
      <c r="V2567" s="100"/>
      <c r="W2567" s="100"/>
      <c r="X2567" s="100"/>
      <c r="Y2567" s="100"/>
      <c r="Z2567" s="100"/>
      <c r="AA2567" s="100"/>
    </row>
    <row r="2568" spans="2:27">
      <c r="B2568" s="100"/>
      <c r="C2568" s="100"/>
      <c r="D2568" s="100"/>
      <c r="E2568" s="100"/>
      <c r="F2568" s="100"/>
      <c r="G2568" s="100"/>
      <c r="H2568" s="100"/>
      <c r="I2568" s="100"/>
      <c r="J2568" s="100"/>
      <c r="K2568" s="100"/>
      <c r="L2568" s="100"/>
      <c r="M2568" s="100"/>
      <c r="N2568" s="100"/>
      <c r="O2568" s="100"/>
      <c r="P2568" s="100"/>
      <c r="Q2568" s="100"/>
      <c r="R2568" s="100"/>
      <c r="S2568" s="100"/>
      <c r="T2568" s="100"/>
      <c r="U2568" s="100"/>
      <c r="V2568" s="100"/>
      <c r="W2568" s="100"/>
      <c r="X2568" s="100"/>
      <c r="Y2568" s="100"/>
      <c r="Z2568" s="100"/>
      <c r="AA2568" s="100"/>
    </row>
    <row r="2569" spans="2:27">
      <c r="B2569" s="100"/>
      <c r="C2569" s="100"/>
      <c r="D2569" s="100"/>
      <c r="E2569" s="100"/>
      <c r="F2569" s="100"/>
      <c r="G2569" s="100"/>
      <c r="H2569" s="100"/>
      <c r="I2569" s="100"/>
      <c r="J2569" s="100"/>
      <c r="K2569" s="100"/>
      <c r="L2569" s="100"/>
      <c r="M2569" s="100"/>
      <c r="N2569" s="100"/>
      <c r="O2569" s="100"/>
      <c r="P2569" s="100"/>
      <c r="Q2569" s="100"/>
      <c r="R2569" s="100"/>
      <c r="S2569" s="100"/>
      <c r="T2569" s="100"/>
      <c r="U2569" s="100"/>
      <c r="V2569" s="100"/>
      <c r="W2569" s="100"/>
      <c r="X2569" s="100"/>
      <c r="Y2569" s="100"/>
      <c r="Z2569" s="100"/>
      <c r="AA2569" s="100"/>
    </row>
    <row r="2570" spans="2:27">
      <c r="B2570" s="100"/>
      <c r="C2570" s="100"/>
      <c r="D2570" s="100"/>
      <c r="E2570" s="100"/>
      <c r="F2570" s="100"/>
      <c r="G2570" s="100"/>
      <c r="H2570" s="100"/>
      <c r="I2570" s="100"/>
      <c r="J2570" s="100"/>
      <c r="K2570" s="100"/>
      <c r="L2570" s="100"/>
      <c r="M2570" s="100"/>
      <c r="N2570" s="100"/>
      <c r="O2570" s="100"/>
      <c r="P2570" s="100"/>
      <c r="Q2570" s="100"/>
      <c r="R2570" s="100"/>
      <c r="S2570" s="100"/>
      <c r="T2570" s="100"/>
      <c r="U2570" s="100"/>
      <c r="V2570" s="100"/>
      <c r="W2570" s="100"/>
      <c r="X2570" s="100"/>
      <c r="Y2570" s="100"/>
      <c r="Z2570" s="100"/>
      <c r="AA2570" s="100"/>
    </row>
    <row r="2571" spans="2:27">
      <c r="B2571" s="100"/>
      <c r="C2571" s="100"/>
      <c r="D2571" s="100"/>
      <c r="E2571" s="100"/>
      <c r="F2571" s="100"/>
      <c r="G2571" s="100"/>
      <c r="H2571" s="100"/>
      <c r="I2571" s="100"/>
      <c r="J2571" s="100"/>
      <c r="K2571" s="100"/>
      <c r="L2571" s="100"/>
      <c r="M2571" s="100"/>
      <c r="N2571" s="100"/>
      <c r="O2571" s="100"/>
      <c r="P2571" s="100"/>
      <c r="Q2571" s="100"/>
      <c r="R2571" s="100"/>
      <c r="S2571" s="100"/>
      <c r="T2571" s="100"/>
      <c r="U2571" s="100"/>
      <c r="V2571" s="100"/>
      <c r="W2571" s="100"/>
      <c r="X2571" s="100"/>
      <c r="Y2571" s="100"/>
      <c r="Z2571" s="100"/>
      <c r="AA2571" s="100"/>
    </row>
    <row r="2572" spans="2:27">
      <c r="B2572" s="100"/>
      <c r="C2572" s="100"/>
      <c r="D2572" s="100"/>
      <c r="E2572" s="100"/>
      <c r="F2572" s="100"/>
      <c r="G2572" s="100"/>
      <c r="H2572" s="100"/>
      <c r="I2572" s="100"/>
      <c r="J2572" s="100"/>
      <c r="K2572" s="100"/>
      <c r="L2572" s="100"/>
      <c r="M2572" s="100"/>
      <c r="N2572" s="100"/>
      <c r="O2572" s="100"/>
      <c r="P2572" s="100"/>
      <c r="Q2572" s="100"/>
      <c r="R2572" s="100"/>
      <c r="S2572" s="100"/>
      <c r="T2572" s="100"/>
      <c r="U2572" s="100"/>
      <c r="V2572" s="100"/>
      <c r="W2572" s="100"/>
      <c r="X2572" s="100"/>
      <c r="Y2572" s="100"/>
      <c r="Z2572" s="100"/>
      <c r="AA2572" s="100"/>
    </row>
    <row r="2573" spans="2:27">
      <c r="B2573" s="100"/>
      <c r="C2573" s="100"/>
      <c r="D2573" s="100"/>
      <c r="E2573" s="100"/>
      <c r="F2573" s="100"/>
      <c r="G2573" s="100"/>
      <c r="H2573" s="100"/>
      <c r="I2573" s="100"/>
      <c r="J2573" s="100"/>
      <c r="K2573" s="100"/>
      <c r="L2573" s="100"/>
      <c r="M2573" s="100"/>
      <c r="N2573" s="100"/>
      <c r="O2573" s="100"/>
      <c r="P2573" s="100"/>
      <c r="Q2573" s="100"/>
      <c r="R2573" s="100"/>
      <c r="S2573" s="100"/>
      <c r="T2573" s="100"/>
      <c r="U2573" s="100"/>
      <c r="V2573" s="100"/>
      <c r="W2573" s="100"/>
      <c r="X2573" s="100"/>
      <c r="Y2573" s="100"/>
      <c r="Z2573" s="100"/>
      <c r="AA2573" s="100"/>
    </row>
    <row r="2574" spans="2:27">
      <c r="B2574" s="100"/>
      <c r="C2574" s="100"/>
      <c r="D2574" s="100"/>
      <c r="E2574" s="100"/>
      <c r="F2574" s="100"/>
      <c r="G2574" s="100"/>
      <c r="H2574" s="100"/>
      <c r="I2574" s="100"/>
      <c r="J2574" s="100"/>
      <c r="K2574" s="100"/>
      <c r="L2574" s="100"/>
      <c r="M2574" s="100"/>
      <c r="N2574" s="100"/>
      <c r="O2574" s="100"/>
      <c r="P2574" s="100"/>
      <c r="Q2574" s="100"/>
      <c r="R2574" s="100"/>
      <c r="S2574" s="100"/>
      <c r="T2574" s="100"/>
      <c r="U2574" s="100"/>
      <c r="V2574" s="100"/>
      <c r="W2574" s="100"/>
      <c r="X2574" s="100"/>
      <c r="Y2574" s="100"/>
      <c r="Z2574" s="100"/>
      <c r="AA2574" s="100"/>
    </row>
    <row r="2575" spans="2:27">
      <c r="B2575" s="100"/>
      <c r="C2575" s="100"/>
      <c r="D2575" s="100"/>
      <c r="E2575" s="100"/>
      <c r="F2575" s="100"/>
      <c r="G2575" s="100"/>
      <c r="H2575" s="100"/>
      <c r="I2575" s="100"/>
      <c r="J2575" s="100"/>
      <c r="K2575" s="100"/>
      <c r="L2575" s="100"/>
      <c r="M2575" s="100"/>
      <c r="N2575" s="100"/>
      <c r="O2575" s="100"/>
      <c r="P2575" s="100"/>
      <c r="Q2575" s="100"/>
      <c r="R2575" s="100"/>
      <c r="S2575" s="100"/>
      <c r="T2575" s="100"/>
      <c r="U2575" s="100"/>
      <c r="V2575" s="100"/>
      <c r="W2575" s="100"/>
      <c r="X2575" s="100"/>
      <c r="Y2575" s="100"/>
      <c r="Z2575" s="100"/>
      <c r="AA2575" s="100"/>
    </row>
    <row r="2576" spans="2:27">
      <c r="B2576" s="100"/>
      <c r="C2576" s="100"/>
      <c r="D2576" s="100"/>
      <c r="E2576" s="100"/>
      <c r="F2576" s="100"/>
      <c r="G2576" s="100"/>
      <c r="H2576" s="100"/>
      <c r="I2576" s="100"/>
      <c r="J2576" s="100"/>
      <c r="K2576" s="100"/>
      <c r="L2576" s="100"/>
      <c r="M2576" s="100"/>
      <c r="N2576" s="100"/>
      <c r="O2576" s="100"/>
      <c r="P2576" s="100"/>
      <c r="Q2576" s="100"/>
      <c r="R2576" s="100"/>
      <c r="S2576" s="100"/>
      <c r="T2576" s="100"/>
      <c r="U2576" s="100"/>
      <c r="V2576" s="100"/>
      <c r="W2576" s="100"/>
      <c r="X2576" s="100"/>
      <c r="Y2576" s="100"/>
      <c r="Z2576" s="100"/>
      <c r="AA2576" s="100"/>
    </row>
    <row r="2577" spans="2:27">
      <c r="B2577" s="100"/>
      <c r="C2577" s="100"/>
      <c r="D2577" s="100"/>
      <c r="E2577" s="100"/>
      <c r="F2577" s="100"/>
      <c r="G2577" s="100"/>
      <c r="H2577" s="100"/>
      <c r="I2577" s="100"/>
      <c r="J2577" s="100"/>
      <c r="K2577" s="100"/>
      <c r="L2577" s="100"/>
      <c r="M2577" s="100"/>
      <c r="N2577" s="100"/>
      <c r="O2577" s="100"/>
      <c r="P2577" s="100"/>
      <c r="Q2577" s="100"/>
      <c r="R2577" s="100"/>
      <c r="S2577" s="100"/>
      <c r="T2577" s="100"/>
      <c r="U2577" s="100"/>
      <c r="V2577" s="100"/>
      <c r="W2577" s="100"/>
      <c r="X2577" s="100"/>
      <c r="Y2577" s="100"/>
      <c r="Z2577" s="100"/>
      <c r="AA2577" s="100"/>
    </row>
    <row r="2578" spans="2:27">
      <c r="B2578" s="100"/>
      <c r="C2578" s="100"/>
      <c r="D2578" s="100"/>
      <c r="E2578" s="100"/>
      <c r="F2578" s="100"/>
      <c r="G2578" s="100"/>
      <c r="H2578" s="100"/>
      <c r="I2578" s="100"/>
      <c r="J2578" s="100"/>
      <c r="K2578" s="100"/>
      <c r="L2578" s="100"/>
      <c r="M2578" s="100"/>
      <c r="N2578" s="100"/>
      <c r="O2578" s="100"/>
      <c r="P2578" s="100"/>
      <c r="Q2578" s="100"/>
      <c r="R2578" s="100"/>
      <c r="S2578" s="100"/>
      <c r="T2578" s="100"/>
      <c r="U2578" s="100"/>
      <c r="V2578" s="100"/>
      <c r="W2578" s="100"/>
      <c r="X2578" s="100"/>
      <c r="Y2578" s="100"/>
      <c r="Z2578" s="100"/>
      <c r="AA2578" s="100"/>
    </row>
    <row r="2579" spans="2:27">
      <c r="B2579" s="100"/>
      <c r="C2579" s="100"/>
      <c r="D2579" s="100"/>
      <c r="E2579" s="100"/>
      <c r="F2579" s="100"/>
      <c r="G2579" s="100"/>
      <c r="H2579" s="100"/>
      <c r="I2579" s="100"/>
      <c r="J2579" s="100"/>
      <c r="K2579" s="100"/>
      <c r="L2579" s="100"/>
      <c r="M2579" s="100"/>
      <c r="N2579" s="100"/>
      <c r="O2579" s="100"/>
      <c r="P2579" s="100"/>
      <c r="Q2579" s="100"/>
      <c r="R2579" s="100"/>
      <c r="S2579" s="100"/>
      <c r="T2579" s="100"/>
      <c r="U2579" s="100"/>
      <c r="V2579" s="100"/>
      <c r="W2579" s="100"/>
      <c r="X2579" s="100"/>
      <c r="Y2579" s="100"/>
      <c r="Z2579" s="100"/>
      <c r="AA2579" s="100"/>
    </row>
    <row r="2580" spans="2:27">
      <c r="B2580" s="100"/>
      <c r="C2580" s="100"/>
      <c r="D2580" s="100"/>
      <c r="E2580" s="100"/>
      <c r="F2580" s="100"/>
      <c r="G2580" s="100"/>
      <c r="H2580" s="100"/>
      <c r="I2580" s="100"/>
      <c r="J2580" s="100"/>
      <c r="K2580" s="100"/>
      <c r="L2580" s="100"/>
      <c r="M2580" s="100"/>
      <c r="N2580" s="100"/>
      <c r="O2580" s="100"/>
      <c r="P2580" s="100"/>
      <c r="Q2580" s="100"/>
      <c r="R2580" s="100"/>
      <c r="S2580" s="100"/>
      <c r="T2580" s="100"/>
      <c r="U2580" s="100"/>
      <c r="V2580" s="100"/>
      <c r="W2580" s="100"/>
      <c r="X2580" s="100"/>
      <c r="Y2580" s="100"/>
      <c r="Z2580" s="100"/>
      <c r="AA2580" s="100"/>
    </row>
    <row r="2581" spans="2:27">
      <c r="B2581" s="100"/>
      <c r="C2581" s="100"/>
      <c r="D2581" s="100"/>
      <c r="E2581" s="100"/>
      <c r="F2581" s="100"/>
      <c r="G2581" s="100"/>
      <c r="H2581" s="100"/>
      <c r="I2581" s="100"/>
      <c r="J2581" s="100"/>
      <c r="K2581" s="100"/>
      <c r="L2581" s="100"/>
      <c r="M2581" s="100"/>
      <c r="N2581" s="100"/>
      <c r="O2581" s="100"/>
      <c r="P2581" s="100"/>
      <c r="Q2581" s="100"/>
      <c r="R2581" s="100"/>
      <c r="S2581" s="100"/>
      <c r="T2581" s="100"/>
      <c r="U2581" s="100"/>
      <c r="V2581" s="100"/>
      <c r="W2581" s="100"/>
      <c r="X2581" s="100"/>
      <c r="Y2581" s="100"/>
      <c r="Z2581" s="100"/>
      <c r="AA2581" s="100"/>
    </row>
    <row r="2582" spans="2:27">
      <c r="B2582" s="100"/>
      <c r="C2582" s="100"/>
      <c r="D2582" s="100"/>
      <c r="E2582" s="100"/>
      <c r="F2582" s="100"/>
      <c r="G2582" s="100"/>
      <c r="H2582" s="100"/>
      <c r="I2582" s="100"/>
      <c r="J2582" s="100"/>
      <c r="K2582" s="100"/>
      <c r="L2582" s="100"/>
      <c r="M2582" s="100"/>
      <c r="N2582" s="100"/>
      <c r="O2582" s="100"/>
      <c r="P2582" s="100"/>
      <c r="Q2582" s="100"/>
      <c r="R2582" s="100"/>
      <c r="S2582" s="100"/>
      <c r="T2582" s="100"/>
      <c r="U2582" s="100"/>
      <c r="V2582" s="100"/>
      <c r="W2582" s="100"/>
      <c r="X2582" s="100"/>
      <c r="Y2582" s="100"/>
      <c r="Z2582" s="100"/>
      <c r="AA2582" s="100"/>
    </row>
    <row r="2583" spans="2:27">
      <c r="B2583" s="100"/>
      <c r="C2583" s="100"/>
      <c r="D2583" s="100"/>
      <c r="E2583" s="100"/>
      <c r="F2583" s="100"/>
      <c r="G2583" s="100"/>
      <c r="H2583" s="100"/>
      <c r="I2583" s="100"/>
      <c r="J2583" s="100"/>
      <c r="K2583" s="100"/>
      <c r="L2583" s="100"/>
      <c r="M2583" s="100"/>
      <c r="N2583" s="100"/>
      <c r="O2583" s="100"/>
      <c r="P2583" s="100"/>
      <c r="Q2583" s="100"/>
      <c r="R2583" s="100"/>
      <c r="S2583" s="100"/>
      <c r="T2583" s="100"/>
      <c r="U2583" s="100"/>
      <c r="V2583" s="100"/>
      <c r="W2583" s="100"/>
      <c r="X2583" s="100"/>
      <c r="Y2583" s="100"/>
      <c r="Z2583" s="100"/>
      <c r="AA2583" s="100"/>
    </row>
    <row r="2584" spans="2:27">
      <c r="B2584" s="100"/>
      <c r="C2584" s="100"/>
      <c r="D2584" s="100"/>
      <c r="E2584" s="100"/>
      <c r="F2584" s="100"/>
      <c r="G2584" s="100"/>
      <c r="H2584" s="100"/>
      <c r="I2584" s="100"/>
      <c r="J2584" s="100"/>
      <c r="K2584" s="100"/>
      <c r="L2584" s="100"/>
      <c r="M2584" s="100"/>
      <c r="N2584" s="100"/>
      <c r="O2584" s="100"/>
      <c r="P2584" s="100"/>
      <c r="Q2584" s="100"/>
      <c r="R2584" s="100"/>
      <c r="S2584" s="100"/>
      <c r="T2584" s="100"/>
      <c r="U2584" s="100"/>
      <c r="V2584" s="100"/>
      <c r="W2584" s="100"/>
      <c r="X2584" s="100"/>
      <c r="Y2584" s="100"/>
      <c r="Z2584" s="100"/>
      <c r="AA2584" s="100"/>
    </row>
    <row r="2585" spans="2:27">
      <c r="B2585" s="100"/>
      <c r="C2585" s="100"/>
      <c r="D2585" s="100"/>
      <c r="E2585" s="100"/>
      <c r="F2585" s="100"/>
      <c r="G2585" s="100"/>
      <c r="H2585" s="100"/>
      <c r="I2585" s="100"/>
      <c r="J2585" s="100"/>
      <c r="K2585" s="100"/>
      <c r="L2585" s="100"/>
      <c r="M2585" s="100"/>
      <c r="N2585" s="100"/>
      <c r="O2585" s="100"/>
      <c r="P2585" s="100"/>
      <c r="Q2585" s="100"/>
      <c r="R2585" s="100"/>
      <c r="S2585" s="100"/>
      <c r="T2585" s="100"/>
      <c r="U2585" s="100"/>
      <c r="V2585" s="100"/>
      <c r="W2585" s="100"/>
      <c r="X2585" s="100"/>
      <c r="Y2585" s="100"/>
      <c r="Z2585" s="100"/>
      <c r="AA2585" s="100"/>
    </row>
    <row r="2586" spans="2:27">
      <c r="B2586" s="100"/>
      <c r="C2586" s="100"/>
      <c r="D2586" s="100"/>
      <c r="E2586" s="100"/>
      <c r="F2586" s="100"/>
      <c r="G2586" s="100"/>
      <c r="H2586" s="100"/>
      <c r="I2586" s="100"/>
      <c r="J2586" s="100"/>
      <c r="K2586" s="100"/>
      <c r="L2586" s="100"/>
      <c r="M2586" s="100"/>
      <c r="N2586" s="100"/>
      <c r="O2586" s="100"/>
      <c r="P2586" s="100"/>
      <c r="Q2586" s="100"/>
      <c r="R2586" s="100"/>
      <c r="S2586" s="100"/>
      <c r="T2586" s="100"/>
      <c r="U2586" s="100"/>
      <c r="V2586" s="100"/>
      <c r="W2586" s="100"/>
      <c r="X2586" s="100"/>
      <c r="Y2586" s="100"/>
      <c r="Z2586" s="100"/>
      <c r="AA2586" s="100"/>
    </row>
    <row r="2587" spans="2:27">
      <c r="B2587" s="100"/>
      <c r="C2587" s="100"/>
      <c r="D2587" s="100"/>
      <c r="E2587" s="100"/>
      <c r="F2587" s="100"/>
      <c r="G2587" s="100"/>
      <c r="H2587" s="100"/>
      <c r="I2587" s="100"/>
      <c r="J2587" s="100"/>
      <c r="K2587" s="100"/>
      <c r="L2587" s="100"/>
      <c r="M2587" s="100"/>
      <c r="N2587" s="100"/>
      <c r="O2587" s="100"/>
      <c r="P2587" s="100"/>
      <c r="Q2587" s="100"/>
      <c r="R2587" s="100"/>
      <c r="S2587" s="100"/>
      <c r="T2587" s="100"/>
      <c r="U2587" s="100"/>
      <c r="V2587" s="100"/>
      <c r="W2587" s="100"/>
      <c r="X2587" s="100"/>
      <c r="Y2587" s="100"/>
      <c r="Z2587" s="100"/>
      <c r="AA2587" s="100"/>
    </row>
    <row r="2588" spans="2:27">
      <c r="B2588" s="100"/>
      <c r="C2588" s="100"/>
      <c r="D2588" s="100"/>
      <c r="E2588" s="100"/>
      <c r="F2588" s="100"/>
      <c r="G2588" s="100"/>
      <c r="H2588" s="100"/>
      <c r="I2588" s="100"/>
      <c r="J2588" s="100"/>
      <c r="K2588" s="100"/>
      <c r="L2588" s="100"/>
      <c r="M2588" s="100"/>
      <c r="N2588" s="100"/>
      <c r="O2588" s="100"/>
      <c r="P2588" s="100"/>
      <c r="Q2588" s="100"/>
      <c r="R2588" s="100"/>
      <c r="S2588" s="100"/>
      <c r="T2588" s="100"/>
      <c r="U2588" s="100"/>
      <c r="V2588" s="100"/>
      <c r="W2588" s="100"/>
      <c r="X2588" s="100"/>
      <c r="Y2588" s="100"/>
      <c r="Z2588" s="100"/>
      <c r="AA2588" s="100"/>
    </row>
    <row r="2589" spans="2:27">
      <c r="B2589" s="100"/>
      <c r="C2589" s="100"/>
      <c r="D2589" s="100"/>
      <c r="E2589" s="100"/>
      <c r="F2589" s="100"/>
      <c r="G2589" s="100"/>
      <c r="H2589" s="100"/>
      <c r="I2589" s="100"/>
      <c r="J2589" s="100"/>
      <c r="K2589" s="100"/>
      <c r="L2589" s="100"/>
      <c r="M2589" s="100"/>
      <c r="N2589" s="100"/>
      <c r="O2589" s="100"/>
      <c r="P2589" s="100"/>
      <c r="Q2589" s="100"/>
      <c r="R2589" s="100"/>
      <c r="S2589" s="100"/>
      <c r="T2589" s="100"/>
      <c r="U2589" s="100"/>
      <c r="V2589" s="100"/>
      <c r="W2589" s="100"/>
      <c r="X2589" s="100"/>
      <c r="Y2589" s="100"/>
      <c r="Z2589" s="100"/>
      <c r="AA2589" s="100"/>
    </row>
    <row r="2590" spans="2:27">
      <c r="B2590" s="100"/>
      <c r="C2590" s="100"/>
      <c r="D2590" s="100"/>
      <c r="E2590" s="100"/>
      <c r="F2590" s="100"/>
      <c r="G2590" s="100"/>
      <c r="H2590" s="100"/>
      <c r="I2590" s="100"/>
      <c r="J2590" s="100"/>
      <c r="K2590" s="100"/>
      <c r="L2590" s="100"/>
      <c r="M2590" s="100"/>
      <c r="N2590" s="100"/>
      <c r="O2590" s="100"/>
      <c r="P2590" s="100"/>
      <c r="Q2590" s="100"/>
      <c r="R2590" s="100"/>
      <c r="S2590" s="100"/>
      <c r="T2590" s="100"/>
      <c r="U2590" s="100"/>
      <c r="V2590" s="100"/>
      <c r="W2590" s="100"/>
      <c r="X2590" s="100"/>
      <c r="Y2590" s="100"/>
      <c r="Z2590" s="100"/>
      <c r="AA2590" s="100"/>
    </row>
    <row r="2591" spans="2:27">
      <c r="B2591" s="100"/>
      <c r="C2591" s="100"/>
      <c r="D2591" s="100"/>
      <c r="E2591" s="100"/>
      <c r="F2591" s="100"/>
      <c r="G2591" s="100"/>
      <c r="H2591" s="100"/>
      <c r="I2591" s="100"/>
      <c r="J2591" s="100"/>
      <c r="K2591" s="100"/>
      <c r="L2591" s="100"/>
      <c r="M2591" s="100"/>
      <c r="N2591" s="100"/>
      <c r="O2591" s="100"/>
      <c r="P2591" s="100"/>
      <c r="Q2591" s="100"/>
      <c r="R2591" s="100"/>
      <c r="S2591" s="100"/>
      <c r="T2591" s="100"/>
      <c r="U2591" s="100"/>
      <c r="V2591" s="100"/>
      <c r="W2591" s="100"/>
      <c r="X2591" s="100"/>
      <c r="Y2591" s="100"/>
      <c r="Z2591" s="100"/>
      <c r="AA2591" s="100"/>
    </row>
    <row r="2592" spans="2:27">
      <c r="B2592" s="100"/>
      <c r="C2592" s="100"/>
      <c r="D2592" s="100"/>
      <c r="E2592" s="100"/>
      <c r="F2592" s="100"/>
      <c r="G2592" s="100"/>
      <c r="H2592" s="100"/>
      <c r="I2592" s="100"/>
      <c r="J2592" s="100"/>
      <c r="K2592" s="100"/>
      <c r="L2592" s="100"/>
      <c r="M2592" s="100"/>
      <c r="N2592" s="100"/>
      <c r="O2592" s="100"/>
      <c r="P2592" s="100"/>
      <c r="Q2592" s="100"/>
      <c r="R2592" s="100"/>
      <c r="S2592" s="100"/>
      <c r="T2592" s="100"/>
      <c r="U2592" s="100"/>
      <c r="V2592" s="100"/>
      <c r="W2592" s="100"/>
      <c r="X2592" s="100"/>
      <c r="Y2592" s="100"/>
      <c r="Z2592" s="100"/>
      <c r="AA2592" s="100"/>
    </row>
    <row r="2593" spans="2:27">
      <c r="B2593" s="100"/>
      <c r="C2593" s="100"/>
      <c r="D2593" s="100"/>
      <c r="E2593" s="100"/>
      <c r="F2593" s="100"/>
      <c r="G2593" s="100"/>
      <c r="H2593" s="100"/>
      <c r="I2593" s="100"/>
      <c r="J2593" s="100"/>
      <c r="K2593" s="100"/>
      <c r="L2593" s="100"/>
      <c r="M2593" s="100"/>
      <c r="N2593" s="100"/>
      <c r="O2593" s="100"/>
      <c r="P2593" s="100"/>
      <c r="Q2593" s="100"/>
      <c r="R2593" s="100"/>
      <c r="S2593" s="100"/>
      <c r="T2593" s="100"/>
      <c r="U2593" s="100"/>
      <c r="V2593" s="100"/>
      <c r="W2593" s="100"/>
      <c r="X2593" s="100"/>
      <c r="Y2593" s="100"/>
      <c r="Z2593" s="100"/>
      <c r="AA2593" s="100"/>
    </row>
    <row r="2594" spans="2:27">
      <c r="B2594" s="100"/>
      <c r="C2594" s="100"/>
      <c r="D2594" s="100"/>
      <c r="E2594" s="100"/>
      <c r="F2594" s="100"/>
      <c r="G2594" s="100"/>
      <c r="H2594" s="100"/>
      <c r="I2594" s="100"/>
      <c r="J2594" s="100"/>
      <c r="K2594" s="100"/>
      <c r="L2594" s="100"/>
      <c r="M2594" s="100"/>
      <c r="N2594" s="100"/>
      <c r="O2594" s="100"/>
      <c r="P2594" s="100"/>
      <c r="Q2594" s="100"/>
      <c r="R2594" s="100"/>
      <c r="S2594" s="100"/>
      <c r="T2594" s="100"/>
      <c r="U2594" s="100"/>
      <c r="V2594" s="100"/>
      <c r="W2594" s="100"/>
      <c r="X2594" s="100"/>
      <c r="Y2594" s="100"/>
      <c r="Z2594" s="100"/>
      <c r="AA2594" s="100"/>
    </row>
    <row r="2595" spans="2:27">
      <c r="B2595" s="100"/>
      <c r="C2595" s="100"/>
      <c r="D2595" s="100"/>
      <c r="E2595" s="100"/>
      <c r="F2595" s="100"/>
      <c r="G2595" s="100"/>
      <c r="H2595" s="100"/>
      <c r="I2595" s="100"/>
      <c r="J2595" s="100"/>
      <c r="K2595" s="100"/>
      <c r="L2595" s="100"/>
      <c r="M2595" s="100"/>
      <c r="N2595" s="100"/>
      <c r="O2595" s="100"/>
      <c r="P2595" s="100"/>
      <c r="Q2595" s="100"/>
      <c r="R2595" s="100"/>
      <c r="S2595" s="100"/>
      <c r="T2595" s="100"/>
      <c r="U2595" s="100"/>
      <c r="V2595" s="100"/>
      <c r="W2595" s="100"/>
      <c r="X2595" s="100"/>
      <c r="Y2595" s="100"/>
      <c r="Z2595" s="100"/>
      <c r="AA2595" s="100"/>
    </row>
    <row r="2596" spans="2:27">
      <c r="B2596" s="100"/>
      <c r="C2596" s="100"/>
      <c r="D2596" s="100"/>
      <c r="E2596" s="100"/>
      <c r="F2596" s="100"/>
      <c r="G2596" s="100"/>
      <c r="H2596" s="100"/>
      <c r="I2596" s="100"/>
      <c r="J2596" s="100"/>
      <c r="K2596" s="100"/>
      <c r="L2596" s="100"/>
      <c r="M2596" s="100"/>
      <c r="N2596" s="100"/>
      <c r="O2596" s="100"/>
      <c r="P2596" s="100"/>
      <c r="Q2596" s="100"/>
      <c r="R2596" s="100"/>
      <c r="S2596" s="100"/>
      <c r="T2596" s="100"/>
      <c r="U2596" s="100"/>
      <c r="V2596" s="100"/>
      <c r="W2596" s="100"/>
      <c r="X2596" s="100"/>
      <c r="Y2596" s="100"/>
      <c r="Z2596" s="100"/>
      <c r="AA2596" s="100"/>
    </row>
    <row r="2597" spans="2:27">
      <c r="B2597" s="100"/>
      <c r="C2597" s="100"/>
      <c r="D2597" s="100"/>
      <c r="E2597" s="100"/>
      <c r="F2597" s="100"/>
      <c r="G2597" s="100"/>
      <c r="H2597" s="100"/>
      <c r="I2597" s="100"/>
      <c r="J2597" s="100"/>
      <c r="K2597" s="100"/>
      <c r="L2597" s="100"/>
      <c r="M2597" s="100"/>
      <c r="N2597" s="100"/>
      <c r="O2597" s="100"/>
      <c r="P2597" s="100"/>
      <c r="Q2597" s="100"/>
      <c r="R2597" s="100"/>
      <c r="S2597" s="100"/>
      <c r="T2597" s="100"/>
      <c r="U2597" s="100"/>
      <c r="V2597" s="100"/>
      <c r="W2597" s="100"/>
      <c r="X2597" s="100"/>
      <c r="Y2597" s="100"/>
      <c r="Z2597" s="100"/>
      <c r="AA2597" s="100"/>
    </row>
    <row r="2598" spans="2:27">
      <c r="B2598" s="100"/>
      <c r="C2598" s="100"/>
      <c r="D2598" s="100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  <c r="AA2598" s="100"/>
    </row>
    <row r="2599" spans="2:27">
      <c r="B2599" s="100"/>
      <c r="C2599" s="100"/>
      <c r="D2599" s="100"/>
      <c r="E2599" s="100"/>
      <c r="F2599" s="100"/>
      <c r="G2599" s="100"/>
      <c r="H2599" s="100"/>
      <c r="I2599" s="100"/>
      <c r="J2599" s="100"/>
      <c r="K2599" s="100"/>
      <c r="L2599" s="100"/>
      <c r="M2599" s="100"/>
      <c r="N2599" s="100"/>
      <c r="O2599" s="100"/>
      <c r="P2599" s="100"/>
      <c r="Q2599" s="100"/>
      <c r="R2599" s="100"/>
      <c r="S2599" s="100"/>
      <c r="T2599" s="100"/>
      <c r="U2599" s="100"/>
      <c r="V2599" s="100"/>
      <c r="W2599" s="100"/>
      <c r="X2599" s="100"/>
      <c r="Y2599" s="100"/>
      <c r="Z2599" s="100"/>
      <c r="AA2599" s="100"/>
    </row>
    <row r="2600" spans="2:27">
      <c r="B2600" s="100"/>
      <c r="C2600" s="100"/>
      <c r="D2600" s="100"/>
      <c r="E2600" s="100"/>
      <c r="F2600" s="100"/>
      <c r="G2600" s="100"/>
      <c r="H2600" s="100"/>
      <c r="I2600" s="100"/>
      <c r="J2600" s="100"/>
      <c r="K2600" s="100"/>
      <c r="L2600" s="100"/>
      <c r="M2600" s="100"/>
      <c r="N2600" s="100"/>
      <c r="O2600" s="100"/>
      <c r="P2600" s="100"/>
      <c r="Q2600" s="100"/>
      <c r="R2600" s="100"/>
      <c r="S2600" s="100"/>
      <c r="T2600" s="100"/>
      <c r="U2600" s="100"/>
      <c r="V2600" s="100"/>
      <c r="W2600" s="100"/>
      <c r="X2600" s="100"/>
      <c r="Y2600" s="100"/>
      <c r="Z2600" s="100"/>
      <c r="AA2600" s="100"/>
    </row>
    <row r="2601" spans="2:27">
      <c r="B2601" s="100"/>
      <c r="C2601" s="100"/>
      <c r="D2601" s="100"/>
      <c r="E2601" s="100"/>
      <c r="F2601" s="100"/>
      <c r="G2601" s="100"/>
      <c r="H2601" s="100"/>
      <c r="I2601" s="100"/>
      <c r="J2601" s="100"/>
      <c r="K2601" s="100"/>
      <c r="L2601" s="100"/>
      <c r="M2601" s="100"/>
      <c r="N2601" s="100"/>
      <c r="O2601" s="100"/>
      <c r="P2601" s="100"/>
      <c r="Q2601" s="100"/>
      <c r="R2601" s="100"/>
      <c r="S2601" s="100"/>
      <c r="T2601" s="100"/>
      <c r="U2601" s="100"/>
      <c r="V2601" s="100"/>
      <c r="W2601" s="100"/>
      <c r="X2601" s="100"/>
      <c r="Y2601" s="100"/>
      <c r="Z2601" s="100"/>
      <c r="AA2601" s="100"/>
    </row>
    <row r="2602" spans="2:27">
      <c r="B2602" s="100"/>
      <c r="C2602" s="100"/>
      <c r="D2602" s="100"/>
      <c r="E2602" s="100"/>
      <c r="F2602" s="100"/>
      <c r="G2602" s="100"/>
      <c r="H2602" s="100"/>
      <c r="I2602" s="100"/>
      <c r="J2602" s="100"/>
      <c r="K2602" s="100"/>
      <c r="L2602" s="100"/>
      <c r="M2602" s="100"/>
      <c r="N2602" s="100"/>
      <c r="O2602" s="100"/>
      <c r="P2602" s="100"/>
      <c r="Q2602" s="100"/>
      <c r="R2602" s="100"/>
      <c r="S2602" s="100"/>
      <c r="T2602" s="100"/>
      <c r="U2602" s="100"/>
      <c r="V2602" s="100"/>
      <c r="W2602" s="100"/>
      <c r="X2602" s="100"/>
      <c r="Y2602" s="100"/>
      <c r="Z2602" s="100"/>
      <c r="AA2602" s="100"/>
    </row>
    <row r="2603" spans="2:27">
      <c r="B2603" s="100"/>
      <c r="C2603" s="100"/>
      <c r="D2603" s="100"/>
      <c r="E2603" s="100"/>
      <c r="F2603" s="100"/>
      <c r="G2603" s="100"/>
      <c r="H2603" s="100"/>
      <c r="I2603" s="100"/>
      <c r="J2603" s="100"/>
      <c r="K2603" s="100"/>
      <c r="L2603" s="100"/>
      <c r="M2603" s="100"/>
      <c r="N2603" s="100"/>
      <c r="O2603" s="100"/>
      <c r="P2603" s="100"/>
      <c r="Q2603" s="100"/>
      <c r="R2603" s="100"/>
      <c r="S2603" s="100"/>
      <c r="T2603" s="100"/>
      <c r="U2603" s="100"/>
      <c r="V2603" s="100"/>
      <c r="W2603" s="100"/>
      <c r="X2603" s="100"/>
      <c r="Y2603" s="100"/>
      <c r="Z2603" s="100"/>
      <c r="AA2603" s="100"/>
    </row>
    <row r="2604" spans="2:27">
      <c r="B2604" s="100"/>
      <c r="C2604" s="100"/>
      <c r="D2604" s="100"/>
      <c r="E2604" s="100"/>
      <c r="F2604" s="100"/>
      <c r="G2604" s="100"/>
      <c r="H2604" s="100"/>
      <c r="I2604" s="100"/>
      <c r="J2604" s="100"/>
      <c r="K2604" s="100"/>
      <c r="L2604" s="100"/>
      <c r="M2604" s="100"/>
      <c r="N2604" s="100"/>
      <c r="O2604" s="100"/>
      <c r="P2604" s="100"/>
      <c r="Q2604" s="100"/>
      <c r="R2604" s="100"/>
      <c r="S2604" s="100"/>
      <c r="T2604" s="100"/>
      <c r="U2604" s="100"/>
      <c r="V2604" s="100"/>
      <c r="W2604" s="100"/>
      <c r="X2604" s="100"/>
      <c r="Y2604" s="100"/>
      <c r="Z2604" s="100"/>
      <c r="AA2604" s="100"/>
    </row>
    <row r="2605" spans="2:27">
      <c r="B2605" s="100"/>
      <c r="C2605" s="100"/>
      <c r="D2605" s="100"/>
      <c r="E2605" s="100"/>
      <c r="F2605" s="100"/>
      <c r="G2605" s="100"/>
      <c r="H2605" s="100"/>
      <c r="I2605" s="100"/>
      <c r="J2605" s="100"/>
      <c r="K2605" s="100"/>
      <c r="L2605" s="100"/>
      <c r="M2605" s="100"/>
      <c r="N2605" s="100"/>
      <c r="O2605" s="100"/>
      <c r="P2605" s="100"/>
      <c r="Q2605" s="100"/>
      <c r="R2605" s="100"/>
      <c r="S2605" s="100"/>
      <c r="T2605" s="100"/>
      <c r="U2605" s="100"/>
      <c r="V2605" s="100"/>
      <c r="W2605" s="100"/>
      <c r="X2605" s="100"/>
      <c r="Y2605" s="100"/>
      <c r="Z2605" s="100"/>
      <c r="AA2605" s="100"/>
    </row>
    <row r="2606" spans="2:27">
      <c r="B2606" s="100"/>
      <c r="C2606" s="100"/>
      <c r="D2606" s="100"/>
      <c r="E2606" s="100"/>
      <c r="F2606" s="100"/>
      <c r="G2606" s="100"/>
      <c r="H2606" s="100"/>
      <c r="I2606" s="100"/>
      <c r="J2606" s="100"/>
      <c r="K2606" s="100"/>
      <c r="L2606" s="100"/>
      <c r="M2606" s="100"/>
      <c r="N2606" s="100"/>
      <c r="O2606" s="100"/>
      <c r="P2606" s="100"/>
      <c r="Q2606" s="100"/>
      <c r="R2606" s="100"/>
      <c r="S2606" s="100"/>
      <c r="T2606" s="100"/>
      <c r="U2606" s="100"/>
      <c r="V2606" s="100"/>
      <c r="W2606" s="100"/>
      <c r="X2606" s="100"/>
      <c r="Y2606" s="100"/>
      <c r="Z2606" s="100"/>
      <c r="AA2606" s="100"/>
    </row>
    <row r="2607" spans="2:27">
      <c r="B2607" s="100"/>
      <c r="C2607" s="100"/>
      <c r="D2607" s="100"/>
      <c r="E2607" s="100"/>
      <c r="F2607" s="100"/>
      <c r="G2607" s="100"/>
      <c r="H2607" s="100"/>
      <c r="I2607" s="100"/>
      <c r="J2607" s="100"/>
      <c r="K2607" s="100"/>
      <c r="L2607" s="100"/>
      <c r="M2607" s="100"/>
      <c r="N2607" s="100"/>
      <c r="O2607" s="100"/>
      <c r="P2607" s="100"/>
      <c r="Q2607" s="100"/>
      <c r="R2607" s="100"/>
      <c r="S2607" s="100"/>
      <c r="T2607" s="100"/>
      <c r="U2607" s="100"/>
      <c r="V2607" s="100"/>
      <c r="W2607" s="100"/>
      <c r="X2607" s="100"/>
      <c r="Y2607" s="100"/>
      <c r="Z2607" s="100"/>
      <c r="AA2607" s="100"/>
    </row>
    <row r="2608" spans="2:27">
      <c r="B2608" s="100"/>
      <c r="C2608" s="100"/>
      <c r="D2608" s="100"/>
      <c r="E2608" s="100"/>
      <c r="F2608" s="100"/>
      <c r="G2608" s="100"/>
      <c r="H2608" s="100"/>
      <c r="I2608" s="100"/>
      <c r="J2608" s="100"/>
      <c r="K2608" s="100"/>
      <c r="L2608" s="100"/>
      <c r="M2608" s="100"/>
      <c r="N2608" s="100"/>
      <c r="O2608" s="100"/>
      <c r="P2608" s="100"/>
      <c r="Q2608" s="100"/>
      <c r="R2608" s="100"/>
      <c r="S2608" s="100"/>
      <c r="T2608" s="100"/>
      <c r="U2608" s="100"/>
      <c r="V2608" s="100"/>
      <c r="W2608" s="100"/>
      <c r="X2608" s="100"/>
      <c r="Y2608" s="100"/>
      <c r="Z2608" s="100"/>
      <c r="AA2608" s="100"/>
    </row>
    <row r="2609" spans="2:27">
      <c r="B2609" s="100"/>
      <c r="C2609" s="100"/>
      <c r="D2609" s="100"/>
      <c r="E2609" s="100"/>
      <c r="F2609" s="100"/>
      <c r="G2609" s="100"/>
      <c r="H2609" s="100"/>
      <c r="I2609" s="100"/>
      <c r="J2609" s="100"/>
      <c r="K2609" s="100"/>
      <c r="L2609" s="100"/>
      <c r="M2609" s="100"/>
      <c r="N2609" s="100"/>
      <c r="O2609" s="100"/>
      <c r="P2609" s="100"/>
      <c r="Q2609" s="100"/>
      <c r="R2609" s="100"/>
      <c r="S2609" s="100"/>
      <c r="T2609" s="100"/>
      <c r="U2609" s="100"/>
      <c r="V2609" s="100"/>
      <c r="W2609" s="100"/>
      <c r="X2609" s="100"/>
      <c r="Y2609" s="100"/>
      <c r="Z2609" s="100"/>
      <c r="AA2609" s="100"/>
    </row>
    <row r="2610" spans="2:27">
      <c r="B2610" s="100"/>
      <c r="C2610" s="100"/>
      <c r="D2610" s="100"/>
      <c r="E2610" s="100"/>
      <c r="F2610" s="100"/>
      <c r="G2610" s="100"/>
      <c r="H2610" s="100"/>
      <c r="I2610" s="100"/>
      <c r="J2610" s="100"/>
      <c r="K2610" s="100"/>
      <c r="L2610" s="100"/>
      <c r="M2610" s="100"/>
      <c r="N2610" s="100"/>
      <c r="O2610" s="100"/>
      <c r="P2610" s="100"/>
      <c r="Q2610" s="100"/>
      <c r="R2610" s="100"/>
      <c r="S2610" s="100"/>
      <c r="T2610" s="100"/>
      <c r="U2610" s="100"/>
      <c r="V2610" s="100"/>
      <c r="W2610" s="100"/>
      <c r="X2610" s="100"/>
      <c r="Y2610" s="100"/>
      <c r="Z2610" s="100"/>
      <c r="AA2610" s="100"/>
    </row>
    <row r="2611" spans="2:27">
      <c r="B2611" s="100"/>
      <c r="C2611" s="100"/>
      <c r="D2611" s="100"/>
      <c r="E2611" s="100"/>
      <c r="F2611" s="100"/>
      <c r="G2611" s="100"/>
      <c r="H2611" s="100"/>
      <c r="I2611" s="100"/>
      <c r="J2611" s="100"/>
      <c r="K2611" s="100"/>
      <c r="L2611" s="100"/>
      <c r="M2611" s="100"/>
      <c r="N2611" s="100"/>
      <c r="O2611" s="100"/>
      <c r="P2611" s="100"/>
      <c r="Q2611" s="100"/>
      <c r="R2611" s="100"/>
      <c r="S2611" s="100"/>
      <c r="T2611" s="100"/>
      <c r="U2611" s="100"/>
      <c r="V2611" s="100"/>
      <c r="W2611" s="100"/>
      <c r="X2611" s="100"/>
      <c r="Y2611" s="100"/>
      <c r="Z2611" s="100"/>
      <c r="AA2611" s="100"/>
    </row>
    <row r="2612" spans="2:27">
      <c r="B2612" s="100"/>
      <c r="C2612" s="100"/>
      <c r="D2612" s="100"/>
      <c r="E2612" s="100"/>
      <c r="F2612" s="100"/>
      <c r="G2612" s="100"/>
      <c r="H2612" s="100"/>
      <c r="I2612" s="100"/>
      <c r="J2612" s="100"/>
      <c r="K2612" s="100"/>
      <c r="L2612" s="100"/>
      <c r="M2612" s="100"/>
      <c r="N2612" s="100"/>
      <c r="O2612" s="100"/>
      <c r="P2612" s="100"/>
      <c r="Q2612" s="100"/>
      <c r="R2612" s="100"/>
      <c r="S2612" s="100"/>
      <c r="T2612" s="100"/>
      <c r="U2612" s="100"/>
      <c r="V2612" s="100"/>
      <c r="W2612" s="100"/>
      <c r="X2612" s="100"/>
      <c r="Y2612" s="100"/>
      <c r="Z2612" s="100"/>
      <c r="AA2612" s="100"/>
    </row>
    <row r="2613" spans="2:27">
      <c r="B2613" s="100"/>
      <c r="C2613" s="100"/>
      <c r="D2613" s="100"/>
      <c r="E2613" s="100"/>
      <c r="F2613" s="100"/>
      <c r="G2613" s="100"/>
      <c r="H2613" s="100"/>
      <c r="I2613" s="100"/>
      <c r="J2613" s="100"/>
      <c r="K2613" s="100"/>
      <c r="L2613" s="100"/>
      <c r="M2613" s="100"/>
      <c r="N2613" s="100"/>
      <c r="O2613" s="100"/>
      <c r="P2613" s="100"/>
      <c r="Q2613" s="100"/>
      <c r="R2613" s="100"/>
      <c r="S2613" s="100"/>
      <c r="T2613" s="100"/>
      <c r="U2613" s="100"/>
      <c r="V2613" s="100"/>
      <c r="W2613" s="100"/>
      <c r="X2613" s="100"/>
      <c r="Y2613" s="100"/>
      <c r="Z2613" s="100"/>
      <c r="AA2613" s="100"/>
    </row>
    <row r="2614" spans="2:27">
      <c r="B2614" s="100"/>
      <c r="C2614" s="100"/>
      <c r="D2614" s="100"/>
      <c r="E2614" s="100"/>
      <c r="F2614" s="100"/>
      <c r="G2614" s="100"/>
      <c r="H2614" s="100"/>
      <c r="I2614" s="100"/>
      <c r="J2614" s="100"/>
      <c r="K2614" s="100"/>
      <c r="L2614" s="100"/>
      <c r="M2614" s="100"/>
      <c r="N2614" s="100"/>
      <c r="O2614" s="100"/>
      <c r="P2614" s="100"/>
      <c r="Q2614" s="100"/>
      <c r="R2614" s="100"/>
      <c r="S2614" s="100"/>
      <c r="T2614" s="100"/>
      <c r="U2614" s="100"/>
      <c r="V2614" s="100"/>
      <c r="W2614" s="100"/>
      <c r="X2614" s="100"/>
      <c r="Y2614" s="100"/>
      <c r="Z2614" s="100"/>
      <c r="AA2614" s="100"/>
    </row>
    <row r="2615" spans="2:27">
      <c r="B2615" s="100"/>
      <c r="C2615" s="100"/>
      <c r="D2615" s="100"/>
      <c r="E2615" s="100"/>
      <c r="F2615" s="100"/>
      <c r="G2615" s="100"/>
      <c r="H2615" s="100"/>
      <c r="I2615" s="100"/>
      <c r="J2615" s="100"/>
      <c r="K2615" s="100"/>
      <c r="L2615" s="100"/>
      <c r="M2615" s="100"/>
      <c r="N2615" s="100"/>
      <c r="O2615" s="100"/>
      <c r="P2615" s="100"/>
      <c r="Q2615" s="100"/>
      <c r="R2615" s="100"/>
      <c r="S2615" s="100"/>
      <c r="T2615" s="100"/>
      <c r="U2615" s="100"/>
      <c r="V2615" s="100"/>
      <c r="W2615" s="100"/>
      <c r="X2615" s="100"/>
      <c r="Y2615" s="100"/>
      <c r="Z2615" s="100"/>
      <c r="AA2615" s="100"/>
    </row>
    <row r="2616" spans="2:27">
      <c r="B2616" s="100"/>
      <c r="C2616" s="100"/>
      <c r="D2616" s="100"/>
      <c r="E2616" s="100"/>
      <c r="F2616" s="100"/>
      <c r="G2616" s="100"/>
      <c r="H2616" s="100"/>
      <c r="I2616" s="100"/>
      <c r="J2616" s="100"/>
      <c r="K2616" s="100"/>
      <c r="L2616" s="100"/>
      <c r="M2616" s="100"/>
      <c r="N2616" s="100"/>
      <c r="O2616" s="100"/>
      <c r="P2616" s="100"/>
      <c r="Q2616" s="100"/>
      <c r="R2616" s="100"/>
      <c r="S2616" s="100"/>
      <c r="T2616" s="100"/>
      <c r="U2616" s="100"/>
      <c r="V2616" s="100"/>
      <c r="W2616" s="100"/>
      <c r="X2616" s="100"/>
      <c r="Y2616" s="100"/>
      <c r="Z2616" s="100"/>
      <c r="AA2616" s="100"/>
    </row>
    <row r="2617" spans="2:27">
      <c r="B2617" s="100"/>
      <c r="C2617" s="100"/>
      <c r="D2617" s="100"/>
      <c r="E2617" s="100"/>
      <c r="F2617" s="100"/>
      <c r="G2617" s="100"/>
      <c r="H2617" s="100"/>
      <c r="I2617" s="100"/>
      <c r="J2617" s="100"/>
      <c r="K2617" s="100"/>
      <c r="L2617" s="100"/>
      <c r="M2617" s="100"/>
      <c r="N2617" s="100"/>
      <c r="O2617" s="100"/>
      <c r="P2617" s="100"/>
      <c r="Q2617" s="100"/>
      <c r="R2617" s="100"/>
      <c r="S2617" s="100"/>
      <c r="T2617" s="100"/>
      <c r="U2617" s="100"/>
      <c r="V2617" s="100"/>
      <c r="W2617" s="100"/>
      <c r="X2617" s="100"/>
      <c r="Y2617" s="100"/>
      <c r="Z2617" s="100"/>
      <c r="AA2617" s="100"/>
    </row>
    <row r="2618" spans="2:27">
      <c r="B2618" s="100"/>
      <c r="C2618" s="100"/>
      <c r="D2618" s="100"/>
      <c r="E2618" s="100"/>
      <c r="F2618" s="100"/>
      <c r="G2618" s="100"/>
      <c r="H2618" s="100"/>
      <c r="I2618" s="100"/>
      <c r="J2618" s="100"/>
      <c r="K2618" s="100"/>
      <c r="L2618" s="100"/>
      <c r="M2618" s="100"/>
      <c r="N2618" s="100"/>
      <c r="O2618" s="100"/>
      <c r="P2618" s="100"/>
      <c r="Q2618" s="100"/>
      <c r="R2618" s="100"/>
      <c r="S2618" s="100"/>
      <c r="T2618" s="100"/>
      <c r="U2618" s="100"/>
      <c r="V2618" s="100"/>
      <c r="W2618" s="100"/>
      <c r="X2618" s="100"/>
      <c r="Y2618" s="100"/>
      <c r="Z2618" s="100"/>
      <c r="AA2618" s="100"/>
    </row>
    <row r="2619" spans="2:27">
      <c r="B2619" s="100"/>
      <c r="C2619" s="100"/>
      <c r="D2619" s="100"/>
      <c r="E2619" s="100"/>
      <c r="F2619" s="100"/>
      <c r="G2619" s="100"/>
      <c r="H2619" s="100"/>
      <c r="I2619" s="100"/>
      <c r="J2619" s="100"/>
      <c r="K2619" s="100"/>
      <c r="L2619" s="100"/>
      <c r="M2619" s="100"/>
      <c r="N2619" s="100"/>
      <c r="O2619" s="100"/>
      <c r="P2619" s="100"/>
      <c r="Q2619" s="100"/>
      <c r="R2619" s="100"/>
      <c r="S2619" s="100"/>
      <c r="T2619" s="100"/>
      <c r="U2619" s="100"/>
      <c r="V2619" s="100"/>
      <c r="W2619" s="100"/>
      <c r="X2619" s="100"/>
      <c r="Y2619" s="100"/>
      <c r="Z2619" s="100"/>
      <c r="AA2619" s="100"/>
    </row>
    <row r="2620" spans="2:27">
      <c r="B2620" s="100"/>
      <c r="C2620" s="100"/>
      <c r="D2620" s="100"/>
      <c r="E2620" s="100"/>
      <c r="F2620" s="100"/>
      <c r="G2620" s="100"/>
      <c r="H2620" s="100"/>
      <c r="I2620" s="100"/>
      <c r="J2620" s="100"/>
      <c r="K2620" s="100"/>
      <c r="L2620" s="100"/>
      <c r="M2620" s="100"/>
      <c r="N2620" s="100"/>
      <c r="O2620" s="100"/>
      <c r="P2620" s="100"/>
      <c r="Q2620" s="100"/>
      <c r="R2620" s="100"/>
      <c r="S2620" s="100"/>
      <c r="T2620" s="100"/>
      <c r="U2620" s="100"/>
      <c r="V2620" s="100"/>
      <c r="W2620" s="100"/>
      <c r="X2620" s="100"/>
      <c r="Y2620" s="100"/>
      <c r="Z2620" s="100"/>
      <c r="AA2620" s="100"/>
    </row>
    <row r="2621" spans="2:27">
      <c r="B2621" s="100"/>
      <c r="C2621" s="100"/>
      <c r="D2621" s="100"/>
      <c r="E2621" s="100"/>
      <c r="F2621" s="100"/>
      <c r="G2621" s="100"/>
      <c r="H2621" s="100"/>
      <c r="I2621" s="100"/>
      <c r="J2621" s="100"/>
      <c r="K2621" s="100"/>
      <c r="L2621" s="100"/>
      <c r="M2621" s="100"/>
      <c r="N2621" s="100"/>
      <c r="O2621" s="100"/>
      <c r="P2621" s="100"/>
      <c r="Q2621" s="100"/>
      <c r="R2621" s="100"/>
      <c r="S2621" s="100"/>
      <c r="T2621" s="100"/>
      <c r="U2621" s="100"/>
      <c r="V2621" s="100"/>
      <c r="W2621" s="100"/>
      <c r="X2621" s="100"/>
      <c r="Y2621" s="100"/>
      <c r="Z2621" s="100"/>
      <c r="AA2621" s="100"/>
    </row>
    <row r="2622" spans="2:27">
      <c r="B2622" s="100"/>
      <c r="C2622" s="100"/>
      <c r="D2622" s="100"/>
      <c r="E2622" s="100"/>
      <c r="F2622" s="100"/>
      <c r="G2622" s="100"/>
      <c r="H2622" s="100"/>
      <c r="I2622" s="100"/>
      <c r="J2622" s="100"/>
      <c r="K2622" s="100"/>
      <c r="L2622" s="100"/>
      <c r="M2622" s="100"/>
      <c r="N2622" s="100"/>
      <c r="O2622" s="100"/>
      <c r="P2622" s="100"/>
      <c r="Q2622" s="100"/>
      <c r="R2622" s="100"/>
      <c r="S2622" s="100"/>
      <c r="T2622" s="100"/>
      <c r="U2622" s="100"/>
      <c r="V2622" s="100"/>
      <c r="W2622" s="100"/>
      <c r="X2622" s="100"/>
      <c r="Y2622" s="100"/>
      <c r="Z2622" s="100"/>
      <c r="AA2622" s="100"/>
    </row>
    <row r="2623" spans="2:27">
      <c r="B2623" s="100"/>
      <c r="C2623" s="100"/>
      <c r="D2623" s="100"/>
      <c r="E2623" s="100"/>
      <c r="F2623" s="100"/>
      <c r="G2623" s="100"/>
      <c r="H2623" s="100"/>
      <c r="I2623" s="100"/>
      <c r="J2623" s="100"/>
      <c r="K2623" s="100"/>
      <c r="L2623" s="100"/>
      <c r="M2623" s="100"/>
      <c r="N2623" s="100"/>
      <c r="O2623" s="100"/>
      <c r="P2623" s="100"/>
      <c r="Q2623" s="100"/>
      <c r="R2623" s="100"/>
      <c r="S2623" s="100"/>
      <c r="T2623" s="100"/>
      <c r="U2623" s="100"/>
      <c r="V2623" s="100"/>
      <c r="W2623" s="100"/>
      <c r="X2623" s="100"/>
      <c r="Y2623" s="100"/>
      <c r="Z2623" s="100"/>
      <c r="AA2623" s="100"/>
    </row>
    <row r="2624" spans="2:27">
      <c r="B2624" s="100"/>
      <c r="C2624" s="100"/>
      <c r="D2624" s="100"/>
      <c r="E2624" s="100"/>
      <c r="F2624" s="100"/>
      <c r="G2624" s="100"/>
      <c r="H2624" s="100"/>
      <c r="I2624" s="100"/>
      <c r="J2624" s="100"/>
      <c r="K2624" s="100"/>
      <c r="L2624" s="100"/>
      <c r="M2624" s="100"/>
      <c r="N2624" s="100"/>
      <c r="O2624" s="100"/>
      <c r="P2624" s="100"/>
      <c r="Q2624" s="100"/>
      <c r="R2624" s="100"/>
      <c r="S2624" s="100"/>
      <c r="T2624" s="100"/>
      <c r="U2624" s="100"/>
      <c r="V2624" s="100"/>
      <c r="W2624" s="100"/>
      <c r="X2624" s="100"/>
      <c r="Y2624" s="100"/>
      <c r="Z2624" s="100"/>
      <c r="AA2624" s="100"/>
    </row>
    <row r="2625" spans="2:27">
      <c r="B2625" s="100"/>
      <c r="C2625" s="100"/>
      <c r="D2625" s="100"/>
      <c r="E2625" s="100"/>
      <c r="F2625" s="100"/>
      <c r="G2625" s="100"/>
      <c r="H2625" s="100"/>
      <c r="I2625" s="100"/>
      <c r="J2625" s="100"/>
      <c r="K2625" s="100"/>
      <c r="L2625" s="100"/>
      <c r="M2625" s="100"/>
      <c r="N2625" s="100"/>
      <c r="O2625" s="100"/>
      <c r="P2625" s="100"/>
      <c r="Q2625" s="100"/>
      <c r="R2625" s="100"/>
      <c r="S2625" s="100"/>
      <c r="T2625" s="100"/>
      <c r="U2625" s="100"/>
      <c r="V2625" s="100"/>
      <c r="W2625" s="100"/>
      <c r="X2625" s="100"/>
      <c r="Y2625" s="100"/>
      <c r="Z2625" s="100"/>
      <c r="AA2625" s="100"/>
    </row>
    <row r="2626" spans="2:27">
      <c r="B2626" s="100"/>
      <c r="C2626" s="100"/>
      <c r="D2626" s="100"/>
      <c r="E2626" s="100"/>
      <c r="F2626" s="100"/>
      <c r="G2626" s="100"/>
      <c r="H2626" s="100"/>
      <c r="I2626" s="100"/>
      <c r="J2626" s="100"/>
      <c r="K2626" s="100"/>
      <c r="L2626" s="100"/>
      <c r="M2626" s="100"/>
      <c r="N2626" s="100"/>
      <c r="O2626" s="100"/>
      <c r="P2626" s="100"/>
      <c r="Q2626" s="100"/>
      <c r="R2626" s="100"/>
      <c r="S2626" s="100"/>
      <c r="T2626" s="100"/>
      <c r="U2626" s="100"/>
      <c r="V2626" s="100"/>
      <c r="W2626" s="100"/>
      <c r="X2626" s="100"/>
      <c r="Y2626" s="100"/>
      <c r="Z2626" s="100"/>
      <c r="AA2626" s="100"/>
    </row>
    <row r="2627" spans="2:27">
      <c r="B2627" s="100"/>
      <c r="C2627" s="100"/>
      <c r="D2627" s="100"/>
      <c r="E2627" s="100"/>
      <c r="F2627" s="100"/>
      <c r="G2627" s="100"/>
      <c r="H2627" s="100"/>
      <c r="I2627" s="100"/>
      <c r="J2627" s="100"/>
      <c r="K2627" s="100"/>
      <c r="L2627" s="100"/>
      <c r="M2627" s="100"/>
      <c r="N2627" s="100"/>
      <c r="O2627" s="100"/>
      <c r="P2627" s="100"/>
      <c r="Q2627" s="100"/>
      <c r="R2627" s="100"/>
      <c r="S2627" s="100"/>
      <c r="T2627" s="100"/>
      <c r="U2627" s="100"/>
      <c r="V2627" s="100"/>
      <c r="W2627" s="100"/>
      <c r="X2627" s="100"/>
      <c r="Y2627" s="100"/>
      <c r="Z2627" s="100"/>
      <c r="AA2627" s="100"/>
    </row>
    <row r="2628" spans="2:27">
      <c r="B2628" s="100"/>
      <c r="C2628" s="100"/>
      <c r="D2628" s="100"/>
      <c r="E2628" s="100"/>
      <c r="F2628" s="100"/>
      <c r="G2628" s="100"/>
      <c r="H2628" s="100"/>
      <c r="I2628" s="100"/>
      <c r="J2628" s="100"/>
      <c r="K2628" s="100"/>
      <c r="L2628" s="100"/>
      <c r="M2628" s="100"/>
      <c r="N2628" s="100"/>
      <c r="O2628" s="100"/>
      <c r="P2628" s="100"/>
      <c r="Q2628" s="100"/>
      <c r="R2628" s="100"/>
      <c r="S2628" s="100"/>
      <c r="T2628" s="100"/>
      <c r="U2628" s="100"/>
      <c r="V2628" s="100"/>
      <c r="W2628" s="100"/>
      <c r="X2628" s="100"/>
      <c r="Y2628" s="100"/>
      <c r="Z2628" s="100"/>
      <c r="AA2628" s="100"/>
    </row>
    <row r="2629" spans="2:27">
      <c r="B2629" s="100"/>
      <c r="C2629" s="100"/>
      <c r="D2629" s="100"/>
      <c r="E2629" s="100"/>
      <c r="F2629" s="100"/>
      <c r="G2629" s="100"/>
      <c r="H2629" s="100"/>
      <c r="I2629" s="100"/>
      <c r="J2629" s="100"/>
      <c r="K2629" s="100"/>
      <c r="L2629" s="100"/>
      <c r="M2629" s="100"/>
      <c r="N2629" s="100"/>
      <c r="O2629" s="100"/>
      <c r="P2629" s="100"/>
      <c r="Q2629" s="100"/>
      <c r="R2629" s="100"/>
      <c r="S2629" s="100"/>
      <c r="T2629" s="100"/>
      <c r="U2629" s="100"/>
      <c r="V2629" s="100"/>
      <c r="W2629" s="100"/>
      <c r="X2629" s="100"/>
      <c r="Y2629" s="100"/>
      <c r="Z2629" s="100"/>
      <c r="AA2629" s="100"/>
    </row>
    <row r="2630" spans="2:27">
      <c r="B2630" s="100"/>
      <c r="C2630" s="100"/>
      <c r="D2630" s="100"/>
      <c r="E2630" s="100"/>
      <c r="F2630" s="100"/>
      <c r="G2630" s="100"/>
      <c r="H2630" s="100"/>
      <c r="I2630" s="100"/>
      <c r="J2630" s="100"/>
      <c r="K2630" s="100"/>
      <c r="L2630" s="100"/>
      <c r="M2630" s="100"/>
      <c r="N2630" s="100"/>
      <c r="O2630" s="100"/>
      <c r="P2630" s="100"/>
      <c r="Q2630" s="100"/>
      <c r="R2630" s="100"/>
      <c r="S2630" s="100"/>
      <c r="T2630" s="100"/>
      <c r="U2630" s="100"/>
      <c r="V2630" s="100"/>
      <c r="W2630" s="100"/>
      <c r="X2630" s="100"/>
      <c r="Y2630" s="100"/>
      <c r="Z2630" s="100"/>
      <c r="AA2630" s="100"/>
    </row>
    <row r="2631" spans="2:27">
      <c r="B2631" s="100"/>
      <c r="C2631" s="100"/>
      <c r="D2631" s="100"/>
      <c r="E2631" s="100"/>
      <c r="F2631" s="100"/>
      <c r="G2631" s="100"/>
      <c r="H2631" s="100"/>
      <c r="I2631" s="100"/>
      <c r="J2631" s="100"/>
      <c r="K2631" s="100"/>
      <c r="L2631" s="100"/>
      <c r="M2631" s="100"/>
      <c r="N2631" s="100"/>
      <c r="O2631" s="100"/>
      <c r="P2631" s="100"/>
      <c r="Q2631" s="100"/>
      <c r="R2631" s="100"/>
      <c r="S2631" s="100"/>
      <c r="T2631" s="100"/>
      <c r="U2631" s="100"/>
      <c r="V2631" s="100"/>
      <c r="W2631" s="100"/>
      <c r="X2631" s="100"/>
      <c r="Y2631" s="100"/>
      <c r="Z2631" s="100"/>
      <c r="AA2631" s="100"/>
    </row>
    <row r="2632" spans="2:27">
      <c r="B2632" s="100"/>
      <c r="C2632" s="100"/>
      <c r="D2632" s="100"/>
      <c r="E2632" s="100"/>
      <c r="F2632" s="100"/>
      <c r="G2632" s="100"/>
      <c r="H2632" s="100"/>
      <c r="I2632" s="100"/>
      <c r="J2632" s="100"/>
      <c r="K2632" s="100"/>
      <c r="L2632" s="100"/>
      <c r="M2632" s="100"/>
      <c r="N2632" s="100"/>
      <c r="O2632" s="100"/>
      <c r="P2632" s="100"/>
      <c r="Q2632" s="100"/>
      <c r="R2632" s="100"/>
      <c r="S2632" s="100"/>
      <c r="T2632" s="100"/>
      <c r="U2632" s="100"/>
      <c r="V2632" s="100"/>
      <c r="W2632" s="100"/>
      <c r="X2632" s="100"/>
      <c r="Y2632" s="100"/>
      <c r="Z2632" s="100"/>
      <c r="AA2632" s="100"/>
    </row>
    <row r="2633" spans="2:27">
      <c r="B2633" s="100"/>
      <c r="C2633" s="100"/>
      <c r="D2633" s="100"/>
      <c r="E2633" s="100"/>
      <c r="F2633" s="100"/>
      <c r="G2633" s="100"/>
      <c r="H2633" s="100"/>
      <c r="I2633" s="100"/>
      <c r="J2633" s="100"/>
      <c r="K2633" s="100"/>
      <c r="L2633" s="100"/>
      <c r="M2633" s="100"/>
      <c r="N2633" s="100"/>
      <c r="O2633" s="100"/>
      <c r="P2633" s="100"/>
      <c r="Q2633" s="100"/>
      <c r="R2633" s="100"/>
      <c r="S2633" s="100"/>
      <c r="T2633" s="100"/>
      <c r="U2633" s="100"/>
      <c r="V2633" s="100"/>
      <c r="W2633" s="100"/>
      <c r="X2633" s="100"/>
      <c r="Y2633" s="100"/>
      <c r="Z2633" s="100"/>
      <c r="AA2633" s="100"/>
    </row>
    <row r="2634" spans="2:27">
      <c r="B2634" s="100"/>
      <c r="C2634" s="100"/>
      <c r="D2634" s="100"/>
      <c r="E2634" s="100"/>
      <c r="F2634" s="100"/>
      <c r="G2634" s="100"/>
      <c r="H2634" s="100"/>
      <c r="I2634" s="100"/>
      <c r="J2634" s="100"/>
      <c r="K2634" s="100"/>
      <c r="L2634" s="100"/>
      <c r="M2634" s="100"/>
      <c r="N2634" s="100"/>
      <c r="O2634" s="100"/>
      <c r="P2634" s="100"/>
      <c r="Q2634" s="100"/>
      <c r="R2634" s="100"/>
      <c r="S2634" s="100"/>
      <c r="T2634" s="100"/>
      <c r="U2634" s="100"/>
      <c r="V2634" s="100"/>
      <c r="W2634" s="100"/>
      <c r="X2634" s="100"/>
      <c r="Y2634" s="100"/>
      <c r="Z2634" s="100"/>
      <c r="AA2634" s="100"/>
    </row>
    <row r="2635" spans="2:27">
      <c r="B2635" s="100"/>
      <c r="C2635" s="100"/>
      <c r="D2635" s="100"/>
      <c r="E2635" s="100"/>
      <c r="F2635" s="100"/>
      <c r="G2635" s="100"/>
      <c r="H2635" s="100"/>
      <c r="I2635" s="100"/>
      <c r="J2635" s="100"/>
      <c r="K2635" s="100"/>
      <c r="L2635" s="100"/>
      <c r="M2635" s="100"/>
      <c r="N2635" s="100"/>
      <c r="O2635" s="100"/>
      <c r="P2635" s="100"/>
      <c r="Q2635" s="100"/>
      <c r="R2635" s="100"/>
      <c r="S2635" s="100"/>
      <c r="T2635" s="100"/>
      <c r="U2635" s="100"/>
      <c r="V2635" s="100"/>
      <c r="W2635" s="100"/>
      <c r="X2635" s="100"/>
      <c r="Y2635" s="100"/>
      <c r="Z2635" s="100"/>
      <c r="AA2635" s="100"/>
    </row>
    <row r="2636" spans="2:27">
      <c r="B2636" s="100"/>
      <c r="C2636" s="100"/>
      <c r="D2636" s="100"/>
      <c r="E2636" s="100"/>
      <c r="F2636" s="100"/>
      <c r="G2636" s="100"/>
      <c r="H2636" s="100"/>
      <c r="I2636" s="100"/>
      <c r="J2636" s="100"/>
      <c r="K2636" s="100"/>
      <c r="L2636" s="100"/>
      <c r="M2636" s="100"/>
      <c r="N2636" s="100"/>
      <c r="O2636" s="100"/>
      <c r="P2636" s="100"/>
      <c r="Q2636" s="100"/>
      <c r="R2636" s="100"/>
      <c r="S2636" s="100"/>
      <c r="T2636" s="100"/>
      <c r="U2636" s="100"/>
      <c r="V2636" s="100"/>
      <c r="W2636" s="100"/>
      <c r="X2636" s="100"/>
      <c r="Y2636" s="100"/>
      <c r="Z2636" s="100"/>
      <c r="AA2636" s="100"/>
    </row>
    <row r="2637" spans="2:27">
      <c r="B2637" s="100"/>
      <c r="C2637" s="100"/>
      <c r="D2637" s="100"/>
      <c r="E2637" s="100"/>
      <c r="F2637" s="100"/>
      <c r="G2637" s="100"/>
      <c r="H2637" s="100"/>
      <c r="I2637" s="100"/>
      <c r="J2637" s="100"/>
      <c r="K2637" s="100"/>
      <c r="L2637" s="100"/>
      <c r="M2637" s="100"/>
      <c r="N2637" s="100"/>
      <c r="O2637" s="100"/>
      <c r="P2637" s="100"/>
      <c r="Q2637" s="100"/>
      <c r="R2637" s="100"/>
      <c r="S2637" s="100"/>
      <c r="T2637" s="100"/>
      <c r="U2637" s="100"/>
      <c r="V2637" s="100"/>
      <c r="W2637" s="100"/>
      <c r="X2637" s="100"/>
      <c r="Y2637" s="100"/>
      <c r="Z2637" s="100"/>
      <c r="AA2637" s="100"/>
    </row>
    <row r="2638" spans="2:27">
      <c r="B2638" s="100"/>
      <c r="C2638" s="100"/>
      <c r="D2638" s="100"/>
      <c r="E2638" s="100"/>
      <c r="F2638" s="100"/>
      <c r="G2638" s="100"/>
      <c r="H2638" s="100"/>
      <c r="I2638" s="100"/>
      <c r="J2638" s="100"/>
      <c r="K2638" s="100"/>
      <c r="L2638" s="100"/>
      <c r="M2638" s="100"/>
      <c r="N2638" s="100"/>
      <c r="O2638" s="100"/>
      <c r="P2638" s="100"/>
      <c r="Q2638" s="100"/>
      <c r="R2638" s="100"/>
      <c r="S2638" s="100"/>
      <c r="T2638" s="100"/>
      <c r="U2638" s="100"/>
      <c r="V2638" s="100"/>
      <c r="W2638" s="100"/>
      <c r="X2638" s="100"/>
      <c r="Y2638" s="100"/>
      <c r="Z2638" s="100"/>
      <c r="AA2638" s="100"/>
    </row>
    <row r="2639" spans="2:27">
      <c r="B2639" s="100"/>
      <c r="C2639" s="100"/>
      <c r="D2639" s="100"/>
      <c r="E2639" s="100"/>
      <c r="F2639" s="100"/>
      <c r="G2639" s="100"/>
      <c r="H2639" s="100"/>
      <c r="I2639" s="100"/>
      <c r="J2639" s="100"/>
      <c r="K2639" s="100"/>
      <c r="L2639" s="100"/>
      <c r="M2639" s="100"/>
      <c r="N2639" s="100"/>
      <c r="O2639" s="100"/>
      <c r="P2639" s="100"/>
      <c r="Q2639" s="100"/>
      <c r="R2639" s="100"/>
      <c r="S2639" s="100"/>
      <c r="T2639" s="100"/>
      <c r="U2639" s="100"/>
      <c r="V2639" s="100"/>
      <c r="W2639" s="100"/>
      <c r="X2639" s="100"/>
      <c r="Y2639" s="100"/>
      <c r="Z2639" s="100"/>
      <c r="AA2639" s="100"/>
    </row>
    <row r="2640" spans="2:27">
      <c r="B2640" s="100"/>
      <c r="C2640" s="100"/>
      <c r="D2640" s="100"/>
      <c r="E2640" s="100"/>
      <c r="F2640" s="100"/>
      <c r="G2640" s="100"/>
      <c r="H2640" s="100"/>
      <c r="I2640" s="100"/>
      <c r="J2640" s="100"/>
      <c r="K2640" s="100"/>
      <c r="L2640" s="100"/>
      <c r="M2640" s="100"/>
      <c r="N2640" s="100"/>
      <c r="O2640" s="100"/>
      <c r="P2640" s="100"/>
      <c r="Q2640" s="100"/>
      <c r="R2640" s="100"/>
      <c r="S2640" s="100"/>
      <c r="T2640" s="100"/>
      <c r="U2640" s="100"/>
      <c r="V2640" s="100"/>
      <c r="W2640" s="100"/>
      <c r="X2640" s="100"/>
      <c r="Y2640" s="100"/>
      <c r="Z2640" s="100"/>
      <c r="AA2640" s="100"/>
    </row>
    <row r="2641" spans="2:27">
      <c r="B2641" s="100"/>
      <c r="C2641" s="100"/>
      <c r="D2641" s="100"/>
      <c r="E2641" s="100"/>
      <c r="F2641" s="100"/>
      <c r="G2641" s="100"/>
      <c r="H2641" s="100"/>
      <c r="I2641" s="100"/>
      <c r="J2641" s="100"/>
      <c r="K2641" s="100"/>
      <c r="L2641" s="100"/>
      <c r="M2641" s="100"/>
      <c r="N2641" s="100"/>
      <c r="O2641" s="100"/>
      <c r="P2641" s="100"/>
      <c r="Q2641" s="100"/>
      <c r="R2641" s="100"/>
      <c r="S2641" s="100"/>
      <c r="T2641" s="100"/>
      <c r="U2641" s="100"/>
      <c r="V2641" s="100"/>
      <c r="W2641" s="100"/>
      <c r="X2641" s="100"/>
      <c r="Y2641" s="100"/>
      <c r="Z2641" s="100"/>
      <c r="AA2641" s="100"/>
    </row>
    <row r="2642" spans="2:27">
      <c r="B2642" s="100"/>
      <c r="C2642" s="100"/>
      <c r="D2642" s="100"/>
      <c r="E2642" s="100"/>
      <c r="F2642" s="100"/>
      <c r="G2642" s="100"/>
      <c r="H2642" s="100"/>
      <c r="I2642" s="100"/>
      <c r="J2642" s="100"/>
      <c r="K2642" s="100"/>
      <c r="L2642" s="100"/>
      <c r="M2642" s="100"/>
      <c r="N2642" s="100"/>
      <c r="O2642" s="100"/>
      <c r="P2642" s="100"/>
      <c r="Q2642" s="100"/>
      <c r="R2642" s="100"/>
      <c r="S2642" s="100"/>
      <c r="T2642" s="100"/>
      <c r="U2642" s="100"/>
      <c r="V2642" s="100"/>
      <c r="W2642" s="100"/>
      <c r="X2642" s="100"/>
      <c r="Y2642" s="100"/>
      <c r="Z2642" s="100"/>
      <c r="AA2642" s="100"/>
    </row>
    <row r="2643" spans="2:27">
      <c r="B2643" s="100"/>
      <c r="C2643" s="100"/>
      <c r="D2643" s="100"/>
      <c r="E2643" s="100"/>
      <c r="F2643" s="100"/>
      <c r="G2643" s="100"/>
      <c r="H2643" s="100"/>
      <c r="I2643" s="100"/>
      <c r="J2643" s="100"/>
      <c r="K2643" s="100"/>
      <c r="L2643" s="100"/>
      <c r="M2643" s="100"/>
      <c r="N2643" s="100"/>
      <c r="O2643" s="100"/>
      <c r="P2643" s="100"/>
      <c r="Q2643" s="100"/>
      <c r="R2643" s="100"/>
      <c r="S2643" s="100"/>
      <c r="T2643" s="100"/>
      <c r="U2643" s="100"/>
      <c r="V2643" s="100"/>
      <c r="W2643" s="100"/>
      <c r="X2643" s="100"/>
      <c r="Y2643" s="100"/>
      <c r="Z2643" s="100"/>
      <c r="AA2643" s="100"/>
    </row>
    <row r="2644" spans="2:27">
      <c r="B2644" s="100"/>
      <c r="C2644" s="100"/>
      <c r="D2644" s="100"/>
      <c r="E2644" s="100"/>
      <c r="F2644" s="100"/>
      <c r="G2644" s="100"/>
      <c r="H2644" s="100"/>
      <c r="I2644" s="100"/>
      <c r="J2644" s="100"/>
      <c r="K2644" s="100"/>
      <c r="L2644" s="100"/>
      <c r="M2644" s="100"/>
      <c r="N2644" s="100"/>
      <c r="O2644" s="100"/>
      <c r="P2644" s="100"/>
      <c r="Q2644" s="100"/>
      <c r="R2644" s="100"/>
      <c r="S2644" s="100"/>
      <c r="T2644" s="100"/>
      <c r="U2644" s="100"/>
      <c r="V2644" s="100"/>
      <c r="W2644" s="100"/>
      <c r="X2644" s="100"/>
      <c r="Y2644" s="100"/>
      <c r="Z2644" s="100"/>
      <c r="AA2644" s="100"/>
    </row>
    <row r="2645" spans="2:27">
      <c r="B2645" s="100"/>
      <c r="C2645" s="100"/>
      <c r="D2645" s="100"/>
      <c r="E2645" s="100"/>
      <c r="F2645" s="100"/>
      <c r="G2645" s="100"/>
      <c r="H2645" s="100"/>
      <c r="I2645" s="100"/>
      <c r="J2645" s="100"/>
      <c r="K2645" s="100"/>
      <c r="L2645" s="100"/>
      <c r="M2645" s="100"/>
      <c r="N2645" s="100"/>
      <c r="O2645" s="100"/>
      <c r="P2645" s="100"/>
      <c r="Q2645" s="100"/>
      <c r="R2645" s="100"/>
      <c r="S2645" s="100"/>
      <c r="T2645" s="100"/>
      <c r="U2645" s="100"/>
      <c r="V2645" s="100"/>
      <c r="W2645" s="100"/>
      <c r="X2645" s="100"/>
      <c r="Y2645" s="100"/>
      <c r="Z2645" s="100"/>
      <c r="AA2645" s="100"/>
    </row>
    <row r="2646" spans="2:27">
      <c r="B2646" s="100"/>
      <c r="C2646" s="100"/>
      <c r="D2646" s="100"/>
      <c r="E2646" s="100"/>
      <c r="F2646" s="100"/>
      <c r="G2646" s="100"/>
      <c r="H2646" s="100"/>
      <c r="I2646" s="100"/>
      <c r="J2646" s="100"/>
      <c r="K2646" s="100"/>
      <c r="L2646" s="100"/>
      <c r="M2646" s="100"/>
      <c r="N2646" s="100"/>
      <c r="O2646" s="100"/>
      <c r="P2646" s="100"/>
      <c r="Q2646" s="100"/>
      <c r="R2646" s="100"/>
      <c r="S2646" s="100"/>
      <c r="T2646" s="100"/>
      <c r="U2646" s="100"/>
      <c r="V2646" s="100"/>
      <c r="W2646" s="100"/>
      <c r="X2646" s="100"/>
      <c r="Y2646" s="100"/>
      <c r="Z2646" s="100"/>
      <c r="AA2646" s="100"/>
    </row>
    <row r="2647" spans="2:27">
      <c r="B2647" s="100"/>
      <c r="C2647" s="100"/>
      <c r="D2647" s="100"/>
      <c r="E2647" s="100"/>
      <c r="F2647" s="100"/>
      <c r="G2647" s="100"/>
      <c r="H2647" s="100"/>
      <c r="I2647" s="100"/>
      <c r="J2647" s="100"/>
      <c r="K2647" s="100"/>
      <c r="L2647" s="100"/>
      <c r="M2647" s="100"/>
      <c r="N2647" s="100"/>
      <c r="O2647" s="100"/>
      <c r="P2647" s="100"/>
      <c r="Q2647" s="100"/>
      <c r="R2647" s="100"/>
      <c r="S2647" s="100"/>
      <c r="T2647" s="100"/>
      <c r="U2647" s="100"/>
      <c r="V2647" s="100"/>
      <c r="W2647" s="100"/>
      <c r="X2647" s="100"/>
      <c r="Y2647" s="100"/>
      <c r="Z2647" s="100"/>
      <c r="AA2647" s="100"/>
    </row>
    <row r="2648" spans="2:27">
      <c r="B2648" s="100"/>
      <c r="C2648" s="100"/>
      <c r="D2648" s="100"/>
      <c r="E2648" s="100"/>
      <c r="F2648" s="100"/>
      <c r="G2648" s="100"/>
      <c r="H2648" s="100"/>
      <c r="I2648" s="100"/>
      <c r="J2648" s="100"/>
      <c r="K2648" s="100"/>
      <c r="L2648" s="100"/>
      <c r="M2648" s="100"/>
      <c r="N2648" s="100"/>
      <c r="O2648" s="100"/>
      <c r="P2648" s="100"/>
      <c r="Q2648" s="100"/>
      <c r="R2648" s="100"/>
      <c r="S2648" s="100"/>
      <c r="T2648" s="100"/>
      <c r="U2648" s="100"/>
      <c r="V2648" s="100"/>
      <c r="W2648" s="100"/>
      <c r="X2648" s="100"/>
      <c r="Y2648" s="100"/>
      <c r="Z2648" s="100"/>
      <c r="AA2648" s="100"/>
    </row>
    <row r="2649" spans="2:27">
      <c r="B2649" s="100"/>
      <c r="C2649" s="100"/>
      <c r="D2649" s="100"/>
      <c r="E2649" s="100"/>
      <c r="F2649" s="100"/>
      <c r="G2649" s="100"/>
      <c r="H2649" s="100"/>
      <c r="I2649" s="100"/>
      <c r="J2649" s="100"/>
      <c r="K2649" s="100"/>
      <c r="L2649" s="100"/>
      <c r="M2649" s="100"/>
      <c r="N2649" s="100"/>
      <c r="O2649" s="100"/>
      <c r="P2649" s="100"/>
      <c r="Q2649" s="100"/>
      <c r="R2649" s="100"/>
      <c r="S2649" s="100"/>
      <c r="T2649" s="100"/>
      <c r="U2649" s="100"/>
      <c r="V2649" s="100"/>
      <c r="W2649" s="100"/>
      <c r="X2649" s="100"/>
      <c r="Y2649" s="100"/>
      <c r="Z2649" s="100"/>
      <c r="AA2649" s="100"/>
    </row>
    <row r="2650" spans="2:27">
      <c r="B2650" s="100"/>
      <c r="C2650" s="100"/>
      <c r="D2650" s="100"/>
      <c r="E2650" s="100"/>
      <c r="F2650" s="100"/>
      <c r="G2650" s="100"/>
      <c r="H2650" s="100"/>
      <c r="I2650" s="100"/>
      <c r="J2650" s="100"/>
      <c r="K2650" s="100"/>
      <c r="L2650" s="100"/>
      <c r="M2650" s="100"/>
      <c r="N2650" s="100"/>
      <c r="O2650" s="100"/>
      <c r="P2650" s="100"/>
      <c r="Q2650" s="100"/>
      <c r="R2650" s="100"/>
      <c r="S2650" s="100"/>
      <c r="T2650" s="100"/>
      <c r="U2650" s="100"/>
      <c r="V2650" s="100"/>
      <c r="W2650" s="100"/>
      <c r="X2650" s="100"/>
      <c r="Y2650" s="100"/>
      <c r="Z2650" s="100"/>
      <c r="AA2650" s="100"/>
    </row>
    <row r="2651" spans="2:27">
      <c r="B2651" s="100"/>
      <c r="C2651" s="100"/>
      <c r="D2651" s="100"/>
      <c r="E2651" s="100"/>
      <c r="F2651" s="100"/>
      <c r="G2651" s="100"/>
      <c r="H2651" s="100"/>
      <c r="I2651" s="100"/>
      <c r="J2651" s="100"/>
      <c r="K2651" s="100"/>
      <c r="L2651" s="100"/>
      <c r="M2651" s="100"/>
      <c r="N2651" s="100"/>
      <c r="O2651" s="100"/>
      <c r="P2651" s="100"/>
      <c r="Q2651" s="100"/>
      <c r="R2651" s="100"/>
      <c r="S2651" s="100"/>
      <c r="T2651" s="100"/>
      <c r="U2651" s="100"/>
      <c r="V2651" s="100"/>
      <c r="W2651" s="100"/>
      <c r="X2651" s="100"/>
      <c r="Y2651" s="100"/>
      <c r="Z2651" s="100"/>
      <c r="AA2651" s="100"/>
    </row>
    <row r="2652" spans="2:27">
      <c r="B2652" s="100"/>
      <c r="C2652" s="100"/>
      <c r="D2652" s="100"/>
      <c r="E2652" s="100"/>
      <c r="F2652" s="100"/>
      <c r="G2652" s="100"/>
      <c r="H2652" s="100"/>
      <c r="I2652" s="100"/>
      <c r="J2652" s="100"/>
      <c r="K2652" s="100"/>
      <c r="L2652" s="100"/>
      <c r="M2652" s="100"/>
      <c r="N2652" s="100"/>
      <c r="O2652" s="100"/>
      <c r="P2652" s="100"/>
      <c r="Q2652" s="100"/>
      <c r="R2652" s="100"/>
      <c r="S2652" s="100"/>
      <c r="T2652" s="100"/>
      <c r="U2652" s="100"/>
      <c r="V2652" s="100"/>
      <c r="W2652" s="100"/>
      <c r="X2652" s="100"/>
      <c r="Y2652" s="100"/>
      <c r="Z2652" s="100"/>
      <c r="AA2652" s="100"/>
    </row>
    <row r="2653" spans="2:27">
      <c r="B2653" s="100"/>
      <c r="C2653" s="100"/>
      <c r="D2653" s="100"/>
      <c r="E2653" s="100"/>
      <c r="F2653" s="100"/>
      <c r="G2653" s="100"/>
      <c r="H2653" s="100"/>
      <c r="I2653" s="100"/>
      <c r="J2653" s="100"/>
      <c r="K2653" s="100"/>
      <c r="L2653" s="100"/>
      <c r="M2653" s="100"/>
      <c r="N2653" s="100"/>
      <c r="O2653" s="100"/>
      <c r="P2653" s="100"/>
      <c r="Q2653" s="100"/>
      <c r="R2653" s="100"/>
      <c r="S2653" s="100"/>
      <c r="T2653" s="100"/>
      <c r="U2653" s="100"/>
      <c r="V2653" s="100"/>
      <c r="W2653" s="100"/>
      <c r="X2653" s="100"/>
      <c r="Y2653" s="100"/>
      <c r="Z2653" s="100"/>
      <c r="AA2653" s="100"/>
    </row>
    <row r="2654" spans="2:27">
      <c r="B2654" s="100"/>
      <c r="C2654" s="100"/>
      <c r="D2654" s="100"/>
      <c r="E2654" s="100"/>
      <c r="F2654" s="100"/>
      <c r="G2654" s="100"/>
      <c r="H2654" s="100"/>
      <c r="I2654" s="100"/>
      <c r="J2654" s="100"/>
      <c r="K2654" s="100"/>
      <c r="L2654" s="100"/>
      <c r="M2654" s="100"/>
      <c r="N2654" s="100"/>
      <c r="O2654" s="100"/>
      <c r="P2654" s="100"/>
      <c r="Q2654" s="100"/>
      <c r="R2654" s="100"/>
      <c r="S2654" s="100"/>
      <c r="T2654" s="100"/>
      <c r="U2654" s="100"/>
      <c r="V2654" s="100"/>
      <c r="W2654" s="100"/>
      <c r="X2654" s="100"/>
      <c r="Y2654" s="100"/>
      <c r="Z2654" s="100"/>
      <c r="AA2654" s="100"/>
    </row>
    <row r="2655" spans="2:27">
      <c r="B2655" s="100"/>
      <c r="C2655" s="100"/>
      <c r="D2655" s="100"/>
      <c r="E2655" s="100"/>
      <c r="F2655" s="100"/>
      <c r="G2655" s="100"/>
      <c r="H2655" s="100"/>
      <c r="I2655" s="100"/>
      <c r="J2655" s="100"/>
      <c r="K2655" s="100"/>
      <c r="L2655" s="100"/>
      <c r="M2655" s="100"/>
      <c r="N2655" s="100"/>
      <c r="O2655" s="100"/>
      <c r="P2655" s="100"/>
      <c r="Q2655" s="100"/>
      <c r="R2655" s="100"/>
      <c r="S2655" s="100"/>
      <c r="T2655" s="100"/>
      <c r="U2655" s="100"/>
      <c r="V2655" s="100"/>
      <c r="W2655" s="100"/>
      <c r="X2655" s="100"/>
      <c r="Y2655" s="100"/>
      <c r="Z2655" s="100"/>
      <c r="AA2655" s="100"/>
    </row>
    <row r="2656" spans="2:27">
      <c r="B2656" s="100"/>
      <c r="C2656" s="100"/>
      <c r="D2656" s="100"/>
      <c r="E2656" s="100"/>
      <c r="F2656" s="100"/>
      <c r="G2656" s="100"/>
      <c r="H2656" s="100"/>
      <c r="I2656" s="100"/>
      <c r="J2656" s="100"/>
      <c r="K2656" s="100"/>
      <c r="L2656" s="100"/>
      <c r="M2656" s="100"/>
      <c r="N2656" s="100"/>
      <c r="O2656" s="100"/>
      <c r="P2656" s="100"/>
      <c r="Q2656" s="100"/>
      <c r="R2656" s="100"/>
      <c r="S2656" s="100"/>
      <c r="T2656" s="100"/>
      <c r="U2656" s="100"/>
      <c r="V2656" s="100"/>
      <c r="W2656" s="100"/>
      <c r="X2656" s="100"/>
      <c r="Y2656" s="100"/>
      <c r="Z2656" s="100"/>
      <c r="AA2656" s="100"/>
    </row>
    <row r="2657" spans="2:27">
      <c r="B2657" s="100"/>
      <c r="C2657" s="100"/>
      <c r="D2657" s="100"/>
      <c r="E2657" s="100"/>
      <c r="F2657" s="100"/>
      <c r="G2657" s="100"/>
      <c r="H2657" s="100"/>
      <c r="I2657" s="100"/>
      <c r="J2657" s="100"/>
      <c r="K2657" s="100"/>
      <c r="L2657" s="100"/>
      <c r="M2657" s="100"/>
      <c r="N2657" s="100"/>
      <c r="O2657" s="100"/>
      <c r="P2657" s="100"/>
      <c r="Q2657" s="100"/>
      <c r="R2657" s="100"/>
      <c r="S2657" s="100"/>
      <c r="T2657" s="100"/>
      <c r="U2657" s="100"/>
      <c r="V2657" s="100"/>
      <c r="W2657" s="100"/>
      <c r="X2657" s="100"/>
      <c r="Y2657" s="100"/>
      <c r="Z2657" s="100"/>
      <c r="AA2657" s="100"/>
    </row>
    <row r="2658" spans="2:27">
      <c r="B2658" s="100"/>
      <c r="C2658" s="100"/>
      <c r="D2658" s="100"/>
      <c r="E2658" s="100"/>
      <c r="F2658" s="100"/>
      <c r="G2658" s="100"/>
      <c r="H2658" s="100"/>
      <c r="I2658" s="100"/>
      <c r="J2658" s="100"/>
      <c r="K2658" s="100"/>
      <c r="L2658" s="100"/>
      <c r="M2658" s="100"/>
      <c r="N2658" s="100"/>
      <c r="O2658" s="100"/>
      <c r="P2658" s="100"/>
      <c r="Q2658" s="100"/>
      <c r="R2658" s="100"/>
      <c r="S2658" s="100"/>
      <c r="T2658" s="100"/>
      <c r="U2658" s="100"/>
      <c r="V2658" s="100"/>
      <c r="W2658" s="100"/>
      <c r="X2658" s="100"/>
      <c r="Y2658" s="100"/>
      <c r="Z2658" s="100"/>
      <c r="AA2658" s="100"/>
    </row>
    <row r="2659" spans="2:27">
      <c r="B2659" s="100"/>
      <c r="C2659" s="100"/>
      <c r="D2659" s="100"/>
      <c r="E2659" s="100"/>
      <c r="F2659" s="100"/>
      <c r="G2659" s="100"/>
      <c r="H2659" s="100"/>
      <c r="I2659" s="100"/>
      <c r="J2659" s="100"/>
      <c r="K2659" s="100"/>
      <c r="L2659" s="100"/>
      <c r="M2659" s="100"/>
      <c r="N2659" s="100"/>
      <c r="O2659" s="100"/>
      <c r="P2659" s="100"/>
      <c r="Q2659" s="100"/>
      <c r="R2659" s="100"/>
      <c r="S2659" s="100"/>
      <c r="T2659" s="100"/>
      <c r="U2659" s="100"/>
      <c r="V2659" s="100"/>
      <c r="W2659" s="100"/>
      <c r="X2659" s="100"/>
      <c r="Y2659" s="100"/>
      <c r="Z2659" s="100"/>
      <c r="AA2659" s="100"/>
    </row>
    <row r="2660" spans="2:27">
      <c r="B2660" s="100"/>
      <c r="C2660" s="100"/>
      <c r="D2660" s="100"/>
      <c r="E2660" s="100"/>
      <c r="F2660" s="100"/>
      <c r="G2660" s="100"/>
      <c r="H2660" s="100"/>
      <c r="I2660" s="100"/>
      <c r="J2660" s="100"/>
      <c r="K2660" s="100"/>
      <c r="L2660" s="100"/>
      <c r="M2660" s="100"/>
      <c r="N2660" s="100"/>
      <c r="O2660" s="100"/>
      <c r="P2660" s="100"/>
      <c r="Q2660" s="100"/>
      <c r="R2660" s="100"/>
      <c r="S2660" s="100"/>
      <c r="T2660" s="100"/>
      <c r="U2660" s="100"/>
      <c r="V2660" s="100"/>
      <c r="W2660" s="100"/>
      <c r="X2660" s="100"/>
      <c r="Y2660" s="100"/>
      <c r="Z2660" s="100"/>
      <c r="AA2660" s="100"/>
    </row>
    <row r="2661" spans="2:27">
      <c r="B2661" s="100"/>
      <c r="C2661" s="100"/>
      <c r="D2661" s="100"/>
      <c r="E2661" s="100"/>
      <c r="F2661" s="100"/>
      <c r="G2661" s="100"/>
      <c r="H2661" s="100"/>
      <c r="I2661" s="100"/>
      <c r="J2661" s="100"/>
      <c r="K2661" s="100"/>
      <c r="L2661" s="100"/>
      <c r="M2661" s="100"/>
      <c r="N2661" s="100"/>
      <c r="O2661" s="100"/>
      <c r="P2661" s="100"/>
      <c r="Q2661" s="100"/>
      <c r="R2661" s="100"/>
      <c r="S2661" s="100"/>
      <c r="T2661" s="100"/>
      <c r="U2661" s="100"/>
      <c r="V2661" s="100"/>
      <c r="W2661" s="100"/>
      <c r="X2661" s="100"/>
      <c r="Y2661" s="100"/>
      <c r="Z2661" s="100"/>
      <c r="AA2661" s="100"/>
    </row>
    <row r="2662" spans="2:27">
      <c r="B2662" s="100"/>
      <c r="C2662" s="100"/>
      <c r="D2662" s="100"/>
      <c r="E2662" s="100"/>
      <c r="F2662" s="100"/>
      <c r="G2662" s="100"/>
      <c r="H2662" s="100"/>
      <c r="I2662" s="100"/>
      <c r="J2662" s="100"/>
      <c r="K2662" s="100"/>
      <c r="L2662" s="100"/>
      <c r="M2662" s="100"/>
      <c r="N2662" s="100"/>
      <c r="O2662" s="100"/>
      <c r="P2662" s="100"/>
      <c r="Q2662" s="100"/>
      <c r="R2662" s="100"/>
      <c r="S2662" s="100"/>
      <c r="T2662" s="100"/>
      <c r="U2662" s="100"/>
      <c r="V2662" s="100"/>
      <c r="W2662" s="100"/>
      <c r="X2662" s="100"/>
      <c r="Y2662" s="100"/>
      <c r="Z2662" s="100"/>
      <c r="AA2662" s="100"/>
    </row>
    <row r="2663" spans="2:27">
      <c r="B2663" s="100"/>
      <c r="C2663" s="100"/>
      <c r="D2663" s="100"/>
      <c r="E2663" s="100"/>
      <c r="F2663" s="100"/>
      <c r="G2663" s="100"/>
      <c r="H2663" s="100"/>
      <c r="I2663" s="100"/>
      <c r="J2663" s="100"/>
      <c r="K2663" s="100"/>
      <c r="L2663" s="100"/>
      <c r="M2663" s="100"/>
      <c r="N2663" s="100"/>
      <c r="O2663" s="100"/>
      <c r="P2663" s="100"/>
      <c r="Q2663" s="100"/>
      <c r="R2663" s="100"/>
      <c r="S2663" s="100"/>
      <c r="T2663" s="100"/>
      <c r="U2663" s="100"/>
      <c r="V2663" s="100"/>
      <c r="W2663" s="100"/>
      <c r="X2663" s="100"/>
      <c r="Y2663" s="100"/>
      <c r="Z2663" s="100"/>
      <c r="AA2663" s="100"/>
    </row>
    <row r="2664" spans="2:27">
      <c r="B2664" s="100"/>
      <c r="C2664" s="100"/>
      <c r="D2664" s="100"/>
      <c r="E2664" s="100"/>
      <c r="F2664" s="100"/>
      <c r="G2664" s="100"/>
      <c r="H2664" s="100"/>
      <c r="I2664" s="100"/>
      <c r="J2664" s="100"/>
      <c r="K2664" s="100"/>
      <c r="L2664" s="100"/>
      <c r="M2664" s="100"/>
      <c r="N2664" s="100"/>
      <c r="O2664" s="100"/>
      <c r="P2664" s="100"/>
      <c r="Q2664" s="100"/>
      <c r="R2664" s="100"/>
      <c r="S2664" s="100"/>
      <c r="T2664" s="100"/>
      <c r="U2664" s="100"/>
      <c r="V2664" s="100"/>
      <c r="W2664" s="100"/>
      <c r="X2664" s="100"/>
      <c r="Y2664" s="100"/>
      <c r="Z2664" s="100"/>
      <c r="AA2664" s="100"/>
    </row>
    <row r="2665" spans="2:27">
      <c r="B2665" s="100"/>
      <c r="C2665" s="100"/>
      <c r="D2665" s="100"/>
      <c r="E2665" s="100"/>
      <c r="F2665" s="100"/>
      <c r="G2665" s="100"/>
      <c r="H2665" s="100"/>
      <c r="I2665" s="100"/>
      <c r="J2665" s="100"/>
      <c r="K2665" s="100"/>
      <c r="L2665" s="100"/>
      <c r="M2665" s="100"/>
      <c r="N2665" s="100"/>
      <c r="O2665" s="100"/>
      <c r="P2665" s="100"/>
      <c r="Q2665" s="100"/>
      <c r="R2665" s="100"/>
      <c r="S2665" s="100"/>
      <c r="T2665" s="100"/>
      <c r="U2665" s="100"/>
      <c r="V2665" s="100"/>
      <c r="W2665" s="100"/>
      <c r="X2665" s="100"/>
      <c r="Y2665" s="100"/>
      <c r="Z2665" s="100"/>
      <c r="AA2665" s="100"/>
    </row>
    <row r="2666" spans="2:27">
      <c r="B2666" s="100"/>
      <c r="C2666" s="100"/>
      <c r="D2666" s="100"/>
      <c r="E2666" s="100"/>
      <c r="F2666" s="100"/>
      <c r="G2666" s="100"/>
      <c r="H2666" s="100"/>
      <c r="I2666" s="100"/>
      <c r="J2666" s="100"/>
      <c r="K2666" s="100"/>
      <c r="L2666" s="100"/>
      <c r="M2666" s="100"/>
      <c r="N2666" s="100"/>
      <c r="O2666" s="100"/>
      <c r="P2666" s="100"/>
      <c r="Q2666" s="100"/>
      <c r="R2666" s="100"/>
      <c r="S2666" s="100"/>
      <c r="T2666" s="100"/>
      <c r="U2666" s="100"/>
      <c r="V2666" s="100"/>
      <c r="W2666" s="100"/>
      <c r="X2666" s="100"/>
      <c r="Y2666" s="100"/>
      <c r="Z2666" s="100"/>
      <c r="AA2666" s="100"/>
    </row>
    <row r="2667" spans="2:27">
      <c r="B2667" s="100"/>
      <c r="C2667" s="100"/>
      <c r="D2667" s="100"/>
      <c r="E2667" s="100"/>
      <c r="F2667" s="100"/>
      <c r="G2667" s="100"/>
      <c r="H2667" s="100"/>
      <c r="I2667" s="100"/>
      <c r="J2667" s="100"/>
      <c r="K2667" s="100"/>
      <c r="L2667" s="100"/>
      <c r="M2667" s="100"/>
      <c r="N2667" s="100"/>
      <c r="O2667" s="100"/>
      <c r="P2667" s="100"/>
      <c r="Q2667" s="100"/>
      <c r="R2667" s="100"/>
      <c r="S2667" s="100"/>
      <c r="T2667" s="100"/>
      <c r="U2667" s="100"/>
      <c r="V2667" s="100"/>
      <c r="W2667" s="100"/>
      <c r="X2667" s="100"/>
      <c r="Y2667" s="100"/>
      <c r="Z2667" s="100"/>
      <c r="AA2667" s="100"/>
    </row>
    <row r="2668" spans="2:27">
      <c r="B2668" s="100"/>
      <c r="C2668" s="100"/>
      <c r="D2668" s="100"/>
      <c r="E2668" s="100"/>
      <c r="F2668" s="100"/>
      <c r="G2668" s="100"/>
      <c r="H2668" s="100"/>
      <c r="I2668" s="100"/>
      <c r="J2668" s="100"/>
      <c r="K2668" s="100"/>
      <c r="L2668" s="100"/>
      <c r="M2668" s="100"/>
      <c r="N2668" s="100"/>
      <c r="O2668" s="100"/>
      <c r="P2668" s="100"/>
      <c r="Q2668" s="100"/>
      <c r="R2668" s="100"/>
      <c r="S2668" s="100"/>
      <c r="T2668" s="100"/>
      <c r="U2668" s="100"/>
      <c r="V2668" s="100"/>
      <c r="W2668" s="100"/>
      <c r="X2668" s="100"/>
      <c r="Y2668" s="100"/>
      <c r="Z2668" s="100"/>
      <c r="AA2668" s="100"/>
    </row>
    <row r="2669" spans="2:27">
      <c r="B2669" s="100"/>
      <c r="C2669" s="100"/>
      <c r="D2669" s="100"/>
      <c r="E2669" s="100"/>
      <c r="F2669" s="100"/>
      <c r="G2669" s="100"/>
      <c r="H2669" s="100"/>
      <c r="I2669" s="100"/>
      <c r="J2669" s="100"/>
      <c r="K2669" s="100"/>
      <c r="L2669" s="100"/>
      <c r="M2669" s="100"/>
      <c r="N2669" s="100"/>
      <c r="O2669" s="100"/>
      <c r="P2669" s="100"/>
      <c r="Q2669" s="100"/>
      <c r="R2669" s="100"/>
      <c r="S2669" s="100"/>
      <c r="T2669" s="100"/>
      <c r="U2669" s="100"/>
      <c r="V2669" s="100"/>
      <c r="W2669" s="100"/>
      <c r="X2669" s="100"/>
      <c r="Y2669" s="100"/>
      <c r="Z2669" s="100"/>
      <c r="AA2669" s="100"/>
    </row>
    <row r="2670" spans="2:27">
      <c r="B2670" s="100"/>
      <c r="C2670" s="100"/>
      <c r="D2670" s="100"/>
      <c r="E2670" s="100"/>
      <c r="F2670" s="100"/>
      <c r="G2670" s="100"/>
      <c r="H2670" s="100"/>
      <c r="I2670" s="100"/>
      <c r="J2670" s="100"/>
      <c r="K2670" s="100"/>
      <c r="L2670" s="100"/>
      <c r="M2670" s="100"/>
      <c r="N2670" s="100"/>
      <c r="O2670" s="100"/>
      <c r="P2670" s="100"/>
      <c r="Q2670" s="100"/>
      <c r="R2670" s="100"/>
      <c r="S2670" s="100"/>
      <c r="T2670" s="100"/>
      <c r="U2670" s="100"/>
      <c r="V2670" s="100"/>
      <c r="W2670" s="100"/>
      <c r="X2670" s="100"/>
      <c r="Y2670" s="100"/>
      <c r="Z2670" s="100"/>
      <c r="AA2670" s="100"/>
    </row>
    <row r="2671" spans="2:27">
      <c r="B2671" s="100"/>
      <c r="C2671" s="100"/>
      <c r="D2671" s="100"/>
      <c r="E2671" s="100"/>
      <c r="F2671" s="100"/>
      <c r="G2671" s="100"/>
      <c r="H2671" s="100"/>
      <c r="I2671" s="100"/>
      <c r="J2671" s="100"/>
      <c r="K2671" s="100"/>
      <c r="L2671" s="100"/>
      <c r="M2671" s="100"/>
      <c r="N2671" s="100"/>
      <c r="O2671" s="100"/>
      <c r="P2671" s="100"/>
      <c r="Q2671" s="100"/>
      <c r="R2671" s="100"/>
      <c r="S2671" s="100"/>
      <c r="T2671" s="100"/>
      <c r="U2671" s="100"/>
      <c r="V2671" s="100"/>
      <c r="W2671" s="100"/>
      <c r="X2671" s="100"/>
      <c r="Y2671" s="100"/>
      <c r="Z2671" s="100"/>
      <c r="AA2671" s="100"/>
    </row>
    <row r="2672" spans="2:27">
      <c r="B2672" s="100"/>
      <c r="C2672" s="100"/>
      <c r="D2672" s="100"/>
      <c r="E2672" s="100"/>
      <c r="F2672" s="100"/>
      <c r="G2672" s="100"/>
      <c r="H2672" s="100"/>
      <c r="I2672" s="100"/>
      <c r="J2672" s="100"/>
      <c r="K2672" s="100"/>
      <c r="L2672" s="100"/>
      <c r="M2672" s="100"/>
      <c r="N2672" s="100"/>
      <c r="O2672" s="100"/>
      <c r="P2672" s="100"/>
      <c r="Q2672" s="100"/>
      <c r="R2672" s="100"/>
      <c r="S2672" s="100"/>
      <c r="T2672" s="100"/>
      <c r="U2672" s="100"/>
      <c r="V2672" s="100"/>
      <c r="W2672" s="100"/>
      <c r="X2672" s="100"/>
      <c r="Y2672" s="100"/>
      <c r="Z2672" s="100"/>
      <c r="AA2672" s="100"/>
    </row>
    <row r="2673" spans="2:27">
      <c r="B2673" s="100"/>
      <c r="C2673" s="100"/>
      <c r="D2673" s="100"/>
      <c r="E2673" s="100"/>
      <c r="F2673" s="100"/>
      <c r="G2673" s="100"/>
      <c r="H2673" s="100"/>
      <c r="I2673" s="100"/>
      <c r="J2673" s="100"/>
      <c r="K2673" s="100"/>
      <c r="L2673" s="100"/>
      <c r="M2673" s="100"/>
      <c r="N2673" s="100"/>
      <c r="O2673" s="100"/>
      <c r="P2673" s="100"/>
      <c r="Q2673" s="100"/>
      <c r="R2673" s="100"/>
      <c r="S2673" s="100"/>
      <c r="T2673" s="100"/>
      <c r="U2673" s="100"/>
      <c r="V2673" s="100"/>
      <c r="W2673" s="100"/>
      <c r="X2673" s="100"/>
      <c r="Y2673" s="100"/>
      <c r="Z2673" s="100"/>
      <c r="AA2673" s="100"/>
    </row>
    <row r="2674" spans="2:27">
      <c r="B2674" s="100"/>
      <c r="C2674" s="100"/>
      <c r="D2674" s="100"/>
      <c r="E2674" s="100"/>
      <c r="F2674" s="100"/>
      <c r="G2674" s="100"/>
      <c r="H2674" s="100"/>
      <c r="I2674" s="100"/>
      <c r="J2674" s="100"/>
      <c r="K2674" s="100"/>
      <c r="L2674" s="100"/>
      <c r="M2674" s="100"/>
      <c r="N2674" s="100"/>
      <c r="O2674" s="100"/>
      <c r="P2674" s="100"/>
      <c r="Q2674" s="100"/>
      <c r="R2674" s="100"/>
      <c r="S2674" s="100"/>
      <c r="T2674" s="100"/>
      <c r="U2674" s="100"/>
      <c r="V2674" s="100"/>
      <c r="W2674" s="100"/>
      <c r="X2674" s="100"/>
      <c r="Y2674" s="100"/>
      <c r="Z2674" s="100"/>
      <c r="AA2674" s="100"/>
    </row>
    <row r="2675" spans="2:27">
      <c r="B2675" s="100"/>
      <c r="C2675" s="100"/>
      <c r="D2675" s="100"/>
      <c r="E2675" s="100"/>
      <c r="F2675" s="100"/>
      <c r="G2675" s="100"/>
      <c r="H2675" s="100"/>
      <c r="I2675" s="100"/>
      <c r="J2675" s="100"/>
      <c r="K2675" s="100"/>
      <c r="L2675" s="100"/>
      <c r="M2675" s="100"/>
      <c r="N2675" s="100"/>
      <c r="O2675" s="100"/>
      <c r="P2675" s="100"/>
      <c r="Q2675" s="100"/>
      <c r="R2675" s="100"/>
      <c r="S2675" s="100"/>
      <c r="T2675" s="100"/>
      <c r="U2675" s="100"/>
      <c r="V2675" s="100"/>
      <c r="W2675" s="100"/>
      <c r="X2675" s="100"/>
      <c r="Y2675" s="100"/>
      <c r="Z2675" s="100"/>
      <c r="AA2675" s="100"/>
    </row>
    <row r="2676" spans="2:27">
      <c r="B2676" s="100"/>
      <c r="C2676" s="100"/>
      <c r="D2676" s="100"/>
      <c r="E2676" s="100"/>
      <c r="F2676" s="100"/>
      <c r="G2676" s="100"/>
      <c r="H2676" s="100"/>
      <c r="I2676" s="100"/>
      <c r="J2676" s="100"/>
      <c r="K2676" s="100"/>
      <c r="L2676" s="100"/>
      <c r="M2676" s="100"/>
      <c r="N2676" s="100"/>
      <c r="O2676" s="100"/>
      <c r="P2676" s="100"/>
      <c r="Q2676" s="100"/>
      <c r="R2676" s="100"/>
      <c r="S2676" s="100"/>
      <c r="T2676" s="100"/>
      <c r="U2676" s="100"/>
      <c r="V2676" s="100"/>
      <c r="W2676" s="100"/>
      <c r="X2676" s="100"/>
      <c r="Y2676" s="100"/>
      <c r="Z2676" s="100"/>
      <c r="AA2676" s="100"/>
    </row>
    <row r="2677" spans="2:27">
      <c r="B2677" s="100"/>
      <c r="C2677" s="100"/>
      <c r="D2677" s="100"/>
      <c r="E2677" s="100"/>
      <c r="F2677" s="100"/>
      <c r="G2677" s="100"/>
      <c r="H2677" s="100"/>
      <c r="I2677" s="100"/>
      <c r="J2677" s="100"/>
      <c r="K2677" s="100"/>
      <c r="L2677" s="100"/>
      <c r="M2677" s="100"/>
      <c r="N2677" s="100"/>
      <c r="O2677" s="100"/>
      <c r="P2677" s="100"/>
      <c r="Q2677" s="100"/>
      <c r="R2677" s="100"/>
      <c r="S2677" s="100"/>
      <c r="T2677" s="100"/>
      <c r="U2677" s="100"/>
      <c r="V2677" s="100"/>
      <c r="W2677" s="100"/>
      <c r="X2677" s="100"/>
      <c r="Y2677" s="100"/>
      <c r="Z2677" s="100"/>
      <c r="AA2677" s="100"/>
    </row>
    <row r="2678" spans="2:27">
      <c r="B2678" s="100"/>
      <c r="C2678" s="100"/>
      <c r="D2678" s="100"/>
      <c r="E2678" s="100"/>
      <c r="F2678" s="100"/>
      <c r="G2678" s="100"/>
      <c r="H2678" s="100"/>
      <c r="I2678" s="100"/>
      <c r="J2678" s="100"/>
      <c r="K2678" s="100"/>
      <c r="L2678" s="100"/>
      <c r="M2678" s="100"/>
      <c r="N2678" s="100"/>
      <c r="O2678" s="100"/>
      <c r="P2678" s="100"/>
      <c r="Q2678" s="100"/>
      <c r="R2678" s="100"/>
      <c r="S2678" s="100"/>
      <c r="T2678" s="100"/>
      <c r="U2678" s="100"/>
      <c r="V2678" s="100"/>
      <c r="W2678" s="100"/>
      <c r="X2678" s="100"/>
      <c r="Y2678" s="100"/>
      <c r="Z2678" s="100"/>
      <c r="AA2678" s="100"/>
    </row>
    <row r="2679" spans="2:27">
      <c r="B2679" s="100"/>
      <c r="C2679" s="100"/>
      <c r="D2679" s="100"/>
      <c r="E2679" s="100"/>
      <c r="F2679" s="100"/>
      <c r="G2679" s="100"/>
      <c r="H2679" s="100"/>
      <c r="I2679" s="100"/>
      <c r="J2679" s="100"/>
      <c r="K2679" s="100"/>
      <c r="L2679" s="100"/>
      <c r="M2679" s="100"/>
      <c r="N2679" s="100"/>
      <c r="O2679" s="100"/>
      <c r="P2679" s="100"/>
      <c r="Q2679" s="100"/>
      <c r="R2679" s="100"/>
      <c r="S2679" s="100"/>
      <c r="T2679" s="100"/>
      <c r="U2679" s="100"/>
      <c r="V2679" s="100"/>
      <c r="W2679" s="100"/>
      <c r="X2679" s="100"/>
      <c r="Y2679" s="100"/>
      <c r="Z2679" s="100"/>
      <c r="AA2679" s="100"/>
    </row>
    <row r="2680" spans="2:27">
      <c r="B2680" s="100"/>
      <c r="C2680" s="100"/>
      <c r="D2680" s="100"/>
      <c r="E2680" s="100"/>
      <c r="F2680" s="100"/>
      <c r="G2680" s="100"/>
      <c r="H2680" s="100"/>
      <c r="I2680" s="100"/>
      <c r="J2680" s="100"/>
      <c r="K2680" s="100"/>
      <c r="L2680" s="100"/>
      <c r="M2680" s="100"/>
      <c r="N2680" s="100"/>
      <c r="O2680" s="100"/>
      <c r="P2680" s="100"/>
      <c r="Q2680" s="100"/>
      <c r="R2680" s="100"/>
      <c r="S2680" s="100"/>
      <c r="T2680" s="100"/>
      <c r="U2680" s="100"/>
      <c r="V2680" s="100"/>
      <c r="W2680" s="100"/>
      <c r="X2680" s="100"/>
      <c r="Y2680" s="100"/>
      <c r="Z2680" s="100"/>
      <c r="AA2680" s="100"/>
    </row>
    <row r="2681" spans="2:27">
      <c r="B2681" s="100"/>
      <c r="C2681" s="100"/>
      <c r="D2681" s="100"/>
      <c r="E2681" s="100"/>
      <c r="F2681" s="100"/>
      <c r="G2681" s="100"/>
      <c r="H2681" s="100"/>
      <c r="I2681" s="100"/>
      <c r="J2681" s="100"/>
      <c r="K2681" s="100"/>
      <c r="L2681" s="100"/>
      <c r="M2681" s="100"/>
      <c r="N2681" s="100"/>
      <c r="O2681" s="100"/>
      <c r="P2681" s="100"/>
      <c r="Q2681" s="100"/>
      <c r="R2681" s="100"/>
      <c r="S2681" s="100"/>
      <c r="T2681" s="100"/>
      <c r="U2681" s="100"/>
      <c r="V2681" s="100"/>
      <c r="W2681" s="100"/>
      <c r="X2681" s="100"/>
      <c r="Y2681" s="100"/>
      <c r="Z2681" s="100"/>
      <c r="AA2681" s="100"/>
    </row>
    <row r="2682" spans="2:27">
      <c r="B2682" s="100"/>
      <c r="C2682" s="100"/>
      <c r="D2682" s="100"/>
      <c r="E2682" s="100"/>
      <c r="F2682" s="100"/>
      <c r="G2682" s="100"/>
      <c r="H2682" s="100"/>
      <c r="I2682" s="100"/>
      <c r="J2682" s="100"/>
      <c r="K2682" s="100"/>
      <c r="L2682" s="100"/>
      <c r="M2682" s="100"/>
      <c r="N2682" s="100"/>
      <c r="O2682" s="100"/>
      <c r="P2682" s="100"/>
      <c r="Q2682" s="100"/>
      <c r="R2682" s="100"/>
      <c r="S2682" s="100"/>
      <c r="T2682" s="100"/>
      <c r="U2682" s="100"/>
      <c r="V2682" s="100"/>
      <c r="W2682" s="100"/>
      <c r="X2682" s="100"/>
      <c r="Y2682" s="100"/>
      <c r="Z2682" s="100"/>
      <c r="AA2682" s="100"/>
    </row>
    <row r="2683" spans="2:27">
      <c r="B2683" s="100"/>
      <c r="C2683" s="100"/>
      <c r="D2683" s="100"/>
      <c r="E2683" s="100"/>
      <c r="F2683" s="100"/>
      <c r="G2683" s="100"/>
      <c r="H2683" s="100"/>
      <c r="I2683" s="100"/>
      <c r="J2683" s="100"/>
      <c r="K2683" s="100"/>
      <c r="L2683" s="100"/>
      <c r="M2683" s="100"/>
      <c r="N2683" s="100"/>
      <c r="O2683" s="100"/>
      <c r="P2683" s="100"/>
      <c r="Q2683" s="100"/>
      <c r="R2683" s="100"/>
      <c r="S2683" s="100"/>
      <c r="T2683" s="100"/>
      <c r="U2683" s="100"/>
      <c r="V2683" s="100"/>
      <c r="W2683" s="100"/>
      <c r="X2683" s="100"/>
      <c r="Y2683" s="100"/>
      <c r="Z2683" s="100"/>
      <c r="AA2683" s="100"/>
    </row>
    <row r="2684" spans="2:27">
      <c r="B2684" s="100"/>
      <c r="C2684" s="100"/>
      <c r="D2684" s="100"/>
      <c r="E2684" s="100"/>
      <c r="F2684" s="100"/>
      <c r="G2684" s="100"/>
      <c r="H2684" s="100"/>
      <c r="I2684" s="100"/>
      <c r="J2684" s="100"/>
      <c r="K2684" s="100"/>
      <c r="L2684" s="100"/>
      <c r="M2684" s="100"/>
      <c r="N2684" s="100"/>
      <c r="O2684" s="100"/>
      <c r="P2684" s="100"/>
      <c r="Q2684" s="100"/>
      <c r="R2684" s="100"/>
      <c r="S2684" s="100"/>
      <c r="T2684" s="100"/>
      <c r="U2684" s="100"/>
      <c r="V2684" s="100"/>
      <c r="W2684" s="100"/>
      <c r="X2684" s="100"/>
      <c r="Y2684" s="100"/>
      <c r="Z2684" s="100"/>
      <c r="AA2684" s="100"/>
    </row>
    <row r="2685" spans="2:27">
      <c r="B2685" s="100"/>
      <c r="C2685" s="100"/>
      <c r="D2685" s="100"/>
      <c r="E2685" s="100"/>
      <c r="F2685" s="100"/>
      <c r="G2685" s="100"/>
      <c r="H2685" s="100"/>
      <c r="I2685" s="100"/>
      <c r="J2685" s="100"/>
      <c r="K2685" s="100"/>
      <c r="L2685" s="100"/>
      <c r="M2685" s="100"/>
      <c r="N2685" s="100"/>
      <c r="O2685" s="100"/>
      <c r="P2685" s="100"/>
      <c r="Q2685" s="100"/>
      <c r="R2685" s="100"/>
      <c r="S2685" s="100"/>
      <c r="T2685" s="100"/>
      <c r="U2685" s="100"/>
      <c r="V2685" s="100"/>
      <c r="W2685" s="100"/>
      <c r="X2685" s="100"/>
      <c r="Y2685" s="100"/>
      <c r="Z2685" s="100"/>
      <c r="AA2685" s="100"/>
    </row>
    <row r="2686" spans="2:27">
      <c r="B2686" s="100"/>
      <c r="C2686" s="100"/>
      <c r="D2686" s="100"/>
      <c r="E2686" s="100"/>
      <c r="F2686" s="100"/>
      <c r="G2686" s="100"/>
      <c r="H2686" s="100"/>
      <c r="I2686" s="100"/>
      <c r="J2686" s="100"/>
      <c r="K2686" s="100"/>
      <c r="L2686" s="100"/>
      <c r="M2686" s="100"/>
      <c r="N2686" s="100"/>
      <c r="O2686" s="100"/>
      <c r="P2686" s="100"/>
      <c r="Q2686" s="100"/>
      <c r="R2686" s="100"/>
      <c r="S2686" s="100"/>
      <c r="T2686" s="100"/>
      <c r="U2686" s="100"/>
      <c r="V2686" s="100"/>
      <c r="W2686" s="100"/>
      <c r="X2686" s="100"/>
      <c r="Y2686" s="100"/>
      <c r="Z2686" s="100"/>
      <c r="AA2686" s="100"/>
    </row>
    <row r="2687" spans="2:27">
      <c r="B2687" s="100"/>
      <c r="C2687" s="100"/>
      <c r="D2687" s="100"/>
      <c r="E2687" s="100"/>
      <c r="F2687" s="100"/>
      <c r="G2687" s="100"/>
      <c r="H2687" s="100"/>
      <c r="I2687" s="100"/>
      <c r="J2687" s="100"/>
      <c r="K2687" s="100"/>
      <c r="L2687" s="100"/>
      <c r="M2687" s="100"/>
      <c r="N2687" s="100"/>
      <c r="O2687" s="100"/>
      <c r="P2687" s="100"/>
      <c r="Q2687" s="100"/>
      <c r="R2687" s="100"/>
      <c r="S2687" s="100"/>
      <c r="T2687" s="100"/>
      <c r="U2687" s="100"/>
      <c r="V2687" s="100"/>
      <c r="W2687" s="100"/>
      <c r="X2687" s="100"/>
      <c r="Y2687" s="100"/>
      <c r="Z2687" s="100"/>
      <c r="AA2687" s="100"/>
    </row>
    <row r="2688" spans="2:27">
      <c r="B2688" s="100"/>
      <c r="C2688" s="100"/>
      <c r="D2688" s="100"/>
      <c r="E2688" s="100"/>
      <c r="F2688" s="100"/>
      <c r="G2688" s="100"/>
      <c r="H2688" s="100"/>
      <c r="I2688" s="100"/>
      <c r="J2688" s="100"/>
      <c r="K2688" s="100"/>
      <c r="L2688" s="100"/>
      <c r="M2688" s="100"/>
      <c r="N2688" s="100"/>
      <c r="O2688" s="100"/>
      <c r="P2688" s="100"/>
      <c r="Q2688" s="100"/>
      <c r="R2688" s="100"/>
      <c r="S2688" s="100"/>
      <c r="T2688" s="100"/>
      <c r="U2688" s="100"/>
      <c r="V2688" s="100"/>
      <c r="W2688" s="100"/>
      <c r="X2688" s="100"/>
      <c r="Y2688" s="100"/>
      <c r="Z2688" s="100"/>
      <c r="AA2688" s="100"/>
    </row>
    <row r="2689" spans="2:27">
      <c r="B2689" s="100"/>
      <c r="C2689" s="100"/>
      <c r="D2689" s="100"/>
      <c r="E2689" s="100"/>
      <c r="F2689" s="100"/>
      <c r="G2689" s="100"/>
      <c r="H2689" s="100"/>
      <c r="I2689" s="100"/>
      <c r="J2689" s="100"/>
      <c r="K2689" s="100"/>
      <c r="L2689" s="100"/>
      <c r="M2689" s="100"/>
      <c r="N2689" s="100"/>
      <c r="O2689" s="100"/>
      <c r="P2689" s="100"/>
      <c r="Q2689" s="100"/>
      <c r="R2689" s="100"/>
      <c r="S2689" s="100"/>
      <c r="T2689" s="100"/>
      <c r="U2689" s="100"/>
      <c r="V2689" s="100"/>
      <c r="W2689" s="100"/>
      <c r="X2689" s="100"/>
      <c r="Y2689" s="100"/>
      <c r="Z2689" s="100"/>
      <c r="AA2689" s="100"/>
    </row>
    <row r="2690" spans="2:27">
      <c r="B2690" s="100"/>
      <c r="C2690" s="100"/>
      <c r="D2690" s="100"/>
      <c r="E2690" s="100"/>
      <c r="F2690" s="100"/>
      <c r="G2690" s="100"/>
      <c r="H2690" s="100"/>
      <c r="I2690" s="100"/>
      <c r="J2690" s="100"/>
      <c r="K2690" s="100"/>
      <c r="L2690" s="100"/>
      <c r="M2690" s="100"/>
      <c r="N2690" s="100"/>
      <c r="O2690" s="100"/>
      <c r="P2690" s="100"/>
      <c r="Q2690" s="100"/>
      <c r="R2690" s="100"/>
      <c r="S2690" s="100"/>
      <c r="T2690" s="100"/>
      <c r="U2690" s="100"/>
      <c r="V2690" s="100"/>
      <c r="W2690" s="100"/>
      <c r="X2690" s="100"/>
      <c r="Y2690" s="100"/>
      <c r="Z2690" s="100"/>
      <c r="AA2690" s="100"/>
    </row>
    <row r="2691" spans="2:27">
      <c r="B2691" s="100"/>
      <c r="C2691" s="100"/>
      <c r="D2691" s="100"/>
      <c r="E2691" s="100"/>
      <c r="F2691" s="100"/>
      <c r="G2691" s="100"/>
      <c r="H2691" s="100"/>
      <c r="I2691" s="100"/>
      <c r="J2691" s="100"/>
      <c r="K2691" s="100"/>
      <c r="L2691" s="100"/>
      <c r="M2691" s="100"/>
      <c r="N2691" s="100"/>
      <c r="O2691" s="100"/>
      <c r="P2691" s="100"/>
      <c r="Q2691" s="100"/>
      <c r="R2691" s="100"/>
      <c r="S2691" s="100"/>
      <c r="T2691" s="100"/>
      <c r="U2691" s="100"/>
      <c r="V2691" s="100"/>
      <c r="W2691" s="100"/>
      <c r="X2691" s="100"/>
      <c r="Y2691" s="100"/>
      <c r="Z2691" s="100"/>
      <c r="AA2691" s="100"/>
    </row>
    <row r="2692" spans="2:27">
      <c r="B2692" s="100"/>
      <c r="C2692" s="100"/>
      <c r="D2692" s="100"/>
      <c r="E2692" s="100"/>
      <c r="F2692" s="100"/>
      <c r="G2692" s="100"/>
      <c r="H2692" s="100"/>
      <c r="I2692" s="100"/>
      <c r="J2692" s="100"/>
      <c r="K2692" s="100"/>
      <c r="L2692" s="100"/>
      <c r="M2692" s="100"/>
      <c r="N2692" s="100"/>
      <c r="O2692" s="100"/>
      <c r="P2692" s="100"/>
      <c r="Q2692" s="100"/>
      <c r="R2692" s="100"/>
      <c r="S2692" s="100"/>
      <c r="T2692" s="100"/>
      <c r="U2692" s="100"/>
      <c r="V2692" s="100"/>
      <c r="W2692" s="100"/>
      <c r="X2692" s="100"/>
      <c r="Y2692" s="100"/>
      <c r="Z2692" s="100"/>
      <c r="AA2692" s="100"/>
    </row>
    <row r="2693" spans="2:27">
      <c r="B2693" s="100"/>
      <c r="C2693" s="100"/>
      <c r="D2693" s="100"/>
      <c r="E2693" s="100"/>
      <c r="F2693" s="100"/>
      <c r="G2693" s="100"/>
      <c r="H2693" s="100"/>
      <c r="I2693" s="100"/>
      <c r="J2693" s="100"/>
      <c r="K2693" s="100"/>
      <c r="L2693" s="100"/>
      <c r="M2693" s="100"/>
      <c r="N2693" s="100"/>
      <c r="O2693" s="100"/>
      <c r="P2693" s="100"/>
      <c r="Q2693" s="100"/>
      <c r="R2693" s="100"/>
      <c r="S2693" s="100"/>
      <c r="T2693" s="100"/>
      <c r="U2693" s="100"/>
      <c r="V2693" s="100"/>
      <c r="W2693" s="100"/>
      <c r="X2693" s="100"/>
      <c r="Y2693" s="100"/>
      <c r="Z2693" s="100"/>
      <c r="AA2693" s="100"/>
    </row>
    <row r="2694" spans="2:27">
      <c r="B2694" s="100"/>
      <c r="C2694" s="100"/>
      <c r="D2694" s="100"/>
      <c r="E2694" s="100"/>
      <c r="F2694" s="100"/>
      <c r="G2694" s="100"/>
      <c r="H2694" s="100"/>
      <c r="I2694" s="100"/>
      <c r="J2694" s="100"/>
      <c r="K2694" s="100"/>
      <c r="L2694" s="100"/>
      <c r="M2694" s="100"/>
      <c r="N2694" s="100"/>
      <c r="O2694" s="100"/>
      <c r="P2694" s="100"/>
      <c r="Q2694" s="100"/>
      <c r="R2694" s="100"/>
      <c r="S2694" s="100"/>
      <c r="T2694" s="100"/>
      <c r="U2694" s="100"/>
      <c r="V2694" s="100"/>
      <c r="W2694" s="100"/>
      <c r="X2694" s="100"/>
      <c r="Y2694" s="100"/>
      <c r="Z2694" s="100"/>
      <c r="AA2694" s="100"/>
    </row>
    <row r="2695" spans="2:27">
      <c r="B2695" s="100"/>
      <c r="C2695" s="100"/>
      <c r="D2695" s="100"/>
      <c r="E2695" s="100"/>
      <c r="F2695" s="100"/>
      <c r="G2695" s="100"/>
      <c r="H2695" s="100"/>
      <c r="I2695" s="100"/>
      <c r="J2695" s="100"/>
      <c r="K2695" s="100"/>
      <c r="L2695" s="100"/>
      <c r="M2695" s="100"/>
      <c r="N2695" s="100"/>
      <c r="O2695" s="100"/>
      <c r="P2695" s="100"/>
      <c r="Q2695" s="100"/>
      <c r="R2695" s="100"/>
      <c r="S2695" s="100"/>
      <c r="T2695" s="100"/>
      <c r="U2695" s="100"/>
      <c r="V2695" s="100"/>
      <c r="W2695" s="100"/>
      <c r="X2695" s="100"/>
      <c r="Y2695" s="100"/>
      <c r="Z2695" s="100"/>
      <c r="AA2695" s="100"/>
    </row>
    <row r="2696" spans="2:27">
      <c r="B2696" s="100"/>
      <c r="C2696" s="100"/>
      <c r="D2696" s="100"/>
      <c r="E2696" s="100"/>
      <c r="F2696" s="100"/>
      <c r="G2696" s="100"/>
      <c r="H2696" s="100"/>
      <c r="I2696" s="100"/>
      <c r="J2696" s="100"/>
      <c r="K2696" s="100"/>
      <c r="L2696" s="100"/>
      <c r="M2696" s="100"/>
      <c r="N2696" s="100"/>
      <c r="O2696" s="100"/>
      <c r="P2696" s="100"/>
      <c r="Q2696" s="100"/>
      <c r="R2696" s="100"/>
      <c r="S2696" s="100"/>
      <c r="T2696" s="100"/>
      <c r="U2696" s="100"/>
      <c r="V2696" s="100"/>
      <c r="W2696" s="100"/>
      <c r="X2696" s="100"/>
      <c r="Y2696" s="100"/>
      <c r="Z2696" s="100"/>
      <c r="AA2696" s="100"/>
    </row>
    <row r="2697" spans="2:27">
      <c r="B2697" s="100"/>
      <c r="C2697" s="100"/>
      <c r="D2697" s="100"/>
      <c r="E2697" s="100"/>
      <c r="F2697" s="100"/>
      <c r="G2697" s="100"/>
      <c r="H2697" s="100"/>
      <c r="I2697" s="100"/>
      <c r="J2697" s="100"/>
      <c r="K2697" s="100"/>
      <c r="L2697" s="100"/>
      <c r="M2697" s="100"/>
      <c r="N2697" s="100"/>
      <c r="O2697" s="100"/>
      <c r="P2697" s="100"/>
      <c r="Q2697" s="100"/>
      <c r="R2697" s="100"/>
      <c r="S2697" s="100"/>
      <c r="T2697" s="100"/>
      <c r="U2697" s="100"/>
      <c r="V2697" s="100"/>
      <c r="W2697" s="100"/>
      <c r="X2697" s="100"/>
      <c r="Y2697" s="100"/>
      <c r="Z2697" s="100"/>
      <c r="AA2697" s="100"/>
    </row>
    <row r="2698" spans="2:27">
      <c r="B2698" s="100"/>
      <c r="C2698" s="100"/>
      <c r="D2698" s="100"/>
      <c r="E2698" s="100"/>
      <c r="F2698" s="100"/>
      <c r="G2698" s="100"/>
      <c r="H2698" s="100"/>
      <c r="I2698" s="100"/>
      <c r="J2698" s="100"/>
      <c r="K2698" s="100"/>
      <c r="L2698" s="100"/>
      <c r="M2698" s="100"/>
      <c r="N2698" s="100"/>
      <c r="O2698" s="100"/>
      <c r="P2698" s="100"/>
      <c r="Q2698" s="100"/>
      <c r="R2698" s="100"/>
      <c r="S2698" s="100"/>
      <c r="T2698" s="100"/>
      <c r="U2698" s="100"/>
      <c r="V2698" s="100"/>
      <c r="W2698" s="100"/>
      <c r="X2698" s="100"/>
      <c r="Y2698" s="100"/>
      <c r="Z2698" s="100"/>
      <c r="AA2698" s="100"/>
    </row>
    <row r="2699" spans="2:27">
      <c r="B2699" s="100"/>
      <c r="C2699" s="100"/>
      <c r="D2699" s="100"/>
      <c r="E2699" s="100"/>
      <c r="F2699" s="100"/>
      <c r="G2699" s="100"/>
      <c r="H2699" s="100"/>
      <c r="I2699" s="100"/>
      <c r="J2699" s="100"/>
      <c r="K2699" s="100"/>
      <c r="L2699" s="100"/>
      <c r="M2699" s="100"/>
      <c r="N2699" s="100"/>
      <c r="O2699" s="100"/>
      <c r="P2699" s="100"/>
      <c r="Q2699" s="100"/>
      <c r="R2699" s="100"/>
      <c r="S2699" s="100"/>
      <c r="T2699" s="100"/>
      <c r="U2699" s="100"/>
      <c r="V2699" s="100"/>
      <c r="W2699" s="100"/>
      <c r="X2699" s="100"/>
      <c r="Y2699" s="100"/>
      <c r="Z2699" s="100"/>
      <c r="AA2699" s="100"/>
    </row>
    <row r="2700" spans="2:27">
      <c r="B2700" s="100"/>
      <c r="C2700" s="100"/>
      <c r="D2700" s="100"/>
      <c r="E2700" s="100"/>
      <c r="F2700" s="100"/>
      <c r="G2700" s="100"/>
      <c r="H2700" s="100"/>
      <c r="I2700" s="100"/>
      <c r="J2700" s="100"/>
      <c r="K2700" s="100"/>
      <c r="L2700" s="100"/>
      <c r="M2700" s="100"/>
      <c r="N2700" s="100"/>
      <c r="O2700" s="100"/>
      <c r="P2700" s="100"/>
      <c r="Q2700" s="100"/>
      <c r="R2700" s="100"/>
      <c r="S2700" s="100"/>
      <c r="T2700" s="100"/>
      <c r="U2700" s="100"/>
      <c r="V2700" s="100"/>
      <c r="W2700" s="100"/>
      <c r="X2700" s="100"/>
      <c r="Y2700" s="100"/>
      <c r="Z2700" s="100"/>
      <c r="AA2700" s="100"/>
    </row>
    <row r="2701" spans="2:27">
      <c r="B2701" s="100"/>
      <c r="C2701" s="100"/>
      <c r="D2701" s="100"/>
      <c r="E2701" s="100"/>
      <c r="F2701" s="100"/>
      <c r="G2701" s="100"/>
      <c r="H2701" s="100"/>
      <c r="I2701" s="100"/>
      <c r="J2701" s="100"/>
      <c r="K2701" s="100"/>
      <c r="L2701" s="100"/>
      <c r="M2701" s="100"/>
      <c r="N2701" s="100"/>
      <c r="O2701" s="100"/>
      <c r="P2701" s="100"/>
      <c r="Q2701" s="100"/>
      <c r="R2701" s="100"/>
      <c r="S2701" s="100"/>
      <c r="T2701" s="100"/>
      <c r="U2701" s="100"/>
      <c r="V2701" s="100"/>
      <c r="W2701" s="100"/>
      <c r="X2701" s="100"/>
      <c r="Y2701" s="100"/>
      <c r="Z2701" s="100"/>
      <c r="AA2701" s="100"/>
    </row>
    <row r="2702" spans="2:27">
      <c r="B2702" s="100"/>
      <c r="C2702" s="100"/>
      <c r="D2702" s="100"/>
      <c r="E2702" s="100"/>
      <c r="F2702" s="100"/>
      <c r="G2702" s="100"/>
      <c r="H2702" s="100"/>
      <c r="I2702" s="100"/>
      <c r="J2702" s="100"/>
      <c r="K2702" s="100"/>
      <c r="L2702" s="100"/>
      <c r="M2702" s="100"/>
      <c r="N2702" s="100"/>
      <c r="O2702" s="100"/>
      <c r="P2702" s="100"/>
      <c r="Q2702" s="100"/>
      <c r="R2702" s="100"/>
      <c r="S2702" s="100"/>
      <c r="T2702" s="100"/>
      <c r="U2702" s="100"/>
      <c r="V2702" s="100"/>
      <c r="W2702" s="100"/>
      <c r="X2702" s="100"/>
      <c r="Y2702" s="100"/>
      <c r="Z2702" s="100"/>
      <c r="AA2702" s="100"/>
    </row>
    <row r="2703" spans="2:27">
      <c r="B2703" s="100"/>
      <c r="C2703" s="100"/>
      <c r="D2703" s="100"/>
      <c r="E2703" s="100"/>
      <c r="F2703" s="100"/>
      <c r="G2703" s="100"/>
      <c r="H2703" s="100"/>
      <c r="I2703" s="100"/>
      <c r="J2703" s="100"/>
      <c r="K2703" s="100"/>
      <c r="L2703" s="100"/>
      <c r="M2703" s="100"/>
      <c r="N2703" s="100"/>
      <c r="O2703" s="100"/>
      <c r="P2703" s="100"/>
      <c r="Q2703" s="100"/>
      <c r="R2703" s="100"/>
      <c r="S2703" s="100"/>
      <c r="T2703" s="100"/>
      <c r="U2703" s="100"/>
      <c r="V2703" s="100"/>
      <c r="W2703" s="100"/>
      <c r="X2703" s="100"/>
      <c r="Y2703" s="100"/>
      <c r="Z2703" s="100"/>
      <c r="AA2703" s="100"/>
    </row>
    <row r="2704" spans="2:27">
      <c r="B2704" s="100"/>
      <c r="C2704" s="100"/>
      <c r="D2704" s="100"/>
      <c r="E2704" s="100"/>
      <c r="F2704" s="100"/>
      <c r="G2704" s="100"/>
      <c r="H2704" s="100"/>
      <c r="I2704" s="100"/>
      <c r="J2704" s="100"/>
      <c r="K2704" s="100"/>
      <c r="L2704" s="100"/>
      <c r="M2704" s="100"/>
      <c r="N2704" s="100"/>
      <c r="O2704" s="100"/>
      <c r="P2704" s="100"/>
      <c r="Q2704" s="100"/>
      <c r="R2704" s="100"/>
      <c r="S2704" s="100"/>
      <c r="T2704" s="100"/>
      <c r="U2704" s="100"/>
      <c r="V2704" s="100"/>
      <c r="W2704" s="100"/>
      <c r="X2704" s="100"/>
      <c r="Y2704" s="100"/>
      <c r="Z2704" s="100"/>
      <c r="AA2704" s="100"/>
    </row>
    <row r="2705" spans="2:27">
      <c r="B2705" s="100"/>
      <c r="C2705" s="100"/>
      <c r="D2705" s="100"/>
      <c r="E2705" s="100"/>
      <c r="F2705" s="100"/>
      <c r="G2705" s="100"/>
      <c r="H2705" s="100"/>
      <c r="I2705" s="100"/>
      <c r="J2705" s="100"/>
      <c r="K2705" s="100"/>
      <c r="L2705" s="100"/>
      <c r="M2705" s="100"/>
      <c r="N2705" s="100"/>
      <c r="O2705" s="100"/>
      <c r="P2705" s="100"/>
      <c r="Q2705" s="100"/>
      <c r="R2705" s="100"/>
      <c r="S2705" s="100"/>
      <c r="T2705" s="100"/>
      <c r="U2705" s="100"/>
      <c r="V2705" s="100"/>
      <c r="W2705" s="100"/>
      <c r="X2705" s="100"/>
      <c r="Y2705" s="100"/>
      <c r="Z2705" s="100"/>
      <c r="AA2705" s="100"/>
    </row>
    <row r="2706" spans="2:27">
      <c r="B2706" s="100"/>
      <c r="C2706" s="100"/>
      <c r="D2706" s="100"/>
      <c r="E2706" s="100"/>
      <c r="F2706" s="100"/>
      <c r="G2706" s="100"/>
      <c r="H2706" s="100"/>
      <c r="I2706" s="100"/>
      <c r="J2706" s="100"/>
      <c r="K2706" s="100"/>
      <c r="L2706" s="100"/>
      <c r="M2706" s="100"/>
      <c r="N2706" s="100"/>
      <c r="O2706" s="100"/>
      <c r="P2706" s="100"/>
      <c r="Q2706" s="100"/>
      <c r="R2706" s="100"/>
      <c r="S2706" s="100"/>
      <c r="T2706" s="100"/>
      <c r="U2706" s="100"/>
      <c r="V2706" s="100"/>
      <c r="W2706" s="100"/>
      <c r="X2706" s="100"/>
      <c r="Y2706" s="100"/>
      <c r="Z2706" s="100"/>
      <c r="AA2706" s="100"/>
    </row>
    <row r="2707" spans="2:27">
      <c r="B2707" s="100"/>
      <c r="C2707" s="100"/>
      <c r="D2707" s="100"/>
      <c r="E2707" s="100"/>
      <c r="F2707" s="100"/>
      <c r="G2707" s="100"/>
      <c r="H2707" s="100"/>
      <c r="I2707" s="100"/>
      <c r="J2707" s="100"/>
      <c r="K2707" s="100"/>
      <c r="L2707" s="100"/>
      <c r="M2707" s="100"/>
      <c r="N2707" s="100"/>
      <c r="O2707" s="100"/>
      <c r="P2707" s="100"/>
      <c r="Q2707" s="100"/>
      <c r="R2707" s="100"/>
      <c r="S2707" s="100"/>
      <c r="T2707" s="100"/>
      <c r="U2707" s="100"/>
      <c r="V2707" s="100"/>
      <c r="W2707" s="100"/>
      <c r="X2707" s="100"/>
      <c r="Y2707" s="100"/>
      <c r="Z2707" s="100"/>
      <c r="AA2707" s="100"/>
    </row>
    <row r="2708" spans="2:27">
      <c r="B2708" s="100"/>
      <c r="C2708" s="100"/>
      <c r="D2708" s="100"/>
      <c r="E2708" s="100"/>
      <c r="F2708" s="100"/>
      <c r="G2708" s="100"/>
      <c r="H2708" s="100"/>
      <c r="I2708" s="100"/>
      <c r="J2708" s="100"/>
      <c r="K2708" s="100"/>
      <c r="L2708" s="100"/>
      <c r="M2708" s="100"/>
      <c r="N2708" s="100"/>
      <c r="O2708" s="100"/>
      <c r="P2708" s="100"/>
      <c r="Q2708" s="100"/>
      <c r="R2708" s="100"/>
      <c r="S2708" s="100"/>
      <c r="T2708" s="100"/>
      <c r="U2708" s="100"/>
      <c r="V2708" s="100"/>
      <c r="W2708" s="100"/>
      <c r="X2708" s="100"/>
      <c r="Y2708" s="100"/>
      <c r="Z2708" s="100"/>
      <c r="AA2708" s="100"/>
    </row>
    <row r="2709" spans="2:27">
      <c r="B2709" s="100"/>
      <c r="C2709" s="100"/>
      <c r="D2709" s="100"/>
      <c r="E2709" s="100"/>
      <c r="F2709" s="100"/>
      <c r="G2709" s="100"/>
      <c r="H2709" s="100"/>
      <c r="I2709" s="100"/>
      <c r="J2709" s="100"/>
      <c r="K2709" s="100"/>
      <c r="L2709" s="100"/>
      <c r="M2709" s="100"/>
      <c r="N2709" s="100"/>
      <c r="O2709" s="100"/>
      <c r="P2709" s="100"/>
      <c r="Q2709" s="100"/>
      <c r="R2709" s="100"/>
      <c r="S2709" s="100"/>
      <c r="T2709" s="100"/>
      <c r="U2709" s="100"/>
      <c r="V2709" s="100"/>
      <c r="W2709" s="100"/>
      <c r="X2709" s="100"/>
      <c r="Y2709" s="100"/>
      <c r="Z2709" s="100"/>
      <c r="AA2709" s="100"/>
    </row>
    <row r="2710" spans="2:27">
      <c r="B2710" s="100"/>
      <c r="C2710" s="100"/>
      <c r="D2710" s="100"/>
      <c r="E2710" s="100"/>
      <c r="F2710" s="100"/>
      <c r="G2710" s="100"/>
      <c r="H2710" s="100"/>
      <c r="I2710" s="100"/>
      <c r="J2710" s="100"/>
      <c r="K2710" s="100"/>
      <c r="L2710" s="100"/>
      <c r="M2710" s="100"/>
      <c r="N2710" s="100"/>
      <c r="O2710" s="100"/>
      <c r="P2710" s="100"/>
      <c r="Q2710" s="100"/>
      <c r="R2710" s="100"/>
      <c r="S2710" s="100"/>
      <c r="T2710" s="100"/>
      <c r="U2710" s="100"/>
      <c r="V2710" s="100"/>
      <c r="W2710" s="100"/>
      <c r="X2710" s="100"/>
      <c r="Y2710" s="100"/>
      <c r="Z2710" s="100"/>
      <c r="AA2710" s="100"/>
    </row>
    <row r="2711" spans="2:27">
      <c r="B2711" s="100"/>
      <c r="C2711" s="100"/>
      <c r="D2711" s="100"/>
      <c r="E2711" s="100"/>
      <c r="F2711" s="100"/>
      <c r="G2711" s="100"/>
      <c r="H2711" s="100"/>
      <c r="I2711" s="100"/>
      <c r="J2711" s="100"/>
      <c r="K2711" s="100"/>
      <c r="L2711" s="100"/>
      <c r="M2711" s="100"/>
      <c r="N2711" s="100"/>
      <c r="O2711" s="100"/>
      <c r="P2711" s="100"/>
      <c r="Q2711" s="100"/>
      <c r="R2711" s="100"/>
      <c r="S2711" s="100"/>
      <c r="T2711" s="100"/>
      <c r="U2711" s="100"/>
      <c r="V2711" s="100"/>
      <c r="W2711" s="100"/>
      <c r="X2711" s="100"/>
      <c r="Y2711" s="100"/>
      <c r="Z2711" s="100"/>
      <c r="AA2711" s="100"/>
    </row>
    <row r="2712" spans="2:27">
      <c r="B2712" s="100"/>
      <c r="C2712" s="100"/>
      <c r="D2712" s="100"/>
      <c r="E2712" s="100"/>
      <c r="F2712" s="100"/>
      <c r="G2712" s="100"/>
      <c r="H2712" s="100"/>
      <c r="I2712" s="100"/>
      <c r="J2712" s="100"/>
      <c r="K2712" s="100"/>
      <c r="L2712" s="100"/>
      <c r="M2712" s="100"/>
      <c r="N2712" s="100"/>
      <c r="O2712" s="100"/>
      <c r="P2712" s="100"/>
      <c r="Q2712" s="100"/>
      <c r="R2712" s="100"/>
      <c r="S2712" s="100"/>
      <c r="T2712" s="100"/>
      <c r="U2712" s="100"/>
      <c r="V2712" s="100"/>
      <c r="W2712" s="100"/>
      <c r="X2712" s="100"/>
      <c r="Y2712" s="100"/>
      <c r="Z2712" s="100"/>
      <c r="AA2712" s="100"/>
    </row>
    <row r="2713" spans="2:27">
      <c r="B2713" s="100"/>
      <c r="C2713" s="100"/>
      <c r="D2713" s="100"/>
      <c r="E2713" s="100"/>
      <c r="F2713" s="100"/>
      <c r="G2713" s="100"/>
      <c r="H2713" s="100"/>
      <c r="I2713" s="100"/>
      <c r="J2713" s="100"/>
      <c r="K2713" s="100"/>
      <c r="L2713" s="100"/>
      <c r="M2713" s="100"/>
      <c r="N2713" s="100"/>
      <c r="O2713" s="100"/>
      <c r="P2713" s="100"/>
      <c r="Q2713" s="100"/>
      <c r="R2713" s="100"/>
      <c r="S2713" s="100"/>
      <c r="T2713" s="100"/>
      <c r="U2713" s="100"/>
      <c r="V2713" s="100"/>
      <c r="W2713" s="100"/>
      <c r="X2713" s="100"/>
      <c r="Y2713" s="100"/>
      <c r="Z2713" s="100"/>
      <c r="AA2713" s="100"/>
    </row>
    <row r="2714" spans="2:27">
      <c r="B2714" s="100"/>
      <c r="C2714" s="100"/>
      <c r="D2714" s="100"/>
      <c r="E2714" s="100"/>
      <c r="F2714" s="100"/>
      <c r="G2714" s="100"/>
      <c r="H2714" s="100"/>
      <c r="I2714" s="100"/>
      <c r="J2714" s="100"/>
      <c r="K2714" s="100"/>
      <c r="L2714" s="100"/>
      <c r="M2714" s="100"/>
      <c r="N2714" s="100"/>
      <c r="O2714" s="100"/>
      <c r="P2714" s="100"/>
      <c r="Q2714" s="100"/>
      <c r="R2714" s="100"/>
      <c r="S2714" s="100"/>
      <c r="T2714" s="100"/>
      <c r="U2714" s="100"/>
      <c r="V2714" s="100"/>
      <c r="W2714" s="100"/>
      <c r="X2714" s="100"/>
      <c r="Y2714" s="100"/>
      <c r="Z2714" s="100"/>
      <c r="AA2714" s="100"/>
    </row>
    <row r="2715" spans="2:27">
      <c r="B2715" s="100"/>
      <c r="C2715" s="100"/>
      <c r="D2715" s="100"/>
      <c r="E2715" s="100"/>
      <c r="F2715" s="100"/>
      <c r="G2715" s="100"/>
      <c r="H2715" s="100"/>
      <c r="I2715" s="100"/>
      <c r="J2715" s="100"/>
      <c r="K2715" s="100"/>
      <c r="L2715" s="100"/>
      <c r="M2715" s="100"/>
      <c r="N2715" s="100"/>
      <c r="O2715" s="100"/>
      <c r="P2715" s="100"/>
      <c r="Q2715" s="100"/>
      <c r="R2715" s="100"/>
      <c r="S2715" s="100"/>
      <c r="T2715" s="100"/>
      <c r="U2715" s="100"/>
      <c r="V2715" s="100"/>
      <c r="W2715" s="100"/>
      <c r="X2715" s="100"/>
      <c r="Y2715" s="100"/>
      <c r="Z2715" s="100"/>
      <c r="AA2715" s="100"/>
    </row>
    <row r="2716" spans="2:27">
      <c r="B2716" s="100"/>
      <c r="C2716" s="100"/>
      <c r="D2716" s="100"/>
      <c r="E2716" s="100"/>
      <c r="F2716" s="100"/>
      <c r="G2716" s="100"/>
      <c r="H2716" s="100"/>
      <c r="I2716" s="100"/>
      <c r="J2716" s="100"/>
      <c r="K2716" s="100"/>
      <c r="L2716" s="100"/>
      <c r="M2716" s="100"/>
      <c r="N2716" s="100"/>
      <c r="O2716" s="100"/>
      <c r="P2716" s="100"/>
      <c r="Q2716" s="100"/>
      <c r="R2716" s="100"/>
      <c r="S2716" s="100"/>
      <c r="T2716" s="100"/>
      <c r="U2716" s="100"/>
      <c r="V2716" s="100"/>
      <c r="W2716" s="100"/>
      <c r="X2716" s="100"/>
      <c r="Y2716" s="100"/>
      <c r="Z2716" s="100"/>
      <c r="AA2716" s="100"/>
    </row>
    <row r="2717" spans="2:27">
      <c r="B2717" s="100"/>
      <c r="C2717" s="100"/>
      <c r="D2717" s="100"/>
      <c r="E2717" s="100"/>
      <c r="F2717" s="100"/>
      <c r="G2717" s="100"/>
      <c r="H2717" s="100"/>
      <c r="I2717" s="100"/>
      <c r="J2717" s="100"/>
      <c r="K2717" s="100"/>
      <c r="L2717" s="100"/>
      <c r="M2717" s="100"/>
      <c r="N2717" s="100"/>
      <c r="O2717" s="100"/>
      <c r="P2717" s="100"/>
      <c r="Q2717" s="100"/>
      <c r="R2717" s="100"/>
      <c r="S2717" s="100"/>
      <c r="T2717" s="100"/>
      <c r="U2717" s="100"/>
      <c r="V2717" s="100"/>
      <c r="W2717" s="100"/>
      <c r="X2717" s="100"/>
      <c r="Y2717" s="100"/>
      <c r="Z2717" s="100"/>
      <c r="AA2717" s="100"/>
    </row>
    <row r="2718" spans="2:27">
      <c r="B2718" s="100"/>
      <c r="C2718" s="100"/>
      <c r="D2718" s="100"/>
      <c r="E2718" s="100"/>
      <c r="F2718" s="100"/>
      <c r="G2718" s="100"/>
      <c r="H2718" s="100"/>
      <c r="I2718" s="100"/>
      <c r="J2718" s="100"/>
      <c r="K2718" s="100"/>
      <c r="L2718" s="100"/>
      <c r="M2718" s="100"/>
      <c r="N2718" s="100"/>
      <c r="O2718" s="100"/>
      <c r="P2718" s="100"/>
      <c r="Q2718" s="100"/>
      <c r="R2718" s="100"/>
      <c r="S2718" s="100"/>
      <c r="T2718" s="100"/>
      <c r="U2718" s="100"/>
      <c r="V2718" s="100"/>
      <c r="W2718" s="100"/>
      <c r="X2718" s="100"/>
      <c r="Y2718" s="100"/>
      <c r="Z2718" s="100"/>
      <c r="AA2718" s="100"/>
    </row>
    <row r="2719" spans="2:27">
      <c r="B2719" s="100"/>
      <c r="C2719" s="100"/>
      <c r="D2719" s="100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  <c r="AA2719" s="100"/>
    </row>
    <row r="2720" spans="2:27">
      <c r="B2720" s="100"/>
      <c r="C2720" s="100"/>
      <c r="D2720" s="100"/>
      <c r="E2720" s="100"/>
      <c r="F2720" s="100"/>
      <c r="G2720" s="100"/>
      <c r="H2720" s="100"/>
      <c r="I2720" s="100"/>
      <c r="J2720" s="100"/>
      <c r="K2720" s="100"/>
      <c r="L2720" s="100"/>
      <c r="M2720" s="100"/>
      <c r="N2720" s="100"/>
      <c r="O2720" s="100"/>
      <c r="P2720" s="100"/>
      <c r="Q2720" s="100"/>
      <c r="R2720" s="100"/>
      <c r="S2720" s="100"/>
      <c r="T2720" s="100"/>
      <c r="U2720" s="100"/>
      <c r="V2720" s="100"/>
      <c r="W2720" s="100"/>
      <c r="X2720" s="100"/>
      <c r="Y2720" s="100"/>
      <c r="Z2720" s="100"/>
      <c r="AA2720" s="100"/>
    </row>
    <row r="2721" spans="2:27">
      <c r="B2721" s="100"/>
      <c r="C2721" s="100"/>
      <c r="D2721" s="100"/>
      <c r="E2721" s="100"/>
      <c r="F2721" s="100"/>
      <c r="G2721" s="100"/>
      <c r="H2721" s="100"/>
      <c r="I2721" s="100"/>
      <c r="J2721" s="100"/>
      <c r="K2721" s="100"/>
      <c r="L2721" s="100"/>
      <c r="M2721" s="100"/>
      <c r="N2721" s="100"/>
      <c r="O2721" s="100"/>
      <c r="P2721" s="100"/>
      <c r="Q2721" s="100"/>
      <c r="R2721" s="100"/>
      <c r="S2721" s="100"/>
      <c r="T2721" s="100"/>
      <c r="U2721" s="100"/>
      <c r="V2721" s="100"/>
      <c r="W2721" s="100"/>
      <c r="X2721" s="100"/>
      <c r="Y2721" s="100"/>
      <c r="Z2721" s="100"/>
      <c r="AA2721" s="100"/>
    </row>
    <row r="2722" spans="2:27">
      <c r="B2722" s="100"/>
      <c r="C2722" s="100"/>
      <c r="D2722" s="100"/>
      <c r="E2722" s="100"/>
      <c r="F2722" s="100"/>
      <c r="G2722" s="100"/>
      <c r="H2722" s="100"/>
      <c r="I2722" s="100"/>
      <c r="J2722" s="100"/>
      <c r="K2722" s="100"/>
      <c r="L2722" s="100"/>
      <c r="M2722" s="100"/>
      <c r="N2722" s="100"/>
      <c r="O2722" s="100"/>
      <c r="P2722" s="100"/>
      <c r="Q2722" s="100"/>
      <c r="R2722" s="100"/>
      <c r="S2722" s="100"/>
      <c r="T2722" s="100"/>
      <c r="U2722" s="100"/>
      <c r="V2722" s="100"/>
      <c r="W2722" s="100"/>
      <c r="X2722" s="100"/>
      <c r="Y2722" s="100"/>
      <c r="Z2722" s="100"/>
      <c r="AA2722" s="100"/>
    </row>
    <row r="2723" spans="2:27">
      <c r="B2723" s="100"/>
      <c r="C2723" s="100"/>
      <c r="D2723" s="100"/>
      <c r="E2723" s="100"/>
      <c r="F2723" s="100"/>
      <c r="G2723" s="100"/>
      <c r="H2723" s="100"/>
      <c r="I2723" s="100"/>
      <c r="J2723" s="100"/>
      <c r="K2723" s="100"/>
      <c r="L2723" s="100"/>
      <c r="M2723" s="100"/>
      <c r="N2723" s="100"/>
      <c r="O2723" s="100"/>
      <c r="P2723" s="100"/>
      <c r="Q2723" s="100"/>
      <c r="R2723" s="100"/>
      <c r="S2723" s="100"/>
      <c r="T2723" s="100"/>
      <c r="U2723" s="100"/>
      <c r="V2723" s="100"/>
      <c r="W2723" s="100"/>
      <c r="X2723" s="100"/>
      <c r="Y2723" s="100"/>
      <c r="Z2723" s="100"/>
      <c r="AA2723" s="100"/>
    </row>
    <row r="2724" spans="2:27">
      <c r="B2724" s="100"/>
      <c r="C2724" s="100"/>
      <c r="D2724" s="100"/>
      <c r="E2724" s="100"/>
      <c r="F2724" s="100"/>
      <c r="G2724" s="100"/>
      <c r="H2724" s="100"/>
      <c r="I2724" s="100"/>
      <c r="J2724" s="100"/>
      <c r="K2724" s="100"/>
      <c r="L2724" s="100"/>
      <c r="M2724" s="100"/>
      <c r="N2724" s="100"/>
      <c r="O2724" s="100"/>
      <c r="P2724" s="100"/>
      <c r="Q2724" s="100"/>
      <c r="R2724" s="100"/>
      <c r="S2724" s="100"/>
      <c r="T2724" s="100"/>
      <c r="U2724" s="100"/>
      <c r="V2724" s="100"/>
      <c r="W2724" s="100"/>
      <c r="X2724" s="100"/>
      <c r="Y2724" s="100"/>
      <c r="Z2724" s="100"/>
      <c r="AA2724" s="100"/>
    </row>
    <row r="2725" spans="2:27">
      <c r="B2725" s="100"/>
      <c r="C2725" s="100"/>
      <c r="D2725" s="100"/>
      <c r="E2725" s="100"/>
      <c r="F2725" s="100"/>
      <c r="G2725" s="100"/>
      <c r="H2725" s="100"/>
      <c r="I2725" s="100"/>
      <c r="J2725" s="100"/>
      <c r="K2725" s="100"/>
      <c r="L2725" s="100"/>
      <c r="M2725" s="100"/>
      <c r="N2725" s="100"/>
      <c r="O2725" s="100"/>
      <c r="P2725" s="100"/>
      <c r="Q2725" s="100"/>
      <c r="R2725" s="100"/>
      <c r="S2725" s="100"/>
      <c r="T2725" s="100"/>
      <c r="U2725" s="100"/>
      <c r="V2725" s="100"/>
      <c r="W2725" s="100"/>
      <c r="X2725" s="100"/>
      <c r="Y2725" s="100"/>
      <c r="Z2725" s="100"/>
      <c r="AA2725" s="100"/>
    </row>
    <row r="2726" spans="2:27">
      <c r="B2726" s="100"/>
      <c r="C2726" s="100"/>
      <c r="D2726" s="100"/>
      <c r="E2726" s="100"/>
      <c r="F2726" s="100"/>
      <c r="G2726" s="100"/>
      <c r="H2726" s="100"/>
      <c r="I2726" s="100"/>
      <c r="J2726" s="100"/>
      <c r="K2726" s="100"/>
      <c r="L2726" s="100"/>
      <c r="M2726" s="100"/>
      <c r="N2726" s="100"/>
      <c r="O2726" s="100"/>
      <c r="P2726" s="100"/>
      <c r="Q2726" s="100"/>
      <c r="R2726" s="100"/>
      <c r="S2726" s="100"/>
      <c r="T2726" s="100"/>
      <c r="U2726" s="100"/>
      <c r="V2726" s="100"/>
      <c r="W2726" s="100"/>
      <c r="X2726" s="100"/>
      <c r="Y2726" s="100"/>
      <c r="Z2726" s="100"/>
      <c r="AA2726" s="100"/>
    </row>
    <row r="2727" spans="2:27">
      <c r="B2727" s="100"/>
      <c r="C2727" s="100"/>
      <c r="D2727" s="100"/>
      <c r="E2727" s="100"/>
      <c r="F2727" s="100"/>
      <c r="G2727" s="100"/>
      <c r="H2727" s="100"/>
      <c r="I2727" s="100"/>
      <c r="J2727" s="100"/>
      <c r="K2727" s="100"/>
      <c r="L2727" s="100"/>
      <c r="M2727" s="100"/>
      <c r="N2727" s="100"/>
      <c r="O2727" s="100"/>
      <c r="P2727" s="100"/>
      <c r="Q2727" s="100"/>
      <c r="R2727" s="100"/>
      <c r="S2727" s="100"/>
      <c r="T2727" s="100"/>
      <c r="U2727" s="100"/>
      <c r="V2727" s="100"/>
      <c r="W2727" s="100"/>
      <c r="X2727" s="100"/>
      <c r="Y2727" s="100"/>
      <c r="Z2727" s="100"/>
      <c r="AA2727" s="100"/>
    </row>
    <row r="2728" spans="2:27">
      <c r="B2728" s="100"/>
      <c r="C2728" s="100"/>
      <c r="D2728" s="100"/>
      <c r="E2728" s="100"/>
      <c r="F2728" s="100"/>
      <c r="G2728" s="100"/>
      <c r="H2728" s="100"/>
      <c r="I2728" s="100"/>
      <c r="J2728" s="100"/>
      <c r="K2728" s="100"/>
      <c r="L2728" s="100"/>
      <c r="M2728" s="100"/>
      <c r="N2728" s="100"/>
      <c r="O2728" s="100"/>
      <c r="P2728" s="100"/>
      <c r="Q2728" s="100"/>
      <c r="R2728" s="100"/>
      <c r="S2728" s="100"/>
      <c r="T2728" s="100"/>
      <c r="U2728" s="100"/>
      <c r="V2728" s="100"/>
      <c r="W2728" s="100"/>
      <c r="X2728" s="100"/>
      <c r="Y2728" s="100"/>
      <c r="Z2728" s="100"/>
      <c r="AA2728" s="100"/>
    </row>
    <row r="2729" spans="2:27">
      <c r="B2729" s="100"/>
      <c r="C2729" s="100"/>
      <c r="D2729" s="100"/>
      <c r="E2729" s="100"/>
      <c r="F2729" s="100"/>
      <c r="G2729" s="100"/>
      <c r="H2729" s="100"/>
      <c r="I2729" s="100"/>
      <c r="J2729" s="100"/>
      <c r="K2729" s="100"/>
      <c r="L2729" s="100"/>
      <c r="M2729" s="100"/>
      <c r="N2729" s="100"/>
      <c r="O2729" s="100"/>
      <c r="P2729" s="100"/>
      <c r="Q2729" s="100"/>
      <c r="R2729" s="100"/>
      <c r="S2729" s="100"/>
      <c r="T2729" s="100"/>
      <c r="U2729" s="100"/>
      <c r="V2729" s="100"/>
      <c r="W2729" s="100"/>
      <c r="X2729" s="100"/>
      <c r="Y2729" s="100"/>
      <c r="Z2729" s="100"/>
      <c r="AA2729" s="100"/>
    </row>
    <row r="2730" spans="2:27">
      <c r="B2730" s="100"/>
      <c r="C2730" s="100"/>
      <c r="D2730" s="100"/>
      <c r="E2730" s="100"/>
      <c r="F2730" s="100"/>
      <c r="G2730" s="100"/>
      <c r="H2730" s="100"/>
      <c r="I2730" s="100"/>
      <c r="J2730" s="100"/>
      <c r="K2730" s="100"/>
      <c r="L2730" s="100"/>
      <c r="M2730" s="100"/>
      <c r="N2730" s="100"/>
      <c r="O2730" s="100"/>
      <c r="P2730" s="100"/>
      <c r="Q2730" s="100"/>
      <c r="R2730" s="100"/>
      <c r="S2730" s="100"/>
      <c r="T2730" s="100"/>
      <c r="U2730" s="100"/>
      <c r="V2730" s="100"/>
      <c r="W2730" s="100"/>
      <c r="X2730" s="100"/>
      <c r="Y2730" s="100"/>
      <c r="Z2730" s="100"/>
      <c r="AA2730" s="100"/>
    </row>
    <row r="2731" spans="2:27">
      <c r="B2731" s="100"/>
      <c r="C2731" s="100"/>
      <c r="D2731" s="100"/>
      <c r="E2731" s="100"/>
      <c r="F2731" s="100"/>
      <c r="G2731" s="100"/>
      <c r="H2731" s="100"/>
      <c r="I2731" s="100"/>
      <c r="J2731" s="100"/>
      <c r="K2731" s="100"/>
      <c r="L2731" s="100"/>
      <c r="M2731" s="100"/>
      <c r="N2731" s="100"/>
      <c r="O2731" s="100"/>
      <c r="P2731" s="100"/>
      <c r="Q2731" s="100"/>
      <c r="R2731" s="100"/>
      <c r="S2731" s="100"/>
      <c r="T2731" s="100"/>
      <c r="U2731" s="100"/>
      <c r="V2731" s="100"/>
      <c r="W2731" s="100"/>
      <c r="X2731" s="100"/>
      <c r="Y2731" s="100"/>
      <c r="Z2731" s="100"/>
      <c r="AA2731" s="100"/>
    </row>
    <row r="2732" spans="2:27">
      <c r="B2732" s="100"/>
      <c r="C2732" s="100"/>
      <c r="D2732" s="100"/>
      <c r="E2732" s="100"/>
      <c r="F2732" s="100"/>
      <c r="G2732" s="100"/>
      <c r="H2732" s="100"/>
      <c r="I2732" s="100"/>
      <c r="J2732" s="100"/>
      <c r="K2732" s="100"/>
      <c r="L2732" s="100"/>
      <c r="M2732" s="100"/>
      <c r="N2732" s="100"/>
      <c r="O2732" s="100"/>
      <c r="P2732" s="100"/>
      <c r="Q2732" s="100"/>
      <c r="R2732" s="100"/>
      <c r="S2732" s="100"/>
      <c r="T2732" s="100"/>
      <c r="U2732" s="100"/>
      <c r="V2732" s="100"/>
      <c r="W2732" s="100"/>
      <c r="X2732" s="100"/>
      <c r="Y2732" s="100"/>
      <c r="Z2732" s="100"/>
      <c r="AA2732" s="100"/>
    </row>
    <row r="2733" spans="2:27">
      <c r="B2733" s="100"/>
      <c r="C2733" s="100"/>
      <c r="D2733" s="100"/>
      <c r="E2733" s="100"/>
      <c r="F2733" s="100"/>
      <c r="G2733" s="100"/>
      <c r="H2733" s="100"/>
      <c r="I2733" s="100"/>
      <c r="J2733" s="100"/>
      <c r="K2733" s="100"/>
      <c r="L2733" s="100"/>
      <c r="M2733" s="100"/>
      <c r="N2733" s="100"/>
      <c r="O2733" s="100"/>
      <c r="P2733" s="100"/>
      <c r="Q2733" s="100"/>
      <c r="R2733" s="100"/>
      <c r="S2733" s="100"/>
      <c r="T2733" s="100"/>
      <c r="U2733" s="100"/>
      <c r="V2733" s="100"/>
      <c r="W2733" s="100"/>
      <c r="X2733" s="100"/>
      <c r="Y2733" s="100"/>
      <c r="Z2733" s="100"/>
      <c r="AA2733" s="100"/>
    </row>
    <row r="2734" spans="2:27">
      <c r="B2734" s="100"/>
      <c r="C2734" s="100"/>
      <c r="D2734" s="100"/>
      <c r="E2734" s="100"/>
      <c r="F2734" s="100"/>
      <c r="G2734" s="100"/>
      <c r="H2734" s="100"/>
      <c r="I2734" s="100"/>
      <c r="J2734" s="100"/>
      <c r="K2734" s="100"/>
      <c r="L2734" s="100"/>
      <c r="M2734" s="100"/>
      <c r="N2734" s="100"/>
      <c r="O2734" s="100"/>
      <c r="P2734" s="100"/>
      <c r="Q2734" s="100"/>
      <c r="R2734" s="100"/>
      <c r="S2734" s="100"/>
      <c r="T2734" s="100"/>
      <c r="U2734" s="100"/>
      <c r="V2734" s="100"/>
      <c r="W2734" s="100"/>
      <c r="X2734" s="100"/>
      <c r="Y2734" s="100"/>
      <c r="Z2734" s="100"/>
      <c r="AA2734" s="100"/>
    </row>
    <row r="2735" spans="2:27">
      <c r="B2735" s="100"/>
      <c r="C2735" s="100"/>
      <c r="D2735" s="100"/>
      <c r="E2735" s="100"/>
      <c r="F2735" s="100"/>
      <c r="G2735" s="100"/>
      <c r="H2735" s="100"/>
      <c r="I2735" s="100"/>
      <c r="J2735" s="100"/>
      <c r="K2735" s="100"/>
      <c r="L2735" s="100"/>
      <c r="M2735" s="100"/>
      <c r="N2735" s="100"/>
      <c r="O2735" s="100"/>
      <c r="P2735" s="100"/>
      <c r="Q2735" s="100"/>
      <c r="R2735" s="100"/>
      <c r="S2735" s="100"/>
      <c r="T2735" s="100"/>
      <c r="U2735" s="100"/>
      <c r="V2735" s="100"/>
      <c r="W2735" s="100"/>
      <c r="X2735" s="100"/>
      <c r="Y2735" s="100"/>
      <c r="Z2735" s="100"/>
      <c r="AA2735" s="100"/>
    </row>
    <row r="2736" spans="2:27">
      <c r="B2736" s="100"/>
      <c r="C2736" s="100"/>
      <c r="D2736" s="100"/>
      <c r="E2736" s="100"/>
      <c r="F2736" s="100"/>
      <c r="G2736" s="100"/>
      <c r="H2736" s="100"/>
      <c r="I2736" s="100"/>
      <c r="J2736" s="100"/>
      <c r="K2736" s="100"/>
      <c r="L2736" s="100"/>
      <c r="M2736" s="100"/>
      <c r="N2736" s="100"/>
      <c r="O2736" s="100"/>
      <c r="P2736" s="100"/>
      <c r="Q2736" s="100"/>
      <c r="R2736" s="100"/>
      <c r="S2736" s="100"/>
      <c r="T2736" s="100"/>
      <c r="U2736" s="100"/>
      <c r="V2736" s="100"/>
      <c r="W2736" s="100"/>
      <c r="X2736" s="100"/>
      <c r="Y2736" s="100"/>
      <c r="Z2736" s="100"/>
      <c r="AA2736" s="100"/>
    </row>
    <row r="2737" spans="2:27">
      <c r="B2737" s="100"/>
      <c r="C2737" s="100"/>
      <c r="D2737" s="100"/>
      <c r="E2737" s="100"/>
      <c r="F2737" s="100"/>
      <c r="G2737" s="100"/>
      <c r="H2737" s="100"/>
      <c r="I2737" s="100"/>
      <c r="J2737" s="100"/>
      <c r="K2737" s="100"/>
      <c r="L2737" s="100"/>
      <c r="M2737" s="100"/>
      <c r="N2737" s="100"/>
      <c r="O2737" s="100"/>
      <c r="P2737" s="100"/>
      <c r="Q2737" s="100"/>
      <c r="R2737" s="100"/>
      <c r="S2737" s="100"/>
      <c r="T2737" s="100"/>
      <c r="U2737" s="100"/>
      <c r="V2737" s="100"/>
      <c r="W2737" s="100"/>
      <c r="X2737" s="100"/>
      <c r="Y2737" s="100"/>
      <c r="Z2737" s="100"/>
      <c r="AA2737" s="100"/>
    </row>
    <row r="2738" spans="2:27">
      <c r="B2738" s="100"/>
      <c r="C2738" s="100"/>
      <c r="D2738" s="100"/>
      <c r="E2738" s="100"/>
      <c r="F2738" s="100"/>
      <c r="G2738" s="100"/>
      <c r="H2738" s="100"/>
      <c r="I2738" s="100"/>
      <c r="J2738" s="100"/>
      <c r="K2738" s="100"/>
      <c r="L2738" s="100"/>
      <c r="M2738" s="100"/>
      <c r="N2738" s="100"/>
      <c r="O2738" s="100"/>
      <c r="P2738" s="100"/>
      <c r="Q2738" s="100"/>
      <c r="R2738" s="100"/>
      <c r="S2738" s="100"/>
      <c r="T2738" s="100"/>
      <c r="U2738" s="100"/>
      <c r="V2738" s="100"/>
      <c r="W2738" s="100"/>
      <c r="X2738" s="100"/>
      <c r="Y2738" s="100"/>
      <c r="Z2738" s="100"/>
      <c r="AA2738" s="100"/>
    </row>
    <row r="2739" spans="2:27">
      <c r="B2739" s="100"/>
      <c r="C2739" s="100"/>
      <c r="D2739" s="100"/>
      <c r="E2739" s="100"/>
      <c r="F2739" s="100"/>
      <c r="G2739" s="100"/>
      <c r="H2739" s="100"/>
      <c r="I2739" s="100"/>
      <c r="J2739" s="100"/>
      <c r="K2739" s="100"/>
      <c r="L2739" s="100"/>
      <c r="M2739" s="100"/>
      <c r="N2739" s="100"/>
      <c r="O2739" s="100"/>
      <c r="P2739" s="100"/>
      <c r="Q2739" s="100"/>
      <c r="R2739" s="100"/>
      <c r="S2739" s="100"/>
      <c r="T2739" s="100"/>
      <c r="U2739" s="100"/>
      <c r="V2739" s="100"/>
      <c r="W2739" s="100"/>
      <c r="X2739" s="100"/>
      <c r="Y2739" s="100"/>
      <c r="Z2739" s="100"/>
      <c r="AA2739" s="100"/>
    </row>
    <row r="2740" spans="2:27">
      <c r="B2740" s="100"/>
      <c r="C2740" s="100"/>
      <c r="D2740" s="100"/>
      <c r="E2740" s="100"/>
      <c r="F2740" s="100"/>
      <c r="G2740" s="100"/>
      <c r="H2740" s="100"/>
      <c r="I2740" s="100"/>
      <c r="J2740" s="100"/>
      <c r="K2740" s="100"/>
      <c r="L2740" s="100"/>
      <c r="M2740" s="100"/>
      <c r="N2740" s="100"/>
      <c r="O2740" s="100"/>
      <c r="P2740" s="100"/>
      <c r="Q2740" s="100"/>
      <c r="R2740" s="100"/>
      <c r="S2740" s="100"/>
      <c r="T2740" s="100"/>
      <c r="U2740" s="100"/>
      <c r="V2740" s="100"/>
      <c r="W2740" s="100"/>
      <c r="X2740" s="100"/>
      <c r="Y2740" s="100"/>
      <c r="Z2740" s="100"/>
      <c r="AA2740" s="100"/>
    </row>
    <row r="2741" spans="2:27">
      <c r="B2741" s="100"/>
      <c r="C2741" s="100"/>
      <c r="D2741" s="100"/>
      <c r="E2741" s="100"/>
      <c r="F2741" s="100"/>
      <c r="G2741" s="100"/>
      <c r="H2741" s="100"/>
      <c r="I2741" s="100"/>
      <c r="J2741" s="100"/>
      <c r="K2741" s="100"/>
      <c r="L2741" s="100"/>
      <c r="M2741" s="100"/>
      <c r="N2741" s="100"/>
      <c r="O2741" s="100"/>
      <c r="P2741" s="100"/>
      <c r="Q2741" s="100"/>
      <c r="R2741" s="100"/>
      <c r="S2741" s="100"/>
      <c r="T2741" s="100"/>
      <c r="U2741" s="100"/>
      <c r="V2741" s="100"/>
      <c r="W2741" s="100"/>
      <c r="X2741" s="100"/>
      <c r="Y2741" s="100"/>
      <c r="Z2741" s="100"/>
      <c r="AA2741" s="100"/>
    </row>
    <row r="2742" spans="2:27">
      <c r="B2742" s="100"/>
      <c r="C2742" s="100"/>
      <c r="D2742" s="100"/>
      <c r="E2742" s="100"/>
      <c r="F2742" s="100"/>
      <c r="G2742" s="100"/>
      <c r="H2742" s="100"/>
      <c r="I2742" s="100"/>
      <c r="J2742" s="100"/>
      <c r="K2742" s="100"/>
      <c r="L2742" s="100"/>
      <c r="M2742" s="100"/>
      <c r="N2742" s="100"/>
      <c r="O2742" s="100"/>
      <c r="P2742" s="100"/>
      <c r="Q2742" s="100"/>
      <c r="R2742" s="100"/>
      <c r="S2742" s="100"/>
      <c r="T2742" s="100"/>
      <c r="U2742" s="100"/>
      <c r="V2742" s="100"/>
      <c r="W2742" s="100"/>
      <c r="X2742" s="100"/>
      <c r="Y2742" s="100"/>
      <c r="Z2742" s="100"/>
      <c r="AA2742" s="100"/>
    </row>
    <row r="2743" spans="2:27">
      <c r="B2743" s="100"/>
      <c r="C2743" s="100"/>
      <c r="D2743" s="100"/>
      <c r="E2743" s="100"/>
      <c r="F2743" s="100"/>
      <c r="G2743" s="100"/>
      <c r="H2743" s="100"/>
      <c r="I2743" s="100"/>
      <c r="J2743" s="100"/>
      <c r="K2743" s="100"/>
      <c r="L2743" s="100"/>
      <c r="M2743" s="100"/>
      <c r="N2743" s="100"/>
      <c r="O2743" s="100"/>
      <c r="P2743" s="100"/>
      <c r="Q2743" s="100"/>
      <c r="R2743" s="100"/>
      <c r="S2743" s="100"/>
      <c r="T2743" s="100"/>
      <c r="U2743" s="100"/>
      <c r="V2743" s="100"/>
      <c r="W2743" s="100"/>
      <c r="X2743" s="100"/>
      <c r="Y2743" s="100"/>
      <c r="Z2743" s="100"/>
      <c r="AA2743" s="100"/>
    </row>
    <row r="2744" spans="2:27">
      <c r="B2744" s="100"/>
      <c r="C2744" s="100"/>
      <c r="D2744" s="100"/>
      <c r="E2744" s="100"/>
      <c r="F2744" s="100"/>
      <c r="G2744" s="100"/>
      <c r="H2744" s="100"/>
      <c r="I2744" s="100"/>
      <c r="J2744" s="100"/>
      <c r="K2744" s="100"/>
      <c r="L2744" s="100"/>
      <c r="M2744" s="100"/>
      <c r="N2744" s="100"/>
      <c r="O2744" s="100"/>
      <c r="P2744" s="100"/>
      <c r="Q2744" s="100"/>
      <c r="R2744" s="100"/>
      <c r="S2744" s="100"/>
      <c r="T2744" s="100"/>
      <c r="U2744" s="100"/>
      <c r="V2744" s="100"/>
      <c r="W2744" s="100"/>
      <c r="X2744" s="100"/>
      <c r="Y2744" s="100"/>
      <c r="Z2744" s="100"/>
      <c r="AA2744" s="100"/>
    </row>
    <row r="2745" spans="2:27">
      <c r="B2745" s="100"/>
      <c r="C2745" s="100"/>
      <c r="D2745" s="100"/>
      <c r="E2745" s="100"/>
      <c r="F2745" s="100"/>
      <c r="G2745" s="100"/>
      <c r="H2745" s="100"/>
      <c r="I2745" s="100"/>
      <c r="J2745" s="100"/>
      <c r="K2745" s="100"/>
      <c r="L2745" s="100"/>
      <c r="M2745" s="100"/>
      <c r="N2745" s="100"/>
      <c r="O2745" s="100"/>
      <c r="P2745" s="100"/>
      <c r="Q2745" s="100"/>
      <c r="R2745" s="100"/>
      <c r="S2745" s="100"/>
      <c r="T2745" s="100"/>
      <c r="U2745" s="100"/>
      <c r="V2745" s="100"/>
      <c r="W2745" s="100"/>
      <c r="X2745" s="100"/>
      <c r="Y2745" s="100"/>
      <c r="Z2745" s="100"/>
      <c r="AA2745" s="100"/>
    </row>
    <row r="2746" spans="2:27">
      <c r="B2746" s="100"/>
      <c r="C2746" s="100"/>
      <c r="D2746" s="100"/>
      <c r="E2746" s="100"/>
      <c r="F2746" s="100"/>
      <c r="G2746" s="100"/>
      <c r="H2746" s="100"/>
      <c r="I2746" s="100"/>
      <c r="J2746" s="100"/>
      <c r="K2746" s="100"/>
      <c r="L2746" s="100"/>
      <c r="M2746" s="100"/>
      <c r="N2746" s="100"/>
      <c r="O2746" s="100"/>
      <c r="P2746" s="100"/>
      <c r="Q2746" s="100"/>
      <c r="R2746" s="100"/>
      <c r="S2746" s="100"/>
      <c r="T2746" s="100"/>
      <c r="U2746" s="100"/>
      <c r="V2746" s="100"/>
      <c r="W2746" s="100"/>
      <c r="X2746" s="100"/>
      <c r="Y2746" s="100"/>
      <c r="Z2746" s="100"/>
      <c r="AA2746" s="100"/>
    </row>
    <row r="2747" spans="2:27">
      <c r="B2747" s="100"/>
      <c r="C2747" s="100"/>
      <c r="D2747" s="100"/>
      <c r="E2747" s="100"/>
      <c r="F2747" s="100"/>
      <c r="G2747" s="100"/>
      <c r="H2747" s="100"/>
      <c r="I2747" s="100"/>
      <c r="J2747" s="100"/>
      <c r="K2747" s="100"/>
      <c r="L2747" s="100"/>
      <c r="M2747" s="100"/>
      <c r="N2747" s="100"/>
      <c r="O2747" s="100"/>
      <c r="P2747" s="100"/>
      <c r="Q2747" s="100"/>
      <c r="R2747" s="100"/>
      <c r="S2747" s="100"/>
      <c r="T2747" s="100"/>
      <c r="U2747" s="100"/>
      <c r="V2747" s="100"/>
      <c r="W2747" s="100"/>
      <c r="X2747" s="100"/>
      <c r="Y2747" s="100"/>
      <c r="Z2747" s="100"/>
      <c r="AA2747" s="100"/>
    </row>
    <row r="2748" spans="2:27">
      <c r="B2748" s="100"/>
      <c r="C2748" s="100"/>
      <c r="D2748" s="100"/>
      <c r="E2748" s="100"/>
      <c r="F2748" s="100"/>
      <c r="G2748" s="100"/>
      <c r="H2748" s="100"/>
      <c r="I2748" s="100"/>
      <c r="J2748" s="100"/>
      <c r="K2748" s="100"/>
      <c r="L2748" s="100"/>
      <c r="M2748" s="100"/>
      <c r="N2748" s="100"/>
      <c r="O2748" s="100"/>
      <c r="P2748" s="100"/>
      <c r="Q2748" s="100"/>
      <c r="R2748" s="100"/>
      <c r="S2748" s="100"/>
      <c r="T2748" s="100"/>
      <c r="U2748" s="100"/>
      <c r="V2748" s="100"/>
      <c r="W2748" s="100"/>
      <c r="X2748" s="100"/>
      <c r="Y2748" s="100"/>
      <c r="Z2748" s="100"/>
      <c r="AA2748" s="100"/>
    </row>
    <row r="2749" spans="2:27">
      <c r="B2749" s="100"/>
      <c r="C2749" s="100"/>
      <c r="D2749" s="100"/>
      <c r="E2749" s="100"/>
      <c r="F2749" s="100"/>
      <c r="G2749" s="100"/>
      <c r="H2749" s="100"/>
      <c r="I2749" s="100"/>
      <c r="J2749" s="100"/>
      <c r="K2749" s="100"/>
      <c r="L2749" s="100"/>
      <c r="M2749" s="100"/>
      <c r="N2749" s="100"/>
      <c r="O2749" s="100"/>
      <c r="P2749" s="100"/>
      <c r="Q2749" s="100"/>
      <c r="R2749" s="100"/>
      <c r="S2749" s="100"/>
      <c r="T2749" s="100"/>
      <c r="U2749" s="100"/>
      <c r="V2749" s="100"/>
      <c r="W2749" s="100"/>
      <c r="X2749" s="100"/>
      <c r="Y2749" s="100"/>
      <c r="Z2749" s="100"/>
      <c r="AA2749" s="100"/>
    </row>
    <row r="2750" spans="2:27">
      <c r="B2750" s="100"/>
      <c r="C2750" s="100"/>
      <c r="D2750" s="100"/>
      <c r="E2750" s="100"/>
      <c r="F2750" s="100"/>
      <c r="G2750" s="100"/>
      <c r="H2750" s="100"/>
      <c r="I2750" s="100"/>
      <c r="J2750" s="100"/>
      <c r="K2750" s="100"/>
      <c r="L2750" s="100"/>
      <c r="M2750" s="100"/>
      <c r="N2750" s="100"/>
      <c r="O2750" s="100"/>
      <c r="P2750" s="100"/>
      <c r="Q2750" s="100"/>
      <c r="R2750" s="100"/>
      <c r="S2750" s="100"/>
      <c r="T2750" s="100"/>
      <c r="U2750" s="100"/>
      <c r="V2750" s="100"/>
      <c r="W2750" s="100"/>
      <c r="X2750" s="100"/>
      <c r="Y2750" s="100"/>
      <c r="Z2750" s="100"/>
      <c r="AA2750" s="100"/>
    </row>
    <row r="2751" spans="2:27">
      <c r="B2751" s="100"/>
      <c r="C2751" s="100"/>
      <c r="D2751" s="100"/>
      <c r="E2751" s="100"/>
      <c r="F2751" s="100"/>
      <c r="G2751" s="100"/>
      <c r="H2751" s="100"/>
      <c r="I2751" s="100"/>
      <c r="J2751" s="100"/>
      <c r="K2751" s="100"/>
      <c r="L2751" s="100"/>
      <c r="M2751" s="100"/>
      <c r="N2751" s="100"/>
      <c r="O2751" s="100"/>
      <c r="P2751" s="100"/>
      <c r="Q2751" s="100"/>
      <c r="R2751" s="100"/>
      <c r="S2751" s="100"/>
      <c r="T2751" s="100"/>
      <c r="U2751" s="100"/>
      <c r="V2751" s="100"/>
      <c r="W2751" s="100"/>
      <c r="X2751" s="100"/>
      <c r="Y2751" s="100"/>
      <c r="Z2751" s="100"/>
      <c r="AA2751" s="100"/>
    </row>
    <row r="2752" spans="2:27">
      <c r="B2752" s="100"/>
      <c r="C2752" s="100"/>
      <c r="D2752" s="100"/>
      <c r="E2752" s="100"/>
      <c r="F2752" s="100"/>
      <c r="G2752" s="100"/>
      <c r="H2752" s="100"/>
      <c r="I2752" s="100"/>
      <c r="J2752" s="100"/>
      <c r="K2752" s="100"/>
      <c r="L2752" s="100"/>
      <c r="M2752" s="100"/>
      <c r="N2752" s="100"/>
      <c r="O2752" s="100"/>
      <c r="P2752" s="100"/>
      <c r="Q2752" s="100"/>
      <c r="R2752" s="100"/>
      <c r="S2752" s="100"/>
      <c r="T2752" s="100"/>
      <c r="U2752" s="100"/>
      <c r="V2752" s="100"/>
      <c r="W2752" s="100"/>
      <c r="X2752" s="100"/>
      <c r="Y2752" s="100"/>
      <c r="Z2752" s="100"/>
      <c r="AA2752" s="100"/>
    </row>
    <row r="2753" spans="2:27">
      <c r="B2753" s="100"/>
      <c r="C2753" s="100"/>
      <c r="D2753" s="100"/>
      <c r="E2753" s="100"/>
      <c r="F2753" s="100"/>
      <c r="G2753" s="100"/>
      <c r="H2753" s="100"/>
      <c r="I2753" s="100"/>
      <c r="J2753" s="100"/>
      <c r="K2753" s="100"/>
      <c r="L2753" s="100"/>
      <c r="M2753" s="100"/>
      <c r="N2753" s="100"/>
      <c r="O2753" s="100"/>
      <c r="P2753" s="100"/>
      <c r="Q2753" s="100"/>
      <c r="R2753" s="100"/>
      <c r="S2753" s="100"/>
      <c r="T2753" s="100"/>
      <c r="U2753" s="100"/>
      <c r="V2753" s="100"/>
      <c r="W2753" s="100"/>
      <c r="X2753" s="100"/>
      <c r="Y2753" s="100"/>
      <c r="Z2753" s="100"/>
      <c r="AA2753" s="100"/>
    </row>
    <row r="2754" spans="2:27">
      <c r="B2754" s="100"/>
      <c r="C2754" s="100"/>
      <c r="D2754" s="100"/>
      <c r="E2754" s="100"/>
      <c r="F2754" s="100"/>
      <c r="G2754" s="100"/>
      <c r="H2754" s="100"/>
      <c r="I2754" s="100"/>
      <c r="J2754" s="100"/>
      <c r="K2754" s="100"/>
      <c r="L2754" s="100"/>
      <c r="M2754" s="100"/>
      <c r="N2754" s="100"/>
      <c r="O2754" s="100"/>
      <c r="P2754" s="100"/>
      <c r="Q2754" s="100"/>
      <c r="R2754" s="100"/>
      <c r="S2754" s="100"/>
      <c r="T2754" s="100"/>
      <c r="U2754" s="100"/>
      <c r="V2754" s="100"/>
      <c r="W2754" s="100"/>
      <c r="X2754" s="100"/>
      <c r="Y2754" s="100"/>
      <c r="Z2754" s="100"/>
      <c r="AA2754" s="100"/>
    </row>
    <row r="2755" spans="2:27">
      <c r="B2755" s="100"/>
      <c r="C2755" s="100"/>
      <c r="D2755" s="100"/>
      <c r="E2755" s="100"/>
      <c r="F2755" s="100"/>
      <c r="G2755" s="100"/>
      <c r="H2755" s="100"/>
      <c r="I2755" s="100"/>
      <c r="J2755" s="100"/>
      <c r="K2755" s="100"/>
      <c r="L2755" s="100"/>
      <c r="M2755" s="100"/>
      <c r="N2755" s="100"/>
      <c r="O2755" s="100"/>
      <c r="P2755" s="100"/>
      <c r="Q2755" s="100"/>
      <c r="R2755" s="100"/>
      <c r="S2755" s="100"/>
      <c r="T2755" s="100"/>
      <c r="U2755" s="100"/>
      <c r="V2755" s="100"/>
      <c r="W2755" s="100"/>
      <c r="X2755" s="100"/>
      <c r="Y2755" s="100"/>
      <c r="Z2755" s="100"/>
      <c r="AA2755" s="100"/>
    </row>
    <row r="2756" spans="2:27">
      <c r="B2756" s="100"/>
      <c r="C2756" s="100"/>
      <c r="D2756" s="100"/>
      <c r="E2756" s="100"/>
      <c r="F2756" s="100"/>
      <c r="G2756" s="100"/>
      <c r="H2756" s="100"/>
      <c r="I2756" s="100"/>
      <c r="J2756" s="100"/>
      <c r="K2756" s="100"/>
      <c r="L2756" s="100"/>
      <c r="M2756" s="100"/>
      <c r="N2756" s="100"/>
      <c r="O2756" s="100"/>
      <c r="P2756" s="100"/>
      <c r="Q2756" s="100"/>
      <c r="R2756" s="100"/>
      <c r="S2756" s="100"/>
      <c r="T2756" s="100"/>
      <c r="U2756" s="100"/>
      <c r="V2756" s="100"/>
      <c r="W2756" s="100"/>
      <c r="X2756" s="100"/>
      <c r="Y2756" s="100"/>
      <c r="Z2756" s="100"/>
      <c r="AA2756" s="100"/>
    </row>
    <row r="2757" spans="2:27">
      <c r="B2757" s="100"/>
      <c r="C2757" s="100"/>
      <c r="D2757" s="100"/>
      <c r="E2757" s="100"/>
      <c r="F2757" s="100"/>
      <c r="G2757" s="100"/>
      <c r="H2757" s="100"/>
      <c r="I2757" s="100"/>
      <c r="J2757" s="100"/>
      <c r="K2757" s="100"/>
      <c r="L2757" s="100"/>
      <c r="M2757" s="100"/>
      <c r="N2757" s="100"/>
      <c r="O2757" s="100"/>
      <c r="P2757" s="100"/>
      <c r="Q2757" s="100"/>
      <c r="R2757" s="100"/>
      <c r="S2757" s="100"/>
      <c r="T2757" s="100"/>
      <c r="U2757" s="100"/>
      <c r="V2757" s="100"/>
      <c r="W2757" s="100"/>
      <c r="X2757" s="100"/>
      <c r="Y2757" s="100"/>
      <c r="Z2757" s="100"/>
      <c r="AA2757" s="100"/>
    </row>
    <row r="2758" spans="2:27">
      <c r="B2758" s="100"/>
      <c r="C2758" s="100"/>
      <c r="D2758" s="100"/>
      <c r="E2758" s="100"/>
      <c r="F2758" s="100"/>
      <c r="G2758" s="100"/>
      <c r="H2758" s="100"/>
      <c r="I2758" s="100"/>
      <c r="J2758" s="100"/>
      <c r="K2758" s="100"/>
      <c r="L2758" s="100"/>
      <c r="M2758" s="100"/>
      <c r="N2758" s="100"/>
      <c r="O2758" s="100"/>
      <c r="P2758" s="100"/>
      <c r="Q2758" s="100"/>
      <c r="R2758" s="100"/>
      <c r="S2758" s="100"/>
      <c r="T2758" s="100"/>
      <c r="U2758" s="100"/>
      <c r="V2758" s="100"/>
      <c r="W2758" s="100"/>
      <c r="X2758" s="100"/>
      <c r="Y2758" s="100"/>
      <c r="Z2758" s="100"/>
      <c r="AA2758" s="100"/>
    </row>
    <row r="2759" spans="2:27">
      <c r="B2759" s="100"/>
      <c r="C2759" s="100"/>
      <c r="D2759" s="100"/>
      <c r="E2759" s="100"/>
      <c r="F2759" s="100"/>
      <c r="G2759" s="100"/>
      <c r="H2759" s="100"/>
      <c r="I2759" s="100"/>
      <c r="J2759" s="100"/>
      <c r="K2759" s="100"/>
      <c r="L2759" s="100"/>
      <c r="M2759" s="100"/>
      <c r="N2759" s="100"/>
      <c r="O2759" s="100"/>
      <c r="P2759" s="100"/>
      <c r="Q2759" s="100"/>
      <c r="R2759" s="100"/>
      <c r="S2759" s="100"/>
      <c r="T2759" s="100"/>
      <c r="U2759" s="100"/>
      <c r="V2759" s="100"/>
      <c r="W2759" s="100"/>
      <c r="X2759" s="100"/>
      <c r="Y2759" s="100"/>
      <c r="Z2759" s="100"/>
      <c r="AA2759" s="100"/>
    </row>
    <row r="2760" spans="2:27">
      <c r="B2760" s="100"/>
      <c r="C2760" s="100"/>
      <c r="D2760" s="100"/>
      <c r="E2760" s="100"/>
      <c r="F2760" s="100"/>
      <c r="G2760" s="100"/>
      <c r="H2760" s="100"/>
      <c r="I2760" s="100"/>
      <c r="J2760" s="100"/>
      <c r="K2760" s="100"/>
      <c r="L2760" s="100"/>
      <c r="M2760" s="100"/>
      <c r="N2760" s="100"/>
      <c r="O2760" s="100"/>
      <c r="P2760" s="100"/>
      <c r="Q2760" s="100"/>
      <c r="R2760" s="100"/>
      <c r="S2760" s="100"/>
      <c r="T2760" s="100"/>
      <c r="U2760" s="100"/>
      <c r="V2760" s="100"/>
      <c r="W2760" s="100"/>
      <c r="X2760" s="100"/>
      <c r="Y2760" s="100"/>
      <c r="Z2760" s="100"/>
      <c r="AA2760" s="100"/>
    </row>
    <row r="2761" spans="2:27">
      <c r="B2761" s="100"/>
      <c r="C2761" s="100"/>
      <c r="D2761" s="100"/>
      <c r="E2761" s="100"/>
      <c r="F2761" s="100"/>
      <c r="G2761" s="100"/>
      <c r="H2761" s="100"/>
      <c r="I2761" s="100"/>
      <c r="J2761" s="100"/>
      <c r="K2761" s="100"/>
      <c r="L2761" s="100"/>
      <c r="M2761" s="100"/>
      <c r="N2761" s="100"/>
      <c r="O2761" s="100"/>
      <c r="P2761" s="100"/>
      <c r="Q2761" s="100"/>
      <c r="R2761" s="100"/>
      <c r="S2761" s="100"/>
      <c r="T2761" s="100"/>
      <c r="U2761" s="100"/>
      <c r="V2761" s="100"/>
      <c r="W2761" s="100"/>
      <c r="X2761" s="100"/>
      <c r="Y2761" s="100"/>
      <c r="Z2761" s="100"/>
      <c r="AA2761" s="100"/>
    </row>
    <row r="2762" spans="2:27">
      <c r="B2762" s="100"/>
      <c r="C2762" s="100"/>
      <c r="D2762" s="100"/>
      <c r="E2762" s="100"/>
      <c r="F2762" s="100"/>
      <c r="G2762" s="100"/>
      <c r="H2762" s="100"/>
      <c r="I2762" s="100"/>
      <c r="J2762" s="100"/>
      <c r="K2762" s="100"/>
      <c r="L2762" s="100"/>
      <c r="M2762" s="100"/>
      <c r="N2762" s="100"/>
      <c r="O2762" s="100"/>
      <c r="P2762" s="100"/>
      <c r="Q2762" s="100"/>
      <c r="R2762" s="100"/>
      <c r="S2762" s="100"/>
      <c r="T2762" s="100"/>
      <c r="U2762" s="100"/>
      <c r="V2762" s="100"/>
      <c r="W2762" s="100"/>
      <c r="X2762" s="100"/>
      <c r="Y2762" s="100"/>
      <c r="Z2762" s="100"/>
      <c r="AA2762" s="100"/>
    </row>
    <row r="2763" spans="2:27">
      <c r="B2763" s="100"/>
      <c r="C2763" s="100"/>
      <c r="D2763" s="100"/>
      <c r="E2763" s="100"/>
      <c r="F2763" s="100"/>
      <c r="G2763" s="100"/>
      <c r="H2763" s="100"/>
      <c r="I2763" s="100"/>
      <c r="J2763" s="100"/>
      <c r="K2763" s="100"/>
      <c r="L2763" s="100"/>
      <c r="M2763" s="100"/>
      <c r="N2763" s="100"/>
      <c r="O2763" s="100"/>
      <c r="P2763" s="100"/>
      <c r="Q2763" s="100"/>
      <c r="R2763" s="100"/>
      <c r="S2763" s="100"/>
      <c r="T2763" s="100"/>
      <c r="U2763" s="100"/>
      <c r="V2763" s="100"/>
      <c r="W2763" s="100"/>
      <c r="X2763" s="100"/>
      <c r="Y2763" s="100"/>
      <c r="Z2763" s="100"/>
      <c r="AA2763" s="100"/>
    </row>
    <row r="2764" spans="2:27">
      <c r="B2764" s="100"/>
      <c r="C2764" s="100"/>
      <c r="D2764" s="100"/>
      <c r="E2764" s="100"/>
      <c r="F2764" s="100"/>
      <c r="G2764" s="100"/>
      <c r="H2764" s="100"/>
      <c r="I2764" s="100"/>
      <c r="J2764" s="100"/>
      <c r="K2764" s="100"/>
      <c r="L2764" s="100"/>
      <c r="M2764" s="100"/>
      <c r="N2764" s="100"/>
      <c r="O2764" s="100"/>
      <c r="P2764" s="100"/>
      <c r="Q2764" s="100"/>
      <c r="R2764" s="100"/>
      <c r="S2764" s="100"/>
      <c r="T2764" s="100"/>
      <c r="U2764" s="100"/>
      <c r="V2764" s="100"/>
      <c r="W2764" s="100"/>
      <c r="X2764" s="100"/>
      <c r="Y2764" s="100"/>
      <c r="Z2764" s="100"/>
      <c r="AA2764" s="100"/>
    </row>
    <row r="2765" spans="2:27">
      <c r="B2765" s="100"/>
      <c r="C2765" s="100"/>
      <c r="D2765" s="100"/>
      <c r="E2765" s="100"/>
      <c r="F2765" s="100"/>
      <c r="G2765" s="100"/>
      <c r="H2765" s="100"/>
      <c r="I2765" s="100"/>
      <c r="J2765" s="100"/>
      <c r="K2765" s="100"/>
      <c r="L2765" s="100"/>
      <c r="M2765" s="100"/>
      <c r="N2765" s="100"/>
      <c r="O2765" s="100"/>
      <c r="P2765" s="100"/>
      <c r="Q2765" s="100"/>
      <c r="R2765" s="100"/>
      <c r="S2765" s="100"/>
      <c r="T2765" s="100"/>
      <c r="U2765" s="100"/>
      <c r="V2765" s="100"/>
      <c r="W2765" s="100"/>
      <c r="X2765" s="100"/>
      <c r="Y2765" s="100"/>
      <c r="Z2765" s="100"/>
      <c r="AA2765" s="100"/>
    </row>
    <row r="2766" spans="2:27">
      <c r="B2766" s="100"/>
      <c r="C2766" s="100"/>
      <c r="D2766" s="100"/>
      <c r="E2766" s="100"/>
      <c r="F2766" s="100"/>
      <c r="G2766" s="100"/>
      <c r="H2766" s="100"/>
      <c r="I2766" s="100"/>
      <c r="J2766" s="100"/>
      <c r="K2766" s="100"/>
      <c r="L2766" s="100"/>
      <c r="M2766" s="100"/>
      <c r="N2766" s="100"/>
      <c r="O2766" s="100"/>
      <c r="P2766" s="100"/>
      <c r="Q2766" s="100"/>
      <c r="R2766" s="100"/>
      <c r="S2766" s="100"/>
      <c r="T2766" s="100"/>
      <c r="U2766" s="100"/>
      <c r="V2766" s="100"/>
      <c r="W2766" s="100"/>
      <c r="X2766" s="100"/>
      <c r="Y2766" s="100"/>
      <c r="Z2766" s="100"/>
      <c r="AA2766" s="100"/>
    </row>
    <row r="2767" spans="2:27">
      <c r="B2767" s="100"/>
      <c r="C2767" s="100"/>
      <c r="D2767" s="100"/>
      <c r="E2767" s="100"/>
      <c r="F2767" s="100"/>
      <c r="G2767" s="100"/>
      <c r="H2767" s="100"/>
      <c r="I2767" s="100"/>
      <c r="J2767" s="100"/>
      <c r="K2767" s="100"/>
      <c r="L2767" s="100"/>
      <c r="M2767" s="100"/>
      <c r="N2767" s="100"/>
      <c r="O2767" s="100"/>
      <c r="P2767" s="100"/>
      <c r="Q2767" s="100"/>
      <c r="R2767" s="100"/>
      <c r="S2767" s="100"/>
      <c r="T2767" s="100"/>
      <c r="U2767" s="100"/>
      <c r="V2767" s="100"/>
      <c r="W2767" s="100"/>
      <c r="X2767" s="100"/>
      <c r="Y2767" s="100"/>
      <c r="Z2767" s="100"/>
      <c r="AA2767" s="100"/>
    </row>
    <row r="2768" spans="2:27">
      <c r="B2768" s="100"/>
      <c r="C2768" s="100"/>
      <c r="D2768" s="100"/>
      <c r="E2768" s="100"/>
      <c r="F2768" s="100"/>
      <c r="G2768" s="100"/>
      <c r="H2768" s="100"/>
      <c r="I2768" s="100"/>
      <c r="J2768" s="100"/>
      <c r="K2768" s="100"/>
      <c r="L2768" s="100"/>
      <c r="M2768" s="100"/>
      <c r="N2768" s="100"/>
      <c r="O2768" s="100"/>
      <c r="P2768" s="100"/>
      <c r="Q2768" s="100"/>
      <c r="R2768" s="100"/>
      <c r="S2768" s="100"/>
      <c r="T2768" s="100"/>
      <c r="U2768" s="100"/>
      <c r="V2768" s="100"/>
      <c r="W2768" s="100"/>
      <c r="X2768" s="100"/>
      <c r="Y2768" s="100"/>
      <c r="Z2768" s="100"/>
      <c r="AA2768" s="100"/>
    </row>
    <row r="2769" spans="2:27">
      <c r="B2769" s="100"/>
      <c r="C2769" s="100"/>
      <c r="D2769" s="100"/>
      <c r="E2769" s="100"/>
      <c r="F2769" s="100"/>
      <c r="G2769" s="100"/>
      <c r="H2769" s="100"/>
      <c r="I2769" s="100"/>
      <c r="J2769" s="100"/>
      <c r="K2769" s="100"/>
      <c r="L2769" s="100"/>
      <c r="M2769" s="100"/>
      <c r="N2769" s="100"/>
      <c r="O2769" s="100"/>
      <c r="P2769" s="100"/>
      <c r="Q2769" s="100"/>
      <c r="R2769" s="100"/>
      <c r="S2769" s="100"/>
      <c r="T2769" s="100"/>
      <c r="U2769" s="100"/>
      <c r="V2769" s="100"/>
      <c r="W2769" s="100"/>
      <c r="X2769" s="100"/>
      <c r="Y2769" s="100"/>
      <c r="Z2769" s="100"/>
      <c r="AA2769" s="100"/>
    </row>
    <row r="2770" spans="2:27">
      <c r="B2770" s="100"/>
      <c r="C2770" s="100"/>
      <c r="D2770" s="100"/>
      <c r="E2770" s="100"/>
      <c r="F2770" s="100"/>
      <c r="G2770" s="100"/>
      <c r="H2770" s="100"/>
      <c r="I2770" s="100"/>
      <c r="J2770" s="100"/>
      <c r="K2770" s="100"/>
      <c r="L2770" s="100"/>
      <c r="M2770" s="100"/>
      <c r="N2770" s="100"/>
      <c r="O2770" s="100"/>
      <c r="P2770" s="100"/>
      <c r="Q2770" s="100"/>
      <c r="R2770" s="100"/>
      <c r="S2770" s="100"/>
      <c r="T2770" s="100"/>
      <c r="U2770" s="100"/>
      <c r="V2770" s="100"/>
      <c r="W2770" s="100"/>
      <c r="X2770" s="100"/>
      <c r="Y2770" s="100"/>
      <c r="Z2770" s="100"/>
      <c r="AA2770" s="100"/>
    </row>
    <row r="2771" spans="2:27">
      <c r="B2771" s="100"/>
      <c r="C2771" s="100"/>
      <c r="D2771" s="100"/>
      <c r="E2771" s="100"/>
      <c r="F2771" s="100"/>
      <c r="G2771" s="100"/>
      <c r="H2771" s="100"/>
      <c r="I2771" s="100"/>
      <c r="J2771" s="100"/>
      <c r="K2771" s="100"/>
      <c r="L2771" s="100"/>
      <c r="M2771" s="100"/>
      <c r="N2771" s="100"/>
      <c r="O2771" s="100"/>
      <c r="P2771" s="100"/>
      <c r="Q2771" s="100"/>
      <c r="R2771" s="100"/>
      <c r="S2771" s="100"/>
      <c r="T2771" s="100"/>
      <c r="U2771" s="100"/>
      <c r="V2771" s="100"/>
      <c r="W2771" s="100"/>
      <c r="X2771" s="100"/>
      <c r="Y2771" s="100"/>
      <c r="Z2771" s="100"/>
      <c r="AA2771" s="100"/>
    </row>
    <row r="2772" spans="2:27">
      <c r="B2772" s="100"/>
      <c r="C2772" s="100"/>
      <c r="D2772" s="100"/>
      <c r="E2772" s="100"/>
      <c r="F2772" s="100"/>
      <c r="G2772" s="100"/>
      <c r="H2772" s="100"/>
      <c r="I2772" s="100"/>
      <c r="J2772" s="100"/>
      <c r="K2772" s="100"/>
      <c r="L2772" s="100"/>
      <c r="M2772" s="100"/>
      <c r="N2772" s="100"/>
      <c r="O2772" s="100"/>
      <c r="P2772" s="100"/>
      <c r="Q2772" s="100"/>
      <c r="R2772" s="100"/>
      <c r="S2772" s="100"/>
      <c r="T2772" s="100"/>
      <c r="U2772" s="100"/>
      <c r="V2772" s="100"/>
      <c r="W2772" s="100"/>
      <c r="X2772" s="100"/>
      <c r="Y2772" s="100"/>
      <c r="Z2772" s="100"/>
      <c r="AA2772" s="100"/>
    </row>
    <row r="2773" spans="2:27">
      <c r="B2773" s="100"/>
      <c r="C2773" s="100"/>
      <c r="D2773" s="100"/>
      <c r="E2773" s="100"/>
      <c r="F2773" s="100"/>
      <c r="G2773" s="100"/>
      <c r="H2773" s="100"/>
      <c r="I2773" s="100"/>
      <c r="J2773" s="100"/>
      <c r="K2773" s="100"/>
      <c r="L2773" s="100"/>
      <c r="M2773" s="100"/>
      <c r="N2773" s="100"/>
      <c r="O2773" s="100"/>
      <c r="P2773" s="100"/>
      <c r="Q2773" s="100"/>
      <c r="R2773" s="100"/>
      <c r="S2773" s="100"/>
      <c r="T2773" s="100"/>
      <c r="U2773" s="100"/>
      <c r="V2773" s="100"/>
      <c r="W2773" s="100"/>
      <c r="X2773" s="100"/>
      <c r="Y2773" s="100"/>
      <c r="Z2773" s="100"/>
      <c r="AA2773" s="100"/>
    </row>
    <row r="2774" spans="2:27">
      <c r="B2774" s="100"/>
      <c r="C2774" s="100"/>
      <c r="D2774" s="100"/>
      <c r="E2774" s="100"/>
      <c r="F2774" s="100"/>
      <c r="G2774" s="100"/>
      <c r="H2774" s="100"/>
      <c r="I2774" s="100"/>
      <c r="J2774" s="100"/>
      <c r="K2774" s="100"/>
      <c r="L2774" s="100"/>
      <c r="M2774" s="100"/>
      <c r="N2774" s="100"/>
      <c r="O2774" s="100"/>
      <c r="P2774" s="100"/>
      <c r="Q2774" s="100"/>
      <c r="R2774" s="100"/>
      <c r="S2774" s="100"/>
      <c r="T2774" s="100"/>
      <c r="U2774" s="100"/>
      <c r="V2774" s="100"/>
      <c r="W2774" s="100"/>
      <c r="X2774" s="100"/>
      <c r="Y2774" s="100"/>
      <c r="Z2774" s="100"/>
      <c r="AA2774" s="100"/>
    </row>
    <row r="2775" spans="2:27">
      <c r="B2775" s="100"/>
      <c r="C2775" s="100"/>
      <c r="D2775" s="100"/>
      <c r="E2775" s="100"/>
      <c r="F2775" s="100"/>
      <c r="G2775" s="100"/>
      <c r="H2775" s="100"/>
      <c r="I2775" s="100"/>
      <c r="J2775" s="100"/>
      <c r="K2775" s="100"/>
      <c r="L2775" s="100"/>
      <c r="M2775" s="100"/>
      <c r="N2775" s="100"/>
      <c r="O2775" s="100"/>
      <c r="P2775" s="100"/>
      <c r="Q2775" s="100"/>
      <c r="R2775" s="100"/>
      <c r="S2775" s="100"/>
      <c r="T2775" s="100"/>
      <c r="U2775" s="100"/>
      <c r="V2775" s="100"/>
      <c r="W2775" s="100"/>
      <c r="X2775" s="100"/>
      <c r="Y2775" s="100"/>
      <c r="Z2775" s="100"/>
      <c r="AA2775" s="100"/>
    </row>
    <row r="2776" spans="2:27">
      <c r="B2776" s="100"/>
      <c r="C2776" s="100"/>
      <c r="D2776" s="100"/>
      <c r="E2776" s="100"/>
      <c r="F2776" s="100"/>
      <c r="G2776" s="100"/>
      <c r="H2776" s="100"/>
      <c r="I2776" s="100"/>
      <c r="J2776" s="100"/>
      <c r="K2776" s="100"/>
      <c r="L2776" s="100"/>
      <c r="M2776" s="100"/>
      <c r="N2776" s="100"/>
      <c r="O2776" s="100"/>
      <c r="P2776" s="100"/>
      <c r="Q2776" s="100"/>
      <c r="R2776" s="100"/>
      <c r="S2776" s="100"/>
      <c r="T2776" s="100"/>
      <c r="U2776" s="100"/>
      <c r="V2776" s="100"/>
      <c r="W2776" s="100"/>
      <c r="X2776" s="100"/>
      <c r="Y2776" s="100"/>
      <c r="Z2776" s="100"/>
      <c r="AA2776" s="100"/>
    </row>
    <row r="2777" spans="2:27">
      <c r="B2777" s="100"/>
      <c r="C2777" s="100"/>
      <c r="D2777" s="100"/>
      <c r="E2777" s="100"/>
      <c r="F2777" s="100"/>
      <c r="G2777" s="100"/>
      <c r="H2777" s="100"/>
      <c r="I2777" s="100"/>
      <c r="J2777" s="100"/>
      <c r="K2777" s="100"/>
      <c r="L2777" s="100"/>
      <c r="M2777" s="100"/>
      <c r="N2777" s="100"/>
      <c r="O2777" s="100"/>
      <c r="P2777" s="100"/>
      <c r="Q2777" s="100"/>
      <c r="R2777" s="100"/>
      <c r="S2777" s="100"/>
      <c r="T2777" s="100"/>
      <c r="U2777" s="100"/>
      <c r="V2777" s="100"/>
      <c r="W2777" s="100"/>
      <c r="X2777" s="100"/>
      <c r="Y2777" s="100"/>
      <c r="Z2777" s="100"/>
      <c r="AA2777" s="100"/>
    </row>
    <row r="2778" spans="2:27">
      <c r="B2778" s="100"/>
      <c r="C2778" s="100"/>
      <c r="D2778" s="100"/>
      <c r="E2778" s="100"/>
      <c r="F2778" s="100"/>
      <c r="G2778" s="100"/>
      <c r="H2778" s="100"/>
      <c r="I2778" s="100"/>
      <c r="J2778" s="100"/>
      <c r="K2778" s="100"/>
      <c r="L2778" s="100"/>
      <c r="M2778" s="100"/>
      <c r="N2778" s="100"/>
      <c r="O2778" s="100"/>
      <c r="P2778" s="100"/>
      <c r="Q2778" s="100"/>
      <c r="R2778" s="100"/>
      <c r="S2778" s="100"/>
      <c r="T2778" s="100"/>
      <c r="U2778" s="100"/>
      <c r="V2778" s="100"/>
      <c r="W2778" s="100"/>
      <c r="X2778" s="100"/>
      <c r="Y2778" s="100"/>
      <c r="Z2778" s="100"/>
      <c r="AA2778" s="100"/>
    </row>
    <row r="2779" spans="2:27">
      <c r="B2779" s="100"/>
      <c r="C2779" s="100"/>
      <c r="D2779" s="100"/>
      <c r="E2779" s="100"/>
      <c r="F2779" s="100"/>
      <c r="G2779" s="100"/>
      <c r="H2779" s="100"/>
      <c r="I2779" s="100"/>
      <c r="J2779" s="100"/>
      <c r="K2779" s="100"/>
      <c r="L2779" s="100"/>
      <c r="M2779" s="100"/>
      <c r="N2779" s="100"/>
      <c r="O2779" s="100"/>
      <c r="P2779" s="100"/>
      <c r="Q2779" s="100"/>
      <c r="R2779" s="100"/>
      <c r="S2779" s="100"/>
      <c r="T2779" s="100"/>
      <c r="U2779" s="100"/>
      <c r="V2779" s="100"/>
      <c r="W2779" s="100"/>
      <c r="X2779" s="100"/>
      <c r="Y2779" s="100"/>
      <c r="Z2779" s="100"/>
      <c r="AA2779" s="100"/>
    </row>
    <row r="2780" spans="2:27">
      <c r="B2780" s="100"/>
      <c r="C2780" s="100"/>
      <c r="D2780" s="100"/>
      <c r="E2780" s="100"/>
      <c r="F2780" s="100"/>
      <c r="G2780" s="100"/>
      <c r="H2780" s="100"/>
      <c r="I2780" s="100"/>
      <c r="J2780" s="100"/>
      <c r="K2780" s="100"/>
      <c r="L2780" s="100"/>
      <c r="M2780" s="100"/>
      <c r="N2780" s="100"/>
      <c r="O2780" s="100"/>
      <c r="P2780" s="100"/>
      <c r="Q2780" s="100"/>
      <c r="R2780" s="100"/>
      <c r="S2780" s="100"/>
      <c r="T2780" s="100"/>
      <c r="U2780" s="100"/>
      <c r="V2780" s="100"/>
      <c r="W2780" s="100"/>
      <c r="X2780" s="100"/>
      <c r="Y2780" s="100"/>
      <c r="Z2780" s="100"/>
      <c r="AA2780" s="100"/>
    </row>
    <row r="2781" spans="2:27">
      <c r="B2781" s="100"/>
      <c r="C2781" s="100"/>
      <c r="D2781" s="100"/>
      <c r="E2781" s="100"/>
      <c r="F2781" s="100"/>
      <c r="G2781" s="100"/>
      <c r="H2781" s="100"/>
      <c r="I2781" s="100"/>
      <c r="J2781" s="100"/>
      <c r="K2781" s="100"/>
      <c r="L2781" s="100"/>
      <c r="M2781" s="100"/>
      <c r="N2781" s="100"/>
      <c r="O2781" s="100"/>
      <c r="P2781" s="100"/>
      <c r="Q2781" s="100"/>
      <c r="R2781" s="100"/>
      <c r="S2781" s="100"/>
      <c r="T2781" s="100"/>
      <c r="U2781" s="100"/>
      <c r="V2781" s="100"/>
      <c r="W2781" s="100"/>
      <c r="X2781" s="100"/>
      <c r="Y2781" s="100"/>
      <c r="Z2781" s="100"/>
      <c r="AA2781" s="100"/>
    </row>
    <row r="2782" spans="2:27">
      <c r="B2782" s="100"/>
      <c r="C2782" s="100"/>
      <c r="D2782" s="100"/>
      <c r="E2782" s="100"/>
      <c r="F2782" s="100"/>
      <c r="G2782" s="100"/>
      <c r="H2782" s="100"/>
      <c r="I2782" s="100"/>
      <c r="J2782" s="100"/>
      <c r="K2782" s="100"/>
      <c r="L2782" s="100"/>
      <c r="M2782" s="100"/>
      <c r="N2782" s="100"/>
      <c r="O2782" s="100"/>
      <c r="P2782" s="100"/>
      <c r="Q2782" s="100"/>
      <c r="R2782" s="100"/>
      <c r="S2782" s="100"/>
      <c r="T2782" s="100"/>
      <c r="U2782" s="100"/>
      <c r="V2782" s="100"/>
      <c r="W2782" s="100"/>
      <c r="X2782" s="100"/>
      <c r="Y2782" s="100"/>
      <c r="Z2782" s="100"/>
      <c r="AA2782" s="100"/>
    </row>
    <row r="2783" spans="2:27">
      <c r="B2783" s="100"/>
      <c r="C2783" s="100"/>
      <c r="D2783" s="100"/>
      <c r="E2783" s="100"/>
      <c r="F2783" s="100"/>
      <c r="G2783" s="100"/>
      <c r="H2783" s="100"/>
      <c r="I2783" s="100"/>
      <c r="J2783" s="100"/>
      <c r="K2783" s="100"/>
      <c r="L2783" s="100"/>
      <c r="M2783" s="100"/>
      <c r="N2783" s="100"/>
      <c r="O2783" s="100"/>
      <c r="P2783" s="100"/>
      <c r="Q2783" s="100"/>
      <c r="R2783" s="100"/>
      <c r="S2783" s="100"/>
      <c r="T2783" s="100"/>
      <c r="U2783" s="100"/>
      <c r="V2783" s="100"/>
      <c r="W2783" s="100"/>
      <c r="X2783" s="100"/>
      <c r="Y2783" s="100"/>
      <c r="Z2783" s="100"/>
      <c r="AA2783" s="100"/>
    </row>
    <row r="2784" spans="2:27">
      <c r="B2784" s="100"/>
      <c r="C2784" s="100"/>
      <c r="D2784" s="100"/>
      <c r="E2784" s="100"/>
      <c r="F2784" s="100"/>
      <c r="G2784" s="100"/>
      <c r="H2784" s="100"/>
      <c r="I2784" s="100"/>
      <c r="J2784" s="100"/>
      <c r="K2784" s="100"/>
      <c r="L2784" s="100"/>
      <c r="M2784" s="100"/>
      <c r="N2784" s="100"/>
      <c r="O2784" s="100"/>
      <c r="P2784" s="100"/>
      <c r="Q2784" s="100"/>
      <c r="R2784" s="100"/>
      <c r="S2784" s="100"/>
      <c r="T2784" s="100"/>
      <c r="U2784" s="100"/>
      <c r="V2784" s="100"/>
      <c r="W2784" s="100"/>
      <c r="X2784" s="100"/>
      <c r="Y2784" s="100"/>
      <c r="Z2784" s="100"/>
      <c r="AA2784" s="100"/>
    </row>
    <row r="2785" spans="2:27">
      <c r="B2785" s="100"/>
      <c r="C2785" s="100"/>
      <c r="D2785" s="100"/>
      <c r="E2785" s="100"/>
      <c r="F2785" s="100"/>
      <c r="G2785" s="100"/>
      <c r="H2785" s="100"/>
      <c r="I2785" s="100"/>
      <c r="J2785" s="100"/>
      <c r="K2785" s="100"/>
      <c r="L2785" s="100"/>
      <c r="M2785" s="100"/>
      <c r="N2785" s="100"/>
      <c r="O2785" s="100"/>
      <c r="P2785" s="100"/>
      <c r="Q2785" s="100"/>
      <c r="R2785" s="100"/>
      <c r="S2785" s="100"/>
      <c r="T2785" s="100"/>
      <c r="U2785" s="100"/>
      <c r="V2785" s="100"/>
      <c r="W2785" s="100"/>
      <c r="X2785" s="100"/>
      <c r="Y2785" s="100"/>
      <c r="Z2785" s="100"/>
      <c r="AA2785" s="100"/>
    </row>
    <row r="2786" spans="2:27">
      <c r="B2786" s="100"/>
      <c r="C2786" s="100"/>
      <c r="D2786" s="100"/>
      <c r="E2786" s="100"/>
      <c r="F2786" s="100"/>
      <c r="G2786" s="100"/>
      <c r="H2786" s="100"/>
      <c r="I2786" s="100"/>
      <c r="J2786" s="100"/>
      <c r="K2786" s="100"/>
      <c r="L2786" s="100"/>
      <c r="M2786" s="100"/>
      <c r="N2786" s="100"/>
      <c r="O2786" s="100"/>
      <c r="P2786" s="100"/>
      <c r="Q2786" s="100"/>
      <c r="R2786" s="100"/>
      <c r="S2786" s="100"/>
      <c r="T2786" s="100"/>
      <c r="U2786" s="100"/>
      <c r="V2786" s="100"/>
      <c r="W2786" s="100"/>
      <c r="X2786" s="100"/>
      <c r="Y2786" s="100"/>
      <c r="Z2786" s="100"/>
      <c r="AA2786" s="100"/>
    </row>
    <row r="2787" spans="2:27">
      <c r="B2787" s="100"/>
      <c r="C2787" s="100"/>
      <c r="D2787" s="100"/>
      <c r="E2787" s="100"/>
      <c r="F2787" s="100"/>
      <c r="G2787" s="100"/>
      <c r="H2787" s="100"/>
      <c r="I2787" s="100"/>
      <c r="J2787" s="100"/>
      <c r="K2787" s="100"/>
      <c r="L2787" s="100"/>
      <c r="M2787" s="100"/>
      <c r="N2787" s="100"/>
      <c r="O2787" s="100"/>
      <c r="P2787" s="100"/>
      <c r="Q2787" s="100"/>
      <c r="R2787" s="100"/>
      <c r="S2787" s="100"/>
      <c r="T2787" s="100"/>
      <c r="U2787" s="100"/>
      <c r="V2787" s="100"/>
      <c r="W2787" s="100"/>
      <c r="X2787" s="100"/>
      <c r="Y2787" s="100"/>
      <c r="Z2787" s="100"/>
      <c r="AA2787" s="100"/>
    </row>
    <row r="2788" spans="2:27">
      <c r="B2788" s="100"/>
      <c r="C2788" s="100"/>
      <c r="D2788" s="100"/>
      <c r="E2788" s="100"/>
      <c r="F2788" s="100"/>
      <c r="G2788" s="100"/>
      <c r="H2788" s="100"/>
      <c r="I2788" s="100"/>
      <c r="J2788" s="100"/>
      <c r="K2788" s="100"/>
      <c r="L2788" s="100"/>
      <c r="M2788" s="100"/>
      <c r="N2788" s="100"/>
      <c r="O2788" s="100"/>
      <c r="P2788" s="100"/>
      <c r="Q2788" s="100"/>
      <c r="R2788" s="100"/>
      <c r="S2788" s="100"/>
      <c r="T2788" s="100"/>
      <c r="U2788" s="100"/>
      <c r="V2788" s="100"/>
      <c r="W2788" s="100"/>
      <c r="X2788" s="100"/>
      <c r="Y2788" s="100"/>
      <c r="Z2788" s="100"/>
      <c r="AA2788" s="100"/>
    </row>
    <row r="2789" spans="2:27">
      <c r="B2789" s="100"/>
      <c r="C2789" s="100"/>
      <c r="D2789" s="100"/>
      <c r="E2789" s="100"/>
      <c r="F2789" s="100"/>
      <c r="G2789" s="100"/>
      <c r="H2789" s="100"/>
      <c r="I2789" s="100"/>
      <c r="J2789" s="100"/>
      <c r="K2789" s="100"/>
      <c r="L2789" s="100"/>
      <c r="M2789" s="100"/>
      <c r="N2789" s="100"/>
      <c r="O2789" s="100"/>
      <c r="P2789" s="100"/>
      <c r="Q2789" s="100"/>
      <c r="R2789" s="100"/>
      <c r="S2789" s="100"/>
      <c r="T2789" s="100"/>
      <c r="U2789" s="100"/>
      <c r="V2789" s="100"/>
      <c r="W2789" s="100"/>
      <c r="X2789" s="100"/>
      <c r="Y2789" s="100"/>
      <c r="Z2789" s="100"/>
      <c r="AA2789" s="100"/>
    </row>
    <row r="2790" spans="2:27">
      <c r="B2790" s="100"/>
      <c r="C2790" s="100"/>
      <c r="D2790" s="100"/>
      <c r="E2790" s="100"/>
      <c r="F2790" s="100"/>
      <c r="G2790" s="100"/>
      <c r="H2790" s="100"/>
      <c r="I2790" s="100"/>
      <c r="J2790" s="100"/>
      <c r="K2790" s="100"/>
      <c r="L2790" s="100"/>
      <c r="M2790" s="100"/>
      <c r="N2790" s="100"/>
      <c r="O2790" s="100"/>
      <c r="P2790" s="100"/>
      <c r="Q2790" s="100"/>
      <c r="R2790" s="100"/>
      <c r="S2790" s="100"/>
      <c r="T2790" s="100"/>
      <c r="U2790" s="100"/>
      <c r="V2790" s="100"/>
      <c r="W2790" s="100"/>
      <c r="X2790" s="100"/>
      <c r="Y2790" s="100"/>
      <c r="Z2790" s="100"/>
      <c r="AA2790" s="100"/>
    </row>
    <row r="2791" spans="2:27">
      <c r="B2791" s="100"/>
      <c r="C2791" s="100"/>
      <c r="D2791" s="100"/>
      <c r="E2791" s="100"/>
      <c r="F2791" s="100"/>
      <c r="G2791" s="100"/>
      <c r="H2791" s="100"/>
      <c r="I2791" s="100"/>
      <c r="J2791" s="100"/>
      <c r="K2791" s="100"/>
      <c r="L2791" s="100"/>
      <c r="M2791" s="100"/>
      <c r="N2791" s="100"/>
      <c r="O2791" s="100"/>
      <c r="P2791" s="100"/>
      <c r="Q2791" s="100"/>
      <c r="R2791" s="100"/>
      <c r="S2791" s="100"/>
      <c r="T2791" s="100"/>
      <c r="U2791" s="100"/>
      <c r="V2791" s="100"/>
      <c r="W2791" s="100"/>
      <c r="X2791" s="100"/>
      <c r="Y2791" s="100"/>
      <c r="Z2791" s="100"/>
      <c r="AA2791" s="100"/>
    </row>
    <row r="2792" spans="2:27">
      <c r="B2792" s="100"/>
      <c r="C2792" s="100"/>
      <c r="D2792" s="100"/>
      <c r="E2792" s="100"/>
      <c r="F2792" s="100"/>
      <c r="G2792" s="100"/>
      <c r="H2792" s="100"/>
      <c r="I2792" s="100"/>
      <c r="J2792" s="100"/>
      <c r="K2792" s="100"/>
      <c r="L2792" s="100"/>
      <c r="M2792" s="100"/>
      <c r="N2792" s="100"/>
      <c r="O2792" s="100"/>
      <c r="P2792" s="100"/>
      <c r="Q2792" s="100"/>
      <c r="R2792" s="100"/>
      <c r="S2792" s="100"/>
      <c r="T2792" s="100"/>
      <c r="U2792" s="100"/>
      <c r="V2792" s="100"/>
      <c r="W2792" s="100"/>
      <c r="X2792" s="100"/>
      <c r="Y2792" s="100"/>
      <c r="Z2792" s="100"/>
      <c r="AA2792" s="100"/>
    </row>
    <row r="2793" spans="2:27">
      <c r="B2793" s="100"/>
      <c r="C2793" s="100"/>
      <c r="D2793" s="100"/>
      <c r="E2793" s="100"/>
      <c r="F2793" s="100"/>
      <c r="G2793" s="100"/>
      <c r="H2793" s="100"/>
      <c r="I2793" s="100"/>
      <c r="J2793" s="100"/>
      <c r="K2793" s="100"/>
      <c r="L2793" s="100"/>
      <c r="M2793" s="100"/>
      <c r="N2793" s="100"/>
      <c r="O2793" s="100"/>
      <c r="P2793" s="100"/>
      <c r="Q2793" s="100"/>
      <c r="R2793" s="100"/>
      <c r="S2793" s="100"/>
      <c r="T2793" s="100"/>
      <c r="U2793" s="100"/>
      <c r="V2793" s="100"/>
      <c r="W2793" s="100"/>
      <c r="X2793" s="100"/>
      <c r="Y2793" s="100"/>
      <c r="Z2793" s="100"/>
      <c r="AA2793" s="100"/>
    </row>
    <row r="2794" spans="2:27">
      <c r="B2794" s="100"/>
      <c r="C2794" s="100"/>
      <c r="D2794" s="100"/>
      <c r="E2794" s="100"/>
      <c r="F2794" s="100"/>
      <c r="G2794" s="100"/>
      <c r="H2794" s="100"/>
      <c r="I2794" s="100"/>
      <c r="J2794" s="100"/>
      <c r="K2794" s="100"/>
      <c r="L2794" s="100"/>
      <c r="M2794" s="100"/>
      <c r="N2794" s="100"/>
      <c r="O2794" s="100"/>
      <c r="P2794" s="100"/>
      <c r="Q2794" s="100"/>
      <c r="R2794" s="100"/>
      <c r="S2794" s="100"/>
      <c r="T2794" s="100"/>
      <c r="U2794" s="100"/>
      <c r="V2794" s="100"/>
      <c r="W2794" s="100"/>
      <c r="X2794" s="100"/>
      <c r="Y2794" s="100"/>
      <c r="Z2794" s="100"/>
      <c r="AA2794" s="100"/>
    </row>
    <row r="2795" spans="2:27">
      <c r="B2795" s="100"/>
      <c r="C2795" s="100"/>
      <c r="D2795" s="100"/>
      <c r="E2795" s="100"/>
      <c r="F2795" s="100"/>
      <c r="G2795" s="100"/>
      <c r="H2795" s="100"/>
      <c r="I2795" s="100"/>
      <c r="J2795" s="100"/>
      <c r="K2795" s="100"/>
      <c r="L2795" s="100"/>
      <c r="M2795" s="100"/>
      <c r="N2795" s="100"/>
      <c r="O2795" s="100"/>
      <c r="P2795" s="100"/>
      <c r="Q2795" s="100"/>
      <c r="R2795" s="100"/>
      <c r="S2795" s="100"/>
      <c r="T2795" s="100"/>
      <c r="U2795" s="100"/>
      <c r="V2795" s="100"/>
      <c r="W2795" s="100"/>
      <c r="X2795" s="100"/>
      <c r="Y2795" s="100"/>
      <c r="Z2795" s="100"/>
      <c r="AA2795" s="100"/>
    </row>
    <row r="2796" spans="2:27">
      <c r="B2796" s="100"/>
      <c r="C2796" s="100"/>
      <c r="D2796" s="100"/>
      <c r="E2796" s="100"/>
      <c r="F2796" s="100"/>
      <c r="G2796" s="100"/>
      <c r="H2796" s="100"/>
      <c r="I2796" s="100"/>
      <c r="J2796" s="100"/>
      <c r="K2796" s="100"/>
      <c r="L2796" s="100"/>
      <c r="M2796" s="100"/>
      <c r="N2796" s="100"/>
      <c r="O2796" s="100"/>
      <c r="P2796" s="100"/>
      <c r="Q2796" s="100"/>
      <c r="R2796" s="100"/>
      <c r="S2796" s="100"/>
      <c r="T2796" s="100"/>
      <c r="U2796" s="100"/>
      <c r="V2796" s="100"/>
      <c r="W2796" s="100"/>
      <c r="X2796" s="100"/>
      <c r="Y2796" s="100"/>
      <c r="Z2796" s="100"/>
      <c r="AA2796" s="100"/>
    </row>
    <row r="2797" spans="2:27">
      <c r="B2797" s="100"/>
      <c r="C2797" s="100"/>
      <c r="D2797" s="100"/>
      <c r="E2797" s="100"/>
      <c r="F2797" s="100"/>
      <c r="G2797" s="100"/>
      <c r="H2797" s="100"/>
      <c r="I2797" s="100"/>
      <c r="J2797" s="100"/>
      <c r="K2797" s="100"/>
      <c r="L2797" s="100"/>
      <c r="M2797" s="100"/>
      <c r="N2797" s="100"/>
      <c r="O2797" s="100"/>
      <c r="P2797" s="100"/>
      <c r="Q2797" s="100"/>
      <c r="R2797" s="100"/>
      <c r="S2797" s="100"/>
      <c r="T2797" s="100"/>
      <c r="U2797" s="100"/>
      <c r="V2797" s="100"/>
      <c r="W2797" s="100"/>
      <c r="X2797" s="100"/>
      <c r="Y2797" s="100"/>
      <c r="Z2797" s="100"/>
      <c r="AA2797" s="100"/>
    </row>
    <row r="2798" spans="2:27">
      <c r="B2798" s="100"/>
      <c r="C2798" s="100"/>
      <c r="D2798" s="100"/>
      <c r="E2798" s="100"/>
      <c r="F2798" s="100"/>
      <c r="G2798" s="100"/>
      <c r="H2798" s="100"/>
      <c r="I2798" s="100"/>
      <c r="J2798" s="100"/>
      <c r="K2798" s="100"/>
      <c r="L2798" s="100"/>
      <c r="M2798" s="100"/>
      <c r="N2798" s="100"/>
      <c r="O2798" s="100"/>
      <c r="P2798" s="100"/>
      <c r="Q2798" s="100"/>
      <c r="R2798" s="100"/>
      <c r="S2798" s="100"/>
      <c r="T2798" s="100"/>
      <c r="U2798" s="100"/>
      <c r="V2798" s="100"/>
      <c r="W2798" s="100"/>
      <c r="X2798" s="100"/>
      <c r="Y2798" s="100"/>
      <c r="Z2798" s="100"/>
      <c r="AA2798" s="100"/>
    </row>
    <row r="2799" spans="2:27">
      <c r="B2799" s="100"/>
      <c r="C2799" s="100"/>
      <c r="D2799" s="100"/>
      <c r="E2799" s="100"/>
      <c r="F2799" s="100"/>
      <c r="G2799" s="100"/>
      <c r="H2799" s="100"/>
      <c r="I2799" s="100"/>
      <c r="J2799" s="100"/>
      <c r="K2799" s="100"/>
      <c r="L2799" s="100"/>
      <c r="M2799" s="100"/>
      <c r="N2799" s="100"/>
      <c r="O2799" s="100"/>
      <c r="P2799" s="100"/>
      <c r="Q2799" s="100"/>
      <c r="R2799" s="100"/>
      <c r="S2799" s="100"/>
      <c r="T2799" s="100"/>
      <c r="U2799" s="100"/>
      <c r="V2799" s="100"/>
      <c r="W2799" s="100"/>
      <c r="X2799" s="100"/>
      <c r="Y2799" s="100"/>
      <c r="Z2799" s="100"/>
      <c r="AA2799" s="100"/>
    </row>
    <row r="2800" spans="2:27">
      <c r="B2800" s="100"/>
      <c r="C2800" s="100"/>
      <c r="D2800" s="100"/>
      <c r="E2800" s="100"/>
      <c r="F2800" s="100"/>
      <c r="G2800" s="100"/>
      <c r="H2800" s="100"/>
      <c r="I2800" s="100"/>
      <c r="J2800" s="100"/>
      <c r="K2800" s="100"/>
      <c r="L2800" s="100"/>
      <c r="M2800" s="100"/>
      <c r="N2800" s="100"/>
      <c r="O2800" s="100"/>
      <c r="P2800" s="100"/>
      <c r="Q2800" s="100"/>
      <c r="R2800" s="100"/>
      <c r="S2800" s="100"/>
      <c r="T2800" s="100"/>
      <c r="U2800" s="100"/>
      <c r="V2800" s="100"/>
      <c r="W2800" s="100"/>
      <c r="X2800" s="100"/>
      <c r="Y2800" s="100"/>
      <c r="Z2800" s="100"/>
      <c r="AA2800" s="100"/>
    </row>
    <row r="2801" spans="2:27">
      <c r="B2801" s="100"/>
      <c r="C2801" s="100"/>
      <c r="D2801" s="100"/>
      <c r="E2801" s="100"/>
      <c r="F2801" s="100"/>
      <c r="G2801" s="100"/>
      <c r="H2801" s="100"/>
      <c r="I2801" s="100"/>
      <c r="J2801" s="100"/>
      <c r="K2801" s="100"/>
      <c r="L2801" s="100"/>
      <c r="M2801" s="100"/>
      <c r="N2801" s="100"/>
      <c r="O2801" s="100"/>
      <c r="P2801" s="100"/>
      <c r="Q2801" s="100"/>
      <c r="R2801" s="100"/>
      <c r="S2801" s="100"/>
      <c r="T2801" s="100"/>
      <c r="U2801" s="100"/>
      <c r="V2801" s="100"/>
      <c r="W2801" s="100"/>
      <c r="X2801" s="100"/>
      <c r="Y2801" s="100"/>
      <c r="Z2801" s="100"/>
      <c r="AA2801" s="100"/>
    </row>
    <row r="2802" spans="2:27">
      <c r="B2802" s="100"/>
      <c r="C2802" s="100"/>
      <c r="D2802" s="100"/>
      <c r="E2802" s="100"/>
      <c r="F2802" s="100"/>
      <c r="G2802" s="100"/>
      <c r="H2802" s="100"/>
      <c r="I2802" s="100"/>
      <c r="J2802" s="100"/>
      <c r="K2802" s="100"/>
      <c r="L2802" s="100"/>
      <c r="M2802" s="100"/>
      <c r="N2802" s="100"/>
      <c r="O2802" s="100"/>
      <c r="P2802" s="100"/>
      <c r="Q2802" s="100"/>
      <c r="R2802" s="100"/>
      <c r="S2802" s="100"/>
      <c r="T2802" s="100"/>
      <c r="U2802" s="100"/>
      <c r="V2802" s="100"/>
      <c r="W2802" s="100"/>
      <c r="X2802" s="100"/>
      <c r="Y2802" s="100"/>
      <c r="Z2802" s="100"/>
      <c r="AA2802" s="100"/>
    </row>
    <row r="2803" spans="2:27">
      <c r="B2803" s="100"/>
      <c r="C2803" s="100"/>
      <c r="D2803" s="100"/>
      <c r="E2803" s="100"/>
      <c r="F2803" s="100"/>
      <c r="G2803" s="100"/>
      <c r="H2803" s="100"/>
      <c r="I2803" s="100"/>
      <c r="J2803" s="100"/>
      <c r="K2803" s="100"/>
      <c r="L2803" s="100"/>
      <c r="M2803" s="100"/>
      <c r="N2803" s="100"/>
      <c r="O2803" s="100"/>
      <c r="P2803" s="100"/>
      <c r="Q2803" s="100"/>
      <c r="R2803" s="100"/>
      <c r="S2803" s="100"/>
      <c r="T2803" s="100"/>
      <c r="U2803" s="100"/>
      <c r="V2803" s="100"/>
      <c r="W2803" s="100"/>
      <c r="X2803" s="100"/>
      <c r="Y2803" s="100"/>
      <c r="Z2803" s="100"/>
      <c r="AA2803" s="100"/>
    </row>
    <row r="2804" spans="2:27">
      <c r="B2804" s="100"/>
      <c r="C2804" s="100"/>
      <c r="D2804" s="100"/>
      <c r="E2804" s="100"/>
      <c r="F2804" s="100"/>
      <c r="G2804" s="100"/>
      <c r="H2804" s="100"/>
      <c r="I2804" s="100"/>
      <c r="J2804" s="100"/>
      <c r="K2804" s="100"/>
      <c r="L2804" s="100"/>
      <c r="M2804" s="100"/>
      <c r="N2804" s="100"/>
      <c r="O2804" s="100"/>
      <c r="P2804" s="100"/>
      <c r="Q2804" s="100"/>
      <c r="R2804" s="100"/>
      <c r="S2804" s="100"/>
      <c r="T2804" s="100"/>
      <c r="U2804" s="100"/>
      <c r="V2804" s="100"/>
      <c r="W2804" s="100"/>
      <c r="X2804" s="100"/>
      <c r="Y2804" s="100"/>
      <c r="Z2804" s="100"/>
      <c r="AA2804" s="100"/>
    </row>
    <row r="2805" spans="2:27">
      <c r="B2805" s="100"/>
      <c r="C2805" s="100"/>
      <c r="D2805" s="100"/>
      <c r="E2805" s="100"/>
      <c r="F2805" s="100"/>
      <c r="G2805" s="100"/>
      <c r="H2805" s="100"/>
      <c r="I2805" s="100"/>
      <c r="J2805" s="100"/>
      <c r="K2805" s="100"/>
      <c r="L2805" s="100"/>
      <c r="M2805" s="100"/>
      <c r="N2805" s="100"/>
      <c r="O2805" s="100"/>
      <c r="P2805" s="100"/>
      <c r="Q2805" s="100"/>
      <c r="R2805" s="100"/>
      <c r="S2805" s="100"/>
      <c r="T2805" s="100"/>
      <c r="U2805" s="100"/>
      <c r="V2805" s="100"/>
      <c r="W2805" s="100"/>
      <c r="X2805" s="100"/>
      <c r="Y2805" s="100"/>
      <c r="Z2805" s="100"/>
      <c r="AA2805" s="100"/>
    </row>
    <row r="2806" spans="2:27">
      <c r="B2806" s="100"/>
      <c r="C2806" s="100"/>
      <c r="D2806" s="100"/>
      <c r="E2806" s="100"/>
      <c r="F2806" s="100"/>
      <c r="G2806" s="100"/>
      <c r="H2806" s="100"/>
      <c r="I2806" s="100"/>
      <c r="J2806" s="100"/>
      <c r="K2806" s="100"/>
      <c r="L2806" s="100"/>
      <c r="M2806" s="100"/>
      <c r="N2806" s="100"/>
      <c r="O2806" s="100"/>
      <c r="P2806" s="100"/>
      <c r="Q2806" s="100"/>
      <c r="R2806" s="100"/>
      <c r="S2806" s="100"/>
      <c r="T2806" s="100"/>
      <c r="U2806" s="100"/>
      <c r="V2806" s="100"/>
      <c r="W2806" s="100"/>
      <c r="X2806" s="100"/>
      <c r="Y2806" s="100"/>
      <c r="Z2806" s="100"/>
      <c r="AA2806" s="100"/>
    </row>
    <row r="2807" spans="2:27">
      <c r="B2807" s="100"/>
      <c r="C2807" s="100"/>
      <c r="D2807" s="100"/>
      <c r="E2807" s="100"/>
      <c r="F2807" s="100"/>
      <c r="G2807" s="100"/>
      <c r="H2807" s="100"/>
      <c r="I2807" s="100"/>
      <c r="J2807" s="100"/>
      <c r="K2807" s="100"/>
      <c r="L2807" s="100"/>
      <c r="M2807" s="100"/>
      <c r="N2807" s="100"/>
      <c r="O2807" s="100"/>
      <c r="P2807" s="100"/>
      <c r="Q2807" s="100"/>
      <c r="R2807" s="100"/>
      <c r="S2807" s="100"/>
      <c r="T2807" s="100"/>
      <c r="U2807" s="100"/>
      <c r="V2807" s="100"/>
      <c r="W2807" s="100"/>
      <c r="X2807" s="100"/>
      <c r="Y2807" s="100"/>
      <c r="Z2807" s="100"/>
      <c r="AA2807" s="100"/>
    </row>
    <row r="2808" spans="2:27">
      <c r="B2808" s="100"/>
      <c r="C2808" s="100"/>
      <c r="D2808" s="100"/>
      <c r="E2808" s="100"/>
      <c r="F2808" s="100"/>
      <c r="G2808" s="100"/>
      <c r="H2808" s="100"/>
      <c r="I2808" s="100"/>
      <c r="J2808" s="100"/>
      <c r="K2808" s="100"/>
      <c r="L2808" s="100"/>
      <c r="M2808" s="100"/>
      <c r="N2808" s="100"/>
      <c r="O2808" s="100"/>
      <c r="P2808" s="100"/>
      <c r="Q2808" s="100"/>
      <c r="R2808" s="100"/>
      <c r="S2808" s="100"/>
      <c r="T2808" s="100"/>
      <c r="U2808" s="100"/>
      <c r="V2808" s="100"/>
      <c r="W2808" s="100"/>
      <c r="X2808" s="100"/>
      <c r="Y2808" s="100"/>
      <c r="Z2808" s="100"/>
      <c r="AA2808" s="100"/>
    </row>
    <row r="2809" spans="2:27">
      <c r="B2809" s="100"/>
      <c r="C2809" s="100"/>
      <c r="D2809" s="100"/>
      <c r="E2809" s="100"/>
      <c r="F2809" s="100"/>
      <c r="G2809" s="100"/>
      <c r="H2809" s="100"/>
      <c r="I2809" s="100"/>
      <c r="J2809" s="100"/>
      <c r="K2809" s="100"/>
      <c r="L2809" s="100"/>
      <c r="M2809" s="100"/>
      <c r="N2809" s="100"/>
      <c r="O2809" s="100"/>
      <c r="P2809" s="100"/>
      <c r="Q2809" s="100"/>
      <c r="R2809" s="100"/>
      <c r="S2809" s="100"/>
      <c r="T2809" s="100"/>
      <c r="U2809" s="100"/>
      <c r="V2809" s="100"/>
      <c r="W2809" s="100"/>
      <c r="X2809" s="100"/>
      <c r="Y2809" s="100"/>
      <c r="Z2809" s="100"/>
      <c r="AA2809" s="100"/>
    </row>
  </sheetData>
  <phoneticPr fontId="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4561"/>
  <sheetViews>
    <sheetView workbookViewId="0"/>
  </sheetViews>
  <sheetFormatPr defaultColWidth="14.42578125" defaultRowHeight="15" customHeight="1"/>
  <sheetData>
    <row r="1" spans="1:26">
      <c r="A1" s="100" t="e">
        <f ca="1">IFERROR(__xludf.DUMMYFUNCTION("IMPORTRANGE(""https://docs.google.com/spreadsheets/d/1PLLq6YTmFFMklDHedBb_tVR7NVjsQrSVqiUJW2TeuHQ/edit?usp=sharing"", ""cryptodataHuobi!A1:Z5000"")"),"id")</f>
        <v>#NAME?</v>
      </c>
      <c r="B1" s="100" t="e">
        <f ca="1">IFERROR(__xludf.DUMMYFUNCTION("""COMPUTED_VALUE"""),"symbol")</f>
        <v>#NAME?</v>
      </c>
      <c r="C1" s="100" t="e">
        <f ca="1">IFERROR(__xludf.DUMMYFUNCTION("""COMPUTED_VALUE"""),"price")</f>
        <v>#NAME?</v>
      </c>
      <c r="D1" s="100" t="e">
        <f ca="1">IFERROR(__xludf.DUMMYFUNCTION("""COMPUTED_VALUE"""),"change7d")</f>
        <v>#NAME?</v>
      </c>
      <c r="E1" s="100" t="e">
        <f ca="1">IFERROR(__xludf.DUMMYFUNCTION("""COMPUTED_VALUE"""),"change30d")</f>
        <v>#NAME?</v>
      </c>
      <c r="F1" s="100" t="e">
        <f ca="1">IFERROR(__xludf.DUMMYFUNCTION("""COMPUTED_VALUE"""),"time1d")</f>
        <v>#NAME?</v>
      </c>
      <c r="G1" s="100" t="e">
        <f ca="1">IFERROR(__xludf.DUMMYFUNCTION("""COMPUTED_VALUE"""),"time7d")</f>
        <v>#NAME?</v>
      </c>
      <c r="H1" s="100" t="e">
        <f ca="1">IFERROR(__xludf.DUMMYFUNCTION("""COMPUTED_VALUE"""),"time1m")</f>
        <v>#NAME?</v>
      </c>
      <c r="I1" s="100" t="e">
        <f ca="1">IFERROR(__xludf.DUMMYFUNCTION("""COMPUTED_VALUE"""),"time5min")</f>
        <v>#NAME?</v>
      </c>
      <c r="J1" s="100" t="e">
        <f ca="1">IFERROR(__xludf.DUMMYFUNCTION("""COMPUTED_VALUE"""),"change1d")</f>
        <v>#NAME?</v>
      </c>
      <c r="K1" s="100" t="e">
        <f ca="1">IFERROR(__xludf.DUMMYFUNCTION("""COMPUTED_VALUE"""),"time1sec")</f>
        <v>#NAME?</v>
      </c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spans="1:26">
      <c r="A2" s="100" t="e">
        <f ca="1">IFERROR(__xludf.DUMMYFUNCTION("""COMPUTED_VALUE"""),14519754)</f>
        <v>#NAME?</v>
      </c>
      <c r="B2" s="100" t="e">
        <f ca="1">IFERROR(__xludf.DUMMYFUNCTION("""COMPUTED_VALUE"""),"sylousdt")</f>
        <v>#NAME?</v>
      </c>
      <c r="C2" s="100" t="e">
        <f ca="1">IFERROR(__xludf.DUMMYFUNCTION("""COMPUTED_VALUE"""),"0.000473")</f>
        <v>#NAME?</v>
      </c>
      <c r="D2" s="100" t="e">
        <f t="shared" ref="D2:E21" ca="1" si="0">IFERROR(__xludf.DUMMYFUNCTION("""COMPUTED_VALUE"""),"-")</f>
        <v>#NAME?</v>
      </c>
      <c r="E2" s="100" t="e">
        <f t="shared" ca="1" si="0"/>
        <v>#NAME?</v>
      </c>
      <c r="F2" s="100" t="e">
        <f t="shared" ref="F2:F65" ca="1" si="1">IFERROR(__xludf.DUMMYFUNCTION("""COMPUTED_VALUE"""),20200)</f>
        <v>#NAME?</v>
      </c>
      <c r="G2" s="100" t="e">
        <f t="shared" ref="G2:G65" ca="1" si="2">IFERROR(__xludf.DUMMYFUNCTION("""COMPUTED_VALUE"""),2885)</f>
        <v>#NAME?</v>
      </c>
      <c r="H2" s="100" t="e">
        <f t="shared" ref="H2:H65" ca="1" si="3">IFERROR(__xludf.DUMMYFUNCTION("""COMPUTED_VALUE"""),663)</f>
        <v>#NAME?</v>
      </c>
      <c r="I2" s="100" t="e">
        <f t="shared" ref="I2:I65" ca="1" si="4">IFERROR(__xludf.DUMMYFUNCTION("""COMPUTED_VALUE"""),5817721)</f>
        <v>#NAME?</v>
      </c>
      <c r="J2" s="100" t="e">
        <f t="shared" ref="J2:J65" ca="1" si="5">IFERROR(__xludf.DUMMYFUNCTION("""COMPUTED_VALUE"""),"-")</f>
        <v>#NAME?</v>
      </c>
      <c r="K2" s="100" t="e">
        <f t="shared" ref="K2:K65" ca="1" si="6">IFERROR(__xludf.DUMMYFUNCTION("""COMPUTED_VALUE"""),"22.04.2025 13:05:01")</f>
        <v>#NAME?</v>
      </c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spans="1:26">
      <c r="A3" s="100" t="e">
        <f ca="1">IFERROR(__xludf.DUMMYFUNCTION("""COMPUTED_VALUE"""),14519755)</f>
        <v>#NAME?</v>
      </c>
      <c r="B3" s="100" t="e">
        <f ca="1">IFERROR(__xludf.DUMMYFUNCTION("""COMPUTED_VALUE"""),"zigusdt")</f>
        <v>#NAME?</v>
      </c>
      <c r="C3" s="100" t="e">
        <f ca="1">IFERROR(__xludf.DUMMYFUNCTION("""COMPUTED_VALUE"""),"0.073368")</f>
        <v>#NAME?</v>
      </c>
      <c r="D3" s="100" t="e">
        <f t="shared" ca="1" si="0"/>
        <v>#NAME?</v>
      </c>
      <c r="E3" s="100" t="e">
        <f t="shared" ca="1" si="0"/>
        <v>#NAME?</v>
      </c>
      <c r="F3" s="100" t="e">
        <f t="shared" ca="1" si="1"/>
        <v>#NAME?</v>
      </c>
      <c r="G3" s="100" t="e">
        <f t="shared" ca="1" si="2"/>
        <v>#NAME?</v>
      </c>
      <c r="H3" s="100" t="e">
        <f t="shared" ca="1" si="3"/>
        <v>#NAME?</v>
      </c>
      <c r="I3" s="100" t="e">
        <f t="shared" ca="1" si="4"/>
        <v>#NAME?</v>
      </c>
      <c r="J3" s="100" t="e">
        <f t="shared" ca="1" si="5"/>
        <v>#NAME?</v>
      </c>
      <c r="K3" s="100" t="e">
        <f t="shared" ca="1" si="6"/>
        <v>#NAME?</v>
      </c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 spans="1:26">
      <c r="A4" s="100" t="e">
        <f ca="1">IFERROR(__xludf.DUMMYFUNCTION("""COMPUTED_VALUE"""),14519756)</f>
        <v>#NAME?</v>
      </c>
      <c r="B4" s="100" t="e">
        <f ca="1">IFERROR(__xludf.DUMMYFUNCTION("""COMPUTED_VALUE"""),"walletusdt")</f>
        <v>#NAME?</v>
      </c>
      <c r="C4" s="100" t="e">
        <f ca="1">IFERROR(__xludf.DUMMYFUNCTION("""COMPUTED_VALUE"""),"0.010171")</f>
        <v>#NAME?</v>
      </c>
      <c r="D4" s="100" t="e">
        <f t="shared" ca="1" si="0"/>
        <v>#NAME?</v>
      </c>
      <c r="E4" s="100" t="e">
        <f t="shared" ca="1" si="0"/>
        <v>#NAME?</v>
      </c>
      <c r="F4" s="100" t="e">
        <f t="shared" ca="1" si="1"/>
        <v>#NAME?</v>
      </c>
      <c r="G4" s="100" t="e">
        <f t="shared" ca="1" si="2"/>
        <v>#NAME?</v>
      </c>
      <c r="H4" s="100" t="e">
        <f t="shared" ca="1" si="3"/>
        <v>#NAME?</v>
      </c>
      <c r="I4" s="100" t="e">
        <f t="shared" ca="1" si="4"/>
        <v>#NAME?</v>
      </c>
      <c r="J4" s="100" t="e">
        <f t="shared" ca="1" si="5"/>
        <v>#NAME?</v>
      </c>
      <c r="K4" s="100" t="e">
        <f t="shared" ca="1" si="6"/>
        <v>#NAME?</v>
      </c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spans="1:26">
      <c r="A5" s="100" t="e">
        <f ca="1">IFERROR(__xludf.DUMMYFUNCTION("""COMPUTED_VALUE"""),14519757)</f>
        <v>#NAME?</v>
      </c>
      <c r="B5" s="100" t="e">
        <f ca="1">IFERROR(__xludf.DUMMYFUNCTION("""COMPUTED_VALUE"""),"musicusdt")</f>
        <v>#NAME?</v>
      </c>
      <c r="C5" s="100" t="e">
        <f ca="1">IFERROR(__xludf.DUMMYFUNCTION("""COMPUTED_VALUE"""),"0.012116")</f>
        <v>#NAME?</v>
      </c>
      <c r="D5" s="100" t="e">
        <f t="shared" ca="1" si="0"/>
        <v>#NAME?</v>
      </c>
      <c r="E5" s="100" t="e">
        <f t="shared" ca="1" si="0"/>
        <v>#NAME?</v>
      </c>
      <c r="F5" s="100" t="e">
        <f t="shared" ca="1" si="1"/>
        <v>#NAME?</v>
      </c>
      <c r="G5" s="100" t="e">
        <f t="shared" ca="1" si="2"/>
        <v>#NAME?</v>
      </c>
      <c r="H5" s="100" t="e">
        <f t="shared" ca="1" si="3"/>
        <v>#NAME?</v>
      </c>
      <c r="I5" s="100" t="e">
        <f t="shared" ca="1" si="4"/>
        <v>#NAME?</v>
      </c>
      <c r="J5" s="100" t="e">
        <f t="shared" ca="1" si="5"/>
        <v>#NAME?</v>
      </c>
      <c r="K5" s="100" t="e">
        <f t="shared" ca="1" si="6"/>
        <v>#NAME?</v>
      </c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spans="1:26">
      <c r="A6" s="100" t="e">
        <f ca="1">IFERROR(__xludf.DUMMYFUNCTION("""COMPUTED_VALUE"""),14519758)</f>
        <v>#NAME?</v>
      </c>
      <c r="B6" s="100" t="e">
        <f ca="1">IFERROR(__xludf.DUMMYFUNCTION("""COMPUTED_VALUE"""),"analosusdt")</f>
        <v>#NAME?</v>
      </c>
      <c r="C6" s="100" t="e">
        <f ca="1">IFERROR(__xludf.DUMMYFUNCTION("""COMPUTED_VALUE"""),"8.1e-06")</f>
        <v>#NAME?</v>
      </c>
      <c r="D6" s="100" t="e">
        <f t="shared" ca="1" si="0"/>
        <v>#NAME?</v>
      </c>
      <c r="E6" s="100" t="e">
        <f t="shared" ca="1" si="0"/>
        <v>#NAME?</v>
      </c>
      <c r="F6" s="100" t="e">
        <f t="shared" ca="1" si="1"/>
        <v>#NAME?</v>
      </c>
      <c r="G6" s="100" t="e">
        <f t="shared" ca="1" si="2"/>
        <v>#NAME?</v>
      </c>
      <c r="H6" s="100" t="e">
        <f t="shared" ca="1" si="3"/>
        <v>#NAME?</v>
      </c>
      <c r="I6" s="100" t="e">
        <f t="shared" ca="1" si="4"/>
        <v>#NAME?</v>
      </c>
      <c r="J6" s="100" t="e">
        <f t="shared" ca="1" si="5"/>
        <v>#NAME?</v>
      </c>
      <c r="K6" s="100" t="e">
        <f t="shared" ca="1" si="6"/>
        <v>#NAME?</v>
      </c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spans="1:26">
      <c r="A7" s="100" t="e">
        <f ca="1">IFERROR(__xludf.DUMMYFUNCTION("""COMPUTED_VALUE"""),14519759)</f>
        <v>#NAME?</v>
      </c>
      <c r="B7" s="100" t="e">
        <f ca="1">IFERROR(__xludf.DUMMYFUNCTION("""COMPUTED_VALUE"""),"kernelusdt")</f>
        <v>#NAME?</v>
      </c>
      <c r="C7" s="100" t="e">
        <f ca="1">IFERROR(__xludf.DUMMYFUNCTION("""COMPUTED_VALUE"""),"0.188")</f>
        <v>#NAME?</v>
      </c>
      <c r="D7" s="100" t="e">
        <f t="shared" ca="1" si="0"/>
        <v>#NAME?</v>
      </c>
      <c r="E7" s="100" t="e">
        <f t="shared" ca="1" si="0"/>
        <v>#NAME?</v>
      </c>
      <c r="F7" s="100" t="e">
        <f t="shared" ca="1" si="1"/>
        <v>#NAME?</v>
      </c>
      <c r="G7" s="100" t="e">
        <f t="shared" ca="1" si="2"/>
        <v>#NAME?</v>
      </c>
      <c r="H7" s="100" t="e">
        <f t="shared" ca="1" si="3"/>
        <v>#NAME?</v>
      </c>
      <c r="I7" s="100" t="e">
        <f t="shared" ca="1" si="4"/>
        <v>#NAME?</v>
      </c>
      <c r="J7" s="100" t="e">
        <f t="shared" ca="1" si="5"/>
        <v>#NAME?</v>
      </c>
      <c r="K7" s="100" t="e">
        <f t="shared" ca="1" si="6"/>
        <v>#NAME?</v>
      </c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spans="1:26">
      <c r="A8" s="100" t="e">
        <f ca="1">IFERROR(__xludf.DUMMYFUNCTION("""COMPUTED_VALUE"""),14519760)</f>
        <v>#NAME?</v>
      </c>
      <c r="B8" s="100" t="e">
        <f ca="1">IFERROR(__xludf.DUMMYFUNCTION("""COMPUTED_VALUE"""),"kctusdt")</f>
        <v>#NAME?</v>
      </c>
      <c r="C8" s="100" t="e">
        <f ca="1">IFERROR(__xludf.DUMMYFUNCTION("""COMPUTED_VALUE"""),"0.000815")</f>
        <v>#NAME?</v>
      </c>
      <c r="D8" s="100" t="e">
        <f t="shared" ca="1" si="0"/>
        <v>#NAME?</v>
      </c>
      <c r="E8" s="100" t="e">
        <f t="shared" ca="1" si="0"/>
        <v>#NAME?</v>
      </c>
      <c r="F8" s="100" t="e">
        <f t="shared" ca="1" si="1"/>
        <v>#NAME?</v>
      </c>
      <c r="G8" s="100" t="e">
        <f t="shared" ca="1" si="2"/>
        <v>#NAME?</v>
      </c>
      <c r="H8" s="100" t="e">
        <f t="shared" ca="1" si="3"/>
        <v>#NAME?</v>
      </c>
      <c r="I8" s="100" t="e">
        <f t="shared" ca="1" si="4"/>
        <v>#NAME?</v>
      </c>
      <c r="J8" s="100" t="e">
        <f t="shared" ca="1" si="5"/>
        <v>#NAME?</v>
      </c>
      <c r="K8" s="100" t="e">
        <f t="shared" ca="1" si="6"/>
        <v>#NAME?</v>
      </c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spans="1:26">
      <c r="A9" s="100" t="e">
        <f ca="1">IFERROR(__xludf.DUMMYFUNCTION("""COMPUTED_VALUE"""),14519761)</f>
        <v>#NAME?</v>
      </c>
      <c r="B9" s="100" t="e">
        <f ca="1">IFERROR(__xludf.DUMMYFUNCTION("""COMPUTED_VALUE"""),"babyusdt")</f>
        <v>#NAME?</v>
      </c>
      <c r="C9" s="100" t="e">
        <f ca="1">IFERROR(__xludf.DUMMYFUNCTION("""COMPUTED_VALUE"""),"0.080409")</f>
        <v>#NAME?</v>
      </c>
      <c r="D9" s="100" t="e">
        <f t="shared" ca="1" si="0"/>
        <v>#NAME?</v>
      </c>
      <c r="E9" s="100" t="e">
        <f t="shared" ca="1" si="0"/>
        <v>#NAME?</v>
      </c>
      <c r="F9" s="100" t="e">
        <f t="shared" ca="1" si="1"/>
        <v>#NAME?</v>
      </c>
      <c r="G9" s="100" t="e">
        <f t="shared" ca="1" si="2"/>
        <v>#NAME?</v>
      </c>
      <c r="H9" s="100" t="e">
        <f t="shared" ca="1" si="3"/>
        <v>#NAME?</v>
      </c>
      <c r="I9" s="100" t="e">
        <f t="shared" ca="1" si="4"/>
        <v>#NAME?</v>
      </c>
      <c r="J9" s="100" t="e">
        <f t="shared" ca="1" si="5"/>
        <v>#NAME?</v>
      </c>
      <c r="K9" s="100" t="e">
        <f t="shared" ca="1" si="6"/>
        <v>#NAME?</v>
      </c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 spans="1:26">
      <c r="A10" s="100" t="e">
        <f ca="1">IFERROR(__xludf.DUMMYFUNCTION("""COMPUTED_VALUE"""),14519762)</f>
        <v>#NAME?</v>
      </c>
      <c r="B10" s="100" t="e">
        <f ca="1">IFERROR(__xludf.DUMMYFUNCTION("""COMPUTED_VALUE"""),"swarmsusdt")</f>
        <v>#NAME?</v>
      </c>
      <c r="C10" s="100" t="e">
        <f ca="1">IFERROR(__xludf.DUMMYFUNCTION("""COMPUTED_VALUE"""),"0.0215")</f>
        <v>#NAME?</v>
      </c>
      <c r="D10" s="100" t="e">
        <f t="shared" ca="1" si="0"/>
        <v>#NAME?</v>
      </c>
      <c r="E10" s="100" t="e">
        <f t="shared" ca="1" si="0"/>
        <v>#NAME?</v>
      </c>
      <c r="F10" s="100" t="e">
        <f t="shared" ca="1" si="1"/>
        <v>#NAME?</v>
      </c>
      <c r="G10" s="100" t="e">
        <f t="shared" ca="1" si="2"/>
        <v>#NAME?</v>
      </c>
      <c r="H10" s="100" t="e">
        <f t="shared" ca="1" si="3"/>
        <v>#NAME?</v>
      </c>
      <c r="I10" s="100" t="e">
        <f t="shared" ca="1" si="4"/>
        <v>#NAME?</v>
      </c>
      <c r="J10" s="100" t="e">
        <f t="shared" ca="1" si="5"/>
        <v>#NAME?</v>
      </c>
      <c r="K10" s="100" t="e">
        <f t="shared" ca="1" si="6"/>
        <v>#NAME?</v>
      </c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 spans="1:26">
      <c r="A11" s="100" t="e">
        <f ca="1">IFERROR(__xludf.DUMMYFUNCTION("""COMPUTED_VALUE"""),14519763)</f>
        <v>#NAME?</v>
      </c>
      <c r="B11" s="100" t="e">
        <f ca="1">IFERROR(__xludf.DUMMYFUNCTION("""COMPUTED_VALUE"""),"scusdt")</f>
        <v>#NAME?</v>
      </c>
      <c r="C11" s="100" t="e">
        <f ca="1">IFERROR(__xludf.DUMMYFUNCTION("""COMPUTED_VALUE"""),"0.003323")</f>
        <v>#NAME?</v>
      </c>
      <c r="D11" s="100" t="e">
        <f t="shared" ca="1" si="0"/>
        <v>#NAME?</v>
      </c>
      <c r="E11" s="100" t="e">
        <f t="shared" ca="1" si="0"/>
        <v>#NAME?</v>
      </c>
      <c r="F11" s="100" t="e">
        <f t="shared" ca="1" si="1"/>
        <v>#NAME?</v>
      </c>
      <c r="G11" s="100" t="e">
        <f t="shared" ca="1" si="2"/>
        <v>#NAME?</v>
      </c>
      <c r="H11" s="100" t="e">
        <f t="shared" ca="1" si="3"/>
        <v>#NAME?</v>
      </c>
      <c r="I11" s="100" t="e">
        <f t="shared" ca="1" si="4"/>
        <v>#NAME?</v>
      </c>
      <c r="J11" s="100" t="e">
        <f t="shared" ca="1" si="5"/>
        <v>#NAME?</v>
      </c>
      <c r="K11" s="100" t="e">
        <f t="shared" ca="1" si="6"/>
        <v>#NAME?</v>
      </c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 spans="1:26">
      <c r="A12" s="100" t="e">
        <f ca="1">IFERROR(__xludf.DUMMYFUNCTION("""COMPUTED_VALUE"""),14519764)</f>
        <v>#NAME?</v>
      </c>
      <c r="B12" s="100" t="e">
        <f ca="1">IFERROR(__xludf.DUMMYFUNCTION("""COMPUTED_VALUE"""),"velousdt")</f>
        <v>#NAME?</v>
      </c>
      <c r="C12" s="100" t="e">
        <f ca="1">IFERROR(__xludf.DUMMYFUNCTION("""COMPUTED_VALUE"""),"0.013747")</f>
        <v>#NAME?</v>
      </c>
      <c r="D12" s="100" t="e">
        <f t="shared" ca="1" si="0"/>
        <v>#NAME?</v>
      </c>
      <c r="E12" s="100" t="e">
        <f t="shared" ca="1" si="0"/>
        <v>#NAME?</v>
      </c>
      <c r="F12" s="100" t="e">
        <f t="shared" ca="1" si="1"/>
        <v>#NAME?</v>
      </c>
      <c r="G12" s="100" t="e">
        <f t="shared" ca="1" si="2"/>
        <v>#NAME?</v>
      </c>
      <c r="H12" s="100" t="e">
        <f t="shared" ca="1" si="3"/>
        <v>#NAME?</v>
      </c>
      <c r="I12" s="100" t="e">
        <f t="shared" ca="1" si="4"/>
        <v>#NAME?</v>
      </c>
      <c r="J12" s="100" t="e">
        <f t="shared" ca="1" si="5"/>
        <v>#NAME?</v>
      </c>
      <c r="K12" s="100" t="e">
        <f t="shared" ca="1" si="6"/>
        <v>#NAME?</v>
      </c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 spans="1:26">
      <c r="A13" s="100" t="e">
        <f ca="1">IFERROR(__xludf.DUMMYFUNCTION("""COMPUTED_VALUE"""),14519765)</f>
        <v>#NAME?</v>
      </c>
      <c r="B13" s="100" t="e">
        <f ca="1">IFERROR(__xludf.DUMMYFUNCTION("""COMPUTED_VALUE"""),"bomeusdt")</f>
        <v>#NAME?</v>
      </c>
      <c r="C13" s="100" t="e">
        <f ca="1">IFERROR(__xludf.DUMMYFUNCTION("""COMPUTED_VALUE"""),"0.001282")</f>
        <v>#NAME?</v>
      </c>
      <c r="D13" s="100" t="e">
        <f t="shared" ca="1" si="0"/>
        <v>#NAME?</v>
      </c>
      <c r="E13" s="100" t="e">
        <f t="shared" ca="1" si="0"/>
        <v>#NAME?</v>
      </c>
      <c r="F13" s="100" t="e">
        <f t="shared" ca="1" si="1"/>
        <v>#NAME?</v>
      </c>
      <c r="G13" s="100" t="e">
        <f t="shared" ca="1" si="2"/>
        <v>#NAME?</v>
      </c>
      <c r="H13" s="100" t="e">
        <f t="shared" ca="1" si="3"/>
        <v>#NAME?</v>
      </c>
      <c r="I13" s="100" t="e">
        <f t="shared" ca="1" si="4"/>
        <v>#NAME?</v>
      </c>
      <c r="J13" s="100" t="e">
        <f t="shared" ca="1" si="5"/>
        <v>#NAME?</v>
      </c>
      <c r="K13" s="100" t="e">
        <f t="shared" ca="1" si="6"/>
        <v>#NAME?</v>
      </c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 spans="1:26">
      <c r="A14" s="100" t="e">
        <f ca="1">IFERROR(__xludf.DUMMYFUNCTION("""COMPUTED_VALUE"""),14519766)</f>
        <v>#NAME?</v>
      </c>
      <c r="B14" s="100" t="e">
        <f ca="1">IFERROR(__xludf.DUMMYFUNCTION("""COMPUTED_VALUE"""),"memefiusdt")</f>
        <v>#NAME?</v>
      </c>
      <c r="C14" s="100" t="e">
        <f ca="1">IFERROR(__xludf.DUMMYFUNCTION("""COMPUTED_VALUE"""),"0.000751")</f>
        <v>#NAME?</v>
      </c>
      <c r="D14" s="100" t="e">
        <f t="shared" ca="1" si="0"/>
        <v>#NAME?</v>
      </c>
      <c r="E14" s="100" t="e">
        <f t="shared" ca="1" si="0"/>
        <v>#NAME?</v>
      </c>
      <c r="F14" s="100" t="e">
        <f t="shared" ca="1" si="1"/>
        <v>#NAME?</v>
      </c>
      <c r="G14" s="100" t="e">
        <f t="shared" ca="1" si="2"/>
        <v>#NAME?</v>
      </c>
      <c r="H14" s="100" t="e">
        <f t="shared" ca="1" si="3"/>
        <v>#NAME?</v>
      </c>
      <c r="I14" s="100" t="e">
        <f t="shared" ca="1" si="4"/>
        <v>#NAME?</v>
      </c>
      <c r="J14" s="100" t="e">
        <f t="shared" ca="1" si="5"/>
        <v>#NAME?</v>
      </c>
      <c r="K14" s="100" t="e">
        <f t="shared" ca="1" si="6"/>
        <v>#NAME?</v>
      </c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 spans="1:26">
      <c r="A15" s="100" t="e">
        <f ca="1">IFERROR(__xludf.DUMMYFUNCTION("""COMPUTED_VALUE"""),14519767)</f>
        <v>#NAME?</v>
      </c>
      <c r="B15" s="100" t="e">
        <f ca="1">IFERROR(__xludf.DUMMYFUNCTION("""COMPUTED_VALUE"""),"polcusdt")</f>
        <v>#NAME?</v>
      </c>
      <c r="C15" s="100" t="e">
        <f ca="1">IFERROR(__xludf.DUMMYFUNCTION("""COMPUTED_VALUE"""),"0.000829")</f>
        <v>#NAME?</v>
      </c>
      <c r="D15" s="100" t="e">
        <f t="shared" ca="1" si="0"/>
        <v>#NAME?</v>
      </c>
      <c r="E15" s="100" t="e">
        <f t="shared" ca="1" si="0"/>
        <v>#NAME?</v>
      </c>
      <c r="F15" s="100" t="e">
        <f t="shared" ca="1" si="1"/>
        <v>#NAME?</v>
      </c>
      <c r="G15" s="100" t="e">
        <f t="shared" ca="1" si="2"/>
        <v>#NAME?</v>
      </c>
      <c r="H15" s="100" t="e">
        <f t="shared" ca="1" si="3"/>
        <v>#NAME?</v>
      </c>
      <c r="I15" s="100" t="e">
        <f t="shared" ca="1" si="4"/>
        <v>#NAME?</v>
      </c>
      <c r="J15" s="100" t="e">
        <f t="shared" ca="1" si="5"/>
        <v>#NAME?</v>
      </c>
      <c r="K15" s="100" t="e">
        <f t="shared" ca="1" si="6"/>
        <v>#NAME?</v>
      </c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 spans="1:26">
      <c r="A16" s="100" t="e">
        <f ca="1">IFERROR(__xludf.DUMMYFUNCTION("""COMPUTED_VALUE"""),14519768)</f>
        <v>#NAME?</v>
      </c>
      <c r="B16" s="100" t="e">
        <f ca="1">IFERROR(__xludf.DUMMYFUNCTION("""COMPUTED_VALUE"""),"tstusdt")</f>
        <v>#NAME?</v>
      </c>
      <c r="C16" s="100" t="e">
        <f ca="1">IFERROR(__xludf.DUMMYFUNCTION("""COMPUTED_VALUE"""),"0.0652")</f>
        <v>#NAME?</v>
      </c>
      <c r="D16" s="100" t="e">
        <f t="shared" ca="1" si="0"/>
        <v>#NAME?</v>
      </c>
      <c r="E16" s="100" t="e">
        <f t="shared" ca="1" si="0"/>
        <v>#NAME?</v>
      </c>
      <c r="F16" s="100" t="e">
        <f t="shared" ca="1" si="1"/>
        <v>#NAME?</v>
      </c>
      <c r="G16" s="100" t="e">
        <f t="shared" ca="1" si="2"/>
        <v>#NAME?</v>
      </c>
      <c r="H16" s="100" t="e">
        <f t="shared" ca="1" si="3"/>
        <v>#NAME?</v>
      </c>
      <c r="I16" s="100" t="e">
        <f t="shared" ca="1" si="4"/>
        <v>#NAME?</v>
      </c>
      <c r="J16" s="100" t="e">
        <f t="shared" ca="1" si="5"/>
        <v>#NAME?</v>
      </c>
      <c r="K16" s="100" t="e">
        <f t="shared" ca="1" si="6"/>
        <v>#NAME?</v>
      </c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 spans="1:26">
      <c r="A17" s="100" t="e">
        <f ca="1">IFERROR(__xludf.DUMMYFUNCTION("""COMPUTED_VALUE"""),14519769)</f>
        <v>#NAME?</v>
      </c>
      <c r="B17" s="100" t="e">
        <f ca="1">IFERROR(__xludf.DUMMYFUNCTION("""COMPUTED_VALUE"""),"ladysusdt")</f>
        <v>#NAME?</v>
      </c>
      <c r="C17" s="100" t="e">
        <f ca="1">IFERROR(__xludf.DUMMYFUNCTION("""COMPUTED_VALUE"""),"3.5e-08")</f>
        <v>#NAME?</v>
      </c>
      <c r="D17" s="100" t="e">
        <f t="shared" ca="1" si="0"/>
        <v>#NAME?</v>
      </c>
      <c r="E17" s="100" t="e">
        <f t="shared" ca="1" si="0"/>
        <v>#NAME?</v>
      </c>
      <c r="F17" s="100" t="e">
        <f t="shared" ca="1" si="1"/>
        <v>#NAME?</v>
      </c>
      <c r="G17" s="100" t="e">
        <f t="shared" ca="1" si="2"/>
        <v>#NAME?</v>
      </c>
      <c r="H17" s="100" t="e">
        <f t="shared" ca="1" si="3"/>
        <v>#NAME?</v>
      </c>
      <c r="I17" s="100" t="e">
        <f t="shared" ca="1" si="4"/>
        <v>#NAME?</v>
      </c>
      <c r="J17" s="100" t="e">
        <f t="shared" ca="1" si="5"/>
        <v>#NAME?</v>
      </c>
      <c r="K17" s="100" t="e">
        <f t="shared" ca="1" si="6"/>
        <v>#NAME?</v>
      </c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 spans="1:26">
      <c r="A18" s="100" t="e">
        <f ca="1">IFERROR(__xludf.DUMMYFUNCTION("""COMPUTED_VALUE"""),14519770)</f>
        <v>#NAME?</v>
      </c>
      <c r="B18" s="100" t="e">
        <f ca="1">IFERROR(__xludf.DUMMYFUNCTION("""COMPUTED_VALUE"""),"magicusdt")</f>
        <v>#NAME?</v>
      </c>
      <c r="C18" s="100" t="e">
        <f ca="1">IFERROR(__xludf.DUMMYFUNCTION("""COMPUTED_VALUE"""),"0.2539")</f>
        <v>#NAME?</v>
      </c>
      <c r="D18" s="100" t="e">
        <f t="shared" ca="1" si="0"/>
        <v>#NAME?</v>
      </c>
      <c r="E18" s="100" t="e">
        <f t="shared" ca="1" si="0"/>
        <v>#NAME?</v>
      </c>
      <c r="F18" s="100" t="e">
        <f t="shared" ca="1" si="1"/>
        <v>#NAME?</v>
      </c>
      <c r="G18" s="100" t="e">
        <f t="shared" ca="1" si="2"/>
        <v>#NAME?</v>
      </c>
      <c r="H18" s="100" t="e">
        <f t="shared" ca="1" si="3"/>
        <v>#NAME?</v>
      </c>
      <c r="I18" s="100" t="e">
        <f t="shared" ca="1" si="4"/>
        <v>#NAME?</v>
      </c>
      <c r="J18" s="100" t="e">
        <f t="shared" ca="1" si="5"/>
        <v>#NAME?</v>
      </c>
      <c r="K18" s="100" t="e">
        <f t="shared" ca="1" si="6"/>
        <v>#NAME?</v>
      </c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 spans="1:26">
      <c r="A19" s="100" t="e">
        <f ca="1">IFERROR(__xludf.DUMMYFUNCTION("""COMPUTED_VALUE"""),14519771)</f>
        <v>#NAME?</v>
      </c>
      <c r="B19" s="100" t="e">
        <f ca="1">IFERROR(__xludf.DUMMYFUNCTION("""COMPUTED_VALUE"""),"mlkusdt")</f>
        <v>#NAME?</v>
      </c>
      <c r="C19" s="100" t="e">
        <f ca="1">IFERROR(__xludf.DUMMYFUNCTION("""COMPUTED_VALUE"""),"0.1872")</f>
        <v>#NAME?</v>
      </c>
      <c r="D19" s="100" t="e">
        <f t="shared" ca="1" si="0"/>
        <v>#NAME?</v>
      </c>
      <c r="E19" s="100" t="e">
        <f t="shared" ca="1" si="0"/>
        <v>#NAME?</v>
      </c>
      <c r="F19" s="100" t="e">
        <f t="shared" ca="1" si="1"/>
        <v>#NAME?</v>
      </c>
      <c r="G19" s="100" t="e">
        <f t="shared" ca="1" si="2"/>
        <v>#NAME?</v>
      </c>
      <c r="H19" s="100" t="e">
        <f t="shared" ca="1" si="3"/>
        <v>#NAME?</v>
      </c>
      <c r="I19" s="100" t="e">
        <f t="shared" ca="1" si="4"/>
        <v>#NAME?</v>
      </c>
      <c r="J19" s="100" t="e">
        <f t="shared" ca="1" si="5"/>
        <v>#NAME?</v>
      </c>
      <c r="K19" s="100" t="e">
        <f t="shared" ca="1" si="6"/>
        <v>#NAME?</v>
      </c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 spans="1:26">
      <c r="A20" s="100" t="e">
        <f ca="1">IFERROR(__xludf.DUMMYFUNCTION("""COMPUTED_VALUE"""),14519772)</f>
        <v>#NAME?</v>
      </c>
      <c r="B20" s="100" t="e">
        <f ca="1">IFERROR(__xludf.DUMMYFUNCTION("""COMPUTED_VALUE"""),"elfusdt")</f>
        <v>#NAME?</v>
      </c>
      <c r="C20" s="100" t="e">
        <f ca="1">IFERROR(__xludf.DUMMYFUNCTION("""COMPUTED_VALUE"""),"0.2246")</f>
        <v>#NAME?</v>
      </c>
      <c r="D20" s="100" t="e">
        <f t="shared" ca="1" si="0"/>
        <v>#NAME?</v>
      </c>
      <c r="E20" s="100" t="e">
        <f t="shared" ca="1" si="0"/>
        <v>#NAME?</v>
      </c>
      <c r="F20" s="100" t="e">
        <f t="shared" ca="1" si="1"/>
        <v>#NAME?</v>
      </c>
      <c r="G20" s="100" t="e">
        <f t="shared" ca="1" si="2"/>
        <v>#NAME?</v>
      </c>
      <c r="H20" s="100" t="e">
        <f t="shared" ca="1" si="3"/>
        <v>#NAME?</v>
      </c>
      <c r="I20" s="100" t="e">
        <f t="shared" ca="1" si="4"/>
        <v>#NAME?</v>
      </c>
      <c r="J20" s="100" t="e">
        <f t="shared" ca="1" si="5"/>
        <v>#NAME?</v>
      </c>
      <c r="K20" s="100" t="e">
        <f t="shared" ca="1" si="6"/>
        <v>#NAME?</v>
      </c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 spans="1:26">
      <c r="A21" s="100" t="e">
        <f ca="1">IFERROR(__xludf.DUMMYFUNCTION("""COMPUTED_VALUE"""),14519773)</f>
        <v>#NAME?</v>
      </c>
      <c r="B21" s="100" t="e">
        <f ca="1">IFERROR(__xludf.DUMMYFUNCTION("""COMPUTED_VALUE"""),"waxlusdt")</f>
        <v>#NAME?</v>
      </c>
      <c r="C21" s="100" t="e">
        <f ca="1">IFERROR(__xludf.DUMMYFUNCTION("""COMPUTED_VALUE"""),"0.30449")</f>
        <v>#NAME?</v>
      </c>
      <c r="D21" s="100" t="e">
        <f t="shared" ca="1" si="0"/>
        <v>#NAME?</v>
      </c>
      <c r="E21" s="100" t="e">
        <f t="shared" ca="1" si="0"/>
        <v>#NAME?</v>
      </c>
      <c r="F21" s="100" t="e">
        <f t="shared" ca="1" si="1"/>
        <v>#NAME?</v>
      </c>
      <c r="G21" s="100" t="e">
        <f t="shared" ca="1" si="2"/>
        <v>#NAME?</v>
      </c>
      <c r="H21" s="100" t="e">
        <f t="shared" ca="1" si="3"/>
        <v>#NAME?</v>
      </c>
      <c r="I21" s="100" t="e">
        <f t="shared" ca="1" si="4"/>
        <v>#NAME?</v>
      </c>
      <c r="J21" s="100" t="e">
        <f t="shared" ca="1" si="5"/>
        <v>#NAME?</v>
      </c>
      <c r="K21" s="100" t="e">
        <f t="shared" ca="1" si="6"/>
        <v>#NAME?</v>
      </c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 spans="1:26">
      <c r="A22" s="100" t="e">
        <f ca="1">IFERROR(__xludf.DUMMYFUNCTION("""COMPUTED_VALUE"""),14519774)</f>
        <v>#NAME?</v>
      </c>
      <c r="B22" s="100" t="e">
        <f ca="1">IFERROR(__xludf.DUMMYFUNCTION("""COMPUTED_VALUE"""),"prclusdt")</f>
        <v>#NAME?</v>
      </c>
      <c r="C22" s="100" t="e">
        <f ca="1">IFERROR(__xludf.DUMMYFUNCTION("""COMPUTED_VALUE"""),"0.0672")</f>
        <v>#NAME?</v>
      </c>
      <c r="D22" s="100" t="e">
        <f t="shared" ref="D22:E41" ca="1" si="7">IFERROR(__xludf.DUMMYFUNCTION("""COMPUTED_VALUE"""),"-")</f>
        <v>#NAME?</v>
      </c>
      <c r="E22" s="100" t="e">
        <f t="shared" ca="1" si="7"/>
        <v>#NAME?</v>
      </c>
      <c r="F22" s="100" t="e">
        <f t="shared" ca="1" si="1"/>
        <v>#NAME?</v>
      </c>
      <c r="G22" s="100" t="e">
        <f t="shared" ca="1" si="2"/>
        <v>#NAME?</v>
      </c>
      <c r="H22" s="100" t="e">
        <f t="shared" ca="1" si="3"/>
        <v>#NAME?</v>
      </c>
      <c r="I22" s="100" t="e">
        <f t="shared" ca="1" si="4"/>
        <v>#NAME?</v>
      </c>
      <c r="J22" s="100" t="e">
        <f t="shared" ca="1" si="5"/>
        <v>#NAME?</v>
      </c>
      <c r="K22" s="100" t="e">
        <f t="shared" ca="1" si="6"/>
        <v>#NAME?</v>
      </c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 spans="1:26">
      <c r="A23" s="100" t="e">
        <f ca="1">IFERROR(__xludf.DUMMYFUNCTION("""COMPUTED_VALUE"""),14519775)</f>
        <v>#NAME?</v>
      </c>
      <c r="B23" s="100" t="e">
        <f ca="1">IFERROR(__xludf.DUMMYFUNCTION("""COMPUTED_VALUE"""),"gameusdt")</f>
        <v>#NAME?</v>
      </c>
      <c r="C23" s="100" t="e">
        <f ca="1">IFERROR(__xludf.DUMMYFUNCTION("""COMPUTED_VALUE"""),"0.003876")</f>
        <v>#NAME?</v>
      </c>
      <c r="D23" s="100" t="e">
        <f t="shared" ca="1" si="7"/>
        <v>#NAME?</v>
      </c>
      <c r="E23" s="100" t="e">
        <f t="shared" ca="1" si="7"/>
        <v>#NAME?</v>
      </c>
      <c r="F23" s="100" t="e">
        <f t="shared" ca="1" si="1"/>
        <v>#NAME?</v>
      </c>
      <c r="G23" s="100" t="e">
        <f t="shared" ca="1" si="2"/>
        <v>#NAME?</v>
      </c>
      <c r="H23" s="100" t="e">
        <f t="shared" ca="1" si="3"/>
        <v>#NAME?</v>
      </c>
      <c r="I23" s="100" t="e">
        <f t="shared" ca="1" si="4"/>
        <v>#NAME?</v>
      </c>
      <c r="J23" s="100" t="e">
        <f t="shared" ca="1" si="5"/>
        <v>#NAME?</v>
      </c>
      <c r="K23" s="100" t="e">
        <f t="shared" ca="1" si="6"/>
        <v>#NAME?</v>
      </c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 spans="1:26">
      <c r="A24" s="100" t="e">
        <f ca="1">IFERROR(__xludf.DUMMYFUNCTION("""COMPUTED_VALUE"""),14519776)</f>
        <v>#NAME?</v>
      </c>
      <c r="B24" s="100" t="e">
        <f ca="1">IFERROR(__xludf.DUMMYFUNCTION("""COMPUTED_VALUE"""),"luncusdt")</f>
        <v>#NAME?</v>
      </c>
      <c r="C24" s="100" t="e">
        <f ca="1">IFERROR(__xludf.DUMMYFUNCTION("""COMPUTED_VALUE"""),"5.988e-05")</f>
        <v>#NAME?</v>
      </c>
      <c r="D24" s="100" t="e">
        <f t="shared" ca="1" si="7"/>
        <v>#NAME?</v>
      </c>
      <c r="E24" s="100" t="e">
        <f t="shared" ca="1" si="7"/>
        <v>#NAME?</v>
      </c>
      <c r="F24" s="100" t="e">
        <f t="shared" ca="1" si="1"/>
        <v>#NAME?</v>
      </c>
      <c r="G24" s="100" t="e">
        <f t="shared" ca="1" si="2"/>
        <v>#NAME?</v>
      </c>
      <c r="H24" s="100" t="e">
        <f t="shared" ca="1" si="3"/>
        <v>#NAME?</v>
      </c>
      <c r="I24" s="100" t="e">
        <f t="shared" ca="1" si="4"/>
        <v>#NAME?</v>
      </c>
      <c r="J24" s="100" t="e">
        <f t="shared" ca="1" si="5"/>
        <v>#NAME?</v>
      </c>
      <c r="K24" s="100" t="e">
        <f t="shared" ca="1" si="6"/>
        <v>#NAME?</v>
      </c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 spans="1:26">
      <c r="A25" s="100" t="e">
        <f ca="1">IFERROR(__xludf.DUMMYFUNCTION("""COMPUTED_VALUE"""),14519777)</f>
        <v>#NAME?</v>
      </c>
      <c r="B25" s="100" t="e">
        <f ca="1">IFERROR(__xludf.DUMMYFUNCTION("""COMPUTED_VALUE"""),"ldousdt")</f>
        <v>#NAME?</v>
      </c>
      <c r="C25" s="100" t="e">
        <f ca="1">IFERROR(__xludf.DUMMYFUNCTION("""COMPUTED_VALUE"""),"0.7283")</f>
        <v>#NAME?</v>
      </c>
      <c r="D25" s="100" t="e">
        <f t="shared" ca="1" si="7"/>
        <v>#NAME?</v>
      </c>
      <c r="E25" s="100" t="e">
        <f t="shared" ca="1" si="7"/>
        <v>#NAME?</v>
      </c>
      <c r="F25" s="100" t="e">
        <f t="shared" ca="1" si="1"/>
        <v>#NAME?</v>
      </c>
      <c r="G25" s="100" t="e">
        <f t="shared" ca="1" si="2"/>
        <v>#NAME?</v>
      </c>
      <c r="H25" s="100" t="e">
        <f t="shared" ca="1" si="3"/>
        <v>#NAME?</v>
      </c>
      <c r="I25" s="100" t="e">
        <f t="shared" ca="1" si="4"/>
        <v>#NAME?</v>
      </c>
      <c r="J25" s="100" t="e">
        <f t="shared" ca="1" si="5"/>
        <v>#NAME?</v>
      </c>
      <c r="K25" s="100" t="e">
        <f t="shared" ca="1" si="6"/>
        <v>#NAME?</v>
      </c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 spans="1:26">
      <c r="A26" s="100" t="e">
        <f ca="1">IFERROR(__xludf.DUMMYFUNCTION("""COMPUTED_VALUE"""),14519778)</f>
        <v>#NAME?</v>
      </c>
      <c r="B26" s="100" t="e">
        <f ca="1">IFERROR(__xludf.DUMMYFUNCTION("""COMPUTED_VALUE"""),"aliceusdt")</f>
        <v>#NAME?</v>
      </c>
      <c r="C26" s="100" t="e">
        <f ca="1">IFERROR(__xludf.DUMMYFUNCTION("""COMPUTED_VALUE"""),"0.4296")</f>
        <v>#NAME?</v>
      </c>
      <c r="D26" s="100" t="e">
        <f t="shared" ca="1" si="7"/>
        <v>#NAME?</v>
      </c>
      <c r="E26" s="100" t="e">
        <f t="shared" ca="1" si="7"/>
        <v>#NAME?</v>
      </c>
      <c r="F26" s="100" t="e">
        <f t="shared" ca="1" si="1"/>
        <v>#NAME?</v>
      </c>
      <c r="G26" s="100" t="e">
        <f t="shared" ca="1" si="2"/>
        <v>#NAME?</v>
      </c>
      <c r="H26" s="100" t="e">
        <f t="shared" ca="1" si="3"/>
        <v>#NAME?</v>
      </c>
      <c r="I26" s="100" t="e">
        <f t="shared" ca="1" si="4"/>
        <v>#NAME?</v>
      </c>
      <c r="J26" s="100" t="e">
        <f t="shared" ca="1" si="5"/>
        <v>#NAME?</v>
      </c>
      <c r="K26" s="100" t="e">
        <f t="shared" ca="1" si="6"/>
        <v>#NAME?</v>
      </c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 spans="1:26">
      <c r="A27" s="100" t="e">
        <f ca="1">IFERROR(__xludf.DUMMYFUNCTION("""COMPUTED_VALUE"""),14519779)</f>
        <v>#NAME?</v>
      </c>
      <c r="B27" s="100" t="e">
        <f ca="1">IFERROR(__xludf.DUMMYFUNCTION("""COMPUTED_VALUE"""),"eigenusdt")</f>
        <v>#NAME?</v>
      </c>
      <c r="C27" s="100" t="e">
        <f ca="1">IFERROR(__xludf.DUMMYFUNCTION("""COMPUTED_VALUE"""),"0.845")</f>
        <v>#NAME?</v>
      </c>
      <c r="D27" s="100" t="e">
        <f t="shared" ca="1" si="7"/>
        <v>#NAME?</v>
      </c>
      <c r="E27" s="100" t="e">
        <f t="shared" ca="1" si="7"/>
        <v>#NAME?</v>
      </c>
      <c r="F27" s="100" t="e">
        <f t="shared" ca="1" si="1"/>
        <v>#NAME?</v>
      </c>
      <c r="G27" s="100" t="e">
        <f t="shared" ca="1" si="2"/>
        <v>#NAME?</v>
      </c>
      <c r="H27" s="100" t="e">
        <f t="shared" ca="1" si="3"/>
        <v>#NAME?</v>
      </c>
      <c r="I27" s="100" t="e">
        <f t="shared" ca="1" si="4"/>
        <v>#NAME?</v>
      </c>
      <c r="J27" s="100" t="e">
        <f t="shared" ca="1" si="5"/>
        <v>#NAME?</v>
      </c>
      <c r="K27" s="100" t="e">
        <f t="shared" ca="1" si="6"/>
        <v>#NAME?</v>
      </c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 spans="1:26">
      <c r="A28" s="100" t="e">
        <f ca="1">IFERROR(__xludf.DUMMYFUNCTION("""COMPUTED_VALUE"""),14519780)</f>
        <v>#NAME?</v>
      </c>
      <c r="B28" s="100" t="e">
        <f ca="1">IFERROR(__xludf.DUMMYFUNCTION("""COMPUTED_VALUE"""),"egpusdt")</f>
        <v>#NAME?</v>
      </c>
      <c r="C28" s="100" t="e">
        <f ca="1">IFERROR(__xludf.DUMMYFUNCTION("""COMPUTED_VALUE"""),"0.8488")</f>
        <v>#NAME?</v>
      </c>
      <c r="D28" s="100" t="e">
        <f t="shared" ca="1" si="7"/>
        <v>#NAME?</v>
      </c>
      <c r="E28" s="100" t="e">
        <f t="shared" ca="1" si="7"/>
        <v>#NAME?</v>
      </c>
      <c r="F28" s="100" t="e">
        <f t="shared" ca="1" si="1"/>
        <v>#NAME?</v>
      </c>
      <c r="G28" s="100" t="e">
        <f t="shared" ca="1" si="2"/>
        <v>#NAME?</v>
      </c>
      <c r="H28" s="100" t="e">
        <f t="shared" ca="1" si="3"/>
        <v>#NAME?</v>
      </c>
      <c r="I28" s="100" t="e">
        <f t="shared" ca="1" si="4"/>
        <v>#NAME?</v>
      </c>
      <c r="J28" s="100" t="e">
        <f t="shared" ca="1" si="5"/>
        <v>#NAME?</v>
      </c>
      <c r="K28" s="100" t="e">
        <f t="shared" ca="1" si="6"/>
        <v>#NAME?</v>
      </c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 spans="1:26">
      <c r="A29" s="100" t="e">
        <f ca="1">IFERROR(__xludf.DUMMYFUNCTION("""COMPUTED_VALUE"""),14519781)</f>
        <v>#NAME?</v>
      </c>
      <c r="B29" s="100" t="e">
        <f ca="1">IFERROR(__xludf.DUMMYFUNCTION("""COMPUTED_VALUE"""),"trempusdt")</f>
        <v>#NAME?</v>
      </c>
      <c r="C29" s="100" t="e">
        <f ca="1">IFERROR(__xludf.DUMMYFUNCTION("""COMPUTED_VALUE"""),"0.0226")</f>
        <v>#NAME?</v>
      </c>
      <c r="D29" s="100" t="e">
        <f t="shared" ca="1" si="7"/>
        <v>#NAME?</v>
      </c>
      <c r="E29" s="100" t="e">
        <f t="shared" ca="1" si="7"/>
        <v>#NAME?</v>
      </c>
      <c r="F29" s="100" t="e">
        <f t="shared" ca="1" si="1"/>
        <v>#NAME?</v>
      </c>
      <c r="G29" s="100" t="e">
        <f t="shared" ca="1" si="2"/>
        <v>#NAME?</v>
      </c>
      <c r="H29" s="100" t="e">
        <f t="shared" ca="1" si="3"/>
        <v>#NAME?</v>
      </c>
      <c r="I29" s="100" t="e">
        <f t="shared" ca="1" si="4"/>
        <v>#NAME?</v>
      </c>
      <c r="J29" s="100" t="e">
        <f t="shared" ca="1" si="5"/>
        <v>#NAME?</v>
      </c>
      <c r="K29" s="100" t="e">
        <f t="shared" ca="1" si="6"/>
        <v>#NAME?</v>
      </c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 spans="1:26">
      <c r="A30" s="100" t="e">
        <f ca="1">IFERROR(__xludf.DUMMYFUNCTION("""COMPUTED_VALUE"""),14519782)</f>
        <v>#NAME?</v>
      </c>
      <c r="B30" s="100" t="e">
        <f ca="1">IFERROR(__xludf.DUMMYFUNCTION("""COMPUTED_VALUE"""),"vpadusdt")</f>
        <v>#NAME?</v>
      </c>
      <c r="C30" s="100" t="e">
        <f ca="1">IFERROR(__xludf.DUMMYFUNCTION("""COMPUTED_VALUE"""),"0.004491")</f>
        <v>#NAME?</v>
      </c>
      <c r="D30" s="100" t="e">
        <f t="shared" ca="1" si="7"/>
        <v>#NAME?</v>
      </c>
      <c r="E30" s="100" t="e">
        <f t="shared" ca="1" si="7"/>
        <v>#NAME?</v>
      </c>
      <c r="F30" s="100" t="e">
        <f t="shared" ca="1" si="1"/>
        <v>#NAME?</v>
      </c>
      <c r="G30" s="100" t="e">
        <f t="shared" ca="1" si="2"/>
        <v>#NAME?</v>
      </c>
      <c r="H30" s="100" t="e">
        <f t="shared" ca="1" si="3"/>
        <v>#NAME?</v>
      </c>
      <c r="I30" s="100" t="e">
        <f t="shared" ca="1" si="4"/>
        <v>#NAME?</v>
      </c>
      <c r="J30" s="100" t="e">
        <f t="shared" ca="1" si="5"/>
        <v>#NAME?</v>
      </c>
      <c r="K30" s="100" t="e">
        <f t="shared" ca="1" si="6"/>
        <v>#NAME?</v>
      </c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 spans="1:26">
      <c r="A31" s="100" t="e">
        <f ca="1">IFERROR(__xludf.DUMMYFUNCTION("""COMPUTED_VALUE"""),14519783)</f>
        <v>#NAME?</v>
      </c>
      <c r="B31" s="100" t="e">
        <f ca="1">IFERROR(__xludf.DUMMYFUNCTION("""COMPUTED_VALUE"""),"cfxusdt")</f>
        <v>#NAME?</v>
      </c>
      <c r="C31" s="100" t="e">
        <f ca="1">IFERROR(__xludf.DUMMYFUNCTION("""COMPUTED_VALUE"""),"0.07158")</f>
        <v>#NAME?</v>
      </c>
      <c r="D31" s="100" t="e">
        <f t="shared" ca="1" si="7"/>
        <v>#NAME?</v>
      </c>
      <c r="E31" s="100" t="e">
        <f t="shared" ca="1" si="7"/>
        <v>#NAME?</v>
      </c>
      <c r="F31" s="100" t="e">
        <f t="shared" ca="1" si="1"/>
        <v>#NAME?</v>
      </c>
      <c r="G31" s="100" t="e">
        <f t="shared" ca="1" si="2"/>
        <v>#NAME?</v>
      </c>
      <c r="H31" s="100" t="e">
        <f t="shared" ca="1" si="3"/>
        <v>#NAME?</v>
      </c>
      <c r="I31" s="100" t="e">
        <f t="shared" ca="1" si="4"/>
        <v>#NAME?</v>
      </c>
      <c r="J31" s="100" t="e">
        <f t="shared" ca="1" si="5"/>
        <v>#NAME?</v>
      </c>
      <c r="K31" s="100" t="e">
        <f t="shared" ca="1" si="6"/>
        <v>#NAME?</v>
      </c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 spans="1:26">
      <c r="A32" s="100" t="e">
        <f ca="1">IFERROR(__xludf.DUMMYFUNCTION("""COMPUTED_VALUE"""),14519784)</f>
        <v>#NAME?</v>
      </c>
      <c r="B32" s="100" t="e">
        <f ca="1">IFERROR(__xludf.DUMMYFUNCTION("""COMPUTED_VALUE"""),"aaveusdt")</f>
        <v>#NAME?</v>
      </c>
      <c r="C32" s="100" t="e">
        <f ca="1">IFERROR(__xludf.DUMMYFUNCTION("""COMPUTED_VALUE"""),"146.7134")</f>
        <v>#NAME?</v>
      </c>
      <c r="D32" s="100" t="e">
        <f t="shared" ca="1" si="7"/>
        <v>#NAME?</v>
      </c>
      <c r="E32" s="100" t="e">
        <f t="shared" ca="1" si="7"/>
        <v>#NAME?</v>
      </c>
      <c r="F32" s="100" t="e">
        <f t="shared" ca="1" si="1"/>
        <v>#NAME?</v>
      </c>
      <c r="G32" s="100" t="e">
        <f t="shared" ca="1" si="2"/>
        <v>#NAME?</v>
      </c>
      <c r="H32" s="100" t="e">
        <f t="shared" ca="1" si="3"/>
        <v>#NAME?</v>
      </c>
      <c r="I32" s="100" t="e">
        <f t="shared" ca="1" si="4"/>
        <v>#NAME?</v>
      </c>
      <c r="J32" s="100" t="e">
        <f t="shared" ca="1" si="5"/>
        <v>#NAME?</v>
      </c>
      <c r="K32" s="100" t="e">
        <f t="shared" ca="1" si="6"/>
        <v>#NAME?</v>
      </c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 spans="1:26">
      <c r="A33" s="100" t="e">
        <f ca="1">IFERROR(__xludf.DUMMYFUNCTION("""COMPUTED_VALUE"""),14519785)</f>
        <v>#NAME?</v>
      </c>
      <c r="B33" s="100" t="e">
        <f ca="1">IFERROR(__xludf.DUMMYFUNCTION("""COMPUTED_VALUE"""),"ankrusdt")</f>
        <v>#NAME?</v>
      </c>
      <c r="C33" s="100" t="e">
        <f ca="1">IFERROR(__xludf.DUMMYFUNCTION("""COMPUTED_VALUE"""),"0.018453")</f>
        <v>#NAME?</v>
      </c>
      <c r="D33" s="100" t="e">
        <f t="shared" ca="1" si="7"/>
        <v>#NAME?</v>
      </c>
      <c r="E33" s="100" t="e">
        <f t="shared" ca="1" si="7"/>
        <v>#NAME?</v>
      </c>
      <c r="F33" s="100" t="e">
        <f t="shared" ca="1" si="1"/>
        <v>#NAME?</v>
      </c>
      <c r="G33" s="100" t="e">
        <f t="shared" ca="1" si="2"/>
        <v>#NAME?</v>
      </c>
      <c r="H33" s="100" t="e">
        <f t="shared" ca="1" si="3"/>
        <v>#NAME?</v>
      </c>
      <c r="I33" s="100" t="e">
        <f t="shared" ca="1" si="4"/>
        <v>#NAME?</v>
      </c>
      <c r="J33" s="100" t="e">
        <f t="shared" ca="1" si="5"/>
        <v>#NAME?</v>
      </c>
      <c r="K33" s="100" t="e">
        <f t="shared" ca="1" si="6"/>
        <v>#NAME?</v>
      </c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 spans="1:26">
      <c r="A34" s="100" t="e">
        <f ca="1">IFERROR(__xludf.DUMMYFUNCTION("""COMPUTED_VALUE"""),14519786)</f>
        <v>#NAME?</v>
      </c>
      <c r="B34" s="100" t="e">
        <f ca="1">IFERROR(__xludf.DUMMYFUNCTION("""COMPUTED_VALUE"""),"jstusdt")</f>
        <v>#NAME?</v>
      </c>
      <c r="C34" s="100" t="e">
        <f ca="1">IFERROR(__xludf.DUMMYFUNCTION("""COMPUTED_VALUE"""),"0.031371")</f>
        <v>#NAME?</v>
      </c>
      <c r="D34" s="100" t="e">
        <f t="shared" ca="1" si="7"/>
        <v>#NAME?</v>
      </c>
      <c r="E34" s="100" t="e">
        <f t="shared" ca="1" si="7"/>
        <v>#NAME?</v>
      </c>
      <c r="F34" s="100" t="e">
        <f t="shared" ca="1" si="1"/>
        <v>#NAME?</v>
      </c>
      <c r="G34" s="100" t="e">
        <f t="shared" ca="1" si="2"/>
        <v>#NAME?</v>
      </c>
      <c r="H34" s="100" t="e">
        <f t="shared" ca="1" si="3"/>
        <v>#NAME?</v>
      </c>
      <c r="I34" s="100" t="e">
        <f t="shared" ca="1" si="4"/>
        <v>#NAME?</v>
      </c>
      <c r="J34" s="100" t="e">
        <f t="shared" ca="1" si="5"/>
        <v>#NAME?</v>
      </c>
      <c r="K34" s="100" t="e">
        <f t="shared" ca="1" si="6"/>
        <v>#NAME?</v>
      </c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 spans="1:26">
      <c r="A35" s="100" t="e">
        <f ca="1">IFERROR(__xludf.DUMMYFUNCTION("""COMPUTED_VALUE"""),14519787)</f>
        <v>#NAME?</v>
      </c>
      <c r="B35" s="100" t="e">
        <f ca="1">IFERROR(__xludf.DUMMYFUNCTION("""COMPUTED_VALUE"""),"aiusdt")</f>
        <v>#NAME?</v>
      </c>
      <c r="C35" s="100" t="e">
        <f ca="1">IFERROR(__xludf.DUMMYFUNCTION("""COMPUTED_VALUE"""),"0.1516")</f>
        <v>#NAME?</v>
      </c>
      <c r="D35" s="100" t="e">
        <f t="shared" ca="1" si="7"/>
        <v>#NAME?</v>
      </c>
      <c r="E35" s="100" t="e">
        <f t="shared" ca="1" si="7"/>
        <v>#NAME?</v>
      </c>
      <c r="F35" s="100" t="e">
        <f t="shared" ca="1" si="1"/>
        <v>#NAME?</v>
      </c>
      <c r="G35" s="100" t="e">
        <f t="shared" ca="1" si="2"/>
        <v>#NAME?</v>
      </c>
      <c r="H35" s="100" t="e">
        <f t="shared" ca="1" si="3"/>
        <v>#NAME?</v>
      </c>
      <c r="I35" s="100" t="e">
        <f t="shared" ca="1" si="4"/>
        <v>#NAME?</v>
      </c>
      <c r="J35" s="100" t="e">
        <f t="shared" ca="1" si="5"/>
        <v>#NAME?</v>
      </c>
      <c r="K35" s="100" t="e">
        <f t="shared" ca="1" si="6"/>
        <v>#NAME?</v>
      </c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 spans="1:26">
      <c r="A36" s="100" t="e">
        <f ca="1">IFERROR(__xludf.DUMMYFUNCTION("""COMPUTED_VALUE"""),14519788)</f>
        <v>#NAME?</v>
      </c>
      <c r="B36" s="100" t="e">
        <f ca="1">IFERROR(__xludf.DUMMYFUNCTION("""COMPUTED_VALUE"""),"aktusdt")</f>
        <v>#NAME?</v>
      </c>
      <c r="C36" s="100" t="e">
        <f ca="1">IFERROR(__xludf.DUMMYFUNCTION("""COMPUTED_VALUE"""),"1.09")</f>
        <v>#NAME?</v>
      </c>
      <c r="D36" s="100" t="e">
        <f t="shared" ca="1" si="7"/>
        <v>#NAME?</v>
      </c>
      <c r="E36" s="100" t="e">
        <f t="shared" ca="1" si="7"/>
        <v>#NAME?</v>
      </c>
      <c r="F36" s="100" t="e">
        <f t="shared" ca="1" si="1"/>
        <v>#NAME?</v>
      </c>
      <c r="G36" s="100" t="e">
        <f t="shared" ca="1" si="2"/>
        <v>#NAME?</v>
      </c>
      <c r="H36" s="100" t="e">
        <f t="shared" ca="1" si="3"/>
        <v>#NAME?</v>
      </c>
      <c r="I36" s="100" t="e">
        <f t="shared" ca="1" si="4"/>
        <v>#NAME?</v>
      </c>
      <c r="J36" s="100" t="e">
        <f t="shared" ca="1" si="5"/>
        <v>#NAME?</v>
      </c>
      <c r="K36" s="100" t="e">
        <f t="shared" ca="1" si="6"/>
        <v>#NAME?</v>
      </c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 spans="1:26">
      <c r="A37" s="100" t="e">
        <f ca="1">IFERROR(__xludf.DUMMYFUNCTION("""COMPUTED_VALUE"""),14519789)</f>
        <v>#NAME?</v>
      </c>
      <c r="B37" s="100" t="e">
        <f ca="1">IFERROR(__xludf.DUMMYFUNCTION("""COMPUTED_VALUE"""),"diousdt")</f>
        <v>#NAME?</v>
      </c>
      <c r="C37" s="100" t="e">
        <f ca="1">IFERROR(__xludf.DUMMYFUNCTION("""COMPUTED_VALUE"""),"0.003645")</f>
        <v>#NAME?</v>
      </c>
      <c r="D37" s="100" t="e">
        <f t="shared" ca="1" si="7"/>
        <v>#NAME?</v>
      </c>
      <c r="E37" s="100" t="e">
        <f t="shared" ca="1" si="7"/>
        <v>#NAME?</v>
      </c>
      <c r="F37" s="100" t="e">
        <f t="shared" ca="1" si="1"/>
        <v>#NAME?</v>
      </c>
      <c r="G37" s="100" t="e">
        <f t="shared" ca="1" si="2"/>
        <v>#NAME?</v>
      </c>
      <c r="H37" s="100" t="e">
        <f t="shared" ca="1" si="3"/>
        <v>#NAME?</v>
      </c>
      <c r="I37" s="100" t="e">
        <f t="shared" ca="1" si="4"/>
        <v>#NAME?</v>
      </c>
      <c r="J37" s="100" t="e">
        <f t="shared" ca="1" si="5"/>
        <v>#NAME?</v>
      </c>
      <c r="K37" s="100" t="e">
        <f t="shared" ca="1" si="6"/>
        <v>#NAME?</v>
      </c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 spans="1:26">
      <c r="A38" s="100" t="e">
        <f ca="1">IFERROR(__xludf.DUMMYFUNCTION("""COMPUTED_VALUE"""),14519790)</f>
        <v>#NAME?</v>
      </c>
      <c r="B38" s="100" t="e">
        <f ca="1">IFERROR(__xludf.DUMMYFUNCTION("""COMPUTED_VALUE"""),"pbuxusdt")</f>
        <v>#NAME?</v>
      </c>
      <c r="C38" s="100" t="e">
        <f ca="1">IFERROR(__xludf.DUMMYFUNCTION("""COMPUTED_VALUE"""),"0.00339")</f>
        <v>#NAME?</v>
      </c>
      <c r="D38" s="100" t="e">
        <f t="shared" ca="1" si="7"/>
        <v>#NAME?</v>
      </c>
      <c r="E38" s="100" t="e">
        <f t="shared" ca="1" si="7"/>
        <v>#NAME?</v>
      </c>
      <c r="F38" s="100" t="e">
        <f t="shared" ca="1" si="1"/>
        <v>#NAME?</v>
      </c>
      <c r="G38" s="100" t="e">
        <f t="shared" ca="1" si="2"/>
        <v>#NAME?</v>
      </c>
      <c r="H38" s="100" t="e">
        <f t="shared" ca="1" si="3"/>
        <v>#NAME?</v>
      </c>
      <c r="I38" s="100" t="e">
        <f t="shared" ca="1" si="4"/>
        <v>#NAME?</v>
      </c>
      <c r="J38" s="100" t="e">
        <f t="shared" ca="1" si="5"/>
        <v>#NAME?</v>
      </c>
      <c r="K38" s="100" t="e">
        <f t="shared" ca="1" si="6"/>
        <v>#NAME?</v>
      </c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 spans="1:26">
      <c r="A39" s="100" t="e">
        <f ca="1">IFERROR(__xludf.DUMMYFUNCTION("""COMPUTED_VALUE"""),14519791)</f>
        <v>#NAME?</v>
      </c>
      <c r="B39" s="100" t="e">
        <f ca="1">IFERROR(__xludf.DUMMYFUNCTION("""COMPUTED_VALUE"""),"tomiusdt")</f>
        <v>#NAME?</v>
      </c>
      <c r="C39" s="100" t="e">
        <f ca="1">IFERROR(__xludf.DUMMYFUNCTION("""COMPUTED_VALUE"""),"0.00165")</f>
        <v>#NAME?</v>
      </c>
      <c r="D39" s="100" t="e">
        <f t="shared" ca="1" si="7"/>
        <v>#NAME?</v>
      </c>
      <c r="E39" s="100" t="e">
        <f t="shared" ca="1" si="7"/>
        <v>#NAME?</v>
      </c>
      <c r="F39" s="100" t="e">
        <f t="shared" ca="1" si="1"/>
        <v>#NAME?</v>
      </c>
      <c r="G39" s="100" t="e">
        <f t="shared" ca="1" si="2"/>
        <v>#NAME?</v>
      </c>
      <c r="H39" s="100" t="e">
        <f t="shared" ca="1" si="3"/>
        <v>#NAME?</v>
      </c>
      <c r="I39" s="100" t="e">
        <f t="shared" ca="1" si="4"/>
        <v>#NAME?</v>
      </c>
      <c r="J39" s="100" t="e">
        <f t="shared" ca="1" si="5"/>
        <v>#NAME?</v>
      </c>
      <c r="K39" s="100" t="e">
        <f t="shared" ca="1" si="6"/>
        <v>#NAME?</v>
      </c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 spans="1:26">
      <c r="A40" s="100" t="e">
        <f ca="1">IFERROR(__xludf.DUMMYFUNCTION("""COMPUTED_VALUE"""),14519792)</f>
        <v>#NAME?</v>
      </c>
      <c r="B40" s="100" t="e">
        <f ca="1">IFERROR(__xludf.DUMMYFUNCTION("""COMPUTED_VALUE"""),"zeususdt")</f>
        <v>#NAME?</v>
      </c>
      <c r="C40" s="100" t="e">
        <f ca="1">IFERROR(__xludf.DUMMYFUNCTION("""COMPUTED_VALUE"""),"0.2522")</f>
        <v>#NAME?</v>
      </c>
      <c r="D40" s="100" t="e">
        <f t="shared" ca="1" si="7"/>
        <v>#NAME?</v>
      </c>
      <c r="E40" s="100" t="e">
        <f t="shared" ca="1" si="7"/>
        <v>#NAME?</v>
      </c>
      <c r="F40" s="100" t="e">
        <f t="shared" ca="1" si="1"/>
        <v>#NAME?</v>
      </c>
      <c r="G40" s="100" t="e">
        <f t="shared" ca="1" si="2"/>
        <v>#NAME?</v>
      </c>
      <c r="H40" s="100" t="e">
        <f t="shared" ca="1" si="3"/>
        <v>#NAME?</v>
      </c>
      <c r="I40" s="100" t="e">
        <f t="shared" ca="1" si="4"/>
        <v>#NAME?</v>
      </c>
      <c r="J40" s="100" t="e">
        <f t="shared" ca="1" si="5"/>
        <v>#NAME?</v>
      </c>
      <c r="K40" s="100" t="e">
        <f t="shared" ca="1" si="6"/>
        <v>#NAME?</v>
      </c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 spans="1:26">
      <c r="A41" s="100" t="e">
        <f ca="1">IFERROR(__xludf.DUMMYFUNCTION("""COMPUTED_VALUE"""),14519793)</f>
        <v>#NAME?</v>
      </c>
      <c r="B41" s="100" t="e">
        <f ca="1">IFERROR(__xludf.DUMMYFUNCTION("""COMPUTED_VALUE"""),"wifiusdt")</f>
        <v>#NAME?</v>
      </c>
      <c r="C41" s="100" t="e">
        <f ca="1">IFERROR(__xludf.DUMMYFUNCTION("""COMPUTED_VALUE"""),"0.010002")</f>
        <v>#NAME?</v>
      </c>
      <c r="D41" s="100" t="e">
        <f t="shared" ca="1" si="7"/>
        <v>#NAME?</v>
      </c>
      <c r="E41" s="100" t="e">
        <f t="shared" ca="1" si="7"/>
        <v>#NAME?</v>
      </c>
      <c r="F41" s="100" t="e">
        <f t="shared" ca="1" si="1"/>
        <v>#NAME?</v>
      </c>
      <c r="G41" s="100" t="e">
        <f t="shared" ca="1" si="2"/>
        <v>#NAME?</v>
      </c>
      <c r="H41" s="100" t="e">
        <f t="shared" ca="1" si="3"/>
        <v>#NAME?</v>
      </c>
      <c r="I41" s="100" t="e">
        <f t="shared" ca="1" si="4"/>
        <v>#NAME?</v>
      </c>
      <c r="J41" s="100" t="e">
        <f t="shared" ca="1" si="5"/>
        <v>#NAME?</v>
      </c>
      <c r="K41" s="100" t="e">
        <f t="shared" ca="1" si="6"/>
        <v>#NAME?</v>
      </c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 spans="1:26">
      <c r="A42" s="100" t="e">
        <f ca="1">IFERROR(__xludf.DUMMYFUNCTION("""COMPUTED_VALUE"""),14519794)</f>
        <v>#NAME?</v>
      </c>
      <c r="B42" s="100" t="e">
        <f ca="1">IFERROR(__xludf.DUMMYFUNCTION("""COMPUTED_VALUE"""),"vrausdt")</f>
        <v>#NAME?</v>
      </c>
      <c r="C42" s="100" t="e">
        <f ca="1">IFERROR(__xludf.DUMMYFUNCTION("""COMPUTED_VALUE"""),"0.001309")</f>
        <v>#NAME?</v>
      </c>
      <c r="D42" s="100" t="e">
        <f t="shared" ref="D42:E61" ca="1" si="8">IFERROR(__xludf.DUMMYFUNCTION("""COMPUTED_VALUE"""),"-")</f>
        <v>#NAME?</v>
      </c>
      <c r="E42" s="100" t="e">
        <f t="shared" ca="1" si="8"/>
        <v>#NAME?</v>
      </c>
      <c r="F42" s="100" t="e">
        <f t="shared" ca="1" si="1"/>
        <v>#NAME?</v>
      </c>
      <c r="G42" s="100" t="e">
        <f t="shared" ca="1" si="2"/>
        <v>#NAME?</v>
      </c>
      <c r="H42" s="100" t="e">
        <f t="shared" ca="1" si="3"/>
        <v>#NAME?</v>
      </c>
      <c r="I42" s="100" t="e">
        <f t="shared" ca="1" si="4"/>
        <v>#NAME?</v>
      </c>
      <c r="J42" s="100" t="e">
        <f t="shared" ca="1" si="5"/>
        <v>#NAME?</v>
      </c>
      <c r="K42" s="100" t="e">
        <f t="shared" ca="1" si="6"/>
        <v>#NAME?</v>
      </c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 spans="1:26">
      <c r="A43" s="100" t="e">
        <f ca="1">IFERROR(__xludf.DUMMYFUNCTION("""COMPUTED_VALUE"""),14519795)</f>
        <v>#NAME?</v>
      </c>
      <c r="B43" s="100" t="e">
        <f ca="1">IFERROR(__xludf.DUMMYFUNCTION("""COMPUTED_VALUE"""),"truusdt")</f>
        <v>#NAME?</v>
      </c>
      <c r="C43" s="100" t="e">
        <f ca="1">IFERROR(__xludf.DUMMYFUNCTION("""COMPUTED_VALUE"""),"0.03482")</f>
        <v>#NAME?</v>
      </c>
      <c r="D43" s="100" t="e">
        <f t="shared" ca="1" si="8"/>
        <v>#NAME?</v>
      </c>
      <c r="E43" s="100" t="e">
        <f t="shared" ca="1" si="8"/>
        <v>#NAME?</v>
      </c>
      <c r="F43" s="100" t="e">
        <f t="shared" ca="1" si="1"/>
        <v>#NAME?</v>
      </c>
      <c r="G43" s="100" t="e">
        <f t="shared" ca="1" si="2"/>
        <v>#NAME?</v>
      </c>
      <c r="H43" s="100" t="e">
        <f t="shared" ca="1" si="3"/>
        <v>#NAME?</v>
      </c>
      <c r="I43" s="100" t="e">
        <f t="shared" ca="1" si="4"/>
        <v>#NAME?</v>
      </c>
      <c r="J43" s="100" t="e">
        <f t="shared" ca="1" si="5"/>
        <v>#NAME?</v>
      </c>
      <c r="K43" s="100" t="e">
        <f t="shared" ca="1" si="6"/>
        <v>#NAME?</v>
      </c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 spans="1:26">
      <c r="A44" s="100" t="e">
        <f ca="1">IFERROR(__xludf.DUMMYFUNCTION("""COMPUTED_VALUE"""),14519796)</f>
        <v>#NAME?</v>
      </c>
      <c r="B44" s="100" t="e">
        <f ca="1">IFERROR(__xludf.DUMMYFUNCTION("""COMPUTED_VALUE"""),"wsdmusdt")</f>
        <v>#NAME?</v>
      </c>
      <c r="C44" s="100" t="e">
        <f ca="1">IFERROR(__xludf.DUMMYFUNCTION("""COMPUTED_VALUE"""),"0.004169")</f>
        <v>#NAME?</v>
      </c>
      <c r="D44" s="100" t="e">
        <f t="shared" ca="1" si="8"/>
        <v>#NAME?</v>
      </c>
      <c r="E44" s="100" t="e">
        <f t="shared" ca="1" si="8"/>
        <v>#NAME?</v>
      </c>
      <c r="F44" s="100" t="e">
        <f t="shared" ca="1" si="1"/>
        <v>#NAME?</v>
      </c>
      <c r="G44" s="100" t="e">
        <f t="shared" ca="1" si="2"/>
        <v>#NAME?</v>
      </c>
      <c r="H44" s="100" t="e">
        <f t="shared" ca="1" si="3"/>
        <v>#NAME?</v>
      </c>
      <c r="I44" s="100" t="e">
        <f t="shared" ca="1" si="4"/>
        <v>#NAME?</v>
      </c>
      <c r="J44" s="100" t="e">
        <f t="shared" ca="1" si="5"/>
        <v>#NAME?</v>
      </c>
      <c r="K44" s="100" t="e">
        <f t="shared" ca="1" si="6"/>
        <v>#NAME?</v>
      </c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 spans="1:26">
      <c r="A45" s="100" t="e">
        <f ca="1">IFERROR(__xludf.DUMMYFUNCTION("""COMPUTED_VALUE"""),14519797)</f>
        <v>#NAME?</v>
      </c>
      <c r="B45" s="100" t="e">
        <f ca="1">IFERROR(__xludf.DUMMYFUNCTION("""COMPUTED_VALUE"""),"tronbullusdt")</f>
        <v>#NAME?</v>
      </c>
      <c r="C45" s="100" t="e">
        <f ca="1">IFERROR(__xludf.DUMMYFUNCTION("""COMPUTED_VALUE"""),"0.00445")</f>
        <v>#NAME?</v>
      </c>
      <c r="D45" s="100" t="e">
        <f t="shared" ca="1" si="8"/>
        <v>#NAME?</v>
      </c>
      <c r="E45" s="100" t="e">
        <f t="shared" ca="1" si="8"/>
        <v>#NAME?</v>
      </c>
      <c r="F45" s="100" t="e">
        <f t="shared" ca="1" si="1"/>
        <v>#NAME?</v>
      </c>
      <c r="G45" s="100" t="e">
        <f t="shared" ca="1" si="2"/>
        <v>#NAME?</v>
      </c>
      <c r="H45" s="100" t="e">
        <f t="shared" ca="1" si="3"/>
        <v>#NAME?</v>
      </c>
      <c r="I45" s="100" t="e">
        <f t="shared" ca="1" si="4"/>
        <v>#NAME?</v>
      </c>
      <c r="J45" s="100" t="e">
        <f t="shared" ca="1" si="5"/>
        <v>#NAME?</v>
      </c>
      <c r="K45" s="100" t="e">
        <f t="shared" ca="1" si="6"/>
        <v>#NAME?</v>
      </c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 spans="1:26">
      <c r="A46" s="100" t="e">
        <f ca="1">IFERROR(__xludf.DUMMYFUNCTION("""COMPUTED_VALUE"""),14519798)</f>
        <v>#NAME?</v>
      </c>
      <c r="B46" s="100" t="e">
        <f ca="1">IFERROR(__xludf.DUMMYFUNCTION("""COMPUTED_VALUE"""),"wanbtc")</f>
        <v>#NAME?</v>
      </c>
      <c r="C46" s="100" t="e">
        <f ca="1">IFERROR(__xludf.DUMMYFUNCTION("""COMPUTED_VALUE"""),"1.23e-06")</f>
        <v>#NAME?</v>
      </c>
      <c r="D46" s="100" t="e">
        <f t="shared" ca="1" si="8"/>
        <v>#NAME?</v>
      </c>
      <c r="E46" s="100" t="e">
        <f t="shared" ca="1" si="8"/>
        <v>#NAME?</v>
      </c>
      <c r="F46" s="100" t="e">
        <f t="shared" ca="1" si="1"/>
        <v>#NAME?</v>
      </c>
      <c r="G46" s="100" t="e">
        <f t="shared" ca="1" si="2"/>
        <v>#NAME?</v>
      </c>
      <c r="H46" s="100" t="e">
        <f t="shared" ca="1" si="3"/>
        <v>#NAME?</v>
      </c>
      <c r="I46" s="100" t="e">
        <f t="shared" ca="1" si="4"/>
        <v>#NAME?</v>
      </c>
      <c r="J46" s="100" t="e">
        <f t="shared" ca="1" si="5"/>
        <v>#NAME?</v>
      </c>
      <c r="K46" s="100" t="e">
        <f t="shared" ca="1" si="6"/>
        <v>#NAME?</v>
      </c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 spans="1:26">
      <c r="A47" s="100" t="e">
        <f ca="1">IFERROR(__xludf.DUMMYFUNCTION("""COMPUTED_VALUE"""),14519799)</f>
        <v>#NAME?</v>
      </c>
      <c r="B47" s="100" t="e">
        <f ca="1">IFERROR(__xludf.DUMMYFUNCTION("""COMPUTED_VALUE"""),"acheth")</f>
        <v>#NAME?</v>
      </c>
      <c r="C47" s="100" t="e">
        <f ca="1">IFERROR(__xludf.DUMMYFUNCTION("""COMPUTED_VALUE"""),"1.596e-05")</f>
        <v>#NAME?</v>
      </c>
      <c r="D47" s="100" t="e">
        <f t="shared" ca="1" si="8"/>
        <v>#NAME?</v>
      </c>
      <c r="E47" s="100" t="e">
        <f t="shared" ca="1" si="8"/>
        <v>#NAME?</v>
      </c>
      <c r="F47" s="100" t="e">
        <f t="shared" ca="1" si="1"/>
        <v>#NAME?</v>
      </c>
      <c r="G47" s="100" t="e">
        <f t="shared" ca="1" si="2"/>
        <v>#NAME?</v>
      </c>
      <c r="H47" s="100" t="e">
        <f t="shared" ca="1" si="3"/>
        <v>#NAME?</v>
      </c>
      <c r="I47" s="100" t="e">
        <f t="shared" ca="1" si="4"/>
        <v>#NAME?</v>
      </c>
      <c r="J47" s="100" t="e">
        <f t="shared" ca="1" si="5"/>
        <v>#NAME?</v>
      </c>
      <c r="K47" s="100" t="e">
        <f t="shared" ca="1" si="6"/>
        <v>#NAME?</v>
      </c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 spans="1:26">
      <c r="A48" s="100" t="e">
        <f ca="1">IFERROR(__xludf.DUMMYFUNCTION("""COMPUTED_VALUE"""),14519800)</f>
        <v>#NAME?</v>
      </c>
      <c r="B48" s="100" t="e">
        <f ca="1">IFERROR(__xludf.DUMMYFUNCTION("""COMPUTED_VALUE"""),"cereusdt")</f>
        <v>#NAME?</v>
      </c>
      <c r="C48" s="100" t="e">
        <f ca="1">IFERROR(__xludf.DUMMYFUNCTION("""COMPUTED_VALUE"""),"0.001146")</f>
        <v>#NAME?</v>
      </c>
      <c r="D48" s="100" t="e">
        <f t="shared" ca="1" si="8"/>
        <v>#NAME?</v>
      </c>
      <c r="E48" s="100" t="e">
        <f t="shared" ca="1" si="8"/>
        <v>#NAME?</v>
      </c>
      <c r="F48" s="100" t="e">
        <f t="shared" ca="1" si="1"/>
        <v>#NAME?</v>
      </c>
      <c r="G48" s="100" t="e">
        <f t="shared" ca="1" si="2"/>
        <v>#NAME?</v>
      </c>
      <c r="H48" s="100" t="e">
        <f t="shared" ca="1" si="3"/>
        <v>#NAME?</v>
      </c>
      <c r="I48" s="100" t="e">
        <f t="shared" ca="1" si="4"/>
        <v>#NAME?</v>
      </c>
      <c r="J48" s="100" t="e">
        <f t="shared" ca="1" si="5"/>
        <v>#NAME?</v>
      </c>
      <c r="K48" s="100" t="e">
        <f t="shared" ca="1" si="6"/>
        <v>#NAME?</v>
      </c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 spans="1:26">
      <c r="A49" s="100" t="e">
        <f ca="1">IFERROR(__xludf.DUMMYFUNCTION("""COMPUTED_VALUE"""),14519801)</f>
        <v>#NAME?</v>
      </c>
      <c r="B49" s="100" t="e">
        <f ca="1">IFERROR(__xludf.DUMMYFUNCTION("""COMPUTED_VALUE"""),"diausdt")</f>
        <v>#NAME?</v>
      </c>
      <c r="C49" s="100" t="e">
        <f ca="1">IFERROR(__xludf.DUMMYFUNCTION("""COMPUTED_VALUE"""),"0.4019")</f>
        <v>#NAME?</v>
      </c>
      <c r="D49" s="100" t="e">
        <f t="shared" ca="1" si="8"/>
        <v>#NAME?</v>
      </c>
      <c r="E49" s="100" t="e">
        <f t="shared" ca="1" si="8"/>
        <v>#NAME?</v>
      </c>
      <c r="F49" s="100" t="e">
        <f t="shared" ca="1" si="1"/>
        <v>#NAME?</v>
      </c>
      <c r="G49" s="100" t="e">
        <f t="shared" ca="1" si="2"/>
        <v>#NAME?</v>
      </c>
      <c r="H49" s="100" t="e">
        <f t="shared" ca="1" si="3"/>
        <v>#NAME?</v>
      </c>
      <c r="I49" s="100" t="e">
        <f t="shared" ca="1" si="4"/>
        <v>#NAME?</v>
      </c>
      <c r="J49" s="100" t="e">
        <f t="shared" ca="1" si="5"/>
        <v>#NAME?</v>
      </c>
      <c r="K49" s="100" t="e">
        <f t="shared" ca="1" si="6"/>
        <v>#NAME?</v>
      </c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 spans="1:26">
      <c r="A50" s="100" t="e">
        <f ca="1">IFERROR(__xludf.DUMMYFUNCTION("""COMPUTED_VALUE"""),14519802)</f>
        <v>#NAME?</v>
      </c>
      <c r="B50" s="100" t="e">
        <f ca="1">IFERROR(__xludf.DUMMYFUNCTION("""COMPUTED_VALUE"""),"dogeusdt")</f>
        <v>#NAME?</v>
      </c>
      <c r="C50" s="100" t="e">
        <f ca="1">IFERROR(__xludf.DUMMYFUNCTION("""COMPUTED_VALUE"""),"0.163715")</f>
        <v>#NAME?</v>
      </c>
      <c r="D50" s="100" t="e">
        <f t="shared" ca="1" si="8"/>
        <v>#NAME?</v>
      </c>
      <c r="E50" s="100" t="e">
        <f t="shared" ca="1" si="8"/>
        <v>#NAME?</v>
      </c>
      <c r="F50" s="100" t="e">
        <f t="shared" ca="1" si="1"/>
        <v>#NAME?</v>
      </c>
      <c r="G50" s="100" t="e">
        <f t="shared" ca="1" si="2"/>
        <v>#NAME?</v>
      </c>
      <c r="H50" s="100" t="e">
        <f t="shared" ca="1" si="3"/>
        <v>#NAME?</v>
      </c>
      <c r="I50" s="100" t="e">
        <f t="shared" ca="1" si="4"/>
        <v>#NAME?</v>
      </c>
      <c r="J50" s="100" t="e">
        <f t="shared" ca="1" si="5"/>
        <v>#NAME?</v>
      </c>
      <c r="K50" s="100" t="e">
        <f t="shared" ca="1" si="6"/>
        <v>#NAME?</v>
      </c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 spans="1:26">
      <c r="A51" s="100" t="e">
        <f ca="1">IFERROR(__xludf.DUMMYFUNCTION("""COMPUTED_VALUE"""),14519803)</f>
        <v>#NAME?</v>
      </c>
      <c r="B51" s="100" t="e">
        <f ca="1">IFERROR(__xludf.DUMMYFUNCTION("""COMPUTED_VALUE"""),"dymusdt")</f>
        <v>#NAME?</v>
      </c>
      <c r="C51" s="100" t="e">
        <f ca="1">IFERROR(__xludf.DUMMYFUNCTION("""COMPUTED_VALUE"""),"0.275")</f>
        <v>#NAME?</v>
      </c>
      <c r="D51" s="100" t="e">
        <f t="shared" ca="1" si="8"/>
        <v>#NAME?</v>
      </c>
      <c r="E51" s="100" t="e">
        <f t="shared" ca="1" si="8"/>
        <v>#NAME?</v>
      </c>
      <c r="F51" s="100" t="e">
        <f t="shared" ca="1" si="1"/>
        <v>#NAME?</v>
      </c>
      <c r="G51" s="100" t="e">
        <f t="shared" ca="1" si="2"/>
        <v>#NAME?</v>
      </c>
      <c r="H51" s="100" t="e">
        <f t="shared" ca="1" si="3"/>
        <v>#NAME?</v>
      </c>
      <c r="I51" s="100" t="e">
        <f t="shared" ca="1" si="4"/>
        <v>#NAME?</v>
      </c>
      <c r="J51" s="100" t="e">
        <f t="shared" ca="1" si="5"/>
        <v>#NAME?</v>
      </c>
      <c r="K51" s="100" t="e">
        <f t="shared" ca="1" si="6"/>
        <v>#NAME?</v>
      </c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 spans="1:26">
      <c r="A52" s="100" t="e">
        <f ca="1">IFERROR(__xludf.DUMMYFUNCTION("""COMPUTED_VALUE"""),14519804)</f>
        <v>#NAME?</v>
      </c>
      <c r="B52" s="100" t="e">
        <f ca="1">IFERROR(__xludf.DUMMYFUNCTION("""COMPUTED_VALUE"""),"zenusdt")</f>
        <v>#NAME?</v>
      </c>
      <c r="C52" s="100" t="e">
        <f ca="1">IFERROR(__xludf.DUMMYFUNCTION("""COMPUTED_VALUE"""),"8.6465")</f>
        <v>#NAME?</v>
      </c>
      <c r="D52" s="100" t="e">
        <f t="shared" ca="1" si="8"/>
        <v>#NAME?</v>
      </c>
      <c r="E52" s="100" t="e">
        <f t="shared" ca="1" si="8"/>
        <v>#NAME?</v>
      </c>
      <c r="F52" s="100" t="e">
        <f t="shared" ca="1" si="1"/>
        <v>#NAME?</v>
      </c>
      <c r="G52" s="100" t="e">
        <f t="shared" ca="1" si="2"/>
        <v>#NAME?</v>
      </c>
      <c r="H52" s="100" t="e">
        <f t="shared" ca="1" si="3"/>
        <v>#NAME?</v>
      </c>
      <c r="I52" s="100" t="e">
        <f t="shared" ca="1" si="4"/>
        <v>#NAME?</v>
      </c>
      <c r="J52" s="100" t="e">
        <f t="shared" ca="1" si="5"/>
        <v>#NAME?</v>
      </c>
      <c r="K52" s="100" t="e">
        <f t="shared" ca="1" si="6"/>
        <v>#NAME?</v>
      </c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 spans="1:26">
      <c r="A53" s="100" t="e">
        <f ca="1">IFERROR(__xludf.DUMMYFUNCTION("""COMPUTED_VALUE"""),14519805)</f>
        <v>#NAME?</v>
      </c>
      <c r="B53" s="100" t="e">
        <f ca="1">IFERROR(__xludf.DUMMYFUNCTION("""COMPUTED_VALUE"""),"radusdt")</f>
        <v>#NAME?</v>
      </c>
      <c r="C53" s="100" t="e">
        <f ca="1">IFERROR(__xludf.DUMMYFUNCTION("""COMPUTED_VALUE"""),"0.7419")</f>
        <v>#NAME?</v>
      </c>
      <c r="D53" s="100" t="e">
        <f t="shared" ca="1" si="8"/>
        <v>#NAME?</v>
      </c>
      <c r="E53" s="100" t="e">
        <f t="shared" ca="1" si="8"/>
        <v>#NAME?</v>
      </c>
      <c r="F53" s="100" t="e">
        <f t="shared" ca="1" si="1"/>
        <v>#NAME?</v>
      </c>
      <c r="G53" s="100" t="e">
        <f t="shared" ca="1" si="2"/>
        <v>#NAME?</v>
      </c>
      <c r="H53" s="100" t="e">
        <f t="shared" ca="1" si="3"/>
        <v>#NAME?</v>
      </c>
      <c r="I53" s="100" t="e">
        <f t="shared" ca="1" si="4"/>
        <v>#NAME?</v>
      </c>
      <c r="J53" s="100" t="e">
        <f t="shared" ca="1" si="5"/>
        <v>#NAME?</v>
      </c>
      <c r="K53" s="100" t="e">
        <f t="shared" ca="1" si="6"/>
        <v>#NAME?</v>
      </c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 spans="1:26">
      <c r="A54" s="100" t="e">
        <f ca="1">IFERROR(__xludf.DUMMYFUNCTION("""COMPUTED_VALUE"""),14519806)</f>
        <v>#NAME?</v>
      </c>
      <c r="B54" s="100" t="e">
        <f ca="1">IFERROR(__xludf.DUMMYFUNCTION("""COMPUTED_VALUE"""),"sdusdt")</f>
        <v>#NAME?</v>
      </c>
      <c r="C54" s="100" t="e">
        <f ca="1">IFERROR(__xludf.DUMMYFUNCTION("""COMPUTED_VALUE"""),"0.4702")</f>
        <v>#NAME?</v>
      </c>
      <c r="D54" s="100" t="e">
        <f t="shared" ca="1" si="8"/>
        <v>#NAME?</v>
      </c>
      <c r="E54" s="100" t="e">
        <f t="shared" ca="1" si="8"/>
        <v>#NAME?</v>
      </c>
      <c r="F54" s="100" t="e">
        <f t="shared" ca="1" si="1"/>
        <v>#NAME?</v>
      </c>
      <c r="G54" s="100" t="e">
        <f t="shared" ca="1" si="2"/>
        <v>#NAME?</v>
      </c>
      <c r="H54" s="100" t="e">
        <f t="shared" ca="1" si="3"/>
        <v>#NAME?</v>
      </c>
      <c r="I54" s="100" t="e">
        <f t="shared" ca="1" si="4"/>
        <v>#NAME?</v>
      </c>
      <c r="J54" s="100" t="e">
        <f t="shared" ca="1" si="5"/>
        <v>#NAME?</v>
      </c>
      <c r="K54" s="100" t="e">
        <f t="shared" ca="1" si="6"/>
        <v>#NAME?</v>
      </c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 spans="1:26">
      <c r="A55" s="100" t="e">
        <f ca="1">IFERROR(__xludf.DUMMYFUNCTION("""COMPUTED_VALUE"""),14519807)</f>
        <v>#NAME?</v>
      </c>
      <c r="B55" s="100" t="e">
        <f ca="1">IFERROR(__xludf.DUMMYFUNCTION("""COMPUTED_VALUE"""),"reefusdt")</f>
        <v>#NAME?</v>
      </c>
      <c r="C55" s="100" t="e">
        <f ca="1">IFERROR(__xludf.DUMMYFUNCTION("""COMPUTED_VALUE"""),"0.00044")</f>
        <v>#NAME?</v>
      </c>
      <c r="D55" s="100" t="e">
        <f t="shared" ca="1" si="8"/>
        <v>#NAME?</v>
      </c>
      <c r="E55" s="100" t="e">
        <f t="shared" ca="1" si="8"/>
        <v>#NAME?</v>
      </c>
      <c r="F55" s="100" t="e">
        <f t="shared" ca="1" si="1"/>
        <v>#NAME?</v>
      </c>
      <c r="G55" s="100" t="e">
        <f t="shared" ca="1" si="2"/>
        <v>#NAME?</v>
      </c>
      <c r="H55" s="100" t="e">
        <f t="shared" ca="1" si="3"/>
        <v>#NAME?</v>
      </c>
      <c r="I55" s="100" t="e">
        <f t="shared" ca="1" si="4"/>
        <v>#NAME?</v>
      </c>
      <c r="J55" s="100" t="e">
        <f t="shared" ca="1" si="5"/>
        <v>#NAME?</v>
      </c>
      <c r="K55" s="100" t="e">
        <f t="shared" ca="1" si="6"/>
        <v>#NAME?</v>
      </c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 spans="1:26">
      <c r="A56" s="100" t="e">
        <f ca="1">IFERROR(__xludf.DUMMYFUNCTION("""COMPUTED_VALUE"""),14519808)</f>
        <v>#NAME?</v>
      </c>
      <c r="B56" s="100" t="e">
        <f ca="1">IFERROR(__xludf.DUMMYFUNCTION("""COMPUTED_VALUE"""),"snsusdt")</f>
        <v>#NAME?</v>
      </c>
      <c r="C56" s="100" t="e">
        <f ca="1">IFERROR(__xludf.DUMMYFUNCTION("""COMPUTED_VALUE"""),"0.003491")</f>
        <v>#NAME?</v>
      </c>
      <c r="D56" s="100" t="e">
        <f t="shared" ca="1" si="8"/>
        <v>#NAME?</v>
      </c>
      <c r="E56" s="100" t="e">
        <f t="shared" ca="1" si="8"/>
        <v>#NAME?</v>
      </c>
      <c r="F56" s="100" t="e">
        <f t="shared" ca="1" si="1"/>
        <v>#NAME?</v>
      </c>
      <c r="G56" s="100" t="e">
        <f t="shared" ca="1" si="2"/>
        <v>#NAME?</v>
      </c>
      <c r="H56" s="100" t="e">
        <f t="shared" ca="1" si="3"/>
        <v>#NAME?</v>
      </c>
      <c r="I56" s="100" t="e">
        <f t="shared" ca="1" si="4"/>
        <v>#NAME?</v>
      </c>
      <c r="J56" s="100" t="e">
        <f t="shared" ca="1" si="5"/>
        <v>#NAME?</v>
      </c>
      <c r="K56" s="100" t="e">
        <f t="shared" ca="1" si="6"/>
        <v>#NAME?</v>
      </c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 spans="1:26">
      <c r="A57" s="100" t="e">
        <f ca="1">IFERROR(__xludf.DUMMYFUNCTION("""COMPUTED_VALUE"""),14519809)</f>
        <v>#NAME?</v>
      </c>
      <c r="B57" s="100" t="e">
        <f ca="1">IFERROR(__xludf.DUMMYFUNCTION("""COMPUTED_VALUE"""),"tornusdt")</f>
        <v>#NAME?</v>
      </c>
      <c r="C57" s="100" t="e">
        <f ca="1">IFERROR(__xludf.DUMMYFUNCTION("""COMPUTED_VALUE"""),"7.1013")</f>
        <v>#NAME?</v>
      </c>
      <c r="D57" s="100" t="e">
        <f t="shared" ca="1" si="8"/>
        <v>#NAME?</v>
      </c>
      <c r="E57" s="100" t="e">
        <f t="shared" ca="1" si="8"/>
        <v>#NAME?</v>
      </c>
      <c r="F57" s="100" t="e">
        <f t="shared" ca="1" si="1"/>
        <v>#NAME?</v>
      </c>
      <c r="G57" s="100" t="e">
        <f t="shared" ca="1" si="2"/>
        <v>#NAME?</v>
      </c>
      <c r="H57" s="100" t="e">
        <f t="shared" ca="1" si="3"/>
        <v>#NAME?</v>
      </c>
      <c r="I57" s="100" t="e">
        <f t="shared" ca="1" si="4"/>
        <v>#NAME?</v>
      </c>
      <c r="J57" s="100" t="e">
        <f t="shared" ca="1" si="5"/>
        <v>#NAME?</v>
      </c>
      <c r="K57" s="100" t="e">
        <f t="shared" ca="1" si="6"/>
        <v>#NAME?</v>
      </c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 spans="1:26">
      <c r="A58" s="100" t="e">
        <f ca="1">IFERROR(__xludf.DUMMYFUNCTION("""COMPUTED_VALUE"""),14519810)</f>
        <v>#NAME?</v>
      </c>
      <c r="B58" s="100" t="e">
        <f ca="1">IFERROR(__xludf.DUMMYFUNCTION("""COMPUTED_VALUE"""),"wojakusdt")</f>
        <v>#NAME?</v>
      </c>
      <c r="C58" s="100" t="e">
        <f ca="1">IFERROR(__xludf.DUMMYFUNCTION("""COMPUTED_VALUE"""),"0.00026868")</f>
        <v>#NAME?</v>
      </c>
      <c r="D58" s="100" t="e">
        <f t="shared" ca="1" si="8"/>
        <v>#NAME?</v>
      </c>
      <c r="E58" s="100" t="e">
        <f t="shared" ca="1" si="8"/>
        <v>#NAME?</v>
      </c>
      <c r="F58" s="100" t="e">
        <f t="shared" ca="1" si="1"/>
        <v>#NAME?</v>
      </c>
      <c r="G58" s="100" t="e">
        <f t="shared" ca="1" si="2"/>
        <v>#NAME?</v>
      </c>
      <c r="H58" s="100" t="e">
        <f t="shared" ca="1" si="3"/>
        <v>#NAME?</v>
      </c>
      <c r="I58" s="100" t="e">
        <f t="shared" ca="1" si="4"/>
        <v>#NAME?</v>
      </c>
      <c r="J58" s="100" t="e">
        <f t="shared" ca="1" si="5"/>
        <v>#NAME?</v>
      </c>
      <c r="K58" s="100" t="e">
        <f t="shared" ca="1" si="6"/>
        <v>#NAME?</v>
      </c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 spans="1:26">
      <c r="A59" s="100" t="e">
        <f ca="1">IFERROR(__xludf.DUMMYFUNCTION("""COMPUTED_VALUE"""),14519811)</f>
        <v>#NAME?</v>
      </c>
      <c r="B59" s="100" t="e">
        <f ca="1">IFERROR(__xludf.DUMMYFUNCTION("""COMPUTED_VALUE"""),"latusdt")</f>
        <v>#NAME?</v>
      </c>
      <c r="C59" s="100" t="e">
        <f ca="1">IFERROR(__xludf.DUMMYFUNCTION("""COMPUTED_VALUE"""),"0.004192")</f>
        <v>#NAME?</v>
      </c>
      <c r="D59" s="100" t="e">
        <f t="shared" ca="1" si="8"/>
        <v>#NAME?</v>
      </c>
      <c r="E59" s="100" t="e">
        <f t="shared" ca="1" si="8"/>
        <v>#NAME?</v>
      </c>
      <c r="F59" s="100" t="e">
        <f t="shared" ca="1" si="1"/>
        <v>#NAME?</v>
      </c>
      <c r="G59" s="100" t="e">
        <f t="shared" ca="1" si="2"/>
        <v>#NAME?</v>
      </c>
      <c r="H59" s="100" t="e">
        <f t="shared" ca="1" si="3"/>
        <v>#NAME?</v>
      </c>
      <c r="I59" s="100" t="e">
        <f t="shared" ca="1" si="4"/>
        <v>#NAME?</v>
      </c>
      <c r="J59" s="100" t="e">
        <f t="shared" ca="1" si="5"/>
        <v>#NAME?</v>
      </c>
      <c r="K59" s="100" t="e">
        <f t="shared" ca="1" si="6"/>
        <v>#NAME?</v>
      </c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 spans="1:26">
      <c r="A60" s="100" t="e">
        <f ca="1">IFERROR(__xludf.DUMMYFUNCTION("""COMPUTED_VALUE"""),14519812)</f>
        <v>#NAME?</v>
      </c>
      <c r="B60" s="100" t="e">
        <f ca="1">IFERROR(__xludf.DUMMYFUNCTION("""COMPUTED_VALUE"""),"eluusdt")</f>
        <v>#NAME?</v>
      </c>
      <c r="C60" s="100" t="e">
        <f ca="1">IFERROR(__xludf.DUMMYFUNCTION("""COMPUTED_VALUE"""),"0.000848")</f>
        <v>#NAME?</v>
      </c>
      <c r="D60" s="100" t="e">
        <f t="shared" ca="1" si="8"/>
        <v>#NAME?</v>
      </c>
      <c r="E60" s="100" t="e">
        <f t="shared" ca="1" si="8"/>
        <v>#NAME?</v>
      </c>
      <c r="F60" s="100" t="e">
        <f t="shared" ca="1" si="1"/>
        <v>#NAME?</v>
      </c>
      <c r="G60" s="100" t="e">
        <f t="shared" ca="1" si="2"/>
        <v>#NAME?</v>
      </c>
      <c r="H60" s="100" t="e">
        <f t="shared" ca="1" si="3"/>
        <v>#NAME?</v>
      </c>
      <c r="I60" s="100" t="e">
        <f t="shared" ca="1" si="4"/>
        <v>#NAME?</v>
      </c>
      <c r="J60" s="100" t="e">
        <f t="shared" ca="1" si="5"/>
        <v>#NAME?</v>
      </c>
      <c r="K60" s="100" t="e">
        <f t="shared" ca="1" si="6"/>
        <v>#NAME?</v>
      </c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 spans="1:26">
      <c r="A61" s="100" t="e">
        <f ca="1">IFERROR(__xludf.DUMMYFUNCTION("""COMPUTED_VALUE"""),14519813)</f>
        <v>#NAME?</v>
      </c>
      <c r="B61" s="100" t="e">
        <f ca="1">IFERROR(__xludf.DUMMYFUNCTION("""COMPUTED_VALUE"""),"suncatusdt")</f>
        <v>#NAME?</v>
      </c>
      <c r="C61" s="100" t="e">
        <f ca="1">IFERROR(__xludf.DUMMYFUNCTION("""COMPUTED_VALUE"""),"0.00177")</f>
        <v>#NAME?</v>
      </c>
      <c r="D61" s="100" t="e">
        <f t="shared" ca="1" si="8"/>
        <v>#NAME?</v>
      </c>
      <c r="E61" s="100" t="e">
        <f t="shared" ca="1" si="8"/>
        <v>#NAME?</v>
      </c>
      <c r="F61" s="100" t="e">
        <f t="shared" ca="1" si="1"/>
        <v>#NAME?</v>
      </c>
      <c r="G61" s="100" t="e">
        <f t="shared" ca="1" si="2"/>
        <v>#NAME?</v>
      </c>
      <c r="H61" s="100" t="e">
        <f t="shared" ca="1" si="3"/>
        <v>#NAME?</v>
      </c>
      <c r="I61" s="100" t="e">
        <f t="shared" ca="1" si="4"/>
        <v>#NAME?</v>
      </c>
      <c r="J61" s="100" t="e">
        <f t="shared" ca="1" si="5"/>
        <v>#NAME?</v>
      </c>
      <c r="K61" s="100" t="e">
        <f t="shared" ca="1" si="6"/>
        <v>#NAME?</v>
      </c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 spans="1:26">
      <c r="A62" s="100" t="e">
        <f ca="1">IFERROR(__xludf.DUMMYFUNCTION("""COMPUTED_VALUE"""),14519814)</f>
        <v>#NAME?</v>
      </c>
      <c r="B62" s="100" t="e">
        <f ca="1">IFERROR(__xludf.DUMMYFUNCTION("""COMPUTED_VALUE"""),"ssvusdt")</f>
        <v>#NAME?</v>
      </c>
      <c r="C62" s="100" t="e">
        <f ca="1">IFERROR(__xludf.DUMMYFUNCTION("""COMPUTED_VALUE"""),"5.6766")</f>
        <v>#NAME?</v>
      </c>
      <c r="D62" s="100" t="e">
        <f t="shared" ref="D62:E81" ca="1" si="9">IFERROR(__xludf.DUMMYFUNCTION("""COMPUTED_VALUE"""),"-")</f>
        <v>#NAME?</v>
      </c>
      <c r="E62" s="100" t="e">
        <f t="shared" ca="1" si="9"/>
        <v>#NAME?</v>
      </c>
      <c r="F62" s="100" t="e">
        <f t="shared" ca="1" si="1"/>
        <v>#NAME?</v>
      </c>
      <c r="G62" s="100" t="e">
        <f t="shared" ca="1" si="2"/>
        <v>#NAME?</v>
      </c>
      <c r="H62" s="100" t="e">
        <f t="shared" ca="1" si="3"/>
        <v>#NAME?</v>
      </c>
      <c r="I62" s="100" t="e">
        <f t="shared" ca="1" si="4"/>
        <v>#NAME?</v>
      </c>
      <c r="J62" s="100" t="e">
        <f t="shared" ca="1" si="5"/>
        <v>#NAME?</v>
      </c>
      <c r="K62" s="100" t="e">
        <f t="shared" ca="1" si="6"/>
        <v>#NAME?</v>
      </c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 spans="1:26">
      <c r="A63" s="100" t="e">
        <f ca="1">IFERROR(__xludf.DUMMYFUNCTION("""COMPUTED_VALUE"""),14519815)</f>
        <v>#NAME?</v>
      </c>
      <c r="B63" s="100" t="e">
        <f ca="1">IFERROR(__xludf.DUMMYFUNCTION("""COMPUTED_VALUE"""),"flrusdt")</f>
        <v>#NAME?</v>
      </c>
      <c r="C63" s="100" t="e">
        <f ca="1">IFERROR(__xludf.DUMMYFUNCTION("""COMPUTED_VALUE"""),"0.016")</f>
        <v>#NAME?</v>
      </c>
      <c r="D63" s="100" t="e">
        <f t="shared" ca="1" si="9"/>
        <v>#NAME?</v>
      </c>
      <c r="E63" s="100" t="e">
        <f t="shared" ca="1" si="9"/>
        <v>#NAME?</v>
      </c>
      <c r="F63" s="100" t="e">
        <f t="shared" ca="1" si="1"/>
        <v>#NAME?</v>
      </c>
      <c r="G63" s="100" t="e">
        <f t="shared" ca="1" si="2"/>
        <v>#NAME?</v>
      </c>
      <c r="H63" s="100" t="e">
        <f t="shared" ca="1" si="3"/>
        <v>#NAME?</v>
      </c>
      <c r="I63" s="100" t="e">
        <f t="shared" ca="1" si="4"/>
        <v>#NAME?</v>
      </c>
      <c r="J63" s="100" t="e">
        <f t="shared" ca="1" si="5"/>
        <v>#NAME?</v>
      </c>
      <c r="K63" s="100" t="e">
        <f t="shared" ca="1" si="6"/>
        <v>#NAME?</v>
      </c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 spans="1:26">
      <c r="A64" s="100" t="e">
        <f ca="1">IFERROR(__xludf.DUMMYFUNCTION("""COMPUTED_VALUE"""),14519816)</f>
        <v>#NAME?</v>
      </c>
      <c r="B64" s="100" t="e">
        <f ca="1">IFERROR(__xludf.DUMMYFUNCTION("""COMPUTED_VALUE"""),"enausdt")</f>
        <v>#NAME?</v>
      </c>
      <c r="C64" s="100" t="e">
        <f ca="1">IFERROR(__xludf.DUMMYFUNCTION("""COMPUTED_VALUE"""),"0.29334")</f>
        <v>#NAME?</v>
      </c>
      <c r="D64" s="100" t="e">
        <f t="shared" ca="1" si="9"/>
        <v>#NAME?</v>
      </c>
      <c r="E64" s="100" t="e">
        <f t="shared" ca="1" si="9"/>
        <v>#NAME?</v>
      </c>
      <c r="F64" s="100" t="e">
        <f t="shared" ca="1" si="1"/>
        <v>#NAME?</v>
      </c>
      <c r="G64" s="100" t="e">
        <f t="shared" ca="1" si="2"/>
        <v>#NAME?</v>
      </c>
      <c r="H64" s="100" t="e">
        <f t="shared" ca="1" si="3"/>
        <v>#NAME?</v>
      </c>
      <c r="I64" s="100" t="e">
        <f t="shared" ca="1" si="4"/>
        <v>#NAME?</v>
      </c>
      <c r="J64" s="100" t="e">
        <f t="shared" ca="1" si="5"/>
        <v>#NAME?</v>
      </c>
      <c r="K64" s="100" t="e">
        <f t="shared" ca="1" si="6"/>
        <v>#NAME?</v>
      </c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 spans="1:26">
      <c r="A65" s="100" t="e">
        <f ca="1">IFERROR(__xludf.DUMMYFUNCTION("""COMPUTED_VALUE"""),14519817)</f>
        <v>#NAME?</v>
      </c>
      <c r="B65" s="100" t="e">
        <f ca="1">IFERROR(__xludf.DUMMYFUNCTION("""COMPUTED_VALUE"""),"bosonusdt")</f>
        <v>#NAME?</v>
      </c>
      <c r="C65" s="100" t="e">
        <f ca="1">IFERROR(__xludf.DUMMYFUNCTION("""COMPUTED_VALUE"""),"0.1062")</f>
        <v>#NAME?</v>
      </c>
      <c r="D65" s="100" t="e">
        <f t="shared" ca="1" si="9"/>
        <v>#NAME?</v>
      </c>
      <c r="E65" s="100" t="e">
        <f t="shared" ca="1" si="9"/>
        <v>#NAME?</v>
      </c>
      <c r="F65" s="100" t="e">
        <f t="shared" ca="1" si="1"/>
        <v>#NAME?</v>
      </c>
      <c r="G65" s="100" t="e">
        <f t="shared" ca="1" si="2"/>
        <v>#NAME?</v>
      </c>
      <c r="H65" s="100" t="e">
        <f t="shared" ca="1" si="3"/>
        <v>#NAME?</v>
      </c>
      <c r="I65" s="100" t="e">
        <f t="shared" ca="1" si="4"/>
        <v>#NAME?</v>
      </c>
      <c r="J65" s="100" t="e">
        <f t="shared" ca="1" si="5"/>
        <v>#NAME?</v>
      </c>
      <c r="K65" s="100" t="e">
        <f t="shared" ca="1" si="6"/>
        <v>#NAME?</v>
      </c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 spans="1:26">
      <c r="A66" s="100" t="e">
        <f ca="1">IFERROR(__xludf.DUMMYFUNCTION("""COMPUTED_VALUE"""),14519818)</f>
        <v>#NAME?</v>
      </c>
      <c r="B66" s="100" t="e">
        <f ca="1">IFERROR(__xludf.DUMMYFUNCTION("""COMPUTED_VALUE"""),"argusdt")</f>
        <v>#NAME?</v>
      </c>
      <c r="C66" s="100" t="e">
        <f ca="1">IFERROR(__xludf.DUMMYFUNCTION("""COMPUTED_VALUE"""),"0.6507")</f>
        <v>#NAME?</v>
      </c>
      <c r="D66" s="100" t="e">
        <f t="shared" ca="1" si="9"/>
        <v>#NAME?</v>
      </c>
      <c r="E66" s="100" t="e">
        <f t="shared" ca="1" si="9"/>
        <v>#NAME?</v>
      </c>
      <c r="F66" s="100" t="e">
        <f t="shared" ref="F66:F129" ca="1" si="10">IFERROR(__xludf.DUMMYFUNCTION("""COMPUTED_VALUE"""),20200)</f>
        <v>#NAME?</v>
      </c>
      <c r="G66" s="100" t="e">
        <f t="shared" ref="G66:G129" ca="1" si="11">IFERROR(__xludf.DUMMYFUNCTION("""COMPUTED_VALUE"""),2885)</f>
        <v>#NAME?</v>
      </c>
      <c r="H66" s="100" t="e">
        <f t="shared" ref="H66:H129" ca="1" si="12">IFERROR(__xludf.DUMMYFUNCTION("""COMPUTED_VALUE"""),663)</f>
        <v>#NAME?</v>
      </c>
      <c r="I66" s="100" t="e">
        <f t="shared" ref="I66:I129" ca="1" si="13">IFERROR(__xludf.DUMMYFUNCTION("""COMPUTED_VALUE"""),5817721)</f>
        <v>#NAME?</v>
      </c>
      <c r="J66" s="100" t="e">
        <f t="shared" ref="J66:J129" ca="1" si="14">IFERROR(__xludf.DUMMYFUNCTION("""COMPUTED_VALUE"""),"-")</f>
        <v>#NAME?</v>
      </c>
      <c r="K66" s="100" t="e">
        <f t="shared" ref="K66:K129" ca="1" si="15">IFERROR(__xludf.DUMMYFUNCTION("""COMPUTED_VALUE"""),"22.04.2025 13:05:01")</f>
        <v>#NAME?</v>
      </c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 spans="1:26">
      <c r="A67" s="100" t="e">
        <f ca="1">IFERROR(__xludf.DUMMYFUNCTION("""COMPUTED_VALUE"""),14519819)</f>
        <v>#NAME?</v>
      </c>
      <c r="B67" s="100" t="e">
        <f ca="1">IFERROR(__xludf.DUMMYFUNCTION("""COMPUTED_VALUE"""),"csixusdt")</f>
        <v>#NAME?</v>
      </c>
      <c r="C67" s="100" t="e">
        <f ca="1">IFERROR(__xludf.DUMMYFUNCTION("""COMPUTED_VALUE"""),"0.006314")</f>
        <v>#NAME?</v>
      </c>
      <c r="D67" s="100" t="e">
        <f t="shared" ca="1" si="9"/>
        <v>#NAME?</v>
      </c>
      <c r="E67" s="100" t="e">
        <f t="shared" ca="1" si="9"/>
        <v>#NAME?</v>
      </c>
      <c r="F67" s="100" t="e">
        <f t="shared" ca="1" si="10"/>
        <v>#NAME?</v>
      </c>
      <c r="G67" s="100" t="e">
        <f t="shared" ca="1" si="11"/>
        <v>#NAME?</v>
      </c>
      <c r="H67" s="100" t="e">
        <f t="shared" ca="1" si="12"/>
        <v>#NAME?</v>
      </c>
      <c r="I67" s="100" t="e">
        <f t="shared" ca="1" si="13"/>
        <v>#NAME?</v>
      </c>
      <c r="J67" s="100" t="e">
        <f t="shared" ca="1" si="14"/>
        <v>#NAME?</v>
      </c>
      <c r="K67" s="100" t="e">
        <f t="shared" ca="1" si="15"/>
        <v>#NAME?</v>
      </c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 spans="1:26">
      <c r="A68" s="100" t="e">
        <f ca="1">IFERROR(__xludf.DUMMYFUNCTION("""COMPUTED_VALUE"""),14519820)</f>
        <v>#NAME?</v>
      </c>
      <c r="B68" s="100" t="e">
        <f ca="1">IFERROR(__xludf.DUMMYFUNCTION("""COMPUTED_VALUE"""),"briseusdt")</f>
        <v>#NAME?</v>
      </c>
      <c r="C68" s="100" t="e">
        <f ca="1">IFERROR(__xludf.DUMMYFUNCTION("""COMPUTED_VALUE"""),"6.31e-08")</f>
        <v>#NAME?</v>
      </c>
      <c r="D68" s="100" t="e">
        <f t="shared" ca="1" si="9"/>
        <v>#NAME?</v>
      </c>
      <c r="E68" s="100" t="e">
        <f t="shared" ca="1" si="9"/>
        <v>#NAME?</v>
      </c>
      <c r="F68" s="100" t="e">
        <f t="shared" ca="1" si="10"/>
        <v>#NAME?</v>
      </c>
      <c r="G68" s="100" t="e">
        <f t="shared" ca="1" si="11"/>
        <v>#NAME?</v>
      </c>
      <c r="H68" s="100" t="e">
        <f t="shared" ca="1" si="12"/>
        <v>#NAME?</v>
      </c>
      <c r="I68" s="100" t="e">
        <f t="shared" ca="1" si="13"/>
        <v>#NAME?</v>
      </c>
      <c r="J68" s="100" t="e">
        <f t="shared" ca="1" si="14"/>
        <v>#NAME?</v>
      </c>
      <c r="K68" s="100" t="e">
        <f t="shared" ca="1" si="15"/>
        <v>#NAME?</v>
      </c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 spans="1:26">
      <c r="A69" s="100" t="e">
        <f ca="1">IFERROR(__xludf.DUMMYFUNCTION("""COMPUTED_VALUE"""),14519821)</f>
        <v>#NAME?</v>
      </c>
      <c r="B69" s="100" t="e">
        <f ca="1">IFERROR(__xludf.DUMMYFUNCTION("""COMPUTED_VALUE"""),"fitfiusdt")</f>
        <v>#NAME?</v>
      </c>
      <c r="C69" s="100" t="e">
        <f ca="1">IFERROR(__xludf.DUMMYFUNCTION("""COMPUTED_VALUE"""),"0.001535")</f>
        <v>#NAME?</v>
      </c>
      <c r="D69" s="100" t="e">
        <f t="shared" ca="1" si="9"/>
        <v>#NAME?</v>
      </c>
      <c r="E69" s="100" t="e">
        <f t="shared" ca="1" si="9"/>
        <v>#NAME?</v>
      </c>
      <c r="F69" s="100" t="e">
        <f t="shared" ca="1" si="10"/>
        <v>#NAME?</v>
      </c>
      <c r="G69" s="100" t="e">
        <f t="shared" ca="1" si="11"/>
        <v>#NAME?</v>
      </c>
      <c r="H69" s="100" t="e">
        <f t="shared" ca="1" si="12"/>
        <v>#NAME?</v>
      </c>
      <c r="I69" s="100" t="e">
        <f t="shared" ca="1" si="13"/>
        <v>#NAME?</v>
      </c>
      <c r="J69" s="100" t="e">
        <f t="shared" ca="1" si="14"/>
        <v>#NAME?</v>
      </c>
      <c r="K69" s="100" t="e">
        <f t="shared" ca="1" si="15"/>
        <v>#NAME?</v>
      </c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 spans="1:26">
      <c r="A70" s="100" t="e">
        <f ca="1">IFERROR(__xludf.DUMMYFUNCTION("""COMPUTED_VALUE"""),14519822)</f>
        <v>#NAME?</v>
      </c>
      <c r="B70" s="100" t="e">
        <f ca="1">IFERROR(__xludf.DUMMYFUNCTION("""COMPUTED_VALUE"""),"crtsusdt")</f>
        <v>#NAME?</v>
      </c>
      <c r="C70" s="100" t="e">
        <f ca="1">IFERROR(__xludf.DUMMYFUNCTION("""COMPUTED_VALUE"""),"0.00027189")</f>
        <v>#NAME?</v>
      </c>
      <c r="D70" s="100" t="e">
        <f t="shared" ca="1" si="9"/>
        <v>#NAME?</v>
      </c>
      <c r="E70" s="100" t="e">
        <f t="shared" ca="1" si="9"/>
        <v>#NAME?</v>
      </c>
      <c r="F70" s="100" t="e">
        <f t="shared" ca="1" si="10"/>
        <v>#NAME?</v>
      </c>
      <c r="G70" s="100" t="e">
        <f t="shared" ca="1" si="11"/>
        <v>#NAME?</v>
      </c>
      <c r="H70" s="100" t="e">
        <f t="shared" ca="1" si="12"/>
        <v>#NAME?</v>
      </c>
      <c r="I70" s="100" t="e">
        <f t="shared" ca="1" si="13"/>
        <v>#NAME?</v>
      </c>
      <c r="J70" s="100" t="e">
        <f t="shared" ca="1" si="14"/>
        <v>#NAME?</v>
      </c>
      <c r="K70" s="100" t="e">
        <f t="shared" ca="1" si="15"/>
        <v>#NAME?</v>
      </c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 spans="1:26">
      <c r="A71" s="100" t="e">
        <f ca="1">IFERROR(__xludf.DUMMYFUNCTION("""COMPUTED_VALUE"""),14519823)</f>
        <v>#NAME?</v>
      </c>
      <c r="B71" s="100" t="e">
        <f ca="1">IFERROR(__xludf.DUMMYFUNCTION("""COMPUTED_VALUE"""),"bicousdt")</f>
        <v>#NAME?</v>
      </c>
      <c r="C71" s="100" t="e">
        <f ca="1">IFERROR(__xludf.DUMMYFUNCTION("""COMPUTED_VALUE"""),"0.1119")</f>
        <v>#NAME?</v>
      </c>
      <c r="D71" s="100" t="e">
        <f t="shared" ca="1" si="9"/>
        <v>#NAME?</v>
      </c>
      <c r="E71" s="100" t="e">
        <f t="shared" ca="1" si="9"/>
        <v>#NAME?</v>
      </c>
      <c r="F71" s="100" t="e">
        <f t="shared" ca="1" si="10"/>
        <v>#NAME?</v>
      </c>
      <c r="G71" s="100" t="e">
        <f t="shared" ca="1" si="11"/>
        <v>#NAME?</v>
      </c>
      <c r="H71" s="100" t="e">
        <f t="shared" ca="1" si="12"/>
        <v>#NAME?</v>
      </c>
      <c r="I71" s="100" t="e">
        <f t="shared" ca="1" si="13"/>
        <v>#NAME?</v>
      </c>
      <c r="J71" s="100" t="e">
        <f t="shared" ca="1" si="14"/>
        <v>#NAME?</v>
      </c>
      <c r="K71" s="100" t="e">
        <f t="shared" ca="1" si="15"/>
        <v>#NAME?</v>
      </c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 spans="1:26">
      <c r="A72" s="100" t="e">
        <f ca="1">IFERROR(__xludf.DUMMYFUNCTION("""COMPUTED_VALUE"""),14519824)</f>
        <v>#NAME?</v>
      </c>
      <c r="B72" s="100" t="e">
        <f ca="1">IFERROR(__xludf.DUMMYFUNCTION("""COMPUTED_VALUE"""),"ponkeusdt")</f>
        <v>#NAME?</v>
      </c>
      <c r="C72" s="100" t="e">
        <f ca="1">IFERROR(__xludf.DUMMYFUNCTION("""COMPUTED_VALUE"""),"0.08487")</f>
        <v>#NAME?</v>
      </c>
      <c r="D72" s="100" t="e">
        <f t="shared" ca="1" si="9"/>
        <v>#NAME?</v>
      </c>
      <c r="E72" s="100" t="e">
        <f t="shared" ca="1" si="9"/>
        <v>#NAME?</v>
      </c>
      <c r="F72" s="100" t="e">
        <f t="shared" ca="1" si="10"/>
        <v>#NAME?</v>
      </c>
      <c r="G72" s="100" t="e">
        <f t="shared" ca="1" si="11"/>
        <v>#NAME?</v>
      </c>
      <c r="H72" s="100" t="e">
        <f t="shared" ca="1" si="12"/>
        <v>#NAME?</v>
      </c>
      <c r="I72" s="100" t="e">
        <f t="shared" ca="1" si="13"/>
        <v>#NAME?</v>
      </c>
      <c r="J72" s="100" t="e">
        <f t="shared" ca="1" si="14"/>
        <v>#NAME?</v>
      </c>
      <c r="K72" s="100" t="e">
        <f t="shared" ca="1" si="15"/>
        <v>#NAME?</v>
      </c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 spans="1:26">
      <c r="A73" s="100" t="e">
        <f ca="1">IFERROR(__xludf.DUMMYFUNCTION("""COMPUTED_VALUE"""),14519825)</f>
        <v>#NAME?</v>
      </c>
      <c r="B73" s="100" t="e">
        <f ca="1">IFERROR(__xludf.DUMMYFUNCTION("""COMPUTED_VALUE"""),"bethusdt")</f>
        <v>#NAME?</v>
      </c>
      <c r="C73" s="100" t="e">
        <f ca="1">IFERROR(__xludf.DUMMYFUNCTION("""COMPUTED_VALUE"""),"1627.21")</f>
        <v>#NAME?</v>
      </c>
      <c r="D73" s="100" t="e">
        <f t="shared" ca="1" si="9"/>
        <v>#NAME?</v>
      </c>
      <c r="E73" s="100" t="e">
        <f t="shared" ca="1" si="9"/>
        <v>#NAME?</v>
      </c>
      <c r="F73" s="100" t="e">
        <f t="shared" ca="1" si="10"/>
        <v>#NAME?</v>
      </c>
      <c r="G73" s="100" t="e">
        <f t="shared" ca="1" si="11"/>
        <v>#NAME?</v>
      </c>
      <c r="H73" s="100" t="e">
        <f t="shared" ca="1" si="12"/>
        <v>#NAME?</v>
      </c>
      <c r="I73" s="100" t="e">
        <f t="shared" ca="1" si="13"/>
        <v>#NAME?</v>
      </c>
      <c r="J73" s="100" t="e">
        <f t="shared" ca="1" si="14"/>
        <v>#NAME?</v>
      </c>
      <c r="K73" s="100" t="e">
        <f t="shared" ca="1" si="15"/>
        <v>#NAME?</v>
      </c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 spans="1:26">
      <c r="A74" s="100" t="e">
        <f ca="1">IFERROR(__xludf.DUMMYFUNCTION("""COMPUTED_VALUE"""),14519826)</f>
        <v>#NAME?</v>
      </c>
      <c r="B74" s="100" t="e">
        <f ca="1">IFERROR(__xludf.DUMMYFUNCTION("""COMPUTED_VALUE"""),"modeusdt")</f>
        <v>#NAME?</v>
      </c>
      <c r="C74" s="100" t="e">
        <f ca="1">IFERROR(__xludf.DUMMYFUNCTION("""COMPUTED_VALUE"""),"0.00296")</f>
        <v>#NAME?</v>
      </c>
      <c r="D74" s="100" t="e">
        <f t="shared" ca="1" si="9"/>
        <v>#NAME?</v>
      </c>
      <c r="E74" s="100" t="e">
        <f t="shared" ca="1" si="9"/>
        <v>#NAME?</v>
      </c>
      <c r="F74" s="100" t="e">
        <f t="shared" ca="1" si="10"/>
        <v>#NAME?</v>
      </c>
      <c r="G74" s="100" t="e">
        <f t="shared" ca="1" si="11"/>
        <v>#NAME?</v>
      </c>
      <c r="H74" s="100" t="e">
        <f t="shared" ca="1" si="12"/>
        <v>#NAME?</v>
      </c>
      <c r="I74" s="100" t="e">
        <f t="shared" ca="1" si="13"/>
        <v>#NAME?</v>
      </c>
      <c r="J74" s="100" t="e">
        <f t="shared" ca="1" si="14"/>
        <v>#NAME?</v>
      </c>
      <c r="K74" s="100" t="e">
        <f t="shared" ca="1" si="15"/>
        <v>#NAME?</v>
      </c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 spans="1:26">
      <c r="A75" s="100" t="e">
        <f ca="1">IFERROR(__xludf.DUMMYFUNCTION("""COMPUTED_VALUE"""),14519827)</f>
        <v>#NAME?</v>
      </c>
      <c r="B75" s="100" t="e">
        <f ca="1">IFERROR(__xludf.DUMMYFUNCTION("""COMPUTED_VALUE"""),"aitechusdt")</f>
        <v>#NAME?</v>
      </c>
      <c r="C75" s="100" t="e">
        <f ca="1">IFERROR(__xludf.DUMMYFUNCTION("""COMPUTED_VALUE"""),"0.02316")</f>
        <v>#NAME?</v>
      </c>
      <c r="D75" s="100" t="e">
        <f t="shared" ca="1" si="9"/>
        <v>#NAME?</v>
      </c>
      <c r="E75" s="100" t="e">
        <f t="shared" ca="1" si="9"/>
        <v>#NAME?</v>
      </c>
      <c r="F75" s="100" t="e">
        <f t="shared" ca="1" si="10"/>
        <v>#NAME?</v>
      </c>
      <c r="G75" s="100" t="e">
        <f t="shared" ca="1" si="11"/>
        <v>#NAME?</v>
      </c>
      <c r="H75" s="100" t="e">
        <f t="shared" ca="1" si="12"/>
        <v>#NAME?</v>
      </c>
      <c r="I75" s="100" t="e">
        <f t="shared" ca="1" si="13"/>
        <v>#NAME?</v>
      </c>
      <c r="J75" s="100" t="e">
        <f t="shared" ca="1" si="14"/>
        <v>#NAME?</v>
      </c>
      <c r="K75" s="100" t="e">
        <f t="shared" ca="1" si="15"/>
        <v>#NAME?</v>
      </c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 spans="1:26">
      <c r="A76" s="100" t="e">
        <f ca="1">IFERROR(__xludf.DUMMYFUNCTION("""COMPUTED_VALUE"""),14519828)</f>
        <v>#NAME?</v>
      </c>
      <c r="B76" s="100" t="e">
        <f ca="1">IFERROR(__xludf.DUMMYFUNCTION("""COMPUTED_VALUE"""),"htxusdt")</f>
        <v>#NAME?</v>
      </c>
      <c r="C76" s="100" t="e">
        <f ca="1">IFERROR(__xludf.DUMMYFUNCTION("""COMPUTED_VALUE"""),"1.728e-06")</f>
        <v>#NAME?</v>
      </c>
      <c r="D76" s="100" t="e">
        <f t="shared" ca="1" si="9"/>
        <v>#NAME?</v>
      </c>
      <c r="E76" s="100" t="e">
        <f t="shared" ca="1" si="9"/>
        <v>#NAME?</v>
      </c>
      <c r="F76" s="100" t="e">
        <f t="shared" ca="1" si="10"/>
        <v>#NAME?</v>
      </c>
      <c r="G76" s="100" t="e">
        <f t="shared" ca="1" si="11"/>
        <v>#NAME?</v>
      </c>
      <c r="H76" s="100" t="e">
        <f t="shared" ca="1" si="12"/>
        <v>#NAME?</v>
      </c>
      <c r="I76" s="100" t="e">
        <f t="shared" ca="1" si="13"/>
        <v>#NAME?</v>
      </c>
      <c r="J76" s="100" t="e">
        <f t="shared" ca="1" si="14"/>
        <v>#NAME?</v>
      </c>
      <c r="K76" s="100" t="e">
        <f t="shared" ca="1" si="15"/>
        <v>#NAME?</v>
      </c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 spans="1:26">
      <c r="A77" s="100" t="e">
        <f ca="1">IFERROR(__xludf.DUMMYFUNCTION("""COMPUTED_VALUE"""),14519829)</f>
        <v>#NAME?</v>
      </c>
      <c r="B77" s="100" t="e">
        <f ca="1">IFERROR(__xludf.DUMMYFUNCTION("""COMPUTED_VALUE"""),"polyxusdt")</f>
        <v>#NAME?</v>
      </c>
      <c r="C77" s="100" t="e">
        <f ca="1">IFERROR(__xludf.DUMMYFUNCTION("""COMPUTED_VALUE"""),"0.1552")</f>
        <v>#NAME?</v>
      </c>
      <c r="D77" s="100" t="e">
        <f t="shared" ca="1" si="9"/>
        <v>#NAME?</v>
      </c>
      <c r="E77" s="100" t="e">
        <f t="shared" ca="1" si="9"/>
        <v>#NAME?</v>
      </c>
      <c r="F77" s="100" t="e">
        <f t="shared" ca="1" si="10"/>
        <v>#NAME?</v>
      </c>
      <c r="G77" s="100" t="e">
        <f t="shared" ca="1" si="11"/>
        <v>#NAME?</v>
      </c>
      <c r="H77" s="100" t="e">
        <f t="shared" ca="1" si="12"/>
        <v>#NAME?</v>
      </c>
      <c r="I77" s="100" t="e">
        <f t="shared" ca="1" si="13"/>
        <v>#NAME?</v>
      </c>
      <c r="J77" s="100" t="e">
        <f t="shared" ca="1" si="14"/>
        <v>#NAME?</v>
      </c>
      <c r="K77" s="100" t="e">
        <f t="shared" ca="1" si="15"/>
        <v>#NAME?</v>
      </c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 spans="1:26">
      <c r="A78" s="100" t="e">
        <f ca="1">IFERROR(__xludf.DUMMYFUNCTION("""COMPUTED_VALUE"""),14519830)</f>
        <v>#NAME?</v>
      </c>
      <c r="B78" s="100" t="e">
        <f ca="1">IFERROR(__xludf.DUMMYFUNCTION("""COMPUTED_VALUE"""),"slerfusdt")</f>
        <v>#NAME?</v>
      </c>
      <c r="C78" s="100" t="e">
        <f ca="1">IFERROR(__xludf.DUMMYFUNCTION("""COMPUTED_VALUE"""),"0.0639")</f>
        <v>#NAME?</v>
      </c>
      <c r="D78" s="100" t="e">
        <f t="shared" ca="1" si="9"/>
        <v>#NAME?</v>
      </c>
      <c r="E78" s="100" t="e">
        <f t="shared" ca="1" si="9"/>
        <v>#NAME?</v>
      </c>
      <c r="F78" s="100" t="e">
        <f t="shared" ca="1" si="10"/>
        <v>#NAME?</v>
      </c>
      <c r="G78" s="100" t="e">
        <f t="shared" ca="1" si="11"/>
        <v>#NAME?</v>
      </c>
      <c r="H78" s="100" t="e">
        <f t="shared" ca="1" si="12"/>
        <v>#NAME?</v>
      </c>
      <c r="I78" s="100" t="e">
        <f t="shared" ca="1" si="13"/>
        <v>#NAME?</v>
      </c>
      <c r="J78" s="100" t="e">
        <f t="shared" ca="1" si="14"/>
        <v>#NAME?</v>
      </c>
      <c r="K78" s="100" t="e">
        <f t="shared" ca="1" si="15"/>
        <v>#NAME?</v>
      </c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 spans="1:26">
      <c r="A79" s="100" t="e">
        <f ca="1">IFERROR(__xludf.DUMMYFUNCTION("""COMPUTED_VALUE"""),14519831)</f>
        <v>#NAME?</v>
      </c>
      <c r="B79" s="100" t="e">
        <f ca="1">IFERROR(__xludf.DUMMYFUNCTION("""COMPUTED_VALUE"""),"dcusdt")</f>
        <v>#NAME?</v>
      </c>
      <c r="C79" s="100" t="e">
        <f ca="1">IFERROR(__xludf.DUMMYFUNCTION("""COMPUTED_VALUE"""),"9.2e-05")</f>
        <v>#NAME?</v>
      </c>
      <c r="D79" s="100" t="e">
        <f t="shared" ca="1" si="9"/>
        <v>#NAME?</v>
      </c>
      <c r="E79" s="100" t="e">
        <f t="shared" ca="1" si="9"/>
        <v>#NAME?</v>
      </c>
      <c r="F79" s="100" t="e">
        <f t="shared" ca="1" si="10"/>
        <v>#NAME?</v>
      </c>
      <c r="G79" s="100" t="e">
        <f t="shared" ca="1" si="11"/>
        <v>#NAME?</v>
      </c>
      <c r="H79" s="100" t="e">
        <f t="shared" ca="1" si="12"/>
        <v>#NAME?</v>
      </c>
      <c r="I79" s="100" t="e">
        <f t="shared" ca="1" si="13"/>
        <v>#NAME?</v>
      </c>
      <c r="J79" s="100" t="e">
        <f t="shared" ca="1" si="14"/>
        <v>#NAME?</v>
      </c>
      <c r="K79" s="100" t="e">
        <f t="shared" ca="1" si="15"/>
        <v>#NAME?</v>
      </c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 spans="1:26">
      <c r="A80" s="100" t="e">
        <f ca="1">IFERROR(__xludf.DUMMYFUNCTION("""COMPUTED_VALUE"""),14519832)</f>
        <v>#NAME?</v>
      </c>
      <c r="B80" s="100" t="e">
        <f ca="1">IFERROR(__xludf.DUMMYFUNCTION("""COMPUTED_VALUE"""),"maviausdt")</f>
        <v>#NAME?</v>
      </c>
      <c r="C80" s="100" t="e">
        <f ca="1">IFERROR(__xludf.DUMMYFUNCTION("""COMPUTED_VALUE"""),"0.1763")</f>
        <v>#NAME?</v>
      </c>
      <c r="D80" s="100" t="e">
        <f t="shared" ca="1" si="9"/>
        <v>#NAME?</v>
      </c>
      <c r="E80" s="100" t="e">
        <f t="shared" ca="1" si="9"/>
        <v>#NAME?</v>
      </c>
      <c r="F80" s="100" t="e">
        <f t="shared" ca="1" si="10"/>
        <v>#NAME?</v>
      </c>
      <c r="G80" s="100" t="e">
        <f t="shared" ca="1" si="11"/>
        <v>#NAME?</v>
      </c>
      <c r="H80" s="100" t="e">
        <f t="shared" ca="1" si="12"/>
        <v>#NAME?</v>
      </c>
      <c r="I80" s="100" t="e">
        <f t="shared" ca="1" si="13"/>
        <v>#NAME?</v>
      </c>
      <c r="J80" s="100" t="e">
        <f t="shared" ca="1" si="14"/>
        <v>#NAME?</v>
      </c>
      <c r="K80" s="100" t="e">
        <f t="shared" ca="1" si="15"/>
        <v>#NAME?</v>
      </c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 spans="1:26">
      <c r="A81" s="100" t="e">
        <f ca="1">IFERROR(__xludf.DUMMYFUNCTION("""COMPUTED_VALUE"""),14519833)</f>
        <v>#NAME?</v>
      </c>
      <c r="B81" s="100" t="e">
        <f ca="1">IFERROR(__xludf.DUMMYFUNCTION("""COMPUTED_VALUE"""),"penguusdt")</f>
        <v>#NAME?</v>
      </c>
      <c r="C81" s="100" t="e">
        <f ca="1">IFERROR(__xludf.DUMMYFUNCTION("""COMPUTED_VALUE"""),"0.00514")</f>
        <v>#NAME?</v>
      </c>
      <c r="D81" s="100" t="e">
        <f t="shared" ca="1" si="9"/>
        <v>#NAME?</v>
      </c>
      <c r="E81" s="100" t="e">
        <f t="shared" ca="1" si="9"/>
        <v>#NAME?</v>
      </c>
      <c r="F81" s="100" t="e">
        <f t="shared" ca="1" si="10"/>
        <v>#NAME?</v>
      </c>
      <c r="G81" s="100" t="e">
        <f t="shared" ca="1" si="11"/>
        <v>#NAME?</v>
      </c>
      <c r="H81" s="100" t="e">
        <f t="shared" ca="1" si="12"/>
        <v>#NAME?</v>
      </c>
      <c r="I81" s="100" t="e">
        <f t="shared" ca="1" si="13"/>
        <v>#NAME?</v>
      </c>
      <c r="J81" s="100" t="e">
        <f t="shared" ca="1" si="14"/>
        <v>#NAME?</v>
      </c>
      <c r="K81" s="100" t="e">
        <f t="shared" ca="1" si="15"/>
        <v>#NAME?</v>
      </c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 spans="1:26">
      <c r="A82" s="100" t="e">
        <f ca="1">IFERROR(__xludf.DUMMYFUNCTION("""COMPUTED_VALUE"""),14519834)</f>
        <v>#NAME?</v>
      </c>
      <c r="B82" s="100" t="e">
        <f ca="1">IFERROR(__xludf.DUMMYFUNCTION("""COMPUTED_VALUE"""),"ampusdt")</f>
        <v>#NAME?</v>
      </c>
      <c r="C82" s="100" t="e">
        <f ca="1">IFERROR(__xludf.DUMMYFUNCTION("""COMPUTED_VALUE"""),"0.003968")</f>
        <v>#NAME?</v>
      </c>
      <c r="D82" s="100" t="e">
        <f t="shared" ref="D82:E101" ca="1" si="16">IFERROR(__xludf.DUMMYFUNCTION("""COMPUTED_VALUE"""),"-")</f>
        <v>#NAME?</v>
      </c>
      <c r="E82" s="100" t="e">
        <f t="shared" ca="1" si="16"/>
        <v>#NAME?</v>
      </c>
      <c r="F82" s="100" t="e">
        <f t="shared" ca="1" si="10"/>
        <v>#NAME?</v>
      </c>
      <c r="G82" s="100" t="e">
        <f t="shared" ca="1" si="11"/>
        <v>#NAME?</v>
      </c>
      <c r="H82" s="100" t="e">
        <f t="shared" ca="1" si="12"/>
        <v>#NAME?</v>
      </c>
      <c r="I82" s="100" t="e">
        <f t="shared" ca="1" si="13"/>
        <v>#NAME?</v>
      </c>
      <c r="J82" s="100" t="e">
        <f t="shared" ca="1" si="14"/>
        <v>#NAME?</v>
      </c>
      <c r="K82" s="100" t="e">
        <f t="shared" ca="1" si="15"/>
        <v>#NAME?</v>
      </c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 spans="1:26">
      <c r="A83" s="100" t="e">
        <f ca="1">IFERROR(__xludf.DUMMYFUNCTION("""COMPUTED_VALUE"""),14519835)</f>
        <v>#NAME?</v>
      </c>
      <c r="B83" s="100" t="e">
        <f ca="1">IFERROR(__xludf.DUMMYFUNCTION("""COMPUTED_VALUE"""),"jupusdt")</f>
        <v>#NAME?</v>
      </c>
      <c r="C83" s="100" t="e">
        <f ca="1">IFERROR(__xludf.DUMMYFUNCTION("""COMPUTED_VALUE"""),"0.4056")</f>
        <v>#NAME?</v>
      </c>
      <c r="D83" s="100" t="e">
        <f t="shared" ca="1" si="16"/>
        <v>#NAME?</v>
      </c>
      <c r="E83" s="100" t="e">
        <f t="shared" ca="1" si="16"/>
        <v>#NAME?</v>
      </c>
      <c r="F83" s="100" t="e">
        <f t="shared" ca="1" si="10"/>
        <v>#NAME?</v>
      </c>
      <c r="G83" s="100" t="e">
        <f t="shared" ca="1" si="11"/>
        <v>#NAME?</v>
      </c>
      <c r="H83" s="100" t="e">
        <f t="shared" ca="1" si="12"/>
        <v>#NAME?</v>
      </c>
      <c r="I83" s="100" t="e">
        <f t="shared" ca="1" si="13"/>
        <v>#NAME?</v>
      </c>
      <c r="J83" s="100" t="e">
        <f t="shared" ca="1" si="14"/>
        <v>#NAME?</v>
      </c>
      <c r="K83" s="100" t="e">
        <f t="shared" ca="1" si="15"/>
        <v>#NAME?</v>
      </c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>
      <c r="A84" s="100" t="e">
        <f ca="1">IFERROR(__xludf.DUMMYFUNCTION("""COMPUTED_VALUE"""),14519836)</f>
        <v>#NAME?</v>
      </c>
      <c r="B84" s="100" t="e">
        <f ca="1">IFERROR(__xludf.DUMMYFUNCTION("""COMPUTED_VALUE"""),"hotusdt")</f>
        <v>#NAME?</v>
      </c>
      <c r="C84" s="100" t="e">
        <f ca="1">IFERROR(__xludf.DUMMYFUNCTION("""COMPUTED_VALUE"""),"0.000982")</f>
        <v>#NAME?</v>
      </c>
      <c r="D84" s="100" t="e">
        <f t="shared" ca="1" si="16"/>
        <v>#NAME?</v>
      </c>
      <c r="E84" s="100" t="e">
        <f t="shared" ca="1" si="16"/>
        <v>#NAME?</v>
      </c>
      <c r="F84" s="100" t="e">
        <f t="shared" ca="1" si="10"/>
        <v>#NAME?</v>
      </c>
      <c r="G84" s="100" t="e">
        <f t="shared" ca="1" si="11"/>
        <v>#NAME?</v>
      </c>
      <c r="H84" s="100" t="e">
        <f t="shared" ca="1" si="12"/>
        <v>#NAME?</v>
      </c>
      <c r="I84" s="100" t="e">
        <f t="shared" ca="1" si="13"/>
        <v>#NAME?</v>
      </c>
      <c r="J84" s="100" t="e">
        <f t="shared" ca="1" si="14"/>
        <v>#NAME?</v>
      </c>
      <c r="K84" s="100" t="e">
        <f t="shared" ca="1" si="15"/>
        <v>#NAME?</v>
      </c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>
      <c r="A85" s="100" t="e">
        <f ca="1">IFERROR(__xludf.DUMMYFUNCTION("""COMPUTED_VALUE"""),14519837)</f>
        <v>#NAME?</v>
      </c>
      <c r="B85" s="100" t="e">
        <f ca="1">IFERROR(__xludf.DUMMYFUNCTION("""COMPUTED_VALUE"""),"glmusdt")</f>
        <v>#NAME?</v>
      </c>
      <c r="C85" s="100" t="e">
        <f ca="1">IFERROR(__xludf.DUMMYFUNCTION("""COMPUTED_VALUE"""),"0.2591")</f>
        <v>#NAME?</v>
      </c>
      <c r="D85" s="100" t="e">
        <f t="shared" ca="1" si="16"/>
        <v>#NAME?</v>
      </c>
      <c r="E85" s="100" t="e">
        <f t="shared" ca="1" si="16"/>
        <v>#NAME?</v>
      </c>
      <c r="F85" s="100" t="e">
        <f t="shared" ca="1" si="10"/>
        <v>#NAME?</v>
      </c>
      <c r="G85" s="100" t="e">
        <f t="shared" ca="1" si="11"/>
        <v>#NAME?</v>
      </c>
      <c r="H85" s="100" t="e">
        <f t="shared" ca="1" si="12"/>
        <v>#NAME?</v>
      </c>
      <c r="I85" s="100" t="e">
        <f t="shared" ca="1" si="13"/>
        <v>#NAME?</v>
      </c>
      <c r="J85" s="100" t="e">
        <f t="shared" ca="1" si="14"/>
        <v>#NAME?</v>
      </c>
      <c r="K85" s="100" t="e">
        <f t="shared" ca="1" si="15"/>
        <v>#NAME?</v>
      </c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 spans="1:26">
      <c r="A86" s="100" t="e">
        <f ca="1">IFERROR(__xludf.DUMMYFUNCTION("""COMPUTED_VALUE"""),14519838)</f>
        <v>#NAME?</v>
      </c>
      <c r="B86" s="100" t="e">
        <f ca="1">IFERROR(__xludf.DUMMYFUNCTION("""COMPUTED_VALUE"""),"ethbtc")</f>
        <v>#NAME?</v>
      </c>
      <c r="C86" s="100" t="e">
        <f ca="1">IFERROR(__xludf.DUMMYFUNCTION("""COMPUTED_VALUE"""),"0.018341")</f>
        <v>#NAME?</v>
      </c>
      <c r="D86" s="100" t="e">
        <f t="shared" ca="1" si="16"/>
        <v>#NAME?</v>
      </c>
      <c r="E86" s="100" t="e">
        <f t="shared" ca="1" si="16"/>
        <v>#NAME?</v>
      </c>
      <c r="F86" s="100" t="e">
        <f t="shared" ca="1" si="10"/>
        <v>#NAME?</v>
      </c>
      <c r="G86" s="100" t="e">
        <f t="shared" ca="1" si="11"/>
        <v>#NAME?</v>
      </c>
      <c r="H86" s="100" t="e">
        <f t="shared" ca="1" si="12"/>
        <v>#NAME?</v>
      </c>
      <c r="I86" s="100" t="e">
        <f t="shared" ca="1" si="13"/>
        <v>#NAME?</v>
      </c>
      <c r="J86" s="100" t="e">
        <f t="shared" ca="1" si="14"/>
        <v>#NAME?</v>
      </c>
      <c r="K86" s="100" t="e">
        <f t="shared" ca="1" si="15"/>
        <v>#NAME?</v>
      </c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 spans="1:26">
      <c r="A87" s="100" t="e">
        <f ca="1">IFERROR(__xludf.DUMMYFUNCTION("""COMPUTED_VALUE"""),14519839)</f>
        <v>#NAME?</v>
      </c>
      <c r="B87" s="100" t="e">
        <f ca="1">IFERROR(__xludf.DUMMYFUNCTION("""COMPUTED_VALUE"""),"pizzausdt")</f>
        <v>#NAME?</v>
      </c>
      <c r="C87" s="100" t="e">
        <f ca="1">IFERROR(__xludf.DUMMYFUNCTION("""COMPUTED_VALUE"""),"0.4936")</f>
        <v>#NAME?</v>
      </c>
      <c r="D87" s="100" t="e">
        <f t="shared" ca="1" si="16"/>
        <v>#NAME?</v>
      </c>
      <c r="E87" s="100" t="e">
        <f t="shared" ca="1" si="16"/>
        <v>#NAME?</v>
      </c>
      <c r="F87" s="100" t="e">
        <f t="shared" ca="1" si="10"/>
        <v>#NAME?</v>
      </c>
      <c r="G87" s="100" t="e">
        <f t="shared" ca="1" si="11"/>
        <v>#NAME?</v>
      </c>
      <c r="H87" s="100" t="e">
        <f t="shared" ca="1" si="12"/>
        <v>#NAME?</v>
      </c>
      <c r="I87" s="100" t="e">
        <f t="shared" ca="1" si="13"/>
        <v>#NAME?</v>
      </c>
      <c r="J87" s="100" t="e">
        <f t="shared" ca="1" si="14"/>
        <v>#NAME?</v>
      </c>
      <c r="K87" s="100" t="e">
        <f t="shared" ca="1" si="15"/>
        <v>#NAME?</v>
      </c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 spans="1:26">
      <c r="A88" s="100" t="e">
        <f ca="1">IFERROR(__xludf.DUMMYFUNCTION("""COMPUTED_VALUE"""),14519840)</f>
        <v>#NAME?</v>
      </c>
      <c r="B88" s="100" t="e">
        <f ca="1">IFERROR(__xludf.DUMMYFUNCTION("""COMPUTED_VALUE"""),"vsysusdt")</f>
        <v>#NAME?</v>
      </c>
      <c r="C88" s="100" t="e">
        <f ca="1">IFERROR(__xludf.DUMMYFUNCTION("""COMPUTED_VALUE"""),"0.0003427")</f>
        <v>#NAME?</v>
      </c>
      <c r="D88" s="100" t="e">
        <f t="shared" ca="1" si="16"/>
        <v>#NAME?</v>
      </c>
      <c r="E88" s="100" t="e">
        <f t="shared" ca="1" si="16"/>
        <v>#NAME?</v>
      </c>
      <c r="F88" s="100" t="e">
        <f t="shared" ca="1" si="10"/>
        <v>#NAME?</v>
      </c>
      <c r="G88" s="100" t="e">
        <f t="shared" ca="1" si="11"/>
        <v>#NAME?</v>
      </c>
      <c r="H88" s="100" t="e">
        <f t="shared" ca="1" si="12"/>
        <v>#NAME?</v>
      </c>
      <c r="I88" s="100" t="e">
        <f t="shared" ca="1" si="13"/>
        <v>#NAME?</v>
      </c>
      <c r="J88" s="100" t="e">
        <f t="shared" ca="1" si="14"/>
        <v>#NAME?</v>
      </c>
      <c r="K88" s="100" t="e">
        <f t="shared" ca="1" si="15"/>
        <v>#NAME?</v>
      </c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 spans="1:26">
      <c r="A89" s="100" t="e">
        <f ca="1">IFERROR(__xludf.DUMMYFUNCTION("""COMPUTED_VALUE"""),14519841)</f>
        <v>#NAME?</v>
      </c>
      <c r="B89" s="100" t="e">
        <f ca="1">IFERROR(__xludf.DUMMYFUNCTION("""COMPUTED_VALUE"""),"nftusdt")</f>
        <v>#NAME?</v>
      </c>
      <c r="C89" s="100" t="e">
        <f ca="1">IFERROR(__xludf.DUMMYFUNCTION("""COMPUTED_VALUE"""),"4.295e-07")</f>
        <v>#NAME?</v>
      </c>
      <c r="D89" s="100" t="e">
        <f t="shared" ca="1" si="16"/>
        <v>#NAME?</v>
      </c>
      <c r="E89" s="100" t="e">
        <f t="shared" ca="1" si="16"/>
        <v>#NAME?</v>
      </c>
      <c r="F89" s="100" t="e">
        <f t="shared" ca="1" si="10"/>
        <v>#NAME?</v>
      </c>
      <c r="G89" s="100" t="e">
        <f t="shared" ca="1" si="11"/>
        <v>#NAME?</v>
      </c>
      <c r="H89" s="100" t="e">
        <f t="shared" ca="1" si="12"/>
        <v>#NAME?</v>
      </c>
      <c r="I89" s="100" t="e">
        <f t="shared" ca="1" si="13"/>
        <v>#NAME?</v>
      </c>
      <c r="J89" s="100" t="e">
        <f t="shared" ca="1" si="14"/>
        <v>#NAME?</v>
      </c>
      <c r="K89" s="100" t="e">
        <f t="shared" ca="1" si="15"/>
        <v>#NAME?</v>
      </c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 spans="1:26">
      <c r="A90" s="100" t="e">
        <f ca="1">IFERROR(__xludf.DUMMYFUNCTION("""COMPUTED_VALUE"""),14519842)</f>
        <v>#NAME?</v>
      </c>
      <c r="B90" s="100" t="e">
        <f ca="1">IFERROR(__xludf.DUMMYFUNCTION("""COMPUTED_VALUE"""),"gummyusdt")</f>
        <v>#NAME?</v>
      </c>
      <c r="C90" s="100" t="e">
        <f ca="1">IFERROR(__xludf.DUMMYFUNCTION("""COMPUTED_VALUE"""),"0.001794")</f>
        <v>#NAME?</v>
      </c>
      <c r="D90" s="100" t="e">
        <f t="shared" ca="1" si="16"/>
        <v>#NAME?</v>
      </c>
      <c r="E90" s="100" t="e">
        <f t="shared" ca="1" si="16"/>
        <v>#NAME?</v>
      </c>
      <c r="F90" s="100" t="e">
        <f t="shared" ca="1" si="10"/>
        <v>#NAME?</v>
      </c>
      <c r="G90" s="100" t="e">
        <f t="shared" ca="1" si="11"/>
        <v>#NAME?</v>
      </c>
      <c r="H90" s="100" t="e">
        <f t="shared" ca="1" si="12"/>
        <v>#NAME?</v>
      </c>
      <c r="I90" s="100" t="e">
        <f t="shared" ca="1" si="13"/>
        <v>#NAME?</v>
      </c>
      <c r="J90" s="100" t="e">
        <f t="shared" ca="1" si="14"/>
        <v>#NAME?</v>
      </c>
      <c r="K90" s="100" t="e">
        <f t="shared" ca="1" si="15"/>
        <v>#NAME?</v>
      </c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 spans="1:26">
      <c r="A91" s="100" t="e">
        <f ca="1">IFERROR(__xludf.DUMMYFUNCTION("""COMPUTED_VALUE"""),14519843)</f>
        <v>#NAME?</v>
      </c>
      <c r="B91" s="100" t="e">
        <f ca="1">IFERROR(__xludf.DUMMYFUNCTION("""COMPUTED_VALUE"""),"batusdt")</f>
        <v>#NAME?</v>
      </c>
      <c r="C91" s="100" t="e">
        <f ca="1">IFERROR(__xludf.DUMMYFUNCTION("""COMPUTED_VALUE"""),"0.1323")</f>
        <v>#NAME?</v>
      </c>
      <c r="D91" s="100" t="e">
        <f t="shared" ca="1" si="16"/>
        <v>#NAME?</v>
      </c>
      <c r="E91" s="100" t="e">
        <f t="shared" ca="1" si="16"/>
        <v>#NAME?</v>
      </c>
      <c r="F91" s="100" t="e">
        <f t="shared" ca="1" si="10"/>
        <v>#NAME?</v>
      </c>
      <c r="G91" s="100" t="e">
        <f t="shared" ca="1" si="11"/>
        <v>#NAME?</v>
      </c>
      <c r="H91" s="100" t="e">
        <f t="shared" ca="1" si="12"/>
        <v>#NAME?</v>
      </c>
      <c r="I91" s="100" t="e">
        <f t="shared" ca="1" si="13"/>
        <v>#NAME?</v>
      </c>
      <c r="J91" s="100" t="e">
        <f t="shared" ca="1" si="14"/>
        <v>#NAME?</v>
      </c>
      <c r="K91" s="100" t="e">
        <f t="shared" ca="1" si="15"/>
        <v>#NAME?</v>
      </c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 spans="1:26">
      <c r="A92" s="100" t="e">
        <f ca="1">IFERROR(__xludf.DUMMYFUNCTION("""COMPUTED_VALUE"""),14519844)</f>
        <v>#NAME?</v>
      </c>
      <c r="B92" s="100" t="e">
        <f ca="1">IFERROR(__xludf.DUMMYFUNCTION("""COMPUTED_VALUE"""),"acsusdt")</f>
        <v>#NAME?</v>
      </c>
      <c r="C92" s="100" t="e">
        <f ca="1">IFERROR(__xludf.DUMMYFUNCTION("""COMPUTED_VALUE"""),"0.001149")</f>
        <v>#NAME?</v>
      </c>
      <c r="D92" s="100" t="e">
        <f t="shared" ca="1" si="16"/>
        <v>#NAME?</v>
      </c>
      <c r="E92" s="100" t="e">
        <f t="shared" ca="1" si="16"/>
        <v>#NAME?</v>
      </c>
      <c r="F92" s="100" t="e">
        <f t="shared" ca="1" si="10"/>
        <v>#NAME?</v>
      </c>
      <c r="G92" s="100" t="e">
        <f t="shared" ca="1" si="11"/>
        <v>#NAME?</v>
      </c>
      <c r="H92" s="100" t="e">
        <f t="shared" ca="1" si="12"/>
        <v>#NAME?</v>
      </c>
      <c r="I92" s="100" t="e">
        <f t="shared" ca="1" si="13"/>
        <v>#NAME?</v>
      </c>
      <c r="J92" s="100" t="e">
        <f t="shared" ca="1" si="14"/>
        <v>#NAME?</v>
      </c>
      <c r="K92" s="100" t="e">
        <f t="shared" ca="1" si="15"/>
        <v>#NAME?</v>
      </c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 spans="1:26">
      <c r="A93" s="100" t="e">
        <f ca="1">IFERROR(__xludf.DUMMYFUNCTION("""COMPUTED_VALUE"""),14519845)</f>
        <v>#NAME?</v>
      </c>
      <c r="B93" s="100" t="e">
        <f ca="1">IFERROR(__xludf.DUMMYFUNCTION("""COMPUTED_VALUE"""),"rezusdt")</f>
        <v>#NAME?</v>
      </c>
      <c r="C93" s="100" t="e">
        <f ca="1">IFERROR(__xludf.DUMMYFUNCTION("""COMPUTED_VALUE"""),"0.0127")</f>
        <v>#NAME?</v>
      </c>
      <c r="D93" s="100" t="e">
        <f t="shared" ca="1" si="16"/>
        <v>#NAME?</v>
      </c>
      <c r="E93" s="100" t="e">
        <f t="shared" ca="1" si="16"/>
        <v>#NAME?</v>
      </c>
      <c r="F93" s="100" t="e">
        <f t="shared" ca="1" si="10"/>
        <v>#NAME?</v>
      </c>
      <c r="G93" s="100" t="e">
        <f t="shared" ca="1" si="11"/>
        <v>#NAME?</v>
      </c>
      <c r="H93" s="100" t="e">
        <f t="shared" ca="1" si="12"/>
        <v>#NAME?</v>
      </c>
      <c r="I93" s="100" t="e">
        <f t="shared" ca="1" si="13"/>
        <v>#NAME?</v>
      </c>
      <c r="J93" s="100" t="e">
        <f t="shared" ca="1" si="14"/>
        <v>#NAME?</v>
      </c>
      <c r="K93" s="100" t="e">
        <f t="shared" ca="1" si="15"/>
        <v>#NAME?</v>
      </c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 spans="1:26">
      <c r="A94" s="100" t="e">
        <f ca="1">IFERROR(__xludf.DUMMYFUNCTION("""COMPUTED_VALUE"""),14519846)</f>
        <v>#NAME?</v>
      </c>
      <c r="B94" s="100" t="e">
        <f ca="1">IFERROR(__xludf.DUMMYFUNCTION("""COMPUTED_VALUE"""),"omniusdt")</f>
        <v>#NAME?</v>
      </c>
      <c r="C94" s="100" t="e">
        <f ca="1">IFERROR(__xludf.DUMMYFUNCTION("""COMPUTED_VALUE"""),"2.2237")</f>
        <v>#NAME?</v>
      </c>
      <c r="D94" s="100" t="e">
        <f t="shared" ca="1" si="16"/>
        <v>#NAME?</v>
      </c>
      <c r="E94" s="100" t="e">
        <f t="shared" ca="1" si="16"/>
        <v>#NAME?</v>
      </c>
      <c r="F94" s="100" t="e">
        <f t="shared" ca="1" si="10"/>
        <v>#NAME?</v>
      </c>
      <c r="G94" s="100" t="e">
        <f t="shared" ca="1" si="11"/>
        <v>#NAME?</v>
      </c>
      <c r="H94" s="100" t="e">
        <f t="shared" ca="1" si="12"/>
        <v>#NAME?</v>
      </c>
      <c r="I94" s="100" t="e">
        <f t="shared" ca="1" si="13"/>
        <v>#NAME?</v>
      </c>
      <c r="J94" s="100" t="e">
        <f t="shared" ca="1" si="14"/>
        <v>#NAME?</v>
      </c>
      <c r="K94" s="100" t="e">
        <f t="shared" ca="1" si="15"/>
        <v>#NAME?</v>
      </c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 spans="1:26">
      <c r="A95" s="100" t="e">
        <f ca="1">IFERROR(__xludf.DUMMYFUNCTION("""COMPUTED_VALUE"""),14519847)</f>
        <v>#NAME?</v>
      </c>
      <c r="B95" s="100" t="e">
        <f ca="1">IFERROR(__xludf.DUMMYFUNCTION("""COMPUTED_VALUE"""),"sntusdt")</f>
        <v>#NAME?</v>
      </c>
      <c r="C95" s="100" t="e">
        <f ca="1">IFERROR(__xludf.DUMMYFUNCTION("""COMPUTED_VALUE"""),"0.022196")</f>
        <v>#NAME?</v>
      </c>
      <c r="D95" s="100" t="e">
        <f t="shared" ca="1" si="16"/>
        <v>#NAME?</v>
      </c>
      <c r="E95" s="100" t="e">
        <f t="shared" ca="1" si="16"/>
        <v>#NAME?</v>
      </c>
      <c r="F95" s="100" t="e">
        <f t="shared" ca="1" si="10"/>
        <v>#NAME?</v>
      </c>
      <c r="G95" s="100" t="e">
        <f t="shared" ca="1" si="11"/>
        <v>#NAME?</v>
      </c>
      <c r="H95" s="100" t="e">
        <f t="shared" ca="1" si="12"/>
        <v>#NAME?</v>
      </c>
      <c r="I95" s="100" t="e">
        <f t="shared" ca="1" si="13"/>
        <v>#NAME?</v>
      </c>
      <c r="J95" s="100" t="e">
        <f t="shared" ca="1" si="14"/>
        <v>#NAME?</v>
      </c>
      <c r="K95" s="100" t="e">
        <f t="shared" ca="1" si="15"/>
        <v>#NAME?</v>
      </c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 spans="1:26">
      <c r="A96" s="100" t="e">
        <f ca="1">IFERROR(__xludf.DUMMYFUNCTION("""COMPUTED_VALUE"""),14519848)</f>
        <v>#NAME?</v>
      </c>
      <c r="B96" s="100" t="e">
        <f ca="1">IFERROR(__xludf.DUMMYFUNCTION("""COMPUTED_VALUE"""),"flokiusdt")</f>
        <v>#NAME?</v>
      </c>
      <c r="C96" s="100" t="e">
        <f ca="1">IFERROR(__xludf.DUMMYFUNCTION("""COMPUTED_VALUE"""),"5.879e-05")</f>
        <v>#NAME?</v>
      </c>
      <c r="D96" s="100" t="e">
        <f t="shared" ca="1" si="16"/>
        <v>#NAME?</v>
      </c>
      <c r="E96" s="100" t="e">
        <f t="shared" ca="1" si="16"/>
        <v>#NAME?</v>
      </c>
      <c r="F96" s="100" t="e">
        <f t="shared" ca="1" si="10"/>
        <v>#NAME?</v>
      </c>
      <c r="G96" s="100" t="e">
        <f t="shared" ca="1" si="11"/>
        <v>#NAME?</v>
      </c>
      <c r="H96" s="100" t="e">
        <f t="shared" ca="1" si="12"/>
        <v>#NAME?</v>
      </c>
      <c r="I96" s="100" t="e">
        <f t="shared" ca="1" si="13"/>
        <v>#NAME?</v>
      </c>
      <c r="J96" s="100" t="e">
        <f t="shared" ca="1" si="14"/>
        <v>#NAME?</v>
      </c>
      <c r="K96" s="100" t="e">
        <f t="shared" ca="1" si="15"/>
        <v>#NAME?</v>
      </c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 spans="1:26">
      <c r="A97" s="100" t="e">
        <f ca="1">IFERROR(__xludf.DUMMYFUNCTION("""COMPUTED_VALUE"""),14519849)</f>
        <v>#NAME?</v>
      </c>
      <c r="B97" s="100" t="e">
        <f ca="1">IFERROR(__xludf.DUMMYFUNCTION("""COMPUTED_VALUE"""),"xmrusdt")</f>
        <v>#NAME?</v>
      </c>
      <c r="C97" s="100" t="e">
        <f ca="1">IFERROR(__xludf.DUMMYFUNCTION("""COMPUTED_VALUE"""),"217.14")</f>
        <v>#NAME?</v>
      </c>
      <c r="D97" s="100" t="e">
        <f t="shared" ca="1" si="16"/>
        <v>#NAME?</v>
      </c>
      <c r="E97" s="100" t="e">
        <f t="shared" ca="1" si="16"/>
        <v>#NAME?</v>
      </c>
      <c r="F97" s="100" t="e">
        <f t="shared" ca="1" si="10"/>
        <v>#NAME?</v>
      </c>
      <c r="G97" s="100" t="e">
        <f t="shared" ca="1" si="11"/>
        <v>#NAME?</v>
      </c>
      <c r="H97" s="100" t="e">
        <f t="shared" ca="1" si="12"/>
        <v>#NAME?</v>
      </c>
      <c r="I97" s="100" t="e">
        <f t="shared" ca="1" si="13"/>
        <v>#NAME?</v>
      </c>
      <c r="J97" s="100" t="e">
        <f t="shared" ca="1" si="14"/>
        <v>#NAME?</v>
      </c>
      <c r="K97" s="100" t="e">
        <f t="shared" ca="1" si="15"/>
        <v>#NAME?</v>
      </c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 spans="1:26">
      <c r="A98" s="100" t="e">
        <f ca="1">IFERROR(__xludf.DUMMYFUNCTION("""COMPUTED_VALUE"""),14519850)</f>
        <v>#NAME?</v>
      </c>
      <c r="B98" s="100" t="e">
        <f ca="1">IFERROR(__xludf.DUMMYFUNCTION("""COMPUTED_VALUE"""),"zkpusdt")</f>
        <v>#NAME?</v>
      </c>
      <c r="C98" s="100" t="e">
        <f ca="1">IFERROR(__xludf.DUMMYFUNCTION("""COMPUTED_VALUE"""),"0.0128")</f>
        <v>#NAME?</v>
      </c>
      <c r="D98" s="100" t="e">
        <f t="shared" ca="1" si="16"/>
        <v>#NAME?</v>
      </c>
      <c r="E98" s="100" t="e">
        <f t="shared" ca="1" si="16"/>
        <v>#NAME?</v>
      </c>
      <c r="F98" s="100" t="e">
        <f t="shared" ca="1" si="10"/>
        <v>#NAME?</v>
      </c>
      <c r="G98" s="100" t="e">
        <f t="shared" ca="1" si="11"/>
        <v>#NAME?</v>
      </c>
      <c r="H98" s="100" t="e">
        <f t="shared" ca="1" si="12"/>
        <v>#NAME?</v>
      </c>
      <c r="I98" s="100" t="e">
        <f t="shared" ca="1" si="13"/>
        <v>#NAME?</v>
      </c>
      <c r="J98" s="100" t="e">
        <f t="shared" ca="1" si="14"/>
        <v>#NAME?</v>
      </c>
      <c r="K98" s="100" t="e">
        <f t="shared" ca="1" si="15"/>
        <v>#NAME?</v>
      </c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 spans="1:26">
      <c r="A99" s="100" t="e">
        <f ca="1">IFERROR(__xludf.DUMMYFUNCTION("""COMPUTED_VALUE"""),14519851)</f>
        <v>#NAME?</v>
      </c>
      <c r="B99" s="100" t="e">
        <f ca="1">IFERROR(__xludf.DUMMYFUNCTION("""COMPUTED_VALUE"""),"chrusdt")</f>
        <v>#NAME?</v>
      </c>
      <c r="C99" s="100" t="e">
        <f ca="1">IFERROR(__xludf.DUMMYFUNCTION("""COMPUTED_VALUE"""),"0.087869")</f>
        <v>#NAME?</v>
      </c>
      <c r="D99" s="100" t="e">
        <f t="shared" ca="1" si="16"/>
        <v>#NAME?</v>
      </c>
      <c r="E99" s="100" t="e">
        <f t="shared" ca="1" si="16"/>
        <v>#NAME?</v>
      </c>
      <c r="F99" s="100" t="e">
        <f t="shared" ca="1" si="10"/>
        <v>#NAME?</v>
      </c>
      <c r="G99" s="100" t="e">
        <f t="shared" ca="1" si="11"/>
        <v>#NAME?</v>
      </c>
      <c r="H99" s="100" t="e">
        <f t="shared" ca="1" si="12"/>
        <v>#NAME?</v>
      </c>
      <c r="I99" s="100" t="e">
        <f t="shared" ca="1" si="13"/>
        <v>#NAME?</v>
      </c>
      <c r="J99" s="100" t="e">
        <f t="shared" ca="1" si="14"/>
        <v>#NAME?</v>
      </c>
      <c r="K99" s="100" t="e">
        <f t="shared" ca="1" si="15"/>
        <v>#NAME?</v>
      </c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 spans="1:26">
      <c r="A100" s="100" t="e">
        <f ca="1">IFERROR(__xludf.DUMMYFUNCTION("""COMPUTED_VALUE"""),14519852)</f>
        <v>#NAME?</v>
      </c>
      <c r="B100" s="100" t="e">
        <f ca="1">IFERROR(__xludf.DUMMYFUNCTION("""COMPUTED_VALUE"""),"xcadusdt")</f>
        <v>#NAME?</v>
      </c>
      <c r="C100" s="100" t="e">
        <f ca="1">IFERROR(__xludf.DUMMYFUNCTION("""COMPUTED_VALUE"""),"0.0542")</f>
        <v>#NAME?</v>
      </c>
      <c r="D100" s="100" t="e">
        <f t="shared" ca="1" si="16"/>
        <v>#NAME?</v>
      </c>
      <c r="E100" s="100" t="e">
        <f t="shared" ca="1" si="16"/>
        <v>#NAME?</v>
      </c>
      <c r="F100" s="100" t="e">
        <f t="shared" ca="1" si="10"/>
        <v>#NAME?</v>
      </c>
      <c r="G100" s="100" t="e">
        <f t="shared" ca="1" si="11"/>
        <v>#NAME?</v>
      </c>
      <c r="H100" s="100" t="e">
        <f t="shared" ca="1" si="12"/>
        <v>#NAME?</v>
      </c>
      <c r="I100" s="100" t="e">
        <f t="shared" ca="1" si="13"/>
        <v>#NAME?</v>
      </c>
      <c r="J100" s="100" t="e">
        <f t="shared" ca="1" si="14"/>
        <v>#NAME?</v>
      </c>
      <c r="K100" s="100" t="e">
        <f t="shared" ca="1" si="15"/>
        <v>#NAME?</v>
      </c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 spans="1:26">
      <c r="A101" s="100" t="e">
        <f ca="1">IFERROR(__xludf.DUMMYFUNCTION("""COMPUTED_VALUE"""),14519853)</f>
        <v>#NAME?</v>
      </c>
      <c r="B101" s="100" t="e">
        <f ca="1">IFERROR(__xludf.DUMMYFUNCTION("""COMPUTED_VALUE"""),"dydxusdt")</f>
        <v>#NAME?</v>
      </c>
      <c r="C101" s="100" t="e">
        <f ca="1">IFERROR(__xludf.DUMMYFUNCTION("""COMPUTED_VALUE"""),"0.5856")</f>
        <v>#NAME?</v>
      </c>
      <c r="D101" s="100" t="e">
        <f t="shared" ca="1" si="16"/>
        <v>#NAME?</v>
      </c>
      <c r="E101" s="100" t="e">
        <f t="shared" ca="1" si="16"/>
        <v>#NAME?</v>
      </c>
      <c r="F101" s="100" t="e">
        <f t="shared" ca="1" si="10"/>
        <v>#NAME?</v>
      </c>
      <c r="G101" s="100" t="e">
        <f t="shared" ca="1" si="11"/>
        <v>#NAME?</v>
      </c>
      <c r="H101" s="100" t="e">
        <f t="shared" ca="1" si="12"/>
        <v>#NAME?</v>
      </c>
      <c r="I101" s="100" t="e">
        <f t="shared" ca="1" si="13"/>
        <v>#NAME?</v>
      </c>
      <c r="J101" s="100" t="e">
        <f t="shared" ca="1" si="14"/>
        <v>#NAME?</v>
      </c>
      <c r="K101" s="100" t="e">
        <f t="shared" ca="1" si="15"/>
        <v>#NAME?</v>
      </c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 spans="1:26">
      <c r="A102" s="100" t="e">
        <f ca="1">IFERROR(__xludf.DUMMYFUNCTION("""COMPUTED_VALUE"""),14519854)</f>
        <v>#NAME?</v>
      </c>
      <c r="B102" s="100" t="e">
        <f ca="1">IFERROR(__xludf.DUMMYFUNCTION("""COMPUTED_VALUE"""),"manausdt")</f>
        <v>#NAME?</v>
      </c>
      <c r="C102" s="100" t="e">
        <f ca="1">IFERROR(__xludf.DUMMYFUNCTION("""COMPUTED_VALUE"""),"0.2995")</f>
        <v>#NAME?</v>
      </c>
      <c r="D102" s="100" t="e">
        <f t="shared" ref="D102:E121" ca="1" si="17">IFERROR(__xludf.DUMMYFUNCTION("""COMPUTED_VALUE"""),"-")</f>
        <v>#NAME?</v>
      </c>
      <c r="E102" s="100" t="e">
        <f t="shared" ca="1" si="17"/>
        <v>#NAME?</v>
      </c>
      <c r="F102" s="100" t="e">
        <f t="shared" ca="1" si="10"/>
        <v>#NAME?</v>
      </c>
      <c r="G102" s="100" t="e">
        <f t="shared" ca="1" si="11"/>
        <v>#NAME?</v>
      </c>
      <c r="H102" s="100" t="e">
        <f t="shared" ca="1" si="12"/>
        <v>#NAME?</v>
      </c>
      <c r="I102" s="100" t="e">
        <f t="shared" ca="1" si="13"/>
        <v>#NAME?</v>
      </c>
      <c r="J102" s="100" t="e">
        <f t="shared" ca="1" si="14"/>
        <v>#NAME?</v>
      </c>
      <c r="K102" s="100" t="e">
        <f t="shared" ca="1" si="15"/>
        <v>#NAME?</v>
      </c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 spans="1:26">
      <c r="A103" s="100" t="e">
        <f ca="1">IFERROR(__xludf.DUMMYFUNCTION("""COMPUTED_VALUE"""),14519855)</f>
        <v>#NAME?</v>
      </c>
      <c r="B103" s="100" t="e">
        <f ca="1">IFERROR(__xludf.DUMMYFUNCTION("""COMPUTED_VALUE"""),"oxusdt")</f>
        <v>#NAME?</v>
      </c>
      <c r="C103" s="100" t="e">
        <f ca="1">IFERROR(__xludf.DUMMYFUNCTION("""COMPUTED_VALUE"""),"0.002226")</f>
        <v>#NAME?</v>
      </c>
      <c r="D103" s="100" t="e">
        <f t="shared" ca="1" si="17"/>
        <v>#NAME?</v>
      </c>
      <c r="E103" s="100" t="e">
        <f t="shared" ca="1" si="17"/>
        <v>#NAME?</v>
      </c>
      <c r="F103" s="100" t="e">
        <f t="shared" ca="1" si="10"/>
        <v>#NAME?</v>
      </c>
      <c r="G103" s="100" t="e">
        <f t="shared" ca="1" si="11"/>
        <v>#NAME?</v>
      </c>
      <c r="H103" s="100" t="e">
        <f t="shared" ca="1" si="12"/>
        <v>#NAME?</v>
      </c>
      <c r="I103" s="100" t="e">
        <f t="shared" ca="1" si="13"/>
        <v>#NAME?</v>
      </c>
      <c r="J103" s="100" t="e">
        <f t="shared" ca="1" si="14"/>
        <v>#NAME?</v>
      </c>
      <c r="K103" s="100" t="e">
        <f t="shared" ca="1" si="15"/>
        <v>#NAME?</v>
      </c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 spans="1:26">
      <c r="A104" s="100" t="e">
        <f ca="1">IFERROR(__xludf.DUMMYFUNCTION("""COMPUTED_VALUE"""),14519856)</f>
        <v>#NAME?</v>
      </c>
      <c r="B104" s="100" t="e">
        <f ca="1">IFERROR(__xludf.DUMMYFUNCTION("""COMPUTED_VALUE"""),"omusdt")</f>
        <v>#NAME?</v>
      </c>
      <c r="C104" s="100" t="e">
        <f ca="1">IFERROR(__xludf.DUMMYFUNCTION("""COMPUTED_VALUE"""),"0.538")</f>
        <v>#NAME?</v>
      </c>
      <c r="D104" s="100" t="e">
        <f t="shared" ca="1" si="17"/>
        <v>#NAME?</v>
      </c>
      <c r="E104" s="100" t="e">
        <f t="shared" ca="1" si="17"/>
        <v>#NAME?</v>
      </c>
      <c r="F104" s="100" t="e">
        <f t="shared" ca="1" si="10"/>
        <v>#NAME?</v>
      </c>
      <c r="G104" s="100" t="e">
        <f t="shared" ca="1" si="11"/>
        <v>#NAME?</v>
      </c>
      <c r="H104" s="100" t="e">
        <f t="shared" ca="1" si="12"/>
        <v>#NAME?</v>
      </c>
      <c r="I104" s="100" t="e">
        <f t="shared" ca="1" si="13"/>
        <v>#NAME?</v>
      </c>
      <c r="J104" s="100" t="e">
        <f t="shared" ca="1" si="14"/>
        <v>#NAME?</v>
      </c>
      <c r="K104" s="100" t="e">
        <f t="shared" ca="1" si="15"/>
        <v>#NAME?</v>
      </c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 spans="1:26">
      <c r="A105" s="100" t="e">
        <f ca="1">IFERROR(__xludf.DUMMYFUNCTION("""COMPUTED_VALUE"""),14519857)</f>
        <v>#NAME?</v>
      </c>
      <c r="B105" s="100" t="e">
        <f ca="1">IFERROR(__xludf.DUMMYFUNCTION("""COMPUTED_VALUE"""),"alchusdt")</f>
        <v>#NAME?</v>
      </c>
      <c r="C105" s="100" t="e">
        <f ca="1">IFERROR(__xludf.DUMMYFUNCTION("""COMPUTED_VALUE"""),"0.15441")</f>
        <v>#NAME?</v>
      </c>
      <c r="D105" s="100" t="e">
        <f t="shared" ca="1" si="17"/>
        <v>#NAME?</v>
      </c>
      <c r="E105" s="100" t="e">
        <f t="shared" ca="1" si="17"/>
        <v>#NAME?</v>
      </c>
      <c r="F105" s="100" t="e">
        <f t="shared" ca="1" si="10"/>
        <v>#NAME?</v>
      </c>
      <c r="G105" s="100" t="e">
        <f t="shared" ca="1" si="11"/>
        <v>#NAME?</v>
      </c>
      <c r="H105" s="100" t="e">
        <f t="shared" ca="1" si="12"/>
        <v>#NAME?</v>
      </c>
      <c r="I105" s="100" t="e">
        <f t="shared" ca="1" si="13"/>
        <v>#NAME?</v>
      </c>
      <c r="J105" s="100" t="e">
        <f t="shared" ca="1" si="14"/>
        <v>#NAME?</v>
      </c>
      <c r="K105" s="100" t="e">
        <f t="shared" ca="1" si="15"/>
        <v>#NAME?</v>
      </c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 spans="1:26">
      <c r="A106" s="100" t="e">
        <f ca="1">IFERROR(__xludf.DUMMYFUNCTION("""COMPUTED_VALUE"""),14519858)</f>
        <v>#NAME?</v>
      </c>
      <c r="B106" s="100" t="e">
        <f ca="1">IFERROR(__xludf.DUMMYFUNCTION("""COMPUTED_VALUE"""),"nymusdt")</f>
        <v>#NAME?</v>
      </c>
      <c r="C106" s="100" t="e">
        <f ca="1">IFERROR(__xludf.DUMMYFUNCTION("""COMPUTED_VALUE"""),"0.0502")</f>
        <v>#NAME?</v>
      </c>
      <c r="D106" s="100" t="e">
        <f t="shared" ca="1" si="17"/>
        <v>#NAME?</v>
      </c>
      <c r="E106" s="100" t="e">
        <f t="shared" ca="1" si="17"/>
        <v>#NAME?</v>
      </c>
      <c r="F106" s="100" t="e">
        <f t="shared" ca="1" si="10"/>
        <v>#NAME?</v>
      </c>
      <c r="G106" s="100" t="e">
        <f t="shared" ca="1" si="11"/>
        <v>#NAME?</v>
      </c>
      <c r="H106" s="100" t="e">
        <f t="shared" ca="1" si="12"/>
        <v>#NAME?</v>
      </c>
      <c r="I106" s="100" t="e">
        <f t="shared" ca="1" si="13"/>
        <v>#NAME?</v>
      </c>
      <c r="J106" s="100" t="e">
        <f t="shared" ca="1" si="14"/>
        <v>#NAME?</v>
      </c>
      <c r="K106" s="100" t="e">
        <f t="shared" ca="1" si="15"/>
        <v>#NAME?</v>
      </c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 spans="1:26">
      <c r="A107" s="100" t="e">
        <f ca="1">IFERROR(__xludf.DUMMYFUNCTION("""COMPUTED_VALUE"""),14519859)</f>
        <v>#NAME?</v>
      </c>
      <c r="B107" s="100" t="e">
        <f ca="1">IFERROR(__xludf.DUMMYFUNCTION("""COMPUTED_VALUE"""),"etcusdt")</f>
        <v>#NAME?</v>
      </c>
      <c r="C107" s="100" t="e">
        <f ca="1">IFERROR(__xludf.DUMMYFUNCTION("""COMPUTED_VALUE"""),"15.6088")</f>
        <v>#NAME?</v>
      </c>
      <c r="D107" s="100" t="e">
        <f t="shared" ca="1" si="17"/>
        <v>#NAME?</v>
      </c>
      <c r="E107" s="100" t="e">
        <f t="shared" ca="1" si="17"/>
        <v>#NAME?</v>
      </c>
      <c r="F107" s="100" t="e">
        <f t="shared" ca="1" si="10"/>
        <v>#NAME?</v>
      </c>
      <c r="G107" s="100" t="e">
        <f t="shared" ca="1" si="11"/>
        <v>#NAME?</v>
      </c>
      <c r="H107" s="100" t="e">
        <f t="shared" ca="1" si="12"/>
        <v>#NAME?</v>
      </c>
      <c r="I107" s="100" t="e">
        <f t="shared" ca="1" si="13"/>
        <v>#NAME?</v>
      </c>
      <c r="J107" s="100" t="e">
        <f t="shared" ca="1" si="14"/>
        <v>#NAME?</v>
      </c>
      <c r="K107" s="100" t="e">
        <f t="shared" ca="1" si="15"/>
        <v>#NAME?</v>
      </c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 spans="1:26">
      <c r="A108" s="100" t="e">
        <f ca="1">IFERROR(__xludf.DUMMYFUNCTION("""COMPUTED_VALUE"""),14519860)</f>
        <v>#NAME?</v>
      </c>
      <c r="B108" s="100" t="e">
        <f ca="1">IFERROR(__xludf.DUMMYFUNCTION("""COMPUTED_VALUE"""),"seiusdt")</f>
        <v>#NAME?</v>
      </c>
      <c r="C108" s="100" t="e">
        <f ca="1">IFERROR(__xludf.DUMMYFUNCTION("""COMPUTED_VALUE"""),"0.1796")</f>
        <v>#NAME?</v>
      </c>
      <c r="D108" s="100" t="e">
        <f t="shared" ca="1" si="17"/>
        <v>#NAME?</v>
      </c>
      <c r="E108" s="100" t="e">
        <f t="shared" ca="1" si="17"/>
        <v>#NAME?</v>
      </c>
      <c r="F108" s="100" t="e">
        <f t="shared" ca="1" si="10"/>
        <v>#NAME?</v>
      </c>
      <c r="G108" s="100" t="e">
        <f t="shared" ca="1" si="11"/>
        <v>#NAME?</v>
      </c>
      <c r="H108" s="100" t="e">
        <f t="shared" ca="1" si="12"/>
        <v>#NAME?</v>
      </c>
      <c r="I108" s="100" t="e">
        <f t="shared" ca="1" si="13"/>
        <v>#NAME?</v>
      </c>
      <c r="J108" s="100" t="e">
        <f t="shared" ca="1" si="14"/>
        <v>#NAME?</v>
      </c>
      <c r="K108" s="100" t="e">
        <f t="shared" ca="1" si="15"/>
        <v>#NAME?</v>
      </c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 spans="1:26">
      <c r="A109" s="100" t="e">
        <f ca="1">IFERROR(__xludf.DUMMYFUNCTION("""COMPUTED_VALUE"""),14519861)</f>
        <v>#NAME?</v>
      </c>
      <c r="B109" s="100" t="e">
        <f ca="1">IFERROR(__xludf.DUMMYFUNCTION("""COMPUTED_VALUE"""),"wsmusdt")</f>
        <v>#NAME?</v>
      </c>
      <c r="C109" s="100" t="e">
        <f ca="1">IFERROR(__xludf.DUMMYFUNCTION("""COMPUTED_VALUE"""),"0.000521")</f>
        <v>#NAME?</v>
      </c>
      <c r="D109" s="100" t="e">
        <f t="shared" ca="1" si="17"/>
        <v>#NAME?</v>
      </c>
      <c r="E109" s="100" t="e">
        <f t="shared" ca="1" si="17"/>
        <v>#NAME?</v>
      </c>
      <c r="F109" s="100" t="e">
        <f t="shared" ca="1" si="10"/>
        <v>#NAME?</v>
      </c>
      <c r="G109" s="100" t="e">
        <f t="shared" ca="1" si="11"/>
        <v>#NAME?</v>
      </c>
      <c r="H109" s="100" t="e">
        <f t="shared" ca="1" si="12"/>
        <v>#NAME?</v>
      </c>
      <c r="I109" s="100" t="e">
        <f t="shared" ca="1" si="13"/>
        <v>#NAME?</v>
      </c>
      <c r="J109" s="100" t="e">
        <f t="shared" ca="1" si="14"/>
        <v>#NAME?</v>
      </c>
      <c r="K109" s="100" t="e">
        <f t="shared" ca="1" si="15"/>
        <v>#NAME?</v>
      </c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 spans="1:26">
      <c r="A110" s="100" t="e">
        <f ca="1">IFERROR(__xludf.DUMMYFUNCTION("""COMPUTED_VALUE"""),14519862)</f>
        <v>#NAME?</v>
      </c>
      <c r="B110" s="100" t="e">
        <f ca="1">IFERROR(__xludf.DUMMYFUNCTION("""COMPUTED_VALUE"""),"vicusdt")</f>
        <v>#NAME?</v>
      </c>
      <c r="C110" s="100" t="e">
        <f ca="1">IFERROR(__xludf.DUMMYFUNCTION("""COMPUTED_VALUE"""),"0.2023")</f>
        <v>#NAME?</v>
      </c>
      <c r="D110" s="100" t="e">
        <f t="shared" ca="1" si="17"/>
        <v>#NAME?</v>
      </c>
      <c r="E110" s="100" t="e">
        <f t="shared" ca="1" si="17"/>
        <v>#NAME?</v>
      </c>
      <c r="F110" s="100" t="e">
        <f t="shared" ca="1" si="10"/>
        <v>#NAME?</v>
      </c>
      <c r="G110" s="100" t="e">
        <f t="shared" ca="1" si="11"/>
        <v>#NAME?</v>
      </c>
      <c r="H110" s="100" t="e">
        <f t="shared" ca="1" si="12"/>
        <v>#NAME?</v>
      </c>
      <c r="I110" s="100" t="e">
        <f t="shared" ca="1" si="13"/>
        <v>#NAME?</v>
      </c>
      <c r="J110" s="100" t="e">
        <f t="shared" ca="1" si="14"/>
        <v>#NAME?</v>
      </c>
      <c r="K110" s="100" t="e">
        <f t="shared" ca="1" si="15"/>
        <v>#NAME?</v>
      </c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 spans="1:26">
      <c r="A111" s="100" t="e">
        <f ca="1">IFERROR(__xludf.DUMMYFUNCTION("""COMPUTED_VALUE"""),14519863)</f>
        <v>#NAME?</v>
      </c>
      <c r="B111" s="100" t="e">
        <f ca="1">IFERROR(__xludf.DUMMYFUNCTION("""COMPUTED_VALUE"""),"snceth")</f>
        <v>#NAME?</v>
      </c>
      <c r="C111" s="100" t="e">
        <f ca="1">IFERROR(__xludf.DUMMYFUNCTION("""COMPUTED_VALUE"""),"2e-05")</f>
        <v>#NAME?</v>
      </c>
      <c r="D111" s="100" t="e">
        <f t="shared" ca="1" si="17"/>
        <v>#NAME?</v>
      </c>
      <c r="E111" s="100" t="e">
        <f t="shared" ca="1" si="17"/>
        <v>#NAME?</v>
      </c>
      <c r="F111" s="100" t="e">
        <f t="shared" ca="1" si="10"/>
        <v>#NAME?</v>
      </c>
      <c r="G111" s="100" t="e">
        <f t="shared" ca="1" si="11"/>
        <v>#NAME?</v>
      </c>
      <c r="H111" s="100" t="e">
        <f t="shared" ca="1" si="12"/>
        <v>#NAME?</v>
      </c>
      <c r="I111" s="100" t="e">
        <f t="shared" ca="1" si="13"/>
        <v>#NAME?</v>
      </c>
      <c r="J111" s="100" t="e">
        <f t="shared" ca="1" si="14"/>
        <v>#NAME?</v>
      </c>
      <c r="K111" s="100" t="e">
        <f t="shared" ca="1" si="15"/>
        <v>#NAME?</v>
      </c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 spans="1:26">
      <c r="A112" s="100" t="e">
        <f ca="1">IFERROR(__xludf.DUMMYFUNCTION("""COMPUTED_VALUE"""),14519864)</f>
        <v>#NAME?</v>
      </c>
      <c r="B112" s="100" t="e">
        <f ca="1">IFERROR(__xludf.DUMMYFUNCTION("""COMPUTED_VALUE"""),"mubiusdt")</f>
        <v>#NAME?</v>
      </c>
      <c r="C112" s="100" t="e">
        <f ca="1">IFERROR(__xludf.DUMMYFUNCTION("""COMPUTED_VALUE"""),"0.0057")</f>
        <v>#NAME?</v>
      </c>
      <c r="D112" s="100" t="e">
        <f t="shared" ca="1" si="17"/>
        <v>#NAME?</v>
      </c>
      <c r="E112" s="100" t="e">
        <f t="shared" ca="1" si="17"/>
        <v>#NAME?</v>
      </c>
      <c r="F112" s="100" t="e">
        <f t="shared" ca="1" si="10"/>
        <v>#NAME?</v>
      </c>
      <c r="G112" s="100" t="e">
        <f t="shared" ca="1" si="11"/>
        <v>#NAME?</v>
      </c>
      <c r="H112" s="100" t="e">
        <f t="shared" ca="1" si="12"/>
        <v>#NAME?</v>
      </c>
      <c r="I112" s="100" t="e">
        <f t="shared" ca="1" si="13"/>
        <v>#NAME?</v>
      </c>
      <c r="J112" s="100" t="e">
        <f t="shared" ca="1" si="14"/>
        <v>#NAME?</v>
      </c>
      <c r="K112" s="100" t="e">
        <f t="shared" ca="1" si="15"/>
        <v>#NAME?</v>
      </c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 spans="1:26">
      <c r="A113" s="100" t="e">
        <f ca="1">IFERROR(__xludf.DUMMYFUNCTION("""COMPUTED_VALUE"""),14519865)</f>
        <v>#NAME?</v>
      </c>
      <c r="B113" s="100" t="e">
        <f ca="1">IFERROR(__xludf.DUMMYFUNCTION("""COMPUTED_VALUE"""),"steemusdt")</f>
        <v>#NAME?</v>
      </c>
      <c r="C113" s="100" t="e">
        <f ca="1">IFERROR(__xludf.DUMMYFUNCTION("""COMPUTED_VALUE"""),"0.1415")</f>
        <v>#NAME?</v>
      </c>
      <c r="D113" s="100" t="e">
        <f t="shared" ca="1" si="17"/>
        <v>#NAME?</v>
      </c>
      <c r="E113" s="100" t="e">
        <f t="shared" ca="1" si="17"/>
        <v>#NAME?</v>
      </c>
      <c r="F113" s="100" t="e">
        <f t="shared" ca="1" si="10"/>
        <v>#NAME?</v>
      </c>
      <c r="G113" s="100" t="e">
        <f t="shared" ca="1" si="11"/>
        <v>#NAME?</v>
      </c>
      <c r="H113" s="100" t="e">
        <f t="shared" ca="1" si="12"/>
        <v>#NAME?</v>
      </c>
      <c r="I113" s="100" t="e">
        <f t="shared" ca="1" si="13"/>
        <v>#NAME?</v>
      </c>
      <c r="J113" s="100" t="e">
        <f t="shared" ca="1" si="14"/>
        <v>#NAME?</v>
      </c>
      <c r="K113" s="100" t="e">
        <f t="shared" ca="1" si="15"/>
        <v>#NAME?</v>
      </c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 spans="1:26">
      <c r="A114" s="100" t="e">
        <f ca="1">IFERROR(__xludf.DUMMYFUNCTION("""COMPUTED_VALUE"""),14519866)</f>
        <v>#NAME?</v>
      </c>
      <c r="B114" s="100" t="e">
        <f ca="1">IFERROR(__xludf.DUMMYFUNCTION("""COMPUTED_VALUE"""),"tbullusdt")</f>
        <v>#NAME?</v>
      </c>
      <c r="C114" s="100" t="e">
        <f ca="1">IFERROR(__xludf.DUMMYFUNCTION("""COMPUTED_VALUE"""),"0.00256")</f>
        <v>#NAME?</v>
      </c>
      <c r="D114" s="100" t="e">
        <f t="shared" ca="1" si="17"/>
        <v>#NAME?</v>
      </c>
      <c r="E114" s="100" t="e">
        <f t="shared" ca="1" si="17"/>
        <v>#NAME?</v>
      </c>
      <c r="F114" s="100" t="e">
        <f t="shared" ca="1" si="10"/>
        <v>#NAME?</v>
      </c>
      <c r="G114" s="100" t="e">
        <f t="shared" ca="1" si="11"/>
        <v>#NAME?</v>
      </c>
      <c r="H114" s="100" t="e">
        <f t="shared" ca="1" si="12"/>
        <v>#NAME?</v>
      </c>
      <c r="I114" s="100" t="e">
        <f t="shared" ca="1" si="13"/>
        <v>#NAME?</v>
      </c>
      <c r="J114" s="100" t="e">
        <f t="shared" ca="1" si="14"/>
        <v>#NAME?</v>
      </c>
      <c r="K114" s="100" t="e">
        <f t="shared" ca="1" si="15"/>
        <v>#NAME?</v>
      </c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 spans="1:26">
      <c r="A115" s="100" t="e">
        <f ca="1">IFERROR(__xludf.DUMMYFUNCTION("""COMPUTED_VALUE"""),14519867)</f>
        <v>#NAME?</v>
      </c>
      <c r="B115" s="100" t="e">
        <f ca="1">IFERROR(__xludf.DUMMYFUNCTION("""COMPUTED_VALUE"""),"aiozusdt")</f>
        <v>#NAME?</v>
      </c>
      <c r="C115" s="100" t="e">
        <f ca="1">IFERROR(__xludf.DUMMYFUNCTION("""COMPUTED_VALUE"""),"0.2828")</f>
        <v>#NAME?</v>
      </c>
      <c r="D115" s="100" t="e">
        <f t="shared" ca="1" si="17"/>
        <v>#NAME?</v>
      </c>
      <c r="E115" s="100" t="e">
        <f t="shared" ca="1" si="17"/>
        <v>#NAME?</v>
      </c>
      <c r="F115" s="100" t="e">
        <f t="shared" ca="1" si="10"/>
        <v>#NAME?</v>
      </c>
      <c r="G115" s="100" t="e">
        <f t="shared" ca="1" si="11"/>
        <v>#NAME?</v>
      </c>
      <c r="H115" s="100" t="e">
        <f t="shared" ca="1" si="12"/>
        <v>#NAME?</v>
      </c>
      <c r="I115" s="100" t="e">
        <f t="shared" ca="1" si="13"/>
        <v>#NAME?</v>
      </c>
      <c r="J115" s="100" t="e">
        <f t="shared" ca="1" si="14"/>
        <v>#NAME?</v>
      </c>
      <c r="K115" s="100" t="e">
        <f t="shared" ca="1" si="15"/>
        <v>#NAME?</v>
      </c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 spans="1:26">
      <c r="A116" s="100" t="e">
        <f ca="1">IFERROR(__xludf.DUMMYFUNCTION("""COMPUTED_VALUE"""),14519868)</f>
        <v>#NAME?</v>
      </c>
      <c r="B116" s="100" t="e">
        <f ca="1">IFERROR(__xludf.DUMMYFUNCTION("""COMPUTED_VALUE"""),"cyberusdt")</f>
        <v>#NAME?</v>
      </c>
      <c r="C116" s="100" t="e">
        <f ca="1">IFERROR(__xludf.DUMMYFUNCTION("""COMPUTED_VALUE"""),"1.1901")</f>
        <v>#NAME?</v>
      </c>
      <c r="D116" s="100" t="e">
        <f t="shared" ca="1" si="17"/>
        <v>#NAME?</v>
      </c>
      <c r="E116" s="100" t="e">
        <f t="shared" ca="1" si="17"/>
        <v>#NAME?</v>
      </c>
      <c r="F116" s="100" t="e">
        <f t="shared" ca="1" si="10"/>
        <v>#NAME?</v>
      </c>
      <c r="G116" s="100" t="e">
        <f t="shared" ca="1" si="11"/>
        <v>#NAME?</v>
      </c>
      <c r="H116" s="100" t="e">
        <f t="shared" ca="1" si="12"/>
        <v>#NAME?</v>
      </c>
      <c r="I116" s="100" t="e">
        <f t="shared" ca="1" si="13"/>
        <v>#NAME?</v>
      </c>
      <c r="J116" s="100" t="e">
        <f t="shared" ca="1" si="14"/>
        <v>#NAME?</v>
      </c>
      <c r="K116" s="100" t="e">
        <f t="shared" ca="1" si="15"/>
        <v>#NAME?</v>
      </c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 spans="1:26">
      <c r="A117" s="100" t="e">
        <f ca="1">IFERROR(__xludf.DUMMYFUNCTION("""COMPUTED_VALUE"""),14519869)</f>
        <v>#NAME?</v>
      </c>
      <c r="B117" s="100" t="e">
        <f ca="1">IFERROR(__xludf.DUMMYFUNCTION("""COMPUTED_VALUE"""),"polsusdt")</f>
        <v>#NAME?</v>
      </c>
      <c r="C117" s="100" t="e">
        <f ca="1">IFERROR(__xludf.DUMMYFUNCTION("""COMPUTED_VALUE"""),"0.1995")</f>
        <v>#NAME?</v>
      </c>
      <c r="D117" s="100" t="e">
        <f t="shared" ca="1" si="17"/>
        <v>#NAME?</v>
      </c>
      <c r="E117" s="100" t="e">
        <f t="shared" ca="1" si="17"/>
        <v>#NAME?</v>
      </c>
      <c r="F117" s="100" t="e">
        <f t="shared" ca="1" si="10"/>
        <v>#NAME?</v>
      </c>
      <c r="G117" s="100" t="e">
        <f t="shared" ca="1" si="11"/>
        <v>#NAME?</v>
      </c>
      <c r="H117" s="100" t="e">
        <f t="shared" ca="1" si="12"/>
        <v>#NAME?</v>
      </c>
      <c r="I117" s="100" t="e">
        <f t="shared" ca="1" si="13"/>
        <v>#NAME?</v>
      </c>
      <c r="J117" s="100" t="e">
        <f t="shared" ca="1" si="14"/>
        <v>#NAME?</v>
      </c>
      <c r="K117" s="100" t="e">
        <f t="shared" ca="1" si="15"/>
        <v>#NAME?</v>
      </c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 spans="1:26">
      <c r="A118" s="100" t="e">
        <f ca="1">IFERROR(__xludf.DUMMYFUNCTION("""COMPUTED_VALUE"""),14519870)</f>
        <v>#NAME?</v>
      </c>
      <c r="B118" s="100" t="e">
        <f ca="1">IFERROR(__xludf.DUMMYFUNCTION("""COMPUTED_VALUE"""),"aqtusdt")</f>
        <v>#NAME?</v>
      </c>
      <c r="C118" s="100" t="e">
        <f ca="1">IFERROR(__xludf.DUMMYFUNCTION("""COMPUTED_VALUE"""),"1.1913")</f>
        <v>#NAME?</v>
      </c>
      <c r="D118" s="100" t="e">
        <f t="shared" ca="1" si="17"/>
        <v>#NAME?</v>
      </c>
      <c r="E118" s="100" t="e">
        <f t="shared" ca="1" si="17"/>
        <v>#NAME?</v>
      </c>
      <c r="F118" s="100" t="e">
        <f t="shared" ca="1" si="10"/>
        <v>#NAME?</v>
      </c>
      <c r="G118" s="100" t="e">
        <f t="shared" ca="1" si="11"/>
        <v>#NAME?</v>
      </c>
      <c r="H118" s="100" t="e">
        <f t="shared" ca="1" si="12"/>
        <v>#NAME?</v>
      </c>
      <c r="I118" s="100" t="e">
        <f t="shared" ca="1" si="13"/>
        <v>#NAME?</v>
      </c>
      <c r="J118" s="100" t="e">
        <f t="shared" ca="1" si="14"/>
        <v>#NAME?</v>
      </c>
      <c r="K118" s="100" t="e">
        <f t="shared" ca="1" si="15"/>
        <v>#NAME?</v>
      </c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 spans="1:26">
      <c r="A119" s="100" t="e">
        <f ca="1">IFERROR(__xludf.DUMMYFUNCTION("""COMPUTED_VALUE"""),14519871)</f>
        <v>#NAME?</v>
      </c>
      <c r="B119" s="100" t="e">
        <f ca="1">IFERROR(__xludf.DUMMYFUNCTION("""COMPUTED_VALUE"""),"mogusdt")</f>
        <v>#NAME?</v>
      </c>
      <c r="C119" s="100" t="e">
        <f ca="1">IFERROR(__xludf.DUMMYFUNCTION("""COMPUTED_VALUE"""),"4.961e-07")</f>
        <v>#NAME?</v>
      </c>
      <c r="D119" s="100" t="e">
        <f t="shared" ca="1" si="17"/>
        <v>#NAME?</v>
      </c>
      <c r="E119" s="100" t="e">
        <f t="shared" ca="1" si="17"/>
        <v>#NAME?</v>
      </c>
      <c r="F119" s="100" t="e">
        <f t="shared" ca="1" si="10"/>
        <v>#NAME?</v>
      </c>
      <c r="G119" s="100" t="e">
        <f t="shared" ca="1" si="11"/>
        <v>#NAME?</v>
      </c>
      <c r="H119" s="100" t="e">
        <f t="shared" ca="1" si="12"/>
        <v>#NAME?</v>
      </c>
      <c r="I119" s="100" t="e">
        <f t="shared" ca="1" si="13"/>
        <v>#NAME?</v>
      </c>
      <c r="J119" s="100" t="e">
        <f t="shared" ca="1" si="14"/>
        <v>#NAME?</v>
      </c>
      <c r="K119" s="100" t="e">
        <f t="shared" ca="1" si="15"/>
        <v>#NAME?</v>
      </c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 spans="1:26">
      <c r="A120" s="100" t="e">
        <f ca="1">IFERROR(__xludf.DUMMYFUNCTION("""COMPUTED_VALUE"""),14519872)</f>
        <v>#NAME?</v>
      </c>
      <c r="B120" s="100" t="e">
        <f ca="1">IFERROR(__xludf.DUMMYFUNCTION("""COMPUTED_VALUE"""),"stptusdt")</f>
        <v>#NAME?</v>
      </c>
      <c r="C120" s="100" t="e">
        <f ca="1">IFERROR(__xludf.DUMMYFUNCTION("""COMPUTED_VALUE"""),"0.040853")</f>
        <v>#NAME?</v>
      </c>
      <c r="D120" s="100" t="e">
        <f t="shared" ca="1" si="17"/>
        <v>#NAME?</v>
      </c>
      <c r="E120" s="100" t="e">
        <f t="shared" ca="1" si="17"/>
        <v>#NAME?</v>
      </c>
      <c r="F120" s="100" t="e">
        <f t="shared" ca="1" si="10"/>
        <v>#NAME?</v>
      </c>
      <c r="G120" s="100" t="e">
        <f t="shared" ca="1" si="11"/>
        <v>#NAME?</v>
      </c>
      <c r="H120" s="100" t="e">
        <f t="shared" ca="1" si="12"/>
        <v>#NAME?</v>
      </c>
      <c r="I120" s="100" t="e">
        <f t="shared" ca="1" si="13"/>
        <v>#NAME?</v>
      </c>
      <c r="J120" s="100" t="e">
        <f t="shared" ca="1" si="14"/>
        <v>#NAME?</v>
      </c>
      <c r="K120" s="100" t="e">
        <f t="shared" ca="1" si="15"/>
        <v>#NAME?</v>
      </c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 spans="1:26">
      <c r="A121" s="100" t="e">
        <f ca="1">IFERROR(__xludf.DUMMYFUNCTION("""COMPUTED_VALUE"""),14519873)</f>
        <v>#NAME?</v>
      </c>
      <c r="B121" s="100" t="e">
        <f ca="1">IFERROR(__xludf.DUMMYFUNCTION("""COMPUTED_VALUE"""),"hatusdt")</f>
        <v>#NAME?</v>
      </c>
      <c r="C121" s="100" t="e">
        <f ca="1">IFERROR(__xludf.DUMMYFUNCTION("""COMPUTED_VALUE"""),"0.00399")</f>
        <v>#NAME?</v>
      </c>
      <c r="D121" s="100" t="e">
        <f t="shared" ca="1" si="17"/>
        <v>#NAME?</v>
      </c>
      <c r="E121" s="100" t="e">
        <f t="shared" ca="1" si="17"/>
        <v>#NAME?</v>
      </c>
      <c r="F121" s="100" t="e">
        <f t="shared" ca="1" si="10"/>
        <v>#NAME?</v>
      </c>
      <c r="G121" s="100" t="e">
        <f t="shared" ca="1" si="11"/>
        <v>#NAME?</v>
      </c>
      <c r="H121" s="100" t="e">
        <f t="shared" ca="1" si="12"/>
        <v>#NAME?</v>
      </c>
      <c r="I121" s="100" t="e">
        <f t="shared" ca="1" si="13"/>
        <v>#NAME?</v>
      </c>
      <c r="J121" s="100" t="e">
        <f t="shared" ca="1" si="14"/>
        <v>#NAME?</v>
      </c>
      <c r="K121" s="100" t="e">
        <f t="shared" ca="1" si="15"/>
        <v>#NAME?</v>
      </c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 spans="1:26">
      <c r="A122" s="100" t="e">
        <f ca="1">IFERROR(__xludf.DUMMYFUNCTION("""COMPUTED_VALUE"""),14519874)</f>
        <v>#NAME?</v>
      </c>
      <c r="B122" s="100" t="e">
        <f ca="1">IFERROR(__xludf.DUMMYFUNCTION("""COMPUTED_VALUE"""),"magausdt")</f>
        <v>#NAME?</v>
      </c>
      <c r="C122" s="100" t="e">
        <f ca="1">IFERROR(__xludf.DUMMYFUNCTION("""COMPUTED_VALUE"""),"9.13e-06")</f>
        <v>#NAME?</v>
      </c>
      <c r="D122" s="100" t="e">
        <f t="shared" ref="D122:E141" ca="1" si="18">IFERROR(__xludf.DUMMYFUNCTION("""COMPUTED_VALUE"""),"-")</f>
        <v>#NAME?</v>
      </c>
      <c r="E122" s="100" t="e">
        <f t="shared" ca="1" si="18"/>
        <v>#NAME?</v>
      </c>
      <c r="F122" s="100" t="e">
        <f t="shared" ca="1" si="10"/>
        <v>#NAME?</v>
      </c>
      <c r="G122" s="100" t="e">
        <f t="shared" ca="1" si="11"/>
        <v>#NAME?</v>
      </c>
      <c r="H122" s="100" t="e">
        <f t="shared" ca="1" si="12"/>
        <v>#NAME?</v>
      </c>
      <c r="I122" s="100" t="e">
        <f t="shared" ca="1" si="13"/>
        <v>#NAME?</v>
      </c>
      <c r="J122" s="100" t="e">
        <f t="shared" ca="1" si="14"/>
        <v>#NAME?</v>
      </c>
      <c r="K122" s="100" t="e">
        <f t="shared" ca="1" si="15"/>
        <v>#NAME?</v>
      </c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 spans="1:26">
      <c r="A123" s="100" t="e">
        <f ca="1">IFERROR(__xludf.DUMMYFUNCTION("""COMPUTED_VALUE"""),14519875)</f>
        <v>#NAME?</v>
      </c>
      <c r="B123" s="100" t="e">
        <f ca="1">IFERROR(__xludf.DUMMYFUNCTION("""COMPUTED_VALUE"""),"sillyusdt")</f>
        <v>#NAME?</v>
      </c>
      <c r="C123" s="100" t="e">
        <f ca="1">IFERROR(__xludf.DUMMYFUNCTION("""COMPUTED_VALUE"""),"0.00185")</f>
        <v>#NAME?</v>
      </c>
      <c r="D123" s="100" t="e">
        <f t="shared" ca="1" si="18"/>
        <v>#NAME?</v>
      </c>
      <c r="E123" s="100" t="e">
        <f t="shared" ca="1" si="18"/>
        <v>#NAME?</v>
      </c>
      <c r="F123" s="100" t="e">
        <f t="shared" ca="1" si="10"/>
        <v>#NAME?</v>
      </c>
      <c r="G123" s="100" t="e">
        <f t="shared" ca="1" si="11"/>
        <v>#NAME?</v>
      </c>
      <c r="H123" s="100" t="e">
        <f t="shared" ca="1" si="12"/>
        <v>#NAME?</v>
      </c>
      <c r="I123" s="100" t="e">
        <f t="shared" ca="1" si="13"/>
        <v>#NAME?</v>
      </c>
      <c r="J123" s="100" t="e">
        <f t="shared" ca="1" si="14"/>
        <v>#NAME?</v>
      </c>
      <c r="K123" s="100" t="e">
        <f t="shared" ca="1" si="15"/>
        <v>#NAME?</v>
      </c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 spans="1:26">
      <c r="A124" s="100" t="e">
        <f ca="1">IFERROR(__xludf.DUMMYFUNCTION("""COMPUTED_VALUE"""),14519876)</f>
        <v>#NAME?</v>
      </c>
      <c r="B124" s="100" t="e">
        <f ca="1">IFERROR(__xludf.DUMMYFUNCTION("""COMPUTED_VALUE"""),"mntusdt")</f>
        <v>#NAME?</v>
      </c>
      <c r="C124" s="100" t="e">
        <f ca="1">IFERROR(__xludf.DUMMYFUNCTION("""COMPUTED_VALUE"""),"0.6639")</f>
        <v>#NAME?</v>
      </c>
      <c r="D124" s="100" t="e">
        <f t="shared" ca="1" si="18"/>
        <v>#NAME?</v>
      </c>
      <c r="E124" s="100" t="e">
        <f t="shared" ca="1" si="18"/>
        <v>#NAME?</v>
      </c>
      <c r="F124" s="100" t="e">
        <f t="shared" ca="1" si="10"/>
        <v>#NAME?</v>
      </c>
      <c r="G124" s="100" t="e">
        <f t="shared" ca="1" si="11"/>
        <v>#NAME?</v>
      </c>
      <c r="H124" s="100" t="e">
        <f t="shared" ca="1" si="12"/>
        <v>#NAME?</v>
      </c>
      <c r="I124" s="100" t="e">
        <f t="shared" ca="1" si="13"/>
        <v>#NAME?</v>
      </c>
      <c r="J124" s="100" t="e">
        <f t="shared" ca="1" si="14"/>
        <v>#NAME?</v>
      </c>
      <c r="K124" s="100" t="e">
        <f t="shared" ca="1" si="15"/>
        <v>#NAME?</v>
      </c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 spans="1:26">
      <c r="A125" s="100" t="e">
        <f ca="1">IFERROR(__xludf.DUMMYFUNCTION("""COMPUTED_VALUE"""),14519877)</f>
        <v>#NAME?</v>
      </c>
      <c r="B125" s="100" t="e">
        <f ca="1">IFERROR(__xludf.DUMMYFUNCTION("""COMPUTED_VALUE"""),"dorausdt")</f>
        <v>#NAME?</v>
      </c>
      <c r="C125" s="100" t="e">
        <f ca="1">IFERROR(__xludf.DUMMYFUNCTION("""COMPUTED_VALUE"""),"0.0218")</f>
        <v>#NAME?</v>
      </c>
      <c r="D125" s="100" t="e">
        <f t="shared" ca="1" si="18"/>
        <v>#NAME?</v>
      </c>
      <c r="E125" s="100" t="e">
        <f t="shared" ca="1" si="18"/>
        <v>#NAME?</v>
      </c>
      <c r="F125" s="100" t="e">
        <f t="shared" ca="1" si="10"/>
        <v>#NAME?</v>
      </c>
      <c r="G125" s="100" t="e">
        <f t="shared" ca="1" si="11"/>
        <v>#NAME?</v>
      </c>
      <c r="H125" s="100" t="e">
        <f t="shared" ca="1" si="12"/>
        <v>#NAME?</v>
      </c>
      <c r="I125" s="100" t="e">
        <f t="shared" ca="1" si="13"/>
        <v>#NAME?</v>
      </c>
      <c r="J125" s="100" t="e">
        <f t="shared" ca="1" si="14"/>
        <v>#NAME?</v>
      </c>
      <c r="K125" s="100" t="e">
        <f t="shared" ca="1" si="15"/>
        <v>#NAME?</v>
      </c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 spans="1:26">
      <c r="A126" s="100" t="e">
        <f ca="1">IFERROR(__xludf.DUMMYFUNCTION("""COMPUTED_VALUE"""),14519878)</f>
        <v>#NAME?</v>
      </c>
      <c r="B126" s="100" t="e">
        <f ca="1">IFERROR(__xludf.DUMMYFUNCTION("""COMPUTED_VALUE"""),"icxusdt")</f>
        <v>#NAME?</v>
      </c>
      <c r="C126" s="100" t="e">
        <f ca="1">IFERROR(__xludf.DUMMYFUNCTION("""COMPUTED_VALUE"""),"0.1")</f>
        <v>#NAME?</v>
      </c>
      <c r="D126" s="100" t="e">
        <f t="shared" ca="1" si="18"/>
        <v>#NAME?</v>
      </c>
      <c r="E126" s="100" t="e">
        <f t="shared" ca="1" si="18"/>
        <v>#NAME?</v>
      </c>
      <c r="F126" s="100" t="e">
        <f t="shared" ca="1" si="10"/>
        <v>#NAME?</v>
      </c>
      <c r="G126" s="100" t="e">
        <f t="shared" ca="1" si="11"/>
        <v>#NAME?</v>
      </c>
      <c r="H126" s="100" t="e">
        <f t="shared" ca="1" si="12"/>
        <v>#NAME?</v>
      </c>
      <c r="I126" s="100" t="e">
        <f t="shared" ca="1" si="13"/>
        <v>#NAME?</v>
      </c>
      <c r="J126" s="100" t="e">
        <f t="shared" ca="1" si="14"/>
        <v>#NAME?</v>
      </c>
      <c r="K126" s="100" t="e">
        <f t="shared" ca="1" si="15"/>
        <v>#NAME?</v>
      </c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 spans="1:26">
      <c r="A127" s="100" t="e">
        <f ca="1">IFERROR(__xludf.DUMMYFUNCTION("""COMPUTED_VALUE"""),14519879)</f>
        <v>#NAME?</v>
      </c>
      <c r="B127" s="100" t="e">
        <f ca="1">IFERROR(__xludf.DUMMYFUNCTION("""COMPUTED_VALUE"""),"unibotusdt")</f>
        <v>#NAME?</v>
      </c>
      <c r="C127" s="100" t="e">
        <f ca="1">IFERROR(__xludf.DUMMYFUNCTION("""COMPUTED_VALUE"""),"2.5094")</f>
        <v>#NAME?</v>
      </c>
      <c r="D127" s="100" t="e">
        <f t="shared" ca="1" si="18"/>
        <v>#NAME?</v>
      </c>
      <c r="E127" s="100" t="e">
        <f t="shared" ca="1" si="18"/>
        <v>#NAME?</v>
      </c>
      <c r="F127" s="100" t="e">
        <f t="shared" ca="1" si="10"/>
        <v>#NAME?</v>
      </c>
      <c r="G127" s="100" t="e">
        <f t="shared" ca="1" si="11"/>
        <v>#NAME?</v>
      </c>
      <c r="H127" s="100" t="e">
        <f t="shared" ca="1" si="12"/>
        <v>#NAME?</v>
      </c>
      <c r="I127" s="100" t="e">
        <f t="shared" ca="1" si="13"/>
        <v>#NAME?</v>
      </c>
      <c r="J127" s="100" t="e">
        <f t="shared" ca="1" si="14"/>
        <v>#NAME?</v>
      </c>
      <c r="K127" s="100" t="e">
        <f t="shared" ca="1" si="15"/>
        <v>#NAME?</v>
      </c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 spans="1:26">
      <c r="A128" s="100" t="e">
        <f ca="1">IFERROR(__xludf.DUMMYFUNCTION("""COMPUTED_VALUE"""),14519880)</f>
        <v>#NAME?</v>
      </c>
      <c r="B128" s="100" t="e">
        <f ca="1">IFERROR(__xludf.DUMMYFUNCTION("""COMPUTED_VALUE"""),"nilusdt")</f>
        <v>#NAME?</v>
      </c>
      <c r="C128" s="100" t="e">
        <f ca="1">IFERROR(__xludf.DUMMYFUNCTION("""COMPUTED_VALUE"""),"0.3574")</f>
        <v>#NAME?</v>
      </c>
      <c r="D128" s="100" t="e">
        <f t="shared" ca="1" si="18"/>
        <v>#NAME?</v>
      </c>
      <c r="E128" s="100" t="e">
        <f t="shared" ca="1" si="18"/>
        <v>#NAME?</v>
      </c>
      <c r="F128" s="100" t="e">
        <f t="shared" ca="1" si="10"/>
        <v>#NAME?</v>
      </c>
      <c r="G128" s="100" t="e">
        <f t="shared" ca="1" si="11"/>
        <v>#NAME?</v>
      </c>
      <c r="H128" s="100" t="e">
        <f t="shared" ca="1" si="12"/>
        <v>#NAME?</v>
      </c>
      <c r="I128" s="100" t="e">
        <f t="shared" ca="1" si="13"/>
        <v>#NAME?</v>
      </c>
      <c r="J128" s="100" t="e">
        <f t="shared" ca="1" si="14"/>
        <v>#NAME?</v>
      </c>
      <c r="K128" s="100" t="e">
        <f t="shared" ca="1" si="15"/>
        <v>#NAME?</v>
      </c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 spans="1:26">
      <c r="A129" s="100" t="e">
        <f ca="1">IFERROR(__xludf.DUMMYFUNCTION("""COMPUTED_VALUE"""),14519881)</f>
        <v>#NAME?</v>
      </c>
      <c r="B129" s="100" t="e">
        <f ca="1">IFERROR(__xludf.DUMMYFUNCTION("""COMPUTED_VALUE"""),"borgusdt")</f>
        <v>#NAME?</v>
      </c>
      <c r="C129" s="100" t="e">
        <f ca="1">IFERROR(__xludf.DUMMYFUNCTION("""COMPUTED_VALUE"""),"0.2095")</f>
        <v>#NAME?</v>
      </c>
      <c r="D129" s="100" t="e">
        <f t="shared" ca="1" si="18"/>
        <v>#NAME?</v>
      </c>
      <c r="E129" s="100" t="e">
        <f t="shared" ca="1" si="18"/>
        <v>#NAME?</v>
      </c>
      <c r="F129" s="100" t="e">
        <f t="shared" ca="1" si="10"/>
        <v>#NAME?</v>
      </c>
      <c r="G129" s="100" t="e">
        <f t="shared" ca="1" si="11"/>
        <v>#NAME?</v>
      </c>
      <c r="H129" s="100" t="e">
        <f t="shared" ca="1" si="12"/>
        <v>#NAME?</v>
      </c>
      <c r="I129" s="100" t="e">
        <f t="shared" ca="1" si="13"/>
        <v>#NAME?</v>
      </c>
      <c r="J129" s="100" t="e">
        <f t="shared" ca="1" si="14"/>
        <v>#NAME?</v>
      </c>
      <c r="K129" s="100" t="e">
        <f t="shared" ca="1" si="15"/>
        <v>#NAME?</v>
      </c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 spans="1:26">
      <c r="A130" s="100" t="e">
        <f ca="1">IFERROR(__xludf.DUMMYFUNCTION("""COMPUTED_VALUE"""),14519882)</f>
        <v>#NAME?</v>
      </c>
      <c r="B130" s="100" t="e">
        <f ca="1">IFERROR(__xludf.DUMMYFUNCTION("""COMPUTED_VALUE"""),"dckusdt")</f>
        <v>#NAME?</v>
      </c>
      <c r="C130" s="100" t="e">
        <f ca="1">IFERROR(__xludf.DUMMYFUNCTION("""COMPUTED_VALUE"""),"0.00895")</f>
        <v>#NAME?</v>
      </c>
      <c r="D130" s="100" t="e">
        <f t="shared" ca="1" si="18"/>
        <v>#NAME?</v>
      </c>
      <c r="E130" s="100" t="e">
        <f t="shared" ca="1" si="18"/>
        <v>#NAME?</v>
      </c>
      <c r="F130" s="100" t="e">
        <f t="shared" ref="F130:F193" ca="1" si="19">IFERROR(__xludf.DUMMYFUNCTION("""COMPUTED_VALUE"""),20200)</f>
        <v>#NAME?</v>
      </c>
      <c r="G130" s="100" t="e">
        <f t="shared" ref="G130:G193" ca="1" si="20">IFERROR(__xludf.DUMMYFUNCTION("""COMPUTED_VALUE"""),2885)</f>
        <v>#NAME?</v>
      </c>
      <c r="H130" s="100" t="e">
        <f t="shared" ref="H130:H193" ca="1" si="21">IFERROR(__xludf.DUMMYFUNCTION("""COMPUTED_VALUE"""),663)</f>
        <v>#NAME?</v>
      </c>
      <c r="I130" s="100" t="e">
        <f t="shared" ref="I130:I193" ca="1" si="22">IFERROR(__xludf.DUMMYFUNCTION("""COMPUTED_VALUE"""),5817721)</f>
        <v>#NAME?</v>
      </c>
      <c r="J130" s="100" t="e">
        <f t="shared" ref="J130:J193" ca="1" si="23">IFERROR(__xludf.DUMMYFUNCTION("""COMPUTED_VALUE"""),"-")</f>
        <v>#NAME?</v>
      </c>
      <c r="K130" s="100" t="e">
        <f t="shared" ref="K130:K193" ca="1" si="24">IFERROR(__xludf.DUMMYFUNCTION("""COMPUTED_VALUE"""),"22.04.2025 13:05:01")</f>
        <v>#NAME?</v>
      </c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 spans="1:26">
      <c r="A131" s="100" t="e">
        <f ca="1">IFERROR(__xludf.DUMMYFUNCTION("""COMPUTED_VALUE"""),14519883)</f>
        <v>#NAME?</v>
      </c>
      <c r="B131" s="100" t="e">
        <f ca="1">IFERROR(__xludf.DUMMYFUNCTION("""COMPUTED_VALUE"""),"dotusdt")</f>
        <v>#NAME?</v>
      </c>
      <c r="C131" s="100" t="e">
        <f ca="1">IFERROR(__xludf.DUMMYFUNCTION("""COMPUTED_VALUE"""),"3.7416")</f>
        <v>#NAME?</v>
      </c>
      <c r="D131" s="100" t="e">
        <f t="shared" ca="1" si="18"/>
        <v>#NAME?</v>
      </c>
      <c r="E131" s="100" t="e">
        <f t="shared" ca="1" si="18"/>
        <v>#NAME?</v>
      </c>
      <c r="F131" s="100" t="e">
        <f t="shared" ca="1" si="19"/>
        <v>#NAME?</v>
      </c>
      <c r="G131" s="100" t="e">
        <f t="shared" ca="1" si="20"/>
        <v>#NAME?</v>
      </c>
      <c r="H131" s="100" t="e">
        <f t="shared" ca="1" si="21"/>
        <v>#NAME?</v>
      </c>
      <c r="I131" s="100" t="e">
        <f t="shared" ca="1" si="22"/>
        <v>#NAME?</v>
      </c>
      <c r="J131" s="100" t="e">
        <f t="shared" ca="1" si="23"/>
        <v>#NAME?</v>
      </c>
      <c r="K131" s="100" t="e">
        <f t="shared" ca="1" si="24"/>
        <v>#NAME?</v>
      </c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 spans="1:26">
      <c r="A132" s="100" t="e">
        <f ca="1">IFERROR(__xludf.DUMMYFUNCTION("""COMPUTED_VALUE"""),14519884)</f>
        <v>#NAME?</v>
      </c>
      <c r="B132" s="100" t="e">
        <f ca="1">IFERROR(__xludf.DUMMYFUNCTION("""COMPUTED_VALUE"""),"bigtimeusdt")</f>
        <v>#NAME?</v>
      </c>
      <c r="C132" s="100" t="e">
        <f ca="1">IFERROR(__xludf.DUMMYFUNCTION("""COMPUTED_VALUE"""),"0.06903")</f>
        <v>#NAME?</v>
      </c>
      <c r="D132" s="100" t="e">
        <f t="shared" ca="1" si="18"/>
        <v>#NAME?</v>
      </c>
      <c r="E132" s="100" t="e">
        <f t="shared" ca="1" si="18"/>
        <v>#NAME?</v>
      </c>
      <c r="F132" s="100" t="e">
        <f t="shared" ca="1" si="19"/>
        <v>#NAME?</v>
      </c>
      <c r="G132" s="100" t="e">
        <f t="shared" ca="1" si="20"/>
        <v>#NAME?</v>
      </c>
      <c r="H132" s="100" t="e">
        <f t="shared" ca="1" si="21"/>
        <v>#NAME?</v>
      </c>
      <c r="I132" s="100" t="e">
        <f t="shared" ca="1" si="22"/>
        <v>#NAME?</v>
      </c>
      <c r="J132" s="100" t="e">
        <f t="shared" ca="1" si="23"/>
        <v>#NAME?</v>
      </c>
      <c r="K132" s="100" t="e">
        <f t="shared" ca="1" si="24"/>
        <v>#NAME?</v>
      </c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 spans="1:26">
      <c r="A133" s="100" t="e">
        <f ca="1">IFERROR(__xludf.DUMMYFUNCTION("""COMPUTED_VALUE"""),14519885)</f>
        <v>#NAME?</v>
      </c>
      <c r="B133" s="100" t="e">
        <f ca="1">IFERROR(__xludf.DUMMYFUNCTION("""COMPUTED_VALUE"""),"grokusdt")</f>
        <v>#NAME?</v>
      </c>
      <c r="C133" s="100" t="e">
        <f ca="1">IFERROR(__xludf.DUMMYFUNCTION("""COMPUTED_VALUE"""),"0.002011")</f>
        <v>#NAME?</v>
      </c>
      <c r="D133" s="100" t="e">
        <f t="shared" ca="1" si="18"/>
        <v>#NAME?</v>
      </c>
      <c r="E133" s="100" t="e">
        <f t="shared" ca="1" si="18"/>
        <v>#NAME?</v>
      </c>
      <c r="F133" s="100" t="e">
        <f t="shared" ca="1" si="19"/>
        <v>#NAME?</v>
      </c>
      <c r="G133" s="100" t="e">
        <f t="shared" ca="1" si="20"/>
        <v>#NAME?</v>
      </c>
      <c r="H133" s="100" t="e">
        <f t="shared" ca="1" si="21"/>
        <v>#NAME?</v>
      </c>
      <c r="I133" s="100" t="e">
        <f t="shared" ca="1" si="22"/>
        <v>#NAME?</v>
      </c>
      <c r="J133" s="100" t="e">
        <f t="shared" ca="1" si="23"/>
        <v>#NAME?</v>
      </c>
      <c r="K133" s="100" t="e">
        <f t="shared" ca="1" si="24"/>
        <v>#NAME?</v>
      </c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 spans="1:26">
      <c r="A134" s="100" t="e">
        <f ca="1">IFERROR(__xludf.DUMMYFUNCTION("""COMPUTED_VALUE"""),14519886)</f>
        <v>#NAME?</v>
      </c>
      <c r="B134" s="100" t="e">
        <f ca="1">IFERROR(__xludf.DUMMYFUNCTION("""COMPUTED_VALUE"""),"superusdt")</f>
        <v>#NAME?</v>
      </c>
      <c r="C134" s="100" t="e">
        <f ca="1">IFERROR(__xludf.DUMMYFUNCTION("""COMPUTED_VALUE"""),"0.559")</f>
        <v>#NAME?</v>
      </c>
      <c r="D134" s="100" t="e">
        <f t="shared" ca="1" si="18"/>
        <v>#NAME?</v>
      </c>
      <c r="E134" s="100" t="e">
        <f t="shared" ca="1" si="18"/>
        <v>#NAME?</v>
      </c>
      <c r="F134" s="100" t="e">
        <f t="shared" ca="1" si="19"/>
        <v>#NAME?</v>
      </c>
      <c r="G134" s="100" t="e">
        <f t="shared" ca="1" si="20"/>
        <v>#NAME?</v>
      </c>
      <c r="H134" s="100" t="e">
        <f t="shared" ca="1" si="21"/>
        <v>#NAME?</v>
      </c>
      <c r="I134" s="100" t="e">
        <f t="shared" ca="1" si="22"/>
        <v>#NAME?</v>
      </c>
      <c r="J134" s="100" t="e">
        <f t="shared" ca="1" si="23"/>
        <v>#NAME?</v>
      </c>
      <c r="K134" s="100" t="e">
        <f t="shared" ca="1" si="24"/>
        <v>#NAME?</v>
      </c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 spans="1:26">
      <c r="A135" s="100" t="e">
        <f ca="1">IFERROR(__xludf.DUMMYFUNCTION("""COMPUTED_VALUE"""),14519887)</f>
        <v>#NAME?</v>
      </c>
      <c r="B135" s="100" t="e">
        <f ca="1">IFERROR(__xludf.DUMMYFUNCTION("""COMPUTED_VALUE"""),"solousdt")</f>
        <v>#NAME?</v>
      </c>
      <c r="C135" s="100" t="e">
        <f ca="1">IFERROR(__xludf.DUMMYFUNCTION("""COMPUTED_VALUE"""),"0.2331")</f>
        <v>#NAME?</v>
      </c>
      <c r="D135" s="100" t="e">
        <f t="shared" ca="1" si="18"/>
        <v>#NAME?</v>
      </c>
      <c r="E135" s="100" t="e">
        <f t="shared" ca="1" si="18"/>
        <v>#NAME?</v>
      </c>
      <c r="F135" s="100" t="e">
        <f t="shared" ca="1" si="19"/>
        <v>#NAME?</v>
      </c>
      <c r="G135" s="100" t="e">
        <f t="shared" ca="1" si="20"/>
        <v>#NAME?</v>
      </c>
      <c r="H135" s="100" t="e">
        <f t="shared" ca="1" si="21"/>
        <v>#NAME?</v>
      </c>
      <c r="I135" s="100" t="e">
        <f t="shared" ca="1" si="22"/>
        <v>#NAME?</v>
      </c>
      <c r="J135" s="100" t="e">
        <f t="shared" ca="1" si="23"/>
        <v>#NAME?</v>
      </c>
      <c r="K135" s="100" t="e">
        <f t="shared" ca="1" si="24"/>
        <v>#NAME?</v>
      </c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 spans="1:26">
      <c r="A136" s="100" t="e">
        <f ca="1">IFERROR(__xludf.DUMMYFUNCTION("""COMPUTED_VALUE"""),14519888)</f>
        <v>#NAME?</v>
      </c>
      <c r="B136" s="100" t="e">
        <f ca="1">IFERROR(__xludf.DUMMYFUNCTION("""COMPUTED_VALUE"""),"linkusdt")</f>
        <v>#NAME?</v>
      </c>
      <c r="C136" s="100" t="e">
        <f ca="1">IFERROR(__xludf.DUMMYFUNCTION("""COMPUTED_VALUE"""),"13.3147")</f>
        <v>#NAME?</v>
      </c>
      <c r="D136" s="100" t="e">
        <f t="shared" ca="1" si="18"/>
        <v>#NAME?</v>
      </c>
      <c r="E136" s="100" t="e">
        <f t="shared" ca="1" si="18"/>
        <v>#NAME?</v>
      </c>
      <c r="F136" s="100" t="e">
        <f t="shared" ca="1" si="19"/>
        <v>#NAME?</v>
      </c>
      <c r="G136" s="100" t="e">
        <f t="shared" ca="1" si="20"/>
        <v>#NAME?</v>
      </c>
      <c r="H136" s="100" t="e">
        <f t="shared" ca="1" si="21"/>
        <v>#NAME?</v>
      </c>
      <c r="I136" s="100" t="e">
        <f t="shared" ca="1" si="22"/>
        <v>#NAME?</v>
      </c>
      <c r="J136" s="100" t="e">
        <f t="shared" ca="1" si="23"/>
        <v>#NAME?</v>
      </c>
      <c r="K136" s="100" t="e">
        <f t="shared" ca="1" si="24"/>
        <v>#NAME?</v>
      </c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 spans="1:26">
      <c r="A137" s="100" t="e">
        <f ca="1">IFERROR(__xludf.DUMMYFUNCTION("""COMPUTED_VALUE"""),14519889)</f>
        <v>#NAME?</v>
      </c>
      <c r="B137" s="100" t="e">
        <f ca="1">IFERROR(__xludf.DUMMYFUNCTION("""COMPUTED_VALUE"""),"stgusdt")</f>
        <v>#NAME?</v>
      </c>
      <c r="C137" s="100" t="e">
        <f ca="1">IFERROR(__xludf.DUMMYFUNCTION("""COMPUTED_VALUE"""),"0.1908")</f>
        <v>#NAME?</v>
      </c>
      <c r="D137" s="100" t="e">
        <f t="shared" ca="1" si="18"/>
        <v>#NAME?</v>
      </c>
      <c r="E137" s="100" t="e">
        <f t="shared" ca="1" si="18"/>
        <v>#NAME?</v>
      </c>
      <c r="F137" s="100" t="e">
        <f t="shared" ca="1" si="19"/>
        <v>#NAME?</v>
      </c>
      <c r="G137" s="100" t="e">
        <f t="shared" ca="1" si="20"/>
        <v>#NAME?</v>
      </c>
      <c r="H137" s="100" t="e">
        <f t="shared" ca="1" si="21"/>
        <v>#NAME?</v>
      </c>
      <c r="I137" s="100" t="e">
        <f t="shared" ca="1" si="22"/>
        <v>#NAME?</v>
      </c>
      <c r="J137" s="100" t="e">
        <f t="shared" ca="1" si="23"/>
        <v>#NAME?</v>
      </c>
      <c r="K137" s="100" t="e">
        <f t="shared" ca="1" si="24"/>
        <v>#NAME?</v>
      </c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 spans="1:26">
      <c r="A138" s="100" t="e">
        <f ca="1">IFERROR(__xludf.DUMMYFUNCTION("""COMPUTED_VALUE"""),14519890)</f>
        <v>#NAME?</v>
      </c>
      <c r="B138" s="100" t="e">
        <f ca="1">IFERROR(__xludf.DUMMYFUNCTION("""COMPUTED_VALUE"""),"lrcusdt")</f>
        <v>#NAME?</v>
      </c>
      <c r="C138" s="100" t="e">
        <f ca="1">IFERROR(__xludf.DUMMYFUNCTION("""COMPUTED_VALUE"""),"0.0942")</f>
        <v>#NAME?</v>
      </c>
      <c r="D138" s="100" t="e">
        <f t="shared" ca="1" si="18"/>
        <v>#NAME?</v>
      </c>
      <c r="E138" s="100" t="e">
        <f t="shared" ca="1" si="18"/>
        <v>#NAME?</v>
      </c>
      <c r="F138" s="100" t="e">
        <f t="shared" ca="1" si="19"/>
        <v>#NAME?</v>
      </c>
      <c r="G138" s="100" t="e">
        <f t="shared" ca="1" si="20"/>
        <v>#NAME?</v>
      </c>
      <c r="H138" s="100" t="e">
        <f t="shared" ca="1" si="21"/>
        <v>#NAME?</v>
      </c>
      <c r="I138" s="100" t="e">
        <f t="shared" ca="1" si="22"/>
        <v>#NAME?</v>
      </c>
      <c r="J138" s="100" t="e">
        <f t="shared" ca="1" si="23"/>
        <v>#NAME?</v>
      </c>
      <c r="K138" s="100" t="e">
        <f t="shared" ca="1" si="24"/>
        <v>#NAME?</v>
      </c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 spans="1:26">
      <c r="A139" s="100" t="e">
        <f ca="1">IFERROR(__xludf.DUMMYFUNCTION("""COMPUTED_VALUE"""),14519891)</f>
        <v>#NAME?</v>
      </c>
      <c r="B139" s="100" t="e">
        <f ca="1">IFERROR(__xludf.DUMMYFUNCTION("""COMPUTED_VALUE"""),"adpusdt")</f>
        <v>#NAME?</v>
      </c>
      <c r="C139" s="100" t="e">
        <f ca="1">IFERROR(__xludf.DUMMYFUNCTION("""COMPUTED_VALUE"""),"0.001719")</f>
        <v>#NAME?</v>
      </c>
      <c r="D139" s="100" t="e">
        <f t="shared" ca="1" si="18"/>
        <v>#NAME?</v>
      </c>
      <c r="E139" s="100" t="e">
        <f t="shared" ca="1" si="18"/>
        <v>#NAME?</v>
      </c>
      <c r="F139" s="100" t="e">
        <f t="shared" ca="1" si="19"/>
        <v>#NAME?</v>
      </c>
      <c r="G139" s="100" t="e">
        <f t="shared" ca="1" si="20"/>
        <v>#NAME?</v>
      </c>
      <c r="H139" s="100" t="e">
        <f t="shared" ca="1" si="21"/>
        <v>#NAME?</v>
      </c>
      <c r="I139" s="100" t="e">
        <f t="shared" ca="1" si="22"/>
        <v>#NAME?</v>
      </c>
      <c r="J139" s="100" t="e">
        <f t="shared" ca="1" si="23"/>
        <v>#NAME?</v>
      </c>
      <c r="K139" s="100" t="e">
        <f t="shared" ca="1" si="24"/>
        <v>#NAME?</v>
      </c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 spans="1:26">
      <c r="A140" s="100" t="e">
        <f ca="1">IFERROR(__xludf.DUMMYFUNCTION("""COMPUTED_VALUE"""),14519892)</f>
        <v>#NAME?</v>
      </c>
      <c r="B140" s="100" t="e">
        <f ca="1">IFERROR(__xludf.DUMMYFUNCTION("""COMPUTED_VALUE"""),"reiusdt")</f>
        <v>#NAME?</v>
      </c>
      <c r="C140" s="100" t="e">
        <f ca="1">IFERROR(__xludf.DUMMYFUNCTION("""COMPUTED_VALUE"""),"0.023866")</f>
        <v>#NAME?</v>
      </c>
      <c r="D140" s="100" t="e">
        <f t="shared" ca="1" si="18"/>
        <v>#NAME?</v>
      </c>
      <c r="E140" s="100" t="e">
        <f t="shared" ca="1" si="18"/>
        <v>#NAME?</v>
      </c>
      <c r="F140" s="100" t="e">
        <f t="shared" ca="1" si="19"/>
        <v>#NAME?</v>
      </c>
      <c r="G140" s="100" t="e">
        <f t="shared" ca="1" si="20"/>
        <v>#NAME?</v>
      </c>
      <c r="H140" s="100" t="e">
        <f t="shared" ca="1" si="21"/>
        <v>#NAME?</v>
      </c>
      <c r="I140" s="100" t="e">
        <f t="shared" ca="1" si="22"/>
        <v>#NAME?</v>
      </c>
      <c r="J140" s="100" t="e">
        <f t="shared" ca="1" si="23"/>
        <v>#NAME?</v>
      </c>
      <c r="K140" s="100" t="e">
        <f t="shared" ca="1" si="24"/>
        <v>#NAME?</v>
      </c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 spans="1:26">
      <c r="A141" s="100" t="e">
        <f ca="1">IFERROR(__xludf.DUMMYFUNCTION("""COMPUTED_VALUE"""),14519893)</f>
        <v>#NAME?</v>
      </c>
      <c r="B141" s="100" t="e">
        <f ca="1">IFERROR(__xludf.DUMMYFUNCTION("""COMPUTED_VALUE"""),"memeusdt")</f>
        <v>#NAME?</v>
      </c>
      <c r="C141" s="100" t="e">
        <f ca="1">IFERROR(__xludf.DUMMYFUNCTION("""COMPUTED_VALUE"""),"0.001956")</f>
        <v>#NAME?</v>
      </c>
      <c r="D141" s="100" t="e">
        <f t="shared" ca="1" si="18"/>
        <v>#NAME?</v>
      </c>
      <c r="E141" s="100" t="e">
        <f t="shared" ca="1" si="18"/>
        <v>#NAME?</v>
      </c>
      <c r="F141" s="100" t="e">
        <f t="shared" ca="1" si="19"/>
        <v>#NAME?</v>
      </c>
      <c r="G141" s="100" t="e">
        <f t="shared" ca="1" si="20"/>
        <v>#NAME?</v>
      </c>
      <c r="H141" s="100" t="e">
        <f t="shared" ca="1" si="21"/>
        <v>#NAME?</v>
      </c>
      <c r="I141" s="100" t="e">
        <f t="shared" ca="1" si="22"/>
        <v>#NAME?</v>
      </c>
      <c r="J141" s="100" t="e">
        <f t="shared" ca="1" si="23"/>
        <v>#NAME?</v>
      </c>
      <c r="K141" s="100" t="e">
        <f t="shared" ca="1" si="24"/>
        <v>#NAME?</v>
      </c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 spans="1:26">
      <c r="A142" s="100" t="e">
        <f ca="1">IFERROR(__xludf.DUMMYFUNCTION("""COMPUTED_VALUE"""),14519894)</f>
        <v>#NAME?</v>
      </c>
      <c r="B142" s="100" t="e">
        <f ca="1">IFERROR(__xludf.DUMMYFUNCTION("""COMPUTED_VALUE"""),"rdntusdt")</f>
        <v>#NAME?</v>
      </c>
      <c r="C142" s="100" t="e">
        <f ca="1">IFERROR(__xludf.DUMMYFUNCTION("""COMPUTED_VALUE"""),"0.0347")</f>
        <v>#NAME?</v>
      </c>
      <c r="D142" s="100" t="e">
        <f t="shared" ref="D142:E161" ca="1" si="25">IFERROR(__xludf.DUMMYFUNCTION("""COMPUTED_VALUE"""),"-")</f>
        <v>#NAME?</v>
      </c>
      <c r="E142" s="100" t="e">
        <f t="shared" ca="1" si="25"/>
        <v>#NAME?</v>
      </c>
      <c r="F142" s="100" t="e">
        <f t="shared" ca="1" si="19"/>
        <v>#NAME?</v>
      </c>
      <c r="G142" s="100" t="e">
        <f t="shared" ca="1" si="20"/>
        <v>#NAME?</v>
      </c>
      <c r="H142" s="100" t="e">
        <f t="shared" ca="1" si="21"/>
        <v>#NAME?</v>
      </c>
      <c r="I142" s="100" t="e">
        <f t="shared" ca="1" si="22"/>
        <v>#NAME?</v>
      </c>
      <c r="J142" s="100" t="e">
        <f t="shared" ca="1" si="23"/>
        <v>#NAME?</v>
      </c>
      <c r="K142" s="100" t="e">
        <f t="shared" ca="1" si="24"/>
        <v>#NAME?</v>
      </c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 spans="1:26">
      <c r="A143" s="100" t="e">
        <f ca="1">IFERROR(__xludf.DUMMYFUNCTION("""COMPUTED_VALUE"""),14519895)</f>
        <v>#NAME?</v>
      </c>
      <c r="B143" s="100" t="e">
        <f ca="1">IFERROR(__xludf.DUMMYFUNCTION("""COMPUTED_VALUE"""),"ktusdt")</f>
        <v>#NAME?</v>
      </c>
      <c r="C143" s="100" t="e">
        <f ca="1">IFERROR(__xludf.DUMMYFUNCTION("""COMPUTED_VALUE"""),"0.00049")</f>
        <v>#NAME?</v>
      </c>
      <c r="D143" s="100" t="e">
        <f t="shared" ca="1" si="25"/>
        <v>#NAME?</v>
      </c>
      <c r="E143" s="100" t="e">
        <f t="shared" ca="1" si="25"/>
        <v>#NAME?</v>
      </c>
      <c r="F143" s="100" t="e">
        <f t="shared" ca="1" si="19"/>
        <v>#NAME?</v>
      </c>
      <c r="G143" s="100" t="e">
        <f t="shared" ca="1" si="20"/>
        <v>#NAME?</v>
      </c>
      <c r="H143" s="100" t="e">
        <f t="shared" ca="1" si="21"/>
        <v>#NAME?</v>
      </c>
      <c r="I143" s="100" t="e">
        <f t="shared" ca="1" si="22"/>
        <v>#NAME?</v>
      </c>
      <c r="J143" s="100" t="e">
        <f t="shared" ca="1" si="23"/>
        <v>#NAME?</v>
      </c>
      <c r="K143" s="100" t="e">
        <f t="shared" ca="1" si="24"/>
        <v>#NAME?</v>
      </c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 spans="1:26">
      <c r="A144" s="100" t="e">
        <f ca="1">IFERROR(__xludf.DUMMYFUNCTION("""COMPUTED_VALUE"""),14519896)</f>
        <v>#NAME?</v>
      </c>
      <c r="B144" s="100" t="e">
        <f ca="1">IFERROR(__xludf.DUMMYFUNCTION("""COMPUTED_VALUE"""),"sorausdt")</f>
        <v>#NAME?</v>
      </c>
      <c r="C144" s="100" t="e">
        <f ca="1">IFERROR(__xludf.DUMMYFUNCTION("""COMPUTED_VALUE"""),"0.000344")</f>
        <v>#NAME?</v>
      </c>
      <c r="D144" s="100" t="e">
        <f t="shared" ca="1" si="25"/>
        <v>#NAME?</v>
      </c>
      <c r="E144" s="100" t="e">
        <f t="shared" ca="1" si="25"/>
        <v>#NAME?</v>
      </c>
      <c r="F144" s="100" t="e">
        <f t="shared" ca="1" si="19"/>
        <v>#NAME?</v>
      </c>
      <c r="G144" s="100" t="e">
        <f t="shared" ca="1" si="20"/>
        <v>#NAME?</v>
      </c>
      <c r="H144" s="100" t="e">
        <f t="shared" ca="1" si="21"/>
        <v>#NAME?</v>
      </c>
      <c r="I144" s="100" t="e">
        <f t="shared" ca="1" si="22"/>
        <v>#NAME?</v>
      </c>
      <c r="J144" s="100" t="e">
        <f t="shared" ca="1" si="23"/>
        <v>#NAME?</v>
      </c>
      <c r="K144" s="100" t="e">
        <f t="shared" ca="1" si="24"/>
        <v>#NAME?</v>
      </c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 spans="1:26">
      <c r="A145" s="100" t="e">
        <f ca="1">IFERROR(__xludf.DUMMYFUNCTION("""COMPUTED_VALUE"""),14519897)</f>
        <v>#NAME?</v>
      </c>
      <c r="B145" s="100" t="e">
        <f ca="1">IFERROR(__xludf.DUMMYFUNCTION("""COMPUTED_VALUE"""),"tavausdt")</f>
        <v>#NAME?</v>
      </c>
      <c r="C145" s="100" t="e">
        <f ca="1">IFERROR(__xludf.DUMMYFUNCTION("""COMPUTED_VALUE"""),"0.01361")</f>
        <v>#NAME?</v>
      </c>
      <c r="D145" s="100" t="e">
        <f t="shared" ca="1" si="25"/>
        <v>#NAME?</v>
      </c>
      <c r="E145" s="100" t="e">
        <f t="shared" ca="1" si="25"/>
        <v>#NAME?</v>
      </c>
      <c r="F145" s="100" t="e">
        <f t="shared" ca="1" si="19"/>
        <v>#NAME?</v>
      </c>
      <c r="G145" s="100" t="e">
        <f t="shared" ca="1" si="20"/>
        <v>#NAME?</v>
      </c>
      <c r="H145" s="100" t="e">
        <f t="shared" ca="1" si="21"/>
        <v>#NAME?</v>
      </c>
      <c r="I145" s="100" t="e">
        <f t="shared" ca="1" si="22"/>
        <v>#NAME?</v>
      </c>
      <c r="J145" s="100" t="e">
        <f t="shared" ca="1" si="23"/>
        <v>#NAME?</v>
      </c>
      <c r="K145" s="100" t="e">
        <f t="shared" ca="1" si="24"/>
        <v>#NAME?</v>
      </c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 spans="1:26">
      <c r="A146" s="100" t="e">
        <f ca="1">IFERROR(__xludf.DUMMYFUNCTION("""COMPUTED_VALUE"""),14519898)</f>
        <v>#NAME?</v>
      </c>
      <c r="B146" s="100" t="e">
        <f ca="1">IFERROR(__xludf.DUMMYFUNCTION("""COMPUTED_VALUE"""),"dfiusdt")</f>
        <v>#NAME?</v>
      </c>
      <c r="C146" s="100" t="e">
        <f ca="1">IFERROR(__xludf.DUMMYFUNCTION("""COMPUTED_VALUE"""),"0.0042")</f>
        <v>#NAME?</v>
      </c>
      <c r="D146" s="100" t="e">
        <f t="shared" ca="1" si="25"/>
        <v>#NAME?</v>
      </c>
      <c r="E146" s="100" t="e">
        <f t="shared" ca="1" si="25"/>
        <v>#NAME?</v>
      </c>
      <c r="F146" s="100" t="e">
        <f t="shared" ca="1" si="19"/>
        <v>#NAME?</v>
      </c>
      <c r="G146" s="100" t="e">
        <f t="shared" ca="1" si="20"/>
        <v>#NAME?</v>
      </c>
      <c r="H146" s="100" t="e">
        <f t="shared" ca="1" si="21"/>
        <v>#NAME?</v>
      </c>
      <c r="I146" s="100" t="e">
        <f t="shared" ca="1" si="22"/>
        <v>#NAME?</v>
      </c>
      <c r="J146" s="100" t="e">
        <f t="shared" ca="1" si="23"/>
        <v>#NAME?</v>
      </c>
      <c r="K146" s="100" t="e">
        <f t="shared" ca="1" si="24"/>
        <v>#NAME?</v>
      </c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 spans="1:26">
      <c r="A147" s="100" t="e">
        <f ca="1">IFERROR(__xludf.DUMMYFUNCTION("""COMPUTED_VALUE"""),14519899)</f>
        <v>#NAME?</v>
      </c>
      <c r="B147" s="100" t="e">
        <f ca="1">IFERROR(__xludf.DUMMYFUNCTION("""COMPUTED_VALUE"""),"catusdt")</f>
        <v>#NAME?</v>
      </c>
      <c r="C147" s="100" t="e">
        <f ca="1">IFERROR(__xludf.DUMMYFUNCTION("""COMPUTED_VALUE"""),"5.58e-06")</f>
        <v>#NAME?</v>
      </c>
      <c r="D147" s="100" t="e">
        <f t="shared" ca="1" si="25"/>
        <v>#NAME?</v>
      </c>
      <c r="E147" s="100" t="e">
        <f t="shared" ca="1" si="25"/>
        <v>#NAME?</v>
      </c>
      <c r="F147" s="100" t="e">
        <f t="shared" ca="1" si="19"/>
        <v>#NAME?</v>
      </c>
      <c r="G147" s="100" t="e">
        <f t="shared" ca="1" si="20"/>
        <v>#NAME?</v>
      </c>
      <c r="H147" s="100" t="e">
        <f t="shared" ca="1" si="21"/>
        <v>#NAME?</v>
      </c>
      <c r="I147" s="100" t="e">
        <f t="shared" ca="1" si="22"/>
        <v>#NAME?</v>
      </c>
      <c r="J147" s="100" t="e">
        <f t="shared" ca="1" si="23"/>
        <v>#NAME?</v>
      </c>
      <c r="K147" s="100" t="e">
        <f t="shared" ca="1" si="24"/>
        <v>#NAME?</v>
      </c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 spans="1:26">
      <c r="A148" s="100" t="e">
        <f ca="1">IFERROR(__xludf.DUMMYFUNCTION("""COMPUTED_VALUE"""),14519900)</f>
        <v>#NAME?</v>
      </c>
      <c r="B148" s="100" t="e">
        <f ca="1">IFERROR(__xludf.DUMMYFUNCTION("""COMPUTED_VALUE"""),"pippinusdt")</f>
        <v>#NAME?</v>
      </c>
      <c r="C148" s="100" t="e">
        <f ca="1">IFERROR(__xludf.DUMMYFUNCTION("""COMPUTED_VALUE"""),"0.01407")</f>
        <v>#NAME?</v>
      </c>
      <c r="D148" s="100" t="e">
        <f t="shared" ca="1" si="25"/>
        <v>#NAME?</v>
      </c>
      <c r="E148" s="100" t="e">
        <f t="shared" ca="1" si="25"/>
        <v>#NAME?</v>
      </c>
      <c r="F148" s="100" t="e">
        <f t="shared" ca="1" si="19"/>
        <v>#NAME?</v>
      </c>
      <c r="G148" s="100" t="e">
        <f t="shared" ca="1" si="20"/>
        <v>#NAME?</v>
      </c>
      <c r="H148" s="100" t="e">
        <f t="shared" ca="1" si="21"/>
        <v>#NAME?</v>
      </c>
      <c r="I148" s="100" t="e">
        <f t="shared" ca="1" si="22"/>
        <v>#NAME?</v>
      </c>
      <c r="J148" s="100" t="e">
        <f t="shared" ca="1" si="23"/>
        <v>#NAME?</v>
      </c>
      <c r="K148" s="100" t="e">
        <f t="shared" ca="1" si="24"/>
        <v>#NAME?</v>
      </c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 spans="1:26">
      <c r="A149" s="100" t="e">
        <f ca="1">IFERROR(__xludf.DUMMYFUNCTION("""COMPUTED_VALUE"""),14519901)</f>
        <v>#NAME?</v>
      </c>
      <c r="B149" s="100" t="e">
        <f ca="1">IFERROR(__xludf.DUMMYFUNCTION("""COMPUTED_VALUE"""),"rockusdt")</f>
        <v>#NAME?</v>
      </c>
      <c r="C149" s="100" t="e">
        <f ca="1">IFERROR(__xludf.DUMMYFUNCTION("""COMPUTED_VALUE"""),"0.00101185")</f>
        <v>#NAME?</v>
      </c>
      <c r="D149" s="100" t="e">
        <f t="shared" ca="1" si="25"/>
        <v>#NAME?</v>
      </c>
      <c r="E149" s="100" t="e">
        <f t="shared" ca="1" si="25"/>
        <v>#NAME?</v>
      </c>
      <c r="F149" s="100" t="e">
        <f t="shared" ca="1" si="19"/>
        <v>#NAME?</v>
      </c>
      <c r="G149" s="100" t="e">
        <f t="shared" ca="1" si="20"/>
        <v>#NAME?</v>
      </c>
      <c r="H149" s="100" t="e">
        <f t="shared" ca="1" si="21"/>
        <v>#NAME?</v>
      </c>
      <c r="I149" s="100" t="e">
        <f t="shared" ca="1" si="22"/>
        <v>#NAME?</v>
      </c>
      <c r="J149" s="100" t="e">
        <f t="shared" ca="1" si="23"/>
        <v>#NAME?</v>
      </c>
      <c r="K149" s="100" t="e">
        <f t="shared" ca="1" si="24"/>
        <v>#NAME?</v>
      </c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 spans="1:26">
      <c r="A150" s="100" t="e">
        <f ca="1">IFERROR(__xludf.DUMMYFUNCTION("""COMPUTED_VALUE"""),14519902)</f>
        <v>#NAME?</v>
      </c>
      <c r="B150" s="100" t="e">
        <f ca="1">IFERROR(__xludf.DUMMYFUNCTION("""COMPUTED_VALUE"""),"avlusdt")</f>
        <v>#NAME?</v>
      </c>
      <c r="C150" s="100" t="e">
        <f ca="1">IFERROR(__xludf.DUMMYFUNCTION("""COMPUTED_VALUE"""),"0.21978")</f>
        <v>#NAME?</v>
      </c>
      <c r="D150" s="100" t="e">
        <f t="shared" ca="1" si="25"/>
        <v>#NAME?</v>
      </c>
      <c r="E150" s="100" t="e">
        <f t="shared" ca="1" si="25"/>
        <v>#NAME?</v>
      </c>
      <c r="F150" s="100" t="e">
        <f t="shared" ca="1" si="19"/>
        <v>#NAME?</v>
      </c>
      <c r="G150" s="100" t="e">
        <f t="shared" ca="1" si="20"/>
        <v>#NAME?</v>
      </c>
      <c r="H150" s="100" t="e">
        <f t="shared" ca="1" si="21"/>
        <v>#NAME?</v>
      </c>
      <c r="I150" s="100" t="e">
        <f t="shared" ca="1" si="22"/>
        <v>#NAME?</v>
      </c>
      <c r="J150" s="100" t="e">
        <f t="shared" ca="1" si="23"/>
        <v>#NAME?</v>
      </c>
      <c r="K150" s="100" t="e">
        <f t="shared" ca="1" si="24"/>
        <v>#NAME?</v>
      </c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 spans="1:26">
      <c r="A151" s="100" t="e">
        <f ca="1">IFERROR(__xludf.DUMMYFUNCTION("""COMPUTED_VALUE"""),14519903)</f>
        <v>#NAME?</v>
      </c>
      <c r="B151" s="100" t="e">
        <f ca="1">IFERROR(__xludf.DUMMYFUNCTION("""COMPUTED_VALUE"""),"trxusdt")</f>
        <v>#NAME?</v>
      </c>
      <c r="C151" s="100" t="e">
        <f ca="1">IFERROR(__xludf.DUMMYFUNCTION("""COMPUTED_VALUE"""),"0.248125")</f>
        <v>#NAME?</v>
      </c>
      <c r="D151" s="100" t="e">
        <f t="shared" ca="1" si="25"/>
        <v>#NAME?</v>
      </c>
      <c r="E151" s="100" t="e">
        <f t="shared" ca="1" si="25"/>
        <v>#NAME?</v>
      </c>
      <c r="F151" s="100" t="e">
        <f t="shared" ca="1" si="19"/>
        <v>#NAME?</v>
      </c>
      <c r="G151" s="100" t="e">
        <f t="shared" ca="1" si="20"/>
        <v>#NAME?</v>
      </c>
      <c r="H151" s="100" t="e">
        <f t="shared" ca="1" si="21"/>
        <v>#NAME?</v>
      </c>
      <c r="I151" s="100" t="e">
        <f t="shared" ca="1" si="22"/>
        <v>#NAME?</v>
      </c>
      <c r="J151" s="100" t="e">
        <f t="shared" ca="1" si="23"/>
        <v>#NAME?</v>
      </c>
      <c r="K151" s="100" t="e">
        <f t="shared" ca="1" si="24"/>
        <v>#NAME?</v>
      </c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 spans="1:26">
      <c r="A152" s="100" t="e">
        <f ca="1">IFERROR(__xludf.DUMMYFUNCTION("""COMPUTED_VALUE"""),14519904)</f>
        <v>#NAME?</v>
      </c>
      <c r="B152" s="100" t="e">
        <f ca="1">IFERROR(__xludf.DUMMYFUNCTION("""COMPUTED_VALUE"""),"mferusdt")</f>
        <v>#NAME?</v>
      </c>
      <c r="C152" s="100" t="e">
        <f ca="1">IFERROR(__xludf.DUMMYFUNCTION("""COMPUTED_VALUE"""),"0.0076")</f>
        <v>#NAME?</v>
      </c>
      <c r="D152" s="100" t="e">
        <f t="shared" ca="1" si="25"/>
        <v>#NAME?</v>
      </c>
      <c r="E152" s="100" t="e">
        <f t="shared" ca="1" si="25"/>
        <v>#NAME?</v>
      </c>
      <c r="F152" s="100" t="e">
        <f t="shared" ca="1" si="19"/>
        <v>#NAME?</v>
      </c>
      <c r="G152" s="100" t="e">
        <f t="shared" ca="1" si="20"/>
        <v>#NAME?</v>
      </c>
      <c r="H152" s="100" t="e">
        <f t="shared" ca="1" si="21"/>
        <v>#NAME?</v>
      </c>
      <c r="I152" s="100" t="e">
        <f t="shared" ca="1" si="22"/>
        <v>#NAME?</v>
      </c>
      <c r="J152" s="100" t="e">
        <f t="shared" ca="1" si="23"/>
        <v>#NAME?</v>
      </c>
      <c r="K152" s="100" t="e">
        <f t="shared" ca="1" si="24"/>
        <v>#NAME?</v>
      </c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 spans="1:26">
      <c r="A153" s="100" t="e">
        <f ca="1">IFERROR(__xludf.DUMMYFUNCTION("""COMPUTED_VALUE"""),14519905)</f>
        <v>#NAME?</v>
      </c>
      <c r="B153" s="100" t="e">
        <f ca="1">IFERROR(__xludf.DUMMYFUNCTION("""COMPUTED_VALUE"""),"lptusdt")</f>
        <v>#NAME?</v>
      </c>
      <c r="C153" s="100" t="e">
        <f ca="1">IFERROR(__xludf.DUMMYFUNCTION("""COMPUTED_VALUE"""),"4.1543")</f>
        <v>#NAME?</v>
      </c>
      <c r="D153" s="100" t="e">
        <f t="shared" ca="1" si="25"/>
        <v>#NAME?</v>
      </c>
      <c r="E153" s="100" t="e">
        <f t="shared" ca="1" si="25"/>
        <v>#NAME?</v>
      </c>
      <c r="F153" s="100" t="e">
        <f t="shared" ca="1" si="19"/>
        <v>#NAME?</v>
      </c>
      <c r="G153" s="100" t="e">
        <f t="shared" ca="1" si="20"/>
        <v>#NAME?</v>
      </c>
      <c r="H153" s="100" t="e">
        <f t="shared" ca="1" si="21"/>
        <v>#NAME?</v>
      </c>
      <c r="I153" s="100" t="e">
        <f t="shared" ca="1" si="22"/>
        <v>#NAME?</v>
      </c>
      <c r="J153" s="100" t="e">
        <f t="shared" ca="1" si="23"/>
        <v>#NAME?</v>
      </c>
      <c r="K153" s="100" t="e">
        <f t="shared" ca="1" si="24"/>
        <v>#NAME?</v>
      </c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 spans="1:26">
      <c r="A154" s="100" t="e">
        <f ca="1">IFERROR(__xludf.DUMMYFUNCTION("""COMPUTED_VALUE"""),14519906)</f>
        <v>#NAME?</v>
      </c>
      <c r="B154" s="100" t="e">
        <f ca="1">IFERROR(__xludf.DUMMYFUNCTION("""COMPUTED_VALUE"""),"grailusdt")</f>
        <v>#NAME?</v>
      </c>
      <c r="C154" s="100" t="e">
        <f ca="1">IFERROR(__xludf.DUMMYFUNCTION("""COMPUTED_VALUE"""),"0.11")</f>
        <v>#NAME?</v>
      </c>
      <c r="D154" s="100" t="e">
        <f t="shared" ca="1" si="25"/>
        <v>#NAME?</v>
      </c>
      <c r="E154" s="100" t="e">
        <f t="shared" ca="1" si="25"/>
        <v>#NAME?</v>
      </c>
      <c r="F154" s="100" t="e">
        <f t="shared" ca="1" si="19"/>
        <v>#NAME?</v>
      </c>
      <c r="G154" s="100" t="e">
        <f t="shared" ca="1" si="20"/>
        <v>#NAME?</v>
      </c>
      <c r="H154" s="100" t="e">
        <f t="shared" ca="1" si="21"/>
        <v>#NAME?</v>
      </c>
      <c r="I154" s="100" t="e">
        <f t="shared" ca="1" si="22"/>
        <v>#NAME?</v>
      </c>
      <c r="J154" s="100" t="e">
        <f t="shared" ca="1" si="23"/>
        <v>#NAME?</v>
      </c>
      <c r="K154" s="100" t="e">
        <f t="shared" ca="1" si="24"/>
        <v>#NAME?</v>
      </c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 spans="1:26">
      <c r="A155" s="100" t="e">
        <f ca="1">IFERROR(__xludf.DUMMYFUNCTION("""COMPUTED_VALUE"""),14519907)</f>
        <v>#NAME?</v>
      </c>
      <c r="B155" s="100" t="e">
        <f ca="1">IFERROR(__xludf.DUMMYFUNCTION("""COMPUTED_VALUE"""),"virtualusdt")</f>
        <v>#NAME?</v>
      </c>
      <c r="C155" s="100" t="e">
        <f ca="1">IFERROR(__xludf.DUMMYFUNCTION("""COMPUTED_VALUE"""),"0.5773")</f>
        <v>#NAME?</v>
      </c>
      <c r="D155" s="100" t="e">
        <f t="shared" ca="1" si="25"/>
        <v>#NAME?</v>
      </c>
      <c r="E155" s="100" t="e">
        <f t="shared" ca="1" si="25"/>
        <v>#NAME?</v>
      </c>
      <c r="F155" s="100" t="e">
        <f t="shared" ca="1" si="19"/>
        <v>#NAME?</v>
      </c>
      <c r="G155" s="100" t="e">
        <f t="shared" ca="1" si="20"/>
        <v>#NAME?</v>
      </c>
      <c r="H155" s="100" t="e">
        <f t="shared" ca="1" si="21"/>
        <v>#NAME?</v>
      </c>
      <c r="I155" s="100" t="e">
        <f t="shared" ca="1" si="22"/>
        <v>#NAME?</v>
      </c>
      <c r="J155" s="100" t="e">
        <f t="shared" ca="1" si="23"/>
        <v>#NAME?</v>
      </c>
      <c r="K155" s="100" t="e">
        <f t="shared" ca="1" si="24"/>
        <v>#NAME?</v>
      </c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 spans="1:26">
      <c r="A156" s="100" t="e">
        <f ca="1">IFERROR(__xludf.DUMMYFUNCTION("""COMPUTED_VALUE"""),14519908)</f>
        <v>#NAME?</v>
      </c>
      <c r="B156" s="100" t="e">
        <f ca="1">IFERROR(__xludf.DUMMYFUNCTION("""COMPUTED_VALUE"""),"hftusdt")</f>
        <v>#NAME?</v>
      </c>
      <c r="C156" s="100" t="e">
        <f ca="1">IFERROR(__xludf.DUMMYFUNCTION("""COMPUTED_VALUE"""),"0.0635")</f>
        <v>#NAME?</v>
      </c>
      <c r="D156" s="100" t="e">
        <f t="shared" ca="1" si="25"/>
        <v>#NAME?</v>
      </c>
      <c r="E156" s="100" t="e">
        <f t="shared" ca="1" si="25"/>
        <v>#NAME?</v>
      </c>
      <c r="F156" s="100" t="e">
        <f t="shared" ca="1" si="19"/>
        <v>#NAME?</v>
      </c>
      <c r="G156" s="100" t="e">
        <f t="shared" ca="1" si="20"/>
        <v>#NAME?</v>
      </c>
      <c r="H156" s="100" t="e">
        <f t="shared" ca="1" si="21"/>
        <v>#NAME?</v>
      </c>
      <c r="I156" s="100" t="e">
        <f t="shared" ca="1" si="22"/>
        <v>#NAME?</v>
      </c>
      <c r="J156" s="100" t="e">
        <f t="shared" ca="1" si="23"/>
        <v>#NAME?</v>
      </c>
      <c r="K156" s="100" t="e">
        <f t="shared" ca="1" si="24"/>
        <v>#NAME?</v>
      </c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 spans="1:26">
      <c r="A157" s="100" t="e">
        <f ca="1">IFERROR(__xludf.DUMMYFUNCTION("""COMPUTED_VALUE"""),14519909)</f>
        <v>#NAME?</v>
      </c>
      <c r="B157" s="100" t="e">
        <f ca="1">IFERROR(__xludf.DUMMYFUNCTION("""COMPUTED_VALUE"""),"orbsusdt")</f>
        <v>#NAME?</v>
      </c>
      <c r="C157" s="100" t="e">
        <f ca="1">IFERROR(__xludf.DUMMYFUNCTION("""COMPUTED_VALUE"""),"0.020967")</f>
        <v>#NAME?</v>
      </c>
      <c r="D157" s="100" t="e">
        <f t="shared" ca="1" si="25"/>
        <v>#NAME?</v>
      </c>
      <c r="E157" s="100" t="e">
        <f t="shared" ca="1" si="25"/>
        <v>#NAME?</v>
      </c>
      <c r="F157" s="100" t="e">
        <f t="shared" ca="1" si="19"/>
        <v>#NAME?</v>
      </c>
      <c r="G157" s="100" t="e">
        <f t="shared" ca="1" si="20"/>
        <v>#NAME?</v>
      </c>
      <c r="H157" s="100" t="e">
        <f t="shared" ca="1" si="21"/>
        <v>#NAME?</v>
      </c>
      <c r="I157" s="100" t="e">
        <f t="shared" ca="1" si="22"/>
        <v>#NAME?</v>
      </c>
      <c r="J157" s="100" t="e">
        <f t="shared" ca="1" si="23"/>
        <v>#NAME?</v>
      </c>
      <c r="K157" s="100" t="e">
        <f t="shared" ca="1" si="24"/>
        <v>#NAME?</v>
      </c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 spans="1:26">
      <c r="A158" s="100" t="e">
        <f ca="1">IFERROR(__xludf.DUMMYFUNCTION("""COMPUTED_VALUE"""),14519910)</f>
        <v>#NAME?</v>
      </c>
      <c r="B158" s="100" t="e">
        <f ca="1">IFERROR(__xludf.DUMMYFUNCTION("""COMPUTED_VALUE"""),"mboxusdt")</f>
        <v>#NAME?</v>
      </c>
      <c r="C158" s="100" t="e">
        <f ca="1">IFERROR(__xludf.DUMMYFUNCTION("""COMPUTED_VALUE"""),"0.0517")</f>
        <v>#NAME?</v>
      </c>
      <c r="D158" s="100" t="e">
        <f t="shared" ca="1" si="25"/>
        <v>#NAME?</v>
      </c>
      <c r="E158" s="100" t="e">
        <f t="shared" ca="1" si="25"/>
        <v>#NAME?</v>
      </c>
      <c r="F158" s="100" t="e">
        <f t="shared" ca="1" si="19"/>
        <v>#NAME?</v>
      </c>
      <c r="G158" s="100" t="e">
        <f t="shared" ca="1" si="20"/>
        <v>#NAME?</v>
      </c>
      <c r="H158" s="100" t="e">
        <f t="shared" ca="1" si="21"/>
        <v>#NAME?</v>
      </c>
      <c r="I158" s="100" t="e">
        <f t="shared" ca="1" si="22"/>
        <v>#NAME?</v>
      </c>
      <c r="J158" s="100" t="e">
        <f t="shared" ca="1" si="23"/>
        <v>#NAME?</v>
      </c>
      <c r="K158" s="100" t="e">
        <f t="shared" ca="1" si="24"/>
        <v>#NAME?</v>
      </c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 spans="1:26">
      <c r="A159" s="100" t="e">
        <f ca="1">IFERROR(__xludf.DUMMYFUNCTION("""COMPUTED_VALUE"""),14519911)</f>
        <v>#NAME?</v>
      </c>
      <c r="B159" s="100" t="e">
        <f ca="1">IFERROR(__xludf.DUMMYFUNCTION("""COMPUTED_VALUE"""),"grtusdt")</f>
        <v>#NAME?</v>
      </c>
      <c r="C159" s="100" t="e">
        <f ca="1">IFERROR(__xludf.DUMMYFUNCTION("""COMPUTED_VALUE"""),"0.083662")</f>
        <v>#NAME?</v>
      </c>
      <c r="D159" s="100" t="e">
        <f t="shared" ca="1" si="25"/>
        <v>#NAME?</v>
      </c>
      <c r="E159" s="100" t="e">
        <f t="shared" ca="1" si="25"/>
        <v>#NAME?</v>
      </c>
      <c r="F159" s="100" t="e">
        <f t="shared" ca="1" si="19"/>
        <v>#NAME?</v>
      </c>
      <c r="G159" s="100" t="e">
        <f t="shared" ca="1" si="20"/>
        <v>#NAME?</v>
      </c>
      <c r="H159" s="100" t="e">
        <f t="shared" ca="1" si="21"/>
        <v>#NAME?</v>
      </c>
      <c r="I159" s="100" t="e">
        <f t="shared" ca="1" si="22"/>
        <v>#NAME?</v>
      </c>
      <c r="J159" s="100" t="e">
        <f t="shared" ca="1" si="23"/>
        <v>#NAME?</v>
      </c>
      <c r="K159" s="100" t="e">
        <f t="shared" ca="1" si="24"/>
        <v>#NAME?</v>
      </c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 spans="1:26">
      <c r="A160" s="100" t="e">
        <f ca="1">IFERROR(__xludf.DUMMYFUNCTION("""COMPUTED_VALUE"""),14519912)</f>
        <v>#NAME?</v>
      </c>
      <c r="B160" s="100" t="e">
        <f ca="1">IFERROR(__xludf.DUMMYFUNCTION("""COMPUTED_VALUE"""),"hggusdt")</f>
        <v>#NAME?</v>
      </c>
      <c r="C160" s="100" t="e">
        <f ca="1">IFERROR(__xludf.DUMMYFUNCTION("""COMPUTED_VALUE"""),"0.000798")</f>
        <v>#NAME?</v>
      </c>
      <c r="D160" s="100" t="e">
        <f t="shared" ca="1" si="25"/>
        <v>#NAME?</v>
      </c>
      <c r="E160" s="100" t="e">
        <f t="shared" ca="1" si="25"/>
        <v>#NAME?</v>
      </c>
      <c r="F160" s="100" t="e">
        <f t="shared" ca="1" si="19"/>
        <v>#NAME?</v>
      </c>
      <c r="G160" s="100" t="e">
        <f t="shared" ca="1" si="20"/>
        <v>#NAME?</v>
      </c>
      <c r="H160" s="100" t="e">
        <f t="shared" ca="1" si="21"/>
        <v>#NAME?</v>
      </c>
      <c r="I160" s="100" t="e">
        <f t="shared" ca="1" si="22"/>
        <v>#NAME?</v>
      </c>
      <c r="J160" s="100" t="e">
        <f t="shared" ca="1" si="23"/>
        <v>#NAME?</v>
      </c>
      <c r="K160" s="100" t="e">
        <f t="shared" ca="1" si="24"/>
        <v>#NAME?</v>
      </c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 spans="1:26">
      <c r="A161" s="100" t="e">
        <f ca="1">IFERROR(__xludf.DUMMYFUNCTION("""COMPUTED_VALUE"""),14519913)</f>
        <v>#NAME?</v>
      </c>
      <c r="B161" s="100" t="e">
        <f ca="1">IFERROR(__xludf.DUMMYFUNCTION("""COMPUTED_VALUE"""),"bananausdt")</f>
        <v>#NAME?</v>
      </c>
      <c r="C161" s="100" t="e">
        <f ca="1">IFERROR(__xludf.DUMMYFUNCTION("""COMPUTED_VALUE"""),"17.289")</f>
        <v>#NAME?</v>
      </c>
      <c r="D161" s="100" t="e">
        <f t="shared" ca="1" si="25"/>
        <v>#NAME?</v>
      </c>
      <c r="E161" s="100" t="e">
        <f t="shared" ca="1" si="25"/>
        <v>#NAME?</v>
      </c>
      <c r="F161" s="100" t="e">
        <f t="shared" ca="1" si="19"/>
        <v>#NAME?</v>
      </c>
      <c r="G161" s="100" t="e">
        <f t="shared" ca="1" si="20"/>
        <v>#NAME?</v>
      </c>
      <c r="H161" s="100" t="e">
        <f t="shared" ca="1" si="21"/>
        <v>#NAME?</v>
      </c>
      <c r="I161" s="100" t="e">
        <f t="shared" ca="1" si="22"/>
        <v>#NAME?</v>
      </c>
      <c r="J161" s="100" t="e">
        <f t="shared" ca="1" si="23"/>
        <v>#NAME?</v>
      </c>
      <c r="K161" s="100" t="e">
        <f t="shared" ca="1" si="24"/>
        <v>#NAME?</v>
      </c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 spans="1:26">
      <c r="A162" s="100" t="e">
        <f ca="1">IFERROR(__xludf.DUMMYFUNCTION("""COMPUTED_VALUE"""),14519914)</f>
        <v>#NAME?</v>
      </c>
      <c r="B162" s="100" t="e">
        <f ca="1">IFERROR(__xludf.DUMMYFUNCTION("""COMPUTED_VALUE"""),"epikusdt")</f>
        <v>#NAME?</v>
      </c>
      <c r="C162" s="100" t="e">
        <f ca="1">IFERROR(__xludf.DUMMYFUNCTION("""COMPUTED_VALUE"""),"0.00195")</f>
        <v>#NAME?</v>
      </c>
      <c r="D162" s="100" t="e">
        <f t="shared" ref="D162:E181" ca="1" si="26">IFERROR(__xludf.DUMMYFUNCTION("""COMPUTED_VALUE"""),"-")</f>
        <v>#NAME?</v>
      </c>
      <c r="E162" s="100" t="e">
        <f t="shared" ca="1" si="26"/>
        <v>#NAME?</v>
      </c>
      <c r="F162" s="100" t="e">
        <f t="shared" ca="1" si="19"/>
        <v>#NAME?</v>
      </c>
      <c r="G162" s="100" t="e">
        <f t="shared" ca="1" si="20"/>
        <v>#NAME?</v>
      </c>
      <c r="H162" s="100" t="e">
        <f t="shared" ca="1" si="21"/>
        <v>#NAME?</v>
      </c>
      <c r="I162" s="100" t="e">
        <f t="shared" ca="1" si="22"/>
        <v>#NAME?</v>
      </c>
      <c r="J162" s="100" t="e">
        <f t="shared" ca="1" si="23"/>
        <v>#NAME?</v>
      </c>
      <c r="K162" s="100" t="e">
        <f t="shared" ca="1" si="24"/>
        <v>#NAME?</v>
      </c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 spans="1:26">
      <c r="A163" s="100" t="e">
        <f ca="1">IFERROR(__xludf.DUMMYFUNCTION("""COMPUTED_VALUE"""),14519915)</f>
        <v>#NAME?</v>
      </c>
      <c r="B163" s="100" t="e">
        <f ca="1">IFERROR(__xludf.DUMMYFUNCTION("""COMPUTED_VALUE"""),"bbfusdt")</f>
        <v>#NAME?</v>
      </c>
      <c r="C163" s="100" t="e">
        <f ca="1">IFERROR(__xludf.DUMMYFUNCTION("""COMPUTED_VALUE"""),"0.007952")</f>
        <v>#NAME?</v>
      </c>
      <c r="D163" s="100" t="e">
        <f t="shared" ca="1" si="26"/>
        <v>#NAME?</v>
      </c>
      <c r="E163" s="100" t="e">
        <f t="shared" ca="1" si="26"/>
        <v>#NAME?</v>
      </c>
      <c r="F163" s="100" t="e">
        <f t="shared" ca="1" si="19"/>
        <v>#NAME?</v>
      </c>
      <c r="G163" s="100" t="e">
        <f t="shared" ca="1" si="20"/>
        <v>#NAME?</v>
      </c>
      <c r="H163" s="100" t="e">
        <f t="shared" ca="1" si="21"/>
        <v>#NAME?</v>
      </c>
      <c r="I163" s="100" t="e">
        <f t="shared" ca="1" si="22"/>
        <v>#NAME?</v>
      </c>
      <c r="J163" s="100" t="e">
        <f t="shared" ca="1" si="23"/>
        <v>#NAME?</v>
      </c>
      <c r="K163" s="100" t="e">
        <f t="shared" ca="1" si="24"/>
        <v>#NAME?</v>
      </c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 spans="1:26">
      <c r="A164" s="100" t="e">
        <f ca="1">IFERROR(__xludf.DUMMYFUNCTION("""COMPUTED_VALUE"""),14519916)</f>
        <v>#NAME?</v>
      </c>
      <c r="B164" s="100" t="e">
        <f ca="1">IFERROR(__xludf.DUMMYFUNCTION("""COMPUTED_VALUE"""),"krrxusdt")</f>
        <v>#NAME?</v>
      </c>
      <c r="C164" s="100" t="e">
        <f ca="1">IFERROR(__xludf.DUMMYFUNCTION("""COMPUTED_VALUE"""),"0.0445")</f>
        <v>#NAME?</v>
      </c>
      <c r="D164" s="100" t="e">
        <f t="shared" ca="1" si="26"/>
        <v>#NAME?</v>
      </c>
      <c r="E164" s="100" t="e">
        <f t="shared" ca="1" si="26"/>
        <v>#NAME?</v>
      </c>
      <c r="F164" s="100" t="e">
        <f t="shared" ca="1" si="19"/>
        <v>#NAME?</v>
      </c>
      <c r="G164" s="100" t="e">
        <f t="shared" ca="1" si="20"/>
        <v>#NAME?</v>
      </c>
      <c r="H164" s="100" t="e">
        <f t="shared" ca="1" si="21"/>
        <v>#NAME?</v>
      </c>
      <c r="I164" s="100" t="e">
        <f t="shared" ca="1" si="22"/>
        <v>#NAME?</v>
      </c>
      <c r="J164" s="100" t="e">
        <f t="shared" ca="1" si="23"/>
        <v>#NAME?</v>
      </c>
      <c r="K164" s="100" t="e">
        <f t="shared" ca="1" si="24"/>
        <v>#NAME?</v>
      </c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 spans="1:26">
      <c r="A165" s="100" t="e">
        <f ca="1">IFERROR(__xludf.DUMMYFUNCTION("""COMPUTED_VALUE"""),14519917)</f>
        <v>#NAME?</v>
      </c>
      <c r="B165" s="100" t="e">
        <f ca="1">IFERROR(__xludf.DUMMYFUNCTION("""COMPUTED_VALUE"""),"trxeth")</f>
        <v>#NAME?</v>
      </c>
      <c r="C165" s="100" t="e">
        <f ca="1">IFERROR(__xludf.DUMMYFUNCTION("""COMPUTED_VALUE"""),"0.00015261")</f>
        <v>#NAME?</v>
      </c>
      <c r="D165" s="100" t="e">
        <f t="shared" ca="1" si="26"/>
        <v>#NAME?</v>
      </c>
      <c r="E165" s="100" t="e">
        <f t="shared" ca="1" si="26"/>
        <v>#NAME?</v>
      </c>
      <c r="F165" s="100" t="e">
        <f t="shared" ca="1" si="19"/>
        <v>#NAME?</v>
      </c>
      <c r="G165" s="100" t="e">
        <f t="shared" ca="1" si="20"/>
        <v>#NAME?</v>
      </c>
      <c r="H165" s="100" t="e">
        <f t="shared" ca="1" si="21"/>
        <v>#NAME?</v>
      </c>
      <c r="I165" s="100" t="e">
        <f t="shared" ca="1" si="22"/>
        <v>#NAME?</v>
      </c>
      <c r="J165" s="100" t="e">
        <f t="shared" ca="1" si="23"/>
        <v>#NAME?</v>
      </c>
      <c r="K165" s="100" t="e">
        <f t="shared" ca="1" si="24"/>
        <v>#NAME?</v>
      </c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 spans="1:26">
      <c r="A166" s="100" t="e">
        <f ca="1">IFERROR(__xludf.DUMMYFUNCTION("""COMPUTED_VALUE"""),14519918)</f>
        <v>#NAME?</v>
      </c>
      <c r="B166" s="100" t="e">
        <f ca="1">IFERROR(__xludf.DUMMYFUNCTION("""COMPUTED_VALUE"""),"cvcusdt")</f>
        <v>#NAME?</v>
      </c>
      <c r="C166" s="100" t="e">
        <f ca="1">IFERROR(__xludf.DUMMYFUNCTION("""COMPUTED_VALUE"""),"0.1057")</f>
        <v>#NAME?</v>
      </c>
      <c r="D166" s="100" t="e">
        <f t="shared" ca="1" si="26"/>
        <v>#NAME?</v>
      </c>
      <c r="E166" s="100" t="e">
        <f t="shared" ca="1" si="26"/>
        <v>#NAME?</v>
      </c>
      <c r="F166" s="100" t="e">
        <f t="shared" ca="1" si="19"/>
        <v>#NAME?</v>
      </c>
      <c r="G166" s="100" t="e">
        <f t="shared" ca="1" si="20"/>
        <v>#NAME?</v>
      </c>
      <c r="H166" s="100" t="e">
        <f t="shared" ca="1" si="21"/>
        <v>#NAME?</v>
      </c>
      <c r="I166" s="100" t="e">
        <f t="shared" ca="1" si="22"/>
        <v>#NAME?</v>
      </c>
      <c r="J166" s="100" t="e">
        <f t="shared" ca="1" si="23"/>
        <v>#NAME?</v>
      </c>
      <c r="K166" s="100" t="e">
        <f t="shared" ca="1" si="24"/>
        <v>#NAME?</v>
      </c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 spans="1:26">
      <c r="A167" s="100" t="e">
        <f ca="1">IFERROR(__xludf.DUMMYFUNCTION("""COMPUTED_VALUE"""),14519919)</f>
        <v>#NAME?</v>
      </c>
      <c r="B167" s="100" t="e">
        <f ca="1">IFERROR(__xludf.DUMMYFUNCTION("""COMPUTED_VALUE"""),"boneusdt")</f>
        <v>#NAME?</v>
      </c>
      <c r="C167" s="100" t="e">
        <f ca="1">IFERROR(__xludf.DUMMYFUNCTION("""COMPUTED_VALUE"""),"0.2762")</f>
        <v>#NAME?</v>
      </c>
      <c r="D167" s="100" t="e">
        <f t="shared" ca="1" si="26"/>
        <v>#NAME?</v>
      </c>
      <c r="E167" s="100" t="e">
        <f t="shared" ca="1" si="26"/>
        <v>#NAME?</v>
      </c>
      <c r="F167" s="100" t="e">
        <f t="shared" ca="1" si="19"/>
        <v>#NAME?</v>
      </c>
      <c r="G167" s="100" t="e">
        <f t="shared" ca="1" si="20"/>
        <v>#NAME?</v>
      </c>
      <c r="H167" s="100" t="e">
        <f t="shared" ca="1" si="21"/>
        <v>#NAME?</v>
      </c>
      <c r="I167" s="100" t="e">
        <f t="shared" ca="1" si="22"/>
        <v>#NAME?</v>
      </c>
      <c r="J167" s="100" t="e">
        <f t="shared" ca="1" si="23"/>
        <v>#NAME?</v>
      </c>
      <c r="K167" s="100" t="e">
        <f t="shared" ca="1" si="24"/>
        <v>#NAME?</v>
      </c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 spans="1:26">
      <c r="A168" s="100" t="e">
        <f ca="1">IFERROR(__xludf.DUMMYFUNCTION("""COMPUTED_VALUE"""),14519920)</f>
        <v>#NAME?</v>
      </c>
      <c r="B168" s="100" t="e">
        <f ca="1">IFERROR(__xludf.DUMMYFUNCTION("""COMPUTED_VALUE"""),"moodengusdt")</f>
        <v>#NAME?</v>
      </c>
      <c r="C168" s="100" t="e">
        <f ca="1">IFERROR(__xludf.DUMMYFUNCTION("""COMPUTED_VALUE"""),"0.02796")</f>
        <v>#NAME?</v>
      </c>
      <c r="D168" s="100" t="e">
        <f t="shared" ca="1" si="26"/>
        <v>#NAME?</v>
      </c>
      <c r="E168" s="100" t="e">
        <f t="shared" ca="1" si="26"/>
        <v>#NAME?</v>
      </c>
      <c r="F168" s="100" t="e">
        <f t="shared" ca="1" si="19"/>
        <v>#NAME?</v>
      </c>
      <c r="G168" s="100" t="e">
        <f t="shared" ca="1" si="20"/>
        <v>#NAME?</v>
      </c>
      <c r="H168" s="100" t="e">
        <f t="shared" ca="1" si="21"/>
        <v>#NAME?</v>
      </c>
      <c r="I168" s="100" t="e">
        <f t="shared" ca="1" si="22"/>
        <v>#NAME?</v>
      </c>
      <c r="J168" s="100" t="e">
        <f t="shared" ca="1" si="23"/>
        <v>#NAME?</v>
      </c>
      <c r="K168" s="100" t="e">
        <f t="shared" ca="1" si="24"/>
        <v>#NAME?</v>
      </c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 spans="1:26">
      <c r="A169" s="100" t="e">
        <f ca="1">IFERROR(__xludf.DUMMYFUNCTION("""COMPUTED_VALUE"""),14519921)</f>
        <v>#NAME?</v>
      </c>
      <c r="B169" s="100" t="e">
        <f ca="1">IFERROR(__xludf.DUMMYFUNCTION("""COMPUTED_VALUE"""),"alusdt")</f>
        <v>#NAME?</v>
      </c>
      <c r="C169" s="100" t="e">
        <f ca="1">IFERROR(__xludf.DUMMYFUNCTION("""COMPUTED_VALUE"""),"0.106")</f>
        <v>#NAME?</v>
      </c>
      <c r="D169" s="100" t="e">
        <f t="shared" ca="1" si="26"/>
        <v>#NAME?</v>
      </c>
      <c r="E169" s="100" t="e">
        <f t="shared" ca="1" si="26"/>
        <v>#NAME?</v>
      </c>
      <c r="F169" s="100" t="e">
        <f t="shared" ca="1" si="19"/>
        <v>#NAME?</v>
      </c>
      <c r="G169" s="100" t="e">
        <f t="shared" ca="1" si="20"/>
        <v>#NAME?</v>
      </c>
      <c r="H169" s="100" t="e">
        <f t="shared" ca="1" si="21"/>
        <v>#NAME?</v>
      </c>
      <c r="I169" s="100" t="e">
        <f t="shared" ca="1" si="22"/>
        <v>#NAME?</v>
      </c>
      <c r="J169" s="100" t="e">
        <f t="shared" ca="1" si="23"/>
        <v>#NAME?</v>
      </c>
      <c r="K169" s="100" t="e">
        <f t="shared" ca="1" si="24"/>
        <v>#NAME?</v>
      </c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 spans="1:26">
      <c r="A170" s="100" t="e">
        <f ca="1">IFERROR(__xludf.DUMMYFUNCTION("""COMPUTED_VALUE"""),14519922)</f>
        <v>#NAME?</v>
      </c>
      <c r="B170" s="100" t="e">
        <f ca="1">IFERROR(__xludf.DUMMYFUNCTION("""COMPUTED_VALUE"""),"pnutusdt")</f>
        <v>#NAME?</v>
      </c>
      <c r="C170" s="100" t="e">
        <f ca="1">IFERROR(__xludf.DUMMYFUNCTION("""COMPUTED_VALUE"""),"0.1307")</f>
        <v>#NAME?</v>
      </c>
      <c r="D170" s="100" t="e">
        <f t="shared" ca="1" si="26"/>
        <v>#NAME?</v>
      </c>
      <c r="E170" s="100" t="e">
        <f t="shared" ca="1" si="26"/>
        <v>#NAME?</v>
      </c>
      <c r="F170" s="100" t="e">
        <f t="shared" ca="1" si="19"/>
        <v>#NAME?</v>
      </c>
      <c r="G170" s="100" t="e">
        <f t="shared" ca="1" si="20"/>
        <v>#NAME?</v>
      </c>
      <c r="H170" s="100" t="e">
        <f t="shared" ca="1" si="21"/>
        <v>#NAME?</v>
      </c>
      <c r="I170" s="100" t="e">
        <f t="shared" ca="1" si="22"/>
        <v>#NAME?</v>
      </c>
      <c r="J170" s="100" t="e">
        <f t="shared" ca="1" si="23"/>
        <v>#NAME?</v>
      </c>
      <c r="K170" s="100" t="e">
        <f t="shared" ca="1" si="24"/>
        <v>#NAME?</v>
      </c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 spans="1:26">
      <c r="A171" s="100" t="e">
        <f ca="1">IFERROR(__xludf.DUMMYFUNCTION("""COMPUTED_VALUE"""),14519923)</f>
        <v>#NAME?</v>
      </c>
      <c r="B171" s="100" t="e">
        <f ca="1">IFERROR(__xludf.DUMMYFUNCTION("""COMPUTED_VALUE"""),"zecusdt")</f>
        <v>#NAME?</v>
      </c>
      <c r="C171" s="100" t="e">
        <f ca="1">IFERROR(__xludf.DUMMYFUNCTION("""COMPUTED_VALUE"""),"30.73")</f>
        <v>#NAME?</v>
      </c>
      <c r="D171" s="100" t="e">
        <f t="shared" ca="1" si="26"/>
        <v>#NAME?</v>
      </c>
      <c r="E171" s="100" t="e">
        <f t="shared" ca="1" si="26"/>
        <v>#NAME?</v>
      </c>
      <c r="F171" s="100" t="e">
        <f t="shared" ca="1" si="19"/>
        <v>#NAME?</v>
      </c>
      <c r="G171" s="100" t="e">
        <f t="shared" ca="1" si="20"/>
        <v>#NAME?</v>
      </c>
      <c r="H171" s="100" t="e">
        <f t="shared" ca="1" si="21"/>
        <v>#NAME?</v>
      </c>
      <c r="I171" s="100" t="e">
        <f t="shared" ca="1" si="22"/>
        <v>#NAME?</v>
      </c>
      <c r="J171" s="100" t="e">
        <f t="shared" ca="1" si="23"/>
        <v>#NAME?</v>
      </c>
      <c r="K171" s="100" t="e">
        <f t="shared" ca="1" si="24"/>
        <v>#NAME?</v>
      </c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 spans="1:26">
      <c r="A172" s="100" t="e">
        <f ca="1">IFERROR(__xludf.DUMMYFUNCTION("""COMPUTED_VALUE"""),14519924)</f>
        <v>#NAME?</v>
      </c>
      <c r="B172" s="100" t="e">
        <f ca="1">IFERROR(__xludf.DUMMYFUNCTION("""COMPUTED_VALUE"""),"sarosusdt")</f>
        <v>#NAME?</v>
      </c>
      <c r="C172" s="100" t="e">
        <f ca="1">IFERROR(__xludf.DUMMYFUNCTION("""COMPUTED_VALUE"""),"0.118913")</f>
        <v>#NAME?</v>
      </c>
      <c r="D172" s="100" t="e">
        <f t="shared" ca="1" si="26"/>
        <v>#NAME?</v>
      </c>
      <c r="E172" s="100" t="e">
        <f t="shared" ca="1" si="26"/>
        <v>#NAME?</v>
      </c>
      <c r="F172" s="100" t="e">
        <f t="shared" ca="1" si="19"/>
        <v>#NAME?</v>
      </c>
      <c r="G172" s="100" t="e">
        <f t="shared" ca="1" si="20"/>
        <v>#NAME?</v>
      </c>
      <c r="H172" s="100" t="e">
        <f t="shared" ca="1" si="21"/>
        <v>#NAME?</v>
      </c>
      <c r="I172" s="100" t="e">
        <f t="shared" ca="1" si="22"/>
        <v>#NAME?</v>
      </c>
      <c r="J172" s="100" t="e">
        <f t="shared" ca="1" si="23"/>
        <v>#NAME?</v>
      </c>
      <c r="K172" s="100" t="e">
        <f t="shared" ca="1" si="24"/>
        <v>#NAME?</v>
      </c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 spans="1:26">
      <c r="A173" s="100" t="e">
        <f ca="1">IFERROR(__xludf.DUMMYFUNCTION("""COMPUTED_VALUE"""),14519925)</f>
        <v>#NAME?</v>
      </c>
      <c r="B173" s="100" t="e">
        <f ca="1">IFERROR(__xludf.DUMMYFUNCTION("""COMPUTED_VALUE"""),"winusdt")</f>
        <v>#NAME?</v>
      </c>
      <c r="C173" s="100" t="e">
        <f ca="1">IFERROR(__xludf.DUMMYFUNCTION("""COMPUTED_VALUE"""),"5.197e-05")</f>
        <v>#NAME?</v>
      </c>
      <c r="D173" s="100" t="e">
        <f t="shared" ca="1" si="26"/>
        <v>#NAME?</v>
      </c>
      <c r="E173" s="100" t="e">
        <f t="shared" ca="1" si="26"/>
        <v>#NAME?</v>
      </c>
      <c r="F173" s="100" t="e">
        <f t="shared" ca="1" si="19"/>
        <v>#NAME?</v>
      </c>
      <c r="G173" s="100" t="e">
        <f t="shared" ca="1" si="20"/>
        <v>#NAME?</v>
      </c>
      <c r="H173" s="100" t="e">
        <f t="shared" ca="1" si="21"/>
        <v>#NAME?</v>
      </c>
      <c r="I173" s="100" t="e">
        <f t="shared" ca="1" si="22"/>
        <v>#NAME?</v>
      </c>
      <c r="J173" s="100" t="e">
        <f t="shared" ca="1" si="23"/>
        <v>#NAME?</v>
      </c>
      <c r="K173" s="100" t="e">
        <f t="shared" ca="1" si="24"/>
        <v>#NAME?</v>
      </c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 spans="1:26">
      <c r="A174" s="100" t="e">
        <f ca="1">IFERROR(__xludf.DUMMYFUNCTION("""COMPUTED_VALUE"""),14519926)</f>
        <v>#NAME?</v>
      </c>
      <c r="B174" s="100" t="e">
        <f ca="1">IFERROR(__xludf.DUMMYFUNCTION("""COMPUTED_VALUE"""),"movrusdt")</f>
        <v>#NAME?</v>
      </c>
      <c r="C174" s="100" t="e">
        <f ca="1">IFERROR(__xludf.DUMMYFUNCTION("""COMPUTED_VALUE"""),"5.5212")</f>
        <v>#NAME?</v>
      </c>
      <c r="D174" s="100" t="e">
        <f t="shared" ca="1" si="26"/>
        <v>#NAME?</v>
      </c>
      <c r="E174" s="100" t="e">
        <f t="shared" ca="1" si="26"/>
        <v>#NAME?</v>
      </c>
      <c r="F174" s="100" t="e">
        <f t="shared" ca="1" si="19"/>
        <v>#NAME?</v>
      </c>
      <c r="G174" s="100" t="e">
        <f t="shared" ca="1" si="20"/>
        <v>#NAME?</v>
      </c>
      <c r="H174" s="100" t="e">
        <f t="shared" ca="1" si="21"/>
        <v>#NAME?</v>
      </c>
      <c r="I174" s="100" t="e">
        <f t="shared" ca="1" si="22"/>
        <v>#NAME?</v>
      </c>
      <c r="J174" s="100" t="e">
        <f t="shared" ca="1" si="23"/>
        <v>#NAME?</v>
      </c>
      <c r="K174" s="100" t="e">
        <f t="shared" ca="1" si="24"/>
        <v>#NAME?</v>
      </c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 spans="1:26">
      <c r="A175" s="100" t="e">
        <f ca="1">IFERROR(__xludf.DUMMYFUNCTION("""COMPUTED_VALUE"""),14519927)</f>
        <v>#NAME?</v>
      </c>
      <c r="B175" s="100" t="e">
        <f ca="1">IFERROR(__xludf.DUMMYFUNCTION("""COMPUTED_VALUE"""),"beerusdt")</f>
        <v>#NAME?</v>
      </c>
      <c r="C175" s="100" t="e">
        <f ca="1">IFERROR(__xludf.DUMMYFUNCTION("""COMPUTED_VALUE"""),"3.87e-06")</f>
        <v>#NAME?</v>
      </c>
      <c r="D175" s="100" t="e">
        <f t="shared" ca="1" si="26"/>
        <v>#NAME?</v>
      </c>
      <c r="E175" s="100" t="e">
        <f t="shared" ca="1" si="26"/>
        <v>#NAME?</v>
      </c>
      <c r="F175" s="100" t="e">
        <f t="shared" ca="1" si="19"/>
        <v>#NAME?</v>
      </c>
      <c r="G175" s="100" t="e">
        <f t="shared" ca="1" si="20"/>
        <v>#NAME?</v>
      </c>
      <c r="H175" s="100" t="e">
        <f t="shared" ca="1" si="21"/>
        <v>#NAME?</v>
      </c>
      <c r="I175" s="100" t="e">
        <f t="shared" ca="1" si="22"/>
        <v>#NAME?</v>
      </c>
      <c r="J175" s="100" t="e">
        <f t="shared" ca="1" si="23"/>
        <v>#NAME?</v>
      </c>
      <c r="K175" s="100" t="e">
        <f t="shared" ca="1" si="24"/>
        <v>#NAME?</v>
      </c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 spans="1:26">
      <c r="A176" s="100" t="e">
        <f ca="1">IFERROR(__xludf.DUMMYFUNCTION("""COMPUTED_VALUE"""),14519928)</f>
        <v>#NAME?</v>
      </c>
      <c r="B176" s="100" t="e">
        <f ca="1">IFERROR(__xludf.DUMMYFUNCTION("""COMPUTED_VALUE"""),"kmdusdt")</f>
        <v>#NAME?</v>
      </c>
      <c r="C176" s="100" t="e">
        <f ca="1">IFERROR(__xludf.DUMMYFUNCTION("""COMPUTED_VALUE"""),"0.1349")</f>
        <v>#NAME?</v>
      </c>
      <c r="D176" s="100" t="e">
        <f t="shared" ca="1" si="26"/>
        <v>#NAME?</v>
      </c>
      <c r="E176" s="100" t="e">
        <f t="shared" ca="1" si="26"/>
        <v>#NAME?</v>
      </c>
      <c r="F176" s="100" t="e">
        <f t="shared" ca="1" si="19"/>
        <v>#NAME?</v>
      </c>
      <c r="G176" s="100" t="e">
        <f t="shared" ca="1" si="20"/>
        <v>#NAME?</v>
      </c>
      <c r="H176" s="100" t="e">
        <f t="shared" ca="1" si="21"/>
        <v>#NAME?</v>
      </c>
      <c r="I176" s="100" t="e">
        <f t="shared" ca="1" si="22"/>
        <v>#NAME?</v>
      </c>
      <c r="J176" s="100" t="e">
        <f t="shared" ca="1" si="23"/>
        <v>#NAME?</v>
      </c>
      <c r="K176" s="100" t="e">
        <f t="shared" ca="1" si="24"/>
        <v>#NAME?</v>
      </c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 spans="1:26">
      <c r="A177" s="100" t="e">
        <f ca="1">IFERROR(__xludf.DUMMYFUNCTION("""COMPUTED_VALUE"""),14519929)</f>
        <v>#NAME?</v>
      </c>
      <c r="B177" s="100" t="e">
        <f ca="1">IFERROR(__xludf.DUMMYFUNCTION("""COMPUTED_VALUE"""),"toxusdt")</f>
        <v>#NAME?</v>
      </c>
      <c r="C177" s="100" t="e">
        <f ca="1">IFERROR(__xludf.DUMMYFUNCTION("""COMPUTED_VALUE"""),"0.000679")</f>
        <v>#NAME?</v>
      </c>
      <c r="D177" s="100" t="e">
        <f t="shared" ca="1" si="26"/>
        <v>#NAME?</v>
      </c>
      <c r="E177" s="100" t="e">
        <f t="shared" ca="1" si="26"/>
        <v>#NAME?</v>
      </c>
      <c r="F177" s="100" t="e">
        <f t="shared" ca="1" si="19"/>
        <v>#NAME?</v>
      </c>
      <c r="G177" s="100" t="e">
        <f t="shared" ca="1" si="20"/>
        <v>#NAME?</v>
      </c>
      <c r="H177" s="100" t="e">
        <f t="shared" ca="1" si="21"/>
        <v>#NAME?</v>
      </c>
      <c r="I177" s="100" t="e">
        <f t="shared" ca="1" si="22"/>
        <v>#NAME?</v>
      </c>
      <c r="J177" s="100" t="e">
        <f t="shared" ca="1" si="23"/>
        <v>#NAME?</v>
      </c>
      <c r="K177" s="100" t="e">
        <f t="shared" ca="1" si="24"/>
        <v>#NAME?</v>
      </c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 spans="1:26">
      <c r="A178" s="100" t="e">
        <f ca="1">IFERROR(__xludf.DUMMYFUNCTION("""COMPUTED_VALUE"""),14519930)</f>
        <v>#NAME?</v>
      </c>
      <c r="B178" s="100" t="e">
        <f ca="1">IFERROR(__xludf.DUMMYFUNCTION("""COMPUTED_VALUE"""),"vlxusdt")</f>
        <v>#NAME?</v>
      </c>
      <c r="C178" s="100" t="e">
        <f ca="1">IFERROR(__xludf.DUMMYFUNCTION("""COMPUTED_VALUE"""),"0.00404")</f>
        <v>#NAME?</v>
      </c>
      <c r="D178" s="100" t="e">
        <f t="shared" ca="1" si="26"/>
        <v>#NAME?</v>
      </c>
      <c r="E178" s="100" t="e">
        <f t="shared" ca="1" si="26"/>
        <v>#NAME?</v>
      </c>
      <c r="F178" s="100" t="e">
        <f t="shared" ca="1" si="19"/>
        <v>#NAME?</v>
      </c>
      <c r="G178" s="100" t="e">
        <f t="shared" ca="1" si="20"/>
        <v>#NAME?</v>
      </c>
      <c r="H178" s="100" t="e">
        <f t="shared" ca="1" si="21"/>
        <v>#NAME?</v>
      </c>
      <c r="I178" s="100" t="e">
        <f t="shared" ca="1" si="22"/>
        <v>#NAME?</v>
      </c>
      <c r="J178" s="100" t="e">
        <f t="shared" ca="1" si="23"/>
        <v>#NAME?</v>
      </c>
      <c r="K178" s="100" t="e">
        <f t="shared" ca="1" si="24"/>
        <v>#NAME?</v>
      </c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 spans="1:26">
      <c r="A179" s="100" t="e">
        <f ca="1">IFERROR(__xludf.DUMMYFUNCTION("""COMPUTED_VALUE"""),14519931)</f>
        <v>#NAME?</v>
      </c>
      <c r="B179" s="100" t="e">
        <f ca="1">IFERROR(__xludf.DUMMYFUNCTION("""COMPUTED_VALUE"""),"griffainusdt")</f>
        <v>#NAME?</v>
      </c>
      <c r="C179" s="100" t="e">
        <f ca="1">IFERROR(__xludf.DUMMYFUNCTION("""COMPUTED_VALUE"""),"0.0336")</f>
        <v>#NAME?</v>
      </c>
      <c r="D179" s="100" t="e">
        <f t="shared" ca="1" si="26"/>
        <v>#NAME?</v>
      </c>
      <c r="E179" s="100" t="e">
        <f t="shared" ca="1" si="26"/>
        <v>#NAME?</v>
      </c>
      <c r="F179" s="100" t="e">
        <f t="shared" ca="1" si="19"/>
        <v>#NAME?</v>
      </c>
      <c r="G179" s="100" t="e">
        <f t="shared" ca="1" si="20"/>
        <v>#NAME?</v>
      </c>
      <c r="H179" s="100" t="e">
        <f t="shared" ca="1" si="21"/>
        <v>#NAME?</v>
      </c>
      <c r="I179" s="100" t="e">
        <f t="shared" ca="1" si="22"/>
        <v>#NAME?</v>
      </c>
      <c r="J179" s="100" t="e">
        <f t="shared" ca="1" si="23"/>
        <v>#NAME?</v>
      </c>
      <c r="K179" s="100" t="e">
        <f t="shared" ca="1" si="24"/>
        <v>#NAME?</v>
      </c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 spans="1:26">
      <c r="A180" s="100" t="e">
        <f ca="1">IFERROR(__xludf.DUMMYFUNCTION("""COMPUTED_VALUE"""),14519932)</f>
        <v>#NAME?</v>
      </c>
      <c r="B180" s="100" t="e">
        <f ca="1">IFERROR(__xludf.DUMMYFUNCTION("""COMPUTED_VALUE"""),"ethusdc")</f>
        <v>#NAME?</v>
      </c>
      <c r="C180" s="100" t="e">
        <f ca="1">IFERROR(__xludf.DUMMYFUNCTION("""COMPUTED_VALUE"""),"1625.08")</f>
        <v>#NAME?</v>
      </c>
      <c r="D180" s="100" t="e">
        <f t="shared" ca="1" si="26"/>
        <v>#NAME?</v>
      </c>
      <c r="E180" s="100" t="e">
        <f t="shared" ca="1" si="26"/>
        <v>#NAME?</v>
      </c>
      <c r="F180" s="100" t="e">
        <f t="shared" ca="1" si="19"/>
        <v>#NAME?</v>
      </c>
      <c r="G180" s="100" t="e">
        <f t="shared" ca="1" si="20"/>
        <v>#NAME?</v>
      </c>
      <c r="H180" s="100" t="e">
        <f t="shared" ca="1" si="21"/>
        <v>#NAME?</v>
      </c>
      <c r="I180" s="100" t="e">
        <f t="shared" ca="1" si="22"/>
        <v>#NAME?</v>
      </c>
      <c r="J180" s="100" t="e">
        <f t="shared" ca="1" si="23"/>
        <v>#NAME?</v>
      </c>
      <c r="K180" s="100" t="e">
        <f t="shared" ca="1" si="24"/>
        <v>#NAME?</v>
      </c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 spans="1:26">
      <c r="A181" s="100" t="e">
        <f ca="1">IFERROR(__xludf.DUMMYFUNCTION("""COMPUTED_VALUE"""),14519933)</f>
        <v>#NAME?</v>
      </c>
      <c r="B181" s="100" t="e">
        <f ca="1">IFERROR(__xludf.DUMMYFUNCTION("""COMPUTED_VALUE"""),"pufferusdt")</f>
        <v>#NAME?</v>
      </c>
      <c r="C181" s="100" t="e">
        <f ca="1">IFERROR(__xludf.DUMMYFUNCTION("""COMPUTED_VALUE"""),"0.1674")</f>
        <v>#NAME?</v>
      </c>
      <c r="D181" s="100" t="e">
        <f t="shared" ca="1" si="26"/>
        <v>#NAME?</v>
      </c>
      <c r="E181" s="100" t="e">
        <f t="shared" ca="1" si="26"/>
        <v>#NAME?</v>
      </c>
      <c r="F181" s="100" t="e">
        <f t="shared" ca="1" si="19"/>
        <v>#NAME?</v>
      </c>
      <c r="G181" s="100" t="e">
        <f t="shared" ca="1" si="20"/>
        <v>#NAME?</v>
      </c>
      <c r="H181" s="100" t="e">
        <f t="shared" ca="1" si="21"/>
        <v>#NAME?</v>
      </c>
      <c r="I181" s="100" t="e">
        <f t="shared" ca="1" si="22"/>
        <v>#NAME?</v>
      </c>
      <c r="J181" s="100" t="e">
        <f t="shared" ca="1" si="23"/>
        <v>#NAME?</v>
      </c>
      <c r="K181" s="100" t="e">
        <f t="shared" ca="1" si="24"/>
        <v>#NAME?</v>
      </c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 spans="1:26">
      <c r="A182" s="100" t="e">
        <f ca="1">IFERROR(__xludf.DUMMYFUNCTION("""COMPUTED_VALUE"""),14519934)</f>
        <v>#NAME?</v>
      </c>
      <c r="B182" s="100" t="e">
        <f ca="1">IFERROR(__xludf.DUMMYFUNCTION("""COMPUTED_VALUE"""),"utkusdt")</f>
        <v>#NAME?</v>
      </c>
      <c r="C182" s="100" t="e">
        <f ca="1">IFERROR(__xludf.DUMMYFUNCTION("""COMPUTED_VALUE"""),"0.0308")</f>
        <v>#NAME?</v>
      </c>
      <c r="D182" s="100" t="e">
        <f t="shared" ref="D182:E201" ca="1" si="27">IFERROR(__xludf.DUMMYFUNCTION("""COMPUTED_VALUE"""),"-")</f>
        <v>#NAME?</v>
      </c>
      <c r="E182" s="100" t="e">
        <f t="shared" ca="1" si="27"/>
        <v>#NAME?</v>
      </c>
      <c r="F182" s="100" t="e">
        <f t="shared" ca="1" si="19"/>
        <v>#NAME?</v>
      </c>
      <c r="G182" s="100" t="e">
        <f t="shared" ca="1" si="20"/>
        <v>#NAME?</v>
      </c>
      <c r="H182" s="100" t="e">
        <f t="shared" ca="1" si="21"/>
        <v>#NAME?</v>
      </c>
      <c r="I182" s="100" t="e">
        <f t="shared" ca="1" si="22"/>
        <v>#NAME?</v>
      </c>
      <c r="J182" s="100" t="e">
        <f t="shared" ca="1" si="23"/>
        <v>#NAME?</v>
      </c>
      <c r="K182" s="100" t="e">
        <f t="shared" ca="1" si="24"/>
        <v>#NAME?</v>
      </c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 spans="1:26">
      <c r="A183" s="100" t="e">
        <f ca="1">IFERROR(__xludf.DUMMYFUNCTION("""COMPUTED_VALUE"""),14519935)</f>
        <v>#NAME?</v>
      </c>
      <c r="B183" s="100" t="e">
        <f ca="1">IFERROR(__xludf.DUMMYFUNCTION("""COMPUTED_VALUE"""),"roninusdt")</f>
        <v>#NAME?</v>
      </c>
      <c r="C183" s="100" t="e">
        <f ca="1">IFERROR(__xludf.DUMMYFUNCTION("""COMPUTED_VALUE"""),"0.5281")</f>
        <v>#NAME?</v>
      </c>
      <c r="D183" s="100" t="e">
        <f t="shared" ca="1" si="27"/>
        <v>#NAME?</v>
      </c>
      <c r="E183" s="100" t="e">
        <f t="shared" ca="1" si="27"/>
        <v>#NAME?</v>
      </c>
      <c r="F183" s="100" t="e">
        <f t="shared" ca="1" si="19"/>
        <v>#NAME?</v>
      </c>
      <c r="G183" s="100" t="e">
        <f t="shared" ca="1" si="20"/>
        <v>#NAME?</v>
      </c>
      <c r="H183" s="100" t="e">
        <f t="shared" ca="1" si="21"/>
        <v>#NAME?</v>
      </c>
      <c r="I183" s="100" t="e">
        <f t="shared" ca="1" si="22"/>
        <v>#NAME?</v>
      </c>
      <c r="J183" s="100" t="e">
        <f t="shared" ca="1" si="23"/>
        <v>#NAME?</v>
      </c>
      <c r="K183" s="100" t="e">
        <f t="shared" ca="1" si="24"/>
        <v>#NAME?</v>
      </c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 spans="1:26">
      <c r="A184" s="100" t="e">
        <f ca="1">IFERROR(__xludf.DUMMYFUNCTION("""COMPUTED_VALUE"""),14519936)</f>
        <v>#NAME?</v>
      </c>
      <c r="B184" s="100" t="e">
        <f ca="1">IFERROR(__xludf.DUMMYFUNCTION("""COMPUTED_VALUE"""),"xecusdt")</f>
        <v>#NAME?</v>
      </c>
      <c r="C184" s="100" t="e">
        <f ca="1">IFERROR(__xludf.DUMMYFUNCTION("""COMPUTED_VALUE"""),"2.074e-05")</f>
        <v>#NAME?</v>
      </c>
      <c r="D184" s="100" t="e">
        <f t="shared" ca="1" si="27"/>
        <v>#NAME?</v>
      </c>
      <c r="E184" s="100" t="e">
        <f t="shared" ca="1" si="27"/>
        <v>#NAME?</v>
      </c>
      <c r="F184" s="100" t="e">
        <f t="shared" ca="1" si="19"/>
        <v>#NAME?</v>
      </c>
      <c r="G184" s="100" t="e">
        <f t="shared" ca="1" si="20"/>
        <v>#NAME?</v>
      </c>
      <c r="H184" s="100" t="e">
        <f t="shared" ca="1" si="21"/>
        <v>#NAME?</v>
      </c>
      <c r="I184" s="100" t="e">
        <f t="shared" ca="1" si="22"/>
        <v>#NAME?</v>
      </c>
      <c r="J184" s="100" t="e">
        <f t="shared" ca="1" si="23"/>
        <v>#NAME?</v>
      </c>
      <c r="K184" s="100" t="e">
        <f t="shared" ca="1" si="24"/>
        <v>#NAME?</v>
      </c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 spans="1:26">
      <c r="A185" s="100" t="e">
        <f ca="1">IFERROR(__xludf.DUMMYFUNCTION("""COMPUTED_VALUE"""),14519937)</f>
        <v>#NAME?</v>
      </c>
      <c r="B185" s="100" t="e">
        <f ca="1">IFERROR(__xludf.DUMMYFUNCTION("""COMPUTED_VALUE"""),"pciusdt")</f>
        <v>#NAME?</v>
      </c>
      <c r="C185" s="100" t="e">
        <f ca="1">IFERROR(__xludf.DUMMYFUNCTION("""COMPUTED_VALUE"""),"0.0688")</f>
        <v>#NAME?</v>
      </c>
      <c r="D185" s="100" t="e">
        <f t="shared" ca="1" si="27"/>
        <v>#NAME?</v>
      </c>
      <c r="E185" s="100" t="e">
        <f t="shared" ca="1" si="27"/>
        <v>#NAME?</v>
      </c>
      <c r="F185" s="100" t="e">
        <f t="shared" ca="1" si="19"/>
        <v>#NAME?</v>
      </c>
      <c r="G185" s="100" t="e">
        <f t="shared" ca="1" si="20"/>
        <v>#NAME?</v>
      </c>
      <c r="H185" s="100" t="e">
        <f t="shared" ca="1" si="21"/>
        <v>#NAME?</v>
      </c>
      <c r="I185" s="100" t="e">
        <f t="shared" ca="1" si="22"/>
        <v>#NAME?</v>
      </c>
      <c r="J185" s="100" t="e">
        <f t="shared" ca="1" si="23"/>
        <v>#NAME?</v>
      </c>
      <c r="K185" s="100" t="e">
        <f t="shared" ca="1" si="24"/>
        <v>#NAME?</v>
      </c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 spans="1:26">
      <c r="A186" s="100" t="e">
        <f ca="1">IFERROR(__xludf.DUMMYFUNCTION("""COMPUTED_VALUE"""),14519938)</f>
        <v>#NAME?</v>
      </c>
      <c r="B186" s="100" t="e">
        <f ca="1">IFERROR(__xludf.DUMMYFUNCTION("""COMPUTED_VALUE"""),"bldusdt")</f>
        <v>#NAME?</v>
      </c>
      <c r="C186" s="100" t="e">
        <f ca="1">IFERROR(__xludf.DUMMYFUNCTION("""COMPUTED_VALUE"""),"0.0187")</f>
        <v>#NAME?</v>
      </c>
      <c r="D186" s="100" t="e">
        <f t="shared" ca="1" si="27"/>
        <v>#NAME?</v>
      </c>
      <c r="E186" s="100" t="e">
        <f t="shared" ca="1" si="27"/>
        <v>#NAME?</v>
      </c>
      <c r="F186" s="100" t="e">
        <f t="shared" ca="1" si="19"/>
        <v>#NAME?</v>
      </c>
      <c r="G186" s="100" t="e">
        <f t="shared" ca="1" si="20"/>
        <v>#NAME?</v>
      </c>
      <c r="H186" s="100" t="e">
        <f t="shared" ca="1" si="21"/>
        <v>#NAME?</v>
      </c>
      <c r="I186" s="100" t="e">
        <f t="shared" ca="1" si="22"/>
        <v>#NAME?</v>
      </c>
      <c r="J186" s="100" t="e">
        <f t="shared" ca="1" si="23"/>
        <v>#NAME?</v>
      </c>
      <c r="K186" s="100" t="e">
        <f t="shared" ca="1" si="24"/>
        <v>#NAME?</v>
      </c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 spans="1:26">
      <c r="A187" s="100" t="e">
        <f ca="1">IFERROR(__xludf.DUMMYFUNCTION("""COMPUTED_VALUE"""),14519939)</f>
        <v>#NAME?</v>
      </c>
      <c r="B187" s="100" t="e">
        <f ca="1">IFERROR(__xludf.DUMMYFUNCTION("""COMPUTED_VALUE"""),"xcnusdt")</f>
        <v>#NAME?</v>
      </c>
      <c r="C187" s="100" t="e">
        <f ca="1">IFERROR(__xludf.DUMMYFUNCTION("""COMPUTED_VALUE"""),"0.016923")</f>
        <v>#NAME?</v>
      </c>
      <c r="D187" s="100" t="e">
        <f t="shared" ca="1" si="27"/>
        <v>#NAME?</v>
      </c>
      <c r="E187" s="100" t="e">
        <f t="shared" ca="1" si="27"/>
        <v>#NAME?</v>
      </c>
      <c r="F187" s="100" t="e">
        <f t="shared" ca="1" si="19"/>
        <v>#NAME?</v>
      </c>
      <c r="G187" s="100" t="e">
        <f t="shared" ca="1" si="20"/>
        <v>#NAME?</v>
      </c>
      <c r="H187" s="100" t="e">
        <f t="shared" ca="1" si="21"/>
        <v>#NAME?</v>
      </c>
      <c r="I187" s="100" t="e">
        <f t="shared" ca="1" si="22"/>
        <v>#NAME?</v>
      </c>
      <c r="J187" s="100" t="e">
        <f t="shared" ca="1" si="23"/>
        <v>#NAME?</v>
      </c>
      <c r="K187" s="100" t="e">
        <f t="shared" ca="1" si="24"/>
        <v>#NAME?</v>
      </c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 spans="1:26">
      <c r="A188" s="100" t="e">
        <f ca="1">IFERROR(__xludf.DUMMYFUNCTION("""COMPUTED_VALUE"""),14519940)</f>
        <v>#NAME?</v>
      </c>
      <c r="B188" s="100" t="e">
        <f ca="1">IFERROR(__xludf.DUMMYFUNCTION("""COMPUTED_VALUE"""),"peopleusdt")</f>
        <v>#NAME?</v>
      </c>
      <c r="C188" s="100" t="e">
        <f ca="1">IFERROR(__xludf.DUMMYFUNCTION("""COMPUTED_VALUE"""),"0.012114")</f>
        <v>#NAME?</v>
      </c>
      <c r="D188" s="100" t="e">
        <f t="shared" ca="1" si="27"/>
        <v>#NAME?</v>
      </c>
      <c r="E188" s="100" t="e">
        <f t="shared" ca="1" si="27"/>
        <v>#NAME?</v>
      </c>
      <c r="F188" s="100" t="e">
        <f t="shared" ca="1" si="19"/>
        <v>#NAME?</v>
      </c>
      <c r="G188" s="100" t="e">
        <f t="shared" ca="1" si="20"/>
        <v>#NAME?</v>
      </c>
      <c r="H188" s="100" t="e">
        <f t="shared" ca="1" si="21"/>
        <v>#NAME?</v>
      </c>
      <c r="I188" s="100" t="e">
        <f t="shared" ca="1" si="22"/>
        <v>#NAME?</v>
      </c>
      <c r="J188" s="100" t="e">
        <f t="shared" ca="1" si="23"/>
        <v>#NAME?</v>
      </c>
      <c r="K188" s="100" t="e">
        <f t="shared" ca="1" si="24"/>
        <v>#NAME?</v>
      </c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 spans="1:26">
      <c r="A189" s="100" t="e">
        <f ca="1">IFERROR(__xludf.DUMMYFUNCTION("""COMPUTED_VALUE"""),14519941)</f>
        <v>#NAME?</v>
      </c>
      <c r="B189" s="100" t="e">
        <f ca="1">IFERROR(__xludf.DUMMYFUNCTION("""COMPUTED_VALUE"""),"egldusdt")</f>
        <v>#NAME?</v>
      </c>
      <c r="C189" s="100" t="e">
        <f ca="1">IFERROR(__xludf.DUMMYFUNCTION("""COMPUTED_VALUE"""),"14.0927")</f>
        <v>#NAME?</v>
      </c>
      <c r="D189" s="100" t="e">
        <f t="shared" ca="1" si="27"/>
        <v>#NAME?</v>
      </c>
      <c r="E189" s="100" t="e">
        <f t="shared" ca="1" si="27"/>
        <v>#NAME?</v>
      </c>
      <c r="F189" s="100" t="e">
        <f t="shared" ca="1" si="19"/>
        <v>#NAME?</v>
      </c>
      <c r="G189" s="100" t="e">
        <f t="shared" ca="1" si="20"/>
        <v>#NAME?</v>
      </c>
      <c r="H189" s="100" t="e">
        <f t="shared" ca="1" si="21"/>
        <v>#NAME?</v>
      </c>
      <c r="I189" s="100" t="e">
        <f t="shared" ca="1" si="22"/>
        <v>#NAME?</v>
      </c>
      <c r="J189" s="100" t="e">
        <f t="shared" ca="1" si="23"/>
        <v>#NAME?</v>
      </c>
      <c r="K189" s="100" t="e">
        <f t="shared" ca="1" si="24"/>
        <v>#NAME?</v>
      </c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 spans="1:26">
      <c r="A190" s="100" t="e">
        <f ca="1">IFERROR(__xludf.DUMMYFUNCTION("""COMPUTED_VALUE"""),14519942)</f>
        <v>#NAME?</v>
      </c>
      <c r="B190" s="100" t="e">
        <f ca="1">IFERROR(__xludf.DUMMYFUNCTION("""COMPUTED_VALUE"""),"lfusdt")</f>
        <v>#NAME?</v>
      </c>
      <c r="C190" s="100" t="e">
        <f ca="1">IFERROR(__xludf.DUMMYFUNCTION("""COMPUTED_VALUE"""),"0.000494")</f>
        <v>#NAME?</v>
      </c>
      <c r="D190" s="100" t="e">
        <f t="shared" ca="1" si="27"/>
        <v>#NAME?</v>
      </c>
      <c r="E190" s="100" t="e">
        <f t="shared" ca="1" si="27"/>
        <v>#NAME?</v>
      </c>
      <c r="F190" s="100" t="e">
        <f t="shared" ca="1" si="19"/>
        <v>#NAME?</v>
      </c>
      <c r="G190" s="100" t="e">
        <f t="shared" ca="1" si="20"/>
        <v>#NAME?</v>
      </c>
      <c r="H190" s="100" t="e">
        <f t="shared" ca="1" si="21"/>
        <v>#NAME?</v>
      </c>
      <c r="I190" s="100" t="e">
        <f t="shared" ca="1" si="22"/>
        <v>#NAME?</v>
      </c>
      <c r="J190" s="100" t="e">
        <f t="shared" ca="1" si="23"/>
        <v>#NAME?</v>
      </c>
      <c r="K190" s="100" t="e">
        <f t="shared" ca="1" si="24"/>
        <v>#NAME?</v>
      </c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 spans="1:26">
      <c r="A191" s="100" t="e">
        <f ca="1">IFERROR(__xludf.DUMMYFUNCTION("""COMPUTED_VALUE"""),14519943)</f>
        <v>#NAME?</v>
      </c>
      <c r="B191" s="100" t="e">
        <f ca="1">IFERROR(__xludf.DUMMYFUNCTION("""COMPUTED_VALUE"""),"tnsrusdt")</f>
        <v>#NAME?</v>
      </c>
      <c r="C191" s="100" t="e">
        <f ca="1">IFERROR(__xludf.DUMMYFUNCTION("""COMPUTED_VALUE"""),"0.1435")</f>
        <v>#NAME?</v>
      </c>
      <c r="D191" s="100" t="e">
        <f t="shared" ca="1" si="27"/>
        <v>#NAME?</v>
      </c>
      <c r="E191" s="100" t="e">
        <f t="shared" ca="1" si="27"/>
        <v>#NAME?</v>
      </c>
      <c r="F191" s="100" t="e">
        <f t="shared" ca="1" si="19"/>
        <v>#NAME?</v>
      </c>
      <c r="G191" s="100" t="e">
        <f t="shared" ca="1" si="20"/>
        <v>#NAME?</v>
      </c>
      <c r="H191" s="100" t="e">
        <f t="shared" ca="1" si="21"/>
        <v>#NAME?</v>
      </c>
      <c r="I191" s="100" t="e">
        <f t="shared" ca="1" si="22"/>
        <v>#NAME?</v>
      </c>
      <c r="J191" s="100" t="e">
        <f t="shared" ca="1" si="23"/>
        <v>#NAME?</v>
      </c>
      <c r="K191" s="100" t="e">
        <f t="shared" ca="1" si="24"/>
        <v>#NAME?</v>
      </c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 spans="1:26">
      <c r="A192" s="100" t="e">
        <f ca="1">IFERROR(__xludf.DUMMYFUNCTION("""COMPUTED_VALUE"""),14519944)</f>
        <v>#NAME?</v>
      </c>
      <c r="B192" s="100" t="e">
        <f ca="1">IFERROR(__xludf.DUMMYFUNCTION("""COMPUTED_VALUE"""),"dogebtc")</f>
        <v>#NAME?</v>
      </c>
      <c r="C192" s="100" t="e">
        <f ca="1">IFERROR(__xludf.DUMMYFUNCTION("""COMPUTED_VALUE"""),"1.8434e-06")</f>
        <v>#NAME?</v>
      </c>
      <c r="D192" s="100" t="e">
        <f t="shared" ca="1" si="27"/>
        <v>#NAME?</v>
      </c>
      <c r="E192" s="100" t="e">
        <f t="shared" ca="1" si="27"/>
        <v>#NAME?</v>
      </c>
      <c r="F192" s="100" t="e">
        <f t="shared" ca="1" si="19"/>
        <v>#NAME?</v>
      </c>
      <c r="G192" s="100" t="e">
        <f t="shared" ca="1" si="20"/>
        <v>#NAME?</v>
      </c>
      <c r="H192" s="100" t="e">
        <f t="shared" ca="1" si="21"/>
        <v>#NAME?</v>
      </c>
      <c r="I192" s="100" t="e">
        <f t="shared" ca="1" si="22"/>
        <v>#NAME?</v>
      </c>
      <c r="J192" s="100" t="e">
        <f t="shared" ca="1" si="23"/>
        <v>#NAME?</v>
      </c>
      <c r="K192" s="100" t="e">
        <f t="shared" ca="1" si="24"/>
        <v>#NAME?</v>
      </c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 spans="1:26">
      <c r="A193" s="100" t="e">
        <f ca="1">IFERROR(__xludf.DUMMYFUNCTION("""COMPUTED_VALUE"""),14519945)</f>
        <v>#NAME?</v>
      </c>
      <c r="B193" s="100" t="e">
        <f ca="1">IFERROR(__xludf.DUMMYFUNCTION("""COMPUTED_VALUE"""),"aurorausdt")</f>
        <v>#NAME?</v>
      </c>
      <c r="C193" s="100" t="e">
        <f ca="1">IFERROR(__xludf.DUMMYFUNCTION("""COMPUTED_VALUE"""),"0.0837")</f>
        <v>#NAME?</v>
      </c>
      <c r="D193" s="100" t="e">
        <f t="shared" ca="1" si="27"/>
        <v>#NAME?</v>
      </c>
      <c r="E193" s="100" t="e">
        <f t="shared" ca="1" si="27"/>
        <v>#NAME?</v>
      </c>
      <c r="F193" s="100" t="e">
        <f t="shared" ca="1" si="19"/>
        <v>#NAME?</v>
      </c>
      <c r="G193" s="100" t="e">
        <f t="shared" ca="1" si="20"/>
        <v>#NAME?</v>
      </c>
      <c r="H193" s="100" t="e">
        <f t="shared" ca="1" si="21"/>
        <v>#NAME?</v>
      </c>
      <c r="I193" s="100" t="e">
        <f t="shared" ca="1" si="22"/>
        <v>#NAME?</v>
      </c>
      <c r="J193" s="100" t="e">
        <f t="shared" ca="1" si="23"/>
        <v>#NAME?</v>
      </c>
      <c r="K193" s="100" t="e">
        <f t="shared" ca="1" si="24"/>
        <v>#NAME?</v>
      </c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 spans="1:26">
      <c r="A194" s="100" t="e">
        <f ca="1">IFERROR(__xludf.DUMMYFUNCTION("""COMPUTED_VALUE"""),14519946)</f>
        <v>#NAME?</v>
      </c>
      <c r="B194" s="100" t="e">
        <f ca="1">IFERROR(__xludf.DUMMYFUNCTION("""COMPUTED_VALUE"""),"fluxusdt")</f>
        <v>#NAME?</v>
      </c>
      <c r="C194" s="100" t="e">
        <f ca="1">IFERROR(__xludf.DUMMYFUNCTION("""COMPUTED_VALUE"""),"0.2474")</f>
        <v>#NAME?</v>
      </c>
      <c r="D194" s="100" t="e">
        <f t="shared" ca="1" si="27"/>
        <v>#NAME?</v>
      </c>
      <c r="E194" s="100" t="e">
        <f t="shared" ca="1" si="27"/>
        <v>#NAME?</v>
      </c>
      <c r="F194" s="100" t="e">
        <f t="shared" ref="F194:F257" ca="1" si="28">IFERROR(__xludf.DUMMYFUNCTION("""COMPUTED_VALUE"""),20200)</f>
        <v>#NAME?</v>
      </c>
      <c r="G194" s="100" t="e">
        <f t="shared" ref="G194:G257" ca="1" si="29">IFERROR(__xludf.DUMMYFUNCTION("""COMPUTED_VALUE"""),2885)</f>
        <v>#NAME?</v>
      </c>
      <c r="H194" s="100" t="e">
        <f t="shared" ref="H194:H257" ca="1" si="30">IFERROR(__xludf.DUMMYFUNCTION("""COMPUTED_VALUE"""),663)</f>
        <v>#NAME?</v>
      </c>
      <c r="I194" s="100" t="e">
        <f t="shared" ref="I194:I257" ca="1" si="31">IFERROR(__xludf.DUMMYFUNCTION("""COMPUTED_VALUE"""),5817721)</f>
        <v>#NAME?</v>
      </c>
      <c r="J194" s="100" t="e">
        <f t="shared" ref="J194:J257" ca="1" si="32">IFERROR(__xludf.DUMMYFUNCTION("""COMPUTED_VALUE"""),"-")</f>
        <v>#NAME?</v>
      </c>
      <c r="K194" s="100" t="e">
        <f t="shared" ref="K194:K257" ca="1" si="33">IFERROR(__xludf.DUMMYFUNCTION("""COMPUTED_VALUE"""),"22.04.2025 13:05:01")</f>
        <v>#NAME?</v>
      </c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 spans="1:26">
      <c r="A195" s="100" t="e">
        <f ca="1">IFERROR(__xludf.DUMMYFUNCTION("""COMPUTED_VALUE"""),14519947)</f>
        <v>#NAME?</v>
      </c>
      <c r="B195" s="100" t="e">
        <f ca="1">IFERROR(__xludf.DUMMYFUNCTION("""COMPUTED_VALUE"""),"ghstusdt")</f>
        <v>#NAME?</v>
      </c>
      <c r="C195" s="100" t="e">
        <f ca="1">IFERROR(__xludf.DUMMYFUNCTION("""COMPUTED_VALUE"""),"0.464")</f>
        <v>#NAME?</v>
      </c>
      <c r="D195" s="100" t="e">
        <f t="shared" ca="1" si="27"/>
        <v>#NAME?</v>
      </c>
      <c r="E195" s="100" t="e">
        <f t="shared" ca="1" si="27"/>
        <v>#NAME?</v>
      </c>
      <c r="F195" s="100" t="e">
        <f t="shared" ca="1" si="28"/>
        <v>#NAME?</v>
      </c>
      <c r="G195" s="100" t="e">
        <f t="shared" ca="1" si="29"/>
        <v>#NAME?</v>
      </c>
      <c r="H195" s="100" t="e">
        <f t="shared" ca="1" si="30"/>
        <v>#NAME?</v>
      </c>
      <c r="I195" s="100" t="e">
        <f t="shared" ca="1" si="31"/>
        <v>#NAME?</v>
      </c>
      <c r="J195" s="100" t="e">
        <f t="shared" ca="1" si="32"/>
        <v>#NAME?</v>
      </c>
      <c r="K195" s="100" t="e">
        <f t="shared" ca="1" si="33"/>
        <v>#NAME?</v>
      </c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 spans="1:26">
      <c r="A196" s="100" t="e">
        <f ca="1">IFERROR(__xludf.DUMMYFUNCTION("""COMPUTED_VALUE"""),14519948)</f>
        <v>#NAME?</v>
      </c>
      <c r="B196" s="100" t="e">
        <f ca="1">IFERROR(__xludf.DUMMYFUNCTION("""COMPUTED_VALUE"""),"ustcusdt")</f>
        <v>#NAME?</v>
      </c>
      <c r="C196" s="100" t="e">
        <f ca="1">IFERROR(__xludf.DUMMYFUNCTION("""COMPUTED_VALUE"""),"0.0119")</f>
        <v>#NAME?</v>
      </c>
      <c r="D196" s="100" t="e">
        <f t="shared" ca="1" si="27"/>
        <v>#NAME?</v>
      </c>
      <c r="E196" s="100" t="e">
        <f t="shared" ca="1" si="27"/>
        <v>#NAME?</v>
      </c>
      <c r="F196" s="100" t="e">
        <f t="shared" ca="1" si="28"/>
        <v>#NAME?</v>
      </c>
      <c r="G196" s="100" t="e">
        <f t="shared" ca="1" si="29"/>
        <v>#NAME?</v>
      </c>
      <c r="H196" s="100" t="e">
        <f t="shared" ca="1" si="30"/>
        <v>#NAME?</v>
      </c>
      <c r="I196" s="100" t="e">
        <f t="shared" ca="1" si="31"/>
        <v>#NAME?</v>
      </c>
      <c r="J196" s="100" t="e">
        <f t="shared" ca="1" si="32"/>
        <v>#NAME?</v>
      </c>
      <c r="K196" s="100" t="e">
        <f t="shared" ca="1" si="33"/>
        <v>#NAME?</v>
      </c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 spans="1:26">
      <c r="A197" s="100" t="e">
        <f ca="1">IFERROR(__xludf.DUMMYFUNCTION("""COMPUTED_VALUE"""),14519949)</f>
        <v>#NAME?</v>
      </c>
      <c r="B197" s="100" t="e">
        <f ca="1">IFERROR(__xludf.DUMMYFUNCTION("""COMPUTED_VALUE"""),"sushiusdt")</f>
        <v>#NAME?</v>
      </c>
      <c r="C197" s="100" t="e">
        <f ca="1">IFERROR(__xludf.DUMMYFUNCTION("""COMPUTED_VALUE"""),"0.6003")</f>
        <v>#NAME?</v>
      </c>
      <c r="D197" s="100" t="e">
        <f t="shared" ca="1" si="27"/>
        <v>#NAME?</v>
      </c>
      <c r="E197" s="100" t="e">
        <f t="shared" ca="1" si="27"/>
        <v>#NAME?</v>
      </c>
      <c r="F197" s="100" t="e">
        <f t="shared" ca="1" si="28"/>
        <v>#NAME?</v>
      </c>
      <c r="G197" s="100" t="e">
        <f t="shared" ca="1" si="29"/>
        <v>#NAME?</v>
      </c>
      <c r="H197" s="100" t="e">
        <f t="shared" ca="1" si="30"/>
        <v>#NAME?</v>
      </c>
      <c r="I197" s="100" t="e">
        <f t="shared" ca="1" si="31"/>
        <v>#NAME?</v>
      </c>
      <c r="J197" s="100" t="e">
        <f t="shared" ca="1" si="32"/>
        <v>#NAME?</v>
      </c>
      <c r="K197" s="100" t="e">
        <f t="shared" ca="1" si="33"/>
        <v>#NAME?</v>
      </c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 spans="1:26">
      <c r="A198" s="100" t="e">
        <f ca="1">IFERROR(__xludf.DUMMYFUNCTION("""COMPUTED_VALUE"""),14519950)</f>
        <v>#NAME?</v>
      </c>
      <c r="B198" s="100" t="e">
        <f ca="1">IFERROR(__xludf.DUMMYFUNCTION("""COMPUTED_VALUE"""),"sxpusdt")</f>
        <v>#NAME?</v>
      </c>
      <c r="C198" s="100" t="e">
        <f ca="1">IFERROR(__xludf.DUMMYFUNCTION("""COMPUTED_VALUE"""),"0.203")</f>
        <v>#NAME?</v>
      </c>
      <c r="D198" s="100" t="e">
        <f t="shared" ca="1" si="27"/>
        <v>#NAME?</v>
      </c>
      <c r="E198" s="100" t="e">
        <f t="shared" ca="1" si="27"/>
        <v>#NAME?</v>
      </c>
      <c r="F198" s="100" t="e">
        <f t="shared" ca="1" si="28"/>
        <v>#NAME?</v>
      </c>
      <c r="G198" s="100" t="e">
        <f t="shared" ca="1" si="29"/>
        <v>#NAME?</v>
      </c>
      <c r="H198" s="100" t="e">
        <f t="shared" ca="1" si="30"/>
        <v>#NAME?</v>
      </c>
      <c r="I198" s="100" t="e">
        <f t="shared" ca="1" si="31"/>
        <v>#NAME?</v>
      </c>
      <c r="J198" s="100" t="e">
        <f t="shared" ca="1" si="32"/>
        <v>#NAME?</v>
      </c>
      <c r="K198" s="100" t="e">
        <f t="shared" ca="1" si="33"/>
        <v>#NAME?</v>
      </c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 spans="1:26">
      <c r="A199" s="100" t="e">
        <f ca="1">IFERROR(__xludf.DUMMYFUNCTION("""COMPUTED_VALUE"""),14519951)</f>
        <v>#NAME?</v>
      </c>
      <c r="B199" s="100" t="e">
        <f ca="1">IFERROR(__xludf.DUMMYFUNCTION("""COMPUTED_VALUE"""),"cakeusdt")</f>
        <v>#NAME?</v>
      </c>
      <c r="C199" s="100" t="e">
        <f ca="1">IFERROR(__xludf.DUMMYFUNCTION("""COMPUTED_VALUE"""),"1.9383")</f>
        <v>#NAME?</v>
      </c>
      <c r="D199" s="100" t="e">
        <f t="shared" ca="1" si="27"/>
        <v>#NAME?</v>
      </c>
      <c r="E199" s="100" t="e">
        <f t="shared" ca="1" si="27"/>
        <v>#NAME?</v>
      </c>
      <c r="F199" s="100" t="e">
        <f t="shared" ca="1" si="28"/>
        <v>#NAME?</v>
      </c>
      <c r="G199" s="100" t="e">
        <f t="shared" ca="1" si="29"/>
        <v>#NAME?</v>
      </c>
      <c r="H199" s="100" t="e">
        <f t="shared" ca="1" si="30"/>
        <v>#NAME?</v>
      </c>
      <c r="I199" s="100" t="e">
        <f t="shared" ca="1" si="31"/>
        <v>#NAME?</v>
      </c>
      <c r="J199" s="100" t="e">
        <f t="shared" ca="1" si="32"/>
        <v>#NAME?</v>
      </c>
      <c r="K199" s="100" t="e">
        <f t="shared" ca="1" si="33"/>
        <v>#NAME?</v>
      </c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 spans="1:26">
      <c r="A200" s="100" t="e">
        <f ca="1">IFERROR(__xludf.DUMMYFUNCTION("""COMPUTED_VALUE"""),14519952)</f>
        <v>#NAME?</v>
      </c>
      <c r="B200" s="100" t="e">
        <f ca="1">IFERROR(__xludf.DUMMYFUNCTION("""COMPUTED_VALUE"""),"nearusdt")</f>
        <v>#NAME?</v>
      </c>
      <c r="C200" s="100" t="e">
        <f ca="1">IFERROR(__xludf.DUMMYFUNCTION("""COMPUTED_VALUE"""),"2.1893")</f>
        <v>#NAME?</v>
      </c>
      <c r="D200" s="100" t="e">
        <f t="shared" ca="1" si="27"/>
        <v>#NAME?</v>
      </c>
      <c r="E200" s="100" t="e">
        <f t="shared" ca="1" si="27"/>
        <v>#NAME?</v>
      </c>
      <c r="F200" s="100" t="e">
        <f t="shared" ca="1" si="28"/>
        <v>#NAME?</v>
      </c>
      <c r="G200" s="100" t="e">
        <f t="shared" ca="1" si="29"/>
        <v>#NAME?</v>
      </c>
      <c r="H200" s="100" t="e">
        <f t="shared" ca="1" si="30"/>
        <v>#NAME?</v>
      </c>
      <c r="I200" s="100" t="e">
        <f t="shared" ca="1" si="31"/>
        <v>#NAME?</v>
      </c>
      <c r="J200" s="100" t="e">
        <f t="shared" ca="1" si="32"/>
        <v>#NAME?</v>
      </c>
      <c r="K200" s="100" t="e">
        <f t="shared" ca="1" si="33"/>
        <v>#NAME?</v>
      </c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 spans="1:26">
      <c r="A201" s="100" t="e">
        <f ca="1">IFERROR(__xludf.DUMMYFUNCTION("""COMPUTED_VALUE"""),14519953)</f>
        <v>#NAME?</v>
      </c>
      <c r="B201" s="100" t="e">
        <f ca="1">IFERROR(__xludf.DUMMYFUNCTION("""COMPUTED_VALUE"""),"trx3susdt")</f>
        <v>#NAME?</v>
      </c>
      <c r="C201" s="100" t="e">
        <f ca="1">IFERROR(__xludf.DUMMYFUNCTION("""COMPUTED_VALUE"""),"0.0")</f>
        <v>#NAME?</v>
      </c>
      <c r="D201" s="100" t="e">
        <f t="shared" ca="1" si="27"/>
        <v>#NAME?</v>
      </c>
      <c r="E201" s="100" t="e">
        <f t="shared" ca="1" si="27"/>
        <v>#NAME?</v>
      </c>
      <c r="F201" s="100" t="e">
        <f t="shared" ca="1" si="28"/>
        <v>#NAME?</v>
      </c>
      <c r="G201" s="100" t="e">
        <f t="shared" ca="1" si="29"/>
        <v>#NAME?</v>
      </c>
      <c r="H201" s="100" t="e">
        <f t="shared" ca="1" si="30"/>
        <v>#NAME?</v>
      </c>
      <c r="I201" s="100" t="e">
        <f t="shared" ca="1" si="31"/>
        <v>#NAME?</v>
      </c>
      <c r="J201" s="100" t="e">
        <f t="shared" ca="1" si="32"/>
        <v>#NAME?</v>
      </c>
      <c r="K201" s="100" t="e">
        <f t="shared" ca="1" si="33"/>
        <v>#NAME?</v>
      </c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 spans="1:26">
      <c r="A202" s="100" t="e">
        <f ca="1">IFERROR(__xludf.DUMMYFUNCTION("""COMPUTED_VALUE"""),14519954)</f>
        <v>#NAME?</v>
      </c>
      <c r="B202" s="100" t="e">
        <f ca="1">IFERROR(__xludf.DUMMYFUNCTION("""COMPUTED_VALUE"""),"duskusdt")</f>
        <v>#NAME?</v>
      </c>
      <c r="C202" s="100" t="e">
        <f ca="1">IFERROR(__xludf.DUMMYFUNCTION("""COMPUTED_VALUE"""),"0.08")</f>
        <v>#NAME?</v>
      </c>
      <c r="D202" s="100" t="e">
        <f t="shared" ref="D202:E221" ca="1" si="34">IFERROR(__xludf.DUMMYFUNCTION("""COMPUTED_VALUE"""),"-")</f>
        <v>#NAME?</v>
      </c>
      <c r="E202" s="100" t="e">
        <f t="shared" ca="1" si="34"/>
        <v>#NAME?</v>
      </c>
      <c r="F202" s="100" t="e">
        <f t="shared" ca="1" si="28"/>
        <v>#NAME?</v>
      </c>
      <c r="G202" s="100" t="e">
        <f t="shared" ca="1" si="29"/>
        <v>#NAME?</v>
      </c>
      <c r="H202" s="100" t="e">
        <f t="shared" ca="1" si="30"/>
        <v>#NAME?</v>
      </c>
      <c r="I202" s="100" t="e">
        <f t="shared" ca="1" si="31"/>
        <v>#NAME?</v>
      </c>
      <c r="J202" s="100" t="e">
        <f t="shared" ca="1" si="32"/>
        <v>#NAME?</v>
      </c>
      <c r="K202" s="100" t="e">
        <f t="shared" ca="1" si="33"/>
        <v>#NAME?</v>
      </c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 spans="1:26">
      <c r="A203" s="100" t="e">
        <f ca="1">IFERROR(__xludf.DUMMYFUNCTION("""COMPUTED_VALUE"""),14519955)</f>
        <v>#NAME?</v>
      </c>
      <c r="B203" s="100" t="e">
        <f ca="1">IFERROR(__xludf.DUMMYFUNCTION("""COMPUTED_VALUE"""),"clvusdt")</f>
        <v>#NAME?</v>
      </c>
      <c r="C203" s="100" t="e">
        <f ca="1">IFERROR(__xludf.DUMMYFUNCTION("""COMPUTED_VALUE"""),"0.0338")</f>
        <v>#NAME?</v>
      </c>
      <c r="D203" s="100" t="e">
        <f t="shared" ca="1" si="34"/>
        <v>#NAME?</v>
      </c>
      <c r="E203" s="100" t="e">
        <f t="shared" ca="1" si="34"/>
        <v>#NAME?</v>
      </c>
      <c r="F203" s="100" t="e">
        <f t="shared" ca="1" si="28"/>
        <v>#NAME?</v>
      </c>
      <c r="G203" s="100" t="e">
        <f t="shared" ca="1" si="29"/>
        <v>#NAME?</v>
      </c>
      <c r="H203" s="100" t="e">
        <f t="shared" ca="1" si="30"/>
        <v>#NAME?</v>
      </c>
      <c r="I203" s="100" t="e">
        <f t="shared" ca="1" si="31"/>
        <v>#NAME?</v>
      </c>
      <c r="J203" s="100" t="e">
        <f t="shared" ca="1" si="32"/>
        <v>#NAME?</v>
      </c>
      <c r="K203" s="100" t="e">
        <f t="shared" ca="1" si="33"/>
        <v>#NAME?</v>
      </c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 spans="1:26">
      <c r="A204" s="100" t="e">
        <f ca="1">IFERROR(__xludf.DUMMYFUNCTION("""COMPUTED_VALUE"""),14519956)</f>
        <v>#NAME?</v>
      </c>
      <c r="B204" s="100" t="e">
        <f ca="1">IFERROR(__xludf.DUMMYFUNCTION("""COMPUTED_VALUE"""),"coqusdt")</f>
        <v>#NAME?</v>
      </c>
      <c r="C204" s="100" t="e">
        <f ca="1">IFERROR(__xludf.DUMMYFUNCTION("""COMPUTED_VALUE"""),"6.1e-07")</f>
        <v>#NAME?</v>
      </c>
      <c r="D204" s="100" t="e">
        <f t="shared" ca="1" si="34"/>
        <v>#NAME?</v>
      </c>
      <c r="E204" s="100" t="e">
        <f t="shared" ca="1" si="34"/>
        <v>#NAME?</v>
      </c>
      <c r="F204" s="100" t="e">
        <f t="shared" ca="1" si="28"/>
        <v>#NAME?</v>
      </c>
      <c r="G204" s="100" t="e">
        <f t="shared" ca="1" si="29"/>
        <v>#NAME?</v>
      </c>
      <c r="H204" s="100" t="e">
        <f t="shared" ca="1" si="30"/>
        <v>#NAME?</v>
      </c>
      <c r="I204" s="100" t="e">
        <f t="shared" ca="1" si="31"/>
        <v>#NAME?</v>
      </c>
      <c r="J204" s="100" t="e">
        <f t="shared" ca="1" si="32"/>
        <v>#NAME?</v>
      </c>
      <c r="K204" s="100" t="e">
        <f t="shared" ca="1" si="33"/>
        <v>#NAME?</v>
      </c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 spans="1:26">
      <c r="A205" s="100" t="e">
        <f ca="1">IFERROR(__xludf.DUMMYFUNCTION("""COMPUTED_VALUE"""),14519957)</f>
        <v>#NAME?</v>
      </c>
      <c r="B205" s="100" t="e">
        <f ca="1">IFERROR(__xludf.DUMMYFUNCTION("""COMPUTED_VALUE"""),"avausdt")</f>
        <v>#NAME?</v>
      </c>
      <c r="C205" s="100" t="e">
        <f ca="1">IFERROR(__xludf.DUMMYFUNCTION("""COMPUTED_VALUE"""),"0.5714")</f>
        <v>#NAME?</v>
      </c>
      <c r="D205" s="100" t="e">
        <f t="shared" ca="1" si="34"/>
        <v>#NAME?</v>
      </c>
      <c r="E205" s="100" t="e">
        <f t="shared" ca="1" si="34"/>
        <v>#NAME?</v>
      </c>
      <c r="F205" s="100" t="e">
        <f t="shared" ca="1" si="28"/>
        <v>#NAME?</v>
      </c>
      <c r="G205" s="100" t="e">
        <f t="shared" ca="1" si="29"/>
        <v>#NAME?</v>
      </c>
      <c r="H205" s="100" t="e">
        <f t="shared" ca="1" si="30"/>
        <v>#NAME?</v>
      </c>
      <c r="I205" s="100" t="e">
        <f t="shared" ca="1" si="31"/>
        <v>#NAME?</v>
      </c>
      <c r="J205" s="100" t="e">
        <f t="shared" ca="1" si="32"/>
        <v>#NAME?</v>
      </c>
      <c r="K205" s="100" t="e">
        <f t="shared" ca="1" si="33"/>
        <v>#NAME?</v>
      </c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 spans="1:26">
      <c r="A206" s="100" t="e">
        <f ca="1">IFERROR(__xludf.DUMMYFUNCTION("""COMPUTED_VALUE"""),14519958)</f>
        <v>#NAME?</v>
      </c>
      <c r="B206" s="100" t="e">
        <f ca="1">IFERROR(__xludf.DUMMYFUNCTION("""COMPUTED_VALUE"""),"spellusdt")</f>
        <v>#NAME?</v>
      </c>
      <c r="C206" s="100" t="e">
        <f ca="1">IFERROR(__xludf.DUMMYFUNCTION("""COMPUTED_VALUE"""),"0.000556")</f>
        <v>#NAME?</v>
      </c>
      <c r="D206" s="100" t="e">
        <f t="shared" ca="1" si="34"/>
        <v>#NAME?</v>
      </c>
      <c r="E206" s="100" t="e">
        <f t="shared" ca="1" si="34"/>
        <v>#NAME?</v>
      </c>
      <c r="F206" s="100" t="e">
        <f t="shared" ca="1" si="28"/>
        <v>#NAME?</v>
      </c>
      <c r="G206" s="100" t="e">
        <f t="shared" ca="1" si="29"/>
        <v>#NAME?</v>
      </c>
      <c r="H206" s="100" t="e">
        <f t="shared" ca="1" si="30"/>
        <v>#NAME?</v>
      </c>
      <c r="I206" s="100" t="e">
        <f t="shared" ca="1" si="31"/>
        <v>#NAME?</v>
      </c>
      <c r="J206" s="100" t="e">
        <f t="shared" ca="1" si="32"/>
        <v>#NAME?</v>
      </c>
      <c r="K206" s="100" t="e">
        <f t="shared" ca="1" si="33"/>
        <v>#NAME?</v>
      </c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 spans="1:26">
      <c r="A207" s="100" t="e">
        <f ca="1">IFERROR(__xludf.DUMMYFUNCTION("""COMPUTED_VALUE"""),14519959)</f>
        <v>#NAME?</v>
      </c>
      <c r="B207" s="100" t="e">
        <f ca="1">IFERROR(__xludf.DUMMYFUNCTION("""COMPUTED_VALUE"""),"sfiusdt")</f>
        <v>#NAME?</v>
      </c>
      <c r="C207" s="100" t="e">
        <f ca="1">IFERROR(__xludf.DUMMYFUNCTION("""COMPUTED_VALUE"""),"0.0559")</f>
        <v>#NAME?</v>
      </c>
      <c r="D207" s="100" t="e">
        <f t="shared" ca="1" si="34"/>
        <v>#NAME?</v>
      </c>
      <c r="E207" s="100" t="e">
        <f t="shared" ca="1" si="34"/>
        <v>#NAME?</v>
      </c>
      <c r="F207" s="100" t="e">
        <f t="shared" ca="1" si="28"/>
        <v>#NAME?</v>
      </c>
      <c r="G207" s="100" t="e">
        <f t="shared" ca="1" si="29"/>
        <v>#NAME?</v>
      </c>
      <c r="H207" s="100" t="e">
        <f t="shared" ca="1" si="30"/>
        <v>#NAME?</v>
      </c>
      <c r="I207" s="100" t="e">
        <f t="shared" ca="1" si="31"/>
        <v>#NAME?</v>
      </c>
      <c r="J207" s="100" t="e">
        <f t="shared" ca="1" si="32"/>
        <v>#NAME?</v>
      </c>
      <c r="K207" s="100" t="e">
        <f t="shared" ca="1" si="33"/>
        <v>#NAME?</v>
      </c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 spans="1:26">
      <c r="A208" s="100" t="e">
        <f ca="1">IFERROR(__xludf.DUMMYFUNCTION("""COMPUTED_VALUE"""),14519960)</f>
        <v>#NAME?</v>
      </c>
      <c r="B208" s="100" t="e">
        <f ca="1">IFERROR(__xludf.DUMMYFUNCTION("""COMPUTED_VALUE"""),"shellusdt")</f>
        <v>#NAME?</v>
      </c>
      <c r="C208" s="100" t="e">
        <f ca="1">IFERROR(__xludf.DUMMYFUNCTION("""COMPUTED_VALUE"""),"0.1392")</f>
        <v>#NAME?</v>
      </c>
      <c r="D208" s="100" t="e">
        <f t="shared" ca="1" si="34"/>
        <v>#NAME?</v>
      </c>
      <c r="E208" s="100" t="e">
        <f t="shared" ca="1" si="34"/>
        <v>#NAME?</v>
      </c>
      <c r="F208" s="100" t="e">
        <f t="shared" ca="1" si="28"/>
        <v>#NAME?</v>
      </c>
      <c r="G208" s="100" t="e">
        <f t="shared" ca="1" si="29"/>
        <v>#NAME?</v>
      </c>
      <c r="H208" s="100" t="e">
        <f t="shared" ca="1" si="30"/>
        <v>#NAME?</v>
      </c>
      <c r="I208" s="100" t="e">
        <f t="shared" ca="1" si="31"/>
        <v>#NAME?</v>
      </c>
      <c r="J208" s="100" t="e">
        <f t="shared" ca="1" si="32"/>
        <v>#NAME?</v>
      </c>
      <c r="K208" s="100" t="e">
        <f t="shared" ca="1" si="33"/>
        <v>#NAME?</v>
      </c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 spans="1:26">
      <c r="A209" s="100" t="e">
        <f ca="1">IFERROR(__xludf.DUMMYFUNCTION("""COMPUTED_VALUE"""),14519961)</f>
        <v>#NAME?</v>
      </c>
      <c r="B209" s="100" t="e">
        <f ca="1">IFERROR(__xludf.DUMMYFUNCTION("""COMPUTED_VALUE"""),"dypusdt")</f>
        <v>#NAME?</v>
      </c>
      <c r="C209" s="100" t="e">
        <f ca="1">IFERROR(__xludf.DUMMYFUNCTION("""COMPUTED_VALUE"""),"0.008")</f>
        <v>#NAME?</v>
      </c>
      <c r="D209" s="100" t="e">
        <f t="shared" ca="1" si="34"/>
        <v>#NAME?</v>
      </c>
      <c r="E209" s="100" t="e">
        <f t="shared" ca="1" si="34"/>
        <v>#NAME?</v>
      </c>
      <c r="F209" s="100" t="e">
        <f t="shared" ca="1" si="28"/>
        <v>#NAME?</v>
      </c>
      <c r="G209" s="100" t="e">
        <f t="shared" ca="1" si="29"/>
        <v>#NAME?</v>
      </c>
      <c r="H209" s="100" t="e">
        <f t="shared" ca="1" si="30"/>
        <v>#NAME?</v>
      </c>
      <c r="I209" s="100" t="e">
        <f t="shared" ca="1" si="31"/>
        <v>#NAME?</v>
      </c>
      <c r="J209" s="100" t="e">
        <f t="shared" ca="1" si="32"/>
        <v>#NAME?</v>
      </c>
      <c r="K209" s="100" t="e">
        <f t="shared" ca="1" si="33"/>
        <v>#NAME?</v>
      </c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 spans="1:26">
      <c r="A210" s="100" t="e">
        <f ca="1">IFERROR(__xludf.DUMMYFUNCTION("""COMPUTED_VALUE"""),14519962)</f>
        <v>#NAME?</v>
      </c>
      <c r="B210" s="100" t="e">
        <f ca="1">IFERROR(__xludf.DUMMYFUNCTION("""COMPUTED_VALUE"""),"forthusdt")</f>
        <v>#NAME?</v>
      </c>
      <c r="C210" s="100" t="e">
        <f ca="1">IFERROR(__xludf.DUMMYFUNCTION("""COMPUTED_VALUE"""),"2.3895")</f>
        <v>#NAME?</v>
      </c>
      <c r="D210" s="100" t="e">
        <f t="shared" ca="1" si="34"/>
        <v>#NAME?</v>
      </c>
      <c r="E210" s="100" t="e">
        <f t="shared" ca="1" si="34"/>
        <v>#NAME?</v>
      </c>
      <c r="F210" s="100" t="e">
        <f t="shared" ca="1" si="28"/>
        <v>#NAME?</v>
      </c>
      <c r="G210" s="100" t="e">
        <f t="shared" ca="1" si="29"/>
        <v>#NAME?</v>
      </c>
      <c r="H210" s="100" t="e">
        <f t="shared" ca="1" si="30"/>
        <v>#NAME?</v>
      </c>
      <c r="I210" s="100" t="e">
        <f t="shared" ca="1" si="31"/>
        <v>#NAME?</v>
      </c>
      <c r="J210" s="100" t="e">
        <f t="shared" ca="1" si="32"/>
        <v>#NAME?</v>
      </c>
      <c r="K210" s="100" t="e">
        <f t="shared" ca="1" si="33"/>
        <v>#NAME?</v>
      </c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 spans="1:26">
      <c r="A211" s="100" t="e">
        <f ca="1">IFERROR(__xludf.DUMMYFUNCTION("""COMPUTED_VALUE"""),14519963)</f>
        <v>#NAME?</v>
      </c>
      <c r="B211" s="100" t="e">
        <f ca="1">IFERROR(__xludf.DUMMYFUNCTION("""COMPUTED_VALUE"""),"fetusdt")</f>
        <v>#NAME?</v>
      </c>
      <c r="C211" s="100" t="e">
        <f ca="1">IFERROR(__xludf.DUMMYFUNCTION("""COMPUTED_VALUE"""),"0.5905")</f>
        <v>#NAME?</v>
      </c>
      <c r="D211" s="100" t="e">
        <f t="shared" ca="1" si="34"/>
        <v>#NAME?</v>
      </c>
      <c r="E211" s="100" t="e">
        <f t="shared" ca="1" si="34"/>
        <v>#NAME?</v>
      </c>
      <c r="F211" s="100" t="e">
        <f t="shared" ca="1" si="28"/>
        <v>#NAME?</v>
      </c>
      <c r="G211" s="100" t="e">
        <f t="shared" ca="1" si="29"/>
        <v>#NAME?</v>
      </c>
      <c r="H211" s="100" t="e">
        <f t="shared" ca="1" si="30"/>
        <v>#NAME?</v>
      </c>
      <c r="I211" s="100" t="e">
        <f t="shared" ca="1" si="31"/>
        <v>#NAME?</v>
      </c>
      <c r="J211" s="100" t="e">
        <f t="shared" ca="1" si="32"/>
        <v>#NAME?</v>
      </c>
      <c r="K211" s="100" t="e">
        <f t="shared" ca="1" si="33"/>
        <v>#NAME?</v>
      </c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 spans="1:26">
      <c r="A212" s="100" t="e">
        <f ca="1">IFERROR(__xludf.DUMMYFUNCTION("""COMPUTED_VALUE"""),14519964)</f>
        <v>#NAME?</v>
      </c>
      <c r="B212" s="100" t="e">
        <f ca="1">IFERROR(__xludf.DUMMYFUNCTION("""COMPUTED_VALUE"""),"juiceusdt")</f>
        <v>#NAME?</v>
      </c>
      <c r="C212" s="100" t="e">
        <f ca="1">IFERROR(__xludf.DUMMYFUNCTION("""COMPUTED_VALUE"""),"0.000263")</f>
        <v>#NAME?</v>
      </c>
      <c r="D212" s="100" t="e">
        <f t="shared" ca="1" si="34"/>
        <v>#NAME?</v>
      </c>
      <c r="E212" s="100" t="e">
        <f t="shared" ca="1" si="34"/>
        <v>#NAME?</v>
      </c>
      <c r="F212" s="100" t="e">
        <f t="shared" ca="1" si="28"/>
        <v>#NAME?</v>
      </c>
      <c r="G212" s="100" t="e">
        <f t="shared" ca="1" si="29"/>
        <v>#NAME?</v>
      </c>
      <c r="H212" s="100" t="e">
        <f t="shared" ca="1" si="30"/>
        <v>#NAME?</v>
      </c>
      <c r="I212" s="100" t="e">
        <f t="shared" ca="1" si="31"/>
        <v>#NAME?</v>
      </c>
      <c r="J212" s="100" t="e">
        <f t="shared" ca="1" si="32"/>
        <v>#NAME?</v>
      </c>
      <c r="K212" s="100" t="e">
        <f t="shared" ca="1" si="33"/>
        <v>#NAME?</v>
      </c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 spans="1:26">
      <c r="A213" s="100" t="e">
        <f ca="1">IFERROR(__xludf.DUMMYFUNCTION("""COMPUTED_VALUE"""),14519965)</f>
        <v>#NAME?</v>
      </c>
      <c r="B213" s="100" t="e">
        <f ca="1">IFERROR(__xludf.DUMMYFUNCTION("""COMPUTED_VALUE"""),"gmxusdt")</f>
        <v>#NAME?</v>
      </c>
      <c r="C213" s="100" t="e">
        <f ca="1">IFERROR(__xludf.DUMMYFUNCTION("""COMPUTED_VALUE"""),"13.5611")</f>
        <v>#NAME?</v>
      </c>
      <c r="D213" s="100" t="e">
        <f t="shared" ca="1" si="34"/>
        <v>#NAME?</v>
      </c>
      <c r="E213" s="100" t="e">
        <f t="shared" ca="1" si="34"/>
        <v>#NAME?</v>
      </c>
      <c r="F213" s="100" t="e">
        <f t="shared" ca="1" si="28"/>
        <v>#NAME?</v>
      </c>
      <c r="G213" s="100" t="e">
        <f t="shared" ca="1" si="29"/>
        <v>#NAME?</v>
      </c>
      <c r="H213" s="100" t="e">
        <f t="shared" ca="1" si="30"/>
        <v>#NAME?</v>
      </c>
      <c r="I213" s="100" t="e">
        <f t="shared" ca="1" si="31"/>
        <v>#NAME?</v>
      </c>
      <c r="J213" s="100" t="e">
        <f t="shared" ca="1" si="32"/>
        <v>#NAME?</v>
      </c>
      <c r="K213" s="100" t="e">
        <f t="shared" ca="1" si="33"/>
        <v>#NAME?</v>
      </c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 spans="1:26">
      <c r="A214" s="100" t="e">
        <f ca="1">IFERROR(__xludf.DUMMYFUNCTION("""COMPUTED_VALUE"""),14519966)</f>
        <v>#NAME?</v>
      </c>
      <c r="B214" s="100" t="e">
        <f ca="1">IFERROR(__xludf.DUMMYFUNCTION("""COMPUTED_VALUE"""),"tusdusdt")</f>
        <v>#NAME?</v>
      </c>
      <c r="C214" s="100" t="e">
        <f ca="1">IFERROR(__xludf.DUMMYFUNCTION("""COMPUTED_VALUE"""),"0.99813")</f>
        <v>#NAME?</v>
      </c>
      <c r="D214" s="100" t="e">
        <f t="shared" ca="1" si="34"/>
        <v>#NAME?</v>
      </c>
      <c r="E214" s="100" t="e">
        <f t="shared" ca="1" si="34"/>
        <v>#NAME?</v>
      </c>
      <c r="F214" s="100" t="e">
        <f t="shared" ca="1" si="28"/>
        <v>#NAME?</v>
      </c>
      <c r="G214" s="100" t="e">
        <f t="shared" ca="1" si="29"/>
        <v>#NAME?</v>
      </c>
      <c r="H214" s="100" t="e">
        <f t="shared" ca="1" si="30"/>
        <v>#NAME?</v>
      </c>
      <c r="I214" s="100" t="e">
        <f t="shared" ca="1" si="31"/>
        <v>#NAME?</v>
      </c>
      <c r="J214" s="100" t="e">
        <f t="shared" ca="1" si="32"/>
        <v>#NAME?</v>
      </c>
      <c r="K214" s="100" t="e">
        <f t="shared" ca="1" si="33"/>
        <v>#NAME?</v>
      </c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 spans="1:26">
      <c r="A215" s="100" t="e">
        <f ca="1">IFERROR(__xludf.DUMMYFUNCTION("""COMPUTED_VALUE"""),14519967)</f>
        <v>#NAME?</v>
      </c>
      <c r="B215" s="100" t="e">
        <f ca="1">IFERROR(__xludf.DUMMYFUNCTION("""COMPUTED_VALUE"""),"poohusdt")</f>
        <v>#NAME?</v>
      </c>
      <c r="C215" s="100" t="e">
        <f ca="1">IFERROR(__xludf.DUMMYFUNCTION("""COMPUTED_VALUE"""),"6.25e-09")</f>
        <v>#NAME?</v>
      </c>
      <c r="D215" s="100" t="e">
        <f t="shared" ca="1" si="34"/>
        <v>#NAME?</v>
      </c>
      <c r="E215" s="100" t="e">
        <f t="shared" ca="1" si="34"/>
        <v>#NAME?</v>
      </c>
      <c r="F215" s="100" t="e">
        <f t="shared" ca="1" si="28"/>
        <v>#NAME?</v>
      </c>
      <c r="G215" s="100" t="e">
        <f t="shared" ca="1" si="29"/>
        <v>#NAME?</v>
      </c>
      <c r="H215" s="100" t="e">
        <f t="shared" ca="1" si="30"/>
        <v>#NAME?</v>
      </c>
      <c r="I215" s="100" t="e">
        <f t="shared" ca="1" si="31"/>
        <v>#NAME?</v>
      </c>
      <c r="J215" s="100" t="e">
        <f t="shared" ca="1" si="32"/>
        <v>#NAME?</v>
      </c>
      <c r="K215" s="100" t="e">
        <f t="shared" ca="1" si="33"/>
        <v>#NAME?</v>
      </c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 spans="1:26">
      <c r="A216" s="100" t="e">
        <f ca="1">IFERROR(__xludf.DUMMYFUNCTION("""COMPUTED_VALUE"""),14519968)</f>
        <v>#NAME?</v>
      </c>
      <c r="B216" s="100" t="e">
        <f ca="1">IFERROR(__xludf.DUMMYFUNCTION("""COMPUTED_VALUE"""),"aluusdt")</f>
        <v>#NAME?</v>
      </c>
      <c r="C216" s="100" t="e">
        <f ca="1">IFERROR(__xludf.DUMMYFUNCTION("""COMPUTED_VALUE"""),"0.025292")</f>
        <v>#NAME?</v>
      </c>
      <c r="D216" s="100" t="e">
        <f t="shared" ca="1" si="34"/>
        <v>#NAME?</v>
      </c>
      <c r="E216" s="100" t="e">
        <f t="shared" ca="1" si="34"/>
        <v>#NAME?</v>
      </c>
      <c r="F216" s="100" t="e">
        <f t="shared" ca="1" si="28"/>
        <v>#NAME?</v>
      </c>
      <c r="G216" s="100" t="e">
        <f t="shared" ca="1" si="29"/>
        <v>#NAME?</v>
      </c>
      <c r="H216" s="100" t="e">
        <f t="shared" ca="1" si="30"/>
        <v>#NAME?</v>
      </c>
      <c r="I216" s="100" t="e">
        <f t="shared" ca="1" si="31"/>
        <v>#NAME?</v>
      </c>
      <c r="J216" s="100" t="e">
        <f t="shared" ca="1" si="32"/>
        <v>#NAME?</v>
      </c>
      <c r="K216" s="100" t="e">
        <f t="shared" ca="1" si="33"/>
        <v>#NAME?</v>
      </c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 spans="1:26">
      <c r="A217" s="100" t="e">
        <f ca="1">IFERROR(__xludf.DUMMYFUNCTION("""COMPUTED_VALUE"""),14519969)</f>
        <v>#NAME?</v>
      </c>
      <c r="B217" s="100" t="e">
        <f ca="1">IFERROR(__xludf.DUMMYFUNCTION("""COMPUTED_VALUE"""),"ethusdt")</f>
        <v>#NAME?</v>
      </c>
      <c r="C217" s="100" t="e">
        <f ca="1">IFERROR(__xludf.DUMMYFUNCTION("""COMPUTED_VALUE"""),"1624.61")</f>
        <v>#NAME?</v>
      </c>
      <c r="D217" s="100" t="e">
        <f t="shared" ca="1" si="34"/>
        <v>#NAME?</v>
      </c>
      <c r="E217" s="100" t="e">
        <f t="shared" ca="1" si="34"/>
        <v>#NAME?</v>
      </c>
      <c r="F217" s="100" t="e">
        <f t="shared" ca="1" si="28"/>
        <v>#NAME?</v>
      </c>
      <c r="G217" s="100" t="e">
        <f t="shared" ca="1" si="29"/>
        <v>#NAME?</v>
      </c>
      <c r="H217" s="100" t="e">
        <f t="shared" ca="1" si="30"/>
        <v>#NAME?</v>
      </c>
      <c r="I217" s="100" t="e">
        <f t="shared" ca="1" si="31"/>
        <v>#NAME?</v>
      </c>
      <c r="J217" s="100" t="e">
        <f t="shared" ca="1" si="32"/>
        <v>#NAME?</v>
      </c>
      <c r="K217" s="100" t="e">
        <f t="shared" ca="1" si="33"/>
        <v>#NAME?</v>
      </c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 spans="1:26">
      <c r="A218" s="100" t="e">
        <f ca="1">IFERROR(__xludf.DUMMYFUNCTION("""COMPUTED_VALUE"""),14519970)</f>
        <v>#NAME?</v>
      </c>
      <c r="B218" s="100" t="e">
        <f ca="1">IFERROR(__xludf.DUMMYFUNCTION("""COMPUTED_VALUE"""),"xprtusdt")</f>
        <v>#NAME?</v>
      </c>
      <c r="C218" s="100" t="e">
        <f ca="1">IFERROR(__xludf.DUMMYFUNCTION("""COMPUTED_VALUE"""),"0.0754")</f>
        <v>#NAME?</v>
      </c>
      <c r="D218" s="100" t="e">
        <f t="shared" ca="1" si="34"/>
        <v>#NAME?</v>
      </c>
      <c r="E218" s="100" t="e">
        <f t="shared" ca="1" si="34"/>
        <v>#NAME?</v>
      </c>
      <c r="F218" s="100" t="e">
        <f t="shared" ca="1" si="28"/>
        <v>#NAME?</v>
      </c>
      <c r="G218" s="100" t="e">
        <f t="shared" ca="1" si="29"/>
        <v>#NAME?</v>
      </c>
      <c r="H218" s="100" t="e">
        <f t="shared" ca="1" si="30"/>
        <v>#NAME?</v>
      </c>
      <c r="I218" s="100" t="e">
        <f t="shared" ca="1" si="31"/>
        <v>#NAME?</v>
      </c>
      <c r="J218" s="100" t="e">
        <f t="shared" ca="1" si="32"/>
        <v>#NAME?</v>
      </c>
      <c r="K218" s="100" t="e">
        <f t="shared" ca="1" si="33"/>
        <v>#NAME?</v>
      </c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 spans="1:26">
      <c r="A219" s="100" t="e">
        <f ca="1">IFERROR(__xludf.DUMMYFUNCTION("""COMPUTED_VALUE"""),14519971)</f>
        <v>#NAME?</v>
      </c>
      <c r="B219" s="100" t="e">
        <f ca="1">IFERROR(__xludf.DUMMYFUNCTION("""COMPUTED_VALUE"""),"meusdt")</f>
        <v>#NAME?</v>
      </c>
      <c r="C219" s="100" t="e">
        <f ca="1">IFERROR(__xludf.DUMMYFUNCTION("""COMPUTED_VALUE"""),"0.7961")</f>
        <v>#NAME?</v>
      </c>
      <c r="D219" s="100" t="e">
        <f t="shared" ca="1" si="34"/>
        <v>#NAME?</v>
      </c>
      <c r="E219" s="100" t="e">
        <f t="shared" ca="1" si="34"/>
        <v>#NAME?</v>
      </c>
      <c r="F219" s="100" t="e">
        <f t="shared" ca="1" si="28"/>
        <v>#NAME?</v>
      </c>
      <c r="G219" s="100" t="e">
        <f t="shared" ca="1" si="29"/>
        <v>#NAME?</v>
      </c>
      <c r="H219" s="100" t="e">
        <f t="shared" ca="1" si="30"/>
        <v>#NAME?</v>
      </c>
      <c r="I219" s="100" t="e">
        <f t="shared" ca="1" si="31"/>
        <v>#NAME?</v>
      </c>
      <c r="J219" s="100" t="e">
        <f t="shared" ca="1" si="32"/>
        <v>#NAME?</v>
      </c>
      <c r="K219" s="100" t="e">
        <f t="shared" ca="1" si="33"/>
        <v>#NAME?</v>
      </c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 spans="1:26">
      <c r="A220" s="100" t="e">
        <f ca="1">IFERROR(__xludf.DUMMYFUNCTION("""COMPUTED_VALUE"""),14519972)</f>
        <v>#NAME?</v>
      </c>
      <c r="B220" s="100" t="e">
        <f ca="1">IFERROR(__xludf.DUMMYFUNCTION("""COMPUTED_VALUE"""),"pyusdusdt")</f>
        <v>#NAME?</v>
      </c>
      <c r="C220" s="100" t="e">
        <f ca="1">IFERROR(__xludf.DUMMYFUNCTION("""COMPUTED_VALUE"""),"0.9991")</f>
        <v>#NAME?</v>
      </c>
      <c r="D220" s="100" t="e">
        <f t="shared" ca="1" si="34"/>
        <v>#NAME?</v>
      </c>
      <c r="E220" s="100" t="e">
        <f t="shared" ca="1" si="34"/>
        <v>#NAME?</v>
      </c>
      <c r="F220" s="100" t="e">
        <f t="shared" ca="1" si="28"/>
        <v>#NAME?</v>
      </c>
      <c r="G220" s="100" t="e">
        <f t="shared" ca="1" si="29"/>
        <v>#NAME?</v>
      </c>
      <c r="H220" s="100" t="e">
        <f t="shared" ca="1" si="30"/>
        <v>#NAME?</v>
      </c>
      <c r="I220" s="100" t="e">
        <f t="shared" ca="1" si="31"/>
        <v>#NAME?</v>
      </c>
      <c r="J220" s="100" t="e">
        <f t="shared" ca="1" si="32"/>
        <v>#NAME?</v>
      </c>
      <c r="K220" s="100" t="e">
        <f t="shared" ca="1" si="33"/>
        <v>#NAME?</v>
      </c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 spans="1:26">
      <c r="A221" s="100" t="e">
        <f ca="1">IFERROR(__xludf.DUMMYFUNCTION("""COMPUTED_VALUE"""),14519973)</f>
        <v>#NAME?</v>
      </c>
      <c r="B221" s="100" t="e">
        <f ca="1">IFERROR(__xludf.DUMMYFUNCTION("""COMPUTED_VALUE"""),"pluusdt")</f>
        <v>#NAME?</v>
      </c>
      <c r="C221" s="100" t="e">
        <f ca="1">IFERROR(__xludf.DUMMYFUNCTION("""COMPUTED_VALUE"""),"0.75")</f>
        <v>#NAME?</v>
      </c>
      <c r="D221" s="100" t="e">
        <f t="shared" ca="1" si="34"/>
        <v>#NAME?</v>
      </c>
      <c r="E221" s="100" t="e">
        <f t="shared" ca="1" si="34"/>
        <v>#NAME?</v>
      </c>
      <c r="F221" s="100" t="e">
        <f t="shared" ca="1" si="28"/>
        <v>#NAME?</v>
      </c>
      <c r="G221" s="100" t="e">
        <f t="shared" ca="1" si="29"/>
        <v>#NAME?</v>
      </c>
      <c r="H221" s="100" t="e">
        <f t="shared" ca="1" si="30"/>
        <v>#NAME?</v>
      </c>
      <c r="I221" s="100" t="e">
        <f t="shared" ca="1" si="31"/>
        <v>#NAME?</v>
      </c>
      <c r="J221" s="100" t="e">
        <f t="shared" ca="1" si="32"/>
        <v>#NAME?</v>
      </c>
      <c r="K221" s="100" t="e">
        <f t="shared" ca="1" si="33"/>
        <v>#NAME?</v>
      </c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 spans="1:26">
      <c r="A222" s="100" t="e">
        <f ca="1">IFERROR(__xludf.DUMMYFUNCTION("""COMPUTED_VALUE"""),14519974)</f>
        <v>#NAME?</v>
      </c>
      <c r="B222" s="100" t="e">
        <f ca="1">IFERROR(__xludf.DUMMYFUNCTION("""COMPUTED_VALUE"""),"elizactousdt")</f>
        <v>#NAME?</v>
      </c>
      <c r="C222" s="100" t="e">
        <f ca="1">IFERROR(__xludf.DUMMYFUNCTION("""COMPUTED_VALUE"""),"0.000365")</f>
        <v>#NAME?</v>
      </c>
      <c r="D222" s="100" t="e">
        <f t="shared" ref="D222:E241" ca="1" si="35">IFERROR(__xludf.DUMMYFUNCTION("""COMPUTED_VALUE"""),"-")</f>
        <v>#NAME?</v>
      </c>
      <c r="E222" s="100" t="e">
        <f t="shared" ca="1" si="35"/>
        <v>#NAME?</v>
      </c>
      <c r="F222" s="100" t="e">
        <f t="shared" ca="1" si="28"/>
        <v>#NAME?</v>
      </c>
      <c r="G222" s="100" t="e">
        <f t="shared" ca="1" si="29"/>
        <v>#NAME?</v>
      </c>
      <c r="H222" s="100" t="e">
        <f t="shared" ca="1" si="30"/>
        <v>#NAME?</v>
      </c>
      <c r="I222" s="100" t="e">
        <f t="shared" ca="1" si="31"/>
        <v>#NAME?</v>
      </c>
      <c r="J222" s="100" t="e">
        <f t="shared" ca="1" si="32"/>
        <v>#NAME?</v>
      </c>
      <c r="K222" s="100" t="e">
        <f t="shared" ca="1" si="33"/>
        <v>#NAME?</v>
      </c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 spans="1:26">
      <c r="A223" s="100" t="e">
        <f ca="1">IFERROR(__xludf.DUMMYFUNCTION("""COMPUTED_VALUE"""),14519975)</f>
        <v>#NAME?</v>
      </c>
      <c r="B223" s="100" t="e">
        <f ca="1">IFERROR(__xludf.DUMMYFUNCTION("""COMPUTED_VALUE"""),"degenusdt")</f>
        <v>#NAME?</v>
      </c>
      <c r="C223" s="100" t="e">
        <f ca="1">IFERROR(__xludf.DUMMYFUNCTION("""COMPUTED_VALUE"""),"0.002631")</f>
        <v>#NAME?</v>
      </c>
      <c r="D223" s="100" t="e">
        <f t="shared" ca="1" si="35"/>
        <v>#NAME?</v>
      </c>
      <c r="E223" s="100" t="e">
        <f t="shared" ca="1" si="35"/>
        <v>#NAME?</v>
      </c>
      <c r="F223" s="100" t="e">
        <f t="shared" ca="1" si="28"/>
        <v>#NAME?</v>
      </c>
      <c r="G223" s="100" t="e">
        <f t="shared" ca="1" si="29"/>
        <v>#NAME?</v>
      </c>
      <c r="H223" s="100" t="e">
        <f t="shared" ca="1" si="30"/>
        <v>#NAME?</v>
      </c>
      <c r="I223" s="100" t="e">
        <f t="shared" ca="1" si="31"/>
        <v>#NAME?</v>
      </c>
      <c r="J223" s="100" t="e">
        <f t="shared" ca="1" si="32"/>
        <v>#NAME?</v>
      </c>
      <c r="K223" s="100" t="e">
        <f t="shared" ca="1" si="33"/>
        <v>#NAME?</v>
      </c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 spans="1:26">
      <c r="A224" s="100" t="e">
        <f ca="1">IFERROR(__xludf.DUMMYFUNCTION("""COMPUTED_VALUE"""),14519976)</f>
        <v>#NAME?</v>
      </c>
      <c r="B224" s="100" t="e">
        <f ca="1">IFERROR(__xludf.DUMMYFUNCTION("""COMPUTED_VALUE"""),"lithusdt")</f>
        <v>#NAME?</v>
      </c>
      <c r="C224" s="100" t="e">
        <f ca="1">IFERROR(__xludf.DUMMYFUNCTION("""COMPUTED_VALUE"""),"7e-05")</f>
        <v>#NAME?</v>
      </c>
      <c r="D224" s="100" t="e">
        <f t="shared" ca="1" si="35"/>
        <v>#NAME?</v>
      </c>
      <c r="E224" s="100" t="e">
        <f t="shared" ca="1" si="35"/>
        <v>#NAME?</v>
      </c>
      <c r="F224" s="100" t="e">
        <f t="shared" ca="1" si="28"/>
        <v>#NAME?</v>
      </c>
      <c r="G224" s="100" t="e">
        <f t="shared" ca="1" si="29"/>
        <v>#NAME?</v>
      </c>
      <c r="H224" s="100" t="e">
        <f t="shared" ca="1" si="30"/>
        <v>#NAME?</v>
      </c>
      <c r="I224" s="100" t="e">
        <f t="shared" ca="1" si="31"/>
        <v>#NAME?</v>
      </c>
      <c r="J224" s="100" t="e">
        <f t="shared" ca="1" si="32"/>
        <v>#NAME?</v>
      </c>
      <c r="K224" s="100" t="e">
        <f t="shared" ca="1" si="33"/>
        <v>#NAME?</v>
      </c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 spans="1:26">
      <c r="A225" s="100" t="e">
        <f ca="1">IFERROR(__xludf.DUMMYFUNCTION("""COMPUTED_VALUE"""),14519977)</f>
        <v>#NAME?</v>
      </c>
      <c r="B225" s="100" t="e">
        <f ca="1">IFERROR(__xludf.DUMMYFUNCTION("""COMPUTED_VALUE"""),"xfiusdt")</f>
        <v>#NAME?</v>
      </c>
      <c r="C225" s="100" t="e">
        <f ca="1">IFERROR(__xludf.DUMMYFUNCTION("""COMPUTED_VALUE"""),"0.1805")</f>
        <v>#NAME?</v>
      </c>
      <c r="D225" s="100" t="e">
        <f t="shared" ca="1" si="35"/>
        <v>#NAME?</v>
      </c>
      <c r="E225" s="100" t="e">
        <f t="shared" ca="1" si="35"/>
        <v>#NAME?</v>
      </c>
      <c r="F225" s="100" t="e">
        <f t="shared" ca="1" si="28"/>
        <v>#NAME?</v>
      </c>
      <c r="G225" s="100" t="e">
        <f t="shared" ca="1" si="29"/>
        <v>#NAME?</v>
      </c>
      <c r="H225" s="100" t="e">
        <f t="shared" ca="1" si="30"/>
        <v>#NAME?</v>
      </c>
      <c r="I225" s="100" t="e">
        <f t="shared" ca="1" si="31"/>
        <v>#NAME?</v>
      </c>
      <c r="J225" s="100" t="e">
        <f t="shared" ca="1" si="32"/>
        <v>#NAME?</v>
      </c>
      <c r="K225" s="100" t="e">
        <f t="shared" ca="1" si="33"/>
        <v>#NAME?</v>
      </c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 spans="1:26">
      <c r="A226" s="100" t="e">
        <f ca="1">IFERROR(__xludf.DUMMYFUNCTION("""COMPUTED_VALUE"""),14519978)</f>
        <v>#NAME?</v>
      </c>
      <c r="B226" s="100" t="e">
        <f ca="1">IFERROR(__xludf.DUMMYFUNCTION("""COMPUTED_VALUE"""),"xnousdt")</f>
        <v>#NAME?</v>
      </c>
      <c r="C226" s="100" t="e">
        <f ca="1">IFERROR(__xludf.DUMMYFUNCTION("""COMPUTED_VALUE"""),"7.3e-05")</f>
        <v>#NAME?</v>
      </c>
      <c r="D226" s="100" t="e">
        <f t="shared" ca="1" si="35"/>
        <v>#NAME?</v>
      </c>
      <c r="E226" s="100" t="e">
        <f t="shared" ca="1" si="35"/>
        <v>#NAME?</v>
      </c>
      <c r="F226" s="100" t="e">
        <f t="shared" ca="1" si="28"/>
        <v>#NAME?</v>
      </c>
      <c r="G226" s="100" t="e">
        <f t="shared" ca="1" si="29"/>
        <v>#NAME?</v>
      </c>
      <c r="H226" s="100" t="e">
        <f t="shared" ca="1" si="30"/>
        <v>#NAME?</v>
      </c>
      <c r="I226" s="100" t="e">
        <f t="shared" ca="1" si="31"/>
        <v>#NAME?</v>
      </c>
      <c r="J226" s="100" t="e">
        <f t="shared" ca="1" si="32"/>
        <v>#NAME?</v>
      </c>
      <c r="K226" s="100" t="e">
        <f t="shared" ca="1" si="33"/>
        <v>#NAME?</v>
      </c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 spans="1:26">
      <c r="A227" s="100" t="e">
        <f ca="1">IFERROR(__xludf.DUMMYFUNCTION("""COMPUTED_VALUE"""),14519979)</f>
        <v>#NAME?</v>
      </c>
      <c r="B227" s="100" t="e">
        <f ca="1">IFERROR(__xludf.DUMMYFUNCTION("""COMPUTED_VALUE"""),"ai16zusdt")</f>
        <v>#NAME?</v>
      </c>
      <c r="C227" s="100" t="e">
        <f ca="1">IFERROR(__xludf.DUMMYFUNCTION("""COMPUTED_VALUE"""),"0.1359")</f>
        <v>#NAME?</v>
      </c>
      <c r="D227" s="100" t="e">
        <f t="shared" ca="1" si="35"/>
        <v>#NAME?</v>
      </c>
      <c r="E227" s="100" t="e">
        <f t="shared" ca="1" si="35"/>
        <v>#NAME?</v>
      </c>
      <c r="F227" s="100" t="e">
        <f t="shared" ca="1" si="28"/>
        <v>#NAME?</v>
      </c>
      <c r="G227" s="100" t="e">
        <f t="shared" ca="1" si="29"/>
        <v>#NAME?</v>
      </c>
      <c r="H227" s="100" t="e">
        <f t="shared" ca="1" si="30"/>
        <v>#NAME?</v>
      </c>
      <c r="I227" s="100" t="e">
        <f t="shared" ca="1" si="31"/>
        <v>#NAME?</v>
      </c>
      <c r="J227" s="100" t="e">
        <f t="shared" ca="1" si="32"/>
        <v>#NAME?</v>
      </c>
      <c r="K227" s="100" t="e">
        <f t="shared" ca="1" si="33"/>
        <v>#NAME?</v>
      </c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 spans="1:26">
      <c r="A228" s="100" t="e">
        <f ca="1">IFERROR(__xludf.DUMMYFUNCTION("""COMPUTED_VALUE"""),14519980)</f>
        <v>#NAME?</v>
      </c>
      <c r="B228" s="100" t="e">
        <f ca="1">IFERROR(__xludf.DUMMYFUNCTION("""COMPUTED_VALUE"""),"mcontentusdt")</f>
        <v>#NAME?</v>
      </c>
      <c r="C228" s="100" t="e">
        <f ca="1">IFERROR(__xludf.DUMMYFUNCTION("""COMPUTED_VALUE"""),"5.35e-10")</f>
        <v>#NAME?</v>
      </c>
      <c r="D228" s="100" t="e">
        <f t="shared" ca="1" si="35"/>
        <v>#NAME?</v>
      </c>
      <c r="E228" s="100" t="e">
        <f t="shared" ca="1" si="35"/>
        <v>#NAME?</v>
      </c>
      <c r="F228" s="100" t="e">
        <f t="shared" ca="1" si="28"/>
        <v>#NAME?</v>
      </c>
      <c r="G228" s="100" t="e">
        <f t="shared" ca="1" si="29"/>
        <v>#NAME?</v>
      </c>
      <c r="H228" s="100" t="e">
        <f t="shared" ca="1" si="30"/>
        <v>#NAME?</v>
      </c>
      <c r="I228" s="100" t="e">
        <f t="shared" ca="1" si="31"/>
        <v>#NAME?</v>
      </c>
      <c r="J228" s="100" t="e">
        <f t="shared" ca="1" si="32"/>
        <v>#NAME?</v>
      </c>
      <c r="K228" s="100" t="e">
        <f t="shared" ca="1" si="33"/>
        <v>#NAME?</v>
      </c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 spans="1:26">
      <c r="A229" s="100" t="e">
        <f ca="1">IFERROR(__xludf.DUMMYFUNCTION("""COMPUTED_VALUE"""),14519981)</f>
        <v>#NAME?</v>
      </c>
      <c r="B229" s="100" t="e">
        <f ca="1">IFERROR(__xludf.DUMMYFUNCTION("""COMPUTED_VALUE"""),"xrpbtc")</f>
        <v>#NAME?</v>
      </c>
      <c r="C229" s="100" t="e">
        <f ca="1">IFERROR(__xludf.DUMMYFUNCTION("""COMPUTED_VALUE"""),"2.376e-05")</f>
        <v>#NAME?</v>
      </c>
      <c r="D229" s="100" t="e">
        <f t="shared" ca="1" si="35"/>
        <v>#NAME?</v>
      </c>
      <c r="E229" s="100" t="e">
        <f t="shared" ca="1" si="35"/>
        <v>#NAME?</v>
      </c>
      <c r="F229" s="100" t="e">
        <f t="shared" ca="1" si="28"/>
        <v>#NAME?</v>
      </c>
      <c r="G229" s="100" t="e">
        <f t="shared" ca="1" si="29"/>
        <v>#NAME?</v>
      </c>
      <c r="H229" s="100" t="e">
        <f t="shared" ca="1" si="30"/>
        <v>#NAME?</v>
      </c>
      <c r="I229" s="100" t="e">
        <f t="shared" ca="1" si="31"/>
        <v>#NAME?</v>
      </c>
      <c r="J229" s="100" t="e">
        <f t="shared" ca="1" si="32"/>
        <v>#NAME?</v>
      </c>
      <c r="K229" s="100" t="e">
        <f t="shared" ca="1" si="33"/>
        <v>#NAME?</v>
      </c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 spans="1:26">
      <c r="A230" s="100" t="e">
        <f ca="1">IFERROR(__xludf.DUMMYFUNCTION("""COMPUTED_VALUE"""),14519982)</f>
        <v>#NAME?</v>
      </c>
      <c r="B230" s="100" t="e">
        <f ca="1">IFERROR(__xludf.DUMMYFUNCTION("""COMPUTED_VALUE"""),"zkfusdt")</f>
        <v>#NAME?</v>
      </c>
      <c r="C230" s="100" t="e">
        <f ca="1">IFERROR(__xludf.DUMMYFUNCTION("""COMPUTED_VALUE"""),"5.5e-05")</f>
        <v>#NAME?</v>
      </c>
      <c r="D230" s="100" t="e">
        <f t="shared" ca="1" si="35"/>
        <v>#NAME?</v>
      </c>
      <c r="E230" s="100" t="e">
        <f t="shared" ca="1" si="35"/>
        <v>#NAME?</v>
      </c>
      <c r="F230" s="100" t="e">
        <f t="shared" ca="1" si="28"/>
        <v>#NAME?</v>
      </c>
      <c r="G230" s="100" t="e">
        <f t="shared" ca="1" si="29"/>
        <v>#NAME?</v>
      </c>
      <c r="H230" s="100" t="e">
        <f t="shared" ca="1" si="30"/>
        <v>#NAME?</v>
      </c>
      <c r="I230" s="100" t="e">
        <f t="shared" ca="1" si="31"/>
        <v>#NAME?</v>
      </c>
      <c r="J230" s="100" t="e">
        <f t="shared" ca="1" si="32"/>
        <v>#NAME?</v>
      </c>
      <c r="K230" s="100" t="e">
        <f t="shared" ca="1" si="33"/>
        <v>#NAME?</v>
      </c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 spans="1:26">
      <c r="A231" s="100" t="e">
        <f ca="1">IFERROR(__xludf.DUMMYFUNCTION("""COMPUTED_VALUE"""),14519983)</f>
        <v>#NAME?</v>
      </c>
      <c r="B231" s="100" t="e">
        <f ca="1">IFERROR(__xludf.DUMMYFUNCTION("""COMPUTED_VALUE"""),"sunusdt")</f>
        <v>#NAME?</v>
      </c>
      <c r="C231" s="100" t="e">
        <f ca="1">IFERROR(__xludf.DUMMYFUNCTION("""COMPUTED_VALUE"""),"0.017264")</f>
        <v>#NAME?</v>
      </c>
      <c r="D231" s="100" t="e">
        <f t="shared" ca="1" si="35"/>
        <v>#NAME?</v>
      </c>
      <c r="E231" s="100" t="e">
        <f t="shared" ca="1" si="35"/>
        <v>#NAME?</v>
      </c>
      <c r="F231" s="100" t="e">
        <f t="shared" ca="1" si="28"/>
        <v>#NAME?</v>
      </c>
      <c r="G231" s="100" t="e">
        <f t="shared" ca="1" si="29"/>
        <v>#NAME?</v>
      </c>
      <c r="H231" s="100" t="e">
        <f t="shared" ca="1" si="30"/>
        <v>#NAME?</v>
      </c>
      <c r="I231" s="100" t="e">
        <f t="shared" ca="1" si="31"/>
        <v>#NAME?</v>
      </c>
      <c r="J231" s="100" t="e">
        <f t="shared" ca="1" si="32"/>
        <v>#NAME?</v>
      </c>
      <c r="K231" s="100" t="e">
        <f t="shared" ca="1" si="33"/>
        <v>#NAME?</v>
      </c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 spans="1:26">
      <c r="A232" s="100" t="e">
        <f ca="1">IFERROR(__xludf.DUMMYFUNCTION("""COMPUTED_VALUE"""),14519984)</f>
        <v>#NAME?</v>
      </c>
      <c r="B232" s="100" t="e">
        <f ca="1">IFERROR(__xludf.DUMMYFUNCTION("""COMPUTED_VALUE"""),"trumpusdt")</f>
        <v>#NAME?</v>
      </c>
      <c r="C232" s="100" t="e">
        <f ca="1">IFERROR(__xludf.DUMMYFUNCTION("""COMPUTED_VALUE"""),"8.5326")</f>
        <v>#NAME?</v>
      </c>
      <c r="D232" s="100" t="e">
        <f t="shared" ca="1" si="35"/>
        <v>#NAME?</v>
      </c>
      <c r="E232" s="100" t="e">
        <f t="shared" ca="1" si="35"/>
        <v>#NAME?</v>
      </c>
      <c r="F232" s="100" t="e">
        <f t="shared" ca="1" si="28"/>
        <v>#NAME?</v>
      </c>
      <c r="G232" s="100" t="e">
        <f t="shared" ca="1" si="29"/>
        <v>#NAME?</v>
      </c>
      <c r="H232" s="100" t="e">
        <f t="shared" ca="1" si="30"/>
        <v>#NAME?</v>
      </c>
      <c r="I232" s="100" t="e">
        <f t="shared" ca="1" si="31"/>
        <v>#NAME?</v>
      </c>
      <c r="J232" s="100" t="e">
        <f t="shared" ca="1" si="32"/>
        <v>#NAME?</v>
      </c>
      <c r="K232" s="100" t="e">
        <f t="shared" ca="1" si="33"/>
        <v>#NAME?</v>
      </c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 spans="1:26">
      <c r="A233" s="100" t="e">
        <f ca="1">IFERROR(__xludf.DUMMYFUNCTION("""COMPUTED_VALUE"""),14519985)</f>
        <v>#NAME?</v>
      </c>
      <c r="B233" s="100" t="e">
        <f ca="1">IFERROR(__xludf.DUMMYFUNCTION("""COMPUTED_VALUE"""),"psgusdt")</f>
        <v>#NAME?</v>
      </c>
      <c r="C233" s="100" t="e">
        <f ca="1">IFERROR(__xludf.DUMMYFUNCTION("""COMPUTED_VALUE"""),"1.9858")</f>
        <v>#NAME?</v>
      </c>
      <c r="D233" s="100" t="e">
        <f t="shared" ca="1" si="35"/>
        <v>#NAME?</v>
      </c>
      <c r="E233" s="100" t="e">
        <f t="shared" ca="1" si="35"/>
        <v>#NAME?</v>
      </c>
      <c r="F233" s="100" t="e">
        <f t="shared" ca="1" si="28"/>
        <v>#NAME?</v>
      </c>
      <c r="G233" s="100" t="e">
        <f t="shared" ca="1" si="29"/>
        <v>#NAME?</v>
      </c>
      <c r="H233" s="100" t="e">
        <f t="shared" ca="1" si="30"/>
        <v>#NAME?</v>
      </c>
      <c r="I233" s="100" t="e">
        <f t="shared" ca="1" si="31"/>
        <v>#NAME?</v>
      </c>
      <c r="J233" s="100" t="e">
        <f t="shared" ca="1" si="32"/>
        <v>#NAME?</v>
      </c>
      <c r="K233" s="100" t="e">
        <f t="shared" ca="1" si="33"/>
        <v>#NAME?</v>
      </c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 spans="1:26">
      <c r="A234" s="100" t="e">
        <f ca="1">IFERROR(__xludf.DUMMYFUNCTION("""COMPUTED_VALUE"""),14519986)</f>
        <v>#NAME?</v>
      </c>
      <c r="B234" s="100" t="e">
        <f ca="1">IFERROR(__xludf.DUMMYFUNCTION("""COMPUTED_VALUE"""),"gasusdt")</f>
        <v>#NAME?</v>
      </c>
      <c r="C234" s="100" t="e">
        <f ca="1">IFERROR(__xludf.DUMMYFUNCTION("""COMPUTED_VALUE"""),"3.2607")</f>
        <v>#NAME?</v>
      </c>
      <c r="D234" s="100" t="e">
        <f t="shared" ca="1" si="35"/>
        <v>#NAME?</v>
      </c>
      <c r="E234" s="100" t="e">
        <f t="shared" ca="1" si="35"/>
        <v>#NAME?</v>
      </c>
      <c r="F234" s="100" t="e">
        <f t="shared" ca="1" si="28"/>
        <v>#NAME?</v>
      </c>
      <c r="G234" s="100" t="e">
        <f t="shared" ca="1" si="29"/>
        <v>#NAME?</v>
      </c>
      <c r="H234" s="100" t="e">
        <f t="shared" ca="1" si="30"/>
        <v>#NAME?</v>
      </c>
      <c r="I234" s="100" t="e">
        <f t="shared" ca="1" si="31"/>
        <v>#NAME?</v>
      </c>
      <c r="J234" s="100" t="e">
        <f t="shared" ca="1" si="32"/>
        <v>#NAME?</v>
      </c>
      <c r="K234" s="100" t="e">
        <f t="shared" ca="1" si="33"/>
        <v>#NAME?</v>
      </c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 spans="1:26">
      <c r="A235" s="100" t="e">
        <f ca="1">IFERROR(__xludf.DUMMYFUNCTION("""COMPUTED_VALUE"""),14519987)</f>
        <v>#NAME?</v>
      </c>
      <c r="B235" s="100" t="e">
        <f ca="1">IFERROR(__xludf.DUMMYFUNCTION("""COMPUTED_VALUE"""),"nknusdt")</f>
        <v>#NAME?</v>
      </c>
      <c r="C235" s="100" t="e">
        <f ca="1">IFERROR(__xludf.DUMMYFUNCTION("""COMPUTED_VALUE"""),"0.028733")</f>
        <v>#NAME?</v>
      </c>
      <c r="D235" s="100" t="e">
        <f t="shared" ca="1" si="35"/>
        <v>#NAME?</v>
      </c>
      <c r="E235" s="100" t="e">
        <f t="shared" ca="1" si="35"/>
        <v>#NAME?</v>
      </c>
      <c r="F235" s="100" t="e">
        <f t="shared" ca="1" si="28"/>
        <v>#NAME?</v>
      </c>
      <c r="G235" s="100" t="e">
        <f t="shared" ca="1" si="29"/>
        <v>#NAME?</v>
      </c>
      <c r="H235" s="100" t="e">
        <f t="shared" ca="1" si="30"/>
        <v>#NAME?</v>
      </c>
      <c r="I235" s="100" t="e">
        <f t="shared" ca="1" si="31"/>
        <v>#NAME?</v>
      </c>
      <c r="J235" s="100" t="e">
        <f t="shared" ca="1" si="32"/>
        <v>#NAME?</v>
      </c>
      <c r="K235" s="100" t="e">
        <f t="shared" ca="1" si="33"/>
        <v>#NAME?</v>
      </c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 spans="1:26">
      <c r="A236" s="100" t="e">
        <f ca="1">IFERROR(__xludf.DUMMYFUNCTION("""COMPUTED_VALUE"""),14519988)</f>
        <v>#NAME?</v>
      </c>
      <c r="B236" s="100" t="e">
        <f ca="1">IFERROR(__xludf.DUMMYFUNCTION("""COMPUTED_VALUE"""),"rifusdt")</f>
        <v>#NAME?</v>
      </c>
      <c r="C236" s="100" t="e">
        <f ca="1">IFERROR(__xludf.DUMMYFUNCTION("""COMPUTED_VALUE"""),"0.00189")</f>
        <v>#NAME?</v>
      </c>
      <c r="D236" s="100" t="e">
        <f t="shared" ca="1" si="35"/>
        <v>#NAME?</v>
      </c>
      <c r="E236" s="100" t="e">
        <f t="shared" ca="1" si="35"/>
        <v>#NAME?</v>
      </c>
      <c r="F236" s="100" t="e">
        <f t="shared" ca="1" si="28"/>
        <v>#NAME?</v>
      </c>
      <c r="G236" s="100" t="e">
        <f t="shared" ca="1" si="29"/>
        <v>#NAME?</v>
      </c>
      <c r="H236" s="100" t="e">
        <f t="shared" ca="1" si="30"/>
        <v>#NAME?</v>
      </c>
      <c r="I236" s="100" t="e">
        <f t="shared" ca="1" si="31"/>
        <v>#NAME?</v>
      </c>
      <c r="J236" s="100" t="e">
        <f t="shared" ca="1" si="32"/>
        <v>#NAME?</v>
      </c>
      <c r="K236" s="100" t="e">
        <f t="shared" ca="1" si="33"/>
        <v>#NAME?</v>
      </c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 spans="1:26">
      <c r="A237" s="100" t="e">
        <f ca="1">IFERROR(__xludf.DUMMYFUNCTION("""COMPUTED_VALUE"""),14519989)</f>
        <v>#NAME?</v>
      </c>
      <c r="B237" s="100" t="e">
        <f ca="1">IFERROR(__xludf.DUMMYFUNCTION("""COMPUTED_VALUE"""),"gnousdt")</f>
        <v>#NAME?</v>
      </c>
      <c r="C237" s="100" t="e">
        <f ca="1">IFERROR(__xludf.DUMMYFUNCTION("""COMPUTED_VALUE"""),"105.0136")</f>
        <v>#NAME?</v>
      </c>
      <c r="D237" s="100" t="e">
        <f t="shared" ca="1" si="35"/>
        <v>#NAME?</v>
      </c>
      <c r="E237" s="100" t="e">
        <f t="shared" ca="1" si="35"/>
        <v>#NAME?</v>
      </c>
      <c r="F237" s="100" t="e">
        <f t="shared" ca="1" si="28"/>
        <v>#NAME?</v>
      </c>
      <c r="G237" s="100" t="e">
        <f t="shared" ca="1" si="29"/>
        <v>#NAME?</v>
      </c>
      <c r="H237" s="100" t="e">
        <f t="shared" ca="1" si="30"/>
        <v>#NAME?</v>
      </c>
      <c r="I237" s="100" t="e">
        <f t="shared" ca="1" si="31"/>
        <v>#NAME?</v>
      </c>
      <c r="J237" s="100" t="e">
        <f t="shared" ca="1" si="32"/>
        <v>#NAME?</v>
      </c>
      <c r="K237" s="100" t="e">
        <f t="shared" ca="1" si="33"/>
        <v>#NAME?</v>
      </c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 spans="1:26">
      <c r="A238" s="100" t="e">
        <f ca="1">IFERROR(__xludf.DUMMYFUNCTION("""COMPUTED_VALUE"""),14519990)</f>
        <v>#NAME?</v>
      </c>
      <c r="B238" s="100" t="e">
        <f ca="1">IFERROR(__xludf.DUMMYFUNCTION("""COMPUTED_VALUE"""),"watusdt")</f>
        <v>#NAME?</v>
      </c>
      <c r="C238" s="100" t="e">
        <f ca="1">IFERROR(__xludf.DUMMYFUNCTION("""COMPUTED_VALUE"""),"4.12e-05")</f>
        <v>#NAME?</v>
      </c>
      <c r="D238" s="100" t="e">
        <f t="shared" ca="1" si="35"/>
        <v>#NAME?</v>
      </c>
      <c r="E238" s="100" t="e">
        <f t="shared" ca="1" si="35"/>
        <v>#NAME?</v>
      </c>
      <c r="F238" s="100" t="e">
        <f t="shared" ca="1" si="28"/>
        <v>#NAME?</v>
      </c>
      <c r="G238" s="100" t="e">
        <f t="shared" ca="1" si="29"/>
        <v>#NAME?</v>
      </c>
      <c r="H238" s="100" t="e">
        <f t="shared" ca="1" si="30"/>
        <v>#NAME?</v>
      </c>
      <c r="I238" s="100" t="e">
        <f t="shared" ca="1" si="31"/>
        <v>#NAME?</v>
      </c>
      <c r="J238" s="100" t="e">
        <f t="shared" ca="1" si="32"/>
        <v>#NAME?</v>
      </c>
      <c r="K238" s="100" t="e">
        <f t="shared" ca="1" si="33"/>
        <v>#NAME?</v>
      </c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 spans="1:26">
      <c r="A239" s="100" t="e">
        <f ca="1">IFERROR(__xludf.DUMMYFUNCTION("""COMPUTED_VALUE"""),14519991)</f>
        <v>#NAME?</v>
      </c>
      <c r="B239" s="100" t="e">
        <f ca="1">IFERROR(__xludf.DUMMYFUNCTION("""COMPUTED_VALUE"""),"weetheth")</f>
        <v>#NAME?</v>
      </c>
      <c r="C239" s="100" t="e">
        <f ca="1">IFERROR(__xludf.DUMMYFUNCTION("""COMPUTED_VALUE"""),"1.0538")</f>
        <v>#NAME?</v>
      </c>
      <c r="D239" s="100" t="e">
        <f t="shared" ca="1" si="35"/>
        <v>#NAME?</v>
      </c>
      <c r="E239" s="100" t="e">
        <f t="shared" ca="1" si="35"/>
        <v>#NAME?</v>
      </c>
      <c r="F239" s="100" t="e">
        <f t="shared" ca="1" si="28"/>
        <v>#NAME?</v>
      </c>
      <c r="G239" s="100" t="e">
        <f t="shared" ca="1" si="29"/>
        <v>#NAME?</v>
      </c>
      <c r="H239" s="100" t="e">
        <f t="shared" ca="1" si="30"/>
        <v>#NAME?</v>
      </c>
      <c r="I239" s="100" t="e">
        <f t="shared" ca="1" si="31"/>
        <v>#NAME?</v>
      </c>
      <c r="J239" s="100" t="e">
        <f t="shared" ca="1" si="32"/>
        <v>#NAME?</v>
      </c>
      <c r="K239" s="100" t="e">
        <f t="shared" ca="1" si="33"/>
        <v>#NAME?</v>
      </c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 spans="1:26">
      <c r="A240" s="100" t="e">
        <f ca="1">IFERROR(__xludf.DUMMYFUNCTION("""COMPUTED_VALUE"""),14519992)</f>
        <v>#NAME?</v>
      </c>
      <c r="B240" s="100" t="e">
        <f ca="1">IFERROR(__xludf.DUMMYFUNCTION("""COMPUTED_VALUE"""),"driftusdt")</f>
        <v>#NAME?</v>
      </c>
      <c r="C240" s="100" t="e">
        <f ca="1">IFERROR(__xludf.DUMMYFUNCTION("""COMPUTED_VALUE"""),"0.4969")</f>
        <v>#NAME?</v>
      </c>
      <c r="D240" s="100" t="e">
        <f t="shared" ca="1" si="35"/>
        <v>#NAME?</v>
      </c>
      <c r="E240" s="100" t="e">
        <f t="shared" ca="1" si="35"/>
        <v>#NAME?</v>
      </c>
      <c r="F240" s="100" t="e">
        <f t="shared" ca="1" si="28"/>
        <v>#NAME?</v>
      </c>
      <c r="G240" s="100" t="e">
        <f t="shared" ca="1" si="29"/>
        <v>#NAME?</v>
      </c>
      <c r="H240" s="100" t="e">
        <f t="shared" ca="1" si="30"/>
        <v>#NAME?</v>
      </c>
      <c r="I240" s="100" t="e">
        <f t="shared" ca="1" si="31"/>
        <v>#NAME?</v>
      </c>
      <c r="J240" s="100" t="e">
        <f t="shared" ca="1" si="32"/>
        <v>#NAME?</v>
      </c>
      <c r="K240" s="100" t="e">
        <f t="shared" ca="1" si="33"/>
        <v>#NAME?</v>
      </c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 spans="1:26">
      <c r="A241" s="100" t="e">
        <f ca="1">IFERROR(__xludf.DUMMYFUNCTION("""COMPUTED_VALUE"""),14519993)</f>
        <v>#NAME?</v>
      </c>
      <c r="B241" s="100" t="e">
        <f ca="1">IFERROR(__xludf.DUMMYFUNCTION("""COMPUTED_VALUE"""),"btcusdt")</f>
        <v>#NAME?</v>
      </c>
      <c r="C241" s="100" t="e">
        <f ca="1">IFERROR(__xludf.DUMMYFUNCTION("""COMPUTED_VALUE"""),"88553.99")</f>
        <v>#NAME?</v>
      </c>
      <c r="D241" s="100" t="e">
        <f t="shared" ca="1" si="35"/>
        <v>#NAME?</v>
      </c>
      <c r="E241" s="100" t="e">
        <f t="shared" ca="1" si="35"/>
        <v>#NAME?</v>
      </c>
      <c r="F241" s="100" t="e">
        <f t="shared" ca="1" si="28"/>
        <v>#NAME?</v>
      </c>
      <c r="G241" s="100" t="e">
        <f t="shared" ca="1" si="29"/>
        <v>#NAME?</v>
      </c>
      <c r="H241" s="100" t="e">
        <f t="shared" ca="1" si="30"/>
        <v>#NAME?</v>
      </c>
      <c r="I241" s="100" t="e">
        <f t="shared" ca="1" si="31"/>
        <v>#NAME?</v>
      </c>
      <c r="J241" s="100" t="e">
        <f t="shared" ca="1" si="32"/>
        <v>#NAME?</v>
      </c>
      <c r="K241" s="100" t="e">
        <f t="shared" ca="1" si="33"/>
        <v>#NAME?</v>
      </c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 spans="1:26">
      <c r="A242" s="100" t="e">
        <f ca="1">IFERROR(__xludf.DUMMYFUNCTION("""COMPUTED_VALUE"""),14519994)</f>
        <v>#NAME?</v>
      </c>
      <c r="B242" s="100" t="e">
        <f ca="1">IFERROR(__xludf.DUMMYFUNCTION("""COMPUTED_VALUE"""),"omgusdt")</f>
        <v>#NAME?</v>
      </c>
      <c r="C242" s="100" t="e">
        <f ca="1">IFERROR(__xludf.DUMMYFUNCTION("""COMPUTED_VALUE"""),"0.1905")</f>
        <v>#NAME?</v>
      </c>
      <c r="D242" s="100" t="e">
        <f t="shared" ref="D242:E261" ca="1" si="36">IFERROR(__xludf.DUMMYFUNCTION("""COMPUTED_VALUE"""),"-")</f>
        <v>#NAME?</v>
      </c>
      <c r="E242" s="100" t="e">
        <f t="shared" ca="1" si="36"/>
        <v>#NAME?</v>
      </c>
      <c r="F242" s="100" t="e">
        <f t="shared" ca="1" si="28"/>
        <v>#NAME?</v>
      </c>
      <c r="G242" s="100" t="e">
        <f t="shared" ca="1" si="29"/>
        <v>#NAME?</v>
      </c>
      <c r="H242" s="100" t="e">
        <f t="shared" ca="1" si="30"/>
        <v>#NAME?</v>
      </c>
      <c r="I242" s="100" t="e">
        <f t="shared" ca="1" si="31"/>
        <v>#NAME?</v>
      </c>
      <c r="J242" s="100" t="e">
        <f t="shared" ca="1" si="32"/>
        <v>#NAME?</v>
      </c>
      <c r="K242" s="100" t="e">
        <f t="shared" ca="1" si="33"/>
        <v>#NAME?</v>
      </c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 spans="1:26">
      <c r="A243" s="100" t="e">
        <f ca="1">IFERROR(__xludf.DUMMYFUNCTION("""COMPUTED_VALUE"""),14519995)</f>
        <v>#NAME?</v>
      </c>
      <c r="B243" s="100" t="e">
        <f ca="1">IFERROR(__xludf.DUMMYFUNCTION("""COMPUTED_VALUE"""),"imxusdt")</f>
        <v>#NAME?</v>
      </c>
      <c r="C243" s="100" t="e">
        <f ca="1">IFERROR(__xludf.DUMMYFUNCTION("""COMPUTED_VALUE"""),"0.4587")</f>
        <v>#NAME?</v>
      </c>
      <c r="D243" s="100" t="e">
        <f t="shared" ca="1" si="36"/>
        <v>#NAME?</v>
      </c>
      <c r="E243" s="100" t="e">
        <f t="shared" ca="1" si="36"/>
        <v>#NAME?</v>
      </c>
      <c r="F243" s="100" t="e">
        <f t="shared" ca="1" si="28"/>
        <v>#NAME?</v>
      </c>
      <c r="G243" s="100" t="e">
        <f t="shared" ca="1" si="29"/>
        <v>#NAME?</v>
      </c>
      <c r="H243" s="100" t="e">
        <f t="shared" ca="1" si="30"/>
        <v>#NAME?</v>
      </c>
      <c r="I243" s="100" t="e">
        <f t="shared" ca="1" si="31"/>
        <v>#NAME?</v>
      </c>
      <c r="J243" s="100" t="e">
        <f t="shared" ca="1" si="32"/>
        <v>#NAME?</v>
      </c>
      <c r="K243" s="100" t="e">
        <f t="shared" ca="1" si="33"/>
        <v>#NAME?</v>
      </c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 spans="1:26">
      <c r="A244" s="100" t="e">
        <f ca="1">IFERROR(__xludf.DUMMYFUNCTION("""COMPUTED_VALUE"""),14519996)</f>
        <v>#NAME?</v>
      </c>
      <c r="B244" s="100" t="e">
        <f ca="1">IFERROR(__xludf.DUMMYFUNCTION("""COMPUTED_VALUE"""),"opusdt")</f>
        <v>#NAME?</v>
      </c>
      <c r="C244" s="100" t="e">
        <f ca="1">IFERROR(__xludf.DUMMYFUNCTION("""COMPUTED_VALUE"""),"0.6907")</f>
        <v>#NAME?</v>
      </c>
      <c r="D244" s="100" t="e">
        <f t="shared" ca="1" si="36"/>
        <v>#NAME?</v>
      </c>
      <c r="E244" s="100" t="e">
        <f t="shared" ca="1" si="36"/>
        <v>#NAME?</v>
      </c>
      <c r="F244" s="100" t="e">
        <f t="shared" ca="1" si="28"/>
        <v>#NAME?</v>
      </c>
      <c r="G244" s="100" t="e">
        <f t="shared" ca="1" si="29"/>
        <v>#NAME?</v>
      </c>
      <c r="H244" s="100" t="e">
        <f t="shared" ca="1" si="30"/>
        <v>#NAME?</v>
      </c>
      <c r="I244" s="100" t="e">
        <f t="shared" ca="1" si="31"/>
        <v>#NAME?</v>
      </c>
      <c r="J244" s="100" t="e">
        <f t="shared" ca="1" si="32"/>
        <v>#NAME?</v>
      </c>
      <c r="K244" s="100" t="e">
        <f t="shared" ca="1" si="33"/>
        <v>#NAME?</v>
      </c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 spans="1:26">
      <c r="A245" s="100" t="e">
        <f ca="1">IFERROR(__xludf.DUMMYFUNCTION("""COMPUTED_VALUE"""),14519997)</f>
        <v>#NAME?</v>
      </c>
      <c r="B245" s="100" t="e">
        <f ca="1">IFERROR(__xludf.DUMMYFUNCTION("""COMPUTED_VALUE"""),"dbrusdt")</f>
        <v>#NAME?</v>
      </c>
      <c r="C245" s="100" t="e">
        <f ca="1">IFERROR(__xludf.DUMMYFUNCTION("""COMPUTED_VALUE"""),"0.01491")</f>
        <v>#NAME?</v>
      </c>
      <c r="D245" s="100" t="e">
        <f t="shared" ca="1" si="36"/>
        <v>#NAME?</v>
      </c>
      <c r="E245" s="100" t="e">
        <f t="shared" ca="1" si="36"/>
        <v>#NAME?</v>
      </c>
      <c r="F245" s="100" t="e">
        <f t="shared" ca="1" si="28"/>
        <v>#NAME?</v>
      </c>
      <c r="G245" s="100" t="e">
        <f t="shared" ca="1" si="29"/>
        <v>#NAME?</v>
      </c>
      <c r="H245" s="100" t="e">
        <f t="shared" ca="1" si="30"/>
        <v>#NAME?</v>
      </c>
      <c r="I245" s="100" t="e">
        <f t="shared" ca="1" si="31"/>
        <v>#NAME?</v>
      </c>
      <c r="J245" s="100" t="e">
        <f t="shared" ca="1" si="32"/>
        <v>#NAME?</v>
      </c>
      <c r="K245" s="100" t="e">
        <f t="shared" ca="1" si="33"/>
        <v>#NAME?</v>
      </c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 spans="1:26">
      <c r="A246" s="100" t="e">
        <f ca="1">IFERROR(__xludf.DUMMYFUNCTION("""COMPUTED_VALUE"""),14519998)</f>
        <v>#NAME?</v>
      </c>
      <c r="B246" s="100" t="e">
        <f ca="1">IFERROR(__xludf.DUMMYFUNCTION("""COMPUTED_VALUE"""),"goatusdt")</f>
        <v>#NAME?</v>
      </c>
      <c r="C246" s="100" t="e">
        <f ca="1">IFERROR(__xludf.DUMMYFUNCTION("""COMPUTED_VALUE"""),"0.0553")</f>
        <v>#NAME?</v>
      </c>
      <c r="D246" s="100" t="e">
        <f t="shared" ca="1" si="36"/>
        <v>#NAME?</v>
      </c>
      <c r="E246" s="100" t="e">
        <f t="shared" ca="1" si="36"/>
        <v>#NAME?</v>
      </c>
      <c r="F246" s="100" t="e">
        <f t="shared" ca="1" si="28"/>
        <v>#NAME?</v>
      </c>
      <c r="G246" s="100" t="e">
        <f t="shared" ca="1" si="29"/>
        <v>#NAME?</v>
      </c>
      <c r="H246" s="100" t="e">
        <f t="shared" ca="1" si="30"/>
        <v>#NAME?</v>
      </c>
      <c r="I246" s="100" t="e">
        <f t="shared" ca="1" si="31"/>
        <v>#NAME?</v>
      </c>
      <c r="J246" s="100" t="e">
        <f t="shared" ca="1" si="32"/>
        <v>#NAME?</v>
      </c>
      <c r="K246" s="100" t="e">
        <f t="shared" ca="1" si="33"/>
        <v>#NAME?</v>
      </c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 spans="1:26">
      <c r="A247" s="100" t="e">
        <f ca="1">IFERROR(__xludf.DUMMYFUNCTION("""COMPUTED_VALUE"""),14519999)</f>
        <v>#NAME?</v>
      </c>
      <c r="B247" s="100" t="e">
        <f ca="1">IFERROR(__xludf.DUMMYFUNCTION("""COMPUTED_VALUE"""),"navxusdt")</f>
        <v>#NAME?</v>
      </c>
      <c r="C247" s="100" t="e">
        <f ca="1">IFERROR(__xludf.DUMMYFUNCTION("""COMPUTED_VALUE"""),"0.041292")</f>
        <v>#NAME?</v>
      </c>
      <c r="D247" s="100" t="e">
        <f t="shared" ca="1" si="36"/>
        <v>#NAME?</v>
      </c>
      <c r="E247" s="100" t="e">
        <f t="shared" ca="1" si="36"/>
        <v>#NAME?</v>
      </c>
      <c r="F247" s="100" t="e">
        <f t="shared" ca="1" si="28"/>
        <v>#NAME?</v>
      </c>
      <c r="G247" s="100" t="e">
        <f t="shared" ca="1" si="29"/>
        <v>#NAME?</v>
      </c>
      <c r="H247" s="100" t="e">
        <f t="shared" ca="1" si="30"/>
        <v>#NAME?</v>
      </c>
      <c r="I247" s="100" t="e">
        <f t="shared" ca="1" si="31"/>
        <v>#NAME?</v>
      </c>
      <c r="J247" s="100" t="e">
        <f t="shared" ca="1" si="32"/>
        <v>#NAME?</v>
      </c>
      <c r="K247" s="100" t="e">
        <f t="shared" ca="1" si="33"/>
        <v>#NAME?</v>
      </c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 spans="1:26">
      <c r="A248" s="100" t="e">
        <f ca="1">IFERROR(__xludf.DUMMYFUNCTION("""COMPUTED_VALUE"""),14520000)</f>
        <v>#NAME?</v>
      </c>
      <c r="B248" s="100" t="e">
        <f ca="1">IFERROR(__xludf.DUMMYFUNCTION("""COMPUTED_VALUE"""),"ethwusdt")</f>
        <v>#NAME?</v>
      </c>
      <c r="C248" s="100" t="e">
        <f ca="1">IFERROR(__xludf.DUMMYFUNCTION("""COMPUTED_VALUE"""),"1.3059")</f>
        <v>#NAME?</v>
      </c>
      <c r="D248" s="100" t="e">
        <f t="shared" ca="1" si="36"/>
        <v>#NAME?</v>
      </c>
      <c r="E248" s="100" t="e">
        <f t="shared" ca="1" si="36"/>
        <v>#NAME?</v>
      </c>
      <c r="F248" s="100" t="e">
        <f t="shared" ca="1" si="28"/>
        <v>#NAME?</v>
      </c>
      <c r="G248" s="100" t="e">
        <f t="shared" ca="1" si="29"/>
        <v>#NAME?</v>
      </c>
      <c r="H248" s="100" t="e">
        <f t="shared" ca="1" si="30"/>
        <v>#NAME?</v>
      </c>
      <c r="I248" s="100" t="e">
        <f t="shared" ca="1" si="31"/>
        <v>#NAME?</v>
      </c>
      <c r="J248" s="100" t="e">
        <f t="shared" ca="1" si="32"/>
        <v>#NAME?</v>
      </c>
      <c r="K248" s="100" t="e">
        <f t="shared" ca="1" si="33"/>
        <v>#NAME?</v>
      </c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 spans="1:26">
      <c r="A249" s="100" t="e">
        <f ca="1">IFERROR(__xludf.DUMMYFUNCTION("""COMPUTED_VALUE"""),14520001)</f>
        <v>#NAME?</v>
      </c>
      <c r="B249" s="100" t="e">
        <f ca="1">IFERROR(__xludf.DUMMYFUNCTION("""COMPUTED_VALUE"""),"opulusdt")</f>
        <v>#NAME?</v>
      </c>
      <c r="C249" s="100" t="e">
        <f ca="1">IFERROR(__xludf.DUMMYFUNCTION("""COMPUTED_VALUE"""),"0.024")</f>
        <v>#NAME?</v>
      </c>
      <c r="D249" s="100" t="e">
        <f t="shared" ca="1" si="36"/>
        <v>#NAME?</v>
      </c>
      <c r="E249" s="100" t="e">
        <f t="shared" ca="1" si="36"/>
        <v>#NAME?</v>
      </c>
      <c r="F249" s="100" t="e">
        <f t="shared" ca="1" si="28"/>
        <v>#NAME?</v>
      </c>
      <c r="G249" s="100" t="e">
        <f t="shared" ca="1" si="29"/>
        <v>#NAME?</v>
      </c>
      <c r="H249" s="100" t="e">
        <f t="shared" ca="1" si="30"/>
        <v>#NAME?</v>
      </c>
      <c r="I249" s="100" t="e">
        <f t="shared" ca="1" si="31"/>
        <v>#NAME?</v>
      </c>
      <c r="J249" s="100" t="e">
        <f t="shared" ca="1" si="32"/>
        <v>#NAME?</v>
      </c>
      <c r="K249" s="100" t="e">
        <f t="shared" ca="1" si="33"/>
        <v>#NAME?</v>
      </c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 spans="1:26">
      <c r="A250" s="100" t="e">
        <f ca="1">IFERROR(__xludf.DUMMYFUNCTION("""COMPUTED_VALUE"""),14520002)</f>
        <v>#NAME?</v>
      </c>
      <c r="B250" s="100" t="e">
        <f ca="1">IFERROR(__xludf.DUMMYFUNCTION("""COMPUTED_VALUE"""),"fisusdt")</f>
        <v>#NAME?</v>
      </c>
      <c r="C250" s="100" t="e">
        <f ca="1">IFERROR(__xludf.DUMMYFUNCTION("""COMPUTED_VALUE"""),"0.1398")</f>
        <v>#NAME?</v>
      </c>
      <c r="D250" s="100" t="e">
        <f t="shared" ca="1" si="36"/>
        <v>#NAME?</v>
      </c>
      <c r="E250" s="100" t="e">
        <f t="shared" ca="1" si="36"/>
        <v>#NAME?</v>
      </c>
      <c r="F250" s="100" t="e">
        <f t="shared" ca="1" si="28"/>
        <v>#NAME?</v>
      </c>
      <c r="G250" s="100" t="e">
        <f t="shared" ca="1" si="29"/>
        <v>#NAME?</v>
      </c>
      <c r="H250" s="100" t="e">
        <f t="shared" ca="1" si="30"/>
        <v>#NAME?</v>
      </c>
      <c r="I250" s="100" t="e">
        <f t="shared" ca="1" si="31"/>
        <v>#NAME?</v>
      </c>
      <c r="J250" s="100" t="e">
        <f t="shared" ca="1" si="32"/>
        <v>#NAME?</v>
      </c>
      <c r="K250" s="100" t="e">
        <f t="shared" ca="1" si="33"/>
        <v>#NAME?</v>
      </c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 spans="1:26">
      <c r="A251" s="100" t="e">
        <f ca="1">IFERROR(__xludf.DUMMYFUNCTION("""COMPUTED_VALUE"""),14520003)</f>
        <v>#NAME?</v>
      </c>
      <c r="B251" s="100" t="e">
        <f ca="1">IFERROR(__xludf.DUMMYFUNCTION("""COMPUTED_VALUE"""),"btcusdc")</f>
        <v>#NAME?</v>
      </c>
      <c r="C251" s="100" t="e">
        <f ca="1">IFERROR(__xludf.DUMMYFUNCTION("""COMPUTED_VALUE"""),"88572.06")</f>
        <v>#NAME?</v>
      </c>
      <c r="D251" s="100" t="e">
        <f t="shared" ca="1" si="36"/>
        <v>#NAME?</v>
      </c>
      <c r="E251" s="100" t="e">
        <f t="shared" ca="1" si="36"/>
        <v>#NAME?</v>
      </c>
      <c r="F251" s="100" t="e">
        <f t="shared" ca="1" si="28"/>
        <v>#NAME?</v>
      </c>
      <c r="G251" s="100" t="e">
        <f t="shared" ca="1" si="29"/>
        <v>#NAME?</v>
      </c>
      <c r="H251" s="100" t="e">
        <f t="shared" ca="1" si="30"/>
        <v>#NAME?</v>
      </c>
      <c r="I251" s="100" t="e">
        <f t="shared" ca="1" si="31"/>
        <v>#NAME?</v>
      </c>
      <c r="J251" s="100" t="e">
        <f t="shared" ca="1" si="32"/>
        <v>#NAME?</v>
      </c>
      <c r="K251" s="100" t="e">
        <f t="shared" ca="1" si="33"/>
        <v>#NAME?</v>
      </c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 spans="1:26">
      <c r="A252" s="100" t="e">
        <f ca="1">IFERROR(__xludf.DUMMYFUNCTION("""COMPUTED_VALUE"""),14520004)</f>
        <v>#NAME?</v>
      </c>
      <c r="B252" s="100" t="e">
        <f ca="1">IFERROR(__xludf.DUMMYFUNCTION("""COMPUTED_VALUE"""),"btcusdd")</f>
        <v>#NAME?</v>
      </c>
      <c r="C252" s="100" t="e">
        <f ca="1">IFERROR(__xludf.DUMMYFUNCTION("""COMPUTED_VALUE"""),"88514.22")</f>
        <v>#NAME?</v>
      </c>
      <c r="D252" s="100" t="e">
        <f t="shared" ca="1" si="36"/>
        <v>#NAME?</v>
      </c>
      <c r="E252" s="100" t="e">
        <f t="shared" ca="1" si="36"/>
        <v>#NAME?</v>
      </c>
      <c r="F252" s="100" t="e">
        <f t="shared" ca="1" si="28"/>
        <v>#NAME?</v>
      </c>
      <c r="G252" s="100" t="e">
        <f t="shared" ca="1" si="29"/>
        <v>#NAME?</v>
      </c>
      <c r="H252" s="100" t="e">
        <f t="shared" ca="1" si="30"/>
        <v>#NAME?</v>
      </c>
      <c r="I252" s="100" t="e">
        <f t="shared" ca="1" si="31"/>
        <v>#NAME?</v>
      </c>
      <c r="J252" s="100" t="e">
        <f t="shared" ca="1" si="32"/>
        <v>#NAME?</v>
      </c>
      <c r="K252" s="100" t="e">
        <f t="shared" ca="1" si="33"/>
        <v>#NAME?</v>
      </c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 spans="1:26">
      <c r="A253" s="100" t="e">
        <f ca="1">IFERROR(__xludf.DUMMYFUNCTION("""COMPUTED_VALUE"""),14520005)</f>
        <v>#NAME?</v>
      </c>
      <c r="B253" s="100" t="e">
        <f ca="1">IFERROR(__xludf.DUMMYFUNCTION("""COMPUTED_VALUE"""),"turtusdt")</f>
        <v>#NAME?</v>
      </c>
      <c r="C253" s="100" t="e">
        <f ca="1">IFERROR(__xludf.DUMMYFUNCTION("""COMPUTED_VALUE"""),"0.000253")</f>
        <v>#NAME?</v>
      </c>
      <c r="D253" s="100" t="e">
        <f t="shared" ca="1" si="36"/>
        <v>#NAME?</v>
      </c>
      <c r="E253" s="100" t="e">
        <f t="shared" ca="1" si="36"/>
        <v>#NAME?</v>
      </c>
      <c r="F253" s="100" t="e">
        <f t="shared" ca="1" si="28"/>
        <v>#NAME?</v>
      </c>
      <c r="G253" s="100" t="e">
        <f t="shared" ca="1" si="29"/>
        <v>#NAME?</v>
      </c>
      <c r="H253" s="100" t="e">
        <f t="shared" ca="1" si="30"/>
        <v>#NAME?</v>
      </c>
      <c r="I253" s="100" t="e">
        <f t="shared" ca="1" si="31"/>
        <v>#NAME?</v>
      </c>
      <c r="J253" s="100" t="e">
        <f t="shared" ca="1" si="32"/>
        <v>#NAME?</v>
      </c>
      <c r="K253" s="100" t="e">
        <f t="shared" ca="1" si="33"/>
        <v>#NAME?</v>
      </c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 spans="1:26">
      <c r="A254" s="100" t="e">
        <f ca="1">IFERROR(__xludf.DUMMYFUNCTION("""COMPUTED_VALUE"""),14520006)</f>
        <v>#NAME?</v>
      </c>
      <c r="B254" s="100" t="e">
        <f ca="1">IFERROR(__xludf.DUMMYFUNCTION("""COMPUTED_VALUE"""),"tutusdt")</f>
        <v>#NAME?</v>
      </c>
      <c r="C254" s="100" t="e">
        <f ca="1">IFERROR(__xludf.DUMMYFUNCTION("""COMPUTED_VALUE"""),"0.025028")</f>
        <v>#NAME?</v>
      </c>
      <c r="D254" s="100" t="e">
        <f t="shared" ca="1" si="36"/>
        <v>#NAME?</v>
      </c>
      <c r="E254" s="100" t="e">
        <f t="shared" ca="1" si="36"/>
        <v>#NAME?</v>
      </c>
      <c r="F254" s="100" t="e">
        <f t="shared" ca="1" si="28"/>
        <v>#NAME?</v>
      </c>
      <c r="G254" s="100" t="e">
        <f t="shared" ca="1" si="29"/>
        <v>#NAME?</v>
      </c>
      <c r="H254" s="100" t="e">
        <f t="shared" ca="1" si="30"/>
        <v>#NAME?</v>
      </c>
      <c r="I254" s="100" t="e">
        <f t="shared" ca="1" si="31"/>
        <v>#NAME?</v>
      </c>
      <c r="J254" s="100" t="e">
        <f t="shared" ca="1" si="32"/>
        <v>#NAME?</v>
      </c>
      <c r="K254" s="100" t="e">
        <f t="shared" ca="1" si="33"/>
        <v>#NAME?</v>
      </c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 spans="1:26">
      <c r="A255" s="100" t="e">
        <f ca="1">IFERROR(__xludf.DUMMYFUNCTION("""COMPUTED_VALUE"""),14520007)</f>
        <v>#NAME?</v>
      </c>
      <c r="B255" s="100" t="e">
        <f ca="1">IFERROR(__xludf.DUMMYFUNCTION("""COMPUTED_VALUE"""),"porkusdt")</f>
        <v>#NAME?</v>
      </c>
      <c r="C255" s="100" t="e">
        <f ca="1">IFERROR(__xludf.DUMMYFUNCTION("""COMPUTED_VALUE"""),"3.24e-08")</f>
        <v>#NAME?</v>
      </c>
      <c r="D255" s="100" t="e">
        <f t="shared" ca="1" si="36"/>
        <v>#NAME?</v>
      </c>
      <c r="E255" s="100" t="e">
        <f t="shared" ca="1" si="36"/>
        <v>#NAME?</v>
      </c>
      <c r="F255" s="100" t="e">
        <f t="shared" ca="1" si="28"/>
        <v>#NAME?</v>
      </c>
      <c r="G255" s="100" t="e">
        <f t="shared" ca="1" si="29"/>
        <v>#NAME?</v>
      </c>
      <c r="H255" s="100" t="e">
        <f t="shared" ca="1" si="30"/>
        <v>#NAME?</v>
      </c>
      <c r="I255" s="100" t="e">
        <f t="shared" ca="1" si="31"/>
        <v>#NAME?</v>
      </c>
      <c r="J255" s="100" t="e">
        <f t="shared" ca="1" si="32"/>
        <v>#NAME?</v>
      </c>
      <c r="K255" s="100" t="e">
        <f t="shared" ca="1" si="33"/>
        <v>#NAME?</v>
      </c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 spans="1:26">
      <c r="A256" s="100" t="e">
        <f ca="1">IFERROR(__xludf.DUMMYFUNCTION("""COMPUTED_VALUE"""),14520008)</f>
        <v>#NAME?</v>
      </c>
      <c r="B256" s="100" t="e">
        <f ca="1">IFERROR(__xludf.DUMMYFUNCTION("""COMPUTED_VALUE"""),"elfeth")</f>
        <v>#NAME?</v>
      </c>
      <c r="C256" s="100" t="e">
        <f ca="1">IFERROR(__xludf.DUMMYFUNCTION("""COMPUTED_VALUE"""),"0.00013887")</f>
        <v>#NAME?</v>
      </c>
      <c r="D256" s="100" t="e">
        <f t="shared" ca="1" si="36"/>
        <v>#NAME?</v>
      </c>
      <c r="E256" s="100" t="e">
        <f t="shared" ca="1" si="36"/>
        <v>#NAME?</v>
      </c>
      <c r="F256" s="100" t="e">
        <f t="shared" ca="1" si="28"/>
        <v>#NAME?</v>
      </c>
      <c r="G256" s="100" t="e">
        <f t="shared" ca="1" si="29"/>
        <v>#NAME?</v>
      </c>
      <c r="H256" s="100" t="e">
        <f t="shared" ca="1" si="30"/>
        <v>#NAME?</v>
      </c>
      <c r="I256" s="100" t="e">
        <f t="shared" ca="1" si="31"/>
        <v>#NAME?</v>
      </c>
      <c r="J256" s="100" t="e">
        <f t="shared" ca="1" si="32"/>
        <v>#NAME?</v>
      </c>
      <c r="K256" s="100" t="e">
        <f t="shared" ca="1" si="33"/>
        <v>#NAME?</v>
      </c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 spans="1:26">
      <c r="A257" s="100" t="e">
        <f ca="1">IFERROR(__xludf.DUMMYFUNCTION("""COMPUTED_VALUE"""),14520009)</f>
        <v>#NAME?</v>
      </c>
      <c r="B257" s="100" t="e">
        <f ca="1">IFERROR(__xludf.DUMMYFUNCTION("""COMPUTED_VALUE"""),"xzkusdt")</f>
        <v>#NAME?</v>
      </c>
      <c r="C257" s="100" t="e">
        <f ca="1">IFERROR(__xludf.DUMMYFUNCTION("""COMPUTED_VALUE"""),"0.00825")</f>
        <v>#NAME?</v>
      </c>
      <c r="D257" s="100" t="e">
        <f t="shared" ca="1" si="36"/>
        <v>#NAME?</v>
      </c>
      <c r="E257" s="100" t="e">
        <f t="shared" ca="1" si="36"/>
        <v>#NAME?</v>
      </c>
      <c r="F257" s="100" t="e">
        <f t="shared" ca="1" si="28"/>
        <v>#NAME?</v>
      </c>
      <c r="G257" s="100" t="e">
        <f t="shared" ca="1" si="29"/>
        <v>#NAME?</v>
      </c>
      <c r="H257" s="100" t="e">
        <f t="shared" ca="1" si="30"/>
        <v>#NAME?</v>
      </c>
      <c r="I257" s="100" t="e">
        <f t="shared" ca="1" si="31"/>
        <v>#NAME?</v>
      </c>
      <c r="J257" s="100" t="e">
        <f t="shared" ca="1" si="32"/>
        <v>#NAME?</v>
      </c>
      <c r="K257" s="100" t="e">
        <f t="shared" ca="1" si="33"/>
        <v>#NAME?</v>
      </c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 spans="1:26">
      <c r="A258" s="100" t="e">
        <f ca="1">IFERROR(__xludf.DUMMYFUNCTION("""COMPUTED_VALUE"""),14520010)</f>
        <v>#NAME?</v>
      </c>
      <c r="B258" s="100" t="e">
        <f ca="1">IFERROR(__xludf.DUMMYFUNCTION("""COMPUTED_VALUE"""),"blastusdt")</f>
        <v>#NAME?</v>
      </c>
      <c r="C258" s="100" t="e">
        <f ca="1">IFERROR(__xludf.DUMMYFUNCTION("""COMPUTED_VALUE"""),"0.002998")</f>
        <v>#NAME?</v>
      </c>
      <c r="D258" s="100" t="e">
        <f t="shared" ca="1" si="36"/>
        <v>#NAME?</v>
      </c>
      <c r="E258" s="100" t="e">
        <f t="shared" ca="1" si="36"/>
        <v>#NAME?</v>
      </c>
      <c r="F258" s="100" t="e">
        <f t="shared" ref="F258:F321" ca="1" si="37">IFERROR(__xludf.DUMMYFUNCTION("""COMPUTED_VALUE"""),20200)</f>
        <v>#NAME?</v>
      </c>
      <c r="G258" s="100" t="e">
        <f t="shared" ref="G258:G321" ca="1" si="38">IFERROR(__xludf.DUMMYFUNCTION("""COMPUTED_VALUE"""),2885)</f>
        <v>#NAME?</v>
      </c>
      <c r="H258" s="100" t="e">
        <f t="shared" ref="H258:H321" ca="1" si="39">IFERROR(__xludf.DUMMYFUNCTION("""COMPUTED_VALUE"""),663)</f>
        <v>#NAME?</v>
      </c>
      <c r="I258" s="100" t="e">
        <f t="shared" ref="I258:I321" ca="1" si="40">IFERROR(__xludf.DUMMYFUNCTION("""COMPUTED_VALUE"""),5817721)</f>
        <v>#NAME?</v>
      </c>
      <c r="J258" s="100" t="e">
        <f t="shared" ref="J258:J321" ca="1" si="41">IFERROR(__xludf.DUMMYFUNCTION("""COMPUTED_VALUE"""),"-")</f>
        <v>#NAME?</v>
      </c>
      <c r="K258" s="100" t="e">
        <f t="shared" ref="K258:K321" ca="1" si="42">IFERROR(__xludf.DUMMYFUNCTION("""COMPUTED_VALUE"""),"22.04.2025 13:05:01")</f>
        <v>#NAME?</v>
      </c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 spans="1:26">
      <c r="A259" s="100" t="e">
        <f ca="1">IFERROR(__xludf.DUMMYFUNCTION("""COMPUTED_VALUE"""),14520011)</f>
        <v>#NAME?</v>
      </c>
      <c r="B259" s="100" t="e">
        <f ca="1">IFERROR(__xludf.DUMMYFUNCTION("""COMPUTED_VALUE"""),"apeusdt")</f>
        <v>#NAME?</v>
      </c>
      <c r="C259" s="100" t="e">
        <f ca="1">IFERROR(__xludf.DUMMYFUNCTION("""COMPUTED_VALUE"""),"0.4618")</f>
        <v>#NAME?</v>
      </c>
      <c r="D259" s="100" t="e">
        <f t="shared" ca="1" si="36"/>
        <v>#NAME?</v>
      </c>
      <c r="E259" s="100" t="e">
        <f t="shared" ca="1" si="36"/>
        <v>#NAME?</v>
      </c>
      <c r="F259" s="100" t="e">
        <f t="shared" ca="1" si="37"/>
        <v>#NAME?</v>
      </c>
      <c r="G259" s="100" t="e">
        <f t="shared" ca="1" si="38"/>
        <v>#NAME?</v>
      </c>
      <c r="H259" s="100" t="e">
        <f t="shared" ca="1" si="39"/>
        <v>#NAME?</v>
      </c>
      <c r="I259" s="100" t="e">
        <f t="shared" ca="1" si="40"/>
        <v>#NAME?</v>
      </c>
      <c r="J259" s="100" t="e">
        <f t="shared" ca="1" si="41"/>
        <v>#NAME?</v>
      </c>
      <c r="K259" s="100" t="e">
        <f t="shared" ca="1" si="42"/>
        <v>#NAME?</v>
      </c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 spans="1:26">
      <c r="A260" s="100" t="e">
        <f ca="1">IFERROR(__xludf.DUMMYFUNCTION("""COMPUTED_VALUE"""),14520012)</f>
        <v>#NAME?</v>
      </c>
      <c r="B260" s="100" t="e">
        <f ca="1">IFERROR(__xludf.DUMMYFUNCTION("""COMPUTED_VALUE"""),"merlusdt")</f>
        <v>#NAME?</v>
      </c>
      <c r="C260" s="100" t="e">
        <f ca="1">IFERROR(__xludf.DUMMYFUNCTION("""COMPUTED_VALUE"""),"0.08")</f>
        <v>#NAME?</v>
      </c>
      <c r="D260" s="100" t="e">
        <f t="shared" ca="1" si="36"/>
        <v>#NAME?</v>
      </c>
      <c r="E260" s="100" t="e">
        <f t="shared" ca="1" si="36"/>
        <v>#NAME?</v>
      </c>
      <c r="F260" s="100" t="e">
        <f t="shared" ca="1" si="37"/>
        <v>#NAME?</v>
      </c>
      <c r="G260" s="100" t="e">
        <f t="shared" ca="1" si="38"/>
        <v>#NAME?</v>
      </c>
      <c r="H260" s="100" t="e">
        <f t="shared" ca="1" si="39"/>
        <v>#NAME?</v>
      </c>
      <c r="I260" s="100" t="e">
        <f t="shared" ca="1" si="40"/>
        <v>#NAME?</v>
      </c>
      <c r="J260" s="100" t="e">
        <f t="shared" ca="1" si="41"/>
        <v>#NAME?</v>
      </c>
      <c r="K260" s="100" t="e">
        <f t="shared" ca="1" si="42"/>
        <v>#NAME?</v>
      </c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 spans="1:26">
      <c r="A261" s="100" t="e">
        <f ca="1">IFERROR(__xludf.DUMMYFUNCTION("""COMPUTED_VALUE"""),14520013)</f>
        <v>#NAME?</v>
      </c>
      <c r="B261" s="100" t="e">
        <f ca="1">IFERROR(__xludf.DUMMYFUNCTION("""COMPUTED_VALUE"""),"pondusdt")</f>
        <v>#NAME?</v>
      </c>
      <c r="C261" s="100" t="e">
        <f ca="1">IFERROR(__xludf.DUMMYFUNCTION("""COMPUTED_VALUE"""),"0.008551")</f>
        <v>#NAME?</v>
      </c>
      <c r="D261" s="100" t="e">
        <f t="shared" ca="1" si="36"/>
        <v>#NAME?</v>
      </c>
      <c r="E261" s="100" t="e">
        <f t="shared" ca="1" si="36"/>
        <v>#NAME?</v>
      </c>
      <c r="F261" s="100" t="e">
        <f t="shared" ca="1" si="37"/>
        <v>#NAME?</v>
      </c>
      <c r="G261" s="100" t="e">
        <f t="shared" ca="1" si="38"/>
        <v>#NAME?</v>
      </c>
      <c r="H261" s="100" t="e">
        <f t="shared" ca="1" si="39"/>
        <v>#NAME?</v>
      </c>
      <c r="I261" s="100" t="e">
        <f t="shared" ca="1" si="40"/>
        <v>#NAME?</v>
      </c>
      <c r="J261" s="100" t="e">
        <f t="shared" ca="1" si="41"/>
        <v>#NAME?</v>
      </c>
      <c r="K261" s="100" t="e">
        <f t="shared" ca="1" si="42"/>
        <v>#NAME?</v>
      </c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 spans="1:26">
      <c r="A262" s="100" t="e">
        <f ca="1">IFERROR(__xludf.DUMMYFUNCTION("""COMPUTED_VALUE"""),14520014)</f>
        <v>#NAME?</v>
      </c>
      <c r="B262" s="100" t="e">
        <f ca="1">IFERROR(__xludf.DUMMYFUNCTION("""COMPUTED_VALUE"""),"balusdt")</f>
        <v>#NAME?</v>
      </c>
      <c r="C262" s="100" t="e">
        <f ca="1">IFERROR(__xludf.DUMMYFUNCTION("""COMPUTED_VALUE"""),"0.9214")</f>
        <v>#NAME?</v>
      </c>
      <c r="D262" s="100" t="e">
        <f t="shared" ref="D262:E281" ca="1" si="43">IFERROR(__xludf.DUMMYFUNCTION("""COMPUTED_VALUE"""),"-")</f>
        <v>#NAME?</v>
      </c>
      <c r="E262" s="100" t="e">
        <f t="shared" ca="1" si="43"/>
        <v>#NAME?</v>
      </c>
      <c r="F262" s="100" t="e">
        <f t="shared" ca="1" si="37"/>
        <v>#NAME?</v>
      </c>
      <c r="G262" s="100" t="e">
        <f t="shared" ca="1" si="38"/>
        <v>#NAME?</v>
      </c>
      <c r="H262" s="100" t="e">
        <f t="shared" ca="1" si="39"/>
        <v>#NAME?</v>
      </c>
      <c r="I262" s="100" t="e">
        <f t="shared" ca="1" si="40"/>
        <v>#NAME?</v>
      </c>
      <c r="J262" s="100" t="e">
        <f t="shared" ca="1" si="41"/>
        <v>#NAME?</v>
      </c>
      <c r="K262" s="100" t="e">
        <f t="shared" ca="1" si="42"/>
        <v>#NAME?</v>
      </c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 spans="1:26">
      <c r="A263" s="100" t="e">
        <f ca="1">IFERROR(__xludf.DUMMYFUNCTION("""COMPUTED_VALUE"""),14520015)</f>
        <v>#NAME?</v>
      </c>
      <c r="B263" s="100" t="e">
        <f ca="1">IFERROR(__xludf.DUMMYFUNCTION("""COMPUTED_VALUE"""),"iotausdt")</f>
        <v>#NAME?</v>
      </c>
      <c r="C263" s="100" t="e">
        <f ca="1">IFERROR(__xludf.DUMMYFUNCTION("""COMPUTED_VALUE"""),"0.1718")</f>
        <v>#NAME?</v>
      </c>
      <c r="D263" s="100" t="e">
        <f t="shared" ca="1" si="43"/>
        <v>#NAME?</v>
      </c>
      <c r="E263" s="100" t="e">
        <f t="shared" ca="1" si="43"/>
        <v>#NAME?</v>
      </c>
      <c r="F263" s="100" t="e">
        <f t="shared" ca="1" si="37"/>
        <v>#NAME?</v>
      </c>
      <c r="G263" s="100" t="e">
        <f t="shared" ca="1" si="38"/>
        <v>#NAME?</v>
      </c>
      <c r="H263" s="100" t="e">
        <f t="shared" ca="1" si="39"/>
        <v>#NAME?</v>
      </c>
      <c r="I263" s="100" t="e">
        <f t="shared" ca="1" si="40"/>
        <v>#NAME?</v>
      </c>
      <c r="J263" s="100" t="e">
        <f t="shared" ca="1" si="41"/>
        <v>#NAME?</v>
      </c>
      <c r="K263" s="100" t="e">
        <f t="shared" ca="1" si="42"/>
        <v>#NAME?</v>
      </c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 spans="1:26">
      <c r="A264" s="100" t="e">
        <f ca="1">IFERROR(__xludf.DUMMYFUNCTION("""COMPUTED_VALUE"""),14520016)</f>
        <v>#NAME?</v>
      </c>
      <c r="B264" s="100" t="e">
        <f ca="1">IFERROR(__xludf.DUMMYFUNCTION("""COMPUTED_VALUE"""),"voxelusdt")</f>
        <v>#NAME?</v>
      </c>
      <c r="C264" s="100" t="e">
        <f ca="1">IFERROR(__xludf.DUMMYFUNCTION("""COMPUTED_VALUE"""),"0.0636")</f>
        <v>#NAME?</v>
      </c>
      <c r="D264" s="100" t="e">
        <f t="shared" ca="1" si="43"/>
        <v>#NAME?</v>
      </c>
      <c r="E264" s="100" t="e">
        <f t="shared" ca="1" si="43"/>
        <v>#NAME?</v>
      </c>
      <c r="F264" s="100" t="e">
        <f t="shared" ca="1" si="37"/>
        <v>#NAME?</v>
      </c>
      <c r="G264" s="100" t="e">
        <f t="shared" ca="1" si="38"/>
        <v>#NAME?</v>
      </c>
      <c r="H264" s="100" t="e">
        <f t="shared" ca="1" si="39"/>
        <v>#NAME?</v>
      </c>
      <c r="I264" s="100" t="e">
        <f t="shared" ca="1" si="40"/>
        <v>#NAME?</v>
      </c>
      <c r="J264" s="100" t="e">
        <f t="shared" ca="1" si="41"/>
        <v>#NAME?</v>
      </c>
      <c r="K264" s="100" t="e">
        <f t="shared" ca="1" si="42"/>
        <v>#NAME?</v>
      </c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 spans="1:26">
      <c r="A265" s="100" t="e">
        <f ca="1">IFERROR(__xludf.DUMMYFUNCTION("""COMPUTED_VALUE"""),14520017)</f>
        <v>#NAME?</v>
      </c>
      <c r="B265" s="100" t="e">
        <f ca="1">IFERROR(__xludf.DUMMYFUNCTION("""COMPUTED_VALUE"""),"mtlusdt")</f>
        <v>#NAME?</v>
      </c>
      <c r="C265" s="100" t="e">
        <f ca="1">IFERROR(__xludf.DUMMYFUNCTION("""COMPUTED_VALUE"""),"0.799")</f>
        <v>#NAME?</v>
      </c>
      <c r="D265" s="100" t="e">
        <f t="shared" ca="1" si="43"/>
        <v>#NAME?</v>
      </c>
      <c r="E265" s="100" t="e">
        <f t="shared" ca="1" si="43"/>
        <v>#NAME?</v>
      </c>
      <c r="F265" s="100" t="e">
        <f t="shared" ca="1" si="37"/>
        <v>#NAME?</v>
      </c>
      <c r="G265" s="100" t="e">
        <f t="shared" ca="1" si="38"/>
        <v>#NAME?</v>
      </c>
      <c r="H265" s="100" t="e">
        <f t="shared" ca="1" si="39"/>
        <v>#NAME?</v>
      </c>
      <c r="I265" s="100" t="e">
        <f t="shared" ca="1" si="40"/>
        <v>#NAME?</v>
      </c>
      <c r="J265" s="100" t="e">
        <f t="shared" ca="1" si="41"/>
        <v>#NAME?</v>
      </c>
      <c r="K265" s="100" t="e">
        <f t="shared" ca="1" si="42"/>
        <v>#NAME?</v>
      </c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 spans="1:26">
      <c r="A266" s="100" t="e">
        <f ca="1">IFERROR(__xludf.DUMMYFUNCTION("""COMPUTED_VALUE"""),14520018)</f>
        <v>#NAME?</v>
      </c>
      <c r="B266" s="100" t="e">
        <f ca="1">IFERROR(__xludf.DUMMYFUNCTION("""COMPUTED_VALUE"""),"altusdt")</f>
        <v>#NAME?</v>
      </c>
      <c r="C266" s="100" t="e">
        <f ca="1">IFERROR(__xludf.DUMMYFUNCTION("""COMPUTED_VALUE"""),"0.02856")</f>
        <v>#NAME?</v>
      </c>
      <c r="D266" s="100" t="e">
        <f t="shared" ca="1" si="43"/>
        <v>#NAME?</v>
      </c>
      <c r="E266" s="100" t="e">
        <f t="shared" ca="1" si="43"/>
        <v>#NAME?</v>
      </c>
      <c r="F266" s="100" t="e">
        <f t="shared" ca="1" si="37"/>
        <v>#NAME?</v>
      </c>
      <c r="G266" s="100" t="e">
        <f t="shared" ca="1" si="38"/>
        <v>#NAME?</v>
      </c>
      <c r="H266" s="100" t="e">
        <f t="shared" ca="1" si="39"/>
        <v>#NAME?</v>
      </c>
      <c r="I266" s="100" t="e">
        <f t="shared" ca="1" si="40"/>
        <v>#NAME?</v>
      </c>
      <c r="J266" s="100" t="e">
        <f t="shared" ca="1" si="41"/>
        <v>#NAME?</v>
      </c>
      <c r="K266" s="100" t="e">
        <f t="shared" ca="1" si="42"/>
        <v>#NAME?</v>
      </c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 spans="1:26">
      <c r="A267" s="100" t="e">
        <f ca="1">IFERROR(__xludf.DUMMYFUNCTION("""COMPUTED_VALUE"""),14520019)</f>
        <v>#NAME?</v>
      </c>
      <c r="B267" s="100" t="e">
        <f ca="1">IFERROR(__xludf.DUMMYFUNCTION("""COMPUTED_VALUE"""),"pdausdt")</f>
        <v>#NAME?</v>
      </c>
      <c r="C267" s="100" t="e">
        <f ca="1">IFERROR(__xludf.DUMMYFUNCTION("""COMPUTED_VALUE"""),"0.0125")</f>
        <v>#NAME?</v>
      </c>
      <c r="D267" s="100" t="e">
        <f t="shared" ca="1" si="43"/>
        <v>#NAME?</v>
      </c>
      <c r="E267" s="100" t="e">
        <f t="shared" ca="1" si="43"/>
        <v>#NAME?</v>
      </c>
      <c r="F267" s="100" t="e">
        <f t="shared" ca="1" si="37"/>
        <v>#NAME?</v>
      </c>
      <c r="G267" s="100" t="e">
        <f t="shared" ca="1" si="38"/>
        <v>#NAME?</v>
      </c>
      <c r="H267" s="100" t="e">
        <f t="shared" ca="1" si="39"/>
        <v>#NAME?</v>
      </c>
      <c r="I267" s="100" t="e">
        <f t="shared" ca="1" si="40"/>
        <v>#NAME?</v>
      </c>
      <c r="J267" s="100" t="e">
        <f t="shared" ca="1" si="41"/>
        <v>#NAME?</v>
      </c>
      <c r="K267" s="100" t="e">
        <f t="shared" ca="1" si="42"/>
        <v>#NAME?</v>
      </c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 spans="1:26">
      <c r="A268" s="100" t="e">
        <f ca="1">IFERROR(__xludf.DUMMYFUNCTION("""COMPUTED_VALUE"""),14520020)</f>
        <v>#NAME?</v>
      </c>
      <c r="B268" s="100" t="e">
        <f ca="1">IFERROR(__xludf.DUMMYFUNCTION("""COMPUTED_VALUE"""),"eosusdt")</f>
        <v>#NAME?</v>
      </c>
      <c r="C268" s="100" t="e">
        <f ca="1">IFERROR(__xludf.DUMMYFUNCTION("""COMPUTED_VALUE"""),"0.6322")</f>
        <v>#NAME?</v>
      </c>
      <c r="D268" s="100" t="e">
        <f t="shared" ca="1" si="43"/>
        <v>#NAME?</v>
      </c>
      <c r="E268" s="100" t="e">
        <f t="shared" ca="1" si="43"/>
        <v>#NAME?</v>
      </c>
      <c r="F268" s="100" t="e">
        <f t="shared" ca="1" si="37"/>
        <v>#NAME?</v>
      </c>
      <c r="G268" s="100" t="e">
        <f t="shared" ca="1" si="38"/>
        <v>#NAME?</v>
      </c>
      <c r="H268" s="100" t="e">
        <f t="shared" ca="1" si="39"/>
        <v>#NAME?</v>
      </c>
      <c r="I268" s="100" t="e">
        <f t="shared" ca="1" si="40"/>
        <v>#NAME?</v>
      </c>
      <c r="J268" s="100" t="e">
        <f t="shared" ca="1" si="41"/>
        <v>#NAME?</v>
      </c>
      <c r="K268" s="100" t="e">
        <f t="shared" ca="1" si="42"/>
        <v>#NAME?</v>
      </c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 spans="1:26">
      <c r="A269" s="100" t="e">
        <f ca="1">IFERROR(__xludf.DUMMYFUNCTION("""COMPUTED_VALUE"""),14520021)</f>
        <v>#NAME?</v>
      </c>
      <c r="B269" s="100" t="e">
        <f ca="1">IFERROR(__xludf.DUMMYFUNCTION("""COMPUTED_VALUE"""),"wmtxusdt")</f>
        <v>#NAME?</v>
      </c>
      <c r="C269" s="100" t="e">
        <f ca="1">IFERROR(__xludf.DUMMYFUNCTION("""COMPUTED_VALUE"""),"0.172")</f>
        <v>#NAME?</v>
      </c>
      <c r="D269" s="100" t="e">
        <f t="shared" ca="1" si="43"/>
        <v>#NAME?</v>
      </c>
      <c r="E269" s="100" t="e">
        <f t="shared" ca="1" si="43"/>
        <v>#NAME?</v>
      </c>
      <c r="F269" s="100" t="e">
        <f t="shared" ca="1" si="37"/>
        <v>#NAME?</v>
      </c>
      <c r="G269" s="100" t="e">
        <f t="shared" ca="1" si="38"/>
        <v>#NAME?</v>
      </c>
      <c r="H269" s="100" t="e">
        <f t="shared" ca="1" si="39"/>
        <v>#NAME?</v>
      </c>
      <c r="I269" s="100" t="e">
        <f t="shared" ca="1" si="40"/>
        <v>#NAME?</v>
      </c>
      <c r="J269" s="100" t="e">
        <f t="shared" ca="1" si="41"/>
        <v>#NAME?</v>
      </c>
      <c r="K269" s="100" t="e">
        <f t="shared" ca="1" si="42"/>
        <v>#NAME?</v>
      </c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 spans="1:26">
      <c r="A270" s="100" t="e">
        <f ca="1">IFERROR(__xludf.DUMMYFUNCTION("""COMPUTED_VALUE"""),14520022)</f>
        <v>#NAME?</v>
      </c>
      <c r="B270" s="100" t="e">
        <f ca="1">IFERROR(__xludf.DUMMYFUNCTION("""COMPUTED_VALUE"""),"taikousdt")</f>
        <v>#NAME?</v>
      </c>
      <c r="C270" s="100" t="e">
        <f ca="1">IFERROR(__xludf.DUMMYFUNCTION("""COMPUTED_VALUE"""),"0.5924")</f>
        <v>#NAME?</v>
      </c>
      <c r="D270" s="100" t="e">
        <f t="shared" ca="1" si="43"/>
        <v>#NAME?</v>
      </c>
      <c r="E270" s="100" t="e">
        <f t="shared" ca="1" si="43"/>
        <v>#NAME?</v>
      </c>
      <c r="F270" s="100" t="e">
        <f t="shared" ca="1" si="37"/>
        <v>#NAME?</v>
      </c>
      <c r="G270" s="100" t="e">
        <f t="shared" ca="1" si="38"/>
        <v>#NAME?</v>
      </c>
      <c r="H270" s="100" t="e">
        <f t="shared" ca="1" si="39"/>
        <v>#NAME?</v>
      </c>
      <c r="I270" s="100" t="e">
        <f t="shared" ca="1" si="40"/>
        <v>#NAME?</v>
      </c>
      <c r="J270" s="100" t="e">
        <f t="shared" ca="1" si="41"/>
        <v>#NAME?</v>
      </c>
      <c r="K270" s="100" t="e">
        <f t="shared" ca="1" si="42"/>
        <v>#NAME?</v>
      </c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 spans="1:26">
      <c r="A271" s="100" t="e">
        <f ca="1">IFERROR(__xludf.DUMMYFUNCTION("""COMPUTED_VALUE"""),14520023)</f>
        <v>#NAME?</v>
      </c>
      <c r="B271" s="100" t="e">
        <f ca="1">IFERROR(__xludf.DUMMYFUNCTION("""COMPUTED_VALUE"""),"pyrusdt")</f>
        <v>#NAME?</v>
      </c>
      <c r="C271" s="100" t="e">
        <f ca="1">IFERROR(__xludf.DUMMYFUNCTION("""COMPUTED_VALUE"""),"1.2275")</f>
        <v>#NAME?</v>
      </c>
      <c r="D271" s="100" t="e">
        <f t="shared" ca="1" si="43"/>
        <v>#NAME?</v>
      </c>
      <c r="E271" s="100" t="e">
        <f t="shared" ca="1" si="43"/>
        <v>#NAME?</v>
      </c>
      <c r="F271" s="100" t="e">
        <f t="shared" ca="1" si="37"/>
        <v>#NAME?</v>
      </c>
      <c r="G271" s="100" t="e">
        <f t="shared" ca="1" si="38"/>
        <v>#NAME?</v>
      </c>
      <c r="H271" s="100" t="e">
        <f t="shared" ca="1" si="39"/>
        <v>#NAME?</v>
      </c>
      <c r="I271" s="100" t="e">
        <f t="shared" ca="1" si="40"/>
        <v>#NAME?</v>
      </c>
      <c r="J271" s="100" t="e">
        <f t="shared" ca="1" si="41"/>
        <v>#NAME?</v>
      </c>
      <c r="K271" s="100" t="e">
        <f t="shared" ca="1" si="42"/>
        <v>#NAME?</v>
      </c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 spans="1:26">
      <c r="A272" s="100" t="e">
        <f ca="1">IFERROR(__xludf.DUMMYFUNCTION("""COMPUTED_VALUE"""),14520024)</f>
        <v>#NAME?</v>
      </c>
      <c r="B272" s="100" t="e">
        <f ca="1">IFERROR(__xludf.DUMMYFUNCTION("""COMPUTED_VALUE"""),"mxusdt")</f>
        <v>#NAME?</v>
      </c>
      <c r="C272" s="100" t="e">
        <f ca="1">IFERROR(__xludf.DUMMYFUNCTION("""COMPUTED_VALUE"""),"2.724")</f>
        <v>#NAME?</v>
      </c>
      <c r="D272" s="100" t="e">
        <f t="shared" ca="1" si="43"/>
        <v>#NAME?</v>
      </c>
      <c r="E272" s="100" t="e">
        <f t="shared" ca="1" si="43"/>
        <v>#NAME?</v>
      </c>
      <c r="F272" s="100" t="e">
        <f t="shared" ca="1" si="37"/>
        <v>#NAME?</v>
      </c>
      <c r="G272" s="100" t="e">
        <f t="shared" ca="1" si="38"/>
        <v>#NAME?</v>
      </c>
      <c r="H272" s="100" t="e">
        <f t="shared" ca="1" si="39"/>
        <v>#NAME?</v>
      </c>
      <c r="I272" s="100" t="e">
        <f t="shared" ca="1" si="40"/>
        <v>#NAME?</v>
      </c>
      <c r="J272" s="100" t="e">
        <f t="shared" ca="1" si="41"/>
        <v>#NAME?</v>
      </c>
      <c r="K272" s="100" t="e">
        <f t="shared" ca="1" si="42"/>
        <v>#NAME?</v>
      </c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 spans="1:26">
      <c r="A273" s="100" t="e">
        <f ca="1">IFERROR(__xludf.DUMMYFUNCTION("""COMPUTED_VALUE"""),14520025)</f>
        <v>#NAME?</v>
      </c>
      <c r="B273" s="100" t="e">
        <f ca="1">IFERROR(__xludf.DUMMYFUNCTION("""COMPUTED_VALUE"""),"fancusdt")</f>
        <v>#NAME?</v>
      </c>
      <c r="C273" s="100" t="e">
        <f ca="1">IFERROR(__xludf.DUMMYFUNCTION("""COMPUTED_VALUE"""),"0.00447")</f>
        <v>#NAME?</v>
      </c>
      <c r="D273" s="100" t="e">
        <f t="shared" ca="1" si="43"/>
        <v>#NAME?</v>
      </c>
      <c r="E273" s="100" t="e">
        <f t="shared" ca="1" si="43"/>
        <v>#NAME?</v>
      </c>
      <c r="F273" s="100" t="e">
        <f t="shared" ca="1" si="37"/>
        <v>#NAME?</v>
      </c>
      <c r="G273" s="100" t="e">
        <f t="shared" ca="1" si="38"/>
        <v>#NAME?</v>
      </c>
      <c r="H273" s="100" t="e">
        <f t="shared" ca="1" si="39"/>
        <v>#NAME?</v>
      </c>
      <c r="I273" s="100" t="e">
        <f t="shared" ca="1" si="40"/>
        <v>#NAME?</v>
      </c>
      <c r="J273" s="100" t="e">
        <f t="shared" ca="1" si="41"/>
        <v>#NAME?</v>
      </c>
      <c r="K273" s="100" t="e">
        <f t="shared" ca="1" si="42"/>
        <v>#NAME?</v>
      </c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 spans="1:26">
      <c r="A274" s="100" t="e">
        <f ca="1">IFERROR(__xludf.DUMMYFUNCTION("""COMPUTED_VALUE"""),14520026)</f>
        <v>#NAME?</v>
      </c>
      <c r="B274" s="100" t="e">
        <f ca="1">IFERROR(__xludf.DUMMYFUNCTION("""COMPUTED_VALUE"""),"scrtusdt")</f>
        <v>#NAME?</v>
      </c>
      <c r="C274" s="100" t="e">
        <f ca="1">IFERROR(__xludf.DUMMYFUNCTION("""COMPUTED_VALUE"""),"0.2173")</f>
        <v>#NAME?</v>
      </c>
      <c r="D274" s="100" t="e">
        <f t="shared" ca="1" si="43"/>
        <v>#NAME?</v>
      </c>
      <c r="E274" s="100" t="e">
        <f t="shared" ca="1" si="43"/>
        <v>#NAME?</v>
      </c>
      <c r="F274" s="100" t="e">
        <f t="shared" ca="1" si="37"/>
        <v>#NAME?</v>
      </c>
      <c r="G274" s="100" t="e">
        <f t="shared" ca="1" si="38"/>
        <v>#NAME?</v>
      </c>
      <c r="H274" s="100" t="e">
        <f t="shared" ca="1" si="39"/>
        <v>#NAME?</v>
      </c>
      <c r="I274" s="100" t="e">
        <f t="shared" ca="1" si="40"/>
        <v>#NAME?</v>
      </c>
      <c r="J274" s="100" t="e">
        <f t="shared" ca="1" si="41"/>
        <v>#NAME?</v>
      </c>
      <c r="K274" s="100" t="e">
        <f t="shared" ca="1" si="42"/>
        <v>#NAME?</v>
      </c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 spans="1:26">
      <c r="A275" s="100" t="e">
        <f ca="1">IFERROR(__xludf.DUMMYFUNCTION("""COMPUTED_VALUE"""),14520027)</f>
        <v>#NAME?</v>
      </c>
      <c r="B275" s="100" t="e">
        <f ca="1">IFERROR(__xludf.DUMMYFUNCTION("""COMPUTED_VALUE"""),"arpausdt")</f>
        <v>#NAME?</v>
      </c>
      <c r="C275" s="100" t="e">
        <f ca="1">IFERROR(__xludf.DUMMYFUNCTION("""COMPUTED_VALUE"""),"0.023083")</f>
        <v>#NAME?</v>
      </c>
      <c r="D275" s="100" t="e">
        <f t="shared" ca="1" si="43"/>
        <v>#NAME?</v>
      </c>
      <c r="E275" s="100" t="e">
        <f t="shared" ca="1" si="43"/>
        <v>#NAME?</v>
      </c>
      <c r="F275" s="100" t="e">
        <f t="shared" ca="1" si="37"/>
        <v>#NAME?</v>
      </c>
      <c r="G275" s="100" t="e">
        <f t="shared" ca="1" si="38"/>
        <v>#NAME?</v>
      </c>
      <c r="H275" s="100" t="e">
        <f t="shared" ca="1" si="39"/>
        <v>#NAME?</v>
      </c>
      <c r="I275" s="100" t="e">
        <f t="shared" ca="1" si="40"/>
        <v>#NAME?</v>
      </c>
      <c r="J275" s="100" t="e">
        <f t="shared" ca="1" si="41"/>
        <v>#NAME?</v>
      </c>
      <c r="K275" s="100" t="e">
        <f t="shared" ca="1" si="42"/>
        <v>#NAME?</v>
      </c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 spans="1:26">
      <c r="A276" s="100" t="e">
        <f ca="1">IFERROR(__xludf.DUMMYFUNCTION("""COMPUTED_VALUE"""),14520028)</f>
        <v>#NAME?</v>
      </c>
      <c r="B276" s="100" t="e">
        <f ca="1">IFERROR(__xludf.DUMMYFUNCTION("""COMPUTED_VALUE"""),"looksusdt")</f>
        <v>#NAME?</v>
      </c>
      <c r="C276" s="100" t="e">
        <f ca="1">IFERROR(__xludf.DUMMYFUNCTION("""COMPUTED_VALUE"""),"0.0103")</f>
        <v>#NAME?</v>
      </c>
      <c r="D276" s="100" t="e">
        <f t="shared" ca="1" si="43"/>
        <v>#NAME?</v>
      </c>
      <c r="E276" s="100" t="e">
        <f t="shared" ca="1" si="43"/>
        <v>#NAME?</v>
      </c>
      <c r="F276" s="100" t="e">
        <f t="shared" ca="1" si="37"/>
        <v>#NAME?</v>
      </c>
      <c r="G276" s="100" t="e">
        <f t="shared" ca="1" si="38"/>
        <v>#NAME?</v>
      </c>
      <c r="H276" s="100" t="e">
        <f t="shared" ca="1" si="39"/>
        <v>#NAME?</v>
      </c>
      <c r="I276" s="100" t="e">
        <f t="shared" ca="1" si="40"/>
        <v>#NAME?</v>
      </c>
      <c r="J276" s="100" t="e">
        <f t="shared" ca="1" si="41"/>
        <v>#NAME?</v>
      </c>
      <c r="K276" s="100" t="e">
        <f t="shared" ca="1" si="42"/>
        <v>#NAME?</v>
      </c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 spans="1:26">
      <c r="A277" s="100" t="e">
        <f ca="1">IFERROR(__xludf.DUMMYFUNCTION("""COMPUTED_VALUE"""),14520029)</f>
        <v>#NAME?</v>
      </c>
      <c r="B277" s="100" t="e">
        <f ca="1">IFERROR(__xludf.DUMMYFUNCTION("""COMPUTED_VALUE"""),"tlosusdt")</f>
        <v>#NAME?</v>
      </c>
      <c r="C277" s="100" t="e">
        <f ca="1">IFERROR(__xludf.DUMMYFUNCTION("""COMPUTED_VALUE"""),"0.0865")</f>
        <v>#NAME?</v>
      </c>
      <c r="D277" s="100" t="e">
        <f t="shared" ca="1" si="43"/>
        <v>#NAME?</v>
      </c>
      <c r="E277" s="100" t="e">
        <f t="shared" ca="1" si="43"/>
        <v>#NAME?</v>
      </c>
      <c r="F277" s="100" t="e">
        <f t="shared" ca="1" si="37"/>
        <v>#NAME?</v>
      </c>
      <c r="G277" s="100" t="e">
        <f t="shared" ca="1" si="38"/>
        <v>#NAME?</v>
      </c>
      <c r="H277" s="100" t="e">
        <f t="shared" ca="1" si="39"/>
        <v>#NAME?</v>
      </c>
      <c r="I277" s="100" t="e">
        <f t="shared" ca="1" si="40"/>
        <v>#NAME?</v>
      </c>
      <c r="J277" s="100" t="e">
        <f t="shared" ca="1" si="41"/>
        <v>#NAME?</v>
      </c>
      <c r="K277" s="100" t="e">
        <f t="shared" ca="1" si="42"/>
        <v>#NAME?</v>
      </c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 spans="1:26">
      <c r="A278" s="100" t="e">
        <f ca="1">IFERROR(__xludf.DUMMYFUNCTION("""COMPUTED_VALUE"""),14520030)</f>
        <v>#NAME?</v>
      </c>
      <c r="B278" s="100" t="e">
        <f ca="1">IFERROR(__xludf.DUMMYFUNCTION("""COMPUTED_VALUE"""),"bfcusdt")</f>
        <v>#NAME?</v>
      </c>
      <c r="C278" s="100" t="e">
        <f ca="1">IFERROR(__xludf.DUMMYFUNCTION("""COMPUTED_VALUE"""),"0.02967")</f>
        <v>#NAME?</v>
      </c>
      <c r="D278" s="100" t="e">
        <f t="shared" ca="1" si="43"/>
        <v>#NAME?</v>
      </c>
      <c r="E278" s="100" t="e">
        <f t="shared" ca="1" si="43"/>
        <v>#NAME?</v>
      </c>
      <c r="F278" s="100" t="e">
        <f t="shared" ca="1" si="37"/>
        <v>#NAME?</v>
      </c>
      <c r="G278" s="100" t="e">
        <f t="shared" ca="1" si="38"/>
        <v>#NAME?</v>
      </c>
      <c r="H278" s="100" t="e">
        <f t="shared" ca="1" si="39"/>
        <v>#NAME?</v>
      </c>
      <c r="I278" s="100" t="e">
        <f t="shared" ca="1" si="40"/>
        <v>#NAME?</v>
      </c>
      <c r="J278" s="100" t="e">
        <f t="shared" ca="1" si="41"/>
        <v>#NAME?</v>
      </c>
      <c r="K278" s="100" t="e">
        <f t="shared" ca="1" si="42"/>
        <v>#NAME?</v>
      </c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 spans="1:26">
      <c r="A279" s="100" t="e">
        <f ca="1">IFERROR(__xludf.DUMMYFUNCTION("""COMPUTED_VALUE"""),14520031)</f>
        <v>#NAME?</v>
      </c>
      <c r="B279" s="100" t="e">
        <f ca="1">IFERROR(__xludf.DUMMYFUNCTION("""COMPUTED_VALUE"""),"celousdt")</f>
        <v>#NAME?</v>
      </c>
      <c r="C279" s="100" t="e">
        <f ca="1">IFERROR(__xludf.DUMMYFUNCTION("""COMPUTED_VALUE"""),"0.3113")</f>
        <v>#NAME?</v>
      </c>
      <c r="D279" s="100" t="e">
        <f t="shared" ca="1" si="43"/>
        <v>#NAME?</v>
      </c>
      <c r="E279" s="100" t="e">
        <f t="shared" ca="1" si="43"/>
        <v>#NAME?</v>
      </c>
      <c r="F279" s="100" t="e">
        <f t="shared" ca="1" si="37"/>
        <v>#NAME?</v>
      </c>
      <c r="G279" s="100" t="e">
        <f t="shared" ca="1" si="38"/>
        <v>#NAME?</v>
      </c>
      <c r="H279" s="100" t="e">
        <f t="shared" ca="1" si="39"/>
        <v>#NAME?</v>
      </c>
      <c r="I279" s="100" t="e">
        <f t="shared" ca="1" si="40"/>
        <v>#NAME?</v>
      </c>
      <c r="J279" s="100" t="e">
        <f t="shared" ca="1" si="41"/>
        <v>#NAME?</v>
      </c>
      <c r="K279" s="100" t="e">
        <f t="shared" ca="1" si="42"/>
        <v>#NAME?</v>
      </c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 spans="1:26">
      <c r="A280" s="100" t="e">
        <f ca="1">IFERROR(__xludf.DUMMYFUNCTION("""COMPUTED_VALUE"""),14520032)</f>
        <v>#NAME?</v>
      </c>
      <c r="B280" s="100" t="e">
        <f ca="1">IFERROR(__xludf.DUMMYFUNCTION("""COMPUTED_VALUE"""),"dashusdt")</f>
        <v>#NAME?</v>
      </c>
      <c r="C280" s="100" t="e">
        <f ca="1">IFERROR(__xludf.DUMMYFUNCTION("""COMPUTED_VALUE"""),"20.79")</f>
        <v>#NAME?</v>
      </c>
      <c r="D280" s="100" t="e">
        <f t="shared" ca="1" si="43"/>
        <v>#NAME?</v>
      </c>
      <c r="E280" s="100" t="e">
        <f t="shared" ca="1" si="43"/>
        <v>#NAME?</v>
      </c>
      <c r="F280" s="100" t="e">
        <f t="shared" ca="1" si="37"/>
        <v>#NAME?</v>
      </c>
      <c r="G280" s="100" t="e">
        <f t="shared" ca="1" si="38"/>
        <v>#NAME?</v>
      </c>
      <c r="H280" s="100" t="e">
        <f t="shared" ca="1" si="39"/>
        <v>#NAME?</v>
      </c>
      <c r="I280" s="100" t="e">
        <f t="shared" ca="1" si="40"/>
        <v>#NAME?</v>
      </c>
      <c r="J280" s="100" t="e">
        <f t="shared" ca="1" si="41"/>
        <v>#NAME?</v>
      </c>
      <c r="K280" s="100" t="e">
        <f t="shared" ca="1" si="42"/>
        <v>#NAME?</v>
      </c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 spans="1:26">
      <c r="A281" s="100" t="e">
        <f ca="1">IFERROR(__xludf.DUMMYFUNCTION("""COMPUTED_VALUE"""),14520033)</f>
        <v>#NAME?</v>
      </c>
      <c r="B281" s="100" t="e">
        <f ca="1">IFERROR(__xludf.DUMMYFUNCTION("""COMPUTED_VALUE"""),"xdcusdt")</f>
        <v>#NAME?</v>
      </c>
      <c r="C281" s="100" t="e">
        <f ca="1">IFERROR(__xludf.DUMMYFUNCTION("""COMPUTED_VALUE"""),"0.071922")</f>
        <v>#NAME?</v>
      </c>
      <c r="D281" s="100" t="e">
        <f t="shared" ca="1" si="43"/>
        <v>#NAME?</v>
      </c>
      <c r="E281" s="100" t="e">
        <f t="shared" ca="1" si="43"/>
        <v>#NAME?</v>
      </c>
      <c r="F281" s="100" t="e">
        <f t="shared" ca="1" si="37"/>
        <v>#NAME?</v>
      </c>
      <c r="G281" s="100" t="e">
        <f t="shared" ca="1" si="38"/>
        <v>#NAME?</v>
      </c>
      <c r="H281" s="100" t="e">
        <f t="shared" ca="1" si="39"/>
        <v>#NAME?</v>
      </c>
      <c r="I281" s="100" t="e">
        <f t="shared" ca="1" si="40"/>
        <v>#NAME?</v>
      </c>
      <c r="J281" s="100" t="e">
        <f t="shared" ca="1" si="41"/>
        <v>#NAME?</v>
      </c>
      <c r="K281" s="100" t="e">
        <f t="shared" ca="1" si="42"/>
        <v>#NAME?</v>
      </c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 spans="1:26">
      <c r="A282" s="100" t="e">
        <f ca="1">IFERROR(__xludf.DUMMYFUNCTION("""COMPUTED_VALUE"""),14520034)</f>
        <v>#NAME?</v>
      </c>
      <c r="B282" s="100" t="e">
        <f ca="1">IFERROR(__xludf.DUMMYFUNCTION("""COMPUTED_VALUE"""),"achbtc")</f>
        <v>#NAME?</v>
      </c>
      <c r="C282" s="100" t="e">
        <f ca="1">IFERROR(__xludf.DUMMYFUNCTION("""COMPUTED_VALUE"""),"2.928e-07")</f>
        <v>#NAME?</v>
      </c>
      <c r="D282" s="100" t="e">
        <f t="shared" ref="D282:E301" ca="1" si="44">IFERROR(__xludf.DUMMYFUNCTION("""COMPUTED_VALUE"""),"-")</f>
        <v>#NAME?</v>
      </c>
      <c r="E282" s="100" t="e">
        <f t="shared" ca="1" si="44"/>
        <v>#NAME?</v>
      </c>
      <c r="F282" s="100" t="e">
        <f t="shared" ca="1" si="37"/>
        <v>#NAME?</v>
      </c>
      <c r="G282" s="100" t="e">
        <f t="shared" ca="1" si="38"/>
        <v>#NAME?</v>
      </c>
      <c r="H282" s="100" t="e">
        <f t="shared" ca="1" si="39"/>
        <v>#NAME?</v>
      </c>
      <c r="I282" s="100" t="e">
        <f t="shared" ca="1" si="40"/>
        <v>#NAME?</v>
      </c>
      <c r="J282" s="100" t="e">
        <f t="shared" ca="1" si="41"/>
        <v>#NAME?</v>
      </c>
      <c r="K282" s="100" t="e">
        <f t="shared" ca="1" si="42"/>
        <v>#NAME?</v>
      </c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 spans="1:26">
      <c r="A283" s="100" t="e">
        <f ca="1">IFERROR(__xludf.DUMMYFUNCTION("""COMPUTED_VALUE"""),14520035)</f>
        <v>#NAME?</v>
      </c>
      <c r="B283" s="100" t="e">
        <f ca="1">IFERROR(__xludf.DUMMYFUNCTION("""COMPUTED_VALUE"""),"trbusdt")</f>
        <v>#NAME?</v>
      </c>
      <c r="C283" s="100" t="e">
        <f ca="1">IFERROR(__xludf.DUMMYFUNCTION("""COMPUTED_VALUE"""),"25.8107")</f>
        <v>#NAME?</v>
      </c>
      <c r="D283" s="100" t="e">
        <f t="shared" ca="1" si="44"/>
        <v>#NAME?</v>
      </c>
      <c r="E283" s="100" t="e">
        <f t="shared" ca="1" si="44"/>
        <v>#NAME?</v>
      </c>
      <c r="F283" s="100" t="e">
        <f t="shared" ca="1" si="37"/>
        <v>#NAME?</v>
      </c>
      <c r="G283" s="100" t="e">
        <f t="shared" ca="1" si="38"/>
        <v>#NAME?</v>
      </c>
      <c r="H283" s="100" t="e">
        <f t="shared" ca="1" si="39"/>
        <v>#NAME?</v>
      </c>
      <c r="I283" s="100" t="e">
        <f t="shared" ca="1" si="40"/>
        <v>#NAME?</v>
      </c>
      <c r="J283" s="100" t="e">
        <f t="shared" ca="1" si="41"/>
        <v>#NAME?</v>
      </c>
      <c r="K283" s="100" t="e">
        <f t="shared" ca="1" si="42"/>
        <v>#NAME?</v>
      </c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 spans="1:26">
      <c r="A284" s="100" t="e">
        <f ca="1">IFERROR(__xludf.DUMMYFUNCTION("""COMPUTED_VALUE"""),14520036)</f>
        <v>#NAME?</v>
      </c>
      <c r="B284" s="100" t="e">
        <f ca="1">IFERROR(__xludf.DUMMYFUNCTION("""COMPUTED_VALUE"""),"redusdt")</f>
        <v>#NAME?</v>
      </c>
      <c r="C284" s="100" t="e">
        <f ca="1">IFERROR(__xludf.DUMMYFUNCTION("""COMPUTED_VALUE"""),"0.3885")</f>
        <v>#NAME?</v>
      </c>
      <c r="D284" s="100" t="e">
        <f t="shared" ca="1" si="44"/>
        <v>#NAME?</v>
      </c>
      <c r="E284" s="100" t="e">
        <f t="shared" ca="1" si="44"/>
        <v>#NAME?</v>
      </c>
      <c r="F284" s="100" t="e">
        <f t="shared" ca="1" si="37"/>
        <v>#NAME?</v>
      </c>
      <c r="G284" s="100" t="e">
        <f t="shared" ca="1" si="38"/>
        <v>#NAME?</v>
      </c>
      <c r="H284" s="100" t="e">
        <f t="shared" ca="1" si="39"/>
        <v>#NAME?</v>
      </c>
      <c r="I284" s="100" t="e">
        <f t="shared" ca="1" si="40"/>
        <v>#NAME?</v>
      </c>
      <c r="J284" s="100" t="e">
        <f t="shared" ca="1" si="41"/>
        <v>#NAME?</v>
      </c>
      <c r="K284" s="100" t="e">
        <f t="shared" ca="1" si="42"/>
        <v>#NAME?</v>
      </c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 spans="1:26">
      <c r="A285" s="100" t="e">
        <f ca="1">IFERROR(__xludf.DUMMYFUNCTION("""COMPUTED_VALUE"""),14520037)</f>
        <v>#NAME?</v>
      </c>
      <c r="B285" s="100" t="e">
        <f ca="1">IFERROR(__xludf.DUMMYFUNCTION("""COMPUTED_VALUE"""),"achusdt")</f>
        <v>#NAME?</v>
      </c>
      <c r="C285" s="100" t="e">
        <f ca="1">IFERROR(__xludf.DUMMYFUNCTION("""COMPUTED_VALUE"""),"0.02608")</f>
        <v>#NAME?</v>
      </c>
      <c r="D285" s="100" t="e">
        <f t="shared" ca="1" si="44"/>
        <v>#NAME?</v>
      </c>
      <c r="E285" s="100" t="e">
        <f t="shared" ca="1" si="44"/>
        <v>#NAME?</v>
      </c>
      <c r="F285" s="100" t="e">
        <f t="shared" ca="1" si="37"/>
        <v>#NAME?</v>
      </c>
      <c r="G285" s="100" t="e">
        <f t="shared" ca="1" si="38"/>
        <v>#NAME?</v>
      </c>
      <c r="H285" s="100" t="e">
        <f t="shared" ca="1" si="39"/>
        <v>#NAME?</v>
      </c>
      <c r="I285" s="100" t="e">
        <f t="shared" ca="1" si="40"/>
        <v>#NAME?</v>
      </c>
      <c r="J285" s="100" t="e">
        <f t="shared" ca="1" si="41"/>
        <v>#NAME?</v>
      </c>
      <c r="K285" s="100" t="e">
        <f t="shared" ca="1" si="42"/>
        <v>#NAME?</v>
      </c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 spans="1:26">
      <c r="A286" s="100" t="e">
        <f ca="1">IFERROR(__xludf.DUMMYFUNCTION("""COMPUTED_VALUE"""),14520038)</f>
        <v>#NAME?</v>
      </c>
      <c r="B286" s="100" t="e">
        <f ca="1">IFERROR(__xludf.DUMMYFUNCTION("""COMPUTED_VALUE"""),"phausdt")</f>
        <v>#NAME?</v>
      </c>
      <c r="C286" s="100" t="e">
        <f ca="1">IFERROR(__xludf.DUMMYFUNCTION("""COMPUTED_VALUE"""),"0.098771")</f>
        <v>#NAME?</v>
      </c>
      <c r="D286" s="100" t="e">
        <f t="shared" ca="1" si="44"/>
        <v>#NAME?</v>
      </c>
      <c r="E286" s="100" t="e">
        <f t="shared" ca="1" si="44"/>
        <v>#NAME?</v>
      </c>
      <c r="F286" s="100" t="e">
        <f t="shared" ca="1" si="37"/>
        <v>#NAME?</v>
      </c>
      <c r="G286" s="100" t="e">
        <f t="shared" ca="1" si="38"/>
        <v>#NAME?</v>
      </c>
      <c r="H286" s="100" t="e">
        <f t="shared" ca="1" si="39"/>
        <v>#NAME?</v>
      </c>
      <c r="I286" s="100" t="e">
        <f t="shared" ca="1" si="40"/>
        <v>#NAME?</v>
      </c>
      <c r="J286" s="100" t="e">
        <f t="shared" ca="1" si="41"/>
        <v>#NAME?</v>
      </c>
      <c r="K286" s="100" t="e">
        <f t="shared" ca="1" si="42"/>
        <v>#NAME?</v>
      </c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 spans="1:26">
      <c r="A287" s="100" t="e">
        <f ca="1">IFERROR(__xludf.DUMMYFUNCTION("""COMPUTED_VALUE"""),14520039)</f>
        <v>#NAME?</v>
      </c>
      <c r="B287" s="100" t="e">
        <f ca="1">IFERROR(__xludf.DUMMYFUNCTION("""COMPUTED_VALUE"""),"mewusdt")</f>
        <v>#NAME?</v>
      </c>
      <c r="C287" s="100" t="e">
        <f ca="1">IFERROR(__xludf.DUMMYFUNCTION("""COMPUTED_VALUE"""),"0.002629")</f>
        <v>#NAME?</v>
      </c>
      <c r="D287" s="100" t="e">
        <f t="shared" ca="1" si="44"/>
        <v>#NAME?</v>
      </c>
      <c r="E287" s="100" t="e">
        <f t="shared" ca="1" si="44"/>
        <v>#NAME?</v>
      </c>
      <c r="F287" s="100" t="e">
        <f t="shared" ca="1" si="37"/>
        <v>#NAME?</v>
      </c>
      <c r="G287" s="100" t="e">
        <f t="shared" ca="1" si="38"/>
        <v>#NAME?</v>
      </c>
      <c r="H287" s="100" t="e">
        <f t="shared" ca="1" si="39"/>
        <v>#NAME?</v>
      </c>
      <c r="I287" s="100" t="e">
        <f t="shared" ca="1" si="40"/>
        <v>#NAME?</v>
      </c>
      <c r="J287" s="100" t="e">
        <f t="shared" ca="1" si="41"/>
        <v>#NAME?</v>
      </c>
      <c r="K287" s="100" t="e">
        <f t="shared" ca="1" si="42"/>
        <v>#NAME?</v>
      </c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 spans="1:26">
      <c r="A288" s="100" t="e">
        <f ca="1">IFERROR(__xludf.DUMMYFUNCTION("""COMPUTED_VALUE"""),14520040)</f>
        <v>#NAME?</v>
      </c>
      <c r="B288" s="100" t="e">
        <f ca="1">IFERROR(__xludf.DUMMYFUNCTION("""COMPUTED_VALUE"""),"zentusdt")</f>
        <v>#NAME?</v>
      </c>
      <c r="C288" s="100" t="e">
        <f ca="1">IFERROR(__xludf.DUMMYFUNCTION("""COMPUTED_VALUE"""),"0.01049")</f>
        <v>#NAME?</v>
      </c>
      <c r="D288" s="100" t="e">
        <f t="shared" ca="1" si="44"/>
        <v>#NAME?</v>
      </c>
      <c r="E288" s="100" t="e">
        <f t="shared" ca="1" si="44"/>
        <v>#NAME?</v>
      </c>
      <c r="F288" s="100" t="e">
        <f t="shared" ca="1" si="37"/>
        <v>#NAME?</v>
      </c>
      <c r="G288" s="100" t="e">
        <f t="shared" ca="1" si="38"/>
        <v>#NAME?</v>
      </c>
      <c r="H288" s="100" t="e">
        <f t="shared" ca="1" si="39"/>
        <v>#NAME?</v>
      </c>
      <c r="I288" s="100" t="e">
        <f t="shared" ca="1" si="40"/>
        <v>#NAME?</v>
      </c>
      <c r="J288" s="100" t="e">
        <f t="shared" ca="1" si="41"/>
        <v>#NAME?</v>
      </c>
      <c r="K288" s="100" t="e">
        <f t="shared" ca="1" si="42"/>
        <v>#NAME?</v>
      </c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 spans="1:26">
      <c r="A289" s="100" t="e">
        <f ca="1">IFERROR(__xludf.DUMMYFUNCTION("""COMPUTED_VALUE"""),14520041)</f>
        <v>#NAME?</v>
      </c>
      <c r="B289" s="100" t="e">
        <f ca="1">IFERROR(__xludf.DUMMYFUNCTION("""COMPUTED_VALUE"""),"pendleusdt")</f>
        <v>#NAME?</v>
      </c>
      <c r="C289" s="100" t="e">
        <f ca="1">IFERROR(__xludf.DUMMYFUNCTION("""COMPUTED_VALUE"""),"3.3323")</f>
        <v>#NAME?</v>
      </c>
      <c r="D289" s="100" t="e">
        <f t="shared" ca="1" si="44"/>
        <v>#NAME?</v>
      </c>
      <c r="E289" s="100" t="e">
        <f t="shared" ca="1" si="44"/>
        <v>#NAME?</v>
      </c>
      <c r="F289" s="100" t="e">
        <f t="shared" ca="1" si="37"/>
        <v>#NAME?</v>
      </c>
      <c r="G289" s="100" t="e">
        <f t="shared" ca="1" si="38"/>
        <v>#NAME?</v>
      </c>
      <c r="H289" s="100" t="e">
        <f t="shared" ca="1" si="39"/>
        <v>#NAME?</v>
      </c>
      <c r="I289" s="100" t="e">
        <f t="shared" ca="1" si="40"/>
        <v>#NAME?</v>
      </c>
      <c r="J289" s="100" t="e">
        <f t="shared" ca="1" si="41"/>
        <v>#NAME?</v>
      </c>
      <c r="K289" s="100" t="e">
        <f t="shared" ca="1" si="42"/>
        <v>#NAME?</v>
      </c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 spans="1:26">
      <c r="A290" s="100" t="e">
        <f ca="1">IFERROR(__xludf.DUMMYFUNCTION("""COMPUTED_VALUE"""),14520042)</f>
        <v>#NAME?</v>
      </c>
      <c r="B290" s="100" t="e">
        <f ca="1">IFERROR(__xludf.DUMMYFUNCTION("""COMPUTED_VALUE"""),"nexousdt")</f>
        <v>#NAME?</v>
      </c>
      <c r="C290" s="100" t="e">
        <f ca="1">IFERROR(__xludf.DUMMYFUNCTION("""COMPUTED_VALUE"""),"1.0475")</f>
        <v>#NAME?</v>
      </c>
      <c r="D290" s="100" t="e">
        <f t="shared" ca="1" si="44"/>
        <v>#NAME?</v>
      </c>
      <c r="E290" s="100" t="e">
        <f t="shared" ca="1" si="44"/>
        <v>#NAME?</v>
      </c>
      <c r="F290" s="100" t="e">
        <f t="shared" ca="1" si="37"/>
        <v>#NAME?</v>
      </c>
      <c r="G290" s="100" t="e">
        <f t="shared" ca="1" si="38"/>
        <v>#NAME?</v>
      </c>
      <c r="H290" s="100" t="e">
        <f t="shared" ca="1" si="39"/>
        <v>#NAME?</v>
      </c>
      <c r="I290" s="100" t="e">
        <f t="shared" ca="1" si="40"/>
        <v>#NAME?</v>
      </c>
      <c r="J290" s="100" t="e">
        <f t="shared" ca="1" si="41"/>
        <v>#NAME?</v>
      </c>
      <c r="K290" s="100" t="e">
        <f t="shared" ca="1" si="42"/>
        <v>#NAME?</v>
      </c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 spans="1:26">
      <c r="A291" s="100" t="e">
        <f ca="1">IFERROR(__xludf.DUMMYFUNCTION("""COMPUTED_VALUE"""),14520043)</f>
        <v>#NAME?</v>
      </c>
      <c r="B291" s="100" t="e">
        <f ca="1">IFERROR(__xludf.DUMMYFUNCTION("""COMPUTED_VALUE"""),"cusdusdt")</f>
        <v>#NAME?</v>
      </c>
      <c r="C291" s="100" t="e">
        <f ca="1">IFERROR(__xludf.DUMMYFUNCTION("""COMPUTED_VALUE"""),"0.9975")</f>
        <v>#NAME?</v>
      </c>
      <c r="D291" s="100" t="e">
        <f t="shared" ca="1" si="44"/>
        <v>#NAME?</v>
      </c>
      <c r="E291" s="100" t="e">
        <f t="shared" ca="1" si="44"/>
        <v>#NAME?</v>
      </c>
      <c r="F291" s="100" t="e">
        <f t="shared" ca="1" si="37"/>
        <v>#NAME?</v>
      </c>
      <c r="G291" s="100" t="e">
        <f t="shared" ca="1" si="38"/>
        <v>#NAME?</v>
      </c>
      <c r="H291" s="100" t="e">
        <f t="shared" ca="1" si="39"/>
        <v>#NAME?</v>
      </c>
      <c r="I291" s="100" t="e">
        <f t="shared" ca="1" si="40"/>
        <v>#NAME?</v>
      </c>
      <c r="J291" s="100" t="e">
        <f t="shared" ca="1" si="41"/>
        <v>#NAME?</v>
      </c>
      <c r="K291" s="100" t="e">
        <f t="shared" ca="1" si="42"/>
        <v>#NAME?</v>
      </c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 spans="1:26">
      <c r="A292" s="100" t="e">
        <f ca="1">IFERROR(__xludf.DUMMYFUNCTION("""COMPUTED_VALUE"""),14520044)</f>
        <v>#NAME?</v>
      </c>
      <c r="B292" s="100" t="e">
        <f ca="1">IFERROR(__xludf.DUMMYFUNCTION("""COMPUTED_VALUE"""),"pstakeusdt")</f>
        <v>#NAME?</v>
      </c>
      <c r="C292" s="100" t="e">
        <f ca="1">IFERROR(__xludf.DUMMYFUNCTION("""COMPUTED_VALUE"""),"0.0112")</f>
        <v>#NAME?</v>
      </c>
      <c r="D292" s="100" t="e">
        <f t="shared" ca="1" si="44"/>
        <v>#NAME?</v>
      </c>
      <c r="E292" s="100" t="e">
        <f t="shared" ca="1" si="44"/>
        <v>#NAME?</v>
      </c>
      <c r="F292" s="100" t="e">
        <f t="shared" ca="1" si="37"/>
        <v>#NAME?</v>
      </c>
      <c r="G292" s="100" t="e">
        <f t="shared" ca="1" si="38"/>
        <v>#NAME?</v>
      </c>
      <c r="H292" s="100" t="e">
        <f t="shared" ca="1" si="39"/>
        <v>#NAME?</v>
      </c>
      <c r="I292" s="100" t="e">
        <f t="shared" ca="1" si="40"/>
        <v>#NAME?</v>
      </c>
      <c r="J292" s="100" t="e">
        <f t="shared" ca="1" si="41"/>
        <v>#NAME?</v>
      </c>
      <c r="K292" s="100" t="e">
        <f t="shared" ca="1" si="42"/>
        <v>#NAME?</v>
      </c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 spans="1:26">
      <c r="A293" s="100" t="e">
        <f ca="1">IFERROR(__xludf.DUMMYFUNCTION("""COMPUTED_VALUE"""),14520045)</f>
        <v>#NAME?</v>
      </c>
      <c r="B293" s="100" t="e">
        <f ca="1">IFERROR(__xludf.DUMMYFUNCTION("""COMPUTED_VALUE"""),"bbusdt")</f>
        <v>#NAME?</v>
      </c>
      <c r="C293" s="100" t="e">
        <f ca="1">IFERROR(__xludf.DUMMYFUNCTION("""COMPUTED_VALUE"""),"0.1085")</f>
        <v>#NAME?</v>
      </c>
      <c r="D293" s="100" t="e">
        <f t="shared" ca="1" si="44"/>
        <v>#NAME?</v>
      </c>
      <c r="E293" s="100" t="e">
        <f t="shared" ca="1" si="44"/>
        <v>#NAME?</v>
      </c>
      <c r="F293" s="100" t="e">
        <f t="shared" ca="1" si="37"/>
        <v>#NAME?</v>
      </c>
      <c r="G293" s="100" t="e">
        <f t="shared" ca="1" si="38"/>
        <v>#NAME?</v>
      </c>
      <c r="H293" s="100" t="e">
        <f t="shared" ca="1" si="39"/>
        <v>#NAME?</v>
      </c>
      <c r="I293" s="100" t="e">
        <f t="shared" ca="1" si="40"/>
        <v>#NAME?</v>
      </c>
      <c r="J293" s="100" t="e">
        <f t="shared" ca="1" si="41"/>
        <v>#NAME?</v>
      </c>
      <c r="K293" s="100" t="e">
        <f t="shared" ca="1" si="42"/>
        <v>#NAME?</v>
      </c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 spans="1:26">
      <c r="A294" s="100" t="e">
        <f ca="1">IFERROR(__xludf.DUMMYFUNCTION("""COMPUTED_VALUE"""),14520046)</f>
        <v>#NAME?</v>
      </c>
      <c r="B294" s="100" t="e">
        <f ca="1">IFERROR(__xludf.DUMMYFUNCTION("""COMPUTED_VALUE"""),"godsusdt")</f>
        <v>#NAME?</v>
      </c>
      <c r="C294" s="100" t="e">
        <f ca="1">IFERROR(__xludf.DUMMYFUNCTION("""COMPUTED_VALUE"""),"0.0917")</f>
        <v>#NAME?</v>
      </c>
      <c r="D294" s="100" t="e">
        <f t="shared" ca="1" si="44"/>
        <v>#NAME?</v>
      </c>
      <c r="E294" s="100" t="e">
        <f t="shared" ca="1" si="44"/>
        <v>#NAME?</v>
      </c>
      <c r="F294" s="100" t="e">
        <f t="shared" ca="1" si="37"/>
        <v>#NAME?</v>
      </c>
      <c r="G294" s="100" t="e">
        <f t="shared" ca="1" si="38"/>
        <v>#NAME?</v>
      </c>
      <c r="H294" s="100" t="e">
        <f t="shared" ca="1" si="39"/>
        <v>#NAME?</v>
      </c>
      <c r="I294" s="100" t="e">
        <f t="shared" ca="1" si="40"/>
        <v>#NAME?</v>
      </c>
      <c r="J294" s="100" t="e">
        <f t="shared" ca="1" si="41"/>
        <v>#NAME?</v>
      </c>
      <c r="K294" s="100" t="e">
        <f t="shared" ca="1" si="42"/>
        <v>#NAME?</v>
      </c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 spans="1:26">
      <c r="A295" s="100" t="e">
        <f ca="1">IFERROR(__xludf.DUMMYFUNCTION("""COMPUTED_VALUE"""),14520047)</f>
        <v>#NAME?</v>
      </c>
      <c r="B295" s="100" t="e">
        <f ca="1">IFERROR(__xludf.DUMMYFUNCTION("""COMPUTED_VALUE"""),"kimausdt")</f>
        <v>#NAME?</v>
      </c>
      <c r="C295" s="100" t="e">
        <f ca="1">IFERROR(__xludf.DUMMYFUNCTION("""COMPUTED_VALUE"""),"0.0611")</f>
        <v>#NAME?</v>
      </c>
      <c r="D295" s="100" t="e">
        <f t="shared" ca="1" si="44"/>
        <v>#NAME?</v>
      </c>
      <c r="E295" s="100" t="e">
        <f t="shared" ca="1" si="44"/>
        <v>#NAME?</v>
      </c>
      <c r="F295" s="100" t="e">
        <f t="shared" ca="1" si="37"/>
        <v>#NAME?</v>
      </c>
      <c r="G295" s="100" t="e">
        <f t="shared" ca="1" si="38"/>
        <v>#NAME?</v>
      </c>
      <c r="H295" s="100" t="e">
        <f t="shared" ca="1" si="39"/>
        <v>#NAME?</v>
      </c>
      <c r="I295" s="100" t="e">
        <f t="shared" ca="1" si="40"/>
        <v>#NAME?</v>
      </c>
      <c r="J295" s="100" t="e">
        <f t="shared" ca="1" si="41"/>
        <v>#NAME?</v>
      </c>
      <c r="K295" s="100" t="e">
        <f t="shared" ca="1" si="42"/>
        <v>#NAME?</v>
      </c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 spans="1:26">
      <c r="A296" s="100" t="e">
        <f ca="1">IFERROR(__xludf.DUMMYFUNCTION("""COMPUTED_VALUE"""),14520048)</f>
        <v>#NAME?</v>
      </c>
      <c r="B296" s="100" t="e">
        <f ca="1">IFERROR(__xludf.DUMMYFUNCTION("""COMPUTED_VALUE"""),"griftusdt")</f>
        <v>#NAME?</v>
      </c>
      <c r="C296" s="100" t="e">
        <f ca="1">IFERROR(__xludf.DUMMYFUNCTION("""COMPUTED_VALUE"""),"0.01537")</f>
        <v>#NAME?</v>
      </c>
      <c r="D296" s="100" t="e">
        <f t="shared" ca="1" si="44"/>
        <v>#NAME?</v>
      </c>
      <c r="E296" s="100" t="e">
        <f t="shared" ca="1" si="44"/>
        <v>#NAME?</v>
      </c>
      <c r="F296" s="100" t="e">
        <f t="shared" ca="1" si="37"/>
        <v>#NAME?</v>
      </c>
      <c r="G296" s="100" t="e">
        <f t="shared" ca="1" si="38"/>
        <v>#NAME?</v>
      </c>
      <c r="H296" s="100" t="e">
        <f t="shared" ca="1" si="39"/>
        <v>#NAME?</v>
      </c>
      <c r="I296" s="100" t="e">
        <f t="shared" ca="1" si="40"/>
        <v>#NAME?</v>
      </c>
      <c r="J296" s="100" t="e">
        <f t="shared" ca="1" si="41"/>
        <v>#NAME?</v>
      </c>
      <c r="K296" s="100" t="e">
        <f t="shared" ca="1" si="42"/>
        <v>#NAME?</v>
      </c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 spans="1:26">
      <c r="A297" s="100" t="e">
        <f ca="1">IFERROR(__xludf.DUMMYFUNCTION("""COMPUTED_VALUE"""),14520049)</f>
        <v>#NAME?</v>
      </c>
      <c r="B297" s="100" t="e">
        <f ca="1">IFERROR(__xludf.DUMMYFUNCTION("""COMPUTED_VALUE"""),"strxusdt")</f>
        <v>#NAME?</v>
      </c>
      <c r="C297" s="100" t="e">
        <f ca="1">IFERROR(__xludf.DUMMYFUNCTION("""COMPUTED_VALUE"""),"0.29445")</f>
        <v>#NAME?</v>
      </c>
      <c r="D297" s="100" t="e">
        <f t="shared" ca="1" si="44"/>
        <v>#NAME?</v>
      </c>
      <c r="E297" s="100" t="e">
        <f t="shared" ca="1" si="44"/>
        <v>#NAME?</v>
      </c>
      <c r="F297" s="100" t="e">
        <f t="shared" ca="1" si="37"/>
        <v>#NAME?</v>
      </c>
      <c r="G297" s="100" t="e">
        <f t="shared" ca="1" si="38"/>
        <v>#NAME?</v>
      </c>
      <c r="H297" s="100" t="e">
        <f t="shared" ca="1" si="39"/>
        <v>#NAME?</v>
      </c>
      <c r="I297" s="100" t="e">
        <f t="shared" ca="1" si="40"/>
        <v>#NAME?</v>
      </c>
      <c r="J297" s="100" t="e">
        <f t="shared" ca="1" si="41"/>
        <v>#NAME?</v>
      </c>
      <c r="K297" s="100" t="e">
        <f t="shared" ca="1" si="42"/>
        <v>#NAME?</v>
      </c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 spans="1:26">
      <c r="A298" s="100" t="e">
        <f ca="1">IFERROR(__xludf.DUMMYFUNCTION("""COMPUTED_VALUE"""),14520050)</f>
        <v>#NAME?</v>
      </c>
      <c r="B298" s="100" t="e">
        <f ca="1">IFERROR(__xludf.DUMMYFUNCTION("""COMPUTED_VALUE"""),"aceusdt")</f>
        <v>#NAME?</v>
      </c>
      <c r="C298" s="100" t="e">
        <f ca="1">IFERROR(__xludf.DUMMYFUNCTION("""COMPUTED_VALUE"""),"0.6275")</f>
        <v>#NAME?</v>
      </c>
      <c r="D298" s="100" t="e">
        <f t="shared" ca="1" si="44"/>
        <v>#NAME?</v>
      </c>
      <c r="E298" s="100" t="e">
        <f t="shared" ca="1" si="44"/>
        <v>#NAME?</v>
      </c>
      <c r="F298" s="100" t="e">
        <f t="shared" ca="1" si="37"/>
        <v>#NAME?</v>
      </c>
      <c r="G298" s="100" t="e">
        <f t="shared" ca="1" si="38"/>
        <v>#NAME?</v>
      </c>
      <c r="H298" s="100" t="e">
        <f t="shared" ca="1" si="39"/>
        <v>#NAME?</v>
      </c>
      <c r="I298" s="100" t="e">
        <f t="shared" ca="1" si="40"/>
        <v>#NAME?</v>
      </c>
      <c r="J298" s="100" t="e">
        <f t="shared" ca="1" si="41"/>
        <v>#NAME?</v>
      </c>
      <c r="K298" s="100" t="e">
        <f t="shared" ca="1" si="42"/>
        <v>#NAME?</v>
      </c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 spans="1:26">
      <c r="A299" s="100" t="e">
        <f ca="1">IFERROR(__xludf.DUMMYFUNCTION("""COMPUTED_VALUE"""),14520051)</f>
        <v>#NAME?</v>
      </c>
      <c r="B299" s="100" t="e">
        <f ca="1">IFERROR(__xludf.DUMMYFUNCTION("""COMPUTED_VALUE"""),"orderusdt")</f>
        <v>#NAME?</v>
      </c>
      <c r="C299" s="100" t="e">
        <f ca="1">IFERROR(__xludf.DUMMYFUNCTION("""COMPUTED_VALUE"""),"0.1048")</f>
        <v>#NAME?</v>
      </c>
      <c r="D299" s="100" t="e">
        <f t="shared" ca="1" si="44"/>
        <v>#NAME?</v>
      </c>
      <c r="E299" s="100" t="e">
        <f t="shared" ca="1" si="44"/>
        <v>#NAME?</v>
      </c>
      <c r="F299" s="100" t="e">
        <f t="shared" ca="1" si="37"/>
        <v>#NAME?</v>
      </c>
      <c r="G299" s="100" t="e">
        <f t="shared" ca="1" si="38"/>
        <v>#NAME?</v>
      </c>
      <c r="H299" s="100" t="e">
        <f t="shared" ca="1" si="39"/>
        <v>#NAME?</v>
      </c>
      <c r="I299" s="100" t="e">
        <f t="shared" ca="1" si="40"/>
        <v>#NAME?</v>
      </c>
      <c r="J299" s="100" t="e">
        <f t="shared" ca="1" si="41"/>
        <v>#NAME?</v>
      </c>
      <c r="K299" s="100" t="e">
        <f t="shared" ca="1" si="42"/>
        <v>#NAME?</v>
      </c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 spans="1:26">
      <c r="A300" s="100" t="e">
        <f ca="1">IFERROR(__xludf.DUMMYFUNCTION("""COMPUTED_VALUE"""),14520052)</f>
        <v>#NAME?</v>
      </c>
      <c r="B300" s="100" t="e">
        <f ca="1">IFERROR(__xludf.DUMMYFUNCTION("""COMPUTED_VALUE"""),"zilusdt")</f>
        <v>#NAME?</v>
      </c>
      <c r="C300" s="100" t="e">
        <f ca="1">IFERROR(__xludf.DUMMYFUNCTION("""COMPUTED_VALUE"""),"0.011849")</f>
        <v>#NAME?</v>
      </c>
      <c r="D300" s="100" t="e">
        <f t="shared" ca="1" si="44"/>
        <v>#NAME?</v>
      </c>
      <c r="E300" s="100" t="e">
        <f t="shared" ca="1" si="44"/>
        <v>#NAME?</v>
      </c>
      <c r="F300" s="100" t="e">
        <f t="shared" ca="1" si="37"/>
        <v>#NAME?</v>
      </c>
      <c r="G300" s="100" t="e">
        <f t="shared" ca="1" si="38"/>
        <v>#NAME?</v>
      </c>
      <c r="H300" s="100" t="e">
        <f t="shared" ca="1" si="39"/>
        <v>#NAME?</v>
      </c>
      <c r="I300" s="100" t="e">
        <f t="shared" ca="1" si="40"/>
        <v>#NAME?</v>
      </c>
      <c r="J300" s="100" t="e">
        <f t="shared" ca="1" si="41"/>
        <v>#NAME?</v>
      </c>
      <c r="K300" s="100" t="e">
        <f t="shared" ca="1" si="42"/>
        <v>#NAME?</v>
      </c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 spans="1:26">
      <c r="A301" s="100" t="e">
        <f ca="1">IFERROR(__xludf.DUMMYFUNCTION("""COMPUTED_VALUE"""),14520053)</f>
        <v>#NAME?</v>
      </c>
      <c r="B301" s="100" t="e">
        <f ca="1">IFERROR(__xludf.DUMMYFUNCTION("""COMPUTED_VALUE"""),"manekiusdt")</f>
        <v>#NAME?</v>
      </c>
      <c r="C301" s="100" t="e">
        <f ca="1">IFERROR(__xludf.DUMMYFUNCTION("""COMPUTED_VALUE"""),"0.002284")</f>
        <v>#NAME?</v>
      </c>
      <c r="D301" s="100" t="e">
        <f t="shared" ca="1" si="44"/>
        <v>#NAME?</v>
      </c>
      <c r="E301" s="100" t="e">
        <f t="shared" ca="1" si="44"/>
        <v>#NAME?</v>
      </c>
      <c r="F301" s="100" t="e">
        <f t="shared" ca="1" si="37"/>
        <v>#NAME?</v>
      </c>
      <c r="G301" s="100" t="e">
        <f t="shared" ca="1" si="38"/>
        <v>#NAME?</v>
      </c>
      <c r="H301" s="100" t="e">
        <f t="shared" ca="1" si="39"/>
        <v>#NAME?</v>
      </c>
      <c r="I301" s="100" t="e">
        <f t="shared" ca="1" si="40"/>
        <v>#NAME?</v>
      </c>
      <c r="J301" s="100" t="e">
        <f t="shared" ca="1" si="41"/>
        <v>#NAME?</v>
      </c>
      <c r="K301" s="100" t="e">
        <f t="shared" ca="1" si="42"/>
        <v>#NAME?</v>
      </c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 spans="1:26">
      <c r="A302" s="100" t="e">
        <f ca="1">IFERROR(__xludf.DUMMYFUNCTION("""COMPUTED_VALUE"""),14520054)</f>
        <v>#NAME?</v>
      </c>
      <c r="B302" s="100" t="e">
        <f ca="1">IFERROR(__xludf.DUMMYFUNCTION("""COMPUTED_VALUE"""),"cvpusdt")</f>
        <v>#NAME?</v>
      </c>
      <c r="C302" s="100" t="e">
        <f ca="1">IFERROR(__xludf.DUMMYFUNCTION("""COMPUTED_VALUE"""),"0.0093")</f>
        <v>#NAME?</v>
      </c>
      <c r="D302" s="100" t="e">
        <f t="shared" ref="D302:E321" ca="1" si="45">IFERROR(__xludf.DUMMYFUNCTION("""COMPUTED_VALUE"""),"-")</f>
        <v>#NAME?</v>
      </c>
      <c r="E302" s="100" t="e">
        <f t="shared" ca="1" si="45"/>
        <v>#NAME?</v>
      </c>
      <c r="F302" s="100" t="e">
        <f t="shared" ca="1" si="37"/>
        <v>#NAME?</v>
      </c>
      <c r="G302" s="100" t="e">
        <f t="shared" ca="1" si="38"/>
        <v>#NAME?</v>
      </c>
      <c r="H302" s="100" t="e">
        <f t="shared" ca="1" si="39"/>
        <v>#NAME?</v>
      </c>
      <c r="I302" s="100" t="e">
        <f t="shared" ca="1" si="40"/>
        <v>#NAME?</v>
      </c>
      <c r="J302" s="100" t="e">
        <f t="shared" ca="1" si="41"/>
        <v>#NAME?</v>
      </c>
      <c r="K302" s="100" t="e">
        <f t="shared" ca="1" si="42"/>
        <v>#NAME?</v>
      </c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 spans="1:26">
      <c r="A303" s="100" t="e">
        <f ca="1">IFERROR(__xludf.DUMMYFUNCTION("""COMPUTED_VALUE"""),14520055)</f>
        <v>#NAME?</v>
      </c>
      <c r="B303" s="100" t="e">
        <f ca="1">IFERROR(__xludf.DUMMYFUNCTION("""COMPUTED_VALUE"""),"mapousdt")</f>
        <v>#NAME?</v>
      </c>
      <c r="C303" s="100" t="e">
        <f ca="1">IFERROR(__xludf.DUMMYFUNCTION("""COMPUTED_VALUE"""),"0.004505")</f>
        <v>#NAME?</v>
      </c>
      <c r="D303" s="100" t="e">
        <f t="shared" ca="1" si="45"/>
        <v>#NAME?</v>
      </c>
      <c r="E303" s="100" t="e">
        <f t="shared" ca="1" si="45"/>
        <v>#NAME?</v>
      </c>
      <c r="F303" s="100" t="e">
        <f t="shared" ca="1" si="37"/>
        <v>#NAME?</v>
      </c>
      <c r="G303" s="100" t="e">
        <f t="shared" ca="1" si="38"/>
        <v>#NAME?</v>
      </c>
      <c r="H303" s="100" t="e">
        <f t="shared" ca="1" si="39"/>
        <v>#NAME?</v>
      </c>
      <c r="I303" s="100" t="e">
        <f t="shared" ca="1" si="40"/>
        <v>#NAME?</v>
      </c>
      <c r="J303" s="100" t="e">
        <f t="shared" ca="1" si="41"/>
        <v>#NAME?</v>
      </c>
      <c r="K303" s="100" t="e">
        <f t="shared" ca="1" si="42"/>
        <v>#NAME?</v>
      </c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 spans="1:26">
      <c r="A304" s="100" t="e">
        <f ca="1">IFERROR(__xludf.DUMMYFUNCTION("""COMPUTED_VALUE"""),14520056)</f>
        <v>#NAME?</v>
      </c>
      <c r="B304" s="100" t="e">
        <f ca="1">IFERROR(__xludf.DUMMYFUNCTION("""COMPUTED_VALUE"""),"galausdt")</f>
        <v>#NAME?</v>
      </c>
      <c r="C304" s="100" t="e">
        <f ca="1">IFERROR(__xludf.DUMMYFUNCTION("""COMPUTED_VALUE"""),"0.015954")</f>
        <v>#NAME?</v>
      </c>
      <c r="D304" s="100" t="e">
        <f t="shared" ca="1" si="45"/>
        <v>#NAME?</v>
      </c>
      <c r="E304" s="100" t="e">
        <f t="shared" ca="1" si="45"/>
        <v>#NAME?</v>
      </c>
      <c r="F304" s="100" t="e">
        <f t="shared" ca="1" si="37"/>
        <v>#NAME?</v>
      </c>
      <c r="G304" s="100" t="e">
        <f t="shared" ca="1" si="38"/>
        <v>#NAME?</v>
      </c>
      <c r="H304" s="100" t="e">
        <f t="shared" ca="1" si="39"/>
        <v>#NAME?</v>
      </c>
      <c r="I304" s="100" t="e">
        <f t="shared" ca="1" si="40"/>
        <v>#NAME?</v>
      </c>
      <c r="J304" s="100" t="e">
        <f t="shared" ca="1" si="41"/>
        <v>#NAME?</v>
      </c>
      <c r="K304" s="100" t="e">
        <f t="shared" ca="1" si="42"/>
        <v>#NAME?</v>
      </c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 spans="1:26">
      <c r="A305" s="100" t="e">
        <f ca="1">IFERROR(__xludf.DUMMYFUNCTION("""COMPUTED_VALUE"""),14520057)</f>
        <v>#NAME?</v>
      </c>
      <c r="B305" s="100" t="e">
        <f ca="1">IFERROR(__xludf.DUMMYFUNCTION("""COMPUTED_VALUE"""),"nakausdt")</f>
        <v>#NAME?</v>
      </c>
      <c r="C305" s="100" t="e">
        <f ca="1">IFERROR(__xludf.DUMMYFUNCTION("""COMPUTED_VALUE"""),"0.3283")</f>
        <v>#NAME?</v>
      </c>
      <c r="D305" s="100" t="e">
        <f t="shared" ca="1" si="45"/>
        <v>#NAME?</v>
      </c>
      <c r="E305" s="100" t="e">
        <f t="shared" ca="1" si="45"/>
        <v>#NAME?</v>
      </c>
      <c r="F305" s="100" t="e">
        <f t="shared" ca="1" si="37"/>
        <v>#NAME?</v>
      </c>
      <c r="G305" s="100" t="e">
        <f t="shared" ca="1" si="38"/>
        <v>#NAME?</v>
      </c>
      <c r="H305" s="100" t="e">
        <f t="shared" ca="1" si="39"/>
        <v>#NAME?</v>
      </c>
      <c r="I305" s="100" t="e">
        <f t="shared" ca="1" si="40"/>
        <v>#NAME?</v>
      </c>
      <c r="J305" s="100" t="e">
        <f t="shared" ca="1" si="41"/>
        <v>#NAME?</v>
      </c>
      <c r="K305" s="100" t="e">
        <f t="shared" ca="1" si="42"/>
        <v>#NAME?</v>
      </c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 spans="1:26">
      <c r="A306" s="100" t="e">
        <f ca="1">IFERROR(__xludf.DUMMYFUNCTION("""COMPUTED_VALUE"""),14520058)</f>
        <v>#NAME?</v>
      </c>
      <c r="B306" s="100" t="e">
        <f ca="1">IFERROR(__xludf.DUMMYFUNCTION("""COMPUTED_VALUE"""),"usdjusdt")</f>
        <v>#NAME?</v>
      </c>
      <c r="C306" s="100" t="e">
        <f ca="1">IFERROR(__xludf.DUMMYFUNCTION("""COMPUTED_VALUE"""),"1.1388")</f>
        <v>#NAME?</v>
      </c>
      <c r="D306" s="100" t="e">
        <f t="shared" ca="1" si="45"/>
        <v>#NAME?</v>
      </c>
      <c r="E306" s="100" t="e">
        <f t="shared" ca="1" si="45"/>
        <v>#NAME?</v>
      </c>
      <c r="F306" s="100" t="e">
        <f t="shared" ca="1" si="37"/>
        <v>#NAME?</v>
      </c>
      <c r="G306" s="100" t="e">
        <f t="shared" ca="1" si="38"/>
        <v>#NAME?</v>
      </c>
      <c r="H306" s="100" t="e">
        <f t="shared" ca="1" si="39"/>
        <v>#NAME?</v>
      </c>
      <c r="I306" s="100" t="e">
        <f t="shared" ca="1" si="40"/>
        <v>#NAME?</v>
      </c>
      <c r="J306" s="100" t="e">
        <f t="shared" ca="1" si="41"/>
        <v>#NAME?</v>
      </c>
      <c r="K306" s="100" t="e">
        <f t="shared" ca="1" si="42"/>
        <v>#NAME?</v>
      </c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 spans="1:26">
      <c r="A307" s="100" t="e">
        <f ca="1">IFERROR(__xludf.DUMMYFUNCTION("""COMPUTED_VALUE"""),14520059)</f>
        <v>#NAME?</v>
      </c>
      <c r="B307" s="100" t="e">
        <f ca="1">IFERROR(__xludf.DUMMYFUNCTION("""COMPUTED_VALUE"""),"ethfiusdt")</f>
        <v>#NAME?</v>
      </c>
      <c r="C307" s="100" t="e">
        <f ca="1">IFERROR(__xludf.DUMMYFUNCTION("""COMPUTED_VALUE"""),"0.5132")</f>
        <v>#NAME?</v>
      </c>
      <c r="D307" s="100" t="e">
        <f t="shared" ca="1" si="45"/>
        <v>#NAME?</v>
      </c>
      <c r="E307" s="100" t="e">
        <f t="shared" ca="1" si="45"/>
        <v>#NAME?</v>
      </c>
      <c r="F307" s="100" t="e">
        <f t="shared" ca="1" si="37"/>
        <v>#NAME?</v>
      </c>
      <c r="G307" s="100" t="e">
        <f t="shared" ca="1" si="38"/>
        <v>#NAME?</v>
      </c>
      <c r="H307" s="100" t="e">
        <f t="shared" ca="1" si="39"/>
        <v>#NAME?</v>
      </c>
      <c r="I307" s="100" t="e">
        <f t="shared" ca="1" si="40"/>
        <v>#NAME?</v>
      </c>
      <c r="J307" s="100" t="e">
        <f t="shared" ca="1" si="41"/>
        <v>#NAME?</v>
      </c>
      <c r="K307" s="100" t="e">
        <f t="shared" ca="1" si="42"/>
        <v>#NAME?</v>
      </c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 spans="1:26">
      <c r="A308" s="100" t="e">
        <f ca="1">IFERROR(__xludf.DUMMYFUNCTION("""COMPUTED_VALUE"""),14520060)</f>
        <v>#NAME?</v>
      </c>
      <c r="B308" s="100" t="e">
        <f ca="1">IFERROR(__xludf.DUMMYFUNCTION("""COMPUTED_VALUE"""),"klvusdt")</f>
        <v>#NAME?</v>
      </c>
      <c r="C308" s="100" t="e">
        <f ca="1">IFERROR(__xludf.DUMMYFUNCTION("""COMPUTED_VALUE"""),"0.003856")</f>
        <v>#NAME?</v>
      </c>
      <c r="D308" s="100" t="e">
        <f t="shared" ca="1" si="45"/>
        <v>#NAME?</v>
      </c>
      <c r="E308" s="100" t="e">
        <f t="shared" ca="1" si="45"/>
        <v>#NAME?</v>
      </c>
      <c r="F308" s="100" t="e">
        <f t="shared" ca="1" si="37"/>
        <v>#NAME?</v>
      </c>
      <c r="G308" s="100" t="e">
        <f t="shared" ca="1" si="38"/>
        <v>#NAME?</v>
      </c>
      <c r="H308" s="100" t="e">
        <f t="shared" ca="1" si="39"/>
        <v>#NAME?</v>
      </c>
      <c r="I308" s="100" t="e">
        <f t="shared" ca="1" si="40"/>
        <v>#NAME?</v>
      </c>
      <c r="J308" s="100" t="e">
        <f t="shared" ca="1" si="41"/>
        <v>#NAME?</v>
      </c>
      <c r="K308" s="100" t="e">
        <f t="shared" ca="1" si="42"/>
        <v>#NAME?</v>
      </c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 spans="1:26">
      <c r="A309" s="100" t="e">
        <f ca="1">IFERROR(__xludf.DUMMYFUNCTION("""COMPUTED_VALUE"""),14520061)</f>
        <v>#NAME?</v>
      </c>
      <c r="B309" s="100" t="e">
        <f ca="1">IFERROR(__xludf.DUMMYFUNCTION("""COMPUTED_VALUE"""),"azerousdt")</f>
        <v>#NAME?</v>
      </c>
      <c r="C309" s="100" t="e">
        <f ca="1">IFERROR(__xludf.DUMMYFUNCTION("""COMPUTED_VALUE"""),"0.1014")</f>
        <v>#NAME?</v>
      </c>
      <c r="D309" s="100" t="e">
        <f t="shared" ca="1" si="45"/>
        <v>#NAME?</v>
      </c>
      <c r="E309" s="100" t="e">
        <f t="shared" ca="1" si="45"/>
        <v>#NAME?</v>
      </c>
      <c r="F309" s="100" t="e">
        <f t="shared" ca="1" si="37"/>
        <v>#NAME?</v>
      </c>
      <c r="G309" s="100" t="e">
        <f t="shared" ca="1" si="38"/>
        <v>#NAME?</v>
      </c>
      <c r="H309" s="100" t="e">
        <f t="shared" ca="1" si="39"/>
        <v>#NAME?</v>
      </c>
      <c r="I309" s="100" t="e">
        <f t="shared" ca="1" si="40"/>
        <v>#NAME?</v>
      </c>
      <c r="J309" s="100" t="e">
        <f t="shared" ca="1" si="41"/>
        <v>#NAME?</v>
      </c>
      <c r="K309" s="100" t="e">
        <f t="shared" ca="1" si="42"/>
        <v>#NAME?</v>
      </c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 spans="1:26">
      <c r="A310" s="100" t="e">
        <f ca="1">IFERROR(__xludf.DUMMYFUNCTION("""COMPUTED_VALUE"""),14520062)</f>
        <v>#NAME?</v>
      </c>
      <c r="B310" s="100" t="e">
        <f ca="1">IFERROR(__xludf.DUMMYFUNCTION("""COMPUTED_VALUE"""),"mkrusdt")</f>
        <v>#NAME?</v>
      </c>
      <c r="C310" s="100" t="e">
        <f ca="1">IFERROR(__xludf.DUMMYFUNCTION("""COMPUTED_VALUE"""),"1385.21")</f>
        <v>#NAME?</v>
      </c>
      <c r="D310" s="100" t="e">
        <f t="shared" ca="1" si="45"/>
        <v>#NAME?</v>
      </c>
      <c r="E310" s="100" t="e">
        <f t="shared" ca="1" si="45"/>
        <v>#NAME?</v>
      </c>
      <c r="F310" s="100" t="e">
        <f t="shared" ca="1" si="37"/>
        <v>#NAME?</v>
      </c>
      <c r="G310" s="100" t="e">
        <f t="shared" ca="1" si="38"/>
        <v>#NAME?</v>
      </c>
      <c r="H310" s="100" t="e">
        <f t="shared" ca="1" si="39"/>
        <v>#NAME?</v>
      </c>
      <c r="I310" s="100" t="e">
        <f t="shared" ca="1" si="40"/>
        <v>#NAME?</v>
      </c>
      <c r="J310" s="100" t="e">
        <f t="shared" ca="1" si="41"/>
        <v>#NAME?</v>
      </c>
      <c r="K310" s="100" t="e">
        <f t="shared" ca="1" si="42"/>
        <v>#NAME?</v>
      </c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 spans="1:26">
      <c r="A311" s="100" t="e">
        <f ca="1">IFERROR(__xludf.DUMMYFUNCTION("""COMPUTED_VALUE"""),14520063)</f>
        <v>#NAME?</v>
      </c>
      <c r="B311" s="100" t="e">
        <f ca="1">IFERROR(__xludf.DUMMYFUNCTION("""COMPUTED_VALUE"""),"brettusdt")</f>
        <v>#NAME?</v>
      </c>
      <c r="C311" s="100" t="e">
        <f ca="1">IFERROR(__xludf.DUMMYFUNCTION("""COMPUTED_VALUE"""),"0.03556")</f>
        <v>#NAME?</v>
      </c>
      <c r="D311" s="100" t="e">
        <f t="shared" ca="1" si="45"/>
        <v>#NAME?</v>
      </c>
      <c r="E311" s="100" t="e">
        <f t="shared" ca="1" si="45"/>
        <v>#NAME?</v>
      </c>
      <c r="F311" s="100" t="e">
        <f t="shared" ca="1" si="37"/>
        <v>#NAME?</v>
      </c>
      <c r="G311" s="100" t="e">
        <f t="shared" ca="1" si="38"/>
        <v>#NAME?</v>
      </c>
      <c r="H311" s="100" t="e">
        <f t="shared" ca="1" si="39"/>
        <v>#NAME?</v>
      </c>
      <c r="I311" s="100" t="e">
        <f t="shared" ca="1" si="40"/>
        <v>#NAME?</v>
      </c>
      <c r="J311" s="100" t="e">
        <f t="shared" ca="1" si="41"/>
        <v>#NAME?</v>
      </c>
      <c r="K311" s="100" t="e">
        <f t="shared" ca="1" si="42"/>
        <v>#NAME?</v>
      </c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 spans="1:26">
      <c r="A312" s="100" t="e">
        <f ca="1">IFERROR(__xludf.DUMMYFUNCTION("""COMPUTED_VALUE"""),14520064)</f>
        <v>#NAME?</v>
      </c>
      <c r="B312" s="100" t="e">
        <f ca="1">IFERROR(__xludf.DUMMYFUNCTION("""COMPUTED_VALUE"""),"mythusdt")</f>
        <v>#NAME?</v>
      </c>
      <c r="C312" s="100" t="e">
        <f ca="1">IFERROR(__xludf.DUMMYFUNCTION("""COMPUTED_VALUE"""),"0.1295")</f>
        <v>#NAME?</v>
      </c>
      <c r="D312" s="100" t="e">
        <f t="shared" ca="1" si="45"/>
        <v>#NAME?</v>
      </c>
      <c r="E312" s="100" t="e">
        <f t="shared" ca="1" si="45"/>
        <v>#NAME?</v>
      </c>
      <c r="F312" s="100" t="e">
        <f t="shared" ca="1" si="37"/>
        <v>#NAME?</v>
      </c>
      <c r="G312" s="100" t="e">
        <f t="shared" ca="1" si="38"/>
        <v>#NAME?</v>
      </c>
      <c r="H312" s="100" t="e">
        <f t="shared" ca="1" si="39"/>
        <v>#NAME?</v>
      </c>
      <c r="I312" s="100" t="e">
        <f t="shared" ca="1" si="40"/>
        <v>#NAME?</v>
      </c>
      <c r="J312" s="100" t="e">
        <f t="shared" ca="1" si="41"/>
        <v>#NAME?</v>
      </c>
      <c r="K312" s="100" t="e">
        <f t="shared" ca="1" si="42"/>
        <v>#NAME?</v>
      </c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 spans="1:26">
      <c r="A313" s="100" t="e">
        <f ca="1">IFERROR(__xludf.DUMMYFUNCTION("""COMPUTED_VALUE"""),14520065)</f>
        <v>#NAME?</v>
      </c>
      <c r="B313" s="100" t="e">
        <f ca="1">IFERROR(__xludf.DUMMYFUNCTION("""COMPUTED_VALUE"""),"swellusdt")</f>
        <v>#NAME?</v>
      </c>
      <c r="C313" s="100" t="e">
        <f ca="1">IFERROR(__xludf.DUMMYFUNCTION("""COMPUTED_VALUE"""),"0.00871")</f>
        <v>#NAME?</v>
      </c>
      <c r="D313" s="100" t="e">
        <f t="shared" ca="1" si="45"/>
        <v>#NAME?</v>
      </c>
      <c r="E313" s="100" t="e">
        <f t="shared" ca="1" si="45"/>
        <v>#NAME?</v>
      </c>
      <c r="F313" s="100" t="e">
        <f t="shared" ca="1" si="37"/>
        <v>#NAME?</v>
      </c>
      <c r="G313" s="100" t="e">
        <f t="shared" ca="1" si="38"/>
        <v>#NAME?</v>
      </c>
      <c r="H313" s="100" t="e">
        <f t="shared" ca="1" si="39"/>
        <v>#NAME?</v>
      </c>
      <c r="I313" s="100" t="e">
        <f t="shared" ca="1" si="40"/>
        <v>#NAME?</v>
      </c>
      <c r="J313" s="100" t="e">
        <f t="shared" ca="1" si="41"/>
        <v>#NAME?</v>
      </c>
      <c r="K313" s="100" t="e">
        <f t="shared" ca="1" si="42"/>
        <v>#NAME?</v>
      </c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 spans="1:26">
      <c r="A314" s="100" t="e">
        <f ca="1">IFERROR(__xludf.DUMMYFUNCTION("""COMPUTED_VALUE"""),14520066)</f>
        <v>#NAME?</v>
      </c>
      <c r="B314" s="100" t="e">
        <f ca="1">IFERROR(__xludf.DUMMYFUNCTION("""COMPUTED_VALUE"""),"arusdt")</f>
        <v>#NAME?</v>
      </c>
      <c r="C314" s="100" t="e">
        <f ca="1">IFERROR(__xludf.DUMMYFUNCTION("""COMPUTED_VALUE"""),"5.5406")</f>
        <v>#NAME?</v>
      </c>
      <c r="D314" s="100" t="e">
        <f t="shared" ca="1" si="45"/>
        <v>#NAME?</v>
      </c>
      <c r="E314" s="100" t="e">
        <f t="shared" ca="1" si="45"/>
        <v>#NAME?</v>
      </c>
      <c r="F314" s="100" t="e">
        <f t="shared" ca="1" si="37"/>
        <v>#NAME?</v>
      </c>
      <c r="G314" s="100" t="e">
        <f t="shared" ca="1" si="38"/>
        <v>#NAME?</v>
      </c>
      <c r="H314" s="100" t="e">
        <f t="shared" ca="1" si="39"/>
        <v>#NAME?</v>
      </c>
      <c r="I314" s="100" t="e">
        <f t="shared" ca="1" si="40"/>
        <v>#NAME?</v>
      </c>
      <c r="J314" s="100" t="e">
        <f t="shared" ca="1" si="41"/>
        <v>#NAME?</v>
      </c>
      <c r="K314" s="100" t="e">
        <f t="shared" ca="1" si="42"/>
        <v>#NAME?</v>
      </c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 spans="1:26">
      <c r="A315" s="100" t="e">
        <f ca="1">IFERROR(__xludf.DUMMYFUNCTION("""COMPUTED_VALUE"""),14520067)</f>
        <v>#NAME?</v>
      </c>
      <c r="B315" s="100" t="e">
        <f ca="1">IFERROR(__xludf.DUMMYFUNCTION("""COMPUTED_VALUE"""),"zbcnusdt")</f>
        <v>#NAME?</v>
      </c>
      <c r="C315" s="100" t="e">
        <f ca="1">IFERROR(__xludf.DUMMYFUNCTION("""COMPUTED_VALUE"""),"0.0008163")</f>
        <v>#NAME?</v>
      </c>
      <c r="D315" s="100" t="e">
        <f t="shared" ca="1" si="45"/>
        <v>#NAME?</v>
      </c>
      <c r="E315" s="100" t="e">
        <f t="shared" ca="1" si="45"/>
        <v>#NAME?</v>
      </c>
      <c r="F315" s="100" t="e">
        <f t="shared" ca="1" si="37"/>
        <v>#NAME?</v>
      </c>
      <c r="G315" s="100" t="e">
        <f t="shared" ca="1" si="38"/>
        <v>#NAME?</v>
      </c>
      <c r="H315" s="100" t="e">
        <f t="shared" ca="1" si="39"/>
        <v>#NAME?</v>
      </c>
      <c r="I315" s="100" t="e">
        <f t="shared" ca="1" si="40"/>
        <v>#NAME?</v>
      </c>
      <c r="J315" s="100" t="e">
        <f t="shared" ca="1" si="41"/>
        <v>#NAME?</v>
      </c>
      <c r="K315" s="100" t="e">
        <f t="shared" ca="1" si="42"/>
        <v>#NAME?</v>
      </c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 spans="1:26">
      <c r="A316" s="100" t="e">
        <f ca="1">IFERROR(__xludf.DUMMYFUNCTION("""COMPUTED_VALUE"""),14520068)</f>
        <v>#NAME?</v>
      </c>
      <c r="B316" s="100" t="e">
        <f ca="1">IFERROR(__xludf.DUMMYFUNCTION("""COMPUTED_VALUE"""),"prqusdt")</f>
        <v>#NAME?</v>
      </c>
      <c r="C316" s="100" t="e">
        <f ca="1">IFERROR(__xludf.DUMMYFUNCTION("""COMPUTED_VALUE"""),"0.0832")</f>
        <v>#NAME?</v>
      </c>
      <c r="D316" s="100" t="e">
        <f t="shared" ca="1" si="45"/>
        <v>#NAME?</v>
      </c>
      <c r="E316" s="100" t="e">
        <f t="shared" ca="1" si="45"/>
        <v>#NAME?</v>
      </c>
      <c r="F316" s="100" t="e">
        <f t="shared" ca="1" si="37"/>
        <v>#NAME?</v>
      </c>
      <c r="G316" s="100" t="e">
        <f t="shared" ca="1" si="38"/>
        <v>#NAME?</v>
      </c>
      <c r="H316" s="100" t="e">
        <f t="shared" ca="1" si="39"/>
        <v>#NAME?</v>
      </c>
      <c r="I316" s="100" t="e">
        <f t="shared" ca="1" si="40"/>
        <v>#NAME?</v>
      </c>
      <c r="J316" s="100" t="e">
        <f t="shared" ca="1" si="41"/>
        <v>#NAME?</v>
      </c>
      <c r="K316" s="100" t="e">
        <f t="shared" ca="1" si="42"/>
        <v>#NAME?</v>
      </c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 spans="1:26">
      <c r="A317" s="100" t="e">
        <f ca="1">IFERROR(__xludf.DUMMYFUNCTION("""COMPUTED_VALUE"""),14520069)</f>
        <v>#NAME?</v>
      </c>
      <c r="B317" s="100" t="e">
        <f ca="1">IFERROR(__xludf.DUMMYFUNCTION("""COMPUTED_VALUE"""),"pandorausdt")</f>
        <v>#NAME?</v>
      </c>
      <c r="C317" s="100" t="e">
        <f ca="1">IFERROR(__xludf.DUMMYFUNCTION("""COMPUTED_VALUE"""),"492.1")</f>
        <v>#NAME?</v>
      </c>
      <c r="D317" s="100" t="e">
        <f t="shared" ca="1" si="45"/>
        <v>#NAME?</v>
      </c>
      <c r="E317" s="100" t="e">
        <f t="shared" ca="1" si="45"/>
        <v>#NAME?</v>
      </c>
      <c r="F317" s="100" t="e">
        <f t="shared" ca="1" si="37"/>
        <v>#NAME?</v>
      </c>
      <c r="G317" s="100" t="e">
        <f t="shared" ca="1" si="38"/>
        <v>#NAME?</v>
      </c>
      <c r="H317" s="100" t="e">
        <f t="shared" ca="1" si="39"/>
        <v>#NAME?</v>
      </c>
      <c r="I317" s="100" t="e">
        <f t="shared" ca="1" si="40"/>
        <v>#NAME?</v>
      </c>
      <c r="J317" s="100" t="e">
        <f t="shared" ca="1" si="41"/>
        <v>#NAME?</v>
      </c>
      <c r="K317" s="100" t="e">
        <f t="shared" ca="1" si="42"/>
        <v>#NAME?</v>
      </c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 spans="1:26">
      <c r="A318" s="100" t="e">
        <f ca="1">IFERROR(__xludf.DUMMYFUNCTION("""COMPUTED_VALUE"""),14520070)</f>
        <v>#NAME?</v>
      </c>
      <c r="B318" s="100" t="e">
        <f ca="1">IFERROR(__xludf.DUMMYFUNCTION("""COMPUTED_VALUE"""),"lrdsusdt")</f>
        <v>#NAME?</v>
      </c>
      <c r="C318" s="100" t="e">
        <f ca="1">IFERROR(__xludf.DUMMYFUNCTION("""COMPUTED_VALUE"""),"0.0")</f>
        <v>#NAME?</v>
      </c>
      <c r="D318" s="100" t="e">
        <f t="shared" ca="1" si="45"/>
        <v>#NAME?</v>
      </c>
      <c r="E318" s="100" t="e">
        <f t="shared" ca="1" si="45"/>
        <v>#NAME?</v>
      </c>
      <c r="F318" s="100" t="e">
        <f t="shared" ca="1" si="37"/>
        <v>#NAME?</v>
      </c>
      <c r="G318" s="100" t="e">
        <f t="shared" ca="1" si="38"/>
        <v>#NAME?</v>
      </c>
      <c r="H318" s="100" t="e">
        <f t="shared" ca="1" si="39"/>
        <v>#NAME?</v>
      </c>
      <c r="I318" s="100" t="e">
        <f t="shared" ca="1" si="40"/>
        <v>#NAME?</v>
      </c>
      <c r="J318" s="100" t="e">
        <f t="shared" ca="1" si="41"/>
        <v>#NAME?</v>
      </c>
      <c r="K318" s="100" t="e">
        <f t="shared" ca="1" si="42"/>
        <v>#NAME?</v>
      </c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 spans="1:26">
      <c r="A319" s="100" t="e">
        <f ca="1">IFERROR(__xludf.DUMMYFUNCTION("""COMPUTED_VALUE"""),14520071)</f>
        <v>#NAME?</v>
      </c>
      <c r="B319" s="100" t="e">
        <f ca="1">IFERROR(__xludf.DUMMYFUNCTION("""COMPUTED_VALUE"""),"bchusdt")</f>
        <v>#NAME?</v>
      </c>
      <c r="C319" s="100" t="e">
        <f ca="1">IFERROR(__xludf.DUMMYFUNCTION("""COMPUTED_VALUE"""),"346.63")</f>
        <v>#NAME?</v>
      </c>
      <c r="D319" s="100" t="e">
        <f t="shared" ca="1" si="45"/>
        <v>#NAME?</v>
      </c>
      <c r="E319" s="100" t="e">
        <f t="shared" ca="1" si="45"/>
        <v>#NAME?</v>
      </c>
      <c r="F319" s="100" t="e">
        <f t="shared" ca="1" si="37"/>
        <v>#NAME?</v>
      </c>
      <c r="G319" s="100" t="e">
        <f t="shared" ca="1" si="38"/>
        <v>#NAME?</v>
      </c>
      <c r="H319" s="100" t="e">
        <f t="shared" ca="1" si="39"/>
        <v>#NAME?</v>
      </c>
      <c r="I319" s="100" t="e">
        <f t="shared" ca="1" si="40"/>
        <v>#NAME?</v>
      </c>
      <c r="J319" s="100" t="e">
        <f t="shared" ca="1" si="41"/>
        <v>#NAME?</v>
      </c>
      <c r="K319" s="100" t="e">
        <f t="shared" ca="1" si="42"/>
        <v>#NAME?</v>
      </c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 spans="1:26">
      <c r="A320" s="100" t="e">
        <f ca="1">IFERROR(__xludf.DUMMYFUNCTION("""COMPUTED_VALUE"""),14520072)</f>
        <v>#NAME?</v>
      </c>
      <c r="B320" s="100" t="e">
        <f ca="1">IFERROR(__xludf.DUMMYFUNCTION("""COMPUTED_VALUE"""),"cgptusdt")</f>
        <v>#NAME?</v>
      </c>
      <c r="C320" s="100" t="e">
        <f ca="1">IFERROR(__xludf.DUMMYFUNCTION("""COMPUTED_VALUE"""),"0.0801")</f>
        <v>#NAME?</v>
      </c>
      <c r="D320" s="100" t="e">
        <f t="shared" ca="1" si="45"/>
        <v>#NAME?</v>
      </c>
      <c r="E320" s="100" t="e">
        <f t="shared" ca="1" si="45"/>
        <v>#NAME?</v>
      </c>
      <c r="F320" s="100" t="e">
        <f t="shared" ca="1" si="37"/>
        <v>#NAME?</v>
      </c>
      <c r="G320" s="100" t="e">
        <f t="shared" ca="1" si="38"/>
        <v>#NAME?</v>
      </c>
      <c r="H320" s="100" t="e">
        <f t="shared" ca="1" si="39"/>
        <v>#NAME?</v>
      </c>
      <c r="I320" s="100" t="e">
        <f t="shared" ca="1" si="40"/>
        <v>#NAME?</v>
      </c>
      <c r="J320" s="100" t="e">
        <f t="shared" ca="1" si="41"/>
        <v>#NAME?</v>
      </c>
      <c r="K320" s="100" t="e">
        <f t="shared" ca="1" si="42"/>
        <v>#NAME?</v>
      </c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 spans="1:26">
      <c r="A321" s="100" t="e">
        <f ca="1">IFERROR(__xludf.DUMMYFUNCTION("""COMPUTED_VALUE"""),14520073)</f>
        <v>#NAME?</v>
      </c>
      <c r="B321" s="100" t="e">
        <f ca="1">IFERROR(__xludf.DUMMYFUNCTION("""COMPUTED_VALUE"""),"routeusdt")</f>
        <v>#NAME?</v>
      </c>
      <c r="C321" s="100" t="e">
        <f ca="1">IFERROR(__xludf.DUMMYFUNCTION("""COMPUTED_VALUE"""),"0.00994")</f>
        <v>#NAME?</v>
      </c>
      <c r="D321" s="100" t="e">
        <f t="shared" ca="1" si="45"/>
        <v>#NAME?</v>
      </c>
      <c r="E321" s="100" t="e">
        <f t="shared" ca="1" si="45"/>
        <v>#NAME?</v>
      </c>
      <c r="F321" s="100" t="e">
        <f t="shared" ca="1" si="37"/>
        <v>#NAME?</v>
      </c>
      <c r="G321" s="100" t="e">
        <f t="shared" ca="1" si="38"/>
        <v>#NAME?</v>
      </c>
      <c r="H321" s="100" t="e">
        <f t="shared" ca="1" si="39"/>
        <v>#NAME?</v>
      </c>
      <c r="I321" s="100" t="e">
        <f t="shared" ca="1" si="40"/>
        <v>#NAME?</v>
      </c>
      <c r="J321" s="100" t="e">
        <f t="shared" ca="1" si="41"/>
        <v>#NAME?</v>
      </c>
      <c r="K321" s="100" t="e">
        <f t="shared" ca="1" si="42"/>
        <v>#NAME?</v>
      </c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 spans="1:26">
      <c r="A322" s="100" t="e">
        <f ca="1">IFERROR(__xludf.DUMMYFUNCTION("""COMPUTED_VALUE"""),14520074)</f>
        <v>#NAME?</v>
      </c>
      <c r="B322" s="100" t="e">
        <f ca="1">IFERROR(__xludf.DUMMYFUNCTION("""COMPUTED_VALUE"""),"xvgusdt")</f>
        <v>#NAME?</v>
      </c>
      <c r="C322" s="100" t="e">
        <f ca="1">IFERROR(__xludf.DUMMYFUNCTION("""COMPUTED_VALUE"""),"0.004609")</f>
        <v>#NAME?</v>
      </c>
      <c r="D322" s="100" t="e">
        <f t="shared" ref="D322:E341" ca="1" si="46">IFERROR(__xludf.DUMMYFUNCTION("""COMPUTED_VALUE"""),"-")</f>
        <v>#NAME?</v>
      </c>
      <c r="E322" s="100" t="e">
        <f t="shared" ca="1" si="46"/>
        <v>#NAME?</v>
      </c>
      <c r="F322" s="100" t="e">
        <f t="shared" ref="F322:F385" ca="1" si="47">IFERROR(__xludf.DUMMYFUNCTION("""COMPUTED_VALUE"""),20200)</f>
        <v>#NAME?</v>
      </c>
      <c r="G322" s="100" t="e">
        <f t="shared" ref="G322:G385" ca="1" si="48">IFERROR(__xludf.DUMMYFUNCTION("""COMPUTED_VALUE"""),2885)</f>
        <v>#NAME?</v>
      </c>
      <c r="H322" s="100" t="e">
        <f t="shared" ref="H322:H385" ca="1" si="49">IFERROR(__xludf.DUMMYFUNCTION("""COMPUTED_VALUE"""),663)</f>
        <v>#NAME?</v>
      </c>
      <c r="I322" s="100" t="e">
        <f t="shared" ref="I322:I385" ca="1" si="50">IFERROR(__xludf.DUMMYFUNCTION("""COMPUTED_VALUE"""),5817721)</f>
        <v>#NAME?</v>
      </c>
      <c r="J322" s="100" t="e">
        <f t="shared" ref="J322:J385" ca="1" si="51">IFERROR(__xludf.DUMMYFUNCTION("""COMPUTED_VALUE"""),"-")</f>
        <v>#NAME?</v>
      </c>
      <c r="K322" s="100" t="e">
        <f t="shared" ref="K322:K385" ca="1" si="52">IFERROR(__xludf.DUMMYFUNCTION("""COMPUTED_VALUE"""),"22.04.2025 13:05:01")</f>
        <v>#NAME?</v>
      </c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 spans="1:26">
      <c r="A323" s="100" t="e">
        <f ca="1">IFERROR(__xludf.DUMMYFUNCTION("""COMPUTED_VALUE"""),14520075)</f>
        <v>#NAME?</v>
      </c>
      <c r="B323" s="100" t="e">
        <f ca="1">IFERROR(__xludf.DUMMYFUNCTION("""COMPUTED_VALUE"""),"berausdt")</f>
        <v>#NAME?</v>
      </c>
      <c r="C323" s="100" t="e">
        <f ca="1">IFERROR(__xludf.DUMMYFUNCTION("""COMPUTED_VALUE"""),"3.4166")</f>
        <v>#NAME?</v>
      </c>
      <c r="D323" s="100" t="e">
        <f t="shared" ca="1" si="46"/>
        <v>#NAME?</v>
      </c>
      <c r="E323" s="100" t="e">
        <f t="shared" ca="1" si="46"/>
        <v>#NAME?</v>
      </c>
      <c r="F323" s="100" t="e">
        <f t="shared" ca="1" si="47"/>
        <v>#NAME?</v>
      </c>
      <c r="G323" s="100" t="e">
        <f t="shared" ca="1" si="48"/>
        <v>#NAME?</v>
      </c>
      <c r="H323" s="100" t="e">
        <f t="shared" ca="1" si="49"/>
        <v>#NAME?</v>
      </c>
      <c r="I323" s="100" t="e">
        <f t="shared" ca="1" si="50"/>
        <v>#NAME?</v>
      </c>
      <c r="J323" s="100" t="e">
        <f t="shared" ca="1" si="51"/>
        <v>#NAME?</v>
      </c>
      <c r="K323" s="100" t="e">
        <f t="shared" ca="1" si="52"/>
        <v>#NAME?</v>
      </c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 spans="1:26">
      <c r="A324" s="100" t="e">
        <f ca="1">IFERROR(__xludf.DUMMYFUNCTION("""COMPUTED_VALUE"""),14520076)</f>
        <v>#NAME?</v>
      </c>
      <c r="B324" s="100" t="e">
        <f ca="1">IFERROR(__xludf.DUMMYFUNCTION("""COMPUTED_VALUE"""),"daousdt")</f>
        <v>#NAME?</v>
      </c>
      <c r="C324" s="100" t="e">
        <f ca="1">IFERROR(__xludf.DUMMYFUNCTION("""COMPUTED_VALUE"""),"0.126")</f>
        <v>#NAME?</v>
      </c>
      <c r="D324" s="100" t="e">
        <f t="shared" ca="1" si="46"/>
        <v>#NAME?</v>
      </c>
      <c r="E324" s="100" t="e">
        <f t="shared" ca="1" si="46"/>
        <v>#NAME?</v>
      </c>
      <c r="F324" s="100" t="e">
        <f t="shared" ca="1" si="47"/>
        <v>#NAME?</v>
      </c>
      <c r="G324" s="100" t="e">
        <f t="shared" ca="1" si="48"/>
        <v>#NAME?</v>
      </c>
      <c r="H324" s="100" t="e">
        <f t="shared" ca="1" si="49"/>
        <v>#NAME?</v>
      </c>
      <c r="I324" s="100" t="e">
        <f t="shared" ca="1" si="50"/>
        <v>#NAME?</v>
      </c>
      <c r="J324" s="100" t="e">
        <f t="shared" ca="1" si="51"/>
        <v>#NAME?</v>
      </c>
      <c r="K324" s="100" t="e">
        <f t="shared" ca="1" si="52"/>
        <v>#NAME?</v>
      </c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 spans="1:26">
      <c r="A325" s="100" t="e">
        <f ca="1">IFERROR(__xludf.DUMMYFUNCTION("""COMPUTED_VALUE"""),14520077)</f>
        <v>#NAME?</v>
      </c>
      <c r="B325" s="100" t="e">
        <f ca="1">IFERROR(__xludf.DUMMYFUNCTION("""COMPUTED_VALUE"""),"sysusdt")</f>
        <v>#NAME?</v>
      </c>
      <c r="C325" s="100" t="e">
        <f ca="1">IFERROR(__xludf.DUMMYFUNCTION("""COMPUTED_VALUE"""),"0.0362")</f>
        <v>#NAME?</v>
      </c>
      <c r="D325" s="100" t="e">
        <f t="shared" ca="1" si="46"/>
        <v>#NAME?</v>
      </c>
      <c r="E325" s="100" t="e">
        <f t="shared" ca="1" si="46"/>
        <v>#NAME?</v>
      </c>
      <c r="F325" s="100" t="e">
        <f t="shared" ca="1" si="47"/>
        <v>#NAME?</v>
      </c>
      <c r="G325" s="100" t="e">
        <f t="shared" ca="1" si="48"/>
        <v>#NAME?</v>
      </c>
      <c r="H325" s="100" t="e">
        <f t="shared" ca="1" si="49"/>
        <v>#NAME?</v>
      </c>
      <c r="I325" s="100" t="e">
        <f t="shared" ca="1" si="50"/>
        <v>#NAME?</v>
      </c>
      <c r="J325" s="100" t="e">
        <f t="shared" ca="1" si="51"/>
        <v>#NAME?</v>
      </c>
      <c r="K325" s="100" t="e">
        <f t="shared" ca="1" si="52"/>
        <v>#NAME?</v>
      </c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 spans="1:26">
      <c r="A326" s="100" t="e">
        <f ca="1">IFERROR(__xludf.DUMMYFUNCTION("""COMPUTED_VALUE"""),14520078)</f>
        <v>#NAME?</v>
      </c>
      <c r="B326" s="100" t="e">
        <f ca="1">IFERROR(__xludf.DUMMYFUNCTION("""COMPUTED_VALUE"""),"wellusdt")</f>
        <v>#NAME?</v>
      </c>
      <c r="C326" s="100" t="e">
        <f ca="1">IFERROR(__xludf.DUMMYFUNCTION("""COMPUTED_VALUE"""),"0.023227")</f>
        <v>#NAME?</v>
      </c>
      <c r="D326" s="100" t="e">
        <f t="shared" ca="1" si="46"/>
        <v>#NAME?</v>
      </c>
      <c r="E326" s="100" t="e">
        <f t="shared" ca="1" si="46"/>
        <v>#NAME?</v>
      </c>
      <c r="F326" s="100" t="e">
        <f t="shared" ca="1" si="47"/>
        <v>#NAME?</v>
      </c>
      <c r="G326" s="100" t="e">
        <f t="shared" ca="1" si="48"/>
        <v>#NAME?</v>
      </c>
      <c r="H326" s="100" t="e">
        <f t="shared" ca="1" si="49"/>
        <v>#NAME?</v>
      </c>
      <c r="I326" s="100" t="e">
        <f t="shared" ca="1" si="50"/>
        <v>#NAME?</v>
      </c>
      <c r="J326" s="100" t="e">
        <f t="shared" ca="1" si="51"/>
        <v>#NAME?</v>
      </c>
      <c r="K326" s="100" t="e">
        <f t="shared" ca="1" si="52"/>
        <v>#NAME?</v>
      </c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 spans="1:26">
      <c r="A327" s="100" t="e">
        <f ca="1">IFERROR(__xludf.DUMMYFUNCTION("""COMPUTED_VALUE"""),14520079)</f>
        <v>#NAME?</v>
      </c>
      <c r="B327" s="100" t="e">
        <f ca="1">IFERROR(__xludf.DUMMYFUNCTION("""COMPUTED_VALUE"""),"chousdt")</f>
        <v>#NAME?</v>
      </c>
      <c r="C327" s="100" t="e">
        <f ca="1">IFERROR(__xludf.DUMMYFUNCTION("""COMPUTED_VALUE"""),"0.00434")</f>
        <v>#NAME?</v>
      </c>
      <c r="D327" s="100" t="e">
        <f t="shared" ca="1" si="46"/>
        <v>#NAME?</v>
      </c>
      <c r="E327" s="100" t="e">
        <f t="shared" ca="1" si="46"/>
        <v>#NAME?</v>
      </c>
      <c r="F327" s="100" t="e">
        <f t="shared" ca="1" si="47"/>
        <v>#NAME?</v>
      </c>
      <c r="G327" s="100" t="e">
        <f t="shared" ca="1" si="48"/>
        <v>#NAME?</v>
      </c>
      <c r="H327" s="100" t="e">
        <f t="shared" ca="1" si="49"/>
        <v>#NAME?</v>
      </c>
      <c r="I327" s="100" t="e">
        <f t="shared" ca="1" si="50"/>
        <v>#NAME?</v>
      </c>
      <c r="J327" s="100" t="e">
        <f t="shared" ca="1" si="51"/>
        <v>#NAME?</v>
      </c>
      <c r="K327" s="100" t="e">
        <f t="shared" ca="1" si="52"/>
        <v>#NAME?</v>
      </c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 spans="1:26">
      <c r="A328" s="100" t="e">
        <f ca="1">IFERROR(__xludf.DUMMYFUNCTION("""COMPUTED_VALUE"""),14520080)</f>
        <v>#NAME?</v>
      </c>
      <c r="B328" s="100" t="e">
        <f ca="1">IFERROR(__xludf.DUMMYFUNCTION("""COMPUTED_VALUE"""),"eurtusdt")</f>
        <v>#NAME?</v>
      </c>
      <c r="C328" s="100" t="e">
        <f ca="1">IFERROR(__xludf.DUMMYFUNCTION("""COMPUTED_VALUE"""),"1.146")</f>
        <v>#NAME?</v>
      </c>
      <c r="D328" s="100" t="e">
        <f t="shared" ca="1" si="46"/>
        <v>#NAME?</v>
      </c>
      <c r="E328" s="100" t="e">
        <f t="shared" ca="1" si="46"/>
        <v>#NAME?</v>
      </c>
      <c r="F328" s="100" t="e">
        <f t="shared" ca="1" si="47"/>
        <v>#NAME?</v>
      </c>
      <c r="G328" s="100" t="e">
        <f t="shared" ca="1" si="48"/>
        <v>#NAME?</v>
      </c>
      <c r="H328" s="100" t="e">
        <f t="shared" ca="1" si="49"/>
        <v>#NAME?</v>
      </c>
      <c r="I328" s="100" t="e">
        <f t="shared" ca="1" si="50"/>
        <v>#NAME?</v>
      </c>
      <c r="J328" s="100" t="e">
        <f t="shared" ca="1" si="51"/>
        <v>#NAME?</v>
      </c>
      <c r="K328" s="100" t="e">
        <f t="shared" ca="1" si="52"/>
        <v>#NAME?</v>
      </c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 spans="1:26">
      <c r="A329" s="100" t="e">
        <f ca="1">IFERROR(__xludf.DUMMYFUNCTION("""COMPUTED_VALUE"""),14520081)</f>
        <v>#NAME?</v>
      </c>
      <c r="B329" s="100" t="e">
        <f ca="1">IFERROR(__xludf.DUMMYFUNCTION("""COMPUTED_VALUE"""),"zkbusdt")</f>
        <v>#NAME?</v>
      </c>
      <c r="C329" s="100" t="e">
        <f ca="1">IFERROR(__xludf.DUMMYFUNCTION("""COMPUTED_VALUE"""),"0.001667")</f>
        <v>#NAME?</v>
      </c>
      <c r="D329" s="100" t="e">
        <f t="shared" ca="1" si="46"/>
        <v>#NAME?</v>
      </c>
      <c r="E329" s="100" t="e">
        <f t="shared" ca="1" si="46"/>
        <v>#NAME?</v>
      </c>
      <c r="F329" s="100" t="e">
        <f t="shared" ca="1" si="47"/>
        <v>#NAME?</v>
      </c>
      <c r="G329" s="100" t="e">
        <f t="shared" ca="1" si="48"/>
        <v>#NAME?</v>
      </c>
      <c r="H329" s="100" t="e">
        <f t="shared" ca="1" si="49"/>
        <v>#NAME?</v>
      </c>
      <c r="I329" s="100" t="e">
        <f t="shared" ca="1" si="50"/>
        <v>#NAME?</v>
      </c>
      <c r="J329" s="100" t="e">
        <f t="shared" ca="1" si="51"/>
        <v>#NAME?</v>
      </c>
      <c r="K329" s="100" t="e">
        <f t="shared" ca="1" si="52"/>
        <v>#NAME?</v>
      </c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 spans="1:26">
      <c r="A330" s="100" t="e">
        <f ca="1">IFERROR(__xludf.DUMMYFUNCTION("""COMPUTED_VALUE"""),14520082)</f>
        <v>#NAME?</v>
      </c>
      <c r="B330" s="100" t="e">
        <f ca="1">IFERROR(__xludf.DUMMYFUNCTION("""COMPUTED_VALUE"""),"ctxusdt")</f>
        <v>#NAME?</v>
      </c>
      <c r="C330" s="100" t="e">
        <f ca="1">IFERROR(__xludf.DUMMYFUNCTION("""COMPUTED_VALUE"""),"1.649")</f>
        <v>#NAME?</v>
      </c>
      <c r="D330" s="100" t="e">
        <f t="shared" ca="1" si="46"/>
        <v>#NAME?</v>
      </c>
      <c r="E330" s="100" t="e">
        <f t="shared" ca="1" si="46"/>
        <v>#NAME?</v>
      </c>
      <c r="F330" s="100" t="e">
        <f t="shared" ca="1" si="47"/>
        <v>#NAME?</v>
      </c>
      <c r="G330" s="100" t="e">
        <f t="shared" ca="1" si="48"/>
        <v>#NAME?</v>
      </c>
      <c r="H330" s="100" t="e">
        <f t="shared" ca="1" si="49"/>
        <v>#NAME?</v>
      </c>
      <c r="I330" s="100" t="e">
        <f t="shared" ca="1" si="50"/>
        <v>#NAME?</v>
      </c>
      <c r="J330" s="100" t="e">
        <f t="shared" ca="1" si="51"/>
        <v>#NAME?</v>
      </c>
      <c r="K330" s="100" t="e">
        <f t="shared" ca="1" si="52"/>
        <v>#NAME?</v>
      </c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 spans="1:26">
      <c r="A331" s="100" t="e">
        <f ca="1">IFERROR(__xludf.DUMMYFUNCTION("""COMPUTED_VALUE"""),14520083)</f>
        <v>#NAME?</v>
      </c>
      <c r="B331" s="100" t="e">
        <f ca="1">IFERROR(__xludf.DUMMYFUNCTION("""COMPUTED_VALUE"""),"mevusdt")</f>
        <v>#NAME?</v>
      </c>
      <c r="C331" s="100" t="e">
        <f ca="1">IFERROR(__xludf.DUMMYFUNCTION("""COMPUTED_VALUE"""),"0.002542")</f>
        <v>#NAME?</v>
      </c>
      <c r="D331" s="100" t="e">
        <f t="shared" ca="1" si="46"/>
        <v>#NAME?</v>
      </c>
      <c r="E331" s="100" t="e">
        <f t="shared" ca="1" si="46"/>
        <v>#NAME?</v>
      </c>
      <c r="F331" s="100" t="e">
        <f t="shared" ca="1" si="47"/>
        <v>#NAME?</v>
      </c>
      <c r="G331" s="100" t="e">
        <f t="shared" ca="1" si="48"/>
        <v>#NAME?</v>
      </c>
      <c r="H331" s="100" t="e">
        <f t="shared" ca="1" si="49"/>
        <v>#NAME?</v>
      </c>
      <c r="I331" s="100" t="e">
        <f t="shared" ca="1" si="50"/>
        <v>#NAME?</v>
      </c>
      <c r="J331" s="100" t="e">
        <f t="shared" ca="1" si="51"/>
        <v>#NAME?</v>
      </c>
      <c r="K331" s="100" t="e">
        <f t="shared" ca="1" si="52"/>
        <v>#NAME?</v>
      </c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 spans="1:26">
      <c r="A332" s="100" t="e">
        <f ca="1">IFERROR(__xludf.DUMMYFUNCTION("""COMPUTED_VALUE"""),14520084)</f>
        <v>#NAME?</v>
      </c>
      <c r="B332" s="100" t="e">
        <f ca="1">IFERROR(__xludf.DUMMYFUNCTION("""COMPUTED_VALUE"""),"ratsusdt")</f>
        <v>#NAME?</v>
      </c>
      <c r="C332" s="100" t="e">
        <f ca="1">IFERROR(__xludf.DUMMYFUNCTION("""COMPUTED_VALUE"""),"3.024e-05")</f>
        <v>#NAME?</v>
      </c>
      <c r="D332" s="100" t="e">
        <f t="shared" ca="1" si="46"/>
        <v>#NAME?</v>
      </c>
      <c r="E332" s="100" t="e">
        <f t="shared" ca="1" si="46"/>
        <v>#NAME?</v>
      </c>
      <c r="F332" s="100" t="e">
        <f t="shared" ca="1" si="47"/>
        <v>#NAME?</v>
      </c>
      <c r="G332" s="100" t="e">
        <f t="shared" ca="1" si="48"/>
        <v>#NAME?</v>
      </c>
      <c r="H332" s="100" t="e">
        <f t="shared" ca="1" si="49"/>
        <v>#NAME?</v>
      </c>
      <c r="I332" s="100" t="e">
        <f t="shared" ca="1" si="50"/>
        <v>#NAME?</v>
      </c>
      <c r="J332" s="100" t="e">
        <f t="shared" ca="1" si="51"/>
        <v>#NAME?</v>
      </c>
      <c r="K332" s="100" t="e">
        <f t="shared" ca="1" si="52"/>
        <v>#NAME?</v>
      </c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 spans="1:26">
      <c r="A333" s="100" t="e">
        <f ca="1">IFERROR(__xludf.DUMMYFUNCTION("""COMPUTED_VALUE"""),14520085)</f>
        <v>#NAME?</v>
      </c>
      <c r="B333" s="100" t="e">
        <f ca="1">IFERROR(__xludf.DUMMYFUNCTION("""COMPUTED_VALUE"""),"ognusdt")</f>
        <v>#NAME?</v>
      </c>
      <c r="C333" s="100" t="e">
        <f ca="1">IFERROR(__xludf.DUMMYFUNCTION("""COMPUTED_VALUE"""),"0.0577")</f>
        <v>#NAME?</v>
      </c>
      <c r="D333" s="100" t="e">
        <f t="shared" ca="1" si="46"/>
        <v>#NAME?</v>
      </c>
      <c r="E333" s="100" t="e">
        <f t="shared" ca="1" si="46"/>
        <v>#NAME?</v>
      </c>
      <c r="F333" s="100" t="e">
        <f t="shared" ca="1" si="47"/>
        <v>#NAME?</v>
      </c>
      <c r="G333" s="100" t="e">
        <f t="shared" ca="1" si="48"/>
        <v>#NAME?</v>
      </c>
      <c r="H333" s="100" t="e">
        <f t="shared" ca="1" si="49"/>
        <v>#NAME?</v>
      </c>
      <c r="I333" s="100" t="e">
        <f t="shared" ca="1" si="50"/>
        <v>#NAME?</v>
      </c>
      <c r="J333" s="100" t="e">
        <f t="shared" ca="1" si="51"/>
        <v>#NAME?</v>
      </c>
      <c r="K333" s="100" t="e">
        <f t="shared" ca="1" si="52"/>
        <v>#NAME?</v>
      </c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 spans="1:26">
      <c r="A334" s="100" t="e">
        <f ca="1">IFERROR(__xludf.DUMMYFUNCTION("""COMPUTED_VALUE"""),14520086)</f>
        <v>#NAME?</v>
      </c>
      <c r="B334" s="100" t="e">
        <f ca="1">IFERROR(__xludf.DUMMYFUNCTION("""COMPUTED_VALUE"""),"velodromeusdt")</f>
        <v>#NAME?</v>
      </c>
      <c r="C334" s="100" t="e">
        <f ca="1">IFERROR(__xludf.DUMMYFUNCTION("""COMPUTED_VALUE"""),"0.0452")</f>
        <v>#NAME?</v>
      </c>
      <c r="D334" s="100" t="e">
        <f t="shared" ca="1" si="46"/>
        <v>#NAME?</v>
      </c>
      <c r="E334" s="100" t="e">
        <f t="shared" ca="1" si="46"/>
        <v>#NAME?</v>
      </c>
      <c r="F334" s="100" t="e">
        <f t="shared" ca="1" si="47"/>
        <v>#NAME?</v>
      </c>
      <c r="G334" s="100" t="e">
        <f t="shared" ca="1" si="48"/>
        <v>#NAME?</v>
      </c>
      <c r="H334" s="100" t="e">
        <f t="shared" ca="1" si="49"/>
        <v>#NAME?</v>
      </c>
      <c r="I334" s="100" t="e">
        <f t="shared" ca="1" si="50"/>
        <v>#NAME?</v>
      </c>
      <c r="J334" s="100" t="e">
        <f t="shared" ca="1" si="51"/>
        <v>#NAME?</v>
      </c>
      <c r="K334" s="100" t="e">
        <f t="shared" ca="1" si="52"/>
        <v>#NAME?</v>
      </c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 spans="1:26">
      <c r="A335" s="100" t="e">
        <f ca="1">IFERROR(__xludf.DUMMYFUNCTION("""COMPUTED_VALUE"""),14520087)</f>
        <v>#NAME?</v>
      </c>
      <c r="B335" s="100" t="e">
        <f ca="1">IFERROR(__xludf.DUMMYFUNCTION("""COMPUTED_VALUE"""),"brwlusdt")</f>
        <v>#NAME?</v>
      </c>
      <c r="C335" s="100" t="e">
        <f ca="1">IFERROR(__xludf.DUMMYFUNCTION("""COMPUTED_VALUE"""),"0.000556")</f>
        <v>#NAME?</v>
      </c>
      <c r="D335" s="100" t="e">
        <f t="shared" ca="1" si="46"/>
        <v>#NAME?</v>
      </c>
      <c r="E335" s="100" t="e">
        <f t="shared" ca="1" si="46"/>
        <v>#NAME?</v>
      </c>
      <c r="F335" s="100" t="e">
        <f t="shared" ca="1" si="47"/>
        <v>#NAME?</v>
      </c>
      <c r="G335" s="100" t="e">
        <f t="shared" ca="1" si="48"/>
        <v>#NAME?</v>
      </c>
      <c r="H335" s="100" t="e">
        <f t="shared" ca="1" si="49"/>
        <v>#NAME?</v>
      </c>
      <c r="I335" s="100" t="e">
        <f t="shared" ca="1" si="50"/>
        <v>#NAME?</v>
      </c>
      <c r="J335" s="100" t="e">
        <f t="shared" ca="1" si="51"/>
        <v>#NAME?</v>
      </c>
      <c r="K335" s="100" t="e">
        <f t="shared" ca="1" si="52"/>
        <v>#NAME?</v>
      </c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 spans="1:26">
      <c r="A336" s="100" t="e">
        <f ca="1">IFERROR(__xludf.DUMMYFUNCTION("""COMPUTED_VALUE"""),14520088)</f>
        <v>#NAME?</v>
      </c>
      <c r="B336" s="100" t="e">
        <f ca="1">IFERROR(__xludf.DUMMYFUNCTION("""COMPUTED_VALUE"""),"kaitousdt")</f>
        <v>#NAME?</v>
      </c>
      <c r="C336" s="100" t="e">
        <f ca="1">IFERROR(__xludf.DUMMYFUNCTION("""COMPUTED_VALUE"""),"0.7715")</f>
        <v>#NAME?</v>
      </c>
      <c r="D336" s="100" t="e">
        <f t="shared" ca="1" si="46"/>
        <v>#NAME?</v>
      </c>
      <c r="E336" s="100" t="e">
        <f t="shared" ca="1" si="46"/>
        <v>#NAME?</v>
      </c>
      <c r="F336" s="100" t="e">
        <f t="shared" ca="1" si="47"/>
        <v>#NAME?</v>
      </c>
      <c r="G336" s="100" t="e">
        <f t="shared" ca="1" si="48"/>
        <v>#NAME?</v>
      </c>
      <c r="H336" s="100" t="e">
        <f t="shared" ca="1" si="49"/>
        <v>#NAME?</v>
      </c>
      <c r="I336" s="100" t="e">
        <f t="shared" ca="1" si="50"/>
        <v>#NAME?</v>
      </c>
      <c r="J336" s="100" t="e">
        <f t="shared" ca="1" si="51"/>
        <v>#NAME?</v>
      </c>
      <c r="K336" s="100" t="e">
        <f t="shared" ca="1" si="52"/>
        <v>#NAME?</v>
      </c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 spans="1:26">
      <c r="A337" s="100" t="e">
        <f ca="1">IFERROR(__xludf.DUMMYFUNCTION("""COMPUTED_VALUE"""),14520089)</f>
        <v>#NAME?</v>
      </c>
      <c r="B337" s="100" t="e">
        <f ca="1">IFERROR(__xludf.DUMMYFUNCTION("""COMPUTED_VALUE"""),"promusdt")</f>
        <v>#NAME?</v>
      </c>
      <c r="C337" s="100" t="e">
        <f ca="1">IFERROR(__xludf.DUMMYFUNCTION("""COMPUTED_VALUE"""),"5.7796")</f>
        <v>#NAME?</v>
      </c>
      <c r="D337" s="100" t="e">
        <f t="shared" ca="1" si="46"/>
        <v>#NAME?</v>
      </c>
      <c r="E337" s="100" t="e">
        <f t="shared" ca="1" si="46"/>
        <v>#NAME?</v>
      </c>
      <c r="F337" s="100" t="e">
        <f t="shared" ca="1" si="47"/>
        <v>#NAME?</v>
      </c>
      <c r="G337" s="100" t="e">
        <f t="shared" ca="1" si="48"/>
        <v>#NAME?</v>
      </c>
      <c r="H337" s="100" t="e">
        <f t="shared" ca="1" si="49"/>
        <v>#NAME?</v>
      </c>
      <c r="I337" s="100" t="e">
        <f t="shared" ca="1" si="50"/>
        <v>#NAME?</v>
      </c>
      <c r="J337" s="100" t="e">
        <f t="shared" ca="1" si="51"/>
        <v>#NAME?</v>
      </c>
      <c r="K337" s="100" t="e">
        <f t="shared" ca="1" si="52"/>
        <v>#NAME?</v>
      </c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 spans="1:26">
      <c r="A338" s="100" t="e">
        <f ca="1">IFERROR(__xludf.DUMMYFUNCTION("""COMPUTED_VALUE"""),14520090)</f>
        <v>#NAME?</v>
      </c>
      <c r="B338" s="100" t="e">
        <f ca="1">IFERROR(__xludf.DUMMYFUNCTION("""COMPUTED_VALUE"""),"mbxusdt")</f>
        <v>#NAME?</v>
      </c>
      <c r="C338" s="100" t="e">
        <f ca="1">IFERROR(__xludf.DUMMYFUNCTION("""COMPUTED_VALUE"""),"0.1731")</f>
        <v>#NAME?</v>
      </c>
      <c r="D338" s="100" t="e">
        <f t="shared" ca="1" si="46"/>
        <v>#NAME?</v>
      </c>
      <c r="E338" s="100" t="e">
        <f t="shared" ca="1" si="46"/>
        <v>#NAME?</v>
      </c>
      <c r="F338" s="100" t="e">
        <f t="shared" ca="1" si="47"/>
        <v>#NAME?</v>
      </c>
      <c r="G338" s="100" t="e">
        <f t="shared" ca="1" si="48"/>
        <v>#NAME?</v>
      </c>
      <c r="H338" s="100" t="e">
        <f t="shared" ca="1" si="49"/>
        <v>#NAME?</v>
      </c>
      <c r="I338" s="100" t="e">
        <f t="shared" ca="1" si="50"/>
        <v>#NAME?</v>
      </c>
      <c r="J338" s="100" t="e">
        <f t="shared" ca="1" si="51"/>
        <v>#NAME?</v>
      </c>
      <c r="K338" s="100" t="e">
        <f t="shared" ca="1" si="52"/>
        <v>#NAME?</v>
      </c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 spans="1:26">
      <c r="A339" s="100" t="e">
        <f ca="1">IFERROR(__xludf.DUMMYFUNCTION("""COMPUTED_VALUE"""),14520091)</f>
        <v>#NAME?</v>
      </c>
      <c r="B339" s="100" t="e">
        <f ca="1">IFERROR(__xludf.DUMMYFUNCTION("""COMPUTED_VALUE"""),"aptusdt")</f>
        <v>#NAME?</v>
      </c>
      <c r="C339" s="100" t="e">
        <f ca="1">IFERROR(__xludf.DUMMYFUNCTION("""COMPUTED_VALUE"""),"4.8622")</f>
        <v>#NAME?</v>
      </c>
      <c r="D339" s="100" t="e">
        <f t="shared" ca="1" si="46"/>
        <v>#NAME?</v>
      </c>
      <c r="E339" s="100" t="e">
        <f t="shared" ca="1" si="46"/>
        <v>#NAME?</v>
      </c>
      <c r="F339" s="100" t="e">
        <f t="shared" ca="1" si="47"/>
        <v>#NAME?</v>
      </c>
      <c r="G339" s="100" t="e">
        <f t="shared" ca="1" si="48"/>
        <v>#NAME?</v>
      </c>
      <c r="H339" s="100" t="e">
        <f t="shared" ca="1" si="49"/>
        <v>#NAME?</v>
      </c>
      <c r="I339" s="100" t="e">
        <f t="shared" ca="1" si="50"/>
        <v>#NAME?</v>
      </c>
      <c r="J339" s="100" t="e">
        <f t="shared" ca="1" si="51"/>
        <v>#NAME?</v>
      </c>
      <c r="K339" s="100" t="e">
        <f t="shared" ca="1" si="52"/>
        <v>#NAME?</v>
      </c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 spans="1:26">
      <c r="A340" s="100" t="e">
        <f ca="1">IFERROR(__xludf.DUMMYFUNCTION("""COMPUTED_VALUE"""),14520092)</f>
        <v>#NAME?</v>
      </c>
      <c r="B340" s="100" t="e">
        <f ca="1">IFERROR(__xludf.DUMMYFUNCTION("""COMPUTED_VALUE"""),"motherusdt")</f>
        <v>#NAME?</v>
      </c>
      <c r="C340" s="100" t="e">
        <f ca="1">IFERROR(__xludf.DUMMYFUNCTION("""COMPUTED_VALUE"""),"0.00642")</f>
        <v>#NAME?</v>
      </c>
      <c r="D340" s="100" t="e">
        <f t="shared" ca="1" si="46"/>
        <v>#NAME?</v>
      </c>
      <c r="E340" s="100" t="e">
        <f t="shared" ca="1" si="46"/>
        <v>#NAME?</v>
      </c>
      <c r="F340" s="100" t="e">
        <f t="shared" ca="1" si="47"/>
        <v>#NAME?</v>
      </c>
      <c r="G340" s="100" t="e">
        <f t="shared" ca="1" si="48"/>
        <v>#NAME?</v>
      </c>
      <c r="H340" s="100" t="e">
        <f t="shared" ca="1" si="49"/>
        <v>#NAME?</v>
      </c>
      <c r="I340" s="100" t="e">
        <f t="shared" ca="1" si="50"/>
        <v>#NAME?</v>
      </c>
      <c r="J340" s="100" t="e">
        <f t="shared" ca="1" si="51"/>
        <v>#NAME?</v>
      </c>
      <c r="K340" s="100" t="e">
        <f t="shared" ca="1" si="52"/>
        <v>#NAME?</v>
      </c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 spans="1:26">
      <c r="A341" s="100" t="e">
        <f ca="1">IFERROR(__xludf.DUMMYFUNCTION("""COMPUTED_VALUE"""),14520093)</f>
        <v>#NAME?</v>
      </c>
      <c r="B341" s="100" t="e">
        <f ca="1">IFERROR(__xludf.DUMMYFUNCTION("""COMPUTED_VALUE"""),"idusdt")</f>
        <v>#NAME?</v>
      </c>
      <c r="C341" s="100" t="e">
        <f ca="1">IFERROR(__xludf.DUMMYFUNCTION("""COMPUTED_VALUE"""),"0.181")</f>
        <v>#NAME?</v>
      </c>
      <c r="D341" s="100" t="e">
        <f t="shared" ca="1" si="46"/>
        <v>#NAME?</v>
      </c>
      <c r="E341" s="100" t="e">
        <f t="shared" ca="1" si="46"/>
        <v>#NAME?</v>
      </c>
      <c r="F341" s="100" t="e">
        <f t="shared" ca="1" si="47"/>
        <v>#NAME?</v>
      </c>
      <c r="G341" s="100" t="e">
        <f t="shared" ca="1" si="48"/>
        <v>#NAME?</v>
      </c>
      <c r="H341" s="100" t="e">
        <f t="shared" ca="1" si="49"/>
        <v>#NAME?</v>
      </c>
      <c r="I341" s="100" t="e">
        <f t="shared" ca="1" si="50"/>
        <v>#NAME?</v>
      </c>
      <c r="J341" s="100" t="e">
        <f t="shared" ca="1" si="51"/>
        <v>#NAME?</v>
      </c>
      <c r="K341" s="100" t="e">
        <f t="shared" ca="1" si="52"/>
        <v>#NAME?</v>
      </c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 spans="1:26">
      <c r="A342" s="100" t="e">
        <f ca="1">IFERROR(__xludf.DUMMYFUNCTION("""COMPUTED_VALUE"""),14520094)</f>
        <v>#NAME?</v>
      </c>
      <c r="B342" s="100" t="e">
        <f ca="1">IFERROR(__xludf.DUMMYFUNCTION("""COMPUTED_VALUE"""),"lokausdt")</f>
        <v>#NAME?</v>
      </c>
      <c r="C342" s="100" t="e">
        <f ca="1">IFERROR(__xludf.DUMMYFUNCTION("""COMPUTED_VALUE"""),"0.0819")</f>
        <v>#NAME?</v>
      </c>
      <c r="D342" s="100" t="e">
        <f t="shared" ref="D342:E361" ca="1" si="53">IFERROR(__xludf.DUMMYFUNCTION("""COMPUTED_VALUE"""),"-")</f>
        <v>#NAME?</v>
      </c>
      <c r="E342" s="100" t="e">
        <f t="shared" ca="1" si="53"/>
        <v>#NAME?</v>
      </c>
      <c r="F342" s="100" t="e">
        <f t="shared" ca="1" si="47"/>
        <v>#NAME?</v>
      </c>
      <c r="G342" s="100" t="e">
        <f t="shared" ca="1" si="48"/>
        <v>#NAME?</v>
      </c>
      <c r="H342" s="100" t="e">
        <f t="shared" ca="1" si="49"/>
        <v>#NAME?</v>
      </c>
      <c r="I342" s="100" t="e">
        <f t="shared" ca="1" si="50"/>
        <v>#NAME?</v>
      </c>
      <c r="J342" s="100" t="e">
        <f t="shared" ca="1" si="51"/>
        <v>#NAME?</v>
      </c>
      <c r="K342" s="100" t="e">
        <f t="shared" ca="1" si="52"/>
        <v>#NAME?</v>
      </c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 spans="1:26">
      <c r="A343" s="100" t="e">
        <f ca="1">IFERROR(__xludf.DUMMYFUNCTION("""COMPUTED_VALUE"""),14520095)</f>
        <v>#NAME?</v>
      </c>
      <c r="B343" s="100" t="e">
        <f ca="1">IFERROR(__xludf.DUMMYFUNCTION("""COMPUTED_VALUE"""),"metisusdt")</f>
        <v>#NAME?</v>
      </c>
      <c r="C343" s="100" t="e">
        <f ca="1">IFERROR(__xludf.DUMMYFUNCTION("""COMPUTED_VALUE"""),"14.204")</f>
        <v>#NAME?</v>
      </c>
      <c r="D343" s="100" t="e">
        <f t="shared" ca="1" si="53"/>
        <v>#NAME?</v>
      </c>
      <c r="E343" s="100" t="e">
        <f t="shared" ca="1" si="53"/>
        <v>#NAME?</v>
      </c>
      <c r="F343" s="100" t="e">
        <f t="shared" ca="1" si="47"/>
        <v>#NAME?</v>
      </c>
      <c r="G343" s="100" t="e">
        <f t="shared" ca="1" si="48"/>
        <v>#NAME?</v>
      </c>
      <c r="H343" s="100" t="e">
        <f t="shared" ca="1" si="49"/>
        <v>#NAME?</v>
      </c>
      <c r="I343" s="100" t="e">
        <f t="shared" ca="1" si="50"/>
        <v>#NAME?</v>
      </c>
      <c r="J343" s="100" t="e">
        <f t="shared" ca="1" si="51"/>
        <v>#NAME?</v>
      </c>
      <c r="K343" s="100" t="e">
        <f t="shared" ca="1" si="52"/>
        <v>#NAME?</v>
      </c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 spans="1:26">
      <c r="A344" s="100" t="e">
        <f ca="1">IFERROR(__xludf.DUMMYFUNCTION("""COMPUTED_VALUE"""),14520096)</f>
        <v>#NAME?</v>
      </c>
      <c r="B344" s="100" t="e">
        <f ca="1">IFERROR(__xludf.DUMMYFUNCTION("""COMPUTED_VALUE"""),"vrusdt")</f>
        <v>#NAME?</v>
      </c>
      <c r="C344" s="100" t="e">
        <f ca="1">IFERROR(__xludf.DUMMYFUNCTION("""COMPUTED_VALUE"""),"0.00320734")</f>
        <v>#NAME?</v>
      </c>
      <c r="D344" s="100" t="e">
        <f t="shared" ca="1" si="53"/>
        <v>#NAME?</v>
      </c>
      <c r="E344" s="100" t="e">
        <f t="shared" ca="1" si="53"/>
        <v>#NAME?</v>
      </c>
      <c r="F344" s="100" t="e">
        <f t="shared" ca="1" si="47"/>
        <v>#NAME?</v>
      </c>
      <c r="G344" s="100" t="e">
        <f t="shared" ca="1" si="48"/>
        <v>#NAME?</v>
      </c>
      <c r="H344" s="100" t="e">
        <f t="shared" ca="1" si="49"/>
        <v>#NAME?</v>
      </c>
      <c r="I344" s="100" t="e">
        <f t="shared" ca="1" si="50"/>
        <v>#NAME?</v>
      </c>
      <c r="J344" s="100" t="e">
        <f t="shared" ca="1" si="51"/>
        <v>#NAME?</v>
      </c>
      <c r="K344" s="100" t="e">
        <f t="shared" ca="1" si="52"/>
        <v>#NAME?</v>
      </c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 spans="1:26">
      <c r="A345" s="100" t="e">
        <f ca="1">IFERROR(__xludf.DUMMYFUNCTION("""COMPUTED_VALUE"""),14520097)</f>
        <v>#NAME?</v>
      </c>
      <c r="B345" s="100" t="e">
        <f ca="1">IFERROR(__xludf.DUMMYFUNCTION("""COMPUTED_VALUE"""),"zrcusdt")</f>
        <v>#NAME?</v>
      </c>
      <c r="C345" s="100" t="e">
        <f ca="1">IFERROR(__xludf.DUMMYFUNCTION("""COMPUTED_VALUE"""),"0.03636")</f>
        <v>#NAME?</v>
      </c>
      <c r="D345" s="100" t="e">
        <f t="shared" ca="1" si="53"/>
        <v>#NAME?</v>
      </c>
      <c r="E345" s="100" t="e">
        <f t="shared" ca="1" si="53"/>
        <v>#NAME?</v>
      </c>
      <c r="F345" s="100" t="e">
        <f t="shared" ca="1" si="47"/>
        <v>#NAME?</v>
      </c>
      <c r="G345" s="100" t="e">
        <f t="shared" ca="1" si="48"/>
        <v>#NAME?</v>
      </c>
      <c r="H345" s="100" t="e">
        <f t="shared" ca="1" si="49"/>
        <v>#NAME?</v>
      </c>
      <c r="I345" s="100" t="e">
        <f t="shared" ca="1" si="50"/>
        <v>#NAME?</v>
      </c>
      <c r="J345" s="100" t="e">
        <f t="shared" ca="1" si="51"/>
        <v>#NAME?</v>
      </c>
      <c r="K345" s="100" t="e">
        <f t="shared" ca="1" si="52"/>
        <v>#NAME?</v>
      </c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 spans="1:26">
      <c r="A346" s="100" t="e">
        <f ca="1">IFERROR(__xludf.DUMMYFUNCTION("""COMPUTED_VALUE"""),14520098)</f>
        <v>#NAME?</v>
      </c>
      <c r="B346" s="100" t="e">
        <f ca="1">IFERROR(__xludf.DUMMYFUNCTION("""COMPUTED_VALUE"""),"rainusdt")</f>
        <v>#NAME?</v>
      </c>
      <c r="C346" s="100" t="e">
        <f ca="1">IFERROR(__xludf.DUMMYFUNCTION("""COMPUTED_VALUE"""),"0.000114")</f>
        <v>#NAME?</v>
      </c>
      <c r="D346" s="100" t="e">
        <f t="shared" ca="1" si="53"/>
        <v>#NAME?</v>
      </c>
      <c r="E346" s="100" t="e">
        <f t="shared" ca="1" si="53"/>
        <v>#NAME?</v>
      </c>
      <c r="F346" s="100" t="e">
        <f t="shared" ca="1" si="47"/>
        <v>#NAME?</v>
      </c>
      <c r="G346" s="100" t="e">
        <f t="shared" ca="1" si="48"/>
        <v>#NAME?</v>
      </c>
      <c r="H346" s="100" t="e">
        <f t="shared" ca="1" si="49"/>
        <v>#NAME?</v>
      </c>
      <c r="I346" s="100" t="e">
        <f t="shared" ca="1" si="50"/>
        <v>#NAME?</v>
      </c>
      <c r="J346" s="100" t="e">
        <f t="shared" ca="1" si="51"/>
        <v>#NAME?</v>
      </c>
      <c r="K346" s="100" t="e">
        <f t="shared" ca="1" si="52"/>
        <v>#NAME?</v>
      </c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 spans="1:26">
      <c r="A347" s="100" t="e">
        <f ca="1">IFERROR(__xludf.DUMMYFUNCTION("""COMPUTED_VALUE"""),14520099)</f>
        <v>#NAME?</v>
      </c>
      <c r="B347" s="100" t="e">
        <f ca="1">IFERROR(__xludf.DUMMYFUNCTION("""COMPUTED_VALUE"""),"acxusdt")</f>
        <v>#NAME?</v>
      </c>
      <c r="C347" s="100" t="e">
        <f ca="1">IFERROR(__xludf.DUMMYFUNCTION("""COMPUTED_VALUE"""),"0.2034")</f>
        <v>#NAME?</v>
      </c>
      <c r="D347" s="100" t="e">
        <f t="shared" ca="1" si="53"/>
        <v>#NAME?</v>
      </c>
      <c r="E347" s="100" t="e">
        <f t="shared" ca="1" si="53"/>
        <v>#NAME?</v>
      </c>
      <c r="F347" s="100" t="e">
        <f t="shared" ca="1" si="47"/>
        <v>#NAME?</v>
      </c>
      <c r="G347" s="100" t="e">
        <f t="shared" ca="1" si="48"/>
        <v>#NAME?</v>
      </c>
      <c r="H347" s="100" t="e">
        <f t="shared" ca="1" si="49"/>
        <v>#NAME?</v>
      </c>
      <c r="I347" s="100" t="e">
        <f t="shared" ca="1" si="50"/>
        <v>#NAME?</v>
      </c>
      <c r="J347" s="100" t="e">
        <f t="shared" ca="1" si="51"/>
        <v>#NAME?</v>
      </c>
      <c r="K347" s="100" t="e">
        <f t="shared" ca="1" si="52"/>
        <v>#NAME?</v>
      </c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 spans="1:26">
      <c r="A348" s="100" t="e">
        <f ca="1">IFERROR(__xludf.DUMMYFUNCTION("""COMPUTED_VALUE"""),14520100)</f>
        <v>#NAME?</v>
      </c>
      <c r="B348" s="100" t="e">
        <f ca="1">IFERROR(__xludf.DUMMYFUNCTION("""COMPUTED_VALUE"""),"beamxusdt")</f>
        <v>#NAME?</v>
      </c>
      <c r="C348" s="100" t="e">
        <f ca="1">IFERROR(__xludf.DUMMYFUNCTION("""COMPUTED_VALUE"""),"0.006314")</f>
        <v>#NAME?</v>
      </c>
      <c r="D348" s="100" t="e">
        <f t="shared" ca="1" si="53"/>
        <v>#NAME?</v>
      </c>
      <c r="E348" s="100" t="e">
        <f t="shared" ca="1" si="53"/>
        <v>#NAME?</v>
      </c>
      <c r="F348" s="100" t="e">
        <f t="shared" ca="1" si="47"/>
        <v>#NAME?</v>
      </c>
      <c r="G348" s="100" t="e">
        <f t="shared" ca="1" si="48"/>
        <v>#NAME?</v>
      </c>
      <c r="H348" s="100" t="e">
        <f t="shared" ca="1" si="49"/>
        <v>#NAME?</v>
      </c>
      <c r="I348" s="100" t="e">
        <f t="shared" ca="1" si="50"/>
        <v>#NAME?</v>
      </c>
      <c r="J348" s="100" t="e">
        <f t="shared" ca="1" si="51"/>
        <v>#NAME?</v>
      </c>
      <c r="K348" s="100" t="e">
        <f t="shared" ca="1" si="52"/>
        <v>#NAME?</v>
      </c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 spans="1:26">
      <c r="A349" s="100" t="e">
        <f ca="1">IFERROR(__xludf.DUMMYFUNCTION("""COMPUTED_VALUE"""),14520101)</f>
        <v>#NAME?</v>
      </c>
      <c r="B349" s="100" t="e">
        <f ca="1">IFERROR(__xludf.DUMMYFUNCTION("""COMPUTED_VALUE"""),"ghibliusdt")</f>
        <v>#NAME?</v>
      </c>
      <c r="C349" s="100" t="e">
        <f ca="1">IFERROR(__xludf.DUMMYFUNCTION("""COMPUTED_VALUE"""),"0.004749")</f>
        <v>#NAME?</v>
      </c>
      <c r="D349" s="100" t="e">
        <f t="shared" ca="1" si="53"/>
        <v>#NAME?</v>
      </c>
      <c r="E349" s="100" t="e">
        <f t="shared" ca="1" si="53"/>
        <v>#NAME?</v>
      </c>
      <c r="F349" s="100" t="e">
        <f t="shared" ca="1" si="47"/>
        <v>#NAME?</v>
      </c>
      <c r="G349" s="100" t="e">
        <f t="shared" ca="1" si="48"/>
        <v>#NAME?</v>
      </c>
      <c r="H349" s="100" t="e">
        <f t="shared" ca="1" si="49"/>
        <v>#NAME?</v>
      </c>
      <c r="I349" s="100" t="e">
        <f t="shared" ca="1" si="50"/>
        <v>#NAME?</v>
      </c>
      <c r="J349" s="100" t="e">
        <f t="shared" ca="1" si="51"/>
        <v>#NAME?</v>
      </c>
      <c r="K349" s="100" t="e">
        <f t="shared" ca="1" si="52"/>
        <v>#NAME?</v>
      </c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 spans="1:26">
      <c r="A350" s="100" t="e">
        <f ca="1">IFERROR(__xludf.DUMMYFUNCTION("""COMPUTED_VALUE"""),14520102)</f>
        <v>#NAME?</v>
      </c>
      <c r="B350" s="100" t="e">
        <f ca="1">IFERROR(__xludf.DUMMYFUNCTION("""COMPUTED_VALUE"""),"adabtc")</f>
        <v>#NAME?</v>
      </c>
      <c r="C350" s="100" t="e">
        <f ca="1">IFERROR(__xludf.DUMMYFUNCTION("""COMPUTED_VALUE"""),"7.22e-06")</f>
        <v>#NAME?</v>
      </c>
      <c r="D350" s="100" t="e">
        <f t="shared" ca="1" si="53"/>
        <v>#NAME?</v>
      </c>
      <c r="E350" s="100" t="e">
        <f t="shared" ca="1" si="53"/>
        <v>#NAME?</v>
      </c>
      <c r="F350" s="100" t="e">
        <f t="shared" ca="1" si="47"/>
        <v>#NAME?</v>
      </c>
      <c r="G350" s="100" t="e">
        <f t="shared" ca="1" si="48"/>
        <v>#NAME?</v>
      </c>
      <c r="H350" s="100" t="e">
        <f t="shared" ca="1" si="49"/>
        <v>#NAME?</v>
      </c>
      <c r="I350" s="100" t="e">
        <f t="shared" ca="1" si="50"/>
        <v>#NAME?</v>
      </c>
      <c r="J350" s="100" t="e">
        <f t="shared" ca="1" si="51"/>
        <v>#NAME?</v>
      </c>
      <c r="K350" s="100" t="e">
        <f t="shared" ca="1" si="52"/>
        <v>#NAME?</v>
      </c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 spans="1:26">
      <c r="A351" s="100" t="e">
        <f ca="1">IFERROR(__xludf.DUMMYFUNCTION("""COMPUTED_VALUE"""),14520103)</f>
        <v>#NAME?</v>
      </c>
      <c r="B351" s="100" t="e">
        <f ca="1">IFERROR(__xludf.DUMMYFUNCTION("""COMPUTED_VALUE"""),"idexusdt")</f>
        <v>#NAME?</v>
      </c>
      <c r="C351" s="100" t="e">
        <f ca="1">IFERROR(__xludf.DUMMYFUNCTION("""COMPUTED_VALUE"""),"0.0237")</f>
        <v>#NAME?</v>
      </c>
      <c r="D351" s="100" t="e">
        <f t="shared" ca="1" si="53"/>
        <v>#NAME?</v>
      </c>
      <c r="E351" s="100" t="e">
        <f t="shared" ca="1" si="53"/>
        <v>#NAME?</v>
      </c>
      <c r="F351" s="100" t="e">
        <f t="shared" ca="1" si="47"/>
        <v>#NAME?</v>
      </c>
      <c r="G351" s="100" t="e">
        <f t="shared" ca="1" si="48"/>
        <v>#NAME?</v>
      </c>
      <c r="H351" s="100" t="e">
        <f t="shared" ca="1" si="49"/>
        <v>#NAME?</v>
      </c>
      <c r="I351" s="100" t="e">
        <f t="shared" ca="1" si="50"/>
        <v>#NAME?</v>
      </c>
      <c r="J351" s="100" t="e">
        <f t="shared" ca="1" si="51"/>
        <v>#NAME?</v>
      </c>
      <c r="K351" s="100" t="e">
        <f t="shared" ca="1" si="52"/>
        <v>#NAME?</v>
      </c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 spans="1:26">
      <c r="A352" s="100" t="e">
        <f ca="1">IFERROR(__xludf.DUMMYFUNCTION("""COMPUTED_VALUE"""),14520104)</f>
        <v>#NAME?</v>
      </c>
      <c r="B352" s="100" t="e">
        <f ca="1">IFERROR(__xludf.DUMMYFUNCTION("""COMPUTED_VALUE"""),"dopusdt")</f>
        <v>#NAME?</v>
      </c>
      <c r="C352" s="100" t="e">
        <f ca="1">IFERROR(__xludf.DUMMYFUNCTION("""COMPUTED_VALUE"""),"0.0003086")</f>
        <v>#NAME?</v>
      </c>
      <c r="D352" s="100" t="e">
        <f t="shared" ca="1" si="53"/>
        <v>#NAME?</v>
      </c>
      <c r="E352" s="100" t="e">
        <f t="shared" ca="1" si="53"/>
        <v>#NAME?</v>
      </c>
      <c r="F352" s="100" t="e">
        <f t="shared" ca="1" si="47"/>
        <v>#NAME?</v>
      </c>
      <c r="G352" s="100" t="e">
        <f t="shared" ca="1" si="48"/>
        <v>#NAME?</v>
      </c>
      <c r="H352" s="100" t="e">
        <f t="shared" ca="1" si="49"/>
        <v>#NAME?</v>
      </c>
      <c r="I352" s="100" t="e">
        <f t="shared" ca="1" si="50"/>
        <v>#NAME?</v>
      </c>
      <c r="J352" s="100" t="e">
        <f t="shared" ca="1" si="51"/>
        <v>#NAME?</v>
      </c>
      <c r="K352" s="100" t="e">
        <f t="shared" ca="1" si="52"/>
        <v>#NAME?</v>
      </c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 spans="1:26">
      <c r="A353" s="100" t="e">
        <f ca="1">IFERROR(__xludf.DUMMYFUNCTION("""COMPUTED_VALUE"""),14520105)</f>
        <v>#NAME?</v>
      </c>
      <c r="B353" s="100" t="e">
        <f ca="1">IFERROR(__xludf.DUMMYFUNCTION("""COMPUTED_VALUE"""),"eulusdt")</f>
        <v>#NAME?</v>
      </c>
      <c r="C353" s="100" t="e">
        <f ca="1">IFERROR(__xludf.DUMMYFUNCTION("""COMPUTED_VALUE"""),"7.7899")</f>
        <v>#NAME?</v>
      </c>
      <c r="D353" s="100" t="e">
        <f t="shared" ca="1" si="53"/>
        <v>#NAME?</v>
      </c>
      <c r="E353" s="100" t="e">
        <f t="shared" ca="1" si="53"/>
        <v>#NAME?</v>
      </c>
      <c r="F353" s="100" t="e">
        <f t="shared" ca="1" si="47"/>
        <v>#NAME?</v>
      </c>
      <c r="G353" s="100" t="e">
        <f t="shared" ca="1" si="48"/>
        <v>#NAME?</v>
      </c>
      <c r="H353" s="100" t="e">
        <f t="shared" ca="1" si="49"/>
        <v>#NAME?</v>
      </c>
      <c r="I353" s="100" t="e">
        <f t="shared" ca="1" si="50"/>
        <v>#NAME?</v>
      </c>
      <c r="J353" s="100" t="e">
        <f t="shared" ca="1" si="51"/>
        <v>#NAME?</v>
      </c>
      <c r="K353" s="100" t="e">
        <f t="shared" ca="1" si="52"/>
        <v>#NAME?</v>
      </c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 spans="1:26">
      <c r="A354" s="100" t="e">
        <f ca="1">IFERROR(__xludf.DUMMYFUNCTION("""COMPUTED_VALUE"""),14520106)</f>
        <v>#NAME?</v>
      </c>
      <c r="B354" s="100" t="e">
        <f ca="1">IFERROR(__xludf.DUMMYFUNCTION("""COMPUTED_VALUE"""),"banusdt")</f>
        <v>#NAME?</v>
      </c>
      <c r="C354" s="100" t="e">
        <f ca="1">IFERROR(__xludf.DUMMYFUNCTION("""COMPUTED_VALUE"""),"0.04589")</f>
        <v>#NAME?</v>
      </c>
      <c r="D354" s="100" t="e">
        <f t="shared" ca="1" si="53"/>
        <v>#NAME?</v>
      </c>
      <c r="E354" s="100" t="e">
        <f t="shared" ca="1" si="53"/>
        <v>#NAME?</v>
      </c>
      <c r="F354" s="100" t="e">
        <f t="shared" ca="1" si="47"/>
        <v>#NAME?</v>
      </c>
      <c r="G354" s="100" t="e">
        <f t="shared" ca="1" si="48"/>
        <v>#NAME?</v>
      </c>
      <c r="H354" s="100" t="e">
        <f t="shared" ca="1" si="49"/>
        <v>#NAME?</v>
      </c>
      <c r="I354" s="100" t="e">
        <f t="shared" ca="1" si="50"/>
        <v>#NAME?</v>
      </c>
      <c r="J354" s="100" t="e">
        <f t="shared" ca="1" si="51"/>
        <v>#NAME?</v>
      </c>
      <c r="K354" s="100" t="e">
        <f t="shared" ca="1" si="52"/>
        <v>#NAME?</v>
      </c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 spans="1:26">
      <c r="A355" s="100" t="e">
        <f ca="1">IFERROR(__xludf.DUMMYFUNCTION("""COMPUTED_VALUE"""),14520107)</f>
        <v>#NAME?</v>
      </c>
      <c r="B355" s="100" t="e">
        <f ca="1">IFERROR(__xludf.DUMMYFUNCTION("""COMPUTED_VALUE"""),"lunausdt")</f>
        <v>#NAME?</v>
      </c>
      <c r="C355" s="100" t="e">
        <f ca="1">IFERROR(__xludf.DUMMYFUNCTION("""COMPUTED_VALUE"""),"0.1645")</f>
        <v>#NAME?</v>
      </c>
      <c r="D355" s="100" t="e">
        <f t="shared" ca="1" si="53"/>
        <v>#NAME?</v>
      </c>
      <c r="E355" s="100" t="e">
        <f t="shared" ca="1" si="53"/>
        <v>#NAME?</v>
      </c>
      <c r="F355" s="100" t="e">
        <f t="shared" ca="1" si="47"/>
        <v>#NAME?</v>
      </c>
      <c r="G355" s="100" t="e">
        <f t="shared" ca="1" si="48"/>
        <v>#NAME?</v>
      </c>
      <c r="H355" s="100" t="e">
        <f t="shared" ca="1" si="49"/>
        <v>#NAME?</v>
      </c>
      <c r="I355" s="100" t="e">
        <f t="shared" ca="1" si="50"/>
        <v>#NAME?</v>
      </c>
      <c r="J355" s="100" t="e">
        <f t="shared" ca="1" si="51"/>
        <v>#NAME?</v>
      </c>
      <c r="K355" s="100" t="e">
        <f t="shared" ca="1" si="52"/>
        <v>#NAME?</v>
      </c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 spans="1:26">
      <c r="A356" s="100" t="e">
        <f ca="1">IFERROR(__xludf.DUMMYFUNCTION("""COMPUTED_VALUE"""),14520108)</f>
        <v>#NAME?</v>
      </c>
      <c r="B356" s="100" t="e">
        <f ca="1">IFERROR(__xludf.DUMMYFUNCTION("""COMPUTED_VALUE"""),"phbusdt")</f>
        <v>#NAME?</v>
      </c>
      <c r="C356" s="100" t="e">
        <f ca="1">IFERROR(__xludf.DUMMYFUNCTION("""COMPUTED_VALUE"""),"0.4612")</f>
        <v>#NAME?</v>
      </c>
      <c r="D356" s="100" t="e">
        <f t="shared" ca="1" si="53"/>
        <v>#NAME?</v>
      </c>
      <c r="E356" s="100" t="e">
        <f t="shared" ca="1" si="53"/>
        <v>#NAME?</v>
      </c>
      <c r="F356" s="100" t="e">
        <f t="shared" ca="1" si="47"/>
        <v>#NAME?</v>
      </c>
      <c r="G356" s="100" t="e">
        <f t="shared" ca="1" si="48"/>
        <v>#NAME?</v>
      </c>
      <c r="H356" s="100" t="e">
        <f t="shared" ca="1" si="49"/>
        <v>#NAME?</v>
      </c>
      <c r="I356" s="100" t="e">
        <f t="shared" ca="1" si="50"/>
        <v>#NAME?</v>
      </c>
      <c r="J356" s="100" t="e">
        <f t="shared" ca="1" si="51"/>
        <v>#NAME?</v>
      </c>
      <c r="K356" s="100" t="e">
        <f t="shared" ca="1" si="52"/>
        <v>#NAME?</v>
      </c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 spans="1:26">
      <c r="A357" s="100" t="e">
        <f ca="1">IFERROR(__xludf.DUMMYFUNCTION("""COMPUTED_VALUE"""),14520109)</f>
        <v>#NAME?</v>
      </c>
      <c r="B357" s="100" t="e">
        <f ca="1">IFERROR(__xludf.DUMMYFUNCTION("""COMPUTED_VALUE"""),"slfusdt")</f>
        <v>#NAME?</v>
      </c>
      <c r="C357" s="100" t="e">
        <f ca="1">IFERROR(__xludf.DUMMYFUNCTION("""COMPUTED_VALUE"""),"0.2029")</f>
        <v>#NAME?</v>
      </c>
      <c r="D357" s="100" t="e">
        <f t="shared" ca="1" si="53"/>
        <v>#NAME?</v>
      </c>
      <c r="E357" s="100" t="e">
        <f t="shared" ca="1" si="53"/>
        <v>#NAME?</v>
      </c>
      <c r="F357" s="100" t="e">
        <f t="shared" ca="1" si="47"/>
        <v>#NAME?</v>
      </c>
      <c r="G357" s="100" t="e">
        <f t="shared" ca="1" si="48"/>
        <v>#NAME?</v>
      </c>
      <c r="H357" s="100" t="e">
        <f t="shared" ca="1" si="49"/>
        <v>#NAME?</v>
      </c>
      <c r="I357" s="100" t="e">
        <f t="shared" ca="1" si="50"/>
        <v>#NAME?</v>
      </c>
      <c r="J357" s="100" t="e">
        <f t="shared" ca="1" si="51"/>
        <v>#NAME?</v>
      </c>
      <c r="K357" s="100" t="e">
        <f t="shared" ca="1" si="52"/>
        <v>#NAME?</v>
      </c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 spans="1:26">
      <c r="A358" s="100" t="e">
        <f ca="1">IFERROR(__xludf.DUMMYFUNCTION("""COMPUTED_VALUE"""),14520110)</f>
        <v>#NAME?</v>
      </c>
      <c r="B358" s="100" t="e">
        <f ca="1">IFERROR(__xludf.DUMMYFUNCTION("""COMPUTED_VALUE"""),"avaaiusdt")</f>
        <v>#NAME?</v>
      </c>
      <c r="C358" s="100" t="e">
        <f ca="1">IFERROR(__xludf.DUMMYFUNCTION("""COMPUTED_VALUE"""),"0.03013")</f>
        <v>#NAME?</v>
      </c>
      <c r="D358" s="100" t="e">
        <f t="shared" ca="1" si="53"/>
        <v>#NAME?</v>
      </c>
      <c r="E358" s="100" t="e">
        <f t="shared" ca="1" si="53"/>
        <v>#NAME?</v>
      </c>
      <c r="F358" s="100" t="e">
        <f t="shared" ca="1" si="47"/>
        <v>#NAME?</v>
      </c>
      <c r="G358" s="100" t="e">
        <f t="shared" ca="1" si="48"/>
        <v>#NAME?</v>
      </c>
      <c r="H358" s="100" t="e">
        <f t="shared" ca="1" si="49"/>
        <v>#NAME?</v>
      </c>
      <c r="I358" s="100" t="e">
        <f t="shared" ca="1" si="50"/>
        <v>#NAME?</v>
      </c>
      <c r="J358" s="100" t="e">
        <f t="shared" ca="1" si="51"/>
        <v>#NAME?</v>
      </c>
      <c r="K358" s="100" t="e">
        <f t="shared" ca="1" si="52"/>
        <v>#NAME?</v>
      </c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 spans="1:26">
      <c r="A359" s="100" t="e">
        <f ca="1">IFERROR(__xludf.DUMMYFUNCTION("""COMPUTED_VALUE"""),14520111)</f>
        <v>#NAME?</v>
      </c>
      <c r="B359" s="100" t="e">
        <f ca="1">IFERROR(__xludf.DUMMYFUNCTION("""COMPUTED_VALUE"""),"ondousdt")</f>
        <v>#NAME?</v>
      </c>
      <c r="C359" s="100" t="e">
        <f ca="1">IFERROR(__xludf.DUMMYFUNCTION("""COMPUTED_VALUE"""),"0.860148")</f>
        <v>#NAME?</v>
      </c>
      <c r="D359" s="100" t="e">
        <f t="shared" ca="1" si="53"/>
        <v>#NAME?</v>
      </c>
      <c r="E359" s="100" t="e">
        <f t="shared" ca="1" si="53"/>
        <v>#NAME?</v>
      </c>
      <c r="F359" s="100" t="e">
        <f t="shared" ca="1" si="47"/>
        <v>#NAME?</v>
      </c>
      <c r="G359" s="100" t="e">
        <f t="shared" ca="1" si="48"/>
        <v>#NAME?</v>
      </c>
      <c r="H359" s="100" t="e">
        <f t="shared" ca="1" si="49"/>
        <v>#NAME?</v>
      </c>
      <c r="I359" s="100" t="e">
        <f t="shared" ca="1" si="50"/>
        <v>#NAME?</v>
      </c>
      <c r="J359" s="100" t="e">
        <f t="shared" ca="1" si="51"/>
        <v>#NAME?</v>
      </c>
      <c r="K359" s="100" t="e">
        <f t="shared" ca="1" si="52"/>
        <v>#NAME?</v>
      </c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 spans="1:26">
      <c r="A360" s="100" t="e">
        <f ca="1">IFERROR(__xludf.DUMMYFUNCTION("""COMPUTED_VALUE"""),14520112)</f>
        <v>#NAME?</v>
      </c>
      <c r="B360" s="100" t="e">
        <f ca="1">IFERROR(__xludf.DUMMYFUNCTION("""COMPUTED_VALUE"""),"elausdt")</f>
        <v>#NAME?</v>
      </c>
      <c r="C360" s="100" t="e">
        <f ca="1">IFERROR(__xludf.DUMMYFUNCTION("""COMPUTED_VALUE"""),"1.0483")</f>
        <v>#NAME?</v>
      </c>
      <c r="D360" s="100" t="e">
        <f t="shared" ca="1" si="53"/>
        <v>#NAME?</v>
      </c>
      <c r="E360" s="100" t="e">
        <f t="shared" ca="1" si="53"/>
        <v>#NAME?</v>
      </c>
      <c r="F360" s="100" t="e">
        <f t="shared" ca="1" si="47"/>
        <v>#NAME?</v>
      </c>
      <c r="G360" s="100" t="e">
        <f t="shared" ca="1" si="48"/>
        <v>#NAME?</v>
      </c>
      <c r="H360" s="100" t="e">
        <f t="shared" ca="1" si="49"/>
        <v>#NAME?</v>
      </c>
      <c r="I360" s="100" t="e">
        <f t="shared" ca="1" si="50"/>
        <v>#NAME?</v>
      </c>
      <c r="J360" s="100" t="e">
        <f t="shared" ca="1" si="51"/>
        <v>#NAME?</v>
      </c>
      <c r="K360" s="100" t="e">
        <f t="shared" ca="1" si="52"/>
        <v>#NAME?</v>
      </c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 spans="1:26">
      <c r="A361" s="100" t="e">
        <f ca="1">IFERROR(__xludf.DUMMYFUNCTION("""COMPUTED_VALUE"""),14520113)</f>
        <v>#NAME?</v>
      </c>
      <c r="B361" s="100" t="e">
        <f ca="1">IFERROR(__xludf.DUMMYFUNCTION("""COMPUTED_VALUE"""),"rabusdt")</f>
        <v>#NAME?</v>
      </c>
      <c r="C361" s="100" t="e">
        <f ca="1">IFERROR(__xludf.DUMMYFUNCTION("""COMPUTED_VALUE"""),"0.001977")</f>
        <v>#NAME?</v>
      </c>
      <c r="D361" s="100" t="e">
        <f t="shared" ca="1" si="53"/>
        <v>#NAME?</v>
      </c>
      <c r="E361" s="100" t="e">
        <f t="shared" ca="1" si="53"/>
        <v>#NAME?</v>
      </c>
      <c r="F361" s="100" t="e">
        <f t="shared" ca="1" si="47"/>
        <v>#NAME?</v>
      </c>
      <c r="G361" s="100" t="e">
        <f t="shared" ca="1" si="48"/>
        <v>#NAME?</v>
      </c>
      <c r="H361" s="100" t="e">
        <f t="shared" ca="1" si="49"/>
        <v>#NAME?</v>
      </c>
      <c r="I361" s="100" t="e">
        <f t="shared" ca="1" si="50"/>
        <v>#NAME?</v>
      </c>
      <c r="J361" s="100" t="e">
        <f t="shared" ca="1" si="51"/>
        <v>#NAME?</v>
      </c>
      <c r="K361" s="100" t="e">
        <f t="shared" ca="1" si="52"/>
        <v>#NAME?</v>
      </c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 spans="1:26">
      <c r="A362" s="100" t="e">
        <f ca="1">IFERROR(__xludf.DUMMYFUNCTION("""COMPUTED_VALUE"""),14520114)</f>
        <v>#NAME?</v>
      </c>
      <c r="B362" s="100" t="e">
        <f ca="1">IFERROR(__xludf.DUMMYFUNCTION("""COMPUTED_VALUE"""),"oasusdt")</f>
        <v>#NAME?</v>
      </c>
      <c r="C362" s="100" t="e">
        <f ca="1">IFERROR(__xludf.DUMMYFUNCTION("""COMPUTED_VALUE"""),"0.01429")</f>
        <v>#NAME?</v>
      </c>
      <c r="D362" s="100" t="e">
        <f t="shared" ref="D362:E381" ca="1" si="54">IFERROR(__xludf.DUMMYFUNCTION("""COMPUTED_VALUE"""),"-")</f>
        <v>#NAME?</v>
      </c>
      <c r="E362" s="100" t="e">
        <f t="shared" ca="1" si="54"/>
        <v>#NAME?</v>
      </c>
      <c r="F362" s="100" t="e">
        <f t="shared" ca="1" si="47"/>
        <v>#NAME?</v>
      </c>
      <c r="G362" s="100" t="e">
        <f t="shared" ca="1" si="48"/>
        <v>#NAME?</v>
      </c>
      <c r="H362" s="100" t="e">
        <f t="shared" ca="1" si="49"/>
        <v>#NAME?</v>
      </c>
      <c r="I362" s="100" t="e">
        <f t="shared" ca="1" si="50"/>
        <v>#NAME?</v>
      </c>
      <c r="J362" s="100" t="e">
        <f t="shared" ca="1" si="51"/>
        <v>#NAME?</v>
      </c>
      <c r="K362" s="100" t="e">
        <f t="shared" ca="1" si="52"/>
        <v>#NAME?</v>
      </c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 spans="1:26">
      <c r="A363" s="100" t="e">
        <f ca="1">IFERROR(__xludf.DUMMYFUNCTION("""COMPUTED_VALUE"""),14520115)</f>
        <v>#NAME?</v>
      </c>
      <c r="B363" s="100" t="e">
        <f ca="1">IFERROR(__xludf.DUMMYFUNCTION("""COMPUTED_VALUE"""),"btfusdt")</f>
        <v>#NAME?</v>
      </c>
      <c r="C363" s="100" t="e">
        <f ca="1">IFERROR(__xludf.DUMMYFUNCTION("""COMPUTED_VALUE"""),"0.005413")</f>
        <v>#NAME?</v>
      </c>
      <c r="D363" s="100" t="e">
        <f t="shared" ca="1" si="54"/>
        <v>#NAME?</v>
      </c>
      <c r="E363" s="100" t="e">
        <f t="shared" ca="1" si="54"/>
        <v>#NAME?</v>
      </c>
      <c r="F363" s="100" t="e">
        <f t="shared" ca="1" si="47"/>
        <v>#NAME?</v>
      </c>
      <c r="G363" s="100" t="e">
        <f t="shared" ca="1" si="48"/>
        <v>#NAME?</v>
      </c>
      <c r="H363" s="100" t="e">
        <f t="shared" ca="1" si="49"/>
        <v>#NAME?</v>
      </c>
      <c r="I363" s="100" t="e">
        <f t="shared" ca="1" si="50"/>
        <v>#NAME?</v>
      </c>
      <c r="J363" s="100" t="e">
        <f t="shared" ca="1" si="51"/>
        <v>#NAME?</v>
      </c>
      <c r="K363" s="100" t="e">
        <f t="shared" ca="1" si="52"/>
        <v>#NAME?</v>
      </c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 spans="1:26">
      <c r="A364" s="100" t="e">
        <f ca="1">IFERROR(__xludf.DUMMYFUNCTION("""COMPUTED_VALUE"""),14520116)</f>
        <v>#NAME?</v>
      </c>
      <c r="B364" s="100" t="e">
        <f ca="1">IFERROR(__xludf.DUMMYFUNCTION("""COMPUTED_VALUE"""),"blurusdt")</f>
        <v>#NAME?</v>
      </c>
      <c r="C364" s="100" t="e">
        <f ca="1">IFERROR(__xludf.DUMMYFUNCTION("""COMPUTED_VALUE"""),"0.1045")</f>
        <v>#NAME?</v>
      </c>
      <c r="D364" s="100" t="e">
        <f t="shared" ca="1" si="54"/>
        <v>#NAME?</v>
      </c>
      <c r="E364" s="100" t="e">
        <f t="shared" ca="1" si="54"/>
        <v>#NAME?</v>
      </c>
      <c r="F364" s="100" t="e">
        <f t="shared" ca="1" si="47"/>
        <v>#NAME?</v>
      </c>
      <c r="G364" s="100" t="e">
        <f t="shared" ca="1" si="48"/>
        <v>#NAME?</v>
      </c>
      <c r="H364" s="100" t="e">
        <f t="shared" ca="1" si="49"/>
        <v>#NAME?</v>
      </c>
      <c r="I364" s="100" t="e">
        <f t="shared" ca="1" si="50"/>
        <v>#NAME?</v>
      </c>
      <c r="J364" s="100" t="e">
        <f t="shared" ca="1" si="51"/>
        <v>#NAME?</v>
      </c>
      <c r="K364" s="100" t="e">
        <f t="shared" ca="1" si="52"/>
        <v>#NAME?</v>
      </c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 spans="1:26">
      <c r="A365" s="100" t="e">
        <f ca="1">IFERROR(__xludf.DUMMYFUNCTION("""COMPUTED_VALUE"""),14520117)</f>
        <v>#NAME?</v>
      </c>
      <c r="B365" s="100" t="e">
        <f ca="1">IFERROR(__xludf.DUMMYFUNCTION("""COMPUTED_VALUE"""),"bubbleusdt")</f>
        <v>#NAME?</v>
      </c>
      <c r="C365" s="100" t="e">
        <f ca="1">IFERROR(__xludf.DUMMYFUNCTION("""COMPUTED_VALUE"""),"0.0")</f>
        <v>#NAME?</v>
      </c>
      <c r="D365" s="100" t="e">
        <f t="shared" ca="1" si="54"/>
        <v>#NAME?</v>
      </c>
      <c r="E365" s="100" t="e">
        <f t="shared" ca="1" si="54"/>
        <v>#NAME?</v>
      </c>
      <c r="F365" s="100" t="e">
        <f t="shared" ca="1" si="47"/>
        <v>#NAME?</v>
      </c>
      <c r="G365" s="100" t="e">
        <f t="shared" ca="1" si="48"/>
        <v>#NAME?</v>
      </c>
      <c r="H365" s="100" t="e">
        <f t="shared" ca="1" si="49"/>
        <v>#NAME?</v>
      </c>
      <c r="I365" s="100" t="e">
        <f t="shared" ca="1" si="50"/>
        <v>#NAME?</v>
      </c>
      <c r="J365" s="100" t="e">
        <f t="shared" ca="1" si="51"/>
        <v>#NAME?</v>
      </c>
      <c r="K365" s="100" t="e">
        <f t="shared" ca="1" si="52"/>
        <v>#NAME?</v>
      </c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 spans="1:26">
      <c r="A366" s="100" t="e">
        <f ca="1">IFERROR(__xludf.DUMMYFUNCTION("""COMPUTED_VALUE"""),14520118)</f>
        <v>#NAME?</v>
      </c>
      <c r="B366" s="100" t="e">
        <f ca="1">IFERROR(__xludf.DUMMYFUNCTION("""COMPUTED_VALUE"""),"neirousdt")</f>
        <v>#NAME?</v>
      </c>
      <c r="C366" s="100" t="e">
        <f ca="1">IFERROR(__xludf.DUMMYFUNCTION("""COMPUTED_VALUE"""),"0.00086")</f>
        <v>#NAME?</v>
      </c>
      <c r="D366" s="100" t="e">
        <f t="shared" ca="1" si="54"/>
        <v>#NAME?</v>
      </c>
      <c r="E366" s="100" t="e">
        <f t="shared" ca="1" si="54"/>
        <v>#NAME?</v>
      </c>
      <c r="F366" s="100" t="e">
        <f t="shared" ca="1" si="47"/>
        <v>#NAME?</v>
      </c>
      <c r="G366" s="100" t="e">
        <f t="shared" ca="1" si="48"/>
        <v>#NAME?</v>
      </c>
      <c r="H366" s="100" t="e">
        <f t="shared" ca="1" si="49"/>
        <v>#NAME?</v>
      </c>
      <c r="I366" s="100" t="e">
        <f t="shared" ca="1" si="50"/>
        <v>#NAME?</v>
      </c>
      <c r="J366" s="100" t="e">
        <f t="shared" ca="1" si="51"/>
        <v>#NAME?</v>
      </c>
      <c r="K366" s="100" t="e">
        <f t="shared" ca="1" si="52"/>
        <v>#NAME?</v>
      </c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 spans="1:26">
      <c r="A367" s="100" t="e">
        <f ca="1">IFERROR(__xludf.DUMMYFUNCTION("""COMPUTED_VALUE"""),14520119)</f>
        <v>#NAME?</v>
      </c>
      <c r="B367" s="100" t="e">
        <f ca="1">IFERROR(__xludf.DUMMYFUNCTION("""COMPUTED_VALUE"""),"neurusdt")</f>
        <v>#NAME?</v>
      </c>
      <c r="C367" s="100" t="e">
        <f ca="1">IFERROR(__xludf.DUMMYFUNCTION("""COMPUTED_VALUE"""),"0.00276")</f>
        <v>#NAME?</v>
      </c>
      <c r="D367" s="100" t="e">
        <f t="shared" ca="1" si="54"/>
        <v>#NAME?</v>
      </c>
      <c r="E367" s="100" t="e">
        <f t="shared" ca="1" si="54"/>
        <v>#NAME?</v>
      </c>
      <c r="F367" s="100" t="e">
        <f t="shared" ca="1" si="47"/>
        <v>#NAME?</v>
      </c>
      <c r="G367" s="100" t="e">
        <f t="shared" ca="1" si="48"/>
        <v>#NAME?</v>
      </c>
      <c r="H367" s="100" t="e">
        <f t="shared" ca="1" si="49"/>
        <v>#NAME?</v>
      </c>
      <c r="I367" s="100" t="e">
        <f t="shared" ca="1" si="50"/>
        <v>#NAME?</v>
      </c>
      <c r="J367" s="100" t="e">
        <f t="shared" ca="1" si="51"/>
        <v>#NAME?</v>
      </c>
      <c r="K367" s="100" t="e">
        <f t="shared" ca="1" si="52"/>
        <v>#NAME?</v>
      </c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 spans="1:26">
      <c r="A368" s="100" t="e">
        <f ca="1">IFERROR(__xludf.DUMMYFUNCTION("""COMPUTED_VALUE"""),14520120)</f>
        <v>#NAME?</v>
      </c>
      <c r="B368" s="100" t="e">
        <f ca="1">IFERROR(__xludf.DUMMYFUNCTION("""COMPUTED_VALUE"""),"racausdt")</f>
        <v>#NAME?</v>
      </c>
      <c r="C368" s="100" t="e">
        <f ca="1">IFERROR(__xludf.DUMMYFUNCTION("""COMPUTED_VALUE"""),"8.62e-05")</f>
        <v>#NAME?</v>
      </c>
      <c r="D368" s="100" t="e">
        <f t="shared" ca="1" si="54"/>
        <v>#NAME?</v>
      </c>
      <c r="E368" s="100" t="e">
        <f t="shared" ca="1" si="54"/>
        <v>#NAME?</v>
      </c>
      <c r="F368" s="100" t="e">
        <f t="shared" ca="1" si="47"/>
        <v>#NAME?</v>
      </c>
      <c r="G368" s="100" t="e">
        <f t="shared" ca="1" si="48"/>
        <v>#NAME?</v>
      </c>
      <c r="H368" s="100" t="e">
        <f t="shared" ca="1" si="49"/>
        <v>#NAME?</v>
      </c>
      <c r="I368" s="100" t="e">
        <f t="shared" ca="1" si="50"/>
        <v>#NAME?</v>
      </c>
      <c r="J368" s="100" t="e">
        <f t="shared" ca="1" si="51"/>
        <v>#NAME?</v>
      </c>
      <c r="K368" s="100" t="e">
        <f t="shared" ca="1" si="52"/>
        <v>#NAME?</v>
      </c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 spans="1:26">
      <c r="A369" s="100" t="e">
        <f ca="1">IFERROR(__xludf.DUMMYFUNCTION("""COMPUTED_VALUE"""),14520121)</f>
        <v>#NAME?</v>
      </c>
      <c r="B369" s="100" t="e">
        <f ca="1">IFERROR(__xludf.DUMMYFUNCTION("""COMPUTED_VALUE"""),"shrapusdt")</f>
        <v>#NAME?</v>
      </c>
      <c r="C369" s="100" t="e">
        <f ca="1">IFERROR(__xludf.DUMMYFUNCTION("""COMPUTED_VALUE"""),"0.005121")</f>
        <v>#NAME?</v>
      </c>
      <c r="D369" s="100" t="e">
        <f t="shared" ca="1" si="54"/>
        <v>#NAME?</v>
      </c>
      <c r="E369" s="100" t="e">
        <f t="shared" ca="1" si="54"/>
        <v>#NAME?</v>
      </c>
      <c r="F369" s="100" t="e">
        <f t="shared" ca="1" si="47"/>
        <v>#NAME?</v>
      </c>
      <c r="G369" s="100" t="e">
        <f t="shared" ca="1" si="48"/>
        <v>#NAME?</v>
      </c>
      <c r="H369" s="100" t="e">
        <f t="shared" ca="1" si="49"/>
        <v>#NAME?</v>
      </c>
      <c r="I369" s="100" t="e">
        <f t="shared" ca="1" si="50"/>
        <v>#NAME?</v>
      </c>
      <c r="J369" s="100" t="e">
        <f t="shared" ca="1" si="51"/>
        <v>#NAME?</v>
      </c>
      <c r="K369" s="100" t="e">
        <f t="shared" ca="1" si="52"/>
        <v>#NAME?</v>
      </c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 spans="1:26">
      <c r="A370" s="100" t="e">
        <f ca="1">IFERROR(__xludf.DUMMYFUNCTION("""COMPUTED_VALUE"""),14520122)</f>
        <v>#NAME?</v>
      </c>
      <c r="B370" s="100" t="e">
        <f ca="1">IFERROR(__xludf.DUMMYFUNCTION("""COMPUTED_VALUE"""),"usdpusdt")</f>
        <v>#NAME?</v>
      </c>
      <c r="C370" s="100" t="e">
        <f ca="1">IFERROR(__xludf.DUMMYFUNCTION("""COMPUTED_VALUE"""),"0.9936")</f>
        <v>#NAME?</v>
      </c>
      <c r="D370" s="100" t="e">
        <f t="shared" ca="1" si="54"/>
        <v>#NAME?</v>
      </c>
      <c r="E370" s="100" t="e">
        <f t="shared" ca="1" si="54"/>
        <v>#NAME?</v>
      </c>
      <c r="F370" s="100" t="e">
        <f t="shared" ca="1" si="47"/>
        <v>#NAME?</v>
      </c>
      <c r="G370" s="100" t="e">
        <f t="shared" ca="1" si="48"/>
        <v>#NAME?</v>
      </c>
      <c r="H370" s="100" t="e">
        <f t="shared" ca="1" si="49"/>
        <v>#NAME?</v>
      </c>
      <c r="I370" s="100" t="e">
        <f t="shared" ca="1" si="50"/>
        <v>#NAME?</v>
      </c>
      <c r="J370" s="100" t="e">
        <f t="shared" ca="1" si="51"/>
        <v>#NAME?</v>
      </c>
      <c r="K370" s="100" t="e">
        <f t="shared" ca="1" si="52"/>
        <v>#NAME?</v>
      </c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 spans="1:26">
      <c r="A371" s="100" t="e">
        <f ca="1">IFERROR(__xludf.DUMMYFUNCTION("""COMPUTED_VALUE"""),14520123)</f>
        <v>#NAME?</v>
      </c>
      <c r="B371" s="100" t="e">
        <f ca="1">IFERROR(__xludf.DUMMYFUNCTION("""COMPUTED_VALUE"""),"requsdt")</f>
        <v>#NAME?</v>
      </c>
      <c r="C371" s="100" t="e">
        <f ca="1">IFERROR(__xludf.DUMMYFUNCTION("""COMPUTED_VALUE"""),"0.1111")</f>
        <v>#NAME?</v>
      </c>
      <c r="D371" s="100" t="e">
        <f t="shared" ca="1" si="54"/>
        <v>#NAME?</v>
      </c>
      <c r="E371" s="100" t="e">
        <f t="shared" ca="1" si="54"/>
        <v>#NAME?</v>
      </c>
      <c r="F371" s="100" t="e">
        <f t="shared" ca="1" si="47"/>
        <v>#NAME?</v>
      </c>
      <c r="G371" s="100" t="e">
        <f t="shared" ca="1" si="48"/>
        <v>#NAME?</v>
      </c>
      <c r="H371" s="100" t="e">
        <f t="shared" ca="1" si="49"/>
        <v>#NAME?</v>
      </c>
      <c r="I371" s="100" t="e">
        <f t="shared" ca="1" si="50"/>
        <v>#NAME?</v>
      </c>
      <c r="J371" s="100" t="e">
        <f t="shared" ca="1" si="51"/>
        <v>#NAME?</v>
      </c>
      <c r="K371" s="100" t="e">
        <f t="shared" ca="1" si="52"/>
        <v>#NAME?</v>
      </c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 spans="1:26">
      <c r="A372" s="100" t="e">
        <f ca="1">IFERROR(__xludf.DUMMYFUNCTION("""COMPUTED_VALUE"""),14520124)</f>
        <v>#NAME?</v>
      </c>
      <c r="B372" s="100" t="e">
        <f ca="1">IFERROR(__xludf.DUMMYFUNCTION("""COMPUTED_VALUE"""),"gmeusdt")</f>
        <v>#NAME?</v>
      </c>
      <c r="C372" s="100" t="e">
        <f ca="1">IFERROR(__xludf.DUMMYFUNCTION("""COMPUTED_VALUE"""),"0.002058")</f>
        <v>#NAME?</v>
      </c>
      <c r="D372" s="100" t="e">
        <f t="shared" ca="1" si="54"/>
        <v>#NAME?</v>
      </c>
      <c r="E372" s="100" t="e">
        <f t="shared" ca="1" si="54"/>
        <v>#NAME?</v>
      </c>
      <c r="F372" s="100" t="e">
        <f t="shared" ca="1" si="47"/>
        <v>#NAME?</v>
      </c>
      <c r="G372" s="100" t="e">
        <f t="shared" ca="1" si="48"/>
        <v>#NAME?</v>
      </c>
      <c r="H372" s="100" t="e">
        <f t="shared" ca="1" si="49"/>
        <v>#NAME?</v>
      </c>
      <c r="I372" s="100" t="e">
        <f t="shared" ca="1" si="50"/>
        <v>#NAME?</v>
      </c>
      <c r="J372" s="100" t="e">
        <f t="shared" ca="1" si="51"/>
        <v>#NAME?</v>
      </c>
      <c r="K372" s="100" t="e">
        <f t="shared" ca="1" si="52"/>
        <v>#NAME?</v>
      </c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 spans="1:26">
      <c r="A373" s="100" t="e">
        <f ca="1">IFERROR(__xludf.DUMMYFUNCTION("""COMPUTED_VALUE"""),14520125)</f>
        <v>#NAME?</v>
      </c>
      <c r="B373" s="100" t="e">
        <f ca="1">IFERROR(__xludf.DUMMYFUNCTION("""COMPUTED_VALUE"""),"pewusdt")</f>
        <v>#NAME?</v>
      </c>
      <c r="C373" s="100" t="e">
        <f ca="1">IFERROR(__xludf.DUMMYFUNCTION("""COMPUTED_VALUE"""),"2.915e-07")</f>
        <v>#NAME?</v>
      </c>
      <c r="D373" s="100" t="e">
        <f t="shared" ca="1" si="54"/>
        <v>#NAME?</v>
      </c>
      <c r="E373" s="100" t="e">
        <f t="shared" ca="1" si="54"/>
        <v>#NAME?</v>
      </c>
      <c r="F373" s="100" t="e">
        <f t="shared" ca="1" si="47"/>
        <v>#NAME?</v>
      </c>
      <c r="G373" s="100" t="e">
        <f t="shared" ca="1" si="48"/>
        <v>#NAME?</v>
      </c>
      <c r="H373" s="100" t="e">
        <f t="shared" ca="1" si="49"/>
        <v>#NAME?</v>
      </c>
      <c r="I373" s="100" t="e">
        <f t="shared" ca="1" si="50"/>
        <v>#NAME?</v>
      </c>
      <c r="J373" s="100" t="e">
        <f t="shared" ca="1" si="51"/>
        <v>#NAME?</v>
      </c>
      <c r="K373" s="100" t="e">
        <f t="shared" ca="1" si="52"/>
        <v>#NAME?</v>
      </c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 spans="1:26">
      <c r="A374" s="100" t="e">
        <f ca="1">IFERROR(__xludf.DUMMYFUNCTION("""COMPUTED_VALUE"""),14520126)</f>
        <v>#NAME?</v>
      </c>
      <c r="B374" s="100" t="e">
        <f ca="1">IFERROR(__xludf.DUMMYFUNCTION("""COMPUTED_VALUE"""),"scrusdt")</f>
        <v>#NAME?</v>
      </c>
      <c r="C374" s="100" t="e">
        <f ca="1">IFERROR(__xludf.DUMMYFUNCTION("""COMPUTED_VALUE"""),"0.2523")</f>
        <v>#NAME?</v>
      </c>
      <c r="D374" s="100" t="e">
        <f t="shared" ca="1" si="54"/>
        <v>#NAME?</v>
      </c>
      <c r="E374" s="100" t="e">
        <f t="shared" ca="1" si="54"/>
        <v>#NAME?</v>
      </c>
      <c r="F374" s="100" t="e">
        <f t="shared" ca="1" si="47"/>
        <v>#NAME?</v>
      </c>
      <c r="G374" s="100" t="e">
        <f t="shared" ca="1" si="48"/>
        <v>#NAME?</v>
      </c>
      <c r="H374" s="100" t="e">
        <f t="shared" ca="1" si="49"/>
        <v>#NAME?</v>
      </c>
      <c r="I374" s="100" t="e">
        <f t="shared" ca="1" si="50"/>
        <v>#NAME?</v>
      </c>
      <c r="J374" s="100" t="e">
        <f t="shared" ca="1" si="51"/>
        <v>#NAME?</v>
      </c>
      <c r="K374" s="100" t="e">
        <f t="shared" ca="1" si="52"/>
        <v>#NAME?</v>
      </c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 spans="1:26">
      <c r="A375" s="100" t="e">
        <f ca="1">IFERROR(__xludf.DUMMYFUNCTION("""COMPUTED_VALUE"""),14520127)</f>
        <v>#NAME?</v>
      </c>
      <c r="B375" s="100" t="e">
        <f ca="1">IFERROR(__xludf.DUMMYFUNCTION("""COMPUTED_VALUE"""),"lqtyusdt")</f>
        <v>#NAME?</v>
      </c>
      <c r="C375" s="100" t="e">
        <f ca="1">IFERROR(__xludf.DUMMYFUNCTION("""COMPUTED_VALUE"""),"0.5994")</f>
        <v>#NAME?</v>
      </c>
      <c r="D375" s="100" t="e">
        <f t="shared" ca="1" si="54"/>
        <v>#NAME?</v>
      </c>
      <c r="E375" s="100" t="e">
        <f t="shared" ca="1" si="54"/>
        <v>#NAME?</v>
      </c>
      <c r="F375" s="100" t="e">
        <f t="shared" ca="1" si="47"/>
        <v>#NAME?</v>
      </c>
      <c r="G375" s="100" t="e">
        <f t="shared" ca="1" si="48"/>
        <v>#NAME?</v>
      </c>
      <c r="H375" s="100" t="e">
        <f t="shared" ca="1" si="49"/>
        <v>#NAME?</v>
      </c>
      <c r="I375" s="100" t="e">
        <f t="shared" ca="1" si="50"/>
        <v>#NAME?</v>
      </c>
      <c r="J375" s="100" t="e">
        <f t="shared" ca="1" si="51"/>
        <v>#NAME?</v>
      </c>
      <c r="K375" s="100" t="e">
        <f t="shared" ca="1" si="52"/>
        <v>#NAME?</v>
      </c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 spans="1:26">
      <c r="A376" s="100" t="e">
        <f ca="1">IFERROR(__xludf.DUMMYFUNCTION("""COMPUTED_VALUE"""),14520128)</f>
        <v>#NAME?</v>
      </c>
      <c r="B376" s="100" t="e">
        <f ca="1">IFERROR(__xludf.DUMMYFUNCTION("""COMPUTED_VALUE"""),"xtmusdt")</f>
        <v>#NAME?</v>
      </c>
      <c r="C376" s="100" t="e">
        <f ca="1">IFERROR(__xludf.DUMMYFUNCTION("""COMPUTED_VALUE"""),"0.004544")</f>
        <v>#NAME?</v>
      </c>
      <c r="D376" s="100" t="e">
        <f t="shared" ca="1" si="54"/>
        <v>#NAME?</v>
      </c>
      <c r="E376" s="100" t="e">
        <f t="shared" ca="1" si="54"/>
        <v>#NAME?</v>
      </c>
      <c r="F376" s="100" t="e">
        <f t="shared" ca="1" si="47"/>
        <v>#NAME?</v>
      </c>
      <c r="G376" s="100" t="e">
        <f t="shared" ca="1" si="48"/>
        <v>#NAME?</v>
      </c>
      <c r="H376" s="100" t="e">
        <f t="shared" ca="1" si="49"/>
        <v>#NAME?</v>
      </c>
      <c r="I376" s="100" t="e">
        <f t="shared" ca="1" si="50"/>
        <v>#NAME?</v>
      </c>
      <c r="J376" s="100" t="e">
        <f t="shared" ca="1" si="51"/>
        <v>#NAME?</v>
      </c>
      <c r="K376" s="100" t="e">
        <f t="shared" ca="1" si="52"/>
        <v>#NAME?</v>
      </c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 spans="1:26">
      <c r="A377" s="100" t="e">
        <f ca="1">IFERROR(__xludf.DUMMYFUNCTION("""COMPUTED_VALUE"""),14520129)</f>
        <v>#NAME?</v>
      </c>
      <c r="B377" s="100" t="e">
        <f ca="1">IFERROR(__xludf.DUMMYFUNCTION("""COMPUTED_VALUE"""),"pixfiusdt")</f>
        <v>#NAME?</v>
      </c>
      <c r="C377" s="100" t="e">
        <f ca="1">IFERROR(__xludf.DUMMYFUNCTION("""COMPUTED_VALUE"""),"0.00078")</f>
        <v>#NAME?</v>
      </c>
      <c r="D377" s="100" t="e">
        <f t="shared" ca="1" si="54"/>
        <v>#NAME?</v>
      </c>
      <c r="E377" s="100" t="e">
        <f t="shared" ca="1" si="54"/>
        <v>#NAME?</v>
      </c>
      <c r="F377" s="100" t="e">
        <f t="shared" ca="1" si="47"/>
        <v>#NAME?</v>
      </c>
      <c r="G377" s="100" t="e">
        <f t="shared" ca="1" si="48"/>
        <v>#NAME?</v>
      </c>
      <c r="H377" s="100" t="e">
        <f t="shared" ca="1" si="49"/>
        <v>#NAME?</v>
      </c>
      <c r="I377" s="100" t="e">
        <f t="shared" ca="1" si="50"/>
        <v>#NAME?</v>
      </c>
      <c r="J377" s="100" t="e">
        <f t="shared" ca="1" si="51"/>
        <v>#NAME?</v>
      </c>
      <c r="K377" s="100" t="e">
        <f t="shared" ca="1" si="52"/>
        <v>#NAME?</v>
      </c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 spans="1:26">
      <c r="A378" s="100" t="e">
        <f ca="1">IFERROR(__xludf.DUMMYFUNCTION("""COMPUTED_VALUE"""),14520130)</f>
        <v>#NAME?</v>
      </c>
      <c r="B378" s="100" t="e">
        <f ca="1">IFERROR(__xludf.DUMMYFUNCTION("""COMPUTED_VALUE"""),"strkusdt")</f>
        <v>#NAME?</v>
      </c>
      <c r="C378" s="100" t="e">
        <f ca="1">IFERROR(__xludf.DUMMYFUNCTION("""COMPUTED_VALUE"""),"0.1351")</f>
        <v>#NAME?</v>
      </c>
      <c r="D378" s="100" t="e">
        <f t="shared" ca="1" si="54"/>
        <v>#NAME?</v>
      </c>
      <c r="E378" s="100" t="e">
        <f t="shared" ca="1" si="54"/>
        <v>#NAME?</v>
      </c>
      <c r="F378" s="100" t="e">
        <f t="shared" ca="1" si="47"/>
        <v>#NAME?</v>
      </c>
      <c r="G378" s="100" t="e">
        <f t="shared" ca="1" si="48"/>
        <v>#NAME?</v>
      </c>
      <c r="H378" s="100" t="e">
        <f t="shared" ca="1" si="49"/>
        <v>#NAME?</v>
      </c>
      <c r="I378" s="100" t="e">
        <f t="shared" ca="1" si="50"/>
        <v>#NAME?</v>
      </c>
      <c r="J378" s="100" t="e">
        <f t="shared" ca="1" si="51"/>
        <v>#NAME?</v>
      </c>
      <c r="K378" s="100" t="e">
        <f t="shared" ca="1" si="52"/>
        <v>#NAME?</v>
      </c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 spans="1:26">
      <c r="A379" s="100" t="e">
        <f ca="1">IFERROR(__xludf.DUMMYFUNCTION("""COMPUTED_VALUE"""),14520131)</f>
        <v>#NAME?</v>
      </c>
      <c r="B379" s="100" t="e">
        <f ca="1">IFERROR(__xludf.DUMMYFUNCTION("""COMPUTED_VALUE"""),"ctsiusdt")</f>
        <v>#NAME?</v>
      </c>
      <c r="C379" s="100" t="e">
        <f ca="1">IFERROR(__xludf.DUMMYFUNCTION("""COMPUTED_VALUE"""),"0.0602")</f>
        <v>#NAME?</v>
      </c>
      <c r="D379" s="100" t="e">
        <f t="shared" ca="1" si="54"/>
        <v>#NAME?</v>
      </c>
      <c r="E379" s="100" t="e">
        <f t="shared" ca="1" si="54"/>
        <v>#NAME?</v>
      </c>
      <c r="F379" s="100" t="e">
        <f t="shared" ca="1" si="47"/>
        <v>#NAME?</v>
      </c>
      <c r="G379" s="100" t="e">
        <f t="shared" ca="1" si="48"/>
        <v>#NAME?</v>
      </c>
      <c r="H379" s="100" t="e">
        <f t="shared" ca="1" si="49"/>
        <v>#NAME?</v>
      </c>
      <c r="I379" s="100" t="e">
        <f t="shared" ca="1" si="50"/>
        <v>#NAME?</v>
      </c>
      <c r="J379" s="100" t="e">
        <f t="shared" ca="1" si="51"/>
        <v>#NAME?</v>
      </c>
      <c r="K379" s="100" t="e">
        <f t="shared" ca="1" si="52"/>
        <v>#NAME?</v>
      </c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 spans="1:26">
      <c r="A380" s="100" t="e">
        <f ca="1">IFERROR(__xludf.DUMMYFUNCTION("""COMPUTED_VALUE"""),14520132)</f>
        <v>#NAME?</v>
      </c>
      <c r="B380" s="100" t="e">
        <f ca="1">IFERROR(__xludf.DUMMYFUNCTION("""COMPUTED_VALUE"""),"zkusdt")</f>
        <v>#NAME?</v>
      </c>
      <c r="C380" s="100" t="e">
        <f ca="1">IFERROR(__xludf.DUMMYFUNCTION("""COMPUTED_VALUE"""),"0.0714")</f>
        <v>#NAME?</v>
      </c>
      <c r="D380" s="100" t="e">
        <f t="shared" ca="1" si="54"/>
        <v>#NAME?</v>
      </c>
      <c r="E380" s="100" t="e">
        <f t="shared" ca="1" si="54"/>
        <v>#NAME?</v>
      </c>
      <c r="F380" s="100" t="e">
        <f t="shared" ca="1" si="47"/>
        <v>#NAME?</v>
      </c>
      <c r="G380" s="100" t="e">
        <f t="shared" ca="1" si="48"/>
        <v>#NAME?</v>
      </c>
      <c r="H380" s="100" t="e">
        <f t="shared" ca="1" si="49"/>
        <v>#NAME?</v>
      </c>
      <c r="I380" s="100" t="e">
        <f t="shared" ca="1" si="50"/>
        <v>#NAME?</v>
      </c>
      <c r="J380" s="100" t="e">
        <f t="shared" ca="1" si="51"/>
        <v>#NAME?</v>
      </c>
      <c r="K380" s="100" t="e">
        <f t="shared" ca="1" si="52"/>
        <v>#NAME?</v>
      </c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 spans="1:26">
      <c r="A381" s="100" t="e">
        <f ca="1">IFERROR(__xludf.DUMMYFUNCTION("""COMPUTED_VALUE"""),14520133)</f>
        <v>#NAME?</v>
      </c>
      <c r="B381" s="100" t="e">
        <f ca="1">IFERROR(__xludf.DUMMYFUNCTION("""COMPUTED_VALUE"""),"neiroethusdt")</f>
        <v>#NAME?</v>
      </c>
      <c r="C381" s="100" t="e">
        <f ca="1">IFERROR(__xludf.DUMMYFUNCTION("""COMPUTED_VALUE"""),"0.0296")</f>
        <v>#NAME?</v>
      </c>
      <c r="D381" s="100" t="e">
        <f t="shared" ca="1" si="54"/>
        <v>#NAME?</v>
      </c>
      <c r="E381" s="100" t="e">
        <f t="shared" ca="1" si="54"/>
        <v>#NAME?</v>
      </c>
      <c r="F381" s="100" t="e">
        <f t="shared" ca="1" si="47"/>
        <v>#NAME?</v>
      </c>
      <c r="G381" s="100" t="e">
        <f t="shared" ca="1" si="48"/>
        <v>#NAME?</v>
      </c>
      <c r="H381" s="100" t="e">
        <f t="shared" ca="1" si="49"/>
        <v>#NAME?</v>
      </c>
      <c r="I381" s="100" t="e">
        <f t="shared" ca="1" si="50"/>
        <v>#NAME?</v>
      </c>
      <c r="J381" s="100" t="e">
        <f t="shared" ca="1" si="51"/>
        <v>#NAME?</v>
      </c>
      <c r="K381" s="100" t="e">
        <f t="shared" ca="1" si="52"/>
        <v>#NAME?</v>
      </c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 spans="1:26">
      <c r="A382" s="100" t="e">
        <f ca="1">IFERROR(__xludf.DUMMYFUNCTION("""COMPUTED_VALUE"""),14520134)</f>
        <v>#NAME?</v>
      </c>
      <c r="B382" s="100" t="e">
        <f ca="1">IFERROR(__xludf.DUMMYFUNCTION("""COMPUTED_VALUE"""),"punduusdt")</f>
        <v>#NAME?</v>
      </c>
      <c r="C382" s="100" t="e">
        <f ca="1">IFERROR(__xludf.DUMMYFUNCTION("""COMPUTED_VALUE"""),"0.003092")</f>
        <v>#NAME?</v>
      </c>
      <c r="D382" s="100" t="e">
        <f t="shared" ref="D382:E401" ca="1" si="55">IFERROR(__xludf.DUMMYFUNCTION("""COMPUTED_VALUE"""),"-")</f>
        <v>#NAME?</v>
      </c>
      <c r="E382" s="100" t="e">
        <f t="shared" ca="1" si="55"/>
        <v>#NAME?</v>
      </c>
      <c r="F382" s="100" t="e">
        <f t="shared" ca="1" si="47"/>
        <v>#NAME?</v>
      </c>
      <c r="G382" s="100" t="e">
        <f t="shared" ca="1" si="48"/>
        <v>#NAME?</v>
      </c>
      <c r="H382" s="100" t="e">
        <f t="shared" ca="1" si="49"/>
        <v>#NAME?</v>
      </c>
      <c r="I382" s="100" t="e">
        <f t="shared" ca="1" si="50"/>
        <v>#NAME?</v>
      </c>
      <c r="J382" s="100" t="e">
        <f t="shared" ca="1" si="51"/>
        <v>#NAME?</v>
      </c>
      <c r="K382" s="100" t="e">
        <f t="shared" ca="1" si="52"/>
        <v>#NAME?</v>
      </c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 spans="1:26">
      <c r="A383" s="100" t="e">
        <f ca="1">IFERROR(__xludf.DUMMYFUNCTION("""COMPUTED_VALUE"""),14520135)</f>
        <v>#NAME?</v>
      </c>
      <c r="B383" s="100" t="e">
        <f ca="1">IFERROR(__xludf.DUMMYFUNCTION("""COMPUTED_VALUE"""),"mocausdt")</f>
        <v>#NAME?</v>
      </c>
      <c r="C383" s="100" t="e">
        <f ca="1">IFERROR(__xludf.DUMMYFUNCTION("""COMPUTED_VALUE"""),"0.07717")</f>
        <v>#NAME?</v>
      </c>
      <c r="D383" s="100" t="e">
        <f t="shared" ca="1" si="55"/>
        <v>#NAME?</v>
      </c>
      <c r="E383" s="100" t="e">
        <f t="shared" ca="1" si="55"/>
        <v>#NAME?</v>
      </c>
      <c r="F383" s="100" t="e">
        <f t="shared" ca="1" si="47"/>
        <v>#NAME?</v>
      </c>
      <c r="G383" s="100" t="e">
        <f t="shared" ca="1" si="48"/>
        <v>#NAME?</v>
      </c>
      <c r="H383" s="100" t="e">
        <f t="shared" ca="1" si="49"/>
        <v>#NAME?</v>
      </c>
      <c r="I383" s="100" t="e">
        <f t="shared" ca="1" si="50"/>
        <v>#NAME?</v>
      </c>
      <c r="J383" s="100" t="e">
        <f t="shared" ca="1" si="51"/>
        <v>#NAME?</v>
      </c>
      <c r="K383" s="100" t="e">
        <f t="shared" ca="1" si="52"/>
        <v>#NAME?</v>
      </c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 spans="1:26">
      <c r="A384" s="100" t="e">
        <f ca="1">IFERROR(__xludf.DUMMYFUNCTION("""COMPUTED_VALUE"""),14520136)</f>
        <v>#NAME?</v>
      </c>
      <c r="B384" s="100" t="e">
        <f ca="1">IFERROR(__xludf.DUMMYFUNCTION("""COMPUTED_VALUE"""),"pushusdt")</f>
        <v>#NAME?</v>
      </c>
      <c r="C384" s="100" t="e">
        <f ca="1">IFERROR(__xludf.DUMMYFUNCTION("""COMPUTED_VALUE"""),"0.0307")</f>
        <v>#NAME?</v>
      </c>
      <c r="D384" s="100" t="e">
        <f t="shared" ca="1" si="55"/>
        <v>#NAME?</v>
      </c>
      <c r="E384" s="100" t="e">
        <f t="shared" ca="1" si="55"/>
        <v>#NAME?</v>
      </c>
      <c r="F384" s="100" t="e">
        <f t="shared" ca="1" si="47"/>
        <v>#NAME?</v>
      </c>
      <c r="G384" s="100" t="e">
        <f t="shared" ca="1" si="48"/>
        <v>#NAME?</v>
      </c>
      <c r="H384" s="100" t="e">
        <f t="shared" ca="1" si="49"/>
        <v>#NAME?</v>
      </c>
      <c r="I384" s="100" t="e">
        <f t="shared" ca="1" si="50"/>
        <v>#NAME?</v>
      </c>
      <c r="J384" s="100" t="e">
        <f t="shared" ca="1" si="51"/>
        <v>#NAME?</v>
      </c>
      <c r="K384" s="100" t="e">
        <f t="shared" ca="1" si="52"/>
        <v>#NAME?</v>
      </c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 spans="1:26">
      <c r="A385" s="100" t="e">
        <f ca="1">IFERROR(__xludf.DUMMYFUNCTION("""COMPUTED_VALUE"""),14520137)</f>
        <v>#NAME?</v>
      </c>
      <c r="B385" s="100" t="e">
        <f ca="1">IFERROR(__xludf.DUMMYFUNCTION("""COMPUTED_VALUE"""),"badgerusdt")</f>
        <v>#NAME?</v>
      </c>
      <c r="C385" s="100" t="e">
        <f ca="1">IFERROR(__xludf.DUMMYFUNCTION("""COMPUTED_VALUE"""),"0.9281")</f>
        <v>#NAME?</v>
      </c>
      <c r="D385" s="100" t="e">
        <f t="shared" ca="1" si="55"/>
        <v>#NAME?</v>
      </c>
      <c r="E385" s="100" t="e">
        <f t="shared" ca="1" si="55"/>
        <v>#NAME?</v>
      </c>
      <c r="F385" s="100" t="e">
        <f t="shared" ca="1" si="47"/>
        <v>#NAME?</v>
      </c>
      <c r="G385" s="100" t="e">
        <f t="shared" ca="1" si="48"/>
        <v>#NAME?</v>
      </c>
      <c r="H385" s="100" t="e">
        <f t="shared" ca="1" si="49"/>
        <v>#NAME?</v>
      </c>
      <c r="I385" s="100" t="e">
        <f t="shared" ca="1" si="50"/>
        <v>#NAME?</v>
      </c>
      <c r="J385" s="100" t="e">
        <f t="shared" ca="1" si="51"/>
        <v>#NAME?</v>
      </c>
      <c r="K385" s="100" t="e">
        <f t="shared" ca="1" si="52"/>
        <v>#NAME?</v>
      </c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 spans="1:26">
      <c r="A386" s="100" t="e">
        <f ca="1">IFERROR(__xludf.DUMMYFUNCTION("""COMPUTED_VALUE"""),14520138)</f>
        <v>#NAME?</v>
      </c>
      <c r="B386" s="100" t="e">
        <f ca="1">IFERROR(__xludf.DUMMYFUNCTION("""COMPUTED_VALUE"""),"arkmusdt")</f>
        <v>#NAME?</v>
      </c>
      <c r="C386" s="100" t="e">
        <f ca="1">IFERROR(__xludf.DUMMYFUNCTION("""COMPUTED_VALUE"""),"0.5028")</f>
        <v>#NAME?</v>
      </c>
      <c r="D386" s="100" t="e">
        <f t="shared" ca="1" si="55"/>
        <v>#NAME?</v>
      </c>
      <c r="E386" s="100" t="e">
        <f t="shared" ca="1" si="55"/>
        <v>#NAME?</v>
      </c>
      <c r="F386" s="100" t="e">
        <f t="shared" ref="F386:F449" ca="1" si="56">IFERROR(__xludf.DUMMYFUNCTION("""COMPUTED_VALUE"""),20200)</f>
        <v>#NAME?</v>
      </c>
      <c r="G386" s="100" t="e">
        <f t="shared" ref="G386:G449" ca="1" si="57">IFERROR(__xludf.DUMMYFUNCTION("""COMPUTED_VALUE"""),2885)</f>
        <v>#NAME?</v>
      </c>
      <c r="H386" s="100" t="e">
        <f t="shared" ref="H386:H449" ca="1" si="58">IFERROR(__xludf.DUMMYFUNCTION("""COMPUTED_VALUE"""),663)</f>
        <v>#NAME?</v>
      </c>
      <c r="I386" s="100" t="e">
        <f t="shared" ref="I386:I449" ca="1" si="59">IFERROR(__xludf.DUMMYFUNCTION("""COMPUTED_VALUE"""),5817721)</f>
        <v>#NAME?</v>
      </c>
      <c r="J386" s="100" t="e">
        <f t="shared" ref="J386:J449" ca="1" si="60">IFERROR(__xludf.DUMMYFUNCTION("""COMPUTED_VALUE"""),"-")</f>
        <v>#NAME?</v>
      </c>
      <c r="K386" s="100" t="e">
        <f t="shared" ref="K386:K449" ca="1" si="61">IFERROR(__xludf.DUMMYFUNCTION("""COMPUTED_VALUE"""),"22.04.2025 13:05:01")</f>
        <v>#NAME?</v>
      </c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 spans="1:26">
      <c r="A387" s="100" t="e">
        <f ca="1">IFERROR(__xludf.DUMMYFUNCTION("""COMPUTED_VALUE"""),14520139)</f>
        <v>#NAME?</v>
      </c>
      <c r="B387" s="100" t="e">
        <f ca="1">IFERROR(__xludf.DUMMYFUNCTION("""COMPUTED_VALUE"""),"mplxusdt")</f>
        <v>#NAME?</v>
      </c>
      <c r="C387" s="100" t="e">
        <f ca="1">IFERROR(__xludf.DUMMYFUNCTION("""COMPUTED_VALUE"""),"0.2054")</f>
        <v>#NAME?</v>
      </c>
      <c r="D387" s="100" t="e">
        <f t="shared" ca="1" si="55"/>
        <v>#NAME?</v>
      </c>
      <c r="E387" s="100" t="e">
        <f t="shared" ca="1" si="55"/>
        <v>#NAME?</v>
      </c>
      <c r="F387" s="100" t="e">
        <f t="shared" ca="1" si="56"/>
        <v>#NAME?</v>
      </c>
      <c r="G387" s="100" t="e">
        <f t="shared" ca="1" si="57"/>
        <v>#NAME?</v>
      </c>
      <c r="H387" s="100" t="e">
        <f t="shared" ca="1" si="58"/>
        <v>#NAME?</v>
      </c>
      <c r="I387" s="100" t="e">
        <f t="shared" ca="1" si="59"/>
        <v>#NAME?</v>
      </c>
      <c r="J387" s="100" t="e">
        <f t="shared" ca="1" si="60"/>
        <v>#NAME?</v>
      </c>
      <c r="K387" s="100" t="e">
        <f t="shared" ca="1" si="61"/>
        <v>#NAME?</v>
      </c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 spans="1:26">
      <c r="A388" s="100" t="e">
        <f ca="1">IFERROR(__xludf.DUMMYFUNCTION("""COMPUTED_VALUE"""),14520140)</f>
        <v>#NAME?</v>
      </c>
      <c r="B388" s="100" t="e">
        <f ca="1">IFERROR(__xludf.DUMMYFUNCTION("""COMPUTED_VALUE"""),"susdt")</f>
        <v>#NAME?</v>
      </c>
      <c r="C388" s="100" t="e">
        <f ca="1">IFERROR(__xludf.DUMMYFUNCTION("""COMPUTED_VALUE"""),"0.4801")</f>
        <v>#NAME?</v>
      </c>
      <c r="D388" s="100" t="e">
        <f t="shared" ca="1" si="55"/>
        <v>#NAME?</v>
      </c>
      <c r="E388" s="100" t="e">
        <f t="shared" ca="1" si="55"/>
        <v>#NAME?</v>
      </c>
      <c r="F388" s="100" t="e">
        <f t="shared" ca="1" si="56"/>
        <v>#NAME?</v>
      </c>
      <c r="G388" s="100" t="e">
        <f t="shared" ca="1" si="57"/>
        <v>#NAME?</v>
      </c>
      <c r="H388" s="100" t="e">
        <f t="shared" ca="1" si="58"/>
        <v>#NAME?</v>
      </c>
      <c r="I388" s="100" t="e">
        <f t="shared" ca="1" si="59"/>
        <v>#NAME?</v>
      </c>
      <c r="J388" s="100" t="e">
        <f t="shared" ca="1" si="60"/>
        <v>#NAME?</v>
      </c>
      <c r="K388" s="100" t="e">
        <f t="shared" ca="1" si="61"/>
        <v>#NAME?</v>
      </c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 spans="1:26">
      <c r="A389" s="100" t="e">
        <f ca="1">IFERROR(__xludf.DUMMYFUNCTION("""COMPUTED_VALUE"""),14520141)</f>
        <v>#NAME?</v>
      </c>
      <c r="B389" s="100" t="e">
        <f ca="1">IFERROR(__xludf.DUMMYFUNCTION("""COMPUTED_VALUE"""),"propyusdt")</f>
        <v>#NAME?</v>
      </c>
      <c r="C389" s="100" t="e">
        <f ca="1">IFERROR(__xludf.DUMMYFUNCTION("""COMPUTED_VALUE"""),"0.6971")</f>
        <v>#NAME?</v>
      </c>
      <c r="D389" s="100" t="e">
        <f t="shared" ca="1" si="55"/>
        <v>#NAME?</v>
      </c>
      <c r="E389" s="100" t="e">
        <f t="shared" ca="1" si="55"/>
        <v>#NAME?</v>
      </c>
      <c r="F389" s="100" t="e">
        <f t="shared" ca="1" si="56"/>
        <v>#NAME?</v>
      </c>
      <c r="G389" s="100" t="e">
        <f t="shared" ca="1" si="57"/>
        <v>#NAME?</v>
      </c>
      <c r="H389" s="100" t="e">
        <f t="shared" ca="1" si="58"/>
        <v>#NAME?</v>
      </c>
      <c r="I389" s="100" t="e">
        <f t="shared" ca="1" si="59"/>
        <v>#NAME?</v>
      </c>
      <c r="J389" s="100" t="e">
        <f t="shared" ca="1" si="60"/>
        <v>#NAME?</v>
      </c>
      <c r="K389" s="100" t="e">
        <f t="shared" ca="1" si="61"/>
        <v>#NAME?</v>
      </c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 spans="1:26">
      <c r="A390" s="100" t="e">
        <f ca="1">IFERROR(__xludf.DUMMYFUNCTION("""COMPUTED_VALUE"""),14520142)</f>
        <v>#NAME?</v>
      </c>
      <c r="B390" s="100" t="e">
        <f ca="1">IFERROR(__xludf.DUMMYFUNCTION("""COMPUTED_VALUE"""),"powrusdt")</f>
        <v>#NAME?</v>
      </c>
      <c r="C390" s="100" t="e">
        <f ca="1">IFERROR(__xludf.DUMMYFUNCTION("""COMPUTED_VALUE"""),"0.1791")</f>
        <v>#NAME?</v>
      </c>
      <c r="D390" s="100" t="e">
        <f t="shared" ca="1" si="55"/>
        <v>#NAME?</v>
      </c>
      <c r="E390" s="100" t="e">
        <f t="shared" ca="1" si="55"/>
        <v>#NAME?</v>
      </c>
      <c r="F390" s="100" t="e">
        <f t="shared" ca="1" si="56"/>
        <v>#NAME?</v>
      </c>
      <c r="G390" s="100" t="e">
        <f t="shared" ca="1" si="57"/>
        <v>#NAME?</v>
      </c>
      <c r="H390" s="100" t="e">
        <f t="shared" ca="1" si="58"/>
        <v>#NAME?</v>
      </c>
      <c r="I390" s="100" t="e">
        <f t="shared" ca="1" si="59"/>
        <v>#NAME?</v>
      </c>
      <c r="J390" s="100" t="e">
        <f t="shared" ca="1" si="60"/>
        <v>#NAME?</v>
      </c>
      <c r="K390" s="100" t="e">
        <f t="shared" ca="1" si="61"/>
        <v>#NAME?</v>
      </c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 spans="1:26">
      <c r="A391" s="100" t="e">
        <f ca="1">IFERROR(__xludf.DUMMYFUNCTION("""COMPUTED_VALUE"""),14520143)</f>
        <v>#NAME?</v>
      </c>
      <c r="B391" s="100" t="e">
        <f ca="1">IFERROR(__xludf.DUMMYFUNCTION("""COMPUTED_VALUE"""),"strxtrx")</f>
        <v>#NAME?</v>
      </c>
      <c r="C391" s="100" t="e">
        <f ca="1">IFERROR(__xludf.DUMMYFUNCTION("""COMPUTED_VALUE"""),"1.1953")</f>
        <v>#NAME?</v>
      </c>
      <c r="D391" s="100" t="e">
        <f t="shared" ca="1" si="55"/>
        <v>#NAME?</v>
      </c>
      <c r="E391" s="100" t="e">
        <f t="shared" ca="1" si="55"/>
        <v>#NAME?</v>
      </c>
      <c r="F391" s="100" t="e">
        <f t="shared" ca="1" si="56"/>
        <v>#NAME?</v>
      </c>
      <c r="G391" s="100" t="e">
        <f t="shared" ca="1" si="57"/>
        <v>#NAME?</v>
      </c>
      <c r="H391" s="100" t="e">
        <f t="shared" ca="1" si="58"/>
        <v>#NAME?</v>
      </c>
      <c r="I391" s="100" t="e">
        <f t="shared" ca="1" si="59"/>
        <v>#NAME?</v>
      </c>
      <c r="J391" s="100" t="e">
        <f t="shared" ca="1" si="60"/>
        <v>#NAME?</v>
      </c>
      <c r="K391" s="100" t="e">
        <f t="shared" ca="1" si="61"/>
        <v>#NAME?</v>
      </c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 spans="1:26">
      <c r="A392" s="100" t="e">
        <f ca="1">IFERROR(__xludf.DUMMYFUNCTION("""COMPUTED_VALUE"""),14520144)</f>
        <v>#NAME?</v>
      </c>
      <c r="B392" s="100" t="e">
        <f ca="1">IFERROR(__xludf.DUMMYFUNCTION("""COMPUTED_VALUE"""),"iostusdt")</f>
        <v>#NAME?</v>
      </c>
      <c r="C392" s="100" t="e">
        <f ca="1">IFERROR(__xludf.DUMMYFUNCTION("""COMPUTED_VALUE"""),"0.003763")</f>
        <v>#NAME?</v>
      </c>
      <c r="D392" s="100" t="e">
        <f t="shared" ca="1" si="55"/>
        <v>#NAME?</v>
      </c>
      <c r="E392" s="100" t="e">
        <f t="shared" ca="1" si="55"/>
        <v>#NAME?</v>
      </c>
      <c r="F392" s="100" t="e">
        <f t="shared" ca="1" si="56"/>
        <v>#NAME?</v>
      </c>
      <c r="G392" s="100" t="e">
        <f t="shared" ca="1" si="57"/>
        <v>#NAME?</v>
      </c>
      <c r="H392" s="100" t="e">
        <f t="shared" ca="1" si="58"/>
        <v>#NAME?</v>
      </c>
      <c r="I392" s="100" t="e">
        <f t="shared" ca="1" si="59"/>
        <v>#NAME?</v>
      </c>
      <c r="J392" s="100" t="e">
        <f t="shared" ca="1" si="60"/>
        <v>#NAME?</v>
      </c>
      <c r="K392" s="100" t="e">
        <f t="shared" ca="1" si="61"/>
        <v>#NAME?</v>
      </c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 spans="1:26">
      <c r="A393" s="100" t="e">
        <f ca="1">IFERROR(__xludf.DUMMYFUNCTION("""COMPUTED_VALUE"""),14520145)</f>
        <v>#NAME?</v>
      </c>
      <c r="B393" s="100" t="e">
        <f ca="1">IFERROR(__xludf.DUMMYFUNCTION("""COMPUTED_VALUE"""),"yggusdt")</f>
        <v>#NAME?</v>
      </c>
      <c r="C393" s="100" t="e">
        <f ca="1">IFERROR(__xludf.DUMMYFUNCTION("""COMPUTED_VALUE"""),"0.182")</f>
        <v>#NAME?</v>
      </c>
      <c r="D393" s="100" t="e">
        <f t="shared" ca="1" si="55"/>
        <v>#NAME?</v>
      </c>
      <c r="E393" s="100" t="e">
        <f t="shared" ca="1" si="55"/>
        <v>#NAME?</v>
      </c>
      <c r="F393" s="100" t="e">
        <f t="shared" ca="1" si="56"/>
        <v>#NAME?</v>
      </c>
      <c r="G393" s="100" t="e">
        <f t="shared" ca="1" si="57"/>
        <v>#NAME?</v>
      </c>
      <c r="H393" s="100" t="e">
        <f t="shared" ca="1" si="58"/>
        <v>#NAME?</v>
      </c>
      <c r="I393" s="100" t="e">
        <f t="shared" ca="1" si="59"/>
        <v>#NAME?</v>
      </c>
      <c r="J393" s="100" t="e">
        <f t="shared" ca="1" si="60"/>
        <v>#NAME?</v>
      </c>
      <c r="K393" s="100" t="e">
        <f t="shared" ca="1" si="61"/>
        <v>#NAME?</v>
      </c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 spans="1:26">
      <c r="A394" s="100" t="e">
        <f ca="1">IFERROR(__xludf.DUMMYFUNCTION("""COMPUTED_VALUE"""),14520146)</f>
        <v>#NAME?</v>
      </c>
      <c r="B394" s="100" t="e">
        <f ca="1">IFERROR(__xludf.DUMMYFUNCTION("""COMPUTED_VALUE"""),"wwyusdt")</f>
        <v>#NAME?</v>
      </c>
      <c r="C394" s="100" t="e">
        <f ca="1">IFERROR(__xludf.DUMMYFUNCTION("""COMPUTED_VALUE"""),"0.000193")</f>
        <v>#NAME?</v>
      </c>
      <c r="D394" s="100" t="e">
        <f t="shared" ca="1" si="55"/>
        <v>#NAME?</v>
      </c>
      <c r="E394" s="100" t="e">
        <f t="shared" ca="1" si="55"/>
        <v>#NAME?</v>
      </c>
      <c r="F394" s="100" t="e">
        <f t="shared" ca="1" si="56"/>
        <v>#NAME?</v>
      </c>
      <c r="G394" s="100" t="e">
        <f t="shared" ca="1" si="57"/>
        <v>#NAME?</v>
      </c>
      <c r="H394" s="100" t="e">
        <f t="shared" ca="1" si="58"/>
        <v>#NAME?</v>
      </c>
      <c r="I394" s="100" t="e">
        <f t="shared" ca="1" si="59"/>
        <v>#NAME?</v>
      </c>
      <c r="J394" s="100" t="e">
        <f t="shared" ca="1" si="60"/>
        <v>#NAME?</v>
      </c>
      <c r="K394" s="100" t="e">
        <f t="shared" ca="1" si="61"/>
        <v>#NAME?</v>
      </c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 spans="1:26">
      <c r="A395" s="100" t="e">
        <f ca="1">IFERROR(__xludf.DUMMYFUNCTION("""COMPUTED_VALUE"""),14520147)</f>
        <v>#NAME?</v>
      </c>
      <c r="B395" s="100" t="e">
        <f ca="1">IFERROR(__xludf.DUMMYFUNCTION("""COMPUTED_VALUE"""),"rayusdt")</f>
        <v>#NAME?</v>
      </c>
      <c r="C395" s="100" t="e">
        <f ca="1">IFERROR(__xludf.DUMMYFUNCTION("""COMPUTED_VALUE"""),"2.3496")</f>
        <v>#NAME?</v>
      </c>
      <c r="D395" s="100" t="e">
        <f t="shared" ca="1" si="55"/>
        <v>#NAME?</v>
      </c>
      <c r="E395" s="100" t="e">
        <f t="shared" ca="1" si="55"/>
        <v>#NAME?</v>
      </c>
      <c r="F395" s="100" t="e">
        <f t="shared" ca="1" si="56"/>
        <v>#NAME?</v>
      </c>
      <c r="G395" s="100" t="e">
        <f t="shared" ca="1" si="57"/>
        <v>#NAME?</v>
      </c>
      <c r="H395" s="100" t="e">
        <f t="shared" ca="1" si="58"/>
        <v>#NAME?</v>
      </c>
      <c r="I395" s="100" t="e">
        <f t="shared" ca="1" si="59"/>
        <v>#NAME?</v>
      </c>
      <c r="J395" s="100" t="e">
        <f t="shared" ca="1" si="60"/>
        <v>#NAME?</v>
      </c>
      <c r="K395" s="100" t="e">
        <f t="shared" ca="1" si="61"/>
        <v>#NAME?</v>
      </c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 spans="1:26">
      <c r="A396" s="100" t="e">
        <f ca="1">IFERROR(__xludf.DUMMYFUNCTION("""COMPUTED_VALUE"""),14520148)</f>
        <v>#NAME?</v>
      </c>
      <c r="B396" s="100" t="e">
        <f ca="1">IFERROR(__xludf.DUMMYFUNCTION("""COMPUTED_VALUE"""),"stethusdt")</f>
        <v>#NAME?</v>
      </c>
      <c r="C396" s="100" t="e">
        <f ca="1">IFERROR(__xludf.DUMMYFUNCTION("""COMPUTED_VALUE"""),"1601.49")</f>
        <v>#NAME?</v>
      </c>
      <c r="D396" s="100" t="e">
        <f t="shared" ca="1" si="55"/>
        <v>#NAME?</v>
      </c>
      <c r="E396" s="100" t="e">
        <f t="shared" ca="1" si="55"/>
        <v>#NAME?</v>
      </c>
      <c r="F396" s="100" t="e">
        <f t="shared" ca="1" si="56"/>
        <v>#NAME?</v>
      </c>
      <c r="G396" s="100" t="e">
        <f t="shared" ca="1" si="57"/>
        <v>#NAME?</v>
      </c>
      <c r="H396" s="100" t="e">
        <f t="shared" ca="1" si="58"/>
        <v>#NAME?</v>
      </c>
      <c r="I396" s="100" t="e">
        <f t="shared" ca="1" si="59"/>
        <v>#NAME?</v>
      </c>
      <c r="J396" s="100" t="e">
        <f t="shared" ca="1" si="60"/>
        <v>#NAME?</v>
      </c>
      <c r="K396" s="100" t="e">
        <f t="shared" ca="1" si="61"/>
        <v>#NAME?</v>
      </c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 spans="1:26">
      <c r="A397" s="100" t="e">
        <f ca="1">IFERROR(__xludf.DUMMYFUNCTION("""COMPUTED_VALUE"""),14520149)</f>
        <v>#NAME?</v>
      </c>
      <c r="B397" s="100" t="e">
        <f ca="1">IFERROR(__xludf.DUMMYFUNCTION("""COMPUTED_VALUE"""),"atomusdt")</f>
        <v>#NAME?</v>
      </c>
      <c r="C397" s="100" t="e">
        <f ca="1">IFERROR(__xludf.DUMMYFUNCTION("""COMPUTED_VALUE"""),"4.0847")</f>
        <v>#NAME?</v>
      </c>
      <c r="D397" s="100" t="e">
        <f t="shared" ca="1" si="55"/>
        <v>#NAME?</v>
      </c>
      <c r="E397" s="100" t="e">
        <f t="shared" ca="1" si="55"/>
        <v>#NAME?</v>
      </c>
      <c r="F397" s="100" t="e">
        <f t="shared" ca="1" si="56"/>
        <v>#NAME?</v>
      </c>
      <c r="G397" s="100" t="e">
        <f t="shared" ca="1" si="57"/>
        <v>#NAME?</v>
      </c>
      <c r="H397" s="100" t="e">
        <f t="shared" ca="1" si="58"/>
        <v>#NAME?</v>
      </c>
      <c r="I397" s="100" t="e">
        <f t="shared" ca="1" si="59"/>
        <v>#NAME?</v>
      </c>
      <c r="J397" s="100" t="e">
        <f t="shared" ca="1" si="60"/>
        <v>#NAME?</v>
      </c>
      <c r="K397" s="100" t="e">
        <f t="shared" ca="1" si="61"/>
        <v>#NAME?</v>
      </c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 spans="1:26">
      <c r="A398" s="100" t="e">
        <f ca="1">IFERROR(__xludf.DUMMYFUNCTION("""COMPUTED_VALUE"""),14520150)</f>
        <v>#NAME?</v>
      </c>
      <c r="B398" s="100" t="e">
        <f ca="1">IFERROR(__xludf.DUMMYFUNCTION("""COMPUTED_VALUE"""),"csprusdt")</f>
        <v>#NAME?</v>
      </c>
      <c r="C398" s="100" t="e">
        <f ca="1">IFERROR(__xludf.DUMMYFUNCTION("""COMPUTED_VALUE"""),"0.0095")</f>
        <v>#NAME?</v>
      </c>
      <c r="D398" s="100" t="e">
        <f t="shared" ca="1" si="55"/>
        <v>#NAME?</v>
      </c>
      <c r="E398" s="100" t="e">
        <f t="shared" ca="1" si="55"/>
        <v>#NAME?</v>
      </c>
      <c r="F398" s="100" t="e">
        <f t="shared" ca="1" si="56"/>
        <v>#NAME?</v>
      </c>
      <c r="G398" s="100" t="e">
        <f t="shared" ca="1" si="57"/>
        <v>#NAME?</v>
      </c>
      <c r="H398" s="100" t="e">
        <f t="shared" ca="1" si="58"/>
        <v>#NAME?</v>
      </c>
      <c r="I398" s="100" t="e">
        <f t="shared" ca="1" si="59"/>
        <v>#NAME?</v>
      </c>
      <c r="J398" s="100" t="e">
        <f t="shared" ca="1" si="60"/>
        <v>#NAME?</v>
      </c>
      <c r="K398" s="100" t="e">
        <f t="shared" ca="1" si="61"/>
        <v>#NAME?</v>
      </c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 spans="1:26">
      <c r="A399" s="100" t="e">
        <f ca="1">IFERROR(__xludf.DUMMYFUNCTION("""COMPUTED_VALUE"""),14520151)</f>
        <v>#NAME?</v>
      </c>
      <c r="B399" s="100" t="e">
        <f ca="1">IFERROR(__xludf.DUMMYFUNCTION("""COMPUTED_VALUE"""),"rsrusdt")</f>
        <v>#NAME?</v>
      </c>
      <c r="C399" s="100" t="e">
        <f ca="1">IFERROR(__xludf.DUMMYFUNCTION("""COMPUTED_VALUE"""),"0.008309")</f>
        <v>#NAME?</v>
      </c>
      <c r="D399" s="100" t="e">
        <f t="shared" ca="1" si="55"/>
        <v>#NAME?</v>
      </c>
      <c r="E399" s="100" t="e">
        <f t="shared" ca="1" si="55"/>
        <v>#NAME?</v>
      </c>
      <c r="F399" s="100" t="e">
        <f t="shared" ca="1" si="56"/>
        <v>#NAME?</v>
      </c>
      <c r="G399" s="100" t="e">
        <f t="shared" ca="1" si="57"/>
        <v>#NAME?</v>
      </c>
      <c r="H399" s="100" t="e">
        <f t="shared" ca="1" si="58"/>
        <v>#NAME?</v>
      </c>
      <c r="I399" s="100" t="e">
        <f t="shared" ca="1" si="59"/>
        <v>#NAME?</v>
      </c>
      <c r="J399" s="100" t="e">
        <f t="shared" ca="1" si="60"/>
        <v>#NAME?</v>
      </c>
      <c r="K399" s="100" t="e">
        <f t="shared" ca="1" si="61"/>
        <v>#NAME?</v>
      </c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 spans="1:26">
      <c r="A400" s="100" t="e">
        <f ca="1">IFERROR(__xludf.DUMMYFUNCTION("""COMPUTED_VALUE"""),14520152)</f>
        <v>#NAME?</v>
      </c>
      <c r="B400" s="100" t="e">
        <f ca="1">IFERROR(__xludf.DUMMYFUNCTION("""COMPUTED_VALUE"""),"fct2usdt")</f>
        <v>#NAME?</v>
      </c>
      <c r="C400" s="100" t="e">
        <f ca="1">IFERROR(__xludf.DUMMYFUNCTION("""COMPUTED_VALUE"""),"0.032327")</f>
        <v>#NAME?</v>
      </c>
      <c r="D400" s="100" t="e">
        <f t="shared" ca="1" si="55"/>
        <v>#NAME?</v>
      </c>
      <c r="E400" s="100" t="e">
        <f t="shared" ca="1" si="55"/>
        <v>#NAME?</v>
      </c>
      <c r="F400" s="100" t="e">
        <f t="shared" ca="1" si="56"/>
        <v>#NAME?</v>
      </c>
      <c r="G400" s="100" t="e">
        <f t="shared" ca="1" si="57"/>
        <v>#NAME?</v>
      </c>
      <c r="H400" s="100" t="e">
        <f t="shared" ca="1" si="58"/>
        <v>#NAME?</v>
      </c>
      <c r="I400" s="100" t="e">
        <f t="shared" ca="1" si="59"/>
        <v>#NAME?</v>
      </c>
      <c r="J400" s="100" t="e">
        <f t="shared" ca="1" si="60"/>
        <v>#NAME?</v>
      </c>
      <c r="K400" s="100" t="e">
        <f t="shared" ca="1" si="61"/>
        <v>#NAME?</v>
      </c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 spans="1:26">
      <c r="A401" s="100" t="e">
        <f ca="1">IFERROR(__xludf.DUMMYFUNCTION("""COMPUTED_VALUE"""),14520153)</f>
        <v>#NAME?</v>
      </c>
      <c r="B401" s="100" t="e">
        <f ca="1">IFERROR(__xludf.DUMMYFUNCTION("""COMPUTED_VALUE"""),"gtusdt")</f>
        <v>#NAME?</v>
      </c>
      <c r="C401" s="100" t="e">
        <f ca="1">IFERROR(__xludf.DUMMYFUNCTION("""COMPUTED_VALUE"""),"23.154")</f>
        <v>#NAME?</v>
      </c>
      <c r="D401" s="100" t="e">
        <f t="shared" ca="1" si="55"/>
        <v>#NAME?</v>
      </c>
      <c r="E401" s="100" t="e">
        <f t="shared" ca="1" si="55"/>
        <v>#NAME?</v>
      </c>
      <c r="F401" s="100" t="e">
        <f t="shared" ca="1" si="56"/>
        <v>#NAME?</v>
      </c>
      <c r="G401" s="100" t="e">
        <f t="shared" ca="1" si="57"/>
        <v>#NAME?</v>
      </c>
      <c r="H401" s="100" t="e">
        <f t="shared" ca="1" si="58"/>
        <v>#NAME?</v>
      </c>
      <c r="I401" s="100" t="e">
        <f t="shared" ca="1" si="59"/>
        <v>#NAME?</v>
      </c>
      <c r="J401" s="100" t="e">
        <f t="shared" ca="1" si="60"/>
        <v>#NAME?</v>
      </c>
      <c r="K401" s="100" t="e">
        <f t="shared" ca="1" si="61"/>
        <v>#NAME?</v>
      </c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 spans="1:26">
      <c r="A402" s="100" t="e">
        <f ca="1">IFERROR(__xludf.DUMMYFUNCTION("""COMPUTED_VALUE"""),14520154)</f>
        <v>#NAME?</v>
      </c>
      <c r="B402" s="100" t="e">
        <f ca="1">IFERROR(__xludf.DUMMYFUNCTION("""COMPUTED_VALUE"""),"smileyusdt")</f>
        <v>#NAME?</v>
      </c>
      <c r="C402" s="100" t="e">
        <f ca="1">IFERROR(__xludf.DUMMYFUNCTION("""COMPUTED_VALUE"""),"1e-12")</f>
        <v>#NAME?</v>
      </c>
      <c r="D402" s="100" t="e">
        <f t="shared" ref="D402:E421" ca="1" si="62">IFERROR(__xludf.DUMMYFUNCTION("""COMPUTED_VALUE"""),"-")</f>
        <v>#NAME?</v>
      </c>
      <c r="E402" s="100" t="e">
        <f t="shared" ca="1" si="62"/>
        <v>#NAME?</v>
      </c>
      <c r="F402" s="100" t="e">
        <f t="shared" ca="1" si="56"/>
        <v>#NAME?</v>
      </c>
      <c r="G402" s="100" t="e">
        <f t="shared" ca="1" si="57"/>
        <v>#NAME?</v>
      </c>
      <c r="H402" s="100" t="e">
        <f t="shared" ca="1" si="58"/>
        <v>#NAME?</v>
      </c>
      <c r="I402" s="100" t="e">
        <f t="shared" ca="1" si="59"/>
        <v>#NAME?</v>
      </c>
      <c r="J402" s="100" t="e">
        <f t="shared" ca="1" si="60"/>
        <v>#NAME?</v>
      </c>
      <c r="K402" s="100" t="e">
        <f t="shared" ca="1" si="61"/>
        <v>#NAME?</v>
      </c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 spans="1:26">
      <c r="A403" s="100" t="e">
        <f ca="1">IFERROR(__xludf.DUMMYFUNCTION("""COMPUTED_VALUE"""),14520155)</f>
        <v>#NAME?</v>
      </c>
      <c r="B403" s="100" t="e">
        <f ca="1">IFERROR(__xludf.DUMMYFUNCTION("""COMPUTED_VALUE"""),"daiusdt")</f>
        <v>#NAME?</v>
      </c>
      <c r="C403" s="100" t="e">
        <f ca="1">IFERROR(__xludf.DUMMYFUNCTION("""COMPUTED_VALUE"""),"0.9999")</f>
        <v>#NAME?</v>
      </c>
      <c r="D403" s="100" t="e">
        <f t="shared" ca="1" si="62"/>
        <v>#NAME?</v>
      </c>
      <c r="E403" s="100" t="e">
        <f t="shared" ca="1" si="62"/>
        <v>#NAME?</v>
      </c>
      <c r="F403" s="100" t="e">
        <f t="shared" ca="1" si="56"/>
        <v>#NAME?</v>
      </c>
      <c r="G403" s="100" t="e">
        <f t="shared" ca="1" si="57"/>
        <v>#NAME?</v>
      </c>
      <c r="H403" s="100" t="e">
        <f t="shared" ca="1" si="58"/>
        <v>#NAME?</v>
      </c>
      <c r="I403" s="100" t="e">
        <f t="shared" ca="1" si="59"/>
        <v>#NAME?</v>
      </c>
      <c r="J403" s="100" t="e">
        <f t="shared" ca="1" si="60"/>
        <v>#NAME?</v>
      </c>
      <c r="K403" s="100" t="e">
        <f t="shared" ca="1" si="61"/>
        <v>#NAME?</v>
      </c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 spans="1:26">
      <c r="A404" s="100" t="e">
        <f ca="1">IFERROR(__xludf.DUMMYFUNCTION("""COMPUTED_VALUE"""),14520156)</f>
        <v>#NAME?</v>
      </c>
      <c r="B404" s="100" t="e">
        <f ca="1">IFERROR(__xludf.DUMMYFUNCTION("""COMPUTED_VALUE"""),"solbtc")</f>
        <v>#NAME?</v>
      </c>
      <c r="C404" s="100" t="e">
        <f ca="1">IFERROR(__xludf.DUMMYFUNCTION("""COMPUTED_VALUE"""),"0.00158067")</f>
        <v>#NAME?</v>
      </c>
      <c r="D404" s="100" t="e">
        <f t="shared" ca="1" si="62"/>
        <v>#NAME?</v>
      </c>
      <c r="E404" s="100" t="e">
        <f t="shared" ca="1" si="62"/>
        <v>#NAME?</v>
      </c>
      <c r="F404" s="100" t="e">
        <f t="shared" ca="1" si="56"/>
        <v>#NAME?</v>
      </c>
      <c r="G404" s="100" t="e">
        <f t="shared" ca="1" si="57"/>
        <v>#NAME?</v>
      </c>
      <c r="H404" s="100" t="e">
        <f t="shared" ca="1" si="58"/>
        <v>#NAME?</v>
      </c>
      <c r="I404" s="100" t="e">
        <f t="shared" ca="1" si="59"/>
        <v>#NAME?</v>
      </c>
      <c r="J404" s="100" t="e">
        <f t="shared" ca="1" si="60"/>
        <v>#NAME?</v>
      </c>
      <c r="K404" s="100" t="e">
        <f t="shared" ca="1" si="61"/>
        <v>#NAME?</v>
      </c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 spans="1:26">
      <c r="A405" s="100" t="e">
        <f ca="1">IFERROR(__xludf.DUMMYFUNCTION("""COMPUTED_VALUE"""),14520157)</f>
        <v>#NAME?</v>
      </c>
      <c r="B405" s="100" t="e">
        <f ca="1">IFERROR(__xludf.DUMMYFUNCTION("""COMPUTED_VALUE"""),"yfiiusdt")</f>
        <v>#NAME?</v>
      </c>
      <c r="C405" s="100" t="e">
        <f ca="1">IFERROR(__xludf.DUMMYFUNCTION("""COMPUTED_VALUE"""),"184.4066")</f>
        <v>#NAME?</v>
      </c>
      <c r="D405" s="100" t="e">
        <f t="shared" ca="1" si="62"/>
        <v>#NAME?</v>
      </c>
      <c r="E405" s="100" t="e">
        <f t="shared" ca="1" si="62"/>
        <v>#NAME?</v>
      </c>
      <c r="F405" s="100" t="e">
        <f t="shared" ca="1" si="56"/>
        <v>#NAME?</v>
      </c>
      <c r="G405" s="100" t="e">
        <f t="shared" ca="1" si="57"/>
        <v>#NAME?</v>
      </c>
      <c r="H405" s="100" t="e">
        <f t="shared" ca="1" si="58"/>
        <v>#NAME?</v>
      </c>
      <c r="I405" s="100" t="e">
        <f t="shared" ca="1" si="59"/>
        <v>#NAME?</v>
      </c>
      <c r="J405" s="100" t="e">
        <f t="shared" ca="1" si="60"/>
        <v>#NAME?</v>
      </c>
      <c r="K405" s="100" t="e">
        <f t="shared" ca="1" si="61"/>
        <v>#NAME?</v>
      </c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 spans="1:26">
      <c r="A406" s="100" t="e">
        <f ca="1">IFERROR(__xludf.DUMMYFUNCTION("""COMPUTED_VALUE"""),14520158)</f>
        <v>#NAME?</v>
      </c>
      <c r="B406" s="100" t="e">
        <f ca="1">IFERROR(__xludf.DUMMYFUNCTION("""COMPUTED_VALUE"""),"bttusdc")</f>
        <v>#NAME?</v>
      </c>
      <c r="C406" s="100" t="e">
        <f ca="1">IFERROR(__xludf.DUMMYFUNCTION("""COMPUTED_VALUE"""),"6.062e-07")</f>
        <v>#NAME?</v>
      </c>
      <c r="D406" s="100" t="e">
        <f t="shared" ca="1" si="62"/>
        <v>#NAME?</v>
      </c>
      <c r="E406" s="100" t="e">
        <f t="shared" ca="1" si="62"/>
        <v>#NAME?</v>
      </c>
      <c r="F406" s="100" t="e">
        <f t="shared" ca="1" si="56"/>
        <v>#NAME?</v>
      </c>
      <c r="G406" s="100" t="e">
        <f t="shared" ca="1" si="57"/>
        <v>#NAME?</v>
      </c>
      <c r="H406" s="100" t="e">
        <f t="shared" ca="1" si="58"/>
        <v>#NAME?</v>
      </c>
      <c r="I406" s="100" t="e">
        <f t="shared" ca="1" si="59"/>
        <v>#NAME?</v>
      </c>
      <c r="J406" s="100" t="e">
        <f t="shared" ca="1" si="60"/>
        <v>#NAME?</v>
      </c>
      <c r="K406" s="100" t="e">
        <f t="shared" ca="1" si="61"/>
        <v>#NAME?</v>
      </c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 spans="1:26">
      <c r="A407" s="100" t="e">
        <f ca="1">IFERROR(__xludf.DUMMYFUNCTION("""COMPUTED_VALUE"""),14520159)</f>
        <v>#NAME?</v>
      </c>
      <c r="B407" s="100" t="e">
        <f ca="1">IFERROR(__xludf.DUMMYFUNCTION("""COMPUTED_VALUE"""),"crvusdt")</f>
        <v>#NAME?</v>
      </c>
      <c r="C407" s="100" t="e">
        <f ca="1">IFERROR(__xludf.DUMMYFUNCTION("""COMPUTED_VALUE"""),"0.6135")</f>
        <v>#NAME?</v>
      </c>
      <c r="D407" s="100" t="e">
        <f t="shared" ca="1" si="62"/>
        <v>#NAME?</v>
      </c>
      <c r="E407" s="100" t="e">
        <f t="shared" ca="1" si="62"/>
        <v>#NAME?</v>
      </c>
      <c r="F407" s="100" t="e">
        <f t="shared" ca="1" si="56"/>
        <v>#NAME?</v>
      </c>
      <c r="G407" s="100" t="e">
        <f t="shared" ca="1" si="57"/>
        <v>#NAME?</v>
      </c>
      <c r="H407" s="100" t="e">
        <f t="shared" ca="1" si="58"/>
        <v>#NAME?</v>
      </c>
      <c r="I407" s="100" t="e">
        <f t="shared" ca="1" si="59"/>
        <v>#NAME?</v>
      </c>
      <c r="J407" s="100" t="e">
        <f t="shared" ca="1" si="60"/>
        <v>#NAME?</v>
      </c>
      <c r="K407" s="100" t="e">
        <f t="shared" ca="1" si="61"/>
        <v>#NAME?</v>
      </c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 spans="1:26">
      <c r="A408" s="100" t="e">
        <f ca="1">IFERROR(__xludf.DUMMYFUNCTION("""COMPUTED_VALUE"""),14520160)</f>
        <v>#NAME?</v>
      </c>
      <c r="B408" s="100" t="e">
        <f ca="1">IFERROR(__xludf.DUMMYFUNCTION("""COMPUTED_VALUE"""),"pythusdt")</f>
        <v>#NAME?</v>
      </c>
      <c r="C408" s="100" t="e">
        <f ca="1">IFERROR(__xludf.DUMMYFUNCTION("""COMPUTED_VALUE"""),"0.141448")</f>
        <v>#NAME?</v>
      </c>
      <c r="D408" s="100" t="e">
        <f t="shared" ca="1" si="62"/>
        <v>#NAME?</v>
      </c>
      <c r="E408" s="100" t="e">
        <f t="shared" ca="1" si="62"/>
        <v>#NAME?</v>
      </c>
      <c r="F408" s="100" t="e">
        <f t="shared" ca="1" si="56"/>
        <v>#NAME?</v>
      </c>
      <c r="G408" s="100" t="e">
        <f t="shared" ca="1" si="57"/>
        <v>#NAME?</v>
      </c>
      <c r="H408" s="100" t="e">
        <f t="shared" ca="1" si="58"/>
        <v>#NAME?</v>
      </c>
      <c r="I408" s="100" t="e">
        <f t="shared" ca="1" si="59"/>
        <v>#NAME?</v>
      </c>
      <c r="J408" s="100" t="e">
        <f t="shared" ca="1" si="60"/>
        <v>#NAME?</v>
      </c>
      <c r="K408" s="100" t="e">
        <f t="shared" ca="1" si="61"/>
        <v>#NAME?</v>
      </c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 spans="1:26">
      <c r="A409" s="100" t="e">
        <f ca="1">IFERROR(__xludf.DUMMYFUNCTION("""COMPUTED_VALUE"""),14520161)</f>
        <v>#NAME?</v>
      </c>
      <c r="B409" s="100" t="e">
        <f ca="1">IFERROR(__xludf.DUMMYFUNCTION("""COMPUTED_VALUE"""),"bblusdt")</f>
        <v>#NAME?</v>
      </c>
      <c r="C409" s="100" t="e">
        <f ca="1">IFERROR(__xludf.DUMMYFUNCTION("""COMPUTED_VALUE"""),"0.00056")</f>
        <v>#NAME?</v>
      </c>
      <c r="D409" s="100" t="e">
        <f t="shared" ca="1" si="62"/>
        <v>#NAME?</v>
      </c>
      <c r="E409" s="100" t="e">
        <f t="shared" ca="1" si="62"/>
        <v>#NAME?</v>
      </c>
      <c r="F409" s="100" t="e">
        <f t="shared" ca="1" si="56"/>
        <v>#NAME?</v>
      </c>
      <c r="G409" s="100" t="e">
        <f t="shared" ca="1" si="57"/>
        <v>#NAME?</v>
      </c>
      <c r="H409" s="100" t="e">
        <f t="shared" ca="1" si="58"/>
        <v>#NAME?</v>
      </c>
      <c r="I409" s="100" t="e">
        <f t="shared" ca="1" si="59"/>
        <v>#NAME?</v>
      </c>
      <c r="J409" s="100" t="e">
        <f t="shared" ca="1" si="60"/>
        <v>#NAME?</v>
      </c>
      <c r="K409" s="100" t="e">
        <f t="shared" ca="1" si="61"/>
        <v>#NAME?</v>
      </c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 spans="1:26">
      <c r="A410" s="100" t="e">
        <f ca="1">IFERROR(__xludf.DUMMYFUNCTION("""COMPUTED_VALUE"""),14520162)</f>
        <v>#NAME?</v>
      </c>
      <c r="B410" s="100" t="e">
        <f ca="1">IFERROR(__xludf.DUMMYFUNCTION("""COMPUTED_VALUE"""),"elizausdt")</f>
        <v>#NAME?</v>
      </c>
      <c r="C410" s="100" t="e">
        <f ca="1">IFERROR(__xludf.DUMMYFUNCTION("""COMPUTED_VALUE"""),"0.0027")</f>
        <v>#NAME?</v>
      </c>
      <c r="D410" s="100" t="e">
        <f t="shared" ca="1" si="62"/>
        <v>#NAME?</v>
      </c>
      <c r="E410" s="100" t="e">
        <f t="shared" ca="1" si="62"/>
        <v>#NAME?</v>
      </c>
      <c r="F410" s="100" t="e">
        <f t="shared" ca="1" si="56"/>
        <v>#NAME?</v>
      </c>
      <c r="G410" s="100" t="e">
        <f t="shared" ca="1" si="57"/>
        <v>#NAME?</v>
      </c>
      <c r="H410" s="100" t="e">
        <f t="shared" ca="1" si="58"/>
        <v>#NAME?</v>
      </c>
      <c r="I410" s="100" t="e">
        <f t="shared" ca="1" si="59"/>
        <v>#NAME?</v>
      </c>
      <c r="J410" s="100" t="e">
        <f t="shared" ca="1" si="60"/>
        <v>#NAME?</v>
      </c>
      <c r="K410" s="100" t="e">
        <f t="shared" ca="1" si="61"/>
        <v>#NAME?</v>
      </c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 spans="1:26">
      <c r="A411" s="100" t="e">
        <f ca="1">IFERROR(__xludf.DUMMYFUNCTION("""COMPUTED_VALUE"""),14520163)</f>
        <v>#NAME?</v>
      </c>
      <c r="B411" s="100" t="e">
        <f ca="1">IFERROR(__xludf.DUMMYFUNCTION("""COMPUTED_VALUE"""),"swftcusdt")</f>
        <v>#NAME?</v>
      </c>
      <c r="C411" s="100" t="e">
        <f ca="1">IFERROR(__xludf.DUMMYFUNCTION("""COMPUTED_VALUE"""),"0.012795")</f>
        <v>#NAME?</v>
      </c>
      <c r="D411" s="100" t="e">
        <f t="shared" ca="1" si="62"/>
        <v>#NAME?</v>
      </c>
      <c r="E411" s="100" t="e">
        <f t="shared" ca="1" si="62"/>
        <v>#NAME?</v>
      </c>
      <c r="F411" s="100" t="e">
        <f t="shared" ca="1" si="56"/>
        <v>#NAME?</v>
      </c>
      <c r="G411" s="100" t="e">
        <f t="shared" ca="1" si="57"/>
        <v>#NAME?</v>
      </c>
      <c r="H411" s="100" t="e">
        <f t="shared" ca="1" si="58"/>
        <v>#NAME?</v>
      </c>
      <c r="I411" s="100" t="e">
        <f t="shared" ca="1" si="59"/>
        <v>#NAME?</v>
      </c>
      <c r="J411" s="100" t="e">
        <f t="shared" ca="1" si="60"/>
        <v>#NAME?</v>
      </c>
      <c r="K411" s="100" t="e">
        <f t="shared" ca="1" si="61"/>
        <v>#NAME?</v>
      </c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 spans="1:26">
      <c r="A412" s="100" t="e">
        <f ca="1">IFERROR(__xludf.DUMMYFUNCTION("""COMPUTED_VALUE"""),14520164)</f>
        <v>#NAME?</v>
      </c>
      <c r="B412" s="100" t="e">
        <f ca="1">IFERROR(__xludf.DUMMYFUNCTION("""COMPUTED_VALUE"""),"broccoliusdt")</f>
        <v>#NAME?</v>
      </c>
      <c r="C412" s="100" t="e">
        <f ca="1">IFERROR(__xludf.DUMMYFUNCTION("""COMPUTED_VALUE"""),"0.026687")</f>
        <v>#NAME?</v>
      </c>
      <c r="D412" s="100" t="e">
        <f t="shared" ca="1" si="62"/>
        <v>#NAME?</v>
      </c>
      <c r="E412" s="100" t="e">
        <f t="shared" ca="1" si="62"/>
        <v>#NAME?</v>
      </c>
      <c r="F412" s="100" t="e">
        <f t="shared" ca="1" si="56"/>
        <v>#NAME?</v>
      </c>
      <c r="G412" s="100" t="e">
        <f t="shared" ca="1" si="57"/>
        <v>#NAME?</v>
      </c>
      <c r="H412" s="100" t="e">
        <f t="shared" ca="1" si="58"/>
        <v>#NAME?</v>
      </c>
      <c r="I412" s="100" t="e">
        <f t="shared" ca="1" si="59"/>
        <v>#NAME?</v>
      </c>
      <c r="J412" s="100" t="e">
        <f t="shared" ca="1" si="60"/>
        <v>#NAME?</v>
      </c>
      <c r="K412" s="100" t="e">
        <f t="shared" ca="1" si="61"/>
        <v>#NAME?</v>
      </c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 spans="1:26">
      <c r="A413" s="100" t="e">
        <f ca="1">IFERROR(__xludf.DUMMYFUNCTION("""COMPUTED_VALUE"""),14520165)</f>
        <v>#NAME?</v>
      </c>
      <c r="B413" s="100" t="e">
        <f ca="1">IFERROR(__xludf.DUMMYFUNCTION("""COMPUTED_VALUE"""),"sukuusdt")</f>
        <v>#NAME?</v>
      </c>
      <c r="C413" s="100" t="e">
        <f ca="1">IFERROR(__xludf.DUMMYFUNCTION("""COMPUTED_VALUE"""),"0.0304")</f>
        <v>#NAME?</v>
      </c>
      <c r="D413" s="100" t="e">
        <f t="shared" ca="1" si="62"/>
        <v>#NAME?</v>
      </c>
      <c r="E413" s="100" t="e">
        <f t="shared" ca="1" si="62"/>
        <v>#NAME?</v>
      </c>
      <c r="F413" s="100" t="e">
        <f t="shared" ca="1" si="56"/>
        <v>#NAME?</v>
      </c>
      <c r="G413" s="100" t="e">
        <f t="shared" ca="1" si="57"/>
        <v>#NAME?</v>
      </c>
      <c r="H413" s="100" t="e">
        <f t="shared" ca="1" si="58"/>
        <v>#NAME?</v>
      </c>
      <c r="I413" s="100" t="e">
        <f t="shared" ca="1" si="59"/>
        <v>#NAME?</v>
      </c>
      <c r="J413" s="100" t="e">
        <f t="shared" ca="1" si="60"/>
        <v>#NAME?</v>
      </c>
      <c r="K413" s="100" t="e">
        <f t="shared" ca="1" si="61"/>
        <v>#NAME?</v>
      </c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 spans="1:26">
      <c r="A414" s="100" t="e">
        <f ca="1">IFERROR(__xludf.DUMMYFUNCTION("""COMPUTED_VALUE"""),14520166)</f>
        <v>#NAME?</v>
      </c>
      <c r="B414" s="100" t="e">
        <f ca="1">IFERROR(__xludf.DUMMYFUNCTION("""COMPUTED_VALUE"""),"ctcusdt")</f>
        <v>#NAME?</v>
      </c>
      <c r="C414" s="100" t="e">
        <f ca="1">IFERROR(__xludf.DUMMYFUNCTION("""COMPUTED_VALUE"""),"0.5755")</f>
        <v>#NAME?</v>
      </c>
      <c r="D414" s="100" t="e">
        <f t="shared" ca="1" si="62"/>
        <v>#NAME?</v>
      </c>
      <c r="E414" s="100" t="e">
        <f t="shared" ca="1" si="62"/>
        <v>#NAME?</v>
      </c>
      <c r="F414" s="100" t="e">
        <f t="shared" ca="1" si="56"/>
        <v>#NAME?</v>
      </c>
      <c r="G414" s="100" t="e">
        <f t="shared" ca="1" si="57"/>
        <v>#NAME?</v>
      </c>
      <c r="H414" s="100" t="e">
        <f t="shared" ca="1" si="58"/>
        <v>#NAME?</v>
      </c>
      <c r="I414" s="100" t="e">
        <f t="shared" ca="1" si="59"/>
        <v>#NAME?</v>
      </c>
      <c r="J414" s="100" t="e">
        <f t="shared" ca="1" si="60"/>
        <v>#NAME?</v>
      </c>
      <c r="K414" s="100" t="e">
        <f t="shared" ca="1" si="61"/>
        <v>#NAME?</v>
      </c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 spans="1:26">
      <c r="A415" s="100" t="e">
        <f ca="1">IFERROR(__xludf.DUMMYFUNCTION("""COMPUTED_VALUE"""),14520167)</f>
        <v>#NAME?</v>
      </c>
      <c r="B415" s="100" t="e">
        <f ca="1">IFERROR(__xludf.DUMMYFUNCTION("""COMPUTED_VALUE"""),"bsvusdt")</f>
        <v>#NAME?</v>
      </c>
      <c r="C415" s="100" t="e">
        <f ca="1">IFERROR(__xludf.DUMMYFUNCTION("""COMPUTED_VALUE"""),"29.1969")</f>
        <v>#NAME?</v>
      </c>
      <c r="D415" s="100" t="e">
        <f t="shared" ca="1" si="62"/>
        <v>#NAME?</v>
      </c>
      <c r="E415" s="100" t="e">
        <f t="shared" ca="1" si="62"/>
        <v>#NAME?</v>
      </c>
      <c r="F415" s="100" t="e">
        <f t="shared" ca="1" si="56"/>
        <v>#NAME?</v>
      </c>
      <c r="G415" s="100" t="e">
        <f t="shared" ca="1" si="57"/>
        <v>#NAME?</v>
      </c>
      <c r="H415" s="100" t="e">
        <f t="shared" ca="1" si="58"/>
        <v>#NAME?</v>
      </c>
      <c r="I415" s="100" t="e">
        <f t="shared" ca="1" si="59"/>
        <v>#NAME?</v>
      </c>
      <c r="J415" s="100" t="e">
        <f t="shared" ca="1" si="60"/>
        <v>#NAME?</v>
      </c>
      <c r="K415" s="100" t="e">
        <f t="shared" ca="1" si="61"/>
        <v>#NAME?</v>
      </c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 spans="1:26">
      <c r="A416" s="100" t="e">
        <f ca="1">IFERROR(__xludf.DUMMYFUNCTION("""COMPUTED_VALUE"""),14520168)</f>
        <v>#NAME?</v>
      </c>
      <c r="B416" s="100" t="e">
        <f ca="1">IFERROR(__xludf.DUMMYFUNCTION("""COMPUTED_VALUE"""),"nanousdt")</f>
        <v>#NAME?</v>
      </c>
      <c r="C416" s="100" t="e">
        <f ca="1">IFERROR(__xludf.DUMMYFUNCTION("""COMPUTED_VALUE"""),"0.9286")</f>
        <v>#NAME?</v>
      </c>
      <c r="D416" s="100" t="e">
        <f t="shared" ca="1" si="62"/>
        <v>#NAME?</v>
      </c>
      <c r="E416" s="100" t="e">
        <f t="shared" ca="1" si="62"/>
        <v>#NAME?</v>
      </c>
      <c r="F416" s="100" t="e">
        <f t="shared" ca="1" si="56"/>
        <v>#NAME?</v>
      </c>
      <c r="G416" s="100" t="e">
        <f t="shared" ca="1" si="57"/>
        <v>#NAME?</v>
      </c>
      <c r="H416" s="100" t="e">
        <f t="shared" ca="1" si="58"/>
        <v>#NAME?</v>
      </c>
      <c r="I416" s="100" t="e">
        <f t="shared" ca="1" si="59"/>
        <v>#NAME?</v>
      </c>
      <c r="J416" s="100" t="e">
        <f t="shared" ca="1" si="60"/>
        <v>#NAME?</v>
      </c>
      <c r="K416" s="100" t="e">
        <f t="shared" ca="1" si="61"/>
        <v>#NAME?</v>
      </c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 spans="1:26">
      <c r="A417" s="100" t="e">
        <f ca="1">IFERROR(__xludf.DUMMYFUNCTION("""COMPUTED_VALUE"""),14520169)</f>
        <v>#NAME?</v>
      </c>
      <c r="B417" s="100" t="e">
        <f ca="1">IFERROR(__xludf.DUMMYFUNCTION("""COMPUTED_VALUE"""),"popcatusdt")</f>
        <v>#NAME?</v>
      </c>
      <c r="C417" s="100" t="e">
        <f ca="1">IFERROR(__xludf.DUMMYFUNCTION("""COMPUTED_VALUE"""),"0.2998")</f>
        <v>#NAME?</v>
      </c>
      <c r="D417" s="100" t="e">
        <f t="shared" ca="1" si="62"/>
        <v>#NAME?</v>
      </c>
      <c r="E417" s="100" t="e">
        <f t="shared" ca="1" si="62"/>
        <v>#NAME?</v>
      </c>
      <c r="F417" s="100" t="e">
        <f t="shared" ca="1" si="56"/>
        <v>#NAME?</v>
      </c>
      <c r="G417" s="100" t="e">
        <f t="shared" ca="1" si="57"/>
        <v>#NAME?</v>
      </c>
      <c r="H417" s="100" t="e">
        <f t="shared" ca="1" si="58"/>
        <v>#NAME?</v>
      </c>
      <c r="I417" s="100" t="e">
        <f t="shared" ca="1" si="59"/>
        <v>#NAME?</v>
      </c>
      <c r="J417" s="100" t="e">
        <f t="shared" ca="1" si="60"/>
        <v>#NAME?</v>
      </c>
      <c r="K417" s="100" t="e">
        <f t="shared" ca="1" si="61"/>
        <v>#NAME?</v>
      </c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 spans="1:26">
      <c r="A418" s="100" t="e">
        <f ca="1">IFERROR(__xludf.DUMMYFUNCTION("""COMPUTED_VALUE"""),14520170)</f>
        <v>#NAME?</v>
      </c>
      <c r="B418" s="100" t="e">
        <f ca="1">IFERROR(__xludf.DUMMYFUNCTION("""COMPUTED_VALUE"""),"1inchusdt")</f>
        <v>#NAME?</v>
      </c>
      <c r="C418" s="100" t="e">
        <f ca="1">IFERROR(__xludf.DUMMYFUNCTION("""COMPUTED_VALUE"""),"0.175887")</f>
        <v>#NAME?</v>
      </c>
      <c r="D418" s="100" t="e">
        <f t="shared" ca="1" si="62"/>
        <v>#NAME?</v>
      </c>
      <c r="E418" s="100" t="e">
        <f t="shared" ca="1" si="62"/>
        <v>#NAME?</v>
      </c>
      <c r="F418" s="100" t="e">
        <f t="shared" ca="1" si="56"/>
        <v>#NAME?</v>
      </c>
      <c r="G418" s="100" t="e">
        <f t="shared" ca="1" si="57"/>
        <v>#NAME?</v>
      </c>
      <c r="H418" s="100" t="e">
        <f t="shared" ca="1" si="58"/>
        <v>#NAME?</v>
      </c>
      <c r="I418" s="100" t="e">
        <f t="shared" ca="1" si="59"/>
        <v>#NAME?</v>
      </c>
      <c r="J418" s="100" t="e">
        <f t="shared" ca="1" si="60"/>
        <v>#NAME?</v>
      </c>
      <c r="K418" s="100" t="e">
        <f t="shared" ca="1" si="61"/>
        <v>#NAME?</v>
      </c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 spans="1:26">
      <c r="A419" s="100" t="e">
        <f ca="1">IFERROR(__xludf.DUMMYFUNCTION("""COMPUTED_VALUE"""),14520171)</f>
        <v>#NAME?</v>
      </c>
      <c r="B419" s="100" t="e">
        <f ca="1">IFERROR(__xludf.DUMMYFUNCTION("""COMPUTED_VALUE"""),"abusdt")</f>
        <v>#NAME?</v>
      </c>
      <c r="C419" s="100" t="e">
        <f ca="1">IFERROR(__xludf.DUMMYFUNCTION("""COMPUTED_VALUE"""),"0.010935")</f>
        <v>#NAME?</v>
      </c>
      <c r="D419" s="100" t="e">
        <f t="shared" ca="1" si="62"/>
        <v>#NAME?</v>
      </c>
      <c r="E419" s="100" t="e">
        <f t="shared" ca="1" si="62"/>
        <v>#NAME?</v>
      </c>
      <c r="F419" s="100" t="e">
        <f t="shared" ca="1" si="56"/>
        <v>#NAME?</v>
      </c>
      <c r="G419" s="100" t="e">
        <f t="shared" ca="1" si="57"/>
        <v>#NAME?</v>
      </c>
      <c r="H419" s="100" t="e">
        <f t="shared" ca="1" si="58"/>
        <v>#NAME?</v>
      </c>
      <c r="I419" s="100" t="e">
        <f t="shared" ca="1" si="59"/>
        <v>#NAME?</v>
      </c>
      <c r="J419" s="100" t="e">
        <f t="shared" ca="1" si="60"/>
        <v>#NAME?</v>
      </c>
      <c r="K419" s="100" t="e">
        <f t="shared" ca="1" si="61"/>
        <v>#NAME?</v>
      </c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 spans="1:26">
      <c r="A420" s="100" t="e">
        <f ca="1">IFERROR(__xludf.DUMMYFUNCTION("""COMPUTED_VALUE"""),14520172)</f>
        <v>#NAME?</v>
      </c>
      <c r="B420" s="100" t="e">
        <f ca="1">IFERROR(__xludf.DUMMYFUNCTION("""COMPUTED_VALUE"""),"ethfusdt")</f>
        <v>#NAME?</v>
      </c>
      <c r="C420" s="100" t="e">
        <f ca="1">IFERROR(__xludf.DUMMYFUNCTION("""COMPUTED_VALUE"""),"0.009881")</f>
        <v>#NAME?</v>
      </c>
      <c r="D420" s="100" t="e">
        <f t="shared" ca="1" si="62"/>
        <v>#NAME?</v>
      </c>
      <c r="E420" s="100" t="e">
        <f t="shared" ca="1" si="62"/>
        <v>#NAME?</v>
      </c>
      <c r="F420" s="100" t="e">
        <f t="shared" ca="1" si="56"/>
        <v>#NAME?</v>
      </c>
      <c r="G420" s="100" t="e">
        <f t="shared" ca="1" si="57"/>
        <v>#NAME?</v>
      </c>
      <c r="H420" s="100" t="e">
        <f t="shared" ca="1" si="58"/>
        <v>#NAME?</v>
      </c>
      <c r="I420" s="100" t="e">
        <f t="shared" ca="1" si="59"/>
        <v>#NAME?</v>
      </c>
      <c r="J420" s="100" t="e">
        <f t="shared" ca="1" si="60"/>
        <v>#NAME?</v>
      </c>
      <c r="K420" s="100" t="e">
        <f t="shared" ca="1" si="61"/>
        <v>#NAME?</v>
      </c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 spans="1:26">
      <c r="A421" s="100" t="e">
        <f ca="1">IFERROR(__xludf.DUMMYFUNCTION("""COMPUTED_VALUE"""),14520173)</f>
        <v>#NAME?</v>
      </c>
      <c r="B421" s="100" t="e">
        <f ca="1">IFERROR(__xludf.DUMMYFUNCTION("""COMPUTED_VALUE"""),"1catusdt")</f>
        <v>#NAME?</v>
      </c>
      <c r="C421" s="100" t="e">
        <f ca="1">IFERROR(__xludf.DUMMYFUNCTION("""COMPUTED_VALUE"""),"0.000172")</f>
        <v>#NAME?</v>
      </c>
      <c r="D421" s="100" t="e">
        <f t="shared" ca="1" si="62"/>
        <v>#NAME?</v>
      </c>
      <c r="E421" s="100" t="e">
        <f t="shared" ca="1" si="62"/>
        <v>#NAME?</v>
      </c>
      <c r="F421" s="100" t="e">
        <f t="shared" ca="1" si="56"/>
        <v>#NAME?</v>
      </c>
      <c r="G421" s="100" t="e">
        <f t="shared" ca="1" si="57"/>
        <v>#NAME?</v>
      </c>
      <c r="H421" s="100" t="e">
        <f t="shared" ca="1" si="58"/>
        <v>#NAME?</v>
      </c>
      <c r="I421" s="100" t="e">
        <f t="shared" ca="1" si="59"/>
        <v>#NAME?</v>
      </c>
      <c r="J421" s="100" t="e">
        <f t="shared" ca="1" si="60"/>
        <v>#NAME?</v>
      </c>
      <c r="K421" s="100" t="e">
        <f t="shared" ca="1" si="61"/>
        <v>#NAME?</v>
      </c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 spans="1:26">
      <c r="A422" s="100" t="e">
        <f ca="1">IFERROR(__xludf.DUMMYFUNCTION("""COMPUTED_VALUE"""),14520174)</f>
        <v>#NAME?</v>
      </c>
      <c r="B422" s="100" t="e">
        <f ca="1">IFERROR(__xludf.DUMMYFUNCTION("""COMPUTED_VALUE"""),"gtaiusdt")</f>
        <v>#NAME?</v>
      </c>
      <c r="C422" s="100" t="e">
        <f ca="1">IFERROR(__xludf.DUMMYFUNCTION("""COMPUTED_VALUE"""),"0.1133")</f>
        <v>#NAME?</v>
      </c>
      <c r="D422" s="100" t="e">
        <f t="shared" ref="D422:E441" ca="1" si="63">IFERROR(__xludf.DUMMYFUNCTION("""COMPUTED_VALUE"""),"-")</f>
        <v>#NAME?</v>
      </c>
      <c r="E422" s="100" t="e">
        <f t="shared" ca="1" si="63"/>
        <v>#NAME?</v>
      </c>
      <c r="F422" s="100" t="e">
        <f t="shared" ca="1" si="56"/>
        <v>#NAME?</v>
      </c>
      <c r="G422" s="100" t="e">
        <f t="shared" ca="1" si="57"/>
        <v>#NAME?</v>
      </c>
      <c r="H422" s="100" t="e">
        <f t="shared" ca="1" si="58"/>
        <v>#NAME?</v>
      </c>
      <c r="I422" s="100" t="e">
        <f t="shared" ca="1" si="59"/>
        <v>#NAME?</v>
      </c>
      <c r="J422" s="100" t="e">
        <f t="shared" ca="1" si="60"/>
        <v>#NAME?</v>
      </c>
      <c r="K422" s="100" t="e">
        <f t="shared" ca="1" si="61"/>
        <v>#NAME?</v>
      </c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 spans="1:26">
      <c r="A423" s="100" t="e">
        <f ca="1">IFERROR(__xludf.DUMMYFUNCTION("""COMPUTED_VALUE"""),14520175)</f>
        <v>#NAME?</v>
      </c>
      <c r="B423" s="100" t="e">
        <f ca="1">IFERROR(__xludf.DUMMYFUNCTION("""COMPUTED_VALUE"""),"yfiusdt")</f>
        <v>#NAME?</v>
      </c>
      <c r="C423" s="100" t="e">
        <f ca="1">IFERROR(__xludf.DUMMYFUNCTION("""COMPUTED_VALUE"""),"4704.63")</f>
        <v>#NAME?</v>
      </c>
      <c r="D423" s="100" t="e">
        <f t="shared" ca="1" si="63"/>
        <v>#NAME?</v>
      </c>
      <c r="E423" s="100" t="e">
        <f t="shared" ca="1" si="63"/>
        <v>#NAME?</v>
      </c>
      <c r="F423" s="100" t="e">
        <f t="shared" ca="1" si="56"/>
        <v>#NAME?</v>
      </c>
      <c r="G423" s="100" t="e">
        <f t="shared" ca="1" si="57"/>
        <v>#NAME?</v>
      </c>
      <c r="H423" s="100" t="e">
        <f t="shared" ca="1" si="58"/>
        <v>#NAME?</v>
      </c>
      <c r="I423" s="100" t="e">
        <f t="shared" ca="1" si="59"/>
        <v>#NAME?</v>
      </c>
      <c r="J423" s="100" t="e">
        <f t="shared" ca="1" si="60"/>
        <v>#NAME?</v>
      </c>
      <c r="K423" s="100" t="e">
        <f t="shared" ca="1" si="61"/>
        <v>#NAME?</v>
      </c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 spans="1:26">
      <c r="A424" s="100" t="e">
        <f ca="1">IFERROR(__xludf.DUMMYFUNCTION("""COMPUTED_VALUE"""),14520176)</f>
        <v>#NAME?</v>
      </c>
      <c r="B424" s="100" t="e">
        <f ca="1">IFERROR(__xludf.DUMMYFUNCTION("""COMPUTED_VALUE"""),"bchbtc")</f>
        <v>#NAME?</v>
      </c>
      <c r="C424" s="100" t="e">
        <f ca="1">IFERROR(__xludf.DUMMYFUNCTION("""COMPUTED_VALUE"""),"0.003912")</f>
        <v>#NAME?</v>
      </c>
      <c r="D424" s="100" t="e">
        <f t="shared" ca="1" si="63"/>
        <v>#NAME?</v>
      </c>
      <c r="E424" s="100" t="e">
        <f t="shared" ca="1" si="63"/>
        <v>#NAME?</v>
      </c>
      <c r="F424" s="100" t="e">
        <f t="shared" ca="1" si="56"/>
        <v>#NAME?</v>
      </c>
      <c r="G424" s="100" t="e">
        <f t="shared" ca="1" si="57"/>
        <v>#NAME?</v>
      </c>
      <c r="H424" s="100" t="e">
        <f t="shared" ca="1" si="58"/>
        <v>#NAME?</v>
      </c>
      <c r="I424" s="100" t="e">
        <f t="shared" ca="1" si="59"/>
        <v>#NAME?</v>
      </c>
      <c r="J424" s="100" t="e">
        <f t="shared" ca="1" si="60"/>
        <v>#NAME?</v>
      </c>
      <c r="K424" s="100" t="e">
        <f t="shared" ca="1" si="61"/>
        <v>#NAME?</v>
      </c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 spans="1:26">
      <c r="A425" s="100" t="e">
        <f ca="1">IFERROR(__xludf.DUMMYFUNCTION("""COMPUTED_VALUE"""),14520177)</f>
        <v>#NAME?</v>
      </c>
      <c r="B425" s="100" t="e">
        <f ca="1">IFERROR(__xludf.DUMMYFUNCTION("""COMPUTED_VALUE"""),"sfundusdt")</f>
        <v>#NAME?</v>
      </c>
      <c r="C425" s="100" t="e">
        <f ca="1">IFERROR(__xludf.DUMMYFUNCTION("""COMPUTED_VALUE"""),"0.5133")</f>
        <v>#NAME?</v>
      </c>
      <c r="D425" s="100" t="e">
        <f t="shared" ca="1" si="63"/>
        <v>#NAME?</v>
      </c>
      <c r="E425" s="100" t="e">
        <f t="shared" ca="1" si="63"/>
        <v>#NAME?</v>
      </c>
      <c r="F425" s="100" t="e">
        <f t="shared" ca="1" si="56"/>
        <v>#NAME?</v>
      </c>
      <c r="G425" s="100" t="e">
        <f t="shared" ca="1" si="57"/>
        <v>#NAME?</v>
      </c>
      <c r="H425" s="100" t="e">
        <f t="shared" ca="1" si="58"/>
        <v>#NAME?</v>
      </c>
      <c r="I425" s="100" t="e">
        <f t="shared" ca="1" si="59"/>
        <v>#NAME?</v>
      </c>
      <c r="J425" s="100" t="e">
        <f t="shared" ca="1" si="60"/>
        <v>#NAME?</v>
      </c>
      <c r="K425" s="100" t="e">
        <f t="shared" ca="1" si="61"/>
        <v>#NAME?</v>
      </c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 spans="1:26">
      <c r="A426" s="100" t="e">
        <f ca="1">IFERROR(__xludf.DUMMYFUNCTION("""COMPUTED_VALUE"""),14520178)</f>
        <v>#NAME?</v>
      </c>
      <c r="B426" s="100" t="e">
        <f ca="1">IFERROR(__xludf.DUMMYFUNCTION("""COMPUTED_VALUE"""),"fuseusdt")</f>
        <v>#NAME?</v>
      </c>
      <c r="C426" s="100" t="e">
        <f ca="1">IFERROR(__xludf.DUMMYFUNCTION("""COMPUTED_VALUE"""),"0.01174")</f>
        <v>#NAME?</v>
      </c>
      <c r="D426" s="100" t="e">
        <f t="shared" ca="1" si="63"/>
        <v>#NAME?</v>
      </c>
      <c r="E426" s="100" t="e">
        <f t="shared" ca="1" si="63"/>
        <v>#NAME?</v>
      </c>
      <c r="F426" s="100" t="e">
        <f t="shared" ca="1" si="56"/>
        <v>#NAME?</v>
      </c>
      <c r="G426" s="100" t="e">
        <f t="shared" ca="1" si="57"/>
        <v>#NAME?</v>
      </c>
      <c r="H426" s="100" t="e">
        <f t="shared" ca="1" si="58"/>
        <v>#NAME?</v>
      </c>
      <c r="I426" s="100" t="e">
        <f t="shared" ca="1" si="59"/>
        <v>#NAME?</v>
      </c>
      <c r="J426" s="100" t="e">
        <f t="shared" ca="1" si="60"/>
        <v>#NAME?</v>
      </c>
      <c r="K426" s="100" t="e">
        <f t="shared" ca="1" si="61"/>
        <v>#NAME?</v>
      </c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 spans="1:26">
      <c r="A427" s="100" t="e">
        <f ca="1">IFERROR(__xludf.DUMMYFUNCTION("""COMPUTED_VALUE"""),14520179)</f>
        <v>#NAME?</v>
      </c>
      <c r="B427" s="100" t="e">
        <f ca="1">IFERROR(__xludf.DUMMYFUNCTION("""COMPUTED_VALUE"""),"fartcoinusdt")</f>
        <v>#NAME?</v>
      </c>
      <c r="C427" s="100" t="e">
        <f ca="1">IFERROR(__xludf.DUMMYFUNCTION("""COMPUTED_VALUE"""),"1.06624")</f>
        <v>#NAME?</v>
      </c>
      <c r="D427" s="100" t="e">
        <f t="shared" ca="1" si="63"/>
        <v>#NAME?</v>
      </c>
      <c r="E427" s="100" t="e">
        <f t="shared" ca="1" si="63"/>
        <v>#NAME?</v>
      </c>
      <c r="F427" s="100" t="e">
        <f t="shared" ca="1" si="56"/>
        <v>#NAME?</v>
      </c>
      <c r="G427" s="100" t="e">
        <f t="shared" ca="1" si="57"/>
        <v>#NAME?</v>
      </c>
      <c r="H427" s="100" t="e">
        <f t="shared" ca="1" si="58"/>
        <v>#NAME?</v>
      </c>
      <c r="I427" s="100" t="e">
        <f t="shared" ca="1" si="59"/>
        <v>#NAME?</v>
      </c>
      <c r="J427" s="100" t="e">
        <f t="shared" ca="1" si="60"/>
        <v>#NAME?</v>
      </c>
      <c r="K427" s="100" t="e">
        <f t="shared" ca="1" si="61"/>
        <v>#NAME?</v>
      </c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 spans="1:26">
      <c r="A428" s="100" t="e">
        <f ca="1">IFERROR(__xludf.DUMMYFUNCTION("""COMPUTED_VALUE"""),14520180)</f>
        <v>#NAME?</v>
      </c>
      <c r="B428" s="100" t="e">
        <f ca="1">IFERROR(__xludf.DUMMYFUNCTION("""COMPUTED_VALUE"""),"bebeusdt")</f>
        <v>#NAME?</v>
      </c>
      <c r="C428" s="100" t="e">
        <f ca="1">IFERROR(__xludf.DUMMYFUNCTION("""COMPUTED_VALUE"""),"2.683e-05")</f>
        <v>#NAME?</v>
      </c>
      <c r="D428" s="100" t="e">
        <f t="shared" ca="1" si="63"/>
        <v>#NAME?</v>
      </c>
      <c r="E428" s="100" t="e">
        <f t="shared" ca="1" si="63"/>
        <v>#NAME?</v>
      </c>
      <c r="F428" s="100" t="e">
        <f t="shared" ca="1" si="56"/>
        <v>#NAME?</v>
      </c>
      <c r="G428" s="100" t="e">
        <f t="shared" ca="1" si="57"/>
        <v>#NAME?</v>
      </c>
      <c r="H428" s="100" t="e">
        <f t="shared" ca="1" si="58"/>
        <v>#NAME?</v>
      </c>
      <c r="I428" s="100" t="e">
        <f t="shared" ca="1" si="59"/>
        <v>#NAME?</v>
      </c>
      <c r="J428" s="100" t="e">
        <f t="shared" ca="1" si="60"/>
        <v>#NAME?</v>
      </c>
      <c r="K428" s="100" t="e">
        <f t="shared" ca="1" si="61"/>
        <v>#NAME?</v>
      </c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 spans="1:26">
      <c r="A429" s="100" t="e">
        <f ca="1">IFERROR(__xludf.DUMMYFUNCTION("""COMPUTED_VALUE"""),14520181)</f>
        <v>#NAME?</v>
      </c>
      <c r="B429" s="100" t="e">
        <f ca="1">IFERROR(__xludf.DUMMYFUNCTION("""COMPUTED_VALUE"""),"fiousdt")</f>
        <v>#NAME?</v>
      </c>
      <c r="C429" s="100" t="e">
        <f ca="1">IFERROR(__xludf.DUMMYFUNCTION("""COMPUTED_VALUE"""),"0.014299")</f>
        <v>#NAME?</v>
      </c>
      <c r="D429" s="100" t="e">
        <f t="shared" ca="1" si="63"/>
        <v>#NAME?</v>
      </c>
      <c r="E429" s="100" t="e">
        <f t="shared" ca="1" si="63"/>
        <v>#NAME?</v>
      </c>
      <c r="F429" s="100" t="e">
        <f t="shared" ca="1" si="56"/>
        <v>#NAME?</v>
      </c>
      <c r="G429" s="100" t="e">
        <f t="shared" ca="1" si="57"/>
        <v>#NAME?</v>
      </c>
      <c r="H429" s="100" t="e">
        <f t="shared" ca="1" si="58"/>
        <v>#NAME?</v>
      </c>
      <c r="I429" s="100" t="e">
        <f t="shared" ca="1" si="59"/>
        <v>#NAME?</v>
      </c>
      <c r="J429" s="100" t="e">
        <f t="shared" ca="1" si="60"/>
        <v>#NAME?</v>
      </c>
      <c r="K429" s="100" t="e">
        <f t="shared" ca="1" si="61"/>
        <v>#NAME?</v>
      </c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 spans="1:26">
      <c r="A430" s="100" t="e">
        <f ca="1">IFERROR(__xludf.DUMMYFUNCTION("""COMPUTED_VALUE"""),14520182)</f>
        <v>#NAME?</v>
      </c>
      <c r="B430" s="100" t="e">
        <f ca="1">IFERROR(__xludf.DUMMYFUNCTION("""COMPUTED_VALUE"""),"jasmyusdt")</f>
        <v>#NAME?</v>
      </c>
      <c r="C430" s="100" t="e">
        <f ca="1">IFERROR(__xludf.DUMMYFUNCTION("""COMPUTED_VALUE"""),"0.014169")</f>
        <v>#NAME?</v>
      </c>
      <c r="D430" s="100" t="e">
        <f t="shared" ca="1" si="63"/>
        <v>#NAME?</v>
      </c>
      <c r="E430" s="100" t="e">
        <f t="shared" ca="1" si="63"/>
        <v>#NAME?</v>
      </c>
      <c r="F430" s="100" t="e">
        <f t="shared" ca="1" si="56"/>
        <v>#NAME?</v>
      </c>
      <c r="G430" s="100" t="e">
        <f t="shared" ca="1" si="57"/>
        <v>#NAME?</v>
      </c>
      <c r="H430" s="100" t="e">
        <f t="shared" ca="1" si="58"/>
        <v>#NAME?</v>
      </c>
      <c r="I430" s="100" t="e">
        <f t="shared" ca="1" si="59"/>
        <v>#NAME?</v>
      </c>
      <c r="J430" s="100" t="e">
        <f t="shared" ca="1" si="60"/>
        <v>#NAME?</v>
      </c>
      <c r="K430" s="100" t="e">
        <f t="shared" ca="1" si="61"/>
        <v>#NAME?</v>
      </c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 spans="1:26">
      <c r="A431" s="100" t="e">
        <f ca="1">IFERROR(__xludf.DUMMYFUNCTION("""COMPUTED_VALUE"""),14520183)</f>
        <v>#NAME?</v>
      </c>
      <c r="B431" s="100" t="e">
        <f ca="1">IFERROR(__xludf.DUMMYFUNCTION("""COMPUTED_VALUE"""),"aergousdt")</f>
        <v>#NAME?</v>
      </c>
      <c r="C431" s="100" t="e">
        <f ca="1">IFERROR(__xludf.DUMMYFUNCTION("""COMPUTED_VALUE"""),"0.24254")</f>
        <v>#NAME?</v>
      </c>
      <c r="D431" s="100" t="e">
        <f t="shared" ca="1" si="63"/>
        <v>#NAME?</v>
      </c>
      <c r="E431" s="100" t="e">
        <f t="shared" ca="1" si="63"/>
        <v>#NAME?</v>
      </c>
      <c r="F431" s="100" t="e">
        <f t="shared" ca="1" si="56"/>
        <v>#NAME?</v>
      </c>
      <c r="G431" s="100" t="e">
        <f t="shared" ca="1" si="57"/>
        <v>#NAME?</v>
      </c>
      <c r="H431" s="100" t="e">
        <f t="shared" ca="1" si="58"/>
        <v>#NAME?</v>
      </c>
      <c r="I431" s="100" t="e">
        <f t="shared" ca="1" si="59"/>
        <v>#NAME?</v>
      </c>
      <c r="J431" s="100" t="e">
        <f t="shared" ca="1" si="60"/>
        <v>#NAME?</v>
      </c>
      <c r="K431" s="100" t="e">
        <f t="shared" ca="1" si="61"/>
        <v>#NAME?</v>
      </c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 spans="1:26">
      <c r="A432" s="100" t="e">
        <f ca="1">IFERROR(__xludf.DUMMYFUNCTION("""COMPUTED_VALUE"""),14520184)</f>
        <v>#NAME?</v>
      </c>
      <c r="B432" s="100" t="e">
        <f ca="1">IFERROR(__xludf.DUMMYFUNCTION("""COMPUTED_VALUE"""),"doseusdt")</f>
        <v>#NAME?</v>
      </c>
      <c r="C432" s="100" t="e">
        <f ca="1">IFERROR(__xludf.DUMMYFUNCTION("""COMPUTED_VALUE"""),"0.000147")</f>
        <v>#NAME?</v>
      </c>
      <c r="D432" s="100" t="e">
        <f t="shared" ca="1" si="63"/>
        <v>#NAME?</v>
      </c>
      <c r="E432" s="100" t="e">
        <f t="shared" ca="1" si="63"/>
        <v>#NAME?</v>
      </c>
      <c r="F432" s="100" t="e">
        <f t="shared" ca="1" si="56"/>
        <v>#NAME?</v>
      </c>
      <c r="G432" s="100" t="e">
        <f t="shared" ca="1" si="57"/>
        <v>#NAME?</v>
      </c>
      <c r="H432" s="100" t="e">
        <f t="shared" ca="1" si="58"/>
        <v>#NAME?</v>
      </c>
      <c r="I432" s="100" t="e">
        <f t="shared" ca="1" si="59"/>
        <v>#NAME?</v>
      </c>
      <c r="J432" s="100" t="e">
        <f t="shared" ca="1" si="60"/>
        <v>#NAME?</v>
      </c>
      <c r="K432" s="100" t="e">
        <f t="shared" ca="1" si="61"/>
        <v>#NAME?</v>
      </c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 spans="1:26">
      <c r="A433" s="100" t="e">
        <f ca="1">IFERROR(__xludf.DUMMYFUNCTION("""COMPUTED_VALUE"""),14520185)</f>
        <v>#NAME?</v>
      </c>
      <c r="B433" s="100" t="e">
        <f ca="1">IFERROR(__xludf.DUMMYFUNCTION("""COMPUTED_VALUE"""),"chzusdt")</f>
        <v>#NAME?</v>
      </c>
      <c r="C433" s="100" t="e">
        <f ca="1">IFERROR(__xludf.DUMMYFUNCTION("""COMPUTED_VALUE"""),"0.037208")</f>
        <v>#NAME?</v>
      </c>
      <c r="D433" s="100" t="e">
        <f t="shared" ca="1" si="63"/>
        <v>#NAME?</v>
      </c>
      <c r="E433" s="100" t="e">
        <f t="shared" ca="1" si="63"/>
        <v>#NAME?</v>
      </c>
      <c r="F433" s="100" t="e">
        <f t="shared" ca="1" si="56"/>
        <v>#NAME?</v>
      </c>
      <c r="G433" s="100" t="e">
        <f t="shared" ca="1" si="57"/>
        <v>#NAME?</v>
      </c>
      <c r="H433" s="100" t="e">
        <f t="shared" ca="1" si="58"/>
        <v>#NAME?</v>
      </c>
      <c r="I433" s="100" t="e">
        <f t="shared" ca="1" si="59"/>
        <v>#NAME?</v>
      </c>
      <c r="J433" s="100" t="e">
        <f t="shared" ca="1" si="60"/>
        <v>#NAME?</v>
      </c>
      <c r="K433" s="100" t="e">
        <f t="shared" ca="1" si="61"/>
        <v>#NAME?</v>
      </c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 spans="1:26">
      <c r="A434" s="100" t="e">
        <f ca="1">IFERROR(__xludf.DUMMYFUNCTION("""COMPUTED_VALUE"""),14520186)</f>
        <v>#NAME?</v>
      </c>
      <c r="B434" s="100" t="e">
        <f ca="1">IFERROR(__xludf.DUMMYFUNCTION("""COMPUTED_VALUE"""),"artyusdt")</f>
        <v>#NAME?</v>
      </c>
      <c r="C434" s="100" t="e">
        <f ca="1">IFERROR(__xludf.DUMMYFUNCTION("""COMPUTED_VALUE"""),"0.2435")</f>
        <v>#NAME?</v>
      </c>
      <c r="D434" s="100" t="e">
        <f t="shared" ca="1" si="63"/>
        <v>#NAME?</v>
      </c>
      <c r="E434" s="100" t="e">
        <f t="shared" ca="1" si="63"/>
        <v>#NAME?</v>
      </c>
      <c r="F434" s="100" t="e">
        <f t="shared" ca="1" si="56"/>
        <v>#NAME?</v>
      </c>
      <c r="G434" s="100" t="e">
        <f t="shared" ca="1" si="57"/>
        <v>#NAME?</v>
      </c>
      <c r="H434" s="100" t="e">
        <f t="shared" ca="1" si="58"/>
        <v>#NAME?</v>
      </c>
      <c r="I434" s="100" t="e">
        <f t="shared" ca="1" si="59"/>
        <v>#NAME?</v>
      </c>
      <c r="J434" s="100" t="e">
        <f t="shared" ca="1" si="60"/>
        <v>#NAME?</v>
      </c>
      <c r="K434" s="100" t="e">
        <f t="shared" ca="1" si="61"/>
        <v>#NAME?</v>
      </c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 spans="1:26">
      <c r="A435" s="100" t="e">
        <f ca="1">IFERROR(__xludf.DUMMYFUNCTION("""COMPUTED_VALUE"""),14520187)</f>
        <v>#NAME?</v>
      </c>
      <c r="B435" s="100" t="e">
        <f ca="1">IFERROR(__xludf.DUMMYFUNCTION("""COMPUTED_VALUE"""),"pixelusdt")</f>
        <v>#NAME?</v>
      </c>
      <c r="C435" s="100" t="e">
        <f ca="1">IFERROR(__xludf.DUMMYFUNCTION("""COMPUTED_VALUE"""),"0.0434")</f>
        <v>#NAME?</v>
      </c>
      <c r="D435" s="100" t="e">
        <f t="shared" ca="1" si="63"/>
        <v>#NAME?</v>
      </c>
      <c r="E435" s="100" t="e">
        <f t="shared" ca="1" si="63"/>
        <v>#NAME?</v>
      </c>
      <c r="F435" s="100" t="e">
        <f t="shared" ca="1" si="56"/>
        <v>#NAME?</v>
      </c>
      <c r="G435" s="100" t="e">
        <f t="shared" ca="1" si="57"/>
        <v>#NAME?</v>
      </c>
      <c r="H435" s="100" t="e">
        <f t="shared" ca="1" si="58"/>
        <v>#NAME?</v>
      </c>
      <c r="I435" s="100" t="e">
        <f t="shared" ca="1" si="59"/>
        <v>#NAME?</v>
      </c>
      <c r="J435" s="100" t="e">
        <f t="shared" ca="1" si="60"/>
        <v>#NAME?</v>
      </c>
      <c r="K435" s="100" t="e">
        <f t="shared" ca="1" si="61"/>
        <v>#NAME?</v>
      </c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 spans="1:26">
      <c r="A436" s="100" t="e">
        <f ca="1">IFERROR(__xludf.DUMMYFUNCTION("""COMPUTED_VALUE"""),14520188)</f>
        <v>#NAME?</v>
      </c>
      <c r="B436" s="100" t="e">
        <f ca="1">IFERROR(__xludf.DUMMYFUNCTION("""COMPUTED_VALUE"""),"depusdt")</f>
        <v>#NAME?</v>
      </c>
      <c r="C436" s="100" t="e">
        <f ca="1">IFERROR(__xludf.DUMMYFUNCTION("""COMPUTED_VALUE"""),"0.001081")</f>
        <v>#NAME?</v>
      </c>
      <c r="D436" s="100" t="e">
        <f t="shared" ca="1" si="63"/>
        <v>#NAME?</v>
      </c>
      <c r="E436" s="100" t="e">
        <f t="shared" ca="1" si="63"/>
        <v>#NAME?</v>
      </c>
      <c r="F436" s="100" t="e">
        <f t="shared" ca="1" si="56"/>
        <v>#NAME?</v>
      </c>
      <c r="G436" s="100" t="e">
        <f t="shared" ca="1" si="57"/>
        <v>#NAME?</v>
      </c>
      <c r="H436" s="100" t="e">
        <f t="shared" ca="1" si="58"/>
        <v>#NAME?</v>
      </c>
      <c r="I436" s="100" t="e">
        <f t="shared" ca="1" si="59"/>
        <v>#NAME?</v>
      </c>
      <c r="J436" s="100" t="e">
        <f t="shared" ca="1" si="60"/>
        <v>#NAME?</v>
      </c>
      <c r="K436" s="100" t="e">
        <f t="shared" ca="1" si="61"/>
        <v>#NAME?</v>
      </c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 spans="1:26">
      <c r="A437" s="100" t="e">
        <f ca="1">IFERROR(__xludf.DUMMYFUNCTION("""COMPUTED_VALUE"""),14520189)</f>
        <v>#NAME?</v>
      </c>
      <c r="B437" s="100" t="e">
        <f ca="1">IFERROR(__xludf.DUMMYFUNCTION("""COMPUTED_VALUE"""),"sparkletusdt")</f>
        <v>#NAME?</v>
      </c>
      <c r="C437" s="100" t="e">
        <f ca="1">IFERROR(__xludf.DUMMYFUNCTION("""COMPUTED_VALUE"""),"0.01333")</f>
        <v>#NAME?</v>
      </c>
      <c r="D437" s="100" t="e">
        <f t="shared" ca="1" si="63"/>
        <v>#NAME?</v>
      </c>
      <c r="E437" s="100" t="e">
        <f t="shared" ca="1" si="63"/>
        <v>#NAME?</v>
      </c>
      <c r="F437" s="100" t="e">
        <f t="shared" ca="1" si="56"/>
        <v>#NAME?</v>
      </c>
      <c r="G437" s="100" t="e">
        <f t="shared" ca="1" si="57"/>
        <v>#NAME?</v>
      </c>
      <c r="H437" s="100" t="e">
        <f t="shared" ca="1" si="58"/>
        <v>#NAME?</v>
      </c>
      <c r="I437" s="100" t="e">
        <f t="shared" ca="1" si="59"/>
        <v>#NAME?</v>
      </c>
      <c r="J437" s="100" t="e">
        <f t="shared" ca="1" si="60"/>
        <v>#NAME?</v>
      </c>
      <c r="K437" s="100" t="e">
        <f t="shared" ca="1" si="61"/>
        <v>#NAME?</v>
      </c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 spans="1:26">
      <c r="A438" s="100" t="e">
        <f ca="1">IFERROR(__xludf.DUMMYFUNCTION("""COMPUTED_VALUE"""),14520190)</f>
        <v>#NAME?</v>
      </c>
      <c r="B438" s="100" t="e">
        <f ca="1">IFERROR(__xludf.DUMMYFUNCTION("""COMPUTED_VALUE"""),"enjusdt")</f>
        <v>#NAME?</v>
      </c>
      <c r="C438" s="100" t="e">
        <f ca="1">IFERROR(__xludf.DUMMYFUNCTION("""COMPUTED_VALUE"""),"0.088")</f>
        <v>#NAME?</v>
      </c>
      <c r="D438" s="100" t="e">
        <f t="shared" ca="1" si="63"/>
        <v>#NAME?</v>
      </c>
      <c r="E438" s="100" t="e">
        <f t="shared" ca="1" si="63"/>
        <v>#NAME?</v>
      </c>
      <c r="F438" s="100" t="e">
        <f t="shared" ca="1" si="56"/>
        <v>#NAME?</v>
      </c>
      <c r="G438" s="100" t="e">
        <f t="shared" ca="1" si="57"/>
        <v>#NAME?</v>
      </c>
      <c r="H438" s="100" t="e">
        <f t="shared" ca="1" si="58"/>
        <v>#NAME?</v>
      </c>
      <c r="I438" s="100" t="e">
        <f t="shared" ca="1" si="59"/>
        <v>#NAME?</v>
      </c>
      <c r="J438" s="100" t="e">
        <f t="shared" ca="1" si="60"/>
        <v>#NAME?</v>
      </c>
      <c r="K438" s="100" t="e">
        <f t="shared" ca="1" si="61"/>
        <v>#NAME?</v>
      </c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 spans="1:26">
      <c r="A439" s="100" t="e">
        <f ca="1">IFERROR(__xludf.DUMMYFUNCTION("""COMPUTED_VALUE"""),14520191)</f>
        <v>#NAME?</v>
      </c>
      <c r="B439" s="100" t="e">
        <f ca="1">IFERROR(__xludf.DUMMYFUNCTION("""COMPUTED_VALUE"""),"myrousdt")</f>
        <v>#NAME?</v>
      </c>
      <c r="C439" s="100" t="e">
        <f ca="1">IFERROR(__xludf.DUMMYFUNCTION("""COMPUTED_VALUE"""),"0.01359")</f>
        <v>#NAME?</v>
      </c>
      <c r="D439" s="100" t="e">
        <f t="shared" ca="1" si="63"/>
        <v>#NAME?</v>
      </c>
      <c r="E439" s="100" t="e">
        <f t="shared" ca="1" si="63"/>
        <v>#NAME?</v>
      </c>
      <c r="F439" s="100" t="e">
        <f t="shared" ca="1" si="56"/>
        <v>#NAME?</v>
      </c>
      <c r="G439" s="100" t="e">
        <f t="shared" ca="1" si="57"/>
        <v>#NAME?</v>
      </c>
      <c r="H439" s="100" t="e">
        <f t="shared" ca="1" si="58"/>
        <v>#NAME?</v>
      </c>
      <c r="I439" s="100" t="e">
        <f t="shared" ca="1" si="59"/>
        <v>#NAME?</v>
      </c>
      <c r="J439" s="100" t="e">
        <f t="shared" ca="1" si="60"/>
        <v>#NAME?</v>
      </c>
      <c r="K439" s="100" t="e">
        <f t="shared" ca="1" si="61"/>
        <v>#NAME?</v>
      </c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 spans="1:26">
      <c r="A440" s="100" t="e">
        <f ca="1">IFERROR(__xludf.DUMMYFUNCTION("""COMPUTED_VALUE"""),14520192)</f>
        <v>#NAME?</v>
      </c>
      <c r="B440" s="100" t="e">
        <f ca="1">IFERROR(__xludf.DUMMYFUNCTION("""COMPUTED_VALUE"""),"ordiusdt")</f>
        <v>#NAME?</v>
      </c>
      <c r="C440" s="100" t="e">
        <f ca="1">IFERROR(__xludf.DUMMYFUNCTION("""COMPUTED_VALUE"""),"6.6412")</f>
        <v>#NAME?</v>
      </c>
      <c r="D440" s="100" t="e">
        <f t="shared" ca="1" si="63"/>
        <v>#NAME?</v>
      </c>
      <c r="E440" s="100" t="e">
        <f t="shared" ca="1" si="63"/>
        <v>#NAME?</v>
      </c>
      <c r="F440" s="100" t="e">
        <f t="shared" ca="1" si="56"/>
        <v>#NAME?</v>
      </c>
      <c r="G440" s="100" t="e">
        <f t="shared" ca="1" si="57"/>
        <v>#NAME?</v>
      </c>
      <c r="H440" s="100" t="e">
        <f t="shared" ca="1" si="58"/>
        <v>#NAME?</v>
      </c>
      <c r="I440" s="100" t="e">
        <f t="shared" ca="1" si="59"/>
        <v>#NAME?</v>
      </c>
      <c r="J440" s="100" t="e">
        <f t="shared" ca="1" si="60"/>
        <v>#NAME?</v>
      </c>
      <c r="K440" s="100" t="e">
        <f t="shared" ca="1" si="61"/>
        <v>#NAME?</v>
      </c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 spans="1:26">
      <c r="A441" s="100" t="e">
        <f ca="1">IFERROR(__xludf.DUMMYFUNCTION("""COMPUTED_VALUE"""),14520193)</f>
        <v>#NAME?</v>
      </c>
      <c r="B441" s="100" t="e">
        <f ca="1">IFERROR(__xludf.DUMMYFUNCTION("""COMPUTED_VALUE"""),"cloreusdt")</f>
        <v>#NAME?</v>
      </c>
      <c r="C441" s="100" t="e">
        <f ca="1">IFERROR(__xludf.DUMMYFUNCTION("""COMPUTED_VALUE"""),"0.02089")</f>
        <v>#NAME?</v>
      </c>
      <c r="D441" s="100" t="e">
        <f t="shared" ca="1" si="63"/>
        <v>#NAME?</v>
      </c>
      <c r="E441" s="100" t="e">
        <f t="shared" ca="1" si="63"/>
        <v>#NAME?</v>
      </c>
      <c r="F441" s="100" t="e">
        <f t="shared" ca="1" si="56"/>
        <v>#NAME?</v>
      </c>
      <c r="G441" s="100" t="e">
        <f t="shared" ca="1" si="57"/>
        <v>#NAME?</v>
      </c>
      <c r="H441" s="100" t="e">
        <f t="shared" ca="1" si="58"/>
        <v>#NAME?</v>
      </c>
      <c r="I441" s="100" t="e">
        <f t="shared" ca="1" si="59"/>
        <v>#NAME?</v>
      </c>
      <c r="J441" s="100" t="e">
        <f t="shared" ca="1" si="60"/>
        <v>#NAME?</v>
      </c>
      <c r="K441" s="100" t="e">
        <f t="shared" ca="1" si="61"/>
        <v>#NAME?</v>
      </c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 spans="1:26">
      <c r="A442" s="100" t="e">
        <f ca="1">IFERROR(__xludf.DUMMYFUNCTION("""COMPUTED_VALUE"""),14520194)</f>
        <v>#NAME?</v>
      </c>
      <c r="B442" s="100" t="e">
        <f ca="1">IFERROR(__xludf.DUMMYFUNCTION("""COMPUTED_VALUE"""),"bullusdt")</f>
        <v>#NAME?</v>
      </c>
      <c r="C442" s="100" t="e">
        <f ca="1">IFERROR(__xludf.DUMMYFUNCTION("""COMPUTED_VALUE"""),"0.000936")</f>
        <v>#NAME?</v>
      </c>
      <c r="D442" s="100" t="e">
        <f t="shared" ref="D442:E461" ca="1" si="64">IFERROR(__xludf.DUMMYFUNCTION("""COMPUTED_VALUE"""),"-")</f>
        <v>#NAME?</v>
      </c>
      <c r="E442" s="100" t="e">
        <f t="shared" ca="1" si="64"/>
        <v>#NAME?</v>
      </c>
      <c r="F442" s="100" t="e">
        <f t="shared" ca="1" si="56"/>
        <v>#NAME?</v>
      </c>
      <c r="G442" s="100" t="e">
        <f t="shared" ca="1" si="57"/>
        <v>#NAME?</v>
      </c>
      <c r="H442" s="100" t="e">
        <f t="shared" ca="1" si="58"/>
        <v>#NAME?</v>
      </c>
      <c r="I442" s="100" t="e">
        <f t="shared" ca="1" si="59"/>
        <v>#NAME?</v>
      </c>
      <c r="J442" s="100" t="e">
        <f t="shared" ca="1" si="60"/>
        <v>#NAME?</v>
      </c>
      <c r="K442" s="100" t="e">
        <f t="shared" ca="1" si="61"/>
        <v>#NAME?</v>
      </c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 spans="1:26">
      <c r="A443" s="100" t="e">
        <f ca="1">IFERROR(__xludf.DUMMYFUNCTION("""COMPUTED_VALUE"""),14520195)</f>
        <v>#NAME?</v>
      </c>
      <c r="B443" s="100" t="e">
        <f ca="1">IFERROR(__xludf.DUMMYFUNCTION("""COMPUTED_VALUE"""),"rpkusdt")</f>
        <v>#NAME?</v>
      </c>
      <c r="C443" s="100" t="e">
        <f ca="1">IFERROR(__xludf.DUMMYFUNCTION("""COMPUTED_VALUE"""),"0.00121")</f>
        <v>#NAME?</v>
      </c>
      <c r="D443" s="100" t="e">
        <f t="shared" ca="1" si="64"/>
        <v>#NAME?</v>
      </c>
      <c r="E443" s="100" t="e">
        <f t="shared" ca="1" si="64"/>
        <v>#NAME?</v>
      </c>
      <c r="F443" s="100" t="e">
        <f t="shared" ca="1" si="56"/>
        <v>#NAME?</v>
      </c>
      <c r="G443" s="100" t="e">
        <f t="shared" ca="1" si="57"/>
        <v>#NAME?</v>
      </c>
      <c r="H443" s="100" t="e">
        <f t="shared" ca="1" si="58"/>
        <v>#NAME?</v>
      </c>
      <c r="I443" s="100" t="e">
        <f t="shared" ca="1" si="59"/>
        <v>#NAME?</v>
      </c>
      <c r="J443" s="100" t="e">
        <f t="shared" ca="1" si="60"/>
        <v>#NAME?</v>
      </c>
      <c r="K443" s="100" t="e">
        <f t="shared" ca="1" si="61"/>
        <v>#NAME?</v>
      </c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 spans="1:26">
      <c r="A444" s="100" t="e">
        <f ca="1">IFERROR(__xludf.DUMMYFUNCTION("""COMPUTED_VALUE"""),14520196)</f>
        <v>#NAME?</v>
      </c>
      <c r="B444" s="100" t="e">
        <f ca="1">IFERROR(__xludf.DUMMYFUNCTION("""COMPUTED_VALUE"""),"layerusdt")</f>
        <v>#NAME?</v>
      </c>
      <c r="C444" s="100" t="e">
        <f ca="1">IFERROR(__xludf.DUMMYFUNCTION("""COMPUTED_VALUE"""),"1.9596")</f>
        <v>#NAME?</v>
      </c>
      <c r="D444" s="100" t="e">
        <f t="shared" ca="1" si="64"/>
        <v>#NAME?</v>
      </c>
      <c r="E444" s="100" t="e">
        <f t="shared" ca="1" si="64"/>
        <v>#NAME?</v>
      </c>
      <c r="F444" s="100" t="e">
        <f t="shared" ca="1" si="56"/>
        <v>#NAME?</v>
      </c>
      <c r="G444" s="100" t="e">
        <f t="shared" ca="1" si="57"/>
        <v>#NAME?</v>
      </c>
      <c r="H444" s="100" t="e">
        <f t="shared" ca="1" si="58"/>
        <v>#NAME?</v>
      </c>
      <c r="I444" s="100" t="e">
        <f t="shared" ca="1" si="59"/>
        <v>#NAME?</v>
      </c>
      <c r="J444" s="100" t="e">
        <f t="shared" ca="1" si="60"/>
        <v>#NAME?</v>
      </c>
      <c r="K444" s="100" t="e">
        <f t="shared" ca="1" si="61"/>
        <v>#NAME?</v>
      </c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 spans="1:26">
      <c r="A445" s="100" t="e">
        <f ca="1">IFERROR(__xludf.DUMMYFUNCTION("""COMPUTED_VALUE"""),14520197)</f>
        <v>#NAME?</v>
      </c>
      <c r="B445" s="100" t="e">
        <f ca="1">IFERROR(__xludf.DUMMYFUNCTION("""COMPUTED_VALUE"""),"zerebrousdt")</f>
        <v>#NAME?</v>
      </c>
      <c r="C445" s="100" t="e">
        <f ca="1">IFERROR(__xludf.DUMMYFUNCTION("""COMPUTED_VALUE"""),"0.0274")</f>
        <v>#NAME?</v>
      </c>
      <c r="D445" s="100" t="e">
        <f t="shared" ca="1" si="64"/>
        <v>#NAME?</v>
      </c>
      <c r="E445" s="100" t="e">
        <f t="shared" ca="1" si="64"/>
        <v>#NAME?</v>
      </c>
      <c r="F445" s="100" t="e">
        <f t="shared" ca="1" si="56"/>
        <v>#NAME?</v>
      </c>
      <c r="G445" s="100" t="e">
        <f t="shared" ca="1" si="57"/>
        <v>#NAME?</v>
      </c>
      <c r="H445" s="100" t="e">
        <f t="shared" ca="1" si="58"/>
        <v>#NAME?</v>
      </c>
      <c r="I445" s="100" t="e">
        <f t="shared" ca="1" si="59"/>
        <v>#NAME?</v>
      </c>
      <c r="J445" s="100" t="e">
        <f t="shared" ca="1" si="60"/>
        <v>#NAME?</v>
      </c>
      <c r="K445" s="100" t="e">
        <f t="shared" ca="1" si="61"/>
        <v>#NAME?</v>
      </c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 spans="1:26">
      <c r="A446" s="100" t="e">
        <f ca="1">IFERROR(__xludf.DUMMYFUNCTION("""COMPUTED_VALUE"""),14520198)</f>
        <v>#NAME?</v>
      </c>
      <c r="B446" s="100" t="e">
        <f ca="1">IFERROR(__xludf.DUMMYFUNCTION("""COMPUTED_VALUE"""),"iousdt")</f>
        <v>#NAME?</v>
      </c>
      <c r="C446" s="100" t="e">
        <f ca="1">IFERROR(__xludf.DUMMYFUNCTION("""COMPUTED_VALUE"""),"0.6441")</f>
        <v>#NAME?</v>
      </c>
      <c r="D446" s="100" t="e">
        <f t="shared" ca="1" si="64"/>
        <v>#NAME?</v>
      </c>
      <c r="E446" s="100" t="e">
        <f t="shared" ca="1" si="64"/>
        <v>#NAME?</v>
      </c>
      <c r="F446" s="100" t="e">
        <f t="shared" ca="1" si="56"/>
        <v>#NAME?</v>
      </c>
      <c r="G446" s="100" t="e">
        <f t="shared" ca="1" si="57"/>
        <v>#NAME?</v>
      </c>
      <c r="H446" s="100" t="e">
        <f t="shared" ca="1" si="58"/>
        <v>#NAME?</v>
      </c>
      <c r="I446" s="100" t="e">
        <f t="shared" ca="1" si="59"/>
        <v>#NAME?</v>
      </c>
      <c r="J446" s="100" t="e">
        <f t="shared" ca="1" si="60"/>
        <v>#NAME?</v>
      </c>
      <c r="K446" s="100" t="e">
        <f t="shared" ca="1" si="61"/>
        <v>#NAME?</v>
      </c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 spans="1:26">
      <c r="A447" s="100" t="e">
        <f ca="1">IFERROR(__xludf.DUMMYFUNCTION("""COMPUTED_VALUE"""),14520199)</f>
        <v>#NAME?</v>
      </c>
      <c r="B447" s="100" t="e">
        <f ca="1">IFERROR(__xludf.DUMMYFUNCTION("""COMPUTED_VALUE"""),"cruusdt")</f>
        <v>#NAME?</v>
      </c>
      <c r="C447" s="100" t="e">
        <f ca="1">IFERROR(__xludf.DUMMYFUNCTION("""COMPUTED_VALUE"""),"0.093")</f>
        <v>#NAME?</v>
      </c>
      <c r="D447" s="100" t="e">
        <f t="shared" ca="1" si="64"/>
        <v>#NAME?</v>
      </c>
      <c r="E447" s="100" t="e">
        <f t="shared" ca="1" si="64"/>
        <v>#NAME?</v>
      </c>
      <c r="F447" s="100" t="e">
        <f t="shared" ca="1" si="56"/>
        <v>#NAME?</v>
      </c>
      <c r="G447" s="100" t="e">
        <f t="shared" ca="1" si="57"/>
        <v>#NAME?</v>
      </c>
      <c r="H447" s="100" t="e">
        <f t="shared" ca="1" si="58"/>
        <v>#NAME?</v>
      </c>
      <c r="I447" s="100" t="e">
        <f t="shared" ca="1" si="59"/>
        <v>#NAME?</v>
      </c>
      <c r="J447" s="100" t="e">
        <f t="shared" ca="1" si="60"/>
        <v>#NAME?</v>
      </c>
      <c r="K447" s="100" t="e">
        <f t="shared" ca="1" si="61"/>
        <v>#NAME?</v>
      </c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 spans="1:26">
      <c r="A448" s="100" t="e">
        <f ca="1">IFERROR(__xludf.DUMMYFUNCTION("""COMPUTED_VALUE"""),14520200)</f>
        <v>#NAME?</v>
      </c>
      <c r="B448" s="100" t="e">
        <f ca="1">IFERROR(__xludf.DUMMYFUNCTION("""COMPUTED_VALUE"""),"zelixusdt")</f>
        <v>#NAME?</v>
      </c>
      <c r="C448" s="100" t="e">
        <f ca="1">IFERROR(__xludf.DUMMYFUNCTION("""COMPUTED_VALUE"""),"4.04e-05")</f>
        <v>#NAME?</v>
      </c>
      <c r="D448" s="100" t="e">
        <f t="shared" ca="1" si="64"/>
        <v>#NAME?</v>
      </c>
      <c r="E448" s="100" t="e">
        <f t="shared" ca="1" si="64"/>
        <v>#NAME?</v>
      </c>
      <c r="F448" s="100" t="e">
        <f t="shared" ca="1" si="56"/>
        <v>#NAME?</v>
      </c>
      <c r="G448" s="100" t="e">
        <f t="shared" ca="1" si="57"/>
        <v>#NAME?</v>
      </c>
      <c r="H448" s="100" t="e">
        <f t="shared" ca="1" si="58"/>
        <v>#NAME?</v>
      </c>
      <c r="I448" s="100" t="e">
        <f t="shared" ca="1" si="59"/>
        <v>#NAME?</v>
      </c>
      <c r="J448" s="100" t="e">
        <f t="shared" ca="1" si="60"/>
        <v>#NAME?</v>
      </c>
      <c r="K448" s="100" t="e">
        <f t="shared" ca="1" si="61"/>
        <v>#NAME?</v>
      </c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 spans="1:26">
      <c r="A449" s="100" t="e">
        <f ca="1">IFERROR(__xludf.DUMMYFUNCTION("""COMPUTED_VALUE"""),14520201)</f>
        <v>#NAME?</v>
      </c>
      <c r="B449" s="100" t="e">
        <f ca="1">IFERROR(__xludf.DUMMYFUNCTION("""COMPUTED_VALUE"""),"waneth")</f>
        <v>#NAME?</v>
      </c>
      <c r="C449" s="100" t="e">
        <f ca="1">IFERROR(__xludf.DUMMYFUNCTION("""COMPUTED_VALUE"""),"6.75e-05")</f>
        <v>#NAME?</v>
      </c>
      <c r="D449" s="100" t="e">
        <f t="shared" ca="1" si="64"/>
        <v>#NAME?</v>
      </c>
      <c r="E449" s="100" t="e">
        <f t="shared" ca="1" si="64"/>
        <v>#NAME?</v>
      </c>
      <c r="F449" s="100" t="e">
        <f t="shared" ca="1" si="56"/>
        <v>#NAME?</v>
      </c>
      <c r="G449" s="100" t="e">
        <f t="shared" ca="1" si="57"/>
        <v>#NAME?</v>
      </c>
      <c r="H449" s="100" t="e">
        <f t="shared" ca="1" si="58"/>
        <v>#NAME?</v>
      </c>
      <c r="I449" s="100" t="e">
        <f t="shared" ca="1" si="59"/>
        <v>#NAME?</v>
      </c>
      <c r="J449" s="100" t="e">
        <f t="shared" ca="1" si="60"/>
        <v>#NAME?</v>
      </c>
      <c r="K449" s="100" t="e">
        <f t="shared" ca="1" si="61"/>
        <v>#NAME?</v>
      </c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 spans="1:26">
      <c r="A450" s="100" t="e">
        <f ca="1">IFERROR(__xludf.DUMMYFUNCTION("""COMPUTED_VALUE"""),14520202)</f>
        <v>#NAME?</v>
      </c>
      <c r="B450" s="100" t="e">
        <f ca="1">IFERROR(__xludf.DUMMYFUNCTION("""COMPUTED_VALUE"""),"bonkusdt")</f>
        <v>#NAME?</v>
      </c>
      <c r="C450" s="100" t="e">
        <f ca="1">IFERROR(__xludf.DUMMYFUNCTION("""COMPUTED_VALUE"""),"1.29853e-05")</f>
        <v>#NAME?</v>
      </c>
      <c r="D450" s="100" t="e">
        <f t="shared" ca="1" si="64"/>
        <v>#NAME?</v>
      </c>
      <c r="E450" s="100" t="e">
        <f t="shared" ca="1" si="64"/>
        <v>#NAME?</v>
      </c>
      <c r="F450" s="100" t="e">
        <f t="shared" ref="F450:F513" ca="1" si="65">IFERROR(__xludf.DUMMYFUNCTION("""COMPUTED_VALUE"""),20200)</f>
        <v>#NAME?</v>
      </c>
      <c r="G450" s="100" t="e">
        <f t="shared" ref="G450:G513" ca="1" si="66">IFERROR(__xludf.DUMMYFUNCTION("""COMPUTED_VALUE"""),2885)</f>
        <v>#NAME?</v>
      </c>
      <c r="H450" s="100" t="e">
        <f t="shared" ref="H450:H513" ca="1" si="67">IFERROR(__xludf.DUMMYFUNCTION("""COMPUTED_VALUE"""),663)</f>
        <v>#NAME?</v>
      </c>
      <c r="I450" s="100" t="e">
        <f t="shared" ref="I450:I513" ca="1" si="68">IFERROR(__xludf.DUMMYFUNCTION("""COMPUTED_VALUE"""),5817721)</f>
        <v>#NAME?</v>
      </c>
      <c r="J450" s="100" t="e">
        <f t="shared" ref="J450:J513" ca="1" si="69">IFERROR(__xludf.DUMMYFUNCTION("""COMPUTED_VALUE"""),"-")</f>
        <v>#NAME?</v>
      </c>
      <c r="K450" s="100" t="e">
        <f t="shared" ref="K450:K513" ca="1" si="70">IFERROR(__xludf.DUMMYFUNCTION("""COMPUTED_VALUE"""),"22.04.2025 13:05:01")</f>
        <v>#NAME?</v>
      </c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 spans="1:26">
      <c r="A451" s="100" t="e">
        <f ca="1">IFERROR(__xludf.DUMMYFUNCTION("""COMPUTED_VALUE"""),14520203)</f>
        <v>#NAME?</v>
      </c>
      <c r="B451" s="100" t="e">
        <f ca="1">IFERROR(__xludf.DUMMYFUNCTION("""COMPUTED_VALUE"""),"xemusdt")</f>
        <v>#NAME?</v>
      </c>
      <c r="C451" s="100" t="e">
        <f ca="1">IFERROR(__xludf.DUMMYFUNCTION("""COMPUTED_VALUE"""),"0.0165")</f>
        <v>#NAME?</v>
      </c>
      <c r="D451" s="100" t="e">
        <f t="shared" ca="1" si="64"/>
        <v>#NAME?</v>
      </c>
      <c r="E451" s="100" t="e">
        <f t="shared" ca="1" si="64"/>
        <v>#NAME?</v>
      </c>
      <c r="F451" s="100" t="e">
        <f t="shared" ca="1" si="65"/>
        <v>#NAME?</v>
      </c>
      <c r="G451" s="100" t="e">
        <f t="shared" ca="1" si="66"/>
        <v>#NAME?</v>
      </c>
      <c r="H451" s="100" t="e">
        <f t="shared" ca="1" si="67"/>
        <v>#NAME?</v>
      </c>
      <c r="I451" s="100" t="e">
        <f t="shared" ca="1" si="68"/>
        <v>#NAME?</v>
      </c>
      <c r="J451" s="100" t="e">
        <f t="shared" ca="1" si="69"/>
        <v>#NAME?</v>
      </c>
      <c r="K451" s="100" t="e">
        <f t="shared" ca="1" si="70"/>
        <v>#NAME?</v>
      </c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 spans="1:26">
      <c r="A452" s="100" t="e">
        <f ca="1">IFERROR(__xludf.DUMMYFUNCTION("""COMPUTED_VALUE"""),14520204)</f>
        <v>#NAME?</v>
      </c>
      <c r="B452" s="100" t="e">
        <f ca="1">IFERROR(__xludf.DUMMYFUNCTION("""COMPUTED_VALUE"""),"lesterusdt")</f>
        <v>#NAME?</v>
      </c>
      <c r="C452" s="100" t="e">
        <f ca="1">IFERROR(__xludf.DUMMYFUNCTION("""COMPUTED_VALUE"""),"0.00069")</f>
        <v>#NAME?</v>
      </c>
      <c r="D452" s="100" t="e">
        <f t="shared" ca="1" si="64"/>
        <v>#NAME?</v>
      </c>
      <c r="E452" s="100" t="e">
        <f t="shared" ca="1" si="64"/>
        <v>#NAME?</v>
      </c>
      <c r="F452" s="100" t="e">
        <f t="shared" ca="1" si="65"/>
        <v>#NAME?</v>
      </c>
      <c r="G452" s="100" t="e">
        <f t="shared" ca="1" si="66"/>
        <v>#NAME?</v>
      </c>
      <c r="H452" s="100" t="e">
        <f t="shared" ca="1" si="67"/>
        <v>#NAME?</v>
      </c>
      <c r="I452" s="100" t="e">
        <f t="shared" ca="1" si="68"/>
        <v>#NAME?</v>
      </c>
      <c r="J452" s="100" t="e">
        <f t="shared" ca="1" si="69"/>
        <v>#NAME?</v>
      </c>
      <c r="K452" s="100" t="e">
        <f t="shared" ca="1" si="70"/>
        <v>#NAME?</v>
      </c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 spans="1:26">
      <c r="A453" s="100" t="e">
        <f ca="1">IFERROR(__xludf.DUMMYFUNCTION("""COMPUTED_VALUE"""),14520205)</f>
        <v>#NAME?</v>
      </c>
      <c r="B453" s="100" t="e">
        <f ca="1">IFERROR(__xludf.DUMMYFUNCTION("""COMPUTED_VALUE"""),"storjusdt")</f>
        <v>#NAME?</v>
      </c>
      <c r="C453" s="100" t="e">
        <f ca="1">IFERROR(__xludf.DUMMYFUNCTION("""COMPUTED_VALUE"""),"0.2914")</f>
        <v>#NAME?</v>
      </c>
      <c r="D453" s="100" t="e">
        <f t="shared" ca="1" si="64"/>
        <v>#NAME?</v>
      </c>
      <c r="E453" s="100" t="e">
        <f t="shared" ca="1" si="64"/>
        <v>#NAME?</v>
      </c>
      <c r="F453" s="100" t="e">
        <f t="shared" ca="1" si="65"/>
        <v>#NAME?</v>
      </c>
      <c r="G453" s="100" t="e">
        <f t="shared" ca="1" si="66"/>
        <v>#NAME?</v>
      </c>
      <c r="H453" s="100" t="e">
        <f t="shared" ca="1" si="67"/>
        <v>#NAME?</v>
      </c>
      <c r="I453" s="100" t="e">
        <f t="shared" ca="1" si="68"/>
        <v>#NAME?</v>
      </c>
      <c r="J453" s="100" t="e">
        <f t="shared" ca="1" si="69"/>
        <v>#NAME?</v>
      </c>
      <c r="K453" s="100" t="e">
        <f t="shared" ca="1" si="70"/>
        <v>#NAME?</v>
      </c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 spans="1:26">
      <c r="A454" s="100" t="e">
        <f ca="1">IFERROR(__xludf.DUMMYFUNCTION("""COMPUTED_VALUE"""),14520206)</f>
        <v>#NAME?</v>
      </c>
      <c r="B454" s="100" t="e">
        <f ca="1">IFERROR(__xludf.DUMMYFUNCTION("""COMPUTED_VALUE"""),"tusdt")</f>
        <v>#NAME?</v>
      </c>
      <c r="C454" s="100" t="e">
        <f ca="1">IFERROR(__xludf.DUMMYFUNCTION("""COMPUTED_VALUE"""),"0.0156")</f>
        <v>#NAME?</v>
      </c>
      <c r="D454" s="100" t="e">
        <f t="shared" ca="1" si="64"/>
        <v>#NAME?</v>
      </c>
      <c r="E454" s="100" t="e">
        <f t="shared" ca="1" si="64"/>
        <v>#NAME?</v>
      </c>
      <c r="F454" s="100" t="e">
        <f t="shared" ca="1" si="65"/>
        <v>#NAME?</v>
      </c>
      <c r="G454" s="100" t="e">
        <f t="shared" ca="1" si="66"/>
        <v>#NAME?</v>
      </c>
      <c r="H454" s="100" t="e">
        <f t="shared" ca="1" si="67"/>
        <v>#NAME?</v>
      </c>
      <c r="I454" s="100" t="e">
        <f t="shared" ca="1" si="68"/>
        <v>#NAME?</v>
      </c>
      <c r="J454" s="100" t="e">
        <f t="shared" ca="1" si="69"/>
        <v>#NAME?</v>
      </c>
      <c r="K454" s="100" t="e">
        <f t="shared" ca="1" si="70"/>
        <v>#NAME?</v>
      </c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 spans="1:26">
      <c r="A455" s="100" t="e">
        <f ca="1">IFERROR(__xludf.DUMMYFUNCTION("""COMPUTED_VALUE"""),14520207)</f>
        <v>#NAME?</v>
      </c>
      <c r="B455" s="100" t="e">
        <f ca="1">IFERROR(__xludf.DUMMYFUNCTION("""COMPUTED_VALUE"""),"fusdt")</f>
        <v>#NAME?</v>
      </c>
      <c r="C455" s="100" t="e">
        <f ca="1">IFERROR(__xludf.DUMMYFUNCTION("""COMPUTED_VALUE"""),"0.01148")</f>
        <v>#NAME?</v>
      </c>
      <c r="D455" s="100" t="e">
        <f t="shared" ca="1" si="64"/>
        <v>#NAME?</v>
      </c>
      <c r="E455" s="100" t="e">
        <f t="shared" ca="1" si="64"/>
        <v>#NAME?</v>
      </c>
      <c r="F455" s="100" t="e">
        <f t="shared" ca="1" si="65"/>
        <v>#NAME?</v>
      </c>
      <c r="G455" s="100" t="e">
        <f t="shared" ca="1" si="66"/>
        <v>#NAME?</v>
      </c>
      <c r="H455" s="100" t="e">
        <f t="shared" ca="1" si="67"/>
        <v>#NAME?</v>
      </c>
      <c r="I455" s="100" t="e">
        <f t="shared" ca="1" si="68"/>
        <v>#NAME?</v>
      </c>
      <c r="J455" s="100" t="e">
        <f t="shared" ca="1" si="69"/>
        <v>#NAME?</v>
      </c>
      <c r="K455" s="100" t="e">
        <f t="shared" ca="1" si="70"/>
        <v>#NAME?</v>
      </c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 spans="1:26">
      <c r="A456" s="100" t="e">
        <f ca="1">IFERROR(__xludf.DUMMYFUNCTION("""COMPUTED_VALUE"""),14520208)</f>
        <v>#NAME?</v>
      </c>
      <c r="B456" s="100" t="e">
        <f ca="1">IFERROR(__xludf.DUMMYFUNCTION("""COMPUTED_VALUE"""),"q1w2x8z9")</f>
        <v>#NAME?</v>
      </c>
      <c r="C456" s="100" t="e">
        <f ca="1">IFERROR(__xludf.DUMMYFUNCTION("""COMPUTED_VALUE"""),"0.0")</f>
        <v>#NAME?</v>
      </c>
      <c r="D456" s="100" t="e">
        <f t="shared" ca="1" si="64"/>
        <v>#NAME?</v>
      </c>
      <c r="E456" s="100" t="e">
        <f t="shared" ca="1" si="64"/>
        <v>#NAME?</v>
      </c>
      <c r="F456" s="100" t="e">
        <f t="shared" ca="1" si="65"/>
        <v>#NAME?</v>
      </c>
      <c r="G456" s="100" t="e">
        <f t="shared" ca="1" si="66"/>
        <v>#NAME?</v>
      </c>
      <c r="H456" s="100" t="e">
        <f t="shared" ca="1" si="67"/>
        <v>#NAME?</v>
      </c>
      <c r="I456" s="100" t="e">
        <f t="shared" ca="1" si="68"/>
        <v>#NAME?</v>
      </c>
      <c r="J456" s="100" t="e">
        <f t="shared" ca="1" si="69"/>
        <v>#NAME?</v>
      </c>
      <c r="K456" s="100" t="e">
        <f t="shared" ca="1" si="70"/>
        <v>#NAME?</v>
      </c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 spans="1:26">
      <c r="A457" s="100" t="e">
        <f ca="1">IFERROR(__xludf.DUMMYFUNCTION("""COMPUTED_VALUE"""),14520209)</f>
        <v>#NAME?</v>
      </c>
      <c r="B457" s="100" t="e">
        <f ca="1">IFERROR(__xludf.DUMMYFUNCTION("""COMPUTED_VALUE"""),"xenusdt")</f>
        <v>#NAME?</v>
      </c>
      <c r="C457" s="100" t="e">
        <f ca="1">IFERROR(__xludf.DUMMYFUNCTION("""COMPUTED_VALUE"""),"5.9e-08")</f>
        <v>#NAME?</v>
      </c>
      <c r="D457" s="100" t="e">
        <f t="shared" ca="1" si="64"/>
        <v>#NAME?</v>
      </c>
      <c r="E457" s="100" t="e">
        <f t="shared" ca="1" si="64"/>
        <v>#NAME?</v>
      </c>
      <c r="F457" s="100" t="e">
        <f t="shared" ca="1" si="65"/>
        <v>#NAME?</v>
      </c>
      <c r="G457" s="100" t="e">
        <f t="shared" ca="1" si="66"/>
        <v>#NAME?</v>
      </c>
      <c r="H457" s="100" t="e">
        <f t="shared" ca="1" si="67"/>
        <v>#NAME?</v>
      </c>
      <c r="I457" s="100" t="e">
        <f t="shared" ca="1" si="68"/>
        <v>#NAME?</v>
      </c>
      <c r="J457" s="100" t="e">
        <f t="shared" ca="1" si="69"/>
        <v>#NAME?</v>
      </c>
      <c r="K457" s="100" t="e">
        <f t="shared" ca="1" si="70"/>
        <v>#NAME?</v>
      </c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 spans="1:26">
      <c r="A458" s="100" t="e">
        <f ca="1">IFERROR(__xludf.DUMMYFUNCTION("""COMPUTED_VALUE"""),14520210)</f>
        <v>#NAME?</v>
      </c>
      <c r="B458" s="100" t="e">
        <f ca="1">IFERROR(__xludf.DUMMYFUNCTION("""COMPUTED_VALUE"""),"aidogeusdt")</f>
        <v>#NAME?</v>
      </c>
      <c r="C458" s="100" t="e">
        <f ca="1">IFERROR(__xludf.DUMMYFUNCTION("""COMPUTED_VALUE"""),"1.0931e-10")</f>
        <v>#NAME?</v>
      </c>
      <c r="D458" s="100" t="e">
        <f t="shared" ca="1" si="64"/>
        <v>#NAME?</v>
      </c>
      <c r="E458" s="100" t="e">
        <f t="shared" ca="1" si="64"/>
        <v>#NAME?</v>
      </c>
      <c r="F458" s="100" t="e">
        <f t="shared" ca="1" si="65"/>
        <v>#NAME?</v>
      </c>
      <c r="G458" s="100" t="e">
        <f t="shared" ca="1" si="66"/>
        <v>#NAME?</v>
      </c>
      <c r="H458" s="100" t="e">
        <f t="shared" ca="1" si="67"/>
        <v>#NAME?</v>
      </c>
      <c r="I458" s="100" t="e">
        <f t="shared" ca="1" si="68"/>
        <v>#NAME?</v>
      </c>
      <c r="J458" s="100" t="e">
        <f t="shared" ca="1" si="69"/>
        <v>#NAME?</v>
      </c>
      <c r="K458" s="100" t="e">
        <f t="shared" ca="1" si="70"/>
        <v>#NAME?</v>
      </c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 spans="1:26">
      <c r="A459" s="100" t="e">
        <f ca="1">IFERROR(__xludf.DUMMYFUNCTION("""COMPUTED_VALUE"""),14520211)</f>
        <v>#NAME?</v>
      </c>
      <c r="B459" s="100" t="e">
        <f ca="1">IFERROR(__xludf.DUMMYFUNCTION("""COMPUTED_VALUE"""),"erthausdt")</f>
        <v>#NAME?</v>
      </c>
      <c r="C459" s="100" t="e">
        <f ca="1">IFERROR(__xludf.DUMMYFUNCTION("""COMPUTED_VALUE"""),"0.0004404")</f>
        <v>#NAME?</v>
      </c>
      <c r="D459" s="100" t="e">
        <f t="shared" ca="1" si="64"/>
        <v>#NAME?</v>
      </c>
      <c r="E459" s="100" t="e">
        <f t="shared" ca="1" si="64"/>
        <v>#NAME?</v>
      </c>
      <c r="F459" s="100" t="e">
        <f t="shared" ca="1" si="65"/>
        <v>#NAME?</v>
      </c>
      <c r="G459" s="100" t="e">
        <f t="shared" ca="1" si="66"/>
        <v>#NAME?</v>
      </c>
      <c r="H459" s="100" t="e">
        <f t="shared" ca="1" si="67"/>
        <v>#NAME?</v>
      </c>
      <c r="I459" s="100" t="e">
        <f t="shared" ca="1" si="68"/>
        <v>#NAME?</v>
      </c>
      <c r="J459" s="100" t="e">
        <f t="shared" ca="1" si="69"/>
        <v>#NAME?</v>
      </c>
      <c r="K459" s="100" t="e">
        <f t="shared" ca="1" si="70"/>
        <v>#NAME?</v>
      </c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 spans="1:26">
      <c r="A460" s="100" t="e">
        <f ca="1">IFERROR(__xludf.DUMMYFUNCTION("""COMPUTED_VALUE"""),14520212)</f>
        <v>#NAME?</v>
      </c>
      <c r="B460" s="100" t="e">
        <f ca="1">IFERROR(__xludf.DUMMYFUNCTION("""COMPUTED_VALUE"""),"cotiusdt")</f>
        <v>#NAME?</v>
      </c>
      <c r="C460" s="100" t="e">
        <f ca="1">IFERROR(__xludf.DUMMYFUNCTION("""COMPUTED_VALUE"""),"0.0683")</f>
        <v>#NAME?</v>
      </c>
      <c r="D460" s="100" t="e">
        <f t="shared" ca="1" si="64"/>
        <v>#NAME?</v>
      </c>
      <c r="E460" s="100" t="e">
        <f t="shared" ca="1" si="64"/>
        <v>#NAME?</v>
      </c>
      <c r="F460" s="100" t="e">
        <f t="shared" ca="1" si="65"/>
        <v>#NAME?</v>
      </c>
      <c r="G460" s="100" t="e">
        <f t="shared" ca="1" si="66"/>
        <v>#NAME?</v>
      </c>
      <c r="H460" s="100" t="e">
        <f t="shared" ca="1" si="67"/>
        <v>#NAME?</v>
      </c>
      <c r="I460" s="100" t="e">
        <f t="shared" ca="1" si="68"/>
        <v>#NAME?</v>
      </c>
      <c r="J460" s="100" t="e">
        <f t="shared" ca="1" si="69"/>
        <v>#NAME?</v>
      </c>
      <c r="K460" s="100" t="e">
        <f t="shared" ca="1" si="70"/>
        <v>#NAME?</v>
      </c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 spans="1:26">
      <c r="A461" s="100" t="e">
        <f ca="1">IFERROR(__xludf.DUMMYFUNCTION("""COMPUTED_VALUE"""),14520213)</f>
        <v>#NAME?</v>
      </c>
      <c r="B461" s="100" t="e">
        <f ca="1">IFERROR(__xludf.DUMMYFUNCTION("""COMPUTED_VALUE"""),"flzusdt")</f>
        <v>#NAME?</v>
      </c>
      <c r="C461" s="100" t="e">
        <f ca="1">IFERROR(__xludf.DUMMYFUNCTION("""COMPUTED_VALUE"""),"1.2382")</f>
        <v>#NAME?</v>
      </c>
      <c r="D461" s="100" t="e">
        <f t="shared" ca="1" si="64"/>
        <v>#NAME?</v>
      </c>
      <c r="E461" s="100" t="e">
        <f t="shared" ca="1" si="64"/>
        <v>#NAME?</v>
      </c>
      <c r="F461" s="100" t="e">
        <f t="shared" ca="1" si="65"/>
        <v>#NAME?</v>
      </c>
      <c r="G461" s="100" t="e">
        <f t="shared" ca="1" si="66"/>
        <v>#NAME?</v>
      </c>
      <c r="H461" s="100" t="e">
        <f t="shared" ca="1" si="67"/>
        <v>#NAME?</v>
      </c>
      <c r="I461" s="100" t="e">
        <f t="shared" ca="1" si="68"/>
        <v>#NAME?</v>
      </c>
      <c r="J461" s="100" t="e">
        <f t="shared" ca="1" si="69"/>
        <v>#NAME?</v>
      </c>
      <c r="K461" s="100" t="e">
        <f t="shared" ca="1" si="70"/>
        <v>#NAME?</v>
      </c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 spans="1:26">
      <c r="A462" s="100" t="e">
        <f ca="1">IFERROR(__xludf.DUMMYFUNCTION("""COMPUTED_VALUE"""),14520214)</f>
        <v>#NAME?</v>
      </c>
      <c r="B462" s="100" t="e">
        <f ca="1">IFERROR(__xludf.DUMMYFUNCTION("""COMPUTED_VALUE"""),"flowusdt")</f>
        <v>#NAME?</v>
      </c>
      <c r="C462" s="100" t="e">
        <f ca="1">IFERROR(__xludf.DUMMYFUNCTION("""COMPUTED_VALUE"""),"0.3732")</f>
        <v>#NAME?</v>
      </c>
      <c r="D462" s="100" t="e">
        <f t="shared" ref="D462:E481" ca="1" si="71">IFERROR(__xludf.DUMMYFUNCTION("""COMPUTED_VALUE"""),"-")</f>
        <v>#NAME?</v>
      </c>
      <c r="E462" s="100" t="e">
        <f t="shared" ca="1" si="71"/>
        <v>#NAME?</v>
      </c>
      <c r="F462" s="100" t="e">
        <f t="shared" ca="1" si="65"/>
        <v>#NAME?</v>
      </c>
      <c r="G462" s="100" t="e">
        <f t="shared" ca="1" si="66"/>
        <v>#NAME?</v>
      </c>
      <c r="H462" s="100" t="e">
        <f t="shared" ca="1" si="67"/>
        <v>#NAME?</v>
      </c>
      <c r="I462" s="100" t="e">
        <f t="shared" ca="1" si="68"/>
        <v>#NAME?</v>
      </c>
      <c r="J462" s="100" t="e">
        <f t="shared" ca="1" si="69"/>
        <v>#NAME?</v>
      </c>
      <c r="K462" s="100" t="e">
        <f t="shared" ca="1" si="70"/>
        <v>#NAME?</v>
      </c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 spans="1:26">
      <c r="A463" s="100" t="e">
        <f ca="1">IFERROR(__xludf.DUMMYFUNCTION("""COMPUTED_VALUE"""),14520215)</f>
        <v>#NAME?</v>
      </c>
      <c r="B463" s="100" t="e">
        <f ca="1">IFERROR(__xludf.DUMMYFUNCTION("""COMPUTED_VALUE"""),"eptusdt")</f>
        <v>#NAME?</v>
      </c>
      <c r="C463" s="100" t="e">
        <f ca="1">IFERROR(__xludf.DUMMYFUNCTION("""COMPUTED_VALUE"""),"0.013215")</f>
        <v>#NAME?</v>
      </c>
      <c r="D463" s="100" t="e">
        <f t="shared" ca="1" si="71"/>
        <v>#NAME?</v>
      </c>
      <c r="E463" s="100" t="e">
        <f t="shared" ca="1" si="71"/>
        <v>#NAME?</v>
      </c>
      <c r="F463" s="100" t="e">
        <f t="shared" ca="1" si="65"/>
        <v>#NAME?</v>
      </c>
      <c r="G463" s="100" t="e">
        <f t="shared" ca="1" si="66"/>
        <v>#NAME?</v>
      </c>
      <c r="H463" s="100" t="e">
        <f t="shared" ca="1" si="67"/>
        <v>#NAME?</v>
      </c>
      <c r="I463" s="100" t="e">
        <f t="shared" ca="1" si="68"/>
        <v>#NAME?</v>
      </c>
      <c r="J463" s="100" t="e">
        <f t="shared" ca="1" si="69"/>
        <v>#NAME?</v>
      </c>
      <c r="K463" s="100" t="e">
        <f t="shared" ca="1" si="70"/>
        <v>#NAME?</v>
      </c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 spans="1:26">
      <c r="A464" s="100" t="e">
        <f ca="1">IFERROR(__xludf.DUMMYFUNCTION("""COMPUTED_VALUE"""),14520216)</f>
        <v>#NAME?</v>
      </c>
      <c r="B464" s="100" t="e">
        <f ca="1">IFERROR(__xludf.DUMMYFUNCTION("""COMPUTED_VALUE"""),"ipusdt")</f>
        <v>#NAME?</v>
      </c>
      <c r="C464" s="100" t="e">
        <f ca="1">IFERROR(__xludf.DUMMYFUNCTION("""COMPUTED_VALUE"""),"3.6215")</f>
        <v>#NAME?</v>
      </c>
      <c r="D464" s="100" t="e">
        <f t="shared" ca="1" si="71"/>
        <v>#NAME?</v>
      </c>
      <c r="E464" s="100" t="e">
        <f t="shared" ca="1" si="71"/>
        <v>#NAME?</v>
      </c>
      <c r="F464" s="100" t="e">
        <f t="shared" ca="1" si="65"/>
        <v>#NAME?</v>
      </c>
      <c r="G464" s="100" t="e">
        <f t="shared" ca="1" si="66"/>
        <v>#NAME?</v>
      </c>
      <c r="H464" s="100" t="e">
        <f t="shared" ca="1" si="67"/>
        <v>#NAME?</v>
      </c>
      <c r="I464" s="100" t="e">
        <f t="shared" ca="1" si="68"/>
        <v>#NAME?</v>
      </c>
      <c r="J464" s="100" t="e">
        <f t="shared" ca="1" si="69"/>
        <v>#NAME?</v>
      </c>
      <c r="K464" s="100" t="e">
        <f t="shared" ca="1" si="70"/>
        <v>#NAME?</v>
      </c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 spans="1:26">
      <c r="A465" s="100" t="e">
        <f ca="1">IFERROR(__xludf.DUMMYFUNCTION("""COMPUTED_VALUE"""),14520217)</f>
        <v>#NAME?</v>
      </c>
      <c r="B465" s="100" t="e">
        <f ca="1">IFERROR(__xludf.DUMMYFUNCTION("""COMPUTED_VALUE"""),"neousdt")</f>
        <v>#NAME?</v>
      </c>
      <c r="C465" s="100" t="e">
        <f ca="1">IFERROR(__xludf.DUMMYFUNCTION("""COMPUTED_VALUE"""),"5.46")</f>
        <v>#NAME?</v>
      </c>
      <c r="D465" s="100" t="e">
        <f t="shared" ca="1" si="71"/>
        <v>#NAME?</v>
      </c>
      <c r="E465" s="100" t="e">
        <f t="shared" ca="1" si="71"/>
        <v>#NAME?</v>
      </c>
      <c r="F465" s="100" t="e">
        <f t="shared" ca="1" si="65"/>
        <v>#NAME?</v>
      </c>
      <c r="G465" s="100" t="e">
        <f t="shared" ca="1" si="66"/>
        <v>#NAME?</v>
      </c>
      <c r="H465" s="100" t="e">
        <f t="shared" ca="1" si="67"/>
        <v>#NAME?</v>
      </c>
      <c r="I465" s="100" t="e">
        <f t="shared" ca="1" si="68"/>
        <v>#NAME?</v>
      </c>
      <c r="J465" s="100" t="e">
        <f t="shared" ca="1" si="69"/>
        <v>#NAME?</v>
      </c>
      <c r="K465" s="100" t="e">
        <f t="shared" ca="1" si="70"/>
        <v>#NAME?</v>
      </c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 spans="1:26">
      <c r="A466" s="100" t="e">
        <f ca="1">IFERROR(__xludf.DUMMYFUNCTION("""COMPUTED_VALUE"""),14520218)</f>
        <v>#NAME?</v>
      </c>
      <c r="B466" s="100" t="e">
        <f ca="1">IFERROR(__xludf.DUMMYFUNCTION("""COMPUTED_VALUE"""),"athusdt")</f>
        <v>#NAME?</v>
      </c>
      <c r="C466" s="100" t="e">
        <f ca="1">IFERROR(__xludf.DUMMYFUNCTION("""COMPUTED_VALUE"""),"0.02788")</f>
        <v>#NAME?</v>
      </c>
      <c r="D466" s="100" t="e">
        <f t="shared" ca="1" si="71"/>
        <v>#NAME?</v>
      </c>
      <c r="E466" s="100" t="e">
        <f t="shared" ca="1" si="71"/>
        <v>#NAME?</v>
      </c>
      <c r="F466" s="100" t="e">
        <f t="shared" ca="1" si="65"/>
        <v>#NAME?</v>
      </c>
      <c r="G466" s="100" t="e">
        <f t="shared" ca="1" si="66"/>
        <v>#NAME?</v>
      </c>
      <c r="H466" s="100" t="e">
        <f t="shared" ca="1" si="67"/>
        <v>#NAME?</v>
      </c>
      <c r="I466" s="100" t="e">
        <f t="shared" ca="1" si="68"/>
        <v>#NAME?</v>
      </c>
      <c r="J466" s="100" t="e">
        <f t="shared" ca="1" si="69"/>
        <v>#NAME?</v>
      </c>
      <c r="K466" s="100" t="e">
        <f t="shared" ca="1" si="70"/>
        <v>#NAME?</v>
      </c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 spans="1:26">
      <c r="A467" s="100" t="e">
        <f ca="1">IFERROR(__xludf.DUMMYFUNCTION("""COMPUTED_VALUE"""),14520219)</f>
        <v>#NAME?</v>
      </c>
      <c r="B467" s="100" t="e">
        <f ca="1">IFERROR(__xludf.DUMMYFUNCTION("""COMPUTED_VALUE"""),"sandusdt")</f>
        <v>#NAME?</v>
      </c>
      <c r="C467" s="100" t="e">
        <f ca="1">IFERROR(__xludf.DUMMYFUNCTION("""COMPUTED_VALUE"""),"0.274872")</f>
        <v>#NAME?</v>
      </c>
      <c r="D467" s="100" t="e">
        <f t="shared" ca="1" si="71"/>
        <v>#NAME?</v>
      </c>
      <c r="E467" s="100" t="e">
        <f t="shared" ca="1" si="71"/>
        <v>#NAME?</v>
      </c>
      <c r="F467" s="100" t="e">
        <f t="shared" ca="1" si="65"/>
        <v>#NAME?</v>
      </c>
      <c r="G467" s="100" t="e">
        <f t="shared" ca="1" si="66"/>
        <v>#NAME?</v>
      </c>
      <c r="H467" s="100" t="e">
        <f t="shared" ca="1" si="67"/>
        <v>#NAME?</v>
      </c>
      <c r="I467" s="100" t="e">
        <f t="shared" ca="1" si="68"/>
        <v>#NAME?</v>
      </c>
      <c r="J467" s="100" t="e">
        <f t="shared" ca="1" si="69"/>
        <v>#NAME?</v>
      </c>
      <c r="K467" s="100" t="e">
        <f t="shared" ca="1" si="70"/>
        <v>#NAME?</v>
      </c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 spans="1:26">
      <c r="A468" s="100" t="e">
        <f ca="1">IFERROR(__xludf.DUMMYFUNCTION("""COMPUTED_VALUE"""),14520220)</f>
        <v>#NAME?</v>
      </c>
      <c r="B468" s="100" t="e">
        <f ca="1">IFERROR(__xludf.DUMMYFUNCTION("""COMPUTED_VALUE"""),"moovusdt")</f>
        <v>#NAME?</v>
      </c>
      <c r="C468" s="100" t="e">
        <f ca="1">IFERROR(__xludf.DUMMYFUNCTION("""COMPUTED_VALUE"""),"0.00119")</f>
        <v>#NAME?</v>
      </c>
      <c r="D468" s="100" t="e">
        <f t="shared" ca="1" si="71"/>
        <v>#NAME?</v>
      </c>
      <c r="E468" s="100" t="e">
        <f t="shared" ca="1" si="71"/>
        <v>#NAME?</v>
      </c>
      <c r="F468" s="100" t="e">
        <f t="shared" ca="1" si="65"/>
        <v>#NAME?</v>
      </c>
      <c r="G468" s="100" t="e">
        <f t="shared" ca="1" si="66"/>
        <v>#NAME?</v>
      </c>
      <c r="H468" s="100" t="e">
        <f t="shared" ca="1" si="67"/>
        <v>#NAME?</v>
      </c>
      <c r="I468" s="100" t="e">
        <f t="shared" ca="1" si="68"/>
        <v>#NAME?</v>
      </c>
      <c r="J468" s="100" t="e">
        <f t="shared" ca="1" si="69"/>
        <v>#NAME?</v>
      </c>
      <c r="K468" s="100" t="e">
        <f t="shared" ca="1" si="70"/>
        <v>#NAME?</v>
      </c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 spans="1:26">
      <c r="A469" s="100" t="e">
        <f ca="1">IFERROR(__xludf.DUMMYFUNCTION("""COMPUTED_VALUE"""),14520221)</f>
        <v>#NAME?</v>
      </c>
      <c r="B469" s="100" t="e">
        <f ca="1">IFERROR(__xludf.DUMMYFUNCTION("""COMPUTED_VALUE"""),"flzusdc")</f>
        <v>#NAME?</v>
      </c>
      <c r="C469" s="100" t="e">
        <f ca="1">IFERROR(__xludf.DUMMYFUNCTION("""COMPUTED_VALUE"""),"1.2245")</f>
        <v>#NAME?</v>
      </c>
      <c r="D469" s="100" t="e">
        <f t="shared" ca="1" si="71"/>
        <v>#NAME?</v>
      </c>
      <c r="E469" s="100" t="e">
        <f t="shared" ca="1" si="71"/>
        <v>#NAME?</v>
      </c>
      <c r="F469" s="100" t="e">
        <f t="shared" ca="1" si="65"/>
        <v>#NAME?</v>
      </c>
      <c r="G469" s="100" t="e">
        <f t="shared" ca="1" si="66"/>
        <v>#NAME?</v>
      </c>
      <c r="H469" s="100" t="e">
        <f t="shared" ca="1" si="67"/>
        <v>#NAME?</v>
      </c>
      <c r="I469" s="100" t="e">
        <f t="shared" ca="1" si="68"/>
        <v>#NAME?</v>
      </c>
      <c r="J469" s="100" t="e">
        <f t="shared" ca="1" si="69"/>
        <v>#NAME?</v>
      </c>
      <c r="K469" s="100" t="e">
        <f t="shared" ca="1" si="70"/>
        <v>#NAME?</v>
      </c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 spans="1:26">
      <c r="A470" s="100" t="e">
        <f ca="1">IFERROR(__xludf.DUMMYFUNCTION("""COMPUTED_VALUE"""),14520222)</f>
        <v>#NAME?</v>
      </c>
      <c r="B470" s="100" t="e">
        <f ca="1">IFERROR(__xludf.DUMMYFUNCTION("""COMPUTED_VALUE"""),"c98usdt")</f>
        <v>#NAME?</v>
      </c>
      <c r="C470" s="100" t="e">
        <f ca="1">IFERROR(__xludf.DUMMYFUNCTION("""COMPUTED_VALUE"""),"0.0537")</f>
        <v>#NAME?</v>
      </c>
      <c r="D470" s="100" t="e">
        <f t="shared" ca="1" si="71"/>
        <v>#NAME?</v>
      </c>
      <c r="E470" s="100" t="e">
        <f t="shared" ca="1" si="71"/>
        <v>#NAME?</v>
      </c>
      <c r="F470" s="100" t="e">
        <f t="shared" ca="1" si="65"/>
        <v>#NAME?</v>
      </c>
      <c r="G470" s="100" t="e">
        <f t="shared" ca="1" si="66"/>
        <v>#NAME?</v>
      </c>
      <c r="H470" s="100" t="e">
        <f t="shared" ca="1" si="67"/>
        <v>#NAME?</v>
      </c>
      <c r="I470" s="100" t="e">
        <f t="shared" ca="1" si="68"/>
        <v>#NAME?</v>
      </c>
      <c r="J470" s="100" t="e">
        <f t="shared" ca="1" si="69"/>
        <v>#NAME?</v>
      </c>
      <c r="K470" s="100" t="e">
        <f t="shared" ca="1" si="70"/>
        <v>#NAME?</v>
      </c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 spans="1:26">
      <c r="A471" s="100" t="e">
        <f ca="1">IFERROR(__xludf.DUMMYFUNCTION("""COMPUTED_VALUE"""),14520223)</f>
        <v>#NAME?</v>
      </c>
      <c r="B471" s="100" t="e">
        <f ca="1">IFERROR(__xludf.DUMMYFUNCTION("""COMPUTED_VALUE"""),"kavausdt")</f>
        <v>#NAME?</v>
      </c>
      <c r="C471" s="100" t="e">
        <f ca="1">IFERROR(__xludf.DUMMYFUNCTION("""COMPUTED_VALUE"""),"0.4158")</f>
        <v>#NAME?</v>
      </c>
      <c r="D471" s="100" t="e">
        <f t="shared" ca="1" si="71"/>
        <v>#NAME?</v>
      </c>
      <c r="E471" s="100" t="e">
        <f t="shared" ca="1" si="71"/>
        <v>#NAME?</v>
      </c>
      <c r="F471" s="100" t="e">
        <f t="shared" ca="1" si="65"/>
        <v>#NAME?</v>
      </c>
      <c r="G471" s="100" t="e">
        <f t="shared" ca="1" si="66"/>
        <v>#NAME?</v>
      </c>
      <c r="H471" s="100" t="e">
        <f t="shared" ca="1" si="67"/>
        <v>#NAME?</v>
      </c>
      <c r="I471" s="100" t="e">
        <f t="shared" ca="1" si="68"/>
        <v>#NAME?</v>
      </c>
      <c r="J471" s="100" t="e">
        <f t="shared" ca="1" si="69"/>
        <v>#NAME?</v>
      </c>
      <c r="K471" s="100" t="e">
        <f t="shared" ca="1" si="70"/>
        <v>#NAME?</v>
      </c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 spans="1:26">
      <c r="A472" s="100" t="e">
        <f ca="1">IFERROR(__xludf.DUMMYFUNCTION("""COMPUTED_VALUE"""),14520224)</f>
        <v>#NAME?</v>
      </c>
      <c r="B472" s="100" t="e">
        <f ca="1">IFERROR(__xludf.DUMMYFUNCTION("""COMPUTED_VALUE"""),"rlcusdt")</f>
        <v>#NAME?</v>
      </c>
      <c r="C472" s="100" t="e">
        <f ca="1">IFERROR(__xludf.DUMMYFUNCTION("""COMPUTED_VALUE"""),"1.1413")</f>
        <v>#NAME?</v>
      </c>
      <c r="D472" s="100" t="e">
        <f t="shared" ca="1" si="71"/>
        <v>#NAME?</v>
      </c>
      <c r="E472" s="100" t="e">
        <f t="shared" ca="1" si="71"/>
        <v>#NAME?</v>
      </c>
      <c r="F472" s="100" t="e">
        <f t="shared" ca="1" si="65"/>
        <v>#NAME?</v>
      </c>
      <c r="G472" s="100" t="e">
        <f t="shared" ca="1" si="66"/>
        <v>#NAME?</v>
      </c>
      <c r="H472" s="100" t="e">
        <f t="shared" ca="1" si="67"/>
        <v>#NAME?</v>
      </c>
      <c r="I472" s="100" t="e">
        <f t="shared" ca="1" si="68"/>
        <v>#NAME?</v>
      </c>
      <c r="J472" s="100" t="e">
        <f t="shared" ca="1" si="69"/>
        <v>#NAME?</v>
      </c>
      <c r="K472" s="100" t="e">
        <f t="shared" ca="1" si="70"/>
        <v>#NAME?</v>
      </c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 spans="1:26">
      <c r="A473" s="100" t="e">
        <f ca="1">IFERROR(__xludf.DUMMYFUNCTION("""COMPUTED_VALUE"""),14520225)</f>
        <v>#NAME?</v>
      </c>
      <c r="B473" s="100" t="e">
        <f ca="1">IFERROR(__xludf.DUMMYFUNCTION("""COMPUTED_VALUE"""),"xpetusdt")</f>
        <v>#NAME?</v>
      </c>
      <c r="C473" s="100" t="e">
        <f ca="1">IFERROR(__xludf.DUMMYFUNCTION("""COMPUTED_VALUE"""),"0.0143")</f>
        <v>#NAME?</v>
      </c>
      <c r="D473" s="100" t="e">
        <f t="shared" ca="1" si="71"/>
        <v>#NAME?</v>
      </c>
      <c r="E473" s="100" t="e">
        <f t="shared" ca="1" si="71"/>
        <v>#NAME?</v>
      </c>
      <c r="F473" s="100" t="e">
        <f t="shared" ca="1" si="65"/>
        <v>#NAME?</v>
      </c>
      <c r="G473" s="100" t="e">
        <f t="shared" ca="1" si="66"/>
        <v>#NAME?</v>
      </c>
      <c r="H473" s="100" t="e">
        <f t="shared" ca="1" si="67"/>
        <v>#NAME?</v>
      </c>
      <c r="I473" s="100" t="e">
        <f t="shared" ca="1" si="68"/>
        <v>#NAME?</v>
      </c>
      <c r="J473" s="100" t="e">
        <f t="shared" ca="1" si="69"/>
        <v>#NAME?</v>
      </c>
      <c r="K473" s="100" t="e">
        <f t="shared" ca="1" si="70"/>
        <v>#NAME?</v>
      </c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 spans="1:26">
      <c r="A474" s="100" t="e">
        <f ca="1">IFERROR(__xludf.DUMMYFUNCTION("""COMPUTED_VALUE"""),14520226)</f>
        <v>#NAME?</v>
      </c>
      <c r="B474" s="100" t="e">
        <f ca="1">IFERROR(__xludf.DUMMYFUNCTION("""COMPUTED_VALUE"""),"nulsusdt")</f>
        <v>#NAME?</v>
      </c>
      <c r="C474" s="100" t="e">
        <f ca="1">IFERROR(__xludf.DUMMYFUNCTION("""COMPUTED_VALUE"""),"0.0849")</f>
        <v>#NAME?</v>
      </c>
      <c r="D474" s="100" t="e">
        <f t="shared" ca="1" si="71"/>
        <v>#NAME?</v>
      </c>
      <c r="E474" s="100" t="e">
        <f t="shared" ca="1" si="71"/>
        <v>#NAME?</v>
      </c>
      <c r="F474" s="100" t="e">
        <f t="shared" ca="1" si="65"/>
        <v>#NAME?</v>
      </c>
      <c r="G474" s="100" t="e">
        <f t="shared" ca="1" si="66"/>
        <v>#NAME?</v>
      </c>
      <c r="H474" s="100" t="e">
        <f t="shared" ca="1" si="67"/>
        <v>#NAME?</v>
      </c>
      <c r="I474" s="100" t="e">
        <f t="shared" ca="1" si="68"/>
        <v>#NAME?</v>
      </c>
      <c r="J474" s="100" t="e">
        <f t="shared" ca="1" si="69"/>
        <v>#NAME?</v>
      </c>
      <c r="K474" s="100" t="e">
        <f t="shared" ca="1" si="70"/>
        <v>#NAME?</v>
      </c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 spans="1:26">
      <c r="A475" s="100" t="e">
        <f ca="1">IFERROR(__xludf.DUMMYFUNCTION("""COMPUTED_VALUE"""),14520227)</f>
        <v>#NAME?</v>
      </c>
      <c r="B475" s="100" t="e">
        <f ca="1">IFERROR(__xludf.DUMMYFUNCTION("""COMPUTED_VALUE"""),"fightusdt")</f>
        <v>#NAME?</v>
      </c>
      <c r="C475" s="100" t="e">
        <f ca="1">IFERROR(__xludf.DUMMYFUNCTION("""COMPUTED_VALUE"""),"0.00053")</f>
        <v>#NAME?</v>
      </c>
      <c r="D475" s="100" t="e">
        <f t="shared" ca="1" si="71"/>
        <v>#NAME?</v>
      </c>
      <c r="E475" s="100" t="e">
        <f t="shared" ca="1" si="71"/>
        <v>#NAME?</v>
      </c>
      <c r="F475" s="100" t="e">
        <f t="shared" ca="1" si="65"/>
        <v>#NAME?</v>
      </c>
      <c r="G475" s="100" t="e">
        <f t="shared" ca="1" si="66"/>
        <v>#NAME?</v>
      </c>
      <c r="H475" s="100" t="e">
        <f t="shared" ca="1" si="67"/>
        <v>#NAME?</v>
      </c>
      <c r="I475" s="100" t="e">
        <f t="shared" ca="1" si="68"/>
        <v>#NAME?</v>
      </c>
      <c r="J475" s="100" t="e">
        <f t="shared" ca="1" si="69"/>
        <v>#NAME?</v>
      </c>
      <c r="K475" s="100" t="e">
        <f t="shared" ca="1" si="70"/>
        <v>#NAME?</v>
      </c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 spans="1:26">
      <c r="A476" s="100" t="e">
        <f ca="1">IFERROR(__xludf.DUMMYFUNCTION("""COMPUTED_VALUE"""),14520228)</f>
        <v>#NAME?</v>
      </c>
      <c r="B476" s="100" t="e">
        <f ca="1">IFERROR(__xludf.DUMMYFUNCTION("""COMPUTED_VALUE"""),"maskusdt")</f>
        <v>#NAME?</v>
      </c>
      <c r="C476" s="100" t="e">
        <f ca="1">IFERROR(__xludf.DUMMYFUNCTION("""COMPUTED_VALUE"""),"1.0569")</f>
        <v>#NAME?</v>
      </c>
      <c r="D476" s="100" t="e">
        <f t="shared" ca="1" si="71"/>
        <v>#NAME?</v>
      </c>
      <c r="E476" s="100" t="e">
        <f t="shared" ca="1" si="71"/>
        <v>#NAME?</v>
      </c>
      <c r="F476" s="100" t="e">
        <f t="shared" ca="1" si="65"/>
        <v>#NAME?</v>
      </c>
      <c r="G476" s="100" t="e">
        <f t="shared" ca="1" si="66"/>
        <v>#NAME?</v>
      </c>
      <c r="H476" s="100" t="e">
        <f t="shared" ca="1" si="67"/>
        <v>#NAME?</v>
      </c>
      <c r="I476" s="100" t="e">
        <f t="shared" ca="1" si="68"/>
        <v>#NAME?</v>
      </c>
      <c r="J476" s="100" t="e">
        <f t="shared" ca="1" si="69"/>
        <v>#NAME?</v>
      </c>
      <c r="K476" s="100" t="e">
        <f t="shared" ca="1" si="70"/>
        <v>#NAME?</v>
      </c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 spans="1:26">
      <c r="A477" s="100" t="e">
        <f ca="1">IFERROR(__xludf.DUMMYFUNCTION("""COMPUTED_VALUE"""),14520229)</f>
        <v>#NAME?</v>
      </c>
      <c r="B477" s="100" t="e">
        <f ca="1">IFERROR(__xludf.DUMMYFUNCTION("""COMPUTED_VALUE"""),"tlmusdt")</f>
        <v>#NAME?</v>
      </c>
      <c r="C477" s="100" t="e">
        <f ca="1">IFERROR(__xludf.DUMMYFUNCTION("""COMPUTED_VALUE"""),"0.005208")</f>
        <v>#NAME?</v>
      </c>
      <c r="D477" s="100" t="e">
        <f t="shared" ca="1" si="71"/>
        <v>#NAME?</v>
      </c>
      <c r="E477" s="100" t="e">
        <f t="shared" ca="1" si="71"/>
        <v>#NAME?</v>
      </c>
      <c r="F477" s="100" t="e">
        <f t="shared" ca="1" si="65"/>
        <v>#NAME?</v>
      </c>
      <c r="G477" s="100" t="e">
        <f t="shared" ca="1" si="66"/>
        <v>#NAME?</v>
      </c>
      <c r="H477" s="100" t="e">
        <f t="shared" ca="1" si="67"/>
        <v>#NAME?</v>
      </c>
      <c r="I477" s="100" t="e">
        <f t="shared" ca="1" si="68"/>
        <v>#NAME?</v>
      </c>
      <c r="J477" s="100" t="e">
        <f t="shared" ca="1" si="69"/>
        <v>#NAME?</v>
      </c>
      <c r="K477" s="100" t="e">
        <f t="shared" ca="1" si="70"/>
        <v>#NAME?</v>
      </c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 spans="1:26">
      <c r="A478" s="100" t="e">
        <f ca="1">IFERROR(__xludf.DUMMYFUNCTION("""COMPUTED_VALUE"""),14520230)</f>
        <v>#NAME?</v>
      </c>
      <c r="B478" s="100" t="e">
        <f ca="1">IFERROR(__xludf.DUMMYFUNCTION("""COMPUTED_VALUE"""),"a8usdt")</f>
        <v>#NAME?</v>
      </c>
      <c r="C478" s="100" t="e">
        <f ca="1">IFERROR(__xludf.DUMMYFUNCTION("""COMPUTED_VALUE"""),"0.12619")</f>
        <v>#NAME?</v>
      </c>
      <c r="D478" s="100" t="e">
        <f t="shared" ca="1" si="71"/>
        <v>#NAME?</v>
      </c>
      <c r="E478" s="100" t="e">
        <f t="shared" ca="1" si="71"/>
        <v>#NAME?</v>
      </c>
      <c r="F478" s="100" t="e">
        <f t="shared" ca="1" si="65"/>
        <v>#NAME?</v>
      </c>
      <c r="G478" s="100" t="e">
        <f t="shared" ca="1" si="66"/>
        <v>#NAME?</v>
      </c>
      <c r="H478" s="100" t="e">
        <f t="shared" ca="1" si="67"/>
        <v>#NAME?</v>
      </c>
      <c r="I478" s="100" t="e">
        <f t="shared" ca="1" si="68"/>
        <v>#NAME?</v>
      </c>
      <c r="J478" s="100" t="e">
        <f t="shared" ca="1" si="69"/>
        <v>#NAME?</v>
      </c>
      <c r="K478" s="100" t="e">
        <f t="shared" ca="1" si="70"/>
        <v>#NAME?</v>
      </c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 spans="1:26">
      <c r="A479" s="100" t="e">
        <f ca="1">IFERROR(__xludf.DUMMYFUNCTION("""COMPUTED_VALUE"""),14520231)</f>
        <v>#NAME?</v>
      </c>
      <c r="B479" s="100" t="e">
        <f ca="1">IFERROR(__xludf.DUMMYFUNCTION("""COMPUTED_VALUE"""),"gnsusdt")</f>
        <v>#NAME?</v>
      </c>
      <c r="C479" s="100" t="e">
        <f ca="1">IFERROR(__xludf.DUMMYFUNCTION("""COMPUTED_VALUE"""),"1.401")</f>
        <v>#NAME?</v>
      </c>
      <c r="D479" s="100" t="e">
        <f t="shared" ca="1" si="71"/>
        <v>#NAME?</v>
      </c>
      <c r="E479" s="100" t="e">
        <f t="shared" ca="1" si="71"/>
        <v>#NAME?</v>
      </c>
      <c r="F479" s="100" t="e">
        <f t="shared" ca="1" si="65"/>
        <v>#NAME?</v>
      </c>
      <c r="G479" s="100" t="e">
        <f t="shared" ca="1" si="66"/>
        <v>#NAME?</v>
      </c>
      <c r="H479" s="100" t="e">
        <f t="shared" ca="1" si="67"/>
        <v>#NAME?</v>
      </c>
      <c r="I479" s="100" t="e">
        <f t="shared" ca="1" si="68"/>
        <v>#NAME?</v>
      </c>
      <c r="J479" s="100" t="e">
        <f t="shared" ca="1" si="69"/>
        <v>#NAME?</v>
      </c>
      <c r="K479" s="100" t="e">
        <f t="shared" ca="1" si="70"/>
        <v>#NAME?</v>
      </c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 spans="1:26">
      <c r="A480" s="100" t="e">
        <f ca="1">IFERROR(__xludf.DUMMYFUNCTION("""COMPUTED_VALUE"""),14520232)</f>
        <v>#NAME?</v>
      </c>
      <c r="B480" s="100" t="e">
        <f ca="1">IFERROR(__xludf.DUMMYFUNCTION("""COMPUTED_VALUE"""),"vrtxusdt")</f>
        <v>#NAME?</v>
      </c>
      <c r="C480" s="100" t="e">
        <f ca="1">IFERROR(__xludf.DUMMYFUNCTION("""COMPUTED_VALUE"""),"0.0447")</f>
        <v>#NAME?</v>
      </c>
      <c r="D480" s="100" t="e">
        <f t="shared" ca="1" si="71"/>
        <v>#NAME?</v>
      </c>
      <c r="E480" s="100" t="e">
        <f t="shared" ca="1" si="71"/>
        <v>#NAME?</v>
      </c>
      <c r="F480" s="100" t="e">
        <f t="shared" ca="1" si="65"/>
        <v>#NAME?</v>
      </c>
      <c r="G480" s="100" t="e">
        <f t="shared" ca="1" si="66"/>
        <v>#NAME?</v>
      </c>
      <c r="H480" s="100" t="e">
        <f t="shared" ca="1" si="67"/>
        <v>#NAME?</v>
      </c>
      <c r="I480" s="100" t="e">
        <f t="shared" ca="1" si="68"/>
        <v>#NAME?</v>
      </c>
      <c r="J480" s="100" t="e">
        <f t="shared" ca="1" si="69"/>
        <v>#NAME?</v>
      </c>
      <c r="K480" s="100" t="e">
        <f t="shared" ca="1" si="70"/>
        <v>#NAME?</v>
      </c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 spans="1:26">
      <c r="A481" s="100" t="e">
        <f ca="1">IFERROR(__xludf.DUMMYFUNCTION("""COMPUTED_VALUE"""),14520233)</f>
        <v>#NAME?</v>
      </c>
      <c r="B481" s="100" t="e">
        <f ca="1">IFERROR(__xludf.DUMMYFUNCTION("""COMPUTED_VALUE"""),"zrxusdt")</f>
        <v>#NAME?</v>
      </c>
      <c r="C481" s="100" t="e">
        <f ca="1">IFERROR(__xludf.DUMMYFUNCTION("""COMPUTED_VALUE"""),"0.2533")</f>
        <v>#NAME?</v>
      </c>
      <c r="D481" s="100" t="e">
        <f t="shared" ca="1" si="71"/>
        <v>#NAME?</v>
      </c>
      <c r="E481" s="100" t="e">
        <f t="shared" ca="1" si="71"/>
        <v>#NAME?</v>
      </c>
      <c r="F481" s="100" t="e">
        <f t="shared" ca="1" si="65"/>
        <v>#NAME?</v>
      </c>
      <c r="G481" s="100" t="e">
        <f t="shared" ca="1" si="66"/>
        <v>#NAME?</v>
      </c>
      <c r="H481" s="100" t="e">
        <f t="shared" ca="1" si="67"/>
        <v>#NAME?</v>
      </c>
      <c r="I481" s="100" t="e">
        <f t="shared" ca="1" si="68"/>
        <v>#NAME?</v>
      </c>
      <c r="J481" s="100" t="e">
        <f t="shared" ca="1" si="69"/>
        <v>#NAME?</v>
      </c>
      <c r="K481" s="100" t="e">
        <f t="shared" ca="1" si="70"/>
        <v>#NAME?</v>
      </c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 spans="1:26">
      <c r="A482" s="100" t="e">
        <f ca="1">IFERROR(__xludf.DUMMYFUNCTION("""COMPUTED_VALUE"""),14520234)</f>
        <v>#NAME?</v>
      </c>
      <c r="B482" s="100" t="e">
        <f ca="1">IFERROR(__xludf.DUMMYFUNCTION("""COMPUTED_VALUE"""),"vinuusdt")</f>
        <v>#NAME?</v>
      </c>
      <c r="C482" s="100" t="e">
        <f ca="1">IFERROR(__xludf.DUMMYFUNCTION("""COMPUTED_VALUE"""),"1.0801e-08")</f>
        <v>#NAME?</v>
      </c>
      <c r="D482" s="100" t="e">
        <f t="shared" ref="D482:E501" ca="1" si="72">IFERROR(__xludf.DUMMYFUNCTION("""COMPUTED_VALUE"""),"-")</f>
        <v>#NAME?</v>
      </c>
      <c r="E482" s="100" t="e">
        <f t="shared" ca="1" si="72"/>
        <v>#NAME?</v>
      </c>
      <c r="F482" s="100" t="e">
        <f t="shared" ca="1" si="65"/>
        <v>#NAME?</v>
      </c>
      <c r="G482" s="100" t="e">
        <f t="shared" ca="1" si="66"/>
        <v>#NAME?</v>
      </c>
      <c r="H482" s="100" t="e">
        <f t="shared" ca="1" si="67"/>
        <v>#NAME?</v>
      </c>
      <c r="I482" s="100" t="e">
        <f t="shared" ca="1" si="68"/>
        <v>#NAME?</v>
      </c>
      <c r="J482" s="100" t="e">
        <f t="shared" ca="1" si="69"/>
        <v>#NAME?</v>
      </c>
      <c r="K482" s="100" t="e">
        <f t="shared" ca="1" si="70"/>
        <v>#NAME?</v>
      </c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 spans="1:26">
      <c r="A483" s="100" t="e">
        <f ca="1">IFERROR(__xludf.DUMMYFUNCTION("""COMPUTED_VALUE"""),14520235)</f>
        <v>#NAME?</v>
      </c>
      <c r="B483" s="100" t="e">
        <f ca="1">IFERROR(__xludf.DUMMYFUNCTION("""COMPUTED_VALUE"""),"numusdt")</f>
        <v>#NAME?</v>
      </c>
      <c r="C483" s="100" t="e">
        <f ca="1">IFERROR(__xludf.DUMMYFUNCTION("""COMPUTED_VALUE"""),"0.0189")</f>
        <v>#NAME?</v>
      </c>
      <c r="D483" s="100" t="e">
        <f t="shared" ca="1" si="72"/>
        <v>#NAME?</v>
      </c>
      <c r="E483" s="100" t="e">
        <f t="shared" ca="1" si="72"/>
        <v>#NAME?</v>
      </c>
      <c r="F483" s="100" t="e">
        <f t="shared" ca="1" si="65"/>
        <v>#NAME?</v>
      </c>
      <c r="G483" s="100" t="e">
        <f t="shared" ca="1" si="66"/>
        <v>#NAME?</v>
      </c>
      <c r="H483" s="100" t="e">
        <f t="shared" ca="1" si="67"/>
        <v>#NAME?</v>
      </c>
      <c r="I483" s="100" t="e">
        <f t="shared" ca="1" si="68"/>
        <v>#NAME?</v>
      </c>
      <c r="J483" s="100" t="e">
        <f t="shared" ca="1" si="69"/>
        <v>#NAME?</v>
      </c>
      <c r="K483" s="100" t="e">
        <f t="shared" ca="1" si="70"/>
        <v>#NAME?</v>
      </c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 spans="1:26">
      <c r="A484" s="100" t="e">
        <f ca="1">IFERROR(__xludf.DUMMYFUNCTION("""COMPUTED_VALUE"""),14520236)</f>
        <v>#NAME?</v>
      </c>
      <c r="B484" s="100" t="e">
        <f ca="1">IFERROR(__xludf.DUMMYFUNCTION("""COMPUTED_VALUE"""),"everusdt")</f>
        <v>#NAME?</v>
      </c>
      <c r="C484" s="100" t="e">
        <f ca="1">IFERROR(__xludf.DUMMYFUNCTION("""COMPUTED_VALUE"""),"0.013621")</f>
        <v>#NAME?</v>
      </c>
      <c r="D484" s="100" t="e">
        <f t="shared" ca="1" si="72"/>
        <v>#NAME?</v>
      </c>
      <c r="E484" s="100" t="e">
        <f t="shared" ca="1" si="72"/>
        <v>#NAME?</v>
      </c>
      <c r="F484" s="100" t="e">
        <f t="shared" ca="1" si="65"/>
        <v>#NAME?</v>
      </c>
      <c r="G484" s="100" t="e">
        <f t="shared" ca="1" si="66"/>
        <v>#NAME?</v>
      </c>
      <c r="H484" s="100" t="e">
        <f t="shared" ca="1" si="67"/>
        <v>#NAME?</v>
      </c>
      <c r="I484" s="100" t="e">
        <f t="shared" ca="1" si="68"/>
        <v>#NAME?</v>
      </c>
      <c r="J484" s="100" t="e">
        <f t="shared" ca="1" si="69"/>
        <v>#NAME?</v>
      </c>
      <c r="K484" s="100" t="e">
        <f t="shared" ca="1" si="70"/>
        <v>#NAME?</v>
      </c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 spans="1:26">
      <c r="A485" s="100" t="e">
        <f ca="1">IFERROR(__xludf.DUMMYFUNCTION("""COMPUTED_VALUE"""),14520237)</f>
        <v>#NAME?</v>
      </c>
      <c r="B485" s="100" t="e">
        <f ca="1">IFERROR(__xludf.DUMMYFUNCTION("""COMPUTED_VALUE"""),"nptusdt")</f>
        <v>#NAME?</v>
      </c>
      <c r="C485" s="100" t="e">
        <f ca="1">IFERROR(__xludf.DUMMYFUNCTION("""COMPUTED_VALUE"""),"0.0786")</f>
        <v>#NAME?</v>
      </c>
      <c r="D485" s="100" t="e">
        <f t="shared" ca="1" si="72"/>
        <v>#NAME?</v>
      </c>
      <c r="E485" s="100" t="e">
        <f t="shared" ca="1" si="72"/>
        <v>#NAME?</v>
      </c>
      <c r="F485" s="100" t="e">
        <f t="shared" ca="1" si="65"/>
        <v>#NAME?</v>
      </c>
      <c r="G485" s="100" t="e">
        <f t="shared" ca="1" si="66"/>
        <v>#NAME?</v>
      </c>
      <c r="H485" s="100" t="e">
        <f t="shared" ca="1" si="67"/>
        <v>#NAME?</v>
      </c>
      <c r="I485" s="100" t="e">
        <f t="shared" ca="1" si="68"/>
        <v>#NAME?</v>
      </c>
      <c r="J485" s="100" t="e">
        <f t="shared" ca="1" si="69"/>
        <v>#NAME?</v>
      </c>
      <c r="K485" s="100" t="e">
        <f t="shared" ca="1" si="70"/>
        <v>#NAME?</v>
      </c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 spans="1:26">
      <c r="A486" s="100" t="e">
        <f ca="1">IFERROR(__xludf.DUMMYFUNCTION("""COMPUTED_VALUE"""),14520238)</f>
        <v>#NAME?</v>
      </c>
      <c r="B486" s="100" t="e">
        <f ca="1">IFERROR(__xludf.DUMMYFUNCTION("""COMPUTED_VALUE"""),"monusdt")</f>
        <v>#NAME?</v>
      </c>
      <c r="C486" s="100" t="e">
        <f ca="1">IFERROR(__xludf.DUMMYFUNCTION("""COMPUTED_VALUE"""),"0.0267")</f>
        <v>#NAME?</v>
      </c>
      <c r="D486" s="100" t="e">
        <f t="shared" ca="1" si="72"/>
        <v>#NAME?</v>
      </c>
      <c r="E486" s="100" t="e">
        <f t="shared" ca="1" si="72"/>
        <v>#NAME?</v>
      </c>
      <c r="F486" s="100" t="e">
        <f t="shared" ca="1" si="65"/>
        <v>#NAME?</v>
      </c>
      <c r="G486" s="100" t="e">
        <f t="shared" ca="1" si="66"/>
        <v>#NAME?</v>
      </c>
      <c r="H486" s="100" t="e">
        <f t="shared" ca="1" si="67"/>
        <v>#NAME?</v>
      </c>
      <c r="I486" s="100" t="e">
        <f t="shared" ca="1" si="68"/>
        <v>#NAME?</v>
      </c>
      <c r="J486" s="100" t="e">
        <f t="shared" ca="1" si="69"/>
        <v>#NAME?</v>
      </c>
      <c r="K486" s="100" t="e">
        <f t="shared" ca="1" si="70"/>
        <v>#NAME?</v>
      </c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 spans="1:26">
      <c r="A487" s="100" t="e">
        <f ca="1">IFERROR(__xludf.DUMMYFUNCTION("""COMPUTED_VALUE"""),14520239)</f>
        <v>#NAME?</v>
      </c>
      <c r="B487" s="100" t="e">
        <f ca="1">IFERROR(__xludf.DUMMYFUNCTION("""COMPUTED_VALUE"""),"wlknusdt")</f>
        <v>#NAME?</v>
      </c>
      <c r="C487" s="100" t="e">
        <f ca="1">IFERROR(__xludf.DUMMYFUNCTION("""COMPUTED_VALUE"""),"0.000335")</f>
        <v>#NAME?</v>
      </c>
      <c r="D487" s="100" t="e">
        <f t="shared" ca="1" si="72"/>
        <v>#NAME?</v>
      </c>
      <c r="E487" s="100" t="e">
        <f t="shared" ca="1" si="72"/>
        <v>#NAME?</v>
      </c>
      <c r="F487" s="100" t="e">
        <f t="shared" ca="1" si="65"/>
        <v>#NAME?</v>
      </c>
      <c r="G487" s="100" t="e">
        <f t="shared" ca="1" si="66"/>
        <v>#NAME?</v>
      </c>
      <c r="H487" s="100" t="e">
        <f t="shared" ca="1" si="67"/>
        <v>#NAME?</v>
      </c>
      <c r="I487" s="100" t="e">
        <f t="shared" ca="1" si="68"/>
        <v>#NAME?</v>
      </c>
      <c r="J487" s="100" t="e">
        <f t="shared" ca="1" si="69"/>
        <v>#NAME?</v>
      </c>
      <c r="K487" s="100" t="e">
        <f t="shared" ca="1" si="70"/>
        <v>#NAME?</v>
      </c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 spans="1:26">
      <c r="A488" s="100" t="e">
        <f ca="1">IFERROR(__xludf.DUMMYFUNCTION("""COMPUTED_VALUE"""),14520240)</f>
        <v>#NAME?</v>
      </c>
      <c r="B488" s="100" t="e">
        <f ca="1">IFERROR(__xludf.DUMMYFUNCTION("""COMPUTED_VALUE"""),"runeusdt")</f>
        <v>#NAME?</v>
      </c>
      <c r="C488" s="100" t="e">
        <f ca="1">IFERROR(__xludf.DUMMYFUNCTION("""COMPUTED_VALUE"""),"1.2463")</f>
        <v>#NAME?</v>
      </c>
      <c r="D488" s="100" t="e">
        <f t="shared" ca="1" si="72"/>
        <v>#NAME?</v>
      </c>
      <c r="E488" s="100" t="e">
        <f t="shared" ca="1" si="72"/>
        <v>#NAME?</v>
      </c>
      <c r="F488" s="100" t="e">
        <f t="shared" ca="1" si="65"/>
        <v>#NAME?</v>
      </c>
      <c r="G488" s="100" t="e">
        <f t="shared" ca="1" si="66"/>
        <v>#NAME?</v>
      </c>
      <c r="H488" s="100" t="e">
        <f t="shared" ca="1" si="67"/>
        <v>#NAME?</v>
      </c>
      <c r="I488" s="100" t="e">
        <f t="shared" ca="1" si="68"/>
        <v>#NAME?</v>
      </c>
      <c r="J488" s="100" t="e">
        <f t="shared" ca="1" si="69"/>
        <v>#NAME?</v>
      </c>
      <c r="K488" s="100" t="e">
        <f t="shared" ca="1" si="70"/>
        <v>#NAME?</v>
      </c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 spans="1:26">
      <c r="A489" s="100" t="e">
        <f ca="1">IFERROR(__xludf.DUMMYFUNCTION("""COMPUTED_VALUE"""),14520241)</f>
        <v>#NAME?</v>
      </c>
      <c r="B489" s="100" t="e">
        <f ca="1">IFERROR(__xludf.DUMMYFUNCTION("""COMPUTED_VALUE"""),"lvnusdt")</f>
        <v>#NAME?</v>
      </c>
      <c r="C489" s="100" t="e">
        <f ca="1">IFERROR(__xludf.DUMMYFUNCTION("""COMPUTED_VALUE"""),"0.00419")</f>
        <v>#NAME?</v>
      </c>
      <c r="D489" s="100" t="e">
        <f t="shared" ca="1" si="72"/>
        <v>#NAME?</v>
      </c>
      <c r="E489" s="100" t="e">
        <f t="shared" ca="1" si="72"/>
        <v>#NAME?</v>
      </c>
      <c r="F489" s="100" t="e">
        <f t="shared" ca="1" si="65"/>
        <v>#NAME?</v>
      </c>
      <c r="G489" s="100" t="e">
        <f t="shared" ca="1" si="66"/>
        <v>#NAME?</v>
      </c>
      <c r="H489" s="100" t="e">
        <f t="shared" ca="1" si="67"/>
        <v>#NAME?</v>
      </c>
      <c r="I489" s="100" t="e">
        <f t="shared" ca="1" si="68"/>
        <v>#NAME?</v>
      </c>
      <c r="J489" s="100" t="e">
        <f t="shared" ca="1" si="69"/>
        <v>#NAME?</v>
      </c>
      <c r="K489" s="100" t="e">
        <f t="shared" ca="1" si="70"/>
        <v>#NAME?</v>
      </c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 spans="1:26">
      <c r="A490" s="100" t="e">
        <f ca="1">IFERROR(__xludf.DUMMYFUNCTION("""COMPUTED_VALUE"""),14520242)</f>
        <v>#NAME?</v>
      </c>
      <c r="B490" s="100" t="e">
        <f ca="1">IFERROR(__xludf.DUMMYFUNCTION("""COMPUTED_VALUE"""),"biousdt")</f>
        <v>#NAME?</v>
      </c>
      <c r="C490" s="100" t="e">
        <f ca="1">IFERROR(__xludf.DUMMYFUNCTION("""COMPUTED_VALUE"""),"0.05372")</f>
        <v>#NAME?</v>
      </c>
      <c r="D490" s="100" t="e">
        <f t="shared" ca="1" si="72"/>
        <v>#NAME?</v>
      </c>
      <c r="E490" s="100" t="e">
        <f t="shared" ca="1" si="72"/>
        <v>#NAME?</v>
      </c>
      <c r="F490" s="100" t="e">
        <f t="shared" ca="1" si="65"/>
        <v>#NAME?</v>
      </c>
      <c r="G490" s="100" t="e">
        <f t="shared" ca="1" si="66"/>
        <v>#NAME?</v>
      </c>
      <c r="H490" s="100" t="e">
        <f t="shared" ca="1" si="67"/>
        <v>#NAME?</v>
      </c>
      <c r="I490" s="100" t="e">
        <f t="shared" ca="1" si="68"/>
        <v>#NAME?</v>
      </c>
      <c r="J490" s="100" t="e">
        <f t="shared" ca="1" si="69"/>
        <v>#NAME?</v>
      </c>
      <c r="K490" s="100" t="e">
        <f t="shared" ca="1" si="70"/>
        <v>#NAME?</v>
      </c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 spans="1:26">
      <c r="A491" s="100" t="e">
        <f ca="1">IFERROR(__xludf.DUMMYFUNCTION("""COMPUTED_VALUE"""),14520243)</f>
        <v>#NAME?</v>
      </c>
      <c r="B491" s="100" t="e">
        <f ca="1">IFERROR(__xludf.DUMMYFUNCTION("""COMPUTED_VALUE"""),"acausdt")</f>
        <v>#NAME?</v>
      </c>
      <c r="C491" s="100" t="e">
        <f ca="1">IFERROR(__xludf.DUMMYFUNCTION("""COMPUTED_VALUE"""),"0.0305")</f>
        <v>#NAME?</v>
      </c>
      <c r="D491" s="100" t="e">
        <f t="shared" ca="1" si="72"/>
        <v>#NAME?</v>
      </c>
      <c r="E491" s="100" t="e">
        <f t="shared" ca="1" si="72"/>
        <v>#NAME?</v>
      </c>
      <c r="F491" s="100" t="e">
        <f t="shared" ca="1" si="65"/>
        <v>#NAME?</v>
      </c>
      <c r="G491" s="100" t="e">
        <f t="shared" ca="1" si="66"/>
        <v>#NAME?</v>
      </c>
      <c r="H491" s="100" t="e">
        <f t="shared" ca="1" si="67"/>
        <v>#NAME?</v>
      </c>
      <c r="I491" s="100" t="e">
        <f t="shared" ca="1" si="68"/>
        <v>#NAME?</v>
      </c>
      <c r="J491" s="100" t="e">
        <f t="shared" ca="1" si="69"/>
        <v>#NAME?</v>
      </c>
      <c r="K491" s="100" t="e">
        <f t="shared" ca="1" si="70"/>
        <v>#NAME?</v>
      </c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 spans="1:26">
      <c r="A492" s="100" t="e">
        <f ca="1">IFERROR(__xludf.DUMMYFUNCTION("""COMPUTED_VALUE"""),14520244)</f>
        <v>#NAME?</v>
      </c>
      <c r="B492" s="100" t="e">
        <f ca="1">IFERROR(__xludf.DUMMYFUNCTION("""COMPUTED_VALUE"""),"syntusdt")</f>
        <v>#NAME?</v>
      </c>
      <c r="C492" s="100" t="e">
        <f ca="1">IFERROR(__xludf.DUMMYFUNCTION("""COMPUTED_VALUE"""),"0.01516")</f>
        <v>#NAME?</v>
      </c>
      <c r="D492" s="100" t="e">
        <f t="shared" ca="1" si="72"/>
        <v>#NAME?</v>
      </c>
      <c r="E492" s="100" t="e">
        <f t="shared" ca="1" si="72"/>
        <v>#NAME?</v>
      </c>
      <c r="F492" s="100" t="e">
        <f t="shared" ca="1" si="65"/>
        <v>#NAME?</v>
      </c>
      <c r="G492" s="100" t="e">
        <f t="shared" ca="1" si="66"/>
        <v>#NAME?</v>
      </c>
      <c r="H492" s="100" t="e">
        <f t="shared" ca="1" si="67"/>
        <v>#NAME?</v>
      </c>
      <c r="I492" s="100" t="e">
        <f t="shared" ca="1" si="68"/>
        <v>#NAME?</v>
      </c>
      <c r="J492" s="100" t="e">
        <f t="shared" ca="1" si="69"/>
        <v>#NAME?</v>
      </c>
      <c r="K492" s="100" t="e">
        <f t="shared" ca="1" si="70"/>
        <v>#NAME?</v>
      </c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 spans="1:26">
      <c r="A493" s="100" t="e">
        <f ca="1">IFERROR(__xludf.DUMMYFUNCTION("""COMPUTED_VALUE"""),14520245)</f>
        <v>#NAME?</v>
      </c>
      <c r="B493" s="100" t="e">
        <f ca="1">IFERROR(__xludf.DUMMYFUNCTION("""COMPUTED_VALUE"""),"zetausdt")</f>
        <v>#NAME?</v>
      </c>
      <c r="C493" s="100" t="e">
        <f ca="1">IFERROR(__xludf.DUMMYFUNCTION("""COMPUTED_VALUE"""),"0.2355")</f>
        <v>#NAME?</v>
      </c>
      <c r="D493" s="100" t="e">
        <f t="shared" ca="1" si="72"/>
        <v>#NAME?</v>
      </c>
      <c r="E493" s="100" t="e">
        <f t="shared" ca="1" si="72"/>
        <v>#NAME?</v>
      </c>
      <c r="F493" s="100" t="e">
        <f t="shared" ca="1" si="65"/>
        <v>#NAME?</v>
      </c>
      <c r="G493" s="100" t="e">
        <f t="shared" ca="1" si="66"/>
        <v>#NAME?</v>
      </c>
      <c r="H493" s="100" t="e">
        <f t="shared" ca="1" si="67"/>
        <v>#NAME?</v>
      </c>
      <c r="I493" s="100" t="e">
        <f t="shared" ca="1" si="68"/>
        <v>#NAME?</v>
      </c>
      <c r="J493" s="100" t="e">
        <f t="shared" ca="1" si="69"/>
        <v>#NAME?</v>
      </c>
      <c r="K493" s="100" t="e">
        <f t="shared" ca="1" si="70"/>
        <v>#NAME?</v>
      </c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 spans="1:26">
      <c r="A494" s="100" t="e">
        <f ca="1">IFERROR(__xludf.DUMMYFUNCTION("""COMPUTED_VALUE"""),14520246)</f>
        <v>#NAME?</v>
      </c>
      <c r="B494" s="100" t="e">
        <f ca="1">IFERROR(__xludf.DUMMYFUNCTION("""COMPUTED_VALUE"""),"injusdt")</f>
        <v>#NAME?</v>
      </c>
      <c r="C494" s="100" t="e">
        <f ca="1">IFERROR(__xludf.DUMMYFUNCTION("""COMPUTED_VALUE"""),"8.4887")</f>
        <v>#NAME?</v>
      </c>
      <c r="D494" s="100" t="e">
        <f t="shared" ca="1" si="72"/>
        <v>#NAME?</v>
      </c>
      <c r="E494" s="100" t="e">
        <f t="shared" ca="1" si="72"/>
        <v>#NAME?</v>
      </c>
      <c r="F494" s="100" t="e">
        <f t="shared" ca="1" si="65"/>
        <v>#NAME?</v>
      </c>
      <c r="G494" s="100" t="e">
        <f t="shared" ca="1" si="66"/>
        <v>#NAME?</v>
      </c>
      <c r="H494" s="100" t="e">
        <f t="shared" ca="1" si="67"/>
        <v>#NAME?</v>
      </c>
      <c r="I494" s="100" t="e">
        <f t="shared" ca="1" si="68"/>
        <v>#NAME?</v>
      </c>
      <c r="J494" s="100" t="e">
        <f t="shared" ca="1" si="69"/>
        <v>#NAME?</v>
      </c>
      <c r="K494" s="100" t="e">
        <f t="shared" ca="1" si="70"/>
        <v>#NAME?</v>
      </c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 spans="1:26">
      <c r="A495" s="100" t="e">
        <f ca="1">IFERROR(__xludf.DUMMYFUNCTION("""COMPUTED_VALUE"""),14520247)</f>
        <v>#NAME?</v>
      </c>
      <c r="B495" s="100" t="e">
        <f ca="1">IFERROR(__xludf.DUMMYFUNCTION("""COMPUTED_VALUE"""),"gamebaseusdt")</f>
        <v>#NAME?</v>
      </c>
      <c r="C495" s="100" t="e">
        <f ca="1">IFERROR(__xludf.DUMMYFUNCTION("""COMPUTED_VALUE"""),"0.0164")</f>
        <v>#NAME?</v>
      </c>
      <c r="D495" s="100" t="e">
        <f t="shared" ca="1" si="72"/>
        <v>#NAME?</v>
      </c>
      <c r="E495" s="100" t="e">
        <f t="shared" ca="1" si="72"/>
        <v>#NAME?</v>
      </c>
      <c r="F495" s="100" t="e">
        <f t="shared" ca="1" si="65"/>
        <v>#NAME?</v>
      </c>
      <c r="G495" s="100" t="e">
        <f t="shared" ca="1" si="66"/>
        <v>#NAME?</v>
      </c>
      <c r="H495" s="100" t="e">
        <f t="shared" ca="1" si="67"/>
        <v>#NAME?</v>
      </c>
      <c r="I495" s="100" t="e">
        <f t="shared" ca="1" si="68"/>
        <v>#NAME?</v>
      </c>
      <c r="J495" s="100" t="e">
        <f t="shared" ca="1" si="69"/>
        <v>#NAME?</v>
      </c>
      <c r="K495" s="100" t="e">
        <f t="shared" ca="1" si="70"/>
        <v>#NAME?</v>
      </c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 spans="1:26">
      <c r="A496" s="100" t="e">
        <f ca="1">IFERROR(__xludf.DUMMYFUNCTION("""COMPUTED_VALUE"""),14520248)</f>
        <v>#NAME?</v>
      </c>
      <c r="B496" s="100" t="e">
        <f ca="1">IFERROR(__xludf.DUMMYFUNCTION("""COMPUTED_VALUE"""),"ctausdt")</f>
        <v>#NAME?</v>
      </c>
      <c r="C496" s="100" t="e">
        <f ca="1">IFERROR(__xludf.DUMMYFUNCTION("""COMPUTED_VALUE"""),"0.014")</f>
        <v>#NAME?</v>
      </c>
      <c r="D496" s="100" t="e">
        <f t="shared" ca="1" si="72"/>
        <v>#NAME?</v>
      </c>
      <c r="E496" s="100" t="e">
        <f t="shared" ca="1" si="72"/>
        <v>#NAME?</v>
      </c>
      <c r="F496" s="100" t="e">
        <f t="shared" ca="1" si="65"/>
        <v>#NAME?</v>
      </c>
      <c r="G496" s="100" t="e">
        <f t="shared" ca="1" si="66"/>
        <v>#NAME?</v>
      </c>
      <c r="H496" s="100" t="e">
        <f t="shared" ca="1" si="67"/>
        <v>#NAME?</v>
      </c>
      <c r="I496" s="100" t="e">
        <f t="shared" ca="1" si="68"/>
        <v>#NAME?</v>
      </c>
      <c r="J496" s="100" t="e">
        <f t="shared" ca="1" si="69"/>
        <v>#NAME?</v>
      </c>
      <c r="K496" s="100" t="e">
        <f t="shared" ca="1" si="70"/>
        <v>#NAME?</v>
      </c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 spans="1:26">
      <c r="A497" s="100" t="e">
        <f ca="1">IFERROR(__xludf.DUMMYFUNCTION("""COMPUTED_VALUE"""),14520249)</f>
        <v>#NAME?</v>
      </c>
      <c r="B497" s="100" t="e">
        <f ca="1">IFERROR(__xludf.DUMMYFUNCTION("""COMPUTED_VALUE"""),"zerolendusdt")</f>
        <v>#NAME?</v>
      </c>
      <c r="C497" s="100" t="e">
        <f ca="1">IFERROR(__xludf.DUMMYFUNCTION("""COMPUTED_VALUE"""),"8.53e-05")</f>
        <v>#NAME?</v>
      </c>
      <c r="D497" s="100" t="e">
        <f t="shared" ca="1" si="72"/>
        <v>#NAME?</v>
      </c>
      <c r="E497" s="100" t="e">
        <f t="shared" ca="1" si="72"/>
        <v>#NAME?</v>
      </c>
      <c r="F497" s="100" t="e">
        <f t="shared" ca="1" si="65"/>
        <v>#NAME?</v>
      </c>
      <c r="G497" s="100" t="e">
        <f t="shared" ca="1" si="66"/>
        <v>#NAME?</v>
      </c>
      <c r="H497" s="100" t="e">
        <f t="shared" ca="1" si="67"/>
        <v>#NAME?</v>
      </c>
      <c r="I497" s="100" t="e">
        <f t="shared" ca="1" si="68"/>
        <v>#NAME?</v>
      </c>
      <c r="J497" s="100" t="e">
        <f t="shared" ca="1" si="69"/>
        <v>#NAME?</v>
      </c>
      <c r="K497" s="100" t="e">
        <f t="shared" ca="1" si="70"/>
        <v>#NAME?</v>
      </c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 spans="1:26">
      <c r="A498" s="100" t="e">
        <f ca="1">IFERROR(__xludf.DUMMYFUNCTION("""COMPUTED_VALUE"""),14520250)</f>
        <v>#NAME?</v>
      </c>
      <c r="B498" s="100" t="e">
        <f ca="1">IFERROR(__xludf.DUMMYFUNCTION("""COMPUTED_VALUE"""),"mongusdt")</f>
        <v>#NAME?</v>
      </c>
      <c r="C498" s="100" t="e">
        <f ca="1">IFERROR(__xludf.DUMMYFUNCTION("""COMPUTED_VALUE"""),"2.954e-09")</f>
        <v>#NAME?</v>
      </c>
      <c r="D498" s="100" t="e">
        <f t="shared" ca="1" si="72"/>
        <v>#NAME?</v>
      </c>
      <c r="E498" s="100" t="e">
        <f t="shared" ca="1" si="72"/>
        <v>#NAME?</v>
      </c>
      <c r="F498" s="100" t="e">
        <f t="shared" ca="1" si="65"/>
        <v>#NAME?</v>
      </c>
      <c r="G498" s="100" t="e">
        <f t="shared" ca="1" si="66"/>
        <v>#NAME?</v>
      </c>
      <c r="H498" s="100" t="e">
        <f t="shared" ca="1" si="67"/>
        <v>#NAME?</v>
      </c>
      <c r="I498" s="100" t="e">
        <f t="shared" ca="1" si="68"/>
        <v>#NAME?</v>
      </c>
      <c r="J498" s="100" t="e">
        <f t="shared" ca="1" si="69"/>
        <v>#NAME?</v>
      </c>
      <c r="K498" s="100" t="e">
        <f t="shared" ca="1" si="70"/>
        <v>#NAME?</v>
      </c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 spans="1:26">
      <c r="A499" s="100" t="e">
        <f ca="1">IFERROR(__xludf.DUMMYFUNCTION("""COMPUTED_VALUE"""),14520251)</f>
        <v>#NAME?</v>
      </c>
      <c r="B499" s="100" t="e">
        <f ca="1">IFERROR(__xludf.DUMMYFUNCTION("""COMPUTED_VALUE"""),"eurocusdt")</f>
        <v>#NAME?</v>
      </c>
      <c r="C499" s="100" t="e">
        <f ca="1">IFERROR(__xludf.DUMMYFUNCTION("""COMPUTED_VALUE"""),"1.1278")</f>
        <v>#NAME?</v>
      </c>
      <c r="D499" s="100" t="e">
        <f t="shared" ca="1" si="72"/>
        <v>#NAME?</v>
      </c>
      <c r="E499" s="100" t="e">
        <f t="shared" ca="1" si="72"/>
        <v>#NAME?</v>
      </c>
      <c r="F499" s="100" t="e">
        <f t="shared" ca="1" si="65"/>
        <v>#NAME?</v>
      </c>
      <c r="G499" s="100" t="e">
        <f t="shared" ca="1" si="66"/>
        <v>#NAME?</v>
      </c>
      <c r="H499" s="100" t="e">
        <f t="shared" ca="1" si="67"/>
        <v>#NAME?</v>
      </c>
      <c r="I499" s="100" t="e">
        <f t="shared" ca="1" si="68"/>
        <v>#NAME?</v>
      </c>
      <c r="J499" s="100" t="e">
        <f t="shared" ca="1" si="69"/>
        <v>#NAME?</v>
      </c>
      <c r="K499" s="100" t="e">
        <f t="shared" ca="1" si="70"/>
        <v>#NAME?</v>
      </c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 spans="1:26">
      <c r="A500" s="100" t="e">
        <f ca="1">IFERROR(__xludf.DUMMYFUNCTION("""COMPUTED_VALUE"""),14520252)</f>
        <v>#NAME?</v>
      </c>
      <c r="B500" s="100" t="e">
        <f ca="1">IFERROR(__xludf.DUMMYFUNCTION("""COMPUTED_VALUE"""),"xlmusdt")</f>
        <v>#NAME?</v>
      </c>
      <c r="C500" s="100" t="e">
        <f ca="1">IFERROR(__xludf.DUMMYFUNCTION("""COMPUTED_VALUE"""),"0.247413")</f>
        <v>#NAME?</v>
      </c>
      <c r="D500" s="100" t="e">
        <f t="shared" ca="1" si="72"/>
        <v>#NAME?</v>
      </c>
      <c r="E500" s="100" t="e">
        <f t="shared" ca="1" si="72"/>
        <v>#NAME?</v>
      </c>
      <c r="F500" s="100" t="e">
        <f t="shared" ca="1" si="65"/>
        <v>#NAME?</v>
      </c>
      <c r="G500" s="100" t="e">
        <f t="shared" ca="1" si="66"/>
        <v>#NAME?</v>
      </c>
      <c r="H500" s="100" t="e">
        <f t="shared" ca="1" si="67"/>
        <v>#NAME?</v>
      </c>
      <c r="I500" s="100" t="e">
        <f t="shared" ca="1" si="68"/>
        <v>#NAME?</v>
      </c>
      <c r="J500" s="100" t="e">
        <f t="shared" ca="1" si="69"/>
        <v>#NAME?</v>
      </c>
      <c r="K500" s="100" t="e">
        <f t="shared" ca="1" si="70"/>
        <v>#NAME?</v>
      </c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 spans="1:26">
      <c r="A501" s="100" t="e">
        <f ca="1">IFERROR(__xludf.DUMMYFUNCTION("""COMPUTED_VALUE"""),14520253)</f>
        <v>#NAME?</v>
      </c>
      <c r="B501" s="100" t="e">
        <f ca="1">IFERROR(__xludf.DUMMYFUNCTION("""COMPUTED_VALUE"""),"whalesusdt")</f>
        <v>#NAME?</v>
      </c>
      <c r="C501" s="100" t="e">
        <f ca="1">IFERROR(__xludf.DUMMYFUNCTION("""COMPUTED_VALUE"""),"0.0462")</f>
        <v>#NAME?</v>
      </c>
      <c r="D501" s="100" t="e">
        <f t="shared" ca="1" si="72"/>
        <v>#NAME?</v>
      </c>
      <c r="E501" s="100" t="e">
        <f t="shared" ca="1" si="72"/>
        <v>#NAME?</v>
      </c>
      <c r="F501" s="100" t="e">
        <f t="shared" ca="1" si="65"/>
        <v>#NAME?</v>
      </c>
      <c r="G501" s="100" t="e">
        <f t="shared" ca="1" si="66"/>
        <v>#NAME?</v>
      </c>
      <c r="H501" s="100" t="e">
        <f t="shared" ca="1" si="67"/>
        <v>#NAME?</v>
      </c>
      <c r="I501" s="100" t="e">
        <f t="shared" ca="1" si="68"/>
        <v>#NAME?</v>
      </c>
      <c r="J501" s="100" t="e">
        <f t="shared" ca="1" si="69"/>
        <v>#NAME?</v>
      </c>
      <c r="K501" s="100" t="e">
        <f t="shared" ca="1" si="70"/>
        <v>#NAME?</v>
      </c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 spans="1:26">
      <c r="A502" s="100" t="e">
        <f ca="1">IFERROR(__xludf.DUMMYFUNCTION("""COMPUTED_VALUE"""),14520254)</f>
        <v>#NAME?</v>
      </c>
      <c r="B502" s="100" t="e">
        <f ca="1">IFERROR(__xludf.DUMMYFUNCTION("""COMPUTED_VALUE"""),"adxusdt")</f>
        <v>#NAME?</v>
      </c>
      <c r="C502" s="100" t="e">
        <f ca="1">IFERROR(__xludf.DUMMYFUNCTION("""COMPUTED_VALUE"""),"0.0881")</f>
        <v>#NAME?</v>
      </c>
      <c r="D502" s="100" t="e">
        <f t="shared" ref="D502:E521" ca="1" si="73">IFERROR(__xludf.DUMMYFUNCTION("""COMPUTED_VALUE"""),"-")</f>
        <v>#NAME?</v>
      </c>
      <c r="E502" s="100" t="e">
        <f t="shared" ca="1" si="73"/>
        <v>#NAME?</v>
      </c>
      <c r="F502" s="100" t="e">
        <f t="shared" ca="1" si="65"/>
        <v>#NAME?</v>
      </c>
      <c r="G502" s="100" t="e">
        <f t="shared" ca="1" si="66"/>
        <v>#NAME?</v>
      </c>
      <c r="H502" s="100" t="e">
        <f t="shared" ca="1" si="67"/>
        <v>#NAME?</v>
      </c>
      <c r="I502" s="100" t="e">
        <f t="shared" ca="1" si="68"/>
        <v>#NAME?</v>
      </c>
      <c r="J502" s="100" t="e">
        <f t="shared" ca="1" si="69"/>
        <v>#NAME?</v>
      </c>
      <c r="K502" s="100" t="e">
        <f t="shared" ca="1" si="70"/>
        <v>#NAME?</v>
      </c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 spans="1:26">
      <c r="A503" s="100" t="e">
        <f ca="1">IFERROR(__xludf.DUMMYFUNCTION("""COMPUTED_VALUE"""),14520255)</f>
        <v>#NAME?</v>
      </c>
      <c r="B503" s="100" t="e">
        <f ca="1">IFERROR(__xludf.DUMMYFUNCTION("""COMPUTED_VALUE"""),"rplusdt")</f>
        <v>#NAME?</v>
      </c>
      <c r="C503" s="100" t="e">
        <f ca="1">IFERROR(__xludf.DUMMYFUNCTION("""COMPUTED_VALUE"""),"4.0019")</f>
        <v>#NAME?</v>
      </c>
      <c r="D503" s="100" t="e">
        <f t="shared" ca="1" si="73"/>
        <v>#NAME?</v>
      </c>
      <c r="E503" s="100" t="e">
        <f t="shared" ca="1" si="73"/>
        <v>#NAME?</v>
      </c>
      <c r="F503" s="100" t="e">
        <f t="shared" ca="1" si="65"/>
        <v>#NAME?</v>
      </c>
      <c r="G503" s="100" t="e">
        <f t="shared" ca="1" si="66"/>
        <v>#NAME?</v>
      </c>
      <c r="H503" s="100" t="e">
        <f t="shared" ca="1" si="67"/>
        <v>#NAME?</v>
      </c>
      <c r="I503" s="100" t="e">
        <f t="shared" ca="1" si="68"/>
        <v>#NAME?</v>
      </c>
      <c r="J503" s="100" t="e">
        <f t="shared" ca="1" si="69"/>
        <v>#NAME?</v>
      </c>
      <c r="K503" s="100" t="e">
        <f t="shared" ca="1" si="70"/>
        <v>#NAME?</v>
      </c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 spans="1:26">
      <c r="A504" s="100" t="e">
        <f ca="1">IFERROR(__xludf.DUMMYFUNCTION("""COMPUTED_VALUE"""),14520256)</f>
        <v>#NAME?</v>
      </c>
      <c r="B504" s="100" t="e">
        <f ca="1">IFERROR(__xludf.DUMMYFUNCTION("""COMPUTED_VALUE"""),"epicusdt")</f>
        <v>#NAME?</v>
      </c>
      <c r="C504" s="100" t="e">
        <f ca="1">IFERROR(__xludf.DUMMYFUNCTION("""COMPUTED_VALUE"""),"1.318")</f>
        <v>#NAME?</v>
      </c>
      <c r="D504" s="100" t="e">
        <f t="shared" ca="1" si="73"/>
        <v>#NAME?</v>
      </c>
      <c r="E504" s="100" t="e">
        <f t="shared" ca="1" si="73"/>
        <v>#NAME?</v>
      </c>
      <c r="F504" s="100" t="e">
        <f t="shared" ca="1" si="65"/>
        <v>#NAME?</v>
      </c>
      <c r="G504" s="100" t="e">
        <f t="shared" ca="1" si="66"/>
        <v>#NAME?</v>
      </c>
      <c r="H504" s="100" t="e">
        <f t="shared" ca="1" si="67"/>
        <v>#NAME?</v>
      </c>
      <c r="I504" s="100" t="e">
        <f t="shared" ca="1" si="68"/>
        <v>#NAME?</v>
      </c>
      <c r="J504" s="100" t="e">
        <f t="shared" ca="1" si="69"/>
        <v>#NAME?</v>
      </c>
      <c r="K504" s="100" t="e">
        <f t="shared" ca="1" si="70"/>
        <v>#NAME?</v>
      </c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 spans="1:26">
      <c r="A505" s="100" t="e">
        <f ca="1">IFERROR(__xludf.DUMMYFUNCTION("""COMPUTED_VALUE"""),14520257)</f>
        <v>#NAME?</v>
      </c>
      <c r="B505" s="100" t="e">
        <f ca="1">IFERROR(__xludf.DUMMYFUNCTION("""COMPUTED_VALUE"""),"wldusdt")</f>
        <v>#NAME?</v>
      </c>
      <c r="C505" s="100" t="e">
        <f ca="1">IFERROR(__xludf.DUMMYFUNCTION("""COMPUTED_VALUE"""),"0.778")</f>
        <v>#NAME?</v>
      </c>
      <c r="D505" s="100" t="e">
        <f t="shared" ca="1" si="73"/>
        <v>#NAME?</v>
      </c>
      <c r="E505" s="100" t="e">
        <f t="shared" ca="1" si="73"/>
        <v>#NAME?</v>
      </c>
      <c r="F505" s="100" t="e">
        <f t="shared" ca="1" si="65"/>
        <v>#NAME?</v>
      </c>
      <c r="G505" s="100" t="e">
        <f t="shared" ca="1" si="66"/>
        <v>#NAME?</v>
      </c>
      <c r="H505" s="100" t="e">
        <f t="shared" ca="1" si="67"/>
        <v>#NAME?</v>
      </c>
      <c r="I505" s="100" t="e">
        <f t="shared" ca="1" si="68"/>
        <v>#NAME?</v>
      </c>
      <c r="J505" s="100" t="e">
        <f t="shared" ca="1" si="69"/>
        <v>#NAME?</v>
      </c>
      <c r="K505" s="100" t="e">
        <f t="shared" ca="1" si="70"/>
        <v>#NAME?</v>
      </c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 spans="1:26">
      <c r="A506" s="100" t="e">
        <f ca="1">IFERROR(__xludf.DUMMYFUNCTION("""COMPUTED_VALUE"""),14520258)</f>
        <v>#NAME?</v>
      </c>
      <c r="B506" s="100" t="e">
        <f ca="1">IFERROR(__xludf.DUMMYFUNCTION("""COMPUTED_VALUE"""),"osmousdt")</f>
        <v>#NAME?</v>
      </c>
      <c r="C506" s="100" t="e">
        <f ca="1">IFERROR(__xludf.DUMMYFUNCTION("""COMPUTED_VALUE"""),"0.2187")</f>
        <v>#NAME?</v>
      </c>
      <c r="D506" s="100" t="e">
        <f t="shared" ca="1" si="73"/>
        <v>#NAME?</v>
      </c>
      <c r="E506" s="100" t="e">
        <f t="shared" ca="1" si="73"/>
        <v>#NAME?</v>
      </c>
      <c r="F506" s="100" t="e">
        <f t="shared" ca="1" si="65"/>
        <v>#NAME?</v>
      </c>
      <c r="G506" s="100" t="e">
        <f t="shared" ca="1" si="66"/>
        <v>#NAME?</v>
      </c>
      <c r="H506" s="100" t="e">
        <f t="shared" ca="1" si="67"/>
        <v>#NAME?</v>
      </c>
      <c r="I506" s="100" t="e">
        <f t="shared" ca="1" si="68"/>
        <v>#NAME?</v>
      </c>
      <c r="J506" s="100" t="e">
        <f t="shared" ca="1" si="69"/>
        <v>#NAME?</v>
      </c>
      <c r="K506" s="100" t="e">
        <f t="shared" ca="1" si="70"/>
        <v>#NAME?</v>
      </c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 spans="1:26">
      <c r="A507" s="100" t="e">
        <f ca="1">IFERROR(__xludf.DUMMYFUNCTION("""COMPUTED_VALUE"""),14520259)</f>
        <v>#NAME?</v>
      </c>
      <c r="B507" s="100" t="e">
        <f ca="1">IFERROR(__xludf.DUMMYFUNCTION("""COMPUTED_VALUE"""),"availusdt")</f>
        <v>#NAME?</v>
      </c>
      <c r="C507" s="100" t="e">
        <f ca="1">IFERROR(__xludf.DUMMYFUNCTION("""COMPUTED_VALUE"""),"0.03092")</f>
        <v>#NAME?</v>
      </c>
      <c r="D507" s="100" t="e">
        <f t="shared" ca="1" si="73"/>
        <v>#NAME?</v>
      </c>
      <c r="E507" s="100" t="e">
        <f t="shared" ca="1" si="73"/>
        <v>#NAME?</v>
      </c>
      <c r="F507" s="100" t="e">
        <f t="shared" ca="1" si="65"/>
        <v>#NAME?</v>
      </c>
      <c r="G507" s="100" t="e">
        <f t="shared" ca="1" si="66"/>
        <v>#NAME?</v>
      </c>
      <c r="H507" s="100" t="e">
        <f t="shared" ca="1" si="67"/>
        <v>#NAME?</v>
      </c>
      <c r="I507" s="100" t="e">
        <f t="shared" ca="1" si="68"/>
        <v>#NAME?</v>
      </c>
      <c r="J507" s="100" t="e">
        <f t="shared" ca="1" si="69"/>
        <v>#NAME?</v>
      </c>
      <c r="K507" s="100" t="e">
        <f t="shared" ca="1" si="70"/>
        <v>#NAME?</v>
      </c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 spans="1:26">
      <c r="A508" s="100" t="e">
        <f ca="1">IFERROR(__xludf.DUMMYFUNCTION("""COMPUTED_VALUE"""),14520260)</f>
        <v>#NAME?</v>
      </c>
      <c r="B508" s="100" t="e">
        <f ca="1">IFERROR(__xludf.DUMMYFUNCTION("""COMPUTED_VALUE"""),"lwausdt")</f>
        <v>#NAME?</v>
      </c>
      <c r="C508" s="100" t="e">
        <f ca="1">IFERROR(__xludf.DUMMYFUNCTION("""COMPUTED_VALUE"""),"0.0119")</f>
        <v>#NAME?</v>
      </c>
      <c r="D508" s="100" t="e">
        <f t="shared" ca="1" si="73"/>
        <v>#NAME?</v>
      </c>
      <c r="E508" s="100" t="e">
        <f t="shared" ca="1" si="73"/>
        <v>#NAME?</v>
      </c>
      <c r="F508" s="100" t="e">
        <f t="shared" ca="1" si="65"/>
        <v>#NAME?</v>
      </c>
      <c r="G508" s="100" t="e">
        <f t="shared" ca="1" si="66"/>
        <v>#NAME?</v>
      </c>
      <c r="H508" s="100" t="e">
        <f t="shared" ca="1" si="67"/>
        <v>#NAME?</v>
      </c>
      <c r="I508" s="100" t="e">
        <f t="shared" ca="1" si="68"/>
        <v>#NAME?</v>
      </c>
      <c r="J508" s="100" t="e">
        <f t="shared" ca="1" si="69"/>
        <v>#NAME?</v>
      </c>
      <c r="K508" s="100" t="e">
        <f t="shared" ca="1" si="70"/>
        <v>#NAME?</v>
      </c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 spans="1:26">
      <c r="A509" s="100" t="e">
        <f ca="1">IFERROR(__xludf.DUMMYFUNCTION("""COMPUTED_VALUE"""),14520261)</f>
        <v>#NAME?</v>
      </c>
      <c r="B509" s="100" t="e">
        <f ca="1">IFERROR(__xludf.DUMMYFUNCTION("""COMPUTED_VALUE"""),"carvusdt")</f>
        <v>#NAME?</v>
      </c>
      <c r="C509" s="100" t="e">
        <f ca="1">IFERROR(__xludf.DUMMYFUNCTION("""COMPUTED_VALUE"""),"0.3094")</f>
        <v>#NAME?</v>
      </c>
      <c r="D509" s="100" t="e">
        <f t="shared" ca="1" si="73"/>
        <v>#NAME?</v>
      </c>
      <c r="E509" s="100" t="e">
        <f t="shared" ca="1" si="73"/>
        <v>#NAME?</v>
      </c>
      <c r="F509" s="100" t="e">
        <f t="shared" ca="1" si="65"/>
        <v>#NAME?</v>
      </c>
      <c r="G509" s="100" t="e">
        <f t="shared" ca="1" si="66"/>
        <v>#NAME?</v>
      </c>
      <c r="H509" s="100" t="e">
        <f t="shared" ca="1" si="67"/>
        <v>#NAME?</v>
      </c>
      <c r="I509" s="100" t="e">
        <f t="shared" ca="1" si="68"/>
        <v>#NAME?</v>
      </c>
      <c r="J509" s="100" t="e">
        <f t="shared" ca="1" si="69"/>
        <v>#NAME?</v>
      </c>
      <c r="K509" s="100" t="e">
        <f t="shared" ca="1" si="70"/>
        <v>#NAME?</v>
      </c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 spans="1:26">
      <c r="A510" s="100" t="e">
        <f ca="1">IFERROR(__xludf.DUMMYFUNCTION("""COMPUTED_VALUE"""),14520262)</f>
        <v>#NAME?</v>
      </c>
      <c r="B510" s="100" t="e">
        <f ca="1">IFERROR(__xludf.DUMMYFUNCTION("""COMPUTED_VALUE"""),"xtzusdt")</f>
        <v>#NAME?</v>
      </c>
      <c r="C510" s="100" t="e">
        <f ca="1">IFERROR(__xludf.DUMMYFUNCTION("""COMPUTED_VALUE"""),"0.5069")</f>
        <v>#NAME?</v>
      </c>
      <c r="D510" s="100" t="e">
        <f t="shared" ca="1" si="73"/>
        <v>#NAME?</v>
      </c>
      <c r="E510" s="100" t="e">
        <f t="shared" ca="1" si="73"/>
        <v>#NAME?</v>
      </c>
      <c r="F510" s="100" t="e">
        <f t="shared" ca="1" si="65"/>
        <v>#NAME?</v>
      </c>
      <c r="G510" s="100" t="e">
        <f t="shared" ca="1" si="66"/>
        <v>#NAME?</v>
      </c>
      <c r="H510" s="100" t="e">
        <f t="shared" ca="1" si="67"/>
        <v>#NAME?</v>
      </c>
      <c r="I510" s="100" t="e">
        <f t="shared" ca="1" si="68"/>
        <v>#NAME?</v>
      </c>
      <c r="J510" s="100" t="e">
        <f t="shared" ca="1" si="69"/>
        <v>#NAME?</v>
      </c>
      <c r="K510" s="100" t="e">
        <f t="shared" ca="1" si="70"/>
        <v>#NAME?</v>
      </c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 spans="1:26">
      <c r="A511" s="100" t="e">
        <f ca="1">IFERROR(__xludf.DUMMYFUNCTION("""COMPUTED_VALUE"""),14520263)</f>
        <v>#NAME?</v>
      </c>
      <c r="B511" s="100" t="e">
        <f ca="1">IFERROR(__xludf.DUMMYFUNCTION("""COMPUTED_VALUE"""),"uosusdt")</f>
        <v>#NAME?</v>
      </c>
      <c r="C511" s="100" t="e">
        <f ca="1">IFERROR(__xludf.DUMMYFUNCTION("""COMPUTED_VALUE"""),"0.048")</f>
        <v>#NAME?</v>
      </c>
      <c r="D511" s="100" t="e">
        <f t="shared" ca="1" si="73"/>
        <v>#NAME?</v>
      </c>
      <c r="E511" s="100" t="e">
        <f t="shared" ca="1" si="73"/>
        <v>#NAME?</v>
      </c>
      <c r="F511" s="100" t="e">
        <f t="shared" ca="1" si="65"/>
        <v>#NAME?</v>
      </c>
      <c r="G511" s="100" t="e">
        <f t="shared" ca="1" si="66"/>
        <v>#NAME?</v>
      </c>
      <c r="H511" s="100" t="e">
        <f t="shared" ca="1" si="67"/>
        <v>#NAME?</v>
      </c>
      <c r="I511" s="100" t="e">
        <f t="shared" ca="1" si="68"/>
        <v>#NAME?</v>
      </c>
      <c r="J511" s="100" t="e">
        <f t="shared" ca="1" si="69"/>
        <v>#NAME?</v>
      </c>
      <c r="K511" s="100" t="e">
        <f t="shared" ca="1" si="70"/>
        <v>#NAME?</v>
      </c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 spans="1:26">
      <c r="A512" s="100" t="e">
        <f ca="1">IFERROR(__xludf.DUMMYFUNCTION("""COMPUTED_VALUE"""),14520264)</f>
        <v>#NAME?</v>
      </c>
      <c r="B512" s="100" t="e">
        <f ca="1">IFERROR(__xludf.DUMMYFUNCTION("""COMPUTED_VALUE"""),"ceekusdt")</f>
        <v>#NAME?</v>
      </c>
      <c r="C512" s="100" t="e">
        <f ca="1">IFERROR(__xludf.DUMMYFUNCTION("""COMPUTED_VALUE"""),"0.0181")</f>
        <v>#NAME?</v>
      </c>
      <c r="D512" s="100" t="e">
        <f t="shared" ca="1" si="73"/>
        <v>#NAME?</v>
      </c>
      <c r="E512" s="100" t="e">
        <f t="shared" ca="1" si="73"/>
        <v>#NAME?</v>
      </c>
      <c r="F512" s="100" t="e">
        <f t="shared" ca="1" si="65"/>
        <v>#NAME?</v>
      </c>
      <c r="G512" s="100" t="e">
        <f t="shared" ca="1" si="66"/>
        <v>#NAME?</v>
      </c>
      <c r="H512" s="100" t="e">
        <f t="shared" ca="1" si="67"/>
        <v>#NAME?</v>
      </c>
      <c r="I512" s="100" t="e">
        <f t="shared" ca="1" si="68"/>
        <v>#NAME?</v>
      </c>
      <c r="J512" s="100" t="e">
        <f t="shared" ca="1" si="69"/>
        <v>#NAME?</v>
      </c>
      <c r="K512" s="100" t="e">
        <f t="shared" ca="1" si="70"/>
        <v>#NAME?</v>
      </c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 spans="1:26">
      <c r="A513" s="100" t="e">
        <f ca="1">IFERROR(__xludf.DUMMYFUNCTION("""COMPUTED_VALUE"""),14520265)</f>
        <v>#NAME?</v>
      </c>
      <c r="B513" s="100" t="e">
        <f ca="1">IFERROR(__xludf.DUMMYFUNCTION("""COMPUTED_VALUE"""),"stousdt")</f>
        <v>#NAME?</v>
      </c>
      <c r="C513" s="100" t="e">
        <f ca="1">IFERROR(__xludf.DUMMYFUNCTION("""COMPUTED_VALUE"""),"0.1086")</f>
        <v>#NAME?</v>
      </c>
      <c r="D513" s="100" t="e">
        <f t="shared" ca="1" si="73"/>
        <v>#NAME?</v>
      </c>
      <c r="E513" s="100" t="e">
        <f t="shared" ca="1" si="73"/>
        <v>#NAME?</v>
      </c>
      <c r="F513" s="100" t="e">
        <f t="shared" ca="1" si="65"/>
        <v>#NAME?</v>
      </c>
      <c r="G513" s="100" t="e">
        <f t="shared" ca="1" si="66"/>
        <v>#NAME?</v>
      </c>
      <c r="H513" s="100" t="e">
        <f t="shared" ca="1" si="67"/>
        <v>#NAME?</v>
      </c>
      <c r="I513" s="100" t="e">
        <f t="shared" ca="1" si="68"/>
        <v>#NAME?</v>
      </c>
      <c r="J513" s="100" t="e">
        <f t="shared" ca="1" si="69"/>
        <v>#NAME?</v>
      </c>
      <c r="K513" s="100" t="e">
        <f t="shared" ca="1" si="70"/>
        <v>#NAME?</v>
      </c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 spans="1:26">
      <c r="A514" s="100" t="e">
        <f ca="1">IFERROR(__xludf.DUMMYFUNCTION("""COMPUTED_VALUE"""),14520266)</f>
        <v>#NAME?</v>
      </c>
      <c r="B514" s="100" t="e">
        <f ca="1">IFERROR(__xludf.DUMMYFUNCTION("""COMPUTED_VALUE"""),"solvusdt")</f>
        <v>#NAME?</v>
      </c>
      <c r="C514" s="100" t="e">
        <f ca="1">IFERROR(__xludf.DUMMYFUNCTION("""COMPUTED_VALUE"""),"0.02712")</f>
        <v>#NAME?</v>
      </c>
      <c r="D514" s="100" t="e">
        <f t="shared" ca="1" si="73"/>
        <v>#NAME?</v>
      </c>
      <c r="E514" s="100" t="e">
        <f t="shared" ca="1" si="73"/>
        <v>#NAME?</v>
      </c>
      <c r="F514" s="100" t="e">
        <f t="shared" ref="F514:F577" ca="1" si="74">IFERROR(__xludf.DUMMYFUNCTION("""COMPUTED_VALUE"""),20200)</f>
        <v>#NAME?</v>
      </c>
      <c r="G514" s="100" t="e">
        <f t="shared" ref="G514:G577" ca="1" si="75">IFERROR(__xludf.DUMMYFUNCTION("""COMPUTED_VALUE"""),2885)</f>
        <v>#NAME?</v>
      </c>
      <c r="H514" s="100" t="e">
        <f t="shared" ref="H514:H577" ca="1" si="76">IFERROR(__xludf.DUMMYFUNCTION("""COMPUTED_VALUE"""),663)</f>
        <v>#NAME?</v>
      </c>
      <c r="I514" s="100" t="e">
        <f t="shared" ref="I514:I577" ca="1" si="77">IFERROR(__xludf.DUMMYFUNCTION("""COMPUTED_VALUE"""),5817721)</f>
        <v>#NAME?</v>
      </c>
      <c r="J514" s="100" t="e">
        <f t="shared" ref="J514:J577" ca="1" si="78">IFERROR(__xludf.DUMMYFUNCTION("""COMPUTED_VALUE"""),"-")</f>
        <v>#NAME?</v>
      </c>
      <c r="K514" s="100" t="e">
        <f t="shared" ref="K514:K577" ca="1" si="79">IFERROR(__xludf.DUMMYFUNCTION("""COMPUTED_VALUE"""),"22.04.2025 13:05:01")</f>
        <v>#NAME?</v>
      </c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 spans="1:26">
      <c r="A515" s="100" t="e">
        <f ca="1">IFERROR(__xludf.DUMMYFUNCTION("""COMPUTED_VALUE"""),14520267)</f>
        <v>#NAME?</v>
      </c>
      <c r="B515" s="100" t="e">
        <f ca="1">IFERROR(__xludf.DUMMYFUNCTION("""COMPUTED_VALUE"""),"usdcusdt")</f>
        <v>#NAME?</v>
      </c>
      <c r="C515" s="100" t="e">
        <f ca="1">IFERROR(__xludf.DUMMYFUNCTION("""COMPUTED_VALUE"""),"0.9999")</f>
        <v>#NAME?</v>
      </c>
      <c r="D515" s="100" t="e">
        <f t="shared" ca="1" si="73"/>
        <v>#NAME?</v>
      </c>
      <c r="E515" s="100" t="e">
        <f t="shared" ca="1" si="73"/>
        <v>#NAME?</v>
      </c>
      <c r="F515" s="100" t="e">
        <f t="shared" ca="1" si="74"/>
        <v>#NAME?</v>
      </c>
      <c r="G515" s="100" t="e">
        <f t="shared" ca="1" si="75"/>
        <v>#NAME?</v>
      </c>
      <c r="H515" s="100" t="e">
        <f t="shared" ca="1" si="76"/>
        <v>#NAME?</v>
      </c>
      <c r="I515" s="100" t="e">
        <f t="shared" ca="1" si="77"/>
        <v>#NAME?</v>
      </c>
      <c r="J515" s="100" t="e">
        <f t="shared" ca="1" si="78"/>
        <v>#NAME?</v>
      </c>
      <c r="K515" s="100" t="e">
        <f t="shared" ca="1" si="79"/>
        <v>#NAME?</v>
      </c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 spans="1:26">
      <c r="A516" s="100" t="e">
        <f ca="1">IFERROR(__xludf.DUMMYFUNCTION("""COMPUTED_VALUE"""),14520268)</f>
        <v>#NAME?</v>
      </c>
      <c r="B516" s="100" t="e">
        <f ca="1">IFERROR(__xludf.DUMMYFUNCTION("""COMPUTED_VALUE"""),"tracusdt")</f>
        <v>#NAME?</v>
      </c>
      <c r="C516" s="100" t="e">
        <f ca="1">IFERROR(__xludf.DUMMYFUNCTION("""COMPUTED_VALUE"""),"0.362")</f>
        <v>#NAME?</v>
      </c>
      <c r="D516" s="100" t="e">
        <f t="shared" ca="1" si="73"/>
        <v>#NAME?</v>
      </c>
      <c r="E516" s="100" t="e">
        <f t="shared" ca="1" si="73"/>
        <v>#NAME?</v>
      </c>
      <c r="F516" s="100" t="e">
        <f t="shared" ca="1" si="74"/>
        <v>#NAME?</v>
      </c>
      <c r="G516" s="100" t="e">
        <f t="shared" ca="1" si="75"/>
        <v>#NAME?</v>
      </c>
      <c r="H516" s="100" t="e">
        <f t="shared" ca="1" si="76"/>
        <v>#NAME?</v>
      </c>
      <c r="I516" s="100" t="e">
        <f t="shared" ca="1" si="77"/>
        <v>#NAME?</v>
      </c>
      <c r="J516" s="100" t="e">
        <f t="shared" ca="1" si="78"/>
        <v>#NAME?</v>
      </c>
      <c r="K516" s="100" t="e">
        <f t="shared" ca="1" si="79"/>
        <v>#NAME?</v>
      </c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 spans="1:26">
      <c r="A517" s="100" t="e">
        <f ca="1">IFERROR(__xludf.DUMMYFUNCTION("""COMPUTED_VALUE"""),14520269)</f>
        <v>#NAME?</v>
      </c>
      <c r="B517" s="100" t="e">
        <f ca="1">IFERROR(__xludf.DUMMYFUNCTION("""COMPUTED_VALUE"""),"gusdt")</f>
        <v>#NAME?</v>
      </c>
      <c r="C517" s="100" t="e">
        <f ca="1">IFERROR(__xludf.DUMMYFUNCTION("""COMPUTED_VALUE"""),"0.01395")</f>
        <v>#NAME?</v>
      </c>
      <c r="D517" s="100" t="e">
        <f t="shared" ca="1" si="73"/>
        <v>#NAME?</v>
      </c>
      <c r="E517" s="100" t="e">
        <f t="shared" ca="1" si="73"/>
        <v>#NAME?</v>
      </c>
      <c r="F517" s="100" t="e">
        <f t="shared" ca="1" si="74"/>
        <v>#NAME?</v>
      </c>
      <c r="G517" s="100" t="e">
        <f t="shared" ca="1" si="75"/>
        <v>#NAME?</v>
      </c>
      <c r="H517" s="100" t="e">
        <f t="shared" ca="1" si="76"/>
        <v>#NAME?</v>
      </c>
      <c r="I517" s="100" t="e">
        <f t="shared" ca="1" si="77"/>
        <v>#NAME?</v>
      </c>
      <c r="J517" s="100" t="e">
        <f t="shared" ca="1" si="78"/>
        <v>#NAME?</v>
      </c>
      <c r="K517" s="100" t="e">
        <f t="shared" ca="1" si="79"/>
        <v>#NAME?</v>
      </c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 spans="1:26">
      <c r="A518" s="100" t="e">
        <f ca="1">IFERROR(__xludf.DUMMYFUNCTION("""COMPUTED_VALUE"""),14520270)</f>
        <v>#NAME?</v>
      </c>
      <c r="B518" s="100" t="e">
        <f ca="1">IFERROR(__xludf.DUMMYFUNCTION("""COMPUTED_VALUE"""),"dkausdt")</f>
        <v>#NAME?</v>
      </c>
      <c r="C518" s="100" t="e">
        <f ca="1">IFERROR(__xludf.DUMMYFUNCTION("""COMPUTED_VALUE"""),"0.017513")</f>
        <v>#NAME?</v>
      </c>
      <c r="D518" s="100" t="e">
        <f t="shared" ca="1" si="73"/>
        <v>#NAME?</v>
      </c>
      <c r="E518" s="100" t="e">
        <f t="shared" ca="1" si="73"/>
        <v>#NAME?</v>
      </c>
      <c r="F518" s="100" t="e">
        <f t="shared" ca="1" si="74"/>
        <v>#NAME?</v>
      </c>
      <c r="G518" s="100" t="e">
        <f t="shared" ca="1" si="75"/>
        <v>#NAME?</v>
      </c>
      <c r="H518" s="100" t="e">
        <f t="shared" ca="1" si="76"/>
        <v>#NAME?</v>
      </c>
      <c r="I518" s="100" t="e">
        <f t="shared" ca="1" si="77"/>
        <v>#NAME?</v>
      </c>
      <c r="J518" s="100" t="e">
        <f t="shared" ca="1" si="78"/>
        <v>#NAME?</v>
      </c>
      <c r="K518" s="100" t="e">
        <f t="shared" ca="1" si="79"/>
        <v>#NAME?</v>
      </c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 spans="1:26">
      <c r="A519" s="100" t="e">
        <f ca="1">IFERROR(__xludf.DUMMYFUNCTION("""COMPUTED_VALUE"""),14520271)</f>
        <v>#NAME?</v>
      </c>
      <c r="B519" s="100" t="e">
        <f ca="1">IFERROR(__xludf.DUMMYFUNCTION("""COMPUTED_VALUE"""),"sbdusdt")</f>
        <v>#NAME?</v>
      </c>
      <c r="C519" s="100" t="e">
        <f ca="1">IFERROR(__xludf.DUMMYFUNCTION("""COMPUTED_VALUE"""),"0.7978")</f>
        <v>#NAME?</v>
      </c>
      <c r="D519" s="100" t="e">
        <f t="shared" ca="1" si="73"/>
        <v>#NAME?</v>
      </c>
      <c r="E519" s="100" t="e">
        <f t="shared" ca="1" si="73"/>
        <v>#NAME?</v>
      </c>
      <c r="F519" s="100" t="e">
        <f t="shared" ca="1" si="74"/>
        <v>#NAME?</v>
      </c>
      <c r="G519" s="100" t="e">
        <f t="shared" ca="1" si="75"/>
        <v>#NAME?</v>
      </c>
      <c r="H519" s="100" t="e">
        <f t="shared" ca="1" si="76"/>
        <v>#NAME?</v>
      </c>
      <c r="I519" s="100" t="e">
        <f t="shared" ca="1" si="77"/>
        <v>#NAME?</v>
      </c>
      <c r="J519" s="100" t="e">
        <f t="shared" ca="1" si="78"/>
        <v>#NAME?</v>
      </c>
      <c r="K519" s="100" t="e">
        <f t="shared" ca="1" si="79"/>
        <v>#NAME?</v>
      </c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 spans="1:26">
      <c r="A520" s="100" t="e">
        <f ca="1">IFERROR(__xludf.DUMMYFUNCTION("""COMPUTED_VALUE"""),14520272)</f>
        <v>#NAME?</v>
      </c>
      <c r="B520" s="100" t="e">
        <f ca="1">IFERROR(__xludf.DUMMYFUNCTION("""COMPUTED_VALUE"""),"renderusdt")</f>
        <v>#NAME?</v>
      </c>
      <c r="C520" s="100" t="e">
        <f ca="1">IFERROR(__xludf.DUMMYFUNCTION("""COMPUTED_VALUE"""),"4.3868")</f>
        <v>#NAME?</v>
      </c>
      <c r="D520" s="100" t="e">
        <f t="shared" ca="1" si="73"/>
        <v>#NAME?</v>
      </c>
      <c r="E520" s="100" t="e">
        <f t="shared" ca="1" si="73"/>
        <v>#NAME?</v>
      </c>
      <c r="F520" s="100" t="e">
        <f t="shared" ca="1" si="74"/>
        <v>#NAME?</v>
      </c>
      <c r="G520" s="100" t="e">
        <f t="shared" ca="1" si="75"/>
        <v>#NAME?</v>
      </c>
      <c r="H520" s="100" t="e">
        <f t="shared" ca="1" si="76"/>
        <v>#NAME?</v>
      </c>
      <c r="I520" s="100" t="e">
        <f t="shared" ca="1" si="77"/>
        <v>#NAME?</v>
      </c>
      <c r="J520" s="100" t="e">
        <f t="shared" ca="1" si="78"/>
        <v>#NAME?</v>
      </c>
      <c r="K520" s="100" t="e">
        <f t="shared" ca="1" si="79"/>
        <v>#NAME?</v>
      </c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 spans="1:26">
      <c r="A521" s="100" t="e">
        <f ca="1">IFERROR(__xludf.DUMMYFUNCTION("""COMPUTED_VALUE"""),14520273)</f>
        <v>#NAME?</v>
      </c>
      <c r="B521" s="100" t="e">
        <f ca="1">IFERROR(__xludf.DUMMYFUNCTION("""COMPUTED_VALUE"""),"ontusdt")</f>
        <v>#NAME?</v>
      </c>
      <c r="C521" s="100" t="e">
        <f ca="1">IFERROR(__xludf.DUMMYFUNCTION("""COMPUTED_VALUE"""),"0.1439")</f>
        <v>#NAME?</v>
      </c>
      <c r="D521" s="100" t="e">
        <f t="shared" ca="1" si="73"/>
        <v>#NAME?</v>
      </c>
      <c r="E521" s="100" t="e">
        <f t="shared" ca="1" si="73"/>
        <v>#NAME?</v>
      </c>
      <c r="F521" s="100" t="e">
        <f t="shared" ca="1" si="74"/>
        <v>#NAME?</v>
      </c>
      <c r="G521" s="100" t="e">
        <f t="shared" ca="1" si="75"/>
        <v>#NAME?</v>
      </c>
      <c r="H521" s="100" t="e">
        <f t="shared" ca="1" si="76"/>
        <v>#NAME?</v>
      </c>
      <c r="I521" s="100" t="e">
        <f t="shared" ca="1" si="77"/>
        <v>#NAME?</v>
      </c>
      <c r="J521" s="100" t="e">
        <f t="shared" ca="1" si="78"/>
        <v>#NAME?</v>
      </c>
      <c r="K521" s="100" t="e">
        <f t="shared" ca="1" si="79"/>
        <v>#NAME?</v>
      </c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 spans="1:26">
      <c r="A522" s="100" t="e">
        <f ca="1">IFERROR(__xludf.DUMMYFUNCTION("""COMPUTED_VALUE"""),14520274)</f>
        <v>#NAME?</v>
      </c>
      <c r="B522" s="100" t="e">
        <f ca="1">IFERROR(__xludf.DUMMYFUNCTION("""COMPUTED_VALUE"""),"ctrlusdt")</f>
        <v>#NAME?</v>
      </c>
      <c r="C522" s="100" t="e">
        <f ca="1">IFERROR(__xludf.DUMMYFUNCTION("""COMPUTED_VALUE"""),"0.00871")</f>
        <v>#NAME?</v>
      </c>
      <c r="D522" s="100" t="e">
        <f t="shared" ref="D522:E541" ca="1" si="80">IFERROR(__xludf.DUMMYFUNCTION("""COMPUTED_VALUE"""),"-")</f>
        <v>#NAME?</v>
      </c>
      <c r="E522" s="100" t="e">
        <f t="shared" ca="1" si="80"/>
        <v>#NAME?</v>
      </c>
      <c r="F522" s="100" t="e">
        <f t="shared" ca="1" si="74"/>
        <v>#NAME?</v>
      </c>
      <c r="G522" s="100" t="e">
        <f t="shared" ca="1" si="75"/>
        <v>#NAME?</v>
      </c>
      <c r="H522" s="100" t="e">
        <f t="shared" ca="1" si="76"/>
        <v>#NAME?</v>
      </c>
      <c r="I522" s="100" t="e">
        <f t="shared" ca="1" si="77"/>
        <v>#NAME?</v>
      </c>
      <c r="J522" s="100" t="e">
        <f t="shared" ca="1" si="78"/>
        <v>#NAME?</v>
      </c>
      <c r="K522" s="100" t="e">
        <f t="shared" ca="1" si="79"/>
        <v>#NAME?</v>
      </c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 spans="1:26">
      <c r="A523" s="100" t="e">
        <f ca="1">IFERROR(__xludf.DUMMYFUNCTION("""COMPUTED_VALUE"""),14520275)</f>
        <v>#NAME?</v>
      </c>
      <c r="B523" s="100" t="e">
        <f ca="1">IFERROR(__xludf.DUMMYFUNCTION("""COMPUTED_VALUE"""),"kanusdt")</f>
        <v>#NAME?</v>
      </c>
      <c r="C523" s="100" t="e">
        <f ca="1">IFERROR(__xludf.DUMMYFUNCTION("""COMPUTED_VALUE"""),"0.000775")</f>
        <v>#NAME?</v>
      </c>
      <c r="D523" s="100" t="e">
        <f t="shared" ca="1" si="80"/>
        <v>#NAME?</v>
      </c>
      <c r="E523" s="100" t="e">
        <f t="shared" ca="1" si="80"/>
        <v>#NAME?</v>
      </c>
      <c r="F523" s="100" t="e">
        <f t="shared" ca="1" si="74"/>
        <v>#NAME?</v>
      </c>
      <c r="G523" s="100" t="e">
        <f t="shared" ca="1" si="75"/>
        <v>#NAME?</v>
      </c>
      <c r="H523" s="100" t="e">
        <f t="shared" ca="1" si="76"/>
        <v>#NAME?</v>
      </c>
      <c r="I523" s="100" t="e">
        <f t="shared" ca="1" si="77"/>
        <v>#NAME?</v>
      </c>
      <c r="J523" s="100" t="e">
        <f t="shared" ca="1" si="78"/>
        <v>#NAME?</v>
      </c>
      <c r="K523" s="100" t="e">
        <f t="shared" ca="1" si="79"/>
        <v>#NAME?</v>
      </c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 spans="1:26">
      <c r="A524" s="100" t="e">
        <f ca="1">IFERROR(__xludf.DUMMYFUNCTION("""COMPUTED_VALUE"""),14520276)</f>
        <v>#NAME?</v>
      </c>
      <c r="B524" s="100" t="e">
        <f ca="1">IFERROR(__xludf.DUMMYFUNCTION("""COMPUTED_VALUE"""),"safeusdt")</f>
        <v>#NAME?</v>
      </c>
      <c r="C524" s="100" t="e">
        <f ca="1">IFERROR(__xludf.DUMMYFUNCTION("""COMPUTED_VALUE"""),"0.4163")</f>
        <v>#NAME?</v>
      </c>
      <c r="D524" s="100" t="e">
        <f t="shared" ca="1" si="80"/>
        <v>#NAME?</v>
      </c>
      <c r="E524" s="100" t="e">
        <f t="shared" ca="1" si="80"/>
        <v>#NAME?</v>
      </c>
      <c r="F524" s="100" t="e">
        <f t="shared" ca="1" si="74"/>
        <v>#NAME?</v>
      </c>
      <c r="G524" s="100" t="e">
        <f t="shared" ca="1" si="75"/>
        <v>#NAME?</v>
      </c>
      <c r="H524" s="100" t="e">
        <f t="shared" ca="1" si="76"/>
        <v>#NAME?</v>
      </c>
      <c r="I524" s="100" t="e">
        <f t="shared" ca="1" si="77"/>
        <v>#NAME?</v>
      </c>
      <c r="J524" s="100" t="e">
        <f t="shared" ca="1" si="78"/>
        <v>#NAME?</v>
      </c>
      <c r="K524" s="100" t="e">
        <f t="shared" ca="1" si="79"/>
        <v>#NAME?</v>
      </c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 spans="1:26">
      <c r="A525" s="100" t="e">
        <f ca="1">IFERROR(__xludf.DUMMYFUNCTION("""COMPUTED_VALUE"""),14520277)</f>
        <v>#NAME?</v>
      </c>
      <c r="B525" s="100" t="e">
        <f ca="1">IFERROR(__xludf.DUMMYFUNCTION("""COMPUTED_VALUE"""),"wifusdt")</f>
        <v>#NAME?</v>
      </c>
      <c r="C525" s="100" t="e">
        <f ca="1">IFERROR(__xludf.DUMMYFUNCTION("""COMPUTED_VALUE"""),"0.4356")</f>
        <v>#NAME?</v>
      </c>
      <c r="D525" s="100" t="e">
        <f t="shared" ca="1" si="80"/>
        <v>#NAME?</v>
      </c>
      <c r="E525" s="100" t="e">
        <f t="shared" ca="1" si="80"/>
        <v>#NAME?</v>
      </c>
      <c r="F525" s="100" t="e">
        <f t="shared" ca="1" si="74"/>
        <v>#NAME?</v>
      </c>
      <c r="G525" s="100" t="e">
        <f t="shared" ca="1" si="75"/>
        <v>#NAME?</v>
      </c>
      <c r="H525" s="100" t="e">
        <f t="shared" ca="1" si="76"/>
        <v>#NAME?</v>
      </c>
      <c r="I525" s="100" t="e">
        <f t="shared" ca="1" si="77"/>
        <v>#NAME?</v>
      </c>
      <c r="J525" s="100" t="e">
        <f t="shared" ca="1" si="78"/>
        <v>#NAME?</v>
      </c>
      <c r="K525" s="100" t="e">
        <f t="shared" ca="1" si="79"/>
        <v>#NAME?</v>
      </c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 spans="1:26">
      <c r="A526" s="100" t="e">
        <f ca="1">IFERROR(__xludf.DUMMYFUNCTION("""COMPUTED_VALUE"""),14520278)</f>
        <v>#NAME?</v>
      </c>
      <c r="B526" s="100" t="e">
        <f ca="1">IFERROR(__xludf.DUMMYFUNCTION("""COMPUTED_VALUE"""),"neiroctousdt")</f>
        <v>#NAME?</v>
      </c>
      <c r="C526" s="100" t="e">
        <f ca="1">IFERROR(__xludf.DUMMYFUNCTION("""COMPUTED_VALUE"""),"0.00019203")</f>
        <v>#NAME?</v>
      </c>
      <c r="D526" s="100" t="e">
        <f t="shared" ca="1" si="80"/>
        <v>#NAME?</v>
      </c>
      <c r="E526" s="100" t="e">
        <f t="shared" ca="1" si="80"/>
        <v>#NAME?</v>
      </c>
      <c r="F526" s="100" t="e">
        <f t="shared" ca="1" si="74"/>
        <v>#NAME?</v>
      </c>
      <c r="G526" s="100" t="e">
        <f t="shared" ca="1" si="75"/>
        <v>#NAME?</v>
      </c>
      <c r="H526" s="100" t="e">
        <f t="shared" ca="1" si="76"/>
        <v>#NAME?</v>
      </c>
      <c r="I526" s="100" t="e">
        <f t="shared" ca="1" si="77"/>
        <v>#NAME?</v>
      </c>
      <c r="J526" s="100" t="e">
        <f t="shared" ca="1" si="78"/>
        <v>#NAME?</v>
      </c>
      <c r="K526" s="100" t="e">
        <f t="shared" ca="1" si="79"/>
        <v>#NAME?</v>
      </c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 spans="1:26">
      <c r="A527" s="100" t="e">
        <f ca="1">IFERROR(__xludf.DUMMYFUNCTION("""COMPUTED_VALUE"""),14520279)</f>
        <v>#NAME?</v>
      </c>
      <c r="B527" s="100" t="e">
        <f ca="1">IFERROR(__xludf.DUMMYFUNCTION("""COMPUTED_VALUE"""),"wxtusdt")</f>
        <v>#NAME?</v>
      </c>
      <c r="C527" s="100" t="e">
        <f ca="1">IFERROR(__xludf.DUMMYFUNCTION("""COMPUTED_VALUE"""),"0.00214")</f>
        <v>#NAME?</v>
      </c>
      <c r="D527" s="100" t="e">
        <f t="shared" ca="1" si="80"/>
        <v>#NAME?</v>
      </c>
      <c r="E527" s="100" t="e">
        <f t="shared" ca="1" si="80"/>
        <v>#NAME?</v>
      </c>
      <c r="F527" s="100" t="e">
        <f t="shared" ca="1" si="74"/>
        <v>#NAME?</v>
      </c>
      <c r="G527" s="100" t="e">
        <f t="shared" ca="1" si="75"/>
        <v>#NAME?</v>
      </c>
      <c r="H527" s="100" t="e">
        <f t="shared" ca="1" si="76"/>
        <v>#NAME?</v>
      </c>
      <c r="I527" s="100" t="e">
        <f t="shared" ca="1" si="77"/>
        <v>#NAME?</v>
      </c>
      <c r="J527" s="100" t="e">
        <f t="shared" ca="1" si="78"/>
        <v>#NAME?</v>
      </c>
      <c r="K527" s="100" t="e">
        <f t="shared" ca="1" si="79"/>
        <v>#NAME?</v>
      </c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 spans="1:26">
      <c r="A528" s="100" t="e">
        <f ca="1">IFERROR(__xludf.DUMMYFUNCTION("""COMPUTED_VALUE"""),14520280)</f>
        <v>#NAME?</v>
      </c>
      <c r="B528" s="100" t="e">
        <f ca="1">IFERROR(__xludf.DUMMYFUNCTION("""COMPUTED_VALUE"""),"obtusdt")</f>
        <v>#NAME?</v>
      </c>
      <c r="C528" s="100" t="e">
        <f ca="1">IFERROR(__xludf.DUMMYFUNCTION("""COMPUTED_VALUE"""),"0.01348")</f>
        <v>#NAME?</v>
      </c>
      <c r="D528" s="100" t="e">
        <f t="shared" ca="1" si="80"/>
        <v>#NAME?</v>
      </c>
      <c r="E528" s="100" t="e">
        <f t="shared" ca="1" si="80"/>
        <v>#NAME?</v>
      </c>
      <c r="F528" s="100" t="e">
        <f t="shared" ca="1" si="74"/>
        <v>#NAME?</v>
      </c>
      <c r="G528" s="100" t="e">
        <f t="shared" ca="1" si="75"/>
        <v>#NAME?</v>
      </c>
      <c r="H528" s="100" t="e">
        <f t="shared" ca="1" si="76"/>
        <v>#NAME?</v>
      </c>
      <c r="I528" s="100" t="e">
        <f t="shared" ca="1" si="77"/>
        <v>#NAME?</v>
      </c>
      <c r="J528" s="100" t="e">
        <f t="shared" ca="1" si="78"/>
        <v>#NAME?</v>
      </c>
      <c r="K528" s="100" t="e">
        <f t="shared" ca="1" si="79"/>
        <v>#NAME?</v>
      </c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 spans="1:26">
      <c r="A529" s="100" t="e">
        <f ca="1">IFERROR(__xludf.DUMMYFUNCTION("""COMPUTED_VALUE"""),14520281)</f>
        <v>#NAME?</v>
      </c>
      <c r="B529" s="100" t="e">
        <f ca="1">IFERROR(__xludf.DUMMYFUNCTION("""COMPUTED_VALUE"""),"buzzusdt")</f>
        <v>#NAME?</v>
      </c>
      <c r="C529" s="100" t="e">
        <f ca="1">IFERROR(__xludf.DUMMYFUNCTION("""COMPUTED_VALUE"""),"0.00627")</f>
        <v>#NAME?</v>
      </c>
      <c r="D529" s="100" t="e">
        <f t="shared" ca="1" si="80"/>
        <v>#NAME?</v>
      </c>
      <c r="E529" s="100" t="e">
        <f t="shared" ca="1" si="80"/>
        <v>#NAME?</v>
      </c>
      <c r="F529" s="100" t="e">
        <f t="shared" ca="1" si="74"/>
        <v>#NAME?</v>
      </c>
      <c r="G529" s="100" t="e">
        <f t="shared" ca="1" si="75"/>
        <v>#NAME?</v>
      </c>
      <c r="H529" s="100" t="e">
        <f t="shared" ca="1" si="76"/>
        <v>#NAME?</v>
      </c>
      <c r="I529" s="100" t="e">
        <f t="shared" ca="1" si="77"/>
        <v>#NAME?</v>
      </c>
      <c r="J529" s="100" t="e">
        <f t="shared" ca="1" si="78"/>
        <v>#NAME?</v>
      </c>
      <c r="K529" s="100" t="e">
        <f t="shared" ca="1" si="79"/>
        <v>#NAME?</v>
      </c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 spans="1:26">
      <c r="A530" s="100" t="e">
        <f ca="1">IFERROR(__xludf.DUMMYFUNCTION("""COMPUTED_VALUE"""),14520282)</f>
        <v>#NAME?</v>
      </c>
      <c r="B530" s="100" t="e">
        <f ca="1">IFERROR(__xludf.DUMMYFUNCTION("""COMPUTED_VALUE"""),"swftcbtc")</f>
        <v>#NAME?</v>
      </c>
      <c r="C530" s="100" t="e">
        <f ca="1">IFERROR(__xludf.DUMMYFUNCTION("""COMPUTED_VALUE"""),"1.4328e-07")</f>
        <v>#NAME?</v>
      </c>
      <c r="D530" s="100" t="e">
        <f t="shared" ca="1" si="80"/>
        <v>#NAME?</v>
      </c>
      <c r="E530" s="100" t="e">
        <f t="shared" ca="1" si="80"/>
        <v>#NAME?</v>
      </c>
      <c r="F530" s="100" t="e">
        <f t="shared" ca="1" si="74"/>
        <v>#NAME?</v>
      </c>
      <c r="G530" s="100" t="e">
        <f t="shared" ca="1" si="75"/>
        <v>#NAME?</v>
      </c>
      <c r="H530" s="100" t="e">
        <f t="shared" ca="1" si="76"/>
        <v>#NAME?</v>
      </c>
      <c r="I530" s="100" t="e">
        <f t="shared" ca="1" si="77"/>
        <v>#NAME?</v>
      </c>
      <c r="J530" s="100" t="e">
        <f t="shared" ca="1" si="78"/>
        <v>#NAME?</v>
      </c>
      <c r="K530" s="100" t="e">
        <f t="shared" ca="1" si="79"/>
        <v>#NAME?</v>
      </c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 spans="1:26">
      <c r="A531" s="100" t="e">
        <f ca="1">IFERROR(__xludf.DUMMYFUNCTION("""COMPUTED_VALUE"""),14520283)</f>
        <v>#NAME?</v>
      </c>
      <c r="B531" s="100" t="e">
        <f ca="1">IFERROR(__xludf.DUMMYFUNCTION("""COMPUTED_VALUE"""),"rootusdt")</f>
        <v>#NAME?</v>
      </c>
      <c r="C531" s="100" t="e">
        <f ca="1">IFERROR(__xludf.DUMMYFUNCTION("""COMPUTED_VALUE"""),"0.00588")</f>
        <v>#NAME?</v>
      </c>
      <c r="D531" s="100" t="e">
        <f t="shared" ca="1" si="80"/>
        <v>#NAME?</v>
      </c>
      <c r="E531" s="100" t="e">
        <f t="shared" ca="1" si="80"/>
        <v>#NAME?</v>
      </c>
      <c r="F531" s="100" t="e">
        <f t="shared" ca="1" si="74"/>
        <v>#NAME?</v>
      </c>
      <c r="G531" s="100" t="e">
        <f t="shared" ca="1" si="75"/>
        <v>#NAME?</v>
      </c>
      <c r="H531" s="100" t="e">
        <f t="shared" ca="1" si="76"/>
        <v>#NAME?</v>
      </c>
      <c r="I531" s="100" t="e">
        <f t="shared" ca="1" si="77"/>
        <v>#NAME?</v>
      </c>
      <c r="J531" s="100" t="e">
        <f t="shared" ca="1" si="78"/>
        <v>#NAME?</v>
      </c>
      <c r="K531" s="100" t="e">
        <f t="shared" ca="1" si="79"/>
        <v>#NAME?</v>
      </c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 spans="1:26">
      <c r="A532" s="100" t="e">
        <f ca="1">IFERROR(__xludf.DUMMYFUNCTION("""COMPUTED_VALUE"""),14520284)</f>
        <v>#NAME?</v>
      </c>
      <c r="B532" s="100" t="e">
        <f ca="1">IFERROR(__xludf.DUMMYFUNCTION("""COMPUTED_VALUE"""),"pundixusdt")</f>
        <v>#NAME?</v>
      </c>
      <c r="C532" s="100" t="e">
        <f ca="1">IFERROR(__xludf.DUMMYFUNCTION("""COMPUTED_VALUE"""),"0.2871")</f>
        <v>#NAME?</v>
      </c>
      <c r="D532" s="100" t="e">
        <f t="shared" ca="1" si="80"/>
        <v>#NAME?</v>
      </c>
      <c r="E532" s="100" t="e">
        <f t="shared" ca="1" si="80"/>
        <v>#NAME?</v>
      </c>
      <c r="F532" s="100" t="e">
        <f t="shared" ca="1" si="74"/>
        <v>#NAME?</v>
      </c>
      <c r="G532" s="100" t="e">
        <f t="shared" ca="1" si="75"/>
        <v>#NAME?</v>
      </c>
      <c r="H532" s="100" t="e">
        <f t="shared" ca="1" si="76"/>
        <v>#NAME?</v>
      </c>
      <c r="I532" s="100" t="e">
        <f t="shared" ca="1" si="77"/>
        <v>#NAME?</v>
      </c>
      <c r="J532" s="100" t="e">
        <f t="shared" ca="1" si="78"/>
        <v>#NAME?</v>
      </c>
      <c r="K532" s="100" t="e">
        <f t="shared" ca="1" si="79"/>
        <v>#NAME?</v>
      </c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 spans="1:26">
      <c r="A533" s="100" t="e">
        <f ca="1">IFERROR(__xludf.DUMMYFUNCTION("""COMPUTED_VALUE"""),14520285)</f>
        <v>#NAME?</v>
      </c>
      <c r="B533" s="100" t="e">
        <f ca="1">IFERROR(__xludf.DUMMYFUNCTION("""COMPUTED_VALUE"""),"trollusdt")</f>
        <v>#NAME?</v>
      </c>
      <c r="C533" s="100" t="e">
        <f ca="1">IFERROR(__xludf.DUMMYFUNCTION("""COMPUTED_VALUE"""),"4.19e-09")</f>
        <v>#NAME?</v>
      </c>
      <c r="D533" s="100" t="e">
        <f t="shared" ca="1" si="80"/>
        <v>#NAME?</v>
      </c>
      <c r="E533" s="100" t="e">
        <f t="shared" ca="1" si="80"/>
        <v>#NAME?</v>
      </c>
      <c r="F533" s="100" t="e">
        <f t="shared" ca="1" si="74"/>
        <v>#NAME?</v>
      </c>
      <c r="G533" s="100" t="e">
        <f t="shared" ca="1" si="75"/>
        <v>#NAME?</v>
      </c>
      <c r="H533" s="100" t="e">
        <f t="shared" ca="1" si="76"/>
        <v>#NAME?</v>
      </c>
      <c r="I533" s="100" t="e">
        <f t="shared" ca="1" si="77"/>
        <v>#NAME?</v>
      </c>
      <c r="J533" s="100" t="e">
        <f t="shared" ca="1" si="78"/>
        <v>#NAME?</v>
      </c>
      <c r="K533" s="100" t="e">
        <f t="shared" ca="1" si="79"/>
        <v>#NAME?</v>
      </c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 spans="1:26">
      <c r="A534" s="100" t="e">
        <f ca="1">IFERROR(__xludf.DUMMYFUNCTION("""COMPUTED_VALUE"""),14520286)</f>
        <v>#NAME?</v>
      </c>
      <c r="B534" s="100" t="e">
        <f ca="1">IFERROR(__xludf.DUMMYFUNCTION("""COMPUTED_VALUE"""),"sncbtc")</f>
        <v>#NAME?</v>
      </c>
      <c r="C534" s="100" t="e">
        <f ca="1">IFERROR(__xludf.DUMMYFUNCTION("""COMPUTED_VALUE"""),"3.69e-07")</f>
        <v>#NAME?</v>
      </c>
      <c r="D534" s="100" t="e">
        <f t="shared" ca="1" si="80"/>
        <v>#NAME?</v>
      </c>
      <c r="E534" s="100" t="e">
        <f t="shared" ca="1" si="80"/>
        <v>#NAME?</v>
      </c>
      <c r="F534" s="100" t="e">
        <f t="shared" ca="1" si="74"/>
        <v>#NAME?</v>
      </c>
      <c r="G534" s="100" t="e">
        <f t="shared" ca="1" si="75"/>
        <v>#NAME?</v>
      </c>
      <c r="H534" s="100" t="e">
        <f t="shared" ca="1" si="76"/>
        <v>#NAME?</v>
      </c>
      <c r="I534" s="100" t="e">
        <f t="shared" ca="1" si="77"/>
        <v>#NAME?</v>
      </c>
      <c r="J534" s="100" t="e">
        <f t="shared" ca="1" si="78"/>
        <v>#NAME?</v>
      </c>
      <c r="K534" s="100" t="e">
        <f t="shared" ca="1" si="79"/>
        <v>#NAME?</v>
      </c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 spans="1:26">
      <c r="A535" s="100" t="e">
        <f ca="1">IFERROR(__xludf.DUMMYFUNCTION("""COMPUTED_VALUE"""),14520287)</f>
        <v>#NAME?</v>
      </c>
      <c r="B535" s="100" t="e">
        <f ca="1">IFERROR(__xludf.DUMMYFUNCTION("""COMPUTED_VALUE"""),"plumeusdt")</f>
        <v>#NAME?</v>
      </c>
      <c r="C535" s="100" t="e">
        <f ca="1">IFERROR(__xludf.DUMMYFUNCTION("""COMPUTED_VALUE"""),"0.16999")</f>
        <v>#NAME?</v>
      </c>
      <c r="D535" s="100" t="e">
        <f t="shared" ca="1" si="80"/>
        <v>#NAME?</v>
      </c>
      <c r="E535" s="100" t="e">
        <f t="shared" ca="1" si="80"/>
        <v>#NAME?</v>
      </c>
      <c r="F535" s="100" t="e">
        <f t="shared" ca="1" si="74"/>
        <v>#NAME?</v>
      </c>
      <c r="G535" s="100" t="e">
        <f t="shared" ca="1" si="75"/>
        <v>#NAME?</v>
      </c>
      <c r="H535" s="100" t="e">
        <f t="shared" ca="1" si="76"/>
        <v>#NAME?</v>
      </c>
      <c r="I535" s="100" t="e">
        <f t="shared" ca="1" si="77"/>
        <v>#NAME?</v>
      </c>
      <c r="J535" s="100" t="e">
        <f t="shared" ca="1" si="78"/>
        <v>#NAME?</v>
      </c>
      <c r="K535" s="100" t="e">
        <f t="shared" ca="1" si="79"/>
        <v>#NAME?</v>
      </c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 spans="1:26">
      <c r="A536" s="100" t="e">
        <f ca="1">IFERROR(__xludf.DUMMYFUNCTION("""COMPUTED_VALUE"""),14520288)</f>
        <v>#NAME?</v>
      </c>
      <c r="B536" s="100" t="e">
        <f ca="1">IFERROR(__xludf.DUMMYFUNCTION("""COMPUTED_VALUE"""),"wstusdtusdt")</f>
        <v>#NAME?</v>
      </c>
      <c r="C536" s="100" t="e">
        <f ca="1">IFERROR(__xludf.DUMMYFUNCTION("""COMPUTED_VALUE"""),"1.068024")</f>
        <v>#NAME?</v>
      </c>
      <c r="D536" s="100" t="e">
        <f t="shared" ca="1" si="80"/>
        <v>#NAME?</v>
      </c>
      <c r="E536" s="100" t="e">
        <f t="shared" ca="1" si="80"/>
        <v>#NAME?</v>
      </c>
      <c r="F536" s="100" t="e">
        <f t="shared" ca="1" si="74"/>
        <v>#NAME?</v>
      </c>
      <c r="G536" s="100" t="e">
        <f t="shared" ca="1" si="75"/>
        <v>#NAME?</v>
      </c>
      <c r="H536" s="100" t="e">
        <f t="shared" ca="1" si="76"/>
        <v>#NAME?</v>
      </c>
      <c r="I536" s="100" t="e">
        <f t="shared" ca="1" si="77"/>
        <v>#NAME?</v>
      </c>
      <c r="J536" s="100" t="e">
        <f t="shared" ca="1" si="78"/>
        <v>#NAME?</v>
      </c>
      <c r="K536" s="100" t="e">
        <f t="shared" ca="1" si="79"/>
        <v>#NAME?</v>
      </c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 spans="1:26">
      <c r="A537" s="100" t="e">
        <f ca="1">IFERROR(__xludf.DUMMYFUNCTION("""COMPUTED_VALUE"""),14520289)</f>
        <v>#NAME?</v>
      </c>
      <c r="B537" s="100" t="e">
        <f ca="1">IFERROR(__xludf.DUMMYFUNCTION("""COMPUTED_VALUE"""),"iceusdt")</f>
        <v>#NAME?</v>
      </c>
      <c r="C537" s="100" t="e">
        <f ca="1">IFERROR(__xludf.DUMMYFUNCTION("""COMPUTED_VALUE"""),"0.004345")</f>
        <v>#NAME?</v>
      </c>
      <c r="D537" s="100" t="e">
        <f t="shared" ca="1" si="80"/>
        <v>#NAME?</v>
      </c>
      <c r="E537" s="100" t="e">
        <f t="shared" ca="1" si="80"/>
        <v>#NAME?</v>
      </c>
      <c r="F537" s="100" t="e">
        <f t="shared" ca="1" si="74"/>
        <v>#NAME?</v>
      </c>
      <c r="G537" s="100" t="e">
        <f t="shared" ca="1" si="75"/>
        <v>#NAME?</v>
      </c>
      <c r="H537" s="100" t="e">
        <f t="shared" ca="1" si="76"/>
        <v>#NAME?</v>
      </c>
      <c r="I537" s="100" t="e">
        <f t="shared" ca="1" si="77"/>
        <v>#NAME?</v>
      </c>
      <c r="J537" s="100" t="e">
        <f t="shared" ca="1" si="78"/>
        <v>#NAME?</v>
      </c>
      <c r="K537" s="100" t="e">
        <f t="shared" ca="1" si="79"/>
        <v>#NAME?</v>
      </c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 spans="1:26">
      <c r="A538" s="100" t="e">
        <f ca="1">IFERROR(__xludf.DUMMYFUNCTION("""COMPUTED_VALUE"""),14520290)</f>
        <v>#NAME?</v>
      </c>
      <c r="B538" s="100" t="e">
        <f ca="1">IFERROR(__xludf.DUMMYFUNCTION("""COMPUTED_VALUE"""),"gqusdt")</f>
        <v>#NAME?</v>
      </c>
      <c r="C538" s="100" t="e">
        <f ca="1">IFERROR(__xludf.DUMMYFUNCTION("""COMPUTED_VALUE"""),"0.000117")</f>
        <v>#NAME?</v>
      </c>
      <c r="D538" s="100" t="e">
        <f t="shared" ca="1" si="80"/>
        <v>#NAME?</v>
      </c>
      <c r="E538" s="100" t="e">
        <f t="shared" ca="1" si="80"/>
        <v>#NAME?</v>
      </c>
      <c r="F538" s="100" t="e">
        <f t="shared" ca="1" si="74"/>
        <v>#NAME?</v>
      </c>
      <c r="G538" s="100" t="e">
        <f t="shared" ca="1" si="75"/>
        <v>#NAME?</v>
      </c>
      <c r="H538" s="100" t="e">
        <f t="shared" ca="1" si="76"/>
        <v>#NAME?</v>
      </c>
      <c r="I538" s="100" t="e">
        <f t="shared" ca="1" si="77"/>
        <v>#NAME?</v>
      </c>
      <c r="J538" s="100" t="e">
        <f t="shared" ca="1" si="78"/>
        <v>#NAME?</v>
      </c>
      <c r="K538" s="100" t="e">
        <f t="shared" ca="1" si="79"/>
        <v>#NAME?</v>
      </c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 spans="1:26">
      <c r="A539" s="100" t="e">
        <f ca="1">IFERROR(__xludf.DUMMYFUNCTION("""COMPUTED_VALUE"""),14520291)</f>
        <v>#NAME?</v>
      </c>
      <c r="B539" s="100" t="e">
        <f ca="1">IFERROR(__xludf.DUMMYFUNCTION("""COMPUTED_VALUE"""),"xrpusdt")</f>
        <v>#NAME?</v>
      </c>
      <c r="C539" s="100" t="e">
        <f ca="1">IFERROR(__xludf.DUMMYFUNCTION("""COMPUTED_VALUE"""),"2.10452")</f>
        <v>#NAME?</v>
      </c>
      <c r="D539" s="100" t="e">
        <f t="shared" ca="1" si="80"/>
        <v>#NAME?</v>
      </c>
      <c r="E539" s="100" t="e">
        <f t="shared" ca="1" si="80"/>
        <v>#NAME?</v>
      </c>
      <c r="F539" s="100" t="e">
        <f t="shared" ca="1" si="74"/>
        <v>#NAME?</v>
      </c>
      <c r="G539" s="100" t="e">
        <f t="shared" ca="1" si="75"/>
        <v>#NAME?</v>
      </c>
      <c r="H539" s="100" t="e">
        <f t="shared" ca="1" si="76"/>
        <v>#NAME?</v>
      </c>
      <c r="I539" s="100" t="e">
        <f t="shared" ca="1" si="77"/>
        <v>#NAME?</v>
      </c>
      <c r="J539" s="100" t="e">
        <f t="shared" ca="1" si="78"/>
        <v>#NAME?</v>
      </c>
      <c r="K539" s="100" t="e">
        <f t="shared" ca="1" si="79"/>
        <v>#NAME?</v>
      </c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 spans="1:26">
      <c r="A540" s="100" t="e">
        <f ca="1">IFERROR(__xludf.DUMMYFUNCTION("""COMPUTED_VALUE"""),14520292)</f>
        <v>#NAME?</v>
      </c>
      <c r="B540" s="100" t="e">
        <f ca="1">IFERROR(__xludf.DUMMYFUNCTION("""COMPUTED_VALUE"""),"grassusdt")</f>
        <v>#NAME?</v>
      </c>
      <c r="C540" s="100" t="e">
        <f ca="1">IFERROR(__xludf.DUMMYFUNCTION("""COMPUTED_VALUE"""),"1.5962")</f>
        <v>#NAME?</v>
      </c>
      <c r="D540" s="100" t="e">
        <f t="shared" ca="1" si="80"/>
        <v>#NAME?</v>
      </c>
      <c r="E540" s="100" t="e">
        <f t="shared" ca="1" si="80"/>
        <v>#NAME?</v>
      </c>
      <c r="F540" s="100" t="e">
        <f t="shared" ca="1" si="74"/>
        <v>#NAME?</v>
      </c>
      <c r="G540" s="100" t="e">
        <f t="shared" ca="1" si="75"/>
        <v>#NAME?</v>
      </c>
      <c r="H540" s="100" t="e">
        <f t="shared" ca="1" si="76"/>
        <v>#NAME?</v>
      </c>
      <c r="I540" s="100" t="e">
        <f t="shared" ca="1" si="77"/>
        <v>#NAME?</v>
      </c>
      <c r="J540" s="100" t="e">
        <f t="shared" ca="1" si="78"/>
        <v>#NAME?</v>
      </c>
      <c r="K540" s="100" t="e">
        <f t="shared" ca="1" si="79"/>
        <v>#NAME?</v>
      </c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 spans="1:26">
      <c r="A541" s="100" t="e">
        <f ca="1">IFERROR(__xludf.DUMMYFUNCTION("""COMPUTED_VALUE"""),14520293)</f>
        <v>#NAME?</v>
      </c>
      <c r="B541" s="100" t="e">
        <f ca="1">IFERROR(__xludf.DUMMYFUNCTION("""COMPUTED_VALUE"""),"nyanusdt")</f>
        <v>#NAME?</v>
      </c>
      <c r="C541" s="100" t="e">
        <f ca="1">IFERROR(__xludf.DUMMYFUNCTION("""COMPUTED_VALUE"""),"0.0158")</f>
        <v>#NAME?</v>
      </c>
      <c r="D541" s="100" t="e">
        <f t="shared" ca="1" si="80"/>
        <v>#NAME?</v>
      </c>
      <c r="E541" s="100" t="e">
        <f t="shared" ca="1" si="80"/>
        <v>#NAME?</v>
      </c>
      <c r="F541" s="100" t="e">
        <f t="shared" ca="1" si="74"/>
        <v>#NAME?</v>
      </c>
      <c r="G541" s="100" t="e">
        <f t="shared" ca="1" si="75"/>
        <v>#NAME?</v>
      </c>
      <c r="H541" s="100" t="e">
        <f t="shared" ca="1" si="76"/>
        <v>#NAME?</v>
      </c>
      <c r="I541" s="100" t="e">
        <f t="shared" ca="1" si="77"/>
        <v>#NAME?</v>
      </c>
      <c r="J541" s="100" t="e">
        <f t="shared" ca="1" si="78"/>
        <v>#NAME?</v>
      </c>
      <c r="K541" s="100" t="e">
        <f t="shared" ca="1" si="79"/>
        <v>#NAME?</v>
      </c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 spans="1:26">
      <c r="A542" s="100" t="e">
        <f ca="1">IFERROR(__xludf.DUMMYFUNCTION("""COMPUTED_VALUE"""),14520294)</f>
        <v>#NAME?</v>
      </c>
      <c r="B542" s="100" t="e">
        <f ca="1">IFERROR(__xludf.DUMMYFUNCTION("""COMPUTED_VALUE"""),"bttusdt")</f>
        <v>#NAME?</v>
      </c>
      <c r="C542" s="100" t="e">
        <f ca="1">IFERROR(__xludf.DUMMYFUNCTION("""COMPUTED_VALUE"""),"6.103e-07")</f>
        <v>#NAME?</v>
      </c>
      <c r="D542" s="100" t="e">
        <f t="shared" ref="D542:E561" ca="1" si="81">IFERROR(__xludf.DUMMYFUNCTION("""COMPUTED_VALUE"""),"-")</f>
        <v>#NAME?</v>
      </c>
      <c r="E542" s="100" t="e">
        <f t="shared" ca="1" si="81"/>
        <v>#NAME?</v>
      </c>
      <c r="F542" s="100" t="e">
        <f t="shared" ca="1" si="74"/>
        <v>#NAME?</v>
      </c>
      <c r="G542" s="100" t="e">
        <f t="shared" ca="1" si="75"/>
        <v>#NAME?</v>
      </c>
      <c r="H542" s="100" t="e">
        <f t="shared" ca="1" si="76"/>
        <v>#NAME?</v>
      </c>
      <c r="I542" s="100" t="e">
        <f t="shared" ca="1" si="77"/>
        <v>#NAME?</v>
      </c>
      <c r="J542" s="100" t="e">
        <f t="shared" ca="1" si="78"/>
        <v>#NAME?</v>
      </c>
      <c r="K542" s="100" t="e">
        <f t="shared" ca="1" si="79"/>
        <v>#NAME?</v>
      </c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 spans="1:26">
      <c r="A543" s="100" t="e">
        <f ca="1">IFERROR(__xludf.DUMMYFUNCTION("""COMPUTED_VALUE"""),14520295)</f>
        <v>#NAME?</v>
      </c>
      <c r="B543" s="100" t="e">
        <f ca="1">IFERROR(__xludf.DUMMYFUNCTION("""COMPUTED_VALUE"""),"smoleusdt")</f>
        <v>#NAME?</v>
      </c>
      <c r="C543" s="100" t="e">
        <f ca="1">IFERROR(__xludf.DUMMYFUNCTION("""COMPUTED_VALUE"""),"3.03e-05")</f>
        <v>#NAME?</v>
      </c>
      <c r="D543" s="100" t="e">
        <f t="shared" ca="1" si="81"/>
        <v>#NAME?</v>
      </c>
      <c r="E543" s="100" t="e">
        <f t="shared" ca="1" si="81"/>
        <v>#NAME?</v>
      </c>
      <c r="F543" s="100" t="e">
        <f t="shared" ca="1" si="74"/>
        <v>#NAME?</v>
      </c>
      <c r="G543" s="100" t="e">
        <f t="shared" ca="1" si="75"/>
        <v>#NAME?</v>
      </c>
      <c r="H543" s="100" t="e">
        <f t="shared" ca="1" si="76"/>
        <v>#NAME?</v>
      </c>
      <c r="I543" s="100" t="e">
        <f t="shared" ca="1" si="77"/>
        <v>#NAME?</v>
      </c>
      <c r="J543" s="100" t="e">
        <f t="shared" ca="1" si="78"/>
        <v>#NAME?</v>
      </c>
      <c r="K543" s="100" t="e">
        <f t="shared" ca="1" si="79"/>
        <v>#NAME?</v>
      </c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 spans="1:26">
      <c r="A544" s="100" t="e">
        <f ca="1">IFERROR(__xludf.DUMMYFUNCTION("""COMPUTED_VALUE"""),14520296)</f>
        <v>#NAME?</v>
      </c>
      <c r="B544" s="100" t="e">
        <f ca="1">IFERROR(__xludf.DUMMYFUNCTION("""COMPUTED_VALUE"""),"vetusdt")</f>
        <v>#NAME?</v>
      </c>
      <c r="C544" s="100" t="e">
        <f ca="1">IFERROR(__xludf.DUMMYFUNCTION("""COMPUTED_VALUE"""),"0.023575")</f>
        <v>#NAME?</v>
      </c>
      <c r="D544" s="100" t="e">
        <f t="shared" ca="1" si="81"/>
        <v>#NAME?</v>
      </c>
      <c r="E544" s="100" t="e">
        <f t="shared" ca="1" si="81"/>
        <v>#NAME?</v>
      </c>
      <c r="F544" s="100" t="e">
        <f t="shared" ca="1" si="74"/>
        <v>#NAME?</v>
      </c>
      <c r="G544" s="100" t="e">
        <f t="shared" ca="1" si="75"/>
        <v>#NAME?</v>
      </c>
      <c r="H544" s="100" t="e">
        <f t="shared" ca="1" si="76"/>
        <v>#NAME?</v>
      </c>
      <c r="I544" s="100" t="e">
        <f t="shared" ca="1" si="77"/>
        <v>#NAME?</v>
      </c>
      <c r="J544" s="100" t="e">
        <f t="shared" ca="1" si="78"/>
        <v>#NAME?</v>
      </c>
      <c r="K544" s="100" t="e">
        <f t="shared" ca="1" si="79"/>
        <v>#NAME?</v>
      </c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 spans="1:26">
      <c r="A545" s="100" t="e">
        <f ca="1">IFERROR(__xludf.DUMMYFUNCTION("""COMPUTED_VALUE"""),14520297)</f>
        <v>#NAME?</v>
      </c>
      <c r="B545" s="100" t="e">
        <f ca="1">IFERROR(__xludf.DUMMYFUNCTION("""COMPUTED_VALUE"""),"gmtusdt")</f>
        <v>#NAME?</v>
      </c>
      <c r="C545" s="100" t="e">
        <f ca="1">IFERROR(__xludf.DUMMYFUNCTION("""COMPUTED_VALUE"""),"0.0599")</f>
        <v>#NAME?</v>
      </c>
      <c r="D545" s="100" t="e">
        <f t="shared" ca="1" si="81"/>
        <v>#NAME?</v>
      </c>
      <c r="E545" s="100" t="e">
        <f t="shared" ca="1" si="81"/>
        <v>#NAME?</v>
      </c>
      <c r="F545" s="100" t="e">
        <f t="shared" ca="1" si="74"/>
        <v>#NAME?</v>
      </c>
      <c r="G545" s="100" t="e">
        <f t="shared" ca="1" si="75"/>
        <v>#NAME?</v>
      </c>
      <c r="H545" s="100" t="e">
        <f t="shared" ca="1" si="76"/>
        <v>#NAME?</v>
      </c>
      <c r="I545" s="100" t="e">
        <f t="shared" ca="1" si="77"/>
        <v>#NAME?</v>
      </c>
      <c r="J545" s="100" t="e">
        <f t="shared" ca="1" si="78"/>
        <v>#NAME?</v>
      </c>
      <c r="K545" s="100" t="e">
        <f t="shared" ca="1" si="79"/>
        <v>#NAME?</v>
      </c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 spans="1:26">
      <c r="A546" s="100" t="e">
        <f ca="1">IFERROR(__xludf.DUMMYFUNCTION("""COMPUTED_VALUE"""),14520298)</f>
        <v>#NAME?</v>
      </c>
      <c r="B546" s="100" t="e">
        <f ca="1">IFERROR(__xludf.DUMMYFUNCTION("""COMPUTED_VALUE"""),"michiusdt")</f>
        <v>#NAME?</v>
      </c>
      <c r="C546" s="100" t="e">
        <f ca="1">IFERROR(__xludf.DUMMYFUNCTION("""COMPUTED_VALUE"""),"0.0221")</f>
        <v>#NAME?</v>
      </c>
      <c r="D546" s="100" t="e">
        <f t="shared" ca="1" si="81"/>
        <v>#NAME?</v>
      </c>
      <c r="E546" s="100" t="e">
        <f t="shared" ca="1" si="81"/>
        <v>#NAME?</v>
      </c>
      <c r="F546" s="100" t="e">
        <f t="shared" ca="1" si="74"/>
        <v>#NAME?</v>
      </c>
      <c r="G546" s="100" t="e">
        <f t="shared" ca="1" si="75"/>
        <v>#NAME?</v>
      </c>
      <c r="H546" s="100" t="e">
        <f t="shared" ca="1" si="76"/>
        <v>#NAME?</v>
      </c>
      <c r="I546" s="100" t="e">
        <f t="shared" ca="1" si="77"/>
        <v>#NAME?</v>
      </c>
      <c r="J546" s="100" t="e">
        <f t="shared" ca="1" si="78"/>
        <v>#NAME?</v>
      </c>
      <c r="K546" s="100" t="e">
        <f t="shared" ca="1" si="79"/>
        <v>#NAME?</v>
      </c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 spans="1:26">
      <c r="A547" s="100" t="e">
        <f ca="1">IFERROR(__xludf.DUMMYFUNCTION("""COMPUTED_VALUE"""),14520299)</f>
        <v>#NAME?</v>
      </c>
      <c r="B547" s="100" t="e">
        <f ca="1">IFERROR(__xludf.DUMMYFUNCTION("""COMPUTED_VALUE"""),"blueusdt")</f>
        <v>#NAME?</v>
      </c>
      <c r="C547" s="100" t="e">
        <f ca="1">IFERROR(__xludf.DUMMYFUNCTION("""COMPUTED_VALUE"""),"0.0748")</f>
        <v>#NAME?</v>
      </c>
      <c r="D547" s="100" t="e">
        <f t="shared" ca="1" si="81"/>
        <v>#NAME?</v>
      </c>
      <c r="E547" s="100" t="e">
        <f t="shared" ca="1" si="81"/>
        <v>#NAME?</v>
      </c>
      <c r="F547" s="100" t="e">
        <f t="shared" ca="1" si="74"/>
        <v>#NAME?</v>
      </c>
      <c r="G547" s="100" t="e">
        <f t="shared" ca="1" si="75"/>
        <v>#NAME?</v>
      </c>
      <c r="H547" s="100" t="e">
        <f t="shared" ca="1" si="76"/>
        <v>#NAME?</v>
      </c>
      <c r="I547" s="100" t="e">
        <f t="shared" ca="1" si="77"/>
        <v>#NAME?</v>
      </c>
      <c r="J547" s="100" t="e">
        <f t="shared" ca="1" si="78"/>
        <v>#NAME?</v>
      </c>
      <c r="K547" s="100" t="e">
        <f t="shared" ca="1" si="79"/>
        <v>#NAME?</v>
      </c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 spans="1:26">
      <c r="A548" s="100" t="e">
        <f ca="1">IFERROR(__xludf.DUMMYFUNCTION("""COMPUTED_VALUE"""),14520300)</f>
        <v>#NAME?</v>
      </c>
      <c r="B548" s="100" t="e">
        <f ca="1">IFERROR(__xludf.DUMMYFUNCTION("""COMPUTED_VALUE"""),"bobusdt")</f>
        <v>#NAME?</v>
      </c>
      <c r="C548" s="100" t="e">
        <f ca="1">IFERROR(__xludf.DUMMYFUNCTION("""COMPUTED_VALUE"""),"4.1e-06")</f>
        <v>#NAME?</v>
      </c>
      <c r="D548" s="100" t="e">
        <f t="shared" ca="1" si="81"/>
        <v>#NAME?</v>
      </c>
      <c r="E548" s="100" t="e">
        <f t="shared" ca="1" si="81"/>
        <v>#NAME?</v>
      </c>
      <c r="F548" s="100" t="e">
        <f t="shared" ca="1" si="74"/>
        <v>#NAME?</v>
      </c>
      <c r="G548" s="100" t="e">
        <f t="shared" ca="1" si="75"/>
        <v>#NAME?</v>
      </c>
      <c r="H548" s="100" t="e">
        <f t="shared" ca="1" si="76"/>
        <v>#NAME?</v>
      </c>
      <c r="I548" s="100" t="e">
        <f t="shared" ca="1" si="77"/>
        <v>#NAME?</v>
      </c>
      <c r="J548" s="100" t="e">
        <f t="shared" ca="1" si="78"/>
        <v>#NAME?</v>
      </c>
      <c r="K548" s="100" t="e">
        <f t="shared" ca="1" si="79"/>
        <v>#NAME?</v>
      </c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 spans="1:26">
      <c r="A549" s="100" t="e">
        <f ca="1">IFERROR(__xludf.DUMMYFUNCTION("""COMPUTED_VALUE"""),14520301)</f>
        <v>#NAME?</v>
      </c>
      <c r="B549" s="100" t="e">
        <f ca="1">IFERROR(__xludf.DUMMYFUNCTION("""COMPUTED_VALUE"""),"elonusdt")</f>
        <v>#NAME?</v>
      </c>
      <c r="C549" s="100" t="e">
        <f ca="1">IFERROR(__xludf.DUMMYFUNCTION("""COMPUTED_VALUE"""),"1.26e-07")</f>
        <v>#NAME?</v>
      </c>
      <c r="D549" s="100" t="e">
        <f t="shared" ca="1" si="81"/>
        <v>#NAME?</v>
      </c>
      <c r="E549" s="100" t="e">
        <f t="shared" ca="1" si="81"/>
        <v>#NAME?</v>
      </c>
      <c r="F549" s="100" t="e">
        <f t="shared" ca="1" si="74"/>
        <v>#NAME?</v>
      </c>
      <c r="G549" s="100" t="e">
        <f t="shared" ca="1" si="75"/>
        <v>#NAME?</v>
      </c>
      <c r="H549" s="100" t="e">
        <f t="shared" ca="1" si="76"/>
        <v>#NAME?</v>
      </c>
      <c r="I549" s="100" t="e">
        <f t="shared" ca="1" si="77"/>
        <v>#NAME?</v>
      </c>
      <c r="J549" s="100" t="e">
        <f t="shared" ca="1" si="78"/>
        <v>#NAME?</v>
      </c>
      <c r="K549" s="100" t="e">
        <f t="shared" ca="1" si="79"/>
        <v>#NAME?</v>
      </c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 spans="1:26">
      <c r="A550" s="100" t="e">
        <f ca="1">IFERROR(__xludf.DUMMYFUNCTION("""COMPUTED_VALUE"""),14520302)</f>
        <v>#NAME?</v>
      </c>
      <c r="B550" s="100" t="e">
        <f ca="1">IFERROR(__xludf.DUMMYFUNCTION("""COMPUTED_VALUE"""),"billyusdt")</f>
        <v>#NAME?</v>
      </c>
      <c r="C550" s="100" t="e">
        <f ca="1">IFERROR(__xludf.DUMMYFUNCTION("""COMPUTED_VALUE"""),"0.00196")</f>
        <v>#NAME?</v>
      </c>
      <c r="D550" s="100" t="e">
        <f t="shared" ca="1" si="81"/>
        <v>#NAME?</v>
      </c>
      <c r="E550" s="100" t="e">
        <f t="shared" ca="1" si="81"/>
        <v>#NAME?</v>
      </c>
      <c r="F550" s="100" t="e">
        <f t="shared" ca="1" si="74"/>
        <v>#NAME?</v>
      </c>
      <c r="G550" s="100" t="e">
        <f t="shared" ca="1" si="75"/>
        <v>#NAME?</v>
      </c>
      <c r="H550" s="100" t="e">
        <f t="shared" ca="1" si="76"/>
        <v>#NAME?</v>
      </c>
      <c r="I550" s="100" t="e">
        <f t="shared" ca="1" si="77"/>
        <v>#NAME?</v>
      </c>
      <c r="J550" s="100" t="e">
        <f t="shared" ca="1" si="78"/>
        <v>#NAME?</v>
      </c>
      <c r="K550" s="100" t="e">
        <f t="shared" ca="1" si="79"/>
        <v>#NAME?</v>
      </c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 spans="1:26">
      <c r="A551" s="100" t="e">
        <f ca="1">IFERROR(__xludf.DUMMYFUNCTION("""COMPUTED_VALUE"""),14520303)</f>
        <v>#NAME?</v>
      </c>
      <c r="B551" s="100" t="e">
        <f ca="1">IFERROR(__xludf.DUMMYFUNCTION("""COMPUTED_VALUE"""),"aevousdt")</f>
        <v>#NAME?</v>
      </c>
      <c r="C551" s="100" t="e">
        <f ca="1">IFERROR(__xludf.DUMMYFUNCTION("""COMPUTED_VALUE"""),"0.0977")</f>
        <v>#NAME?</v>
      </c>
      <c r="D551" s="100" t="e">
        <f t="shared" ca="1" si="81"/>
        <v>#NAME?</v>
      </c>
      <c r="E551" s="100" t="e">
        <f t="shared" ca="1" si="81"/>
        <v>#NAME?</v>
      </c>
      <c r="F551" s="100" t="e">
        <f t="shared" ca="1" si="74"/>
        <v>#NAME?</v>
      </c>
      <c r="G551" s="100" t="e">
        <f t="shared" ca="1" si="75"/>
        <v>#NAME?</v>
      </c>
      <c r="H551" s="100" t="e">
        <f t="shared" ca="1" si="76"/>
        <v>#NAME?</v>
      </c>
      <c r="I551" s="100" t="e">
        <f t="shared" ca="1" si="77"/>
        <v>#NAME?</v>
      </c>
      <c r="J551" s="100" t="e">
        <f t="shared" ca="1" si="78"/>
        <v>#NAME?</v>
      </c>
      <c r="K551" s="100" t="e">
        <f t="shared" ca="1" si="79"/>
        <v>#NAME?</v>
      </c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 spans="1:26">
      <c r="A552" s="100" t="e">
        <f ca="1">IFERROR(__xludf.DUMMYFUNCTION("""COMPUTED_VALUE"""),14520304)</f>
        <v>#NAME?</v>
      </c>
      <c r="B552" s="100" t="e">
        <f ca="1">IFERROR(__xludf.DUMMYFUNCTION("""COMPUTED_VALUE"""),"sagausdt")</f>
        <v>#NAME?</v>
      </c>
      <c r="C552" s="100" t="e">
        <f ca="1">IFERROR(__xludf.DUMMYFUNCTION("""COMPUTED_VALUE"""),"0.2318")</f>
        <v>#NAME?</v>
      </c>
      <c r="D552" s="100" t="e">
        <f t="shared" ca="1" si="81"/>
        <v>#NAME?</v>
      </c>
      <c r="E552" s="100" t="e">
        <f t="shared" ca="1" si="81"/>
        <v>#NAME?</v>
      </c>
      <c r="F552" s="100" t="e">
        <f t="shared" ca="1" si="74"/>
        <v>#NAME?</v>
      </c>
      <c r="G552" s="100" t="e">
        <f t="shared" ca="1" si="75"/>
        <v>#NAME?</v>
      </c>
      <c r="H552" s="100" t="e">
        <f t="shared" ca="1" si="76"/>
        <v>#NAME?</v>
      </c>
      <c r="I552" s="100" t="e">
        <f t="shared" ca="1" si="77"/>
        <v>#NAME?</v>
      </c>
      <c r="J552" s="100" t="e">
        <f t="shared" ca="1" si="78"/>
        <v>#NAME?</v>
      </c>
      <c r="K552" s="100" t="e">
        <f t="shared" ca="1" si="79"/>
        <v>#NAME?</v>
      </c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 spans="1:26">
      <c r="A553" s="100" t="e">
        <f ca="1">IFERROR(__xludf.DUMMYFUNCTION("""COMPUTED_VALUE"""),14520305)</f>
        <v>#NAME?</v>
      </c>
      <c r="B553" s="100" t="e">
        <f ca="1">IFERROR(__xludf.DUMMYFUNCTION("""COMPUTED_VALUE"""),"joeusdt")</f>
        <v>#NAME?</v>
      </c>
      <c r="C553" s="100" t="e">
        <f ca="1">IFERROR(__xludf.DUMMYFUNCTION("""COMPUTED_VALUE"""),"0.1766")</f>
        <v>#NAME?</v>
      </c>
      <c r="D553" s="100" t="e">
        <f t="shared" ca="1" si="81"/>
        <v>#NAME?</v>
      </c>
      <c r="E553" s="100" t="e">
        <f t="shared" ca="1" si="81"/>
        <v>#NAME?</v>
      </c>
      <c r="F553" s="100" t="e">
        <f t="shared" ca="1" si="74"/>
        <v>#NAME?</v>
      </c>
      <c r="G553" s="100" t="e">
        <f t="shared" ca="1" si="75"/>
        <v>#NAME?</v>
      </c>
      <c r="H553" s="100" t="e">
        <f t="shared" ca="1" si="76"/>
        <v>#NAME?</v>
      </c>
      <c r="I553" s="100" t="e">
        <f t="shared" ca="1" si="77"/>
        <v>#NAME?</v>
      </c>
      <c r="J553" s="100" t="e">
        <f t="shared" ca="1" si="78"/>
        <v>#NAME?</v>
      </c>
      <c r="K553" s="100" t="e">
        <f t="shared" ca="1" si="79"/>
        <v>#NAME?</v>
      </c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 spans="1:26">
      <c r="A554" s="100" t="e">
        <f ca="1">IFERROR(__xludf.DUMMYFUNCTION("""COMPUTED_VALUE"""),14520306)</f>
        <v>#NAME?</v>
      </c>
      <c r="B554" s="100" t="e">
        <f ca="1">IFERROR(__xludf.DUMMYFUNCTION("""COMPUTED_VALUE"""),"astrusdt")</f>
        <v>#NAME?</v>
      </c>
      <c r="C554" s="100" t="e">
        <f ca="1">IFERROR(__xludf.DUMMYFUNCTION("""COMPUTED_VALUE"""),"0.026868")</f>
        <v>#NAME?</v>
      </c>
      <c r="D554" s="100" t="e">
        <f t="shared" ca="1" si="81"/>
        <v>#NAME?</v>
      </c>
      <c r="E554" s="100" t="e">
        <f t="shared" ca="1" si="81"/>
        <v>#NAME?</v>
      </c>
      <c r="F554" s="100" t="e">
        <f t="shared" ca="1" si="74"/>
        <v>#NAME?</v>
      </c>
      <c r="G554" s="100" t="e">
        <f t="shared" ca="1" si="75"/>
        <v>#NAME?</v>
      </c>
      <c r="H554" s="100" t="e">
        <f t="shared" ca="1" si="76"/>
        <v>#NAME?</v>
      </c>
      <c r="I554" s="100" t="e">
        <f t="shared" ca="1" si="77"/>
        <v>#NAME?</v>
      </c>
      <c r="J554" s="100" t="e">
        <f t="shared" ca="1" si="78"/>
        <v>#NAME?</v>
      </c>
      <c r="K554" s="100" t="e">
        <f t="shared" ca="1" si="79"/>
        <v>#NAME?</v>
      </c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 spans="1:26">
      <c r="A555" s="100" t="e">
        <f ca="1">IFERROR(__xludf.DUMMYFUNCTION("""COMPUTED_VALUE"""),14520307)</f>
        <v>#NAME?</v>
      </c>
      <c r="B555" s="100" t="e">
        <f ca="1">IFERROR(__xludf.DUMMYFUNCTION("""COMPUTED_VALUE"""),"sporeusdt")</f>
        <v>#NAME?</v>
      </c>
      <c r="C555" s="100" t="e">
        <f ca="1">IFERROR(__xludf.DUMMYFUNCTION("""COMPUTED_VALUE"""),"0.00138")</f>
        <v>#NAME?</v>
      </c>
      <c r="D555" s="100" t="e">
        <f t="shared" ca="1" si="81"/>
        <v>#NAME?</v>
      </c>
      <c r="E555" s="100" t="e">
        <f t="shared" ca="1" si="81"/>
        <v>#NAME?</v>
      </c>
      <c r="F555" s="100" t="e">
        <f t="shared" ca="1" si="74"/>
        <v>#NAME?</v>
      </c>
      <c r="G555" s="100" t="e">
        <f t="shared" ca="1" si="75"/>
        <v>#NAME?</v>
      </c>
      <c r="H555" s="100" t="e">
        <f t="shared" ca="1" si="76"/>
        <v>#NAME?</v>
      </c>
      <c r="I555" s="100" t="e">
        <f t="shared" ca="1" si="77"/>
        <v>#NAME?</v>
      </c>
      <c r="J555" s="100" t="e">
        <f t="shared" ca="1" si="78"/>
        <v>#NAME?</v>
      </c>
      <c r="K555" s="100" t="e">
        <f t="shared" ca="1" si="79"/>
        <v>#NAME?</v>
      </c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 spans="1:26">
      <c r="A556" s="100" t="e">
        <f ca="1">IFERROR(__xludf.DUMMYFUNCTION("""COMPUTED_VALUE"""),14520308)</f>
        <v>#NAME?</v>
      </c>
      <c r="B556" s="100" t="e">
        <f ca="1">IFERROR(__xludf.DUMMYFUNCTION("""COMPUTED_VALUE"""),"xautusdt")</f>
        <v>#NAME?</v>
      </c>
      <c r="C556" s="100" t="e">
        <f ca="1">IFERROR(__xludf.DUMMYFUNCTION("""COMPUTED_VALUE"""),"3480.97")</f>
        <v>#NAME?</v>
      </c>
      <c r="D556" s="100" t="e">
        <f t="shared" ca="1" si="81"/>
        <v>#NAME?</v>
      </c>
      <c r="E556" s="100" t="e">
        <f t="shared" ca="1" si="81"/>
        <v>#NAME?</v>
      </c>
      <c r="F556" s="100" t="e">
        <f t="shared" ca="1" si="74"/>
        <v>#NAME?</v>
      </c>
      <c r="G556" s="100" t="e">
        <f t="shared" ca="1" si="75"/>
        <v>#NAME?</v>
      </c>
      <c r="H556" s="100" t="e">
        <f t="shared" ca="1" si="76"/>
        <v>#NAME?</v>
      </c>
      <c r="I556" s="100" t="e">
        <f t="shared" ca="1" si="77"/>
        <v>#NAME?</v>
      </c>
      <c r="J556" s="100" t="e">
        <f t="shared" ca="1" si="78"/>
        <v>#NAME?</v>
      </c>
      <c r="K556" s="100" t="e">
        <f t="shared" ca="1" si="79"/>
        <v>#NAME?</v>
      </c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 spans="1:26">
      <c r="A557" s="100" t="e">
        <f ca="1">IFERROR(__xludf.DUMMYFUNCTION("""COMPUTED_VALUE"""),14520309)</f>
        <v>#NAME?</v>
      </c>
      <c r="B557" s="100" t="e">
        <f ca="1">IFERROR(__xludf.DUMMYFUNCTION("""COMPUTED_VALUE"""),"usddusdt")</f>
        <v>#NAME?</v>
      </c>
      <c r="C557" s="100" t="e">
        <f ca="1">IFERROR(__xludf.DUMMYFUNCTION("""COMPUTED_VALUE"""),"0.99999")</f>
        <v>#NAME?</v>
      </c>
      <c r="D557" s="100" t="e">
        <f t="shared" ca="1" si="81"/>
        <v>#NAME?</v>
      </c>
      <c r="E557" s="100" t="e">
        <f t="shared" ca="1" si="81"/>
        <v>#NAME?</v>
      </c>
      <c r="F557" s="100" t="e">
        <f t="shared" ca="1" si="74"/>
        <v>#NAME?</v>
      </c>
      <c r="G557" s="100" t="e">
        <f t="shared" ca="1" si="75"/>
        <v>#NAME?</v>
      </c>
      <c r="H557" s="100" t="e">
        <f t="shared" ca="1" si="76"/>
        <v>#NAME?</v>
      </c>
      <c r="I557" s="100" t="e">
        <f t="shared" ca="1" si="77"/>
        <v>#NAME?</v>
      </c>
      <c r="J557" s="100" t="e">
        <f t="shared" ca="1" si="78"/>
        <v>#NAME?</v>
      </c>
      <c r="K557" s="100" t="e">
        <f t="shared" ca="1" si="79"/>
        <v>#NAME?</v>
      </c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 spans="1:26">
      <c r="A558" s="100" t="e">
        <f ca="1">IFERROR(__xludf.DUMMYFUNCTION("""COMPUTED_VALUE"""),14520310)</f>
        <v>#NAME?</v>
      </c>
      <c r="B558" s="100" t="e">
        <f ca="1">IFERROR(__xludf.DUMMYFUNCTION("""COMPUTED_VALUE"""),"waxpusdt")</f>
        <v>#NAME?</v>
      </c>
      <c r="C558" s="100" t="e">
        <f ca="1">IFERROR(__xludf.DUMMYFUNCTION("""COMPUTED_VALUE"""),"0.023521")</f>
        <v>#NAME?</v>
      </c>
      <c r="D558" s="100" t="e">
        <f t="shared" ca="1" si="81"/>
        <v>#NAME?</v>
      </c>
      <c r="E558" s="100" t="e">
        <f t="shared" ca="1" si="81"/>
        <v>#NAME?</v>
      </c>
      <c r="F558" s="100" t="e">
        <f t="shared" ca="1" si="74"/>
        <v>#NAME?</v>
      </c>
      <c r="G558" s="100" t="e">
        <f t="shared" ca="1" si="75"/>
        <v>#NAME?</v>
      </c>
      <c r="H558" s="100" t="e">
        <f t="shared" ca="1" si="76"/>
        <v>#NAME?</v>
      </c>
      <c r="I558" s="100" t="e">
        <f t="shared" ca="1" si="77"/>
        <v>#NAME?</v>
      </c>
      <c r="J558" s="100" t="e">
        <f t="shared" ca="1" si="78"/>
        <v>#NAME?</v>
      </c>
      <c r="K558" s="100" t="e">
        <f t="shared" ca="1" si="79"/>
        <v>#NAME?</v>
      </c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 spans="1:26">
      <c r="A559" s="100" t="e">
        <f ca="1">IFERROR(__xludf.DUMMYFUNCTION("""COMPUTED_VALUE"""),14520311)</f>
        <v>#NAME?</v>
      </c>
      <c r="B559" s="100" t="e">
        <f ca="1">IFERROR(__xludf.DUMMYFUNCTION("""COMPUTED_VALUE"""),"fxsusdt")</f>
        <v>#NAME?</v>
      </c>
      <c r="C559" s="100" t="e">
        <f ca="1">IFERROR(__xludf.DUMMYFUNCTION("""COMPUTED_VALUE"""),"1.8853")</f>
        <v>#NAME?</v>
      </c>
      <c r="D559" s="100" t="e">
        <f t="shared" ca="1" si="81"/>
        <v>#NAME?</v>
      </c>
      <c r="E559" s="100" t="e">
        <f t="shared" ca="1" si="81"/>
        <v>#NAME?</v>
      </c>
      <c r="F559" s="100" t="e">
        <f t="shared" ca="1" si="74"/>
        <v>#NAME?</v>
      </c>
      <c r="G559" s="100" t="e">
        <f t="shared" ca="1" si="75"/>
        <v>#NAME?</v>
      </c>
      <c r="H559" s="100" t="e">
        <f t="shared" ca="1" si="76"/>
        <v>#NAME?</v>
      </c>
      <c r="I559" s="100" t="e">
        <f t="shared" ca="1" si="77"/>
        <v>#NAME?</v>
      </c>
      <c r="J559" s="100" t="e">
        <f t="shared" ca="1" si="78"/>
        <v>#NAME?</v>
      </c>
      <c r="K559" s="100" t="e">
        <f t="shared" ca="1" si="79"/>
        <v>#NAME?</v>
      </c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 spans="1:26">
      <c r="A560" s="100" t="e">
        <f ca="1">IFERROR(__xludf.DUMMYFUNCTION("""COMPUTED_VALUE"""),14520312)</f>
        <v>#NAME?</v>
      </c>
      <c r="B560" s="100" t="e">
        <f ca="1">IFERROR(__xludf.DUMMYFUNCTION("""COMPUTED_VALUE"""),"skyaiusdt")</f>
        <v>#NAME?</v>
      </c>
      <c r="C560" s="100" t="e">
        <f ca="1">IFERROR(__xludf.DUMMYFUNCTION("""COMPUTED_VALUE"""),"0.040721")</f>
        <v>#NAME?</v>
      </c>
      <c r="D560" s="100" t="e">
        <f t="shared" ca="1" si="81"/>
        <v>#NAME?</v>
      </c>
      <c r="E560" s="100" t="e">
        <f t="shared" ca="1" si="81"/>
        <v>#NAME?</v>
      </c>
      <c r="F560" s="100" t="e">
        <f t="shared" ca="1" si="74"/>
        <v>#NAME?</v>
      </c>
      <c r="G560" s="100" t="e">
        <f t="shared" ca="1" si="75"/>
        <v>#NAME?</v>
      </c>
      <c r="H560" s="100" t="e">
        <f t="shared" ca="1" si="76"/>
        <v>#NAME?</v>
      </c>
      <c r="I560" s="100" t="e">
        <f t="shared" ca="1" si="77"/>
        <v>#NAME?</v>
      </c>
      <c r="J560" s="100" t="e">
        <f t="shared" ca="1" si="78"/>
        <v>#NAME?</v>
      </c>
      <c r="K560" s="100" t="e">
        <f t="shared" ca="1" si="79"/>
        <v>#NAME?</v>
      </c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 spans="1:26">
      <c r="A561" s="100" t="e">
        <f ca="1">IFERROR(__xludf.DUMMYFUNCTION("""COMPUTED_VALUE"""),14520313)</f>
        <v>#NAME?</v>
      </c>
      <c r="B561" s="100" t="e">
        <f ca="1">IFERROR(__xludf.DUMMYFUNCTION("""COMPUTED_VALUE"""),"logxusdt")</f>
        <v>#NAME?</v>
      </c>
      <c r="C561" s="100" t="e">
        <f ca="1">IFERROR(__xludf.DUMMYFUNCTION("""COMPUTED_VALUE"""),"0.0136")</f>
        <v>#NAME?</v>
      </c>
      <c r="D561" s="100" t="e">
        <f t="shared" ca="1" si="81"/>
        <v>#NAME?</v>
      </c>
      <c r="E561" s="100" t="e">
        <f t="shared" ca="1" si="81"/>
        <v>#NAME?</v>
      </c>
      <c r="F561" s="100" t="e">
        <f t="shared" ca="1" si="74"/>
        <v>#NAME?</v>
      </c>
      <c r="G561" s="100" t="e">
        <f t="shared" ca="1" si="75"/>
        <v>#NAME?</v>
      </c>
      <c r="H561" s="100" t="e">
        <f t="shared" ca="1" si="76"/>
        <v>#NAME?</v>
      </c>
      <c r="I561" s="100" t="e">
        <f t="shared" ca="1" si="77"/>
        <v>#NAME?</v>
      </c>
      <c r="J561" s="100" t="e">
        <f t="shared" ca="1" si="78"/>
        <v>#NAME?</v>
      </c>
      <c r="K561" s="100" t="e">
        <f t="shared" ca="1" si="79"/>
        <v>#NAME?</v>
      </c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 spans="1:26">
      <c r="A562" s="100" t="e">
        <f ca="1">IFERROR(__xludf.DUMMYFUNCTION("""COMPUTED_VALUE"""),14520314)</f>
        <v>#NAME?</v>
      </c>
      <c r="B562" s="100" t="e">
        <f ca="1">IFERROR(__xludf.DUMMYFUNCTION("""COMPUTED_VALUE"""),"woousdt")</f>
        <v>#NAME?</v>
      </c>
      <c r="C562" s="100" t="e">
        <f ca="1">IFERROR(__xludf.DUMMYFUNCTION("""COMPUTED_VALUE"""),"0.06192")</f>
        <v>#NAME?</v>
      </c>
      <c r="D562" s="100" t="e">
        <f t="shared" ref="D562:E581" ca="1" si="82">IFERROR(__xludf.DUMMYFUNCTION("""COMPUTED_VALUE"""),"-")</f>
        <v>#NAME?</v>
      </c>
      <c r="E562" s="100" t="e">
        <f t="shared" ca="1" si="82"/>
        <v>#NAME?</v>
      </c>
      <c r="F562" s="100" t="e">
        <f t="shared" ca="1" si="74"/>
        <v>#NAME?</v>
      </c>
      <c r="G562" s="100" t="e">
        <f t="shared" ca="1" si="75"/>
        <v>#NAME?</v>
      </c>
      <c r="H562" s="100" t="e">
        <f t="shared" ca="1" si="76"/>
        <v>#NAME?</v>
      </c>
      <c r="I562" s="100" t="e">
        <f t="shared" ca="1" si="77"/>
        <v>#NAME?</v>
      </c>
      <c r="J562" s="100" t="e">
        <f t="shared" ca="1" si="78"/>
        <v>#NAME?</v>
      </c>
      <c r="K562" s="100" t="e">
        <f t="shared" ca="1" si="79"/>
        <v>#NAME?</v>
      </c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 spans="1:26">
      <c r="A563" s="100" t="e">
        <f ca="1">IFERROR(__xludf.DUMMYFUNCTION("""COMPUTED_VALUE"""),14520315)</f>
        <v>#NAME?</v>
      </c>
      <c r="B563" s="100" t="e">
        <f ca="1">IFERROR(__xludf.DUMMYFUNCTION("""COMPUTED_VALUE"""),"lunasolusdt")</f>
        <v>#NAME?</v>
      </c>
      <c r="C563" s="100" t="e">
        <f ca="1">IFERROR(__xludf.DUMMYFUNCTION("""COMPUTED_VALUE"""),"0.00889")</f>
        <v>#NAME?</v>
      </c>
      <c r="D563" s="100" t="e">
        <f t="shared" ca="1" si="82"/>
        <v>#NAME?</v>
      </c>
      <c r="E563" s="100" t="e">
        <f t="shared" ca="1" si="82"/>
        <v>#NAME?</v>
      </c>
      <c r="F563" s="100" t="e">
        <f t="shared" ca="1" si="74"/>
        <v>#NAME?</v>
      </c>
      <c r="G563" s="100" t="e">
        <f t="shared" ca="1" si="75"/>
        <v>#NAME?</v>
      </c>
      <c r="H563" s="100" t="e">
        <f t="shared" ca="1" si="76"/>
        <v>#NAME?</v>
      </c>
      <c r="I563" s="100" t="e">
        <f t="shared" ca="1" si="77"/>
        <v>#NAME?</v>
      </c>
      <c r="J563" s="100" t="e">
        <f t="shared" ca="1" si="78"/>
        <v>#NAME?</v>
      </c>
      <c r="K563" s="100" t="e">
        <f t="shared" ca="1" si="79"/>
        <v>#NAME?</v>
      </c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 spans="1:26">
      <c r="A564" s="100" t="e">
        <f ca="1">IFERROR(__xludf.DUMMYFUNCTION("""COMPUTED_VALUE"""),14520316)</f>
        <v>#NAME?</v>
      </c>
      <c r="B564" s="100" t="e">
        <f ca="1">IFERROR(__xludf.DUMMYFUNCTION("""COMPUTED_VALUE"""),"pumpusdt")</f>
        <v>#NAME?</v>
      </c>
      <c r="C564" s="100" t="e">
        <f ca="1">IFERROR(__xludf.DUMMYFUNCTION("""COMPUTED_VALUE"""),"3.692e-07")</f>
        <v>#NAME?</v>
      </c>
      <c r="D564" s="100" t="e">
        <f t="shared" ca="1" si="82"/>
        <v>#NAME?</v>
      </c>
      <c r="E564" s="100" t="e">
        <f t="shared" ca="1" si="82"/>
        <v>#NAME?</v>
      </c>
      <c r="F564" s="100" t="e">
        <f t="shared" ca="1" si="74"/>
        <v>#NAME?</v>
      </c>
      <c r="G564" s="100" t="e">
        <f t="shared" ca="1" si="75"/>
        <v>#NAME?</v>
      </c>
      <c r="H564" s="100" t="e">
        <f t="shared" ca="1" si="76"/>
        <v>#NAME?</v>
      </c>
      <c r="I564" s="100" t="e">
        <f t="shared" ca="1" si="77"/>
        <v>#NAME?</v>
      </c>
      <c r="J564" s="100" t="e">
        <f t="shared" ca="1" si="78"/>
        <v>#NAME?</v>
      </c>
      <c r="K564" s="100" t="e">
        <f t="shared" ca="1" si="79"/>
        <v>#NAME?</v>
      </c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 spans="1:26">
      <c r="A565" s="100" t="e">
        <f ca="1">IFERROR(__xludf.DUMMYFUNCTION("""COMPUTED_VALUE"""),14520317)</f>
        <v>#NAME?</v>
      </c>
      <c r="B565" s="100" t="e">
        <f ca="1">IFERROR(__xludf.DUMMYFUNCTION("""COMPUTED_VALUE"""),"jtousdt")</f>
        <v>#NAME?</v>
      </c>
      <c r="C565" s="100" t="e">
        <f ca="1">IFERROR(__xludf.DUMMYFUNCTION("""COMPUTED_VALUE"""),"1.7157")</f>
        <v>#NAME?</v>
      </c>
      <c r="D565" s="100" t="e">
        <f t="shared" ca="1" si="82"/>
        <v>#NAME?</v>
      </c>
      <c r="E565" s="100" t="e">
        <f t="shared" ca="1" si="82"/>
        <v>#NAME?</v>
      </c>
      <c r="F565" s="100" t="e">
        <f t="shared" ca="1" si="74"/>
        <v>#NAME?</v>
      </c>
      <c r="G565" s="100" t="e">
        <f t="shared" ca="1" si="75"/>
        <v>#NAME?</v>
      </c>
      <c r="H565" s="100" t="e">
        <f t="shared" ca="1" si="76"/>
        <v>#NAME?</v>
      </c>
      <c r="I565" s="100" t="e">
        <f t="shared" ca="1" si="77"/>
        <v>#NAME?</v>
      </c>
      <c r="J565" s="100" t="e">
        <f t="shared" ca="1" si="78"/>
        <v>#NAME?</v>
      </c>
      <c r="K565" s="100" t="e">
        <f t="shared" ca="1" si="79"/>
        <v>#NAME?</v>
      </c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 spans="1:26">
      <c r="A566" s="100" t="e">
        <f ca="1">IFERROR(__xludf.DUMMYFUNCTION("""COMPUTED_VALUE"""),14520318)</f>
        <v>#NAME?</v>
      </c>
      <c r="B566" s="100" t="e">
        <f ca="1">IFERROR(__xludf.DUMMYFUNCTION("""COMPUTED_VALUE"""),"lskusdt")</f>
        <v>#NAME?</v>
      </c>
      <c r="C566" s="100" t="e">
        <f ca="1">IFERROR(__xludf.DUMMYFUNCTION("""COMPUTED_VALUE"""),"0.5017")</f>
        <v>#NAME?</v>
      </c>
      <c r="D566" s="100" t="e">
        <f t="shared" ca="1" si="82"/>
        <v>#NAME?</v>
      </c>
      <c r="E566" s="100" t="e">
        <f t="shared" ca="1" si="82"/>
        <v>#NAME?</v>
      </c>
      <c r="F566" s="100" t="e">
        <f t="shared" ca="1" si="74"/>
        <v>#NAME?</v>
      </c>
      <c r="G566" s="100" t="e">
        <f t="shared" ca="1" si="75"/>
        <v>#NAME?</v>
      </c>
      <c r="H566" s="100" t="e">
        <f t="shared" ca="1" si="76"/>
        <v>#NAME?</v>
      </c>
      <c r="I566" s="100" t="e">
        <f t="shared" ca="1" si="77"/>
        <v>#NAME?</v>
      </c>
      <c r="J566" s="100" t="e">
        <f t="shared" ca="1" si="78"/>
        <v>#NAME?</v>
      </c>
      <c r="K566" s="100" t="e">
        <f t="shared" ca="1" si="79"/>
        <v>#NAME?</v>
      </c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 spans="1:26">
      <c r="A567" s="100" t="e">
        <f ca="1">IFERROR(__xludf.DUMMYFUNCTION("""COMPUTED_VALUE"""),14520319)</f>
        <v>#NAME?</v>
      </c>
      <c r="B567" s="100" t="e">
        <f ca="1">IFERROR(__xludf.DUMMYFUNCTION("""COMPUTED_VALUE"""),"likeusdt")</f>
        <v>#NAME?</v>
      </c>
      <c r="C567" s="100" t="e">
        <f ca="1">IFERROR(__xludf.DUMMYFUNCTION("""COMPUTED_VALUE"""),"0.014187")</f>
        <v>#NAME?</v>
      </c>
      <c r="D567" s="100" t="e">
        <f t="shared" ca="1" si="82"/>
        <v>#NAME?</v>
      </c>
      <c r="E567" s="100" t="e">
        <f t="shared" ca="1" si="82"/>
        <v>#NAME?</v>
      </c>
      <c r="F567" s="100" t="e">
        <f t="shared" ca="1" si="74"/>
        <v>#NAME?</v>
      </c>
      <c r="G567" s="100" t="e">
        <f t="shared" ca="1" si="75"/>
        <v>#NAME?</v>
      </c>
      <c r="H567" s="100" t="e">
        <f t="shared" ca="1" si="76"/>
        <v>#NAME?</v>
      </c>
      <c r="I567" s="100" t="e">
        <f t="shared" ca="1" si="77"/>
        <v>#NAME?</v>
      </c>
      <c r="J567" s="100" t="e">
        <f t="shared" ca="1" si="78"/>
        <v>#NAME?</v>
      </c>
      <c r="K567" s="100" t="e">
        <f t="shared" ca="1" si="79"/>
        <v>#NAME?</v>
      </c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 spans="1:26">
      <c r="A568" s="100" t="e">
        <f ca="1">IFERROR(__xludf.DUMMYFUNCTION("""COMPUTED_VALUE"""),14520320)</f>
        <v>#NAME?</v>
      </c>
      <c r="B568" s="100" t="e">
        <f ca="1">IFERROR(__xludf.DUMMYFUNCTION("""COMPUTED_VALUE"""),"poolxusdt")</f>
        <v>#NAME?</v>
      </c>
      <c r="C568" s="100" t="e">
        <f ca="1">IFERROR(__xludf.DUMMYFUNCTION("""COMPUTED_VALUE"""),"0.484778")</f>
        <v>#NAME?</v>
      </c>
      <c r="D568" s="100" t="e">
        <f t="shared" ca="1" si="82"/>
        <v>#NAME?</v>
      </c>
      <c r="E568" s="100" t="e">
        <f t="shared" ca="1" si="82"/>
        <v>#NAME?</v>
      </c>
      <c r="F568" s="100" t="e">
        <f t="shared" ca="1" si="74"/>
        <v>#NAME?</v>
      </c>
      <c r="G568" s="100" t="e">
        <f t="shared" ca="1" si="75"/>
        <v>#NAME?</v>
      </c>
      <c r="H568" s="100" t="e">
        <f t="shared" ca="1" si="76"/>
        <v>#NAME?</v>
      </c>
      <c r="I568" s="100" t="e">
        <f t="shared" ca="1" si="77"/>
        <v>#NAME?</v>
      </c>
      <c r="J568" s="100" t="e">
        <f t="shared" ca="1" si="78"/>
        <v>#NAME?</v>
      </c>
      <c r="K568" s="100" t="e">
        <f t="shared" ca="1" si="79"/>
        <v>#NAME?</v>
      </c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 spans="1:26">
      <c r="A569" s="100" t="e">
        <f ca="1">IFERROR(__xludf.DUMMYFUNCTION("""COMPUTED_VALUE"""),14520321)</f>
        <v>#NAME?</v>
      </c>
      <c r="B569" s="100" t="e">
        <f ca="1">IFERROR(__xludf.DUMMYFUNCTION("""COMPUTED_VALUE"""),"portalusdt")</f>
        <v>#NAME?</v>
      </c>
      <c r="C569" s="100" t="e">
        <f ca="1">IFERROR(__xludf.DUMMYFUNCTION("""COMPUTED_VALUE"""),"0.0892")</f>
        <v>#NAME?</v>
      </c>
      <c r="D569" s="100" t="e">
        <f t="shared" ca="1" si="82"/>
        <v>#NAME?</v>
      </c>
      <c r="E569" s="100" t="e">
        <f t="shared" ca="1" si="82"/>
        <v>#NAME?</v>
      </c>
      <c r="F569" s="100" t="e">
        <f t="shared" ca="1" si="74"/>
        <v>#NAME?</v>
      </c>
      <c r="G569" s="100" t="e">
        <f t="shared" ca="1" si="75"/>
        <v>#NAME?</v>
      </c>
      <c r="H569" s="100" t="e">
        <f t="shared" ca="1" si="76"/>
        <v>#NAME?</v>
      </c>
      <c r="I569" s="100" t="e">
        <f t="shared" ca="1" si="77"/>
        <v>#NAME?</v>
      </c>
      <c r="J569" s="100" t="e">
        <f t="shared" ca="1" si="78"/>
        <v>#NAME?</v>
      </c>
      <c r="K569" s="100" t="e">
        <f t="shared" ca="1" si="79"/>
        <v>#NAME?</v>
      </c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 spans="1:26">
      <c r="A570" s="100" t="e">
        <f ca="1">IFERROR(__xludf.DUMMYFUNCTION("""COMPUTED_VALUE"""),14520322)</f>
        <v>#NAME?</v>
      </c>
      <c r="B570" s="100" t="e">
        <f ca="1">IFERROR(__xludf.DUMMYFUNCTION("""COMPUTED_VALUE"""),"avaxusdt")</f>
        <v>#NAME?</v>
      </c>
      <c r="C570" s="100" t="e">
        <f ca="1">IFERROR(__xludf.DUMMYFUNCTION("""COMPUTED_VALUE"""),"20.1733")</f>
        <v>#NAME?</v>
      </c>
      <c r="D570" s="100" t="e">
        <f t="shared" ca="1" si="82"/>
        <v>#NAME?</v>
      </c>
      <c r="E570" s="100" t="e">
        <f t="shared" ca="1" si="82"/>
        <v>#NAME?</v>
      </c>
      <c r="F570" s="100" t="e">
        <f t="shared" ca="1" si="74"/>
        <v>#NAME?</v>
      </c>
      <c r="G570" s="100" t="e">
        <f t="shared" ca="1" si="75"/>
        <v>#NAME?</v>
      </c>
      <c r="H570" s="100" t="e">
        <f t="shared" ca="1" si="76"/>
        <v>#NAME?</v>
      </c>
      <c r="I570" s="100" t="e">
        <f t="shared" ca="1" si="77"/>
        <v>#NAME?</v>
      </c>
      <c r="J570" s="100" t="e">
        <f t="shared" ca="1" si="78"/>
        <v>#NAME?</v>
      </c>
      <c r="K570" s="100" t="e">
        <f t="shared" ca="1" si="79"/>
        <v>#NAME?</v>
      </c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 spans="1:26">
      <c r="A571" s="100" t="e">
        <f ca="1">IFERROR(__xludf.DUMMYFUNCTION("""COMPUTED_VALUE"""),14520323)</f>
        <v>#NAME?</v>
      </c>
      <c r="B571" s="100" t="e">
        <f ca="1">IFERROR(__xludf.DUMMYFUNCTION("""COMPUTED_VALUE"""),"hiveusdt")</f>
        <v>#NAME?</v>
      </c>
      <c r="C571" s="100" t="e">
        <f ca="1">IFERROR(__xludf.DUMMYFUNCTION("""COMPUTED_VALUE"""),"0.2352")</f>
        <v>#NAME?</v>
      </c>
      <c r="D571" s="100" t="e">
        <f t="shared" ca="1" si="82"/>
        <v>#NAME?</v>
      </c>
      <c r="E571" s="100" t="e">
        <f t="shared" ca="1" si="82"/>
        <v>#NAME?</v>
      </c>
      <c r="F571" s="100" t="e">
        <f t="shared" ca="1" si="74"/>
        <v>#NAME?</v>
      </c>
      <c r="G571" s="100" t="e">
        <f t="shared" ca="1" si="75"/>
        <v>#NAME?</v>
      </c>
      <c r="H571" s="100" t="e">
        <f t="shared" ca="1" si="76"/>
        <v>#NAME?</v>
      </c>
      <c r="I571" s="100" t="e">
        <f t="shared" ca="1" si="77"/>
        <v>#NAME?</v>
      </c>
      <c r="J571" s="100" t="e">
        <f t="shared" ca="1" si="78"/>
        <v>#NAME?</v>
      </c>
      <c r="K571" s="100" t="e">
        <f t="shared" ca="1" si="79"/>
        <v>#NAME?</v>
      </c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 spans="1:26">
      <c r="A572" s="100" t="e">
        <f ca="1">IFERROR(__xludf.DUMMYFUNCTION("""COMPUTED_VALUE"""),14520324)</f>
        <v>#NAME?</v>
      </c>
      <c r="B572" s="100" t="e">
        <f ca="1">IFERROR(__xludf.DUMMYFUNCTION("""COMPUTED_VALUE"""),"gearboxusdt")</f>
        <v>#NAME?</v>
      </c>
      <c r="C572" s="100" t="e">
        <f ca="1">IFERROR(__xludf.DUMMYFUNCTION("""COMPUTED_VALUE"""),"0.002231")</f>
        <v>#NAME?</v>
      </c>
      <c r="D572" s="100" t="e">
        <f t="shared" ca="1" si="82"/>
        <v>#NAME?</v>
      </c>
      <c r="E572" s="100" t="e">
        <f t="shared" ca="1" si="82"/>
        <v>#NAME?</v>
      </c>
      <c r="F572" s="100" t="e">
        <f t="shared" ca="1" si="74"/>
        <v>#NAME?</v>
      </c>
      <c r="G572" s="100" t="e">
        <f t="shared" ca="1" si="75"/>
        <v>#NAME?</v>
      </c>
      <c r="H572" s="100" t="e">
        <f t="shared" ca="1" si="76"/>
        <v>#NAME?</v>
      </c>
      <c r="I572" s="100" t="e">
        <f t="shared" ca="1" si="77"/>
        <v>#NAME?</v>
      </c>
      <c r="J572" s="100" t="e">
        <f t="shared" ca="1" si="78"/>
        <v>#NAME?</v>
      </c>
      <c r="K572" s="100" t="e">
        <f t="shared" ca="1" si="79"/>
        <v>#NAME?</v>
      </c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 spans="1:26">
      <c r="A573" s="100" t="e">
        <f ca="1">IFERROR(__xludf.DUMMYFUNCTION("""COMPUTED_VALUE"""),14520325)</f>
        <v>#NAME?</v>
      </c>
      <c r="B573" s="100" t="e">
        <f ca="1">IFERROR(__xludf.DUMMYFUNCTION("""COMPUTED_VALUE"""),"ctxcusdt")</f>
        <v>#NAME?</v>
      </c>
      <c r="C573" s="100" t="e">
        <f ca="1">IFERROR(__xludf.DUMMYFUNCTION("""COMPUTED_VALUE"""),"0.0695")</f>
        <v>#NAME?</v>
      </c>
      <c r="D573" s="100" t="e">
        <f t="shared" ca="1" si="82"/>
        <v>#NAME?</v>
      </c>
      <c r="E573" s="100" t="e">
        <f t="shared" ca="1" si="82"/>
        <v>#NAME?</v>
      </c>
      <c r="F573" s="100" t="e">
        <f t="shared" ca="1" si="74"/>
        <v>#NAME?</v>
      </c>
      <c r="G573" s="100" t="e">
        <f t="shared" ca="1" si="75"/>
        <v>#NAME?</v>
      </c>
      <c r="H573" s="100" t="e">
        <f t="shared" ca="1" si="76"/>
        <v>#NAME?</v>
      </c>
      <c r="I573" s="100" t="e">
        <f t="shared" ca="1" si="77"/>
        <v>#NAME?</v>
      </c>
      <c r="J573" s="100" t="e">
        <f t="shared" ca="1" si="78"/>
        <v>#NAME?</v>
      </c>
      <c r="K573" s="100" t="e">
        <f t="shared" ca="1" si="79"/>
        <v>#NAME?</v>
      </c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 spans="1:26">
      <c r="A574" s="100" t="e">
        <f ca="1">IFERROR(__xludf.DUMMYFUNCTION("""COMPUTED_VALUE"""),14520326)</f>
        <v>#NAME?</v>
      </c>
      <c r="B574" s="100" t="e">
        <f ca="1">IFERROR(__xludf.DUMMYFUNCTION("""COMPUTED_VALUE"""),"bullyusdt")</f>
        <v>#NAME?</v>
      </c>
      <c r="C574" s="100" t="e">
        <f ca="1">IFERROR(__xludf.DUMMYFUNCTION("""COMPUTED_VALUE"""),"0.00136")</f>
        <v>#NAME?</v>
      </c>
      <c r="D574" s="100" t="e">
        <f t="shared" ca="1" si="82"/>
        <v>#NAME?</v>
      </c>
      <c r="E574" s="100" t="e">
        <f t="shared" ca="1" si="82"/>
        <v>#NAME?</v>
      </c>
      <c r="F574" s="100" t="e">
        <f t="shared" ca="1" si="74"/>
        <v>#NAME?</v>
      </c>
      <c r="G574" s="100" t="e">
        <f t="shared" ca="1" si="75"/>
        <v>#NAME?</v>
      </c>
      <c r="H574" s="100" t="e">
        <f t="shared" ca="1" si="76"/>
        <v>#NAME?</v>
      </c>
      <c r="I574" s="100" t="e">
        <f t="shared" ca="1" si="77"/>
        <v>#NAME?</v>
      </c>
      <c r="J574" s="100" t="e">
        <f t="shared" ca="1" si="78"/>
        <v>#NAME?</v>
      </c>
      <c r="K574" s="100" t="e">
        <f t="shared" ca="1" si="79"/>
        <v>#NAME?</v>
      </c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 spans="1:26">
      <c r="A575" s="100" t="e">
        <f ca="1">IFERROR(__xludf.DUMMYFUNCTION("""COMPUTED_VALUE"""),14520327)</f>
        <v>#NAME?</v>
      </c>
      <c r="B575" s="100" t="e">
        <f ca="1">IFERROR(__xludf.DUMMYFUNCTION("""COMPUTED_VALUE"""),"arbusdt")</f>
        <v>#NAME?</v>
      </c>
      <c r="C575" s="100" t="e">
        <f ca="1">IFERROR(__xludf.DUMMYFUNCTION("""COMPUTED_VALUE"""),"0.3005")</f>
        <v>#NAME?</v>
      </c>
      <c r="D575" s="100" t="e">
        <f t="shared" ca="1" si="82"/>
        <v>#NAME?</v>
      </c>
      <c r="E575" s="100" t="e">
        <f t="shared" ca="1" si="82"/>
        <v>#NAME?</v>
      </c>
      <c r="F575" s="100" t="e">
        <f t="shared" ca="1" si="74"/>
        <v>#NAME?</v>
      </c>
      <c r="G575" s="100" t="e">
        <f t="shared" ca="1" si="75"/>
        <v>#NAME?</v>
      </c>
      <c r="H575" s="100" t="e">
        <f t="shared" ca="1" si="76"/>
        <v>#NAME?</v>
      </c>
      <c r="I575" s="100" t="e">
        <f t="shared" ca="1" si="77"/>
        <v>#NAME?</v>
      </c>
      <c r="J575" s="100" t="e">
        <f t="shared" ca="1" si="78"/>
        <v>#NAME?</v>
      </c>
      <c r="K575" s="100" t="e">
        <f t="shared" ca="1" si="79"/>
        <v>#NAME?</v>
      </c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 spans="1:26">
      <c r="A576" s="100" t="e">
        <f ca="1">IFERROR(__xludf.DUMMYFUNCTION("""COMPUTED_VALUE"""),14520328)</f>
        <v>#NAME?</v>
      </c>
      <c r="B576" s="100" t="e">
        <f ca="1">IFERROR(__xludf.DUMMYFUNCTION("""COMPUTED_VALUE"""),"adausdt")</f>
        <v>#NAME?</v>
      </c>
      <c r="C576" s="100" t="e">
        <f ca="1">IFERROR(__xludf.DUMMYFUNCTION("""COMPUTED_VALUE"""),"0.639807")</f>
        <v>#NAME?</v>
      </c>
      <c r="D576" s="100" t="e">
        <f t="shared" ca="1" si="82"/>
        <v>#NAME?</v>
      </c>
      <c r="E576" s="100" t="e">
        <f t="shared" ca="1" si="82"/>
        <v>#NAME?</v>
      </c>
      <c r="F576" s="100" t="e">
        <f t="shared" ca="1" si="74"/>
        <v>#NAME?</v>
      </c>
      <c r="G576" s="100" t="e">
        <f t="shared" ca="1" si="75"/>
        <v>#NAME?</v>
      </c>
      <c r="H576" s="100" t="e">
        <f t="shared" ca="1" si="76"/>
        <v>#NAME?</v>
      </c>
      <c r="I576" s="100" t="e">
        <f t="shared" ca="1" si="77"/>
        <v>#NAME?</v>
      </c>
      <c r="J576" s="100" t="e">
        <f t="shared" ca="1" si="78"/>
        <v>#NAME?</v>
      </c>
      <c r="K576" s="100" t="e">
        <f t="shared" ca="1" si="79"/>
        <v>#NAME?</v>
      </c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 spans="1:26">
      <c r="A577" s="100" t="e">
        <f ca="1">IFERROR(__xludf.DUMMYFUNCTION("""COMPUTED_VALUE"""),14520329)</f>
        <v>#NAME?</v>
      </c>
      <c r="B577" s="100" t="e">
        <f ca="1">IFERROR(__xludf.DUMMYFUNCTION("""COMPUTED_VALUE"""),"l3usdt")</f>
        <v>#NAME?</v>
      </c>
      <c r="C577" s="100" t="e">
        <f ca="1">IFERROR(__xludf.DUMMYFUNCTION("""COMPUTED_VALUE"""),"0.06335")</f>
        <v>#NAME?</v>
      </c>
      <c r="D577" s="100" t="e">
        <f t="shared" ca="1" si="82"/>
        <v>#NAME?</v>
      </c>
      <c r="E577" s="100" t="e">
        <f t="shared" ca="1" si="82"/>
        <v>#NAME?</v>
      </c>
      <c r="F577" s="100" t="e">
        <f t="shared" ca="1" si="74"/>
        <v>#NAME?</v>
      </c>
      <c r="G577" s="100" t="e">
        <f t="shared" ca="1" si="75"/>
        <v>#NAME?</v>
      </c>
      <c r="H577" s="100" t="e">
        <f t="shared" ca="1" si="76"/>
        <v>#NAME?</v>
      </c>
      <c r="I577" s="100" t="e">
        <f t="shared" ca="1" si="77"/>
        <v>#NAME?</v>
      </c>
      <c r="J577" s="100" t="e">
        <f t="shared" ca="1" si="78"/>
        <v>#NAME?</v>
      </c>
      <c r="K577" s="100" t="e">
        <f t="shared" ca="1" si="79"/>
        <v>#NAME?</v>
      </c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 spans="1:26">
      <c r="A578" s="100" t="e">
        <f ca="1">IFERROR(__xludf.DUMMYFUNCTION("""COMPUTED_VALUE"""),14520330)</f>
        <v>#NAME?</v>
      </c>
      <c r="B578" s="100" t="e">
        <f ca="1">IFERROR(__xludf.DUMMYFUNCTION("""COMPUTED_VALUE"""),"filusdt")</f>
        <v>#NAME?</v>
      </c>
      <c r="C578" s="100" t="e">
        <f ca="1">IFERROR(__xludf.DUMMYFUNCTION("""COMPUTED_VALUE"""),"2.4957")</f>
        <v>#NAME?</v>
      </c>
      <c r="D578" s="100" t="e">
        <f t="shared" ca="1" si="82"/>
        <v>#NAME?</v>
      </c>
      <c r="E578" s="100" t="e">
        <f t="shared" ca="1" si="82"/>
        <v>#NAME?</v>
      </c>
      <c r="F578" s="100" t="e">
        <f t="shared" ref="F578:F641" ca="1" si="83">IFERROR(__xludf.DUMMYFUNCTION("""COMPUTED_VALUE"""),20200)</f>
        <v>#NAME?</v>
      </c>
      <c r="G578" s="100" t="e">
        <f t="shared" ref="G578:G641" ca="1" si="84">IFERROR(__xludf.DUMMYFUNCTION("""COMPUTED_VALUE"""),2885)</f>
        <v>#NAME?</v>
      </c>
      <c r="H578" s="100" t="e">
        <f t="shared" ref="H578:H641" ca="1" si="85">IFERROR(__xludf.DUMMYFUNCTION("""COMPUTED_VALUE"""),663)</f>
        <v>#NAME?</v>
      </c>
      <c r="I578" s="100" t="e">
        <f t="shared" ref="I578:I641" ca="1" si="86">IFERROR(__xludf.DUMMYFUNCTION("""COMPUTED_VALUE"""),5817721)</f>
        <v>#NAME?</v>
      </c>
      <c r="J578" s="100" t="e">
        <f t="shared" ref="J578:J641" ca="1" si="87">IFERROR(__xludf.DUMMYFUNCTION("""COMPUTED_VALUE"""),"-")</f>
        <v>#NAME?</v>
      </c>
      <c r="K578" s="100" t="e">
        <f t="shared" ref="K578:K641" ca="1" si="88">IFERROR(__xludf.DUMMYFUNCTION("""COMPUTED_VALUE"""),"22.04.2025 13:05:01")</f>
        <v>#NAME?</v>
      </c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 spans="1:26">
      <c r="A579" s="100" t="e">
        <f ca="1">IFERROR(__xludf.DUMMYFUNCTION("""COMPUTED_VALUE"""),14520331)</f>
        <v>#NAME?</v>
      </c>
      <c r="B579" s="100" t="e">
        <f ca="1">IFERROR(__xludf.DUMMYFUNCTION("""COMPUTED_VALUE"""),"trxbtc")</f>
        <v>#NAME?</v>
      </c>
      <c r="C579" s="100" t="e">
        <f ca="1">IFERROR(__xludf.DUMMYFUNCTION("""COMPUTED_VALUE"""),"2.7998e-06")</f>
        <v>#NAME?</v>
      </c>
      <c r="D579" s="100" t="e">
        <f t="shared" ca="1" si="82"/>
        <v>#NAME?</v>
      </c>
      <c r="E579" s="100" t="e">
        <f t="shared" ca="1" si="82"/>
        <v>#NAME?</v>
      </c>
      <c r="F579" s="100" t="e">
        <f t="shared" ca="1" si="83"/>
        <v>#NAME?</v>
      </c>
      <c r="G579" s="100" t="e">
        <f t="shared" ca="1" si="84"/>
        <v>#NAME?</v>
      </c>
      <c r="H579" s="100" t="e">
        <f t="shared" ca="1" si="85"/>
        <v>#NAME?</v>
      </c>
      <c r="I579" s="100" t="e">
        <f t="shared" ca="1" si="86"/>
        <v>#NAME?</v>
      </c>
      <c r="J579" s="100" t="e">
        <f t="shared" ca="1" si="87"/>
        <v>#NAME?</v>
      </c>
      <c r="K579" s="100" t="e">
        <f t="shared" ca="1" si="88"/>
        <v>#NAME?</v>
      </c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 spans="1:26">
      <c r="A580" s="100" t="e">
        <f ca="1">IFERROR(__xludf.DUMMYFUNCTION("""COMPUTED_VALUE"""),14520332)</f>
        <v>#NAME?</v>
      </c>
      <c r="B580" s="100" t="e">
        <f ca="1">IFERROR(__xludf.DUMMYFUNCTION("""COMPUTED_VALUE"""),"moodengethusdt")</f>
        <v>#NAME?</v>
      </c>
      <c r="C580" s="100" t="e">
        <f ca="1">IFERROR(__xludf.DUMMYFUNCTION("""COMPUTED_VALUE"""),"2.085e-05")</f>
        <v>#NAME?</v>
      </c>
      <c r="D580" s="100" t="e">
        <f t="shared" ca="1" si="82"/>
        <v>#NAME?</v>
      </c>
      <c r="E580" s="100" t="e">
        <f t="shared" ca="1" si="82"/>
        <v>#NAME?</v>
      </c>
      <c r="F580" s="100" t="e">
        <f t="shared" ca="1" si="83"/>
        <v>#NAME?</v>
      </c>
      <c r="G580" s="100" t="e">
        <f t="shared" ca="1" si="84"/>
        <v>#NAME?</v>
      </c>
      <c r="H580" s="100" t="e">
        <f t="shared" ca="1" si="85"/>
        <v>#NAME?</v>
      </c>
      <c r="I580" s="100" t="e">
        <f t="shared" ca="1" si="86"/>
        <v>#NAME?</v>
      </c>
      <c r="J580" s="100" t="e">
        <f t="shared" ca="1" si="87"/>
        <v>#NAME?</v>
      </c>
      <c r="K580" s="100" t="e">
        <f t="shared" ca="1" si="88"/>
        <v>#NAME?</v>
      </c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 spans="1:26">
      <c r="A581" s="100" t="e">
        <f ca="1">IFERROR(__xludf.DUMMYFUNCTION("""COMPUTED_VALUE"""),14520333)</f>
        <v>#NAME?</v>
      </c>
      <c r="B581" s="100" t="e">
        <f ca="1">IFERROR(__xludf.DUMMYFUNCTION("""COMPUTED_VALUE"""),"atmusdt")</f>
        <v>#NAME?</v>
      </c>
      <c r="C581" s="100" t="e">
        <f ca="1">IFERROR(__xludf.DUMMYFUNCTION("""COMPUTED_VALUE"""),"1.0772")</f>
        <v>#NAME?</v>
      </c>
      <c r="D581" s="100" t="e">
        <f t="shared" ca="1" si="82"/>
        <v>#NAME?</v>
      </c>
      <c r="E581" s="100" t="e">
        <f t="shared" ca="1" si="82"/>
        <v>#NAME?</v>
      </c>
      <c r="F581" s="100" t="e">
        <f t="shared" ca="1" si="83"/>
        <v>#NAME?</v>
      </c>
      <c r="G581" s="100" t="e">
        <f t="shared" ca="1" si="84"/>
        <v>#NAME?</v>
      </c>
      <c r="H581" s="100" t="e">
        <f t="shared" ca="1" si="85"/>
        <v>#NAME?</v>
      </c>
      <c r="I581" s="100" t="e">
        <f t="shared" ca="1" si="86"/>
        <v>#NAME?</v>
      </c>
      <c r="J581" s="100" t="e">
        <f t="shared" ca="1" si="87"/>
        <v>#NAME?</v>
      </c>
      <c r="K581" s="100" t="e">
        <f t="shared" ca="1" si="88"/>
        <v>#NAME?</v>
      </c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 spans="1:26">
      <c r="A582" s="100" t="e">
        <f ca="1">IFERROR(__xludf.DUMMYFUNCTION("""COMPUTED_VALUE"""),14520334)</f>
        <v>#NAME?</v>
      </c>
      <c r="B582" s="100" t="e">
        <f ca="1">IFERROR(__xludf.DUMMYFUNCTION("""COMPUTED_VALUE"""),"elxusdt")</f>
        <v>#NAME?</v>
      </c>
      <c r="C582" s="100" t="e">
        <f ca="1">IFERROR(__xludf.DUMMYFUNCTION("""COMPUTED_VALUE"""),"0.1127")</f>
        <v>#NAME?</v>
      </c>
      <c r="D582" s="100" t="e">
        <f t="shared" ref="D582:E601" ca="1" si="89">IFERROR(__xludf.DUMMYFUNCTION("""COMPUTED_VALUE"""),"-")</f>
        <v>#NAME?</v>
      </c>
      <c r="E582" s="100" t="e">
        <f t="shared" ca="1" si="89"/>
        <v>#NAME?</v>
      </c>
      <c r="F582" s="100" t="e">
        <f t="shared" ca="1" si="83"/>
        <v>#NAME?</v>
      </c>
      <c r="G582" s="100" t="e">
        <f t="shared" ca="1" si="84"/>
        <v>#NAME?</v>
      </c>
      <c r="H582" s="100" t="e">
        <f t="shared" ca="1" si="85"/>
        <v>#NAME?</v>
      </c>
      <c r="I582" s="100" t="e">
        <f t="shared" ca="1" si="86"/>
        <v>#NAME?</v>
      </c>
      <c r="J582" s="100" t="e">
        <f t="shared" ca="1" si="87"/>
        <v>#NAME?</v>
      </c>
      <c r="K582" s="100" t="e">
        <f t="shared" ca="1" si="88"/>
        <v>#NAME?</v>
      </c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 spans="1:26">
      <c r="A583" s="100" t="e">
        <f ca="1">IFERROR(__xludf.DUMMYFUNCTION("""COMPUTED_VALUE"""),14520335)</f>
        <v>#NAME?</v>
      </c>
      <c r="B583" s="100" t="e">
        <f ca="1">IFERROR(__xludf.DUMMYFUNCTION("""COMPUTED_VALUE"""),"wnxmusdt")</f>
        <v>#NAME?</v>
      </c>
      <c r="C583" s="100" t="e">
        <f ca="1">IFERROR(__xludf.DUMMYFUNCTION("""COMPUTED_VALUE"""),"35.7651")</f>
        <v>#NAME?</v>
      </c>
      <c r="D583" s="100" t="e">
        <f t="shared" ca="1" si="89"/>
        <v>#NAME?</v>
      </c>
      <c r="E583" s="100" t="e">
        <f t="shared" ca="1" si="89"/>
        <v>#NAME?</v>
      </c>
      <c r="F583" s="100" t="e">
        <f t="shared" ca="1" si="83"/>
        <v>#NAME?</v>
      </c>
      <c r="G583" s="100" t="e">
        <f t="shared" ca="1" si="84"/>
        <v>#NAME?</v>
      </c>
      <c r="H583" s="100" t="e">
        <f t="shared" ca="1" si="85"/>
        <v>#NAME?</v>
      </c>
      <c r="I583" s="100" t="e">
        <f t="shared" ca="1" si="86"/>
        <v>#NAME?</v>
      </c>
      <c r="J583" s="100" t="e">
        <f t="shared" ca="1" si="87"/>
        <v>#NAME?</v>
      </c>
      <c r="K583" s="100" t="e">
        <f t="shared" ca="1" si="88"/>
        <v>#NAME?</v>
      </c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 spans="1:26">
      <c r="A584" s="100" t="e">
        <f ca="1">IFERROR(__xludf.DUMMYFUNCTION("""COMPUTED_VALUE"""),14520336)</f>
        <v>#NAME?</v>
      </c>
      <c r="B584" s="100" t="e">
        <f ca="1">IFERROR(__xludf.DUMMYFUNCTION("""COMPUTED_VALUE"""),"sunwukongusdt")</f>
        <v>#NAME?</v>
      </c>
      <c r="C584" s="100" t="e">
        <f ca="1">IFERROR(__xludf.DUMMYFUNCTION("""COMPUTED_VALUE"""),"0.00043")</f>
        <v>#NAME?</v>
      </c>
      <c r="D584" s="100" t="e">
        <f t="shared" ca="1" si="89"/>
        <v>#NAME?</v>
      </c>
      <c r="E584" s="100" t="e">
        <f t="shared" ca="1" si="89"/>
        <v>#NAME?</v>
      </c>
      <c r="F584" s="100" t="e">
        <f t="shared" ca="1" si="83"/>
        <v>#NAME?</v>
      </c>
      <c r="G584" s="100" t="e">
        <f t="shared" ca="1" si="84"/>
        <v>#NAME?</v>
      </c>
      <c r="H584" s="100" t="e">
        <f t="shared" ca="1" si="85"/>
        <v>#NAME?</v>
      </c>
      <c r="I584" s="100" t="e">
        <f t="shared" ca="1" si="86"/>
        <v>#NAME?</v>
      </c>
      <c r="J584" s="100" t="e">
        <f t="shared" ca="1" si="87"/>
        <v>#NAME?</v>
      </c>
      <c r="K584" s="100" t="e">
        <f t="shared" ca="1" si="88"/>
        <v>#NAME?</v>
      </c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 spans="1:26">
      <c r="A585" s="100" t="e">
        <f ca="1">IFERROR(__xludf.DUMMYFUNCTION("""COMPUTED_VALUE"""),14520337)</f>
        <v>#NAME?</v>
      </c>
      <c r="B585" s="100" t="e">
        <f ca="1">IFERROR(__xludf.DUMMYFUNCTION("""COMPUTED_VALUE"""),"urousdt")</f>
        <v>#NAME?</v>
      </c>
      <c r="C585" s="100" t="e">
        <f ca="1">IFERROR(__xludf.DUMMYFUNCTION("""COMPUTED_VALUE"""),"0.00188")</f>
        <v>#NAME?</v>
      </c>
      <c r="D585" s="100" t="e">
        <f t="shared" ca="1" si="89"/>
        <v>#NAME?</v>
      </c>
      <c r="E585" s="100" t="e">
        <f t="shared" ca="1" si="89"/>
        <v>#NAME?</v>
      </c>
      <c r="F585" s="100" t="e">
        <f t="shared" ca="1" si="83"/>
        <v>#NAME?</v>
      </c>
      <c r="G585" s="100" t="e">
        <f t="shared" ca="1" si="84"/>
        <v>#NAME?</v>
      </c>
      <c r="H585" s="100" t="e">
        <f t="shared" ca="1" si="85"/>
        <v>#NAME?</v>
      </c>
      <c r="I585" s="100" t="e">
        <f t="shared" ca="1" si="86"/>
        <v>#NAME?</v>
      </c>
      <c r="J585" s="100" t="e">
        <f t="shared" ca="1" si="87"/>
        <v>#NAME?</v>
      </c>
      <c r="K585" s="100" t="e">
        <f t="shared" ca="1" si="88"/>
        <v>#NAME?</v>
      </c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 spans="1:26">
      <c r="A586" s="100" t="e">
        <f ca="1">IFERROR(__xludf.DUMMYFUNCTION("""COMPUTED_VALUE"""),14520338)</f>
        <v>#NAME?</v>
      </c>
      <c r="B586" s="100" t="e">
        <f ca="1">IFERROR(__xludf.DUMMYFUNCTION("""COMPUTED_VALUE"""),"melaniausdt")</f>
        <v>#NAME?</v>
      </c>
      <c r="C586" s="100" t="e">
        <f ca="1">IFERROR(__xludf.DUMMYFUNCTION("""COMPUTED_VALUE"""),"0.3734")</f>
        <v>#NAME?</v>
      </c>
      <c r="D586" s="100" t="e">
        <f t="shared" ca="1" si="89"/>
        <v>#NAME?</v>
      </c>
      <c r="E586" s="100" t="e">
        <f t="shared" ca="1" si="89"/>
        <v>#NAME?</v>
      </c>
      <c r="F586" s="100" t="e">
        <f t="shared" ca="1" si="83"/>
        <v>#NAME?</v>
      </c>
      <c r="G586" s="100" t="e">
        <f t="shared" ca="1" si="84"/>
        <v>#NAME?</v>
      </c>
      <c r="H586" s="100" t="e">
        <f t="shared" ca="1" si="85"/>
        <v>#NAME?</v>
      </c>
      <c r="I586" s="100" t="e">
        <f t="shared" ca="1" si="86"/>
        <v>#NAME?</v>
      </c>
      <c r="J586" s="100" t="e">
        <f t="shared" ca="1" si="87"/>
        <v>#NAME?</v>
      </c>
      <c r="K586" s="100" t="e">
        <f t="shared" ca="1" si="88"/>
        <v>#NAME?</v>
      </c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 spans="1:26">
      <c r="A587" s="100" t="e">
        <f ca="1">IFERROR(__xludf.DUMMYFUNCTION("""COMPUTED_VALUE"""),14520339)</f>
        <v>#NAME?</v>
      </c>
      <c r="B587" s="100" t="e">
        <f ca="1">IFERROR(__xludf.DUMMYFUNCTION("""COMPUTED_VALUE"""),"bobausdt")</f>
        <v>#NAME?</v>
      </c>
      <c r="C587" s="100" t="e">
        <f ca="1">IFERROR(__xludf.DUMMYFUNCTION("""COMPUTED_VALUE"""),"0.08384")</f>
        <v>#NAME?</v>
      </c>
      <c r="D587" s="100" t="e">
        <f t="shared" ca="1" si="89"/>
        <v>#NAME?</v>
      </c>
      <c r="E587" s="100" t="e">
        <f t="shared" ca="1" si="89"/>
        <v>#NAME?</v>
      </c>
      <c r="F587" s="100" t="e">
        <f t="shared" ca="1" si="83"/>
        <v>#NAME?</v>
      </c>
      <c r="G587" s="100" t="e">
        <f t="shared" ca="1" si="84"/>
        <v>#NAME?</v>
      </c>
      <c r="H587" s="100" t="e">
        <f t="shared" ca="1" si="85"/>
        <v>#NAME?</v>
      </c>
      <c r="I587" s="100" t="e">
        <f t="shared" ca="1" si="86"/>
        <v>#NAME?</v>
      </c>
      <c r="J587" s="100" t="e">
        <f t="shared" ca="1" si="87"/>
        <v>#NAME?</v>
      </c>
      <c r="K587" s="100" t="e">
        <f t="shared" ca="1" si="88"/>
        <v>#NAME?</v>
      </c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 spans="1:26">
      <c r="A588" s="100" t="e">
        <f ca="1">IFERROR(__xludf.DUMMYFUNCTION("""COMPUTED_VALUE"""),14520340)</f>
        <v>#NAME?</v>
      </c>
      <c r="B588" s="100" t="e">
        <f ca="1">IFERROR(__xludf.DUMMYFUNCTION("""COMPUTED_VALUE"""),"agldusdt")</f>
        <v>#NAME?</v>
      </c>
      <c r="C588" s="100" t="e">
        <f ca="1">IFERROR(__xludf.DUMMYFUNCTION("""COMPUTED_VALUE"""),"0.8212")</f>
        <v>#NAME?</v>
      </c>
      <c r="D588" s="100" t="e">
        <f t="shared" ca="1" si="89"/>
        <v>#NAME?</v>
      </c>
      <c r="E588" s="100" t="e">
        <f t="shared" ca="1" si="89"/>
        <v>#NAME?</v>
      </c>
      <c r="F588" s="100" t="e">
        <f t="shared" ca="1" si="83"/>
        <v>#NAME?</v>
      </c>
      <c r="G588" s="100" t="e">
        <f t="shared" ca="1" si="84"/>
        <v>#NAME?</v>
      </c>
      <c r="H588" s="100" t="e">
        <f t="shared" ca="1" si="85"/>
        <v>#NAME?</v>
      </c>
      <c r="I588" s="100" t="e">
        <f t="shared" ca="1" si="86"/>
        <v>#NAME?</v>
      </c>
      <c r="J588" s="100" t="e">
        <f t="shared" ca="1" si="87"/>
        <v>#NAME?</v>
      </c>
      <c r="K588" s="100" t="e">
        <f t="shared" ca="1" si="88"/>
        <v>#NAME?</v>
      </c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 spans="1:26">
      <c r="A589" s="100" t="e">
        <f ca="1">IFERROR(__xludf.DUMMYFUNCTION("""COMPUTED_VALUE"""),14520341)</f>
        <v>#NAME?</v>
      </c>
      <c r="B589" s="100" t="e">
        <f ca="1">IFERROR(__xludf.DUMMYFUNCTION("""COMPUTED_VALUE"""),"berryusdt")</f>
        <v>#NAME?</v>
      </c>
      <c r="C589" s="100" t="e">
        <f ca="1">IFERROR(__xludf.DUMMYFUNCTION("""COMPUTED_VALUE"""),"0.000145")</f>
        <v>#NAME?</v>
      </c>
      <c r="D589" s="100" t="e">
        <f t="shared" ca="1" si="89"/>
        <v>#NAME?</v>
      </c>
      <c r="E589" s="100" t="e">
        <f t="shared" ca="1" si="89"/>
        <v>#NAME?</v>
      </c>
      <c r="F589" s="100" t="e">
        <f t="shared" ca="1" si="83"/>
        <v>#NAME?</v>
      </c>
      <c r="G589" s="100" t="e">
        <f t="shared" ca="1" si="84"/>
        <v>#NAME?</v>
      </c>
      <c r="H589" s="100" t="e">
        <f t="shared" ca="1" si="85"/>
        <v>#NAME?</v>
      </c>
      <c r="I589" s="100" t="e">
        <f t="shared" ca="1" si="86"/>
        <v>#NAME?</v>
      </c>
      <c r="J589" s="100" t="e">
        <f t="shared" ca="1" si="87"/>
        <v>#NAME?</v>
      </c>
      <c r="K589" s="100" t="e">
        <f t="shared" ca="1" si="88"/>
        <v>#NAME?</v>
      </c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 spans="1:26">
      <c r="A590" s="100" t="e">
        <f ca="1">IFERROR(__xludf.DUMMYFUNCTION("""COMPUTED_VALUE"""),14520342)</f>
        <v>#NAME?</v>
      </c>
      <c r="B590" s="100" t="e">
        <f ca="1">IFERROR(__xludf.DUMMYFUNCTION("""COMPUTED_VALUE"""),"e1e2usdt")</f>
        <v>#NAME?</v>
      </c>
      <c r="C590" s="100" t="e">
        <f ca="1">IFERROR(__xludf.DUMMYFUNCTION("""COMPUTED_VALUE"""),"0.0")</f>
        <v>#NAME?</v>
      </c>
      <c r="D590" s="100" t="e">
        <f t="shared" ca="1" si="89"/>
        <v>#NAME?</v>
      </c>
      <c r="E590" s="100" t="e">
        <f t="shared" ca="1" si="89"/>
        <v>#NAME?</v>
      </c>
      <c r="F590" s="100" t="e">
        <f t="shared" ca="1" si="83"/>
        <v>#NAME?</v>
      </c>
      <c r="G590" s="100" t="e">
        <f t="shared" ca="1" si="84"/>
        <v>#NAME?</v>
      </c>
      <c r="H590" s="100" t="e">
        <f t="shared" ca="1" si="85"/>
        <v>#NAME?</v>
      </c>
      <c r="I590" s="100" t="e">
        <f t="shared" ca="1" si="86"/>
        <v>#NAME?</v>
      </c>
      <c r="J590" s="100" t="e">
        <f t="shared" ca="1" si="87"/>
        <v>#NAME?</v>
      </c>
      <c r="K590" s="100" t="e">
        <f t="shared" ca="1" si="88"/>
        <v>#NAME?</v>
      </c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 spans="1:26">
      <c r="A591" s="100" t="e">
        <f ca="1">IFERROR(__xludf.DUMMYFUNCTION("""COMPUTED_VALUE"""),14520343)</f>
        <v>#NAME?</v>
      </c>
      <c r="B591" s="100" t="e">
        <f ca="1">IFERROR(__xludf.DUMMYFUNCTION("""COMPUTED_VALUE"""),"wanusdt")</f>
        <v>#NAME?</v>
      </c>
      <c r="C591" s="100" t="e">
        <f ca="1">IFERROR(__xludf.DUMMYFUNCTION("""COMPUTED_VALUE"""),"0.1092")</f>
        <v>#NAME?</v>
      </c>
      <c r="D591" s="100" t="e">
        <f t="shared" ca="1" si="89"/>
        <v>#NAME?</v>
      </c>
      <c r="E591" s="100" t="e">
        <f t="shared" ca="1" si="89"/>
        <v>#NAME?</v>
      </c>
      <c r="F591" s="100" t="e">
        <f t="shared" ca="1" si="83"/>
        <v>#NAME?</v>
      </c>
      <c r="G591" s="100" t="e">
        <f t="shared" ca="1" si="84"/>
        <v>#NAME?</v>
      </c>
      <c r="H591" s="100" t="e">
        <f t="shared" ca="1" si="85"/>
        <v>#NAME?</v>
      </c>
      <c r="I591" s="100" t="e">
        <f t="shared" ca="1" si="86"/>
        <v>#NAME?</v>
      </c>
      <c r="J591" s="100" t="e">
        <f t="shared" ca="1" si="87"/>
        <v>#NAME?</v>
      </c>
      <c r="K591" s="100" t="e">
        <f t="shared" ca="1" si="88"/>
        <v>#NAME?</v>
      </c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 spans="1:26">
      <c r="A592" s="100" t="e">
        <f ca="1">IFERROR(__xludf.DUMMYFUNCTION("""COMPUTED_VALUE"""),14520344)</f>
        <v>#NAME?</v>
      </c>
      <c r="B592" s="100" t="e">
        <f ca="1">IFERROR(__xludf.DUMMYFUNCTION("""COMPUTED_VALUE"""),"blzusdt")</f>
        <v>#NAME?</v>
      </c>
      <c r="C592" s="100" t="e">
        <f ca="1">IFERROR(__xludf.DUMMYFUNCTION("""COMPUTED_VALUE"""),"0.0334")</f>
        <v>#NAME?</v>
      </c>
      <c r="D592" s="100" t="e">
        <f t="shared" ca="1" si="89"/>
        <v>#NAME?</v>
      </c>
      <c r="E592" s="100" t="e">
        <f t="shared" ca="1" si="89"/>
        <v>#NAME?</v>
      </c>
      <c r="F592" s="100" t="e">
        <f t="shared" ca="1" si="83"/>
        <v>#NAME?</v>
      </c>
      <c r="G592" s="100" t="e">
        <f t="shared" ca="1" si="84"/>
        <v>#NAME?</v>
      </c>
      <c r="H592" s="100" t="e">
        <f t="shared" ca="1" si="85"/>
        <v>#NAME?</v>
      </c>
      <c r="I592" s="100" t="e">
        <f t="shared" ca="1" si="86"/>
        <v>#NAME?</v>
      </c>
      <c r="J592" s="100" t="e">
        <f t="shared" ca="1" si="87"/>
        <v>#NAME?</v>
      </c>
      <c r="K592" s="100" t="e">
        <f t="shared" ca="1" si="88"/>
        <v>#NAME?</v>
      </c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 spans="1:26">
      <c r="A593" s="100" t="e">
        <f ca="1">IFERROR(__xludf.DUMMYFUNCTION("""COMPUTED_VALUE"""),14520345)</f>
        <v>#NAME?</v>
      </c>
      <c r="B593" s="100" t="e">
        <f ca="1">IFERROR(__xludf.DUMMYFUNCTION("""COMPUTED_VALUE"""),"swftceth")</f>
        <v>#NAME?</v>
      </c>
      <c r="C593" s="100" t="e">
        <f ca="1">IFERROR(__xludf.DUMMYFUNCTION("""COMPUTED_VALUE"""),"7.7455e-06")</f>
        <v>#NAME?</v>
      </c>
      <c r="D593" s="100" t="e">
        <f t="shared" ca="1" si="89"/>
        <v>#NAME?</v>
      </c>
      <c r="E593" s="100" t="e">
        <f t="shared" ca="1" si="89"/>
        <v>#NAME?</v>
      </c>
      <c r="F593" s="100" t="e">
        <f t="shared" ca="1" si="83"/>
        <v>#NAME?</v>
      </c>
      <c r="G593" s="100" t="e">
        <f t="shared" ca="1" si="84"/>
        <v>#NAME?</v>
      </c>
      <c r="H593" s="100" t="e">
        <f t="shared" ca="1" si="85"/>
        <v>#NAME?</v>
      </c>
      <c r="I593" s="100" t="e">
        <f t="shared" ca="1" si="86"/>
        <v>#NAME?</v>
      </c>
      <c r="J593" s="100" t="e">
        <f t="shared" ca="1" si="87"/>
        <v>#NAME?</v>
      </c>
      <c r="K593" s="100" t="e">
        <f t="shared" ca="1" si="88"/>
        <v>#NAME?</v>
      </c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 spans="1:26">
      <c r="A594" s="100" t="e">
        <f ca="1">IFERROR(__xludf.DUMMYFUNCTION("""COMPUTED_VALUE"""),14520346)</f>
        <v>#NAME?</v>
      </c>
      <c r="B594" s="100" t="e">
        <f ca="1">IFERROR(__xludf.DUMMYFUNCTION("""COMPUTED_VALUE"""),"axsusdt")</f>
        <v>#NAME?</v>
      </c>
      <c r="C594" s="100" t="e">
        <f ca="1">IFERROR(__xludf.DUMMYFUNCTION("""COMPUTED_VALUE"""),"2.2751")</f>
        <v>#NAME?</v>
      </c>
      <c r="D594" s="100" t="e">
        <f t="shared" ca="1" si="89"/>
        <v>#NAME?</v>
      </c>
      <c r="E594" s="100" t="e">
        <f t="shared" ca="1" si="89"/>
        <v>#NAME?</v>
      </c>
      <c r="F594" s="100" t="e">
        <f t="shared" ca="1" si="83"/>
        <v>#NAME?</v>
      </c>
      <c r="G594" s="100" t="e">
        <f t="shared" ca="1" si="84"/>
        <v>#NAME?</v>
      </c>
      <c r="H594" s="100" t="e">
        <f t="shared" ca="1" si="85"/>
        <v>#NAME?</v>
      </c>
      <c r="I594" s="100" t="e">
        <f t="shared" ca="1" si="86"/>
        <v>#NAME?</v>
      </c>
      <c r="J594" s="100" t="e">
        <f t="shared" ca="1" si="87"/>
        <v>#NAME?</v>
      </c>
      <c r="K594" s="100" t="e">
        <f t="shared" ca="1" si="88"/>
        <v>#NAME?</v>
      </c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 spans="1:26">
      <c r="A595" s="100" t="e">
        <f ca="1">IFERROR(__xludf.DUMMYFUNCTION("""COMPUTED_VALUE"""),14520347)</f>
        <v>#NAME?</v>
      </c>
      <c r="B595" s="100" t="e">
        <f ca="1">IFERROR(__xludf.DUMMYFUNCTION("""COMPUTED_VALUE"""),"sovrnusdt")</f>
        <v>#NAME?</v>
      </c>
      <c r="C595" s="100" t="e">
        <f ca="1">IFERROR(__xludf.DUMMYFUNCTION("""COMPUTED_VALUE"""),"0.009101")</f>
        <v>#NAME?</v>
      </c>
      <c r="D595" s="100" t="e">
        <f t="shared" ca="1" si="89"/>
        <v>#NAME?</v>
      </c>
      <c r="E595" s="100" t="e">
        <f t="shared" ca="1" si="89"/>
        <v>#NAME?</v>
      </c>
      <c r="F595" s="100" t="e">
        <f t="shared" ca="1" si="83"/>
        <v>#NAME?</v>
      </c>
      <c r="G595" s="100" t="e">
        <f t="shared" ca="1" si="84"/>
        <v>#NAME?</v>
      </c>
      <c r="H595" s="100" t="e">
        <f t="shared" ca="1" si="85"/>
        <v>#NAME?</v>
      </c>
      <c r="I595" s="100" t="e">
        <f t="shared" ca="1" si="86"/>
        <v>#NAME?</v>
      </c>
      <c r="J595" s="100" t="e">
        <f t="shared" ca="1" si="87"/>
        <v>#NAME?</v>
      </c>
      <c r="K595" s="100" t="e">
        <f t="shared" ca="1" si="88"/>
        <v>#NAME?</v>
      </c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 spans="1:26">
      <c r="A596" s="100" t="e">
        <f ca="1">IFERROR(__xludf.DUMMYFUNCTION("""COMPUTED_VALUE"""),14520348)</f>
        <v>#NAME?</v>
      </c>
      <c r="B596" s="100" t="e">
        <f ca="1">IFERROR(__xludf.DUMMYFUNCTION("""COMPUTED_VALUE"""),"ltcbtc")</f>
        <v>#NAME?</v>
      </c>
      <c r="C596" s="100" t="e">
        <f ca="1">IFERROR(__xludf.DUMMYFUNCTION("""COMPUTED_VALUE"""),"0.000895")</f>
        <v>#NAME?</v>
      </c>
      <c r="D596" s="100" t="e">
        <f t="shared" ca="1" si="89"/>
        <v>#NAME?</v>
      </c>
      <c r="E596" s="100" t="e">
        <f t="shared" ca="1" si="89"/>
        <v>#NAME?</v>
      </c>
      <c r="F596" s="100" t="e">
        <f t="shared" ca="1" si="83"/>
        <v>#NAME?</v>
      </c>
      <c r="G596" s="100" t="e">
        <f t="shared" ca="1" si="84"/>
        <v>#NAME?</v>
      </c>
      <c r="H596" s="100" t="e">
        <f t="shared" ca="1" si="85"/>
        <v>#NAME?</v>
      </c>
      <c r="I596" s="100" t="e">
        <f t="shared" ca="1" si="86"/>
        <v>#NAME?</v>
      </c>
      <c r="J596" s="100" t="e">
        <f t="shared" ca="1" si="87"/>
        <v>#NAME?</v>
      </c>
      <c r="K596" s="100" t="e">
        <f t="shared" ca="1" si="88"/>
        <v>#NAME?</v>
      </c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 spans="1:26">
      <c r="A597" s="100" t="e">
        <f ca="1">IFERROR(__xludf.DUMMYFUNCTION("""COMPUTED_VALUE"""),14520349)</f>
        <v>#NAME?</v>
      </c>
      <c r="B597" s="100" t="e">
        <f ca="1">IFERROR(__xludf.DUMMYFUNCTION("""COMPUTED_VALUE"""),"mlnusdt")</f>
        <v>#NAME?</v>
      </c>
      <c r="C597" s="100" t="e">
        <f ca="1">IFERROR(__xludf.DUMMYFUNCTION("""COMPUTED_VALUE"""),"8.308")</f>
        <v>#NAME?</v>
      </c>
      <c r="D597" s="100" t="e">
        <f t="shared" ca="1" si="89"/>
        <v>#NAME?</v>
      </c>
      <c r="E597" s="100" t="e">
        <f t="shared" ca="1" si="89"/>
        <v>#NAME?</v>
      </c>
      <c r="F597" s="100" t="e">
        <f t="shared" ca="1" si="83"/>
        <v>#NAME?</v>
      </c>
      <c r="G597" s="100" t="e">
        <f t="shared" ca="1" si="84"/>
        <v>#NAME?</v>
      </c>
      <c r="H597" s="100" t="e">
        <f t="shared" ca="1" si="85"/>
        <v>#NAME?</v>
      </c>
      <c r="I597" s="100" t="e">
        <f t="shared" ca="1" si="86"/>
        <v>#NAME?</v>
      </c>
      <c r="J597" s="100" t="e">
        <f t="shared" ca="1" si="87"/>
        <v>#NAME?</v>
      </c>
      <c r="K597" s="100" t="e">
        <f t="shared" ca="1" si="88"/>
        <v>#NAME?</v>
      </c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 spans="1:26">
      <c r="A598" s="100" t="e">
        <f ca="1">IFERROR(__xludf.DUMMYFUNCTION("""COMPUTED_VALUE"""),14520350)</f>
        <v>#NAME?</v>
      </c>
      <c r="B598" s="100" t="e">
        <f ca="1">IFERROR(__xludf.DUMMYFUNCTION("""COMPUTED_VALUE"""),"avacnusdt")</f>
        <v>#NAME?</v>
      </c>
      <c r="C598" s="100" t="e">
        <f ca="1">IFERROR(__xludf.DUMMYFUNCTION("""COMPUTED_VALUE"""),"7.5e-06")</f>
        <v>#NAME?</v>
      </c>
      <c r="D598" s="100" t="e">
        <f t="shared" ca="1" si="89"/>
        <v>#NAME?</v>
      </c>
      <c r="E598" s="100" t="e">
        <f t="shared" ca="1" si="89"/>
        <v>#NAME?</v>
      </c>
      <c r="F598" s="100" t="e">
        <f t="shared" ca="1" si="83"/>
        <v>#NAME?</v>
      </c>
      <c r="G598" s="100" t="e">
        <f t="shared" ca="1" si="84"/>
        <v>#NAME?</v>
      </c>
      <c r="H598" s="100" t="e">
        <f t="shared" ca="1" si="85"/>
        <v>#NAME?</v>
      </c>
      <c r="I598" s="100" t="e">
        <f t="shared" ca="1" si="86"/>
        <v>#NAME?</v>
      </c>
      <c r="J598" s="100" t="e">
        <f t="shared" ca="1" si="87"/>
        <v>#NAME?</v>
      </c>
      <c r="K598" s="100" t="e">
        <f t="shared" ca="1" si="88"/>
        <v>#NAME?</v>
      </c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 spans="1:26">
      <c r="A599" s="100" t="e">
        <f ca="1">IFERROR(__xludf.DUMMYFUNCTION("""COMPUTED_VALUE"""),14520351)</f>
        <v>#NAME?</v>
      </c>
      <c r="B599" s="100" t="e">
        <f ca="1">IFERROR(__xludf.DUMMYFUNCTION("""COMPUTED_VALUE"""),"fttusdt")</f>
        <v>#NAME?</v>
      </c>
      <c r="C599" s="100" t="e">
        <f ca="1">IFERROR(__xludf.DUMMYFUNCTION("""COMPUTED_VALUE"""),"0.8132")</f>
        <v>#NAME?</v>
      </c>
      <c r="D599" s="100" t="e">
        <f t="shared" ca="1" si="89"/>
        <v>#NAME?</v>
      </c>
      <c r="E599" s="100" t="e">
        <f t="shared" ca="1" si="89"/>
        <v>#NAME?</v>
      </c>
      <c r="F599" s="100" t="e">
        <f t="shared" ca="1" si="83"/>
        <v>#NAME?</v>
      </c>
      <c r="G599" s="100" t="e">
        <f t="shared" ca="1" si="84"/>
        <v>#NAME?</v>
      </c>
      <c r="H599" s="100" t="e">
        <f t="shared" ca="1" si="85"/>
        <v>#NAME?</v>
      </c>
      <c r="I599" s="100" t="e">
        <f t="shared" ca="1" si="86"/>
        <v>#NAME?</v>
      </c>
      <c r="J599" s="100" t="e">
        <f t="shared" ca="1" si="87"/>
        <v>#NAME?</v>
      </c>
      <c r="K599" s="100" t="e">
        <f t="shared" ca="1" si="88"/>
        <v>#NAME?</v>
      </c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 spans="1:26">
      <c r="A600" s="100" t="e">
        <f ca="1">IFERROR(__xludf.DUMMYFUNCTION("""COMPUTED_VALUE"""),14520352)</f>
        <v>#NAME?</v>
      </c>
      <c r="B600" s="100" t="e">
        <f ca="1">IFERROR(__xludf.DUMMYFUNCTION("""COMPUTED_VALUE"""),"cawusdt")</f>
        <v>#NAME?</v>
      </c>
      <c r="C600" s="100" t="e">
        <f ca="1">IFERROR(__xludf.DUMMYFUNCTION("""COMPUTED_VALUE"""),"4.8878e-08")</f>
        <v>#NAME?</v>
      </c>
      <c r="D600" s="100" t="e">
        <f t="shared" ca="1" si="89"/>
        <v>#NAME?</v>
      </c>
      <c r="E600" s="100" t="e">
        <f t="shared" ca="1" si="89"/>
        <v>#NAME?</v>
      </c>
      <c r="F600" s="100" t="e">
        <f t="shared" ca="1" si="83"/>
        <v>#NAME?</v>
      </c>
      <c r="G600" s="100" t="e">
        <f t="shared" ca="1" si="84"/>
        <v>#NAME?</v>
      </c>
      <c r="H600" s="100" t="e">
        <f t="shared" ca="1" si="85"/>
        <v>#NAME?</v>
      </c>
      <c r="I600" s="100" t="e">
        <f t="shared" ca="1" si="86"/>
        <v>#NAME?</v>
      </c>
      <c r="J600" s="100" t="e">
        <f t="shared" ca="1" si="87"/>
        <v>#NAME?</v>
      </c>
      <c r="K600" s="100" t="e">
        <f t="shared" ca="1" si="88"/>
        <v>#NAME?</v>
      </c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 spans="1:26">
      <c r="A601" s="100" t="e">
        <f ca="1">IFERROR(__xludf.DUMMYFUNCTION("""COMPUTED_VALUE"""),14520353)</f>
        <v>#NAME?</v>
      </c>
      <c r="B601" s="100" t="e">
        <f ca="1">IFERROR(__xludf.DUMMYFUNCTION("""COMPUTED_VALUE"""),"oneusdt")</f>
        <v>#NAME?</v>
      </c>
      <c r="C601" s="100" t="e">
        <f ca="1">IFERROR(__xludf.DUMMYFUNCTION("""COMPUTED_VALUE"""),"0.011681")</f>
        <v>#NAME?</v>
      </c>
      <c r="D601" s="100" t="e">
        <f t="shared" ca="1" si="89"/>
        <v>#NAME?</v>
      </c>
      <c r="E601" s="100" t="e">
        <f t="shared" ca="1" si="89"/>
        <v>#NAME?</v>
      </c>
      <c r="F601" s="100" t="e">
        <f t="shared" ca="1" si="83"/>
        <v>#NAME?</v>
      </c>
      <c r="G601" s="100" t="e">
        <f t="shared" ca="1" si="84"/>
        <v>#NAME?</v>
      </c>
      <c r="H601" s="100" t="e">
        <f t="shared" ca="1" si="85"/>
        <v>#NAME?</v>
      </c>
      <c r="I601" s="100" t="e">
        <f t="shared" ca="1" si="86"/>
        <v>#NAME?</v>
      </c>
      <c r="J601" s="100" t="e">
        <f t="shared" ca="1" si="87"/>
        <v>#NAME?</v>
      </c>
      <c r="K601" s="100" t="e">
        <f t="shared" ca="1" si="88"/>
        <v>#NAME?</v>
      </c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 spans="1:26">
      <c r="A602" s="100" t="e">
        <f ca="1">IFERROR(__xludf.DUMMYFUNCTION("""COMPUTED_VALUE"""),14520354)</f>
        <v>#NAME?</v>
      </c>
      <c r="B602" s="100" t="e">
        <f ca="1">IFERROR(__xludf.DUMMYFUNCTION("""COMPUTED_VALUE"""),"synusdt")</f>
        <v>#NAME?</v>
      </c>
      <c r="C602" s="100" t="e">
        <f ca="1">IFERROR(__xludf.DUMMYFUNCTION("""COMPUTED_VALUE"""),"0.2187")</f>
        <v>#NAME?</v>
      </c>
      <c r="D602" s="100" t="e">
        <f t="shared" ref="D602:E621" ca="1" si="90">IFERROR(__xludf.DUMMYFUNCTION("""COMPUTED_VALUE"""),"-")</f>
        <v>#NAME?</v>
      </c>
      <c r="E602" s="100" t="e">
        <f t="shared" ca="1" si="90"/>
        <v>#NAME?</v>
      </c>
      <c r="F602" s="100" t="e">
        <f t="shared" ca="1" si="83"/>
        <v>#NAME?</v>
      </c>
      <c r="G602" s="100" t="e">
        <f t="shared" ca="1" si="84"/>
        <v>#NAME?</v>
      </c>
      <c r="H602" s="100" t="e">
        <f t="shared" ca="1" si="85"/>
        <v>#NAME?</v>
      </c>
      <c r="I602" s="100" t="e">
        <f t="shared" ca="1" si="86"/>
        <v>#NAME?</v>
      </c>
      <c r="J602" s="100" t="e">
        <f t="shared" ca="1" si="87"/>
        <v>#NAME?</v>
      </c>
      <c r="K602" s="100" t="e">
        <f t="shared" ca="1" si="88"/>
        <v>#NAME?</v>
      </c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 spans="1:26">
      <c r="A603" s="100" t="e">
        <f ca="1">IFERROR(__xludf.DUMMYFUNCTION("""COMPUTED_VALUE"""),14520355)</f>
        <v>#NAME?</v>
      </c>
      <c r="B603" s="100" t="e">
        <f ca="1">IFERROR(__xludf.DUMMYFUNCTION("""COMPUTED_VALUE"""),"furyusdt")</f>
        <v>#NAME?</v>
      </c>
      <c r="C603" s="100" t="e">
        <f ca="1">IFERROR(__xludf.DUMMYFUNCTION("""COMPUTED_VALUE"""),"0.02633")</f>
        <v>#NAME?</v>
      </c>
      <c r="D603" s="100" t="e">
        <f t="shared" ca="1" si="90"/>
        <v>#NAME?</v>
      </c>
      <c r="E603" s="100" t="e">
        <f t="shared" ca="1" si="90"/>
        <v>#NAME?</v>
      </c>
      <c r="F603" s="100" t="e">
        <f t="shared" ca="1" si="83"/>
        <v>#NAME?</v>
      </c>
      <c r="G603" s="100" t="e">
        <f t="shared" ca="1" si="84"/>
        <v>#NAME?</v>
      </c>
      <c r="H603" s="100" t="e">
        <f t="shared" ca="1" si="85"/>
        <v>#NAME?</v>
      </c>
      <c r="I603" s="100" t="e">
        <f t="shared" ca="1" si="86"/>
        <v>#NAME?</v>
      </c>
      <c r="J603" s="100" t="e">
        <f t="shared" ca="1" si="87"/>
        <v>#NAME?</v>
      </c>
      <c r="K603" s="100" t="e">
        <f t="shared" ca="1" si="88"/>
        <v>#NAME?</v>
      </c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 spans="1:26">
      <c r="A604" s="100" t="e">
        <f ca="1">IFERROR(__xludf.DUMMYFUNCTION("""COMPUTED_VALUE"""),14520356)</f>
        <v>#NAME?</v>
      </c>
      <c r="B604" s="100" t="e">
        <f ca="1">IFERROR(__xludf.DUMMYFUNCTION("""COMPUTED_VALUE"""),"rtfusdt")</f>
        <v>#NAME?</v>
      </c>
      <c r="C604" s="100" t="e">
        <f ca="1">IFERROR(__xludf.DUMMYFUNCTION("""COMPUTED_VALUE"""),"0.0131")</f>
        <v>#NAME?</v>
      </c>
      <c r="D604" s="100" t="e">
        <f t="shared" ca="1" si="90"/>
        <v>#NAME?</v>
      </c>
      <c r="E604" s="100" t="e">
        <f t="shared" ca="1" si="90"/>
        <v>#NAME?</v>
      </c>
      <c r="F604" s="100" t="e">
        <f t="shared" ca="1" si="83"/>
        <v>#NAME?</v>
      </c>
      <c r="G604" s="100" t="e">
        <f t="shared" ca="1" si="84"/>
        <v>#NAME?</v>
      </c>
      <c r="H604" s="100" t="e">
        <f t="shared" ca="1" si="85"/>
        <v>#NAME?</v>
      </c>
      <c r="I604" s="100" t="e">
        <f t="shared" ca="1" si="86"/>
        <v>#NAME?</v>
      </c>
      <c r="J604" s="100" t="e">
        <f t="shared" ca="1" si="87"/>
        <v>#NAME?</v>
      </c>
      <c r="K604" s="100" t="e">
        <f t="shared" ca="1" si="88"/>
        <v>#NAME?</v>
      </c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 spans="1:26">
      <c r="A605" s="100" t="e">
        <f ca="1">IFERROR(__xludf.DUMMYFUNCTION("""COMPUTED_VALUE"""),14520357)</f>
        <v>#NAME?</v>
      </c>
      <c r="B605" s="100" t="e">
        <f ca="1">IFERROR(__xludf.DUMMYFUNCTION("""COMPUTED_VALUE"""),"trx3lusdt")</f>
        <v>#NAME?</v>
      </c>
      <c r="C605" s="100" t="e">
        <f ca="1">IFERROR(__xludf.DUMMYFUNCTION("""COMPUTED_VALUE"""),"0.0")</f>
        <v>#NAME?</v>
      </c>
      <c r="D605" s="100" t="e">
        <f t="shared" ca="1" si="90"/>
        <v>#NAME?</v>
      </c>
      <c r="E605" s="100" t="e">
        <f t="shared" ca="1" si="90"/>
        <v>#NAME?</v>
      </c>
      <c r="F605" s="100" t="e">
        <f t="shared" ca="1" si="83"/>
        <v>#NAME?</v>
      </c>
      <c r="G605" s="100" t="e">
        <f t="shared" ca="1" si="84"/>
        <v>#NAME?</v>
      </c>
      <c r="H605" s="100" t="e">
        <f t="shared" ca="1" si="85"/>
        <v>#NAME?</v>
      </c>
      <c r="I605" s="100" t="e">
        <f t="shared" ca="1" si="86"/>
        <v>#NAME?</v>
      </c>
      <c r="J605" s="100" t="e">
        <f t="shared" ca="1" si="87"/>
        <v>#NAME?</v>
      </c>
      <c r="K605" s="100" t="e">
        <f t="shared" ca="1" si="88"/>
        <v>#NAME?</v>
      </c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 spans="1:26">
      <c r="A606" s="100" t="e">
        <f ca="1">IFERROR(__xludf.DUMMYFUNCTION("""COMPUTED_VALUE"""),14520358)</f>
        <v>#NAME?</v>
      </c>
      <c r="B606" s="100" t="e">
        <f ca="1">IFERROR(__xludf.DUMMYFUNCTION("""COMPUTED_VALUE"""),"wusdt")</f>
        <v>#NAME?</v>
      </c>
      <c r="C606" s="100" t="e">
        <f ca="1">IFERROR(__xludf.DUMMYFUNCTION("""COMPUTED_VALUE"""),"0.0762")</f>
        <v>#NAME?</v>
      </c>
      <c r="D606" s="100" t="e">
        <f t="shared" ca="1" si="90"/>
        <v>#NAME?</v>
      </c>
      <c r="E606" s="100" t="e">
        <f t="shared" ca="1" si="90"/>
        <v>#NAME?</v>
      </c>
      <c r="F606" s="100" t="e">
        <f t="shared" ca="1" si="83"/>
        <v>#NAME?</v>
      </c>
      <c r="G606" s="100" t="e">
        <f t="shared" ca="1" si="84"/>
        <v>#NAME?</v>
      </c>
      <c r="H606" s="100" t="e">
        <f t="shared" ca="1" si="85"/>
        <v>#NAME?</v>
      </c>
      <c r="I606" s="100" t="e">
        <f t="shared" ca="1" si="86"/>
        <v>#NAME?</v>
      </c>
      <c r="J606" s="100" t="e">
        <f t="shared" ca="1" si="87"/>
        <v>#NAME?</v>
      </c>
      <c r="K606" s="100" t="e">
        <f t="shared" ca="1" si="88"/>
        <v>#NAME?</v>
      </c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 spans="1:26">
      <c r="A607" s="100" t="e">
        <f ca="1">IFERROR(__xludf.DUMMYFUNCTION("""COMPUTED_VALUE"""),14520359)</f>
        <v>#NAME?</v>
      </c>
      <c r="B607" s="100" t="e">
        <f ca="1">IFERROR(__xludf.DUMMYFUNCTION("""COMPUTED_VALUE"""),"nestusdt")</f>
        <v>#NAME?</v>
      </c>
      <c r="C607" s="100" t="e">
        <f ca="1">IFERROR(__xludf.DUMMYFUNCTION("""COMPUTED_VALUE"""),"0.00032")</f>
        <v>#NAME?</v>
      </c>
      <c r="D607" s="100" t="e">
        <f t="shared" ca="1" si="90"/>
        <v>#NAME?</v>
      </c>
      <c r="E607" s="100" t="e">
        <f t="shared" ca="1" si="90"/>
        <v>#NAME?</v>
      </c>
      <c r="F607" s="100" t="e">
        <f t="shared" ca="1" si="83"/>
        <v>#NAME?</v>
      </c>
      <c r="G607" s="100" t="e">
        <f t="shared" ca="1" si="84"/>
        <v>#NAME?</v>
      </c>
      <c r="H607" s="100" t="e">
        <f t="shared" ca="1" si="85"/>
        <v>#NAME?</v>
      </c>
      <c r="I607" s="100" t="e">
        <f t="shared" ca="1" si="86"/>
        <v>#NAME?</v>
      </c>
      <c r="J607" s="100" t="e">
        <f t="shared" ca="1" si="87"/>
        <v>#NAME?</v>
      </c>
      <c r="K607" s="100" t="e">
        <f t="shared" ca="1" si="88"/>
        <v>#NAME?</v>
      </c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 spans="1:26">
      <c r="A608" s="100" t="e">
        <f ca="1">IFERROR(__xludf.DUMMYFUNCTION("""COMPUTED_VALUE"""),14520360)</f>
        <v>#NAME?</v>
      </c>
      <c r="B608" s="100" t="e">
        <f ca="1">IFERROR(__xludf.DUMMYFUNCTION("""COMPUTED_VALUE"""),"wavesusdt")</f>
        <v>#NAME?</v>
      </c>
      <c r="C608" s="100" t="e">
        <f ca="1">IFERROR(__xludf.DUMMYFUNCTION("""COMPUTED_VALUE"""),"1.0929")</f>
        <v>#NAME?</v>
      </c>
      <c r="D608" s="100" t="e">
        <f t="shared" ca="1" si="90"/>
        <v>#NAME?</v>
      </c>
      <c r="E608" s="100" t="e">
        <f t="shared" ca="1" si="90"/>
        <v>#NAME?</v>
      </c>
      <c r="F608" s="100" t="e">
        <f t="shared" ca="1" si="83"/>
        <v>#NAME?</v>
      </c>
      <c r="G608" s="100" t="e">
        <f t="shared" ca="1" si="84"/>
        <v>#NAME?</v>
      </c>
      <c r="H608" s="100" t="e">
        <f t="shared" ca="1" si="85"/>
        <v>#NAME?</v>
      </c>
      <c r="I608" s="100" t="e">
        <f t="shared" ca="1" si="86"/>
        <v>#NAME?</v>
      </c>
      <c r="J608" s="100" t="e">
        <f t="shared" ca="1" si="87"/>
        <v>#NAME?</v>
      </c>
      <c r="K608" s="100" t="e">
        <f t="shared" ca="1" si="88"/>
        <v>#NAME?</v>
      </c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 spans="1:26">
      <c r="A609" s="100" t="e">
        <f ca="1">IFERROR(__xludf.DUMMYFUNCTION("""COMPUTED_VALUE"""),14520361)</f>
        <v>#NAME?</v>
      </c>
      <c r="B609" s="100" t="e">
        <f ca="1">IFERROR(__xludf.DUMMYFUNCTION("""COMPUTED_VALUE"""),"arcusdt")</f>
        <v>#NAME?</v>
      </c>
      <c r="C609" s="100" t="e">
        <f ca="1">IFERROR(__xludf.DUMMYFUNCTION("""COMPUTED_VALUE"""),"0.0369")</f>
        <v>#NAME?</v>
      </c>
      <c r="D609" s="100" t="e">
        <f t="shared" ca="1" si="90"/>
        <v>#NAME?</v>
      </c>
      <c r="E609" s="100" t="e">
        <f t="shared" ca="1" si="90"/>
        <v>#NAME?</v>
      </c>
      <c r="F609" s="100" t="e">
        <f t="shared" ca="1" si="83"/>
        <v>#NAME?</v>
      </c>
      <c r="G609" s="100" t="e">
        <f t="shared" ca="1" si="84"/>
        <v>#NAME?</v>
      </c>
      <c r="H609" s="100" t="e">
        <f t="shared" ca="1" si="85"/>
        <v>#NAME?</v>
      </c>
      <c r="I609" s="100" t="e">
        <f t="shared" ca="1" si="86"/>
        <v>#NAME?</v>
      </c>
      <c r="J609" s="100" t="e">
        <f t="shared" ca="1" si="87"/>
        <v>#NAME?</v>
      </c>
      <c r="K609" s="100" t="e">
        <f t="shared" ca="1" si="88"/>
        <v>#NAME?</v>
      </c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 spans="1:26">
      <c r="A610" s="100" t="e">
        <f ca="1">IFERROR(__xludf.DUMMYFUNCTION("""COMPUTED_VALUE"""),14520362)</f>
        <v>#NAME?</v>
      </c>
      <c r="B610" s="100" t="e">
        <f ca="1">IFERROR(__xludf.DUMMYFUNCTION("""COMPUTED_VALUE"""),"uniusdt")</f>
        <v>#NAME?</v>
      </c>
      <c r="C610" s="100" t="e">
        <f ca="1">IFERROR(__xludf.DUMMYFUNCTION("""COMPUTED_VALUE"""),"5.3612")</f>
        <v>#NAME?</v>
      </c>
      <c r="D610" s="100" t="e">
        <f t="shared" ca="1" si="90"/>
        <v>#NAME?</v>
      </c>
      <c r="E610" s="100" t="e">
        <f t="shared" ca="1" si="90"/>
        <v>#NAME?</v>
      </c>
      <c r="F610" s="100" t="e">
        <f t="shared" ca="1" si="83"/>
        <v>#NAME?</v>
      </c>
      <c r="G610" s="100" t="e">
        <f t="shared" ca="1" si="84"/>
        <v>#NAME?</v>
      </c>
      <c r="H610" s="100" t="e">
        <f t="shared" ca="1" si="85"/>
        <v>#NAME?</v>
      </c>
      <c r="I610" s="100" t="e">
        <f t="shared" ca="1" si="86"/>
        <v>#NAME?</v>
      </c>
      <c r="J610" s="100" t="e">
        <f t="shared" ca="1" si="87"/>
        <v>#NAME?</v>
      </c>
      <c r="K610" s="100" t="e">
        <f t="shared" ca="1" si="88"/>
        <v>#NAME?</v>
      </c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 spans="1:26">
      <c r="A611" s="100" t="e">
        <f ca="1">IFERROR(__xludf.DUMMYFUNCTION("""COMPUTED_VALUE"""),14520363)</f>
        <v>#NAME?</v>
      </c>
      <c r="B611" s="100" t="e">
        <f ca="1">IFERROR(__xludf.DUMMYFUNCTION("""COMPUTED_VALUE"""),"masausdt")</f>
        <v>#NAME?</v>
      </c>
      <c r="C611" s="100" t="e">
        <f ca="1">IFERROR(__xludf.DUMMYFUNCTION("""COMPUTED_VALUE"""),"0.02165")</f>
        <v>#NAME?</v>
      </c>
      <c r="D611" s="100" t="e">
        <f t="shared" ca="1" si="90"/>
        <v>#NAME?</v>
      </c>
      <c r="E611" s="100" t="e">
        <f t="shared" ca="1" si="90"/>
        <v>#NAME?</v>
      </c>
      <c r="F611" s="100" t="e">
        <f t="shared" ca="1" si="83"/>
        <v>#NAME?</v>
      </c>
      <c r="G611" s="100" t="e">
        <f t="shared" ca="1" si="84"/>
        <v>#NAME?</v>
      </c>
      <c r="H611" s="100" t="e">
        <f t="shared" ca="1" si="85"/>
        <v>#NAME?</v>
      </c>
      <c r="I611" s="100" t="e">
        <f t="shared" ca="1" si="86"/>
        <v>#NAME?</v>
      </c>
      <c r="J611" s="100" t="e">
        <f t="shared" ca="1" si="87"/>
        <v>#NAME?</v>
      </c>
      <c r="K611" s="100" t="e">
        <f t="shared" ca="1" si="88"/>
        <v>#NAME?</v>
      </c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 spans="1:26">
      <c r="A612" s="100" t="e">
        <f ca="1">IFERROR(__xludf.DUMMYFUNCTION("""COMPUTED_VALUE"""),14520364)</f>
        <v>#NAME?</v>
      </c>
      <c r="B612" s="100" t="e">
        <f ca="1">IFERROR(__xludf.DUMMYFUNCTION("""COMPUTED_VALUE"""),"xyousdt")</f>
        <v>#NAME?</v>
      </c>
      <c r="C612" s="100" t="e">
        <f ca="1">IFERROR(__xludf.DUMMYFUNCTION("""COMPUTED_VALUE"""),"0.010003")</f>
        <v>#NAME?</v>
      </c>
      <c r="D612" s="100" t="e">
        <f t="shared" ca="1" si="90"/>
        <v>#NAME?</v>
      </c>
      <c r="E612" s="100" t="e">
        <f t="shared" ca="1" si="90"/>
        <v>#NAME?</v>
      </c>
      <c r="F612" s="100" t="e">
        <f t="shared" ca="1" si="83"/>
        <v>#NAME?</v>
      </c>
      <c r="G612" s="100" t="e">
        <f t="shared" ca="1" si="84"/>
        <v>#NAME?</v>
      </c>
      <c r="H612" s="100" t="e">
        <f t="shared" ca="1" si="85"/>
        <v>#NAME?</v>
      </c>
      <c r="I612" s="100" t="e">
        <f t="shared" ca="1" si="86"/>
        <v>#NAME?</v>
      </c>
      <c r="J612" s="100" t="e">
        <f t="shared" ca="1" si="87"/>
        <v>#NAME?</v>
      </c>
      <c r="K612" s="100" t="e">
        <f t="shared" ca="1" si="88"/>
        <v>#NAME?</v>
      </c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 spans="1:26">
      <c r="A613" s="100" t="e">
        <f ca="1">IFERROR(__xludf.DUMMYFUNCTION("""COMPUTED_VALUE"""),14520365)</f>
        <v>#NAME?</v>
      </c>
      <c r="B613" s="100" t="e">
        <f ca="1">IFERROR(__xludf.DUMMYFUNCTION("""COMPUTED_VALUE"""),"kaiausdt")</f>
        <v>#NAME?</v>
      </c>
      <c r="C613" s="100" t="e">
        <f ca="1">IFERROR(__xludf.DUMMYFUNCTION("""COMPUTED_VALUE"""),"0.1129")</f>
        <v>#NAME?</v>
      </c>
      <c r="D613" s="100" t="e">
        <f t="shared" ca="1" si="90"/>
        <v>#NAME?</v>
      </c>
      <c r="E613" s="100" t="e">
        <f t="shared" ca="1" si="90"/>
        <v>#NAME?</v>
      </c>
      <c r="F613" s="100" t="e">
        <f t="shared" ca="1" si="83"/>
        <v>#NAME?</v>
      </c>
      <c r="G613" s="100" t="e">
        <f t="shared" ca="1" si="84"/>
        <v>#NAME?</v>
      </c>
      <c r="H613" s="100" t="e">
        <f t="shared" ca="1" si="85"/>
        <v>#NAME?</v>
      </c>
      <c r="I613" s="100" t="e">
        <f t="shared" ca="1" si="86"/>
        <v>#NAME?</v>
      </c>
      <c r="J613" s="100" t="e">
        <f t="shared" ca="1" si="87"/>
        <v>#NAME?</v>
      </c>
      <c r="K613" s="100" t="e">
        <f t="shared" ca="1" si="88"/>
        <v>#NAME?</v>
      </c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 spans="1:26">
      <c r="A614" s="100" t="e">
        <f ca="1">IFERROR(__xludf.DUMMYFUNCTION("""COMPUTED_VALUE"""),14520366)</f>
        <v>#NAME?</v>
      </c>
      <c r="B614" s="100" t="e">
        <f ca="1">IFERROR(__xludf.DUMMYFUNCTION("""COMPUTED_VALUE"""),"dexeusdt")</f>
        <v>#NAME?</v>
      </c>
      <c r="C614" s="100" t="e">
        <f ca="1">IFERROR(__xludf.DUMMYFUNCTION("""COMPUTED_VALUE"""),"14.7424")</f>
        <v>#NAME?</v>
      </c>
      <c r="D614" s="100" t="e">
        <f t="shared" ca="1" si="90"/>
        <v>#NAME?</v>
      </c>
      <c r="E614" s="100" t="e">
        <f t="shared" ca="1" si="90"/>
        <v>#NAME?</v>
      </c>
      <c r="F614" s="100" t="e">
        <f t="shared" ca="1" si="83"/>
        <v>#NAME?</v>
      </c>
      <c r="G614" s="100" t="e">
        <f t="shared" ca="1" si="84"/>
        <v>#NAME?</v>
      </c>
      <c r="H614" s="100" t="e">
        <f t="shared" ca="1" si="85"/>
        <v>#NAME?</v>
      </c>
      <c r="I614" s="100" t="e">
        <f t="shared" ca="1" si="86"/>
        <v>#NAME?</v>
      </c>
      <c r="J614" s="100" t="e">
        <f t="shared" ca="1" si="87"/>
        <v>#NAME?</v>
      </c>
      <c r="K614" s="100" t="e">
        <f t="shared" ca="1" si="88"/>
        <v>#NAME?</v>
      </c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 spans="1:26">
      <c r="A615" s="100" t="e">
        <f ca="1">IFERROR(__xludf.DUMMYFUNCTION("""COMPUTED_VALUE"""),14520367)</f>
        <v>#NAME?</v>
      </c>
      <c r="B615" s="100" t="e">
        <f ca="1">IFERROR(__xludf.DUMMYFUNCTION("""COMPUTED_VALUE"""),"quickusdt")</f>
        <v>#NAME?</v>
      </c>
      <c r="C615" s="100" t="e">
        <f ca="1">IFERROR(__xludf.DUMMYFUNCTION("""COMPUTED_VALUE"""),"0.026786")</f>
        <v>#NAME?</v>
      </c>
      <c r="D615" s="100" t="e">
        <f t="shared" ca="1" si="90"/>
        <v>#NAME?</v>
      </c>
      <c r="E615" s="100" t="e">
        <f t="shared" ca="1" si="90"/>
        <v>#NAME?</v>
      </c>
      <c r="F615" s="100" t="e">
        <f t="shared" ca="1" si="83"/>
        <v>#NAME?</v>
      </c>
      <c r="G615" s="100" t="e">
        <f t="shared" ca="1" si="84"/>
        <v>#NAME?</v>
      </c>
      <c r="H615" s="100" t="e">
        <f t="shared" ca="1" si="85"/>
        <v>#NAME?</v>
      </c>
      <c r="I615" s="100" t="e">
        <f t="shared" ca="1" si="86"/>
        <v>#NAME?</v>
      </c>
      <c r="J615" s="100" t="e">
        <f t="shared" ca="1" si="87"/>
        <v>#NAME?</v>
      </c>
      <c r="K615" s="100" t="e">
        <f t="shared" ca="1" si="88"/>
        <v>#NAME?</v>
      </c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 spans="1:26">
      <c r="A616" s="100" t="e">
        <f ca="1">IFERROR(__xludf.DUMMYFUNCTION("""COMPUTED_VALUE"""),14520368)</f>
        <v>#NAME?</v>
      </c>
      <c r="B616" s="100" t="e">
        <f ca="1">IFERROR(__xludf.DUMMYFUNCTION("""COMPUTED_VALUE"""),"ensusdt")</f>
        <v>#NAME?</v>
      </c>
      <c r="C616" s="100" t="e">
        <f ca="1">IFERROR(__xludf.DUMMYFUNCTION("""COMPUTED_VALUE"""),"15.3117")</f>
        <v>#NAME?</v>
      </c>
      <c r="D616" s="100" t="e">
        <f t="shared" ca="1" si="90"/>
        <v>#NAME?</v>
      </c>
      <c r="E616" s="100" t="e">
        <f t="shared" ca="1" si="90"/>
        <v>#NAME?</v>
      </c>
      <c r="F616" s="100" t="e">
        <f t="shared" ca="1" si="83"/>
        <v>#NAME?</v>
      </c>
      <c r="G616" s="100" t="e">
        <f t="shared" ca="1" si="84"/>
        <v>#NAME?</v>
      </c>
      <c r="H616" s="100" t="e">
        <f t="shared" ca="1" si="85"/>
        <v>#NAME?</v>
      </c>
      <c r="I616" s="100" t="e">
        <f t="shared" ca="1" si="86"/>
        <v>#NAME?</v>
      </c>
      <c r="J616" s="100" t="e">
        <f t="shared" ca="1" si="87"/>
        <v>#NAME?</v>
      </c>
      <c r="K616" s="100" t="e">
        <f t="shared" ca="1" si="88"/>
        <v>#NAME?</v>
      </c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 spans="1:26">
      <c r="A617" s="100" t="e">
        <f ca="1">IFERROR(__xludf.DUMMYFUNCTION("""COMPUTED_VALUE"""),14520369)</f>
        <v>#NAME?</v>
      </c>
      <c r="B617" s="100" t="e">
        <f ca="1">IFERROR(__xludf.DUMMYFUNCTION("""COMPUTED_VALUE"""),"cowusdt")</f>
        <v>#NAME?</v>
      </c>
      <c r="C617" s="100" t="e">
        <f ca="1">IFERROR(__xludf.DUMMYFUNCTION("""COMPUTED_VALUE"""),"0.2789")</f>
        <v>#NAME?</v>
      </c>
      <c r="D617" s="100" t="e">
        <f t="shared" ca="1" si="90"/>
        <v>#NAME?</v>
      </c>
      <c r="E617" s="100" t="e">
        <f t="shared" ca="1" si="90"/>
        <v>#NAME?</v>
      </c>
      <c r="F617" s="100" t="e">
        <f t="shared" ca="1" si="83"/>
        <v>#NAME?</v>
      </c>
      <c r="G617" s="100" t="e">
        <f t="shared" ca="1" si="84"/>
        <v>#NAME?</v>
      </c>
      <c r="H617" s="100" t="e">
        <f t="shared" ca="1" si="85"/>
        <v>#NAME?</v>
      </c>
      <c r="I617" s="100" t="e">
        <f t="shared" ca="1" si="86"/>
        <v>#NAME?</v>
      </c>
      <c r="J617" s="100" t="e">
        <f t="shared" ca="1" si="87"/>
        <v>#NAME?</v>
      </c>
      <c r="K617" s="100" t="e">
        <f t="shared" ca="1" si="88"/>
        <v>#NAME?</v>
      </c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 spans="1:26">
      <c r="A618" s="100" t="e">
        <f ca="1">IFERROR(__xludf.DUMMYFUNCTION("""COMPUTED_VALUE"""),14520370)</f>
        <v>#NAME?</v>
      </c>
      <c r="B618" s="100" t="e">
        <f ca="1">IFERROR(__xludf.DUMMYFUNCTION("""COMPUTED_VALUE"""),"desousdt")</f>
        <v>#NAME?</v>
      </c>
      <c r="C618" s="100" t="e">
        <f ca="1">IFERROR(__xludf.DUMMYFUNCTION("""COMPUTED_VALUE"""),"5.9236")</f>
        <v>#NAME?</v>
      </c>
      <c r="D618" s="100" t="e">
        <f t="shared" ca="1" si="90"/>
        <v>#NAME?</v>
      </c>
      <c r="E618" s="100" t="e">
        <f t="shared" ca="1" si="90"/>
        <v>#NAME?</v>
      </c>
      <c r="F618" s="100" t="e">
        <f t="shared" ca="1" si="83"/>
        <v>#NAME?</v>
      </c>
      <c r="G618" s="100" t="e">
        <f t="shared" ca="1" si="84"/>
        <v>#NAME?</v>
      </c>
      <c r="H618" s="100" t="e">
        <f t="shared" ca="1" si="85"/>
        <v>#NAME?</v>
      </c>
      <c r="I618" s="100" t="e">
        <f t="shared" ca="1" si="86"/>
        <v>#NAME?</v>
      </c>
      <c r="J618" s="100" t="e">
        <f t="shared" ca="1" si="87"/>
        <v>#NAME?</v>
      </c>
      <c r="K618" s="100" t="e">
        <f t="shared" ca="1" si="88"/>
        <v>#NAME?</v>
      </c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 spans="1:26">
      <c r="A619" s="100" t="e">
        <f ca="1">IFERROR(__xludf.DUMMYFUNCTION("""COMPUTED_VALUE"""),14520371)</f>
        <v>#NAME?</v>
      </c>
      <c r="B619" s="100" t="e">
        <f ca="1">IFERROR(__xludf.DUMMYFUNCTION("""COMPUTED_VALUE"""),"ckbusdt")</f>
        <v>#NAME?</v>
      </c>
      <c r="C619" s="100" t="e">
        <f ca="1">IFERROR(__xludf.DUMMYFUNCTION("""COMPUTED_VALUE"""),"0.004611")</f>
        <v>#NAME?</v>
      </c>
      <c r="D619" s="100" t="e">
        <f t="shared" ca="1" si="90"/>
        <v>#NAME?</v>
      </c>
      <c r="E619" s="100" t="e">
        <f t="shared" ca="1" si="90"/>
        <v>#NAME?</v>
      </c>
      <c r="F619" s="100" t="e">
        <f t="shared" ca="1" si="83"/>
        <v>#NAME?</v>
      </c>
      <c r="G619" s="100" t="e">
        <f t="shared" ca="1" si="84"/>
        <v>#NAME?</v>
      </c>
      <c r="H619" s="100" t="e">
        <f t="shared" ca="1" si="85"/>
        <v>#NAME?</v>
      </c>
      <c r="I619" s="100" t="e">
        <f t="shared" ca="1" si="86"/>
        <v>#NAME?</v>
      </c>
      <c r="J619" s="100" t="e">
        <f t="shared" ca="1" si="87"/>
        <v>#NAME?</v>
      </c>
      <c r="K619" s="100" t="e">
        <f t="shared" ca="1" si="88"/>
        <v>#NAME?</v>
      </c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 spans="1:26">
      <c r="A620" s="100" t="e">
        <f ca="1">IFERROR(__xludf.DUMMYFUNCTION("""COMPUTED_VALUE"""),14520372)</f>
        <v>#NAME?</v>
      </c>
      <c r="B620" s="100" t="e">
        <f ca="1">IFERROR(__xludf.DUMMYFUNCTION("""COMPUTED_VALUE"""),"kncusdt")</f>
        <v>#NAME?</v>
      </c>
      <c r="C620" s="100" t="e">
        <f ca="1">IFERROR(__xludf.DUMMYFUNCTION("""COMPUTED_VALUE"""),"0.3439")</f>
        <v>#NAME?</v>
      </c>
      <c r="D620" s="100" t="e">
        <f t="shared" ca="1" si="90"/>
        <v>#NAME?</v>
      </c>
      <c r="E620" s="100" t="e">
        <f t="shared" ca="1" si="90"/>
        <v>#NAME?</v>
      </c>
      <c r="F620" s="100" t="e">
        <f t="shared" ca="1" si="83"/>
        <v>#NAME?</v>
      </c>
      <c r="G620" s="100" t="e">
        <f t="shared" ca="1" si="84"/>
        <v>#NAME?</v>
      </c>
      <c r="H620" s="100" t="e">
        <f t="shared" ca="1" si="85"/>
        <v>#NAME?</v>
      </c>
      <c r="I620" s="100" t="e">
        <f t="shared" ca="1" si="86"/>
        <v>#NAME?</v>
      </c>
      <c r="J620" s="100" t="e">
        <f t="shared" ca="1" si="87"/>
        <v>#NAME?</v>
      </c>
      <c r="K620" s="100" t="e">
        <f t="shared" ca="1" si="88"/>
        <v>#NAME?</v>
      </c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 spans="1:26">
      <c r="A621" s="100" t="e">
        <f ca="1">IFERROR(__xludf.DUMMYFUNCTION("""COMPUTED_VALUE"""),14520373)</f>
        <v>#NAME?</v>
      </c>
      <c r="B621" s="100" t="e">
        <f ca="1">IFERROR(__xludf.DUMMYFUNCTION("""COMPUTED_VALUE"""),"mantausdt")</f>
        <v>#NAME?</v>
      </c>
      <c r="C621" s="100" t="e">
        <f ca="1">IFERROR(__xludf.DUMMYFUNCTION("""COMPUTED_VALUE"""),"0.2083")</f>
        <v>#NAME?</v>
      </c>
      <c r="D621" s="100" t="e">
        <f t="shared" ca="1" si="90"/>
        <v>#NAME?</v>
      </c>
      <c r="E621" s="100" t="e">
        <f t="shared" ca="1" si="90"/>
        <v>#NAME?</v>
      </c>
      <c r="F621" s="100" t="e">
        <f t="shared" ca="1" si="83"/>
        <v>#NAME?</v>
      </c>
      <c r="G621" s="100" t="e">
        <f t="shared" ca="1" si="84"/>
        <v>#NAME?</v>
      </c>
      <c r="H621" s="100" t="e">
        <f t="shared" ca="1" si="85"/>
        <v>#NAME?</v>
      </c>
      <c r="I621" s="100" t="e">
        <f t="shared" ca="1" si="86"/>
        <v>#NAME?</v>
      </c>
      <c r="J621" s="100" t="e">
        <f t="shared" ca="1" si="87"/>
        <v>#NAME?</v>
      </c>
      <c r="K621" s="100" t="e">
        <f t="shared" ca="1" si="88"/>
        <v>#NAME?</v>
      </c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 spans="1:26">
      <c r="A622" s="100" t="e">
        <f ca="1">IFERROR(__xludf.DUMMYFUNCTION("""COMPUTED_VALUE"""),14520374)</f>
        <v>#NAME?</v>
      </c>
      <c r="B622" s="100" t="e">
        <f ca="1">IFERROR(__xludf.DUMMYFUNCTION("""COMPUTED_VALUE"""),"linkbtc")</f>
        <v>#NAME?</v>
      </c>
      <c r="C622" s="100" t="e">
        <f ca="1">IFERROR(__xludf.DUMMYFUNCTION("""COMPUTED_VALUE"""),"0.00014994")</f>
        <v>#NAME?</v>
      </c>
      <c r="D622" s="100" t="e">
        <f t="shared" ref="D622:E641" ca="1" si="91">IFERROR(__xludf.DUMMYFUNCTION("""COMPUTED_VALUE"""),"-")</f>
        <v>#NAME?</v>
      </c>
      <c r="E622" s="100" t="e">
        <f t="shared" ca="1" si="91"/>
        <v>#NAME?</v>
      </c>
      <c r="F622" s="100" t="e">
        <f t="shared" ca="1" si="83"/>
        <v>#NAME?</v>
      </c>
      <c r="G622" s="100" t="e">
        <f t="shared" ca="1" si="84"/>
        <v>#NAME?</v>
      </c>
      <c r="H622" s="100" t="e">
        <f t="shared" ca="1" si="85"/>
        <v>#NAME?</v>
      </c>
      <c r="I622" s="100" t="e">
        <f t="shared" ca="1" si="86"/>
        <v>#NAME?</v>
      </c>
      <c r="J622" s="100" t="e">
        <f t="shared" ca="1" si="87"/>
        <v>#NAME?</v>
      </c>
      <c r="K622" s="100" t="e">
        <f t="shared" ca="1" si="88"/>
        <v>#NAME?</v>
      </c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 spans="1:26">
      <c r="A623" s="100" t="e">
        <f ca="1">IFERROR(__xludf.DUMMYFUNCTION("""COMPUTED_VALUE"""),14520375)</f>
        <v>#NAME?</v>
      </c>
      <c r="B623" s="100" t="e">
        <f ca="1">IFERROR(__xludf.DUMMYFUNCTION("""COMPUTED_VALUE"""),"topusdt")</f>
        <v>#NAME?</v>
      </c>
      <c r="C623" s="100" t="e">
        <f ca="1">IFERROR(__xludf.DUMMYFUNCTION("""COMPUTED_VALUE"""),"0.000219")</f>
        <v>#NAME?</v>
      </c>
      <c r="D623" s="100" t="e">
        <f t="shared" ca="1" si="91"/>
        <v>#NAME?</v>
      </c>
      <c r="E623" s="100" t="e">
        <f t="shared" ca="1" si="91"/>
        <v>#NAME?</v>
      </c>
      <c r="F623" s="100" t="e">
        <f t="shared" ca="1" si="83"/>
        <v>#NAME?</v>
      </c>
      <c r="G623" s="100" t="e">
        <f t="shared" ca="1" si="84"/>
        <v>#NAME?</v>
      </c>
      <c r="H623" s="100" t="e">
        <f t="shared" ca="1" si="85"/>
        <v>#NAME?</v>
      </c>
      <c r="I623" s="100" t="e">
        <f t="shared" ca="1" si="86"/>
        <v>#NAME?</v>
      </c>
      <c r="J623" s="100" t="e">
        <f t="shared" ca="1" si="87"/>
        <v>#NAME?</v>
      </c>
      <c r="K623" s="100" t="e">
        <f t="shared" ca="1" si="88"/>
        <v>#NAME?</v>
      </c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 spans="1:26">
      <c r="A624" s="100" t="e">
        <f ca="1">IFERROR(__xludf.DUMMYFUNCTION("""COMPUTED_VALUE"""),14520376)</f>
        <v>#NAME?</v>
      </c>
      <c r="B624" s="100" t="e">
        <f ca="1">IFERROR(__xludf.DUMMYFUNCTION("""COMPUTED_VALUE"""),"ttusdt")</f>
        <v>#NAME?</v>
      </c>
      <c r="C624" s="100" t="e">
        <f ca="1">IFERROR(__xludf.DUMMYFUNCTION("""COMPUTED_VALUE"""),"0.003642")</f>
        <v>#NAME?</v>
      </c>
      <c r="D624" s="100" t="e">
        <f t="shared" ca="1" si="91"/>
        <v>#NAME?</v>
      </c>
      <c r="E624" s="100" t="e">
        <f t="shared" ca="1" si="91"/>
        <v>#NAME?</v>
      </c>
      <c r="F624" s="100" t="e">
        <f t="shared" ca="1" si="83"/>
        <v>#NAME?</v>
      </c>
      <c r="G624" s="100" t="e">
        <f t="shared" ca="1" si="84"/>
        <v>#NAME?</v>
      </c>
      <c r="H624" s="100" t="e">
        <f t="shared" ca="1" si="85"/>
        <v>#NAME?</v>
      </c>
      <c r="I624" s="100" t="e">
        <f t="shared" ca="1" si="86"/>
        <v>#NAME?</v>
      </c>
      <c r="J624" s="100" t="e">
        <f t="shared" ca="1" si="87"/>
        <v>#NAME?</v>
      </c>
      <c r="K624" s="100" t="e">
        <f t="shared" ca="1" si="88"/>
        <v>#NAME?</v>
      </c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 spans="1:26">
      <c r="A625" s="100" t="e">
        <f ca="1">IFERROR(__xludf.DUMMYFUNCTION("""COMPUTED_VALUE"""),14520377)</f>
        <v>#NAME?</v>
      </c>
      <c r="B625" s="100" t="e">
        <f ca="1">IFERROR(__xludf.DUMMYFUNCTION("""COMPUTED_VALUE"""),"cvxusdt")</f>
        <v>#NAME?</v>
      </c>
      <c r="C625" s="100" t="e">
        <f ca="1">IFERROR(__xludf.DUMMYFUNCTION("""COMPUTED_VALUE"""),"2.6549")</f>
        <v>#NAME?</v>
      </c>
      <c r="D625" s="100" t="e">
        <f t="shared" ca="1" si="91"/>
        <v>#NAME?</v>
      </c>
      <c r="E625" s="100" t="e">
        <f t="shared" ca="1" si="91"/>
        <v>#NAME?</v>
      </c>
      <c r="F625" s="100" t="e">
        <f t="shared" ca="1" si="83"/>
        <v>#NAME?</v>
      </c>
      <c r="G625" s="100" t="e">
        <f t="shared" ca="1" si="84"/>
        <v>#NAME?</v>
      </c>
      <c r="H625" s="100" t="e">
        <f t="shared" ca="1" si="85"/>
        <v>#NAME?</v>
      </c>
      <c r="I625" s="100" t="e">
        <f t="shared" ca="1" si="86"/>
        <v>#NAME?</v>
      </c>
      <c r="J625" s="100" t="e">
        <f t="shared" ca="1" si="87"/>
        <v>#NAME?</v>
      </c>
      <c r="K625" s="100" t="e">
        <f t="shared" ca="1" si="88"/>
        <v>#NAME?</v>
      </c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 spans="1:26">
      <c r="A626" s="100" t="e">
        <f ca="1">IFERROR(__xludf.DUMMYFUNCTION("""COMPUTED_VALUE"""),14520378)</f>
        <v>#NAME?</v>
      </c>
      <c r="B626" s="100" t="e">
        <f ca="1">IFERROR(__xludf.DUMMYFUNCTION("""COMPUTED_VALUE"""),"auctionusdt")</f>
        <v>#NAME?</v>
      </c>
      <c r="C626" s="100" t="e">
        <f ca="1">IFERROR(__xludf.DUMMYFUNCTION("""COMPUTED_VALUE"""),"11.0602")</f>
        <v>#NAME?</v>
      </c>
      <c r="D626" s="100" t="e">
        <f t="shared" ca="1" si="91"/>
        <v>#NAME?</v>
      </c>
      <c r="E626" s="100" t="e">
        <f t="shared" ca="1" si="91"/>
        <v>#NAME?</v>
      </c>
      <c r="F626" s="100" t="e">
        <f t="shared" ca="1" si="83"/>
        <v>#NAME?</v>
      </c>
      <c r="G626" s="100" t="e">
        <f t="shared" ca="1" si="84"/>
        <v>#NAME?</v>
      </c>
      <c r="H626" s="100" t="e">
        <f t="shared" ca="1" si="85"/>
        <v>#NAME?</v>
      </c>
      <c r="I626" s="100" t="e">
        <f t="shared" ca="1" si="86"/>
        <v>#NAME?</v>
      </c>
      <c r="J626" s="100" t="e">
        <f t="shared" ca="1" si="87"/>
        <v>#NAME?</v>
      </c>
      <c r="K626" s="100" t="e">
        <f t="shared" ca="1" si="88"/>
        <v>#NAME?</v>
      </c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 spans="1:26">
      <c r="A627" s="100" t="e">
        <f ca="1">IFERROR(__xludf.DUMMYFUNCTION("""COMPUTED_VALUE"""),14520379)</f>
        <v>#NAME?</v>
      </c>
      <c r="B627" s="100" t="e">
        <f ca="1">IFERROR(__xludf.DUMMYFUNCTION("""COMPUTED_VALUE"""),"cxtusdt")</f>
        <v>#NAME?</v>
      </c>
      <c r="C627" s="100" t="e">
        <f ca="1">IFERROR(__xludf.DUMMYFUNCTION("""COMPUTED_VALUE"""),"0.0296")</f>
        <v>#NAME?</v>
      </c>
      <c r="D627" s="100" t="e">
        <f t="shared" ca="1" si="91"/>
        <v>#NAME?</v>
      </c>
      <c r="E627" s="100" t="e">
        <f t="shared" ca="1" si="91"/>
        <v>#NAME?</v>
      </c>
      <c r="F627" s="100" t="e">
        <f t="shared" ca="1" si="83"/>
        <v>#NAME?</v>
      </c>
      <c r="G627" s="100" t="e">
        <f t="shared" ca="1" si="84"/>
        <v>#NAME?</v>
      </c>
      <c r="H627" s="100" t="e">
        <f t="shared" ca="1" si="85"/>
        <v>#NAME?</v>
      </c>
      <c r="I627" s="100" t="e">
        <f t="shared" ca="1" si="86"/>
        <v>#NAME?</v>
      </c>
      <c r="J627" s="100" t="e">
        <f t="shared" ca="1" si="87"/>
        <v>#NAME?</v>
      </c>
      <c r="K627" s="100" t="e">
        <f t="shared" ca="1" si="88"/>
        <v>#NAME?</v>
      </c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 spans="1:26">
      <c r="A628" s="100" t="e">
        <f ca="1">IFERROR(__xludf.DUMMYFUNCTION("""COMPUTED_VALUE"""),14520380)</f>
        <v>#NAME?</v>
      </c>
      <c r="B628" s="100" t="e">
        <f ca="1">IFERROR(__xludf.DUMMYFUNCTION("""COMPUTED_VALUE"""),"mndeusdt")</f>
        <v>#NAME?</v>
      </c>
      <c r="C628" s="100" t="e">
        <f ca="1">IFERROR(__xludf.DUMMYFUNCTION("""COMPUTED_VALUE"""),"0.0946")</f>
        <v>#NAME?</v>
      </c>
      <c r="D628" s="100" t="e">
        <f t="shared" ca="1" si="91"/>
        <v>#NAME?</v>
      </c>
      <c r="E628" s="100" t="e">
        <f t="shared" ca="1" si="91"/>
        <v>#NAME?</v>
      </c>
      <c r="F628" s="100" t="e">
        <f t="shared" ca="1" si="83"/>
        <v>#NAME?</v>
      </c>
      <c r="G628" s="100" t="e">
        <f t="shared" ca="1" si="84"/>
        <v>#NAME?</v>
      </c>
      <c r="H628" s="100" t="e">
        <f t="shared" ca="1" si="85"/>
        <v>#NAME?</v>
      </c>
      <c r="I628" s="100" t="e">
        <f t="shared" ca="1" si="86"/>
        <v>#NAME?</v>
      </c>
      <c r="J628" s="100" t="e">
        <f t="shared" ca="1" si="87"/>
        <v>#NAME?</v>
      </c>
      <c r="K628" s="100" t="e">
        <f t="shared" ca="1" si="88"/>
        <v>#NAME?</v>
      </c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 spans="1:26">
      <c r="A629" s="100" t="e">
        <f ca="1">IFERROR(__xludf.DUMMYFUNCTION("""COMPUTED_VALUE"""),14520381)</f>
        <v>#NAME?</v>
      </c>
      <c r="B629" s="100" t="e">
        <f ca="1">IFERROR(__xludf.DUMMYFUNCTION("""COMPUTED_VALUE"""),"evmosusdt")</f>
        <v>#NAME?</v>
      </c>
      <c r="C629" s="100" t="e">
        <f ca="1">IFERROR(__xludf.DUMMYFUNCTION("""COMPUTED_VALUE"""),"0.00346")</f>
        <v>#NAME?</v>
      </c>
      <c r="D629" s="100" t="e">
        <f t="shared" ca="1" si="91"/>
        <v>#NAME?</v>
      </c>
      <c r="E629" s="100" t="e">
        <f t="shared" ca="1" si="91"/>
        <v>#NAME?</v>
      </c>
      <c r="F629" s="100" t="e">
        <f t="shared" ca="1" si="83"/>
        <v>#NAME?</v>
      </c>
      <c r="G629" s="100" t="e">
        <f t="shared" ca="1" si="84"/>
        <v>#NAME?</v>
      </c>
      <c r="H629" s="100" t="e">
        <f t="shared" ca="1" si="85"/>
        <v>#NAME?</v>
      </c>
      <c r="I629" s="100" t="e">
        <f t="shared" ca="1" si="86"/>
        <v>#NAME?</v>
      </c>
      <c r="J629" s="100" t="e">
        <f t="shared" ca="1" si="87"/>
        <v>#NAME?</v>
      </c>
      <c r="K629" s="100" t="e">
        <f t="shared" ca="1" si="88"/>
        <v>#NAME?</v>
      </c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 spans="1:26">
      <c r="A630" s="100" t="e">
        <f ca="1">IFERROR(__xludf.DUMMYFUNCTION("""COMPUTED_VALUE"""),14520382)</f>
        <v>#NAME?</v>
      </c>
      <c r="B630" s="100" t="e">
        <f ca="1">IFERROR(__xludf.DUMMYFUNCTION("""COMPUTED_VALUE"""),"uxlinkusdt")</f>
        <v>#NAME?</v>
      </c>
      <c r="C630" s="100" t="e">
        <f ca="1">IFERROR(__xludf.DUMMYFUNCTION("""COMPUTED_VALUE"""),"0.4314")</f>
        <v>#NAME?</v>
      </c>
      <c r="D630" s="100" t="e">
        <f t="shared" ca="1" si="91"/>
        <v>#NAME?</v>
      </c>
      <c r="E630" s="100" t="e">
        <f t="shared" ca="1" si="91"/>
        <v>#NAME?</v>
      </c>
      <c r="F630" s="100" t="e">
        <f t="shared" ca="1" si="83"/>
        <v>#NAME?</v>
      </c>
      <c r="G630" s="100" t="e">
        <f t="shared" ca="1" si="84"/>
        <v>#NAME?</v>
      </c>
      <c r="H630" s="100" t="e">
        <f t="shared" ca="1" si="85"/>
        <v>#NAME?</v>
      </c>
      <c r="I630" s="100" t="e">
        <f t="shared" ca="1" si="86"/>
        <v>#NAME?</v>
      </c>
      <c r="J630" s="100" t="e">
        <f t="shared" ca="1" si="87"/>
        <v>#NAME?</v>
      </c>
      <c r="K630" s="100" t="e">
        <f t="shared" ca="1" si="88"/>
        <v>#NAME?</v>
      </c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 spans="1:26">
      <c r="A631" s="100" t="e">
        <f ca="1">IFERROR(__xludf.DUMMYFUNCTION("""COMPUTED_VALUE"""),14520383)</f>
        <v>#NAME?</v>
      </c>
      <c r="B631" s="100" t="e">
        <f ca="1">IFERROR(__xludf.DUMMYFUNCTION("""COMPUTED_VALUE"""),"wenusdt")</f>
        <v>#NAME?</v>
      </c>
      <c r="C631" s="100" t="e">
        <f ca="1">IFERROR(__xludf.DUMMYFUNCTION("""COMPUTED_VALUE"""),"2.61e-05")</f>
        <v>#NAME?</v>
      </c>
      <c r="D631" s="100" t="e">
        <f t="shared" ca="1" si="91"/>
        <v>#NAME?</v>
      </c>
      <c r="E631" s="100" t="e">
        <f t="shared" ca="1" si="91"/>
        <v>#NAME?</v>
      </c>
      <c r="F631" s="100" t="e">
        <f t="shared" ca="1" si="83"/>
        <v>#NAME?</v>
      </c>
      <c r="G631" s="100" t="e">
        <f t="shared" ca="1" si="84"/>
        <v>#NAME?</v>
      </c>
      <c r="H631" s="100" t="e">
        <f t="shared" ca="1" si="85"/>
        <v>#NAME?</v>
      </c>
      <c r="I631" s="100" t="e">
        <f t="shared" ca="1" si="86"/>
        <v>#NAME?</v>
      </c>
      <c r="J631" s="100" t="e">
        <f t="shared" ca="1" si="87"/>
        <v>#NAME?</v>
      </c>
      <c r="K631" s="100" t="e">
        <f t="shared" ca="1" si="88"/>
        <v>#NAME?</v>
      </c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 spans="1:26">
      <c r="A632" s="100" t="e">
        <f ca="1">IFERROR(__xludf.DUMMYFUNCTION("""COMPUTED_VALUE"""),14520384)</f>
        <v>#NAME?</v>
      </c>
      <c r="B632" s="100" t="e">
        <f ca="1">IFERROR(__xludf.DUMMYFUNCTION("""COMPUTED_VALUE"""),"shibusdt")</f>
        <v>#NAME?</v>
      </c>
      <c r="C632" s="100" t="e">
        <f ca="1">IFERROR(__xludf.DUMMYFUNCTION("""COMPUTED_VALUE"""),"1.252e-05")</f>
        <v>#NAME?</v>
      </c>
      <c r="D632" s="100" t="e">
        <f t="shared" ca="1" si="91"/>
        <v>#NAME?</v>
      </c>
      <c r="E632" s="100" t="e">
        <f t="shared" ca="1" si="91"/>
        <v>#NAME?</v>
      </c>
      <c r="F632" s="100" t="e">
        <f t="shared" ca="1" si="83"/>
        <v>#NAME?</v>
      </c>
      <c r="G632" s="100" t="e">
        <f t="shared" ca="1" si="84"/>
        <v>#NAME?</v>
      </c>
      <c r="H632" s="100" t="e">
        <f t="shared" ca="1" si="85"/>
        <v>#NAME?</v>
      </c>
      <c r="I632" s="100" t="e">
        <f t="shared" ca="1" si="86"/>
        <v>#NAME?</v>
      </c>
      <c r="J632" s="100" t="e">
        <f t="shared" ca="1" si="87"/>
        <v>#NAME?</v>
      </c>
      <c r="K632" s="100" t="e">
        <f t="shared" ca="1" si="88"/>
        <v>#NAME?</v>
      </c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 spans="1:26">
      <c r="A633" s="100" t="e">
        <f ca="1">IFERROR(__xludf.DUMMYFUNCTION("""COMPUTED_VALUE"""),14520385)</f>
        <v>#NAME?</v>
      </c>
      <c r="B633" s="100" t="e">
        <f ca="1">IFERROR(__xludf.DUMMYFUNCTION("""COMPUTED_VALUE"""),"ltcusdt")</f>
        <v>#NAME?</v>
      </c>
      <c r="C633" s="100" t="e">
        <f ca="1">IFERROR(__xludf.DUMMYFUNCTION("""COMPUTED_VALUE"""),"79.37")</f>
        <v>#NAME?</v>
      </c>
      <c r="D633" s="100" t="e">
        <f t="shared" ca="1" si="91"/>
        <v>#NAME?</v>
      </c>
      <c r="E633" s="100" t="e">
        <f t="shared" ca="1" si="91"/>
        <v>#NAME?</v>
      </c>
      <c r="F633" s="100" t="e">
        <f t="shared" ca="1" si="83"/>
        <v>#NAME?</v>
      </c>
      <c r="G633" s="100" t="e">
        <f t="shared" ca="1" si="84"/>
        <v>#NAME?</v>
      </c>
      <c r="H633" s="100" t="e">
        <f t="shared" ca="1" si="85"/>
        <v>#NAME?</v>
      </c>
      <c r="I633" s="100" t="e">
        <f t="shared" ca="1" si="86"/>
        <v>#NAME?</v>
      </c>
      <c r="J633" s="100" t="e">
        <f t="shared" ca="1" si="87"/>
        <v>#NAME?</v>
      </c>
      <c r="K633" s="100" t="e">
        <f t="shared" ca="1" si="88"/>
        <v>#NAME?</v>
      </c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 spans="1:26">
      <c r="A634" s="100" t="e">
        <f ca="1">IFERROR(__xludf.DUMMYFUNCTION("""COMPUTED_VALUE"""),14520386)</f>
        <v>#NAME?</v>
      </c>
      <c r="B634" s="100" t="e">
        <f ca="1">IFERROR(__xludf.DUMMYFUNCTION("""COMPUTED_VALUE"""),"qtumusdt")</f>
        <v>#NAME?</v>
      </c>
      <c r="C634" s="100" t="e">
        <f ca="1">IFERROR(__xludf.DUMMYFUNCTION("""COMPUTED_VALUE"""),"2.1023")</f>
        <v>#NAME?</v>
      </c>
      <c r="D634" s="100" t="e">
        <f t="shared" ca="1" si="91"/>
        <v>#NAME?</v>
      </c>
      <c r="E634" s="100" t="e">
        <f t="shared" ca="1" si="91"/>
        <v>#NAME?</v>
      </c>
      <c r="F634" s="100" t="e">
        <f t="shared" ca="1" si="83"/>
        <v>#NAME?</v>
      </c>
      <c r="G634" s="100" t="e">
        <f t="shared" ca="1" si="84"/>
        <v>#NAME?</v>
      </c>
      <c r="H634" s="100" t="e">
        <f t="shared" ca="1" si="85"/>
        <v>#NAME?</v>
      </c>
      <c r="I634" s="100" t="e">
        <f t="shared" ca="1" si="86"/>
        <v>#NAME?</v>
      </c>
      <c r="J634" s="100" t="e">
        <f t="shared" ca="1" si="87"/>
        <v>#NAME?</v>
      </c>
      <c r="K634" s="100" t="e">
        <f t="shared" ca="1" si="88"/>
        <v>#NAME?</v>
      </c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 spans="1:26">
      <c r="A635" s="100" t="e">
        <f ca="1">IFERROR(__xludf.DUMMYFUNCTION("""COMPUTED_VALUE"""),14520387)</f>
        <v>#NAME?</v>
      </c>
      <c r="B635" s="100" t="e">
        <f ca="1">IFERROR(__xludf.DUMMYFUNCTION("""COMPUTED_VALUE"""),"huntusdt")</f>
        <v>#NAME?</v>
      </c>
      <c r="C635" s="100" t="e">
        <f ca="1">IFERROR(__xludf.DUMMYFUNCTION("""COMPUTED_VALUE"""),"0.2596")</f>
        <v>#NAME?</v>
      </c>
      <c r="D635" s="100" t="e">
        <f t="shared" ca="1" si="91"/>
        <v>#NAME?</v>
      </c>
      <c r="E635" s="100" t="e">
        <f t="shared" ca="1" si="91"/>
        <v>#NAME?</v>
      </c>
      <c r="F635" s="100" t="e">
        <f t="shared" ca="1" si="83"/>
        <v>#NAME?</v>
      </c>
      <c r="G635" s="100" t="e">
        <f t="shared" ca="1" si="84"/>
        <v>#NAME?</v>
      </c>
      <c r="H635" s="100" t="e">
        <f t="shared" ca="1" si="85"/>
        <v>#NAME?</v>
      </c>
      <c r="I635" s="100" t="e">
        <f t="shared" ca="1" si="86"/>
        <v>#NAME?</v>
      </c>
      <c r="J635" s="100" t="e">
        <f t="shared" ca="1" si="87"/>
        <v>#NAME?</v>
      </c>
      <c r="K635" s="100" t="e">
        <f t="shared" ca="1" si="88"/>
        <v>#NAME?</v>
      </c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 spans="1:26">
      <c r="A636" s="100" t="e">
        <f ca="1">IFERROR(__xludf.DUMMYFUNCTION("""COMPUTED_VALUE"""),14520388)</f>
        <v>#NAME?</v>
      </c>
      <c r="B636" s="100" t="e">
        <f ca="1">IFERROR(__xludf.DUMMYFUNCTION("""COMPUTED_VALUE"""),"etnusdt")</f>
        <v>#NAME?</v>
      </c>
      <c r="C636" s="100" t="e">
        <f ca="1">IFERROR(__xludf.DUMMYFUNCTION("""COMPUTED_VALUE"""),"0.001485")</f>
        <v>#NAME?</v>
      </c>
      <c r="D636" s="100" t="e">
        <f t="shared" ca="1" si="91"/>
        <v>#NAME?</v>
      </c>
      <c r="E636" s="100" t="e">
        <f t="shared" ca="1" si="91"/>
        <v>#NAME?</v>
      </c>
      <c r="F636" s="100" t="e">
        <f t="shared" ca="1" si="83"/>
        <v>#NAME?</v>
      </c>
      <c r="G636" s="100" t="e">
        <f t="shared" ca="1" si="84"/>
        <v>#NAME?</v>
      </c>
      <c r="H636" s="100" t="e">
        <f t="shared" ca="1" si="85"/>
        <v>#NAME?</v>
      </c>
      <c r="I636" s="100" t="e">
        <f t="shared" ca="1" si="86"/>
        <v>#NAME?</v>
      </c>
      <c r="J636" s="100" t="e">
        <f t="shared" ca="1" si="87"/>
        <v>#NAME?</v>
      </c>
      <c r="K636" s="100" t="e">
        <f t="shared" ca="1" si="88"/>
        <v>#NAME?</v>
      </c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 spans="1:26">
      <c r="A637" s="100" t="e">
        <f ca="1">IFERROR(__xludf.DUMMYFUNCTION("""COMPUTED_VALUE"""),14520389)</f>
        <v>#NAME?</v>
      </c>
      <c r="B637" s="100" t="e">
        <f ca="1">IFERROR(__xludf.DUMMYFUNCTION("""COMPUTED_VALUE"""),"xchusdt")</f>
        <v>#NAME?</v>
      </c>
      <c r="C637" s="100" t="e">
        <f ca="1">IFERROR(__xludf.DUMMYFUNCTION("""COMPUTED_VALUE"""),"10.8853")</f>
        <v>#NAME?</v>
      </c>
      <c r="D637" s="100" t="e">
        <f t="shared" ca="1" si="91"/>
        <v>#NAME?</v>
      </c>
      <c r="E637" s="100" t="e">
        <f t="shared" ca="1" si="91"/>
        <v>#NAME?</v>
      </c>
      <c r="F637" s="100" t="e">
        <f t="shared" ca="1" si="83"/>
        <v>#NAME?</v>
      </c>
      <c r="G637" s="100" t="e">
        <f t="shared" ca="1" si="84"/>
        <v>#NAME?</v>
      </c>
      <c r="H637" s="100" t="e">
        <f t="shared" ca="1" si="85"/>
        <v>#NAME?</v>
      </c>
      <c r="I637" s="100" t="e">
        <f t="shared" ca="1" si="86"/>
        <v>#NAME?</v>
      </c>
      <c r="J637" s="100" t="e">
        <f t="shared" ca="1" si="87"/>
        <v>#NAME?</v>
      </c>
      <c r="K637" s="100" t="e">
        <f t="shared" ca="1" si="88"/>
        <v>#NAME?</v>
      </c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 spans="1:26">
      <c r="A638" s="100" t="e">
        <f ca="1">IFERROR(__xludf.DUMMYFUNCTION("""COMPUTED_VALUE"""),14520390)</f>
        <v>#NAME?</v>
      </c>
      <c r="B638" s="100" t="e">
        <f ca="1">IFERROR(__xludf.DUMMYFUNCTION("""COMPUTED_VALUE"""),"ogusdt")</f>
        <v>#NAME?</v>
      </c>
      <c r="C638" s="100" t="e">
        <f ca="1">IFERROR(__xludf.DUMMYFUNCTION("""COMPUTED_VALUE"""),"3.8854")</f>
        <v>#NAME?</v>
      </c>
      <c r="D638" s="100" t="e">
        <f t="shared" ca="1" si="91"/>
        <v>#NAME?</v>
      </c>
      <c r="E638" s="100" t="e">
        <f t="shared" ca="1" si="91"/>
        <v>#NAME?</v>
      </c>
      <c r="F638" s="100" t="e">
        <f t="shared" ca="1" si="83"/>
        <v>#NAME?</v>
      </c>
      <c r="G638" s="100" t="e">
        <f t="shared" ca="1" si="84"/>
        <v>#NAME?</v>
      </c>
      <c r="H638" s="100" t="e">
        <f t="shared" ca="1" si="85"/>
        <v>#NAME?</v>
      </c>
      <c r="I638" s="100" t="e">
        <f t="shared" ca="1" si="86"/>
        <v>#NAME?</v>
      </c>
      <c r="J638" s="100" t="e">
        <f t="shared" ca="1" si="87"/>
        <v>#NAME?</v>
      </c>
      <c r="K638" s="100" t="e">
        <f t="shared" ca="1" si="88"/>
        <v>#NAME?</v>
      </c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 spans="1:26">
      <c r="A639" s="100" t="e">
        <f ca="1">IFERROR(__xludf.DUMMYFUNCTION("""COMPUTED_VALUE"""),14520391)</f>
        <v>#NAME?</v>
      </c>
      <c r="B639" s="100" t="e">
        <f ca="1">IFERROR(__xludf.DUMMYFUNCTION("""COMPUTED_VALUE"""),"bakeusdt")</f>
        <v>#NAME?</v>
      </c>
      <c r="C639" s="100" t="e">
        <f ca="1">IFERROR(__xludf.DUMMYFUNCTION("""COMPUTED_VALUE"""),"0.1239")</f>
        <v>#NAME?</v>
      </c>
      <c r="D639" s="100" t="e">
        <f t="shared" ca="1" si="91"/>
        <v>#NAME?</v>
      </c>
      <c r="E639" s="100" t="e">
        <f t="shared" ca="1" si="91"/>
        <v>#NAME?</v>
      </c>
      <c r="F639" s="100" t="e">
        <f t="shared" ca="1" si="83"/>
        <v>#NAME?</v>
      </c>
      <c r="G639" s="100" t="e">
        <f t="shared" ca="1" si="84"/>
        <v>#NAME?</v>
      </c>
      <c r="H639" s="100" t="e">
        <f t="shared" ca="1" si="85"/>
        <v>#NAME?</v>
      </c>
      <c r="I639" s="100" t="e">
        <f t="shared" ca="1" si="86"/>
        <v>#NAME?</v>
      </c>
      <c r="J639" s="100" t="e">
        <f t="shared" ca="1" si="87"/>
        <v>#NAME?</v>
      </c>
      <c r="K639" s="100" t="e">
        <f t="shared" ca="1" si="88"/>
        <v>#NAME?</v>
      </c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 spans="1:26">
      <c r="A640" s="100" t="e">
        <f ca="1">IFERROR(__xludf.DUMMYFUNCTION("""COMPUTED_VALUE"""),14520392)</f>
        <v>#NAME?</v>
      </c>
      <c r="B640" s="100" t="e">
        <f ca="1">IFERROR(__xludf.DUMMYFUNCTION("""COMPUTED_VALUE"""),"cetususdt")</f>
        <v>#NAME?</v>
      </c>
      <c r="C640" s="100" t="e">
        <f ca="1">IFERROR(__xludf.DUMMYFUNCTION("""COMPUTED_VALUE"""),"0.1077")</f>
        <v>#NAME?</v>
      </c>
      <c r="D640" s="100" t="e">
        <f t="shared" ca="1" si="91"/>
        <v>#NAME?</v>
      </c>
      <c r="E640" s="100" t="e">
        <f t="shared" ca="1" si="91"/>
        <v>#NAME?</v>
      </c>
      <c r="F640" s="100" t="e">
        <f t="shared" ca="1" si="83"/>
        <v>#NAME?</v>
      </c>
      <c r="G640" s="100" t="e">
        <f t="shared" ca="1" si="84"/>
        <v>#NAME?</v>
      </c>
      <c r="H640" s="100" t="e">
        <f t="shared" ca="1" si="85"/>
        <v>#NAME?</v>
      </c>
      <c r="I640" s="100" t="e">
        <f t="shared" ca="1" si="86"/>
        <v>#NAME?</v>
      </c>
      <c r="J640" s="100" t="e">
        <f t="shared" ca="1" si="87"/>
        <v>#NAME?</v>
      </c>
      <c r="K640" s="100" t="e">
        <f t="shared" ca="1" si="88"/>
        <v>#NAME?</v>
      </c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 spans="1:26">
      <c r="A641" s="100" t="e">
        <f ca="1">IFERROR(__xludf.DUMMYFUNCTION("""COMPUTED_VALUE"""),14520393)</f>
        <v>#NAME?</v>
      </c>
      <c r="B641" s="100" t="e">
        <f ca="1">IFERROR(__xludf.DUMMYFUNCTION("""COMPUTED_VALUE"""),"glmrusdt")</f>
        <v>#NAME?</v>
      </c>
      <c r="C641" s="100" t="e">
        <f ca="1">IFERROR(__xludf.DUMMYFUNCTION("""COMPUTED_VALUE"""),"0.0701")</f>
        <v>#NAME?</v>
      </c>
      <c r="D641" s="100" t="e">
        <f t="shared" ca="1" si="91"/>
        <v>#NAME?</v>
      </c>
      <c r="E641" s="100" t="e">
        <f t="shared" ca="1" si="91"/>
        <v>#NAME?</v>
      </c>
      <c r="F641" s="100" t="e">
        <f t="shared" ca="1" si="83"/>
        <v>#NAME?</v>
      </c>
      <c r="G641" s="100" t="e">
        <f t="shared" ca="1" si="84"/>
        <v>#NAME?</v>
      </c>
      <c r="H641" s="100" t="e">
        <f t="shared" ca="1" si="85"/>
        <v>#NAME?</v>
      </c>
      <c r="I641" s="100" t="e">
        <f t="shared" ca="1" si="86"/>
        <v>#NAME?</v>
      </c>
      <c r="J641" s="100" t="e">
        <f t="shared" ca="1" si="87"/>
        <v>#NAME?</v>
      </c>
      <c r="K641" s="100" t="e">
        <f t="shared" ca="1" si="88"/>
        <v>#NAME?</v>
      </c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 spans="1:26">
      <c r="A642" s="100" t="e">
        <f ca="1">IFERROR(__xludf.DUMMYFUNCTION("""COMPUTED_VALUE"""),14520394)</f>
        <v>#NAME?</v>
      </c>
      <c r="B642" s="100" t="e">
        <f ca="1">IFERROR(__xludf.DUMMYFUNCTION("""COMPUTED_VALUE"""),"mblusdt")</f>
        <v>#NAME?</v>
      </c>
      <c r="C642" s="100" t="e">
        <f ca="1">IFERROR(__xludf.DUMMYFUNCTION("""COMPUTED_VALUE"""),"0.002525")</f>
        <v>#NAME?</v>
      </c>
      <c r="D642" s="100" t="e">
        <f t="shared" ref="D642:E661" ca="1" si="92">IFERROR(__xludf.DUMMYFUNCTION("""COMPUTED_VALUE"""),"-")</f>
        <v>#NAME?</v>
      </c>
      <c r="E642" s="100" t="e">
        <f t="shared" ca="1" si="92"/>
        <v>#NAME?</v>
      </c>
      <c r="F642" s="100" t="e">
        <f t="shared" ref="F642:F705" ca="1" si="93">IFERROR(__xludf.DUMMYFUNCTION("""COMPUTED_VALUE"""),20200)</f>
        <v>#NAME?</v>
      </c>
      <c r="G642" s="100" t="e">
        <f t="shared" ref="G642:G705" ca="1" si="94">IFERROR(__xludf.DUMMYFUNCTION("""COMPUTED_VALUE"""),2885)</f>
        <v>#NAME?</v>
      </c>
      <c r="H642" s="100" t="e">
        <f t="shared" ref="H642:H705" ca="1" si="95">IFERROR(__xludf.DUMMYFUNCTION("""COMPUTED_VALUE"""),663)</f>
        <v>#NAME?</v>
      </c>
      <c r="I642" s="100" t="e">
        <f t="shared" ref="I642:I705" ca="1" si="96">IFERROR(__xludf.DUMMYFUNCTION("""COMPUTED_VALUE"""),5817721)</f>
        <v>#NAME?</v>
      </c>
      <c r="J642" s="100" t="e">
        <f t="shared" ref="J642:J705" ca="1" si="97">IFERROR(__xludf.DUMMYFUNCTION("""COMPUTED_VALUE"""),"-")</f>
        <v>#NAME?</v>
      </c>
      <c r="K642" s="100" t="e">
        <f t="shared" ref="K642:K705" ca="1" si="98">IFERROR(__xludf.DUMMYFUNCTION("""COMPUTED_VALUE"""),"22.04.2025 13:05:01")</f>
        <v>#NAME?</v>
      </c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 spans="1:26">
      <c r="A643" s="100" t="e">
        <f ca="1">IFERROR(__xludf.DUMMYFUNCTION("""COMPUTED_VALUE"""),14520395)</f>
        <v>#NAME?</v>
      </c>
      <c r="B643" s="100" t="e">
        <f ca="1">IFERROR(__xludf.DUMMYFUNCTION("""COMPUTED_VALUE"""),"wemixusdt")</f>
        <v>#NAME?</v>
      </c>
      <c r="C643" s="100" t="e">
        <f ca="1">IFERROR(__xludf.DUMMYFUNCTION("""COMPUTED_VALUE"""),"0.7091")</f>
        <v>#NAME?</v>
      </c>
      <c r="D643" s="100" t="e">
        <f t="shared" ca="1" si="92"/>
        <v>#NAME?</v>
      </c>
      <c r="E643" s="100" t="e">
        <f t="shared" ca="1" si="92"/>
        <v>#NAME?</v>
      </c>
      <c r="F643" s="100" t="e">
        <f t="shared" ca="1" si="93"/>
        <v>#NAME?</v>
      </c>
      <c r="G643" s="100" t="e">
        <f t="shared" ca="1" si="94"/>
        <v>#NAME?</v>
      </c>
      <c r="H643" s="100" t="e">
        <f t="shared" ca="1" si="95"/>
        <v>#NAME?</v>
      </c>
      <c r="I643" s="100" t="e">
        <f t="shared" ca="1" si="96"/>
        <v>#NAME?</v>
      </c>
      <c r="J643" s="100" t="e">
        <f t="shared" ca="1" si="97"/>
        <v>#NAME?</v>
      </c>
      <c r="K643" s="100" t="e">
        <f t="shared" ca="1" si="98"/>
        <v>#NAME?</v>
      </c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 spans="1:26">
      <c r="A644" s="100" t="e">
        <f ca="1">IFERROR(__xludf.DUMMYFUNCTION("""COMPUTED_VALUE"""),14520396)</f>
        <v>#NAME?</v>
      </c>
      <c r="B644" s="100" t="e">
        <f ca="1">IFERROR(__xludf.DUMMYFUNCTION("""COMPUTED_VALUE"""),"swapusdt")</f>
        <v>#NAME?</v>
      </c>
      <c r="C644" s="100" t="e">
        <f ca="1">IFERROR(__xludf.DUMMYFUNCTION("""COMPUTED_VALUE"""),"0.0914")</f>
        <v>#NAME?</v>
      </c>
      <c r="D644" s="100" t="e">
        <f t="shared" ca="1" si="92"/>
        <v>#NAME?</v>
      </c>
      <c r="E644" s="100" t="e">
        <f t="shared" ca="1" si="92"/>
        <v>#NAME?</v>
      </c>
      <c r="F644" s="100" t="e">
        <f t="shared" ca="1" si="93"/>
        <v>#NAME?</v>
      </c>
      <c r="G644" s="100" t="e">
        <f t="shared" ca="1" si="94"/>
        <v>#NAME?</v>
      </c>
      <c r="H644" s="100" t="e">
        <f t="shared" ca="1" si="95"/>
        <v>#NAME?</v>
      </c>
      <c r="I644" s="100" t="e">
        <f t="shared" ca="1" si="96"/>
        <v>#NAME?</v>
      </c>
      <c r="J644" s="100" t="e">
        <f t="shared" ca="1" si="97"/>
        <v>#NAME?</v>
      </c>
      <c r="K644" s="100" t="e">
        <f t="shared" ca="1" si="98"/>
        <v>#NAME?</v>
      </c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 spans="1:26">
      <c r="A645" s="100" t="e">
        <f ca="1">IFERROR(__xludf.DUMMYFUNCTION("""COMPUTED_VALUE"""),14520397)</f>
        <v>#NAME?</v>
      </c>
      <c r="B645" s="100" t="e">
        <f ca="1">IFERROR(__xludf.DUMMYFUNCTION("""COMPUTED_VALUE"""),"scausdt")</f>
        <v>#NAME?</v>
      </c>
      <c r="C645" s="100" t="e">
        <f ca="1">IFERROR(__xludf.DUMMYFUNCTION("""COMPUTED_VALUE"""),"0.089")</f>
        <v>#NAME?</v>
      </c>
      <c r="D645" s="100" t="e">
        <f t="shared" ca="1" si="92"/>
        <v>#NAME?</v>
      </c>
      <c r="E645" s="100" t="e">
        <f t="shared" ca="1" si="92"/>
        <v>#NAME?</v>
      </c>
      <c r="F645" s="100" t="e">
        <f t="shared" ca="1" si="93"/>
        <v>#NAME?</v>
      </c>
      <c r="G645" s="100" t="e">
        <f t="shared" ca="1" si="94"/>
        <v>#NAME?</v>
      </c>
      <c r="H645" s="100" t="e">
        <f t="shared" ca="1" si="95"/>
        <v>#NAME?</v>
      </c>
      <c r="I645" s="100" t="e">
        <f t="shared" ca="1" si="96"/>
        <v>#NAME?</v>
      </c>
      <c r="J645" s="100" t="e">
        <f t="shared" ca="1" si="97"/>
        <v>#NAME?</v>
      </c>
      <c r="K645" s="100" t="e">
        <f t="shared" ca="1" si="98"/>
        <v>#NAME?</v>
      </c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 spans="1:26">
      <c r="A646" s="100" t="e">
        <f ca="1">IFERROR(__xludf.DUMMYFUNCTION("""COMPUTED_VALUE"""),14520398)</f>
        <v>#NAME?</v>
      </c>
      <c r="B646" s="100" t="e">
        <f ca="1">IFERROR(__xludf.DUMMYFUNCTION("""COMPUTED_VALUE"""),"grokcoinusdt")</f>
        <v>#NAME?</v>
      </c>
      <c r="C646" s="100" t="e">
        <f ca="1">IFERROR(__xludf.DUMMYFUNCTION("""COMPUTED_VALUE"""),"0.000242")</f>
        <v>#NAME?</v>
      </c>
      <c r="D646" s="100" t="e">
        <f t="shared" ca="1" si="92"/>
        <v>#NAME?</v>
      </c>
      <c r="E646" s="100" t="e">
        <f t="shared" ca="1" si="92"/>
        <v>#NAME?</v>
      </c>
      <c r="F646" s="100" t="e">
        <f t="shared" ca="1" si="93"/>
        <v>#NAME?</v>
      </c>
      <c r="G646" s="100" t="e">
        <f t="shared" ca="1" si="94"/>
        <v>#NAME?</v>
      </c>
      <c r="H646" s="100" t="e">
        <f t="shared" ca="1" si="95"/>
        <v>#NAME?</v>
      </c>
      <c r="I646" s="100" t="e">
        <f t="shared" ca="1" si="96"/>
        <v>#NAME?</v>
      </c>
      <c r="J646" s="100" t="e">
        <f t="shared" ca="1" si="97"/>
        <v>#NAME?</v>
      </c>
      <c r="K646" s="100" t="e">
        <f t="shared" ca="1" si="98"/>
        <v>#NAME?</v>
      </c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 spans="1:26">
      <c r="A647" s="100" t="e">
        <f ca="1">IFERROR(__xludf.DUMMYFUNCTION("""COMPUTED_VALUE"""),14520399)</f>
        <v>#NAME?</v>
      </c>
      <c r="B647" s="100" t="e">
        <f ca="1">IFERROR(__xludf.DUMMYFUNCTION("""COMPUTED_VALUE"""),"babydogeusdt")</f>
        <v>#NAME?</v>
      </c>
      <c r="C647" s="100" t="e">
        <f ca="1">IFERROR(__xludf.DUMMYFUNCTION("""COMPUTED_VALUE"""),"1.29e-09")</f>
        <v>#NAME?</v>
      </c>
      <c r="D647" s="100" t="e">
        <f t="shared" ca="1" si="92"/>
        <v>#NAME?</v>
      </c>
      <c r="E647" s="100" t="e">
        <f t="shared" ca="1" si="92"/>
        <v>#NAME?</v>
      </c>
      <c r="F647" s="100" t="e">
        <f t="shared" ca="1" si="93"/>
        <v>#NAME?</v>
      </c>
      <c r="G647" s="100" t="e">
        <f t="shared" ca="1" si="94"/>
        <v>#NAME?</v>
      </c>
      <c r="H647" s="100" t="e">
        <f t="shared" ca="1" si="95"/>
        <v>#NAME?</v>
      </c>
      <c r="I647" s="100" t="e">
        <f t="shared" ca="1" si="96"/>
        <v>#NAME?</v>
      </c>
      <c r="J647" s="100" t="e">
        <f t="shared" ca="1" si="97"/>
        <v>#NAME?</v>
      </c>
      <c r="K647" s="100" t="e">
        <f t="shared" ca="1" si="98"/>
        <v>#NAME?</v>
      </c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 spans="1:26">
      <c r="A648" s="100" t="e">
        <f ca="1">IFERROR(__xludf.DUMMYFUNCTION("""COMPUTED_VALUE"""),14520400)</f>
        <v>#NAME?</v>
      </c>
      <c r="B648" s="100" t="e">
        <f ca="1">IFERROR(__xludf.DUMMYFUNCTION("""COMPUTED_VALUE"""),"paalusdt")</f>
        <v>#NAME?</v>
      </c>
      <c r="C648" s="100" t="e">
        <f ca="1">IFERROR(__xludf.DUMMYFUNCTION("""COMPUTED_VALUE"""),"0.1374")</f>
        <v>#NAME?</v>
      </c>
      <c r="D648" s="100" t="e">
        <f t="shared" ca="1" si="92"/>
        <v>#NAME?</v>
      </c>
      <c r="E648" s="100" t="e">
        <f t="shared" ca="1" si="92"/>
        <v>#NAME?</v>
      </c>
      <c r="F648" s="100" t="e">
        <f t="shared" ca="1" si="93"/>
        <v>#NAME?</v>
      </c>
      <c r="G648" s="100" t="e">
        <f t="shared" ca="1" si="94"/>
        <v>#NAME?</v>
      </c>
      <c r="H648" s="100" t="e">
        <f t="shared" ca="1" si="95"/>
        <v>#NAME?</v>
      </c>
      <c r="I648" s="100" t="e">
        <f t="shared" ca="1" si="96"/>
        <v>#NAME?</v>
      </c>
      <c r="J648" s="100" t="e">
        <f t="shared" ca="1" si="97"/>
        <v>#NAME?</v>
      </c>
      <c r="K648" s="100" t="e">
        <f t="shared" ca="1" si="98"/>
        <v>#NAME?</v>
      </c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 spans="1:26">
      <c r="A649" s="100" t="e">
        <f ca="1">IFERROR(__xludf.DUMMYFUNCTION("""COMPUTED_VALUE"""),14520401)</f>
        <v>#NAME?</v>
      </c>
      <c r="B649" s="100" t="e">
        <f ca="1">IFERROR(__xludf.DUMMYFUNCTION("""COMPUTED_VALUE"""),"lvvausdt")</f>
        <v>#NAME?</v>
      </c>
      <c r="C649" s="100" t="e">
        <f ca="1">IFERROR(__xludf.DUMMYFUNCTION("""COMPUTED_VALUE"""),"0.004117")</f>
        <v>#NAME?</v>
      </c>
      <c r="D649" s="100" t="e">
        <f t="shared" ca="1" si="92"/>
        <v>#NAME?</v>
      </c>
      <c r="E649" s="100" t="e">
        <f t="shared" ca="1" si="92"/>
        <v>#NAME?</v>
      </c>
      <c r="F649" s="100" t="e">
        <f t="shared" ca="1" si="93"/>
        <v>#NAME?</v>
      </c>
      <c r="G649" s="100" t="e">
        <f t="shared" ca="1" si="94"/>
        <v>#NAME?</v>
      </c>
      <c r="H649" s="100" t="e">
        <f t="shared" ca="1" si="95"/>
        <v>#NAME?</v>
      </c>
      <c r="I649" s="100" t="e">
        <f t="shared" ca="1" si="96"/>
        <v>#NAME?</v>
      </c>
      <c r="J649" s="100" t="e">
        <f t="shared" ca="1" si="97"/>
        <v>#NAME?</v>
      </c>
      <c r="K649" s="100" t="e">
        <f t="shared" ca="1" si="98"/>
        <v>#NAME?</v>
      </c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 spans="1:26">
      <c r="A650" s="100" t="e">
        <f ca="1">IFERROR(__xludf.DUMMYFUNCTION("""COMPUTED_VALUE"""),14520402)</f>
        <v>#NAME?</v>
      </c>
      <c r="B650" s="100" t="e">
        <f ca="1">IFERROR(__xludf.DUMMYFUNCTION("""COMPUTED_VALUE"""),"sklusdt")</f>
        <v>#NAME?</v>
      </c>
      <c r="C650" s="100" t="e">
        <f ca="1">IFERROR(__xludf.DUMMYFUNCTION("""COMPUTED_VALUE"""),"0.022349")</f>
        <v>#NAME?</v>
      </c>
      <c r="D650" s="100" t="e">
        <f t="shared" ca="1" si="92"/>
        <v>#NAME?</v>
      </c>
      <c r="E650" s="100" t="e">
        <f t="shared" ca="1" si="92"/>
        <v>#NAME?</v>
      </c>
      <c r="F650" s="100" t="e">
        <f t="shared" ca="1" si="93"/>
        <v>#NAME?</v>
      </c>
      <c r="G650" s="100" t="e">
        <f t="shared" ca="1" si="94"/>
        <v>#NAME?</v>
      </c>
      <c r="H650" s="100" t="e">
        <f t="shared" ca="1" si="95"/>
        <v>#NAME?</v>
      </c>
      <c r="I650" s="100" t="e">
        <f t="shared" ca="1" si="96"/>
        <v>#NAME?</v>
      </c>
      <c r="J650" s="100" t="e">
        <f t="shared" ca="1" si="97"/>
        <v>#NAME?</v>
      </c>
      <c r="K650" s="100" t="e">
        <f t="shared" ca="1" si="98"/>
        <v>#NAME?</v>
      </c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 spans="1:26">
      <c r="A651" s="100" t="e">
        <f ca="1">IFERROR(__xludf.DUMMYFUNCTION("""COMPUTED_VALUE"""),14520403)</f>
        <v>#NAME?</v>
      </c>
      <c r="B651" s="100" t="e">
        <f ca="1">IFERROR(__xludf.DUMMYFUNCTION("""COMPUTED_VALUE"""),"xrusdt")</f>
        <v>#NAME?</v>
      </c>
      <c r="C651" s="100" t="e">
        <f ca="1">IFERROR(__xludf.DUMMYFUNCTION("""COMPUTED_VALUE"""),"0.02171")</f>
        <v>#NAME?</v>
      </c>
      <c r="D651" s="100" t="e">
        <f t="shared" ca="1" si="92"/>
        <v>#NAME?</v>
      </c>
      <c r="E651" s="100" t="e">
        <f t="shared" ca="1" si="92"/>
        <v>#NAME?</v>
      </c>
      <c r="F651" s="100" t="e">
        <f t="shared" ca="1" si="93"/>
        <v>#NAME?</v>
      </c>
      <c r="G651" s="100" t="e">
        <f t="shared" ca="1" si="94"/>
        <v>#NAME?</v>
      </c>
      <c r="H651" s="100" t="e">
        <f t="shared" ca="1" si="95"/>
        <v>#NAME?</v>
      </c>
      <c r="I651" s="100" t="e">
        <f t="shared" ca="1" si="96"/>
        <v>#NAME?</v>
      </c>
      <c r="J651" s="100" t="e">
        <f t="shared" ca="1" si="97"/>
        <v>#NAME?</v>
      </c>
      <c r="K651" s="100" t="e">
        <f t="shared" ca="1" si="98"/>
        <v>#NAME?</v>
      </c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 spans="1:26">
      <c r="A652" s="100" t="e">
        <f ca="1">IFERROR(__xludf.DUMMYFUNCTION("""COMPUTED_VALUE"""),14520404)</f>
        <v>#NAME?</v>
      </c>
      <c r="B652" s="100" t="e">
        <f ca="1">IFERROR(__xludf.DUMMYFUNCTION("""COMPUTED_VALUE"""),"oxtusdt")</f>
        <v>#NAME?</v>
      </c>
      <c r="C652" s="100" t="e">
        <f ca="1">IFERROR(__xludf.DUMMYFUNCTION("""COMPUTED_VALUE"""),"0.0689")</f>
        <v>#NAME?</v>
      </c>
      <c r="D652" s="100" t="e">
        <f t="shared" ca="1" si="92"/>
        <v>#NAME?</v>
      </c>
      <c r="E652" s="100" t="e">
        <f t="shared" ca="1" si="92"/>
        <v>#NAME?</v>
      </c>
      <c r="F652" s="100" t="e">
        <f t="shared" ca="1" si="93"/>
        <v>#NAME?</v>
      </c>
      <c r="G652" s="100" t="e">
        <f t="shared" ca="1" si="94"/>
        <v>#NAME?</v>
      </c>
      <c r="H652" s="100" t="e">
        <f t="shared" ca="1" si="95"/>
        <v>#NAME?</v>
      </c>
      <c r="I652" s="100" t="e">
        <f t="shared" ca="1" si="96"/>
        <v>#NAME?</v>
      </c>
      <c r="J652" s="100" t="e">
        <f t="shared" ca="1" si="97"/>
        <v>#NAME?</v>
      </c>
      <c r="K652" s="100" t="e">
        <f t="shared" ca="1" si="98"/>
        <v>#NAME?</v>
      </c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 spans="1:26">
      <c r="A653" s="100" t="e">
        <f ca="1">IFERROR(__xludf.DUMMYFUNCTION("""COMPUTED_VALUE"""),14520405)</f>
        <v>#NAME?</v>
      </c>
      <c r="B653" s="100" t="e">
        <f ca="1">IFERROR(__xludf.DUMMYFUNCTION("""COMPUTED_VALUE"""),"minausdt")</f>
        <v>#NAME?</v>
      </c>
      <c r="C653" s="100" t="e">
        <f ca="1">IFERROR(__xludf.DUMMYFUNCTION("""COMPUTED_VALUE"""),"0.2192")</f>
        <v>#NAME?</v>
      </c>
      <c r="D653" s="100" t="e">
        <f t="shared" ca="1" si="92"/>
        <v>#NAME?</v>
      </c>
      <c r="E653" s="100" t="e">
        <f t="shared" ca="1" si="92"/>
        <v>#NAME?</v>
      </c>
      <c r="F653" s="100" t="e">
        <f t="shared" ca="1" si="93"/>
        <v>#NAME?</v>
      </c>
      <c r="G653" s="100" t="e">
        <f t="shared" ca="1" si="94"/>
        <v>#NAME?</v>
      </c>
      <c r="H653" s="100" t="e">
        <f t="shared" ca="1" si="95"/>
        <v>#NAME?</v>
      </c>
      <c r="I653" s="100" t="e">
        <f t="shared" ca="1" si="96"/>
        <v>#NAME?</v>
      </c>
      <c r="J653" s="100" t="e">
        <f t="shared" ca="1" si="97"/>
        <v>#NAME?</v>
      </c>
      <c r="K653" s="100" t="e">
        <f t="shared" ca="1" si="98"/>
        <v>#NAME?</v>
      </c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 spans="1:26">
      <c r="A654" s="100" t="e">
        <f ca="1">IFERROR(__xludf.DUMMYFUNCTION("""COMPUTED_VALUE"""),14520406)</f>
        <v>#NAME?</v>
      </c>
      <c r="B654" s="100" t="e">
        <f ca="1">IFERROR(__xludf.DUMMYFUNCTION("""COMPUTED_VALUE"""),"wbtusdt")</f>
        <v>#NAME?</v>
      </c>
      <c r="C654" s="100" t="e">
        <f ca="1">IFERROR(__xludf.DUMMYFUNCTION("""COMPUTED_VALUE"""),"28.2916")</f>
        <v>#NAME?</v>
      </c>
      <c r="D654" s="100" t="e">
        <f t="shared" ca="1" si="92"/>
        <v>#NAME?</v>
      </c>
      <c r="E654" s="100" t="e">
        <f t="shared" ca="1" si="92"/>
        <v>#NAME?</v>
      </c>
      <c r="F654" s="100" t="e">
        <f t="shared" ca="1" si="93"/>
        <v>#NAME?</v>
      </c>
      <c r="G654" s="100" t="e">
        <f t="shared" ca="1" si="94"/>
        <v>#NAME?</v>
      </c>
      <c r="H654" s="100" t="e">
        <f t="shared" ca="1" si="95"/>
        <v>#NAME?</v>
      </c>
      <c r="I654" s="100" t="e">
        <f t="shared" ca="1" si="96"/>
        <v>#NAME?</v>
      </c>
      <c r="J654" s="100" t="e">
        <f t="shared" ca="1" si="97"/>
        <v>#NAME?</v>
      </c>
      <c r="K654" s="100" t="e">
        <f t="shared" ca="1" si="98"/>
        <v>#NAME?</v>
      </c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 spans="1:26">
      <c r="A655" s="100" t="e">
        <f ca="1">IFERROR(__xludf.DUMMYFUNCTION("""COMPUTED_VALUE"""),14520407)</f>
        <v>#NAME?</v>
      </c>
      <c r="B655" s="100" t="e">
        <f ca="1">IFERROR(__xludf.DUMMYFUNCTION("""COMPUTED_VALUE"""),"firousdt")</f>
        <v>#NAME?</v>
      </c>
      <c r="C655" s="100" t="e">
        <f ca="1">IFERROR(__xludf.DUMMYFUNCTION("""COMPUTED_VALUE"""),"0.4551")</f>
        <v>#NAME?</v>
      </c>
      <c r="D655" s="100" t="e">
        <f t="shared" ca="1" si="92"/>
        <v>#NAME?</v>
      </c>
      <c r="E655" s="100" t="e">
        <f t="shared" ca="1" si="92"/>
        <v>#NAME?</v>
      </c>
      <c r="F655" s="100" t="e">
        <f t="shared" ca="1" si="93"/>
        <v>#NAME?</v>
      </c>
      <c r="G655" s="100" t="e">
        <f t="shared" ca="1" si="94"/>
        <v>#NAME?</v>
      </c>
      <c r="H655" s="100" t="e">
        <f t="shared" ca="1" si="95"/>
        <v>#NAME?</v>
      </c>
      <c r="I655" s="100" t="e">
        <f t="shared" ca="1" si="96"/>
        <v>#NAME?</v>
      </c>
      <c r="J655" s="100" t="e">
        <f t="shared" ca="1" si="97"/>
        <v>#NAME?</v>
      </c>
      <c r="K655" s="100" t="e">
        <f t="shared" ca="1" si="98"/>
        <v>#NAME?</v>
      </c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 spans="1:26">
      <c r="A656" s="100" t="e">
        <f ca="1">IFERROR(__xludf.DUMMYFUNCTION("""COMPUTED_VALUE"""),14520408)</f>
        <v>#NAME?</v>
      </c>
      <c r="B656" s="100" t="e">
        <f ca="1">IFERROR(__xludf.DUMMYFUNCTION("""COMPUTED_VALUE"""),"sznusdt")</f>
        <v>#NAME?</v>
      </c>
      <c r="C656" s="100" t="e">
        <f ca="1">IFERROR(__xludf.DUMMYFUNCTION("""COMPUTED_VALUE"""),"0.00045")</f>
        <v>#NAME?</v>
      </c>
      <c r="D656" s="100" t="e">
        <f t="shared" ca="1" si="92"/>
        <v>#NAME?</v>
      </c>
      <c r="E656" s="100" t="e">
        <f t="shared" ca="1" si="92"/>
        <v>#NAME?</v>
      </c>
      <c r="F656" s="100" t="e">
        <f t="shared" ca="1" si="93"/>
        <v>#NAME?</v>
      </c>
      <c r="G656" s="100" t="e">
        <f t="shared" ca="1" si="94"/>
        <v>#NAME?</v>
      </c>
      <c r="H656" s="100" t="e">
        <f t="shared" ca="1" si="95"/>
        <v>#NAME?</v>
      </c>
      <c r="I656" s="100" t="e">
        <f t="shared" ca="1" si="96"/>
        <v>#NAME?</v>
      </c>
      <c r="J656" s="100" t="e">
        <f t="shared" ca="1" si="97"/>
        <v>#NAME?</v>
      </c>
      <c r="K656" s="100" t="e">
        <f t="shared" ca="1" si="98"/>
        <v>#NAME?</v>
      </c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 spans="1:26">
      <c r="A657" s="100" t="e">
        <f ca="1">IFERROR(__xludf.DUMMYFUNCTION("""COMPUTED_VALUE"""),14520409)</f>
        <v>#NAME?</v>
      </c>
      <c r="B657" s="100" t="e">
        <f ca="1">IFERROR(__xludf.DUMMYFUNCTION("""COMPUTED_VALUE"""),"zrousdt")</f>
        <v>#NAME?</v>
      </c>
      <c r="C657" s="100" t="e">
        <f ca="1">IFERROR(__xludf.DUMMYFUNCTION("""COMPUTED_VALUE"""),"2.486")</f>
        <v>#NAME?</v>
      </c>
      <c r="D657" s="100" t="e">
        <f t="shared" ca="1" si="92"/>
        <v>#NAME?</v>
      </c>
      <c r="E657" s="100" t="e">
        <f t="shared" ca="1" si="92"/>
        <v>#NAME?</v>
      </c>
      <c r="F657" s="100" t="e">
        <f t="shared" ca="1" si="93"/>
        <v>#NAME?</v>
      </c>
      <c r="G657" s="100" t="e">
        <f t="shared" ca="1" si="94"/>
        <v>#NAME?</v>
      </c>
      <c r="H657" s="100" t="e">
        <f t="shared" ca="1" si="95"/>
        <v>#NAME?</v>
      </c>
      <c r="I657" s="100" t="e">
        <f t="shared" ca="1" si="96"/>
        <v>#NAME?</v>
      </c>
      <c r="J657" s="100" t="e">
        <f t="shared" ca="1" si="97"/>
        <v>#NAME?</v>
      </c>
      <c r="K657" s="100" t="e">
        <f t="shared" ca="1" si="98"/>
        <v>#NAME?</v>
      </c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 spans="1:26">
      <c r="A658" s="100" t="e">
        <f ca="1">IFERROR(__xludf.DUMMYFUNCTION("""COMPUTED_VALUE"""),14520410)</f>
        <v>#NAME?</v>
      </c>
      <c r="B658" s="100" t="e">
        <f ca="1">IFERROR(__xludf.DUMMYFUNCTION("""COMPUTED_VALUE"""),"icpusdt")</f>
        <v>#NAME?</v>
      </c>
      <c r="C658" s="100" t="e">
        <f ca="1">IFERROR(__xludf.DUMMYFUNCTION("""COMPUTED_VALUE"""),"4.67")</f>
        <v>#NAME?</v>
      </c>
      <c r="D658" s="100" t="e">
        <f t="shared" ca="1" si="92"/>
        <v>#NAME?</v>
      </c>
      <c r="E658" s="100" t="e">
        <f t="shared" ca="1" si="92"/>
        <v>#NAME?</v>
      </c>
      <c r="F658" s="100" t="e">
        <f t="shared" ca="1" si="93"/>
        <v>#NAME?</v>
      </c>
      <c r="G658" s="100" t="e">
        <f t="shared" ca="1" si="94"/>
        <v>#NAME?</v>
      </c>
      <c r="H658" s="100" t="e">
        <f t="shared" ca="1" si="95"/>
        <v>#NAME?</v>
      </c>
      <c r="I658" s="100" t="e">
        <f t="shared" ca="1" si="96"/>
        <v>#NAME?</v>
      </c>
      <c r="J658" s="100" t="e">
        <f t="shared" ca="1" si="97"/>
        <v>#NAME?</v>
      </c>
      <c r="K658" s="100" t="e">
        <f t="shared" ca="1" si="98"/>
        <v>#NAME?</v>
      </c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 spans="1:26">
      <c r="A659" s="100" t="e">
        <f ca="1">IFERROR(__xludf.DUMMYFUNCTION("""COMPUTED_VALUE"""),14520411)</f>
        <v>#NAME?</v>
      </c>
      <c r="B659" s="100" t="e">
        <f ca="1">IFERROR(__xludf.DUMMYFUNCTION("""COMPUTED_VALUE"""),"algousdt")</f>
        <v>#NAME?</v>
      </c>
      <c r="C659" s="100" t="e">
        <f ca="1">IFERROR(__xludf.DUMMYFUNCTION("""COMPUTED_VALUE"""),"0.193")</f>
        <v>#NAME?</v>
      </c>
      <c r="D659" s="100" t="e">
        <f t="shared" ca="1" si="92"/>
        <v>#NAME?</v>
      </c>
      <c r="E659" s="100" t="e">
        <f t="shared" ca="1" si="92"/>
        <v>#NAME?</v>
      </c>
      <c r="F659" s="100" t="e">
        <f t="shared" ca="1" si="93"/>
        <v>#NAME?</v>
      </c>
      <c r="G659" s="100" t="e">
        <f t="shared" ca="1" si="94"/>
        <v>#NAME?</v>
      </c>
      <c r="H659" s="100" t="e">
        <f t="shared" ca="1" si="95"/>
        <v>#NAME?</v>
      </c>
      <c r="I659" s="100" t="e">
        <f t="shared" ca="1" si="96"/>
        <v>#NAME?</v>
      </c>
      <c r="J659" s="100" t="e">
        <f t="shared" ca="1" si="97"/>
        <v>#NAME?</v>
      </c>
      <c r="K659" s="100" t="e">
        <f t="shared" ca="1" si="98"/>
        <v>#NAME?</v>
      </c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 spans="1:26">
      <c r="A660" s="100" t="e">
        <f ca="1">IFERROR(__xludf.DUMMYFUNCTION("""COMPUTED_VALUE"""),14520412)</f>
        <v>#NAME?</v>
      </c>
      <c r="B660" s="100" t="e">
        <f ca="1">IFERROR(__xludf.DUMMYFUNCTION("""COMPUTED_VALUE"""),"juvusdt")</f>
        <v>#NAME?</v>
      </c>
      <c r="C660" s="100" t="e">
        <f ca="1">IFERROR(__xludf.DUMMYFUNCTION("""COMPUTED_VALUE"""),"0.992")</f>
        <v>#NAME?</v>
      </c>
      <c r="D660" s="100" t="e">
        <f t="shared" ca="1" si="92"/>
        <v>#NAME?</v>
      </c>
      <c r="E660" s="100" t="e">
        <f t="shared" ca="1" si="92"/>
        <v>#NAME?</v>
      </c>
      <c r="F660" s="100" t="e">
        <f t="shared" ca="1" si="93"/>
        <v>#NAME?</v>
      </c>
      <c r="G660" s="100" t="e">
        <f t="shared" ca="1" si="94"/>
        <v>#NAME?</v>
      </c>
      <c r="H660" s="100" t="e">
        <f t="shared" ca="1" si="95"/>
        <v>#NAME?</v>
      </c>
      <c r="I660" s="100" t="e">
        <f t="shared" ca="1" si="96"/>
        <v>#NAME?</v>
      </c>
      <c r="J660" s="100" t="e">
        <f t="shared" ca="1" si="97"/>
        <v>#NAME?</v>
      </c>
      <c r="K660" s="100" t="e">
        <f t="shared" ca="1" si="98"/>
        <v>#NAME?</v>
      </c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 spans="1:26">
      <c r="A661" s="100" t="e">
        <f ca="1">IFERROR(__xludf.DUMMYFUNCTION("""COMPUTED_VALUE"""),14520413)</f>
        <v>#NAME?</v>
      </c>
      <c r="B661" s="100" t="e">
        <f ca="1">IFERROR(__xludf.DUMMYFUNCTION("""COMPUTED_VALUE"""),"orcausdt")</f>
        <v>#NAME?</v>
      </c>
      <c r="C661" s="100" t="e">
        <f ca="1">IFERROR(__xludf.DUMMYFUNCTION("""COMPUTED_VALUE"""),"2.6398")</f>
        <v>#NAME?</v>
      </c>
      <c r="D661" s="100" t="e">
        <f t="shared" ca="1" si="92"/>
        <v>#NAME?</v>
      </c>
      <c r="E661" s="100" t="e">
        <f t="shared" ca="1" si="92"/>
        <v>#NAME?</v>
      </c>
      <c r="F661" s="100" t="e">
        <f t="shared" ca="1" si="93"/>
        <v>#NAME?</v>
      </c>
      <c r="G661" s="100" t="e">
        <f t="shared" ca="1" si="94"/>
        <v>#NAME?</v>
      </c>
      <c r="H661" s="100" t="e">
        <f t="shared" ca="1" si="95"/>
        <v>#NAME?</v>
      </c>
      <c r="I661" s="100" t="e">
        <f t="shared" ca="1" si="96"/>
        <v>#NAME?</v>
      </c>
      <c r="J661" s="100" t="e">
        <f t="shared" ca="1" si="97"/>
        <v>#NAME?</v>
      </c>
      <c r="K661" s="100" t="e">
        <f t="shared" ca="1" si="98"/>
        <v>#NAME?</v>
      </c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 spans="1:26">
      <c r="A662" s="100" t="e">
        <f ca="1">IFERROR(__xludf.DUMMYFUNCTION("""COMPUTED_VALUE"""),14520414)</f>
        <v>#NAME?</v>
      </c>
      <c r="B662" s="100" t="e">
        <f ca="1">IFERROR(__xludf.DUMMYFUNCTION("""COMPUTED_VALUE"""),"mcrtusdt")</f>
        <v>#NAME?</v>
      </c>
      <c r="C662" s="100" t="e">
        <f ca="1">IFERROR(__xludf.DUMMYFUNCTION("""COMPUTED_VALUE"""),"0.0006335")</f>
        <v>#NAME?</v>
      </c>
      <c r="D662" s="100" t="e">
        <f t="shared" ref="D662:E681" ca="1" si="99">IFERROR(__xludf.DUMMYFUNCTION("""COMPUTED_VALUE"""),"-")</f>
        <v>#NAME?</v>
      </c>
      <c r="E662" s="100" t="e">
        <f t="shared" ca="1" si="99"/>
        <v>#NAME?</v>
      </c>
      <c r="F662" s="100" t="e">
        <f t="shared" ca="1" si="93"/>
        <v>#NAME?</v>
      </c>
      <c r="G662" s="100" t="e">
        <f t="shared" ca="1" si="94"/>
        <v>#NAME?</v>
      </c>
      <c r="H662" s="100" t="e">
        <f t="shared" ca="1" si="95"/>
        <v>#NAME?</v>
      </c>
      <c r="I662" s="100" t="e">
        <f t="shared" ca="1" si="96"/>
        <v>#NAME?</v>
      </c>
      <c r="J662" s="100" t="e">
        <f t="shared" ca="1" si="97"/>
        <v>#NAME?</v>
      </c>
      <c r="K662" s="100" t="e">
        <f t="shared" ca="1" si="98"/>
        <v>#NAME?</v>
      </c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 spans="1:26">
      <c r="A663" s="100" t="e">
        <f ca="1">IFERROR(__xludf.DUMMYFUNCTION("""COMPUTED_VALUE"""),14520415)</f>
        <v>#NAME?</v>
      </c>
      <c r="B663" s="100" t="e">
        <f ca="1">IFERROR(__xludf.DUMMYFUNCTION("""COMPUTED_VALUE"""),"omniausdt")</f>
        <v>#NAME?</v>
      </c>
      <c r="C663" s="100" t="e">
        <f ca="1">IFERROR(__xludf.DUMMYFUNCTION("""COMPUTED_VALUE"""),"0.0383")</f>
        <v>#NAME?</v>
      </c>
      <c r="D663" s="100" t="e">
        <f t="shared" ca="1" si="99"/>
        <v>#NAME?</v>
      </c>
      <c r="E663" s="100" t="e">
        <f t="shared" ca="1" si="99"/>
        <v>#NAME?</v>
      </c>
      <c r="F663" s="100" t="e">
        <f t="shared" ca="1" si="93"/>
        <v>#NAME?</v>
      </c>
      <c r="G663" s="100" t="e">
        <f t="shared" ca="1" si="94"/>
        <v>#NAME?</v>
      </c>
      <c r="H663" s="100" t="e">
        <f t="shared" ca="1" si="95"/>
        <v>#NAME?</v>
      </c>
      <c r="I663" s="100" t="e">
        <f t="shared" ca="1" si="96"/>
        <v>#NAME?</v>
      </c>
      <c r="J663" s="100" t="e">
        <f t="shared" ca="1" si="97"/>
        <v>#NAME?</v>
      </c>
      <c r="K663" s="100" t="e">
        <f t="shared" ca="1" si="98"/>
        <v>#NAME?</v>
      </c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 spans="1:26">
      <c r="A664" s="100" t="e">
        <f ca="1">IFERROR(__xludf.DUMMYFUNCTION("""COMPUTED_VALUE"""),14520416)</f>
        <v>#NAME?</v>
      </c>
      <c r="B664" s="100" t="e">
        <f ca="1">IFERROR(__xludf.DUMMYFUNCTION("""COMPUTED_VALUE"""),"dgbusdt")</f>
        <v>#NAME?</v>
      </c>
      <c r="C664" s="100" t="e">
        <f ca="1">IFERROR(__xludf.DUMMYFUNCTION("""COMPUTED_VALUE"""),"0.023502")</f>
        <v>#NAME?</v>
      </c>
      <c r="D664" s="100" t="e">
        <f t="shared" ca="1" si="99"/>
        <v>#NAME?</v>
      </c>
      <c r="E664" s="100" t="e">
        <f t="shared" ca="1" si="99"/>
        <v>#NAME?</v>
      </c>
      <c r="F664" s="100" t="e">
        <f t="shared" ca="1" si="93"/>
        <v>#NAME?</v>
      </c>
      <c r="G664" s="100" t="e">
        <f t="shared" ca="1" si="94"/>
        <v>#NAME?</v>
      </c>
      <c r="H664" s="100" t="e">
        <f t="shared" ca="1" si="95"/>
        <v>#NAME?</v>
      </c>
      <c r="I664" s="100" t="e">
        <f t="shared" ca="1" si="96"/>
        <v>#NAME?</v>
      </c>
      <c r="J664" s="100" t="e">
        <f t="shared" ca="1" si="97"/>
        <v>#NAME?</v>
      </c>
      <c r="K664" s="100" t="e">
        <f t="shared" ca="1" si="98"/>
        <v>#NAME?</v>
      </c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 spans="1:26">
      <c r="A665" s="100" t="e">
        <f ca="1">IFERROR(__xludf.DUMMYFUNCTION("""COMPUTED_VALUE"""),14520417)</f>
        <v>#NAME?</v>
      </c>
      <c r="B665" s="100" t="e">
        <f ca="1">IFERROR(__xludf.DUMMYFUNCTION("""COMPUTED_VALUE"""),"gominingusdt")</f>
        <v>#NAME?</v>
      </c>
      <c r="C665" s="100" t="e">
        <f ca="1">IFERROR(__xludf.DUMMYFUNCTION("""COMPUTED_VALUE"""),"0.36635")</f>
        <v>#NAME?</v>
      </c>
      <c r="D665" s="100" t="e">
        <f t="shared" ca="1" si="99"/>
        <v>#NAME?</v>
      </c>
      <c r="E665" s="100" t="e">
        <f t="shared" ca="1" si="99"/>
        <v>#NAME?</v>
      </c>
      <c r="F665" s="100" t="e">
        <f t="shared" ca="1" si="93"/>
        <v>#NAME?</v>
      </c>
      <c r="G665" s="100" t="e">
        <f t="shared" ca="1" si="94"/>
        <v>#NAME?</v>
      </c>
      <c r="H665" s="100" t="e">
        <f t="shared" ca="1" si="95"/>
        <v>#NAME?</v>
      </c>
      <c r="I665" s="100" t="e">
        <f t="shared" ca="1" si="96"/>
        <v>#NAME?</v>
      </c>
      <c r="J665" s="100" t="e">
        <f t="shared" ca="1" si="97"/>
        <v>#NAME?</v>
      </c>
      <c r="K665" s="100" t="e">
        <f t="shared" ca="1" si="98"/>
        <v>#NAME?</v>
      </c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 spans="1:26">
      <c r="A666" s="100" t="e">
        <f ca="1">IFERROR(__xludf.DUMMYFUNCTION("""COMPUTED_VALUE"""),14520418)</f>
        <v>#NAME?</v>
      </c>
      <c r="B666" s="100" t="e">
        <f ca="1">IFERROR(__xludf.DUMMYFUNCTION("""COMPUTED_VALUE"""),"bntusdt")</f>
        <v>#NAME?</v>
      </c>
      <c r="C666" s="100" t="e">
        <f ca="1">IFERROR(__xludf.DUMMYFUNCTION("""COMPUTED_VALUE"""),"0.3945")</f>
        <v>#NAME?</v>
      </c>
      <c r="D666" s="100" t="e">
        <f t="shared" ca="1" si="99"/>
        <v>#NAME?</v>
      </c>
      <c r="E666" s="100" t="e">
        <f t="shared" ca="1" si="99"/>
        <v>#NAME?</v>
      </c>
      <c r="F666" s="100" t="e">
        <f t="shared" ca="1" si="93"/>
        <v>#NAME?</v>
      </c>
      <c r="G666" s="100" t="e">
        <f t="shared" ca="1" si="94"/>
        <v>#NAME?</v>
      </c>
      <c r="H666" s="100" t="e">
        <f t="shared" ca="1" si="95"/>
        <v>#NAME?</v>
      </c>
      <c r="I666" s="100" t="e">
        <f t="shared" ca="1" si="96"/>
        <v>#NAME?</v>
      </c>
      <c r="J666" s="100" t="e">
        <f t="shared" ca="1" si="97"/>
        <v>#NAME?</v>
      </c>
      <c r="K666" s="100" t="e">
        <f t="shared" ca="1" si="98"/>
        <v>#NAME?</v>
      </c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 spans="1:26">
      <c r="A667" s="100" t="e">
        <f ca="1">IFERROR(__xludf.DUMMYFUNCTION("""COMPUTED_VALUE"""),14520419)</f>
        <v>#NAME?</v>
      </c>
      <c r="B667" s="100" t="e">
        <f ca="1">IFERROR(__xludf.DUMMYFUNCTION("""COMPUTED_VALUE"""),"hippousdt")</f>
        <v>#NAME?</v>
      </c>
      <c r="C667" s="100" t="e">
        <f ca="1">IFERROR(__xludf.DUMMYFUNCTION("""COMPUTED_VALUE"""),"0.002119")</f>
        <v>#NAME?</v>
      </c>
      <c r="D667" s="100" t="e">
        <f t="shared" ca="1" si="99"/>
        <v>#NAME?</v>
      </c>
      <c r="E667" s="100" t="e">
        <f t="shared" ca="1" si="99"/>
        <v>#NAME?</v>
      </c>
      <c r="F667" s="100" t="e">
        <f t="shared" ca="1" si="93"/>
        <v>#NAME?</v>
      </c>
      <c r="G667" s="100" t="e">
        <f t="shared" ca="1" si="94"/>
        <v>#NAME?</v>
      </c>
      <c r="H667" s="100" t="e">
        <f t="shared" ca="1" si="95"/>
        <v>#NAME?</v>
      </c>
      <c r="I667" s="100" t="e">
        <f t="shared" ca="1" si="96"/>
        <v>#NAME?</v>
      </c>
      <c r="J667" s="100" t="e">
        <f t="shared" ca="1" si="97"/>
        <v>#NAME?</v>
      </c>
      <c r="K667" s="100" t="e">
        <f t="shared" ca="1" si="98"/>
        <v>#NAME?</v>
      </c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 spans="1:26">
      <c r="A668" s="100" t="e">
        <f ca="1">IFERROR(__xludf.DUMMYFUNCTION("""COMPUTED_VALUE"""),14520420)</f>
        <v>#NAME?</v>
      </c>
      <c r="B668" s="100" t="e">
        <f ca="1">IFERROR(__xludf.DUMMYFUNCTION("""COMPUTED_VALUE"""),"elfbtc")</f>
        <v>#NAME?</v>
      </c>
      <c r="C668" s="100" t="e">
        <f ca="1">IFERROR(__xludf.DUMMYFUNCTION("""COMPUTED_VALUE"""),"2.54e-06")</f>
        <v>#NAME?</v>
      </c>
      <c r="D668" s="100" t="e">
        <f t="shared" ca="1" si="99"/>
        <v>#NAME?</v>
      </c>
      <c r="E668" s="100" t="e">
        <f t="shared" ca="1" si="99"/>
        <v>#NAME?</v>
      </c>
      <c r="F668" s="100" t="e">
        <f t="shared" ca="1" si="93"/>
        <v>#NAME?</v>
      </c>
      <c r="G668" s="100" t="e">
        <f t="shared" ca="1" si="94"/>
        <v>#NAME?</v>
      </c>
      <c r="H668" s="100" t="e">
        <f t="shared" ca="1" si="95"/>
        <v>#NAME?</v>
      </c>
      <c r="I668" s="100" t="e">
        <f t="shared" ca="1" si="96"/>
        <v>#NAME?</v>
      </c>
      <c r="J668" s="100" t="e">
        <f t="shared" ca="1" si="97"/>
        <v>#NAME?</v>
      </c>
      <c r="K668" s="100" t="e">
        <f t="shared" ca="1" si="98"/>
        <v>#NAME?</v>
      </c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 spans="1:26">
      <c r="A669" s="100" t="e">
        <f ca="1">IFERROR(__xludf.DUMMYFUNCTION("""COMPUTED_VALUE"""),14520421)</f>
        <v>#NAME?</v>
      </c>
      <c r="B669" s="100" t="e">
        <f ca="1">IFERROR(__xludf.DUMMYFUNCTION("""COMPUTED_VALUE"""),"moveusdt")</f>
        <v>#NAME?</v>
      </c>
      <c r="C669" s="100" t="e">
        <f ca="1">IFERROR(__xludf.DUMMYFUNCTION("""COMPUTED_VALUE"""),"0.2247")</f>
        <v>#NAME?</v>
      </c>
      <c r="D669" s="100" t="e">
        <f t="shared" ca="1" si="99"/>
        <v>#NAME?</v>
      </c>
      <c r="E669" s="100" t="e">
        <f t="shared" ca="1" si="99"/>
        <v>#NAME?</v>
      </c>
      <c r="F669" s="100" t="e">
        <f t="shared" ca="1" si="93"/>
        <v>#NAME?</v>
      </c>
      <c r="G669" s="100" t="e">
        <f t="shared" ca="1" si="94"/>
        <v>#NAME?</v>
      </c>
      <c r="H669" s="100" t="e">
        <f t="shared" ca="1" si="95"/>
        <v>#NAME?</v>
      </c>
      <c r="I669" s="100" t="e">
        <f t="shared" ca="1" si="96"/>
        <v>#NAME?</v>
      </c>
      <c r="J669" s="100" t="e">
        <f t="shared" ca="1" si="97"/>
        <v>#NAME?</v>
      </c>
      <c r="K669" s="100" t="e">
        <f t="shared" ca="1" si="98"/>
        <v>#NAME?</v>
      </c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 spans="1:26">
      <c r="A670" s="100" t="e">
        <f ca="1">IFERROR(__xludf.DUMMYFUNCTION("""COMPUTED_VALUE"""),14520422)</f>
        <v>#NAME?</v>
      </c>
      <c r="B670" s="100" t="e">
        <f ca="1">IFERROR(__xludf.DUMMYFUNCTION("""COMPUTED_VALUE"""),"xetausdt")</f>
        <v>#NAME?</v>
      </c>
      <c r="C670" s="100" t="e">
        <f ca="1">IFERROR(__xludf.DUMMYFUNCTION("""COMPUTED_VALUE"""),"0.000861")</f>
        <v>#NAME?</v>
      </c>
      <c r="D670" s="100" t="e">
        <f t="shared" ca="1" si="99"/>
        <v>#NAME?</v>
      </c>
      <c r="E670" s="100" t="e">
        <f t="shared" ca="1" si="99"/>
        <v>#NAME?</v>
      </c>
      <c r="F670" s="100" t="e">
        <f t="shared" ca="1" si="93"/>
        <v>#NAME?</v>
      </c>
      <c r="G670" s="100" t="e">
        <f t="shared" ca="1" si="94"/>
        <v>#NAME?</v>
      </c>
      <c r="H670" s="100" t="e">
        <f t="shared" ca="1" si="95"/>
        <v>#NAME?</v>
      </c>
      <c r="I670" s="100" t="e">
        <f t="shared" ca="1" si="96"/>
        <v>#NAME?</v>
      </c>
      <c r="J670" s="100" t="e">
        <f t="shared" ca="1" si="97"/>
        <v>#NAME?</v>
      </c>
      <c r="K670" s="100" t="e">
        <f t="shared" ca="1" si="98"/>
        <v>#NAME?</v>
      </c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 spans="1:26">
      <c r="A671" s="100" t="e">
        <f ca="1">IFERROR(__xludf.DUMMYFUNCTION("""COMPUTED_VALUE"""),14520423)</f>
        <v>#NAME?</v>
      </c>
      <c r="B671" s="100" t="e">
        <f ca="1">IFERROR(__xludf.DUMMYFUNCTION("""COMPUTED_VALUE"""),"iotxusdt")</f>
        <v>#NAME?</v>
      </c>
      <c r="C671" s="100" t="e">
        <f ca="1">IFERROR(__xludf.DUMMYFUNCTION("""COMPUTED_VALUE"""),"0.018095")</f>
        <v>#NAME?</v>
      </c>
      <c r="D671" s="100" t="e">
        <f t="shared" ca="1" si="99"/>
        <v>#NAME?</v>
      </c>
      <c r="E671" s="100" t="e">
        <f t="shared" ca="1" si="99"/>
        <v>#NAME?</v>
      </c>
      <c r="F671" s="100" t="e">
        <f t="shared" ca="1" si="93"/>
        <v>#NAME?</v>
      </c>
      <c r="G671" s="100" t="e">
        <f t="shared" ca="1" si="94"/>
        <v>#NAME?</v>
      </c>
      <c r="H671" s="100" t="e">
        <f t="shared" ca="1" si="95"/>
        <v>#NAME?</v>
      </c>
      <c r="I671" s="100" t="e">
        <f t="shared" ca="1" si="96"/>
        <v>#NAME?</v>
      </c>
      <c r="J671" s="100" t="e">
        <f t="shared" ca="1" si="97"/>
        <v>#NAME?</v>
      </c>
      <c r="K671" s="100" t="e">
        <f t="shared" ca="1" si="98"/>
        <v>#NAME?</v>
      </c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 spans="1:26">
      <c r="A672" s="100" t="e">
        <f ca="1">IFERROR(__xludf.DUMMYFUNCTION("""COMPUTED_VALUE"""),14520424)</f>
        <v>#NAME?</v>
      </c>
      <c r="B672" s="100" t="e">
        <f ca="1">IFERROR(__xludf.DUMMYFUNCTION("""COMPUTED_VALUE"""),"sisusdt")</f>
        <v>#NAME?</v>
      </c>
      <c r="C672" s="100" t="e">
        <f ca="1">IFERROR(__xludf.DUMMYFUNCTION("""COMPUTED_VALUE"""),"0.0463")</f>
        <v>#NAME?</v>
      </c>
      <c r="D672" s="100" t="e">
        <f t="shared" ca="1" si="99"/>
        <v>#NAME?</v>
      </c>
      <c r="E672" s="100" t="e">
        <f t="shared" ca="1" si="99"/>
        <v>#NAME?</v>
      </c>
      <c r="F672" s="100" t="e">
        <f t="shared" ca="1" si="93"/>
        <v>#NAME?</v>
      </c>
      <c r="G672" s="100" t="e">
        <f t="shared" ca="1" si="94"/>
        <v>#NAME?</v>
      </c>
      <c r="H672" s="100" t="e">
        <f t="shared" ca="1" si="95"/>
        <v>#NAME?</v>
      </c>
      <c r="I672" s="100" t="e">
        <f t="shared" ca="1" si="96"/>
        <v>#NAME?</v>
      </c>
      <c r="J672" s="100" t="e">
        <f t="shared" ca="1" si="97"/>
        <v>#NAME?</v>
      </c>
      <c r="K672" s="100" t="e">
        <f t="shared" ca="1" si="98"/>
        <v>#NAME?</v>
      </c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 spans="1:26">
      <c r="A673" s="100" t="e">
        <f ca="1">IFERROR(__xludf.DUMMYFUNCTION("""COMPUTED_VALUE"""),14520425)</f>
        <v>#NAME?</v>
      </c>
      <c r="B673" s="100" t="e">
        <f ca="1">IFERROR(__xludf.DUMMYFUNCTION("""COMPUTED_VALUE"""),"umausdt")</f>
        <v>#NAME?</v>
      </c>
      <c r="C673" s="100" t="e">
        <f ca="1">IFERROR(__xludf.DUMMYFUNCTION("""COMPUTED_VALUE"""),"1.1151")</f>
        <v>#NAME?</v>
      </c>
      <c r="D673" s="100" t="e">
        <f t="shared" ca="1" si="99"/>
        <v>#NAME?</v>
      </c>
      <c r="E673" s="100" t="e">
        <f t="shared" ca="1" si="99"/>
        <v>#NAME?</v>
      </c>
      <c r="F673" s="100" t="e">
        <f t="shared" ca="1" si="93"/>
        <v>#NAME?</v>
      </c>
      <c r="G673" s="100" t="e">
        <f t="shared" ca="1" si="94"/>
        <v>#NAME?</v>
      </c>
      <c r="H673" s="100" t="e">
        <f t="shared" ca="1" si="95"/>
        <v>#NAME?</v>
      </c>
      <c r="I673" s="100" t="e">
        <f t="shared" ca="1" si="96"/>
        <v>#NAME?</v>
      </c>
      <c r="J673" s="100" t="e">
        <f t="shared" ca="1" si="97"/>
        <v>#NAME?</v>
      </c>
      <c r="K673" s="100" t="e">
        <f t="shared" ca="1" si="98"/>
        <v>#NAME?</v>
      </c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 spans="1:26">
      <c r="A674" s="100" t="e">
        <f ca="1">IFERROR(__xludf.DUMMYFUNCTION("""COMPUTED_VALUE"""),14520426)</f>
        <v>#NAME?</v>
      </c>
      <c r="B674" s="100" t="e">
        <f ca="1">IFERROR(__xludf.DUMMYFUNCTION("""COMPUTED_VALUE"""),"luceusdt")</f>
        <v>#NAME?</v>
      </c>
      <c r="C674" s="100" t="e">
        <f ca="1">IFERROR(__xludf.DUMMYFUNCTION("""COMPUTED_VALUE"""),"0.01133")</f>
        <v>#NAME?</v>
      </c>
      <c r="D674" s="100" t="e">
        <f t="shared" ca="1" si="99"/>
        <v>#NAME?</v>
      </c>
      <c r="E674" s="100" t="e">
        <f t="shared" ca="1" si="99"/>
        <v>#NAME?</v>
      </c>
      <c r="F674" s="100" t="e">
        <f t="shared" ca="1" si="93"/>
        <v>#NAME?</v>
      </c>
      <c r="G674" s="100" t="e">
        <f t="shared" ca="1" si="94"/>
        <v>#NAME?</v>
      </c>
      <c r="H674" s="100" t="e">
        <f t="shared" ca="1" si="95"/>
        <v>#NAME?</v>
      </c>
      <c r="I674" s="100" t="e">
        <f t="shared" ca="1" si="96"/>
        <v>#NAME?</v>
      </c>
      <c r="J674" s="100" t="e">
        <f t="shared" ca="1" si="97"/>
        <v>#NAME?</v>
      </c>
      <c r="K674" s="100" t="e">
        <f t="shared" ca="1" si="98"/>
        <v>#NAME?</v>
      </c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 spans="1:26">
      <c r="A675" s="100" t="e">
        <f ca="1">IFERROR(__xludf.DUMMYFUNCTION("""COMPUTED_VALUE"""),14520427)</f>
        <v>#NAME?</v>
      </c>
      <c r="B675" s="100" t="e">
        <f ca="1">IFERROR(__xludf.DUMMYFUNCTION("""COMPUTED_VALUE"""),"clearusdt")</f>
        <v>#NAME?</v>
      </c>
      <c r="C675" s="100" t="e">
        <f ca="1">IFERROR(__xludf.DUMMYFUNCTION("""COMPUTED_VALUE"""),"0.01654")</f>
        <v>#NAME?</v>
      </c>
      <c r="D675" s="100" t="e">
        <f t="shared" ca="1" si="99"/>
        <v>#NAME?</v>
      </c>
      <c r="E675" s="100" t="e">
        <f t="shared" ca="1" si="99"/>
        <v>#NAME?</v>
      </c>
      <c r="F675" s="100" t="e">
        <f t="shared" ca="1" si="93"/>
        <v>#NAME?</v>
      </c>
      <c r="G675" s="100" t="e">
        <f t="shared" ca="1" si="94"/>
        <v>#NAME?</v>
      </c>
      <c r="H675" s="100" t="e">
        <f t="shared" ca="1" si="95"/>
        <v>#NAME?</v>
      </c>
      <c r="I675" s="100" t="e">
        <f t="shared" ca="1" si="96"/>
        <v>#NAME?</v>
      </c>
      <c r="J675" s="100" t="e">
        <f t="shared" ca="1" si="97"/>
        <v>#NAME?</v>
      </c>
      <c r="K675" s="100" t="e">
        <f t="shared" ca="1" si="98"/>
        <v>#NAME?</v>
      </c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 spans="1:26">
      <c r="A676" s="100" t="e">
        <f ca="1">IFERROR(__xludf.DUMMYFUNCTION("""COMPUTED_VALUE"""),14520428)</f>
        <v>#NAME?</v>
      </c>
      <c r="B676" s="100" t="e">
        <f ca="1">IFERROR(__xludf.DUMMYFUNCTION("""COMPUTED_VALUE"""),"tiausdt")</f>
        <v>#NAME?</v>
      </c>
      <c r="C676" s="100" t="e">
        <f ca="1">IFERROR(__xludf.DUMMYFUNCTION("""COMPUTED_VALUE"""),"2.5235")</f>
        <v>#NAME?</v>
      </c>
      <c r="D676" s="100" t="e">
        <f t="shared" ca="1" si="99"/>
        <v>#NAME?</v>
      </c>
      <c r="E676" s="100" t="e">
        <f t="shared" ca="1" si="99"/>
        <v>#NAME?</v>
      </c>
      <c r="F676" s="100" t="e">
        <f t="shared" ca="1" si="93"/>
        <v>#NAME?</v>
      </c>
      <c r="G676" s="100" t="e">
        <f t="shared" ca="1" si="94"/>
        <v>#NAME?</v>
      </c>
      <c r="H676" s="100" t="e">
        <f t="shared" ca="1" si="95"/>
        <v>#NAME?</v>
      </c>
      <c r="I676" s="100" t="e">
        <f t="shared" ca="1" si="96"/>
        <v>#NAME?</v>
      </c>
      <c r="J676" s="100" t="e">
        <f t="shared" ca="1" si="97"/>
        <v>#NAME?</v>
      </c>
      <c r="K676" s="100" t="e">
        <f t="shared" ca="1" si="98"/>
        <v>#NAME?</v>
      </c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 spans="1:26">
      <c r="A677" s="100" t="e">
        <f ca="1">IFERROR(__xludf.DUMMYFUNCTION("""COMPUTED_VALUE"""),14520429)</f>
        <v>#NAME?</v>
      </c>
      <c r="B677" s="100" t="e">
        <f ca="1">IFERROR(__xludf.DUMMYFUNCTION("""COMPUTED_VALUE"""),"bnbusdt")</f>
        <v>#NAME?</v>
      </c>
      <c r="C677" s="100" t="e">
        <f ca="1">IFERROR(__xludf.DUMMYFUNCTION("""COMPUTED_VALUE"""),"606.41")</f>
        <v>#NAME?</v>
      </c>
      <c r="D677" s="100" t="e">
        <f t="shared" ca="1" si="99"/>
        <v>#NAME?</v>
      </c>
      <c r="E677" s="100" t="e">
        <f t="shared" ca="1" si="99"/>
        <v>#NAME?</v>
      </c>
      <c r="F677" s="100" t="e">
        <f t="shared" ca="1" si="93"/>
        <v>#NAME?</v>
      </c>
      <c r="G677" s="100" t="e">
        <f t="shared" ca="1" si="94"/>
        <v>#NAME?</v>
      </c>
      <c r="H677" s="100" t="e">
        <f t="shared" ca="1" si="95"/>
        <v>#NAME?</v>
      </c>
      <c r="I677" s="100" t="e">
        <f t="shared" ca="1" si="96"/>
        <v>#NAME?</v>
      </c>
      <c r="J677" s="100" t="e">
        <f t="shared" ca="1" si="97"/>
        <v>#NAME?</v>
      </c>
      <c r="K677" s="100" t="e">
        <f t="shared" ca="1" si="98"/>
        <v>#NAME?</v>
      </c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 spans="1:26">
      <c r="A678" s="100" t="e">
        <f ca="1">IFERROR(__xludf.DUMMYFUNCTION("""COMPUTED_VALUE"""),14520430)</f>
        <v>#NAME?</v>
      </c>
      <c r="B678" s="100" t="e">
        <f ca="1">IFERROR(__xludf.DUMMYFUNCTION("""COMPUTED_VALUE"""),"polusdt")</f>
        <v>#NAME?</v>
      </c>
      <c r="C678" s="100" t="e">
        <f ca="1">IFERROR(__xludf.DUMMYFUNCTION("""COMPUTED_VALUE"""),"0.2163")</f>
        <v>#NAME?</v>
      </c>
      <c r="D678" s="100" t="e">
        <f t="shared" ca="1" si="99"/>
        <v>#NAME?</v>
      </c>
      <c r="E678" s="100" t="e">
        <f t="shared" ca="1" si="99"/>
        <v>#NAME?</v>
      </c>
      <c r="F678" s="100" t="e">
        <f t="shared" ca="1" si="93"/>
        <v>#NAME?</v>
      </c>
      <c r="G678" s="100" t="e">
        <f t="shared" ca="1" si="94"/>
        <v>#NAME?</v>
      </c>
      <c r="H678" s="100" t="e">
        <f t="shared" ca="1" si="95"/>
        <v>#NAME?</v>
      </c>
      <c r="I678" s="100" t="e">
        <f t="shared" ca="1" si="96"/>
        <v>#NAME?</v>
      </c>
      <c r="J678" s="100" t="e">
        <f t="shared" ca="1" si="97"/>
        <v>#NAME?</v>
      </c>
      <c r="K678" s="100" t="e">
        <f t="shared" ca="1" si="98"/>
        <v>#NAME?</v>
      </c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 spans="1:26">
      <c r="A679" s="100" t="e">
        <f ca="1">IFERROR(__xludf.DUMMYFUNCTION("""COMPUTED_VALUE"""),14520431)</f>
        <v>#NAME?</v>
      </c>
      <c r="B679" s="100" t="e">
        <f ca="1">IFERROR(__xludf.DUMMYFUNCTION("""COMPUTED_VALUE"""),"partiusdt")</f>
        <v>#NAME?</v>
      </c>
      <c r="C679" s="100" t="e">
        <f ca="1">IFERROR(__xludf.DUMMYFUNCTION("""COMPUTED_VALUE"""),"0.17021")</f>
        <v>#NAME?</v>
      </c>
      <c r="D679" s="100" t="e">
        <f t="shared" ca="1" si="99"/>
        <v>#NAME?</v>
      </c>
      <c r="E679" s="100" t="e">
        <f t="shared" ca="1" si="99"/>
        <v>#NAME?</v>
      </c>
      <c r="F679" s="100" t="e">
        <f t="shared" ca="1" si="93"/>
        <v>#NAME?</v>
      </c>
      <c r="G679" s="100" t="e">
        <f t="shared" ca="1" si="94"/>
        <v>#NAME?</v>
      </c>
      <c r="H679" s="100" t="e">
        <f t="shared" ca="1" si="95"/>
        <v>#NAME?</v>
      </c>
      <c r="I679" s="100" t="e">
        <f t="shared" ca="1" si="96"/>
        <v>#NAME?</v>
      </c>
      <c r="J679" s="100" t="e">
        <f t="shared" ca="1" si="97"/>
        <v>#NAME?</v>
      </c>
      <c r="K679" s="100" t="e">
        <f t="shared" ca="1" si="98"/>
        <v>#NAME?</v>
      </c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 spans="1:26">
      <c r="A680" s="100" t="e">
        <f ca="1">IFERROR(__xludf.DUMMYFUNCTION("""COMPUTED_VALUE"""),14520432)</f>
        <v>#NAME?</v>
      </c>
      <c r="B680" s="100" t="e">
        <f ca="1">IFERROR(__xludf.DUMMYFUNCTION("""COMPUTED_VALUE"""),"h2ousdt")</f>
        <v>#NAME?</v>
      </c>
      <c r="C680" s="100" t="e">
        <f ca="1">IFERROR(__xludf.DUMMYFUNCTION("""COMPUTED_VALUE"""),"0.058001")</f>
        <v>#NAME?</v>
      </c>
      <c r="D680" s="100" t="e">
        <f t="shared" ca="1" si="99"/>
        <v>#NAME?</v>
      </c>
      <c r="E680" s="100" t="e">
        <f t="shared" ca="1" si="99"/>
        <v>#NAME?</v>
      </c>
      <c r="F680" s="100" t="e">
        <f t="shared" ca="1" si="93"/>
        <v>#NAME?</v>
      </c>
      <c r="G680" s="100" t="e">
        <f t="shared" ca="1" si="94"/>
        <v>#NAME?</v>
      </c>
      <c r="H680" s="100" t="e">
        <f t="shared" ca="1" si="95"/>
        <v>#NAME?</v>
      </c>
      <c r="I680" s="100" t="e">
        <f t="shared" ca="1" si="96"/>
        <v>#NAME?</v>
      </c>
      <c r="J680" s="100" t="e">
        <f t="shared" ca="1" si="97"/>
        <v>#NAME?</v>
      </c>
      <c r="K680" s="100" t="e">
        <f t="shared" ca="1" si="98"/>
        <v>#NAME?</v>
      </c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 spans="1:26">
      <c r="A681" s="100" t="e">
        <f ca="1">IFERROR(__xludf.DUMMYFUNCTION("""COMPUTED_VALUE"""),14520433)</f>
        <v>#NAME?</v>
      </c>
      <c r="B681" s="100" t="e">
        <f ca="1">IFERROR(__xludf.DUMMYFUNCTION("""COMPUTED_VALUE"""),"actsolusdt")</f>
        <v>#NAME?</v>
      </c>
      <c r="C681" s="100" t="e">
        <f ca="1">IFERROR(__xludf.DUMMYFUNCTION("""COMPUTED_VALUE"""),"0.05541")</f>
        <v>#NAME?</v>
      </c>
      <c r="D681" s="100" t="e">
        <f t="shared" ca="1" si="99"/>
        <v>#NAME?</v>
      </c>
      <c r="E681" s="100" t="e">
        <f t="shared" ca="1" si="99"/>
        <v>#NAME?</v>
      </c>
      <c r="F681" s="100" t="e">
        <f t="shared" ca="1" si="93"/>
        <v>#NAME?</v>
      </c>
      <c r="G681" s="100" t="e">
        <f t="shared" ca="1" si="94"/>
        <v>#NAME?</v>
      </c>
      <c r="H681" s="100" t="e">
        <f t="shared" ca="1" si="95"/>
        <v>#NAME?</v>
      </c>
      <c r="I681" s="100" t="e">
        <f t="shared" ca="1" si="96"/>
        <v>#NAME?</v>
      </c>
      <c r="J681" s="100" t="e">
        <f t="shared" ca="1" si="97"/>
        <v>#NAME?</v>
      </c>
      <c r="K681" s="100" t="e">
        <f t="shared" ca="1" si="98"/>
        <v>#NAME?</v>
      </c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 spans="1:26">
      <c r="A682" s="100" t="e">
        <f ca="1">IFERROR(__xludf.DUMMYFUNCTION("""COMPUTED_VALUE"""),14520434)</f>
        <v>#NAME?</v>
      </c>
      <c r="B682" s="100" t="e">
        <f ca="1">IFERROR(__xludf.DUMMYFUNCTION("""COMPUTED_VALUE"""),"dfusdt")</f>
        <v>#NAME?</v>
      </c>
      <c r="C682" s="100" t="e">
        <f ca="1">IFERROR(__xludf.DUMMYFUNCTION("""COMPUTED_VALUE"""),"0.0557")</f>
        <v>#NAME?</v>
      </c>
      <c r="D682" s="100" t="e">
        <f t="shared" ref="D682:E701" ca="1" si="100">IFERROR(__xludf.DUMMYFUNCTION("""COMPUTED_VALUE"""),"-")</f>
        <v>#NAME?</v>
      </c>
      <c r="E682" s="100" t="e">
        <f t="shared" ca="1" si="100"/>
        <v>#NAME?</v>
      </c>
      <c r="F682" s="100" t="e">
        <f t="shared" ca="1" si="93"/>
        <v>#NAME?</v>
      </c>
      <c r="G682" s="100" t="e">
        <f t="shared" ca="1" si="94"/>
        <v>#NAME?</v>
      </c>
      <c r="H682" s="100" t="e">
        <f t="shared" ca="1" si="95"/>
        <v>#NAME?</v>
      </c>
      <c r="I682" s="100" t="e">
        <f t="shared" ca="1" si="96"/>
        <v>#NAME?</v>
      </c>
      <c r="J682" s="100" t="e">
        <f t="shared" ca="1" si="97"/>
        <v>#NAME?</v>
      </c>
      <c r="K682" s="100" t="e">
        <f t="shared" ca="1" si="98"/>
        <v>#NAME?</v>
      </c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 spans="1:26">
      <c r="A683" s="100" t="e">
        <f ca="1">IFERROR(__xludf.DUMMYFUNCTION("""COMPUTED_VALUE"""),14520435)</f>
        <v>#NAME?</v>
      </c>
      <c r="B683" s="100" t="e">
        <f ca="1">IFERROR(__xludf.DUMMYFUNCTION("""COMPUTED_VALUE"""),"ergusdt")</f>
        <v>#NAME?</v>
      </c>
      <c r="C683" s="100" t="e">
        <f ca="1">IFERROR(__xludf.DUMMYFUNCTION("""COMPUTED_VALUE"""),"0.7624")</f>
        <v>#NAME?</v>
      </c>
      <c r="D683" s="100" t="e">
        <f t="shared" ca="1" si="100"/>
        <v>#NAME?</v>
      </c>
      <c r="E683" s="100" t="e">
        <f t="shared" ca="1" si="100"/>
        <v>#NAME?</v>
      </c>
      <c r="F683" s="100" t="e">
        <f t="shared" ca="1" si="93"/>
        <v>#NAME?</v>
      </c>
      <c r="G683" s="100" t="e">
        <f t="shared" ca="1" si="94"/>
        <v>#NAME?</v>
      </c>
      <c r="H683" s="100" t="e">
        <f t="shared" ca="1" si="95"/>
        <v>#NAME?</v>
      </c>
      <c r="I683" s="100" t="e">
        <f t="shared" ca="1" si="96"/>
        <v>#NAME?</v>
      </c>
      <c r="J683" s="100" t="e">
        <f t="shared" ca="1" si="97"/>
        <v>#NAME?</v>
      </c>
      <c r="K683" s="100" t="e">
        <f t="shared" ca="1" si="98"/>
        <v>#NAME?</v>
      </c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 spans="1:26">
      <c r="A684" s="100" t="e">
        <f ca="1">IFERROR(__xludf.DUMMYFUNCTION("""COMPUTED_VALUE"""),14520436)</f>
        <v>#NAME?</v>
      </c>
      <c r="B684" s="100" t="e">
        <f ca="1">IFERROR(__xludf.DUMMYFUNCTION("""COMPUTED_VALUE"""),"spausdt")</f>
        <v>#NAME?</v>
      </c>
      <c r="C684" s="100" t="e">
        <f ca="1">IFERROR(__xludf.DUMMYFUNCTION("""COMPUTED_VALUE"""),"0.021171")</f>
        <v>#NAME?</v>
      </c>
      <c r="D684" s="100" t="e">
        <f t="shared" ca="1" si="100"/>
        <v>#NAME?</v>
      </c>
      <c r="E684" s="100" t="e">
        <f t="shared" ca="1" si="100"/>
        <v>#NAME?</v>
      </c>
      <c r="F684" s="100" t="e">
        <f t="shared" ca="1" si="93"/>
        <v>#NAME?</v>
      </c>
      <c r="G684" s="100" t="e">
        <f t="shared" ca="1" si="94"/>
        <v>#NAME?</v>
      </c>
      <c r="H684" s="100" t="e">
        <f t="shared" ca="1" si="95"/>
        <v>#NAME?</v>
      </c>
      <c r="I684" s="100" t="e">
        <f t="shared" ca="1" si="96"/>
        <v>#NAME?</v>
      </c>
      <c r="J684" s="100" t="e">
        <f t="shared" ca="1" si="97"/>
        <v>#NAME?</v>
      </c>
      <c r="K684" s="100" t="e">
        <f t="shared" ca="1" si="98"/>
        <v>#NAME?</v>
      </c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 spans="1:26">
      <c r="A685" s="100" t="e">
        <f ca="1">IFERROR(__xludf.DUMMYFUNCTION("""COMPUTED_VALUE"""),14520437)</f>
        <v>#NAME?</v>
      </c>
      <c r="B685" s="100" t="e">
        <f ca="1">IFERROR(__xludf.DUMMYFUNCTION("""COMPUTED_VALUE"""),"revvusdt")</f>
        <v>#NAME?</v>
      </c>
      <c r="C685" s="100" t="e">
        <f ca="1">IFERROR(__xludf.DUMMYFUNCTION("""COMPUTED_VALUE"""),"0.001311")</f>
        <v>#NAME?</v>
      </c>
      <c r="D685" s="100" t="e">
        <f t="shared" ca="1" si="100"/>
        <v>#NAME?</v>
      </c>
      <c r="E685" s="100" t="e">
        <f t="shared" ca="1" si="100"/>
        <v>#NAME?</v>
      </c>
      <c r="F685" s="100" t="e">
        <f t="shared" ca="1" si="93"/>
        <v>#NAME?</v>
      </c>
      <c r="G685" s="100" t="e">
        <f t="shared" ca="1" si="94"/>
        <v>#NAME?</v>
      </c>
      <c r="H685" s="100" t="e">
        <f t="shared" ca="1" si="95"/>
        <v>#NAME?</v>
      </c>
      <c r="I685" s="100" t="e">
        <f t="shared" ca="1" si="96"/>
        <v>#NAME?</v>
      </c>
      <c r="J685" s="100" t="e">
        <f t="shared" ca="1" si="97"/>
        <v>#NAME?</v>
      </c>
      <c r="K685" s="100" t="e">
        <f t="shared" ca="1" si="98"/>
        <v>#NAME?</v>
      </c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 spans="1:26">
      <c r="A686" s="100" t="e">
        <f ca="1">IFERROR(__xludf.DUMMYFUNCTION("""COMPUTED_VALUE"""),14520438)</f>
        <v>#NAME?</v>
      </c>
      <c r="B686" s="100" t="e">
        <f ca="1">IFERROR(__xludf.DUMMYFUNCTION("""COMPUTED_VALUE"""),"ardrusdt")</f>
        <v>#NAME?</v>
      </c>
      <c r="C686" s="100" t="e">
        <f ca="1">IFERROR(__xludf.DUMMYFUNCTION("""COMPUTED_VALUE"""),"0.0906")</f>
        <v>#NAME?</v>
      </c>
      <c r="D686" s="100" t="e">
        <f t="shared" ca="1" si="100"/>
        <v>#NAME?</v>
      </c>
      <c r="E686" s="100" t="e">
        <f t="shared" ca="1" si="100"/>
        <v>#NAME?</v>
      </c>
      <c r="F686" s="100" t="e">
        <f t="shared" ca="1" si="93"/>
        <v>#NAME?</v>
      </c>
      <c r="G686" s="100" t="e">
        <f t="shared" ca="1" si="94"/>
        <v>#NAME?</v>
      </c>
      <c r="H686" s="100" t="e">
        <f t="shared" ca="1" si="95"/>
        <v>#NAME?</v>
      </c>
      <c r="I686" s="100" t="e">
        <f t="shared" ca="1" si="96"/>
        <v>#NAME?</v>
      </c>
      <c r="J686" s="100" t="e">
        <f t="shared" ca="1" si="97"/>
        <v>#NAME?</v>
      </c>
      <c r="K686" s="100" t="e">
        <f t="shared" ca="1" si="98"/>
        <v>#NAME?</v>
      </c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 spans="1:26">
      <c r="A687" s="100" t="e">
        <f ca="1">IFERROR(__xludf.DUMMYFUNCTION("""COMPUTED_VALUE"""),14520439)</f>
        <v>#NAME?</v>
      </c>
      <c r="B687" s="100" t="e">
        <f ca="1">IFERROR(__xludf.DUMMYFUNCTION("""COMPUTED_VALUE"""),"snxusdt")</f>
        <v>#NAME?</v>
      </c>
      <c r="C687" s="100" t="e">
        <f ca="1">IFERROR(__xludf.DUMMYFUNCTION("""COMPUTED_VALUE"""),"0.6652")</f>
        <v>#NAME?</v>
      </c>
      <c r="D687" s="100" t="e">
        <f t="shared" ca="1" si="100"/>
        <v>#NAME?</v>
      </c>
      <c r="E687" s="100" t="e">
        <f t="shared" ca="1" si="100"/>
        <v>#NAME?</v>
      </c>
      <c r="F687" s="100" t="e">
        <f t="shared" ca="1" si="93"/>
        <v>#NAME?</v>
      </c>
      <c r="G687" s="100" t="e">
        <f t="shared" ca="1" si="94"/>
        <v>#NAME?</v>
      </c>
      <c r="H687" s="100" t="e">
        <f t="shared" ca="1" si="95"/>
        <v>#NAME?</v>
      </c>
      <c r="I687" s="100" t="e">
        <f t="shared" ca="1" si="96"/>
        <v>#NAME?</v>
      </c>
      <c r="J687" s="100" t="e">
        <f t="shared" ca="1" si="97"/>
        <v>#NAME?</v>
      </c>
      <c r="K687" s="100" t="e">
        <f t="shared" ca="1" si="98"/>
        <v>#NAME?</v>
      </c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 spans="1:26">
      <c r="A688" s="100" t="e">
        <f ca="1">IFERROR(__xludf.DUMMYFUNCTION("""COMPUTED_VALUE"""),14520440)</f>
        <v>#NAME?</v>
      </c>
      <c r="B688" s="100" t="e">
        <f ca="1">IFERROR(__xludf.DUMMYFUNCTION("""COMPUTED_VALUE"""),"aixbtusdt")</f>
        <v>#NAME?</v>
      </c>
      <c r="C688" s="100" t="e">
        <f ca="1">IFERROR(__xludf.DUMMYFUNCTION("""COMPUTED_VALUE"""),"0.0845")</f>
        <v>#NAME?</v>
      </c>
      <c r="D688" s="100" t="e">
        <f t="shared" ca="1" si="100"/>
        <v>#NAME?</v>
      </c>
      <c r="E688" s="100" t="e">
        <f t="shared" ca="1" si="100"/>
        <v>#NAME?</v>
      </c>
      <c r="F688" s="100" t="e">
        <f t="shared" ca="1" si="93"/>
        <v>#NAME?</v>
      </c>
      <c r="G688" s="100" t="e">
        <f t="shared" ca="1" si="94"/>
        <v>#NAME?</v>
      </c>
      <c r="H688" s="100" t="e">
        <f t="shared" ca="1" si="95"/>
        <v>#NAME?</v>
      </c>
      <c r="I688" s="100" t="e">
        <f t="shared" ca="1" si="96"/>
        <v>#NAME?</v>
      </c>
      <c r="J688" s="100" t="e">
        <f t="shared" ca="1" si="97"/>
        <v>#NAME?</v>
      </c>
      <c r="K688" s="100" t="e">
        <f t="shared" ca="1" si="98"/>
        <v>#NAME?</v>
      </c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 spans="1:26">
      <c r="A689" s="100" t="e">
        <f ca="1">IFERROR(__xludf.DUMMYFUNCTION("""COMPUTED_VALUE"""),14520441)</f>
        <v>#NAME?</v>
      </c>
      <c r="B689" s="100" t="e">
        <f ca="1">IFERROR(__xludf.DUMMYFUNCTION("""COMPUTED_VALUE"""),"dcrusdt")</f>
        <v>#NAME?</v>
      </c>
      <c r="C689" s="100" t="e">
        <f ca="1">IFERROR(__xludf.DUMMYFUNCTION("""COMPUTED_VALUE"""),"12.6549")</f>
        <v>#NAME?</v>
      </c>
      <c r="D689" s="100" t="e">
        <f t="shared" ca="1" si="100"/>
        <v>#NAME?</v>
      </c>
      <c r="E689" s="100" t="e">
        <f t="shared" ca="1" si="100"/>
        <v>#NAME?</v>
      </c>
      <c r="F689" s="100" t="e">
        <f t="shared" ca="1" si="93"/>
        <v>#NAME?</v>
      </c>
      <c r="G689" s="100" t="e">
        <f t="shared" ca="1" si="94"/>
        <v>#NAME?</v>
      </c>
      <c r="H689" s="100" t="e">
        <f t="shared" ca="1" si="95"/>
        <v>#NAME?</v>
      </c>
      <c r="I689" s="100" t="e">
        <f t="shared" ca="1" si="96"/>
        <v>#NAME?</v>
      </c>
      <c r="J689" s="100" t="e">
        <f t="shared" ca="1" si="97"/>
        <v>#NAME?</v>
      </c>
      <c r="K689" s="100" t="e">
        <f t="shared" ca="1" si="98"/>
        <v>#NAME?</v>
      </c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 spans="1:26">
      <c r="A690" s="100" t="e">
        <f ca="1">IFERROR(__xludf.DUMMYFUNCTION("""COMPUTED_VALUE"""),14520442)</f>
        <v>#NAME?</v>
      </c>
      <c r="B690" s="100" t="e">
        <f ca="1">IFERROR(__xludf.DUMMYFUNCTION("""COMPUTED_VALUE"""),"lmwrusdt")</f>
        <v>#NAME?</v>
      </c>
      <c r="C690" s="100" t="e">
        <f ca="1">IFERROR(__xludf.DUMMYFUNCTION("""COMPUTED_VALUE"""),"0.083")</f>
        <v>#NAME?</v>
      </c>
      <c r="D690" s="100" t="e">
        <f t="shared" ca="1" si="100"/>
        <v>#NAME?</v>
      </c>
      <c r="E690" s="100" t="e">
        <f t="shared" ca="1" si="100"/>
        <v>#NAME?</v>
      </c>
      <c r="F690" s="100" t="e">
        <f t="shared" ca="1" si="93"/>
        <v>#NAME?</v>
      </c>
      <c r="G690" s="100" t="e">
        <f t="shared" ca="1" si="94"/>
        <v>#NAME?</v>
      </c>
      <c r="H690" s="100" t="e">
        <f t="shared" ca="1" si="95"/>
        <v>#NAME?</v>
      </c>
      <c r="I690" s="100" t="e">
        <f t="shared" ca="1" si="96"/>
        <v>#NAME?</v>
      </c>
      <c r="J690" s="100" t="e">
        <f t="shared" ca="1" si="97"/>
        <v>#NAME?</v>
      </c>
      <c r="K690" s="100" t="e">
        <f t="shared" ca="1" si="98"/>
        <v>#NAME?</v>
      </c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 spans="1:26">
      <c r="A691" s="100" t="e">
        <f ca="1">IFERROR(__xludf.DUMMYFUNCTION("""COMPUTED_VALUE"""),14520443)</f>
        <v>#NAME?</v>
      </c>
      <c r="B691" s="100" t="e">
        <f ca="1">IFERROR(__xludf.DUMMYFUNCTION("""COMPUTED_VALUE"""),"sundogusdt")</f>
        <v>#NAME?</v>
      </c>
      <c r="C691" s="100" t="e">
        <f ca="1">IFERROR(__xludf.DUMMYFUNCTION("""COMPUTED_VALUE"""),"0.04931")</f>
        <v>#NAME?</v>
      </c>
      <c r="D691" s="100" t="e">
        <f t="shared" ca="1" si="100"/>
        <v>#NAME?</v>
      </c>
      <c r="E691" s="100" t="e">
        <f t="shared" ca="1" si="100"/>
        <v>#NAME?</v>
      </c>
      <c r="F691" s="100" t="e">
        <f t="shared" ca="1" si="93"/>
        <v>#NAME?</v>
      </c>
      <c r="G691" s="100" t="e">
        <f t="shared" ca="1" si="94"/>
        <v>#NAME?</v>
      </c>
      <c r="H691" s="100" t="e">
        <f t="shared" ca="1" si="95"/>
        <v>#NAME?</v>
      </c>
      <c r="I691" s="100" t="e">
        <f t="shared" ca="1" si="96"/>
        <v>#NAME?</v>
      </c>
      <c r="J691" s="100" t="e">
        <f t="shared" ca="1" si="97"/>
        <v>#NAME?</v>
      </c>
      <c r="K691" s="100" t="e">
        <f t="shared" ca="1" si="98"/>
        <v>#NAME?</v>
      </c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 spans="1:26">
      <c r="A692" s="100" t="e">
        <f ca="1">IFERROR(__xludf.DUMMYFUNCTION("""COMPUTED_VALUE"""),14520444)</f>
        <v>#NAME?</v>
      </c>
      <c r="B692" s="100" t="e">
        <f ca="1">IFERROR(__xludf.DUMMYFUNCTION("""COMPUTED_VALUE"""),"xterusdt")</f>
        <v>#NAME?</v>
      </c>
      <c r="C692" s="100" t="e">
        <f ca="1">IFERROR(__xludf.DUMMYFUNCTION("""COMPUTED_VALUE"""),"0.30775")</f>
        <v>#NAME?</v>
      </c>
      <c r="D692" s="100" t="e">
        <f t="shared" ca="1" si="100"/>
        <v>#NAME?</v>
      </c>
      <c r="E692" s="100" t="e">
        <f t="shared" ca="1" si="100"/>
        <v>#NAME?</v>
      </c>
      <c r="F692" s="100" t="e">
        <f t="shared" ca="1" si="93"/>
        <v>#NAME?</v>
      </c>
      <c r="G692" s="100" t="e">
        <f t="shared" ca="1" si="94"/>
        <v>#NAME?</v>
      </c>
      <c r="H692" s="100" t="e">
        <f t="shared" ca="1" si="95"/>
        <v>#NAME?</v>
      </c>
      <c r="I692" s="100" t="e">
        <f t="shared" ca="1" si="96"/>
        <v>#NAME?</v>
      </c>
      <c r="J692" s="100" t="e">
        <f t="shared" ca="1" si="97"/>
        <v>#NAME?</v>
      </c>
      <c r="K692" s="100" t="e">
        <f t="shared" ca="1" si="98"/>
        <v>#NAME?</v>
      </c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 spans="1:26">
      <c r="A693" s="100" t="e">
        <f ca="1">IFERROR(__xludf.DUMMYFUNCTION("""COMPUTED_VALUE"""),14520445)</f>
        <v>#NAME?</v>
      </c>
      <c r="B693" s="100" t="e">
        <f ca="1">IFERROR(__xludf.DUMMYFUNCTION("""COMPUTED_VALUE"""),"perpusdt")</f>
        <v>#NAME?</v>
      </c>
      <c r="C693" s="100" t="e">
        <f ca="1">IFERROR(__xludf.DUMMYFUNCTION("""COMPUTED_VALUE"""),"0.2261")</f>
        <v>#NAME?</v>
      </c>
      <c r="D693" s="100" t="e">
        <f t="shared" ca="1" si="100"/>
        <v>#NAME?</v>
      </c>
      <c r="E693" s="100" t="e">
        <f t="shared" ca="1" si="100"/>
        <v>#NAME?</v>
      </c>
      <c r="F693" s="100" t="e">
        <f t="shared" ca="1" si="93"/>
        <v>#NAME?</v>
      </c>
      <c r="G693" s="100" t="e">
        <f t="shared" ca="1" si="94"/>
        <v>#NAME?</v>
      </c>
      <c r="H693" s="100" t="e">
        <f t="shared" ca="1" si="95"/>
        <v>#NAME?</v>
      </c>
      <c r="I693" s="100" t="e">
        <f t="shared" ca="1" si="96"/>
        <v>#NAME?</v>
      </c>
      <c r="J693" s="100" t="e">
        <f t="shared" ca="1" si="97"/>
        <v>#NAME?</v>
      </c>
      <c r="K693" s="100" t="e">
        <f t="shared" ca="1" si="98"/>
        <v>#NAME?</v>
      </c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 spans="1:26">
      <c r="A694" s="100" t="e">
        <f ca="1">IFERROR(__xludf.DUMMYFUNCTION("""COMPUTED_VALUE"""),14520446)</f>
        <v>#NAME?</v>
      </c>
      <c r="B694" s="100" t="e">
        <f ca="1">IFERROR(__xludf.DUMMYFUNCTION("""COMPUTED_VALUE"""),"pepeusdt")</f>
        <v>#NAME?</v>
      </c>
      <c r="C694" s="100" t="e">
        <f ca="1">IFERROR(__xludf.DUMMYFUNCTION("""COMPUTED_VALUE"""),"8.119645e-06")</f>
        <v>#NAME?</v>
      </c>
      <c r="D694" s="100" t="e">
        <f t="shared" ca="1" si="100"/>
        <v>#NAME?</v>
      </c>
      <c r="E694" s="100" t="e">
        <f t="shared" ca="1" si="100"/>
        <v>#NAME?</v>
      </c>
      <c r="F694" s="100" t="e">
        <f t="shared" ca="1" si="93"/>
        <v>#NAME?</v>
      </c>
      <c r="G694" s="100" t="e">
        <f t="shared" ca="1" si="94"/>
        <v>#NAME?</v>
      </c>
      <c r="H694" s="100" t="e">
        <f t="shared" ca="1" si="95"/>
        <v>#NAME?</v>
      </c>
      <c r="I694" s="100" t="e">
        <f t="shared" ca="1" si="96"/>
        <v>#NAME?</v>
      </c>
      <c r="J694" s="100" t="e">
        <f t="shared" ca="1" si="97"/>
        <v>#NAME?</v>
      </c>
      <c r="K694" s="100" t="e">
        <f t="shared" ca="1" si="98"/>
        <v>#NAME?</v>
      </c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 spans="1:26">
      <c r="A695" s="100" t="e">
        <f ca="1">IFERROR(__xludf.DUMMYFUNCTION("""COMPUTED_VALUE"""),14520447)</f>
        <v>#NAME?</v>
      </c>
      <c r="B695" s="100" t="e">
        <f ca="1">IFERROR(__xludf.DUMMYFUNCTION("""COMPUTED_VALUE"""),"suiusdt")</f>
        <v>#NAME?</v>
      </c>
      <c r="C695" s="100" t="e">
        <f ca="1">IFERROR(__xludf.DUMMYFUNCTION("""COMPUTED_VALUE"""),"2.3154")</f>
        <v>#NAME?</v>
      </c>
      <c r="D695" s="100" t="e">
        <f t="shared" ca="1" si="100"/>
        <v>#NAME?</v>
      </c>
      <c r="E695" s="100" t="e">
        <f t="shared" ca="1" si="100"/>
        <v>#NAME?</v>
      </c>
      <c r="F695" s="100" t="e">
        <f t="shared" ca="1" si="93"/>
        <v>#NAME?</v>
      </c>
      <c r="G695" s="100" t="e">
        <f t="shared" ca="1" si="94"/>
        <v>#NAME?</v>
      </c>
      <c r="H695" s="100" t="e">
        <f t="shared" ca="1" si="95"/>
        <v>#NAME?</v>
      </c>
      <c r="I695" s="100" t="e">
        <f t="shared" ca="1" si="96"/>
        <v>#NAME?</v>
      </c>
      <c r="J695" s="100" t="e">
        <f t="shared" ca="1" si="97"/>
        <v>#NAME?</v>
      </c>
      <c r="K695" s="100" t="e">
        <f t="shared" ca="1" si="98"/>
        <v>#NAME?</v>
      </c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 spans="1:26">
      <c r="A696" s="100" t="e">
        <f ca="1">IFERROR(__xludf.DUMMYFUNCTION("""COMPUTED_VALUE"""),14520448)</f>
        <v>#NAME?</v>
      </c>
      <c r="B696" s="100" t="e">
        <f ca="1">IFERROR(__xludf.DUMMYFUNCTION("""COMPUTED_VALUE"""),"causdt")</f>
        <v>#NAME?</v>
      </c>
      <c r="C696" s="100" t="e">
        <f ca="1">IFERROR(__xludf.DUMMYFUNCTION("""COMPUTED_VALUE"""),"0.8297")</f>
        <v>#NAME?</v>
      </c>
      <c r="D696" s="100" t="e">
        <f t="shared" ca="1" si="100"/>
        <v>#NAME?</v>
      </c>
      <c r="E696" s="100" t="e">
        <f t="shared" ca="1" si="100"/>
        <v>#NAME?</v>
      </c>
      <c r="F696" s="100" t="e">
        <f t="shared" ca="1" si="93"/>
        <v>#NAME?</v>
      </c>
      <c r="G696" s="100" t="e">
        <f t="shared" ca="1" si="94"/>
        <v>#NAME?</v>
      </c>
      <c r="H696" s="100" t="e">
        <f t="shared" ca="1" si="95"/>
        <v>#NAME?</v>
      </c>
      <c r="I696" s="100" t="e">
        <f t="shared" ca="1" si="96"/>
        <v>#NAME?</v>
      </c>
      <c r="J696" s="100" t="e">
        <f t="shared" ca="1" si="97"/>
        <v>#NAME?</v>
      </c>
      <c r="K696" s="100" t="e">
        <f t="shared" ca="1" si="98"/>
        <v>#NAME?</v>
      </c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 spans="1:26">
      <c r="A697" s="100" t="e">
        <f ca="1">IFERROR(__xludf.DUMMYFUNCTION("""COMPUTED_VALUE"""),14520449)</f>
        <v>#NAME?</v>
      </c>
      <c r="B697" s="100" t="e">
        <f ca="1">IFERROR(__xludf.DUMMYFUNCTION("""COMPUTED_VALUE"""),"compusdt")</f>
        <v>#NAME?</v>
      </c>
      <c r="C697" s="100" t="e">
        <f ca="1">IFERROR(__xludf.DUMMYFUNCTION("""COMPUTED_VALUE"""),"39.75")</f>
        <v>#NAME?</v>
      </c>
      <c r="D697" s="100" t="e">
        <f t="shared" ca="1" si="100"/>
        <v>#NAME?</v>
      </c>
      <c r="E697" s="100" t="e">
        <f t="shared" ca="1" si="100"/>
        <v>#NAME?</v>
      </c>
      <c r="F697" s="100" t="e">
        <f t="shared" ca="1" si="93"/>
        <v>#NAME?</v>
      </c>
      <c r="G697" s="100" t="e">
        <f t="shared" ca="1" si="94"/>
        <v>#NAME?</v>
      </c>
      <c r="H697" s="100" t="e">
        <f t="shared" ca="1" si="95"/>
        <v>#NAME?</v>
      </c>
      <c r="I697" s="100" t="e">
        <f t="shared" ca="1" si="96"/>
        <v>#NAME?</v>
      </c>
      <c r="J697" s="100" t="e">
        <f t="shared" ca="1" si="97"/>
        <v>#NAME?</v>
      </c>
      <c r="K697" s="100" t="e">
        <f t="shared" ca="1" si="98"/>
        <v>#NAME?</v>
      </c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 spans="1:26">
      <c r="A698" s="100" t="e">
        <f ca="1">IFERROR(__xludf.DUMMYFUNCTION("""COMPUTED_VALUE"""),14520450)</f>
        <v>#NAME?</v>
      </c>
      <c r="B698" s="100" t="e">
        <f ca="1">IFERROR(__xludf.DUMMYFUNCTION("""COMPUTED_VALUE"""),"bssbusdt")</f>
        <v>#NAME?</v>
      </c>
      <c r="C698" s="100" t="e">
        <f ca="1">IFERROR(__xludf.DUMMYFUNCTION("""COMPUTED_VALUE"""),"0.0322")</f>
        <v>#NAME?</v>
      </c>
      <c r="D698" s="100" t="e">
        <f t="shared" ca="1" si="100"/>
        <v>#NAME?</v>
      </c>
      <c r="E698" s="100" t="e">
        <f t="shared" ca="1" si="100"/>
        <v>#NAME?</v>
      </c>
      <c r="F698" s="100" t="e">
        <f t="shared" ca="1" si="93"/>
        <v>#NAME?</v>
      </c>
      <c r="G698" s="100" t="e">
        <f t="shared" ca="1" si="94"/>
        <v>#NAME?</v>
      </c>
      <c r="H698" s="100" t="e">
        <f t="shared" ca="1" si="95"/>
        <v>#NAME?</v>
      </c>
      <c r="I698" s="100" t="e">
        <f t="shared" ca="1" si="96"/>
        <v>#NAME?</v>
      </c>
      <c r="J698" s="100" t="e">
        <f t="shared" ca="1" si="97"/>
        <v>#NAME?</v>
      </c>
      <c r="K698" s="100" t="e">
        <f t="shared" ca="1" si="98"/>
        <v>#NAME?</v>
      </c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 spans="1:26">
      <c r="A699" s="100" t="e">
        <f ca="1">IFERROR(__xludf.DUMMYFUNCTION("""COMPUTED_VALUE"""),14520451)</f>
        <v>#NAME?</v>
      </c>
      <c r="B699" s="100" t="e">
        <f ca="1">IFERROR(__xludf.DUMMYFUNCTION("""COMPUTED_VALUE"""),"hbarusdt")</f>
        <v>#NAME?</v>
      </c>
      <c r="C699" s="100" t="e">
        <f ca="1">IFERROR(__xludf.DUMMYFUNCTION("""COMPUTED_VALUE"""),"0.172517")</f>
        <v>#NAME?</v>
      </c>
      <c r="D699" s="100" t="e">
        <f t="shared" ca="1" si="100"/>
        <v>#NAME?</v>
      </c>
      <c r="E699" s="100" t="e">
        <f t="shared" ca="1" si="100"/>
        <v>#NAME?</v>
      </c>
      <c r="F699" s="100" t="e">
        <f t="shared" ca="1" si="93"/>
        <v>#NAME?</v>
      </c>
      <c r="G699" s="100" t="e">
        <f t="shared" ca="1" si="94"/>
        <v>#NAME?</v>
      </c>
      <c r="H699" s="100" t="e">
        <f t="shared" ca="1" si="95"/>
        <v>#NAME?</v>
      </c>
      <c r="I699" s="100" t="e">
        <f t="shared" ca="1" si="96"/>
        <v>#NAME?</v>
      </c>
      <c r="J699" s="100" t="e">
        <f t="shared" ca="1" si="97"/>
        <v>#NAME?</v>
      </c>
      <c r="K699" s="100" t="e">
        <f t="shared" ca="1" si="98"/>
        <v>#NAME?</v>
      </c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 spans="1:26">
      <c r="A700" s="100" t="e">
        <f ca="1">IFERROR(__xludf.DUMMYFUNCTION("""COMPUTED_VALUE"""),14520452)</f>
        <v>#NAME?</v>
      </c>
      <c r="B700" s="100" t="e">
        <f ca="1">IFERROR(__xludf.DUMMYFUNCTION("""COMPUTED_VALUE"""),"sweatusdt")</f>
        <v>#NAME?</v>
      </c>
      <c r="C700" s="100" t="e">
        <f ca="1">IFERROR(__xludf.DUMMYFUNCTION("""COMPUTED_VALUE"""),"0.004193")</f>
        <v>#NAME?</v>
      </c>
      <c r="D700" s="100" t="e">
        <f t="shared" ca="1" si="100"/>
        <v>#NAME?</v>
      </c>
      <c r="E700" s="100" t="e">
        <f t="shared" ca="1" si="100"/>
        <v>#NAME?</v>
      </c>
      <c r="F700" s="100" t="e">
        <f t="shared" ca="1" si="93"/>
        <v>#NAME?</v>
      </c>
      <c r="G700" s="100" t="e">
        <f t="shared" ca="1" si="94"/>
        <v>#NAME?</v>
      </c>
      <c r="H700" s="100" t="e">
        <f t="shared" ca="1" si="95"/>
        <v>#NAME?</v>
      </c>
      <c r="I700" s="100" t="e">
        <f t="shared" ca="1" si="96"/>
        <v>#NAME?</v>
      </c>
      <c r="J700" s="100" t="e">
        <f t="shared" ca="1" si="97"/>
        <v>#NAME?</v>
      </c>
      <c r="K700" s="100" t="e">
        <f t="shared" ca="1" si="98"/>
        <v>#NAME?</v>
      </c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 spans="1:26">
      <c r="A701" s="100" t="e">
        <f ca="1">IFERROR(__xludf.DUMMYFUNCTION("""COMPUTED_VALUE"""),14520453)</f>
        <v>#NAME?</v>
      </c>
      <c r="B701" s="100" t="e">
        <f ca="1">IFERROR(__xludf.DUMMYFUNCTION("""COMPUTED_VALUE"""),"rvnusdt")</f>
        <v>#NAME?</v>
      </c>
      <c r="C701" s="100" t="e">
        <f ca="1">IFERROR(__xludf.DUMMYFUNCTION("""COMPUTED_VALUE"""),"0.011167")</f>
        <v>#NAME?</v>
      </c>
      <c r="D701" s="100" t="e">
        <f t="shared" ca="1" si="100"/>
        <v>#NAME?</v>
      </c>
      <c r="E701" s="100" t="e">
        <f t="shared" ca="1" si="100"/>
        <v>#NAME?</v>
      </c>
      <c r="F701" s="100" t="e">
        <f t="shared" ca="1" si="93"/>
        <v>#NAME?</v>
      </c>
      <c r="G701" s="100" t="e">
        <f t="shared" ca="1" si="94"/>
        <v>#NAME?</v>
      </c>
      <c r="H701" s="100" t="e">
        <f t="shared" ca="1" si="95"/>
        <v>#NAME?</v>
      </c>
      <c r="I701" s="100" t="e">
        <f t="shared" ca="1" si="96"/>
        <v>#NAME?</v>
      </c>
      <c r="J701" s="100" t="e">
        <f t="shared" ca="1" si="97"/>
        <v>#NAME?</v>
      </c>
      <c r="K701" s="100" t="e">
        <f t="shared" ca="1" si="98"/>
        <v>#NAME?</v>
      </c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 spans="1:26">
      <c r="A702" s="100" t="e">
        <f ca="1">IFERROR(__xludf.DUMMYFUNCTION("""COMPUTED_VALUE"""),14520454)</f>
        <v>#NAME?</v>
      </c>
      <c r="B702" s="100" t="e">
        <f ca="1">IFERROR(__xludf.DUMMYFUNCTION("""COMPUTED_VALUE"""),"tonusdt")</f>
        <v>#NAME?</v>
      </c>
      <c r="C702" s="100" t="e">
        <f ca="1">IFERROR(__xludf.DUMMYFUNCTION("""COMPUTED_VALUE"""),"2.9157")</f>
        <v>#NAME?</v>
      </c>
      <c r="D702" s="100" t="e">
        <f t="shared" ref="D702:E721" ca="1" si="101">IFERROR(__xludf.DUMMYFUNCTION("""COMPUTED_VALUE"""),"-")</f>
        <v>#NAME?</v>
      </c>
      <c r="E702" s="100" t="e">
        <f t="shared" ca="1" si="101"/>
        <v>#NAME?</v>
      </c>
      <c r="F702" s="100" t="e">
        <f t="shared" ca="1" si="93"/>
        <v>#NAME?</v>
      </c>
      <c r="G702" s="100" t="e">
        <f t="shared" ca="1" si="94"/>
        <v>#NAME?</v>
      </c>
      <c r="H702" s="100" t="e">
        <f t="shared" ca="1" si="95"/>
        <v>#NAME?</v>
      </c>
      <c r="I702" s="100" t="e">
        <f t="shared" ca="1" si="96"/>
        <v>#NAME?</v>
      </c>
      <c r="J702" s="100" t="e">
        <f t="shared" ca="1" si="97"/>
        <v>#NAME?</v>
      </c>
      <c r="K702" s="100" t="e">
        <f t="shared" ca="1" si="98"/>
        <v>#NAME?</v>
      </c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 spans="1:26">
      <c r="A703" s="100" t="e">
        <f ca="1">IFERROR(__xludf.DUMMYFUNCTION("""COMPUTED_VALUE"""),14520455)</f>
        <v>#NAME?</v>
      </c>
      <c r="B703" s="100" t="e">
        <f ca="1">IFERROR(__xludf.DUMMYFUNCTION("""COMPUTED_VALUE"""),"tenetusdt")</f>
        <v>#NAME?</v>
      </c>
      <c r="C703" s="100" t="e">
        <f ca="1">IFERROR(__xludf.DUMMYFUNCTION("""COMPUTED_VALUE"""),"0.000548")</f>
        <v>#NAME?</v>
      </c>
      <c r="D703" s="100" t="e">
        <f t="shared" ca="1" si="101"/>
        <v>#NAME?</v>
      </c>
      <c r="E703" s="100" t="e">
        <f t="shared" ca="1" si="101"/>
        <v>#NAME?</v>
      </c>
      <c r="F703" s="100" t="e">
        <f t="shared" ca="1" si="93"/>
        <v>#NAME?</v>
      </c>
      <c r="G703" s="100" t="e">
        <f t="shared" ca="1" si="94"/>
        <v>#NAME?</v>
      </c>
      <c r="H703" s="100" t="e">
        <f t="shared" ca="1" si="95"/>
        <v>#NAME?</v>
      </c>
      <c r="I703" s="100" t="e">
        <f t="shared" ca="1" si="96"/>
        <v>#NAME?</v>
      </c>
      <c r="J703" s="100" t="e">
        <f t="shared" ca="1" si="97"/>
        <v>#NAME?</v>
      </c>
      <c r="K703" s="100" t="e">
        <f t="shared" ca="1" si="98"/>
        <v>#NAME?</v>
      </c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 spans="1:26">
      <c r="A704" s="100" t="e">
        <f ca="1">IFERROR(__xludf.DUMMYFUNCTION("""COMPUTED_VALUE"""),14520456)</f>
        <v>#NAME?</v>
      </c>
      <c r="B704" s="100" t="e">
        <f ca="1">IFERROR(__xludf.DUMMYFUNCTION("""COMPUTED_VALUE"""),"muncatusdt")</f>
        <v>#NAME?</v>
      </c>
      <c r="C704" s="100" t="e">
        <f ca="1">IFERROR(__xludf.DUMMYFUNCTION("""COMPUTED_VALUE"""),"6.1e-05")</f>
        <v>#NAME?</v>
      </c>
      <c r="D704" s="100" t="e">
        <f t="shared" ca="1" si="101"/>
        <v>#NAME?</v>
      </c>
      <c r="E704" s="100" t="e">
        <f t="shared" ca="1" si="101"/>
        <v>#NAME?</v>
      </c>
      <c r="F704" s="100" t="e">
        <f t="shared" ca="1" si="93"/>
        <v>#NAME?</v>
      </c>
      <c r="G704" s="100" t="e">
        <f t="shared" ca="1" si="94"/>
        <v>#NAME?</v>
      </c>
      <c r="H704" s="100" t="e">
        <f t="shared" ca="1" si="95"/>
        <v>#NAME?</v>
      </c>
      <c r="I704" s="100" t="e">
        <f t="shared" ca="1" si="96"/>
        <v>#NAME?</v>
      </c>
      <c r="J704" s="100" t="e">
        <f t="shared" ca="1" si="97"/>
        <v>#NAME?</v>
      </c>
      <c r="K704" s="100" t="e">
        <f t="shared" ca="1" si="98"/>
        <v>#NAME?</v>
      </c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 spans="1:26">
      <c r="A705" s="100" t="e">
        <f ca="1">IFERROR(__xludf.DUMMYFUNCTION("""COMPUTED_VALUE"""),14520457)</f>
        <v>#NAME?</v>
      </c>
      <c r="B705" s="100" t="e">
        <f ca="1">IFERROR(__xludf.DUMMYFUNCTION("""COMPUTED_VALUE"""),"mdxusdt")</f>
        <v>#NAME?</v>
      </c>
      <c r="C705" s="100" t="e">
        <f ca="1">IFERROR(__xludf.DUMMYFUNCTION("""COMPUTED_VALUE"""),"0.00161")</f>
        <v>#NAME?</v>
      </c>
      <c r="D705" s="100" t="e">
        <f t="shared" ca="1" si="101"/>
        <v>#NAME?</v>
      </c>
      <c r="E705" s="100" t="e">
        <f t="shared" ca="1" si="101"/>
        <v>#NAME?</v>
      </c>
      <c r="F705" s="100" t="e">
        <f t="shared" ca="1" si="93"/>
        <v>#NAME?</v>
      </c>
      <c r="G705" s="100" t="e">
        <f t="shared" ca="1" si="94"/>
        <v>#NAME?</v>
      </c>
      <c r="H705" s="100" t="e">
        <f t="shared" ca="1" si="95"/>
        <v>#NAME?</v>
      </c>
      <c r="I705" s="100" t="e">
        <f t="shared" ca="1" si="96"/>
        <v>#NAME?</v>
      </c>
      <c r="J705" s="100" t="e">
        <f t="shared" ca="1" si="97"/>
        <v>#NAME?</v>
      </c>
      <c r="K705" s="100" t="e">
        <f t="shared" ca="1" si="98"/>
        <v>#NAME?</v>
      </c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 spans="1:26">
      <c r="A706" s="100" t="e">
        <f ca="1">IFERROR(__xludf.DUMMYFUNCTION("""COMPUTED_VALUE"""),14520458)</f>
        <v>#NAME?</v>
      </c>
      <c r="B706" s="100" t="e">
        <f ca="1">IFERROR(__xludf.DUMMYFUNCTION("""COMPUTED_VALUE"""),"xionusdt")</f>
        <v>#NAME?</v>
      </c>
      <c r="C706" s="100" t="e">
        <f ca="1">IFERROR(__xludf.DUMMYFUNCTION("""COMPUTED_VALUE"""),"0.9187")</f>
        <v>#NAME?</v>
      </c>
      <c r="D706" s="100" t="e">
        <f t="shared" ca="1" si="101"/>
        <v>#NAME?</v>
      </c>
      <c r="E706" s="100" t="e">
        <f t="shared" ca="1" si="101"/>
        <v>#NAME?</v>
      </c>
      <c r="F706" s="100" t="e">
        <f t="shared" ref="F706:F749" ca="1" si="102">IFERROR(__xludf.DUMMYFUNCTION("""COMPUTED_VALUE"""),20200)</f>
        <v>#NAME?</v>
      </c>
      <c r="G706" s="100" t="e">
        <f t="shared" ref="G706:G749" ca="1" si="103">IFERROR(__xludf.DUMMYFUNCTION("""COMPUTED_VALUE"""),2885)</f>
        <v>#NAME?</v>
      </c>
      <c r="H706" s="100" t="e">
        <f t="shared" ref="H706:H749" ca="1" si="104">IFERROR(__xludf.DUMMYFUNCTION("""COMPUTED_VALUE"""),663)</f>
        <v>#NAME?</v>
      </c>
      <c r="I706" s="100" t="e">
        <f t="shared" ref="I706:I738" ca="1" si="105">IFERROR(__xludf.DUMMYFUNCTION("""COMPUTED_VALUE"""),5817721)</f>
        <v>#NAME?</v>
      </c>
      <c r="J706" s="100" t="e">
        <f t="shared" ref="J706:J738" ca="1" si="106">IFERROR(__xludf.DUMMYFUNCTION("""COMPUTED_VALUE"""),"-")</f>
        <v>#NAME?</v>
      </c>
      <c r="K706" s="100" t="e">
        <f t="shared" ref="K706:K738" ca="1" si="107">IFERROR(__xludf.DUMMYFUNCTION("""COMPUTED_VALUE"""),"22.04.2025 13:05:01")</f>
        <v>#NAME?</v>
      </c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 spans="1:26">
      <c r="A707" s="100" t="e">
        <f ca="1">IFERROR(__xludf.DUMMYFUNCTION("""COMPUTED_VALUE"""),14520459)</f>
        <v>#NAME?</v>
      </c>
      <c r="B707" s="100" t="e">
        <f ca="1">IFERROR(__xludf.DUMMYFUNCTION("""COMPUTED_VALUE"""),"sttusdt")</f>
        <v>#NAME?</v>
      </c>
      <c r="C707" s="100" t="e">
        <f ca="1">IFERROR(__xludf.DUMMYFUNCTION("""COMPUTED_VALUE"""),"0.1093")</f>
        <v>#NAME?</v>
      </c>
      <c r="D707" s="100" t="e">
        <f t="shared" ca="1" si="101"/>
        <v>#NAME?</v>
      </c>
      <c r="E707" s="100" t="e">
        <f t="shared" ca="1" si="101"/>
        <v>#NAME?</v>
      </c>
      <c r="F707" s="100" t="e">
        <f t="shared" ca="1" si="102"/>
        <v>#NAME?</v>
      </c>
      <c r="G707" s="100" t="e">
        <f t="shared" ca="1" si="103"/>
        <v>#NAME?</v>
      </c>
      <c r="H707" s="100" t="e">
        <f t="shared" ca="1" si="104"/>
        <v>#NAME?</v>
      </c>
      <c r="I707" s="100" t="e">
        <f t="shared" ca="1" si="105"/>
        <v>#NAME?</v>
      </c>
      <c r="J707" s="100" t="e">
        <f t="shared" ca="1" si="106"/>
        <v>#NAME?</v>
      </c>
      <c r="K707" s="100" t="e">
        <f t="shared" ca="1" si="107"/>
        <v>#NAME?</v>
      </c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 spans="1:26">
      <c r="A708" s="100" t="e">
        <f ca="1">IFERROR(__xludf.DUMMYFUNCTION("""COMPUTED_VALUE"""),14520460)</f>
        <v>#NAME?</v>
      </c>
      <c r="B708" s="100" t="e">
        <f ca="1">IFERROR(__xludf.DUMMYFUNCTION("""COMPUTED_VALUE"""),"satsusdt")</f>
        <v>#NAME?</v>
      </c>
      <c r="C708" s="100" t="e">
        <f ca="1">IFERROR(__xludf.DUMMYFUNCTION("""COMPUTED_VALUE"""),"3.86e-08")</f>
        <v>#NAME?</v>
      </c>
      <c r="D708" s="100" t="e">
        <f t="shared" ca="1" si="101"/>
        <v>#NAME?</v>
      </c>
      <c r="E708" s="100" t="e">
        <f t="shared" ca="1" si="101"/>
        <v>#NAME?</v>
      </c>
      <c r="F708" s="100" t="e">
        <f t="shared" ca="1" si="102"/>
        <v>#NAME?</v>
      </c>
      <c r="G708" s="100" t="e">
        <f t="shared" ca="1" si="103"/>
        <v>#NAME?</v>
      </c>
      <c r="H708" s="100" t="e">
        <f t="shared" ca="1" si="104"/>
        <v>#NAME?</v>
      </c>
      <c r="I708" s="100" t="e">
        <f t="shared" ca="1" si="105"/>
        <v>#NAME?</v>
      </c>
      <c r="J708" s="100" t="e">
        <f t="shared" ca="1" si="106"/>
        <v>#NAME?</v>
      </c>
      <c r="K708" s="100" t="e">
        <f t="shared" ca="1" si="107"/>
        <v>#NAME?</v>
      </c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 spans="1:26">
      <c r="A709" s="100" t="e">
        <f ca="1">IFERROR(__xludf.DUMMYFUNCTION("""COMPUTED_VALUE"""),14520461)</f>
        <v>#NAME?</v>
      </c>
      <c r="B709" s="100" t="e">
        <f ca="1">IFERROR(__xludf.DUMMYFUNCTION("""COMPUTED_VALUE"""),"mvlusdt")</f>
        <v>#NAME?</v>
      </c>
      <c r="C709" s="100" t="e">
        <f ca="1">IFERROR(__xludf.DUMMYFUNCTION("""COMPUTED_VALUE"""),"0.003403")</f>
        <v>#NAME?</v>
      </c>
      <c r="D709" s="100" t="e">
        <f t="shared" ca="1" si="101"/>
        <v>#NAME?</v>
      </c>
      <c r="E709" s="100" t="e">
        <f t="shared" ca="1" si="101"/>
        <v>#NAME?</v>
      </c>
      <c r="F709" s="100" t="e">
        <f t="shared" ca="1" si="102"/>
        <v>#NAME?</v>
      </c>
      <c r="G709" s="100" t="e">
        <f t="shared" ca="1" si="103"/>
        <v>#NAME?</v>
      </c>
      <c r="H709" s="100" t="e">
        <f t="shared" ca="1" si="104"/>
        <v>#NAME?</v>
      </c>
      <c r="I709" s="100" t="e">
        <f t="shared" ca="1" si="105"/>
        <v>#NAME?</v>
      </c>
      <c r="J709" s="100" t="e">
        <f t="shared" ca="1" si="106"/>
        <v>#NAME?</v>
      </c>
      <c r="K709" s="100" t="e">
        <f t="shared" ca="1" si="107"/>
        <v>#NAME?</v>
      </c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 spans="1:26">
      <c r="A710" s="100" t="e">
        <f ca="1">IFERROR(__xludf.DUMMYFUNCTION("""COMPUTED_VALUE"""),14520462)</f>
        <v>#NAME?</v>
      </c>
      <c r="B710" s="100" t="e">
        <f ca="1">IFERROR(__xludf.DUMMYFUNCTION("""COMPUTED_VALUE"""),"ksmusdt")</f>
        <v>#NAME?</v>
      </c>
      <c r="C710" s="100" t="e">
        <f ca="1">IFERROR(__xludf.DUMMYFUNCTION("""COMPUTED_VALUE"""),"13.9404")</f>
        <v>#NAME?</v>
      </c>
      <c r="D710" s="100" t="e">
        <f t="shared" ca="1" si="101"/>
        <v>#NAME?</v>
      </c>
      <c r="E710" s="100" t="e">
        <f t="shared" ca="1" si="101"/>
        <v>#NAME?</v>
      </c>
      <c r="F710" s="100" t="e">
        <f t="shared" ca="1" si="102"/>
        <v>#NAME?</v>
      </c>
      <c r="G710" s="100" t="e">
        <f t="shared" ca="1" si="103"/>
        <v>#NAME?</v>
      </c>
      <c r="H710" s="100" t="e">
        <f t="shared" ca="1" si="104"/>
        <v>#NAME?</v>
      </c>
      <c r="I710" s="100" t="e">
        <f t="shared" ca="1" si="105"/>
        <v>#NAME?</v>
      </c>
      <c r="J710" s="100" t="e">
        <f t="shared" ca="1" si="106"/>
        <v>#NAME?</v>
      </c>
      <c r="K710" s="100" t="e">
        <f t="shared" ca="1" si="107"/>
        <v>#NAME?</v>
      </c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 spans="1:26">
      <c r="A711" s="100" t="e">
        <f ca="1">IFERROR(__xludf.DUMMYFUNCTION("""COMPUTED_VALUE"""),14520463)</f>
        <v>#NAME?</v>
      </c>
      <c r="B711" s="100" t="e">
        <f ca="1">IFERROR(__xludf.DUMMYFUNCTION("""COMPUTED_VALUE"""),"bananas31usdt")</f>
        <v>#NAME?</v>
      </c>
      <c r="C711" s="100" t="e">
        <f ca="1">IFERROR(__xludf.DUMMYFUNCTION("""COMPUTED_VALUE"""),"0.005271")</f>
        <v>#NAME?</v>
      </c>
      <c r="D711" s="100" t="e">
        <f t="shared" ca="1" si="101"/>
        <v>#NAME?</v>
      </c>
      <c r="E711" s="100" t="e">
        <f t="shared" ca="1" si="101"/>
        <v>#NAME?</v>
      </c>
      <c r="F711" s="100" t="e">
        <f t="shared" ca="1" si="102"/>
        <v>#NAME?</v>
      </c>
      <c r="G711" s="100" t="e">
        <f t="shared" ca="1" si="103"/>
        <v>#NAME?</v>
      </c>
      <c r="H711" s="100" t="e">
        <f t="shared" ca="1" si="104"/>
        <v>#NAME?</v>
      </c>
      <c r="I711" s="100" t="e">
        <f t="shared" ca="1" si="105"/>
        <v>#NAME?</v>
      </c>
      <c r="J711" s="100" t="e">
        <f t="shared" ca="1" si="106"/>
        <v>#NAME?</v>
      </c>
      <c r="K711" s="100" t="e">
        <f t="shared" ca="1" si="107"/>
        <v>#NAME?</v>
      </c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 spans="1:26">
      <c r="A712" s="100" t="e">
        <f ca="1">IFERROR(__xludf.DUMMYFUNCTION("""COMPUTED_VALUE"""),14520464)</f>
        <v>#NAME?</v>
      </c>
      <c r="B712" s="100" t="e">
        <f ca="1">IFERROR(__xludf.DUMMYFUNCTION("""COMPUTED_VALUE"""),"thetausdt")</f>
        <v>#NAME?</v>
      </c>
      <c r="C712" s="100" t="e">
        <f ca="1">IFERROR(__xludf.DUMMYFUNCTION("""COMPUTED_VALUE"""),"0.627")</f>
        <v>#NAME?</v>
      </c>
      <c r="D712" s="100" t="e">
        <f t="shared" ca="1" si="101"/>
        <v>#NAME?</v>
      </c>
      <c r="E712" s="100" t="e">
        <f t="shared" ca="1" si="101"/>
        <v>#NAME?</v>
      </c>
      <c r="F712" s="100" t="e">
        <f t="shared" ca="1" si="102"/>
        <v>#NAME?</v>
      </c>
      <c r="G712" s="100" t="e">
        <f t="shared" ca="1" si="103"/>
        <v>#NAME?</v>
      </c>
      <c r="H712" s="100" t="e">
        <f t="shared" ca="1" si="104"/>
        <v>#NAME?</v>
      </c>
      <c r="I712" s="100" t="e">
        <f t="shared" ca="1" si="105"/>
        <v>#NAME?</v>
      </c>
      <c r="J712" s="100" t="e">
        <f t="shared" ca="1" si="106"/>
        <v>#NAME?</v>
      </c>
      <c r="K712" s="100" t="e">
        <f t="shared" ca="1" si="107"/>
        <v>#NAME?</v>
      </c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 spans="1:26">
      <c r="A713" s="100" t="e">
        <f ca="1">IFERROR(__xludf.DUMMYFUNCTION("""COMPUTED_VALUE"""),14520465)</f>
        <v>#NAME?</v>
      </c>
      <c r="B713" s="100" t="e">
        <f ca="1">IFERROR(__xludf.DUMMYFUNCTION("""COMPUTED_VALUE"""),"mubarakusdt")</f>
        <v>#NAME?</v>
      </c>
      <c r="C713" s="100" t="e">
        <f ca="1">IFERROR(__xludf.DUMMYFUNCTION("""COMPUTED_VALUE"""),"0.03023")</f>
        <v>#NAME?</v>
      </c>
      <c r="D713" s="100" t="e">
        <f t="shared" ca="1" si="101"/>
        <v>#NAME?</v>
      </c>
      <c r="E713" s="100" t="e">
        <f t="shared" ca="1" si="101"/>
        <v>#NAME?</v>
      </c>
      <c r="F713" s="100" t="e">
        <f t="shared" ca="1" si="102"/>
        <v>#NAME?</v>
      </c>
      <c r="G713" s="100" t="e">
        <f t="shared" ca="1" si="103"/>
        <v>#NAME?</v>
      </c>
      <c r="H713" s="100" t="e">
        <f t="shared" ca="1" si="104"/>
        <v>#NAME?</v>
      </c>
      <c r="I713" s="100" t="e">
        <f t="shared" ca="1" si="105"/>
        <v>#NAME?</v>
      </c>
      <c r="J713" s="100" t="e">
        <f t="shared" ca="1" si="106"/>
        <v>#NAME?</v>
      </c>
      <c r="K713" s="100" t="e">
        <f t="shared" ca="1" si="107"/>
        <v>#NAME?</v>
      </c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 spans="1:26">
      <c r="A714" s="100" t="e">
        <f ca="1">IFERROR(__xludf.DUMMYFUNCTION("""COMPUTED_VALUE"""),14520466)</f>
        <v>#NAME?</v>
      </c>
      <c r="B714" s="100" t="e">
        <f ca="1">IFERROR(__xludf.DUMMYFUNCTION("""COMPUTED_VALUE"""),"mxcusdt")</f>
        <v>#NAME?</v>
      </c>
      <c r="C714" s="100" t="e">
        <f ca="1">IFERROR(__xludf.DUMMYFUNCTION("""COMPUTED_VALUE"""),"0.000902")</f>
        <v>#NAME?</v>
      </c>
      <c r="D714" s="100" t="e">
        <f t="shared" ca="1" si="101"/>
        <v>#NAME?</v>
      </c>
      <c r="E714" s="100" t="e">
        <f t="shared" ca="1" si="101"/>
        <v>#NAME?</v>
      </c>
      <c r="F714" s="100" t="e">
        <f t="shared" ca="1" si="102"/>
        <v>#NAME?</v>
      </c>
      <c r="G714" s="100" t="e">
        <f t="shared" ca="1" si="103"/>
        <v>#NAME?</v>
      </c>
      <c r="H714" s="100" t="e">
        <f t="shared" ca="1" si="104"/>
        <v>#NAME?</v>
      </c>
      <c r="I714" s="100" t="e">
        <f t="shared" ca="1" si="105"/>
        <v>#NAME?</v>
      </c>
      <c r="J714" s="100" t="e">
        <f t="shared" ca="1" si="106"/>
        <v>#NAME?</v>
      </c>
      <c r="K714" s="100" t="e">
        <f t="shared" ca="1" si="107"/>
        <v>#NAME?</v>
      </c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 spans="1:26">
      <c r="A715" s="100" t="e">
        <f ca="1">IFERROR(__xludf.DUMMYFUNCTION("""COMPUTED_VALUE"""),14520467)</f>
        <v>#NAME?</v>
      </c>
      <c r="B715" s="100" t="e">
        <f ca="1">IFERROR(__xludf.DUMMYFUNCTION("""COMPUTED_VALUE"""),"api3usdt")</f>
        <v>#NAME?</v>
      </c>
      <c r="C715" s="100" t="e">
        <f ca="1">IFERROR(__xludf.DUMMYFUNCTION("""COMPUTED_VALUE"""),"0.7228")</f>
        <v>#NAME?</v>
      </c>
      <c r="D715" s="100" t="e">
        <f t="shared" ca="1" si="101"/>
        <v>#NAME?</v>
      </c>
      <c r="E715" s="100" t="e">
        <f t="shared" ca="1" si="101"/>
        <v>#NAME?</v>
      </c>
      <c r="F715" s="100" t="e">
        <f t="shared" ca="1" si="102"/>
        <v>#NAME?</v>
      </c>
      <c r="G715" s="100" t="e">
        <f t="shared" ca="1" si="103"/>
        <v>#NAME?</v>
      </c>
      <c r="H715" s="100" t="e">
        <f t="shared" ca="1" si="104"/>
        <v>#NAME?</v>
      </c>
      <c r="I715" s="100" t="e">
        <f t="shared" ca="1" si="105"/>
        <v>#NAME?</v>
      </c>
      <c r="J715" s="100" t="e">
        <f t="shared" ca="1" si="106"/>
        <v>#NAME?</v>
      </c>
      <c r="K715" s="100" t="e">
        <f t="shared" ca="1" si="107"/>
        <v>#NAME?</v>
      </c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 spans="1:26">
      <c r="A716" s="100" t="e">
        <f ca="1">IFERROR(__xludf.DUMMYFUNCTION("""COMPUTED_VALUE"""),14520468)</f>
        <v>#NAME?</v>
      </c>
      <c r="B716" s="100" t="e">
        <f ca="1">IFERROR(__xludf.DUMMYFUNCTION("""COMPUTED_VALUE"""),"fudusdt")</f>
        <v>#NAME?</v>
      </c>
      <c r="C716" s="100" t="e">
        <f ca="1">IFERROR(__xludf.DUMMYFUNCTION("""COMPUTED_VALUE"""),"9.6238")</f>
        <v>#NAME?</v>
      </c>
      <c r="D716" s="100" t="e">
        <f t="shared" ca="1" si="101"/>
        <v>#NAME?</v>
      </c>
      <c r="E716" s="100" t="e">
        <f t="shared" ca="1" si="101"/>
        <v>#NAME?</v>
      </c>
      <c r="F716" s="100" t="e">
        <f t="shared" ca="1" si="102"/>
        <v>#NAME?</v>
      </c>
      <c r="G716" s="100" t="e">
        <f t="shared" ca="1" si="103"/>
        <v>#NAME?</v>
      </c>
      <c r="H716" s="100" t="e">
        <f t="shared" ca="1" si="104"/>
        <v>#NAME?</v>
      </c>
      <c r="I716" s="100" t="e">
        <f t="shared" ca="1" si="105"/>
        <v>#NAME?</v>
      </c>
      <c r="J716" s="100" t="e">
        <f t="shared" ca="1" si="106"/>
        <v>#NAME?</v>
      </c>
      <c r="K716" s="100" t="e">
        <f t="shared" ca="1" si="107"/>
        <v>#NAME?</v>
      </c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 spans="1:26">
      <c r="A717" s="100" t="e">
        <f ca="1">IFERROR(__xludf.DUMMYFUNCTION("""COMPUTED_VALUE"""),14520469)</f>
        <v>#NAME?</v>
      </c>
      <c r="B717" s="100" t="e">
        <f ca="1">IFERROR(__xludf.DUMMYFUNCTION("""COMPUTED_VALUE"""),"rss3usdt")</f>
        <v>#NAME?</v>
      </c>
      <c r="C717" s="100" t="e">
        <f ca="1">IFERROR(__xludf.DUMMYFUNCTION("""COMPUTED_VALUE"""),"0.0567")</f>
        <v>#NAME?</v>
      </c>
      <c r="D717" s="100" t="e">
        <f t="shared" ca="1" si="101"/>
        <v>#NAME?</v>
      </c>
      <c r="E717" s="100" t="e">
        <f t="shared" ca="1" si="101"/>
        <v>#NAME?</v>
      </c>
      <c r="F717" s="100" t="e">
        <f t="shared" ca="1" si="102"/>
        <v>#NAME?</v>
      </c>
      <c r="G717" s="100" t="e">
        <f t="shared" ca="1" si="103"/>
        <v>#NAME?</v>
      </c>
      <c r="H717" s="100" t="e">
        <f t="shared" ca="1" si="104"/>
        <v>#NAME?</v>
      </c>
      <c r="I717" s="100" t="e">
        <f t="shared" ca="1" si="105"/>
        <v>#NAME?</v>
      </c>
      <c r="J717" s="100" t="e">
        <f t="shared" ca="1" si="106"/>
        <v>#NAME?</v>
      </c>
      <c r="K717" s="100" t="e">
        <f t="shared" ca="1" si="107"/>
        <v>#NAME?</v>
      </c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 spans="1:26">
      <c r="A718" s="100" t="e">
        <f ca="1">IFERROR(__xludf.DUMMYFUNCTION("""COMPUTED_VALUE"""),14520470)</f>
        <v>#NAME?</v>
      </c>
      <c r="B718" s="100" t="e">
        <f ca="1">IFERROR(__xludf.DUMMYFUNCTION("""COMPUTED_VALUE"""),"xplausdt")</f>
        <v>#NAME?</v>
      </c>
      <c r="C718" s="100" t="e">
        <f ca="1">IFERROR(__xludf.DUMMYFUNCTION("""COMPUTED_VALUE"""),"0.0284")</f>
        <v>#NAME?</v>
      </c>
      <c r="D718" s="100" t="e">
        <f t="shared" ca="1" si="101"/>
        <v>#NAME?</v>
      </c>
      <c r="E718" s="100" t="e">
        <f t="shared" ca="1" si="101"/>
        <v>#NAME?</v>
      </c>
      <c r="F718" s="100" t="e">
        <f t="shared" ca="1" si="102"/>
        <v>#NAME?</v>
      </c>
      <c r="G718" s="100" t="e">
        <f t="shared" ca="1" si="103"/>
        <v>#NAME?</v>
      </c>
      <c r="H718" s="100" t="e">
        <f t="shared" ca="1" si="104"/>
        <v>#NAME?</v>
      </c>
      <c r="I718" s="100" t="e">
        <f t="shared" ca="1" si="105"/>
        <v>#NAME?</v>
      </c>
      <c r="J718" s="100" t="e">
        <f t="shared" ca="1" si="106"/>
        <v>#NAME?</v>
      </c>
      <c r="K718" s="100" t="e">
        <f t="shared" ca="1" si="107"/>
        <v>#NAME?</v>
      </c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 spans="1:26">
      <c r="A719" s="100" t="e">
        <f ca="1">IFERROR(__xludf.DUMMYFUNCTION("""COMPUTED_VALUE"""),14520471)</f>
        <v>#NAME?</v>
      </c>
      <c r="B719" s="100" t="e">
        <f ca="1">IFERROR(__xludf.DUMMYFUNCTION("""COMPUTED_VALUE"""),"bandusdt")</f>
        <v>#NAME?</v>
      </c>
      <c r="C719" s="100" t="e">
        <f ca="1">IFERROR(__xludf.DUMMYFUNCTION("""COMPUTED_VALUE"""),"0.7235")</f>
        <v>#NAME?</v>
      </c>
      <c r="D719" s="100" t="e">
        <f t="shared" ca="1" si="101"/>
        <v>#NAME?</v>
      </c>
      <c r="E719" s="100" t="e">
        <f t="shared" ca="1" si="101"/>
        <v>#NAME?</v>
      </c>
      <c r="F719" s="100" t="e">
        <f t="shared" ca="1" si="102"/>
        <v>#NAME?</v>
      </c>
      <c r="G719" s="100" t="e">
        <f t="shared" ca="1" si="103"/>
        <v>#NAME?</v>
      </c>
      <c r="H719" s="100" t="e">
        <f t="shared" ca="1" si="104"/>
        <v>#NAME?</v>
      </c>
      <c r="I719" s="100" t="e">
        <f t="shared" ca="1" si="105"/>
        <v>#NAME?</v>
      </c>
      <c r="J719" s="100" t="e">
        <f t="shared" ca="1" si="106"/>
        <v>#NAME?</v>
      </c>
      <c r="K719" s="100" t="e">
        <f t="shared" ca="1" si="107"/>
        <v>#NAME?</v>
      </c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 spans="1:26">
      <c r="A720" s="100" t="e">
        <f ca="1">IFERROR(__xludf.DUMMYFUNCTION("""COMPUTED_VALUE"""),14520472)</f>
        <v>#NAME?</v>
      </c>
      <c r="B720" s="100" t="e">
        <f ca="1">IFERROR(__xludf.DUMMYFUNCTION("""COMPUTED_VALUE"""),"msnusdt")</f>
        <v>#NAME?</v>
      </c>
      <c r="C720" s="100" t="e">
        <f ca="1">IFERROR(__xludf.DUMMYFUNCTION("""COMPUTED_VALUE"""),"0.0378")</f>
        <v>#NAME?</v>
      </c>
      <c r="D720" s="100" t="e">
        <f t="shared" ca="1" si="101"/>
        <v>#NAME?</v>
      </c>
      <c r="E720" s="100" t="e">
        <f t="shared" ca="1" si="101"/>
        <v>#NAME?</v>
      </c>
      <c r="F720" s="100" t="e">
        <f t="shared" ca="1" si="102"/>
        <v>#NAME?</v>
      </c>
      <c r="G720" s="100" t="e">
        <f t="shared" ca="1" si="103"/>
        <v>#NAME?</v>
      </c>
      <c r="H720" s="100" t="e">
        <f t="shared" ca="1" si="104"/>
        <v>#NAME?</v>
      </c>
      <c r="I720" s="100" t="e">
        <f t="shared" ca="1" si="105"/>
        <v>#NAME?</v>
      </c>
      <c r="J720" s="100" t="e">
        <f t="shared" ca="1" si="106"/>
        <v>#NAME?</v>
      </c>
      <c r="K720" s="100" t="e">
        <f t="shared" ca="1" si="107"/>
        <v>#NAME?</v>
      </c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 spans="1:26">
      <c r="A721" s="100" t="e">
        <f ca="1">IFERROR(__xludf.DUMMYFUNCTION("""COMPUTED_VALUE"""),14520473)</f>
        <v>#NAME?</v>
      </c>
      <c r="B721" s="100" t="e">
        <f ca="1">IFERROR(__xludf.DUMMYFUNCTION("""COMPUTED_VALUE"""),"solusdt")</f>
        <v>#NAME?</v>
      </c>
      <c r="C721" s="100" t="e">
        <f ca="1">IFERROR(__xludf.DUMMYFUNCTION("""COMPUTED_VALUE"""),"140.0503")</f>
        <v>#NAME?</v>
      </c>
      <c r="D721" s="100" t="e">
        <f t="shared" ca="1" si="101"/>
        <v>#NAME?</v>
      </c>
      <c r="E721" s="100" t="e">
        <f t="shared" ca="1" si="101"/>
        <v>#NAME?</v>
      </c>
      <c r="F721" s="100" t="e">
        <f t="shared" ca="1" si="102"/>
        <v>#NAME?</v>
      </c>
      <c r="G721" s="100" t="e">
        <f t="shared" ca="1" si="103"/>
        <v>#NAME?</v>
      </c>
      <c r="H721" s="100" t="e">
        <f t="shared" ca="1" si="104"/>
        <v>#NAME?</v>
      </c>
      <c r="I721" s="100" t="e">
        <f t="shared" ca="1" si="105"/>
        <v>#NAME?</v>
      </c>
      <c r="J721" s="100" t="e">
        <f t="shared" ca="1" si="106"/>
        <v>#NAME?</v>
      </c>
      <c r="K721" s="100" t="e">
        <f t="shared" ca="1" si="107"/>
        <v>#NAME?</v>
      </c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 spans="1:26">
      <c r="A722" s="100" t="e">
        <f ca="1">IFERROR(__xludf.DUMMYFUNCTION("""COMPUTED_VALUE"""),14520474)</f>
        <v>#NAME?</v>
      </c>
      <c r="B722" s="100" t="e">
        <f ca="1">IFERROR(__xludf.DUMMYFUNCTION("""COMPUTED_VALUE"""),"audiousdt")</f>
        <v>#NAME?</v>
      </c>
      <c r="C722" s="100" t="e">
        <f ca="1">IFERROR(__xludf.DUMMYFUNCTION("""COMPUTED_VALUE"""),"0.0828")</f>
        <v>#NAME?</v>
      </c>
      <c r="D722" s="100" t="e">
        <f t="shared" ref="D722:E738" ca="1" si="108">IFERROR(__xludf.DUMMYFUNCTION("""COMPUTED_VALUE"""),"-")</f>
        <v>#NAME?</v>
      </c>
      <c r="E722" s="100" t="e">
        <f t="shared" ca="1" si="108"/>
        <v>#NAME?</v>
      </c>
      <c r="F722" s="100" t="e">
        <f t="shared" ca="1" si="102"/>
        <v>#NAME?</v>
      </c>
      <c r="G722" s="100" t="e">
        <f t="shared" ca="1" si="103"/>
        <v>#NAME?</v>
      </c>
      <c r="H722" s="100" t="e">
        <f t="shared" ca="1" si="104"/>
        <v>#NAME?</v>
      </c>
      <c r="I722" s="100" t="e">
        <f t="shared" ca="1" si="105"/>
        <v>#NAME?</v>
      </c>
      <c r="J722" s="100" t="e">
        <f t="shared" ca="1" si="106"/>
        <v>#NAME?</v>
      </c>
      <c r="K722" s="100" t="e">
        <f t="shared" ca="1" si="107"/>
        <v>#NAME?</v>
      </c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 spans="1:26">
      <c r="A723" s="100" t="e">
        <f ca="1">IFERROR(__xludf.DUMMYFUNCTION("""COMPUTED_VALUE"""),14520475)</f>
        <v>#NAME?</v>
      </c>
      <c r="B723" s="100" t="e">
        <f ca="1">IFERROR(__xludf.DUMMYFUNCTION("""COMPUTED_VALUE"""),"dodousdt")</f>
        <v>#NAME?</v>
      </c>
      <c r="C723" s="100" t="e">
        <f ca="1">IFERROR(__xludf.DUMMYFUNCTION("""COMPUTED_VALUE"""),"0.043")</f>
        <v>#NAME?</v>
      </c>
      <c r="D723" s="100" t="e">
        <f t="shared" ca="1" si="108"/>
        <v>#NAME?</v>
      </c>
      <c r="E723" s="100" t="e">
        <f t="shared" ca="1" si="108"/>
        <v>#NAME?</v>
      </c>
      <c r="F723" s="100" t="e">
        <f t="shared" ca="1" si="102"/>
        <v>#NAME?</v>
      </c>
      <c r="G723" s="100" t="e">
        <f t="shared" ca="1" si="103"/>
        <v>#NAME?</v>
      </c>
      <c r="H723" s="100" t="e">
        <f t="shared" ca="1" si="104"/>
        <v>#NAME?</v>
      </c>
      <c r="I723" s="100" t="e">
        <f t="shared" ca="1" si="105"/>
        <v>#NAME?</v>
      </c>
      <c r="J723" s="100" t="e">
        <f t="shared" ca="1" si="106"/>
        <v>#NAME?</v>
      </c>
      <c r="K723" s="100" t="e">
        <f t="shared" ca="1" si="107"/>
        <v>#NAME?</v>
      </c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 spans="1:26">
      <c r="A724" s="100" t="e">
        <f ca="1">IFERROR(__xludf.DUMMYFUNCTION("""COMPUTED_VALUE"""),14520476)</f>
        <v>#NAME?</v>
      </c>
      <c r="B724" s="100" t="e">
        <f ca="1">IFERROR(__xludf.DUMMYFUNCTION("""COMPUTED_VALUE"""),"cbkusdt")</f>
        <v>#NAME?</v>
      </c>
      <c r="C724" s="100" t="e">
        <f ca="1">IFERROR(__xludf.DUMMYFUNCTION("""COMPUTED_VALUE"""),"0.5205")</f>
        <v>#NAME?</v>
      </c>
      <c r="D724" s="100" t="e">
        <f t="shared" ca="1" si="108"/>
        <v>#NAME?</v>
      </c>
      <c r="E724" s="100" t="e">
        <f t="shared" ca="1" si="108"/>
        <v>#NAME?</v>
      </c>
      <c r="F724" s="100" t="e">
        <f t="shared" ca="1" si="102"/>
        <v>#NAME?</v>
      </c>
      <c r="G724" s="100" t="e">
        <f t="shared" ca="1" si="103"/>
        <v>#NAME?</v>
      </c>
      <c r="H724" s="100" t="e">
        <f t="shared" ca="1" si="104"/>
        <v>#NAME?</v>
      </c>
      <c r="I724" s="100" t="e">
        <f t="shared" ca="1" si="105"/>
        <v>#NAME?</v>
      </c>
      <c r="J724" s="100" t="e">
        <f t="shared" ca="1" si="106"/>
        <v>#NAME?</v>
      </c>
      <c r="K724" s="100" t="e">
        <f t="shared" ca="1" si="107"/>
        <v>#NAME?</v>
      </c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 spans="1:26">
      <c r="A725" s="100" t="e">
        <f ca="1">IFERROR(__xludf.DUMMYFUNCTION("""COMPUTED_VALUE"""),14520477)</f>
        <v>#NAME?</v>
      </c>
      <c r="B725" s="100" t="e">
        <f ca="1">IFERROR(__xludf.DUMMYFUNCTION("""COMPUTED_VALUE"""),"aliusdt")</f>
        <v>#NAME?</v>
      </c>
      <c r="C725" s="100" t="e">
        <f ca="1">IFERROR(__xludf.DUMMYFUNCTION("""COMPUTED_VALUE"""),"0.005983")</f>
        <v>#NAME?</v>
      </c>
      <c r="D725" s="100" t="e">
        <f t="shared" ca="1" si="108"/>
        <v>#NAME?</v>
      </c>
      <c r="E725" s="100" t="e">
        <f t="shared" ca="1" si="108"/>
        <v>#NAME?</v>
      </c>
      <c r="F725" s="100" t="e">
        <f t="shared" ca="1" si="102"/>
        <v>#NAME?</v>
      </c>
      <c r="G725" s="100" t="e">
        <f t="shared" ca="1" si="103"/>
        <v>#NAME?</v>
      </c>
      <c r="H725" s="100" t="e">
        <f t="shared" ca="1" si="104"/>
        <v>#NAME?</v>
      </c>
      <c r="I725" s="100" t="e">
        <f t="shared" ca="1" si="105"/>
        <v>#NAME?</v>
      </c>
      <c r="J725" s="100" t="e">
        <f t="shared" ca="1" si="106"/>
        <v>#NAME?</v>
      </c>
      <c r="K725" s="100" t="e">
        <f t="shared" ca="1" si="107"/>
        <v>#NAME?</v>
      </c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 spans="1:26">
      <c r="A726" s="100" t="e">
        <f ca="1">IFERROR(__xludf.DUMMYFUNCTION("""COMPUTED_VALUE"""),14520478)</f>
        <v>#NAME?</v>
      </c>
      <c r="B726" s="100" t="e">
        <f ca="1">IFERROR(__xludf.DUMMYFUNCTION("""COMPUTED_VALUE"""),"rocousdt")</f>
        <v>#NAME?</v>
      </c>
      <c r="C726" s="100" t="e">
        <f ca="1">IFERROR(__xludf.DUMMYFUNCTION("""COMPUTED_VALUE"""),"0.0244")</f>
        <v>#NAME?</v>
      </c>
      <c r="D726" s="100" t="e">
        <f t="shared" ca="1" si="108"/>
        <v>#NAME?</v>
      </c>
      <c r="E726" s="100" t="e">
        <f t="shared" ca="1" si="108"/>
        <v>#NAME?</v>
      </c>
      <c r="F726" s="100" t="e">
        <f t="shared" ca="1" si="102"/>
        <v>#NAME?</v>
      </c>
      <c r="G726" s="100" t="e">
        <f t="shared" ca="1" si="103"/>
        <v>#NAME?</v>
      </c>
      <c r="H726" s="100" t="e">
        <f t="shared" ca="1" si="104"/>
        <v>#NAME?</v>
      </c>
      <c r="I726" s="100" t="e">
        <f t="shared" ca="1" si="105"/>
        <v>#NAME?</v>
      </c>
      <c r="J726" s="100" t="e">
        <f t="shared" ca="1" si="106"/>
        <v>#NAME?</v>
      </c>
      <c r="K726" s="100" t="e">
        <f t="shared" ca="1" si="107"/>
        <v>#NAME?</v>
      </c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 spans="1:26">
      <c r="A727" s="100" t="e">
        <f ca="1">IFERROR(__xludf.DUMMYFUNCTION("""COMPUTED_VALUE"""),14520479)</f>
        <v>#NAME?</v>
      </c>
      <c r="B727" s="100" t="e">
        <f ca="1">IFERROR(__xludf.DUMMYFUNCTION("""COMPUTED_VALUE"""),"turbousdt")</f>
        <v>#NAME?</v>
      </c>
      <c r="C727" s="100" t="e">
        <f ca="1">IFERROR(__xludf.DUMMYFUNCTION("""COMPUTED_VALUE"""),"0.00254536")</f>
        <v>#NAME?</v>
      </c>
      <c r="D727" s="100" t="e">
        <f t="shared" ca="1" si="108"/>
        <v>#NAME?</v>
      </c>
      <c r="E727" s="100" t="e">
        <f t="shared" ca="1" si="108"/>
        <v>#NAME?</v>
      </c>
      <c r="F727" s="100" t="e">
        <f t="shared" ca="1" si="102"/>
        <v>#NAME?</v>
      </c>
      <c r="G727" s="100" t="e">
        <f t="shared" ca="1" si="103"/>
        <v>#NAME?</v>
      </c>
      <c r="H727" s="100" t="e">
        <f t="shared" ca="1" si="104"/>
        <v>#NAME?</v>
      </c>
      <c r="I727" s="100" t="e">
        <f t="shared" ca="1" si="105"/>
        <v>#NAME?</v>
      </c>
      <c r="J727" s="100" t="e">
        <f t="shared" ca="1" si="106"/>
        <v>#NAME?</v>
      </c>
      <c r="K727" s="100" t="e">
        <f t="shared" ca="1" si="107"/>
        <v>#NAME?</v>
      </c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 spans="1:26">
      <c r="A728" s="100" t="e">
        <f ca="1">IFERROR(__xludf.DUMMYFUNCTION("""COMPUTED_VALUE"""),14520480)</f>
        <v>#NAME?</v>
      </c>
      <c r="B728" s="100" t="e">
        <f ca="1">IFERROR(__xludf.DUMMYFUNCTION("""COMPUTED_VALUE"""),"uftusdt")</f>
        <v>#NAME?</v>
      </c>
      <c r="C728" s="100" t="e">
        <f ca="1">IFERROR(__xludf.DUMMYFUNCTION("""COMPUTED_VALUE"""),"0.0056")</f>
        <v>#NAME?</v>
      </c>
      <c r="D728" s="100" t="e">
        <f t="shared" ca="1" si="108"/>
        <v>#NAME?</v>
      </c>
      <c r="E728" s="100" t="e">
        <f t="shared" ca="1" si="108"/>
        <v>#NAME?</v>
      </c>
      <c r="F728" s="100" t="e">
        <f t="shared" ca="1" si="102"/>
        <v>#NAME?</v>
      </c>
      <c r="G728" s="100" t="e">
        <f t="shared" ca="1" si="103"/>
        <v>#NAME?</v>
      </c>
      <c r="H728" s="100" t="e">
        <f t="shared" ca="1" si="104"/>
        <v>#NAME?</v>
      </c>
      <c r="I728" s="100" t="e">
        <f t="shared" ca="1" si="105"/>
        <v>#NAME?</v>
      </c>
      <c r="J728" s="100" t="e">
        <f t="shared" ca="1" si="106"/>
        <v>#NAME?</v>
      </c>
      <c r="K728" s="100" t="e">
        <f t="shared" ca="1" si="107"/>
        <v>#NAME?</v>
      </c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 spans="1:26">
      <c r="A729" s="100" t="e">
        <f ca="1">IFERROR(__xludf.DUMMYFUNCTION("""COMPUTED_VALUE"""),14520481)</f>
        <v>#NAME?</v>
      </c>
      <c r="B729" s="100" t="e">
        <f ca="1">IFERROR(__xludf.DUMMYFUNCTION("""COMPUTED_VALUE"""),"zcxusdt")</f>
        <v>#NAME?</v>
      </c>
      <c r="C729" s="100" t="e">
        <f ca="1">IFERROR(__xludf.DUMMYFUNCTION("""COMPUTED_VALUE"""),"0.041")</f>
        <v>#NAME?</v>
      </c>
      <c r="D729" s="100" t="e">
        <f t="shared" ca="1" si="108"/>
        <v>#NAME?</v>
      </c>
      <c r="E729" s="100" t="e">
        <f t="shared" ca="1" si="108"/>
        <v>#NAME?</v>
      </c>
      <c r="F729" s="100" t="e">
        <f t="shared" ca="1" si="102"/>
        <v>#NAME?</v>
      </c>
      <c r="G729" s="100" t="e">
        <f t="shared" ca="1" si="103"/>
        <v>#NAME?</v>
      </c>
      <c r="H729" s="100" t="e">
        <f t="shared" ca="1" si="104"/>
        <v>#NAME?</v>
      </c>
      <c r="I729" s="100" t="e">
        <f t="shared" ca="1" si="105"/>
        <v>#NAME?</v>
      </c>
      <c r="J729" s="100" t="e">
        <f t="shared" ca="1" si="106"/>
        <v>#NAME?</v>
      </c>
      <c r="K729" s="100" t="e">
        <f t="shared" ca="1" si="107"/>
        <v>#NAME?</v>
      </c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 spans="1:26">
      <c r="A730" s="100" t="e">
        <f ca="1">IFERROR(__xludf.DUMMYFUNCTION("""COMPUTED_VALUE"""),14520482)</f>
        <v>#NAME?</v>
      </c>
      <c r="B730" s="100" t="e">
        <f ca="1">IFERROR(__xludf.DUMMYFUNCTION("""COMPUTED_VALUE"""),"degenaiusdt")</f>
        <v>#NAME?</v>
      </c>
      <c r="C730" s="100" t="e">
        <f ca="1">IFERROR(__xludf.DUMMYFUNCTION("""COMPUTED_VALUE"""),"0.00336")</f>
        <v>#NAME?</v>
      </c>
      <c r="D730" s="100" t="e">
        <f t="shared" ca="1" si="108"/>
        <v>#NAME?</v>
      </c>
      <c r="E730" s="100" t="e">
        <f t="shared" ca="1" si="108"/>
        <v>#NAME?</v>
      </c>
      <c r="F730" s="100" t="e">
        <f t="shared" ca="1" si="102"/>
        <v>#NAME?</v>
      </c>
      <c r="G730" s="100" t="e">
        <f t="shared" ca="1" si="103"/>
        <v>#NAME?</v>
      </c>
      <c r="H730" s="100" t="e">
        <f t="shared" ca="1" si="104"/>
        <v>#NAME?</v>
      </c>
      <c r="I730" s="100" t="e">
        <f t="shared" ca="1" si="105"/>
        <v>#NAME?</v>
      </c>
      <c r="J730" s="100" t="e">
        <f t="shared" ca="1" si="106"/>
        <v>#NAME?</v>
      </c>
      <c r="K730" s="100" t="e">
        <f t="shared" ca="1" si="107"/>
        <v>#NAME?</v>
      </c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 spans="1:26">
      <c r="A731" s="100" t="e">
        <f ca="1">IFERROR(__xludf.DUMMYFUNCTION("""COMPUTED_VALUE"""),14520483)</f>
        <v>#NAME?</v>
      </c>
      <c r="B731" s="100" t="e">
        <f ca="1">IFERROR(__xludf.DUMMYFUNCTION("""COMPUTED_VALUE"""),"laiusdt")</f>
        <v>#NAME?</v>
      </c>
      <c r="C731" s="100" t="e">
        <f ca="1">IFERROR(__xludf.DUMMYFUNCTION("""COMPUTED_VALUE"""),"0.001422")</f>
        <v>#NAME?</v>
      </c>
      <c r="D731" s="100" t="e">
        <f t="shared" ca="1" si="108"/>
        <v>#NAME?</v>
      </c>
      <c r="E731" s="100" t="e">
        <f t="shared" ca="1" si="108"/>
        <v>#NAME?</v>
      </c>
      <c r="F731" s="100" t="e">
        <f t="shared" ca="1" si="102"/>
        <v>#NAME?</v>
      </c>
      <c r="G731" s="100" t="e">
        <f t="shared" ca="1" si="103"/>
        <v>#NAME?</v>
      </c>
      <c r="H731" s="100" t="e">
        <f t="shared" ca="1" si="104"/>
        <v>#NAME?</v>
      </c>
      <c r="I731" s="100" t="e">
        <f t="shared" ca="1" si="105"/>
        <v>#NAME?</v>
      </c>
      <c r="J731" s="100" t="e">
        <f t="shared" ca="1" si="106"/>
        <v>#NAME?</v>
      </c>
      <c r="K731" s="100" t="e">
        <f t="shared" ca="1" si="107"/>
        <v>#NAME?</v>
      </c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 spans="1:26">
      <c r="A732" s="100" t="e">
        <f ca="1">IFERROR(__xludf.DUMMYFUNCTION("""COMPUTED_VALUE"""),14520484)</f>
        <v>#NAME?</v>
      </c>
      <c r="B732" s="100" t="e">
        <f ca="1">IFERROR(__xludf.DUMMYFUNCTION("""COMPUTED_VALUE"""),"dechatusdt")</f>
        <v>#NAME?</v>
      </c>
      <c r="C732" s="100" t="e">
        <f ca="1">IFERROR(__xludf.DUMMYFUNCTION("""COMPUTED_VALUE"""),"0.0289")</f>
        <v>#NAME?</v>
      </c>
      <c r="D732" s="100" t="e">
        <f t="shared" ca="1" si="108"/>
        <v>#NAME?</v>
      </c>
      <c r="E732" s="100" t="e">
        <f t="shared" ca="1" si="108"/>
        <v>#NAME?</v>
      </c>
      <c r="F732" s="100" t="e">
        <f t="shared" ca="1" si="102"/>
        <v>#NAME?</v>
      </c>
      <c r="G732" s="100" t="e">
        <f t="shared" ca="1" si="103"/>
        <v>#NAME?</v>
      </c>
      <c r="H732" s="100" t="e">
        <f t="shared" ca="1" si="104"/>
        <v>#NAME?</v>
      </c>
      <c r="I732" s="100" t="e">
        <f t="shared" ca="1" si="105"/>
        <v>#NAME?</v>
      </c>
      <c r="J732" s="100" t="e">
        <f t="shared" ca="1" si="106"/>
        <v>#NAME?</v>
      </c>
      <c r="K732" s="100" t="e">
        <f t="shared" ca="1" si="107"/>
        <v>#NAME?</v>
      </c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 spans="1:26">
      <c r="A733" s="100" t="e">
        <f ca="1">IFERROR(__xludf.DUMMYFUNCTION("""COMPUTED_VALUE"""),14520485)</f>
        <v>#NAME?</v>
      </c>
      <c r="B733" s="100" t="e">
        <f ca="1">IFERROR(__xludf.DUMMYFUNCTION("""COMPUTED_VALUE"""),"vineusdt")</f>
        <v>#NAME?</v>
      </c>
      <c r="C733" s="100" t="e">
        <f ca="1">IFERROR(__xludf.DUMMYFUNCTION("""COMPUTED_VALUE"""),"0.0306")</f>
        <v>#NAME?</v>
      </c>
      <c r="D733" s="100" t="e">
        <f t="shared" ca="1" si="108"/>
        <v>#NAME?</v>
      </c>
      <c r="E733" s="100" t="e">
        <f t="shared" ca="1" si="108"/>
        <v>#NAME?</v>
      </c>
      <c r="F733" s="100" t="e">
        <f t="shared" ca="1" si="102"/>
        <v>#NAME?</v>
      </c>
      <c r="G733" s="100" t="e">
        <f t="shared" ca="1" si="103"/>
        <v>#NAME?</v>
      </c>
      <c r="H733" s="100" t="e">
        <f t="shared" ca="1" si="104"/>
        <v>#NAME?</v>
      </c>
      <c r="I733" s="100" t="e">
        <f t="shared" ca="1" si="105"/>
        <v>#NAME?</v>
      </c>
      <c r="J733" s="100" t="e">
        <f t="shared" ca="1" si="106"/>
        <v>#NAME?</v>
      </c>
      <c r="K733" s="100" t="e">
        <f t="shared" ca="1" si="107"/>
        <v>#NAME?</v>
      </c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 spans="1:26">
      <c r="A734" s="100" t="e">
        <f ca="1">IFERROR(__xludf.DUMMYFUNCTION("""COMPUTED_VALUE"""),14520486)</f>
        <v>#NAME?</v>
      </c>
      <c r="B734" s="100" t="e">
        <f ca="1">IFERROR(__xludf.DUMMYFUNCTION("""COMPUTED_VALUE"""),"renusdt")</f>
        <v>#NAME?</v>
      </c>
      <c r="C734" s="100" t="e">
        <f ca="1">IFERROR(__xludf.DUMMYFUNCTION("""COMPUTED_VALUE"""),"0.009676")</f>
        <v>#NAME?</v>
      </c>
      <c r="D734" s="100" t="e">
        <f t="shared" ca="1" si="108"/>
        <v>#NAME?</v>
      </c>
      <c r="E734" s="100" t="e">
        <f t="shared" ca="1" si="108"/>
        <v>#NAME?</v>
      </c>
      <c r="F734" s="100" t="e">
        <f t="shared" ca="1" si="102"/>
        <v>#NAME?</v>
      </c>
      <c r="G734" s="100" t="e">
        <f t="shared" ca="1" si="103"/>
        <v>#NAME?</v>
      </c>
      <c r="H734" s="100" t="e">
        <f t="shared" ca="1" si="104"/>
        <v>#NAME?</v>
      </c>
      <c r="I734" s="100" t="e">
        <f t="shared" ca="1" si="105"/>
        <v>#NAME?</v>
      </c>
      <c r="J734" s="100" t="e">
        <f t="shared" ca="1" si="106"/>
        <v>#NAME?</v>
      </c>
      <c r="K734" s="100" t="e">
        <f t="shared" ca="1" si="107"/>
        <v>#NAME?</v>
      </c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 spans="1:26">
      <c r="A735" s="100" t="e">
        <f ca="1">IFERROR(__xludf.DUMMYFUNCTION("""COMPUTED_VALUE"""),14520487)</f>
        <v>#NAME?</v>
      </c>
      <c r="B735" s="100" t="e">
        <f ca="1">IFERROR(__xludf.DUMMYFUNCTION("""COMPUTED_VALUE"""),"darkusdt")</f>
        <v>#NAME?</v>
      </c>
      <c r="C735" s="100" t="e">
        <f ca="1">IFERROR(__xludf.DUMMYFUNCTION("""COMPUTED_VALUE"""),"0.015383")</f>
        <v>#NAME?</v>
      </c>
      <c r="D735" s="100" t="e">
        <f t="shared" ca="1" si="108"/>
        <v>#NAME?</v>
      </c>
      <c r="E735" s="100" t="e">
        <f t="shared" ca="1" si="108"/>
        <v>#NAME?</v>
      </c>
      <c r="F735" s="100" t="e">
        <f t="shared" ca="1" si="102"/>
        <v>#NAME?</v>
      </c>
      <c r="G735" s="100" t="e">
        <f t="shared" ca="1" si="103"/>
        <v>#NAME?</v>
      </c>
      <c r="H735" s="100" t="e">
        <f t="shared" ca="1" si="104"/>
        <v>#NAME?</v>
      </c>
      <c r="I735" s="100" t="e">
        <f t="shared" ca="1" si="105"/>
        <v>#NAME?</v>
      </c>
      <c r="J735" s="100" t="e">
        <f t="shared" ca="1" si="106"/>
        <v>#NAME?</v>
      </c>
      <c r="K735" s="100" t="e">
        <f t="shared" ca="1" si="107"/>
        <v>#NAME?</v>
      </c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 spans="1:26">
      <c r="A736" s="100" t="e">
        <f ca="1">IFERROR(__xludf.DUMMYFUNCTION("""COMPUTED_VALUE"""),14520488)</f>
        <v>#NAME?</v>
      </c>
      <c r="B736" s="100" t="e">
        <f ca="1">IFERROR(__xludf.DUMMYFUNCTION("""COMPUTED_VALUE"""),"fofarusdt")</f>
        <v>#NAME?</v>
      </c>
      <c r="C736" s="100" t="e">
        <f ca="1">IFERROR(__xludf.DUMMYFUNCTION("""COMPUTED_VALUE"""),"0.00035")</f>
        <v>#NAME?</v>
      </c>
      <c r="D736" s="100" t="e">
        <f t="shared" ca="1" si="108"/>
        <v>#NAME?</v>
      </c>
      <c r="E736" s="100" t="e">
        <f t="shared" ca="1" si="108"/>
        <v>#NAME?</v>
      </c>
      <c r="F736" s="100" t="e">
        <f t="shared" ca="1" si="102"/>
        <v>#NAME?</v>
      </c>
      <c r="G736" s="100" t="e">
        <f t="shared" ca="1" si="103"/>
        <v>#NAME?</v>
      </c>
      <c r="H736" s="100" t="e">
        <f t="shared" ca="1" si="104"/>
        <v>#NAME?</v>
      </c>
      <c r="I736" s="100" t="e">
        <f t="shared" ca="1" si="105"/>
        <v>#NAME?</v>
      </c>
      <c r="J736" s="100" t="e">
        <f t="shared" ca="1" si="106"/>
        <v>#NAME?</v>
      </c>
      <c r="K736" s="100" t="e">
        <f t="shared" ca="1" si="107"/>
        <v>#NAME?</v>
      </c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 spans="1:26">
      <c r="A737" s="100" t="e">
        <f ca="1">IFERROR(__xludf.DUMMYFUNCTION("""COMPUTED_VALUE"""),14520489)</f>
        <v>#NAME?</v>
      </c>
      <c r="B737" s="100" t="e">
        <f ca="1">IFERROR(__xludf.DUMMYFUNCTION("""COMPUTED_VALUE"""),"coreusdt")</f>
        <v>#NAME?</v>
      </c>
      <c r="C737" s="100" t="e">
        <f ca="1">IFERROR(__xludf.DUMMYFUNCTION("""COMPUTED_VALUE"""),"0.648072")</f>
        <v>#NAME?</v>
      </c>
      <c r="D737" s="100" t="e">
        <f t="shared" ca="1" si="108"/>
        <v>#NAME?</v>
      </c>
      <c r="E737" s="100" t="e">
        <f t="shared" ca="1" si="108"/>
        <v>#NAME?</v>
      </c>
      <c r="F737" s="100" t="e">
        <f t="shared" ca="1" si="102"/>
        <v>#NAME?</v>
      </c>
      <c r="G737" s="100" t="e">
        <f t="shared" ca="1" si="103"/>
        <v>#NAME?</v>
      </c>
      <c r="H737" s="100" t="e">
        <f t="shared" ca="1" si="104"/>
        <v>#NAME?</v>
      </c>
      <c r="I737" s="100" t="e">
        <f t="shared" ca="1" si="105"/>
        <v>#NAME?</v>
      </c>
      <c r="J737" s="100" t="e">
        <f t="shared" ca="1" si="106"/>
        <v>#NAME?</v>
      </c>
      <c r="K737" s="100" t="e">
        <f t="shared" ca="1" si="107"/>
        <v>#NAME?</v>
      </c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 spans="1:26">
      <c r="A738" s="100" t="e">
        <f ca="1">IFERROR(__xludf.DUMMYFUNCTION("""COMPUTED_VALUE"""),14520490)</f>
        <v>#NAME?</v>
      </c>
      <c r="B738" s="100" t="e">
        <f ca="1">IFERROR(__xludf.DUMMYFUNCTION("""COMPUTED_VALUE"""),"zklusdt")</f>
        <v>#NAME?</v>
      </c>
      <c r="C738" s="100" t="e">
        <f ca="1">IFERROR(__xludf.DUMMYFUNCTION("""COMPUTED_VALUE"""),"0.03181")</f>
        <v>#NAME?</v>
      </c>
      <c r="D738" s="100" t="e">
        <f t="shared" ca="1" si="108"/>
        <v>#NAME?</v>
      </c>
      <c r="E738" s="100" t="e">
        <f t="shared" ca="1" si="108"/>
        <v>#NAME?</v>
      </c>
      <c r="F738" s="100" t="e">
        <f t="shared" ca="1" si="102"/>
        <v>#NAME?</v>
      </c>
      <c r="G738" s="100" t="e">
        <f t="shared" ca="1" si="103"/>
        <v>#NAME?</v>
      </c>
      <c r="H738" s="100" t="e">
        <f t="shared" ca="1" si="104"/>
        <v>#NAME?</v>
      </c>
      <c r="I738" s="100" t="e">
        <f t="shared" ca="1" si="105"/>
        <v>#NAME?</v>
      </c>
      <c r="J738" s="100" t="e">
        <f t="shared" ca="1" si="106"/>
        <v>#NAME?</v>
      </c>
      <c r="K738" s="100" t="e">
        <f t="shared" ca="1" si="107"/>
        <v>#NAME?</v>
      </c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 spans="1:26">
      <c r="A739" s="100" t="e">
        <f ca="1">IFERROR(__xludf.DUMMYFUNCTION("""COMPUTED_VALUE"""),14491982)</f>
        <v>#NAME?</v>
      </c>
      <c r="B739" s="100" t="e">
        <f ca="1">IFERROR(__xludf.DUMMYFUNCTION("""COMPUTED_VALUE"""),"shellusdt")</f>
        <v>#NAME?</v>
      </c>
      <c r="C739" s="100" t="e">
        <f ca="1">IFERROR(__xludf.DUMMYFUNCTION("""COMPUTED_VALUE"""),"0.1405")</f>
        <v>#NAME?</v>
      </c>
      <c r="D739" s="100" t="e">
        <f ca="1">IFERROR(__xludf.DUMMYFUNCTION("""COMPUTED_VALUE"""),"25.90")</f>
        <v>#NAME?</v>
      </c>
      <c r="E739" s="100" t="e">
        <f t="shared" ref="E739:E770" ca="1" si="109">IFERROR(__xludf.DUMMYFUNCTION("""COMPUTED_VALUE"""),"-")</f>
        <v>#NAME?</v>
      </c>
      <c r="F739" s="100" t="e">
        <f t="shared" ca="1" si="102"/>
        <v>#NAME?</v>
      </c>
      <c r="G739" s="100" t="e">
        <f t="shared" ca="1" si="103"/>
        <v>#NAME?</v>
      </c>
      <c r="H739" s="100" t="e">
        <f t="shared" ca="1" si="104"/>
        <v>#NAME?</v>
      </c>
      <c r="I739" s="100" t="e">
        <f t="shared" ref="I739:I749" ca="1" si="110">IFERROR(__xludf.DUMMYFUNCTION("""COMPUTED_VALUE"""),5817683)</f>
        <v>#NAME?</v>
      </c>
      <c r="J739" s="100" t="e">
        <f ca="1">IFERROR(__xludf.DUMMYFUNCTION("""COMPUTED_VALUE"""),"0.21")</f>
        <v>#NAME?</v>
      </c>
      <c r="K739" s="100" t="e">
        <f t="shared" ref="K739:K749" ca="1" si="111">IFERROR(__xludf.DUMMYFUNCTION("""COMPUTED_VALUE"""),"22.04.2025 09:55:01")</f>
        <v>#NAME?</v>
      </c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 spans="1:26">
      <c r="A740" s="100" t="e">
        <f ca="1">IFERROR(__xludf.DUMMYFUNCTION("""COMPUTED_VALUE"""),14491983)</f>
        <v>#NAME?</v>
      </c>
      <c r="B740" s="100" t="e">
        <f ca="1">IFERROR(__xludf.DUMMYFUNCTION("""COMPUTED_VALUE"""),"dypusdt")</f>
        <v>#NAME?</v>
      </c>
      <c r="C740" s="100" t="e">
        <f ca="1">IFERROR(__xludf.DUMMYFUNCTION("""COMPUTED_VALUE"""),"0.0081")</f>
        <v>#NAME?</v>
      </c>
      <c r="D740" s="100" t="e">
        <f ca="1">IFERROR(__xludf.DUMMYFUNCTION("""COMPUTED_VALUE"""),"12.50")</f>
        <v>#NAME?</v>
      </c>
      <c r="E740" s="100" t="e">
        <f t="shared" ca="1" si="109"/>
        <v>#NAME?</v>
      </c>
      <c r="F740" s="100" t="e">
        <f t="shared" ca="1" si="102"/>
        <v>#NAME?</v>
      </c>
      <c r="G740" s="100" t="e">
        <f t="shared" ca="1" si="103"/>
        <v>#NAME?</v>
      </c>
      <c r="H740" s="100" t="e">
        <f t="shared" ca="1" si="104"/>
        <v>#NAME?</v>
      </c>
      <c r="I740" s="100" t="e">
        <f t="shared" ca="1" si="110"/>
        <v>#NAME?</v>
      </c>
      <c r="J740" s="100" t="e">
        <f ca="1">IFERROR(__xludf.DUMMYFUNCTION("""COMPUTED_VALUE"""),"8.00")</f>
        <v>#NAME?</v>
      </c>
      <c r="K740" s="100" t="e">
        <f t="shared" ca="1" si="111"/>
        <v>#NAME?</v>
      </c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 spans="1:26">
      <c r="A741" s="100" t="e">
        <f ca="1">IFERROR(__xludf.DUMMYFUNCTION("""COMPUTED_VALUE"""),14491984)</f>
        <v>#NAME?</v>
      </c>
      <c r="B741" s="100" t="e">
        <f ca="1">IFERROR(__xludf.DUMMYFUNCTION("""COMPUTED_VALUE"""),"forthusdt")</f>
        <v>#NAME?</v>
      </c>
      <c r="C741" s="100" t="e">
        <f ca="1">IFERROR(__xludf.DUMMYFUNCTION("""COMPUTED_VALUE"""),"2.374")</f>
        <v>#NAME?</v>
      </c>
      <c r="D741" s="100" t="e">
        <f ca="1">IFERROR(__xludf.DUMMYFUNCTION("""COMPUTED_VALUE"""),"-16.29")</f>
        <v>#NAME?</v>
      </c>
      <c r="E741" s="100" t="e">
        <f t="shared" ca="1" si="109"/>
        <v>#NAME?</v>
      </c>
      <c r="F741" s="100" t="e">
        <f t="shared" ca="1" si="102"/>
        <v>#NAME?</v>
      </c>
      <c r="G741" s="100" t="e">
        <f t="shared" ca="1" si="103"/>
        <v>#NAME?</v>
      </c>
      <c r="H741" s="100" t="e">
        <f t="shared" ca="1" si="104"/>
        <v>#NAME?</v>
      </c>
      <c r="I741" s="100" t="e">
        <f t="shared" ca="1" si="110"/>
        <v>#NAME?</v>
      </c>
      <c r="J741" s="100" t="e">
        <f ca="1">IFERROR(__xludf.DUMMYFUNCTION("""COMPUTED_VALUE"""),"-1.87")</f>
        <v>#NAME?</v>
      </c>
      <c r="K741" s="100" t="e">
        <f t="shared" ca="1" si="111"/>
        <v>#NAME?</v>
      </c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 spans="1:26">
      <c r="A742" s="100" t="e">
        <f ca="1">IFERROR(__xludf.DUMMYFUNCTION("""COMPUTED_VALUE"""),14491985)</f>
        <v>#NAME?</v>
      </c>
      <c r="B742" s="100" t="e">
        <f ca="1">IFERROR(__xludf.DUMMYFUNCTION("""COMPUTED_VALUE"""),"fetusdt")</f>
        <v>#NAME?</v>
      </c>
      <c r="C742" s="100" t="e">
        <f ca="1">IFERROR(__xludf.DUMMYFUNCTION("""COMPUTED_VALUE"""),"0.5821")</f>
        <v>#NAME?</v>
      </c>
      <c r="D742" s="100" t="e">
        <f ca="1">IFERROR(__xludf.DUMMYFUNCTION("""COMPUTED_VALUE"""),"22.60")</f>
        <v>#NAME?</v>
      </c>
      <c r="E742" s="100" t="e">
        <f t="shared" ca="1" si="109"/>
        <v>#NAME?</v>
      </c>
      <c r="F742" s="100" t="e">
        <f t="shared" ca="1" si="102"/>
        <v>#NAME?</v>
      </c>
      <c r="G742" s="100" t="e">
        <f t="shared" ca="1" si="103"/>
        <v>#NAME?</v>
      </c>
      <c r="H742" s="100" t="e">
        <f t="shared" ca="1" si="104"/>
        <v>#NAME?</v>
      </c>
      <c r="I742" s="100" t="e">
        <f t="shared" ca="1" si="110"/>
        <v>#NAME?</v>
      </c>
      <c r="J742" s="100" t="e">
        <f ca="1">IFERROR(__xludf.DUMMYFUNCTION("""COMPUTED_VALUE"""),"-4.51")</f>
        <v>#NAME?</v>
      </c>
      <c r="K742" s="100" t="e">
        <f t="shared" ca="1" si="111"/>
        <v>#NAME?</v>
      </c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 spans="1:26">
      <c r="A743" s="100" t="e">
        <f ca="1">IFERROR(__xludf.DUMMYFUNCTION("""COMPUTED_VALUE"""),14491986)</f>
        <v>#NAME?</v>
      </c>
      <c r="B743" s="100" t="e">
        <f ca="1">IFERROR(__xludf.DUMMYFUNCTION("""COMPUTED_VALUE"""),"juiceusdt")</f>
        <v>#NAME?</v>
      </c>
      <c r="C743" s="100" t="e">
        <f ca="1">IFERROR(__xludf.DUMMYFUNCTION("""COMPUTED_VALUE"""),"0.000263")</f>
        <v>#NAME?</v>
      </c>
      <c r="D743" s="100" t="e">
        <f ca="1">IFERROR(__xludf.DUMMYFUNCTION("""COMPUTED_VALUE"""),"3.54")</f>
        <v>#NAME?</v>
      </c>
      <c r="E743" s="100" t="e">
        <f t="shared" ca="1" si="109"/>
        <v>#NAME?</v>
      </c>
      <c r="F743" s="100" t="e">
        <f t="shared" ca="1" si="102"/>
        <v>#NAME?</v>
      </c>
      <c r="G743" s="100" t="e">
        <f t="shared" ca="1" si="103"/>
        <v>#NAME?</v>
      </c>
      <c r="H743" s="100" t="e">
        <f t="shared" ca="1" si="104"/>
        <v>#NAME?</v>
      </c>
      <c r="I743" s="100" t="e">
        <f t="shared" ca="1" si="110"/>
        <v>#NAME?</v>
      </c>
      <c r="J743" s="100" t="e">
        <f ca="1">IFERROR(__xludf.DUMMYFUNCTION("""COMPUTED_VALUE"""),"0.77")</f>
        <v>#NAME?</v>
      </c>
      <c r="K743" s="100" t="e">
        <f t="shared" ca="1" si="111"/>
        <v>#NAME?</v>
      </c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 spans="1:26">
      <c r="A744" s="100" t="e">
        <f ca="1">IFERROR(__xludf.DUMMYFUNCTION("""COMPUTED_VALUE"""),14491987)</f>
        <v>#NAME?</v>
      </c>
      <c r="B744" s="100" t="e">
        <f ca="1">IFERROR(__xludf.DUMMYFUNCTION("""COMPUTED_VALUE"""),"gmxusdt")</f>
        <v>#NAME?</v>
      </c>
      <c r="C744" s="100" t="e">
        <f ca="1">IFERROR(__xludf.DUMMYFUNCTION("""COMPUTED_VALUE"""),"13.413")</f>
        <v>#NAME?</v>
      </c>
      <c r="D744" s="100" t="e">
        <f ca="1">IFERROR(__xludf.DUMMYFUNCTION("""COMPUTED_VALUE"""),"-11.80")</f>
        <v>#NAME?</v>
      </c>
      <c r="E744" s="100" t="e">
        <f t="shared" ca="1" si="109"/>
        <v>#NAME?</v>
      </c>
      <c r="F744" s="100" t="e">
        <f t="shared" ca="1" si="102"/>
        <v>#NAME?</v>
      </c>
      <c r="G744" s="100" t="e">
        <f t="shared" ca="1" si="103"/>
        <v>#NAME?</v>
      </c>
      <c r="H744" s="100" t="e">
        <f t="shared" ca="1" si="104"/>
        <v>#NAME?</v>
      </c>
      <c r="I744" s="100" t="e">
        <f t="shared" ca="1" si="110"/>
        <v>#NAME?</v>
      </c>
      <c r="J744" s="100" t="e">
        <f ca="1">IFERROR(__xludf.DUMMYFUNCTION("""COMPUTED_VALUE"""),"-8.79")</f>
        <v>#NAME?</v>
      </c>
      <c r="K744" s="100" t="e">
        <f t="shared" ca="1" si="111"/>
        <v>#NAME?</v>
      </c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 spans="1:26">
      <c r="A745" s="100" t="e">
        <f ca="1">IFERROR(__xludf.DUMMYFUNCTION("""COMPUTED_VALUE"""),14491988)</f>
        <v>#NAME?</v>
      </c>
      <c r="B745" s="100" t="e">
        <f ca="1">IFERROR(__xludf.DUMMYFUNCTION("""COMPUTED_VALUE"""),"tusdusdt")</f>
        <v>#NAME?</v>
      </c>
      <c r="C745" s="100" t="e">
        <f ca="1">IFERROR(__xludf.DUMMYFUNCTION("""COMPUTED_VALUE"""),"0.99813")</f>
        <v>#NAME?</v>
      </c>
      <c r="D745" s="100" t="e">
        <f ca="1">IFERROR(__xludf.DUMMYFUNCTION("""COMPUTED_VALUE"""),"-0.07")</f>
        <v>#NAME?</v>
      </c>
      <c r="E745" s="100" t="e">
        <f t="shared" ca="1" si="109"/>
        <v>#NAME?</v>
      </c>
      <c r="F745" s="100" t="e">
        <f t="shared" ca="1" si="102"/>
        <v>#NAME?</v>
      </c>
      <c r="G745" s="100" t="e">
        <f t="shared" ca="1" si="103"/>
        <v>#NAME?</v>
      </c>
      <c r="H745" s="100" t="e">
        <f t="shared" ca="1" si="104"/>
        <v>#NAME?</v>
      </c>
      <c r="I745" s="100" t="e">
        <f t="shared" ca="1" si="110"/>
        <v>#NAME?</v>
      </c>
      <c r="J745" s="100" t="e">
        <f ca="1">IFERROR(__xludf.DUMMYFUNCTION("""COMPUTED_VALUE"""),"0.04")</f>
        <v>#NAME?</v>
      </c>
      <c r="K745" s="100" t="e">
        <f t="shared" ca="1" si="111"/>
        <v>#NAME?</v>
      </c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 spans="1:26">
      <c r="A746" s="100" t="e">
        <f ca="1">IFERROR(__xludf.DUMMYFUNCTION("""COMPUTED_VALUE"""),14491989)</f>
        <v>#NAME?</v>
      </c>
      <c r="B746" s="100" t="e">
        <f ca="1">IFERROR(__xludf.DUMMYFUNCTION("""COMPUTED_VALUE"""),"poohusdt")</f>
        <v>#NAME?</v>
      </c>
      <c r="C746" s="100" t="e">
        <f ca="1">IFERROR(__xludf.DUMMYFUNCTION("""COMPUTED_VALUE"""),"5.97e-09")</f>
        <v>#NAME?</v>
      </c>
      <c r="D746" s="100" t="e">
        <f ca="1">IFERROR(__xludf.DUMMYFUNCTION("""COMPUTED_VALUE"""),"-7.44")</f>
        <v>#NAME?</v>
      </c>
      <c r="E746" s="100" t="e">
        <f t="shared" ca="1" si="109"/>
        <v>#NAME?</v>
      </c>
      <c r="F746" s="100" t="e">
        <f t="shared" ca="1" si="102"/>
        <v>#NAME?</v>
      </c>
      <c r="G746" s="100" t="e">
        <f t="shared" ca="1" si="103"/>
        <v>#NAME?</v>
      </c>
      <c r="H746" s="100" t="e">
        <f t="shared" ca="1" si="104"/>
        <v>#NAME?</v>
      </c>
      <c r="I746" s="100" t="e">
        <f t="shared" ca="1" si="110"/>
        <v>#NAME?</v>
      </c>
      <c r="J746" s="100" t="e">
        <f ca="1">IFERROR(__xludf.DUMMYFUNCTION("""COMPUTED_VALUE"""),"-3.55")</f>
        <v>#NAME?</v>
      </c>
      <c r="K746" s="100" t="e">
        <f t="shared" ca="1" si="111"/>
        <v>#NAME?</v>
      </c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 spans="1:26">
      <c r="A747" s="100" t="e">
        <f ca="1">IFERROR(__xludf.DUMMYFUNCTION("""COMPUTED_VALUE"""),14491990)</f>
        <v>#NAME?</v>
      </c>
      <c r="B747" s="100" t="e">
        <f ca="1">IFERROR(__xludf.DUMMYFUNCTION("""COMPUTED_VALUE"""),"aluusdt")</f>
        <v>#NAME?</v>
      </c>
      <c r="C747" s="100" t="e">
        <f ca="1">IFERROR(__xludf.DUMMYFUNCTION("""COMPUTED_VALUE"""),"0.025065")</f>
        <v>#NAME?</v>
      </c>
      <c r="D747" s="100" t="e">
        <f ca="1">IFERROR(__xludf.DUMMYFUNCTION("""COMPUTED_VALUE"""),"-17.78")</f>
        <v>#NAME?</v>
      </c>
      <c r="E747" s="100" t="e">
        <f t="shared" ca="1" si="109"/>
        <v>#NAME?</v>
      </c>
      <c r="F747" s="100" t="e">
        <f t="shared" ca="1" si="102"/>
        <v>#NAME?</v>
      </c>
      <c r="G747" s="100" t="e">
        <f t="shared" ca="1" si="103"/>
        <v>#NAME?</v>
      </c>
      <c r="H747" s="100" t="e">
        <f t="shared" ca="1" si="104"/>
        <v>#NAME?</v>
      </c>
      <c r="I747" s="100" t="e">
        <f t="shared" ca="1" si="110"/>
        <v>#NAME?</v>
      </c>
      <c r="J747" s="100" t="e">
        <f ca="1">IFERROR(__xludf.DUMMYFUNCTION("""COMPUTED_VALUE"""),"-9.46")</f>
        <v>#NAME?</v>
      </c>
      <c r="K747" s="100" t="e">
        <f t="shared" ca="1" si="111"/>
        <v>#NAME?</v>
      </c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 spans="1:26">
      <c r="A748" s="100" t="e">
        <f ca="1">IFERROR(__xludf.DUMMYFUNCTION("""COMPUTED_VALUE"""),14491991)</f>
        <v>#NAME?</v>
      </c>
      <c r="B748" s="100" t="e">
        <f ca="1">IFERROR(__xludf.DUMMYFUNCTION("""COMPUTED_VALUE"""),"ethusdt")</f>
        <v>#NAME?</v>
      </c>
      <c r="C748" s="100" t="e">
        <f ca="1">IFERROR(__xludf.DUMMYFUNCTION("""COMPUTED_VALUE"""),"1580.81")</f>
        <v>#NAME?</v>
      </c>
      <c r="D748" s="100" t="e">
        <f ca="1">IFERROR(__xludf.DUMMYFUNCTION("""COMPUTED_VALUE"""),"-3.39")</f>
        <v>#NAME?</v>
      </c>
      <c r="E748" s="100" t="e">
        <f t="shared" ca="1" si="109"/>
        <v>#NAME?</v>
      </c>
      <c r="F748" s="100" t="e">
        <f t="shared" ca="1" si="102"/>
        <v>#NAME?</v>
      </c>
      <c r="G748" s="100" t="e">
        <f t="shared" ca="1" si="103"/>
        <v>#NAME?</v>
      </c>
      <c r="H748" s="100" t="e">
        <f t="shared" ca="1" si="104"/>
        <v>#NAME?</v>
      </c>
      <c r="I748" s="100" t="e">
        <f t="shared" ca="1" si="110"/>
        <v>#NAME?</v>
      </c>
      <c r="J748" s="100" t="e">
        <f ca="1">IFERROR(__xludf.DUMMYFUNCTION("""COMPUTED_VALUE"""),"-4.06")</f>
        <v>#NAME?</v>
      </c>
      <c r="K748" s="100" t="e">
        <f t="shared" ca="1" si="111"/>
        <v>#NAME?</v>
      </c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 spans="1:26">
      <c r="A749" s="100" t="e">
        <f ca="1">IFERROR(__xludf.DUMMYFUNCTION("""COMPUTED_VALUE"""),14491992)</f>
        <v>#NAME?</v>
      </c>
      <c r="B749" s="100" t="e">
        <f ca="1">IFERROR(__xludf.DUMMYFUNCTION("""COMPUTED_VALUE"""),"xprtusdt")</f>
        <v>#NAME?</v>
      </c>
      <c r="C749" s="100" t="e">
        <f ca="1">IFERROR(__xludf.DUMMYFUNCTION("""COMPUTED_VALUE"""),"0.073")</f>
        <v>#NAME?</v>
      </c>
      <c r="D749" s="100" t="e">
        <f ca="1">IFERROR(__xludf.DUMMYFUNCTION("""COMPUTED_VALUE"""),"-9.77")</f>
        <v>#NAME?</v>
      </c>
      <c r="E749" s="100" t="e">
        <f t="shared" ca="1" si="109"/>
        <v>#NAME?</v>
      </c>
      <c r="F749" s="100" t="e">
        <f t="shared" ca="1" si="102"/>
        <v>#NAME?</v>
      </c>
      <c r="G749" s="100" t="e">
        <f t="shared" ca="1" si="103"/>
        <v>#NAME?</v>
      </c>
      <c r="H749" s="100" t="e">
        <f t="shared" ca="1" si="104"/>
        <v>#NAME?</v>
      </c>
      <c r="I749" s="100" t="e">
        <f t="shared" ca="1" si="110"/>
        <v>#NAME?</v>
      </c>
      <c r="J749" s="100" t="e">
        <f ca="1">IFERROR(__xludf.DUMMYFUNCTION("""COMPUTED_VALUE"""),"3.11")</f>
        <v>#NAME?</v>
      </c>
      <c r="K749" s="100" t="e">
        <f t="shared" ca="1" si="111"/>
        <v>#NAME?</v>
      </c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 spans="1:26">
      <c r="A750" s="100" t="e">
        <f ca="1">IFERROR(__xludf.DUMMYFUNCTION("""COMPUTED_VALUE"""),1055999)</f>
        <v>#NAME?</v>
      </c>
      <c r="B750" s="100" t="e">
        <f ca="1">IFERROR(__xludf.DUMMYFUNCTION("""COMPUTED_VALUE"""),"goatusdt")</f>
        <v>#NAME?</v>
      </c>
      <c r="C750" s="100" t="e">
        <f ca="1">IFERROR(__xludf.DUMMYFUNCTION("""COMPUTED_VALUE"""),"0.0961")</f>
        <v>#NAME?</v>
      </c>
      <c r="D750" s="100" t="e">
        <f ca="1">IFERROR(__xludf.DUMMYFUNCTION("""COMPUTED_VALUE"""),"-")</f>
        <v>#NAME?</v>
      </c>
      <c r="E750" s="100" t="e">
        <f t="shared" ca="1" si="109"/>
        <v>#NAME?</v>
      </c>
      <c r="F750" s="100" t="e">
        <f ca="1">IFERROR(__xludf.DUMMYFUNCTION("""COMPUTED_VALUE"""),20137)</f>
        <v>#NAME?</v>
      </c>
      <c r="G750" s="100" t="e">
        <f ca="1">IFERROR(__xludf.DUMMYFUNCTION("""COMPUTED_VALUE"""),2876)</f>
        <v>#NAME?</v>
      </c>
      <c r="H750" s="100" t="e">
        <f ca="1">IFERROR(__xludf.DUMMYFUNCTION("""COMPUTED_VALUE"""),661)</f>
        <v>#NAME?</v>
      </c>
      <c r="I750" s="100" t="e">
        <f ca="1">IFERROR(__xludf.DUMMYFUNCTION("""COMPUTED_VALUE"""),5799539)</f>
        <v>#NAME?</v>
      </c>
      <c r="J750" s="100" t="e">
        <f ca="1">IFERROR(__xludf.DUMMYFUNCTION("""COMPUTED_VALUE"""),"-7.15")</f>
        <v>#NAME?</v>
      </c>
      <c r="K750" s="100" t="e">
        <f ca="1">IFERROR(__xludf.DUMMYFUNCTION("""COMPUTED_VALUE"""),"18.02.2025 09:55:02")</f>
        <v>#NAME?</v>
      </c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 spans="1:26">
      <c r="A751" s="100" t="e">
        <f ca="1">IFERROR(__xludf.DUMMYFUNCTION("""COMPUTED_VALUE"""),1056000)</f>
        <v>#NAME?</v>
      </c>
      <c r="B751" s="100" t="e">
        <f ca="1">IFERROR(__xludf.DUMMYFUNCTION("""COMPUTED_VALUE"""),"navxusdt")</f>
        <v>#NAME?</v>
      </c>
      <c r="C751" s="100" t="e">
        <f ca="1">IFERROR(__xludf.DUMMYFUNCTION("""COMPUTED_VALUE"""),"0.07906")</f>
        <v>#NAME?</v>
      </c>
      <c r="D751" s="100" t="e">
        <f ca="1">IFERROR(__xludf.DUMMYFUNCTION("""COMPUTED_VALUE"""),"-")</f>
        <v>#NAME?</v>
      </c>
      <c r="E751" s="100" t="e">
        <f t="shared" ca="1" si="109"/>
        <v>#NAME?</v>
      </c>
      <c r="F751" s="100" t="e">
        <f ca="1">IFERROR(__xludf.DUMMYFUNCTION("""COMPUTED_VALUE"""),20137)</f>
        <v>#NAME?</v>
      </c>
      <c r="G751" s="100" t="e">
        <f ca="1">IFERROR(__xludf.DUMMYFUNCTION("""COMPUTED_VALUE"""),2876)</f>
        <v>#NAME?</v>
      </c>
      <c r="H751" s="100" t="e">
        <f ca="1">IFERROR(__xludf.DUMMYFUNCTION("""COMPUTED_VALUE"""),661)</f>
        <v>#NAME?</v>
      </c>
      <c r="I751" s="100" t="e">
        <f ca="1">IFERROR(__xludf.DUMMYFUNCTION("""COMPUTED_VALUE"""),5799539)</f>
        <v>#NAME?</v>
      </c>
      <c r="J751" s="100" t="e">
        <f ca="1">IFERROR(__xludf.DUMMYFUNCTION("""COMPUTED_VALUE"""),"-1.46")</f>
        <v>#NAME?</v>
      </c>
      <c r="K751" s="100" t="e">
        <f ca="1">IFERROR(__xludf.DUMMYFUNCTION("""COMPUTED_VALUE"""),"18.02.2025 09:55:02")</f>
        <v>#NAME?</v>
      </c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 spans="1:26">
      <c r="A752" s="100" t="e">
        <f ca="1">IFERROR(__xludf.DUMMYFUNCTION("""COMPUTED_VALUE"""),1056001)</f>
        <v>#NAME?</v>
      </c>
      <c r="B752" s="100" t="e">
        <f ca="1">IFERROR(__xludf.DUMMYFUNCTION("""COMPUTED_VALUE"""),"ethwusdt")</f>
        <v>#NAME?</v>
      </c>
      <c r="C752" s="100" t="e">
        <f ca="1">IFERROR(__xludf.DUMMYFUNCTION("""COMPUTED_VALUE"""),"1.9401")</f>
        <v>#NAME?</v>
      </c>
      <c r="D752" s="100" t="e">
        <f ca="1">IFERROR(__xludf.DUMMYFUNCTION("""COMPUTED_VALUE"""),"-")</f>
        <v>#NAME?</v>
      </c>
      <c r="E752" s="100" t="e">
        <f t="shared" ca="1" si="109"/>
        <v>#NAME?</v>
      </c>
      <c r="F752" s="100" t="e">
        <f ca="1">IFERROR(__xludf.DUMMYFUNCTION("""COMPUTED_VALUE"""),20137)</f>
        <v>#NAME?</v>
      </c>
      <c r="G752" s="100" t="e">
        <f ca="1">IFERROR(__xludf.DUMMYFUNCTION("""COMPUTED_VALUE"""),2876)</f>
        <v>#NAME?</v>
      </c>
      <c r="H752" s="100" t="e">
        <f ca="1">IFERROR(__xludf.DUMMYFUNCTION("""COMPUTED_VALUE"""),661)</f>
        <v>#NAME?</v>
      </c>
      <c r="I752" s="100" t="e">
        <f ca="1">IFERROR(__xludf.DUMMYFUNCTION("""COMPUTED_VALUE"""),5799539)</f>
        <v>#NAME?</v>
      </c>
      <c r="J752" s="100" t="e">
        <f ca="1">IFERROR(__xludf.DUMMYFUNCTION("""COMPUTED_VALUE"""),"-3.24")</f>
        <v>#NAME?</v>
      </c>
      <c r="K752" s="100" t="e">
        <f ca="1">IFERROR(__xludf.DUMMYFUNCTION("""COMPUTED_VALUE"""),"18.02.2025 09:55:02")</f>
        <v>#NAME?</v>
      </c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 spans="1:26">
      <c r="A753" s="100" t="e">
        <f ca="1">IFERROR(__xludf.DUMMYFUNCTION("""COMPUTED_VALUE"""),1011440)</f>
        <v>#NAME?</v>
      </c>
      <c r="B753" s="100" t="e">
        <f ca="1">IFERROR(__xludf.DUMMYFUNCTION("""COMPUTED_VALUE"""),"zklusdt")</f>
        <v>#NAME?</v>
      </c>
      <c r="C753" s="100" t="e">
        <f ca="1">IFERROR(__xludf.DUMMYFUNCTION("""COMPUTED_VALUE"""),"0.10507")</f>
        <v>#NAME?</v>
      </c>
      <c r="D753" s="100" t="e">
        <f ca="1">IFERROR(__xludf.DUMMYFUNCTION("""COMPUTED_VALUE"""),"-")</f>
        <v>#NAME?</v>
      </c>
      <c r="E753" s="100" t="e">
        <f t="shared" ca="1" si="109"/>
        <v>#NAME?</v>
      </c>
      <c r="F753" s="100" t="e">
        <f ca="1">IFERROR(__xludf.DUMMYFUNCTION("""COMPUTED_VALUE"""),20137)</f>
        <v>#NAME?</v>
      </c>
      <c r="G753" s="100" t="e">
        <f ca="1">IFERROR(__xludf.DUMMYFUNCTION("""COMPUTED_VALUE"""),2876)</f>
        <v>#NAME?</v>
      </c>
      <c r="H753" s="100" t="e">
        <f ca="1">IFERROR(__xludf.DUMMYFUNCTION("""COMPUTED_VALUE"""),661)</f>
        <v>#NAME?</v>
      </c>
      <c r="I753" s="100" t="e">
        <f ca="1">IFERROR(__xludf.DUMMYFUNCTION("""COMPUTED_VALUE"""),5799479)</f>
        <v>#NAME?</v>
      </c>
      <c r="J753" s="100" t="e">
        <f ca="1">IFERROR(__xludf.DUMMYFUNCTION("""COMPUTED_VALUE"""),"-0.50")</f>
        <v>#NAME?</v>
      </c>
      <c r="K753" s="100" t="e">
        <f ca="1">IFERROR(__xludf.DUMMYFUNCTION("""COMPUTED_VALUE"""),"18.02.2025 04:55:01")</f>
        <v>#NAME?</v>
      </c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 spans="1:26">
      <c r="A754" s="100" t="e">
        <f ca="1">IFERROR(__xludf.DUMMYFUNCTION("""COMPUTED_VALUE"""),66163732)</f>
        <v>#NAME?</v>
      </c>
      <c r="B754" s="100" t="e">
        <f ca="1">IFERROR(__xludf.DUMMYFUNCTION("""COMPUTED_VALUE"""),"zklusdt")</f>
        <v>#NAME?</v>
      </c>
      <c r="C754" s="100" t="e">
        <f ca="1">IFERROR(__xludf.DUMMYFUNCTION("""COMPUTED_VALUE"""),"0.12261")</f>
        <v>#NAME?</v>
      </c>
      <c r="D754" s="100" t="e">
        <f ca="1">IFERROR(__xludf.DUMMYFUNCTION("""COMPUTED_VALUE"""),"-10.29")</f>
        <v>#NAME?</v>
      </c>
      <c r="E754" s="100" t="e">
        <f t="shared" ca="1" si="109"/>
        <v>#NAME?</v>
      </c>
      <c r="F754" s="100" t="e">
        <f ca="1">IFERROR(__xludf.DUMMYFUNCTION("""COMPUTED_VALUE"""),20132)</f>
        <v>#NAME?</v>
      </c>
      <c r="G754" s="100" t="e">
        <f ca="1">IFERROR(__xludf.DUMMYFUNCTION("""COMPUTED_VALUE"""),2876)</f>
        <v>#NAME?</v>
      </c>
      <c r="H754" s="100" t="e">
        <f ca="1">IFERROR(__xludf.DUMMYFUNCTION("""COMPUTED_VALUE"""),661)</f>
        <v>#NAME?</v>
      </c>
      <c r="I754" s="100" t="e">
        <f ca="1">IFERROR(__xludf.DUMMYFUNCTION("""COMPUTED_VALUE"""),5798039)</f>
        <v>#NAME?</v>
      </c>
      <c r="J754" s="100" t="e">
        <f ca="1">IFERROR(__xludf.DUMMYFUNCTION("""COMPUTED_VALUE"""),"8.38")</f>
        <v>#NAME?</v>
      </c>
      <c r="K754" s="100" t="e">
        <f ca="1">IFERROR(__xludf.DUMMYFUNCTION("""COMPUTED_VALUE"""),"13.02.2025 04:55:02")</f>
        <v>#NAME?</v>
      </c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 spans="1:26">
      <c r="A755" s="100" t="e">
        <f ca="1">IFERROR(__xludf.DUMMYFUNCTION("""COMPUTED_VALUE"""),61916313)</f>
        <v>#NAME?</v>
      </c>
      <c r="B755" s="100" t="e">
        <f ca="1">IFERROR(__xludf.DUMMYFUNCTION("""COMPUTED_VALUE"""),"laiusdt")</f>
        <v>#NAME?</v>
      </c>
      <c r="C755" s="100" t="e">
        <f ca="1">IFERROR(__xludf.DUMMYFUNCTION("""COMPUTED_VALUE"""),"0.009575")</f>
        <v>#NAME?</v>
      </c>
      <c r="D755" s="100" t="e">
        <f t="shared" ref="D755:D761" ca="1" si="112">IFERROR(__xludf.DUMMYFUNCTION("""COMPUTED_VALUE"""),"-")</f>
        <v>#NAME?</v>
      </c>
      <c r="E755" s="100" t="e">
        <f t="shared" ca="1" si="109"/>
        <v>#NAME?</v>
      </c>
      <c r="F755" s="100" t="e">
        <f t="shared" ref="F755:F760" ca="1" si="113">IFERROR(__xludf.DUMMYFUNCTION("""COMPUTED_VALUE"""),20112)</f>
        <v>#NAME?</v>
      </c>
      <c r="G755" s="100" t="e">
        <f t="shared" ref="G755:G761" ca="1" si="114">IFERROR(__xludf.DUMMYFUNCTION("""COMPUTED_VALUE"""),2873)</f>
        <v>#NAME?</v>
      </c>
      <c r="H755" s="100" t="e">
        <f t="shared" ref="H755:H765" ca="1" si="115">IFERROR(__xludf.DUMMYFUNCTION("""COMPUTED_VALUE"""),660)</f>
        <v>#NAME?</v>
      </c>
      <c r="I755" s="100" t="e">
        <f t="shared" ref="I755:I760" ca="1" si="116">IFERROR(__xludf.DUMMYFUNCTION("""COMPUTED_VALUE"""),5792339)</f>
        <v>#NAME?</v>
      </c>
      <c r="J755" s="100" t="e">
        <f ca="1">IFERROR(__xludf.DUMMYFUNCTION("""COMPUTED_VALUE"""),"11.21")</f>
        <v>#NAME?</v>
      </c>
      <c r="K755" s="100" t="e">
        <f t="shared" ref="K755:K760" ca="1" si="117">IFERROR(__xludf.DUMMYFUNCTION("""COMPUTED_VALUE"""),"24.01.2025 09:55:01")</f>
        <v>#NAME?</v>
      </c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 spans="1:26">
      <c r="A756" s="100" t="e">
        <f ca="1">IFERROR(__xludf.DUMMYFUNCTION("""COMPUTED_VALUE"""),61916314)</f>
        <v>#NAME?</v>
      </c>
      <c r="B756" s="100" t="e">
        <f ca="1">IFERROR(__xludf.DUMMYFUNCTION("""COMPUTED_VALUE"""),"dechatusdt")</f>
        <v>#NAME?</v>
      </c>
      <c r="C756" s="100" t="e">
        <f ca="1">IFERROR(__xludf.DUMMYFUNCTION("""COMPUTED_VALUE"""),"0.0678")</f>
        <v>#NAME?</v>
      </c>
      <c r="D756" s="100" t="e">
        <f t="shared" ca="1" si="112"/>
        <v>#NAME?</v>
      </c>
      <c r="E756" s="100" t="e">
        <f t="shared" ca="1" si="109"/>
        <v>#NAME?</v>
      </c>
      <c r="F756" s="100" t="e">
        <f t="shared" ca="1" si="113"/>
        <v>#NAME?</v>
      </c>
      <c r="G756" s="100" t="e">
        <f t="shared" ca="1" si="114"/>
        <v>#NAME?</v>
      </c>
      <c r="H756" s="100" t="e">
        <f t="shared" ca="1" si="115"/>
        <v>#NAME?</v>
      </c>
      <c r="I756" s="100" t="e">
        <f t="shared" ca="1" si="116"/>
        <v>#NAME?</v>
      </c>
      <c r="J756" s="100" t="e">
        <f ca="1">IFERROR(__xludf.DUMMYFUNCTION("""COMPUTED_VALUE"""),"-12.85")</f>
        <v>#NAME?</v>
      </c>
      <c r="K756" s="100" t="e">
        <f t="shared" ca="1" si="117"/>
        <v>#NAME?</v>
      </c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 spans="1:26">
      <c r="A757" s="100" t="e">
        <f ca="1">IFERROR(__xludf.DUMMYFUNCTION("""COMPUTED_VALUE"""),61916315)</f>
        <v>#NAME?</v>
      </c>
      <c r="B757" s="100" t="e">
        <f ca="1">IFERROR(__xludf.DUMMYFUNCTION("""COMPUTED_VALUE"""),"renusdt")</f>
        <v>#NAME?</v>
      </c>
      <c r="C757" s="100" t="e">
        <f ca="1">IFERROR(__xludf.DUMMYFUNCTION("""COMPUTED_VALUE"""),"0.036023")</f>
        <v>#NAME?</v>
      </c>
      <c r="D757" s="100" t="e">
        <f t="shared" ca="1" si="112"/>
        <v>#NAME?</v>
      </c>
      <c r="E757" s="100" t="e">
        <f t="shared" ca="1" si="109"/>
        <v>#NAME?</v>
      </c>
      <c r="F757" s="100" t="e">
        <f t="shared" ca="1" si="113"/>
        <v>#NAME?</v>
      </c>
      <c r="G757" s="100" t="e">
        <f t="shared" ca="1" si="114"/>
        <v>#NAME?</v>
      </c>
      <c r="H757" s="100" t="e">
        <f t="shared" ca="1" si="115"/>
        <v>#NAME?</v>
      </c>
      <c r="I757" s="100" t="e">
        <f t="shared" ca="1" si="116"/>
        <v>#NAME?</v>
      </c>
      <c r="J757" s="100" t="e">
        <f ca="1">IFERROR(__xludf.DUMMYFUNCTION("""COMPUTED_VALUE"""),"-1.36")</f>
        <v>#NAME?</v>
      </c>
      <c r="K757" s="100" t="e">
        <f t="shared" ca="1" si="117"/>
        <v>#NAME?</v>
      </c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 spans="1:26">
      <c r="A758" s="100" t="e">
        <f ca="1">IFERROR(__xludf.DUMMYFUNCTION("""COMPUTED_VALUE"""),61916316)</f>
        <v>#NAME?</v>
      </c>
      <c r="B758" s="100" t="e">
        <f ca="1">IFERROR(__xludf.DUMMYFUNCTION("""COMPUTED_VALUE"""),"fofarusdt")</f>
        <v>#NAME?</v>
      </c>
      <c r="C758" s="100" t="e">
        <f ca="1">IFERROR(__xludf.DUMMYFUNCTION("""COMPUTED_VALUE"""),"0.00135")</f>
        <v>#NAME?</v>
      </c>
      <c r="D758" s="100" t="e">
        <f t="shared" ca="1" si="112"/>
        <v>#NAME?</v>
      </c>
      <c r="E758" s="100" t="e">
        <f t="shared" ca="1" si="109"/>
        <v>#NAME?</v>
      </c>
      <c r="F758" s="100" t="e">
        <f t="shared" ca="1" si="113"/>
        <v>#NAME?</v>
      </c>
      <c r="G758" s="100" t="e">
        <f t="shared" ca="1" si="114"/>
        <v>#NAME?</v>
      </c>
      <c r="H758" s="100" t="e">
        <f t="shared" ca="1" si="115"/>
        <v>#NAME?</v>
      </c>
      <c r="I758" s="100" t="e">
        <f t="shared" ca="1" si="116"/>
        <v>#NAME?</v>
      </c>
      <c r="J758" s="100" t="e">
        <f ca="1">IFERROR(__xludf.DUMMYFUNCTION("""COMPUTED_VALUE"""),"4.65")</f>
        <v>#NAME?</v>
      </c>
      <c r="K758" s="100" t="e">
        <f t="shared" ca="1" si="117"/>
        <v>#NAME?</v>
      </c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 spans="1:26">
      <c r="A759" s="100" t="e">
        <f ca="1">IFERROR(__xludf.DUMMYFUNCTION("""COMPUTED_VALUE"""),61916317)</f>
        <v>#NAME?</v>
      </c>
      <c r="B759" s="100" t="e">
        <f ca="1">IFERROR(__xludf.DUMMYFUNCTION("""COMPUTED_VALUE"""),"coreusdt")</f>
        <v>#NAME?</v>
      </c>
      <c r="C759" s="100" t="e">
        <f ca="1">IFERROR(__xludf.DUMMYFUNCTION("""COMPUTED_VALUE"""),"0.831521")</f>
        <v>#NAME?</v>
      </c>
      <c r="D759" s="100" t="e">
        <f t="shared" ca="1" si="112"/>
        <v>#NAME?</v>
      </c>
      <c r="E759" s="100" t="e">
        <f t="shared" ca="1" si="109"/>
        <v>#NAME?</v>
      </c>
      <c r="F759" s="100" t="e">
        <f t="shared" ca="1" si="113"/>
        <v>#NAME?</v>
      </c>
      <c r="G759" s="100" t="e">
        <f t="shared" ca="1" si="114"/>
        <v>#NAME?</v>
      </c>
      <c r="H759" s="100" t="e">
        <f t="shared" ca="1" si="115"/>
        <v>#NAME?</v>
      </c>
      <c r="I759" s="100" t="e">
        <f t="shared" ca="1" si="116"/>
        <v>#NAME?</v>
      </c>
      <c r="J759" s="100" t="e">
        <f ca="1">IFERROR(__xludf.DUMMYFUNCTION("""COMPUTED_VALUE"""),"-1.73")</f>
        <v>#NAME?</v>
      </c>
      <c r="K759" s="100" t="e">
        <f t="shared" ca="1" si="117"/>
        <v>#NAME?</v>
      </c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 spans="1:26">
      <c r="A760" s="100" t="e">
        <f ca="1">IFERROR(__xludf.DUMMYFUNCTION("""COMPUTED_VALUE"""),61916318)</f>
        <v>#NAME?</v>
      </c>
      <c r="B760" s="100" t="e">
        <f ca="1">IFERROR(__xludf.DUMMYFUNCTION("""COMPUTED_VALUE"""),"zklusdt")</f>
        <v>#NAME?</v>
      </c>
      <c r="C760" s="100" t="e">
        <f ca="1">IFERROR(__xludf.DUMMYFUNCTION("""COMPUTED_VALUE"""),"0.16844")</f>
        <v>#NAME?</v>
      </c>
      <c r="D760" s="100" t="e">
        <f t="shared" ca="1" si="112"/>
        <v>#NAME?</v>
      </c>
      <c r="E760" s="100" t="e">
        <f t="shared" ca="1" si="109"/>
        <v>#NAME?</v>
      </c>
      <c r="F760" s="100" t="e">
        <f t="shared" ca="1" si="113"/>
        <v>#NAME?</v>
      </c>
      <c r="G760" s="100" t="e">
        <f t="shared" ca="1" si="114"/>
        <v>#NAME?</v>
      </c>
      <c r="H760" s="100" t="e">
        <f t="shared" ca="1" si="115"/>
        <v>#NAME?</v>
      </c>
      <c r="I760" s="100" t="e">
        <f t="shared" ca="1" si="116"/>
        <v>#NAME?</v>
      </c>
      <c r="J760" s="100" t="e">
        <f ca="1">IFERROR(__xludf.DUMMYFUNCTION("""COMPUTED_VALUE"""),"-2.87")</f>
        <v>#NAME?</v>
      </c>
      <c r="K760" s="100" t="e">
        <f t="shared" ca="1" si="117"/>
        <v>#NAME?</v>
      </c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 spans="1:26">
      <c r="A761" s="100" t="e">
        <f ca="1">IFERROR(__xludf.DUMMYFUNCTION("""COMPUTED_VALUE"""),61652186)</f>
        <v>#NAME?</v>
      </c>
      <c r="B761" s="100" t="e">
        <f ca="1">IFERROR(__xludf.DUMMYFUNCTION("""COMPUTED_VALUE"""),"zklusdt")</f>
        <v>#NAME?</v>
      </c>
      <c r="C761" s="100" t="e">
        <f ca="1">IFERROR(__xludf.DUMMYFUNCTION("""COMPUTED_VALUE"""),"0.18411")</f>
        <v>#NAME?</v>
      </c>
      <c r="D761" s="100" t="e">
        <f t="shared" ca="1" si="112"/>
        <v>#NAME?</v>
      </c>
      <c r="E761" s="100" t="e">
        <f t="shared" ca="1" si="109"/>
        <v>#NAME?</v>
      </c>
      <c r="F761" s="100" t="e">
        <f ca="1">IFERROR(__xludf.DUMMYFUNCTION("""COMPUTED_VALUE"""),20111)</f>
        <v>#NAME?</v>
      </c>
      <c r="G761" s="100" t="e">
        <f t="shared" ca="1" si="114"/>
        <v>#NAME?</v>
      </c>
      <c r="H761" s="100" t="e">
        <f t="shared" ca="1" si="115"/>
        <v>#NAME?</v>
      </c>
      <c r="I761" s="100" t="e">
        <f ca="1">IFERROR(__xludf.DUMMYFUNCTION("""COMPUTED_VALUE"""),5791991)</f>
        <v>#NAME?</v>
      </c>
      <c r="J761" s="100" t="e">
        <f ca="1">IFERROR(__xludf.DUMMYFUNCTION("""COMPUTED_VALUE"""),"21.17")</f>
        <v>#NAME?</v>
      </c>
      <c r="K761" s="100" t="e">
        <f ca="1">IFERROR(__xludf.DUMMYFUNCTION("""COMPUTED_VALUE"""),"23.01.2025 04:55:01")</f>
        <v>#NAME?</v>
      </c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 spans="1:26">
      <c r="A762" s="100" t="e">
        <f ca="1">IFERROR(__xludf.DUMMYFUNCTION("""COMPUTED_VALUE"""),58874744)</f>
        <v>#NAME?</v>
      </c>
      <c r="B762" s="100" t="e">
        <f ca="1">IFERROR(__xludf.DUMMYFUNCTION("""COMPUTED_VALUE"""),"zklusdt")</f>
        <v>#NAME?</v>
      </c>
      <c r="C762" s="100" t="e">
        <f ca="1">IFERROR(__xludf.DUMMYFUNCTION("""COMPUTED_VALUE"""),"0.11287")</f>
        <v>#NAME?</v>
      </c>
      <c r="D762" s="100" t="e">
        <f ca="1">IFERROR(__xludf.DUMMYFUNCTION("""COMPUTED_VALUE"""),"-13.85")</f>
        <v>#NAME?</v>
      </c>
      <c r="E762" s="100" t="e">
        <f t="shared" ca="1" si="109"/>
        <v>#NAME?</v>
      </c>
      <c r="F762" s="100" t="e">
        <f ca="1">IFERROR(__xludf.DUMMYFUNCTION("""COMPUTED_VALUE"""),20098)</f>
        <v>#NAME?</v>
      </c>
      <c r="G762" s="100" t="e">
        <f ca="1">IFERROR(__xludf.DUMMYFUNCTION("""COMPUTED_VALUE"""),2871)</f>
        <v>#NAME?</v>
      </c>
      <c r="H762" s="100" t="e">
        <f t="shared" ca="1" si="115"/>
        <v>#NAME?</v>
      </c>
      <c r="I762" s="100" t="e">
        <f ca="1">IFERROR(__xludf.DUMMYFUNCTION("""COMPUTED_VALUE"""),5788307)</f>
        <v>#NAME?</v>
      </c>
      <c r="J762" s="100" t="e">
        <f ca="1">IFERROR(__xludf.DUMMYFUNCTION("""COMPUTED_VALUE"""),"-6.12")</f>
        <v>#NAME?</v>
      </c>
      <c r="K762" s="100" t="e">
        <f ca="1">IFERROR(__xludf.DUMMYFUNCTION("""COMPUTED_VALUE"""),"10.01.2025 09:55:01")</f>
        <v>#NAME?</v>
      </c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 spans="1:26">
      <c r="A763" s="100" t="e">
        <f ca="1">IFERROR(__xludf.DUMMYFUNCTION("""COMPUTED_VALUE"""),58219200)</f>
        <v>#NAME?</v>
      </c>
      <c r="B763" s="100" t="e">
        <f ca="1">IFERROR(__xludf.DUMMYFUNCTION("""COMPUTED_VALUE"""),"fofarusdt")</f>
        <v>#NAME?</v>
      </c>
      <c r="C763" s="100" t="e">
        <f ca="1">IFERROR(__xludf.DUMMYFUNCTION("""COMPUTED_VALUE"""),"0.00242")</f>
        <v>#NAME?</v>
      </c>
      <c r="D763" s="100" t="e">
        <f ca="1">IFERROR(__xludf.DUMMYFUNCTION("""COMPUTED_VALUE"""),"-")</f>
        <v>#NAME?</v>
      </c>
      <c r="E763" s="100" t="e">
        <f t="shared" ca="1" si="109"/>
        <v>#NAME?</v>
      </c>
      <c r="F763" s="100" t="e">
        <f ca="1">IFERROR(__xludf.DUMMYFUNCTION("""COMPUTED_VALUE"""),20095)</f>
        <v>#NAME?</v>
      </c>
      <c r="G763" s="100" t="e">
        <f ca="1">IFERROR(__xludf.DUMMYFUNCTION("""COMPUTED_VALUE"""),2870)</f>
        <v>#NAME?</v>
      </c>
      <c r="H763" s="100" t="e">
        <f t="shared" ca="1" si="115"/>
        <v>#NAME?</v>
      </c>
      <c r="I763" s="100" t="e">
        <f ca="1">IFERROR(__xludf.DUMMYFUNCTION("""COMPUTED_VALUE"""),5787443)</f>
        <v>#NAME?</v>
      </c>
      <c r="J763" s="100" t="e">
        <f ca="1">IFERROR(__xludf.DUMMYFUNCTION("""COMPUTED_VALUE"""),"-10.04")</f>
        <v>#NAME?</v>
      </c>
      <c r="K763" s="100" t="e">
        <f ca="1">IFERROR(__xludf.DUMMYFUNCTION("""COMPUTED_VALUE"""),"07.01.2025 09:55:01")</f>
        <v>#NAME?</v>
      </c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 spans="1:26">
      <c r="A764" s="100" t="e">
        <f ca="1">IFERROR(__xludf.DUMMYFUNCTION("""COMPUTED_VALUE"""),58219201)</f>
        <v>#NAME?</v>
      </c>
      <c r="B764" s="100" t="e">
        <f ca="1">IFERROR(__xludf.DUMMYFUNCTION("""COMPUTED_VALUE"""),"coreusdt")</f>
        <v>#NAME?</v>
      </c>
      <c r="C764" s="100" t="e">
        <f ca="1">IFERROR(__xludf.DUMMYFUNCTION("""COMPUTED_VALUE"""),"1.217698")</f>
        <v>#NAME?</v>
      </c>
      <c r="D764" s="100" t="e">
        <f ca="1">IFERROR(__xludf.DUMMYFUNCTION("""COMPUTED_VALUE"""),"-")</f>
        <v>#NAME?</v>
      </c>
      <c r="E764" s="100" t="e">
        <f t="shared" ca="1" si="109"/>
        <v>#NAME?</v>
      </c>
      <c r="F764" s="100" t="e">
        <f ca="1">IFERROR(__xludf.DUMMYFUNCTION("""COMPUTED_VALUE"""),20095)</f>
        <v>#NAME?</v>
      </c>
      <c r="G764" s="100" t="e">
        <f ca="1">IFERROR(__xludf.DUMMYFUNCTION("""COMPUTED_VALUE"""),2870)</f>
        <v>#NAME?</v>
      </c>
      <c r="H764" s="100" t="e">
        <f t="shared" ca="1" si="115"/>
        <v>#NAME?</v>
      </c>
      <c r="I764" s="100" t="e">
        <f ca="1">IFERROR(__xludf.DUMMYFUNCTION("""COMPUTED_VALUE"""),5787443)</f>
        <v>#NAME?</v>
      </c>
      <c r="J764" s="100" t="e">
        <f ca="1">IFERROR(__xludf.DUMMYFUNCTION("""COMPUTED_VALUE"""),"0.74")</f>
        <v>#NAME?</v>
      </c>
      <c r="K764" s="100" t="e">
        <f ca="1">IFERROR(__xludf.DUMMYFUNCTION("""COMPUTED_VALUE"""),"07.01.2025 09:55:01")</f>
        <v>#NAME?</v>
      </c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 spans="1:26">
      <c r="A765" s="100" t="e">
        <f ca="1">IFERROR(__xludf.DUMMYFUNCTION("""COMPUTED_VALUE"""),58219202)</f>
        <v>#NAME?</v>
      </c>
      <c r="B765" s="100" t="e">
        <f ca="1">IFERROR(__xludf.DUMMYFUNCTION("""COMPUTED_VALUE"""),"zklusdt")</f>
        <v>#NAME?</v>
      </c>
      <c r="C765" s="100" t="e">
        <f ca="1">IFERROR(__xludf.DUMMYFUNCTION("""COMPUTED_VALUE"""),"0.14502")</f>
        <v>#NAME?</v>
      </c>
      <c r="D765" s="100" t="e">
        <f ca="1">IFERROR(__xludf.DUMMYFUNCTION("""COMPUTED_VALUE"""),"-")</f>
        <v>#NAME?</v>
      </c>
      <c r="E765" s="100" t="e">
        <f t="shared" ca="1" si="109"/>
        <v>#NAME?</v>
      </c>
      <c r="F765" s="100" t="e">
        <f ca="1">IFERROR(__xludf.DUMMYFUNCTION("""COMPUTED_VALUE"""),20095)</f>
        <v>#NAME?</v>
      </c>
      <c r="G765" s="100" t="e">
        <f ca="1">IFERROR(__xludf.DUMMYFUNCTION("""COMPUTED_VALUE"""),2870)</f>
        <v>#NAME?</v>
      </c>
      <c r="H765" s="100" t="e">
        <f t="shared" ca="1" si="115"/>
        <v>#NAME?</v>
      </c>
      <c r="I765" s="100" t="e">
        <f ca="1">IFERROR(__xludf.DUMMYFUNCTION("""COMPUTED_VALUE"""),5787443)</f>
        <v>#NAME?</v>
      </c>
      <c r="J765" s="100" t="e">
        <f ca="1">IFERROR(__xludf.DUMMYFUNCTION("""COMPUTED_VALUE"""),"1.69")</f>
        <v>#NAME?</v>
      </c>
      <c r="K765" s="100" t="e">
        <f ca="1">IFERROR(__xludf.DUMMYFUNCTION("""COMPUTED_VALUE"""),"07.01.2025 09:55:01")</f>
        <v>#NAME?</v>
      </c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 spans="1:26">
      <c r="A766" s="100" t="e">
        <f ca="1">IFERROR(__xludf.DUMMYFUNCTION("""COMPUTED_VALUE"""),55161032)</f>
        <v>#NAME?</v>
      </c>
      <c r="B766" s="100" t="e">
        <f ca="1">IFERROR(__xludf.DUMMYFUNCTION("""COMPUTED_VALUE"""),"solousdt")</f>
        <v>#NAME?</v>
      </c>
      <c r="C766" s="100" t="e">
        <f ca="1">IFERROR(__xludf.DUMMYFUNCTION("""COMPUTED_VALUE"""),"0.42659")</f>
        <v>#NAME?</v>
      </c>
      <c r="D766" s="100" t="e">
        <f ca="1">IFERROR(__xludf.DUMMYFUNCTION("""COMPUTED_VALUE"""),"-11.63")</f>
        <v>#NAME?</v>
      </c>
      <c r="E766" s="100" t="e">
        <f t="shared" ca="1" si="109"/>
        <v>#NAME?</v>
      </c>
      <c r="F766" s="100" t="e">
        <f ca="1">IFERROR(__xludf.DUMMYFUNCTION("""COMPUTED_VALUE"""),20081)</f>
        <v>#NAME?</v>
      </c>
      <c r="G766" s="100" t="e">
        <f ca="1">IFERROR(__xludf.DUMMYFUNCTION("""COMPUTED_VALUE"""),2868)</f>
        <v>#NAME?</v>
      </c>
      <c r="H766" s="100" t="e">
        <f ca="1">IFERROR(__xludf.DUMMYFUNCTION("""COMPUTED_VALUE"""),659)</f>
        <v>#NAME?</v>
      </c>
      <c r="I766" s="100" t="e">
        <f ca="1">IFERROR(__xludf.DUMMYFUNCTION("""COMPUTED_VALUE"""),5783411)</f>
        <v>#NAME?</v>
      </c>
      <c r="J766" s="100" t="e">
        <f ca="1">IFERROR(__xludf.DUMMYFUNCTION("""COMPUTED_VALUE"""),"6.35")</f>
        <v>#NAME?</v>
      </c>
      <c r="K766" s="100" t="e">
        <f ca="1">IFERROR(__xludf.DUMMYFUNCTION("""COMPUTED_VALUE"""),"24.12.2024 09:55:02")</f>
        <v>#NAME?</v>
      </c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 spans="1:26">
      <c r="A767" s="100" t="e">
        <f ca="1">IFERROR(__xludf.DUMMYFUNCTION("""COMPUTED_VALUE"""),55161033)</f>
        <v>#NAME?</v>
      </c>
      <c r="B767" s="100" t="e">
        <f ca="1">IFERROR(__xludf.DUMMYFUNCTION("""COMPUTED_VALUE"""),"linkusdt")</f>
        <v>#NAME?</v>
      </c>
      <c r="C767" s="100" t="e">
        <f ca="1">IFERROR(__xludf.DUMMYFUNCTION("""COMPUTED_VALUE"""),"23.9184")</f>
        <v>#NAME?</v>
      </c>
      <c r="D767" s="100" t="e">
        <f ca="1">IFERROR(__xludf.DUMMYFUNCTION("""COMPUTED_VALUE"""),"-15.46")</f>
        <v>#NAME?</v>
      </c>
      <c r="E767" s="100" t="e">
        <f t="shared" ca="1" si="109"/>
        <v>#NAME?</v>
      </c>
      <c r="F767" s="100" t="e">
        <f ca="1">IFERROR(__xludf.DUMMYFUNCTION("""COMPUTED_VALUE"""),20081)</f>
        <v>#NAME?</v>
      </c>
      <c r="G767" s="100" t="e">
        <f ca="1">IFERROR(__xludf.DUMMYFUNCTION("""COMPUTED_VALUE"""),2868)</f>
        <v>#NAME?</v>
      </c>
      <c r="H767" s="100" t="e">
        <f ca="1">IFERROR(__xludf.DUMMYFUNCTION("""COMPUTED_VALUE"""),659)</f>
        <v>#NAME?</v>
      </c>
      <c r="I767" s="100" t="e">
        <f ca="1">IFERROR(__xludf.DUMMYFUNCTION("""COMPUTED_VALUE"""),5783411)</f>
        <v>#NAME?</v>
      </c>
      <c r="J767" s="100" t="e">
        <f ca="1">IFERROR(__xludf.DUMMYFUNCTION("""COMPUTED_VALUE"""),"6.76")</f>
        <v>#NAME?</v>
      </c>
      <c r="K767" s="100" t="e">
        <f ca="1">IFERROR(__xludf.DUMMYFUNCTION("""COMPUTED_VALUE"""),"24.12.2024 09:55:02")</f>
        <v>#NAME?</v>
      </c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 spans="1:26">
      <c r="A768" s="100" t="e">
        <f ca="1">IFERROR(__xludf.DUMMYFUNCTION("""COMPUTED_VALUE"""),49044496)</f>
        <v>#NAME?</v>
      </c>
      <c r="B768" s="100" t="e">
        <f ca="1">IFERROR(__xludf.DUMMYFUNCTION("""COMPUTED_VALUE"""),"renusdt")</f>
        <v>#NAME?</v>
      </c>
      <c r="C768" s="100" t="e">
        <f ca="1">IFERROR(__xludf.DUMMYFUNCTION("""COMPUTED_VALUE"""),"0.052517")</f>
        <v>#NAME?</v>
      </c>
      <c r="D768" s="100" t="e">
        <f t="shared" ref="D768:D808" ca="1" si="118">IFERROR(__xludf.DUMMYFUNCTION("""COMPUTED_VALUE"""),"-")</f>
        <v>#NAME?</v>
      </c>
      <c r="E768" s="100" t="e">
        <f t="shared" ca="1" si="109"/>
        <v>#NAME?</v>
      </c>
      <c r="F768" s="100" t="e">
        <f ca="1">IFERROR(__xludf.DUMMYFUNCTION("""COMPUTED_VALUE"""),20053)</f>
        <v>#NAME?</v>
      </c>
      <c r="G768" s="100" t="e">
        <f t="shared" ref="G768:G775" ca="1" si="119">IFERROR(__xludf.DUMMYFUNCTION("""COMPUTED_VALUE"""),2864)</f>
        <v>#NAME?</v>
      </c>
      <c r="H768" s="100" t="e">
        <f t="shared" ref="H768:H779" ca="1" si="120">IFERROR(__xludf.DUMMYFUNCTION("""COMPUTED_VALUE"""),658)</f>
        <v>#NAME?</v>
      </c>
      <c r="I768" s="100" t="e">
        <f ca="1">IFERROR(__xludf.DUMMYFUNCTION("""COMPUTED_VALUE"""),5775347)</f>
        <v>#NAME?</v>
      </c>
      <c r="J768" s="100" t="e">
        <f ca="1">IFERROR(__xludf.DUMMYFUNCTION("""COMPUTED_VALUE"""),"-0.93")</f>
        <v>#NAME?</v>
      </c>
      <c r="K768" s="100" t="e">
        <f ca="1">IFERROR(__xludf.DUMMYFUNCTION("""COMPUTED_VALUE"""),"26.11.2024 09:55:02")</f>
        <v>#NAME?</v>
      </c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 spans="1:26">
      <c r="A769" s="100" t="e">
        <f ca="1">IFERROR(__xludf.DUMMYFUNCTION("""COMPUTED_VALUE"""),49044497)</f>
        <v>#NAME?</v>
      </c>
      <c r="B769" s="100" t="e">
        <f ca="1">IFERROR(__xludf.DUMMYFUNCTION("""COMPUTED_VALUE"""),"fofarusdt")</f>
        <v>#NAME?</v>
      </c>
      <c r="C769" s="100" t="e">
        <f ca="1">IFERROR(__xludf.DUMMYFUNCTION("""COMPUTED_VALUE"""),"0.00162")</f>
        <v>#NAME?</v>
      </c>
      <c r="D769" s="100" t="e">
        <f t="shared" ca="1" si="118"/>
        <v>#NAME?</v>
      </c>
      <c r="E769" s="100" t="e">
        <f t="shared" ca="1" si="109"/>
        <v>#NAME?</v>
      </c>
      <c r="F769" s="100" t="e">
        <f ca="1">IFERROR(__xludf.DUMMYFUNCTION("""COMPUTED_VALUE"""),20053)</f>
        <v>#NAME?</v>
      </c>
      <c r="G769" s="100" t="e">
        <f t="shared" ca="1" si="119"/>
        <v>#NAME?</v>
      </c>
      <c r="H769" s="100" t="e">
        <f t="shared" ca="1" si="120"/>
        <v>#NAME?</v>
      </c>
      <c r="I769" s="100" t="e">
        <f ca="1">IFERROR(__xludf.DUMMYFUNCTION("""COMPUTED_VALUE"""),5775347)</f>
        <v>#NAME?</v>
      </c>
      <c r="J769" s="100" t="e">
        <f ca="1">IFERROR(__xludf.DUMMYFUNCTION("""COMPUTED_VALUE"""),"4.52")</f>
        <v>#NAME?</v>
      </c>
      <c r="K769" s="100" t="e">
        <f ca="1">IFERROR(__xludf.DUMMYFUNCTION("""COMPUTED_VALUE"""),"26.11.2024 09:55:02")</f>
        <v>#NAME?</v>
      </c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 spans="1:26">
      <c r="A770" s="100" t="e">
        <f ca="1">IFERROR(__xludf.DUMMYFUNCTION("""COMPUTED_VALUE"""),49044498)</f>
        <v>#NAME?</v>
      </c>
      <c r="B770" s="100" t="e">
        <f ca="1">IFERROR(__xludf.DUMMYFUNCTION("""COMPUTED_VALUE"""),"coreusdt")</f>
        <v>#NAME?</v>
      </c>
      <c r="C770" s="100" t="e">
        <f ca="1">IFERROR(__xludf.DUMMYFUNCTION("""COMPUTED_VALUE"""),"1.068421")</f>
        <v>#NAME?</v>
      </c>
      <c r="D770" s="100" t="e">
        <f t="shared" ca="1" si="118"/>
        <v>#NAME?</v>
      </c>
      <c r="E770" s="100" t="e">
        <f t="shared" ca="1" si="109"/>
        <v>#NAME?</v>
      </c>
      <c r="F770" s="100" t="e">
        <f ca="1">IFERROR(__xludf.DUMMYFUNCTION("""COMPUTED_VALUE"""),20053)</f>
        <v>#NAME?</v>
      </c>
      <c r="G770" s="100" t="e">
        <f t="shared" ca="1" si="119"/>
        <v>#NAME?</v>
      </c>
      <c r="H770" s="100" t="e">
        <f t="shared" ca="1" si="120"/>
        <v>#NAME?</v>
      </c>
      <c r="I770" s="100" t="e">
        <f ca="1">IFERROR(__xludf.DUMMYFUNCTION("""COMPUTED_VALUE"""),5775347)</f>
        <v>#NAME?</v>
      </c>
      <c r="J770" s="100" t="e">
        <f ca="1">IFERROR(__xludf.DUMMYFUNCTION("""COMPUTED_VALUE"""),"0.22")</f>
        <v>#NAME?</v>
      </c>
      <c r="K770" s="100" t="e">
        <f ca="1">IFERROR(__xludf.DUMMYFUNCTION("""COMPUTED_VALUE"""),"26.11.2024 09:55:02")</f>
        <v>#NAME?</v>
      </c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 spans="1:26">
      <c r="A771" s="100" t="e">
        <f ca="1">IFERROR(__xludf.DUMMYFUNCTION("""COMPUTED_VALUE"""),49044499)</f>
        <v>#NAME?</v>
      </c>
      <c r="B771" s="100" t="e">
        <f ca="1">IFERROR(__xludf.DUMMYFUNCTION("""COMPUTED_VALUE"""),"zklusdt")</f>
        <v>#NAME?</v>
      </c>
      <c r="C771" s="100" t="e">
        <f ca="1">IFERROR(__xludf.DUMMYFUNCTION("""COMPUTED_VALUE"""),"0.11354")</f>
        <v>#NAME?</v>
      </c>
      <c r="D771" s="100" t="e">
        <f t="shared" ca="1" si="118"/>
        <v>#NAME?</v>
      </c>
      <c r="E771" s="100" t="e">
        <f t="shared" ref="E771:E802" ca="1" si="121">IFERROR(__xludf.DUMMYFUNCTION("""COMPUTED_VALUE"""),"-")</f>
        <v>#NAME?</v>
      </c>
      <c r="F771" s="100" t="e">
        <f ca="1">IFERROR(__xludf.DUMMYFUNCTION("""COMPUTED_VALUE"""),20053)</f>
        <v>#NAME?</v>
      </c>
      <c r="G771" s="100" t="e">
        <f t="shared" ca="1" si="119"/>
        <v>#NAME?</v>
      </c>
      <c r="H771" s="100" t="e">
        <f t="shared" ca="1" si="120"/>
        <v>#NAME?</v>
      </c>
      <c r="I771" s="100" t="e">
        <f ca="1">IFERROR(__xludf.DUMMYFUNCTION("""COMPUTED_VALUE"""),5775347)</f>
        <v>#NAME?</v>
      </c>
      <c r="J771" s="100" t="e">
        <f ca="1">IFERROR(__xludf.DUMMYFUNCTION("""COMPUTED_VALUE"""),"5.11")</f>
        <v>#NAME?</v>
      </c>
      <c r="K771" s="100" t="e">
        <f ca="1">IFERROR(__xludf.DUMMYFUNCTION("""COMPUTED_VALUE"""),"26.11.2024 09:55:02")</f>
        <v>#NAME?</v>
      </c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 spans="1:26">
      <c r="A772" s="100" t="e">
        <f ca="1">IFERROR(__xludf.DUMMYFUNCTION("""COMPUTED_VALUE"""),47937830)</f>
        <v>#NAME?</v>
      </c>
      <c r="B772" s="100" t="e">
        <f ca="1">IFERROR(__xludf.DUMMYFUNCTION("""COMPUTED_VALUE"""),"renusdt")</f>
        <v>#NAME?</v>
      </c>
      <c r="C772" s="100" t="e">
        <f ca="1">IFERROR(__xludf.DUMMYFUNCTION("""COMPUTED_VALUE"""),"0.038786")</f>
        <v>#NAME?</v>
      </c>
      <c r="D772" s="100" t="e">
        <f t="shared" ca="1" si="118"/>
        <v>#NAME?</v>
      </c>
      <c r="E772" s="100" t="e">
        <f t="shared" ca="1" si="121"/>
        <v>#NAME?</v>
      </c>
      <c r="F772" s="100" t="e">
        <f ca="1">IFERROR(__xludf.DUMMYFUNCTION("""COMPUTED_VALUE"""),20048)</f>
        <v>#NAME?</v>
      </c>
      <c r="G772" s="100" t="e">
        <f t="shared" ca="1" si="119"/>
        <v>#NAME?</v>
      </c>
      <c r="H772" s="100" t="e">
        <f t="shared" ca="1" si="120"/>
        <v>#NAME?</v>
      </c>
      <c r="I772" s="100" t="e">
        <f ca="1">IFERROR(__xludf.DUMMYFUNCTION("""COMPUTED_VALUE"""),5773907)</f>
        <v>#NAME?</v>
      </c>
      <c r="J772" s="100" t="e">
        <f ca="1">IFERROR(__xludf.DUMMYFUNCTION("""COMPUTED_VALUE"""),"-3.52")</f>
        <v>#NAME?</v>
      </c>
      <c r="K772" s="100" t="e">
        <f ca="1">IFERROR(__xludf.DUMMYFUNCTION("""COMPUTED_VALUE"""),"21.11.2024 09:55:01")</f>
        <v>#NAME?</v>
      </c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 spans="1:26">
      <c r="A773" s="100" t="e">
        <f ca="1">IFERROR(__xludf.DUMMYFUNCTION("""COMPUTED_VALUE"""),47937831)</f>
        <v>#NAME?</v>
      </c>
      <c r="B773" s="100" t="e">
        <f ca="1">IFERROR(__xludf.DUMMYFUNCTION("""COMPUTED_VALUE"""),"fofarusdt")</f>
        <v>#NAME?</v>
      </c>
      <c r="C773" s="100" t="e">
        <f ca="1">IFERROR(__xludf.DUMMYFUNCTION("""COMPUTED_VALUE"""),"0.00179")</f>
        <v>#NAME?</v>
      </c>
      <c r="D773" s="100" t="e">
        <f t="shared" ca="1" si="118"/>
        <v>#NAME?</v>
      </c>
      <c r="E773" s="100" t="e">
        <f t="shared" ca="1" si="121"/>
        <v>#NAME?</v>
      </c>
      <c r="F773" s="100" t="e">
        <f ca="1">IFERROR(__xludf.DUMMYFUNCTION("""COMPUTED_VALUE"""),20048)</f>
        <v>#NAME?</v>
      </c>
      <c r="G773" s="100" t="e">
        <f t="shared" ca="1" si="119"/>
        <v>#NAME?</v>
      </c>
      <c r="H773" s="100" t="e">
        <f t="shared" ca="1" si="120"/>
        <v>#NAME?</v>
      </c>
      <c r="I773" s="100" t="e">
        <f ca="1">IFERROR(__xludf.DUMMYFUNCTION("""COMPUTED_VALUE"""),5773907)</f>
        <v>#NAME?</v>
      </c>
      <c r="J773" s="100" t="e">
        <f ca="1">IFERROR(__xludf.DUMMYFUNCTION("""COMPUTED_VALUE"""),"-23.18")</f>
        <v>#NAME?</v>
      </c>
      <c r="K773" s="100" t="e">
        <f ca="1">IFERROR(__xludf.DUMMYFUNCTION("""COMPUTED_VALUE"""),"21.11.2024 09:55:01")</f>
        <v>#NAME?</v>
      </c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 spans="1:26">
      <c r="A774" s="100" t="e">
        <f ca="1">IFERROR(__xludf.DUMMYFUNCTION("""COMPUTED_VALUE"""),47937832)</f>
        <v>#NAME?</v>
      </c>
      <c r="B774" s="100" t="e">
        <f ca="1">IFERROR(__xludf.DUMMYFUNCTION("""COMPUTED_VALUE"""),"coreusdt")</f>
        <v>#NAME?</v>
      </c>
      <c r="C774" s="100" t="e">
        <f ca="1">IFERROR(__xludf.DUMMYFUNCTION("""COMPUTED_VALUE"""),"0.924179")</f>
        <v>#NAME?</v>
      </c>
      <c r="D774" s="100" t="e">
        <f t="shared" ca="1" si="118"/>
        <v>#NAME?</v>
      </c>
      <c r="E774" s="100" t="e">
        <f t="shared" ca="1" si="121"/>
        <v>#NAME?</v>
      </c>
      <c r="F774" s="100" t="e">
        <f ca="1">IFERROR(__xludf.DUMMYFUNCTION("""COMPUTED_VALUE"""),20048)</f>
        <v>#NAME?</v>
      </c>
      <c r="G774" s="100" t="e">
        <f t="shared" ca="1" si="119"/>
        <v>#NAME?</v>
      </c>
      <c r="H774" s="100" t="e">
        <f t="shared" ca="1" si="120"/>
        <v>#NAME?</v>
      </c>
      <c r="I774" s="100" t="e">
        <f ca="1">IFERROR(__xludf.DUMMYFUNCTION("""COMPUTED_VALUE"""),5773907)</f>
        <v>#NAME?</v>
      </c>
      <c r="J774" s="100" t="e">
        <f ca="1">IFERROR(__xludf.DUMMYFUNCTION("""COMPUTED_VALUE"""),"-4.67")</f>
        <v>#NAME?</v>
      </c>
      <c r="K774" s="100" t="e">
        <f ca="1">IFERROR(__xludf.DUMMYFUNCTION("""COMPUTED_VALUE"""),"21.11.2024 09:55:01")</f>
        <v>#NAME?</v>
      </c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 spans="1:26">
      <c r="A775" s="100" t="e">
        <f ca="1">IFERROR(__xludf.DUMMYFUNCTION("""COMPUTED_VALUE"""),47937833)</f>
        <v>#NAME?</v>
      </c>
      <c r="B775" s="100" t="e">
        <f ca="1">IFERROR(__xludf.DUMMYFUNCTION("""COMPUTED_VALUE"""),"zklusdt")</f>
        <v>#NAME?</v>
      </c>
      <c r="C775" s="100" t="e">
        <f ca="1">IFERROR(__xludf.DUMMYFUNCTION("""COMPUTED_VALUE"""),"0.10138")</f>
        <v>#NAME?</v>
      </c>
      <c r="D775" s="100" t="e">
        <f t="shared" ca="1" si="118"/>
        <v>#NAME?</v>
      </c>
      <c r="E775" s="100" t="e">
        <f t="shared" ca="1" si="121"/>
        <v>#NAME?</v>
      </c>
      <c r="F775" s="100" t="e">
        <f ca="1">IFERROR(__xludf.DUMMYFUNCTION("""COMPUTED_VALUE"""),20048)</f>
        <v>#NAME?</v>
      </c>
      <c r="G775" s="100" t="e">
        <f t="shared" ca="1" si="119"/>
        <v>#NAME?</v>
      </c>
      <c r="H775" s="100" t="e">
        <f t="shared" ca="1" si="120"/>
        <v>#NAME?</v>
      </c>
      <c r="I775" s="100" t="e">
        <f ca="1">IFERROR(__xludf.DUMMYFUNCTION("""COMPUTED_VALUE"""),5773907)</f>
        <v>#NAME?</v>
      </c>
      <c r="J775" s="100" t="e">
        <f ca="1">IFERROR(__xludf.DUMMYFUNCTION("""COMPUTED_VALUE"""),"-7.96")</f>
        <v>#NAME?</v>
      </c>
      <c r="K775" s="100" t="e">
        <f ca="1">IFERROR(__xludf.DUMMYFUNCTION("""COMPUTED_VALUE"""),"21.11.2024 09:55:01")</f>
        <v>#NAME?</v>
      </c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 spans="1:26">
      <c r="A776" s="100" t="e">
        <f ca="1">IFERROR(__xludf.DUMMYFUNCTION("""COMPUTED_VALUE"""),45940502)</f>
        <v>#NAME?</v>
      </c>
      <c r="B776" s="100" t="e">
        <f ca="1">IFERROR(__xludf.DUMMYFUNCTION("""COMPUTED_VALUE"""),"fofarusdt")</f>
        <v>#NAME?</v>
      </c>
      <c r="C776" s="100" t="e">
        <f ca="1">IFERROR(__xludf.DUMMYFUNCTION("""COMPUTED_VALUE"""),"0.00303")</f>
        <v>#NAME?</v>
      </c>
      <c r="D776" s="100" t="e">
        <f t="shared" ca="1" si="118"/>
        <v>#NAME?</v>
      </c>
      <c r="E776" s="100" t="e">
        <f t="shared" ca="1" si="121"/>
        <v>#NAME?</v>
      </c>
      <c r="F776" s="100" t="e">
        <f ca="1">IFERROR(__xludf.DUMMYFUNCTION("""COMPUTED_VALUE"""),20039)</f>
        <v>#NAME?</v>
      </c>
      <c r="G776" s="100" t="e">
        <f ca="1">IFERROR(__xludf.DUMMYFUNCTION("""COMPUTED_VALUE"""),2862)</f>
        <v>#NAME?</v>
      </c>
      <c r="H776" s="100" t="e">
        <f t="shared" ca="1" si="120"/>
        <v>#NAME?</v>
      </c>
      <c r="I776" s="100" t="e">
        <f ca="1">IFERROR(__xludf.DUMMYFUNCTION("""COMPUTED_VALUE"""),5771315)</f>
        <v>#NAME?</v>
      </c>
      <c r="J776" s="100" t="e">
        <f ca="1">IFERROR(__xludf.DUMMYFUNCTION("""COMPUTED_VALUE"""),"89.38")</f>
        <v>#NAME?</v>
      </c>
      <c r="K776" s="100" t="e">
        <f ca="1">IFERROR(__xludf.DUMMYFUNCTION("""COMPUTED_VALUE"""),"12.11.2024 09:55:01")</f>
        <v>#NAME?</v>
      </c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 spans="1:26">
      <c r="A777" s="100" t="e">
        <f ca="1">IFERROR(__xludf.DUMMYFUNCTION("""COMPUTED_VALUE"""),45940503)</f>
        <v>#NAME?</v>
      </c>
      <c r="B777" s="100" t="e">
        <f ca="1">IFERROR(__xludf.DUMMYFUNCTION("""COMPUTED_VALUE"""),"coreusdt")</f>
        <v>#NAME?</v>
      </c>
      <c r="C777" s="100" t="e">
        <f ca="1">IFERROR(__xludf.DUMMYFUNCTION("""COMPUTED_VALUE"""),"1.082852")</f>
        <v>#NAME?</v>
      </c>
      <c r="D777" s="100" t="e">
        <f t="shared" ca="1" si="118"/>
        <v>#NAME?</v>
      </c>
      <c r="E777" s="100" t="e">
        <f t="shared" ca="1" si="121"/>
        <v>#NAME?</v>
      </c>
      <c r="F777" s="100" t="e">
        <f ca="1">IFERROR(__xludf.DUMMYFUNCTION("""COMPUTED_VALUE"""),20039)</f>
        <v>#NAME?</v>
      </c>
      <c r="G777" s="100" t="e">
        <f ca="1">IFERROR(__xludf.DUMMYFUNCTION("""COMPUTED_VALUE"""),2862)</f>
        <v>#NAME?</v>
      </c>
      <c r="H777" s="100" t="e">
        <f t="shared" ca="1" si="120"/>
        <v>#NAME?</v>
      </c>
      <c r="I777" s="100" t="e">
        <f ca="1">IFERROR(__xludf.DUMMYFUNCTION("""COMPUTED_VALUE"""),5771315)</f>
        <v>#NAME?</v>
      </c>
      <c r="J777" s="100" t="e">
        <f ca="1">IFERROR(__xludf.DUMMYFUNCTION("""COMPUTED_VALUE"""),"7.99")</f>
        <v>#NAME?</v>
      </c>
      <c r="K777" s="100" t="e">
        <f ca="1">IFERROR(__xludf.DUMMYFUNCTION("""COMPUTED_VALUE"""),"12.11.2024 09:55:01")</f>
        <v>#NAME?</v>
      </c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 spans="1:26">
      <c r="A778" s="100" t="e">
        <f ca="1">IFERROR(__xludf.DUMMYFUNCTION("""COMPUTED_VALUE"""),45940504)</f>
        <v>#NAME?</v>
      </c>
      <c r="B778" s="100" t="e">
        <f ca="1">IFERROR(__xludf.DUMMYFUNCTION("""COMPUTED_VALUE"""),"zklusdt")</f>
        <v>#NAME?</v>
      </c>
      <c r="C778" s="100" t="e">
        <f ca="1">IFERROR(__xludf.DUMMYFUNCTION("""COMPUTED_VALUE"""),"0.13166")</f>
        <v>#NAME?</v>
      </c>
      <c r="D778" s="100" t="e">
        <f t="shared" ca="1" si="118"/>
        <v>#NAME?</v>
      </c>
      <c r="E778" s="100" t="e">
        <f t="shared" ca="1" si="121"/>
        <v>#NAME?</v>
      </c>
      <c r="F778" s="100" t="e">
        <f ca="1">IFERROR(__xludf.DUMMYFUNCTION("""COMPUTED_VALUE"""),20039)</f>
        <v>#NAME?</v>
      </c>
      <c r="G778" s="100" t="e">
        <f ca="1">IFERROR(__xludf.DUMMYFUNCTION("""COMPUTED_VALUE"""),2862)</f>
        <v>#NAME?</v>
      </c>
      <c r="H778" s="100" t="e">
        <f t="shared" ca="1" si="120"/>
        <v>#NAME?</v>
      </c>
      <c r="I778" s="100" t="e">
        <f ca="1">IFERROR(__xludf.DUMMYFUNCTION("""COMPUTED_VALUE"""),5771315)</f>
        <v>#NAME?</v>
      </c>
      <c r="J778" s="100" t="e">
        <f ca="1">IFERROR(__xludf.DUMMYFUNCTION("""COMPUTED_VALUE"""),"12.23")</f>
        <v>#NAME?</v>
      </c>
      <c r="K778" s="100" t="e">
        <f ca="1">IFERROR(__xludf.DUMMYFUNCTION("""COMPUTED_VALUE"""),"12.11.2024 09:55:01")</f>
        <v>#NAME?</v>
      </c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 spans="1:26">
      <c r="A779" s="100" t="e">
        <f ca="1">IFERROR(__xludf.DUMMYFUNCTION("""COMPUTED_VALUE"""),45727606)</f>
        <v>#NAME?</v>
      </c>
      <c r="B779" s="100" t="e">
        <f ca="1">IFERROR(__xludf.DUMMYFUNCTION("""COMPUTED_VALUE"""),"zklusdt")</f>
        <v>#NAME?</v>
      </c>
      <c r="C779" s="100" t="e">
        <f ca="1">IFERROR(__xludf.DUMMYFUNCTION("""COMPUTED_VALUE"""),"0.11813")</f>
        <v>#NAME?</v>
      </c>
      <c r="D779" s="100" t="e">
        <f t="shared" ca="1" si="118"/>
        <v>#NAME?</v>
      </c>
      <c r="E779" s="100" t="e">
        <f t="shared" ca="1" si="121"/>
        <v>#NAME?</v>
      </c>
      <c r="F779" s="100" t="e">
        <f ca="1">IFERROR(__xludf.DUMMYFUNCTION("""COMPUTED_VALUE"""),20038)</f>
        <v>#NAME?</v>
      </c>
      <c r="G779" s="100" t="e">
        <f ca="1">IFERROR(__xludf.DUMMYFUNCTION("""COMPUTED_VALUE"""),2862)</f>
        <v>#NAME?</v>
      </c>
      <c r="H779" s="100" t="e">
        <f t="shared" ca="1" si="120"/>
        <v>#NAME?</v>
      </c>
      <c r="I779" s="100" t="e">
        <f ca="1">IFERROR(__xludf.DUMMYFUNCTION("""COMPUTED_VALUE"""),5771039)</f>
        <v>#NAME?</v>
      </c>
      <c r="J779" s="100" t="e">
        <f ca="1">IFERROR(__xludf.DUMMYFUNCTION("""COMPUTED_VALUE"""),"-")</f>
        <v>#NAME?</v>
      </c>
      <c r="K779" s="100" t="e">
        <f ca="1">IFERROR(__xludf.DUMMYFUNCTION("""COMPUTED_VALUE"""),"11.11.2024 10:55:01")</f>
        <v>#NAME?</v>
      </c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 spans="1:26">
      <c r="A780" s="100" t="e">
        <f ca="1">IFERROR(__xludf.DUMMYFUNCTION("""COMPUTED_VALUE"""),42550850)</f>
        <v>#NAME?</v>
      </c>
      <c r="B780" s="100" t="e">
        <f ca="1">IFERROR(__xludf.DUMMYFUNCTION("""COMPUTED_VALUE"""),"wusdt")</f>
        <v>#NAME?</v>
      </c>
      <c r="C780" s="100" t="e">
        <f ca="1">IFERROR(__xludf.DUMMYFUNCTION("""COMPUTED_VALUE"""),"0.2373")</f>
        <v>#NAME?</v>
      </c>
      <c r="D780" s="100" t="e">
        <f t="shared" ca="1" si="118"/>
        <v>#NAME?</v>
      </c>
      <c r="E780" s="100" t="e">
        <f t="shared" ca="1" si="121"/>
        <v>#NAME?</v>
      </c>
      <c r="F780" s="100" t="e">
        <f ca="1">IFERROR(__xludf.DUMMYFUNCTION("""COMPUTED_VALUE"""),20024)</f>
        <v>#NAME?</v>
      </c>
      <c r="G780" s="100" t="e">
        <f ca="1">IFERROR(__xludf.DUMMYFUNCTION("""COMPUTED_VALUE"""),2860)</f>
        <v>#NAME?</v>
      </c>
      <c r="H780" s="100" t="e">
        <f t="shared" ref="H780:H785" ca="1" si="122">IFERROR(__xludf.DUMMYFUNCTION("""COMPUTED_VALUE"""),657)</f>
        <v>#NAME?</v>
      </c>
      <c r="I780" s="100" t="e">
        <f ca="1">IFERROR(__xludf.DUMMYFUNCTION("""COMPUTED_VALUE"""),5766935)</f>
        <v>#NAME?</v>
      </c>
      <c r="J780" s="100" t="e">
        <f ca="1">IFERROR(__xludf.DUMMYFUNCTION("""COMPUTED_VALUE"""),"-2.14")</f>
        <v>#NAME?</v>
      </c>
      <c r="K780" s="100" t="e">
        <f ca="1">IFERROR(__xludf.DUMMYFUNCTION("""COMPUTED_VALUE"""),"28.10.2024 04:55:01")</f>
        <v>#NAME?</v>
      </c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 spans="1:26">
      <c r="A781" s="100" t="e">
        <f ca="1">IFERROR(__xludf.DUMMYFUNCTION("""COMPUTED_VALUE"""),41033010)</f>
        <v>#NAME?</v>
      </c>
      <c r="B781" s="100" t="e">
        <f ca="1">IFERROR(__xludf.DUMMYFUNCTION("""COMPUTED_VALUE"""),"dechatusdt")</f>
        <v>#NAME?</v>
      </c>
      <c r="C781" s="100" t="e">
        <f ca="1">IFERROR(__xludf.DUMMYFUNCTION("""COMPUTED_VALUE"""),"0.1726")</f>
        <v>#NAME?</v>
      </c>
      <c r="D781" s="100" t="e">
        <f t="shared" ca="1" si="118"/>
        <v>#NAME?</v>
      </c>
      <c r="E781" s="100" t="e">
        <f t="shared" ca="1" si="121"/>
        <v>#NAME?</v>
      </c>
      <c r="F781" s="100" t="e">
        <f ca="1">IFERROR(__xludf.DUMMYFUNCTION("""COMPUTED_VALUE"""),20017)</f>
        <v>#NAME?</v>
      </c>
      <c r="G781" s="100" t="e">
        <f ca="1">IFERROR(__xludf.DUMMYFUNCTION("""COMPUTED_VALUE"""),2859)</f>
        <v>#NAME?</v>
      </c>
      <c r="H781" s="100" t="e">
        <f t="shared" ca="1" si="122"/>
        <v>#NAME?</v>
      </c>
      <c r="I781" s="100" t="e">
        <f ca="1">IFERROR(__xludf.DUMMYFUNCTION("""COMPUTED_VALUE"""),5764979)</f>
        <v>#NAME?</v>
      </c>
      <c r="J781" s="100" t="e">
        <f ca="1">IFERROR(__xludf.DUMMYFUNCTION("""COMPUTED_VALUE"""),"-0.86")</f>
        <v>#NAME?</v>
      </c>
      <c r="K781" s="100" t="e">
        <f ca="1">IFERROR(__xludf.DUMMYFUNCTION("""COMPUTED_VALUE"""),"21.10.2024 09:55:01")</f>
        <v>#NAME?</v>
      </c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 spans="1:26">
      <c r="A782" s="100" t="e">
        <f ca="1">IFERROR(__xludf.DUMMYFUNCTION("""COMPUTED_VALUE"""),41033011)</f>
        <v>#NAME?</v>
      </c>
      <c r="B782" s="100" t="e">
        <f ca="1">IFERROR(__xludf.DUMMYFUNCTION("""COMPUTED_VALUE"""),"renusdt")</f>
        <v>#NAME?</v>
      </c>
      <c r="C782" s="100" t="e">
        <f ca="1">IFERROR(__xludf.DUMMYFUNCTION("""COMPUTED_VALUE"""),"0.039579")</f>
        <v>#NAME?</v>
      </c>
      <c r="D782" s="100" t="e">
        <f t="shared" ca="1" si="118"/>
        <v>#NAME?</v>
      </c>
      <c r="E782" s="100" t="e">
        <f t="shared" ca="1" si="121"/>
        <v>#NAME?</v>
      </c>
      <c r="F782" s="100" t="e">
        <f ca="1">IFERROR(__xludf.DUMMYFUNCTION("""COMPUTED_VALUE"""),20017)</f>
        <v>#NAME?</v>
      </c>
      <c r="G782" s="100" t="e">
        <f ca="1">IFERROR(__xludf.DUMMYFUNCTION("""COMPUTED_VALUE"""),2859)</f>
        <v>#NAME?</v>
      </c>
      <c r="H782" s="100" t="e">
        <f t="shared" ca="1" si="122"/>
        <v>#NAME?</v>
      </c>
      <c r="I782" s="100" t="e">
        <f ca="1">IFERROR(__xludf.DUMMYFUNCTION("""COMPUTED_VALUE"""),5764979)</f>
        <v>#NAME?</v>
      </c>
      <c r="J782" s="100" t="e">
        <f ca="1">IFERROR(__xludf.DUMMYFUNCTION("""COMPUTED_VALUE"""),"3.98")</f>
        <v>#NAME?</v>
      </c>
      <c r="K782" s="100" t="e">
        <f ca="1">IFERROR(__xludf.DUMMYFUNCTION("""COMPUTED_VALUE"""),"21.10.2024 09:55:01")</f>
        <v>#NAME?</v>
      </c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 spans="1:26">
      <c r="A783" s="100" t="e">
        <f ca="1">IFERROR(__xludf.DUMMYFUNCTION("""COMPUTED_VALUE"""),41033012)</f>
        <v>#NAME?</v>
      </c>
      <c r="B783" s="100" t="e">
        <f ca="1">IFERROR(__xludf.DUMMYFUNCTION("""COMPUTED_VALUE"""),"fofarusdt")</f>
        <v>#NAME?</v>
      </c>
      <c r="C783" s="100" t="e">
        <f ca="1">IFERROR(__xludf.DUMMYFUNCTION("""COMPUTED_VALUE"""),"0.00221")</f>
        <v>#NAME?</v>
      </c>
      <c r="D783" s="100" t="e">
        <f t="shared" ca="1" si="118"/>
        <v>#NAME?</v>
      </c>
      <c r="E783" s="100" t="e">
        <f t="shared" ca="1" si="121"/>
        <v>#NAME?</v>
      </c>
      <c r="F783" s="100" t="e">
        <f ca="1">IFERROR(__xludf.DUMMYFUNCTION("""COMPUTED_VALUE"""),20017)</f>
        <v>#NAME?</v>
      </c>
      <c r="G783" s="100" t="e">
        <f ca="1">IFERROR(__xludf.DUMMYFUNCTION("""COMPUTED_VALUE"""),2859)</f>
        <v>#NAME?</v>
      </c>
      <c r="H783" s="100" t="e">
        <f t="shared" ca="1" si="122"/>
        <v>#NAME?</v>
      </c>
      <c r="I783" s="100" t="e">
        <f ca="1">IFERROR(__xludf.DUMMYFUNCTION("""COMPUTED_VALUE"""),5764979)</f>
        <v>#NAME?</v>
      </c>
      <c r="J783" s="100" t="e">
        <f ca="1">IFERROR(__xludf.DUMMYFUNCTION("""COMPUTED_VALUE"""),"-18.15")</f>
        <v>#NAME?</v>
      </c>
      <c r="K783" s="100" t="e">
        <f ca="1">IFERROR(__xludf.DUMMYFUNCTION("""COMPUTED_VALUE"""),"21.10.2024 09:55:01")</f>
        <v>#NAME?</v>
      </c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 spans="1:26">
      <c r="A784" s="100" t="e">
        <f ca="1">IFERROR(__xludf.DUMMYFUNCTION("""COMPUTED_VALUE"""),41033013)</f>
        <v>#NAME?</v>
      </c>
      <c r="B784" s="100" t="e">
        <f ca="1">IFERROR(__xludf.DUMMYFUNCTION("""COMPUTED_VALUE"""),"coreusdt")</f>
        <v>#NAME?</v>
      </c>
      <c r="C784" s="100" t="e">
        <f ca="1">IFERROR(__xludf.DUMMYFUNCTION("""COMPUTED_VALUE"""),"0.99203")</f>
        <v>#NAME?</v>
      </c>
      <c r="D784" s="100" t="e">
        <f t="shared" ca="1" si="118"/>
        <v>#NAME?</v>
      </c>
      <c r="E784" s="100" t="e">
        <f t="shared" ca="1" si="121"/>
        <v>#NAME?</v>
      </c>
      <c r="F784" s="100" t="e">
        <f ca="1">IFERROR(__xludf.DUMMYFUNCTION("""COMPUTED_VALUE"""),20017)</f>
        <v>#NAME?</v>
      </c>
      <c r="G784" s="100" t="e">
        <f ca="1">IFERROR(__xludf.DUMMYFUNCTION("""COMPUTED_VALUE"""),2859)</f>
        <v>#NAME?</v>
      </c>
      <c r="H784" s="100" t="e">
        <f t="shared" ca="1" si="122"/>
        <v>#NAME?</v>
      </c>
      <c r="I784" s="100" t="e">
        <f ca="1">IFERROR(__xludf.DUMMYFUNCTION("""COMPUTED_VALUE"""),5764979)</f>
        <v>#NAME?</v>
      </c>
      <c r="J784" s="100" t="e">
        <f ca="1">IFERROR(__xludf.DUMMYFUNCTION("""COMPUTED_VALUE"""),"4.86")</f>
        <v>#NAME?</v>
      </c>
      <c r="K784" s="100" t="e">
        <f ca="1">IFERROR(__xludf.DUMMYFUNCTION("""COMPUTED_VALUE"""),"21.10.2024 09:55:01")</f>
        <v>#NAME?</v>
      </c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 spans="1:26">
      <c r="A785" s="100" t="e">
        <f ca="1">IFERROR(__xludf.DUMMYFUNCTION("""COMPUTED_VALUE"""),41033014)</f>
        <v>#NAME?</v>
      </c>
      <c r="B785" s="100" t="e">
        <f ca="1">IFERROR(__xludf.DUMMYFUNCTION("""COMPUTED_VALUE"""),"zklusdt")</f>
        <v>#NAME?</v>
      </c>
      <c r="C785" s="100" t="e">
        <f ca="1">IFERROR(__xludf.DUMMYFUNCTION("""COMPUTED_VALUE"""),"0.13761")</f>
        <v>#NAME?</v>
      </c>
      <c r="D785" s="100" t="e">
        <f t="shared" ca="1" si="118"/>
        <v>#NAME?</v>
      </c>
      <c r="E785" s="100" t="e">
        <f t="shared" ca="1" si="121"/>
        <v>#NAME?</v>
      </c>
      <c r="F785" s="100" t="e">
        <f ca="1">IFERROR(__xludf.DUMMYFUNCTION("""COMPUTED_VALUE"""),20017)</f>
        <v>#NAME?</v>
      </c>
      <c r="G785" s="100" t="e">
        <f ca="1">IFERROR(__xludf.DUMMYFUNCTION("""COMPUTED_VALUE"""),2859)</f>
        <v>#NAME?</v>
      </c>
      <c r="H785" s="100" t="e">
        <f t="shared" ca="1" si="122"/>
        <v>#NAME?</v>
      </c>
      <c r="I785" s="100" t="e">
        <f ca="1">IFERROR(__xludf.DUMMYFUNCTION("""COMPUTED_VALUE"""),5764979)</f>
        <v>#NAME?</v>
      </c>
      <c r="J785" s="100" t="e">
        <f ca="1">IFERROR(__xludf.DUMMYFUNCTION("""COMPUTED_VALUE"""),"-5.45")</f>
        <v>#NAME?</v>
      </c>
      <c r="K785" s="100" t="e">
        <f ca="1">IFERROR(__xludf.DUMMYFUNCTION("""COMPUTED_VALUE"""),"21.10.2024 09:55:01")</f>
        <v>#NAME?</v>
      </c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 spans="1:26">
      <c r="A786" s="100" t="e">
        <f ca="1">IFERROR(__xludf.DUMMYFUNCTION("""COMPUTED_VALUE"""),31654482)</f>
        <v>#NAME?</v>
      </c>
      <c r="B786" s="100" t="e">
        <f ca="1">IFERROR(__xludf.DUMMYFUNCTION("""COMPUTED_VALUE"""),"renusdt")</f>
        <v>#NAME?</v>
      </c>
      <c r="C786" s="100" t="e">
        <f ca="1">IFERROR(__xludf.DUMMYFUNCTION("""COMPUTED_VALUE"""),"0.037247")</f>
        <v>#NAME?</v>
      </c>
      <c r="D786" s="100" t="e">
        <f t="shared" ca="1" si="118"/>
        <v>#NAME?</v>
      </c>
      <c r="E786" s="100" t="e">
        <f t="shared" ca="1" si="121"/>
        <v>#NAME?</v>
      </c>
      <c r="F786" s="100" t="e">
        <f t="shared" ref="F786:F791" ca="1" si="123">IFERROR(__xludf.DUMMYFUNCTION("""COMPUTED_VALUE"""),19975)</f>
        <v>#NAME?</v>
      </c>
      <c r="G786" s="100" t="e">
        <f t="shared" ref="G786:G791" ca="1" si="124">IFERROR(__xludf.DUMMYFUNCTION("""COMPUTED_VALUE"""),2853)</f>
        <v>#NAME?</v>
      </c>
      <c r="H786" s="100" t="e">
        <f t="shared" ref="H786:H791" ca="1" si="125">IFERROR(__xludf.DUMMYFUNCTION("""COMPUTED_VALUE"""),656)</f>
        <v>#NAME?</v>
      </c>
      <c r="I786" s="100" t="e">
        <f ca="1">IFERROR(__xludf.DUMMYFUNCTION("""COMPUTED_VALUE"""),5752883)</f>
        <v>#NAME?</v>
      </c>
      <c r="J786" s="100" t="e">
        <f ca="1">IFERROR(__xludf.DUMMYFUNCTION("""COMPUTED_VALUE"""),"5.69")</f>
        <v>#NAME?</v>
      </c>
      <c r="K786" s="100" t="e">
        <f ca="1">IFERROR(__xludf.DUMMYFUNCTION("""COMPUTED_VALUE"""),"09.09.2024 09:55:02")</f>
        <v>#NAME?</v>
      </c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 spans="1:26">
      <c r="A787" s="100" t="e">
        <f ca="1">IFERROR(__xludf.DUMMYFUNCTION("""COMPUTED_VALUE"""),31654483)</f>
        <v>#NAME?</v>
      </c>
      <c r="B787" s="100" t="e">
        <f ca="1">IFERROR(__xludf.DUMMYFUNCTION("""COMPUTED_VALUE"""),"fofarusdt")</f>
        <v>#NAME?</v>
      </c>
      <c r="C787" s="100" t="e">
        <f ca="1">IFERROR(__xludf.DUMMYFUNCTION("""COMPUTED_VALUE"""),"0.00619")</f>
        <v>#NAME?</v>
      </c>
      <c r="D787" s="100" t="e">
        <f t="shared" ca="1" si="118"/>
        <v>#NAME?</v>
      </c>
      <c r="E787" s="100" t="e">
        <f t="shared" ca="1" si="121"/>
        <v>#NAME?</v>
      </c>
      <c r="F787" s="100" t="e">
        <f t="shared" ca="1" si="123"/>
        <v>#NAME?</v>
      </c>
      <c r="G787" s="100" t="e">
        <f t="shared" ca="1" si="124"/>
        <v>#NAME?</v>
      </c>
      <c r="H787" s="100" t="e">
        <f t="shared" ca="1" si="125"/>
        <v>#NAME?</v>
      </c>
      <c r="I787" s="100" t="e">
        <f ca="1">IFERROR(__xludf.DUMMYFUNCTION("""COMPUTED_VALUE"""),5752883)</f>
        <v>#NAME?</v>
      </c>
      <c r="J787" s="100" t="e">
        <f ca="1">IFERROR(__xludf.DUMMYFUNCTION("""COMPUTED_VALUE"""),"4.56")</f>
        <v>#NAME?</v>
      </c>
      <c r="K787" s="100" t="e">
        <f ca="1">IFERROR(__xludf.DUMMYFUNCTION("""COMPUTED_VALUE"""),"09.09.2024 09:55:02")</f>
        <v>#NAME?</v>
      </c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 spans="1:26">
      <c r="A788" s="100" t="e">
        <f ca="1">IFERROR(__xludf.DUMMYFUNCTION("""COMPUTED_VALUE"""),31654484)</f>
        <v>#NAME?</v>
      </c>
      <c r="B788" s="100" t="e">
        <f ca="1">IFERROR(__xludf.DUMMYFUNCTION("""COMPUTED_VALUE"""),"coreusdt")</f>
        <v>#NAME?</v>
      </c>
      <c r="C788" s="100" t="e">
        <f ca="1">IFERROR(__xludf.DUMMYFUNCTION("""COMPUTED_VALUE"""),"0.881296")</f>
        <v>#NAME?</v>
      </c>
      <c r="D788" s="100" t="e">
        <f t="shared" ca="1" si="118"/>
        <v>#NAME?</v>
      </c>
      <c r="E788" s="100" t="e">
        <f t="shared" ca="1" si="121"/>
        <v>#NAME?</v>
      </c>
      <c r="F788" s="100" t="e">
        <f t="shared" ca="1" si="123"/>
        <v>#NAME?</v>
      </c>
      <c r="G788" s="100" t="e">
        <f t="shared" ca="1" si="124"/>
        <v>#NAME?</v>
      </c>
      <c r="H788" s="100" t="e">
        <f t="shared" ca="1" si="125"/>
        <v>#NAME?</v>
      </c>
      <c r="I788" s="100" t="e">
        <f ca="1">IFERROR(__xludf.DUMMYFUNCTION("""COMPUTED_VALUE"""),5752883)</f>
        <v>#NAME?</v>
      </c>
      <c r="J788" s="100" t="e">
        <f ca="1">IFERROR(__xludf.DUMMYFUNCTION("""COMPUTED_VALUE"""),"3.42")</f>
        <v>#NAME?</v>
      </c>
      <c r="K788" s="100" t="e">
        <f ca="1">IFERROR(__xludf.DUMMYFUNCTION("""COMPUTED_VALUE"""),"09.09.2024 09:55:02")</f>
        <v>#NAME?</v>
      </c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 spans="1:26">
      <c r="A789" s="100" t="e">
        <f ca="1">IFERROR(__xludf.DUMMYFUNCTION("""COMPUTED_VALUE"""),31607136)</f>
        <v>#NAME?</v>
      </c>
      <c r="B789" s="100" t="e">
        <f ca="1">IFERROR(__xludf.DUMMYFUNCTION("""COMPUTED_VALUE"""),"dexeusdt")</f>
        <v>#NAME?</v>
      </c>
      <c r="C789" s="100" t="e">
        <f ca="1">IFERROR(__xludf.DUMMYFUNCTION("""COMPUTED_VALUE"""),"7.4218")</f>
        <v>#NAME?</v>
      </c>
      <c r="D789" s="100" t="e">
        <f t="shared" ca="1" si="118"/>
        <v>#NAME?</v>
      </c>
      <c r="E789" s="100" t="e">
        <f t="shared" ca="1" si="121"/>
        <v>#NAME?</v>
      </c>
      <c r="F789" s="100" t="e">
        <f t="shared" ca="1" si="123"/>
        <v>#NAME?</v>
      </c>
      <c r="G789" s="100" t="e">
        <f t="shared" ca="1" si="124"/>
        <v>#NAME?</v>
      </c>
      <c r="H789" s="100" t="e">
        <f t="shared" ca="1" si="125"/>
        <v>#NAME?</v>
      </c>
      <c r="I789" s="100" t="e">
        <f ca="1">IFERROR(__xludf.DUMMYFUNCTION("""COMPUTED_VALUE"""),5752823)</f>
        <v>#NAME?</v>
      </c>
      <c r="J789" s="100" t="e">
        <f ca="1">IFERROR(__xludf.DUMMYFUNCTION("""COMPUTED_VALUE"""),"5.54")</f>
        <v>#NAME?</v>
      </c>
      <c r="K789" s="100" t="e">
        <f ca="1">IFERROR(__xludf.DUMMYFUNCTION("""COMPUTED_VALUE"""),"09.09.2024 04:55:02")</f>
        <v>#NAME?</v>
      </c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 spans="1:26">
      <c r="A790" s="100" t="e">
        <f ca="1">IFERROR(__xludf.DUMMYFUNCTION("""COMPUTED_VALUE"""),31607137)</f>
        <v>#NAME?</v>
      </c>
      <c r="B790" s="100" t="e">
        <f ca="1">IFERROR(__xludf.DUMMYFUNCTION("""COMPUTED_VALUE"""),"quickusdt")</f>
        <v>#NAME?</v>
      </c>
      <c r="C790" s="100" t="e">
        <f ca="1">IFERROR(__xludf.DUMMYFUNCTION("""COMPUTED_VALUE"""),"0.041396")</f>
        <v>#NAME?</v>
      </c>
      <c r="D790" s="100" t="e">
        <f t="shared" ca="1" si="118"/>
        <v>#NAME?</v>
      </c>
      <c r="E790" s="100" t="e">
        <f t="shared" ca="1" si="121"/>
        <v>#NAME?</v>
      </c>
      <c r="F790" s="100" t="e">
        <f t="shared" ca="1" si="123"/>
        <v>#NAME?</v>
      </c>
      <c r="G790" s="100" t="e">
        <f t="shared" ca="1" si="124"/>
        <v>#NAME?</v>
      </c>
      <c r="H790" s="100" t="e">
        <f t="shared" ca="1" si="125"/>
        <v>#NAME?</v>
      </c>
      <c r="I790" s="100" t="e">
        <f ca="1">IFERROR(__xludf.DUMMYFUNCTION("""COMPUTED_VALUE"""),5752823)</f>
        <v>#NAME?</v>
      </c>
      <c r="J790" s="100" t="e">
        <f ca="1">IFERROR(__xludf.DUMMYFUNCTION("""COMPUTED_VALUE"""),"0.43")</f>
        <v>#NAME?</v>
      </c>
      <c r="K790" s="100" t="e">
        <f ca="1">IFERROR(__xludf.DUMMYFUNCTION("""COMPUTED_VALUE"""),"09.09.2024 04:55:02")</f>
        <v>#NAME?</v>
      </c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 spans="1:26">
      <c r="A791" s="100" t="e">
        <f ca="1">IFERROR(__xludf.DUMMYFUNCTION("""COMPUTED_VALUE"""),31607138)</f>
        <v>#NAME?</v>
      </c>
      <c r="B791" s="100" t="e">
        <f ca="1">IFERROR(__xludf.DUMMYFUNCTION("""COMPUTED_VALUE"""),"ensusdt")</f>
        <v>#NAME?</v>
      </c>
      <c r="C791" s="100" t="e">
        <f ca="1">IFERROR(__xludf.DUMMYFUNCTION("""COMPUTED_VALUE"""),"16.3532")</f>
        <v>#NAME?</v>
      </c>
      <c r="D791" s="100" t="e">
        <f t="shared" ca="1" si="118"/>
        <v>#NAME?</v>
      </c>
      <c r="E791" s="100" t="e">
        <f t="shared" ca="1" si="121"/>
        <v>#NAME?</v>
      </c>
      <c r="F791" s="100" t="e">
        <f t="shared" ca="1" si="123"/>
        <v>#NAME?</v>
      </c>
      <c r="G791" s="100" t="e">
        <f t="shared" ca="1" si="124"/>
        <v>#NAME?</v>
      </c>
      <c r="H791" s="100" t="e">
        <f t="shared" ca="1" si="125"/>
        <v>#NAME?</v>
      </c>
      <c r="I791" s="100" t="e">
        <f ca="1">IFERROR(__xludf.DUMMYFUNCTION("""COMPUTED_VALUE"""),5752823)</f>
        <v>#NAME?</v>
      </c>
      <c r="J791" s="100" t="e">
        <f ca="1">IFERROR(__xludf.DUMMYFUNCTION("""COMPUTED_VALUE"""),"1.85")</f>
        <v>#NAME?</v>
      </c>
      <c r="K791" s="100" t="e">
        <f ca="1">IFERROR(__xludf.DUMMYFUNCTION("""COMPUTED_VALUE"""),"09.09.2024 04:55:02")</f>
        <v>#NAME?</v>
      </c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 spans="1:26">
      <c r="A792" s="100" t="e">
        <f ca="1">IFERROR(__xludf.DUMMYFUNCTION("""COMPUTED_VALUE"""),25728393)</f>
        <v>#NAME?</v>
      </c>
      <c r="B792" s="100" t="e">
        <f ca="1">IFERROR(__xludf.DUMMYFUNCTION("""COMPUTED_VALUE"""),"arvusdt")</f>
        <v>#NAME?</v>
      </c>
      <c r="C792" s="100" t="e">
        <f ca="1">IFERROR(__xludf.DUMMYFUNCTION("""COMPUTED_VALUE"""),"1.686e-05")</f>
        <v>#NAME?</v>
      </c>
      <c r="D792" s="100" t="e">
        <f t="shared" ca="1" si="118"/>
        <v>#NAME?</v>
      </c>
      <c r="E792" s="100" t="e">
        <f t="shared" ca="1" si="121"/>
        <v>#NAME?</v>
      </c>
      <c r="F792" s="100" t="e">
        <f t="shared" ref="F792:F808" ca="1" si="126">IFERROR(__xludf.DUMMYFUNCTION("""COMPUTED_VALUE"""),19949)</f>
        <v>#NAME?</v>
      </c>
      <c r="G792" s="100" t="e">
        <f t="shared" ref="G792:G808" ca="1" si="127">IFERROR(__xludf.DUMMYFUNCTION("""COMPUTED_VALUE"""),2849)</f>
        <v>#NAME?</v>
      </c>
      <c r="H792" s="100" t="e">
        <f t="shared" ref="H792:H808" ca="1" si="128">IFERROR(__xludf.DUMMYFUNCTION("""COMPUTED_VALUE"""),655)</f>
        <v>#NAME?</v>
      </c>
      <c r="I792" s="100" t="e">
        <f ca="1">IFERROR(__xludf.DUMMYFUNCTION("""COMPUTED_VALUE"""),5745347)</f>
        <v>#NAME?</v>
      </c>
      <c r="J792" s="100" t="e">
        <f ca="1">IFERROR(__xludf.DUMMYFUNCTION("""COMPUTED_VALUE"""),"-5.97")</f>
        <v>#NAME?</v>
      </c>
      <c r="K792" s="100" t="e">
        <f ca="1">IFERROR(__xludf.DUMMYFUNCTION("""COMPUTED_VALUE"""),"14.08.2024 05:55:02")</f>
        <v>#NAME?</v>
      </c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 spans="1:26">
      <c r="A793" s="100" t="e">
        <f ca="1">IFERROR(__xludf.DUMMYFUNCTION("""COMPUTED_VALUE"""),25728394)</f>
        <v>#NAME?</v>
      </c>
      <c r="B793" s="100" t="e">
        <f ca="1">IFERROR(__xludf.DUMMYFUNCTION("""COMPUTED_VALUE"""),"soulusdt")</f>
        <v>#NAME?</v>
      </c>
      <c r="C793" s="100" t="e">
        <f ca="1">IFERROR(__xludf.DUMMYFUNCTION("""COMPUTED_VALUE"""),"0.0003145")</f>
        <v>#NAME?</v>
      </c>
      <c r="D793" s="100" t="e">
        <f t="shared" ca="1" si="118"/>
        <v>#NAME?</v>
      </c>
      <c r="E793" s="100" t="e">
        <f t="shared" ca="1" si="121"/>
        <v>#NAME?</v>
      </c>
      <c r="F793" s="100" t="e">
        <f t="shared" ca="1" si="126"/>
        <v>#NAME?</v>
      </c>
      <c r="G793" s="100" t="e">
        <f t="shared" ca="1" si="127"/>
        <v>#NAME?</v>
      </c>
      <c r="H793" s="100" t="e">
        <f t="shared" ca="1" si="128"/>
        <v>#NAME?</v>
      </c>
      <c r="I793" s="100" t="e">
        <f ca="1">IFERROR(__xludf.DUMMYFUNCTION("""COMPUTED_VALUE"""),5745347)</f>
        <v>#NAME?</v>
      </c>
      <c r="J793" s="100" t="e">
        <f ca="1">IFERROR(__xludf.DUMMYFUNCTION("""COMPUTED_VALUE"""),"-5.87")</f>
        <v>#NAME?</v>
      </c>
      <c r="K793" s="100" t="e">
        <f ca="1">IFERROR(__xludf.DUMMYFUNCTION("""COMPUTED_VALUE"""),"14.08.2024 05:55:02")</f>
        <v>#NAME?</v>
      </c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 spans="1:26">
      <c r="A794" s="100" t="e">
        <f ca="1">IFERROR(__xludf.DUMMYFUNCTION("""COMPUTED_VALUE"""),25728395)</f>
        <v>#NAME?</v>
      </c>
      <c r="B794" s="100" t="e">
        <f ca="1">IFERROR(__xludf.DUMMYFUNCTION("""COMPUTED_VALUE"""),"dechatusdt")</f>
        <v>#NAME?</v>
      </c>
      <c r="C794" s="100" t="e">
        <f ca="1">IFERROR(__xludf.DUMMYFUNCTION("""COMPUTED_VALUE"""),"0.227")</f>
        <v>#NAME?</v>
      </c>
      <c r="D794" s="100" t="e">
        <f t="shared" ca="1" si="118"/>
        <v>#NAME?</v>
      </c>
      <c r="E794" s="100" t="e">
        <f t="shared" ca="1" si="121"/>
        <v>#NAME?</v>
      </c>
      <c r="F794" s="100" t="e">
        <f t="shared" ca="1" si="126"/>
        <v>#NAME?</v>
      </c>
      <c r="G794" s="100" t="e">
        <f t="shared" ca="1" si="127"/>
        <v>#NAME?</v>
      </c>
      <c r="H794" s="100" t="e">
        <f t="shared" ca="1" si="128"/>
        <v>#NAME?</v>
      </c>
      <c r="I794" s="100" t="e">
        <f ca="1">IFERROR(__xludf.DUMMYFUNCTION("""COMPUTED_VALUE"""),5745347)</f>
        <v>#NAME?</v>
      </c>
      <c r="J794" s="100" t="e">
        <f ca="1">IFERROR(__xludf.DUMMYFUNCTION("""COMPUTED_VALUE"""),"3.75")</f>
        <v>#NAME?</v>
      </c>
      <c r="K794" s="100" t="e">
        <f ca="1">IFERROR(__xludf.DUMMYFUNCTION("""COMPUTED_VALUE"""),"14.08.2024 05:55:02")</f>
        <v>#NAME?</v>
      </c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 spans="1:26">
      <c r="A795" s="100" t="e">
        <f ca="1">IFERROR(__xludf.DUMMYFUNCTION("""COMPUTED_VALUE"""),25728396)</f>
        <v>#NAME?</v>
      </c>
      <c r="B795" s="100" t="e">
        <f ca="1">IFERROR(__xludf.DUMMYFUNCTION("""COMPUTED_VALUE"""),"renusdt")</f>
        <v>#NAME?</v>
      </c>
      <c r="C795" s="100" t="e">
        <f ca="1">IFERROR(__xludf.DUMMYFUNCTION("""COMPUTED_VALUE"""),"0.037901")</f>
        <v>#NAME?</v>
      </c>
      <c r="D795" s="100" t="e">
        <f t="shared" ca="1" si="118"/>
        <v>#NAME?</v>
      </c>
      <c r="E795" s="100" t="e">
        <f t="shared" ca="1" si="121"/>
        <v>#NAME?</v>
      </c>
      <c r="F795" s="100" t="e">
        <f t="shared" ca="1" si="126"/>
        <v>#NAME?</v>
      </c>
      <c r="G795" s="100" t="e">
        <f t="shared" ca="1" si="127"/>
        <v>#NAME?</v>
      </c>
      <c r="H795" s="100" t="e">
        <f t="shared" ca="1" si="128"/>
        <v>#NAME?</v>
      </c>
      <c r="I795" s="100" t="e">
        <f ca="1">IFERROR(__xludf.DUMMYFUNCTION("""COMPUTED_VALUE"""),5745347)</f>
        <v>#NAME?</v>
      </c>
      <c r="J795" s="100" t="e">
        <f ca="1">IFERROR(__xludf.DUMMYFUNCTION("""COMPUTED_VALUE"""),"2.72")</f>
        <v>#NAME?</v>
      </c>
      <c r="K795" s="100" t="e">
        <f ca="1">IFERROR(__xludf.DUMMYFUNCTION("""COMPUTED_VALUE"""),"14.08.2024 05:55:02")</f>
        <v>#NAME?</v>
      </c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 spans="1:26">
      <c r="A796" s="100" t="e">
        <f ca="1">IFERROR(__xludf.DUMMYFUNCTION("""COMPUTED_VALUE"""),25728397)</f>
        <v>#NAME?</v>
      </c>
      <c r="B796" s="100" t="e">
        <f ca="1">IFERROR(__xludf.DUMMYFUNCTION("""COMPUTED_VALUE"""),"coreusdt")</f>
        <v>#NAME?</v>
      </c>
      <c r="C796" s="100" t="e">
        <f ca="1">IFERROR(__xludf.DUMMYFUNCTION("""COMPUTED_VALUE"""),"1.03365")</f>
        <v>#NAME?</v>
      </c>
      <c r="D796" s="100" t="e">
        <f t="shared" ca="1" si="118"/>
        <v>#NAME?</v>
      </c>
      <c r="E796" s="100" t="e">
        <f t="shared" ca="1" si="121"/>
        <v>#NAME?</v>
      </c>
      <c r="F796" s="100" t="e">
        <f t="shared" ca="1" si="126"/>
        <v>#NAME?</v>
      </c>
      <c r="G796" s="100" t="e">
        <f t="shared" ca="1" si="127"/>
        <v>#NAME?</v>
      </c>
      <c r="H796" s="100" t="e">
        <f t="shared" ca="1" si="128"/>
        <v>#NAME?</v>
      </c>
      <c r="I796" s="100" t="e">
        <f ca="1">IFERROR(__xludf.DUMMYFUNCTION("""COMPUTED_VALUE"""),5745347)</f>
        <v>#NAME?</v>
      </c>
      <c r="J796" s="100" t="e">
        <f ca="1">IFERROR(__xludf.DUMMYFUNCTION("""COMPUTED_VALUE"""),"-0.31")</f>
        <v>#NAME?</v>
      </c>
      <c r="K796" s="100" t="e">
        <f ca="1">IFERROR(__xludf.DUMMYFUNCTION("""COMPUTED_VALUE"""),"14.08.2024 05:55:02")</f>
        <v>#NAME?</v>
      </c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 spans="1:26">
      <c r="A797" s="100" t="e">
        <f ca="1">IFERROR(__xludf.DUMMYFUNCTION("""COMPUTED_VALUE"""),25727594)</f>
        <v>#NAME?</v>
      </c>
      <c r="B797" s="100" t="e">
        <f ca="1">IFERROR(__xludf.DUMMYFUNCTION("""COMPUTED_VALUE"""),"stcusdt")</f>
        <v>#NAME?</v>
      </c>
      <c r="C797" s="100" t="e">
        <f ca="1">IFERROR(__xludf.DUMMYFUNCTION("""COMPUTED_VALUE"""),"0.2036")</f>
        <v>#NAME?</v>
      </c>
      <c r="D797" s="100" t="e">
        <f t="shared" ca="1" si="118"/>
        <v>#NAME?</v>
      </c>
      <c r="E797" s="100" t="e">
        <f t="shared" ca="1" si="121"/>
        <v>#NAME?</v>
      </c>
      <c r="F797" s="100" t="e">
        <f t="shared" ca="1" si="126"/>
        <v>#NAME?</v>
      </c>
      <c r="G797" s="100" t="e">
        <f t="shared" ca="1" si="127"/>
        <v>#NAME?</v>
      </c>
      <c r="H797" s="100" t="e">
        <f t="shared" ca="1" si="128"/>
        <v>#NAME?</v>
      </c>
      <c r="I797" s="100" t="e">
        <f t="shared" ref="I797:I805" ca="1" si="129">IFERROR(__xludf.DUMMYFUNCTION("""COMPUTED_VALUE"""),5745346)</f>
        <v>#NAME?</v>
      </c>
      <c r="J797" s="100" t="e">
        <f ca="1">IFERROR(__xludf.DUMMYFUNCTION("""COMPUTED_VALUE"""),"-2.77")</f>
        <v>#NAME?</v>
      </c>
      <c r="K797" s="100" t="e">
        <f t="shared" ref="K797:K805" ca="1" si="130">IFERROR(__xludf.DUMMYFUNCTION("""COMPUTED_VALUE"""),"14.08.2024 05:50:01")</f>
        <v>#NAME?</v>
      </c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 spans="1:26">
      <c r="A798" s="100" t="e">
        <f ca="1">IFERROR(__xludf.DUMMYFUNCTION("""COMPUTED_VALUE"""),25727595)</f>
        <v>#NAME?</v>
      </c>
      <c r="B798" s="100" t="e">
        <f ca="1">IFERROR(__xludf.DUMMYFUNCTION("""COMPUTED_VALUE"""),"muskusdt")</f>
        <v>#NAME?</v>
      </c>
      <c r="C798" s="100" t="e">
        <f ca="1">IFERROR(__xludf.DUMMYFUNCTION("""COMPUTED_VALUE"""),"0.00029579")</f>
        <v>#NAME?</v>
      </c>
      <c r="D798" s="100" t="e">
        <f t="shared" ca="1" si="118"/>
        <v>#NAME?</v>
      </c>
      <c r="E798" s="100" t="e">
        <f t="shared" ca="1" si="121"/>
        <v>#NAME?</v>
      </c>
      <c r="F798" s="100" t="e">
        <f t="shared" ca="1" si="126"/>
        <v>#NAME?</v>
      </c>
      <c r="G798" s="100" t="e">
        <f t="shared" ca="1" si="127"/>
        <v>#NAME?</v>
      </c>
      <c r="H798" s="100" t="e">
        <f t="shared" ca="1" si="128"/>
        <v>#NAME?</v>
      </c>
      <c r="I798" s="100" t="e">
        <f t="shared" ca="1" si="129"/>
        <v>#NAME?</v>
      </c>
      <c r="J798" s="100" t="e">
        <f ca="1">IFERROR(__xludf.DUMMYFUNCTION("""COMPUTED_VALUE"""),"3.16")</f>
        <v>#NAME?</v>
      </c>
      <c r="K798" s="100" t="e">
        <f t="shared" ca="1" si="130"/>
        <v>#NAME?</v>
      </c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 spans="1:26">
      <c r="A799" s="100" t="e">
        <f ca="1">IFERROR(__xludf.DUMMYFUNCTION("""COMPUTED_VALUE"""),25727596)</f>
        <v>#NAME?</v>
      </c>
      <c r="B799" s="100" t="e">
        <f ca="1">IFERROR(__xludf.DUMMYFUNCTION("""COMPUTED_VALUE"""),"zcxusdt")</f>
        <v>#NAME?</v>
      </c>
      <c r="C799" s="100" t="e">
        <f ca="1">IFERROR(__xludf.DUMMYFUNCTION("""COMPUTED_VALUE"""),"0.0717")</f>
        <v>#NAME?</v>
      </c>
      <c r="D799" s="100" t="e">
        <f t="shared" ca="1" si="118"/>
        <v>#NAME?</v>
      </c>
      <c r="E799" s="100" t="e">
        <f t="shared" ca="1" si="121"/>
        <v>#NAME?</v>
      </c>
      <c r="F799" s="100" t="e">
        <f t="shared" ca="1" si="126"/>
        <v>#NAME?</v>
      </c>
      <c r="G799" s="100" t="e">
        <f t="shared" ca="1" si="127"/>
        <v>#NAME?</v>
      </c>
      <c r="H799" s="100" t="e">
        <f t="shared" ca="1" si="128"/>
        <v>#NAME?</v>
      </c>
      <c r="I799" s="100" t="e">
        <f t="shared" ca="1" si="129"/>
        <v>#NAME?</v>
      </c>
      <c r="J799" s="100" t="e">
        <f ca="1">IFERROR(__xludf.DUMMYFUNCTION("""COMPUTED_VALUE"""),"2.28")</f>
        <v>#NAME?</v>
      </c>
      <c r="K799" s="100" t="e">
        <f t="shared" ca="1" si="130"/>
        <v>#NAME?</v>
      </c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 spans="1:26">
      <c r="A800" s="100" t="e">
        <f ca="1">IFERROR(__xludf.DUMMYFUNCTION("""COMPUTED_VALUE"""),25727597)</f>
        <v>#NAME?</v>
      </c>
      <c r="B800" s="100" t="e">
        <f ca="1">IFERROR(__xludf.DUMMYFUNCTION("""COMPUTED_VALUE"""),"laiusdt")</f>
        <v>#NAME?</v>
      </c>
      <c r="C800" s="100" t="e">
        <f ca="1">IFERROR(__xludf.DUMMYFUNCTION("""COMPUTED_VALUE"""),"0.012199")</f>
        <v>#NAME?</v>
      </c>
      <c r="D800" s="100" t="e">
        <f t="shared" ca="1" si="118"/>
        <v>#NAME?</v>
      </c>
      <c r="E800" s="100" t="e">
        <f t="shared" ca="1" si="121"/>
        <v>#NAME?</v>
      </c>
      <c r="F800" s="100" t="e">
        <f t="shared" ca="1" si="126"/>
        <v>#NAME?</v>
      </c>
      <c r="G800" s="100" t="e">
        <f t="shared" ca="1" si="127"/>
        <v>#NAME?</v>
      </c>
      <c r="H800" s="100" t="e">
        <f t="shared" ca="1" si="128"/>
        <v>#NAME?</v>
      </c>
      <c r="I800" s="100" t="e">
        <f t="shared" ca="1" si="129"/>
        <v>#NAME?</v>
      </c>
      <c r="J800" s="100" t="e">
        <f ca="1">IFERROR(__xludf.DUMMYFUNCTION("""COMPUTED_VALUE"""),"3.32")</f>
        <v>#NAME?</v>
      </c>
      <c r="K800" s="100" t="e">
        <f t="shared" ca="1" si="130"/>
        <v>#NAME?</v>
      </c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 spans="1:26">
      <c r="A801" s="100" t="e">
        <f ca="1">IFERROR(__xludf.DUMMYFUNCTION("""COMPUTED_VALUE"""),25727598)</f>
        <v>#NAME?</v>
      </c>
      <c r="B801" s="100" t="e">
        <f ca="1">IFERROR(__xludf.DUMMYFUNCTION("""COMPUTED_VALUE"""),"arvusdt")</f>
        <v>#NAME?</v>
      </c>
      <c r="C801" s="100" t="e">
        <f ca="1">IFERROR(__xludf.DUMMYFUNCTION("""COMPUTED_VALUE"""),"1.685e-05")</f>
        <v>#NAME?</v>
      </c>
      <c r="D801" s="100" t="e">
        <f t="shared" ca="1" si="118"/>
        <v>#NAME?</v>
      </c>
      <c r="E801" s="100" t="e">
        <f t="shared" ca="1" si="121"/>
        <v>#NAME?</v>
      </c>
      <c r="F801" s="100" t="e">
        <f t="shared" ca="1" si="126"/>
        <v>#NAME?</v>
      </c>
      <c r="G801" s="100" t="e">
        <f t="shared" ca="1" si="127"/>
        <v>#NAME?</v>
      </c>
      <c r="H801" s="100" t="e">
        <f t="shared" ca="1" si="128"/>
        <v>#NAME?</v>
      </c>
      <c r="I801" s="100" t="e">
        <f t="shared" ca="1" si="129"/>
        <v>#NAME?</v>
      </c>
      <c r="J801" s="100" t="e">
        <f ca="1">IFERROR(__xludf.DUMMYFUNCTION("""COMPUTED_VALUE"""),"-6.02")</f>
        <v>#NAME?</v>
      </c>
      <c r="K801" s="100" t="e">
        <f t="shared" ca="1" si="130"/>
        <v>#NAME?</v>
      </c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 spans="1:26">
      <c r="A802" s="100" t="e">
        <f ca="1">IFERROR(__xludf.DUMMYFUNCTION("""COMPUTED_VALUE"""),25727599)</f>
        <v>#NAME?</v>
      </c>
      <c r="B802" s="100" t="e">
        <f ca="1">IFERROR(__xludf.DUMMYFUNCTION("""COMPUTED_VALUE"""),"soulusdt")</f>
        <v>#NAME?</v>
      </c>
      <c r="C802" s="100" t="e">
        <f ca="1">IFERROR(__xludf.DUMMYFUNCTION("""COMPUTED_VALUE"""),"0.0003145")</f>
        <v>#NAME?</v>
      </c>
      <c r="D802" s="100" t="e">
        <f t="shared" ca="1" si="118"/>
        <v>#NAME?</v>
      </c>
      <c r="E802" s="100" t="e">
        <f t="shared" ca="1" si="121"/>
        <v>#NAME?</v>
      </c>
      <c r="F802" s="100" t="e">
        <f t="shared" ca="1" si="126"/>
        <v>#NAME?</v>
      </c>
      <c r="G802" s="100" t="e">
        <f t="shared" ca="1" si="127"/>
        <v>#NAME?</v>
      </c>
      <c r="H802" s="100" t="e">
        <f t="shared" ca="1" si="128"/>
        <v>#NAME?</v>
      </c>
      <c r="I802" s="100" t="e">
        <f t="shared" ca="1" si="129"/>
        <v>#NAME?</v>
      </c>
      <c r="J802" s="100" t="e">
        <f ca="1">IFERROR(__xludf.DUMMYFUNCTION("""COMPUTED_VALUE"""),"-5.87")</f>
        <v>#NAME?</v>
      </c>
      <c r="K802" s="100" t="e">
        <f t="shared" ca="1" si="130"/>
        <v>#NAME?</v>
      </c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 spans="1:26">
      <c r="A803" s="100" t="e">
        <f ca="1">IFERROR(__xludf.DUMMYFUNCTION("""COMPUTED_VALUE"""),25727600)</f>
        <v>#NAME?</v>
      </c>
      <c r="B803" s="100" t="e">
        <f ca="1">IFERROR(__xludf.DUMMYFUNCTION("""COMPUTED_VALUE"""),"dechatusdt")</f>
        <v>#NAME?</v>
      </c>
      <c r="C803" s="100" t="e">
        <f ca="1">IFERROR(__xludf.DUMMYFUNCTION("""COMPUTED_VALUE"""),"0.227")</f>
        <v>#NAME?</v>
      </c>
      <c r="D803" s="100" t="e">
        <f t="shared" ca="1" si="118"/>
        <v>#NAME?</v>
      </c>
      <c r="E803" s="100" t="e">
        <f t="shared" ref="E803:E808" ca="1" si="131">IFERROR(__xludf.DUMMYFUNCTION("""COMPUTED_VALUE"""),"-")</f>
        <v>#NAME?</v>
      </c>
      <c r="F803" s="100" t="e">
        <f t="shared" ca="1" si="126"/>
        <v>#NAME?</v>
      </c>
      <c r="G803" s="100" t="e">
        <f t="shared" ca="1" si="127"/>
        <v>#NAME?</v>
      </c>
      <c r="H803" s="100" t="e">
        <f t="shared" ca="1" si="128"/>
        <v>#NAME?</v>
      </c>
      <c r="I803" s="100" t="e">
        <f t="shared" ca="1" si="129"/>
        <v>#NAME?</v>
      </c>
      <c r="J803" s="100" t="e">
        <f ca="1">IFERROR(__xludf.DUMMYFUNCTION("""COMPUTED_VALUE"""),"3.75")</f>
        <v>#NAME?</v>
      </c>
      <c r="K803" s="100" t="e">
        <f t="shared" ca="1" si="130"/>
        <v>#NAME?</v>
      </c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 spans="1:26">
      <c r="A804" s="100" t="e">
        <f ca="1">IFERROR(__xludf.DUMMYFUNCTION("""COMPUTED_VALUE"""),25727601)</f>
        <v>#NAME?</v>
      </c>
      <c r="B804" s="100" t="e">
        <f ca="1">IFERROR(__xludf.DUMMYFUNCTION("""COMPUTED_VALUE"""),"renusdt")</f>
        <v>#NAME?</v>
      </c>
      <c r="C804" s="100" t="e">
        <f ca="1">IFERROR(__xludf.DUMMYFUNCTION("""COMPUTED_VALUE"""),"0.037869")</f>
        <v>#NAME?</v>
      </c>
      <c r="D804" s="100" t="e">
        <f t="shared" ca="1" si="118"/>
        <v>#NAME?</v>
      </c>
      <c r="E804" s="100" t="e">
        <f t="shared" ca="1" si="131"/>
        <v>#NAME?</v>
      </c>
      <c r="F804" s="100" t="e">
        <f t="shared" ca="1" si="126"/>
        <v>#NAME?</v>
      </c>
      <c r="G804" s="100" t="e">
        <f t="shared" ca="1" si="127"/>
        <v>#NAME?</v>
      </c>
      <c r="H804" s="100" t="e">
        <f t="shared" ca="1" si="128"/>
        <v>#NAME?</v>
      </c>
      <c r="I804" s="100" t="e">
        <f t="shared" ca="1" si="129"/>
        <v>#NAME?</v>
      </c>
      <c r="J804" s="100" t="e">
        <f ca="1">IFERROR(__xludf.DUMMYFUNCTION("""COMPUTED_VALUE"""),"2.66")</f>
        <v>#NAME?</v>
      </c>
      <c r="K804" s="100" t="e">
        <f t="shared" ca="1" si="130"/>
        <v>#NAME?</v>
      </c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 spans="1:26">
      <c r="A805" s="100" t="e">
        <f ca="1">IFERROR(__xludf.DUMMYFUNCTION("""COMPUTED_VALUE"""),25727602)</f>
        <v>#NAME?</v>
      </c>
      <c r="B805" s="100" t="e">
        <f ca="1">IFERROR(__xludf.DUMMYFUNCTION("""COMPUTED_VALUE"""),"coreusdt")</f>
        <v>#NAME?</v>
      </c>
      <c r="C805" s="100" t="e">
        <f ca="1">IFERROR(__xludf.DUMMYFUNCTION("""COMPUTED_VALUE"""),"1.032942")</f>
        <v>#NAME?</v>
      </c>
      <c r="D805" s="100" t="e">
        <f t="shared" ca="1" si="118"/>
        <v>#NAME?</v>
      </c>
      <c r="E805" s="100" t="e">
        <f t="shared" ca="1" si="131"/>
        <v>#NAME?</v>
      </c>
      <c r="F805" s="100" t="e">
        <f t="shared" ca="1" si="126"/>
        <v>#NAME?</v>
      </c>
      <c r="G805" s="100" t="e">
        <f t="shared" ca="1" si="127"/>
        <v>#NAME?</v>
      </c>
      <c r="H805" s="100" t="e">
        <f t="shared" ca="1" si="128"/>
        <v>#NAME?</v>
      </c>
      <c r="I805" s="100" t="e">
        <f t="shared" ca="1" si="129"/>
        <v>#NAME?</v>
      </c>
      <c r="J805" s="100" t="e">
        <f ca="1">IFERROR(__xludf.DUMMYFUNCTION("""COMPUTED_VALUE"""),"-0.41")</f>
        <v>#NAME?</v>
      </c>
      <c r="K805" s="100" t="e">
        <f t="shared" ca="1" si="130"/>
        <v>#NAME?</v>
      </c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 spans="1:26">
      <c r="A806" s="100" t="e">
        <f ca="1">IFERROR(__xludf.DUMMYFUNCTION("""COMPUTED_VALUE"""),25726797)</f>
        <v>#NAME?</v>
      </c>
      <c r="B806" s="100" t="e">
        <f ca="1">IFERROR(__xludf.DUMMYFUNCTION("""COMPUTED_VALUE"""),"renusdt")</f>
        <v>#NAME?</v>
      </c>
      <c r="C806" s="100" t="e">
        <f ca="1">IFERROR(__xludf.DUMMYFUNCTION("""COMPUTED_VALUE"""),"0.037887")</f>
        <v>#NAME?</v>
      </c>
      <c r="D806" s="100" t="e">
        <f t="shared" ca="1" si="118"/>
        <v>#NAME?</v>
      </c>
      <c r="E806" s="100" t="e">
        <f t="shared" ca="1" si="131"/>
        <v>#NAME?</v>
      </c>
      <c r="F806" s="100" t="e">
        <f t="shared" ca="1" si="126"/>
        <v>#NAME?</v>
      </c>
      <c r="G806" s="100" t="e">
        <f t="shared" ca="1" si="127"/>
        <v>#NAME?</v>
      </c>
      <c r="H806" s="100" t="e">
        <f t="shared" ca="1" si="128"/>
        <v>#NAME?</v>
      </c>
      <c r="I806" s="100" t="e">
        <f ca="1">IFERROR(__xludf.DUMMYFUNCTION("""COMPUTED_VALUE"""),5745345)</f>
        <v>#NAME?</v>
      </c>
      <c r="J806" s="100" t="e">
        <f ca="1">IFERROR(__xludf.DUMMYFUNCTION("""COMPUTED_VALUE"""),"2.78")</f>
        <v>#NAME?</v>
      </c>
      <c r="K806" s="100" t="e">
        <f ca="1">IFERROR(__xludf.DUMMYFUNCTION("""COMPUTED_VALUE"""),"14.08.2024 05:45:02")</f>
        <v>#NAME?</v>
      </c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 spans="1:26">
      <c r="A807" s="100" t="e">
        <f ca="1">IFERROR(__xludf.DUMMYFUNCTION("""COMPUTED_VALUE"""),25726798)</f>
        <v>#NAME?</v>
      </c>
      <c r="B807" s="100" t="e">
        <f ca="1">IFERROR(__xludf.DUMMYFUNCTION("""COMPUTED_VALUE"""),"coreusdt")</f>
        <v>#NAME?</v>
      </c>
      <c r="C807" s="100" t="e">
        <f ca="1">IFERROR(__xludf.DUMMYFUNCTION("""COMPUTED_VALUE"""),"1.031236")</f>
        <v>#NAME?</v>
      </c>
      <c r="D807" s="100" t="e">
        <f t="shared" ca="1" si="118"/>
        <v>#NAME?</v>
      </c>
      <c r="E807" s="100" t="e">
        <f t="shared" ca="1" si="131"/>
        <v>#NAME?</v>
      </c>
      <c r="F807" s="100" t="e">
        <f t="shared" ca="1" si="126"/>
        <v>#NAME?</v>
      </c>
      <c r="G807" s="100" t="e">
        <f t="shared" ca="1" si="127"/>
        <v>#NAME?</v>
      </c>
      <c r="H807" s="100" t="e">
        <f t="shared" ca="1" si="128"/>
        <v>#NAME?</v>
      </c>
      <c r="I807" s="100" t="e">
        <f ca="1">IFERROR(__xludf.DUMMYFUNCTION("""COMPUTED_VALUE"""),5745345)</f>
        <v>#NAME?</v>
      </c>
      <c r="J807" s="100" t="e">
        <f ca="1">IFERROR(__xludf.DUMMYFUNCTION("""COMPUTED_VALUE"""),"-0.44")</f>
        <v>#NAME?</v>
      </c>
      <c r="K807" s="100" t="e">
        <f ca="1">IFERROR(__xludf.DUMMYFUNCTION("""COMPUTED_VALUE"""),"14.08.2024 05:45:02")</f>
        <v>#NAME?</v>
      </c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 spans="1:26">
      <c r="A808" s="100" t="e">
        <f ca="1">IFERROR(__xludf.DUMMYFUNCTION("""COMPUTED_VALUE"""),25725992)</f>
        <v>#NAME?</v>
      </c>
      <c r="B808" s="100" t="e">
        <f ca="1">IFERROR(__xludf.DUMMYFUNCTION("""COMPUTED_VALUE"""),"coreusdt")</f>
        <v>#NAME?</v>
      </c>
      <c r="C808" s="100" t="e">
        <f ca="1">IFERROR(__xludf.DUMMYFUNCTION("""COMPUTED_VALUE"""),"1.030601")</f>
        <v>#NAME?</v>
      </c>
      <c r="D808" s="100" t="e">
        <f t="shared" ca="1" si="118"/>
        <v>#NAME?</v>
      </c>
      <c r="E808" s="100" t="e">
        <f t="shared" ca="1" si="131"/>
        <v>#NAME?</v>
      </c>
      <c r="F808" s="100" t="e">
        <f t="shared" ca="1" si="126"/>
        <v>#NAME?</v>
      </c>
      <c r="G808" s="100" t="e">
        <f t="shared" ca="1" si="127"/>
        <v>#NAME?</v>
      </c>
      <c r="H808" s="100" t="e">
        <f t="shared" ca="1" si="128"/>
        <v>#NAME?</v>
      </c>
      <c r="I808" s="100" t="e">
        <f ca="1">IFERROR(__xludf.DUMMYFUNCTION("""COMPUTED_VALUE"""),5745344)</f>
        <v>#NAME?</v>
      </c>
      <c r="J808" s="100" t="e">
        <f ca="1">IFERROR(__xludf.DUMMYFUNCTION("""COMPUTED_VALUE"""),"-0.76")</f>
        <v>#NAME?</v>
      </c>
      <c r="K808" s="100" t="e">
        <f ca="1">IFERROR(__xludf.DUMMYFUNCTION("""COMPUTED_VALUE"""),"14.08.2024 05:40:01")</f>
        <v>#NAME?</v>
      </c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 spans="1:26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 spans="1:26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 spans="1:26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 spans="1:26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 spans="1:26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 spans="1:26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 spans="1:26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 spans="1:26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 spans="1:26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 spans="1:26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 spans="1:26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 spans="1:26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 spans="1:26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 spans="1:26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 spans="1:26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 spans="1:26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 spans="1:26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 spans="1:26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 spans="1:26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 spans="1:26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 spans="1:26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 spans="1:26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 spans="1:26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 spans="1:26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 spans="1:26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 spans="1:26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 spans="1:26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 spans="1:26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 spans="1:26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 spans="1:26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 spans="1:26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 spans="1:26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 spans="1:26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 spans="1:26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 spans="1:26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 spans="1:26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 spans="1:26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 spans="1:26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 spans="1:26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 spans="1:26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 spans="1:26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 spans="1:26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 spans="1:26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 spans="1:26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 spans="1:26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 spans="1:26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 spans="1:26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 spans="1:26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 spans="1:26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 spans="1:26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 spans="1:26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 spans="1:26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 spans="1:26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 spans="1:26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 spans="1:26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 spans="1:26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 spans="1:26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 spans="1:26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 spans="1:26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 spans="1:26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 spans="1:26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 spans="1:26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 spans="1:26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 spans="1:26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 spans="1:26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 spans="1:26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 spans="1:26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 spans="1:26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 spans="1:26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 spans="1:26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 spans="1:26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 spans="1:26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 spans="1:26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 spans="1:26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 spans="1:26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 spans="1:26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 spans="1:26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 spans="1:26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 spans="1:26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 spans="1:26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 spans="1:26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 spans="1:26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 spans="1:26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 spans="1:26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 spans="1:26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 spans="1:26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 spans="1:26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 spans="1:26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 spans="1:26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 spans="1:26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 spans="1:26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 spans="1:26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 spans="1:26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 spans="1:26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 spans="1:26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 spans="1:26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 spans="1:26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 spans="1:26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 spans="1:26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 spans="1:26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 spans="1:26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 spans="1:26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 spans="1:26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 spans="1:26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 spans="1:26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 spans="1:26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 spans="1:26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 spans="1:26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 spans="1:26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 spans="1:26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 spans="1:26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 spans="1:26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 spans="1:26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 spans="1:26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 spans="1:26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 spans="1:26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 spans="1:26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 spans="1:26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 spans="1:26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 spans="1:26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 spans="1:26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 spans="1:26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 spans="1:26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 spans="1:26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 spans="1:26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 spans="1:26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 spans="1:26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 spans="1:26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 spans="1:26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 spans="1:26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 spans="1:26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 spans="1:26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 spans="1:26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 spans="1:26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 spans="1:26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 spans="1:26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 spans="1:26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 spans="1:26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 spans="1:26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 spans="1:26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 spans="1:26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 spans="1:26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 spans="1:26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 spans="1:26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 spans="1:26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 spans="1:26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 spans="1:26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 spans="1:26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 spans="1:26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 spans="1:26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 spans="1:26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 spans="1:26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 spans="1:26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 spans="1:26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 spans="1:26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 spans="1:26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 spans="1:26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 spans="1:26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 spans="1:26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 spans="1:26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 spans="1:26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 spans="1:26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 spans="1:26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 spans="1:26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 spans="1:26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 spans="1:26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 spans="1:26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 spans="1:26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 spans="1:26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 spans="1:26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 spans="1:26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 spans="1:26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 spans="1:26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 spans="1:26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 spans="1:26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 spans="1:26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 spans="1:26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 spans="1:26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 spans="1:26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 spans="1:26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 spans="1:26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 spans="1:26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 spans="1:26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 spans="1:26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 spans="1:26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 spans="1:26">
      <c r="A994" s="100"/>
      <c r="B994" s="100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 spans="1:26">
      <c r="A995" s="100"/>
      <c r="B995" s="100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 spans="1:26">
      <c r="A996" s="100"/>
      <c r="B996" s="100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 spans="1:26">
      <c r="A997" s="100"/>
      <c r="B997" s="100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 spans="1:26">
      <c r="A998" s="100"/>
      <c r="B998" s="100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 spans="1:26">
      <c r="A999" s="100"/>
      <c r="B999" s="100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 spans="1:26">
      <c r="A1000" s="100"/>
      <c r="B1000" s="100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  <row r="1001" spans="1:26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</row>
    <row r="1002" spans="1:26">
      <c r="A1002" s="100"/>
      <c r="B1002" s="100"/>
      <c r="C1002" s="1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</row>
    <row r="1003" spans="1:26">
      <c r="A1003" s="100"/>
      <c r="B1003" s="100"/>
      <c r="C1003" s="1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</row>
    <row r="1004" spans="1:26">
      <c r="A1004" s="100"/>
      <c r="B1004" s="100"/>
      <c r="C1004" s="1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</row>
    <row r="1005" spans="1:26">
      <c r="A1005" s="100"/>
      <c r="B1005" s="100"/>
      <c r="C1005" s="1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</row>
    <row r="1006" spans="1:26">
      <c r="A1006" s="100"/>
      <c r="B1006" s="100"/>
      <c r="C1006" s="1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</row>
    <row r="1007" spans="1:26">
      <c r="A1007" s="100"/>
      <c r="B1007" s="100"/>
      <c r="C1007" s="1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</row>
    <row r="1008" spans="1:26">
      <c r="A1008" s="100"/>
      <c r="B1008" s="100"/>
      <c r="C1008" s="1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</row>
    <row r="1009" spans="1:26">
      <c r="A1009" s="100"/>
      <c r="B1009" s="100"/>
      <c r="C1009" s="1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</row>
    <row r="1010" spans="1:26">
      <c r="A1010" s="100"/>
      <c r="B1010" s="100"/>
      <c r="C1010" s="1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</row>
    <row r="1011" spans="1:26">
      <c r="A1011" s="100"/>
      <c r="B1011" s="100"/>
      <c r="C1011" s="1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</row>
    <row r="1012" spans="1:26">
      <c r="A1012" s="100"/>
      <c r="B1012" s="100"/>
      <c r="C1012" s="1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</row>
    <row r="1013" spans="1:26">
      <c r="A1013" s="100"/>
      <c r="B1013" s="100"/>
      <c r="C1013" s="1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</row>
    <row r="1014" spans="1:26">
      <c r="A1014" s="100"/>
      <c r="B1014" s="100"/>
      <c r="C1014" s="1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</row>
    <row r="1015" spans="1:26">
      <c r="A1015" s="100"/>
      <c r="B1015" s="100"/>
      <c r="C1015" s="1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</row>
    <row r="1016" spans="1:26">
      <c r="A1016" s="100"/>
      <c r="B1016" s="100"/>
      <c r="C1016" s="1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</row>
    <row r="1017" spans="1:26">
      <c r="A1017" s="100"/>
      <c r="B1017" s="100"/>
      <c r="C1017" s="1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</row>
    <row r="1018" spans="1:26">
      <c r="A1018" s="100"/>
      <c r="B1018" s="100"/>
      <c r="C1018" s="1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</row>
    <row r="1019" spans="1:26">
      <c r="A1019" s="100"/>
      <c r="B1019" s="100"/>
      <c r="C1019" s="1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</row>
    <row r="1020" spans="1:26">
      <c r="A1020" s="100"/>
      <c r="B1020" s="100"/>
      <c r="C1020" s="1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</row>
    <row r="1021" spans="1:26">
      <c r="A1021" s="100"/>
      <c r="B1021" s="100"/>
      <c r="C1021" s="1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</row>
    <row r="1022" spans="1:26">
      <c r="A1022" s="100"/>
      <c r="B1022" s="100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</row>
    <row r="1023" spans="1:26">
      <c r="A1023" s="100"/>
      <c r="B1023" s="10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</row>
    <row r="1024" spans="1:26">
      <c r="A1024" s="100"/>
      <c r="B1024" s="10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</row>
    <row r="1025" spans="1:26">
      <c r="A1025" s="100"/>
      <c r="B1025" s="10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</row>
    <row r="1026" spans="1:26">
      <c r="A1026" s="100"/>
      <c r="B1026" s="10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</row>
    <row r="1027" spans="1:26">
      <c r="A1027" s="100"/>
      <c r="B1027" s="100"/>
      <c r="C1027" s="1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</row>
    <row r="1028" spans="1:26">
      <c r="A1028" s="100"/>
      <c r="B1028" s="100"/>
      <c r="C1028" s="1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</row>
    <row r="1029" spans="1:26">
      <c r="A1029" s="100"/>
      <c r="B1029" s="100"/>
      <c r="C1029" s="1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</row>
    <row r="1030" spans="1:26">
      <c r="A1030" s="100"/>
      <c r="B1030" s="100"/>
      <c r="C1030" s="1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</row>
    <row r="1031" spans="1:26">
      <c r="A1031" s="100"/>
      <c r="B1031" s="100"/>
      <c r="C1031" s="1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</row>
    <row r="1032" spans="1:26">
      <c r="A1032" s="100"/>
      <c r="B1032" s="100"/>
      <c r="C1032" s="1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</row>
    <row r="1033" spans="1:26">
      <c r="A1033" s="100"/>
      <c r="B1033" s="100"/>
      <c r="C1033" s="1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</row>
    <row r="1034" spans="1:26">
      <c r="A1034" s="100"/>
      <c r="B1034" s="100"/>
      <c r="C1034" s="1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</row>
    <row r="1035" spans="1:26">
      <c r="A1035" s="100"/>
      <c r="B1035" s="100"/>
      <c r="C1035" s="1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</row>
    <row r="1036" spans="1:26">
      <c r="A1036" s="100"/>
      <c r="B1036" s="100"/>
      <c r="C1036" s="1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</row>
    <row r="1037" spans="1:26">
      <c r="A1037" s="100"/>
      <c r="B1037" s="100"/>
      <c r="C1037" s="1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</row>
    <row r="1038" spans="1:26">
      <c r="A1038" s="100"/>
      <c r="B1038" s="100"/>
      <c r="C1038" s="1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</row>
    <row r="1039" spans="1:26">
      <c r="A1039" s="100"/>
      <c r="B1039" s="100"/>
      <c r="C1039" s="1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</row>
    <row r="1040" spans="1:26">
      <c r="A1040" s="100"/>
      <c r="B1040" s="100"/>
      <c r="C1040" s="1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</row>
    <row r="1041" spans="1:26">
      <c r="A1041" s="100"/>
      <c r="B1041" s="100"/>
      <c r="C1041" s="1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</row>
    <row r="1042" spans="1:26">
      <c r="A1042" s="100"/>
      <c r="B1042" s="100"/>
      <c r="C1042" s="1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</row>
    <row r="1043" spans="1:26">
      <c r="A1043" s="100"/>
      <c r="B1043" s="100"/>
      <c r="C1043" s="1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</row>
    <row r="1044" spans="1:26">
      <c r="A1044" s="100"/>
      <c r="B1044" s="100"/>
      <c r="C1044" s="1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</row>
    <row r="1045" spans="1:26">
      <c r="A1045" s="100"/>
      <c r="B1045" s="100"/>
      <c r="C1045" s="1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</row>
    <row r="1046" spans="1:26">
      <c r="A1046" s="100"/>
      <c r="B1046" s="100"/>
      <c r="C1046" s="1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</row>
    <row r="1047" spans="1:26">
      <c r="A1047" s="100"/>
      <c r="B1047" s="100"/>
      <c r="C1047" s="1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</row>
    <row r="1048" spans="1:26">
      <c r="A1048" s="100"/>
      <c r="B1048" s="100"/>
      <c r="C1048" s="1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</row>
    <row r="1049" spans="1:26">
      <c r="A1049" s="100"/>
      <c r="B1049" s="100"/>
      <c r="C1049" s="1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</row>
    <row r="1050" spans="1:26">
      <c r="A1050" s="100"/>
      <c r="B1050" s="100"/>
      <c r="C1050" s="1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</row>
    <row r="1051" spans="1:26">
      <c r="A1051" s="100"/>
      <c r="B1051" s="100"/>
      <c r="C1051" s="1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</row>
    <row r="1052" spans="1:26">
      <c r="A1052" s="100"/>
      <c r="B1052" s="100"/>
      <c r="C1052" s="1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</row>
    <row r="1053" spans="1:26">
      <c r="A1053" s="100"/>
      <c r="B1053" s="100"/>
      <c r="C1053" s="1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</row>
    <row r="1054" spans="1:26">
      <c r="A1054" s="100"/>
      <c r="B1054" s="100"/>
      <c r="C1054" s="1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</row>
    <row r="1055" spans="1:26">
      <c r="A1055" s="100"/>
      <c r="B1055" s="100"/>
      <c r="C1055" s="1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</row>
    <row r="1056" spans="1:26">
      <c r="A1056" s="100"/>
      <c r="B1056" s="100"/>
      <c r="C1056" s="1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</row>
    <row r="1057" spans="1:26">
      <c r="A1057" s="100"/>
      <c r="B1057" s="100"/>
      <c r="C1057" s="1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</row>
    <row r="1058" spans="1:26">
      <c r="A1058" s="100"/>
      <c r="B1058" s="100"/>
      <c r="C1058" s="1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</row>
    <row r="1059" spans="1:26">
      <c r="A1059" s="100"/>
      <c r="B1059" s="100"/>
      <c r="C1059" s="1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</row>
    <row r="1060" spans="1:26">
      <c r="A1060" s="100"/>
      <c r="B1060" s="100"/>
      <c r="C1060" s="1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</row>
    <row r="1061" spans="1:26">
      <c r="A1061" s="100"/>
      <c r="B1061" s="100"/>
      <c r="C1061" s="1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</row>
    <row r="1062" spans="1:26">
      <c r="A1062" s="100"/>
      <c r="B1062" s="100"/>
      <c r="C1062" s="1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</row>
    <row r="1063" spans="1:26">
      <c r="A1063" s="100"/>
      <c r="B1063" s="100"/>
      <c r="C1063" s="1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</row>
    <row r="1064" spans="1:26">
      <c r="A1064" s="100"/>
      <c r="B1064" s="100"/>
      <c r="C1064" s="1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</row>
    <row r="1065" spans="1:26">
      <c r="A1065" s="100"/>
      <c r="B1065" s="100"/>
      <c r="C1065" s="1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</row>
    <row r="1066" spans="1:26">
      <c r="A1066" s="100"/>
      <c r="B1066" s="100"/>
      <c r="C1066" s="1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</row>
    <row r="1067" spans="1:26">
      <c r="A1067" s="100"/>
      <c r="B1067" s="100"/>
      <c r="C1067" s="1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</row>
    <row r="1068" spans="1:26">
      <c r="A1068" s="100"/>
      <c r="B1068" s="100"/>
      <c r="C1068" s="1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</row>
    <row r="1069" spans="1:26">
      <c r="A1069" s="100"/>
      <c r="B1069" s="100"/>
      <c r="C1069" s="1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</row>
    <row r="1070" spans="1:26">
      <c r="A1070" s="100"/>
      <c r="B1070" s="100"/>
      <c r="C1070" s="1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</row>
    <row r="1071" spans="1:26">
      <c r="A1071" s="100"/>
      <c r="B1071" s="100"/>
      <c r="C1071" s="1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</row>
    <row r="1072" spans="1:26">
      <c r="A1072" s="100"/>
      <c r="B1072" s="100"/>
      <c r="C1072" s="1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</row>
    <row r="1073" spans="1:26">
      <c r="A1073" s="100"/>
      <c r="B1073" s="100"/>
      <c r="C1073" s="1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</row>
    <row r="1074" spans="1:26">
      <c r="A1074" s="100"/>
      <c r="B1074" s="100"/>
      <c r="C1074" s="1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</row>
    <row r="1075" spans="1:26">
      <c r="A1075" s="100"/>
      <c r="B1075" s="100"/>
      <c r="C1075" s="1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</row>
    <row r="1076" spans="1:26">
      <c r="A1076" s="100"/>
      <c r="B1076" s="100"/>
      <c r="C1076" s="1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</row>
    <row r="1077" spans="1:26">
      <c r="A1077" s="100"/>
      <c r="B1077" s="100"/>
      <c r="C1077" s="1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</row>
    <row r="1078" spans="1:26">
      <c r="A1078" s="100"/>
      <c r="B1078" s="100"/>
      <c r="C1078" s="1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</row>
    <row r="1079" spans="1:26">
      <c r="A1079" s="100"/>
      <c r="B1079" s="100"/>
      <c r="C1079" s="1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</row>
    <row r="1080" spans="1:26">
      <c r="A1080" s="100"/>
      <c r="B1080" s="100"/>
      <c r="C1080" s="1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</row>
    <row r="1081" spans="1:26">
      <c r="A1081" s="100"/>
      <c r="B1081" s="100"/>
      <c r="C1081" s="1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</row>
    <row r="1082" spans="1:26">
      <c r="A1082" s="100"/>
      <c r="B1082" s="100"/>
      <c r="C1082" s="1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</row>
    <row r="1083" spans="1:26">
      <c r="A1083" s="100"/>
      <c r="B1083" s="100"/>
      <c r="C1083" s="1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</row>
    <row r="1084" spans="1:26">
      <c r="A1084" s="100"/>
      <c r="B1084" s="100"/>
      <c r="C1084" s="1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</row>
    <row r="1085" spans="1:26">
      <c r="A1085" s="100"/>
      <c r="B1085" s="100"/>
      <c r="C1085" s="1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</row>
    <row r="1086" spans="1:26">
      <c r="A1086" s="100"/>
      <c r="B1086" s="100"/>
      <c r="C1086" s="1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</row>
    <row r="1087" spans="1:26">
      <c r="A1087" s="100"/>
      <c r="B1087" s="100"/>
      <c r="C1087" s="1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</row>
    <row r="1088" spans="1:26">
      <c r="A1088" s="100"/>
      <c r="B1088" s="100"/>
      <c r="C1088" s="1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</row>
    <row r="1089" spans="1:26">
      <c r="A1089" s="100"/>
      <c r="B1089" s="100"/>
      <c r="C1089" s="1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</row>
    <row r="1090" spans="1:26">
      <c r="A1090" s="100"/>
      <c r="B1090" s="100"/>
      <c r="C1090" s="1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</row>
    <row r="1091" spans="1:26">
      <c r="A1091" s="100"/>
      <c r="B1091" s="100"/>
      <c r="C1091" s="1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</row>
    <row r="1092" spans="1:26">
      <c r="A1092" s="100"/>
      <c r="B1092" s="100"/>
      <c r="C1092" s="1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</row>
    <row r="1093" spans="1:26">
      <c r="A1093" s="100"/>
      <c r="B1093" s="100"/>
      <c r="C1093" s="1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</row>
    <row r="1094" spans="1:26">
      <c r="A1094" s="100"/>
      <c r="B1094" s="100"/>
      <c r="C1094" s="1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</row>
    <row r="1095" spans="1:26">
      <c r="A1095" s="100"/>
      <c r="B1095" s="100"/>
      <c r="C1095" s="1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</row>
    <row r="1096" spans="1:26">
      <c r="A1096" s="100"/>
      <c r="B1096" s="100"/>
      <c r="C1096" s="1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</row>
    <row r="1097" spans="1:26">
      <c r="A1097" s="100"/>
      <c r="B1097" s="100"/>
      <c r="C1097" s="1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</row>
    <row r="1098" spans="1:26">
      <c r="A1098" s="100"/>
      <c r="B1098" s="100"/>
      <c r="C1098" s="1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</row>
    <row r="1099" spans="1:26">
      <c r="A1099" s="100"/>
      <c r="B1099" s="100"/>
      <c r="C1099" s="1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</row>
    <row r="1100" spans="1:26">
      <c r="A1100" s="100"/>
      <c r="B1100" s="100"/>
      <c r="C1100" s="1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</row>
    <row r="1101" spans="1:26">
      <c r="A1101" s="100"/>
      <c r="B1101" s="100"/>
      <c r="C1101" s="1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</row>
    <row r="1102" spans="1:26">
      <c r="A1102" s="100"/>
      <c r="B1102" s="100"/>
      <c r="C1102" s="1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</row>
    <row r="1103" spans="1:26">
      <c r="A1103" s="100"/>
      <c r="B1103" s="100"/>
      <c r="C1103" s="1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</row>
    <row r="1104" spans="1:26">
      <c r="A1104" s="100"/>
      <c r="B1104" s="100"/>
      <c r="C1104" s="1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</row>
    <row r="1105" spans="1:26">
      <c r="A1105" s="100"/>
      <c r="B1105" s="100"/>
      <c r="C1105" s="1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</row>
    <row r="1106" spans="1:26">
      <c r="A1106" s="100"/>
      <c r="B1106" s="100"/>
      <c r="C1106" s="1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</row>
    <row r="1107" spans="1:26">
      <c r="A1107" s="100"/>
      <c r="B1107" s="100"/>
      <c r="C1107" s="1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</row>
    <row r="1108" spans="1:26">
      <c r="A1108" s="100"/>
      <c r="B1108" s="100"/>
      <c r="C1108" s="1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</row>
    <row r="1109" spans="1:26">
      <c r="A1109" s="100"/>
      <c r="B1109" s="100"/>
      <c r="C1109" s="1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</row>
    <row r="1110" spans="1:26">
      <c r="A1110" s="100"/>
      <c r="B1110" s="100"/>
      <c r="C1110" s="1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</row>
    <row r="1111" spans="1:26">
      <c r="A1111" s="100"/>
      <c r="B1111" s="100"/>
      <c r="C1111" s="1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</row>
    <row r="1112" spans="1:26">
      <c r="A1112" s="100"/>
      <c r="B1112" s="100"/>
      <c r="C1112" s="1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</row>
    <row r="1113" spans="1:26">
      <c r="A1113" s="100"/>
      <c r="B1113" s="100"/>
      <c r="C1113" s="1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</row>
    <row r="1114" spans="1:26">
      <c r="A1114" s="100"/>
      <c r="B1114" s="100"/>
      <c r="C1114" s="1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</row>
    <row r="1115" spans="1:26">
      <c r="A1115" s="100"/>
      <c r="B1115" s="100"/>
      <c r="C1115" s="1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</row>
    <row r="1116" spans="1:26">
      <c r="A1116" s="100"/>
      <c r="B1116" s="100"/>
      <c r="C1116" s="1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</row>
    <row r="1117" spans="1:26">
      <c r="A1117" s="100"/>
      <c r="B1117" s="100"/>
      <c r="C1117" s="1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</row>
    <row r="1118" spans="1:26">
      <c r="A1118" s="100"/>
      <c r="B1118" s="100"/>
      <c r="C1118" s="1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</row>
    <row r="1119" spans="1:26">
      <c r="A1119" s="100"/>
      <c r="B1119" s="100"/>
      <c r="C1119" s="1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</row>
    <row r="1120" spans="1:26">
      <c r="A1120" s="100"/>
      <c r="B1120" s="100"/>
      <c r="C1120" s="1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</row>
    <row r="1121" spans="1:26">
      <c r="A1121" s="100"/>
      <c r="B1121" s="100"/>
      <c r="C1121" s="1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</row>
    <row r="1122" spans="1:26">
      <c r="A1122" s="100"/>
      <c r="B1122" s="100"/>
      <c r="C1122" s="1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</row>
    <row r="1123" spans="1:26">
      <c r="A1123" s="100"/>
      <c r="B1123" s="100"/>
      <c r="C1123" s="1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</row>
    <row r="1124" spans="1:26">
      <c r="A1124" s="100"/>
      <c r="B1124" s="100"/>
      <c r="C1124" s="1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</row>
    <row r="1125" spans="1:26">
      <c r="A1125" s="100"/>
      <c r="B1125" s="100"/>
      <c r="C1125" s="1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</row>
    <row r="1126" spans="1:26">
      <c r="A1126" s="100"/>
      <c r="B1126" s="100"/>
      <c r="C1126" s="1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</row>
    <row r="1127" spans="1:26">
      <c r="A1127" s="100"/>
      <c r="B1127" s="100"/>
      <c r="C1127" s="1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</row>
    <row r="1128" spans="1:26">
      <c r="A1128" s="100"/>
      <c r="B1128" s="100"/>
      <c r="C1128" s="1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</row>
    <row r="1129" spans="1:26">
      <c r="A1129" s="100"/>
      <c r="B1129" s="100"/>
      <c r="C1129" s="1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</row>
    <row r="1130" spans="1:26">
      <c r="A1130" s="100"/>
      <c r="B1130" s="100"/>
      <c r="C1130" s="1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</row>
    <row r="1131" spans="1:26">
      <c r="A1131" s="100"/>
      <c r="B1131" s="100"/>
      <c r="C1131" s="1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</row>
    <row r="1132" spans="1:26">
      <c r="A1132" s="100"/>
      <c r="B1132" s="100"/>
      <c r="C1132" s="1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</row>
    <row r="1133" spans="1:26">
      <c r="A1133" s="100"/>
      <c r="B1133" s="100"/>
      <c r="C1133" s="1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</row>
    <row r="1134" spans="1:26">
      <c r="A1134" s="100"/>
      <c r="B1134" s="100"/>
      <c r="C1134" s="1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</row>
    <row r="1135" spans="1:26">
      <c r="A1135" s="100"/>
      <c r="B1135" s="100"/>
      <c r="C1135" s="1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</row>
    <row r="1136" spans="1:26">
      <c r="A1136" s="100"/>
      <c r="B1136" s="100"/>
      <c r="C1136" s="1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</row>
    <row r="1137" spans="1:26">
      <c r="A1137" s="100"/>
      <c r="B1137" s="100"/>
      <c r="C1137" s="1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</row>
    <row r="1138" spans="1:26">
      <c r="A1138" s="100"/>
      <c r="B1138" s="100"/>
      <c r="C1138" s="1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</row>
    <row r="1139" spans="1:26">
      <c r="A1139" s="100"/>
      <c r="B1139" s="100"/>
      <c r="C1139" s="1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</row>
    <row r="1140" spans="1:26">
      <c r="A1140" s="100"/>
      <c r="B1140" s="100"/>
      <c r="C1140" s="1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</row>
    <row r="1141" spans="1:26">
      <c r="A1141" s="100"/>
      <c r="B1141" s="100"/>
      <c r="C1141" s="1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</row>
    <row r="1142" spans="1:26">
      <c r="A1142" s="100"/>
      <c r="B1142" s="100"/>
      <c r="C1142" s="1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</row>
    <row r="1143" spans="1:26">
      <c r="A1143" s="100"/>
      <c r="B1143" s="100"/>
      <c r="C1143" s="1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</row>
    <row r="1144" spans="1:26">
      <c r="A1144" s="100"/>
      <c r="B1144" s="100"/>
      <c r="C1144" s="1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</row>
    <row r="1145" spans="1:26">
      <c r="A1145" s="100"/>
      <c r="B1145" s="100"/>
      <c r="C1145" s="1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</row>
    <row r="1146" spans="1:26">
      <c r="A1146" s="100"/>
      <c r="B1146" s="100"/>
      <c r="C1146" s="1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</row>
    <row r="1147" spans="1:26">
      <c r="A1147" s="100"/>
      <c r="B1147" s="100"/>
      <c r="C1147" s="1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</row>
    <row r="1148" spans="1:26">
      <c r="A1148" s="100"/>
      <c r="B1148" s="100"/>
      <c r="C1148" s="1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</row>
    <row r="1149" spans="1:26">
      <c r="A1149" s="100"/>
      <c r="B1149" s="100"/>
      <c r="C1149" s="1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</row>
    <row r="1150" spans="1:26">
      <c r="A1150" s="100"/>
      <c r="B1150" s="100"/>
      <c r="C1150" s="1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</row>
    <row r="1151" spans="1:26">
      <c r="A1151" s="100"/>
      <c r="B1151" s="100"/>
      <c r="C1151" s="1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</row>
    <row r="1152" spans="1:26">
      <c r="A1152" s="100"/>
      <c r="B1152" s="100"/>
      <c r="C1152" s="1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</row>
    <row r="1153" spans="1:26">
      <c r="A1153" s="100"/>
      <c r="B1153" s="100"/>
      <c r="C1153" s="1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</row>
    <row r="1154" spans="1:26">
      <c r="A1154" s="100"/>
      <c r="B1154" s="100"/>
      <c r="C1154" s="1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</row>
    <row r="1155" spans="1:26">
      <c r="A1155" s="100"/>
      <c r="B1155" s="100"/>
      <c r="C1155" s="1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</row>
    <row r="1156" spans="1:26">
      <c r="A1156" s="100"/>
      <c r="B1156" s="100"/>
      <c r="C1156" s="1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</row>
    <row r="1157" spans="1:26">
      <c r="A1157" s="100"/>
      <c r="B1157" s="100"/>
      <c r="C1157" s="1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</row>
    <row r="1158" spans="1:26">
      <c r="A1158" s="100"/>
      <c r="B1158" s="100"/>
      <c r="C1158" s="1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</row>
    <row r="1159" spans="1:26">
      <c r="A1159" s="100"/>
      <c r="B1159" s="100"/>
      <c r="C1159" s="1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</row>
    <row r="1160" spans="1:26">
      <c r="A1160" s="100"/>
      <c r="B1160" s="100"/>
      <c r="C1160" s="1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</row>
    <row r="1161" spans="1:26">
      <c r="A1161" s="100"/>
      <c r="B1161" s="100"/>
      <c r="C1161" s="1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</row>
    <row r="1162" spans="1:26">
      <c r="A1162" s="100"/>
      <c r="B1162" s="100"/>
      <c r="C1162" s="1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</row>
    <row r="1163" spans="1:26">
      <c r="A1163" s="100"/>
      <c r="B1163" s="100"/>
      <c r="C1163" s="1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</row>
    <row r="1164" spans="1:26">
      <c r="A1164" s="100"/>
      <c r="B1164" s="100"/>
      <c r="C1164" s="1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</row>
    <row r="1165" spans="1:26">
      <c r="A1165" s="100"/>
      <c r="B1165" s="100"/>
      <c r="C1165" s="1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</row>
    <row r="1166" spans="1:26">
      <c r="A1166" s="100"/>
      <c r="B1166" s="100"/>
      <c r="C1166" s="1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</row>
    <row r="1167" spans="1:26">
      <c r="A1167" s="100"/>
      <c r="B1167" s="100"/>
      <c r="C1167" s="1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</row>
    <row r="1168" spans="1:26">
      <c r="A1168" s="100"/>
      <c r="B1168" s="100"/>
      <c r="C1168" s="1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</row>
    <row r="1169" spans="1:26">
      <c r="A1169" s="100"/>
      <c r="B1169" s="100"/>
      <c r="C1169" s="1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</row>
    <row r="1170" spans="1:26">
      <c r="A1170" s="100"/>
      <c r="B1170" s="100"/>
      <c r="C1170" s="1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</row>
    <row r="1171" spans="1:26">
      <c r="A1171" s="100"/>
      <c r="B1171" s="100"/>
      <c r="C1171" s="1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</row>
    <row r="1172" spans="1:26">
      <c r="A1172" s="100"/>
      <c r="B1172" s="100"/>
      <c r="C1172" s="1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</row>
    <row r="1173" spans="1:26">
      <c r="A1173" s="100"/>
      <c r="B1173" s="100"/>
      <c r="C1173" s="1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</row>
    <row r="1174" spans="1:26">
      <c r="A1174" s="100"/>
      <c r="B1174" s="100"/>
      <c r="C1174" s="1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</row>
    <row r="1175" spans="1:26">
      <c r="A1175" s="100"/>
      <c r="B1175" s="100"/>
      <c r="C1175" s="1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</row>
    <row r="1176" spans="1:26">
      <c r="A1176" s="100"/>
      <c r="B1176" s="100"/>
      <c r="C1176" s="1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</row>
    <row r="1177" spans="1:26">
      <c r="A1177" s="100"/>
      <c r="B1177" s="100"/>
      <c r="C1177" s="1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</row>
    <row r="1178" spans="1:26">
      <c r="A1178" s="100"/>
      <c r="B1178" s="100"/>
      <c r="C1178" s="1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</row>
    <row r="1179" spans="1:26">
      <c r="A1179" s="100"/>
      <c r="B1179" s="100"/>
      <c r="C1179" s="1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</row>
    <row r="1180" spans="1:26">
      <c r="A1180" s="100"/>
      <c r="B1180" s="100"/>
      <c r="C1180" s="1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</row>
    <row r="1181" spans="1:26">
      <c r="A1181" s="100"/>
      <c r="B1181" s="100"/>
      <c r="C1181" s="1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</row>
    <row r="1182" spans="1:26">
      <c r="A1182" s="100"/>
      <c r="B1182" s="100"/>
      <c r="C1182" s="1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</row>
    <row r="1183" spans="1:26">
      <c r="A1183" s="100"/>
      <c r="B1183" s="100"/>
      <c r="C1183" s="1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</row>
    <row r="1184" spans="1:26">
      <c r="A1184" s="100"/>
      <c r="B1184" s="100"/>
      <c r="C1184" s="1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</row>
    <row r="1185" spans="1:26">
      <c r="A1185" s="100"/>
      <c r="B1185" s="100"/>
      <c r="C1185" s="1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</row>
    <row r="1186" spans="1:26">
      <c r="A1186" s="100"/>
      <c r="B1186" s="100"/>
      <c r="C1186" s="1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</row>
    <row r="1187" spans="1:26">
      <c r="A1187" s="100"/>
      <c r="B1187" s="100"/>
      <c r="C1187" s="1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</row>
    <row r="1188" spans="1:26">
      <c r="A1188" s="100"/>
      <c r="B1188" s="100"/>
      <c r="C1188" s="1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</row>
    <row r="1189" spans="1:26">
      <c r="A1189" s="100"/>
      <c r="B1189" s="100"/>
      <c r="C1189" s="1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</row>
    <row r="1190" spans="1:26">
      <c r="A1190" s="100"/>
      <c r="B1190" s="100"/>
      <c r="C1190" s="1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</row>
    <row r="1191" spans="1:26">
      <c r="A1191" s="100"/>
      <c r="B1191" s="100"/>
      <c r="C1191" s="1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</row>
    <row r="1192" spans="1:26">
      <c r="A1192" s="100"/>
      <c r="B1192" s="100"/>
      <c r="C1192" s="1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</row>
    <row r="1193" spans="1:26">
      <c r="A1193" s="100"/>
      <c r="B1193" s="100"/>
      <c r="C1193" s="1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</row>
    <row r="1194" spans="1:26">
      <c r="A1194" s="100"/>
      <c r="B1194" s="100"/>
      <c r="C1194" s="1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</row>
    <row r="1195" spans="1:26">
      <c r="A1195" s="100"/>
      <c r="B1195" s="100"/>
      <c r="C1195" s="1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</row>
    <row r="1196" spans="1:26">
      <c r="A1196" s="100"/>
      <c r="B1196" s="100"/>
      <c r="C1196" s="1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</row>
    <row r="1197" spans="1:26">
      <c r="A1197" s="100"/>
      <c r="B1197" s="100"/>
      <c r="C1197" s="1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</row>
    <row r="1198" spans="1:26">
      <c r="A1198" s="100"/>
      <c r="B1198" s="100"/>
      <c r="C1198" s="1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</row>
    <row r="1199" spans="1:26">
      <c r="A1199" s="100"/>
      <c r="B1199" s="100"/>
      <c r="C1199" s="1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</row>
    <row r="1200" spans="1:26">
      <c r="A1200" s="100"/>
      <c r="B1200" s="100"/>
      <c r="C1200" s="1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</row>
    <row r="1201" spans="1:26">
      <c r="A1201" s="100"/>
      <c r="B1201" s="100"/>
      <c r="C1201" s="1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</row>
    <row r="1202" spans="1:26">
      <c r="A1202" s="100"/>
      <c r="B1202" s="100"/>
      <c r="C1202" s="1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</row>
    <row r="1203" spans="1:26">
      <c r="A1203" s="100"/>
      <c r="B1203" s="100"/>
      <c r="C1203" s="1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</row>
    <row r="1204" spans="1:26">
      <c r="A1204" s="100"/>
      <c r="B1204" s="100"/>
      <c r="C1204" s="1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</row>
    <row r="1205" spans="1:26">
      <c r="A1205" s="100"/>
      <c r="B1205" s="100"/>
      <c r="C1205" s="1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</row>
    <row r="1206" spans="1:26">
      <c r="A1206" s="100"/>
      <c r="B1206" s="100"/>
      <c r="C1206" s="1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</row>
    <row r="1207" spans="1:26">
      <c r="A1207" s="100"/>
      <c r="B1207" s="100"/>
      <c r="C1207" s="1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</row>
    <row r="1208" spans="1:26">
      <c r="A1208" s="100"/>
      <c r="B1208" s="100"/>
      <c r="C1208" s="1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</row>
    <row r="1209" spans="1:26">
      <c r="A1209" s="100"/>
      <c r="B1209" s="100"/>
      <c r="C1209" s="1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</row>
    <row r="1210" spans="1:26">
      <c r="A1210" s="100"/>
      <c r="B1210" s="100"/>
      <c r="C1210" s="1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</row>
    <row r="1211" spans="1:26">
      <c r="A1211" s="100"/>
      <c r="B1211" s="100"/>
      <c r="C1211" s="1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</row>
    <row r="1212" spans="1:26">
      <c r="A1212" s="100"/>
      <c r="B1212" s="100"/>
      <c r="C1212" s="1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</row>
    <row r="1213" spans="1:26">
      <c r="A1213" s="100"/>
      <c r="B1213" s="100"/>
      <c r="C1213" s="1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</row>
    <row r="1214" spans="1:26">
      <c r="A1214" s="100"/>
      <c r="B1214" s="100"/>
      <c r="C1214" s="1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</row>
    <row r="1215" spans="1:26">
      <c r="A1215" s="100"/>
      <c r="B1215" s="100"/>
      <c r="C1215" s="1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</row>
    <row r="1216" spans="1:26">
      <c r="A1216" s="100"/>
      <c r="B1216" s="100"/>
      <c r="C1216" s="1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</row>
    <row r="1217" spans="1:26">
      <c r="A1217" s="100"/>
      <c r="B1217" s="100"/>
      <c r="C1217" s="1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</row>
    <row r="1218" spans="1:26">
      <c r="A1218" s="100"/>
      <c r="B1218" s="100"/>
      <c r="C1218" s="1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</row>
    <row r="1219" spans="1:26">
      <c r="A1219" s="100"/>
      <c r="B1219" s="100"/>
      <c r="C1219" s="1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</row>
    <row r="1220" spans="1:26">
      <c r="A1220" s="100"/>
      <c r="B1220" s="100"/>
      <c r="C1220" s="1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</row>
    <row r="1221" spans="1:26">
      <c r="A1221" s="100"/>
      <c r="B1221" s="100"/>
      <c r="C1221" s="1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</row>
    <row r="1222" spans="1:26">
      <c r="A1222" s="100"/>
      <c r="B1222" s="100"/>
      <c r="C1222" s="1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</row>
    <row r="1223" spans="1:26">
      <c r="A1223" s="100"/>
      <c r="B1223" s="100"/>
      <c r="C1223" s="1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</row>
    <row r="1224" spans="1:26">
      <c r="A1224" s="100"/>
      <c r="B1224" s="100"/>
      <c r="C1224" s="1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</row>
    <row r="1225" spans="1:26">
      <c r="A1225" s="100"/>
      <c r="B1225" s="100"/>
      <c r="C1225" s="1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</row>
    <row r="1226" spans="1:26">
      <c r="A1226" s="100"/>
      <c r="B1226" s="100"/>
      <c r="C1226" s="1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</row>
    <row r="1227" spans="1:26">
      <c r="A1227" s="100"/>
      <c r="B1227" s="100"/>
      <c r="C1227" s="1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</row>
    <row r="1228" spans="1:26">
      <c r="A1228" s="100"/>
      <c r="B1228" s="100"/>
      <c r="C1228" s="1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</row>
    <row r="1229" spans="1:26">
      <c r="A1229" s="100"/>
      <c r="B1229" s="100"/>
      <c r="C1229" s="1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</row>
    <row r="1230" spans="1:26">
      <c r="A1230" s="100"/>
      <c r="B1230" s="100"/>
      <c r="C1230" s="1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</row>
    <row r="1231" spans="1:26">
      <c r="A1231" s="100"/>
      <c r="B1231" s="100"/>
      <c r="C1231" s="1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</row>
    <row r="1232" spans="1:26">
      <c r="A1232" s="100"/>
      <c r="B1232" s="100"/>
      <c r="C1232" s="1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</row>
    <row r="1233" spans="1:26">
      <c r="A1233" s="100"/>
      <c r="B1233" s="100"/>
      <c r="C1233" s="1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</row>
    <row r="1234" spans="1:26">
      <c r="A1234" s="100"/>
      <c r="B1234" s="100"/>
      <c r="C1234" s="1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</row>
    <row r="1235" spans="1:26">
      <c r="A1235" s="100"/>
      <c r="B1235" s="100"/>
      <c r="C1235" s="1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</row>
    <row r="1236" spans="1:26">
      <c r="A1236" s="100"/>
      <c r="B1236" s="100"/>
      <c r="C1236" s="1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</row>
    <row r="1237" spans="1:26">
      <c r="A1237" s="100"/>
      <c r="B1237" s="100"/>
      <c r="C1237" s="1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</row>
    <row r="1238" spans="1:26">
      <c r="A1238" s="100"/>
      <c r="B1238" s="100"/>
      <c r="C1238" s="1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</row>
    <row r="1239" spans="1:26">
      <c r="A1239" s="100"/>
      <c r="B1239" s="100"/>
      <c r="C1239" s="1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</row>
    <row r="1240" spans="1:26">
      <c r="A1240" s="100"/>
      <c r="B1240" s="100"/>
      <c r="C1240" s="1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</row>
    <row r="1241" spans="1:26">
      <c r="A1241" s="100"/>
      <c r="B1241" s="100"/>
      <c r="C1241" s="1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</row>
    <row r="1242" spans="1:26">
      <c r="A1242" s="100"/>
      <c r="B1242" s="100"/>
      <c r="C1242" s="1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</row>
    <row r="1243" spans="1:26">
      <c r="A1243" s="100"/>
      <c r="B1243" s="100"/>
      <c r="C1243" s="1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</row>
    <row r="1244" spans="1:26">
      <c r="A1244" s="100"/>
      <c r="B1244" s="100"/>
      <c r="C1244" s="1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</row>
    <row r="1245" spans="1:26">
      <c r="A1245" s="100"/>
      <c r="B1245" s="100"/>
      <c r="C1245" s="1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</row>
    <row r="1246" spans="1:26">
      <c r="A1246" s="100"/>
      <c r="B1246" s="100"/>
      <c r="C1246" s="1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</row>
    <row r="1247" spans="1:26">
      <c r="A1247" s="100"/>
      <c r="B1247" s="100"/>
      <c r="C1247" s="1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</row>
    <row r="1248" spans="1:26">
      <c r="A1248" s="100"/>
      <c r="B1248" s="100"/>
      <c r="C1248" s="1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</row>
    <row r="1249" spans="1:26">
      <c r="A1249" s="100"/>
      <c r="B1249" s="100"/>
      <c r="C1249" s="1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</row>
    <row r="1250" spans="1:26">
      <c r="A1250" s="100"/>
      <c r="B1250" s="100"/>
      <c r="C1250" s="1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</row>
    <row r="1251" spans="1:26">
      <c r="A1251" s="100"/>
      <c r="B1251" s="100"/>
      <c r="C1251" s="1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</row>
    <row r="1252" spans="1:26">
      <c r="A1252" s="100"/>
      <c r="B1252" s="100"/>
      <c r="C1252" s="1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</row>
    <row r="1253" spans="1:26">
      <c r="A1253" s="100"/>
      <c r="B1253" s="100"/>
      <c r="C1253" s="1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</row>
    <row r="1254" spans="1:26">
      <c r="A1254" s="100"/>
      <c r="B1254" s="100"/>
      <c r="C1254" s="1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</row>
    <row r="1255" spans="1:26">
      <c r="A1255" s="100"/>
      <c r="B1255" s="100"/>
      <c r="C1255" s="1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</row>
    <row r="1256" spans="1:26">
      <c r="A1256" s="100"/>
      <c r="B1256" s="100"/>
      <c r="C1256" s="1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</row>
    <row r="1257" spans="1:26">
      <c r="A1257" s="100"/>
      <c r="B1257" s="100"/>
      <c r="C1257" s="1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</row>
    <row r="1258" spans="1:26">
      <c r="A1258" s="100"/>
      <c r="B1258" s="100"/>
      <c r="C1258" s="1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</row>
    <row r="1259" spans="1:26">
      <c r="A1259" s="100"/>
      <c r="B1259" s="100"/>
      <c r="C1259" s="1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</row>
    <row r="1260" spans="1:26">
      <c r="A1260" s="100"/>
      <c r="B1260" s="100"/>
      <c r="C1260" s="1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</row>
    <row r="1261" spans="1:26">
      <c r="A1261" s="100"/>
      <c r="B1261" s="100"/>
      <c r="C1261" s="1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</row>
    <row r="1262" spans="1:26">
      <c r="A1262" s="100"/>
      <c r="B1262" s="100"/>
      <c r="C1262" s="1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</row>
    <row r="1263" spans="1:26">
      <c r="A1263" s="100"/>
      <c r="B1263" s="100"/>
      <c r="C1263" s="1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</row>
    <row r="1264" spans="1:26">
      <c r="A1264" s="100"/>
      <c r="B1264" s="100"/>
      <c r="C1264" s="1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</row>
    <row r="1265" spans="1:26">
      <c r="A1265" s="100"/>
      <c r="B1265" s="100"/>
      <c r="C1265" s="1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</row>
    <row r="1266" spans="1:26">
      <c r="A1266" s="100"/>
      <c r="B1266" s="100"/>
      <c r="C1266" s="1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</row>
    <row r="1267" spans="1:26">
      <c r="A1267" s="100"/>
      <c r="B1267" s="100"/>
      <c r="C1267" s="1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</row>
    <row r="1268" spans="1:26">
      <c r="A1268" s="100"/>
      <c r="B1268" s="100"/>
      <c r="C1268" s="1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</row>
    <row r="1269" spans="1:26">
      <c r="A1269" s="100"/>
      <c r="B1269" s="100"/>
      <c r="C1269" s="1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</row>
    <row r="1270" spans="1:26">
      <c r="A1270" s="100"/>
      <c r="B1270" s="100"/>
      <c r="C1270" s="1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</row>
    <row r="1271" spans="1:26">
      <c r="A1271" s="100"/>
      <c r="B1271" s="100"/>
      <c r="C1271" s="1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</row>
    <row r="1272" spans="1:26">
      <c r="A1272" s="100"/>
      <c r="B1272" s="100"/>
      <c r="C1272" s="1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</row>
    <row r="1273" spans="1:26">
      <c r="A1273" s="100"/>
      <c r="B1273" s="100"/>
      <c r="C1273" s="1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</row>
    <row r="1274" spans="1:26">
      <c r="A1274" s="100"/>
      <c r="B1274" s="100"/>
      <c r="C1274" s="1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</row>
    <row r="1275" spans="1:26">
      <c r="A1275" s="100"/>
      <c r="B1275" s="100"/>
      <c r="C1275" s="1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</row>
    <row r="1276" spans="1:26">
      <c r="A1276" s="100"/>
      <c r="B1276" s="100"/>
      <c r="C1276" s="1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</row>
    <row r="1277" spans="1:26">
      <c r="A1277" s="100"/>
      <c r="B1277" s="100"/>
      <c r="C1277" s="1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</row>
    <row r="1278" spans="1:26">
      <c r="A1278" s="100"/>
      <c r="B1278" s="100"/>
      <c r="C1278" s="1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</row>
    <row r="1279" spans="1:26">
      <c r="A1279" s="100"/>
      <c r="B1279" s="100"/>
      <c r="C1279" s="1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</row>
    <row r="1280" spans="1:26">
      <c r="A1280" s="100"/>
      <c r="B1280" s="100"/>
      <c r="C1280" s="1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</row>
    <row r="1281" spans="1:26">
      <c r="A1281" s="100"/>
      <c r="B1281" s="100"/>
      <c r="C1281" s="1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</row>
    <row r="1282" spans="1:26">
      <c r="A1282" s="100"/>
      <c r="B1282" s="100"/>
      <c r="C1282" s="1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</row>
    <row r="1283" spans="1:26">
      <c r="A1283" s="100"/>
      <c r="B1283" s="100"/>
      <c r="C1283" s="1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</row>
    <row r="1284" spans="1:26">
      <c r="A1284" s="100"/>
      <c r="B1284" s="100"/>
      <c r="C1284" s="1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</row>
    <row r="1285" spans="1:26">
      <c r="A1285" s="100"/>
      <c r="B1285" s="100"/>
      <c r="C1285" s="1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</row>
    <row r="1286" spans="1:26">
      <c r="A1286" s="100"/>
      <c r="B1286" s="100"/>
      <c r="C1286" s="1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</row>
    <row r="1287" spans="1:26">
      <c r="A1287" s="100"/>
      <c r="B1287" s="100"/>
      <c r="C1287" s="1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</row>
    <row r="1288" spans="1:26">
      <c r="A1288" s="100"/>
      <c r="B1288" s="100"/>
      <c r="C1288" s="1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</row>
    <row r="1289" spans="1:26">
      <c r="A1289" s="100"/>
      <c r="B1289" s="100"/>
      <c r="C1289" s="1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</row>
    <row r="1290" spans="1:26">
      <c r="A1290" s="100"/>
      <c r="B1290" s="100"/>
      <c r="C1290" s="1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</row>
    <row r="1291" spans="1:26">
      <c r="A1291" s="100"/>
      <c r="B1291" s="100"/>
      <c r="C1291" s="1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</row>
    <row r="1292" spans="1:26">
      <c r="A1292" s="100"/>
      <c r="B1292" s="100"/>
      <c r="C1292" s="1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</row>
    <row r="1293" spans="1:26">
      <c r="A1293" s="100"/>
      <c r="B1293" s="100"/>
      <c r="C1293" s="1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</row>
    <row r="1294" spans="1:26">
      <c r="A1294" s="100"/>
      <c r="B1294" s="100"/>
      <c r="C1294" s="1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</row>
    <row r="1295" spans="1:26">
      <c r="A1295" s="100"/>
      <c r="B1295" s="100"/>
      <c r="C1295" s="100"/>
      <c r="D1295" s="100"/>
      <c r="E1295" s="100"/>
      <c r="F1295" s="100"/>
      <c r="G1295" s="100"/>
      <c r="H1295" s="100"/>
      <c r="I1295" s="100"/>
      <c r="J1295" s="100"/>
      <c r="K1295" s="100"/>
      <c r="L1295" s="100"/>
      <c r="M1295" s="100"/>
      <c r="N1295" s="100"/>
      <c r="O1295" s="100"/>
      <c r="P1295" s="100"/>
      <c r="Q1295" s="100"/>
      <c r="R1295" s="100"/>
      <c r="S1295" s="100"/>
      <c r="T1295" s="100"/>
      <c r="U1295" s="100"/>
      <c r="V1295" s="100"/>
      <c r="W1295" s="100"/>
      <c r="X1295" s="100"/>
      <c r="Y1295" s="100"/>
      <c r="Z1295" s="100"/>
    </row>
    <row r="1296" spans="1:26">
      <c r="A1296" s="100"/>
      <c r="B1296" s="100"/>
      <c r="C1296" s="100"/>
      <c r="D1296" s="100"/>
      <c r="E1296" s="100"/>
      <c r="F1296" s="100"/>
      <c r="G1296" s="100"/>
      <c r="H1296" s="100"/>
      <c r="I1296" s="100"/>
      <c r="J1296" s="100"/>
      <c r="K1296" s="100"/>
      <c r="L1296" s="100"/>
      <c r="M1296" s="100"/>
      <c r="N1296" s="100"/>
      <c r="O1296" s="100"/>
      <c r="P1296" s="100"/>
      <c r="Q1296" s="100"/>
      <c r="R1296" s="100"/>
      <c r="S1296" s="100"/>
      <c r="T1296" s="100"/>
      <c r="U1296" s="100"/>
      <c r="V1296" s="100"/>
      <c r="W1296" s="100"/>
      <c r="X1296" s="100"/>
      <c r="Y1296" s="100"/>
      <c r="Z1296" s="100"/>
    </row>
    <row r="1297" spans="1:26">
      <c r="A1297" s="100"/>
      <c r="B1297" s="100"/>
      <c r="C1297" s="100"/>
      <c r="D1297" s="100"/>
      <c r="E1297" s="100"/>
      <c r="F1297" s="100"/>
      <c r="G1297" s="100"/>
      <c r="H1297" s="100"/>
      <c r="I1297" s="100"/>
      <c r="J1297" s="100"/>
      <c r="K1297" s="100"/>
      <c r="L1297" s="100"/>
      <c r="M1297" s="100"/>
      <c r="N1297" s="100"/>
      <c r="O1297" s="100"/>
      <c r="P1297" s="100"/>
      <c r="Q1297" s="100"/>
      <c r="R1297" s="100"/>
      <c r="S1297" s="100"/>
      <c r="T1297" s="100"/>
      <c r="U1297" s="100"/>
      <c r="V1297" s="100"/>
      <c r="W1297" s="100"/>
      <c r="X1297" s="100"/>
      <c r="Y1297" s="100"/>
      <c r="Z1297" s="100"/>
    </row>
    <row r="1298" spans="1:26">
      <c r="A1298" s="100"/>
      <c r="B1298" s="100"/>
      <c r="C1298" s="100"/>
      <c r="D1298" s="100"/>
      <c r="E1298" s="100"/>
      <c r="F1298" s="100"/>
      <c r="G1298" s="100"/>
      <c r="H1298" s="100"/>
      <c r="I1298" s="100"/>
      <c r="J1298" s="100"/>
      <c r="K1298" s="100"/>
      <c r="L1298" s="100"/>
      <c r="M1298" s="100"/>
      <c r="N1298" s="100"/>
      <c r="O1298" s="100"/>
      <c r="P1298" s="100"/>
      <c r="Q1298" s="100"/>
      <c r="R1298" s="100"/>
      <c r="S1298" s="100"/>
      <c r="T1298" s="100"/>
      <c r="U1298" s="100"/>
      <c r="V1298" s="100"/>
      <c r="W1298" s="100"/>
      <c r="X1298" s="100"/>
      <c r="Y1298" s="100"/>
      <c r="Z1298" s="100"/>
    </row>
    <row r="1299" spans="1:26">
      <c r="A1299" s="100"/>
      <c r="B1299" s="100"/>
      <c r="C1299" s="100"/>
      <c r="D1299" s="100"/>
      <c r="E1299" s="100"/>
      <c r="F1299" s="100"/>
      <c r="G1299" s="100"/>
      <c r="H1299" s="100"/>
      <c r="I1299" s="100"/>
      <c r="J1299" s="100"/>
      <c r="K1299" s="100"/>
      <c r="L1299" s="100"/>
      <c r="M1299" s="100"/>
      <c r="N1299" s="100"/>
      <c r="O1299" s="100"/>
      <c r="P1299" s="100"/>
      <c r="Q1299" s="100"/>
      <c r="R1299" s="100"/>
      <c r="S1299" s="100"/>
      <c r="T1299" s="100"/>
      <c r="U1299" s="100"/>
      <c r="V1299" s="100"/>
      <c r="W1299" s="100"/>
      <c r="X1299" s="100"/>
      <c r="Y1299" s="100"/>
      <c r="Z1299" s="100"/>
    </row>
    <row r="1300" spans="1:26">
      <c r="A1300" s="100"/>
      <c r="B1300" s="100"/>
      <c r="C1300" s="100"/>
      <c r="D1300" s="100"/>
      <c r="E1300" s="100"/>
      <c r="F1300" s="100"/>
      <c r="G1300" s="100"/>
      <c r="H1300" s="100"/>
      <c r="I1300" s="100"/>
      <c r="J1300" s="100"/>
      <c r="K1300" s="100"/>
      <c r="L1300" s="100"/>
      <c r="M1300" s="100"/>
      <c r="N1300" s="100"/>
      <c r="O1300" s="100"/>
      <c r="P1300" s="100"/>
      <c r="Q1300" s="100"/>
      <c r="R1300" s="100"/>
      <c r="S1300" s="100"/>
      <c r="T1300" s="100"/>
      <c r="U1300" s="100"/>
      <c r="V1300" s="100"/>
      <c r="W1300" s="100"/>
      <c r="X1300" s="100"/>
      <c r="Y1300" s="100"/>
      <c r="Z1300" s="100"/>
    </row>
    <row r="1301" spans="1:26">
      <c r="A1301" s="100"/>
      <c r="B1301" s="100"/>
      <c r="C1301" s="100"/>
      <c r="D1301" s="100"/>
      <c r="E1301" s="100"/>
      <c r="F1301" s="100"/>
      <c r="G1301" s="100"/>
      <c r="H1301" s="100"/>
      <c r="I1301" s="100"/>
      <c r="J1301" s="100"/>
      <c r="K1301" s="100"/>
      <c r="L1301" s="100"/>
      <c r="M1301" s="100"/>
      <c r="N1301" s="100"/>
      <c r="O1301" s="100"/>
      <c r="P1301" s="100"/>
      <c r="Q1301" s="100"/>
      <c r="R1301" s="100"/>
      <c r="S1301" s="100"/>
      <c r="T1301" s="100"/>
      <c r="U1301" s="100"/>
      <c r="V1301" s="100"/>
      <c r="W1301" s="100"/>
      <c r="X1301" s="100"/>
      <c r="Y1301" s="100"/>
      <c r="Z1301" s="100"/>
    </row>
    <row r="1302" spans="1:26">
      <c r="A1302" s="100"/>
      <c r="B1302" s="100"/>
      <c r="C1302" s="100"/>
      <c r="D1302" s="100"/>
      <c r="E1302" s="100"/>
      <c r="F1302" s="100"/>
      <c r="G1302" s="100"/>
      <c r="H1302" s="100"/>
      <c r="I1302" s="100"/>
      <c r="J1302" s="100"/>
      <c r="K1302" s="100"/>
      <c r="L1302" s="100"/>
      <c r="M1302" s="100"/>
      <c r="N1302" s="100"/>
      <c r="O1302" s="100"/>
      <c r="P1302" s="100"/>
      <c r="Q1302" s="100"/>
      <c r="R1302" s="100"/>
      <c r="S1302" s="100"/>
      <c r="T1302" s="100"/>
      <c r="U1302" s="100"/>
      <c r="V1302" s="100"/>
      <c r="W1302" s="100"/>
      <c r="X1302" s="100"/>
      <c r="Y1302" s="100"/>
      <c r="Z1302" s="100"/>
    </row>
    <row r="1303" spans="1:26">
      <c r="A1303" s="100"/>
      <c r="B1303" s="100"/>
      <c r="C1303" s="100"/>
      <c r="D1303" s="100"/>
      <c r="E1303" s="100"/>
      <c r="F1303" s="100"/>
      <c r="G1303" s="100"/>
      <c r="H1303" s="100"/>
      <c r="I1303" s="100"/>
      <c r="J1303" s="100"/>
      <c r="K1303" s="100"/>
      <c r="L1303" s="100"/>
      <c r="M1303" s="100"/>
      <c r="N1303" s="100"/>
      <c r="O1303" s="100"/>
      <c r="P1303" s="100"/>
      <c r="Q1303" s="100"/>
      <c r="R1303" s="100"/>
      <c r="S1303" s="100"/>
      <c r="T1303" s="100"/>
      <c r="U1303" s="100"/>
      <c r="V1303" s="100"/>
      <c r="W1303" s="100"/>
      <c r="X1303" s="100"/>
      <c r="Y1303" s="100"/>
      <c r="Z1303" s="100"/>
    </row>
    <row r="1304" spans="1:26">
      <c r="A1304" s="100"/>
      <c r="B1304" s="100"/>
      <c r="C1304" s="100"/>
      <c r="D1304" s="100"/>
      <c r="E1304" s="100"/>
      <c r="F1304" s="100"/>
      <c r="G1304" s="100"/>
      <c r="H1304" s="100"/>
      <c r="I1304" s="100"/>
      <c r="J1304" s="100"/>
      <c r="K1304" s="100"/>
      <c r="L1304" s="100"/>
      <c r="M1304" s="100"/>
      <c r="N1304" s="100"/>
      <c r="O1304" s="100"/>
      <c r="P1304" s="100"/>
      <c r="Q1304" s="100"/>
      <c r="R1304" s="100"/>
      <c r="S1304" s="100"/>
      <c r="T1304" s="100"/>
      <c r="U1304" s="100"/>
      <c r="V1304" s="100"/>
      <c r="W1304" s="100"/>
      <c r="X1304" s="100"/>
      <c r="Y1304" s="100"/>
      <c r="Z1304" s="100"/>
    </row>
    <row r="1305" spans="1:26">
      <c r="A1305" s="100"/>
      <c r="B1305" s="100"/>
      <c r="C1305" s="100"/>
      <c r="D1305" s="100"/>
      <c r="E1305" s="100"/>
      <c r="F1305" s="100"/>
      <c r="G1305" s="100"/>
      <c r="H1305" s="100"/>
      <c r="I1305" s="100"/>
      <c r="J1305" s="100"/>
      <c r="K1305" s="100"/>
      <c r="L1305" s="100"/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</row>
    <row r="1306" spans="1:26">
      <c r="A1306" s="100"/>
      <c r="B1306" s="100"/>
      <c r="C1306" s="100"/>
      <c r="D1306" s="100"/>
      <c r="E1306" s="100"/>
      <c r="F1306" s="100"/>
      <c r="G1306" s="100"/>
      <c r="H1306" s="100"/>
      <c r="I1306" s="100"/>
      <c r="J1306" s="100"/>
      <c r="K1306" s="100"/>
      <c r="L1306" s="100"/>
      <c r="M1306" s="100"/>
      <c r="N1306" s="100"/>
      <c r="O1306" s="100"/>
      <c r="P1306" s="100"/>
      <c r="Q1306" s="100"/>
      <c r="R1306" s="100"/>
      <c r="S1306" s="100"/>
      <c r="T1306" s="100"/>
      <c r="U1306" s="100"/>
      <c r="V1306" s="100"/>
      <c r="W1306" s="100"/>
      <c r="X1306" s="100"/>
      <c r="Y1306" s="100"/>
      <c r="Z1306" s="100"/>
    </row>
    <row r="1307" spans="1:26">
      <c r="A1307" s="100"/>
      <c r="B1307" s="100"/>
      <c r="C1307" s="100"/>
      <c r="D1307" s="100"/>
      <c r="E1307" s="100"/>
      <c r="F1307" s="100"/>
      <c r="G1307" s="100"/>
      <c r="H1307" s="100"/>
      <c r="I1307" s="100"/>
      <c r="J1307" s="100"/>
      <c r="K1307" s="100"/>
      <c r="L1307" s="100"/>
      <c r="M1307" s="100"/>
      <c r="N1307" s="100"/>
      <c r="O1307" s="100"/>
      <c r="P1307" s="100"/>
      <c r="Q1307" s="100"/>
      <c r="R1307" s="100"/>
      <c r="S1307" s="100"/>
      <c r="T1307" s="100"/>
      <c r="U1307" s="100"/>
      <c r="V1307" s="100"/>
      <c r="W1307" s="100"/>
      <c r="X1307" s="100"/>
      <c r="Y1307" s="100"/>
      <c r="Z1307" s="100"/>
    </row>
    <row r="1308" spans="1:26">
      <c r="A1308" s="100"/>
      <c r="B1308" s="100"/>
      <c r="C1308" s="100"/>
      <c r="D1308" s="100"/>
      <c r="E1308" s="100"/>
      <c r="F1308" s="100"/>
      <c r="G1308" s="100"/>
      <c r="H1308" s="100"/>
      <c r="I1308" s="100"/>
      <c r="J1308" s="100"/>
      <c r="K1308" s="100"/>
      <c r="L1308" s="100"/>
      <c r="M1308" s="100"/>
      <c r="N1308" s="100"/>
      <c r="O1308" s="100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</row>
    <row r="1309" spans="1:26">
      <c r="A1309" s="100"/>
      <c r="B1309" s="100"/>
      <c r="C1309" s="100"/>
      <c r="D1309" s="100"/>
      <c r="E1309" s="100"/>
      <c r="F1309" s="100"/>
      <c r="G1309" s="100"/>
      <c r="H1309" s="100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</row>
    <row r="1310" spans="1:26">
      <c r="A1310" s="100"/>
      <c r="B1310" s="100"/>
      <c r="C1310" s="100"/>
      <c r="D1310" s="100"/>
      <c r="E1310" s="100"/>
      <c r="F1310" s="100"/>
      <c r="G1310" s="100"/>
      <c r="H1310" s="100"/>
      <c r="I1310" s="100"/>
      <c r="J1310" s="100"/>
      <c r="K1310" s="100"/>
      <c r="L1310" s="100"/>
      <c r="M1310" s="100"/>
      <c r="N1310" s="100"/>
      <c r="O1310" s="100"/>
      <c r="P1310" s="100"/>
      <c r="Q1310" s="100"/>
      <c r="R1310" s="100"/>
      <c r="S1310" s="100"/>
      <c r="T1310" s="100"/>
      <c r="U1310" s="100"/>
      <c r="V1310" s="100"/>
      <c r="W1310" s="100"/>
      <c r="X1310" s="100"/>
      <c r="Y1310" s="100"/>
      <c r="Z1310" s="100"/>
    </row>
    <row r="1311" spans="1:26">
      <c r="A1311" s="100"/>
      <c r="B1311" s="100"/>
      <c r="C1311" s="100"/>
      <c r="D1311" s="100"/>
      <c r="E1311" s="100"/>
      <c r="F1311" s="100"/>
      <c r="G1311" s="100"/>
      <c r="H1311" s="100"/>
      <c r="I1311" s="100"/>
      <c r="J1311" s="100"/>
      <c r="K1311" s="100"/>
      <c r="L1311" s="100"/>
      <c r="M1311" s="100"/>
      <c r="N1311" s="100"/>
      <c r="O1311" s="100"/>
      <c r="P1311" s="100"/>
      <c r="Q1311" s="100"/>
      <c r="R1311" s="100"/>
      <c r="S1311" s="100"/>
      <c r="T1311" s="100"/>
      <c r="U1311" s="100"/>
      <c r="V1311" s="100"/>
      <c r="W1311" s="100"/>
      <c r="X1311" s="100"/>
      <c r="Y1311" s="100"/>
      <c r="Z1311" s="100"/>
    </row>
    <row r="1312" spans="1:26">
      <c r="A1312" s="100"/>
      <c r="B1312" s="100"/>
      <c r="C1312" s="100"/>
      <c r="D1312" s="100"/>
      <c r="E1312" s="100"/>
      <c r="F1312" s="100"/>
      <c r="G1312" s="100"/>
      <c r="H1312" s="100"/>
      <c r="I1312" s="100"/>
      <c r="J1312" s="100"/>
      <c r="K1312" s="100"/>
      <c r="L1312" s="100"/>
      <c r="M1312" s="100"/>
      <c r="N1312" s="100"/>
      <c r="O1312" s="100"/>
      <c r="P1312" s="100"/>
      <c r="Q1312" s="100"/>
      <c r="R1312" s="100"/>
      <c r="S1312" s="100"/>
      <c r="T1312" s="100"/>
      <c r="U1312" s="100"/>
      <c r="V1312" s="100"/>
      <c r="W1312" s="100"/>
      <c r="X1312" s="100"/>
      <c r="Y1312" s="100"/>
      <c r="Z1312" s="100"/>
    </row>
    <row r="1313" spans="1:26">
      <c r="A1313" s="100"/>
      <c r="B1313" s="100"/>
      <c r="C1313" s="100"/>
      <c r="D1313" s="100"/>
      <c r="E1313" s="100"/>
      <c r="F1313" s="100"/>
      <c r="G1313" s="100"/>
      <c r="H1313" s="100"/>
      <c r="I1313" s="100"/>
      <c r="J1313" s="100"/>
      <c r="K1313" s="100"/>
      <c r="L1313" s="100"/>
      <c r="M1313" s="100"/>
      <c r="N1313" s="100"/>
      <c r="O1313" s="100"/>
      <c r="P1313" s="100"/>
      <c r="Q1313" s="100"/>
      <c r="R1313" s="100"/>
      <c r="S1313" s="100"/>
      <c r="T1313" s="100"/>
      <c r="U1313" s="100"/>
      <c r="V1313" s="100"/>
      <c r="W1313" s="100"/>
      <c r="X1313" s="100"/>
      <c r="Y1313" s="100"/>
      <c r="Z1313" s="100"/>
    </row>
    <row r="1314" spans="1:26">
      <c r="A1314" s="100"/>
      <c r="B1314" s="100"/>
      <c r="C1314" s="100"/>
      <c r="D1314" s="100"/>
      <c r="E1314" s="100"/>
      <c r="F1314" s="100"/>
      <c r="G1314" s="100"/>
      <c r="H1314" s="100"/>
      <c r="I1314" s="100"/>
      <c r="J1314" s="100"/>
      <c r="K1314" s="100"/>
      <c r="L1314" s="100"/>
      <c r="M1314" s="100"/>
      <c r="N1314" s="100"/>
      <c r="O1314" s="100"/>
      <c r="P1314" s="100"/>
      <c r="Q1314" s="100"/>
      <c r="R1314" s="100"/>
      <c r="S1314" s="100"/>
      <c r="T1314" s="100"/>
      <c r="U1314" s="100"/>
      <c r="V1314" s="100"/>
      <c r="W1314" s="100"/>
      <c r="X1314" s="100"/>
      <c r="Y1314" s="100"/>
      <c r="Z1314" s="100"/>
    </row>
    <row r="1315" spans="1:26">
      <c r="A1315" s="100"/>
      <c r="B1315" s="100"/>
      <c r="C1315" s="100"/>
      <c r="D1315" s="100"/>
      <c r="E1315" s="100"/>
      <c r="F1315" s="100"/>
      <c r="G1315" s="100"/>
      <c r="H1315" s="100"/>
      <c r="I1315" s="100"/>
      <c r="J1315" s="100"/>
      <c r="K1315" s="100"/>
      <c r="L1315" s="100"/>
      <c r="M1315" s="100"/>
      <c r="N1315" s="100"/>
      <c r="O1315" s="100"/>
      <c r="P1315" s="100"/>
      <c r="Q1315" s="100"/>
      <c r="R1315" s="100"/>
      <c r="S1315" s="100"/>
      <c r="T1315" s="100"/>
      <c r="U1315" s="100"/>
      <c r="V1315" s="100"/>
      <c r="W1315" s="100"/>
      <c r="X1315" s="100"/>
      <c r="Y1315" s="100"/>
      <c r="Z1315" s="100"/>
    </row>
    <row r="1316" spans="1:26">
      <c r="A1316" s="100"/>
      <c r="B1316" s="100"/>
      <c r="C1316" s="100"/>
      <c r="D1316" s="100"/>
      <c r="E1316" s="100"/>
      <c r="F1316" s="100"/>
      <c r="G1316" s="100"/>
      <c r="H1316" s="100"/>
      <c r="I1316" s="100"/>
      <c r="J1316" s="100"/>
      <c r="K1316" s="100"/>
      <c r="L1316" s="100"/>
      <c r="M1316" s="100"/>
      <c r="N1316" s="100"/>
      <c r="O1316" s="100"/>
      <c r="P1316" s="100"/>
      <c r="Q1316" s="100"/>
      <c r="R1316" s="100"/>
      <c r="S1316" s="100"/>
      <c r="T1316" s="100"/>
      <c r="U1316" s="100"/>
      <c r="V1316" s="100"/>
      <c r="W1316" s="100"/>
      <c r="X1316" s="100"/>
      <c r="Y1316" s="100"/>
      <c r="Z1316" s="100"/>
    </row>
    <row r="1317" spans="1:26">
      <c r="A1317" s="100"/>
      <c r="B1317" s="100"/>
      <c r="C1317" s="100"/>
      <c r="D1317" s="100"/>
      <c r="E1317" s="100"/>
      <c r="F1317" s="100"/>
      <c r="G1317" s="100"/>
      <c r="H1317" s="100"/>
      <c r="I1317" s="100"/>
      <c r="J1317" s="100"/>
      <c r="K1317" s="100"/>
      <c r="L1317" s="100"/>
      <c r="M1317" s="100"/>
      <c r="N1317" s="100"/>
      <c r="O1317" s="100"/>
      <c r="P1317" s="100"/>
      <c r="Q1317" s="100"/>
      <c r="R1317" s="100"/>
      <c r="S1317" s="100"/>
      <c r="T1317" s="100"/>
      <c r="U1317" s="100"/>
      <c r="V1317" s="100"/>
      <c r="W1317" s="100"/>
      <c r="X1317" s="100"/>
      <c r="Y1317" s="100"/>
      <c r="Z1317" s="100"/>
    </row>
    <row r="1318" spans="1:26">
      <c r="A1318" s="100"/>
      <c r="B1318" s="100"/>
      <c r="C1318" s="100"/>
      <c r="D1318" s="100"/>
      <c r="E1318" s="100"/>
      <c r="F1318" s="100"/>
      <c r="G1318" s="100"/>
      <c r="H1318" s="100"/>
      <c r="I1318" s="100"/>
      <c r="J1318" s="100"/>
      <c r="K1318" s="100"/>
      <c r="L1318" s="100"/>
      <c r="M1318" s="100"/>
      <c r="N1318" s="100"/>
      <c r="O1318" s="100"/>
      <c r="P1318" s="100"/>
      <c r="Q1318" s="100"/>
      <c r="R1318" s="100"/>
      <c r="S1318" s="100"/>
      <c r="T1318" s="100"/>
      <c r="U1318" s="100"/>
      <c r="V1318" s="100"/>
      <c r="W1318" s="100"/>
      <c r="X1318" s="100"/>
      <c r="Y1318" s="100"/>
      <c r="Z1318" s="100"/>
    </row>
    <row r="1319" spans="1:26">
      <c r="A1319" s="100"/>
      <c r="B1319" s="100"/>
      <c r="C1319" s="100"/>
      <c r="D1319" s="100"/>
      <c r="E1319" s="100"/>
      <c r="F1319" s="100"/>
      <c r="G1319" s="100"/>
      <c r="H1319" s="100"/>
      <c r="I1319" s="100"/>
      <c r="J1319" s="100"/>
      <c r="K1319" s="100"/>
      <c r="L1319" s="100"/>
      <c r="M1319" s="100"/>
      <c r="N1319" s="100"/>
      <c r="O1319" s="100"/>
      <c r="P1319" s="100"/>
      <c r="Q1319" s="100"/>
      <c r="R1319" s="100"/>
      <c r="S1319" s="100"/>
      <c r="T1319" s="100"/>
      <c r="U1319" s="100"/>
      <c r="V1319" s="100"/>
      <c r="W1319" s="100"/>
      <c r="X1319" s="100"/>
      <c r="Y1319" s="100"/>
      <c r="Z1319" s="100"/>
    </row>
    <row r="1320" spans="1:26">
      <c r="A1320" s="100"/>
      <c r="B1320" s="100"/>
      <c r="C1320" s="100"/>
      <c r="D1320" s="100"/>
      <c r="E1320" s="100"/>
      <c r="F1320" s="100"/>
      <c r="G1320" s="100"/>
      <c r="H1320" s="100"/>
      <c r="I1320" s="100"/>
      <c r="J1320" s="100"/>
      <c r="K1320" s="100"/>
      <c r="L1320" s="100"/>
      <c r="M1320" s="100"/>
      <c r="N1320" s="100"/>
      <c r="O1320" s="100"/>
      <c r="P1320" s="100"/>
      <c r="Q1320" s="100"/>
      <c r="R1320" s="100"/>
      <c r="S1320" s="100"/>
      <c r="T1320" s="100"/>
      <c r="U1320" s="100"/>
      <c r="V1320" s="100"/>
      <c r="W1320" s="100"/>
      <c r="X1320" s="100"/>
      <c r="Y1320" s="100"/>
      <c r="Z1320" s="100"/>
    </row>
    <row r="1321" spans="1:26">
      <c r="A1321" s="100"/>
      <c r="B1321" s="100"/>
      <c r="C1321" s="100"/>
      <c r="D1321" s="100"/>
      <c r="E1321" s="100"/>
      <c r="F1321" s="100"/>
      <c r="G1321" s="100"/>
      <c r="H1321" s="100"/>
      <c r="I1321" s="100"/>
      <c r="J1321" s="100"/>
      <c r="K1321" s="100"/>
      <c r="L1321" s="100"/>
      <c r="M1321" s="100"/>
      <c r="N1321" s="100"/>
      <c r="O1321" s="100"/>
      <c r="P1321" s="100"/>
      <c r="Q1321" s="100"/>
      <c r="R1321" s="100"/>
      <c r="S1321" s="100"/>
      <c r="T1321" s="100"/>
      <c r="U1321" s="100"/>
      <c r="V1321" s="100"/>
      <c r="W1321" s="100"/>
      <c r="X1321" s="100"/>
      <c r="Y1321" s="100"/>
      <c r="Z1321" s="100"/>
    </row>
    <row r="1322" spans="1:26">
      <c r="A1322" s="100"/>
      <c r="B1322" s="100"/>
      <c r="C1322" s="100"/>
      <c r="D1322" s="100"/>
      <c r="E1322" s="100"/>
      <c r="F1322" s="100"/>
      <c r="G1322" s="100"/>
      <c r="H1322" s="100"/>
      <c r="I1322" s="100"/>
      <c r="J1322" s="100"/>
      <c r="K1322" s="100"/>
      <c r="L1322" s="100"/>
      <c r="M1322" s="100"/>
      <c r="N1322" s="100"/>
      <c r="O1322" s="100"/>
      <c r="P1322" s="100"/>
      <c r="Q1322" s="100"/>
      <c r="R1322" s="100"/>
      <c r="S1322" s="100"/>
      <c r="T1322" s="100"/>
      <c r="U1322" s="100"/>
      <c r="V1322" s="100"/>
      <c r="W1322" s="100"/>
      <c r="X1322" s="100"/>
      <c r="Y1322" s="100"/>
      <c r="Z1322" s="100"/>
    </row>
    <row r="1323" spans="1:26">
      <c r="A1323" s="100"/>
      <c r="B1323" s="100"/>
      <c r="C1323" s="100"/>
      <c r="D1323" s="100"/>
      <c r="E1323" s="100"/>
      <c r="F1323" s="100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</row>
    <row r="1324" spans="1:26">
      <c r="A1324" s="100"/>
      <c r="B1324" s="100"/>
      <c r="C1324" s="100"/>
      <c r="D1324" s="100"/>
      <c r="E1324" s="100"/>
      <c r="F1324" s="100"/>
      <c r="G1324" s="100"/>
      <c r="H1324" s="100"/>
      <c r="I1324" s="100"/>
      <c r="J1324" s="100"/>
      <c r="K1324" s="100"/>
      <c r="L1324" s="100"/>
      <c r="M1324" s="100"/>
      <c r="N1324" s="100"/>
      <c r="O1324" s="100"/>
      <c r="P1324" s="100"/>
      <c r="Q1324" s="100"/>
      <c r="R1324" s="100"/>
      <c r="S1324" s="100"/>
      <c r="T1324" s="100"/>
      <c r="U1324" s="100"/>
      <c r="V1324" s="100"/>
      <c r="W1324" s="100"/>
      <c r="X1324" s="100"/>
      <c r="Y1324" s="100"/>
      <c r="Z1324" s="100"/>
    </row>
    <row r="1325" spans="1:26">
      <c r="A1325" s="100"/>
      <c r="B1325" s="100"/>
      <c r="C1325" s="100"/>
      <c r="D1325" s="100"/>
      <c r="E1325" s="100"/>
      <c r="F1325" s="100"/>
      <c r="G1325" s="100"/>
      <c r="H1325" s="100"/>
      <c r="I1325" s="100"/>
      <c r="J1325" s="100"/>
      <c r="K1325" s="100"/>
      <c r="L1325" s="100"/>
      <c r="M1325" s="100"/>
      <c r="N1325" s="100"/>
      <c r="O1325" s="100"/>
      <c r="P1325" s="100"/>
      <c r="Q1325" s="100"/>
      <c r="R1325" s="100"/>
      <c r="S1325" s="100"/>
      <c r="T1325" s="100"/>
      <c r="U1325" s="100"/>
      <c r="V1325" s="100"/>
      <c r="W1325" s="100"/>
      <c r="X1325" s="100"/>
      <c r="Y1325" s="100"/>
      <c r="Z1325" s="100"/>
    </row>
    <row r="1326" spans="1:26">
      <c r="A1326" s="100"/>
      <c r="B1326" s="100"/>
      <c r="C1326" s="100"/>
      <c r="D1326" s="100"/>
      <c r="E1326" s="100"/>
      <c r="F1326" s="100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</row>
    <row r="1327" spans="1:26">
      <c r="A1327" s="100"/>
      <c r="B1327" s="100"/>
      <c r="C1327" s="100"/>
      <c r="D1327" s="100"/>
      <c r="E1327" s="100"/>
      <c r="F1327" s="100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</row>
    <row r="1328" spans="1:26">
      <c r="A1328" s="100"/>
      <c r="B1328" s="100"/>
      <c r="C1328" s="100"/>
      <c r="D1328" s="100"/>
      <c r="E1328" s="100"/>
      <c r="F1328" s="100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</row>
    <row r="1329" spans="1:26">
      <c r="A1329" s="100"/>
      <c r="B1329" s="100"/>
      <c r="C1329" s="100"/>
      <c r="D1329" s="100"/>
      <c r="E1329" s="100"/>
      <c r="F1329" s="100"/>
      <c r="G1329" s="100"/>
      <c r="H1329" s="100"/>
      <c r="I1329" s="100"/>
      <c r="J1329" s="100"/>
      <c r="K1329" s="100"/>
      <c r="L1329" s="100"/>
      <c r="M1329" s="100"/>
      <c r="N1329" s="100"/>
      <c r="O1329" s="100"/>
      <c r="P1329" s="100"/>
      <c r="Q1329" s="100"/>
      <c r="R1329" s="100"/>
      <c r="S1329" s="100"/>
      <c r="T1329" s="100"/>
      <c r="U1329" s="100"/>
      <c r="V1329" s="100"/>
      <c r="W1329" s="100"/>
      <c r="X1329" s="100"/>
      <c r="Y1329" s="100"/>
      <c r="Z1329" s="100"/>
    </row>
    <row r="1330" spans="1:26">
      <c r="A1330" s="100"/>
      <c r="B1330" s="100"/>
      <c r="C1330" s="100"/>
      <c r="D1330" s="100"/>
      <c r="E1330" s="100"/>
      <c r="F1330" s="100"/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</row>
    <row r="1331" spans="1:26">
      <c r="A1331" s="100"/>
      <c r="B1331" s="100"/>
      <c r="C1331" s="100"/>
      <c r="D1331" s="100"/>
      <c r="E1331" s="100"/>
      <c r="F1331" s="100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</row>
    <row r="1332" spans="1:26">
      <c r="A1332" s="100"/>
      <c r="B1332" s="100"/>
      <c r="C1332" s="100"/>
      <c r="D1332" s="100"/>
      <c r="E1332" s="100"/>
      <c r="F1332" s="100"/>
      <c r="G1332" s="100"/>
      <c r="H1332" s="100"/>
      <c r="I1332" s="100"/>
      <c r="J1332" s="100"/>
      <c r="K1332" s="100"/>
      <c r="L1332" s="100"/>
      <c r="M1332" s="100"/>
      <c r="N1332" s="100"/>
      <c r="O1332" s="100"/>
      <c r="P1332" s="100"/>
      <c r="Q1332" s="100"/>
      <c r="R1332" s="100"/>
      <c r="S1332" s="100"/>
      <c r="T1332" s="100"/>
      <c r="U1332" s="100"/>
      <c r="V1332" s="100"/>
      <c r="W1332" s="100"/>
      <c r="X1332" s="100"/>
      <c r="Y1332" s="100"/>
      <c r="Z1332" s="100"/>
    </row>
    <row r="1333" spans="1:26">
      <c r="A1333" s="100"/>
      <c r="B1333" s="100"/>
      <c r="C1333" s="100"/>
      <c r="D1333" s="100"/>
      <c r="E1333" s="100"/>
      <c r="F1333" s="100"/>
      <c r="G1333" s="100"/>
      <c r="H1333" s="100"/>
      <c r="I1333" s="100"/>
      <c r="J1333" s="100"/>
      <c r="K1333" s="100"/>
      <c r="L1333" s="100"/>
      <c r="M1333" s="100"/>
      <c r="N1333" s="100"/>
      <c r="O1333" s="100"/>
      <c r="P1333" s="100"/>
      <c r="Q1333" s="100"/>
      <c r="R1333" s="100"/>
      <c r="S1333" s="100"/>
      <c r="T1333" s="100"/>
      <c r="U1333" s="100"/>
      <c r="V1333" s="100"/>
      <c r="W1333" s="100"/>
      <c r="X1333" s="100"/>
      <c r="Y1333" s="100"/>
      <c r="Z1333" s="100"/>
    </row>
    <row r="1334" spans="1:26">
      <c r="A1334" s="100"/>
      <c r="B1334" s="100"/>
      <c r="C1334" s="100"/>
      <c r="D1334" s="100"/>
      <c r="E1334" s="100"/>
      <c r="F1334" s="100"/>
      <c r="G1334" s="100"/>
      <c r="H1334" s="100"/>
      <c r="I1334" s="100"/>
      <c r="J1334" s="100"/>
      <c r="K1334" s="100"/>
      <c r="L1334" s="100"/>
      <c r="M1334" s="100"/>
      <c r="N1334" s="100"/>
      <c r="O1334" s="100"/>
      <c r="P1334" s="100"/>
      <c r="Q1334" s="100"/>
      <c r="R1334" s="100"/>
      <c r="S1334" s="100"/>
      <c r="T1334" s="100"/>
      <c r="U1334" s="100"/>
      <c r="V1334" s="100"/>
      <c r="W1334" s="100"/>
      <c r="X1334" s="100"/>
      <c r="Y1334" s="100"/>
      <c r="Z1334" s="100"/>
    </row>
    <row r="1335" spans="1:26">
      <c r="A1335" s="100"/>
      <c r="B1335" s="100"/>
      <c r="C1335" s="100"/>
      <c r="D1335" s="100"/>
      <c r="E1335" s="100"/>
      <c r="F1335" s="100"/>
      <c r="G1335" s="100"/>
      <c r="H1335" s="100"/>
      <c r="I1335" s="100"/>
      <c r="J1335" s="100"/>
      <c r="K1335" s="100"/>
      <c r="L1335" s="100"/>
      <c r="M1335" s="100"/>
      <c r="N1335" s="100"/>
      <c r="O1335" s="100"/>
      <c r="P1335" s="100"/>
      <c r="Q1335" s="100"/>
      <c r="R1335" s="100"/>
      <c r="S1335" s="100"/>
      <c r="T1335" s="100"/>
      <c r="U1335" s="100"/>
      <c r="V1335" s="100"/>
      <c r="W1335" s="100"/>
      <c r="X1335" s="100"/>
      <c r="Y1335" s="100"/>
      <c r="Z1335" s="100"/>
    </row>
    <row r="1336" spans="1:26">
      <c r="A1336" s="100"/>
      <c r="B1336" s="100"/>
      <c r="C1336" s="100"/>
      <c r="D1336" s="100"/>
      <c r="E1336" s="100"/>
      <c r="F1336" s="100"/>
      <c r="G1336" s="100"/>
      <c r="H1336" s="100"/>
      <c r="I1336" s="100"/>
      <c r="J1336" s="100"/>
      <c r="K1336" s="100"/>
      <c r="L1336" s="100"/>
      <c r="M1336" s="100"/>
      <c r="N1336" s="100"/>
      <c r="O1336" s="100"/>
      <c r="P1336" s="100"/>
      <c r="Q1336" s="100"/>
      <c r="R1336" s="100"/>
      <c r="S1336" s="100"/>
      <c r="T1336" s="100"/>
      <c r="U1336" s="100"/>
      <c r="V1336" s="100"/>
      <c r="W1336" s="100"/>
      <c r="X1336" s="100"/>
      <c r="Y1336" s="100"/>
      <c r="Z1336" s="100"/>
    </row>
    <row r="1337" spans="1:26">
      <c r="A1337" s="100"/>
      <c r="B1337" s="100"/>
      <c r="C1337" s="100"/>
      <c r="D1337" s="100"/>
      <c r="E1337" s="100"/>
      <c r="F1337" s="100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</row>
    <row r="1338" spans="1:26">
      <c r="A1338" s="100"/>
      <c r="B1338" s="100"/>
      <c r="C1338" s="100"/>
      <c r="D1338" s="100"/>
      <c r="E1338" s="100"/>
      <c r="F1338" s="100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</row>
    <row r="1339" spans="1:26">
      <c r="A1339" s="100"/>
      <c r="B1339" s="100"/>
      <c r="C1339" s="100"/>
      <c r="D1339" s="100"/>
      <c r="E1339" s="100"/>
      <c r="F1339" s="100"/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</row>
    <row r="1340" spans="1:26">
      <c r="A1340" s="100"/>
      <c r="B1340" s="100"/>
      <c r="C1340" s="100"/>
      <c r="D1340" s="100"/>
      <c r="E1340" s="100"/>
      <c r="F1340" s="100"/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</row>
    <row r="1341" spans="1:26">
      <c r="A1341" s="100"/>
      <c r="B1341" s="100"/>
      <c r="C1341" s="100"/>
      <c r="D1341" s="100"/>
      <c r="E1341" s="100"/>
      <c r="F1341" s="100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</row>
    <row r="1342" spans="1:26">
      <c r="A1342" s="100"/>
      <c r="B1342" s="100"/>
      <c r="C1342" s="100"/>
      <c r="D1342" s="100"/>
      <c r="E1342" s="100"/>
      <c r="F1342" s="100"/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</row>
    <row r="1343" spans="1:26">
      <c r="A1343" s="100"/>
      <c r="B1343" s="100"/>
      <c r="C1343" s="100"/>
      <c r="D1343" s="100"/>
      <c r="E1343" s="100"/>
      <c r="F1343" s="100"/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</row>
    <row r="1344" spans="1:26">
      <c r="A1344" s="100"/>
      <c r="B1344" s="100"/>
      <c r="C1344" s="100"/>
      <c r="D1344" s="100"/>
      <c r="E1344" s="100"/>
      <c r="F1344" s="100"/>
      <c r="G1344" s="100"/>
      <c r="H1344" s="100"/>
      <c r="I1344" s="100"/>
      <c r="J1344" s="100"/>
      <c r="K1344" s="100"/>
      <c r="L1344" s="100"/>
      <c r="M1344" s="100"/>
      <c r="N1344" s="100"/>
      <c r="O1344" s="100"/>
      <c r="P1344" s="100"/>
      <c r="Q1344" s="100"/>
      <c r="R1344" s="100"/>
      <c r="S1344" s="100"/>
      <c r="T1344" s="100"/>
      <c r="U1344" s="100"/>
      <c r="V1344" s="100"/>
      <c r="W1344" s="100"/>
      <c r="X1344" s="100"/>
      <c r="Y1344" s="100"/>
      <c r="Z1344" s="100"/>
    </row>
    <row r="1345" spans="1:26">
      <c r="A1345" s="100"/>
      <c r="B1345" s="100"/>
      <c r="C1345" s="100"/>
      <c r="D1345" s="100"/>
      <c r="E1345" s="100"/>
      <c r="F1345" s="100"/>
      <c r="G1345" s="100"/>
      <c r="H1345" s="100"/>
      <c r="I1345" s="100"/>
      <c r="J1345" s="100"/>
      <c r="K1345" s="100"/>
      <c r="L1345" s="100"/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</row>
    <row r="1346" spans="1:26">
      <c r="A1346" s="100"/>
      <c r="B1346" s="100"/>
      <c r="C1346" s="100"/>
      <c r="D1346" s="100"/>
      <c r="E1346" s="100"/>
      <c r="F1346" s="100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</row>
    <row r="1347" spans="1:26">
      <c r="A1347" s="100"/>
      <c r="B1347" s="100"/>
      <c r="C1347" s="100"/>
      <c r="D1347" s="100"/>
      <c r="E1347" s="100"/>
      <c r="F1347" s="100"/>
      <c r="G1347" s="100"/>
      <c r="H1347" s="100"/>
      <c r="I1347" s="100"/>
      <c r="J1347" s="100"/>
      <c r="K1347" s="100"/>
      <c r="L1347" s="100"/>
      <c r="M1347" s="100"/>
      <c r="N1347" s="100"/>
      <c r="O1347" s="100"/>
      <c r="P1347" s="100"/>
      <c r="Q1347" s="100"/>
      <c r="R1347" s="100"/>
      <c r="S1347" s="100"/>
      <c r="T1347" s="100"/>
      <c r="U1347" s="100"/>
      <c r="V1347" s="100"/>
      <c r="W1347" s="100"/>
      <c r="X1347" s="100"/>
      <c r="Y1347" s="100"/>
      <c r="Z1347" s="100"/>
    </row>
    <row r="1348" spans="1:26">
      <c r="A1348" s="100"/>
      <c r="B1348" s="100"/>
      <c r="C1348" s="100"/>
      <c r="D1348" s="100"/>
      <c r="E1348" s="100"/>
      <c r="F1348" s="100"/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</row>
    <row r="1349" spans="1:26">
      <c r="A1349" s="100"/>
      <c r="B1349" s="100"/>
      <c r="C1349" s="100"/>
      <c r="D1349" s="100"/>
      <c r="E1349" s="100"/>
      <c r="F1349" s="100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</row>
    <row r="1350" spans="1:26">
      <c r="A1350" s="100"/>
      <c r="B1350" s="100"/>
      <c r="C1350" s="100"/>
      <c r="D1350" s="100"/>
      <c r="E1350" s="100"/>
      <c r="F1350" s="100"/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</row>
    <row r="1351" spans="1:26">
      <c r="A1351" s="100"/>
      <c r="B1351" s="100"/>
      <c r="C1351" s="100"/>
      <c r="D1351" s="100"/>
      <c r="E1351" s="100"/>
      <c r="F1351" s="100"/>
      <c r="G1351" s="100"/>
      <c r="H1351" s="100"/>
      <c r="I1351" s="100"/>
      <c r="J1351" s="100"/>
      <c r="K1351" s="100"/>
      <c r="L1351" s="100"/>
      <c r="M1351" s="100"/>
      <c r="N1351" s="100"/>
      <c r="O1351" s="100"/>
      <c r="P1351" s="100"/>
      <c r="Q1351" s="100"/>
      <c r="R1351" s="100"/>
      <c r="S1351" s="100"/>
      <c r="T1351" s="100"/>
      <c r="U1351" s="100"/>
      <c r="V1351" s="100"/>
      <c r="W1351" s="100"/>
      <c r="X1351" s="100"/>
      <c r="Y1351" s="100"/>
      <c r="Z1351" s="100"/>
    </row>
    <row r="1352" spans="1:26">
      <c r="A1352" s="100"/>
      <c r="B1352" s="100"/>
      <c r="C1352" s="100"/>
      <c r="D1352" s="100"/>
      <c r="E1352" s="100"/>
      <c r="F1352" s="100"/>
      <c r="G1352" s="100"/>
      <c r="H1352" s="100"/>
      <c r="I1352" s="100"/>
      <c r="J1352" s="100"/>
      <c r="K1352" s="100"/>
      <c r="L1352" s="100"/>
      <c r="M1352" s="100"/>
      <c r="N1352" s="100"/>
      <c r="O1352" s="100"/>
      <c r="P1352" s="100"/>
      <c r="Q1352" s="100"/>
      <c r="R1352" s="100"/>
      <c r="S1352" s="100"/>
      <c r="T1352" s="100"/>
      <c r="U1352" s="100"/>
      <c r="V1352" s="100"/>
      <c r="W1352" s="100"/>
      <c r="X1352" s="100"/>
      <c r="Y1352" s="100"/>
      <c r="Z1352" s="100"/>
    </row>
    <row r="1353" spans="1:26">
      <c r="A1353" s="100"/>
      <c r="B1353" s="100"/>
      <c r="C1353" s="100"/>
      <c r="D1353" s="100"/>
      <c r="E1353" s="100"/>
      <c r="F1353" s="100"/>
      <c r="G1353" s="100"/>
      <c r="H1353" s="100"/>
      <c r="I1353" s="100"/>
      <c r="J1353" s="100"/>
      <c r="K1353" s="100"/>
      <c r="L1353" s="100"/>
      <c r="M1353" s="100"/>
      <c r="N1353" s="100"/>
      <c r="O1353" s="100"/>
      <c r="P1353" s="100"/>
      <c r="Q1353" s="100"/>
      <c r="R1353" s="100"/>
      <c r="S1353" s="100"/>
      <c r="T1353" s="100"/>
      <c r="U1353" s="100"/>
      <c r="V1353" s="100"/>
      <c r="W1353" s="100"/>
      <c r="X1353" s="100"/>
      <c r="Y1353" s="100"/>
      <c r="Z1353" s="100"/>
    </row>
    <row r="1354" spans="1:26">
      <c r="A1354" s="100"/>
      <c r="B1354" s="100"/>
      <c r="C1354" s="100"/>
      <c r="D1354" s="100"/>
      <c r="E1354" s="100"/>
      <c r="F1354" s="100"/>
      <c r="G1354" s="100"/>
      <c r="H1354" s="100"/>
      <c r="I1354" s="100"/>
      <c r="J1354" s="100"/>
      <c r="K1354" s="100"/>
      <c r="L1354" s="100"/>
      <c r="M1354" s="100"/>
      <c r="N1354" s="100"/>
      <c r="O1354" s="100"/>
      <c r="P1354" s="100"/>
      <c r="Q1354" s="100"/>
      <c r="R1354" s="100"/>
      <c r="S1354" s="100"/>
      <c r="T1354" s="100"/>
      <c r="U1354" s="100"/>
      <c r="V1354" s="100"/>
      <c r="W1354" s="100"/>
      <c r="X1354" s="100"/>
      <c r="Y1354" s="100"/>
      <c r="Z1354" s="100"/>
    </row>
    <row r="1355" spans="1:26">
      <c r="A1355" s="100"/>
      <c r="B1355" s="100"/>
      <c r="C1355" s="100"/>
      <c r="D1355" s="100"/>
      <c r="E1355" s="100"/>
      <c r="F1355" s="100"/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</row>
    <row r="1356" spans="1:26">
      <c r="A1356" s="100"/>
      <c r="B1356" s="100"/>
      <c r="C1356" s="100"/>
      <c r="D1356" s="100"/>
      <c r="E1356" s="100"/>
      <c r="F1356" s="100"/>
      <c r="G1356" s="100"/>
      <c r="H1356" s="100"/>
      <c r="I1356" s="100"/>
      <c r="J1356" s="100"/>
      <c r="K1356" s="100"/>
      <c r="L1356" s="100"/>
      <c r="M1356" s="100"/>
      <c r="N1356" s="100"/>
      <c r="O1356" s="100"/>
      <c r="P1356" s="100"/>
      <c r="Q1356" s="100"/>
      <c r="R1356" s="100"/>
      <c r="S1356" s="100"/>
      <c r="T1356" s="100"/>
      <c r="U1356" s="100"/>
      <c r="V1356" s="100"/>
      <c r="W1356" s="100"/>
      <c r="X1356" s="100"/>
      <c r="Y1356" s="100"/>
      <c r="Z1356" s="100"/>
    </row>
    <row r="1357" spans="1:26">
      <c r="A1357" s="100"/>
      <c r="B1357" s="100"/>
      <c r="C1357" s="100"/>
      <c r="D1357" s="100"/>
      <c r="E1357" s="100"/>
      <c r="F1357" s="100"/>
      <c r="G1357" s="100"/>
      <c r="H1357" s="100"/>
      <c r="I1357" s="100"/>
      <c r="J1357" s="100"/>
      <c r="K1357" s="100"/>
      <c r="L1357" s="100"/>
      <c r="M1357" s="100"/>
      <c r="N1357" s="100"/>
      <c r="O1357" s="100"/>
      <c r="P1357" s="100"/>
      <c r="Q1357" s="100"/>
      <c r="R1357" s="100"/>
      <c r="S1357" s="100"/>
      <c r="T1357" s="100"/>
      <c r="U1357" s="100"/>
      <c r="V1357" s="100"/>
      <c r="W1357" s="100"/>
      <c r="X1357" s="100"/>
      <c r="Y1357" s="100"/>
      <c r="Z1357" s="100"/>
    </row>
    <row r="1358" spans="1:26">
      <c r="A1358" s="100"/>
      <c r="B1358" s="100"/>
      <c r="C1358" s="100"/>
      <c r="D1358" s="100"/>
      <c r="E1358" s="100"/>
      <c r="F1358" s="100"/>
      <c r="G1358" s="100"/>
      <c r="H1358" s="100"/>
      <c r="I1358" s="100"/>
      <c r="J1358" s="100"/>
      <c r="K1358" s="100"/>
      <c r="L1358" s="100"/>
      <c r="M1358" s="100"/>
      <c r="N1358" s="100"/>
      <c r="O1358" s="100"/>
      <c r="P1358" s="100"/>
      <c r="Q1358" s="100"/>
      <c r="R1358" s="100"/>
      <c r="S1358" s="100"/>
      <c r="T1358" s="100"/>
      <c r="U1358" s="100"/>
      <c r="V1358" s="100"/>
      <c r="W1358" s="100"/>
      <c r="X1358" s="100"/>
      <c r="Y1358" s="100"/>
      <c r="Z1358" s="100"/>
    </row>
    <row r="1359" spans="1:26">
      <c r="A1359" s="100"/>
      <c r="B1359" s="100"/>
      <c r="C1359" s="100"/>
      <c r="D1359" s="100"/>
      <c r="E1359" s="100"/>
      <c r="F1359" s="100"/>
      <c r="G1359" s="100"/>
      <c r="H1359" s="100"/>
      <c r="I1359" s="100"/>
      <c r="J1359" s="100"/>
      <c r="K1359" s="100"/>
      <c r="L1359" s="100"/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</row>
    <row r="1360" spans="1:26">
      <c r="A1360" s="100"/>
      <c r="B1360" s="100"/>
      <c r="C1360" s="100"/>
      <c r="D1360" s="100"/>
      <c r="E1360" s="100"/>
      <c r="F1360" s="100"/>
      <c r="G1360" s="100"/>
      <c r="H1360" s="100"/>
      <c r="I1360" s="100"/>
      <c r="J1360" s="100"/>
      <c r="K1360" s="100"/>
      <c r="L1360" s="100"/>
      <c r="M1360" s="100"/>
      <c r="N1360" s="100"/>
      <c r="O1360" s="100"/>
      <c r="P1360" s="100"/>
      <c r="Q1360" s="100"/>
      <c r="R1360" s="100"/>
      <c r="S1360" s="100"/>
      <c r="T1360" s="100"/>
      <c r="U1360" s="100"/>
      <c r="V1360" s="100"/>
      <c r="W1360" s="100"/>
      <c r="X1360" s="100"/>
      <c r="Y1360" s="100"/>
      <c r="Z1360" s="100"/>
    </row>
    <row r="1361" spans="1:26">
      <c r="A1361" s="100"/>
      <c r="B1361" s="100"/>
      <c r="C1361" s="100"/>
      <c r="D1361" s="100"/>
      <c r="E1361" s="100"/>
      <c r="F1361" s="100"/>
      <c r="G1361" s="100"/>
      <c r="H1361" s="100"/>
      <c r="I1361" s="100"/>
      <c r="J1361" s="100"/>
      <c r="K1361" s="100"/>
      <c r="L1361" s="100"/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</row>
    <row r="1362" spans="1:26">
      <c r="A1362" s="100"/>
      <c r="B1362" s="100"/>
      <c r="C1362" s="100"/>
      <c r="D1362" s="100"/>
      <c r="E1362" s="100"/>
      <c r="F1362" s="100"/>
      <c r="G1362" s="100"/>
      <c r="H1362" s="100"/>
      <c r="I1362" s="100"/>
      <c r="J1362" s="100"/>
      <c r="K1362" s="100"/>
      <c r="L1362" s="100"/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</row>
    <row r="1363" spans="1:26">
      <c r="A1363" s="100"/>
      <c r="B1363" s="100"/>
      <c r="C1363" s="100"/>
      <c r="D1363" s="100"/>
      <c r="E1363" s="100"/>
      <c r="F1363" s="100"/>
      <c r="G1363" s="100"/>
      <c r="H1363" s="100"/>
      <c r="I1363" s="100"/>
      <c r="J1363" s="100"/>
      <c r="K1363" s="100"/>
      <c r="L1363" s="100"/>
      <c r="M1363" s="100"/>
      <c r="N1363" s="100"/>
      <c r="O1363" s="100"/>
      <c r="P1363" s="100"/>
      <c r="Q1363" s="100"/>
      <c r="R1363" s="100"/>
      <c r="S1363" s="100"/>
      <c r="T1363" s="100"/>
      <c r="U1363" s="100"/>
      <c r="V1363" s="100"/>
      <c r="W1363" s="100"/>
      <c r="X1363" s="100"/>
      <c r="Y1363" s="100"/>
      <c r="Z1363" s="100"/>
    </row>
    <row r="1364" spans="1:26">
      <c r="A1364" s="100"/>
      <c r="B1364" s="100"/>
      <c r="C1364" s="100"/>
      <c r="D1364" s="100"/>
      <c r="E1364" s="100"/>
      <c r="F1364" s="100"/>
      <c r="G1364" s="100"/>
      <c r="H1364" s="100"/>
      <c r="I1364" s="100"/>
      <c r="J1364" s="100"/>
      <c r="K1364" s="100"/>
      <c r="L1364" s="100"/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</row>
    <row r="1365" spans="1:26">
      <c r="A1365" s="100"/>
      <c r="B1365" s="100"/>
      <c r="C1365" s="100"/>
      <c r="D1365" s="100"/>
      <c r="E1365" s="100"/>
      <c r="F1365" s="100"/>
      <c r="G1365" s="100"/>
      <c r="H1365" s="100"/>
      <c r="I1365" s="100"/>
      <c r="J1365" s="100"/>
      <c r="K1365" s="100"/>
      <c r="L1365" s="100"/>
      <c r="M1365" s="100"/>
      <c r="N1365" s="100"/>
      <c r="O1365" s="100"/>
      <c r="P1365" s="100"/>
      <c r="Q1365" s="100"/>
      <c r="R1365" s="100"/>
      <c r="S1365" s="100"/>
      <c r="T1365" s="100"/>
      <c r="U1365" s="100"/>
      <c r="V1365" s="100"/>
      <c r="W1365" s="100"/>
      <c r="X1365" s="100"/>
      <c r="Y1365" s="100"/>
      <c r="Z1365" s="100"/>
    </row>
    <row r="1366" spans="1:26">
      <c r="A1366" s="100"/>
      <c r="B1366" s="100"/>
      <c r="C1366" s="100"/>
      <c r="D1366" s="100"/>
      <c r="E1366" s="100"/>
      <c r="F1366" s="100"/>
      <c r="G1366" s="100"/>
      <c r="H1366" s="100"/>
      <c r="I1366" s="100"/>
      <c r="J1366" s="100"/>
      <c r="K1366" s="100"/>
      <c r="L1366" s="100"/>
      <c r="M1366" s="100"/>
      <c r="N1366" s="100"/>
      <c r="O1366" s="100"/>
      <c r="P1366" s="100"/>
      <c r="Q1366" s="100"/>
      <c r="R1366" s="100"/>
      <c r="S1366" s="100"/>
      <c r="T1366" s="100"/>
      <c r="U1366" s="100"/>
      <c r="V1366" s="100"/>
      <c r="W1366" s="100"/>
      <c r="X1366" s="100"/>
      <c r="Y1366" s="100"/>
      <c r="Z1366" s="100"/>
    </row>
    <row r="1367" spans="1:26">
      <c r="A1367" s="100"/>
      <c r="B1367" s="100"/>
      <c r="C1367" s="100"/>
      <c r="D1367" s="100"/>
      <c r="E1367" s="100"/>
      <c r="F1367" s="100"/>
      <c r="G1367" s="100"/>
      <c r="H1367" s="100"/>
      <c r="I1367" s="100"/>
      <c r="J1367" s="100"/>
      <c r="K1367" s="100"/>
      <c r="L1367" s="100"/>
      <c r="M1367" s="100"/>
      <c r="N1367" s="100"/>
      <c r="O1367" s="100"/>
      <c r="P1367" s="100"/>
      <c r="Q1367" s="100"/>
      <c r="R1367" s="100"/>
      <c r="S1367" s="100"/>
      <c r="T1367" s="100"/>
      <c r="U1367" s="100"/>
      <c r="V1367" s="100"/>
      <c r="W1367" s="100"/>
      <c r="X1367" s="100"/>
      <c r="Y1367" s="100"/>
      <c r="Z1367" s="100"/>
    </row>
    <row r="1368" spans="1:26">
      <c r="A1368" s="100"/>
      <c r="B1368" s="100"/>
      <c r="C1368" s="100"/>
      <c r="D1368" s="100"/>
      <c r="E1368" s="100"/>
      <c r="F1368" s="100"/>
      <c r="G1368" s="100"/>
      <c r="H1368" s="100"/>
      <c r="I1368" s="100"/>
      <c r="J1368" s="100"/>
      <c r="K1368" s="100"/>
      <c r="L1368" s="100"/>
      <c r="M1368" s="100"/>
      <c r="N1368" s="100"/>
      <c r="O1368" s="100"/>
      <c r="P1368" s="100"/>
      <c r="Q1368" s="100"/>
      <c r="R1368" s="100"/>
      <c r="S1368" s="100"/>
      <c r="T1368" s="100"/>
      <c r="U1368" s="100"/>
      <c r="V1368" s="100"/>
      <c r="W1368" s="100"/>
      <c r="X1368" s="100"/>
      <c r="Y1368" s="100"/>
      <c r="Z1368" s="100"/>
    </row>
    <row r="1369" spans="1:26">
      <c r="A1369" s="100"/>
      <c r="B1369" s="100"/>
      <c r="C1369" s="100"/>
      <c r="D1369" s="100"/>
      <c r="E1369" s="100"/>
      <c r="F1369" s="100"/>
      <c r="G1369" s="100"/>
      <c r="H1369" s="100"/>
      <c r="I1369" s="100"/>
      <c r="J1369" s="100"/>
      <c r="K1369" s="100"/>
      <c r="L1369" s="100"/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</row>
    <row r="1370" spans="1:26">
      <c r="A1370" s="100"/>
      <c r="B1370" s="100"/>
      <c r="C1370" s="100"/>
      <c r="D1370" s="100"/>
      <c r="E1370" s="100"/>
      <c r="F1370" s="100"/>
      <c r="G1370" s="100"/>
      <c r="H1370" s="100"/>
      <c r="I1370" s="100"/>
      <c r="J1370" s="100"/>
      <c r="K1370" s="100"/>
      <c r="L1370" s="100"/>
      <c r="M1370" s="100"/>
      <c r="N1370" s="100"/>
      <c r="O1370" s="100"/>
      <c r="P1370" s="100"/>
      <c r="Q1370" s="100"/>
      <c r="R1370" s="100"/>
      <c r="S1370" s="100"/>
      <c r="T1370" s="100"/>
      <c r="U1370" s="100"/>
      <c r="V1370" s="100"/>
      <c r="W1370" s="100"/>
      <c r="X1370" s="100"/>
      <c r="Y1370" s="100"/>
      <c r="Z1370" s="100"/>
    </row>
    <row r="1371" spans="1:26">
      <c r="A1371" s="100"/>
      <c r="B1371" s="100"/>
      <c r="C1371" s="100"/>
      <c r="D1371" s="100"/>
      <c r="E1371" s="100"/>
      <c r="F1371" s="100"/>
      <c r="G1371" s="100"/>
      <c r="H1371" s="100"/>
      <c r="I1371" s="100"/>
      <c r="J1371" s="100"/>
      <c r="K1371" s="100"/>
      <c r="L1371" s="100"/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</row>
    <row r="1372" spans="1:26">
      <c r="A1372" s="100"/>
      <c r="B1372" s="100"/>
      <c r="C1372" s="100"/>
      <c r="D1372" s="100"/>
      <c r="E1372" s="100"/>
      <c r="F1372" s="100"/>
      <c r="G1372" s="100"/>
      <c r="H1372" s="100"/>
      <c r="I1372" s="100"/>
      <c r="J1372" s="100"/>
      <c r="K1372" s="100"/>
      <c r="L1372" s="100"/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</row>
    <row r="1373" spans="1:26">
      <c r="A1373" s="100"/>
      <c r="B1373" s="100"/>
      <c r="C1373" s="100"/>
      <c r="D1373" s="100"/>
      <c r="E1373" s="100"/>
      <c r="F1373" s="100"/>
      <c r="G1373" s="100"/>
      <c r="H1373" s="100"/>
      <c r="I1373" s="100"/>
      <c r="J1373" s="100"/>
      <c r="K1373" s="100"/>
      <c r="L1373" s="100"/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</row>
    <row r="1374" spans="1:26">
      <c r="A1374" s="100"/>
      <c r="B1374" s="100"/>
      <c r="C1374" s="100"/>
      <c r="D1374" s="100"/>
      <c r="E1374" s="100"/>
      <c r="F1374" s="100"/>
      <c r="G1374" s="100"/>
      <c r="H1374" s="100"/>
      <c r="I1374" s="100"/>
      <c r="J1374" s="100"/>
      <c r="K1374" s="100"/>
      <c r="L1374" s="100"/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</row>
    <row r="1375" spans="1:26">
      <c r="A1375" s="100"/>
      <c r="B1375" s="100"/>
      <c r="C1375" s="100"/>
      <c r="D1375" s="100"/>
      <c r="E1375" s="100"/>
      <c r="F1375" s="100"/>
      <c r="G1375" s="100"/>
      <c r="H1375" s="100"/>
      <c r="I1375" s="100"/>
      <c r="J1375" s="100"/>
      <c r="K1375" s="100"/>
      <c r="L1375" s="100"/>
      <c r="M1375" s="100"/>
      <c r="N1375" s="100"/>
      <c r="O1375" s="100"/>
      <c r="P1375" s="100"/>
      <c r="Q1375" s="100"/>
      <c r="R1375" s="100"/>
      <c r="S1375" s="100"/>
      <c r="T1375" s="100"/>
      <c r="U1375" s="100"/>
      <c r="V1375" s="100"/>
      <c r="W1375" s="100"/>
      <c r="X1375" s="100"/>
      <c r="Y1375" s="100"/>
      <c r="Z1375" s="100"/>
    </row>
    <row r="1376" spans="1:26">
      <c r="A1376" s="100"/>
      <c r="B1376" s="100"/>
      <c r="C1376" s="100"/>
      <c r="D1376" s="100"/>
      <c r="E1376" s="100"/>
      <c r="F1376" s="100"/>
      <c r="G1376" s="100"/>
      <c r="H1376" s="100"/>
      <c r="I1376" s="100"/>
      <c r="J1376" s="100"/>
      <c r="K1376" s="100"/>
      <c r="L1376" s="100"/>
      <c r="M1376" s="100"/>
      <c r="N1376" s="100"/>
      <c r="O1376" s="100"/>
      <c r="P1376" s="100"/>
      <c r="Q1376" s="100"/>
      <c r="R1376" s="100"/>
      <c r="S1376" s="100"/>
      <c r="T1376" s="100"/>
      <c r="U1376" s="100"/>
      <c r="V1376" s="100"/>
      <c r="W1376" s="100"/>
      <c r="X1376" s="100"/>
      <c r="Y1376" s="100"/>
      <c r="Z1376" s="100"/>
    </row>
    <row r="1377" spans="1:26">
      <c r="A1377" s="100"/>
      <c r="B1377" s="100"/>
      <c r="C1377" s="100"/>
      <c r="D1377" s="100"/>
      <c r="E1377" s="100"/>
      <c r="F1377" s="100"/>
      <c r="G1377" s="100"/>
      <c r="H1377" s="100"/>
      <c r="I1377" s="100"/>
      <c r="J1377" s="100"/>
      <c r="K1377" s="100"/>
      <c r="L1377" s="100"/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</row>
    <row r="1378" spans="1:26">
      <c r="A1378" s="100"/>
      <c r="B1378" s="100"/>
      <c r="C1378" s="100"/>
      <c r="D1378" s="100"/>
      <c r="E1378" s="100"/>
      <c r="F1378" s="100"/>
      <c r="G1378" s="100"/>
      <c r="H1378" s="100"/>
      <c r="I1378" s="100"/>
      <c r="J1378" s="100"/>
      <c r="K1378" s="100"/>
      <c r="L1378" s="100"/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</row>
    <row r="1379" spans="1:26">
      <c r="A1379" s="100"/>
      <c r="B1379" s="100"/>
      <c r="C1379" s="100"/>
      <c r="D1379" s="100"/>
      <c r="E1379" s="100"/>
      <c r="F1379" s="100"/>
      <c r="G1379" s="100"/>
      <c r="H1379" s="100"/>
      <c r="I1379" s="100"/>
      <c r="J1379" s="100"/>
      <c r="K1379" s="100"/>
      <c r="L1379" s="100"/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</row>
    <row r="1380" spans="1:26">
      <c r="A1380" s="100"/>
      <c r="B1380" s="100"/>
      <c r="C1380" s="100"/>
      <c r="D1380" s="100"/>
      <c r="E1380" s="100"/>
      <c r="F1380" s="100"/>
      <c r="G1380" s="100"/>
      <c r="H1380" s="100"/>
      <c r="I1380" s="100"/>
      <c r="J1380" s="100"/>
      <c r="K1380" s="100"/>
      <c r="L1380" s="100"/>
      <c r="M1380" s="100"/>
      <c r="N1380" s="100"/>
      <c r="O1380" s="100"/>
      <c r="P1380" s="100"/>
      <c r="Q1380" s="100"/>
      <c r="R1380" s="100"/>
      <c r="S1380" s="100"/>
      <c r="T1380" s="100"/>
      <c r="U1380" s="100"/>
      <c r="V1380" s="100"/>
      <c r="W1380" s="100"/>
      <c r="X1380" s="100"/>
      <c r="Y1380" s="100"/>
      <c r="Z1380" s="100"/>
    </row>
    <row r="1381" spans="1:26">
      <c r="A1381" s="100"/>
      <c r="B1381" s="100"/>
      <c r="C1381" s="100"/>
      <c r="D1381" s="100"/>
      <c r="E1381" s="100"/>
      <c r="F1381" s="100"/>
      <c r="G1381" s="100"/>
      <c r="H1381" s="100"/>
      <c r="I1381" s="100"/>
      <c r="J1381" s="100"/>
      <c r="K1381" s="100"/>
      <c r="L1381" s="100"/>
      <c r="M1381" s="100"/>
      <c r="N1381" s="100"/>
      <c r="O1381" s="100"/>
      <c r="P1381" s="100"/>
      <c r="Q1381" s="100"/>
      <c r="R1381" s="100"/>
      <c r="S1381" s="100"/>
      <c r="T1381" s="100"/>
      <c r="U1381" s="100"/>
      <c r="V1381" s="100"/>
      <c r="W1381" s="100"/>
      <c r="X1381" s="100"/>
      <c r="Y1381" s="100"/>
      <c r="Z1381" s="100"/>
    </row>
    <row r="1382" spans="1:26">
      <c r="A1382" s="100"/>
      <c r="B1382" s="100"/>
      <c r="C1382" s="100"/>
      <c r="D1382" s="100"/>
      <c r="E1382" s="100"/>
      <c r="F1382" s="100"/>
      <c r="G1382" s="100"/>
      <c r="H1382" s="100"/>
      <c r="I1382" s="100"/>
      <c r="J1382" s="100"/>
      <c r="K1382" s="100"/>
      <c r="L1382" s="100"/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</row>
    <row r="1383" spans="1:26">
      <c r="A1383" s="100"/>
      <c r="B1383" s="100"/>
      <c r="C1383" s="100"/>
      <c r="D1383" s="100"/>
      <c r="E1383" s="100"/>
      <c r="F1383" s="100"/>
      <c r="G1383" s="100"/>
      <c r="H1383" s="100"/>
      <c r="I1383" s="100"/>
      <c r="J1383" s="100"/>
      <c r="K1383" s="100"/>
      <c r="L1383" s="100"/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</row>
    <row r="1384" spans="1:26">
      <c r="A1384" s="100"/>
      <c r="B1384" s="100"/>
      <c r="C1384" s="100"/>
      <c r="D1384" s="100"/>
      <c r="E1384" s="100"/>
      <c r="F1384" s="100"/>
      <c r="G1384" s="100"/>
      <c r="H1384" s="100"/>
      <c r="I1384" s="100"/>
      <c r="J1384" s="100"/>
      <c r="K1384" s="100"/>
      <c r="L1384" s="100"/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</row>
    <row r="1385" spans="1:26">
      <c r="A1385" s="100"/>
      <c r="B1385" s="100"/>
      <c r="C1385" s="100"/>
      <c r="D1385" s="100"/>
      <c r="E1385" s="100"/>
      <c r="F1385" s="100"/>
      <c r="G1385" s="100"/>
      <c r="H1385" s="100"/>
      <c r="I1385" s="100"/>
      <c r="J1385" s="100"/>
      <c r="K1385" s="100"/>
      <c r="L1385" s="100"/>
      <c r="M1385" s="100"/>
      <c r="N1385" s="100"/>
      <c r="O1385" s="100"/>
      <c r="P1385" s="100"/>
      <c r="Q1385" s="100"/>
      <c r="R1385" s="100"/>
      <c r="S1385" s="100"/>
      <c r="T1385" s="100"/>
      <c r="U1385" s="100"/>
      <c r="V1385" s="100"/>
      <c r="W1385" s="100"/>
      <c r="X1385" s="100"/>
      <c r="Y1385" s="100"/>
      <c r="Z1385" s="100"/>
    </row>
    <row r="1386" spans="1:26">
      <c r="A1386" s="100"/>
      <c r="B1386" s="100"/>
      <c r="C1386" s="100"/>
      <c r="D1386" s="100"/>
      <c r="E1386" s="100"/>
      <c r="F1386" s="100"/>
      <c r="G1386" s="100"/>
      <c r="H1386" s="100"/>
      <c r="I1386" s="100"/>
      <c r="J1386" s="100"/>
      <c r="K1386" s="100"/>
      <c r="L1386" s="100"/>
      <c r="M1386" s="100"/>
      <c r="N1386" s="100"/>
      <c r="O1386" s="100"/>
      <c r="P1386" s="100"/>
      <c r="Q1386" s="100"/>
      <c r="R1386" s="100"/>
      <c r="S1386" s="100"/>
      <c r="T1386" s="100"/>
      <c r="U1386" s="100"/>
      <c r="V1386" s="100"/>
      <c r="W1386" s="100"/>
      <c r="X1386" s="100"/>
      <c r="Y1386" s="100"/>
      <c r="Z1386" s="100"/>
    </row>
    <row r="1387" spans="1:26">
      <c r="A1387" s="100"/>
      <c r="B1387" s="100"/>
      <c r="C1387" s="100"/>
      <c r="D1387" s="100"/>
      <c r="E1387" s="100"/>
      <c r="F1387" s="100"/>
      <c r="G1387" s="100"/>
      <c r="H1387" s="100"/>
      <c r="I1387" s="100"/>
      <c r="J1387" s="100"/>
      <c r="K1387" s="100"/>
      <c r="L1387" s="100"/>
      <c r="M1387" s="100"/>
      <c r="N1387" s="100"/>
      <c r="O1387" s="100"/>
      <c r="P1387" s="100"/>
      <c r="Q1387" s="100"/>
      <c r="R1387" s="100"/>
      <c r="S1387" s="100"/>
      <c r="T1387" s="100"/>
      <c r="U1387" s="100"/>
      <c r="V1387" s="100"/>
      <c r="W1387" s="100"/>
      <c r="X1387" s="100"/>
      <c r="Y1387" s="100"/>
      <c r="Z1387" s="100"/>
    </row>
    <row r="1388" spans="1:26">
      <c r="A1388" s="100"/>
      <c r="B1388" s="100"/>
      <c r="C1388" s="100"/>
      <c r="D1388" s="100"/>
      <c r="E1388" s="100"/>
      <c r="F1388" s="100"/>
      <c r="G1388" s="100"/>
      <c r="H1388" s="100"/>
      <c r="I1388" s="100"/>
      <c r="J1388" s="100"/>
      <c r="K1388" s="100"/>
      <c r="L1388" s="100"/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</row>
    <row r="1389" spans="1:26">
      <c r="A1389" s="100"/>
      <c r="B1389" s="100"/>
      <c r="C1389" s="100"/>
      <c r="D1389" s="100"/>
      <c r="E1389" s="100"/>
      <c r="F1389" s="100"/>
      <c r="G1389" s="100"/>
      <c r="H1389" s="100"/>
      <c r="I1389" s="100"/>
      <c r="J1389" s="100"/>
      <c r="K1389" s="100"/>
      <c r="L1389" s="100"/>
      <c r="M1389" s="100"/>
      <c r="N1389" s="100"/>
      <c r="O1389" s="100"/>
      <c r="P1389" s="100"/>
      <c r="Q1389" s="100"/>
      <c r="R1389" s="100"/>
      <c r="S1389" s="100"/>
      <c r="T1389" s="100"/>
      <c r="U1389" s="100"/>
      <c r="V1389" s="100"/>
      <c r="W1389" s="100"/>
      <c r="X1389" s="100"/>
      <c r="Y1389" s="100"/>
      <c r="Z1389" s="100"/>
    </row>
    <row r="1390" spans="1:26">
      <c r="A1390" s="100"/>
      <c r="B1390" s="100"/>
      <c r="C1390" s="100"/>
      <c r="D1390" s="100"/>
      <c r="E1390" s="100"/>
      <c r="F1390" s="100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</row>
    <row r="1391" spans="1:26">
      <c r="A1391" s="100"/>
      <c r="B1391" s="100"/>
      <c r="C1391" s="100"/>
      <c r="D1391" s="100"/>
      <c r="E1391" s="100"/>
      <c r="F1391" s="100"/>
      <c r="G1391" s="100"/>
      <c r="H1391" s="100"/>
      <c r="I1391" s="100"/>
      <c r="J1391" s="100"/>
      <c r="K1391" s="100"/>
      <c r="L1391" s="100"/>
      <c r="M1391" s="100"/>
      <c r="N1391" s="100"/>
      <c r="O1391" s="100"/>
      <c r="P1391" s="100"/>
      <c r="Q1391" s="100"/>
      <c r="R1391" s="100"/>
      <c r="S1391" s="100"/>
      <c r="T1391" s="100"/>
      <c r="U1391" s="100"/>
      <c r="V1391" s="100"/>
      <c r="W1391" s="100"/>
      <c r="X1391" s="100"/>
      <c r="Y1391" s="100"/>
      <c r="Z1391" s="100"/>
    </row>
    <row r="1392" spans="1:26">
      <c r="A1392" s="100"/>
      <c r="B1392" s="100"/>
      <c r="C1392" s="100"/>
      <c r="D1392" s="100"/>
      <c r="E1392" s="100"/>
      <c r="F1392" s="100"/>
      <c r="G1392" s="100"/>
      <c r="H1392" s="100"/>
      <c r="I1392" s="100"/>
      <c r="J1392" s="100"/>
      <c r="K1392" s="100"/>
      <c r="L1392" s="100"/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</row>
    <row r="1393" spans="1:26">
      <c r="A1393" s="100"/>
      <c r="B1393" s="100"/>
      <c r="C1393" s="100"/>
      <c r="D1393" s="100"/>
      <c r="E1393" s="100"/>
      <c r="F1393" s="100"/>
      <c r="G1393" s="100"/>
      <c r="H1393" s="100"/>
      <c r="I1393" s="100"/>
      <c r="J1393" s="100"/>
      <c r="K1393" s="100"/>
      <c r="L1393" s="100"/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</row>
    <row r="1394" spans="1:26">
      <c r="A1394" s="100"/>
      <c r="B1394" s="100"/>
      <c r="C1394" s="100"/>
      <c r="D1394" s="100"/>
      <c r="E1394" s="100"/>
      <c r="F1394" s="100"/>
      <c r="G1394" s="100"/>
      <c r="H1394" s="100"/>
      <c r="I1394" s="100"/>
      <c r="J1394" s="100"/>
      <c r="K1394" s="100"/>
      <c r="L1394" s="100"/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</row>
    <row r="1395" spans="1:26">
      <c r="A1395" s="100"/>
      <c r="B1395" s="100"/>
      <c r="C1395" s="100"/>
      <c r="D1395" s="100"/>
      <c r="E1395" s="100"/>
      <c r="F1395" s="100"/>
      <c r="G1395" s="100"/>
      <c r="H1395" s="100"/>
      <c r="I1395" s="100"/>
      <c r="J1395" s="100"/>
      <c r="K1395" s="100"/>
      <c r="L1395" s="100"/>
      <c r="M1395" s="100"/>
      <c r="N1395" s="100"/>
      <c r="O1395" s="100"/>
      <c r="P1395" s="100"/>
      <c r="Q1395" s="100"/>
      <c r="R1395" s="100"/>
      <c r="S1395" s="100"/>
      <c r="T1395" s="100"/>
      <c r="U1395" s="100"/>
      <c r="V1395" s="100"/>
      <c r="W1395" s="100"/>
      <c r="X1395" s="100"/>
      <c r="Y1395" s="100"/>
      <c r="Z1395" s="100"/>
    </row>
    <row r="1396" spans="1:26">
      <c r="A1396" s="100"/>
      <c r="B1396" s="100"/>
      <c r="C1396" s="100"/>
      <c r="D1396" s="100"/>
      <c r="E1396" s="100"/>
      <c r="F1396" s="100"/>
      <c r="G1396" s="100"/>
      <c r="H1396" s="100"/>
      <c r="I1396" s="100"/>
      <c r="J1396" s="100"/>
      <c r="K1396" s="100"/>
      <c r="L1396" s="100"/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</row>
    <row r="1397" spans="1:26">
      <c r="A1397" s="100"/>
      <c r="B1397" s="100"/>
      <c r="C1397" s="100"/>
      <c r="D1397" s="100"/>
      <c r="E1397" s="100"/>
      <c r="F1397" s="100"/>
      <c r="G1397" s="100"/>
      <c r="H1397" s="100"/>
      <c r="I1397" s="100"/>
      <c r="J1397" s="100"/>
      <c r="K1397" s="100"/>
      <c r="L1397" s="100"/>
      <c r="M1397" s="100"/>
      <c r="N1397" s="100"/>
      <c r="O1397" s="100"/>
      <c r="P1397" s="100"/>
      <c r="Q1397" s="100"/>
      <c r="R1397" s="100"/>
      <c r="S1397" s="100"/>
      <c r="T1397" s="100"/>
      <c r="U1397" s="100"/>
      <c r="V1397" s="100"/>
      <c r="W1397" s="100"/>
      <c r="X1397" s="100"/>
      <c r="Y1397" s="100"/>
      <c r="Z1397" s="100"/>
    </row>
    <row r="1398" spans="1:26">
      <c r="A1398" s="100"/>
      <c r="B1398" s="100"/>
      <c r="C1398" s="100"/>
      <c r="D1398" s="100"/>
      <c r="E1398" s="100"/>
      <c r="F1398" s="100"/>
      <c r="G1398" s="100"/>
      <c r="H1398" s="100"/>
      <c r="I1398" s="100"/>
      <c r="J1398" s="100"/>
      <c r="K1398" s="100"/>
      <c r="L1398" s="100"/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</row>
    <row r="1399" spans="1:26">
      <c r="A1399" s="100"/>
      <c r="B1399" s="100"/>
      <c r="C1399" s="100"/>
      <c r="D1399" s="100"/>
      <c r="E1399" s="100"/>
      <c r="F1399" s="100"/>
      <c r="G1399" s="100"/>
      <c r="H1399" s="100"/>
      <c r="I1399" s="100"/>
      <c r="J1399" s="100"/>
      <c r="K1399" s="100"/>
      <c r="L1399" s="100"/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</row>
    <row r="1400" spans="1:26">
      <c r="A1400" s="100"/>
      <c r="B1400" s="100"/>
      <c r="C1400" s="100"/>
      <c r="D1400" s="100"/>
      <c r="E1400" s="100"/>
      <c r="F1400" s="100"/>
      <c r="G1400" s="100"/>
      <c r="H1400" s="100"/>
      <c r="I1400" s="100"/>
      <c r="J1400" s="100"/>
      <c r="K1400" s="100"/>
      <c r="L1400" s="100"/>
      <c r="M1400" s="100"/>
      <c r="N1400" s="100"/>
      <c r="O1400" s="100"/>
      <c r="P1400" s="100"/>
      <c r="Q1400" s="100"/>
      <c r="R1400" s="100"/>
      <c r="S1400" s="100"/>
      <c r="T1400" s="100"/>
      <c r="U1400" s="100"/>
      <c r="V1400" s="100"/>
      <c r="W1400" s="100"/>
      <c r="X1400" s="100"/>
      <c r="Y1400" s="100"/>
      <c r="Z1400" s="100"/>
    </row>
    <row r="1401" spans="1:26">
      <c r="A1401" s="100"/>
      <c r="B1401" s="100"/>
      <c r="C1401" s="100"/>
      <c r="D1401" s="100"/>
      <c r="E1401" s="100"/>
      <c r="F1401" s="100"/>
      <c r="G1401" s="100"/>
      <c r="H1401" s="100"/>
      <c r="I1401" s="100"/>
      <c r="J1401" s="100"/>
      <c r="K1401" s="100"/>
      <c r="L1401" s="100"/>
      <c r="M1401" s="100"/>
      <c r="N1401" s="100"/>
      <c r="O1401" s="100"/>
      <c r="P1401" s="100"/>
      <c r="Q1401" s="100"/>
      <c r="R1401" s="100"/>
      <c r="S1401" s="100"/>
      <c r="T1401" s="100"/>
      <c r="U1401" s="100"/>
      <c r="V1401" s="100"/>
      <c r="W1401" s="100"/>
      <c r="X1401" s="100"/>
      <c r="Y1401" s="100"/>
      <c r="Z1401" s="100"/>
    </row>
    <row r="1402" spans="1:26">
      <c r="A1402" s="100"/>
      <c r="B1402" s="100"/>
      <c r="C1402" s="100"/>
      <c r="D1402" s="100"/>
      <c r="E1402" s="100"/>
      <c r="F1402" s="100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</row>
    <row r="1403" spans="1:26">
      <c r="A1403" s="100"/>
      <c r="B1403" s="100"/>
      <c r="C1403" s="100"/>
      <c r="D1403" s="100"/>
      <c r="E1403" s="100"/>
      <c r="F1403" s="100"/>
      <c r="G1403" s="100"/>
      <c r="H1403" s="100"/>
      <c r="I1403" s="100"/>
      <c r="J1403" s="100"/>
      <c r="K1403" s="100"/>
      <c r="L1403" s="100"/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</row>
    <row r="1404" spans="1:26">
      <c r="A1404" s="100"/>
      <c r="B1404" s="100"/>
      <c r="C1404" s="100"/>
      <c r="D1404" s="100"/>
      <c r="E1404" s="100"/>
      <c r="F1404" s="100"/>
      <c r="G1404" s="100"/>
      <c r="H1404" s="100"/>
      <c r="I1404" s="100"/>
      <c r="J1404" s="100"/>
      <c r="K1404" s="100"/>
      <c r="L1404" s="100"/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</row>
    <row r="1405" spans="1:26">
      <c r="A1405" s="100"/>
      <c r="B1405" s="100"/>
      <c r="C1405" s="100"/>
      <c r="D1405" s="100"/>
      <c r="E1405" s="100"/>
      <c r="F1405" s="100"/>
      <c r="G1405" s="100"/>
      <c r="H1405" s="100"/>
      <c r="I1405" s="100"/>
      <c r="J1405" s="100"/>
      <c r="K1405" s="100"/>
      <c r="L1405" s="100"/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</row>
    <row r="1406" spans="1:26">
      <c r="A1406" s="100"/>
      <c r="B1406" s="100"/>
      <c r="C1406" s="100"/>
      <c r="D1406" s="100"/>
      <c r="E1406" s="100"/>
      <c r="F1406" s="100"/>
      <c r="G1406" s="100"/>
      <c r="H1406" s="100"/>
      <c r="I1406" s="100"/>
      <c r="J1406" s="100"/>
      <c r="K1406" s="100"/>
      <c r="L1406" s="100"/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</row>
    <row r="1407" spans="1:26">
      <c r="A1407" s="100"/>
      <c r="B1407" s="100"/>
      <c r="C1407" s="100"/>
      <c r="D1407" s="100"/>
      <c r="E1407" s="100"/>
      <c r="F1407" s="100"/>
      <c r="G1407" s="100"/>
      <c r="H1407" s="100"/>
      <c r="I1407" s="100"/>
      <c r="J1407" s="100"/>
      <c r="K1407" s="100"/>
      <c r="L1407" s="100"/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</row>
    <row r="1408" spans="1:26">
      <c r="A1408" s="100"/>
      <c r="B1408" s="100"/>
      <c r="C1408" s="100"/>
      <c r="D1408" s="100"/>
      <c r="E1408" s="100"/>
      <c r="F1408" s="100"/>
      <c r="G1408" s="100"/>
      <c r="H1408" s="100"/>
      <c r="I1408" s="100"/>
      <c r="J1408" s="100"/>
      <c r="K1408" s="100"/>
      <c r="L1408" s="100"/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</row>
    <row r="1409" spans="1:26">
      <c r="A1409" s="100"/>
      <c r="B1409" s="100"/>
      <c r="C1409" s="100"/>
      <c r="D1409" s="100"/>
      <c r="E1409" s="100"/>
      <c r="F1409" s="100"/>
      <c r="G1409" s="100"/>
      <c r="H1409" s="100"/>
      <c r="I1409" s="100"/>
      <c r="J1409" s="100"/>
      <c r="K1409" s="100"/>
      <c r="L1409" s="100"/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</row>
    <row r="1410" spans="1:26">
      <c r="A1410" s="100"/>
      <c r="B1410" s="100"/>
      <c r="C1410" s="100"/>
      <c r="D1410" s="100"/>
      <c r="E1410" s="100"/>
      <c r="F1410" s="100"/>
      <c r="G1410" s="100"/>
      <c r="H1410" s="100"/>
      <c r="I1410" s="100"/>
      <c r="J1410" s="100"/>
      <c r="K1410" s="100"/>
      <c r="L1410" s="100"/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</row>
    <row r="1411" spans="1:26">
      <c r="A1411" s="100"/>
      <c r="B1411" s="100"/>
      <c r="C1411" s="100"/>
      <c r="D1411" s="100"/>
      <c r="E1411" s="100"/>
      <c r="F1411" s="100"/>
      <c r="G1411" s="100"/>
      <c r="H1411" s="100"/>
      <c r="I1411" s="100"/>
      <c r="J1411" s="100"/>
      <c r="K1411" s="100"/>
      <c r="L1411" s="100"/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</row>
    <row r="1412" spans="1:26">
      <c r="A1412" s="100"/>
      <c r="B1412" s="100"/>
      <c r="C1412" s="100"/>
      <c r="D1412" s="100"/>
      <c r="E1412" s="100"/>
      <c r="F1412" s="100"/>
      <c r="G1412" s="100"/>
      <c r="H1412" s="100"/>
      <c r="I1412" s="100"/>
      <c r="J1412" s="100"/>
      <c r="K1412" s="100"/>
      <c r="L1412" s="100"/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</row>
    <row r="1413" spans="1:26">
      <c r="A1413" s="100"/>
      <c r="B1413" s="100"/>
      <c r="C1413" s="100"/>
      <c r="D1413" s="100"/>
      <c r="E1413" s="100"/>
      <c r="F1413" s="100"/>
      <c r="G1413" s="100"/>
      <c r="H1413" s="100"/>
      <c r="I1413" s="100"/>
      <c r="J1413" s="100"/>
      <c r="K1413" s="100"/>
      <c r="L1413" s="100"/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</row>
    <row r="1414" spans="1:26">
      <c r="A1414" s="100"/>
      <c r="B1414" s="100"/>
      <c r="C1414" s="100"/>
      <c r="D1414" s="100"/>
      <c r="E1414" s="100"/>
      <c r="F1414" s="100"/>
      <c r="G1414" s="100"/>
      <c r="H1414" s="100"/>
      <c r="I1414" s="100"/>
      <c r="J1414" s="100"/>
      <c r="K1414" s="100"/>
      <c r="L1414" s="100"/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</row>
    <row r="1415" spans="1:26">
      <c r="A1415" s="100"/>
      <c r="B1415" s="100"/>
      <c r="C1415" s="100"/>
      <c r="D1415" s="100"/>
      <c r="E1415" s="100"/>
      <c r="F1415" s="100"/>
      <c r="G1415" s="100"/>
      <c r="H1415" s="100"/>
      <c r="I1415" s="100"/>
      <c r="J1415" s="100"/>
      <c r="K1415" s="100"/>
      <c r="L1415" s="100"/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</row>
    <row r="1416" spans="1:26">
      <c r="A1416" s="100"/>
      <c r="B1416" s="100"/>
      <c r="C1416" s="100"/>
      <c r="D1416" s="100"/>
      <c r="E1416" s="100"/>
      <c r="F1416" s="100"/>
      <c r="G1416" s="100"/>
      <c r="H1416" s="100"/>
      <c r="I1416" s="100"/>
      <c r="J1416" s="100"/>
      <c r="K1416" s="100"/>
      <c r="L1416" s="100"/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</row>
    <row r="1417" spans="1:26">
      <c r="A1417" s="100"/>
      <c r="B1417" s="100"/>
      <c r="C1417" s="100"/>
      <c r="D1417" s="100"/>
      <c r="E1417" s="100"/>
      <c r="F1417" s="100"/>
      <c r="G1417" s="100"/>
      <c r="H1417" s="100"/>
      <c r="I1417" s="100"/>
      <c r="J1417" s="100"/>
      <c r="K1417" s="100"/>
      <c r="L1417" s="100"/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</row>
    <row r="1418" spans="1:26">
      <c r="A1418" s="100"/>
      <c r="B1418" s="100"/>
      <c r="C1418" s="100"/>
      <c r="D1418" s="100"/>
      <c r="E1418" s="100"/>
      <c r="F1418" s="100"/>
      <c r="G1418" s="100"/>
      <c r="H1418" s="100"/>
      <c r="I1418" s="100"/>
      <c r="J1418" s="100"/>
      <c r="K1418" s="100"/>
      <c r="L1418" s="100"/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</row>
    <row r="1419" spans="1:26">
      <c r="A1419" s="100"/>
      <c r="B1419" s="100"/>
      <c r="C1419" s="100"/>
      <c r="D1419" s="100"/>
      <c r="E1419" s="100"/>
      <c r="F1419" s="100"/>
      <c r="G1419" s="100"/>
      <c r="H1419" s="100"/>
      <c r="I1419" s="100"/>
      <c r="J1419" s="100"/>
      <c r="K1419" s="100"/>
      <c r="L1419" s="100"/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</row>
    <row r="1420" spans="1:26">
      <c r="A1420" s="100"/>
      <c r="B1420" s="100"/>
      <c r="C1420" s="100"/>
      <c r="D1420" s="100"/>
      <c r="E1420" s="100"/>
      <c r="F1420" s="100"/>
      <c r="G1420" s="100"/>
      <c r="H1420" s="100"/>
      <c r="I1420" s="100"/>
      <c r="J1420" s="100"/>
      <c r="K1420" s="100"/>
      <c r="L1420" s="100"/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</row>
    <row r="1421" spans="1:26">
      <c r="A1421" s="100"/>
      <c r="B1421" s="100"/>
      <c r="C1421" s="100"/>
      <c r="D1421" s="100"/>
      <c r="E1421" s="100"/>
      <c r="F1421" s="100"/>
      <c r="G1421" s="100"/>
      <c r="H1421" s="100"/>
      <c r="I1421" s="100"/>
      <c r="J1421" s="100"/>
      <c r="K1421" s="100"/>
      <c r="L1421" s="100"/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</row>
    <row r="1422" spans="1:26">
      <c r="A1422" s="100"/>
      <c r="B1422" s="100"/>
      <c r="C1422" s="100"/>
      <c r="D1422" s="100"/>
      <c r="E1422" s="100"/>
      <c r="F1422" s="100"/>
      <c r="G1422" s="100"/>
      <c r="H1422" s="100"/>
      <c r="I1422" s="100"/>
      <c r="J1422" s="100"/>
      <c r="K1422" s="100"/>
      <c r="L1422" s="100"/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</row>
    <row r="1423" spans="1:26">
      <c r="A1423" s="100"/>
      <c r="B1423" s="100"/>
      <c r="C1423" s="100"/>
      <c r="D1423" s="100"/>
      <c r="E1423" s="100"/>
      <c r="F1423" s="100"/>
      <c r="G1423" s="100"/>
      <c r="H1423" s="100"/>
      <c r="I1423" s="100"/>
      <c r="J1423" s="100"/>
      <c r="K1423" s="100"/>
      <c r="L1423" s="100"/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</row>
    <row r="1424" spans="1:26">
      <c r="A1424" s="100"/>
      <c r="B1424" s="100"/>
      <c r="C1424" s="100"/>
      <c r="D1424" s="100"/>
      <c r="E1424" s="100"/>
      <c r="F1424" s="100"/>
      <c r="G1424" s="100"/>
      <c r="H1424" s="100"/>
      <c r="I1424" s="100"/>
      <c r="J1424" s="100"/>
      <c r="K1424" s="100"/>
      <c r="L1424" s="100"/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</row>
    <row r="1425" spans="1:26">
      <c r="A1425" s="100"/>
      <c r="B1425" s="100"/>
      <c r="C1425" s="100"/>
      <c r="D1425" s="100"/>
      <c r="E1425" s="100"/>
      <c r="F1425" s="100"/>
      <c r="G1425" s="100"/>
      <c r="H1425" s="100"/>
      <c r="I1425" s="100"/>
      <c r="J1425" s="100"/>
      <c r="K1425" s="100"/>
      <c r="L1425" s="100"/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</row>
    <row r="1426" spans="1:26">
      <c r="A1426" s="100"/>
      <c r="B1426" s="100"/>
      <c r="C1426" s="100"/>
      <c r="D1426" s="100"/>
      <c r="E1426" s="100"/>
      <c r="F1426" s="100"/>
      <c r="G1426" s="100"/>
      <c r="H1426" s="100"/>
      <c r="I1426" s="100"/>
      <c r="J1426" s="100"/>
      <c r="K1426" s="100"/>
      <c r="L1426" s="100"/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</row>
    <row r="1427" spans="1:26">
      <c r="A1427" s="100"/>
      <c r="B1427" s="100"/>
      <c r="C1427" s="100"/>
      <c r="D1427" s="100"/>
      <c r="E1427" s="100"/>
      <c r="F1427" s="100"/>
      <c r="G1427" s="100"/>
      <c r="H1427" s="100"/>
      <c r="I1427" s="100"/>
      <c r="J1427" s="100"/>
      <c r="K1427" s="100"/>
      <c r="L1427" s="100"/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</row>
    <row r="1428" spans="1:26">
      <c r="A1428" s="100"/>
      <c r="B1428" s="100"/>
      <c r="C1428" s="100"/>
      <c r="D1428" s="100"/>
      <c r="E1428" s="100"/>
      <c r="F1428" s="100"/>
      <c r="G1428" s="100"/>
      <c r="H1428" s="100"/>
      <c r="I1428" s="100"/>
      <c r="J1428" s="100"/>
      <c r="K1428" s="100"/>
      <c r="L1428" s="100"/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</row>
    <row r="1429" spans="1:26">
      <c r="A1429" s="100"/>
      <c r="B1429" s="100"/>
      <c r="C1429" s="100"/>
      <c r="D1429" s="100"/>
      <c r="E1429" s="100"/>
      <c r="F1429" s="100"/>
      <c r="G1429" s="100"/>
      <c r="H1429" s="100"/>
      <c r="I1429" s="100"/>
      <c r="J1429" s="100"/>
      <c r="K1429" s="100"/>
      <c r="L1429" s="100"/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</row>
    <row r="1430" spans="1:26">
      <c r="A1430" s="100"/>
      <c r="B1430" s="100"/>
      <c r="C1430" s="100"/>
      <c r="D1430" s="100"/>
      <c r="E1430" s="100"/>
      <c r="F1430" s="100"/>
      <c r="G1430" s="100"/>
      <c r="H1430" s="100"/>
      <c r="I1430" s="100"/>
      <c r="J1430" s="100"/>
      <c r="K1430" s="100"/>
      <c r="L1430" s="100"/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</row>
    <row r="1431" spans="1:26">
      <c r="A1431" s="100"/>
      <c r="B1431" s="100"/>
      <c r="C1431" s="100"/>
      <c r="D1431" s="100"/>
      <c r="E1431" s="100"/>
      <c r="F1431" s="100"/>
      <c r="G1431" s="100"/>
      <c r="H1431" s="100"/>
      <c r="I1431" s="100"/>
      <c r="J1431" s="100"/>
      <c r="K1431" s="100"/>
      <c r="L1431" s="100"/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</row>
    <row r="1432" spans="1:26">
      <c r="A1432" s="100"/>
      <c r="B1432" s="100"/>
      <c r="C1432" s="100"/>
      <c r="D1432" s="100"/>
      <c r="E1432" s="100"/>
      <c r="F1432" s="100"/>
      <c r="G1432" s="100"/>
      <c r="H1432" s="100"/>
      <c r="I1432" s="100"/>
      <c r="J1432" s="100"/>
      <c r="K1432" s="100"/>
      <c r="L1432" s="100"/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</row>
    <row r="1433" spans="1:26">
      <c r="A1433" s="100"/>
      <c r="B1433" s="100"/>
      <c r="C1433" s="100"/>
      <c r="D1433" s="100"/>
      <c r="E1433" s="100"/>
      <c r="F1433" s="100"/>
      <c r="G1433" s="100"/>
      <c r="H1433" s="100"/>
      <c r="I1433" s="100"/>
      <c r="J1433" s="100"/>
      <c r="K1433" s="100"/>
      <c r="L1433" s="100"/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</row>
    <row r="1434" spans="1:26">
      <c r="A1434" s="100"/>
      <c r="B1434" s="100"/>
      <c r="C1434" s="100"/>
      <c r="D1434" s="100"/>
      <c r="E1434" s="100"/>
      <c r="F1434" s="100"/>
      <c r="G1434" s="100"/>
      <c r="H1434" s="100"/>
      <c r="I1434" s="100"/>
      <c r="J1434" s="100"/>
      <c r="K1434" s="100"/>
      <c r="L1434" s="100"/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</row>
    <row r="1435" spans="1:26">
      <c r="A1435" s="100"/>
      <c r="B1435" s="100"/>
      <c r="C1435" s="100"/>
      <c r="D1435" s="100"/>
      <c r="E1435" s="100"/>
      <c r="F1435" s="100"/>
      <c r="G1435" s="100"/>
      <c r="H1435" s="100"/>
      <c r="I1435" s="100"/>
      <c r="J1435" s="100"/>
      <c r="K1435" s="100"/>
      <c r="L1435" s="100"/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</row>
    <row r="1436" spans="1:26">
      <c r="A1436" s="100"/>
      <c r="B1436" s="100"/>
      <c r="C1436" s="100"/>
      <c r="D1436" s="100"/>
      <c r="E1436" s="100"/>
      <c r="F1436" s="100"/>
      <c r="G1436" s="100"/>
      <c r="H1436" s="100"/>
      <c r="I1436" s="100"/>
      <c r="J1436" s="100"/>
      <c r="K1436" s="100"/>
      <c r="L1436" s="100"/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</row>
    <row r="1437" spans="1:26">
      <c r="A1437" s="100"/>
      <c r="B1437" s="100"/>
      <c r="C1437" s="100"/>
      <c r="D1437" s="100"/>
      <c r="E1437" s="100"/>
      <c r="F1437" s="100"/>
      <c r="G1437" s="100"/>
      <c r="H1437" s="100"/>
      <c r="I1437" s="100"/>
      <c r="J1437" s="100"/>
      <c r="K1437" s="100"/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</row>
    <row r="1438" spans="1:26">
      <c r="A1438" s="100"/>
      <c r="B1438" s="100"/>
      <c r="C1438" s="100"/>
      <c r="D1438" s="100"/>
      <c r="E1438" s="100"/>
      <c r="F1438" s="100"/>
      <c r="G1438" s="100"/>
      <c r="H1438" s="100"/>
      <c r="I1438" s="100"/>
      <c r="J1438" s="100"/>
      <c r="K1438" s="100"/>
      <c r="L1438" s="100"/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</row>
    <row r="1439" spans="1:26">
      <c r="A1439" s="100"/>
      <c r="B1439" s="100"/>
      <c r="C1439" s="100"/>
      <c r="D1439" s="100"/>
      <c r="E1439" s="100"/>
      <c r="F1439" s="100"/>
      <c r="G1439" s="100"/>
      <c r="H1439" s="100"/>
      <c r="I1439" s="100"/>
      <c r="J1439" s="100"/>
      <c r="K1439" s="100"/>
      <c r="L1439" s="100"/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</row>
    <row r="1440" spans="1:26">
      <c r="A1440" s="100"/>
      <c r="B1440" s="100"/>
      <c r="C1440" s="100"/>
      <c r="D1440" s="100"/>
      <c r="E1440" s="100"/>
      <c r="F1440" s="100"/>
      <c r="G1440" s="100"/>
      <c r="H1440" s="100"/>
      <c r="I1440" s="100"/>
      <c r="J1440" s="100"/>
      <c r="K1440" s="100"/>
      <c r="L1440" s="100"/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</row>
    <row r="1441" spans="1:26">
      <c r="A1441" s="100"/>
      <c r="B1441" s="100"/>
      <c r="C1441" s="100"/>
      <c r="D1441" s="100"/>
      <c r="E1441" s="100"/>
      <c r="F1441" s="100"/>
      <c r="G1441" s="100"/>
      <c r="H1441" s="100"/>
      <c r="I1441" s="100"/>
      <c r="J1441" s="100"/>
      <c r="K1441" s="100"/>
      <c r="L1441" s="100"/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</row>
    <row r="1442" spans="1:26">
      <c r="A1442" s="100"/>
      <c r="B1442" s="100"/>
      <c r="C1442" s="100"/>
      <c r="D1442" s="100"/>
      <c r="E1442" s="100"/>
      <c r="F1442" s="100"/>
      <c r="G1442" s="100"/>
      <c r="H1442" s="100"/>
      <c r="I1442" s="100"/>
      <c r="J1442" s="100"/>
      <c r="K1442" s="100"/>
      <c r="L1442" s="100"/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</row>
    <row r="1443" spans="1:26">
      <c r="A1443" s="100"/>
      <c r="B1443" s="100"/>
      <c r="C1443" s="100"/>
      <c r="D1443" s="100"/>
      <c r="E1443" s="100"/>
      <c r="F1443" s="100"/>
      <c r="G1443" s="100"/>
      <c r="H1443" s="100"/>
      <c r="I1443" s="100"/>
      <c r="J1443" s="100"/>
      <c r="K1443" s="100"/>
      <c r="L1443" s="100"/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</row>
    <row r="1444" spans="1:26">
      <c r="A1444" s="100"/>
      <c r="B1444" s="100"/>
      <c r="C1444" s="100"/>
      <c r="D1444" s="100"/>
      <c r="E1444" s="100"/>
      <c r="F1444" s="100"/>
      <c r="G1444" s="100"/>
      <c r="H1444" s="100"/>
      <c r="I1444" s="100"/>
      <c r="J1444" s="100"/>
      <c r="K1444" s="100"/>
      <c r="L1444" s="100"/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</row>
    <row r="1445" spans="1:26">
      <c r="A1445" s="100"/>
      <c r="B1445" s="100"/>
      <c r="C1445" s="100"/>
      <c r="D1445" s="100"/>
      <c r="E1445" s="100"/>
      <c r="F1445" s="100"/>
      <c r="G1445" s="100"/>
      <c r="H1445" s="100"/>
      <c r="I1445" s="100"/>
      <c r="J1445" s="100"/>
      <c r="K1445" s="100"/>
      <c r="L1445" s="100"/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</row>
    <row r="1446" spans="1:26">
      <c r="A1446" s="100"/>
      <c r="B1446" s="100"/>
      <c r="C1446" s="100"/>
      <c r="D1446" s="100"/>
      <c r="E1446" s="100"/>
      <c r="F1446" s="100"/>
      <c r="G1446" s="100"/>
      <c r="H1446" s="100"/>
      <c r="I1446" s="100"/>
      <c r="J1446" s="100"/>
      <c r="K1446" s="100"/>
      <c r="L1446" s="100"/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</row>
    <row r="1447" spans="1:26">
      <c r="A1447" s="100"/>
      <c r="B1447" s="100"/>
      <c r="C1447" s="100"/>
      <c r="D1447" s="100"/>
      <c r="E1447" s="100"/>
      <c r="F1447" s="100"/>
      <c r="G1447" s="100"/>
      <c r="H1447" s="100"/>
      <c r="I1447" s="100"/>
      <c r="J1447" s="100"/>
      <c r="K1447" s="100"/>
      <c r="L1447" s="100"/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</row>
    <row r="1448" spans="1:26">
      <c r="A1448" s="100"/>
      <c r="B1448" s="100"/>
      <c r="C1448" s="100"/>
      <c r="D1448" s="100"/>
      <c r="E1448" s="100"/>
      <c r="F1448" s="100"/>
      <c r="G1448" s="100"/>
      <c r="H1448" s="100"/>
      <c r="I1448" s="100"/>
      <c r="J1448" s="100"/>
      <c r="K1448" s="100"/>
      <c r="L1448" s="100"/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</row>
    <row r="1449" spans="1:26">
      <c r="A1449" s="100"/>
      <c r="B1449" s="100"/>
      <c r="C1449" s="100"/>
      <c r="D1449" s="100"/>
      <c r="E1449" s="100"/>
      <c r="F1449" s="100"/>
      <c r="G1449" s="100"/>
      <c r="H1449" s="100"/>
      <c r="I1449" s="100"/>
      <c r="J1449" s="100"/>
      <c r="K1449" s="100"/>
      <c r="L1449" s="100"/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</row>
    <row r="1450" spans="1:26">
      <c r="A1450" s="100"/>
      <c r="B1450" s="100"/>
      <c r="C1450" s="100"/>
      <c r="D1450" s="100"/>
      <c r="E1450" s="100"/>
      <c r="F1450" s="100"/>
      <c r="G1450" s="100"/>
      <c r="H1450" s="100"/>
      <c r="I1450" s="100"/>
      <c r="J1450" s="100"/>
      <c r="K1450" s="100"/>
      <c r="L1450" s="100"/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</row>
    <row r="1451" spans="1:26">
      <c r="A1451" s="100"/>
      <c r="B1451" s="100"/>
      <c r="C1451" s="100"/>
      <c r="D1451" s="100"/>
      <c r="E1451" s="100"/>
      <c r="F1451" s="100"/>
      <c r="G1451" s="100"/>
      <c r="H1451" s="100"/>
      <c r="I1451" s="100"/>
      <c r="J1451" s="100"/>
      <c r="K1451" s="100"/>
      <c r="L1451" s="100"/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</row>
    <row r="1452" spans="1:26">
      <c r="A1452" s="100"/>
      <c r="B1452" s="100"/>
      <c r="C1452" s="100"/>
      <c r="D1452" s="100"/>
      <c r="E1452" s="100"/>
      <c r="F1452" s="100"/>
      <c r="G1452" s="100"/>
      <c r="H1452" s="100"/>
      <c r="I1452" s="100"/>
      <c r="J1452" s="100"/>
      <c r="K1452" s="100"/>
      <c r="L1452" s="100"/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</row>
    <row r="1453" spans="1:26">
      <c r="A1453" s="100"/>
      <c r="B1453" s="100"/>
      <c r="C1453" s="100"/>
      <c r="D1453" s="100"/>
      <c r="E1453" s="100"/>
      <c r="F1453" s="100"/>
      <c r="G1453" s="100"/>
      <c r="H1453" s="100"/>
      <c r="I1453" s="100"/>
      <c r="J1453" s="100"/>
      <c r="K1453" s="100"/>
      <c r="L1453" s="100"/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</row>
    <row r="1454" spans="1:26">
      <c r="A1454" s="100"/>
      <c r="B1454" s="100"/>
      <c r="C1454" s="100"/>
      <c r="D1454" s="100"/>
      <c r="E1454" s="100"/>
      <c r="F1454" s="100"/>
      <c r="G1454" s="100"/>
      <c r="H1454" s="100"/>
      <c r="I1454" s="100"/>
      <c r="J1454" s="100"/>
      <c r="K1454" s="100"/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</row>
    <row r="1455" spans="1:26">
      <c r="A1455" s="100"/>
      <c r="B1455" s="100"/>
      <c r="C1455" s="100"/>
      <c r="D1455" s="100"/>
      <c r="E1455" s="100"/>
      <c r="F1455" s="100"/>
      <c r="G1455" s="100"/>
      <c r="H1455" s="100"/>
      <c r="I1455" s="100"/>
      <c r="J1455" s="100"/>
      <c r="K1455" s="100"/>
      <c r="L1455" s="100"/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</row>
    <row r="1456" spans="1:26">
      <c r="A1456" s="100"/>
      <c r="B1456" s="100"/>
      <c r="C1456" s="100"/>
      <c r="D1456" s="100"/>
      <c r="E1456" s="100"/>
      <c r="F1456" s="100"/>
      <c r="G1456" s="100"/>
      <c r="H1456" s="100"/>
      <c r="I1456" s="100"/>
      <c r="J1456" s="100"/>
      <c r="K1456" s="100"/>
      <c r="L1456" s="100"/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</row>
    <row r="1457" spans="1:26">
      <c r="A1457" s="100"/>
      <c r="B1457" s="100"/>
      <c r="C1457" s="100"/>
      <c r="D1457" s="100"/>
      <c r="E1457" s="100"/>
      <c r="F1457" s="100"/>
      <c r="G1457" s="100"/>
      <c r="H1457" s="100"/>
      <c r="I1457" s="100"/>
      <c r="J1457" s="100"/>
      <c r="K1457" s="100"/>
      <c r="L1457" s="100"/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</row>
    <row r="1458" spans="1:26">
      <c r="A1458" s="100"/>
      <c r="B1458" s="100"/>
      <c r="C1458" s="100"/>
      <c r="D1458" s="100"/>
      <c r="E1458" s="100"/>
      <c r="F1458" s="100"/>
      <c r="G1458" s="100"/>
      <c r="H1458" s="100"/>
      <c r="I1458" s="100"/>
      <c r="J1458" s="100"/>
      <c r="K1458" s="100"/>
      <c r="L1458" s="100"/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</row>
    <row r="1459" spans="1:26">
      <c r="A1459" s="100"/>
      <c r="B1459" s="100"/>
      <c r="C1459" s="100"/>
      <c r="D1459" s="100"/>
      <c r="E1459" s="100"/>
      <c r="F1459" s="100"/>
      <c r="G1459" s="100"/>
      <c r="H1459" s="100"/>
      <c r="I1459" s="100"/>
      <c r="J1459" s="100"/>
      <c r="K1459" s="100"/>
      <c r="L1459" s="100"/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</row>
    <row r="1460" spans="1:26">
      <c r="A1460" s="100"/>
      <c r="B1460" s="100"/>
      <c r="C1460" s="100"/>
      <c r="D1460" s="100"/>
      <c r="E1460" s="100"/>
      <c r="F1460" s="100"/>
      <c r="G1460" s="100"/>
      <c r="H1460" s="100"/>
      <c r="I1460" s="100"/>
      <c r="J1460" s="100"/>
      <c r="K1460" s="100"/>
      <c r="L1460" s="100"/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</row>
    <row r="1461" spans="1:26">
      <c r="A1461" s="100"/>
      <c r="B1461" s="100"/>
      <c r="C1461" s="100"/>
      <c r="D1461" s="100"/>
      <c r="E1461" s="100"/>
      <c r="F1461" s="100"/>
      <c r="G1461" s="100"/>
      <c r="H1461" s="100"/>
      <c r="I1461" s="100"/>
      <c r="J1461" s="100"/>
      <c r="K1461" s="100"/>
      <c r="L1461" s="100"/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</row>
    <row r="1462" spans="1:26">
      <c r="A1462" s="100"/>
      <c r="B1462" s="100"/>
      <c r="C1462" s="100"/>
      <c r="D1462" s="100"/>
      <c r="E1462" s="100"/>
      <c r="F1462" s="100"/>
      <c r="G1462" s="100"/>
      <c r="H1462" s="100"/>
      <c r="I1462" s="100"/>
      <c r="J1462" s="100"/>
      <c r="K1462" s="100"/>
      <c r="L1462" s="100"/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</row>
    <row r="1463" spans="1:26">
      <c r="A1463" s="100"/>
      <c r="B1463" s="100"/>
      <c r="C1463" s="100"/>
      <c r="D1463" s="100"/>
      <c r="E1463" s="100"/>
      <c r="F1463" s="100"/>
      <c r="G1463" s="100"/>
      <c r="H1463" s="100"/>
      <c r="I1463" s="100"/>
      <c r="J1463" s="100"/>
      <c r="K1463" s="100"/>
      <c r="L1463" s="100"/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</row>
    <row r="1464" spans="1:26">
      <c r="A1464" s="100"/>
      <c r="B1464" s="100"/>
      <c r="C1464" s="100"/>
      <c r="D1464" s="100"/>
      <c r="E1464" s="100"/>
      <c r="F1464" s="100"/>
      <c r="G1464" s="100"/>
      <c r="H1464" s="100"/>
      <c r="I1464" s="100"/>
      <c r="J1464" s="100"/>
      <c r="K1464" s="100"/>
      <c r="L1464" s="100"/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</row>
    <row r="1465" spans="1:26">
      <c r="A1465" s="100"/>
      <c r="B1465" s="100"/>
      <c r="C1465" s="100"/>
      <c r="D1465" s="100"/>
      <c r="E1465" s="100"/>
      <c r="F1465" s="100"/>
      <c r="G1465" s="100"/>
      <c r="H1465" s="100"/>
      <c r="I1465" s="100"/>
      <c r="J1465" s="100"/>
      <c r="K1465" s="100"/>
      <c r="L1465" s="100"/>
      <c r="M1465" s="100"/>
      <c r="N1465" s="100"/>
      <c r="O1465" s="100"/>
      <c r="P1465" s="100"/>
      <c r="Q1465" s="100"/>
      <c r="R1465" s="100"/>
      <c r="S1465" s="100"/>
      <c r="T1465" s="100"/>
      <c r="U1465" s="100"/>
      <c r="V1465" s="100"/>
      <c r="W1465" s="100"/>
      <c r="X1465" s="100"/>
      <c r="Y1465" s="100"/>
      <c r="Z1465" s="100"/>
    </row>
    <row r="1466" spans="1:26">
      <c r="A1466" s="100"/>
      <c r="B1466" s="100"/>
      <c r="C1466" s="100"/>
      <c r="D1466" s="100"/>
      <c r="E1466" s="100"/>
      <c r="F1466" s="100"/>
      <c r="G1466" s="100"/>
      <c r="H1466" s="100"/>
      <c r="I1466" s="100"/>
      <c r="J1466" s="100"/>
      <c r="K1466" s="100"/>
      <c r="L1466" s="100"/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</row>
    <row r="1467" spans="1:26">
      <c r="A1467" s="100"/>
      <c r="B1467" s="100"/>
      <c r="C1467" s="100"/>
      <c r="D1467" s="100"/>
      <c r="E1467" s="100"/>
      <c r="F1467" s="100"/>
      <c r="G1467" s="100"/>
      <c r="H1467" s="100"/>
      <c r="I1467" s="100"/>
      <c r="J1467" s="100"/>
      <c r="K1467" s="100"/>
      <c r="L1467" s="100"/>
      <c r="M1467" s="100"/>
      <c r="N1467" s="100"/>
      <c r="O1467" s="100"/>
      <c r="P1467" s="100"/>
      <c r="Q1467" s="100"/>
      <c r="R1467" s="100"/>
      <c r="S1467" s="100"/>
      <c r="T1467" s="100"/>
      <c r="U1467" s="100"/>
      <c r="V1467" s="100"/>
      <c r="W1467" s="100"/>
      <c r="X1467" s="100"/>
      <c r="Y1467" s="100"/>
      <c r="Z1467" s="100"/>
    </row>
    <row r="1468" spans="1:26">
      <c r="A1468" s="100"/>
      <c r="B1468" s="100"/>
      <c r="C1468" s="100"/>
      <c r="D1468" s="100"/>
      <c r="E1468" s="100"/>
      <c r="F1468" s="100"/>
      <c r="G1468" s="100"/>
      <c r="H1468" s="100"/>
      <c r="I1468" s="100"/>
      <c r="J1468" s="100"/>
      <c r="K1468" s="100"/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</row>
    <row r="1469" spans="1:26">
      <c r="A1469" s="100"/>
      <c r="B1469" s="100"/>
      <c r="C1469" s="100"/>
      <c r="D1469" s="100"/>
      <c r="E1469" s="100"/>
      <c r="F1469" s="100"/>
      <c r="G1469" s="100"/>
      <c r="H1469" s="100"/>
      <c r="I1469" s="100"/>
      <c r="J1469" s="100"/>
      <c r="K1469" s="100"/>
      <c r="L1469" s="100"/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</row>
    <row r="1470" spans="1:26">
      <c r="A1470" s="100"/>
      <c r="B1470" s="100"/>
      <c r="C1470" s="100"/>
      <c r="D1470" s="100"/>
      <c r="E1470" s="100"/>
      <c r="F1470" s="100"/>
      <c r="G1470" s="100"/>
      <c r="H1470" s="100"/>
      <c r="I1470" s="100"/>
      <c r="J1470" s="100"/>
      <c r="K1470" s="100"/>
      <c r="L1470" s="100"/>
      <c r="M1470" s="100"/>
      <c r="N1470" s="100"/>
      <c r="O1470" s="100"/>
      <c r="P1470" s="100"/>
      <c r="Q1470" s="100"/>
      <c r="R1470" s="100"/>
      <c r="S1470" s="100"/>
      <c r="T1470" s="100"/>
      <c r="U1470" s="100"/>
      <c r="V1470" s="100"/>
      <c r="W1470" s="100"/>
      <c r="X1470" s="100"/>
      <c r="Y1470" s="100"/>
      <c r="Z1470" s="100"/>
    </row>
    <row r="1471" spans="1:26">
      <c r="A1471" s="100"/>
      <c r="B1471" s="100"/>
      <c r="C1471" s="100"/>
      <c r="D1471" s="100"/>
      <c r="E1471" s="100"/>
      <c r="F1471" s="100"/>
      <c r="G1471" s="100"/>
      <c r="H1471" s="100"/>
      <c r="I1471" s="100"/>
      <c r="J1471" s="100"/>
      <c r="K1471" s="100"/>
      <c r="L1471" s="100"/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</row>
    <row r="1472" spans="1:26">
      <c r="A1472" s="100"/>
      <c r="B1472" s="100"/>
      <c r="C1472" s="100"/>
      <c r="D1472" s="100"/>
      <c r="E1472" s="100"/>
      <c r="F1472" s="100"/>
      <c r="G1472" s="100"/>
      <c r="H1472" s="100"/>
      <c r="I1472" s="100"/>
      <c r="J1472" s="100"/>
      <c r="K1472" s="100"/>
      <c r="L1472" s="100"/>
      <c r="M1472" s="100"/>
      <c r="N1472" s="100"/>
      <c r="O1472" s="100"/>
      <c r="P1472" s="100"/>
      <c r="Q1472" s="100"/>
      <c r="R1472" s="100"/>
      <c r="S1472" s="100"/>
      <c r="T1472" s="100"/>
      <c r="U1472" s="100"/>
      <c r="V1472" s="100"/>
      <c r="W1472" s="100"/>
      <c r="X1472" s="100"/>
      <c r="Y1472" s="100"/>
      <c r="Z1472" s="100"/>
    </row>
    <row r="1473" spans="1:26">
      <c r="A1473" s="100"/>
      <c r="B1473" s="100"/>
      <c r="C1473" s="100"/>
      <c r="D1473" s="100"/>
      <c r="E1473" s="100"/>
      <c r="F1473" s="100"/>
      <c r="G1473" s="100"/>
      <c r="H1473" s="100"/>
      <c r="I1473" s="100"/>
      <c r="J1473" s="100"/>
      <c r="K1473" s="100"/>
      <c r="L1473" s="100"/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</row>
    <row r="1474" spans="1:26">
      <c r="A1474" s="100"/>
      <c r="B1474" s="100"/>
      <c r="C1474" s="100"/>
      <c r="D1474" s="100"/>
      <c r="E1474" s="100"/>
      <c r="F1474" s="100"/>
      <c r="G1474" s="100"/>
      <c r="H1474" s="100"/>
      <c r="I1474" s="100"/>
      <c r="J1474" s="100"/>
      <c r="K1474" s="100"/>
      <c r="L1474" s="100"/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</row>
    <row r="1475" spans="1:26">
      <c r="A1475" s="100"/>
      <c r="B1475" s="100"/>
      <c r="C1475" s="100"/>
      <c r="D1475" s="100"/>
      <c r="E1475" s="100"/>
      <c r="F1475" s="100"/>
      <c r="G1475" s="100"/>
      <c r="H1475" s="100"/>
      <c r="I1475" s="100"/>
      <c r="J1475" s="100"/>
      <c r="K1475" s="100"/>
      <c r="L1475" s="100"/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</row>
    <row r="1476" spans="1:26">
      <c r="A1476" s="100"/>
      <c r="B1476" s="100"/>
      <c r="C1476" s="100"/>
      <c r="D1476" s="100"/>
      <c r="E1476" s="100"/>
      <c r="F1476" s="100"/>
      <c r="G1476" s="100"/>
      <c r="H1476" s="100"/>
      <c r="I1476" s="100"/>
      <c r="J1476" s="100"/>
      <c r="K1476" s="100"/>
      <c r="L1476" s="100"/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</row>
    <row r="1477" spans="1:26">
      <c r="A1477" s="100"/>
      <c r="B1477" s="100"/>
      <c r="C1477" s="100"/>
      <c r="D1477" s="100"/>
      <c r="E1477" s="100"/>
      <c r="F1477" s="100"/>
      <c r="G1477" s="100"/>
      <c r="H1477" s="100"/>
      <c r="I1477" s="100"/>
      <c r="J1477" s="100"/>
      <c r="K1477" s="100"/>
      <c r="L1477" s="100"/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</row>
    <row r="1478" spans="1:26">
      <c r="A1478" s="100"/>
      <c r="B1478" s="100"/>
      <c r="C1478" s="100"/>
      <c r="D1478" s="100"/>
      <c r="E1478" s="100"/>
      <c r="F1478" s="100"/>
      <c r="G1478" s="100"/>
      <c r="H1478" s="100"/>
      <c r="I1478" s="100"/>
      <c r="J1478" s="100"/>
      <c r="K1478" s="100"/>
      <c r="L1478" s="100"/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</row>
    <row r="1479" spans="1:26">
      <c r="A1479" s="100"/>
      <c r="B1479" s="100"/>
      <c r="C1479" s="100"/>
      <c r="D1479" s="100"/>
      <c r="E1479" s="100"/>
      <c r="F1479" s="100"/>
      <c r="G1479" s="100"/>
      <c r="H1479" s="100"/>
      <c r="I1479" s="100"/>
      <c r="J1479" s="100"/>
      <c r="K1479" s="100"/>
      <c r="L1479" s="100"/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</row>
    <row r="1480" spans="1:26">
      <c r="A1480" s="100"/>
      <c r="B1480" s="100"/>
      <c r="C1480" s="100"/>
      <c r="D1480" s="100"/>
      <c r="E1480" s="100"/>
      <c r="F1480" s="100"/>
      <c r="G1480" s="100"/>
      <c r="H1480" s="100"/>
      <c r="I1480" s="100"/>
      <c r="J1480" s="100"/>
      <c r="K1480" s="100"/>
      <c r="L1480" s="100"/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</row>
    <row r="1481" spans="1:26">
      <c r="A1481" s="100"/>
      <c r="B1481" s="100"/>
      <c r="C1481" s="100"/>
      <c r="D1481" s="100"/>
      <c r="E1481" s="100"/>
      <c r="F1481" s="100"/>
      <c r="G1481" s="100"/>
      <c r="H1481" s="100"/>
      <c r="I1481" s="100"/>
      <c r="J1481" s="100"/>
      <c r="K1481" s="100"/>
      <c r="L1481" s="100"/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</row>
    <row r="1482" spans="1:26">
      <c r="A1482" s="100"/>
      <c r="B1482" s="100"/>
      <c r="C1482" s="100"/>
      <c r="D1482" s="100"/>
      <c r="E1482" s="100"/>
      <c r="F1482" s="100"/>
      <c r="G1482" s="100"/>
      <c r="H1482" s="100"/>
      <c r="I1482" s="100"/>
      <c r="J1482" s="100"/>
      <c r="K1482" s="100"/>
      <c r="L1482" s="100"/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</row>
    <row r="1483" spans="1:26">
      <c r="A1483" s="100"/>
      <c r="B1483" s="100"/>
      <c r="C1483" s="100"/>
      <c r="D1483" s="100"/>
      <c r="E1483" s="100"/>
      <c r="F1483" s="100"/>
      <c r="G1483" s="100"/>
      <c r="H1483" s="100"/>
      <c r="I1483" s="100"/>
      <c r="J1483" s="100"/>
      <c r="K1483" s="100"/>
      <c r="L1483" s="100"/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</row>
    <row r="1484" spans="1:26">
      <c r="A1484" s="100"/>
      <c r="B1484" s="100"/>
      <c r="C1484" s="100"/>
      <c r="D1484" s="100"/>
      <c r="E1484" s="100"/>
      <c r="F1484" s="100"/>
      <c r="G1484" s="100"/>
      <c r="H1484" s="100"/>
      <c r="I1484" s="100"/>
      <c r="J1484" s="100"/>
      <c r="K1484" s="100"/>
      <c r="L1484" s="100"/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</row>
    <row r="1485" spans="1:26">
      <c r="A1485" s="100"/>
      <c r="B1485" s="100"/>
      <c r="C1485" s="100"/>
      <c r="D1485" s="100"/>
      <c r="E1485" s="100"/>
      <c r="F1485" s="100"/>
      <c r="G1485" s="100"/>
      <c r="H1485" s="100"/>
      <c r="I1485" s="100"/>
      <c r="J1485" s="100"/>
      <c r="K1485" s="100"/>
      <c r="L1485" s="100"/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</row>
    <row r="1486" spans="1:26">
      <c r="A1486" s="100"/>
      <c r="B1486" s="100"/>
      <c r="C1486" s="100"/>
      <c r="D1486" s="100"/>
      <c r="E1486" s="100"/>
      <c r="F1486" s="100"/>
      <c r="G1486" s="100"/>
      <c r="H1486" s="100"/>
      <c r="I1486" s="100"/>
      <c r="J1486" s="100"/>
      <c r="K1486" s="100"/>
      <c r="L1486" s="100"/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</row>
    <row r="1487" spans="1:26">
      <c r="A1487" s="100"/>
      <c r="B1487" s="100"/>
      <c r="C1487" s="100"/>
      <c r="D1487" s="100"/>
      <c r="E1487" s="100"/>
      <c r="F1487" s="100"/>
      <c r="G1487" s="100"/>
      <c r="H1487" s="100"/>
      <c r="I1487" s="100"/>
      <c r="J1487" s="100"/>
      <c r="K1487" s="100"/>
      <c r="L1487" s="100"/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</row>
    <row r="1488" spans="1:26">
      <c r="A1488" s="100"/>
      <c r="B1488" s="100"/>
      <c r="C1488" s="100"/>
      <c r="D1488" s="100"/>
      <c r="E1488" s="100"/>
      <c r="F1488" s="100"/>
      <c r="G1488" s="100"/>
      <c r="H1488" s="100"/>
      <c r="I1488" s="100"/>
      <c r="J1488" s="100"/>
      <c r="K1488" s="100"/>
      <c r="L1488" s="100"/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</row>
    <row r="1489" spans="1:26">
      <c r="A1489" s="100"/>
      <c r="B1489" s="100"/>
      <c r="C1489" s="100"/>
      <c r="D1489" s="100"/>
      <c r="E1489" s="100"/>
      <c r="F1489" s="100"/>
      <c r="G1489" s="100"/>
      <c r="H1489" s="100"/>
      <c r="I1489" s="100"/>
      <c r="J1489" s="100"/>
      <c r="K1489" s="100"/>
      <c r="L1489" s="100"/>
      <c r="M1489" s="100"/>
      <c r="N1489" s="100"/>
      <c r="O1489" s="100"/>
      <c r="P1489" s="100"/>
      <c r="Q1489" s="100"/>
      <c r="R1489" s="100"/>
      <c r="S1489" s="100"/>
      <c r="T1489" s="100"/>
      <c r="U1489" s="100"/>
      <c r="V1489" s="100"/>
      <c r="W1489" s="100"/>
      <c r="X1489" s="100"/>
      <c r="Y1489" s="100"/>
      <c r="Z1489" s="100"/>
    </row>
    <row r="1490" spans="1:26">
      <c r="A1490" s="100"/>
      <c r="B1490" s="100"/>
      <c r="C1490" s="100"/>
      <c r="D1490" s="100"/>
      <c r="E1490" s="100"/>
      <c r="F1490" s="100"/>
      <c r="G1490" s="100"/>
      <c r="H1490" s="100"/>
      <c r="I1490" s="100"/>
      <c r="J1490" s="100"/>
      <c r="K1490" s="100"/>
      <c r="L1490" s="100"/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</row>
    <row r="1491" spans="1:26">
      <c r="A1491" s="100"/>
      <c r="B1491" s="100"/>
      <c r="C1491" s="100"/>
      <c r="D1491" s="100"/>
      <c r="E1491" s="100"/>
      <c r="F1491" s="100"/>
      <c r="G1491" s="100"/>
      <c r="H1491" s="100"/>
      <c r="I1491" s="100"/>
      <c r="J1491" s="100"/>
      <c r="K1491" s="100"/>
      <c r="L1491" s="100"/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</row>
    <row r="1492" spans="1:26">
      <c r="A1492" s="100"/>
      <c r="B1492" s="100"/>
      <c r="C1492" s="100"/>
      <c r="D1492" s="100"/>
      <c r="E1492" s="100"/>
      <c r="F1492" s="100"/>
      <c r="G1492" s="100"/>
      <c r="H1492" s="100"/>
      <c r="I1492" s="100"/>
      <c r="J1492" s="100"/>
      <c r="K1492" s="100"/>
      <c r="L1492" s="100"/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</row>
    <row r="1493" spans="1:26">
      <c r="A1493" s="100"/>
      <c r="B1493" s="100"/>
      <c r="C1493" s="100"/>
      <c r="D1493" s="100"/>
      <c r="E1493" s="100"/>
      <c r="F1493" s="100"/>
      <c r="G1493" s="100"/>
      <c r="H1493" s="100"/>
      <c r="I1493" s="100"/>
      <c r="J1493" s="100"/>
      <c r="K1493" s="100"/>
      <c r="L1493" s="100"/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</row>
    <row r="1494" spans="1:26">
      <c r="A1494" s="100"/>
      <c r="B1494" s="100"/>
      <c r="C1494" s="100"/>
      <c r="D1494" s="100"/>
      <c r="E1494" s="100"/>
      <c r="F1494" s="100"/>
      <c r="G1494" s="100"/>
      <c r="H1494" s="100"/>
      <c r="I1494" s="100"/>
      <c r="J1494" s="100"/>
      <c r="K1494" s="100"/>
      <c r="L1494" s="100"/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</row>
    <row r="1495" spans="1:26">
      <c r="A1495" s="100"/>
      <c r="B1495" s="100"/>
      <c r="C1495" s="100"/>
      <c r="D1495" s="100"/>
      <c r="E1495" s="100"/>
      <c r="F1495" s="100"/>
      <c r="G1495" s="100"/>
      <c r="H1495" s="100"/>
      <c r="I1495" s="100"/>
      <c r="J1495" s="100"/>
      <c r="K1495" s="100"/>
      <c r="L1495" s="100"/>
      <c r="M1495" s="100"/>
      <c r="N1495" s="100"/>
      <c r="O1495" s="100"/>
      <c r="P1495" s="100"/>
      <c r="Q1495" s="100"/>
      <c r="R1495" s="100"/>
      <c r="S1495" s="100"/>
      <c r="T1495" s="100"/>
      <c r="U1495" s="100"/>
      <c r="V1495" s="100"/>
      <c r="W1495" s="100"/>
      <c r="X1495" s="100"/>
      <c r="Y1495" s="100"/>
      <c r="Z1495" s="100"/>
    </row>
    <row r="1496" spans="1:26">
      <c r="A1496" s="100"/>
      <c r="B1496" s="100"/>
      <c r="C1496" s="100"/>
      <c r="D1496" s="100"/>
      <c r="E1496" s="100"/>
      <c r="F1496" s="100"/>
      <c r="G1496" s="100"/>
      <c r="H1496" s="100"/>
      <c r="I1496" s="100"/>
      <c r="J1496" s="100"/>
      <c r="K1496" s="100"/>
      <c r="L1496" s="100"/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</row>
    <row r="1497" spans="1:26">
      <c r="A1497" s="100"/>
      <c r="B1497" s="100"/>
      <c r="C1497" s="100"/>
      <c r="D1497" s="100"/>
      <c r="E1497" s="100"/>
      <c r="F1497" s="100"/>
      <c r="G1497" s="100"/>
      <c r="H1497" s="100"/>
      <c r="I1497" s="100"/>
      <c r="J1497" s="100"/>
      <c r="K1497" s="100"/>
      <c r="L1497" s="100"/>
      <c r="M1497" s="100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</row>
    <row r="1498" spans="1:26">
      <c r="A1498" s="100"/>
      <c r="B1498" s="100"/>
      <c r="C1498" s="100"/>
      <c r="D1498" s="100"/>
      <c r="E1498" s="100"/>
      <c r="F1498" s="100"/>
      <c r="G1498" s="100"/>
      <c r="H1498" s="100"/>
      <c r="I1498" s="100"/>
      <c r="J1498" s="100"/>
      <c r="K1498" s="100"/>
      <c r="L1498" s="100"/>
      <c r="M1498" s="100"/>
      <c r="N1498" s="100"/>
      <c r="O1498" s="100"/>
      <c r="P1498" s="100"/>
      <c r="Q1498" s="100"/>
      <c r="R1498" s="100"/>
      <c r="S1498" s="100"/>
      <c r="T1498" s="100"/>
      <c r="U1498" s="100"/>
      <c r="V1498" s="100"/>
      <c r="W1498" s="100"/>
      <c r="X1498" s="100"/>
      <c r="Y1498" s="100"/>
      <c r="Z1498" s="100"/>
    </row>
    <row r="1499" spans="1:26">
      <c r="A1499" s="100"/>
      <c r="B1499" s="100"/>
      <c r="C1499" s="100"/>
      <c r="D1499" s="100"/>
      <c r="E1499" s="100"/>
      <c r="F1499" s="100"/>
      <c r="G1499" s="100"/>
      <c r="H1499" s="100"/>
      <c r="I1499" s="100"/>
      <c r="J1499" s="100"/>
      <c r="K1499" s="100"/>
      <c r="L1499" s="100"/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</row>
    <row r="1500" spans="1:26">
      <c r="A1500" s="100"/>
      <c r="B1500" s="100"/>
      <c r="C1500" s="100"/>
      <c r="D1500" s="100"/>
      <c r="E1500" s="100"/>
      <c r="F1500" s="100"/>
      <c r="G1500" s="100"/>
      <c r="H1500" s="100"/>
      <c r="I1500" s="100"/>
      <c r="J1500" s="100"/>
      <c r="K1500" s="100"/>
      <c r="L1500" s="100"/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</row>
    <row r="1501" spans="1:26">
      <c r="A1501" s="100"/>
      <c r="B1501" s="100"/>
      <c r="C1501" s="100"/>
      <c r="D1501" s="100"/>
      <c r="E1501" s="100"/>
      <c r="F1501" s="100"/>
      <c r="G1501" s="100"/>
      <c r="H1501" s="100"/>
      <c r="I1501" s="100"/>
      <c r="J1501" s="100"/>
      <c r="K1501" s="100"/>
      <c r="L1501" s="100"/>
      <c r="M1501" s="100"/>
      <c r="N1501" s="100"/>
      <c r="O1501" s="100"/>
      <c r="P1501" s="100"/>
      <c r="Q1501" s="100"/>
      <c r="R1501" s="100"/>
      <c r="S1501" s="100"/>
      <c r="T1501" s="100"/>
      <c r="U1501" s="100"/>
      <c r="V1501" s="100"/>
      <c r="W1501" s="100"/>
      <c r="X1501" s="100"/>
      <c r="Y1501" s="100"/>
      <c r="Z1501" s="100"/>
    </row>
    <row r="1502" spans="1:26">
      <c r="A1502" s="100"/>
      <c r="B1502" s="100"/>
      <c r="C1502" s="100"/>
      <c r="D1502" s="100"/>
      <c r="E1502" s="100"/>
      <c r="F1502" s="100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</row>
    <row r="1503" spans="1:26">
      <c r="A1503" s="100"/>
      <c r="B1503" s="100"/>
      <c r="C1503" s="100"/>
      <c r="D1503" s="100"/>
      <c r="E1503" s="100"/>
      <c r="F1503" s="100"/>
      <c r="G1503" s="100"/>
      <c r="H1503" s="100"/>
      <c r="I1503" s="100"/>
      <c r="J1503" s="100"/>
      <c r="K1503" s="100"/>
      <c r="L1503" s="100"/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</row>
    <row r="1504" spans="1:26">
      <c r="A1504" s="100"/>
      <c r="B1504" s="100"/>
      <c r="C1504" s="100"/>
      <c r="D1504" s="100"/>
      <c r="E1504" s="100"/>
      <c r="F1504" s="100"/>
      <c r="G1504" s="100"/>
      <c r="H1504" s="100"/>
      <c r="I1504" s="100"/>
      <c r="J1504" s="100"/>
      <c r="K1504" s="100"/>
      <c r="L1504" s="100"/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</row>
    <row r="1505" spans="1:26">
      <c r="A1505" s="100"/>
      <c r="B1505" s="100"/>
      <c r="C1505" s="100"/>
      <c r="D1505" s="100"/>
      <c r="E1505" s="100"/>
      <c r="F1505" s="100"/>
      <c r="G1505" s="100"/>
      <c r="H1505" s="100"/>
      <c r="I1505" s="100"/>
      <c r="J1505" s="100"/>
      <c r="K1505" s="100"/>
      <c r="L1505" s="100"/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</row>
    <row r="1506" spans="1:26">
      <c r="A1506" s="100"/>
      <c r="B1506" s="100"/>
      <c r="C1506" s="100"/>
      <c r="D1506" s="100"/>
      <c r="E1506" s="100"/>
      <c r="F1506" s="100"/>
      <c r="G1506" s="100"/>
      <c r="H1506" s="100"/>
      <c r="I1506" s="100"/>
      <c r="J1506" s="100"/>
      <c r="K1506" s="100"/>
      <c r="L1506" s="100"/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</row>
    <row r="1507" spans="1:26">
      <c r="A1507" s="100"/>
      <c r="B1507" s="100"/>
      <c r="C1507" s="100"/>
      <c r="D1507" s="100"/>
      <c r="E1507" s="100"/>
      <c r="F1507" s="100"/>
      <c r="G1507" s="100"/>
      <c r="H1507" s="100"/>
      <c r="I1507" s="100"/>
      <c r="J1507" s="100"/>
      <c r="K1507" s="100"/>
      <c r="L1507" s="100"/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</row>
    <row r="1508" spans="1:26">
      <c r="A1508" s="100"/>
      <c r="B1508" s="100"/>
      <c r="C1508" s="100"/>
      <c r="D1508" s="100"/>
      <c r="E1508" s="100"/>
      <c r="F1508" s="100"/>
      <c r="G1508" s="100"/>
      <c r="H1508" s="100"/>
      <c r="I1508" s="100"/>
      <c r="J1508" s="100"/>
      <c r="K1508" s="100"/>
      <c r="L1508" s="100"/>
      <c r="M1508" s="100"/>
      <c r="N1508" s="100"/>
      <c r="O1508" s="100"/>
      <c r="P1508" s="100"/>
      <c r="Q1508" s="100"/>
      <c r="R1508" s="100"/>
      <c r="S1508" s="100"/>
      <c r="T1508" s="100"/>
      <c r="U1508" s="100"/>
      <c r="V1508" s="100"/>
      <c r="W1508" s="100"/>
      <c r="X1508" s="100"/>
      <c r="Y1508" s="100"/>
      <c r="Z1508" s="100"/>
    </row>
    <row r="1509" spans="1:26">
      <c r="A1509" s="100"/>
      <c r="B1509" s="100"/>
      <c r="C1509" s="100"/>
      <c r="D1509" s="100"/>
      <c r="E1509" s="100"/>
      <c r="F1509" s="100"/>
      <c r="G1509" s="100"/>
      <c r="H1509" s="100"/>
      <c r="I1509" s="100"/>
      <c r="J1509" s="100"/>
      <c r="K1509" s="100"/>
      <c r="L1509" s="100"/>
      <c r="M1509" s="100"/>
      <c r="N1509" s="100"/>
      <c r="O1509" s="100"/>
      <c r="P1509" s="100"/>
      <c r="Q1509" s="100"/>
      <c r="R1509" s="100"/>
      <c r="S1509" s="100"/>
      <c r="T1509" s="100"/>
      <c r="U1509" s="100"/>
      <c r="V1509" s="100"/>
      <c r="W1509" s="100"/>
      <c r="X1509" s="100"/>
      <c r="Y1509" s="100"/>
      <c r="Z1509" s="100"/>
    </row>
    <row r="1510" spans="1:26">
      <c r="A1510" s="100"/>
      <c r="B1510" s="100"/>
      <c r="C1510" s="100"/>
      <c r="D1510" s="100"/>
      <c r="E1510" s="100"/>
      <c r="F1510" s="100"/>
      <c r="G1510" s="100"/>
      <c r="H1510" s="100"/>
      <c r="I1510" s="100"/>
      <c r="J1510" s="100"/>
      <c r="K1510" s="100"/>
      <c r="L1510" s="100"/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</row>
    <row r="1511" spans="1:26">
      <c r="A1511" s="100"/>
      <c r="B1511" s="100"/>
      <c r="C1511" s="100"/>
      <c r="D1511" s="100"/>
      <c r="E1511" s="100"/>
      <c r="F1511" s="100"/>
      <c r="G1511" s="100"/>
      <c r="H1511" s="100"/>
      <c r="I1511" s="100"/>
      <c r="J1511" s="100"/>
      <c r="K1511" s="100"/>
      <c r="L1511" s="100"/>
      <c r="M1511" s="100"/>
      <c r="N1511" s="100"/>
      <c r="O1511" s="100"/>
      <c r="P1511" s="100"/>
      <c r="Q1511" s="100"/>
      <c r="R1511" s="100"/>
      <c r="S1511" s="100"/>
      <c r="T1511" s="100"/>
      <c r="U1511" s="100"/>
      <c r="V1511" s="100"/>
      <c r="W1511" s="100"/>
      <c r="X1511" s="100"/>
      <c r="Y1511" s="100"/>
      <c r="Z1511" s="100"/>
    </row>
    <row r="1512" spans="1:26">
      <c r="A1512" s="100"/>
      <c r="B1512" s="100"/>
      <c r="C1512" s="100"/>
      <c r="D1512" s="100"/>
      <c r="E1512" s="100"/>
      <c r="F1512" s="100"/>
      <c r="G1512" s="100"/>
      <c r="H1512" s="100"/>
      <c r="I1512" s="100"/>
      <c r="J1512" s="100"/>
      <c r="K1512" s="100"/>
      <c r="L1512" s="100"/>
      <c r="M1512" s="100"/>
      <c r="N1512" s="100"/>
      <c r="O1512" s="100"/>
      <c r="P1512" s="100"/>
      <c r="Q1512" s="100"/>
      <c r="R1512" s="100"/>
      <c r="S1512" s="100"/>
      <c r="T1512" s="100"/>
      <c r="U1512" s="100"/>
      <c r="V1512" s="100"/>
      <c r="W1512" s="100"/>
      <c r="X1512" s="100"/>
      <c r="Y1512" s="100"/>
      <c r="Z1512" s="100"/>
    </row>
    <row r="1513" spans="1:26">
      <c r="A1513" s="100"/>
      <c r="B1513" s="100"/>
      <c r="C1513" s="100"/>
      <c r="D1513" s="100"/>
      <c r="E1513" s="100"/>
      <c r="F1513" s="100"/>
      <c r="G1513" s="100"/>
      <c r="H1513" s="100"/>
      <c r="I1513" s="100"/>
      <c r="J1513" s="100"/>
      <c r="K1513" s="100"/>
      <c r="L1513" s="100"/>
      <c r="M1513" s="100"/>
      <c r="N1513" s="100"/>
      <c r="O1513" s="100"/>
      <c r="P1513" s="100"/>
      <c r="Q1513" s="100"/>
      <c r="R1513" s="100"/>
      <c r="S1513" s="100"/>
      <c r="T1513" s="100"/>
      <c r="U1513" s="100"/>
      <c r="V1513" s="100"/>
      <c r="W1513" s="100"/>
      <c r="X1513" s="100"/>
      <c r="Y1513" s="100"/>
      <c r="Z1513" s="100"/>
    </row>
    <row r="1514" spans="1:26">
      <c r="A1514" s="100"/>
      <c r="B1514" s="100"/>
      <c r="C1514" s="100"/>
      <c r="D1514" s="100"/>
      <c r="E1514" s="100"/>
      <c r="F1514" s="100"/>
      <c r="G1514" s="100"/>
      <c r="H1514" s="100"/>
      <c r="I1514" s="100"/>
      <c r="J1514" s="100"/>
      <c r="K1514" s="100"/>
      <c r="L1514" s="100"/>
      <c r="M1514" s="100"/>
      <c r="N1514" s="100"/>
      <c r="O1514" s="100"/>
      <c r="P1514" s="100"/>
      <c r="Q1514" s="100"/>
      <c r="R1514" s="100"/>
      <c r="S1514" s="100"/>
      <c r="T1514" s="100"/>
      <c r="U1514" s="100"/>
      <c r="V1514" s="100"/>
      <c r="W1514" s="100"/>
      <c r="X1514" s="100"/>
      <c r="Y1514" s="100"/>
      <c r="Z1514" s="100"/>
    </row>
    <row r="1515" spans="1:26">
      <c r="A1515" s="100"/>
      <c r="B1515" s="100"/>
      <c r="C1515" s="100"/>
      <c r="D1515" s="100"/>
      <c r="E1515" s="100"/>
      <c r="F1515" s="100"/>
      <c r="G1515" s="100"/>
      <c r="H1515" s="100"/>
      <c r="I1515" s="100"/>
      <c r="J1515" s="100"/>
      <c r="K1515" s="100"/>
      <c r="L1515" s="100"/>
      <c r="M1515" s="100"/>
      <c r="N1515" s="100"/>
      <c r="O1515" s="100"/>
      <c r="P1515" s="100"/>
      <c r="Q1515" s="100"/>
      <c r="R1515" s="100"/>
      <c r="S1515" s="100"/>
      <c r="T1515" s="100"/>
      <c r="U1515" s="100"/>
      <c r="V1515" s="100"/>
      <c r="W1515" s="100"/>
      <c r="X1515" s="100"/>
      <c r="Y1515" s="100"/>
      <c r="Z1515" s="100"/>
    </row>
    <row r="1516" spans="1:26">
      <c r="A1516" s="100"/>
      <c r="B1516" s="100"/>
      <c r="C1516" s="100"/>
      <c r="D1516" s="100"/>
      <c r="E1516" s="100"/>
      <c r="F1516" s="100"/>
      <c r="G1516" s="100"/>
      <c r="H1516" s="100"/>
      <c r="I1516" s="100"/>
      <c r="J1516" s="100"/>
      <c r="K1516" s="100"/>
      <c r="L1516" s="100"/>
      <c r="M1516" s="100"/>
      <c r="N1516" s="100"/>
      <c r="O1516" s="100"/>
      <c r="P1516" s="100"/>
      <c r="Q1516" s="100"/>
      <c r="R1516" s="100"/>
      <c r="S1516" s="100"/>
      <c r="T1516" s="100"/>
      <c r="U1516" s="100"/>
      <c r="V1516" s="100"/>
      <c r="W1516" s="100"/>
      <c r="X1516" s="100"/>
      <c r="Y1516" s="100"/>
      <c r="Z1516" s="100"/>
    </row>
    <row r="1517" spans="1:26">
      <c r="A1517" s="100"/>
      <c r="B1517" s="100"/>
      <c r="C1517" s="100"/>
      <c r="D1517" s="100"/>
      <c r="E1517" s="100"/>
      <c r="F1517" s="100"/>
      <c r="G1517" s="100"/>
      <c r="H1517" s="100"/>
      <c r="I1517" s="100"/>
      <c r="J1517" s="100"/>
      <c r="K1517" s="100"/>
      <c r="L1517" s="100"/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</row>
    <row r="1518" spans="1:26">
      <c r="A1518" s="100"/>
      <c r="B1518" s="100"/>
      <c r="C1518" s="100"/>
      <c r="D1518" s="100"/>
      <c r="E1518" s="100"/>
      <c r="F1518" s="100"/>
      <c r="G1518" s="100"/>
      <c r="H1518" s="100"/>
      <c r="I1518" s="100"/>
      <c r="J1518" s="100"/>
      <c r="K1518" s="100"/>
      <c r="L1518" s="100"/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</row>
    <row r="1519" spans="1:26">
      <c r="A1519" s="100"/>
      <c r="B1519" s="100"/>
      <c r="C1519" s="100"/>
      <c r="D1519" s="100"/>
      <c r="E1519" s="100"/>
      <c r="F1519" s="100"/>
      <c r="G1519" s="100"/>
      <c r="H1519" s="100"/>
      <c r="I1519" s="100"/>
      <c r="J1519" s="100"/>
      <c r="K1519" s="100"/>
      <c r="L1519" s="100"/>
      <c r="M1519" s="100"/>
      <c r="N1519" s="100"/>
      <c r="O1519" s="100"/>
      <c r="P1519" s="100"/>
      <c r="Q1519" s="100"/>
      <c r="R1519" s="100"/>
      <c r="S1519" s="100"/>
      <c r="T1519" s="100"/>
      <c r="U1519" s="100"/>
      <c r="V1519" s="100"/>
      <c r="W1519" s="100"/>
      <c r="X1519" s="100"/>
      <c r="Y1519" s="100"/>
      <c r="Z1519" s="100"/>
    </row>
    <row r="1520" spans="1:26">
      <c r="A1520" s="100"/>
      <c r="B1520" s="100"/>
      <c r="C1520" s="100"/>
      <c r="D1520" s="100"/>
      <c r="E1520" s="100"/>
      <c r="F1520" s="100"/>
      <c r="G1520" s="100"/>
      <c r="H1520" s="100"/>
      <c r="I1520" s="100"/>
      <c r="J1520" s="100"/>
      <c r="K1520" s="100"/>
      <c r="L1520" s="100"/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</row>
    <row r="1521" spans="1:26">
      <c r="A1521" s="100"/>
      <c r="B1521" s="100"/>
      <c r="C1521" s="100"/>
      <c r="D1521" s="100"/>
      <c r="E1521" s="100"/>
      <c r="F1521" s="100"/>
      <c r="G1521" s="100"/>
      <c r="H1521" s="100"/>
      <c r="I1521" s="100"/>
      <c r="J1521" s="100"/>
      <c r="K1521" s="100"/>
      <c r="L1521" s="100"/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</row>
    <row r="1522" spans="1:26">
      <c r="A1522" s="100"/>
      <c r="B1522" s="100"/>
      <c r="C1522" s="100"/>
      <c r="D1522" s="100"/>
      <c r="E1522" s="100"/>
      <c r="F1522" s="100"/>
      <c r="G1522" s="100"/>
      <c r="H1522" s="100"/>
      <c r="I1522" s="100"/>
      <c r="J1522" s="100"/>
      <c r="K1522" s="100"/>
      <c r="L1522" s="100"/>
      <c r="M1522" s="100"/>
      <c r="N1522" s="100"/>
      <c r="O1522" s="100"/>
      <c r="P1522" s="100"/>
      <c r="Q1522" s="100"/>
      <c r="R1522" s="100"/>
      <c r="S1522" s="100"/>
      <c r="T1522" s="100"/>
      <c r="U1522" s="100"/>
      <c r="V1522" s="100"/>
      <c r="W1522" s="100"/>
      <c r="X1522" s="100"/>
      <c r="Y1522" s="100"/>
      <c r="Z1522" s="100"/>
    </row>
    <row r="1523" spans="1:26">
      <c r="A1523" s="100"/>
      <c r="B1523" s="100"/>
      <c r="C1523" s="100"/>
      <c r="D1523" s="100"/>
      <c r="E1523" s="100"/>
      <c r="F1523" s="100"/>
      <c r="G1523" s="100"/>
      <c r="H1523" s="100"/>
      <c r="I1523" s="100"/>
      <c r="J1523" s="100"/>
      <c r="K1523" s="100"/>
      <c r="L1523" s="100"/>
      <c r="M1523" s="100"/>
      <c r="N1523" s="100"/>
      <c r="O1523" s="100"/>
      <c r="P1523" s="100"/>
      <c r="Q1523" s="100"/>
      <c r="R1523" s="100"/>
      <c r="S1523" s="100"/>
      <c r="T1523" s="100"/>
      <c r="U1523" s="100"/>
      <c r="V1523" s="100"/>
      <c r="W1523" s="100"/>
      <c r="X1523" s="100"/>
      <c r="Y1523" s="100"/>
      <c r="Z1523" s="100"/>
    </row>
    <row r="1524" spans="1:26">
      <c r="A1524" s="100"/>
      <c r="B1524" s="100"/>
      <c r="C1524" s="100"/>
      <c r="D1524" s="100"/>
      <c r="E1524" s="100"/>
      <c r="F1524" s="100"/>
      <c r="G1524" s="100"/>
      <c r="H1524" s="100"/>
      <c r="I1524" s="100"/>
      <c r="J1524" s="100"/>
      <c r="K1524" s="100"/>
      <c r="L1524" s="100"/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</row>
    <row r="1525" spans="1:26">
      <c r="A1525" s="100"/>
      <c r="B1525" s="100"/>
      <c r="C1525" s="100"/>
      <c r="D1525" s="100"/>
      <c r="E1525" s="100"/>
      <c r="F1525" s="100"/>
      <c r="G1525" s="100"/>
      <c r="H1525" s="100"/>
      <c r="I1525" s="100"/>
      <c r="J1525" s="100"/>
      <c r="K1525" s="100"/>
      <c r="L1525" s="100"/>
      <c r="M1525" s="100"/>
      <c r="N1525" s="100"/>
      <c r="O1525" s="100"/>
      <c r="P1525" s="100"/>
      <c r="Q1525" s="100"/>
      <c r="R1525" s="100"/>
      <c r="S1525" s="100"/>
      <c r="T1525" s="100"/>
      <c r="U1525" s="100"/>
      <c r="V1525" s="100"/>
      <c r="W1525" s="100"/>
      <c r="X1525" s="100"/>
      <c r="Y1525" s="100"/>
      <c r="Z1525" s="100"/>
    </row>
    <row r="1526" spans="1:26">
      <c r="A1526" s="100"/>
      <c r="B1526" s="100"/>
      <c r="C1526" s="100"/>
      <c r="D1526" s="100"/>
      <c r="E1526" s="100"/>
      <c r="F1526" s="100"/>
      <c r="G1526" s="100"/>
      <c r="H1526" s="100"/>
      <c r="I1526" s="100"/>
      <c r="J1526" s="100"/>
      <c r="K1526" s="100"/>
      <c r="L1526" s="100"/>
      <c r="M1526" s="100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</row>
    <row r="1527" spans="1:26">
      <c r="A1527" s="100"/>
      <c r="B1527" s="100"/>
      <c r="C1527" s="100"/>
      <c r="D1527" s="100"/>
      <c r="E1527" s="100"/>
      <c r="F1527" s="100"/>
      <c r="G1527" s="100"/>
      <c r="H1527" s="100"/>
      <c r="I1527" s="100"/>
      <c r="J1527" s="100"/>
      <c r="K1527" s="100"/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</row>
    <row r="1528" spans="1:26">
      <c r="A1528" s="100"/>
      <c r="B1528" s="100"/>
      <c r="C1528" s="100"/>
      <c r="D1528" s="100"/>
      <c r="E1528" s="100"/>
      <c r="F1528" s="100"/>
      <c r="G1528" s="100"/>
      <c r="H1528" s="100"/>
      <c r="I1528" s="100"/>
      <c r="J1528" s="100"/>
      <c r="K1528" s="100"/>
      <c r="L1528" s="100"/>
      <c r="M1528" s="100"/>
      <c r="N1528" s="100"/>
      <c r="O1528" s="100"/>
      <c r="P1528" s="100"/>
      <c r="Q1528" s="100"/>
      <c r="R1528" s="100"/>
      <c r="S1528" s="100"/>
      <c r="T1528" s="100"/>
      <c r="U1528" s="100"/>
      <c r="V1528" s="100"/>
      <c r="W1528" s="100"/>
      <c r="X1528" s="100"/>
      <c r="Y1528" s="100"/>
      <c r="Z1528" s="100"/>
    </row>
    <row r="1529" spans="1:26">
      <c r="A1529" s="100"/>
      <c r="B1529" s="100"/>
      <c r="C1529" s="100"/>
      <c r="D1529" s="100"/>
      <c r="E1529" s="100"/>
      <c r="F1529" s="100"/>
      <c r="G1529" s="100"/>
      <c r="H1529" s="100"/>
      <c r="I1529" s="100"/>
      <c r="J1529" s="100"/>
      <c r="K1529" s="100"/>
      <c r="L1529" s="100"/>
      <c r="M1529" s="100"/>
      <c r="N1529" s="100"/>
      <c r="O1529" s="100"/>
      <c r="P1529" s="100"/>
      <c r="Q1529" s="100"/>
      <c r="R1529" s="100"/>
      <c r="S1529" s="100"/>
      <c r="T1529" s="100"/>
      <c r="U1529" s="100"/>
      <c r="V1529" s="100"/>
      <c r="W1529" s="100"/>
      <c r="X1529" s="100"/>
      <c r="Y1529" s="100"/>
      <c r="Z1529" s="100"/>
    </row>
    <row r="1530" spans="1:26">
      <c r="A1530" s="100"/>
      <c r="B1530" s="100"/>
      <c r="C1530" s="100"/>
      <c r="D1530" s="100"/>
      <c r="E1530" s="100"/>
      <c r="F1530" s="100"/>
      <c r="G1530" s="100"/>
      <c r="H1530" s="100"/>
      <c r="I1530" s="100"/>
      <c r="J1530" s="100"/>
      <c r="K1530" s="100"/>
      <c r="L1530" s="100"/>
      <c r="M1530" s="100"/>
      <c r="N1530" s="100"/>
      <c r="O1530" s="100"/>
      <c r="P1530" s="100"/>
      <c r="Q1530" s="100"/>
      <c r="R1530" s="100"/>
      <c r="S1530" s="100"/>
      <c r="T1530" s="100"/>
      <c r="U1530" s="100"/>
      <c r="V1530" s="100"/>
      <c r="W1530" s="100"/>
      <c r="X1530" s="100"/>
      <c r="Y1530" s="100"/>
      <c r="Z1530" s="100"/>
    </row>
    <row r="1531" spans="1:26">
      <c r="A1531" s="100"/>
      <c r="B1531" s="100"/>
      <c r="C1531" s="100"/>
      <c r="D1531" s="100"/>
      <c r="E1531" s="100"/>
      <c r="F1531" s="100"/>
      <c r="G1531" s="100"/>
      <c r="H1531" s="100"/>
      <c r="I1531" s="100"/>
      <c r="J1531" s="100"/>
      <c r="K1531" s="100"/>
      <c r="L1531" s="100"/>
      <c r="M1531" s="100"/>
      <c r="N1531" s="100"/>
      <c r="O1531" s="100"/>
      <c r="P1531" s="100"/>
      <c r="Q1531" s="100"/>
      <c r="R1531" s="100"/>
      <c r="S1531" s="100"/>
      <c r="T1531" s="100"/>
      <c r="U1531" s="100"/>
      <c r="V1531" s="100"/>
      <c r="W1531" s="100"/>
      <c r="X1531" s="100"/>
      <c r="Y1531" s="100"/>
      <c r="Z1531" s="100"/>
    </row>
    <row r="1532" spans="1:26">
      <c r="A1532" s="100"/>
      <c r="B1532" s="100"/>
      <c r="C1532" s="100"/>
      <c r="D1532" s="100"/>
      <c r="E1532" s="100"/>
      <c r="F1532" s="100"/>
      <c r="G1532" s="100"/>
      <c r="H1532" s="100"/>
      <c r="I1532" s="100"/>
      <c r="J1532" s="100"/>
      <c r="K1532" s="100"/>
      <c r="L1532" s="100"/>
      <c r="M1532" s="100"/>
      <c r="N1532" s="100"/>
      <c r="O1532" s="100"/>
      <c r="P1532" s="100"/>
      <c r="Q1532" s="100"/>
      <c r="R1532" s="100"/>
      <c r="S1532" s="100"/>
      <c r="T1532" s="100"/>
      <c r="U1532" s="100"/>
      <c r="V1532" s="100"/>
      <c r="W1532" s="100"/>
      <c r="X1532" s="100"/>
      <c r="Y1532" s="100"/>
      <c r="Z1532" s="100"/>
    </row>
    <row r="1533" spans="1:26">
      <c r="A1533" s="100"/>
      <c r="B1533" s="100"/>
      <c r="C1533" s="100"/>
      <c r="D1533" s="100"/>
      <c r="E1533" s="100"/>
      <c r="F1533" s="100"/>
      <c r="G1533" s="100"/>
      <c r="H1533" s="100"/>
      <c r="I1533" s="100"/>
      <c r="J1533" s="100"/>
      <c r="K1533" s="100"/>
      <c r="L1533" s="100"/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</row>
    <row r="1534" spans="1:26">
      <c r="A1534" s="100"/>
      <c r="B1534" s="100"/>
      <c r="C1534" s="100"/>
      <c r="D1534" s="100"/>
      <c r="E1534" s="100"/>
      <c r="F1534" s="100"/>
      <c r="G1534" s="100"/>
      <c r="H1534" s="100"/>
      <c r="I1534" s="100"/>
      <c r="J1534" s="100"/>
      <c r="K1534" s="100"/>
      <c r="L1534" s="100"/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</row>
    <row r="1535" spans="1:26">
      <c r="A1535" s="100"/>
      <c r="B1535" s="100"/>
      <c r="C1535" s="100"/>
      <c r="D1535" s="100"/>
      <c r="E1535" s="100"/>
      <c r="F1535" s="100"/>
      <c r="G1535" s="100"/>
      <c r="H1535" s="100"/>
      <c r="I1535" s="100"/>
      <c r="J1535" s="100"/>
      <c r="K1535" s="100"/>
      <c r="L1535" s="100"/>
      <c r="M1535" s="100"/>
      <c r="N1535" s="100"/>
      <c r="O1535" s="100"/>
      <c r="P1535" s="100"/>
      <c r="Q1535" s="100"/>
      <c r="R1535" s="100"/>
      <c r="S1535" s="100"/>
      <c r="T1535" s="100"/>
      <c r="U1535" s="100"/>
      <c r="V1535" s="100"/>
      <c r="W1535" s="100"/>
      <c r="X1535" s="100"/>
      <c r="Y1535" s="100"/>
      <c r="Z1535" s="100"/>
    </row>
    <row r="1536" spans="1:26">
      <c r="A1536" s="100"/>
      <c r="B1536" s="100"/>
      <c r="C1536" s="100"/>
      <c r="D1536" s="100"/>
      <c r="E1536" s="100"/>
      <c r="F1536" s="100"/>
      <c r="G1536" s="100"/>
      <c r="H1536" s="100"/>
      <c r="I1536" s="100"/>
      <c r="J1536" s="100"/>
      <c r="K1536" s="100"/>
      <c r="L1536" s="100"/>
      <c r="M1536" s="100"/>
      <c r="N1536" s="100"/>
      <c r="O1536" s="100"/>
      <c r="P1536" s="100"/>
      <c r="Q1536" s="100"/>
      <c r="R1536" s="100"/>
      <c r="S1536" s="100"/>
      <c r="T1536" s="100"/>
      <c r="U1536" s="100"/>
      <c r="V1536" s="100"/>
      <c r="W1536" s="100"/>
      <c r="X1536" s="100"/>
      <c r="Y1536" s="100"/>
      <c r="Z1536" s="100"/>
    </row>
    <row r="1537" spans="1:26">
      <c r="A1537" s="100"/>
      <c r="B1537" s="100"/>
      <c r="C1537" s="100"/>
      <c r="D1537" s="100"/>
      <c r="E1537" s="100"/>
      <c r="F1537" s="100"/>
      <c r="G1537" s="100"/>
      <c r="H1537" s="100"/>
      <c r="I1537" s="100"/>
      <c r="J1537" s="100"/>
      <c r="K1537" s="100"/>
      <c r="L1537" s="100"/>
      <c r="M1537" s="100"/>
      <c r="N1537" s="100"/>
      <c r="O1537" s="100"/>
      <c r="P1537" s="100"/>
      <c r="Q1537" s="100"/>
      <c r="R1537" s="100"/>
      <c r="S1537" s="100"/>
      <c r="T1537" s="100"/>
      <c r="U1537" s="100"/>
      <c r="V1537" s="100"/>
      <c r="W1537" s="100"/>
      <c r="X1537" s="100"/>
      <c r="Y1537" s="100"/>
      <c r="Z1537" s="100"/>
    </row>
    <row r="1538" spans="1:26">
      <c r="A1538" s="100"/>
      <c r="B1538" s="100"/>
      <c r="C1538" s="100"/>
      <c r="D1538" s="100"/>
      <c r="E1538" s="100"/>
      <c r="F1538" s="100"/>
      <c r="G1538" s="100"/>
      <c r="H1538" s="100"/>
      <c r="I1538" s="100"/>
      <c r="J1538" s="100"/>
      <c r="K1538" s="100"/>
      <c r="L1538" s="100"/>
      <c r="M1538" s="100"/>
      <c r="N1538" s="100"/>
      <c r="O1538" s="100"/>
      <c r="P1538" s="100"/>
      <c r="Q1538" s="100"/>
      <c r="R1538" s="100"/>
      <c r="S1538" s="100"/>
      <c r="T1538" s="100"/>
      <c r="U1538" s="100"/>
      <c r="V1538" s="100"/>
      <c r="W1538" s="100"/>
      <c r="X1538" s="100"/>
      <c r="Y1538" s="100"/>
      <c r="Z1538" s="100"/>
    </row>
    <row r="1539" spans="1:26">
      <c r="A1539" s="100"/>
      <c r="B1539" s="100"/>
      <c r="C1539" s="100"/>
      <c r="D1539" s="100"/>
      <c r="E1539" s="100"/>
      <c r="F1539" s="100"/>
      <c r="G1539" s="100"/>
      <c r="H1539" s="100"/>
      <c r="I1539" s="100"/>
      <c r="J1539" s="100"/>
      <c r="K1539" s="100"/>
      <c r="L1539" s="100"/>
      <c r="M1539" s="100"/>
      <c r="N1539" s="100"/>
      <c r="O1539" s="100"/>
      <c r="P1539" s="100"/>
      <c r="Q1539" s="100"/>
      <c r="R1539" s="100"/>
      <c r="S1539" s="100"/>
      <c r="T1539" s="100"/>
      <c r="U1539" s="100"/>
      <c r="V1539" s="100"/>
      <c r="W1539" s="100"/>
      <c r="X1539" s="100"/>
      <c r="Y1539" s="100"/>
      <c r="Z1539" s="100"/>
    </row>
    <row r="1540" spans="1:26">
      <c r="A1540" s="100"/>
      <c r="B1540" s="100"/>
      <c r="C1540" s="100"/>
      <c r="D1540" s="100"/>
      <c r="E1540" s="100"/>
      <c r="F1540" s="100"/>
      <c r="G1540" s="100"/>
      <c r="H1540" s="100"/>
      <c r="I1540" s="100"/>
      <c r="J1540" s="100"/>
      <c r="K1540" s="100"/>
      <c r="L1540" s="100"/>
      <c r="M1540" s="100"/>
      <c r="N1540" s="100"/>
      <c r="O1540" s="100"/>
      <c r="P1540" s="100"/>
      <c r="Q1540" s="100"/>
      <c r="R1540" s="100"/>
      <c r="S1540" s="100"/>
      <c r="T1540" s="100"/>
      <c r="U1540" s="100"/>
      <c r="V1540" s="100"/>
      <c r="W1540" s="100"/>
      <c r="X1540" s="100"/>
      <c r="Y1540" s="100"/>
      <c r="Z1540" s="100"/>
    </row>
    <row r="1541" spans="1:26">
      <c r="A1541" s="100"/>
      <c r="B1541" s="100"/>
      <c r="C1541" s="100"/>
      <c r="D1541" s="100"/>
      <c r="E1541" s="100"/>
      <c r="F1541" s="100"/>
      <c r="G1541" s="100"/>
      <c r="H1541" s="100"/>
      <c r="I1541" s="100"/>
      <c r="J1541" s="100"/>
      <c r="K1541" s="100"/>
      <c r="L1541" s="100"/>
      <c r="M1541" s="100"/>
      <c r="N1541" s="100"/>
      <c r="O1541" s="100"/>
      <c r="P1541" s="100"/>
      <c r="Q1541" s="100"/>
      <c r="R1541" s="100"/>
      <c r="S1541" s="100"/>
      <c r="T1541" s="100"/>
      <c r="U1541" s="100"/>
      <c r="V1541" s="100"/>
      <c r="W1541" s="100"/>
      <c r="X1541" s="100"/>
      <c r="Y1541" s="100"/>
      <c r="Z1541" s="100"/>
    </row>
    <row r="1542" spans="1:26">
      <c r="A1542" s="100"/>
      <c r="B1542" s="100"/>
      <c r="C1542" s="100"/>
      <c r="D1542" s="100"/>
      <c r="E1542" s="100"/>
      <c r="F1542" s="100"/>
      <c r="G1542" s="100"/>
      <c r="H1542" s="100"/>
      <c r="I1542" s="100"/>
      <c r="J1542" s="100"/>
      <c r="K1542" s="100"/>
      <c r="L1542" s="100"/>
      <c r="M1542" s="100"/>
      <c r="N1542" s="100"/>
      <c r="O1542" s="100"/>
      <c r="P1542" s="100"/>
      <c r="Q1542" s="100"/>
      <c r="R1542" s="100"/>
      <c r="S1542" s="100"/>
      <c r="T1542" s="100"/>
      <c r="U1542" s="100"/>
      <c r="V1542" s="100"/>
      <c r="W1542" s="100"/>
      <c r="X1542" s="100"/>
      <c r="Y1542" s="100"/>
      <c r="Z1542" s="100"/>
    </row>
    <row r="1543" spans="1:26">
      <c r="A1543" s="100"/>
      <c r="B1543" s="100"/>
      <c r="C1543" s="100"/>
      <c r="D1543" s="100"/>
      <c r="E1543" s="100"/>
      <c r="F1543" s="100"/>
      <c r="G1543" s="100"/>
      <c r="H1543" s="100"/>
      <c r="I1543" s="100"/>
      <c r="J1543" s="100"/>
      <c r="K1543" s="100"/>
      <c r="L1543" s="100"/>
      <c r="M1543" s="100"/>
      <c r="N1543" s="100"/>
      <c r="O1543" s="100"/>
      <c r="P1543" s="100"/>
      <c r="Q1543" s="100"/>
      <c r="R1543" s="100"/>
      <c r="S1543" s="100"/>
      <c r="T1543" s="100"/>
      <c r="U1543" s="100"/>
      <c r="V1543" s="100"/>
      <c r="W1543" s="100"/>
      <c r="X1543" s="100"/>
      <c r="Y1543" s="100"/>
      <c r="Z1543" s="100"/>
    </row>
    <row r="1544" spans="1:26">
      <c r="A1544" s="100"/>
      <c r="B1544" s="100"/>
      <c r="C1544" s="100"/>
      <c r="D1544" s="100"/>
      <c r="E1544" s="100"/>
      <c r="F1544" s="100"/>
      <c r="G1544" s="100"/>
      <c r="H1544" s="100"/>
      <c r="I1544" s="100"/>
      <c r="J1544" s="100"/>
      <c r="K1544" s="100"/>
      <c r="L1544" s="100"/>
      <c r="M1544" s="100"/>
      <c r="N1544" s="100"/>
      <c r="O1544" s="100"/>
      <c r="P1544" s="100"/>
      <c r="Q1544" s="100"/>
      <c r="R1544" s="100"/>
      <c r="S1544" s="100"/>
      <c r="T1544" s="100"/>
      <c r="U1544" s="100"/>
      <c r="V1544" s="100"/>
      <c r="W1544" s="100"/>
      <c r="X1544" s="100"/>
      <c r="Y1544" s="100"/>
      <c r="Z1544" s="100"/>
    </row>
    <row r="1545" spans="1:26">
      <c r="A1545" s="100"/>
      <c r="B1545" s="100"/>
      <c r="C1545" s="100"/>
      <c r="D1545" s="100"/>
      <c r="E1545" s="100"/>
      <c r="F1545" s="100"/>
      <c r="G1545" s="100"/>
      <c r="H1545" s="100"/>
      <c r="I1545" s="100"/>
      <c r="J1545" s="100"/>
      <c r="K1545" s="100"/>
      <c r="L1545" s="100"/>
      <c r="M1545" s="100"/>
      <c r="N1545" s="100"/>
      <c r="O1545" s="100"/>
      <c r="P1545" s="100"/>
      <c r="Q1545" s="100"/>
      <c r="R1545" s="100"/>
      <c r="S1545" s="100"/>
      <c r="T1545" s="100"/>
      <c r="U1545" s="100"/>
      <c r="V1545" s="100"/>
      <c r="W1545" s="100"/>
      <c r="X1545" s="100"/>
      <c r="Y1545" s="100"/>
      <c r="Z1545" s="100"/>
    </row>
    <row r="1546" spans="1:26">
      <c r="A1546" s="100"/>
      <c r="B1546" s="100"/>
      <c r="C1546" s="100"/>
      <c r="D1546" s="100"/>
      <c r="E1546" s="100"/>
      <c r="F1546" s="100"/>
      <c r="G1546" s="100"/>
      <c r="H1546" s="100"/>
      <c r="I1546" s="100"/>
      <c r="J1546" s="100"/>
      <c r="K1546" s="100"/>
      <c r="L1546" s="100"/>
      <c r="M1546" s="100"/>
      <c r="N1546" s="100"/>
      <c r="O1546" s="100"/>
      <c r="P1546" s="100"/>
      <c r="Q1546" s="100"/>
      <c r="R1546" s="100"/>
      <c r="S1546" s="100"/>
      <c r="T1546" s="100"/>
      <c r="U1546" s="100"/>
      <c r="V1546" s="100"/>
      <c r="W1546" s="100"/>
      <c r="X1546" s="100"/>
      <c r="Y1546" s="100"/>
      <c r="Z1546" s="100"/>
    </row>
    <row r="1547" spans="1:26">
      <c r="A1547" s="100"/>
      <c r="B1547" s="100"/>
      <c r="C1547" s="100"/>
      <c r="D1547" s="100"/>
      <c r="E1547" s="100"/>
      <c r="F1547" s="100"/>
      <c r="G1547" s="100"/>
      <c r="H1547" s="100"/>
      <c r="I1547" s="100"/>
      <c r="J1547" s="100"/>
      <c r="K1547" s="100"/>
      <c r="L1547" s="100"/>
      <c r="M1547" s="100"/>
      <c r="N1547" s="100"/>
      <c r="O1547" s="100"/>
      <c r="P1547" s="100"/>
      <c r="Q1547" s="100"/>
      <c r="R1547" s="100"/>
      <c r="S1547" s="100"/>
      <c r="T1547" s="100"/>
      <c r="U1547" s="100"/>
      <c r="V1547" s="100"/>
      <c r="W1547" s="100"/>
      <c r="X1547" s="100"/>
      <c r="Y1547" s="100"/>
      <c r="Z1547" s="100"/>
    </row>
    <row r="1548" spans="1:26">
      <c r="A1548" s="100"/>
      <c r="B1548" s="100"/>
      <c r="C1548" s="100"/>
      <c r="D1548" s="100"/>
      <c r="E1548" s="100"/>
      <c r="F1548" s="100"/>
      <c r="G1548" s="100"/>
      <c r="H1548" s="100"/>
      <c r="I1548" s="100"/>
      <c r="J1548" s="100"/>
      <c r="K1548" s="100"/>
      <c r="L1548" s="100"/>
      <c r="M1548" s="100"/>
      <c r="N1548" s="100"/>
      <c r="O1548" s="100"/>
      <c r="P1548" s="100"/>
      <c r="Q1548" s="100"/>
      <c r="R1548" s="100"/>
      <c r="S1548" s="100"/>
      <c r="T1548" s="100"/>
      <c r="U1548" s="100"/>
      <c r="V1548" s="100"/>
      <c r="W1548" s="100"/>
      <c r="X1548" s="100"/>
      <c r="Y1548" s="100"/>
      <c r="Z1548" s="100"/>
    </row>
    <row r="1549" spans="1:26">
      <c r="A1549" s="100"/>
      <c r="B1549" s="100"/>
      <c r="C1549" s="100"/>
      <c r="D1549" s="100"/>
      <c r="E1549" s="100"/>
      <c r="F1549" s="100"/>
      <c r="G1549" s="100"/>
      <c r="H1549" s="100"/>
      <c r="I1549" s="100"/>
      <c r="J1549" s="100"/>
      <c r="K1549" s="100"/>
      <c r="L1549" s="100"/>
      <c r="M1549" s="100"/>
      <c r="N1549" s="100"/>
      <c r="O1549" s="100"/>
      <c r="P1549" s="100"/>
      <c r="Q1549" s="100"/>
      <c r="R1549" s="100"/>
      <c r="S1549" s="100"/>
      <c r="T1549" s="100"/>
      <c r="U1549" s="100"/>
      <c r="V1549" s="100"/>
      <c r="W1549" s="100"/>
      <c r="X1549" s="100"/>
      <c r="Y1549" s="100"/>
      <c r="Z1549" s="100"/>
    </row>
    <row r="1550" spans="1:26">
      <c r="A1550" s="100"/>
      <c r="B1550" s="100"/>
      <c r="C1550" s="100"/>
      <c r="D1550" s="100"/>
      <c r="E1550" s="100"/>
      <c r="F1550" s="100"/>
      <c r="G1550" s="100"/>
      <c r="H1550" s="100"/>
      <c r="I1550" s="100"/>
      <c r="J1550" s="100"/>
      <c r="K1550" s="100"/>
      <c r="L1550" s="100"/>
      <c r="M1550" s="100"/>
      <c r="N1550" s="100"/>
      <c r="O1550" s="100"/>
      <c r="P1550" s="100"/>
      <c r="Q1550" s="100"/>
      <c r="R1550" s="100"/>
      <c r="S1550" s="100"/>
      <c r="T1550" s="100"/>
      <c r="U1550" s="100"/>
      <c r="V1550" s="100"/>
      <c r="W1550" s="100"/>
      <c r="X1550" s="100"/>
      <c r="Y1550" s="100"/>
      <c r="Z1550" s="100"/>
    </row>
    <row r="1551" spans="1:26">
      <c r="A1551" s="100"/>
      <c r="B1551" s="100"/>
      <c r="C1551" s="100"/>
      <c r="D1551" s="100"/>
      <c r="E1551" s="100"/>
      <c r="F1551" s="100"/>
      <c r="G1551" s="100"/>
      <c r="H1551" s="100"/>
      <c r="I1551" s="100"/>
      <c r="J1551" s="100"/>
      <c r="K1551" s="100"/>
      <c r="L1551" s="100"/>
      <c r="M1551" s="100"/>
      <c r="N1551" s="100"/>
      <c r="O1551" s="100"/>
      <c r="P1551" s="100"/>
      <c r="Q1551" s="100"/>
      <c r="R1551" s="100"/>
      <c r="S1551" s="100"/>
      <c r="T1551" s="100"/>
      <c r="U1551" s="100"/>
      <c r="V1551" s="100"/>
      <c r="W1551" s="100"/>
      <c r="X1551" s="100"/>
      <c r="Y1551" s="100"/>
      <c r="Z1551" s="100"/>
    </row>
    <row r="1552" spans="1:26">
      <c r="A1552" s="100"/>
      <c r="B1552" s="100"/>
      <c r="C1552" s="100"/>
      <c r="D1552" s="100"/>
      <c r="E1552" s="100"/>
      <c r="F1552" s="100"/>
      <c r="G1552" s="100"/>
      <c r="H1552" s="100"/>
      <c r="I1552" s="100"/>
      <c r="J1552" s="100"/>
      <c r="K1552" s="100"/>
      <c r="L1552" s="100"/>
      <c r="M1552" s="100"/>
      <c r="N1552" s="100"/>
      <c r="O1552" s="100"/>
      <c r="P1552" s="100"/>
      <c r="Q1552" s="100"/>
      <c r="R1552" s="100"/>
      <c r="S1552" s="100"/>
      <c r="T1552" s="100"/>
      <c r="U1552" s="100"/>
      <c r="V1552" s="100"/>
      <c r="W1552" s="100"/>
      <c r="X1552" s="100"/>
      <c r="Y1552" s="100"/>
      <c r="Z1552" s="100"/>
    </row>
    <row r="1553" spans="1:26">
      <c r="A1553" s="100"/>
      <c r="B1553" s="100"/>
      <c r="C1553" s="100"/>
      <c r="D1553" s="100"/>
      <c r="E1553" s="100"/>
      <c r="F1553" s="100"/>
      <c r="G1553" s="100"/>
      <c r="H1553" s="100"/>
      <c r="I1553" s="100"/>
      <c r="J1553" s="100"/>
      <c r="K1553" s="100"/>
      <c r="L1553" s="100"/>
      <c r="M1553" s="100"/>
      <c r="N1553" s="100"/>
      <c r="O1553" s="100"/>
      <c r="P1553" s="100"/>
      <c r="Q1553" s="100"/>
      <c r="R1553" s="100"/>
      <c r="S1553" s="100"/>
      <c r="T1553" s="100"/>
      <c r="U1553" s="100"/>
      <c r="V1553" s="100"/>
      <c r="W1553" s="100"/>
      <c r="X1553" s="100"/>
      <c r="Y1553" s="100"/>
      <c r="Z1553" s="100"/>
    </row>
    <row r="1554" spans="1:26">
      <c r="A1554" s="100"/>
      <c r="B1554" s="100"/>
      <c r="C1554" s="100"/>
      <c r="D1554" s="100"/>
      <c r="E1554" s="100"/>
      <c r="F1554" s="100"/>
      <c r="G1554" s="100"/>
      <c r="H1554" s="100"/>
      <c r="I1554" s="100"/>
      <c r="J1554" s="100"/>
      <c r="K1554" s="100"/>
      <c r="L1554" s="100"/>
      <c r="M1554" s="100"/>
      <c r="N1554" s="100"/>
      <c r="O1554" s="100"/>
      <c r="P1554" s="100"/>
      <c r="Q1554" s="100"/>
      <c r="R1554" s="100"/>
      <c r="S1554" s="100"/>
      <c r="T1554" s="100"/>
      <c r="U1554" s="100"/>
      <c r="V1554" s="100"/>
      <c r="W1554" s="100"/>
      <c r="X1554" s="100"/>
      <c r="Y1554" s="100"/>
      <c r="Z1554" s="100"/>
    </row>
    <row r="1555" spans="1:26">
      <c r="A1555" s="100"/>
      <c r="B1555" s="100"/>
      <c r="C1555" s="100"/>
      <c r="D1555" s="100"/>
      <c r="E1555" s="100"/>
      <c r="F1555" s="100"/>
      <c r="G1555" s="100"/>
      <c r="H1555" s="100"/>
      <c r="I1555" s="100"/>
      <c r="J1555" s="100"/>
      <c r="K1555" s="100"/>
      <c r="L1555" s="100"/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</row>
    <row r="1556" spans="1:26">
      <c r="A1556" s="100"/>
      <c r="B1556" s="100"/>
      <c r="C1556" s="100"/>
      <c r="D1556" s="100"/>
      <c r="E1556" s="100"/>
      <c r="F1556" s="100"/>
      <c r="G1556" s="100"/>
      <c r="H1556" s="100"/>
      <c r="I1556" s="100"/>
      <c r="J1556" s="100"/>
      <c r="K1556" s="100"/>
      <c r="L1556" s="100"/>
      <c r="M1556" s="100"/>
      <c r="N1556" s="100"/>
      <c r="O1556" s="100"/>
      <c r="P1556" s="100"/>
      <c r="Q1556" s="100"/>
      <c r="R1556" s="100"/>
      <c r="S1556" s="100"/>
      <c r="T1556" s="100"/>
      <c r="U1556" s="100"/>
      <c r="V1556" s="100"/>
      <c r="W1556" s="100"/>
      <c r="X1556" s="100"/>
      <c r="Y1556" s="100"/>
      <c r="Z1556" s="100"/>
    </row>
    <row r="1557" spans="1:26">
      <c r="A1557" s="100"/>
      <c r="B1557" s="100"/>
      <c r="C1557" s="100"/>
      <c r="D1557" s="100"/>
      <c r="E1557" s="100"/>
      <c r="F1557" s="100"/>
      <c r="G1557" s="100"/>
      <c r="H1557" s="100"/>
      <c r="I1557" s="100"/>
      <c r="J1557" s="100"/>
      <c r="K1557" s="100"/>
      <c r="L1557" s="100"/>
      <c r="M1557" s="100"/>
      <c r="N1557" s="100"/>
      <c r="O1557" s="100"/>
      <c r="P1557" s="100"/>
      <c r="Q1557" s="100"/>
      <c r="R1557" s="100"/>
      <c r="S1557" s="100"/>
      <c r="T1557" s="100"/>
      <c r="U1557" s="100"/>
      <c r="V1557" s="100"/>
      <c r="W1557" s="100"/>
      <c r="X1557" s="100"/>
      <c r="Y1557" s="100"/>
      <c r="Z1557" s="100"/>
    </row>
    <row r="1558" spans="1:26">
      <c r="A1558" s="100"/>
      <c r="B1558" s="100"/>
      <c r="C1558" s="100"/>
      <c r="D1558" s="100"/>
      <c r="E1558" s="100"/>
      <c r="F1558" s="100"/>
      <c r="G1558" s="100"/>
      <c r="H1558" s="100"/>
      <c r="I1558" s="100"/>
      <c r="J1558" s="100"/>
      <c r="K1558" s="100"/>
      <c r="L1558" s="100"/>
      <c r="M1558" s="100"/>
      <c r="N1558" s="100"/>
      <c r="O1558" s="100"/>
      <c r="P1558" s="100"/>
      <c r="Q1558" s="100"/>
      <c r="R1558" s="100"/>
      <c r="S1558" s="100"/>
      <c r="T1558" s="100"/>
      <c r="U1558" s="100"/>
      <c r="V1558" s="100"/>
      <c r="W1558" s="100"/>
      <c r="X1558" s="100"/>
      <c r="Y1558" s="100"/>
      <c r="Z1558" s="100"/>
    </row>
    <row r="1559" spans="1:26">
      <c r="A1559" s="100"/>
      <c r="B1559" s="100"/>
      <c r="C1559" s="100"/>
      <c r="D1559" s="100"/>
      <c r="E1559" s="100"/>
      <c r="F1559" s="100"/>
      <c r="G1559" s="100"/>
      <c r="H1559" s="100"/>
      <c r="I1559" s="100"/>
      <c r="J1559" s="100"/>
      <c r="K1559" s="100"/>
      <c r="L1559" s="100"/>
      <c r="M1559" s="100"/>
      <c r="N1559" s="100"/>
      <c r="O1559" s="100"/>
      <c r="P1559" s="100"/>
      <c r="Q1559" s="100"/>
      <c r="R1559" s="100"/>
      <c r="S1559" s="100"/>
      <c r="T1559" s="100"/>
      <c r="U1559" s="100"/>
      <c r="V1559" s="100"/>
      <c r="W1559" s="100"/>
      <c r="X1559" s="100"/>
      <c r="Y1559" s="100"/>
      <c r="Z1559" s="100"/>
    </row>
    <row r="1560" spans="1:26">
      <c r="A1560" s="100"/>
      <c r="B1560" s="100"/>
      <c r="C1560" s="100"/>
      <c r="D1560" s="100"/>
      <c r="E1560" s="100"/>
      <c r="F1560" s="100"/>
      <c r="G1560" s="100"/>
      <c r="H1560" s="100"/>
      <c r="I1560" s="100"/>
      <c r="J1560" s="100"/>
      <c r="K1560" s="100"/>
      <c r="L1560" s="100"/>
      <c r="M1560" s="100"/>
      <c r="N1560" s="100"/>
      <c r="O1560" s="100"/>
      <c r="P1560" s="100"/>
      <c r="Q1560" s="100"/>
      <c r="R1560" s="100"/>
      <c r="S1560" s="100"/>
      <c r="T1560" s="100"/>
      <c r="U1560" s="100"/>
      <c r="V1560" s="100"/>
      <c r="W1560" s="100"/>
      <c r="X1560" s="100"/>
      <c r="Y1560" s="100"/>
      <c r="Z1560" s="100"/>
    </row>
    <row r="1561" spans="1:26">
      <c r="A1561" s="100"/>
      <c r="B1561" s="100"/>
      <c r="C1561" s="100"/>
      <c r="D1561" s="100"/>
      <c r="E1561" s="100"/>
      <c r="F1561" s="100"/>
      <c r="G1561" s="100"/>
      <c r="H1561" s="100"/>
      <c r="I1561" s="100"/>
      <c r="J1561" s="100"/>
      <c r="K1561" s="100"/>
      <c r="L1561" s="100"/>
      <c r="M1561" s="100"/>
      <c r="N1561" s="100"/>
      <c r="O1561" s="100"/>
      <c r="P1561" s="100"/>
      <c r="Q1561" s="100"/>
      <c r="R1561" s="100"/>
      <c r="S1561" s="100"/>
      <c r="T1561" s="100"/>
      <c r="U1561" s="100"/>
      <c r="V1561" s="100"/>
      <c r="W1561" s="100"/>
      <c r="X1561" s="100"/>
      <c r="Y1561" s="100"/>
      <c r="Z1561" s="100"/>
    </row>
    <row r="1562" spans="1:26">
      <c r="A1562" s="100"/>
      <c r="B1562" s="100"/>
      <c r="C1562" s="100"/>
      <c r="D1562" s="100"/>
      <c r="E1562" s="100"/>
      <c r="F1562" s="100"/>
      <c r="G1562" s="100"/>
      <c r="H1562" s="100"/>
      <c r="I1562" s="100"/>
      <c r="J1562" s="100"/>
      <c r="K1562" s="100"/>
      <c r="L1562" s="100"/>
      <c r="M1562" s="100"/>
      <c r="N1562" s="100"/>
      <c r="O1562" s="100"/>
      <c r="P1562" s="100"/>
      <c r="Q1562" s="100"/>
      <c r="R1562" s="100"/>
      <c r="S1562" s="100"/>
      <c r="T1562" s="100"/>
      <c r="U1562" s="100"/>
      <c r="V1562" s="100"/>
      <c r="W1562" s="100"/>
      <c r="X1562" s="100"/>
      <c r="Y1562" s="100"/>
      <c r="Z1562" s="100"/>
    </row>
    <row r="1563" spans="1:26">
      <c r="A1563" s="100"/>
      <c r="B1563" s="100"/>
      <c r="C1563" s="100"/>
      <c r="D1563" s="100"/>
      <c r="E1563" s="100"/>
      <c r="F1563" s="100"/>
      <c r="G1563" s="100"/>
      <c r="H1563" s="100"/>
      <c r="I1563" s="100"/>
      <c r="J1563" s="100"/>
      <c r="K1563" s="100"/>
      <c r="L1563" s="100"/>
      <c r="M1563" s="100"/>
      <c r="N1563" s="100"/>
      <c r="O1563" s="100"/>
      <c r="P1563" s="100"/>
      <c r="Q1563" s="100"/>
      <c r="R1563" s="100"/>
      <c r="S1563" s="100"/>
      <c r="T1563" s="100"/>
      <c r="U1563" s="100"/>
      <c r="V1563" s="100"/>
      <c r="W1563" s="100"/>
      <c r="X1563" s="100"/>
      <c r="Y1563" s="100"/>
      <c r="Z1563" s="100"/>
    </row>
    <row r="1564" spans="1:26">
      <c r="A1564" s="100"/>
      <c r="B1564" s="100"/>
      <c r="C1564" s="100"/>
      <c r="D1564" s="100"/>
      <c r="E1564" s="100"/>
      <c r="F1564" s="100"/>
      <c r="G1564" s="100"/>
      <c r="H1564" s="100"/>
      <c r="I1564" s="100"/>
      <c r="J1564" s="100"/>
      <c r="K1564" s="100"/>
      <c r="L1564" s="100"/>
      <c r="M1564" s="100"/>
      <c r="N1564" s="100"/>
      <c r="O1564" s="100"/>
      <c r="P1564" s="100"/>
      <c r="Q1564" s="100"/>
      <c r="R1564" s="100"/>
      <c r="S1564" s="100"/>
      <c r="T1564" s="100"/>
      <c r="U1564" s="100"/>
      <c r="V1564" s="100"/>
      <c r="W1564" s="100"/>
      <c r="X1564" s="100"/>
      <c r="Y1564" s="100"/>
      <c r="Z1564" s="100"/>
    </row>
    <row r="1565" spans="1:26">
      <c r="A1565" s="100"/>
      <c r="B1565" s="100"/>
      <c r="C1565" s="100"/>
      <c r="D1565" s="100"/>
      <c r="E1565" s="100"/>
      <c r="F1565" s="100"/>
      <c r="G1565" s="100"/>
      <c r="H1565" s="100"/>
      <c r="I1565" s="100"/>
      <c r="J1565" s="100"/>
      <c r="K1565" s="100"/>
      <c r="L1565" s="100"/>
      <c r="M1565" s="100"/>
      <c r="N1565" s="100"/>
      <c r="O1565" s="100"/>
      <c r="P1565" s="100"/>
      <c r="Q1565" s="100"/>
      <c r="R1565" s="100"/>
      <c r="S1565" s="100"/>
      <c r="T1565" s="100"/>
      <c r="U1565" s="100"/>
      <c r="V1565" s="100"/>
      <c r="W1565" s="100"/>
      <c r="X1565" s="100"/>
      <c r="Y1565" s="100"/>
      <c r="Z1565" s="100"/>
    </row>
    <row r="1566" spans="1:26">
      <c r="A1566" s="100"/>
      <c r="B1566" s="100"/>
      <c r="C1566" s="100"/>
      <c r="D1566" s="100"/>
      <c r="E1566" s="100"/>
      <c r="F1566" s="100"/>
      <c r="G1566" s="100"/>
      <c r="H1566" s="100"/>
      <c r="I1566" s="100"/>
      <c r="J1566" s="100"/>
      <c r="K1566" s="100"/>
      <c r="L1566" s="100"/>
      <c r="M1566" s="100"/>
      <c r="N1566" s="100"/>
      <c r="O1566" s="100"/>
      <c r="P1566" s="100"/>
      <c r="Q1566" s="100"/>
      <c r="R1566" s="100"/>
      <c r="S1566" s="100"/>
      <c r="T1566" s="100"/>
      <c r="U1566" s="100"/>
      <c r="V1566" s="100"/>
      <c r="W1566" s="100"/>
      <c r="X1566" s="100"/>
      <c r="Y1566" s="100"/>
      <c r="Z1566" s="100"/>
    </row>
    <row r="1567" spans="1:26">
      <c r="A1567" s="100"/>
      <c r="B1567" s="100"/>
      <c r="C1567" s="100"/>
      <c r="D1567" s="100"/>
      <c r="E1567" s="100"/>
      <c r="F1567" s="100"/>
      <c r="G1567" s="100"/>
      <c r="H1567" s="100"/>
      <c r="I1567" s="100"/>
      <c r="J1567" s="100"/>
      <c r="K1567" s="100"/>
      <c r="L1567" s="100"/>
      <c r="M1567" s="100"/>
      <c r="N1567" s="100"/>
      <c r="O1567" s="100"/>
      <c r="P1567" s="100"/>
      <c r="Q1567" s="100"/>
      <c r="R1567" s="100"/>
      <c r="S1567" s="100"/>
      <c r="T1567" s="100"/>
      <c r="U1567" s="100"/>
      <c r="V1567" s="100"/>
      <c r="W1567" s="100"/>
      <c r="X1567" s="100"/>
      <c r="Y1567" s="100"/>
      <c r="Z1567" s="100"/>
    </row>
    <row r="1568" spans="1:26">
      <c r="A1568" s="100"/>
      <c r="B1568" s="100"/>
      <c r="C1568" s="100"/>
      <c r="D1568" s="100"/>
      <c r="E1568" s="100"/>
      <c r="F1568" s="100"/>
      <c r="G1568" s="100"/>
      <c r="H1568" s="100"/>
      <c r="I1568" s="100"/>
      <c r="J1568" s="100"/>
      <c r="K1568" s="100"/>
      <c r="L1568" s="100"/>
      <c r="M1568" s="100"/>
      <c r="N1568" s="100"/>
      <c r="O1568" s="100"/>
      <c r="P1568" s="100"/>
      <c r="Q1568" s="100"/>
      <c r="R1568" s="100"/>
      <c r="S1568" s="100"/>
      <c r="T1568" s="100"/>
      <c r="U1568" s="100"/>
      <c r="V1568" s="100"/>
      <c r="W1568" s="100"/>
      <c r="X1568" s="100"/>
      <c r="Y1568" s="100"/>
      <c r="Z1568" s="100"/>
    </row>
    <row r="1569" spans="1:26">
      <c r="A1569" s="100"/>
      <c r="B1569" s="100"/>
      <c r="C1569" s="100"/>
      <c r="D1569" s="100"/>
      <c r="E1569" s="100"/>
      <c r="F1569" s="100"/>
      <c r="G1569" s="100"/>
      <c r="H1569" s="100"/>
      <c r="I1569" s="100"/>
      <c r="J1569" s="100"/>
      <c r="K1569" s="100"/>
      <c r="L1569" s="100"/>
      <c r="M1569" s="100"/>
      <c r="N1569" s="100"/>
      <c r="O1569" s="100"/>
      <c r="P1569" s="100"/>
      <c r="Q1569" s="100"/>
      <c r="R1569" s="100"/>
      <c r="S1569" s="100"/>
      <c r="T1569" s="100"/>
      <c r="U1569" s="100"/>
      <c r="V1569" s="100"/>
      <c r="W1569" s="100"/>
      <c r="X1569" s="100"/>
      <c r="Y1569" s="100"/>
      <c r="Z1569" s="100"/>
    </row>
    <row r="1570" spans="1:26">
      <c r="A1570" s="100"/>
      <c r="B1570" s="100"/>
      <c r="C1570" s="100"/>
      <c r="D1570" s="100"/>
      <c r="E1570" s="100"/>
      <c r="F1570" s="100"/>
      <c r="G1570" s="100"/>
      <c r="H1570" s="100"/>
      <c r="I1570" s="100"/>
      <c r="J1570" s="100"/>
      <c r="K1570" s="100"/>
      <c r="L1570" s="100"/>
      <c r="M1570" s="100"/>
      <c r="N1570" s="100"/>
      <c r="O1570" s="100"/>
      <c r="P1570" s="100"/>
      <c r="Q1570" s="100"/>
      <c r="R1570" s="100"/>
      <c r="S1570" s="100"/>
      <c r="T1570" s="100"/>
      <c r="U1570" s="100"/>
      <c r="V1570" s="100"/>
      <c r="W1570" s="100"/>
      <c r="X1570" s="100"/>
      <c r="Y1570" s="100"/>
      <c r="Z1570" s="100"/>
    </row>
    <row r="1571" spans="1:26">
      <c r="A1571" s="100"/>
      <c r="B1571" s="100"/>
      <c r="C1571" s="100"/>
      <c r="D1571" s="100"/>
      <c r="E1571" s="100"/>
      <c r="F1571" s="100"/>
      <c r="G1571" s="100"/>
      <c r="H1571" s="100"/>
      <c r="I1571" s="100"/>
      <c r="J1571" s="100"/>
      <c r="K1571" s="100"/>
      <c r="L1571" s="100"/>
      <c r="M1571" s="100"/>
      <c r="N1571" s="100"/>
      <c r="O1571" s="100"/>
      <c r="P1571" s="100"/>
      <c r="Q1571" s="100"/>
      <c r="R1571" s="100"/>
      <c r="S1571" s="100"/>
      <c r="T1571" s="100"/>
      <c r="U1571" s="100"/>
      <c r="V1571" s="100"/>
      <c r="W1571" s="100"/>
      <c r="X1571" s="100"/>
      <c r="Y1571" s="100"/>
      <c r="Z1571" s="100"/>
    </row>
    <row r="1572" spans="1:26">
      <c r="A1572" s="100"/>
      <c r="B1572" s="100"/>
      <c r="C1572" s="100"/>
      <c r="D1572" s="100"/>
      <c r="E1572" s="100"/>
      <c r="F1572" s="100"/>
      <c r="G1572" s="100"/>
      <c r="H1572" s="100"/>
      <c r="I1572" s="100"/>
      <c r="J1572" s="100"/>
      <c r="K1572" s="100"/>
      <c r="L1572" s="100"/>
      <c r="M1572" s="100"/>
      <c r="N1572" s="100"/>
      <c r="O1572" s="100"/>
      <c r="P1572" s="100"/>
      <c r="Q1572" s="100"/>
      <c r="R1572" s="100"/>
      <c r="S1572" s="100"/>
      <c r="T1572" s="100"/>
      <c r="U1572" s="100"/>
      <c r="V1572" s="100"/>
      <c r="W1572" s="100"/>
      <c r="X1572" s="100"/>
      <c r="Y1572" s="100"/>
      <c r="Z1572" s="100"/>
    </row>
    <row r="1573" spans="1:26">
      <c r="A1573" s="100"/>
      <c r="B1573" s="100"/>
      <c r="C1573" s="100"/>
      <c r="D1573" s="100"/>
      <c r="E1573" s="100"/>
      <c r="F1573" s="100"/>
      <c r="G1573" s="100"/>
      <c r="H1573" s="100"/>
      <c r="I1573" s="100"/>
      <c r="J1573" s="100"/>
      <c r="K1573" s="100"/>
      <c r="L1573" s="100"/>
      <c r="M1573" s="100"/>
      <c r="N1573" s="100"/>
      <c r="O1573" s="100"/>
      <c r="P1573" s="100"/>
      <c r="Q1573" s="100"/>
      <c r="R1573" s="100"/>
      <c r="S1573" s="100"/>
      <c r="T1573" s="100"/>
      <c r="U1573" s="100"/>
      <c r="V1573" s="100"/>
      <c r="W1573" s="100"/>
      <c r="X1573" s="100"/>
      <c r="Y1573" s="100"/>
      <c r="Z1573" s="100"/>
    </row>
    <row r="1574" spans="1:26">
      <c r="A1574" s="100"/>
      <c r="B1574" s="100"/>
      <c r="C1574" s="100"/>
      <c r="D1574" s="100"/>
      <c r="E1574" s="100"/>
      <c r="F1574" s="100"/>
      <c r="G1574" s="100"/>
      <c r="H1574" s="100"/>
      <c r="I1574" s="100"/>
      <c r="J1574" s="100"/>
      <c r="K1574" s="100"/>
      <c r="L1574" s="100"/>
      <c r="M1574" s="100"/>
      <c r="N1574" s="100"/>
      <c r="O1574" s="100"/>
      <c r="P1574" s="100"/>
      <c r="Q1574" s="100"/>
      <c r="R1574" s="100"/>
      <c r="S1574" s="100"/>
      <c r="T1574" s="100"/>
      <c r="U1574" s="100"/>
      <c r="V1574" s="100"/>
      <c r="W1574" s="100"/>
      <c r="X1574" s="100"/>
      <c r="Y1574" s="100"/>
      <c r="Z1574" s="100"/>
    </row>
    <row r="1575" spans="1:26">
      <c r="A1575" s="100"/>
      <c r="B1575" s="100"/>
      <c r="C1575" s="100"/>
      <c r="D1575" s="100"/>
      <c r="E1575" s="100"/>
      <c r="F1575" s="100"/>
      <c r="G1575" s="100"/>
      <c r="H1575" s="100"/>
      <c r="I1575" s="100"/>
      <c r="J1575" s="100"/>
      <c r="K1575" s="100"/>
      <c r="L1575" s="100"/>
      <c r="M1575" s="100"/>
      <c r="N1575" s="100"/>
      <c r="O1575" s="100"/>
      <c r="P1575" s="100"/>
      <c r="Q1575" s="100"/>
      <c r="R1575" s="100"/>
      <c r="S1575" s="100"/>
      <c r="T1575" s="100"/>
      <c r="U1575" s="100"/>
      <c r="V1575" s="100"/>
      <c r="W1575" s="100"/>
      <c r="X1575" s="100"/>
      <c r="Y1575" s="100"/>
      <c r="Z1575" s="100"/>
    </row>
    <row r="1576" spans="1:26">
      <c r="A1576" s="100"/>
      <c r="B1576" s="100"/>
      <c r="C1576" s="100"/>
      <c r="D1576" s="100"/>
      <c r="E1576" s="100"/>
      <c r="F1576" s="100"/>
      <c r="G1576" s="100"/>
      <c r="H1576" s="100"/>
      <c r="I1576" s="100"/>
      <c r="J1576" s="100"/>
      <c r="K1576" s="100"/>
      <c r="L1576" s="100"/>
      <c r="M1576" s="100"/>
      <c r="N1576" s="100"/>
      <c r="O1576" s="100"/>
      <c r="P1576" s="100"/>
      <c r="Q1576" s="100"/>
      <c r="R1576" s="100"/>
      <c r="S1576" s="100"/>
      <c r="T1576" s="100"/>
      <c r="U1576" s="100"/>
      <c r="V1576" s="100"/>
      <c r="W1576" s="100"/>
      <c r="X1576" s="100"/>
      <c r="Y1576" s="100"/>
      <c r="Z1576" s="100"/>
    </row>
    <row r="1577" spans="1:26">
      <c r="A1577" s="100"/>
      <c r="B1577" s="100"/>
      <c r="C1577" s="100"/>
      <c r="D1577" s="100"/>
      <c r="E1577" s="100"/>
      <c r="F1577" s="100"/>
      <c r="G1577" s="100"/>
      <c r="H1577" s="100"/>
      <c r="I1577" s="100"/>
      <c r="J1577" s="100"/>
      <c r="K1577" s="100"/>
      <c r="L1577" s="100"/>
      <c r="M1577" s="100"/>
      <c r="N1577" s="100"/>
      <c r="O1577" s="100"/>
      <c r="P1577" s="100"/>
      <c r="Q1577" s="100"/>
      <c r="R1577" s="100"/>
      <c r="S1577" s="100"/>
      <c r="T1577" s="100"/>
      <c r="U1577" s="100"/>
      <c r="V1577" s="100"/>
      <c r="W1577" s="100"/>
      <c r="X1577" s="100"/>
      <c r="Y1577" s="100"/>
      <c r="Z1577" s="100"/>
    </row>
    <row r="1578" spans="1:26">
      <c r="A1578" s="100"/>
      <c r="B1578" s="100"/>
      <c r="C1578" s="100"/>
      <c r="D1578" s="100"/>
      <c r="E1578" s="100"/>
      <c r="F1578" s="100"/>
      <c r="G1578" s="100"/>
      <c r="H1578" s="100"/>
      <c r="I1578" s="100"/>
      <c r="J1578" s="100"/>
      <c r="K1578" s="100"/>
      <c r="L1578" s="100"/>
      <c r="M1578" s="100"/>
      <c r="N1578" s="100"/>
      <c r="O1578" s="100"/>
      <c r="P1578" s="100"/>
      <c r="Q1578" s="100"/>
      <c r="R1578" s="100"/>
      <c r="S1578" s="100"/>
      <c r="T1578" s="100"/>
      <c r="U1578" s="100"/>
      <c r="V1578" s="100"/>
      <c r="W1578" s="100"/>
      <c r="X1578" s="100"/>
      <c r="Y1578" s="100"/>
      <c r="Z1578" s="100"/>
    </row>
    <row r="1579" spans="1:26">
      <c r="A1579" s="100"/>
      <c r="B1579" s="100"/>
      <c r="C1579" s="100"/>
      <c r="D1579" s="100"/>
      <c r="E1579" s="100"/>
      <c r="F1579" s="100"/>
      <c r="G1579" s="100"/>
      <c r="H1579" s="100"/>
      <c r="I1579" s="100"/>
      <c r="J1579" s="100"/>
      <c r="K1579" s="100"/>
      <c r="L1579" s="100"/>
      <c r="M1579" s="100"/>
      <c r="N1579" s="100"/>
      <c r="O1579" s="100"/>
      <c r="P1579" s="100"/>
      <c r="Q1579" s="100"/>
      <c r="R1579" s="100"/>
      <c r="S1579" s="100"/>
      <c r="T1579" s="100"/>
      <c r="U1579" s="100"/>
      <c r="V1579" s="100"/>
      <c r="W1579" s="100"/>
      <c r="X1579" s="100"/>
      <c r="Y1579" s="100"/>
      <c r="Z1579" s="100"/>
    </row>
    <row r="1580" spans="1:26">
      <c r="A1580" s="100"/>
      <c r="B1580" s="100"/>
      <c r="C1580" s="100"/>
      <c r="D1580" s="100"/>
      <c r="E1580" s="100"/>
      <c r="F1580" s="100"/>
      <c r="G1580" s="100"/>
      <c r="H1580" s="100"/>
      <c r="I1580" s="100"/>
      <c r="J1580" s="100"/>
      <c r="K1580" s="100"/>
      <c r="L1580" s="100"/>
      <c r="M1580" s="100"/>
      <c r="N1580" s="100"/>
      <c r="O1580" s="100"/>
      <c r="P1580" s="100"/>
      <c r="Q1580" s="100"/>
      <c r="R1580" s="100"/>
      <c r="S1580" s="100"/>
      <c r="T1580" s="100"/>
      <c r="U1580" s="100"/>
      <c r="V1580" s="100"/>
      <c r="W1580" s="100"/>
      <c r="X1580" s="100"/>
      <c r="Y1580" s="100"/>
      <c r="Z1580" s="100"/>
    </row>
    <row r="1581" spans="1:26">
      <c r="A1581" s="100"/>
      <c r="B1581" s="100"/>
      <c r="C1581" s="100"/>
      <c r="D1581" s="100"/>
      <c r="E1581" s="100"/>
      <c r="F1581" s="100"/>
      <c r="G1581" s="100"/>
      <c r="H1581" s="100"/>
      <c r="I1581" s="100"/>
      <c r="J1581" s="100"/>
      <c r="K1581" s="100"/>
      <c r="L1581" s="100"/>
      <c r="M1581" s="100"/>
      <c r="N1581" s="100"/>
      <c r="O1581" s="100"/>
      <c r="P1581" s="100"/>
      <c r="Q1581" s="100"/>
      <c r="R1581" s="100"/>
      <c r="S1581" s="100"/>
      <c r="T1581" s="100"/>
      <c r="U1581" s="100"/>
      <c r="V1581" s="100"/>
      <c r="W1581" s="100"/>
      <c r="X1581" s="100"/>
      <c r="Y1581" s="100"/>
      <c r="Z1581" s="100"/>
    </row>
    <row r="1582" spans="1:26">
      <c r="A1582" s="100"/>
      <c r="B1582" s="100"/>
      <c r="C1582" s="100"/>
      <c r="D1582" s="100"/>
      <c r="E1582" s="100"/>
      <c r="F1582" s="100"/>
      <c r="G1582" s="100"/>
      <c r="H1582" s="100"/>
      <c r="I1582" s="100"/>
      <c r="J1582" s="100"/>
      <c r="K1582" s="100"/>
      <c r="L1582" s="100"/>
      <c r="M1582" s="100"/>
      <c r="N1582" s="100"/>
      <c r="O1582" s="100"/>
      <c r="P1582" s="100"/>
      <c r="Q1582" s="100"/>
      <c r="R1582" s="100"/>
      <c r="S1582" s="100"/>
      <c r="T1582" s="100"/>
      <c r="U1582" s="100"/>
      <c r="V1582" s="100"/>
      <c r="W1582" s="100"/>
      <c r="X1582" s="100"/>
      <c r="Y1582" s="100"/>
      <c r="Z1582" s="100"/>
    </row>
    <row r="1583" spans="1:26">
      <c r="A1583" s="100"/>
      <c r="B1583" s="100"/>
      <c r="C1583" s="100"/>
      <c r="D1583" s="100"/>
      <c r="E1583" s="100"/>
      <c r="F1583" s="100"/>
      <c r="G1583" s="100"/>
      <c r="H1583" s="100"/>
      <c r="I1583" s="100"/>
      <c r="J1583" s="100"/>
      <c r="K1583" s="100"/>
      <c r="L1583" s="100"/>
      <c r="M1583" s="100"/>
      <c r="N1583" s="100"/>
      <c r="O1583" s="100"/>
      <c r="P1583" s="100"/>
      <c r="Q1583" s="100"/>
      <c r="R1583" s="100"/>
      <c r="S1583" s="100"/>
      <c r="T1583" s="100"/>
      <c r="U1583" s="100"/>
      <c r="V1583" s="100"/>
      <c r="W1583" s="100"/>
      <c r="X1583" s="100"/>
      <c r="Y1583" s="100"/>
      <c r="Z1583" s="100"/>
    </row>
    <row r="1584" spans="1:26">
      <c r="A1584" s="100"/>
      <c r="B1584" s="100"/>
      <c r="C1584" s="100"/>
      <c r="D1584" s="100"/>
      <c r="E1584" s="100"/>
      <c r="F1584" s="100"/>
      <c r="G1584" s="100"/>
      <c r="H1584" s="100"/>
      <c r="I1584" s="100"/>
      <c r="J1584" s="100"/>
      <c r="K1584" s="100"/>
      <c r="L1584" s="100"/>
      <c r="M1584" s="100"/>
      <c r="N1584" s="100"/>
      <c r="O1584" s="100"/>
      <c r="P1584" s="100"/>
      <c r="Q1584" s="100"/>
      <c r="R1584" s="100"/>
      <c r="S1584" s="100"/>
      <c r="T1584" s="100"/>
      <c r="U1584" s="100"/>
      <c r="V1584" s="100"/>
      <c r="W1584" s="100"/>
      <c r="X1584" s="100"/>
      <c r="Y1584" s="100"/>
      <c r="Z1584" s="100"/>
    </row>
    <row r="1585" spans="1:26">
      <c r="A1585" s="100"/>
      <c r="B1585" s="100"/>
      <c r="C1585" s="100"/>
      <c r="D1585" s="100"/>
      <c r="E1585" s="100"/>
      <c r="F1585" s="100"/>
      <c r="G1585" s="100"/>
      <c r="H1585" s="100"/>
      <c r="I1585" s="100"/>
      <c r="J1585" s="100"/>
      <c r="K1585" s="100"/>
      <c r="L1585" s="100"/>
      <c r="M1585" s="100"/>
      <c r="N1585" s="100"/>
      <c r="O1585" s="100"/>
      <c r="P1585" s="100"/>
      <c r="Q1585" s="100"/>
      <c r="R1585" s="100"/>
      <c r="S1585" s="100"/>
      <c r="T1585" s="100"/>
      <c r="U1585" s="100"/>
      <c r="V1585" s="100"/>
      <c r="W1585" s="100"/>
      <c r="X1585" s="100"/>
      <c r="Y1585" s="100"/>
      <c r="Z1585" s="100"/>
    </row>
    <row r="1586" spans="1:26">
      <c r="A1586" s="100"/>
      <c r="B1586" s="100"/>
      <c r="C1586" s="100"/>
      <c r="D1586" s="100"/>
      <c r="E1586" s="100"/>
      <c r="F1586" s="100"/>
      <c r="G1586" s="100"/>
      <c r="H1586" s="100"/>
      <c r="I1586" s="100"/>
      <c r="J1586" s="100"/>
      <c r="K1586" s="100"/>
      <c r="L1586" s="100"/>
      <c r="M1586" s="100"/>
      <c r="N1586" s="100"/>
      <c r="O1586" s="100"/>
      <c r="P1586" s="100"/>
      <c r="Q1586" s="100"/>
      <c r="R1586" s="100"/>
      <c r="S1586" s="100"/>
      <c r="T1586" s="100"/>
      <c r="U1586" s="100"/>
      <c r="V1586" s="100"/>
      <c r="W1586" s="100"/>
      <c r="X1586" s="100"/>
      <c r="Y1586" s="100"/>
      <c r="Z1586" s="100"/>
    </row>
    <row r="1587" spans="1:26">
      <c r="A1587" s="100"/>
      <c r="B1587" s="100"/>
      <c r="C1587" s="100"/>
      <c r="D1587" s="100"/>
      <c r="E1587" s="100"/>
      <c r="F1587" s="100"/>
      <c r="G1587" s="100"/>
      <c r="H1587" s="100"/>
      <c r="I1587" s="100"/>
      <c r="J1587" s="100"/>
      <c r="K1587" s="100"/>
      <c r="L1587" s="100"/>
      <c r="M1587" s="100"/>
      <c r="N1587" s="100"/>
      <c r="O1587" s="100"/>
      <c r="P1587" s="100"/>
      <c r="Q1587" s="100"/>
      <c r="R1587" s="100"/>
      <c r="S1587" s="100"/>
      <c r="T1587" s="100"/>
      <c r="U1587" s="100"/>
      <c r="V1587" s="100"/>
      <c r="W1587" s="100"/>
      <c r="X1587" s="100"/>
      <c r="Y1587" s="100"/>
      <c r="Z1587" s="100"/>
    </row>
    <row r="1588" spans="1:26">
      <c r="A1588" s="100"/>
      <c r="B1588" s="100"/>
      <c r="C1588" s="100"/>
      <c r="D1588" s="100"/>
      <c r="E1588" s="100"/>
      <c r="F1588" s="100"/>
      <c r="G1588" s="100"/>
      <c r="H1588" s="100"/>
      <c r="I1588" s="100"/>
      <c r="J1588" s="100"/>
      <c r="K1588" s="100"/>
      <c r="L1588" s="100"/>
      <c r="M1588" s="100"/>
      <c r="N1588" s="100"/>
      <c r="O1588" s="100"/>
      <c r="P1588" s="100"/>
      <c r="Q1588" s="100"/>
      <c r="R1588" s="100"/>
      <c r="S1588" s="100"/>
      <c r="T1588" s="100"/>
      <c r="U1588" s="100"/>
      <c r="V1588" s="100"/>
      <c r="W1588" s="100"/>
      <c r="X1588" s="100"/>
      <c r="Y1588" s="100"/>
      <c r="Z1588" s="100"/>
    </row>
    <row r="1589" spans="1:26">
      <c r="A1589" s="100"/>
      <c r="B1589" s="100"/>
      <c r="C1589" s="100"/>
      <c r="D1589" s="100"/>
      <c r="E1589" s="100"/>
      <c r="F1589" s="100"/>
      <c r="G1589" s="100"/>
      <c r="H1589" s="100"/>
      <c r="I1589" s="100"/>
      <c r="J1589" s="100"/>
      <c r="K1589" s="100"/>
      <c r="L1589" s="100"/>
      <c r="M1589" s="100"/>
      <c r="N1589" s="100"/>
      <c r="O1589" s="100"/>
      <c r="P1589" s="100"/>
      <c r="Q1589" s="100"/>
      <c r="R1589" s="100"/>
      <c r="S1589" s="100"/>
      <c r="T1589" s="100"/>
      <c r="U1589" s="100"/>
      <c r="V1589" s="100"/>
      <c r="W1589" s="100"/>
      <c r="X1589" s="100"/>
      <c r="Y1589" s="100"/>
      <c r="Z1589" s="100"/>
    </row>
    <row r="1590" spans="1:26">
      <c r="A1590" s="100"/>
      <c r="B1590" s="100"/>
      <c r="C1590" s="100"/>
      <c r="D1590" s="100"/>
      <c r="E1590" s="100"/>
      <c r="F1590" s="100"/>
      <c r="G1590" s="100"/>
      <c r="H1590" s="100"/>
      <c r="I1590" s="100"/>
      <c r="J1590" s="100"/>
      <c r="K1590" s="100"/>
      <c r="L1590" s="100"/>
      <c r="M1590" s="100"/>
      <c r="N1590" s="100"/>
      <c r="O1590" s="100"/>
      <c r="P1590" s="100"/>
      <c r="Q1590" s="100"/>
      <c r="R1590" s="100"/>
      <c r="S1590" s="100"/>
      <c r="T1590" s="100"/>
      <c r="U1590" s="100"/>
      <c r="V1590" s="100"/>
      <c r="W1590" s="100"/>
      <c r="X1590" s="100"/>
      <c r="Y1590" s="100"/>
      <c r="Z1590" s="100"/>
    </row>
    <row r="1591" spans="1:26">
      <c r="A1591" s="100"/>
      <c r="B1591" s="100"/>
      <c r="C1591" s="100"/>
      <c r="D1591" s="100"/>
      <c r="E1591" s="100"/>
      <c r="F1591" s="100"/>
      <c r="G1591" s="100"/>
      <c r="H1591" s="100"/>
      <c r="I1591" s="100"/>
      <c r="J1591" s="100"/>
      <c r="K1591" s="100"/>
      <c r="L1591" s="100"/>
      <c r="M1591" s="100"/>
      <c r="N1591" s="100"/>
      <c r="O1591" s="100"/>
      <c r="P1591" s="100"/>
      <c r="Q1591" s="100"/>
      <c r="R1591" s="100"/>
      <c r="S1591" s="100"/>
      <c r="T1591" s="100"/>
      <c r="U1591" s="100"/>
      <c r="V1591" s="100"/>
      <c r="W1591" s="100"/>
      <c r="X1591" s="100"/>
      <c r="Y1591" s="100"/>
      <c r="Z1591" s="100"/>
    </row>
    <row r="1592" spans="1:26">
      <c r="A1592" s="100"/>
      <c r="B1592" s="100"/>
      <c r="C1592" s="100"/>
      <c r="D1592" s="100"/>
      <c r="E1592" s="100"/>
      <c r="F1592" s="100"/>
      <c r="G1592" s="100"/>
      <c r="H1592" s="100"/>
      <c r="I1592" s="100"/>
      <c r="J1592" s="100"/>
      <c r="K1592" s="100"/>
      <c r="L1592" s="100"/>
      <c r="M1592" s="100"/>
      <c r="N1592" s="100"/>
      <c r="O1592" s="100"/>
      <c r="P1592" s="100"/>
      <c r="Q1592" s="100"/>
      <c r="R1592" s="100"/>
      <c r="S1592" s="100"/>
      <c r="T1592" s="100"/>
      <c r="U1592" s="100"/>
      <c r="V1592" s="100"/>
      <c r="W1592" s="100"/>
      <c r="X1592" s="100"/>
      <c r="Y1592" s="100"/>
      <c r="Z1592" s="100"/>
    </row>
    <row r="1593" spans="1:26">
      <c r="A1593" s="100"/>
      <c r="B1593" s="100"/>
      <c r="C1593" s="100"/>
      <c r="D1593" s="100"/>
      <c r="E1593" s="100"/>
      <c r="F1593" s="100"/>
      <c r="G1593" s="100"/>
      <c r="H1593" s="100"/>
      <c r="I1593" s="100"/>
      <c r="J1593" s="100"/>
      <c r="K1593" s="100"/>
      <c r="L1593" s="100"/>
      <c r="M1593" s="100"/>
      <c r="N1593" s="100"/>
      <c r="O1593" s="100"/>
      <c r="P1593" s="100"/>
      <c r="Q1593" s="100"/>
      <c r="R1593" s="100"/>
      <c r="S1593" s="100"/>
      <c r="T1593" s="100"/>
      <c r="U1593" s="100"/>
      <c r="V1593" s="100"/>
      <c r="W1593" s="100"/>
      <c r="X1593" s="100"/>
      <c r="Y1593" s="100"/>
      <c r="Z1593" s="100"/>
    </row>
    <row r="1594" spans="1:26">
      <c r="A1594" s="100"/>
      <c r="B1594" s="100"/>
      <c r="C1594" s="100"/>
      <c r="D1594" s="100"/>
      <c r="E1594" s="100"/>
      <c r="F1594" s="100"/>
      <c r="G1594" s="100"/>
      <c r="H1594" s="100"/>
      <c r="I1594" s="100"/>
      <c r="J1594" s="100"/>
      <c r="K1594" s="100"/>
      <c r="L1594" s="100"/>
      <c r="M1594" s="100"/>
      <c r="N1594" s="100"/>
      <c r="O1594" s="100"/>
      <c r="P1594" s="100"/>
      <c r="Q1594" s="100"/>
      <c r="R1594" s="100"/>
      <c r="S1594" s="100"/>
      <c r="T1594" s="100"/>
      <c r="U1594" s="100"/>
      <c r="V1594" s="100"/>
      <c r="W1594" s="100"/>
      <c r="X1594" s="100"/>
      <c r="Y1594" s="100"/>
      <c r="Z1594" s="100"/>
    </row>
    <row r="1595" spans="1:26">
      <c r="A1595" s="100"/>
      <c r="B1595" s="100"/>
      <c r="C1595" s="100"/>
      <c r="D1595" s="100"/>
      <c r="E1595" s="100"/>
      <c r="F1595" s="100"/>
      <c r="G1595" s="100"/>
      <c r="H1595" s="100"/>
      <c r="I1595" s="100"/>
      <c r="J1595" s="100"/>
      <c r="K1595" s="100"/>
      <c r="L1595" s="100"/>
      <c r="M1595" s="100"/>
      <c r="N1595" s="100"/>
      <c r="O1595" s="100"/>
      <c r="P1595" s="100"/>
      <c r="Q1595" s="100"/>
      <c r="R1595" s="100"/>
      <c r="S1595" s="100"/>
      <c r="T1595" s="100"/>
      <c r="U1595" s="100"/>
      <c r="V1595" s="100"/>
      <c r="W1595" s="100"/>
      <c r="X1595" s="100"/>
      <c r="Y1595" s="100"/>
      <c r="Z1595" s="100"/>
    </row>
    <row r="1596" spans="1:26">
      <c r="A1596" s="100"/>
      <c r="B1596" s="100"/>
      <c r="C1596" s="100"/>
      <c r="D1596" s="100"/>
      <c r="E1596" s="100"/>
      <c r="F1596" s="100"/>
      <c r="G1596" s="100"/>
      <c r="H1596" s="100"/>
      <c r="I1596" s="100"/>
      <c r="J1596" s="100"/>
      <c r="K1596" s="100"/>
      <c r="L1596" s="100"/>
      <c r="M1596" s="100"/>
      <c r="N1596" s="100"/>
      <c r="O1596" s="100"/>
      <c r="P1596" s="100"/>
      <c r="Q1596" s="100"/>
      <c r="R1596" s="100"/>
      <c r="S1596" s="100"/>
      <c r="T1596" s="100"/>
      <c r="U1596" s="100"/>
      <c r="V1596" s="100"/>
      <c r="W1596" s="100"/>
      <c r="X1596" s="100"/>
      <c r="Y1596" s="100"/>
      <c r="Z1596" s="100"/>
    </row>
    <row r="1597" spans="1:26">
      <c r="A1597" s="100"/>
      <c r="B1597" s="100"/>
      <c r="C1597" s="100"/>
      <c r="D1597" s="100"/>
      <c r="E1597" s="100"/>
      <c r="F1597" s="100"/>
      <c r="G1597" s="100"/>
      <c r="H1597" s="100"/>
      <c r="I1597" s="100"/>
      <c r="J1597" s="100"/>
      <c r="K1597" s="100"/>
      <c r="L1597" s="100"/>
      <c r="M1597" s="100"/>
      <c r="N1597" s="100"/>
      <c r="O1597" s="100"/>
      <c r="P1597" s="100"/>
      <c r="Q1597" s="100"/>
      <c r="R1597" s="100"/>
      <c r="S1597" s="100"/>
      <c r="T1597" s="100"/>
      <c r="U1597" s="100"/>
      <c r="V1597" s="100"/>
      <c r="W1597" s="100"/>
      <c r="X1597" s="100"/>
      <c r="Y1597" s="100"/>
      <c r="Z1597" s="100"/>
    </row>
    <row r="1598" spans="1:26">
      <c r="A1598" s="100"/>
      <c r="B1598" s="100"/>
      <c r="C1598" s="100"/>
      <c r="D1598" s="100"/>
      <c r="E1598" s="100"/>
      <c r="F1598" s="100"/>
      <c r="G1598" s="100"/>
      <c r="H1598" s="100"/>
      <c r="I1598" s="100"/>
      <c r="J1598" s="100"/>
      <c r="K1598" s="100"/>
      <c r="L1598" s="100"/>
      <c r="M1598" s="100"/>
      <c r="N1598" s="100"/>
      <c r="O1598" s="100"/>
      <c r="P1598" s="100"/>
      <c r="Q1598" s="100"/>
      <c r="R1598" s="100"/>
      <c r="S1598" s="100"/>
      <c r="T1598" s="100"/>
      <c r="U1598" s="100"/>
      <c r="V1598" s="100"/>
      <c r="W1598" s="100"/>
      <c r="X1598" s="100"/>
      <c r="Y1598" s="100"/>
      <c r="Z1598" s="100"/>
    </row>
    <row r="1599" spans="1:26">
      <c r="A1599" s="100"/>
      <c r="B1599" s="100"/>
      <c r="C1599" s="100"/>
      <c r="D1599" s="100"/>
      <c r="E1599" s="100"/>
      <c r="F1599" s="100"/>
      <c r="G1599" s="100"/>
      <c r="H1599" s="100"/>
      <c r="I1599" s="100"/>
      <c r="J1599" s="100"/>
      <c r="K1599" s="100"/>
      <c r="L1599" s="100"/>
      <c r="M1599" s="100"/>
      <c r="N1599" s="100"/>
      <c r="O1599" s="100"/>
      <c r="P1599" s="100"/>
      <c r="Q1599" s="100"/>
      <c r="R1599" s="100"/>
      <c r="S1599" s="100"/>
      <c r="T1599" s="100"/>
      <c r="U1599" s="100"/>
      <c r="V1599" s="100"/>
      <c r="W1599" s="100"/>
      <c r="X1599" s="100"/>
      <c r="Y1599" s="100"/>
      <c r="Z1599" s="100"/>
    </row>
    <row r="1600" spans="1:26">
      <c r="A1600" s="100"/>
      <c r="B1600" s="100"/>
      <c r="C1600" s="100"/>
      <c r="D1600" s="100"/>
      <c r="E1600" s="100"/>
      <c r="F1600" s="100"/>
      <c r="G1600" s="100"/>
      <c r="H1600" s="100"/>
      <c r="I1600" s="100"/>
      <c r="J1600" s="100"/>
      <c r="K1600" s="100"/>
      <c r="L1600" s="100"/>
      <c r="M1600" s="100"/>
      <c r="N1600" s="100"/>
      <c r="O1600" s="100"/>
      <c r="P1600" s="100"/>
      <c r="Q1600" s="100"/>
      <c r="R1600" s="100"/>
      <c r="S1600" s="100"/>
      <c r="T1600" s="100"/>
      <c r="U1600" s="100"/>
      <c r="V1600" s="100"/>
      <c r="W1600" s="100"/>
      <c r="X1600" s="100"/>
      <c r="Y1600" s="100"/>
      <c r="Z1600" s="100"/>
    </row>
    <row r="1601" spans="1:26">
      <c r="A1601" s="100"/>
      <c r="B1601" s="100"/>
      <c r="C1601" s="100"/>
      <c r="D1601" s="100"/>
      <c r="E1601" s="100"/>
      <c r="F1601" s="100"/>
      <c r="G1601" s="100"/>
      <c r="H1601" s="100"/>
      <c r="I1601" s="100"/>
      <c r="J1601" s="100"/>
      <c r="K1601" s="100"/>
      <c r="L1601" s="100"/>
      <c r="M1601" s="100"/>
      <c r="N1601" s="100"/>
      <c r="O1601" s="100"/>
      <c r="P1601" s="100"/>
      <c r="Q1601" s="100"/>
      <c r="R1601" s="100"/>
      <c r="S1601" s="100"/>
      <c r="T1601" s="100"/>
      <c r="U1601" s="100"/>
      <c r="V1601" s="100"/>
      <c r="W1601" s="100"/>
      <c r="X1601" s="100"/>
      <c r="Y1601" s="100"/>
      <c r="Z1601" s="100"/>
    </row>
    <row r="1602" spans="1:26">
      <c r="A1602" s="100"/>
      <c r="B1602" s="100"/>
      <c r="C1602" s="100"/>
      <c r="D1602" s="100"/>
      <c r="E1602" s="100"/>
      <c r="F1602" s="100"/>
      <c r="G1602" s="100"/>
      <c r="H1602" s="100"/>
      <c r="I1602" s="100"/>
      <c r="J1602" s="100"/>
      <c r="K1602" s="100"/>
      <c r="L1602" s="100"/>
      <c r="M1602" s="100"/>
      <c r="N1602" s="100"/>
      <c r="O1602" s="100"/>
      <c r="P1602" s="100"/>
      <c r="Q1602" s="100"/>
      <c r="R1602" s="100"/>
      <c r="S1602" s="100"/>
      <c r="T1602" s="100"/>
      <c r="U1602" s="100"/>
      <c r="V1602" s="100"/>
      <c r="W1602" s="100"/>
      <c r="X1602" s="100"/>
      <c r="Y1602" s="100"/>
      <c r="Z1602" s="100"/>
    </row>
    <row r="1603" spans="1:26">
      <c r="A1603" s="100"/>
      <c r="B1603" s="100"/>
      <c r="C1603" s="100"/>
      <c r="D1603" s="100"/>
      <c r="E1603" s="100"/>
      <c r="F1603" s="100"/>
      <c r="G1603" s="100"/>
      <c r="H1603" s="100"/>
      <c r="I1603" s="100"/>
      <c r="J1603" s="100"/>
      <c r="K1603" s="100"/>
      <c r="L1603" s="100"/>
      <c r="M1603" s="100"/>
      <c r="N1603" s="100"/>
      <c r="O1603" s="100"/>
      <c r="P1603" s="100"/>
      <c r="Q1603" s="100"/>
      <c r="R1603" s="100"/>
      <c r="S1603" s="100"/>
      <c r="T1603" s="100"/>
      <c r="U1603" s="100"/>
      <c r="V1603" s="100"/>
      <c r="W1603" s="100"/>
      <c r="X1603" s="100"/>
      <c r="Y1603" s="100"/>
      <c r="Z1603" s="100"/>
    </row>
    <row r="1604" spans="1:26">
      <c r="A1604" s="100"/>
      <c r="B1604" s="100"/>
      <c r="C1604" s="100"/>
      <c r="D1604" s="100"/>
      <c r="E1604" s="100"/>
      <c r="F1604" s="100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</row>
    <row r="1605" spans="1:26">
      <c r="A1605" s="100"/>
      <c r="B1605" s="100"/>
      <c r="C1605" s="100"/>
      <c r="D1605" s="100"/>
      <c r="E1605" s="100"/>
      <c r="F1605" s="100"/>
      <c r="G1605" s="100"/>
      <c r="H1605" s="100"/>
      <c r="I1605" s="100"/>
      <c r="J1605" s="100"/>
      <c r="K1605" s="100"/>
      <c r="L1605" s="100"/>
      <c r="M1605" s="100"/>
      <c r="N1605" s="100"/>
      <c r="O1605" s="100"/>
      <c r="P1605" s="100"/>
      <c r="Q1605" s="100"/>
      <c r="R1605" s="100"/>
      <c r="S1605" s="100"/>
      <c r="T1605" s="100"/>
      <c r="U1605" s="100"/>
      <c r="V1605" s="100"/>
      <c r="W1605" s="100"/>
      <c r="X1605" s="100"/>
      <c r="Y1605" s="100"/>
      <c r="Z1605" s="100"/>
    </row>
    <row r="1606" spans="1:26">
      <c r="A1606" s="100"/>
      <c r="B1606" s="100"/>
      <c r="C1606" s="100"/>
      <c r="D1606" s="100"/>
      <c r="E1606" s="100"/>
      <c r="F1606" s="100"/>
      <c r="G1606" s="100"/>
      <c r="H1606" s="100"/>
      <c r="I1606" s="100"/>
      <c r="J1606" s="100"/>
      <c r="K1606" s="100"/>
      <c r="L1606" s="100"/>
      <c r="M1606" s="100"/>
      <c r="N1606" s="100"/>
      <c r="O1606" s="100"/>
      <c r="P1606" s="100"/>
      <c r="Q1606" s="100"/>
      <c r="R1606" s="100"/>
      <c r="S1606" s="100"/>
      <c r="T1606" s="100"/>
      <c r="U1606" s="100"/>
      <c r="V1606" s="100"/>
      <c r="W1606" s="100"/>
      <c r="X1606" s="100"/>
      <c r="Y1606" s="100"/>
      <c r="Z1606" s="100"/>
    </row>
    <row r="1607" spans="1:26">
      <c r="A1607" s="100"/>
      <c r="B1607" s="100"/>
      <c r="C1607" s="100"/>
      <c r="D1607" s="100"/>
      <c r="E1607" s="100"/>
      <c r="F1607" s="100"/>
      <c r="G1607" s="100"/>
      <c r="H1607" s="100"/>
      <c r="I1607" s="100"/>
      <c r="J1607" s="100"/>
      <c r="K1607" s="100"/>
      <c r="L1607" s="100"/>
      <c r="M1607" s="100"/>
      <c r="N1607" s="100"/>
      <c r="O1607" s="100"/>
      <c r="P1607" s="100"/>
      <c r="Q1607" s="100"/>
      <c r="R1607" s="100"/>
      <c r="S1607" s="100"/>
      <c r="T1607" s="100"/>
      <c r="U1607" s="100"/>
      <c r="V1607" s="100"/>
      <c r="W1607" s="100"/>
      <c r="X1607" s="100"/>
      <c r="Y1607" s="100"/>
      <c r="Z1607" s="100"/>
    </row>
    <row r="1608" spans="1:26">
      <c r="A1608" s="100"/>
      <c r="B1608" s="100"/>
      <c r="C1608" s="100"/>
      <c r="D1608" s="100"/>
      <c r="E1608" s="100"/>
      <c r="F1608" s="100"/>
      <c r="G1608" s="100"/>
      <c r="H1608" s="100"/>
      <c r="I1608" s="100"/>
      <c r="J1608" s="100"/>
      <c r="K1608" s="100"/>
      <c r="L1608" s="100"/>
      <c r="M1608" s="100"/>
      <c r="N1608" s="100"/>
      <c r="O1608" s="100"/>
      <c r="P1608" s="100"/>
      <c r="Q1608" s="100"/>
      <c r="R1608" s="100"/>
      <c r="S1608" s="100"/>
      <c r="T1608" s="100"/>
      <c r="U1608" s="100"/>
      <c r="V1608" s="100"/>
      <c r="W1608" s="100"/>
      <c r="X1608" s="100"/>
      <c r="Y1608" s="100"/>
      <c r="Z1608" s="100"/>
    </row>
    <row r="1609" spans="1:26">
      <c r="A1609" s="100"/>
      <c r="B1609" s="100"/>
      <c r="C1609" s="100"/>
      <c r="D1609" s="100"/>
      <c r="E1609" s="100"/>
      <c r="F1609" s="100"/>
      <c r="G1609" s="100"/>
      <c r="H1609" s="100"/>
      <c r="I1609" s="100"/>
      <c r="J1609" s="100"/>
      <c r="K1609" s="100"/>
      <c r="L1609" s="100"/>
      <c r="M1609" s="100"/>
      <c r="N1609" s="100"/>
      <c r="O1609" s="100"/>
      <c r="P1609" s="100"/>
      <c r="Q1609" s="100"/>
      <c r="R1609" s="100"/>
      <c r="S1609" s="100"/>
      <c r="T1609" s="100"/>
      <c r="U1609" s="100"/>
      <c r="V1609" s="100"/>
      <c r="W1609" s="100"/>
      <c r="X1609" s="100"/>
      <c r="Y1609" s="100"/>
      <c r="Z1609" s="100"/>
    </row>
    <row r="1610" spans="1:26">
      <c r="A1610" s="100"/>
      <c r="B1610" s="100"/>
      <c r="C1610" s="100"/>
      <c r="D1610" s="100"/>
      <c r="E1610" s="100"/>
      <c r="F1610" s="100"/>
      <c r="G1610" s="100"/>
      <c r="H1610" s="100"/>
      <c r="I1610" s="100"/>
      <c r="J1610" s="100"/>
      <c r="K1610" s="100"/>
      <c r="L1610" s="100"/>
      <c r="M1610" s="100"/>
      <c r="N1610" s="100"/>
      <c r="O1610" s="100"/>
      <c r="P1610" s="100"/>
      <c r="Q1610" s="100"/>
      <c r="R1610" s="100"/>
      <c r="S1610" s="100"/>
      <c r="T1610" s="100"/>
      <c r="U1610" s="100"/>
      <c r="V1610" s="100"/>
      <c r="W1610" s="100"/>
      <c r="X1610" s="100"/>
      <c r="Y1610" s="100"/>
      <c r="Z1610" s="100"/>
    </row>
    <row r="1611" spans="1:26">
      <c r="A1611" s="100"/>
      <c r="B1611" s="100"/>
      <c r="C1611" s="100"/>
      <c r="D1611" s="100"/>
      <c r="E1611" s="100"/>
      <c r="F1611" s="100"/>
      <c r="G1611" s="100"/>
      <c r="H1611" s="100"/>
      <c r="I1611" s="100"/>
      <c r="J1611" s="100"/>
      <c r="K1611" s="100"/>
      <c r="L1611" s="100"/>
      <c r="M1611" s="100"/>
      <c r="N1611" s="100"/>
      <c r="O1611" s="100"/>
      <c r="P1611" s="100"/>
      <c r="Q1611" s="100"/>
      <c r="R1611" s="100"/>
      <c r="S1611" s="100"/>
      <c r="T1611" s="100"/>
      <c r="U1611" s="100"/>
      <c r="V1611" s="100"/>
      <c r="W1611" s="100"/>
      <c r="X1611" s="100"/>
      <c r="Y1611" s="100"/>
      <c r="Z1611" s="100"/>
    </row>
    <row r="1612" spans="1:26">
      <c r="A1612" s="100"/>
      <c r="B1612" s="100"/>
      <c r="C1612" s="100"/>
      <c r="D1612" s="100"/>
      <c r="E1612" s="100"/>
      <c r="F1612" s="100"/>
      <c r="G1612" s="100"/>
      <c r="H1612" s="100"/>
      <c r="I1612" s="100"/>
      <c r="J1612" s="100"/>
      <c r="K1612" s="100"/>
      <c r="L1612" s="100"/>
      <c r="M1612" s="100"/>
      <c r="N1612" s="100"/>
      <c r="O1612" s="100"/>
      <c r="P1612" s="100"/>
      <c r="Q1612" s="100"/>
      <c r="R1612" s="100"/>
      <c r="S1612" s="100"/>
      <c r="T1612" s="100"/>
      <c r="U1612" s="100"/>
      <c r="V1612" s="100"/>
      <c r="W1612" s="100"/>
      <c r="X1612" s="100"/>
      <c r="Y1612" s="100"/>
      <c r="Z1612" s="100"/>
    </row>
    <row r="1613" spans="1:26">
      <c r="A1613" s="100"/>
      <c r="B1613" s="100"/>
      <c r="C1613" s="100"/>
      <c r="D1613" s="100"/>
      <c r="E1613" s="100"/>
      <c r="F1613" s="100"/>
      <c r="G1613" s="100"/>
      <c r="H1613" s="100"/>
      <c r="I1613" s="100"/>
      <c r="J1613" s="100"/>
      <c r="K1613" s="100"/>
      <c r="L1613" s="100"/>
      <c r="M1613" s="100"/>
      <c r="N1613" s="100"/>
      <c r="O1613" s="100"/>
      <c r="P1613" s="100"/>
      <c r="Q1613" s="100"/>
      <c r="R1613" s="100"/>
      <c r="S1613" s="100"/>
      <c r="T1613" s="100"/>
      <c r="U1613" s="100"/>
      <c r="V1613" s="100"/>
      <c r="W1613" s="100"/>
      <c r="X1613" s="100"/>
      <c r="Y1613" s="100"/>
      <c r="Z1613" s="100"/>
    </row>
    <row r="1614" spans="1:26">
      <c r="A1614" s="100"/>
      <c r="B1614" s="100"/>
      <c r="C1614" s="100"/>
      <c r="D1614" s="100"/>
      <c r="E1614" s="100"/>
      <c r="F1614" s="100"/>
      <c r="G1614" s="100"/>
      <c r="H1614" s="100"/>
      <c r="I1614" s="100"/>
      <c r="J1614" s="100"/>
      <c r="K1614" s="100"/>
      <c r="L1614" s="100"/>
      <c r="M1614" s="100"/>
      <c r="N1614" s="100"/>
      <c r="O1614" s="100"/>
      <c r="P1614" s="100"/>
      <c r="Q1614" s="100"/>
      <c r="R1614" s="100"/>
      <c r="S1614" s="100"/>
      <c r="T1614" s="100"/>
      <c r="U1614" s="100"/>
      <c r="V1614" s="100"/>
      <c r="W1614" s="100"/>
      <c r="X1614" s="100"/>
      <c r="Y1614" s="100"/>
      <c r="Z1614" s="100"/>
    </row>
    <row r="1615" spans="1:26">
      <c r="A1615" s="100"/>
      <c r="B1615" s="100"/>
      <c r="C1615" s="100"/>
      <c r="D1615" s="100"/>
      <c r="E1615" s="100"/>
      <c r="F1615" s="100"/>
      <c r="G1615" s="100"/>
      <c r="H1615" s="100"/>
      <c r="I1615" s="100"/>
      <c r="J1615" s="100"/>
      <c r="K1615" s="100"/>
      <c r="L1615" s="100"/>
      <c r="M1615" s="100"/>
      <c r="N1615" s="100"/>
      <c r="O1615" s="100"/>
      <c r="P1615" s="100"/>
      <c r="Q1615" s="100"/>
      <c r="R1615" s="100"/>
      <c r="S1615" s="100"/>
      <c r="T1615" s="100"/>
      <c r="U1615" s="100"/>
      <c r="V1615" s="100"/>
      <c r="W1615" s="100"/>
      <c r="X1615" s="100"/>
      <c r="Y1615" s="100"/>
      <c r="Z1615" s="100"/>
    </row>
    <row r="1616" spans="1:26">
      <c r="A1616" s="100"/>
      <c r="B1616" s="100"/>
      <c r="C1616" s="100"/>
      <c r="D1616" s="100"/>
      <c r="E1616" s="100"/>
      <c r="F1616" s="100"/>
      <c r="G1616" s="100"/>
      <c r="H1616" s="100"/>
      <c r="I1616" s="100"/>
      <c r="J1616" s="100"/>
      <c r="K1616" s="100"/>
      <c r="L1616" s="100"/>
      <c r="M1616" s="100"/>
      <c r="N1616" s="100"/>
      <c r="O1616" s="100"/>
      <c r="P1616" s="100"/>
      <c r="Q1616" s="100"/>
      <c r="R1616" s="100"/>
      <c r="S1616" s="100"/>
      <c r="T1616" s="100"/>
      <c r="U1616" s="100"/>
      <c r="V1616" s="100"/>
      <c r="W1616" s="100"/>
      <c r="X1616" s="100"/>
      <c r="Y1616" s="100"/>
      <c r="Z1616" s="100"/>
    </row>
    <row r="1617" spans="1:26">
      <c r="A1617" s="100"/>
      <c r="B1617" s="100"/>
      <c r="C1617" s="100"/>
      <c r="D1617" s="100"/>
      <c r="E1617" s="100"/>
      <c r="F1617" s="100"/>
      <c r="G1617" s="100"/>
      <c r="H1617" s="100"/>
      <c r="I1617" s="100"/>
      <c r="J1617" s="100"/>
      <c r="K1617" s="100"/>
      <c r="L1617" s="100"/>
      <c r="M1617" s="100"/>
      <c r="N1617" s="100"/>
      <c r="O1617" s="100"/>
      <c r="P1617" s="100"/>
      <c r="Q1617" s="100"/>
      <c r="R1617" s="100"/>
      <c r="S1617" s="100"/>
      <c r="T1617" s="100"/>
      <c r="U1617" s="100"/>
      <c r="V1617" s="100"/>
      <c r="W1617" s="100"/>
      <c r="X1617" s="100"/>
      <c r="Y1617" s="100"/>
      <c r="Z1617" s="100"/>
    </row>
    <row r="1618" spans="1:26">
      <c r="A1618" s="100"/>
      <c r="B1618" s="100"/>
      <c r="C1618" s="100"/>
      <c r="D1618" s="100"/>
      <c r="E1618" s="100"/>
      <c r="F1618" s="100"/>
      <c r="G1618" s="100"/>
      <c r="H1618" s="100"/>
      <c r="I1618" s="100"/>
      <c r="J1618" s="100"/>
      <c r="K1618" s="100"/>
      <c r="L1618" s="100"/>
      <c r="M1618" s="100"/>
      <c r="N1618" s="100"/>
      <c r="O1618" s="100"/>
      <c r="P1618" s="100"/>
      <c r="Q1618" s="100"/>
      <c r="R1618" s="100"/>
      <c r="S1618" s="100"/>
      <c r="T1618" s="100"/>
      <c r="U1618" s="100"/>
      <c r="V1618" s="100"/>
      <c r="W1618" s="100"/>
      <c r="X1618" s="100"/>
      <c r="Y1618" s="100"/>
      <c r="Z1618" s="100"/>
    </row>
    <row r="1619" spans="1:26">
      <c r="A1619" s="100"/>
      <c r="B1619" s="100"/>
      <c r="C1619" s="100"/>
      <c r="D1619" s="100"/>
      <c r="E1619" s="100"/>
      <c r="F1619" s="100"/>
      <c r="G1619" s="100"/>
      <c r="H1619" s="100"/>
      <c r="I1619" s="100"/>
      <c r="J1619" s="100"/>
      <c r="K1619" s="100"/>
      <c r="L1619" s="100"/>
      <c r="M1619" s="100"/>
      <c r="N1619" s="100"/>
      <c r="O1619" s="100"/>
      <c r="P1619" s="100"/>
      <c r="Q1619" s="100"/>
      <c r="R1619" s="100"/>
      <c r="S1619" s="100"/>
      <c r="T1619" s="100"/>
      <c r="U1619" s="100"/>
      <c r="V1619" s="100"/>
      <c r="W1619" s="100"/>
      <c r="X1619" s="100"/>
      <c r="Y1619" s="100"/>
      <c r="Z1619" s="100"/>
    </row>
    <row r="1620" spans="1:26">
      <c r="A1620" s="100"/>
      <c r="B1620" s="100"/>
      <c r="C1620" s="100"/>
      <c r="D1620" s="100"/>
      <c r="E1620" s="100"/>
      <c r="F1620" s="100"/>
      <c r="G1620" s="100"/>
      <c r="H1620" s="100"/>
      <c r="I1620" s="100"/>
      <c r="J1620" s="100"/>
      <c r="K1620" s="100"/>
      <c r="L1620" s="100"/>
      <c r="M1620" s="100"/>
      <c r="N1620" s="100"/>
      <c r="O1620" s="100"/>
      <c r="P1620" s="100"/>
      <c r="Q1620" s="100"/>
      <c r="R1620" s="100"/>
      <c r="S1620" s="100"/>
      <c r="T1620" s="100"/>
      <c r="U1620" s="100"/>
      <c r="V1620" s="100"/>
      <c r="W1620" s="100"/>
      <c r="X1620" s="100"/>
      <c r="Y1620" s="100"/>
      <c r="Z1620" s="100"/>
    </row>
    <row r="1621" spans="1:26">
      <c r="A1621" s="100"/>
      <c r="B1621" s="100"/>
      <c r="C1621" s="100"/>
      <c r="D1621" s="100"/>
      <c r="E1621" s="100"/>
      <c r="F1621" s="100"/>
      <c r="G1621" s="100"/>
      <c r="H1621" s="100"/>
      <c r="I1621" s="100"/>
      <c r="J1621" s="100"/>
      <c r="K1621" s="100"/>
      <c r="L1621" s="100"/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</row>
    <row r="1622" spans="1:26">
      <c r="A1622" s="100"/>
      <c r="B1622" s="100"/>
      <c r="C1622" s="100"/>
      <c r="D1622" s="100"/>
      <c r="E1622" s="100"/>
      <c r="F1622" s="100"/>
      <c r="G1622" s="100"/>
      <c r="H1622" s="100"/>
      <c r="I1622" s="100"/>
      <c r="J1622" s="100"/>
      <c r="K1622" s="100"/>
      <c r="L1622" s="100"/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</row>
    <row r="1623" spans="1:26">
      <c r="A1623" s="100"/>
      <c r="B1623" s="100"/>
      <c r="C1623" s="100"/>
      <c r="D1623" s="100"/>
      <c r="E1623" s="100"/>
      <c r="F1623" s="100"/>
      <c r="G1623" s="100"/>
      <c r="H1623" s="100"/>
      <c r="I1623" s="100"/>
      <c r="J1623" s="100"/>
      <c r="K1623" s="100"/>
      <c r="L1623" s="100"/>
      <c r="M1623" s="100"/>
      <c r="N1623" s="100"/>
      <c r="O1623" s="100"/>
      <c r="P1623" s="100"/>
      <c r="Q1623" s="100"/>
      <c r="R1623" s="100"/>
      <c r="S1623" s="100"/>
      <c r="T1623" s="100"/>
      <c r="U1623" s="100"/>
      <c r="V1623" s="100"/>
      <c r="W1623" s="100"/>
      <c r="X1623" s="100"/>
      <c r="Y1623" s="100"/>
      <c r="Z1623" s="100"/>
    </row>
    <row r="1624" spans="1:26">
      <c r="A1624" s="100"/>
      <c r="B1624" s="100"/>
      <c r="C1624" s="100"/>
      <c r="D1624" s="100"/>
      <c r="E1624" s="100"/>
      <c r="F1624" s="100"/>
      <c r="G1624" s="100"/>
      <c r="H1624" s="100"/>
      <c r="I1624" s="100"/>
      <c r="J1624" s="100"/>
      <c r="K1624" s="100"/>
      <c r="L1624" s="100"/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</row>
    <row r="1625" spans="1:26">
      <c r="A1625" s="100"/>
      <c r="B1625" s="100"/>
      <c r="C1625" s="100"/>
      <c r="D1625" s="100"/>
      <c r="E1625" s="100"/>
      <c r="F1625" s="100"/>
      <c r="G1625" s="100"/>
      <c r="H1625" s="100"/>
      <c r="I1625" s="100"/>
      <c r="J1625" s="100"/>
      <c r="K1625" s="100"/>
      <c r="L1625" s="100"/>
      <c r="M1625" s="100"/>
      <c r="N1625" s="100"/>
      <c r="O1625" s="100"/>
      <c r="P1625" s="100"/>
      <c r="Q1625" s="100"/>
      <c r="R1625" s="100"/>
      <c r="S1625" s="100"/>
      <c r="T1625" s="100"/>
      <c r="U1625" s="100"/>
      <c r="V1625" s="100"/>
      <c r="W1625" s="100"/>
      <c r="X1625" s="100"/>
      <c r="Y1625" s="100"/>
      <c r="Z1625" s="100"/>
    </row>
    <row r="1626" spans="1:26">
      <c r="A1626" s="100"/>
      <c r="B1626" s="100"/>
      <c r="C1626" s="100"/>
      <c r="D1626" s="100"/>
      <c r="E1626" s="100"/>
      <c r="F1626" s="100"/>
      <c r="G1626" s="100"/>
      <c r="H1626" s="100"/>
      <c r="I1626" s="100"/>
      <c r="J1626" s="100"/>
      <c r="K1626" s="100"/>
      <c r="L1626" s="100"/>
      <c r="M1626" s="100"/>
      <c r="N1626" s="100"/>
      <c r="O1626" s="100"/>
      <c r="P1626" s="100"/>
      <c r="Q1626" s="100"/>
      <c r="R1626" s="100"/>
      <c r="S1626" s="100"/>
      <c r="T1626" s="100"/>
      <c r="U1626" s="100"/>
      <c r="V1626" s="100"/>
      <c r="W1626" s="100"/>
      <c r="X1626" s="100"/>
      <c r="Y1626" s="100"/>
      <c r="Z1626" s="100"/>
    </row>
    <row r="1627" spans="1:26">
      <c r="A1627" s="100"/>
      <c r="B1627" s="100"/>
      <c r="C1627" s="100"/>
      <c r="D1627" s="100"/>
      <c r="E1627" s="100"/>
      <c r="F1627" s="100"/>
      <c r="G1627" s="100"/>
      <c r="H1627" s="100"/>
      <c r="I1627" s="100"/>
      <c r="J1627" s="100"/>
      <c r="K1627" s="100"/>
      <c r="L1627" s="100"/>
      <c r="M1627" s="100"/>
      <c r="N1627" s="100"/>
      <c r="O1627" s="100"/>
      <c r="P1627" s="100"/>
      <c r="Q1627" s="100"/>
      <c r="R1627" s="100"/>
      <c r="S1627" s="100"/>
      <c r="T1627" s="100"/>
      <c r="U1627" s="100"/>
      <c r="V1627" s="100"/>
      <c r="W1627" s="100"/>
      <c r="X1627" s="100"/>
      <c r="Y1627" s="100"/>
      <c r="Z1627" s="100"/>
    </row>
    <row r="1628" spans="1:26">
      <c r="A1628" s="100"/>
      <c r="B1628" s="100"/>
      <c r="C1628" s="100"/>
      <c r="D1628" s="100"/>
      <c r="E1628" s="100"/>
      <c r="F1628" s="100"/>
      <c r="G1628" s="100"/>
      <c r="H1628" s="100"/>
      <c r="I1628" s="100"/>
      <c r="J1628" s="100"/>
      <c r="K1628" s="100"/>
      <c r="L1628" s="100"/>
      <c r="M1628" s="100"/>
      <c r="N1628" s="100"/>
      <c r="O1628" s="100"/>
      <c r="P1628" s="100"/>
      <c r="Q1628" s="100"/>
      <c r="R1628" s="100"/>
      <c r="S1628" s="100"/>
      <c r="T1628" s="100"/>
      <c r="U1628" s="100"/>
      <c r="V1628" s="100"/>
      <c r="W1628" s="100"/>
      <c r="X1628" s="100"/>
      <c r="Y1628" s="100"/>
      <c r="Z1628" s="100"/>
    </row>
    <row r="1629" spans="1:26">
      <c r="A1629" s="100"/>
      <c r="B1629" s="100"/>
      <c r="C1629" s="100"/>
      <c r="D1629" s="100"/>
      <c r="E1629" s="100"/>
      <c r="F1629" s="100"/>
      <c r="G1629" s="100"/>
      <c r="H1629" s="100"/>
      <c r="I1629" s="100"/>
      <c r="J1629" s="100"/>
      <c r="K1629" s="100"/>
      <c r="L1629" s="100"/>
      <c r="M1629" s="100"/>
      <c r="N1629" s="100"/>
      <c r="O1629" s="100"/>
      <c r="P1629" s="100"/>
      <c r="Q1629" s="100"/>
      <c r="R1629" s="100"/>
      <c r="S1629" s="100"/>
      <c r="T1629" s="100"/>
      <c r="U1629" s="100"/>
      <c r="V1629" s="100"/>
      <c r="W1629" s="100"/>
      <c r="X1629" s="100"/>
      <c r="Y1629" s="100"/>
      <c r="Z1629" s="100"/>
    </row>
    <row r="1630" spans="1:26">
      <c r="A1630" s="100"/>
      <c r="B1630" s="100"/>
      <c r="C1630" s="100"/>
      <c r="D1630" s="100"/>
      <c r="E1630" s="100"/>
      <c r="F1630" s="100"/>
      <c r="G1630" s="100"/>
      <c r="H1630" s="100"/>
      <c r="I1630" s="100"/>
      <c r="J1630" s="100"/>
      <c r="K1630" s="100"/>
      <c r="L1630" s="100"/>
      <c r="M1630" s="100"/>
      <c r="N1630" s="100"/>
      <c r="O1630" s="100"/>
      <c r="P1630" s="100"/>
      <c r="Q1630" s="100"/>
      <c r="R1630" s="100"/>
      <c r="S1630" s="100"/>
      <c r="T1630" s="100"/>
      <c r="U1630" s="100"/>
      <c r="V1630" s="100"/>
      <c r="W1630" s="100"/>
      <c r="X1630" s="100"/>
      <c r="Y1630" s="100"/>
      <c r="Z1630" s="100"/>
    </row>
    <row r="1631" spans="1:26">
      <c r="A1631" s="100"/>
      <c r="B1631" s="100"/>
      <c r="C1631" s="100"/>
      <c r="D1631" s="100"/>
      <c r="E1631" s="100"/>
      <c r="F1631" s="100"/>
      <c r="G1631" s="100"/>
      <c r="H1631" s="100"/>
      <c r="I1631" s="100"/>
      <c r="J1631" s="100"/>
      <c r="K1631" s="100"/>
      <c r="L1631" s="100"/>
      <c r="M1631" s="100"/>
      <c r="N1631" s="100"/>
      <c r="O1631" s="100"/>
      <c r="P1631" s="100"/>
      <c r="Q1631" s="100"/>
      <c r="R1631" s="100"/>
      <c r="S1631" s="100"/>
      <c r="T1631" s="100"/>
      <c r="U1631" s="100"/>
      <c r="V1631" s="100"/>
      <c r="W1631" s="100"/>
      <c r="X1631" s="100"/>
      <c r="Y1631" s="100"/>
      <c r="Z1631" s="100"/>
    </row>
    <row r="1632" spans="1:26">
      <c r="A1632" s="100"/>
      <c r="B1632" s="100"/>
      <c r="C1632" s="100"/>
      <c r="D1632" s="100"/>
      <c r="E1632" s="100"/>
      <c r="F1632" s="100"/>
      <c r="G1632" s="100"/>
      <c r="H1632" s="100"/>
      <c r="I1632" s="100"/>
      <c r="J1632" s="100"/>
      <c r="K1632" s="100"/>
      <c r="L1632" s="100"/>
      <c r="M1632" s="100"/>
      <c r="N1632" s="100"/>
      <c r="O1632" s="100"/>
      <c r="P1632" s="100"/>
      <c r="Q1632" s="100"/>
      <c r="R1632" s="100"/>
      <c r="S1632" s="100"/>
      <c r="T1632" s="100"/>
      <c r="U1632" s="100"/>
      <c r="V1632" s="100"/>
      <c r="W1632" s="100"/>
      <c r="X1632" s="100"/>
      <c r="Y1632" s="100"/>
      <c r="Z1632" s="100"/>
    </row>
    <row r="1633" spans="1:26">
      <c r="A1633" s="100"/>
      <c r="B1633" s="100"/>
      <c r="C1633" s="100"/>
      <c r="D1633" s="100"/>
      <c r="E1633" s="100"/>
      <c r="F1633" s="100"/>
      <c r="G1633" s="100"/>
      <c r="H1633" s="100"/>
      <c r="I1633" s="100"/>
      <c r="J1633" s="100"/>
      <c r="K1633" s="100"/>
      <c r="L1633" s="100"/>
      <c r="M1633" s="100"/>
      <c r="N1633" s="100"/>
      <c r="O1633" s="100"/>
      <c r="P1633" s="100"/>
      <c r="Q1633" s="100"/>
      <c r="R1633" s="100"/>
      <c r="S1633" s="100"/>
      <c r="T1633" s="100"/>
      <c r="U1633" s="100"/>
      <c r="V1633" s="100"/>
      <c r="W1633" s="100"/>
      <c r="X1633" s="100"/>
      <c r="Y1633" s="100"/>
      <c r="Z1633" s="100"/>
    </row>
    <row r="1634" spans="1:26">
      <c r="A1634" s="100"/>
      <c r="B1634" s="100"/>
      <c r="C1634" s="100"/>
      <c r="D1634" s="100"/>
      <c r="E1634" s="100"/>
      <c r="F1634" s="100"/>
      <c r="G1634" s="100"/>
      <c r="H1634" s="100"/>
      <c r="I1634" s="100"/>
      <c r="J1634" s="100"/>
      <c r="K1634" s="100"/>
      <c r="L1634" s="100"/>
      <c r="M1634" s="100"/>
      <c r="N1634" s="100"/>
      <c r="O1634" s="100"/>
      <c r="P1634" s="100"/>
      <c r="Q1634" s="100"/>
      <c r="R1634" s="100"/>
      <c r="S1634" s="100"/>
      <c r="T1634" s="100"/>
      <c r="U1634" s="100"/>
      <c r="V1634" s="100"/>
      <c r="W1634" s="100"/>
      <c r="X1634" s="100"/>
      <c r="Y1634" s="100"/>
      <c r="Z1634" s="100"/>
    </row>
    <row r="1635" spans="1:26">
      <c r="A1635" s="100"/>
      <c r="B1635" s="100"/>
      <c r="C1635" s="100"/>
      <c r="D1635" s="100"/>
      <c r="E1635" s="100"/>
      <c r="F1635" s="100"/>
      <c r="G1635" s="100"/>
      <c r="H1635" s="100"/>
      <c r="I1635" s="100"/>
      <c r="J1635" s="100"/>
      <c r="K1635" s="100"/>
      <c r="L1635" s="100"/>
      <c r="M1635" s="100"/>
      <c r="N1635" s="100"/>
      <c r="O1635" s="100"/>
      <c r="P1635" s="100"/>
      <c r="Q1635" s="100"/>
      <c r="R1635" s="100"/>
      <c r="S1635" s="100"/>
      <c r="T1635" s="100"/>
      <c r="U1635" s="100"/>
      <c r="V1635" s="100"/>
      <c r="W1635" s="100"/>
      <c r="X1635" s="100"/>
      <c r="Y1635" s="100"/>
      <c r="Z1635" s="100"/>
    </row>
    <row r="1636" spans="1:26">
      <c r="A1636" s="100"/>
      <c r="B1636" s="100"/>
      <c r="C1636" s="100"/>
      <c r="D1636" s="100"/>
      <c r="E1636" s="100"/>
      <c r="F1636" s="100"/>
      <c r="G1636" s="100"/>
      <c r="H1636" s="100"/>
      <c r="I1636" s="100"/>
      <c r="J1636" s="100"/>
      <c r="K1636" s="100"/>
      <c r="L1636" s="100"/>
      <c r="M1636" s="100"/>
      <c r="N1636" s="100"/>
      <c r="O1636" s="100"/>
      <c r="P1636" s="100"/>
      <c r="Q1636" s="100"/>
      <c r="R1636" s="100"/>
      <c r="S1636" s="100"/>
      <c r="T1636" s="100"/>
      <c r="U1636" s="100"/>
      <c r="V1636" s="100"/>
      <c r="W1636" s="100"/>
      <c r="X1636" s="100"/>
      <c r="Y1636" s="100"/>
      <c r="Z1636" s="100"/>
    </row>
    <row r="1637" spans="1:26">
      <c r="A1637" s="100"/>
      <c r="B1637" s="100"/>
      <c r="C1637" s="100"/>
      <c r="D1637" s="100"/>
      <c r="E1637" s="100"/>
      <c r="F1637" s="100"/>
      <c r="G1637" s="100"/>
      <c r="H1637" s="100"/>
      <c r="I1637" s="100"/>
      <c r="J1637" s="100"/>
      <c r="K1637" s="100"/>
      <c r="L1637" s="100"/>
      <c r="M1637" s="100"/>
      <c r="N1637" s="100"/>
      <c r="O1637" s="100"/>
      <c r="P1637" s="100"/>
      <c r="Q1637" s="100"/>
      <c r="R1637" s="100"/>
      <c r="S1637" s="100"/>
      <c r="T1637" s="100"/>
      <c r="U1637" s="100"/>
      <c r="V1637" s="100"/>
      <c r="W1637" s="100"/>
      <c r="X1637" s="100"/>
      <c r="Y1637" s="100"/>
      <c r="Z1637" s="100"/>
    </row>
    <row r="1638" spans="1:26">
      <c r="A1638" s="100"/>
      <c r="B1638" s="100"/>
      <c r="C1638" s="100"/>
      <c r="D1638" s="100"/>
      <c r="E1638" s="100"/>
      <c r="F1638" s="100"/>
      <c r="G1638" s="100"/>
      <c r="H1638" s="100"/>
      <c r="I1638" s="100"/>
      <c r="J1638" s="100"/>
      <c r="K1638" s="100"/>
      <c r="L1638" s="100"/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</row>
    <row r="1639" spans="1:26">
      <c r="A1639" s="100"/>
      <c r="B1639" s="100"/>
      <c r="C1639" s="100"/>
      <c r="D1639" s="100"/>
      <c r="E1639" s="100"/>
      <c r="F1639" s="100"/>
      <c r="G1639" s="100"/>
      <c r="H1639" s="100"/>
      <c r="I1639" s="100"/>
      <c r="J1639" s="100"/>
      <c r="K1639" s="100"/>
      <c r="L1639" s="100"/>
      <c r="M1639" s="100"/>
      <c r="N1639" s="100"/>
      <c r="O1639" s="100"/>
      <c r="P1639" s="100"/>
      <c r="Q1639" s="100"/>
      <c r="R1639" s="100"/>
      <c r="S1639" s="100"/>
      <c r="T1639" s="100"/>
      <c r="U1639" s="100"/>
      <c r="V1639" s="100"/>
      <c r="W1639" s="100"/>
      <c r="X1639" s="100"/>
      <c r="Y1639" s="100"/>
      <c r="Z1639" s="100"/>
    </row>
    <row r="1640" spans="1:26">
      <c r="A1640" s="100"/>
      <c r="B1640" s="100"/>
      <c r="C1640" s="100"/>
      <c r="D1640" s="100"/>
      <c r="E1640" s="100"/>
      <c r="F1640" s="100"/>
      <c r="G1640" s="100"/>
      <c r="H1640" s="100"/>
      <c r="I1640" s="100"/>
      <c r="J1640" s="100"/>
      <c r="K1640" s="100"/>
      <c r="L1640" s="100"/>
      <c r="M1640" s="100"/>
      <c r="N1640" s="100"/>
      <c r="O1640" s="100"/>
      <c r="P1640" s="100"/>
      <c r="Q1640" s="100"/>
      <c r="R1640" s="100"/>
      <c r="S1640" s="100"/>
      <c r="T1640" s="100"/>
      <c r="U1640" s="100"/>
      <c r="V1640" s="100"/>
      <c r="W1640" s="100"/>
      <c r="X1640" s="100"/>
      <c r="Y1640" s="100"/>
      <c r="Z1640" s="100"/>
    </row>
    <row r="1641" spans="1:26">
      <c r="A1641" s="100"/>
      <c r="B1641" s="100"/>
      <c r="C1641" s="100"/>
      <c r="D1641" s="100"/>
      <c r="E1641" s="100"/>
      <c r="F1641" s="100"/>
      <c r="G1641" s="100"/>
      <c r="H1641" s="100"/>
      <c r="I1641" s="100"/>
      <c r="J1641" s="100"/>
      <c r="K1641" s="100"/>
      <c r="L1641" s="100"/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</row>
    <row r="1642" spans="1:26">
      <c r="A1642" s="100"/>
      <c r="B1642" s="100"/>
      <c r="C1642" s="100"/>
      <c r="D1642" s="100"/>
      <c r="E1642" s="100"/>
      <c r="F1642" s="100"/>
      <c r="G1642" s="100"/>
      <c r="H1642" s="100"/>
      <c r="I1642" s="100"/>
      <c r="J1642" s="100"/>
      <c r="K1642" s="100"/>
      <c r="L1642" s="100"/>
      <c r="M1642" s="100"/>
      <c r="N1642" s="100"/>
      <c r="O1642" s="100"/>
      <c r="P1642" s="100"/>
      <c r="Q1642" s="100"/>
      <c r="R1642" s="100"/>
      <c r="S1642" s="100"/>
      <c r="T1642" s="100"/>
      <c r="U1642" s="100"/>
      <c r="V1642" s="100"/>
      <c r="W1642" s="100"/>
      <c r="X1642" s="100"/>
      <c r="Y1642" s="100"/>
      <c r="Z1642" s="100"/>
    </row>
    <row r="1643" spans="1:26">
      <c r="A1643" s="100"/>
      <c r="B1643" s="100"/>
      <c r="C1643" s="100"/>
      <c r="D1643" s="100"/>
      <c r="E1643" s="100"/>
      <c r="F1643" s="100"/>
      <c r="G1643" s="100"/>
      <c r="H1643" s="100"/>
      <c r="I1643" s="100"/>
      <c r="J1643" s="100"/>
      <c r="K1643" s="100"/>
      <c r="L1643" s="100"/>
      <c r="M1643" s="100"/>
      <c r="N1643" s="100"/>
      <c r="O1643" s="100"/>
      <c r="P1643" s="100"/>
      <c r="Q1643" s="100"/>
      <c r="R1643" s="100"/>
      <c r="S1643" s="100"/>
      <c r="T1643" s="100"/>
      <c r="U1643" s="100"/>
      <c r="V1643" s="100"/>
      <c r="W1643" s="100"/>
      <c r="X1643" s="100"/>
      <c r="Y1643" s="100"/>
      <c r="Z1643" s="100"/>
    </row>
    <row r="1644" spans="1:26">
      <c r="A1644" s="100"/>
      <c r="B1644" s="100"/>
      <c r="C1644" s="100"/>
      <c r="D1644" s="100"/>
      <c r="E1644" s="100"/>
      <c r="F1644" s="100"/>
      <c r="G1644" s="100"/>
      <c r="H1644" s="100"/>
      <c r="I1644" s="100"/>
      <c r="J1644" s="100"/>
      <c r="K1644" s="100"/>
      <c r="L1644" s="100"/>
      <c r="M1644" s="100"/>
      <c r="N1644" s="100"/>
      <c r="O1644" s="100"/>
      <c r="P1644" s="100"/>
      <c r="Q1644" s="100"/>
      <c r="R1644" s="100"/>
      <c r="S1644" s="100"/>
      <c r="T1644" s="100"/>
      <c r="U1644" s="100"/>
      <c r="V1644" s="100"/>
      <c r="W1644" s="100"/>
      <c r="X1644" s="100"/>
      <c r="Y1644" s="100"/>
      <c r="Z1644" s="100"/>
    </row>
    <row r="1645" spans="1:26">
      <c r="A1645" s="100"/>
      <c r="B1645" s="100"/>
      <c r="C1645" s="100"/>
      <c r="D1645" s="100"/>
      <c r="E1645" s="100"/>
      <c r="F1645" s="100"/>
      <c r="G1645" s="100"/>
      <c r="H1645" s="100"/>
      <c r="I1645" s="100"/>
      <c r="J1645" s="100"/>
      <c r="K1645" s="100"/>
      <c r="L1645" s="100"/>
      <c r="M1645" s="100"/>
      <c r="N1645" s="100"/>
      <c r="O1645" s="100"/>
      <c r="P1645" s="100"/>
      <c r="Q1645" s="100"/>
      <c r="R1645" s="100"/>
      <c r="S1645" s="100"/>
      <c r="T1645" s="100"/>
      <c r="U1645" s="100"/>
      <c r="V1645" s="100"/>
      <c r="W1645" s="100"/>
      <c r="X1645" s="100"/>
      <c r="Y1645" s="100"/>
      <c r="Z1645" s="100"/>
    </row>
    <row r="1646" spans="1:26">
      <c r="A1646" s="100"/>
      <c r="B1646" s="100"/>
      <c r="C1646" s="100"/>
      <c r="D1646" s="100"/>
      <c r="E1646" s="100"/>
      <c r="F1646" s="100"/>
      <c r="G1646" s="100"/>
      <c r="H1646" s="100"/>
      <c r="I1646" s="100"/>
      <c r="J1646" s="100"/>
      <c r="K1646" s="100"/>
      <c r="L1646" s="100"/>
      <c r="M1646" s="100"/>
      <c r="N1646" s="100"/>
      <c r="O1646" s="100"/>
      <c r="P1646" s="100"/>
      <c r="Q1646" s="100"/>
      <c r="R1646" s="100"/>
      <c r="S1646" s="100"/>
      <c r="T1646" s="100"/>
      <c r="U1646" s="100"/>
      <c r="V1646" s="100"/>
      <c r="W1646" s="100"/>
      <c r="X1646" s="100"/>
      <c r="Y1646" s="100"/>
      <c r="Z1646" s="100"/>
    </row>
    <row r="1647" spans="1:26">
      <c r="A1647" s="100"/>
      <c r="B1647" s="100"/>
      <c r="C1647" s="100"/>
      <c r="D1647" s="100"/>
      <c r="E1647" s="100"/>
      <c r="F1647" s="100"/>
      <c r="G1647" s="100"/>
      <c r="H1647" s="100"/>
      <c r="I1647" s="100"/>
      <c r="J1647" s="100"/>
      <c r="K1647" s="100"/>
      <c r="L1647" s="100"/>
      <c r="M1647" s="100"/>
      <c r="N1647" s="100"/>
      <c r="O1647" s="100"/>
      <c r="P1647" s="100"/>
      <c r="Q1647" s="100"/>
      <c r="R1647" s="100"/>
      <c r="S1647" s="100"/>
      <c r="T1647" s="100"/>
      <c r="U1647" s="100"/>
      <c r="V1647" s="100"/>
      <c r="W1647" s="100"/>
      <c r="X1647" s="100"/>
      <c r="Y1647" s="100"/>
      <c r="Z1647" s="100"/>
    </row>
    <row r="1648" spans="1:26">
      <c r="A1648" s="100"/>
      <c r="B1648" s="100"/>
      <c r="C1648" s="100"/>
      <c r="D1648" s="100"/>
      <c r="E1648" s="100"/>
      <c r="F1648" s="100"/>
      <c r="G1648" s="100"/>
      <c r="H1648" s="100"/>
      <c r="I1648" s="100"/>
      <c r="J1648" s="100"/>
      <c r="K1648" s="100"/>
      <c r="L1648" s="100"/>
      <c r="M1648" s="100"/>
      <c r="N1648" s="100"/>
      <c r="O1648" s="100"/>
      <c r="P1648" s="100"/>
      <c r="Q1648" s="100"/>
      <c r="R1648" s="100"/>
      <c r="S1648" s="100"/>
      <c r="T1648" s="100"/>
      <c r="U1648" s="100"/>
      <c r="V1648" s="100"/>
      <c r="W1648" s="100"/>
      <c r="X1648" s="100"/>
      <c r="Y1648" s="100"/>
      <c r="Z1648" s="100"/>
    </row>
    <row r="1649" spans="1:26">
      <c r="A1649" s="100"/>
      <c r="B1649" s="100"/>
      <c r="C1649" s="100"/>
      <c r="D1649" s="100"/>
      <c r="E1649" s="100"/>
      <c r="F1649" s="100"/>
      <c r="G1649" s="100"/>
      <c r="H1649" s="100"/>
      <c r="I1649" s="100"/>
      <c r="J1649" s="100"/>
      <c r="K1649" s="100"/>
      <c r="L1649" s="100"/>
      <c r="M1649" s="100"/>
      <c r="N1649" s="100"/>
      <c r="O1649" s="100"/>
      <c r="P1649" s="100"/>
      <c r="Q1649" s="100"/>
      <c r="R1649" s="100"/>
      <c r="S1649" s="100"/>
      <c r="T1649" s="100"/>
      <c r="U1649" s="100"/>
      <c r="V1649" s="100"/>
      <c r="W1649" s="100"/>
      <c r="X1649" s="100"/>
      <c r="Y1649" s="100"/>
      <c r="Z1649" s="100"/>
    </row>
    <row r="1650" spans="1:26">
      <c r="A1650" s="100"/>
      <c r="B1650" s="100"/>
      <c r="C1650" s="100"/>
      <c r="D1650" s="100"/>
      <c r="E1650" s="100"/>
      <c r="F1650" s="100"/>
      <c r="G1650" s="100"/>
      <c r="H1650" s="100"/>
      <c r="I1650" s="100"/>
      <c r="J1650" s="100"/>
      <c r="K1650" s="100"/>
      <c r="L1650" s="100"/>
      <c r="M1650" s="100"/>
      <c r="N1650" s="100"/>
      <c r="O1650" s="100"/>
      <c r="P1650" s="100"/>
      <c r="Q1650" s="100"/>
      <c r="R1650" s="100"/>
      <c r="S1650" s="100"/>
      <c r="T1650" s="100"/>
      <c r="U1650" s="100"/>
      <c r="V1650" s="100"/>
      <c r="W1650" s="100"/>
      <c r="X1650" s="100"/>
      <c r="Y1650" s="100"/>
      <c r="Z1650" s="100"/>
    </row>
    <row r="1651" spans="1:26">
      <c r="A1651" s="100"/>
      <c r="B1651" s="100"/>
      <c r="C1651" s="100"/>
      <c r="D1651" s="100"/>
      <c r="E1651" s="100"/>
      <c r="F1651" s="100"/>
      <c r="G1651" s="100"/>
      <c r="H1651" s="100"/>
      <c r="I1651" s="100"/>
      <c r="J1651" s="100"/>
      <c r="K1651" s="100"/>
      <c r="L1651" s="100"/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</row>
    <row r="1652" spans="1:26">
      <c r="A1652" s="100"/>
      <c r="B1652" s="100"/>
      <c r="C1652" s="100"/>
      <c r="D1652" s="100"/>
      <c r="E1652" s="100"/>
      <c r="F1652" s="100"/>
      <c r="G1652" s="100"/>
      <c r="H1652" s="100"/>
      <c r="I1652" s="100"/>
      <c r="J1652" s="100"/>
      <c r="K1652" s="100"/>
      <c r="L1652" s="100"/>
      <c r="M1652" s="100"/>
      <c r="N1652" s="100"/>
      <c r="O1652" s="100"/>
      <c r="P1652" s="100"/>
      <c r="Q1652" s="100"/>
      <c r="R1652" s="100"/>
      <c r="S1652" s="100"/>
      <c r="T1652" s="100"/>
      <c r="U1652" s="100"/>
      <c r="V1652" s="100"/>
      <c r="W1652" s="100"/>
      <c r="X1652" s="100"/>
      <c r="Y1652" s="100"/>
      <c r="Z1652" s="100"/>
    </row>
    <row r="1653" spans="1:26">
      <c r="A1653" s="100"/>
      <c r="B1653" s="100"/>
      <c r="C1653" s="100"/>
      <c r="D1653" s="100"/>
      <c r="E1653" s="100"/>
      <c r="F1653" s="100"/>
      <c r="G1653" s="100"/>
      <c r="H1653" s="100"/>
      <c r="I1653" s="100"/>
      <c r="J1653" s="100"/>
      <c r="K1653" s="100"/>
      <c r="L1653" s="100"/>
      <c r="M1653" s="100"/>
      <c r="N1653" s="100"/>
      <c r="O1653" s="100"/>
      <c r="P1653" s="100"/>
      <c r="Q1653" s="100"/>
      <c r="R1653" s="100"/>
      <c r="S1653" s="100"/>
      <c r="T1653" s="100"/>
      <c r="U1653" s="100"/>
      <c r="V1653" s="100"/>
      <c r="W1653" s="100"/>
      <c r="X1653" s="100"/>
      <c r="Y1653" s="100"/>
      <c r="Z1653" s="100"/>
    </row>
    <row r="1654" spans="1:26">
      <c r="A1654" s="100"/>
      <c r="B1654" s="100"/>
      <c r="C1654" s="100"/>
      <c r="D1654" s="100"/>
      <c r="E1654" s="100"/>
      <c r="F1654" s="100"/>
      <c r="G1654" s="100"/>
      <c r="H1654" s="100"/>
      <c r="I1654" s="100"/>
      <c r="J1654" s="100"/>
      <c r="K1654" s="100"/>
      <c r="L1654" s="100"/>
      <c r="M1654" s="100"/>
      <c r="N1654" s="100"/>
      <c r="O1654" s="100"/>
      <c r="P1654" s="100"/>
      <c r="Q1654" s="100"/>
      <c r="R1654" s="100"/>
      <c r="S1654" s="100"/>
      <c r="T1654" s="100"/>
      <c r="U1654" s="100"/>
      <c r="V1654" s="100"/>
      <c r="W1654" s="100"/>
      <c r="X1654" s="100"/>
      <c r="Y1654" s="100"/>
      <c r="Z1654" s="100"/>
    </row>
    <row r="1655" spans="1:26">
      <c r="A1655" s="100"/>
      <c r="B1655" s="100"/>
      <c r="C1655" s="100"/>
      <c r="D1655" s="100"/>
      <c r="E1655" s="100"/>
      <c r="F1655" s="100"/>
      <c r="G1655" s="100"/>
      <c r="H1655" s="100"/>
      <c r="I1655" s="100"/>
      <c r="J1655" s="100"/>
      <c r="K1655" s="100"/>
      <c r="L1655" s="100"/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</row>
    <row r="1656" spans="1:26">
      <c r="A1656" s="100"/>
      <c r="B1656" s="100"/>
      <c r="C1656" s="100"/>
      <c r="D1656" s="100"/>
      <c r="E1656" s="100"/>
      <c r="F1656" s="100"/>
      <c r="G1656" s="100"/>
      <c r="H1656" s="100"/>
      <c r="I1656" s="100"/>
      <c r="J1656" s="100"/>
      <c r="K1656" s="100"/>
      <c r="L1656" s="100"/>
      <c r="M1656" s="100"/>
      <c r="N1656" s="100"/>
      <c r="O1656" s="100"/>
      <c r="P1656" s="100"/>
      <c r="Q1656" s="100"/>
      <c r="R1656" s="100"/>
      <c r="S1656" s="100"/>
      <c r="T1656" s="100"/>
      <c r="U1656" s="100"/>
      <c r="V1656" s="100"/>
      <c r="W1656" s="100"/>
      <c r="X1656" s="100"/>
      <c r="Y1656" s="100"/>
      <c r="Z1656" s="100"/>
    </row>
    <row r="1657" spans="1:26">
      <c r="A1657" s="100"/>
      <c r="B1657" s="100"/>
      <c r="C1657" s="100"/>
      <c r="D1657" s="100"/>
      <c r="E1657" s="100"/>
      <c r="F1657" s="100"/>
      <c r="G1657" s="100"/>
      <c r="H1657" s="100"/>
      <c r="I1657" s="100"/>
      <c r="J1657" s="100"/>
      <c r="K1657" s="100"/>
      <c r="L1657" s="100"/>
      <c r="M1657" s="100"/>
      <c r="N1657" s="100"/>
      <c r="O1657" s="100"/>
      <c r="P1657" s="100"/>
      <c r="Q1657" s="100"/>
      <c r="R1657" s="100"/>
      <c r="S1657" s="100"/>
      <c r="T1657" s="100"/>
      <c r="U1657" s="100"/>
      <c r="V1657" s="100"/>
      <c r="W1657" s="100"/>
      <c r="X1657" s="100"/>
      <c r="Y1657" s="100"/>
      <c r="Z1657" s="100"/>
    </row>
    <row r="1658" spans="1:26">
      <c r="A1658" s="100"/>
      <c r="B1658" s="100"/>
      <c r="C1658" s="100"/>
      <c r="D1658" s="100"/>
      <c r="E1658" s="100"/>
      <c r="F1658" s="100"/>
      <c r="G1658" s="100"/>
      <c r="H1658" s="100"/>
      <c r="I1658" s="100"/>
      <c r="J1658" s="100"/>
      <c r="K1658" s="100"/>
      <c r="L1658" s="100"/>
      <c r="M1658" s="100"/>
      <c r="N1658" s="100"/>
      <c r="O1658" s="100"/>
      <c r="P1658" s="100"/>
      <c r="Q1658" s="100"/>
      <c r="R1658" s="100"/>
      <c r="S1658" s="100"/>
      <c r="T1658" s="100"/>
      <c r="U1658" s="100"/>
      <c r="V1658" s="100"/>
      <c r="W1658" s="100"/>
      <c r="X1658" s="100"/>
      <c r="Y1658" s="100"/>
      <c r="Z1658" s="100"/>
    </row>
    <row r="1659" spans="1:26">
      <c r="A1659" s="100"/>
      <c r="B1659" s="100"/>
      <c r="C1659" s="100"/>
      <c r="D1659" s="100"/>
      <c r="E1659" s="100"/>
      <c r="F1659" s="100"/>
      <c r="G1659" s="100"/>
      <c r="H1659" s="100"/>
      <c r="I1659" s="100"/>
      <c r="J1659" s="100"/>
      <c r="K1659" s="100"/>
      <c r="L1659" s="100"/>
      <c r="M1659" s="100"/>
      <c r="N1659" s="100"/>
      <c r="O1659" s="100"/>
      <c r="P1659" s="100"/>
      <c r="Q1659" s="100"/>
      <c r="R1659" s="100"/>
      <c r="S1659" s="100"/>
      <c r="T1659" s="100"/>
      <c r="U1659" s="100"/>
      <c r="V1659" s="100"/>
      <c r="W1659" s="100"/>
      <c r="X1659" s="100"/>
      <c r="Y1659" s="100"/>
      <c r="Z1659" s="100"/>
    </row>
    <row r="1660" spans="1:26">
      <c r="A1660" s="100"/>
      <c r="B1660" s="100"/>
      <c r="C1660" s="100"/>
      <c r="D1660" s="100"/>
      <c r="E1660" s="100"/>
      <c r="F1660" s="100"/>
      <c r="G1660" s="100"/>
      <c r="H1660" s="100"/>
      <c r="I1660" s="100"/>
      <c r="J1660" s="100"/>
      <c r="K1660" s="100"/>
      <c r="L1660" s="100"/>
      <c r="M1660" s="100"/>
      <c r="N1660" s="100"/>
      <c r="O1660" s="100"/>
      <c r="P1660" s="100"/>
      <c r="Q1660" s="100"/>
      <c r="R1660" s="100"/>
      <c r="S1660" s="100"/>
      <c r="T1660" s="100"/>
      <c r="U1660" s="100"/>
      <c r="V1660" s="100"/>
      <c r="W1660" s="100"/>
      <c r="X1660" s="100"/>
      <c r="Y1660" s="100"/>
      <c r="Z1660" s="100"/>
    </row>
    <row r="1661" spans="1:26">
      <c r="A1661" s="100"/>
      <c r="B1661" s="100"/>
      <c r="C1661" s="100"/>
      <c r="D1661" s="100"/>
      <c r="E1661" s="100"/>
      <c r="F1661" s="100"/>
      <c r="G1661" s="100"/>
      <c r="H1661" s="100"/>
      <c r="I1661" s="100"/>
      <c r="J1661" s="100"/>
      <c r="K1661" s="100"/>
      <c r="L1661" s="100"/>
      <c r="M1661" s="100"/>
      <c r="N1661" s="100"/>
      <c r="O1661" s="100"/>
      <c r="P1661" s="100"/>
      <c r="Q1661" s="100"/>
      <c r="R1661" s="100"/>
      <c r="S1661" s="100"/>
      <c r="T1661" s="100"/>
      <c r="U1661" s="100"/>
      <c r="V1661" s="100"/>
      <c r="W1661" s="100"/>
      <c r="X1661" s="100"/>
      <c r="Y1661" s="100"/>
      <c r="Z1661" s="100"/>
    </row>
    <row r="1662" spans="1:26">
      <c r="A1662" s="100"/>
      <c r="B1662" s="100"/>
      <c r="C1662" s="100"/>
      <c r="D1662" s="100"/>
      <c r="E1662" s="100"/>
      <c r="F1662" s="100"/>
      <c r="G1662" s="100"/>
      <c r="H1662" s="100"/>
      <c r="I1662" s="100"/>
      <c r="J1662" s="100"/>
      <c r="K1662" s="100"/>
      <c r="L1662" s="100"/>
      <c r="M1662" s="100"/>
      <c r="N1662" s="100"/>
      <c r="O1662" s="100"/>
      <c r="P1662" s="100"/>
      <c r="Q1662" s="100"/>
      <c r="R1662" s="100"/>
      <c r="S1662" s="100"/>
      <c r="T1662" s="100"/>
      <c r="U1662" s="100"/>
      <c r="V1662" s="100"/>
      <c r="W1662" s="100"/>
      <c r="X1662" s="100"/>
      <c r="Y1662" s="100"/>
      <c r="Z1662" s="100"/>
    </row>
    <row r="1663" spans="1:26">
      <c r="A1663" s="100"/>
      <c r="B1663" s="100"/>
      <c r="C1663" s="100"/>
      <c r="D1663" s="100"/>
      <c r="E1663" s="100"/>
      <c r="F1663" s="100"/>
      <c r="G1663" s="100"/>
      <c r="H1663" s="100"/>
      <c r="I1663" s="100"/>
      <c r="J1663" s="100"/>
      <c r="K1663" s="100"/>
      <c r="L1663" s="100"/>
      <c r="M1663" s="100"/>
      <c r="N1663" s="100"/>
      <c r="O1663" s="100"/>
      <c r="P1663" s="100"/>
      <c r="Q1663" s="100"/>
      <c r="R1663" s="100"/>
      <c r="S1663" s="100"/>
      <c r="T1663" s="100"/>
      <c r="U1663" s="100"/>
      <c r="V1663" s="100"/>
      <c r="W1663" s="100"/>
      <c r="X1663" s="100"/>
      <c r="Y1663" s="100"/>
      <c r="Z1663" s="100"/>
    </row>
    <row r="1664" spans="1:26">
      <c r="A1664" s="100"/>
      <c r="B1664" s="100"/>
      <c r="C1664" s="100"/>
      <c r="D1664" s="100"/>
      <c r="E1664" s="100"/>
      <c r="F1664" s="100"/>
      <c r="G1664" s="100"/>
      <c r="H1664" s="100"/>
      <c r="I1664" s="100"/>
      <c r="J1664" s="100"/>
      <c r="K1664" s="100"/>
      <c r="L1664" s="100"/>
      <c r="M1664" s="100"/>
      <c r="N1664" s="100"/>
      <c r="O1664" s="100"/>
      <c r="P1664" s="100"/>
      <c r="Q1664" s="100"/>
      <c r="R1664" s="100"/>
      <c r="S1664" s="100"/>
      <c r="T1664" s="100"/>
      <c r="U1664" s="100"/>
      <c r="V1664" s="100"/>
      <c r="W1664" s="100"/>
      <c r="X1664" s="100"/>
      <c r="Y1664" s="100"/>
      <c r="Z1664" s="100"/>
    </row>
    <row r="1665" spans="1:26">
      <c r="A1665" s="100"/>
      <c r="B1665" s="100"/>
      <c r="C1665" s="100"/>
      <c r="D1665" s="100"/>
      <c r="E1665" s="100"/>
      <c r="F1665" s="100"/>
      <c r="G1665" s="100"/>
      <c r="H1665" s="100"/>
      <c r="I1665" s="100"/>
      <c r="J1665" s="100"/>
      <c r="K1665" s="100"/>
      <c r="L1665" s="100"/>
      <c r="M1665" s="100"/>
      <c r="N1665" s="100"/>
      <c r="O1665" s="100"/>
      <c r="P1665" s="100"/>
      <c r="Q1665" s="100"/>
      <c r="R1665" s="100"/>
      <c r="S1665" s="100"/>
      <c r="T1665" s="100"/>
      <c r="U1665" s="100"/>
      <c r="V1665" s="100"/>
      <c r="W1665" s="100"/>
      <c r="X1665" s="100"/>
      <c r="Y1665" s="100"/>
      <c r="Z1665" s="100"/>
    </row>
    <row r="1666" spans="1:26">
      <c r="A1666" s="100"/>
      <c r="B1666" s="100"/>
      <c r="C1666" s="100"/>
      <c r="D1666" s="100"/>
      <c r="E1666" s="100"/>
      <c r="F1666" s="100"/>
      <c r="G1666" s="100"/>
      <c r="H1666" s="100"/>
      <c r="I1666" s="100"/>
      <c r="J1666" s="100"/>
      <c r="K1666" s="100"/>
      <c r="L1666" s="100"/>
      <c r="M1666" s="100"/>
      <c r="N1666" s="100"/>
      <c r="O1666" s="100"/>
      <c r="P1666" s="100"/>
      <c r="Q1666" s="100"/>
      <c r="R1666" s="100"/>
      <c r="S1666" s="100"/>
      <c r="T1666" s="100"/>
      <c r="U1666" s="100"/>
      <c r="V1666" s="100"/>
      <c r="W1666" s="100"/>
      <c r="X1666" s="100"/>
      <c r="Y1666" s="100"/>
      <c r="Z1666" s="100"/>
    </row>
    <row r="1667" spans="1:26">
      <c r="A1667" s="100"/>
      <c r="B1667" s="100"/>
      <c r="C1667" s="100"/>
      <c r="D1667" s="100"/>
      <c r="E1667" s="100"/>
      <c r="F1667" s="100"/>
      <c r="G1667" s="100"/>
      <c r="H1667" s="100"/>
      <c r="I1667" s="100"/>
      <c r="J1667" s="100"/>
      <c r="K1667" s="100"/>
      <c r="L1667" s="100"/>
      <c r="M1667" s="100"/>
      <c r="N1667" s="100"/>
      <c r="O1667" s="100"/>
      <c r="P1667" s="100"/>
      <c r="Q1667" s="100"/>
      <c r="R1667" s="100"/>
      <c r="S1667" s="100"/>
      <c r="T1667" s="100"/>
      <c r="U1667" s="100"/>
      <c r="V1667" s="100"/>
      <c r="W1667" s="100"/>
      <c r="X1667" s="100"/>
      <c r="Y1667" s="100"/>
      <c r="Z1667" s="100"/>
    </row>
    <row r="1668" spans="1:26">
      <c r="A1668" s="100"/>
      <c r="B1668" s="100"/>
      <c r="C1668" s="100"/>
      <c r="D1668" s="100"/>
      <c r="E1668" s="100"/>
      <c r="F1668" s="100"/>
      <c r="G1668" s="100"/>
      <c r="H1668" s="100"/>
      <c r="I1668" s="100"/>
      <c r="J1668" s="100"/>
      <c r="K1668" s="100"/>
      <c r="L1668" s="100"/>
      <c r="M1668" s="100"/>
      <c r="N1668" s="100"/>
      <c r="O1668" s="100"/>
      <c r="P1668" s="100"/>
      <c r="Q1668" s="100"/>
      <c r="R1668" s="100"/>
      <c r="S1668" s="100"/>
      <c r="T1668" s="100"/>
      <c r="U1668" s="100"/>
      <c r="V1668" s="100"/>
      <c r="W1668" s="100"/>
      <c r="X1668" s="100"/>
      <c r="Y1668" s="100"/>
      <c r="Z1668" s="100"/>
    </row>
    <row r="1669" spans="1:26">
      <c r="A1669" s="100"/>
      <c r="B1669" s="100"/>
      <c r="C1669" s="100"/>
      <c r="D1669" s="100"/>
      <c r="E1669" s="100"/>
      <c r="F1669" s="100"/>
      <c r="G1669" s="100"/>
      <c r="H1669" s="100"/>
      <c r="I1669" s="100"/>
      <c r="J1669" s="100"/>
      <c r="K1669" s="100"/>
      <c r="L1669" s="100"/>
      <c r="M1669" s="100"/>
      <c r="N1669" s="100"/>
      <c r="O1669" s="100"/>
      <c r="P1669" s="100"/>
      <c r="Q1669" s="100"/>
      <c r="R1669" s="100"/>
      <c r="S1669" s="100"/>
      <c r="T1669" s="100"/>
      <c r="U1669" s="100"/>
      <c r="V1669" s="100"/>
      <c r="W1669" s="100"/>
      <c r="X1669" s="100"/>
      <c r="Y1669" s="100"/>
      <c r="Z1669" s="100"/>
    </row>
    <row r="1670" spans="1:26">
      <c r="A1670" s="100"/>
      <c r="B1670" s="100"/>
      <c r="C1670" s="100"/>
      <c r="D1670" s="100"/>
      <c r="E1670" s="100"/>
      <c r="F1670" s="100"/>
      <c r="G1670" s="100"/>
      <c r="H1670" s="100"/>
      <c r="I1670" s="100"/>
      <c r="J1670" s="100"/>
      <c r="K1670" s="100"/>
      <c r="L1670" s="100"/>
      <c r="M1670" s="100"/>
      <c r="N1670" s="100"/>
      <c r="O1670" s="100"/>
      <c r="P1670" s="100"/>
      <c r="Q1670" s="100"/>
      <c r="R1670" s="100"/>
      <c r="S1670" s="100"/>
      <c r="T1670" s="100"/>
      <c r="U1670" s="100"/>
      <c r="V1670" s="100"/>
      <c r="W1670" s="100"/>
      <c r="X1670" s="100"/>
      <c r="Y1670" s="100"/>
      <c r="Z1670" s="100"/>
    </row>
    <row r="1671" spans="1:26">
      <c r="A1671" s="100"/>
      <c r="B1671" s="100"/>
      <c r="C1671" s="100"/>
      <c r="D1671" s="100"/>
      <c r="E1671" s="100"/>
      <c r="F1671" s="100"/>
      <c r="G1671" s="100"/>
      <c r="H1671" s="100"/>
      <c r="I1671" s="100"/>
      <c r="J1671" s="100"/>
      <c r="K1671" s="100"/>
      <c r="L1671" s="100"/>
      <c r="M1671" s="100"/>
      <c r="N1671" s="100"/>
      <c r="O1671" s="100"/>
      <c r="P1671" s="100"/>
      <c r="Q1671" s="100"/>
      <c r="R1671" s="100"/>
      <c r="S1671" s="100"/>
      <c r="T1671" s="100"/>
      <c r="U1671" s="100"/>
      <c r="V1671" s="100"/>
      <c r="W1671" s="100"/>
      <c r="X1671" s="100"/>
      <c r="Y1671" s="100"/>
      <c r="Z1671" s="100"/>
    </row>
    <row r="1672" spans="1:26">
      <c r="A1672" s="100"/>
      <c r="B1672" s="100"/>
      <c r="C1672" s="100"/>
      <c r="D1672" s="100"/>
      <c r="E1672" s="100"/>
      <c r="F1672" s="100"/>
      <c r="G1672" s="100"/>
      <c r="H1672" s="100"/>
      <c r="I1672" s="100"/>
      <c r="J1672" s="100"/>
      <c r="K1672" s="100"/>
      <c r="L1672" s="100"/>
      <c r="M1672" s="100"/>
      <c r="N1672" s="100"/>
      <c r="O1672" s="100"/>
      <c r="P1672" s="100"/>
      <c r="Q1672" s="100"/>
      <c r="R1672" s="100"/>
      <c r="S1672" s="100"/>
      <c r="T1672" s="100"/>
      <c r="U1672" s="100"/>
      <c r="V1672" s="100"/>
      <c r="W1672" s="100"/>
      <c r="X1672" s="100"/>
      <c r="Y1672" s="100"/>
      <c r="Z1672" s="100"/>
    </row>
    <row r="1673" spans="1:26">
      <c r="A1673" s="100"/>
      <c r="B1673" s="100"/>
      <c r="C1673" s="100"/>
      <c r="D1673" s="100"/>
      <c r="E1673" s="100"/>
      <c r="F1673" s="100"/>
      <c r="G1673" s="100"/>
      <c r="H1673" s="100"/>
      <c r="I1673" s="100"/>
      <c r="J1673" s="100"/>
      <c r="K1673" s="100"/>
      <c r="L1673" s="100"/>
      <c r="M1673" s="100"/>
      <c r="N1673" s="100"/>
      <c r="O1673" s="100"/>
      <c r="P1673" s="100"/>
      <c r="Q1673" s="100"/>
      <c r="R1673" s="100"/>
      <c r="S1673" s="100"/>
      <c r="T1673" s="100"/>
      <c r="U1673" s="100"/>
      <c r="V1673" s="100"/>
      <c r="W1673" s="100"/>
      <c r="X1673" s="100"/>
      <c r="Y1673" s="100"/>
      <c r="Z1673" s="100"/>
    </row>
    <row r="1674" spans="1:26">
      <c r="A1674" s="100"/>
      <c r="B1674" s="100"/>
      <c r="C1674" s="100"/>
      <c r="D1674" s="100"/>
      <c r="E1674" s="100"/>
      <c r="F1674" s="100"/>
      <c r="G1674" s="100"/>
      <c r="H1674" s="100"/>
      <c r="I1674" s="100"/>
      <c r="J1674" s="100"/>
      <c r="K1674" s="100"/>
      <c r="L1674" s="100"/>
      <c r="M1674" s="100"/>
      <c r="N1674" s="100"/>
      <c r="O1674" s="100"/>
      <c r="P1674" s="100"/>
      <c r="Q1674" s="100"/>
      <c r="R1674" s="100"/>
      <c r="S1674" s="100"/>
      <c r="T1674" s="100"/>
      <c r="U1674" s="100"/>
      <c r="V1674" s="100"/>
      <c r="W1674" s="100"/>
      <c r="X1674" s="100"/>
      <c r="Y1674" s="100"/>
      <c r="Z1674" s="100"/>
    </row>
    <row r="1675" spans="1:26">
      <c r="A1675" s="100"/>
      <c r="B1675" s="100"/>
      <c r="C1675" s="100"/>
      <c r="D1675" s="100"/>
      <c r="E1675" s="100"/>
      <c r="F1675" s="100"/>
      <c r="G1675" s="100"/>
      <c r="H1675" s="100"/>
      <c r="I1675" s="100"/>
      <c r="J1675" s="100"/>
      <c r="K1675" s="100"/>
      <c r="L1675" s="100"/>
      <c r="M1675" s="100"/>
      <c r="N1675" s="100"/>
      <c r="O1675" s="100"/>
      <c r="P1675" s="100"/>
      <c r="Q1675" s="100"/>
      <c r="R1675" s="100"/>
      <c r="S1675" s="100"/>
      <c r="T1675" s="100"/>
      <c r="U1675" s="100"/>
      <c r="V1675" s="100"/>
      <c r="W1675" s="100"/>
      <c r="X1675" s="100"/>
      <c r="Y1675" s="100"/>
      <c r="Z1675" s="100"/>
    </row>
    <row r="1676" spans="1:26">
      <c r="A1676" s="100"/>
      <c r="B1676" s="100"/>
      <c r="C1676" s="100"/>
      <c r="D1676" s="100"/>
      <c r="E1676" s="100"/>
      <c r="F1676" s="100"/>
      <c r="G1676" s="100"/>
      <c r="H1676" s="100"/>
      <c r="I1676" s="100"/>
      <c r="J1676" s="100"/>
      <c r="K1676" s="100"/>
      <c r="L1676" s="100"/>
      <c r="M1676" s="100"/>
      <c r="N1676" s="100"/>
      <c r="O1676" s="100"/>
      <c r="P1676" s="100"/>
      <c r="Q1676" s="100"/>
      <c r="R1676" s="100"/>
      <c r="S1676" s="100"/>
      <c r="T1676" s="100"/>
      <c r="U1676" s="100"/>
      <c r="V1676" s="100"/>
      <c r="W1676" s="100"/>
      <c r="X1676" s="100"/>
      <c r="Y1676" s="100"/>
      <c r="Z1676" s="100"/>
    </row>
    <row r="1677" spans="1:26">
      <c r="A1677" s="100"/>
      <c r="B1677" s="100"/>
      <c r="C1677" s="100"/>
      <c r="D1677" s="100"/>
      <c r="E1677" s="100"/>
      <c r="F1677" s="100"/>
      <c r="G1677" s="100"/>
      <c r="H1677" s="100"/>
      <c r="I1677" s="100"/>
      <c r="J1677" s="100"/>
      <c r="K1677" s="100"/>
      <c r="L1677" s="100"/>
      <c r="M1677" s="100"/>
      <c r="N1677" s="100"/>
      <c r="O1677" s="100"/>
      <c r="P1677" s="100"/>
      <c r="Q1677" s="100"/>
      <c r="R1677" s="100"/>
      <c r="S1677" s="100"/>
      <c r="T1677" s="100"/>
      <c r="U1677" s="100"/>
      <c r="V1677" s="100"/>
      <c r="W1677" s="100"/>
      <c r="X1677" s="100"/>
      <c r="Y1677" s="100"/>
      <c r="Z1677" s="100"/>
    </row>
    <row r="1678" spans="1:26">
      <c r="A1678" s="100"/>
      <c r="B1678" s="100"/>
      <c r="C1678" s="100"/>
      <c r="D1678" s="100"/>
      <c r="E1678" s="100"/>
      <c r="F1678" s="100"/>
      <c r="G1678" s="100"/>
      <c r="H1678" s="100"/>
      <c r="I1678" s="100"/>
      <c r="J1678" s="100"/>
      <c r="K1678" s="100"/>
      <c r="L1678" s="100"/>
      <c r="M1678" s="100"/>
      <c r="N1678" s="100"/>
      <c r="O1678" s="100"/>
      <c r="P1678" s="100"/>
      <c r="Q1678" s="100"/>
      <c r="R1678" s="100"/>
      <c r="S1678" s="100"/>
      <c r="T1678" s="100"/>
      <c r="U1678" s="100"/>
      <c r="V1678" s="100"/>
      <c r="W1678" s="100"/>
      <c r="X1678" s="100"/>
      <c r="Y1678" s="100"/>
      <c r="Z1678" s="100"/>
    </row>
    <row r="1679" spans="1:26">
      <c r="A1679" s="100"/>
      <c r="B1679" s="100"/>
      <c r="C1679" s="100"/>
      <c r="D1679" s="100"/>
      <c r="E1679" s="100"/>
      <c r="F1679" s="100"/>
      <c r="G1679" s="100"/>
      <c r="H1679" s="100"/>
      <c r="I1679" s="100"/>
      <c r="J1679" s="100"/>
      <c r="K1679" s="100"/>
      <c r="L1679" s="100"/>
      <c r="M1679" s="100"/>
      <c r="N1679" s="100"/>
      <c r="O1679" s="100"/>
      <c r="P1679" s="100"/>
      <c r="Q1679" s="100"/>
      <c r="R1679" s="100"/>
      <c r="S1679" s="100"/>
      <c r="T1679" s="100"/>
      <c r="U1679" s="100"/>
      <c r="V1679" s="100"/>
      <c r="W1679" s="100"/>
      <c r="X1679" s="100"/>
      <c r="Y1679" s="100"/>
      <c r="Z1679" s="100"/>
    </row>
    <row r="1680" spans="1:26">
      <c r="A1680" s="100"/>
      <c r="B1680" s="100"/>
      <c r="C1680" s="100"/>
      <c r="D1680" s="100"/>
      <c r="E1680" s="100"/>
      <c r="F1680" s="100"/>
      <c r="G1680" s="100"/>
      <c r="H1680" s="100"/>
      <c r="I1680" s="100"/>
      <c r="J1680" s="100"/>
      <c r="K1680" s="100"/>
      <c r="L1680" s="100"/>
      <c r="M1680" s="100"/>
      <c r="N1680" s="100"/>
      <c r="O1680" s="100"/>
      <c r="P1680" s="100"/>
      <c r="Q1680" s="100"/>
      <c r="R1680" s="100"/>
      <c r="S1680" s="100"/>
      <c r="T1680" s="100"/>
      <c r="U1680" s="100"/>
      <c r="V1680" s="100"/>
      <c r="W1680" s="100"/>
      <c r="X1680" s="100"/>
      <c r="Y1680" s="100"/>
      <c r="Z1680" s="100"/>
    </row>
    <row r="1681" spans="1:26">
      <c r="A1681" s="100"/>
      <c r="B1681" s="100"/>
      <c r="C1681" s="100"/>
      <c r="D1681" s="100"/>
      <c r="E1681" s="100"/>
      <c r="F1681" s="100"/>
      <c r="G1681" s="100"/>
      <c r="H1681" s="100"/>
      <c r="I1681" s="100"/>
      <c r="J1681" s="100"/>
      <c r="K1681" s="100"/>
      <c r="L1681" s="100"/>
      <c r="M1681" s="100"/>
      <c r="N1681" s="100"/>
      <c r="O1681" s="100"/>
      <c r="P1681" s="100"/>
      <c r="Q1681" s="100"/>
      <c r="R1681" s="100"/>
      <c r="S1681" s="100"/>
      <c r="T1681" s="100"/>
      <c r="U1681" s="100"/>
      <c r="V1681" s="100"/>
      <c r="W1681" s="100"/>
      <c r="X1681" s="100"/>
      <c r="Y1681" s="100"/>
      <c r="Z1681" s="100"/>
    </row>
    <row r="1682" spans="1:26">
      <c r="A1682" s="100"/>
      <c r="B1682" s="100"/>
      <c r="C1682" s="100"/>
      <c r="D1682" s="100"/>
      <c r="E1682" s="100"/>
      <c r="F1682" s="100"/>
      <c r="G1682" s="100"/>
      <c r="H1682" s="100"/>
      <c r="I1682" s="100"/>
      <c r="J1682" s="100"/>
      <c r="K1682" s="100"/>
      <c r="L1682" s="100"/>
      <c r="M1682" s="100"/>
      <c r="N1682" s="100"/>
      <c r="O1682" s="100"/>
      <c r="P1682" s="100"/>
      <c r="Q1682" s="100"/>
      <c r="R1682" s="100"/>
      <c r="S1682" s="100"/>
      <c r="T1682" s="100"/>
      <c r="U1682" s="100"/>
      <c r="V1682" s="100"/>
      <c r="W1682" s="100"/>
      <c r="X1682" s="100"/>
      <c r="Y1682" s="100"/>
      <c r="Z1682" s="100"/>
    </row>
    <row r="1683" spans="1:26">
      <c r="A1683" s="100"/>
      <c r="B1683" s="100"/>
      <c r="C1683" s="100"/>
      <c r="D1683" s="100"/>
      <c r="E1683" s="100"/>
      <c r="F1683" s="100"/>
      <c r="G1683" s="100"/>
      <c r="H1683" s="100"/>
      <c r="I1683" s="100"/>
      <c r="J1683" s="100"/>
      <c r="K1683" s="100"/>
      <c r="L1683" s="100"/>
      <c r="M1683" s="100"/>
      <c r="N1683" s="100"/>
      <c r="O1683" s="100"/>
      <c r="P1683" s="100"/>
      <c r="Q1683" s="100"/>
      <c r="R1683" s="100"/>
      <c r="S1683" s="100"/>
      <c r="T1683" s="100"/>
      <c r="U1683" s="100"/>
      <c r="V1683" s="100"/>
      <c r="W1683" s="100"/>
      <c r="X1683" s="100"/>
      <c r="Y1683" s="100"/>
      <c r="Z1683" s="100"/>
    </row>
    <row r="1684" spans="1:26">
      <c r="A1684" s="100"/>
      <c r="B1684" s="100"/>
      <c r="C1684" s="100"/>
      <c r="D1684" s="100"/>
      <c r="E1684" s="100"/>
      <c r="F1684" s="100"/>
      <c r="G1684" s="100"/>
      <c r="H1684" s="100"/>
      <c r="I1684" s="100"/>
      <c r="J1684" s="100"/>
      <c r="K1684" s="100"/>
      <c r="L1684" s="100"/>
      <c r="M1684" s="100"/>
      <c r="N1684" s="100"/>
      <c r="O1684" s="100"/>
      <c r="P1684" s="100"/>
      <c r="Q1684" s="100"/>
      <c r="R1684" s="100"/>
      <c r="S1684" s="100"/>
      <c r="T1684" s="100"/>
      <c r="U1684" s="100"/>
      <c r="V1684" s="100"/>
      <c r="W1684" s="100"/>
      <c r="X1684" s="100"/>
      <c r="Y1684" s="100"/>
      <c r="Z1684" s="100"/>
    </row>
    <row r="1685" spans="1:26">
      <c r="A1685" s="100"/>
      <c r="B1685" s="100"/>
      <c r="C1685" s="100"/>
      <c r="D1685" s="100"/>
      <c r="E1685" s="100"/>
      <c r="F1685" s="100"/>
      <c r="G1685" s="100"/>
      <c r="H1685" s="100"/>
      <c r="I1685" s="100"/>
      <c r="J1685" s="100"/>
      <c r="K1685" s="100"/>
      <c r="L1685" s="100"/>
      <c r="M1685" s="100"/>
      <c r="N1685" s="100"/>
      <c r="O1685" s="100"/>
      <c r="P1685" s="100"/>
      <c r="Q1685" s="100"/>
      <c r="R1685" s="100"/>
      <c r="S1685" s="100"/>
      <c r="T1685" s="100"/>
      <c r="U1685" s="100"/>
      <c r="V1685" s="100"/>
      <c r="W1685" s="100"/>
      <c r="X1685" s="100"/>
      <c r="Y1685" s="100"/>
      <c r="Z1685" s="100"/>
    </row>
    <row r="1686" spans="1:26">
      <c r="A1686" s="100"/>
      <c r="B1686" s="100"/>
      <c r="C1686" s="100"/>
      <c r="D1686" s="100"/>
      <c r="E1686" s="100"/>
      <c r="F1686" s="100"/>
      <c r="G1686" s="100"/>
      <c r="H1686" s="100"/>
      <c r="I1686" s="100"/>
      <c r="J1686" s="100"/>
      <c r="K1686" s="100"/>
      <c r="L1686" s="100"/>
      <c r="M1686" s="100"/>
      <c r="N1686" s="100"/>
      <c r="O1686" s="100"/>
      <c r="P1686" s="100"/>
      <c r="Q1686" s="100"/>
      <c r="R1686" s="100"/>
      <c r="S1686" s="100"/>
      <c r="T1686" s="100"/>
      <c r="U1686" s="100"/>
      <c r="V1686" s="100"/>
      <c r="W1686" s="100"/>
      <c r="X1686" s="100"/>
      <c r="Y1686" s="100"/>
      <c r="Z1686" s="100"/>
    </row>
    <row r="1687" spans="1:26">
      <c r="A1687" s="100"/>
      <c r="B1687" s="100"/>
      <c r="C1687" s="100"/>
      <c r="D1687" s="100"/>
      <c r="E1687" s="100"/>
      <c r="F1687" s="100"/>
      <c r="G1687" s="100"/>
      <c r="H1687" s="100"/>
      <c r="I1687" s="100"/>
      <c r="J1687" s="100"/>
      <c r="K1687" s="100"/>
      <c r="L1687" s="100"/>
      <c r="M1687" s="100"/>
      <c r="N1687" s="100"/>
      <c r="O1687" s="100"/>
      <c r="P1687" s="100"/>
      <c r="Q1687" s="100"/>
      <c r="R1687" s="100"/>
      <c r="S1687" s="100"/>
      <c r="T1687" s="100"/>
      <c r="U1687" s="100"/>
      <c r="V1687" s="100"/>
      <c r="W1687" s="100"/>
      <c r="X1687" s="100"/>
      <c r="Y1687" s="100"/>
      <c r="Z1687" s="100"/>
    </row>
    <row r="1688" spans="1:26">
      <c r="A1688" s="100"/>
      <c r="B1688" s="100"/>
      <c r="C1688" s="100"/>
      <c r="D1688" s="100"/>
      <c r="E1688" s="100"/>
      <c r="F1688" s="100"/>
      <c r="G1688" s="100"/>
      <c r="H1688" s="100"/>
      <c r="I1688" s="100"/>
      <c r="J1688" s="100"/>
      <c r="K1688" s="100"/>
      <c r="L1688" s="100"/>
      <c r="M1688" s="100"/>
      <c r="N1688" s="100"/>
      <c r="O1688" s="100"/>
      <c r="P1688" s="100"/>
      <c r="Q1688" s="100"/>
      <c r="R1688" s="100"/>
      <c r="S1688" s="100"/>
      <c r="T1688" s="100"/>
      <c r="U1688" s="100"/>
      <c r="V1688" s="100"/>
      <c r="W1688" s="100"/>
      <c r="X1688" s="100"/>
      <c r="Y1688" s="100"/>
      <c r="Z1688" s="100"/>
    </row>
    <row r="1689" spans="1:26">
      <c r="A1689" s="100"/>
      <c r="B1689" s="100"/>
      <c r="C1689" s="100"/>
      <c r="D1689" s="100"/>
      <c r="E1689" s="100"/>
      <c r="F1689" s="100"/>
      <c r="G1689" s="100"/>
      <c r="H1689" s="100"/>
      <c r="I1689" s="100"/>
      <c r="J1689" s="100"/>
      <c r="K1689" s="100"/>
      <c r="L1689" s="100"/>
      <c r="M1689" s="100"/>
      <c r="N1689" s="100"/>
      <c r="O1689" s="100"/>
      <c r="P1689" s="100"/>
      <c r="Q1689" s="100"/>
      <c r="R1689" s="100"/>
      <c r="S1689" s="100"/>
      <c r="T1689" s="100"/>
      <c r="U1689" s="100"/>
      <c r="V1689" s="100"/>
      <c r="W1689" s="100"/>
      <c r="X1689" s="100"/>
      <c r="Y1689" s="100"/>
      <c r="Z1689" s="100"/>
    </row>
    <row r="1690" spans="1:26">
      <c r="A1690" s="100"/>
      <c r="B1690" s="100"/>
      <c r="C1690" s="100"/>
      <c r="D1690" s="100"/>
      <c r="E1690" s="100"/>
      <c r="F1690" s="100"/>
      <c r="G1690" s="100"/>
      <c r="H1690" s="100"/>
      <c r="I1690" s="100"/>
      <c r="J1690" s="100"/>
      <c r="K1690" s="100"/>
      <c r="L1690" s="100"/>
      <c r="M1690" s="100"/>
      <c r="N1690" s="100"/>
      <c r="O1690" s="100"/>
      <c r="P1690" s="100"/>
      <c r="Q1690" s="100"/>
      <c r="R1690" s="100"/>
      <c r="S1690" s="100"/>
      <c r="T1690" s="100"/>
      <c r="U1690" s="100"/>
      <c r="V1690" s="100"/>
      <c r="W1690" s="100"/>
      <c r="X1690" s="100"/>
      <c r="Y1690" s="100"/>
      <c r="Z1690" s="100"/>
    </row>
    <row r="1691" spans="1:26">
      <c r="A1691" s="100"/>
      <c r="B1691" s="100"/>
      <c r="C1691" s="100"/>
      <c r="D1691" s="100"/>
      <c r="E1691" s="100"/>
      <c r="F1691" s="100"/>
      <c r="G1691" s="100"/>
      <c r="H1691" s="100"/>
      <c r="I1691" s="100"/>
      <c r="J1691" s="100"/>
      <c r="K1691" s="100"/>
      <c r="L1691" s="100"/>
      <c r="M1691" s="100"/>
      <c r="N1691" s="100"/>
      <c r="O1691" s="100"/>
      <c r="P1691" s="100"/>
      <c r="Q1691" s="100"/>
      <c r="R1691" s="100"/>
      <c r="S1691" s="100"/>
      <c r="T1691" s="100"/>
      <c r="U1691" s="100"/>
      <c r="V1691" s="100"/>
      <c r="W1691" s="100"/>
      <c r="X1691" s="100"/>
      <c r="Y1691" s="100"/>
      <c r="Z1691" s="100"/>
    </row>
    <row r="1692" spans="1:26">
      <c r="A1692" s="100"/>
      <c r="B1692" s="100"/>
      <c r="C1692" s="100"/>
      <c r="D1692" s="100"/>
      <c r="E1692" s="100"/>
      <c r="F1692" s="100"/>
      <c r="G1692" s="100"/>
      <c r="H1692" s="100"/>
      <c r="I1692" s="100"/>
      <c r="J1692" s="100"/>
      <c r="K1692" s="100"/>
      <c r="L1692" s="100"/>
      <c r="M1692" s="100"/>
      <c r="N1692" s="100"/>
      <c r="O1692" s="100"/>
      <c r="P1692" s="100"/>
      <c r="Q1692" s="100"/>
      <c r="R1692" s="100"/>
      <c r="S1692" s="100"/>
      <c r="T1692" s="100"/>
      <c r="U1692" s="100"/>
      <c r="V1692" s="100"/>
      <c r="W1692" s="100"/>
      <c r="X1692" s="100"/>
      <c r="Y1692" s="100"/>
      <c r="Z1692" s="100"/>
    </row>
    <row r="1693" spans="1:26">
      <c r="A1693" s="100"/>
      <c r="B1693" s="100"/>
      <c r="C1693" s="100"/>
      <c r="D1693" s="100"/>
      <c r="E1693" s="100"/>
      <c r="F1693" s="100"/>
      <c r="G1693" s="100"/>
      <c r="H1693" s="100"/>
      <c r="I1693" s="100"/>
      <c r="J1693" s="100"/>
      <c r="K1693" s="100"/>
      <c r="L1693" s="100"/>
      <c r="M1693" s="100"/>
      <c r="N1693" s="100"/>
      <c r="O1693" s="100"/>
      <c r="P1693" s="100"/>
      <c r="Q1693" s="100"/>
      <c r="R1693" s="100"/>
      <c r="S1693" s="100"/>
      <c r="T1693" s="100"/>
      <c r="U1693" s="100"/>
      <c r="V1693" s="100"/>
      <c r="W1693" s="100"/>
      <c r="X1693" s="100"/>
      <c r="Y1693" s="100"/>
      <c r="Z1693" s="100"/>
    </row>
    <row r="1694" spans="1:26">
      <c r="A1694" s="100"/>
      <c r="B1694" s="100"/>
      <c r="C1694" s="100"/>
      <c r="D1694" s="100"/>
      <c r="E1694" s="100"/>
      <c r="F1694" s="100"/>
      <c r="G1694" s="100"/>
      <c r="H1694" s="100"/>
      <c r="I1694" s="100"/>
      <c r="J1694" s="100"/>
      <c r="K1694" s="100"/>
      <c r="L1694" s="100"/>
      <c r="M1694" s="100"/>
      <c r="N1694" s="100"/>
      <c r="O1694" s="100"/>
      <c r="P1694" s="100"/>
      <c r="Q1694" s="100"/>
      <c r="R1694" s="100"/>
      <c r="S1694" s="100"/>
      <c r="T1694" s="100"/>
      <c r="U1694" s="100"/>
      <c r="V1694" s="100"/>
      <c r="W1694" s="100"/>
      <c r="X1694" s="100"/>
      <c r="Y1694" s="100"/>
      <c r="Z1694" s="100"/>
    </row>
    <row r="1695" spans="1:26">
      <c r="A1695" s="100"/>
      <c r="B1695" s="100"/>
      <c r="C1695" s="100"/>
      <c r="D1695" s="100"/>
      <c r="E1695" s="100"/>
      <c r="F1695" s="100"/>
      <c r="G1695" s="100"/>
      <c r="H1695" s="100"/>
      <c r="I1695" s="100"/>
      <c r="J1695" s="100"/>
      <c r="K1695" s="100"/>
      <c r="L1695" s="100"/>
      <c r="M1695" s="100"/>
      <c r="N1695" s="100"/>
      <c r="O1695" s="100"/>
      <c r="P1695" s="100"/>
      <c r="Q1695" s="100"/>
      <c r="R1695" s="100"/>
      <c r="S1695" s="100"/>
      <c r="T1695" s="100"/>
      <c r="U1695" s="100"/>
      <c r="V1695" s="100"/>
      <c r="W1695" s="100"/>
      <c r="X1695" s="100"/>
      <c r="Y1695" s="100"/>
      <c r="Z1695" s="100"/>
    </row>
    <row r="1696" spans="1:26">
      <c r="A1696" s="100"/>
      <c r="B1696" s="100"/>
      <c r="C1696" s="100"/>
      <c r="D1696" s="100"/>
      <c r="E1696" s="100"/>
      <c r="F1696" s="100"/>
      <c r="G1696" s="100"/>
      <c r="H1696" s="100"/>
      <c r="I1696" s="100"/>
      <c r="J1696" s="100"/>
      <c r="K1696" s="100"/>
      <c r="L1696" s="100"/>
      <c r="M1696" s="100"/>
      <c r="N1696" s="100"/>
      <c r="O1696" s="100"/>
      <c r="P1696" s="100"/>
      <c r="Q1696" s="100"/>
      <c r="R1696" s="100"/>
      <c r="S1696" s="100"/>
      <c r="T1696" s="100"/>
      <c r="U1696" s="100"/>
      <c r="V1696" s="100"/>
      <c r="W1696" s="100"/>
      <c r="X1696" s="100"/>
      <c r="Y1696" s="100"/>
      <c r="Z1696" s="100"/>
    </row>
    <row r="1697" spans="1:26">
      <c r="A1697" s="100"/>
      <c r="B1697" s="100"/>
      <c r="C1697" s="100"/>
      <c r="D1697" s="100"/>
      <c r="E1697" s="100"/>
      <c r="F1697" s="100"/>
      <c r="G1697" s="100"/>
      <c r="H1697" s="100"/>
      <c r="I1697" s="100"/>
      <c r="J1697" s="100"/>
      <c r="K1697" s="100"/>
      <c r="L1697" s="100"/>
      <c r="M1697" s="100"/>
      <c r="N1697" s="100"/>
      <c r="O1697" s="100"/>
      <c r="P1697" s="100"/>
      <c r="Q1697" s="100"/>
      <c r="R1697" s="100"/>
      <c r="S1697" s="100"/>
      <c r="T1697" s="100"/>
      <c r="U1697" s="100"/>
      <c r="V1697" s="100"/>
      <c r="W1697" s="100"/>
      <c r="X1697" s="100"/>
      <c r="Y1697" s="100"/>
      <c r="Z1697" s="100"/>
    </row>
    <row r="1698" spans="1:26">
      <c r="A1698" s="100"/>
      <c r="B1698" s="100"/>
      <c r="C1698" s="100"/>
      <c r="D1698" s="100"/>
      <c r="E1698" s="100"/>
      <c r="F1698" s="100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</row>
    <row r="1699" spans="1:26">
      <c r="A1699" s="100"/>
      <c r="B1699" s="100"/>
      <c r="C1699" s="100"/>
      <c r="D1699" s="100"/>
      <c r="E1699" s="100"/>
      <c r="F1699" s="100"/>
      <c r="G1699" s="100"/>
      <c r="H1699" s="100"/>
      <c r="I1699" s="100"/>
      <c r="J1699" s="100"/>
      <c r="K1699" s="100"/>
      <c r="L1699" s="100"/>
      <c r="M1699" s="100"/>
      <c r="N1699" s="100"/>
      <c r="O1699" s="100"/>
      <c r="P1699" s="100"/>
      <c r="Q1699" s="100"/>
      <c r="R1699" s="100"/>
      <c r="S1699" s="100"/>
      <c r="T1699" s="100"/>
      <c r="U1699" s="100"/>
      <c r="V1699" s="100"/>
      <c r="W1699" s="100"/>
      <c r="X1699" s="100"/>
      <c r="Y1699" s="100"/>
      <c r="Z1699" s="100"/>
    </row>
    <row r="1700" spans="1:26">
      <c r="A1700" s="100"/>
      <c r="B1700" s="100"/>
      <c r="C1700" s="100"/>
      <c r="D1700" s="100"/>
      <c r="E1700" s="100"/>
      <c r="F1700" s="100"/>
      <c r="G1700" s="100"/>
      <c r="H1700" s="100"/>
      <c r="I1700" s="100"/>
      <c r="J1700" s="100"/>
      <c r="K1700" s="100"/>
      <c r="L1700" s="100"/>
      <c r="M1700" s="100"/>
      <c r="N1700" s="100"/>
      <c r="O1700" s="100"/>
      <c r="P1700" s="100"/>
      <c r="Q1700" s="100"/>
      <c r="R1700" s="100"/>
      <c r="S1700" s="100"/>
      <c r="T1700" s="100"/>
      <c r="U1700" s="100"/>
      <c r="V1700" s="100"/>
      <c r="W1700" s="100"/>
      <c r="X1700" s="100"/>
      <c r="Y1700" s="100"/>
      <c r="Z1700" s="100"/>
    </row>
    <row r="1701" spans="1:26">
      <c r="A1701" s="100"/>
      <c r="B1701" s="100"/>
      <c r="C1701" s="100"/>
      <c r="D1701" s="100"/>
      <c r="E1701" s="100"/>
      <c r="F1701" s="100"/>
      <c r="G1701" s="100"/>
      <c r="H1701" s="100"/>
      <c r="I1701" s="100"/>
      <c r="J1701" s="100"/>
      <c r="K1701" s="100"/>
      <c r="L1701" s="100"/>
      <c r="M1701" s="100"/>
      <c r="N1701" s="100"/>
      <c r="O1701" s="100"/>
      <c r="P1701" s="100"/>
      <c r="Q1701" s="100"/>
      <c r="R1701" s="100"/>
      <c r="S1701" s="100"/>
      <c r="T1701" s="100"/>
      <c r="U1701" s="100"/>
      <c r="V1701" s="100"/>
      <c r="W1701" s="100"/>
      <c r="X1701" s="100"/>
      <c r="Y1701" s="100"/>
      <c r="Z1701" s="100"/>
    </row>
    <row r="1702" spans="1:26">
      <c r="A1702" s="100"/>
      <c r="B1702" s="100"/>
      <c r="C1702" s="100"/>
      <c r="D1702" s="100"/>
      <c r="E1702" s="100"/>
      <c r="F1702" s="100"/>
      <c r="G1702" s="100"/>
      <c r="H1702" s="100"/>
      <c r="I1702" s="100"/>
      <c r="J1702" s="100"/>
      <c r="K1702" s="100"/>
      <c r="L1702" s="100"/>
      <c r="M1702" s="100"/>
      <c r="N1702" s="100"/>
      <c r="O1702" s="100"/>
      <c r="P1702" s="100"/>
      <c r="Q1702" s="100"/>
      <c r="R1702" s="100"/>
      <c r="S1702" s="100"/>
      <c r="T1702" s="100"/>
      <c r="U1702" s="100"/>
      <c r="V1702" s="100"/>
      <c r="W1702" s="100"/>
      <c r="X1702" s="100"/>
      <c r="Y1702" s="100"/>
      <c r="Z1702" s="100"/>
    </row>
    <row r="1703" spans="1:26">
      <c r="A1703" s="100"/>
      <c r="B1703" s="100"/>
      <c r="C1703" s="100"/>
      <c r="D1703" s="100"/>
      <c r="E1703" s="100"/>
      <c r="F1703" s="100"/>
      <c r="G1703" s="100"/>
      <c r="H1703" s="100"/>
      <c r="I1703" s="100"/>
      <c r="J1703" s="100"/>
      <c r="K1703" s="100"/>
      <c r="L1703" s="100"/>
      <c r="M1703" s="100"/>
      <c r="N1703" s="100"/>
      <c r="O1703" s="100"/>
      <c r="P1703" s="100"/>
      <c r="Q1703" s="100"/>
      <c r="R1703" s="100"/>
      <c r="S1703" s="100"/>
      <c r="T1703" s="100"/>
      <c r="U1703" s="100"/>
      <c r="V1703" s="100"/>
      <c r="W1703" s="100"/>
      <c r="X1703" s="100"/>
      <c r="Y1703" s="100"/>
      <c r="Z1703" s="100"/>
    </row>
    <row r="1704" spans="1:26">
      <c r="A1704" s="100"/>
      <c r="B1704" s="100"/>
      <c r="C1704" s="100"/>
      <c r="D1704" s="100"/>
      <c r="E1704" s="100"/>
      <c r="F1704" s="100"/>
      <c r="G1704" s="100"/>
      <c r="H1704" s="100"/>
      <c r="I1704" s="100"/>
      <c r="J1704" s="100"/>
      <c r="K1704" s="100"/>
      <c r="L1704" s="100"/>
      <c r="M1704" s="100"/>
      <c r="N1704" s="100"/>
      <c r="O1704" s="100"/>
      <c r="P1704" s="100"/>
      <c r="Q1704" s="100"/>
      <c r="R1704" s="100"/>
      <c r="S1704" s="100"/>
      <c r="T1704" s="100"/>
      <c r="U1704" s="100"/>
      <c r="V1704" s="100"/>
      <c r="W1704" s="100"/>
      <c r="X1704" s="100"/>
      <c r="Y1704" s="100"/>
      <c r="Z1704" s="100"/>
    </row>
    <row r="1705" spans="1:26">
      <c r="A1705" s="100"/>
      <c r="B1705" s="100"/>
      <c r="C1705" s="100"/>
      <c r="D1705" s="100"/>
      <c r="E1705" s="100"/>
      <c r="F1705" s="100"/>
      <c r="G1705" s="100"/>
      <c r="H1705" s="100"/>
      <c r="I1705" s="100"/>
      <c r="J1705" s="100"/>
      <c r="K1705" s="100"/>
      <c r="L1705" s="100"/>
      <c r="M1705" s="100"/>
      <c r="N1705" s="100"/>
      <c r="O1705" s="100"/>
      <c r="P1705" s="100"/>
      <c r="Q1705" s="100"/>
      <c r="R1705" s="100"/>
      <c r="S1705" s="100"/>
      <c r="T1705" s="100"/>
      <c r="U1705" s="100"/>
      <c r="V1705" s="100"/>
      <c r="W1705" s="100"/>
      <c r="X1705" s="100"/>
      <c r="Y1705" s="100"/>
      <c r="Z1705" s="100"/>
    </row>
    <row r="1706" spans="1:26">
      <c r="A1706" s="100"/>
      <c r="B1706" s="100"/>
      <c r="C1706" s="100"/>
      <c r="D1706" s="100"/>
      <c r="E1706" s="100"/>
      <c r="F1706" s="100"/>
      <c r="G1706" s="100"/>
      <c r="H1706" s="100"/>
      <c r="I1706" s="100"/>
      <c r="J1706" s="100"/>
      <c r="K1706" s="100"/>
      <c r="L1706" s="100"/>
      <c r="M1706" s="100"/>
      <c r="N1706" s="100"/>
      <c r="O1706" s="100"/>
      <c r="P1706" s="100"/>
      <c r="Q1706" s="100"/>
      <c r="R1706" s="100"/>
      <c r="S1706" s="100"/>
      <c r="T1706" s="100"/>
      <c r="U1706" s="100"/>
      <c r="V1706" s="100"/>
      <c r="W1706" s="100"/>
      <c r="X1706" s="100"/>
      <c r="Y1706" s="100"/>
      <c r="Z1706" s="100"/>
    </row>
    <row r="1707" spans="1:26">
      <c r="A1707" s="100"/>
      <c r="B1707" s="100"/>
      <c r="C1707" s="100"/>
      <c r="D1707" s="100"/>
      <c r="E1707" s="100"/>
      <c r="F1707" s="100"/>
      <c r="G1707" s="100"/>
      <c r="H1707" s="100"/>
      <c r="I1707" s="100"/>
      <c r="J1707" s="100"/>
      <c r="K1707" s="100"/>
      <c r="L1707" s="100"/>
      <c r="M1707" s="100"/>
      <c r="N1707" s="100"/>
      <c r="O1707" s="100"/>
      <c r="P1707" s="100"/>
      <c r="Q1707" s="100"/>
      <c r="R1707" s="100"/>
      <c r="S1707" s="100"/>
      <c r="T1707" s="100"/>
      <c r="U1707" s="100"/>
      <c r="V1707" s="100"/>
      <c r="W1707" s="100"/>
      <c r="X1707" s="100"/>
      <c r="Y1707" s="100"/>
      <c r="Z1707" s="100"/>
    </row>
    <row r="1708" spans="1:26">
      <c r="A1708" s="100"/>
      <c r="B1708" s="100"/>
      <c r="C1708" s="100"/>
      <c r="D1708" s="100"/>
      <c r="E1708" s="100"/>
      <c r="F1708" s="100"/>
      <c r="G1708" s="100"/>
      <c r="H1708" s="100"/>
      <c r="I1708" s="100"/>
      <c r="J1708" s="100"/>
      <c r="K1708" s="100"/>
      <c r="L1708" s="100"/>
      <c r="M1708" s="100"/>
      <c r="N1708" s="100"/>
      <c r="O1708" s="100"/>
      <c r="P1708" s="100"/>
      <c r="Q1708" s="100"/>
      <c r="R1708" s="100"/>
      <c r="S1708" s="100"/>
      <c r="T1708" s="100"/>
      <c r="U1708" s="100"/>
      <c r="V1708" s="100"/>
      <c r="W1708" s="100"/>
      <c r="X1708" s="100"/>
      <c r="Y1708" s="100"/>
      <c r="Z1708" s="100"/>
    </row>
    <row r="1709" spans="1:26">
      <c r="A1709" s="100"/>
      <c r="B1709" s="100"/>
      <c r="C1709" s="100"/>
      <c r="D1709" s="100"/>
      <c r="E1709" s="100"/>
      <c r="F1709" s="100"/>
      <c r="G1709" s="100"/>
      <c r="H1709" s="100"/>
      <c r="I1709" s="100"/>
      <c r="J1709" s="100"/>
      <c r="K1709" s="100"/>
      <c r="L1709" s="100"/>
      <c r="M1709" s="100"/>
      <c r="N1709" s="100"/>
      <c r="O1709" s="100"/>
      <c r="P1709" s="100"/>
      <c r="Q1709" s="100"/>
      <c r="R1709" s="100"/>
      <c r="S1709" s="100"/>
      <c r="T1709" s="100"/>
      <c r="U1709" s="100"/>
      <c r="V1709" s="100"/>
      <c r="W1709" s="100"/>
      <c r="X1709" s="100"/>
      <c r="Y1709" s="100"/>
      <c r="Z1709" s="100"/>
    </row>
    <row r="1710" spans="1:26">
      <c r="A1710" s="100"/>
      <c r="B1710" s="100"/>
      <c r="C1710" s="100"/>
      <c r="D1710" s="100"/>
      <c r="E1710" s="100"/>
      <c r="F1710" s="100"/>
      <c r="G1710" s="100"/>
      <c r="H1710" s="100"/>
      <c r="I1710" s="100"/>
      <c r="J1710" s="100"/>
      <c r="K1710" s="100"/>
      <c r="L1710" s="100"/>
      <c r="M1710" s="100"/>
      <c r="N1710" s="100"/>
      <c r="O1710" s="100"/>
      <c r="P1710" s="100"/>
      <c r="Q1710" s="100"/>
      <c r="R1710" s="100"/>
      <c r="S1710" s="100"/>
      <c r="T1710" s="100"/>
      <c r="U1710" s="100"/>
      <c r="V1710" s="100"/>
      <c r="W1710" s="100"/>
      <c r="X1710" s="100"/>
      <c r="Y1710" s="100"/>
      <c r="Z1710" s="100"/>
    </row>
    <row r="1711" spans="1:26">
      <c r="A1711" s="100"/>
      <c r="B1711" s="100"/>
      <c r="C1711" s="100"/>
      <c r="D1711" s="100"/>
      <c r="E1711" s="100"/>
      <c r="F1711" s="100"/>
      <c r="G1711" s="100"/>
      <c r="H1711" s="100"/>
      <c r="I1711" s="100"/>
      <c r="J1711" s="100"/>
      <c r="K1711" s="100"/>
      <c r="L1711" s="100"/>
      <c r="M1711" s="100"/>
      <c r="N1711" s="100"/>
      <c r="O1711" s="100"/>
      <c r="P1711" s="100"/>
      <c r="Q1711" s="100"/>
      <c r="R1711" s="100"/>
      <c r="S1711" s="100"/>
      <c r="T1711" s="100"/>
      <c r="U1711" s="100"/>
      <c r="V1711" s="100"/>
      <c r="W1711" s="100"/>
      <c r="X1711" s="100"/>
      <c r="Y1711" s="100"/>
      <c r="Z1711" s="100"/>
    </row>
    <row r="1712" spans="1:26">
      <c r="A1712" s="100"/>
      <c r="B1712" s="100"/>
      <c r="C1712" s="100"/>
      <c r="D1712" s="100"/>
      <c r="E1712" s="100"/>
      <c r="F1712" s="100"/>
      <c r="G1712" s="100"/>
      <c r="H1712" s="100"/>
      <c r="I1712" s="100"/>
      <c r="J1712" s="100"/>
      <c r="K1712" s="100"/>
      <c r="L1712" s="100"/>
      <c r="M1712" s="100"/>
      <c r="N1712" s="100"/>
      <c r="O1712" s="100"/>
      <c r="P1712" s="100"/>
      <c r="Q1712" s="100"/>
      <c r="R1712" s="100"/>
      <c r="S1712" s="100"/>
      <c r="T1712" s="100"/>
      <c r="U1712" s="100"/>
      <c r="V1712" s="100"/>
      <c r="W1712" s="100"/>
      <c r="X1712" s="100"/>
      <c r="Y1712" s="100"/>
      <c r="Z1712" s="100"/>
    </row>
    <row r="1713" spans="1:26">
      <c r="A1713" s="100"/>
      <c r="B1713" s="100"/>
      <c r="C1713" s="100"/>
      <c r="D1713" s="100"/>
      <c r="E1713" s="100"/>
      <c r="F1713" s="100"/>
      <c r="G1713" s="100"/>
      <c r="H1713" s="100"/>
      <c r="I1713" s="100"/>
      <c r="J1713" s="100"/>
      <c r="K1713" s="100"/>
      <c r="L1713" s="100"/>
      <c r="M1713" s="100"/>
      <c r="N1713" s="100"/>
      <c r="O1713" s="100"/>
      <c r="P1713" s="100"/>
      <c r="Q1713" s="100"/>
      <c r="R1713" s="100"/>
      <c r="S1713" s="100"/>
      <c r="T1713" s="100"/>
      <c r="U1713" s="100"/>
      <c r="V1713" s="100"/>
      <c r="W1713" s="100"/>
      <c r="X1713" s="100"/>
      <c r="Y1713" s="100"/>
      <c r="Z1713" s="100"/>
    </row>
    <row r="1714" spans="1:26">
      <c r="A1714" s="100"/>
      <c r="B1714" s="100"/>
      <c r="C1714" s="100"/>
      <c r="D1714" s="100"/>
      <c r="E1714" s="100"/>
      <c r="F1714" s="100"/>
      <c r="G1714" s="100"/>
      <c r="H1714" s="100"/>
      <c r="I1714" s="100"/>
      <c r="J1714" s="100"/>
      <c r="K1714" s="100"/>
      <c r="L1714" s="100"/>
      <c r="M1714" s="100"/>
      <c r="N1714" s="100"/>
      <c r="O1714" s="100"/>
      <c r="P1714" s="100"/>
      <c r="Q1714" s="100"/>
      <c r="R1714" s="100"/>
      <c r="S1714" s="100"/>
      <c r="T1714" s="100"/>
      <c r="U1714" s="100"/>
      <c r="V1714" s="100"/>
      <c r="W1714" s="100"/>
      <c r="X1714" s="100"/>
      <c r="Y1714" s="100"/>
      <c r="Z1714" s="100"/>
    </row>
    <row r="1715" spans="1:26">
      <c r="A1715" s="100"/>
      <c r="B1715" s="100"/>
      <c r="C1715" s="100"/>
      <c r="D1715" s="100"/>
      <c r="E1715" s="100"/>
      <c r="F1715" s="100"/>
      <c r="G1715" s="100"/>
      <c r="H1715" s="100"/>
      <c r="I1715" s="100"/>
      <c r="J1715" s="100"/>
      <c r="K1715" s="100"/>
      <c r="L1715" s="100"/>
      <c r="M1715" s="100"/>
      <c r="N1715" s="100"/>
      <c r="O1715" s="100"/>
      <c r="P1715" s="100"/>
      <c r="Q1715" s="100"/>
      <c r="R1715" s="100"/>
      <c r="S1715" s="100"/>
      <c r="T1715" s="100"/>
      <c r="U1715" s="100"/>
      <c r="V1715" s="100"/>
      <c r="W1715" s="100"/>
      <c r="X1715" s="100"/>
      <c r="Y1715" s="100"/>
      <c r="Z1715" s="100"/>
    </row>
    <row r="1716" spans="1:26">
      <c r="A1716" s="100"/>
      <c r="B1716" s="100"/>
      <c r="C1716" s="100"/>
      <c r="D1716" s="100"/>
      <c r="E1716" s="100"/>
      <c r="F1716" s="100"/>
      <c r="G1716" s="100"/>
      <c r="H1716" s="100"/>
      <c r="I1716" s="100"/>
      <c r="J1716" s="100"/>
      <c r="K1716" s="100"/>
      <c r="L1716" s="100"/>
      <c r="M1716" s="100"/>
      <c r="N1716" s="100"/>
      <c r="O1716" s="100"/>
      <c r="P1716" s="100"/>
      <c r="Q1716" s="100"/>
      <c r="R1716" s="100"/>
      <c r="S1716" s="100"/>
      <c r="T1716" s="100"/>
      <c r="U1716" s="100"/>
      <c r="V1716" s="100"/>
      <c r="W1716" s="100"/>
      <c r="X1716" s="100"/>
      <c r="Y1716" s="100"/>
      <c r="Z1716" s="100"/>
    </row>
    <row r="1717" spans="1:26">
      <c r="A1717" s="100"/>
      <c r="B1717" s="100"/>
      <c r="C1717" s="100"/>
      <c r="D1717" s="100"/>
      <c r="E1717" s="100"/>
      <c r="F1717" s="100"/>
      <c r="G1717" s="100"/>
      <c r="H1717" s="100"/>
      <c r="I1717" s="100"/>
      <c r="J1717" s="100"/>
      <c r="K1717" s="100"/>
      <c r="L1717" s="100"/>
      <c r="M1717" s="100"/>
      <c r="N1717" s="100"/>
      <c r="O1717" s="100"/>
      <c r="P1717" s="100"/>
      <c r="Q1717" s="100"/>
      <c r="R1717" s="100"/>
      <c r="S1717" s="100"/>
      <c r="T1717" s="100"/>
      <c r="U1717" s="100"/>
      <c r="V1717" s="100"/>
      <c r="W1717" s="100"/>
      <c r="X1717" s="100"/>
      <c r="Y1717" s="100"/>
      <c r="Z1717" s="100"/>
    </row>
    <row r="1718" spans="1:26">
      <c r="A1718" s="100"/>
      <c r="B1718" s="100"/>
      <c r="C1718" s="100"/>
      <c r="D1718" s="100"/>
      <c r="E1718" s="100"/>
      <c r="F1718" s="100"/>
      <c r="G1718" s="100"/>
      <c r="H1718" s="100"/>
      <c r="I1718" s="100"/>
      <c r="J1718" s="100"/>
      <c r="K1718" s="100"/>
      <c r="L1718" s="100"/>
      <c r="M1718" s="100"/>
      <c r="N1718" s="100"/>
      <c r="O1718" s="100"/>
      <c r="P1718" s="100"/>
      <c r="Q1718" s="100"/>
      <c r="R1718" s="100"/>
      <c r="S1718" s="100"/>
      <c r="T1718" s="100"/>
      <c r="U1718" s="100"/>
      <c r="V1718" s="100"/>
      <c r="W1718" s="100"/>
      <c r="X1718" s="100"/>
      <c r="Y1718" s="100"/>
      <c r="Z1718" s="100"/>
    </row>
    <row r="1719" spans="1:26">
      <c r="A1719" s="100"/>
      <c r="B1719" s="100"/>
      <c r="C1719" s="100"/>
      <c r="D1719" s="100"/>
      <c r="E1719" s="100"/>
      <c r="F1719" s="100"/>
      <c r="G1719" s="100"/>
      <c r="H1719" s="100"/>
      <c r="I1719" s="100"/>
      <c r="J1719" s="100"/>
      <c r="K1719" s="100"/>
      <c r="L1719" s="100"/>
      <c r="M1719" s="100"/>
      <c r="N1719" s="100"/>
      <c r="O1719" s="100"/>
      <c r="P1719" s="100"/>
      <c r="Q1719" s="100"/>
      <c r="R1719" s="100"/>
      <c r="S1719" s="100"/>
      <c r="T1719" s="100"/>
      <c r="U1719" s="100"/>
      <c r="V1719" s="100"/>
      <c r="W1719" s="100"/>
      <c r="X1719" s="100"/>
      <c r="Y1719" s="100"/>
      <c r="Z1719" s="100"/>
    </row>
    <row r="1720" spans="1:26">
      <c r="A1720" s="100"/>
      <c r="B1720" s="100"/>
      <c r="C1720" s="100"/>
      <c r="D1720" s="100"/>
      <c r="E1720" s="100"/>
      <c r="F1720" s="100"/>
      <c r="G1720" s="100"/>
      <c r="H1720" s="100"/>
      <c r="I1720" s="100"/>
      <c r="J1720" s="100"/>
      <c r="K1720" s="100"/>
      <c r="L1720" s="100"/>
      <c r="M1720" s="100"/>
      <c r="N1720" s="100"/>
      <c r="O1720" s="100"/>
      <c r="P1720" s="100"/>
      <c r="Q1720" s="100"/>
      <c r="R1720" s="100"/>
      <c r="S1720" s="100"/>
      <c r="T1720" s="100"/>
      <c r="U1720" s="100"/>
      <c r="V1720" s="100"/>
      <c r="W1720" s="100"/>
      <c r="X1720" s="100"/>
      <c r="Y1720" s="100"/>
      <c r="Z1720" s="100"/>
    </row>
    <row r="1721" spans="1:26">
      <c r="A1721" s="100"/>
      <c r="B1721" s="100"/>
      <c r="C1721" s="100"/>
      <c r="D1721" s="100"/>
      <c r="E1721" s="100"/>
      <c r="F1721" s="100"/>
      <c r="G1721" s="100"/>
      <c r="H1721" s="100"/>
      <c r="I1721" s="100"/>
      <c r="J1721" s="100"/>
      <c r="K1721" s="100"/>
      <c r="L1721" s="100"/>
      <c r="M1721" s="100"/>
      <c r="N1721" s="100"/>
      <c r="O1721" s="100"/>
      <c r="P1721" s="100"/>
      <c r="Q1721" s="100"/>
      <c r="R1721" s="100"/>
      <c r="S1721" s="100"/>
      <c r="T1721" s="100"/>
      <c r="U1721" s="100"/>
      <c r="V1721" s="100"/>
      <c r="W1721" s="100"/>
      <c r="X1721" s="100"/>
      <c r="Y1721" s="100"/>
      <c r="Z1721" s="100"/>
    </row>
    <row r="1722" spans="1:26">
      <c r="A1722" s="100"/>
      <c r="B1722" s="100"/>
      <c r="C1722" s="100"/>
      <c r="D1722" s="100"/>
      <c r="E1722" s="100"/>
      <c r="F1722" s="100"/>
      <c r="G1722" s="100"/>
      <c r="H1722" s="100"/>
      <c r="I1722" s="100"/>
      <c r="J1722" s="100"/>
      <c r="K1722" s="100"/>
      <c r="L1722" s="100"/>
      <c r="M1722" s="100"/>
      <c r="N1722" s="100"/>
      <c r="O1722" s="100"/>
      <c r="P1722" s="100"/>
      <c r="Q1722" s="100"/>
      <c r="R1722" s="100"/>
      <c r="S1722" s="100"/>
      <c r="T1722" s="100"/>
      <c r="U1722" s="100"/>
      <c r="V1722" s="100"/>
      <c r="W1722" s="100"/>
      <c r="X1722" s="100"/>
      <c r="Y1722" s="100"/>
      <c r="Z1722" s="100"/>
    </row>
    <row r="1723" spans="1:26">
      <c r="A1723" s="100"/>
      <c r="B1723" s="100"/>
      <c r="C1723" s="100"/>
      <c r="D1723" s="100"/>
      <c r="E1723" s="100"/>
      <c r="F1723" s="100"/>
      <c r="G1723" s="100"/>
      <c r="H1723" s="100"/>
      <c r="I1723" s="100"/>
      <c r="J1723" s="100"/>
      <c r="K1723" s="100"/>
      <c r="L1723" s="100"/>
      <c r="M1723" s="100"/>
      <c r="N1723" s="100"/>
      <c r="O1723" s="100"/>
      <c r="P1723" s="100"/>
      <c r="Q1723" s="100"/>
      <c r="R1723" s="100"/>
      <c r="S1723" s="100"/>
      <c r="T1723" s="100"/>
      <c r="U1723" s="100"/>
      <c r="V1723" s="100"/>
      <c r="W1723" s="100"/>
      <c r="X1723" s="100"/>
      <c r="Y1723" s="100"/>
      <c r="Z1723" s="100"/>
    </row>
    <row r="1724" spans="1:26">
      <c r="A1724" s="100"/>
      <c r="B1724" s="100"/>
      <c r="C1724" s="100"/>
      <c r="D1724" s="100"/>
      <c r="E1724" s="100"/>
      <c r="F1724" s="100"/>
      <c r="G1724" s="100"/>
      <c r="H1724" s="100"/>
      <c r="I1724" s="100"/>
      <c r="J1724" s="100"/>
      <c r="K1724" s="100"/>
      <c r="L1724" s="100"/>
      <c r="M1724" s="100"/>
      <c r="N1724" s="100"/>
      <c r="O1724" s="100"/>
      <c r="P1724" s="100"/>
      <c r="Q1724" s="100"/>
      <c r="R1724" s="100"/>
      <c r="S1724" s="100"/>
      <c r="T1724" s="100"/>
      <c r="U1724" s="100"/>
      <c r="V1724" s="100"/>
      <c r="W1724" s="100"/>
      <c r="X1724" s="100"/>
      <c r="Y1724" s="100"/>
      <c r="Z1724" s="100"/>
    </row>
    <row r="1725" spans="1:26">
      <c r="A1725" s="100"/>
      <c r="B1725" s="100"/>
      <c r="C1725" s="100"/>
      <c r="D1725" s="100"/>
      <c r="E1725" s="100"/>
      <c r="F1725" s="100"/>
      <c r="G1725" s="100"/>
      <c r="H1725" s="100"/>
      <c r="I1725" s="100"/>
      <c r="J1725" s="100"/>
      <c r="K1725" s="100"/>
      <c r="L1725" s="100"/>
      <c r="M1725" s="100"/>
      <c r="N1725" s="100"/>
      <c r="O1725" s="100"/>
      <c r="P1725" s="100"/>
      <c r="Q1725" s="100"/>
      <c r="R1725" s="100"/>
      <c r="S1725" s="100"/>
      <c r="T1725" s="100"/>
      <c r="U1725" s="100"/>
      <c r="V1725" s="100"/>
      <c r="W1725" s="100"/>
      <c r="X1725" s="100"/>
      <c r="Y1725" s="100"/>
      <c r="Z1725" s="100"/>
    </row>
    <row r="1726" spans="1:26">
      <c r="A1726" s="100"/>
      <c r="B1726" s="100"/>
      <c r="C1726" s="100"/>
      <c r="D1726" s="100"/>
      <c r="E1726" s="100"/>
      <c r="F1726" s="100"/>
      <c r="G1726" s="100"/>
      <c r="H1726" s="100"/>
      <c r="I1726" s="100"/>
      <c r="J1726" s="100"/>
      <c r="K1726" s="100"/>
      <c r="L1726" s="100"/>
      <c r="M1726" s="100"/>
      <c r="N1726" s="100"/>
      <c r="O1726" s="100"/>
      <c r="P1726" s="100"/>
      <c r="Q1726" s="100"/>
      <c r="R1726" s="100"/>
      <c r="S1726" s="100"/>
      <c r="T1726" s="100"/>
      <c r="U1726" s="100"/>
      <c r="V1726" s="100"/>
      <c r="W1726" s="100"/>
      <c r="X1726" s="100"/>
      <c r="Y1726" s="100"/>
      <c r="Z1726" s="100"/>
    </row>
    <row r="1727" spans="1:26">
      <c r="A1727" s="100"/>
      <c r="B1727" s="100"/>
      <c r="C1727" s="100"/>
      <c r="D1727" s="100"/>
      <c r="E1727" s="100"/>
      <c r="F1727" s="100"/>
      <c r="G1727" s="100"/>
      <c r="H1727" s="100"/>
      <c r="I1727" s="100"/>
      <c r="J1727" s="100"/>
      <c r="K1727" s="100"/>
      <c r="L1727" s="100"/>
      <c r="M1727" s="100"/>
      <c r="N1727" s="100"/>
      <c r="O1727" s="100"/>
      <c r="P1727" s="100"/>
      <c r="Q1727" s="100"/>
      <c r="R1727" s="100"/>
      <c r="S1727" s="100"/>
      <c r="T1727" s="100"/>
      <c r="U1727" s="100"/>
      <c r="V1727" s="100"/>
      <c r="W1727" s="100"/>
      <c r="X1727" s="100"/>
      <c r="Y1727" s="100"/>
      <c r="Z1727" s="100"/>
    </row>
    <row r="1728" spans="1:26">
      <c r="A1728" s="100"/>
      <c r="B1728" s="100"/>
      <c r="C1728" s="100"/>
      <c r="D1728" s="100"/>
      <c r="E1728" s="100"/>
      <c r="F1728" s="100"/>
      <c r="G1728" s="100"/>
      <c r="H1728" s="100"/>
      <c r="I1728" s="100"/>
      <c r="J1728" s="100"/>
      <c r="K1728" s="100"/>
      <c r="L1728" s="100"/>
      <c r="M1728" s="100"/>
      <c r="N1728" s="100"/>
      <c r="O1728" s="100"/>
      <c r="P1728" s="100"/>
      <c r="Q1728" s="100"/>
      <c r="R1728" s="100"/>
      <c r="S1728" s="100"/>
      <c r="T1728" s="100"/>
      <c r="U1728" s="100"/>
      <c r="V1728" s="100"/>
      <c r="W1728" s="100"/>
      <c r="X1728" s="100"/>
      <c r="Y1728" s="100"/>
      <c r="Z1728" s="100"/>
    </row>
    <row r="1729" spans="1:26">
      <c r="A1729" s="100"/>
      <c r="B1729" s="100"/>
      <c r="C1729" s="100"/>
      <c r="D1729" s="100"/>
      <c r="E1729" s="100"/>
      <c r="F1729" s="100"/>
      <c r="G1729" s="100"/>
      <c r="H1729" s="100"/>
      <c r="I1729" s="100"/>
      <c r="J1729" s="100"/>
      <c r="K1729" s="100"/>
      <c r="L1729" s="100"/>
      <c r="M1729" s="100"/>
      <c r="N1729" s="100"/>
      <c r="O1729" s="100"/>
      <c r="P1729" s="100"/>
      <c r="Q1729" s="100"/>
      <c r="R1729" s="100"/>
      <c r="S1729" s="100"/>
      <c r="T1729" s="100"/>
      <c r="U1729" s="100"/>
      <c r="V1729" s="100"/>
      <c r="W1729" s="100"/>
      <c r="X1729" s="100"/>
      <c r="Y1729" s="100"/>
      <c r="Z1729" s="100"/>
    </row>
    <row r="1730" spans="1:26">
      <c r="A1730" s="100"/>
      <c r="B1730" s="100"/>
      <c r="C1730" s="100"/>
      <c r="D1730" s="100"/>
      <c r="E1730" s="100"/>
      <c r="F1730" s="100"/>
      <c r="G1730" s="100"/>
      <c r="H1730" s="100"/>
      <c r="I1730" s="100"/>
      <c r="J1730" s="100"/>
      <c r="K1730" s="100"/>
      <c r="L1730" s="100"/>
      <c r="M1730" s="100"/>
      <c r="N1730" s="100"/>
      <c r="O1730" s="100"/>
      <c r="P1730" s="100"/>
      <c r="Q1730" s="100"/>
      <c r="R1730" s="100"/>
      <c r="S1730" s="100"/>
      <c r="T1730" s="100"/>
      <c r="U1730" s="100"/>
      <c r="V1730" s="100"/>
      <c r="W1730" s="100"/>
      <c r="X1730" s="100"/>
      <c r="Y1730" s="100"/>
      <c r="Z1730" s="100"/>
    </row>
    <row r="1731" spans="1:26">
      <c r="A1731" s="100"/>
      <c r="B1731" s="100"/>
      <c r="C1731" s="100"/>
      <c r="D1731" s="100"/>
      <c r="E1731" s="100"/>
      <c r="F1731" s="100"/>
      <c r="G1731" s="100"/>
      <c r="H1731" s="100"/>
      <c r="I1731" s="100"/>
      <c r="J1731" s="100"/>
      <c r="K1731" s="100"/>
      <c r="L1731" s="100"/>
      <c r="M1731" s="100"/>
      <c r="N1731" s="100"/>
      <c r="O1731" s="100"/>
      <c r="P1731" s="100"/>
      <c r="Q1731" s="100"/>
      <c r="R1731" s="100"/>
      <c r="S1731" s="100"/>
      <c r="T1731" s="100"/>
      <c r="U1731" s="100"/>
      <c r="V1731" s="100"/>
      <c r="W1731" s="100"/>
      <c r="X1731" s="100"/>
      <c r="Y1731" s="100"/>
      <c r="Z1731" s="100"/>
    </row>
    <row r="1732" spans="1:26">
      <c r="A1732" s="100"/>
      <c r="B1732" s="100"/>
      <c r="C1732" s="100"/>
      <c r="D1732" s="100"/>
      <c r="E1732" s="100"/>
      <c r="F1732" s="100"/>
      <c r="G1732" s="100"/>
      <c r="H1732" s="100"/>
      <c r="I1732" s="100"/>
      <c r="J1732" s="100"/>
      <c r="K1732" s="100"/>
      <c r="L1732" s="100"/>
      <c r="M1732" s="100"/>
      <c r="N1732" s="100"/>
      <c r="O1732" s="100"/>
      <c r="P1732" s="100"/>
      <c r="Q1732" s="100"/>
      <c r="R1732" s="100"/>
      <c r="S1732" s="100"/>
      <c r="T1732" s="100"/>
      <c r="U1732" s="100"/>
      <c r="V1732" s="100"/>
      <c r="W1732" s="100"/>
      <c r="X1732" s="100"/>
      <c r="Y1732" s="100"/>
      <c r="Z1732" s="100"/>
    </row>
    <row r="1733" spans="1:26">
      <c r="A1733" s="100"/>
      <c r="B1733" s="100"/>
      <c r="C1733" s="100"/>
      <c r="D1733" s="100"/>
      <c r="E1733" s="100"/>
      <c r="F1733" s="100"/>
      <c r="G1733" s="100"/>
      <c r="H1733" s="100"/>
      <c r="I1733" s="100"/>
      <c r="J1733" s="100"/>
      <c r="K1733" s="100"/>
      <c r="L1733" s="100"/>
      <c r="M1733" s="100"/>
      <c r="N1733" s="100"/>
      <c r="O1733" s="100"/>
      <c r="P1733" s="100"/>
      <c r="Q1733" s="100"/>
      <c r="R1733" s="100"/>
      <c r="S1733" s="100"/>
      <c r="T1733" s="100"/>
      <c r="U1733" s="100"/>
      <c r="V1733" s="100"/>
      <c r="W1733" s="100"/>
      <c r="X1733" s="100"/>
      <c r="Y1733" s="100"/>
      <c r="Z1733" s="100"/>
    </row>
    <row r="1734" spans="1:26">
      <c r="A1734" s="100"/>
      <c r="B1734" s="100"/>
      <c r="C1734" s="100"/>
      <c r="D1734" s="100"/>
      <c r="E1734" s="100"/>
      <c r="F1734" s="100"/>
      <c r="G1734" s="100"/>
      <c r="H1734" s="100"/>
      <c r="I1734" s="100"/>
      <c r="J1734" s="100"/>
      <c r="K1734" s="100"/>
      <c r="L1734" s="100"/>
      <c r="M1734" s="100"/>
      <c r="N1734" s="100"/>
      <c r="O1734" s="100"/>
      <c r="P1734" s="100"/>
      <c r="Q1734" s="100"/>
      <c r="R1734" s="100"/>
      <c r="S1734" s="100"/>
      <c r="T1734" s="100"/>
      <c r="U1734" s="100"/>
      <c r="V1734" s="100"/>
      <c r="W1734" s="100"/>
      <c r="X1734" s="100"/>
      <c r="Y1734" s="100"/>
      <c r="Z1734" s="100"/>
    </row>
    <row r="1735" spans="1:26">
      <c r="A1735" s="100"/>
      <c r="B1735" s="100"/>
      <c r="C1735" s="100"/>
      <c r="D1735" s="100"/>
      <c r="E1735" s="100"/>
      <c r="F1735" s="100"/>
      <c r="G1735" s="100"/>
      <c r="H1735" s="100"/>
      <c r="I1735" s="100"/>
      <c r="J1735" s="100"/>
      <c r="K1735" s="100"/>
      <c r="L1735" s="100"/>
      <c r="M1735" s="100"/>
      <c r="N1735" s="100"/>
      <c r="O1735" s="100"/>
      <c r="P1735" s="100"/>
      <c r="Q1735" s="100"/>
      <c r="R1735" s="100"/>
      <c r="S1735" s="100"/>
      <c r="T1735" s="100"/>
      <c r="U1735" s="100"/>
      <c r="V1735" s="100"/>
      <c r="W1735" s="100"/>
      <c r="X1735" s="100"/>
      <c r="Y1735" s="100"/>
      <c r="Z1735" s="100"/>
    </row>
    <row r="1736" spans="1:26">
      <c r="A1736" s="100"/>
      <c r="B1736" s="100"/>
      <c r="C1736" s="100"/>
      <c r="D1736" s="100"/>
      <c r="E1736" s="100"/>
      <c r="F1736" s="100"/>
      <c r="G1736" s="100"/>
      <c r="H1736" s="100"/>
      <c r="I1736" s="100"/>
      <c r="J1736" s="100"/>
      <c r="K1736" s="100"/>
      <c r="L1736" s="100"/>
      <c r="M1736" s="100"/>
      <c r="N1736" s="100"/>
      <c r="O1736" s="100"/>
      <c r="P1736" s="100"/>
      <c r="Q1736" s="100"/>
      <c r="R1736" s="100"/>
      <c r="S1736" s="100"/>
      <c r="T1736" s="100"/>
      <c r="U1736" s="100"/>
      <c r="V1736" s="100"/>
      <c r="W1736" s="100"/>
      <c r="X1736" s="100"/>
      <c r="Y1736" s="100"/>
      <c r="Z1736" s="100"/>
    </row>
    <row r="1737" spans="1:26">
      <c r="A1737" s="100"/>
      <c r="B1737" s="100"/>
      <c r="C1737" s="100"/>
      <c r="D1737" s="100"/>
      <c r="E1737" s="100"/>
      <c r="F1737" s="100"/>
      <c r="G1737" s="100"/>
      <c r="H1737" s="100"/>
      <c r="I1737" s="100"/>
      <c r="J1737" s="100"/>
      <c r="K1737" s="100"/>
      <c r="L1737" s="100"/>
      <c r="M1737" s="100"/>
      <c r="N1737" s="100"/>
      <c r="O1737" s="100"/>
      <c r="P1737" s="100"/>
      <c r="Q1737" s="100"/>
      <c r="R1737" s="100"/>
      <c r="S1737" s="100"/>
      <c r="T1737" s="100"/>
      <c r="U1737" s="100"/>
      <c r="V1737" s="100"/>
      <c r="W1737" s="100"/>
      <c r="X1737" s="100"/>
      <c r="Y1737" s="100"/>
      <c r="Z1737" s="100"/>
    </row>
    <row r="1738" spans="1:26">
      <c r="A1738" s="100"/>
      <c r="B1738" s="100"/>
      <c r="C1738" s="100"/>
      <c r="D1738" s="100"/>
      <c r="E1738" s="100"/>
      <c r="F1738" s="100"/>
      <c r="G1738" s="100"/>
      <c r="H1738" s="100"/>
      <c r="I1738" s="100"/>
      <c r="J1738" s="100"/>
      <c r="K1738" s="100"/>
      <c r="L1738" s="100"/>
      <c r="M1738" s="100"/>
      <c r="N1738" s="100"/>
      <c r="O1738" s="100"/>
      <c r="P1738" s="100"/>
      <c r="Q1738" s="100"/>
      <c r="R1738" s="100"/>
      <c r="S1738" s="100"/>
      <c r="T1738" s="100"/>
      <c r="U1738" s="100"/>
      <c r="V1738" s="100"/>
      <c r="W1738" s="100"/>
      <c r="X1738" s="100"/>
      <c r="Y1738" s="100"/>
      <c r="Z1738" s="100"/>
    </row>
    <row r="1739" spans="1:26">
      <c r="A1739" s="100"/>
      <c r="B1739" s="100"/>
      <c r="C1739" s="100"/>
      <c r="D1739" s="100"/>
      <c r="E1739" s="100"/>
      <c r="F1739" s="100"/>
      <c r="G1739" s="100"/>
      <c r="H1739" s="100"/>
      <c r="I1739" s="100"/>
      <c r="J1739" s="100"/>
      <c r="K1739" s="100"/>
      <c r="L1739" s="100"/>
      <c r="M1739" s="100"/>
      <c r="N1739" s="100"/>
      <c r="O1739" s="100"/>
      <c r="P1739" s="100"/>
      <c r="Q1739" s="100"/>
      <c r="R1739" s="100"/>
      <c r="S1739" s="100"/>
      <c r="T1739" s="100"/>
      <c r="U1739" s="100"/>
      <c r="V1739" s="100"/>
      <c r="W1739" s="100"/>
      <c r="X1739" s="100"/>
      <c r="Y1739" s="100"/>
      <c r="Z1739" s="100"/>
    </row>
    <row r="1740" spans="1:26">
      <c r="A1740" s="100"/>
      <c r="B1740" s="100"/>
      <c r="C1740" s="100"/>
      <c r="D1740" s="100"/>
      <c r="E1740" s="100"/>
      <c r="F1740" s="100"/>
      <c r="G1740" s="100"/>
      <c r="H1740" s="100"/>
      <c r="I1740" s="100"/>
      <c r="J1740" s="100"/>
      <c r="K1740" s="100"/>
      <c r="L1740" s="100"/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</row>
    <row r="1741" spans="1:26">
      <c r="A1741" s="100"/>
      <c r="B1741" s="100"/>
      <c r="C1741" s="100"/>
      <c r="D1741" s="100"/>
      <c r="E1741" s="100"/>
      <c r="F1741" s="100"/>
      <c r="G1741" s="100"/>
      <c r="H1741" s="100"/>
      <c r="I1741" s="100"/>
      <c r="J1741" s="100"/>
      <c r="K1741" s="100"/>
      <c r="L1741" s="100"/>
      <c r="M1741" s="100"/>
      <c r="N1741" s="100"/>
      <c r="O1741" s="100"/>
      <c r="P1741" s="100"/>
      <c r="Q1741" s="100"/>
      <c r="R1741" s="100"/>
      <c r="S1741" s="100"/>
      <c r="T1741" s="100"/>
      <c r="U1741" s="100"/>
      <c r="V1741" s="100"/>
      <c r="W1741" s="100"/>
      <c r="X1741" s="100"/>
      <c r="Y1741" s="100"/>
      <c r="Z1741" s="100"/>
    </row>
    <row r="1742" spans="1:26">
      <c r="A1742" s="100"/>
      <c r="B1742" s="100"/>
      <c r="C1742" s="100"/>
      <c r="D1742" s="100"/>
      <c r="E1742" s="100"/>
      <c r="F1742" s="100"/>
      <c r="G1742" s="100"/>
      <c r="H1742" s="100"/>
      <c r="I1742" s="100"/>
      <c r="J1742" s="100"/>
      <c r="K1742" s="100"/>
      <c r="L1742" s="100"/>
      <c r="M1742" s="100"/>
      <c r="N1742" s="100"/>
      <c r="O1742" s="100"/>
      <c r="P1742" s="100"/>
      <c r="Q1742" s="100"/>
      <c r="R1742" s="100"/>
      <c r="S1742" s="100"/>
      <c r="T1742" s="100"/>
      <c r="U1742" s="100"/>
      <c r="V1742" s="100"/>
      <c r="W1742" s="100"/>
      <c r="X1742" s="100"/>
      <c r="Y1742" s="100"/>
      <c r="Z1742" s="100"/>
    </row>
    <row r="1743" spans="1:26">
      <c r="A1743" s="100"/>
      <c r="B1743" s="100"/>
      <c r="C1743" s="100"/>
      <c r="D1743" s="100"/>
      <c r="E1743" s="100"/>
      <c r="F1743" s="100"/>
      <c r="G1743" s="100"/>
      <c r="H1743" s="100"/>
      <c r="I1743" s="100"/>
      <c r="J1743" s="100"/>
      <c r="K1743" s="100"/>
      <c r="L1743" s="100"/>
      <c r="M1743" s="100"/>
      <c r="N1743" s="100"/>
      <c r="O1743" s="100"/>
      <c r="P1743" s="100"/>
      <c r="Q1743" s="100"/>
      <c r="R1743" s="100"/>
      <c r="S1743" s="100"/>
      <c r="T1743" s="100"/>
      <c r="U1743" s="100"/>
      <c r="V1743" s="100"/>
      <c r="W1743" s="100"/>
      <c r="X1743" s="100"/>
      <c r="Y1743" s="100"/>
      <c r="Z1743" s="100"/>
    </row>
    <row r="1744" spans="1:26">
      <c r="A1744" s="100"/>
      <c r="B1744" s="100"/>
      <c r="C1744" s="100"/>
      <c r="D1744" s="100"/>
      <c r="E1744" s="100"/>
      <c r="F1744" s="100"/>
      <c r="G1744" s="100"/>
      <c r="H1744" s="100"/>
      <c r="I1744" s="100"/>
      <c r="J1744" s="100"/>
      <c r="K1744" s="100"/>
      <c r="L1744" s="100"/>
      <c r="M1744" s="100"/>
      <c r="N1744" s="100"/>
      <c r="O1744" s="100"/>
      <c r="P1744" s="100"/>
      <c r="Q1744" s="100"/>
      <c r="R1744" s="100"/>
      <c r="S1744" s="100"/>
      <c r="T1744" s="100"/>
      <c r="U1744" s="100"/>
      <c r="V1744" s="100"/>
      <c r="W1744" s="100"/>
      <c r="X1744" s="100"/>
      <c r="Y1744" s="100"/>
      <c r="Z1744" s="100"/>
    </row>
    <row r="1745" spans="1:26">
      <c r="A1745" s="100"/>
      <c r="B1745" s="100"/>
      <c r="C1745" s="100"/>
      <c r="D1745" s="100"/>
      <c r="E1745" s="100"/>
      <c r="F1745" s="100"/>
      <c r="G1745" s="100"/>
      <c r="H1745" s="100"/>
      <c r="I1745" s="100"/>
      <c r="J1745" s="100"/>
      <c r="K1745" s="100"/>
      <c r="L1745" s="100"/>
      <c r="M1745" s="100"/>
      <c r="N1745" s="100"/>
      <c r="O1745" s="100"/>
      <c r="P1745" s="100"/>
      <c r="Q1745" s="100"/>
      <c r="R1745" s="100"/>
      <c r="S1745" s="100"/>
      <c r="T1745" s="100"/>
      <c r="U1745" s="100"/>
      <c r="V1745" s="100"/>
      <c r="W1745" s="100"/>
      <c r="X1745" s="100"/>
      <c r="Y1745" s="100"/>
      <c r="Z1745" s="100"/>
    </row>
    <row r="1746" spans="1:26">
      <c r="A1746" s="100"/>
      <c r="B1746" s="100"/>
      <c r="C1746" s="100"/>
      <c r="D1746" s="100"/>
      <c r="E1746" s="100"/>
      <c r="F1746" s="100"/>
      <c r="G1746" s="100"/>
      <c r="H1746" s="100"/>
      <c r="I1746" s="100"/>
      <c r="J1746" s="100"/>
      <c r="K1746" s="100"/>
      <c r="L1746" s="100"/>
      <c r="M1746" s="100"/>
      <c r="N1746" s="100"/>
      <c r="O1746" s="100"/>
      <c r="P1746" s="100"/>
      <c r="Q1746" s="100"/>
      <c r="R1746" s="100"/>
      <c r="S1746" s="100"/>
      <c r="T1746" s="100"/>
      <c r="U1746" s="100"/>
      <c r="V1746" s="100"/>
      <c r="W1746" s="100"/>
      <c r="X1746" s="100"/>
      <c r="Y1746" s="100"/>
      <c r="Z1746" s="100"/>
    </row>
    <row r="1747" spans="1:26">
      <c r="A1747" s="100"/>
      <c r="B1747" s="100"/>
      <c r="C1747" s="100"/>
      <c r="D1747" s="100"/>
      <c r="E1747" s="100"/>
      <c r="F1747" s="100"/>
      <c r="G1747" s="100"/>
      <c r="H1747" s="100"/>
      <c r="I1747" s="100"/>
      <c r="J1747" s="100"/>
      <c r="K1747" s="100"/>
      <c r="L1747" s="100"/>
      <c r="M1747" s="100"/>
      <c r="N1747" s="100"/>
      <c r="O1747" s="100"/>
      <c r="P1747" s="100"/>
      <c r="Q1747" s="100"/>
      <c r="R1747" s="100"/>
      <c r="S1747" s="100"/>
      <c r="T1747" s="100"/>
      <c r="U1747" s="100"/>
      <c r="V1747" s="100"/>
      <c r="W1747" s="100"/>
      <c r="X1747" s="100"/>
      <c r="Y1747" s="100"/>
      <c r="Z1747" s="100"/>
    </row>
    <row r="1748" spans="1:26">
      <c r="A1748" s="100"/>
      <c r="B1748" s="100"/>
      <c r="C1748" s="100"/>
      <c r="D1748" s="100"/>
      <c r="E1748" s="100"/>
      <c r="F1748" s="100"/>
      <c r="G1748" s="100"/>
      <c r="H1748" s="100"/>
      <c r="I1748" s="100"/>
      <c r="J1748" s="100"/>
      <c r="K1748" s="100"/>
      <c r="L1748" s="100"/>
      <c r="M1748" s="100"/>
      <c r="N1748" s="100"/>
      <c r="O1748" s="100"/>
      <c r="P1748" s="100"/>
      <c r="Q1748" s="100"/>
      <c r="R1748" s="100"/>
      <c r="S1748" s="100"/>
      <c r="T1748" s="100"/>
      <c r="U1748" s="100"/>
      <c r="V1748" s="100"/>
      <c r="W1748" s="100"/>
      <c r="X1748" s="100"/>
      <c r="Y1748" s="100"/>
      <c r="Z1748" s="100"/>
    </row>
    <row r="1749" spans="1:26">
      <c r="A1749" s="100"/>
      <c r="B1749" s="100"/>
      <c r="C1749" s="100"/>
      <c r="D1749" s="100"/>
      <c r="E1749" s="100"/>
      <c r="F1749" s="100"/>
      <c r="G1749" s="100"/>
      <c r="H1749" s="100"/>
      <c r="I1749" s="100"/>
      <c r="J1749" s="100"/>
      <c r="K1749" s="100"/>
      <c r="L1749" s="100"/>
      <c r="M1749" s="100"/>
      <c r="N1749" s="100"/>
      <c r="O1749" s="100"/>
      <c r="P1749" s="100"/>
      <c r="Q1749" s="100"/>
      <c r="R1749" s="100"/>
      <c r="S1749" s="100"/>
      <c r="T1749" s="100"/>
      <c r="U1749" s="100"/>
      <c r="V1749" s="100"/>
      <c r="W1749" s="100"/>
      <c r="X1749" s="100"/>
      <c r="Y1749" s="100"/>
      <c r="Z1749" s="100"/>
    </row>
    <row r="1750" spans="1:26">
      <c r="A1750" s="100"/>
      <c r="B1750" s="100"/>
      <c r="C1750" s="100"/>
      <c r="D1750" s="100"/>
      <c r="E1750" s="100"/>
      <c r="F1750" s="100"/>
      <c r="G1750" s="100"/>
      <c r="H1750" s="100"/>
      <c r="I1750" s="100"/>
      <c r="J1750" s="100"/>
      <c r="K1750" s="100"/>
      <c r="L1750" s="100"/>
      <c r="M1750" s="100"/>
      <c r="N1750" s="100"/>
      <c r="O1750" s="100"/>
      <c r="P1750" s="100"/>
      <c r="Q1750" s="100"/>
      <c r="R1750" s="100"/>
      <c r="S1750" s="100"/>
      <c r="T1750" s="100"/>
      <c r="U1750" s="100"/>
      <c r="V1750" s="100"/>
      <c r="W1750" s="100"/>
      <c r="X1750" s="100"/>
      <c r="Y1750" s="100"/>
      <c r="Z1750" s="100"/>
    </row>
    <row r="1751" spans="1:26">
      <c r="A1751" s="100"/>
      <c r="B1751" s="100"/>
      <c r="C1751" s="100"/>
      <c r="D1751" s="100"/>
      <c r="E1751" s="100"/>
      <c r="F1751" s="100"/>
      <c r="G1751" s="100"/>
      <c r="H1751" s="100"/>
      <c r="I1751" s="100"/>
      <c r="J1751" s="100"/>
      <c r="K1751" s="100"/>
      <c r="L1751" s="100"/>
      <c r="M1751" s="100"/>
      <c r="N1751" s="100"/>
      <c r="O1751" s="100"/>
      <c r="P1751" s="100"/>
      <c r="Q1751" s="100"/>
      <c r="R1751" s="100"/>
      <c r="S1751" s="100"/>
      <c r="T1751" s="100"/>
      <c r="U1751" s="100"/>
      <c r="V1751" s="100"/>
      <c r="W1751" s="100"/>
      <c r="X1751" s="100"/>
      <c r="Y1751" s="100"/>
      <c r="Z1751" s="100"/>
    </row>
    <row r="1752" spans="1:26">
      <c r="A1752" s="100"/>
      <c r="B1752" s="100"/>
      <c r="C1752" s="100"/>
      <c r="D1752" s="100"/>
      <c r="E1752" s="100"/>
      <c r="F1752" s="100"/>
      <c r="G1752" s="100"/>
      <c r="H1752" s="100"/>
      <c r="I1752" s="100"/>
      <c r="J1752" s="100"/>
      <c r="K1752" s="100"/>
      <c r="L1752" s="100"/>
      <c r="M1752" s="100"/>
      <c r="N1752" s="100"/>
      <c r="O1752" s="100"/>
      <c r="P1752" s="100"/>
      <c r="Q1752" s="100"/>
      <c r="R1752" s="100"/>
      <c r="S1752" s="100"/>
      <c r="T1752" s="100"/>
      <c r="U1752" s="100"/>
      <c r="V1752" s="100"/>
      <c r="W1752" s="100"/>
      <c r="X1752" s="100"/>
      <c r="Y1752" s="100"/>
      <c r="Z1752" s="100"/>
    </row>
    <row r="1753" spans="1:26">
      <c r="A1753" s="100"/>
      <c r="B1753" s="100"/>
      <c r="C1753" s="100"/>
      <c r="D1753" s="100"/>
      <c r="E1753" s="100"/>
      <c r="F1753" s="100"/>
      <c r="G1753" s="100"/>
      <c r="H1753" s="100"/>
      <c r="I1753" s="100"/>
      <c r="J1753" s="100"/>
      <c r="K1753" s="100"/>
      <c r="L1753" s="100"/>
      <c r="M1753" s="100"/>
      <c r="N1753" s="100"/>
      <c r="O1753" s="100"/>
      <c r="P1753" s="100"/>
      <c r="Q1753" s="100"/>
      <c r="R1753" s="100"/>
      <c r="S1753" s="100"/>
      <c r="T1753" s="100"/>
      <c r="U1753" s="100"/>
      <c r="V1753" s="100"/>
      <c r="W1753" s="100"/>
      <c r="X1753" s="100"/>
      <c r="Y1753" s="100"/>
      <c r="Z1753" s="100"/>
    </row>
    <row r="1754" spans="1:26">
      <c r="A1754" s="100"/>
      <c r="B1754" s="100"/>
      <c r="C1754" s="100"/>
      <c r="D1754" s="100"/>
      <c r="E1754" s="100"/>
      <c r="F1754" s="100"/>
      <c r="G1754" s="100"/>
      <c r="H1754" s="100"/>
      <c r="I1754" s="100"/>
      <c r="J1754" s="100"/>
      <c r="K1754" s="100"/>
      <c r="L1754" s="100"/>
      <c r="M1754" s="100"/>
      <c r="N1754" s="100"/>
      <c r="O1754" s="100"/>
      <c r="P1754" s="100"/>
      <c r="Q1754" s="100"/>
      <c r="R1754" s="100"/>
      <c r="S1754" s="100"/>
      <c r="T1754" s="100"/>
      <c r="U1754" s="100"/>
      <c r="V1754" s="100"/>
      <c r="W1754" s="100"/>
      <c r="X1754" s="100"/>
      <c r="Y1754" s="100"/>
      <c r="Z1754" s="100"/>
    </row>
    <row r="1755" spans="1:26">
      <c r="A1755" s="100"/>
      <c r="B1755" s="100"/>
      <c r="C1755" s="100"/>
      <c r="D1755" s="100"/>
      <c r="E1755" s="100"/>
      <c r="F1755" s="100"/>
      <c r="G1755" s="100"/>
      <c r="H1755" s="100"/>
      <c r="I1755" s="100"/>
      <c r="J1755" s="100"/>
      <c r="K1755" s="100"/>
      <c r="L1755" s="100"/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</row>
    <row r="1756" spans="1:26">
      <c r="A1756" s="100"/>
      <c r="B1756" s="100"/>
      <c r="C1756" s="100"/>
      <c r="D1756" s="100"/>
      <c r="E1756" s="100"/>
      <c r="F1756" s="100"/>
      <c r="G1756" s="100"/>
      <c r="H1756" s="100"/>
      <c r="I1756" s="100"/>
      <c r="J1756" s="100"/>
      <c r="K1756" s="100"/>
      <c r="L1756" s="100"/>
      <c r="M1756" s="100"/>
      <c r="N1756" s="100"/>
      <c r="O1756" s="100"/>
      <c r="P1756" s="100"/>
      <c r="Q1756" s="100"/>
      <c r="R1756" s="100"/>
      <c r="S1756" s="100"/>
      <c r="T1756" s="100"/>
      <c r="U1756" s="100"/>
      <c r="V1756" s="100"/>
      <c r="W1756" s="100"/>
      <c r="X1756" s="100"/>
      <c r="Y1756" s="100"/>
      <c r="Z1756" s="100"/>
    </row>
    <row r="1757" spans="1:26">
      <c r="A1757" s="100"/>
      <c r="B1757" s="100"/>
      <c r="C1757" s="100"/>
      <c r="D1757" s="100"/>
      <c r="E1757" s="100"/>
      <c r="F1757" s="100"/>
      <c r="G1757" s="100"/>
      <c r="H1757" s="100"/>
      <c r="I1757" s="100"/>
      <c r="J1757" s="100"/>
      <c r="K1757" s="100"/>
      <c r="L1757" s="100"/>
      <c r="M1757" s="100"/>
      <c r="N1757" s="100"/>
      <c r="O1757" s="100"/>
      <c r="P1757" s="100"/>
      <c r="Q1757" s="100"/>
      <c r="R1757" s="100"/>
      <c r="S1757" s="100"/>
      <c r="T1757" s="100"/>
      <c r="U1757" s="100"/>
      <c r="V1757" s="100"/>
      <c r="W1757" s="100"/>
      <c r="X1757" s="100"/>
      <c r="Y1757" s="100"/>
      <c r="Z1757" s="100"/>
    </row>
    <row r="1758" spans="1:26">
      <c r="A1758" s="100"/>
      <c r="B1758" s="100"/>
      <c r="C1758" s="100"/>
      <c r="D1758" s="100"/>
      <c r="E1758" s="100"/>
      <c r="F1758" s="100"/>
      <c r="G1758" s="100"/>
      <c r="H1758" s="100"/>
      <c r="I1758" s="100"/>
      <c r="J1758" s="100"/>
      <c r="K1758" s="100"/>
      <c r="L1758" s="100"/>
      <c r="M1758" s="100"/>
      <c r="N1758" s="100"/>
      <c r="O1758" s="100"/>
      <c r="P1758" s="100"/>
      <c r="Q1758" s="100"/>
      <c r="R1758" s="100"/>
      <c r="S1758" s="100"/>
      <c r="T1758" s="100"/>
      <c r="U1758" s="100"/>
      <c r="V1758" s="100"/>
      <c r="W1758" s="100"/>
      <c r="X1758" s="100"/>
      <c r="Y1758" s="100"/>
      <c r="Z1758" s="100"/>
    </row>
    <row r="1759" spans="1:26">
      <c r="A1759" s="100"/>
      <c r="B1759" s="100"/>
      <c r="C1759" s="100"/>
      <c r="D1759" s="100"/>
      <c r="E1759" s="100"/>
      <c r="F1759" s="100"/>
      <c r="G1759" s="100"/>
      <c r="H1759" s="100"/>
      <c r="I1759" s="100"/>
      <c r="J1759" s="100"/>
      <c r="K1759" s="100"/>
      <c r="L1759" s="100"/>
      <c r="M1759" s="100"/>
      <c r="N1759" s="100"/>
      <c r="O1759" s="100"/>
      <c r="P1759" s="100"/>
      <c r="Q1759" s="100"/>
      <c r="R1759" s="100"/>
      <c r="S1759" s="100"/>
      <c r="T1759" s="100"/>
      <c r="U1759" s="100"/>
      <c r="V1759" s="100"/>
      <c r="W1759" s="100"/>
      <c r="X1759" s="100"/>
      <c r="Y1759" s="100"/>
      <c r="Z1759" s="100"/>
    </row>
    <row r="1760" spans="1:26">
      <c r="A1760" s="100"/>
      <c r="B1760" s="100"/>
      <c r="C1760" s="100"/>
      <c r="D1760" s="100"/>
      <c r="E1760" s="100"/>
      <c r="F1760" s="100"/>
      <c r="G1760" s="100"/>
      <c r="H1760" s="100"/>
      <c r="I1760" s="100"/>
      <c r="J1760" s="100"/>
      <c r="K1760" s="100"/>
      <c r="L1760" s="100"/>
      <c r="M1760" s="100"/>
      <c r="N1760" s="100"/>
      <c r="O1760" s="100"/>
      <c r="P1760" s="100"/>
      <c r="Q1760" s="100"/>
      <c r="R1760" s="100"/>
      <c r="S1760" s="100"/>
      <c r="T1760" s="100"/>
      <c r="U1760" s="100"/>
      <c r="V1760" s="100"/>
      <c r="W1760" s="100"/>
      <c r="X1760" s="100"/>
      <c r="Y1760" s="100"/>
      <c r="Z1760" s="100"/>
    </row>
    <row r="1761" spans="1:26">
      <c r="A1761" s="100"/>
      <c r="B1761" s="100"/>
      <c r="C1761" s="100"/>
      <c r="D1761" s="100"/>
      <c r="E1761" s="100"/>
      <c r="F1761" s="100"/>
      <c r="G1761" s="100"/>
      <c r="H1761" s="100"/>
      <c r="I1761" s="100"/>
      <c r="J1761" s="100"/>
      <c r="K1761" s="100"/>
      <c r="L1761" s="100"/>
      <c r="M1761" s="100"/>
      <c r="N1761" s="100"/>
      <c r="O1761" s="100"/>
      <c r="P1761" s="100"/>
      <c r="Q1761" s="100"/>
      <c r="R1761" s="100"/>
      <c r="S1761" s="100"/>
      <c r="T1761" s="100"/>
      <c r="U1761" s="100"/>
      <c r="V1761" s="100"/>
      <c r="W1761" s="100"/>
      <c r="X1761" s="100"/>
      <c r="Y1761" s="100"/>
      <c r="Z1761" s="100"/>
    </row>
    <row r="1762" spans="1:26">
      <c r="A1762" s="100"/>
      <c r="B1762" s="100"/>
      <c r="C1762" s="100"/>
      <c r="D1762" s="100"/>
      <c r="E1762" s="100"/>
      <c r="F1762" s="100"/>
      <c r="G1762" s="100"/>
      <c r="H1762" s="100"/>
      <c r="I1762" s="100"/>
      <c r="J1762" s="100"/>
      <c r="K1762" s="100"/>
      <c r="L1762" s="100"/>
      <c r="M1762" s="100"/>
      <c r="N1762" s="100"/>
      <c r="O1762" s="100"/>
      <c r="P1762" s="100"/>
      <c r="Q1762" s="100"/>
      <c r="R1762" s="100"/>
      <c r="S1762" s="100"/>
      <c r="T1762" s="100"/>
      <c r="U1762" s="100"/>
      <c r="V1762" s="100"/>
      <c r="W1762" s="100"/>
      <c r="X1762" s="100"/>
      <c r="Y1762" s="100"/>
      <c r="Z1762" s="100"/>
    </row>
    <row r="1763" spans="1:26">
      <c r="A1763" s="100"/>
      <c r="B1763" s="100"/>
      <c r="C1763" s="100"/>
      <c r="D1763" s="100"/>
      <c r="E1763" s="100"/>
      <c r="F1763" s="100"/>
      <c r="G1763" s="100"/>
      <c r="H1763" s="100"/>
      <c r="I1763" s="100"/>
      <c r="J1763" s="100"/>
      <c r="K1763" s="100"/>
      <c r="L1763" s="100"/>
      <c r="M1763" s="100"/>
      <c r="N1763" s="100"/>
      <c r="O1763" s="100"/>
      <c r="P1763" s="100"/>
      <c r="Q1763" s="100"/>
      <c r="R1763" s="100"/>
      <c r="S1763" s="100"/>
      <c r="T1763" s="100"/>
      <c r="U1763" s="100"/>
      <c r="V1763" s="100"/>
      <c r="W1763" s="100"/>
      <c r="X1763" s="100"/>
      <c r="Y1763" s="100"/>
      <c r="Z1763" s="100"/>
    </row>
    <row r="1764" spans="1:26">
      <c r="A1764" s="100"/>
      <c r="B1764" s="100"/>
      <c r="C1764" s="100"/>
      <c r="D1764" s="100"/>
      <c r="E1764" s="100"/>
      <c r="F1764" s="100"/>
      <c r="G1764" s="100"/>
      <c r="H1764" s="100"/>
      <c r="I1764" s="100"/>
      <c r="J1764" s="100"/>
      <c r="K1764" s="100"/>
      <c r="L1764" s="100"/>
      <c r="M1764" s="100"/>
      <c r="N1764" s="100"/>
      <c r="O1764" s="100"/>
      <c r="P1764" s="100"/>
      <c r="Q1764" s="100"/>
      <c r="R1764" s="100"/>
      <c r="S1764" s="100"/>
      <c r="T1764" s="100"/>
      <c r="U1764" s="100"/>
      <c r="V1764" s="100"/>
      <c r="W1764" s="100"/>
      <c r="X1764" s="100"/>
      <c r="Y1764" s="100"/>
      <c r="Z1764" s="100"/>
    </row>
    <row r="1765" spans="1:26">
      <c r="A1765" s="100"/>
      <c r="B1765" s="100"/>
      <c r="C1765" s="100"/>
      <c r="D1765" s="100"/>
      <c r="E1765" s="100"/>
      <c r="F1765" s="100"/>
      <c r="G1765" s="100"/>
      <c r="H1765" s="100"/>
      <c r="I1765" s="100"/>
      <c r="J1765" s="100"/>
      <c r="K1765" s="100"/>
      <c r="L1765" s="100"/>
      <c r="M1765" s="100"/>
      <c r="N1765" s="100"/>
      <c r="O1765" s="100"/>
      <c r="P1765" s="100"/>
      <c r="Q1765" s="100"/>
      <c r="R1765" s="100"/>
      <c r="S1765" s="100"/>
      <c r="T1765" s="100"/>
      <c r="U1765" s="100"/>
      <c r="V1765" s="100"/>
      <c r="W1765" s="100"/>
      <c r="X1765" s="100"/>
      <c r="Y1765" s="100"/>
      <c r="Z1765" s="100"/>
    </row>
    <row r="1766" spans="1:26">
      <c r="A1766" s="100"/>
      <c r="B1766" s="100"/>
      <c r="C1766" s="100"/>
      <c r="D1766" s="100"/>
      <c r="E1766" s="100"/>
      <c r="F1766" s="100"/>
      <c r="G1766" s="100"/>
      <c r="H1766" s="100"/>
      <c r="I1766" s="100"/>
      <c r="J1766" s="100"/>
      <c r="K1766" s="100"/>
      <c r="L1766" s="100"/>
      <c r="M1766" s="100"/>
      <c r="N1766" s="100"/>
      <c r="O1766" s="100"/>
      <c r="P1766" s="100"/>
      <c r="Q1766" s="100"/>
      <c r="R1766" s="100"/>
      <c r="S1766" s="100"/>
      <c r="T1766" s="100"/>
      <c r="U1766" s="100"/>
      <c r="V1766" s="100"/>
      <c r="W1766" s="100"/>
      <c r="X1766" s="100"/>
      <c r="Y1766" s="100"/>
      <c r="Z1766" s="100"/>
    </row>
    <row r="1767" spans="1:26">
      <c r="A1767" s="100"/>
      <c r="B1767" s="100"/>
      <c r="C1767" s="100"/>
      <c r="D1767" s="100"/>
      <c r="E1767" s="100"/>
      <c r="F1767" s="100"/>
      <c r="G1767" s="100"/>
      <c r="H1767" s="100"/>
      <c r="I1767" s="100"/>
      <c r="J1767" s="100"/>
      <c r="K1767" s="100"/>
      <c r="L1767" s="100"/>
      <c r="M1767" s="100"/>
      <c r="N1767" s="100"/>
      <c r="O1767" s="100"/>
      <c r="P1767" s="100"/>
      <c r="Q1767" s="100"/>
      <c r="R1767" s="100"/>
      <c r="S1767" s="100"/>
      <c r="T1767" s="100"/>
      <c r="U1767" s="100"/>
      <c r="V1767" s="100"/>
      <c r="W1767" s="100"/>
      <c r="X1767" s="100"/>
      <c r="Y1767" s="100"/>
      <c r="Z1767" s="100"/>
    </row>
    <row r="1768" spans="1:26">
      <c r="A1768" s="100"/>
      <c r="B1768" s="100"/>
      <c r="C1768" s="100"/>
      <c r="D1768" s="100"/>
      <c r="E1768" s="100"/>
      <c r="F1768" s="100"/>
      <c r="G1768" s="100"/>
      <c r="H1768" s="100"/>
      <c r="I1768" s="100"/>
      <c r="J1768" s="100"/>
      <c r="K1768" s="100"/>
      <c r="L1768" s="100"/>
      <c r="M1768" s="100"/>
      <c r="N1768" s="100"/>
      <c r="O1768" s="100"/>
      <c r="P1768" s="100"/>
      <c r="Q1768" s="100"/>
      <c r="R1768" s="100"/>
      <c r="S1768" s="100"/>
      <c r="T1768" s="100"/>
      <c r="U1768" s="100"/>
      <c r="V1768" s="100"/>
      <c r="W1768" s="100"/>
      <c r="X1768" s="100"/>
      <c r="Y1768" s="100"/>
      <c r="Z1768" s="100"/>
    </row>
    <row r="1769" spans="1:26">
      <c r="A1769" s="100"/>
      <c r="B1769" s="100"/>
      <c r="C1769" s="100"/>
      <c r="D1769" s="100"/>
      <c r="E1769" s="100"/>
      <c r="F1769" s="100"/>
      <c r="G1769" s="100"/>
      <c r="H1769" s="100"/>
      <c r="I1769" s="100"/>
      <c r="J1769" s="100"/>
      <c r="K1769" s="100"/>
      <c r="L1769" s="100"/>
      <c r="M1769" s="100"/>
      <c r="N1769" s="100"/>
      <c r="O1769" s="100"/>
      <c r="P1769" s="100"/>
      <c r="Q1769" s="100"/>
      <c r="R1769" s="100"/>
      <c r="S1769" s="100"/>
      <c r="T1769" s="100"/>
      <c r="U1769" s="100"/>
      <c r="V1769" s="100"/>
      <c r="W1769" s="100"/>
      <c r="X1769" s="100"/>
      <c r="Y1769" s="100"/>
      <c r="Z1769" s="100"/>
    </row>
    <row r="1770" spans="1:26">
      <c r="A1770" s="100"/>
      <c r="B1770" s="100"/>
      <c r="C1770" s="100"/>
      <c r="D1770" s="100"/>
      <c r="E1770" s="100"/>
      <c r="F1770" s="100"/>
      <c r="G1770" s="100"/>
      <c r="H1770" s="100"/>
      <c r="I1770" s="100"/>
      <c r="J1770" s="100"/>
      <c r="K1770" s="100"/>
      <c r="L1770" s="100"/>
      <c r="M1770" s="100"/>
      <c r="N1770" s="100"/>
      <c r="O1770" s="100"/>
      <c r="P1770" s="100"/>
      <c r="Q1770" s="100"/>
      <c r="R1770" s="100"/>
      <c r="S1770" s="100"/>
      <c r="T1770" s="100"/>
      <c r="U1770" s="100"/>
      <c r="V1770" s="100"/>
      <c r="W1770" s="100"/>
      <c r="X1770" s="100"/>
      <c r="Y1770" s="100"/>
      <c r="Z1770" s="100"/>
    </row>
    <row r="1771" spans="1:26">
      <c r="A1771" s="100"/>
      <c r="B1771" s="100"/>
      <c r="C1771" s="100"/>
      <c r="D1771" s="100"/>
      <c r="E1771" s="100"/>
      <c r="F1771" s="100"/>
      <c r="G1771" s="100"/>
      <c r="H1771" s="100"/>
      <c r="I1771" s="100"/>
      <c r="J1771" s="100"/>
      <c r="K1771" s="100"/>
      <c r="L1771" s="100"/>
      <c r="M1771" s="100"/>
      <c r="N1771" s="100"/>
      <c r="O1771" s="100"/>
      <c r="P1771" s="100"/>
      <c r="Q1771" s="100"/>
      <c r="R1771" s="100"/>
      <c r="S1771" s="100"/>
      <c r="T1771" s="100"/>
      <c r="U1771" s="100"/>
      <c r="V1771" s="100"/>
      <c r="W1771" s="100"/>
      <c r="X1771" s="100"/>
      <c r="Y1771" s="100"/>
      <c r="Z1771" s="100"/>
    </row>
    <row r="1772" spans="1:26">
      <c r="A1772" s="100"/>
      <c r="B1772" s="100"/>
      <c r="C1772" s="100"/>
      <c r="D1772" s="100"/>
      <c r="E1772" s="100"/>
      <c r="F1772" s="100"/>
      <c r="G1772" s="100"/>
      <c r="H1772" s="100"/>
      <c r="I1772" s="100"/>
      <c r="J1772" s="100"/>
      <c r="K1772" s="100"/>
      <c r="L1772" s="100"/>
      <c r="M1772" s="100"/>
      <c r="N1772" s="100"/>
      <c r="O1772" s="100"/>
      <c r="P1772" s="100"/>
      <c r="Q1772" s="100"/>
      <c r="R1772" s="100"/>
      <c r="S1772" s="100"/>
      <c r="T1772" s="100"/>
      <c r="U1772" s="100"/>
      <c r="V1772" s="100"/>
      <c r="W1772" s="100"/>
      <c r="X1772" s="100"/>
      <c r="Y1772" s="100"/>
      <c r="Z1772" s="100"/>
    </row>
    <row r="1773" spans="1:26">
      <c r="A1773" s="100"/>
      <c r="B1773" s="100"/>
      <c r="C1773" s="100"/>
      <c r="D1773" s="100"/>
      <c r="E1773" s="100"/>
      <c r="F1773" s="100"/>
      <c r="G1773" s="100"/>
      <c r="H1773" s="100"/>
      <c r="I1773" s="100"/>
      <c r="J1773" s="100"/>
      <c r="K1773" s="100"/>
      <c r="L1773" s="100"/>
      <c r="M1773" s="100"/>
      <c r="N1773" s="100"/>
      <c r="O1773" s="100"/>
      <c r="P1773" s="100"/>
      <c r="Q1773" s="100"/>
      <c r="R1773" s="100"/>
      <c r="S1773" s="100"/>
      <c r="T1773" s="100"/>
      <c r="U1773" s="100"/>
      <c r="V1773" s="100"/>
      <c r="W1773" s="100"/>
      <c r="X1773" s="100"/>
      <c r="Y1773" s="100"/>
      <c r="Z1773" s="100"/>
    </row>
    <row r="1774" spans="1:26">
      <c r="A1774" s="100"/>
      <c r="B1774" s="100"/>
      <c r="C1774" s="100"/>
      <c r="D1774" s="100"/>
      <c r="E1774" s="100"/>
      <c r="F1774" s="100"/>
      <c r="G1774" s="100"/>
      <c r="H1774" s="100"/>
      <c r="I1774" s="100"/>
      <c r="J1774" s="100"/>
      <c r="K1774" s="100"/>
      <c r="L1774" s="100"/>
      <c r="M1774" s="100"/>
      <c r="N1774" s="100"/>
      <c r="O1774" s="100"/>
      <c r="P1774" s="100"/>
      <c r="Q1774" s="100"/>
      <c r="R1774" s="100"/>
      <c r="S1774" s="100"/>
      <c r="T1774" s="100"/>
      <c r="U1774" s="100"/>
      <c r="V1774" s="100"/>
      <c r="W1774" s="100"/>
      <c r="X1774" s="100"/>
      <c r="Y1774" s="100"/>
      <c r="Z1774" s="100"/>
    </row>
    <row r="1775" spans="1:26">
      <c r="A1775" s="100"/>
      <c r="B1775" s="100"/>
      <c r="C1775" s="100"/>
      <c r="D1775" s="100"/>
      <c r="E1775" s="100"/>
      <c r="F1775" s="100"/>
      <c r="G1775" s="100"/>
      <c r="H1775" s="100"/>
      <c r="I1775" s="100"/>
      <c r="J1775" s="100"/>
      <c r="K1775" s="100"/>
      <c r="L1775" s="100"/>
      <c r="M1775" s="100"/>
      <c r="N1775" s="100"/>
      <c r="O1775" s="100"/>
      <c r="P1775" s="100"/>
      <c r="Q1775" s="100"/>
      <c r="R1775" s="100"/>
      <c r="S1775" s="100"/>
      <c r="T1775" s="100"/>
      <c r="U1775" s="100"/>
      <c r="V1775" s="100"/>
      <c r="W1775" s="100"/>
      <c r="X1775" s="100"/>
      <c r="Y1775" s="100"/>
      <c r="Z1775" s="100"/>
    </row>
    <row r="1776" spans="1:26">
      <c r="A1776" s="100"/>
      <c r="B1776" s="100"/>
      <c r="C1776" s="100"/>
      <c r="D1776" s="100"/>
      <c r="E1776" s="100"/>
      <c r="F1776" s="100"/>
      <c r="G1776" s="100"/>
      <c r="H1776" s="100"/>
      <c r="I1776" s="100"/>
      <c r="J1776" s="100"/>
      <c r="K1776" s="100"/>
      <c r="L1776" s="100"/>
      <c r="M1776" s="100"/>
      <c r="N1776" s="100"/>
      <c r="O1776" s="100"/>
      <c r="P1776" s="100"/>
      <c r="Q1776" s="100"/>
      <c r="R1776" s="100"/>
      <c r="S1776" s="100"/>
      <c r="T1776" s="100"/>
      <c r="U1776" s="100"/>
      <c r="V1776" s="100"/>
      <c r="W1776" s="100"/>
      <c r="X1776" s="100"/>
      <c r="Y1776" s="100"/>
      <c r="Z1776" s="100"/>
    </row>
    <row r="1777" spans="1:26">
      <c r="A1777" s="100"/>
      <c r="B1777" s="100"/>
      <c r="C1777" s="100"/>
      <c r="D1777" s="100"/>
      <c r="E1777" s="100"/>
      <c r="F1777" s="100"/>
      <c r="G1777" s="100"/>
      <c r="H1777" s="100"/>
      <c r="I1777" s="100"/>
      <c r="J1777" s="100"/>
      <c r="K1777" s="100"/>
      <c r="L1777" s="100"/>
      <c r="M1777" s="100"/>
      <c r="N1777" s="100"/>
      <c r="O1777" s="100"/>
      <c r="P1777" s="100"/>
      <c r="Q1777" s="100"/>
      <c r="R1777" s="100"/>
      <c r="S1777" s="100"/>
      <c r="T1777" s="100"/>
      <c r="U1777" s="100"/>
      <c r="V1777" s="100"/>
      <c r="W1777" s="100"/>
      <c r="X1777" s="100"/>
      <c r="Y1777" s="100"/>
      <c r="Z1777" s="100"/>
    </row>
    <row r="1778" spans="1:26">
      <c r="A1778" s="100"/>
      <c r="B1778" s="100"/>
      <c r="C1778" s="100"/>
      <c r="D1778" s="100"/>
      <c r="E1778" s="100"/>
      <c r="F1778" s="100"/>
      <c r="G1778" s="100"/>
      <c r="H1778" s="100"/>
      <c r="I1778" s="100"/>
      <c r="J1778" s="100"/>
      <c r="K1778" s="100"/>
      <c r="L1778" s="100"/>
      <c r="M1778" s="100"/>
      <c r="N1778" s="100"/>
      <c r="O1778" s="100"/>
      <c r="P1778" s="100"/>
      <c r="Q1778" s="100"/>
      <c r="R1778" s="100"/>
      <c r="S1778" s="100"/>
      <c r="T1778" s="100"/>
      <c r="U1778" s="100"/>
      <c r="V1778" s="100"/>
      <c r="W1778" s="100"/>
      <c r="X1778" s="100"/>
      <c r="Y1778" s="100"/>
      <c r="Z1778" s="100"/>
    </row>
    <row r="1779" spans="1:26">
      <c r="A1779" s="100"/>
      <c r="B1779" s="100"/>
      <c r="C1779" s="100"/>
      <c r="D1779" s="100"/>
      <c r="E1779" s="100"/>
      <c r="F1779" s="100"/>
      <c r="G1779" s="100"/>
      <c r="H1779" s="100"/>
      <c r="I1779" s="100"/>
      <c r="J1779" s="100"/>
      <c r="K1779" s="100"/>
      <c r="L1779" s="100"/>
      <c r="M1779" s="100"/>
      <c r="N1779" s="100"/>
      <c r="O1779" s="100"/>
      <c r="P1779" s="100"/>
      <c r="Q1779" s="100"/>
      <c r="R1779" s="100"/>
      <c r="S1779" s="100"/>
      <c r="T1779" s="100"/>
      <c r="U1779" s="100"/>
      <c r="V1779" s="100"/>
      <c r="W1779" s="100"/>
      <c r="X1779" s="100"/>
      <c r="Y1779" s="100"/>
      <c r="Z1779" s="100"/>
    </row>
    <row r="1780" spans="1:26">
      <c r="A1780" s="100"/>
      <c r="B1780" s="100"/>
      <c r="C1780" s="100"/>
      <c r="D1780" s="100"/>
      <c r="E1780" s="100"/>
      <c r="F1780" s="100"/>
      <c r="G1780" s="100"/>
      <c r="H1780" s="100"/>
      <c r="I1780" s="100"/>
      <c r="J1780" s="100"/>
      <c r="K1780" s="100"/>
      <c r="L1780" s="100"/>
      <c r="M1780" s="100"/>
      <c r="N1780" s="100"/>
      <c r="O1780" s="100"/>
      <c r="P1780" s="100"/>
      <c r="Q1780" s="100"/>
      <c r="R1780" s="100"/>
      <c r="S1780" s="100"/>
      <c r="T1780" s="100"/>
      <c r="U1780" s="100"/>
      <c r="V1780" s="100"/>
      <c r="W1780" s="100"/>
      <c r="X1780" s="100"/>
      <c r="Y1780" s="100"/>
      <c r="Z1780" s="100"/>
    </row>
    <row r="1781" spans="1:26">
      <c r="A1781" s="100"/>
      <c r="B1781" s="100"/>
      <c r="C1781" s="100"/>
      <c r="D1781" s="100"/>
      <c r="E1781" s="100"/>
      <c r="F1781" s="100"/>
      <c r="G1781" s="100"/>
      <c r="H1781" s="100"/>
      <c r="I1781" s="100"/>
      <c r="J1781" s="100"/>
      <c r="K1781" s="100"/>
      <c r="L1781" s="100"/>
      <c r="M1781" s="100"/>
      <c r="N1781" s="100"/>
      <c r="O1781" s="100"/>
      <c r="P1781" s="100"/>
      <c r="Q1781" s="100"/>
      <c r="R1781" s="100"/>
      <c r="S1781" s="100"/>
      <c r="T1781" s="100"/>
      <c r="U1781" s="100"/>
      <c r="V1781" s="100"/>
      <c r="W1781" s="100"/>
      <c r="X1781" s="100"/>
      <c r="Y1781" s="100"/>
      <c r="Z1781" s="100"/>
    </row>
    <row r="1782" spans="1:26">
      <c r="A1782" s="100"/>
      <c r="B1782" s="100"/>
      <c r="C1782" s="100"/>
      <c r="D1782" s="100"/>
      <c r="E1782" s="100"/>
      <c r="F1782" s="100"/>
      <c r="G1782" s="100"/>
      <c r="H1782" s="100"/>
      <c r="I1782" s="100"/>
      <c r="J1782" s="100"/>
      <c r="K1782" s="100"/>
      <c r="L1782" s="100"/>
      <c r="M1782" s="100"/>
      <c r="N1782" s="100"/>
      <c r="O1782" s="100"/>
      <c r="P1782" s="100"/>
      <c r="Q1782" s="100"/>
      <c r="R1782" s="100"/>
      <c r="S1782" s="100"/>
      <c r="T1782" s="100"/>
      <c r="U1782" s="100"/>
      <c r="V1782" s="100"/>
      <c r="W1782" s="100"/>
      <c r="X1782" s="100"/>
      <c r="Y1782" s="100"/>
      <c r="Z1782" s="100"/>
    </row>
    <row r="1783" spans="1:26">
      <c r="A1783" s="100"/>
      <c r="B1783" s="100"/>
      <c r="C1783" s="100"/>
      <c r="D1783" s="100"/>
      <c r="E1783" s="100"/>
      <c r="F1783" s="100"/>
      <c r="G1783" s="100"/>
      <c r="H1783" s="100"/>
      <c r="I1783" s="100"/>
      <c r="J1783" s="100"/>
      <c r="K1783" s="100"/>
      <c r="L1783" s="100"/>
      <c r="M1783" s="100"/>
      <c r="N1783" s="100"/>
      <c r="O1783" s="100"/>
      <c r="P1783" s="100"/>
      <c r="Q1783" s="100"/>
      <c r="R1783" s="100"/>
      <c r="S1783" s="100"/>
      <c r="T1783" s="100"/>
      <c r="U1783" s="100"/>
      <c r="V1783" s="100"/>
      <c r="W1783" s="100"/>
      <c r="X1783" s="100"/>
      <c r="Y1783" s="100"/>
      <c r="Z1783" s="100"/>
    </row>
    <row r="1784" spans="1:26">
      <c r="A1784" s="100"/>
      <c r="B1784" s="100"/>
      <c r="C1784" s="100"/>
      <c r="D1784" s="100"/>
      <c r="E1784" s="100"/>
      <c r="F1784" s="100"/>
      <c r="G1784" s="100"/>
      <c r="H1784" s="100"/>
      <c r="I1784" s="100"/>
      <c r="J1784" s="100"/>
      <c r="K1784" s="100"/>
      <c r="L1784" s="100"/>
      <c r="M1784" s="100"/>
      <c r="N1784" s="100"/>
      <c r="O1784" s="100"/>
      <c r="P1784" s="100"/>
      <c r="Q1784" s="100"/>
      <c r="R1784" s="100"/>
      <c r="S1784" s="100"/>
      <c r="T1784" s="100"/>
      <c r="U1784" s="100"/>
      <c r="V1784" s="100"/>
      <c r="W1784" s="100"/>
      <c r="X1784" s="100"/>
      <c r="Y1784" s="100"/>
      <c r="Z1784" s="100"/>
    </row>
    <row r="1785" spans="1:26">
      <c r="A1785" s="100"/>
      <c r="B1785" s="100"/>
      <c r="C1785" s="100"/>
      <c r="D1785" s="100"/>
      <c r="E1785" s="100"/>
      <c r="F1785" s="100"/>
      <c r="G1785" s="100"/>
      <c r="H1785" s="100"/>
      <c r="I1785" s="100"/>
      <c r="J1785" s="100"/>
      <c r="K1785" s="100"/>
      <c r="L1785" s="100"/>
      <c r="M1785" s="100"/>
      <c r="N1785" s="100"/>
      <c r="O1785" s="100"/>
      <c r="P1785" s="100"/>
      <c r="Q1785" s="100"/>
      <c r="R1785" s="100"/>
      <c r="S1785" s="100"/>
      <c r="T1785" s="100"/>
      <c r="U1785" s="100"/>
      <c r="V1785" s="100"/>
      <c r="W1785" s="100"/>
      <c r="X1785" s="100"/>
      <c r="Y1785" s="100"/>
      <c r="Z1785" s="100"/>
    </row>
    <row r="1786" spans="1:26">
      <c r="A1786" s="100"/>
      <c r="B1786" s="100"/>
      <c r="C1786" s="100"/>
      <c r="D1786" s="100"/>
      <c r="E1786" s="100"/>
      <c r="F1786" s="100"/>
      <c r="G1786" s="100"/>
      <c r="H1786" s="100"/>
      <c r="I1786" s="100"/>
      <c r="J1786" s="100"/>
      <c r="K1786" s="100"/>
      <c r="L1786" s="100"/>
      <c r="M1786" s="100"/>
      <c r="N1786" s="100"/>
      <c r="O1786" s="100"/>
      <c r="P1786" s="100"/>
      <c r="Q1786" s="100"/>
      <c r="R1786" s="100"/>
      <c r="S1786" s="100"/>
      <c r="T1786" s="100"/>
      <c r="U1786" s="100"/>
      <c r="V1786" s="100"/>
      <c r="W1786" s="100"/>
      <c r="X1786" s="100"/>
      <c r="Y1786" s="100"/>
      <c r="Z1786" s="100"/>
    </row>
    <row r="1787" spans="1:26">
      <c r="A1787" s="100"/>
      <c r="B1787" s="100"/>
      <c r="C1787" s="100"/>
      <c r="D1787" s="100"/>
      <c r="E1787" s="100"/>
      <c r="F1787" s="100"/>
      <c r="G1787" s="100"/>
      <c r="H1787" s="100"/>
      <c r="I1787" s="100"/>
      <c r="J1787" s="100"/>
      <c r="K1787" s="100"/>
      <c r="L1787" s="100"/>
      <c r="M1787" s="100"/>
      <c r="N1787" s="100"/>
      <c r="O1787" s="100"/>
      <c r="P1787" s="100"/>
      <c r="Q1787" s="100"/>
      <c r="R1787" s="100"/>
      <c r="S1787" s="100"/>
      <c r="T1787" s="100"/>
      <c r="U1787" s="100"/>
      <c r="V1787" s="100"/>
      <c r="W1787" s="100"/>
      <c r="X1787" s="100"/>
      <c r="Y1787" s="100"/>
      <c r="Z1787" s="100"/>
    </row>
    <row r="1788" spans="1:26">
      <c r="A1788" s="100"/>
      <c r="B1788" s="100"/>
      <c r="C1788" s="100"/>
      <c r="D1788" s="100"/>
      <c r="E1788" s="100"/>
      <c r="F1788" s="100"/>
      <c r="G1788" s="100"/>
      <c r="H1788" s="100"/>
      <c r="I1788" s="100"/>
      <c r="J1788" s="100"/>
      <c r="K1788" s="100"/>
      <c r="L1788" s="100"/>
      <c r="M1788" s="100"/>
      <c r="N1788" s="100"/>
      <c r="O1788" s="100"/>
      <c r="P1788" s="100"/>
      <c r="Q1788" s="100"/>
      <c r="R1788" s="100"/>
      <c r="S1788" s="100"/>
      <c r="T1788" s="100"/>
      <c r="U1788" s="100"/>
      <c r="V1788" s="100"/>
      <c r="W1788" s="100"/>
      <c r="X1788" s="100"/>
      <c r="Y1788" s="100"/>
      <c r="Z1788" s="100"/>
    </row>
    <row r="1789" spans="1:26">
      <c r="A1789" s="100"/>
      <c r="B1789" s="100"/>
      <c r="C1789" s="100"/>
      <c r="D1789" s="100"/>
      <c r="E1789" s="100"/>
      <c r="F1789" s="100"/>
      <c r="G1789" s="100"/>
      <c r="H1789" s="100"/>
      <c r="I1789" s="100"/>
      <c r="J1789" s="100"/>
      <c r="K1789" s="100"/>
      <c r="L1789" s="100"/>
      <c r="M1789" s="100"/>
      <c r="N1789" s="100"/>
      <c r="O1789" s="100"/>
      <c r="P1789" s="100"/>
      <c r="Q1789" s="100"/>
      <c r="R1789" s="100"/>
      <c r="S1789" s="100"/>
      <c r="T1789" s="100"/>
      <c r="U1789" s="100"/>
      <c r="V1789" s="100"/>
      <c r="W1789" s="100"/>
      <c r="X1789" s="100"/>
      <c r="Y1789" s="100"/>
      <c r="Z1789" s="100"/>
    </row>
    <row r="1790" spans="1:26">
      <c r="A1790" s="100"/>
      <c r="B1790" s="100"/>
      <c r="C1790" s="100"/>
      <c r="D1790" s="100"/>
      <c r="E1790" s="100"/>
      <c r="F1790" s="100"/>
      <c r="G1790" s="100"/>
      <c r="H1790" s="100"/>
      <c r="I1790" s="100"/>
      <c r="J1790" s="100"/>
      <c r="K1790" s="100"/>
      <c r="L1790" s="100"/>
      <c r="M1790" s="100"/>
      <c r="N1790" s="100"/>
      <c r="O1790" s="100"/>
      <c r="P1790" s="100"/>
      <c r="Q1790" s="100"/>
      <c r="R1790" s="100"/>
      <c r="S1790" s="100"/>
      <c r="T1790" s="100"/>
      <c r="U1790" s="100"/>
      <c r="V1790" s="100"/>
      <c r="W1790" s="100"/>
      <c r="X1790" s="100"/>
      <c r="Y1790" s="100"/>
      <c r="Z1790" s="100"/>
    </row>
    <row r="1791" spans="1:26">
      <c r="A1791" s="100"/>
      <c r="B1791" s="100"/>
      <c r="C1791" s="100"/>
      <c r="D1791" s="100"/>
      <c r="E1791" s="100"/>
      <c r="F1791" s="100"/>
      <c r="G1791" s="100"/>
      <c r="H1791" s="100"/>
      <c r="I1791" s="100"/>
      <c r="J1791" s="100"/>
      <c r="K1791" s="100"/>
      <c r="L1791" s="100"/>
      <c r="M1791" s="100"/>
      <c r="N1791" s="100"/>
      <c r="O1791" s="100"/>
      <c r="P1791" s="100"/>
      <c r="Q1791" s="100"/>
      <c r="R1791" s="100"/>
      <c r="S1791" s="100"/>
      <c r="T1791" s="100"/>
      <c r="U1791" s="100"/>
      <c r="V1791" s="100"/>
      <c r="W1791" s="100"/>
      <c r="X1791" s="100"/>
      <c r="Y1791" s="100"/>
      <c r="Z1791" s="100"/>
    </row>
    <row r="1792" spans="1:26">
      <c r="A1792" s="100"/>
      <c r="B1792" s="100"/>
      <c r="C1792" s="100"/>
      <c r="D1792" s="100"/>
      <c r="E1792" s="100"/>
      <c r="F1792" s="100"/>
      <c r="G1792" s="100"/>
      <c r="H1792" s="100"/>
      <c r="I1792" s="100"/>
      <c r="J1792" s="100"/>
      <c r="K1792" s="100"/>
      <c r="L1792" s="100"/>
      <c r="M1792" s="100"/>
      <c r="N1792" s="100"/>
      <c r="O1792" s="100"/>
      <c r="P1792" s="100"/>
      <c r="Q1792" s="100"/>
      <c r="R1792" s="100"/>
      <c r="S1792" s="100"/>
      <c r="T1792" s="100"/>
      <c r="U1792" s="100"/>
      <c r="V1792" s="100"/>
      <c r="W1792" s="100"/>
      <c r="X1792" s="100"/>
      <c r="Y1792" s="100"/>
      <c r="Z1792" s="100"/>
    </row>
    <row r="1793" spans="1:26">
      <c r="A1793" s="100"/>
      <c r="B1793" s="100"/>
      <c r="C1793" s="100"/>
      <c r="D1793" s="100"/>
      <c r="E1793" s="100"/>
      <c r="F1793" s="100"/>
      <c r="G1793" s="100"/>
      <c r="H1793" s="100"/>
      <c r="I1793" s="100"/>
      <c r="J1793" s="100"/>
      <c r="K1793" s="100"/>
      <c r="L1793" s="100"/>
      <c r="M1793" s="100"/>
      <c r="N1793" s="100"/>
      <c r="O1793" s="100"/>
      <c r="P1793" s="100"/>
      <c r="Q1793" s="100"/>
      <c r="R1793" s="100"/>
      <c r="S1793" s="100"/>
      <c r="T1793" s="100"/>
      <c r="U1793" s="100"/>
      <c r="V1793" s="100"/>
      <c r="W1793" s="100"/>
      <c r="X1793" s="100"/>
      <c r="Y1793" s="100"/>
      <c r="Z1793" s="100"/>
    </row>
    <row r="1794" spans="1:26">
      <c r="A1794" s="100"/>
      <c r="B1794" s="100"/>
      <c r="C1794" s="100"/>
      <c r="D1794" s="100"/>
      <c r="E1794" s="100"/>
      <c r="F1794" s="100"/>
      <c r="G1794" s="100"/>
      <c r="H1794" s="100"/>
      <c r="I1794" s="100"/>
      <c r="J1794" s="100"/>
      <c r="K1794" s="100"/>
      <c r="L1794" s="100"/>
      <c r="M1794" s="100"/>
      <c r="N1794" s="100"/>
      <c r="O1794" s="100"/>
      <c r="P1794" s="100"/>
      <c r="Q1794" s="100"/>
      <c r="R1794" s="100"/>
      <c r="S1794" s="100"/>
      <c r="T1794" s="100"/>
      <c r="U1794" s="100"/>
      <c r="V1794" s="100"/>
      <c r="W1794" s="100"/>
      <c r="X1794" s="100"/>
      <c r="Y1794" s="100"/>
      <c r="Z1794" s="100"/>
    </row>
    <row r="1795" spans="1:26">
      <c r="A1795" s="100"/>
      <c r="B1795" s="100"/>
      <c r="C1795" s="100"/>
      <c r="D1795" s="100"/>
      <c r="E1795" s="100"/>
      <c r="F1795" s="100"/>
      <c r="G1795" s="100"/>
      <c r="H1795" s="100"/>
      <c r="I1795" s="100"/>
      <c r="J1795" s="100"/>
      <c r="K1795" s="100"/>
      <c r="L1795" s="100"/>
      <c r="M1795" s="100"/>
      <c r="N1795" s="100"/>
      <c r="O1795" s="100"/>
      <c r="P1795" s="100"/>
      <c r="Q1795" s="100"/>
      <c r="R1795" s="100"/>
      <c r="S1795" s="100"/>
      <c r="T1795" s="100"/>
      <c r="U1795" s="100"/>
      <c r="V1795" s="100"/>
      <c r="W1795" s="100"/>
      <c r="X1795" s="100"/>
      <c r="Y1795" s="100"/>
      <c r="Z1795" s="100"/>
    </row>
    <row r="1796" spans="1:26">
      <c r="A1796" s="100"/>
      <c r="B1796" s="100"/>
      <c r="C1796" s="100"/>
      <c r="D1796" s="100"/>
      <c r="E1796" s="100"/>
      <c r="F1796" s="100"/>
      <c r="G1796" s="100"/>
      <c r="H1796" s="100"/>
      <c r="I1796" s="100"/>
      <c r="J1796" s="100"/>
      <c r="K1796" s="100"/>
      <c r="L1796" s="100"/>
      <c r="M1796" s="100"/>
      <c r="N1796" s="100"/>
      <c r="O1796" s="100"/>
      <c r="P1796" s="100"/>
      <c r="Q1796" s="100"/>
      <c r="R1796" s="100"/>
      <c r="S1796" s="100"/>
      <c r="T1796" s="100"/>
      <c r="U1796" s="100"/>
      <c r="V1796" s="100"/>
      <c r="W1796" s="100"/>
      <c r="X1796" s="100"/>
      <c r="Y1796" s="100"/>
      <c r="Z1796" s="100"/>
    </row>
    <row r="1797" spans="1:26">
      <c r="A1797" s="100"/>
      <c r="B1797" s="100"/>
      <c r="C1797" s="100"/>
      <c r="D1797" s="100"/>
      <c r="E1797" s="100"/>
      <c r="F1797" s="100"/>
      <c r="G1797" s="100"/>
      <c r="H1797" s="100"/>
      <c r="I1797" s="100"/>
      <c r="J1797" s="100"/>
      <c r="K1797" s="100"/>
      <c r="L1797" s="100"/>
      <c r="M1797" s="100"/>
      <c r="N1797" s="100"/>
      <c r="O1797" s="100"/>
      <c r="P1797" s="100"/>
      <c r="Q1797" s="100"/>
      <c r="R1797" s="100"/>
      <c r="S1797" s="100"/>
      <c r="T1797" s="100"/>
      <c r="U1797" s="100"/>
      <c r="V1797" s="100"/>
      <c r="W1797" s="100"/>
      <c r="X1797" s="100"/>
      <c r="Y1797" s="100"/>
      <c r="Z1797" s="100"/>
    </row>
    <row r="1798" spans="1:26">
      <c r="A1798" s="100"/>
      <c r="B1798" s="100"/>
      <c r="C1798" s="100"/>
      <c r="D1798" s="100"/>
      <c r="E1798" s="100"/>
      <c r="F1798" s="100"/>
      <c r="G1798" s="100"/>
      <c r="H1798" s="100"/>
      <c r="I1798" s="100"/>
      <c r="J1798" s="100"/>
      <c r="K1798" s="100"/>
      <c r="L1798" s="100"/>
      <c r="M1798" s="100"/>
      <c r="N1798" s="100"/>
      <c r="O1798" s="100"/>
      <c r="P1798" s="100"/>
      <c r="Q1798" s="100"/>
      <c r="R1798" s="100"/>
      <c r="S1798" s="100"/>
      <c r="T1798" s="100"/>
      <c r="U1798" s="100"/>
      <c r="V1798" s="100"/>
      <c r="W1798" s="100"/>
      <c r="X1798" s="100"/>
      <c r="Y1798" s="100"/>
      <c r="Z1798" s="100"/>
    </row>
    <row r="1799" spans="1:26">
      <c r="A1799" s="100"/>
      <c r="B1799" s="100"/>
      <c r="C1799" s="100"/>
      <c r="D1799" s="100"/>
      <c r="E1799" s="100"/>
      <c r="F1799" s="100"/>
      <c r="G1799" s="100"/>
      <c r="H1799" s="100"/>
      <c r="I1799" s="100"/>
      <c r="J1799" s="100"/>
      <c r="K1799" s="100"/>
      <c r="L1799" s="100"/>
      <c r="M1799" s="100"/>
      <c r="N1799" s="100"/>
      <c r="O1799" s="100"/>
      <c r="P1799" s="100"/>
      <c r="Q1799" s="100"/>
      <c r="R1799" s="100"/>
      <c r="S1799" s="100"/>
      <c r="T1799" s="100"/>
      <c r="U1799" s="100"/>
      <c r="V1799" s="100"/>
      <c r="W1799" s="100"/>
      <c r="X1799" s="100"/>
      <c r="Y1799" s="100"/>
      <c r="Z1799" s="100"/>
    </row>
    <row r="1800" spans="1:26">
      <c r="A1800" s="100"/>
      <c r="B1800" s="100"/>
      <c r="C1800" s="100"/>
      <c r="D1800" s="100"/>
      <c r="E1800" s="100"/>
      <c r="F1800" s="100"/>
      <c r="G1800" s="100"/>
      <c r="H1800" s="100"/>
      <c r="I1800" s="100"/>
      <c r="J1800" s="100"/>
      <c r="K1800" s="100"/>
      <c r="L1800" s="100"/>
      <c r="M1800" s="100"/>
      <c r="N1800" s="100"/>
      <c r="O1800" s="100"/>
      <c r="P1800" s="100"/>
      <c r="Q1800" s="100"/>
      <c r="R1800" s="100"/>
      <c r="S1800" s="100"/>
      <c r="T1800" s="100"/>
      <c r="U1800" s="100"/>
      <c r="V1800" s="100"/>
      <c r="W1800" s="100"/>
      <c r="X1800" s="100"/>
      <c r="Y1800" s="100"/>
      <c r="Z1800" s="100"/>
    </row>
    <row r="1801" spans="1:26">
      <c r="A1801" s="100"/>
      <c r="B1801" s="100"/>
      <c r="C1801" s="100"/>
      <c r="D1801" s="100"/>
      <c r="E1801" s="100"/>
      <c r="F1801" s="100"/>
      <c r="G1801" s="100"/>
      <c r="H1801" s="100"/>
      <c r="I1801" s="100"/>
      <c r="J1801" s="100"/>
      <c r="K1801" s="100"/>
      <c r="L1801" s="100"/>
      <c r="M1801" s="100"/>
      <c r="N1801" s="100"/>
      <c r="O1801" s="100"/>
      <c r="P1801" s="100"/>
      <c r="Q1801" s="100"/>
      <c r="R1801" s="100"/>
      <c r="S1801" s="100"/>
      <c r="T1801" s="100"/>
      <c r="U1801" s="100"/>
      <c r="V1801" s="100"/>
      <c r="W1801" s="100"/>
      <c r="X1801" s="100"/>
      <c r="Y1801" s="100"/>
      <c r="Z1801" s="100"/>
    </row>
    <row r="1802" spans="1:26">
      <c r="A1802" s="100"/>
      <c r="B1802" s="100"/>
      <c r="C1802" s="100"/>
      <c r="D1802" s="100"/>
      <c r="E1802" s="100"/>
      <c r="F1802" s="100"/>
      <c r="G1802" s="100"/>
      <c r="H1802" s="100"/>
      <c r="I1802" s="100"/>
      <c r="J1802" s="100"/>
      <c r="K1802" s="100"/>
      <c r="L1802" s="100"/>
      <c r="M1802" s="100"/>
      <c r="N1802" s="100"/>
      <c r="O1802" s="100"/>
      <c r="P1802" s="100"/>
      <c r="Q1802" s="100"/>
      <c r="R1802" s="100"/>
      <c r="S1802" s="100"/>
      <c r="T1802" s="100"/>
      <c r="U1802" s="100"/>
      <c r="V1802" s="100"/>
      <c r="W1802" s="100"/>
      <c r="X1802" s="100"/>
      <c r="Y1802" s="100"/>
      <c r="Z1802" s="100"/>
    </row>
    <row r="1803" spans="1:26">
      <c r="A1803" s="100"/>
      <c r="B1803" s="100"/>
      <c r="C1803" s="100"/>
      <c r="D1803" s="100"/>
      <c r="E1803" s="100"/>
      <c r="F1803" s="100"/>
      <c r="G1803" s="100"/>
      <c r="H1803" s="100"/>
      <c r="I1803" s="100"/>
      <c r="J1803" s="100"/>
      <c r="K1803" s="100"/>
      <c r="L1803" s="100"/>
      <c r="M1803" s="100"/>
      <c r="N1803" s="100"/>
      <c r="O1803" s="100"/>
      <c r="P1803" s="100"/>
      <c r="Q1803" s="100"/>
      <c r="R1803" s="100"/>
      <c r="S1803" s="100"/>
      <c r="T1803" s="100"/>
      <c r="U1803" s="100"/>
      <c r="V1803" s="100"/>
      <c r="W1803" s="100"/>
      <c r="X1803" s="100"/>
      <c r="Y1803" s="100"/>
      <c r="Z1803" s="100"/>
    </row>
    <row r="1804" spans="1:26">
      <c r="A1804" s="100"/>
      <c r="B1804" s="100"/>
      <c r="C1804" s="100"/>
      <c r="D1804" s="100"/>
      <c r="E1804" s="100"/>
      <c r="F1804" s="100"/>
      <c r="G1804" s="100"/>
      <c r="H1804" s="100"/>
      <c r="I1804" s="100"/>
      <c r="J1804" s="100"/>
      <c r="K1804" s="100"/>
      <c r="L1804" s="100"/>
      <c r="M1804" s="100"/>
      <c r="N1804" s="100"/>
      <c r="O1804" s="100"/>
      <c r="P1804" s="100"/>
      <c r="Q1804" s="100"/>
      <c r="R1804" s="100"/>
      <c r="S1804" s="100"/>
      <c r="T1804" s="100"/>
      <c r="U1804" s="100"/>
      <c r="V1804" s="100"/>
      <c r="W1804" s="100"/>
      <c r="X1804" s="100"/>
      <c r="Y1804" s="100"/>
      <c r="Z1804" s="100"/>
    </row>
    <row r="1805" spans="1:26">
      <c r="A1805" s="100"/>
      <c r="B1805" s="100"/>
      <c r="C1805" s="100"/>
      <c r="D1805" s="100"/>
      <c r="E1805" s="100"/>
      <c r="F1805" s="100"/>
      <c r="G1805" s="100"/>
      <c r="H1805" s="100"/>
      <c r="I1805" s="100"/>
      <c r="J1805" s="100"/>
      <c r="K1805" s="100"/>
      <c r="L1805" s="100"/>
      <c r="M1805" s="100"/>
      <c r="N1805" s="100"/>
      <c r="O1805" s="100"/>
      <c r="P1805" s="100"/>
      <c r="Q1805" s="100"/>
      <c r="R1805" s="100"/>
      <c r="S1805" s="100"/>
      <c r="T1805" s="100"/>
      <c r="U1805" s="100"/>
      <c r="V1805" s="100"/>
      <c r="W1805" s="100"/>
      <c r="X1805" s="100"/>
      <c r="Y1805" s="100"/>
      <c r="Z1805" s="100"/>
    </row>
    <row r="1806" spans="1:26">
      <c r="A1806" s="100"/>
      <c r="B1806" s="100"/>
      <c r="C1806" s="100"/>
      <c r="D1806" s="100"/>
      <c r="E1806" s="100"/>
      <c r="F1806" s="100"/>
      <c r="G1806" s="100"/>
      <c r="H1806" s="100"/>
      <c r="I1806" s="100"/>
      <c r="J1806" s="100"/>
      <c r="K1806" s="100"/>
      <c r="L1806" s="100"/>
      <c r="M1806" s="100"/>
      <c r="N1806" s="100"/>
      <c r="O1806" s="100"/>
      <c r="P1806" s="100"/>
      <c r="Q1806" s="100"/>
      <c r="R1806" s="100"/>
      <c r="S1806" s="100"/>
      <c r="T1806" s="100"/>
      <c r="U1806" s="100"/>
      <c r="V1806" s="100"/>
      <c r="W1806" s="100"/>
      <c r="X1806" s="100"/>
      <c r="Y1806" s="100"/>
      <c r="Z1806" s="100"/>
    </row>
    <row r="1807" spans="1:26">
      <c r="A1807" s="100"/>
      <c r="B1807" s="100"/>
      <c r="C1807" s="100"/>
      <c r="D1807" s="100"/>
      <c r="E1807" s="100"/>
      <c r="F1807" s="100"/>
      <c r="G1807" s="100"/>
      <c r="H1807" s="100"/>
      <c r="I1807" s="100"/>
      <c r="J1807" s="100"/>
      <c r="K1807" s="100"/>
      <c r="L1807" s="100"/>
      <c r="M1807" s="100"/>
      <c r="N1807" s="100"/>
      <c r="O1807" s="100"/>
      <c r="P1807" s="100"/>
      <c r="Q1807" s="100"/>
      <c r="R1807" s="100"/>
      <c r="S1807" s="100"/>
      <c r="T1807" s="100"/>
      <c r="U1807" s="100"/>
      <c r="V1807" s="100"/>
      <c r="W1807" s="100"/>
      <c r="X1807" s="100"/>
      <c r="Y1807" s="100"/>
      <c r="Z1807" s="100"/>
    </row>
    <row r="1808" spans="1:26">
      <c r="A1808" s="100"/>
      <c r="B1808" s="100"/>
      <c r="C1808" s="100"/>
      <c r="D1808" s="100"/>
      <c r="E1808" s="100"/>
      <c r="F1808" s="100"/>
      <c r="G1808" s="100"/>
      <c r="H1808" s="100"/>
      <c r="I1808" s="100"/>
      <c r="J1808" s="100"/>
      <c r="K1808" s="100"/>
      <c r="L1808" s="100"/>
      <c r="M1808" s="100"/>
      <c r="N1808" s="100"/>
      <c r="O1808" s="100"/>
      <c r="P1808" s="100"/>
      <c r="Q1808" s="100"/>
      <c r="R1808" s="100"/>
      <c r="S1808" s="100"/>
      <c r="T1808" s="100"/>
      <c r="U1808" s="100"/>
      <c r="V1808" s="100"/>
      <c r="W1808" s="100"/>
      <c r="X1808" s="100"/>
      <c r="Y1808" s="100"/>
      <c r="Z1808" s="100"/>
    </row>
    <row r="1809" spans="1:26">
      <c r="A1809" s="100"/>
      <c r="B1809" s="100"/>
      <c r="C1809" s="100"/>
      <c r="D1809" s="100"/>
      <c r="E1809" s="100"/>
      <c r="F1809" s="100"/>
      <c r="G1809" s="100"/>
      <c r="H1809" s="100"/>
      <c r="I1809" s="100"/>
      <c r="J1809" s="100"/>
      <c r="K1809" s="100"/>
      <c r="L1809" s="100"/>
      <c r="M1809" s="100"/>
      <c r="N1809" s="100"/>
      <c r="O1809" s="100"/>
      <c r="P1809" s="100"/>
      <c r="Q1809" s="100"/>
      <c r="R1809" s="100"/>
      <c r="S1809" s="100"/>
      <c r="T1809" s="100"/>
      <c r="U1809" s="100"/>
      <c r="V1809" s="100"/>
      <c r="W1809" s="100"/>
      <c r="X1809" s="100"/>
      <c r="Y1809" s="100"/>
      <c r="Z1809" s="100"/>
    </row>
    <row r="1810" spans="1:26">
      <c r="A1810" s="100"/>
      <c r="B1810" s="100"/>
      <c r="C1810" s="100"/>
      <c r="D1810" s="100"/>
      <c r="E1810" s="100"/>
      <c r="F1810" s="100"/>
      <c r="G1810" s="100"/>
      <c r="H1810" s="100"/>
      <c r="I1810" s="100"/>
      <c r="J1810" s="100"/>
      <c r="K1810" s="100"/>
      <c r="L1810" s="100"/>
      <c r="M1810" s="100"/>
      <c r="N1810" s="100"/>
      <c r="O1810" s="100"/>
      <c r="P1810" s="100"/>
      <c r="Q1810" s="100"/>
      <c r="R1810" s="100"/>
      <c r="S1810" s="100"/>
      <c r="T1810" s="100"/>
      <c r="U1810" s="100"/>
      <c r="V1810" s="100"/>
      <c r="W1810" s="100"/>
      <c r="X1810" s="100"/>
      <c r="Y1810" s="100"/>
      <c r="Z1810" s="100"/>
    </row>
    <row r="1811" spans="1:26">
      <c r="A1811" s="100"/>
      <c r="B1811" s="100"/>
      <c r="C1811" s="100"/>
      <c r="D1811" s="100"/>
      <c r="E1811" s="100"/>
      <c r="F1811" s="100"/>
      <c r="G1811" s="100"/>
      <c r="H1811" s="100"/>
      <c r="I1811" s="100"/>
      <c r="J1811" s="100"/>
      <c r="K1811" s="100"/>
      <c r="L1811" s="100"/>
      <c r="M1811" s="100"/>
      <c r="N1811" s="100"/>
      <c r="O1811" s="100"/>
      <c r="P1811" s="100"/>
      <c r="Q1811" s="100"/>
      <c r="R1811" s="100"/>
      <c r="S1811" s="100"/>
      <c r="T1811" s="100"/>
      <c r="U1811" s="100"/>
      <c r="V1811" s="100"/>
      <c r="W1811" s="100"/>
      <c r="X1811" s="100"/>
      <c r="Y1811" s="100"/>
      <c r="Z1811" s="100"/>
    </row>
    <row r="1812" spans="1:26">
      <c r="A1812" s="100"/>
      <c r="B1812" s="100"/>
      <c r="C1812" s="100"/>
      <c r="D1812" s="100"/>
      <c r="E1812" s="100"/>
      <c r="F1812" s="100"/>
      <c r="G1812" s="100"/>
      <c r="H1812" s="100"/>
      <c r="I1812" s="100"/>
      <c r="J1812" s="100"/>
      <c r="K1812" s="100"/>
      <c r="L1812" s="100"/>
      <c r="M1812" s="100"/>
      <c r="N1812" s="100"/>
      <c r="O1812" s="100"/>
      <c r="P1812" s="100"/>
      <c r="Q1812" s="100"/>
      <c r="R1812" s="100"/>
      <c r="S1812" s="100"/>
      <c r="T1812" s="100"/>
      <c r="U1812" s="100"/>
      <c r="V1812" s="100"/>
      <c r="W1812" s="100"/>
      <c r="X1812" s="100"/>
      <c r="Y1812" s="100"/>
      <c r="Z1812" s="100"/>
    </row>
    <row r="1813" spans="1:26">
      <c r="A1813" s="100"/>
      <c r="B1813" s="100"/>
      <c r="C1813" s="100"/>
      <c r="D1813" s="100"/>
      <c r="E1813" s="100"/>
      <c r="F1813" s="100"/>
      <c r="G1813" s="100"/>
      <c r="H1813" s="100"/>
      <c r="I1813" s="100"/>
      <c r="J1813" s="100"/>
      <c r="K1813" s="100"/>
      <c r="L1813" s="100"/>
      <c r="M1813" s="100"/>
      <c r="N1813" s="100"/>
      <c r="O1813" s="100"/>
      <c r="P1813" s="100"/>
      <c r="Q1813" s="100"/>
      <c r="R1813" s="100"/>
      <c r="S1813" s="100"/>
      <c r="T1813" s="100"/>
      <c r="U1813" s="100"/>
      <c r="V1813" s="100"/>
      <c r="W1813" s="100"/>
      <c r="X1813" s="100"/>
      <c r="Y1813" s="100"/>
      <c r="Z1813" s="100"/>
    </row>
    <row r="1814" spans="1:26">
      <c r="A1814" s="100"/>
      <c r="B1814" s="100"/>
      <c r="C1814" s="100"/>
      <c r="D1814" s="100"/>
      <c r="E1814" s="100"/>
      <c r="F1814" s="100"/>
      <c r="G1814" s="100"/>
      <c r="H1814" s="100"/>
      <c r="I1814" s="100"/>
      <c r="J1814" s="100"/>
      <c r="K1814" s="100"/>
      <c r="L1814" s="100"/>
      <c r="M1814" s="100"/>
      <c r="N1814" s="100"/>
      <c r="O1814" s="100"/>
      <c r="P1814" s="100"/>
      <c r="Q1814" s="100"/>
      <c r="R1814" s="100"/>
      <c r="S1814" s="100"/>
      <c r="T1814" s="100"/>
      <c r="U1814" s="100"/>
      <c r="V1814" s="100"/>
      <c r="W1814" s="100"/>
      <c r="X1814" s="100"/>
      <c r="Y1814" s="100"/>
      <c r="Z1814" s="100"/>
    </row>
    <row r="1815" spans="1:26">
      <c r="A1815" s="100"/>
      <c r="B1815" s="100"/>
      <c r="C1815" s="100"/>
      <c r="D1815" s="100"/>
      <c r="E1815" s="100"/>
      <c r="F1815" s="100"/>
      <c r="G1815" s="100"/>
      <c r="H1815" s="100"/>
      <c r="I1815" s="100"/>
      <c r="J1815" s="100"/>
      <c r="K1815" s="100"/>
      <c r="L1815" s="100"/>
      <c r="M1815" s="100"/>
      <c r="N1815" s="100"/>
      <c r="O1815" s="100"/>
      <c r="P1815" s="100"/>
      <c r="Q1815" s="100"/>
      <c r="R1815" s="100"/>
      <c r="S1815" s="100"/>
      <c r="T1815" s="100"/>
      <c r="U1815" s="100"/>
      <c r="V1815" s="100"/>
      <c r="W1815" s="100"/>
      <c r="X1815" s="100"/>
      <c r="Y1815" s="100"/>
      <c r="Z1815" s="100"/>
    </row>
    <row r="1816" spans="1:26">
      <c r="A1816" s="100"/>
      <c r="B1816" s="100"/>
      <c r="C1816" s="100"/>
      <c r="D1816" s="100"/>
      <c r="E1816" s="100"/>
      <c r="F1816" s="100"/>
      <c r="G1816" s="100"/>
      <c r="H1816" s="100"/>
      <c r="I1816" s="100"/>
      <c r="J1816" s="100"/>
      <c r="K1816" s="100"/>
      <c r="L1816" s="100"/>
      <c r="M1816" s="100"/>
      <c r="N1816" s="100"/>
      <c r="O1816" s="100"/>
      <c r="P1816" s="100"/>
      <c r="Q1816" s="100"/>
      <c r="R1816" s="100"/>
      <c r="S1816" s="100"/>
      <c r="T1816" s="100"/>
      <c r="U1816" s="100"/>
      <c r="V1816" s="100"/>
      <c r="W1816" s="100"/>
      <c r="X1816" s="100"/>
      <c r="Y1816" s="100"/>
      <c r="Z1816" s="100"/>
    </row>
    <row r="1817" spans="1:26">
      <c r="A1817" s="100"/>
      <c r="B1817" s="100"/>
      <c r="C1817" s="100"/>
      <c r="D1817" s="100"/>
      <c r="E1817" s="100"/>
      <c r="F1817" s="100"/>
      <c r="G1817" s="100"/>
      <c r="H1817" s="100"/>
      <c r="I1817" s="100"/>
      <c r="J1817" s="100"/>
      <c r="K1817" s="100"/>
      <c r="L1817" s="100"/>
      <c r="M1817" s="100"/>
      <c r="N1817" s="100"/>
      <c r="O1817" s="100"/>
      <c r="P1817" s="100"/>
      <c r="Q1817" s="100"/>
      <c r="R1817" s="100"/>
      <c r="S1817" s="100"/>
      <c r="T1817" s="100"/>
      <c r="U1817" s="100"/>
      <c r="V1817" s="100"/>
      <c r="W1817" s="100"/>
      <c r="X1817" s="100"/>
      <c r="Y1817" s="100"/>
      <c r="Z1817" s="100"/>
    </row>
    <row r="1818" spans="1:26">
      <c r="A1818" s="100"/>
      <c r="B1818" s="100"/>
      <c r="C1818" s="100"/>
      <c r="D1818" s="100"/>
      <c r="E1818" s="100"/>
      <c r="F1818" s="100"/>
      <c r="G1818" s="100"/>
      <c r="H1818" s="100"/>
      <c r="I1818" s="100"/>
      <c r="J1818" s="100"/>
      <c r="K1818" s="100"/>
      <c r="L1818" s="100"/>
      <c r="M1818" s="100"/>
      <c r="N1818" s="100"/>
      <c r="O1818" s="100"/>
      <c r="P1818" s="100"/>
      <c r="Q1818" s="100"/>
      <c r="R1818" s="100"/>
      <c r="S1818" s="100"/>
      <c r="T1818" s="100"/>
      <c r="U1818" s="100"/>
      <c r="V1818" s="100"/>
      <c r="W1818" s="100"/>
      <c r="X1818" s="100"/>
      <c r="Y1818" s="100"/>
      <c r="Z1818" s="100"/>
    </row>
    <row r="1819" spans="1:26">
      <c r="A1819" s="100"/>
      <c r="B1819" s="100"/>
      <c r="C1819" s="100"/>
      <c r="D1819" s="100"/>
      <c r="E1819" s="100"/>
      <c r="F1819" s="100"/>
      <c r="G1819" s="100"/>
      <c r="H1819" s="100"/>
      <c r="I1819" s="100"/>
      <c r="J1819" s="100"/>
      <c r="K1819" s="100"/>
      <c r="L1819" s="100"/>
      <c r="M1819" s="100"/>
      <c r="N1819" s="100"/>
      <c r="O1819" s="100"/>
      <c r="P1819" s="100"/>
      <c r="Q1819" s="100"/>
      <c r="R1819" s="100"/>
      <c r="S1819" s="100"/>
      <c r="T1819" s="100"/>
      <c r="U1819" s="100"/>
      <c r="V1819" s="100"/>
      <c r="W1819" s="100"/>
      <c r="X1819" s="100"/>
      <c r="Y1819" s="100"/>
      <c r="Z1819" s="100"/>
    </row>
    <row r="1820" spans="1:26">
      <c r="A1820" s="100"/>
      <c r="B1820" s="100"/>
      <c r="C1820" s="100"/>
      <c r="D1820" s="100"/>
      <c r="E1820" s="100"/>
      <c r="F1820" s="100"/>
      <c r="G1820" s="100"/>
      <c r="H1820" s="100"/>
      <c r="I1820" s="100"/>
      <c r="J1820" s="100"/>
      <c r="K1820" s="100"/>
      <c r="L1820" s="100"/>
      <c r="M1820" s="100"/>
      <c r="N1820" s="100"/>
      <c r="O1820" s="100"/>
      <c r="P1820" s="100"/>
      <c r="Q1820" s="100"/>
      <c r="R1820" s="100"/>
      <c r="S1820" s="100"/>
      <c r="T1820" s="100"/>
      <c r="U1820" s="100"/>
      <c r="V1820" s="100"/>
      <c r="W1820" s="100"/>
      <c r="X1820" s="100"/>
      <c r="Y1820" s="100"/>
      <c r="Z1820" s="100"/>
    </row>
    <row r="1821" spans="1:26">
      <c r="A1821" s="100"/>
      <c r="B1821" s="100"/>
      <c r="C1821" s="100"/>
      <c r="D1821" s="100"/>
      <c r="E1821" s="100"/>
      <c r="F1821" s="100"/>
      <c r="G1821" s="100"/>
      <c r="H1821" s="100"/>
      <c r="I1821" s="100"/>
      <c r="J1821" s="100"/>
      <c r="K1821" s="100"/>
      <c r="L1821" s="100"/>
      <c r="M1821" s="100"/>
      <c r="N1821" s="100"/>
      <c r="O1821" s="100"/>
      <c r="P1821" s="100"/>
      <c r="Q1821" s="100"/>
      <c r="R1821" s="100"/>
      <c r="S1821" s="100"/>
      <c r="T1821" s="100"/>
      <c r="U1821" s="100"/>
      <c r="V1821" s="100"/>
      <c r="W1821" s="100"/>
      <c r="X1821" s="100"/>
      <c r="Y1821" s="100"/>
      <c r="Z1821" s="100"/>
    </row>
    <row r="1822" spans="1:26">
      <c r="A1822" s="100"/>
      <c r="B1822" s="100"/>
      <c r="C1822" s="100"/>
      <c r="D1822" s="100"/>
      <c r="E1822" s="100"/>
      <c r="F1822" s="100"/>
      <c r="G1822" s="100"/>
      <c r="H1822" s="100"/>
      <c r="I1822" s="100"/>
      <c r="J1822" s="100"/>
      <c r="K1822" s="100"/>
      <c r="L1822" s="100"/>
      <c r="M1822" s="100"/>
      <c r="N1822" s="100"/>
      <c r="O1822" s="100"/>
      <c r="P1822" s="100"/>
      <c r="Q1822" s="100"/>
      <c r="R1822" s="100"/>
      <c r="S1822" s="100"/>
      <c r="T1822" s="100"/>
      <c r="U1822" s="100"/>
      <c r="V1822" s="100"/>
      <c r="W1822" s="100"/>
      <c r="X1822" s="100"/>
      <c r="Y1822" s="100"/>
      <c r="Z1822" s="100"/>
    </row>
    <row r="1823" spans="1:26">
      <c r="A1823" s="100"/>
      <c r="B1823" s="100"/>
      <c r="C1823" s="100"/>
      <c r="D1823" s="100"/>
      <c r="E1823" s="100"/>
      <c r="F1823" s="100"/>
      <c r="G1823" s="100"/>
      <c r="H1823" s="100"/>
      <c r="I1823" s="100"/>
      <c r="J1823" s="100"/>
      <c r="K1823" s="100"/>
      <c r="L1823" s="100"/>
      <c r="M1823" s="100"/>
      <c r="N1823" s="100"/>
      <c r="O1823" s="100"/>
      <c r="P1823" s="100"/>
      <c r="Q1823" s="100"/>
      <c r="R1823" s="100"/>
      <c r="S1823" s="100"/>
      <c r="T1823" s="100"/>
      <c r="U1823" s="100"/>
      <c r="V1823" s="100"/>
      <c r="W1823" s="100"/>
      <c r="X1823" s="100"/>
      <c r="Y1823" s="100"/>
      <c r="Z1823" s="100"/>
    </row>
    <row r="1824" spans="1:26">
      <c r="A1824" s="100"/>
      <c r="B1824" s="100"/>
      <c r="C1824" s="100"/>
      <c r="D1824" s="100"/>
      <c r="E1824" s="100"/>
      <c r="F1824" s="100"/>
      <c r="G1824" s="100"/>
      <c r="H1824" s="100"/>
      <c r="I1824" s="100"/>
      <c r="J1824" s="100"/>
      <c r="K1824" s="100"/>
      <c r="L1824" s="100"/>
      <c r="M1824" s="100"/>
      <c r="N1824" s="100"/>
      <c r="O1824" s="100"/>
      <c r="P1824" s="100"/>
      <c r="Q1824" s="100"/>
      <c r="R1824" s="100"/>
      <c r="S1824" s="100"/>
      <c r="T1824" s="100"/>
      <c r="U1824" s="100"/>
      <c r="V1824" s="100"/>
      <c r="W1824" s="100"/>
      <c r="X1824" s="100"/>
      <c r="Y1824" s="100"/>
      <c r="Z1824" s="100"/>
    </row>
    <row r="1825" spans="1:26">
      <c r="A1825" s="100"/>
      <c r="B1825" s="100"/>
      <c r="C1825" s="100"/>
      <c r="D1825" s="100"/>
      <c r="E1825" s="100"/>
      <c r="F1825" s="100"/>
      <c r="G1825" s="100"/>
      <c r="H1825" s="100"/>
      <c r="I1825" s="100"/>
      <c r="J1825" s="100"/>
      <c r="K1825" s="100"/>
      <c r="L1825" s="100"/>
      <c r="M1825" s="100"/>
      <c r="N1825" s="100"/>
      <c r="O1825" s="100"/>
      <c r="P1825" s="100"/>
      <c r="Q1825" s="100"/>
      <c r="R1825" s="100"/>
      <c r="S1825" s="100"/>
      <c r="T1825" s="100"/>
      <c r="U1825" s="100"/>
      <c r="V1825" s="100"/>
      <c r="W1825" s="100"/>
      <c r="X1825" s="100"/>
      <c r="Y1825" s="100"/>
      <c r="Z1825" s="100"/>
    </row>
    <row r="1826" spans="1:26">
      <c r="A1826" s="100"/>
      <c r="B1826" s="100"/>
      <c r="C1826" s="100"/>
      <c r="D1826" s="100"/>
      <c r="E1826" s="100"/>
      <c r="F1826" s="100"/>
      <c r="G1826" s="100"/>
      <c r="H1826" s="100"/>
      <c r="I1826" s="100"/>
      <c r="J1826" s="100"/>
      <c r="K1826" s="100"/>
      <c r="L1826" s="100"/>
      <c r="M1826" s="100"/>
      <c r="N1826" s="100"/>
      <c r="O1826" s="100"/>
      <c r="P1826" s="100"/>
      <c r="Q1826" s="100"/>
      <c r="R1826" s="100"/>
      <c r="S1826" s="100"/>
      <c r="T1826" s="100"/>
      <c r="U1826" s="100"/>
      <c r="V1826" s="100"/>
      <c r="W1826" s="100"/>
      <c r="X1826" s="100"/>
      <c r="Y1826" s="100"/>
      <c r="Z1826" s="100"/>
    </row>
    <row r="1827" spans="1:26">
      <c r="A1827" s="100"/>
      <c r="B1827" s="100"/>
      <c r="C1827" s="100"/>
      <c r="D1827" s="100"/>
      <c r="E1827" s="100"/>
      <c r="F1827" s="100"/>
      <c r="G1827" s="100"/>
      <c r="H1827" s="100"/>
      <c r="I1827" s="100"/>
      <c r="J1827" s="100"/>
      <c r="K1827" s="100"/>
      <c r="L1827" s="100"/>
      <c r="M1827" s="100"/>
      <c r="N1827" s="100"/>
      <c r="O1827" s="100"/>
      <c r="P1827" s="100"/>
      <c r="Q1827" s="100"/>
      <c r="R1827" s="100"/>
      <c r="S1827" s="100"/>
      <c r="T1827" s="100"/>
      <c r="U1827" s="100"/>
      <c r="V1827" s="100"/>
      <c r="W1827" s="100"/>
      <c r="X1827" s="100"/>
      <c r="Y1827" s="100"/>
      <c r="Z1827" s="100"/>
    </row>
    <row r="1828" spans="1:26">
      <c r="A1828" s="100"/>
      <c r="B1828" s="100"/>
      <c r="C1828" s="100"/>
      <c r="D1828" s="100"/>
      <c r="E1828" s="100"/>
      <c r="F1828" s="100"/>
      <c r="G1828" s="100"/>
      <c r="H1828" s="100"/>
      <c r="I1828" s="100"/>
      <c r="J1828" s="100"/>
      <c r="K1828" s="100"/>
      <c r="L1828" s="100"/>
      <c r="M1828" s="100"/>
      <c r="N1828" s="100"/>
      <c r="O1828" s="100"/>
      <c r="P1828" s="100"/>
      <c r="Q1828" s="100"/>
      <c r="R1828" s="100"/>
      <c r="S1828" s="100"/>
      <c r="T1828" s="100"/>
      <c r="U1828" s="100"/>
      <c r="V1828" s="100"/>
      <c r="W1828" s="100"/>
      <c r="X1828" s="100"/>
      <c r="Y1828" s="100"/>
      <c r="Z1828" s="100"/>
    </row>
    <row r="1829" spans="1:26">
      <c r="A1829" s="100"/>
      <c r="B1829" s="100"/>
      <c r="C1829" s="100"/>
      <c r="D1829" s="100"/>
      <c r="E1829" s="100"/>
      <c r="F1829" s="100"/>
      <c r="G1829" s="100"/>
      <c r="H1829" s="100"/>
      <c r="I1829" s="100"/>
      <c r="J1829" s="100"/>
      <c r="K1829" s="100"/>
      <c r="L1829" s="100"/>
      <c r="M1829" s="100"/>
      <c r="N1829" s="100"/>
      <c r="O1829" s="100"/>
      <c r="P1829" s="100"/>
      <c r="Q1829" s="100"/>
      <c r="R1829" s="100"/>
      <c r="S1829" s="100"/>
      <c r="T1829" s="100"/>
      <c r="U1829" s="100"/>
      <c r="V1829" s="100"/>
      <c r="W1829" s="100"/>
      <c r="X1829" s="100"/>
      <c r="Y1829" s="100"/>
      <c r="Z1829" s="100"/>
    </row>
    <row r="1830" spans="1:26">
      <c r="A1830" s="100"/>
      <c r="B1830" s="100"/>
      <c r="C1830" s="100"/>
      <c r="D1830" s="100"/>
      <c r="E1830" s="100"/>
      <c r="F1830" s="100"/>
      <c r="G1830" s="100"/>
      <c r="H1830" s="100"/>
      <c r="I1830" s="100"/>
      <c r="J1830" s="100"/>
      <c r="K1830" s="100"/>
      <c r="L1830" s="100"/>
      <c r="M1830" s="100"/>
      <c r="N1830" s="100"/>
      <c r="O1830" s="100"/>
      <c r="P1830" s="100"/>
      <c r="Q1830" s="100"/>
      <c r="R1830" s="100"/>
      <c r="S1830" s="100"/>
      <c r="T1830" s="100"/>
      <c r="U1830" s="100"/>
      <c r="V1830" s="100"/>
      <c r="W1830" s="100"/>
      <c r="X1830" s="100"/>
      <c r="Y1830" s="100"/>
      <c r="Z1830" s="100"/>
    </row>
    <row r="1831" spans="1:26">
      <c r="A1831" s="100"/>
      <c r="B1831" s="100"/>
      <c r="C1831" s="100"/>
      <c r="D1831" s="100"/>
      <c r="E1831" s="100"/>
      <c r="F1831" s="100"/>
      <c r="G1831" s="100"/>
      <c r="H1831" s="100"/>
      <c r="I1831" s="100"/>
      <c r="J1831" s="100"/>
      <c r="K1831" s="100"/>
      <c r="L1831" s="100"/>
      <c r="M1831" s="100"/>
      <c r="N1831" s="100"/>
      <c r="O1831" s="100"/>
      <c r="P1831" s="100"/>
      <c r="Q1831" s="100"/>
      <c r="R1831" s="100"/>
      <c r="S1831" s="100"/>
      <c r="T1831" s="100"/>
      <c r="U1831" s="100"/>
      <c r="V1831" s="100"/>
      <c r="W1831" s="100"/>
      <c r="X1831" s="100"/>
      <c r="Y1831" s="100"/>
      <c r="Z1831" s="100"/>
    </row>
    <row r="1832" spans="1:26">
      <c r="A1832" s="100"/>
      <c r="B1832" s="100"/>
      <c r="C1832" s="100"/>
      <c r="D1832" s="100"/>
      <c r="E1832" s="100"/>
      <c r="F1832" s="100"/>
      <c r="G1832" s="100"/>
      <c r="H1832" s="100"/>
      <c r="I1832" s="100"/>
      <c r="J1832" s="100"/>
      <c r="K1832" s="100"/>
      <c r="L1832" s="100"/>
      <c r="M1832" s="100"/>
      <c r="N1832" s="100"/>
      <c r="O1832" s="100"/>
      <c r="P1832" s="100"/>
      <c r="Q1832" s="100"/>
      <c r="R1832" s="100"/>
      <c r="S1832" s="100"/>
      <c r="T1832" s="100"/>
      <c r="U1832" s="100"/>
      <c r="V1832" s="100"/>
      <c r="W1832" s="100"/>
      <c r="X1832" s="100"/>
      <c r="Y1832" s="100"/>
      <c r="Z1832" s="100"/>
    </row>
    <row r="1833" spans="1:26">
      <c r="A1833" s="100"/>
      <c r="B1833" s="100"/>
      <c r="C1833" s="100"/>
      <c r="D1833" s="100"/>
      <c r="E1833" s="100"/>
      <c r="F1833" s="100"/>
      <c r="G1833" s="100"/>
      <c r="H1833" s="100"/>
      <c r="I1833" s="100"/>
      <c r="J1833" s="100"/>
      <c r="K1833" s="100"/>
      <c r="L1833" s="100"/>
      <c r="M1833" s="100"/>
      <c r="N1833" s="100"/>
      <c r="O1833" s="100"/>
      <c r="P1833" s="100"/>
      <c r="Q1833" s="100"/>
      <c r="R1833" s="100"/>
      <c r="S1833" s="100"/>
      <c r="T1833" s="100"/>
      <c r="U1833" s="100"/>
      <c r="V1833" s="100"/>
      <c r="W1833" s="100"/>
      <c r="X1833" s="100"/>
      <c r="Y1833" s="100"/>
      <c r="Z1833" s="100"/>
    </row>
    <row r="1834" spans="1:26">
      <c r="A1834" s="100"/>
      <c r="B1834" s="100"/>
      <c r="C1834" s="100"/>
      <c r="D1834" s="100"/>
      <c r="E1834" s="100"/>
      <c r="F1834" s="100"/>
      <c r="G1834" s="100"/>
      <c r="H1834" s="100"/>
      <c r="I1834" s="100"/>
      <c r="J1834" s="100"/>
      <c r="K1834" s="100"/>
      <c r="L1834" s="100"/>
      <c r="M1834" s="100"/>
      <c r="N1834" s="100"/>
      <c r="O1834" s="100"/>
      <c r="P1834" s="100"/>
      <c r="Q1834" s="100"/>
      <c r="R1834" s="100"/>
      <c r="S1834" s="100"/>
      <c r="T1834" s="100"/>
      <c r="U1834" s="100"/>
      <c r="V1834" s="100"/>
      <c r="W1834" s="100"/>
      <c r="X1834" s="100"/>
      <c r="Y1834" s="100"/>
      <c r="Z1834" s="100"/>
    </row>
    <row r="1835" spans="1:26">
      <c r="A1835" s="100"/>
      <c r="B1835" s="100"/>
      <c r="C1835" s="100"/>
      <c r="D1835" s="100"/>
      <c r="E1835" s="100"/>
      <c r="F1835" s="100"/>
      <c r="G1835" s="100"/>
      <c r="H1835" s="100"/>
      <c r="I1835" s="100"/>
      <c r="J1835" s="100"/>
      <c r="K1835" s="100"/>
      <c r="L1835" s="100"/>
      <c r="M1835" s="100"/>
      <c r="N1835" s="100"/>
      <c r="O1835" s="100"/>
      <c r="P1835" s="100"/>
      <c r="Q1835" s="100"/>
      <c r="R1835" s="100"/>
      <c r="S1835" s="100"/>
      <c r="T1835" s="100"/>
      <c r="U1835" s="100"/>
      <c r="V1835" s="100"/>
      <c r="W1835" s="100"/>
      <c r="X1835" s="100"/>
      <c r="Y1835" s="100"/>
      <c r="Z1835" s="100"/>
    </row>
    <row r="1836" spans="1:26">
      <c r="A1836" s="100"/>
      <c r="B1836" s="100"/>
      <c r="C1836" s="100"/>
      <c r="D1836" s="100"/>
      <c r="E1836" s="100"/>
      <c r="F1836" s="100"/>
      <c r="G1836" s="100"/>
      <c r="H1836" s="100"/>
      <c r="I1836" s="100"/>
      <c r="J1836" s="100"/>
      <c r="K1836" s="100"/>
      <c r="L1836" s="100"/>
      <c r="M1836" s="100"/>
      <c r="N1836" s="100"/>
      <c r="O1836" s="100"/>
      <c r="P1836" s="100"/>
      <c r="Q1836" s="100"/>
      <c r="R1836" s="100"/>
      <c r="S1836" s="100"/>
      <c r="T1836" s="100"/>
      <c r="U1836" s="100"/>
      <c r="V1836" s="100"/>
      <c r="W1836" s="100"/>
      <c r="X1836" s="100"/>
      <c r="Y1836" s="100"/>
      <c r="Z1836" s="100"/>
    </row>
    <row r="1837" spans="1:26">
      <c r="A1837" s="100"/>
      <c r="B1837" s="100"/>
      <c r="C1837" s="100"/>
      <c r="D1837" s="100"/>
      <c r="E1837" s="100"/>
      <c r="F1837" s="100"/>
      <c r="G1837" s="100"/>
      <c r="H1837" s="100"/>
      <c r="I1837" s="100"/>
      <c r="J1837" s="100"/>
      <c r="K1837" s="100"/>
      <c r="L1837" s="100"/>
      <c r="M1837" s="100"/>
      <c r="N1837" s="100"/>
      <c r="O1837" s="100"/>
      <c r="P1837" s="100"/>
      <c r="Q1837" s="100"/>
      <c r="R1837" s="100"/>
      <c r="S1837" s="100"/>
      <c r="T1837" s="100"/>
      <c r="U1837" s="100"/>
      <c r="V1837" s="100"/>
      <c r="W1837" s="100"/>
      <c r="X1837" s="100"/>
      <c r="Y1837" s="100"/>
      <c r="Z1837" s="100"/>
    </row>
    <row r="1838" spans="1:26">
      <c r="A1838" s="100"/>
      <c r="B1838" s="100"/>
      <c r="C1838" s="100"/>
      <c r="D1838" s="100"/>
      <c r="E1838" s="100"/>
      <c r="F1838" s="100"/>
      <c r="G1838" s="100"/>
      <c r="H1838" s="100"/>
      <c r="I1838" s="100"/>
      <c r="J1838" s="100"/>
      <c r="K1838" s="100"/>
      <c r="L1838" s="100"/>
      <c r="M1838" s="100"/>
      <c r="N1838" s="100"/>
      <c r="O1838" s="100"/>
      <c r="P1838" s="100"/>
      <c r="Q1838" s="100"/>
      <c r="R1838" s="100"/>
      <c r="S1838" s="100"/>
      <c r="T1838" s="100"/>
      <c r="U1838" s="100"/>
      <c r="V1838" s="100"/>
      <c r="W1838" s="100"/>
      <c r="X1838" s="100"/>
      <c r="Y1838" s="100"/>
      <c r="Z1838" s="100"/>
    </row>
    <row r="1839" spans="1:26">
      <c r="A1839" s="100"/>
      <c r="B1839" s="100"/>
      <c r="C1839" s="100"/>
      <c r="D1839" s="100"/>
      <c r="E1839" s="100"/>
      <c r="F1839" s="100"/>
      <c r="G1839" s="100"/>
      <c r="H1839" s="100"/>
      <c r="I1839" s="100"/>
      <c r="J1839" s="100"/>
      <c r="K1839" s="100"/>
      <c r="L1839" s="100"/>
      <c r="M1839" s="100"/>
      <c r="N1839" s="100"/>
      <c r="O1839" s="100"/>
      <c r="P1839" s="100"/>
      <c r="Q1839" s="100"/>
      <c r="R1839" s="100"/>
      <c r="S1839" s="100"/>
      <c r="T1839" s="100"/>
      <c r="U1839" s="100"/>
      <c r="V1839" s="100"/>
      <c r="W1839" s="100"/>
      <c r="X1839" s="100"/>
      <c r="Y1839" s="100"/>
      <c r="Z1839" s="100"/>
    </row>
    <row r="1840" spans="1:26">
      <c r="A1840" s="100"/>
      <c r="B1840" s="100"/>
      <c r="C1840" s="100"/>
      <c r="D1840" s="100"/>
      <c r="E1840" s="100"/>
      <c r="F1840" s="100"/>
      <c r="G1840" s="100"/>
      <c r="H1840" s="100"/>
      <c r="I1840" s="100"/>
      <c r="J1840" s="100"/>
      <c r="K1840" s="100"/>
      <c r="L1840" s="100"/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</row>
    <row r="1841" spans="1:26">
      <c r="A1841" s="100"/>
      <c r="B1841" s="100"/>
      <c r="C1841" s="100"/>
      <c r="D1841" s="100"/>
      <c r="E1841" s="100"/>
      <c r="F1841" s="100"/>
      <c r="G1841" s="100"/>
      <c r="H1841" s="100"/>
      <c r="I1841" s="100"/>
      <c r="J1841" s="100"/>
      <c r="K1841" s="100"/>
      <c r="L1841" s="100"/>
      <c r="M1841" s="100"/>
      <c r="N1841" s="100"/>
      <c r="O1841" s="100"/>
      <c r="P1841" s="100"/>
      <c r="Q1841" s="100"/>
      <c r="R1841" s="100"/>
      <c r="S1841" s="100"/>
      <c r="T1841" s="100"/>
      <c r="U1841" s="100"/>
      <c r="V1841" s="100"/>
      <c r="W1841" s="100"/>
      <c r="X1841" s="100"/>
      <c r="Y1841" s="100"/>
      <c r="Z1841" s="100"/>
    </row>
    <row r="1842" spans="1:26">
      <c r="A1842" s="100"/>
      <c r="B1842" s="100"/>
      <c r="C1842" s="100"/>
      <c r="D1842" s="100"/>
      <c r="E1842" s="100"/>
      <c r="F1842" s="100"/>
      <c r="G1842" s="100"/>
      <c r="H1842" s="100"/>
      <c r="I1842" s="100"/>
      <c r="J1842" s="100"/>
      <c r="K1842" s="100"/>
      <c r="L1842" s="100"/>
      <c r="M1842" s="100"/>
      <c r="N1842" s="100"/>
      <c r="O1842" s="100"/>
      <c r="P1842" s="100"/>
      <c r="Q1842" s="100"/>
      <c r="R1842" s="100"/>
      <c r="S1842" s="100"/>
      <c r="T1842" s="100"/>
      <c r="U1842" s="100"/>
      <c r="V1842" s="100"/>
      <c r="W1842" s="100"/>
      <c r="X1842" s="100"/>
      <c r="Y1842" s="100"/>
      <c r="Z1842" s="100"/>
    </row>
    <row r="1843" spans="1:26">
      <c r="A1843" s="100"/>
      <c r="B1843" s="100"/>
      <c r="C1843" s="100"/>
      <c r="D1843" s="100"/>
      <c r="E1843" s="100"/>
      <c r="F1843" s="100"/>
      <c r="G1843" s="100"/>
      <c r="H1843" s="100"/>
      <c r="I1843" s="100"/>
      <c r="J1843" s="100"/>
      <c r="K1843" s="100"/>
      <c r="L1843" s="100"/>
      <c r="M1843" s="100"/>
      <c r="N1843" s="100"/>
      <c r="O1843" s="100"/>
      <c r="P1843" s="100"/>
      <c r="Q1843" s="100"/>
      <c r="R1843" s="100"/>
      <c r="S1843" s="100"/>
      <c r="T1843" s="100"/>
      <c r="U1843" s="100"/>
      <c r="V1843" s="100"/>
      <c r="W1843" s="100"/>
      <c r="X1843" s="100"/>
      <c r="Y1843" s="100"/>
      <c r="Z1843" s="100"/>
    </row>
    <row r="1844" spans="1:26">
      <c r="A1844" s="100"/>
      <c r="B1844" s="100"/>
      <c r="C1844" s="100"/>
      <c r="D1844" s="100"/>
      <c r="E1844" s="100"/>
      <c r="F1844" s="100"/>
      <c r="G1844" s="100"/>
      <c r="H1844" s="100"/>
      <c r="I1844" s="100"/>
      <c r="J1844" s="100"/>
      <c r="K1844" s="100"/>
      <c r="L1844" s="100"/>
      <c r="M1844" s="100"/>
      <c r="N1844" s="100"/>
      <c r="O1844" s="100"/>
      <c r="P1844" s="100"/>
      <c r="Q1844" s="100"/>
      <c r="R1844" s="100"/>
      <c r="S1844" s="100"/>
      <c r="T1844" s="100"/>
      <c r="U1844" s="100"/>
      <c r="V1844" s="100"/>
      <c r="W1844" s="100"/>
      <c r="X1844" s="100"/>
      <c r="Y1844" s="100"/>
      <c r="Z1844" s="100"/>
    </row>
    <row r="1845" spans="1:26">
      <c r="A1845" s="100"/>
      <c r="B1845" s="100"/>
      <c r="C1845" s="100"/>
      <c r="D1845" s="100"/>
      <c r="E1845" s="100"/>
      <c r="F1845" s="100"/>
      <c r="G1845" s="100"/>
      <c r="H1845" s="100"/>
      <c r="I1845" s="100"/>
      <c r="J1845" s="100"/>
      <c r="K1845" s="100"/>
      <c r="L1845" s="100"/>
      <c r="M1845" s="100"/>
      <c r="N1845" s="100"/>
      <c r="O1845" s="100"/>
      <c r="P1845" s="100"/>
      <c r="Q1845" s="100"/>
      <c r="R1845" s="100"/>
      <c r="S1845" s="100"/>
      <c r="T1845" s="100"/>
      <c r="U1845" s="100"/>
      <c r="V1845" s="100"/>
      <c r="W1845" s="100"/>
      <c r="X1845" s="100"/>
      <c r="Y1845" s="100"/>
      <c r="Z1845" s="100"/>
    </row>
    <row r="1846" spans="1:26">
      <c r="A1846" s="100"/>
      <c r="B1846" s="100"/>
      <c r="C1846" s="100"/>
      <c r="D1846" s="100"/>
      <c r="E1846" s="100"/>
      <c r="F1846" s="100"/>
      <c r="G1846" s="100"/>
      <c r="H1846" s="100"/>
      <c r="I1846" s="100"/>
      <c r="J1846" s="100"/>
      <c r="K1846" s="100"/>
      <c r="L1846" s="100"/>
      <c r="M1846" s="100"/>
      <c r="N1846" s="100"/>
      <c r="O1846" s="100"/>
      <c r="P1846" s="100"/>
      <c r="Q1846" s="100"/>
      <c r="R1846" s="100"/>
      <c r="S1846" s="100"/>
      <c r="T1846" s="100"/>
      <c r="U1846" s="100"/>
      <c r="V1846" s="100"/>
      <c r="W1846" s="100"/>
      <c r="X1846" s="100"/>
      <c r="Y1846" s="100"/>
      <c r="Z1846" s="100"/>
    </row>
    <row r="1847" spans="1:26">
      <c r="A1847" s="100"/>
      <c r="B1847" s="100"/>
      <c r="C1847" s="100"/>
      <c r="D1847" s="100"/>
      <c r="E1847" s="100"/>
      <c r="F1847" s="100"/>
      <c r="G1847" s="100"/>
      <c r="H1847" s="100"/>
      <c r="I1847" s="100"/>
      <c r="J1847" s="100"/>
      <c r="K1847" s="100"/>
      <c r="L1847" s="100"/>
      <c r="M1847" s="100"/>
      <c r="N1847" s="100"/>
      <c r="O1847" s="100"/>
      <c r="P1847" s="100"/>
      <c r="Q1847" s="100"/>
      <c r="R1847" s="100"/>
      <c r="S1847" s="100"/>
      <c r="T1847" s="100"/>
      <c r="U1847" s="100"/>
      <c r="V1847" s="100"/>
      <c r="W1847" s="100"/>
      <c r="X1847" s="100"/>
      <c r="Y1847" s="100"/>
      <c r="Z1847" s="100"/>
    </row>
    <row r="1848" spans="1:26">
      <c r="A1848" s="100"/>
      <c r="B1848" s="100"/>
      <c r="C1848" s="100"/>
      <c r="D1848" s="100"/>
      <c r="E1848" s="100"/>
      <c r="F1848" s="100"/>
      <c r="G1848" s="100"/>
      <c r="H1848" s="100"/>
      <c r="I1848" s="100"/>
      <c r="J1848" s="100"/>
      <c r="K1848" s="100"/>
      <c r="L1848" s="100"/>
      <c r="M1848" s="100"/>
      <c r="N1848" s="100"/>
      <c r="O1848" s="100"/>
      <c r="P1848" s="100"/>
      <c r="Q1848" s="100"/>
      <c r="R1848" s="100"/>
      <c r="S1848" s="100"/>
      <c r="T1848" s="100"/>
      <c r="U1848" s="100"/>
      <c r="V1848" s="100"/>
      <c r="W1848" s="100"/>
      <c r="X1848" s="100"/>
      <c r="Y1848" s="100"/>
      <c r="Z1848" s="100"/>
    </row>
    <row r="1849" spans="1:26">
      <c r="A1849" s="100"/>
      <c r="B1849" s="100"/>
      <c r="C1849" s="100"/>
      <c r="D1849" s="100"/>
      <c r="E1849" s="100"/>
      <c r="F1849" s="100"/>
      <c r="G1849" s="100"/>
      <c r="H1849" s="100"/>
      <c r="I1849" s="100"/>
      <c r="J1849" s="100"/>
      <c r="K1849" s="100"/>
      <c r="L1849" s="100"/>
      <c r="M1849" s="100"/>
      <c r="N1849" s="100"/>
      <c r="O1849" s="100"/>
      <c r="P1849" s="100"/>
      <c r="Q1849" s="100"/>
      <c r="R1849" s="100"/>
      <c r="S1849" s="100"/>
      <c r="T1849" s="100"/>
      <c r="U1849" s="100"/>
      <c r="V1849" s="100"/>
      <c r="W1849" s="100"/>
      <c r="X1849" s="100"/>
      <c r="Y1849" s="100"/>
      <c r="Z1849" s="100"/>
    </row>
    <row r="1850" spans="1:26">
      <c r="A1850" s="100"/>
      <c r="B1850" s="100"/>
      <c r="C1850" s="100"/>
      <c r="D1850" s="100"/>
      <c r="E1850" s="100"/>
      <c r="F1850" s="100"/>
      <c r="G1850" s="100"/>
      <c r="H1850" s="100"/>
      <c r="I1850" s="100"/>
      <c r="J1850" s="100"/>
      <c r="K1850" s="100"/>
      <c r="L1850" s="100"/>
      <c r="M1850" s="100"/>
      <c r="N1850" s="100"/>
      <c r="O1850" s="100"/>
      <c r="P1850" s="100"/>
      <c r="Q1850" s="100"/>
      <c r="R1850" s="100"/>
      <c r="S1850" s="100"/>
      <c r="T1850" s="100"/>
      <c r="U1850" s="100"/>
      <c r="V1850" s="100"/>
      <c r="W1850" s="100"/>
      <c r="X1850" s="100"/>
      <c r="Y1850" s="100"/>
      <c r="Z1850" s="100"/>
    </row>
    <row r="1851" spans="1:26">
      <c r="A1851" s="100"/>
      <c r="B1851" s="100"/>
      <c r="C1851" s="100"/>
      <c r="D1851" s="100"/>
      <c r="E1851" s="100"/>
      <c r="F1851" s="100"/>
      <c r="G1851" s="100"/>
      <c r="H1851" s="100"/>
      <c r="I1851" s="100"/>
      <c r="J1851" s="100"/>
      <c r="K1851" s="100"/>
      <c r="L1851" s="100"/>
      <c r="M1851" s="100"/>
      <c r="N1851" s="100"/>
      <c r="O1851" s="100"/>
      <c r="P1851" s="100"/>
      <c r="Q1851" s="100"/>
      <c r="R1851" s="100"/>
      <c r="S1851" s="100"/>
      <c r="T1851" s="100"/>
      <c r="U1851" s="100"/>
      <c r="V1851" s="100"/>
      <c r="W1851" s="100"/>
      <c r="X1851" s="100"/>
      <c r="Y1851" s="100"/>
      <c r="Z1851" s="100"/>
    </row>
    <row r="1852" spans="1:26">
      <c r="A1852" s="100"/>
      <c r="B1852" s="100"/>
      <c r="C1852" s="100"/>
      <c r="D1852" s="100"/>
      <c r="E1852" s="100"/>
      <c r="F1852" s="100"/>
      <c r="G1852" s="100"/>
      <c r="H1852" s="100"/>
      <c r="I1852" s="100"/>
      <c r="J1852" s="100"/>
      <c r="K1852" s="100"/>
      <c r="L1852" s="100"/>
      <c r="M1852" s="100"/>
      <c r="N1852" s="100"/>
      <c r="O1852" s="100"/>
      <c r="P1852" s="100"/>
      <c r="Q1852" s="100"/>
      <c r="R1852" s="100"/>
      <c r="S1852" s="100"/>
      <c r="T1852" s="100"/>
      <c r="U1852" s="100"/>
      <c r="V1852" s="100"/>
      <c r="W1852" s="100"/>
      <c r="X1852" s="100"/>
      <c r="Y1852" s="100"/>
      <c r="Z1852" s="100"/>
    </row>
    <row r="1853" spans="1:26">
      <c r="A1853" s="100"/>
      <c r="B1853" s="100"/>
      <c r="C1853" s="100"/>
      <c r="D1853" s="100"/>
      <c r="E1853" s="100"/>
      <c r="F1853" s="100"/>
      <c r="G1853" s="100"/>
      <c r="H1853" s="100"/>
      <c r="I1853" s="100"/>
      <c r="J1853" s="100"/>
      <c r="K1853" s="100"/>
      <c r="L1853" s="100"/>
      <c r="M1853" s="100"/>
      <c r="N1853" s="100"/>
      <c r="O1853" s="100"/>
      <c r="P1853" s="100"/>
      <c r="Q1853" s="100"/>
      <c r="R1853" s="100"/>
      <c r="S1853" s="100"/>
      <c r="T1853" s="100"/>
      <c r="U1853" s="100"/>
      <c r="V1853" s="100"/>
      <c r="W1853" s="100"/>
      <c r="X1853" s="100"/>
      <c r="Y1853" s="100"/>
      <c r="Z1853" s="100"/>
    </row>
    <row r="1854" spans="1:26">
      <c r="A1854" s="100"/>
      <c r="B1854" s="100"/>
      <c r="C1854" s="100"/>
      <c r="D1854" s="100"/>
      <c r="E1854" s="100"/>
      <c r="F1854" s="100"/>
      <c r="G1854" s="100"/>
      <c r="H1854" s="100"/>
      <c r="I1854" s="100"/>
      <c r="J1854" s="100"/>
      <c r="K1854" s="100"/>
      <c r="L1854" s="100"/>
      <c r="M1854" s="100"/>
      <c r="N1854" s="100"/>
      <c r="O1854" s="100"/>
      <c r="P1854" s="100"/>
      <c r="Q1854" s="100"/>
      <c r="R1854" s="100"/>
      <c r="S1854" s="100"/>
      <c r="T1854" s="100"/>
      <c r="U1854" s="100"/>
      <c r="V1854" s="100"/>
      <c r="W1854" s="100"/>
      <c r="X1854" s="100"/>
      <c r="Y1854" s="100"/>
      <c r="Z1854" s="100"/>
    </row>
    <row r="1855" spans="1:26">
      <c r="A1855" s="100"/>
      <c r="B1855" s="100"/>
      <c r="C1855" s="100"/>
      <c r="D1855" s="100"/>
      <c r="E1855" s="100"/>
      <c r="F1855" s="100"/>
      <c r="G1855" s="100"/>
      <c r="H1855" s="100"/>
      <c r="I1855" s="100"/>
      <c r="J1855" s="100"/>
      <c r="K1855" s="100"/>
      <c r="L1855" s="100"/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</row>
    <row r="1856" spans="1:26">
      <c r="A1856" s="100"/>
      <c r="B1856" s="100"/>
      <c r="C1856" s="100"/>
      <c r="D1856" s="100"/>
      <c r="E1856" s="100"/>
      <c r="F1856" s="100"/>
      <c r="G1856" s="100"/>
      <c r="H1856" s="100"/>
      <c r="I1856" s="100"/>
      <c r="J1856" s="100"/>
      <c r="K1856" s="100"/>
      <c r="L1856" s="100"/>
      <c r="M1856" s="100"/>
      <c r="N1856" s="100"/>
      <c r="O1856" s="100"/>
      <c r="P1856" s="100"/>
      <c r="Q1856" s="100"/>
      <c r="R1856" s="100"/>
      <c r="S1856" s="100"/>
      <c r="T1856" s="100"/>
      <c r="U1856" s="100"/>
      <c r="V1856" s="100"/>
      <c r="W1856" s="100"/>
      <c r="X1856" s="100"/>
      <c r="Y1856" s="100"/>
      <c r="Z1856" s="100"/>
    </row>
    <row r="1857" spans="1:26">
      <c r="A1857" s="100"/>
      <c r="B1857" s="100"/>
      <c r="C1857" s="100"/>
      <c r="D1857" s="100"/>
      <c r="E1857" s="100"/>
      <c r="F1857" s="100"/>
      <c r="G1857" s="100"/>
      <c r="H1857" s="100"/>
      <c r="I1857" s="100"/>
      <c r="J1857" s="100"/>
      <c r="K1857" s="100"/>
      <c r="L1857" s="100"/>
      <c r="M1857" s="100"/>
      <c r="N1857" s="100"/>
      <c r="O1857" s="100"/>
      <c r="P1857" s="100"/>
      <c r="Q1857" s="100"/>
      <c r="R1857" s="100"/>
      <c r="S1857" s="100"/>
      <c r="T1857" s="100"/>
      <c r="U1857" s="100"/>
      <c r="V1857" s="100"/>
      <c r="W1857" s="100"/>
      <c r="X1857" s="100"/>
      <c r="Y1857" s="100"/>
      <c r="Z1857" s="100"/>
    </row>
    <row r="1858" spans="1:26">
      <c r="A1858" s="100"/>
      <c r="B1858" s="100"/>
      <c r="C1858" s="100"/>
      <c r="D1858" s="100"/>
      <c r="E1858" s="100"/>
      <c r="F1858" s="100"/>
      <c r="G1858" s="100"/>
      <c r="H1858" s="100"/>
      <c r="I1858" s="100"/>
      <c r="J1858" s="100"/>
      <c r="K1858" s="100"/>
      <c r="L1858" s="100"/>
      <c r="M1858" s="100"/>
      <c r="N1858" s="100"/>
      <c r="O1858" s="100"/>
      <c r="P1858" s="100"/>
      <c r="Q1858" s="100"/>
      <c r="R1858" s="100"/>
      <c r="S1858" s="100"/>
      <c r="T1858" s="100"/>
      <c r="U1858" s="100"/>
      <c r="V1858" s="100"/>
      <c r="W1858" s="100"/>
      <c r="X1858" s="100"/>
      <c r="Y1858" s="100"/>
      <c r="Z1858" s="100"/>
    </row>
    <row r="1859" spans="1:26">
      <c r="A1859" s="100"/>
      <c r="B1859" s="100"/>
      <c r="C1859" s="100"/>
      <c r="D1859" s="100"/>
      <c r="E1859" s="100"/>
      <c r="F1859" s="100"/>
      <c r="G1859" s="100"/>
      <c r="H1859" s="100"/>
      <c r="I1859" s="100"/>
      <c r="J1859" s="100"/>
      <c r="K1859" s="100"/>
      <c r="L1859" s="100"/>
      <c r="M1859" s="100"/>
      <c r="N1859" s="100"/>
      <c r="O1859" s="100"/>
      <c r="P1859" s="100"/>
      <c r="Q1859" s="100"/>
      <c r="R1859" s="100"/>
      <c r="S1859" s="100"/>
      <c r="T1859" s="100"/>
      <c r="U1859" s="100"/>
      <c r="V1859" s="100"/>
      <c r="W1859" s="100"/>
      <c r="X1859" s="100"/>
      <c r="Y1859" s="100"/>
      <c r="Z1859" s="100"/>
    </row>
    <row r="1860" spans="1:26">
      <c r="A1860" s="100"/>
      <c r="B1860" s="100"/>
      <c r="C1860" s="100"/>
      <c r="D1860" s="100"/>
      <c r="E1860" s="100"/>
      <c r="F1860" s="100"/>
      <c r="G1860" s="100"/>
      <c r="H1860" s="100"/>
      <c r="I1860" s="100"/>
      <c r="J1860" s="100"/>
      <c r="K1860" s="100"/>
      <c r="L1860" s="100"/>
      <c r="M1860" s="100"/>
      <c r="N1860" s="100"/>
      <c r="O1860" s="100"/>
      <c r="P1860" s="100"/>
      <c r="Q1860" s="100"/>
      <c r="R1860" s="100"/>
      <c r="S1860" s="100"/>
      <c r="T1860" s="100"/>
      <c r="U1860" s="100"/>
      <c r="V1860" s="100"/>
      <c r="W1860" s="100"/>
      <c r="X1860" s="100"/>
      <c r="Y1860" s="100"/>
      <c r="Z1860" s="100"/>
    </row>
    <row r="1861" spans="1:26">
      <c r="A1861" s="100"/>
      <c r="B1861" s="100"/>
      <c r="C1861" s="100"/>
      <c r="D1861" s="100"/>
      <c r="E1861" s="100"/>
      <c r="F1861" s="100"/>
      <c r="G1861" s="100"/>
      <c r="H1861" s="100"/>
      <c r="I1861" s="100"/>
      <c r="J1861" s="100"/>
      <c r="K1861" s="100"/>
      <c r="L1861" s="100"/>
      <c r="M1861" s="100"/>
      <c r="N1861" s="100"/>
      <c r="O1861" s="100"/>
      <c r="P1861" s="100"/>
      <c r="Q1861" s="100"/>
      <c r="R1861" s="100"/>
      <c r="S1861" s="100"/>
      <c r="T1861" s="100"/>
      <c r="U1861" s="100"/>
      <c r="V1861" s="100"/>
      <c r="W1861" s="100"/>
      <c r="X1861" s="100"/>
      <c r="Y1861" s="100"/>
      <c r="Z1861" s="100"/>
    </row>
    <row r="1862" spans="1:26">
      <c r="A1862" s="100"/>
      <c r="B1862" s="100"/>
      <c r="C1862" s="100"/>
      <c r="D1862" s="100"/>
      <c r="E1862" s="100"/>
      <c r="F1862" s="100"/>
      <c r="G1862" s="100"/>
      <c r="H1862" s="100"/>
      <c r="I1862" s="100"/>
      <c r="J1862" s="100"/>
      <c r="K1862" s="100"/>
      <c r="L1862" s="100"/>
      <c r="M1862" s="100"/>
      <c r="N1862" s="100"/>
      <c r="O1862" s="100"/>
      <c r="P1862" s="100"/>
      <c r="Q1862" s="100"/>
      <c r="R1862" s="100"/>
      <c r="S1862" s="100"/>
      <c r="T1862" s="100"/>
      <c r="U1862" s="100"/>
      <c r="V1862" s="100"/>
      <c r="W1862" s="100"/>
      <c r="X1862" s="100"/>
      <c r="Y1862" s="100"/>
      <c r="Z1862" s="100"/>
    </row>
    <row r="1863" spans="1:26">
      <c r="A1863" s="100"/>
      <c r="B1863" s="100"/>
      <c r="C1863" s="100"/>
      <c r="D1863" s="100"/>
      <c r="E1863" s="100"/>
      <c r="F1863" s="100"/>
      <c r="G1863" s="100"/>
      <c r="H1863" s="100"/>
      <c r="I1863" s="100"/>
      <c r="J1863" s="100"/>
      <c r="K1863" s="100"/>
      <c r="L1863" s="100"/>
      <c r="M1863" s="100"/>
      <c r="N1863" s="100"/>
      <c r="O1863" s="100"/>
      <c r="P1863" s="100"/>
      <c r="Q1863" s="100"/>
      <c r="R1863" s="100"/>
      <c r="S1863" s="100"/>
      <c r="T1863" s="100"/>
      <c r="U1863" s="100"/>
      <c r="V1863" s="100"/>
      <c r="W1863" s="100"/>
      <c r="X1863" s="100"/>
      <c r="Y1863" s="100"/>
      <c r="Z1863" s="100"/>
    </row>
    <row r="1864" spans="1:26">
      <c r="A1864" s="100"/>
      <c r="B1864" s="100"/>
      <c r="C1864" s="100"/>
      <c r="D1864" s="100"/>
      <c r="E1864" s="100"/>
      <c r="F1864" s="100"/>
      <c r="G1864" s="100"/>
      <c r="H1864" s="100"/>
      <c r="I1864" s="100"/>
      <c r="J1864" s="100"/>
      <c r="K1864" s="100"/>
      <c r="L1864" s="100"/>
      <c r="M1864" s="100"/>
      <c r="N1864" s="100"/>
      <c r="O1864" s="100"/>
      <c r="P1864" s="100"/>
      <c r="Q1864" s="100"/>
      <c r="R1864" s="100"/>
      <c r="S1864" s="100"/>
      <c r="T1864" s="100"/>
      <c r="U1864" s="100"/>
      <c r="V1864" s="100"/>
      <c r="W1864" s="100"/>
      <c r="X1864" s="100"/>
      <c r="Y1864" s="100"/>
      <c r="Z1864" s="100"/>
    </row>
    <row r="1865" spans="1:26">
      <c r="A1865" s="100"/>
      <c r="B1865" s="100"/>
      <c r="C1865" s="100"/>
      <c r="D1865" s="100"/>
      <c r="E1865" s="100"/>
      <c r="F1865" s="100"/>
      <c r="G1865" s="100"/>
      <c r="H1865" s="100"/>
      <c r="I1865" s="100"/>
      <c r="J1865" s="100"/>
      <c r="K1865" s="100"/>
      <c r="L1865" s="100"/>
      <c r="M1865" s="100"/>
      <c r="N1865" s="100"/>
      <c r="O1865" s="100"/>
      <c r="P1865" s="100"/>
      <c r="Q1865" s="100"/>
      <c r="R1865" s="100"/>
      <c r="S1865" s="100"/>
      <c r="T1865" s="100"/>
      <c r="U1865" s="100"/>
      <c r="V1865" s="100"/>
      <c r="W1865" s="100"/>
      <c r="X1865" s="100"/>
      <c r="Y1865" s="100"/>
      <c r="Z1865" s="100"/>
    </row>
    <row r="1866" spans="1:26">
      <c r="A1866" s="100"/>
      <c r="B1866" s="100"/>
      <c r="C1866" s="100"/>
      <c r="D1866" s="100"/>
      <c r="E1866" s="100"/>
      <c r="F1866" s="100"/>
      <c r="G1866" s="100"/>
      <c r="H1866" s="100"/>
      <c r="I1866" s="100"/>
      <c r="J1866" s="100"/>
      <c r="K1866" s="100"/>
      <c r="L1866" s="100"/>
      <c r="M1866" s="100"/>
      <c r="N1866" s="100"/>
      <c r="O1866" s="100"/>
      <c r="P1866" s="100"/>
      <c r="Q1866" s="100"/>
      <c r="R1866" s="100"/>
      <c r="S1866" s="100"/>
      <c r="T1866" s="100"/>
      <c r="U1866" s="100"/>
      <c r="V1866" s="100"/>
      <c r="W1866" s="100"/>
      <c r="X1866" s="100"/>
      <c r="Y1866" s="100"/>
      <c r="Z1866" s="100"/>
    </row>
    <row r="1867" spans="1:26">
      <c r="A1867" s="100"/>
      <c r="B1867" s="100"/>
      <c r="C1867" s="100"/>
      <c r="D1867" s="100"/>
      <c r="E1867" s="100"/>
      <c r="F1867" s="100"/>
      <c r="G1867" s="100"/>
      <c r="H1867" s="100"/>
      <c r="I1867" s="100"/>
      <c r="J1867" s="100"/>
      <c r="K1867" s="100"/>
      <c r="L1867" s="100"/>
      <c r="M1867" s="100"/>
      <c r="N1867" s="100"/>
      <c r="O1867" s="100"/>
      <c r="P1867" s="100"/>
      <c r="Q1867" s="100"/>
      <c r="R1867" s="100"/>
      <c r="S1867" s="100"/>
      <c r="T1867" s="100"/>
      <c r="U1867" s="100"/>
      <c r="V1867" s="100"/>
      <c r="W1867" s="100"/>
      <c r="X1867" s="100"/>
      <c r="Y1867" s="100"/>
      <c r="Z1867" s="100"/>
    </row>
    <row r="1868" spans="1:26">
      <c r="A1868" s="100"/>
      <c r="B1868" s="100"/>
      <c r="C1868" s="100"/>
      <c r="D1868" s="100"/>
      <c r="E1868" s="100"/>
      <c r="F1868" s="100"/>
      <c r="G1868" s="100"/>
      <c r="H1868" s="100"/>
      <c r="I1868" s="100"/>
      <c r="J1868" s="100"/>
      <c r="K1868" s="100"/>
      <c r="L1868" s="100"/>
      <c r="M1868" s="100"/>
      <c r="N1868" s="100"/>
      <c r="O1868" s="100"/>
      <c r="P1868" s="100"/>
      <c r="Q1868" s="100"/>
      <c r="R1868" s="100"/>
      <c r="S1868" s="100"/>
      <c r="T1868" s="100"/>
      <c r="U1868" s="100"/>
      <c r="V1868" s="100"/>
      <c r="W1868" s="100"/>
      <c r="X1868" s="100"/>
      <c r="Y1868" s="100"/>
      <c r="Z1868" s="100"/>
    </row>
    <row r="1869" spans="1:26">
      <c r="A1869" s="100"/>
      <c r="B1869" s="100"/>
      <c r="C1869" s="100"/>
      <c r="D1869" s="100"/>
      <c r="E1869" s="100"/>
      <c r="F1869" s="100"/>
      <c r="G1869" s="100"/>
      <c r="H1869" s="100"/>
      <c r="I1869" s="100"/>
      <c r="J1869" s="100"/>
      <c r="K1869" s="100"/>
      <c r="L1869" s="100"/>
      <c r="M1869" s="100"/>
      <c r="N1869" s="100"/>
      <c r="O1869" s="100"/>
      <c r="P1869" s="100"/>
      <c r="Q1869" s="100"/>
      <c r="R1869" s="100"/>
      <c r="S1869" s="100"/>
      <c r="T1869" s="100"/>
      <c r="U1869" s="100"/>
      <c r="V1869" s="100"/>
      <c r="W1869" s="100"/>
      <c r="X1869" s="100"/>
      <c r="Y1869" s="100"/>
      <c r="Z1869" s="100"/>
    </row>
    <row r="1870" spans="1:26">
      <c r="A1870" s="100"/>
      <c r="B1870" s="100"/>
      <c r="C1870" s="100"/>
      <c r="D1870" s="100"/>
      <c r="E1870" s="100"/>
      <c r="F1870" s="100"/>
      <c r="G1870" s="100"/>
      <c r="H1870" s="100"/>
      <c r="I1870" s="100"/>
      <c r="J1870" s="100"/>
      <c r="K1870" s="100"/>
      <c r="L1870" s="100"/>
      <c r="M1870" s="100"/>
      <c r="N1870" s="100"/>
      <c r="O1870" s="100"/>
      <c r="P1870" s="100"/>
      <c r="Q1870" s="100"/>
      <c r="R1870" s="100"/>
      <c r="S1870" s="100"/>
      <c r="T1870" s="100"/>
      <c r="U1870" s="100"/>
      <c r="V1870" s="100"/>
      <c r="W1870" s="100"/>
      <c r="X1870" s="100"/>
      <c r="Y1870" s="100"/>
      <c r="Z1870" s="100"/>
    </row>
    <row r="1871" spans="1:26">
      <c r="A1871" s="100"/>
      <c r="B1871" s="100"/>
      <c r="C1871" s="100"/>
      <c r="D1871" s="100"/>
      <c r="E1871" s="100"/>
      <c r="F1871" s="100"/>
      <c r="G1871" s="100"/>
      <c r="H1871" s="100"/>
      <c r="I1871" s="100"/>
      <c r="J1871" s="100"/>
      <c r="K1871" s="100"/>
      <c r="L1871" s="100"/>
      <c r="M1871" s="100"/>
      <c r="N1871" s="100"/>
      <c r="O1871" s="100"/>
      <c r="P1871" s="100"/>
      <c r="Q1871" s="100"/>
      <c r="R1871" s="100"/>
      <c r="S1871" s="100"/>
      <c r="T1871" s="100"/>
      <c r="U1871" s="100"/>
      <c r="V1871" s="100"/>
      <c r="W1871" s="100"/>
      <c r="X1871" s="100"/>
      <c r="Y1871" s="100"/>
      <c r="Z1871" s="100"/>
    </row>
    <row r="1872" spans="1:26">
      <c r="A1872" s="100"/>
      <c r="B1872" s="100"/>
      <c r="C1872" s="100"/>
      <c r="D1872" s="100"/>
      <c r="E1872" s="100"/>
      <c r="F1872" s="100"/>
      <c r="G1872" s="100"/>
      <c r="H1872" s="100"/>
      <c r="I1872" s="100"/>
      <c r="J1872" s="100"/>
      <c r="K1872" s="100"/>
      <c r="L1872" s="100"/>
      <c r="M1872" s="100"/>
      <c r="N1872" s="100"/>
      <c r="O1872" s="100"/>
      <c r="P1872" s="100"/>
      <c r="Q1872" s="100"/>
      <c r="R1872" s="100"/>
      <c r="S1872" s="100"/>
      <c r="T1872" s="100"/>
      <c r="U1872" s="100"/>
      <c r="V1872" s="100"/>
      <c r="W1872" s="100"/>
      <c r="X1872" s="100"/>
      <c r="Y1872" s="100"/>
      <c r="Z1872" s="100"/>
    </row>
    <row r="1873" spans="1:26">
      <c r="A1873" s="100"/>
      <c r="B1873" s="100"/>
      <c r="C1873" s="100"/>
      <c r="D1873" s="100"/>
      <c r="E1873" s="100"/>
      <c r="F1873" s="100"/>
      <c r="G1873" s="100"/>
      <c r="H1873" s="100"/>
      <c r="I1873" s="100"/>
      <c r="J1873" s="100"/>
      <c r="K1873" s="100"/>
      <c r="L1873" s="100"/>
      <c r="M1873" s="100"/>
      <c r="N1873" s="100"/>
      <c r="O1873" s="100"/>
      <c r="P1873" s="100"/>
      <c r="Q1873" s="100"/>
      <c r="R1873" s="100"/>
      <c r="S1873" s="100"/>
      <c r="T1873" s="100"/>
      <c r="U1873" s="100"/>
      <c r="V1873" s="100"/>
      <c r="W1873" s="100"/>
      <c r="X1873" s="100"/>
      <c r="Y1873" s="100"/>
      <c r="Z1873" s="100"/>
    </row>
    <row r="1874" spans="1:26">
      <c r="A1874" s="100"/>
      <c r="B1874" s="100"/>
      <c r="C1874" s="100"/>
      <c r="D1874" s="100"/>
      <c r="E1874" s="100"/>
      <c r="F1874" s="100"/>
      <c r="G1874" s="100"/>
      <c r="H1874" s="100"/>
      <c r="I1874" s="100"/>
      <c r="J1874" s="100"/>
      <c r="K1874" s="100"/>
      <c r="L1874" s="100"/>
      <c r="M1874" s="100"/>
      <c r="N1874" s="100"/>
      <c r="O1874" s="100"/>
      <c r="P1874" s="100"/>
      <c r="Q1874" s="100"/>
      <c r="R1874" s="100"/>
      <c r="S1874" s="100"/>
      <c r="T1874" s="100"/>
      <c r="U1874" s="100"/>
      <c r="V1874" s="100"/>
      <c r="W1874" s="100"/>
      <c r="X1874" s="100"/>
      <c r="Y1874" s="100"/>
      <c r="Z1874" s="100"/>
    </row>
    <row r="1875" spans="1:26">
      <c r="A1875" s="100"/>
      <c r="B1875" s="100"/>
      <c r="C1875" s="100"/>
      <c r="D1875" s="100"/>
      <c r="E1875" s="100"/>
      <c r="F1875" s="100"/>
      <c r="G1875" s="100"/>
      <c r="H1875" s="100"/>
      <c r="I1875" s="100"/>
      <c r="J1875" s="100"/>
      <c r="K1875" s="100"/>
      <c r="L1875" s="100"/>
      <c r="M1875" s="100"/>
      <c r="N1875" s="100"/>
      <c r="O1875" s="100"/>
      <c r="P1875" s="100"/>
      <c r="Q1875" s="100"/>
      <c r="R1875" s="100"/>
      <c r="S1875" s="100"/>
      <c r="T1875" s="100"/>
      <c r="U1875" s="100"/>
      <c r="V1875" s="100"/>
      <c r="W1875" s="100"/>
      <c r="X1875" s="100"/>
      <c r="Y1875" s="100"/>
      <c r="Z1875" s="100"/>
    </row>
    <row r="1876" spans="1:26">
      <c r="A1876" s="100"/>
      <c r="B1876" s="100"/>
      <c r="C1876" s="100"/>
      <c r="D1876" s="100"/>
      <c r="E1876" s="100"/>
      <c r="F1876" s="100"/>
      <c r="G1876" s="100"/>
      <c r="H1876" s="100"/>
      <c r="I1876" s="100"/>
      <c r="J1876" s="100"/>
      <c r="K1876" s="100"/>
      <c r="L1876" s="100"/>
      <c r="M1876" s="100"/>
      <c r="N1876" s="100"/>
      <c r="O1876" s="100"/>
      <c r="P1876" s="100"/>
      <c r="Q1876" s="100"/>
      <c r="R1876" s="100"/>
      <c r="S1876" s="100"/>
      <c r="T1876" s="100"/>
      <c r="U1876" s="100"/>
      <c r="V1876" s="100"/>
      <c r="W1876" s="100"/>
      <c r="X1876" s="100"/>
      <c r="Y1876" s="100"/>
      <c r="Z1876" s="100"/>
    </row>
    <row r="1877" spans="1:26">
      <c r="A1877" s="100"/>
      <c r="B1877" s="100"/>
      <c r="C1877" s="100"/>
      <c r="D1877" s="100"/>
      <c r="E1877" s="100"/>
      <c r="F1877" s="100"/>
      <c r="G1877" s="100"/>
      <c r="H1877" s="100"/>
      <c r="I1877" s="100"/>
      <c r="J1877" s="100"/>
      <c r="K1877" s="100"/>
      <c r="L1877" s="100"/>
      <c r="M1877" s="100"/>
      <c r="N1877" s="100"/>
      <c r="O1877" s="100"/>
      <c r="P1877" s="100"/>
      <c r="Q1877" s="100"/>
      <c r="R1877" s="100"/>
      <c r="S1877" s="100"/>
      <c r="T1877" s="100"/>
      <c r="U1877" s="100"/>
      <c r="V1877" s="100"/>
      <c r="W1877" s="100"/>
      <c r="X1877" s="100"/>
      <c r="Y1877" s="100"/>
      <c r="Z1877" s="100"/>
    </row>
    <row r="1878" spans="1:26">
      <c r="A1878" s="100"/>
      <c r="B1878" s="100"/>
      <c r="C1878" s="100"/>
      <c r="D1878" s="100"/>
      <c r="E1878" s="100"/>
      <c r="F1878" s="100"/>
      <c r="G1878" s="100"/>
      <c r="H1878" s="100"/>
      <c r="I1878" s="100"/>
      <c r="J1878" s="100"/>
      <c r="K1878" s="100"/>
      <c r="L1878" s="100"/>
      <c r="M1878" s="100"/>
      <c r="N1878" s="100"/>
      <c r="O1878" s="100"/>
      <c r="P1878" s="100"/>
      <c r="Q1878" s="100"/>
      <c r="R1878" s="100"/>
      <c r="S1878" s="100"/>
      <c r="T1878" s="100"/>
      <c r="U1878" s="100"/>
      <c r="V1878" s="100"/>
      <c r="W1878" s="100"/>
      <c r="X1878" s="100"/>
      <c r="Y1878" s="100"/>
      <c r="Z1878" s="100"/>
    </row>
    <row r="1879" spans="1:26">
      <c r="A1879" s="100"/>
      <c r="B1879" s="100"/>
      <c r="C1879" s="100"/>
      <c r="D1879" s="100"/>
      <c r="E1879" s="100"/>
      <c r="F1879" s="100"/>
      <c r="G1879" s="100"/>
      <c r="H1879" s="100"/>
      <c r="I1879" s="100"/>
      <c r="J1879" s="100"/>
      <c r="K1879" s="100"/>
      <c r="L1879" s="100"/>
      <c r="M1879" s="100"/>
      <c r="N1879" s="100"/>
      <c r="O1879" s="100"/>
      <c r="P1879" s="100"/>
      <c r="Q1879" s="100"/>
      <c r="R1879" s="100"/>
      <c r="S1879" s="100"/>
      <c r="T1879" s="100"/>
      <c r="U1879" s="100"/>
      <c r="V1879" s="100"/>
      <c r="W1879" s="100"/>
      <c r="X1879" s="100"/>
      <c r="Y1879" s="100"/>
      <c r="Z1879" s="100"/>
    </row>
    <row r="1880" spans="1:26">
      <c r="A1880" s="100"/>
      <c r="B1880" s="100"/>
      <c r="C1880" s="100"/>
      <c r="D1880" s="100"/>
      <c r="E1880" s="100"/>
      <c r="F1880" s="100"/>
      <c r="G1880" s="100"/>
      <c r="H1880" s="100"/>
      <c r="I1880" s="100"/>
      <c r="J1880" s="100"/>
      <c r="K1880" s="100"/>
      <c r="L1880" s="100"/>
      <c r="M1880" s="100"/>
      <c r="N1880" s="100"/>
      <c r="O1880" s="100"/>
      <c r="P1880" s="100"/>
      <c r="Q1880" s="100"/>
      <c r="R1880" s="100"/>
      <c r="S1880" s="100"/>
      <c r="T1880" s="100"/>
      <c r="U1880" s="100"/>
      <c r="V1880" s="100"/>
      <c r="W1880" s="100"/>
      <c r="X1880" s="100"/>
      <c r="Y1880" s="100"/>
      <c r="Z1880" s="100"/>
    </row>
    <row r="1881" spans="1:26">
      <c r="A1881" s="100"/>
      <c r="B1881" s="100"/>
      <c r="C1881" s="100"/>
      <c r="D1881" s="100"/>
      <c r="E1881" s="100"/>
      <c r="F1881" s="100"/>
      <c r="G1881" s="100"/>
      <c r="H1881" s="100"/>
      <c r="I1881" s="100"/>
      <c r="J1881" s="100"/>
      <c r="K1881" s="100"/>
      <c r="L1881" s="100"/>
      <c r="M1881" s="100"/>
      <c r="N1881" s="100"/>
      <c r="O1881" s="100"/>
      <c r="P1881" s="100"/>
      <c r="Q1881" s="100"/>
      <c r="R1881" s="100"/>
      <c r="S1881" s="100"/>
      <c r="T1881" s="100"/>
      <c r="U1881" s="100"/>
      <c r="V1881" s="100"/>
      <c r="W1881" s="100"/>
      <c r="X1881" s="100"/>
      <c r="Y1881" s="100"/>
      <c r="Z1881" s="100"/>
    </row>
    <row r="1882" spans="1:26">
      <c r="A1882" s="100"/>
      <c r="B1882" s="100"/>
      <c r="C1882" s="100"/>
      <c r="D1882" s="100"/>
      <c r="E1882" s="100"/>
      <c r="F1882" s="100"/>
      <c r="G1882" s="100"/>
      <c r="H1882" s="100"/>
      <c r="I1882" s="100"/>
      <c r="J1882" s="100"/>
      <c r="K1882" s="100"/>
      <c r="L1882" s="100"/>
      <c r="M1882" s="100"/>
      <c r="N1882" s="100"/>
      <c r="O1882" s="100"/>
      <c r="P1882" s="100"/>
      <c r="Q1882" s="100"/>
      <c r="R1882" s="100"/>
      <c r="S1882" s="100"/>
      <c r="T1882" s="100"/>
      <c r="U1882" s="100"/>
      <c r="V1882" s="100"/>
      <c r="W1882" s="100"/>
      <c r="X1882" s="100"/>
      <c r="Y1882" s="100"/>
      <c r="Z1882" s="100"/>
    </row>
    <row r="1883" spans="1:26">
      <c r="A1883" s="100"/>
      <c r="B1883" s="100"/>
      <c r="C1883" s="100"/>
      <c r="D1883" s="100"/>
      <c r="E1883" s="100"/>
      <c r="F1883" s="100"/>
      <c r="G1883" s="100"/>
      <c r="H1883" s="100"/>
      <c r="I1883" s="100"/>
      <c r="J1883" s="100"/>
      <c r="K1883" s="100"/>
      <c r="L1883" s="100"/>
      <c r="M1883" s="100"/>
      <c r="N1883" s="100"/>
      <c r="O1883" s="100"/>
      <c r="P1883" s="100"/>
      <c r="Q1883" s="100"/>
      <c r="R1883" s="100"/>
      <c r="S1883" s="100"/>
      <c r="T1883" s="100"/>
      <c r="U1883" s="100"/>
      <c r="V1883" s="100"/>
      <c r="W1883" s="100"/>
      <c r="X1883" s="100"/>
      <c r="Y1883" s="100"/>
      <c r="Z1883" s="100"/>
    </row>
    <row r="1884" spans="1:26">
      <c r="A1884" s="100"/>
      <c r="B1884" s="100"/>
      <c r="C1884" s="100"/>
      <c r="D1884" s="100"/>
      <c r="E1884" s="100"/>
      <c r="F1884" s="100"/>
      <c r="G1884" s="100"/>
      <c r="H1884" s="100"/>
      <c r="I1884" s="100"/>
      <c r="J1884" s="100"/>
      <c r="K1884" s="100"/>
      <c r="L1884" s="100"/>
      <c r="M1884" s="100"/>
      <c r="N1884" s="100"/>
      <c r="O1884" s="100"/>
      <c r="P1884" s="100"/>
      <c r="Q1884" s="100"/>
      <c r="R1884" s="100"/>
      <c r="S1884" s="100"/>
      <c r="T1884" s="100"/>
      <c r="U1884" s="100"/>
      <c r="V1884" s="100"/>
      <c r="W1884" s="100"/>
      <c r="X1884" s="100"/>
      <c r="Y1884" s="100"/>
      <c r="Z1884" s="100"/>
    </row>
    <row r="1885" spans="1:26">
      <c r="A1885" s="100"/>
      <c r="B1885" s="100"/>
      <c r="C1885" s="100"/>
      <c r="D1885" s="100"/>
      <c r="E1885" s="100"/>
      <c r="F1885" s="100"/>
      <c r="G1885" s="100"/>
      <c r="H1885" s="100"/>
      <c r="I1885" s="100"/>
      <c r="J1885" s="100"/>
      <c r="K1885" s="100"/>
      <c r="L1885" s="100"/>
      <c r="M1885" s="100"/>
      <c r="N1885" s="100"/>
      <c r="O1885" s="100"/>
      <c r="P1885" s="100"/>
      <c r="Q1885" s="100"/>
      <c r="R1885" s="100"/>
      <c r="S1885" s="100"/>
      <c r="T1885" s="100"/>
      <c r="U1885" s="100"/>
      <c r="V1885" s="100"/>
      <c r="W1885" s="100"/>
      <c r="X1885" s="100"/>
      <c r="Y1885" s="100"/>
      <c r="Z1885" s="100"/>
    </row>
    <row r="1886" spans="1:26">
      <c r="A1886" s="100"/>
      <c r="B1886" s="100"/>
      <c r="C1886" s="100"/>
      <c r="D1886" s="100"/>
      <c r="E1886" s="100"/>
      <c r="F1886" s="100"/>
      <c r="G1886" s="100"/>
      <c r="H1886" s="100"/>
      <c r="I1886" s="100"/>
      <c r="J1886" s="100"/>
      <c r="K1886" s="100"/>
      <c r="L1886" s="100"/>
      <c r="M1886" s="100"/>
      <c r="N1886" s="100"/>
      <c r="O1886" s="100"/>
      <c r="P1886" s="100"/>
      <c r="Q1886" s="100"/>
      <c r="R1886" s="100"/>
      <c r="S1886" s="100"/>
      <c r="T1886" s="100"/>
      <c r="U1886" s="100"/>
      <c r="V1886" s="100"/>
      <c r="W1886" s="100"/>
      <c r="X1886" s="100"/>
      <c r="Y1886" s="100"/>
      <c r="Z1886" s="100"/>
    </row>
    <row r="1887" spans="1:26">
      <c r="A1887" s="100"/>
      <c r="B1887" s="100"/>
      <c r="C1887" s="100"/>
      <c r="D1887" s="100"/>
      <c r="E1887" s="100"/>
      <c r="F1887" s="100"/>
      <c r="G1887" s="100"/>
      <c r="H1887" s="100"/>
      <c r="I1887" s="100"/>
      <c r="J1887" s="100"/>
      <c r="K1887" s="100"/>
      <c r="L1887" s="100"/>
      <c r="M1887" s="100"/>
      <c r="N1887" s="100"/>
      <c r="O1887" s="100"/>
      <c r="P1887" s="100"/>
      <c r="Q1887" s="100"/>
      <c r="R1887" s="100"/>
      <c r="S1887" s="100"/>
      <c r="T1887" s="100"/>
      <c r="U1887" s="100"/>
      <c r="V1887" s="100"/>
      <c r="W1887" s="100"/>
      <c r="X1887" s="100"/>
      <c r="Y1887" s="100"/>
      <c r="Z1887" s="100"/>
    </row>
    <row r="1888" spans="1:26">
      <c r="A1888" s="100"/>
      <c r="B1888" s="100"/>
      <c r="C1888" s="100"/>
      <c r="D1888" s="100"/>
      <c r="E1888" s="100"/>
      <c r="F1888" s="100"/>
      <c r="G1888" s="100"/>
      <c r="H1888" s="100"/>
      <c r="I1888" s="100"/>
      <c r="J1888" s="100"/>
      <c r="K1888" s="100"/>
      <c r="L1888" s="100"/>
      <c r="M1888" s="100"/>
      <c r="N1888" s="100"/>
      <c r="O1888" s="100"/>
      <c r="P1888" s="100"/>
      <c r="Q1888" s="100"/>
      <c r="R1888" s="100"/>
      <c r="S1888" s="100"/>
      <c r="T1888" s="100"/>
      <c r="U1888" s="100"/>
      <c r="V1888" s="100"/>
      <c r="W1888" s="100"/>
      <c r="X1888" s="100"/>
      <c r="Y1888" s="100"/>
      <c r="Z1888" s="100"/>
    </row>
    <row r="1889" spans="1:26">
      <c r="A1889" s="100"/>
      <c r="B1889" s="100"/>
      <c r="C1889" s="100"/>
      <c r="D1889" s="100"/>
      <c r="E1889" s="100"/>
      <c r="F1889" s="100"/>
      <c r="G1889" s="100"/>
      <c r="H1889" s="100"/>
      <c r="I1889" s="100"/>
      <c r="J1889" s="100"/>
      <c r="K1889" s="100"/>
      <c r="L1889" s="100"/>
      <c r="M1889" s="100"/>
      <c r="N1889" s="100"/>
      <c r="O1889" s="100"/>
      <c r="P1889" s="100"/>
      <c r="Q1889" s="100"/>
      <c r="R1889" s="100"/>
      <c r="S1889" s="100"/>
      <c r="T1889" s="100"/>
      <c r="U1889" s="100"/>
      <c r="V1889" s="100"/>
      <c r="W1889" s="100"/>
      <c r="X1889" s="100"/>
      <c r="Y1889" s="100"/>
      <c r="Z1889" s="100"/>
    </row>
    <row r="1890" spans="1:26">
      <c r="A1890" s="100"/>
      <c r="B1890" s="100"/>
      <c r="C1890" s="100"/>
      <c r="D1890" s="100"/>
      <c r="E1890" s="100"/>
      <c r="F1890" s="100"/>
      <c r="G1890" s="100"/>
      <c r="H1890" s="100"/>
      <c r="I1890" s="100"/>
      <c r="J1890" s="100"/>
      <c r="K1890" s="100"/>
      <c r="L1890" s="100"/>
      <c r="M1890" s="100"/>
      <c r="N1890" s="100"/>
      <c r="O1890" s="100"/>
      <c r="P1890" s="100"/>
      <c r="Q1890" s="100"/>
      <c r="R1890" s="100"/>
      <c r="S1890" s="100"/>
      <c r="T1890" s="100"/>
      <c r="U1890" s="100"/>
      <c r="V1890" s="100"/>
      <c r="W1890" s="100"/>
      <c r="X1890" s="100"/>
      <c r="Y1890" s="100"/>
      <c r="Z1890" s="100"/>
    </row>
    <row r="1891" spans="1:26">
      <c r="A1891" s="100"/>
      <c r="B1891" s="100"/>
      <c r="C1891" s="100"/>
      <c r="D1891" s="100"/>
      <c r="E1891" s="100"/>
      <c r="F1891" s="100"/>
      <c r="G1891" s="100"/>
      <c r="H1891" s="100"/>
      <c r="I1891" s="100"/>
      <c r="J1891" s="100"/>
      <c r="K1891" s="100"/>
      <c r="L1891" s="100"/>
      <c r="M1891" s="100"/>
      <c r="N1891" s="100"/>
      <c r="O1891" s="100"/>
      <c r="P1891" s="100"/>
      <c r="Q1891" s="100"/>
      <c r="R1891" s="100"/>
      <c r="S1891" s="100"/>
      <c r="T1891" s="100"/>
      <c r="U1891" s="100"/>
      <c r="V1891" s="100"/>
      <c r="W1891" s="100"/>
      <c r="X1891" s="100"/>
      <c r="Y1891" s="100"/>
      <c r="Z1891" s="100"/>
    </row>
    <row r="1892" spans="1:26">
      <c r="A1892" s="100"/>
      <c r="B1892" s="100"/>
      <c r="C1892" s="100"/>
      <c r="D1892" s="100"/>
      <c r="E1892" s="100"/>
      <c r="F1892" s="100"/>
      <c r="G1892" s="100"/>
      <c r="H1892" s="100"/>
      <c r="I1892" s="100"/>
      <c r="J1892" s="100"/>
      <c r="K1892" s="100"/>
      <c r="L1892" s="100"/>
      <c r="M1892" s="100"/>
      <c r="N1892" s="100"/>
      <c r="O1892" s="100"/>
      <c r="P1892" s="100"/>
      <c r="Q1892" s="100"/>
      <c r="R1892" s="100"/>
      <c r="S1892" s="100"/>
      <c r="T1892" s="100"/>
      <c r="U1892" s="100"/>
      <c r="V1892" s="100"/>
      <c r="W1892" s="100"/>
      <c r="X1892" s="100"/>
      <c r="Y1892" s="100"/>
      <c r="Z1892" s="100"/>
    </row>
    <row r="1893" spans="1:26">
      <c r="A1893" s="100"/>
      <c r="B1893" s="100"/>
      <c r="C1893" s="100"/>
      <c r="D1893" s="100"/>
      <c r="E1893" s="100"/>
      <c r="F1893" s="100"/>
      <c r="G1893" s="100"/>
      <c r="H1893" s="100"/>
      <c r="I1893" s="100"/>
      <c r="J1893" s="100"/>
      <c r="K1893" s="100"/>
      <c r="L1893" s="100"/>
      <c r="M1893" s="100"/>
      <c r="N1893" s="100"/>
      <c r="O1893" s="100"/>
      <c r="P1893" s="100"/>
      <c r="Q1893" s="100"/>
      <c r="R1893" s="100"/>
      <c r="S1893" s="100"/>
      <c r="T1893" s="100"/>
      <c r="U1893" s="100"/>
      <c r="V1893" s="100"/>
      <c r="W1893" s="100"/>
      <c r="X1893" s="100"/>
      <c r="Y1893" s="100"/>
      <c r="Z1893" s="100"/>
    </row>
    <row r="1894" spans="1:26">
      <c r="A1894" s="100"/>
      <c r="B1894" s="100"/>
      <c r="C1894" s="100"/>
      <c r="D1894" s="100"/>
      <c r="E1894" s="100"/>
      <c r="F1894" s="100"/>
      <c r="G1894" s="100"/>
      <c r="H1894" s="100"/>
      <c r="I1894" s="100"/>
      <c r="J1894" s="100"/>
      <c r="K1894" s="100"/>
      <c r="L1894" s="100"/>
      <c r="M1894" s="100"/>
      <c r="N1894" s="100"/>
      <c r="O1894" s="100"/>
      <c r="P1894" s="100"/>
      <c r="Q1894" s="100"/>
      <c r="R1894" s="100"/>
      <c r="S1894" s="100"/>
      <c r="T1894" s="100"/>
      <c r="U1894" s="100"/>
      <c r="V1894" s="100"/>
      <c r="W1894" s="100"/>
      <c r="X1894" s="100"/>
      <c r="Y1894" s="100"/>
      <c r="Z1894" s="100"/>
    </row>
    <row r="1895" spans="1:26">
      <c r="A1895" s="100"/>
      <c r="B1895" s="100"/>
      <c r="C1895" s="100"/>
      <c r="D1895" s="100"/>
      <c r="E1895" s="100"/>
      <c r="F1895" s="100"/>
      <c r="G1895" s="100"/>
      <c r="H1895" s="100"/>
      <c r="I1895" s="100"/>
      <c r="J1895" s="100"/>
      <c r="K1895" s="100"/>
      <c r="L1895" s="100"/>
      <c r="M1895" s="100"/>
      <c r="N1895" s="100"/>
      <c r="O1895" s="100"/>
      <c r="P1895" s="100"/>
      <c r="Q1895" s="100"/>
      <c r="R1895" s="100"/>
      <c r="S1895" s="100"/>
      <c r="T1895" s="100"/>
      <c r="U1895" s="100"/>
      <c r="V1895" s="100"/>
      <c r="W1895" s="100"/>
      <c r="X1895" s="100"/>
      <c r="Y1895" s="100"/>
      <c r="Z1895" s="100"/>
    </row>
    <row r="1896" spans="1:26">
      <c r="A1896" s="100"/>
      <c r="B1896" s="100"/>
      <c r="C1896" s="100"/>
      <c r="D1896" s="100"/>
      <c r="E1896" s="100"/>
      <c r="F1896" s="100"/>
      <c r="G1896" s="100"/>
      <c r="H1896" s="100"/>
      <c r="I1896" s="100"/>
      <c r="J1896" s="100"/>
      <c r="K1896" s="100"/>
      <c r="L1896" s="100"/>
      <c r="M1896" s="100"/>
      <c r="N1896" s="100"/>
      <c r="O1896" s="100"/>
      <c r="P1896" s="100"/>
      <c r="Q1896" s="100"/>
      <c r="R1896" s="100"/>
      <c r="S1896" s="100"/>
      <c r="T1896" s="100"/>
      <c r="U1896" s="100"/>
      <c r="V1896" s="100"/>
      <c r="W1896" s="100"/>
      <c r="X1896" s="100"/>
      <c r="Y1896" s="100"/>
      <c r="Z1896" s="100"/>
    </row>
    <row r="1897" spans="1:26">
      <c r="A1897" s="100"/>
      <c r="B1897" s="100"/>
      <c r="C1897" s="100"/>
      <c r="D1897" s="100"/>
      <c r="E1897" s="100"/>
      <c r="F1897" s="100"/>
      <c r="G1897" s="100"/>
      <c r="H1897" s="100"/>
      <c r="I1897" s="100"/>
      <c r="J1897" s="100"/>
      <c r="K1897" s="100"/>
      <c r="L1897" s="100"/>
      <c r="M1897" s="100"/>
      <c r="N1897" s="100"/>
      <c r="O1897" s="100"/>
      <c r="P1897" s="100"/>
      <c r="Q1897" s="100"/>
      <c r="R1897" s="100"/>
      <c r="S1897" s="100"/>
      <c r="T1897" s="100"/>
      <c r="U1897" s="100"/>
      <c r="V1897" s="100"/>
      <c r="W1897" s="100"/>
      <c r="X1897" s="100"/>
      <c r="Y1897" s="100"/>
      <c r="Z1897" s="100"/>
    </row>
    <row r="1898" spans="1:26">
      <c r="A1898" s="100"/>
      <c r="B1898" s="100"/>
      <c r="C1898" s="100"/>
      <c r="D1898" s="100"/>
      <c r="E1898" s="100"/>
      <c r="F1898" s="100"/>
      <c r="G1898" s="100"/>
      <c r="H1898" s="100"/>
      <c r="I1898" s="100"/>
      <c r="J1898" s="100"/>
      <c r="K1898" s="100"/>
      <c r="L1898" s="100"/>
      <c r="M1898" s="100"/>
      <c r="N1898" s="100"/>
      <c r="O1898" s="100"/>
      <c r="P1898" s="100"/>
      <c r="Q1898" s="100"/>
      <c r="R1898" s="100"/>
      <c r="S1898" s="100"/>
      <c r="T1898" s="100"/>
      <c r="U1898" s="100"/>
      <c r="V1898" s="100"/>
      <c r="W1898" s="100"/>
      <c r="X1898" s="100"/>
      <c r="Y1898" s="100"/>
      <c r="Z1898" s="100"/>
    </row>
    <row r="1899" spans="1:26">
      <c r="A1899" s="100"/>
      <c r="B1899" s="100"/>
      <c r="C1899" s="100"/>
      <c r="D1899" s="100"/>
      <c r="E1899" s="100"/>
      <c r="F1899" s="100"/>
      <c r="G1899" s="100"/>
      <c r="H1899" s="100"/>
      <c r="I1899" s="100"/>
      <c r="J1899" s="100"/>
      <c r="K1899" s="100"/>
      <c r="L1899" s="100"/>
      <c r="M1899" s="100"/>
      <c r="N1899" s="100"/>
      <c r="O1899" s="100"/>
      <c r="P1899" s="100"/>
      <c r="Q1899" s="100"/>
      <c r="R1899" s="100"/>
      <c r="S1899" s="100"/>
      <c r="T1899" s="100"/>
      <c r="U1899" s="100"/>
      <c r="V1899" s="100"/>
      <c r="W1899" s="100"/>
      <c r="X1899" s="100"/>
      <c r="Y1899" s="100"/>
      <c r="Z1899" s="100"/>
    </row>
    <row r="1900" spans="1:26">
      <c r="A1900" s="100"/>
      <c r="B1900" s="100"/>
      <c r="C1900" s="100"/>
      <c r="D1900" s="100"/>
      <c r="E1900" s="100"/>
      <c r="F1900" s="100"/>
      <c r="G1900" s="100"/>
      <c r="H1900" s="100"/>
      <c r="I1900" s="100"/>
      <c r="J1900" s="100"/>
      <c r="K1900" s="100"/>
      <c r="L1900" s="100"/>
      <c r="M1900" s="100"/>
      <c r="N1900" s="100"/>
      <c r="O1900" s="100"/>
      <c r="P1900" s="100"/>
      <c r="Q1900" s="100"/>
      <c r="R1900" s="100"/>
      <c r="S1900" s="100"/>
      <c r="T1900" s="100"/>
      <c r="U1900" s="100"/>
      <c r="V1900" s="100"/>
      <c r="W1900" s="100"/>
      <c r="X1900" s="100"/>
      <c r="Y1900" s="100"/>
      <c r="Z1900" s="100"/>
    </row>
    <row r="1901" spans="1:26">
      <c r="A1901" s="100"/>
      <c r="B1901" s="100"/>
      <c r="C1901" s="100"/>
      <c r="D1901" s="100"/>
      <c r="E1901" s="100"/>
      <c r="F1901" s="100"/>
      <c r="G1901" s="100"/>
      <c r="H1901" s="100"/>
      <c r="I1901" s="100"/>
      <c r="J1901" s="100"/>
      <c r="K1901" s="100"/>
      <c r="L1901" s="100"/>
      <c r="M1901" s="100"/>
      <c r="N1901" s="100"/>
      <c r="O1901" s="100"/>
      <c r="P1901" s="100"/>
      <c r="Q1901" s="100"/>
      <c r="R1901" s="100"/>
      <c r="S1901" s="100"/>
      <c r="T1901" s="100"/>
      <c r="U1901" s="100"/>
      <c r="V1901" s="100"/>
      <c r="W1901" s="100"/>
      <c r="X1901" s="100"/>
      <c r="Y1901" s="100"/>
      <c r="Z1901" s="100"/>
    </row>
    <row r="1902" spans="1:26">
      <c r="A1902" s="100"/>
      <c r="B1902" s="100"/>
      <c r="C1902" s="100"/>
      <c r="D1902" s="100"/>
      <c r="E1902" s="100"/>
      <c r="F1902" s="100"/>
      <c r="G1902" s="100"/>
      <c r="H1902" s="100"/>
      <c r="I1902" s="100"/>
      <c r="J1902" s="100"/>
      <c r="K1902" s="100"/>
      <c r="L1902" s="100"/>
      <c r="M1902" s="100"/>
      <c r="N1902" s="100"/>
      <c r="O1902" s="100"/>
      <c r="P1902" s="100"/>
      <c r="Q1902" s="100"/>
      <c r="R1902" s="100"/>
      <c r="S1902" s="100"/>
      <c r="T1902" s="100"/>
      <c r="U1902" s="100"/>
      <c r="V1902" s="100"/>
      <c r="W1902" s="100"/>
      <c r="X1902" s="100"/>
      <c r="Y1902" s="100"/>
      <c r="Z1902" s="100"/>
    </row>
    <row r="1903" spans="1:26">
      <c r="A1903" s="100"/>
      <c r="B1903" s="100"/>
      <c r="C1903" s="100"/>
      <c r="D1903" s="100"/>
      <c r="E1903" s="100"/>
      <c r="F1903" s="100"/>
      <c r="G1903" s="100"/>
      <c r="H1903" s="100"/>
      <c r="I1903" s="100"/>
      <c r="J1903" s="100"/>
      <c r="K1903" s="100"/>
      <c r="L1903" s="100"/>
      <c r="M1903" s="100"/>
      <c r="N1903" s="100"/>
      <c r="O1903" s="100"/>
      <c r="P1903" s="100"/>
      <c r="Q1903" s="100"/>
      <c r="R1903" s="100"/>
      <c r="S1903" s="100"/>
      <c r="T1903" s="100"/>
      <c r="U1903" s="100"/>
      <c r="V1903" s="100"/>
      <c r="W1903" s="100"/>
      <c r="X1903" s="100"/>
      <c r="Y1903" s="100"/>
      <c r="Z1903" s="100"/>
    </row>
    <row r="1904" spans="1:26">
      <c r="A1904" s="100"/>
      <c r="B1904" s="100"/>
      <c r="C1904" s="100"/>
      <c r="D1904" s="100"/>
      <c r="E1904" s="100"/>
      <c r="F1904" s="100"/>
      <c r="G1904" s="100"/>
      <c r="H1904" s="100"/>
      <c r="I1904" s="100"/>
      <c r="J1904" s="100"/>
      <c r="K1904" s="100"/>
      <c r="L1904" s="100"/>
      <c r="M1904" s="100"/>
      <c r="N1904" s="100"/>
      <c r="O1904" s="100"/>
      <c r="P1904" s="100"/>
      <c r="Q1904" s="100"/>
      <c r="R1904" s="100"/>
      <c r="S1904" s="100"/>
      <c r="T1904" s="100"/>
      <c r="U1904" s="100"/>
      <c r="V1904" s="100"/>
      <c r="W1904" s="100"/>
      <c r="X1904" s="100"/>
      <c r="Y1904" s="100"/>
      <c r="Z1904" s="100"/>
    </row>
    <row r="1905" spans="1:26">
      <c r="A1905" s="100"/>
      <c r="B1905" s="100"/>
      <c r="C1905" s="100"/>
      <c r="D1905" s="100"/>
      <c r="E1905" s="100"/>
      <c r="F1905" s="100"/>
      <c r="G1905" s="100"/>
      <c r="H1905" s="100"/>
      <c r="I1905" s="100"/>
      <c r="J1905" s="100"/>
      <c r="K1905" s="100"/>
      <c r="L1905" s="100"/>
      <c r="M1905" s="100"/>
      <c r="N1905" s="100"/>
      <c r="O1905" s="100"/>
      <c r="P1905" s="100"/>
      <c r="Q1905" s="100"/>
      <c r="R1905" s="100"/>
      <c r="S1905" s="100"/>
      <c r="T1905" s="100"/>
      <c r="U1905" s="100"/>
      <c r="V1905" s="100"/>
      <c r="W1905" s="100"/>
      <c r="X1905" s="100"/>
      <c r="Y1905" s="100"/>
      <c r="Z1905" s="100"/>
    </row>
    <row r="1906" spans="1:26">
      <c r="A1906" s="100"/>
      <c r="B1906" s="100"/>
      <c r="C1906" s="100"/>
      <c r="D1906" s="100"/>
      <c r="E1906" s="100"/>
      <c r="F1906" s="100"/>
      <c r="G1906" s="100"/>
      <c r="H1906" s="100"/>
      <c r="I1906" s="100"/>
      <c r="J1906" s="100"/>
      <c r="K1906" s="100"/>
      <c r="L1906" s="100"/>
      <c r="M1906" s="100"/>
      <c r="N1906" s="100"/>
      <c r="O1906" s="100"/>
      <c r="P1906" s="100"/>
      <c r="Q1906" s="100"/>
      <c r="R1906" s="100"/>
      <c r="S1906" s="100"/>
      <c r="T1906" s="100"/>
      <c r="U1906" s="100"/>
      <c r="V1906" s="100"/>
      <c r="W1906" s="100"/>
      <c r="X1906" s="100"/>
      <c r="Y1906" s="100"/>
      <c r="Z1906" s="100"/>
    </row>
    <row r="1907" spans="1:26">
      <c r="A1907" s="100"/>
      <c r="B1907" s="100"/>
      <c r="C1907" s="100"/>
      <c r="D1907" s="100"/>
      <c r="E1907" s="100"/>
      <c r="F1907" s="100"/>
      <c r="G1907" s="100"/>
      <c r="H1907" s="100"/>
      <c r="I1907" s="100"/>
      <c r="J1907" s="100"/>
      <c r="K1907" s="100"/>
      <c r="L1907" s="100"/>
      <c r="M1907" s="100"/>
      <c r="N1907" s="100"/>
      <c r="O1907" s="100"/>
      <c r="P1907" s="100"/>
      <c r="Q1907" s="100"/>
      <c r="R1907" s="100"/>
      <c r="S1907" s="100"/>
      <c r="T1907" s="100"/>
      <c r="U1907" s="100"/>
      <c r="V1907" s="100"/>
      <c r="W1907" s="100"/>
      <c r="X1907" s="100"/>
      <c r="Y1907" s="100"/>
      <c r="Z1907" s="100"/>
    </row>
    <row r="1908" spans="1:26">
      <c r="A1908" s="100"/>
      <c r="B1908" s="100"/>
      <c r="C1908" s="100"/>
      <c r="D1908" s="100"/>
      <c r="E1908" s="100"/>
      <c r="F1908" s="100"/>
      <c r="G1908" s="100"/>
      <c r="H1908" s="100"/>
      <c r="I1908" s="100"/>
      <c r="J1908" s="100"/>
      <c r="K1908" s="100"/>
      <c r="L1908" s="100"/>
      <c r="M1908" s="100"/>
      <c r="N1908" s="100"/>
      <c r="O1908" s="100"/>
      <c r="P1908" s="100"/>
      <c r="Q1908" s="100"/>
      <c r="R1908" s="100"/>
      <c r="S1908" s="100"/>
      <c r="T1908" s="100"/>
      <c r="U1908" s="100"/>
      <c r="V1908" s="100"/>
      <c r="W1908" s="100"/>
      <c r="X1908" s="100"/>
      <c r="Y1908" s="100"/>
      <c r="Z1908" s="100"/>
    </row>
    <row r="1909" spans="1:26">
      <c r="A1909" s="100"/>
      <c r="B1909" s="100"/>
      <c r="C1909" s="100"/>
      <c r="D1909" s="100"/>
      <c r="E1909" s="100"/>
      <c r="F1909" s="100"/>
      <c r="G1909" s="100"/>
      <c r="H1909" s="100"/>
      <c r="I1909" s="100"/>
      <c r="J1909" s="100"/>
      <c r="K1909" s="100"/>
      <c r="L1909" s="100"/>
      <c r="M1909" s="100"/>
      <c r="N1909" s="100"/>
      <c r="O1909" s="100"/>
      <c r="P1909" s="100"/>
      <c r="Q1909" s="100"/>
      <c r="R1909" s="100"/>
      <c r="S1909" s="100"/>
      <c r="T1909" s="100"/>
      <c r="U1909" s="100"/>
      <c r="V1909" s="100"/>
      <c r="W1909" s="100"/>
      <c r="X1909" s="100"/>
      <c r="Y1909" s="100"/>
      <c r="Z1909" s="100"/>
    </row>
    <row r="1910" spans="1:26">
      <c r="A1910" s="100"/>
      <c r="B1910" s="100"/>
      <c r="C1910" s="100"/>
      <c r="D1910" s="100"/>
      <c r="E1910" s="100"/>
      <c r="F1910" s="100"/>
      <c r="G1910" s="100"/>
      <c r="H1910" s="100"/>
      <c r="I1910" s="100"/>
      <c r="J1910" s="100"/>
      <c r="K1910" s="100"/>
      <c r="L1910" s="100"/>
      <c r="M1910" s="100"/>
      <c r="N1910" s="100"/>
      <c r="O1910" s="100"/>
      <c r="P1910" s="100"/>
      <c r="Q1910" s="100"/>
      <c r="R1910" s="100"/>
      <c r="S1910" s="100"/>
      <c r="T1910" s="100"/>
      <c r="U1910" s="100"/>
      <c r="V1910" s="100"/>
      <c r="W1910" s="100"/>
      <c r="X1910" s="100"/>
      <c r="Y1910" s="100"/>
      <c r="Z1910" s="100"/>
    </row>
    <row r="1911" spans="1:26">
      <c r="A1911" s="100"/>
      <c r="B1911" s="100"/>
      <c r="C1911" s="100"/>
      <c r="D1911" s="100"/>
      <c r="E1911" s="100"/>
      <c r="F1911" s="100"/>
      <c r="G1911" s="100"/>
      <c r="H1911" s="100"/>
      <c r="I1911" s="100"/>
      <c r="J1911" s="100"/>
      <c r="K1911" s="100"/>
      <c r="L1911" s="100"/>
      <c r="M1911" s="100"/>
      <c r="N1911" s="100"/>
      <c r="O1911" s="100"/>
      <c r="P1911" s="100"/>
      <c r="Q1911" s="100"/>
      <c r="R1911" s="100"/>
      <c r="S1911" s="100"/>
      <c r="T1911" s="100"/>
      <c r="U1911" s="100"/>
      <c r="V1911" s="100"/>
      <c r="W1911" s="100"/>
      <c r="X1911" s="100"/>
      <c r="Y1911" s="100"/>
      <c r="Z1911" s="100"/>
    </row>
    <row r="1912" spans="1:26">
      <c r="A1912" s="100"/>
      <c r="B1912" s="100"/>
      <c r="C1912" s="100"/>
      <c r="D1912" s="100"/>
      <c r="E1912" s="100"/>
      <c r="F1912" s="100"/>
      <c r="G1912" s="100"/>
      <c r="H1912" s="100"/>
      <c r="I1912" s="100"/>
      <c r="J1912" s="100"/>
      <c r="K1912" s="100"/>
      <c r="L1912" s="100"/>
      <c r="M1912" s="100"/>
      <c r="N1912" s="100"/>
      <c r="O1912" s="100"/>
      <c r="P1912" s="100"/>
      <c r="Q1912" s="100"/>
      <c r="R1912" s="100"/>
      <c r="S1912" s="100"/>
      <c r="T1912" s="100"/>
      <c r="U1912" s="100"/>
      <c r="V1912" s="100"/>
      <c r="W1912" s="100"/>
      <c r="X1912" s="100"/>
      <c r="Y1912" s="100"/>
      <c r="Z1912" s="100"/>
    </row>
    <row r="1913" spans="1:26">
      <c r="A1913" s="100"/>
      <c r="B1913" s="100"/>
      <c r="C1913" s="100"/>
      <c r="D1913" s="100"/>
      <c r="E1913" s="100"/>
      <c r="F1913" s="100"/>
      <c r="G1913" s="100"/>
      <c r="H1913" s="100"/>
      <c r="I1913" s="100"/>
      <c r="J1913" s="100"/>
      <c r="K1913" s="100"/>
      <c r="L1913" s="100"/>
      <c r="M1913" s="100"/>
      <c r="N1913" s="100"/>
      <c r="O1913" s="100"/>
      <c r="P1913" s="100"/>
      <c r="Q1913" s="100"/>
      <c r="R1913" s="100"/>
      <c r="S1913" s="100"/>
      <c r="T1913" s="100"/>
      <c r="U1913" s="100"/>
      <c r="V1913" s="100"/>
      <c r="W1913" s="100"/>
      <c r="X1913" s="100"/>
      <c r="Y1913" s="100"/>
      <c r="Z1913" s="100"/>
    </row>
    <row r="1914" spans="1:26">
      <c r="A1914" s="100"/>
      <c r="B1914" s="100"/>
      <c r="C1914" s="100"/>
      <c r="D1914" s="100"/>
      <c r="E1914" s="100"/>
      <c r="F1914" s="100"/>
      <c r="G1914" s="100"/>
      <c r="H1914" s="100"/>
      <c r="I1914" s="100"/>
      <c r="J1914" s="100"/>
      <c r="K1914" s="100"/>
      <c r="L1914" s="100"/>
      <c r="M1914" s="100"/>
      <c r="N1914" s="100"/>
      <c r="O1914" s="100"/>
      <c r="P1914" s="100"/>
      <c r="Q1914" s="100"/>
      <c r="R1914" s="100"/>
      <c r="S1914" s="100"/>
      <c r="T1914" s="100"/>
      <c r="U1914" s="100"/>
      <c r="V1914" s="100"/>
      <c r="W1914" s="100"/>
      <c r="X1914" s="100"/>
      <c r="Y1914" s="100"/>
      <c r="Z1914" s="100"/>
    </row>
    <row r="1915" spans="1:26">
      <c r="A1915" s="100"/>
      <c r="B1915" s="100"/>
      <c r="C1915" s="100"/>
      <c r="D1915" s="100"/>
      <c r="E1915" s="100"/>
      <c r="F1915" s="100"/>
      <c r="G1915" s="100"/>
      <c r="H1915" s="100"/>
      <c r="I1915" s="100"/>
      <c r="J1915" s="100"/>
      <c r="K1915" s="100"/>
      <c r="L1915" s="100"/>
      <c r="M1915" s="100"/>
      <c r="N1915" s="100"/>
      <c r="O1915" s="100"/>
      <c r="P1915" s="100"/>
      <c r="Q1915" s="100"/>
      <c r="R1915" s="100"/>
      <c r="S1915" s="100"/>
      <c r="T1915" s="100"/>
      <c r="U1915" s="100"/>
      <c r="V1915" s="100"/>
      <c r="W1915" s="100"/>
      <c r="X1915" s="100"/>
      <c r="Y1915" s="100"/>
      <c r="Z1915" s="100"/>
    </row>
    <row r="1916" spans="1:26">
      <c r="A1916" s="100"/>
      <c r="B1916" s="100"/>
      <c r="C1916" s="100"/>
      <c r="D1916" s="100"/>
      <c r="E1916" s="100"/>
      <c r="F1916" s="100"/>
      <c r="G1916" s="100"/>
      <c r="H1916" s="100"/>
      <c r="I1916" s="100"/>
      <c r="J1916" s="100"/>
      <c r="K1916" s="100"/>
      <c r="L1916" s="100"/>
      <c r="M1916" s="100"/>
      <c r="N1916" s="100"/>
      <c r="O1916" s="100"/>
      <c r="P1916" s="100"/>
      <c r="Q1916" s="100"/>
      <c r="R1916" s="100"/>
      <c r="S1916" s="100"/>
      <c r="T1916" s="100"/>
      <c r="U1916" s="100"/>
      <c r="V1916" s="100"/>
      <c r="W1916" s="100"/>
      <c r="X1916" s="100"/>
      <c r="Y1916" s="100"/>
      <c r="Z1916" s="100"/>
    </row>
    <row r="1917" spans="1:26">
      <c r="A1917" s="100"/>
      <c r="B1917" s="100"/>
      <c r="C1917" s="100"/>
      <c r="D1917" s="100"/>
      <c r="E1917" s="100"/>
      <c r="F1917" s="100"/>
      <c r="G1917" s="100"/>
      <c r="H1917" s="100"/>
      <c r="I1917" s="100"/>
      <c r="J1917" s="100"/>
      <c r="K1917" s="100"/>
      <c r="L1917" s="100"/>
      <c r="M1917" s="100"/>
      <c r="N1917" s="100"/>
      <c r="O1917" s="100"/>
      <c r="P1917" s="100"/>
      <c r="Q1917" s="100"/>
      <c r="R1917" s="100"/>
      <c r="S1917" s="100"/>
      <c r="T1917" s="100"/>
      <c r="U1917" s="100"/>
      <c r="V1917" s="100"/>
      <c r="W1917" s="100"/>
      <c r="X1917" s="100"/>
      <c r="Y1917" s="100"/>
      <c r="Z1917" s="100"/>
    </row>
    <row r="1918" spans="1:26">
      <c r="A1918" s="100"/>
      <c r="B1918" s="100"/>
      <c r="C1918" s="100"/>
      <c r="D1918" s="100"/>
      <c r="E1918" s="100"/>
      <c r="F1918" s="100"/>
      <c r="G1918" s="100"/>
      <c r="H1918" s="100"/>
      <c r="I1918" s="100"/>
      <c r="J1918" s="100"/>
      <c r="K1918" s="100"/>
      <c r="L1918" s="100"/>
      <c r="M1918" s="100"/>
      <c r="N1918" s="100"/>
      <c r="O1918" s="100"/>
      <c r="P1918" s="100"/>
      <c r="Q1918" s="100"/>
      <c r="R1918" s="100"/>
      <c r="S1918" s="100"/>
      <c r="T1918" s="100"/>
      <c r="U1918" s="100"/>
      <c r="V1918" s="100"/>
      <c r="W1918" s="100"/>
      <c r="X1918" s="100"/>
      <c r="Y1918" s="100"/>
      <c r="Z1918" s="100"/>
    </row>
    <row r="1919" spans="1:26">
      <c r="A1919" s="100"/>
      <c r="B1919" s="100"/>
      <c r="C1919" s="100"/>
      <c r="D1919" s="100"/>
      <c r="E1919" s="100"/>
      <c r="F1919" s="100"/>
      <c r="G1919" s="100"/>
      <c r="H1919" s="100"/>
      <c r="I1919" s="100"/>
      <c r="J1919" s="100"/>
      <c r="K1919" s="100"/>
      <c r="L1919" s="100"/>
      <c r="M1919" s="100"/>
      <c r="N1919" s="100"/>
      <c r="O1919" s="100"/>
      <c r="P1919" s="100"/>
      <c r="Q1919" s="100"/>
      <c r="R1919" s="100"/>
      <c r="S1919" s="100"/>
      <c r="T1919" s="100"/>
      <c r="U1919" s="100"/>
      <c r="V1919" s="100"/>
      <c r="W1919" s="100"/>
      <c r="X1919" s="100"/>
      <c r="Y1919" s="100"/>
      <c r="Z1919" s="100"/>
    </row>
    <row r="1920" spans="1:26">
      <c r="A1920" s="100"/>
      <c r="B1920" s="100"/>
      <c r="C1920" s="100"/>
      <c r="D1920" s="100"/>
      <c r="E1920" s="100"/>
      <c r="F1920" s="100"/>
      <c r="G1920" s="100"/>
      <c r="H1920" s="100"/>
      <c r="I1920" s="100"/>
      <c r="J1920" s="100"/>
      <c r="K1920" s="100"/>
      <c r="L1920" s="100"/>
      <c r="M1920" s="100"/>
      <c r="N1920" s="100"/>
      <c r="O1920" s="100"/>
      <c r="P1920" s="100"/>
      <c r="Q1920" s="100"/>
      <c r="R1920" s="100"/>
      <c r="S1920" s="100"/>
      <c r="T1920" s="100"/>
      <c r="U1920" s="100"/>
      <c r="V1920" s="100"/>
      <c r="W1920" s="100"/>
      <c r="X1920" s="100"/>
      <c r="Y1920" s="100"/>
      <c r="Z1920" s="100"/>
    </row>
    <row r="1921" spans="1:26">
      <c r="A1921" s="100"/>
      <c r="B1921" s="100"/>
      <c r="C1921" s="100"/>
      <c r="D1921" s="100"/>
      <c r="E1921" s="100"/>
      <c r="F1921" s="100"/>
      <c r="G1921" s="100"/>
      <c r="H1921" s="100"/>
      <c r="I1921" s="100"/>
      <c r="J1921" s="100"/>
      <c r="K1921" s="100"/>
      <c r="L1921" s="100"/>
      <c r="M1921" s="100"/>
      <c r="N1921" s="100"/>
      <c r="O1921" s="100"/>
      <c r="P1921" s="100"/>
      <c r="Q1921" s="100"/>
      <c r="R1921" s="100"/>
      <c r="S1921" s="100"/>
      <c r="T1921" s="100"/>
      <c r="U1921" s="100"/>
      <c r="V1921" s="100"/>
      <c r="W1921" s="100"/>
      <c r="X1921" s="100"/>
      <c r="Y1921" s="100"/>
      <c r="Z1921" s="100"/>
    </row>
    <row r="1922" spans="1:26">
      <c r="A1922" s="100"/>
      <c r="B1922" s="100"/>
      <c r="C1922" s="100"/>
      <c r="D1922" s="100"/>
      <c r="E1922" s="100"/>
      <c r="F1922" s="100"/>
      <c r="G1922" s="100"/>
      <c r="H1922" s="100"/>
      <c r="I1922" s="100"/>
      <c r="J1922" s="100"/>
      <c r="K1922" s="100"/>
      <c r="L1922" s="100"/>
      <c r="M1922" s="100"/>
      <c r="N1922" s="100"/>
      <c r="O1922" s="100"/>
      <c r="P1922" s="100"/>
      <c r="Q1922" s="100"/>
      <c r="R1922" s="100"/>
      <c r="S1922" s="100"/>
      <c r="T1922" s="100"/>
      <c r="U1922" s="100"/>
      <c r="V1922" s="100"/>
      <c r="W1922" s="100"/>
      <c r="X1922" s="100"/>
      <c r="Y1922" s="100"/>
      <c r="Z1922" s="100"/>
    </row>
    <row r="1923" spans="1:26">
      <c r="A1923" s="100"/>
      <c r="B1923" s="100"/>
      <c r="C1923" s="100"/>
      <c r="D1923" s="100"/>
      <c r="E1923" s="100"/>
      <c r="F1923" s="100"/>
      <c r="G1923" s="100"/>
      <c r="H1923" s="100"/>
      <c r="I1923" s="100"/>
      <c r="J1923" s="100"/>
      <c r="K1923" s="100"/>
      <c r="L1923" s="100"/>
      <c r="M1923" s="100"/>
      <c r="N1923" s="100"/>
      <c r="O1923" s="100"/>
      <c r="P1923" s="100"/>
      <c r="Q1923" s="100"/>
      <c r="R1923" s="100"/>
      <c r="S1923" s="100"/>
      <c r="T1923" s="100"/>
      <c r="U1923" s="100"/>
      <c r="V1923" s="100"/>
      <c r="W1923" s="100"/>
      <c r="X1923" s="100"/>
      <c r="Y1923" s="100"/>
      <c r="Z1923" s="100"/>
    </row>
    <row r="1924" spans="1:26">
      <c r="A1924" s="100"/>
      <c r="B1924" s="100"/>
      <c r="C1924" s="100"/>
      <c r="D1924" s="100"/>
      <c r="E1924" s="100"/>
      <c r="F1924" s="100"/>
      <c r="G1924" s="100"/>
      <c r="H1924" s="100"/>
      <c r="I1924" s="100"/>
      <c r="J1924" s="100"/>
      <c r="K1924" s="100"/>
      <c r="L1924" s="100"/>
      <c r="M1924" s="100"/>
      <c r="N1924" s="100"/>
      <c r="O1924" s="100"/>
      <c r="P1924" s="100"/>
      <c r="Q1924" s="100"/>
      <c r="R1924" s="100"/>
      <c r="S1924" s="100"/>
      <c r="T1924" s="100"/>
      <c r="U1924" s="100"/>
      <c r="V1924" s="100"/>
      <c r="W1924" s="100"/>
      <c r="X1924" s="100"/>
      <c r="Y1924" s="100"/>
      <c r="Z1924" s="100"/>
    </row>
    <row r="1925" spans="1:26">
      <c r="A1925" s="100"/>
      <c r="B1925" s="100"/>
      <c r="C1925" s="100"/>
      <c r="D1925" s="100"/>
      <c r="E1925" s="100"/>
      <c r="F1925" s="100"/>
      <c r="G1925" s="100"/>
      <c r="H1925" s="100"/>
      <c r="I1925" s="100"/>
      <c r="J1925" s="100"/>
      <c r="K1925" s="100"/>
      <c r="L1925" s="100"/>
      <c r="M1925" s="100"/>
      <c r="N1925" s="100"/>
      <c r="O1925" s="100"/>
      <c r="P1925" s="100"/>
      <c r="Q1925" s="100"/>
      <c r="R1925" s="100"/>
      <c r="S1925" s="100"/>
      <c r="T1925" s="100"/>
      <c r="U1925" s="100"/>
      <c r="V1925" s="100"/>
      <c r="W1925" s="100"/>
      <c r="X1925" s="100"/>
      <c r="Y1925" s="100"/>
      <c r="Z1925" s="100"/>
    </row>
    <row r="1926" spans="1:26">
      <c r="A1926" s="100"/>
      <c r="B1926" s="100"/>
      <c r="C1926" s="100"/>
      <c r="D1926" s="100"/>
      <c r="E1926" s="100"/>
      <c r="F1926" s="100"/>
      <c r="G1926" s="100"/>
      <c r="H1926" s="100"/>
      <c r="I1926" s="100"/>
      <c r="J1926" s="100"/>
      <c r="K1926" s="100"/>
      <c r="L1926" s="100"/>
      <c r="M1926" s="100"/>
      <c r="N1926" s="100"/>
      <c r="O1926" s="100"/>
      <c r="P1926" s="100"/>
      <c r="Q1926" s="100"/>
      <c r="R1926" s="100"/>
      <c r="S1926" s="100"/>
      <c r="T1926" s="100"/>
      <c r="U1926" s="100"/>
      <c r="V1926" s="100"/>
      <c r="W1926" s="100"/>
      <c r="X1926" s="100"/>
      <c r="Y1926" s="100"/>
      <c r="Z1926" s="100"/>
    </row>
    <row r="1927" spans="1:26">
      <c r="A1927" s="100"/>
      <c r="B1927" s="100"/>
      <c r="C1927" s="100"/>
      <c r="D1927" s="100"/>
      <c r="E1927" s="100"/>
      <c r="F1927" s="100"/>
      <c r="G1927" s="100"/>
      <c r="H1927" s="100"/>
      <c r="I1927" s="100"/>
      <c r="J1927" s="100"/>
      <c r="K1927" s="100"/>
      <c r="L1927" s="100"/>
      <c r="M1927" s="100"/>
      <c r="N1927" s="100"/>
      <c r="O1927" s="100"/>
      <c r="P1927" s="100"/>
      <c r="Q1927" s="100"/>
      <c r="R1927" s="100"/>
      <c r="S1927" s="100"/>
      <c r="T1927" s="100"/>
      <c r="U1927" s="100"/>
      <c r="V1927" s="100"/>
      <c r="W1927" s="100"/>
      <c r="X1927" s="100"/>
      <c r="Y1927" s="100"/>
      <c r="Z1927" s="100"/>
    </row>
    <row r="1928" spans="1:26">
      <c r="A1928" s="100"/>
      <c r="B1928" s="100"/>
      <c r="C1928" s="100"/>
      <c r="D1928" s="100"/>
      <c r="E1928" s="100"/>
      <c r="F1928" s="100"/>
      <c r="G1928" s="100"/>
      <c r="H1928" s="100"/>
      <c r="I1928" s="100"/>
      <c r="J1928" s="100"/>
      <c r="K1928" s="100"/>
      <c r="L1928" s="100"/>
      <c r="M1928" s="100"/>
      <c r="N1928" s="100"/>
      <c r="O1928" s="100"/>
      <c r="P1928" s="100"/>
      <c r="Q1928" s="100"/>
      <c r="R1928" s="100"/>
      <c r="S1928" s="100"/>
      <c r="T1928" s="100"/>
      <c r="U1928" s="100"/>
      <c r="V1928" s="100"/>
      <c r="W1928" s="100"/>
      <c r="X1928" s="100"/>
      <c r="Y1928" s="100"/>
      <c r="Z1928" s="100"/>
    </row>
    <row r="1929" spans="1:26">
      <c r="A1929" s="100"/>
      <c r="B1929" s="100"/>
      <c r="C1929" s="100"/>
      <c r="D1929" s="100"/>
      <c r="E1929" s="100"/>
      <c r="F1929" s="100"/>
      <c r="G1929" s="100"/>
      <c r="H1929" s="100"/>
      <c r="I1929" s="100"/>
      <c r="J1929" s="100"/>
      <c r="K1929" s="100"/>
      <c r="L1929" s="100"/>
      <c r="M1929" s="100"/>
      <c r="N1929" s="100"/>
      <c r="O1929" s="100"/>
      <c r="P1929" s="100"/>
      <c r="Q1929" s="100"/>
      <c r="R1929" s="100"/>
      <c r="S1929" s="100"/>
      <c r="T1929" s="100"/>
      <c r="U1929" s="100"/>
      <c r="V1929" s="100"/>
      <c r="W1929" s="100"/>
      <c r="X1929" s="100"/>
      <c r="Y1929" s="100"/>
      <c r="Z1929" s="100"/>
    </row>
    <row r="1930" spans="1:26">
      <c r="A1930" s="100"/>
      <c r="B1930" s="100"/>
      <c r="C1930" s="100"/>
      <c r="D1930" s="100"/>
      <c r="E1930" s="100"/>
      <c r="F1930" s="100"/>
      <c r="G1930" s="100"/>
      <c r="H1930" s="100"/>
      <c r="I1930" s="100"/>
      <c r="J1930" s="100"/>
      <c r="K1930" s="100"/>
      <c r="L1930" s="100"/>
      <c r="M1930" s="100"/>
      <c r="N1930" s="100"/>
      <c r="O1930" s="100"/>
      <c r="P1930" s="100"/>
      <c r="Q1930" s="100"/>
      <c r="R1930" s="100"/>
      <c r="S1930" s="100"/>
      <c r="T1930" s="100"/>
      <c r="U1930" s="100"/>
      <c r="V1930" s="100"/>
      <c r="W1930" s="100"/>
      <c r="X1930" s="100"/>
      <c r="Y1930" s="100"/>
      <c r="Z1930" s="100"/>
    </row>
    <row r="1931" spans="1:26">
      <c r="A1931" s="100"/>
      <c r="B1931" s="100"/>
      <c r="C1931" s="100"/>
      <c r="D1931" s="100"/>
      <c r="E1931" s="100"/>
      <c r="F1931" s="100"/>
      <c r="G1931" s="100"/>
      <c r="H1931" s="100"/>
      <c r="I1931" s="100"/>
      <c r="J1931" s="100"/>
      <c r="K1931" s="100"/>
      <c r="L1931" s="100"/>
      <c r="M1931" s="100"/>
      <c r="N1931" s="100"/>
      <c r="O1931" s="100"/>
      <c r="P1931" s="100"/>
      <c r="Q1931" s="100"/>
      <c r="R1931" s="100"/>
      <c r="S1931" s="100"/>
      <c r="T1931" s="100"/>
      <c r="U1931" s="100"/>
      <c r="V1931" s="100"/>
      <c r="W1931" s="100"/>
      <c r="X1931" s="100"/>
      <c r="Y1931" s="100"/>
      <c r="Z1931" s="100"/>
    </row>
    <row r="1932" spans="1:26">
      <c r="A1932" s="100"/>
      <c r="B1932" s="100"/>
      <c r="C1932" s="100"/>
      <c r="D1932" s="100"/>
      <c r="E1932" s="100"/>
      <c r="F1932" s="100"/>
      <c r="G1932" s="100"/>
      <c r="H1932" s="100"/>
      <c r="I1932" s="100"/>
      <c r="J1932" s="100"/>
      <c r="K1932" s="100"/>
      <c r="L1932" s="100"/>
      <c r="M1932" s="100"/>
      <c r="N1932" s="100"/>
      <c r="O1932" s="100"/>
      <c r="P1932" s="100"/>
      <c r="Q1932" s="100"/>
      <c r="R1932" s="100"/>
      <c r="S1932" s="100"/>
      <c r="T1932" s="100"/>
      <c r="U1932" s="100"/>
      <c r="V1932" s="100"/>
      <c r="W1932" s="100"/>
      <c r="X1932" s="100"/>
      <c r="Y1932" s="100"/>
      <c r="Z1932" s="100"/>
    </row>
    <row r="1933" spans="1:26">
      <c r="A1933" s="100"/>
      <c r="B1933" s="100"/>
      <c r="C1933" s="100"/>
      <c r="D1933" s="100"/>
      <c r="E1933" s="100"/>
      <c r="F1933" s="100"/>
      <c r="G1933" s="100"/>
      <c r="H1933" s="100"/>
      <c r="I1933" s="100"/>
      <c r="J1933" s="100"/>
      <c r="K1933" s="100"/>
      <c r="L1933" s="100"/>
      <c r="M1933" s="100"/>
      <c r="N1933" s="100"/>
      <c r="O1933" s="100"/>
      <c r="P1933" s="100"/>
      <c r="Q1933" s="100"/>
      <c r="R1933" s="100"/>
      <c r="S1933" s="100"/>
      <c r="T1933" s="100"/>
      <c r="U1933" s="100"/>
      <c r="V1933" s="100"/>
      <c r="W1933" s="100"/>
      <c r="X1933" s="100"/>
      <c r="Y1933" s="100"/>
      <c r="Z1933" s="100"/>
    </row>
    <row r="1934" spans="1:26">
      <c r="A1934" s="100"/>
      <c r="B1934" s="100"/>
      <c r="C1934" s="100"/>
      <c r="D1934" s="100"/>
      <c r="E1934" s="100"/>
      <c r="F1934" s="100"/>
      <c r="G1934" s="100"/>
      <c r="H1934" s="100"/>
      <c r="I1934" s="100"/>
      <c r="J1934" s="100"/>
      <c r="K1934" s="100"/>
      <c r="L1934" s="100"/>
      <c r="M1934" s="100"/>
      <c r="N1934" s="100"/>
      <c r="O1934" s="100"/>
      <c r="P1934" s="100"/>
      <c r="Q1934" s="100"/>
      <c r="R1934" s="100"/>
      <c r="S1934" s="100"/>
      <c r="T1934" s="100"/>
      <c r="U1934" s="100"/>
      <c r="V1934" s="100"/>
      <c r="W1934" s="100"/>
      <c r="X1934" s="100"/>
      <c r="Y1934" s="100"/>
      <c r="Z1934" s="100"/>
    </row>
    <row r="1935" spans="1:26">
      <c r="A1935" s="100"/>
      <c r="B1935" s="100"/>
      <c r="C1935" s="100"/>
      <c r="D1935" s="100"/>
      <c r="E1935" s="100"/>
      <c r="F1935" s="100"/>
      <c r="G1935" s="100"/>
      <c r="H1935" s="100"/>
      <c r="I1935" s="100"/>
      <c r="J1935" s="100"/>
      <c r="K1935" s="100"/>
      <c r="L1935" s="100"/>
      <c r="M1935" s="100"/>
      <c r="N1935" s="100"/>
      <c r="O1935" s="100"/>
      <c r="P1935" s="100"/>
      <c r="Q1935" s="100"/>
      <c r="R1935" s="100"/>
      <c r="S1935" s="100"/>
      <c r="T1935" s="100"/>
      <c r="U1935" s="100"/>
      <c r="V1935" s="100"/>
      <c r="W1935" s="100"/>
      <c r="X1935" s="100"/>
      <c r="Y1935" s="100"/>
      <c r="Z1935" s="100"/>
    </row>
    <row r="1936" spans="1:26">
      <c r="A1936" s="100"/>
      <c r="B1936" s="100"/>
      <c r="C1936" s="100"/>
      <c r="D1936" s="100"/>
      <c r="E1936" s="100"/>
      <c r="F1936" s="100"/>
      <c r="G1936" s="100"/>
      <c r="H1936" s="100"/>
      <c r="I1936" s="100"/>
      <c r="J1936" s="100"/>
      <c r="K1936" s="100"/>
      <c r="L1936" s="100"/>
      <c r="M1936" s="100"/>
      <c r="N1936" s="100"/>
      <c r="O1936" s="100"/>
      <c r="P1936" s="100"/>
      <c r="Q1936" s="100"/>
      <c r="R1936" s="100"/>
      <c r="S1936" s="100"/>
      <c r="T1936" s="100"/>
      <c r="U1936" s="100"/>
      <c r="V1936" s="100"/>
      <c r="W1936" s="100"/>
      <c r="X1936" s="100"/>
      <c r="Y1936" s="100"/>
      <c r="Z1936" s="100"/>
    </row>
    <row r="1937" spans="1:26">
      <c r="A1937" s="100"/>
      <c r="B1937" s="100"/>
      <c r="C1937" s="100"/>
      <c r="D1937" s="100"/>
      <c r="E1937" s="100"/>
      <c r="F1937" s="100"/>
      <c r="G1937" s="100"/>
      <c r="H1937" s="100"/>
      <c r="I1937" s="100"/>
      <c r="J1937" s="100"/>
      <c r="K1937" s="100"/>
      <c r="L1937" s="100"/>
      <c r="M1937" s="100"/>
      <c r="N1937" s="100"/>
      <c r="O1937" s="100"/>
      <c r="P1937" s="100"/>
      <c r="Q1937" s="100"/>
      <c r="R1937" s="100"/>
      <c r="S1937" s="100"/>
      <c r="T1937" s="100"/>
      <c r="U1937" s="100"/>
      <c r="V1937" s="100"/>
      <c r="W1937" s="100"/>
      <c r="X1937" s="100"/>
      <c r="Y1937" s="100"/>
      <c r="Z1937" s="100"/>
    </row>
    <row r="1938" spans="1:26">
      <c r="A1938" s="100"/>
      <c r="B1938" s="100"/>
      <c r="C1938" s="100"/>
      <c r="D1938" s="100"/>
      <c r="E1938" s="100"/>
      <c r="F1938" s="100"/>
      <c r="G1938" s="100"/>
      <c r="H1938" s="100"/>
      <c r="I1938" s="100"/>
      <c r="J1938" s="100"/>
      <c r="K1938" s="100"/>
      <c r="L1938" s="100"/>
      <c r="M1938" s="100"/>
      <c r="N1938" s="100"/>
      <c r="O1938" s="100"/>
      <c r="P1938" s="100"/>
      <c r="Q1938" s="100"/>
      <c r="R1938" s="100"/>
      <c r="S1938" s="100"/>
      <c r="T1938" s="100"/>
      <c r="U1938" s="100"/>
      <c r="V1938" s="100"/>
      <c r="W1938" s="100"/>
      <c r="X1938" s="100"/>
      <c r="Y1938" s="100"/>
      <c r="Z1938" s="100"/>
    </row>
    <row r="1939" spans="1:26">
      <c r="A1939" s="100"/>
      <c r="B1939" s="100"/>
      <c r="C1939" s="100"/>
      <c r="D1939" s="100"/>
      <c r="E1939" s="100"/>
      <c r="F1939" s="100"/>
      <c r="G1939" s="100"/>
      <c r="H1939" s="100"/>
      <c r="I1939" s="100"/>
      <c r="J1939" s="100"/>
      <c r="K1939" s="100"/>
      <c r="L1939" s="100"/>
      <c r="M1939" s="100"/>
      <c r="N1939" s="100"/>
      <c r="O1939" s="100"/>
      <c r="P1939" s="100"/>
      <c r="Q1939" s="100"/>
      <c r="R1939" s="100"/>
      <c r="S1939" s="100"/>
      <c r="T1939" s="100"/>
      <c r="U1939" s="100"/>
      <c r="V1939" s="100"/>
      <c r="W1939" s="100"/>
      <c r="X1939" s="100"/>
      <c r="Y1939" s="100"/>
      <c r="Z1939" s="100"/>
    </row>
    <row r="1940" spans="1:26">
      <c r="A1940" s="100"/>
      <c r="B1940" s="100"/>
      <c r="C1940" s="100"/>
      <c r="D1940" s="100"/>
      <c r="E1940" s="100"/>
      <c r="F1940" s="100"/>
      <c r="G1940" s="100"/>
      <c r="H1940" s="100"/>
      <c r="I1940" s="100"/>
      <c r="J1940" s="100"/>
      <c r="K1940" s="100"/>
      <c r="L1940" s="100"/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</row>
    <row r="1941" spans="1:26">
      <c r="A1941" s="100"/>
      <c r="B1941" s="100"/>
      <c r="C1941" s="100"/>
      <c r="D1941" s="100"/>
      <c r="E1941" s="100"/>
      <c r="F1941" s="100"/>
      <c r="G1941" s="100"/>
      <c r="H1941" s="100"/>
      <c r="I1941" s="100"/>
      <c r="J1941" s="100"/>
      <c r="K1941" s="100"/>
      <c r="L1941" s="100"/>
      <c r="M1941" s="100"/>
      <c r="N1941" s="100"/>
      <c r="O1941" s="100"/>
      <c r="P1941" s="100"/>
      <c r="Q1941" s="100"/>
      <c r="R1941" s="100"/>
      <c r="S1941" s="100"/>
      <c r="T1941" s="100"/>
      <c r="U1941" s="100"/>
      <c r="V1941" s="100"/>
      <c r="W1941" s="100"/>
      <c r="X1941" s="100"/>
      <c r="Y1941" s="100"/>
      <c r="Z1941" s="100"/>
    </row>
    <row r="1942" spans="1:26">
      <c r="A1942" s="100"/>
      <c r="B1942" s="100"/>
      <c r="C1942" s="100"/>
      <c r="D1942" s="100"/>
      <c r="E1942" s="100"/>
      <c r="F1942" s="100"/>
      <c r="G1942" s="100"/>
      <c r="H1942" s="100"/>
      <c r="I1942" s="100"/>
      <c r="J1942" s="100"/>
      <c r="K1942" s="100"/>
      <c r="L1942" s="100"/>
      <c r="M1942" s="100"/>
      <c r="N1942" s="100"/>
      <c r="O1942" s="100"/>
      <c r="P1942" s="100"/>
      <c r="Q1942" s="100"/>
      <c r="R1942" s="100"/>
      <c r="S1942" s="100"/>
      <c r="T1942" s="100"/>
      <c r="U1942" s="100"/>
      <c r="V1942" s="100"/>
      <c r="W1942" s="100"/>
      <c r="X1942" s="100"/>
      <c r="Y1942" s="100"/>
      <c r="Z1942" s="100"/>
    </row>
    <row r="1943" spans="1:26">
      <c r="A1943" s="100"/>
      <c r="B1943" s="100"/>
      <c r="C1943" s="100"/>
      <c r="D1943" s="100"/>
      <c r="E1943" s="100"/>
      <c r="F1943" s="100"/>
      <c r="G1943" s="100"/>
      <c r="H1943" s="100"/>
      <c r="I1943" s="100"/>
      <c r="J1943" s="100"/>
      <c r="K1943" s="100"/>
      <c r="L1943" s="100"/>
      <c r="M1943" s="100"/>
      <c r="N1943" s="100"/>
      <c r="O1943" s="100"/>
      <c r="P1943" s="100"/>
      <c r="Q1943" s="100"/>
      <c r="R1943" s="100"/>
      <c r="S1943" s="100"/>
      <c r="T1943" s="100"/>
      <c r="U1943" s="100"/>
      <c r="V1943" s="100"/>
      <c r="W1943" s="100"/>
      <c r="X1943" s="100"/>
      <c r="Y1943" s="100"/>
      <c r="Z1943" s="100"/>
    </row>
    <row r="1944" spans="1:26">
      <c r="A1944" s="100"/>
      <c r="B1944" s="100"/>
      <c r="C1944" s="100"/>
      <c r="D1944" s="100"/>
      <c r="E1944" s="100"/>
      <c r="F1944" s="100"/>
      <c r="G1944" s="100"/>
      <c r="H1944" s="100"/>
      <c r="I1944" s="100"/>
      <c r="J1944" s="100"/>
      <c r="K1944" s="100"/>
      <c r="L1944" s="100"/>
      <c r="M1944" s="100"/>
      <c r="N1944" s="100"/>
      <c r="O1944" s="100"/>
      <c r="P1944" s="100"/>
      <c r="Q1944" s="100"/>
      <c r="R1944" s="100"/>
      <c r="S1944" s="100"/>
      <c r="T1944" s="100"/>
      <c r="U1944" s="100"/>
      <c r="V1944" s="100"/>
      <c r="W1944" s="100"/>
      <c r="X1944" s="100"/>
      <c r="Y1944" s="100"/>
      <c r="Z1944" s="100"/>
    </row>
    <row r="1945" spans="1:26">
      <c r="A1945" s="100"/>
      <c r="B1945" s="100"/>
      <c r="C1945" s="100"/>
      <c r="D1945" s="100"/>
      <c r="E1945" s="100"/>
      <c r="F1945" s="100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</row>
    <row r="1946" spans="1:26">
      <c r="A1946" s="100"/>
      <c r="B1946" s="100"/>
      <c r="C1946" s="100"/>
      <c r="D1946" s="100"/>
      <c r="E1946" s="100"/>
      <c r="F1946" s="100"/>
      <c r="G1946" s="100"/>
      <c r="H1946" s="100"/>
      <c r="I1946" s="100"/>
      <c r="J1946" s="100"/>
      <c r="K1946" s="100"/>
      <c r="L1946" s="100"/>
      <c r="M1946" s="100"/>
      <c r="N1946" s="100"/>
      <c r="O1946" s="100"/>
      <c r="P1946" s="100"/>
      <c r="Q1946" s="100"/>
      <c r="R1946" s="100"/>
      <c r="S1946" s="100"/>
      <c r="T1946" s="100"/>
      <c r="U1946" s="100"/>
      <c r="V1946" s="100"/>
      <c r="W1946" s="100"/>
      <c r="X1946" s="100"/>
      <c r="Y1946" s="100"/>
      <c r="Z1946" s="100"/>
    </row>
    <row r="1947" spans="1:26">
      <c r="A1947" s="100"/>
      <c r="B1947" s="100"/>
      <c r="C1947" s="100"/>
      <c r="D1947" s="100"/>
      <c r="E1947" s="100"/>
      <c r="F1947" s="100"/>
      <c r="G1947" s="100"/>
      <c r="H1947" s="100"/>
      <c r="I1947" s="100"/>
      <c r="J1947" s="100"/>
      <c r="K1947" s="100"/>
      <c r="L1947" s="100"/>
      <c r="M1947" s="100"/>
      <c r="N1947" s="100"/>
      <c r="O1947" s="100"/>
      <c r="P1947" s="100"/>
      <c r="Q1947" s="100"/>
      <c r="R1947" s="100"/>
      <c r="S1947" s="100"/>
      <c r="T1947" s="100"/>
      <c r="U1947" s="100"/>
      <c r="V1947" s="100"/>
      <c r="W1947" s="100"/>
      <c r="X1947" s="100"/>
      <c r="Y1947" s="100"/>
      <c r="Z1947" s="100"/>
    </row>
    <row r="1948" spans="1:26">
      <c r="A1948" s="100"/>
      <c r="B1948" s="100"/>
      <c r="C1948" s="100"/>
      <c r="D1948" s="100"/>
      <c r="E1948" s="100"/>
      <c r="F1948" s="100"/>
      <c r="G1948" s="100"/>
      <c r="H1948" s="100"/>
      <c r="I1948" s="100"/>
      <c r="J1948" s="100"/>
      <c r="K1948" s="100"/>
      <c r="L1948" s="100"/>
      <c r="M1948" s="100"/>
      <c r="N1948" s="100"/>
      <c r="O1948" s="100"/>
      <c r="P1948" s="100"/>
      <c r="Q1948" s="100"/>
      <c r="R1948" s="100"/>
      <c r="S1948" s="100"/>
      <c r="T1948" s="100"/>
      <c r="U1948" s="100"/>
      <c r="V1948" s="100"/>
      <c r="W1948" s="100"/>
      <c r="X1948" s="100"/>
      <c r="Y1948" s="100"/>
      <c r="Z1948" s="100"/>
    </row>
    <row r="1949" spans="1:26">
      <c r="A1949" s="100"/>
      <c r="B1949" s="100"/>
      <c r="C1949" s="100"/>
      <c r="D1949" s="100"/>
      <c r="E1949" s="100"/>
      <c r="F1949" s="100"/>
      <c r="G1949" s="100"/>
      <c r="H1949" s="100"/>
      <c r="I1949" s="100"/>
      <c r="J1949" s="100"/>
      <c r="K1949" s="100"/>
      <c r="L1949" s="100"/>
      <c r="M1949" s="100"/>
      <c r="N1949" s="100"/>
      <c r="O1949" s="100"/>
      <c r="P1949" s="100"/>
      <c r="Q1949" s="100"/>
      <c r="R1949" s="100"/>
      <c r="S1949" s="100"/>
      <c r="T1949" s="100"/>
      <c r="U1949" s="100"/>
      <c r="V1949" s="100"/>
      <c r="W1949" s="100"/>
      <c r="X1949" s="100"/>
      <c r="Y1949" s="100"/>
      <c r="Z1949" s="100"/>
    </row>
    <row r="1950" spans="1:26">
      <c r="A1950" s="100"/>
      <c r="B1950" s="100"/>
      <c r="C1950" s="100"/>
      <c r="D1950" s="100"/>
      <c r="E1950" s="100"/>
      <c r="F1950" s="100"/>
      <c r="G1950" s="100"/>
      <c r="H1950" s="100"/>
      <c r="I1950" s="100"/>
      <c r="J1950" s="100"/>
      <c r="K1950" s="100"/>
      <c r="L1950" s="100"/>
      <c r="M1950" s="100"/>
      <c r="N1950" s="100"/>
      <c r="O1950" s="100"/>
      <c r="P1950" s="100"/>
      <c r="Q1950" s="100"/>
      <c r="R1950" s="100"/>
      <c r="S1950" s="100"/>
      <c r="T1950" s="100"/>
      <c r="U1950" s="100"/>
      <c r="V1950" s="100"/>
      <c r="W1950" s="100"/>
      <c r="X1950" s="100"/>
      <c r="Y1950" s="100"/>
      <c r="Z1950" s="100"/>
    </row>
    <row r="1951" spans="1:26">
      <c r="A1951" s="100"/>
      <c r="B1951" s="100"/>
      <c r="C1951" s="100"/>
      <c r="D1951" s="100"/>
      <c r="E1951" s="100"/>
      <c r="F1951" s="100"/>
      <c r="G1951" s="100"/>
      <c r="H1951" s="100"/>
      <c r="I1951" s="100"/>
      <c r="J1951" s="100"/>
      <c r="K1951" s="100"/>
      <c r="L1951" s="100"/>
      <c r="M1951" s="100"/>
      <c r="N1951" s="100"/>
      <c r="O1951" s="100"/>
      <c r="P1951" s="100"/>
      <c r="Q1951" s="100"/>
      <c r="R1951" s="100"/>
      <c r="S1951" s="100"/>
      <c r="T1951" s="100"/>
      <c r="U1951" s="100"/>
      <c r="V1951" s="100"/>
      <c r="W1951" s="100"/>
      <c r="X1951" s="100"/>
      <c r="Y1951" s="100"/>
      <c r="Z1951" s="100"/>
    </row>
    <row r="1952" spans="1:26">
      <c r="A1952" s="100"/>
      <c r="B1952" s="100"/>
      <c r="C1952" s="100"/>
      <c r="D1952" s="100"/>
      <c r="E1952" s="100"/>
      <c r="F1952" s="100"/>
      <c r="G1952" s="100"/>
      <c r="H1952" s="100"/>
      <c r="I1952" s="100"/>
      <c r="J1952" s="100"/>
      <c r="K1952" s="100"/>
      <c r="L1952" s="100"/>
      <c r="M1952" s="100"/>
      <c r="N1952" s="100"/>
      <c r="O1952" s="100"/>
      <c r="P1952" s="100"/>
      <c r="Q1952" s="100"/>
      <c r="R1952" s="100"/>
      <c r="S1952" s="100"/>
      <c r="T1952" s="100"/>
      <c r="U1952" s="100"/>
      <c r="V1952" s="100"/>
      <c r="W1952" s="100"/>
      <c r="X1952" s="100"/>
      <c r="Y1952" s="100"/>
      <c r="Z1952" s="100"/>
    </row>
    <row r="1953" spans="1:26">
      <c r="A1953" s="100"/>
      <c r="B1953" s="100"/>
      <c r="C1953" s="100"/>
      <c r="D1953" s="100"/>
      <c r="E1953" s="100"/>
      <c r="F1953" s="100"/>
      <c r="G1953" s="100"/>
      <c r="H1953" s="100"/>
      <c r="I1953" s="100"/>
      <c r="J1953" s="100"/>
      <c r="K1953" s="100"/>
      <c r="L1953" s="100"/>
      <c r="M1953" s="100"/>
      <c r="N1953" s="100"/>
      <c r="O1953" s="100"/>
      <c r="P1953" s="100"/>
      <c r="Q1953" s="100"/>
      <c r="R1953" s="100"/>
      <c r="S1953" s="100"/>
      <c r="T1953" s="100"/>
      <c r="U1953" s="100"/>
      <c r="V1953" s="100"/>
      <c r="W1953" s="100"/>
      <c r="X1953" s="100"/>
      <c r="Y1953" s="100"/>
      <c r="Z1953" s="100"/>
    </row>
    <row r="1954" spans="1:26">
      <c r="A1954" s="100"/>
      <c r="B1954" s="100"/>
      <c r="C1954" s="100"/>
      <c r="D1954" s="100"/>
      <c r="E1954" s="100"/>
      <c r="F1954" s="100"/>
      <c r="G1954" s="100"/>
      <c r="H1954" s="100"/>
      <c r="I1954" s="100"/>
      <c r="J1954" s="100"/>
      <c r="K1954" s="100"/>
      <c r="L1954" s="100"/>
      <c r="M1954" s="100"/>
      <c r="N1954" s="100"/>
      <c r="O1954" s="100"/>
      <c r="P1954" s="100"/>
      <c r="Q1954" s="100"/>
      <c r="R1954" s="100"/>
      <c r="S1954" s="100"/>
      <c r="T1954" s="100"/>
      <c r="U1954" s="100"/>
      <c r="V1954" s="100"/>
      <c r="W1954" s="100"/>
      <c r="X1954" s="100"/>
      <c r="Y1954" s="100"/>
      <c r="Z1954" s="100"/>
    </row>
    <row r="1955" spans="1:26">
      <c r="A1955" s="100"/>
      <c r="B1955" s="100"/>
      <c r="C1955" s="100"/>
      <c r="D1955" s="100"/>
      <c r="E1955" s="100"/>
      <c r="F1955" s="100"/>
      <c r="G1955" s="100"/>
      <c r="H1955" s="100"/>
      <c r="I1955" s="100"/>
      <c r="J1955" s="100"/>
      <c r="K1955" s="100"/>
      <c r="L1955" s="100"/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</row>
    <row r="1956" spans="1:26">
      <c r="A1956" s="100"/>
      <c r="B1956" s="100"/>
      <c r="C1956" s="100"/>
      <c r="D1956" s="100"/>
      <c r="E1956" s="100"/>
      <c r="F1956" s="100"/>
      <c r="G1956" s="100"/>
      <c r="H1956" s="100"/>
      <c r="I1956" s="100"/>
      <c r="J1956" s="100"/>
      <c r="K1956" s="100"/>
      <c r="L1956" s="100"/>
      <c r="M1956" s="100"/>
      <c r="N1956" s="100"/>
      <c r="O1956" s="100"/>
      <c r="P1956" s="100"/>
      <c r="Q1956" s="100"/>
      <c r="R1956" s="100"/>
      <c r="S1956" s="100"/>
      <c r="T1956" s="100"/>
      <c r="U1956" s="100"/>
      <c r="V1956" s="100"/>
      <c r="W1956" s="100"/>
      <c r="X1956" s="100"/>
      <c r="Y1956" s="100"/>
      <c r="Z1956" s="100"/>
    </row>
    <row r="1957" spans="1:26">
      <c r="A1957" s="100"/>
      <c r="B1957" s="100"/>
      <c r="C1957" s="100"/>
      <c r="D1957" s="100"/>
      <c r="E1957" s="100"/>
      <c r="F1957" s="100"/>
      <c r="G1957" s="100"/>
      <c r="H1957" s="100"/>
      <c r="I1957" s="100"/>
      <c r="J1957" s="100"/>
      <c r="K1957" s="100"/>
      <c r="L1957" s="100"/>
      <c r="M1957" s="100"/>
      <c r="N1957" s="100"/>
      <c r="O1957" s="100"/>
      <c r="P1957" s="100"/>
      <c r="Q1957" s="100"/>
      <c r="R1957" s="100"/>
      <c r="S1957" s="100"/>
      <c r="T1957" s="100"/>
      <c r="U1957" s="100"/>
      <c r="V1957" s="100"/>
      <c r="W1957" s="100"/>
      <c r="X1957" s="100"/>
      <c r="Y1957" s="100"/>
      <c r="Z1957" s="100"/>
    </row>
    <row r="1958" spans="1:26">
      <c r="A1958" s="100"/>
      <c r="B1958" s="100"/>
      <c r="C1958" s="100"/>
      <c r="D1958" s="100"/>
      <c r="E1958" s="100"/>
      <c r="F1958" s="100"/>
      <c r="G1958" s="100"/>
      <c r="H1958" s="100"/>
      <c r="I1958" s="100"/>
      <c r="J1958" s="100"/>
      <c r="K1958" s="100"/>
      <c r="L1958" s="100"/>
      <c r="M1958" s="100"/>
      <c r="N1958" s="100"/>
      <c r="O1958" s="100"/>
      <c r="P1958" s="100"/>
      <c r="Q1958" s="100"/>
      <c r="R1958" s="100"/>
      <c r="S1958" s="100"/>
      <c r="T1958" s="100"/>
      <c r="U1958" s="100"/>
      <c r="V1958" s="100"/>
      <c r="W1958" s="100"/>
      <c r="X1958" s="100"/>
      <c r="Y1958" s="100"/>
      <c r="Z1958" s="100"/>
    </row>
    <row r="1959" spans="1:26">
      <c r="A1959" s="100"/>
      <c r="B1959" s="100"/>
      <c r="C1959" s="100"/>
      <c r="D1959" s="100"/>
      <c r="E1959" s="100"/>
      <c r="F1959" s="100"/>
      <c r="G1959" s="100"/>
      <c r="H1959" s="100"/>
      <c r="I1959" s="100"/>
      <c r="J1959" s="100"/>
      <c r="K1959" s="100"/>
      <c r="L1959" s="100"/>
      <c r="M1959" s="100"/>
      <c r="N1959" s="100"/>
      <c r="O1959" s="100"/>
      <c r="P1959" s="100"/>
      <c r="Q1959" s="100"/>
      <c r="R1959" s="100"/>
      <c r="S1959" s="100"/>
      <c r="T1959" s="100"/>
      <c r="U1959" s="100"/>
      <c r="V1959" s="100"/>
      <c r="W1959" s="100"/>
      <c r="X1959" s="100"/>
      <c r="Y1959" s="100"/>
      <c r="Z1959" s="100"/>
    </row>
    <row r="1960" spans="1:26">
      <c r="A1960" s="100"/>
      <c r="B1960" s="100"/>
      <c r="C1960" s="100"/>
      <c r="D1960" s="100"/>
      <c r="E1960" s="100"/>
      <c r="F1960" s="100"/>
      <c r="G1960" s="100"/>
      <c r="H1960" s="100"/>
      <c r="I1960" s="100"/>
      <c r="J1960" s="100"/>
      <c r="K1960" s="100"/>
      <c r="L1960" s="100"/>
      <c r="M1960" s="100"/>
      <c r="N1960" s="100"/>
      <c r="O1960" s="100"/>
      <c r="P1960" s="100"/>
      <c r="Q1960" s="100"/>
      <c r="R1960" s="100"/>
      <c r="S1960" s="100"/>
      <c r="T1960" s="100"/>
      <c r="U1960" s="100"/>
      <c r="V1960" s="100"/>
      <c r="W1960" s="100"/>
      <c r="X1960" s="100"/>
      <c r="Y1960" s="100"/>
      <c r="Z1960" s="100"/>
    </row>
    <row r="1961" spans="1:26">
      <c r="A1961" s="100"/>
      <c r="B1961" s="100"/>
      <c r="C1961" s="100"/>
      <c r="D1961" s="100"/>
      <c r="E1961" s="100"/>
      <c r="F1961" s="100"/>
      <c r="G1961" s="100"/>
      <c r="H1961" s="100"/>
      <c r="I1961" s="100"/>
      <c r="J1961" s="100"/>
      <c r="K1961" s="100"/>
      <c r="L1961" s="100"/>
      <c r="M1961" s="100"/>
      <c r="N1961" s="100"/>
      <c r="O1961" s="100"/>
      <c r="P1961" s="100"/>
      <c r="Q1961" s="100"/>
      <c r="R1961" s="100"/>
      <c r="S1961" s="100"/>
      <c r="T1961" s="100"/>
      <c r="U1961" s="100"/>
      <c r="V1961" s="100"/>
      <c r="W1961" s="100"/>
      <c r="X1961" s="100"/>
      <c r="Y1961" s="100"/>
      <c r="Z1961" s="100"/>
    </row>
    <row r="1962" spans="1:26">
      <c r="A1962" s="100"/>
      <c r="B1962" s="100"/>
      <c r="C1962" s="100"/>
      <c r="D1962" s="100"/>
      <c r="E1962" s="100"/>
      <c r="F1962" s="100"/>
      <c r="G1962" s="100"/>
      <c r="H1962" s="100"/>
      <c r="I1962" s="100"/>
      <c r="J1962" s="100"/>
      <c r="K1962" s="100"/>
      <c r="L1962" s="100"/>
      <c r="M1962" s="100"/>
      <c r="N1962" s="100"/>
      <c r="O1962" s="100"/>
      <c r="P1962" s="100"/>
      <c r="Q1962" s="100"/>
      <c r="R1962" s="100"/>
      <c r="S1962" s="100"/>
      <c r="T1962" s="100"/>
      <c r="U1962" s="100"/>
      <c r="V1962" s="100"/>
      <c r="W1962" s="100"/>
      <c r="X1962" s="100"/>
      <c r="Y1962" s="100"/>
      <c r="Z1962" s="100"/>
    </row>
    <row r="1963" spans="1:26">
      <c r="A1963" s="100"/>
      <c r="B1963" s="100"/>
      <c r="C1963" s="100"/>
      <c r="D1963" s="100"/>
      <c r="E1963" s="100"/>
      <c r="F1963" s="100"/>
      <c r="G1963" s="100"/>
      <c r="H1963" s="100"/>
      <c r="I1963" s="100"/>
      <c r="J1963" s="100"/>
      <c r="K1963" s="100"/>
      <c r="L1963" s="100"/>
      <c r="M1963" s="100"/>
      <c r="N1963" s="100"/>
      <c r="O1963" s="100"/>
      <c r="P1963" s="100"/>
      <c r="Q1963" s="100"/>
      <c r="R1963" s="100"/>
      <c r="S1963" s="100"/>
      <c r="T1963" s="100"/>
      <c r="U1963" s="100"/>
      <c r="V1963" s="100"/>
      <c r="W1963" s="100"/>
      <c r="X1963" s="100"/>
      <c r="Y1963" s="100"/>
      <c r="Z1963" s="100"/>
    </row>
    <row r="1964" spans="1:26">
      <c r="A1964" s="100"/>
      <c r="B1964" s="100"/>
      <c r="C1964" s="100"/>
      <c r="D1964" s="100"/>
      <c r="E1964" s="100"/>
      <c r="F1964" s="100"/>
      <c r="G1964" s="100"/>
      <c r="H1964" s="100"/>
      <c r="I1964" s="100"/>
      <c r="J1964" s="100"/>
      <c r="K1964" s="100"/>
      <c r="L1964" s="100"/>
      <c r="M1964" s="100"/>
      <c r="N1964" s="100"/>
      <c r="O1964" s="100"/>
      <c r="P1964" s="100"/>
      <c r="Q1964" s="100"/>
      <c r="R1964" s="100"/>
      <c r="S1964" s="100"/>
      <c r="T1964" s="100"/>
      <c r="U1964" s="100"/>
      <c r="V1964" s="100"/>
      <c r="W1964" s="100"/>
      <c r="X1964" s="100"/>
      <c r="Y1964" s="100"/>
      <c r="Z1964" s="100"/>
    </row>
    <row r="1965" spans="1:26">
      <c r="A1965" s="100"/>
      <c r="B1965" s="100"/>
      <c r="C1965" s="100"/>
      <c r="D1965" s="100"/>
      <c r="E1965" s="100"/>
      <c r="F1965" s="100"/>
      <c r="G1965" s="100"/>
      <c r="H1965" s="100"/>
      <c r="I1965" s="100"/>
      <c r="J1965" s="100"/>
      <c r="K1965" s="100"/>
      <c r="L1965" s="100"/>
      <c r="M1965" s="100"/>
      <c r="N1965" s="100"/>
      <c r="O1965" s="100"/>
      <c r="P1965" s="100"/>
      <c r="Q1965" s="100"/>
      <c r="R1965" s="100"/>
      <c r="S1965" s="100"/>
      <c r="T1965" s="100"/>
      <c r="U1965" s="100"/>
      <c r="V1965" s="100"/>
      <c r="W1965" s="100"/>
      <c r="X1965" s="100"/>
      <c r="Y1965" s="100"/>
      <c r="Z1965" s="100"/>
    </row>
    <row r="1966" spans="1:26">
      <c r="A1966" s="100"/>
      <c r="B1966" s="100"/>
      <c r="C1966" s="100"/>
      <c r="D1966" s="100"/>
      <c r="E1966" s="100"/>
      <c r="F1966" s="100"/>
      <c r="G1966" s="100"/>
      <c r="H1966" s="100"/>
      <c r="I1966" s="100"/>
      <c r="J1966" s="100"/>
      <c r="K1966" s="100"/>
      <c r="L1966" s="100"/>
      <c r="M1966" s="100"/>
      <c r="N1966" s="100"/>
      <c r="O1966" s="100"/>
      <c r="P1966" s="100"/>
      <c r="Q1966" s="100"/>
      <c r="R1966" s="100"/>
      <c r="S1966" s="100"/>
      <c r="T1966" s="100"/>
      <c r="U1966" s="100"/>
      <c r="V1966" s="100"/>
      <c r="W1966" s="100"/>
      <c r="X1966" s="100"/>
      <c r="Y1966" s="100"/>
      <c r="Z1966" s="100"/>
    </row>
    <row r="1967" spans="1:26">
      <c r="A1967" s="100"/>
      <c r="B1967" s="100"/>
      <c r="C1967" s="100"/>
      <c r="D1967" s="100"/>
      <c r="E1967" s="100"/>
      <c r="F1967" s="100"/>
      <c r="G1967" s="100"/>
      <c r="H1967" s="100"/>
      <c r="I1967" s="100"/>
      <c r="J1967" s="100"/>
      <c r="K1967" s="100"/>
      <c r="L1967" s="100"/>
      <c r="M1967" s="100"/>
      <c r="N1967" s="100"/>
      <c r="O1967" s="100"/>
      <c r="P1967" s="100"/>
      <c r="Q1967" s="100"/>
      <c r="R1967" s="100"/>
      <c r="S1967" s="100"/>
      <c r="T1967" s="100"/>
      <c r="U1967" s="100"/>
      <c r="V1967" s="100"/>
      <c r="W1967" s="100"/>
      <c r="X1967" s="100"/>
      <c r="Y1967" s="100"/>
      <c r="Z1967" s="100"/>
    </row>
    <row r="1968" spans="1:26">
      <c r="A1968" s="100"/>
      <c r="B1968" s="100"/>
      <c r="C1968" s="100"/>
      <c r="D1968" s="100"/>
      <c r="E1968" s="100"/>
      <c r="F1968" s="100"/>
      <c r="G1968" s="100"/>
      <c r="H1968" s="100"/>
      <c r="I1968" s="100"/>
      <c r="J1968" s="100"/>
      <c r="K1968" s="100"/>
      <c r="L1968" s="100"/>
      <c r="M1968" s="100"/>
      <c r="N1968" s="100"/>
      <c r="O1968" s="100"/>
      <c r="P1968" s="100"/>
      <c r="Q1968" s="100"/>
      <c r="R1968" s="100"/>
      <c r="S1968" s="100"/>
      <c r="T1968" s="100"/>
      <c r="U1968" s="100"/>
      <c r="V1968" s="100"/>
      <c r="W1968" s="100"/>
      <c r="X1968" s="100"/>
      <c r="Y1968" s="100"/>
      <c r="Z1968" s="100"/>
    </row>
    <row r="1969" spans="1:26">
      <c r="A1969" s="100"/>
      <c r="B1969" s="100"/>
      <c r="C1969" s="100"/>
      <c r="D1969" s="100"/>
      <c r="E1969" s="100"/>
      <c r="F1969" s="100"/>
      <c r="G1969" s="100"/>
      <c r="H1969" s="100"/>
      <c r="I1969" s="100"/>
      <c r="J1969" s="100"/>
      <c r="K1969" s="100"/>
      <c r="L1969" s="100"/>
      <c r="M1969" s="100"/>
      <c r="N1969" s="100"/>
      <c r="O1969" s="100"/>
      <c r="P1969" s="100"/>
      <c r="Q1969" s="100"/>
      <c r="R1969" s="100"/>
      <c r="S1969" s="100"/>
      <c r="T1969" s="100"/>
      <c r="U1969" s="100"/>
      <c r="V1969" s="100"/>
      <c r="W1969" s="100"/>
      <c r="X1969" s="100"/>
      <c r="Y1969" s="100"/>
      <c r="Z1969" s="100"/>
    </row>
    <row r="1970" spans="1:26">
      <c r="A1970" s="100"/>
      <c r="B1970" s="100"/>
      <c r="C1970" s="100"/>
      <c r="D1970" s="100"/>
      <c r="E1970" s="100"/>
      <c r="F1970" s="100"/>
      <c r="G1970" s="100"/>
      <c r="H1970" s="100"/>
      <c r="I1970" s="100"/>
      <c r="J1970" s="100"/>
      <c r="K1970" s="100"/>
      <c r="L1970" s="100"/>
      <c r="M1970" s="100"/>
      <c r="N1970" s="100"/>
      <c r="O1970" s="100"/>
      <c r="P1970" s="100"/>
      <c r="Q1970" s="100"/>
      <c r="R1970" s="100"/>
      <c r="S1970" s="100"/>
      <c r="T1970" s="100"/>
      <c r="U1970" s="100"/>
      <c r="V1970" s="100"/>
      <c r="W1970" s="100"/>
      <c r="X1970" s="100"/>
      <c r="Y1970" s="100"/>
      <c r="Z1970" s="100"/>
    </row>
    <row r="1971" spans="1:26">
      <c r="A1971" s="100"/>
      <c r="B1971" s="100"/>
      <c r="C1971" s="100"/>
      <c r="D1971" s="100"/>
      <c r="E1971" s="100"/>
      <c r="F1971" s="100"/>
      <c r="G1971" s="100"/>
      <c r="H1971" s="100"/>
      <c r="I1971" s="100"/>
      <c r="J1971" s="100"/>
      <c r="K1971" s="100"/>
      <c r="L1971" s="100"/>
      <c r="M1971" s="100"/>
      <c r="N1971" s="100"/>
      <c r="O1971" s="100"/>
      <c r="P1971" s="100"/>
      <c r="Q1971" s="100"/>
      <c r="R1971" s="100"/>
      <c r="S1971" s="100"/>
      <c r="T1971" s="100"/>
      <c r="U1971" s="100"/>
      <c r="V1971" s="100"/>
      <c r="W1971" s="100"/>
      <c r="X1971" s="100"/>
      <c r="Y1971" s="100"/>
      <c r="Z1971" s="100"/>
    </row>
    <row r="1972" spans="1:26">
      <c r="A1972" s="100"/>
      <c r="B1972" s="100"/>
      <c r="C1972" s="100"/>
      <c r="D1972" s="100"/>
      <c r="E1972" s="100"/>
      <c r="F1972" s="100"/>
      <c r="G1972" s="100"/>
      <c r="H1972" s="100"/>
      <c r="I1972" s="100"/>
      <c r="J1972" s="100"/>
      <c r="K1972" s="100"/>
      <c r="L1972" s="100"/>
      <c r="M1972" s="100"/>
      <c r="N1972" s="100"/>
      <c r="O1972" s="100"/>
      <c r="P1972" s="100"/>
      <c r="Q1972" s="100"/>
      <c r="R1972" s="100"/>
      <c r="S1972" s="100"/>
      <c r="T1972" s="100"/>
      <c r="U1972" s="100"/>
      <c r="V1972" s="100"/>
      <c r="W1972" s="100"/>
      <c r="X1972" s="100"/>
      <c r="Y1972" s="100"/>
      <c r="Z1972" s="100"/>
    </row>
    <row r="1973" spans="1:26">
      <c r="A1973" s="100"/>
      <c r="B1973" s="100"/>
      <c r="C1973" s="100"/>
      <c r="D1973" s="100"/>
      <c r="E1973" s="100"/>
      <c r="F1973" s="100"/>
      <c r="G1973" s="100"/>
      <c r="H1973" s="100"/>
      <c r="I1973" s="100"/>
      <c r="J1973" s="100"/>
      <c r="K1973" s="100"/>
      <c r="L1973" s="100"/>
      <c r="M1973" s="100"/>
      <c r="N1973" s="100"/>
      <c r="O1973" s="100"/>
      <c r="P1973" s="100"/>
      <c r="Q1973" s="100"/>
      <c r="R1973" s="100"/>
      <c r="S1973" s="100"/>
      <c r="T1973" s="100"/>
      <c r="U1973" s="100"/>
      <c r="V1973" s="100"/>
      <c r="W1973" s="100"/>
      <c r="X1973" s="100"/>
      <c r="Y1973" s="100"/>
      <c r="Z1973" s="100"/>
    </row>
    <row r="1974" spans="1:26">
      <c r="A1974" s="100"/>
      <c r="B1974" s="100"/>
      <c r="C1974" s="100"/>
      <c r="D1974" s="100"/>
      <c r="E1974" s="100"/>
      <c r="F1974" s="100"/>
      <c r="G1974" s="100"/>
      <c r="H1974" s="100"/>
      <c r="I1974" s="100"/>
      <c r="J1974" s="100"/>
      <c r="K1974" s="100"/>
      <c r="L1974" s="100"/>
      <c r="M1974" s="100"/>
      <c r="N1974" s="100"/>
      <c r="O1974" s="100"/>
      <c r="P1974" s="100"/>
      <c r="Q1974" s="100"/>
      <c r="R1974" s="100"/>
      <c r="S1974" s="100"/>
      <c r="T1974" s="100"/>
      <c r="U1974" s="100"/>
      <c r="V1974" s="100"/>
      <c r="W1974" s="100"/>
      <c r="X1974" s="100"/>
      <c r="Y1974" s="100"/>
      <c r="Z1974" s="100"/>
    </row>
    <row r="1975" spans="1:26">
      <c r="A1975" s="100"/>
      <c r="B1975" s="100"/>
      <c r="C1975" s="100"/>
      <c r="D1975" s="100"/>
      <c r="E1975" s="100"/>
      <c r="F1975" s="100"/>
      <c r="G1975" s="100"/>
      <c r="H1975" s="100"/>
      <c r="I1975" s="100"/>
      <c r="J1975" s="100"/>
      <c r="K1975" s="100"/>
      <c r="L1975" s="100"/>
      <c r="M1975" s="100"/>
      <c r="N1975" s="100"/>
      <c r="O1975" s="100"/>
      <c r="P1975" s="100"/>
      <c r="Q1975" s="100"/>
      <c r="R1975" s="100"/>
      <c r="S1975" s="100"/>
      <c r="T1975" s="100"/>
      <c r="U1975" s="100"/>
      <c r="V1975" s="100"/>
      <c r="W1975" s="100"/>
      <c r="X1975" s="100"/>
      <c r="Y1975" s="100"/>
      <c r="Z1975" s="100"/>
    </row>
    <row r="1976" spans="1:26">
      <c r="A1976" s="100"/>
      <c r="B1976" s="100"/>
      <c r="C1976" s="100"/>
      <c r="D1976" s="100"/>
      <c r="E1976" s="100"/>
      <c r="F1976" s="100"/>
      <c r="G1976" s="100"/>
      <c r="H1976" s="100"/>
      <c r="I1976" s="100"/>
      <c r="J1976" s="100"/>
      <c r="K1976" s="100"/>
      <c r="L1976" s="100"/>
      <c r="M1976" s="100"/>
      <c r="N1976" s="100"/>
      <c r="O1976" s="100"/>
      <c r="P1976" s="100"/>
      <c r="Q1976" s="100"/>
      <c r="R1976" s="100"/>
      <c r="S1976" s="100"/>
      <c r="T1976" s="100"/>
      <c r="U1976" s="100"/>
      <c r="V1976" s="100"/>
      <c r="W1976" s="100"/>
      <c r="X1976" s="100"/>
      <c r="Y1976" s="100"/>
      <c r="Z1976" s="100"/>
    </row>
    <row r="1977" spans="1:26">
      <c r="A1977" s="100"/>
      <c r="B1977" s="100"/>
      <c r="C1977" s="100"/>
      <c r="D1977" s="100"/>
      <c r="E1977" s="100"/>
      <c r="F1977" s="100"/>
      <c r="G1977" s="100"/>
      <c r="H1977" s="100"/>
      <c r="I1977" s="100"/>
      <c r="J1977" s="100"/>
      <c r="K1977" s="100"/>
      <c r="L1977" s="100"/>
      <c r="M1977" s="100"/>
      <c r="N1977" s="100"/>
      <c r="O1977" s="100"/>
      <c r="P1977" s="100"/>
      <c r="Q1977" s="100"/>
      <c r="R1977" s="100"/>
      <c r="S1977" s="100"/>
      <c r="T1977" s="100"/>
      <c r="U1977" s="100"/>
      <c r="V1977" s="100"/>
      <c r="W1977" s="100"/>
      <c r="X1977" s="100"/>
      <c r="Y1977" s="100"/>
      <c r="Z1977" s="100"/>
    </row>
    <row r="1978" spans="1:26">
      <c r="A1978" s="100"/>
      <c r="B1978" s="100"/>
      <c r="C1978" s="100"/>
      <c r="D1978" s="100"/>
      <c r="E1978" s="100"/>
      <c r="F1978" s="100"/>
      <c r="G1978" s="100"/>
      <c r="H1978" s="100"/>
      <c r="I1978" s="100"/>
      <c r="J1978" s="100"/>
      <c r="K1978" s="100"/>
      <c r="L1978" s="100"/>
      <c r="M1978" s="100"/>
      <c r="N1978" s="100"/>
      <c r="O1978" s="100"/>
      <c r="P1978" s="100"/>
      <c r="Q1978" s="100"/>
      <c r="R1978" s="100"/>
      <c r="S1978" s="100"/>
      <c r="T1978" s="100"/>
      <c r="U1978" s="100"/>
      <c r="V1978" s="100"/>
      <c r="W1978" s="100"/>
      <c r="X1978" s="100"/>
      <c r="Y1978" s="100"/>
      <c r="Z1978" s="100"/>
    </row>
    <row r="1979" spans="1:26">
      <c r="A1979" s="100"/>
      <c r="B1979" s="100"/>
      <c r="C1979" s="100"/>
      <c r="D1979" s="100"/>
      <c r="E1979" s="100"/>
      <c r="F1979" s="100"/>
      <c r="G1979" s="100"/>
      <c r="H1979" s="100"/>
      <c r="I1979" s="100"/>
      <c r="J1979" s="100"/>
      <c r="K1979" s="100"/>
      <c r="L1979" s="100"/>
      <c r="M1979" s="100"/>
      <c r="N1979" s="100"/>
      <c r="O1979" s="100"/>
      <c r="P1979" s="100"/>
      <c r="Q1979" s="100"/>
      <c r="R1979" s="100"/>
      <c r="S1979" s="100"/>
      <c r="T1979" s="100"/>
      <c r="U1979" s="100"/>
      <c r="V1979" s="100"/>
      <c r="W1979" s="100"/>
      <c r="X1979" s="100"/>
      <c r="Y1979" s="100"/>
      <c r="Z1979" s="100"/>
    </row>
    <row r="1980" spans="1:26">
      <c r="A1980" s="100"/>
      <c r="B1980" s="100"/>
      <c r="C1980" s="100"/>
      <c r="D1980" s="100"/>
      <c r="E1980" s="100"/>
      <c r="F1980" s="100"/>
      <c r="G1980" s="100"/>
      <c r="H1980" s="100"/>
      <c r="I1980" s="100"/>
      <c r="J1980" s="100"/>
      <c r="K1980" s="100"/>
      <c r="L1980" s="100"/>
      <c r="M1980" s="100"/>
      <c r="N1980" s="100"/>
      <c r="O1980" s="100"/>
      <c r="P1980" s="100"/>
      <c r="Q1980" s="100"/>
      <c r="R1980" s="100"/>
      <c r="S1980" s="100"/>
      <c r="T1980" s="100"/>
      <c r="U1980" s="100"/>
      <c r="V1980" s="100"/>
      <c r="W1980" s="100"/>
      <c r="X1980" s="100"/>
      <c r="Y1980" s="100"/>
      <c r="Z1980" s="100"/>
    </row>
    <row r="1981" spans="1:26">
      <c r="A1981" s="100"/>
      <c r="B1981" s="100"/>
      <c r="C1981" s="100"/>
      <c r="D1981" s="100"/>
      <c r="E1981" s="100"/>
      <c r="F1981" s="100"/>
      <c r="G1981" s="100"/>
      <c r="H1981" s="100"/>
      <c r="I1981" s="100"/>
      <c r="J1981" s="100"/>
      <c r="K1981" s="100"/>
      <c r="L1981" s="100"/>
      <c r="M1981" s="100"/>
      <c r="N1981" s="100"/>
      <c r="O1981" s="100"/>
      <c r="P1981" s="100"/>
      <c r="Q1981" s="100"/>
      <c r="R1981" s="100"/>
      <c r="S1981" s="100"/>
      <c r="T1981" s="100"/>
      <c r="U1981" s="100"/>
      <c r="V1981" s="100"/>
      <c r="W1981" s="100"/>
      <c r="X1981" s="100"/>
      <c r="Y1981" s="100"/>
      <c r="Z1981" s="100"/>
    </row>
    <row r="1982" spans="1:26">
      <c r="A1982" s="100"/>
      <c r="B1982" s="100"/>
      <c r="C1982" s="100"/>
      <c r="D1982" s="100"/>
      <c r="E1982" s="100"/>
      <c r="F1982" s="100"/>
      <c r="G1982" s="100"/>
      <c r="H1982" s="100"/>
      <c r="I1982" s="100"/>
      <c r="J1982" s="100"/>
      <c r="K1982" s="100"/>
      <c r="L1982" s="100"/>
      <c r="M1982" s="100"/>
      <c r="N1982" s="100"/>
      <c r="O1982" s="100"/>
      <c r="P1982" s="100"/>
      <c r="Q1982" s="100"/>
      <c r="R1982" s="100"/>
      <c r="S1982" s="100"/>
      <c r="T1982" s="100"/>
      <c r="U1982" s="100"/>
      <c r="V1982" s="100"/>
      <c r="W1982" s="100"/>
      <c r="X1982" s="100"/>
      <c r="Y1982" s="100"/>
      <c r="Z1982" s="100"/>
    </row>
    <row r="1983" spans="1:26">
      <c r="A1983" s="100"/>
      <c r="B1983" s="100"/>
      <c r="C1983" s="100"/>
      <c r="D1983" s="100"/>
      <c r="E1983" s="100"/>
      <c r="F1983" s="100"/>
      <c r="G1983" s="100"/>
      <c r="H1983" s="100"/>
      <c r="I1983" s="100"/>
      <c r="J1983" s="100"/>
      <c r="K1983" s="100"/>
      <c r="L1983" s="100"/>
      <c r="M1983" s="100"/>
      <c r="N1983" s="100"/>
      <c r="O1983" s="100"/>
      <c r="P1983" s="100"/>
      <c r="Q1983" s="100"/>
      <c r="R1983" s="100"/>
      <c r="S1983" s="100"/>
      <c r="T1983" s="100"/>
      <c r="U1983" s="100"/>
      <c r="V1983" s="100"/>
      <c r="W1983" s="100"/>
      <c r="X1983" s="100"/>
      <c r="Y1983" s="100"/>
      <c r="Z1983" s="100"/>
    </row>
    <row r="1984" spans="1:26">
      <c r="A1984" s="100"/>
      <c r="B1984" s="100"/>
      <c r="C1984" s="100"/>
      <c r="D1984" s="100"/>
      <c r="E1984" s="100"/>
      <c r="F1984" s="100"/>
      <c r="G1984" s="100"/>
      <c r="H1984" s="100"/>
      <c r="I1984" s="100"/>
      <c r="J1984" s="100"/>
      <c r="K1984" s="100"/>
      <c r="L1984" s="100"/>
      <c r="M1984" s="100"/>
      <c r="N1984" s="100"/>
      <c r="O1984" s="100"/>
      <c r="P1984" s="100"/>
      <c r="Q1984" s="100"/>
      <c r="R1984" s="100"/>
      <c r="S1984" s="100"/>
      <c r="T1984" s="100"/>
      <c r="U1984" s="100"/>
      <c r="V1984" s="100"/>
      <c r="W1984" s="100"/>
      <c r="X1984" s="100"/>
      <c r="Y1984" s="100"/>
      <c r="Z1984" s="100"/>
    </row>
    <row r="1985" spans="1:26">
      <c r="A1985" s="100"/>
      <c r="B1985" s="100"/>
      <c r="C1985" s="100"/>
      <c r="D1985" s="100"/>
      <c r="E1985" s="100"/>
      <c r="F1985" s="100"/>
      <c r="G1985" s="100"/>
      <c r="H1985" s="100"/>
      <c r="I1985" s="100"/>
      <c r="J1985" s="100"/>
      <c r="K1985" s="100"/>
      <c r="L1985" s="100"/>
      <c r="M1985" s="100"/>
      <c r="N1985" s="100"/>
      <c r="O1985" s="100"/>
      <c r="P1985" s="100"/>
      <c r="Q1985" s="100"/>
      <c r="R1985" s="100"/>
      <c r="S1985" s="100"/>
      <c r="T1985" s="100"/>
      <c r="U1985" s="100"/>
      <c r="V1985" s="100"/>
      <c r="W1985" s="100"/>
      <c r="X1985" s="100"/>
      <c r="Y1985" s="100"/>
      <c r="Z1985" s="100"/>
    </row>
    <row r="1986" spans="1:26">
      <c r="A1986" s="100"/>
      <c r="B1986" s="100"/>
      <c r="C1986" s="100"/>
      <c r="D1986" s="100"/>
      <c r="E1986" s="100"/>
      <c r="F1986" s="100"/>
      <c r="G1986" s="100"/>
      <c r="H1986" s="100"/>
      <c r="I1986" s="100"/>
      <c r="J1986" s="100"/>
      <c r="K1986" s="100"/>
      <c r="L1986" s="100"/>
      <c r="M1986" s="100"/>
      <c r="N1986" s="100"/>
      <c r="O1986" s="100"/>
      <c r="P1986" s="100"/>
      <c r="Q1986" s="100"/>
      <c r="R1986" s="100"/>
      <c r="S1986" s="100"/>
      <c r="T1986" s="100"/>
      <c r="U1986" s="100"/>
      <c r="V1986" s="100"/>
      <c r="W1986" s="100"/>
      <c r="X1986" s="100"/>
      <c r="Y1986" s="100"/>
      <c r="Z1986" s="100"/>
    </row>
    <row r="1987" spans="1:26">
      <c r="A1987" s="100"/>
      <c r="B1987" s="100"/>
      <c r="C1987" s="100"/>
      <c r="D1987" s="100"/>
      <c r="E1987" s="100"/>
      <c r="F1987" s="100"/>
      <c r="G1987" s="100"/>
      <c r="H1987" s="100"/>
      <c r="I1987" s="100"/>
      <c r="J1987" s="100"/>
      <c r="K1987" s="100"/>
      <c r="L1987" s="100"/>
      <c r="M1987" s="100"/>
      <c r="N1987" s="100"/>
      <c r="O1987" s="100"/>
      <c r="P1987" s="100"/>
      <c r="Q1987" s="100"/>
      <c r="R1987" s="100"/>
      <c r="S1987" s="100"/>
      <c r="T1987" s="100"/>
      <c r="U1987" s="100"/>
      <c r="V1987" s="100"/>
      <c r="W1987" s="100"/>
      <c r="X1987" s="100"/>
      <c r="Y1987" s="100"/>
      <c r="Z1987" s="100"/>
    </row>
    <row r="1988" spans="1:26">
      <c r="A1988" s="100"/>
      <c r="B1988" s="100"/>
      <c r="C1988" s="100"/>
      <c r="D1988" s="100"/>
      <c r="E1988" s="100"/>
      <c r="F1988" s="100"/>
      <c r="G1988" s="100"/>
      <c r="H1988" s="100"/>
      <c r="I1988" s="100"/>
      <c r="J1988" s="100"/>
      <c r="K1988" s="100"/>
      <c r="L1988" s="100"/>
      <c r="M1988" s="100"/>
      <c r="N1988" s="100"/>
      <c r="O1988" s="100"/>
      <c r="P1988" s="100"/>
      <c r="Q1988" s="100"/>
      <c r="R1988" s="100"/>
      <c r="S1988" s="100"/>
      <c r="T1988" s="100"/>
      <c r="U1988" s="100"/>
      <c r="V1988" s="100"/>
      <c r="W1988" s="100"/>
      <c r="X1988" s="100"/>
      <c r="Y1988" s="100"/>
      <c r="Z1988" s="100"/>
    </row>
    <row r="1989" spans="1:26">
      <c r="A1989" s="100"/>
      <c r="B1989" s="100"/>
      <c r="C1989" s="100"/>
      <c r="D1989" s="100"/>
      <c r="E1989" s="100"/>
      <c r="F1989" s="100"/>
      <c r="G1989" s="100"/>
      <c r="H1989" s="100"/>
      <c r="I1989" s="100"/>
      <c r="J1989" s="100"/>
      <c r="K1989" s="100"/>
      <c r="L1989" s="100"/>
      <c r="M1989" s="100"/>
      <c r="N1989" s="100"/>
      <c r="O1989" s="100"/>
      <c r="P1989" s="100"/>
      <c r="Q1989" s="100"/>
      <c r="R1989" s="100"/>
      <c r="S1989" s="100"/>
      <c r="T1989" s="100"/>
      <c r="U1989" s="100"/>
      <c r="V1989" s="100"/>
      <c r="W1989" s="100"/>
      <c r="X1989" s="100"/>
      <c r="Y1989" s="100"/>
      <c r="Z1989" s="100"/>
    </row>
    <row r="1990" spans="1:26">
      <c r="A1990" s="100"/>
      <c r="B1990" s="100"/>
      <c r="C1990" s="100"/>
      <c r="D1990" s="100"/>
      <c r="E1990" s="100"/>
      <c r="F1990" s="100"/>
      <c r="G1990" s="100"/>
      <c r="H1990" s="100"/>
      <c r="I1990" s="100"/>
      <c r="J1990" s="100"/>
      <c r="K1990" s="100"/>
      <c r="L1990" s="100"/>
      <c r="M1990" s="100"/>
      <c r="N1990" s="100"/>
      <c r="O1990" s="100"/>
      <c r="P1990" s="100"/>
      <c r="Q1990" s="100"/>
      <c r="R1990" s="100"/>
      <c r="S1990" s="100"/>
      <c r="T1990" s="100"/>
      <c r="U1990" s="100"/>
      <c r="V1990" s="100"/>
      <c r="W1990" s="100"/>
      <c r="X1990" s="100"/>
      <c r="Y1990" s="100"/>
      <c r="Z1990" s="100"/>
    </row>
    <row r="1991" spans="1:26">
      <c r="A1991" s="100"/>
      <c r="B1991" s="100"/>
      <c r="C1991" s="100"/>
      <c r="D1991" s="100"/>
      <c r="E1991" s="100"/>
      <c r="F1991" s="100"/>
      <c r="G1991" s="100"/>
      <c r="H1991" s="100"/>
      <c r="I1991" s="100"/>
      <c r="J1991" s="100"/>
      <c r="K1991" s="100"/>
      <c r="L1991" s="100"/>
      <c r="M1991" s="100"/>
      <c r="N1991" s="100"/>
      <c r="O1991" s="100"/>
      <c r="P1991" s="100"/>
      <c r="Q1991" s="100"/>
      <c r="R1991" s="100"/>
      <c r="S1991" s="100"/>
      <c r="T1991" s="100"/>
      <c r="U1991" s="100"/>
      <c r="V1991" s="100"/>
      <c r="W1991" s="100"/>
      <c r="X1991" s="100"/>
      <c r="Y1991" s="100"/>
      <c r="Z1991" s="100"/>
    </row>
    <row r="1992" spans="1:26">
      <c r="A1992" s="100"/>
      <c r="B1992" s="100"/>
      <c r="C1992" s="100"/>
      <c r="D1992" s="100"/>
      <c r="E1992" s="100"/>
      <c r="F1992" s="100"/>
      <c r="G1992" s="100"/>
      <c r="H1992" s="100"/>
      <c r="I1992" s="100"/>
      <c r="J1992" s="100"/>
      <c r="K1992" s="100"/>
      <c r="L1992" s="100"/>
      <c r="M1992" s="100"/>
      <c r="N1992" s="100"/>
      <c r="O1992" s="100"/>
      <c r="P1992" s="100"/>
      <c r="Q1992" s="100"/>
      <c r="R1992" s="100"/>
      <c r="S1992" s="100"/>
      <c r="T1992" s="100"/>
      <c r="U1992" s="100"/>
      <c r="V1992" s="100"/>
      <c r="W1992" s="100"/>
      <c r="X1992" s="100"/>
      <c r="Y1992" s="100"/>
      <c r="Z1992" s="100"/>
    </row>
    <row r="1993" spans="1:26">
      <c r="A1993" s="100"/>
      <c r="B1993" s="100"/>
      <c r="C1993" s="100"/>
      <c r="D1993" s="100"/>
      <c r="E1993" s="100"/>
      <c r="F1993" s="100"/>
      <c r="G1993" s="100"/>
      <c r="H1993" s="100"/>
      <c r="I1993" s="100"/>
      <c r="J1993" s="100"/>
      <c r="K1993" s="100"/>
      <c r="L1993" s="100"/>
      <c r="M1993" s="100"/>
      <c r="N1993" s="100"/>
      <c r="O1993" s="100"/>
      <c r="P1993" s="100"/>
      <c r="Q1993" s="100"/>
      <c r="R1993" s="100"/>
      <c r="S1993" s="100"/>
      <c r="T1993" s="100"/>
      <c r="U1993" s="100"/>
      <c r="V1993" s="100"/>
      <c r="W1993" s="100"/>
      <c r="X1993" s="100"/>
      <c r="Y1993" s="100"/>
      <c r="Z1993" s="100"/>
    </row>
    <row r="1994" spans="1:26">
      <c r="A1994" s="100"/>
      <c r="B1994" s="100"/>
      <c r="C1994" s="100"/>
      <c r="D1994" s="100"/>
      <c r="E1994" s="100"/>
      <c r="F1994" s="100"/>
      <c r="G1994" s="100"/>
      <c r="H1994" s="100"/>
      <c r="I1994" s="100"/>
      <c r="J1994" s="100"/>
      <c r="K1994" s="100"/>
      <c r="L1994" s="100"/>
      <c r="M1994" s="100"/>
      <c r="N1994" s="100"/>
      <c r="O1994" s="100"/>
      <c r="P1994" s="100"/>
      <c r="Q1994" s="100"/>
      <c r="R1994" s="100"/>
      <c r="S1994" s="100"/>
      <c r="T1994" s="100"/>
      <c r="U1994" s="100"/>
      <c r="V1994" s="100"/>
      <c r="W1994" s="100"/>
      <c r="X1994" s="100"/>
      <c r="Y1994" s="100"/>
      <c r="Z1994" s="100"/>
    </row>
    <row r="1995" spans="1:26">
      <c r="A1995" s="100"/>
      <c r="B1995" s="100"/>
      <c r="C1995" s="100"/>
      <c r="D1995" s="100"/>
      <c r="E1995" s="100"/>
      <c r="F1995" s="100"/>
      <c r="G1995" s="100"/>
      <c r="H1995" s="100"/>
      <c r="I1995" s="100"/>
      <c r="J1995" s="100"/>
      <c r="K1995" s="100"/>
      <c r="L1995" s="100"/>
      <c r="M1995" s="100"/>
      <c r="N1995" s="100"/>
      <c r="O1995" s="100"/>
      <c r="P1995" s="100"/>
      <c r="Q1995" s="100"/>
      <c r="R1995" s="100"/>
      <c r="S1995" s="100"/>
      <c r="T1995" s="100"/>
      <c r="U1995" s="100"/>
      <c r="V1995" s="100"/>
      <c r="W1995" s="100"/>
      <c r="X1995" s="100"/>
      <c r="Y1995" s="100"/>
      <c r="Z1995" s="100"/>
    </row>
    <row r="1996" spans="1:26">
      <c r="A1996" s="100"/>
      <c r="B1996" s="100"/>
      <c r="C1996" s="100"/>
      <c r="D1996" s="100"/>
      <c r="E1996" s="100"/>
      <c r="F1996" s="100"/>
      <c r="G1996" s="100"/>
      <c r="H1996" s="100"/>
      <c r="I1996" s="100"/>
      <c r="J1996" s="100"/>
      <c r="K1996" s="100"/>
      <c r="L1996" s="100"/>
      <c r="M1996" s="100"/>
      <c r="N1996" s="100"/>
      <c r="O1996" s="100"/>
      <c r="P1996" s="100"/>
      <c r="Q1996" s="100"/>
      <c r="R1996" s="100"/>
      <c r="S1996" s="100"/>
      <c r="T1996" s="100"/>
      <c r="U1996" s="100"/>
      <c r="V1996" s="100"/>
      <c r="W1996" s="100"/>
      <c r="X1996" s="100"/>
      <c r="Y1996" s="100"/>
      <c r="Z1996" s="100"/>
    </row>
    <row r="1997" spans="1:26">
      <c r="A1997" s="100"/>
      <c r="B1997" s="100"/>
      <c r="C1997" s="100"/>
      <c r="D1997" s="100"/>
      <c r="E1997" s="100"/>
      <c r="F1997" s="100"/>
      <c r="G1997" s="100"/>
      <c r="H1997" s="100"/>
      <c r="I1997" s="100"/>
      <c r="J1997" s="100"/>
      <c r="K1997" s="100"/>
      <c r="L1997" s="100"/>
      <c r="M1997" s="100"/>
      <c r="N1997" s="100"/>
      <c r="O1997" s="100"/>
      <c r="P1997" s="100"/>
      <c r="Q1997" s="100"/>
      <c r="R1997" s="100"/>
      <c r="S1997" s="100"/>
      <c r="T1997" s="100"/>
      <c r="U1997" s="100"/>
      <c r="V1997" s="100"/>
      <c r="W1997" s="100"/>
      <c r="X1997" s="100"/>
      <c r="Y1997" s="100"/>
      <c r="Z1997" s="100"/>
    </row>
    <row r="1998" spans="1:26">
      <c r="A1998" s="100"/>
      <c r="B1998" s="100"/>
      <c r="C1998" s="100"/>
      <c r="D1998" s="100"/>
      <c r="E1998" s="100"/>
      <c r="F1998" s="100"/>
      <c r="G1998" s="100"/>
      <c r="H1998" s="100"/>
      <c r="I1998" s="100"/>
      <c r="J1998" s="100"/>
      <c r="K1998" s="100"/>
      <c r="L1998" s="100"/>
      <c r="M1998" s="100"/>
      <c r="N1998" s="100"/>
      <c r="O1998" s="100"/>
      <c r="P1998" s="100"/>
      <c r="Q1998" s="100"/>
      <c r="R1998" s="100"/>
      <c r="S1998" s="100"/>
      <c r="T1998" s="100"/>
      <c r="U1998" s="100"/>
      <c r="V1998" s="100"/>
      <c r="W1998" s="100"/>
      <c r="X1998" s="100"/>
      <c r="Y1998" s="100"/>
      <c r="Z1998" s="100"/>
    </row>
    <row r="1999" spans="1:26">
      <c r="A1999" s="100"/>
      <c r="B1999" s="100"/>
      <c r="C1999" s="100"/>
      <c r="D1999" s="100"/>
      <c r="E1999" s="100"/>
      <c r="F1999" s="100"/>
      <c r="G1999" s="100"/>
      <c r="H1999" s="100"/>
      <c r="I1999" s="100"/>
      <c r="J1999" s="100"/>
      <c r="K1999" s="100"/>
      <c r="L1999" s="100"/>
      <c r="M1999" s="100"/>
      <c r="N1999" s="100"/>
      <c r="O1999" s="100"/>
      <c r="P1999" s="100"/>
      <c r="Q1999" s="100"/>
      <c r="R1999" s="100"/>
      <c r="S1999" s="100"/>
      <c r="T1999" s="100"/>
      <c r="U1999" s="100"/>
      <c r="V1999" s="100"/>
      <c r="W1999" s="100"/>
      <c r="X1999" s="100"/>
      <c r="Y1999" s="100"/>
      <c r="Z1999" s="100"/>
    </row>
    <row r="2000" spans="1:26">
      <c r="A2000" s="100"/>
      <c r="B2000" s="100"/>
      <c r="C2000" s="100"/>
      <c r="D2000" s="100"/>
      <c r="E2000" s="100"/>
      <c r="F2000" s="100"/>
      <c r="G2000" s="100"/>
      <c r="H2000" s="100"/>
      <c r="I2000" s="100"/>
      <c r="J2000" s="100"/>
      <c r="K2000" s="100"/>
      <c r="L2000" s="100"/>
      <c r="M2000" s="100"/>
      <c r="N2000" s="100"/>
      <c r="O2000" s="100"/>
      <c r="P2000" s="100"/>
      <c r="Q2000" s="100"/>
      <c r="R2000" s="100"/>
      <c r="S2000" s="100"/>
      <c r="T2000" s="100"/>
      <c r="U2000" s="100"/>
      <c r="V2000" s="100"/>
      <c r="W2000" s="100"/>
      <c r="X2000" s="100"/>
      <c r="Y2000" s="100"/>
      <c r="Z2000" s="100"/>
    </row>
    <row r="2001" spans="1:26">
      <c r="A2001" s="100"/>
      <c r="B2001" s="100"/>
      <c r="C2001" s="100"/>
      <c r="D2001" s="100"/>
      <c r="E2001" s="100"/>
      <c r="F2001" s="100"/>
      <c r="G2001" s="100"/>
      <c r="H2001" s="100"/>
      <c r="I2001" s="100"/>
      <c r="J2001" s="100"/>
      <c r="K2001" s="100"/>
      <c r="L2001" s="100"/>
      <c r="M2001" s="100"/>
      <c r="N2001" s="100"/>
      <c r="O2001" s="100"/>
      <c r="P2001" s="100"/>
      <c r="Q2001" s="100"/>
      <c r="R2001" s="100"/>
      <c r="S2001" s="100"/>
      <c r="T2001" s="100"/>
      <c r="U2001" s="100"/>
      <c r="V2001" s="100"/>
      <c r="W2001" s="100"/>
      <c r="X2001" s="100"/>
      <c r="Y2001" s="100"/>
      <c r="Z2001" s="100"/>
    </row>
    <row r="2002" spans="1:26">
      <c r="A2002" s="100"/>
      <c r="B2002" s="100"/>
      <c r="C2002" s="100"/>
      <c r="D2002" s="100"/>
      <c r="E2002" s="100"/>
      <c r="F2002" s="100"/>
      <c r="G2002" s="100"/>
      <c r="H2002" s="100"/>
      <c r="I2002" s="100"/>
      <c r="J2002" s="100"/>
      <c r="K2002" s="100"/>
      <c r="L2002" s="100"/>
      <c r="M2002" s="100"/>
      <c r="N2002" s="100"/>
      <c r="O2002" s="100"/>
      <c r="P2002" s="100"/>
      <c r="Q2002" s="100"/>
      <c r="R2002" s="100"/>
      <c r="S2002" s="100"/>
      <c r="T2002" s="100"/>
      <c r="U2002" s="100"/>
      <c r="V2002" s="100"/>
      <c r="W2002" s="100"/>
      <c r="X2002" s="100"/>
      <c r="Y2002" s="100"/>
      <c r="Z2002" s="100"/>
    </row>
    <row r="2003" spans="1:26">
      <c r="A2003" s="100"/>
      <c r="B2003" s="100"/>
      <c r="C2003" s="100"/>
      <c r="D2003" s="100"/>
      <c r="E2003" s="100"/>
      <c r="F2003" s="100"/>
      <c r="G2003" s="100"/>
      <c r="H2003" s="100"/>
      <c r="I2003" s="100"/>
      <c r="J2003" s="100"/>
      <c r="K2003" s="100"/>
      <c r="L2003" s="100"/>
      <c r="M2003" s="100"/>
      <c r="N2003" s="100"/>
      <c r="O2003" s="100"/>
      <c r="P2003" s="100"/>
      <c r="Q2003" s="100"/>
      <c r="R2003" s="100"/>
      <c r="S2003" s="100"/>
      <c r="T2003" s="100"/>
      <c r="U2003" s="100"/>
      <c r="V2003" s="100"/>
      <c r="W2003" s="100"/>
      <c r="X2003" s="100"/>
      <c r="Y2003" s="100"/>
      <c r="Z2003" s="100"/>
    </row>
    <row r="2004" spans="1:26">
      <c r="A2004" s="100"/>
      <c r="B2004" s="100"/>
      <c r="C2004" s="100"/>
      <c r="D2004" s="100"/>
      <c r="E2004" s="100"/>
      <c r="F2004" s="100"/>
      <c r="G2004" s="100"/>
      <c r="H2004" s="100"/>
      <c r="I2004" s="100"/>
      <c r="J2004" s="100"/>
      <c r="K2004" s="100"/>
      <c r="L2004" s="100"/>
      <c r="M2004" s="100"/>
      <c r="N2004" s="100"/>
      <c r="O2004" s="100"/>
      <c r="P2004" s="100"/>
      <c r="Q2004" s="100"/>
      <c r="R2004" s="100"/>
      <c r="S2004" s="100"/>
      <c r="T2004" s="100"/>
      <c r="U2004" s="100"/>
      <c r="V2004" s="100"/>
      <c r="W2004" s="100"/>
      <c r="X2004" s="100"/>
      <c r="Y2004" s="100"/>
      <c r="Z2004" s="100"/>
    </row>
    <row r="2005" spans="1:26">
      <c r="A2005" s="100"/>
      <c r="B2005" s="100"/>
      <c r="C2005" s="100"/>
      <c r="D2005" s="100"/>
      <c r="E2005" s="100"/>
      <c r="F2005" s="100"/>
      <c r="G2005" s="100"/>
      <c r="H2005" s="100"/>
      <c r="I2005" s="100"/>
      <c r="J2005" s="100"/>
      <c r="K2005" s="100"/>
      <c r="L2005" s="100"/>
      <c r="M2005" s="100"/>
      <c r="N2005" s="100"/>
      <c r="O2005" s="100"/>
      <c r="P2005" s="100"/>
      <c r="Q2005" s="100"/>
      <c r="R2005" s="100"/>
      <c r="S2005" s="100"/>
      <c r="T2005" s="100"/>
      <c r="U2005" s="100"/>
      <c r="V2005" s="100"/>
      <c r="W2005" s="100"/>
      <c r="X2005" s="100"/>
      <c r="Y2005" s="100"/>
      <c r="Z2005" s="100"/>
    </row>
    <row r="2006" spans="1:26">
      <c r="A2006" s="100"/>
      <c r="B2006" s="100"/>
      <c r="C2006" s="100"/>
      <c r="D2006" s="100"/>
      <c r="E2006" s="100"/>
      <c r="F2006" s="100"/>
      <c r="G2006" s="100"/>
      <c r="H2006" s="100"/>
      <c r="I2006" s="100"/>
      <c r="J2006" s="100"/>
      <c r="K2006" s="100"/>
      <c r="L2006" s="100"/>
      <c r="M2006" s="100"/>
      <c r="N2006" s="100"/>
      <c r="O2006" s="100"/>
      <c r="P2006" s="100"/>
      <c r="Q2006" s="100"/>
      <c r="R2006" s="100"/>
      <c r="S2006" s="100"/>
      <c r="T2006" s="100"/>
      <c r="U2006" s="100"/>
      <c r="V2006" s="100"/>
      <c r="W2006" s="100"/>
      <c r="X2006" s="100"/>
      <c r="Y2006" s="100"/>
      <c r="Z2006" s="100"/>
    </row>
    <row r="2007" spans="1:26">
      <c r="A2007" s="100"/>
      <c r="B2007" s="100"/>
      <c r="C2007" s="100"/>
      <c r="D2007" s="100"/>
      <c r="E2007" s="100"/>
      <c r="F2007" s="100"/>
      <c r="G2007" s="100"/>
      <c r="H2007" s="100"/>
      <c r="I2007" s="100"/>
      <c r="J2007" s="100"/>
      <c r="K2007" s="100"/>
      <c r="L2007" s="100"/>
      <c r="M2007" s="100"/>
      <c r="N2007" s="100"/>
      <c r="O2007" s="100"/>
      <c r="P2007" s="100"/>
      <c r="Q2007" s="100"/>
      <c r="R2007" s="100"/>
      <c r="S2007" s="100"/>
      <c r="T2007" s="100"/>
      <c r="U2007" s="100"/>
      <c r="V2007" s="100"/>
      <c r="W2007" s="100"/>
      <c r="X2007" s="100"/>
      <c r="Y2007" s="100"/>
      <c r="Z2007" s="100"/>
    </row>
    <row r="2008" spans="1:26">
      <c r="A2008" s="100"/>
      <c r="B2008" s="100"/>
      <c r="C2008" s="100"/>
      <c r="D2008" s="100"/>
      <c r="E2008" s="100"/>
      <c r="F2008" s="100"/>
      <c r="G2008" s="100"/>
      <c r="H2008" s="100"/>
      <c r="I2008" s="100"/>
      <c r="J2008" s="100"/>
      <c r="K2008" s="100"/>
      <c r="L2008" s="100"/>
      <c r="M2008" s="100"/>
      <c r="N2008" s="100"/>
      <c r="O2008" s="100"/>
      <c r="P2008" s="100"/>
      <c r="Q2008" s="100"/>
      <c r="R2008" s="100"/>
      <c r="S2008" s="100"/>
      <c r="T2008" s="100"/>
      <c r="U2008" s="100"/>
      <c r="V2008" s="100"/>
      <c r="W2008" s="100"/>
      <c r="X2008" s="100"/>
      <c r="Y2008" s="100"/>
      <c r="Z2008" s="100"/>
    </row>
    <row r="2009" spans="1:26">
      <c r="A2009" s="100"/>
      <c r="B2009" s="100"/>
      <c r="C2009" s="100"/>
      <c r="D2009" s="100"/>
      <c r="E2009" s="100"/>
      <c r="F2009" s="100"/>
      <c r="G2009" s="100"/>
      <c r="H2009" s="100"/>
      <c r="I2009" s="100"/>
      <c r="J2009" s="100"/>
      <c r="K2009" s="100"/>
      <c r="L2009" s="100"/>
      <c r="M2009" s="100"/>
      <c r="N2009" s="100"/>
      <c r="O2009" s="100"/>
      <c r="P2009" s="100"/>
      <c r="Q2009" s="100"/>
      <c r="R2009" s="100"/>
      <c r="S2009" s="100"/>
      <c r="T2009" s="100"/>
      <c r="U2009" s="100"/>
      <c r="V2009" s="100"/>
      <c r="W2009" s="100"/>
      <c r="X2009" s="100"/>
      <c r="Y2009" s="100"/>
      <c r="Z2009" s="100"/>
    </row>
    <row r="2010" spans="1:26">
      <c r="A2010" s="100"/>
      <c r="B2010" s="100"/>
      <c r="C2010" s="100"/>
      <c r="D2010" s="100"/>
      <c r="E2010" s="100"/>
      <c r="F2010" s="100"/>
      <c r="G2010" s="100"/>
      <c r="H2010" s="100"/>
      <c r="I2010" s="100"/>
      <c r="J2010" s="100"/>
      <c r="K2010" s="100"/>
      <c r="L2010" s="100"/>
      <c r="M2010" s="100"/>
      <c r="N2010" s="100"/>
      <c r="O2010" s="100"/>
      <c r="P2010" s="100"/>
      <c r="Q2010" s="100"/>
      <c r="R2010" s="100"/>
      <c r="S2010" s="100"/>
      <c r="T2010" s="100"/>
      <c r="U2010" s="100"/>
      <c r="V2010" s="100"/>
      <c r="W2010" s="100"/>
      <c r="X2010" s="100"/>
      <c r="Y2010" s="100"/>
      <c r="Z2010" s="100"/>
    </row>
    <row r="2011" spans="1:26">
      <c r="A2011" s="100"/>
      <c r="B2011" s="100"/>
      <c r="C2011" s="100"/>
      <c r="D2011" s="100"/>
      <c r="E2011" s="100"/>
      <c r="F2011" s="100"/>
      <c r="G2011" s="100"/>
      <c r="H2011" s="100"/>
      <c r="I2011" s="100"/>
      <c r="J2011" s="100"/>
      <c r="K2011" s="100"/>
      <c r="L2011" s="100"/>
      <c r="M2011" s="100"/>
      <c r="N2011" s="100"/>
      <c r="O2011" s="100"/>
      <c r="P2011" s="100"/>
      <c r="Q2011" s="100"/>
      <c r="R2011" s="100"/>
      <c r="S2011" s="100"/>
      <c r="T2011" s="100"/>
      <c r="U2011" s="100"/>
      <c r="V2011" s="100"/>
      <c r="W2011" s="100"/>
      <c r="X2011" s="100"/>
      <c r="Y2011" s="100"/>
      <c r="Z2011" s="100"/>
    </row>
    <row r="2012" spans="1:26">
      <c r="A2012" s="100"/>
      <c r="B2012" s="100"/>
      <c r="C2012" s="100"/>
      <c r="D2012" s="100"/>
      <c r="E2012" s="100"/>
      <c r="F2012" s="100"/>
      <c r="G2012" s="100"/>
      <c r="H2012" s="100"/>
      <c r="I2012" s="100"/>
      <c r="J2012" s="100"/>
      <c r="K2012" s="100"/>
      <c r="L2012" s="100"/>
      <c r="M2012" s="100"/>
      <c r="N2012" s="100"/>
      <c r="O2012" s="100"/>
      <c r="P2012" s="100"/>
      <c r="Q2012" s="100"/>
      <c r="R2012" s="100"/>
      <c r="S2012" s="100"/>
      <c r="T2012" s="100"/>
      <c r="U2012" s="100"/>
      <c r="V2012" s="100"/>
      <c r="W2012" s="100"/>
      <c r="X2012" s="100"/>
      <c r="Y2012" s="100"/>
      <c r="Z2012" s="100"/>
    </row>
    <row r="2013" spans="1:26">
      <c r="A2013" s="100"/>
      <c r="B2013" s="100"/>
      <c r="C2013" s="100"/>
      <c r="D2013" s="100"/>
      <c r="E2013" s="100"/>
      <c r="F2013" s="100"/>
      <c r="G2013" s="100"/>
      <c r="H2013" s="100"/>
      <c r="I2013" s="100"/>
      <c r="J2013" s="100"/>
      <c r="K2013" s="100"/>
      <c r="L2013" s="100"/>
      <c r="M2013" s="100"/>
      <c r="N2013" s="100"/>
      <c r="O2013" s="100"/>
      <c r="P2013" s="100"/>
      <c r="Q2013" s="100"/>
      <c r="R2013" s="100"/>
      <c r="S2013" s="100"/>
      <c r="T2013" s="100"/>
      <c r="U2013" s="100"/>
      <c r="V2013" s="100"/>
      <c r="W2013" s="100"/>
      <c r="X2013" s="100"/>
      <c r="Y2013" s="100"/>
      <c r="Z2013" s="100"/>
    </row>
    <row r="2014" spans="1:26">
      <c r="A2014" s="100"/>
      <c r="B2014" s="100"/>
      <c r="C2014" s="100"/>
      <c r="D2014" s="100"/>
      <c r="E2014" s="100"/>
      <c r="F2014" s="100"/>
      <c r="G2014" s="100"/>
      <c r="H2014" s="100"/>
      <c r="I2014" s="100"/>
      <c r="J2014" s="100"/>
      <c r="K2014" s="100"/>
      <c r="L2014" s="100"/>
      <c r="M2014" s="100"/>
      <c r="N2014" s="100"/>
      <c r="O2014" s="100"/>
      <c r="P2014" s="100"/>
      <c r="Q2014" s="100"/>
      <c r="R2014" s="100"/>
      <c r="S2014" s="100"/>
      <c r="T2014" s="100"/>
      <c r="U2014" s="100"/>
      <c r="V2014" s="100"/>
      <c r="W2014" s="100"/>
      <c r="X2014" s="100"/>
      <c r="Y2014" s="100"/>
      <c r="Z2014" s="100"/>
    </row>
    <row r="2015" spans="1:26">
      <c r="A2015" s="100"/>
      <c r="B2015" s="100"/>
      <c r="C2015" s="100"/>
      <c r="D2015" s="100"/>
      <c r="E2015" s="100"/>
      <c r="F2015" s="100"/>
      <c r="G2015" s="100"/>
      <c r="H2015" s="100"/>
      <c r="I2015" s="100"/>
      <c r="J2015" s="100"/>
      <c r="K2015" s="100"/>
      <c r="L2015" s="100"/>
      <c r="M2015" s="100"/>
      <c r="N2015" s="100"/>
      <c r="O2015" s="100"/>
      <c r="P2015" s="100"/>
      <c r="Q2015" s="100"/>
      <c r="R2015" s="100"/>
      <c r="S2015" s="100"/>
      <c r="T2015" s="100"/>
      <c r="U2015" s="100"/>
      <c r="V2015" s="100"/>
      <c r="W2015" s="100"/>
      <c r="X2015" s="100"/>
      <c r="Y2015" s="100"/>
      <c r="Z2015" s="100"/>
    </row>
    <row r="2016" spans="1:26">
      <c r="A2016" s="100"/>
      <c r="B2016" s="100"/>
      <c r="C2016" s="100"/>
      <c r="D2016" s="100"/>
      <c r="E2016" s="100"/>
      <c r="F2016" s="100"/>
      <c r="G2016" s="100"/>
      <c r="H2016" s="100"/>
      <c r="I2016" s="100"/>
      <c r="J2016" s="100"/>
      <c r="K2016" s="100"/>
      <c r="L2016" s="100"/>
      <c r="M2016" s="100"/>
      <c r="N2016" s="100"/>
      <c r="O2016" s="100"/>
      <c r="P2016" s="100"/>
      <c r="Q2016" s="100"/>
      <c r="R2016" s="100"/>
      <c r="S2016" s="100"/>
      <c r="T2016" s="100"/>
      <c r="U2016" s="100"/>
      <c r="V2016" s="100"/>
      <c r="W2016" s="100"/>
      <c r="X2016" s="100"/>
      <c r="Y2016" s="100"/>
      <c r="Z2016" s="100"/>
    </row>
    <row r="2017" spans="1:26">
      <c r="A2017" s="100"/>
      <c r="B2017" s="100"/>
      <c r="C2017" s="100"/>
      <c r="D2017" s="100"/>
      <c r="E2017" s="100"/>
      <c r="F2017" s="100"/>
      <c r="G2017" s="100"/>
      <c r="H2017" s="100"/>
      <c r="I2017" s="100"/>
      <c r="J2017" s="100"/>
      <c r="K2017" s="100"/>
      <c r="L2017" s="100"/>
      <c r="M2017" s="100"/>
      <c r="N2017" s="100"/>
      <c r="O2017" s="100"/>
      <c r="P2017" s="100"/>
      <c r="Q2017" s="100"/>
      <c r="R2017" s="100"/>
      <c r="S2017" s="100"/>
      <c r="T2017" s="100"/>
      <c r="U2017" s="100"/>
      <c r="V2017" s="100"/>
      <c r="W2017" s="100"/>
      <c r="X2017" s="100"/>
      <c r="Y2017" s="100"/>
      <c r="Z2017" s="100"/>
    </row>
    <row r="2018" spans="1:26">
      <c r="A2018" s="100"/>
      <c r="B2018" s="100"/>
      <c r="C2018" s="100"/>
      <c r="D2018" s="100"/>
      <c r="E2018" s="100"/>
      <c r="F2018" s="100"/>
      <c r="G2018" s="100"/>
      <c r="H2018" s="100"/>
      <c r="I2018" s="100"/>
      <c r="J2018" s="100"/>
      <c r="K2018" s="100"/>
      <c r="L2018" s="100"/>
      <c r="M2018" s="100"/>
      <c r="N2018" s="100"/>
      <c r="O2018" s="100"/>
      <c r="P2018" s="100"/>
      <c r="Q2018" s="100"/>
      <c r="R2018" s="100"/>
      <c r="S2018" s="100"/>
      <c r="T2018" s="100"/>
      <c r="U2018" s="100"/>
      <c r="V2018" s="100"/>
      <c r="W2018" s="100"/>
      <c r="X2018" s="100"/>
      <c r="Y2018" s="100"/>
      <c r="Z2018" s="100"/>
    </row>
    <row r="2019" spans="1:26">
      <c r="A2019" s="100"/>
      <c r="B2019" s="100"/>
      <c r="C2019" s="100"/>
      <c r="D2019" s="100"/>
      <c r="E2019" s="100"/>
      <c r="F2019" s="100"/>
      <c r="G2019" s="100"/>
      <c r="H2019" s="100"/>
      <c r="I2019" s="100"/>
      <c r="J2019" s="100"/>
      <c r="K2019" s="100"/>
      <c r="L2019" s="100"/>
      <c r="M2019" s="100"/>
      <c r="N2019" s="100"/>
      <c r="O2019" s="100"/>
      <c r="P2019" s="100"/>
      <c r="Q2019" s="100"/>
      <c r="R2019" s="100"/>
      <c r="S2019" s="100"/>
      <c r="T2019" s="100"/>
      <c r="U2019" s="100"/>
      <c r="V2019" s="100"/>
      <c r="W2019" s="100"/>
      <c r="X2019" s="100"/>
      <c r="Y2019" s="100"/>
      <c r="Z2019" s="100"/>
    </row>
    <row r="2020" spans="1:26">
      <c r="A2020" s="100"/>
      <c r="B2020" s="100"/>
      <c r="C2020" s="100"/>
      <c r="D2020" s="100"/>
      <c r="E2020" s="100"/>
      <c r="F2020" s="100"/>
      <c r="G2020" s="100"/>
      <c r="H2020" s="100"/>
      <c r="I2020" s="100"/>
      <c r="J2020" s="100"/>
      <c r="K2020" s="100"/>
      <c r="L2020" s="100"/>
      <c r="M2020" s="100"/>
      <c r="N2020" s="100"/>
      <c r="O2020" s="100"/>
      <c r="P2020" s="100"/>
      <c r="Q2020" s="100"/>
      <c r="R2020" s="100"/>
      <c r="S2020" s="100"/>
      <c r="T2020" s="100"/>
      <c r="U2020" s="100"/>
      <c r="V2020" s="100"/>
      <c r="W2020" s="100"/>
      <c r="X2020" s="100"/>
      <c r="Y2020" s="100"/>
      <c r="Z2020" s="100"/>
    </row>
    <row r="2021" spans="1:26">
      <c r="A2021" s="100"/>
      <c r="B2021" s="100"/>
      <c r="C2021" s="100"/>
      <c r="D2021" s="100"/>
      <c r="E2021" s="100"/>
      <c r="F2021" s="100"/>
      <c r="G2021" s="100"/>
      <c r="H2021" s="100"/>
      <c r="I2021" s="100"/>
      <c r="J2021" s="100"/>
      <c r="K2021" s="100"/>
      <c r="L2021" s="100"/>
      <c r="M2021" s="100"/>
      <c r="N2021" s="100"/>
      <c r="O2021" s="100"/>
      <c r="P2021" s="100"/>
      <c r="Q2021" s="100"/>
      <c r="R2021" s="100"/>
      <c r="S2021" s="100"/>
      <c r="T2021" s="100"/>
      <c r="U2021" s="100"/>
      <c r="V2021" s="100"/>
      <c r="W2021" s="100"/>
      <c r="X2021" s="100"/>
      <c r="Y2021" s="100"/>
      <c r="Z2021" s="100"/>
    </row>
    <row r="2022" spans="1:26">
      <c r="A2022" s="100"/>
      <c r="B2022" s="100"/>
      <c r="C2022" s="100"/>
      <c r="D2022" s="100"/>
      <c r="E2022" s="100"/>
      <c r="F2022" s="100"/>
      <c r="G2022" s="100"/>
      <c r="H2022" s="100"/>
      <c r="I2022" s="100"/>
      <c r="J2022" s="100"/>
      <c r="K2022" s="100"/>
      <c r="L2022" s="100"/>
      <c r="M2022" s="100"/>
      <c r="N2022" s="100"/>
      <c r="O2022" s="100"/>
      <c r="P2022" s="100"/>
      <c r="Q2022" s="100"/>
      <c r="R2022" s="100"/>
      <c r="S2022" s="100"/>
      <c r="T2022" s="100"/>
      <c r="U2022" s="100"/>
      <c r="V2022" s="100"/>
      <c r="W2022" s="100"/>
      <c r="X2022" s="100"/>
      <c r="Y2022" s="100"/>
      <c r="Z2022" s="100"/>
    </row>
    <row r="2023" spans="1:26">
      <c r="A2023" s="100"/>
      <c r="B2023" s="100"/>
      <c r="C2023" s="100"/>
      <c r="D2023" s="100"/>
      <c r="E2023" s="100"/>
      <c r="F2023" s="100"/>
      <c r="G2023" s="100"/>
      <c r="H2023" s="100"/>
      <c r="I2023" s="100"/>
      <c r="J2023" s="100"/>
      <c r="K2023" s="100"/>
      <c r="L2023" s="100"/>
      <c r="M2023" s="100"/>
      <c r="N2023" s="100"/>
      <c r="O2023" s="100"/>
      <c r="P2023" s="100"/>
      <c r="Q2023" s="100"/>
      <c r="R2023" s="100"/>
      <c r="S2023" s="100"/>
      <c r="T2023" s="100"/>
      <c r="U2023" s="100"/>
      <c r="V2023" s="100"/>
      <c r="W2023" s="100"/>
      <c r="X2023" s="100"/>
      <c r="Y2023" s="100"/>
      <c r="Z2023" s="100"/>
    </row>
    <row r="2024" spans="1:26">
      <c r="A2024" s="100"/>
      <c r="B2024" s="100"/>
      <c r="C2024" s="100"/>
      <c r="D2024" s="100"/>
      <c r="E2024" s="100"/>
      <c r="F2024" s="100"/>
      <c r="G2024" s="100"/>
      <c r="H2024" s="100"/>
      <c r="I2024" s="100"/>
      <c r="J2024" s="100"/>
      <c r="K2024" s="100"/>
      <c r="L2024" s="100"/>
      <c r="M2024" s="100"/>
      <c r="N2024" s="100"/>
      <c r="O2024" s="100"/>
      <c r="P2024" s="100"/>
      <c r="Q2024" s="100"/>
      <c r="R2024" s="100"/>
      <c r="S2024" s="100"/>
      <c r="T2024" s="100"/>
      <c r="U2024" s="100"/>
      <c r="V2024" s="100"/>
      <c r="W2024" s="100"/>
      <c r="X2024" s="100"/>
      <c r="Y2024" s="100"/>
      <c r="Z2024" s="100"/>
    </row>
    <row r="2025" spans="1:26">
      <c r="A2025" s="100"/>
      <c r="B2025" s="100"/>
      <c r="C2025" s="100"/>
      <c r="D2025" s="100"/>
      <c r="E2025" s="100"/>
      <c r="F2025" s="100"/>
      <c r="G2025" s="100"/>
      <c r="H2025" s="100"/>
      <c r="I2025" s="100"/>
      <c r="J2025" s="100"/>
      <c r="K2025" s="100"/>
      <c r="L2025" s="100"/>
      <c r="M2025" s="100"/>
      <c r="N2025" s="100"/>
      <c r="O2025" s="100"/>
      <c r="P2025" s="100"/>
      <c r="Q2025" s="100"/>
      <c r="R2025" s="100"/>
      <c r="S2025" s="100"/>
      <c r="T2025" s="100"/>
      <c r="U2025" s="100"/>
      <c r="V2025" s="100"/>
      <c r="W2025" s="100"/>
      <c r="X2025" s="100"/>
      <c r="Y2025" s="100"/>
      <c r="Z2025" s="100"/>
    </row>
    <row r="2026" spans="1:26">
      <c r="A2026" s="100"/>
      <c r="B2026" s="100"/>
      <c r="C2026" s="100"/>
      <c r="D2026" s="100"/>
      <c r="E2026" s="100"/>
      <c r="F2026" s="100"/>
      <c r="G2026" s="100"/>
      <c r="H2026" s="100"/>
      <c r="I2026" s="100"/>
      <c r="J2026" s="100"/>
      <c r="K2026" s="100"/>
      <c r="L2026" s="100"/>
      <c r="M2026" s="100"/>
      <c r="N2026" s="100"/>
      <c r="O2026" s="100"/>
      <c r="P2026" s="100"/>
      <c r="Q2026" s="100"/>
      <c r="R2026" s="100"/>
      <c r="S2026" s="100"/>
      <c r="T2026" s="100"/>
      <c r="U2026" s="100"/>
      <c r="V2026" s="100"/>
      <c r="W2026" s="100"/>
      <c r="X2026" s="100"/>
      <c r="Y2026" s="100"/>
      <c r="Z2026" s="100"/>
    </row>
    <row r="2027" spans="1:26">
      <c r="A2027" s="100"/>
      <c r="B2027" s="100"/>
      <c r="C2027" s="100"/>
      <c r="D2027" s="100"/>
      <c r="E2027" s="100"/>
      <c r="F2027" s="100"/>
      <c r="G2027" s="100"/>
      <c r="H2027" s="100"/>
      <c r="I2027" s="100"/>
      <c r="J2027" s="100"/>
      <c r="K2027" s="100"/>
      <c r="L2027" s="100"/>
      <c r="M2027" s="100"/>
      <c r="N2027" s="100"/>
      <c r="O2027" s="100"/>
      <c r="P2027" s="100"/>
      <c r="Q2027" s="100"/>
      <c r="R2027" s="100"/>
      <c r="S2027" s="100"/>
      <c r="T2027" s="100"/>
      <c r="U2027" s="100"/>
      <c r="V2027" s="100"/>
      <c r="W2027" s="100"/>
      <c r="X2027" s="100"/>
      <c r="Y2027" s="100"/>
      <c r="Z2027" s="100"/>
    </row>
    <row r="2028" spans="1:26">
      <c r="A2028" s="100"/>
      <c r="B2028" s="100"/>
      <c r="C2028" s="100"/>
      <c r="D2028" s="100"/>
      <c r="E2028" s="100"/>
      <c r="F2028" s="100"/>
      <c r="G2028" s="100"/>
      <c r="H2028" s="100"/>
      <c r="I2028" s="100"/>
      <c r="J2028" s="100"/>
      <c r="K2028" s="100"/>
      <c r="L2028" s="100"/>
      <c r="M2028" s="100"/>
      <c r="N2028" s="100"/>
      <c r="O2028" s="100"/>
      <c r="P2028" s="100"/>
      <c r="Q2028" s="100"/>
      <c r="R2028" s="100"/>
      <c r="S2028" s="100"/>
      <c r="T2028" s="100"/>
      <c r="U2028" s="100"/>
      <c r="V2028" s="100"/>
      <c r="W2028" s="100"/>
      <c r="X2028" s="100"/>
      <c r="Y2028" s="100"/>
      <c r="Z2028" s="100"/>
    </row>
    <row r="2029" spans="1:26">
      <c r="A2029" s="100"/>
      <c r="B2029" s="100"/>
      <c r="C2029" s="100"/>
      <c r="D2029" s="100"/>
      <c r="E2029" s="100"/>
      <c r="F2029" s="100"/>
      <c r="G2029" s="100"/>
      <c r="H2029" s="100"/>
      <c r="I2029" s="100"/>
      <c r="J2029" s="100"/>
      <c r="K2029" s="100"/>
      <c r="L2029" s="100"/>
      <c r="M2029" s="100"/>
      <c r="N2029" s="100"/>
      <c r="O2029" s="100"/>
      <c r="P2029" s="100"/>
      <c r="Q2029" s="100"/>
      <c r="R2029" s="100"/>
      <c r="S2029" s="100"/>
      <c r="T2029" s="100"/>
      <c r="U2029" s="100"/>
      <c r="V2029" s="100"/>
      <c r="W2029" s="100"/>
      <c r="X2029" s="100"/>
      <c r="Y2029" s="100"/>
      <c r="Z2029" s="100"/>
    </row>
    <row r="2030" spans="1:26">
      <c r="A2030" s="100"/>
      <c r="B2030" s="100"/>
      <c r="C2030" s="100"/>
      <c r="D2030" s="100"/>
      <c r="E2030" s="100"/>
      <c r="F2030" s="100"/>
      <c r="G2030" s="100"/>
      <c r="H2030" s="100"/>
      <c r="I2030" s="100"/>
      <c r="J2030" s="100"/>
      <c r="K2030" s="100"/>
      <c r="L2030" s="100"/>
      <c r="M2030" s="100"/>
      <c r="N2030" s="100"/>
      <c r="O2030" s="100"/>
      <c r="P2030" s="100"/>
      <c r="Q2030" s="100"/>
      <c r="R2030" s="100"/>
      <c r="S2030" s="100"/>
      <c r="T2030" s="100"/>
      <c r="U2030" s="100"/>
      <c r="V2030" s="100"/>
      <c r="W2030" s="100"/>
      <c r="X2030" s="100"/>
      <c r="Y2030" s="100"/>
      <c r="Z2030" s="100"/>
    </row>
    <row r="2031" spans="1:26">
      <c r="A2031" s="100"/>
      <c r="B2031" s="100"/>
      <c r="C2031" s="100"/>
      <c r="D2031" s="100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</row>
    <row r="2032" spans="1:26">
      <c r="A2032" s="100"/>
      <c r="B2032" s="100"/>
      <c r="C2032" s="100"/>
      <c r="D2032" s="100"/>
      <c r="E2032" s="100"/>
      <c r="F2032" s="100"/>
      <c r="G2032" s="100"/>
      <c r="H2032" s="100"/>
      <c r="I2032" s="100"/>
      <c r="J2032" s="100"/>
      <c r="K2032" s="100"/>
      <c r="L2032" s="100"/>
      <c r="M2032" s="100"/>
      <c r="N2032" s="100"/>
      <c r="O2032" s="100"/>
      <c r="P2032" s="100"/>
      <c r="Q2032" s="100"/>
      <c r="R2032" s="100"/>
      <c r="S2032" s="100"/>
      <c r="T2032" s="100"/>
      <c r="U2032" s="100"/>
      <c r="V2032" s="100"/>
      <c r="W2032" s="100"/>
      <c r="X2032" s="100"/>
      <c r="Y2032" s="100"/>
      <c r="Z2032" s="100"/>
    </row>
    <row r="2033" spans="1:26">
      <c r="A2033" s="100"/>
      <c r="B2033" s="100"/>
      <c r="C2033" s="100"/>
      <c r="D2033" s="100"/>
      <c r="E2033" s="100"/>
      <c r="F2033" s="100"/>
      <c r="G2033" s="100"/>
      <c r="H2033" s="100"/>
      <c r="I2033" s="100"/>
      <c r="J2033" s="100"/>
      <c r="K2033" s="100"/>
      <c r="L2033" s="100"/>
      <c r="M2033" s="100"/>
      <c r="N2033" s="100"/>
      <c r="O2033" s="100"/>
      <c r="P2033" s="100"/>
      <c r="Q2033" s="100"/>
      <c r="R2033" s="100"/>
      <c r="S2033" s="100"/>
      <c r="T2033" s="100"/>
      <c r="U2033" s="100"/>
      <c r="V2033" s="100"/>
      <c r="W2033" s="100"/>
      <c r="X2033" s="100"/>
      <c r="Y2033" s="100"/>
      <c r="Z2033" s="100"/>
    </row>
    <row r="2034" spans="1:26">
      <c r="A2034" s="100"/>
      <c r="B2034" s="100"/>
      <c r="C2034" s="100"/>
      <c r="D2034" s="100"/>
      <c r="E2034" s="100"/>
      <c r="F2034" s="100"/>
      <c r="G2034" s="100"/>
      <c r="H2034" s="100"/>
      <c r="I2034" s="100"/>
      <c r="J2034" s="100"/>
      <c r="K2034" s="100"/>
      <c r="L2034" s="100"/>
      <c r="M2034" s="100"/>
      <c r="N2034" s="100"/>
      <c r="O2034" s="100"/>
      <c r="P2034" s="100"/>
      <c r="Q2034" s="100"/>
      <c r="R2034" s="100"/>
      <c r="S2034" s="100"/>
      <c r="T2034" s="100"/>
      <c r="U2034" s="100"/>
      <c r="V2034" s="100"/>
      <c r="W2034" s="100"/>
      <c r="X2034" s="100"/>
      <c r="Y2034" s="100"/>
      <c r="Z2034" s="100"/>
    </row>
    <row r="2035" spans="1:26">
      <c r="A2035" s="100"/>
      <c r="B2035" s="100"/>
      <c r="C2035" s="100"/>
      <c r="D2035" s="100"/>
      <c r="E2035" s="100"/>
      <c r="F2035" s="100"/>
      <c r="G2035" s="100"/>
      <c r="H2035" s="100"/>
      <c r="I2035" s="100"/>
      <c r="J2035" s="100"/>
      <c r="K2035" s="100"/>
      <c r="L2035" s="100"/>
      <c r="M2035" s="100"/>
      <c r="N2035" s="100"/>
      <c r="O2035" s="100"/>
      <c r="P2035" s="100"/>
      <c r="Q2035" s="100"/>
      <c r="R2035" s="100"/>
      <c r="S2035" s="100"/>
      <c r="T2035" s="100"/>
      <c r="U2035" s="100"/>
      <c r="V2035" s="100"/>
      <c r="W2035" s="100"/>
      <c r="X2035" s="100"/>
      <c r="Y2035" s="100"/>
      <c r="Z2035" s="100"/>
    </row>
    <row r="2036" spans="1:26">
      <c r="A2036" s="100"/>
      <c r="B2036" s="100"/>
      <c r="C2036" s="100"/>
      <c r="D2036" s="100"/>
      <c r="E2036" s="100"/>
      <c r="F2036" s="100"/>
      <c r="G2036" s="100"/>
      <c r="H2036" s="100"/>
      <c r="I2036" s="100"/>
      <c r="J2036" s="100"/>
      <c r="K2036" s="100"/>
      <c r="L2036" s="100"/>
      <c r="M2036" s="100"/>
      <c r="N2036" s="100"/>
      <c r="O2036" s="100"/>
      <c r="P2036" s="100"/>
      <c r="Q2036" s="100"/>
      <c r="R2036" s="100"/>
      <c r="S2036" s="100"/>
      <c r="T2036" s="100"/>
      <c r="U2036" s="100"/>
      <c r="V2036" s="100"/>
      <c r="W2036" s="100"/>
      <c r="X2036" s="100"/>
      <c r="Y2036" s="100"/>
      <c r="Z2036" s="100"/>
    </row>
    <row r="2037" spans="1:26">
      <c r="A2037" s="100"/>
      <c r="B2037" s="100"/>
      <c r="C2037" s="100"/>
      <c r="D2037" s="100"/>
      <c r="E2037" s="100"/>
      <c r="F2037" s="100"/>
      <c r="G2037" s="100"/>
      <c r="H2037" s="100"/>
      <c r="I2037" s="100"/>
      <c r="J2037" s="100"/>
      <c r="K2037" s="100"/>
      <c r="L2037" s="100"/>
      <c r="M2037" s="100"/>
      <c r="N2037" s="100"/>
      <c r="O2037" s="100"/>
      <c r="P2037" s="100"/>
      <c r="Q2037" s="100"/>
      <c r="R2037" s="100"/>
      <c r="S2037" s="100"/>
      <c r="T2037" s="100"/>
      <c r="U2037" s="100"/>
      <c r="V2037" s="100"/>
      <c r="W2037" s="100"/>
      <c r="X2037" s="100"/>
      <c r="Y2037" s="100"/>
      <c r="Z2037" s="100"/>
    </row>
    <row r="2038" spans="1:26">
      <c r="A2038" s="100"/>
      <c r="B2038" s="100"/>
      <c r="C2038" s="100"/>
      <c r="D2038" s="100"/>
      <c r="E2038" s="100"/>
      <c r="F2038" s="100"/>
      <c r="G2038" s="100"/>
      <c r="H2038" s="100"/>
      <c r="I2038" s="100"/>
      <c r="J2038" s="100"/>
      <c r="K2038" s="100"/>
      <c r="L2038" s="100"/>
      <c r="M2038" s="100"/>
      <c r="N2038" s="100"/>
      <c r="O2038" s="100"/>
      <c r="P2038" s="100"/>
      <c r="Q2038" s="100"/>
      <c r="R2038" s="100"/>
      <c r="S2038" s="100"/>
      <c r="T2038" s="100"/>
      <c r="U2038" s="100"/>
      <c r="V2038" s="100"/>
      <c r="W2038" s="100"/>
      <c r="X2038" s="100"/>
      <c r="Y2038" s="100"/>
      <c r="Z2038" s="100"/>
    </row>
    <row r="2039" spans="1:26">
      <c r="A2039" s="100"/>
      <c r="B2039" s="100"/>
      <c r="C2039" s="100"/>
      <c r="D2039" s="100"/>
      <c r="E2039" s="100"/>
      <c r="F2039" s="100"/>
      <c r="G2039" s="100"/>
      <c r="H2039" s="100"/>
      <c r="I2039" s="100"/>
      <c r="J2039" s="100"/>
      <c r="K2039" s="100"/>
      <c r="L2039" s="100"/>
      <c r="M2039" s="100"/>
      <c r="N2039" s="100"/>
      <c r="O2039" s="100"/>
      <c r="P2039" s="100"/>
      <c r="Q2039" s="100"/>
      <c r="R2039" s="100"/>
      <c r="S2039" s="100"/>
      <c r="T2039" s="100"/>
      <c r="U2039" s="100"/>
      <c r="V2039" s="100"/>
      <c r="W2039" s="100"/>
      <c r="X2039" s="100"/>
      <c r="Y2039" s="100"/>
      <c r="Z2039" s="100"/>
    </row>
    <row r="2040" spans="1:26">
      <c r="A2040" s="100"/>
      <c r="B2040" s="100"/>
      <c r="C2040" s="100"/>
      <c r="D2040" s="100"/>
      <c r="E2040" s="100"/>
      <c r="F2040" s="100"/>
      <c r="G2040" s="100"/>
      <c r="H2040" s="100"/>
      <c r="I2040" s="100"/>
      <c r="J2040" s="100"/>
      <c r="K2040" s="100"/>
      <c r="L2040" s="100"/>
      <c r="M2040" s="100"/>
      <c r="N2040" s="100"/>
      <c r="O2040" s="100"/>
      <c r="P2040" s="100"/>
      <c r="Q2040" s="100"/>
      <c r="R2040" s="100"/>
      <c r="S2040" s="100"/>
      <c r="T2040" s="100"/>
      <c r="U2040" s="100"/>
      <c r="V2040" s="100"/>
      <c r="W2040" s="100"/>
      <c r="X2040" s="100"/>
      <c r="Y2040" s="100"/>
      <c r="Z2040" s="100"/>
    </row>
    <row r="2041" spans="1:26">
      <c r="A2041" s="100"/>
      <c r="B2041" s="100"/>
      <c r="C2041" s="100"/>
      <c r="D2041" s="100"/>
      <c r="E2041" s="100"/>
      <c r="F2041" s="100"/>
      <c r="G2041" s="100"/>
      <c r="H2041" s="100"/>
      <c r="I2041" s="100"/>
      <c r="J2041" s="100"/>
      <c r="K2041" s="100"/>
      <c r="L2041" s="100"/>
      <c r="M2041" s="100"/>
      <c r="N2041" s="100"/>
      <c r="O2041" s="100"/>
      <c r="P2041" s="100"/>
      <c r="Q2041" s="100"/>
      <c r="R2041" s="100"/>
      <c r="S2041" s="100"/>
      <c r="T2041" s="100"/>
      <c r="U2041" s="100"/>
      <c r="V2041" s="100"/>
      <c r="W2041" s="100"/>
      <c r="X2041" s="100"/>
      <c r="Y2041" s="100"/>
      <c r="Z2041" s="100"/>
    </row>
    <row r="2042" spans="1:26">
      <c r="A2042" s="100"/>
      <c r="B2042" s="100"/>
      <c r="C2042" s="100"/>
      <c r="D2042" s="100"/>
      <c r="E2042" s="100"/>
      <c r="F2042" s="100"/>
      <c r="G2042" s="100"/>
      <c r="H2042" s="100"/>
      <c r="I2042" s="100"/>
      <c r="J2042" s="100"/>
      <c r="K2042" s="100"/>
      <c r="L2042" s="100"/>
      <c r="M2042" s="100"/>
      <c r="N2042" s="100"/>
      <c r="O2042" s="100"/>
      <c r="P2042" s="100"/>
      <c r="Q2042" s="100"/>
      <c r="R2042" s="100"/>
      <c r="S2042" s="100"/>
      <c r="T2042" s="100"/>
      <c r="U2042" s="100"/>
      <c r="V2042" s="100"/>
      <c r="W2042" s="100"/>
      <c r="X2042" s="100"/>
      <c r="Y2042" s="100"/>
      <c r="Z2042" s="100"/>
    </row>
    <row r="2043" spans="1:26">
      <c r="A2043" s="100"/>
      <c r="B2043" s="100"/>
      <c r="C2043" s="100"/>
      <c r="D2043" s="100"/>
      <c r="E2043" s="100"/>
      <c r="F2043" s="100"/>
      <c r="G2043" s="100"/>
      <c r="H2043" s="100"/>
      <c r="I2043" s="100"/>
      <c r="J2043" s="100"/>
      <c r="K2043" s="100"/>
      <c r="L2043" s="100"/>
      <c r="M2043" s="100"/>
      <c r="N2043" s="100"/>
      <c r="O2043" s="100"/>
      <c r="P2043" s="100"/>
      <c r="Q2043" s="100"/>
      <c r="R2043" s="100"/>
      <c r="S2043" s="100"/>
      <c r="T2043" s="100"/>
      <c r="U2043" s="100"/>
      <c r="V2043" s="100"/>
      <c r="W2043" s="100"/>
      <c r="X2043" s="100"/>
      <c r="Y2043" s="100"/>
      <c r="Z2043" s="100"/>
    </row>
    <row r="2044" spans="1:26">
      <c r="A2044" s="100"/>
      <c r="B2044" s="100"/>
      <c r="C2044" s="100"/>
      <c r="D2044" s="100"/>
      <c r="E2044" s="100"/>
      <c r="F2044" s="100"/>
      <c r="G2044" s="100"/>
      <c r="H2044" s="100"/>
      <c r="I2044" s="100"/>
      <c r="J2044" s="100"/>
      <c r="K2044" s="100"/>
      <c r="L2044" s="100"/>
      <c r="M2044" s="100"/>
      <c r="N2044" s="100"/>
      <c r="O2044" s="100"/>
      <c r="P2044" s="100"/>
      <c r="Q2044" s="100"/>
      <c r="R2044" s="100"/>
      <c r="S2044" s="100"/>
      <c r="T2044" s="100"/>
      <c r="U2044" s="100"/>
      <c r="V2044" s="100"/>
      <c r="W2044" s="100"/>
      <c r="X2044" s="100"/>
      <c r="Y2044" s="100"/>
      <c r="Z2044" s="100"/>
    </row>
    <row r="2045" spans="1:26">
      <c r="A2045" s="100"/>
      <c r="B2045" s="100"/>
      <c r="C2045" s="100"/>
      <c r="D2045" s="100"/>
      <c r="E2045" s="100"/>
      <c r="F2045" s="100"/>
      <c r="G2045" s="100"/>
      <c r="H2045" s="100"/>
      <c r="I2045" s="100"/>
      <c r="J2045" s="100"/>
      <c r="K2045" s="100"/>
      <c r="L2045" s="100"/>
      <c r="M2045" s="100"/>
      <c r="N2045" s="100"/>
      <c r="O2045" s="100"/>
      <c r="P2045" s="100"/>
      <c r="Q2045" s="100"/>
      <c r="R2045" s="100"/>
      <c r="S2045" s="100"/>
      <c r="T2045" s="100"/>
      <c r="U2045" s="100"/>
      <c r="V2045" s="100"/>
      <c r="W2045" s="100"/>
      <c r="X2045" s="100"/>
      <c r="Y2045" s="100"/>
      <c r="Z2045" s="100"/>
    </row>
    <row r="2046" spans="1:26">
      <c r="A2046" s="100"/>
      <c r="B2046" s="100"/>
      <c r="C2046" s="100"/>
      <c r="D2046" s="100"/>
      <c r="E2046" s="100"/>
      <c r="F2046" s="100"/>
      <c r="G2046" s="100"/>
      <c r="H2046" s="100"/>
      <c r="I2046" s="100"/>
      <c r="J2046" s="100"/>
      <c r="K2046" s="100"/>
      <c r="L2046" s="100"/>
      <c r="M2046" s="100"/>
      <c r="N2046" s="100"/>
      <c r="O2046" s="100"/>
      <c r="P2046" s="100"/>
      <c r="Q2046" s="100"/>
      <c r="R2046" s="100"/>
      <c r="S2046" s="100"/>
      <c r="T2046" s="100"/>
      <c r="U2046" s="100"/>
      <c r="V2046" s="100"/>
      <c r="W2046" s="100"/>
      <c r="X2046" s="100"/>
      <c r="Y2046" s="100"/>
      <c r="Z2046" s="100"/>
    </row>
    <row r="2047" spans="1:26">
      <c r="A2047" s="100"/>
      <c r="B2047" s="100"/>
      <c r="C2047" s="100"/>
      <c r="D2047" s="100"/>
      <c r="E2047" s="100"/>
      <c r="F2047" s="100"/>
      <c r="G2047" s="100"/>
      <c r="H2047" s="100"/>
      <c r="I2047" s="100"/>
      <c r="J2047" s="100"/>
      <c r="K2047" s="100"/>
      <c r="L2047" s="100"/>
      <c r="M2047" s="100"/>
      <c r="N2047" s="100"/>
      <c r="O2047" s="100"/>
      <c r="P2047" s="100"/>
      <c r="Q2047" s="100"/>
      <c r="R2047" s="100"/>
      <c r="S2047" s="100"/>
      <c r="T2047" s="100"/>
      <c r="U2047" s="100"/>
      <c r="V2047" s="100"/>
      <c r="W2047" s="100"/>
      <c r="X2047" s="100"/>
      <c r="Y2047" s="100"/>
      <c r="Z2047" s="100"/>
    </row>
    <row r="2048" spans="1:26">
      <c r="A2048" s="100"/>
      <c r="B2048" s="100"/>
      <c r="C2048" s="100"/>
      <c r="D2048" s="100"/>
      <c r="E2048" s="100"/>
      <c r="F2048" s="100"/>
      <c r="G2048" s="100"/>
      <c r="H2048" s="100"/>
      <c r="I2048" s="100"/>
      <c r="J2048" s="100"/>
      <c r="K2048" s="100"/>
      <c r="L2048" s="100"/>
      <c r="M2048" s="100"/>
      <c r="N2048" s="100"/>
      <c r="O2048" s="100"/>
      <c r="P2048" s="100"/>
      <c r="Q2048" s="100"/>
      <c r="R2048" s="100"/>
      <c r="S2048" s="100"/>
      <c r="T2048" s="100"/>
      <c r="U2048" s="100"/>
      <c r="V2048" s="100"/>
      <c r="W2048" s="100"/>
      <c r="X2048" s="100"/>
      <c r="Y2048" s="100"/>
      <c r="Z2048" s="100"/>
    </row>
    <row r="2049" spans="1:26">
      <c r="A2049" s="100"/>
      <c r="B2049" s="100"/>
      <c r="C2049" s="100"/>
      <c r="D2049" s="100"/>
      <c r="E2049" s="100"/>
      <c r="F2049" s="100"/>
      <c r="G2049" s="100"/>
      <c r="H2049" s="100"/>
      <c r="I2049" s="100"/>
      <c r="J2049" s="100"/>
      <c r="K2049" s="100"/>
      <c r="L2049" s="100"/>
      <c r="M2049" s="100"/>
      <c r="N2049" s="100"/>
      <c r="O2049" s="100"/>
      <c r="P2049" s="100"/>
      <c r="Q2049" s="100"/>
      <c r="R2049" s="100"/>
      <c r="S2049" s="100"/>
      <c r="T2049" s="100"/>
      <c r="U2049" s="100"/>
      <c r="V2049" s="100"/>
      <c r="W2049" s="100"/>
      <c r="X2049" s="100"/>
      <c r="Y2049" s="100"/>
      <c r="Z2049" s="100"/>
    </row>
    <row r="2050" spans="1:26">
      <c r="A2050" s="100"/>
      <c r="B2050" s="100"/>
      <c r="C2050" s="100"/>
      <c r="D2050" s="100"/>
      <c r="E2050" s="100"/>
      <c r="F2050" s="100"/>
      <c r="G2050" s="100"/>
      <c r="H2050" s="100"/>
      <c r="I2050" s="100"/>
      <c r="J2050" s="100"/>
      <c r="K2050" s="100"/>
      <c r="L2050" s="100"/>
      <c r="M2050" s="100"/>
      <c r="N2050" s="100"/>
      <c r="O2050" s="100"/>
      <c r="P2050" s="100"/>
      <c r="Q2050" s="100"/>
      <c r="R2050" s="100"/>
      <c r="S2050" s="100"/>
      <c r="T2050" s="100"/>
      <c r="U2050" s="100"/>
      <c r="V2050" s="100"/>
      <c r="W2050" s="100"/>
      <c r="X2050" s="100"/>
      <c r="Y2050" s="100"/>
      <c r="Z2050" s="100"/>
    </row>
    <row r="2051" spans="1:26">
      <c r="A2051" s="100"/>
      <c r="B2051" s="100"/>
      <c r="C2051" s="100"/>
      <c r="D2051" s="100"/>
      <c r="E2051" s="100"/>
      <c r="F2051" s="100"/>
      <c r="G2051" s="100"/>
      <c r="H2051" s="100"/>
      <c r="I2051" s="100"/>
      <c r="J2051" s="100"/>
      <c r="K2051" s="100"/>
      <c r="L2051" s="100"/>
      <c r="M2051" s="100"/>
      <c r="N2051" s="100"/>
      <c r="O2051" s="100"/>
      <c r="P2051" s="100"/>
      <c r="Q2051" s="100"/>
      <c r="R2051" s="100"/>
      <c r="S2051" s="100"/>
      <c r="T2051" s="100"/>
      <c r="U2051" s="100"/>
      <c r="V2051" s="100"/>
      <c r="W2051" s="100"/>
      <c r="X2051" s="100"/>
      <c r="Y2051" s="100"/>
      <c r="Z2051" s="100"/>
    </row>
    <row r="2052" spans="1:26">
      <c r="A2052" s="100"/>
      <c r="B2052" s="100"/>
      <c r="C2052" s="100"/>
      <c r="D2052" s="100"/>
      <c r="E2052" s="100"/>
      <c r="F2052" s="100"/>
      <c r="G2052" s="100"/>
      <c r="H2052" s="100"/>
      <c r="I2052" s="100"/>
      <c r="J2052" s="100"/>
      <c r="K2052" s="100"/>
      <c r="L2052" s="100"/>
      <c r="M2052" s="100"/>
      <c r="N2052" s="100"/>
      <c r="O2052" s="100"/>
      <c r="P2052" s="100"/>
      <c r="Q2052" s="100"/>
      <c r="R2052" s="100"/>
      <c r="S2052" s="100"/>
      <c r="T2052" s="100"/>
      <c r="U2052" s="100"/>
      <c r="V2052" s="100"/>
      <c r="W2052" s="100"/>
      <c r="X2052" s="100"/>
      <c r="Y2052" s="100"/>
      <c r="Z2052" s="100"/>
    </row>
    <row r="2053" spans="1:26">
      <c r="A2053" s="100"/>
      <c r="B2053" s="100"/>
      <c r="C2053" s="100"/>
      <c r="D2053" s="100"/>
      <c r="E2053" s="100"/>
      <c r="F2053" s="100"/>
      <c r="G2053" s="100"/>
      <c r="H2053" s="100"/>
      <c r="I2053" s="100"/>
      <c r="J2053" s="100"/>
      <c r="K2053" s="100"/>
      <c r="L2053" s="100"/>
      <c r="M2053" s="100"/>
      <c r="N2053" s="100"/>
      <c r="O2053" s="100"/>
      <c r="P2053" s="100"/>
      <c r="Q2053" s="100"/>
      <c r="R2053" s="100"/>
      <c r="S2053" s="100"/>
      <c r="T2053" s="100"/>
      <c r="U2053" s="100"/>
      <c r="V2053" s="100"/>
      <c r="W2053" s="100"/>
      <c r="X2053" s="100"/>
      <c r="Y2053" s="100"/>
      <c r="Z2053" s="100"/>
    </row>
    <row r="2054" spans="1:26">
      <c r="A2054" s="100"/>
      <c r="B2054" s="100"/>
      <c r="C2054" s="100"/>
      <c r="D2054" s="100"/>
      <c r="E2054" s="100"/>
      <c r="F2054" s="100"/>
      <c r="G2054" s="100"/>
      <c r="H2054" s="100"/>
      <c r="I2054" s="100"/>
      <c r="J2054" s="100"/>
      <c r="K2054" s="100"/>
      <c r="L2054" s="100"/>
      <c r="M2054" s="100"/>
      <c r="N2054" s="100"/>
      <c r="O2054" s="100"/>
      <c r="P2054" s="100"/>
      <c r="Q2054" s="100"/>
      <c r="R2054" s="100"/>
      <c r="S2054" s="100"/>
      <c r="T2054" s="100"/>
      <c r="U2054" s="100"/>
      <c r="V2054" s="100"/>
      <c r="W2054" s="100"/>
      <c r="X2054" s="100"/>
      <c r="Y2054" s="100"/>
      <c r="Z2054" s="100"/>
    </row>
    <row r="2055" spans="1:26">
      <c r="A2055" s="100"/>
      <c r="B2055" s="100"/>
      <c r="C2055" s="100"/>
      <c r="D2055" s="100"/>
      <c r="E2055" s="100"/>
      <c r="F2055" s="100"/>
      <c r="G2055" s="100"/>
      <c r="H2055" s="100"/>
      <c r="I2055" s="100"/>
      <c r="J2055" s="100"/>
      <c r="K2055" s="100"/>
      <c r="L2055" s="100"/>
      <c r="M2055" s="100"/>
      <c r="N2055" s="100"/>
      <c r="O2055" s="100"/>
      <c r="P2055" s="100"/>
      <c r="Q2055" s="100"/>
      <c r="R2055" s="100"/>
      <c r="S2055" s="100"/>
      <c r="T2055" s="100"/>
      <c r="U2055" s="100"/>
      <c r="V2055" s="100"/>
      <c r="W2055" s="100"/>
      <c r="X2055" s="100"/>
      <c r="Y2055" s="100"/>
      <c r="Z2055" s="100"/>
    </row>
    <row r="2056" spans="1:26">
      <c r="A2056" s="100"/>
      <c r="B2056" s="100"/>
      <c r="C2056" s="100"/>
      <c r="D2056" s="100"/>
      <c r="E2056" s="100"/>
      <c r="F2056" s="100"/>
      <c r="G2056" s="100"/>
      <c r="H2056" s="100"/>
      <c r="I2056" s="100"/>
      <c r="J2056" s="100"/>
      <c r="K2056" s="100"/>
      <c r="L2056" s="100"/>
      <c r="M2056" s="100"/>
      <c r="N2056" s="100"/>
      <c r="O2056" s="100"/>
      <c r="P2056" s="100"/>
      <c r="Q2056" s="100"/>
      <c r="R2056" s="100"/>
      <c r="S2056" s="100"/>
      <c r="T2056" s="100"/>
      <c r="U2056" s="100"/>
      <c r="V2056" s="100"/>
      <c r="W2056" s="100"/>
      <c r="X2056" s="100"/>
      <c r="Y2056" s="100"/>
      <c r="Z2056" s="100"/>
    </row>
    <row r="2057" spans="1:26">
      <c r="A2057" s="100"/>
      <c r="B2057" s="100"/>
      <c r="C2057" s="100"/>
      <c r="D2057" s="100"/>
      <c r="E2057" s="100"/>
      <c r="F2057" s="100"/>
      <c r="G2057" s="100"/>
      <c r="H2057" s="100"/>
      <c r="I2057" s="100"/>
      <c r="J2057" s="100"/>
      <c r="K2057" s="100"/>
      <c r="L2057" s="100"/>
      <c r="M2057" s="100"/>
      <c r="N2057" s="100"/>
      <c r="O2057" s="100"/>
      <c r="P2057" s="100"/>
      <c r="Q2057" s="100"/>
      <c r="R2057" s="100"/>
      <c r="S2057" s="100"/>
      <c r="T2057" s="100"/>
      <c r="U2057" s="100"/>
      <c r="V2057" s="100"/>
      <c r="W2057" s="100"/>
      <c r="X2057" s="100"/>
      <c r="Y2057" s="100"/>
      <c r="Z2057" s="100"/>
    </row>
    <row r="2058" spans="1:26">
      <c r="A2058" s="100"/>
      <c r="B2058" s="100"/>
      <c r="C2058" s="100"/>
      <c r="D2058" s="100"/>
      <c r="E2058" s="100"/>
      <c r="F2058" s="100"/>
      <c r="G2058" s="100"/>
      <c r="H2058" s="100"/>
      <c r="I2058" s="100"/>
      <c r="J2058" s="100"/>
      <c r="K2058" s="100"/>
      <c r="L2058" s="100"/>
      <c r="M2058" s="100"/>
      <c r="N2058" s="100"/>
      <c r="O2058" s="100"/>
      <c r="P2058" s="100"/>
      <c r="Q2058" s="100"/>
      <c r="R2058" s="100"/>
      <c r="S2058" s="100"/>
      <c r="T2058" s="100"/>
      <c r="U2058" s="100"/>
      <c r="V2058" s="100"/>
      <c r="W2058" s="100"/>
      <c r="X2058" s="100"/>
      <c r="Y2058" s="100"/>
      <c r="Z2058" s="100"/>
    </row>
    <row r="2059" spans="1:26">
      <c r="A2059" s="100"/>
      <c r="B2059" s="100"/>
      <c r="C2059" s="100"/>
      <c r="D2059" s="100"/>
      <c r="E2059" s="100"/>
      <c r="F2059" s="100"/>
      <c r="G2059" s="100"/>
      <c r="H2059" s="100"/>
      <c r="I2059" s="100"/>
      <c r="J2059" s="100"/>
      <c r="K2059" s="100"/>
      <c r="L2059" s="100"/>
      <c r="M2059" s="100"/>
      <c r="N2059" s="100"/>
      <c r="O2059" s="100"/>
      <c r="P2059" s="100"/>
      <c r="Q2059" s="100"/>
      <c r="R2059" s="100"/>
      <c r="S2059" s="100"/>
      <c r="T2059" s="100"/>
      <c r="U2059" s="100"/>
      <c r="V2059" s="100"/>
      <c r="W2059" s="100"/>
      <c r="X2059" s="100"/>
      <c r="Y2059" s="100"/>
      <c r="Z2059" s="100"/>
    </row>
    <row r="2060" spans="1:26">
      <c r="A2060" s="100"/>
      <c r="B2060" s="100"/>
      <c r="C2060" s="100"/>
      <c r="D2060" s="100"/>
      <c r="E2060" s="100"/>
      <c r="F2060" s="100"/>
      <c r="G2060" s="100"/>
      <c r="H2060" s="100"/>
      <c r="I2060" s="100"/>
      <c r="J2060" s="100"/>
      <c r="K2060" s="100"/>
      <c r="L2060" s="100"/>
      <c r="M2060" s="100"/>
      <c r="N2060" s="100"/>
      <c r="O2060" s="100"/>
      <c r="P2060" s="100"/>
      <c r="Q2060" s="100"/>
      <c r="R2060" s="100"/>
      <c r="S2060" s="100"/>
      <c r="T2060" s="100"/>
      <c r="U2060" s="100"/>
      <c r="V2060" s="100"/>
      <c r="W2060" s="100"/>
      <c r="X2060" s="100"/>
      <c r="Y2060" s="100"/>
      <c r="Z2060" s="100"/>
    </row>
    <row r="2061" spans="1:26">
      <c r="A2061" s="100"/>
      <c r="B2061" s="100"/>
      <c r="C2061" s="100"/>
      <c r="D2061" s="100"/>
      <c r="E2061" s="100"/>
      <c r="F2061" s="100"/>
      <c r="G2061" s="100"/>
      <c r="H2061" s="100"/>
      <c r="I2061" s="100"/>
      <c r="J2061" s="100"/>
      <c r="K2061" s="100"/>
      <c r="L2061" s="100"/>
      <c r="M2061" s="100"/>
      <c r="N2061" s="100"/>
      <c r="O2061" s="100"/>
      <c r="P2061" s="100"/>
      <c r="Q2061" s="100"/>
      <c r="R2061" s="100"/>
      <c r="S2061" s="100"/>
      <c r="T2061" s="100"/>
      <c r="U2061" s="100"/>
      <c r="V2061" s="100"/>
      <c r="W2061" s="100"/>
      <c r="X2061" s="100"/>
      <c r="Y2061" s="100"/>
      <c r="Z2061" s="100"/>
    </row>
    <row r="2062" spans="1:26">
      <c r="A2062" s="100"/>
      <c r="B2062" s="100"/>
      <c r="C2062" s="100"/>
      <c r="D2062" s="100"/>
      <c r="E2062" s="100"/>
      <c r="F2062" s="100"/>
      <c r="G2062" s="100"/>
      <c r="H2062" s="100"/>
      <c r="I2062" s="100"/>
      <c r="J2062" s="100"/>
      <c r="K2062" s="100"/>
      <c r="L2062" s="100"/>
      <c r="M2062" s="100"/>
      <c r="N2062" s="100"/>
      <c r="O2062" s="100"/>
      <c r="P2062" s="100"/>
      <c r="Q2062" s="100"/>
      <c r="R2062" s="100"/>
      <c r="S2062" s="100"/>
      <c r="T2062" s="100"/>
      <c r="U2062" s="100"/>
      <c r="V2062" s="100"/>
      <c r="W2062" s="100"/>
      <c r="X2062" s="100"/>
      <c r="Y2062" s="100"/>
      <c r="Z2062" s="100"/>
    </row>
    <row r="2063" spans="1:26">
      <c r="A2063" s="100"/>
      <c r="B2063" s="100"/>
      <c r="C2063" s="100"/>
      <c r="D2063" s="100"/>
      <c r="E2063" s="100"/>
      <c r="F2063" s="100"/>
      <c r="G2063" s="100"/>
      <c r="H2063" s="100"/>
      <c r="I2063" s="100"/>
      <c r="J2063" s="100"/>
      <c r="K2063" s="100"/>
      <c r="L2063" s="100"/>
      <c r="M2063" s="100"/>
      <c r="N2063" s="100"/>
      <c r="O2063" s="100"/>
      <c r="P2063" s="100"/>
      <c r="Q2063" s="100"/>
      <c r="R2063" s="100"/>
      <c r="S2063" s="100"/>
      <c r="T2063" s="100"/>
      <c r="U2063" s="100"/>
      <c r="V2063" s="100"/>
      <c r="W2063" s="100"/>
      <c r="X2063" s="100"/>
      <c r="Y2063" s="100"/>
      <c r="Z2063" s="100"/>
    </row>
    <row r="2064" spans="1:26">
      <c r="A2064" s="100"/>
      <c r="B2064" s="100"/>
      <c r="C2064" s="100"/>
      <c r="D2064" s="100"/>
      <c r="E2064" s="100"/>
      <c r="F2064" s="100"/>
      <c r="G2064" s="100"/>
      <c r="H2064" s="100"/>
      <c r="I2064" s="100"/>
      <c r="J2064" s="100"/>
      <c r="K2064" s="100"/>
      <c r="L2064" s="100"/>
      <c r="M2064" s="100"/>
      <c r="N2064" s="100"/>
      <c r="O2064" s="100"/>
      <c r="P2064" s="100"/>
      <c r="Q2064" s="100"/>
      <c r="R2064" s="100"/>
      <c r="S2064" s="100"/>
      <c r="T2064" s="100"/>
      <c r="U2064" s="100"/>
      <c r="V2064" s="100"/>
      <c r="W2064" s="100"/>
      <c r="X2064" s="100"/>
      <c r="Y2064" s="100"/>
      <c r="Z2064" s="100"/>
    </row>
    <row r="2065" spans="1:26">
      <c r="A2065" s="100"/>
      <c r="B2065" s="100"/>
      <c r="C2065" s="100"/>
      <c r="D2065" s="100"/>
      <c r="E2065" s="100"/>
      <c r="F2065" s="100"/>
      <c r="G2065" s="100"/>
      <c r="H2065" s="100"/>
      <c r="I2065" s="100"/>
      <c r="J2065" s="100"/>
      <c r="K2065" s="100"/>
      <c r="L2065" s="100"/>
      <c r="M2065" s="100"/>
      <c r="N2065" s="100"/>
      <c r="O2065" s="100"/>
      <c r="P2065" s="100"/>
      <c r="Q2065" s="100"/>
      <c r="R2065" s="100"/>
      <c r="S2065" s="100"/>
      <c r="T2065" s="100"/>
      <c r="U2065" s="100"/>
      <c r="V2065" s="100"/>
      <c r="W2065" s="100"/>
      <c r="X2065" s="100"/>
      <c r="Y2065" s="100"/>
      <c r="Z2065" s="100"/>
    </row>
    <row r="2066" spans="1:26">
      <c r="A2066" s="100"/>
      <c r="B2066" s="100"/>
      <c r="C2066" s="100"/>
      <c r="D2066" s="100"/>
      <c r="E2066" s="100"/>
      <c r="F2066" s="100"/>
      <c r="G2066" s="100"/>
      <c r="H2066" s="100"/>
      <c r="I2066" s="100"/>
      <c r="J2066" s="100"/>
      <c r="K2066" s="100"/>
      <c r="L2066" s="100"/>
      <c r="M2066" s="100"/>
      <c r="N2066" s="100"/>
      <c r="O2066" s="100"/>
      <c r="P2066" s="100"/>
      <c r="Q2066" s="100"/>
      <c r="R2066" s="100"/>
      <c r="S2066" s="100"/>
      <c r="T2066" s="100"/>
      <c r="U2066" s="100"/>
      <c r="V2066" s="100"/>
      <c r="W2066" s="100"/>
      <c r="X2066" s="100"/>
      <c r="Y2066" s="100"/>
      <c r="Z2066" s="100"/>
    </row>
    <row r="2067" spans="1:26">
      <c r="A2067" s="100"/>
      <c r="B2067" s="100"/>
      <c r="C2067" s="100"/>
      <c r="D2067" s="100"/>
      <c r="E2067" s="100"/>
      <c r="F2067" s="100"/>
      <c r="G2067" s="100"/>
      <c r="H2067" s="100"/>
      <c r="I2067" s="100"/>
      <c r="J2067" s="100"/>
      <c r="K2067" s="100"/>
      <c r="L2067" s="100"/>
      <c r="M2067" s="100"/>
      <c r="N2067" s="100"/>
      <c r="O2067" s="100"/>
      <c r="P2067" s="100"/>
      <c r="Q2067" s="100"/>
      <c r="R2067" s="100"/>
      <c r="S2067" s="100"/>
      <c r="T2067" s="100"/>
      <c r="U2067" s="100"/>
      <c r="V2067" s="100"/>
      <c r="W2067" s="100"/>
      <c r="X2067" s="100"/>
      <c r="Y2067" s="100"/>
      <c r="Z2067" s="100"/>
    </row>
    <row r="2068" spans="1:26">
      <c r="A2068" s="100"/>
      <c r="B2068" s="100"/>
      <c r="C2068" s="100"/>
      <c r="D2068" s="100"/>
      <c r="E2068" s="100"/>
      <c r="F2068" s="100"/>
      <c r="G2068" s="100"/>
      <c r="H2068" s="100"/>
      <c r="I2068" s="100"/>
      <c r="J2068" s="100"/>
      <c r="K2068" s="100"/>
      <c r="L2068" s="100"/>
      <c r="M2068" s="100"/>
      <c r="N2068" s="100"/>
      <c r="O2068" s="100"/>
      <c r="P2068" s="100"/>
      <c r="Q2068" s="100"/>
      <c r="R2068" s="100"/>
      <c r="S2068" s="100"/>
      <c r="T2068" s="100"/>
      <c r="U2068" s="100"/>
      <c r="V2068" s="100"/>
      <c r="W2068" s="100"/>
      <c r="X2068" s="100"/>
      <c r="Y2068" s="100"/>
      <c r="Z2068" s="100"/>
    </row>
    <row r="2069" spans="1:26">
      <c r="A2069" s="100"/>
      <c r="B2069" s="100"/>
      <c r="C2069" s="100"/>
      <c r="D2069" s="100"/>
      <c r="E2069" s="100"/>
      <c r="F2069" s="100"/>
      <c r="G2069" s="100"/>
      <c r="H2069" s="100"/>
      <c r="I2069" s="100"/>
      <c r="J2069" s="100"/>
      <c r="K2069" s="100"/>
      <c r="L2069" s="100"/>
      <c r="M2069" s="100"/>
      <c r="N2069" s="100"/>
      <c r="O2069" s="100"/>
      <c r="P2069" s="100"/>
      <c r="Q2069" s="100"/>
      <c r="R2069" s="100"/>
      <c r="S2069" s="100"/>
      <c r="T2069" s="100"/>
      <c r="U2069" s="100"/>
      <c r="V2069" s="100"/>
      <c r="W2069" s="100"/>
      <c r="X2069" s="100"/>
      <c r="Y2069" s="100"/>
      <c r="Z2069" s="100"/>
    </row>
    <row r="2070" spans="1:26">
      <c r="A2070" s="100"/>
      <c r="B2070" s="100"/>
      <c r="C2070" s="100"/>
      <c r="D2070" s="100"/>
      <c r="E2070" s="100"/>
      <c r="F2070" s="100"/>
      <c r="G2070" s="100"/>
      <c r="H2070" s="100"/>
      <c r="I2070" s="100"/>
      <c r="J2070" s="100"/>
      <c r="K2070" s="100"/>
      <c r="L2070" s="100"/>
      <c r="M2070" s="100"/>
      <c r="N2070" s="100"/>
      <c r="O2070" s="100"/>
      <c r="P2070" s="100"/>
      <c r="Q2070" s="100"/>
      <c r="R2070" s="100"/>
      <c r="S2070" s="100"/>
      <c r="T2070" s="100"/>
      <c r="U2070" s="100"/>
      <c r="V2070" s="100"/>
      <c r="W2070" s="100"/>
      <c r="X2070" s="100"/>
      <c r="Y2070" s="100"/>
      <c r="Z2070" s="100"/>
    </row>
    <row r="2071" spans="1:26">
      <c r="A2071" s="100"/>
      <c r="B2071" s="100"/>
      <c r="C2071" s="100"/>
      <c r="D2071" s="100"/>
      <c r="E2071" s="100"/>
      <c r="F2071" s="100"/>
      <c r="G2071" s="100"/>
      <c r="H2071" s="100"/>
      <c r="I2071" s="100"/>
      <c r="J2071" s="100"/>
      <c r="K2071" s="100"/>
      <c r="L2071" s="100"/>
      <c r="M2071" s="100"/>
      <c r="N2071" s="100"/>
      <c r="O2071" s="100"/>
      <c r="P2071" s="100"/>
      <c r="Q2071" s="100"/>
      <c r="R2071" s="100"/>
      <c r="S2071" s="100"/>
      <c r="T2071" s="100"/>
      <c r="U2071" s="100"/>
      <c r="V2071" s="100"/>
      <c r="W2071" s="100"/>
      <c r="X2071" s="100"/>
      <c r="Y2071" s="100"/>
      <c r="Z2071" s="100"/>
    </row>
    <row r="2072" spans="1:26">
      <c r="A2072" s="100"/>
      <c r="B2072" s="100"/>
      <c r="C2072" s="100"/>
      <c r="D2072" s="100"/>
      <c r="E2072" s="100"/>
      <c r="F2072" s="100"/>
      <c r="G2072" s="100"/>
      <c r="H2072" s="100"/>
      <c r="I2072" s="100"/>
      <c r="J2072" s="100"/>
      <c r="K2072" s="100"/>
      <c r="L2072" s="100"/>
      <c r="M2072" s="100"/>
      <c r="N2072" s="100"/>
      <c r="O2072" s="100"/>
      <c r="P2072" s="100"/>
      <c r="Q2072" s="100"/>
      <c r="R2072" s="100"/>
      <c r="S2072" s="100"/>
      <c r="T2072" s="100"/>
      <c r="U2072" s="100"/>
      <c r="V2072" s="100"/>
      <c r="W2072" s="100"/>
      <c r="X2072" s="100"/>
      <c r="Y2072" s="100"/>
      <c r="Z2072" s="100"/>
    </row>
    <row r="2073" spans="1:26">
      <c r="A2073" s="100"/>
      <c r="B2073" s="100"/>
      <c r="C2073" s="100"/>
      <c r="D2073" s="100"/>
      <c r="E2073" s="100"/>
      <c r="F2073" s="100"/>
      <c r="G2073" s="100"/>
      <c r="H2073" s="100"/>
      <c r="I2073" s="100"/>
      <c r="J2073" s="100"/>
      <c r="K2073" s="100"/>
      <c r="L2073" s="100"/>
      <c r="M2073" s="100"/>
      <c r="N2073" s="100"/>
      <c r="O2073" s="100"/>
      <c r="P2073" s="100"/>
      <c r="Q2073" s="100"/>
      <c r="R2073" s="100"/>
      <c r="S2073" s="100"/>
      <c r="T2073" s="100"/>
      <c r="U2073" s="100"/>
      <c r="V2073" s="100"/>
      <c r="W2073" s="100"/>
      <c r="X2073" s="100"/>
      <c r="Y2073" s="100"/>
      <c r="Z2073" s="100"/>
    </row>
    <row r="2074" spans="1:26">
      <c r="A2074" s="100"/>
      <c r="B2074" s="100"/>
      <c r="C2074" s="100"/>
      <c r="D2074" s="100"/>
      <c r="E2074" s="100"/>
      <c r="F2074" s="100"/>
      <c r="G2074" s="100"/>
      <c r="H2074" s="100"/>
      <c r="I2074" s="100"/>
      <c r="J2074" s="100"/>
      <c r="K2074" s="100"/>
      <c r="L2074" s="100"/>
      <c r="M2074" s="100"/>
      <c r="N2074" s="100"/>
      <c r="O2074" s="100"/>
      <c r="P2074" s="100"/>
      <c r="Q2074" s="100"/>
      <c r="R2074" s="100"/>
      <c r="S2074" s="100"/>
      <c r="T2074" s="100"/>
      <c r="U2074" s="100"/>
      <c r="V2074" s="100"/>
      <c r="W2074" s="100"/>
      <c r="X2074" s="100"/>
      <c r="Y2074" s="100"/>
      <c r="Z2074" s="100"/>
    </row>
    <row r="2075" spans="1:26">
      <c r="A2075" s="100"/>
      <c r="B2075" s="100"/>
      <c r="C2075" s="100"/>
      <c r="D2075" s="100"/>
      <c r="E2075" s="100"/>
      <c r="F2075" s="100"/>
      <c r="G2075" s="100"/>
      <c r="H2075" s="100"/>
      <c r="I2075" s="100"/>
      <c r="J2075" s="100"/>
      <c r="K2075" s="100"/>
      <c r="L2075" s="100"/>
      <c r="M2075" s="100"/>
      <c r="N2075" s="100"/>
      <c r="O2075" s="100"/>
      <c r="P2075" s="100"/>
      <c r="Q2075" s="100"/>
      <c r="R2075" s="100"/>
      <c r="S2075" s="100"/>
      <c r="T2075" s="100"/>
      <c r="U2075" s="100"/>
      <c r="V2075" s="100"/>
      <c r="W2075" s="100"/>
      <c r="X2075" s="100"/>
      <c r="Y2075" s="100"/>
      <c r="Z2075" s="100"/>
    </row>
    <row r="2076" spans="1:26">
      <c r="A2076" s="100"/>
      <c r="B2076" s="100"/>
      <c r="C2076" s="100"/>
      <c r="D2076" s="100"/>
      <c r="E2076" s="100"/>
      <c r="F2076" s="100"/>
      <c r="G2076" s="100"/>
      <c r="H2076" s="100"/>
      <c r="I2076" s="100"/>
      <c r="J2076" s="100"/>
      <c r="K2076" s="100"/>
      <c r="L2076" s="100"/>
      <c r="M2076" s="100"/>
      <c r="N2076" s="100"/>
      <c r="O2076" s="100"/>
      <c r="P2076" s="100"/>
      <c r="Q2076" s="100"/>
      <c r="R2076" s="100"/>
      <c r="S2076" s="100"/>
      <c r="T2076" s="100"/>
      <c r="U2076" s="100"/>
      <c r="V2076" s="100"/>
      <c r="W2076" s="100"/>
      <c r="X2076" s="100"/>
      <c r="Y2076" s="100"/>
      <c r="Z2076" s="100"/>
    </row>
    <row r="2077" spans="1:26">
      <c r="A2077" s="100"/>
      <c r="B2077" s="100"/>
      <c r="C2077" s="100"/>
      <c r="D2077" s="100"/>
      <c r="E2077" s="100"/>
      <c r="F2077" s="100"/>
      <c r="G2077" s="100"/>
      <c r="H2077" s="100"/>
      <c r="I2077" s="100"/>
      <c r="J2077" s="100"/>
      <c r="K2077" s="100"/>
      <c r="L2077" s="100"/>
      <c r="M2077" s="100"/>
      <c r="N2077" s="100"/>
      <c r="O2077" s="100"/>
      <c r="P2077" s="100"/>
      <c r="Q2077" s="100"/>
      <c r="R2077" s="100"/>
      <c r="S2077" s="100"/>
      <c r="T2077" s="100"/>
      <c r="U2077" s="100"/>
      <c r="V2077" s="100"/>
      <c r="W2077" s="100"/>
      <c r="X2077" s="100"/>
      <c r="Y2077" s="100"/>
      <c r="Z2077" s="100"/>
    </row>
    <row r="2078" spans="1:26">
      <c r="A2078" s="100"/>
      <c r="B2078" s="100"/>
      <c r="C2078" s="100"/>
      <c r="D2078" s="100"/>
      <c r="E2078" s="100"/>
      <c r="F2078" s="100"/>
      <c r="G2078" s="100"/>
      <c r="H2078" s="100"/>
      <c r="I2078" s="100"/>
      <c r="J2078" s="100"/>
      <c r="K2078" s="100"/>
      <c r="L2078" s="100"/>
      <c r="M2078" s="100"/>
      <c r="N2078" s="100"/>
      <c r="O2078" s="100"/>
      <c r="P2078" s="100"/>
      <c r="Q2078" s="100"/>
      <c r="R2078" s="100"/>
      <c r="S2078" s="100"/>
      <c r="T2078" s="100"/>
      <c r="U2078" s="100"/>
      <c r="V2078" s="100"/>
      <c r="W2078" s="100"/>
      <c r="X2078" s="100"/>
      <c r="Y2078" s="100"/>
      <c r="Z2078" s="100"/>
    </row>
    <row r="2079" spans="1:26">
      <c r="A2079" s="100"/>
      <c r="B2079" s="100"/>
      <c r="C2079" s="100"/>
      <c r="D2079" s="100"/>
      <c r="E2079" s="100"/>
      <c r="F2079" s="100"/>
      <c r="G2079" s="100"/>
      <c r="H2079" s="100"/>
      <c r="I2079" s="100"/>
      <c r="J2079" s="100"/>
      <c r="K2079" s="100"/>
      <c r="L2079" s="100"/>
      <c r="M2079" s="100"/>
      <c r="N2079" s="100"/>
      <c r="O2079" s="100"/>
      <c r="P2079" s="100"/>
      <c r="Q2079" s="100"/>
      <c r="R2079" s="100"/>
      <c r="S2079" s="100"/>
      <c r="T2079" s="100"/>
      <c r="U2079" s="100"/>
      <c r="V2079" s="100"/>
      <c r="W2079" s="100"/>
      <c r="X2079" s="100"/>
      <c r="Y2079" s="100"/>
      <c r="Z2079" s="100"/>
    </row>
    <row r="2080" spans="1:26">
      <c r="A2080" s="100"/>
      <c r="B2080" s="100"/>
      <c r="C2080" s="100"/>
      <c r="D2080" s="100"/>
      <c r="E2080" s="100"/>
      <c r="F2080" s="100"/>
      <c r="G2080" s="100"/>
      <c r="H2080" s="100"/>
      <c r="I2080" s="100"/>
      <c r="J2080" s="100"/>
      <c r="K2080" s="100"/>
      <c r="L2080" s="100"/>
      <c r="M2080" s="100"/>
      <c r="N2080" s="100"/>
      <c r="O2080" s="100"/>
      <c r="P2080" s="100"/>
      <c r="Q2080" s="100"/>
      <c r="R2080" s="100"/>
      <c r="S2080" s="100"/>
      <c r="T2080" s="100"/>
      <c r="U2080" s="100"/>
      <c r="V2080" s="100"/>
      <c r="W2080" s="100"/>
      <c r="X2080" s="100"/>
      <c r="Y2080" s="100"/>
      <c r="Z2080" s="100"/>
    </row>
    <row r="2081" spans="1:26">
      <c r="A2081" s="100"/>
      <c r="B2081" s="100"/>
      <c r="C2081" s="100"/>
      <c r="D2081" s="100"/>
      <c r="E2081" s="100"/>
      <c r="F2081" s="100"/>
      <c r="G2081" s="100"/>
      <c r="H2081" s="100"/>
      <c r="I2081" s="100"/>
      <c r="J2081" s="100"/>
      <c r="K2081" s="100"/>
      <c r="L2081" s="100"/>
      <c r="M2081" s="100"/>
      <c r="N2081" s="100"/>
      <c r="O2081" s="100"/>
      <c r="P2081" s="100"/>
      <c r="Q2081" s="100"/>
      <c r="R2081" s="100"/>
      <c r="S2081" s="100"/>
      <c r="T2081" s="100"/>
      <c r="U2081" s="100"/>
      <c r="V2081" s="100"/>
      <c r="W2081" s="100"/>
      <c r="X2081" s="100"/>
      <c r="Y2081" s="100"/>
      <c r="Z2081" s="100"/>
    </row>
    <row r="2082" spans="1:26">
      <c r="A2082" s="100"/>
      <c r="B2082" s="100"/>
      <c r="C2082" s="100"/>
      <c r="D2082" s="100"/>
      <c r="E2082" s="100"/>
      <c r="F2082" s="100"/>
      <c r="G2082" s="100"/>
      <c r="H2082" s="100"/>
      <c r="I2082" s="100"/>
      <c r="J2082" s="100"/>
      <c r="K2082" s="100"/>
      <c r="L2082" s="100"/>
      <c r="M2082" s="100"/>
      <c r="N2082" s="100"/>
      <c r="O2082" s="100"/>
      <c r="P2082" s="100"/>
      <c r="Q2082" s="100"/>
      <c r="R2082" s="100"/>
      <c r="S2082" s="100"/>
      <c r="T2082" s="100"/>
      <c r="U2082" s="100"/>
      <c r="V2082" s="100"/>
      <c r="W2082" s="100"/>
      <c r="X2082" s="100"/>
      <c r="Y2082" s="100"/>
      <c r="Z2082" s="100"/>
    </row>
    <row r="2083" spans="1:26">
      <c r="A2083" s="100"/>
      <c r="B2083" s="100"/>
      <c r="C2083" s="100"/>
      <c r="D2083" s="100"/>
      <c r="E2083" s="100"/>
      <c r="F2083" s="100"/>
      <c r="G2083" s="100"/>
      <c r="H2083" s="100"/>
      <c r="I2083" s="100"/>
      <c r="J2083" s="100"/>
      <c r="K2083" s="100"/>
      <c r="L2083" s="100"/>
      <c r="M2083" s="100"/>
      <c r="N2083" s="100"/>
      <c r="O2083" s="100"/>
      <c r="P2083" s="100"/>
      <c r="Q2083" s="100"/>
      <c r="R2083" s="100"/>
      <c r="S2083" s="100"/>
      <c r="T2083" s="100"/>
      <c r="U2083" s="100"/>
      <c r="V2083" s="100"/>
      <c r="W2083" s="100"/>
      <c r="X2083" s="100"/>
      <c r="Y2083" s="100"/>
      <c r="Z2083" s="100"/>
    </row>
    <row r="2084" spans="1:26">
      <c r="A2084" s="100"/>
      <c r="B2084" s="100"/>
      <c r="C2084" s="100"/>
      <c r="D2084" s="100"/>
      <c r="E2084" s="100"/>
      <c r="F2084" s="100"/>
      <c r="G2084" s="100"/>
      <c r="H2084" s="100"/>
      <c r="I2084" s="100"/>
      <c r="J2084" s="100"/>
      <c r="K2084" s="100"/>
      <c r="L2084" s="100"/>
      <c r="M2084" s="100"/>
      <c r="N2084" s="100"/>
      <c r="O2084" s="100"/>
      <c r="P2084" s="100"/>
      <c r="Q2084" s="100"/>
      <c r="R2084" s="100"/>
      <c r="S2084" s="100"/>
      <c r="T2084" s="100"/>
      <c r="U2084" s="100"/>
      <c r="V2084" s="100"/>
      <c r="W2084" s="100"/>
      <c r="X2084" s="100"/>
      <c r="Y2084" s="100"/>
      <c r="Z2084" s="100"/>
    </row>
    <row r="2085" spans="1:26">
      <c r="A2085" s="100"/>
      <c r="B2085" s="100"/>
      <c r="C2085" s="100"/>
      <c r="D2085" s="100"/>
      <c r="E2085" s="100"/>
      <c r="F2085" s="100"/>
      <c r="G2085" s="100"/>
      <c r="H2085" s="100"/>
      <c r="I2085" s="100"/>
      <c r="J2085" s="100"/>
      <c r="K2085" s="100"/>
      <c r="L2085" s="100"/>
      <c r="M2085" s="100"/>
      <c r="N2085" s="100"/>
      <c r="O2085" s="100"/>
      <c r="P2085" s="100"/>
      <c r="Q2085" s="100"/>
      <c r="R2085" s="100"/>
      <c r="S2085" s="100"/>
      <c r="T2085" s="100"/>
      <c r="U2085" s="100"/>
      <c r="V2085" s="100"/>
      <c r="W2085" s="100"/>
      <c r="X2085" s="100"/>
      <c r="Y2085" s="100"/>
      <c r="Z2085" s="100"/>
    </row>
    <row r="2086" spans="1:26">
      <c r="A2086" s="100"/>
      <c r="B2086" s="100"/>
      <c r="C2086" s="100"/>
      <c r="D2086" s="100"/>
      <c r="E2086" s="100"/>
      <c r="F2086" s="100"/>
      <c r="G2086" s="100"/>
      <c r="H2086" s="100"/>
      <c r="I2086" s="100"/>
      <c r="J2086" s="100"/>
      <c r="K2086" s="100"/>
      <c r="L2086" s="100"/>
      <c r="M2086" s="100"/>
      <c r="N2086" s="100"/>
      <c r="O2086" s="100"/>
      <c r="P2086" s="100"/>
      <c r="Q2086" s="100"/>
      <c r="R2086" s="100"/>
      <c r="S2086" s="100"/>
      <c r="T2086" s="100"/>
      <c r="U2086" s="100"/>
      <c r="V2086" s="100"/>
      <c r="W2086" s="100"/>
      <c r="X2086" s="100"/>
      <c r="Y2086" s="100"/>
      <c r="Z2086" s="100"/>
    </row>
    <row r="2087" spans="1:26">
      <c r="A2087" s="100"/>
      <c r="B2087" s="100"/>
      <c r="C2087" s="100"/>
      <c r="D2087" s="100"/>
      <c r="E2087" s="100"/>
      <c r="F2087" s="100"/>
      <c r="G2087" s="100"/>
      <c r="H2087" s="100"/>
      <c r="I2087" s="100"/>
      <c r="J2087" s="100"/>
      <c r="K2087" s="100"/>
      <c r="L2087" s="100"/>
      <c r="M2087" s="100"/>
      <c r="N2087" s="100"/>
      <c r="O2087" s="100"/>
      <c r="P2087" s="100"/>
      <c r="Q2087" s="100"/>
      <c r="R2087" s="100"/>
      <c r="S2087" s="100"/>
      <c r="T2087" s="100"/>
      <c r="U2087" s="100"/>
      <c r="V2087" s="100"/>
      <c r="W2087" s="100"/>
      <c r="X2087" s="100"/>
      <c r="Y2087" s="100"/>
      <c r="Z2087" s="100"/>
    </row>
    <row r="2088" spans="1:26">
      <c r="A2088" s="100"/>
      <c r="B2088" s="100"/>
      <c r="C2088" s="100"/>
      <c r="D2088" s="100"/>
      <c r="E2088" s="100"/>
      <c r="F2088" s="100"/>
      <c r="G2088" s="100"/>
      <c r="H2088" s="100"/>
      <c r="I2088" s="100"/>
      <c r="J2088" s="100"/>
      <c r="K2088" s="100"/>
      <c r="L2088" s="100"/>
      <c r="M2088" s="100"/>
      <c r="N2088" s="100"/>
      <c r="O2088" s="100"/>
      <c r="P2088" s="100"/>
      <c r="Q2088" s="100"/>
      <c r="R2088" s="100"/>
      <c r="S2088" s="100"/>
      <c r="T2088" s="100"/>
      <c r="U2088" s="100"/>
      <c r="V2088" s="100"/>
      <c r="W2088" s="100"/>
      <c r="X2088" s="100"/>
      <c r="Y2088" s="100"/>
      <c r="Z2088" s="100"/>
    </row>
    <row r="2089" spans="1:26">
      <c r="A2089" s="100"/>
      <c r="B2089" s="100"/>
      <c r="C2089" s="100"/>
      <c r="D2089" s="100"/>
      <c r="E2089" s="100"/>
      <c r="F2089" s="100"/>
      <c r="G2089" s="100"/>
      <c r="H2089" s="100"/>
      <c r="I2089" s="100"/>
      <c r="J2089" s="100"/>
      <c r="K2089" s="100"/>
      <c r="L2089" s="100"/>
      <c r="M2089" s="100"/>
      <c r="N2089" s="100"/>
      <c r="O2089" s="100"/>
      <c r="P2089" s="100"/>
      <c r="Q2089" s="100"/>
      <c r="R2089" s="100"/>
      <c r="S2089" s="100"/>
      <c r="T2089" s="100"/>
      <c r="U2089" s="100"/>
      <c r="V2089" s="100"/>
      <c r="W2089" s="100"/>
      <c r="X2089" s="100"/>
      <c r="Y2089" s="100"/>
      <c r="Z2089" s="100"/>
    </row>
    <row r="2090" spans="1:26">
      <c r="A2090" s="100"/>
      <c r="B2090" s="100"/>
      <c r="C2090" s="100"/>
      <c r="D2090" s="100"/>
      <c r="E2090" s="100"/>
      <c r="F2090" s="100"/>
      <c r="G2090" s="100"/>
      <c r="H2090" s="100"/>
      <c r="I2090" s="100"/>
      <c r="J2090" s="100"/>
      <c r="K2090" s="100"/>
      <c r="L2090" s="100"/>
      <c r="M2090" s="100"/>
      <c r="N2090" s="100"/>
      <c r="O2090" s="100"/>
      <c r="P2090" s="100"/>
      <c r="Q2090" s="100"/>
      <c r="R2090" s="100"/>
      <c r="S2090" s="100"/>
      <c r="T2090" s="100"/>
      <c r="U2090" s="100"/>
      <c r="V2090" s="100"/>
      <c r="W2090" s="100"/>
      <c r="X2090" s="100"/>
      <c r="Y2090" s="100"/>
      <c r="Z2090" s="100"/>
    </row>
    <row r="2091" spans="1:26">
      <c r="A2091" s="100"/>
      <c r="B2091" s="100"/>
      <c r="C2091" s="100"/>
      <c r="D2091" s="100"/>
      <c r="E2091" s="100"/>
      <c r="F2091" s="100"/>
      <c r="G2091" s="100"/>
      <c r="H2091" s="100"/>
      <c r="I2091" s="100"/>
      <c r="J2091" s="100"/>
      <c r="K2091" s="100"/>
      <c r="L2091" s="100"/>
      <c r="M2091" s="100"/>
      <c r="N2091" s="100"/>
      <c r="O2091" s="100"/>
      <c r="P2091" s="100"/>
      <c r="Q2091" s="100"/>
      <c r="R2091" s="100"/>
      <c r="S2091" s="100"/>
      <c r="T2091" s="100"/>
      <c r="U2091" s="100"/>
      <c r="V2091" s="100"/>
      <c r="W2091" s="100"/>
      <c r="X2091" s="100"/>
      <c r="Y2091" s="100"/>
      <c r="Z2091" s="100"/>
    </row>
    <row r="2092" spans="1:26">
      <c r="A2092" s="100"/>
      <c r="B2092" s="100"/>
      <c r="C2092" s="100"/>
      <c r="D2092" s="100"/>
      <c r="E2092" s="100"/>
      <c r="F2092" s="100"/>
      <c r="G2092" s="100"/>
      <c r="H2092" s="100"/>
      <c r="I2092" s="100"/>
      <c r="J2092" s="100"/>
      <c r="K2092" s="100"/>
      <c r="L2092" s="100"/>
      <c r="M2092" s="100"/>
      <c r="N2092" s="100"/>
      <c r="O2092" s="100"/>
      <c r="P2092" s="100"/>
      <c r="Q2092" s="100"/>
      <c r="R2092" s="100"/>
      <c r="S2092" s="100"/>
      <c r="T2092" s="100"/>
      <c r="U2092" s="100"/>
      <c r="V2092" s="100"/>
      <c r="W2092" s="100"/>
      <c r="X2092" s="100"/>
      <c r="Y2092" s="100"/>
      <c r="Z2092" s="100"/>
    </row>
    <row r="2093" spans="1:26">
      <c r="A2093" s="100"/>
      <c r="B2093" s="100"/>
      <c r="C2093" s="100"/>
      <c r="D2093" s="100"/>
      <c r="E2093" s="100"/>
      <c r="F2093" s="100"/>
      <c r="G2093" s="100"/>
      <c r="H2093" s="100"/>
      <c r="I2093" s="100"/>
      <c r="J2093" s="100"/>
      <c r="K2093" s="100"/>
      <c r="L2093" s="100"/>
      <c r="M2093" s="100"/>
      <c r="N2093" s="100"/>
      <c r="O2093" s="100"/>
      <c r="P2093" s="100"/>
      <c r="Q2093" s="100"/>
      <c r="R2093" s="100"/>
      <c r="S2093" s="100"/>
      <c r="T2093" s="100"/>
      <c r="U2093" s="100"/>
      <c r="V2093" s="100"/>
      <c r="W2093" s="100"/>
      <c r="X2093" s="100"/>
      <c r="Y2093" s="100"/>
      <c r="Z2093" s="100"/>
    </row>
    <row r="2094" spans="1:26">
      <c r="A2094" s="100"/>
      <c r="B2094" s="100"/>
      <c r="C2094" s="100"/>
      <c r="D2094" s="100"/>
      <c r="E2094" s="100"/>
      <c r="F2094" s="100"/>
      <c r="G2094" s="100"/>
      <c r="H2094" s="100"/>
      <c r="I2094" s="100"/>
      <c r="J2094" s="100"/>
      <c r="K2094" s="100"/>
      <c r="L2094" s="100"/>
      <c r="M2094" s="100"/>
      <c r="N2094" s="100"/>
      <c r="O2094" s="100"/>
      <c r="P2094" s="100"/>
      <c r="Q2094" s="100"/>
      <c r="R2094" s="100"/>
      <c r="S2094" s="100"/>
      <c r="T2094" s="100"/>
      <c r="U2094" s="100"/>
      <c r="V2094" s="100"/>
      <c r="W2094" s="100"/>
      <c r="X2094" s="100"/>
      <c r="Y2094" s="100"/>
      <c r="Z2094" s="100"/>
    </row>
    <row r="2095" spans="1:26">
      <c r="A2095" s="100"/>
      <c r="B2095" s="100"/>
      <c r="C2095" s="100"/>
      <c r="D2095" s="100"/>
      <c r="E2095" s="100"/>
      <c r="F2095" s="100"/>
      <c r="G2095" s="100"/>
      <c r="H2095" s="100"/>
      <c r="I2095" s="100"/>
      <c r="J2095" s="100"/>
      <c r="K2095" s="100"/>
      <c r="L2095" s="100"/>
      <c r="M2095" s="100"/>
      <c r="N2095" s="100"/>
      <c r="O2095" s="100"/>
      <c r="P2095" s="100"/>
      <c r="Q2095" s="100"/>
      <c r="R2095" s="100"/>
      <c r="S2095" s="100"/>
      <c r="T2095" s="100"/>
      <c r="U2095" s="100"/>
      <c r="V2095" s="100"/>
      <c r="W2095" s="100"/>
      <c r="X2095" s="100"/>
      <c r="Y2095" s="100"/>
      <c r="Z2095" s="100"/>
    </row>
    <row r="2096" spans="1:26">
      <c r="A2096" s="100"/>
      <c r="B2096" s="100"/>
      <c r="C2096" s="100"/>
      <c r="D2096" s="100"/>
      <c r="E2096" s="100"/>
      <c r="F2096" s="100"/>
      <c r="G2096" s="100"/>
      <c r="H2096" s="100"/>
      <c r="I2096" s="100"/>
      <c r="J2096" s="100"/>
      <c r="K2096" s="100"/>
      <c r="L2096" s="100"/>
      <c r="M2096" s="100"/>
      <c r="N2096" s="100"/>
      <c r="O2096" s="100"/>
      <c r="P2096" s="100"/>
      <c r="Q2096" s="100"/>
      <c r="R2096" s="100"/>
      <c r="S2096" s="100"/>
      <c r="T2096" s="100"/>
      <c r="U2096" s="100"/>
      <c r="V2096" s="100"/>
      <c r="W2096" s="100"/>
      <c r="X2096" s="100"/>
      <c r="Y2096" s="100"/>
      <c r="Z2096" s="100"/>
    </row>
    <row r="2097" spans="1:26">
      <c r="A2097" s="100"/>
      <c r="B2097" s="100"/>
      <c r="C2097" s="100"/>
      <c r="D2097" s="100"/>
      <c r="E2097" s="100"/>
      <c r="F2097" s="100"/>
      <c r="G2097" s="100"/>
      <c r="H2097" s="100"/>
      <c r="I2097" s="100"/>
      <c r="J2097" s="100"/>
      <c r="K2097" s="100"/>
      <c r="L2097" s="100"/>
      <c r="M2097" s="100"/>
      <c r="N2097" s="100"/>
      <c r="O2097" s="100"/>
      <c r="P2097" s="100"/>
      <c r="Q2097" s="100"/>
      <c r="R2097" s="100"/>
      <c r="S2097" s="100"/>
      <c r="T2097" s="100"/>
      <c r="U2097" s="100"/>
      <c r="V2097" s="100"/>
      <c r="W2097" s="100"/>
      <c r="X2097" s="100"/>
      <c r="Y2097" s="100"/>
      <c r="Z2097" s="100"/>
    </row>
    <row r="2098" spans="1:26">
      <c r="A2098" s="100"/>
      <c r="B2098" s="100"/>
      <c r="C2098" s="100"/>
      <c r="D2098" s="100"/>
      <c r="E2098" s="100"/>
      <c r="F2098" s="100"/>
      <c r="G2098" s="100"/>
      <c r="H2098" s="100"/>
      <c r="I2098" s="100"/>
      <c r="J2098" s="100"/>
      <c r="K2098" s="100"/>
      <c r="L2098" s="100"/>
      <c r="M2098" s="100"/>
      <c r="N2098" s="100"/>
      <c r="O2098" s="100"/>
      <c r="P2098" s="100"/>
      <c r="Q2098" s="100"/>
      <c r="R2098" s="100"/>
      <c r="S2098" s="100"/>
      <c r="T2098" s="100"/>
      <c r="U2098" s="100"/>
      <c r="V2098" s="100"/>
      <c r="W2098" s="100"/>
      <c r="X2098" s="100"/>
      <c r="Y2098" s="100"/>
      <c r="Z2098" s="100"/>
    </row>
    <row r="2099" spans="1:26">
      <c r="A2099" s="100"/>
      <c r="B2099" s="100"/>
      <c r="C2099" s="100"/>
      <c r="D2099" s="100"/>
      <c r="E2099" s="100"/>
      <c r="F2099" s="100"/>
      <c r="G2099" s="100"/>
      <c r="H2099" s="100"/>
      <c r="I2099" s="100"/>
      <c r="J2099" s="100"/>
      <c r="K2099" s="100"/>
      <c r="L2099" s="100"/>
      <c r="M2099" s="100"/>
      <c r="N2099" s="100"/>
      <c r="O2099" s="100"/>
      <c r="P2099" s="100"/>
      <c r="Q2099" s="100"/>
      <c r="R2099" s="100"/>
      <c r="S2099" s="100"/>
      <c r="T2099" s="100"/>
      <c r="U2099" s="100"/>
      <c r="V2099" s="100"/>
      <c r="W2099" s="100"/>
      <c r="X2099" s="100"/>
      <c r="Y2099" s="100"/>
      <c r="Z2099" s="100"/>
    </row>
    <row r="2100" spans="1:26">
      <c r="A2100" s="100"/>
      <c r="B2100" s="100"/>
      <c r="C2100" s="100"/>
      <c r="D2100" s="100"/>
      <c r="E2100" s="100"/>
      <c r="F2100" s="100"/>
      <c r="G2100" s="100"/>
      <c r="H2100" s="100"/>
      <c r="I2100" s="100"/>
      <c r="J2100" s="100"/>
      <c r="K2100" s="100"/>
      <c r="L2100" s="100"/>
      <c r="M2100" s="100"/>
      <c r="N2100" s="100"/>
      <c r="O2100" s="100"/>
      <c r="P2100" s="100"/>
      <c r="Q2100" s="100"/>
      <c r="R2100" s="100"/>
      <c r="S2100" s="100"/>
      <c r="T2100" s="100"/>
      <c r="U2100" s="100"/>
      <c r="V2100" s="100"/>
      <c r="W2100" s="100"/>
      <c r="X2100" s="100"/>
      <c r="Y2100" s="100"/>
      <c r="Z2100" s="100"/>
    </row>
    <row r="2101" spans="1:26">
      <c r="A2101" s="100"/>
      <c r="B2101" s="100"/>
      <c r="C2101" s="100"/>
      <c r="D2101" s="100"/>
      <c r="E2101" s="100"/>
      <c r="F2101" s="100"/>
      <c r="G2101" s="100"/>
      <c r="H2101" s="100"/>
      <c r="I2101" s="100"/>
      <c r="J2101" s="100"/>
      <c r="K2101" s="100"/>
      <c r="L2101" s="100"/>
      <c r="M2101" s="100"/>
      <c r="N2101" s="100"/>
      <c r="O2101" s="100"/>
      <c r="P2101" s="100"/>
      <c r="Q2101" s="100"/>
      <c r="R2101" s="100"/>
      <c r="S2101" s="100"/>
      <c r="T2101" s="100"/>
      <c r="U2101" s="100"/>
      <c r="V2101" s="100"/>
      <c r="W2101" s="100"/>
      <c r="X2101" s="100"/>
      <c r="Y2101" s="100"/>
      <c r="Z2101" s="100"/>
    </row>
    <row r="2102" spans="1:26">
      <c r="A2102" s="100"/>
      <c r="B2102" s="100"/>
      <c r="C2102" s="100"/>
      <c r="D2102" s="100"/>
      <c r="E2102" s="100"/>
      <c r="F2102" s="100"/>
      <c r="G2102" s="100"/>
      <c r="H2102" s="100"/>
      <c r="I2102" s="100"/>
      <c r="J2102" s="100"/>
      <c r="K2102" s="100"/>
      <c r="L2102" s="100"/>
      <c r="M2102" s="100"/>
      <c r="N2102" s="100"/>
      <c r="O2102" s="100"/>
      <c r="P2102" s="100"/>
      <c r="Q2102" s="100"/>
      <c r="R2102" s="100"/>
      <c r="S2102" s="100"/>
      <c r="T2102" s="100"/>
      <c r="U2102" s="100"/>
      <c r="V2102" s="100"/>
      <c r="W2102" s="100"/>
      <c r="X2102" s="100"/>
      <c r="Y2102" s="100"/>
      <c r="Z2102" s="100"/>
    </row>
    <row r="2103" spans="1:26">
      <c r="A2103" s="100"/>
      <c r="B2103" s="100"/>
      <c r="C2103" s="100"/>
      <c r="D2103" s="100"/>
      <c r="E2103" s="100"/>
      <c r="F2103" s="100"/>
      <c r="G2103" s="100"/>
      <c r="H2103" s="100"/>
      <c r="I2103" s="100"/>
      <c r="J2103" s="100"/>
      <c r="K2103" s="100"/>
      <c r="L2103" s="100"/>
      <c r="M2103" s="100"/>
      <c r="N2103" s="100"/>
      <c r="O2103" s="100"/>
      <c r="P2103" s="100"/>
      <c r="Q2103" s="100"/>
      <c r="R2103" s="100"/>
      <c r="S2103" s="100"/>
      <c r="T2103" s="100"/>
      <c r="U2103" s="100"/>
      <c r="V2103" s="100"/>
      <c r="W2103" s="100"/>
      <c r="X2103" s="100"/>
      <c r="Y2103" s="100"/>
      <c r="Z2103" s="100"/>
    </row>
    <row r="2104" spans="1:26">
      <c r="A2104" s="100"/>
      <c r="B2104" s="100"/>
      <c r="C2104" s="100"/>
      <c r="D2104" s="100"/>
      <c r="E2104" s="100"/>
      <c r="F2104" s="100"/>
      <c r="G2104" s="100"/>
      <c r="H2104" s="100"/>
      <c r="I2104" s="100"/>
      <c r="J2104" s="100"/>
      <c r="K2104" s="100"/>
      <c r="L2104" s="100"/>
      <c r="M2104" s="100"/>
      <c r="N2104" s="100"/>
      <c r="O2104" s="100"/>
      <c r="P2104" s="100"/>
      <c r="Q2104" s="100"/>
      <c r="R2104" s="100"/>
      <c r="S2104" s="100"/>
      <c r="T2104" s="100"/>
      <c r="U2104" s="100"/>
      <c r="V2104" s="100"/>
      <c r="W2104" s="100"/>
      <c r="X2104" s="100"/>
      <c r="Y2104" s="100"/>
      <c r="Z2104" s="100"/>
    </row>
    <row r="2105" spans="1:26">
      <c r="A2105" s="100"/>
      <c r="B2105" s="100"/>
      <c r="C2105" s="100"/>
      <c r="D2105" s="100"/>
      <c r="E2105" s="100"/>
      <c r="F2105" s="100"/>
      <c r="G2105" s="100"/>
      <c r="H2105" s="100"/>
      <c r="I2105" s="100"/>
      <c r="J2105" s="100"/>
      <c r="K2105" s="100"/>
      <c r="L2105" s="100"/>
      <c r="M2105" s="100"/>
      <c r="N2105" s="100"/>
      <c r="O2105" s="100"/>
      <c r="P2105" s="100"/>
      <c r="Q2105" s="100"/>
      <c r="R2105" s="100"/>
      <c r="S2105" s="100"/>
      <c r="T2105" s="100"/>
      <c r="U2105" s="100"/>
      <c r="V2105" s="100"/>
      <c r="W2105" s="100"/>
      <c r="X2105" s="100"/>
      <c r="Y2105" s="100"/>
      <c r="Z2105" s="100"/>
    </row>
    <row r="2106" spans="1:26">
      <c r="A2106" s="100"/>
      <c r="B2106" s="100"/>
      <c r="C2106" s="100"/>
      <c r="D2106" s="100"/>
      <c r="E2106" s="100"/>
      <c r="F2106" s="100"/>
      <c r="G2106" s="100"/>
      <c r="H2106" s="100"/>
      <c r="I2106" s="100"/>
      <c r="J2106" s="100"/>
      <c r="K2106" s="100"/>
      <c r="L2106" s="100"/>
      <c r="M2106" s="100"/>
      <c r="N2106" s="100"/>
      <c r="O2106" s="100"/>
      <c r="P2106" s="100"/>
      <c r="Q2106" s="100"/>
      <c r="R2106" s="100"/>
      <c r="S2106" s="100"/>
      <c r="T2106" s="100"/>
      <c r="U2106" s="100"/>
      <c r="V2106" s="100"/>
      <c r="W2106" s="100"/>
      <c r="X2106" s="100"/>
      <c r="Y2106" s="100"/>
      <c r="Z2106" s="100"/>
    </row>
    <row r="2107" spans="1:26">
      <c r="A2107" s="100"/>
      <c r="B2107" s="100"/>
      <c r="C2107" s="100"/>
      <c r="D2107" s="100"/>
      <c r="E2107" s="100"/>
      <c r="F2107" s="100"/>
      <c r="G2107" s="100"/>
      <c r="H2107" s="100"/>
      <c r="I2107" s="100"/>
      <c r="J2107" s="100"/>
      <c r="K2107" s="100"/>
      <c r="L2107" s="100"/>
      <c r="M2107" s="100"/>
      <c r="N2107" s="100"/>
      <c r="O2107" s="100"/>
      <c r="P2107" s="100"/>
      <c r="Q2107" s="100"/>
      <c r="R2107" s="100"/>
      <c r="S2107" s="100"/>
      <c r="T2107" s="100"/>
      <c r="U2107" s="100"/>
      <c r="V2107" s="100"/>
      <c r="W2107" s="100"/>
      <c r="X2107" s="100"/>
      <c r="Y2107" s="100"/>
      <c r="Z2107" s="100"/>
    </row>
    <row r="2108" spans="1:26">
      <c r="A2108" s="100"/>
      <c r="B2108" s="100"/>
      <c r="C2108" s="100"/>
      <c r="D2108" s="100"/>
      <c r="E2108" s="100"/>
      <c r="F2108" s="100"/>
      <c r="G2108" s="100"/>
      <c r="H2108" s="100"/>
      <c r="I2108" s="100"/>
      <c r="J2108" s="100"/>
      <c r="K2108" s="100"/>
      <c r="L2108" s="100"/>
      <c r="M2108" s="100"/>
      <c r="N2108" s="100"/>
      <c r="O2108" s="100"/>
      <c r="P2108" s="100"/>
      <c r="Q2108" s="100"/>
      <c r="R2108" s="100"/>
      <c r="S2108" s="100"/>
      <c r="T2108" s="100"/>
      <c r="U2108" s="100"/>
      <c r="V2108" s="100"/>
      <c r="W2108" s="100"/>
      <c r="X2108" s="100"/>
      <c r="Y2108" s="100"/>
      <c r="Z2108" s="100"/>
    </row>
    <row r="2109" spans="1:26">
      <c r="A2109" s="100"/>
      <c r="B2109" s="100"/>
      <c r="C2109" s="100"/>
      <c r="D2109" s="100"/>
      <c r="E2109" s="100"/>
      <c r="F2109" s="100"/>
      <c r="G2109" s="100"/>
      <c r="H2109" s="100"/>
      <c r="I2109" s="100"/>
      <c r="J2109" s="100"/>
      <c r="K2109" s="100"/>
      <c r="L2109" s="100"/>
      <c r="M2109" s="100"/>
      <c r="N2109" s="100"/>
      <c r="O2109" s="100"/>
      <c r="P2109" s="100"/>
      <c r="Q2109" s="100"/>
      <c r="R2109" s="100"/>
      <c r="S2109" s="100"/>
      <c r="T2109" s="100"/>
      <c r="U2109" s="100"/>
      <c r="V2109" s="100"/>
      <c r="W2109" s="100"/>
      <c r="X2109" s="100"/>
      <c r="Y2109" s="100"/>
      <c r="Z2109" s="100"/>
    </row>
    <row r="2110" spans="1:26">
      <c r="A2110" s="100"/>
      <c r="B2110" s="100"/>
      <c r="C2110" s="100"/>
      <c r="D2110" s="100"/>
      <c r="E2110" s="100"/>
      <c r="F2110" s="100"/>
      <c r="G2110" s="100"/>
      <c r="H2110" s="100"/>
      <c r="I2110" s="100"/>
      <c r="J2110" s="100"/>
      <c r="K2110" s="100"/>
      <c r="L2110" s="100"/>
      <c r="M2110" s="100"/>
      <c r="N2110" s="100"/>
      <c r="O2110" s="100"/>
      <c r="P2110" s="100"/>
      <c r="Q2110" s="100"/>
      <c r="R2110" s="100"/>
      <c r="S2110" s="100"/>
      <c r="T2110" s="100"/>
      <c r="U2110" s="100"/>
      <c r="V2110" s="100"/>
      <c r="W2110" s="100"/>
      <c r="X2110" s="100"/>
      <c r="Y2110" s="100"/>
      <c r="Z2110" s="100"/>
    </row>
    <row r="2111" spans="1:26">
      <c r="A2111" s="100"/>
      <c r="B2111" s="100"/>
      <c r="C2111" s="100"/>
      <c r="D2111" s="100"/>
      <c r="E2111" s="100"/>
      <c r="F2111" s="100"/>
      <c r="G2111" s="100"/>
      <c r="H2111" s="100"/>
      <c r="I2111" s="100"/>
      <c r="J2111" s="100"/>
      <c r="K2111" s="100"/>
      <c r="L2111" s="100"/>
      <c r="M2111" s="100"/>
      <c r="N2111" s="100"/>
      <c r="O2111" s="100"/>
      <c r="P2111" s="100"/>
      <c r="Q2111" s="100"/>
      <c r="R2111" s="100"/>
      <c r="S2111" s="100"/>
      <c r="T2111" s="100"/>
      <c r="U2111" s="100"/>
      <c r="V2111" s="100"/>
      <c r="W2111" s="100"/>
      <c r="X2111" s="100"/>
      <c r="Y2111" s="100"/>
      <c r="Z2111" s="100"/>
    </row>
    <row r="2112" spans="1:26">
      <c r="A2112" s="100"/>
      <c r="B2112" s="100"/>
      <c r="C2112" s="100"/>
      <c r="D2112" s="100"/>
      <c r="E2112" s="100"/>
      <c r="F2112" s="100"/>
      <c r="G2112" s="100"/>
      <c r="H2112" s="100"/>
      <c r="I2112" s="100"/>
      <c r="J2112" s="100"/>
      <c r="K2112" s="100"/>
      <c r="L2112" s="100"/>
      <c r="M2112" s="100"/>
      <c r="N2112" s="100"/>
      <c r="O2112" s="100"/>
      <c r="P2112" s="100"/>
      <c r="Q2112" s="100"/>
      <c r="R2112" s="100"/>
      <c r="S2112" s="100"/>
      <c r="T2112" s="100"/>
      <c r="U2112" s="100"/>
      <c r="V2112" s="100"/>
      <c r="W2112" s="100"/>
      <c r="X2112" s="100"/>
      <c r="Y2112" s="100"/>
      <c r="Z2112" s="100"/>
    </row>
    <row r="2113" spans="1:26">
      <c r="A2113" s="100"/>
      <c r="B2113" s="100"/>
      <c r="C2113" s="100"/>
      <c r="D2113" s="100"/>
      <c r="E2113" s="100"/>
      <c r="F2113" s="100"/>
      <c r="G2113" s="100"/>
      <c r="H2113" s="100"/>
      <c r="I2113" s="100"/>
      <c r="J2113" s="100"/>
      <c r="K2113" s="100"/>
      <c r="L2113" s="100"/>
      <c r="M2113" s="100"/>
      <c r="N2113" s="100"/>
      <c r="O2113" s="100"/>
      <c r="P2113" s="100"/>
      <c r="Q2113" s="100"/>
      <c r="R2113" s="100"/>
      <c r="S2113" s="100"/>
      <c r="T2113" s="100"/>
      <c r="U2113" s="100"/>
      <c r="V2113" s="100"/>
      <c r="W2113" s="100"/>
      <c r="X2113" s="100"/>
      <c r="Y2113" s="100"/>
      <c r="Z2113" s="100"/>
    </row>
    <row r="2114" spans="1:26">
      <c r="A2114" s="100"/>
      <c r="B2114" s="100"/>
      <c r="C2114" s="100"/>
      <c r="D2114" s="100"/>
      <c r="E2114" s="100"/>
      <c r="F2114" s="100"/>
      <c r="G2114" s="100"/>
      <c r="H2114" s="100"/>
      <c r="I2114" s="100"/>
      <c r="J2114" s="100"/>
      <c r="K2114" s="100"/>
      <c r="L2114" s="100"/>
      <c r="M2114" s="100"/>
      <c r="N2114" s="100"/>
      <c r="O2114" s="100"/>
      <c r="P2114" s="100"/>
      <c r="Q2114" s="100"/>
      <c r="R2114" s="100"/>
      <c r="S2114" s="100"/>
      <c r="T2114" s="100"/>
      <c r="U2114" s="100"/>
      <c r="V2114" s="100"/>
      <c r="W2114" s="100"/>
      <c r="X2114" s="100"/>
      <c r="Y2114" s="100"/>
      <c r="Z2114" s="100"/>
    </row>
    <row r="2115" spans="1:26">
      <c r="A2115" s="100"/>
      <c r="B2115" s="100"/>
      <c r="C2115" s="100"/>
      <c r="D2115" s="100"/>
      <c r="E2115" s="100"/>
      <c r="F2115" s="100"/>
      <c r="G2115" s="100"/>
      <c r="H2115" s="100"/>
      <c r="I2115" s="100"/>
      <c r="J2115" s="100"/>
      <c r="K2115" s="100"/>
      <c r="L2115" s="100"/>
      <c r="M2115" s="100"/>
      <c r="N2115" s="100"/>
      <c r="O2115" s="100"/>
      <c r="P2115" s="100"/>
      <c r="Q2115" s="100"/>
      <c r="R2115" s="100"/>
      <c r="S2115" s="100"/>
      <c r="T2115" s="100"/>
      <c r="U2115" s="100"/>
      <c r="V2115" s="100"/>
      <c r="W2115" s="100"/>
      <c r="X2115" s="100"/>
      <c r="Y2115" s="100"/>
      <c r="Z2115" s="100"/>
    </row>
    <row r="2116" spans="1:26">
      <c r="A2116" s="100"/>
      <c r="B2116" s="100"/>
      <c r="C2116" s="100"/>
      <c r="D2116" s="100"/>
      <c r="E2116" s="100"/>
      <c r="F2116" s="100"/>
      <c r="G2116" s="100"/>
      <c r="H2116" s="100"/>
      <c r="I2116" s="100"/>
      <c r="J2116" s="100"/>
      <c r="K2116" s="100"/>
      <c r="L2116" s="100"/>
      <c r="M2116" s="100"/>
      <c r="N2116" s="100"/>
      <c r="O2116" s="100"/>
      <c r="P2116" s="100"/>
      <c r="Q2116" s="100"/>
      <c r="R2116" s="100"/>
      <c r="S2116" s="100"/>
      <c r="T2116" s="100"/>
      <c r="U2116" s="100"/>
      <c r="V2116" s="100"/>
      <c r="W2116" s="100"/>
      <c r="X2116" s="100"/>
      <c r="Y2116" s="100"/>
      <c r="Z2116" s="100"/>
    </row>
    <row r="2117" spans="1:26">
      <c r="A2117" s="100"/>
      <c r="B2117" s="100"/>
      <c r="C2117" s="100"/>
      <c r="D2117" s="100"/>
      <c r="E2117" s="100"/>
      <c r="F2117" s="100"/>
      <c r="G2117" s="100"/>
      <c r="H2117" s="100"/>
      <c r="I2117" s="100"/>
      <c r="J2117" s="100"/>
      <c r="K2117" s="100"/>
      <c r="L2117" s="100"/>
      <c r="M2117" s="100"/>
      <c r="N2117" s="100"/>
      <c r="O2117" s="100"/>
      <c r="P2117" s="100"/>
      <c r="Q2117" s="100"/>
      <c r="R2117" s="100"/>
      <c r="S2117" s="100"/>
      <c r="T2117" s="100"/>
      <c r="U2117" s="100"/>
      <c r="V2117" s="100"/>
      <c r="W2117" s="100"/>
      <c r="X2117" s="100"/>
      <c r="Y2117" s="100"/>
      <c r="Z2117" s="100"/>
    </row>
    <row r="2118" spans="1:26">
      <c r="A2118" s="100"/>
      <c r="B2118" s="100"/>
      <c r="C2118" s="100"/>
      <c r="D2118" s="100"/>
      <c r="E2118" s="100"/>
      <c r="F2118" s="100"/>
      <c r="G2118" s="100"/>
      <c r="H2118" s="100"/>
      <c r="I2118" s="100"/>
      <c r="J2118" s="100"/>
      <c r="K2118" s="100"/>
      <c r="L2118" s="100"/>
      <c r="M2118" s="100"/>
      <c r="N2118" s="100"/>
      <c r="O2118" s="100"/>
      <c r="P2118" s="100"/>
      <c r="Q2118" s="100"/>
      <c r="R2118" s="100"/>
      <c r="S2118" s="100"/>
      <c r="T2118" s="100"/>
      <c r="U2118" s="100"/>
      <c r="V2118" s="100"/>
      <c r="W2118" s="100"/>
      <c r="X2118" s="100"/>
      <c r="Y2118" s="100"/>
      <c r="Z2118" s="100"/>
    </row>
    <row r="2119" spans="1:26">
      <c r="A2119" s="100"/>
      <c r="B2119" s="100"/>
      <c r="C2119" s="100"/>
      <c r="D2119" s="100"/>
      <c r="E2119" s="100"/>
      <c r="F2119" s="100"/>
      <c r="G2119" s="100"/>
      <c r="H2119" s="100"/>
      <c r="I2119" s="100"/>
      <c r="J2119" s="100"/>
      <c r="K2119" s="100"/>
      <c r="L2119" s="100"/>
      <c r="M2119" s="100"/>
      <c r="N2119" s="100"/>
      <c r="O2119" s="100"/>
      <c r="P2119" s="100"/>
      <c r="Q2119" s="100"/>
      <c r="R2119" s="100"/>
      <c r="S2119" s="100"/>
      <c r="T2119" s="100"/>
      <c r="U2119" s="100"/>
      <c r="V2119" s="100"/>
      <c r="W2119" s="100"/>
      <c r="X2119" s="100"/>
      <c r="Y2119" s="100"/>
      <c r="Z2119" s="100"/>
    </row>
    <row r="2120" spans="1:26">
      <c r="A2120" s="100"/>
      <c r="B2120" s="100"/>
      <c r="C2120" s="100"/>
      <c r="D2120" s="100"/>
      <c r="E2120" s="100"/>
      <c r="F2120" s="100"/>
      <c r="G2120" s="100"/>
      <c r="H2120" s="100"/>
      <c r="I2120" s="100"/>
      <c r="J2120" s="100"/>
      <c r="K2120" s="100"/>
      <c r="L2120" s="100"/>
      <c r="M2120" s="100"/>
      <c r="N2120" s="100"/>
      <c r="O2120" s="100"/>
      <c r="P2120" s="100"/>
      <c r="Q2120" s="100"/>
      <c r="R2120" s="100"/>
      <c r="S2120" s="100"/>
      <c r="T2120" s="100"/>
      <c r="U2120" s="100"/>
      <c r="V2120" s="100"/>
      <c r="W2120" s="100"/>
      <c r="X2120" s="100"/>
      <c r="Y2120" s="100"/>
      <c r="Z2120" s="100"/>
    </row>
    <row r="2121" spans="1:26">
      <c r="A2121" s="100"/>
      <c r="B2121" s="100"/>
      <c r="C2121" s="100"/>
      <c r="D2121" s="100"/>
      <c r="E2121" s="100"/>
      <c r="F2121" s="100"/>
      <c r="G2121" s="100"/>
      <c r="H2121" s="100"/>
      <c r="I2121" s="100"/>
      <c r="J2121" s="100"/>
      <c r="K2121" s="100"/>
      <c r="L2121" s="100"/>
      <c r="M2121" s="100"/>
      <c r="N2121" s="100"/>
      <c r="O2121" s="100"/>
      <c r="P2121" s="100"/>
      <c r="Q2121" s="100"/>
      <c r="R2121" s="100"/>
      <c r="S2121" s="100"/>
      <c r="T2121" s="100"/>
      <c r="U2121" s="100"/>
      <c r="V2121" s="100"/>
      <c r="W2121" s="100"/>
      <c r="X2121" s="100"/>
      <c r="Y2121" s="100"/>
      <c r="Z2121" s="100"/>
    </row>
    <row r="2122" spans="1:26">
      <c r="A2122" s="100"/>
      <c r="B2122" s="100"/>
      <c r="C2122" s="100"/>
      <c r="D2122" s="100"/>
      <c r="E2122" s="100"/>
      <c r="F2122" s="100"/>
      <c r="G2122" s="100"/>
      <c r="H2122" s="100"/>
      <c r="I2122" s="100"/>
      <c r="J2122" s="100"/>
      <c r="K2122" s="100"/>
      <c r="L2122" s="100"/>
      <c r="M2122" s="100"/>
      <c r="N2122" s="100"/>
      <c r="O2122" s="100"/>
      <c r="P2122" s="100"/>
      <c r="Q2122" s="100"/>
      <c r="R2122" s="100"/>
      <c r="S2122" s="100"/>
      <c r="T2122" s="100"/>
      <c r="U2122" s="100"/>
      <c r="V2122" s="100"/>
      <c r="W2122" s="100"/>
      <c r="X2122" s="100"/>
      <c r="Y2122" s="100"/>
      <c r="Z2122" s="100"/>
    </row>
    <row r="2123" spans="1:26">
      <c r="A2123" s="100"/>
      <c r="B2123" s="100"/>
      <c r="C2123" s="100"/>
      <c r="D2123" s="100"/>
      <c r="E2123" s="100"/>
      <c r="F2123" s="100"/>
      <c r="G2123" s="100"/>
      <c r="H2123" s="100"/>
      <c r="I2123" s="100"/>
      <c r="J2123" s="100"/>
      <c r="K2123" s="100"/>
      <c r="L2123" s="100"/>
      <c r="M2123" s="100"/>
      <c r="N2123" s="100"/>
      <c r="O2123" s="100"/>
      <c r="P2123" s="100"/>
      <c r="Q2123" s="100"/>
      <c r="R2123" s="100"/>
      <c r="S2123" s="100"/>
      <c r="T2123" s="100"/>
      <c r="U2123" s="100"/>
      <c r="V2123" s="100"/>
      <c r="W2123" s="100"/>
      <c r="X2123" s="100"/>
      <c r="Y2123" s="100"/>
      <c r="Z2123" s="100"/>
    </row>
    <row r="2124" spans="1:26">
      <c r="A2124" s="100"/>
      <c r="B2124" s="100"/>
      <c r="C2124" s="100"/>
      <c r="D2124" s="100"/>
      <c r="E2124" s="100"/>
      <c r="F2124" s="100"/>
      <c r="G2124" s="100"/>
      <c r="H2124" s="100"/>
      <c r="I2124" s="100"/>
      <c r="J2124" s="100"/>
      <c r="K2124" s="100"/>
      <c r="L2124" s="100"/>
      <c r="M2124" s="100"/>
      <c r="N2124" s="100"/>
      <c r="O2124" s="100"/>
      <c r="P2124" s="100"/>
      <c r="Q2124" s="100"/>
      <c r="R2124" s="100"/>
      <c r="S2124" s="100"/>
      <c r="T2124" s="100"/>
      <c r="U2124" s="100"/>
      <c r="V2124" s="100"/>
      <c r="W2124" s="100"/>
      <c r="X2124" s="100"/>
      <c r="Y2124" s="100"/>
      <c r="Z2124" s="100"/>
    </row>
    <row r="2125" spans="1:26">
      <c r="A2125" s="100"/>
      <c r="B2125" s="100"/>
      <c r="C2125" s="100"/>
      <c r="D2125" s="100"/>
      <c r="E2125" s="100"/>
      <c r="F2125" s="100"/>
      <c r="G2125" s="100"/>
      <c r="H2125" s="100"/>
      <c r="I2125" s="100"/>
      <c r="J2125" s="100"/>
      <c r="K2125" s="100"/>
      <c r="L2125" s="100"/>
      <c r="M2125" s="100"/>
      <c r="N2125" s="100"/>
      <c r="O2125" s="100"/>
      <c r="P2125" s="100"/>
      <c r="Q2125" s="100"/>
      <c r="R2125" s="100"/>
      <c r="S2125" s="100"/>
      <c r="T2125" s="100"/>
      <c r="U2125" s="100"/>
      <c r="V2125" s="100"/>
      <c r="W2125" s="100"/>
      <c r="X2125" s="100"/>
      <c r="Y2125" s="100"/>
      <c r="Z2125" s="100"/>
    </row>
    <row r="2126" spans="1:26">
      <c r="A2126" s="100"/>
      <c r="B2126" s="100"/>
      <c r="C2126" s="100"/>
      <c r="D2126" s="100"/>
      <c r="E2126" s="100"/>
      <c r="F2126" s="100"/>
      <c r="G2126" s="100"/>
      <c r="H2126" s="100"/>
      <c r="I2126" s="100"/>
      <c r="J2126" s="100"/>
      <c r="K2126" s="100"/>
      <c r="L2126" s="100"/>
      <c r="M2126" s="100"/>
      <c r="N2126" s="100"/>
      <c r="O2126" s="100"/>
      <c r="P2126" s="100"/>
      <c r="Q2126" s="100"/>
      <c r="R2126" s="100"/>
      <c r="S2126" s="100"/>
      <c r="T2126" s="100"/>
      <c r="U2126" s="100"/>
      <c r="V2126" s="100"/>
      <c r="W2126" s="100"/>
      <c r="X2126" s="100"/>
      <c r="Y2126" s="100"/>
      <c r="Z2126" s="100"/>
    </row>
    <row r="2127" spans="1:26">
      <c r="A2127" s="100"/>
      <c r="B2127" s="100"/>
      <c r="C2127" s="100"/>
      <c r="D2127" s="100"/>
      <c r="E2127" s="100"/>
      <c r="F2127" s="100"/>
      <c r="G2127" s="100"/>
      <c r="H2127" s="100"/>
      <c r="I2127" s="100"/>
      <c r="J2127" s="100"/>
      <c r="K2127" s="100"/>
      <c r="L2127" s="100"/>
      <c r="M2127" s="100"/>
      <c r="N2127" s="100"/>
      <c r="O2127" s="100"/>
      <c r="P2127" s="100"/>
      <c r="Q2127" s="100"/>
      <c r="R2127" s="100"/>
      <c r="S2127" s="100"/>
      <c r="T2127" s="100"/>
      <c r="U2127" s="100"/>
      <c r="V2127" s="100"/>
      <c r="W2127" s="100"/>
      <c r="X2127" s="100"/>
      <c r="Y2127" s="100"/>
      <c r="Z2127" s="100"/>
    </row>
    <row r="2128" spans="1:26">
      <c r="A2128" s="100"/>
      <c r="B2128" s="100"/>
      <c r="C2128" s="100"/>
      <c r="D2128" s="100"/>
      <c r="E2128" s="100"/>
      <c r="F2128" s="100"/>
      <c r="G2128" s="100"/>
      <c r="H2128" s="100"/>
      <c r="I2128" s="100"/>
      <c r="J2128" s="100"/>
      <c r="K2128" s="100"/>
      <c r="L2128" s="100"/>
      <c r="M2128" s="100"/>
      <c r="N2128" s="100"/>
      <c r="O2128" s="100"/>
      <c r="P2128" s="100"/>
      <c r="Q2128" s="100"/>
      <c r="R2128" s="100"/>
      <c r="S2128" s="100"/>
      <c r="T2128" s="100"/>
      <c r="U2128" s="100"/>
      <c r="V2128" s="100"/>
      <c r="W2128" s="100"/>
      <c r="X2128" s="100"/>
      <c r="Y2128" s="100"/>
      <c r="Z2128" s="100"/>
    </row>
    <row r="2129" spans="1:26">
      <c r="A2129" s="100"/>
      <c r="B2129" s="100"/>
      <c r="C2129" s="100"/>
      <c r="D2129" s="100"/>
      <c r="E2129" s="100"/>
      <c r="F2129" s="100"/>
      <c r="G2129" s="100"/>
      <c r="H2129" s="100"/>
      <c r="I2129" s="100"/>
      <c r="J2129" s="100"/>
      <c r="K2129" s="100"/>
      <c r="L2129" s="100"/>
      <c r="M2129" s="100"/>
      <c r="N2129" s="100"/>
      <c r="O2129" s="100"/>
      <c r="P2129" s="100"/>
      <c r="Q2129" s="100"/>
      <c r="R2129" s="100"/>
      <c r="S2129" s="100"/>
      <c r="T2129" s="100"/>
      <c r="U2129" s="100"/>
      <c r="V2129" s="100"/>
      <c r="W2129" s="100"/>
      <c r="X2129" s="100"/>
      <c r="Y2129" s="100"/>
      <c r="Z2129" s="100"/>
    </row>
    <row r="2130" spans="1:26">
      <c r="A2130" s="100"/>
      <c r="B2130" s="100"/>
      <c r="C2130" s="100"/>
      <c r="D2130" s="100"/>
      <c r="E2130" s="100"/>
      <c r="F2130" s="100"/>
      <c r="G2130" s="100"/>
      <c r="H2130" s="100"/>
      <c r="I2130" s="100"/>
      <c r="J2130" s="100"/>
      <c r="K2130" s="100"/>
      <c r="L2130" s="100"/>
      <c r="M2130" s="100"/>
      <c r="N2130" s="100"/>
      <c r="O2130" s="100"/>
      <c r="P2130" s="100"/>
      <c r="Q2130" s="100"/>
      <c r="R2130" s="100"/>
      <c r="S2130" s="100"/>
      <c r="T2130" s="100"/>
      <c r="U2130" s="100"/>
      <c r="V2130" s="100"/>
      <c r="W2130" s="100"/>
      <c r="X2130" s="100"/>
      <c r="Y2130" s="100"/>
      <c r="Z2130" s="100"/>
    </row>
    <row r="2131" spans="1:26">
      <c r="A2131" s="100"/>
      <c r="B2131" s="100"/>
      <c r="C2131" s="100"/>
      <c r="D2131" s="100"/>
      <c r="E2131" s="100"/>
      <c r="F2131" s="100"/>
      <c r="G2131" s="100"/>
      <c r="H2131" s="100"/>
      <c r="I2131" s="100"/>
      <c r="J2131" s="100"/>
      <c r="K2131" s="100"/>
      <c r="L2131" s="100"/>
      <c r="M2131" s="100"/>
      <c r="N2131" s="100"/>
      <c r="O2131" s="100"/>
      <c r="P2131" s="100"/>
      <c r="Q2131" s="100"/>
      <c r="R2131" s="100"/>
      <c r="S2131" s="100"/>
      <c r="T2131" s="100"/>
      <c r="U2131" s="100"/>
      <c r="V2131" s="100"/>
      <c r="W2131" s="100"/>
      <c r="X2131" s="100"/>
      <c r="Y2131" s="100"/>
      <c r="Z2131" s="100"/>
    </row>
    <row r="2132" spans="1:26">
      <c r="A2132" s="100"/>
      <c r="B2132" s="100"/>
      <c r="C2132" s="100"/>
      <c r="D2132" s="100"/>
      <c r="E2132" s="100"/>
      <c r="F2132" s="100"/>
      <c r="G2132" s="100"/>
      <c r="H2132" s="100"/>
      <c r="I2132" s="100"/>
      <c r="J2132" s="100"/>
      <c r="K2132" s="100"/>
      <c r="L2132" s="100"/>
      <c r="M2132" s="100"/>
      <c r="N2132" s="100"/>
      <c r="O2132" s="100"/>
      <c r="P2132" s="100"/>
      <c r="Q2132" s="100"/>
      <c r="R2132" s="100"/>
      <c r="S2132" s="100"/>
      <c r="T2132" s="100"/>
      <c r="U2132" s="100"/>
      <c r="V2132" s="100"/>
      <c r="W2132" s="100"/>
      <c r="X2132" s="100"/>
      <c r="Y2132" s="100"/>
      <c r="Z2132" s="100"/>
    </row>
    <row r="2133" spans="1:26">
      <c r="A2133" s="100"/>
      <c r="B2133" s="100"/>
      <c r="C2133" s="100"/>
      <c r="D2133" s="100"/>
      <c r="E2133" s="100"/>
      <c r="F2133" s="100"/>
      <c r="G2133" s="100"/>
      <c r="H2133" s="100"/>
      <c r="I2133" s="100"/>
      <c r="J2133" s="100"/>
      <c r="K2133" s="100"/>
      <c r="L2133" s="100"/>
      <c r="M2133" s="100"/>
      <c r="N2133" s="100"/>
      <c r="O2133" s="100"/>
      <c r="P2133" s="100"/>
      <c r="Q2133" s="100"/>
      <c r="R2133" s="100"/>
      <c r="S2133" s="100"/>
      <c r="T2133" s="100"/>
      <c r="U2133" s="100"/>
      <c r="V2133" s="100"/>
      <c r="W2133" s="100"/>
      <c r="X2133" s="100"/>
      <c r="Y2133" s="100"/>
      <c r="Z2133" s="100"/>
    </row>
    <row r="2134" spans="1:26">
      <c r="A2134" s="100"/>
      <c r="B2134" s="100"/>
      <c r="C2134" s="100"/>
      <c r="D2134" s="100"/>
      <c r="E2134" s="100"/>
      <c r="F2134" s="100"/>
      <c r="G2134" s="100"/>
      <c r="H2134" s="100"/>
      <c r="I2134" s="100"/>
      <c r="J2134" s="100"/>
      <c r="K2134" s="100"/>
      <c r="L2134" s="100"/>
      <c r="M2134" s="100"/>
      <c r="N2134" s="100"/>
      <c r="O2134" s="100"/>
      <c r="P2134" s="100"/>
      <c r="Q2134" s="100"/>
      <c r="R2134" s="100"/>
      <c r="S2134" s="100"/>
      <c r="T2134" s="100"/>
      <c r="U2134" s="100"/>
      <c r="V2134" s="100"/>
      <c r="W2134" s="100"/>
      <c r="X2134" s="100"/>
      <c r="Y2134" s="100"/>
      <c r="Z2134" s="100"/>
    </row>
    <row r="2135" spans="1:26">
      <c r="A2135" s="100"/>
      <c r="B2135" s="100"/>
      <c r="C2135" s="100"/>
      <c r="D2135" s="100"/>
      <c r="E2135" s="100"/>
      <c r="F2135" s="100"/>
      <c r="G2135" s="100"/>
      <c r="H2135" s="100"/>
      <c r="I2135" s="100"/>
      <c r="J2135" s="100"/>
      <c r="K2135" s="100"/>
      <c r="L2135" s="100"/>
      <c r="M2135" s="100"/>
      <c r="N2135" s="100"/>
      <c r="O2135" s="100"/>
      <c r="P2135" s="100"/>
      <c r="Q2135" s="100"/>
      <c r="R2135" s="100"/>
      <c r="S2135" s="100"/>
      <c r="T2135" s="100"/>
      <c r="U2135" s="100"/>
      <c r="V2135" s="100"/>
      <c r="W2135" s="100"/>
      <c r="X2135" s="100"/>
      <c r="Y2135" s="100"/>
      <c r="Z2135" s="100"/>
    </row>
    <row r="2136" spans="1:26">
      <c r="A2136" s="100"/>
      <c r="B2136" s="100"/>
      <c r="C2136" s="100"/>
      <c r="D2136" s="100"/>
      <c r="E2136" s="100"/>
      <c r="F2136" s="100"/>
      <c r="G2136" s="100"/>
      <c r="H2136" s="100"/>
      <c r="I2136" s="100"/>
      <c r="J2136" s="100"/>
      <c r="K2136" s="100"/>
      <c r="L2136" s="100"/>
      <c r="M2136" s="100"/>
      <c r="N2136" s="100"/>
      <c r="O2136" s="100"/>
      <c r="P2136" s="100"/>
      <c r="Q2136" s="100"/>
      <c r="R2136" s="100"/>
      <c r="S2136" s="100"/>
      <c r="T2136" s="100"/>
      <c r="U2136" s="100"/>
      <c r="V2136" s="100"/>
      <c r="W2136" s="100"/>
      <c r="X2136" s="100"/>
      <c r="Y2136" s="100"/>
      <c r="Z2136" s="100"/>
    </row>
    <row r="2137" spans="1:26">
      <c r="A2137" s="100"/>
      <c r="B2137" s="100"/>
      <c r="C2137" s="100"/>
      <c r="D2137" s="100"/>
      <c r="E2137" s="100"/>
      <c r="F2137" s="100"/>
      <c r="G2137" s="100"/>
      <c r="H2137" s="100"/>
      <c r="I2137" s="100"/>
      <c r="J2137" s="100"/>
      <c r="K2137" s="100"/>
      <c r="L2137" s="100"/>
      <c r="M2137" s="100"/>
      <c r="N2137" s="100"/>
      <c r="O2137" s="100"/>
      <c r="P2137" s="100"/>
      <c r="Q2137" s="100"/>
      <c r="R2137" s="100"/>
      <c r="S2137" s="100"/>
      <c r="T2137" s="100"/>
      <c r="U2137" s="100"/>
      <c r="V2137" s="100"/>
      <c r="W2137" s="100"/>
      <c r="X2137" s="100"/>
      <c r="Y2137" s="100"/>
      <c r="Z2137" s="100"/>
    </row>
    <row r="2138" spans="1:26">
      <c r="A2138" s="100"/>
      <c r="B2138" s="100"/>
      <c r="C2138" s="100"/>
      <c r="D2138" s="100"/>
      <c r="E2138" s="100"/>
      <c r="F2138" s="100"/>
      <c r="G2138" s="100"/>
      <c r="H2138" s="100"/>
      <c r="I2138" s="100"/>
      <c r="J2138" s="100"/>
      <c r="K2138" s="100"/>
      <c r="L2138" s="100"/>
      <c r="M2138" s="100"/>
      <c r="N2138" s="100"/>
      <c r="O2138" s="100"/>
      <c r="P2138" s="100"/>
      <c r="Q2138" s="100"/>
      <c r="R2138" s="100"/>
      <c r="S2138" s="100"/>
      <c r="T2138" s="100"/>
      <c r="U2138" s="100"/>
      <c r="V2138" s="100"/>
      <c r="W2138" s="100"/>
      <c r="X2138" s="100"/>
      <c r="Y2138" s="100"/>
      <c r="Z2138" s="100"/>
    </row>
    <row r="2139" spans="1:26">
      <c r="A2139" s="100"/>
      <c r="B2139" s="100"/>
      <c r="C2139" s="100"/>
      <c r="D2139" s="100"/>
      <c r="E2139" s="100"/>
      <c r="F2139" s="100"/>
      <c r="G2139" s="100"/>
      <c r="H2139" s="100"/>
      <c r="I2139" s="100"/>
      <c r="J2139" s="100"/>
      <c r="K2139" s="100"/>
      <c r="L2139" s="100"/>
      <c r="M2139" s="100"/>
      <c r="N2139" s="100"/>
      <c r="O2139" s="100"/>
      <c r="P2139" s="100"/>
      <c r="Q2139" s="100"/>
      <c r="R2139" s="100"/>
      <c r="S2139" s="100"/>
      <c r="T2139" s="100"/>
      <c r="U2139" s="100"/>
      <c r="V2139" s="100"/>
      <c r="W2139" s="100"/>
      <c r="X2139" s="100"/>
      <c r="Y2139" s="100"/>
      <c r="Z2139" s="100"/>
    </row>
    <row r="2140" spans="1:26">
      <c r="A2140" s="100"/>
      <c r="B2140" s="100"/>
      <c r="C2140" s="100"/>
      <c r="D2140" s="100"/>
      <c r="E2140" s="100"/>
      <c r="F2140" s="100"/>
      <c r="G2140" s="100"/>
      <c r="H2140" s="100"/>
      <c r="I2140" s="100"/>
      <c r="J2140" s="100"/>
      <c r="K2140" s="100"/>
      <c r="L2140" s="100"/>
      <c r="M2140" s="100"/>
      <c r="N2140" s="100"/>
      <c r="O2140" s="100"/>
      <c r="P2140" s="100"/>
      <c r="Q2140" s="100"/>
      <c r="R2140" s="100"/>
      <c r="S2140" s="100"/>
      <c r="T2140" s="100"/>
      <c r="U2140" s="100"/>
      <c r="V2140" s="100"/>
      <c r="W2140" s="100"/>
      <c r="X2140" s="100"/>
      <c r="Y2140" s="100"/>
      <c r="Z2140" s="100"/>
    </row>
    <row r="2141" spans="1:26">
      <c r="A2141" s="100"/>
      <c r="B2141" s="100"/>
      <c r="C2141" s="100"/>
      <c r="D2141" s="100"/>
      <c r="E2141" s="100"/>
      <c r="F2141" s="100"/>
      <c r="G2141" s="100"/>
      <c r="H2141" s="100"/>
      <c r="I2141" s="100"/>
      <c r="J2141" s="100"/>
      <c r="K2141" s="100"/>
      <c r="L2141" s="100"/>
      <c r="M2141" s="100"/>
      <c r="N2141" s="100"/>
      <c r="O2141" s="100"/>
      <c r="P2141" s="100"/>
      <c r="Q2141" s="100"/>
      <c r="R2141" s="100"/>
      <c r="S2141" s="100"/>
      <c r="T2141" s="100"/>
      <c r="U2141" s="100"/>
      <c r="V2141" s="100"/>
      <c r="W2141" s="100"/>
      <c r="X2141" s="100"/>
      <c r="Y2141" s="100"/>
      <c r="Z2141" s="100"/>
    </row>
    <row r="2142" spans="1:26">
      <c r="A2142" s="100"/>
      <c r="B2142" s="100"/>
      <c r="C2142" s="100"/>
      <c r="D2142" s="100"/>
      <c r="E2142" s="100"/>
      <c r="F2142" s="100"/>
      <c r="G2142" s="100"/>
      <c r="H2142" s="100"/>
      <c r="I2142" s="100"/>
      <c r="J2142" s="100"/>
      <c r="K2142" s="100"/>
      <c r="L2142" s="100"/>
      <c r="M2142" s="100"/>
      <c r="N2142" s="100"/>
      <c r="O2142" s="100"/>
      <c r="P2142" s="100"/>
      <c r="Q2142" s="100"/>
      <c r="R2142" s="100"/>
      <c r="S2142" s="100"/>
      <c r="T2142" s="100"/>
      <c r="U2142" s="100"/>
      <c r="V2142" s="100"/>
      <c r="W2142" s="100"/>
      <c r="X2142" s="100"/>
      <c r="Y2142" s="100"/>
      <c r="Z2142" s="100"/>
    </row>
    <row r="2143" spans="1:26">
      <c r="A2143" s="100"/>
      <c r="B2143" s="100"/>
      <c r="C2143" s="100"/>
      <c r="D2143" s="100"/>
      <c r="E2143" s="100"/>
      <c r="F2143" s="100"/>
      <c r="G2143" s="100"/>
      <c r="H2143" s="100"/>
      <c r="I2143" s="100"/>
      <c r="J2143" s="100"/>
      <c r="K2143" s="100"/>
      <c r="L2143" s="100"/>
      <c r="M2143" s="100"/>
      <c r="N2143" s="100"/>
      <c r="O2143" s="100"/>
      <c r="P2143" s="100"/>
      <c r="Q2143" s="100"/>
      <c r="R2143" s="100"/>
      <c r="S2143" s="100"/>
      <c r="T2143" s="100"/>
      <c r="U2143" s="100"/>
      <c r="V2143" s="100"/>
      <c r="W2143" s="100"/>
      <c r="X2143" s="100"/>
      <c r="Y2143" s="100"/>
      <c r="Z2143" s="100"/>
    </row>
    <row r="2144" spans="1:26">
      <c r="A2144" s="100"/>
      <c r="B2144" s="100"/>
      <c r="C2144" s="100"/>
      <c r="D2144" s="100"/>
      <c r="E2144" s="100"/>
      <c r="F2144" s="100"/>
      <c r="G2144" s="100"/>
      <c r="H2144" s="100"/>
      <c r="I2144" s="100"/>
      <c r="J2144" s="100"/>
      <c r="K2144" s="100"/>
      <c r="L2144" s="100"/>
      <c r="M2144" s="100"/>
      <c r="N2144" s="100"/>
      <c r="O2144" s="100"/>
      <c r="P2144" s="100"/>
      <c r="Q2144" s="100"/>
      <c r="R2144" s="100"/>
      <c r="S2144" s="100"/>
      <c r="T2144" s="100"/>
      <c r="U2144" s="100"/>
      <c r="V2144" s="100"/>
      <c r="W2144" s="100"/>
      <c r="X2144" s="100"/>
      <c r="Y2144" s="100"/>
      <c r="Z2144" s="100"/>
    </row>
    <row r="2145" spans="1:26">
      <c r="A2145" s="100"/>
      <c r="B2145" s="100"/>
      <c r="C2145" s="100"/>
      <c r="D2145" s="100"/>
      <c r="E2145" s="100"/>
      <c r="F2145" s="100"/>
      <c r="G2145" s="100"/>
      <c r="H2145" s="100"/>
      <c r="I2145" s="100"/>
      <c r="J2145" s="100"/>
      <c r="K2145" s="100"/>
      <c r="L2145" s="100"/>
      <c r="M2145" s="100"/>
      <c r="N2145" s="100"/>
      <c r="O2145" s="100"/>
      <c r="P2145" s="100"/>
      <c r="Q2145" s="100"/>
      <c r="R2145" s="100"/>
      <c r="S2145" s="100"/>
      <c r="T2145" s="100"/>
      <c r="U2145" s="100"/>
      <c r="V2145" s="100"/>
      <c r="W2145" s="100"/>
      <c r="X2145" s="100"/>
      <c r="Y2145" s="100"/>
      <c r="Z2145" s="100"/>
    </row>
    <row r="2146" spans="1:26">
      <c r="A2146" s="100"/>
      <c r="B2146" s="100"/>
      <c r="C2146" s="100"/>
      <c r="D2146" s="100"/>
      <c r="E2146" s="100"/>
      <c r="F2146" s="100"/>
      <c r="G2146" s="100"/>
      <c r="H2146" s="100"/>
      <c r="I2146" s="100"/>
      <c r="J2146" s="100"/>
      <c r="K2146" s="100"/>
      <c r="L2146" s="100"/>
      <c r="M2146" s="100"/>
      <c r="N2146" s="100"/>
      <c r="O2146" s="100"/>
      <c r="P2146" s="100"/>
      <c r="Q2146" s="100"/>
      <c r="R2146" s="100"/>
      <c r="S2146" s="100"/>
      <c r="T2146" s="100"/>
      <c r="U2146" s="100"/>
      <c r="V2146" s="100"/>
      <c r="W2146" s="100"/>
      <c r="X2146" s="100"/>
      <c r="Y2146" s="100"/>
      <c r="Z2146" s="100"/>
    </row>
    <row r="2147" spans="1:26">
      <c r="A2147" s="100"/>
      <c r="B2147" s="100"/>
      <c r="C2147" s="100"/>
      <c r="D2147" s="100"/>
      <c r="E2147" s="100"/>
      <c r="F2147" s="100"/>
      <c r="G2147" s="100"/>
      <c r="H2147" s="100"/>
      <c r="I2147" s="100"/>
      <c r="J2147" s="100"/>
      <c r="K2147" s="100"/>
      <c r="L2147" s="100"/>
      <c r="M2147" s="100"/>
      <c r="N2147" s="100"/>
      <c r="O2147" s="100"/>
      <c r="P2147" s="100"/>
      <c r="Q2147" s="100"/>
      <c r="R2147" s="100"/>
      <c r="S2147" s="100"/>
      <c r="T2147" s="100"/>
      <c r="U2147" s="100"/>
      <c r="V2147" s="100"/>
      <c r="W2147" s="100"/>
      <c r="X2147" s="100"/>
      <c r="Y2147" s="100"/>
      <c r="Z2147" s="100"/>
    </row>
    <row r="2148" spans="1:26">
      <c r="A2148" s="100"/>
      <c r="B2148" s="100"/>
      <c r="C2148" s="100"/>
      <c r="D2148" s="100"/>
      <c r="E2148" s="100"/>
      <c r="F2148" s="100"/>
      <c r="G2148" s="100"/>
      <c r="H2148" s="100"/>
      <c r="I2148" s="100"/>
      <c r="J2148" s="100"/>
      <c r="K2148" s="100"/>
      <c r="L2148" s="100"/>
      <c r="M2148" s="100"/>
      <c r="N2148" s="100"/>
      <c r="O2148" s="100"/>
      <c r="P2148" s="100"/>
      <c r="Q2148" s="100"/>
      <c r="R2148" s="100"/>
      <c r="S2148" s="100"/>
      <c r="T2148" s="100"/>
      <c r="U2148" s="100"/>
      <c r="V2148" s="100"/>
      <c r="W2148" s="100"/>
      <c r="X2148" s="100"/>
      <c r="Y2148" s="100"/>
      <c r="Z2148" s="100"/>
    </row>
    <row r="2149" spans="1:26">
      <c r="A2149" s="100"/>
      <c r="B2149" s="100"/>
      <c r="C2149" s="100"/>
      <c r="D2149" s="100"/>
      <c r="E2149" s="100"/>
      <c r="F2149" s="100"/>
      <c r="G2149" s="100"/>
      <c r="H2149" s="100"/>
      <c r="I2149" s="100"/>
      <c r="J2149" s="100"/>
      <c r="K2149" s="100"/>
      <c r="L2149" s="100"/>
      <c r="M2149" s="100"/>
      <c r="N2149" s="100"/>
      <c r="O2149" s="100"/>
      <c r="P2149" s="100"/>
      <c r="Q2149" s="100"/>
      <c r="R2149" s="100"/>
      <c r="S2149" s="100"/>
      <c r="T2149" s="100"/>
      <c r="U2149" s="100"/>
      <c r="V2149" s="100"/>
      <c r="W2149" s="100"/>
      <c r="X2149" s="100"/>
      <c r="Y2149" s="100"/>
      <c r="Z2149" s="100"/>
    </row>
    <row r="2150" spans="1:26">
      <c r="A2150" s="100"/>
      <c r="B2150" s="100"/>
      <c r="C2150" s="100"/>
      <c r="D2150" s="100"/>
      <c r="E2150" s="100"/>
      <c r="F2150" s="100"/>
      <c r="G2150" s="100"/>
      <c r="H2150" s="100"/>
      <c r="I2150" s="100"/>
      <c r="J2150" s="100"/>
      <c r="K2150" s="100"/>
      <c r="L2150" s="100"/>
      <c r="M2150" s="100"/>
      <c r="N2150" s="100"/>
      <c r="O2150" s="100"/>
      <c r="P2150" s="100"/>
      <c r="Q2150" s="100"/>
      <c r="R2150" s="100"/>
      <c r="S2150" s="100"/>
      <c r="T2150" s="100"/>
      <c r="U2150" s="100"/>
      <c r="V2150" s="100"/>
      <c r="W2150" s="100"/>
      <c r="X2150" s="100"/>
      <c r="Y2150" s="100"/>
      <c r="Z2150" s="100"/>
    </row>
    <row r="2151" spans="1:26">
      <c r="A2151" s="100"/>
      <c r="B2151" s="100"/>
      <c r="C2151" s="100"/>
      <c r="D2151" s="100"/>
      <c r="E2151" s="100"/>
      <c r="F2151" s="100"/>
      <c r="G2151" s="100"/>
      <c r="H2151" s="100"/>
      <c r="I2151" s="100"/>
      <c r="J2151" s="100"/>
      <c r="K2151" s="100"/>
      <c r="L2151" s="100"/>
      <c r="M2151" s="100"/>
      <c r="N2151" s="100"/>
      <c r="O2151" s="100"/>
      <c r="P2151" s="100"/>
      <c r="Q2151" s="100"/>
      <c r="R2151" s="100"/>
      <c r="S2151" s="100"/>
      <c r="T2151" s="100"/>
      <c r="U2151" s="100"/>
      <c r="V2151" s="100"/>
      <c r="W2151" s="100"/>
      <c r="X2151" s="100"/>
      <c r="Y2151" s="100"/>
      <c r="Z2151" s="100"/>
    </row>
    <row r="2152" spans="1:26">
      <c r="A2152" s="100"/>
      <c r="B2152" s="100"/>
      <c r="C2152" s="100"/>
      <c r="D2152" s="100"/>
      <c r="E2152" s="100"/>
      <c r="F2152" s="100"/>
      <c r="G2152" s="100"/>
      <c r="H2152" s="100"/>
      <c r="I2152" s="100"/>
      <c r="J2152" s="100"/>
      <c r="K2152" s="100"/>
      <c r="L2152" s="100"/>
      <c r="M2152" s="100"/>
      <c r="N2152" s="100"/>
      <c r="O2152" s="100"/>
      <c r="P2152" s="100"/>
      <c r="Q2152" s="100"/>
      <c r="R2152" s="100"/>
      <c r="S2152" s="100"/>
      <c r="T2152" s="100"/>
      <c r="U2152" s="100"/>
      <c r="V2152" s="100"/>
      <c r="W2152" s="100"/>
      <c r="X2152" s="100"/>
      <c r="Y2152" s="100"/>
      <c r="Z2152" s="100"/>
    </row>
    <row r="2153" spans="1:26">
      <c r="A2153" s="100"/>
      <c r="B2153" s="100"/>
      <c r="C2153" s="100"/>
      <c r="D2153" s="100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</row>
    <row r="2154" spans="1:26">
      <c r="A2154" s="100"/>
      <c r="B2154" s="100"/>
      <c r="C2154" s="100"/>
      <c r="D2154" s="100"/>
      <c r="E2154" s="100"/>
      <c r="F2154" s="100"/>
      <c r="G2154" s="100"/>
      <c r="H2154" s="100"/>
      <c r="I2154" s="100"/>
      <c r="J2154" s="100"/>
      <c r="K2154" s="100"/>
      <c r="L2154" s="100"/>
      <c r="M2154" s="100"/>
      <c r="N2154" s="100"/>
      <c r="O2154" s="100"/>
      <c r="P2154" s="100"/>
      <c r="Q2154" s="100"/>
      <c r="R2154" s="100"/>
      <c r="S2154" s="100"/>
      <c r="T2154" s="100"/>
      <c r="U2154" s="100"/>
      <c r="V2154" s="100"/>
      <c r="W2154" s="100"/>
      <c r="X2154" s="100"/>
      <c r="Y2154" s="100"/>
      <c r="Z2154" s="100"/>
    </row>
    <row r="2155" spans="1:26">
      <c r="A2155" s="100"/>
      <c r="B2155" s="100"/>
      <c r="C2155" s="100"/>
      <c r="D2155" s="100"/>
      <c r="E2155" s="100"/>
      <c r="F2155" s="100"/>
      <c r="G2155" s="100"/>
      <c r="H2155" s="100"/>
      <c r="I2155" s="100"/>
      <c r="J2155" s="100"/>
      <c r="K2155" s="100"/>
      <c r="L2155" s="100"/>
      <c r="M2155" s="100"/>
      <c r="N2155" s="100"/>
      <c r="O2155" s="100"/>
      <c r="P2155" s="100"/>
      <c r="Q2155" s="100"/>
      <c r="R2155" s="100"/>
      <c r="S2155" s="100"/>
      <c r="T2155" s="100"/>
      <c r="U2155" s="100"/>
      <c r="V2155" s="100"/>
      <c r="W2155" s="100"/>
      <c r="X2155" s="100"/>
      <c r="Y2155" s="100"/>
      <c r="Z2155" s="100"/>
    </row>
    <row r="2156" spans="1:26">
      <c r="A2156" s="100"/>
      <c r="B2156" s="100"/>
      <c r="C2156" s="100"/>
      <c r="D2156" s="100"/>
      <c r="E2156" s="100"/>
      <c r="F2156" s="100"/>
      <c r="G2156" s="100"/>
      <c r="H2156" s="100"/>
      <c r="I2156" s="100"/>
      <c r="J2156" s="100"/>
      <c r="K2156" s="100"/>
      <c r="L2156" s="100"/>
      <c r="M2156" s="100"/>
      <c r="N2156" s="100"/>
      <c r="O2156" s="100"/>
      <c r="P2156" s="100"/>
      <c r="Q2156" s="100"/>
      <c r="R2156" s="100"/>
      <c r="S2156" s="100"/>
      <c r="T2156" s="100"/>
      <c r="U2156" s="100"/>
      <c r="V2156" s="100"/>
      <c r="W2156" s="100"/>
      <c r="X2156" s="100"/>
      <c r="Y2156" s="100"/>
      <c r="Z2156" s="100"/>
    </row>
    <row r="2157" spans="1:26">
      <c r="A2157" s="100"/>
      <c r="B2157" s="100"/>
      <c r="C2157" s="100"/>
      <c r="D2157" s="100"/>
      <c r="E2157" s="100"/>
      <c r="F2157" s="100"/>
      <c r="G2157" s="100"/>
      <c r="H2157" s="100"/>
      <c r="I2157" s="100"/>
      <c r="J2157" s="100"/>
      <c r="K2157" s="100"/>
      <c r="L2157" s="100"/>
      <c r="M2157" s="100"/>
      <c r="N2157" s="100"/>
      <c r="O2157" s="100"/>
      <c r="P2157" s="100"/>
      <c r="Q2157" s="100"/>
      <c r="R2157" s="100"/>
      <c r="S2157" s="100"/>
      <c r="T2157" s="100"/>
      <c r="U2157" s="100"/>
      <c r="V2157" s="100"/>
      <c r="W2157" s="100"/>
      <c r="X2157" s="100"/>
      <c r="Y2157" s="100"/>
      <c r="Z2157" s="100"/>
    </row>
    <row r="2158" spans="1:26">
      <c r="A2158" s="100"/>
      <c r="B2158" s="100"/>
      <c r="C2158" s="100"/>
      <c r="D2158" s="100"/>
      <c r="E2158" s="100"/>
      <c r="F2158" s="100"/>
      <c r="G2158" s="100"/>
      <c r="H2158" s="100"/>
      <c r="I2158" s="100"/>
      <c r="J2158" s="100"/>
      <c r="K2158" s="100"/>
      <c r="L2158" s="100"/>
      <c r="M2158" s="100"/>
      <c r="N2158" s="100"/>
      <c r="O2158" s="100"/>
      <c r="P2158" s="100"/>
      <c r="Q2158" s="100"/>
      <c r="R2158" s="100"/>
      <c r="S2158" s="100"/>
      <c r="T2158" s="100"/>
      <c r="U2158" s="100"/>
      <c r="V2158" s="100"/>
      <c r="W2158" s="100"/>
      <c r="X2158" s="100"/>
      <c r="Y2158" s="100"/>
      <c r="Z2158" s="100"/>
    </row>
    <row r="2159" spans="1:26">
      <c r="A2159" s="100"/>
      <c r="B2159" s="100"/>
      <c r="C2159" s="100"/>
      <c r="D2159" s="100"/>
      <c r="E2159" s="100"/>
      <c r="F2159" s="100"/>
      <c r="G2159" s="100"/>
      <c r="H2159" s="100"/>
      <c r="I2159" s="100"/>
      <c r="J2159" s="100"/>
      <c r="K2159" s="100"/>
      <c r="L2159" s="100"/>
      <c r="M2159" s="100"/>
      <c r="N2159" s="100"/>
      <c r="O2159" s="100"/>
      <c r="P2159" s="100"/>
      <c r="Q2159" s="100"/>
      <c r="R2159" s="100"/>
      <c r="S2159" s="100"/>
      <c r="T2159" s="100"/>
      <c r="U2159" s="100"/>
      <c r="V2159" s="100"/>
      <c r="W2159" s="100"/>
      <c r="X2159" s="100"/>
      <c r="Y2159" s="100"/>
      <c r="Z2159" s="100"/>
    </row>
    <row r="2160" spans="1:26">
      <c r="A2160" s="100"/>
      <c r="B2160" s="100"/>
      <c r="C2160" s="100"/>
      <c r="D2160" s="100"/>
      <c r="E2160" s="100"/>
      <c r="F2160" s="100"/>
      <c r="G2160" s="100"/>
      <c r="H2160" s="100"/>
      <c r="I2160" s="100"/>
      <c r="J2160" s="100"/>
      <c r="K2160" s="100"/>
      <c r="L2160" s="100"/>
      <c r="M2160" s="100"/>
      <c r="N2160" s="100"/>
      <c r="O2160" s="100"/>
      <c r="P2160" s="100"/>
      <c r="Q2160" s="100"/>
      <c r="R2160" s="100"/>
      <c r="S2160" s="100"/>
      <c r="T2160" s="100"/>
      <c r="U2160" s="100"/>
      <c r="V2160" s="100"/>
      <c r="W2160" s="100"/>
      <c r="X2160" s="100"/>
      <c r="Y2160" s="100"/>
      <c r="Z2160" s="100"/>
    </row>
    <row r="2161" spans="1:26">
      <c r="A2161" s="100"/>
      <c r="B2161" s="100"/>
      <c r="C2161" s="100"/>
      <c r="D2161" s="100"/>
      <c r="E2161" s="100"/>
      <c r="F2161" s="100"/>
      <c r="G2161" s="100"/>
      <c r="H2161" s="100"/>
      <c r="I2161" s="100"/>
      <c r="J2161" s="100"/>
      <c r="K2161" s="100"/>
      <c r="L2161" s="100"/>
      <c r="M2161" s="100"/>
      <c r="N2161" s="100"/>
      <c r="O2161" s="100"/>
      <c r="P2161" s="100"/>
      <c r="Q2161" s="100"/>
      <c r="R2161" s="100"/>
      <c r="S2161" s="100"/>
      <c r="T2161" s="100"/>
      <c r="U2161" s="100"/>
      <c r="V2161" s="100"/>
      <c r="W2161" s="100"/>
      <c r="X2161" s="100"/>
      <c r="Y2161" s="100"/>
      <c r="Z2161" s="100"/>
    </row>
    <row r="2162" spans="1:26">
      <c r="A2162" s="100"/>
      <c r="B2162" s="100"/>
      <c r="C2162" s="100"/>
      <c r="D2162" s="100"/>
      <c r="E2162" s="100"/>
      <c r="F2162" s="100"/>
      <c r="G2162" s="100"/>
      <c r="H2162" s="100"/>
      <c r="I2162" s="100"/>
      <c r="J2162" s="100"/>
      <c r="K2162" s="100"/>
      <c r="L2162" s="100"/>
      <c r="M2162" s="100"/>
      <c r="N2162" s="100"/>
      <c r="O2162" s="100"/>
      <c r="P2162" s="100"/>
      <c r="Q2162" s="100"/>
      <c r="R2162" s="100"/>
      <c r="S2162" s="100"/>
      <c r="T2162" s="100"/>
      <c r="U2162" s="100"/>
      <c r="V2162" s="100"/>
      <c r="W2162" s="100"/>
      <c r="X2162" s="100"/>
      <c r="Y2162" s="100"/>
      <c r="Z2162" s="100"/>
    </row>
    <row r="2163" spans="1:26">
      <c r="A2163" s="100"/>
      <c r="B2163" s="100"/>
      <c r="C2163" s="100"/>
      <c r="D2163" s="100"/>
      <c r="E2163" s="100"/>
      <c r="F2163" s="100"/>
      <c r="G2163" s="100"/>
      <c r="H2163" s="100"/>
      <c r="I2163" s="100"/>
      <c r="J2163" s="100"/>
      <c r="K2163" s="100"/>
      <c r="L2163" s="100"/>
      <c r="M2163" s="100"/>
      <c r="N2163" s="100"/>
      <c r="O2163" s="100"/>
      <c r="P2163" s="100"/>
      <c r="Q2163" s="100"/>
      <c r="R2163" s="100"/>
      <c r="S2163" s="100"/>
      <c r="T2163" s="100"/>
      <c r="U2163" s="100"/>
      <c r="V2163" s="100"/>
      <c r="W2163" s="100"/>
      <c r="X2163" s="100"/>
      <c r="Y2163" s="100"/>
      <c r="Z2163" s="100"/>
    </row>
    <row r="2164" spans="1:26">
      <c r="A2164" s="100"/>
      <c r="B2164" s="100"/>
      <c r="C2164" s="100"/>
      <c r="D2164" s="100"/>
      <c r="E2164" s="100"/>
      <c r="F2164" s="100"/>
      <c r="G2164" s="100"/>
      <c r="H2164" s="100"/>
      <c r="I2164" s="100"/>
      <c r="J2164" s="100"/>
      <c r="K2164" s="100"/>
      <c r="L2164" s="100"/>
      <c r="M2164" s="100"/>
      <c r="N2164" s="100"/>
      <c r="O2164" s="100"/>
      <c r="P2164" s="100"/>
      <c r="Q2164" s="100"/>
      <c r="R2164" s="100"/>
      <c r="S2164" s="100"/>
      <c r="T2164" s="100"/>
      <c r="U2164" s="100"/>
      <c r="V2164" s="100"/>
      <c r="W2164" s="100"/>
      <c r="X2164" s="100"/>
      <c r="Y2164" s="100"/>
      <c r="Z2164" s="100"/>
    </row>
    <row r="2165" spans="1:26">
      <c r="A2165" s="100"/>
      <c r="B2165" s="100"/>
      <c r="C2165" s="100"/>
      <c r="D2165" s="100"/>
      <c r="E2165" s="100"/>
      <c r="F2165" s="100"/>
      <c r="G2165" s="100"/>
      <c r="H2165" s="100"/>
      <c r="I2165" s="100"/>
      <c r="J2165" s="100"/>
      <c r="K2165" s="100"/>
      <c r="L2165" s="100"/>
      <c r="M2165" s="100"/>
      <c r="N2165" s="100"/>
      <c r="O2165" s="100"/>
      <c r="P2165" s="100"/>
      <c r="Q2165" s="100"/>
      <c r="R2165" s="100"/>
      <c r="S2165" s="100"/>
      <c r="T2165" s="100"/>
      <c r="U2165" s="100"/>
      <c r="V2165" s="100"/>
      <c r="W2165" s="100"/>
      <c r="X2165" s="100"/>
      <c r="Y2165" s="100"/>
      <c r="Z2165" s="100"/>
    </row>
    <row r="2166" spans="1:26">
      <c r="A2166" s="100"/>
      <c r="B2166" s="100"/>
      <c r="C2166" s="100"/>
      <c r="D2166" s="100"/>
      <c r="E2166" s="100"/>
      <c r="F2166" s="100"/>
      <c r="G2166" s="100"/>
      <c r="H2166" s="100"/>
      <c r="I2166" s="100"/>
      <c r="J2166" s="100"/>
      <c r="K2166" s="100"/>
      <c r="L2166" s="100"/>
      <c r="M2166" s="100"/>
      <c r="N2166" s="100"/>
      <c r="O2166" s="100"/>
      <c r="P2166" s="100"/>
      <c r="Q2166" s="100"/>
      <c r="R2166" s="100"/>
      <c r="S2166" s="100"/>
      <c r="T2166" s="100"/>
      <c r="U2166" s="100"/>
      <c r="V2166" s="100"/>
      <c r="W2166" s="100"/>
      <c r="X2166" s="100"/>
      <c r="Y2166" s="100"/>
      <c r="Z2166" s="100"/>
    </row>
    <row r="2167" spans="1:26">
      <c r="A2167" s="100"/>
      <c r="B2167" s="100"/>
      <c r="C2167" s="100"/>
      <c r="D2167" s="100"/>
      <c r="E2167" s="100"/>
      <c r="F2167" s="100"/>
      <c r="G2167" s="100"/>
      <c r="H2167" s="100"/>
      <c r="I2167" s="100"/>
      <c r="J2167" s="100"/>
      <c r="K2167" s="100"/>
      <c r="L2167" s="100"/>
      <c r="M2167" s="100"/>
      <c r="N2167" s="100"/>
      <c r="O2167" s="100"/>
      <c r="P2167" s="100"/>
      <c r="Q2167" s="100"/>
      <c r="R2167" s="100"/>
      <c r="S2167" s="100"/>
      <c r="T2167" s="100"/>
      <c r="U2167" s="100"/>
      <c r="V2167" s="100"/>
      <c r="W2167" s="100"/>
      <c r="X2167" s="100"/>
      <c r="Y2167" s="100"/>
      <c r="Z2167" s="100"/>
    </row>
    <row r="2168" spans="1:26">
      <c r="A2168" s="100"/>
      <c r="B2168" s="100"/>
      <c r="C2168" s="100"/>
      <c r="D2168" s="100"/>
      <c r="E2168" s="100"/>
      <c r="F2168" s="100"/>
      <c r="G2168" s="100"/>
      <c r="H2168" s="100"/>
      <c r="I2168" s="100"/>
      <c r="J2168" s="100"/>
      <c r="K2168" s="100"/>
      <c r="L2168" s="100"/>
      <c r="M2168" s="100"/>
      <c r="N2168" s="100"/>
      <c r="O2168" s="100"/>
      <c r="P2168" s="100"/>
      <c r="Q2168" s="100"/>
      <c r="R2168" s="100"/>
      <c r="S2168" s="100"/>
      <c r="T2168" s="100"/>
      <c r="U2168" s="100"/>
      <c r="V2168" s="100"/>
      <c r="W2168" s="100"/>
      <c r="X2168" s="100"/>
      <c r="Y2168" s="100"/>
      <c r="Z2168" s="100"/>
    </row>
    <row r="2169" spans="1:26">
      <c r="A2169" s="100"/>
      <c r="B2169" s="100"/>
      <c r="C2169" s="100"/>
      <c r="D2169" s="100"/>
      <c r="E2169" s="100"/>
      <c r="F2169" s="100"/>
      <c r="G2169" s="100"/>
      <c r="H2169" s="100"/>
      <c r="I2169" s="100"/>
      <c r="J2169" s="100"/>
      <c r="K2169" s="100"/>
      <c r="L2169" s="100"/>
      <c r="M2169" s="100"/>
      <c r="N2169" s="100"/>
      <c r="O2169" s="100"/>
      <c r="P2169" s="100"/>
      <c r="Q2169" s="100"/>
      <c r="R2169" s="100"/>
      <c r="S2169" s="100"/>
      <c r="T2169" s="100"/>
      <c r="U2169" s="100"/>
      <c r="V2169" s="100"/>
      <c r="W2169" s="100"/>
      <c r="X2169" s="100"/>
      <c r="Y2169" s="100"/>
      <c r="Z2169" s="100"/>
    </row>
    <row r="2170" spans="1:26">
      <c r="A2170" s="100"/>
      <c r="B2170" s="100"/>
      <c r="C2170" s="100"/>
      <c r="D2170" s="100"/>
      <c r="E2170" s="100"/>
      <c r="F2170" s="100"/>
      <c r="G2170" s="100"/>
      <c r="H2170" s="100"/>
      <c r="I2170" s="100"/>
      <c r="J2170" s="100"/>
      <c r="K2170" s="100"/>
      <c r="L2170" s="100"/>
      <c r="M2170" s="100"/>
      <c r="N2170" s="100"/>
      <c r="O2170" s="100"/>
      <c r="P2170" s="100"/>
      <c r="Q2170" s="100"/>
      <c r="R2170" s="100"/>
      <c r="S2170" s="100"/>
      <c r="T2170" s="100"/>
      <c r="U2170" s="100"/>
      <c r="V2170" s="100"/>
      <c r="W2170" s="100"/>
      <c r="X2170" s="100"/>
      <c r="Y2170" s="100"/>
      <c r="Z2170" s="100"/>
    </row>
    <row r="2171" spans="1:26">
      <c r="A2171" s="100"/>
      <c r="B2171" s="100"/>
      <c r="C2171" s="100"/>
      <c r="D2171" s="100"/>
      <c r="E2171" s="100"/>
      <c r="F2171" s="100"/>
      <c r="G2171" s="100"/>
      <c r="H2171" s="100"/>
      <c r="I2171" s="100"/>
      <c r="J2171" s="100"/>
      <c r="K2171" s="100"/>
      <c r="L2171" s="100"/>
      <c r="M2171" s="100"/>
      <c r="N2171" s="100"/>
      <c r="O2171" s="100"/>
      <c r="P2171" s="100"/>
      <c r="Q2171" s="100"/>
      <c r="R2171" s="100"/>
      <c r="S2171" s="100"/>
      <c r="T2171" s="100"/>
      <c r="U2171" s="100"/>
      <c r="V2171" s="100"/>
      <c r="W2171" s="100"/>
      <c r="X2171" s="100"/>
      <c r="Y2171" s="100"/>
      <c r="Z2171" s="100"/>
    </row>
    <row r="2172" spans="1:26">
      <c r="A2172" s="100"/>
      <c r="B2172" s="100"/>
      <c r="C2172" s="100"/>
      <c r="D2172" s="100"/>
      <c r="E2172" s="100"/>
      <c r="F2172" s="100"/>
      <c r="G2172" s="100"/>
      <c r="H2172" s="100"/>
      <c r="I2172" s="100"/>
      <c r="J2172" s="100"/>
      <c r="K2172" s="100"/>
      <c r="L2172" s="100"/>
      <c r="M2172" s="100"/>
      <c r="N2172" s="100"/>
      <c r="O2172" s="100"/>
      <c r="P2172" s="100"/>
      <c r="Q2172" s="100"/>
      <c r="R2172" s="100"/>
      <c r="S2172" s="100"/>
      <c r="T2172" s="100"/>
      <c r="U2172" s="100"/>
      <c r="V2172" s="100"/>
      <c r="W2172" s="100"/>
      <c r="X2172" s="100"/>
      <c r="Y2172" s="100"/>
      <c r="Z2172" s="100"/>
    </row>
    <row r="2173" spans="1:26">
      <c r="A2173" s="100"/>
      <c r="B2173" s="100"/>
      <c r="C2173" s="100"/>
      <c r="D2173" s="100"/>
      <c r="E2173" s="100"/>
      <c r="F2173" s="100"/>
      <c r="G2173" s="100"/>
      <c r="H2173" s="100"/>
      <c r="I2173" s="100"/>
      <c r="J2173" s="100"/>
      <c r="K2173" s="100"/>
      <c r="L2173" s="100"/>
      <c r="M2173" s="100"/>
      <c r="N2173" s="100"/>
      <c r="O2173" s="100"/>
      <c r="P2173" s="100"/>
      <c r="Q2173" s="100"/>
      <c r="R2173" s="100"/>
      <c r="S2173" s="100"/>
      <c r="T2173" s="100"/>
      <c r="U2173" s="100"/>
      <c r="V2173" s="100"/>
      <c r="W2173" s="100"/>
      <c r="X2173" s="100"/>
      <c r="Y2173" s="100"/>
      <c r="Z2173" s="100"/>
    </row>
    <row r="2174" spans="1:26">
      <c r="A2174" s="100"/>
      <c r="B2174" s="100"/>
      <c r="C2174" s="100"/>
      <c r="D2174" s="100"/>
      <c r="E2174" s="100"/>
      <c r="F2174" s="100"/>
      <c r="G2174" s="100"/>
      <c r="H2174" s="100"/>
      <c r="I2174" s="100"/>
      <c r="J2174" s="100"/>
      <c r="K2174" s="100"/>
      <c r="L2174" s="100"/>
      <c r="M2174" s="100"/>
      <c r="N2174" s="100"/>
      <c r="O2174" s="100"/>
      <c r="P2174" s="100"/>
      <c r="Q2174" s="100"/>
      <c r="R2174" s="100"/>
      <c r="S2174" s="100"/>
      <c r="T2174" s="100"/>
      <c r="U2174" s="100"/>
      <c r="V2174" s="100"/>
      <c r="W2174" s="100"/>
      <c r="X2174" s="100"/>
      <c r="Y2174" s="100"/>
      <c r="Z2174" s="100"/>
    </row>
    <row r="2175" spans="1:26">
      <c r="A2175" s="100"/>
      <c r="B2175" s="100"/>
      <c r="C2175" s="100"/>
      <c r="D2175" s="100"/>
      <c r="E2175" s="100"/>
      <c r="F2175" s="100"/>
      <c r="G2175" s="100"/>
      <c r="H2175" s="100"/>
      <c r="I2175" s="100"/>
      <c r="J2175" s="100"/>
      <c r="K2175" s="100"/>
      <c r="L2175" s="100"/>
      <c r="M2175" s="100"/>
      <c r="N2175" s="100"/>
      <c r="O2175" s="100"/>
      <c r="P2175" s="100"/>
      <c r="Q2175" s="100"/>
      <c r="R2175" s="100"/>
      <c r="S2175" s="100"/>
      <c r="T2175" s="100"/>
      <c r="U2175" s="100"/>
      <c r="V2175" s="100"/>
      <c r="W2175" s="100"/>
      <c r="X2175" s="100"/>
      <c r="Y2175" s="100"/>
      <c r="Z2175" s="100"/>
    </row>
    <row r="2176" spans="1:26">
      <c r="A2176" s="100"/>
      <c r="B2176" s="100"/>
      <c r="C2176" s="100"/>
      <c r="D2176" s="100"/>
      <c r="E2176" s="100"/>
      <c r="F2176" s="100"/>
      <c r="G2176" s="100"/>
      <c r="H2176" s="100"/>
      <c r="I2176" s="100"/>
      <c r="J2176" s="100"/>
      <c r="K2176" s="100"/>
      <c r="L2176" s="100"/>
      <c r="M2176" s="100"/>
      <c r="N2176" s="100"/>
      <c r="O2176" s="100"/>
      <c r="P2176" s="100"/>
      <c r="Q2176" s="100"/>
      <c r="R2176" s="100"/>
      <c r="S2176" s="100"/>
      <c r="T2176" s="100"/>
      <c r="U2176" s="100"/>
      <c r="V2176" s="100"/>
      <c r="W2176" s="100"/>
      <c r="X2176" s="100"/>
      <c r="Y2176" s="100"/>
      <c r="Z2176" s="100"/>
    </row>
    <row r="2177" spans="1:26">
      <c r="A2177" s="100"/>
      <c r="B2177" s="100"/>
      <c r="C2177" s="100"/>
      <c r="D2177" s="100"/>
      <c r="E2177" s="100"/>
      <c r="F2177" s="100"/>
      <c r="G2177" s="100"/>
      <c r="H2177" s="100"/>
      <c r="I2177" s="100"/>
      <c r="J2177" s="100"/>
      <c r="K2177" s="100"/>
      <c r="L2177" s="100"/>
      <c r="M2177" s="100"/>
      <c r="N2177" s="100"/>
      <c r="O2177" s="100"/>
      <c r="P2177" s="100"/>
      <c r="Q2177" s="100"/>
      <c r="R2177" s="100"/>
      <c r="S2177" s="100"/>
      <c r="T2177" s="100"/>
      <c r="U2177" s="100"/>
      <c r="V2177" s="100"/>
      <c r="W2177" s="100"/>
      <c r="X2177" s="100"/>
      <c r="Y2177" s="100"/>
      <c r="Z2177" s="100"/>
    </row>
    <row r="2178" spans="1:26">
      <c r="A2178" s="100"/>
      <c r="B2178" s="100"/>
      <c r="C2178" s="100"/>
      <c r="D2178" s="100"/>
      <c r="E2178" s="100"/>
      <c r="F2178" s="100"/>
      <c r="G2178" s="100"/>
      <c r="H2178" s="100"/>
      <c r="I2178" s="100"/>
      <c r="J2178" s="100"/>
      <c r="K2178" s="100"/>
      <c r="L2178" s="100"/>
      <c r="M2178" s="100"/>
      <c r="N2178" s="100"/>
      <c r="O2178" s="100"/>
      <c r="P2178" s="100"/>
      <c r="Q2178" s="100"/>
      <c r="R2178" s="100"/>
      <c r="S2178" s="100"/>
      <c r="T2178" s="100"/>
      <c r="U2178" s="100"/>
      <c r="V2178" s="100"/>
      <c r="W2178" s="100"/>
      <c r="X2178" s="100"/>
      <c r="Y2178" s="100"/>
      <c r="Z2178" s="100"/>
    </row>
    <row r="2179" spans="1:26">
      <c r="A2179" s="100"/>
      <c r="B2179" s="100"/>
      <c r="C2179" s="100"/>
      <c r="D2179" s="100"/>
      <c r="E2179" s="100"/>
      <c r="F2179" s="100"/>
      <c r="G2179" s="100"/>
      <c r="H2179" s="100"/>
      <c r="I2179" s="100"/>
      <c r="J2179" s="100"/>
      <c r="K2179" s="100"/>
      <c r="L2179" s="100"/>
      <c r="M2179" s="100"/>
      <c r="N2179" s="100"/>
      <c r="O2179" s="100"/>
      <c r="P2179" s="100"/>
      <c r="Q2179" s="100"/>
      <c r="R2179" s="100"/>
      <c r="S2179" s="100"/>
      <c r="T2179" s="100"/>
      <c r="U2179" s="100"/>
      <c r="V2179" s="100"/>
      <c r="W2179" s="100"/>
      <c r="X2179" s="100"/>
      <c r="Y2179" s="100"/>
      <c r="Z2179" s="100"/>
    </row>
    <row r="2180" spans="1:26">
      <c r="A2180" s="100"/>
      <c r="B2180" s="100"/>
      <c r="C2180" s="100"/>
      <c r="D2180" s="100"/>
      <c r="E2180" s="100"/>
      <c r="F2180" s="100"/>
      <c r="G2180" s="100"/>
      <c r="H2180" s="100"/>
      <c r="I2180" s="100"/>
      <c r="J2180" s="100"/>
      <c r="K2180" s="100"/>
      <c r="L2180" s="100"/>
      <c r="M2180" s="100"/>
      <c r="N2180" s="100"/>
      <c r="O2180" s="100"/>
      <c r="P2180" s="100"/>
      <c r="Q2180" s="100"/>
      <c r="R2180" s="100"/>
      <c r="S2180" s="100"/>
      <c r="T2180" s="100"/>
      <c r="U2180" s="100"/>
      <c r="V2180" s="100"/>
      <c r="W2180" s="100"/>
      <c r="X2180" s="100"/>
      <c r="Y2180" s="100"/>
      <c r="Z2180" s="100"/>
    </row>
    <row r="2181" spans="1:26">
      <c r="A2181" s="100"/>
      <c r="B2181" s="100"/>
      <c r="C2181" s="100"/>
      <c r="D2181" s="100"/>
      <c r="E2181" s="100"/>
      <c r="F2181" s="100"/>
      <c r="G2181" s="100"/>
      <c r="H2181" s="100"/>
      <c r="I2181" s="100"/>
      <c r="J2181" s="100"/>
      <c r="K2181" s="100"/>
      <c r="L2181" s="100"/>
      <c r="M2181" s="100"/>
      <c r="N2181" s="100"/>
      <c r="O2181" s="100"/>
      <c r="P2181" s="100"/>
      <c r="Q2181" s="100"/>
      <c r="R2181" s="100"/>
      <c r="S2181" s="100"/>
      <c r="T2181" s="100"/>
      <c r="U2181" s="100"/>
      <c r="V2181" s="100"/>
      <c r="W2181" s="100"/>
      <c r="X2181" s="100"/>
      <c r="Y2181" s="100"/>
      <c r="Z2181" s="100"/>
    </row>
    <row r="2182" spans="1:26">
      <c r="A2182" s="100"/>
      <c r="B2182" s="100"/>
      <c r="C2182" s="100"/>
      <c r="D2182" s="100"/>
      <c r="E2182" s="100"/>
      <c r="F2182" s="100"/>
      <c r="G2182" s="100"/>
      <c r="H2182" s="100"/>
      <c r="I2182" s="100"/>
      <c r="J2182" s="100"/>
      <c r="K2182" s="100"/>
      <c r="L2182" s="100"/>
      <c r="M2182" s="100"/>
      <c r="N2182" s="100"/>
      <c r="O2182" s="100"/>
      <c r="P2182" s="100"/>
      <c r="Q2182" s="100"/>
      <c r="R2182" s="100"/>
      <c r="S2182" s="100"/>
      <c r="T2182" s="100"/>
      <c r="U2182" s="100"/>
      <c r="V2182" s="100"/>
      <c r="W2182" s="100"/>
      <c r="X2182" s="100"/>
      <c r="Y2182" s="100"/>
      <c r="Z2182" s="100"/>
    </row>
    <row r="2183" spans="1:26">
      <c r="A2183" s="100"/>
      <c r="B2183" s="100"/>
      <c r="C2183" s="100"/>
      <c r="D2183" s="100"/>
      <c r="E2183" s="100"/>
      <c r="F2183" s="100"/>
      <c r="G2183" s="100"/>
      <c r="H2183" s="100"/>
      <c r="I2183" s="100"/>
      <c r="J2183" s="100"/>
      <c r="K2183" s="100"/>
      <c r="L2183" s="100"/>
      <c r="M2183" s="100"/>
      <c r="N2183" s="100"/>
      <c r="O2183" s="100"/>
      <c r="P2183" s="100"/>
      <c r="Q2183" s="100"/>
      <c r="R2183" s="100"/>
      <c r="S2183" s="100"/>
      <c r="T2183" s="100"/>
      <c r="U2183" s="100"/>
      <c r="V2183" s="100"/>
      <c r="W2183" s="100"/>
      <c r="X2183" s="100"/>
      <c r="Y2183" s="100"/>
      <c r="Z2183" s="100"/>
    </row>
    <row r="2184" spans="1:26">
      <c r="A2184" s="100"/>
      <c r="B2184" s="100"/>
      <c r="C2184" s="100"/>
      <c r="D2184" s="100"/>
      <c r="E2184" s="100"/>
      <c r="F2184" s="100"/>
      <c r="G2184" s="100"/>
      <c r="H2184" s="100"/>
      <c r="I2184" s="100"/>
      <c r="J2184" s="100"/>
      <c r="K2184" s="100"/>
      <c r="L2184" s="100"/>
      <c r="M2184" s="100"/>
      <c r="N2184" s="100"/>
      <c r="O2184" s="100"/>
      <c r="P2184" s="100"/>
      <c r="Q2184" s="100"/>
      <c r="R2184" s="100"/>
      <c r="S2184" s="100"/>
      <c r="T2184" s="100"/>
      <c r="U2184" s="100"/>
      <c r="V2184" s="100"/>
      <c r="W2184" s="100"/>
      <c r="X2184" s="100"/>
      <c r="Y2184" s="100"/>
      <c r="Z2184" s="100"/>
    </row>
    <row r="2185" spans="1:26">
      <c r="A2185" s="100"/>
      <c r="B2185" s="100"/>
      <c r="C2185" s="100"/>
      <c r="D2185" s="100"/>
      <c r="E2185" s="100"/>
      <c r="F2185" s="100"/>
      <c r="G2185" s="100"/>
      <c r="H2185" s="100"/>
      <c r="I2185" s="100"/>
      <c r="J2185" s="100"/>
      <c r="K2185" s="100"/>
      <c r="L2185" s="100"/>
      <c r="M2185" s="100"/>
      <c r="N2185" s="100"/>
      <c r="O2185" s="100"/>
      <c r="P2185" s="100"/>
      <c r="Q2185" s="100"/>
      <c r="R2185" s="100"/>
      <c r="S2185" s="100"/>
      <c r="T2185" s="100"/>
      <c r="U2185" s="100"/>
      <c r="V2185" s="100"/>
      <c r="W2185" s="100"/>
      <c r="X2185" s="100"/>
      <c r="Y2185" s="100"/>
      <c r="Z2185" s="100"/>
    </row>
    <row r="2186" spans="1:26">
      <c r="A2186" s="100"/>
      <c r="B2186" s="100"/>
      <c r="C2186" s="100"/>
      <c r="D2186" s="100"/>
      <c r="E2186" s="100"/>
      <c r="F2186" s="100"/>
      <c r="G2186" s="100"/>
      <c r="H2186" s="100"/>
      <c r="I2186" s="100"/>
      <c r="J2186" s="100"/>
      <c r="K2186" s="100"/>
      <c r="L2186" s="100"/>
      <c r="M2186" s="100"/>
      <c r="N2186" s="100"/>
      <c r="O2186" s="100"/>
      <c r="P2186" s="100"/>
      <c r="Q2186" s="100"/>
      <c r="R2186" s="100"/>
      <c r="S2186" s="100"/>
      <c r="T2186" s="100"/>
      <c r="U2186" s="100"/>
      <c r="V2186" s="100"/>
      <c r="W2186" s="100"/>
      <c r="X2186" s="100"/>
      <c r="Y2186" s="100"/>
      <c r="Z2186" s="100"/>
    </row>
    <row r="2187" spans="1:26">
      <c r="A2187" s="100"/>
      <c r="B2187" s="100"/>
      <c r="C2187" s="100"/>
      <c r="D2187" s="100"/>
      <c r="E2187" s="100"/>
      <c r="F2187" s="100"/>
      <c r="G2187" s="100"/>
      <c r="H2187" s="100"/>
      <c r="I2187" s="100"/>
      <c r="J2187" s="100"/>
      <c r="K2187" s="100"/>
      <c r="L2187" s="100"/>
      <c r="M2187" s="100"/>
      <c r="N2187" s="100"/>
      <c r="O2187" s="100"/>
      <c r="P2187" s="100"/>
      <c r="Q2187" s="100"/>
      <c r="R2187" s="100"/>
      <c r="S2187" s="100"/>
      <c r="T2187" s="100"/>
      <c r="U2187" s="100"/>
      <c r="V2187" s="100"/>
      <c r="W2187" s="100"/>
      <c r="X2187" s="100"/>
      <c r="Y2187" s="100"/>
      <c r="Z2187" s="100"/>
    </row>
    <row r="2188" spans="1:26">
      <c r="A2188" s="100"/>
      <c r="B2188" s="100"/>
      <c r="C2188" s="100"/>
      <c r="D2188" s="100"/>
      <c r="E2188" s="100"/>
      <c r="F2188" s="100"/>
      <c r="G2188" s="100"/>
      <c r="H2188" s="100"/>
      <c r="I2188" s="100"/>
      <c r="J2188" s="100"/>
      <c r="K2188" s="100"/>
      <c r="L2188" s="100"/>
      <c r="M2188" s="100"/>
      <c r="N2188" s="100"/>
      <c r="O2188" s="100"/>
      <c r="P2188" s="100"/>
      <c r="Q2188" s="100"/>
      <c r="R2188" s="100"/>
      <c r="S2188" s="100"/>
      <c r="T2188" s="100"/>
      <c r="U2188" s="100"/>
      <c r="V2188" s="100"/>
      <c r="W2188" s="100"/>
      <c r="X2188" s="100"/>
      <c r="Y2188" s="100"/>
      <c r="Z2188" s="100"/>
    </row>
    <row r="2189" spans="1:26">
      <c r="A2189" s="100"/>
      <c r="B2189" s="100"/>
      <c r="C2189" s="100"/>
      <c r="D2189" s="100"/>
      <c r="E2189" s="100"/>
      <c r="F2189" s="100"/>
      <c r="G2189" s="100"/>
      <c r="H2189" s="100"/>
      <c r="I2189" s="100"/>
      <c r="J2189" s="100"/>
      <c r="K2189" s="100"/>
      <c r="L2189" s="100"/>
      <c r="M2189" s="100"/>
      <c r="N2189" s="100"/>
      <c r="O2189" s="100"/>
      <c r="P2189" s="100"/>
      <c r="Q2189" s="100"/>
      <c r="R2189" s="100"/>
      <c r="S2189" s="100"/>
      <c r="T2189" s="100"/>
      <c r="U2189" s="100"/>
      <c r="V2189" s="100"/>
      <c r="W2189" s="100"/>
      <c r="X2189" s="100"/>
      <c r="Y2189" s="100"/>
      <c r="Z2189" s="100"/>
    </row>
    <row r="2190" spans="1:26">
      <c r="A2190" s="100"/>
      <c r="B2190" s="100"/>
      <c r="C2190" s="100"/>
      <c r="D2190" s="100"/>
      <c r="E2190" s="100"/>
      <c r="F2190" s="100"/>
      <c r="G2190" s="100"/>
      <c r="H2190" s="100"/>
      <c r="I2190" s="100"/>
      <c r="J2190" s="100"/>
      <c r="K2190" s="100"/>
      <c r="L2190" s="100"/>
      <c r="M2190" s="100"/>
      <c r="N2190" s="100"/>
      <c r="O2190" s="100"/>
      <c r="P2190" s="100"/>
      <c r="Q2190" s="100"/>
      <c r="R2190" s="100"/>
      <c r="S2190" s="100"/>
      <c r="T2190" s="100"/>
      <c r="U2190" s="100"/>
      <c r="V2190" s="100"/>
      <c r="W2190" s="100"/>
      <c r="X2190" s="100"/>
      <c r="Y2190" s="100"/>
      <c r="Z2190" s="100"/>
    </row>
    <row r="2191" spans="1:26">
      <c r="A2191" s="100"/>
      <c r="B2191" s="100"/>
      <c r="C2191" s="100"/>
      <c r="D2191" s="100"/>
      <c r="E2191" s="100"/>
      <c r="F2191" s="100"/>
      <c r="G2191" s="100"/>
      <c r="H2191" s="100"/>
      <c r="I2191" s="100"/>
      <c r="J2191" s="100"/>
      <c r="K2191" s="100"/>
      <c r="L2191" s="100"/>
      <c r="M2191" s="100"/>
      <c r="N2191" s="100"/>
      <c r="O2191" s="100"/>
      <c r="P2191" s="100"/>
      <c r="Q2191" s="100"/>
      <c r="R2191" s="100"/>
      <c r="S2191" s="100"/>
      <c r="T2191" s="100"/>
      <c r="U2191" s="100"/>
      <c r="V2191" s="100"/>
      <c r="W2191" s="100"/>
      <c r="X2191" s="100"/>
      <c r="Y2191" s="100"/>
      <c r="Z2191" s="100"/>
    </row>
    <row r="2192" spans="1:26">
      <c r="A2192" s="100"/>
      <c r="B2192" s="100"/>
      <c r="C2192" s="100"/>
      <c r="D2192" s="100"/>
      <c r="E2192" s="100"/>
      <c r="F2192" s="100"/>
      <c r="G2192" s="100"/>
      <c r="H2192" s="100"/>
      <c r="I2192" s="100"/>
      <c r="J2192" s="100"/>
      <c r="K2192" s="100"/>
      <c r="L2192" s="100"/>
      <c r="M2192" s="100"/>
      <c r="N2192" s="100"/>
      <c r="O2192" s="100"/>
      <c r="P2192" s="100"/>
      <c r="Q2192" s="100"/>
      <c r="R2192" s="100"/>
      <c r="S2192" s="100"/>
      <c r="T2192" s="100"/>
      <c r="U2192" s="100"/>
      <c r="V2192" s="100"/>
      <c r="W2192" s="100"/>
      <c r="X2192" s="100"/>
      <c r="Y2192" s="100"/>
      <c r="Z2192" s="100"/>
    </row>
    <row r="2193" spans="1:26">
      <c r="A2193" s="100"/>
      <c r="B2193" s="100"/>
      <c r="C2193" s="100"/>
      <c r="D2193" s="100"/>
      <c r="E2193" s="100"/>
      <c r="F2193" s="100"/>
      <c r="G2193" s="100"/>
      <c r="H2193" s="100"/>
      <c r="I2193" s="100"/>
      <c r="J2193" s="100"/>
      <c r="K2193" s="100"/>
      <c r="L2193" s="100"/>
      <c r="M2193" s="100"/>
      <c r="N2193" s="100"/>
      <c r="O2193" s="100"/>
      <c r="P2193" s="100"/>
      <c r="Q2193" s="100"/>
      <c r="R2193" s="100"/>
      <c r="S2193" s="100"/>
      <c r="T2193" s="100"/>
      <c r="U2193" s="100"/>
      <c r="V2193" s="100"/>
      <c r="W2193" s="100"/>
      <c r="X2193" s="100"/>
      <c r="Y2193" s="100"/>
      <c r="Z2193" s="100"/>
    </row>
    <row r="2194" spans="1:26">
      <c r="A2194" s="100"/>
      <c r="B2194" s="100"/>
      <c r="C2194" s="100"/>
      <c r="D2194" s="100"/>
      <c r="E2194" s="100"/>
      <c r="F2194" s="100"/>
      <c r="G2194" s="100"/>
      <c r="H2194" s="100"/>
      <c r="I2194" s="100"/>
      <c r="J2194" s="100"/>
      <c r="K2194" s="100"/>
      <c r="L2194" s="100"/>
      <c r="M2194" s="100"/>
      <c r="N2194" s="100"/>
      <c r="O2194" s="100"/>
      <c r="P2194" s="100"/>
      <c r="Q2194" s="100"/>
      <c r="R2194" s="100"/>
      <c r="S2194" s="100"/>
      <c r="T2194" s="100"/>
      <c r="U2194" s="100"/>
      <c r="V2194" s="100"/>
      <c r="W2194" s="100"/>
      <c r="X2194" s="100"/>
      <c r="Y2194" s="100"/>
      <c r="Z2194" s="100"/>
    </row>
    <row r="2195" spans="1:26">
      <c r="A2195" s="100"/>
      <c r="B2195" s="100"/>
      <c r="C2195" s="100"/>
      <c r="D2195" s="100"/>
      <c r="E2195" s="100"/>
      <c r="F2195" s="100"/>
      <c r="G2195" s="100"/>
      <c r="H2195" s="100"/>
      <c r="I2195" s="100"/>
      <c r="J2195" s="100"/>
      <c r="K2195" s="100"/>
      <c r="L2195" s="100"/>
      <c r="M2195" s="100"/>
      <c r="N2195" s="100"/>
      <c r="O2195" s="100"/>
      <c r="P2195" s="100"/>
      <c r="Q2195" s="100"/>
      <c r="R2195" s="100"/>
      <c r="S2195" s="100"/>
      <c r="T2195" s="100"/>
      <c r="U2195" s="100"/>
      <c r="V2195" s="100"/>
      <c r="W2195" s="100"/>
      <c r="X2195" s="100"/>
      <c r="Y2195" s="100"/>
      <c r="Z2195" s="100"/>
    </row>
    <row r="2196" spans="1:26">
      <c r="A2196" s="100"/>
      <c r="B2196" s="100"/>
      <c r="C2196" s="100"/>
      <c r="D2196" s="100"/>
      <c r="E2196" s="100"/>
      <c r="F2196" s="100"/>
      <c r="G2196" s="100"/>
      <c r="H2196" s="100"/>
      <c r="I2196" s="100"/>
      <c r="J2196" s="100"/>
      <c r="K2196" s="100"/>
      <c r="L2196" s="100"/>
      <c r="M2196" s="100"/>
      <c r="N2196" s="100"/>
      <c r="O2196" s="100"/>
      <c r="P2196" s="100"/>
      <c r="Q2196" s="100"/>
      <c r="R2196" s="100"/>
      <c r="S2196" s="100"/>
      <c r="T2196" s="100"/>
      <c r="U2196" s="100"/>
      <c r="V2196" s="100"/>
      <c r="W2196" s="100"/>
      <c r="X2196" s="100"/>
      <c r="Y2196" s="100"/>
      <c r="Z2196" s="100"/>
    </row>
    <row r="2197" spans="1:26">
      <c r="A2197" s="100"/>
      <c r="B2197" s="100"/>
      <c r="C2197" s="100"/>
      <c r="D2197" s="100"/>
      <c r="E2197" s="100"/>
      <c r="F2197" s="100"/>
      <c r="G2197" s="100"/>
      <c r="H2197" s="100"/>
      <c r="I2197" s="100"/>
      <c r="J2197" s="100"/>
      <c r="K2197" s="100"/>
      <c r="L2197" s="100"/>
      <c r="M2197" s="100"/>
      <c r="N2197" s="100"/>
      <c r="O2197" s="100"/>
      <c r="P2197" s="100"/>
      <c r="Q2197" s="100"/>
      <c r="R2197" s="100"/>
      <c r="S2197" s="100"/>
      <c r="T2197" s="100"/>
      <c r="U2197" s="100"/>
      <c r="V2197" s="100"/>
      <c r="W2197" s="100"/>
      <c r="X2197" s="100"/>
      <c r="Y2197" s="100"/>
      <c r="Z2197" s="100"/>
    </row>
    <row r="2198" spans="1:26">
      <c r="A2198" s="100"/>
      <c r="B2198" s="100"/>
      <c r="C2198" s="100"/>
      <c r="D2198" s="100"/>
      <c r="E2198" s="100"/>
      <c r="F2198" s="100"/>
      <c r="G2198" s="100"/>
      <c r="H2198" s="100"/>
      <c r="I2198" s="100"/>
      <c r="J2198" s="100"/>
      <c r="K2198" s="100"/>
      <c r="L2198" s="100"/>
      <c r="M2198" s="100"/>
      <c r="N2198" s="100"/>
      <c r="O2198" s="100"/>
      <c r="P2198" s="100"/>
      <c r="Q2198" s="100"/>
      <c r="R2198" s="100"/>
      <c r="S2198" s="100"/>
      <c r="T2198" s="100"/>
      <c r="U2198" s="100"/>
      <c r="V2198" s="100"/>
      <c r="W2198" s="100"/>
      <c r="X2198" s="100"/>
      <c r="Y2198" s="100"/>
      <c r="Z2198" s="100"/>
    </row>
    <row r="2199" spans="1:26">
      <c r="A2199" s="100"/>
      <c r="B2199" s="100"/>
      <c r="C2199" s="100"/>
      <c r="D2199" s="100"/>
      <c r="E2199" s="100"/>
      <c r="F2199" s="100"/>
      <c r="G2199" s="100"/>
      <c r="H2199" s="100"/>
      <c r="I2199" s="100"/>
      <c r="J2199" s="100"/>
      <c r="K2199" s="100"/>
      <c r="L2199" s="100"/>
      <c r="M2199" s="100"/>
      <c r="N2199" s="100"/>
      <c r="O2199" s="100"/>
      <c r="P2199" s="100"/>
      <c r="Q2199" s="100"/>
      <c r="R2199" s="100"/>
      <c r="S2199" s="100"/>
      <c r="T2199" s="100"/>
      <c r="U2199" s="100"/>
      <c r="V2199" s="100"/>
      <c r="W2199" s="100"/>
      <c r="X2199" s="100"/>
      <c r="Y2199" s="100"/>
      <c r="Z2199" s="100"/>
    </row>
    <row r="2200" spans="1:26">
      <c r="A2200" s="100"/>
      <c r="B2200" s="100"/>
      <c r="C2200" s="100"/>
      <c r="D2200" s="100"/>
      <c r="E2200" s="100"/>
      <c r="F2200" s="100"/>
      <c r="G2200" s="100"/>
      <c r="H2200" s="100"/>
      <c r="I2200" s="100"/>
      <c r="J2200" s="100"/>
      <c r="K2200" s="100"/>
      <c r="L2200" s="100"/>
      <c r="M2200" s="100"/>
      <c r="N2200" s="100"/>
      <c r="O2200" s="100"/>
      <c r="P2200" s="100"/>
      <c r="Q2200" s="100"/>
      <c r="R2200" s="100"/>
      <c r="S2200" s="100"/>
      <c r="T2200" s="100"/>
      <c r="U2200" s="100"/>
      <c r="V2200" s="100"/>
      <c r="W2200" s="100"/>
      <c r="X2200" s="100"/>
      <c r="Y2200" s="100"/>
      <c r="Z2200" s="100"/>
    </row>
    <row r="2201" spans="1:26">
      <c r="A2201" s="100"/>
      <c r="B2201" s="100"/>
      <c r="C2201" s="100"/>
      <c r="D2201" s="100"/>
      <c r="E2201" s="100"/>
      <c r="F2201" s="100"/>
      <c r="G2201" s="100"/>
      <c r="H2201" s="100"/>
      <c r="I2201" s="100"/>
      <c r="J2201" s="100"/>
      <c r="K2201" s="100"/>
      <c r="L2201" s="100"/>
      <c r="M2201" s="100"/>
      <c r="N2201" s="100"/>
      <c r="O2201" s="100"/>
      <c r="P2201" s="100"/>
      <c r="Q2201" s="100"/>
      <c r="R2201" s="100"/>
      <c r="S2201" s="100"/>
      <c r="T2201" s="100"/>
      <c r="U2201" s="100"/>
      <c r="V2201" s="100"/>
      <c r="W2201" s="100"/>
      <c r="X2201" s="100"/>
      <c r="Y2201" s="100"/>
      <c r="Z2201" s="100"/>
    </row>
    <row r="2202" spans="1:26">
      <c r="A2202" s="100"/>
      <c r="B2202" s="100"/>
      <c r="C2202" s="100"/>
      <c r="D2202" s="100"/>
      <c r="E2202" s="100"/>
      <c r="F2202" s="100"/>
      <c r="G2202" s="100"/>
      <c r="H2202" s="100"/>
      <c r="I2202" s="100"/>
      <c r="J2202" s="100"/>
      <c r="K2202" s="100"/>
      <c r="L2202" s="100"/>
      <c r="M2202" s="100"/>
      <c r="N2202" s="100"/>
      <c r="O2202" s="100"/>
      <c r="P2202" s="100"/>
      <c r="Q2202" s="100"/>
      <c r="R2202" s="100"/>
      <c r="S2202" s="100"/>
      <c r="T2202" s="100"/>
      <c r="U2202" s="100"/>
      <c r="V2202" s="100"/>
      <c r="W2202" s="100"/>
      <c r="X2202" s="100"/>
      <c r="Y2202" s="100"/>
      <c r="Z2202" s="100"/>
    </row>
    <row r="2203" spans="1:26">
      <c r="A2203" s="100"/>
      <c r="B2203" s="100"/>
      <c r="C2203" s="100"/>
      <c r="D2203" s="100"/>
      <c r="E2203" s="100"/>
      <c r="F2203" s="100"/>
      <c r="G2203" s="100"/>
      <c r="H2203" s="100"/>
      <c r="I2203" s="100"/>
      <c r="J2203" s="100"/>
      <c r="K2203" s="100"/>
      <c r="L2203" s="100"/>
      <c r="M2203" s="100"/>
      <c r="N2203" s="100"/>
      <c r="O2203" s="100"/>
      <c r="P2203" s="100"/>
      <c r="Q2203" s="100"/>
      <c r="R2203" s="100"/>
      <c r="S2203" s="100"/>
      <c r="T2203" s="100"/>
      <c r="U2203" s="100"/>
      <c r="V2203" s="100"/>
      <c r="W2203" s="100"/>
      <c r="X2203" s="100"/>
      <c r="Y2203" s="100"/>
      <c r="Z2203" s="100"/>
    </row>
    <row r="2204" spans="1:26">
      <c r="A2204" s="100"/>
      <c r="B2204" s="100"/>
      <c r="C2204" s="100"/>
      <c r="D2204" s="100"/>
      <c r="E2204" s="100"/>
      <c r="F2204" s="100"/>
      <c r="G2204" s="100"/>
      <c r="H2204" s="100"/>
      <c r="I2204" s="100"/>
      <c r="J2204" s="100"/>
      <c r="K2204" s="100"/>
      <c r="L2204" s="100"/>
      <c r="M2204" s="100"/>
      <c r="N2204" s="100"/>
      <c r="O2204" s="100"/>
      <c r="P2204" s="100"/>
      <c r="Q2204" s="100"/>
      <c r="R2204" s="100"/>
      <c r="S2204" s="100"/>
      <c r="T2204" s="100"/>
      <c r="U2204" s="100"/>
      <c r="V2204" s="100"/>
      <c r="W2204" s="100"/>
      <c r="X2204" s="100"/>
      <c r="Y2204" s="100"/>
      <c r="Z2204" s="100"/>
    </row>
    <row r="2205" spans="1:26">
      <c r="A2205" s="100"/>
      <c r="B2205" s="100"/>
      <c r="C2205" s="100"/>
      <c r="D2205" s="100"/>
      <c r="E2205" s="100"/>
      <c r="F2205" s="100"/>
      <c r="G2205" s="100"/>
      <c r="H2205" s="100"/>
      <c r="I2205" s="100"/>
      <c r="J2205" s="100"/>
      <c r="K2205" s="100"/>
      <c r="L2205" s="100"/>
      <c r="M2205" s="100"/>
      <c r="N2205" s="100"/>
      <c r="O2205" s="100"/>
      <c r="P2205" s="100"/>
      <c r="Q2205" s="100"/>
      <c r="R2205" s="100"/>
      <c r="S2205" s="100"/>
      <c r="T2205" s="100"/>
      <c r="U2205" s="100"/>
      <c r="V2205" s="100"/>
      <c r="W2205" s="100"/>
      <c r="X2205" s="100"/>
      <c r="Y2205" s="100"/>
      <c r="Z2205" s="100"/>
    </row>
    <row r="2206" spans="1:26">
      <c r="A2206" s="100"/>
      <c r="B2206" s="100"/>
      <c r="C2206" s="100"/>
      <c r="D2206" s="100"/>
      <c r="E2206" s="100"/>
      <c r="F2206" s="100"/>
      <c r="G2206" s="100"/>
      <c r="H2206" s="100"/>
      <c r="I2206" s="100"/>
      <c r="J2206" s="100"/>
      <c r="K2206" s="100"/>
      <c r="L2206" s="100"/>
      <c r="M2206" s="100"/>
      <c r="N2206" s="100"/>
      <c r="O2206" s="100"/>
      <c r="P2206" s="100"/>
      <c r="Q2206" s="100"/>
      <c r="R2206" s="100"/>
      <c r="S2206" s="100"/>
      <c r="T2206" s="100"/>
      <c r="U2206" s="100"/>
      <c r="V2206" s="100"/>
      <c r="W2206" s="100"/>
      <c r="X2206" s="100"/>
      <c r="Y2206" s="100"/>
      <c r="Z2206" s="100"/>
    </row>
    <row r="2207" spans="1:26">
      <c r="A2207" s="100"/>
      <c r="B2207" s="100"/>
      <c r="C2207" s="100"/>
      <c r="D2207" s="100"/>
      <c r="E2207" s="100"/>
      <c r="F2207" s="100"/>
      <c r="G2207" s="100"/>
      <c r="H2207" s="100"/>
      <c r="I2207" s="100"/>
      <c r="J2207" s="100"/>
      <c r="K2207" s="100"/>
      <c r="L2207" s="100"/>
      <c r="M2207" s="100"/>
      <c r="N2207" s="100"/>
      <c r="O2207" s="100"/>
      <c r="P2207" s="100"/>
      <c r="Q2207" s="100"/>
      <c r="R2207" s="100"/>
      <c r="S2207" s="100"/>
      <c r="T2207" s="100"/>
      <c r="U2207" s="100"/>
      <c r="V2207" s="100"/>
      <c r="W2207" s="100"/>
      <c r="X2207" s="100"/>
      <c r="Y2207" s="100"/>
      <c r="Z2207" s="100"/>
    </row>
    <row r="2208" spans="1:26">
      <c r="A2208" s="100"/>
      <c r="B2208" s="100"/>
      <c r="C2208" s="100"/>
      <c r="D2208" s="100"/>
      <c r="E2208" s="100"/>
      <c r="F2208" s="100"/>
      <c r="G2208" s="100"/>
      <c r="H2208" s="100"/>
      <c r="I2208" s="100"/>
      <c r="J2208" s="100"/>
      <c r="K2208" s="100"/>
      <c r="L2208" s="100"/>
      <c r="M2208" s="100"/>
      <c r="N2208" s="100"/>
      <c r="O2208" s="100"/>
      <c r="P2208" s="100"/>
      <c r="Q2208" s="100"/>
      <c r="R2208" s="100"/>
      <c r="S2208" s="100"/>
      <c r="T2208" s="100"/>
      <c r="U2208" s="100"/>
      <c r="V2208" s="100"/>
      <c r="W2208" s="100"/>
      <c r="X2208" s="100"/>
      <c r="Y2208" s="100"/>
      <c r="Z2208" s="100"/>
    </row>
    <row r="2209" spans="1:26">
      <c r="A2209" s="100"/>
      <c r="B2209" s="100"/>
      <c r="C2209" s="100"/>
      <c r="D2209" s="100"/>
      <c r="E2209" s="100"/>
      <c r="F2209" s="100"/>
      <c r="G2209" s="100"/>
      <c r="H2209" s="100"/>
      <c r="I2209" s="100"/>
      <c r="J2209" s="100"/>
      <c r="K2209" s="100"/>
      <c r="L2209" s="100"/>
      <c r="M2209" s="100"/>
      <c r="N2209" s="100"/>
      <c r="O2209" s="100"/>
      <c r="P2209" s="100"/>
      <c r="Q2209" s="100"/>
      <c r="R2209" s="100"/>
      <c r="S2209" s="100"/>
      <c r="T2209" s="100"/>
      <c r="U2209" s="100"/>
      <c r="V2209" s="100"/>
      <c r="W2209" s="100"/>
      <c r="X2209" s="100"/>
      <c r="Y2209" s="100"/>
      <c r="Z2209" s="100"/>
    </row>
    <row r="2210" spans="1:26">
      <c r="A2210" s="100"/>
      <c r="B2210" s="100"/>
      <c r="C2210" s="100"/>
      <c r="D2210" s="100"/>
      <c r="E2210" s="100"/>
      <c r="F2210" s="100"/>
      <c r="G2210" s="100"/>
      <c r="H2210" s="100"/>
      <c r="I2210" s="100"/>
      <c r="J2210" s="100"/>
      <c r="K2210" s="100"/>
      <c r="L2210" s="100"/>
      <c r="M2210" s="100"/>
      <c r="N2210" s="100"/>
      <c r="O2210" s="100"/>
      <c r="P2210" s="100"/>
      <c r="Q2210" s="100"/>
      <c r="R2210" s="100"/>
      <c r="S2210" s="100"/>
      <c r="T2210" s="100"/>
      <c r="U2210" s="100"/>
      <c r="V2210" s="100"/>
      <c r="W2210" s="100"/>
      <c r="X2210" s="100"/>
      <c r="Y2210" s="100"/>
      <c r="Z2210" s="100"/>
    </row>
    <row r="2211" spans="1:26">
      <c r="A2211" s="100"/>
      <c r="B2211" s="100"/>
      <c r="C2211" s="100"/>
      <c r="D2211" s="100"/>
      <c r="E2211" s="100"/>
      <c r="F2211" s="100"/>
      <c r="G2211" s="100"/>
      <c r="H2211" s="100"/>
      <c r="I2211" s="100"/>
      <c r="J2211" s="100"/>
      <c r="K2211" s="100"/>
      <c r="L2211" s="100"/>
      <c r="M2211" s="100"/>
      <c r="N2211" s="100"/>
      <c r="O2211" s="100"/>
      <c r="P2211" s="100"/>
      <c r="Q2211" s="100"/>
      <c r="R2211" s="100"/>
      <c r="S2211" s="100"/>
      <c r="T2211" s="100"/>
      <c r="U2211" s="100"/>
      <c r="V2211" s="100"/>
      <c r="W2211" s="100"/>
      <c r="X2211" s="100"/>
      <c r="Y2211" s="100"/>
      <c r="Z2211" s="100"/>
    </row>
    <row r="2212" spans="1:26">
      <c r="A2212" s="100"/>
      <c r="B2212" s="100"/>
      <c r="C2212" s="100"/>
      <c r="D2212" s="100"/>
      <c r="E2212" s="100"/>
      <c r="F2212" s="100"/>
      <c r="G2212" s="100"/>
      <c r="H2212" s="100"/>
      <c r="I2212" s="100"/>
      <c r="J2212" s="100"/>
      <c r="K2212" s="100"/>
      <c r="L2212" s="100"/>
      <c r="M2212" s="100"/>
      <c r="N2212" s="100"/>
      <c r="O2212" s="100"/>
      <c r="P2212" s="100"/>
      <c r="Q2212" s="100"/>
      <c r="R2212" s="100"/>
      <c r="S2212" s="100"/>
      <c r="T2212" s="100"/>
      <c r="U2212" s="100"/>
      <c r="V2212" s="100"/>
      <c r="W2212" s="100"/>
      <c r="X2212" s="100"/>
      <c r="Y2212" s="100"/>
      <c r="Z2212" s="100"/>
    </row>
    <row r="2213" spans="1:26">
      <c r="A2213" s="100"/>
      <c r="B2213" s="100"/>
      <c r="C2213" s="100"/>
      <c r="D2213" s="100"/>
      <c r="E2213" s="100"/>
      <c r="F2213" s="100"/>
      <c r="G2213" s="100"/>
      <c r="H2213" s="100"/>
      <c r="I2213" s="100"/>
      <c r="J2213" s="100"/>
      <c r="K2213" s="100"/>
      <c r="L2213" s="100"/>
      <c r="M2213" s="100"/>
      <c r="N2213" s="100"/>
      <c r="O2213" s="100"/>
      <c r="P2213" s="100"/>
      <c r="Q2213" s="100"/>
      <c r="R2213" s="100"/>
      <c r="S2213" s="100"/>
      <c r="T2213" s="100"/>
      <c r="U2213" s="100"/>
      <c r="V2213" s="100"/>
      <c r="W2213" s="100"/>
      <c r="X2213" s="100"/>
      <c r="Y2213" s="100"/>
      <c r="Z2213" s="100"/>
    </row>
    <row r="2214" spans="1:26">
      <c r="A2214" s="100"/>
      <c r="B2214" s="100"/>
      <c r="C2214" s="100"/>
      <c r="D2214" s="100"/>
      <c r="E2214" s="100"/>
      <c r="F2214" s="100"/>
      <c r="G2214" s="100"/>
      <c r="H2214" s="100"/>
      <c r="I2214" s="100"/>
      <c r="J2214" s="100"/>
      <c r="K2214" s="100"/>
      <c r="L2214" s="100"/>
      <c r="M2214" s="100"/>
      <c r="N2214" s="100"/>
      <c r="O2214" s="100"/>
      <c r="P2214" s="100"/>
      <c r="Q2214" s="100"/>
      <c r="R2214" s="100"/>
      <c r="S2214" s="100"/>
      <c r="T2214" s="100"/>
      <c r="U2214" s="100"/>
      <c r="V2214" s="100"/>
      <c r="W2214" s="100"/>
      <c r="X2214" s="100"/>
      <c r="Y2214" s="100"/>
      <c r="Z2214" s="100"/>
    </row>
    <row r="2215" spans="1:26">
      <c r="A2215" s="100"/>
      <c r="B2215" s="100"/>
      <c r="C2215" s="100"/>
      <c r="D2215" s="100"/>
      <c r="E2215" s="100"/>
      <c r="F2215" s="100"/>
      <c r="G2215" s="100"/>
      <c r="H2215" s="100"/>
      <c r="I2215" s="100"/>
      <c r="J2215" s="100"/>
      <c r="K2215" s="100"/>
      <c r="L2215" s="100"/>
      <c r="M2215" s="100"/>
      <c r="N2215" s="100"/>
      <c r="O2215" s="100"/>
      <c r="P2215" s="100"/>
      <c r="Q2215" s="100"/>
      <c r="R2215" s="100"/>
      <c r="S2215" s="100"/>
      <c r="T2215" s="100"/>
      <c r="U2215" s="100"/>
      <c r="V2215" s="100"/>
      <c r="W2215" s="100"/>
      <c r="X2215" s="100"/>
      <c r="Y2215" s="100"/>
      <c r="Z2215" s="100"/>
    </row>
    <row r="2216" spans="1:26">
      <c r="A2216" s="100"/>
      <c r="B2216" s="100"/>
      <c r="C2216" s="100"/>
      <c r="D2216" s="100"/>
      <c r="E2216" s="100"/>
      <c r="F2216" s="100"/>
      <c r="G2216" s="100"/>
      <c r="H2216" s="100"/>
      <c r="I2216" s="100"/>
      <c r="J2216" s="100"/>
      <c r="K2216" s="100"/>
      <c r="L2216" s="100"/>
      <c r="M2216" s="100"/>
      <c r="N2216" s="100"/>
      <c r="O2216" s="100"/>
      <c r="P2216" s="100"/>
      <c r="Q2216" s="100"/>
      <c r="R2216" s="100"/>
      <c r="S2216" s="100"/>
      <c r="T2216" s="100"/>
      <c r="U2216" s="100"/>
      <c r="V2216" s="100"/>
      <c r="W2216" s="100"/>
      <c r="X2216" s="100"/>
      <c r="Y2216" s="100"/>
      <c r="Z2216" s="100"/>
    </row>
    <row r="2217" spans="1:26">
      <c r="A2217" s="100"/>
      <c r="B2217" s="100"/>
      <c r="C2217" s="100"/>
      <c r="D2217" s="100"/>
      <c r="E2217" s="100"/>
      <c r="F2217" s="100"/>
      <c r="G2217" s="100"/>
      <c r="H2217" s="100"/>
      <c r="I2217" s="100"/>
      <c r="J2217" s="100"/>
      <c r="K2217" s="100"/>
      <c r="L2217" s="100"/>
      <c r="M2217" s="100"/>
      <c r="N2217" s="100"/>
      <c r="O2217" s="100"/>
      <c r="P2217" s="100"/>
      <c r="Q2217" s="100"/>
      <c r="R2217" s="100"/>
      <c r="S2217" s="100"/>
      <c r="T2217" s="100"/>
      <c r="U2217" s="100"/>
      <c r="V2217" s="100"/>
      <c r="W2217" s="100"/>
      <c r="X2217" s="100"/>
      <c r="Y2217" s="100"/>
      <c r="Z2217" s="100"/>
    </row>
    <row r="2218" spans="1:26">
      <c r="A2218" s="100"/>
      <c r="B2218" s="100"/>
      <c r="C2218" s="100"/>
      <c r="D2218" s="100"/>
      <c r="E2218" s="100"/>
      <c r="F2218" s="100"/>
      <c r="G2218" s="100"/>
      <c r="H2218" s="100"/>
      <c r="I2218" s="100"/>
      <c r="J2218" s="100"/>
      <c r="K2218" s="100"/>
      <c r="L2218" s="100"/>
      <c r="M2218" s="100"/>
      <c r="N2218" s="100"/>
      <c r="O2218" s="100"/>
      <c r="P2218" s="100"/>
      <c r="Q2218" s="100"/>
      <c r="R2218" s="100"/>
      <c r="S2218" s="100"/>
      <c r="T2218" s="100"/>
      <c r="U2218" s="100"/>
      <c r="V2218" s="100"/>
      <c r="W2218" s="100"/>
      <c r="X2218" s="100"/>
      <c r="Y2218" s="100"/>
      <c r="Z2218" s="100"/>
    </row>
    <row r="2219" spans="1:26">
      <c r="A2219" s="100"/>
      <c r="B2219" s="100"/>
      <c r="C2219" s="100"/>
      <c r="D2219" s="100"/>
      <c r="E2219" s="100"/>
      <c r="F2219" s="100"/>
      <c r="G2219" s="100"/>
      <c r="H2219" s="100"/>
      <c r="I2219" s="100"/>
      <c r="J2219" s="100"/>
      <c r="K2219" s="100"/>
      <c r="L2219" s="100"/>
      <c r="M2219" s="100"/>
      <c r="N2219" s="100"/>
      <c r="O2219" s="100"/>
      <c r="P2219" s="100"/>
      <c r="Q2219" s="100"/>
      <c r="R2219" s="100"/>
      <c r="S2219" s="100"/>
      <c r="T2219" s="100"/>
      <c r="U2219" s="100"/>
      <c r="V2219" s="100"/>
      <c r="W2219" s="100"/>
      <c r="X2219" s="100"/>
      <c r="Y2219" s="100"/>
      <c r="Z2219" s="100"/>
    </row>
    <row r="2220" spans="1:26">
      <c r="A2220" s="100"/>
      <c r="B2220" s="100"/>
      <c r="C2220" s="100"/>
      <c r="D2220" s="100"/>
      <c r="E2220" s="100"/>
      <c r="F2220" s="100"/>
      <c r="G2220" s="100"/>
      <c r="H2220" s="100"/>
      <c r="I2220" s="100"/>
      <c r="J2220" s="100"/>
      <c r="K2220" s="100"/>
      <c r="L2220" s="100"/>
      <c r="M2220" s="100"/>
      <c r="N2220" s="100"/>
      <c r="O2220" s="100"/>
      <c r="P2220" s="100"/>
      <c r="Q2220" s="100"/>
      <c r="R2220" s="100"/>
      <c r="S2220" s="100"/>
      <c r="T2220" s="100"/>
      <c r="U2220" s="100"/>
      <c r="V2220" s="100"/>
      <c r="W2220" s="100"/>
      <c r="X2220" s="100"/>
      <c r="Y2220" s="100"/>
      <c r="Z2220" s="100"/>
    </row>
    <row r="2221" spans="1:26">
      <c r="A2221" s="100"/>
      <c r="B2221" s="100"/>
      <c r="C2221" s="100"/>
      <c r="D2221" s="100"/>
      <c r="E2221" s="100"/>
      <c r="F2221" s="100"/>
      <c r="G2221" s="100"/>
      <c r="H2221" s="100"/>
      <c r="I2221" s="100"/>
      <c r="J2221" s="100"/>
      <c r="K2221" s="100"/>
      <c r="L2221" s="100"/>
      <c r="M2221" s="100"/>
      <c r="N2221" s="100"/>
      <c r="O2221" s="100"/>
      <c r="P2221" s="100"/>
      <c r="Q2221" s="100"/>
      <c r="R2221" s="100"/>
      <c r="S2221" s="100"/>
      <c r="T2221" s="100"/>
      <c r="U2221" s="100"/>
      <c r="V2221" s="100"/>
      <c r="W2221" s="100"/>
      <c r="X2221" s="100"/>
      <c r="Y2221" s="100"/>
      <c r="Z2221" s="100"/>
    </row>
    <row r="2222" spans="1:26">
      <c r="A2222" s="100"/>
      <c r="B2222" s="100"/>
      <c r="C2222" s="100"/>
      <c r="D2222" s="100"/>
      <c r="E2222" s="100"/>
      <c r="F2222" s="100"/>
      <c r="G2222" s="100"/>
      <c r="H2222" s="100"/>
      <c r="I2222" s="100"/>
      <c r="J2222" s="100"/>
      <c r="K2222" s="100"/>
      <c r="L2222" s="100"/>
      <c r="M2222" s="100"/>
      <c r="N2222" s="100"/>
      <c r="O2222" s="100"/>
      <c r="P2222" s="100"/>
      <c r="Q2222" s="100"/>
      <c r="R2222" s="100"/>
      <c r="S2222" s="100"/>
      <c r="T2222" s="100"/>
      <c r="U2222" s="100"/>
      <c r="V2222" s="100"/>
      <c r="W2222" s="100"/>
      <c r="X2222" s="100"/>
      <c r="Y2222" s="100"/>
      <c r="Z2222" s="100"/>
    </row>
    <row r="2223" spans="1:26">
      <c r="A2223" s="100"/>
      <c r="B2223" s="100"/>
      <c r="C2223" s="100"/>
      <c r="D2223" s="100"/>
      <c r="E2223" s="100"/>
      <c r="F2223" s="100"/>
      <c r="G2223" s="100"/>
      <c r="H2223" s="100"/>
      <c r="I2223" s="100"/>
      <c r="J2223" s="100"/>
      <c r="K2223" s="100"/>
      <c r="L2223" s="100"/>
      <c r="M2223" s="100"/>
      <c r="N2223" s="100"/>
      <c r="O2223" s="100"/>
      <c r="P2223" s="100"/>
      <c r="Q2223" s="100"/>
      <c r="R2223" s="100"/>
      <c r="S2223" s="100"/>
      <c r="T2223" s="100"/>
      <c r="U2223" s="100"/>
      <c r="V2223" s="100"/>
      <c r="W2223" s="100"/>
      <c r="X2223" s="100"/>
      <c r="Y2223" s="100"/>
      <c r="Z2223" s="100"/>
    </row>
    <row r="2224" spans="1:26">
      <c r="A2224" s="100"/>
      <c r="B2224" s="100"/>
      <c r="C2224" s="100"/>
      <c r="D2224" s="100"/>
      <c r="E2224" s="100"/>
      <c r="F2224" s="100"/>
      <c r="G2224" s="100"/>
      <c r="H2224" s="100"/>
      <c r="I2224" s="100"/>
      <c r="J2224" s="100"/>
      <c r="K2224" s="100"/>
      <c r="L2224" s="100"/>
      <c r="M2224" s="100"/>
      <c r="N2224" s="100"/>
      <c r="O2224" s="100"/>
      <c r="P2224" s="100"/>
      <c r="Q2224" s="100"/>
      <c r="R2224" s="100"/>
      <c r="S2224" s="100"/>
      <c r="T2224" s="100"/>
      <c r="U2224" s="100"/>
      <c r="V2224" s="100"/>
      <c r="W2224" s="100"/>
      <c r="X2224" s="100"/>
      <c r="Y2224" s="100"/>
      <c r="Z2224" s="100"/>
    </row>
    <row r="2225" spans="1:26">
      <c r="A2225" s="100"/>
      <c r="B2225" s="100"/>
      <c r="C2225" s="100"/>
      <c r="D2225" s="100"/>
      <c r="E2225" s="100"/>
      <c r="F2225" s="100"/>
      <c r="G2225" s="100"/>
      <c r="H2225" s="100"/>
      <c r="I2225" s="100"/>
      <c r="J2225" s="100"/>
      <c r="K2225" s="100"/>
      <c r="L2225" s="100"/>
      <c r="M2225" s="100"/>
      <c r="N2225" s="100"/>
      <c r="O2225" s="100"/>
      <c r="P2225" s="100"/>
      <c r="Q2225" s="100"/>
      <c r="R2225" s="100"/>
      <c r="S2225" s="100"/>
      <c r="T2225" s="100"/>
      <c r="U2225" s="100"/>
      <c r="V2225" s="100"/>
      <c r="W2225" s="100"/>
      <c r="X2225" s="100"/>
      <c r="Y2225" s="100"/>
      <c r="Z2225" s="100"/>
    </row>
    <row r="2226" spans="1:26">
      <c r="A2226" s="100"/>
      <c r="B2226" s="100"/>
      <c r="C2226" s="100"/>
      <c r="D2226" s="100"/>
      <c r="E2226" s="100"/>
      <c r="F2226" s="100"/>
      <c r="G2226" s="100"/>
      <c r="H2226" s="100"/>
      <c r="I2226" s="100"/>
      <c r="J2226" s="100"/>
      <c r="K2226" s="100"/>
      <c r="L2226" s="100"/>
      <c r="M2226" s="100"/>
      <c r="N2226" s="100"/>
      <c r="O2226" s="100"/>
      <c r="P2226" s="100"/>
      <c r="Q2226" s="100"/>
      <c r="R2226" s="100"/>
      <c r="S2226" s="100"/>
      <c r="T2226" s="100"/>
      <c r="U2226" s="100"/>
      <c r="V2226" s="100"/>
      <c r="W2226" s="100"/>
      <c r="X2226" s="100"/>
      <c r="Y2226" s="100"/>
      <c r="Z2226" s="100"/>
    </row>
    <row r="2227" spans="1:26">
      <c r="A2227" s="100"/>
      <c r="B2227" s="100"/>
      <c r="C2227" s="100"/>
      <c r="D2227" s="100"/>
      <c r="E2227" s="100"/>
      <c r="F2227" s="100"/>
      <c r="G2227" s="100"/>
      <c r="H2227" s="100"/>
      <c r="I2227" s="100"/>
      <c r="J2227" s="100"/>
      <c r="K2227" s="100"/>
      <c r="L2227" s="100"/>
      <c r="M2227" s="100"/>
      <c r="N2227" s="100"/>
      <c r="O2227" s="100"/>
      <c r="P2227" s="100"/>
      <c r="Q2227" s="100"/>
      <c r="R2227" s="100"/>
      <c r="S2227" s="100"/>
      <c r="T2227" s="100"/>
      <c r="U2227" s="100"/>
      <c r="V2227" s="100"/>
      <c r="W2227" s="100"/>
      <c r="X2227" s="100"/>
      <c r="Y2227" s="100"/>
      <c r="Z2227" s="100"/>
    </row>
    <row r="2228" spans="1:26">
      <c r="A2228" s="100"/>
      <c r="B2228" s="100"/>
      <c r="C2228" s="100"/>
      <c r="D2228" s="100"/>
      <c r="E2228" s="100"/>
      <c r="F2228" s="100"/>
      <c r="G2228" s="100"/>
      <c r="H2228" s="100"/>
      <c r="I2228" s="100"/>
      <c r="J2228" s="100"/>
      <c r="K2228" s="100"/>
      <c r="L2228" s="100"/>
      <c r="M2228" s="100"/>
      <c r="N2228" s="100"/>
      <c r="O2228" s="100"/>
      <c r="P2228" s="100"/>
      <c r="Q2228" s="100"/>
      <c r="R2228" s="100"/>
      <c r="S2228" s="100"/>
      <c r="T2228" s="100"/>
      <c r="U2228" s="100"/>
      <c r="V2228" s="100"/>
      <c r="W2228" s="100"/>
      <c r="X2228" s="100"/>
      <c r="Y2228" s="100"/>
      <c r="Z2228" s="100"/>
    </row>
    <row r="2229" spans="1:26">
      <c r="A2229" s="100"/>
      <c r="B2229" s="100"/>
      <c r="C2229" s="100"/>
      <c r="D2229" s="100"/>
      <c r="E2229" s="100"/>
      <c r="F2229" s="100"/>
      <c r="G2229" s="100"/>
      <c r="H2229" s="100"/>
      <c r="I2229" s="100"/>
      <c r="J2229" s="100"/>
      <c r="K2229" s="100"/>
      <c r="L2229" s="100"/>
      <c r="M2229" s="100"/>
      <c r="N2229" s="100"/>
      <c r="O2229" s="100"/>
      <c r="P2229" s="100"/>
      <c r="Q2229" s="100"/>
      <c r="R2229" s="100"/>
      <c r="S2229" s="100"/>
      <c r="T2229" s="100"/>
      <c r="U2229" s="100"/>
      <c r="V2229" s="100"/>
      <c r="W2229" s="100"/>
      <c r="X2229" s="100"/>
      <c r="Y2229" s="100"/>
      <c r="Z2229" s="100"/>
    </row>
    <row r="2230" spans="1:26">
      <c r="A2230" s="100"/>
      <c r="B2230" s="100"/>
      <c r="C2230" s="100"/>
      <c r="D2230" s="100"/>
      <c r="E2230" s="100"/>
      <c r="F2230" s="100"/>
      <c r="G2230" s="100"/>
      <c r="H2230" s="100"/>
      <c r="I2230" s="100"/>
      <c r="J2230" s="100"/>
      <c r="K2230" s="100"/>
      <c r="L2230" s="100"/>
      <c r="M2230" s="100"/>
      <c r="N2230" s="100"/>
      <c r="O2230" s="100"/>
      <c r="P2230" s="100"/>
      <c r="Q2230" s="100"/>
      <c r="R2230" s="100"/>
      <c r="S2230" s="100"/>
      <c r="T2230" s="100"/>
      <c r="U2230" s="100"/>
      <c r="V2230" s="100"/>
      <c r="W2230" s="100"/>
      <c r="X2230" s="100"/>
      <c r="Y2230" s="100"/>
      <c r="Z2230" s="100"/>
    </row>
    <row r="2231" spans="1:26">
      <c r="A2231" s="100"/>
      <c r="B2231" s="100"/>
      <c r="C2231" s="100"/>
      <c r="D2231" s="100"/>
      <c r="E2231" s="100"/>
      <c r="F2231" s="100"/>
      <c r="G2231" s="100"/>
      <c r="H2231" s="100"/>
      <c r="I2231" s="100"/>
      <c r="J2231" s="100"/>
      <c r="K2231" s="100"/>
      <c r="L2231" s="100"/>
      <c r="M2231" s="100"/>
      <c r="N2231" s="100"/>
      <c r="O2231" s="100"/>
      <c r="P2231" s="100"/>
      <c r="Q2231" s="100"/>
      <c r="R2231" s="100"/>
      <c r="S2231" s="100"/>
      <c r="T2231" s="100"/>
      <c r="U2231" s="100"/>
      <c r="V2231" s="100"/>
      <c r="W2231" s="100"/>
      <c r="X2231" s="100"/>
      <c r="Y2231" s="100"/>
      <c r="Z2231" s="100"/>
    </row>
    <row r="2232" spans="1:26">
      <c r="A2232" s="100"/>
      <c r="B2232" s="100"/>
      <c r="C2232" s="100"/>
      <c r="D2232" s="100"/>
      <c r="E2232" s="100"/>
      <c r="F2232" s="100"/>
      <c r="G2232" s="100"/>
      <c r="H2232" s="100"/>
      <c r="I2232" s="100"/>
      <c r="J2232" s="100"/>
      <c r="K2232" s="100"/>
      <c r="L2232" s="100"/>
      <c r="M2232" s="100"/>
      <c r="N2232" s="100"/>
      <c r="O2232" s="100"/>
      <c r="P2232" s="100"/>
      <c r="Q2232" s="100"/>
      <c r="R2232" s="100"/>
      <c r="S2232" s="100"/>
      <c r="T2232" s="100"/>
      <c r="U2232" s="100"/>
      <c r="V2232" s="100"/>
      <c r="W2232" s="100"/>
      <c r="X2232" s="100"/>
      <c r="Y2232" s="100"/>
      <c r="Z2232" s="100"/>
    </row>
    <row r="2233" spans="1:26">
      <c r="A2233" s="100"/>
      <c r="B2233" s="100"/>
      <c r="C2233" s="100"/>
      <c r="D2233" s="100"/>
      <c r="E2233" s="100"/>
      <c r="F2233" s="100"/>
      <c r="G2233" s="100"/>
      <c r="H2233" s="100"/>
      <c r="I2233" s="100"/>
      <c r="J2233" s="100"/>
      <c r="K2233" s="100"/>
      <c r="L2233" s="100"/>
      <c r="M2233" s="100"/>
      <c r="N2233" s="100"/>
      <c r="O2233" s="100"/>
      <c r="P2233" s="100"/>
      <c r="Q2233" s="100"/>
      <c r="R2233" s="100"/>
      <c r="S2233" s="100"/>
      <c r="T2233" s="100"/>
      <c r="U2233" s="100"/>
      <c r="V2233" s="100"/>
      <c r="W2233" s="100"/>
      <c r="X2233" s="100"/>
      <c r="Y2233" s="100"/>
      <c r="Z2233" s="100"/>
    </row>
    <row r="2234" spans="1:26">
      <c r="A2234" s="100"/>
      <c r="B2234" s="100"/>
      <c r="C2234" s="100"/>
      <c r="D2234" s="100"/>
      <c r="E2234" s="100"/>
      <c r="F2234" s="100"/>
      <c r="G2234" s="100"/>
      <c r="H2234" s="100"/>
      <c r="I2234" s="100"/>
      <c r="J2234" s="100"/>
      <c r="K2234" s="100"/>
      <c r="L2234" s="100"/>
      <c r="M2234" s="100"/>
      <c r="N2234" s="100"/>
      <c r="O2234" s="100"/>
      <c r="P2234" s="100"/>
      <c r="Q2234" s="100"/>
      <c r="R2234" s="100"/>
      <c r="S2234" s="100"/>
      <c r="T2234" s="100"/>
      <c r="U2234" s="100"/>
      <c r="V2234" s="100"/>
      <c r="W2234" s="100"/>
      <c r="X2234" s="100"/>
      <c r="Y2234" s="100"/>
      <c r="Z2234" s="100"/>
    </row>
    <row r="2235" spans="1:26">
      <c r="A2235" s="100"/>
      <c r="B2235" s="100"/>
      <c r="C2235" s="100"/>
      <c r="D2235" s="100"/>
      <c r="E2235" s="100"/>
      <c r="F2235" s="100"/>
      <c r="G2235" s="100"/>
      <c r="H2235" s="100"/>
      <c r="I2235" s="100"/>
      <c r="J2235" s="100"/>
      <c r="K2235" s="100"/>
      <c r="L2235" s="100"/>
      <c r="M2235" s="100"/>
      <c r="N2235" s="100"/>
      <c r="O2235" s="100"/>
      <c r="P2235" s="100"/>
      <c r="Q2235" s="100"/>
      <c r="R2235" s="100"/>
      <c r="S2235" s="100"/>
      <c r="T2235" s="100"/>
      <c r="U2235" s="100"/>
      <c r="V2235" s="100"/>
      <c r="W2235" s="100"/>
      <c r="X2235" s="100"/>
      <c r="Y2235" s="100"/>
      <c r="Z2235" s="100"/>
    </row>
    <row r="2236" spans="1:26">
      <c r="A2236" s="100"/>
      <c r="B2236" s="100"/>
      <c r="C2236" s="100"/>
      <c r="D2236" s="100"/>
      <c r="E2236" s="100"/>
      <c r="F2236" s="100"/>
      <c r="G2236" s="100"/>
      <c r="H2236" s="100"/>
      <c r="I2236" s="100"/>
      <c r="J2236" s="100"/>
      <c r="K2236" s="100"/>
      <c r="L2236" s="100"/>
      <c r="M2236" s="100"/>
      <c r="N2236" s="100"/>
      <c r="O2236" s="100"/>
      <c r="P2236" s="100"/>
      <c r="Q2236" s="100"/>
      <c r="R2236" s="100"/>
      <c r="S2236" s="100"/>
      <c r="T2236" s="100"/>
      <c r="U2236" s="100"/>
      <c r="V2236" s="100"/>
      <c r="W2236" s="100"/>
      <c r="X2236" s="100"/>
      <c r="Y2236" s="100"/>
      <c r="Z2236" s="100"/>
    </row>
    <row r="2237" spans="1:26">
      <c r="A2237" s="100"/>
      <c r="B2237" s="100"/>
      <c r="C2237" s="100"/>
      <c r="D2237" s="100"/>
      <c r="E2237" s="100"/>
      <c r="F2237" s="100"/>
      <c r="G2237" s="100"/>
      <c r="H2237" s="100"/>
      <c r="I2237" s="100"/>
      <c r="J2237" s="100"/>
      <c r="K2237" s="100"/>
      <c r="L2237" s="100"/>
      <c r="M2237" s="100"/>
      <c r="N2237" s="100"/>
      <c r="O2237" s="100"/>
      <c r="P2237" s="100"/>
      <c r="Q2237" s="100"/>
      <c r="R2237" s="100"/>
      <c r="S2237" s="100"/>
      <c r="T2237" s="100"/>
      <c r="U2237" s="100"/>
      <c r="V2237" s="100"/>
      <c r="W2237" s="100"/>
      <c r="X2237" s="100"/>
      <c r="Y2237" s="100"/>
      <c r="Z2237" s="100"/>
    </row>
    <row r="2238" spans="1:26">
      <c r="A2238" s="100"/>
      <c r="B2238" s="100"/>
      <c r="C2238" s="100"/>
      <c r="D2238" s="100"/>
      <c r="E2238" s="100"/>
      <c r="F2238" s="100"/>
      <c r="G2238" s="100"/>
      <c r="H2238" s="100"/>
      <c r="I2238" s="100"/>
      <c r="J2238" s="100"/>
      <c r="K2238" s="100"/>
      <c r="L2238" s="100"/>
      <c r="M2238" s="100"/>
      <c r="N2238" s="100"/>
      <c r="O2238" s="100"/>
      <c r="P2238" s="100"/>
      <c r="Q2238" s="100"/>
      <c r="R2238" s="100"/>
      <c r="S2238" s="100"/>
      <c r="T2238" s="100"/>
      <c r="U2238" s="100"/>
      <c r="V2238" s="100"/>
      <c r="W2238" s="100"/>
      <c r="X2238" s="100"/>
      <c r="Y2238" s="100"/>
      <c r="Z2238" s="100"/>
    </row>
    <row r="2239" spans="1:26">
      <c r="A2239" s="100"/>
      <c r="B2239" s="100"/>
      <c r="C2239" s="100"/>
      <c r="D2239" s="100"/>
      <c r="E2239" s="100"/>
      <c r="F2239" s="100"/>
      <c r="G2239" s="100"/>
      <c r="H2239" s="100"/>
      <c r="I2239" s="100"/>
      <c r="J2239" s="100"/>
      <c r="K2239" s="100"/>
      <c r="L2239" s="100"/>
      <c r="M2239" s="100"/>
      <c r="N2239" s="100"/>
      <c r="O2239" s="100"/>
      <c r="P2239" s="100"/>
      <c r="Q2239" s="100"/>
      <c r="R2239" s="100"/>
      <c r="S2239" s="100"/>
      <c r="T2239" s="100"/>
      <c r="U2239" s="100"/>
      <c r="V2239" s="100"/>
      <c r="W2239" s="100"/>
      <c r="X2239" s="100"/>
      <c r="Y2239" s="100"/>
      <c r="Z2239" s="100"/>
    </row>
    <row r="2240" spans="1:26">
      <c r="A2240" s="100"/>
      <c r="B2240" s="100"/>
      <c r="C2240" s="100"/>
      <c r="D2240" s="100"/>
      <c r="E2240" s="100"/>
      <c r="F2240" s="100"/>
      <c r="G2240" s="100"/>
      <c r="H2240" s="100"/>
      <c r="I2240" s="100"/>
      <c r="J2240" s="100"/>
      <c r="K2240" s="100"/>
      <c r="L2240" s="100"/>
      <c r="M2240" s="100"/>
      <c r="N2240" s="100"/>
      <c r="O2240" s="100"/>
      <c r="P2240" s="100"/>
      <c r="Q2240" s="100"/>
      <c r="R2240" s="100"/>
      <c r="S2240" s="100"/>
      <c r="T2240" s="100"/>
      <c r="U2240" s="100"/>
      <c r="V2240" s="100"/>
      <c r="W2240" s="100"/>
      <c r="X2240" s="100"/>
      <c r="Y2240" s="100"/>
      <c r="Z2240" s="100"/>
    </row>
    <row r="2241" spans="1:26">
      <c r="A2241" s="100"/>
      <c r="B2241" s="100"/>
      <c r="C2241" s="100"/>
      <c r="D2241" s="100"/>
      <c r="E2241" s="100"/>
      <c r="F2241" s="100"/>
      <c r="G2241" s="100"/>
      <c r="H2241" s="100"/>
      <c r="I2241" s="100"/>
      <c r="J2241" s="100"/>
      <c r="K2241" s="100"/>
      <c r="L2241" s="100"/>
      <c r="M2241" s="100"/>
      <c r="N2241" s="100"/>
      <c r="O2241" s="100"/>
      <c r="P2241" s="100"/>
      <c r="Q2241" s="100"/>
      <c r="R2241" s="100"/>
      <c r="S2241" s="100"/>
      <c r="T2241" s="100"/>
      <c r="U2241" s="100"/>
      <c r="V2241" s="100"/>
      <c r="W2241" s="100"/>
      <c r="X2241" s="100"/>
      <c r="Y2241" s="100"/>
      <c r="Z2241" s="100"/>
    </row>
    <row r="2242" spans="1:26">
      <c r="A2242" s="100"/>
      <c r="B2242" s="100"/>
      <c r="C2242" s="100"/>
      <c r="D2242" s="100"/>
      <c r="E2242" s="100"/>
      <c r="F2242" s="100"/>
      <c r="G2242" s="100"/>
      <c r="H2242" s="100"/>
      <c r="I2242" s="100"/>
      <c r="J2242" s="100"/>
      <c r="K2242" s="100"/>
      <c r="L2242" s="100"/>
      <c r="M2242" s="100"/>
      <c r="N2242" s="100"/>
      <c r="O2242" s="100"/>
      <c r="P2242" s="100"/>
      <c r="Q2242" s="100"/>
      <c r="R2242" s="100"/>
      <c r="S2242" s="100"/>
      <c r="T2242" s="100"/>
      <c r="U2242" s="100"/>
      <c r="V2242" s="100"/>
      <c r="W2242" s="100"/>
      <c r="X2242" s="100"/>
      <c r="Y2242" s="100"/>
      <c r="Z2242" s="100"/>
    </row>
    <row r="2243" spans="1:26">
      <c r="A2243" s="100"/>
      <c r="B2243" s="100"/>
      <c r="C2243" s="100"/>
      <c r="D2243" s="100"/>
      <c r="E2243" s="100"/>
      <c r="F2243" s="100"/>
      <c r="G2243" s="100"/>
      <c r="H2243" s="100"/>
      <c r="I2243" s="100"/>
      <c r="J2243" s="100"/>
      <c r="K2243" s="100"/>
      <c r="L2243" s="100"/>
      <c r="M2243" s="100"/>
      <c r="N2243" s="100"/>
      <c r="O2243" s="100"/>
      <c r="P2243" s="100"/>
      <c r="Q2243" s="100"/>
      <c r="R2243" s="100"/>
      <c r="S2243" s="100"/>
      <c r="T2243" s="100"/>
      <c r="U2243" s="100"/>
      <c r="V2243" s="100"/>
      <c r="W2243" s="100"/>
      <c r="X2243" s="100"/>
      <c r="Y2243" s="100"/>
      <c r="Z2243" s="100"/>
    </row>
    <row r="2244" spans="1:26">
      <c r="A2244" s="100"/>
      <c r="B2244" s="100"/>
      <c r="C2244" s="100"/>
      <c r="D2244" s="100"/>
      <c r="E2244" s="100"/>
      <c r="F2244" s="100"/>
      <c r="G2244" s="100"/>
      <c r="H2244" s="100"/>
      <c r="I2244" s="100"/>
      <c r="J2244" s="100"/>
      <c r="K2244" s="100"/>
      <c r="L2244" s="100"/>
      <c r="M2244" s="100"/>
      <c r="N2244" s="100"/>
      <c r="O2244" s="100"/>
      <c r="P2244" s="100"/>
      <c r="Q2244" s="100"/>
      <c r="R2244" s="100"/>
      <c r="S2244" s="100"/>
      <c r="T2244" s="100"/>
      <c r="U2244" s="100"/>
      <c r="V2244" s="100"/>
      <c r="W2244" s="100"/>
      <c r="X2244" s="100"/>
      <c r="Y2244" s="100"/>
      <c r="Z2244" s="100"/>
    </row>
    <row r="2245" spans="1:26">
      <c r="A2245" s="100"/>
      <c r="B2245" s="100"/>
      <c r="C2245" s="100"/>
      <c r="D2245" s="100"/>
      <c r="E2245" s="100"/>
      <c r="F2245" s="100"/>
      <c r="G2245" s="100"/>
      <c r="H2245" s="100"/>
      <c r="I2245" s="100"/>
      <c r="J2245" s="100"/>
      <c r="K2245" s="100"/>
      <c r="L2245" s="100"/>
      <c r="M2245" s="100"/>
      <c r="N2245" s="100"/>
      <c r="O2245" s="100"/>
      <c r="P2245" s="100"/>
      <c r="Q2245" s="100"/>
      <c r="R2245" s="100"/>
      <c r="S2245" s="100"/>
      <c r="T2245" s="100"/>
      <c r="U2245" s="100"/>
      <c r="V2245" s="100"/>
      <c r="W2245" s="100"/>
      <c r="X2245" s="100"/>
      <c r="Y2245" s="100"/>
      <c r="Z2245" s="100"/>
    </row>
    <row r="2246" spans="1:26">
      <c r="A2246" s="100"/>
      <c r="B2246" s="100"/>
      <c r="C2246" s="100"/>
      <c r="D2246" s="100"/>
      <c r="E2246" s="100"/>
      <c r="F2246" s="100"/>
      <c r="G2246" s="100"/>
      <c r="H2246" s="100"/>
      <c r="I2246" s="100"/>
      <c r="J2246" s="100"/>
      <c r="K2246" s="100"/>
      <c r="L2246" s="100"/>
      <c r="M2246" s="100"/>
      <c r="N2246" s="100"/>
      <c r="O2246" s="100"/>
      <c r="P2246" s="100"/>
      <c r="Q2246" s="100"/>
      <c r="R2246" s="100"/>
      <c r="S2246" s="100"/>
      <c r="T2246" s="100"/>
      <c r="U2246" s="100"/>
      <c r="V2246" s="100"/>
      <c r="W2246" s="100"/>
      <c r="X2246" s="100"/>
      <c r="Y2246" s="100"/>
      <c r="Z2246" s="100"/>
    </row>
    <row r="2247" spans="1:26">
      <c r="A2247" s="100"/>
      <c r="B2247" s="100"/>
      <c r="C2247" s="100"/>
      <c r="D2247" s="100"/>
      <c r="E2247" s="100"/>
      <c r="F2247" s="100"/>
      <c r="G2247" s="100"/>
      <c r="H2247" s="100"/>
      <c r="I2247" s="100"/>
      <c r="J2247" s="100"/>
      <c r="K2247" s="100"/>
      <c r="L2247" s="100"/>
      <c r="M2247" s="100"/>
      <c r="N2247" s="100"/>
      <c r="O2247" s="100"/>
      <c r="P2247" s="100"/>
      <c r="Q2247" s="100"/>
      <c r="R2247" s="100"/>
      <c r="S2247" s="100"/>
      <c r="T2247" s="100"/>
      <c r="U2247" s="100"/>
      <c r="V2247" s="100"/>
      <c r="W2247" s="100"/>
      <c r="X2247" s="100"/>
      <c r="Y2247" s="100"/>
      <c r="Z2247" s="100"/>
    </row>
    <row r="2248" spans="1:26">
      <c r="A2248" s="100"/>
      <c r="B2248" s="100"/>
      <c r="C2248" s="100"/>
      <c r="D2248" s="100"/>
      <c r="E2248" s="100"/>
      <c r="F2248" s="100"/>
      <c r="G2248" s="100"/>
      <c r="H2248" s="100"/>
      <c r="I2248" s="100"/>
      <c r="J2248" s="100"/>
      <c r="K2248" s="100"/>
      <c r="L2248" s="100"/>
      <c r="M2248" s="100"/>
      <c r="N2248" s="100"/>
      <c r="O2248" s="100"/>
      <c r="P2248" s="100"/>
      <c r="Q2248" s="100"/>
      <c r="R2248" s="100"/>
      <c r="S2248" s="100"/>
      <c r="T2248" s="100"/>
      <c r="U2248" s="100"/>
      <c r="V2248" s="100"/>
      <c r="W2248" s="100"/>
      <c r="X2248" s="100"/>
      <c r="Y2248" s="100"/>
      <c r="Z2248" s="100"/>
    </row>
    <row r="2249" spans="1:26">
      <c r="A2249" s="100"/>
      <c r="B2249" s="100"/>
      <c r="C2249" s="100"/>
      <c r="D2249" s="100"/>
      <c r="E2249" s="100"/>
      <c r="F2249" s="100"/>
      <c r="G2249" s="100"/>
      <c r="H2249" s="100"/>
      <c r="I2249" s="100"/>
      <c r="J2249" s="100"/>
      <c r="K2249" s="100"/>
      <c r="L2249" s="100"/>
      <c r="M2249" s="100"/>
      <c r="N2249" s="100"/>
      <c r="O2249" s="100"/>
      <c r="P2249" s="100"/>
      <c r="Q2249" s="100"/>
      <c r="R2249" s="100"/>
      <c r="S2249" s="100"/>
      <c r="T2249" s="100"/>
      <c r="U2249" s="100"/>
      <c r="V2249" s="100"/>
      <c r="W2249" s="100"/>
      <c r="X2249" s="100"/>
      <c r="Y2249" s="100"/>
      <c r="Z2249" s="100"/>
    </row>
    <row r="2250" spans="1:26">
      <c r="A2250" s="100"/>
      <c r="B2250" s="100"/>
      <c r="C2250" s="100"/>
      <c r="D2250" s="100"/>
      <c r="E2250" s="100"/>
      <c r="F2250" s="100"/>
      <c r="G2250" s="100"/>
      <c r="H2250" s="100"/>
      <c r="I2250" s="100"/>
      <c r="J2250" s="100"/>
      <c r="K2250" s="100"/>
      <c r="L2250" s="100"/>
      <c r="M2250" s="100"/>
      <c r="N2250" s="100"/>
      <c r="O2250" s="100"/>
      <c r="P2250" s="100"/>
      <c r="Q2250" s="100"/>
      <c r="R2250" s="100"/>
      <c r="S2250" s="100"/>
      <c r="T2250" s="100"/>
      <c r="U2250" s="100"/>
      <c r="V2250" s="100"/>
      <c r="W2250" s="100"/>
      <c r="X2250" s="100"/>
      <c r="Y2250" s="100"/>
      <c r="Z2250" s="100"/>
    </row>
    <row r="2251" spans="1:26">
      <c r="A2251" s="100"/>
      <c r="B2251" s="100"/>
      <c r="C2251" s="100"/>
      <c r="D2251" s="100"/>
      <c r="E2251" s="100"/>
      <c r="F2251" s="100"/>
      <c r="G2251" s="100"/>
      <c r="H2251" s="100"/>
      <c r="I2251" s="100"/>
      <c r="J2251" s="100"/>
      <c r="K2251" s="100"/>
      <c r="L2251" s="100"/>
      <c r="M2251" s="100"/>
      <c r="N2251" s="100"/>
      <c r="O2251" s="100"/>
      <c r="P2251" s="100"/>
      <c r="Q2251" s="100"/>
      <c r="R2251" s="100"/>
      <c r="S2251" s="100"/>
      <c r="T2251" s="100"/>
      <c r="U2251" s="100"/>
      <c r="V2251" s="100"/>
      <c r="W2251" s="100"/>
      <c r="X2251" s="100"/>
      <c r="Y2251" s="100"/>
      <c r="Z2251" s="100"/>
    </row>
    <row r="2252" spans="1:26">
      <c r="A2252" s="100"/>
      <c r="B2252" s="100"/>
      <c r="C2252" s="100"/>
      <c r="D2252" s="100"/>
      <c r="E2252" s="100"/>
      <c r="F2252" s="100"/>
      <c r="G2252" s="100"/>
      <c r="H2252" s="100"/>
      <c r="I2252" s="100"/>
      <c r="J2252" s="100"/>
      <c r="K2252" s="100"/>
      <c r="L2252" s="100"/>
      <c r="M2252" s="100"/>
      <c r="N2252" s="100"/>
      <c r="O2252" s="100"/>
      <c r="P2252" s="100"/>
      <c r="Q2252" s="100"/>
      <c r="R2252" s="100"/>
      <c r="S2252" s="100"/>
      <c r="T2252" s="100"/>
      <c r="U2252" s="100"/>
      <c r="V2252" s="100"/>
      <c r="W2252" s="100"/>
      <c r="X2252" s="100"/>
      <c r="Y2252" s="100"/>
      <c r="Z2252" s="100"/>
    </row>
    <row r="2253" spans="1:26">
      <c r="A2253" s="100"/>
      <c r="B2253" s="100"/>
      <c r="C2253" s="100"/>
      <c r="D2253" s="100"/>
      <c r="E2253" s="100"/>
      <c r="F2253" s="100"/>
      <c r="G2253" s="100"/>
      <c r="H2253" s="100"/>
      <c r="I2253" s="100"/>
      <c r="J2253" s="100"/>
      <c r="K2253" s="100"/>
      <c r="L2253" s="100"/>
      <c r="M2253" s="100"/>
      <c r="N2253" s="100"/>
      <c r="O2253" s="100"/>
      <c r="P2253" s="100"/>
      <c r="Q2253" s="100"/>
      <c r="R2253" s="100"/>
      <c r="S2253" s="100"/>
      <c r="T2253" s="100"/>
      <c r="U2253" s="100"/>
      <c r="V2253" s="100"/>
      <c r="W2253" s="100"/>
      <c r="X2253" s="100"/>
      <c r="Y2253" s="100"/>
      <c r="Z2253" s="100"/>
    </row>
    <row r="2254" spans="1:26">
      <c r="A2254" s="100"/>
      <c r="B2254" s="100"/>
      <c r="C2254" s="100"/>
      <c r="D2254" s="100"/>
      <c r="E2254" s="100"/>
      <c r="F2254" s="100"/>
      <c r="G2254" s="100"/>
      <c r="H2254" s="100"/>
      <c r="I2254" s="100"/>
      <c r="J2254" s="100"/>
      <c r="K2254" s="100"/>
      <c r="L2254" s="100"/>
      <c r="M2254" s="100"/>
      <c r="N2254" s="100"/>
      <c r="O2254" s="100"/>
      <c r="P2254" s="100"/>
      <c r="Q2254" s="100"/>
      <c r="R2254" s="100"/>
      <c r="S2254" s="100"/>
      <c r="T2254" s="100"/>
      <c r="U2254" s="100"/>
      <c r="V2254" s="100"/>
      <c r="W2254" s="100"/>
      <c r="X2254" s="100"/>
      <c r="Y2254" s="100"/>
      <c r="Z2254" s="100"/>
    </row>
    <row r="2255" spans="1:26">
      <c r="A2255" s="100"/>
      <c r="B2255" s="100"/>
      <c r="C2255" s="100"/>
      <c r="D2255" s="100"/>
      <c r="E2255" s="100"/>
      <c r="F2255" s="100"/>
      <c r="G2255" s="100"/>
      <c r="H2255" s="100"/>
      <c r="I2255" s="100"/>
      <c r="J2255" s="100"/>
      <c r="K2255" s="100"/>
      <c r="L2255" s="100"/>
      <c r="M2255" s="100"/>
      <c r="N2255" s="100"/>
      <c r="O2255" s="100"/>
      <c r="P2255" s="100"/>
      <c r="Q2255" s="100"/>
      <c r="R2255" s="100"/>
      <c r="S2255" s="100"/>
      <c r="T2255" s="100"/>
      <c r="U2255" s="100"/>
      <c r="V2255" s="100"/>
      <c r="W2255" s="100"/>
      <c r="X2255" s="100"/>
      <c r="Y2255" s="100"/>
      <c r="Z2255" s="100"/>
    </row>
    <row r="2256" spans="1:26">
      <c r="A2256" s="100"/>
      <c r="B2256" s="100"/>
      <c r="C2256" s="100"/>
      <c r="D2256" s="100"/>
      <c r="E2256" s="100"/>
      <c r="F2256" s="100"/>
      <c r="G2256" s="100"/>
      <c r="H2256" s="100"/>
      <c r="I2256" s="100"/>
      <c r="J2256" s="100"/>
      <c r="K2256" s="100"/>
      <c r="L2256" s="100"/>
      <c r="M2256" s="100"/>
      <c r="N2256" s="100"/>
      <c r="O2256" s="100"/>
      <c r="P2256" s="100"/>
      <c r="Q2256" s="100"/>
      <c r="R2256" s="100"/>
      <c r="S2256" s="100"/>
      <c r="T2256" s="100"/>
      <c r="U2256" s="100"/>
      <c r="V2256" s="100"/>
      <c r="W2256" s="100"/>
      <c r="X2256" s="100"/>
      <c r="Y2256" s="100"/>
      <c r="Z2256" s="100"/>
    </row>
    <row r="2257" spans="1:26">
      <c r="A2257" s="100"/>
      <c r="B2257" s="100"/>
      <c r="C2257" s="100"/>
      <c r="D2257" s="100"/>
      <c r="E2257" s="100"/>
      <c r="F2257" s="100"/>
      <c r="G2257" s="100"/>
      <c r="H2257" s="100"/>
      <c r="I2257" s="100"/>
      <c r="J2257" s="100"/>
      <c r="K2257" s="100"/>
      <c r="L2257" s="100"/>
      <c r="M2257" s="100"/>
      <c r="N2257" s="100"/>
      <c r="O2257" s="100"/>
      <c r="P2257" s="100"/>
      <c r="Q2257" s="100"/>
      <c r="R2257" s="100"/>
      <c r="S2257" s="100"/>
      <c r="T2257" s="100"/>
      <c r="U2257" s="100"/>
      <c r="V2257" s="100"/>
      <c r="W2257" s="100"/>
      <c r="X2257" s="100"/>
      <c r="Y2257" s="100"/>
      <c r="Z2257" s="100"/>
    </row>
    <row r="2258" spans="1:26">
      <c r="A2258" s="100"/>
      <c r="B2258" s="100"/>
      <c r="C2258" s="100"/>
      <c r="D2258" s="100"/>
      <c r="E2258" s="100"/>
      <c r="F2258" s="100"/>
      <c r="G2258" s="100"/>
      <c r="H2258" s="100"/>
      <c r="I2258" s="100"/>
      <c r="J2258" s="100"/>
      <c r="K2258" s="100"/>
      <c r="L2258" s="100"/>
      <c r="M2258" s="100"/>
      <c r="N2258" s="100"/>
      <c r="O2258" s="100"/>
      <c r="P2258" s="100"/>
      <c r="Q2258" s="100"/>
      <c r="R2258" s="100"/>
      <c r="S2258" s="100"/>
      <c r="T2258" s="100"/>
      <c r="U2258" s="100"/>
      <c r="V2258" s="100"/>
      <c r="W2258" s="100"/>
      <c r="X2258" s="100"/>
      <c r="Y2258" s="100"/>
      <c r="Z2258" s="100"/>
    </row>
    <row r="2259" spans="1:26">
      <c r="A2259" s="100"/>
      <c r="B2259" s="100"/>
      <c r="C2259" s="100"/>
      <c r="D2259" s="100"/>
      <c r="E2259" s="100"/>
      <c r="F2259" s="100"/>
      <c r="G2259" s="100"/>
      <c r="H2259" s="100"/>
      <c r="I2259" s="100"/>
      <c r="J2259" s="100"/>
      <c r="K2259" s="100"/>
      <c r="L2259" s="100"/>
      <c r="M2259" s="100"/>
      <c r="N2259" s="100"/>
      <c r="O2259" s="100"/>
      <c r="P2259" s="100"/>
      <c r="Q2259" s="100"/>
      <c r="R2259" s="100"/>
      <c r="S2259" s="100"/>
      <c r="T2259" s="100"/>
      <c r="U2259" s="100"/>
      <c r="V2259" s="100"/>
      <c r="W2259" s="100"/>
      <c r="X2259" s="100"/>
      <c r="Y2259" s="100"/>
      <c r="Z2259" s="100"/>
    </row>
    <row r="2260" spans="1:26">
      <c r="A2260" s="100"/>
      <c r="B2260" s="100"/>
      <c r="C2260" s="100"/>
      <c r="D2260" s="100"/>
      <c r="E2260" s="100"/>
      <c r="F2260" s="100"/>
      <c r="G2260" s="100"/>
      <c r="H2260" s="100"/>
      <c r="I2260" s="100"/>
      <c r="J2260" s="100"/>
      <c r="K2260" s="100"/>
      <c r="L2260" s="100"/>
      <c r="M2260" s="100"/>
      <c r="N2260" s="100"/>
      <c r="O2260" s="100"/>
      <c r="P2260" s="100"/>
      <c r="Q2260" s="100"/>
      <c r="R2260" s="100"/>
      <c r="S2260" s="100"/>
      <c r="T2260" s="100"/>
      <c r="U2260" s="100"/>
      <c r="V2260" s="100"/>
      <c r="W2260" s="100"/>
      <c r="X2260" s="100"/>
      <c r="Y2260" s="100"/>
      <c r="Z2260" s="100"/>
    </row>
    <row r="2261" spans="1:26">
      <c r="A2261" s="100"/>
      <c r="B2261" s="100"/>
      <c r="C2261" s="100"/>
      <c r="D2261" s="100"/>
      <c r="E2261" s="100"/>
      <c r="F2261" s="100"/>
      <c r="G2261" s="100"/>
      <c r="H2261" s="100"/>
      <c r="I2261" s="100"/>
      <c r="J2261" s="100"/>
      <c r="K2261" s="100"/>
      <c r="L2261" s="100"/>
      <c r="M2261" s="100"/>
      <c r="N2261" s="100"/>
      <c r="O2261" s="100"/>
      <c r="P2261" s="100"/>
      <c r="Q2261" s="100"/>
      <c r="R2261" s="100"/>
      <c r="S2261" s="100"/>
      <c r="T2261" s="100"/>
      <c r="U2261" s="100"/>
      <c r="V2261" s="100"/>
      <c r="W2261" s="100"/>
      <c r="X2261" s="100"/>
      <c r="Y2261" s="100"/>
      <c r="Z2261" s="100"/>
    </row>
    <row r="2262" spans="1:26">
      <c r="A2262" s="100"/>
      <c r="B2262" s="100"/>
      <c r="C2262" s="100"/>
      <c r="D2262" s="100"/>
      <c r="E2262" s="100"/>
      <c r="F2262" s="100"/>
      <c r="G2262" s="100"/>
      <c r="H2262" s="100"/>
      <c r="I2262" s="100"/>
      <c r="J2262" s="100"/>
      <c r="K2262" s="100"/>
      <c r="L2262" s="100"/>
      <c r="M2262" s="100"/>
      <c r="N2262" s="100"/>
      <c r="O2262" s="100"/>
      <c r="P2262" s="100"/>
      <c r="Q2262" s="100"/>
      <c r="R2262" s="100"/>
      <c r="S2262" s="100"/>
      <c r="T2262" s="100"/>
      <c r="U2262" s="100"/>
      <c r="V2262" s="100"/>
      <c r="W2262" s="100"/>
      <c r="X2262" s="100"/>
      <c r="Y2262" s="100"/>
      <c r="Z2262" s="100"/>
    </row>
    <row r="2263" spans="1:26">
      <c r="A2263" s="100"/>
      <c r="B2263" s="100"/>
      <c r="C2263" s="100"/>
      <c r="D2263" s="100"/>
      <c r="E2263" s="100"/>
      <c r="F2263" s="100"/>
      <c r="G2263" s="100"/>
      <c r="H2263" s="100"/>
      <c r="I2263" s="100"/>
      <c r="J2263" s="100"/>
      <c r="K2263" s="100"/>
      <c r="L2263" s="100"/>
      <c r="M2263" s="100"/>
      <c r="N2263" s="100"/>
      <c r="O2263" s="100"/>
      <c r="P2263" s="100"/>
      <c r="Q2263" s="100"/>
      <c r="R2263" s="100"/>
      <c r="S2263" s="100"/>
      <c r="T2263" s="100"/>
      <c r="U2263" s="100"/>
      <c r="V2263" s="100"/>
      <c r="W2263" s="100"/>
      <c r="X2263" s="100"/>
      <c r="Y2263" s="100"/>
      <c r="Z2263" s="100"/>
    </row>
    <row r="2264" spans="1:26">
      <c r="A2264" s="100"/>
      <c r="B2264" s="100"/>
      <c r="C2264" s="100"/>
      <c r="D2264" s="100"/>
      <c r="E2264" s="100"/>
      <c r="F2264" s="100"/>
      <c r="G2264" s="100"/>
      <c r="H2264" s="100"/>
      <c r="I2264" s="100"/>
      <c r="J2264" s="100"/>
      <c r="K2264" s="100"/>
      <c r="L2264" s="100"/>
      <c r="M2264" s="100"/>
      <c r="N2264" s="100"/>
      <c r="O2264" s="100"/>
      <c r="P2264" s="100"/>
      <c r="Q2264" s="100"/>
      <c r="R2264" s="100"/>
      <c r="S2264" s="100"/>
      <c r="T2264" s="100"/>
      <c r="U2264" s="100"/>
      <c r="V2264" s="100"/>
      <c r="W2264" s="100"/>
      <c r="X2264" s="100"/>
      <c r="Y2264" s="100"/>
      <c r="Z2264" s="100"/>
    </row>
    <row r="2265" spans="1:26">
      <c r="A2265" s="100"/>
      <c r="B2265" s="100"/>
      <c r="C2265" s="100"/>
      <c r="D2265" s="100"/>
      <c r="E2265" s="100"/>
      <c r="F2265" s="100"/>
      <c r="G2265" s="100"/>
      <c r="H2265" s="100"/>
      <c r="I2265" s="100"/>
      <c r="J2265" s="100"/>
      <c r="K2265" s="100"/>
      <c r="L2265" s="100"/>
      <c r="M2265" s="100"/>
      <c r="N2265" s="100"/>
      <c r="O2265" s="100"/>
      <c r="P2265" s="100"/>
      <c r="Q2265" s="100"/>
      <c r="R2265" s="100"/>
      <c r="S2265" s="100"/>
      <c r="T2265" s="100"/>
      <c r="U2265" s="100"/>
      <c r="V2265" s="100"/>
      <c r="W2265" s="100"/>
      <c r="X2265" s="100"/>
      <c r="Y2265" s="100"/>
      <c r="Z2265" s="100"/>
    </row>
    <row r="2266" spans="1:26">
      <c r="A2266" s="100"/>
      <c r="B2266" s="100"/>
      <c r="C2266" s="100"/>
      <c r="D2266" s="100"/>
      <c r="E2266" s="100"/>
      <c r="F2266" s="100"/>
      <c r="G2266" s="100"/>
      <c r="H2266" s="100"/>
      <c r="I2266" s="100"/>
      <c r="J2266" s="100"/>
      <c r="K2266" s="100"/>
      <c r="L2266" s="100"/>
      <c r="M2266" s="100"/>
      <c r="N2266" s="100"/>
      <c r="O2266" s="100"/>
      <c r="P2266" s="100"/>
      <c r="Q2266" s="100"/>
      <c r="R2266" s="100"/>
      <c r="S2266" s="100"/>
      <c r="T2266" s="100"/>
      <c r="U2266" s="100"/>
      <c r="V2266" s="100"/>
      <c r="W2266" s="100"/>
      <c r="X2266" s="100"/>
      <c r="Y2266" s="100"/>
      <c r="Z2266" s="100"/>
    </row>
    <row r="2267" spans="1:26">
      <c r="A2267" s="100"/>
      <c r="B2267" s="100"/>
      <c r="C2267" s="100"/>
      <c r="D2267" s="100"/>
      <c r="E2267" s="100"/>
      <c r="F2267" s="100"/>
      <c r="G2267" s="100"/>
      <c r="H2267" s="100"/>
      <c r="I2267" s="100"/>
      <c r="J2267" s="100"/>
      <c r="K2267" s="100"/>
      <c r="L2267" s="100"/>
      <c r="M2267" s="100"/>
      <c r="N2267" s="100"/>
      <c r="O2267" s="100"/>
      <c r="P2267" s="100"/>
      <c r="Q2267" s="100"/>
      <c r="R2267" s="100"/>
      <c r="S2267" s="100"/>
      <c r="T2267" s="100"/>
      <c r="U2267" s="100"/>
      <c r="V2267" s="100"/>
      <c r="W2267" s="100"/>
      <c r="X2267" s="100"/>
      <c r="Y2267" s="100"/>
      <c r="Z2267" s="100"/>
    </row>
    <row r="2268" spans="1:26">
      <c r="A2268" s="100"/>
      <c r="B2268" s="100"/>
      <c r="C2268" s="100"/>
      <c r="D2268" s="100"/>
      <c r="E2268" s="100"/>
      <c r="F2268" s="100"/>
      <c r="G2268" s="100"/>
      <c r="H2268" s="100"/>
      <c r="I2268" s="100"/>
      <c r="J2268" s="100"/>
      <c r="K2268" s="100"/>
      <c r="L2268" s="100"/>
      <c r="M2268" s="100"/>
      <c r="N2268" s="100"/>
      <c r="O2268" s="100"/>
      <c r="P2268" s="100"/>
      <c r="Q2268" s="100"/>
      <c r="R2268" s="100"/>
      <c r="S2268" s="100"/>
      <c r="T2268" s="100"/>
      <c r="U2268" s="100"/>
      <c r="V2268" s="100"/>
      <c r="W2268" s="100"/>
      <c r="X2268" s="100"/>
      <c r="Y2268" s="100"/>
      <c r="Z2268" s="100"/>
    </row>
    <row r="2269" spans="1:26">
      <c r="A2269" s="100"/>
      <c r="B2269" s="100"/>
      <c r="C2269" s="100"/>
      <c r="D2269" s="100"/>
      <c r="E2269" s="100"/>
      <c r="F2269" s="100"/>
      <c r="G2269" s="100"/>
      <c r="H2269" s="100"/>
      <c r="I2269" s="100"/>
      <c r="J2269" s="100"/>
      <c r="K2269" s="100"/>
      <c r="L2269" s="100"/>
      <c r="M2269" s="100"/>
      <c r="N2269" s="100"/>
      <c r="O2269" s="100"/>
      <c r="P2269" s="100"/>
      <c r="Q2269" s="100"/>
      <c r="R2269" s="100"/>
      <c r="S2269" s="100"/>
      <c r="T2269" s="100"/>
      <c r="U2269" s="100"/>
      <c r="V2269" s="100"/>
      <c r="W2269" s="100"/>
      <c r="X2269" s="100"/>
      <c r="Y2269" s="100"/>
      <c r="Z2269" s="100"/>
    </row>
    <row r="2270" spans="1:26">
      <c r="A2270" s="100"/>
      <c r="B2270" s="100"/>
      <c r="C2270" s="100"/>
      <c r="D2270" s="100"/>
      <c r="E2270" s="100"/>
      <c r="F2270" s="100"/>
      <c r="G2270" s="100"/>
      <c r="H2270" s="100"/>
      <c r="I2270" s="100"/>
      <c r="J2270" s="100"/>
      <c r="K2270" s="100"/>
      <c r="L2270" s="100"/>
      <c r="M2270" s="100"/>
      <c r="N2270" s="100"/>
      <c r="O2270" s="100"/>
      <c r="P2270" s="100"/>
      <c r="Q2270" s="100"/>
      <c r="R2270" s="100"/>
      <c r="S2270" s="100"/>
      <c r="T2270" s="100"/>
      <c r="U2270" s="100"/>
      <c r="V2270" s="100"/>
      <c r="W2270" s="100"/>
      <c r="X2270" s="100"/>
      <c r="Y2270" s="100"/>
      <c r="Z2270" s="100"/>
    </row>
    <row r="2271" spans="1:26">
      <c r="A2271" s="100"/>
      <c r="B2271" s="100"/>
      <c r="C2271" s="100"/>
      <c r="D2271" s="100"/>
      <c r="E2271" s="100"/>
      <c r="F2271" s="100"/>
      <c r="G2271" s="100"/>
      <c r="H2271" s="100"/>
      <c r="I2271" s="100"/>
      <c r="J2271" s="100"/>
      <c r="K2271" s="100"/>
      <c r="L2271" s="100"/>
      <c r="M2271" s="100"/>
      <c r="N2271" s="100"/>
      <c r="O2271" s="100"/>
      <c r="P2271" s="100"/>
      <c r="Q2271" s="100"/>
      <c r="R2271" s="100"/>
      <c r="S2271" s="100"/>
      <c r="T2271" s="100"/>
      <c r="U2271" s="100"/>
      <c r="V2271" s="100"/>
      <c r="W2271" s="100"/>
      <c r="X2271" s="100"/>
      <c r="Y2271" s="100"/>
      <c r="Z2271" s="100"/>
    </row>
    <row r="2272" spans="1:26">
      <c r="A2272" s="100"/>
      <c r="B2272" s="100"/>
      <c r="C2272" s="100"/>
      <c r="D2272" s="100"/>
      <c r="E2272" s="100"/>
      <c r="F2272" s="100"/>
      <c r="G2272" s="100"/>
      <c r="H2272" s="100"/>
      <c r="I2272" s="100"/>
      <c r="J2272" s="100"/>
      <c r="K2272" s="100"/>
      <c r="L2272" s="100"/>
      <c r="M2272" s="100"/>
      <c r="N2272" s="100"/>
      <c r="O2272" s="100"/>
      <c r="P2272" s="100"/>
      <c r="Q2272" s="100"/>
      <c r="R2272" s="100"/>
      <c r="S2272" s="100"/>
      <c r="T2272" s="100"/>
      <c r="U2272" s="100"/>
      <c r="V2272" s="100"/>
      <c r="W2272" s="100"/>
      <c r="X2272" s="100"/>
      <c r="Y2272" s="100"/>
      <c r="Z2272" s="100"/>
    </row>
    <row r="2273" spans="1:26">
      <c r="A2273" s="100"/>
      <c r="B2273" s="100"/>
      <c r="C2273" s="100"/>
      <c r="D2273" s="100"/>
      <c r="E2273" s="100"/>
      <c r="F2273" s="100"/>
      <c r="G2273" s="100"/>
      <c r="H2273" s="100"/>
      <c r="I2273" s="100"/>
      <c r="J2273" s="100"/>
      <c r="K2273" s="100"/>
      <c r="L2273" s="100"/>
      <c r="M2273" s="100"/>
      <c r="N2273" s="100"/>
      <c r="O2273" s="100"/>
      <c r="P2273" s="100"/>
      <c r="Q2273" s="100"/>
      <c r="R2273" s="100"/>
      <c r="S2273" s="100"/>
      <c r="T2273" s="100"/>
      <c r="U2273" s="100"/>
      <c r="V2273" s="100"/>
      <c r="W2273" s="100"/>
      <c r="X2273" s="100"/>
      <c r="Y2273" s="100"/>
      <c r="Z2273" s="100"/>
    </row>
    <row r="2274" spans="1:26">
      <c r="A2274" s="100"/>
      <c r="B2274" s="100"/>
      <c r="C2274" s="100"/>
      <c r="D2274" s="100"/>
      <c r="E2274" s="100"/>
      <c r="F2274" s="100"/>
      <c r="G2274" s="100"/>
      <c r="H2274" s="100"/>
      <c r="I2274" s="100"/>
      <c r="J2274" s="100"/>
      <c r="K2274" s="100"/>
      <c r="L2274" s="100"/>
      <c r="M2274" s="100"/>
      <c r="N2274" s="100"/>
      <c r="O2274" s="100"/>
      <c r="P2274" s="100"/>
      <c r="Q2274" s="100"/>
      <c r="R2274" s="100"/>
      <c r="S2274" s="100"/>
      <c r="T2274" s="100"/>
      <c r="U2274" s="100"/>
      <c r="V2274" s="100"/>
      <c r="W2274" s="100"/>
      <c r="X2274" s="100"/>
      <c r="Y2274" s="100"/>
      <c r="Z2274" s="100"/>
    </row>
    <row r="2275" spans="1:26">
      <c r="A2275" s="100"/>
      <c r="B2275" s="100"/>
      <c r="C2275" s="100"/>
      <c r="D2275" s="100"/>
      <c r="E2275" s="100"/>
      <c r="F2275" s="100"/>
      <c r="G2275" s="100"/>
      <c r="H2275" s="100"/>
      <c r="I2275" s="100"/>
      <c r="J2275" s="100"/>
      <c r="K2275" s="100"/>
      <c r="L2275" s="100"/>
      <c r="M2275" s="100"/>
      <c r="N2275" s="100"/>
      <c r="O2275" s="100"/>
      <c r="P2275" s="100"/>
      <c r="Q2275" s="100"/>
      <c r="R2275" s="100"/>
      <c r="S2275" s="100"/>
      <c r="T2275" s="100"/>
      <c r="U2275" s="100"/>
      <c r="V2275" s="100"/>
      <c r="W2275" s="100"/>
      <c r="X2275" s="100"/>
      <c r="Y2275" s="100"/>
      <c r="Z2275" s="100"/>
    </row>
    <row r="2276" spans="1:26">
      <c r="A2276" s="100"/>
      <c r="B2276" s="100"/>
      <c r="C2276" s="100"/>
      <c r="D2276" s="100"/>
      <c r="E2276" s="100"/>
      <c r="F2276" s="100"/>
      <c r="G2276" s="100"/>
      <c r="H2276" s="100"/>
      <c r="I2276" s="100"/>
      <c r="J2276" s="100"/>
      <c r="K2276" s="100"/>
      <c r="L2276" s="100"/>
      <c r="M2276" s="100"/>
      <c r="N2276" s="100"/>
      <c r="O2276" s="100"/>
      <c r="P2276" s="100"/>
      <c r="Q2276" s="100"/>
      <c r="R2276" s="100"/>
      <c r="S2276" s="100"/>
      <c r="T2276" s="100"/>
      <c r="U2276" s="100"/>
      <c r="V2276" s="100"/>
      <c r="W2276" s="100"/>
      <c r="X2276" s="100"/>
      <c r="Y2276" s="100"/>
      <c r="Z2276" s="100"/>
    </row>
    <row r="2277" spans="1:26">
      <c r="A2277" s="100"/>
      <c r="B2277" s="100"/>
      <c r="C2277" s="100"/>
      <c r="D2277" s="100"/>
      <c r="E2277" s="100"/>
      <c r="F2277" s="100"/>
      <c r="G2277" s="100"/>
      <c r="H2277" s="100"/>
      <c r="I2277" s="100"/>
      <c r="J2277" s="100"/>
      <c r="K2277" s="100"/>
      <c r="L2277" s="100"/>
      <c r="M2277" s="100"/>
      <c r="N2277" s="100"/>
      <c r="O2277" s="100"/>
      <c r="P2277" s="100"/>
      <c r="Q2277" s="100"/>
      <c r="R2277" s="100"/>
      <c r="S2277" s="100"/>
      <c r="T2277" s="100"/>
      <c r="U2277" s="100"/>
      <c r="V2277" s="100"/>
      <c r="W2277" s="100"/>
      <c r="X2277" s="100"/>
      <c r="Y2277" s="100"/>
      <c r="Z2277" s="100"/>
    </row>
    <row r="2278" spans="1:26">
      <c r="A2278" s="100"/>
      <c r="B2278" s="100"/>
      <c r="C2278" s="100"/>
      <c r="D2278" s="100"/>
      <c r="E2278" s="100"/>
      <c r="F2278" s="100"/>
      <c r="G2278" s="100"/>
      <c r="H2278" s="100"/>
      <c r="I2278" s="100"/>
      <c r="J2278" s="100"/>
      <c r="K2278" s="100"/>
      <c r="L2278" s="100"/>
      <c r="M2278" s="100"/>
      <c r="N2278" s="100"/>
      <c r="O2278" s="100"/>
      <c r="P2278" s="100"/>
      <c r="Q2278" s="100"/>
      <c r="R2278" s="100"/>
      <c r="S2278" s="100"/>
      <c r="T2278" s="100"/>
      <c r="U2278" s="100"/>
      <c r="V2278" s="100"/>
      <c r="W2278" s="100"/>
      <c r="X2278" s="100"/>
      <c r="Y2278" s="100"/>
      <c r="Z2278" s="100"/>
    </row>
    <row r="2279" spans="1:26">
      <c r="A2279" s="100"/>
      <c r="B2279" s="100"/>
      <c r="C2279" s="100"/>
      <c r="D2279" s="100"/>
      <c r="E2279" s="100"/>
      <c r="F2279" s="100"/>
      <c r="G2279" s="100"/>
      <c r="H2279" s="100"/>
      <c r="I2279" s="100"/>
      <c r="J2279" s="100"/>
      <c r="K2279" s="100"/>
      <c r="L2279" s="100"/>
      <c r="M2279" s="100"/>
      <c r="N2279" s="100"/>
      <c r="O2279" s="100"/>
      <c r="P2279" s="100"/>
      <c r="Q2279" s="100"/>
      <c r="R2279" s="100"/>
      <c r="S2279" s="100"/>
      <c r="T2279" s="100"/>
      <c r="U2279" s="100"/>
      <c r="V2279" s="100"/>
      <c r="W2279" s="100"/>
      <c r="X2279" s="100"/>
      <c r="Y2279" s="100"/>
      <c r="Z2279" s="100"/>
    </row>
    <row r="2280" spans="1:26">
      <c r="A2280" s="100"/>
      <c r="B2280" s="100"/>
      <c r="C2280" s="100"/>
      <c r="D2280" s="100"/>
      <c r="E2280" s="100"/>
      <c r="F2280" s="100"/>
      <c r="G2280" s="100"/>
      <c r="H2280" s="100"/>
      <c r="I2280" s="100"/>
      <c r="J2280" s="100"/>
      <c r="K2280" s="100"/>
      <c r="L2280" s="100"/>
      <c r="M2280" s="100"/>
      <c r="N2280" s="100"/>
      <c r="O2280" s="100"/>
      <c r="P2280" s="100"/>
      <c r="Q2280" s="100"/>
      <c r="R2280" s="100"/>
      <c r="S2280" s="100"/>
      <c r="T2280" s="100"/>
      <c r="U2280" s="100"/>
      <c r="V2280" s="100"/>
      <c r="W2280" s="100"/>
      <c r="X2280" s="100"/>
      <c r="Y2280" s="100"/>
      <c r="Z2280" s="100"/>
    </row>
    <row r="2281" spans="1:26">
      <c r="A2281" s="100"/>
      <c r="B2281" s="100"/>
      <c r="C2281" s="100"/>
      <c r="D2281" s="100"/>
      <c r="E2281" s="100"/>
      <c r="F2281" s="100"/>
      <c r="G2281" s="100"/>
      <c r="H2281" s="100"/>
      <c r="I2281" s="100"/>
      <c r="J2281" s="100"/>
      <c r="K2281" s="100"/>
      <c r="L2281" s="100"/>
      <c r="M2281" s="100"/>
      <c r="N2281" s="100"/>
      <c r="O2281" s="100"/>
      <c r="P2281" s="100"/>
      <c r="Q2281" s="100"/>
      <c r="R2281" s="100"/>
      <c r="S2281" s="100"/>
      <c r="T2281" s="100"/>
      <c r="U2281" s="100"/>
      <c r="V2281" s="100"/>
      <c r="W2281" s="100"/>
      <c r="X2281" s="100"/>
      <c r="Y2281" s="100"/>
      <c r="Z2281" s="100"/>
    </row>
    <row r="2282" spans="1:26">
      <c r="A2282" s="100"/>
      <c r="B2282" s="100"/>
      <c r="C2282" s="100"/>
      <c r="D2282" s="100"/>
      <c r="E2282" s="100"/>
      <c r="F2282" s="100"/>
      <c r="G2282" s="100"/>
      <c r="H2282" s="100"/>
      <c r="I2282" s="100"/>
      <c r="J2282" s="100"/>
      <c r="K2282" s="100"/>
      <c r="L2282" s="100"/>
      <c r="M2282" s="100"/>
      <c r="N2282" s="100"/>
      <c r="O2282" s="100"/>
      <c r="P2282" s="100"/>
      <c r="Q2282" s="100"/>
      <c r="R2282" s="100"/>
      <c r="S2282" s="100"/>
      <c r="T2282" s="100"/>
      <c r="U2282" s="100"/>
      <c r="V2282" s="100"/>
      <c r="W2282" s="100"/>
      <c r="X2282" s="100"/>
      <c r="Y2282" s="100"/>
      <c r="Z2282" s="100"/>
    </row>
    <row r="2283" spans="1:26">
      <c r="A2283" s="100"/>
      <c r="B2283" s="100"/>
      <c r="C2283" s="100"/>
      <c r="D2283" s="100"/>
      <c r="E2283" s="100"/>
      <c r="F2283" s="100"/>
      <c r="G2283" s="100"/>
      <c r="H2283" s="100"/>
      <c r="I2283" s="100"/>
      <c r="J2283" s="100"/>
      <c r="K2283" s="100"/>
      <c r="L2283" s="100"/>
      <c r="M2283" s="100"/>
      <c r="N2283" s="100"/>
      <c r="O2283" s="100"/>
      <c r="P2283" s="100"/>
      <c r="Q2283" s="100"/>
      <c r="R2283" s="100"/>
      <c r="S2283" s="100"/>
      <c r="T2283" s="100"/>
      <c r="U2283" s="100"/>
      <c r="V2283" s="100"/>
      <c r="W2283" s="100"/>
      <c r="X2283" s="100"/>
      <c r="Y2283" s="100"/>
      <c r="Z2283" s="100"/>
    </row>
    <row r="2284" spans="1:26">
      <c r="A2284" s="100"/>
      <c r="B2284" s="100"/>
      <c r="C2284" s="100"/>
      <c r="D2284" s="100"/>
      <c r="E2284" s="100"/>
      <c r="F2284" s="100"/>
      <c r="G2284" s="100"/>
      <c r="H2284" s="100"/>
      <c r="I2284" s="100"/>
      <c r="J2284" s="100"/>
      <c r="K2284" s="100"/>
      <c r="L2284" s="100"/>
      <c r="M2284" s="100"/>
      <c r="N2284" s="100"/>
      <c r="O2284" s="100"/>
      <c r="P2284" s="100"/>
      <c r="Q2284" s="100"/>
      <c r="R2284" s="100"/>
      <c r="S2284" s="100"/>
      <c r="T2284" s="100"/>
      <c r="U2284" s="100"/>
      <c r="V2284" s="100"/>
      <c r="W2284" s="100"/>
      <c r="X2284" s="100"/>
      <c r="Y2284" s="100"/>
      <c r="Z2284" s="100"/>
    </row>
    <row r="2285" spans="1:26">
      <c r="A2285" s="100"/>
      <c r="B2285" s="100"/>
      <c r="C2285" s="100"/>
      <c r="D2285" s="100"/>
      <c r="E2285" s="100"/>
      <c r="F2285" s="100"/>
      <c r="G2285" s="100"/>
      <c r="H2285" s="100"/>
      <c r="I2285" s="100"/>
      <c r="J2285" s="100"/>
      <c r="K2285" s="100"/>
      <c r="L2285" s="100"/>
      <c r="M2285" s="100"/>
      <c r="N2285" s="100"/>
      <c r="O2285" s="100"/>
      <c r="P2285" s="100"/>
      <c r="Q2285" s="100"/>
      <c r="R2285" s="100"/>
      <c r="S2285" s="100"/>
      <c r="T2285" s="100"/>
      <c r="U2285" s="100"/>
      <c r="V2285" s="100"/>
      <c r="W2285" s="100"/>
      <c r="X2285" s="100"/>
      <c r="Y2285" s="100"/>
      <c r="Z2285" s="100"/>
    </row>
    <row r="2286" spans="1:26">
      <c r="A2286" s="100"/>
      <c r="B2286" s="100"/>
      <c r="C2286" s="100"/>
      <c r="D2286" s="100"/>
      <c r="E2286" s="100"/>
      <c r="F2286" s="100"/>
      <c r="G2286" s="100"/>
      <c r="H2286" s="100"/>
      <c r="I2286" s="100"/>
      <c r="J2286" s="100"/>
      <c r="K2286" s="100"/>
      <c r="L2286" s="100"/>
      <c r="M2286" s="100"/>
      <c r="N2286" s="100"/>
      <c r="O2286" s="100"/>
      <c r="P2286" s="100"/>
      <c r="Q2286" s="100"/>
      <c r="R2286" s="100"/>
      <c r="S2286" s="100"/>
      <c r="T2286" s="100"/>
      <c r="U2286" s="100"/>
      <c r="V2286" s="100"/>
      <c r="W2286" s="100"/>
      <c r="X2286" s="100"/>
      <c r="Y2286" s="100"/>
      <c r="Z2286" s="100"/>
    </row>
    <row r="2287" spans="1:26">
      <c r="A2287" s="100"/>
      <c r="B2287" s="100"/>
      <c r="C2287" s="100"/>
      <c r="D2287" s="100"/>
      <c r="E2287" s="100"/>
      <c r="F2287" s="100"/>
      <c r="G2287" s="100"/>
      <c r="H2287" s="100"/>
      <c r="I2287" s="100"/>
      <c r="J2287" s="100"/>
      <c r="K2287" s="100"/>
      <c r="L2287" s="100"/>
      <c r="M2287" s="100"/>
      <c r="N2287" s="100"/>
      <c r="O2287" s="100"/>
      <c r="P2287" s="100"/>
      <c r="Q2287" s="100"/>
      <c r="R2287" s="100"/>
      <c r="S2287" s="100"/>
      <c r="T2287" s="100"/>
      <c r="U2287" s="100"/>
      <c r="V2287" s="100"/>
      <c r="W2287" s="100"/>
      <c r="X2287" s="100"/>
      <c r="Y2287" s="100"/>
      <c r="Z2287" s="100"/>
    </row>
    <row r="2288" spans="1:26">
      <c r="A2288" s="100"/>
      <c r="B2288" s="100"/>
      <c r="C2288" s="100"/>
      <c r="D2288" s="100"/>
      <c r="E2288" s="100"/>
      <c r="F2288" s="100"/>
      <c r="G2288" s="100"/>
      <c r="H2288" s="100"/>
      <c r="I2288" s="100"/>
      <c r="J2288" s="100"/>
      <c r="K2288" s="100"/>
      <c r="L2288" s="100"/>
      <c r="M2288" s="100"/>
      <c r="N2288" s="100"/>
      <c r="O2288" s="100"/>
      <c r="P2288" s="100"/>
      <c r="Q2288" s="100"/>
      <c r="R2288" s="100"/>
      <c r="S2288" s="100"/>
      <c r="T2288" s="100"/>
      <c r="U2288" s="100"/>
      <c r="V2288" s="100"/>
      <c r="W2288" s="100"/>
      <c r="X2288" s="100"/>
      <c r="Y2288" s="100"/>
      <c r="Z2288" s="100"/>
    </row>
    <row r="2289" spans="1:26">
      <c r="A2289" s="100"/>
      <c r="B2289" s="100"/>
      <c r="C2289" s="100"/>
      <c r="D2289" s="100"/>
      <c r="E2289" s="100"/>
      <c r="F2289" s="100"/>
      <c r="G2289" s="100"/>
      <c r="H2289" s="100"/>
      <c r="I2289" s="100"/>
      <c r="J2289" s="100"/>
      <c r="K2289" s="100"/>
      <c r="L2289" s="100"/>
      <c r="M2289" s="100"/>
      <c r="N2289" s="100"/>
      <c r="O2289" s="100"/>
      <c r="P2289" s="100"/>
      <c r="Q2289" s="100"/>
      <c r="R2289" s="100"/>
      <c r="S2289" s="100"/>
      <c r="T2289" s="100"/>
      <c r="U2289" s="100"/>
      <c r="V2289" s="100"/>
      <c r="W2289" s="100"/>
      <c r="X2289" s="100"/>
      <c r="Y2289" s="100"/>
      <c r="Z2289" s="100"/>
    </row>
    <row r="2290" spans="1:26">
      <c r="A2290" s="100"/>
      <c r="B2290" s="100"/>
      <c r="C2290" s="100"/>
      <c r="D2290" s="100"/>
      <c r="E2290" s="100"/>
      <c r="F2290" s="100"/>
      <c r="G2290" s="100"/>
      <c r="H2290" s="100"/>
      <c r="I2290" s="100"/>
      <c r="J2290" s="100"/>
      <c r="K2290" s="100"/>
      <c r="L2290" s="100"/>
      <c r="M2290" s="100"/>
      <c r="N2290" s="100"/>
      <c r="O2290" s="100"/>
      <c r="P2290" s="100"/>
      <c r="Q2290" s="100"/>
      <c r="R2290" s="100"/>
      <c r="S2290" s="100"/>
      <c r="T2290" s="100"/>
      <c r="U2290" s="100"/>
      <c r="V2290" s="100"/>
      <c r="W2290" s="100"/>
      <c r="X2290" s="100"/>
      <c r="Y2290" s="100"/>
      <c r="Z2290" s="100"/>
    </row>
    <row r="2291" spans="1:26">
      <c r="A2291" s="100"/>
      <c r="B2291" s="100"/>
      <c r="C2291" s="100"/>
      <c r="D2291" s="100"/>
      <c r="E2291" s="100"/>
      <c r="F2291" s="100"/>
      <c r="G2291" s="100"/>
      <c r="H2291" s="100"/>
      <c r="I2291" s="100"/>
      <c r="J2291" s="100"/>
      <c r="K2291" s="100"/>
      <c r="L2291" s="100"/>
      <c r="M2291" s="100"/>
      <c r="N2291" s="100"/>
      <c r="O2291" s="100"/>
      <c r="P2291" s="100"/>
      <c r="Q2291" s="100"/>
      <c r="R2291" s="100"/>
      <c r="S2291" s="100"/>
      <c r="T2291" s="100"/>
      <c r="U2291" s="100"/>
      <c r="V2291" s="100"/>
      <c r="W2291" s="100"/>
      <c r="X2291" s="100"/>
      <c r="Y2291" s="100"/>
      <c r="Z2291" s="100"/>
    </row>
    <row r="2292" spans="1:26">
      <c r="A2292" s="100"/>
      <c r="B2292" s="100"/>
      <c r="C2292" s="100"/>
      <c r="D2292" s="100"/>
      <c r="E2292" s="100"/>
      <c r="F2292" s="100"/>
      <c r="G2292" s="100"/>
      <c r="H2292" s="100"/>
      <c r="I2292" s="100"/>
      <c r="J2292" s="100"/>
      <c r="K2292" s="100"/>
      <c r="L2292" s="100"/>
      <c r="M2292" s="100"/>
      <c r="N2292" s="100"/>
      <c r="O2292" s="100"/>
      <c r="P2292" s="100"/>
      <c r="Q2292" s="100"/>
      <c r="R2292" s="100"/>
      <c r="S2292" s="100"/>
      <c r="T2292" s="100"/>
      <c r="U2292" s="100"/>
      <c r="V2292" s="100"/>
      <c r="W2292" s="100"/>
      <c r="X2292" s="100"/>
      <c r="Y2292" s="100"/>
      <c r="Z2292" s="100"/>
    </row>
    <row r="2293" spans="1:26">
      <c r="A2293" s="100"/>
      <c r="B2293" s="100"/>
      <c r="C2293" s="100"/>
      <c r="D2293" s="100"/>
      <c r="E2293" s="100"/>
      <c r="F2293" s="100"/>
      <c r="G2293" s="100"/>
      <c r="H2293" s="100"/>
      <c r="I2293" s="100"/>
      <c r="J2293" s="100"/>
      <c r="K2293" s="100"/>
      <c r="L2293" s="100"/>
      <c r="M2293" s="100"/>
      <c r="N2293" s="100"/>
      <c r="O2293" s="100"/>
      <c r="P2293" s="100"/>
      <c r="Q2293" s="100"/>
      <c r="R2293" s="100"/>
      <c r="S2293" s="100"/>
      <c r="T2293" s="100"/>
      <c r="U2293" s="100"/>
      <c r="V2293" s="100"/>
      <c r="W2293" s="100"/>
      <c r="X2293" s="100"/>
      <c r="Y2293" s="100"/>
      <c r="Z2293" s="100"/>
    </row>
    <row r="2294" spans="1:26">
      <c r="A2294" s="100"/>
      <c r="B2294" s="100"/>
      <c r="C2294" s="100"/>
      <c r="D2294" s="100"/>
      <c r="E2294" s="100"/>
      <c r="F2294" s="100"/>
      <c r="G2294" s="100"/>
      <c r="H2294" s="100"/>
      <c r="I2294" s="100"/>
      <c r="J2294" s="100"/>
      <c r="K2294" s="100"/>
      <c r="L2294" s="100"/>
      <c r="M2294" s="100"/>
      <c r="N2294" s="100"/>
      <c r="O2294" s="100"/>
      <c r="P2294" s="100"/>
      <c r="Q2294" s="100"/>
      <c r="R2294" s="100"/>
      <c r="S2294" s="100"/>
      <c r="T2294" s="100"/>
      <c r="U2294" s="100"/>
      <c r="V2294" s="100"/>
      <c r="W2294" s="100"/>
      <c r="X2294" s="100"/>
      <c r="Y2294" s="100"/>
      <c r="Z2294" s="100"/>
    </row>
    <row r="2295" spans="1:26">
      <c r="A2295" s="100"/>
      <c r="B2295" s="100"/>
      <c r="C2295" s="100"/>
      <c r="D2295" s="100"/>
      <c r="E2295" s="100"/>
      <c r="F2295" s="100"/>
      <c r="G2295" s="100"/>
      <c r="H2295" s="100"/>
      <c r="I2295" s="100"/>
      <c r="J2295" s="100"/>
      <c r="K2295" s="100"/>
      <c r="L2295" s="100"/>
      <c r="M2295" s="100"/>
      <c r="N2295" s="100"/>
      <c r="O2295" s="100"/>
      <c r="P2295" s="100"/>
      <c r="Q2295" s="100"/>
      <c r="R2295" s="100"/>
      <c r="S2295" s="100"/>
      <c r="T2295" s="100"/>
      <c r="U2295" s="100"/>
      <c r="V2295" s="100"/>
      <c r="W2295" s="100"/>
      <c r="X2295" s="100"/>
      <c r="Y2295" s="100"/>
      <c r="Z2295" s="100"/>
    </row>
    <row r="2296" spans="1:26">
      <c r="A2296" s="100"/>
      <c r="B2296" s="100"/>
      <c r="C2296" s="100"/>
      <c r="D2296" s="100"/>
      <c r="E2296" s="100"/>
      <c r="F2296" s="100"/>
      <c r="G2296" s="100"/>
      <c r="H2296" s="100"/>
      <c r="I2296" s="100"/>
      <c r="J2296" s="100"/>
      <c r="K2296" s="100"/>
      <c r="L2296" s="100"/>
      <c r="M2296" s="100"/>
      <c r="N2296" s="100"/>
      <c r="O2296" s="100"/>
      <c r="P2296" s="100"/>
      <c r="Q2296" s="100"/>
      <c r="R2296" s="100"/>
      <c r="S2296" s="100"/>
      <c r="T2296" s="100"/>
      <c r="U2296" s="100"/>
      <c r="V2296" s="100"/>
      <c r="W2296" s="100"/>
      <c r="X2296" s="100"/>
      <c r="Y2296" s="100"/>
      <c r="Z2296" s="100"/>
    </row>
    <row r="2297" spans="1:26">
      <c r="A2297" s="100"/>
      <c r="B2297" s="100"/>
      <c r="C2297" s="100"/>
      <c r="D2297" s="100"/>
      <c r="E2297" s="100"/>
      <c r="F2297" s="100"/>
      <c r="G2297" s="100"/>
      <c r="H2297" s="100"/>
      <c r="I2297" s="100"/>
      <c r="J2297" s="100"/>
      <c r="K2297" s="100"/>
      <c r="L2297" s="100"/>
      <c r="M2297" s="100"/>
      <c r="N2297" s="100"/>
      <c r="O2297" s="100"/>
      <c r="P2297" s="100"/>
      <c r="Q2297" s="100"/>
      <c r="R2297" s="100"/>
      <c r="S2297" s="100"/>
      <c r="T2297" s="100"/>
      <c r="U2297" s="100"/>
      <c r="V2297" s="100"/>
      <c r="W2297" s="100"/>
      <c r="X2297" s="100"/>
      <c r="Y2297" s="100"/>
      <c r="Z2297" s="100"/>
    </row>
    <row r="2298" spans="1:26">
      <c r="A2298" s="100"/>
      <c r="B2298" s="100"/>
      <c r="C2298" s="100"/>
      <c r="D2298" s="100"/>
      <c r="E2298" s="100"/>
      <c r="F2298" s="100"/>
      <c r="G2298" s="100"/>
      <c r="H2298" s="100"/>
      <c r="I2298" s="100"/>
      <c r="J2298" s="100"/>
      <c r="K2298" s="100"/>
      <c r="L2298" s="100"/>
      <c r="M2298" s="100"/>
      <c r="N2298" s="100"/>
      <c r="O2298" s="100"/>
      <c r="P2298" s="100"/>
      <c r="Q2298" s="100"/>
      <c r="R2298" s="100"/>
      <c r="S2298" s="100"/>
      <c r="T2298" s="100"/>
      <c r="U2298" s="100"/>
      <c r="V2298" s="100"/>
      <c r="W2298" s="100"/>
      <c r="X2298" s="100"/>
      <c r="Y2298" s="100"/>
      <c r="Z2298" s="100"/>
    </row>
    <row r="2299" spans="1:26">
      <c r="A2299" s="100"/>
      <c r="B2299" s="100"/>
      <c r="C2299" s="100"/>
      <c r="D2299" s="100"/>
      <c r="E2299" s="100"/>
      <c r="F2299" s="100"/>
      <c r="G2299" s="100"/>
      <c r="H2299" s="100"/>
      <c r="I2299" s="100"/>
      <c r="J2299" s="100"/>
      <c r="K2299" s="100"/>
      <c r="L2299" s="100"/>
      <c r="M2299" s="100"/>
      <c r="N2299" s="100"/>
      <c r="O2299" s="100"/>
      <c r="P2299" s="100"/>
      <c r="Q2299" s="100"/>
      <c r="R2299" s="100"/>
      <c r="S2299" s="100"/>
      <c r="T2299" s="100"/>
      <c r="U2299" s="100"/>
      <c r="V2299" s="100"/>
      <c r="W2299" s="100"/>
      <c r="X2299" s="100"/>
      <c r="Y2299" s="100"/>
      <c r="Z2299" s="100"/>
    </row>
    <row r="2300" spans="1:26">
      <c r="A2300" s="100"/>
      <c r="B2300" s="100"/>
      <c r="C2300" s="100"/>
      <c r="D2300" s="100"/>
      <c r="E2300" s="100"/>
      <c r="F2300" s="100"/>
      <c r="G2300" s="100"/>
      <c r="H2300" s="100"/>
      <c r="I2300" s="100"/>
      <c r="J2300" s="100"/>
      <c r="K2300" s="100"/>
      <c r="L2300" s="100"/>
      <c r="M2300" s="100"/>
      <c r="N2300" s="100"/>
      <c r="O2300" s="100"/>
      <c r="P2300" s="100"/>
      <c r="Q2300" s="100"/>
      <c r="R2300" s="100"/>
      <c r="S2300" s="100"/>
      <c r="T2300" s="100"/>
      <c r="U2300" s="100"/>
      <c r="V2300" s="100"/>
      <c r="W2300" s="100"/>
      <c r="X2300" s="100"/>
      <c r="Y2300" s="100"/>
      <c r="Z2300" s="100"/>
    </row>
    <row r="2301" spans="1:26">
      <c r="A2301" s="100"/>
      <c r="B2301" s="100"/>
      <c r="C2301" s="100"/>
      <c r="D2301" s="100"/>
      <c r="E2301" s="100"/>
      <c r="F2301" s="100"/>
      <c r="G2301" s="100"/>
      <c r="H2301" s="100"/>
      <c r="I2301" s="100"/>
      <c r="J2301" s="100"/>
      <c r="K2301" s="100"/>
      <c r="L2301" s="100"/>
      <c r="M2301" s="100"/>
      <c r="N2301" s="100"/>
      <c r="O2301" s="100"/>
      <c r="P2301" s="100"/>
      <c r="Q2301" s="100"/>
      <c r="R2301" s="100"/>
      <c r="S2301" s="100"/>
      <c r="T2301" s="100"/>
      <c r="U2301" s="100"/>
      <c r="V2301" s="100"/>
      <c r="W2301" s="100"/>
      <c r="X2301" s="100"/>
      <c r="Y2301" s="100"/>
      <c r="Z2301" s="100"/>
    </row>
    <row r="2302" spans="1:26">
      <c r="A2302" s="100"/>
      <c r="B2302" s="100"/>
      <c r="C2302" s="100"/>
      <c r="D2302" s="100"/>
      <c r="E2302" s="100"/>
      <c r="F2302" s="100"/>
      <c r="G2302" s="100"/>
      <c r="H2302" s="100"/>
      <c r="I2302" s="100"/>
      <c r="J2302" s="100"/>
      <c r="K2302" s="100"/>
      <c r="L2302" s="100"/>
      <c r="M2302" s="100"/>
      <c r="N2302" s="100"/>
      <c r="O2302" s="100"/>
      <c r="P2302" s="100"/>
      <c r="Q2302" s="100"/>
      <c r="R2302" s="100"/>
      <c r="S2302" s="100"/>
      <c r="T2302" s="100"/>
      <c r="U2302" s="100"/>
      <c r="V2302" s="100"/>
      <c r="W2302" s="100"/>
      <c r="X2302" s="100"/>
      <c r="Y2302" s="100"/>
      <c r="Z2302" s="100"/>
    </row>
    <row r="2303" spans="1:26">
      <c r="A2303" s="100"/>
      <c r="B2303" s="100"/>
      <c r="C2303" s="100"/>
      <c r="D2303" s="100"/>
      <c r="E2303" s="100"/>
      <c r="F2303" s="100"/>
      <c r="G2303" s="100"/>
      <c r="H2303" s="100"/>
      <c r="I2303" s="100"/>
      <c r="J2303" s="100"/>
      <c r="K2303" s="100"/>
      <c r="L2303" s="100"/>
      <c r="M2303" s="100"/>
      <c r="N2303" s="100"/>
      <c r="O2303" s="100"/>
      <c r="P2303" s="100"/>
      <c r="Q2303" s="100"/>
      <c r="R2303" s="100"/>
      <c r="S2303" s="100"/>
      <c r="T2303" s="100"/>
      <c r="U2303" s="100"/>
      <c r="V2303" s="100"/>
      <c r="W2303" s="100"/>
      <c r="X2303" s="100"/>
      <c r="Y2303" s="100"/>
      <c r="Z2303" s="100"/>
    </row>
    <row r="2304" spans="1:26">
      <c r="A2304" s="100"/>
      <c r="B2304" s="100"/>
      <c r="C2304" s="100"/>
      <c r="D2304" s="100"/>
      <c r="E2304" s="100"/>
      <c r="F2304" s="100"/>
      <c r="G2304" s="100"/>
      <c r="H2304" s="100"/>
      <c r="I2304" s="100"/>
      <c r="J2304" s="100"/>
      <c r="K2304" s="100"/>
      <c r="L2304" s="100"/>
      <c r="M2304" s="100"/>
      <c r="N2304" s="100"/>
      <c r="O2304" s="100"/>
      <c r="P2304" s="100"/>
      <c r="Q2304" s="100"/>
      <c r="R2304" s="100"/>
      <c r="S2304" s="100"/>
      <c r="T2304" s="100"/>
      <c r="U2304" s="100"/>
      <c r="V2304" s="100"/>
      <c r="W2304" s="100"/>
      <c r="X2304" s="100"/>
      <c r="Y2304" s="100"/>
      <c r="Z2304" s="100"/>
    </row>
    <row r="2305" spans="1:26">
      <c r="A2305" s="100"/>
      <c r="B2305" s="100"/>
      <c r="C2305" s="100"/>
      <c r="D2305" s="100"/>
      <c r="E2305" s="100"/>
      <c r="F2305" s="100"/>
      <c r="G2305" s="100"/>
      <c r="H2305" s="100"/>
      <c r="I2305" s="100"/>
      <c r="J2305" s="100"/>
      <c r="K2305" s="100"/>
      <c r="L2305" s="100"/>
      <c r="M2305" s="100"/>
      <c r="N2305" s="100"/>
      <c r="O2305" s="100"/>
      <c r="P2305" s="100"/>
      <c r="Q2305" s="100"/>
      <c r="R2305" s="100"/>
      <c r="S2305" s="100"/>
      <c r="T2305" s="100"/>
      <c r="U2305" s="100"/>
      <c r="V2305" s="100"/>
      <c r="W2305" s="100"/>
      <c r="X2305" s="100"/>
      <c r="Y2305" s="100"/>
      <c r="Z2305" s="100"/>
    </row>
    <row r="2306" spans="1:26">
      <c r="A2306" s="100"/>
      <c r="B2306" s="100"/>
      <c r="C2306" s="100"/>
      <c r="D2306" s="100"/>
      <c r="E2306" s="100"/>
      <c r="F2306" s="100"/>
      <c r="G2306" s="100"/>
      <c r="H2306" s="100"/>
      <c r="I2306" s="100"/>
      <c r="J2306" s="100"/>
      <c r="K2306" s="100"/>
      <c r="L2306" s="100"/>
      <c r="M2306" s="100"/>
      <c r="N2306" s="100"/>
      <c r="O2306" s="100"/>
      <c r="P2306" s="100"/>
      <c r="Q2306" s="100"/>
      <c r="R2306" s="100"/>
      <c r="S2306" s="100"/>
      <c r="T2306" s="100"/>
      <c r="U2306" s="100"/>
      <c r="V2306" s="100"/>
      <c r="W2306" s="100"/>
      <c r="X2306" s="100"/>
      <c r="Y2306" s="100"/>
      <c r="Z2306" s="100"/>
    </row>
    <row r="2307" spans="1:26">
      <c r="A2307" s="100"/>
      <c r="B2307" s="100"/>
      <c r="C2307" s="100"/>
      <c r="D2307" s="100"/>
      <c r="E2307" s="100"/>
      <c r="F2307" s="100"/>
      <c r="G2307" s="100"/>
      <c r="H2307" s="100"/>
      <c r="I2307" s="100"/>
      <c r="J2307" s="100"/>
      <c r="K2307" s="100"/>
      <c r="L2307" s="100"/>
      <c r="M2307" s="100"/>
      <c r="N2307" s="100"/>
      <c r="O2307" s="100"/>
      <c r="P2307" s="100"/>
      <c r="Q2307" s="100"/>
      <c r="R2307" s="100"/>
      <c r="S2307" s="100"/>
      <c r="T2307" s="100"/>
      <c r="U2307" s="100"/>
      <c r="V2307" s="100"/>
      <c r="W2307" s="100"/>
      <c r="X2307" s="100"/>
      <c r="Y2307" s="100"/>
      <c r="Z2307" s="100"/>
    </row>
    <row r="2308" spans="1:26">
      <c r="A2308" s="100"/>
      <c r="B2308" s="100"/>
      <c r="C2308" s="100"/>
      <c r="D2308" s="100"/>
      <c r="E2308" s="100"/>
      <c r="F2308" s="100"/>
      <c r="G2308" s="100"/>
      <c r="H2308" s="100"/>
      <c r="I2308" s="100"/>
      <c r="J2308" s="100"/>
      <c r="K2308" s="100"/>
      <c r="L2308" s="100"/>
      <c r="M2308" s="100"/>
      <c r="N2308" s="100"/>
      <c r="O2308" s="100"/>
      <c r="P2308" s="100"/>
      <c r="Q2308" s="100"/>
      <c r="R2308" s="100"/>
      <c r="S2308" s="100"/>
      <c r="T2308" s="100"/>
      <c r="U2308" s="100"/>
      <c r="V2308" s="100"/>
      <c r="W2308" s="100"/>
      <c r="X2308" s="100"/>
      <c r="Y2308" s="100"/>
      <c r="Z2308" s="100"/>
    </row>
    <row r="2309" spans="1:26">
      <c r="A2309" s="100"/>
      <c r="B2309" s="100"/>
      <c r="C2309" s="100"/>
      <c r="D2309" s="100"/>
      <c r="E2309" s="100"/>
      <c r="F2309" s="100"/>
      <c r="G2309" s="100"/>
      <c r="H2309" s="100"/>
      <c r="I2309" s="100"/>
      <c r="J2309" s="100"/>
      <c r="K2309" s="100"/>
      <c r="L2309" s="100"/>
      <c r="M2309" s="100"/>
      <c r="N2309" s="100"/>
      <c r="O2309" s="100"/>
      <c r="P2309" s="100"/>
      <c r="Q2309" s="100"/>
      <c r="R2309" s="100"/>
      <c r="S2309" s="100"/>
      <c r="T2309" s="100"/>
      <c r="U2309" s="100"/>
      <c r="V2309" s="100"/>
      <c r="W2309" s="100"/>
      <c r="X2309" s="100"/>
      <c r="Y2309" s="100"/>
      <c r="Z2309" s="100"/>
    </row>
    <row r="2310" spans="1:26">
      <c r="A2310" s="100"/>
      <c r="B2310" s="100"/>
      <c r="C2310" s="100"/>
      <c r="D2310" s="100"/>
      <c r="E2310" s="100"/>
      <c r="F2310" s="100"/>
      <c r="G2310" s="100"/>
      <c r="H2310" s="100"/>
      <c r="I2310" s="100"/>
      <c r="J2310" s="100"/>
      <c r="K2310" s="100"/>
      <c r="L2310" s="100"/>
      <c r="M2310" s="100"/>
      <c r="N2310" s="100"/>
      <c r="O2310" s="100"/>
      <c r="P2310" s="100"/>
      <c r="Q2310" s="100"/>
      <c r="R2310" s="100"/>
      <c r="S2310" s="100"/>
      <c r="T2310" s="100"/>
      <c r="U2310" s="100"/>
      <c r="V2310" s="100"/>
      <c r="W2310" s="100"/>
      <c r="X2310" s="100"/>
      <c r="Y2310" s="100"/>
      <c r="Z2310" s="100"/>
    </row>
    <row r="2311" spans="1:26">
      <c r="A2311" s="100"/>
      <c r="B2311" s="100"/>
      <c r="C2311" s="100"/>
      <c r="D2311" s="100"/>
      <c r="E2311" s="100"/>
      <c r="F2311" s="100"/>
      <c r="G2311" s="100"/>
      <c r="H2311" s="100"/>
      <c r="I2311" s="100"/>
      <c r="J2311" s="100"/>
      <c r="K2311" s="100"/>
      <c r="L2311" s="100"/>
      <c r="M2311" s="100"/>
      <c r="N2311" s="100"/>
      <c r="O2311" s="100"/>
      <c r="P2311" s="100"/>
      <c r="Q2311" s="100"/>
      <c r="R2311" s="100"/>
      <c r="S2311" s="100"/>
      <c r="T2311" s="100"/>
      <c r="U2311" s="100"/>
      <c r="V2311" s="100"/>
      <c r="W2311" s="100"/>
      <c r="X2311" s="100"/>
      <c r="Y2311" s="100"/>
      <c r="Z2311" s="100"/>
    </row>
    <row r="2312" spans="1:26">
      <c r="A2312" s="100"/>
      <c r="B2312" s="100"/>
      <c r="C2312" s="100"/>
      <c r="D2312" s="100"/>
      <c r="E2312" s="100"/>
      <c r="F2312" s="100"/>
      <c r="G2312" s="100"/>
      <c r="H2312" s="100"/>
      <c r="I2312" s="100"/>
      <c r="J2312" s="100"/>
      <c r="K2312" s="100"/>
      <c r="L2312" s="100"/>
      <c r="M2312" s="100"/>
      <c r="N2312" s="100"/>
      <c r="O2312" s="100"/>
      <c r="P2312" s="100"/>
      <c r="Q2312" s="100"/>
      <c r="R2312" s="100"/>
      <c r="S2312" s="100"/>
      <c r="T2312" s="100"/>
      <c r="U2312" s="100"/>
      <c r="V2312" s="100"/>
      <c r="W2312" s="100"/>
      <c r="X2312" s="100"/>
      <c r="Y2312" s="100"/>
      <c r="Z2312" s="100"/>
    </row>
    <row r="2313" spans="1:26">
      <c r="A2313" s="100"/>
      <c r="B2313" s="100"/>
      <c r="C2313" s="100"/>
      <c r="D2313" s="100"/>
      <c r="E2313" s="100"/>
      <c r="F2313" s="100"/>
      <c r="G2313" s="100"/>
      <c r="H2313" s="100"/>
      <c r="I2313" s="100"/>
      <c r="J2313" s="100"/>
      <c r="K2313" s="100"/>
      <c r="L2313" s="100"/>
      <c r="M2313" s="100"/>
      <c r="N2313" s="100"/>
      <c r="O2313" s="100"/>
      <c r="P2313" s="100"/>
      <c r="Q2313" s="100"/>
      <c r="R2313" s="100"/>
      <c r="S2313" s="100"/>
      <c r="T2313" s="100"/>
      <c r="U2313" s="100"/>
      <c r="V2313" s="100"/>
      <c r="W2313" s="100"/>
      <c r="X2313" s="100"/>
      <c r="Y2313" s="100"/>
      <c r="Z2313" s="100"/>
    </row>
    <row r="2314" spans="1:26">
      <c r="A2314" s="100"/>
      <c r="B2314" s="100"/>
      <c r="C2314" s="100"/>
      <c r="D2314" s="100"/>
      <c r="E2314" s="100"/>
      <c r="F2314" s="100"/>
      <c r="G2314" s="100"/>
      <c r="H2314" s="100"/>
      <c r="I2314" s="100"/>
      <c r="J2314" s="100"/>
      <c r="K2314" s="100"/>
      <c r="L2314" s="100"/>
      <c r="M2314" s="100"/>
      <c r="N2314" s="100"/>
      <c r="O2314" s="100"/>
      <c r="P2314" s="100"/>
      <c r="Q2314" s="100"/>
      <c r="R2314" s="100"/>
      <c r="S2314" s="100"/>
      <c r="T2314" s="100"/>
      <c r="U2314" s="100"/>
      <c r="V2314" s="100"/>
      <c r="W2314" s="100"/>
      <c r="X2314" s="100"/>
      <c r="Y2314" s="100"/>
      <c r="Z2314" s="100"/>
    </row>
    <row r="2315" spans="1:26">
      <c r="A2315" s="100"/>
      <c r="B2315" s="100"/>
      <c r="C2315" s="100"/>
      <c r="D2315" s="100"/>
      <c r="E2315" s="100"/>
      <c r="F2315" s="100"/>
      <c r="G2315" s="100"/>
      <c r="H2315" s="100"/>
      <c r="I2315" s="100"/>
      <c r="J2315" s="100"/>
      <c r="K2315" s="100"/>
      <c r="L2315" s="100"/>
      <c r="M2315" s="100"/>
      <c r="N2315" s="100"/>
      <c r="O2315" s="100"/>
      <c r="P2315" s="100"/>
      <c r="Q2315" s="100"/>
      <c r="R2315" s="100"/>
      <c r="S2315" s="100"/>
      <c r="T2315" s="100"/>
      <c r="U2315" s="100"/>
      <c r="V2315" s="100"/>
      <c r="W2315" s="100"/>
      <c r="X2315" s="100"/>
      <c r="Y2315" s="100"/>
      <c r="Z2315" s="100"/>
    </row>
    <row r="2316" spans="1:26">
      <c r="A2316" s="100"/>
      <c r="B2316" s="100"/>
      <c r="C2316" s="100"/>
      <c r="D2316" s="100"/>
      <c r="E2316" s="100"/>
      <c r="F2316" s="100"/>
      <c r="G2316" s="100"/>
      <c r="H2316" s="100"/>
      <c r="I2316" s="100"/>
      <c r="J2316" s="100"/>
      <c r="K2316" s="100"/>
      <c r="L2316" s="100"/>
      <c r="M2316" s="100"/>
      <c r="N2316" s="100"/>
      <c r="O2316" s="100"/>
      <c r="P2316" s="100"/>
      <c r="Q2316" s="100"/>
      <c r="R2316" s="100"/>
      <c r="S2316" s="100"/>
      <c r="T2316" s="100"/>
      <c r="U2316" s="100"/>
      <c r="V2316" s="100"/>
      <c r="W2316" s="100"/>
      <c r="X2316" s="100"/>
      <c r="Y2316" s="100"/>
      <c r="Z2316" s="100"/>
    </row>
    <row r="2317" spans="1:26">
      <c r="A2317" s="100"/>
      <c r="B2317" s="100"/>
      <c r="C2317" s="100"/>
      <c r="D2317" s="100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</row>
    <row r="2318" spans="1:26">
      <c r="A2318" s="100"/>
      <c r="B2318" s="100"/>
      <c r="C2318" s="100"/>
      <c r="D2318" s="100"/>
      <c r="E2318" s="100"/>
      <c r="F2318" s="100"/>
      <c r="G2318" s="100"/>
      <c r="H2318" s="100"/>
      <c r="I2318" s="100"/>
      <c r="J2318" s="100"/>
      <c r="K2318" s="100"/>
      <c r="L2318" s="100"/>
      <c r="M2318" s="100"/>
      <c r="N2318" s="100"/>
      <c r="O2318" s="100"/>
      <c r="P2318" s="100"/>
      <c r="Q2318" s="100"/>
      <c r="R2318" s="100"/>
      <c r="S2318" s="100"/>
      <c r="T2318" s="100"/>
      <c r="U2318" s="100"/>
      <c r="V2318" s="100"/>
      <c r="W2318" s="100"/>
      <c r="X2318" s="100"/>
      <c r="Y2318" s="100"/>
      <c r="Z2318" s="100"/>
    </row>
    <row r="2319" spans="1:26">
      <c r="A2319" s="100"/>
      <c r="B2319" s="100"/>
      <c r="C2319" s="100"/>
      <c r="D2319" s="100"/>
      <c r="E2319" s="100"/>
      <c r="F2319" s="100"/>
      <c r="G2319" s="100"/>
      <c r="H2319" s="100"/>
      <c r="I2319" s="100"/>
      <c r="J2319" s="100"/>
      <c r="K2319" s="100"/>
      <c r="L2319" s="100"/>
      <c r="M2319" s="100"/>
      <c r="N2319" s="100"/>
      <c r="O2319" s="100"/>
      <c r="P2319" s="100"/>
      <c r="Q2319" s="100"/>
      <c r="R2319" s="100"/>
      <c r="S2319" s="100"/>
      <c r="T2319" s="100"/>
      <c r="U2319" s="100"/>
      <c r="V2319" s="100"/>
      <c r="W2319" s="100"/>
      <c r="X2319" s="100"/>
      <c r="Y2319" s="100"/>
      <c r="Z2319" s="100"/>
    </row>
    <row r="2320" spans="1:26">
      <c r="A2320" s="100"/>
      <c r="B2320" s="100"/>
      <c r="C2320" s="100"/>
      <c r="D2320" s="100"/>
      <c r="E2320" s="100"/>
      <c r="F2320" s="100"/>
      <c r="G2320" s="100"/>
      <c r="H2320" s="100"/>
      <c r="I2320" s="100"/>
      <c r="J2320" s="100"/>
      <c r="K2320" s="100"/>
      <c r="L2320" s="100"/>
      <c r="M2320" s="100"/>
      <c r="N2320" s="100"/>
      <c r="O2320" s="100"/>
      <c r="P2320" s="100"/>
      <c r="Q2320" s="100"/>
      <c r="R2320" s="100"/>
      <c r="S2320" s="100"/>
      <c r="T2320" s="100"/>
      <c r="U2320" s="100"/>
      <c r="V2320" s="100"/>
      <c r="W2320" s="100"/>
      <c r="X2320" s="100"/>
      <c r="Y2320" s="100"/>
      <c r="Z2320" s="100"/>
    </row>
    <row r="2321" spans="1:26">
      <c r="A2321" s="100"/>
      <c r="B2321" s="100"/>
      <c r="C2321" s="100"/>
      <c r="D2321" s="100"/>
      <c r="E2321" s="100"/>
      <c r="F2321" s="100"/>
      <c r="G2321" s="100"/>
      <c r="H2321" s="100"/>
      <c r="I2321" s="100"/>
      <c r="J2321" s="100"/>
      <c r="K2321" s="100"/>
      <c r="L2321" s="100"/>
      <c r="M2321" s="100"/>
      <c r="N2321" s="100"/>
      <c r="O2321" s="100"/>
      <c r="P2321" s="100"/>
      <c r="Q2321" s="100"/>
      <c r="R2321" s="100"/>
      <c r="S2321" s="100"/>
      <c r="T2321" s="100"/>
      <c r="U2321" s="100"/>
      <c r="V2321" s="100"/>
      <c r="W2321" s="100"/>
      <c r="X2321" s="100"/>
      <c r="Y2321" s="100"/>
      <c r="Z2321" s="100"/>
    </row>
    <row r="2322" spans="1:26">
      <c r="A2322" s="100"/>
      <c r="B2322" s="100"/>
      <c r="C2322" s="100"/>
      <c r="D2322" s="100"/>
      <c r="E2322" s="100"/>
      <c r="F2322" s="100"/>
      <c r="G2322" s="100"/>
      <c r="H2322" s="100"/>
      <c r="I2322" s="100"/>
      <c r="J2322" s="100"/>
      <c r="K2322" s="100"/>
      <c r="L2322" s="100"/>
      <c r="M2322" s="100"/>
      <c r="N2322" s="100"/>
      <c r="O2322" s="100"/>
      <c r="P2322" s="100"/>
      <c r="Q2322" s="100"/>
      <c r="R2322" s="100"/>
      <c r="S2322" s="100"/>
      <c r="T2322" s="100"/>
      <c r="U2322" s="100"/>
      <c r="V2322" s="100"/>
      <c r="W2322" s="100"/>
      <c r="X2322" s="100"/>
      <c r="Y2322" s="100"/>
      <c r="Z2322" s="100"/>
    </row>
    <row r="2323" spans="1:26">
      <c r="A2323" s="100"/>
      <c r="B2323" s="100"/>
      <c r="C2323" s="100"/>
      <c r="D2323" s="100"/>
      <c r="E2323" s="100"/>
      <c r="F2323" s="100"/>
      <c r="G2323" s="100"/>
      <c r="H2323" s="100"/>
      <c r="I2323" s="100"/>
      <c r="J2323" s="100"/>
      <c r="K2323" s="100"/>
      <c r="L2323" s="100"/>
      <c r="M2323" s="100"/>
      <c r="N2323" s="100"/>
      <c r="O2323" s="100"/>
      <c r="P2323" s="100"/>
      <c r="Q2323" s="100"/>
      <c r="R2323" s="100"/>
      <c r="S2323" s="100"/>
      <c r="T2323" s="100"/>
      <c r="U2323" s="100"/>
      <c r="V2323" s="100"/>
      <c r="W2323" s="100"/>
      <c r="X2323" s="100"/>
      <c r="Y2323" s="100"/>
      <c r="Z2323" s="100"/>
    </row>
    <row r="2324" spans="1:26">
      <c r="A2324" s="100"/>
      <c r="B2324" s="100"/>
      <c r="C2324" s="100"/>
      <c r="D2324" s="100"/>
      <c r="E2324" s="100"/>
      <c r="F2324" s="100"/>
      <c r="G2324" s="100"/>
      <c r="H2324" s="100"/>
      <c r="I2324" s="100"/>
      <c r="J2324" s="100"/>
      <c r="K2324" s="100"/>
      <c r="L2324" s="100"/>
      <c r="M2324" s="100"/>
      <c r="N2324" s="100"/>
      <c r="O2324" s="100"/>
      <c r="P2324" s="100"/>
      <c r="Q2324" s="100"/>
      <c r="R2324" s="100"/>
      <c r="S2324" s="100"/>
      <c r="T2324" s="100"/>
      <c r="U2324" s="100"/>
      <c r="V2324" s="100"/>
      <c r="W2324" s="100"/>
      <c r="X2324" s="100"/>
      <c r="Y2324" s="100"/>
      <c r="Z2324" s="100"/>
    </row>
    <row r="2325" spans="1:26">
      <c r="A2325" s="100"/>
      <c r="B2325" s="100"/>
      <c r="C2325" s="100"/>
      <c r="D2325" s="100"/>
      <c r="E2325" s="100"/>
      <c r="F2325" s="100"/>
      <c r="G2325" s="100"/>
      <c r="H2325" s="100"/>
      <c r="I2325" s="100"/>
      <c r="J2325" s="100"/>
      <c r="K2325" s="100"/>
      <c r="L2325" s="100"/>
      <c r="M2325" s="100"/>
      <c r="N2325" s="100"/>
      <c r="O2325" s="100"/>
      <c r="P2325" s="100"/>
      <c r="Q2325" s="100"/>
      <c r="R2325" s="100"/>
      <c r="S2325" s="100"/>
      <c r="T2325" s="100"/>
      <c r="U2325" s="100"/>
      <c r="V2325" s="100"/>
      <c r="W2325" s="100"/>
      <c r="X2325" s="100"/>
      <c r="Y2325" s="100"/>
      <c r="Z2325" s="100"/>
    </row>
    <row r="2326" spans="1:26">
      <c r="A2326" s="100"/>
      <c r="B2326" s="100"/>
      <c r="C2326" s="100"/>
      <c r="D2326" s="100"/>
      <c r="E2326" s="100"/>
      <c r="F2326" s="100"/>
      <c r="G2326" s="100"/>
      <c r="H2326" s="100"/>
      <c r="I2326" s="100"/>
      <c r="J2326" s="100"/>
      <c r="K2326" s="100"/>
      <c r="L2326" s="100"/>
      <c r="M2326" s="100"/>
      <c r="N2326" s="100"/>
      <c r="O2326" s="100"/>
      <c r="P2326" s="100"/>
      <c r="Q2326" s="100"/>
      <c r="R2326" s="100"/>
      <c r="S2326" s="100"/>
      <c r="T2326" s="100"/>
      <c r="U2326" s="100"/>
      <c r="V2326" s="100"/>
      <c r="W2326" s="100"/>
      <c r="X2326" s="100"/>
      <c r="Y2326" s="100"/>
      <c r="Z2326" s="100"/>
    </row>
    <row r="2327" spans="1:26">
      <c r="A2327" s="100"/>
      <c r="B2327" s="100"/>
      <c r="C2327" s="100"/>
      <c r="D2327" s="100"/>
      <c r="E2327" s="100"/>
      <c r="F2327" s="100"/>
      <c r="G2327" s="100"/>
      <c r="H2327" s="100"/>
      <c r="I2327" s="100"/>
      <c r="J2327" s="100"/>
      <c r="K2327" s="100"/>
      <c r="L2327" s="100"/>
      <c r="M2327" s="100"/>
      <c r="N2327" s="100"/>
      <c r="O2327" s="100"/>
      <c r="P2327" s="100"/>
      <c r="Q2327" s="100"/>
      <c r="R2327" s="100"/>
      <c r="S2327" s="100"/>
      <c r="T2327" s="100"/>
      <c r="U2327" s="100"/>
      <c r="V2327" s="100"/>
      <c r="W2327" s="100"/>
      <c r="X2327" s="100"/>
      <c r="Y2327" s="100"/>
      <c r="Z2327" s="100"/>
    </row>
    <row r="2328" spans="1:26">
      <c r="A2328" s="100"/>
      <c r="B2328" s="100"/>
      <c r="C2328" s="100"/>
      <c r="D2328" s="100"/>
      <c r="E2328" s="100"/>
      <c r="F2328" s="100"/>
      <c r="G2328" s="100"/>
      <c r="H2328" s="100"/>
      <c r="I2328" s="100"/>
      <c r="J2328" s="100"/>
      <c r="K2328" s="100"/>
      <c r="L2328" s="100"/>
      <c r="M2328" s="100"/>
      <c r="N2328" s="100"/>
      <c r="O2328" s="100"/>
      <c r="P2328" s="100"/>
      <c r="Q2328" s="100"/>
      <c r="R2328" s="100"/>
      <c r="S2328" s="100"/>
      <c r="T2328" s="100"/>
      <c r="U2328" s="100"/>
      <c r="V2328" s="100"/>
      <c r="W2328" s="100"/>
      <c r="X2328" s="100"/>
      <c r="Y2328" s="100"/>
      <c r="Z2328" s="100"/>
    </row>
    <row r="2329" spans="1:26">
      <c r="A2329" s="100"/>
      <c r="B2329" s="100"/>
      <c r="C2329" s="100"/>
      <c r="D2329" s="100"/>
      <c r="E2329" s="100"/>
      <c r="F2329" s="100"/>
      <c r="G2329" s="100"/>
      <c r="H2329" s="100"/>
      <c r="I2329" s="100"/>
      <c r="J2329" s="100"/>
      <c r="K2329" s="100"/>
      <c r="L2329" s="100"/>
      <c r="M2329" s="100"/>
      <c r="N2329" s="100"/>
      <c r="O2329" s="100"/>
      <c r="P2329" s="100"/>
      <c r="Q2329" s="100"/>
      <c r="R2329" s="100"/>
      <c r="S2329" s="100"/>
      <c r="T2329" s="100"/>
      <c r="U2329" s="100"/>
      <c r="V2329" s="100"/>
      <c r="W2329" s="100"/>
      <c r="X2329" s="100"/>
      <c r="Y2329" s="100"/>
      <c r="Z2329" s="100"/>
    </row>
    <row r="2330" spans="1:26">
      <c r="A2330" s="100"/>
      <c r="B2330" s="100"/>
      <c r="C2330" s="100"/>
      <c r="D2330" s="100"/>
      <c r="E2330" s="100"/>
      <c r="F2330" s="100"/>
      <c r="G2330" s="100"/>
      <c r="H2330" s="100"/>
      <c r="I2330" s="100"/>
      <c r="J2330" s="100"/>
      <c r="K2330" s="100"/>
      <c r="L2330" s="100"/>
      <c r="M2330" s="100"/>
      <c r="N2330" s="100"/>
      <c r="O2330" s="100"/>
      <c r="P2330" s="100"/>
      <c r="Q2330" s="100"/>
      <c r="R2330" s="100"/>
      <c r="S2330" s="100"/>
      <c r="T2330" s="100"/>
      <c r="U2330" s="100"/>
      <c r="V2330" s="100"/>
      <c r="W2330" s="100"/>
      <c r="X2330" s="100"/>
      <c r="Y2330" s="100"/>
      <c r="Z2330" s="100"/>
    </row>
    <row r="2331" spans="1:26">
      <c r="A2331" s="100"/>
      <c r="B2331" s="100"/>
      <c r="C2331" s="100"/>
      <c r="D2331" s="100"/>
      <c r="E2331" s="100"/>
      <c r="F2331" s="100"/>
      <c r="G2331" s="100"/>
      <c r="H2331" s="100"/>
      <c r="I2331" s="100"/>
      <c r="J2331" s="100"/>
      <c r="K2331" s="100"/>
      <c r="L2331" s="100"/>
      <c r="M2331" s="100"/>
      <c r="N2331" s="100"/>
      <c r="O2331" s="100"/>
      <c r="P2331" s="100"/>
      <c r="Q2331" s="100"/>
      <c r="R2331" s="100"/>
      <c r="S2331" s="100"/>
      <c r="T2331" s="100"/>
      <c r="U2331" s="100"/>
      <c r="V2331" s="100"/>
      <c r="W2331" s="100"/>
      <c r="X2331" s="100"/>
      <c r="Y2331" s="100"/>
      <c r="Z2331" s="100"/>
    </row>
    <row r="2332" spans="1:26">
      <c r="A2332" s="100"/>
      <c r="B2332" s="100"/>
      <c r="C2332" s="100"/>
      <c r="D2332" s="100"/>
      <c r="E2332" s="100"/>
      <c r="F2332" s="100"/>
      <c r="G2332" s="100"/>
      <c r="H2332" s="100"/>
      <c r="I2332" s="100"/>
      <c r="J2332" s="100"/>
      <c r="K2332" s="100"/>
      <c r="L2332" s="100"/>
      <c r="M2332" s="100"/>
      <c r="N2332" s="100"/>
      <c r="O2332" s="100"/>
      <c r="P2332" s="100"/>
      <c r="Q2332" s="100"/>
      <c r="R2332" s="100"/>
      <c r="S2332" s="100"/>
      <c r="T2332" s="100"/>
      <c r="U2332" s="100"/>
      <c r="V2332" s="100"/>
      <c r="W2332" s="100"/>
      <c r="X2332" s="100"/>
      <c r="Y2332" s="100"/>
      <c r="Z2332" s="100"/>
    </row>
    <row r="2333" spans="1:26">
      <c r="A2333" s="100"/>
      <c r="B2333" s="100"/>
      <c r="C2333" s="100"/>
      <c r="D2333" s="100"/>
      <c r="E2333" s="100"/>
      <c r="F2333" s="100"/>
      <c r="G2333" s="100"/>
      <c r="H2333" s="100"/>
      <c r="I2333" s="100"/>
      <c r="J2333" s="100"/>
      <c r="K2333" s="100"/>
      <c r="L2333" s="100"/>
      <c r="M2333" s="100"/>
      <c r="N2333" s="100"/>
      <c r="O2333" s="100"/>
      <c r="P2333" s="100"/>
      <c r="Q2333" s="100"/>
      <c r="R2333" s="100"/>
      <c r="S2333" s="100"/>
      <c r="T2333" s="100"/>
      <c r="U2333" s="100"/>
      <c r="V2333" s="100"/>
      <c r="W2333" s="100"/>
      <c r="X2333" s="100"/>
      <c r="Y2333" s="100"/>
      <c r="Z2333" s="100"/>
    </row>
    <row r="2334" spans="1:26">
      <c r="A2334" s="100"/>
      <c r="B2334" s="100"/>
      <c r="C2334" s="100"/>
      <c r="D2334" s="100"/>
      <c r="E2334" s="100"/>
      <c r="F2334" s="100"/>
      <c r="G2334" s="100"/>
      <c r="H2334" s="100"/>
      <c r="I2334" s="100"/>
      <c r="J2334" s="100"/>
      <c r="K2334" s="100"/>
      <c r="L2334" s="100"/>
      <c r="M2334" s="100"/>
      <c r="N2334" s="100"/>
      <c r="O2334" s="100"/>
      <c r="P2334" s="100"/>
      <c r="Q2334" s="100"/>
      <c r="R2334" s="100"/>
      <c r="S2334" s="100"/>
      <c r="T2334" s="100"/>
      <c r="U2334" s="100"/>
      <c r="V2334" s="100"/>
      <c r="W2334" s="100"/>
      <c r="X2334" s="100"/>
      <c r="Y2334" s="100"/>
      <c r="Z2334" s="100"/>
    </row>
    <row r="2335" spans="1:26">
      <c r="A2335" s="100"/>
      <c r="B2335" s="100"/>
      <c r="C2335" s="100"/>
      <c r="D2335" s="100"/>
      <c r="E2335" s="100"/>
      <c r="F2335" s="100"/>
      <c r="G2335" s="100"/>
      <c r="H2335" s="100"/>
      <c r="I2335" s="100"/>
      <c r="J2335" s="100"/>
      <c r="K2335" s="100"/>
      <c r="L2335" s="100"/>
      <c r="M2335" s="100"/>
      <c r="N2335" s="100"/>
      <c r="O2335" s="100"/>
      <c r="P2335" s="100"/>
      <c r="Q2335" s="100"/>
      <c r="R2335" s="100"/>
      <c r="S2335" s="100"/>
      <c r="T2335" s="100"/>
      <c r="U2335" s="100"/>
      <c r="V2335" s="100"/>
      <c r="W2335" s="100"/>
      <c r="X2335" s="100"/>
      <c r="Y2335" s="100"/>
      <c r="Z2335" s="100"/>
    </row>
    <row r="2336" spans="1:26">
      <c r="A2336" s="100"/>
      <c r="B2336" s="100"/>
      <c r="C2336" s="100"/>
      <c r="D2336" s="100"/>
      <c r="E2336" s="100"/>
      <c r="F2336" s="100"/>
      <c r="G2336" s="100"/>
      <c r="H2336" s="100"/>
      <c r="I2336" s="100"/>
      <c r="J2336" s="100"/>
      <c r="K2336" s="100"/>
      <c r="L2336" s="100"/>
      <c r="M2336" s="100"/>
      <c r="N2336" s="100"/>
      <c r="O2336" s="100"/>
      <c r="P2336" s="100"/>
      <c r="Q2336" s="100"/>
      <c r="R2336" s="100"/>
      <c r="S2336" s="100"/>
      <c r="T2336" s="100"/>
      <c r="U2336" s="100"/>
      <c r="V2336" s="100"/>
      <c r="W2336" s="100"/>
      <c r="X2336" s="100"/>
      <c r="Y2336" s="100"/>
      <c r="Z2336" s="100"/>
    </row>
    <row r="2337" spans="1:26">
      <c r="A2337" s="100"/>
      <c r="B2337" s="100"/>
      <c r="C2337" s="100"/>
      <c r="D2337" s="100"/>
      <c r="E2337" s="100"/>
      <c r="F2337" s="100"/>
      <c r="G2337" s="100"/>
      <c r="H2337" s="100"/>
      <c r="I2337" s="100"/>
      <c r="J2337" s="100"/>
      <c r="K2337" s="100"/>
      <c r="L2337" s="100"/>
      <c r="M2337" s="100"/>
      <c r="N2337" s="100"/>
      <c r="O2337" s="100"/>
      <c r="P2337" s="100"/>
      <c r="Q2337" s="100"/>
      <c r="R2337" s="100"/>
      <c r="S2337" s="100"/>
      <c r="T2337" s="100"/>
      <c r="U2337" s="100"/>
      <c r="V2337" s="100"/>
      <c r="W2337" s="100"/>
      <c r="X2337" s="100"/>
      <c r="Y2337" s="100"/>
      <c r="Z2337" s="100"/>
    </row>
    <row r="2338" spans="1:26">
      <c r="A2338" s="100"/>
      <c r="B2338" s="100"/>
      <c r="C2338" s="100"/>
      <c r="D2338" s="100"/>
      <c r="E2338" s="100"/>
      <c r="F2338" s="100"/>
      <c r="G2338" s="100"/>
      <c r="H2338" s="100"/>
      <c r="I2338" s="100"/>
      <c r="J2338" s="100"/>
      <c r="K2338" s="100"/>
      <c r="L2338" s="100"/>
      <c r="M2338" s="100"/>
      <c r="N2338" s="100"/>
      <c r="O2338" s="100"/>
      <c r="P2338" s="100"/>
      <c r="Q2338" s="100"/>
      <c r="R2338" s="100"/>
      <c r="S2338" s="100"/>
      <c r="T2338" s="100"/>
      <c r="U2338" s="100"/>
      <c r="V2338" s="100"/>
      <c r="W2338" s="100"/>
      <c r="X2338" s="100"/>
      <c r="Y2338" s="100"/>
      <c r="Z2338" s="100"/>
    </row>
    <row r="2339" spans="1:26">
      <c r="A2339" s="100"/>
      <c r="B2339" s="100"/>
      <c r="C2339" s="100"/>
      <c r="D2339" s="100"/>
      <c r="E2339" s="100"/>
      <c r="F2339" s="100"/>
      <c r="G2339" s="100"/>
      <c r="H2339" s="100"/>
      <c r="I2339" s="100"/>
      <c r="J2339" s="100"/>
      <c r="K2339" s="100"/>
      <c r="L2339" s="100"/>
      <c r="M2339" s="100"/>
      <c r="N2339" s="100"/>
      <c r="O2339" s="100"/>
      <c r="P2339" s="100"/>
      <c r="Q2339" s="100"/>
      <c r="R2339" s="100"/>
      <c r="S2339" s="100"/>
      <c r="T2339" s="100"/>
      <c r="U2339" s="100"/>
      <c r="V2339" s="100"/>
      <c r="W2339" s="100"/>
      <c r="X2339" s="100"/>
      <c r="Y2339" s="100"/>
      <c r="Z2339" s="100"/>
    </row>
    <row r="2340" spans="1:26">
      <c r="A2340" s="100"/>
      <c r="B2340" s="100"/>
      <c r="C2340" s="100"/>
      <c r="D2340" s="100"/>
      <c r="E2340" s="100"/>
      <c r="F2340" s="100"/>
      <c r="G2340" s="100"/>
      <c r="H2340" s="100"/>
      <c r="I2340" s="100"/>
      <c r="J2340" s="100"/>
      <c r="K2340" s="100"/>
      <c r="L2340" s="100"/>
      <c r="M2340" s="100"/>
      <c r="N2340" s="100"/>
      <c r="O2340" s="100"/>
      <c r="P2340" s="100"/>
      <c r="Q2340" s="100"/>
      <c r="R2340" s="100"/>
      <c r="S2340" s="100"/>
      <c r="T2340" s="100"/>
      <c r="U2340" s="100"/>
      <c r="V2340" s="100"/>
      <c r="W2340" s="100"/>
      <c r="X2340" s="100"/>
      <c r="Y2340" s="100"/>
      <c r="Z2340" s="100"/>
    </row>
    <row r="2341" spans="1:26">
      <c r="A2341" s="100"/>
      <c r="B2341" s="100"/>
      <c r="C2341" s="100"/>
      <c r="D2341" s="100"/>
      <c r="E2341" s="100"/>
      <c r="F2341" s="100"/>
      <c r="G2341" s="100"/>
      <c r="H2341" s="100"/>
      <c r="I2341" s="100"/>
      <c r="J2341" s="100"/>
      <c r="K2341" s="100"/>
      <c r="L2341" s="100"/>
      <c r="M2341" s="100"/>
      <c r="N2341" s="100"/>
      <c r="O2341" s="100"/>
      <c r="P2341" s="100"/>
      <c r="Q2341" s="100"/>
      <c r="R2341" s="100"/>
      <c r="S2341" s="100"/>
      <c r="T2341" s="100"/>
      <c r="U2341" s="100"/>
      <c r="V2341" s="100"/>
      <c r="W2341" s="100"/>
      <c r="X2341" s="100"/>
      <c r="Y2341" s="100"/>
      <c r="Z2341" s="100"/>
    </row>
    <row r="2342" spans="1:26">
      <c r="A2342" s="100"/>
      <c r="B2342" s="100"/>
      <c r="C2342" s="100"/>
      <c r="D2342" s="100"/>
      <c r="E2342" s="100"/>
      <c r="F2342" s="100"/>
      <c r="G2342" s="100"/>
      <c r="H2342" s="100"/>
      <c r="I2342" s="100"/>
      <c r="J2342" s="100"/>
      <c r="K2342" s="100"/>
      <c r="L2342" s="100"/>
      <c r="M2342" s="100"/>
      <c r="N2342" s="100"/>
      <c r="O2342" s="100"/>
      <c r="P2342" s="100"/>
      <c r="Q2342" s="100"/>
      <c r="R2342" s="100"/>
      <c r="S2342" s="100"/>
      <c r="T2342" s="100"/>
      <c r="U2342" s="100"/>
      <c r="V2342" s="100"/>
      <c r="W2342" s="100"/>
      <c r="X2342" s="100"/>
      <c r="Y2342" s="100"/>
      <c r="Z2342" s="100"/>
    </row>
    <row r="2343" spans="1:26">
      <c r="A2343" s="100"/>
      <c r="B2343" s="100"/>
      <c r="C2343" s="100"/>
      <c r="D2343" s="100"/>
      <c r="E2343" s="100"/>
      <c r="F2343" s="100"/>
      <c r="G2343" s="100"/>
      <c r="H2343" s="100"/>
      <c r="I2343" s="100"/>
      <c r="J2343" s="100"/>
      <c r="K2343" s="100"/>
      <c r="L2343" s="100"/>
      <c r="M2343" s="100"/>
      <c r="N2343" s="100"/>
      <c r="O2343" s="100"/>
      <c r="P2343" s="100"/>
      <c r="Q2343" s="100"/>
      <c r="R2343" s="100"/>
      <c r="S2343" s="100"/>
      <c r="T2343" s="100"/>
      <c r="U2343" s="100"/>
      <c r="V2343" s="100"/>
      <c r="W2343" s="100"/>
      <c r="X2343" s="100"/>
      <c r="Y2343" s="100"/>
      <c r="Z2343" s="100"/>
    </row>
    <row r="2344" spans="1:26">
      <c r="A2344" s="100"/>
      <c r="B2344" s="100"/>
      <c r="C2344" s="100"/>
      <c r="D2344" s="100"/>
      <c r="E2344" s="100"/>
      <c r="F2344" s="100"/>
      <c r="G2344" s="100"/>
      <c r="H2344" s="100"/>
      <c r="I2344" s="100"/>
      <c r="J2344" s="100"/>
      <c r="K2344" s="100"/>
      <c r="L2344" s="100"/>
      <c r="M2344" s="100"/>
      <c r="N2344" s="100"/>
      <c r="O2344" s="100"/>
      <c r="P2344" s="100"/>
      <c r="Q2344" s="100"/>
      <c r="R2344" s="100"/>
      <c r="S2344" s="100"/>
      <c r="T2344" s="100"/>
      <c r="U2344" s="100"/>
      <c r="V2344" s="100"/>
      <c r="W2344" s="100"/>
      <c r="X2344" s="100"/>
      <c r="Y2344" s="100"/>
      <c r="Z2344" s="100"/>
    </row>
    <row r="2345" spans="1:26">
      <c r="A2345" s="100"/>
      <c r="B2345" s="100"/>
      <c r="C2345" s="100"/>
      <c r="D2345" s="100"/>
      <c r="E2345" s="100"/>
      <c r="F2345" s="100"/>
      <c r="G2345" s="100"/>
      <c r="H2345" s="100"/>
      <c r="I2345" s="100"/>
      <c r="J2345" s="100"/>
      <c r="K2345" s="100"/>
      <c r="L2345" s="100"/>
      <c r="M2345" s="100"/>
      <c r="N2345" s="100"/>
      <c r="O2345" s="100"/>
      <c r="P2345" s="100"/>
      <c r="Q2345" s="100"/>
      <c r="R2345" s="100"/>
      <c r="S2345" s="100"/>
      <c r="T2345" s="100"/>
      <c r="U2345" s="100"/>
      <c r="V2345" s="100"/>
      <c r="W2345" s="100"/>
      <c r="X2345" s="100"/>
      <c r="Y2345" s="100"/>
      <c r="Z2345" s="100"/>
    </row>
    <row r="2346" spans="1:26">
      <c r="A2346" s="100"/>
      <c r="B2346" s="100"/>
      <c r="C2346" s="100"/>
      <c r="D2346" s="100"/>
      <c r="E2346" s="100"/>
      <c r="F2346" s="100"/>
      <c r="G2346" s="100"/>
      <c r="H2346" s="100"/>
      <c r="I2346" s="100"/>
      <c r="J2346" s="100"/>
      <c r="K2346" s="100"/>
      <c r="L2346" s="100"/>
      <c r="M2346" s="100"/>
      <c r="N2346" s="100"/>
      <c r="O2346" s="100"/>
      <c r="P2346" s="100"/>
      <c r="Q2346" s="100"/>
      <c r="R2346" s="100"/>
      <c r="S2346" s="100"/>
      <c r="T2346" s="100"/>
      <c r="U2346" s="100"/>
      <c r="V2346" s="100"/>
      <c r="W2346" s="100"/>
      <c r="X2346" s="100"/>
      <c r="Y2346" s="100"/>
      <c r="Z2346" s="100"/>
    </row>
    <row r="2347" spans="1:26">
      <c r="A2347" s="100"/>
      <c r="B2347" s="100"/>
      <c r="C2347" s="100"/>
      <c r="D2347" s="100"/>
      <c r="E2347" s="100"/>
      <c r="F2347" s="100"/>
      <c r="G2347" s="100"/>
      <c r="H2347" s="100"/>
      <c r="I2347" s="100"/>
      <c r="J2347" s="100"/>
      <c r="K2347" s="100"/>
      <c r="L2347" s="100"/>
      <c r="M2347" s="100"/>
      <c r="N2347" s="100"/>
      <c r="O2347" s="100"/>
      <c r="P2347" s="100"/>
      <c r="Q2347" s="100"/>
      <c r="R2347" s="100"/>
      <c r="S2347" s="100"/>
      <c r="T2347" s="100"/>
      <c r="U2347" s="100"/>
      <c r="V2347" s="100"/>
      <c r="W2347" s="100"/>
      <c r="X2347" s="100"/>
      <c r="Y2347" s="100"/>
      <c r="Z2347" s="100"/>
    </row>
    <row r="2348" spans="1:26">
      <c r="A2348" s="100"/>
      <c r="B2348" s="100"/>
      <c r="C2348" s="100"/>
      <c r="D2348" s="100"/>
      <c r="E2348" s="100"/>
      <c r="F2348" s="100"/>
      <c r="G2348" s="100"/>
      <c r="H2348" s="100"/>
      <c r="I2348" s="100"/>
      <c r="J2348" s="100"/>
      <c r="K2348" s="100"/>
      <c r="L2348" s="100"/>
      <c r="M2348" s="100"/>
      <c r="N2348" s="100"/>
      <c r="O2348" s="100"/>
      <c r="P2348" s="100"/>
      <c r="Q2348" s="100"/>
      <c r="R2348" s="100"/>
      <c r="S2348" s="100"/>
      <c r="T2348" s="100"/>
      <c r="U2348" s="100"/>
      <c r="V2348" s="100"/>
      <c r="W2348" s="100"/>
      <c r="X2348" s="100"/>
      <c r="Y2348" s="100"/>
      <c r="Z2348" s="100"/>
    </row>
    <row r="2349" spans="1:26">
      <c r="A2349" s="100"/>
      <c r="B2349" s="100"/>
      <c r="C2349" s="100"/>
      <c r="D2349" s="100"/>
      <c r="E2349" s="100"/>
      <c r="F2349" s="100"/>
      <c r="G2349" s="100"/>
      <c r="H2349" s="100"/>
      <c r="I2349" s="100"/>
      <c r="J2349" s="100"/>
      <c r="K2349" s="100"/>
      <c r="L2349" s="100"/>
      <c r="M2349" s="100"/>
      <c r="N2349" s="100"/>
      <c r="O2349" s="100"/>
      <c r="P2349" s="100"/>
      <c r="Q2349" s="100"/>
      <c r="R2349" s="100"/>
      <c r="S2349" s="100"/>
      <c r="T2349" s="100"/>
      <c r="U2349" s="100"/>
      <c r="V2349" s="100"/>
      <c r="W2349" s="100"/>
      <c r="X2349" s="100"/>
      <c r="Y2349" s="100"/>
      <c r="Z2349" s="100"/>
    </row>
    <row r="2350" spans="1:26">
      <c r="A2350" s="100"/>
      <c r="B2350" s="100"/>
      <c r="C2350" s="100"/>
      <c r="D2350" s="100"/>
      <c r="E2350" s="100"/>
      <c r="F2350" s="100"/>
      <c r="G2350" s="100"/>
      <c r="H2350" s="100"/>
      <c r="I2350" s="100"/>
      <c r="J2350" s="100"/>
      <c r="K2350" s="100"/>
      <c r="L2350" s="100"/>
      <c r="M2350" s="100"/>
      <c r="N2350" s="100"/>
      <c r="O2350" s="100"/>
      <c r="P2350" s="100"/>
      <c r="Q2350" s="100"/>
      <c r="R2350" s="100"/>
      <c r="S2350" s="100"/>
      <c r="T2350" s="100"/>
      <c r="U2350" s="100"/>
      <c r="V2350" s="100"/>
      <c r="W2350" s="100"/>
      <c r="X2350" s="100"/>
      <c r="Y2350" s="100"/>
      <c r="Z2350" s="100"/>
    </row>
    <row r="2351" spans="1:26">
      <c r="A2351" s="100"/>
      <c r="B2351" s="100"/>
      <c r="C2351" s="100"/>
      <c r="D2351" s="100"/>
      <c r="E2351" s="100"/>
      <c r="F2351" s="100"/>
      <c r="G2351" s="100"/>
      <c r="H2351" s="100"/>
      <c r="I2351" s="100"/>
      <c r="J2351" s="100"/>
      <c r="K2351" s="100"/>
      <c r="L2351" s="100"/>
      <c r="M2351" s="100"/>
      <c r="N2351" s="100"/>
      <c r="O2351" s="100"/>
      <c r="P2351" s="100"/>
      <c r="Q2351" s="100"/>
      <c r="R2351" s="100"/>
      <c r="S2351" s="100"/>
      <c r="T2351" s="100"/>
      <c r="U2351" s="100"/>
      <c r="V2351" s="100"/>
      <c r="W2351" s="100"/>
      <c r="X2351" s="100"/>
      <c r="Y2351" s="100"/>
      <c r="Z2351" s="100"/>
    </row>
    <row r="2352" spans="1:26">
      <c r="A2352" s="100"/>
      <c r="B2352" s="100"/>
      <c r="C2352" s="100"/>
      <c r="D2352" s="100"/>
      <c r="E2352" s="100"/>
      <c r="F2352" s="100"/>
      <c r="G2352" s="100"/>
      <c r="H2352" s="100"/>
      <c r="I2352" s="100"/>
      <c r="J2352" s="100"/>
      <c r="K2352" s="100"/>
      <c r="L2352" s="100"/>
      <c r="M2352" s="100"/>
      <c r="N2352" s="100"/>
      <c r="O2352" s="100"/>
      <c r="P2352" s="100"/>
      <c r="Q2352" s="100"/>
      <c r="R2352" s="100"/>
      <c r="S2352" s="100"/>
      <c r="T2352" s="100"/>
      <c r="U2352" s="100"/>
      <c r="V2352" s="100"/>
      <c r="W2352" s="100"/>
      <c r="X2352" s="100"/>
      <c r="Y2352" s="100"/>
      <c r="Z2352" s="100"/>
    </row>
    <row r="2353" spans="1:26">
      <c r="A2353" s="100"/>
      <c r="B2353" s="100"/>
      <c r="C2353" s="100"/>
      <c r="D2353" s="100"/>
      <c r="E2353" s="100"/>
      <c r="F2353" s="100"/>
      <c r="G2353" s="100"/>
      <c r="H2353" s="100"/>
      <c r="I2353" s="100"/>
      <c r="J2353" s="100"/>
      <c r="K2353" s="100"/>
      <c r="L2353" s="100"/>
      <c r="M2353" s="100"/>
      <c r="N2353" s="100"/>
      <c r="O2353" s="100"/>
      <c r="P2353" s="100"/>
      <c r="Q2353" s="100"/>
      <c r="R2353" s="100"/>
      <c r="S2353" s="100"/>
      <c r="T2353" s="100"/>
      <c r="U2353" s="100"/>
      <c r="V2353" s="100"/>
      <c r="W2353" s="100"/>
      <c r="X2353" s="100"/>
      <c r="Y2353" s="100"/>
      <c r="Z2353" s="100"/>
    </row>
    <row r="2354" spans="1:26">
      <c r="A2354" s="100"/>
      <c r="B2354" s="100"/>
      <c r="C2354" s="100"/>
      <c r="D2354" s="100"/>
      <c r="E2354" s="100"/>
      <c r="F2354" s="100"/>
      <c r="G2354" s="100"/>
      <c r="H2354" s="100"/>
      <c r="I2354" s="100"/>
      <c r="J2354" s="100"/>
      <c r="K2354" s="100"/>
      <c r="L2354" s="100"/>
      <c r="M2354" s="100"/>
      <c r="N2354" s="100"/>
      <c r="O2354" s="100"/>
      <c r="P2354" s="100"/>
      <c r="Q2354" s="100"/>
      <c r="R2354" s="100"/>
      <c r="S2354" s="100"/>
      <c r="T2354" s="100"/>
      <c r="U2354" s="100"/>
      <c r="V2354" s="100"/>
      <c r="W2354" s="100"/>
      <c r="X2354" s="100"/>
      <c r="Y2354" s="100"/>
      <c r="Z2354" s="100"/>
    </row>
    <row r="2355" spans="1:26">
      <c r="A2355" s="100"/>
      <c r="B2355" s="100"/>
      <c r="C2355" s="100"/>
      <c r="D2355" s="100"/>
      <c r="E2355" s="100"/>
      <c r="F2355" s="100"/>
      <c r="G2355" s="100"/>
      <c r="H2355" s="100"/>
      <c r="I2355" s="100"/>
      <c r="J2355" s="100"/>
      <c r="K2355" s="100"/>
      <c r="L2355" s="100"/>
      <c r="M2355" s="100"/>
      <c r="N2355" s="100"/>
      <c r="O2355" s="100"/>
      <c r="P2355" s="100"/>
      <c r="Q2355" s="100"/>
      <c r="R2355" s="100"/>
      <c r="S2355" s="100"/>
      <c r="T2355" s="100"/>
      <c r="U2355" s="100"/>
      <c r="V2355" s="100"/>
      <c r="W2355" s="100"/>
      <c r="X2355" s="100"/>
      <c r="Y2355" s="100"/>
      <c r="Z2355" s="100"/>
    </row>
    <row r="2356" spans="1:26">
      <c r="A2356" s="100"/>
      <c r="B2356" s="100"/>
      <c r="C2356" s="100"/>
      <c r="D2356" s="100"/>
      <c r="E2356" s="100"/>
      <c r="F2356" s="100"/>
      <c r="G2356" s="100"/>
      <c r="H2356" s="100"/>
      <c r="I2356" s="100"/>
      <c r="J2356" s="100"/>
      <c r="K2356" s="100"/>
      <c r="L2356" s="100"/>
      <c r="M2356" s="100"/>
      <c r="N2356" s="100"/>
      <c r="O2356" s="100"/>
      <c r="P2356" s="100"/>
      <c r="Q2356" s="100"/>
      <c r="R2356" s="100"/>
      <c r="S2356" s="100"/>
      <c r="T2356" s="100"/>
      <c r="U2356" s="100"/>
      <c r="V2356" s="100"/>
      <c r="W2356" s="100"/>
      <c r="X2356" s="100"/>
      <c r="Y2356" s="100"/>
      <c r="Z2356" s="100"/>
    </row>
    <row r="2357" spans="1:26">
      <c r="A2357" s="100"/>
      <c r="B2357" s="100"/>
      <c r="C2357" s="100"/>
      <c r="D2357" s="100"/>
      <c r="E2357" s="100"/>
      <c r="F2357" s="100"/>
      <c r="G2357" s="100"/>
      <c r="H2357" s="100"/>
      <c r="I2357" s="100"/>
      <c r="J2357" s="100"/>
      <c r="K2357" s="100"/>
      <c r="L2357" s="100"/>
      <c r="M2357" s="100"/>
      <c r="N2357" s="100"/>
      <c r="O2357" s="100"/>
      <c r="P2357" s="100"/>
      <c r="Q2357" s="100"/>
      <c r="R2357" s="100"/>
      <c r="S2357" s="100"/>
      <c r="T2357" s="100"/>
      <c r="U2357" s="100"/>
      <c r="V2357" s="100"/>
      <c r="W2357" s="100"/>
      <c r="X2357" s="100"/>
      <c r="Y2357" s="100"/>
      <c r="Z2357" s="100"/>
    </row>
    <row r="2358" spans="1:26">
      <c r="A2358" s="100"/>
      <c r="B2358" s="100"/>
      <c r="C2358" s="100"/>
      <c r="D2358" s="100"/>
      <c r="E2358" s="100"/>
      <c r="F2358" s="100"/>
      <c r="G2358" s="100"/>
      <c r="H2358" s="100"/>
      <c r="I2358" s="100"/>
      <c r="J2358" s="100"/>
      <c r="K2358" s="100"/>
      <c r="L2358" s="100"/>
      <c r="M2358" s="100"/>
      <c r="N2358" s="100"/>
      <c r="O2358" s="100"/>
      <c r="P2358" s="100"/>
      <c r="Q2358" s="100"/>
      <c r="R2358" s="100"/>
      <c r="S2358" s="100"/>
      <c r="T2358" s="100"/>
      <c r="U2358" s="100"/>
      <c r="V2358" s="100"/>
      <c r="W2358" s="100"/>
      <c r="X2358" s="100"/>
      <c r="Y2358" s="100"/>
      <c r="Z2358" s="100"/>
    </row>
    <row r="2359" spans="1:26">
      <c r="A2359" s="100"/>
      <c r="B2359" s="100"/>
      <c r="C2359" s="100"/>
      <c r="D2359" s="100"/>
      <c r="E2359" s="100"/>
      <c r="F2359" s="100"/>
      <c r="G2359" s="100"/>
      <c r="H2359" s="100"/>
      <c r="I2359" s="100"/>
      <c r="J2359" s="100"/>
      <c r="K2359" s="100"/>
      <c r="L2359" s="100"/>
      <c r="M2359" s="100"/>
      <c r="N2359" s="100"/>
      <c r="O2359" s="100"/>
      <c r="P2359" s="100"/>
      <c r="Q2359" s="100"/>
      <c r="R2359" s="100"/>
      <c r="S2359" s="100"/>
      <c r="T2359" s="100"/>
      <c r="U2359" s="100"/>
      <c r="V2359" s="100"/>
      <c r="W2359" s="100"/>
      <c r="X2359" s="100"/>
      <c r="Y2359" s="100"/>
      <c r="Z2359" s="100"/>
    </row>
    <row r="2360" spans="1:26">
      <c r="A2360" s="100"/>
      <c r="B2360" s="100"/>
      <c r="C2360" s="100"/>
      <c r="D2360" s="100"/>
      <c r="E2360" s="100"/>
      <c r="F2360" s="100"/>
      <c r="G2360" s="100"/>
      <c r="H2360" s="100"/>
      <c r="I2360" s="100"/>
      <c r="J2360" s="100"/>
      <c r="K2360" s="100"/>
      <c r="L2360" s="100"/>
      <c r="M2360" s="100"/>
      <c r="N2360" s="100"/>
      <c r="O2360" s="100"/>
      <c r="P2360" s="100"/>
      <c r="Q2360" s="100"/>
      <c r="R2360" s="100"/>
      <c r="S2360" s="100"/>
      <c r="T2360" s="100"/>
      <c r="U2360" s="100"/>
      <c r="V2360" s="100"/>
      <c r="W2360" s="100"/>
      <c r="X2360" s="100"/>
      <c r="Y2360" s="100"/>
      <c r="Z2360" s="100"/>
    </row>
    <row r="2361" spans="1:26">
      <c r="A2361" s="100"/>
      <c r="B2361" s="100"/>
      <c r="C2361" s="100"/>
      <c r="D2361" s="100"/>
      <c r="E2361" s="100"/>
      <c r="F2361" s="100"/>
      <c r="G2361" s="100"/>
      <c r="H2361" s="100"/>
      <c r="I2361" s="100"/>
      <c r="J2361" s="100"/>
      <c r="K2361" s="100"/>
      <c r="L2361" s="100"/>
      <c r="M2361" s="100"/>
      <c r="N2361" s="100"/>
      <c r="O2361" s="100"/>
      <c r="P2361" s="100"/>
      <c r="Q2361" s="100"/>
      <c r="R2361" s="100"/>
      <c r="S2361" s="100"/>
      <c r="T2361" s="100"/>
      <c r="U2361" s="100"/>
      <c r="V2361" s="100"/>
      <c r="W2361" s="100"/>
      <c r="X2361" s="100"/>
      <c r="Y2361" s="100"/>
      <c r="Z2361" s="100"/>
    </row>
    <row r="2362" spans="1:26">
      <c r="A2362" s="100"/>
      <c r="B2362" s="100"/>
      <c r="C2362" s="100"/>
      <c r="D2362" s="100"/>
      <c r="E2362" s="100"/>
      <c r="F2362" s="100"/>
      <c r="G2362" s="100"/>
      <c r="H2362" s="100"/>
      <c r="I2362" s="100"/>
      <c r="J2362" s="100"/>
      <c r="K2362" s="100"/>
      <c r="L2362" s="100"/>
      <c r="M2362" s="100"/>
      <c r="N2362" s="100"/>
      <c r="O2362" s="100"/>
      <c r="P2362" s="100"/>
      <c r="Q2362" s="100"/>
      <c r="R2362" s="100"/>
      <c r="S2362" s="100"/>
      <c r="T2362" s="100"/>
      <c r="U2362" s="100"/>
      <c r="V2362" s="100"/>
      <c r="W2362" s="100"/>
      <c r="X2362" s="100"/>
      <c r="Y2362" s="100"/>
      <c r="Z2362" s="100"/>
    </row>
    <row r="2363" spans="1:26">
      <c r="A2363" s="100"/>
      <c r="B2363" s="100"/>
      <c r="C2363" s="100"/>
      <c r="D2363" s="100"/>
      <c r="E2363" s="100"/>
      <c r="F2363" s="100"/>
      <c r="G2363" s="100"/>
      <c r="H2363" s="100"/>
      <c r="I2363" s="100"/>
      <c r="J2363" s="100"/>
      <c r="K2363" s="100"/>
      <c r="L2363" s="100"/>
      <c r="M2363" s="100"/>
      <c r="N2363" s="100"/>
      <c r="O2363" s="100"/>
      <c r="P2363" s="100"/>
      <c r="Q2363" s="100"/>
      <c r="R2363" s="100"/>
      <c r="S2363" s="100"/>
      <c r="T2363" s="100"/>
      <c r="U2363" s="100"/>
      <c r="V2363" s="100"/>
      <c r="W2363" s="100"/>
      <c r="X2363" s="100"/>
      <c r="Y2363" s="100"/>
      <c r="Z2363" s="100"/>
    </row>
    <row r="2364" spans="1:26">
      <c r="A2364" s="100"/>
      <c r="B2364" s="100"/>
      <c r="C2364" s="100"/>
      <c r="D2364" s="100"/>
      <c r="E2364" s="100"/>
      <c r="F2364" s="100"/>
      <c r="G2364" s="100"/>
      <c r="H2364" s="100"/>
      <c r="I2364" s="100"/>
      <c r="J2364" s="100"/>
      <c r="K2364" s="100"/>
      <c r="L2364" s="100"/>
      <c r="M2364" s="100"/>
      <c r="N2364" s="100"/>
      <c r="O2364" s="100"/>
      <c r="P2364" s="100"/>
      <c r="Q2364" s="100"/>
      <c r="R2364" s="100"/>
      <c r="S2364" s="100"/>
      <c r="T2364" s="100"/>
      <c r="U2364" s="100"/>
      <c r="V2364" s="100"/>
      <c r="W2364" s="100"/>
      <c r="X2364" s="100"/>
      <c r="Y2364" s="100"/>
      <c r="Z2364" s="100"/>
    </row>
    <row r="2365" spans="1:26">
      <c r="A2365" s="100"/>
      <c r="B2365" s="100"/>
      <c r="C2365" s="100"/>
      <c r="D2365" s="100"/>
      <c r="E2365" s="100"/>
      <c r="F2365" s="100"/>
      <c r="G2365" s="100"/>
      <c r="H2365" s="100"/>
      <c r="I2365" s="100"/>
      <c r="J2365" s="100"/>
      <c r="K2365" s="100"/>
      <c r="L2365" s="100"/>
      <c r="M2365" s="100"/>
      <c r="N2365" s="100"/>
      <c r="O2365" s="100"/>
      <c r="P2365" s="100"/>
      <c r="Q2365" s="100"/>
      <c r="R2365" s="100"/>
      <c r="S2365" s="100"/>
      <c r="T2365" s="100"/>
      <c r="U2365" s="100"/>
      <c r="V2365" s="100"/>
      <c r="W2365" s="100"/>
      <c r="X2365" s="100"/>
      <c r="Y2365" s="100"/>
      <c r="Z2365" s="100"/>
    </row>
    <row r="2366" spans="1:26">
      <c r="A2366" s="100"/>
      <c r="B2366" s="100"/>
      <c r="C2366" s="100"/>
      <c r="D2366" s="100"/>
      <c r="E2366" s="100"/>
      <c r="F2366" s="100"/>
      <c r="G2366" s="100"/>
      <c r="H2366" s="100"/>
      <c r="I2366" s="100"/>
      <c r="J2366" s="100"/>
      <c r="K2366" s="100"/>
      <c r="L2366" s="100"/>
      <c r="M2366" s="100"/>
      <c r="N2366" s="100"/>
      <c r="O2366" s="100"/>
      <c r="P2366" s="100"/>
      <c r="Q2366" s="100"/>
      <c r="R2366" s="100"/>
      <c r="S2366" s="100"/>
      <c r="T2366" s="100"/>
      <c r="U2366" s="100"/>
      <c r="V2366" s="100"/>
      <c r="W2366" s="100"/>
      <c r="X2366" s="100"/>
      <c r="Y2366" s="100"/>
      <c r="Z2366" s="100"/>
    </row>
    <row r="2367" spans="1:26">
      <c r="A2367" s="100"/>
      <c r="B2367" s="100"/>
      <c r="C2367" s="100"/>
      <c r="D2367" s="100"/>
      <c r="E2367" s="100"/>
      <c r="F2367" s="100"/>
      <c r="G2367" s="100"/>
      <c r="H2367" s="100"/>
      <c r="I2367" s="100"/>
      <c r="J2367" s="100"/>
      <c r="K2367" s="100"/>
      <c r="L2367" s="100"/>
      <c r="M2367" s="100"/>
      <c r="N2367" s="100"/>
      <c r="O2367" s="100"/>
      <c r="P2367" s="100"/>
      <c r="Q2367" s="100"/>
      <c r="R2367" s="100"/>
      <c r="S2367" s="100"/>
      <c r="T2367" s="100"/>
      <c r="U2367" s="100"/>
      <c r="V2367" s="100"/>
      <c r="W2367" s="100"/>
      <c r="X2367" s="100"/>
      <c r="Y2367" s="100"/>
      <c r="Z2367" s="100"/>
    </row>
    <row r="2368" spans="1:26">
      <c r="A2368" s="100"/>
      <c r="B2368" s="100"/>
      <c r="C2368" s="100"/>
      <c r="D2368" s="100"/>
      <c r="E2368" s="100"/>
      <c r="F2368" s="100"/>
      <c r="G2368" s="100"/>
      <c r="H2368" s="100"/>
      <c r="I2368" s="100"/>
      <c r="J2368" s="100"/>
      <c r="K2368" s="100"/>
      <c r="L2368" s="100"/>
      <c r="M2368" s="100"/>
      <c r="N2368" s="100"/>
      <c r="O2368" s="100"/>
      <c r="P2368" s="100"/>
      <c r="Q2368" s="100"/>
      <c r="R2368" s="100"/>
      <c r="S2368" s="100"/>
      <c r="T2368" s="100"/>
      <c r="U2368" s="100"/>
      <c r="V2368" s="100"/>
      <c r="W2368" s="100"/>
      <c r="X2368" s="100"/>
      <c r="Y2368" s="100"/>
      <c r="Z2368" s="100"/>
    </row>
    <row r="2369" spans="1:26">
      <c r="A2369" s="100"/>
      <c r="B2369" s="100"/>
      <c r="C2369" s="100"/>
      <c r="D2369" s="100"/>
      <c r="E2369" s="100"/>
      <c r="F2369" s="100"/>
      <c r="G2369" s="100"/>
      <c r="H2369" s="100"/>
      <c r="I2369" s="100"/>
      <c r="J2369" s="100"/>
      <c r="K2369" s="100"/>
      <c r="L2369" s="100"/>
      <c r="M2369" s="100"/>
      <c r="N2369" s="100"/>
      <c r="O2369" s="100"/>
      <c r="P2369" s="100"/>
      <c r="Q2369" s="100"/>
      <c r="R2369" s="100"/>
      <c r="S2369" s="100"/>
      <c r="T2369" s="100"/>
      <c r="U2369" s="100"/>
      <c r="V2369" s="100"/>
      <c r="W2369" s="100"/>
      <c r="X2369" s="100"/>
      <c r="Y2369" s="100"/>
      <c r="Z2369" s="100"/>
    </row>
    <row r="2370" spans="1:26">
      <c r="A2370" s="100"/>
      <c r="B2370" s="100"/>
      <c r="C2370" s="100"/>
      <c r="D2370" s="100"/>
      <c r="E2370" s="100"/>
      <c r="F2370" s="100"/>
      <c r="G2370" s="100"/>
      <c r="H2370" s="100"/>
      <c r="I2370" s="100"/>
      <c r="J2370" s="100"/>
      <c r="K2370" s="100"/>
      <c r="L2370" s="100"/>
      <c r="M2370" s="100"/>
      <c r="N2370" s="100"/>
      <c r="O2370" s="100"/>
      <c r="P2370" s="100"/>
      <c r="Q2370" s="100"/>
      <c r="R2370" s="100"/>
      <c r="S2370" s="100"/>
      <c r="T2370" s="100"/>
      <c r="U2370" s="100"/>
      <c r="V2370" s="100"/>
      <c r="W2370" s="100"/>
      <c r="X2370" s="100"/>
      <c r="Y2370" s="100"/>
      <c r="Z2370" s="100"/>
    </row>
    <row r="2371" spans="1:26">
      <c r="A2371" s="100"/>
      <c r="B2371" s="100"/>
      <c r="C2371" s="100"/>
      <c r="D2371" s="100"/>
      <c r="E2371" s="100"/>
      <c r="F2371" s="100"/>
      <c r="G2371" s="100"/>
      <c r="H2371" s="100"/>
      <c r="I2371" s="100"/>
      <c r="J2371" s="100"/>
      <c r="K2371" s="100"/>
      <c r="L2371" s="100"/>
      <c r="M2371" s="100"/>
      <c r="N2371" s="100"/>
      <c r="O2371" s="100"/>
      <c r="P2371" s="100"/>
      <c r="Q2371" s="100"/>
      <c r="R2371" s="100"/>
      <c r="S2371" s="100"/>
      <c r="T2371" s="100"/>
      <c r="U2371" s="100"/>
      <c r="V2371" s="100"/>
      <c r="W2371" s="100"/>
      <c r="X2371" s="100"/>
      <c r="Y2371" s="100"/>
      <c r="Z2371" s="100"/>
    </row>
    <row r="2372" spans="1:26">
      <c r="A2372" s="100"/>
      <c r="B2372" s="100"/>
      <c r="C2372" s="100"/>
      <c r="D2372" s="100"/>
      <c r="E2372" s="100"/>
      <c r="F2372" s="100"/>
      <c r="G2372" s="100"/>
      <c r="H2372" s="100"/>
      <c r="I2372" s="100"/>
      <c r="J2372" s="100"/>
      <c r="K2372" s="100"/>
      <c r="L2372" s="100"/>
      <c r="M2372" s="100"/>
      <c r="N2372" s="100"/>
      <c r="O2372" s="100"/>
      <c r="P2372" s="100"/>
      <c r="Q2372" s="100"/>
      <c r="R2372" s="100"/>
      <c r="S2372" s="100"/>
      <c r="T2372" s="100"/>
      <c r="U2372" s="100"/>
      <c r="V2372" s="100"/>
      <c r="W2372" s="100"/>
      <c r="X2372" s="100"/>
      <c r="Y2372" s="100"/>
      <c r="Z2372" s="100"/>
    </row>
    <row r="2373" spans="1:26">
      <c r="A2373" s="100"/>
      <c r="B2373" s="100"/>
      <c r="C2373" s="100"/>
      <c r="D2373" s="100"/>
      <c r="E2373" s="100"/>
      <c r="F2373" s="100"/>
      <c r="G2373" s="100"/>
      <c r="H2373" s="100"/>
      <c r="I2373" s="100"/>
      <c r="J2373" s="100"/>
      <c r="K2373" s="100"/>
      <c r="L2373" s="100"/>
      <c r="M2373" s="100"/>
      <c r="N2373" s="100"/>
      <c r="O2373" s="100"/>
      <c r="P2373" s="100"/>
      <c r="Q2373" s="100"/>
      <c r="R2373" s="100"/>
      <c r="S2373" s="100"/>
      <c r="T2373" s="100"/>
      <c r="U2373" s="100"/>
      <c r="V2373" s="100"/>
      <c r="W2373" s="100"/>
      <c r="X2373" s="100"/>
      <c r="Y2373" s="100"/>
      <c r="Z2373" s="100"/>
    </row>
    <row r="2374" spans="1:26">
      <c r="A2374" s="100"/>
      <c r="B2374" s="100"/>
      <c r="C2374" s="100"/>
      <c r="D2374" s="100"/>
      <c r="E2374" s="100"/>
      <c r="F2374" s="100"/>
      <c r="G2374" s="100"/>
      <c r="H2374" s="100"/>
      <c r="I2374" s="100"/>
      <c r="J2374" s="100"/>
      <c r="K2374" s="100"/>
      <c r="L2374" s="100"/>
      <c r="M2374" s="100"/>
      <c r="N2374" s="100"/>
      <c r="O2374" s="100"/>
      <c r="P2374" s="100"/>
      <c r="Q2374" s="100"/>
      <c r="R2374" s="100"/>
      <c r="S2374" s="100"/>
      <c r="T2374" s="100"/>
      <c r="U2374" s="100"/>
      <c r="V2374" s="100"/>
      <c r="W2374" s="100"/>
      <c r="X2374" s="100"/>
      <c r="Y2374" s="100"/>
      <c r="Z2374" s="100"/>
    </row>
    <row r="2375" spans="1:26">
      <c r="A2375" s="100"/>
      <c r="B2375" s="100"/>
      <c r="C2375" s="100"/>
      <c r="D2375" s="100"/>
      <c r="E2375" s="100"/>
      <c r="F2375" s="100"/>
      <c r="G2375" s="100"/>
      <c r="H2375" s="100"/>
      <c r="I2375" s="100"/>
      <c r="J2375" s="100"/>
      <c r="K2375" s="100"/>
      <c r="L2375" s="100"/>
      <c r="M2375" s="100"/>
      <c r="N2375" s="100"/>
      <c r="O2375" s="100"/>
      <c r="P2375" s="100"/>
      <c r="Q2375" s="100"/>
      <c r="R2375" s="100"/>
      <c r="S2375" s="100"/>
      <c r="T2375" s="100"/>
      <c r="U2375" s="100"/>
      <c r="V2375" s="100"/>
      <c r="W2375" s="100"/>
      <c r="X2375" s="100"/>
      <c r="Y2375" s="100"/>
      <c r="Z2375" s="100"/>
    </row>
    <row r="2376" spans="1:26">
      <c r="A2376" s="100"/>
      <c r="B2376" s="100"/>
      <c r="C2376" s="100"/>
      <c r="D2376" s="100"/>
      <c r="E2376" s="100"/>
      <c r="F2376" s="100"/>
      <c r="G2376" s="100"/>
      <c r="H2376" s="100"/>
      <c r="I2376" s="100"/>
      <c r="J2376" s="100"/>
      <c r="K2376" s="100"/>
      <c r="L2376" s="100"/>
      <c r="M2376" s="100"/>
      <c r="N2376" s="100"/>
      <c r="O2376" s="100"/>
      <c r="P2376" s="100"/>
      <c r="Q2376" s="100"/>
      <c r="R2376" s="100"/>
      <c r="S2376" s="100"/>
      <c r="T2376" s="100"/>
      <c r="U2376" s="100"/>
      <c r="V2376" s="100"/>
      <c r="W2376" s="100"/>
      <c r="X2376" s="100"/>
      <c r="Y2376" s="100"/>
      <c r="Z2376" s="100"/>
    </row>
    <row r="2377" spans="1:26">
      <c r="A2377" s="100"/>
      <c r="B2377" s="100"/>
      <c r="C2377" s="100"/>
      <c r="D2377" s="100"/>
      <c r="E2377" s="100"/>
      <c r="F2377" s="100"/>
      <c r="G2377" s="100"/>
      <c r="H2377" s="100"/>
      <c r="I2377" s="100"/>
      <c r="J2377" s="100"/>
      <c r="K2377" s="100"/>
      <c r="L2377" s="100"/>
      <c r="M2377" s="100"/>
      <c r="N2377" s="100"/>
      <c r="O2377" s="100"/>
      <c r="P2377" s="100"/>
      <c r="Q2377" s="100"/>
      <c r="R2377" s="100"/>
      <c r="S2377" s="100"/>
      <c r="T2377" s="100"/>
      <c r="U2377" s="100"/>
      <c r="V2377" s="100"/>
      <c r="W2377" s="100"/>
      <c r="X2377" s="100"/>
      <c r="Y2377" s="100"/>
      <c r="Z2377" s="100"/>
    </row>
    <row r="2378" spans="1:26">
      <c r="A2378" s="100"/>
      <c r="B2378" s="100"/>
      <c r="C2378" s="100"/>
      <c r="D2378" s="100"/>
      <c r="E2378" s="100"/>
      <c r="F2378" s="100"/>
      <c r="G2378" s="100"/>
      <c r="H2378" s="100"/>
      <c r="I2378" s="100"/>
      <c r="J2378" s="100"/>
      <c r="K2378" s="100"/>
      <c r="L2378" s="100"/>
      <c r="M2378" s="100"/>
      <c r="N2378" s="100"/>
      <c r="O2378" s="100"/>
      <c r="P2378" s="100"/>
      <c r="Q2378" s="100"/>
      <c r="R2378" s="100"/>
      <c r="S2378" s="100"/>
      <c r="T2378" s="100"/>
      <c r="U2378" s="100"/>
      <c r="V2378" s="100"/>
      <c r="W2378" s="100"/>
      <c r="X2378" s="100"/>
      <c r="Y2378" s="100"/>
      <c r="Z2378" s="100"/>
    </row>
    <row r="2379" spans="1:26">
      <c r="A2379" s="100"/>
      <c r="B2379" s="100"/>
      <c r="C2379" s="100"/>
      <c r="D2379" s="100"/>
      <c r="E2379" s="100"/>
      <c r="F2379" s="100"/>
      <c r="G2379" s="100"/>
      <c r="H2379" s="100"/>
      <c r="I2379" s="100"/>
      <c r="J2379" s="100"/>
      <c r="K2379" s="100"/>
      <c r="L2379" s="100"/>
      <c r="M2379" s="100"/>
      <c r="N2379" s="100"/>
      <c r="O2379" s="100"/>
      <c r="P2379" s="100"/>
      <c r="Q2379" s="100"/>
      <c r="R2379" s="100"/>
      <c r="S2379" s="100"/>
      <c r="T2379" s="100"/>
      <c r="U2379" s="100"/>
      <c r="V2379" s="100"/>
      <c r="W2379" s="100"/>
      <c r="X2379" s="100"/>
      <c r="Y2379" s="100"/>
      <c r="Z2379" s="100"/>
    </row>
    <row r="2380" spans="1:26">
      <c r="A2380" s="100"/>
      <c r="B2380" s="100"/>
      <c r="C2380" s="100"/>
      <c r="D2380" s="100"/>
      <c r="E2380" s="100"/>
      <c r="F2380" s="100"/>
      <c r="G2380" s="100"/>
      <c r="H2380" s="100"/>
      <c r="I2380" s="100"/>
      <c r="J2380" s="100"/>
      <c r="K2380" s="100"/>
      <c r="L2380" s="100"/>
      <c r="M2380" s="100"/>
      <c r="N2380" s="100"/>
      <c r="O2380" s="100"/>
      <c r="P2380" s="100"/>
      <c r="Q2380" s="100"/>
      <c r="R2380" s="100"/>
      <c r="S2380" s="100"/>
      <c r="T2380" s="100"/>
      <c r="U2380" s="100"/>
      <c r="V2380" s="100"/>
      <c r="W2380" s="100"/>
      <c r="X2380" s="100"/>
      <c r="Y2380" s="100"/>
      <c r="Z2380" s="100"/>
    </row>
    <row r="2381" spans="1:26">
      <c r="A2381" s="100"/>
      <c r="B2381" s="100"/>
      <c r="C2381" s="100"/>
      <c r="D2381" s="100"/>
      <c r="E2381" s="100"/>
      <c r="F2381" s="100"/>
      <c r="G2381" s="100"/>
      <c r="H2381" s="100"/>
      <c r="I2381" s="100"/>
      <c r="J2381" s="100"/>
      <c r="K2381" s="100"/>
      <c r="L2381" s="100"/>
      <c r="M2381" s="100"/>
      <c r="N2381" s="100"/>
      <c r="O2381" s="100"/>
      <c r="P2381" s="100"/>
      <c r="Q2381" s="100"/>
      <c r="R2381" s="100"/>
      <c r="S2381" s="100"/>
      <c r="T2381" s="100"/>
      <c r="U2381" s="100"/>
      <c r="V2381" s="100"/>
      <c r="W2381" s="100"/>
      <c r="X2381" s="100"/>
      <c r="Y2381" s="100"/>
      <c r="Z2381" s="100"/>
    </row>
    <row r="2382" spans="1:26">
      <c r="A2382" s="100"/>
      <c r="B2382" s="100"/>
      <c r="C2382" s="100"/>
      <c r="D2382" s="100"/>
      <c r="E2382" s="100"/>
      <c r="F2382" s="100"/>
      <c r="G2382" s="100"/>
      <c r="H2382" s="100"/>
      <c r="I2382" s="100"/>
      <c r="J2382" s="100"/>
      <c r="K2382" s="100"/>
      <c r="L2382" s="100"/>
      <c r="M2382" s="100"/>
      <c r="N2382" s="100"/>
      <c r="O2382" s="100"/>
      <c r="P2382" s="100"/>
      <c r="Q2382" s="100"/>
      <c r="R2382" s="100"/>
      <c r="S2382" s="100"/>
      <c r="T2382" s="100"/>
      <c r="U2382" s="100"/>
      <c r="V2382" s="100"/>
      <c r="W2382" s="100"/>
      <c r="X2382" s="100"/>
      <c r="Y2382" s="100"/>
      <c r="Z2382" s="100"/>
    </row>
    <row r="2383" spans="1:26">
      <c r="A2383" s="100"/>
      <c r="B2383" s="100"/>
      <c r="C2383" s="100"/>
      <c r="D2383" s="100"/>
      <c r="E2383" s="100"/>
      <c r="F2383" s="100"/>
      <c r="G2383" s="100"/>
      <c r="H2383" s="100"/>
      <c r="I2383" s="100"/>
      <c r="J2383" s="100"/>
      <c r="K2383" s="100"/>
      <c r="L2383" s="100"/>
      <c r="M2383" s="100"/>
      <c r="N2383" s="100"/>
      <c r="O2383" s="100"/>
      <c r="P2383" s="100"/>
      <c r="Q2383" s="100"/>
      <c r="R2383" s="100"/>
      <c r="S2383" s="100"/>
      <c r="T2383" s="100"/>
      <c r="U2383" s="100"/>
      <c r="V2383" s="100"/>
      <c r="W2383" s="100"/>
      <c r="X2383" s="100"/>
      <c r="Y2383" s="100"/>
      <c r="Z2383" s="100"/>
    </row>
    <row r="2384" spans="1:26">
      <c r="A2384" s="100"/>
      <c r="B2384" s="100"/>
      <c r="C2384" s="100"/>
      <c r="D2384" s="100"/>
      <c r="E2384" s="100"/>
      <c r="F2384" s="100"/>
      <c r="G2384" s="100"/>
      <c r="H2384" s="100"/>
      <c r="I2384" s="100"/>
      <c r="J2384" s="100"/>
      <c r="K2384" s="100"/>
      <c r="L2384" s="100"/>
      <c r="M2384" s="100"/>
      <c r="N2384" s="100"/>
      <c r="O2384" s="100"/>
      <c r="P2384" s="100"/>
      <c r="Q2384" s="100"/>
      <c r="R2384" s="100"/>
      <c r="S2384" s="100"/>
      <c r="T2384" s="100"/>
      <c r="U2384" s="100"/>
      <c r="V2384" s="100"/>
      <c r="W2384" s="100"/>
      <c r="X2384" s="100"/>
      <c r="Y2384" s="100"/>
      <c r="Z2384" s="100"/>
    </row>
    <row r="2385" spans="1:26">
      <c r="A2385" s="100"/>
      <c r="B2385" s="100"/>
      <c r="C2385" s="100"/>
      <c r="D2385" s="100"/>
      <c r="E2385" s="100"/>
      <c r="F2385" s="100"/>
      <c r="G2385" s="100"/>
      <c r="H2385" s="100"/>
      <c r="I2385" s="100"/>
      <c r="J2385" s="100"/>
      <c r="K2385" s="100"/>
      <c r="L2385" s="100"/>
      <c r="M2385" s="100"/>
      <c r="N2385" s="100"/>
      <c r="O2385" s="100"/>
      <c r="P2385" s="100"/>
      <c r="Q2385" s="100"/>
      <c r="R2385" s="100"/>
      <c r="S2385" s="100"/>
      <c r="T2385" s="100"/>
      <c r="U2385" s="100"/>
      <c r="V2385" s="100"/>
      <c r="W2385" s="100"/>
      <c r="X2385" s="100"/>
      <c r="Y2385" s="100"/>
      <c r="Z2385" s="100"/>
    </row>
    <row r="2386" spans="1:26">
      <c r="A2386" s="100"/>
      <c r="B2386" s="100"/>
      <c r="C2386" s="100"/>
      <c r="D2386" s="100"/>
      <c r="E2386" s="100"/>
      <c r="F2386" s="100"/>
      <c r="G2386" s="100"/>
      <c r="H2386" s="100"/>
      <c r="I2386" s="100"/>
      <c r="J2386" s="100"/>
      <c r="K2386" s="100"/>
      <c r="L2386" s="100"/>
      <c r="M2386" s="100"/>
      <c r="N2386" s="100"/>
      <c r="O2386" s="100"/>
      <c r="P2386" s="100"/>
      <c r="Q2386" s="100"/>
      <c r="R2386" s="100"/>
      <c r="S2386" s="100"/>
      <c r="T2386" s="100"/>
      <c r="U2386" s="100"/>
      <c r="V2386" s="100"/>
      <c r="W2386" s="100"/>
      <c r="X2386" s="100"/>
      <c r="Y2386" s="100"/>
      <c r="Z2386" s="100"/>
    </row>
    <row r="2387" spans="1:26">
      <c r="A2387" s="100"/>
      <c r="B2387" s="100"/>
      <c r="C2387" s="100"/>
      <c r="D2387" s="100"/>
      <c r="E2387" s="100"/>
      <c r="F2387" s="100"/>
      <c r="G2387" s="100"/>
      <c r="H2387" s="100"/>
      <c r="I2387" s="100"/>
      <c r="J2387" s="100"/>
      <c r="K2387" s="100"/>
      <c r="L2387" s="100"/>
      <c r="M2387" s="100"/>
      <c r="N2387" s="100"/>
      <c r="O2387" s="100"/>
      <c r="P2387" s="100"/>
      <c r="Q2387" s="100"/>
      <c r="R2387" s="100"/>
      <c r="S2387" s="100"/>
      <c r="T2387" s="100"/>
      <c r="U2387" s="100"/>
      <c r="V2387" s="100"/>
      <c r="W2387" s="100"/>
      <c r="X2387" s="100"/>
      <c r="Y2387" s="100"/>
      <c r="Z2387" s="100"/>
    </row>
    <row r="2388" spans="1:26">
      <c r="A2388" s="100"/>
      <c r="B2388" s="100"/>
      <c r="C2388" s="100"/>
      <c r="D2388" s="100"/>
      <c r="E2388" s="100"/>
      <c r="F2388" s="100"/>
      <c r="G2388" s="100"/>
      <c r="H2388" s="100"/>
      <c r="I2388" s="100"/>
      <c r="J2388" s="100"/>
      <c r="K2388" s="100"/>
      <c r="L2388" s="100"/>
      <c r="M2388" s="100"/>
      <c r="N2388" s="100"/>
      <c r="O2388" s="100"/>
      <c r="P2388" s="100"/>
      <c r="Q2388" s="100"/>
      <c r="R2388" s="100"/>
      <c r="S2388" s="100"/>
      <c r="T2388" s="100"/>
      <c r="U2388" s="100"/>
      <c r="V2388" s="100"/>
      <c r="W2388" s="100"/>
      <c r="X2388" s="100"/>
      <c r="Y2388" s="100"/>
      <c r="Z2388" s="100"/>
    </row>
    <row r="2389" spans="1:26">
      <c r="A2389" s="100"/>
      <c r="B2389" s="100"/>
      <c r="C2389" s="100"/>
      <c r="D2389" s="100"/>
      <c r="E2389" s="100"/>
      <c r="F2389" s="100"/>
      <c r="G2389" s="100"/>
      <c r="H2389" s="100"/>
      <c r="I2389" s="100"/>
      <c r="J2389" s="100"/>
      <c r="K2389" s="100"/>
      <c r="L2389" s="100"/>
      <c r="M2389" s="100"/>
      <c r="N2389" s="100"/>
      <c r="O2389" s="100"/>
      <c r="P2389" s="100"/>
      <c r="Q2389" s="100"/>
      <c r="R2389" s="100"/>
      <c r="S2389" s="100"/>
      <c r="T2389" s="100"/>
      <c r="U2389" s="100"/>
      <c r="V2389" s="100"/>
      <c r="W2389" s="100"/>
      <c r="X2389" s="100"/>
      <c r="Y2389" s="100"/>
      <c r="Z2389" s="100"/>
    </row>
    <row r="2390" spans="1:26">
      <c r="A2390" s="100"/>
      <c r="B2390" s="100"/>
      <c r="C2390" s="100"/>
      <c r="D2390" s="100"/>
      <c r="E2390" s="100"/>
      <c r="F2390" s="100"/>
      <c r="G2390" s="100"/>
      <c r="H2390" s="100"/>
      <c r="I2390" s="100"/>
      <c r="J2390" s="100"/>
      <c r="K2390" s="100"/>
      <c r="L2390" s="100"/>
      <c r="M2390" s="100"/>
      <c r="N2390" s="100"/>
      <c r="O2390" s="100"/>
      <c r="P2390" s="100"/>
      <c r="Q2390" s="100"/>
      <c r="R2390" s="100"/>
      <c r="S2390" s="100"/>
      <c r="T2390" s="100"/>
      <c r="U2390" s="100"/>
      <c r="V2390" s="100"/>
      <c r="W2390" s="100"/>
      <c r="X2390" s="100"/>
      <c r="Y2390" s="100"/>
      <c r="Z2390" s="100"/>
    </row>
    <row r="2391" spans="1:26">
      <c r="A2391" s="100"/>
      <c r="B2391" s="100"/>
      <c r="C2391" s="100"/>
      <c r="D2391" s="100"/>
      <c r="E2391" s="100"/>
      <c r="F2391" s="100"/>
      <c r="G2391" s="100"/>
      <c r="H2391" s="100"/>
      <c r="I2391" s="100"/>
      <c r="J2391" s="100"/>
      <c r="K2391" s="100"/>
      <c r="L2391" s="100"/>
      <c r="M2391" s="100"/>
      <c r="N2391" s="100"/>
      <c r="O2391" s="100"/>
      <c r="P2391" s="100"/>
      <c r="Q2391" s="100"/>
      <c r="R2391" s="100"/>
      <c r="S2391" s="100"/>
      <c r="T2391" s="100"/>
      <c r="U2391" s="100"/>
      <c r="V2391" s="100"/>
      <c r="W2391" s="100"/>
      <c r="X2391" s="100"/>
      <c r="Y2391" s="100"/>
      <c r="Z2391" s="100"/>
    </row>
    <row r="2392" spans="1:26">
      <c r="A2392" s="100"/>
      <c r="B2392" s="100"/>
      <c r="C2392" s="100"/>
      <c r="D2392" s="100"/>
      <c r="E2392" s="100"/>
      <c r="F2392" s="100"/>
      <c r="G2392" s="100"/>
      <c r="H2392" s="100"/>
      <c r="I2392" s="100"/>
      <c r="J2392" s="100"/>
      <c r="K2392" s="100"/>
      <c r="L2392" s="100"/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</row>
    <row r="2393" spans="1:26">
      <c r="A2393" s="100"/>
      <c r="B2393" s="100"/>
      <c r="C2393" s="100"/>
      <c r="D2393" s="100"/>
      <c r="E2393" s="100"/>
      <c r="F2393" s="100"/>
      <c r="G2393" s="100"/>
      <c r="H2393" s="100"/>
      <c r="I2393" s="100"/>
      <c r="J2393" s="100"/>
      <c r="K2393" s="100"/>
      <c r="L2393" s="100"/>
      <c r="M2393" s="100"/>
      <c r="N2393" s="100"/>
      <c r="O2393" s="100"/>
      <c r="P2393" s="100"/>
      <c r="Q2393" s="100"/>
      <c r="R2393" s="100"/>
      <c r="S2393" s="100"/>
      <c r="T2393" s="100"/>
      <c r="U2393" s="100"/>
      <c r="V2393" s="100"/>
      <c r="W2393" s="100"/>
      <c r="X2393" s="100"/>
      <c r="Y2393" s="100"/>
      <c r="Z2393" s="100"/>
    </row>
    <row r="2394" spans="1:26">
      <c r="A2394" s="100"/>
      <c r="B2394" s="100"/>
      <c r="C2394" s="100"/>
      <c r="D2394" s="100"/>
      <c r="E2394" s="100"/>
      <c r="F2394" s="100"/>
      <c r="G2394" s="100"/>
      <c r="H2394" s="100"/>
      <c r="I2394" s="100"/>
      <c r="J2394" s="100"/>
      <c r="K2394" s="100"/>
      <c r="L2394" s="100"/>
      <c r="M2394" s="100"/>
      <c r="N2394" s="100"/>
      <c r="O2394" s="100"/>
      <c r="P2394" s="100"/>
      <c r="Q2394" s="100"/>
      <c r="R2394" s="100"/>
      <c r="S2394" s="100"/>
      <c r="T2394" s="100"/>
      <c r="U2394" s="100"/>
      <c r="V2394" s="100"/>
      <c r="W2394" s="100"/>
      <c r="X2394" s="100"/>
      <c r="Y2394" s="100"/>
      <c r="Z2394" s="100"/>
    </row>
    <row r="2395" spans="1:26">
      <c r="A2395" s="100"/>
      <c r="B2395" s="100"/>
      <c r="C2395" s="100"/>
      <c r="D2395" s="100"/>
      <c r="E2395" s="100"/>
      <c r="F2395" s="100"/>
      <c r="G2395" s="100"/>
      <c r="H2395" s="100"/>
      <c r="I2395" s="100"/>
      <c r="J2395" s="100"/>
      <c r="K2395" s="100"/>
      <c r="L2395" s="100"/>
      <c r="M2395" s="100"/>
      <c r="N2395" s="100"/>
      <c r="O2395" s="100"/>
      <c r="P2395" s="100"/>
      <c r="Q2395" s="100"/>
      <c r="R2395" s="100"/>
      <c r="S2395" s="100"/>
      <c r="T2395" s="100"/>
      <c r="U2395" s="100"/>
      <c r="V2395" s="100"/>
      <c r="W2395" s="100"/>
      <c r="X2395" s="100"/>
      <c r="Y2395" s="100"/>
      <c r="Z2395" s="100"/>
    </row>
    <row r="2396" spans="1:26">
      <c r="A2396" s="100"/>
      <c r="B2396" s="100"/>
      <c r="C2396" s="100"/>
      <c r="D2396" s="100"/>
      <c r="E2396" s="100"/>
      <c r="F2396" s="100"/>
      <c r="G2396" s="100"/>
      <c r="H2396" s="100"/>
      <c r="I2396" s="100"/>
      <c r="J2396" s="100"/>
      <c r="K2396" s="100"/>
      <c r="L2396" s="100"/>
      <c r="M2396" s="100"/>
      <c r="N2396" s="100"/>
      <c r="O2396" s="100"/>
      <c r="P2396" s="100"/>
      <c r="Q2396" s="100"/>
      <c r="R2396" s="100"/>
      <c r="S2396" s="100"/>
      <c r="T2396" s="100"/>
      <c r="U2396" s="100"/>
      <c r="V2396" s="100"/>
      <c r="W2396" s="100"/>
      <c r="X2396" s="100"/>
      <c r="Y2396" s="100"/>
      <c r="Z2396" s="100"/>
    </row>
    <row r="2397" spans="1:26">
      <c r="A2397" s="100"/>
      <c r="B2397" s="100"/>
      <c r="C2397" s="100"/>
      <c r="D2397" s="100"/>
      <c r="E2397" s="100"/>
      <c r="F2397" s="100"/>
      <c r="G2397" s="100"/>
      <c r="H2397" s="100"/>
      <c r="I2397" s="100"/>
      <c r="J2397" s="100"/>
      <c r="K2397" s="100"/>
      <c r="L2397" s="100"/>
      <c r="M2397" s="100"/>
      <c r="N2397" s="100"/>
      <c r="O2397" s="100"/>
      <c r="P2397" s="100"/>
      <c r="Q2397" s="100"/>
      <c r="R2397" s="100"/>
      <c r="S2397" s="100"/>
      <c r="T2397" s="100"/>
      <c r="U2397" s="100"/>
      <c r="V2397" s="100"/>
      <c r="W2397" s="100"/>
      <c r="X2397" s="100"/>
      <c r="Y2397" s="100"/>
      <c r="Z2397" s="100"/>
    </row>
    <row r="2398" spans="1:26">
      <c r="A2398" s="100"/>
      <c r="B2398" s="100"/>
      <c r="C2398" s="100"/>
      <c r="D2398" s="100"/>
      <c r="E2398" s="100"/>
      <c r="F2398" s="100"/>
      <c r="G2398" s="100"/>
      <c r="H2398" s="100"/>
      <c r="I2398" s="100"/>
      <c r="J2398" s="100"/>
      <c r="K2398" s="100"/>
      <c r="L2398" s="100"/>
      <c r="M2398" s="100"/>
      <c r="N2398" s="100"/>
      <c r="O2398" s="100"/>
      <c r="P2398" s="100"/>
      <c r="Q2398" s="100"/>
      <c r="R2398" s="100"/>
      <c r="S2398" s="100"/>
      <c r="T2398" s="100"/>
      <c r="U2398" s="100"/>
      <c r="V2398" s="100"/>
      <c r="W2398" s="100"/>
      <c r="X2398" s="100"/>
      <c r="Y2398" s="100"/>
      <c r="Z2398" s="100"/>
    </row>
    <row r="2399" spans="1:26">
      <c r="A2399" s="100"/>
      <c r="B2399" s="100"/>
      <c r="C2399" s="100"/>
      <c r="D2399" s="100"/>
      <c r="E2399" s="100"/>
      <c r="F2399" s="100"/>
      <c r="G2399" s="100"/>
      <c r="H2399" s="100"/>
      <c r="I2399" s="100"/>
      <c r="J2399" s="100"/>
      <c r="K2399" s="100"/>
      <c r="L2399" s="100"/>
      <c r="M2399" s="100"/>
      <c r="N2399" s="100"/>
      <c r="O2399" s="100"/>
      <c r="P2399" s="100"/>
      <c r="Q2399" s="100"/>
      <c r="R2399" s="100"/>
      <c r="S2399" s="100"/>
      <c r="T2399" s="100"/>
      <c r="U2399" s="100"/>
      <c r="V2399" s="100"/>
      <c r="W2399" s="100"/>
      <c r="X2399" s="100"/>
      <c r="Y2399" s="100"/>
      <c r="Z2399" s="100"/>
    </row>
    <row r="2400" spans="1:26">
      <c r="A2400" s="100"/>
      <c r="B2400" s="100"/>
      <c r="C2400" s="100"/>
      <c r="D2400" s="100"/>
      <c r="E2400" s="100"/>
      <c r="F2400" s="100"/>
      <c r="G2400" s="100"/>
      <c r="H2400" s="100"/>
      <c r="I2400" s="100"/>
      <c r="J2400" s="100"/>
      <c r="K2400" s="100"/>
      <c r="L2400" s="100"/>
      <c r="M2400" s="100"/>
      <c r="N2400" s="100"/>
      <c r="O2400" s="100"/>
      <c r="P2400" s="100"/>
      <c r="Q2400" s="100"/>
      <c r="R2400" s="100"/>
      <c r="S2400" s="100"/>
      <c r="T2400" s="100"/>
      <c r="U2400" s="100"/>
      <c r="V2400" s="100"/>
      <c r="W2400" s="100"/>
      <c r="X2400" s="100"/>
      <c r="Y2400" s="100"/>
      <c r="Z2400" s="100"/>
    </row>
    <row r="2401" spans="1:26">
      <c r="A2401" s="100"/>
      <c r="B2401" s="100"/>
      <c r="C2401" s="100"/>
      <c r="D2401" s="100"/>
      <c r="E2401" s="100"/>
      <c r="F2401" s="100"/>
      <c r="G2401" s="100"/>
      <c r="H2401" s="100"/>
      <c r="I2401" s="100"/>
      <c r="J2401" s="100"/>
      <c r="K2401" s="100"/>
      <c r="L2401" s="100"/>
      <c r="M2401" s="100"/>
      <c r="N2401" s="100"/>
      <c r="O2401" s="100"/>
      <c r="P2401" s="100"/>
      <c r="Q2401" s="100"/>
      <c r="R2401" s="100"/>
      <c r="S2401" s="100"/>
      <c r="T2401" s="100"/>
      <c r="U2401" s="100"/>
      <c r="V2401" s="100"/>
      <c r="W2401" s="100"/>
      <c r="X2401" s="100"/>
      <c r="Y2401" s="100"/>
      <c r="Z2401" s="100"/>
    </row>
    <row r="2402" spans="1:26">
      <c r="A2402" s="100"/>
      <c r="B2402" s="100"/>
      <c r="C2402" s="100"/>
      <c r="D2402" s="100"/>
      <c r="E2402" s="100"/>
      <c r="F2402" s="100"/>
      <c r="G2402" s="100"/>
      <c r="H2402" s="100"/>
      <c r="I2402" s="100"/>
      <c r="J2402" s="100"/>
      <c r="K2402" s="100"/>
      <c r="L2402" s="100"/>
      <c r="M2402" s="100"/>
      <c r="N2402" s="100"/>
      <c r="O2402" s="100"/>
      <c r="P2402" s="100"/>
      <c r="Q2402" s="100"/>
      <c r="R2402" s="100"/>
      <c r="S2402" s="100"/>
      <c r="T2402" s="100"/>
      <c r="U2402" s="100"/>
      <c r="V2402" s="100"/>
      <c r="W2402" s="100"/>
      <c r="X2402" s="100"/>
      <c r="Y2402" s="100"/>
      <c r="Z2402" s="100"/>
    </row>
    <row r="2403" spans="1:26">
      <c r="A2403" s="100"/>
      <c r="B2403" s="100"/>
      <c r="C2403" s="100"/>
      <c r="D2403" s="100"/>
      <c r="E2403" s="100"/>
      <c r="F2403" s="100"/>
      <c r="G2403" s="100"/>
      <c r="H2403" s="100"/>
      <c r="I2403" s="100"/>
      <c r="J2403" s="100"/>
      <c r="K2403" s="100"/>
      <c r="L2403" s="100"/>
      <c r="M2403" s="100"/>
      <c r="N2403" s="100"/>
      <c r="O2403" s="100"/>
      <c r="P2403" s="100"/>
      <c r="Q2403" s="100"/>
      <c r="R2403" s="100"/>
      <c r="S2403" s="100"/>
      <c r="T2403" s="100"/>
      <c r="U2403" s="100"/>
      <c r="V2403" s="100"/>
      <c r="W2403" s="100"/>
      <c r="X2403" s="100"/>
      <c r="Y2403" s="100"/>
      <c r="Z2403" s="100"/>
    </row>
    <row r="2404" spans="1:26">
      <c r="A2404" s="100"/>
      <c r="B2404" s="100"/>
      <c r="C2404" s="100"/>
      <c r="D2404" s="100"/>
      <c r="E2404" s="100"/>
      <c r="F2404" s="100"/>
      <c r="G2404" s="100"/>
      <c r="H2404" s="100"/>
      <c r="I2404" s="100"/>
      <c r="J2404" s="100"/>
      <c r="K2404" s="100"/>
      <c r="L2404" s="100"/>
      <c r="M2404" s="100"/>
      <c r="N2404" s="100"/>
      <c r="O2404" s="100"/>
      <c r="P2404" s="100"/>
      <c r="Q2404" s="100"/>
      <c r="R2404" s="100"/>
      <c r="S2404" s="100"/>
      <c r="T2404" s="100"/>
      <c r="U2404" s="100"/>
      <c r="V2404" s="100"/>
      <c r="W2404" s="100"/>
      <c r="X2404" s="100"/>
      <c r="Y2404" s="100"/>
      <c r="Z2404" s="100"/>
    </row>
    <row r="2405" spans="1:26">
      <c r="A2405" s="100"/>
      <c r="B2405" s="100"/>
      <c r="C2405" s="100"/>
      <c r="D2405" s="100"/>
      <c r="E2405" s="100"/>
      <c r="F2405" s="100"/>
      <c r="G2405" s="100"/>
      <c r="H2405" s="100"/>
      <c r="I2405" s="100"/>
      <c r="J2405" s="100"/>
      <c r="K2405" s="100"/>
      <c r="L2405" s="100"/>
      <c r="M2405" s="100"/>
      <c r="N2405" s="100"/>
      <c r="O2405" s="100"/>
      <c r="P2405" s="100"/>
      <c r="Q2405" s="100"/>
      <c r="R2405" s="100"/>
      <c r="S2405" s="100"/>
      <c r="T2405" s="100"/>
      <c r="U2405" s="100"/>
      <c r="V2405" s="100"/>
      <c r="W2405" s="100"/>
      <c r="X2405" s="100"/>
      <c r="Y2405" s="100"/>
      <c r="Z2405" s="100"/>
    </row>
    <row r="2406" spans="1:26">
      <c r="A2406" s="100"/>
      <c r="B2406" s="100"/>
      <c r="C2406" s="100"/>
      <c r="D2406" s="100"/>
      <c r="E2406" s="100"/>
      <c r="F2406" s="100"/>
      <c r="G2406" s="100"/>
      <c r="H2406" s="100"/>
      <c r="I2406" s="100"/>
      <c r="J2406" s="100"/>
      <c r="K2406" s="100"/>
      <c r="L2406" s="100"/>
      <c r="M2406" s="100"/>
      <c r="N2406" s="100"/>
      <c r="O2406" s="100"/>
      <c r="P2406" s="100"/>
      <c r="Q2406" s="100"/>
      <c r="R2406" s="100"/>
      <c r="S2406" s="100"/>
      <c r="T2406" s="100"/>
      <c r="U2406" s="100"/>
      <c r="V2406" s="100"/>
      <c r="W2406" s="100"/>
      <c r="X2406" s="100"/>
      <c r="Y2406" s="100"/>
      <c r="Z2406" s="100"/>
    </row>
    <row r="2407" spans="1:26">
      <c r="A2407" s="100"/>
      <c r="B2407" s="100"/>
      <c r="C2407" s="100"/>
      <c r="D2407" s="100"/>
      <c r="E2407" s="100"/>
      <c r="F2407" s="100"/>
      <c r="G2407" s="100"/>
      <c r="H2407" s="100"/>
      <c r="I2407" s="100"/>
      <c r="J2407" s="100"/>
      <c r="K2407" s="100"/>
      <c r="L2407" s="100"/>
      <c r="M2407" s="100"/>
      <c r="N2407" s="100"/>
      <c r="O2407" s="100"/>
      <c r="P2407" s="100"/>
      <c r="Q2407" s="100"/>
      <c r="R2407" s="100"/>
      <c r="S2407" s="100"/>
      <c r="T2407" s="100"/>
      <c r="U2407" s="100"/>
      <c r="V2407" s="100"/>
      <c r="W2407" s="100"/>
      <c r="X2407" s="100"/>
      <c r="Y2407" s="100"/>
      <c r="Z2407" s="100"/>
    </row>
    <row r="2408" spans="1:26">
      <c r="A2408" s="100"/>
      <c r="B2408" s="100"/>
      <c r="C2408" s="100"/>
      <c r="D2408" s="100"/>
      <c r="E2408" s="100"/>
      <c r="F2408" s="100"/>
      <c r="G2408" s="100"/>
      <c r="H2408" s="100"/>
      <c r="I2408" s="100"/>
      <c r="J2408" s="100"/>
      <c r="K2408" s="100"/>
      <c r="L2408" s="100"/>
      <c r="M2408" s="100"/>
      <c r="N2408" s="100"/>
      <c r="O2408" s="100"/>
      <c r="P2408" s="100"/>
      <c r="Q2408" s="100"/>
      <c r="R2408" s="100"/>
      <c r="S2408" s="100"/>
      <c r="T2408" s="100"/>
      <c r="U2408" s="100"/>
      <c r="V2408" s="100"/>
      <c r="W2408" s="100"/>
      <c r="X2408" s="100"/>
      <c r="Y2408" s="100"/>
      <c r="Z2408" s="100"/>
    </row>
    <row r="2409" spans="1:26">
      <c r="A2409" s="100"/>
      <c r="B2409" s="100"/>
      <c r="C2409" s="100"/>
      <c r="D2409" s="100"/>
      <c r="E2409" s="100"/>
      <c r="F2409" s="100"/>
      <c r="G2409" s="100"/>
      <c r="H2409" s="100"/>
      <c r="I2409" s="100"/>
      <c r="J2409" s="100"/>
      <c r="K2409" s="100"/>
      <c r="L2409" s="100"/>
      <c r="M2409" s="100"/>
      <c r="N2409" s="100"/>
      <c r="O2409" s="100"/>
      <c r="P2409" s="100"/>
      <c r="Q2409" s="100"/>
      <c r="R2409" s="100"/>
      <c r="S2409" s="100"/>
      <c r="T2409" s="100"/>
      <c r="U2409" s="100"/>
      <c r="V2409" s="100"/>
      <c r="W2409" s="100"/>
      <c r="X2409" s="100"/>
      <c r="Y2409" s="100"/>
      <c r="Z2409" s="100"/>
    </row>
    <row r="2410" spans="1:26">
      <c r="A2410" s="100"/>
      <c r="B2410" s="100"/>
      <c r="C2410" s="100"/>
      <c r="D2410" s="100"/>
      <c r="E2410" s="100"/>
      <c r="F2410" s="100"/>
      <c r="G2410" s="100"/>
      <c r="H2410" s="100"/>
      <c r="I2410" s="100"/>
      <c r="J2410" s="100"/>
      <c r="K2410" s="100"/>
      <c r="L2410" s="100"/>
      <c r="M2410" s="100"/>
      <c r="N2410" s="100"/>
      <c r="O2410" s="100"/>
      <c r="P2410" s="100"/>
      <c r="Q2410" s="100"/>
      <c r="R2410" s="100"/>
      <c r="S2410" s="100"/>
      <c r="T2410" s="100"/>
      <c r="U2410" s="100"/>
      <c r="V2410" s="100"/>
      <c r="W2410" s="100"/>
      <c r="X2410" s="100"/>
      <c r="Y2410" s="100"/>
      <c r="Z2410" s="100"/>
    </row>
    <row r="2411" spans="1:26">
      <c r="A2411" s="100"/>
      <c r="B2411" s="100"/>
      <c r="C2411" s="100"/>
      <c r="D2411" s="100"/>
      <c r="E2411" s="100"/>
      <c r="F2411" s="100"/>
      <c r="G2411" s="100"/>
      <c r="H2411" s="100"/>
      <c r="I2411" s="100"/>
      <c r="J2411" s="100"/>
      <c r="K2411" s="100"/>
      <c r="L2411" s="100"/>
      <c r="M2411" s="100"/>
      <c r="N2411" s="100"/>
      <c r="O2411" s="100"/>
      <c r="P2411" s="100"/>
      <c r="Q2411" s="100"/>
      <c r="R2411" s="100"/>
      <c r="S2411" s="100"/>
      <c r="T2411" s="100"/>
      <c r="U2411" s="100"/>
      <c r="V2411" s="100"/>
      <c r="W2411" s="100"/>
      <c r="X2411" s="100"/>
      <c r="Y2411" s="100"/>
      <c r="Z2411" s="100"/>
    </row>
    <row r="2412" spans="1:26">
      <c r="A2412" s="100"/>
      <c r="B2412" s="100"/>
      <c r="C2412" s="100"/>
      <c r="D2412" s="100"/>
      <c r="E2412" s="100"/>
      <c r="F2412" s="100"/>
      <c r="G2412" s="100"/>
      <c r="H2412" s="100"/>
      <c r="I2412" s="100"/>
      <c r="J2412" s="100"/>
      <c r="K2412" s="100"/>
      <c r="L2412" s="100"/>
      <c r="M2412" s="100"/>
      <c r="N2412" s="100"/>
      <c r="O2412" s="100"/>
      <c r="P2412" s="100"/>
      <c r="Q2412" s="100"/>
      <c r="R2412" s="100"/>
      <c r="S2412" s="100"/>
      <c r="T2412" s="100"/>
      <c r="U2412" s="100"/>
      <c r="V2412" s="100"/>
      <c r="W2412" s="100"/>
      <c r="X2412" s="100"/>
      <c r="Y2412" s="100"/>
      <c r="Z2412" s="100"/>
    </row>
    <row r="2413" spans="1:26">
      <c r="A2413" s="100"/>
      <c r="B2413" s="100"/>
      <c r="C2413" s="100"/>
      <c r="D2413" s="100"/>
      <c r="E2413" s="100"/>
      <c r="F2413" s="100"/>
      <c r="G2413" s="100"/>
      <c r="H2413" s="100"/>
      <c r="I2413" s="100"/>
      <c r="J2413" s="100"/>
      <c r="K2413" s="100"/>
      <c r="L2413" s="100"/>
      <c r="M2413" s="100"/>
      <c r="N2413" s="100"/>
      <c r="O2413" s="100"/>
      <c r="P2413" s="100"/>
      <c r="Q2413" s="100"/>
      <c r="R2413" s="100"/>
      <c r="S2413" s="100"/>
      <c r="T2413" s="100"/>
      <c r="U2413" s="100"/>
      <c r="V2413" s="100"/>
      <c r="W2413" s="100"/>
      <c r="X2413" s="100"/>
      <c r="Y2413" s="100"/>
      <c r="Z2413" s="100"/>
    </row>
    <row r="2414" spans="1:26">
      <c r="A2414" s="100"/>
      <c r="B2414" s="100"/>
      <c r="C2414" s="100"/>
      <c r="D2414" s="100"/>
      <c r="E2414" s="100"/>
      <c r="F2414" s="100"/>
      <c r="G2414" s="100"/>
      <c r="H2414" s="100"/>
      <c r="I2414" s="100"/>
      <c r="J2414" s="100"/>
      <c r="K2414" s="100"/>
      <c r="L2414" s="100"/>
      <c r="M2414" s="100"/>
      <c r="N2414" s="100"/>
      <c r="O2414" s="100"/>
      <c r="P2414" s="100"/>
      <c r="Q2414" s="100"/>
      <c r="R2414" s="100"/>
      <c r="S2414" s="100"/>
      <c r="T2414" s="100"/>
      <c r="U2414" s="100"/>
      <c r="V2414" s="100"/>
      <c r="W2414" s="100"/>
      <c r="X2414" s="100"/>
      <c r="Y2414" s="100"/>
      <c r="Z2414" s="100"/>
    </row>
    <row r="2415" spans="1:26">
      <c r="A2415" s="100"/>
      <c r="B2415" s="100"/>
      <c r="C2415" s="100"/>
      <c r="D2415" s="100"/>
      <c r="E2415" s="100"/>
      <c r="F2415" s="100"/>
      <c r="G2415" s="100"/>
      <c r="H2415" s="100"/>
      <c r="I2415" s="100"/>
      <c r="J2415" s="100"/>
      <c r="K2415" s="100"/>
      <c r="L2415" s="100"/>
      <c r="M2415" s="100"/>
      <c r="N2415" s="100"/>
      <c r="O2415" s="100"/>
      <c r="P2415" s="100"/>
      <c r="Q2415" s="100"/>
      <c r="R2415" s="100"/>
      <c r="S2415" s="100"/>
      <c r="T2415" s="100"/>
      <c r="U2415" s="100"/>
      <c r="V2415" s="100"/>
      <c r="W2415" s="100"/>
      <c r="X2415" s="100"/>
      <c r="Y2415" s="100"/>
      <c r="Z2415" s="100"/>
    </row>
    <row r="2416" spans="1:26">
      <c r="A2416" s="100"/>
      <c r="B2416" s="100"/>
      <c r="C2416" s="100"/>
      <c r="D2416" s="100"/>
      <c r="E2416" s="100"/>
      <c r="F2416" s="100"/>
      <c r="G2416" s="100"/>
      <c r="H2416" s="100"/>
      <c r="I2416" s="100"/>
      <c r="J2416" s="100"/>
      <c r="K2416" s="100"/>
      <c r="L2416" s="100"/>
      <c r="M2416" s="100"/>
      <c r="N2416" s="100"/>
      <c r="O2416" s="100"/>
      <c r="P2416" s="100"/>
      <c r="Q2416" s="100"/>
      <c r="R2416" s="100"/>
      <c r="S2416" s="100"/>
      <c r="T2416" s="100"/>
      <c r="U2416" s="100"/>
      <c r="V2416" s="100"/>
      <c r="W2416" s="100"/>
      <c r="X2416" s="100"/>
      <c r="Y2416" s="100"/>
      <c r="Z2416" s="100"/>
    </row>
    <row r="2417" spans="1:26">
      <c r="A2417" s="100"/>
      <c r="B2417" s="100"/>
      <c r="C2417" s="100"/>
      <c r="D2417" s="100"/>
      <c r="E2417" s="100"/>
      <c r="F2417" s="100"/>
      <c r="G2417" s="100"/>
      <c r="H2417" s="100"/>
      <c r="I2417" s="100"/>
      <c r="J2417" s="100"/>
      <c r="K2417" s="100"/>
      <c r="L2417" s="100"/>
      <c r="M2417" s="100"/>
      <c r="N2417" s="100"/>
      <c r="O2417" s="100"/>
      <c r="P2417" s="100"/>
      <c r="Q2417" s="100"/>
      <c r="R2417" s="100"/>
      <c r="S2417" s="100"/>
      <c r="T2417" s="100"/>
      <c r="U2417" s="100"/>
      <c r="V2417" s="100"/>
      <c r="W2417" s="100"/>
      <c r="X2417" s="100"/>
      <c r="Y2417" s="100"/>
      <c r="Z2417" s="100"/>
    </row>
    <row r="2418" spans="1:26">
      <c r="A2418" s="100"/>
      <c r="B2418" s="100"/>
      <c r="C2418" s="100"/>
      <c r="D2418" s="100"/>
      <c r="E2418" s="100"/>
      <c r="F2418" s="100"/>
      <c r="G2418" s="100"/>
      <c r="H2418" s="100"/>
      <c r="I2418" s="100"/>
      <c r="J2418" s="100"/>
      <c r="K2418" s="100"/>
      <c r="L2418" s="100"/>
      <c r="M2418" s="100"/>
      <c r="N2418" s="100"/>
      <c r="O2418" s="100"/>
      <c r="P2418" s="100"/>
      <c r="Q2418" s="100"/>
      <c r="R2418" s="100"/>
      <c r="S2418" s="100"/>
      <c r="T2418" s="100"/>
      <c r="U2418" s="100"/>
      <c r="V2418" s="100"/>
      <c r="W2418" s="100"/>
      <c r="X2418" s="100"/>
      <c r="Y2418" s="100"/>
      <c r="Z2418" s="100"/>
    </row>
    <row r="2419" spans="1:26">
      <c r="A2419" s="100"/>
      <c r="B2419" s="100"/>
      <c r="C2419" s="100"/>
      <c r="D2419" s="100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</row>
    <row r="2420" spans="1:26">
      <c r="A2420" s="100"/>
      <c r="B2420" s="100"/>
      <c r="C2420" s="100"/>
      <c r="D2420" s="100"/>
      <c r="E2420" s="100"/>
      <c r="F2420" s="100"/>
      <c r="G2420" s="100"/>
      <c r="H2420" s="100"/>
      <c r="I2420" s="100"/>
      <c r="J2420" s="100"/>
      <c r="K2420" s="100"/>
      <c r="L2420" s="100"/>
      <c r="M2420" s="100"/>
      <c r="N2420" s="100"/>
      <c r="O2420" s="100"/>
      <c r="P2420" s="100"/>
      <c r="Q2420" s="100"/>
      <c r="R2420" s="100"/>
      <c r="S2420" s="100"/>
      <c r="T2420" s="100"/>
      <c r="U2420" s="100"/>
      <c r="V2420" s="100"/>
      <c r="W2420" s="100"/>
      <c r="X2420" s="100"/>
      <c r="Y2420" s="100"/>
      <c r="Z2420" s="100"/>
    </row>
    <row r="2421" spans="1:26">
      <c r="A2421" s="100"/>
      <c r="B2421" s="100"/>
      <c r="C2421" s="100"/>
      <c r="D2421" s="100"/>
      <c r="E2421" s="100"/>
      <c r="F2421" s="100"/>
      <c r="G2421" s="100"/>
      <c r="H2421" s="100"/>
      <c r="I2421" s="100"/>
      <c r="J2421" s="100"/>
      <c r="K2421" s="100"/>
      <c r="L2421" s="100"/>
      <c r="M2421" s="100"/>
      <c r="N2421" s="100"/>
      <c r="O2421" s="100"/>
      <c r="P2421" s="100"/>
      <c r="Q2421" s="100"/>
      <c r="R2421" s="100"/>
      <c r="S2421" s="100"/>
      <c r="T2421" s="100"/>
      <c r="U2421" s="100"/>
      <c r="V2421" s="100"/>
      <c r="W2421" s="100"/>
      <c r="X2421" s="100"/>
      <c r="Y2421" s="100"/>
      <c r="Z2421" s="100"/>
    </row>
    <row r="2422" spans="1:26">
      <c r="A2422" s="100"/>
      <c r="B2422" s="100"/>
      <c r="C2422" s="100"/>
      <c r="D2422" s="100"/>
      <c r="E2422" s="100"/>
      <c r="F2422" s="100"/>
      <c r="G2422" s="100"/>
      <c r="H2422" s="100"/>
      <c r="I2422" s="100"/>
      <c r="J2422" s="100"/>
      <c r="K2422" s="100"/>
      <c r="L2422" s="100"/>
      <c r="M2422" s="100"/>
      <c r="N2422" s="100"/>
      <c r="O2422" s="100"/>
      <c r="P2422" s="100"/>
      <c r="Q2422" s="100"/>
      <c r="R2422" s="100"/>
      <c r="S2422" s="100"/>
      <c r="T2422" s="100"/>
      <c r="U2422" s="100"/>
      <c r="V2422" s="100"/>
      <c r="W2422" s="100"/>
      <c r="X2422" s="100"/>
      <c r="Y2422" s="100"/>
      <c r="Z2422" s="100"/>
    </row>
    <row r="2423" spans="1:26">
      <c r="A2423" s="100"/>
      <c r="B2423" s="100"/>
      <c r="C2423" s="100"/>
      <c r="D2423" s="100"/>
      <c r="E2423" s="100"/>
      <c r="F2423" s="100"/>
      <c r="G2423" s="100"/>
      <c r="H2423" s="100"/>
      <c r="I2423" s="100"/>
      <c r="J2423" s="100"/>
      <c r="K2423" s="100"/>
      <c r="L2423" s="100"/>
      <c r="M2423" s="100"/>
      <c r="N2423" s="100"/>
      <c r="O2423" s="100"/>
      <c r="P2423" s="100"/>
      <c r="Q2423" s="100"/>
      <c r="R2423" s="100"/>
      <c r="S2423" s="100"/>
      <c r="T2423" s="100"/>
      <c r="U2423" s="100"/>
      <c r="V2423" s="100"/>
      <c r="W2423" s="100"/>
      <c r="X2423" s="100"/>
      <c r="Y2423" s="100"/>
      <c r="Z2423" s="100"/>
    </row>
    <row r="2424" spans="1:26">
      <c r="A2424" s="100"/>
      <c r="B2424" s="100"/>
      <c r="C2424" s="100"/>
      <c r="D2424" s="100"/>
      <c r="E2424" s="100"/>
      <c r="F2424" s="100"/>
      <c r="G2424" s="100"/>
      <c r="H2424" s="100"/>
      <c r="I2424" s="100"/>
      <c r="J2424" s="100"/>
      <c r="K2424" s="100"/>
      <c r="L2424" s="100"/>
      <c r="M2424" s="100"/>
      <c r="N2424" s="100"/>
      <c r="O2424" s="100"/>
      <c r="P2424" s="100"/>
      <c r="Q2424" s="100"/>
      <c r="R2424" s="100"/>
      <c r="S2424" s="100"/>
      <c r="T2424" s="100"/>
      <c r="U2424" s="100"/>
      <c r="V2424" s="100"/>
      <c r="W2424" s="100"/>
      <c r="X2424" s="100"/>
      <c r="Y2424" s="100"/>
      <c r="Z2424" s="100"/>
    </row>
    <row r="2425" spans="1:26">
      <c r="A2425" s="100"/>
      <c r="B2425" s="100"/>
      <c r="C2425" s="100"/>
      <c r="D2425" s="100"/>
      <c r="E2425" s="100"/>
      <c r="F2425" s="100"/>
      <c r="G2425" s="100"/>
      <c r="H2425" s="100"/>
      <c r="I2425" s="100"/>
      <c r="J2425" s="100"/>
      <c r="K2425" s="100"/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</row>
    <row r="2426" spans="1:26">
      <c r="A2426" s="100"/>
      <c r="B2426" s="100"/>
      <c r="C2426" s="100"/>
      <c r="D2426" s="100"/>
      <c r="E2426" s="100"/>
      <c r="F2426" s="100"/>
      <c r="G2426" s="100"/>
      <c r="H2426" s="100"/>
      <c r="I2426" s="100"/>
      <c r="J2426" s="100"/>
      <c r="K2426" s="100"/>
      <c r="L2426" s="100"/>
      <c r="M2426" s="100"/>
      <c r="N2426" s="100"/>
      <c r="O2426" s="100"/>
      <c r="P2426" s="100"/>
      <c r="Q2426" s="100"/>
      <c r="R2426" s="100"/>
      <c r="S2426" s="100"/>
      <c r="T2426" s="100"/>
      <c r="U2426" s="100"/>
      <c r="V2426" s="100"/>
      <c r="W2426" s="100"/>
      <c r="X2426" s="100"/>
      <c r="Y2426" s="100"/>
      <c r="Z2426" s="100"/>
    </row>
    <row r="2427" spans="1:26">
      <c r="A2427" s="100"/>
      <c r="B2427" s="100"/>
      <c r="C2427" s="100"/>
      <c r="D2427" s="100"/>
      <c r="E2427" s="100"/>
      <c r="F2427" s="100"/>
      <c r="G2427" s="100"/>
      <c r="H2427" s="100"/>
      <c r="I2427" s="100"/>
      <c r="J2427" s="100"/>
      <c r="K2427" s="100"/>
      <c r="L2427" s="100"/>
      <c r="M2427" s="100"/>
      <c r="N2427" s="100"/>
      <c r="O2427" s="100"/>
      <c r="P2427" s="100"/>
      <c r="Q2427" s="100"/>
      <c r="R2427" s="100"/>
      <c r="S2427" s="100"/>
      <c r="T2427" s="100"/>
      <c r="U2427" s="100"/>
      <c r="V2427" s="100"/>
      <c r="W2427" s="100"/>
      <c r="X2427" s="100"/>
      <c r="Y2427" s="100"/>
      <c r="Z2427" s="100"/>
    </row>
    <row r="2428" spans="1:26">
      <c r="A2428" s="100"/>
      <c r="B2428" s="100"/>
      <c r="C2428" s="100"/>
      <c r="D2428" s="100"/>
      <c r="E2428" s="100"/>
      <c r="F2428" s="100"/>
      <c r="G2428" s="100"/>
      <c r="H2428" s="100"/>
      <c r="I2428" s="100"/>
      <c r="J2428" s="100"/>
      <c r="K2428" s="100"/>
      <c r="L2428" s="100"/>
      <c r="M2428" s="100"/>
      <c r="N2428" s="100"/>
      <c r="O2428" s="100"/>
      <c r="P2428" s="100"/>
      <c r="Q2428" s="100"/>
      <c r="R2428" s="100"/>
      <c r="S2428" s="100"/>
      <c r="T2428" s="100"/>
      <c r="U2428" s="100"/>
      <c r="V2428" s="100"/>
      <c r="W2428" s="100"/>
      <c r="X2428" s="100"/>
      <c r="Y2428" s="100"/>
      <c r="Z2428" s="100"/>
    </row>
    <row r="2429" spans="1:26">
      <c r="A2429" s="100"/>
      <c r="B2429" s="100"/>
      <c r="C2429" s="100"/>
      <c r="D2429" s="100"/>
      <c r="E2429" s="100"/>
      <c r="F2429" s="100"/>
      <c r="G2429" s="100"/>
      <c r="H2429" s="100"/>
      <c r="I2429" s="100"/>
      <c r="J2429" s="100"/>
      <c r="K2429" s="100"/>
      <c r="L2429" s="100"/>
      <c r="M2429" s="100"/>
      <c r="N2429" s="100"/>
      <c r="O2429" s="100"/>
      <c r="P2429" s="100"/>
      <c r="Q2429" s="100"/>
      <c r="R2429" s="100"/>
      <c r="S2429" s="100"/>
      <c r="T2429" s="100"/>
      <c r="U2429" s="100"/>
      <c r="V2429" s="100"/>
      <c r="W2429" s="100"/>
      <c r="X2429" s="100"/>
      <c r="Y2429" s="100"/>
      <c r="Z2429" s="100"/>
    </row>
    <row r="2430" spans="1:26">
      <c r="A2430" s="100"/>
      <c r="B2430" s="100"/>
      <c r="C2430" s="100"/>
      <c r="D2430" s="100"/>
      <c r="E2430" s="100"/>
      <c r="F2430" s="100"/>
      <c r="G2430" s="100"/>
      <c r="H2430" s="100"/>
      <c r="I2430" s="100"/>
      <c r="J2430" s="100"/>
      <c r="K2430" s="100"/>
      <c r="L2430" s="100"/>
      <c r="M2430" s="100"/>
      <c r="N2430" s="100"/>
      <c r="O2430" s="100"/>
      <c r="P2430" s="100"/>
      <c r="Q2430" s="100"/>
      <c r="R2430" s="100"/>
      <c r="S2430" s="100"/>
      <c r="T2430" s="100"/>
      <c r="U2430" s="100"/>
      <c r="V2430" s="100"/>
      <c r="W2430" s="100"/>
      <c r="X2430" s="100"/>
      <c r="Y2430" s="100"/>
      <c r="Z2430" s="100"/>
    </row>
    <row r="2431" spans="1:26">
      <c r="A2431" s="100"/>
      <c r="B2431" s="100"/>
      <c r="C2431" s="100"/>
      <c r="D2431" s="100"/>
      <c r="E2431" s="100"/>
      <c r="F2431" s="100"/>
      <c r="G2431" s="100"/>
      <c r="H2431" s="100"/>
      <c r="I2431" s="100"/>
      <c r="J2431" s="100"/>
      <c r="K2431" s="100"/>
      <c r="L2431" s="100"/>
      <c r="M2431" s="100"/>
      <c r="N2431" s="100"/>
      <c r="O2431" s="100"/>
      <c r="P2431" s="100"/>
      <c r="Q2431" s="100"/>
      <c r="R2431" s="100"/>
      <c r="S2431" s="100"/>
      <c r="T2431" s="100"/>
      <c r="U2431" s="100"/>
      <c r="V2431" s="100"/>
      <c r="W2431" s="100"/>
      <c r="X2431" s="100"/>
      <c r="Y2431" s="100"/>
      <c r="Z2431" s="100"/>
    </row>
    <row r="2432" spans="1:26">
      <c r="A2432" s="100"/>
      <c r="B2432" s="100"/>
      <c r="C2432" s="100"/>
      <c r="D2432" s="100"/>
      <c r="E2432" s="100"/>
      <c r="F2432" s="100"/>
      <c r="G2432" s="100"/>
      <c r="H2432" s="100"/>
      <c r="I2432" s="100"/>
      <c r="J2432" s="100"/>
      <c r="K2432" s="100"/>
      <c r="L2432" s="100"/>
      <c r="M2432" s="100"/>
      <c r="N2432" s="100"/>
      <c r="O2432" s="100"/>
      <c r="P2432" s="100"/>
      <c r="Q2432" s="100"/>
      <c r="R2432" s="100"/>
      <c r="S2432" s="100"/>
      <c r="T2432" s="100"/>
      <c r="U2432" s="100"/>
      <c r="V2432" s="100"/>
      <c r="W2432" s="100"/>
      <c r="X2432" s="100"/>
      <c r="Y2432" s="100"/>
      <c r="Z2432" s="100"/>
    </row>
    <row r="2433" spans="1:26">
      <c r="A2433" s="100"/>
      <c r="B2433" s="100"/>
      <c r="C2433" s="100"/>
      <c r="D2433" s="100"/>
      <c r="E2433" s="100"/>
      <c r="F2433" s="100"/>
      <c r="G2433" s="100"/>
      <c r="H2433" s="100"/>
      <c r="I2433" s="100"/>
      <c r="J2433" s="100"/>
      <c r="K2433" s="100"/>
      <c r="L2433" s="100"/>
      <c r="M2433" s="100"/>
      <c r="N2433" s="100"/>
      <c r="O2433" s="100"/>
      <c r="P2433" s="100"/>
      <c r="Q2433" s="100"/>
      <c r="R2433" s="100"/>
      <c r="S2433" s="100"/>
      <c r="T2433" s="100"/>
      <c r="U2433" s="100"/>
      <c r="V2433" s="100"/>
      <c r="W2433" s="100"/>
      <c r="X2433" s="100"/>
      <c r="Y2433" s="100"/>
      <c r="Z2433" s="100"/>
    </row>
    <row r="2434" spans="1:26">
      <c r="A2434" s="100"/>
      <c r="B2434" s="100"/>
      <c r="C2434" s="100"/>
      <c r="D2434" s="100"/>
      <c r="E2434" s="100"/>
      <c r="F2434" s="100"/>
      <c r="G2434" s="100"/>
      <c r="H2434" s="100"/>
      <c r="I2434" s="100"/>
      <c r="J2434" s="100"/>
      <c r="K2434" s="100"/>
      <c r="L2434" s="100"/>
      <c r="M2434" s="100"/>
      <c r="N2434" s="100"/>
      <c r="O2434" s="100"/>
      <c r="P2434" s="100"/>
      <c r="Q2434" s="100"/>
      <c r="R2434" s="100"/>
      <c r="S2434" s="100"/>
      <c r="T2434" s="100"/>
      <c r="U2434" s="100"/>
      <c r="V2434" s="100"/>
      <c r="W2434" s="100"/>
      <c r="X2434" s="100"/>
      <c r="Y2434" s="100"/>
      <c r="Z2434" s="100"/>
    </row>
    <row r="2435" spans="1:26">
      <c r="A2435" s="100"/>
      <c r="B2435" s="100"/>
      <c r="C2435" s="100"/>
      <c r="D2435" s="100"/>
      <c r="E2435" s="100"/>
      <c r="F2435" s="100"/>
      <c r="G2435" s="100"/>
      <c r="H2435" s="100"/>
      <c r="I2435" s="100"/>
      <c r="J2435" s="100"/>
      <c r="K2435" s="100"/>
      <c r="L2435" s="100"/>
      <c r="M2435" s="100"/>
      <c r="N2435" s="100"/>
      <c r="O2435" s="100"/>
      <c r="P2435" s="100"/>
      <c r="Q2435" s="100"/>
      <c r="R2435" s="100"/>
      <c r="S2435" s="100"/>
      <c r="T2435" s="100"/>
      <c r="U2435" s="100"/>
      <c r="V2435" s="100"/>
      <c r="W2435" s="100"/>
      <c r="X2435" s="100"/>
      <c r="Y2435" s="100"/>
      <c r="Z2435" s="100"/>
    </row>
    <row r="2436" spans="1:26">
      <c r="A2436" s="100"/>
      <c r="B2436" s="100"/>
      <c r="C2436" s="100"/>
      <c r="D2436" s="100"/>
      <c r="E2436" s="100"/>
      <c r="F2436" s="100"/>
      <c r="G2436" s="100"/>
      <c r="H2436" s="100"/>
      <c r="I2436" s="100"/>
      <c r="J2436" s="100"/>
      <c r="K2436" s="100"/>
      <c r="L2436" s="100"/>
      <c r="M2436" s="100"/>
      <c r="N2436" s="100"/>
      <c r="O2436" s="100"/>
      <c r="P2436" s="100"/>
      <c r="Q2436" s="100"/>
      <c r="R2436" s="100"/>
      <c r="S2436" s="100"/>
      <c r="T2436" s="100"/>
      <c r="U2436" s="100"/>
      <c r="V2436" s="100"/>
      <c r="W2436" s="100"/>
      <c r="X2436" s="100"/>
      <c r="Y2436" s="100"/>
      <c r="Z2436" s="100"/>
    </row>
    <row r="2437" spans="1:26">
      <c r="A2437" s="100"/>
      <c r="B2437" s="100"/>
      <c r="C2437" s="100"/>
      <c r="D2437" s="100"/>
      <c r="E2437" s="100"/>
      <c r="F2437" s="100"/>
      <c r="G2437" s="100"/>
      <c r="H2437" s="100"/>
      <c r="I2437" s="100"/>
      <c r="J2437" s="100"/>
      <c r="K2437" s="100"/>
      <c r="L2437" s="100"/>
      <c r="M2437" s="100"/>
      <c r="N2437" s="100"/>
      <c r="O2437" s="100"/>
      <c r="P2437" s="100"/>
      <c r="Q2437" s="100"/>
      <c r="R2437" s="100"/>
      <c r="S2437" s="100"/>
      <c r="T2437" s="100"/>
      <c r="U2437" s="100"/>
      <c r="V2437" s="100"/>
      <c r="W2437" s="100"/>
      <c r="X2437" s="100"/>
      <c r="Y2437" s="100"/>
      <c r="Z2437" s="100"/>
    </row>
    <row r="2438" spans="1:26">
      <c r="A2438" s="100"/>
      <c r="B2438" s="100"/>
      <c r="C2438" s="100"/>
      <c r="D2438" s="100"/>
      <c r="E2438" s="100"/>
      <c r="F2438" s="100"/>
      <c r="G2438" s="100"/>
      <c r="H2438" s="100"/>
      <c r="I2438" s="100"/>
      <c r="J2438" s="100"/>
      <c r="K2438" s="100"/>
      <c r="L2438" s="100"/>
      <c r="M2438" s="100"/>
      <c r="N2438" s="100"/>
      <c r="O2438" s="100"/>
      <c r="P2438" s="100"/>
      <c r="Q2438" s="100"/>
      <c r="R2438" s="100"/>
      <c r="S2438" s="100"/>
      <c r="T2438" s="100"/>
      <c r="U2438" s="100"/>
      <c r="V2438" s="100"/>
      <c r="W2438" s="100"/>
      <c r="X2438" s="100"/>
      <c r="Y2438" s="100"/>
      <c r="Z2438" s="100"/>
    </row>
    <row r="2439" spans="1:26">
      <c r="A2439" s="100"/>
      <c r="B2439" s="100"/>
      <c r="C2439" s="100"/>
      <c r="D2439" s="100"/>
      <c r="E2439" s="100"/>
      <c r="F2439" s="100"/>
      <c r="G2439" s="100"/>
      <c r="H2439" s="100"/>
      <c r="I2439" s="100"/>
      <c r="J2439" s="100"/>
      <c r="K2439" s="100"/>
      <c r="L2439" s="100"/>
      <c r="M2439" s="100"/>
      <c r="N2439" s="100"/>
      <c r="O2439" s="100"/>
      <c r="P2439" s="100"/>
      <c r="Q2439" s="100"/>
      <c r="R2439" s="100"/>
      <c r="S2439" s="100"/>
      <c r="T2439" s="100"/>
      <c r="U2439" s="100"/>
      <c r="V2439" s="100"/>
      <c r="W2439" s="100"/>
      <c r="X2439" s="100"/>
      <c r="Y2439" s="100"/>
      <c r="Z2439" s="100"/>
    </row>
    <row r="2440" spans="1:26">
      <c r="A2440" s="100"/>
      <c r="B2440" s="100"/>
      <c r="C2440" s="100"/>
      <c r="D2440" s="100"/>
      <c r="E2440" s="100"/>
      <c r="F2440" s="100"/>
      <c r="G2440" s="100"/>
      <c r="H2440" s="100"/>
      <c r="I2440" s="100"/>
      <c r="J2440" s="100"/>
      <c r="K2440" s="100"/>
      <c r="L2440" s="100"/>
      <c r="M2440" s="100"/>
      <c r="N2440" s="100"/>
      <c r="O2440" s="100"/>
      <c r="P2440" s="100"/>
      <c r="Q2440" s="100"/>
      <c r="R2440" s="100"/>
      <c r="S2440" s="100"/>
      <c r="T2440" s="100"/>
      <c r="U2440" s="100"/>
      <c r="V2440" s="100"/>
      <c r="W2440" s="100"/>
      <c r="X2440" s="100"/>
      <c r="Y2440" s="100"/>
      <c r="Z2440" s="100"/>
    </row>
    <row r="2441" spans="1:26">
      <c r="A2441" s="100"/>
      <c r="B2441" s="100"/>
      <c r="C2441" s="100"/>
      <c r="D2441" s="100"/>
      <c r="E2441" s="100"/>
      <c r="F2441" s="100"/>
      <c r="G2441" s="100"/>
      <c r="H2441" s="100"/>
      <c r="I2441" s="100"/>
      <c r="J2441" s="100"/>
      <c r="K2441" s="100"/>
      <c r="L2441" s="100"/>
      <c r="M2441" s="100"/>
      <c r="N2441" s="100"/>
      <c r="O2441" s="100"/>
      <c r="P2441" s="100"/>
      <c r="Q2441" s="100"/>
      <c r="R2441" s="100"/>
      <c r="S2441" s="100"/>
      <c r="T2441" s="100"/>
      <c r="U2441" s="100"/>
      <c r="V2441" s="100"/>
      <c r="W2441" s="100"/>
      <c r="X2441" s="100"/>
      <c r="Y2441" s="100"/>
      <c r="Z2441" s="100"/>
    </row>
    <row r="2442" spans="1:26">
      <c r="A2442" s="100"/>
      <c r="B2442" s="100"/>
      <c r="C2442" s="100"/>
      <c r="D2442" s="100"/>
      <c r="E2442" s="100"/>
      <c r="F2442" s="100"/>
      <c r="G2442" s="100"/>
      <c r="H2442" s="100"/>
      <c r="I2442" s="100"/>
      <c r="J2442" s="100"/>
      <c r="K2442" s="100"/>
      <c r="L2442" s="100"/>
      <c r="M2442" s="100"/>
      <c r="N2442" s="100"/>
      <c r="O2442" s="100"/>
      <c r="P2442" s="100"/>
      <c r="Q2442" s="100"/>
      <c r="R2442" s="100"/>
      <c r="S2442" s="100"/>
      <c r="T2442" s="100"/>
      <c r="U2442" s="100"/>
      <c r="V2442" s="100"/>
      <c r="W2442" s="100"/>
      <c r="X2442" s="100"/>
      <c r="Y2442" s="100"/>
      <c r="Z2442" s="100"/>
    </row>
    <row r="2443" spans="1:26">
      <c r="A2443" s="100"/>
      <c r="B2443" s="100"/>
      <c r="C2443" s="100"/>
      <c r="D2443" s="100"/>
      <c r="E2443" s="100"/>
      <c r="F2443" s="100"/>
      <c r="G2443" s="100"/>
      <c r="H2443" s="100"/>
      <c r="I2443" s="100"/>
      <c r="J2443" s="100"/>
      <c r="K2443" s="100"/>
      <c r="L2443" s="100"/>
      <c r="M2443" s="100"/>
      <c r="N2443" s="100"/>
      <c r="O2443" s="100"/>
      <c r="P2443" s="100"/>
      <c r="Q2443" s="100"/>
      <c r="R2443" s="100"/>
      <c r="S2443" s="100"/>
      <c r="T2443" s="100"/>
      <c r="U2443" s="100"/>
      <c r="V2443" s="100"/>
      <c r="W2443" s="100"/>
      <c r="X2443" s="100"/>
      <c r="Y2443" s="100"/>
      <c r="Z2443" s="100"/>
    </row>
    <row r="2444" spans="1:26">
      <c r="A2444" s="100"/>
      <c r="B2444" s="100"/>
      <c r="C2444" s="100"/>
      <c r="D2444" s="100"/>
      <c r="E2444" s="100"/>
      <c r="F2444" s="100"/>
      <c r="G2444" s="100"/>
      <c r="H2444" s="100"/>
      <c r="I2444" s="100"/>
      <c r="J2444" s="100"/>
      <c r="K2444" s="100"/>
      <c r="L2444" s="100"/>
      <c r="M2444" s="100"/>
      <c r="N2444" s="100"/>
      <c r="O2444" s="100"/>
      <c r="P2444" s="100"/>
      <c r="Q2444" s="100"/>
      <c r="R2444" s="100"/>
      <c r="S2444" s="100"/>
      <c r="T2444" s="100"/>
      <c r="U2444" s="100"/>
      <c r="V2444" s="100"/>
      <c r="W2444" s="100"/>
      <c r="X2444" s="100"/>
      <c r="Y2444" s="100"/>
      <c r="Z2444" s="100"/>
    </row>
    <row r="2445" spans="1:26">
      <c r="A2445" s="100"/>
      <c r="B2445" s="100"/>
      <c r="C2445" s="100"/>
      <c r="D2445" s="100"/>
      <c r="E2445" s="100"/>
      <c r="F2445" s="100"/>
      <c r="G2445" s="100"/>
      <c r="H2445" s="100"/>
      <c r="I2445" s="100"/>
      <c r="J2445" s="100"/>
      <c r="K2445" s="100"/>
      <c r="L2445" s="100"/>
      <c r="M2445" s="100"/>
      <c r="N2445" s="100"/>
      <c r="O2445" s="100"/>
      <c r="P2445" s="100"/>
      <c r="Q2445" s="100"/>
      <c r="R2445" s="100"/>
      <c r="S2445" s="100"/>
      <c r="T2445" s="100"/>
      <c r="U2445" s="100"/>
      <c r="V2445" s="100"/>
      <c r="W2445" s="100"/>
      <c r="X2445" s="100"/>
      <c r="Y2445" s="100"/>
      <c r="Z2445" s="100"/>
    </row>
    <row r="2446" spans="1:26">
      <c r="A2446" s="100"/>
      <c r="B2446" s="100"/>
      <c r="C2446" s="100"/>
      <c r="D2446" s="100"/>
      <c r="E2446" s="100"/>
      <c r="F2446" s="100"/>
      <c r="G2446" s="100"/>
      <c r="H2446" s="100"/>
      <c r="I2446" s="100"/>
      <c r="J2446" s="100"/>
      <c r="K2446" s="100"/>
      <c r="L2446" s="100"/>
      <c r="M2446" s="100"/>
      <c r="N2446" s="100"/>
      <c r="O2446" s="100"/>
      <c r="P2446" s="100"/>
      <c r="Q2446" s="100"/>
      <c r="R2446" s="100"/>
      <c r="S2446" s="100"/>
      <c r="T2446" s="100"/>
      <c r="U2446" s="100"/>
      <c r="V2446" s="100"/>
      <c r="W2446" s="100"/>
      <c r="X2446" s="100"/>
      <c r="Y2446" s="100"/>
      <c r="Z2446" s="100"/>
    </row>
    <row r="2447" spans="1:26">
      <c r="A2447" s="100"/>
      <c r="B2447" s="100"/>
      <c r="C2447" s="100"/>
      <c r="D2447" s="100"/>
      <c r="E2447" s="100"/>
      <c r="F2447" s="100"/>
      <c r="G2447" s="100"/>
      <c r="H2447" s="100"/>
      <c r="I2447" s="100"/>
      <c r="J2447" s="100"/>
      <c r="K2447" s="100"/>
      <c r="L2447" s="100"/>
      <c r="M2447" s="100"/>
      <c r="N2447" s="100"/>
      <c r="O2447" s="100"/>
      <c r="P2447" s="100"/>
      <c r="Q2447" s="100"/>
      <c r="R2447" s="100"/>
      <c r="S2447" s="100"/>
      <c r="T2447" s="100"/>
      <c r="U2447" s="100"/>
      <c r="V2447" s="100"/>
      <c r="W2447" s="100"/>
      <c r="X2447" s="100"/>
      <c r="Y2447" s="100"/>
      <c r="Z2447" s="100"/>
    </row>
    <row r="2448" spans="1:26">
      <c r="A2448" s="100"/>
      <c r="B2448" s="100"/>
      <c r="C2448" s="100"/>
      <c r="D2448" s="100"/>
      <c r="E2448" s="100"/>
      <c r="F2448" s="100"/>
      <c r="G2448" s="100"/>
      <c r="H2448" s="100"/>
      <c r="I2448" s="100"/>
      <c r="J2448" s="100"/>
      <c r="K2448" s="100"/>
      <c r="L2448" s="100"/>
      <c r="M2448" s="100"/>
      <c r="N2448" s="100"/>
      <c r="O2448" s="100"/>
      <c r="P2448" s="100"/>
      <c r="Q2448" s="100"/>
      <c r="R2448" s="100"/>
      <c r="S2448" s="100"/>
      <c r="T2448" s="100"/>
      <c r="U2448" s="100"/>
      <c r="V2448" s="100"/>
      <c r="W2448" s="100"/>
      <c r="X2448" s="100"/>
      <c r="Y2448" s="100"/>
      <c r="Z2448" s="100"/>
    </row>
    <row r="2449" spans="1:26">
      <c r="A2449" s="100"/>
      <c r="B2449" s="100"/>
      <c r="C2449" s="100"/>
      <c r="D2449" s="100"/>
      <c r="E2449" s="100"/>
      <c r="F2449" s="100"/>
      <c r="G2449" s="100"/>
      <c r="H2449" s="100"/>
      <c r="I2449" s="100"/>
      <c r="J2449" s="100"/>
      <c r="K2449" s="100"/>
      <c r="L2449" s="100"/>
      <c r="M2449" s="100"/>
      <c r="N2449" s="100"/>
      <c r="O2449" s="100"/>
      <c r="P2449" s="100"/>
      <c r="Q2449" s="100"/>
      <c r="R2449" s="100"/>
      <c r="S2449" s="100"/>
      <c r="T2449" s="100"/>
      <c r="U2449" s="100"/>
      <c r="V2449" s="100"/>
      <c r="W2449" s="100"/>
      <c r="X2449" s="100"/>
      <c r="Y2449" s="100"/>
      <c r="Z2449" s="100"/>
    </row>
    <row r="2450" spans="1:26">
      <c r="A2450" s="100"/>
      <c r="B2450" s="100"/>
      <c r="C2450" s="100"/>
      <c r="D2450" s="100"/>
      <c r="E2450" s="100"/>
      <c r="F2450" s="100"/>
      <c r="G2450" s="100"/>
      <c r="H2450" s="100"/>
      <c r="I2450" s="100"/>
      <c r="J2450" s="100"/>
      <c r="K2450" s="100"/>
      <c r="L2450" s="100"/>
      <c r="M2450" s="100"/>
      <c r="N2450" s="100"/>
      <c r="O2450" s="100"/>
      <c r="P2450" s="100"/>
      <c r="Q2450" s="100"/>
      <c r="R2450" s="100"/>
      <c r="S2450" s="100"/>
      <c r="T2450" s="100"/>
      <c r="U2450" s="100"/>
      <c r="V2450" s="100"/>
      <c r="W2450" s="100"/>
      <c r="X2450" s="100"/>
      <c r="Y2450" s="100"/>
      <c r="Z2450" s="100"/>
    </row>
    <row r="2451" spans="1:26">
      <c r="A2451" s="100"/>
      <c r="B2451" s="100"/>
      <c r="C2451" s="100"/>
      <c r="D2451" s="100"/>
      <c r="E2451" s="100"/>
      <c r="F2451" s="100"/>
      <c r="G2451" s="100"/>
      <c r="H2451" s="100"/>
      <c r="I2451" s="100"/>
      <c r="J2451" s="100"/>
      <c r="K2451" s="100"/>
      <c r="L2451" s="100"/>
      <c r="M2451" s="100"/>
      <c r="N2451" s="100"/>
      <c r="O2451" s="100"/>
      <c r="P2451" s="100"/>
      <c r="Q2451" s="100"/>
      <c r="R2451" s="100"/>
      <c r="S2451" s="100"/>
      <c r="T2451" s="100"/>
      <c r="U2451" s="100"/>
      <c r="V2451" s="100"/>
      <c r="W2451" s="100"/>
      <c r="X2451" s="100"/>
      <c r="Y2451" s="100"/>
      <c r="Z2451" s="100"/>
    </row>
    <row r="2452" spans="1:26">
      <c r="A2452" s="100"/>
      <c r="B2452" s="100"/>
      <c r="C2452" s="100"/>
      <c r="D2452" s="100"/>
      <c r="E2452" s="100"/>
      <c r="F2452" s="100"/>
      <c r="G2452" s="100"/>
      <c r="H2452" s="100"/>
      <c r="I2452" s="100"/>
      <c r="J2452" s="100"/>
      <c r="K2452" s="100"/>
      <c r="L2452" s="100"/>
      <c r="M2452" s="100"/>
      <c r="N2452" s="100"/>
      <c r="O2452" s="100"/>
      <c r="P2452" s="100"/>
      <c r="Q2452" s="100"/>
      <c r="R2452" s="100"/>
      <c r="S2452" s="100"/>
      <c r="T2452" s="100"/>
      <c r="U2452" s="100"/>
      <c r="V2452" s="100"/>
      <c r="W2452" s="100"/>
      <c r="X2452" s="100"/>
      <c r="Y2452" s="100"/>
      <c r="Z2452" s="100"/>
    </row>
    <row r="2453" spans="1:26">
      <c r="A2453" s="100"/>
      <c r="B2453" s="100"/>
      <c r="C2453" s="100"/>
      <c r="D2453" s="100"/>
      <c r="E2453" s="100"/>
      <c r="F2453" s="100"/>
      <c r="G2453" s="100"/>
      <c r="H2453" s="100"/>
      <c r="I2453" s="100"/>
      <c r="J2453" s="100"/>
      <c r="K2453" s="100"/>
      <c r="L2453" s="100"/>
      <c r="M2453" s="100"/>
      <c r="N2453" s="100"/>
      <c r="O2453" s="100"/>
      <c r="P2453" s="100"/>
      <c r="Q2453" s="100"/>
      <c r="R2453" s="100"/>
      <c r="S2453" s="100"/>
      <c r="T2453" s="100"/>
      <c r="U2453" s="100"/>
      <c r="V2453" s="100"/>
      <c r="W2453" s="100"/>
      <c r="X2453" s="100"/>
      <c r="Y2453" s="100"/>
      <c r="Z2453" s="100"/>
    </row>
    <row r="2454" spans="1:26">
      <c r="A2454" s="100"/>
      <c r="B2454" s="100"/>
      <c r="C2454" s="100"/>
      <c r="D2454" s="100"/>
      <c r="E2454" s="100"/>
      <c r="F2454" s="100"/>
      <c r="G2454" s="100"/>
      <c r="H2454" s="100"/>
      <c r="I2454" s="100"/>
      <c r="J2454" s="100"/>
      <c r="K2454" s="100"/>
      <c r="L2454" s="100"/>
      <c r="M2454" s="100"/>
      <c r="N2454" s="100"/>
      <c r="O2454" s="100"/>
      <c r="P2454" s="100"/>
      <c r="Q2454" s="100"/>
      <c r="R2454" s="100"/>
      <c r="S2454" s="100"/>
      <c r="T2454" s="100"/>
      <c r="U2454" s="100"/>
      <c r="V2454" s="100"/>
      <c r="W2454" s="100"/>
      <c r="X2454" s="100"/>
      <c r="Y2454" s="100"/>
      <c r="Z2454" s="100"/>
    </row>
    <row r="2455" spans="1:26">
      <c r="A2455" s="100"/>
      <c r="B2455" s="100"/>
      <c r="C2455" s="100"/>
      <c r="D2455" s="100"/>
      <c r="E2455" s="100"/>
      <c r="F2455" s="100"/>
      <c r="G2455" s="100"/>
      <c r="H2455" s="100"/>
      <c r="I2455" s="100"/>
      <c r="J2455" s="100"/>
      <c r="K2455" s="100"/>
      <c r="L2455" s="100"/>
      <c r="M2455" s="100"/>
      <c r="N2455" s="100"/>
      <c r="O2455" s="100"/>
      <c r="P2455" s="100"/>
      <c r="Q2455" s="100"/>
      <c r="R2455" s="100"/>
      <c r="S2455" s="100"/>
      <c r="T2455" s="100"/>
      <c r="U2455" s="100"/>
      <c r="V2455" s="100"/>
      <c r="W2455" s="100"/>
      <c r="X2455" s="100"/>
      <c r="Y2455" s="100"/>
      <c r="Z2455" s="100"/>
    </row>
    <row r="2456" spans="1:26">
      <c r="A2456" s="100"/>
      <c r="B2456" s="100"/>
      <c r="C2456" s="100"/>
      <c r="D2456" s="100"/>
      <c r="E2456" s="100"/>
      <c r="F2456" s="100"/>
      <c r="G2456" s="100"/>
      <c r="H2456" s="100"/>
      <c r="I2456" s="100"/>
      <c r="J2456" s="100"/>
      <c r="K2456" s="100"/>
      <c r="L2456" s="100"/>
      <c r="M2456" s="100"/>
      <c r="N2456" s="100"/>
      <c r="O2456" s="100"/>
      <c r="P2456" s="100"/>
      <c r="Q2456" s="100"/>
      <c r="R2456" s="100"/>
      <c r="S2456" s="100"/>
      <c r="T2456" s="100"/>
      <c r="U2456" s="100"/>
      <c r="V2456" s="100"/>
      <c r="W2456" s="100"/>
      <c r="X2456" s="100"/>
      <c r="Y2456" s="100"/>
      <c r="Z2456" s="100"/>
    </row>
    <row r="2457" spans="1:26">
      <c r="A2457" s="100"/>
      <c r="B2457" s="100"/>
      <c r="C2457" s="100"/>
      <c r="D2457" s="100"/>
      <c r="E2457" s="100"/>
      <c r="F2457" s="100"/>
      <c r="G2457" s="100"/>
      <c r="H2457" s="100"/>
      <c r="I2457" s="100"/>
      <c r="J2457" s="100"/>
      <c r="K2457" s="100"/>
      <c r="L2457" s="100"/>
      <c r="M2457" s="100"/>
      <c r="N2457" s="100"/>
      <c r="O2457" s="100"/>
      <c r="P2457" s="100"/>
      <c r="Q2457" s="100"/>
      <c r="R2457" s="100"/>
      <c r="S2457" s="100"/>
      <c r="T2457" s="100"/>
      <c r="U2457" s="100"/>
      <c r="V2457" s="100"/>
      <c r="W2457" s="100"/>
      <c r="X2457" s="100"/>
      <c r="Y2457" s="100"/>
      <c r="Z2457" s="100"/>
    </row>
    <row r="2458" spans="1:26">
      <c r="A2458" s="100"/>
      <c r="B2458" s="100"/>
      <c r="C2458" s="100"/>
      <c r="D2458" s="100"/>
      <c r="E2458" s="100"/>
      <c r="F2458" s="100"/>
      <c r="G2458" s="100"/>
      <c r="H2458" s="100"/>
      <c r="I2458" s="100"/>
      <c r="J2458" s="100"/>
      <c r="K2458" s="100"/>
      <c r="L2458" s="100"/>
      <c r="M2458" s="100"/>
      <c r="N2458" s="100"/>
      <c r="O2458" s="100"/>
      <c r="P2458" s="100"/>
      <c r="Q2458" s="100"/>
      <c r="R2458" s="100"/>
      <c r="S2458" s="100"/>
      <c r="T2458" s="100"/>
      <c r="U2458" s="100"/>
      <c r="V2458" s="100"/>
      <c r="W2458" s="100"/>
      <c r="X2458" s="100"/>
      <c r="Y2458" s="100"/>
      <c r="Z2458" s="100"/>
    </row>
    <row r="2459" spans="1:26">
      <c r="A2459" s="100"/>
      <c r="B2459" s="100"/>
      <c r="C2459" s="100"/>
      <c r="D2459" s="100"/>
      <c r="E2459" s="100"/>
      <c r="F2459" s="100"/>
      <c r="G2459" s="100"/>
      <c r="H2459" s="100"/>
      <c r="I2459" s="100"/>
      <c r="J2459" s="100"/>
      <c r="K2459" s="100"/>
      <c r="L2459" s="100"/>
      <c r="M2459" s="100"/>
      <c r="N2459" s="100"/>
      <c r="O2459" s="100"/>
      <c r="P2459" s="100"/>
      <c r="Q2459" s="100"/>
      <c r="R2459" s="100"/>
      <c r="S2459" s="100"/>
      <c r="T2459" s="100"/>
      <c r="U2459" s="100"/>
      <c r="V2459" s="100"/>
      <c r="W2459" s="100"/>
      <c r="X2459" s="100"/>
      <c r="Y2459" s="100"/>
      <c r="Z2459" s="100"/>
    </row>
    <row r="2460" spans="1:26">
      <c r="A2460" s="100"/>
      <c r="B2460" s="100"/>
      <c r="C2460" s="100"/>
      <c r="D2460" s="100"/>
      <c r="E2460" s="100"/>
      <c r="F2460" s="100"/>
      <c r="G2460" s="100"/>
      <c r="H2460" s="100"/>
      <c r="I2460" s="100"/>
      <c r="J2460" s="100"/>
      <c r="K2460" s="100"/>
      <c r="L2460" s="100"/>
      <c r="M2460" s="100"/>
      <c r="N2460" s="100"/>
      <c r="O2460" s="100"/>
      <c r="P2460" s="100"/>
      <c r="Q2460" s="100"/>
      <c r="R2460" s="100"/>
      <c r="S2460" s="100"/>
      <c r="T2460" s="100"/>
      <c r="U2460" s="100"/>
      <c r="V2460" s="100"/>
      <c r="W2460" s="100"/>
      <c r="X2460" s="100"/>
      <c r="Y2460" s="100"/>
      <c r="Z2460" s="100"/>
    </row>
    <row r="2461" spans="1:26">
      <c r="A2461" s="100"/>
      <c r="B2461" s="100"/>
      <c r="C2461" s="100"/>
      <c r="D2461" s="100"/>
      <c r="E2461" s="100"/>
      <c r="F2461" s="100"/>
      <c r="G2461" s="100"/>
      <c r="H2461" s="100"/>
      <c r="I2461" s="100"/>
      <c r="J2461" s="100"/>
      <c r="K2461" s="100"/>
      <c r="L2461" s="100"/>
      <c r="M2461" s="100"/>
      <c r="N2461" s="100"/>
      <c r="O2461" s="100"/>
      <c r="P2461" s="100"/>
      <c r="Q2461" s="100"/>
      <c r="R2461" s="100"/>
      <c r="S2461" s="100"/>
      <c r="T2461" s="100"/>
      <c r="U2461" s="100"/>
      <c r="V2461" s="100"/>
      <c r="W2461" s="100"/>
      <c r="X2461" s="100"/>
      <c r="Y2461" s="100"/>
      <c r="Z2461" s="100"/>
    </row>
    <row r="2462" spans="1:26">
      <c r="A2462" s="100"/>
      <c r="B2462" s="100"/>
      <c r="C2462" s="100"/>
      <c r="D2462" s="100"/>
      <c r="E2462" s="100"/>
      <c r="F2462" s="100"/>
      <c r="G2462" s="100"/>
      <c r="H2462" s="100"/>
      <c r="I2462" s="100"/>
      <c r="J2462" s="100"/>
      <c r="K2462" s="100"/>
      <c r="L2462" s="100"/>
      <c r="M2462" s="100"/>
      <c r="N2462" s="100"/>
      <c r="O2462" s="100"/>
      <c r="P2462" s="100"/>
      <c r="Q2462" s="100"/>
      <c r="R2462" s="100"/>
      <c r="S2462" s="100"/>
      <c r="T2462" s="100"/>
      <c r="U2462" s="100"/>
      <c r="V2462" s="100"/>
      <c r="W2462" s="100"/>
      <c r="X2462" s="100"/>
      <c r="Y2462" s="100"/>
      <c r="Z2462" s="100"/>
    </row>
    <row r="2463" spans="1:26">
      <c r="A2463" s="100"/>
      <c r="B2463" s="100"/>
      <c r="C2463" s="100"/>
      <c r="D2463" s="100"/>
      <c r="E2463" s="100"/>
      <c r="F2463" s="100"/>
      <c r="G2463" s="100"/>
      <c r="H2463" s="100"/>
      <c r="I2463" s="100"/>
      <c r="J2463" s="100"/>
      <c r="K2463" s="100"/>
      <c r="L2463" s="100"/>
      <c r="M2463" s="100"/>
      <c r="N2463" s="100"/>
      <c r="O2463" s="100"/>
      <c r="P2463" s="100"/>
      <c r="Q2463" s="100"/>
      <c r="R2463" s="100"/>
      <c r="S2463" s="100"/>
      <c r="T2463" s="100"/>
      <c r="U2463" s="100"/>
      <c r="V2463" s="100"/>
      <c r="W2463" s="100"/>
      <c r="X2463" s="100"/>
      <c r="Y2463" s="100"/>
      <c r="Z2463" s="100"/>
    </row>
    <row r="2464" spans="1:26">
      <c r="A2464" s="100"/>
      <c r="B2464" s="100"/>
      <c r="C2464" s="100"/>
      <c r="D2464" s="100"/>
      <c r="E2464" s="100"/>
      <c r="F2464" s="100"/>
      <c r="G2464" s="100"/>
      <c r="H2464" s="100"/>
      <c r="I2464" s="100"/>
      <c r="J2464" s="100"/>
      <c r="K2464" s="100"/>
      <c r="L2464" s="100"/>
      <c r="M2464" s="100"/>
      <c r="N2464" s="100"/>
      <c r="O2464" s="100"/>
      <c r="P2464" s="100"/>
      <c r="Q2464" s="100"/>
      <c r="R2464" s="100"/>
      <c r="S2464" s="100"/>
      <c r="T2464" s="100"/>
      <c r="U2464" s="100"/>
      <c r="V2464" s="100"/>
      <c r="W2464" s="100"/>
      <c r="X2464" s="100"/>
      <c r="Y2464" s="100"/>
      <c r="Z2464" s="100"/>
    </row>
    <row r="2465" spans="1:26">
      <c r="A2465" s="100"/>
      <c r="B2465" s="100"/>
      <c r="C2465" s="100"/>
      <c r="D2465" s="100"/>
      <c r="E2465" s="100"/>
      <c r="F2465" s="100"/>
      <c r="G2465" s="100"/>
      <c r="H2465" s="100"/>
      <c r="I2465" s="100"/>
      <c r="J2465" s="100"/>
      <c r="K2465" s="100"/>
      <c r="L2465" s="100"/>
      <c r="M2465" s="100"/>
      <c r="N2465" s="100"/>
      <c r="O2465" s="100"/>
      <c r="P2465" s="100"/>
      <c r="Q2465" s="100"/>
      <c r="R2465" s="100"/>
      <c r="S2465" s="100"/>
      <c r="T2465" s="100"/>
      <c r="U2465" s="100"/>
      <c r="V2465" s="100"/>
      <c r="W2465" s="100"/>
      <c r="X2465" s="100"/>
      <c r="Y2465" s="100"/>
      <c r="Z2465" s="100"/>
    </row>
    <row r="2466" spans="1:26">
      <c r="A2466" s="100"/>
      <c r="B2466" s="100"/>
      <c r="C2466" s="100"/>
      <c r="D2466" s="100"/>
      <c r="E2466" s="100"/>
      <c r="F2466" s="100"/>
      <c r="G2466" s="100"/>
      <c r="H2466" s="100"/>
      <c r="I2466" s="100"/>
      <c r="J2466" s="100"/>
      <c r="K2466" s="100"/>
      <c r="L2466" s="100"/>
      <c r="M2466" s="100"/>
      <c r="N2466" s="100"/>
      <c r="O2466" s="100"/>
      <c r="P2466" s="100"/>
      <c r="Q2466" s="100"/>
      <c r="R2466" s="100"/>
      <c r="S2466" s="100"/>
      <c r="T2466" s="100"/>
      <c r="U2466" s="100"/>
      <c r="V2466" s="100"/>
      <c r="W2466" s="100"/>
      <c r="X2466" s="100"/>
      <c r="Y2466" s="100"/>
      <c r="Z2466" s="100"/>
    </row>
    <row r="2467" spans="1:26">
      <c r="A2467" s="100"/>
      <c r="B2467" s="100"/>
      <c r="C2467" s="100"/>
      <c r="D2467" s="100"/>
      <c r="E2467" s="100"/>
      <c r="F2467" s="100"/>
      <c r="G2467" s="100"/>
      <c r="H2467" s="100"/>
      <c r="I2467" s="100"/>
      <c r="J2467" s="100"/>
      <c r="K2467" s="100"/>
      <c r="L2467" s="100"/>
      <c r="M2467" s="100"/>
      <c r="N2467" s="100"/>
      <c r="O2467" s="100"/>
      <c r="P2467" s="100"/>
      <c r="Q2467" s="100"/>
      <c r="R2467" s="100"/>
      <c r="S2467" s="100"/>
      <c r="T2467" s="100"/>
      <c r="U2467" s="100"/>
      <c r="V2467" s="100"/>
      <c r="W2467" s="100"/>
      <c r="X2467" s="100"/>
      <c r="Y2467" s="100"/>
      <c r="Z2467" s="100"/>
    </row>
    <row r="2468" spans="1:26">
      <c r="A2468" s="100"/>
      <c r="B2468" s="100"/>
      <c r="C2468" s="100"/>
      <c r="D2468" s="100"/>
      <c r="E2468" s="100"/>
      <c r="F2468" s="100"/>
      <c r="G2468" s="100"/>
      <c r="H2468" s="100"/>
      <c r="I2468" s="100"/>
      <c r="J2468" s="100"/>
      <c r="K2468" s="100"/>
      <c r="L2468" s="100"/>
      <c r="M2468" s="100"/>
      <c r="N2468" s="100"/>
      <c r="O2468" s="100"/>
      <c r="P2468" s="100"/>
      <c r="Q2468" s="100"/>
      <c r="R2468" s="100"/>
      <c r="S2468" s="100"/>
      <c r="T2468" s="100"/>
      <c r="U2468" s="100"/>
      <c r="V2468" s="100"/>
      <c r="W2468" s="100"/>
      <c r="X2468" s="100"/>
      <c r="Y2468" s="100"/>
      <c r="Z2468" s="100"/>
    </row>
    <row r="2469" spans="1:26">
      <c r="A2469" s="100"/>
      <c r="B2469" s="100"/>
      <c r="C2469" s="100"/>
      <c r="D2469" s="100"/>
      <c r="E2469" s="100"/>
      <c r="F2469" s="100"/>
      <c r="G2469" s="100"/>
      <c r="H2469" s="100"/>
      <c r="I2469" s="100"/>
      <c r="J2469" s="100"/>
      <c r="K2469" s="100"/>
      <c r="L2469" s="100"/>
      <c r="M2469" s="100"/>
      <c r="N2469" s="100"/>
      <c r="O2469" s="100"/>
      <c r="P2469" s="100"/>
      <c r="Q2469" s="100"/>
      <c r="R2469" s="100"/>
      <c r="S2469" s="100"/>
      <c r="T2469" s="100"/>
      <c r="U2469" s="100"/>
      <c r="V2469" s="100"/>
      <c r="W2469" s="100"/>
      <c r="X2469" s="100"/>
      <c r="Y2469" s="100"/>
      <c r="Z2469" s="100"/>
    </row>
    <row r="2470" spans="1:26">
      <c r="A2470" s="100"/>
      <c r="B2470" s="100"/>
      <c r="C2470" s="100"/>
      <c r="D2470" s="100"/>
      <c r="E2470" s="100"/>
      <c r="F2470" s="100"/>
      <c r="G2470" s="100"/>
      <c r="H2470" s="100"/>
      <c r="I2470" s="100"/>
      <c r="J2470" s="100"/>
      <c r="K2470" s="100"/>
      <c r="L2470" s="100"/>
      <c r="M2470" s="100"/>
      <c r="N2470" s="100"/>
      <c r="O2470" s="100"/>
      <c r="P2470" s="100"/>
      <c r="Q2470" s="100"/>
      <c r="R2470" s="100"/>
      <c r="S2470" s="100"/>
      <c r="T2470" s="100"/>
      <c r="U2470" s="100"/>
      <c r="V2470" s="100"/>
      <c r="W2470" s="100"/>
      <c r="X2470" s="100"/>
      <c r="Y2470" s="100"/>
      <c r="Z2470" s="100"/>
    </row>
    <row r="2471" spans="1:26">
      <c r="A2471" s="100"/>
      <c r="B2471" s="100"/>
      <c r="C2471" s="100"/>
      <c r="D2471" s="100"/>
      <c r="E2471" s="100"/>
      <c r="F2471" s="100"/>
      <c r="G2471" s="100"/>
      <c r="H2471" s="100"/>
      <c r="I2471" s="100"/>
      <c r="J2471" s="100"/>
      <c r="K2471" s="100"/>
      <c r="L2471" s="100"/>
      <c r="M2471" s="100"/>
      <c r="N2471" s="100"/>
      <c r="O2471" s="100"/>
      <c r="P2471" s="100"/>
      <c r="Q2471" s="100"/>
      <c r="R2471" s="100"/>
      <c r="S2471" s="100"/>
      <c r="T2471" s="100"/>
      <c r="U2471" s="100"/>
      <c r="V2471" s="100"/>
      <c r="W2471" s="100"/>
      <c r="X2471" s="100"/>
      <c r="Y2471" s="100"/>
      <c r="Z2471" s="100"/>
    </row>
    <row r="2472" spans="1:26">
      <c r="A2472" s="100"/>
      <c r="B2472" s="100"/>
      <c r="C2472" s="100"/>
      <c r="D2472" s="100"/>
      <c r="E2472" s="100"/>
      <c r="F2472" s="100"/>
      <c r="G2472" s="100"/>
      <c r="H2472" s="100"/>
      <c r="I2472" s="100"/>
      <c r="J2472" s="100"/>
      <c r="K2472" s="100"/>
      <c r="L2472" s="100"/>
      <c r="M2472" s="100"/>
      <c r="N2472" s="100"/>
      <c r="O2472" s="100"/>
      <c r="P2472" s="100"/>
      <c r="Q2472" s="100"/>
      <c r="R2472" s="100"/>
      <c r="S2472" s="100"/>
      <c r="T2472" s="100"/>
      <c r="U2472" s="100"/>
      <c r="V2472" s="100"/>
      <c r="W2472" s="100"/>
      <c r="X2472" s="100"/>
      <c r="Y2472" s="100"/>
      <c r="Z2472" s="100"/>
    </row>
    <row r="2473" spans="1:26">
      <c r="A2473" s="100"/>
      <c r="B2473" s="100"/>
      <c r="C2473" s="100"/>
      <c r="D2473" s="100"/>
      <c r="E2473" s="100"/>
      <c r="F2473" s="100"/>
      <c r="G2473" s="100"/>
      <c r="H2473" s="100"/>
      <c r="I2473" s="100"/>
      <c r="J2473" s="100"/>
      <c r="K2473" s="100"/>
      <c r="L2473" s="100"/>
      <c r="M2473" s="100"/>
      <c r="N2473" s="100"/>
      <c r="O2473" s="100"/>
      <c r="P2473" s="100"/>
      <c r="Q2473" s="100"/>
      <c r="R2473" s="100"/>
      <c r="S2473" s="100"/>
      <c r="T2473" s="100"/>
      <c r="U2473" s="100"/>
      <c r="V2473" s="100"/>
      <c r="W2473" s="100"/>
      <c r="X2473" s="100"/>
      <c r="Y2473" s="100"/>
      <c r="Z2473" s="100"/>
    </row>
    <row r="2474" spans="1:26">
      <c r="A2474" s="100"/>
      <c r="B2474" s="100"/>
      <c r="C2474" s="100"/>
      <c r="D2474" s="100"/>
      <c r="E2474" s="100"/>
      <c r="F2474" s="100"/>
      <c r="G2474" s="100"/>
      <c r="H2474" s="100"/>
      <c r="I2474" s="100"/>
      <c r="J2474" s="100"/>
      <c r="K2474" s="100"/>
      <c r="L2474" s="100"/>
      <c r="M2474" s="100"/>
      <c r="N2474" s="100"/>
      <c r="O2474" s="100"/>
      <c r="P2474" s="100"/>
      <c r="Q2474" s="100"/>
      <c r="R2474" s="100"/>
      <c r="S2474" s="100"/>
      <c r="T2474" s="100"/>
      <c r="U2474" s="100"/>
      <c r="V2474" s="100"/>
      <c r="W2474" s="100"/>
      <c r="X2474" s="100"/>
      <c r="Y2474" s="100"/>
      <c r="Z2474" s="100"/>
    </row>
    <row r="2475" spans="1:26">
      <c r="A2475" s="100"/>
      <c r="B2475" s="100"/>
      <c r="C2475" s="100"/>
      <c r="D2475" s="100"/>
      <c r="E2475" s="100"/>
      <c r="F2475" s="100"/>
      <c r="G2475" s="100"/>
      <c r="H2475" s="100"/>
      <c r="I2475" s="100"/>
      <c r="J2475" s="100"/>
      <c r="K2475" s="100"/>
      <c r="L2475" s="100"/>
      <c r="M2475" s="100"/>
      <c r="N2475" s="100"/>
      <c r="O2475" s="100"/>
      <c r="P2475" s="100"/>
      <c r="Q2475" s="100"/>
      <c r="R2475" s="100"/>
      <c r="S2475" s="100"/>
      <c r="T2475" s="100"/>
      <c r="U2475" s="100"/>
      <c r="V2475" s="100"/>
      <c r="W2475" s="100"/>
      <c r="X2475" s="100"/>
      <c r="Y2475" s="100"/>
      <c r="Z2475" s="100"/>
    </row>
    <row r="2476" spans="1:26">
      <c r="A2476" s="100"/>
      <c r="B2476" s="100"/>
      <c r="C2476" s="100"/>
      <c r="D2476" s="100"/>
      <c r="E2476" s="100"/>
      <c r="F2476" s="100"/>
      <c r="G2476" s="100"/>
      <c r="H2476" s="100"/>
      <c r="I2476" s="100"/>
      <c r="J2476" s="100"/>
      <c r="K2476" s="100"/>
      <c r="L2476" s="100"/>
      <c r="M2476" s="100"/>
      <c r="N2476" s="100"/>
      <c r="O2476" s="100"/>
      <c r="P2476" s="100"/>
      <c r="Q2476" s="100"/>
      <c r="R2476" s="100"/>
      <c r="S2476" s="100"/>
      <c r="T2476" s="100"/>
      <c r="U2476" s="100"/>
      <c r="V2476" s="100"/>
      <c r="W2476" s="100"/>
      <c r="X2476" s="100"/>
      <c r="Y2476" s="100"/>
      <c r="Z2476" s="100"/>
    </row>
    <row r="2477" spans="1:26">
      <c r="A2477" s="100"/>
      <c r="B2477" s="100"/>
      <c r="C2477" s="100"/>
      <c r="D2477" s="100"/>
      <c r="E2477" s="100"/>
      <c r="F2477" s="100"/>
      <c r="G2477" s="100"/>
      <c r="H2477" s="100"/>
      <c r="I2477" s="100"/>
      <c r="J2477" s="100"/>
      <c r="K2477" s="100"/>
      <c r="L2477" s="100"/>
      <c r="M2477" s="100"/>
      <c r="N2477" s="100"/>
      <c r="O2477" s="100"/>
      <c r="P2477" s="100"/>
      <c r="Q2477" s="100"/>
      <c r="R2477" s="100"/>
      <c r="S2477" s="100"/>
      <c r="T2477" s="100"/>
      <c r="U2477" s="100"/>
      <c r="V2477" s="100"/>
      <c r="W2477" s="100"/>
      <c r="X2477" s="100"/>
      <c r="Y2477" s="100"/>
      <c r="Z2477" s="100"/>
    </row>
    <row r="2478" spans="1:26">
      <c r="A2478" s="100"/>
      <c r="B2478" s="100"/>
      <c r="C2478" s="100"/>
      <c r="D2478" s="100"/>
      <c r="E2478" s="100"/>
      <c r="F2478" s="100"/>
      <c r="G2478" s="100"/>
      <c r="H2478" s="100"/>
      <c r="I2478" s="100"/>
      <c r="J2478" s="100"/>
      <c r="K2478" s="100"/>
      <c r="L2478" s="100"/>
      <c r="M2478" s="100"/>
      <c r="N2478" s="100"/>
      <c r="O2478" s="100"/>
      <c r="P2478" s="100"/>
      <c r="Q2478" s="100"/>
      <c r="R2478" s="100"/>
      <c r="S2478" s="100"/>
      <c r="T2478" s="100"/>
      <c r="U2478" s="100"/>
      <c r="V2478" s="100"/>
      <c r="W2478" s="100"/>
      <c r="X2478" s="100"/>
      <c r="Y2478" s="100"/>
      <c r="Z2478" s="100"/>
    </row>
    <row r="2479" spans="1:26">
      <c r="A2479" s="100"/>
      <c r="B2479" s="100"/>
      <c r="C2479" s="100"/>
      <c r="D2479" s="100"/>
      <c r="E2479" s="100"/>
      <c r="F2479" s="100"/>
      <c r="G2479" s="100"/>
      <c r="H2479" s="100"/>
      <c r="I2479" s="100"/>
      <c r="J2479" s="100"/>
      <c r="K2479" s="100"/>
      <c r="L2479" s="100"/>
      <c r="M2479" s="100"/>
      <c r="N2479" s="100"/>
      <c r="O2479" s="100"/>
      <c r="P2479" s="100"/>
      <c r="Q2479" s="100"/>
      <c r="R2479" s="100"/>
      <c r="S2479" s="100"/>
      <c r="T2479" s="100"/>
      <c r="U2479" s="100"/>
      <c r="V2479" s="100"/>
      <c r="W2479" s="100"/>
      <c r="X2479" s="100"/>
      <c r="Y2479" s="100"/>
      <c r="Z2479" s="100"/>
    </row>
    <row r="2480" spans="1:26">
      <c r="A2480" s="100"/>
      <c r="B2480" s="100"/>
      <c r="C2480" s="100"/>
      <c r="D2480" s="100"/>
      <c r="E2480" s="100"/>
      <c r="F2480" s="100"/>
      <c r="G2480" s="100"/>
      <c r="H2480" s="100"/>
      <c r="I2480" s="100"/>
      <c r="J2480" s="100"/>
      <c r="K2480" s="100"/>
      <c r="L2480" s="100"/>
      <c r="M2480" s="100"/>
      <c r="N2480" s="100"/>
      <c r="O2480" s="100"/>
      <c r="P2480" s="100"/>
      <c r="Q2480" s="100"/>
      <c r="R2480" s="100"/>
      <c r="S2480" s="100"/>
      <c r="T2480" s="100"/>
      <c r="U2480" s="100"/>
      <c r="V2480" s="100"/>
      <c r="W2480" s="100"/>
      <c r="X2480" s="100"/>
      <c r="Y2480" s="100"/>
      <c r="Z2480" s="100"/>
    </row>
    <row r="2481" spans="1:26">
      <c r="A2481" s="100"/>
      <c r="B2481" s="100"/>
      <c r="C2481" s="100"/>
      <c r="D2481" s="100"/>
      <c r="E2481" s="100"/>
      <c r="F2481" s="100"/>
      <c r="G2481" s="100"/>
      <c r="H2481" s="100"/>
      <c r="I2481" s="100"/>
      <c r="J2481" s="100"/>
      <c r="K2481" s="100"/>
      <c r="L2481" s="100"/>
      <c r="M2481" s="100"/>
      <c r="N2481" s="100"/>
      <c r="O2481" s="100"/>
      <c r="P2481" s="100"/>
      <c r="Q2481" s="100"/>
      <c r="R2481" s="100"/>
      <c r="S2481" s="100"/>
      <c r="T2481" s="100"/>
      <c r="U2481" s="100"/>
      <c r="V2481" s="100"/>
      <c r="W2481" s="100"/>
      <c r="X2481" s="100"/>
      <c r="Y2481" s="100"/>
      <c r="Z2481" s="100"/>
    </row>
    <row r="2482" spans="1:26">
      <c r="A2482" s="100"/>
      <c r="B2482" s="100"/>
      <c r="C2482" s="100"/>
      <c r="D2482" s="100"/>
      <c r="E2482" s="100"/>
      <c r="F2482" s="100"/>
      <c r="G2482" s="100"/>
      <c r="H2482" s="100"/>
      <c r="I2482" s="100"/>
      <c r="J2482" s="100"/>
      <c r="K2482" s="100"/>
      <c r="L2482" s="100"/>
      <c r="M2482" s="100"/>
      <c r="N2482" s="100"/>
      <c r="O2482" s="100"/>
      <c r="P2482" s="100"/>
      <c r="Q2482" s="100"/>
      <c r="R2482" s="100"/>
      <c r="S2482" s="100"/>
      <c r="T2482" s="100"/>
      <c r="U2482" s="100"/>
      <c r="V2482" s="100"/>
      <c r="W2482" s="100"/>
      <c r="X2482" s="100"/>
      <c r="Y2482" s="100"/>
      <c r="Z2482" s="100"/>
    </row>
    <row r="2483" spans="1:26">
      <c r="A2483" s="100"/>
      <c r="B2483" s="100"/>
      <c r="C2483" s="100"/>
      <c r="D2483" s="100"/>
      <c r="E2483" s="100"/>
      <c r="F2483" s="100"/>
      <c r="G2483" s="100"/>
      <c r="H2483" s="100"/>
      <c r="I2483" s="100"/>
      <c r="J2483" s="100"/>
      <c r="K2483" s="100"/>
      <c r="L2483" s="100"/>
      <c r="M2483" s="100"/>
      <c r="N2483" s="100"/>
      <c r="O2483" s="100"/>
      <c r="P2483" s="100"/>
      <c r="Q2483" s="100"/>
      <c r="R2483" s="100"/>
      <c r="S2483" s="100"/>
      <c r="T2483" s="100"/>
      <c r="U2483" s="100"/>
      <c r="V2483" s="100"/>
      <c r="W2483" s="100"/>
      <c r="X2483" s="100"/>
      <c r="Y2483" s="100"/>
      <c r="Z2483" s="100"/>
    </row>
    <row r="2484" spans="1:26">
      <c r="A2484" s="100"/>
      <c r="B2484" s="100"/>
      <c r="C2484" s="100"/>
      <c r="D2484" s="100"/>
      <c r="E2484" s="100"/>
      <c r="F2484" s="100"/>
      <c r="G2484" s="100"/>
      <c r="H2484" s="100"/>
      <c r="I2484" s="100"/>
      <c r="J2484" s="100"/>
      <c r="K2484" s="100"/>
      <c r="L2484" s="100"/>
      <c r="M2484" s="100"/>
      <c r="N2484" s="100"/>
      <c r="O2484" s="100"/>
      <c r="P2484" s="100"/>
      <c r="Q2484" s="100"/>
      <c r="R2484" s="100"/>
      <c r="S2484" s="100"/>
      <c r="T2484" s="100"/>
      <c r="U2484" s="100"/>
      <c r="V2484" s="100"/>
      <c r="W2484" s="100"/>
      <c r="X2484" s="100"/>
      <c r="Y2484" s="100"/>
      <c r="Z2484" s="100"/>
    </row>
    <row r="2485" spans="1:26">
      <c r="A2485" s="100"/>
      <c r="B2485" s="100"/>
      <c r="C2485" s="100"/>
      <c r="D2485" s="100"/>
      <c r="E2485" s="100"/>
      <c r="F2485" s="100"/>
      <c r="G2485" s="100"/>
      <c r="H2485" s="100"/>
      <c r="I2485" s="100"/>
      <c r="J2485" s="100"/>
      <c r="K2485" s="100"/>
      <c r="L2485" s="100"/>
      <c r="M2485" s="100"/>
      <c r="N2485" s="100"/>
      <c r="O2485" s="100"/>
      <c r="P2485" s="100"/>
      <c r="Q2485" s="100"/>
      <c r="R2485" s="100"/>
      <c r="S2485" s="100"/>
      <c r="T2485" s="100"/>
      <c r="U2485" s="100"/>
      <c r="V2485" s="100"/>
      <c r="W2485" s="100"/>
      <c r="X2485" s="100"/>
      <c r="Y2485" s="100"/>
      <c r="Z2485" s="100"/>
    </row>
    <row r="2486" spans="1:26">
      <c r="A2486" s="100"/>
      <c r="B2486" s="100"/>
      <c r="C2486" s="100"/>
      <c r="D2486" s="100"/>
      <c r="E2486" s="100"/>
      <c r="F2486" s="100"/>
      <c r="G2486" s="100"/>
      <c r="H2486" s="100"/>
      <c r="I2486" s="100"/>
      <c r="J2486" s="100"/>
      <c r="K2486" s="100"/>
      <c r="L2486" s="100"/>
      <c r="M2486" s="100"/>
      <c r="N2486" s="100"/>
      <c r="O2486" s="100"/>
      <c r="P2486" s="100"/>
      <c r="Q2486" s="100"/>
      <c r="R2486" s="100"/>
      <c r="S2486" s="100"/>
      <c r="T2486" s="100"/>
      <c r="U2486" s="100"/>
      <c r="V2486" s="100"/>
      <c r="W2486" s="100"/>
      <c r="X2486" s="100"/>
      <c r="Y2486" s="100"/>
      <c r="Z2486" s="100"/>
    </row>
    <row r="2487" spans="1:26">
      <c r="A2487" s="100"/>
      <c r="B2487" s="100"/>
      <c r="C2487" s="100"/>
      <c r="D2487" s="100"/>
      <c r="E2487" s="100"/>
      <c r="F2487" s="100"/>
      <c r="G2487" s="100"/>
      <c r="H2487" s="100"/>
      <c r="I2487" s="100"/>
      <c r="J2487" s="100"/>
      <c r="K2487" s="100"/>
      <c r="L2487" s="100"/>
      <c r="M2487" s="100"/>
      <c r="N2487" s="100"/>
      <c r="O2487" s="100"/>
      <c r="P2487" s="100"/>
      <c r="Q2487" s="100"/>
      <c r="R2487" s="100"/>
      <c r="S2487" s="100"/>
      <c r="T2487" s="100"/>
      <c r="U2487" s="100"/>
      <c r="V2487" s="100"/>
      <c r="W2487" s="100"/>
      <c r="X2487" s="100"/>
      <c r="Y2487" s="100"/>
      <c r="Z2487" s="100"/>
    </row>
    <row r="2488" spans="1:26">
      <c r="A2488" s="100"/>
      <c r="B2488" s="100"/>
      <c r="C2488" s="100"/>
      <c r="D2488" s="100"/>
      <c r="E2488" s="100"/>
      <c r="F2488" s="100"/>
      <c r="G2488" s="100"/>
      <c r="H2488" s="100"/>
      <c r="I2488" s="100"/>
      <c r="J2488" s="100"/>
      <c r="K2488" s="100"/>
      <c r="L2488" s="100"/>
      <c r="M2488" s="100"/>
      <c r="N2488" s="100"/>
      <c r="O2488" s="100"/>
      <c r="P2488" s="100"/>
      <c r="Q2488" s="100"/>
      <c r="R2488" s="100"/>
      <c r="S2488" s="100"/>
      <c r="T2488" s="100"/>
      <c r="U2488" s="100"/>
      <c r="V2488" s="100"/>
      <c r="W2488" s="100"/>
      <c r="X2488" s="100"/>
      <c r="Y2488" s="100"/>
      <c r="Z2488" s="100"/>
    </row>
    <row r="2489" spans="1:26">
      <c r="A2489" s="100"/>
      <c r="B2489" s="100"/>
      <c r="C2489" s="100"/>
      <c r="D2489" s="100"/>
      <c r="E2489" s="100"/>
      <c r="F2489" s="100"/>
      <c r="G2489" s="100"/>
      <c r="H2489" s="100"/>
      <c r="I2489" s="100"/>
      <c r="J2489" s="100"/>
      <c r="K2489" s="100"/>
      <c r="L2489" s="100"/>
      <c r="M2489" s="100"/>
      <c r="N2489" s="100"/>
      <c r="O2489" s="100"/>
      <c r="P2489" s="100"/>
      <c r="Q2489" s="100"/>
      <c r="R2489" s="100"/>
      <c r="S2489" s="100"/>
      <c r="T2489" s="100"/>
      <c r="U2489" s="100"/>
      <c r="V2489" s="100"/>
      <c r="W2489" s="100"/>
      <c r="X2489" s="100"/>
      <c r="Y2489" s="100"/>
      <c r="Z2489" s="100"/>
    </row>
    <row r="2490" spans="1:26">
      <c r="A2490" s="100"/>
      <c r="B2490" s="100"/>
      <c r="C2490" s="100"/>
      <c r="D2490" s="100"/>
      <c r="E2490" s="100"/>
      <c r="F2490" s="100"/>
      <c r="G2490" s="100"/>
      <c r="H2490" s="100"/>
      <c r="I2490" s="100"/>
      <c r="J2490" s="100"/>
      <c r="K2490" s="100"/>
      <c r="L2490" s="100"/>
      <c r="M2490" s="100"/>
      <c r="N2490" s="100"/>
      <c r="O2490" s="100"/>
      <c r="P2490" s="100"/>
      <c r="Q2490" s="100"/>
      <c r="R2490" s="100"/>
      <c r="S2490" s="100"/>
      <c r="T2490" s="100"/>
      <c r="U2490" s="100"/>
      <c r="V2490" s="100"/>
      <c r="W2490" s="100"/>
      <c r="X2490" s="100"/>
      <c r="Y2490" s="100"/>
      <c r="Z2490" s="100"/>
    </row>
    <row r="2491" spans="1:26">
      <c r="A2491" s="100"/>
      <c r="B2491" s="100"/>
      <c r="C2491" s="100"/>
      <c r="D2491" s="100"/>
      <c r="E2491" s="100"/>
      <c r="F2491" s="100"/>
      <c r="G2491" s="100"/>
      <c r="H2491" s="100"/>
      <c r="I2491" s="100"/>
      <c r="J2491" s="100"/>
      <c r="K2491" s="100"/>
      <c r="L2491" s="100"/>
      <c r="M2491" s="100"/>
      <c r="N2491" s="100"/>
      <c r="O2491" s="100"/>
      <c r="P2491" s="100"/>
      <c r="Q2491" s="100"/>
      <c r="R2491" s="100"/>
      <c r="S2491" s="100"/>
      <c r="T2491" s="100"/>
      <c r="U2491" s="100"/>
      <c r="V2491" s="100"/>
      <c r="W2491" s="100"/>
      <c r="X2491" s="100"/>
      <c r="Y2491" s="100"/>
      <c r="Z2491" s="100"/>
    </row>
    <row r="2492" spans="1:26">
      <c r="A2492" s="100"/>
      <c r="B2492" s="100"/>
      <c r="C2492" s="100"/>
      <c r="D2492" s="100"/>
      <c r="E2492" s="100"/>
      <c r="F2492" s="100"/>
      <c r="G2492" s="100"/>
      <c r="H2492" s="100"/>
      <c r="I2492" s="100"/>
      <c r="J2492" s="100"/>
      <c r="K2492" s="100"/>
      <c r="L2492" s="100"/>
      <c r="M2492" s="100"/>
      <c r="N2492" s="100"/>
      <c r="O2492" s="100"/>
      <c r="P2492" s="100"/>
      <c r="Q2492" s="100"/>
      <c r="R2492" s="100"/>
      <c r="S2492" s="100"/>
      <c r="T2492" s="100"/>
      <c r="U2492" s="100"/>
      <c r="V2492" s="100"/>
      <c r="W2492" s="100"/>
      <c r="X2492" s="100"/>
      <c r="Y2492" s="100"/>
      <c r="Z2492" s="100"/>
    </row>
    <row r="2493" spans="1:26">
      <c r="A2493" s="100"/>
      <c r="B2493" s="100"/>
      <c r="C2493" s="100"/>
      <c r="D2493" s="100"/>
      <c r="E2493" s="100"/>
      <c r="F2493" s="100"/>
      <c r="G2493" s="100"/>
      <c r="H2493" s="100"/>
      <c r="I2493" s="100"/>
      <c r="J2493" s="100"/>
      <c r="K2493" s="100"/>
      <c r="L2493" s="100"/>
      <c r="M2493" s="100"/>
      <c r="N2493" s="100"/>
      <c r="O2493" s="100"/>
      <c r="P2493" s="100"/>
      <c r="Q2493" s="100"/>
      <c r="R2493" s="100"/>
      <c r="S2493" s="100"/>
      <c r="T2493" s="100"/>
      <c r="U2493" s="100"/>
      <c r="V2493" s="100"/>
      <c r="W2493" s="100"/>
      <c r="X2493" s="100"/>
      <c r="Y2493" s="100"/>
      <c r="Z2493" s="100"/>
    </row>
    <row r="2494" spans="1:26">
      <c r="A2494" s="100"/>
      <c r="B2494" s="100"/>
      <c r="C2494" s="100"/>
      <c r="D2494" s="100"/>
      <c r="E2494" s="100"/>
      <c r="F2494" s="100"/>
      <c r="G2494" s="100"/>
      <c r="H2494" s="100"/>
      <c r="I2494" s="100"/>
      <c r="J2494" s="100"/>
      <c r="K2494" s="100"/>
      <c r="L2494" s="100"/>
      <c r="M2494" s="100"/>
      <c r="N2494" s="100"/>
      <c r="O2494" s="100"/>
      <c r="P2494" s="100"/>
      <c r="Q2494" s="100"/>
      <c r="R2494" s="100"/>
      <c r="S2494" s="100"/>
      <c r="T2494" s="100"/>
      <c r="U2494" s="100"/>
      <c r="V2494" s="100"/>
      <c r="W2494" s="100"/>
      <c r="X2494" s="100"/>
      <c r="Y2494" s="100"/>
      <c r="Z2494" s="100"/>
    </row>
    <row r="2495" spans="1:26">
      <c r="A2495" s="100"/>
      <c r="B2495" s="100"/>
      <c r="C2495" s="100"/>
      <c r="D2495" s="100"/>
      <c r="E2495" s="100"/>
      <c r="F2495" s="100"/>
      <c r="G2495" s="100"/>
      <c r="H2495" s="100"/>
      <c r="I2495" s="100"/>
      <c r="J2495" s="100"/>
      <c r="K2495" s="100"/>
      <c r="L2495" s="100"/>
      <c r="M2495" s="100"/>
      <c r="N2495" s="100"/>
      <c r="O2495" s="100"/>
      <c r="P2495" s="100"/>
      <c r="Q2495" s="100"/>
      <c r="R2495" s="100"/>
      <c r="S2495" s="100"/>
      <c r="T2495" s="100"/>
      <c r="U2495" s="100"/>
      <c r="V2495" s="100"/>
      <c r="W2495" s="100"/>
      <c r="X2495" s="100"/>
      <c r="Y2495" s="100"/>
      <c r="Z2495" s="100"/>
    </row>
    <row r="2496" spans="1:26">
      <c r="A2496" s="100"/>
      <c r="B2496" s="100"/>
      <c r="C2496" s="100"/>
      <c r="D2496" s="100"/>
      <c r="E2496" s="100"/>
      <c r="F2496" s="100"/>
      <c r="G2496" s="100"/>
      <c r="H2496" s="100"/>
      <c r="I2496" s="100"/>
      <c r="J2496" s="100"/>
      <c r="K2496" s="100"/>
      <c r="L2496" s="100"/>
      <c r="M2496" s="100"/>
      <c r="N2496" s="100"/>
      <c r="O2496" s="100"/>
      <c r="P2496" s="100"/>
      <c r="Q2496" s="100"/>
      <c r="R2496" s="100"/>
      <c r="S2496" s="100"/>
      <c r="T2496" s="100"/>
      <c r="U2496" s="100"/>
      <c r="V2496" s="100"/>
      <c r="W2496" s="100"/>
      <c r="X2496" s="100"/>
      <c r="Y2496" s="100"/>
      <c r="Z2496" s="100"/>
    </row>
    <row r="2497" spans="1:26">
      <c r="A2497" s="100"/>
      <c r="B2497" s="100"/>
      <c r="C2497" s="100"/>
      <c r="D2497" s="100"/>
      <c r="E2497" s="100"/>
      <c r="F2497" s="100"/>
      <c r="G2497" s="100"/>
      <c r="H2497" s="100"/>
      <c r="I2497" s="100"/>
      <c r="J2497" s="100"/>
      <c r="K2497" s="100"/>
      <c r="L2497" s="100"/>
      <c r="M2497" s="100"/>
      <c r="N2497" s="100"/>
      <c r="O2497" s="100"/>
      <c r="P2497" s="100"/>
      <c r="Q2497" s="100"/>
      <c r="R2497" s="100"/>
      <c r="S2497" s="100"/>
      <c r="T2497" s="100"/>
      <c r="U2497" s="100"/>
      <c r="V2497" s="100"/>
      <c r="W2497" s="100"/>
      <c r="X2497" s="100"/>
      <c r="Y2497" s="100"/>
      <c r="Z2497" s="100"/>
    </row>
    <row r="2498" spans="1:26">
      <c r="A2498" s="100"/>
      <c r="B2498" s="100"/>
      <c r="C2498" s="100"/>
      <c r="D2498" s="100"/>
      <c r="E2498" s="100"/>
      <c r="F2498" s="100"/>
      <c r="G2498" s="100"/>
      <c r="H2498" s="100"/>
      <c r="I2498" s="100"/>
      <c r="J2498" s="100"/>
      <c r="K2498" s="100"/>
      <c r="L2498" s="100"/>
      <c r="M2498" s="100"/>
      <c r="N2498" s="100"/>
      <c r="O2498" s="100"/>
      <c r="P2498" s="100"/>
      <c r="Q2498" s="100"/>
      <c r="R2498" s="100"/>
      <c r="S2498" s="100"/>
      <c r="T2498" s="100"/>
      <c r="U2498" s="100"/>
      <c r="V2498" s="100"/>
      <c r="W2498" s="100"/>
      <c r="X2498" s="100"/>
      <c r="Y2498" s="100"/>
      <c r="Z2498" s="100"/>
    </row>
    <row r="2499" spans="1:26">
      <c r="A2499" s="100"/>
      <c r="B2499" s="100"/>
      <c r="C2499" s="100"/>
      <c r="D2499" s="100"/>
      <c r="E2499" s="100"/>
      <c r="F2499" s="100"/>
      <c r="G2499" s="100"/>
      <c r="H2499" s="100"/>
      <c r="I2499" s="100"/>
      <c r="J2499" s="100"/>
      <c r="K2499" s="100"/>
      <c r="L2499" s="100"/>
      <c r="M2499" s="100"/>
      <c r="N2499" s="100"/>
      <c r="O2499" s="100"/>
      <c r="P2499" s="100"/>
      <c r="Q2499" s="100"/>
      <c r="R2499" s="100"/>
      <c r="S2499" s="100"/>
      <c r="T2499" s="100"/>
      <c r="U2499" s="100"/>
      <c r="V2499" s="100"/>
      <c r="W2499" s="100"/>
      <c r="X2499" s="100"/>
      <c r="Y2499" s="100"/>
      <c r="Z2499" s="100"/>
    </row>
    <row r="2500" spans="1:26">
      <c r="A2500" s="100"/>
      <c r="B2500" s="100"/>
      <c r="C2500" s="100"/>
      <c r="D2500" s="100"/>
      <c r="E2500" s="100"/>
      <c r="F2500" s="100"/>
      <c r="G2500" s="100"/>
      <c r="H2500" s="100"/>
      <c r="I2500" s="100"/>
      <c r="J2500" s="100"/>
      <c r="K2500" s="100"/>
      <c r="L2500" s="100"/>
      <c r="M2500" s="100"/>
      <c r="N2500" s="100"/>
      <c r="O2500" s="100"/>
      <c r="P2500" s="100"/>
      <c r="Q2500" s="100"/>
      <c r="R2500" s="100"/>
      <c r="S2500" s="100"/>
      <c r="T2500" s="100"/>
      <c r="U2500" s="100"/>
      <c r="V2500" s="100"/>
      <c r="W2500" s="100"/>
      <c r="X2500" s="100"/>
      <c r="Y2500" s="100"/>
      <c r="Z2500" s="100"/>
    </row>
    <row r="2501" spans="1:26">
      <c r="A2501" s="100"/>
      <c r="B2501" s="100"/>
      <c r="C2501" s="100"/>
      <c r="D2501" s="100"/>
      <c r="E2501" s="100"/>
      <c r="F2501" s="100"/>
      <c r="G2501" s="100"/>
      <c r="H2501" s="100"/>
      <c r="I2501" s="100"/>
      <c r="J2501" s="100"/>
      <c r="K2501" s="100"/>
      <c r="L2501" s="100"/>
      <c r="M2501" s="100"/>
      <c r="N2501" s="100"/>
      <c r="O2501" s="100"/>
      <c r="P2501" s="100"/>
      <c r="Q2501" s="100"/>
      <c r="R2501" s="100"/>
      <c r="S2501" s="100"/>
      <c r="T2501" s="100"/>
      <c r="U2501" s="100"/>
      <c r="V2501" s="100"/>
      <c r="W2501" s="100"/>
      <c r="X2501" s="100"/>
      <c r="Y2501" s="100"/>
      <c r="Z2501" s="100"/>
    </row>
    <row r="2502" spans="1:26">
      <c r="A2502" s="100"/>
      <c r="B2502" s="100"/>
      <c r="C2502" s="100"/>
      <c r="D2502" s="100"/>
      <c r="E2502" s="100"/>
      <c r="F2502" s="100"/>
      <c r="G2502" s="100"/>
      <c r="H2502" s="100"/>
      <c r="I2502" s="100"/>
      <c r="J2502" s="100"/>
      <c r="K2502" s="100"/>
      <c r="L2502" s="100"/>
      <c r="M2502" s="100"/>
      <c r="N2502" s="100"/>
      <c r="O2502" s="100"/>
      <c r="P2502" s="100"/>
      <c r="Q2502" s="100"/>
      <c r="R2502" s="100"/>
      <c r="S2502" s="100"/>
      <c r="T2502" s="100"/>
      <c r="U2502" s="100"/>
      <c r="V2502" s="100"/>
      <c r="W2502" s="100"/>
      <c r="X2502" s="100"/>
      <c r="Y2502" s="100"/>
      <c r="Z2502" s="100"/>
    </row>
    <row r="2503" spans="1:26">
      <c r="A2503" s="100"/>
      <c r="B2503" s="100"/>
      <c r="C2503" s="100"/>
      <c r="D2503" s="100"/>
      <c r="E2503" s="100"/>
      <c r="F2503" s="100"/>
      <c r="G2503" s="100"/>
      <c r="H2503" s="100"/>
      <c r="I2503" s="100"/>
      <c r="J2503" s="100"/>
      <c r="K2503" s="100"/>
      <c r="L2503" s="100"/>
      <c r="M2503" s="100"/>
      <c r="N2503" s="100"/>
      <c r="O2503" s="100"/>
      <c r="P2503" s="100"/>
      <c r="Q2503" s="100"/>
      <c r="R2503" s="100"/>
      <c r="S2503" s="100"/>
      <c r="T2503" s="100"/>
      <c r="U2503" s="100"/>
      <c r="V2503" s="100"/>
      <c r="W2503" s="100"/>
      <c r="X2503" s="100"/>
      <c r="Y2503" s="100"/>
      <c r="Z2503" s="100"/>
    </row>
    <row r="2504" spans="1:26">
      <c r="A2504" s="100"/>
      <c r="B2504" s="100"/>
      <c r="C2504" s="100"/>
      <c r="D2504" s="100"/>
      <c r="E2504" s="100"/>
      <c r="F2504" s="100"/>
      <c r="G2504" s="100"/>
      <c r="H2504" s="100"/>
      <c r="I2504" s="100"/>
      <c r="J2504" s="100"/>
      <c r="K2504" s="100"/>
      <c r="L2504" s="100"/>
      <c r="M2504" s="100"/>
      <c r="N2504" s="100"/>
      <c r="O2504" s="100"/>
      <c r="P2504" s="100"/>
      <c r="Q2504" s="100"/>
      <c r="R2504" s="100"/>
      <c r="S2504" s="100"/>
      <c r="T2504" s="100"/>
      <c r="U2504" s="100"/>
      <c r="V2504" s="100"/>
      <c r="W2504" s="100"/>
      <c r="X2504" s="100"/>
      <c r="Y2504" s="100"/>
      <c r="Z2504" s="100"/>
    </row>
    <row r="2505" spans="1:26">
      <c r="A2505" s="100"/>
      <c r="B2505" s="100"/>
      <c r="C2505" s="100"/>
      <c r="D2505" s="100"/>
      <c r="E2505" s="100"/>
      <c r="F2505" s="100"/>
      <c r="G2505" s="100"/>
      <c r="H2505" s="100"/>
      <c r="I2505" s="100"/>
      <c r="J2505" s="100"/>
      <c r="K2505" s="100"/>
      <c r="L2505" s="100"/>
      <c r="M2505" s="100"/>
      <c r="N2505" s="100"/>
      <c r="O2505" s="100"/>
      <c r="P2505" s="100"/>
      <c r="Q2505" s="100"/>
      <c r="R2505" s="100"/>
      <c r="S2505" s="100"/>
      <c r="T2505" s="100"/>
      <c r="U2505" s="100"/>
      <c r="V2505" s="100"/>
      <c r="W2505" s="100"/>
      <c r="X2505" s="100"/>
      <c r="Y2505" s="100"/>
      <c r="Z2505" s="100"/>
    </row>
    <row r="2506" spans="1:26">
      <c r="A2506" s="100"/>
      <c r="B2506" s="100"/>
      <c r="C2506" s="100"/>
      <c r="D2506" s="100"/>
      <c r="E2506" s="100"/>
      <c r="F2506" s="100"/>
      <c r="G2506" s="100"/>
      <c r="H2506" s="100"/>
      <c r="I2506" s="100"/>
      <c r="J2506" s="100"/>
      <c r="K2506" s="100"/>
      <c r="L2506" s="100"/>
      <c r="M2506" s="100"/>
      <c r="N2506" s="100"/>
      <c r="O2506" s="100"/>
      <c r="P2506" s="100"/>
      <c r="Q2506" s="100"/>
      <c r="R2506" s="100"/>
      <c r="S2506" s="100"/>
      <c r="T2506" s="100"/>
      <c r="U2506" s="100"/>
      <c r="V2506" s="100"/>
      <c r="W2506" s="100"/>
      <c r="X2506" s="100"/>
      <c r="Y2506" s="100"/>
      <c r="Z2506" s="100"/>
    </row>
    <row r="2507" spans="1:26">
      <c r="A2507" s="100"/>
      <c r="B2507" s="100"/>
      <c r="C2507" s="100"/>
      <c r="D2507" s="100"/>
      <c r="E2507" s="100"/>
      <c r="F2507" s="100"/>
      <c r="G2507" s="100"/>
      <c r="H2507" s="100"/>
      <c r="I2507" s="100"/>
      <c r="J2507" s="100"/>
      <c r="K2507" s="100"/>
      <c r="L2507" s="100"/>
      <c r="M2507" s="100"/>
      <c r="N2507" s="100"/>
      <c r="O2507" s="100"/>
      <c r="P2507" s="100"/>
      <c r="Q2507" s="100"/>
      <c r="R2507" s="100"/>
      <c r="S2507" s="100"/>
      <c r="T2507" s="100"/>
      <c r="U2507" s="100"/>
      <c r="V2507" s="100"/>
      <c r="W2507" s="100"/>
      <c r="X2507" s="100"/>
      <c r="Y2507" s="100"/>
      <c r="Z2507" s="100"/>
    </row>
    <row r="2508" spans="1:26">
      <c r="A2508" s="100"/>
      <c r="B2508" s="100"/>
      <c r="C2508" s="100"/>
      <c r="D2508" s="100"/>
      <c r="E2508" s="100"/>
      <c r="F2508" s="100"/>
      <c r="G2508" s="100"/>
      <c r="H2508" s="100"/>
      <c r="I2508" s="100"/>
      <c r="J2508" s="100"/>
      <c r="K2508" s="100"/>
      <c r="L2508" s="100"/>
      <c r="M2508" s="100"/>
      <c r="N2508" s="100"/>
      <c r="O2508" s="100"/>
      <c r="P2508" s="100"/>
      <c r="Q2508" s="100"/>
      <c r="R2508" s="100"/>
      <c r="S2508" s="100"/>
      <c r="T2508" s="100"/>
      <c r="U2508" s="100"/>
      <c r="V2508" s="100"/>
      <c r="W2508" s="100"/>
      <c r="X2508" s="100"/>
      <c r="Y2508" s="100"/>
      <c r="Z2508" s="100"/>
    </row>
    <row r="2509" spans="1:26">
      <c r="A2509" s="100"/>
      <c r="B2509" s="100"/>
      <c r="C2509" s="100"/>
      <c r="D2509" s="100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</row>
    <row r="2510" spans="1:26">
      <c r="A2510" s="100"/>
      <c r="B2510" s="100"/>
      <c r="C2510" s="100"/>
      <c r="D2510" s="100"/>
      <c r="E2510" s="100"/>
      <c r="F2510" s="100"/>
      <c r="G2510" s="100"/>
      <c r="H2510" s="100"/>
      <c r="I2510" s="100"/>
      <c r="J2510" s="100"/>
      <c r="K2510" s="100"/>
      <c r="L2510" s="100"/>
      <c r="M2510" s="100"/>
      <c r="N2510" s="100"/>
      <c r="O2510" s="100"/>
      <c r="P2510" s="100"/>
      <c r="Q2510" s="100"/>
      <c r="R2510" s="100"/>
      <c r="S2510" s="100"/>
      <c r="T2510" s="100"/>
      <c r="U2510" s="100"/>
      <c r="V2510" s="100"/>
      <c r="W2510" s="100"/>
      <c r="X2510" s="100"/>
      <c r="Y2510" s="100"/>
      <c r="Z2510" s="100"/>
    </row>
    <row r="2511" spans="1:26">
      <c r="A2511" s="100"/>
      <c r="B2511" s="100"/>
      <c r="C2511" s="100"/>
      <c r="D2511" s="100"/>
      <c r="E2511" s="100"/>
      <c r="F2511" s="100"/>
      <c r="G2511" s="100"/>
      <c r="H2511" s="100"/>
      <c r="I2511" s="100"/>
      <c r="J2511" s="100"/>
      <c r="K2511" s="100"/>
      <c r="L2511" s="100"/>
      <c r="M2511" s="100"/>
      <c r="N2511" s="100"/>
      <c r="O2511" s="100"/>
      <c r="P2511" s="100"/>
      <c r="Q2511" s="100"/>
      <c r="R2511" s="100"/>
      <c r="S2511" s="100"/>
      <c r="T2511" s="100"/>
      <c r="U2511" s="100"/>
      <c r="V2511" s="100"/>
      <c r="W2511" s="100"/>
      <c r="X2511" s="100"/>
      <c r="Y2511" s="100"/>
      <c r="Z2511" s="100"/>
    </row>
    <row r="2512" spans="1:26">
      <c r="A2512" s="100"/>
      <c r="B2512" s="100"/>
      <c r="C2512" s="100"/>
      <c r="D2512" s="100"/>
      <c r="E2512" s="100"/>
      <c r="F2512" s="100"/>
      <c r="G2512" s="100"/>
      <c r="H2512" s="100"/>
      <c r="I2512" s="100"/>
      <c r="J2512" s="100"/>
      <c r="K2512" s="100"/>
      <c r="L2512" s="100"/>
      <c r="M2512" s="100"/>
      <c r="N2512" s="100"/>
      <c r="O2512" s="100"/>
      <c r="P2512" s="100"/>
      <c r="Q2512" s="100"/>
      <c r="R2512" s="100"/>
      <c r="S2512" s="100"/>
      <c r="T2512" s="100"/>
      <c r="U2512" s="100"/>
      <c r="V2512" s="100"/>
      <c r="W2512" s="100"/>
      <c r="X2512" s="100"/>
      <c r="Y2512" s="100"/>
      <c r="Z2512" s="100"/>
    </row>
    <row r="2513" spans="1:26">
      <c r="A2513" s="100"/>
      <c r="B2513" s="100"/>
      <c r="C2513" s="100"/>
      <c r="D2513" s="100"/>
      <c r="E2513" s="100"/>
      <c r="F2513" s="100"/>
      <c r="G2513" s="100"/>
      <c r="H2513" s="100"/>
      <c r="I2513" s="100"/>
      <c r="J2513" s="100"/>
      <c r="K2513" s="100"/>
      <c r="L2513" s="100"/>
      <c r="M2513" s="100"/>
      <c r="N2513" s="100"/>
      <c r="O2513" s="100"/>
      <c r="P2513" s="100"/>
      <c r="Q2513" s="100"/>
      <c r="R2513" s="100"/>
      <c r="S2513" s="100"/>
      <c r="T2513" s="100"/>
      <c r="U2513" s="100"/>
      <c r="V2513" s="100"/>
      <c r="W2513" s="100"/>
      <c r="X2513" s="100"/>
      <c r="Y2513" s="100"/>
      <c r="Z2513" s="100"/>
    </row>
    <row r="2514" spans="1:26">
      <c r="A2514" s="100"/>
      <c r="B2514" s="100"/>
      <c r="C2514" s="100"/>
      <c r="D2514" s="100"/>
      <c r="E2514" s="100"/>
      <c r="F2514" s="100"/>
      <c r="G2514" s="100"/>
      <c r="H2514" s="100"/>
      <c r="I2514" s="100"/>
      <c r="J2514" s="100"/>
      <c r="K2514" s="100"/>
      <c r="L2514" s="100"/>
      <c r="M2514" s="100"/>
      <c r="N2514" s="100"/>
      <c r="O2514" s="100"/>
      <c r="P2514" s="100"/>
      <c r="Q2514" s="100"/>
      <c r="R2514" s="100"/>
      <c r="S2514" s="100"/>
      <c r="T2514" s="100"/>
      <c r="U2514" s="100"/>
      <c r="V2514" s="100"/>
      <c r="W2514" s="100"/>
      <c r="X2514" s="100"/>
      <c r="Y2514" s="100"/>
      <c r="Z2514" s="100"/>
    </row>
    <row r="2515" spans="1:26">
      <c r="A2515" s="100"/>
      <c r="B2515" s="100"/>
      <c r="C2515" s="100"/>
      <c r="D2515" s="100"/>
      <c r="E2515" s="100"/>
      <c r="F2515" s="100"/>
      <c r="G2515" s="100"/>
      <c r="H2515" s="100"/>
      <c r="I2515" s="100"/>
      <c r="J2515" s="100"/>
      <c r="K2515" s="100"/>
      <c r="L2515" s="100"/>
      <c r="M2515" s="100"/>
      <c r="N2515" s="100"/>
      <c r="O2515" s="100"/>
      <c r="P2515" s="100"/>
      <c r="Q2515" s="100"/>
      <c r="R2515" s="100"/>
      <c r="S2515" s="100"/>
      <c r="T2515" s="100"/>
      <c r="U2515" s="100"/>
      <c r="V2515" s="100"/>
      <c r="W2515" s="100"/>
      <c r="X2515" s="100"/>
      <c r="Y2515" s="100"/>
      <c r="Z2515" s="100"/>
    </row>
    <row r="2516" spans="1:26">
      <c r="A2516" s="100"/>
      <c r="B2516" s="100"/>
      <c r="C2516" s="100"/>
      <c r="D2516" s="100"/>
      <c r="E2516" s="100"/>
      <c r="F2516" s="100"/>
      <c r="G2516" s="100"/>
      <c r="H2516" s="100"/>
      <c r="I2516" s="100"/>
      <c r="J2516" s="100"/>
      <c r="K2516" s="100"/>
      <c r="L2516" s="100"/>
      <c r="M2516" s="100"/>
      <c r="N2516" s="100"/>
      <c r="O2516" s="100"/>
      <c r="P2516" s="100"/>
      <c r="Q2516" s="100"/>
      <c r="R2516" s="100"/>
      <c r="S2516" s="100"/>
      <c r="T2516" s="100"/>
      <c r="U2516" s="100"/>
      <c r="V2516" s="100"/>
      <c r="W2516" s="100"/>
      <c r="X2516" s="100"/>
      <c r="Y2516" s="100"/>
      <c r="Z2516" s="100"/>
    </row>
    <row r="2517" spans="1:26">
      <c r="A2517" s="100"/>
      <c r="B2517" s="100"/>
      <c r="C2517" s="100"/>
      <c r="D2517" s="100"/>
      <c r="E2517" s="100"/>
      <c r="F2517" s="100"/>
      <c r="G2517" s="100"/>
      <c r="H2517" s="100"/>
      <c r="I2517" s="100"/>
      <c r="J2517" s="100"/>
      <c r="K2517" s="100"/>
      <c r="L2517" s="100"/>
      <c r="M2517" s="100"/>
      <c r="N2517" s="100"/>
      <c r="O2517" s="100"/>
      <c r="P2517" s="100"/>
      <c r="Q2517" s="100"/>
      <c r="R2517" s="100"/>
      <c r="S2517" s="100"/>
      <c r="T2517" s="100"/>
      <c r="U2517" s="100"/>
      <c r="V2517" s="100"/>
      <c r="W2517" s="100"/>
      <c r="X2517" s="100"/>
      <c r="Y2517" s="100"/>
      <c r="Z2517" s="100"/>
    </row>
    <row r="2518" spans="1:26">
      <c r="A2518" s="100"/>
      <c r="B2518" s="100"/>
      <c r="C2518" s="100"/>
      <c r="D2518" s="100"/>
      <c r="E2518" s="100"/>
      <c r="F2518" s="100"/>
      <c r="G2518" s="100"/>
      <c r="H2518" s="100"/>
      <c r="I2518" s="100"/>
      <c r="J2518" s="100"/>
      <c r="K2518" s="100"/>
      <c r="L2518" s="100"/>
      <c r="M2518" s="100"/>
      <c r="N2518" s="100"/>
      <c r="O2518" s="100"/>
      <c r="P2518" s="100"/>
      <c r="Q2518" s="100"/>
      <c r="R2518" s="100"/>
      <c r="S2518" s="100"/>
      <c r="T2518" s="100"/>
      <c r="U2518" s="100"/>
      <c r="V2518" s="100"/>
      <c r="W2518" s="100"/>
      <c r="X2518" s="100"/>
      <c r="Y2518" s="100"/>
      <c r="Z2518" s="100"/>
    </row>
    <row r="2519" spans="1:26">
      <c r="A2519" s="100"/>
      <c r="B2519" s="100"/>
      <c r="C2519" s="100"/>
      <c r="D2519" s="100"/>
      <c r="E2519" s="100"/>
      <c r="F2519" s="100"/>
      <c r="G2519" s="100"/>
      <c r="H2519" s="100"/>
      <c r="I2519" s="100"/>
      <c r="J2519" s="100"/>
      <c r="K2519" s="100"/>
      <c r="L2519" s="100"/>
      <c r="M2519" s="100"/>
      <c r="N2519" s="100"/>
      <c r="O2519" s="100"/>
      <c r="P2519" s="100"/>
      <c r="Q2519" s="100"/>
      <c r="R2519" s="100"/>
      <c r="S2519" s="100"/>
      <c r="T2519" s="100"/>
      <c r="U2519" s="100"/>
      <c r="V2519" s="100"/>
      <c r="W2519" s="100"/>
      <c r="X2519" s="100"/>
      <c r="Y2519" s="100"/>
      <c r="Z2519" s="100"/>
    </row>
    <row r="2520" spans="1:26">
      <c r="A2520" s="100"/>
      <c r="B2520" s="100"/>
      <c r="C2520" s="100"/>
      <c r="D2520" s="100"/>
      <c r="E2520" s="100"/>
      <c r="F2520" s="100"/>
      <c r="G2520" s="100"/>
      <c r="H2520" s="100"/>
      <c r="I2520" s="100"/>
      <c r="J2520" s="100"/>
      <c r="K2520" s="100"/>
      <c r="L2520" s="100"/>
      <c r="M2520" s="100"/>
      <c r="N2520" s="100"/>
      <c r="O2520" s="100"/>
      <c r="P2520" s="100"/>
      <c r="Q2520" s="100"/>
      <c r="R2520" s="100"/>
      <c r="S2520" s="100"/>
      <c r="T2520" s="100"/>
      <c r="U2520" s="100"/>
      <c r="V2520" s="100"/>
      <c r="W2520" s="100"/>
      <c r="X2520" s="100"/>
      <c r="Y2520" s="100"/>
      <c r="Z2520" s="100"/>
    </row>
    <row r="2521" spans="1:26">
      <c r="A2521" s="100"/>
      <c r="B2521" s="100"/>
      <c r="C2521" s="100"/>
      <c r="D2521" s="100"/>
      <c r="E2521" s="100"/>
      <c r="F2521" s="100"/>
      <c r="G2521" s="100"/>
      <c r="H2521" s="100"/>
      <c r="I2521" s="100"/>
      <c r="J2521" s="100"/>
      <c r="K2521" s="100"/>
      <c r="L2521" s="100"/>
      <c r="M2521" s="100"/>
      <c r="N2521" s="100"/>
      <c r="O2521" s="100"/>
      <c r="P2521" s="100"/>
      <c r="Q2521" s="100"/>
      <c r="R2521" s="100"/>
      <c r="S2521" s="100"/>
      <c r="T2521" s="100"/>
      <c r="U2521" s="100"/>
      <c r="V2521" s="100"/>
      <c r="W2521" s="100"/>
      <c r="X2521" s="100"/>
      <c r="Y2521" s="100"/>
      <c r="Z2521" s="100"/>
    </row>
    <row r="2522" spans="1:26">
      <c r="A2522" s="100"/>
      <c r="B2522" s="100"/>
      <c r="C2522" s="100"/>
      <c r="D2522" s="100"/>
      <c r="E2522" s="100"/>
      <c r="F2522" s="100"/>
      <c r="G2522" s="100"/>
      <c r="H2522" s="100"/>
      <c r="I2522" s="100"/>
      <c r="J2522" s="100"/>
      <c r="K2522" s="100"/>
      <c r="L2522" s="100"/>
      <c r="M2522" s="100"/>
      <c r="N2522" s="100"/>
      <c r="O2522" s="100"/>
      <c r="P2522" s="100"/>
      <c r="Q2522" s="100"/>
      <c r="R2522" s="100"/>
      <c r="S2522" s="100"/>
      <c r="T2522" s="100"/>
      <c r="U2522" s="100"/>
      <c r="V2522" s="100"/>
      <c r="W2522" s="100"/>
      <c r="X2522" s="100"/>
      <c r="Y2522" s="100"/>
      <c r="Z2522" s="100"/>
    </row>
    <row r="2523" spans="1:26">
      <c r="A2523" s="100"/>
      <c r="B2523" s="100"/>
      <c r="C2523" s="100"/>
      <c r="D2523" s="100"/>
      <c r="E2523" s="100"/>
      <c r="F2523" s="100"/>
      <c r="G2523" s="100"/>
      <c r="H2523" s="100"/>
      <c r="I2523" s="100"/>
      <c r="J2523" s="100"/>
      <c r="K2523" s="100"/>
      <c r="L2523" s="100"/>
      <c r="M2523" s="100"/>
      <c r="N2523" s="100"/>
      <c r="O2523" s="100"/>
      <c r="P2523" s="100"/>
      <c r="Q2523" s="100"/>
      <c r="R2523" s="100"/>
      <c r="S2523" s="100"/>
      <c r="T2523" s="100"/>
      <c r="U2523" s="100"/>
      <c r="V2523" s="100"/>
      <c r="W2523" s="100"/>
      <c r="X2523" s="100"/>
      <c r="Y2523" s="100"/>
      <c r="Z2523" s="100"/>
    </row>
    <row r="2524" spans="1:26">
      <c r="A2524" s="100"/>
      <c r="B2524" s="100"/>
      <c r="C2524" s="100"/>
      <c r="D2524" s="100"/>
      <c r="E2524" s="100"/>
      <c r="F2524" s="100"/>
      <c r="G2524" s="100"/>
      <c r="H2524" s="100"/>
      <c r="I2524" s="100"/>
      <c r="J2524" s="100"/>
      <c r="K2524" s="100"/>
      <c r="L2524" s="100"/>
      <c r="M2524" s="100"/>
      <c r="N2524" s="100"/>
      <c r="O2524" s="100"/>
      <c r="P2524" s="100"/>
      <c r="Q2524" s="100"/>
      <c r="R2524" s="100"/>
      <c r="S2524" s="100"/>
      <c r="T2524" s="100"/>
      <c r="U2524" s="100"/>
      <c r="V2524" s="100"/>
      <c r="W2524" s="100"/>
      <c r="X2524" s="100"/>
      <c r="Y2524" s="100"/>
      <c r="Z2524" s="100"/>
    </row>
    <row r="2525" spans="1:26">
      <c r="A2525" s="100"/>
      <c r="B2525" s="100"/>
      <c r="C2525" s="100"/>
      <c r="D2525" s="100"/>
      <c r="E2525" s="100"/>
      <c r="F2525" s="100"/>
      <c r="G2525" s="100"/>
      <c r="H2525" s="100"/>
      <c r="I2525" s="100"/>
      <c r="J2525" s="100"/>
      <c r="K2525" s="100"/>
      <c r="L2525" s="100"/>
      <c r="M2525" s="100"/>
      <c r="N2525" s="100"/>
      <c r="O2525" s="100"/>
      <c r="P2525" s="100"/>
      <c r="Q2525" s="100"/>
      <c r="R2525" s="100"/>
      <c r="S2525" s="100"/>
      <c r="T2525" s="100"/>
      <c r="U2525" s="100"/>
      <c r="V2525" s="100"/>
      <c r="W2525" s="100"/>
      <c r="X2525" s="100"/>
      <c r="Y2525" s="100"/>
      <c r="Z2525" s="100"/>
    </row>
    <row r="2526" spans="1:26">
      <c r="A2526" s="100"/>
      <c r="B2526" s="100"/>
      <c r="C2526" s="100"/>
      <c r="D2526" s="100"/>
      <c r="E2526" s="100"/>
      <c r="F2526" s="100"/>
      <c r="G2526" s="100"/>
      <c r="H2526" s="100"/>
      <c r="I2526" s="100"/>
      <c r="J2526" s="100"/>
      <c r="K2526" s="100"/>
      <c r="L2526" s="100"/>
      <c r="M2526" s="100"/>
      <c r="N2526" s="100"/>
      <c r="O2526" s="100"/>
      <c r="P2526" s="100"/>
      <c r="Q2526" s="100"/>
      <c r="R2526" s="100"/>
      <c r="S2526" s="100"/>
      <c r="T2526" s="100"/>
      <c r="U2526" s="100"/>
      <c r="V2526" s="100"/>
      <c r="W2526" s="100"/>
      <c r="X2526" s="100"/>
      <c r="Y2526" s="100"/>
      <c r="Z2526" s="100"/>
    </row>
    <row r="2527" spans="1:26">
      <c r="A2527" s="100"/>
      <c r="B2527" s="100"/>
      <c r="C2527" s="100"/>
      <c r="D2527" s="100"/>
      <c r="E2527" s="100"/>
      <c r="F2527" s="100"/>
      <c r="G2527" s="100"/>
      <c r="H2527" s="100"/>
      <c r="I2527" s="100"/>
      <c r="J2527" s="100"/>
      <c r="K2527" s="100"/>
      <c r="L2527" s="100"/>
      <c r="M2527" s="100"/>
      <c r="N2527" s="100"/>
      <c r="O2527" s="100"/>
      <c r="P2527" s="100"/>
      <c r="Q2527" s="100"/>
      <c r="R2527" s="100"/>
      <c r="S2527" s="100"/>
      <c r="T2527" s="100"/>
      <c r="U2527" s="100"/>
      <c r="V2527" s="100"/>
      <c r="W2527" s="100"/>
      <c r="X2527" s="100"/>
      <c r="Y2527" s="100"/>
      <c r="Z2527" s="100"/>
    </row>
    <row r="2528" spans="1:26">
      <c r="A2528" s="100"/>
      <c r="B2528" s="100"/>
      <c r="C2528" s="100"/>
      <c r="D2528" s="100"/>
      <c r="E2528" s="100"/>
      <c r="F2528" s="100"/>
      <c r="G2528" s="100"/>
      <c r="H2528" s="100"/>
      <c r="I2528" s="100"/>
      <c r="J2528" s="100"/>
      <c r="K2528" s="100"/>
      <c r="L2528" s="100"/>
      <c r="M2528" s="100"/>
      <c r="N2528" s="100"/>
      <c r="O2528" s="100"/>
      <c r="P2528" s="100"/>
      <c r="Q2528" s="100"/>
      <c r="R2528" s="100"/>
      <c r="S2528" s="100"/>
      <c r="T2528" s="100"/>
      <c r="U2528" s="100"/>
      <c r="V2528" s="100"/>
      <c r="W2528" s="100"/>
      <c r="X2528" s="100"/>
      <c r="Y2528" s="100"/>
      <c r="Z2528" s="100"/>
    </row>
    <row r="2529" spans="1:26">
      <c r="A2529" s="100"/>
      <c r="B2529" s="100"/>
      <c r="C2529" s="100"/>
      <c r="D2529" s="100"/>
      <c r="E2529" s="100"/>
      <c r="F2529" s="100"/>
      <c r="G2529" s="100"/>
      <c r="H2529" s="100"/>
      <c r="I2529" s="100"/>
      <c r="J2529" s="100"/>
      <c r="K2529" s="100"/>
      <c r="L2529" s="100"/>
      <c r="M2529" s="100"/>
      <c r="N2529" s="100"/>
      <c r="O2529" s="100"/>
      <c r="P2529" s="100"/>
      <c r="Q2529" s="100"/>
      <c r="R2529" s="100"/>
      <c r="S2529" s="100"/>
      <c r="T2529" s="100"/>
      <c r="U2529" s="100"/>
      <c r="V2529" s="100"/>
      <c r="W2529" s="100"/>
      <c r="X2529" s="100"/>
      <c r="Y2529" s="100"/>
      <c r="Z2529" s="100"/>
    </row>
    <row r="2530" spans="1:26">
      <c r="A2530" s="100"/>
      <c r="B2530" s="100"/>
      <c r="C2530" s="100"/>
      <c r="D2530" s="100"/>
      <c r="E2530" s="100"/>
      <c r="F2530" s="100"/>
      <c r="G2530" s="100"/>
      <c r="H2530" s="100"/>
      <c r="I2530" s="100"/>
      <c r="J2530" s="100"/>
      <c r="K2530" s="100"/>
      <c r="L2530" s="100"/>
      <c r="M2530" s="100"/>
      <c r="N2530" s="100"/>
      <c r="O2530" s="100"/>
      <c r="P2530" s="100"/>
      <c r="Q2530" s="100"/>
      <c r="R2530" s="100"/>
      <c r="S2530" s="100"/>
      <c r="T2530" s="100"/>
      <c r="U2530" s="100"/>
      <c r="V2530" s="100"/>
      <c r="W2530" s="100"/>
      <c r="X2530" s="100"/>
      <c r="Y2530" s="100"/>
      <c r="Z2530" s="100"/>
    </row>
    <row r="2531" spans="1:26">
      <c r="A2531" s="100"/>
      <c r="B2531" s="100"/>
      <c r="C2531" s="100"/>
      <c r="D2531" s="100"/>
      <c r="E2531" s="100"/>
      <c r="F2531" s="100"/>
      <c r="G2531" s="100"/>
      <c r="H2531" s="100"/>
      <c r="I2531" s="100"/>
      <c r="J2531" s="100"/>
      <c r="K2531" s="100"/>
      <c r="L2531" s="100"/>
      <c r="M2531" s="100"/>
      <c r="N2531" s="100"/>
      <c r="O2531" s="100"/>
      <c r="P2531" s="100"/>
      <c r="Q2531" s="100"/>
      <c r="R2531" s="100"/>
      <c r="S2531" s="100"/>
      <c r="T2531" s="100"/>
      <c r="U2531" s="100"/>
      <c r="V2531" s="100"/>
      <c r="W2531" s="100"/>
      <c r="X2531" s="100"/>
      <c r="Y2531" s="100"/>
      <c r="Z2531" s="100"/>
    </row>
    <row r="2532" spans="1:26">
      <c r="A2532" s="100"/>
      <c r="B2532" s="100"/>
      <c r="C2532" s="100"/>
      <c r="D2532" s="100"/>
      <c r="E2532" s="100"/>
      <c r="F2532" s="100"/>
      <c r="G2532" s="100"/>
      <c r="H2532" s="100"/>
      <c r="I2532" s="100"/>
      <c r="J2532" s="100"/>
      <c r="K2532" s="100"/>
      <c r="L2532" s="100"/>
      <c r="M2532" s="100"/>
      <c r="N2532" s="100"/>
      <c r="O2532" s="100"/>
      <c r="P2532" s="100"/>
      <c r="Q2532" s="100"/>
      <c r="R2532" s="100"/>
      <c r="S2532" s="100"/>
      <c r="T2532" s="100"/>
      <c r="U2532" s="100"/>
      <c r="V2532" s="100"/>
      <c r="W2532" s="100"/>
      <c r="X2532" s="100"/>
      <c r="Y2532" s="100"/>
      <c r="Z2532" s="100"/>
    </row>
    <row r="2533" spans="1:26">
      <c r="A2533" s="100"/>
      <c r="B2533" s="100"/>
      <c r="C2533" s="100"/>
      <c r="D2533" s="100"/>
      <c r="E2533" s="100"/>
      <c r="F2533" s="100"/>
      <c r="G2533" s="100"/>
      <c r="H2533" s="100"/>
      <c r="I2533" s="100"/>
      <c r="J2533" s="100"/>
      <c r="K2533" s="100"/>
      <c r="L2533" s="100"/>
      <c r="M2533" s="100"/>
      <c r="N2533" s="100"/>
      <c r="O2533" s="100"/>
      <c r="P2533" s="100"/>
      <c r="Q2533" s="100"/>
      <c r="R2533" s="100"/>
      <c r="S2533" s="100"/>
      <c r="T2533" s="100"/>
      <c r="U2533" s="100"/>
      <c r="V2533" s="100"/>
      <c r="W2533" s="100"/>
      <c r="X2533" s="100"/>
      <c r="Y2533" s="100"/>
      <c r="Z2533" s="100"/>
    </row>
    <row r="2534" spans="1:26">
      <c r="A2534" s="100"/>
      <c r="B2534" s="100"/>
      <c r="C2534" s="100"/>
      <c r="D2534" s="100"/>
      <c r="E2534" s="100"/>
      <c r="F2534" s="100"/>
      <c r="G2534" s="100"/>
      <c r="H2534" s="100"/>
      <c r="I2534" s="100"/>
      <c r="J2534" s="100"/>
      <c r="K2534" s="100"/>
      <c r="L2534" s="100"/>
      <c r="M2534" s="100"/>
      <c r="N2534" s="100"/>
      <c r="O2534" s="100"/>
      <c r="P2534" s="100"/>
      <c r="Q2534" s="100"/>
      <c r="R2534" s="100"/>
      <c r="S2534" s="100"/>
      <c r="T2534" s="100"/>
      <c r="U2534" s="100"/>
      <c r="V2534" s="100"/>
      <c r="W2534" s="100"/>
      <c r="X2534" s="100"/>
      <c r="Y2534" s="100"/>
      <c r="Z2534" s="100"/>
    </row>
    <row r="2535" spans="1:26">
      <c r="A2535" s="100"/>
      <c r="B2535" s="100"/>
      <c r="C2535" s="100"/>
      <c r="D2535" s="100"/>
      <c r="E2535" s="100"/>
      <c r="F2535" s="100"/>
      <c r="G2535" s="100"/>
      <c r="H2535" s="100"/>
      <c r="I2535" s="100"/>
      <c r="J2535" s="100"/>
      <c r="K2535" s="100"/>
      <c r="L2535" s="100"/>
      <c r="M2535" s="100"/>
      <c r="N2535" s="100"/>
      <c r="O2535" s="100"/>
      <c r="P2535" s="100"/>
      <c r="Q2535" s="100"/>
      <c r="R2535" s="100"/>
      <c r="S2535" s="100"/>
      <c r="T2535" s="100"/>
      <c r="U2535" s="100"/>
      <c r="V2535" s="100"/>
      <c r="W2535" s="100"/>
      <c r="X2535" s="100"/>
      <c r="Y2535" s="100"/>
      <c r="Z2535" s="100"/>
    </row>
    <row r="2536" spans="1:26">
      <c r="A2536" s="100"/>
      <c r="B2536" s="100"/>
      <c r="C2536" s="100"/>
      <c r="D2536" s="100"/>
      <c r="E2536" s="100"/>
      <c r="F2536" s="100"/>
      <c r="G2536" s="100"/>
      <c r="H2536" s="100"/>
      <c r="I2536" s="100"/>
      <c r="J2536" s="100"/>
      <c r="K2536" s="100"/>
      <c r="L2536" s="100"/>
      <c r="M2536" s="100"/>
      <c r="N2536" s="100"/>
      <c r="O2536" s="100"/>
      <c r="P2536" s="100"/>
      <c r="Q2536" s="100"/>
      <c r="R2536" s="100"/>
      <c r="S2536" s="100"/>
      <c r="T2536" s="100"/>
      <c r="U2536" s="100"/>
      <c r="V2536" s="100"/>
      <c r="W2536" s="100"/>
      <c r="X2536" s="100"/>
      <c r="Y2536" s="100"/>
      <c r="Z2536" s="100"/>
    </row>
    <row r="2537" spans="1:26">
      <c r="A2537" s="100"/>
      <c r="B2537" s="100"/>
      <c r="C2537" s="100"/>
      <c r="D2537" s="100"/>
      <c r="E2537" s="100"/>
      <c r="F2537" s="100"/>
      <c r="G2537" s="100"/>
      <c r="H2537" s="100"/>
      <c r="I2537" s="100"/>
      <c r="J2537" s="100"/>
      <c r="K2537" s="100"/>
      <c r="L2537" s="100"/>
      <c r="M2537" s="100"/>
      <c r="N2537" s="100"/>
      <c r="O2537" s="100"/>
      <c r="P2537" s="100"/>
      <c r="Q2537" s="100"/>
      <c r="R2537" s="100"/>
      <c r="S2537" s="100"/>
      <c r="T2537" s="100"/>
      <c r="U2537" s="100"/>
      <c r="V2537" s="100"/>
      <c r="W2537" s="100"/>
      <c r="X2537" s="100"/>
      <c r="Y2537" s="100"/>
      <c r="Z2537" s="100"/>
    </row>
    <row r="2538" spans="1:26">
      <c r="A2538" s="100"/>
      <c r="B2538" s="100"/>
      <c r="C2538" s="100"/>
      <c r="D2538" s="100"/>
      <c r="E2538" s="100"/>
      <c r="F2538" s="100"/>
      <c r="G2538" s="100"/>
      <c r="H2538" s="100"/>
      <c r="I2538" s="100"/>
      <c r="J2538" s="100"/>
      <c r="K2538" s="100"/>
      <c r="L2538" s="100"/>
      <c r="M2538" s="100"/>
      <c r="N2538" s="100"/>
      <c r="O2538" s="100"/>
      <c r="P2538" s="100"/>
      <c r="Q2538" s="100"/>
      <c r="R2538" s="100"/>
      <c r="S2538" s="100"/>
      <c r="T2538" s="100"/>
      <c r="U2538" s="100"/>
      <c r="V2538" s="100"/>
      <c r="W2538" s="100"/>
      <c r="X2538" s="100"/>
      <c r="Y2538" s="100"/>
      <c r="Z2538" s="100"/>
    </row>
    <row r="2539" spans="1:26">
      <c r="A2539" s="100"/>
      <c r="B2539" s="100"/>
      <c r="C2539" s="100"/>
      <c r="D2539" s="100"/>
      <c r="E2539" s="100"/>
      <c r="F2539" s="100"/>
      <c r="G2539" s="100"/>
      <c r="H2539" s="100"/>
      <c r="I2539" s="100"/>
      <c r="J2539" s="100"/>
      <c r="K2539" s="100"/>
      <c r="L2539" s="100"/>
      <c r="M2539" s="100"/>
      <c r="N2539" s="100"/>
      <c r="O2539" s="100"/>
      <c r="P2539" s="100"/>
      <c r="Q2539" s="100"/>
      <c r="R2539" s="100"/>
      <c r="S2539" s="100"/>
      <c r="T2539" s="100"/>
      <c r="U2539" s="100"/>
      <c r="V2539" s="100"/>
      <c r="W2539" s="100"/>
      <c r="X2539" s="100"/>
      <c r="Y2539" s="100"/>
      <c r="Z2539" s="100"/>
    </row>
    <row r="2540" spans="1:26">
      <c r="A2540" s="100"/>
      <c r="B2540" s="100"/>
      <c r="C2540" s="100"/>
      <c r="D2540" s="100"/>
      <c r="E2540" s="100"/>
      <c r="F2540" s="100"/>
      <c r="G2540" s="100"/>
      <c r="H2540" s="100"/>
      <c r="I2540" s="100"/>
      <c r="J2540" s="100"/>
      <c r="K2540" s="100"/>
      <c r="L2540" s="100"/>
      <c r="M2540" s="100"/>
      <c r="N2540" s="100"/>
      <c r="O2540" s="100"/>
      <c r="P2540" s="100"/>
      <c r="Q2540" s="100"/>
      <c r="R2540" s="100"/>
      <c r="S2540" s="100"/>
      <c r="T2540" s="100"/>
      <c r="U2540" s="100"/>
      <c r="V2540" s="100"/>
      <c r="W2540" s="100"/>
      <c r="X2540" s="100"/>
      <c r="Y2540" s="100"/>
      <c r="Z2540" s="100"/>
    </row>
    <row r="2541" spans="1:26">
      <c r="A2541" s="100"/>
      <c r="B2541" s="100"/>
      <c r="C2541" s="100"/>
      <c r="D2541" s="100"/>
      <c r="E2541" s="100"/>
      <c r="F2541" s="100"/>
      <c r="G2541" s="100"/>
      <c r="H2541" s="100"/>
      <c r="I2541" s="100"/>
      <c r="J2541" s="100"/>
      <c r="K2541" s="100"/>
      <c r="L2541" s="100"/>
      <c r="M2541" s="100"/>
      <c r="N2541" s="100"/>
      <c r="O2541" s="100"/>
      <c r="P2541" s="100"/>
      <c r="Q2541" s="100"/>
      <c r="R2541" s="100"/>
      <c r="S2541" s="100"/>
      <c r="T2541" s="100"/>
      <c r="U2541" s="100"/>
      <c r="V2541" s="100"/>
      <c r="W2541" s="100"/>
      <c r="X2541" s="100"/>
      <c r="Y2541" s="100"/>
      <c r="Z2541" s="100"/>
    </row>
    <row r="2542" spans="1:26">
      <c r="A2542" s="100"/>
      <c r="B2542" s="100"/>
      <c r="C2542" s="100"/>
      <c r="D2542" s="100"/>
      <c r="E2542" s="100"/>
      <c r="F2542" s="100"/>
      <c r="G2542" s="100"/>
      <c r="H2542" s="100"/>
      <c r="I2542" s="100"/>
      <c r="J2542" s="100"/>
      <c r="K2542" s="100"/>
      <c r="L2542" s="100"/>
      <c r="M2542" s="100"/>
      <c r="N2542" s="100"/>
      <c r="O2542" s="100"/>
      <c r="P2542" s="100"/>
      <c r="Q2542" s="100"/>
      <c r="R2542" s="100"/>
      <c r="S2542" s="100"/>
      <c r="T2542" s="100"/>
      <c r="U2542" s="100"/>
      <c r="V2542" s="100"/>
      <c r="W2542" s="100"/>
      <c r="X2542" s="100"/>
      <c r="Y2542" s="100"/>
      <c r="Z2542" s="100"/>
    </row>
    <row r="2543" spans="1:26">
      <c r="A2543" s="100"/>
      <c r="B2543" s="100"/>
      <c r="C2543" s="100"/>
      <c r="D2543" s="100"/>
      <c r="E2543" s="100"/>
      <c r="F2543" s="100"/>
      <c r="G2543" s="100"/>
      <c r="H2543" s="100"/>
      <c r="I2543" s="100"/>
      <c r="J2543" s="100"/>
      <c r="K2543" s="100"/>
      <c r="L2543" s="100"/>
      <c r="M2543" s="100"/>
      <c r="N2543" s="100"/>
      <c r="O2543" s="100"/>
      <c r="P2543" s="100"/>
      <c r="Q2543" s="100"/>
      <c r="R2543" s="100"/>
      <c r="S2543" s="100"/>
      <c r="T2543" s="100"/>
      <c r="U2543" s="100"/>
      <c r="V2543" s="100"/>
      <c r="W2543" s="100"/>
      <c r="X2543" s="100"/>
      <c r="Y2543" s="100"/>
      <c r="Z2543" s="100"/>
    </row>
    <row r="2544" spans="1:26">
      <c r="A2544" s="100"/>
      <c r="B2544" s="100"/>
      <c r="C2544" s="100"/>
      <c r="D2544" s="100"/>
      <c r="E2544" s="100"/>
      <c r="F2544" s="100"/>
      <c r="G2544" s="100"/>
      <c r="H2544" s="100"/>
      <c r="I2544" s="100"/>
      <c r="J2544" s="100"/>
      <c r="K2544" s="100"/>
      <c r="L2544" s="100"/>
      <c r="M2544" s="100"/>
      <c r="N2544" s="100"/>
      <c r="O2544" s="100"/>
      <c r="P2544" s="100"/>
      <c r="Q2544" s="100"/>
      <c r="R2544" s="100"/>
      <c r="S2544" s="100"/>
      <c r="T2544" s="100"/>
      <c r="U2544" s="100"/>
      <c r="V2544" s="100"/>
      <c r="W2544" s="100"/>
      <c r="X2544" s="100"/>
      <c r="Y2544" s="100"/>
      <c r="Z2544" s="100"/>
    </row>
    <row r="2545" spans="1:26">
      <c r="A2545" s="100"/>
      <c r="B2545" s="100"/>
      <c r="C2545" s="100"/>
      <c r="D2545" s="100"/>
      <c r="E2545" s="100"/>
      <c r="F2545" s="100"/>
      <c r="G2545" s="100"/>
      <c r="H2545" s="100"/>
      <c r="I2545" s="100"/>
      <c r="J2545" s="100"/>
      <c r="K2545" s="100"/>
      <c r="L2545" s="100"/>
      <c r="M2545" s="100"/>
      <c r="N2545" s="100"/>
      <c r="O2545" s="100"/>
      <c r="P2545" s="100"/>
      <c r="Q2545" s="100"/>
      <c r="R2545" s="100"/>
      <c r="S2545" s="100"/>
      <c r="T2545" s="100"/>
      <c r="U2545" s="100"/>
      <c r="V2545" s="100"/>
      <c r="W2545" s="100"/>
      <c r="X2545" s="100"/>
      <c r="Y2545" s="100"/>
      <c r="Z2545" s="100"/>
    </row>
    <row r="2546" spans="1:26">
      <c r="A2546" s="100"/>
      <c r="B2546" s="100"/>
      <c r="C2546" s="100"/>
      <c r="D2546" s="100"/>
      <c r="E2546" s="100"/>
      <c r="F2546" s="100"/>
      <c r="G2546" s="100"/>
      <c r="H2546" s="100"/>
      <c r="I2546" s="100"/>
      <c r="J2546" s="100"/>
      <c r="K2546" s="100"/>
      <c r="L2546" s="100"/>
      <c r="M2546" s="100"/>
      <c r="N2546" s="100"/>
      <c r="O2546" s="100"/>
      <c r="P2546" s="100"/>
      <c r="Q2546" s="100"/>
      <c r="R2546" s="100"/>
      <c r="S2546" s="100"/>
      <c r="T2546" s="100"/>
      <c r="U2546" s="100"/>
      <c r="V2546" s="100"/>
      <c r="W2546" s="100"/>
      <c r="X2546" s="100"/>
      <c r="Y2546" s="100"/>
      <c r="Z2546" s="100"/>
    </row>
    <row r="2547" spans="1:26">
      <c r="A2547" s="100"/>
      <c r="B2547" s="100"/>
      <c r="C2547" s="100"/>
      <c r="D2547" s="100"/>
      <c r="E2547" s="100"/>
      <c r="F2547" s="100"/>
      <c r="G2547" s="100"/>
      <c r="H2547" s="100"/>
      <c r="I2547" s="100"/>
      <c r="J2547" s="100"/>
      <c r="K2547" s="100"/>
      <c r="L2547" s="100"/>
      <c r="M2547" s="100"/>
      <c r="N2547" s="100"/>
      <c r="O2547" s="100"/>
      <c r="P2547" s="100"/>
      <c r="Q2547" s="100"/>
      <c r="R2547" s="100"/>
      <c r="S2547" s="100"/>
      <c r="T2547" s="100"/>
      <c r="U2547" s="100"/>
      <c r="V2547" s="100"/>
      <c r="W2547" s="100"/>
      <c r="X2547" s="100"/>
      <c r="Y2547" s="100"/>
      <c r="Z2547" s="100"/>
    </row>
    <row r="2548" spans="1:26">
      <c r="A2548" s="100"/>
      <c r="B2548" s="100"/>
      <c r="C2548" s="100"/>
      <c r="D2548" s="100"/>
      <c r="E2548" s="100"/>
      <c r="F2548" s="100"/>
      <c r="G2548" s="100"/>
      <c r="H2548" s="100"/>
      <c r="I2548" s="100"/>
      <c r="J2548" s="100"/>
      <c r="K2548" s="100"/>
      <c r="L2548" s="100"/>
      <c r="M2548" s="100"/>
      <c r="N2548" s="100"/>
      <c r="O2548" s="100"/>
      <c r="P2548" s="100"/>
      <c r="Q2548" s="100"/>
      <c r="R2548" s="100"/>
      <c r="S2548" s="100"/>
      <c r="T2548" s="100"/>
      <c r="U2548" s="100"/>
      <c r="V2548" s="100"/>
      <c r="W2548" s="100"/>
      <c r="X2548" s="100"/>
      <c r="Y2548" s="100"/>
      <c r="Z2548" s="100"/>
    </row>
    <row r="2549" spans="1:26">
      <c r="A2549" s="100"/>
      <c r="B2549" s="100"/>
      <c r="C2549" s="100"/>
      <c r="D2549" s="100"/>
      <c r="E2549" s="100"/>
      <c r="F2549" s="100"/>
      <c r="G2549" s="100"/>
      <c r="H2549" s="100"/>
      <c r="I2549" s="100"/>
      <c r="J2549" s="100"/>
      <c r="K2549" s="100"/>
      <c r="L2549" s="100"/>
      <c r="M2549" s="100"/>
      <c r="N2549" s="100"/>
      <c r="O2549" s="100"/>
      <c r="P2549" s="100"/>
      <c r="Q2549" s="100"/>
      <c r="R2549" s="100"/>
      <c r="S2549" s="100"/>
      <c r="T2549" s="100"/>
      <c r="U2549" s="100"/>
      <c r="V2549" s="100"/>
      <c r="W2549" s="100"/>
      <c r="X2549" s="100"/>
      <c r="Y2549" s="100"/>
      <c r="Z2549" s="100"/>
    </row>
    <row r="2550" spans="1:26">
      <c r="A2550" s="100"/>
      <c r="B2550" s="100"/>
      <c r="C2550" s="100"/>
      <c r="D2550" s="100"/>
      <c r="E2550" s="100"/>
      <c r="F2550" s="100"/>
      <c r="G2550" s="100"/>
      <c r="H2550" s="100"/>
      <c r="I2550" s="100"/>
      <c r="J2550" s="100"/>
      <c r="K2550" s="100"/>
      <c r="L2550" s="100"/>
      <c r="M2550" s="100"/>
      <c r="N2550" s="100"/>
      <c r="O2550" s="100"/>
      <c r="P2550" s="100"/>
      <c r="Q2550" s="100"/>
      <c r="R2550" s="100"/>
      <c r="S2550" s="100"/>
      <c r="T2550" s="100"/>
      <c r="U2550" s="100"/>
      <c r="V2550" s="100"/>
      <c r="W2550" s="100"/>
      <c r="X2550" s="100"/>
      <c r="Y2550" s="100"/>
      <c r="Z2550" s="100"/>
    </row>
    <row r="2551" spans="1:26">
      <c r="A2551" s="100"/>
      <c r="B2551" s="100"/>
      <c r="C2551" s="100"/>
      <c r="D2551" s="100"/>
      <c r="E2551" s="100"/>
      <c r="F2551" s="100"/>
      <c r="G2551" s="100"/>
      <c r="H2551" s="100"/>
      <c r="I2551" s="100"/>
      <c r="J2551" s="100"/>
      <c r="K2551" s="100"/>
      <c r="L2551" s="100"/>
      <c r="M2551" s="100"/>
      <c r="N2551" s="100"/>
      <c r="O2551" s="100"/>
      <c r="P2551" s="100"/>
      <c r="Q2551" s="100"/>
      <c r="R2551" s="100"/>
      <c r="S2551" s="100"/>
      <c r="T2551" s="100"/>
      <c r="U2551" s="100"/>
      <c r="V2551" s="100"/>
      <c r="W2551" s="100"/>
      <c r="X2551" s="100"/>
      <c r="Y2551" s="100"/>
      <c r="Z2551" s="100"/>
    </row>
    <row r="2552" spans="1:26">
      <c r="A2552" s="100"/>
      <c r="B2552" s="100"/>
      <c r="C2552" s="100"/>
      <c r="D2552" s="100"/>
      <c r="E2552" s="100"/>
      <c r="F2552" s="100"/>
      <c r="G2552" s="100"/>
      <c r="H2552" s="100"/>
      <c r="I2552" s="100"/>
      <c r="J2552" s="100"/>
      <c r="K2552" s="100"/>
      <c r="L2552" s="100"/>
      <c r="M2552" s="100"/>
      <c r="N2552" s="100"/>
      <c r="O2552" s="100"/>
      <c r="P2552" s="100"/>
      <c r="Q2552" s="100"/>
      <c r="R2552" s="100"/>
      <c r="S2552" s="100"/>
      <c r="T2552" s="100"/>
      <c r="U2552" s="100"/>
      <c r="V2552" s="100"/>
      <c r="W2552" s="100"/>
      <c r="X2552" s="100"/>
      <c r="Y2552" s="100"/>
      <c r="Z2552" s="100"/>
    </row>
    <row r="2553" spans="1:26">
      <c r="A2553" s="100"/>
      <c r="B2553" s="100"/>
      <c r="C2553" s="100"/>
      <c r="D2553" s="100"/>
      <c r="E2553" s="100"/>
      <c r="F2553" s="100"/>
      <c r="G2553" s="100"/>
      <c r="H2553" s="100"/>
      <c r="I2553" s="100"/>
      <c r="J2553" s="100"/>
      <c r="K2553" s="100"/>
      <c r="L2553" s="100"/>
      <c r="M2553" s="100"/>
      <c r="N2553" s="100"/>
      <c r="O2553" s="100"/>
      <c r="P2553" s="100"/>
      <c r="Q2553" s="100"/>
      <c r="R2553" s="100"/>
      <c r="S2553" s="100"/>
      <c r="T2553" s="100"/>
      <c r="U2553" s="100"/>
      <c r="V2553" s="100"/>
      <c r="W2553" s="100"/>
      <c r="X2553" s="100"/>
      <c r="Y2553" s="100"/>
      <c r="Z2553" s="100"/>
    </row>
    <row r="2554" spans="1:26">
      <c r="A2554" s="100"/>
      <c r="B2554" s="100"/>
      <c r="C2554" s="100"/>
      <c r="D2554" s="100"/>
      <c r="E2554" s="100"/>
      <c r="F2554" s="100"/>
      <c r="G2554" s="100"/>
      <c r="H2554" s="100"/>
      <c r="I2554" s="100"/>
      <c r="J2554" s="100"/>
      <c r="K2554" s="100"/>
      <c r="L2554" s="100"/>
      <c r="M2554" s="100"/>
      <c r="N2554" s="100"/>
      <c r="O2554" s="100"/>
      <c r="P2554" s="100"/>
      <c r="Q2554" s="100"/>
      <c r="R2554" s="100"/>
      <c r="S2554" s="100"/>
      <c r="T2554" s="100"/>
      <c r="U2554" s="100"/>
      <c r="V2554" s="100"/>
      <c r="W2554" s="100"/>
      <c r="X2554" s="100"/>
      <c r="Y2554" s="100"/>
      <c r="Z2554" s="100"/>
    </row>
    <row r="2555" spans="1:26">
      <c r="A2555" s="100"/>
      <c r="B2555" s="100"/>
      <c r="C2555" s="100"/>
      <c r="D2555" s="100"/>
      <c r="E2555" s="100"/>
      <c r="F2555" s="100"/>
      <c r="G2555" s="100"/>
      <c r="H2555" s="100"/>
      <c r="I2555" s="100"/>
      <c r="J2555" s="100"/>
      <c r="K2555" s="100"/>
      <c r="L2555" s="100"/>
      <c r="M2555" s="100"/>
      <c r="N2555" s="100"/>
      <c r="O2555" s="100"/>
      <c r="P2555" s="100"/>
      <c r="Q2555" s="100"/>
      <c r="R2555" s="100"/>
      <c r="S2555" s="100"/>
      <c r="T2555" s="100"/>
      <c r="U2555" s="100"/>
      <c r="V2555" s="100"/>
      <c r="W2555" s="100"/>
      <c r="X2555" s="100"/>
      <c r="Y2555" s="100"/>
      <c r="Z2555" s="100"/>
    </row>
    <row r="2556" spans="1:26">
      <c r="A2556" s="100"/>
      <c r="B2556" s="100"/>
      <c r="C2556" s="100"/>
      <c r="D2556" s="100"/>
      <c r="E2556" s="100"/>
      <c r="F2556" s="100"/>
      <c r="G2556" s="100"/>
      <c r="H2556" s="100"/>
      <c r="I2556" s="100"/>
      <c r="J2556" s="100"/>
      <c r="K2556" s="100"/>
      <c r="L2556" s="100"/>
      <c r="M2556" s="100"/>
      <c r="N2556" s="100"/>
      <c r="O2556" s="100"/>
      <c r="P2556" s="100"/>
      <c r="Q2556" s="100"/>
      <c r="R2556" s="100"/>
      <c r="S2556" s="100"/>
      <c r="T2556" s="100"/>
      <c r="U2556" s="100"/>
      <c r="V2556" s="100"/>
      <c r="W2556" s="100"/>
      <c r="X2556" s="100"/>
      <c r="Y2556" s="100"/>
      <c r="Z2556" s="100"/>
    </row>
    <row r="2557" spans="1:26">
      <c r="A2557" s="100"/>
      <c r="B2557" s="100"/>
      <c r="C2557" s="100"/>
      <c r="D2557" s="100"/>
      <c r="E2557" s="100"/>
      <c r="F2557" s="100"/>
      <c r="G2557" s="100"/>
      <c r="H2557" s="100"/>
      <c r="I2557" s="100"/>
      <c r="J2557" s="100"/>
      <c r="K2557" s="100"/>
      <c r="L2557" s="100"/>
      <c r="M2557" s="100"/>
      <c r="N2557" s="100"/>
      <c r="O2557" s="100"/>
      <c r="P2557" s="100"/>
      <c r="Q2557" s="100"/>
      <c r="R2557" s="100"/>
      <c r="S2557" s="100"/>
      <c r="T2557" s="100"/>
      <c r="U2557" s="100"/>
      <c r="V2557" s="100"/>
      <c r="W2557" s="100"/>
      <c r="X2557" s="100"/>
      <c r="Y2557" s="100"/>
      <c r="Z2557" s="100"/>
    </row>
    <row r="2558" spans="1:26">
      <c r="A2558" s="100"/>
      <c r="B2558" s="100"/>
      <c r="C2558" s="100"/>
      <c r="D2558" s="100"/>
      <c r="E2558" s="100"/>
      <c r="F2558" s="100"/>
      <c r="G2558" s="100"/>
      <c r="H2558" s="100"/>
      <c r="I2558" s="100"/>
      <c r="J2558" s="100"/>
      <c r="K2558" s="100"/>
      <c r="L2558" s="100"/>
      <c r="M2558" s="100"/>
      <c r="N2558" s="100"/>
      <c r="O2558" s="100"/>
      <c r="P2558" s="100"/>
      <c r="Q2558" s="100"/>
      <c r="R2558" s="100"/>
      <c r="S2558" s="100"/>
      <c r="T2558" s="100"/>
      <c r="U2558" s="100"/>
      <c r="V2558" s="100"/>
      <c r="W2558" s="100"/>
      <c r="X2558" s="100"/>
      <c r="Y2558" s="100"/>
      <c r="Z2558" s="100"/>
    </row>
    <row r="2559" spans="1:26">
      <c r="A2559" s="100"/>
      <c r="B2559" s="100"/>
      <c r="C2559" s="100"/>
      <c r="D2559" s="100"/>
      <c r="E2559" s="100"/>
      <c r="F2559" s="100"/>
      <c r="G2559" s="100"/>
      <c r="H2559" s="100"/>
      <c r="I2559" s="100"/>
      <c r="J2559" s="100"/>
      <c r="K2559" s="100"/>
      <c r="L2559" s="100"/>
      <c r="M2559" s="100"/>
      <c r="N2559" s="100"/>
      <c r="O2559" s="100"/>
      <c r="P2559" s="100"/>
      <c r="Q2559" s="100"/>
      <c r="R2559" s="100"/>
      <c r="S2559" s="100"/>
      <c r="T2559" s="100"/>
      <c r="U2559" s="100"/>
      <c r="V2559" s="100"/>
      <c r="W2559" s="100"/>
      <c r="X2559" s="100"/>
      <c r="Y2559" s="100"/>
      <c r="Z2559" s="100"/>
    </row>
    <row r="2560" spans="1:26">
      <c r="A2560" s="100"/>
      <c r="B2560" s="100"/>
      <c r="C2560" s="100"/>
      <c r="D2560" s="100"/>
      <c r="E2560" s="100"/>
      <c r="F2560" s="100"/>
      <c r="G2560" s="100"/>
      <c r="H2560" s="100"/>
      <c r="I2560" s="100"/>
      <c r="J2560" s="100"/>
      <c r="K2560" s="100"/>
      <c r="L2560" s="100"/>
      <c r="M2560" s="100"/>
      <c r="N2560" s="100"/>
      <c r="O2560" s="100"/>
      <c r="P2560" s="100"/>
      <c r="Q2560" s="100"/>
      <c r="R2560" s="100"/>
      <c r="S2560" s="100"/>
      <c r="T2560" s="100"/>
      <c r="U2560" s="100"/>
      <c r="V2560" s="100"/>
      <c r="W2560" s="100"/>
      <c r="X2560" s="100"/>
      <c r="Y2560" s="100"/>
      <c r="Z2560" s="100"/>
    </row>
    <row r="2561" spans="1:26">
      <c r="A2561" s="100"/>
      <c r="B2561" s="100"/>
      <c r="C2561" s="100"/>
      <c r="D2561" s="100"/>
      <c r="E2561" s="100"/>
      <c r="F2561" s="100"/>
      <c r="G2561" s="100"/>
      <c r="H2561" s="100"/>
      <c r="I2561" s="100"/>
      <c r="J2561" s="100"/>
      <c r="K2561" s="100"/>
      <c r="L2561" s="100"/>
      <c r="M2561" s="100"/>
      <c r="N2561" s="100"/>
      <c r="O2561" s="100"/>
      <c r="P2561" s="100"/>
      <c r="Q2561" s="100"/>
      <c r="R2561" s="100"/>
      <c r="S2561" s="100"/>
      <c r="T2561" s="100"/>
      <c r="U2561" s="100"/>
      <c r="V2561" s="100"/>
      <c r="W2561" s="100"/>
      <c r="X2561" s="100"/>
      <c r="Y2561" s="100"/>
      <c r="Z2561" s="100"/>
    </row>
    <row r="2562" spans="1:26">
      <c r="A2562" s="100"/>
      <c r="B2562" s="100"/>
      <c r="C2562" s="100"/>
      <c r="D2562" s="100"/>
      <c r="E2562" s="100"/>
      <c r="F2562" s="100"/>
      <c r="G2562" s="100"/>
      <c r="H2562" s="100"/>
      <c r="I2562" s="100"/>
      <c r="J2562" s="100"/>
      <c r="K2562" s="100"/>
      <c r="L2562" s="100"/>
      <c r="M2562" s="100"/>
      <c r="N2562" s="100"/>
      <c r="O2562" s="100"/>
      <c r="P2562" s="100"/>
      <c r="Q2562" s="100"/>
      <c r="R2562" s="100"/>
      <c r="S2562" s="100"/>
      <c r="T2562" s="100"/>
      <c r="U2562" s="100"/>
      <c r="V2562" s="100"/>
      <c r="W2562" s="100"/>
      <c r="X2562" s="100"/>
      <c r="Y2562" s="100"/>
      <c r="Z2562" s="100"/>
    </row>
    <row r="2563" spans="1:26">
      <c r="A2563" s="100"/>
      <c r="B2563" s="100"/>
      <c r="C2563" s="100"/>
      <c r="D2563" s="100"/>
      <c r="E2563" s="100"/>
      <c r="F2563" s="100"/>
      <c r="G2563" s="100"/>
      <c r="H2563" s="100"/>
      <c r="I2563" s="100"/>
      <c r="J2563" s="100"/>
      <c r="K2563" s="100"/>
      <c r="L2563" s="100"/>
      <c r="M2563" s="100"/>
      <c r="N2563" s="100"/>
      <c r="O2563" s="100"/>
      <c r="P2563" s="100"/>
      <c r="Q2563" s="100"/>
      <c r="R2563" s="100"/>
      <c r="S2563" s="100"/>
      <c r="T2563" s="100"/>
      <c r="U2563" s="100"/>
      <c r="V2563" s="100"/>
      <c r="W2563" s="100"/>
      <c r="X2563" s="100"/>
      <c r="Y2563" s="100"/>
      <c r="Z2563" s="100"/>
    </row>
    <row r="2564" spans="1:26">
      <c r="A2564" s="100"/>
      <c r="B2564" s="100"/>
      <c r="C2564" s="100"/>
      <c r="D2564" s="100"/>
      <c r="E2564" s="100"/>
      <c r="F2564" s="100"/>
      <c r="G2564" s="100"/>
      <c r="H2564" s="100"/>
      <c r="I2564" s="100"/>
      <c r="J2564" s="100"/>
      <c r="K2564" s="100"/>
      <c r="L2564" s="100"/>
      <c r="M2564" s="100"/>
      <c r="N2564" s="100"/>
      <c r="O2564" s="100"/>
      <c r="P2564" s="100"/>
      <c r="Q2564" s="100"/>
      <c r="R2564" s="100"/>
      <c r="S2564" s="100"/>
      <c r="T2564" s="100"/>
      <c r="U2564" s="100"/>
      <c r="V2564" s="100"/>
      <c r="W2564" s="100"/>
      <c r="X2564" s="100"/>
      <c r="Y2564" s="100"/>
      <c r="Z2564" s="100"/>
    </row>
    <row r="2565" spans="1:26">
      <c r="A2565" s="100"/>
      <c r="B2565" s="100"/>
      <c r="C2565" s="100"/>
      <c r="D2565" s="100"/>
      <c r="E2565" s="100"/>
      <c r="F2565" s="100"/>
      <c r="G2565" s="100"/>
      <c r="H2565" s="100"/>
      <c r="I2565" s="100"/>
      <c r="J2565" s="100"/>
      <c r="K2565" s="100"/>
      <c r="L2565" s="100"/>
      <c r="M2565" s="100"/>
      <c r="N2565" s="100"/>
      <c r="O2565" s="100"/>
      <c r="P2565" s="100"/>
      <c r="Q2565" s="100"/>
      <c r="R2565" s="100"/>
      <c r="S2565" s="100"/>
      <c r="T2565" s="100"/>
      <c r="U2565" s="100"/>
      <c r="V2565" s="100"/>
      <c r="W2565" s="100"/>
      <c r="X2565" s="100"/>
      <c r="Y2565" s="100"/>
      <c r="Z2565" s="100"/>
    </row>
    <row r="2566" spans="1:26">
      <c r="A2566" s="100"/>
      <c r="B2566" s="100"/>
      <c r="C2566" s="100"/>
      <c r="D2566" s="100"/>
      <c r="E2566" s="100"/>
      <c r="F2566" s="100"/>
      <c r="G2566" s="100"/>
      <c r="H2566" s="100"/>
      <c r="I2566" s="100"/>
      <c r="J2566" s="100"/>
      <c r="K2566" s="100"/>
      <c r="L2566" s="100"/>
      <c r="M2566" s="100"/>
      <c r="N2566" s="100"/>
      <c r="O2566" s="100"/>
      <c r="P2566" s="100"/>
      <c r="Q2566" s="100"/>
      <c r="R2566" s="100"/>
      <c r="S2566" s="100"/>
      <c r="T2566" s="100"/>
      <c r="U2566" s="100"/>
      <c r="V2566" s="100"/>
      <c r="W2566" s="100"/>
      <c r="X2566" s="100"/>
      <c r="Y2566" s="100"/>
      <c r="Z2566" s="100"/>
    </row>
    <row r="2567" spans="1:26">
      <c r="A2567" s="100"/>
      <c r="B2567" s="100"/>
      <c r="C2567" s="100"/>
      <c r="D2567" s="100"/>
      <c r="E2567" s="100"/>
      <c r="F2567" s="100"/>
      <c r="G2567" s="100"/>
      <c r="H2567" s="100"/>
      <c r="I2567" s="100"/>
      <c r="J2567" s="100"/>
      <c r="K2567" s="100"/>
      <c r="L2567" s="100"/>
      <c r="M2567" s="100"/>
      <c r="N2567" s="100"/>
      <c r="O2567" s="100"/>
      <c r="P2567" s="100"/>
      <c r="Q2567" s="100"/>
      <c r="R2567" s="100"/>
      <c r="S2567" s="100"/>
      <c r="T2567" s="100"/>
      <c r="U2567" s="100"/>
      <c r="V2567" s="100"/>
      <c r="W2567" s="100"/>
      <c r="X2567" s="100"/>
      <c r="Y2567" s="100"/>
      <c r="Z2567" s="100"/>
    </row>
    <row r="2568" spans="1:26">
      <c r="A2568" s="100"/>
      <c r="B2568" s="100"/>
      <c r="C2568" s="100"/>
      <c r="D2568" s="100"/>
      <c r="E2568" s="100"/>
      <c r="F2568" s="100"/>
      <c r="G2568" s="100"/>
      <c r="H2568" s="100"/>
      <c r="I2568" s="100"/>
      <c r="J2568" s="100"/>
      <c r="K2568" s="100"/>
      <c r="L2568" s="100"/>
      <c r="M2568" s="100"/>
      <c r="N2568" s="100"/>
      <c r="O2568" s="100"/>
      <c r="P2568" s="100"/>
      <c r="Q2568" s="100"/>
      <c r="R2568" s="100"/>
      <c r="S2568" s="100"/>
      <c r="T2568" s="100"/>
      <c r="U2568" s="100"/>
      <c r="V2568" s="100"/>
      <c r="W2568" s="100"/>
      <c r="X2568" s="100"/>
      <c r="Y2568" s="100"/>
      <c r="Z2568" s="100"/>
    </row>
    <row r="2569" spans="1:26">
      <c r="A2569" s="100"/>
      <c r="B2569" s="100"/>
      <c r="C2569" s="100"/>
      <c r="D2569" s="100"/>
      <c r="E2569" s="100"/>
      <c r="F2569" s="100"/>
      <c r="G2569" s="100"/>
      <c r="H2569" s="100"/>
      <c r="I2569" s="100"/>
      <c r="J2569" s="100"/>
      <c r="K2569" s="100"/>
      <c r="L2569" s="100"/>
      <c r="M2569" s="100"/>
      <c r="N2569" s="100"/>
      <c r="O2569" s="100"/>
      <c r="P2569" s="100"/>
      <c r="Q2569" s="100"/>
      <c r="R2569" s="100"/>
      <c r="S2569" s="100"/>
      <c r="T2569" s="100"/>
      <c r="U2569" s="100"/>
      <c r="V2569" s="100"/>
      <c r="W2569" s="100"/>
      <c r="X2569" s="100"/>
      <c r="Y2569" s="100"/>
      <c r="Z2569" s="100"/>
    </row>
    <row r="2570" spans="1:26">
      <c r="A2570" s="100"/>
      <c r="B2570" s="100"/>
      <c r="C2570" s="100"/>
      <c r="D2570" s="100"/>
      <c r="E2570" s="100"/>
      <c r="F2570" s="100"/>
      <c r="G2570" s="100"/>
      <c r="H2570" s="100"/>
      <c r="I2570" s="100"/>
      <c r="J2570" s="100"/>
      <c r="K2570" s="100"/>
      <c r="L2570" s="100"/>
      <c r="M2570" s="100"/>
      <c r="N2570" s="100"/>
      <c r="O2570" s="100"/>
      <c r="P2570" s="100"/>
      <c r="Q2570" s="100"/>
      <c r="R2570" s="100"/>
      <c r="S2570" s="100"/>
      <c r="T2570" s="100"/>
      <c r="U2570" s="100"/>
      <c r="V2570" s="100"/>
      <c r="W2570" s="100"/>
      <c r="X2570" s="100"/>
      <c r="Y2570" s="100"/>
      <c r="Z2570" s="100"/>
    </row>
    <row r="2571" spans="1:26">
      <c r="A2571" s="100"/>
      <c r="B2571" s="100"/>
      <c r="C2571" s="100"/>
      <c r="D2571" s="100"/>
      <c r="E2571" s="100"/>
      <c r="F2571" s="100"/>
      <c r="G2571" s="100"/>
      <c r="H2571" s="100"/>
      <c r="I2571" s="100"/>
      <c r="J2571" s="100"/>
      <c r="K2571" s="100"/>
      <c r="L2571" s="100"/>
      <c r="M2571" s="100"/>
      <c r="N2571" s="100"/>
      <c r="O2571" s="100"/>
      <c r="P2571" s="100"/>
      <c r="Q2571" s="100"/>
      <c r="R2571" s="100"/>
      <c r="S2571" s="100"/>
      <c r="T2571" s="100"/>
      <c r="U2571" s="100"/>
      <c r="V2571" s="100"/>
      <c r="W2571" s="100"/>
      <c r="X2571" s="100"/>
      <c r="Y2571" s="100"/>
      <c r="Z2571" s="100"/>
    </row>
    <row r="2572" spans="1:26">
      <c r="A2572" s="100"/>
      <c r="B2572" s="100"/>
      <c r="C2572" s="100"/>
      <c r="D2572" s="100"/>
      <c r="E2572" s="100"/>
      <c r="F2572" s="100"/>
      <c r="G2572" s="100"/>
      <c r="H2572" s="100"/>
      <c r="I2572" s="100"/>
      <c r="J2572" s="100"/>
      <c r="K2572" s="100"/>
      <c r="L2572" s="100"/>
      <c r="M2572" s="100"/>
      <c r="N2572" s="100"/>
      <c r="O2572" s="100"/>
      <c r="P2572" s="100"/>
      <c r="Q2572" s="100"/>
      <c r="R2572" s="100"/>
      <c r="S2572" s="100"/>
      <c r="T2572" s="100"/>
      <c r="U2572" s="100"/>
      <c r="V2572" s="100"/>
      <c r="W2572" s="100"/>
      <c r="X2572" s="100"/>
      <c r="Y2572" s="100"/>
      <c r="Z2572" s="100"/>
    </row>
    <row r="2573" spans="1:26">
      <c r="A2573" s="100"/>
      <c r="B2573" s="100"/>
      <c r="C2573" s="100"/>
      <c r="D2573" s="100"/>
      <c r="E2573" s="100"/>
      <c r="F2573" s="100"/>
      <c r="G2573" s="100"/>
      <c r="H2573" s="100"/>
      <c r="I2573" s="100"/>
      <c r="J2573" s="100"/>
      <c r="K2573" s="100"/>
      <c r="L2573" s="100"/>
      <c r="M2573" s="100"/>
      <c r="N2573" s="100"/>
      <c r="O2573" s="100"/>
      <c r="P2573" s="100"/>
      <c r="Q2573" s="100"/>
      <c r="R2573" s="100"/>
      <c r="S2573" s="100"/>
      <c r="T2573" s="100"/>
      <c r="U2573" s="100"/>
      <c r="V2573" s="100"/>
      <c r="W2573" s="100"/>
      <c r="X2573" s="100"/>
      <c r="Y2573" s="100"/>
      <c r="Z2573" s="100"/>
    </row>
    <row r="2574" spans="1:26">
      <c r="A2574" s="100"/>
      <c r="B2574" s="100"/>
      <c r="C2574" s="100"/>
      <c r="D2574" s="100"/>
      <c r="E2574" s="100"/>
      <c r="F2574" s="100"/>
      <c r="G2574" s="100"/>
      <c r="H2574" s="100"/>
      <c r="I2574" s="100"/>
      <c r="J2574" s="100"/>
      <c r="K2574" s="100"/>
      <c r="L2574" s="100"/>
      <c r="M2574" s="100"/>
      <c r="N2574" s="100"/>
      <c r="O2574" s="100"/>
      <c r="P2574" s="100"/>
      <c r="Q2574" s="100"/>
      <c r="R2574" s="100"/>
      <c r="S2574" s="100"/>
      <c r="T2574" s="100"/>
      <c r="U2574" s="100"/>
      <c r="V2574" s="100"/>
      <c r="W2574" s="100"/>
      <c r="X2574" s="100"/>
      <c r="Y2574" s="100"/>
      <c r="Z2574" s="100"/>
    </row>
    <row r="2575" spans="1:26">
      <c r="A2575" s="100"/>
      <c r="B2575" s="100"/>
      <c r="C2575" s="100"/>
      <c r="D2575" s="100"/>
      <c r="E2575" s="100"/>
      <c r="F2575" s="100"/>
      <c r="G2575" s="100"/>
      <c r="H2575" s="100"/>
      <c r="I2575" s="100"/>
      <c r="J2575" s="100"/>
      <c r="K2575" s="100"/>
      <c r="L2575" s="100"/>
      <c r="M2575" s="100"/>
      <c r="N2575" s="100"/>
      <c r="O2575" s="100"/>
      <c r="P2575" s="100"/>
      <c r="Q2575" s="100"/>
      <c r="R2575" s="100"/>
      <c r="S2575" s="100"/>
      <c r="T2575" s="100"/>
      <c r="U2575" s="100"/>
      <c r="V2575" s="100"/>
      <c r="W2575" s="100"/>
      <c r="X2575" s="100"/>
      <c r="Y2575" s="100"/>
      <c r="Z2575" s="100"/>
    </row>
    <row r="2576" spans="1:26">
      <c r="A2576" s="100"/>
      <c r="B2576" s="100"/>
      <c r="C2576" s="100"/>
      <c r="D2576" s="100"/>
      <c r="E2576" s="100"/>
      <c r="F2576" s="100"/>
      <c r="G2576" s="100"/>
      <c r="H2576" s="100"/>
      <c r="I2576" s="100"/>
      <c r="J2576" s="100"/>
      <c r="K2576" s="100"/>
      <c r="L2576" s="100"/>
      <c r="M2576" s="100"/>
      <c r="N2576" s="100"/>
      <c r="O2576" s="100"/>
      <c r="P2576" s="100"/>
      <c r="Q2576" s="100"/>
      <c r="R2576" s="100"/>
      <c r="S2576" s="100"/>
      <c r="T2576" s="100"/>
      <c r="U2576" s="100"/>
      <c r="V2576" s="100"/>
      <c r="W2576" s="100"/>
      <c r="X2576" s="100"/>
      <c r="Y2576" s="100"/>
      <c r="Z2576" s="100"/>
    </row>
    <row r="2577" spans="1:26">
      <c r="A2577" s="100"/>
      <c r="B2577" s="100"/>
      <c r="C2577" s="100"/>
      <c r="D2577" s="100"/>
      <c r="E2577" s="100"/>
      <c r="F2577" s="100"/>
      <c r="G2577" s="100"/>
      <c r="H2577" s="100"/>
      <c r="I2577" s="100"/>
      <c r="J2577" s="100"/>
      <c r="K2577" s="100"/>
      <c r="L2577" s="100"/>
      <c r="M2577" s="100"/>
      <c r="N2577" s="100"/>
      <c r="O2577" s="100"/>
      <c r="P2577" s="100"/>
      <c r="Q2577" s="100"/>
      <c r="R2577" s="100"/>
      <c r="S2577" s="100"/>
      <c r="T2577" s="100"/>
      <c r="U2577" s="100"/>
      <c r="V2577" s="100"/>
      <c r="W2577" s="100"/>
      <c r="X2577" s="100"/>
      <c r="Y2577" s="100"/>
      <c r="Z2577" s="100"/>
    </row>
    <row r="2578" spans="1:26">
      <c r="A2578" s="100"/>
      <c r="B2578" s="100"/>
      <c r="C2578" s="100"/>
      <c r="D2578" s="100"/>
      <c r="E2578" s="100"/>
      <c r="F2578" s="100"/>
      <c r="G2578" s="100"/>
      <c r="H2578" s="100"/>
      <c r="I2578" s="100"/>
      <c r="J2578" s="100"/>
      <c r="K2578" s="100"/>
      <c r="L2578" s="100"/>
      <c r="M2578" s="100"/>
      <c r="N2578" s="100"/>
      <c r="O2578" s="100"/>
      <c r="P2578" s="100"/>
      <c r="Q2578" s="100"/>
      <c r="R2578" s="100"/>
      <c r="S2578" s="100"/>
      <c r="T2578" s="100"/>
      <c r="U2578" s="100"/>
      <c r="V2578" s="100"/>
      <c r="W2578" s="100"/>
      <c r="X2578" s="100"/>
      <c r="Y2578" s="100"/>
      <c r="Z2578" s="100"/>
    </row>
    <row r="2579" spans="1:26">
      <c r="A2579" s="100"/>
      <c r="B2579" s="100"/>
      <c r="C2579" s="100"/>
      <c r="D2579" s="100"/>
      <c r="E2579" s="100"/>
      <c r="F2579" s="100"/>
      <c r="G2579" s="100"/>
      <c r="H2579" s="100"/>
      <c r="I2579" s="100"/>
      <c r="J2579" s="100"/>
      <c r="K2579" s="100"/>
      <c r="L2579" s="100"/>
      <c r="M2579" s="100"/>
      <c r="N2579" s="100"/>
      <c r="O2579" s="100"/>
      <c r="P2579" s="100"/>
      <c r="Q2579" s="100"/>
      <c r="R2579" s="100"/>
      <c r="S2579" s="100"/>
      <c r="T2579" s="100"/>
      <c r="U2579" s="100"/>
      <c r="V2579" s="100"/>
      <c r="W2579" s="100"/>
      <c r="X2579" s="100"/>
      <c r="Y2579" s="100"/>
      <c r="Z2579" s="100"/>
    </row>
    <row r="2580" spans="1:26">
      <c r="A2580" s="100"/>
      <c r="B2580" s="100"/>
      <c r="C2580" s="100"/>
      <c r="D2580" s="100"/>
      <c r="E2580" s="100"/>
      <c r="F2580" s="100"/>
      <c r="G2580" s="100"/>
      <c r="H2580" s="100"/>
      <c r="I2580" s="100"/>
      <c r="J2580" s="100"/>
      <c r="K2580" s="100"/>
      <c r="L2580" s="100"/>
      <c r="M2580" s="100"/>
      <c r="N2580" s="100"/>
      <c r="O2580" s="100"/>
      <c r="P2580" s="100"/>
      <c r="Q2580" s="100"/>
      <c r="R2580" s="100"/>
      <c r="S2580" s="100"/>
      <c r="T2580" s="100"/>
      <c r="U2580" s="100"/>
      <c r="V2580" s="100"/>
      <c r="W2580" s="100"/>
      <c r="X2580" s="100"/>
      <c r="Y2580" s="100"/>
      <c r="Z2580" s="100"/>
    </row>
    <row r="2581" spans="1:26">
      <c r="A2581" s="100"/>
      <c r="B2581" s="100"/>
      <c r="C2581" s="100"/>
      <c r="D2581" s="100"/>
      <c r="E2581" s="100"/>
      <c r="F2581" s="100"/>
      <c r="G2581" s="100"/>
      <c r="H2581" s="100"/>
      <c r="I2581" s="100"/>
      <c r="J2581" s="100"/>
      <c r="K2581" s="100"/>
      <c r="L2581" s="100"/>
      <c r="M2581" s="100"/>
      <c r="N2581" s="100"/>
      <c r="O2581" s="100"/>
      <c r="P2581" s="100"/>
      <c r="Q2581" s="100"/>
      <c r="R2581" s="100"/>
      <c r="S2581" s="100"/>
      <c r="T2581" s="100"/>
      <c r="U2581" s="100"/>
      <c r="V2581" s="100"/>
      <c r="W2581" s="100"/>
      <c r="X2581" s="100"/>
      <c r="Y2581" s="100"/>
      <c r="Z2581" s="100"/>
    </row>
    <row r="2582" spans="1:26">
      <c r="A2582" s="100"/>
      <c r="B2582" s="100"/>
      <c r="C2582" s="100"/>
      <c r="D2582" s="100"/>
      <c r="E2582" s="100"/>
      <c r="F2582" s="100"/>
      <c r="G2582" s="100"/>
      <c r="H2582" s="100"/>
      <c r="I2582" s="100"/>
      <c r="J2582" s="100"/>
      <c r="K2582" s="100"/>
      <c r="L2582" s="100"/>
      <c r="M2582" s="100"/>
      <c r="N2582" s="100"/>
      <c r="O2582" s="100"/>
      <c r="P2582" s="100"/>
      <c r="Q2582" s="100"/>
      <c r="R2582" s="100"/>
      <c r="S2582" s="100"/>
      <c r="T2582" s="100"/>
      <c r="U2582" s="100"/>
      <c r="V2582" s="100"/>
      <c r="W2582" s="100"/>
      <c r="X2582" s="100"/>
      <c r="Y2582" s="100"/>
      <c r="Z2582" s="100"/>
    </row>
    <row r="2583" spans="1:26">
      <c r="A2583" s="100"/>
      <c r="B2583" s="100"/>
      <c r="C2583" s="100"/>
      <c r="D2583" s="100"/>
      <c r="E2583" s="100"/>
      <c r="F2583" s="100"/>
      <c r="G2583" s="100"/>
      <c r="H2583" s="100"/>
      <c r="I2583" s="100"/>
      <c r="J2583" s="100"/>
      <c r="K2583" s="100"/>
      <c r="L2583" s="100"/>
      <c r="M2583" s="100"/>
      <c r="N2583" s="100"/>
      <c r="O2583" s="100"/>
      <c r="P2583" s="100"/>
      <c r="Q2583" s="100"/>
      <c r="R2583" s="100"/>
      <c r="S2583" s="100"/>
      <c r="T2583" s="100"/>
      <c r="U2583" s="100"/>
      <c r="V2583" s="100"/>
      <c r="W2583" s="100"/>
      <c r="X2583" s="100"/>
      <c r="Y2583" s="100"/>
      <c r="Z2583" s="100"/>
    </row>
    <row r="2584" spans="1:26">
      <c r="A2584" s="100"/>
      <c r="B2584" s="100"/>
      <c r="C2584" s="100"/>
      <c r="D2584" s="100"/>
      <c r="E2584" s="100"/>
      <c r="F2584" s="100"/>
      <c r="G2584" s="100"/>
      <c r="H2584" s="100"/>
      <c r="I2584" s="100"/>
      <c r="J2584" s="100"/>
      <c r="K2584" s="100"/>
      <c r="L2584" s="100"/>
      <c r="M2584" s="100"/>
      <c r="N2584" s="100"/>
      <c r="O2584" s="100"/>
      <c r="P2584" s="100"/>
      <c r="Q2584" s="100"/>
      <c r="R2584" s="100"/>
      <c r="S2584" s="100"/>
      <c r="T2584" s="100"/>
      <c r="U2584" s="100"/>
      <c r="V2584" s="100"/>
      <c r="W2584" s="100"/>
      <c r="X2584" s="100"/>
      <c r="Y2584" s="100"/>
      <c r="Z2584" s="100"/>
    </row>
    <row r="2585" spans="1:26">
      <c r="A2585" s="100"/>
      <c r="B2585" s="100"/>
      <c r="C2585" s="100"/>
      <c r="D2585" s="100"/>
      <c r="E2585" s="100"/>
      <c r="F2585" s="100"/>
      <c r="G2585" s="100"/>
      <c r="H2585" s="100"/>
      <c r="I2585" s="100"/>
      <c r="J2585" s="100"/>
      <c r="K2585" s="100"/>
      <c r="L2585" s="100"/>
      <c r="M2585" s="100"/>
      <c r="N2585" s="100"/>
      <c r="O2585" s="100"/>
      <c r="P2585" s="100"/>
      <c r="Q2585" s="100"/>
      <c r="R2585" s="100"/>
      <c r="S2585" s="100"/>
      <c r="T2585" s="100"/>
      <c r="U2585" s="100"/>
      <c r="V2585" s="100"/>
      <c r="W2585" s="100"/>
      <c r="X2585" s="100"/>
      <c r="Y2585" s="100"/>
      <c r="Z2585" s="100"/>
    </row>
    <row r="2586" spans="1:26">
      <c r="A2586" s="100"/>
      <c r="B2586" s="100"/>
      <c r="C2586" s="100"/>
      <c r="D2586" s="100"/>
      <c r="E2586" s="100"/>
      <c r="F2586" s="100"/>
      <c r="G2586" s="100"/>
      <c r="H2586" s="100"/>
      <c r="I2586" s="100"/>
      <c r="J2586" s="100"/>
      <c r="K2586" s="100"/>
      <c r="L2586" s="100"/>
      <c r="M2586" s="100"/>
      <c r="N2586" s="100"/>
      <c r="O2586" s="100"/>
      <c r="P2586" s="100"/>
      <c r="Q2586" s="100"/>
      <c r="R2586" s="100"/>
      <c r="S2586" s="100"/>
      <c r="T2586" s="100"/>
      <c r="U2586" s="100"/>
      <c r="V2586" s="100"/>
      <c r="W2586" s="100"/>
      <c r="X2586" s="100"/>
      <c r="Y2586" s="100"/>
      <c r="Z2586" s="100"/>
    </row>
    <row r="2587" spans="1:26">
      <c r="A2587" s="100"/>
      <c r="B2587" s="100"/>
      <c r="C2587" s="100"/>
      <c r="D2587" s="100"/>
      <c r="E2587" s="100"/>
      <c r="F2587" s="100"/>
      <c r="G2587" s="100"/>
      <c r="H2587" s="100"/>
      <c r="I2587" s="100"/>
      <c r="J2587" s="100"/>
      <c r="K2587" s="100"/>
      <c r="L2587" s="100"/>
      <c r="M2587" s="100"/>
      <c r="N2587" s="100"/>
      <c r="O2587" s="100"/>
      <c r="P2587" s="100"/>
      <c r="Q2587" s="100"/>
      <c r="R2587" s="100"/>
      <c r="S2587" s="100"/>
      <c r="T2587" s="100"/>
      <c r="U2587" s="100"/>
      <c r="V2587" s="100"/>
      <c r="W2587" s="100"/>
      <c r="X2587" s="100"/>
      <c r="Y2587" s="100"/>
      <c r="Z2587" s="100"/>
    </row>
    <row r="2588" spans="1:26">
      <c r="A2588" s="100"/>
      <c r="B2588" s="100"/>
      <c r="C2588" s="100"/>
      <c r="D2588" s="100"/>
      <c r="E2588" s="100"/>
      <c r="F2588" s="100"/>
      <c r="G2588" s="100"/>
      <c r="H2588" s="100"/>
      <c r="I2588" s="100"/>
      <c r="J2588" s="100"/>
      <c r="K2588" s="100"/>
      <c r="L2588" s="100"/>
      <c r="M2588" s="100"/>
      <c r="N2588" s="100"/>
      <c r="O2588" s="100"/>
      <c r="P2588" s="100"/>
      <c r="Q2588" s="100"/>
      <c r="R2588" s="100"/>
      <c r="S2588" s="100"/>
      <c r="T2588" s="100"/>
      <c r="U2588" s="100"/>
      <c r="V2588" s="100"/>
      <c r="W2588" s="100"/>
      <c r="X2588" s="100"/>
      <c r="Y2588" s="100"/>
      <c r="Z2588" s="100"/>
    </row>
    <row r="2589" spans="1:26">
      <c r="A2589" s="100"/>
      <c r="B2589" s="100"/>
      <c r="C2589" s="100"/>
      <c r="D2589" s="100"/>
      <c r="E2589" s="100"/>
      <c r="F2589" s="100"/>
      <c r="G2589" s="100"/>
      <c r="H2589" s="100"/>
      <c r="I2589" s="100"/>
      <c r="J2589" s="100"/>
      <c r="K2589" s="100"/>
      <c r="L2589" s="100"/>
      <c r="M2589" s="100"/>
      <c r="N2589" s="100"/>
      <c r="O2589" s="100"/>
      <c r="P2589" s="100"/>
      <c r="Q2589" s="100"/>
      <c r="R2589" s="100"/>
      <c r="S2589" s="100"/>
      <c r="T2589" s="100"/>
      <c r="U2589" s="100"/>
      <c r="V2589" s="100"/>
      <c r="W2589" s="100"/>
      <c r="X2589" s="100"/>
      <c r="Y2589" s="100"/>
      <c r="Z2589" s="100"/>
    </row>
    <row r="2590" spans="1:26">
      <c r="A2590" s="100"/>
      <c r="B2590" s="100"/>
      <c r="C2590" s="100"/>
      <c r="D2590" s="100"/>
      <c r="E2590" s="100"/>
      <c r="F2590" s="100"/>
      <c r="G2590" s="100"/>
      <c r="H2590" s="100"/>
      <c r="I2590" s="100"/>
      <c r="J2590" s="100"/>
      <c r="K2590" s="100"/>
      <c r="L2590" s="100"/>
      <c r="M2590" s="100"/>
      <c r="N2590" s="100"/>
      <c r="O2590" s="100"/>
      <c r="P2590" s="100"/>
      <c r="Q2590" s="100"/>
      <c r="R2590" s="100"/>
      <c r="S2590" s="100"/>
      <c r="T2590" s="100"/>
      <c r="U2590" s="100"/>
      <c r="V2590" s="100"/>
      <c r="W2590" s="100"/>
      <c r="X2590" s="100"/>
      <c r="Y2590" s="100"/>
      <c r="Z2590" s="100"/>
    </row>
    <row r="2591" spans="1:26">
      <c r="A2591" s="100"/>
      <c r="B2591" s="100"/>
      <c r="C2591" s="100"/>
      <c r="D2591" s="100"/>
      <c r="E2591" s="100"/>
      <c r="F2591" s="100"/>
      <c r="G2591" s="100"/>
      <c r="H2591" s="100"/>
      <c r="I2591" s="100"/>
      <c r="J2591" s="100"/>
      <c r="K2591" s="100"/>
      <c r="L2591" s="100"/>
      <c r="M2591" s="100"/>
      <c r="N2591" s="100"/>
      <c r="O2591" s="100"/>
      <c r="P2591" s="100"/>
      <c r="Q2591" s="100"/>
      <c r="R2591" s="100"/>
      <c r="S2591" s="100"/>
      <c r="T2591" s="100"/>
      <c r="U2591" s="100"/>
      <c r="V2591" s="100"/>
      <c r="W2591" s="100"/>
      <c r="X2591" s="100"/>
      <c r="Y2591" s="100"/>
      <c r="Z2591" s="100"/>
    </row>
    <row r="2592" spans="1:26">
      <c r="A2592" s="100"/>
      <c r="B2592" s="100"/>
      <c r="C2592" s="100"/>
      <c r="D2592" s="100"/>
      <c r="E2592" s="100"/>
      <c r="F2592" s="100"/>
      <c r="G2592" s="100"/>
      <c r="H2592" s="100"/>
      <c r="I2592" s="100"/>
      <c r="J2592" s="100"/>
      <c r="K2592" s="100"/>
      <c r="L2592" s="100"/>
      <c r="M2592" s="100"/>
      <c r="N2592" s="100"/>
      <c r="O2592" s="100"/>
      <c r="P2592" s="100"/>
      <c r="Q2592" s="100"/>
      <c r="R2592" s="100"/>
      <c r="S2592" s="100"/>
      <c r="T2592" s="100"/>
      <c r="U2592" s="100"/>
      <c r="V2592" s="100"/>
      <c r="W2592" s="100"/>
      <c r="X2592" s="100"/>
      <c r="Y2592" s="100"/>
      <c r="Z2592" s="100"/>
    </row>
    <row r="2593" spans="1:26">
      <c r="A2593" s="100"/>
      <c r="B2593" s="100"/>
      <c r="C2593" s="100"/>
      <c r="D2593" s="100"/>
      <c r="E2593" s="100"/>
      <c r="F2593" s="100"/>
      <c r="G2593" s="100"/>
      <c r="H2593" s="100"/>
      <c r="I2593" s="100"/>
      <c r="J2593" s="100"/>
      <c r="K2593" s="100"/>
      <c r="L2593" s="100"/>
      <c r="M2593" s="100"/>
      <c r="N2593" s="100"/>
      <c r="O2593" s="100"/>
      <c r="P2593" s="100"/>
      <c r="Q2593" s="100"/>
      <c r="R2593" s="100"/>
      <c r="S2593" s="100"/>
      <c r="T2593" s="100"/>
      <c r="U2593" s="100"/>
      <c r="V2593" s="100"/>
      <c r="W2593" s="100"/>
      <c r="X2593" s="100"/>
      <c r="Y2593" s="100"/>
      <c r="Z2593" s="100"/>
    </row>
    <row r="2594" spans="1:26">
      <c r="A2594" s="100"/>
      <c r="B2594" s="100"/>
      <c r="C2594" s="100"/>
      <c r="D2594" s="100"/>
      <c r="E2594" s="100"/>
      <c r="F2594" s="100"/>
      <c r="G2594" s="100"/>
      <c r="H2594" s="100"/>
      <c r="I2594" s="100"/>
      <c r="J2594" s="100"/>
      <c r="K2594" s="100"/>
      <c r="L2594" s="100"/>
      <c r="M2594" s="100"/>
      <c r="N2594" s="100"/>
      <c r="O2594" s="100"/>
      <c r="P2594" s="100"/>
      <c r="Q2594" s="100"/>
      <c r="R2594" s="100"/>
      <c r="S2594" s="100"/>
      <c r="T2594" s="100"/>
      <c r="U2594" s="100"/>
      <c r="V2594" s="100"/>
      <c r="W2594" s="100"/>
      <c r="X2594" s="100"/>
      <c r="Y2594" s="100"/>
      <c r="Z2594" s="100"/>
    </row>
    <row r="2595" spans="1:26">
      <c r="A2595" s="100"/>
      <c r="B2595" s="100"/>
      <c r="C2595" s="100"/>
      <c r="D2595" s="100"/>
      <c r="E2595" s="100"/>
      <c r="F2595" s="100"/>
      <c r="G2595" s="100"/>
      <c r="H2595" s="100"/>
      <c r="I2595" s="100"/>
      <c r="J2595" s="100"/>
      <c r="K2595" s="100"/>
      <c r="L2595" s="100"/>
      <c r="M2595" s="100"/>
      <c r="N2595" s="100"/>
      <c r="O2595" s="100"/>
      <c r="P2595" s="100"/>
      <c r="Q2595" s="100"/>
      <c r="R2595" s="100"/>
      <c r="S2595" s="100"/>
      <c r="T2595" s="100"/>
      <c r="U2595" s="100"/>
      <c r="V2595" s="100"/>
      <c r="W2595" s="100"/>
      <c r="X2595" s="100"/>
      <c r="Y2595" s="100"/>
      <c r="Z2595" s="100"/>
    </row>
    <row r="2596" spans="1:26">
      <c r="A2596" s="100"/>
      <c r="B2596" s="100"/>
      <c r="C2596" s="100"/>
      <c r="D2596" s="100"/>
      <c r="E2596" s="100"/>
      <c r="F2596" s="100"/>
      <c r="G2596" s="100"/>
      <c r="H2596" s="100"/>
      <c r="I2596" s="100"/>
      <c r="J2596" s="100"/>
      <c r="K2596" s="100"/>
      <c r="L2596" s="100"/>
      <c r="M2596" s="100"/>
      <c r="N2596" s="100"/>
      <c r="O2596" s="100"/>
      <c r="P2596" s="100"/>
      <c r="Q2596" s="100"/>
      <c r="R2596" s="100"/>
      <c r="S2596" s="100"/>
      <c r="T2596" s="100"/>
      <c r="U2596" s="100"/>
      <c r="V2596" s="100"/>
      <c r="W2596" s="100"/>
      <c r="X2596" s="100"/>
      <c r="Y2596" s="100"/>
      <c r="Z2596" s="100"/>
    </row>
    <row r="2597" spans="1:26">
      <c r="A2597" s="100"/>
      <c r="B2597" s="100"/>
      <c r="C2597" s="100"/>
      <c r="D2597" s="100"/>
      <c r="E2597" s="100"/>
      <c r="F2597" s="100"/>
      <c r="G2597" s="100"/>
      <c r="H2597" s="100"/>
      <c r="I2597" s="100"/>
      <c r="J2597" s="100"/>
      <c r="K2597" s="100"/>
      <c r="L2597" s="100"/>
      <c r="M2597" s="100"/>
      <c r="N2597" s="100"/>
      <c r="O2597" s="100"/>
      <c r="P2597" s="100"/>
      <c r="Q2597" s="100"/>
      <c r="R2597" s="100"/>
      <c r="S2597" s="100"/>
      <c r="T2597" s="100"/>
      <c r="U2597" s="100"/>
      <c r="V2597" s="100"/>
      <c r="W2597" s="100"/>
      <c r="X2597" s="100"/>
      <c r="Y2597" s="100"/>
      <c r="Z2597" s="100"/>
    </row>
    <row r="2598" spans="1:26">
      <c r="A2598" s="100"/>
      <c r="B2598" s="100"/>
      <c r="C2598" s="100"/>
      <c r="D2598" s="100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</row>
    <row r="2599" spans="1:26">
      <c r="A2599" s="100"/>
      <c r="B2599" s="100"/>
      <c r="C2599" s="100"/>
      <c r="D2599" s="100"/>
      <c r="E2599" s="100"/>
      <c r="F2599" s="100"/>
      <c r="G2599" s="100"/>
      <c r="H2599" s="100"/>
      <c r="I2599" s="100"/>
      <c r="J2599" s="100"/>
      <c r="K2599" s="100"/>
      <c r="L2599" s="100"/>
      <c r="M2599" s="100"/>
      <c r="N2599" s="100"/>
      <c r="O2599" s="100"/>
      <c r="P2599" s="100"/>
      <c r="Q2599" s="100"/>
      <c r="R2599" s="100"/>
      <c r="S2599" s="100"/>
      <c r="T2599" s="100"/>
      <c r="U2599" s="100"/>
      <c r="V2599" s="100"/>
      <c r="W2599" s="100"/>
      <c r="X2599" s="100"/>
      <c r="Y2599" s="100"/>
      <c r="Z2599" s="100"/>
    </row>
    <row r="2600" spans="1:26">
      <c r="A2600" s="100"/>
      <c r="B2600" s="100"/>
      <c r="C2600" s="100"/>
      <c r="D2600" s="100"/>
      <c r="E2600" s="100"/>
      <c r="F2600" s="100"/>
      <c r="G2600" s="100"/>
      <c r="H2600" s="100"/>
      <c r="I2600" s="100"/>
      <c r="J2600" s="100"/>
      <c r="K2600" s="100"/>
      <c r="L2600" s="100"/>
      <c r="M2600" s="100"/>
      <c r="N2600" s="100"/>
      <c r="O2600" s="100"/>
      <c r="P2600" s="100"/>
      <c r="Q2600" s="100"/>
      <c r="R2600" s="100"/>
      <c r="S2600" s="100"/>
      <c r="T2600" s="100"/>
      <c r="U2600" s="100"/>
      <c r="V2600" s="100"/>
      <c r="W2600" s="100"/>
      <c r="X2600" s="100"/>
      <c r="Y2600" s="100"/>
      <c r="Z2600" s="100"/>
    </row>
    <row r="2601" spans="1:26">
      <c r="A2601" s="100"/>
      <c r="B2601" s="100"/>
      <c r="C2601" s="100"/>
      <c r="D2601" s="100"/>
      <c r="E2601" s="100"/>
      <c r="F2601" s="100"/>
      <c r="G2601" s="100"/>
      <c r="H2601" s="100"/>
      <c r="I2601" s="100"/>
      <c r="J2601" s="100"/>
      <c r="K2601" s="100"/>
      <c r="L2601" s="100"/>
      <c r="M2601" s="100"/>
      <c r="N2601" s="100"/>
      <c r="O2601" s="100"/>
      <c r="P2601" s="100"/>
      <c r="Q2601" s="100"/>
      <c r="R2601" s="100"/>
      <c r="S2601" s="100"/>
      <c r="T2601" s="100"/>
      <c r="U2601" s="100"/>
      <c r="V2601" s="100"/>
      <c r="W2601" s="100"/>
      <c r="X2601" s="100"/>
      <c r="Y2601" s="100"/>
      <c r="Z2601" s="100"/>
    </row>
    <row r="2602" spans="1:26">
      <c r="A2602" s="100"/>
      <c r="B2602" s="100"/>
      <c r="C2602" s="100"/>
      <c r="D2602" s="100"/>
      <c r="E2602" s="100"/>
      <c r="F2602" s="100"/>
      <c r="G2602" s="100"/>
      <c r="H2602" s="100"/>
      <c r="I2602" s="100"/>
      <c r="J2602" s="100"/>
      <c r="K2602" s="100"/>
      <c r="L2602" s="100"/>
      <c r="M2602" s="100"/>
      <c r="N2602" s="100"/>
      <c r="O2602" s="100"/>
      <c r="P2602" s="100"/>
      <c r="Q2602" s="100"/>
      <c r="R2602" s="100"/>
      <c r="S2602" s="100"/>
      <c r="T2602" s="100"/>
      <c r="U2602" s="100"/>
      <c r="V2602" s="100"/>
      <c r="W2602" s="100"/>
      <c r="X2602" s="100"/>
      <c r="Y2602" s="100"/>
      <c r="Z2602" s="100"/>
    </row>
    <row r="2603" spans="1:26">
      <c r="A2603" s="100"/>
      <c r="B2603" s="100"/>
      <c r="C2603" s="100"/>
      <c r="D2603" s="100"/>
      <c r="E2603" s="100"/>
      <c r="F2603" s="100"/>
      <c r="G2603" s="100"/>
      <c r="H2603" s="100"/>
      <c r="I2603" s="100"/>
      <c r="J2603" s="100"/>
      <c r="K2603" s="100"/>
      <c r="L2603" s="100"/>
      <c r="M2603" s="100"/>
      <c r="N2603" s="100"/>
      <c r="O2603" s="100"/>
      <c r="P2603" s="100"/>
      <c r="Q2603" s="100"/>
      <c r="R2603" s="100"/>
      <c r="S2603" s="100"/>
      <c r="T2603" s="100"/>
      <c r="U2603" s="100"/>
      <c r="V2603" s="100"/>
      <c r="W2603" s="100"/>
      <c r="X2603" s="100"/>
      <c r="Y2603" s="100"/>
      <c r="Z2603" s="100"/>
    </row>
    <row r="2604" spans="1:26">
      <c r="A2604" s="100"/>
      <c r="B2604" s="100"/>
      <c r="C2604" s="100"/>
      <c r="D2604" s="100"/>
      <c r="E2604" s="100"/>
      <c r="F2604" s="100"/>
      <c r="G2604" s="100"/>
      <c r="H2604" s="100"/>
      <c r="I2604" s="100"/>
      <c r="J2604" s="100"/>
      <c r="K2604" s="100"/>
      <c r="L2604" s="100"/>
      <c r="M2604" s="100"/>
      <c r="N2604" s="100"/>
      <c r="O2604" s="100"/>
      <c r="P2604" s="100"/>
      <c r="Q2604" s="100"/>
      <c r="R2604" s="100"/>
      <c r="S2604" s="100"/>
      <c r="T2604" s="100"/>
      <c r="U2604" s="100"/>
      <c r="V2604" s="100"/>
      <c r="W2604" s="100"/>
      <c r="X2604" s="100"/>
      <c r="Y2604" s="100"/>
      <c r="Z2604" s="100"/>
    </row>
    <row r="2605" spans="1:26">
      <c r="A2605" s="100"/>
      <c r="B2605" s="100"/>
      <c r="C2605" s="100"/>
      <c r="D2605" s="100"/>
      <c r="E2605" s="100"/>
      <c r="F2605" s="100"/>
      <c r="G2605" s="100"/>
      <c r="H2605" s="100"/>
      <c r="I2605" s="100"/>
      <c r="J2605" s="100"/>
      <c r="K2605" s="100"/>
      <c r="L2605" s="100"/>
      <c r="M2605" s="100"/>
      <c r="N2605" s="100"/>
      <c r="O2605" s="100"/>
      <c r="P2605" s="100"/>
      <c r="Q2605" s="100"/>
      <c r="R2605" s="100"/>
      <c r="S2605" s="100"/>
      <c r="T2605" s="100"/>
      <c r="U2605" s="100"/>
      <c r="V2605" s="100"/>
      <c r="W2605" s="100"/>
      <c r="X2605" s="100"/>
      <c r="Y2605" s="100"/>
      <c r="Z2605" s="100"/>
    </row>
    <row r="2606" spans="1:26">
      <c r="A2606" s="100"/>
      <c r="B2606" s="100"/>
      <c r="C2606" s="100"/>
      <c r="D2606" s="100"/>
      <c r="E2606" s="100"/>
      <c r="F2606" s="100"/>
      <c r="G2606" s="100"/>
      <c r="H2606" s="100"/>
      <c r="I2606" s="100"/>
      <c r="J2606" s="100"/>
      <c r="K2606" s="100"/>
      <c r="L2606" s="100"/>
      <c r="M2606" s="100"/>
      <c r="N2606" s="100"/>
      <c r="O2606" s="100"/>
      <c r="P2606" s="100"/>
      <c r="Q2606" s="100"/>
      <c r="R2606" s="100"/>
      <c r="S2606" s="100"/>
      <c r="T2606" s="100"/>
      <c r="U2606" s="100"/>
      <c r="V2606" s="100"/>
      <c r="W2606" s="100"/>
      <c r="X2606" s="100"/>
      <c r="Y2606" s="100"/>
      <c r="Z2606" s="100"/>
    </row>
    <row r="2607" spans="1:26">
      <c r="A2607" s="100"/>
      <c r="B2607" s="100"/>
      <c r="C2607" s="100"/>
      <c r="D2607" s="100"/>
      <c r="E2607" s="100"/>
      <c r="F2607" s="100"/>
      <c r="G2607" s="100"/>
      <c r="H2607" s="100"/>
      <c r="I2607" s="100"/>
      <c r="J2607" s="100"/>
      <c r="K2607" s="100"/>
      <c r="L2607" s="100"/>
      <c r="M2607" s="100"/>
      <c r="N2607" s="100"/>
      <c r="O2607" s="100"/>
      <c r="P2607" s="100"/>
      <c r="Q2607" s="100"/>
      <c r="R2607" s="100"/>
      <c r="S2607" s="100"/>
      <c r="T2607" s="100"/>
      <c r="U2607" s="100"/>
      <c r="V2607" s="100"/>
      <c r="W2607" s="100"/>
      <c r="X2607" s="100"/>
      <c r="Y2607" s="100"/>
      <c r="Z2607" s="100"/>
    </row>
    <row r="2608" spans="1:26">
      <c r="A2608" s="100"/>
      <c r="B2608" s="100"/>
      <c r="C2608" s="100"/>
      <c r="D2608" s="100"/>
      <c r="E2608" s="100"/>
      <c r="F2608" s="100"/>
      <c r="G2608" s="100"/>
      <c r="H2608" s="100"/>
      <c r="I2608" s="100"/>
      <c r="J2608" s="100"/>
      <c r="K2608" s="100"/>
      <c r="L2608" s="100"/>
      <c r="M2608" s="100"/>
      <c r="N2608" s="100"/>
      <c r="O2608" s="100"/>
      <c r="P2608" s="100"/>
      <c r="Q2608" s="100"/>
      <c r="R2608" s="100"/>
      <c r="S2608" s="100"/>
      <c r="T2608" s="100"/>
      <c r="U2608" s="100"/>
      <c r="V2608" s="100"/>
      <c r="W2608" s="100"/>
      <c r="X2608" s="100"/>
      <c r="Y2608" s="100"/>
      <c r="Z2608" s="100"/>
    </row>
    <row r="2609" spans="1:26">
      <c r="A2609" s="100"/>
      <c r="B2609" s="100"/>
      <c r="C2609" s="100"/>
      <c r="D2609" s="100"/>
      <c r="E2609" s="100"/>
      <c r="F2609" s="100"/>
      <c r="G2609" s="100"/>
      <c r="H2609" s="100"/>
      <c r="I2609" s="100"/>
      <c r="J2609" s="100"/>
      <c r="K2609" s="100"/>
      <c r="L2609" s="100"/>
      <c r="M2609" s="100"/>
      <c r="N2609" s="100"/>
      <c r="O2609" s="100"/>
      <c r="P2609" s="100"/>
      <c r="Q2609" s="100"/>
      <c r="R2609" s="100"/>
      <c r="S2609" s="100"/>
      <c r="T2609" s="100"/>
      <c r="U2609" s="100"/>
      <c r="V2609" s="100"/>
      <c r="W2609" s="100"/>
      <c r="X2609" s="100"/>
      <c r="Y2609" s="100"/>
      <c r="Z2609" s="100"/>
    </row>
    <row r="2610" spans="1:26">
      <c r="A2610" s="100"/>
      <c r="B2610" s="100"/>
      <c r="C2610" s="100"/>
      <c r="D2610" s="100"/>
      <c r="E2610" s="100"/>
      <c r="F2610" s="100"/>
      <c r="G2610" s="100"/>
      <c r="H2610" s="100"/>
      <c r="I2610" s="100"/>
      <c r="J2610" s="100"/>
      <c r="K2610" s="100"/>
      <c r="L2610" s="100"/>
      <c r="M2610" s="100"/>
      <c r="N2610" s="100"/>
      <c r="O2610" s="100"/>
      <c r="P2610" s="100"/>
      <c r="Q2610" s="100"/>
      <c r="R2610" s="100"/>
      <c r="S2610" s="100"/>
      <c r="T2610" s="100"/>
      <c r="U2610" s="100"/>
      <c r="V2610" s="100"/>
      <c r="W2610" s="100"/>
      <c r="X2610" s="100"/>
      <c r="Y2610" s="100"/>
      <c r="Z2610" s="100"/>
    </row>
    <row r="2611" spans="1:26">
      <c r="A2611" s="100"/>
      <c r="B2611" s="100"/>
      <c r="C2611" s="100"/>
      <c r="D2611" s="100"/>
      <c r="E2611" s="100"/>
      <c r="F2611" s="100"/>
      <c r="G2611" s="100"/>
      <c r="H2611" s="100"/>
      <c r="I2611" s="100"/>
      <c r="J2611" s="100"/>
      <c r="K2611" s="100"/>
      <c r="L2611" s="100"/>
      <c r="M2611" s="100"/>
      <c r="N2611" s="100"/>
      <c r="O2611" s="100"/>
      <c r="P2611" s="100"/>
      <c r="Q2611" s="100"/>
      <c r="R2611" s="100"/>
      <c r="S2611" s="100"/>
      <c r="T2611" s="100"/>
      <c r="U2611" s="100"/>
      <c r="V2611" s="100"/>
      <c r="W2611" s="100"/>
      <c r="X2611" s="100"/>
      <c r="Y2611" s="100"/>
      <c r="Z2611" s="100"/>
    </row>
    <row r="2612" spans="1:26">
      <c r="A2612" s="100"/>
      <c r="B2612" s="100"/>
      <c r="C2612" s="100"/>
      <c r="D2612" s="100"/>
      <c r="E2612" s="100"/>
      <c r="F2612" s="100"/>
      <c r="G2612" s="100"/>
      <c r="H2612" s="100"/>
      <c r="I2612" s="100"/>
      <c r="J2612" s="100"/>
      <c r="K2612" s="100"/>
      <c r="L2612" s="100"/>
      <c r="M2612" s="100"/>
      <c r="N2612" s="100"/>
      <c r="O2612" s="100"/>
      <c r="P2612" s="100"/>
      <c r="Q2612" s="100"/>
      <c r="R2612" s="100"/>
      <c r="S2612" s="100"/>
      <c r="T2612" s="100"/>
      <c r="U2612" s="100"/>
      <c r="V2612" s="100"/>
      <c r="W2612" s="100"/>
      <c r="X2612" s="100"/>
      <c r="Y2612" s="100"/>
      <c r="Z2612" s="100"/>
    </row>
    <row r="2613" spans="1:26">
      <c r="A2613" s="100"/>
      <c r="B2613" s="100"/>
      <c r="C2613" s="100"/>
      <c r="D2613" s="100"/>
      <c r="E2613" s="100"/>
      <c r="F2613" s="100"/>
      <c r="G2613" s="100"/>
      <c r="H2613" s="100"/>
      <c r="I2613" s="100"/>
      <c r="J2613" s="100"/>
      <c r="K2613" s="100"/>
      <c r="L2613" s="100"/>
      <c r="M2613" s="100"/>
      <c r="N2613" s="100"/>
      <c r="O2613" s="100"/>
      <c r="P2613" s="100"/>
      <c r="Q2613" s="100"/>
      <c r="R2613" s="100"/>
      <c r="S2613" s="100"/>
      <c r="T2613" s="100"/>
      <c r="U2613" s="100"/>
      <c r="V2613" s="100"/>
      <c r="W2613" s="100"/>
      <c r="X2613" s="100"/>
      <c r="Y2613" s="100"/>
      <c r="Z2613" s="100"/>
    </row>
    <row r="2614" spans="1:26">
      <c r="A2614" s="100"/>
      <c r="B2614" s="100"/>
      <c r="C2614" s="100"/>
      <c r="D2614" s="100"/>
      <c r="E2614" s="100"/>
      <c r="F2614" s="100"/>
      <c r="G2614" s="100"/>
      <c r="H2614" s="100"/>
      <c r="I2614" s="100"/>
      <c r="J2614" s="100"/>
      <c r="K2614" s="100"/>
      <c r="L2614" s="100"/>
      <c r="M2614" s="100"/>
      <c r="N2614" s="100"/>
      <c r="O2614" s="100"/>
      <c r="P2614" s="100"/>
      <c r="Q2614" s="100"/>
      <c r="R2614" s="100"/>
      <c r="S2614" s="100"/>
      <c r="T2614" s="100"/>
      <c r="U2614" s="100"/>
      <c r="V2614" s="100"/>
      <c r="W2614" s="100"/>
      <c r="X2614" s="100"/>
      <c r="Y2614" s="100"/>
      <c r="Z2614" s="100"/>
    </row>
    <row r="2615" spans="1:26">
      <c r="A2615" s="100"/>
      <c r="B2615" s="100"/>
      <c r="C2615" s="100"/>
      <c r="D2615" s="100"/>
      <c r="E2615" s="100"/>
      <c r="F2615" s="100"/>
      <c r="G2615" s="100"/>
      <c r="H2615" s="100"/>
      <c r="I2615" s="100"/>
      <c r="J2615" s="100"/>
      <c r="K2615" s="100"/>
      <c r="L2615" s="100"/>
      <c r="M2615" s="100"/>
      <c r="N2615" s="100"/>
      <c r="O2615" s="100"/>
      <c r="P2615" s="100"/>
      <c r="Q2615" s="100"/>
      <c r="R2615" s="100"/>
      <c r="S2615" s="100"/>
      <c r="T2615" s="100"/>
      <c r="U2615" s="100"/>
      <c r="V2615" s="100"/>
      <c r="W2615" s="100"/>
      <c r="X2615" s="100"/>
      <c r="Y2615" s="100"/>
      <c r="Z2615" s="100"/>
    </row>
    <row r="2616" spans="1:26">
      <c r="A2616" s="100"/>
      <c r="B2616" s="100"/>
      <c r="C2616" s="100"/>
      <c r="D2616" s="100"/>
      <c r="E2616" s="100"/>
      <c r="F2616" s="100"/>
      <c r="G2616" s="100"/>
      <c r="H2616" s="100"/>
      <c r="I2616" s="100"/>
      <c r="J2616" s="100"/>
      <c r="K2616" s="100"/>
      <c r="L2616" s="100"/>
      <c r="M2616" s="100"/>
      <c r="N2616" s="100"/>
      <c r="O2616" s="100"/>
      <c r="P2616" s="100"/>
      <c r="Q2616" s="100"/>
      <c r="R2616" s="100"/>
      <c r="S2616" s="100"/>
      <c r="T2616" s="100"/>
      <c r="U2616" s="100"/>
      <c r="V2616" s="100"/>
      <c r="W2616" s="100"/>
      <c r="X2616" s="100"/>
      <c r="Y2616" s="100"/>
      <c r="Z2616" s="100"/>
    </row>
    <row r="2617" spans="1:26">
      <c r="A2617" s="100"/>
      <c r="B2617" s="100"/>
      <c r="C2617" s="100"/>
      <c r="D2617" s="100"/>
      <c r="E2617" s="100"/>
      <c r="F2617" s="100"/>
      <c r="G2617" s="100"/>
      <c r="H2617" s="100"/>
      <c r="I2617" s="100"/>
      <c r="J2617" s="100"/>
      <c r="K2617" s="100"/>
      <c r="L2617" s="100"/>
      <c r="M2617" s="100"/>
      <c r="N2617" s="100"/>
      <c r="O2617" s="100"/>
      <c r="P2617" s="100"/>
      <c r="Q2617" s="100"/>
      <c r="R2617" s="100"/>
      <c r="S2617" s="100"/>
      <c r="T2617" s="100"/>
      <c r="U2617" s="100"/>
      <c r="V2617" s="100"/>
      <c r="W2617" s="100"/>
      <c r="X2617" s="100"/>
      <c r="Y2617" s="100"/>
      <c r="Z2617" s="100"/>
    </row>
    <row r="2618" spans="1:26">
      <c r="A2618" s="100"/>
      <c r="B2618" s="100"/>
      <c r="C2618" s="100"/>
      <c r="D2618" s="100"/>
      <c r="E2618" s="100"/>
      <c r="F2618" s="100"/>
      <c r="G2618" s="100"/>
      <c r="H2618" s="100"/>
      <c r="I2618" s="100"/>
      <c r="J2618" s="100"/>
      <c r="K2618" s="100"/>
      <c r="L2618" s="100"/>
      <c r="M2618" s="100"/>
      <c r="N2618" s="100"/>
      <c r="O2618" s="100"/>
      <c r="P2618" s="100"/>
      <c r="Q2618" s="100"/>
      <c r="R2618" s="100"/>
      <c r="S2618" s="100"/>
      <c r="T2618" s="100"/>
      <c r="U2618" s="100"/>
      <c r="V2618" s="100"/>
      <c r="W2618" s="100"/>
      <c r="X2618" s="100"/>
      <c r="Y2618" s="100"/>
      <c r="Z2618" s="100"/>
    </row>
    <row r="2619" spans="1:26">
      <c r="A2619" s="100"/>
      <c r="B2619" s="100"/>
      <c r="C2619" s="100"/>
      <c r="D2619" s="100"/>
      <c r="E2619" s="100"/>
      <c r="F2619" s="100"/>
      <c r="G2619" s="100"/>
      <c r="H2619" s="100"/>
      <c r="I2619" s="100"/>
      <c r="J2619" s="100"/>
      <c r="K2619" s="100"/>
      <c r="L2619" s="100"/>
      <c r="M2619" s="100"/>
      <c r="N2619" s="100"/>
      <c r="O2619" s="100"/>
      <c r="P2619" s="100"/>
      <c r="Q2619" s="100"/>
      <c r="R2619" s="100"/>
      <c r="S2619" s="100"/>
      <c r="T2619" s="100"/>
      <c r="U2619" s="100"/>
      <c r="V2619" s="100"/>
      <c r="W2619" s="100"/>
      <c r="X2619" s="100"/>
      <c r="Y2619" s="100"/>
      <c r="Z2619" s="100"/>
    </row>
    <row r="2620" spans="1:26">
      <c r="A2620" s="100"/>
      <c r="B2620" s="100"/>
      <c r="C2620" s="100"/>
      <c r="D2620" s="100"/>
      <c r="E2620" s="100"/>
      <c r="F2620" s="100"/>
      <c r="G2620" s="100"/>
      <c r="H2620" s="100"/>
      <c r="I2620" s="100"/>
      <c r="J2620" s="100"/>
      <c r="K2620" s="100"/>
      <c r="L2620" s="100"/>
      <c r="M2620" s="100"/>
      <c r="N2620" s="100"/>
      <c r="O2620" s="100"/>
      <c r="P2620" s="100"/>
      <c r="Q2620" s="100"/>
      <c r="R2620" s="100"/>
      <c r="S2620" s="100"/>
      <c r="T2620" s="100"/>
      <c r="U2620" s="100"/>
      <c r="V2620" s="100"/>
      <c r="W2620" s="100"/>
      <c r="X2620" s="100"/>
      <c r="Y2620" s="100"/>
      <c r="Z2620" s="100"/>
    </row>
    <row r="2621" spans="1:26">
      <c r="A2621" s="100"/>
      <c r="B2621" s="100"/>
      <c r="C2621" s="100"/>
      <c r="D2621" s="100"/>
      <c r="E2621" s="100"/>
      <c r="F2621" s="100"/>
      <c r="G2621" s="100"/>
      <c r="H2621" s="100"/>
      <c r="I2621" s="100"/>
      <c r="J2621" s="100"/>
      <c r="K2621" s="100"/>
      <c r="L2621" s="100"/>
      <c r="M2621" s="100"/>
      <c r="N2621" s="100"/>
      <c r="O2621" s="100"/>
      <c r="P2621" s="100"/>
      <c r="Q2621" s="100"/>
      <c r="R2621" s="100"/>
      <c r="S2621" s="100"/>
      <c r="T2621" s="100"/>
      <c r="U2621" s="100"/>
      <c r="V2621" s="100"/>
      <c r="W2621" s="100"/>
      <c r="X2621" s="100"/>
      <c r="Y2621" s="100"/>
      <c r="Z2621" s="100"/>
    </row>
    <row r="2622" spans="1:26">
      <c r="A2622" s="100"/>
      <c r="B2622" s="100"/>
      <c r="C2622" s="100"/>
      <c r="D2622" s="100"/>
      <c r="E2622" s="100"/>
      <c r="F2622" s="100"/>
      <c r="G2622" s="100"/>
      <c r="H2622" s="100"/>
      <c r="I2622" s="100"/>
      <c r="J2622" s="100"/>
      <c r="K2622" s="100"/>
      <c r="L2622" s="100"/>
      <c r="M2622" s="100"/>
      <c r="N2622" s="100"/>
      <c r="O2622" s="100"/>
      <c r="P2622" s="100"/>
      <c r="Q2622" s="100"/>
      <c r="R2622" s="100"/>
      <c r="S2622" s="100"/>
      <c r="T2622" s="100"/>
      <c r="U2622" s="100"/>
      <c r="V2622" s="100"/>
      <c r="W2622" s="100"/>
      <c r="X2622" s="100"/>
      <c r="Y2622" s="100"/>
      <c r="Z2622" s="100"/>
    </row>
    <row r="2623" spans="1:26">
      <c r="A2623" s="100"/>
      <c r="B2623" s="100"/>
      <c r="C2623" s="100"/>
      <c r="D2623" s="100"/>
      <c r="E2623" s="100"/>
      <c r="F2623" s="100"/>
      <c r="G2623" s="100"/>
      <c r="H2623" s="100"/>
      <c r="I2623" s="100"/>
      <c r="J2623" s="100"/>
      <c r="K2623" s="100"/>
      <c r="L2623" s="100"/>
      <c r="M2623" s="100"/>
      <c r="N2623" s="100"/>
      <c r="O2623" s="100"/>
      <c r="P2623" s="100"/>
      <c r="Q2623" s="100"/>
      <c r="R2623" s="100"/>
      <c r="S2623" s="100"/>
      <c r="T2623" s="100"/>
      <c r="U2623" s="100"/>
      <c r="V2623" s="100"/>
      <c r="W2623" s="100"/>
      <c r="X2623" s="100"/>
      <c r="Y2623" s="100"/>
      <c r="Z2623" s="100"/>
    </row>
    <row r="2624" spans="1:26">
      <c r="A2624" s="100"/>
      <c r="B2624" s="100"/>
      <c r="C2624" s="100"/>
      <c r="D2624" s="100"/>
      <c r="E2624" s="100"/>
      <c r="F2624" s="100"/>
      <c r="G2624" s="100"/>
      <c r="H2624" s="100"/>
      <c r="I2624" s="100"/>
      <c r="J2624" s="100"/>
      <c r="K2624" s="100"/>
      <c r="L2624" s="100"/>
      <c r="M2624" s="100"/>
      <c r="N2624" s="100"/>
      <c r="O2624" s="100"/>
      <c r="P2624" s="100"/>
      <c r="Q2624" s="100"/>
      <c r="R2624" s="100"/>
      <c r="S2624" s="100"/>
      <c r="T2624" s="100"/>
      <c r="U2624" s="100"/>
      <c r="V2624" s="100"/>
      <c r="W2624" s="100"/>
      <c r="X2624" s="100"/>
      <c r="Y2624" s="100"/>
      <c r="Z2624" s="100"/>
    </row>
    <row r="2625" spans="1:26">
      <c r="A2625" s="100"/>
      <c r="B2625" s="100"/>
      <c r="C2625" s="100"/>
      <c r="D2625" s="100"/>
      <c r="E2625" s="100"/>
      <c r="F2625" s="100"/>
      <c r="G2625" s="100"/>
      <c r="H2625" s="100"/>
      <c r="I2625" s="100"/>
      <c r="J2625" s="100"/>
      <c r="K2625" s="100"/>
      <c r="L2625" s="100"/>
      <c r="M2625" s="100"/>
      <c r="N2625" s="100"/>
      <c r="O2625" s="100"/>
      <c r="P2625" s="100"/>
      <c r="Q2625" s="100"/>
      <c r="R2625" s="100"/>
      <c r="S2625" s="100"/>
      <c r="T2625" s="100"/>
      <c r="U2625" s="100"/>
      <c r="V2625" s="100"/>
      <c r="W2625" s="100"/>
      <c r="X2625" s="100"/>
      <c r="Y2625" s="100"/>
      <c r="Z2625" s="100"/>
    </row>
    <row r="2626" spans="1:26">
      <c r="A2626" s="100"/>
      <c r="B2626" s="100"/>
      <c r="C2626" s="100"/>
      <c r="D2626" s="100"/>
      <c r="E2626" s="100"/>
      <c r="F2626" s="100"/>
      <c r="G2626" s="100"/>
      <c r="H2626" s="100"/>
      <c r="I2626" s="100"/>
      <c r="J2626" s="100"/>
      <c r="K2626" s="100"/>
      <c r="L2626" s="100"/>
      <c r="M2626" s="100"/>
      <c r="N2626" s="100"/>
      <c r="O2626" s="100"/>
      <c r="P2626" s="100"/>
      <c r="Q2626" s="100"/>
      <c r="R2626" s="100"/>
      <c r="S2626" s="100"/>
      <c r="T2626" s="100"/>
      <c r="U2626" s="100"/>
      <c r="V2626" s="100"/>
      <c r="W2626" s="100"/>
      <c r="X2626" s="100"/>
      <c r="Y2626" s="100"/>
      <c r="Z2626" s="100"/>
    </row>
    <row r="2627" spans="1:26">
      <c r="A2627" s="100"/>
      <c r="B2627" s="100"/>
      <c r="C2627" s="100"/>
      <c r="D2627" s="100"/>
      <c r="E2627" s="100"/>
      <c r="F2627" s="100"/>
      <c r="G2627" s="100"/>
      <c r="H2627" s="100"/>
      <c r="I2627" s="100"/>
      <c r="J2627" s="100"/>
      <c r="K2627" s="100"/>
      <c r="L2627" s="100"/>
      <c r="M2627" s="100"/>
      <c r="N2627" s="100"/>
      <c r="O2627" s="100"/>
      <c r="P2627" s="100"/>
      <c r="Q2627" s="100"/>
      <c r="R2627" s="100"/>
      <c r="S2627" s="100"/>
      <c r="T2627" s="100"/>
      <c r="U2627" s="100"/>
      <c r="V2627" s="100"/>
      <c r="W2627" s="100"/>
      <c r="X2627" s="100"/>
      <c r="Y2627" s="100"/>
      <c r="Z2627" s="100"/>
    </row>
    <row r="2628" spans="1:26">
      <c r="A2628" s="100"/>
      <c r="B2628" s="100"/>
      <c r="C2628" s="100"/>
      <c r="D2628" s="100"/>
      <c r="E2628" s="100"/>
      <c r="F2628" s="100"/>
      <c r="G2628" s="100"/>
      <c r="H2628" s="100"/>
      <c r="I2628" s="100"/>
      <c r="J2628" s="100"/>
      <c r="K2628" s="100"/>
      <c r="L2628" s="100"/>
      <c r="M2628" s="100"/>
      <c r="N2628" s="100"/>
      <c r="O2628" s="100"/>
      <c r="P2628" s="100"/>
      <c r="Q2628" s="100"/>
      <c r="R2628" s="100"/>
      <c r="S2628" s="100"/>
      <c r="T2628" s="100"/>
      <c r="U2628" s="100"/>
      <c r="V2628" s="100"/>
      <c r="W2628" s="100"/>
      <c r="X2628" s="100"/>
      <c r="Y2628" s="100"/>
      <c r="Z2628" s="100"/>
    </row>
    <row r="2629" spans="1:26">
      <c r="A2629" s="100"/>
      <c r="B2629" s="100"/>
      <c r="C2629" s="100"/>
      <c r="D2629" s="100"/>
      <c r="E2629" s="100"/>
      <c r="F2629" s="100"/>
      <c r="G2629" s="100"/>
      <c r="H2629" s="100"/>
      <c r="I2629" s="100"/>
      <c r="J2629" s="100"/>
      <c r="K2629" s="100"/>
      <c r="L2629" s="100"/>
      <c r="M2629" s="100"/>
      <c r="N2629" s="100"/>
      <c r="O2629" s="100"/>
      <c r="P2629" s="100"/>
      <c r="Q2629" s="100"/>
      <c r="R2629" s="100"/>
      <c r="S2629" s="100"/>
      <c r="T2629" s="100"/>
      <c r="U2629" s="100"/>
      <c r="V2629" s="100"/>
      <c r="W2629" s="100"/>
      <c r="X2629" s="100"/>
      <c r="Y2629" s="100"/>
      <c r="Z2629" s="100"/>
    </row>
    <row r="2630" spans="1:26">
      <c r="A2630" s="100"/>
      <c r="B2630" s="100"/>
      <c r="C2630" s="100"/>
      <c r="D2630" s="100"/>
      <c r="E2630" s="100"/>
      <c r="F2630" s="100"/>
      <c r="G2630" s="100"/>
      <c r="H2630" s="100"/>
      <c r="I2630" s="100"/>
      <c r="J2630" s="100"/>
      <c r="K2630" s="100"/>
      <c r="L2630" s="100"/>
      <c r="M2630" s="100"/>
      <c r="N2630" s="100"/>
      <c r="O2630" s="100"/>
      <c r="P2630" s="100"/>
      <c r="Q2630" s="100"/>
      <c r="R2630" s="100"/>
      <c r="S2630" s="100"/>
      <c r="T2630" s="100"/>
      <c r="U2630" s="100"/>
      <c r="V2630" s="100"/>
      <c r="W2630" s="100"/>
      <c r="X2630" s="100"/>
      <c r="Y2630" s="100"/>
      <c r="Z2630" s="100"/>
    </row>
    <row r="2631" spans="1:26">
      <c r="A2631" s="100"/>
      <c r="B2631" s="100"/>
      <c r="C2631" s="100"/>
      <c r="D2631" s="100"/>
      <c r="E2631" s="100"/>
      <c r="F2631" s="100"/>
      <c r="G2631" s="100"/>
      <c r="H2631" s="100"/>
      <c r="I2631" s="100"/>
      <c r="J2631" s="100"/>
      <c r="K2631" s="100"/>
      <c r="L2631" s="100"/>
      <c r="M2631" s="100"/>
      <c r="N2631" s="100"/>
      <c r="O2631" s="100"/>
      <c r="P2631" s="100"/>
      <c r="Q2631" s="100"/>
      <c r="R2631" s="100"/>
      <c r="S2631" s="100"/>
      <c r="T2631" s="100"/>
      <c r="U2631" s="100"/>
      <c r="V2631" s="100"/>
      <c r="W2631" s="100"/>
      <c r="X2631" s="100"/>
      <c r="Y2631" s="100"/>
      <c r="Z2631" s="100"/>
    </row>
    <row r="2632" spans="1:26">
      <c r="A2632" s="100"/>
      <c r="B2632" s="100"/>
      <c r="C2632" s="100"/>
      <c r="D2632" s="100"/>
      <c r="E2632" s="100"/>
      <c r="F2632" s="100"/>
      <c r="G2632" s="100"/>
      <c r="H2632" s="100"/>
      <c r="I2632" s="100"/>
      <c r="J2632" s="100"/>
      <c r="K2632" s="100"/>
      <c r="L2632" s="100"/>
      <c r="M2632" s="100"/>
      <c r="N2632" s="100"/>
      <c r="O2632" s="100"/>
      <c r="P2632" s="100"/>
      <c r="Q2632" s="100"/>
      <c r="R2632" s="100"/>
      <c r="S2632" s="100"/>
      <c r="T2632" s="100"/>
      <c r="U2632" s="100"/>
      <c r="V2632" s="100"/>
      <c r="W2632" s="100"/>
      <c r="X2632" s="100"/>
      <c r="Y2632" s="100"/>
      <c r="Z2632" s="100"/>
    </row>
    <row r="2633" spans="1:26">
      <c r="A2633" s="100"/>
      <c r="B2633" s="100"/>
      <c r="C2633" s="100"/>
      <c r="D2633" s="100"/>
      <c r="E2633" s="100"/>
      <c r="F2633" s="100"/>
      <c r="G2633" s="100"/>
      <c r="H2633" s="100"/>
      <c r="I2633" s="100"/>
      <c r="J2633" s="100"/>
      <c r="K2633" s="100"/>
      <c r="L2633" s="100"/>
      <c r="M2633" s="100"/>
      <c r="N2633" s="100"/>
      <c r="O2633" s="100"/>
      <c r="P2633" s="100"/>
      <c r="Q2633" s="100"/>
      <c r="R2633" s="100"/>
      <c r="S2633" s="100"/>
      <c r="T2633" s="100"/>
      <c r="U2633" s="100"/>
      <c r="V2633" s="100"/>
      <c r="W2633" s="100"/>
      <c r="X2633" s="100"/>
      <c r="Y2633" s="100"/>
      <c r="Z2633" s="100"/>
    </row>
    <row r="2634" spans="1:26">
      <c r="A2634" s="100"/>
      <c r="B2634" s="100"/>
      <c r="C2634" s="100"/>
      <c r="D2634" s="100"/>
      <c r="E2634" s="100"/>
      <c r="F2634" s="100"/>
      <c r="G2634" s="100"/>
      <c r="H2634" s="100"/>
      <c r="I2634" s="100"/>
      <c r="J2634" s="100"/>
      <c r="K2634" s="100"/>
      <c r="L2634" s="100"/>
      <c r="M2634" s="100"/>
      <c r="N2634" s="100"/>
      <c r="O2634" s="100"/>
      <c r="P2634" s="100"/>
      <c r="Q2634" s="100"/>
      <c r="R2634" s="100"/>
      <c r="S2634" s="100"/>
      <c r="T2634" s="100"/>
      <c r="U2634" s="100"/>
      <c r="V2634" s="100"/>
      <c r="W2634" s="100"/>
      <c r="X2634" s="100"/>
      <c r="Y2634" s="100"/>
      <c r="Z2634" s="100"/>
    </row>
    <row r="2635" spans="1:26">
      <c r="A2635" s="100"/>
      <c r="B2635" s="100"/>
      <c r="C2635" s="100"/>
      <c r="D2635" s="100"/>
      <c r="E2635" s="100"/>
      <c r="F2635" s="100"/>
      <c r="G2635" s="100"/>
      <c r="H2635" s="100"/>
      <c r="I2635" s="100"/>
      <c r="J2635" s="100"/>
      <c r="K2635" s="100"/>
      <c r="L2635" s="100"/>
      <c r="M2635" s="100"/>
      <c r="N2635" s="100"/>
      <c r="O2635" s="100"/>
      <c r="P2635" s="100"/>
      <c r="Q2635" s="100"/>
      <c r="R2635" s="100"/>
      <c r="S2635" s="100"/>
      <c r="T2635" s="100"/>
      <c r="U2635" s="100"/>
      <c r="V2635" s="100"/>
      <c r="W2635" s="100"/>
      <c r="X2635" s="100"/>
      <c r="Y2635" s="100"/>
      <c r="Z2635" s="100"/>
    </row>
    <row r="2636" spans="1:26">
      <c r="A2636" s="100"/>
      <c r="B2636" s="100"/>
      <c r="C2636" s="100"/>
      <c r="D2636" s="100"/>
      <c r="E2636" s="100"/>
      <c r="F2636" s="100"/>
      <c r="G2636" s="100"/>
      <c r="H2636" s="100"/>
      <c r="I2636" s="100"/>
      <c r="J2636" s="100"/>
      <c r="K2636" s="100"/>
      <c r="L2636" s="100"/>
      <c r="M2636" s="100"/>
      <c r="N2636" s="100"/>
      <c r="O2636" s="100"/>
      <c r="P2636" s="100"/>
      <c r="Q2636" s="100"/>
      <c r="R2636" s="100"/>
      <c r="S2636" s="100"/>
      <c r="T2636" s="100"/>
      <c r="U2636" s="100"/>
      <c r="V2636" s="100"/>
      <c r="W2636" s="100"/>
      <c r="X2636" s="100"/>
      <c r="Y2636" s="100"/>
      <c r="Z2636" s="100"/>
    </row>
    <row r="2637" spans="1:26">
      <c r="A2637" s="100"/>
      <c r="B2637" s="100"/>
      <c r="C2637" s="100"/>
      <c r="D2637" s="100"/>
      <c r="E2637" s="100"/>
      <c r="F2637" s="100"/>
      <c r="G2637" s="100"/>
      <c r="H2637" s="100"/>
      <c r="I2637" s="100"/>
      <c r="J2637" s="100"/>
      <c r="K2637" s="100"/>
      <c r="L2637" s="100"/>
      <c r="M2637" s="100"/>
      <c r="N2637" s="100"/>
      <c r="O2637" s="100"/>
      <c r="P2637" s="100"/>
      <c r="Q2637" s="100"/>
      <c r="R2637" s="100"/>
      <c r="S2637" s="100"/>
      <c r="T2637" s="100"/>
      <c r="U2637" s="100"/>
      <c r="V2637" s="100"/>
      <c r="W2637" s="100"/>
      <c r="X2637" s="100"/>
      <c r="Y2637" s="100"/>
      <c r="Z2637" s="100"/>
    </row>
    <row r="2638" spans="1:26">
      <c r="A2638" s="100"/>
      <c r="B2638" s="100"/>
      <c r="C2638" s="100"/>
      <c r="D2638" s="100"/>
      <c r="E2638" s="100"/>
      <c r="F2638" s="100"/>
      <c r="G2638" s="100"/>
      <c r="H2638" s="100"/>
      <c r="I2638" s="100"/>
      <c r="J2638" s="100"/>
      <c r="K2638" s="100"/>
      <c r="L2638" s="100"/>
      <c r="M2638" s="100"/>
      <c r="N2638" s="100"/>
      <c r="O2638" s="100"/>
      <c r="P2638" s="100"/>
      <c r="Q2638" s="100"/>
      <c r="R2638" s="100"/>
      <c r="S2638" s="100"/>
      <c r="T2638" s="100"/>
      <c r="U2638" s="100"/>
      <c r="V2638" s="100"/>
      <c r="W2638" s="100"/>
      <c r="X2638" s="100"/>
      <c r="Y2638" s="100"/>
      <c r="Z2638" s="100"/>
    </row>
    <row r="2639" spans="1:26">
      <c r="A2639" s="100"/>
      <c r="B2639" s="100"/>
      <c r="C2639" s="100"/>
      <c r="D2639" s="100"/>
      <c r="E2639" s="100"/>
      <c r="F2639" s="100"/>
      <c r="G2639" s="100"/>
      <c r="H2639" s="100"/>
      <c r="I2639" s="100"/>
      <c r="J2639" s="100"/>
      <c r="K2639" s="100"/>
      <c r="L2639" s="100"/>
      <c r="M2639" s="100"/>
      <c r="N2639" s="100"/>
      <c r="O2639" s="100"/>
      <c r="P2639" s="100"/>
      <c r="Q2639" s="100"/>
      <c r="R2639" s="100"/>
      <c r="S2639" s="100"/>
      <c r="T2639" s="100"/>
      <c r="U2639" s="100"/>
      <c r="V2639" s="100"/>
      <c r="W2639" s="100"/>
      <c r="X2639" s="100"/>
      <c r="Y2639" s="100"/>
      <c r="Z2639" s="100"/>
    </row>
    <row r="2640" spans="1:26">
      <c r="A2640" s="100"/>
      <c r="B2640" s="100"/>
      <c r="C2640" s="100"/>
      <c r="D2640" s="100"/>
      <c r="E2640" s="100"/>
      <c r="F2640" s="100"/>
      <c r="G2640" s="100"/>
      <c r="H2640" s="100"/>
      <c r="I2640" s="100"/>
      <c r="J2640" s="100"/>
      <c r="K2640" s="100"/>
      <c r="L2640" s="100"/>
      <c r="M2640" s="100"/>
      <c r="N2640" s="100"/>
      <c r="O2640" s="100"/>
      <c r="P2640" s="100"/>
      <c r="Q2640" s="100"/>
      <c r="R2640" s="100"/>
      <c r="S2640" s="100"/>
      <c r="T2640" s="100"/>
      <c r="U2640" s="100"/>
      <c r="V2640" s="100"/>
      <c r="W2640" s="100"/>
      <c r="X2640" s="100"/>
      <c r="Y2640" s="100"/>
      <c r="Z2640" s="100"/>
    </row>
    <row r="2641" spans="1:26">
      <c r="A2641" s="100"/>
      <c r="B2641" s="100"/>
      <c r="C2641" s="100"/>
      <c r="D2641" s="100"/>
      <c r="E2641" s="100"/>
      <c r="F2641" s="100"/>
      <c r="G2641" s="100"/>
      <c r="H2641" s="100"/>
      <c r="I2641" s="100"/>
      <c r="J2641" s="100"/>
      <c r="K2641" s="100"/>
      <c r="L2641" s="100"/>
      <c r="M2641" s="100"/>
      <c r="N2641" s="100"/>
      <c r="O2641" s="100"/>
      <c r="P2641" s="100"/>
      <c r="Q2641" s="100"/>
      <c r="R2641" s="100"/>
      <c r="S2641" s="100"/>
      <c r="T2641" s="100"/>
      <c r="U2641" s="100"/>
      <c r="V2641" s="100"/>
      <c r="W2641" s="100"/>
      <c r="X2641" s="100"/>
      <c r="Y2641" s="100"/>
      <c r="Z2641" s="100"/>
    </row>
    <row r="2642" spans="1:26">
      <c r="A2642" s="100"/>
      <c r="B2642" s="100"/>
      <c r="C2642" s="100"/>
      <c r="D2642" s="100"/>
      <c r="E2642" s="100"/>
      <c r="F2642" s="100"/>
      <c r="G2642" s="100"/>
      <c r="H2642" s="100"/>
      <c r="I2642" s="100"/>
      <c r="J2642" s="100"/>
      <c r="K2642" s="100"/>
      <c r="L2642" s="100"/>
      <c r="M2642" s="100"/>
      <c r="N2642" s="100"/>
      <c r="O2642" s="100"/>
      <c r="P2642" s="100"/>
      <c r="Q2642" s="100"/>
      <c r="R2642" s="100"/>
      <c r="S2642" s="100"/>
      <c r="T2642" s="100"/>
      <c r="U2642" s="100"/>
      <c r="V2642" s="100"/>
      <c r="W2642" s="100"/>
      <c r="X2642" s="100"/>
      <c r="Y2642" s="100"/>
      <c r="Z2642" s="100"/>
    </row>
    <row r="2643" spans="1:26">
      <c r="A2643" s="100"/>
      <c r="B2643" s="100"/>
      <c r="C2643" s="100"/>
      <c r="D2643" s="100"/>
      <c r="E2643" s="100"/>
      <c r="F2643" s="100"/>
      <c r="G2643" s="100"/>
      <c r="H2643" s="100"/>
      <c r="I2643" s="100"/>
      <c r="J2643" s="100"/>
      <c r="K2643" s="100"/>
      <c r="L2643" s="100"/>
      <c r="M2643" s="100"/>
      <c r="N2643" s="100"/>
      <c r="O2643" s="100"/>
      <c r="P2643" s="100"/>
      <c r="Q2643" s="100"/>
      <c r="R2643" s="100"/>
      <c r="S2643" s="100"/>
      <c r="T2643" s="100"/>
      <c r="U2643" s="100"/>
      <c r="V2643" s="100"/>
      <c r="W2643" s="100"/>
      <c r="X2643" s="100"/>
      <c r="Y2643" s="100"/>
      <c r="Z2643" s="100"/>
    </row>
    <row r="2644" spans="1:26">
      <c r="A2644" s="100"/>
      <c r="B2644" s="100"/>
      <c r="C2644" s="100"/>
      <c r="D2644" s="100"/>
      <c r="E2644" s="100"/>
      <c r="F2644" s="100"/>
      <c r="G2644" s="100"/>
      <c r="H2644" s="100"/>
      <c r="I2644" s="100"/>
      <c r="J2644" s="100"/>
      <c r="K2644" s="100"/>
      <c r="L2644" s="100"/>
      <c r="M2644" s="100"/>
      <c r="N2644" s="100"/>
      <c r="O2644" s="100"/>
      <c r="P2644" s="100"/>
      <c r="Q2644" s="100"/>
      <c r="R2644" s="100"/>
      <c r="S2644" s="100"/>
      <c r="T2644" s="100"/>
      <c r="U2644" s="100"/>
      <c r="V2644" s="100"/>
      <c r="W2644" s="100"/>
      <c r="X2644" s="100"/>
      <c r="Y2644" s="100"/>
      <c r="Z2644" s="100"/>
    </row>
    <row r="2645" spans="1:26">
      <c r="A2645" s="100"/>
      <c r="B2645" s="100"/>
      <c r="C2645" s="100"/>
      <c r="D2645" s="100"/>
      <c r="E2645" s="100"/>
      <c r="F2645" s="100"/>
      <c r="G2645" s="100"/>
      <c r="H2645" s="100"/>
      <c r="I2645" s="100"/>
      <c r="J2645" s="100"/>
      <c r="K2645" s="100"/>
      <c r="L2645" s="100"/>
      <c r="M2645" s="100"/>
      <c r="N2645" s="100"/>
      <c r="O2645" s="100"/>
      <c r="P2645" s="100"/>
      <c r="Q2645" s="100"/>
      <c r="R2645" s="100"/>
      <c r="S2645" s="100"/>
      <c r="T2645" s="100"/>
      <c r="U2645" s="100"/>
      <c r="V2645" s="100"/>
      <c r="W2645" s="100"/>
      <c r="X2645" s="100"/>
      <c r="Y2645" s="100"/>
      <c r="Z2645" s="100"/>
    </row>
    <row r="2646" spans="1:26">
      <c r="A2646" s="100"/>
      <c r="B2646" s="100"/>
      <c r="C2646" s="100"/>
      <c r="D2646" s="100"/>
      <c r="E2646" s="100"/>
      <c r="F2646" s="100"/>
      <c r="G2646" s="100"/>
      <c r="H2646" s="100"/>
      <c r="I2646" s="100"/>
      <c r="J2646" s="100"/>
      <c r="K2646" s="100"/>
      <c r="L2646" s="100"/>
      <c r="M2646" s="100"/>
      <c r="N2646" s="100"/>
      <c r="O2646" s="100"/>
      <c r="P2646" s="100"/>
      <c r="Q2646" s="100"/>
      <c r="R2646" s="100"/>
      <c r="S2646" s="100"/>
      <c r="T2646" s="100"/>
      <c r="U2646" s="100"/>
      <c r="V2646" s="100"/>
      <c r="W2646" s="100"/>
      <c r="X2646" s="100"/>
      <c r="Y2646" s="100"/>
      <c r="Z2646" s="100"/>
    </row>
    <row r="2647" spans="1:26">
      <c r="A2647" s="100"/>
      <c r="B2647" s="100"/>
      <c r="C2647" s="100"/>
      <c r="D2647" s="100"/>
      <c r="E2647" s="100"/>
      <c r="F2647" s="100"/>
      <c r="G2647" s="100"/>
      <c r="H2647" s="100"/>
      <c r="I2647" s="100"/>
      <c r="J2647" s="100"/>
      <c r="K2647" s="100"/>
      <c r="L2647" s="100"/>
      <c r="M2647" s="100"/>
      <c r="N2647" s="100"/>
      <c r="O2647" s="100"/>
      <c r="P2647" s="100"/>
      <c r="Q2647" s="100"/>
      <c r="R2647" s="100"/>
      <c r="S2647" s="100"/>
      <c r="T2647" s="100"/>
      <c r="U2647" s="100"/>
      <c r="V2647" s="100"/>
      <c r="W2647" s="100"/>
      <c r="X2647" s="100"/>
      <c r="Y2647" s="100"/>
      <c r="Z2647" s="100"/>
    </row>
    <row r="2648" spans="1:26">
      <c r="A2648" s="100"/>
      <c r="B2648" s="100"/>
      <c r="C2648" s="100"/>
      <c r="D2648" s="100"/>
      <c r="E2648" s="100"/>
      <c r="F2648" s="100"/>
      <c r="G2648" s="100"/>
      <c r="H2648" s="100"/>
      <c r="I2648" s="100"/>
      <c r="J2648" s="100"/>
      <c r="K2648" s="100"/>
      <c r="L2648" s="100"/>
      <c r="M2648" s="100"/>
      <c r="N2648" s="100"/>
      <c r="O2648" s="100"/>
      <c r="P2648" s="100"/>
      <c r="Q2648" s="100"/>
      <c r="R2648" s="100"/>
      <c r="S2648" s="100"/>
      <c r="T2648" s="100"/>
      <c r="U2648" s="100"/>
      <c r="V2648" s="100"/>
      <c r="W2648" s="100"/>
      <c r="X2648" s="100"/>
      <c r="Y2648" s="100"/>
      <c r="Z2648" s="100"/>
    </row>
    <row r="2649" spans="1:26">
      <c r="A2649" s="100"/>
      <c r="B2649" s="100"/>
      <c r="C2649" s="100"/>
      <c r="D2649" s="100"/>
      <c r="E2649" s="100"/>
      <c r="F2649" s="100"/>
      <c r="G2649" s="100"/>
      <c r="H2649" s="100"/>
      <c r="I2649" s="100"/>
      <c r="J2649" s="100"/>
      <c r="K2649" s="100"/>
      <c r="L2649" s="100"/>
      <c r="M2649" s="100"/>
      <c r="N2649" s="100"/>
      <c r="O2649" s="100"/>
      <c r="P2649" s="100"/>
      <c r="Q2649" s="100"/>
      <c r="R2649" s="100"/>
      <c r="S2649" s="100"/>
      <c r="T2649" s="100"/>
      <c r="U2649" s="100"/>
      <c r="V2649" s="100"/>
      <c r="W2649" s="100"/>
      <c r="X2649" s="100"/>
      <c r="Y2649" s="100"/>
      <c r="Z2649" s="100"/>
    </row>
    <row r="2650" spans="1:26">
      <c r="A2650" s="100"/>
      <c r="B2650" s="100"/>
      <c r="C2650" s="100"/>
      <c r="D2650" s="100"/>
      <c r="E2650" s="100"/>
      <c r="F2650" s="100"/>
      <c r="G2650" s="100"/>
      <c r="H2650" s="100"/>
      <c r="I2650" s="100"/>
      <c r="J2650" s="100"/>
      <c r="K2650" s="100"/>
      <c r="L2650" s="100"/>
      <c r="M2650" s="100"/>
      <c r="N2650" s="100"/>
      <c r="O2650" s="100"/>
      <c r="P2650" s="100"/>
      <c r="Q2650" s="100"/>
      <c r="R2650" s="100"/>
      <c r="S2650" s="100"/>
      <c r="T2650" s="100"/>
      <c r="U2650" s="100"/>
      <c r="V2650" s="100"/>
      <c r="W2650" s="100"/>
      <c r="X2650" s="100"/>
      <c r="Y2650" s="100"/>
      <c r="Z2650" s="100"/>
    </row>
    <row r="2651" spans="1:26">
      <c r="A2651" s="100"/>
      <c r="B2651" s="100"/>
      <c r="C2651" s="100"/>
      <c r="D2651" s="100"/>
      <c r="E2651" s="100"/>
      <c r="F2651" s="100"/>
      <c r="G2651" s="100"/>
      <c r="H2651" s="100"/>
      <c r="I2651" s="100"/>
      <c r="J2651" s="100"/>
      <c r="K2651" s="100"/>
      <c r="L2651" s="100"/>
      <c r="M2651" s="100"/>
      <c r="N2651" s="100"/>
      <c r="O2651" s="100"/>
      <c r="P2651" s="100"/>
      <c r="Q2651" s="100"/>
      <c r="R2651" s="100"/>
      <c r="S2651" s="100"/>
      <c r="T2651" s="100"/>
      <c r="U2651" s="100"/>
      <c r="V2651" s="100"/>
      <c r="W2651" s="100"/>
      <c r="X2651" s="100"/>
      <c r="Y2651" s="100"/>
      <c r="Z2651" s="100"/>
    </row>
    <row r="2652" spans="1:26">
      <c r="A2652" s="100"/>
      <c r="B2652" s="100"/>
      <c r="C2652" s="100"/>
      <c r="D2652" s="100"/>
      <c r="E2652" s="100"/>
      <c r="F2652" s="100"/>
      <c r="G2652" s="100"/>
      <c r="H2652" s="100"/>
      <c r="I2652" s="100"/>
      <c r="J2652" s="100"/>
      <c r="K2652" s="100"/>
      <c r="L2652" s="100"/>
      <c r="M2652" s="100"/>
      <c r="N2652" s="100"/>
      <c r="O2652" s="100"/>
      <c r="P2652" s="100"/>
      <c r="Q2652" s="100"/>
      <c r="R2652" s="100"/>
      <c r="S2652" s="100"/>
      <c r="T2652" s="100"/>
      <c r="U2652" s="100"/>
      <c r="V2652" s="100"/>
      <c r="W2652" s="100"/>
      <c r="X2652" s="100"/>
      <c r="Y2652" s="100"/>
      <c r="Z2652" s="100"/>
    </row>
    <row r="2653" spans="1:26">
      <c r="A2653" s="100"/>
      <c r="B2653" s="100"/>
      <c r="C2653" s="100"/>
      <c r="D2653" s="100"/>
      <c r="E2653" s="100"/>
      <c r="F2653" s="100"/>
      <c r="G2653" s="100"/>
      <c r="H2653" s="100"/>
      <c r="I2653" s="100"/>
      <c r="J2653" s="100"/>
      <c r="K2653" s="100"/>
      <c r="L2653" s="100"/>
      <c r="M2653" s="100"/>
      <c r="N2653" s="100"/>
      <c r="O2653" s="100"/>
      <c r="P2653" s="100"/>
      <c r="Q2653" s="100"/>
      <c r="R2653" s="100"/>
      <c r="S2653" s="100"/>
      <c r="T2653" s="100"/>
      <c r="U2653" s="100"/>
      <c r="V2653" s="100"/>
      <c r="W2653" s="100"/>
      <c r="X2653" s="100"/>
      <c r="Y2653" s="100"/>
      <c r="Z2653" s="100"/>
    </row>
    <row r="2654" spans="1:26">
      <c r="A2654" s="100"/>
      <c r="B2654" s="100"/>
      <c r="C2654" s="100"/>
      <c r="D2654" s="100"/>
      <c r="E2654" s="100"/>
      <c r="F2654" s="100"/>
      <c r="G2654" s="100"/>
      <c r="H2654" s="100"/>
      <c r="I2654" s="100"/>
      <c r="J2654" s="100"/>
      <c r="K2654" s="100"/>
      <c r="L2654" s="100"/>
      <c r="M2654" s="100"/>
      <c r="N2654" s="100"/>
      <c r="O2654" s="100"/>
      <c r="P2654" s="100"/>
      <c r="Q2654" s="100"/>
      <c r="R2654" s="100"/>
      <c r="S2654" s="100"/>
      <c r="T2654" s="100"/>
      <c r="U2654" s="100"/>
      <c r="V2654" s="100"/>
      <c r="W2654" s="100"/>
      <c r="X2654" s="100"/>
      <c r="Y2654" s="100"/>
      <c r="Z2654" s="100"/>
    </row>
    <row r="2655" spans="1:26">
      <c r="A2655" s="100"/>
      <c r="B2655" s="100"/>
      <c r="C2655" s="100"/>
      <c r="D2655" s="100"/>
      <c r="E2655" s="100"/>
      <c r="F2655" s="100"/>
      <c r="G2655" s="100"/>
      <c r="H2655" s="100"/>
      <c r="I2655" s="100"/>
      <c r="J2655" s="100"/>
      <c r="K2655" s="100"/>
      <c r="L2655" s="100"/>
      <c r="M2655" s="100"/>
      <c r="N2655" s="100"/>
      <c r="O2655" s="100"/>
      <c r="P2655" s="100"/>
      <c r="Q2655" s="100"/>
      <c r="R2655" s="100"/>
      <c r="S2655" s="100"/>
      <c r="T2655" s="100"/>
      <c r="U2655" s="100"/>
      <c r="V2655" s="100"/>
      <c r="W2655" s="100"/>
      <c r="X2655" s="100"/>
      <c r="Y2655" s="100"/>
      <c r="Z2655" s="100"/>
    </row>
    <row r="2656" spans="1:26">
      <c r="A2656" s="100"/>
      <c r="B2656" s="100"/>
      <c r="C2656" s="100"/>
      <c r="D2656" s="100"/>
      <c r="E2656" s="100"/>
      <c r="F2656" s="100"/>
      <c r="G2656" s="100"/>
      <c r="H2656" s="100"/>
      <c r="I2656" s="100"/>
      <c r="J2656" s="100"/>
      <c r="K2656" s="100"/>
      <c r="L2656" s="100"/>
      <c r="M2656" s="100"/>
      <c r="N2656" s="100"/>
      <c r="O2656" s="100"/>
      <c r="P2656" s="100"/>
      <c r="Q2656" s="100"/>
      <c r="R2656" s="100"/>
      <c r="S2656" s="100"/>
      <c r="T2656" s="100"/>
      <c r="U2656" s="100"/>
      <c r="V2656" s="100"/>
      <c r="W2656" s="100"/>
      <c r="X2656" s="100"/>
      <c r="Y2656" s="100"/>
      <c r="Z2656" s="100"/>
    </row>
    <row r="2657" spans="1:26">
      <c r="A2657" s="100"/>
      <c r="B2657" s="100"/>
      <c r="C2657" s="100"/>
      <c r="D2657" s="100"/>
      <c r="E2657" s="100"/>
      <c r="F2657" s="100"/>
      <c r="G2657" s="100"/>
      <c r="H2657" s="100"/>
      <c r="I2657" s="100"/>
      <c r="J2657" s="100"/>
      <c r="K2657" s="100"/>
      <c r="L2657" s="100"/>
      <c r="M2657" s="100"/>
      <c r="N2657" s="100"/>
      <c r="O2657" s="100"/>
      <c r="P2657" s="100"/>
      <c r="Q2657" s="100"/>
      <c r="R2657" s="100"/>
      <c r="S2657" s="100"/>
      <c r="T2657" s="100"/>
      <c r="U2657" s="100"/>
      <c r="V2657" s="100"/>
      <c r="W2657" s="100"/>
      <c r="X2657" s="100"/>
      <c r="Y2657" s="100"/>
      <c r="Z2657" s="100"/>
    </row>
    <row r="2658" spans="1:26">
      <c r="A2658" s="100"/>
      <c r="B2658" s="100"/>
      <c r="C2658" s="100"/>
      <c r="D2658" s="100"/>
      <c r="E2658" s="100"/>
      <c r="F2658" s="100"/>
      <c r="G2658" s="100"/>
      <c r="H2658" s="100"/>
      <c r="I2658" s="100"/>
      <c r="J2658" s="100"/>
      <c r="K2658" s="100"/>
      <c r="L2658" s="100"/>
      <c r="M2658" s="100"/>
      <c r="N2658" s="100"/>
      <c r="O2658" s="100"/>
      <c r="P2658" s="100"/>
      <c r="Q2658" s="100"/>
      <c r="R2658" s="100"/>
      <c r="S2658" s="100"/>
      <c r="T2658" s="100"/>
      <c r="U2658" s="100"/>
      <c r="V2658" s="100"/>
      <c r="W2658" s="100"/>
      <c r="X2658" s="100"/>
      <c r="Y2658" s="100"/>
      <c r="Z2658" s="100"/>
    </row>
    <row r="2659" spans="1:26">
      <c r="A2659" s="100"/>
      <c r="B2659" s="100"/>
      <c r="C2659" s="100"/>
      <c r="D2659" s="100"/>
      <c r="E2659" s="100"/>
      <c r="F2659" s="100"/>
      <c r="G2659" s="100"/>
      <c r="H2659" s="100"/>
      <c r="I2659" s="100"/>
      <c r="J2659" s="100"/>
      <c r="K2659" s="100"/>
      <c r="L2659" s="100"/>
      <c r="M2659" s="100"/>
      <c r="N2659" s="100"/>
      <c r="O2659" s="100"/>
      <c r="P2659" s="100"/>
      <c r="Q2659" s="100"/>
      <c r="R2659" s="100"/>
      <c r="S2659" s="100"/>
      <c r="T2659" s="100"/>
      <c r="U2659" s="100"/>
      <c r="V2659" s="100"/>
      <c r="W2659" s="100"/>
      <c r="X2659" s="100"/>
      <c r="Y2659" s="100"/>
      <c r="Z2659" s="100"/>
    </row>
    <row r="2660" spans="1:26">
      <c r="A2660" s="100"/>
      <c r="B2660" s="100"/>
      <c r="C2660" s="100"/>
      <c r="D2660" s="100"/>
      <c r="E2660" s="100"/>
      <c r="F2660" s="100"/>
      <c r="G2660" s="100"/>
      <c r="H2660" s="100"/>
      <c r="I2660" s="100"/>
      <c r="J2660" s="100"/>
      <c r="K2660" s="100"/>
      <c r="L2660" s="100"/>
      <c r="M2660" s="100"/>
      <c r="N2660" s="100"/>
      <c r="O2660" s="100"/>
      <c r="P2660" s="100"/>
      <c r="Q2660" s="100"/>
      <c r="R2660" s="100"/>
      <c r="S2660" s="100"/>
      <c r="T2660" s="100"/>
      <c r="U2660" s="100"/>
      <c r="V2660" s="100"/>
      <c r="W2660" s="100"/>
      <c r="X2660" s="100"/>
      <c r="Y2660" s="100"/>
      <c r="Z2660" s="100"/>
    </row>
    <row r="2661" spans="1:26">
      <c r="A2661" s="100"/>
      <c r="B2661" s="100"/>
      <c r="C2661" s="100"/>
      <c r="D2661" s="100"/>
      <c r="E2661" s="100"/>
      <c r="F2661" s="100"/>
      <c r="G2661" s="100"/>
      <c r="H2661" s="100"/>
      <c r="I2661" s="100"/>
      <c r="J2661" s="100"/>
      <c r="K2661" s="100"/>
      <c r="L2661" s="100"/>
      <c r="M2661" s="100"/>
      <c r="N2661" s="100"/>
      <c r="O2661" s="100"/>
      <c r="P2661" s="100"/>
      <c r="Q2661" s="100"/>
      <c r="R2661" s="100"/>
      <c r="S2661" s="100"/>
      <c r="T2661" s="100"/>
      <c r="U2661" s="100"/>
      <c r="V2661" s="100"/>
      <c r="W2661" s="100"/>
      <c r="X2661" s="100"/>
      <c r="Y2661" s="100"/>
      <c r="Z2661" s="100"/>
    </row>
    <row r="2662" spans="1:26">
      <c r="A2662" s="100"/>
      <c r="B2662" s="100"/>
      <c r="C2662" s="100"/>
      <c r="D2662" s="100"/>
      <c r="E2662" s="100"/>
      <c r="F2662" s="100"/>
      <c r="G2662" s="100"/>
      <c r="H2662" s="100"/>
      <c r="I2662" s="100"/>
      <c r="J2662" s="100"/>
      <c r="K2662" s="100"/>
      <c r="L2662" s="100"/>
      <c r="M2662" s="100"/>
      <c r="N2662" s="100"/>
      <c r="O2662" s="100"/>
      <c r="P2662" s="100"/>
      <c r="Q2662" s="100"/>
      <c r="R2662" s="100"/>
      <c r="S2662" s="100"/>
      <c r="T2662" s="100"/>
      <c r="U2662" s="100"/>
      <c r="V2662" s="100"/>
      <c r="W2662" s="100"/>
      <c r="X2662" s="100"/>
      <c r="Y2662" s="100"/>
      <c r="Z2662" s="100"/>
    </row>
    <row r="2663" spans="1:26">
      <c r="A2663" s="100"/>
      <c r="B2663" s="100"/>
      <c r="C2663" s="100"/>
      <c r="D2663" s="100"/>
      <c r="E2663" s="100"/>
      <c r="F2663" s="100"/>
      <c r="G2663" s="100"/>
      <c r="H2663" s="100"/>
      <c r="I2663" s="100"/>
      <c r="J2663" s="100"/>
      <c r="K2663" s="100"/>
      <c r="L2663" s="100"/>
      <c r="M2663" s="100"/>
      <c r="N2663" s="100"/>
      <c r="O2663" s="100"/>
      <c r="P2663" s="100"/>
      <c r="Q2663" s="100"/>
      <c r="R2663" s="100"/>
      <c r="S2663" s="100"/>
      <c r="T2663" s="100"/>
      <c r="U2663" s="100"/>
      <c r="V2663" s="100"/>
      <c r="W2663" s="100"/>
      <c r="X2663" s="100"/>
      <c r="Y2663" s="100"/>
      <c r="Z2663" s="100"/>
    </row>
    <row r="2664" spans="1:26">
      <c r="A2664" s="100"/>
      <c r="B2664" s="100"/>
      <c r="C2664" s="100"/>
      <c r="D2664" s="100"/>
      <c r="E2664" s="100"/>
      <c r="F2664" s="100"/>
      <c r="G2664" s="100"/>
      <c r="H2664" s="100"/>
      <c r="I2664" s="100"/>
      <c r="J2664" s="100"/>
      <c r="K2664" s="100"/>
      <c r="L2664" s="100"/>
      <c r="M2664" s="100"/>
      <c r="N2664" s="100"/>
      <c r="O2664" s="100"/>
      <c r="P2664" s="100"/>
      <c r="Q2664" s="100"/>
      <c r="R2664" s="100"/>
      <c r="S2664" s="100"/>
      <c r="T2664" s="100"/>
      <c r="U2664" s="100"/>
      <c r="V2664" s="100"/>
      <c r="W2664" s="100"/>
      <c r="X2664" s="100"/>
      <c r="Y2664" s="100"/>
      <c r="Z2664" s="100"/>
    </row>
    <row r="2665" spans="1:26">
      <c r="A2665" s="100"/>
      <c r="B2665" s="100"/>
      <c r="C2665" s="100"/>
      <c r="D2665" s="100"/>
      <c r="E2665" s="100"/>
      <c r="F2665" s="100"/>
      <c r="G2665" s="100"/>
      <c r="H2665" s="100"/>
      <c r="I2665" s="100"/>
      <c r="J2665" s="100"/>
      <c r="K2665" s="100"/>
      <c r="L2665" s="100"/>
      <c r="M2665" s="100"/>
      <c r="N2665" s="100"/>
      <c r="O2665" s="100"/>
      <c r="P2665" s="100"/>
      <c r="Q2665" s="100"/>
      <c r="R2665" s="100"/>
      <c r="S2665" s="100"/>
      <c r="T2665" s="100"/>
      <c r="U2665" s="100"/>
      <c r="V2665" s="100"/>
      <c r="W2665" s="100"/>
      <c r="X2665" s="100"/>
      <c r="Y2665" s="100"/>
      <c r="Z2665" s="100"/>
    </row>
    <row r="2666" spans="1:26">
      <c r="A2666" s="100"/>
      <c r="B2666" s="100"/>
      <c r="C2666" s="100"/>
      <c r="D2666" s="100"/>
      <c r="E2666" s="100"/>
      <c r="F2666" s="100"/>
      <c r="G2666" s="100"/>
      <c r="H2666" s="100"/>
      <c r="I2666" s="100"/>
      <c r="J2666" s="100"/>
      <c r="K2666" s="100"/>
      <c r="L2666" s="100"/>
      <c r="M2666" s="100"/>
      <c r="N2666" s="100"/>
      <c r="O2666" s="100"/>
      <c r="P2666" s="100"/>
      <c r="Q2666" s="100"/>
      <c r="R2666" s="100"/>
      <c r="S2666" s="100"/>
      <c r="T2666" s="100"/>
      <c r="U2666" s="100"/>
      <c r="V2666" s="100"/>
      <c r="W2666" s="100"/>
      <c r="X2666" s="100"/>
      <c r="Y2666" s="100"/>
      <c r="Z2666" s="100"/>
    </row>
    <row r="2667" spans="1:26">
      <c r="A2667" s="100"/>
      <c r="B2667" s="100"/>
      <c r="C2667" s="100"/>
      <c r="D2667" s="100"/>
      <c r="E2667" s="100"/>
      <c r="F2667" s="100"/>
      <c r="G2667" s="100"/>
      <c r="H2667" s="100"/>
      <c r="I2667" s="100"/>
      <c r="J2667" s="100"/>
      <c r="K2667" s="100"/>
      <c r="L2667" s="100"/>
      <c r="M2667" s="100"/>
      <c r="N2667" s="100"/>
      <c r="O2667" s="100"/>
      <c r="P2667" s="100"/>
      <c r="Q2667" s="100"/>
      <c r="R2667" s="100"/>
      <c r="S2667" s="100"/>
      <c r="T2667" s="100"/>
      <c r="U2667" s="100"/>
      <c r="V2667" s="100"/>
      <c r="W2667" s="100"/>
      <c r="X2667" s="100"/>
      <c r="Y2667" s="100"/>
      <c r="Z2667" s="100"/>
    </row>
    <row r="2668" spans="1:26">
      <c r="A2668" s="100"/>
      <c r="B2668" s="100"/>
      <c r="C2668" s="100"/>
      <c r="D2668" s="100"/>
      <c r="E2668" s="100"/>
      <c r="F2668" s="100"/>
      <c r="G2668" s="100"/>
      <c r="H2668" s="100"/>
      <c r="I2668" s="100"/>
      <c r="J2668" s="100"/>
      <c r="K2668" s="100"/>
      <c r="L2668" s="100"/>
      <c r="M2668" s="100"/>
      <c r="N2668" s="100"/>
      <c r="O2668" s="100"/>
      <c r="P2668" s="100"/>
      <c r="Q2668" s="100"/>
      <c r="R2668" s="100"/>
      <c r="S2668" s="100"/>
      <c r="T2668" s="100"/>
      <c r="U2668" s="100"/>
      <c r="V2668" s="100"/>
      <c r="W2668" s="100"/>
      <c r="X2668" s="100"/>
      <c r="Y2668" s="100"/>
      <c r="Z2668" s="100"/>
    </row>
    <row r="2669" spans="1:26">
      <c r="A2669" s="100"/>
      <c r="B2669" s="100"/>
      <c r="C2669" s="100"/>
      <c r="D2669" s="100"/>
      <c r="E2669" s="100"/>
      <c r="F2669" s="100"/>
      <c r="G2669" s="100"/>
      <c r="H2669" s="100"/>
      <c r="I2669" s="100"/>
      <c r="J2669" s="100"/>
      <c r="K2669" s="100"/>
      <c r="L2669" s="100"/>
      <c r="M2669" s="100"/>
      <c r="N2669" s="100"/>
      <c r="O2669" s="100"/>
      <c r="P2669" s="100"/>
      <c r="Q2669" s="100"/>
      <c r="R2669" s="100"/>
      <c r="S2669" s="100"/>
      <c r="T2669" s="100"/>
      <c r="U2669" s="100"/>
      <c r="V2669" s="100"/>
      <c r="W2669" s="100"/>
      <c r="X2669" s="100"/>
      <c r="Y2669" s="100"/>
      <c r="Z2669" s="100"/>
    </row>
    <row r="2670" spans="1:26">
      <c r="A2670" s="100"/>
      <c r="B2670" s="100"/>
      <c r="C2670" s="100"/>
      <c r="D2670" s="100"/>
      <c r="E2670" s="100"/>
      <c r="F2670" s="100"/>
      <c r="G2670" s="100"/>
      <c r="H2670" s="100"/>
      <c r="I2670" s="100"/>
      <c r="J2670" s="100"/>
      <c r="K2670" s="100"/>
      <c r="L2670" s="100"/>
      <c r="M2670" s="100"/>
      <c r="N2670" s="100"/>
      <c r="O2670" s="100"/>
      <c r="P2670" s="100"/>
      <c r="Q2670" s="100"/>
      <c r="R2670" s="100"/>
      <c r="S2670" s="100"/>
      <c r="T2670" s="100"/>
      <c r="U2670" s="100"/>
      <c r="V2670" s="100"/>
      <c r="W2670" s="100"/>
      <c r="X2670" s="100"/>
      <c r="Y2670" s="100"/>
      <c r="Z2670" s="100"/>
    </row>
    <row r="2671" spans="1:26">
      <c r="A2671" s="100"/>
      <c r="B2671" s="100"/>
      <c r="C2671" s="100"/>
      <c r="D2671" s="100"/>
      <c r="E2671" s="100"/>
      <c r="F2671" s="100"/>
      <c r="G2671" s="100"/>
      <c r="H2671" s="100"/>
      <c r="I2671" s="100"/>
      <c r="J2671" s="100"/>
      <c r="K2671" s="100"/>
      <c r="L2671" s="100"/>
      <c r="M2671" s="100"/>
      <c r="N2671" s="100"/>
      <c r="O2671" s="100"/>
      <c r="P2671" s="100"/>
      <c r="Q2671" s="100"/>
      <c r="R2671" s="100"/>
      <c r="S2671" s="100"/>
      <c r="T2671" s="100"/>
      <c r="U2671" s="100"/>
      <c r="V2671" s="100"/>
      <c r="W2671" s="100"/>
      <c r="X2671" s="100"/>
      <c r="Y2671" s="100"/>
      <c r="Z2671" s="100"/>
    </row>
    <row r="2672" spans="1:26">
      <c r="A2672" s="100"/>
      <c r="B2672" s="100"/>
      <c r="C2672" s="100"/>
      <c r="D2672" s="100"/>
      <c r="E2672" s="100"/>
      <c r="F2672" s="100"/>
      <c r="G2672" s="100"/>
      <c r="H2672" s="100"/>
      <c r="I2672" s="100"/>
      <c r="J2672" s="100"/>
      <c r="K2672" s="100"/>
      <c r="L2672" s="100"/>
      <c r="M2672" s="100"/>
      <c r="N2672" s="100"/>
      <c r="O2672" s="100"/>
      <c r="P2672" s="100"/>
      <c r="Q2672" s="100"/>
      <c r="R2672" s="100"/>
      <c r="S2672" s="100"/>
      <c r="T2672" s="100"/>
      <c r="U2672" s="100"/>
      <c r="V2672" s="100"/>
      <c r="W2672" s="100"/>
      <c r="X2672" s="100"/>
      <c r="Y2672" s="100"/>
      <c r="Z2672" s="100"/>
    </row>
    <row r="2673" spans="1:26">
      <c r="A2673" s="100"/>
      <c r="B2673" s="100"/>
      <c r="C2673" s="100"/>
      <c r="D2673" s="100"/>
      <c r="E2673" s="100"/>
      <c r="F2673" s="100"/>
      <c r="G2673" s="100"/>
      <c r="H2673" s="100"/>
      <c r="I2673" s="100"/>
      <c r="J2673" s="100"/>
      <c r="K2673" s="100"/>
      <c r="L2673" s="100"/>
      <c r="M2673" s="100"/>
      <c r="N2673" s="100"/>
      <c r="O2673" s="100"/>
      <c r="P2673" s="100"/>
      <c r="Q2673" s="100"/>
      <c r="R2673" s="100"/>
      <c r="S2673" s="100"/>
      <c r="T2673" s="100"/>
      <c r="U2673" s="100"/>
      <c r="V2673" s="100"/>
      <c r="W2673" s="100"/>
      <c r="X2673" s="100"/>
      <c r="Y2673" s="100"/>
      <c r="Z2673" s="100"/>
    </row>
    <row r="2674" spans="1:26">
      <c r="A2674" s="100"/>
      <c r="B2674" s="100"/>
      <c r="C2674" s="100"/>
      <c r="D2674" s="100"/>
      <c r="E2674" s="100"/>
      <c r="F2674" s="100"/>
      <c r="G2674" s="100"/>
      <c r="H2674" s="100"/>
      <c r="I2674" s="100"/>
      <c r="J2674" s="100"/>
      <c r="K2674" s="100"/>
      <c r="L2674" s="100"/>
      <c r="M2674" s="100"/>
      <c r="N2674" s="100"/>
      <c r="O2674" s="100"/>
      <c r="P2674" s="100"/>
      <c r="Q2674" s="100"/>
      <c r="R2674" s="100"/>
      <c r="S2674" s="100"/>
      <c r="T2674" s="100"/>
      <c r="U2674" s="100"/>
      <c r="V2674" s="100"/>
      <c r="W2674" s="100"/>
      <c r="X2674" s="100"/>
      <c r="Y2674" s="100"/>
      <c r="Z2674" s="100"/>
    </row>
    <row r="2675" spans="1:26">
      <c r="A2675" s="100"/>
      <c r="B2675" s="100"/>
      <c r="C2675" s="100"/>
      <c r="D2675" s="100"/>
      <c r="E2675" s="100"/>
      <c r="F2675" s="100"/>
      <c r="G2675" s="100"/>
      <c r="H2675" s="100"/>
      <c r="I2675" s="100"/>
      <c r="J2675" s="100"/>
      <c r="K2675" s="100"/>
      <c r="L2675" s="100"/>
      <c r="M2675" s="100"/>
      <c r="N2675" s="100"/>
      <c r="O2675" s="100"/>
      <c r="P2675" s="100"/>
      <c r="Q2675" s="100"/>
      <c r="R2675" s="100"/>
      <c r="S2675" s="100"/>
      <c r="T2675" s="100"/>
      <c r="U2675" s="100"/>
      <c r="V2675" s="100"/>
      <c r="W2675" s="100"/>
      <c r="X2675" s="100"/>
      <c r="Y2675" s="100"/>
      <c r="Z2675" s="100"/>
    </row>
    <row r="2676" spans="1:26">
      <c r="A2676" s="100"/>
      <c r="B2676" s="100"/>
      <c r="C2676" s="100"/>
      <c r="D2676" s="100"/>
      <c r="E2676" s="100"/>
      <c r="F2676" s="100"/>
      <c r="G2676" s="100"/>
      <c r="H2676" s="100"/>
      <c r="I2676" s="100"/>
      <c r="J2676" s="100"/>
      <c r="K2676" s="100"/>
      <c r="L2676" s="100"/>
      <c r="M2676" s="100"/>
      <c r="N2676" s="100"/>
      <c r="O2676" s="100"/>
      <c r="P2676" s="100"/>
      <c r="Q2676" s="100"/>
      <c r="R2676" s="100"/>
      <c r="S2676" s="100"/>
      <c r="T2676" s="100"/>
      <c r="U2676" s="100"/>
      <c r="V2676" s="100"/>
      <c r="W2676" s="100"/>
      <c r="X2676" s="100"/>
      <c r="Y2676" s="100"/>
      <c r="Z2676" s="100"/>
    </row>
    <row r="2677" spans="1:26">
      <c r="A2677" s="100"/>
      <c r="B2677" s="100"/>
      <c r="C2677" s="100"/>
      <c r="D2677" s="100"/>
      <c r="E2677" s="100"/>
      <c r="F2677" s="100"/>
      <c r="G2677" s="100"/>
      <c r="H2677" s="100"/>
      <c r="I2677" s="100"/>
      <c r="J2677" s="100"/>
      <c r="K2677" s="100"/>
      <c r="L2677" s="100"/>
      <c r="M2677" s="100"/>
      <c r="N2677" s="100"/>
      <c r="O2677" s="100"/>
      <c r="P2677" s="100"/>
      <c r="Q2677" s="100"/>
      <c r="R2677" s="100"/>
      <c r="S2677" s="100"/>
      <c r="T2677" s="100"/>
      <c r="U2677" s="100"/>
      <c r="V2677" s="100"/>
      <c r="W2677" s="100"/>
      <c r="X2677" s="100"/>
      <c r="Y2677" s="100"/>
      <c r="Z2677" s="100"/>
    </row>
    <row r="2678" spans="1:26">
      <c r="A2678" s="100"/>
      <c r="B2678" s="100"/>
      <c r="C2678" s="100"/>
      <c r="D2678" s="100"/>
      <c r="E2678" s="100"/>
      <c r="F2678" s="100"/>
      <c r="G2678" s="100"/>
      <c r="H2678" s="100"/>
      <c r="I2678" s="100"/>
      <c r="J2678" s="100"/>
      <c r="K2678" s="100"/>
      <c r="L2678" s="100"/>
      <c r="M2678" s="100"/>
      <c r="N2678" s="100"/>
      <c r="O2678" s="100"/>
      <c r="P2678" s="100"/>
      <c r="Q2678" s="100"/>
      <c r="R2678" s="100"/>
      <c r="S2678" s="100"/>
      <c r="T2678" s="100"/>
      <c r="U2678" s="100"/>
      <c r="V2678" s="100"/>
      <c r="W2678" s="100"/>
      <c r="X2678" s="100"/>
      <c r="Y2678" s="100"/>
      <c r="Z2678" s="100"/>
    </row>
    <row r="2679" spans="1:26">
      <c r="A2679" s="100"/>
      <c r="B2679" s="100"/>
      <c r="C2679" s="100"/>
      <c r="D2679" s="100"/>
      <c r="E2679" s="100"/>
      <c r="F2679" s="100"/>
      <c r="G2679" s="100"/>
      <c r="H2679" s="100"/>
      <c r="I2679" s="100"/>
      <c r="J2679" s="100"/>
      <c r="K2679" s="100"/>
      <c r="L2679" s="100"/>
      <c r="M2679" s="100"/>
      <c r="N2679" s="100"/>
      <c r="O2679" s="100"/>
      <c r="P2679" s="100"/>
      <c r="Q2679" s="100"/>
      <c r="R2679" s="100"/>
      <c r="S2679" s="100"/>
      <c r="T2679" s="100"/>
      <c r="U2679" s="100"/>
      <c r="V2679" s="100"/>
      <c r="W2679" s="100"/>
      <c r="X2679" s="100"/>
      <c r="Y2679" s="100"/>
      <c r="Z2679" s="100"/>
    </row>
    <row r="2680" spans="1:26">
      <c r="A2680" s="100"/>
      <c r="B2680" s="100"/>
      <c r="C2680" s="100"/>
      <c r="D2680" s="100"/>
      <c r="E2680" s="100"/>
      <c r="F2680" s="100"/>
      <c r="G2680" s="100"/>
      <c r="H2680" s="100"/>
      <c r="I2680" s="100"/>
      <c r="J2680" s="100"/>
      <c r="K2680" s="100"/>
      <c r="L2680" s="100"/>
      <c r="M2680" s="100"/>
      <c r="N2680" s="100"/>
      <c r="O2680" s="100"/>
      <c r="P2680" s="100"/>
      <c r="Q2680" s="100"/>
      <c r="R2680" s="100"/>
      <c r="S2680" s="100"/>
      <c r="T2680" s="100"/>
      <c r="U2680" s="100"/>
      <c r="V2680" s="100"/>
      <c r="W2680" s="100"/>
      <c r="X2680" s="100"/>
      <c r="Y2680" s="100"/>
      <c r="Z2680" s="100"/>
    </row>
    <row r="2681" spans="1:26">
      <c r="A2681" s="100"/>
      <c r="B2681" s="100"/>
      <c r="C2681" s="100"/>
      <c r="D2681" s="100"/>
      <c r="E2681" s="100"/>
      <c r="F2681" s="100"/>
      <c r="G2681" s="100"/>
      <c r="H2681" s="100"/>
      <c r="I2681" s="100"/>
      <c r="J2681" s="100"/>
      <c r="K2681" s="100"/>
      <c r="L2681" s="100"/>
      <c r="M2681" s="100"/>
      <c r="N2681" s="100"/>
      <c r="O2681" s="100"/>
      <c r="P2681" s="100"/>
      <c r="Q2681" s="100"/>
      <c r="R2681" s="100"/>
      <c r="S2681" s="100"/>
      <c r="T2681" s="100"/>
      <c r="U2681" s="100"/>
      <c r="V2681" s="100"/>
      <c r="W2681" s="100"/>
      <c r="X2681" s="100"/>
      <c r="Y2681" s="100"/>
      <c r="Z2681" s="100"/>
    </row>
    <row r="2682" spans="1:26">
      <c r="A2682" s="100"/>
      <c r="B2682" s="100"/>
      <c r="C2682" s="100"/>
      <c r="D2682" s="100"/>
      <c r="E2682" s="100"/>
      <c r="F2682" s="100"/>
      <c r="G2682" s="100"/>
      <c r="H2682" s="100"/>
      <c r="I2682" s="100"/>
      <c r="J2682" s="100"/>
      <c r="K2682" s="100"/>
      <c r="L2682" s="100"/>
      <c r="M2682" s="100"/>
      <c r="N2682" s="100"/>
      <c r="O2682" s="100"/>
      <c r="P2682" s="100"/>
      <c r="Q2682" s="100"/>
      <c r="R2682" s="100"/>
      <c r="S2682" s="100"/>
      <c r="T2682" s="100"/>
      <c r="U2682" s="100"/>
      <c r="V2682" s="100"/>
      <c r="W2682" s="100"/>
      <c r="X2682" s="100"/>
      <c r="Y2682" s="100"/>
      <c r="Z2682" s="100"/>
    </row>
    <row r="2683" spans="1:26">
      <c r="A2683" s="100"/>
      <c r="B2683" s="100"/>
      <c r="C2683" s="100"/>
      <c r="D2683" s="100"/>
      <c r="E2683" s="100"/>
      <c r="F2683" s="100"/>
      <c r="G2683" s="100"/>
      <c r="H2683" s="100"/>
      <c r="I2683" s="100"/>
      <c r="J2683" s="100"/>
      <c r="K2683" s="100"/>
      <c r="L2683" s="100"/>
      <c r="M2683" s="100"/>
      <c r="N2683" s="100"/>
      <c r="O2683" s="100"/>
      <c r="P2683" s="100"/>
      <c r="Q2683" s="100"/>
      <c r="R2683" s="100"/>
      <c r="S2683" s="100"/>
      <c r="T2683" s="100"/>
      <c r="U2683" s="100"/>
      <c r="V2683" s="100"/>
      <c r="W2683" s="100"/>
      <c r="X2683" s="100"/>
      <c r="Y2683" s="100"/>
      <c r="Z2683" s="100"/>
    </row>
    <row r="2684" spans="1:26">
      <c r="A2684" s="100"/>
      <c r="B2684" s="100"/>
      <c r="C2684" s="100"/>
      <c r="D2684" s="100"/>
      <c r="E2684" s="100"/>
      <c r="F2684" s="100"/>
      <c r="G2684" s="100"/>
      <c r="H2684" s="100"/>
      <c r="I2684" s="100"/>
      <c r="J2684" s="100"/>
      <c r="K2684" s="100"/>
      <c r="L2684" s="100"/>
      <c r="M2684" s="100"/>
      <c r="N2684" s="100"/>
      <c r="O2684" s="100"/>
      <c r="P2684" s="100"/>
      <c r="Q2684" s="100"/>
      <c r="R2684" s="100"/>
      <c r="S2684" s="100"/>
      <c r="T2684" s="100"/>
      <c r="U2684" s="100"/>
      <c r="V2684" s="100"/>
      <c r="W2684" s="100"/>
      <c r="X2684" s="100"/>
      <c r="Y2684" s="100"/>
      <c r="Z2684" s="100"/>
    </row>
    <row r="2685" spans="1:26">
      <c r="A2685" s="100"/>
      <c r="B2685" s="100"/>
      <c r="C2685" s="100"/>
      <c r="D2685" s="100"/>
      <c r="E2685" s="100"/>
      <c r="F2685" s="100"/>
      <c r="G2685" s="100"/>
      <c r="H2685" s="100"/>
      <c r="I2685" s="100"/>
      <c r="J2685" s="100"/>
      <c r="K2685" s="100"/>
      <c r="L2685" s="100"/>
      <c r="M2685" s="100"/>
      <c r="N2685" s="100"/>
      <c r="O2685" s="100"/>
      <c r="P2685" s="100"/>
      <c r="Q2685" s="100"/>
      <c r="R2685" s="100"/>
      <c r="S2685" s="100"/>
      <c r="T2685" s="100"/>
      <c r="U2685" s="100"/>
      <c r="V2685" s="100"/>
      <c r="W2685" s="100"/>
      <c r="X2685" s="100"/>
      <c r="Y2685" s="100"/>
      <c r="Z2685" s="100"/>
    </row>
    <row r="2686" spans="1:26">
      <c r="A2686" s="100"/>
      <c r="B2686" s="100"/>
      <c r="C2686" s="100"/>
      <c r="D2686" s="100"/>
      <c r="E2686" s="100"/>
      <c r="F2686" s="100"/>
      <c r="G2686" s="100"/>
      <c r="H2686" s="100"/>
      <c r="I2686" s="100"/>
      <c r="J2686" s="100"/>
      <c r="K2686" s="100"/>
      <c r="L2686" s="100"/>
      <c r="M2686" s="100"/>
      <c r="N2686" s="100"/>
      <c r="O2686" s="100"/>
      <c r="P2686" s="100"/>
      <c r="Q2686" s="100"/>
      <c r="R2686" s="100"/>
      <c r="S2686" s="100"/>
      <c r="T2686" s="100"/>
      <c r="U2686" s="100"/>
      <c r="V2686" s="100"/>
      <c r="W2686" s="100"/>
      <c r="X2686" s="100"/>
      <c r="Y2686" s="100"/>
      <c r="Z2686" s="100"/>
    </row>
    <row r="2687" spans="1:26">
      <c r="A2687" s="100"/>
      <c r="B2687" s="100"/>
      <c r="C2687" s="100"/>
      <c r="D2687" s="100"/>
      <c r="E2687" s="100"/>
      <c r="F2687" s="100"/>
      <c r="G2687" s="100"/>
      <c r="H2687" s="100"/>
      <c r="I2687" s="100"/>
      <c r="J2687" s="100"/>
      <c r="K2687" s="100"/>
      <c r="L2687" s="100"/>
      <c r="M2687" s="100"/>
      <c r="N2687" s="100"/>
      <c r="O2687" s="100"/>
      <c r="P2687" s="100"/>
      <c r="Q2687" s="100"/>
      <c r="R2687" s="100"/>
      <c r="S2687" s="100"/>
      <c r="T2687" s="100"/>
      <c r="U2687" s="100"/>
      <c r="V2687" s="100"/>
      <c r="W2687" s="100"/>
      <c r="X2687" s="100"/>
      <c r="Y2687" s="100"/>
      <c r="Z2687" s="100"/>
    </row>
    <row r="2688" spans="1:26">
      <c r="A2688" s="100"/>
      <c r="B2688" s="100"/>
      <c r="C2688" s="100"/>
      <c r="D2688" s="100"/>
      <c r="E2688" s="100"/>
      <c r="F2688" s="100"/>
      <c r="G2688" s="100"/>
      <c r="H2688" s="100"/>
      <c r="I2688" s="100"/>
      <c r="J2688" s="100"/>
      <c r="K2688" s="100"/>
      <c r="L2688" s="100"/>
      <c r="M2688" s="100"/>
      <c r="N2688" s="100"/>
      <c r="O2688" s="100"/>
      <c r="P2688" s="100"/>
      <c r="Q2688" s="100"/>
      <c r="R2688" s="100"/>
      <c r="S2688" s="100"/>
      <c r="T2688" s="100"/>
      <c r="U2688" s="100"/>
      <c r="V2688" s="100"/>
      <c r="W2688" s="100"/>
      <c r="X2688" s="100"/>
      <c r="Y2688" s="100"/>
      <c r="Z2688" s="100"/>
    </row>
    <row r="2689" spans="1:26">
      <c r="A2689" s="100"/>
      <c r="B2689" s="100"/>
      <c r="C2689" s="100"/>
      <c r="D2689" s="100"/>
      <c r="E2689" s="100"/>
      <c r="F2689" s="100"/>
      <c r="G2689" s="100"/>
      <c r="H2689" s="100"/>
      <c r="I2689" s="100"/>
      <c r="J2689" s="100"/>
      <c r="K2689" s="100"/>
      <c r="L2689" s="100"/>
      <c r="M2689" s="100"/>
      <c r="N2689" s="100"/>
      <c r="O2689" s="100"/>
      <c r="P2689" s="100"/>
      <c r="Q2689" s="100"/>
      <c r="R2689" s="100"/>
      <c r="S2689" s="100"/>
      <c r="T2689" s="100"/>
      <c r="U2689" s="100"/>
      <c r="V2689" s="100"/>
      <c r="W2689" s="100"/>
      <c r="X2689" s="100"/>
      <c r="Y2689" s="100"/>
      <c r="Z2689" s="100"/>
    </row>
    <row r="2690" spans="1:26">
      <c r="A2690" s="100"/>
      <c r="B2690" s="100"/>
      <c r="C2690" s="100"/>
      <c r="D2690" s="100"/>
      <c r="E2690" s="100"/>
      <c r="F2690" s="100"/>
      <c r="G2690" s="100"/>
      <c r="H2690" s="100"/>
      <c r="I2690" s="100"/>
      <c r="J2690" s="100"/>
      <c r="K2690" s="100"/>
      <c r="L2690" s="100"/>
      <c r="M2690" s="100"/>
      <c r="N2690" s="100"/>
      <c r="O2690" s="100"/>
      <c r="P2690" s="100"/>
      <c r="Q2690" s="100"/>
      <c r="R2690" s="100"/>
      <c r="S2690" s="100"/>
      <c r="T2690" s="100"/>
      <c r="U2690" s="100"/>
      <c r="V2690" s="100"/>
      <c r="W2690" s="100"/>
      <c r="X2690" s="100"/>
      <c r="Y2690" s="100"/>
      <c r="Z2690" s="100"/>
    </row>
    <row r="2691" spans="1:26">
      <c r="A2691" s="100"/>
      <c r="B2691" s="100"/>
      <c r="C2691" s="100"/>
      <c r="D2691" s="100"/>
      <c r="E2691" s="100"/>
      <c r="F2691" s="100"/>
      <c r="G2691" s="100"/>
      <c r="H2691" s="100"/>
      <c r="I2691" s="100"/>
      <c r="J2691" s="100"/>
      <c r="K2691" s="100"/>
      <c r="L2691" s="100"/>
      <c r="M2691" s="100"/>
      <c r="N2691" s="100"/>
      <c r="O2691" s="100"/>
      <c r="P2691" s="100"/>
      <c r="Q2691" s="100"/>
      <c r="R2691" s="100"/>
      <c r="S2691" s="100"/>
      <c r="T2691" s="100"/>
      <c r="U2691" s="100"/>
      <c r="V2691" s="100"/>
      <c r="W2691" s="100"/>
      <c r="X2691" s="100"/>
      <c r="Y2691" s="100"/>
      <c r="Z2691" s="100"/>
    </row>
    <row r="2692" spans="1:26">
      <c r="A2692" s="100"/>
      <c r="B2692" s="100"/>
      <c r="C2692" s="100"/>
      <c r="D2692" s="100"/>
      <c r="E2692" s="100"/>
      <c r="F2692" s="100"/>
      <c r="G2692" s="100"/>
      <c r="H2692" s="100"/>
      <c r="I2692" s="100"/>
      <c r="J2692" s="100"/>
      <c r="K2692" s="100"/>
      <c r="L2692" s="100"/>
      <c r="M2692" s="100"/>
      <c r="N2692" s="100"/>
      <c r="O2692" s="100"/>
      <c r="P2692" s="100"/>
      <c r="Q2692" s="100"/>
      <c r="R2692" s="100"/>
      <c r="S2692" s="100"/>
      <c r="T2692" s="100"/>
      <c r="U2692" s="100"/>
      <c r="V2692" s="100"/>
      <c r="W2692" s="100"/>
      <c r="X2692" s="100"/>
      <c r="Y2692" s="100"/>
      <c r="Z2692" s="100"/>
    </row>
    <row r="2693" spans="1:26">
      <c r="A2693" s="100"/>
      <c r="B2693" s="100"/>
      <c r="C2693" s="100"/>
      <c r="D2693" s="100"/>
      <c r="E2693" s="100"/>
      <c r="F2693" s="100"/>
      <c r="G2693" s="100"/>
      <c r="H2693" s="100"/>
      <c r="I2693" s="100"/>
      <c r="J2693" s="100"/>
      <c r="K2693" s="100"/>
      <c r="L2693" s="100"/>
      <c r="M2693" s="100"/>
      <c r="N2693" s="100"/>
      <c r="O2693" s="100"/>
      <c r="P2693" s="100"/>
      <c r="Q2693" s="100"/>
      <c r="R2693" s="100"/>
      <c r="S2693" s="100"/>
      <c r="T2693" s="100"/>
      <c r="U2693" s="100"/>
      <c r="V2693" s="100"/>
      <c r="W2693" s="100"/>
      <c r="X2693" s="100"/>
      <c r="Y2693" s="100"/>
      <c r="Z2693" s="100"/>
    </row>
    <row r="2694" spans="1:26">
      <c r="A2694" s="100"/>
      <c r="B2694" s="100"/>
      <c r="C2694" s="100"/>
      <c r="D2694" s="100"/>
      <c r="E2694" s="100"/>
      <c r="F2694" s="100"/>
      <c r="G2694" s="100"/>
      <c r="H2694" s="100"/>
      <c r="I2694" s="100"/>
      <c r="J2694" s="100"/>
      <c r="K2694" s="100"/>
      <c r="L2694" s="100"/>
      <c r="M2694" s="100"/>
      <c r="N2694" s="100"/>
      <c r="O2694" s="100"/>
      <c r="P2694" s="100"/>
      <c r="Q2694" s="100"/>
      <c r="R2694" s="100"/>
      <c r="S2694" s="100"/>
      <c r="T2694" s="100"/>
      <c r="U2694" s="100"/>
      <c r="V2694" s="100"/>
      <c r="W2694" s="100"/>
      <c r="X2694" s="100"/>
      <c r="Y2694" s="100"/>
      <c r="Z2694" s="100"/>
    </row>
    <row r="2695" spans="1:26">
      <c r="A2695" s="100"/>
      <c r="B2695" s="100"/>
      <c r="C2695" s="100"/>
      <c r="D2695" s="100"/>
      <c r="E2695" s="100"/>
      <c r="F2695" s="100"/>
      <c r="G2695" s="100"/>
      <c r="H2695" s="100"/>
      <c r="I2695" s="100"/>
      <c r="J2695" s="100"/>
      <c r="K2695" s="100"/>
      <c r="L2695" s="100"/>
      <c r="M2695" s="100"/>
      <c r="N2695" s="100"/>
      <c r="O2695" s="100"/>
      <c r="P2695" s="100"/>
      <c r="Q2695" s="100"/>
      <c r="R2695" s="100"/>
      <c r="S2695" s="100"/>
      <c r="T2695" s="100"/>
      <c r="U2695" s="100"/>
      <c r="V2695" s="100"/>
      <c r="W2695" s="100"/>
      <c r="X2695" s="100"/>
      <c r="Y2695" s="100"/>
      <c r="Z2695" s="100"/>
    </row>
    <row r="2696" spans="1:26">
      <c r="A2696" s="100"/>
      <c r="B2696" s="100"/>
      <c r="C2696" s="100"/>
      <c r="D2696" s="100"/>
      <c r="E2696" s="100"/>
      <c r="F2696" s="100"/>
      <c r="G2696" s="100"/>
      <c r="H2696" s="100"/>
      <c r="I2696" s="100"/>
      <c r="J2696" s="100"/>
      <c r="K2696" s="100"/>
      <c r="L2696" s="100"/>
      <c r="M2696" s="100"/>
      <c r="N2696" s="100"/>
      <c r="O2696" s="100"/>
      <c r="P2696" s="100"/>
      <c r="Q2696" s="100"/>
      <c r="R2696" s="100"/>
      <c r="S2696" s="100"/>
      <c r="T2696" s="100"/>
      <c r="U2696" s="100"/>
      <c r="V2696" s="100"/>
      <c r="W2696" s="100"/>
      <c r="X2696" s="100"/>
      <c r="Y2696" s="100"/>
      <c r="Z2696" s="100"/>
    </row>
    <row r="2697" spans="1:26">
      <c r="A2697" s="100"/>
      <c r="B2697" s="100"/>
      <c r="C2697" s="100"/>
      <c r="D2697" s="100"/>
      <c r="E2697" s="100"/>
      <c r="F2697" s="100"/>
      <c r="G2697" s="100"/>
      <c r="H2697" s="100"/>
      <c r="I2697" s="100"/>
      <c r="J2697" s="100"/>
      <c r="K2697" s="100"/>
      <c r="L2697" s="100"/>
      <c r="M2697" s="100"/>
      <c r="N2697" s="100"/>
      <c r="O2697" s="100"/>
      <c r="P2697" s="100"/>
      <c r="Q2697" s="100"/>
      <c r="R2697" s="100"/>
      <c r="S2697" s="100"/>
      <c r="T2697" s="100"/>
      <c r="U2697" s="100"/>
      <c r="V2697" s="100"/>
      <c r="W2697" s="100"/>
      <c r="X2697" s="100"/>
      <c r="Y2697" s="100"/>
      <c r="Z2697" s="100"/>
    </row>
    <row r="2698" spans="1:26">
      <c r="A2698" s="100"/>
      <c r="B2698" s="100"/>
      <c r="C2698" s="100"/>
      <c r="D2698" s="100"/>
      <c r="E2698" s="100"/>
      <c r="F2698" s="100"/>
      <c r="G2698" s="100"/>
      <c r="H2698" s="100"/>
      <c r="I2698" s="100"/>
      <c r="J2698" s="100"/>
      <c r="K2698" s="100"/>
      <c r="L2698" s="100"/>
      <c r="M2698" s="100"/>
      <c r="N2698" s="100"/>
      <c r="O2698" s="100"/>
      <c r="P2698" s="100"/>
      <c r="Q2698" s="100"/>
      <c r="R2698" s="100"/>
      <c r="S2698" s="100"/>
      <c r="T2698" s="100"/>
      <c r="U2698" s="100"/>
      <c r="V2698" s="100"/>
      <c r="W2698" s="100"/>
      <c r="X2698" s="100"/>
      <c r="Y2698" s="100"/>
      <c r="Z2698" s="100"/>
    </row>
    <row r="2699" spans="1:26">
      <c r="A2699" s="100"/>
      <c r="B2699" s="100"/>
      <c r="C2699" s="100"/>
      <c r="D2699" s="100"/>
      <c r="E2699" s="100"/>
      <c r="F2699" s="100"/>
      <c r="G2699" s="100"/>
      <c r="H2699" s="100"/>
      <c r="I2699" s="100"/>
      <c r="J2699" s="100"/>
      <c r="K2699" s="100"/>
      <c r="L2699" s="100"/>
      <c r="M2699" s="100"/>
      <c r="N2699" s="100"/>
      <c r="O2699" s="100"/>
      <c r="P2699" s="100"/>
      <c r="Q2699" s="100"/>
      <c r="R2699" s="100"/>
      <c r="S2699" s="100"/>
      <c r="T2699" s="100"/>
      <c r="U2699" s="100"/>
      <c r="V2699" s="100"/>
      <c r="W2699" s="100"/>
      <c r="X2699" s="100"/>
      <c r="Y2699" s="100"/>
      <c r="Z2699" s="100"/>
    </row>
    <row r="2700" spans="1:26">
      <c r="A2700" s="100"/>
      <c r="B2700" s="100"/>
      <c r="C2700" s="100"/>
      <c r="D2700" s="100"/>
      <c r="E2700" s="100"/>
      <c r="F2700" s="100"/>
      <c r="G2700" s="100"/>
      <c r="H2700" s="100"/>
      <c r="I2700" s="100"/>
      <c r="J2700" s="100"/>
      <c r="K2700" s="100"/>
      <c r="L2700" s="100"/>
      <c r="M2700" s="100"/>
      <c r="N2700" s="100"/>
      <c r="O2700" s="100"/>
      <c r="P2700" s="100"/>
      <c r="Q2700" s="100"/>
      <c r="R2700" s="100"/>
      <c r="S2700" s="100"/>
      <c r="T2700" s="100"/>
      <c r="U2700" s="100"/>
      <c r="V2700" s="100"/>
      <c r="W2700" s="100"/>
      <c r="X2700" s="100"/>
      <c r="Y2700" s="100"/>
      <c r="Z2700" s="100"/>
    </row>
    <row r="2701" spans="1:26">
      <c r="A2701" s="100"/>
      <c r="B2701" s="100"/>
      <c r="C2701" s="100"/>
      <c r="D2701" s="100"/>
      <c r="E2701" s="100"/>
      <c r="F2701" s="100"/>
      <c r="G2701" s="100"/>
      <c r="H2701" s="100"/>
      <c r="I2701" s="100"/>
      <c r="J2701" s="100"/>
      <c r="K2701" s="100"/>
      <c r="L2701" s="100"/>
      <c r="M2701" s="100"/>
      <c r="N2701" s="100"/>
      <c r="O2701" s="100"/>
      <c r="P2701" s="100"/>
      <c r="Q2701" s="100"/>
      <c r="R2701" s="100"/>
      <c r="S2701" s="100"/>
      <c r="T2701" s="100"/>
      <c r="U2701" s="100"/>
      <c r="V2701" s="100"/>
      <c r="W2701" s="100"/>
      <c r="X2701" s="100"/>
      <c r="Y2701" s="100"/>
      <c r="Z2701" s="100"/>
    </row>
    <row r="2702" spans="1:26">
      <c r="A2702" s="100"/>
      <c r="B2702" s="100"/>
      <c r="C2702" s="100"/>
      <c r="D2702" s="100"/>
      <c r="E2702" s="100"/>
      <c r="F2702" s="100"/>
      <c r="G2702" s="100"/>
      <c r="H2702" s="100"/>
      <c r="I2702" s="100"/>
      <c r="J2702" s="100"/>
      <c r="K2702" s="100"/>
      <c r="L2702" s="100"/>
      <c r="M2702" s="100"/>
      <c r="N2702" s="100"/>
      <c r="O2702" s="100"/>
      <c r="P2702" s="100"/>
      <c r="Q2702" s="100"/>
      <c r="R2702" s="100"/>
      <c r="S2702" s="100"/>
      <c r="T2702" s="100"/>
      <c r="U2702" s="100"/>
      <c r="V2702" s="100"/>
      <c r="W2702" s="100"/>
      <c r="X2702" s="100"/>
      <c r="Y2702" s="100"/>
      <c r="Z2702" s="100"/>
    </row>
    <row r="2703" spans="1:26">
      <c r="A2703" s="100"/>
      <c r="B2703" s="100"/>
      <c r="C2703" s="100"/>
      <c r="D2703" s="100"/>
      <c r="E2703" s="100"/>
      <c r="F2703" s="100"/>
      <c r="G2703" s="100"/>
      <c r="H2703" s="100"/>
      <c r="I2703" s="100"/>
      <c r="J2703" s="100"/>
      <c r="K2703" s="100"/>
      <c r="L2703" s="100"/>
      <c r="M2703" s="100"/>
      <c r="N2703" s="100"/>
      <c r="O2703" s="100"/>
      <c r="P2703" s="100"/>
      <c r="Q2703" s="100"/>
      <c r="R2703" s="100"/>
      <c r="S2703" s="100"/>
      <c r="T2703" s="100"/>
      <c r="U2703" s="100"/>
      <c r="V2703" s="100"/>
      <c r="W2703" s="100"/>
      <c r="X2703" s="100"/>
      <c r="Y2703" s="100"/>
      <c r="Z2703" s="100"/>
    </row>
    <row r="2704" spans="1:26">
      <c r="A2704" s="100"/>
      <c r="B2704" s="100"/>
      <c r="C2704" s="100"/>
      <c r="D2704" s="100"/>
      <c r="E2704" s="100"/>
      <c r="F2704" s="100"/>
      <c r="G2704" s="100"/>
      <c r="H2704" s="100"/>
      <c r="I2704" s="100"/>
      <c r="J2704" s="100"/>
      <c r="K2704" s="100"/>
      <c r="L2704" s="100"/>
      <c r="M2704" s="100"/>
      <c r="N2704" s="100"/>
      <c r="O2704" s="100"/>
      <c r="P2704" s="100"/>
      <c r="Q2704" s="100"/>
      <c r="R2704" s="100"/>
      <c r="S2704" s="100"/>
      <c r="T2704" s="100"/>
      <c r="U2704" s="100"/>
      <c r="V2704" s="100"/>
      <c r="W2704" s="100"/>
      <c r="X2704" s="100"/>
      <c r="Y2704" s="100"/>
      <c r="Z2704" s="100"/>
    </row>
    <row r="2705" spans="1:26">
      <c r="A2705" s="100"/>
      <c r="B2705" s="100"/>
      <c r="C2705" s="100"/>
      <c r="D2705" s="100"/>
      <c r="E2705" s="100"/>
      <c r="F2705" s="100"/>
      <c r="G2705" s="100"/>
      <c r="H2705" s="100"/>
      <c r="I2705" s="100"/>
      <c r="J2705" s="100"/>
      <c r="K2705" s="100"/>
      <c r="L2705" s="100"/>
      <c r="M2705" s="100"/>
      <c r="N2705" s="100"/>
      <c r="O2705" s="100"/>
      <c r="P2705" s="100"/>
      <c r="Q2705" s="100"/>
      <c r="R2705" s="100"/>
      <c r="S2705" s="100"/>
      <c r="T2705" s="100"/>
      <c r="U2705" s="100"/>
      <c r="V2705" s="100"/>
      <c r="W2705" s="100"/>
      <c r="X2705" s="100"/>
      <c r="Y2705" s="100"/>
      <c r="Z2705" s="100"/>
    </row>
    <row r="2706" spans="1:26">
      <c r="A2706" s="100"/>
      <c r="B2706" s="100"/>
      <c r="C2706" s="100"/>
      <c r="D2706" s="100"/>
      <c r="E2706" s="100"/>
      <c r="F2706" s="100"/>
      <c r="G2706" s="100"/>
      <c r="H2706" s="100"/>
      <c r="I2706" s="100"/>
      <c r="J2706" s="100"/>
      <c r="K2706" s="100"/>
      <c r="L2706" s="100"/>
      <c r="M2706" s="100"/>
      <c r="N2706" s="100"/>
      <c r="O2706" s="100"/>
      <c r="P2706" s="100"/>
      <c r="Q2706" s="100"/>
      <c r="R2706" s="100"/>
      <c r="S2706" s="100"/>
      <c r="T2706" s="100"/>
      <c r="U2706" s="100"/>
      <c r="V2706" s="100"/>
      <c r="W2706" s="100"/>
      <c r="X2706" s="100"/>
      <c r="Y2706" s="100"/>
      <c r="Z2706" s="100"/>
    </row>
    <row r="2707" spans="1:26">
      <c r="A2707" s="100"/>
      <c r="B2707" s="100"/>
      <c r="C2707" s="100"/>
      <c r="D2707" s="100"/>
      <c r="E2707" s="100"/>
      <c r="F2707" s="100"/>
      <c r="G2707" s="100"/>
      <c r="H2707" s="100"/>
      <c r="I2707" s="100"/>
      <c r="J2707" s="100"/>
      <c r="K2707" s="100"/>
      <c r="L2707" s="100"/>
      <c r="M2707" s="100"/>
      <c r="N2707" s="100"/>
      <c r="O2707" s="100"/>
      <c r="P2707" s="100"/>
      <c r="Q2707" s="100"/>
      <c r="R2707" s="100"/>
      <c r="S2707" s="100"/>
      <c r="T2707" s="100"/>
      <c r="U2707" s="100"/>
      <c r="V2707" s="100"/>
      <c r="W2707" s="100"/>
      <c r="X2707" s="100"/>
      <c r="Y2707" s="100"/>
      <c r="Z2707" s="100"/>
    </row>
    <row r="2708" spans="1:26">
      <c r="A2708" s="100"/>
      <c r="B2708" s="100"/>
      <c r="C2708" s="100"/>
      <c r="D2708" s="100"/>
      <c r="E2708" s="100"/>
      <c r="F2708" s="100"/>
      <c r="G2708" s="100"/>
      <c r="H2708" s="100"/>
      <c r="I2708" s="100"/>
      <c r="J2708" s="100"/>
      <c r="K2708" s="100"/>
      <c r="L2708" s="100"/>
      <c r="M2708" s="100"/>
      <c r="N2708" s="100"/>
      <c r="O2708" s="100"/>
      <c r="P2708" s="100"/>
      <c r="Q2708" s="100"/>
      <c r="R2708" s="100"/>
      <c r="S2708" s="100"/>
      <c r="T2708" s="100"/>
      <c r="U2708" s="100"/>
      <c r="V2708" s="100"/>
      <c r="W2708" s="100"/>
      <c r="X2708" s="100"/>
      <c r="Y2708" s="100"/>
      <c r="Z2708" s="100"/>
    </row>
    <row r="2709" spans="1:26">
      <c r="A2709" s="100"/>
      <c r="B2709" s="100"/>
      <c r="C2709" s="100"/>
      <c r="D2709" s="100"/>
      <c r="E2709" s="100"/>
      <c r="F2709" s="100"/>
      <c r="G2709" s="100"/>
      <c r="H2709" s="100"/>
      <c r="I2709" s="100"/>
      <c r="J2709" s="100"/>
      <c r="K2709" s="100"/>
      <c r="L2709" s="100"/>
      <c r="M2709" s="100"/>
      <c r="N2709" s="100"/>
      <c r="O2709" s="100"/>
      <c r="P2709" s="100"/>
      <c r="Q2709" s="100"/>
      <c r="R2709" s="100"/>
      <c r="S2709" s="100"/>
      <c r="T2709" s="100"/>
      <c r="U2709" s="100"/>
      <c r="V2709" s="100"/>
      <c r="W2709" s="100"/>
      <c r="X2709" s="100"/>
      <c r="Y2709" s="100"/>
      <c r="Z2709" s="100"/>
    </row>
    <row r="2710" spans="1:26">
      <c r="A2710" s="100"/>
      <c r="B2710" s="100"/>
      <c r="C2710" s="100"/>
      <c r="D2710" s="100"/>
      <c r="E2710" s="100"/>
      <c r="F2710" s="100"/>
      <c r="G2710" s="100"/>
      <c r="H2710" s="100"/>
      <c r="I2710" s="100"/>
      <c r="J2710" s="100"/>
      <c r="K2710" s="100"/>
      <c r="L2710" s="100"/>
      <c r="M2710" s="100"/>
      <c r="N2710" s="100"/>
      <c r="O2710" s="100"/>
      <c r="P2710" s="100"/>
      <c r="Q2710" s="100"/>
      <c r="R2710" s="100"/>
      <c r="S2710" s="100"/>
      <c r="T2710" s="100"/>
      <c r="U2710" s="100"/>
      <c r="V2710" s="100"/>
      <c r="W2710" s="100"/>
      <c r="X2710" s="100"/>
      <c r="Y2710" s="100"/>
      <c r="Z2710" s="100"/>
    </row>
    <row r="2711" spans="1:26">
      <c r="A2711" s="100"/>
      <c r="B2711" s="100"/>
      <c r="C2711" s="100"/>
      <c r="D2711" s="100"/>
      <c r="E2711" s="100"/>
      <c r="F2711" s="100"/>
      <c r="G2711" s="100"/>
      <c r="H2711" s="100"/>
      <c r="I2711" s="100"/>
      <c r="J2711" s="100"/>
      <c r="K2711" s="100"/>
      <c r="L2711" s="100"/>
      <c r="M2711" s="100"/>
      <c r="N2711" s="100"/>
      <c r="O2711" s="100"/>
      <c r="P2711" s="100"/>
      <c r="Q2711" s="100"/>
      <c r="R2711" s="100"/>
      <c r="S2711" s="100"/>
      <c r="T2711" s="100"/>
      <c r="U2711" s="100"/>
      <c r="V2711" s="100"/>
      <c r="W2711" s="100"/>
      <c r="X2711" s="100"/>
      <c r="Y2711" s="100"/>
      <c r="Z2711" s="100"/>
    </row>
    <row r="2712" spans="1:26">
      <c r="A2712" s="100"/>
      <c r="B2712" s="100"/>
      <c r="C2712" s="100"/>
      <c r="D2712" s="100"/>
      <c r="E2712" s="100"/>
      <c r="F2712" s="100"/>
      <c r="G2712" s="100"/>
      <c r="H2712" s="100"/>
      <c r="I2712" s="100"/>
      <c r="J2712" s="100"/>
      <c r="K2712" s="100"/>
      <c r="L2712" s="100"/>
      <c r="M2712" s="100"/>
      <c r="N2712" s="100"/>
      <c r="O2712" s="100"/>
      <c r="P2712" s="100"/>
      <c r="Q2712" s="100"/>
      <c r="R2712" s="100"/>
      <c r="S2712" s="100"/>
      <c r="T2712" s="100"/>
      <c r="U2712" s="100"/>
      <c r="V2712" s="100"/>
      <c r="W2712" s="100"/>
      <c r="X2712" s="100"/>
      <c r="Y2712" s="100"/>
      <c r="Z2712" s="100"/>
    </row>
    <row r="2713" spans="1:26">
      <c r="A2713" s="100"/>
      <c r="B2713" s="100"/>
      <c r="C2713" s="100"/>
      <c r="D2713" s="100"/>
      <c r="E2713" s="100"/>
      <c r="F2713" s="100"/>
      <c r="G2713" s="100"/>
      <c r="H2713" s="100"/>
      <c r="I2713" s="100"/>
      <c r="J2713" s="100"/>
      <c r="K2713" s="100"/>
      <c r="L2713" s="100"/>
      <c r="M2713" s="100"/>
      <c r="N2713" s="100"/>
      <c r="O2713" s="100"/>
      <c r="P2713" s="100"/>
      <c r="Q2713" s="100"/>
      <c r="R2713" s="100"/>
      <c r="S2713" s="100"/>
      <c r="T2713" s="100"/>
      <c r="U2713" s="100"/>
      <c r="V2713" s="100"/>
      <c r="W2713" s="100"/>
      <c r="X2713" s="100"/>
      <c r="Y2713" s="100"/>
      <c r="Z2713" s="100"/>
    </row>
    <row r="2714" spans="1:26">
      <c r="A2714" s="100"/>
      <c r="B2714" s="100"/>
      <c r="C2714" s="100"/>
      <c r="D2714" s="100"/>
      <c r="E2714" s="100"/>
      <c r="F2714" s="100"/>
      <c r="G2714" s="100"/>
      <c r="H2714" s="100"/>
      <c r="I2714" s="100"/>
      <c r="J2714" s="100"/>
      <c r="K2714" s="100"/>
      <c r="L2714" s="100"/>
      <c r="M2714" s="100"/>
      <c r="N2714" s="100"/>
      <c r="O2714" s="100"/>
      <c r="P2714" s="100"/>
      <c r="Q2714" s="100"/>
      <c r="R2714" s="100"/>
      <c r="S2714" s="100"/>
      <c r="T2714" s="100"/>
      <c r="U2714" s="100"/>
      <c r="V2714" s="100"/>
      <c r="W2714" s="100"/>
      <c r="X2714" s="100"/>
      <c r="Y2714" s="100"/>
      <c r="Z2714" s="100"/>
    </row>
    <row r="2715" spans="1:26">
      <c r="A2715" s="100"/>
      <c r="B2715" s="100"/>
      <c r="C2715" s="100"/>
      <c r="D2715" s="100"/>
      <c r="E2715" s="100"/>
      <c r="F2715" s="100"/>
      <c r="G2715" s="100"/>
      <c r="H2715" s="100"/>
      <c r="I2715" s="100"/>
      <c r="J2715" s="100"/>
      <c r="K2715" s="100"/>
      <c r="L2715" s="100"/>
      <c r="M2715" s="100"/>
      <c r="N2715" s="100"/>
      <c r="O2715" s="100"/>
      <c r="P2715" s="100"/>
      <c r="Q2715" s="100"/>
      <c r="R2715" s="100"/>
      <c r="S2715" s="100"/>
      <c r="T2715" s="100"/>
      <c r="U2715" s="100"/>
      <c r="V2715" s="100"/>
      <c r="W2715" s="100"/>
      <c r="X2715" s="100"/>
      <c r="Y2715" s="100"/>
      <c r="Z2715" s="100"/>
    </row>
    <row r="2716" spans="1:26">
      <c r="A2716" s="100"/>
      <c r="B2716" s="100"/>
      <c r="C2716" s="100"/>
      <c r="D2716" s="100"/>
      <c r="E2716" s="100"/>
      <c r="F2716" s="100"/>
      <c r="G2716" s="100"/>
      <c r="H2716" s="100"/>
      <c r="I2716" s="100"/>
      <c r="J2716" s="100"/>
      <c r="K2716" s="100"/>
      <c r="L2716" s="100"/>
      <c r="M2716" s="100"/>
      <c r="N2716" s="100"/>
      <c r="O2716" s="100"/>
      <c r="P2716" s="100"/>
      <c r="Q2716" s="100"/>
      <c r="R2716" s="100"/>
      <c r="S2716" s="100"/>
      <c r="T2716" s="100"/>
      <c r="U2716" s="100"/>
      <c r="V2716" s="100"/>
      <c r="W2716" s="100"/>
      <c r="X2716" s="100"/>
      <c r="Y2716" s="100"/>
      <c r="Z2716" s="100"/>
    </row>
    <row r="2717" spans="1:26">
      <c r="A2717" s="100"/>
      <c r="B2717" s="100"/>
      <c r="C2717" s="100"/>
      <c r="D2717" s="100"/>
      <c r="E2717" s="100"/>
      <c r="F2717" s="100"/>
      <c r="G2717" s="100"/>
      <c r="H2717" s="100"/>
      <c r="I2717" s="100"/>
      <c r="J2717" s="100"/>
      <c r="K2717" s="100"/>
      <c r="L2717" s="100"/>
      <c r="M2717" s="100"/>
      <c r="N2717" s="100"/>
      <c r="O2717" s="100"/>
      <c r="P2717" s="100"/>
      <c r="Q2717" s="100"/>
      <c r="R2717" s="100"/>
      <c r="S2717" s="100"/>
      <c r="T2717" s="100"/>
      <c r="U2717" s="100"/>
      <c r="V2717" s="100"/>
      <c r="W2717" s="100"/>
      <c r="X2717" s="100"/>
      <c r="Y2717" s="100"/>
      <c r="Z2717" s="100"/>
    </row>
    <row r="2718" spans="1:26">
      <c r="A2718" s="100"/>
      <c r="B2718" s="100"/>
      <c r="C2718" s="100"/>
      <c r="D2718" s="100"/>
      <c r="E2718" s="100"/>
      <c r="F2718" s="100"/>
      <c r="G2718" s="100"/>
      <c r="H2718" s="100"/>
      <c r="I2718" s="100"/>
      <c r="J2718" s="100"/>
      <c r="K2718" s="100"/>
      <c r="L2718" s="100"/>
      <c r="M2718" s="100"/>
      <c r="N2718" s="100"/>
      <c r="O2718" s="100"/>
      <c r="P2718" s="100"/>
      <c r="Q2718" s="100"/>
      <c r="R2718" s="100"/>
      <c r="S2718" s="100"/>
      <c r="T2718" s="100"/>
      <c r="U2718" s="100"/>
      <c r="V2718" s="100"/>
      <c r="W2718" s="100"/>
      <c r="X2718" s="100"/>
      <c r="Y2718" s="100"/>
      <c r="Z2718" s="100"/>
    </row>
    <row r="2719" spans="1:26">
      <c r="A2719" s="100"/>
      <c r="B2719" s="100"/>
      <c r="C2719" s="100"/>
      <c r="D2719" s="100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</row>
    <row r="2720" spans="1:26">
      <c r="A2720" s="100"/>
      <c r="B2720" s="100"/>
      <c r="C2720" s="100"/>
      <c r="D2720" s="100"/>
      <c r="E2720" s="100"/>
      <c r="F2720" s="100"/>
      <c r="G2720" s="100"/>
      <c r="H2720" s="100"/>
      <c r="I2720" s="100"/>
      <c r="J2720" s="100"/>
      <c r="K2720" s="100"/>
      <c r="L2720" s="100"/>
      <c r="M2720" s="100"/>
      <c r="N2720" s="100"/>
      <c r="O2720" s="100"/>
      <c r="P2720" s="100"/>
      <c r="Q2720" s="100"/>
      <c r="R2720" s="100"/>
      <c r="S2720" s="100"/>
      <c r="T2720" s="100"/>
      <c r="U2720" s="100"/>
      <c r="V2720" s="100"/>
      <c r="W2720" s="100"/>
      <c r="X2720" s="100"/>
      <c r="Y2720" s="100"/>
      <c r="Z2720" s="100"/>
    </row>
    <row r="2721" spans="1:26">
      <c r="A2721" s="100"/>
      <c r="B2721" s="100"/>
      <c r="C2721" s="100"/>
      <c r="D2721" s="100"/>
      <c r="E2721" s="100"/>
      <c r="F2721" s="100"/>
      <c r="G2721" s="100"/>
      <c r="H2721" s="100"/>
      <c r="I2721" s="100"/>
      <c r="J2721" s="100"/>
      <c r="K2721" s="100"/>
      <c r="L2721" s="100"/>
      <c r="M2721" s="100"/>
      <c r="N2721" s="100"/>
      <c r="O2721" s="100"/>
      <c r="P2721" s="100"/>
      <c r="Q2721" s="100"/>
      <c r="R2721" s="100"/>
      <c r="S2721" s="100"/>
      <c r="T2721" s="100"/>
      <c r="U2721" s="100"/>
      <c r="V2721" s="100"/>
      <c r="W2721" s="100"/>
      <c r="X2721" s="100"/>
      <c r="Y2721" s="100"/>
      <c r="Z2721" s="100"/>
    </row>
    <row r="2722" spans="1:26">
      <c r="A2722" s="100"/>
      <c r="B2722" s="100"/>
      <c r="C2722" s="100"/>
      <c r="D2722" s="100"/>
      <c r="E2722" s="100"/>
      <c r="F2722" s="100"/>
      <c r="G2722" s="100"/>
      <c r="H2722" s="100"/>
      <c r="I2722" s="100"/>
      <c r="J2722" s="100"/>
      <c r="K2722" s="100"/>
      <c r="L2722" s="100"/>
      <c r="M2722" s="100"/>
      <c r="N2722" s="100"/>
      <c r="O2722" s="100"/>
      <c r="P2722" s="100"/>
      <c r="Q2722" s="100"/>
      <c r="R2722" s="100"/>
      <c r="S2722" s="100"/>
      <c r="T2722" s="100"/>
      <c r="U2722" s="100"/>
      <c r="V2722" s="100"/>
      <c r="W2722" s="100"/>
      <c r="X2722" s="100"/>
      <c r="Y2722" s="100"/>
      <c r="Z2722" s="100"/>
    </row>
    <row r="2723" spans="1:26">
      <c r="A2723" s="100"/>
      <c r="B2723" s="100"/>
      <c r="C2723" s="100"/>
      <c r="D2723" s="100"/>
      <c r="E2723" s="100"/>
      <c r="F2723" s="100"/>
      <c r="G2723" s="100"/>
      <c r="H2723" s="100"/>
      <c r="I2723" s="100"/>
      <c r="J2723" s="100"/>
      <c r="K2723" s="100"/>
      <c r="L2723" s="100"/>
      <c r="M2723" s="100"/>
      <c r="N2723" s="100"/>
      <c r="O2723" s="100"/>
      <c r="P2723" s="100"/>
      <c r="Q2723" s="100"/>
      <c r="R2723" s="100"/>
      <c r="S2723" s="100"/>
      <c r="T2723" s="100"/>
      <c r="U2723" s="100"/>
      <c r="V2723" s="100"/>
      <c r="W2723" s="100"/>
      <c r="X2723" s="100"/>
      <c r="Y2723" s="100"/>
      <c r="Z2723" s="100"/>
    </row>
    <row r="2724" spans="1:26">
      <c r="A2724" s="100"/>
      <c r="B2724" s="100"/>
      <c r="C2724" s="100"/>
      <c r="D2724" s="100"/>
      <c r="E2724" s="100"/>
      <c r="F2724" s="100"/>
      <c r="G2724" s="100"/>
      <c r="H2724" s="100"/>
      <c r="I2724" s="100"/>
      <c r="J2724" s="100"/>
      <c r="K2724" s="100"/>
      <c r="L2724" s="100"/>
      <c r="M2724" s="100"/>
      <c r="N2724" s="100"/>
      <c r="O2724" s="100"/>
      <c r="P2724" s="100"/>
      <c r="Q2724" s="100"/>
      <c r="R2724" s="100"/>
      <c r="S2724" s="100"/>
      <c r="T2724" s="100"/>
      <c r="U2724" s="100"/>
      <c r="V2724" s="100"/>
      <c r="W2724" s="100"/>
      <c r="X2724" s="100"/>
      <c r="Y2724" s="100"/>
      <c r="Z2724" s="100"/>
    </row>
    <row r="2725" spans="1:26">
      <c r="A2725" s="100"/>
      <c r="B2725" s="100"/>
      <c r="C2725" s="100"/>
      <c r="D2725" s="100"/>
      <c r="E2725" s="100"/>
      <c r="F2725" s="100"/>
      <c r="G2725" s="100"/>
      <c r="H2725" s="100"/>
      <c r="I2725" s="100"/>
      <c r="J2725" s="100"/>
      <c r="K2725" s="100"/>
      <c r="L2725" s="100"/>
      <c r="M2725" s="100"/>
      <c r="N2725" s="100"/>
      <c r="O2725" s="100"/>
      <c r="P2725" s="100"/>
      <c r="Q2725" s="100"/>
      <c r="R2725" s="100"/>
      <c r="S2725" s="100"/>
      <c r="T2725" s="100"/>
      <c r="U2725" s="100"/>
      <c r="V2725" s="100"/>
      <c r="W2725" s="100"/>
      <c r="X2725" s="100"/>
      <c r="Y2725" s="100"/>
      <c r="Z2725" s="100"/>
    </row>
    <row r="2726" spans="1:26">
      <c r="A2726" s="100"/>
      <c r="B2726" s="100"/>
      <c r="C2726" s="100"/>
      <c r="D2726" s="100"/>
      <c r="E2726" s="100"/>
      <c r="F2726" s="100"/>
      <c r="G2726" s="100"/>
      <c r="H2726" s="100"/>
      <c r="I2726" s="100"/>
      <c r="J2726" s="100"/>
      <c r="K2726" s="100"/>
      <c r="L2726" s="100"/>
      <c r="M2726" s="100"/>
      <c r="N2726" s="100"/>
      <c r="O2726" s="100"/>
      <c r="P2726" s="100"/>
      <c r="Q2726" s="100"/>
      <c r="R2726" s="100"/>
      <c r="S2726" s="100"/>
      <c r="T2726" s="100"/>
      <c r="U2726" s="100"/>
      <c r="V2726" s="100"/>
      <c r="W2726" s="100"/>
      <c r="X2726" s="100"/>
      <c r="Y2726" s="100"/>
      <c r="Z2726" s="100"/>
    </row>
    <row r="2727" spans="1:26">
      <c r="A2727" s="100"/>
      <c r="B2727" s="100"/>
      <c r="C2727" s="100"/>
      <c r="D2727" s="100"/>
      <c r="E2727" s="100"/>
      <c r="F2727" s="100"/>
      <c r="G2727" s="100"/>
      <c r="H2727" s="100"/>
      <c r="I2727" s="100"/>
      <c r="J2727" s="100"/>
      <c r="K2727" s="100"/>
      <c r="L2727" s="100"/>
      <c r="M2727" s="100"/>
      <c r="N2727" s="100"/>
      <c r="O2727" s="100"/>
      <c r="P2727" s="100"/>
      <c r="Q2727" s="100"/>
      <c r="R2727" s="100"/>
      <c r="S2727" s="100"/>
      <c r="T2727" s="100"/>
      <c r="U2727" s="100"/>
      <c r="V2727" s="100"/>
      <c r="W2727" s="100"/>
      <c r="X2727" s="100"/>
      <c r="Y2727" s="100"/>
      <c r="Z2727" s="100"/>
    </row>
    <row r="2728" spans="1:26">
      <c r="A2728" s="100"/>
      <c r="B2728" s="100"/>
      <c r="C2728" s="100"/>
      <c r="D2728" s="100"/>
      <c r="E2728" s="100"/>
      <c r="F2728" s="100"/>
      <c r="G2728" s="100"/>
      <c r="H2728" s="100"/>
      <c r="I2728" s="100"/>
      <c r="J2728" s="100"/>
      <c r="K2728" s="100"/>
      <c r="L2728" s="100"/>
      <c r="M2728" s="100"/>
      <c r="N2728" s="100"/>
      <c r="O2728" s="100"/>
      <c r="P2728" s="100"/>
      <c r="Q2728" s="100"/>
      <c r="R2728" s="100"/>
      <c r="S2728" s="100"/>
      <c r="T2728" s="100"/>
      <c r="U2728" s="100"/>
      <c r="V2728" s="100"/>
      <c r="W2728" s="100"/>
      <c r="X2728" s="100"/>
      <c r="Y2728" s="100"/>
      <c r="Z2728" s="100"/>
    </row>
    <row r="2729" spans="1:26">
      <c r="A2729" s="100"/>
      <c r="B2729" s="100"/>
      <c r="C2729" s="100"/>
      <c r="D2729" s="100"/>
      <c r="E2729" s="100"/>
      <c r="F2729" s="100"/>
      <c r="G2729" s="100"/>
      <c r="H2729" s="100"/>
      <c r="I2729" s="100"/>
      <c r="J2729" s="100"/>
      <c r="K2729" s="100"/>
      <c r="L2729" s="100"/>
      <c r="M2729" s="100"/>
      <c r="N2729" s="100"/>
      <c r="O2729" s="100"/>
      <c r="P2729" s="100"/>
      <c r="Q2729" s="100"/>
      <c r="R2729" s="100"/>
      <c r="S2729" s="100"/>
      <c r="T2729" s="100"/>
      <c r="U2729" s="100"/>
      <c r="V2729" s="100"/>
      <c r="W2729" s="100"/>
      <c r="X2729" s="100"/>
      <c r="Y2729" s="100"/>
      <c r="Z2729" s="100"/>
    </row>
    <row r="2730" spans="1:26">
      <c r="A2730" s="100"/>
      <c r="B2730" s="100"/>
      <c r="C2730" s="100"/>
      <c r="D2730" s="100"/>
      <c r="E2730" s="100"/>
      <c r="F2730" s="100"/>
      <c r="G2730" s="100"/>
      <c r="H2730" s="100"/>
      <c r="I2730" s="100"/>
      <c r="J2730" s="100"/>
      <c r="K2730" s="100"/>
      <c r="L2730" s="100"/>
      <c r="M2730" s="100"/>
      <c r="N2730" s="100"/>
      <c r="O2730" s="100"/>
      <c r="P2730" s="100"/>
      <c r="Q2730" s="100"/>
      <c r="R2730" s="100"/>
      <c r="S2730" s="100"/>
      <c r="T2730" s="100"/>
      <c r="U2730" s="100"/>
      <c r="V2730" s="100"/>
      <c r="W2730" s="100"/>
      <c r="X2730" s="100"/>
      <c r="Y2730" s="100"/>
      <c r="Z2730" s="100"/>
    </row>
    <row r="2731" spans="1:26">
      <c r="A2731" s="100"/>
      <c r="B2731" s="100"/>
      <c r="C2731" s="100"/>
      <c r="D2731" s="100"/>
      <c r="E2731" s="100"/>
      <c r="F2731" s="100"/>
      <c r="G2731" s="100"/>
      <c r="H2731" s="100"/>
      <c r="I2731" s="100"/>
      <c r="J2731" s="100"/>
      <c r="K2731" s="100"/>
      <c r="L2731" s="100"/>
      <c r="M2731" s="100"/>
      <c r="N2731" s="100"/>
      <c r="O2731" s="100"/>
      <c r="P2731" s="100"/>
      <c r="Q2731" s="100"/>
      <c r="R2731" s="100"/>
      <c r="S2731" s="100"/>
      <c r="T2731" s="100"/>
      <c r="U2731" s="100"/>
      <c r="V2731" s="100"/>
      <c r="W2731" s="100"/>
      <c r="X2731" s="100"/>
      <c r="Y2731" s="100"/>
      <c r="Z2731" s="100"/>
    </row>
    <row r="2732" spans="1:26">
      <c r="A2732" s="100"/>
      <c r="B2732" s="100"/>
      <c r="C2732" s="100"/>
      <c r="D2732" s="100"/>
      <c r="E2732" s="100"/>
      <c r="F2732" s="100"/>
      <c r="G2732" s="100"/>
      <c r="H2732" s="100"/>
      <c r="I2732" s="100"/>
      <c r="J2732" s="100"/>
      <c r="K2732" s="100"/>
      <c r="L2732" s="100"/>
      <c r="M2732" s="100"/>
      <c r="N2732" s="100"/>
      <c r="O2732" s="100"/>
      <c r="P2732" s="100"/>
      <c r="Q2732" s="100"/>
      <c r="R2732" s="100"/>
      <c r="S2732" s="100"/>
      <c r="T2732" s="100"/>
      <c r="U2732" s="100"/>
      <c r="V2732" s="100"/>
      <c r="W2732" s="100"/>
      <c r="X2732" s="100"/>
      <c r="Y2732" s="100"/>
      <c r="Z2732" s="100"/>
    </row>
    <row r="2733" spans="1:26">
      <c r="A2733" s="100"/>
      <c r="B2733" s="100"/>
      <c r="C2733" s="100"/>
      <c r="D2733" s="100"/>
      <c r="E2733" s="100"/>
      <c r="F2733" s="100"/>
      <c r="G2733" s="100"/>
      <c r="H2733" s="100"/>
      <c r="I2733" s="100"/>
      <c r="J2733" s="100"/>
      <c r="K2733" s="100"/>
      <c r="L2733" s="100"/>
      <c r="M2733" s="100"/>
      <c r="N2733" s="100"/>
      <c r="O2733" s="100"/>
      <c r="P2733" s="100"/>
      <c r="Q2733" s="100"/>
      <c r="R2733" s="100"/>
      <c r="S2733" s="100"/>
      <c r="T2733" s="100"/>
      <c r="U2733" s="100"/>
      <c r="V2733" s="100"/>
      <c r="W2733" s="100"/>
      <c r="X2733" s="100"/>
      <c r="Y2733" s="100"/>
      <c r="Z2733" s="100"/>
    </row>
    <row r="2734" spans="1:26">
      <c r="A2734" s="100"/>
      <c r="B2734" s="100"/>
      <c r="C2734" s="100"/>
      <c r="D2734" s="100"/>
      <c r="E2734" s="100"/>
      <c r="F2734" s="100"/>
      <c r="G2734" s="100"/>
      <c r="H2734" s="100"/>
      <c r="I2734" s="100"/>
      <c r="J2734" s="100"/>
      <c r="K2734" s="100"/>
      <c r="L2734" s="100"/>
      <c r="M2734" s="100"/>
      <c r="N2734" s="100"/>
      <c r="O2734" s="100"/>
      <c r="P2734" s="100"/>
      <c r="Q2734" s="100"/>
      <c r="R2734" s="100"/>
      <c r="S2734" s="100"/>
      <c r="T2734" s="100"/>
      <c r="U2734" s="100"/>
      <c r="V2734" s="100"/>
      <c r="W2734" s="100"/>
      <c r="X2734" s="100"/>
      <c r="Y2734" s="100"/>
      <c r="Z2734" s="100"/>
    </row>
    <row r="2735" spans="1:26">
      <c r="A2735" s="100"/>
      <c r="B2735" s="100"/>
      <c r="C2735" s="100"/>
      <c r="D2735" s="100"/>
      <c r="E2735" s="100"/>
      <c r="F2735" s="100"/>
      <c r="G2735" s="100"/>
      <c r="H2735" s="100"/>
      <c r="I2735" s="100"/>
      <c r="J2735" s="100"/>
      <c r="K2735" s="100"/>
      <c r="L2735" s="100"/>
      <c r="M2735" s="100"/>
      <c r="N2735" s="100"/>
      <c r="O2735" s="100"/>
      <c r="P2735" s="100"/>
      <c r="Q2735" s="100"/>
      <c r="R2735" s="100"/>
      <c r="S2735" s="100"/>
      <c r="T2735" s="100"/>
      <c r="U2735" s="100"/>
      <c r="V2735" s="100"/>
      <c r="W2735" s="100"/>
      <c r="X2735" s="100"/>
      <c r="Y2735" s="100"/>
      <c r="Z2735" s="100"/>
    </row>
    <row r="2736" spans="1:26">
      <c r="A2736" s="100"/>
      <c r="B2736" s="100"/>
      <c r="C2736" s="100"/>
      <c r="D2736" s="100"/>
      <c r="E2736" s="100"/>
      <c r="F2736" s="100"/>
      <c r="G2736" s="100"/>
      <c r="H2736" s="100"/>
      <c r="I2736" s="100"/>
      <c r="J2736" s="100"/>
      <c r="K2736" s="100"/>
      <c r="L2736" s="100"/>
      <c r="M2736" s="100"/>
      <c r="N2736" s="100"/>
      <c r="O2736" s="100"/>
      <c r="P2736" s="100"/>
      <c r="Q2736" s="100"/>
      <c r="R2736" s="100"/>
      <c r="S2736" s="100"/>
      <c r="T2736" s="100"/>
      <c r="U2736" s="100"/>
      <c r="V2736" s="100"/>
      <c r="W2736" s="100"/>
      <c r="X2736" s="100"/>
      <c r="Y2736" s="100"/>
      <c r="Z2736" s="100"/>
    </row>
    <row r="2737" spans="1:26">
      <c r="A2737" s="100"/>
      <c r="B2737" s="100"/>
      <c r="C2737" s="100"/>
      <c r="D2737" s="100"/>
      <c r="E2737" s="100"/>
      <c r="F2737" s="100"/>
      <c r="G2737" s="100"/>
      <c r="H2737" s="100"/>
      <c r="I2737" s="100"/>
      <c r="J2737" s="100"/>
      <c r="K2737" s="100"/>
      <c r="L2737" s="100"/>
      <c r="M2737" s="100"/>
      <c r="N2737" s="100"/>
      <c r="O2737" s="100"/>
      <c r="P2737" s="100"/>
      <c r="Q2737" s="100"/>
      <c r="R2737" s="100"/>
      <c r="S2737" s="100"/>
      <c r="T2737" s="100"/>
      <c r="U2737" s="100"/>
      <c r="V2737" s="100"/>
      <c r="W2737" s="100"/>
      <c r="X2737" s="100"/>
      <c r="Y2737" s="100"/>
      <c r="Z2737" s="100"/>
    </row>
    <row r="2738" spans="1:26">
      <c r="A2738" s="100"/>
      <c r="B2738" s="100"/>
      <c r="C2738" s="100"/>
      <c r="D2738" s="100"/>
      <c r="E2738" s="100"/>
      <c r="F2738" s="100"/>
      <c r="G2738" s="100"/>
      <c r="H2738" s="100"/>
      <c r="I2738" s="100"/>
      <c r="J2738" s="100"/>
      <c r="K2738" s="100"/>
      <c r="L2738" s="100"/>
      <c r="M2738" s="100"/>
      <c r="N2738" s="100"/>
      <c r="O2738" s="100"/>
      <c r="P2738" s="100"/>
      <c r="Q2738" s="100"/>
      <c r="R2738" s="100"/>
      <c r="S2738" s="100"/>
      <c r="T2738" s="100"/>
      <c r="U2738" s="100"/>
      <c r="V2738" s="100"/>
      <c r="W2738" s="100"/>
      <c r="X2738" s="100"/>
      <c r="Y2738" s="100"/>
      <c r="Z2738" s="100"/>
    </row>
    <row r="2739" spans="1:26">
      <c r="A2739" s="100"/>
      <c r="B2739" s="100"/>
      <c r="C2739" s="100"/>
      <c r="D2739" s="100"/>
      <c r="E2739" s="100"/>
      <c r="F2739" s="100"/>
      <c r="G2739" s="100"/>
      <c r="H2739" s="100"/>
      <c r="I2739" s="100"/>
      <c r="J2739" s="100"/>
      <c r="K2739" s="100"/>
      <c r="L2739" s="100"/>
      <c r="M2739" s="100"/>
      <c r="N2739" s="100"/>
      <c r="O2739" s="100"/>
      <c r="P2739" s="100"/>
      <c r="Q2739" s="100"/>
      <c r="R2739" s="100"/>
      <c r="S2739" s="100"/>
      <c r="T2739" s="100"/>
      <c r="U2739" s="100"/>
      <c r="V2739" s="100"/>
      <c r="W2739" s="100"/>
      <c r="X2739" s="100"/>
      <c r="Y2739" s="100"/>
      <c r="Z2739" s="100"/>
    </row>
    <row r="2740" spans="1:26">
      <c r="A2740" s="100"/>
      <c r="B2740" s="100"/>
      <c r="C2740" s="100"/>
      <c r="D2740" s="100"/>
      <c r="E2740" s="100"/>
      <c r="F2740" s="100"/>
      <c r="G2740" s="100"/>
      <c r="H2740" s="100"/>
      <c r="I2740" s="100"/>
      <c r="J2740" s="100"/>
      <c r="K2740" s="100"/>
      <c r="L2740" s="100"/>
      <c r="M2740" s="100"/>
      <c r="N2740" s="100"/>
      <c r="O2740" s="100"/>
      <c r="P2740" s="100"/>
      <c r="Q2740" s="100"/>
      <c r="R2740" s="100"/>
      <c r="S2740" s="100"/>
      <c r="T2740" s="100"/>
      <c r="U2740" s="100"/>
      <c r="V2740" s="100"/>
      <c r="W2740" s="100"/>
      <c r="X2740" s="100"/>
      <c r="Y2740" s="100"/>
      <c r="Z2740" s="100"/>
    </row>
    <row r="2741" spans="1:26">
      <c r="A2741" s="100"/>
      <c r="B2741" s="100"/>
      <c r="C2741" s="100"/>
      <c r="D2741" s="100"/>
      <c r="E2741" s="100"/>
      <c r="F2741" s="100"/>
      <c r="G2741" s="100"/>
      <c r="H2741" s="100"/>
      <c r="I2741" s="100"/>
      <c r="J2741" s="100"/>
      <c r="K2741" s="100"/>
      <c r="L2741" s="100"/>
      <c r="M2741" s="100"/>
      <c r="N2741" s="100"/>
      <c r="O2741" s="100"/>
      <c r="P2741" s="100"/>
      <c r="Q2741" s="100"/>
      <c r="R2741" s="100"/>
      <c r="S2741" s="100"/>
      <c r="T2741" s="100"/>
      <c r="U2741" s="100"/>
      <c r="V2741" s="100"/>
      <c r="W2741" s="100"/>
      <c r="X2741" s="100"/>
      <c r="Y2741" s="100"/>
      <c r="Z2741" s="100"/>
    </row>
    <row r="2742" spans="1:26">
      <c r="A2742" s="100"/>
      <c r="B2742" s="100"/>
      <c r="C2742" s="100"/>
      <c r="D2742" s="100"/>
      <c r="E2742" s="100"/>
      <c r="F2742" s="100"/>
      <c r="G2742" s="100"/>
      <c r="H2742" s="100"/>
      <c r="I2742" s="100"/>
      <c r="J2742" s="100"/>
      <c r="K2742" s="100"/>
      <c r="L2742" s="100"/>
      <c r="M2742" s="100"/>
      <c r="N2742" s="100"/>
      <c r="O2742" s="100"/>
      <c r="P2742" s="100"/>
      <c r="Q2742" s="100"/>
      <c r="R2742" s="100"/>
      <c r="S2742" s="100"/>
      <c r="T2742" s="100"/>
      <c r="U2742" s="100"/>
      <c r="V2742" s="100"/>
      <c r="W2742" s="100"/>
      <c r="X2742" s="100"/>
      <c r="Y2742" s="100"/>
      <c r="Z2742" s="100"/>
    </row>
    <row r="2743" spans="1:26">
      <c r="A2743" s="100"/>
      <c r="B2743" s="100"/>
      <c r="C2743" s="100"/>
      <c r="D2743" s="100"/>
      <c r="E2743" s="100"/>
      <c r="F2743" s="100"/>
      <c r="G2743" s="100"/>
      <c r="H2743" s="100"/>
      <c r="I2743" s="100"/>
      <c r="J2743" s="100"/>
      <c r="K2743" s="100"/>
      <c r="L2743" s="100"/>
      <c r="M2743" s="100"/>
      <c r="N2743" s="100"/>
      <c r="O2743" s="100"/>
      <c r="P2743" s="100"/>
      <c r="Q2743" s="100"/>
      <c r="R2743" s="100"/>
      <c r="S2743" s="100"/>
      <c r="T2743" s="100"/>
      <c r="U2743" s="100"/>
      <c r="V2743" s="100"/>
      <c r="W2743" s="100"/>
      <c r="X2743" s="100"/>
      <c r="Y2743" s="100"/>
      <c r="Z2743" s="100"/>
    </row>
    <row r="2744" spans="1:26">
      <c r="A2744" s="100"/>
      <c r="B2744" s="100"/>
      <c r="C2744" s="100"/>
      <c r="D2744" s="100"/>
      <c r="E2744" s="100"/>
      <c r="F2744" s="100"/>
      <c r="G2744" s="100"/>
      <c r="H2744" s="100"/>
      <c r="I2744" s="100"/>
      <c r="J2744" s="100"/>
      <c r="K2744" s="100"/>
      <c r="L2744" s="100"/>
      <c r="M2744" s="100"/>
      <c r="N2744" s="100"/>
      <c r="O2744" s="100"/>
      <c r="P2744" s="100"/>
      <c r="Q2744" s="100"/>
      <c r="R2744" s="100"/>
      <c r="S2744" s="100"/>
      <c r="T2744" s="100"/>
      <c r="U2744" s="100"/>
      <c r="V2744" s="100"/>
      <c r="W2744" s="100"/>
      <c r="X2744" s="100"/>
      <c r="Y2744" s="100"/>
      <c r="Z2744" s="100"/>
    </row>
    <row r="2745" spans="1:26">
      <c r="A2745" s="100"/>
      <c r="B2745" s="100"/>
      <c r="C2745" s="100"/>
      <c r="D2745" s="100"/>
      <c r="E2745" s="100"/>
      <c r="F2745" s="100"/>
      <c r="G2745" s="100"/>
      <c r="H2745" s="100"/>
      <c r="I2745" s="100"/>
      <c r="J2745" s="100"/>
      <c r="K2745" s="100"/>
      <c r="L2745" s="100"/>
      <c r="M2745" s="100"/>
      <c r="N2745" s="100"/>
      <c r="O2745" s="100"/>
      <c r="P2745" s="100"/>
      <c r="Q2745" s="100"/>
      <c r="R2745" s="100"/>
      <c r="S2745" s="100"/>
      <c r="T2745" s="100"/>
      <c r="U2745" s="100"/>
      <c r="V2745" s="100"/>
      <c r="W2745" s="100"/>
      <c r="X2745" s="100"/>
      <c r="Y2745" s="100"/>
      <c r="Z2745" s="100"/>
    </row>
    <row r="2746" spans="1:26">
      <c r="A2746" s="100"/>
      <c r="B2746" s="100"/>
      <c r="C2746" s="100"/>
      <c r="D2746" s="100"/>
      <c r="E2746" s="100"/>
      <c r="F2746" s="100"/>
      <c r="G2746" s="100"/>
      <c r="H2746" s="100"/>
      <c r="I2746" s="100"/>
      <c r="J2746" s="100"/>
      <c r="K2746" s="100"/>
      <c r="L2746" s="100"/>
      <c r="M2746" s="100"/>
      <c r="N2746" s="100"/>
      <c r="O2746" s="100"/>
      <c r="P2746" s="100"/>
      <c r="Q2746" s="100"/>
      <c r="R2746" s="100"/>
      <c r="S2746" s="100"/>
      <c r="T2746" s="100"/>
      <c r="U2746" s="100"/>
      <c r="V2746" s="100"/>
      <c r="W2746" s="100"/>
      <c r="X2746" s="100"/>
      <c r="Y2746" s="100"/>
      <c r="Z2746" s="100"/>
    </row>
    <row r="2747" spans="1:26">
      <c r="A2747" s="100"/>
      <c r="B2747" s="100"/>
      <c r="C2747" s="100"/>
      <c r="D2747" s="100"/>
      <c r="E2747" s="100"/>
      <c r="F2747" s="100"/>
      <c r="G2747" s="100"/>
      <c r="H2747" s="100"/>
      <c r="I2747" s="100"/>
      <c r="J2747" s="100"/>
      <c r="K2747" s="100"/>
      <c r="L2747" s="100"/>
      <c r="M2747" s="100"/>
      <c r="N2747" s="100"/>
      <c r="O2747" s="100"/>
      <c r="P2747" s="100"/>
      <c r="Q2747" s="100"/>
      <c r="R2747" s="100"/>
      <c r="S2747" s="100"/>
      <c r="T2747" s="100"/>
      <c r="U2747" s="100"/>
      <c r="V2747" s="100"/>
      <c r="W2747" s="100"/>
      <c r="X2747" s="100"/>
      <c r="Y2747" s="100"/>
      <c r="Z2747" s="100"/>
    </row>
    <row r="2748" spans="1:26">
      <c r="A2748" s="100"/>
      <c r="B2748" s="100"/>
      <c r="C2748" s="100"/>
      <c r="D2748" s="100"/>
      <c r="E2748" s="100"/>
      <c r="F2748" s="100"/>
      <c r="G2748" s="100"/>
      <c r="H2748" s="100"/>
      <c r="I2748" s="100"/>
      <c r="J2748" s="100"/>
      <c r="K2748" s="100"/>
      <c r="L2748" s="100"/>
      <c r="M2748" s="100"/>
      <c r="N2748" s="100"/>
      <c r="O2748" s="100"/>
      <c r="P2748" s="100"/>
      <c r="Q2748" s="100"/>
      <c r="R2748" s="100"/>
      <c r="S2748" s="100"/>
      <c r="T2748" s="100"/>
      <c r="U2748" s="100"/>
      <c r="V2748" s="100"/>
      <c r="W2748" s="100"/>
      <c r="X2748" s="100"/>
      <c r="Y2748" s="100"/>
      <c r="Z2748" s="100"/>
    </row>
    <row r="2749" spans="1:26">
      <c r="A2749" s="100"/>
      <c r="B2749" s="100"/>
      <c r="C2749" s="100"/>
      <c r="D2749" s="100"/>
      <c r="E2749" s="100"/>
      <c r="F2749" s="100"/>
      <c r="G2749" s="100"/>
      <c r="H2749" s="100"/>
      <c r="I2749" s="100"/>
      <c r="J2749" s="100"/>
      <c r="K2749" s="100"/>
      <c r="L2749" s="100"/>
      <c r="M2749" s="100"/>
      <c r="N2749" s="100"/>
      <c r="O2749" s="100"/>
      <c r="P2749" s="100"/>
      <c r="Q2749" s="100"/>
      <c r="R2749" s="100"/>
      <c r="S2749" s="100"/>
      <c r="T2749" s="100"/>
      <c r="U2749" s="100"/>
      <c r="V2749" s="100"/>
      <c r="W2749" s="100"/>
      <c r="X2749" s="100"/>
      <c r="Y2749" s="100"/>
      <c r="Z2749" s="100"/>
    </row>
    <row r="2750" spans="1:26">
      <c r="A2750" s="100"/>
      <c r="B2750" s="100"/>
      <c r="C2750" s="100"/>
      <c r="D2750" s="100"/>
      <c r="E2750" s="100"/>
      <c r="F2750" s="100"/>
      <c r="G2750" s="100"/>
      <c r="H2750" s="100"/>
      <c r="I2750" s="100"/>
      <c r="J2750" s="100"/>
      <c r="K2750" s="100"/>
      <c r="L2750" s="100"/>
      <c r="M2750" s="100"/>
      <c r="N2750" s="100"/>
      <c r="O2750" s="100"/>
      <c r="P2750" s="100"/>
      <c r="Q2750" s="100"/>
      <c r="R2750" s="100"/>
      <c r="S2750" s="100"/>
      <c r="T2750" s="100"/>
      <c r="U2750" s="100"/>
      <c r="V2750" s="100"/>
      <c r="W2750" s="100"/>
      <c r="X2750" s="100"/>
      <c r="Y2750" s="100"/>
      <c r="Z2750" s="100"/>
    </row>
    <row r="2751" spans="1:26">
      <c r="A2751" s="100"/>
      <c r="B2751" s="100"/>
      <c r="C2751" s="100"/>
      <c r="D2751" s="100"/>
      <c r="E2751" s="100"/>
      <c r="F2751" s="100"/>
      <c r="G2751" s="100"/>
      <c r="H2751" s="100"/>
      <c r="I2751" s="100"/>
      <c r="J2751" s="100"/>
      <c r="K2751" s="100"/>
      <c r="L2751" s="100"/>
      <c r="M2751" s="100"/>
      <c r="N2751" s="100"/>
      <c r="O2751" s="100"/>
      <c r="P2751" s="100"/>
      <c r="Q2751" s="100"/>
      <c r="R2751" s="100"/>
      <c r="S2751" s="100"/>
      <c r="T2751" s="100"/>
      <c r="U2751" s="100"/>
      <c r="V2751" s="100"/>
      <c r="W2751" s="100"/>
      <c r="X2751" s="100"/>
      <c r="Y2751" s="100"/>
      <c r="Z2751" s="100"/>
    </row>
    <row r="2752" spans="1:26">
      <c r="A2752" s="100"/>
      <c r="B2752" s="100"/>
      <c r="C2752" s="100"/>
      <c r="D2752" s="100"/>
      <c r="E2752" s="100"/>
      <c r="F2752" s="100"/>
      <c r="G2752" s="100"/>
      <c r="H2752" s="100"/>
      <c r="I2752" s="100"/>
      <c r="J2752" s="100"/>
      <c r="K2752" s="100"/>
      <c r="L2752" s="100"/>
      <c r="M2752" s="100"/>
      <c r="N2752" s="100"/>
      <c r="O2752" s="100"/>
      <c r="P2752" s="100"/>
      <c r="Q2752" s="100"/>
      <c r="R2752" s="100"/>
      <c r="S2752" s="100"/>
      <c r="T2752" s="100"/>
      <c r="U2752" s="100"/>
      <c r="V2752" s="100"/>
      <c r="W2752" s="100"/>
      <c r="X2752" s="100"/>
      <c r="Y2752" s="100"/>
      <c r="Z2752" s="100"/>
    </row>
    <row r="2753" spans="1:26">
      <c r="A2753" s="100"/>
      <c r="B2753" s="100"/>
      <c r="C2753" s="100"/>
      <c r="D2753" s="100"/>
      <c r="E2753" s="100"/>
      <c r="F2753" s="100"/>
      <c r="G2753" s="100"/>
      <c r="H2753" s="100"/>
      <c r="I2753" s="100"/>
      <c r="J2753" s="100"/>
      <c r="K2753" s="100"/>
      <c r="L2753" s="100"/>
      <c r="M2753" s="100"/>
      <c r="N2753" s="100"/>
      <c r="O2753" s="100"/>
      <c r="P2753" s="100"/>
      <c r="Q2753" s="100"/>
      <c r="R2753" s="100"/>
      <c r="S2753" s="100"/>
      <c r="T2753" s="100"/>
      <c r="U2753" s="100"/>
      <c r="V2753" s="100"/>
      <c r="W2753" s="100"/>
      <c r="X2753" s="100"/>
      <c r="Y2753" s="100"/>
      <c r="Z2753" s="100"/>
    </row>
    <row r="2754" spans="1:26">
      <c r="A2754" s="100"/>
      <c r="B2754" s="100"/>
      <c r="C2754" s="100"/>
      <c r="D2754" s="100"/>
      <c r="E2754" s="100"/>
      <c r="F2754" s="100"/>
      <c r="G2754" s="100"/>
      <c r="H2754" s="100"/>
      <c r="I2754" s="100"/>
      <c r="J2754" s="100"/>
      <c r="K2754" s="100"/>
      <c r="L2754" s="100"/>
      <c r="M2754" s="100"/>
      <c r="N2754" s="100"/>
      <c r="O2754" s="100"/>
      <c r="P2754" s="100"/>
      <c r="Q2754" s="100"/>
      <c r="R2754" s="100"/>
      <c r="S2754" s="100"/>
      <c r="T2754" s="100"/>
      <c r="U2754" s="100"/>
      <c r="V2754" s="100"/>
      <c r="W2754" s="100"/>
      <c r="X2754" s="100"/>
      <c r="Y2754" s="100"/>
      <c r="Z2754" s="100"/>
    </row>
    <row r="2755" spans="1:26">
      <c r="A2755" s="100"/>
      <c r="B2755" s="100"/>
      <c r="C2755" s="100"/>
      <c r="D2755" s="100"/>
      <c r="E2755" s="100"/>
      <c r="F2755" s="100"/>
      <c r="G2755" s="100"/>
      <c r="H2755" s="100"/>
      <c r="I2755" s="100"/>
      <c r="J2755" s="100"/>
      <c r="K2755" s="100"/>
      <c r="L2755" s="100"/>
      <c r="M2755" s="100"/>
      <c r="N2755" s="100"/>
      <c r="O2755" s="100"/>
      <c r="P2755" s="100"/>
      <c r="Q2755" s="100"/>
      <c r="R2755" s="100"/>
      <c r="S2755" s="100"/>
      <c r="T2755" s="100"/>
      <c r="U2755" s="100"/>
      <c r="V2755" s="100"/>
      <c r="W2755" s="100"/>
      <c r="X2755" s="100"/>
      <c r="Y2755" s="100"/>
      <c r="Z2755" s="100"/>
    </row>
    <row r="2756" spans="1:26">
      <c r="A2756" s="100"/>
      <c r="B2756" s="100"/>
      <c r="C2756" s="100"/>
      <c r="D2756" s="100"/>
      <c r="E2756" s="100"/>
      <c r="F2756" s="100"/>
      <c r="G2756" s="100"/>
      <c r="H2756" s="100"/>
      <c r="I2756" s="100"/>
      <c r="J2756" s="100"/>
      <c r="K2756" s="100"/>
      <c r="L2756" s="100"/>
      <c r="M2756" s="100"/>
      <c r="N2756" s="100"/>
      <c r="O2756" s="100"/>
      <c r="P2756" s="100"/>
      <c r="Q2756" s="100"/>
      <c r="R2756" s="100"/>
      <c r="S2756" s="100"/>
      <c r="T2756" s="100"/>
      <c r="U2756" s="100"/>
      <c r="V2756" s="100"/>
      <c r="W2756" s="100"/>
      <c r="X2756" s="100"/>
      <c r="Y2756" s="100"/>
      <c r="Z2756" s="100"/>
    </row>
    <row r="2757" spans="1:26">
      <c r="A2757" s="100"/>
      <c r="B2757" s="100"/>
      <c r="C2757" s="100"/>
      <c r="D2757" s="100"/>
      <c r="E2757" s="100"/>
      <c r="F2757" s="100"/>
      <c r="G2757" s="100"/>
      <c r="H2757" s="100"/>
      <c r="I2757" s="100"/>
      <c r="J2757" s="100"/>
      <c r="K2757" s="100"/>
      <c r="L2757" s="100"/>
      <c r="M2757" s="100"/>
      <c r="N2757" s="100"/>
      <c r="O2757" s="100"/>
      <c r="P2757" s="100"/>
      <c r="Q2757" s="100"/>
      <c r="R2757" s="100"/>
      <c r="S2757" s="100"/>
      <c r="T2757" s="100"/>
      <c r="U2757" s="100"/>
      <c r="V2757" s="100"/>
      <c r="W2757" s="100"/>
      <c r="X2757" s="100"/>
      <c r="Y2757" s="100"/>
      <c r="Z2757" s="100"/>
    </row>
    <row r="2758" spans="1:26">
      <c r="A2758" s="100"/>
      <c r="B2758" s="100"/>
      <c r="C2758" s="100"/>
      <c r="D2758" s="100"/>
      <c r="E2758" s="100"/>
      <c r="F2758" s="100"/>
      <c r="G2758" s="100"/>
      <c r="H2758" s="100"/>
      <c r="I2758" s="100"/>
      <c r="J2758" s="100"/>
      <c r="K2758" s="100"/>
      <c r="L2758" s="100"/>
      <c r="M2758" s="100"/>
      <c r="N2758" s="100"/>
      <c r="O2758" s="100"/>
      <c r="P2758" s="100"/>
      <c r="Q2758" s="100"/>
      <c r="R2758" s="100"/>
      <c r="S2758" s="100"/>
      <c r="T2758" s="100"/>
      <c r="U2758" s="100"/>
      <c r="V2758" s="100"/>
      <c r="W2758" s="100"/>
      <c r="X2758" s="100"/>
      <c r="Y2758" s="100"/>
      <c r="Z2758" s="100"/>
    </row>
    <row r="2759" spans="1:26">
      <c r="A2759" s="100"/>
      <c r="B2759" s="100"/>
      <c r="C2759" s="100"/>
      <c r="D2759" s="100"/>
      <c r="E2759" s="100"/>
      <c r="F2759" s="100"/>
      <c r="G2759" s="100"/>
      <c r="H2759" s="100"/>
      <c r="I2759" s="100"/>
      <c r="J2759" s="100"/>
      <c r="K2759" s="100"/>
      <c r="L2759" s="100"/>
      <c r="M2759" s="100"/>
      <c r="N2759" s="100"/>
      <c r="O2759" s="100"/>
      <c r="P2759" s="100"/>
      <c r="Q2759" s="100"/>
      <c r="R2759" s="100"/>
      <c r="S2759" s="100"/>
      <c r="T2759" s="100"/>
      <c r="U2759" s="100"/>
      <c r="V2759" s="100"/>
      <c r="W2759" s="100"/>
      <c r="X2759" s="100"/>
      <c r="Y2759" s="100"/>
      <c r="Z2759" s="100"/>
    </row>
    <row r="2760" spans="1:26">
      <c r="A2760" s="100"/>
      <c r="B2760" s="100"/>
      <c r="C2760" s="100"/>
      <c r="D2760" s="100"/>
      <c r="E2760" s="100"/>
      <c r="F2760" s="100"/>
      <c r="G2760" s="100"/>
      <c r="H2760" s="100"/>
      <c r="I2760" s="100"/>
      <c r="J2760" s="100"/>
      <c r="K2760" s="100"/>
      <c r="L2760" s="100"/>
      <c r="M2760" s="100"/>
      <c r="N2760" s="100"/>
      <c r="O2760" s="100"/>
      <c r="P2760" s="100"/>
      <c r="Q2760" s="100"/>
      <c r="R2760" s="100"/>
      <c r="S2760" s="100"/>
      <c r="T2760" s="100"/>
      <c r="U2760" s="100"/>
      <c r="V2760" s="100"/>
      <c r="W2760" s="100"/>
      <c r="X2760" s="100"/>
      <c r="Y2760" s="100"/>
      <c r="Z2760" s="100"/>
    </row>
    <row r="2761" spans="1:26">
      <c r="A2761" s="100"/>
      <c r="B2761" s="100"/>
      <c r="C2761" s="100"/>
      <c r="D2761" s="100"/>
      <c r="E2761" s="100"/>
      <c r="F2761" s="100"/>
      <c r="G2761" s="100"/>
      <c r="H2761" s="100"/>
      <c r="I2761" s="100"/>
      <c r="J2761" s="100"/>
      <c r="K2761" s="100"/>
      <c r="L2761" s="100"/>
      <c r="M2761" s="100"/>
      <c r="N2761" s="100"/>
      <c r="O2761" s="100"/>
      <c r="P2761" s="100"/>
      <c r="Q2761" s="100"/>
      <c r="R2761" s="100"/>
      <c r="S2761" s="100"/>
      <c r="T2761" s="100"/>
      <c r="U2761" s="100"/>
      <c r="V2761" s="100"/>
      <c r="W2761" s="100"/>
      <c r="X2761" s="100"/>
      <c r="Y2761" s="100"/>
      <c r="Z2761" s="100"/>
    </row>
    <row r="2762" spans="1:26">
      <c r="A2762" s="100"/>
      <c r="B2762" s="100"/>
      <c r="C2762" s="100"/>
      <c r="D2762" s="100"/>
      <c r="E2762" s="100"/>
      <c r="F2762" s="100"/>
      <c r="G2762" s="100"/>
      <c r="H2762" s="100"/>
      <c r="I2762" s="100"/>
      <c r="J2762" s="100"/>
      <c r="K2762" s="100"/>
      <c r="L2762" s="100"/>
      <c r="M2762" s="100"/>
      <c r="N2762" s="100"/>
      <c r="O2762" s="100"/>
      <c r="P2762" s="100"/>
      <c r="Q2762" s="100"/>
      <c r="R2762" s="100"/>
      <c r="S2762" s="100"/>
      <c r="T2762" s="100"/>
      <c r="U2762" s="100"/>
      <c r="V2762" s="100"/>
      <c r="W2762" s="100"/>
      <c r="X2762" s="100"/>
      <c r="Y2762" s="100"/>
      <c r="Z2762" s="100"/>
    </row>
    <row r="2763" spans="1:26">
      <c r="A2763" s="100"/>
      <c r="B2763" s="100"/>
      <c r="C2763" s="100"/>
      <c r="D2763" s="100"/>
      <c r="E2763" s="100"/>
      <c r="F2763" s="100"/>
      <c r="G2763" s="100"/>
      <c r="H2763" s="100"/>
      <c r="I2763" s="100"/>
      <c r="J2763" s="100"/>
      <c r="K2763" s="100"/>
      <c r="L2763" s="100"/>
      <c r="M2763" s="100"/>
      <c r="N2763" s="100"/>
      <c r="O2763" s="100"/>
      <c r="P2763" s="100"/>
      <c r="Q2763" s="100"/>
      <c r="R2763" s="100"/>
      <c r="S2763" s="100"/>
      <c r="T2763" s="100"/>
      <c r="U2763" s="100"/>
      <c r="V2763" s="100"/>
      <c r="W2763" s="100"/>
      <c r="X2763" s="100"/>
      <c r="Y2763" s="100"/>
      <c r="Z2763" s="100"/>
    </row>
    <row r="2764" spans="1:26">
      <c r="A2764" s="100"/>
      <c r="B2764" s="100"/>
      <c r="C2764" s="100"/>
      <c r="D2764" s="100"/>
      <c r="E2764" s="100"/>
      <c r="F2764" s="100"/>
      <c r="G2764" s="100"/>
      <c r="H2764" s="100"/>
      <c r="I2764" s="100"/>
      <c r="J2764" s="100"/>
      <c r="K2764" s="100"/>
      <c r="L2764" s="100"/>
      <c r="M2764" s="100"/>
      <c r="N2764" s="100"/>
      <c r="O2764" s="100"/>
      <c r="P2764" s="100"/>
      <c r="Q2764" s="100"/>
      <c r="R2764" s="100"/>
      <c r="S2764" s="100"/>
      <c r="T2764" s="100"/>
      <c r="U2764" s="100"/>
      <c r="V2764" s="100"/>
      <c r="W2764" s="100"/>
      <c r="X2764" s="100"/>
      <c r="Y2764" s="100"/>
      <c r="Z2764" s="100"/>
    </row>
    <row r="2765" spans="1:26">
      <c r="A2765" s="100"/>
      <c r="B2765" s="100"/>
      <c r="C2765" s="100"/>
      <c r="D2765" s="100"/>
      <c r="E2765" s="100"/>
      <c r="F2765" s="100"/>
      <c r="G2765" s="100"/>
      <c r="H2765" s="100"/>
      <c r="I2765" s="100"/>
      <c r="J2765" s="100"/>
      <c r="K2765" s="100"/>
      <c r="L2765" s="100"/>
      <c r="M2765" s="100"/>
      <c r="N2765" s="100"/>
      <c r="O2765" s="100"/>
      <c r="P2765" s="100"/>
      <c r="Q2765" s="100"/>
      <c r="R2765" s="100"/>
      <c r="S2765" s="100"/>
      <c r="T2765" s="100"/>
      <c r="U2765" s="100"/>
      <c r="V2765" s="100"/>
      <c r="W2765" s="100"/>
      <c r="X2765" s="100"/>
      <c r="Y2765" s="100"/>
      <c r="Z2765" s="100"/>
    </row>
    <row r="2766" spans="1:26">
      <c r="A2766" s="100"/>
      <c r="B2766" s="100"/>
      <c r="C2766" s="100"/>
      <c r="D2766" s="100"/>
      <c r="E2766" s="100"/>
      <c r="F2766" s="100"/>
      <c r="G2766" s="100"/>
      <c r="H2766" s="100"/>
      <c r="I2766" s="100"/>
      <c r="J2766" s="100"/>
      <c r="K2766" s="100"/>
      <c r="L2766" s="100"/>
      <c r="M2766" s="100"/>
      <c r="N2766" s="100"/>
      <c r="O2766" s="100"/>
      <c r="P2766" s="100"/>
      <c r="Q2766" s="100"/>
      <c r="R2766" s="100"/>
      <c r="S2766" s="100"/>
      <c r="T2766" s="100"/>
      <c r="U2766" s="100"/>
      <c r="V2766" s="100"/>
      <c r="W2766" s="100"/>
      <c r="X2766" s="100"/>
      <c r="Y2766" s="100"/>
      <c r="Z2766" s="100"/>
    </row>
    <row r="2767" spans="1:26">
      <c r="A2767" s="100"/>
      <c r="B2767" s="100"/>
      <c r="C2767" s="100"/>
      <c r="D2767" s="100"/>
      <c r="E2767" s="100"/>
      <c r="F2767" s="100"/>
      <c r="G2767" s="100"/>
      <c r="H2767" s="100"/>
      <c r="I2767" s="100"/>
      <c r="J2767" s="100"/>
      <c r="K2767" s="100"/>
      <c r="L2767" s="100"/>
      <c r="M2767" s="100"/>
      <c r="N2767" s="100"/>
      <c r="O2767" s="100"/>
      <c r="P2767" s="100"/>
      <c r="Q2767" s="100"/>
      <c r="R2767" s="100"/>
      <c r="S2767" s="100"/>
      <c r="T2767" s="100"/>
      <c r="U2767" s="100"/>
      <c r="V2767" s="100"/>
      <c r="W2767" s="100"/>
      <c r="X2767" s="100"/>
      <c r="Y2767" s="100"/>
      <c r="Z2767" s="100"/>
    </row>
    <row r="2768" spans="1:26">
      <c r="A2768" s="100"/>
      <c r="B2768" s="100"/>
      <c r="C2768" s="100"/>
      <c r="D2768" s="100"/>
      <c r="E2768" s="100"/>
      <c r="F2768" s="100"/>
      <c r="G2768" s="100"/>
      <c r="H2768" s="100"/>
      <c r="I2768" s="100"/>
      <c r="J2768" s="100"/>
      <c r="K2768" s="100"/>
      <c r="L2768" s="100"/>
      <c r="M2768" s="100"/>
      <c r="N2768" s="100"/>
      <c r="O2768" s="100"/>
      <c r="P2768" s="100"/>
      <c r="Q2768" s="100"/>
      <c r="R2768" s="100"/>
      <c r="S2768" s="100"/>
      <c r="T2768" s="100"/>
      <c r="U2768" s="100"/>
      <c r="V2768" s="100"/>
      <c r="W2768" s="100"/>
      <c r="X2768" s="100"/>
      <c r="Y2768" s="100"/>
      <c r="Z2768" s="100"/>
    </row>
    <row r="2769" spans="1:26">
      <c r="A2769" s="100"/>
      <c r="B2769" s="100"/>
      <c r="C2769" s="100"/>
      <c r="D2769" s="100"/>
      <c r="E2769" s="100"/>
      <c r="F2769" s="100"/>
      <c r="G2769" s="100"/>
      <c r="H2769" s="100"/>
      <c r="I2769" s="100"/>
      <c r="J2769" s="100"/>
      <c r="K2769" s="100"/>
      <c r="L2769" s="100"/>
      <c r="M2769" s="100"/>
      <c r="N2769" s="100"/>
      <c r="O2769" s="100"/>
      <c r="P2769" s="100"/>
      <c r="Q2769" s="100"/>
      <c r="R2769" s="100"/>
      <c r="S2769" s="100"/>
      <c r="T2769" s="100"/>
      <c r="U2769" s="100"/>
      <c r="V2769" s="100"/>
      <c r="W2769" s="100"/>
      <c r="X2769" s="100"/>
      <c r="Y2769" s="100"/>
      <c r="Z2769" s="100"/>
    </row>
    <row r="2770" spans="1:26">
      <c r="A2770" s="100"/>
      <c r="B2770" s="100"/>
      <c r="C2770" s="100"/>
      <c r="D2770" s="100"/>
      <c r="E2770" s="100"/>
      <c r="F2770" s="100"/>
      <c r="G2770" s="100"/>
      <c r="H2770" s="100"/>
      <c r="I2770" s="100"/>
      <c r="J2770" s="100"/>
      <c r="K2770" s="100"/>
      <c r="L2770" s="100"/>
      <c r="M2770" s="100"/>
      <c r="N2770" s="100"/>
      <c r="O2770" s="100"/>
      <c r="P2770" s="100"/>
      <c r="Q2770" s="100"/>
      <c r="R2770" s="100"/>
      <c r="S2770" s="100"/>
      <c r="T2770" s="100"/>
      <c r="U2770" s="100"/>
      <c r="V2770" s="100"/>
      <c r="W2770" s="100"/>
      <c r="X2770" s="100"/>
      <c r="Y2770" s="100"/>
      <c r="Z2770" s="100"/>
    </row>
    <row r="2771" spans="1:26">
      <c r="A2771" s="100"/>
      <c r="B2771" s="100"/>
      <c r="C2771" s="100"/>
      <c r="D2771" s="100"/>
      <c r="E2771" s="100"/>
      <c r="F2771" s="100"/>
      <c r="G2771" s="100"/>
      <c r="H2771" s="100"/>
      <c r="I2771" s="100"/>
      <c r="J2771" s="100"/>
      <c r="K2771" s="100"/>
      <c r="L2771" s="100"/>
      <c r="M2771" s="100"/>
      <c r="N2771" s="100"/>
      <c r="O2771" s="100"/>
      <c r="P2771" s="100"/>
      <c r="Q2771" s="100"/>
      <c r="R2771" s="100"/>
      <c r="S2771" s="100"/>
      <c r="T2771" s="100"/>
      <c r="U2771" s="100"/>
      <c r="V2771" s="100"/>
      <c r="W2771" s="100"/>
      <c r="X2771" s="100"/>
      <c r="Y2771" s="100"/>
      <c r="Z2771" s="100"/>
    </row>
    <row r="2772" spans="1:26">
      <c r="A2772" s="100"/>
      <c r="B2772" s="100"/>
      <c r="C2772" s="100"/>
      <c r="D2772" s="100"/>
      <c r="E2772" s="100"/>
      <c r="F2772" s="100"/>
      <c r="G2772" s="100"/>
      <c r="H2772" s="100"/>
      <c r="I2772" s="100"/>
      <c r="J2772" s="100"/>
      <c r="K2772" s="100"/>
      <c r="L2772" s="100"/>
      <c r="M2772" s="100"/>
      <c r="N2772" s="100"/>
      <c r="O2772" s="100"/>
      <c r="P2772" s="100"/>
      <c r="Q2772" s="100"/>
      <c r="R2772" s="100"/>
      <c r="S2772" s="100"/>
      <c r="T2772" s="100"/>
      <c r="U2772" s="100"/>
      <c r="V2772" s="100"/>
      <c r="W2772" s="100"/>
      <c r="X2772" s="100"/>
      <c r="Y2772" s="100"/>
      <c r="Z2772" s="100"/>
    </row>
    <row r="2773" spans="1:26">
      <c r="A2773" s="100"/>
      <c r="B2773" s="100"/>
      <c r="C2773" s="100"/>
      <c r="D2773" s="100"/>
      <c r="E2773" s="100"/>
      <c r="F2773" s="100"/>
      <c r="G2773" s="100"/>
      <c r="H2773" s="100"/>
      <c r="I2773" s="100"/>
      <c r="J2773" s="100"/>
      <c r="K2773" s="100"/>
      <c r="L2773" s="100"/>
      <c r="M2773" s="100"/>
      <c r="N2773" s="100"/>
      <c r="O2773" s="100"/>
      <c r="P2773" s="100"/>
      <c r="Q2773" s="100"/>
      <c r="R2773" s="100"/>
      <c r="S2773" s="100"/>
      <c r="T2773" s="100"/>
      <c r="U2773" s="100"/>
      <c r="V2773" s="100"/>
      <c r="W2773" s="100"/>
      <c r="X2773" s="100"/>
      <c r="Y2773" s="100"/>
      <c r="Z2773" s="100"/>
    </row>
    <row r="2774" spans="1:26">
      <c r="A2774" s="100"/>
      <c r="B2774" s="100"/>
      <c r="C2774" s="100"/>
      <c r="D2774" s="100"/>
      <c r="E2774" s="100"/>
      <c r="F2774" s="100"/>
      <c r="G2774" s="100"/>
      <c r="H2774" s="100"/>
      <c r="I2774" s="100"/>
      <c r="J2774" s="100"/>
      <c r="K2774" s="100"/>
      <c r="L2774" s="100"/>
      <c r="M2774" s="100"/>
      <c r="N2774" s="100"/>
      <c r="O2774" s="100"/>
      <c r="P2774" s="100"/>
      <c r="Q2774" s="100"/>
      <c r="R2774" s="100"/>
      <c r="S2774" s="100"/>
      <c r="T2774" s="100"/>
      <c r="U2774" s="100"/>
      <c r="V2774" s="100"/>
      <c r="W2774" s="100"/>
      <c r="X2774" s="100"/>
      <c r="Y2774" s="100"/>
      <c r="Z2774" s="100"/>
    </row>
    <row r="2775" spans="1:26">
      <c r="A2775" s="100"/>
      <c r="B2775" s="100"/>
      <c r="C2775" s="100"/>
      <c r="D2775" s="100"/>
      <c r="E2775" s="100"/>
      <c r="F2775" s="100"/>
      <c r="G2775" s="100"/>
      <c r="H2775" s="100"/>
      <c r="I2775" s="100"/>
      <c r="J2775" s="100"/>
      <c r="K2775" s="100"/>
      <c r="L2775" s="100"/>
      <c r="M2775" s="100"/>
      <c r="N2775" s="100"/>
      <c r="O2775" s="100"/>
      <c r="P2775" s="100"/>
      <c r="Q2775" s="100"/>
      <c r="R2775" s="100"/>
      <c r="S2775" s="100"/>
      <c r="T2775" s="100"/>
      <c r="U2775" s="100"/>
      <c r="V2775" s="100"/>
      <c r="W2775" s="100"/>
      <c r="X2775" s="100"/>
      <c r="Y2775" s="100"/>
      <c r="Z2775" s="100"/>
    </row>
    <row r="2776" spans="1:26">
      <c r="A2776" s="100"/>
      <c r="B2776" s="100"/>
      <c r="C2776" s="100"/>
      <c r="D2776" s="100"/>
      <c r="E2776" s="100"/>
      <c r="F2776" s="100"/>
      <c r="G2776" s="100"/>
      <c r="H2776" s="100"/>
      <c r="I2776" s="100"/>
      <c r="J2776" s="100"/>
      <c r="K2776" s="100"/>
      <c r="L2776" s="100"/>
      <c r="M2776" s="100"/>
      <c r="N2776" s="100"/>
      <c r="O2776" s="100"/>
      <c r="P2776" s="100"/>
      <c r="Q2776" s="100"/>
      <c r="R2776" s="100"/>
      <c r="S2776" s="100"/>
      <c r="T2776" s="100"/>
      <c r="U2776" s="100"/>
      <c r="V2776" s="100"/>
      <c r="W2776" s="100"/>
      <c r="X2776" s="100"/>
      <c r="Y2776" s="100"/>
      <c r="Z2776" s="100"/>
    </row>
    <row r="2777" spans="1:26">
      <c r="A2777" s="100"/>
      <c r="B2777" s="100"/>
      <c r="C2777" s="100"/>
      <c r="D2777" s="100"/>
      <c r="E2777" s="100"/>
      <c r="F2777" s="100"/>
      <c r="G2777" s="100"/>
      <c r="H2777" s="100"/>
      <c r="I2777" s="100"/>
      <c r="J2777" s="100"/>
      <c r="K2777" s="100"/>
      <c r="L2777" s="100"/>
      <c r="M2777" s="100"/>
      <c r="N2777" s="100"/>
      <c r="O2777" s="100"/>
      <c r="P2777" s="100"/>
      <c r="Q2777" s="100"/>
      <c r="R2777" s="100"/>
      <c r="S2777" s="100"/>
      <c r="T2777" s="100"/>
      <c r="U2777" s="100"/>
      <c r="V2777" s="100"/>
      <c r="W2777" s="100"/>
      <c r="X2777" s="100"/>
      <c r="Y2777" s="100"/>
      <c r="Z2777" s="100"/>
    </row>
    <row r="2778" spans="1:26">
      <c r="A2778" s="100"/>
      <c r="B2778" s="100"/>
      <c r="C2778" s="100"/>
      <c r="D2778" s="100"/>
      <c r="E2778" s="100"/>
      <c r="F2778" s="100"/>
      <c r="G2778" s="100"/>
      <c r="H2778" s="100"/>
      <c r="I2778" s="100"/>
      <c r="J2778" s="100"/>
      <c r="K2778" s="100"/>
      <c r="L2778" s="100"/>
      <c r="M2778" s="100"/>
      <c r="N2778" s="100"/>
      <c r="O2778" s="100"/>
      <c r="P2778" s="100"/>
      <c r="Q2778" s="100"/>
      <c r="R2778" s="100"/>
      <c r="S2778" s="100"/>
      <c r="T2778" s="100"/>
      <c r="U2778" s="100"/>
      <c r="V2778" s="100"/>
      <c r="W2778" s="100"/>
      <c r="X2778" s="100"/>
      <c r="Y2778" s="100"/>
      <c r="Z2778" s="100"/>
    </row>
    <row r="2779" spans="1:26">
      <c r="A2779" s="100"/>
      <c r="B2779" s="100"/>
      <c r="C2779" s="100"/>
      <c r="D2779" s="100"/>
      <c r="E2779" s="100"/>
      <c r="F2779" s="100"/>
      <c r="G2779" s="100"/>
      <c r="H2779" s="100"/>
      <c r="I2779" s="100"/>
      <c r="J2779" s="100"/>
      <c r="K2779" s="100"/>
      <c r="L2779" s="100"/>
      <c r="M2779" s="100"/>
      <c r="N2779" s="100"/>
      <c r="O2779" s="100"/>
      <c r="P2779" s="100"/>
      <c r="Q2779" s="100"/>
      <c r="R2779" s="100"/>
      <c r="S2779" s="100"/>
      <c r="T2779" s="100"/>
      <c r="U2779" s="100"/>
      <c r="V2779" s="100"/>
      <c r="W2779" s="100"/>
      <c r="X2779" s="100"/>
      <c r="Y2779" s="100"/>
      <c r="Z2779" s="100"/>
    </row>
    <row r="2780" spans="1:26">
      <c r="A2780" s="100"/>
      <c r="B2780" s="100"/>
      <c r="C2780" s="100"/>
      <c r="D2780" s="100"/>
      <c r="E2780" s="100"/>
      <c r="F2780" s="100"/>
      <c r="G2780" s="100"/>
      <c r="H2780" s="100"/>
      <c r="I2780" s="100"/>
      <c r="J2780" s="100"/>
      <c r="K2780" s="100"/>
      <c r="L2780" s="100"/>
      <c r="M2780" s="100"/>
      <c r="N2780" s="100"/>
      <c r="O2780" s="100"/>
      <c r="P2780" s="100"/>
      <c r="Q2780" s="100"/>
      <c r="R2780" s="100"/>
      <c r="S2780" s="100"/>
      <c r="T2780" s="100"/>
      <c r="U2780" s="100"/>
      <c r="V2780" s="100"/>
      <c r="W2780" s="100"/>
      <c r="X2780" s="100"/>
      <c r="Y2780" s="100"/>
      <c r="Z2780" s="100"/>
    </row>
    <row r="2781" spans="1:26">
      <c r="A2781" s="100"/>
      <c r="B2781" s="100"/>
      <c r="C2781" s="100"/>
      <c r="D2781" s="100"/>
      <c r="E2781" s="100"/>
      <c r="F2781" s="100"/>
      <c r="G2781" s="100"/>
      <c r="H2781" s="100"/>
      <c r="I2781" s="100"/>
      <c r="J2781" s="100"/>
      <c r="K2781" s="100"/>
      <c r="L2781" s="100"/>
      <c r="M2781" s="100"/>
      <c r="N2781" s="100"/>
      <c r="O2781" s="100"/>
      <c r="P2781" s="100"/>
      <c r="Q2781" s="100"/>
      <c r="R2781" s="100"/>
      <c r="S2781" s="100"/>
      <c r="T2781" s="100"/>
      <c r="U2781" s="100"/>
      <c r="V2781" s="100"/>
      <c r="W2781" s="100"/>
      <c r="X2781" s="100"/>
      <c r="Y2781" s="100"/>
      <c r="Z2781" s="100"/>
    </row>
    <row r="2782" spans="1:26">
      <c r="A2782" s="100"/>
      <c r="B2782" s="100"/>
      <c r="C2782" s="100"/>
      <c r="D2782" s="100"/>
      <c r="E2782" s="100"/>
      <c r="F2782" s="100"/>
      <c r="G2782" s="100"/>
      <c r="H2782" s="100"/>
      <c r="I2782" s="100"/>
      <c r="J2782" s="100"/>
      <c r="K2782" s="100"/>
      <c r="L2782" s="100"/>
      <c r="M2782" s="100"/>
      <c r="N2782" s="100"/>
      <c r="O2782" s="100"/>
      <c r="P2782" s="100"/>
      <c r="Q2782" s="100"/>
      <c r="R2782" s="100"/>
      <c r="S2782" s="100"/>
      <c r="T2782" s="100"/>
      <c r="U2782" s="100"/>
      <c r="V2782" s="100"/>
      <c r="W2782" s="100"/>
      <c r="X2782" s="100"/>
      <c r="Y2782" s="100"/>
      <c r="Z2782" s="100"/>
    </row>
    <row r="2783" spans="1:26">
      <c r="A2783" s="100"/>
      <c r="B2783" s="100"/>
      <c r="C2783" s="100"/>
      <c r="D2783" s="100"/>
      <c r="E2783" s="100"/>
      <c r="F2783" s="100"/>
      <c r="G2783" s="100"/>
      <c r="H2783" s="100"/>
      <c r="I2783" s="100"/>
      <c r="J2783" s="100"/>
      <c r="K2783" s="100"/>
      <c r="L2783" s="100"/>
      <c r="M2783" s="100"/>
      <c r="N2783" s="100"/>
      <c r="O2783" s="100"/>
      <c r="P2783" s="100"/>
      <c r="Q2783" s="100"/>
      <c r="R2783" s="100"/>
      <c r="S2783" s="100"/>
      <c r="T2783" s="100"/>
      <c r="U2783" s="100"/>
      <c r="V2783" s="100"/>
      <c r="W2783" s="100"/>
      <c r="X2783" s="100"/>
      <c r="Y2783" s="100"/>
      <c r="Z2783" s="100"/>
    </row>
    <row r="2784" spans="1:26">
      <c r="A2784" s="100"/>
      <c r="B2784" s="100"/>
      <c r="C2784" s="100"/>
      <c r="D2784" s="100"/>
      <c r="E2784" s="100"/>
      <c r="F2784" s="100"/>
      <c r="G2784" s="100"/>
      <c r="H2784" s="100"/>
      <c r="I2784" s="100"/>
      <c r="J2784" s="100"/>
      <c r="K2784" s="100"/>
      <c r="L2784" s="100"/>
      <c r="M2784" s="100"/>
      <c r="N2784" s="100"/>
      <c r="O2784" s="100"/>
      <c r="P2784" s="100"/>
      <c r="Q2784" s="100"/>
      <c r="R2784" s="100"/>
      <c r="S2784" s="100"/>
      <c r="T2784" s="100"/>
      <c r="U2784" s="100"/>
      <c r="V2784" s="100"/>
      <c r="W2784" s="100"/>
      <c r="X2784" s="100"/>
      <c r="Y2784" s="100"/>
      <c r="Z2784" s="100"/>
    </row>
    <row r="2785" spans="1:26">
      <c r="A2785" s="100"/>
      <c r="B2785" s="100"/>
      <c r="C2785" s="100"/>
      <c r="D2785" s="100"/>
      <c r="E2785" s="100"/>
      <c r="F2785" s="100"/>
      <c r="G2785" s="100"/>
      <c r="H2785" s="100"/>
      <c r="I2785" s="100"/>
      <c r="J2785" s="100"/>
      <c r="K2785" s="100"/>
      <c r="L2785" s="100"/>
      <c r="M2785" s="100"/>
      <c r="N2785" s="100"/>
      <c r="O2785" s="100"/>
      <c r="P2785" s="100"/>
      <c r="Q2785" s="100"/>
      <c r="R2785" s="100"/>
      <c r="S2785" s="100"/>
      <c r="T2785" s="100"/>
      <c r="U2785" s="100"/>
      <c r="V2785" s="100"/>
      <c r="W2785" s="100"/>
      <c r="X2785" s="100"/>
      <c r="Y2785" s="100"/>
      <c r="Z2785" s="100"/>
    </row>
    <row r="2786" spans="1:26">
      <c r="A2786" s="100"/>
      <c r="B2786" s="100"/>
      <c r="C2786" s="100"/>
      <c r="D2786" s="100"/>
      <c r="E2786" s="100"/>
      <c r="F2786" s="100"/>
      <c r="G2786" s="100"/>
      <c r="H2786" s="100"/>
      <c r="I2786" s="100"/>
      <c r="J2786" s="100"/>
      <c r="K2786" s="100"/>
      <c r="L2786" s="100"/>
      <c r="M2786" s="100"/>
      <c r="N2786" s="100"/>
      <c r="O2786" s="100"/>
      <c r="P2786" s="100"/>
      <c r="Q2786" s="100"/>
      <c r="R2786" s="100"/>
      <c r="S2786" s="100"/>
      <c r="T2786" s="100"/>
      <c r="U2786" s="100"/>
      <c r="V2786" s="100"/>
      <c r="W2786" s="100"/>
      <c r="X2786" s="100"/>
      <c r="Y2786" s="100"/>
      <c r="Z2786" s="100"/>
    </row>
    <row r="2787" spans="1:26">
      <c r="A2787" s="100"/>
      <c r="B2787" s="100"/>
      <c r="C2787" s="100"/>
      <c r="D2787" s="100"/>
      <c r="E2787" s="100"/>
      <c r="F2787" s="100"/>
      <c r="G2787" s="100"/>
      <c r="H2787" s="100"/>
      <c r="I2787" s="100"/>
      <c r="J2787" s="100"/>
      <c r="K2787" s="100"/>
      <c r="L2787" s="100"/>
      <c r="M2787" s="100"/>
      <c r="N2787" s="100"/>
      <c r="O2787" s="100"/>
      <c r="P2787" s="100"/>
      <c r="Q2787" s="100"/>
      <c r="R2787" s="100"/>
      <c r="S2787" s="100"/>
      <c r="T2787" s="100"/>
      <c r="U2787" s="100"/>
      <c r="V2787" s="100"/>
      <c r="W2787" s="100"/>
      <c r="X2787" s="100"/>
      <c r="Y2787" s="100"/>
      <c r="Z2787" s="100"/>
    </row>
    <row r="2788" spans="1:26">
      <c r="A2788" s="100"/>
      <c r="B2788" s="100"/>
      <c r="C2788" s="100"/>
      <c r="D2788" s="100"/>
      <c r="E2788" s="100"/>
      <c r="F2788" s="100"/>
      <c r="G2788" s="100"/>
      <c r="H2788" s="100"/>
      <c r="I2788" s="100"/>
      <c r="J2788" s="100"/>
      <c r="K2788" s="100"/>
      <c r="L2788" s="100"/>
      <c r="M2788" s="100"/>
      <c r="N2788" s="100"/>
      <c r="O2788" s="100"/>
      <c r="P2788" s="100"/>
      <c r="Q2788" s="100"/>
      <c r="R2788" s="100"/>
      <c r="S2788" s="100"/>
      <c r="T2788" s="100"/>
      <c r="U2788" s="100"/>
      <c r="V2788" s="100"/>
      <c r="W2788" s="100"/>
      <c r="X2788" s="100"/>
      <c r="Y2788" s="100"/>
      <c r="Z2788" s="100"/>
    </row>
    <row r="2789" spans="1:26">
      <c r="A2789" s="100"/>
      <c r="B2789" s="100"/>
      <c r="C2789" s="100"/>
      <c r="D2789" s="100"/>
      <c r="E2789" s="100"/>
      <c r="F2789" s="100"/>
      <c r="G2789" s="100"/>
      <c r="H2789" s="100"/>
      <c r="I2789" s="100"/>
      <c r="J2789" s="100"/>
      <c r="K2789" s="100"/>
      <c r="L2789" s="100"/>
      <c r="M2789" s="100"/>
      <c r="N2789" s="100"/>
      <c r="O2789" s="100"/>
      <c r="P2789" s="100"/>
      <c r="Q2789" s="100"/>
      <c r="R2789" s="100"/>
      <c r="S2789" s="100"/>
      <c r="T2789" s="100"/>
      <c r="U2789" s="100"/>
      <c r="V2789" s="100"/>
      <c r="W2789" s="100"/>
      <c r="X2789" s="100"/>
      <c r="Y2789" s="100"/>
      <c r="Z2789" s="100"/>
    </row>
    <row r="2790" spans="1:26">
      <c r="A2790" s="100"/>
      <c r="B2790" s="100"/>
      <c r="C2790" s="100"/>
      <c r="D2790" s="100"/>
      <c r="E2790" s="100"/>
      <c r="F2790" s="100"/>
      <c r="G2790" s="100"/>
      <c r="H2790" s="100"/>
      <c r="I2790" s="100"/>
      <c r="J2790" s="100"/>
      <c r="K2790" s="100"/>
      <c r="L2790" s="100"/>
      <c r="M2790" s="100"/>
      <c r="N2790" s="100"/>
      <c r="O2790" s="100"/>
      <c r="P2790" s="100"/>
      <c r="Q2790" s="100"/>
      <c r="R2790" s="100"/>
      <c r="S2790" s="100"/>
      <c r="T2790" s="100"/>
      <c r="U2790" s="100"/>
      <c r="V2790" s="100"/>
      <c r="W2790" s="100"/>
      <c r="X2790" s="100"/>
      <c r="Y2790" s="100"/>
      <c r="Z2790" s="100"/>
    </row>
    <row r="2791" spans="1:26">
      <c r="A2791" s="100"/>
      <c r="B2791" s="100"/>
      <c r="C2791" s="100"/>
      <c r="D2791" s="100"/>
      <c r="E2791" s="100"/>
      <c r="F2791" s="100"/>
      <c r="G2791" s="100"/>
      <c r="H2791" s="100"/>
      <c r="I2791" s="100"/>
      <c r="J2791" s="100"/>
      <c r="K2791" s="100"/>
      <c r="L2791" s="100"/>
      <c r="M2791" s="100"/>
      <c r="N2791" s="100"/>
      <c r="O2791" s="100"/>
      <c r="P2791" s="100"/>
      <c r="Q2791" s="100"/>
      <c r="R2791" s="100"/>
      <c r="S2791" s="100"/>
      <c r="T2791" s="100"/>
      <c r="U2791" s="100"/>
      <c r="V2791" s="100"/>
      <c r="W2791" s="100"/>
      <c r="X2791" s="100"/>
      <c r="Y2791" s="100"/>
      <c r="Z2791" s="100"/>
    </row>
    <row r="2792" spans="1:26">
      <c r="A2792" s="100"/>
      <c r="B2792" s="100"/>
      <c r="C2792" s="100"/>
      <c r="D2792" s="100"/>
      <c r="E2792" s="100"/>
      <c r="F2792" s="100"/>
      <c r="G2792" s="100"/>
      <c r="H2792" s="100"/>
      <c r="I2792" s="100"/>
      <c r="J2792" s="100"/>
      <c r="K2792" s="100"/>
      <c r="L2792" s="100"/>
      <c r="M2792" s="100"/>
      <c r="N2792" s="100"/>
      <c r="O2792" s="100"/>
      <c r="P2792" s="100"/>
      <c r="Q2792" s="100"/>
      <c r="R2792" s="100"/>
      <c r="S2792" s="100"/>
      <c r="T2792" s="100"/>
      <c r="U2792" s="100"/>
      <c r="V2792" s="100"/>
      <c r="W2792" s="100"/>
      <c r="X2792" s="100"/>
      <c r="Y2792" s="100"/>
      <c r="Z2792" s="100"/>
    </row>
    <row r="2793" spans="1:26">
      <c r="A2793" s="100"/>
      <c r="B2793" s="100"/>
      <c r="C2793" s="100"/>
      <c r="D2793" s="100"/>
      <c r="E2793" s="100"/>
      <c r="F2793" s="100"/>
      <c r="G2793" s="100"/>
      <c r="H2793" s="100"/>
      <c r="I2793" s="100"/>
      <c r="J2793" s="100"/>
      <c r="K2793" s="100"/>
      <c r="L2793" s="100"/>
      <c r="M2793" s="100"/>
      <c r="N2793" s="100"/>
      <c r="O2793" s="100"/>
      <c r="P2793" s="100"/>
      <c r="Q2793" s="100"/>
      <c r="R2793" s="100"/>
      <c r="S2793" s="100"/>
      <c r="T2793" s="100"/>
      <c r="U2793" s="100"/>
      <c r="V2793" s="100"/>
      <c r="W2793" s="100"/>
      <c r="X2793" s="100"/>
      <c r="Y2793" s="100"/>
      <c r="Z2793" s="100"/>
    </row>
    <row r="2794" spans="1:26">
      <c r="A2794" s="100"/>
      <c r="B2794" s="100"/>
      <c r="C2794" s="100"/>
      <c r="D2794" s="100"/>
      <c r="E2794" s="100"/>
      <c r="F2794" s="100"/>
      <c r="G2794" s="100"/>
      <c r="H2794" s="100"/>
      <c r="I2794" s="100"/>
      <c r="J2794" s="100"/>
      <c r="K2794" s="100"/>
      <c r="L2794" s="100"/>
      <c r="M2794" s="100"/>
      <c r="N2794" s="100"/>
      <c r="O2794" s="100"/>
      <c r="P2794" s="100"/>
      <c r="Q2794" s="100"/>
      <c r="R2794" s="100"/>
      <c r="S2794" s="100"/>
      <c r="T2794" s="100"/>
      <c r="U2794" s="100"/>
      <c r="V2794" s="100"/>
      <c r="W2794" s="100"/>
      <c r="X2794" s="100"/>
      <c r="Y2794" s="100"/>
      <c r="Z2794" s="100"/>
    </row>
    <row r="2795" spans="1:26">
      <c r="A2795" s="100"/>
      <c r="B2795" s="100"/>
      <c r="C2795" s="100"/>
      <c r="D2795" s="100"/>
      <c r="E2795" s="100"/>
      <c r="F2795" s="100"/>
      <c r="G2795" s="100"/>
      <c r="H2795" s="100"/>
      <c r="I2795" s="100"/>
      <c r="J2795" s="100"/>
      <c r="K2795" s="100"/>
      <c r="L2795" s="100"/>
      <c r="M2795" s="100"/>
      <c r="N2795" s="100"/>
      <c r="O2795" s="100"/>
      <c r="P2795" s="100"/>
      <c r="Q2795" s="100"/>
      <c r="R2795" s="100"/>
      <c r="S2795" s="100"/>
      <c r="T2795" s="100"/>
      <c r="U2795" s="100"/>
      <c r="V2795" s="100"/>
      <c r="W2795" s="100"/>
      <c r="X2795" s="100"/>
      <c r="Y2795" s="100"/>
      <c r="Z2795" s="100"/>
    </row>
    <row r="2796" spans="1:26">
      <c r="A2796" s="100"/>
      <c r="B2796" s="100"/>
      <c r="C2796" s="100"/>
      <c r="D2796" s="100"/>
      <c r="E2796" s="100"/>
      <c r="F2796" s="100"/>
      <c r="G2796" s="100"/>
      <c r="H2796" s="100"/>
      <c r="I2796" s="100"/>
      <c r="J2796" s="100"/>
      <c r="K2796" s="100"/>
      <c r="L2796" s="100"/>
      <c r="M2796" s="100"/>
      <c r="N2796" s="100"/>
      <c r="O2796" s="100"/>
      <c r="P2796" s="100"/>
      <c r="Q2796" s="100"/>
      <c r="R2796" s="100"/>
      <c r="S2796" s="100"/>
      <c r="T2796" s="100"/>
      <c r="U2796" s="100"/>
      <c r="V2796" s="100"/>
      <c r="W2796" s="100"/>
      <c r="X2796" s="100"/>
      <c r="Y2796" s="100"/>
      <c r="Z2796" s="100"/>
    </row>
    <row r="2797" spans="1:26">
      <c r="A2797" s="100"/>
      <c r="B2797" s="100"/>
      <c r="C2797" s="100"/>
      <c r="D2797" s="100"/>
      <c r="E2797" s="100"/>
      <c r="F2797" s="100"/>
      <c r="G2797" s="100"/>
      <c r="H2797" s="100"/>
      <c r="I2797" s="100"/>
      <c r="J2797" s="100"/>
      <c r="K2797" s="100"/>
      <c r="L2797" s="100"/>
      <c r="M2797" s="100"/>
      <c r="N2797" s="100"/>
      <c r="O2797" s="100"/>
      <c r="P2797" s="100"/>
      <c r="Q2797" s="100"/>
      <c r="R2797" s="100"/>
      <c r="S2797" s="100"/>
      <c r="T2797" s="100"/>
      <c r="U2797" s="100"/>
      <c r="V2797" s="100"/>
      <c r="W2797" s="100"/>
      <c r="X2797" s="100"/>
      <c r="Y2797" s="100"/>
      <c r="Z2797" s="100"/>
    </row>
    <row r="2798" spans="1:26">
      <c r="A2798" s="100"/>
      <c r="B2798" s="100"/>
      <c r="C2798" s="100"/>
      <c r="D2798" s="100"/>
      <c r="E2798" s="100"/>
      <c r="F2798" s="100"/>
      <c r="G2798" s="100"/>
      <c r="H2798" s="100"/>
      <c r="I2798" s="100"/>
      <c r="J2798" s="100"/>
      <c r="K2798" s="100"/>
      <c r="L2798" s="100"/>
      <c r="M2798" s="100"/>
      <c r="N2798" s="100"/>
      <c r="O2798" s="100"/>
      <c r="P2798" s="100"/>
      <c r="Q2798" s="100"/>
      <c r="R2798" s="100"/>
      <c r="S2798" s="100"/>
      <c r="T2798" s="100"/>
      <c r="U2798" s="100"/>
      <c r="V2798" s="100"/>
      <c r="W2798" s="100"/>
      <c r="X2798" s="100"/>
      <c r="Y2798" s="100"/>
      <c r="Z2798" s="100"/>
    </row>
    <row r="2799" spans="1:26">
      <c r="A2799" s="100"/>
      <c r="B2799" s="100"/>
      <c r="C2799" s="100"/>
      <c r="D2799" s="100"/>
      <c r="E2799" s="100"/>
      <c r="F2799" s="100"/>
      <c r="G2799" s="100"/>
      <c r="H2799" s="100"/>
      <c r="I2799" s="100"/>
      <c r="J2799" s="100"/>
      <c r="K2799" s="100"/>
      <c r="L2799" s="100"/>
      <c r="M2799" s="100"/>
      <c r="N2799" s="100"/>
      <c r="O2799" s="100"/>
      <c r="P2799" s="100"/>
      <c r="Q2799" s="100"/>
      <c r="R2799" s="100"/>
      <c r="S2799" s="100"/>
      <c r="T2799" s="100"/>
      <c r="U2799" s="100"/>
      <c r="V2799" s="100"/>
      <c r="W2799" s="100"/>
      <c r="X2799" s="100"/>
      <c r="Y2799" s="100"/>
      <c r="Z2799" s="100"/>
    </row>
    <row r="2800" spans="1:26">
      <c r="A2800" s="100"/>
      <c r="B2800" s="100"/>
      <c r="C2800" s="100"/>
      <c r="D2800" s="100"/>
      <c r="E2800" s="100"/>
      <c r="F2800" s="100"/>
      <c r="G2800" s="100"/>
      <c r="H2800" s="100"/>
      <c r="I2800" s="100"/>
      <c r="J2800" s="100"/>
      <c r="K2800" s="100"/>
      <c r="L2800" s="100"/>
      <c r="M2800" s="100"/>
      <c r="N2800" s="100"/>
      <c r="O2800" s="100"/>
      <c r="P2800" s="100"/>
      <c r="Q2800" s="100"/>
      <c r="R2800" s="100"/>
      <c r="S2800" s="100"/>
      <c r="T2800" s="100"/>
      <c r="U2800" s="100"/>
      <c r="V2800" s="100"/>
      <c r="W2800" s="100"/>
      <c r="X2800" s="100"/>
      <c r="Y2800" s="100"/>
      <c r="Z2800" s="100"/>
    </row>
    <row r="2801" spans="1:26">
      <c r="A2801" s="100"/>
      <c r="B2801" s="100"/>
      <c r="C2801" s="100"/>
      <c r="D2801" s="100"/>
      <c r="E2801" s="100"/>
      <c r="F2801" s="100"/>
      <c r="G2801" s="100"/>
      <c r="H2801" s="100"/>
      <c r="I2801" s="100"/>
      <c r="J2801" s="100"/>
      <c r="K2801" s="100"/>
      <c r="L2801" s="100"/>
      <c r="M2801" s="100"/>
      <c r="N2801" s="100"/>
      <c r="O2801" s="100"/>
      <c r="P2801" s="100"/>
      <c r="Q2801" s="100"/>
      <c r="R2801" s="100"/>
      <c r="S2801" s="100"/>
      <c r="T2801" s="100"/>
      <c r="U2801" s="100"/>
      <c r="V2801" s="100"/>
      <c r="W2801" s="100"/>
      <c r="X2801" s="100"/>
      <c r="Y2801" s="100"/>
      <c r="Z2801" s="100"/>
    </row>
    <row r="2802" spans="1:26">
      <c r="A2802" s="100"/>
      <c r="B2802" s="100"/>
      <c r="C2802" s="100"/>
      <c r="D2802" s="100"/>
      <c r="E2802" s="100"/>
      <c r="F2802" s="100"/>
      <c r="G2802" s="100"/>
      <c r="H2802" s="100"/>
      <c r="I2802" s="100"/>
      <c r="J2802" s="100"/>
      <c r="K2802" s="100"/>
      <c r="L2802" s="100"/>
      <c r="M2802" s="100"/>
      <c r="N2802" s="100"/>
      <c r="O2802" s="100"/>
      <c r="P2802" s="100"/>
      <c r="Q2802" s="100"/>
      <c r="R2802" s="100"/>
      <c r="S2802" s="100"/>
      <c r="T2802" s="100"/>
      <c r="U2802" s="100"/>
      <c r="V2802" s="100"/>
      <c r="W2802" s="100"/>
      <c r="X2802" s="100"/>
      <c r="Y2802" s="100"/>
      <c r="Z2802" s="100"/>
    </row>
    <row r="2803" spans="1:26">
      <c r="A2803" s="100"/>
      <c r="B2803" s="100"/>
      <c r="C2803" s="100"/>
      <c r="D2803" s="100"/>
      <c r="E2803" s="100"/>
      <c r="F2803" s="100"/>
      <c r="G2803" s="100"/>
      <c r="H2803" s="100"/>
      <c r="I2803" s="100"/>
      <c r="J2803" s="100"/>
      <c r="K2803" s="100"/>
      <c r="L2803" s="100"/>
      <c r="M2803" s="100"/>
      <c r="N2803" s="100"/>
      <c r="O2803" s="100"/>
      <c r="P2803" s="100"/>
      <c r="Q2803" s="100"/>
      <c r="R2803" s="100"/>
      <c r="S2803" s="100"/>
      <c r="T2803" s="100"/>
      <c r="U2803" s="100"/>
      <c r="V2803" s="100"/>
      <c r="W2803" s="100"/>
      <c r="X2803" s="100"/>
      <c r="Y2803" s="100"/>
      <c r="Z2803" s="100"/>
    </row>
    <row r="2804" spans="1:26">
      <c r="A2804" s="100"/>
      <c r="B2804" s="100"/>
      <c r="C2804" s="100"/>
      <c r="D2804" s="100"/>
      <c r="E2804" s="100"/>
      <c r="F2804" s="100"/>
      <c r="G2804" s="100"/>
      <c r="H2804" s="100"/>
      <c r="I2804" s="100"/>
      <c r="J2804" s="100"/>
      <c r="K2804" s="100"/>
      <c r="L2804" s="100"/>
      <c r="M2804" s="100"/>
      <c r="N2804" s="100"/>
      <c r="O2804" s="100"/>
      <c r="P2804" s="100"/>
      <c r="Q2804" s="100"/>
      <c r="R2804" s="100"/>
      <c r="S2804" s="100"/>
      <c r="T2804" s="100"/>
      <c r="U2804" s="100"/>
      <c r="V2804" s="100"/>
      <c r="W2804" s="100"/>
      <c r="X2804" s="100"/>
      <c r="Y2804" s="100"/>
      <c r="Z2804" s="100"/>
    </row>
    <row r="2805" spans="1:26">
      <c r="A2805" s="100"/>
      <c r="B2805" s="100"/>
      <c r="C2805" s="100"/>
      <c r="D2805" s="100"/>
      <c r="E2805" s="100"/>
      <c r="F2805" s="100"/>
      <c r="G2805" s="100"/>
      <c r="H2805" s="100"/>
      <c r="I2805" s="100"/>
      <c r="J2805" s="100"/>
      <c r="K2805" s="100"/>
      <c r="L2805" s="100"/>
      <c r="M2805" s="100"/>
      <c r="N2805" s="100"/>
      <c r="O2805" s="100"/>
      <c r="P2805" s="100"/>
      <c r="Q2805" s="100"/>
      <c r="R2805" s="100"/>
      <c r="S2805" s="100"/>
      <c r="T2805" s="100"/>
      <c r="U2805" s="100"/>
      <c r="V2805" s="100"/>
      <c r="W2805" s="100"/>
      <c r="X2805" s="100"/>
      <c r="Y2805" s="100"/>
      <c r="Z2805" s="100"/>
    </row>
    <row r="2806" spans="1:26">
      <c r="A2806" s="100"/>
      <c r="B2806" s="100"/>
      <c r="C2806" s="100"/>
      <c r="D2806" s="100"/>
      <c r="E2806" s="100"/>
      <c r="F2806" s="100"/>
      <c r="G2806" s="100"/>
      <c r="H2806" s="100"/>
      <c r="I2806" s="100"/>
      <c r="J2806" s="100"/>
      <c r="K2806" s="100"/>
      <c r="L2806" s="100"/>
      <c r="M2806" s="100"/>
      <c r="N2806" s="100"/>
      <c r="O2806" s="100"/>
      <c r="P2806" s="100"/>
      <c r="Q2806" s="100"/>
      <c r="R2806" s="100"/>
      <c r="S2806" s="100"/>
      <c r="T2806" s="100"/>
      <c r="U2806" s="100"/>
      <c r="V2806" s="100"/>
      <c r="W2806" s="100"/>
      <c r="X2806" s="100"/>
      <c r="Y2806" s="100"/>
      <c r="Z2806" s="100"/>
    </row>
    <row r="2807" spans="1:26">
      <c r="A2807" s="100"/>
      <c r="B2807" s="100"/>
      <c r="C2807" s="100"/>
      <c r="D2807" s="100"/>
      <c r="E2807" s="100"/>
      <c r="F2807" s="100"/>
      <c r="G2807" s="100"/>
      <c r="H2807" s="100"/>
      <c r="I2807" s="100"/>
      <c r="J2807" s="100"/>
      <c r="K2807" s="100"/>
      <c r="L2807" s="100"/>
      <c r="M2807" s="100"/>
      <c r="N2807" s="100"/>
      <c r="O2807" s="100"/>
      <c r="P2807" s="100"/>
      <c r="Q2807" s="100"/>
      <c r="R2807" s="100"/>
      <c r="S2807" s="100"/>
      <c r="T2807" s="100"/>
      <c r="U2807" s="100"/>
      <c r="V2807" s="100"/>
      <c r="W2807" s="100"/>
      <c r="X2807" s="100"/>
      <c r="Y2807" s="100"/>
      <c r="Z2807" s="100"/>
    </row>
    <row r="2808" spans="1:26">
      <c r="A2808" s="100"/>
      <c r="B2808" s="100"/>
      <c r="C2808" s="100"/>
      <c r="D2808" s="100"/>
      <c r="E2808" s="100"/>
      <c r="F2808" s="100"/>
      <c r="G2808" s="100"/>
      <c r="H2808" s="100"/>
      <c r="I2808" s="100"/>
      <c r="J2808" s="100"/>
      <c r="K2808" s="100"/>
      <c r="L2808" s="100"/>
      <c r="M2808" s="100"/>
      <c r="N2808" s="100"/>
      <c r="O2808" s="100"/>
      <c r="P2808" s="100"/>
      <c r="Q2808" s="100"/>
      <c r="R2808" s="100"/>
      <c r="S2808" s="100"/>
      <c r="T2808" s="100"/>
      <c r="U2808" s="100"/>
      <c r="V2808" s="100"/>
      <c r="W2808" s="100"/>
      <c r="X2808" s="100"/>
      <c r="Y2808" s="100"/>
      <c r="Z2808" s="100"/>
    </row>
    <row r="2809" spans="1:26">
      <c r="A2809" s="100"/>
      <c r="B2809" s="100"/>
      <c r="C2809" s="100"/>
      <c r="D2809" s="100"/>
      <c r="E2809" s="100"/>
      <c r="F2809" s="100"/>
      <c r="G2809" s="100"/>
      <c r="H2809" s="100"/>
      <c r="I2809" s="100"/>
      <c r="J2809" s="100"/>
      <c r="K2809" s="100"/>
      <c r="L2809" s="100"/>
      <c r="M2809" s="100"/>
      <c r="N2809" s="100"/>
      <c r="O2809" s="100"/>
      <c r="P2809" s="100"/>
      <c r="Q2809" s="100"/>
      <c r="R2809" s="100"/>
      <c r="S2809" s="100"/>
      <c r="T2809" s="100"/>
      <c r="U2809" s="100"/>
      <c r="V2809" s="100"/>
      <c r="W2809" s="100"/>
      <c r="X2809" s="100"/>
      <c r="Y2809" s="100"/>
      <c r="Z2809" s="100"/>
    </row>
    <row r="2810" spans="1:26">
      <c r="A2810" s="100"/>
      <c r="B2810" s="100"/>
      <c r="C2810" s="100"/>
      <c r="D2810" s="100"/>
      <c r="E2810" s="100"/>
      <c r="F2810" s="100"/>
      <c r="G2810" s="100"/>
      <c r="H2810" s="100"/>
      <c r="I2810" s="100"/>
      <c r="J2810" s="100"/>
      <c r="K2810" s="100"/>
      <c r="L2810" s="100"/>
      <c r="M2810" s="100"/>
      <c r="N2810" s="100"/>
      <c r="O2810" s="100"/>
      <c r="P2810" s="100"/>
      <c r="Q2810" s="100"/>
      <c r="R2810" s="100"/>
      <c r="S2810" s="100"/>
      <c r="T2810" s="100"/>
      <c r="U2810" s="100"/>
      <c r="V2810" s="100"/>
      <c r="W2810" s="100"/>
      <c r="X2810" s="100"/>
      <c r="Y2810" s="100"/>
      <c r="Z2810" s="100"/>
    </row>
    <row r="2811" spans="1:26">
      <c r="A2811" s="100"/>
      <c r="B2811" s="100"/>
      <c r="C2811" s="100"/>
      <c r="D2811" s="100"/>
      <c r="E2811" s="100"/>
      <c r="F2811" s="100"/>
      <c r="G2811" s="100"/>
      <c r="H2811" s="100"/>
      <c r="I2811" s="100"/>
      <c r="J2811" s="100"/>
      <c r="K2811" s="100"/>
      <c r="L2811" s="100"/>
      <c r="M2811" s="100"/>
      <c r="N2811" s="100"/>
      <c r="O2811" s="100"/>
      <c r="P2811" s="100"/>
      <c r="Q2811" s="100"/>
      <c r="R2811" s="100"/>
      <c r="S2811" s="100"/>
      <c r="T2811" s="100"/>
      <c r="U2811" s="100"/>
      <c r="V2811" s="100"/>
      <c r="W2811" s="100"/>
      <c r="X2811" s="100"/>
      <c r="Y2811" s="100"/>
      <c r="Z2811" s="100"/>
    </row>
    <row r="2812" spans="1:26">
      <c r="A2812" s="100"/>
      <c r="B2812" s="100"/>
      <c r="C2812" s="100"/>
      <c r="D2812" s="100"/>
      <c r="E2812" s="100"/>
      <c r="F2812" s="100"/>
      <c r="G2812" s="100"/>
      <c r="H2812" s="100"/>
      <c r="I2812" s="100"/>
      <c r="J2812" s="100"/>
      <c r="K2812" s="100"/>
      <c r="L2812" s="100"/>
      <c r="M2812" s="100"/>
      <c r="N2812" s="100"/>
      <c r="O2812" s="100"/>
      <c r="P2812" s="100"/>
      <c r="Q2812" s="100"/>
      <c r="R2812" s="100"/>
      <c r="S2812" s="100"/>
      <c r="T2812" s="100"/>
      <c r="U2812" s="100"/>
      <c r="V2812" s="100"/>
      <c r="W2812" s="100"/>
      <c r="X2812" s="100"/>
      <c r="Y2812" s="100"/>
      <c r="Z2812" s="100"/>
    </row>
    <row r="2813" spans="1:26">
      <c r="A2813" s="100"/>
      <c r="B2813" s="100"/>
      <c r="C2813" s="100"/>
      <c r="D2813" s="100"/>
      <c r="E2813" s="100"/>
      <c r="F2813" s="100"/>
      <c r="G2813" s="100"/>
      <c r="H2813" s="100"/>
      <c r="I2813" s="100"/>
      <c r="J2813" s="100"/>
      <c r="K2813" s="100"/>
      <c r="L2813" s="100"/>
      <c r="M2813" s="100"/>
      <c r="N2813" s="100"/>
      <c r="O2813" s="100"/>
      <c r="P2813" s="100"/>
      <c r="Q2813" s="100"/>
      <c r="R2813" s="100"/>
      <c r="S2813" s="100"/>
      <c r="T2813" s="100"/>
      <c r="U2813" s="100"/>
      <c r="V2813" s="100"/>
      <c r="W2813" s="100"/>
      <c r="X2813" s="100"/>
      <c r="Y2813" s="100"/>
      <c r="Z2813" s="100"/>
    </row>
    <row r="2814" spans="1:26">
      <c r="A2814" s="100"/>
      <c r="B2814" s="100"/>
      <c r="C2814" s="100"/>
      <c r="D2814" s="100"/>
      <c r="E2814" s="100"/>
      <c r="F2814" s="100"/>
      <c r="G2814" s="100"/>
      <c r="H2814" s="100"/>
      <c r="I2814" s="100"/>
      <c r="J2814" s="100"/>
      <c r="K2814" s="100"/>
      <c r="L2814" s="100"/>
      <c r="M2814" s="100"/>
      <c r="N2814" s="100"/>
      <c r="O2814" s="100"/>
      <c r="P2814" s="100"/>
      <c r="Q2814" s="100"/>
      <c r="R2814" s="100"/>
      <c r="S2814" s="100"/>
      <c r="T2814" s="100"/>
      <c r="U2814" s="100"/>
      <c r="V2814" s="100"/>
      <c r="W2814" s="100"/>
      <c r="X2814" s="100"/>
      <c r="Y2814" s="100"/>
      <c r="Z2814" s="100"/>
    </row>
    <row r="2815" spans="1:26">
      <c r="A2815" s="100"/>
      <c r="B2815" s="100"/>
      <c r="C2815" s="100"/>
      <c r="D2815" s="100"/>
      <c r="E2815" s="100"/>
      <c r="F2815" s="100"/>
      <c r="G2815" s="100"/>
      <c r="H2815" s="100"/>
      <c r="I2815" s="100"/>
      <c r="J2815" s="100"/>
      <c r="K2815" s="100"/>
      <c r="L2815" s="100"/>
      <c r="M2815" s="100"/>
      <c r="N2815" s="100"/>
      <c r="O2815" s="100"/>
      <c r="P2815" s="100"/>
      <c r="Q2815" s="100"/>
      <c r="R2815" s="100"/>
      <c r="S2815" s="100"/>
      <c r="T2815" s="100"/>
      <c r="U2815" s="100"/>
      <c r="V2815" s="100"/>
      <c r="W2815" s="100"/>
      <c r="X2815" s="100"/>
      <c r="Y2815" s="100"/>
      <c r="Z2815" s="100"/>
    </row>
    <row r="2816" spans="1:26">
      <c r="A2816" s="100"/>
      <c r="B2816" s="100"/>
      <c r="C2816" s="100"/>
      <c r="D2816" s="100"/>
      <c r="E2816" s="100"/>
      <c r="F2816" s="100"/>
      <c r="G2816" s="100"/>
      <c r="H2816" s="100"/>
      <c r="I2816" s="100"/>
      <c r="J2816" s="100"/>
      <c r="K2816" s="100"/>
      <c r="L2816" s="100"/>
      <c r="M2816" s="100"/>
      <c r="N2816" s="100"/>
      <c r="O2816" s="100"/>
      <c r="P2816" s="100"/>
      <c r="Q2816" s="100"/>
      <c r="R2816" s="100"/>
      <c r="S2816" s="100"/>
      <c r="T2816" s="100"/>
      <c r="U2816" s="100"/>
      <c r="V2816" s="100"/>
      <c r="W2816" s="100"/>
      <c r="X2816" s="100"/>
      <c r="Y2816" s="100"/>
      <c r="Z2816" s="100"/>
    </row>
    <row r="2817" spans="1:26">
      <c r="A2817" s="100"/>
      <c r="B2817" s="100"/>
      <c r="C2817" s="100"/>
      <c r="D2817" s="100"/>
      <c r="E2817" s="100"/>
      <c r="F2817" s="100"/>
      <c r="G2817" s="100"/>
      <c r="H2817" s="100"/>
      <c r="I2817" s="100"/>
      <c r="J2817" s="100"/>
      <c r="K2817" s="100"/>
      <c r="L2817" s="100"/>
      <c r="M2817" s="100"/>
      <c r="N2817" s="100"/>
      <c r="O2817" s="100"/>
      <c r="P2817" s="100"/>
      <c r="Q2817" s="100"/>
      <c r="R2817" s="100"/>
      <c r="S2817" s="100"/>
      <c r="T2817" s="100"/>
      <c r="U2817" s="100"/>
      <c r="V2817" s="100"/>
      <c r="W2817" s="100"/>
      <c r="X2817" s="100"/>
      <c r="Y2817" s="100"/>
      <c r="Z2817" s="100"/>
    </row>
    <row r="2818" spans="1:26">
      <c r="A2818" s="100"/>
      <c r="B2818" s="100"/>
      <c r="C2818" s="100"/>
      <c r="D2818" s="100"/>
      <c r="E2818" s="100"/>
      <c r="F2818" s="100"/>
      <c r="G2818" s="100"/>
      <c r="H2818" s="100"/>
      <c r="I2818" s="100"/>
      <c r="J2818" s="100"/>
      <c r="K2818" s="100"/>
      <c r="L2818" s="100"/>
      <c r="M2818" s="100"/>
      <c r="N2818" s="100"/>
      <c r="O2818" s="100"/>
      <c r="P2818" s="100"/>
      <c r="Q2818" s="100"/>
      <c r="R2818" s="100"/>
      <c r="S2818" s="100"/>
      <c r="T2818" s="100"/>
      <c r="U2818" s="100"/>
      <c r="V2818" s="100"/>
      <c r="W2818" s="100"/>
      <c r="X2818" s="100"/>
      <c r="Y2818" s="100"/>
      <c r="Z2818" s="100"/>
    </row>
    <row r="2819" spans="1:26">
      <c r="A2819" s="100"/>
      <c r="B2819" s="100"/>
      <c r="C2819" s="100"/>
      <c r="D2819" s="100"/>
      <c r="E2819" s="100"/>
      <c r="F2819" s="100"/>
      <c r="G2819" s="100"/>
      <c r="H2819" s="100"/>
      <c r="I2819" s="100"/>
      <c r="J2819" s="100"/>
      <c r="K2819" s="100"/>
      <c r="L2819" s="100"/>
      <c r="M2819" s="100"/>
      <c r="N2819" s="100"/>
      <c r="O2819" s="100"/>
      <c r="P2819" s="100"/>
      <c r="Q2819" s="100"/>
      <c r="R2819" s="100"/>
      <c r="S2819" s="100"/>
      <c r="T2819" s="100"/>
      <c r="U2819" s="100"/>
      <c r="V2819" s="100"/>
      <c r="W2819" s="100"/>
      <c r="X2819" s="100"/>
      <c r="Y2819" s="100"/>
      <c r="Z2819" s="100"/>
    </row>
    <row r="2820" spans="1:26">
      <c r="A2820" s="100"/>
      <c r="B2820" s="100"/>
      <c r="C2820" s="100"/>
      <c r="D2820" s="100"/>
      <c r="E2820" s="100"/>
      <c r="F2820" s="100"/>
      <c r="G2820" s="100"/>
      <c r="H2820" s="100"/>
      <c r="I2820" s="100"/>
      <c r="J2820" s="100"/>
      <c r="K2820" s="100"/>
      <c r="L2820" s="100"/>
      <c r="M2820" s="100"/>
      <c r="N2820" s="100"/>
      <c r="O2820" s="100"/>
      <c r="P2820" s="100"/>
      <c r="Q2820" s="100"/>
      <c r="R2820" s="100"/>
      <c r="S2820" s="100"/>
      <c r="T2820" s="100"/>
      <c r="U2820" s="100"/>
      <c r="V2820" s="100"/>
      <c r="W2820" s="100"/>
      <c r="X2820" s="100"/>
      <c r="Y2820" s="100"/>
      <c r="Z2820" s="100"/>
    </row>
    <row r="2821" spans="1:26">
      <c r="A2821" s="100"/>
      <c r="B2821" s="100"/>
      <c r="C2821" s="100"/>
      <c r="D2821" s="100"/>
      <c r="E2821" s="100"/>
      <c r="F2821" s="100"/>
      <c r="G2821" s="100"/>
      <c r="H2821" s="100"/>
      <c r="I2821" s="100"/>
      <c r="J2821" s="100"/>
      <c r="K2821" s="100"/>
      <c r="L2821" s="100"/>
      <c r="M2821" s="100"/>
      <c r="N2821" s="100"/>
      <c r="O2821" s="100"/>
      <c r="P2821" s="100"/>
      <c r="Q2821" s="100"/>
      <c r="R2821" s="100"/>
      <c r="S2821" s="100"/>
      <c r="T2821" s="100"/>
      <c r="U2821" s="100"/>
      <c r="V2821" s="100"/>
      <c r="W2821" s="100"/>
      <c r="X2821" s="100"/>
      <c r="Y2821" s="100"/>
      <c r="Z2821" s="100"/>
    </row>
    <row r="2822" spans="1:26">
      <c r="A2822" s="100"/>
      <c r="B2822" s="100"/>
      <c r="C2822" s="100"/>
      <c r="D2822" s="100"/>
      <c r="E2822" s="100"/>
      <c r="F2822" s="100"/>
      <c r="G2822" s="100"/>
      <c r="H2822" s="100"/>
      <c r="I2822" s="100"/>
      <c r="J2822" s="100"/>
      <c r="K2822" s="100"/>
      <c r="L2822" s="100"/>
      <c r="M2822" s="100"/>
      <c r="N2822" s="100"/>
      <c r="O2822" s="100"/>
      <c r="P2822" s="100"/>
      <c r="Q2822" s="100"/>
      <c r="R2822" s="100"/>
      <c r="S2822" s="100"/>
      <c r="T2822" s="100"/>
      <c r="U2822" s="100"/>
      <c r="V2822" s="100"/>
      <c r="W2822" s="100"/>
      <c r="X2822" s="100"/>
      <c r="Y2822" s="100"/>
      <c r="Z2822" s="100"/>
    </row>
    <row r="2823" spans="1:26">
      <c r="A2823" s="100"/>
      <c r="B2823" s="100"/>
      <c r="C2823" s="100"/>
      <c r="D2823" s="100"/>
      <c r="E2823" s="100"/>
      <c r="F2823" s="100"/>
      <c r="G2823" s="100"/>
      <c r="H2823" s="100"/>
      <c r="I2823" s="100"/>
      <c r="J2823" s="100"/>
      <c r="K2823" s="100"/>
      <c r="L2823" s="100"/>
      <c r="M2823" s="100"/>
      <c r="N2823" s="100"/>
      <c r="O2823" s="100"/>
      <c r="P2823" s="100"/>
      <c r="Q2823" s="100"/>
      <c r="R2823" s="100"/>
      <c r="S2823" s="100"/>
      <c r="T2823" s="100"/>
      <c r="U2823" s="100"/>
      <c r="V2823" s="100"/>
      <c r="W2823" s="100"/>
      <c r="X2823" s="100"/>
      <c r="Y2823" s="100"/>
      <c r="Z2823" s="100"/>
    </row>
    <row r="2824" spans="1:26">
      <c r="A2824" s="100"/>
      <c r="B2824" s="100"/>
      <c r="C2824" s="100"/>
      <c r="D2824" s="100"/>
      <c r="E2824" s="100"/>
      <c r="F2824" s="100"/>
      <c r="G2824" s="100"/>
      <c r="H2824" s="100"/>
      <c r="I2824" s="100"/>
      <c r="J2824" s="100"/>
      <c r="K2824" s="100"/>
      <c r="L2824" s="100"/>
      <c r="M2824" s="100"/>
      <c r="N2824" s="100"/>
      <c r="O2824" s="100"/>
      <c r="P2824" s="100"/>
      <c r="Q2824" s="100"/>
      <c r="R2824" s="100"/>
      <c r="S2824" s="100"/>
      <c r="T2824" s="100"/>
      <c r="U2824" s="100"/>
      <c r="V2824" s="100"/>
      <c r="W2824" s="100"/>
      <c r="X2824" s="100"/>
      <c r="Y2824" s="100"/>
      <c r="Z2824" s="100"/>
    </row>
    <row r="2825" spans="1:26">
      <c r="A2825" s="100"/>
      <c r="B2825" s="100"/>
      <c r="C2825" s="100"/>
      <c r="D2825" s="100"/>
      <c r="E2825" s="100"/>
      <c r="F2825" s="100"/>
      <c r="G2825" s="100"/>
      <c r="H2825" s="100"/>
      <c r="I2825" s="100"/>
      <c r="J2825" s="100"/>
      <c r="K2825" s="100"/>
      <c r="L2825" s="100"/>
      <c r="M2825" s="100"/>
      <c r="N2825" s="100"/>
      <c r="O2825" s="100"/>
      <c r="P2825" s="100"/>
      <c r="Q2825" s="100"/>
      <c r="R2825" s="100"/>
      <c r="S2825" s="100"/>
      <c r="T2825" s="100"/>
      <c r="U2825" s="100"/>
      <c r="V2825" s="100"/>
      <c r="W2825" s="100"/>
      <c r="X2825" s="100"/>
      <c r="Y2825" s="100"/>
      <c r="Z2825" s="100"/>
    </row>
    <row r="2826" spans="1:26">
      <c r="A2826" s="100"/>
      <c r="B2826" s="100"/>
      <c r="C2826" s="100"/>
      <c r="D2826" s="100"/>
      <c r="E2826" s="100"/>
      <c r="F2826" s="100"/>
      <c r="G2826" s="100"/>
      <c r="H2826" s="100"/>
      <c r="I2826" s="100"/>
      <c r="J2826" s="100"/>
      <c r="K2826" s="100"/>
      <c r="L2826" s="100"/>
      <c r="M2826" s="100"/>
      <c r="N2826" s="100"/>
      <c r="O2826" s="100"/>
      <c r="P2826" s="100"/>
      <c r="Q2826" s="100"/>
      <c r="R2826" s="100"/>
      <c r="S2826" s="100"/>
      <c r="T2826" s="100"/>
      <c r="U2826" s="100"/>
      <c r="V2826" s="100"/>
      <c r="W2826" s="100"/>
      <c r="X2826" s="100"/>
      <c r="Y2826" s="100"/>
      <c r="Z2826" s="100"/>
    </row>
    <row r="2827" spans="1:26">
      <c r="A2827" s="100"/>
      <c r="B2827" s="100"/>
      <c r="C2827" s="100"/>
      <c r="D2827" s="100"/>
      <c r="E2827" s="100"/>
      <c r="F2827" s="100"/>
      <c r="G2827" s="100"/>
      <c r="H2827" s="100"/>
      <c r="I2827" s="100"/>
      <c r="J2827" s="100"/>
      <c r="K2827" s="100"/>
      <c r="L2827" s="100"/>
      <c r="M2827" s="100"/>
      <c r="N2827" s="100"/>
      <c r="O2827" s="100"/>
      <c r="P2827" s="100"/>
      <c r="Q2827" s="100"/>
      <c r="R2827" s="100"/>
      <c r="S2827" s="100"/>
      <c r="T2827" s="100"/>
      <c r="U2827" s="100"/>
      <c r="V2827" s="100"/>
      <c r="W2827" s="100"/>
      <c r="X2827" s="100"/>
      <c r="Y2827" s="100"/>
      <c r="Z2827" s="100"/>
    </row>
    <row r="2828" spans="1:26">
      <c r="A2828" s="100"/>
      <c r="B2828" s="100"/>
      <c r="C2828" s="100"/>
      <c r="D2828" s="100"/>
      <c r="E2828" s="100"/>
      <c r="F2828" s="100"/>
      <c r="G2828" s="100"/>
      <c r="H2828" s="100"/>
      <c r="I2828" s="100"/>
      <c r="J2828" s="100"/>
      <c r="K2828" s="100"/>
      <c r="L2828" s="100"/>
      <c r="M2828" s="100"/>
      <c r="N2828" s="100"/>
      <c r="O2828" s="100"/>
      <c r="P2828" s="100"/>
      <c r="Q2828" s="100"/>
      <c r="R2828" s="100"/>
      <c r="S2828" s="100"/>
      <c r="T2828" s="100"/>
      <c r="U2828" s="100"/>
      <c r="V2828" s="100"/>
      <c r="W2828" s="100"/>
      <c r="X2828" s="100"/>
      <c r="Y2828" s="100"/>
      <c r="Z2828" s="100"/>
    </row>
    <row r="2829" spans="1:26">
      <c r="A2829" s="100"/>
      <c r="B2829" s="100"/>
      <c r="C2829" s="100"/>
      <c r="D2829" s="100"/>
      <c r="E2829" s="100"/>
      <c r="F2829" s="100"/>
      <c r="G2829" s="100"/>
      <c r="H2829" s="100"/>
      <c r="I2829" s="100"/>
      <c r="J2829" s="100"/>
      <c r="K2829" s="100"/>
      <c r="L2829" s="100"/>
      <c r="M2829" s="100"/>
      <c r="N2829" s="100"/>
      <c r="O2829" s="100"/>
      <c r="P2829" s="100"/>
      <c r="Q2829" s="100"/>
      <c r="R2829" s="100"/>
      <c r="S2829" s="100"/>
      <c r="T2829" s="100"/>
      <c r="U2829" s="100"/>
      <c r="V2829" s="100"/>
      <c r="W2829" s="100"/>
      <c r="X2829" s="100"/>
      <c r="Y2829" s="100"/>
      <c r="Z2829" s="100"/>
    </row>
    <row r="2830" spans="1:26">
      <c r="A2830" s="100"/>
      <c r="B2830" s="100"/>
      <c r="C2830" s="100"/>
      <c r="D2830" s="100"/>
      <c r="E2830" s="100"/>
      <c r="F2830" s="100"/>
      <c r="G2830" s="100"/>
      <c r="H2830" s="100"/>
      <c r="I2830" s="100"/>
      <c r="J2830" s="100"/>
      <c r="K2830" s="100"/>
      <c r="L2830" s="100"/>
      <c r="M2830" s="100"/>
      <c r="N2830" s="100"/>
      <c r="O2830" s="100"/>
      <c r="P2830" s="100"/>
      <c r="Q2830" s="100"/>
      <c r="R2830" s="100"/>
      <c r="S2830" s="100"/>
      <c r="T2830" s="100"/>
      <c r="U2830" s="100"/>
      <c r="V2830" s="100"/>
      <c r="W2830" s="100"/>
      <c r="X2830" s="100"/>
      <c r="Y2830" s="100"/>
      <c r="Z2830" s="100"/>
    </row>
    <row r="2831" spans="1:26">
      <c r="A2831" s="100"/>
      <c r="B2831" s="100"/>
      <c r="C2831" s="100"/>
      <c r="D2831" s="100"/>
      <c r="E2831" s="100"/>
      <c r="F2831" s="100"/>
      <c r="G2831" s="100"/>
      <c r="H2831" s="100"/>
      <c r="I2831" s="100"/>
      <c r="J2831" s="100"/>
      <c r="K2831" s="100"/>
      <c r="L2831" s="100"/>
      <c r="M2831" s="100"/>
      <c r="N2831" s="100"/>
      <c r="O2831" s="100"/>
      <c r="P2831" s="100"/>
      <c r="Q2831" s="100"/>
      <c r="R2831" s="100"/>
      <c r="S2831" s="100"/>
      <c r="T2831" s="100"/>
      <c r="U2831" s="100"/>
      <c r="V2831" s="100"/>
      <c r="W2831" s="100"/>
      <c r="X2831" s="100"/>
      <c r="Y2831" s="100"/>
      <c r="Z2831" s="100"/>
    </row>
    <row r="2832" spans="1:26">
      <c r="A2832" s="100"/>
      <c r="B2832" s="100"/>
      <c r="C2832" s="100"/>
      <c r="D2832" s="100"/>
      <c r="E2832" s="100"/>
      <c r="F2832" s="100"/>
      <c r="G2832" s="100"/>
      <c r="H2832" s="100"/>
      <c r="I2832" s="100"/>
      <c r="J2832" s="100"/>
      <c r="K2832" s="100"/>
      <c r="L2832" s="100"/>
      <c r="M2832" s="100"/>
      <c r="N2832" s="100"/>
      <c r="O2832" s="100"/>
      <c r="P2832" s="100"/>
      <c r="Q2832" s="100"/>
      <c r="R2832" s="100"/>
      <c r="S2832" s="100"/>
      <c r="T2832" s="100"/>
      <c r="U2832" s="100"/>
      <c r="V2832" s="100"/>
      <c r="W2832" s="100"/>
      <c r="X2832" s="100"/>
      <c r="Y2832" s="100"/>
      <c r="Z2832" s="100"/>
    </row>
    <row r="2833" spans="1:26">
      <c r="A2833" s="100"/>
      <c r="B2833" s="100"/>
      <c r="C2833" s="100"/>
      <c r="D2833" s="100"/>
      <c r="E2833" s="100"/>
      <c r="F2833" s="100"/>
      <c r="G2833" s="100"/>
      <c r="H2833" s="100"/>
      <c r="I2833" s="100"/>
      <c r="J2833" s="100"/>
      <c r="K2833" s="100"/>
      <c r="L2833" s="100"/>
      <c r="M2833" s="100"/>
      <c r="N2833" s="100"/>
      <c r="O2833" s="100"/>
      <c r="P2833" s="100"/>
      <c r="Q2833" s="100"/>
      <c r="R2833" s="100"/>
      <c r="S2833" s="100"/>
      <c r="T2833" s="100"/>
      <c r="U2833" s="100"/>
      <c r="V2833" s="100"/>
      <c r="W2833" s="100"/>
      <c r="X2833" s="100"/>
      <c r="Y2833" s="100"/>
      <c r="Z2833" s="100"/>
    </row>
    <row r="2834" spans="1:26">
      <c r="A2834" s="100"/>
      <c r="B2834" s="100"/>
      <c r="C2834" s="100"/>
      <c r="D2834" s="100"/>
      <c r="E2834" s="100"/>
      <c r="F2834" s="100"/>
      <c r="G2834" s="100"/>
      <c r="H2834" s="100"/>
      <c r="I2834" s="100"/>
      <c r="J2834" s="100"/>
      <c r="K2834" s="100"/>
      <c r="L2834" s="100"/>
      <c r="M2834" s="100"/>
      <c r="N2834" s="100"/>
      <c r="O2834" s="100"/>
      <c r="P2834" s="100"/>
      <c r="Q2834" s="100"/>
      <c r="R2834" s="100"/>
      <c r="S2834" s="100"/>
      <c r="T2834" s="100"/>
      <c r="U2834" s="100"/>
      <c r="V2834" s="100"/>
      <c r="W2834" s="100"/>
      <c r="X2834" s="100"/>
      <c r="Y2834" s="100"/>
      <c r="Z2834" s="100"/>
    </row>
    <row r="2835" spans="1:26">
      <c r="A2835" s="100"/>
      <c r="B2835" s="100"/>
      <c r="C2835" s="100"/>
      <c r="D2835" s="100"/>
      <c r="E2835" s="100"/>
      <c r="F2835" s="100"/>
      <c r="G2835" s="100"/>
      <c r="H2835" s="100"/>
      <c r="I2835" s="100"/>
      <c r="J2835" s="100"/>
      <c r="K2835" s="100"/>
      <c r="L2835" s="100"/>
      <c r="M2835" s="100"/>
      <c r="N2835" s="100"/>
      <c r="O2835" s="100"/>
      <c r="P2835" s="100"/>
      <c r="Q2835" s="100"/>
      <c r="R2835" s="100"/>
      <c r="S2835" s="100"/>
      <c r="T2835" s="100"/>
      <c r="U2835" s="100"/>
      <c r="V2835" s="100"/>
      <c r="W2835" s="100"/>
      <c r="X2835" s="100"/>
      <c r="Y2835" s="100"/>
      <c r="Z2835" s="100"/>
    </row>
    <row r="2836" spans="1:26">
      <c r="A2836" s="100"/>
      <c r="B2836" s="100"/>
      <c r="C2836" s="100"/>
      <c r="D2836" s="100"/>
      <c r="E2836" s="100"/>
      <c r="F2836" s="100"/>
      <c r="G2836" s="100"/>
      <c r="H2836" s="100"/>
      <c r="I2836" s="100"/>
      <c r="J2836" s="100"/>
      <c r="K2836" s="100"/>
      <c r="L2836" s="100"/>
      <c r="M2836" s="100"/>
      <c r="N2836" s="100"/>
      <c r="O2836" s="100"/>
      <c r="P2836" s="100"/>
      <c r="Q2836" s="100"/>
      <c r="R2836" s="100"/>
      <c r="S2836" s="100"/>
      <c r="T2836" s="100"/>
      <c r="U2836" s="100"/>
      <c r="V2836" s="100"/>
      <c r="W2836" s="100"/>
      <c r="X2836" s="100"/>
      <c r="Y2836" s="100"/>
      <c r="Z2836" s="100"/>
    </row>
    <row r="2837" spans="1:26">
      <c r="A2837" s="100"/>
      <c r="B2837" s="100"/>
      <c r="C2837" s="100"/>
      <c r="D2837" s="100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</row>
    <row r="2838" spans="1:26">
      <c r="A2838" s="100"/>
      <c r="B2838" s="100"/>
      <c r="C2838" s="100"/>
      <c r="D2838" s="100"/>
      <c r="E2838" s="100"/>
      <c r="F2838" s="100"/>
      <c r="G2838" s="100"/>
      <c r="H2838" s="100"/>
      <c r="I2838" s="100"/>
      <c r="J2838" s="100"/>
      <c r="K2838" s="100"/>
      <c r="L2838" s="100"/>
      <c r="M2838" s="100"/>
      <c r="N2838" s="100"/>
      <c r="O2838" s="100"/>
      <c r="P2838" s="100"/>
      <c r="Q2838" s="100"/>
      <c r="R2838" s="100"/>
      <c r="S2838" s="100"/>
      <c r="T2838" s="100"/>
      <c r="U2838" s="100"/>
      <c r="V2838" s="100"/>
      <c r="W2838" s="100"/>
      <c r="X2838" s="100"/>
      <c r="Y2838" s="100"/>
      <c r="Z2838" s="100"/>
    </row>
    <row r="2839" spans="1:26">
      <c r="A2839" s="100"/>
      <c r="B2839" s="100"/>
      <c r="C2839" s="100"/>
      <c r="D2839" s="100"/>
      <c r="E2839" s="100"/>
      <c r="F2839" s="100"/>
      <c r="G2839" s="100"/>
      <c r="H2839" s="100"/>
      <c r="I2839" s="100"/>
      <c r="J2839" s="100"/>
      <c r="K2839" s="100"/>
      <c r="L2839" s="100"/>
      <c r="M2839" s="100"/>
      <c r="N2839" s="100"/>
      <c r="O2839" s="100"/>
      <c r="P2839" s="100"/>
      <c r="Q2839" s="100"/>
      <c r="R2839" s="100"/>
      <c r="S2839" s="100"/>
      <c r="T2839" s="100"/>
      <c r="U2839" s="100"/>
      <c r="V2839" s="100"/>
      <c r="W2839" s="100"/>
      <c r="X2839" s="100"/>
      <c r="Y2839" s="100"/>
      <c r="Z2839" s="100"/>
    </row>
    <row r="2840" spans="1:26">
      <c r="A2840" s="100"/>
      <c r="B2840" s="100"/>
      <c r="C2840" s="100"/>
      <c r="D2840" s="100"/>
      <c r="E2840" s="100"/>
      <c r="F2840" s="100"/>
      <c r="G2840" s="100"/>
      <c r="H2840" s="100"/>
      <c r="I2840" s="100"/>
      <c r="J2840" s="100"/>
      <c r="K2840" s="100"/>
      <c r="L2840" s="100"/>
      <c r="M2840" s="100"/>
      <c r="N2840" s="100"/>
      <c r="O2840" s="100"/>
      <c r="P2840" s="100"/>
      <c r="Q2840" s="100"/>
      <c r="R2840" s="100"/>
      <c r="S2840" s="100"/>
      <c r="T2840" s="100"/>
      <c r="U2840" s="100"/>
      <c r="V2840" s="100"/>
      <c r="W2840" s="100"/>
      <c r="X2840" s="100"/>
      <c r="Y2840" s="100"/>
      <c r="Z2840" s="100"/>
    </row>
    <row r="2841" spans="1:26">
      <c r="A2841" s="100"/>
      <c r="B2841" s="100"/>
      <c r="C2841" s="100"/>
      <c r="D2841" s="100"/>
      <c r="E2841" s="100"/>
      <c r="F2841" s="100"/>
      <c r="G2841" s="100"/>
      <c r="H2841" s="100"/>
      <c r="I2841" s="100"/>
      <c r="J2841" s="100"/>
      <c r="K2841" s="100"/>
      <c r="L2841" s="100"/>
      <c r="M2841" s="100"/>
      <c r="N2841" s="100"/>
      <c r="O2841" s="100"/>
      <c r="P2841" s="100"/>
      <c r="Q2841" s="100"/>
      <c r="R2841" s="100"/>
      <c r="S2841" s="100"/>
      <c r="T2841" s="100"/>
      <c r="U2841" s="100"/>
      <c r="V2841" s="100"/>
      <c r="W2841" s="100"/>
      <c r="X2841" s="100"/>
      <c r="Y2841" s="100"/>
      <c r="Z2841" s="100"/>
    </row>
    <row r="2842" spans="1:26">
      <c r="A2842" s="100"/>
      <c r="B2842" s="100"/>
      <c r="C2842" s="100"/>
      <c r="D2842" s="100"/>
      <c r="E2842" s="100"/>
      <c r="F2842" s="100"/>
      <c r="G2842" s="100"/>
      <c r="H2842" s="100"/>
      <c r="I2842" s="100"/>
      <c r="J2842" s="100"/>
      <c r="K2842" s="100"/>
      <c r="L2842" s="100"/>
      <c r="M2842" s="100"/>
      <c r="N2842" s="100"/>
      <c r="O2842" s="100"/>
      <c r="P2842" s="100"/>
      <c r="Q2842" s="100"/>
      <c r="R2842" s="100"/>
      <c r="S2842" s="100"/>
      <c r="T2842" s="100"/>
      <c r="U2842" s="100"/>
      <c r="V2842" s="100"/>
      <c r="W2842" s="100"/>
      <c r="X2842" s="100"/>
      <c r="Y2842" s="100"/>
      <c r="Z2842" s="100"/>
    </row>
    <row r="2843" spans="1:26">
      <c r="A2843" s="100"/>
      <c r="B2843" s="100"/>
      <c r="C2843" s="100"/>
      <c r="D2843" s="100"/>
      <c r="E2843" s="100"/>
      <c r="F2843" s="100"/>
      <c r="G2843" s="100"/>
      <c r="H2843" s="100"/>
      <c r="I2843" s="100"/>
      <c r="J2843" s="100"/>
      <c r="K2843" s="100"/>
      <c r="L2843" s="100"/>
      <c r="M2843" s="100"/>
      <c r="N2843" s="100"/>
      <c r="O2843" s="100"/>
      <c r="P2843" s="100"/>
      <c r="Q2843" s="100"/>
      <c r="R2843" s="100"/>
      <c r="S2843" s="100"/>
      <c r="T2843" s="100"/>
      <c r="U2843" s="100"/>
      <c r="V2843" s="100"/>
      <c r="W2843" s="100"/>
      <c r="X2843" s="100"/>
      <c r="Y2843" s="100"/>
      <c r="Z2843" s="100"/>
    </row>
    <row r="2844" spans="1:26">
      <c r="A2844" s="100"/>
      <c r="B2844" s="100"/>
      <c r="C2844" s="100"/>
      <c r="D2844" s="100"/>
      <c r="E2844" s="100"/>
      <c r="F2844" s="100"/>
      <c r="G2844" s="100"/>
      <c r="H2844" s="100"/>
      <c r="I2844" s="100"/>
      <c r="J2844" s="100"/>
      <c r="K2844" s="100"/>
      <c r="L2844" s="100"/>
      <c r="M2844" s="100"/>
      <c r="N2844" s="100"/>
      <c r="O2844" s="100"/>
      <c r="P2844" s="100"/>
      <c r="Q2844" s="100"/>
      <c r="R2844" s="100"/>
      <c r="S2844" s="100"/>
      <c r="T2844" s="100"/>
      <c r="U2844" s="100"/>
      <c r="V2844" s="100"/>
      <c r="W2844" s="100"/>
      <c r="X2844" s="100"/>
      <c r="Y2844" s="100"/>
      <c r="Z2844" s="100"/>
    </row>
    <row r="2845" spans="1:26">
      <c r="A2845" s="100"/>
      <c r="B2845" s="100"/>
      <c r="C2845" s="100"/>
      <c r="D2845" s="100"/>
      <c r="E2845" s="100"/>
      <c r="F2845" s="100"/>
      <c r="G2845" s="100"/>
      <c r="H2845" s="100"/>
      <c r="I2845" s="100"/>
      <c r="J2845" s="100"/>
      <c r="K2845" s="100"/>
      <c r="L2845" s="100"/>
      <c r="M2845" s="100"/>
      <c r="N2845" s="100"/>
      <c r="O2845" s="100"/>
      <c r="P2845" s="100"/>
      <c r="Q2845" s="100"/>
      <c r="R2845" s="100"/>
      <c r="S2845" s="100"/>
      <c r="T2845" s="100"/>
      <c r="U2845" s="100"/>
      <c r="V2845" s="100"/>
      <c r="W2845" s="100"/>
      <c r="X2845" s="100"/>
      <c r="Y2845" s="100"/>
      <c r="Z2845" s="100"/>
    </row>
    <row r="2846" spans="1:26">
      <c r="A2846" s="100"/>
      <c r="B2846" s="100"/>
      <c r="C2846" s="100"/>
      <c r="D2846" s="100"/>
      <c r="E2846" s="100"/>
      <c r="F2846" s="100"/>
      <c r="G2846" s="100"/>
      <c r="H2846" s="100"/>
      <c r="I2846" s="100"/>
      <c r="J2846" s="100"/>
      <c r="K2846" s="100"/>
      <c r="L2846" s="100"/>
      <c r="M2846" s="100"/>
      <c r="N2846" s="100"/>
      <c r="O2846" s="100"/>
      <c r="P2846" s="100"/>
      <c r="Q2846" s="100"/>
      <c r="R2846" s="100"/>
      <c r="S2846" s="100"/>
      <c r="T2846" s="100"/>
      <c r="U2846" s="100"/>
      <c r="V2846" s="100"/>
      <c r="W2846" s="100"/>
      <c r="X2846" s="100"/>
      <c r="Y2846" s="100"/>
      <c r="Z2846" s="100"/>
    </row>
    <row r="2847" spans="1:26">
      <c r="A2847" s="100"/>
      <c r="B2847" s="100"/>
      <c r="C2847" s="100"/>
      <c r="D2847" s="100"/>
      <c r="E2847" s="100"/>
      <c r="F2847" s="100"/>
      <c r="G2847" s="100"/>
      <c r="H2847" s="100"/>
      <c r="I2847" s="100"/>
      <c r="J2847" s="100"/>
      <c r="K2847" s="100"/>
      <c r="L2847" s="100"/>
      <c r="M2847" s="100"/>
      <c r="N2847" s="100"/>
      <c r="O2847" s="100"/>
      <c r="P2847" s="100"/>
      <c r="Q2847" s="100"/>
      <c r="R2847" s="100"/>
      <c r="S2847" s="100"/>
      <c r="T2847" s="100"/>
      <c r="U2847" s="100"/>
      <c r="V2847" s="100"/>
      <c r="W2847" s="100"/>
      <c r="X2847" s="100"/>
      <c r="Y2847" s="100"/>
      <c r="Z2847" s="100"/>
    </row>
    <row r="2848" spans="1:26">
      <c r="A2848" s="100"/>
      <c r="B2848" s="100"/>
      <c r="C2848" s="100"/>
      <c r="D2848" s="100"/>
      <c r="E2848" s="100"/>
      <c r="F2848" s="100"/>
      <c r="G2848" s="100"/>
      <c r="H2848" s="100"/>
      <c r="I2848" s="100"/>
      <c r="J2848" s="100"/>
      <c r="K2848" s="100"/>
      <c r="L2848" s="100"/>
      <c r="M2848" s="100"/>
      <c r="N2848" s="100"/>
      <c r="O2848" s="100"/>
      <c r="P2848" s="100"/>
      <c r="Q2848" s="100"/>
      <c r="R2848" s="100"/>
      <c r="S2848" s="100"/>
      <c r="T2848" s="100"/>
      <c r="U2848" s="100"/>
      <c r="V2848" s="100"/>
      <c r="W2848" s="100"/>
      <c r="X2848" s="100"/>
      <c r="Y2848" s="100"/>
      <c r="Z2848" s="100"/>
    </row>
    <row r="2849" spans="1:26">
      <c r="A2849" s="100"/>
      <c r="B2849" s="100"/>
      <c r="C2849" s="100"/>
      <c r="D2849" s="100"/>
      <c r="E2849" s="100"/>
      <c r="F2849" s="100"/>
      <c r="G2849" s="100"/>
      <c r="H2849" s="100"/>
      <c r="I2849" s="100"/>
      <c r="J2849" s="100"/>
      <c r="K2849" s="100"/>
      <c r="L2849" s="100"/>
      <c r="M2849" s="100"/>
      <c r="N2849" s="100"/>
      <c r="O2849" s="100"/>
      <c r="P2849" s="100"/>
      <c r="Q2849" s="100"/>
      <c r="R2849" s="100"/>
      <c r="S2849" s="100"/>
      <c r="T2849" s="100"/>
      <c r="U2849" s="100"/>
      <c r="V2849" s="100"/>
      <c r="W2849" s="100"/>
      <c r="X2849" s="100"/>
      <c r="Y2849" s="100"/>
      <c r="Z2849" s="100"/>
    </row>
    <row r="2850" spans="1:26">
      <c r="A2850" s="100"/>
      <c r="B2850" s="100"/>
      <c r="C2850" s="100"/>
      <c r="D2850" s="100"/>
      <c r="E2850" s="100"/>
      <c r="F2850" s="100"/>
      <c r="G2850" s="100"/>
      <c r="H2850" s="100"/>
      <c r="I2850" s="100"/>
      <c r="J2850" s="100"/>
      <c r="K2850" s="100"/>
      <c r="L2850" s="100"/>
      <c r="M2850" s="100"/>
      <c r="N2850" s="100"/>
      <c r="O2850" s="100"/>
      <c r="P2850" s="100"/>
      <c r="Q2850" s="100"/>
      <c r="R2850" s="100"/>
      <c r="S2850" s="100"/>
      <c r="T2850" s="100"/>
      <c r="U2850" s="100"/>
      <c r="V2850" s="100"/>
      <c r="W2850" s="100"/>
      <c r="X2850" s="100"/>
      <c r="Y2850" s="100"/>
      <c r="Z2850" s="100"/>
    </row>
    <row r="2851" spans="1:26">
      <c r="A2851" s="100"/>
      <c r="B2851" s="100"/>
      <c r="C2851" s="100"/>
      <c r="D2851" s="100"/>
      <c r="E2851" s="100"/>
      <c r="F2851" s="100"/>
      <c r="G2851" s="100"/>
      <c r="H2851" s="100"/>
      <c r="I2851" s="100"/>
      <c r="J2851" s="100"/>
      <c r="K2851" s="100"/>
      <c r="L2851" s="100"/>
      <c r="M2851" s="100"/>
      <c r="N2851" s="100"/>
      <c r="O2851" s="100"/>
      <c r="P2851" s="100"/>
      <c r="Q2851" s="100"/>
      <c r="R2851" s="100"/>
      <c r="S2851" s="100"/>
      <c r="T2851" s="100"/>
      <c r="U2851" s="100"/>
      <c r="V2851" s="100"/>
      <c r="W2851" s="100"/>
      <c r="X2851" s="100"/>
      <c r="Y2851" s="100"/>
      <c r="Z2851" s="100"/>
    </row>
    <row r="2852" spans="1:26">
      <c r="A2852" s="100"/>
      <c r="B2852" s="100"/>
      <c r="C2852" s="100"/>
      <c r="D2852" s="100"/>
      <c r="E2852" s="100"/>
      <c r="F2852" s="100"/>
      <c r="G2852" s="100"/>
      <c r="H2852" s="100"/>
      <c r="I2852" s="100"/>
      <c r="J2852" s="100"/>
      <c r="K2852" s="100"/>
      <c r="L2852" s="100"/>
      <c r="M2852" s="100"/>
      <c r="N2852" s="100"/>
      <c r="O2852" s="100"/>
      <c r="P2852" s="100"/>
      <c r="Q2852" s="100"/>
      <c r="R2852" s="100"/>
      <c r="S2852" s="100"/>
      <c r="T2852" s="100"/>
      <c r="U2852" s="100"/>
      <c r="V2852" s="100"/>
      <c r="W2852" s="100"/>
      <c r="X2852" s="100"/>
      <c r="Y2852" s="100"/>
      <c r="Z2852" s="100"/>
    </row>
    <row r="2853" spans="1:26">
      <c r="A2853" s="100"/>
      <c r="B2853" s="100"/>
      <c r="C2853" s="100"/>
      <c r="D2853" s="100"/>
      <c r="E2853" s="100"/>
      <c r="F2853" s="100"/>
      <c r="G2853" s="100"/>
      <c r="H2853" s="100"/>
      <c r="I2853" s="100"/>
      <c r="J2853" s="100"/>
      <c r="K2853" s="100"/>
      <c r="L2853" s="100"/>
      <c r="M2853" s="100"/>
      <c r="N2853" s="100"/>
      <c r="O2853" s="100"/>
      <c r="P2853" s="100"/>
      <c r="Q2853" s="100"/>
      <c r="R2853" s="100"/>
      <c r="S2853" s="100"/>
      <c r="T2853" s="100"/>
      <c r="U2853" s="100"/>
      <c r="V2853" s="100"/>
      <c r="W2853" s="100"/>
      <c r="X2853" s="100"/>
      <c r="Y2853" s="100"/>
      <c r="Z2853" s="100"/>
    </row>
    <row r="2854" spans="1:26">
      <c r="A2854" s="100"/>
      <c r="B2854" s="100"/>
      <c r="C2854" s="100"/>
      <c r="D2854" s="100"/>
      <c r="E2854" s="100"/>
      <c r="F2854" s="100"/>
      <c r="G2854" s="100"/>
      <c r="H2854" s="100"/>
      <c r="I2854" s="100"/>
      <c r="J2854" s="100"/>
      <c r="K2854" s="100"/>
      <c r="L2854" s="100"/>
      <c r="M2854" s="100"/>
      <c r="N2854" s="100"/>
      <c r="O2854" s="100"/>
      <c r="P2854" s="100"/>
      <c r="Q2854" s="100"/>
      <c r="R2854" s="100"/>
      <c r="S2854" s="100"/>
      <c r="T2854" s="100"/>
      <c r="U2854" s="100"/>
      <c r="V2854" s="100"/>
      <c r="W2854" s="100"/>
      <c r="X2854" s="100"/>
      <c r="Y2854" s="100"/>
      <c r="Z2854" s="100"/>
    </row>
    <row r="2855" spans="1:26">
      <c r="A2855" s="100"/>
      <c r="B2855" s="100"/>
      <c r="C2855" s="100"/>
      <c r="D2855" s="100"/>
      <c r="E2855" s="100"/>
      <c r="F2855" s="100"/>
      <c r="G2855" s="100"/>
      <c r="H2855" s="100"/>
      <c r="I2855" s="100"/>
      <c r="J2855" s="100"/>
      <c r="K2855" s="100"/>
      <c r="L2855" s="100"/>
      <c r="M2855" s="100"/>
      <c r="N2855" s="100"/>
      <c r="O2855" s="100"/>
      <c r="P2855" s="100"/>
      <c r="Q2855" s="100"/>
      <c r="R2855" s="100"/>
      <c r="S2855" s="100"/>
      <c r="T2855" s="100"/>
      <c r="U2855" s="100"/>
      <c r="V2855" s="100"/>
      <c r="W2855" s="100"/>
      <c r="X2855" s="100"/>
      <c r="Y2855" s="100"/>
      <c r="Z2855" s="100"/>
    </row>
    <row r="2856" spans="1:26">
      <c r="A2856" s="100"/>
      <c r="B2856" s="100"/>
      <c r="C2856" s="100"/>
      <c r="D2856" s="100"/>
      <c r="E2856" s="100"/>
      <c r="F2856" s="100"/>
      <c r="G2856" s="100"/>
      <c r="H2856" s="100"/>
      <c r="I2856" s="100"/>
      <c r="J2856" s="100"/>
      <c r="K2856" s="100"/>
      <c r="L2856" s="100"/>
      <c r="M2856" s="100"/>
      <c r="N2856" s="100"/>
      <c r="O2856" s="100"/>
      <c r="P2856" s="100"/>
      <c r="Q2856" s="100"/>
      <c r="R2856" s="100"/>
      <c r="S2856" s="100"/>
      <c r="T2856" s="100"/>
      <c r="U2856" s="100"/>
      <c r="V2856" s="100"/>
      <c r="W2856" s="100"/>
      <c r="X2856" s="100"/>
      <c r="Y2856" s="100"/>
      <c r="Z2856" s="100"/>
    </row>
    <row r="2857" spans="1:26">
      <c r="A2857" s="100"/>
      <c r="B2857" s="100"/>
      <c r="C2857" s="100"/>
      <c r="D2857" s="100"/>
      <c r="E2857" s="100"/>
      <c r="F2857" s="100"/>
      <c r="G2857" s="100"/>
      <c r="H2857" s="100"/>
      <c r="I2857" s="100"/>
      <c r="J2857" s="100"/>
      <c r="K2857" s="100"/>
      <c r="L2857" s="100"/>
      <c r="M2857" s="100"/>
      <c r="N2857" s="100"/>
      <c r="O2857" s="100"/>
      <c r="P2857" s="100"/>
      <c r="Q2857" s="100"/>
      <c r="R2857" s="100"/>
      <c r="S2857" s="100"/>
      <c r="T2857" s="100"/>
      <c r="U2857" s="100"/>
      <c r="V2857" s="100"/>
      <c r="W2857" s="100"/>
      <c r="X2857" s="100"/>
      <c r="Y2857" s="100"/>
      <c r="Z2857" s="100"/>
    </row>
    <row r="2858" spans="1:26">
      <c r="A2858" s="100"/>
      <c r="B2858" s="100"/>
      <c r="C2858" s="100"/>
      <c r="D2858" s="100"/>
      <c r="E2858" s="100"/>
      <c r="F2858" s="100"/>
      <c r="G2858" s="100"/>
      <c r="H2858" s="100"/>
      <c r="I2858" s="100"/>
      <c r="J2858" s="100"/>
      <c r="K2858" s="100"/>
      <c r="L2858" s="100"/>
      <c r="M2858" s="100"/>
      <c r="N2858" s="100"/>
      <c r="O2858" s="100"/>
      <c r="P2858" s="100"/>
      <c r="Q2858" s="100"/>
      <c r="R2858" s="100"/>
      <c r="S2858" s="100"/>
      <c r="T2858" s="100"/>
      <c r="U2858" s="100"/>
      <c r="V2858" s="100"/>
      <c r="W2858" s="100"/>
      <c r="X2858" s="100"/>
      <c r="Y2858" s="100"/>
      <c r="Z2858" s="100"/>
    </row>
    <row r="2859" spans="1:26">
      <c r="A2859" s="100"/>
      <c r="B2859" s="100"/>
      <c r="C2859" s="100"/>
      <c r="D2859" s="100"/>
      <c r="E2859" s="100"/>
      <c r="F2859" s="100"/>
      <c r="G2859" s="100"/>
      <c r="H2859" s="100"/>
      <c r="I2859" s="100"/>
      <c r="J2859" s="100"/>
      <c r="K2859" s="100"/>
      <c r="L2859" s="100"/>
      <c r="M2859" s="100"/>
      <c r="N2859" s="100"/>
      <c r="O2859" s="100"/>
      <c r="P2859" s="100"/>
      <c r="Q2859" s="100"/>
      <c r="R2859" s="100"/>
      <c r="S2859" s="100"/>
      <c r="T2859" s="100"/>
      <c r="U2859" s="100"/>
      <c r="V2859" s="100"/>
      <c r="W2859" s="100"/>
      <c r="X2859" s="100"/>
      <c r="Y2859" s="100"/>
      <c r="Z2859" s="100"/>
    </row>
    <row r="2860" spans="1:26">
      <c r="A2860" s="100"/>
      <c r="B2860" s="100"/>
      <c r="C2860" s="100"/>
      <c r="D2860" s="100"/>
      <c r="E2860" s="100"/>
      <c r="F2860" s="100"/>
      <c r="G2860" s="100"/>
      <c r="H2860" s="100"/>
      <c r="I2860" s="100"/>
      <c r="J2860" s="100"/>
      <c r="K2860" s="100"/>
      <c r="L2860" s="100"/>
      <c r="M2860" s="100"/>
      <c r="N2860" s="100"/>
      <c r="O2860" s="100"/>
      <c r="P2860" s="100"/>
      <c r="Q2860" s="100"/>
      <c r="R2860" s="100"/>
      <c r="S2860" s="100"/>
      <c r="T2860" s="100"/>
      <c r="U2860" s="100"/>
      <c r="V2860" s="100"/>
      <c r="W2860" s="100"/>
      <c r="X2860" s="100"/>
      <c r="Y2860" s="100"/>
      <c r="Z2860" s="100"/>
    </row>
    <row r="2861" spans="1:26">
      <c r="A2861" s="100"/>
      <c r="B2861" s="100"/>
      <c r="C2861" s="100"/>
      <c r="D2861" s="100"/>
      <c r="E2861" s="100"/>
      <c r="F2861" s="100"/>
      <c r="G2861" s="100"/>
      <c r="H2861" s="100"/>
      <c r="I2861" s="100"/>
      <c r="J2861" s="100"/>
      <c r="K2861" s="100"/>
      <c r="L2861" s="100"/>
      <c r="M2861" s="100"/>
      <c r="N2861" s="100"/>
      <c r="O2861" s="100"/>
      <c r="P2861" s="100"/>
      <c r="Q2861" s="100"/>
      <c r="R2861" s="100"/>
      <c r="S2861" s="100"/>
      <c r="T2861" s="100"/>
      <c r="U2861" s="100"/>
      <c r="V2861" s="100"/>
      <c r="W2861" s="100"/>
      <c r="X2861" s="100"/>
      <c r="Y2861" s="100"/>
      <c r="Z2861" s="100"/>
    </row>
    <row r="2862" spans="1:26">
      <c r="A2862" s="100"/>
      <c r="B2862" s="100"/>
      <c r="C2862" s="100"/>
      <c r="D2862" s="100"/>
      <c r="E2862" s="100"/>
      <c r="F2862" s="100"/>
      <c r="G2862" s="100"/>
      <c r="H2862" s="100"/>
      <c r="I2862" s="100"/>
      <c r="J2862" s="100"/>
      <c r="K2862" s="100"/>
      <c r="L2862" s="100"/>
      <c r="M2862" s="100"/>
      <c r="N2862" s="100"/>
      <c r="O2862" s="100"/>
      <c r="P2862" s="100"/>
      <c r="Q2862" s="100"/>
      <c r="R2862" s="100"/>
      <c r="S2862" s="100"/>
      <c r="T2862" s="100"/>
      <c r="U2862" s="100"/>
      <c r="V2862" s="100"/>
      <c r="W2862" s="100"/>
      <c r="X2862" s="100"/>
      <c r="Y2862" s="100"/>
      <c r="Z2862" s="100"/>
    </row>
    <row r="2863" spans="1:26">
      <c r="A2863" s="100"/>
      <c r="B2863" s="100"/>
      <c r="C2863" s="100"/>
      <c r="D2863" s="100"/>
      <c r="E2863" s="100"/>
      <c r="F2863" s="100"/>
      <c r="G2863" s="100"/>
      <c r="H2863" s="100"/>
      <c r="I2863" s="100"/>
      <c r="J2863" s="100"/>
      <c r="K2863" s="100"/>
      <c r="L2863" s="100"/>
      <c r="M2863" s="100"/>
      <c r="N2863" s="100"/>
      <c r="O2863" s="100"/>
      <c r="P2863" s="100"/>
      <c r="Q2863" s="100"/>
      <c r="R2863" s="100"/>
      <c r="S2863" s="100"/>
      <c r="T2863" s="100"/>
      <c r="U2863" s="100"/>
      <c r="V2863" s="100"/>
      <c r="W2863" s="100"/>
      <c r="X2863" s="100"/>
      <c r="Y2863" s="100"/>
      <c r="Z2863" s="100"/>
    </row>
    <row r="2864" spans="1:26">
      <c r="A2864" s="100"/>
      <c r="B2864" s="100"/>
      <c r="C2864" s="100"/>
      <c r="D2864" s="100"/>
      <c r="E2864" s="100"/>
      <c r="F2864" s="100"/>
      <c r="G2864" s="100"/>
      <c r="H2864" s="100"/>
      <c r="I2864" s="100"/>
      <c r="J2864" s="100"/>
      <c r="K2864" s="100"/>
      <c r="L2864" s="100"/>
      <c r="M2864" s="100"/>
      <c r="N2864" s="100"/>
      <c r="O2864" s="100"/>
      <c r="P2864" s="100"/>
      <c r="Q2864" s="100"/>
      <c r="R2864" s="100"/>
      <c r="S2864" s="100"/>
      <c r="T2864" s="100"/>
      <c r="U2864" s="100"/>
      <c r="V2864" s="100"/>
      <c r="W2864" s="100"/>
      <c r="X2864" s="100"/>
      <c r="Y2864" s="100"/>
      <c r="Z2864" s="100"/>
    </row>
    <row r="2865" spans="1:26">
      <c r="A2865" s="100"/>
      <c r="B2865" s="100"/>
      <c r="C2865" s="100"/>
      <c r="D2865" s="100"/>
      <c r="E2865" s="100"/>
      <c r="F2865" s="100"/>
      <c r="G2865" s="100"/>
      <c r="H2865" s="100"/>
      <c r="I2865" s="100"/>
      <c r="J2865" s="100"/>
      <c r="K2865" s="100"/>
      <c r="L2865" s="100"/>
      <c r="M2865" s="100"/>
      <c r="N2865" s="100"/>
      <c r="O2865" s="100"/>
      <c r="P2865" s="100"/>
      <c r="Q2865" s="100"/>
      <c r="R2865" s="100"/>
      <c r="S2865" s="100"/>
      <c r="T2865" s="100"/>
      <c r="U2865" s="100"/>
      <c r="V2865" s="100"/>
      <c r="W2865" s="100"/>
      <c r="X2865" s="100"/>
      <c r="Y2865" s="100"/>
      <c r="Z2865" s="100"/>
    </row>
    <row r="2866" spans="1:26">
      <c r="A2866" s="100"/>
      <c r="B2866" s="100"/>
      <c r="C2866" s="100"/>
      <c r="D2866" s="100"/>
      <c r="E2866" s="100"/>
      <c r="F2866" s="100"/>
      <c r="G2866" s="100"/>
      <c r="H2866" s="100"/>
      <c r="I2866" s="100"/>
      <c r="J2866" s="100"/>
      <c r="K2866" s="100"/>
      <c r="L2866" s="100"/>
      <c r="M2866" s="100"/>
      <c r="N2866" s="100"/>
      <c r="O2866" s="100"/>
      <c r="P2866" s="100"/>
      <c r="Q2866" s="100"/>
      <c r="R2866" s="100"/>
      <c r="S2866" s="100"/>
      <c r="T2866" s="100"/>
      <c r="U2866" s="100"/>
      <c r="V2866" s="100"/>
      <c r="W2866" s="100"/>
      <c r="X2866" s="100"/>
      <c r="Y2866" s="100"/>
      <c r="Z2866" s="100"/>
    </row>
    <row r="2867" spans="1:26">
      <c r="A2867" s="100"/>
      <c r="B2867" s="100"/>
      <c r="C2867" s="100"/>
      <c r="D2867" s="100"/>
      <c r="E2867" s="100"/>
      <c r="F2867" s="100"/>
      <c r="G2867" s="100"/>
      <c r="H2867" s="100"/>
      <c r="I2867" s="100"/>
      <c r="J2867" s="100"/>
      <c r="K2867" s="100"/>
      <c r="L2867" s="100"/>
      <c r="M2867" s="100"/>
      <c r="N2867" s="100"/>
      <c r="O2867" s="100"/>
      <c r="P2867" s="100"/>
      <c r="Q2867" s="100"/>
      <c r="R2867" s="100"/>
      <c r="S2867" s="100"/>
      <c r="T2867" s="100"/>
      <c r="U2867" s="100"/>
      <c r="V2867" s="100"/>
      <c r="W2867" s="100"/>
      <c r="X2867" s="100"/>
      <c r="Y2867" s="100"/>
      <c r="Z2867" s="100"/>
    </row>
    <row r="2868" spans="1:26">
      <c r="A2868" s="100"/>
      <c r="B2868" s="100"/>
      <c r="C2868" s="100"/>
      <c r="D2868" s="100"/>
      <c r="E2868" s="100"/>
      <c r="F2868" s="100"/>
      <c r="G2868" s="100"/>
      <c r="H2868" s="100"/>
      <c r="I2868" s="100"/>
      <c r="J2868" s="100"/>
      <c r="K2868" s="100"/>
      <c r="L2868" s="100"/>
      <c r="M2868" s="100"/>
      <c r="N2868" s="100"/>
      <c r="O2868" s="100"/>
      <c r="P2868" s="100"/>
      <c r="Q2868" s="100"/>
      <c r="R2868" s="100"/>
      <c r="S2868" s="100"/>
      <c r="T2868" s="100"/>
      <c r="U2868" s="100"/>
      <c r="V2868" s="100"/>
      <c r="W2868" s="100"/>
      <c r="X2868" s="100"/>
      <c r="Y2868" s="100"/>
      <c r="Z2868" s="100"/>
    </row>
    <row r="2869" spans="1:26">
      <c r="A2869" s="100"/>
      <c r="B2869" s="100"/>
      <c r="C2869" s="100"/>
      <c r="D2869" s="100"/>
      <c r="E2869" s="100"/>
      <c r="F2869" s="100"/>
      <c r="G2869" s="100"/>
      <c r="H2869" s="100"/>
      <c r="I2869" s="100"/>
      <c r="J2869" s="100"/>
      <c r="K2869" s="100"/>
      <c r="L2869" s="100"/>
      <c r="M2869" s="100"/>
      <c r="N2869" s="100"/>
      <c r="O2869" s="100"/>
      <c r="P2869" s="100"/>
      <c r="Q2869" s="100"/>
      <c r="R2869" s="100"/>
      <c r="S2869" s="100"/>
      <c r="T2869" s="100"/>
      <c r="U2869" s="100"/>
      <c r="V2869" s="100"/>
      <c r="W2869" s="100"/>
      <c r="X2869" s="100"/>
      <c r="Y2869" s="100"/>
      <c r="Z2869" s="100"/>
    </row>
    <row r="2870" spans="1:26">
      <c r="A2870" s="100"/>
      <c r="B2870" s="100"/>
      <c r="C2870" s="100"/>
      <c r="D2870" s="100"/>
      <c r="E2870" s="100"/>
      <c r="F2870" s="100"/>
      <c r="G2870" s="100"/>
      <c r="H2870" s="100"/>
      <c r="I2870" s="100"/>
      <c r="J2870" s="100"/>
      <c r="K2870" s="100"/>
      <c r="L2870" s="100"/>
      <c r="M2870" s="100"/>
      <c r="N2870" s="100"/>
      <c r="O2870" s="100"/>
      <c r="P2870" s="100"/>
      <c r="Q2870" s="100"/>
      <c r="R2870" s="100"/>
      <c r="S2870" s="100"/>
      <c r="T2870" s="100"/>
      <c r="U2870" s="100"/>
      <c r="V2870" s="100"/>
      <c r="W2870" s="100"/>
      <c r="X2870" s="100"/>
      <c r="Y2870" s="100"/>
      <c r="Z2870" s="100"/>
    </row>
    <row r="2871" spans="1:26">
      <c r="A2871" s="100"/>
      <c r="B2871" s="100"/>
      <c r="C2871" s="100"/>
      <c r="D2871" s="100"/>
      <c r="E2871" s="100"/>
      <c r="F2871" s="100"/>
      <c r="G2871" s="100"/>
      <c r="H2871" s="100"/>
      <c r="I2871" s="100"/>
      <c r="J2871" s="100"/>
      <c r="K2871" s="100"/>
      <c r="L2871" s="100"/>
      <c r="M2871" s="100"/>
      <c r="N2871" s="100"/>
      <c r="O2871" s="100"/>
      <c r="P2871" s="100"/>
      <c r="Q2871" s="100"/>
      <c r="R2871" s="100"/>
      <c r="S2871" s="100"/>
      <c r="T2871" s="100"/>
      <c r="U2871" s="100"/>
      <c r="V2871" s="100"/>
      <c r="W2871" s="100"/>
      <c r="X2871" s="100"/>
      <c r="Y2871" s="100"/>
      <c r="Z2871" s="100"/>
    </row>
    <row r="2872" spans="1:26">
      <c r="A2872" s="100"/>
      <c r="B2872" s="100"/>
      <c r="C2872" s="100"/>
      <c r="D2872" s="100"/>
      <c r="E2872" s="100"/>
      <c r="F2872" s="100"/>
      <c r="G2872" s="100"/>
      <c r="H2872" s="100"/>
      <c r="I2872" s="100"/>
      <c r="J2872" s="100"/>
      <c r="K2872" s="100"/>
      <c r="L2872" s="100"/>
      <c r="M2872" s="100"/>
      <c r="N2872" s="100"/>
      <c r="O2872" s="100"/>
      <c r="P2872" s="100"/>
      <c r="Q2872" s="100"/>
      <c r="R2872" s="100"/>
      <c r="S2872" s="100"/>
      <c r="T2872" s="100"/>
      <c r="U2872" s="100"/>
      <c r="V2872" s="100"/>
      <c r="W2872" s="100"/>
      <c r="X2872" s="100"/>
      <c r="Y2872" s="100"/>
      <c r="Z2872" s="100"/>
    </row>
    <row r="2873" spans="1:26">
      <c r="A2873" s="100"/>
      <c r="B2873" s="100"/>
      <c r="C2873" s="100"/>
      <c r="D2873" s="100"/>
      <c r="E2873" s="100"/>
      <c r="F2873" s="100"/>
      <c r="G2873" s="100"/>
      <c r="H2873" s="100"/>
      <c r="I2873" s="100"/>
      <c r="J2873" s="100"/>
      <c r="K2873" s="100"/>
      <c r="L2873" s="100"/>
      <c r="M2873" s="100"/>
      <c r="N2873" s="100"/>
      <c r="O2873" s="100"/>
      <c r="P2873" s="100"/>
      <c r="Q2873" s="100"/>
      <c r="R2873" s="100"/>
      <c r="S2873" s="100"/>
      <c r="T2873" s="100"/>
      <c r="U2873" s="100"/>
      <c r="V2873" s="100"/>
      <c r="W2873" s="100"/>
      <c r="X2873" s="100"/>
      <c r="Y2873" s="100"/>
      <c r="Z2873" s="100"/>
    </row>
    <row r="2874" spans="1:26">
      <c r="A2874" s="100"/>
      <c r="B2874" s="100"/>
      <c r="C2874" s="100"/>
      <c r="D2874" s="100"/>
      <c r="E2874" s="100"/>
      <c r="F2874" s="100"/>
      <c r="G2874" s="100"/>
      <c r="H2874" s="100"/>
      <c r="I2874" s="100"/>
      <c r="J2874" s="100"/>
      <c r="K2874" s="100"/>
      <c r="L2874" s="100"/>
      <c r="M2874" s="100"/>
      <c r="N2874" s="100"/>
      <c r="O2874" s="100"/>
      <c r="P2874" s="100"/>
      <c r="Q2874" s="100"/>
      <c r="R2874" s="100"/>
      <c r="S2874" s="100"/>
      <c r="T2874" s="100"/>
      <c r="U2874" s="100"/>
      <c r="V2874" s="100"/>
      <c r="W2874" s="100"/>
      <c r="X2874" s="100"/>
      <c r="Y2874" s="100"/>
      <c r="Z2874" s="100"/>
    </row>
    <row r="2875" spans="1:26">
      <c r="A2875" s="100"/>
      <c r="B2875" s="100"/>
      <c r="C2875" s="100"/>
      <c r="D2875" s="100"/>
      <c r="E2875" s="100"/>
      <c r="F2875" s="100"/>
      <c r="G2875" s="100"/>
      <c r="H2875" s="100"/>
      <c r="I2875" s="100"/>
      <c r="J2875" s="100"/>
      <c r="K2875" s="100"/>
      <c r="L2875" s="100"/>
      <c r="M2875" s="100"/>
      <c r="N2875" s="100"/>
      <c r="O2875" s="100"/>
      <c r="P2875" s="100"/>
      <c r="Q2875" s="100"/>
      <c r="R2875" s="100"/>
      <c r="S2875" s="100"/>
      <c r="T2875" s="100"/>
      <c r="U2875" s="100"/>
      <c r="V2875" s="100"/>
      <c r="W2875" s="100"/>
      <c r="X2875" s="100"/>
      <c r="Y2875" s="100"/>
      <c r="Z2875" s="100"/>
    </row>
    <row r="2876" spans="1:26">
      <c r="A2876" s="100"/>
      <c r="B2876" s="100"/>
      <c r="C2876" s="100"/>
      <c r="D2876" s="100"/>
      <c r="E2876" s="100"/>
      <c r="F2876" s="100"/>
      <c r="G2876" s="100"/>
      <c r="H2876" s="100"/>
      <c r="I2876" s="100"/>
      <c r="J2876" s="100"/>
      <c r="K2876" s="100"/>
      <c r="L2876" s="100"/>
      <c r="M2876" s="100"/>
      <c r="N2876" s="100"/>
      <c r="O2876" s="100"/>
      <c r="P2876" s="100"/>
      <c r="Q2876" s="100"/>
      <c r="R2876" s="100"/>
      <c r="S2876" s="100"/>
      <c r="T2876" s="100"/>
      <c r="U2876" s="100"/>
      <c r="V2876" s="100"/>
      <c r="W2876" s="100"/>
      <c r="X2876" s="100"/>
      <c r="Y2876" s="100"/>
      <c r="Z2876" s="100"/>
    </row>
    <row r="2877" spans="1:26">
      <c r="A2877" s="100"/>
      <c r="B2877" s="100"/>
      <c r="C2877" s="100"/>
      <c r="D2877" s="100"/>
      <c r="E2877" s="100"/>
      <c r="F2877" s="100"/>
      <c r="G2877" s="100"/>
      <c r="H2877" s="100"/>
      <c r="I2877" s="100"/>
      <c r="J2877" s="100"/>
      <c r="K2877" s="100"/>
      <c r="L2877" s="100"/>
      <c r="M2877" s="100"/>
      <c r="N2877" s="100"/>
      <c r="O2877" s="100"/>
      <c r="P2877" s="100"/>
      <c r="Q2877" s="100"/>
      <c r="R2877" s="100"/>
      <c r="S2877" s="100"/>
      <c r="T2877" s="100"/>
      <c r="U2877" s="100"/>
      <c r="V2877" s="100"/>
      <c r="W2877" s="100"/>
      <c r="X2877" s="100"/>
      <c r="Y2877" s="100"/>
      <c r="Z2877" s="100"/>
    </row>
    <row r="2878" spans="1:26">
      <c r="A2878" s="100"/>
      <c r="B2878" s="100"/>
      <c r="C2878" s="100"/>
      <c r="D2878" s="100"/>
      <c r="E2878" s="100"/>
      <c r="F2878" s="100"/>
      <c r="G2878" s="100"/>
      <c r="H2878" s="100"/>
      <c r="I2878" s="100"/>
      <c r="J2878" s="100"/>
      <c r="K2878" s="100"/>
      <c r="L2878" s="100"/>
      <c r="M2878" s="100"/>
      <c r="N2878" s="100"/>
      <c r="O2878" s="100"/>
      <c r="P2878" s="100"/>
      <c r="Q2878" s="100"/>
      <c r="R2878" s="100"/>
      <c r="S2878" s="100"/>
      <c r="T2878" s="100"/>
      <c r="U2878" s="100"/>
      <c r="V2878" s="100"/>
      <c r="W2878" s="100"/>
      <c r="X2878" s="100"/>
      <c r="Y2878" s="100"/>
      <c r="Z2878" s="100"/>
    </row>
    <row r="2879" spans="1:26">
      <c r="A2879" s="100"/>
      <c r="B2879" s="100"/>
      <c r="C2879" s="100"/>
      <c r="D2879" s="100"/>
      <c r="E2879" s="100"/>
      <c r="F2879" s="100"/>
      <c r="G2879" s="100"/>
      <c r="H2879" s="100"/>
      <c r="I2879" s="100"/>
      <c r="J2879" s="100"/>
      <c r="K2879" s="100"/>
      <c r="L2879" s="100"/>
      <c r="M2879" s="100"/>
      <c r="N2879" s="100"/>
      <c r="O2879" s="100"/>
      <c r="P2879" s="100"/>
      <c r="Q2879" s="100"/>
      <c r="R2879" s="100"/>
      <c r="S2879" s="100"/>
      <c r="T2879" s="100"/>
      <c r="U2879" s="100"/>
      <c r="V2879" s="100"/>
      <c r="W2879" s="100"/>
      <c r="X2879" s="100"/>
      <c r="Y2879" s="100"/>
      <c r="Z2879" s="100"/>
    </row>
    <row r="2880" spans="1:26">
      <c r="A2880" s="100"/>
      <c r="B2880" s="100"/>
      <c r="C2880" s="100"/>
      <c r="D2880" s="100"/>
      <c r="E2880" s="100"/>
      <c r="F2880" s="100"/>
      <c r="G2880" s="100"/>
      <c r="H2880" s="100"/>
      <c r="I2880" s="100"/>
      <c r="J2880" s="100"/>
      <c r="K2880" s="100"/>
      <c r="L2880" s="100"/>
      <c r="M2880" s="100"/>
      <c r="N2880" s="100"/>
      <c r="O2880" s="100"/>
      <c r="P2880" s="100"/>
      <c r="Q2880" s="100"/>
      <c r="R2880" s="100"/>
      <c r="S2880" s="100"/>
      <c r="T2880" s="100"/>
      <c r="U2880" s="100"/>
      <c r="V2880" s="100"/>
      <c r="W2880" s="100"/>
      <c r="X2880" s="100"/>
      <c r="Y2880" s="100"/>
      <c r="Z2880" s="100"/>
    </row>
    <row r="2881" spans="1:26">
      <c r="A2881" s="100"/>
      <c r="B2881" s="100"/>
      <c r="C2881" s="100"/>
      <c r="D2881" s="100"/>
      <c r="E2881" s="100"/>
      <c r="F2881" s="100"/>
      <c r="G2881" s="100"/>
      <c r="H2881" s="100"/>
      <c r="I2881" s="100"/>
      <c r="J2881" s="100"/>
      <c r="K2881" s="100"/>
      <c r="L2881" s="100"/>
      <c r="M2881" s="100"/>
      <c r="N2881" s="100"/>
      <c r="O2881" s="100"/>
      <c r="P2881" s="100"/>
      <c r="Q2881" s="100"/>
      <c r="R2881" s="100"/>
      <c r="S2881" s="100"/>
      <c r="T2881" s="100"/>
      <c r="U2881" s="100"/>
      <c r="V2881" s="100"/>
      <c r="W2881" s="100"/>
      <c r="X2881" s="100"/>
      <c r="Y2881" s="100"/>
      <c r="Z2881" s="100"/>
    </row>
    <row r="2882" spans="1:26">
      <c r="A2882" s="100"/>
      <c r="B2882" s="100"/>
      <c r="C2882" s="100"/>
      <c r="D2882" s="100"/>
      <c r="E2882" s="100"/>
      <c r="F2882" s="100"/>
      <c r="G2882" s="100"/>
      <c r="H2882" s="100"/>
      <c r="I2882" s="100"/>
      <c r="J2882" s="100"/>
      <c r="K2882" s="100"/>
      <c r="L2882" s="100"/>
      <c r="M2882" s="100"/>
      <c r="N2882" s="100"/>
      <c r="O2882" s="100"/>
      <c r="P2882" s="100"/>
      <c r="Q2882" s="100"/>
      <c r="R2882" s="100"/>
      <c r="S2882" s="100"/>
      <c r="T2882" s="100"/>
      <c r="U2882" s="100"/>
      <c r="V2882" s="100"/>
      <c r="W2882" s="100"/>
      <c r="X2882" s="100"/>
      <c r="Y2882" s="100"/>
      <c r="Z2882" s="100"/>
    </row>
    <row r="2883" spans="1:26">
      <c r="A2883" s="100"/>
      <c r="B2883" s="100"/>
      <c r="C2883" s="100"/>
      <c r="D2883" s="100"/>
      <c r="E2883" s="100"/>
      <c r="F2883" s="100"/>
      <c r="G2883" s="100"/>
      <c r="H2883" s="100"/>
      <c r="I2883" s="100"/>
      <c r="J2883" s="100"/>
      <c r="K2883" s="100"/>
      <c r="L2883" s="100"/>
      <c r="M2883" s="100"/>
      <c r="N2883" s="100"/>
      <c r="O2883" s="100"/>
      <c r="P2883" s="100"/>
      <c r="Q2883" s="100"/>
      <c r="R2883" s="100"/>
      <c r="S2883" s="100"/>
      <c r="T2883" s="100"/>
      <c r="U2883" s="100"/>
      <c r="V2883" s="100"/>
      <c r="W2883" s="100"/>
      <c r="X2883" s="100"/>
      <c r="Y2883" s="100"/>
      <c r="Z2883" s="100"/>
    </row>
    <row r="2884" spans="1:26">
      <c r="A2884" s="100"/>
      <c r="B2884" s="100"/>
      <c r="C2884" s="100"/>
      <c r="D2884" s="100"/>
      <c r="E2884" s="100"/>
      <c r="F2884" s="100"/>
      <c r="G2884" s="100"/>
      <c r="H2884" s="100"/>
      <c r="I2884" s="100"/>
      <c r="J2884" s="100"/>
      <c r="K2884" s="100"/>
      <c r="L2884" s="100"/>
      <c r="M2884" s="100"/>
      <c r="N2884" s="100"/>
      <c r="O2884" s="100"/>
      <c r="P2884" s="100"/>
      <c r="Q2884" s="100"/>
      <c r="R2884" s="100"/>
      <c r="S2884" s="100"/>
      <c r="T2884" s="100"/>
      <c r="U2884" s="100"/>
      <c r="V2884" s="100"/>
      <c r="W2884" s="100"/>
      <c r="X2884" s="100"/>
      <c r="Y2884" s="100"/>
      <c r="Z2884" s="100"/>
    </row>
    <row r="2885" spans="1:26">
      <c r="A2885" s="100"/>
      <c r="B2885" s="100"/>
      <c r="C2885" s="100"/>
      <c r="D2885" s="100"/>
      <c r="E2885" s="100"/>
      <c r="F2885" s="100"/>
      <c r="G2885" s="100"/>
      <c r="H2885" s="100"/>
      <c r="I2885" s="100"/>
      <c r="J2885" s="100"/>
      <c r="K2885" s="100"/>
      <c r="L2885" s="100"/>
      <c r="M2885" s="100"/>
      <c r="N2885" s="100"/>
      <c r="O2885" s="100"/>
      <c r="P2885" s="100"/>
      <c r="Q2885" s="100"/>
      <c r="R2885" s="100"/>
      <c r="S2885" s="100"/>
      <c r="T2885" s="100"/>
      <c r="U2885" s="100"/>
      <c r="V2885" s="100"/>
      <c r="W2885" s="100"/>
      <c r="X2885" s="100"/>
      <c r="Y2885" s="100"/>
      <c r="Z2885" s="100"/>
    </row>
    <row r="2886" spans="1:26">
      <c r="A2886" s="100"/>
      <c r="B2886" s="100"/>
      <c r="C2886" s="100"/>
      <c r="D2886" s="100"/>
      <c r="E2886" s="100"/>
      <c r="F2886" s="100"/>
      <c r="G2886" s="100"/>
      <c r="H2886" s="100"/>
      <c r="I2886" s="100"/>
      <c r="J2886" s="100"/>
      <c r="K2886" s="100"/>
      <c r="L2886" s="100"/>
      <c r="M2886" s="100"/>
      <c r="N2886" s="100"/>
      <c r="O2886" s="100"/>
      <c r="P2886" s="100"/>
      <c r="Q2886" s="100"/>
      <c r="R2886" s="100"/>
      <c r="S2886" s="100"/>
      <c r="T2886" s="100"/>
      <c r="U2886" s="100"/>
      <c r="V2886" s="100"/>
      <c r="W2886" s="100"/>
      <c r="X2886" s="100"/>
      <c r="Y2886" s="100"/>
      <c r="Z2886" s="100"/>
    </row>
    <row r="2887" spans="1:26">
      <c r="A2887" s="100"/>
      <c r="B2887" s="100"/>
      <c r="C2887" s="100"/>
      <c r="D2887" s="100"/>
      <c r="E2887" s="100"/>
      <c r="F2887" s="100"/>
      <c r="G2887" s="100"/>
      <c r="H2887" s="100"/>
      <c r="I2887" s="100"/>
      <c r="J2887" s="100"/>
      <c r="K2887" s="100"/>
      <c r="L2887" s="100"/>
      <c r="M2887" s="100"/>
      <c r="N2887" s="100"/>
      <c r="O2887" s="100"/>
      <c r="P2887" s="100"/>
      <c r="Q2887" s="100"/>
      <c r="R2887" s="100"/>
      <c r="S2887" s="100"/>
      <c r="T2887" s="100"/>
      <c r="U2887" s="100"/>
      <c r="V2887" s="100"/>
      <c r="W2887" s="100"/>
      <c r="X2887" s="100"/>
      <c r="Y2887" s="100"/>
      <c r="Z2887" s="100"/>
    </row>
    <row r="2888" spans="1:26">
      <c r="A2888" s="100"/>
      <c r="B2888" s="100"/>
      <c r="C2888" s="100"/>
      <c r="D2888" s="100"/>
      <c r="E2888" s="100"/>
      <c r="F2888" s="100"/>
      <c r="G2888" s="100"/>
      <c r="H2888" s="100"/>
      <c r="I2888" s="100"/>
      <c r="J2888" s="100"/>
      <c r="K2888" s="100"/>
      <c r="L2888" s="100"/>
      <c r="M2888" s="100"/>
      <c r="N2888" s="100"/>
      <c r="O2888" s="100"/>
      <c r="P2888" s="100"/>
      <c r="Q2888" s="100"/>
      <c r="R2888" s="100"/>
      <c r="S2888" s="100"/>
      <c r="T2888" s="100"/>
      <c r="U2888" s="100"/>
      <c r="V2888" s="100"/>
      <c r="W2888" s="100"/>
      <c r="X2888" s="100"/>
      <c r="Y2888" s="100"/>
      <c r="Z2888" s="100"/>
    </row>
    <row r="2889" spans="1:26">
      <c r="A2889" s="100"/>
      <c r="B2889" s="100"/>
      <c r="C2889" s="100"/>
      <c r="D2889" s="100"/>
      <c r="E2889" s="100"/>
      <c r="F2889" s="100"/>
      <c r="G2889" s="100"/>
      <c r="H2889" s="100"/>
      <c r="I2889" s="100"/>
      <c r="J2889" s="100"/>
      <c r="K2889" s="100"/>
      <c r="L2889" s="100"/>
      <c r="M2889" s="100"/>
      <c r="N2889" s="100"/>
      <c r="O2889" s="100"/>
      <c r="P2889" s="100"/>
      <c r="Q2889" s="100"/>
      <c r="R2889" s="100"/>
      <c r="S2889" s="100"/>
      <c r="T2889" s="100"/>
      <c r="U2889" s="100"/>
      <c r="V2889" s="100"/>
      <c r="W2889" s="100"/>
      <c r="X2889" s="100"/>
      <c r="Y2889" s="100"/>
      <c r="Z2889" s="100"/>
    </row>
    <row r="2890" spans="1:26">
      <c r="A2890" s="100"/>
      <c r="B2890" s="100"/>
      <c r="C2890" s="100"/>
      <c r="D2890" s="100"/>
      <c r="E2890" s="100"/>
      <c r="F2890" s="100"/>
      <c r="G2890" s="100"/>
      <c r="H2890" s="100"/>
      <c r="I2890" s="100"/>
      <c r="J2890" s="100"/>
      <c r="K2890" s="100"/>
      <c r="L2890" s="100"/>
      <c r="M2890" s="100"/>
      <c r="N2890" s="100"/>
      <c r="O2890" s="100"/>
      <c r="P2890" s="100"/>
      <c r="Q2890" s="100"/>
      <c r="R2890" s="100"/>
      <c r="S2890" s="100"/>
      <c r="T2890" s="100"/>
      <c r="U2890" s="100"/>
      <c r="V2890" s="100"/>
      <c r="W2890" s="100"/>
      <c r="X2890" s="100"/>
      <c r="Y2890" s="100"/>
      <c r="Z2890" s="100"/>
    </row>
    <row r="2891" spans="1:26">
      <c r="A2891" s="100"/>
      <c r="B2891" s="100"/>
      <c r="C2891" s="100"/>
      <c r="D2891" s="100"/>
      <c r="E2891" s="100"/>
      <c r="F2891" s="100"/>
      <c r="G2891" s="100"/>
      <c r="H2891" s="100"/>
      <c r="I2891" s="100"/>
      <c r="J2891" s="100"/>
      <c r="K2891" s="100"/>
      <c r="L2891" s="100"/>
      <c r="M2891" s="100"/>
      <c r="N2891" s="100"/>
      <c r="O2891" s="100"/>
      <c r="P2891" s="100"/>
      <c r="Q2891" s="100"/>
      <c r="R2891" s="100"/>
      <c r="S2891" s="100"/>
      <c r="T2891" s="100"/>
      <c r="U2891" s="100"/>
      <c r="V2891" s="100"/>
      <c r="W2891" s="100"/>
      <c r="X2891" s="100"/>
      <c r="Y2891" s="100"/>
      <c r="Z2891" s="100"/>
    </row>
    <row r="2892" spans="1:26">
      <c r="A2892" s="100"/>
      <c r="B2892" s="100"/>
      <c r="C2892" s="100"/>
      <c r="D2892" s="100"/>
      <c r="E2892" s="100"/>
      <c r="F2892" s="100"/>
      <c r="G2892" s="100"/>
      <c r="H2892" s="100"/>
      <c r="I2892" s="100"/>
      <c r="J2892" s="100"/>
      <c r="K2892" s="100"/>
      <c r="L2892" s="100"/>
      <c r="M2892" s="100"/>
      <c r="N2892" s="100"/>
      <c r="O2892" s="100"/>
      <c r="P2892" s="100"/>
      <c r="Q2892" s="100"/>
      <c r="R2892" s="100"/>
      <c r="S2892" s="100"/>
      <c r="T2892" s="100"/>
      <c r="U2892" s="100"/>
      <c r="V2892" s="100"/>
      <c r="W2892" s="100"/>
      <c r="X2892" s="100"/>
      <c r="Y2892" s="100"/>
      <c r="Z2892" s="100"/>
    </row>
    <row r="2893" spans="1:26">
      <c r="A2893" s="100"/>
      <c r="B2893" s="100"/>
      <c r="C2893" s="100"/>
      <c r="D2893" s="100"/>
      <c r="E2893" s="100"/>
      <c r="F2893" s="100"/>
      <c r="G2893" s="100"/>
      <c r="H2893" s="100"/>
      <c r="I2893" s="100"/>
      <c r="J2893" s="100"/>
      <c r="K2893" s="100"/>
      <c r="L2893" s="100"/>
      <c r="M2893" s="100"/>
      <c r="N2893" s="100"/>
      <c r="O2893" s="100"/>
      <c r="P2893" s="100"/>
      <c r="Q2893" s="100"/>
      <c r="R2893" s="100"/>
      <c r="S2893" s="100"/>
      <c r="T2893" s="100"/>
      <c r="U2893" s="100"/>
      <c r="V2893" s="100"/>
      <c r="W2893" s="100"/>
      <c r="X2893" s="100"/>
      <c r="Y2893" s="100"/>
      <c r="Z2893" s="100"/>
    </row>
    <row r="2894" spans="1:26">
      <c r="A2894" s="100"/>
      <c r="B2894" s="100"/>
      <c r="C2894" s="100"/>
      <c r="D2894" s="100"/>
      <c r="E2894" s="100"/>
      <c r="F2894" s="100"/>
      <c r="G2894" s="100"/>
      <c r="H2894" s="100"/>
      <c r="I2894" s="100"/>
      <c r="J2894" s="100"/>
      <c r="K2894" s="100"/>
      <c r="L2894" s="100"/>
      <c r="M2894" s="100"/>
      <c r="N2894" s="100"/>
      <c r="O2894" s="100"/>
      <c r="P2894" s="100"/>
      <c r="Q2894" s="100"/>
      <c r="R2894" s="100"/>
      <c r="S2894" s="100"/>
      <c r="T2894" s="100"/>
      <c r="U2894" s="100"/>
      <c r="V2894" s="100"/>
      <c r="W2894" s="100"/>
      <c r="X2894" s="100"/>
      <c r="Y2894" s="100"/>
      <c r="Z2894" s="100"/>
    </row>
    <row r="2895" spans="1:26">
      <c r="A2895" s="100"/>
      <c r="B2895" s="100"/>
      <c r="C2895" s="100"/>
      <c r="D2895" s="100"/>
      <c r="E2895" s="100"/>
      <c r="F2895" s="100"/>
      <c r="G2895" s="100"/>
      <c r="H2895" s="100"/>
      <c r="I2895" s="100"/>
      <c r="J2895" s="100"/>
      <c r="K2895" s="100"/>
      <c r="L2895" s="100"/>
      <c r="M2895" s="100"/>
      <c r="N2895" s="100"/>
      <c r="O2895" s="100"/>
      <c r="P2895" s="100"/>
      <c r="Q2895" s="100"/>
      <c r="R2895" s="100"/>
      <c r="S2895" s="100"/>
      <c r="T2895" s="100"/>
      <c r="U2895" s="100"/>
      <c r="V2895" s="100"/>
      <c r="W2895" s="100"/>
      <c r="X2895" s="100"/>
      <c r="Y2895" s="100"/>
      <c r="Z2895" s="100"/>
    </row>
    <row r="2896" spans="1:26">
      <c r="A2896" s="100"/>
      <c r="B2896" s="100"/>
      <c r="C2896" s="100"/>
      <c r="D2896" s="100"/>
      <c r="E2896" s="100"/>
      <c r="F2896" s="100"/>
      <c r="G2896" s="100"/>
      <c r="H2896" s="100"/>
      <c r="I2896" s="100"/>
      <c r="J2896" s="100"/>
      <c r="K2896" s="100"/>
      <c r="L2896" s="100"/>
      <c r="M2896" s="100"/>
      <c r="N2896" s="100"/>
      <c r="O2896" s="100"/>
      <c r="P2896" s="100"/>
      <c r="Q2896" s="100"/>
      <c r="R2896" s="100"/>
      <c r="S2896" s="100"/>
      <c r="T2896" s="100"/>
      <c r="U2896" s="100"/>
      <c r="V2896" s="100"/>
      <c r="W2896" s="100"/>
      <c r="X2896" s="100"/>
      <c r="Y2896" s="100"/>
      <c r="Z2896" s="100"/>
    </row>
    <row r="2897" spans="1:26">
      <c r="A2897" s="100"/>
      <c r="B2897" s="100"/>
      <c r="C2897" s="100"/>
      <c r="D2897" s="100"/>
      <c r="E2897" s="100"/>
      <c r="F2897" s="100"/>
      <c r="G2897" s="100"/>
      <c r="H2897" s="100"/>
      <c r="I2897" s="100"/>
      <c r="J2897" s="100"/>
      <c r="K2897" s="100"/>
      <c r="L2897" s="100"/>
      <c r="M2897" s="100"/>
      <c r="N2897" s="100"/>
      <c r="O2897" s="100"/>
      <c r="P2897" s="100"/>
      <c r="Q2897" s="100"/>
      <c r="R2897" s="100"/>
      <c r="S2897" s="100"/>
      <c r="T2897" s="100"/>
      <c r="U2897" s="100"/>
      <c r="V2897" s="100"/>
      <c r="W2897" s="100"/>
      <c r="X2897" s="100"/>
      <c r="Y2897" s="100"/>
      <c r="Z2897" s="100"/>
    </row>
    <row r="2898" spans="1:26">
      <c r="A2898" s="100"/>
      <c r="B2898" s="100"/>
      <c r="C2898" s="100"/>
      <c r="D2898" s="100"/>
      <c r="E2898" s="100"/>
      <c r="F2898" s="100"/>
      <c r="G2898" s="100"/>
      <c r="H2898" s="100"/>
      <c r="I2898" s="100"/>
      <c r="J2898" s="100"/>
      <c r="K2898" s="100"/>
      <c r="L2898" s="100"/>
      <c r="M2898" s="100"/>
      <c r="N2898" s="100"/>
      <c r="O2898" s="100"/>
      <c r="P2898" s="100"/>
      <c r="Q2898" s="100"/>
      <c r="R2898" s="100"/>
      <c r="S2898" s="100"/>
      <c r="T2898" s="100"/>
      <c r="U2898" s="100"/>
      <c r="V2898" s="100"/>
      <c r="W2898" s="100"/>
      <c r="X2898" s="100"/>
      <c r="Y2898" s="100"/>
      <c r="Z2898" s="100"/>
    </row>
    <row r="2899" spans="1:26">
      <c r="A2899" s="100"/>
      <c r="B2899" s="100"/>
      <c r="C2899" s="100"/>
      <c r="D2899" s="100"/>
      <c r="E2899" s="100"/>
      <c r="F2899" s="100"/>
      <c r="G2899" s="100"/>
      <c r="H2899" s="100"/>
      <c r="I2899" s="100"/>
      <c r="J2899" s="100"/>
      <c r="K2899" s="100"/>
      <c r="L2899" s="100"/>
      <c r="M2899" s="100"/>
      <c r="N2899" s="100"/>
      <c r="O2899" s="100"/>
      <c r="P2899" s="100"/>
      <c r="Q2899" s="100"/>
      <c r="R2899" s="100"/>
      <c r="S2899" s="100"/>
      <c r="T2899" s="100"/>
      <c r="U2899" s="100"/>
      <c r="V2899" s="100"/>
      <c r="W2899" s="100"/>
      <c r="X2899" s="100"/>
      <c r="Y2899" s="100"/>
      <c r="Z2899" s="100"/>
    </row>
    <row r="2900" spans="1:26">
      <c r="A2900" s="100"/>
      <c r="B2900" s="100"/>
      <c r="C2900" s="100"/>
      <c r="D2900" s="100"/>
      <c r="E2900" s="100"/>
      <c r="F2900" s="100"/>
      <c r="G2900" s="100"/>
      <c r="H2900" s="100"/>
      <c r="I2900" s="100"/>
      <c r="J2900" s="100"/>
      <c r="K2900" s="100"/>
      <c r="L2900" s="100"/>
      <c r="M2900" s="100"/>
      <c r="N2900" s="100"/>
      <c r="O2900" s="100"/>
      <c r="P2900" s="100"/>
      <c r="Q2900" s="100"/>
      <c r="R2900" s="100"/>
      <c r="S2900" s="100"/>
      <c r="T2900" s="100"/>
      <c r="U2900" s="100"/>
      <c r="V2900" s="100"/>
      <c r="W2900" s="100"/>
      <c r="X2900" s="100"/>
      <c r="Y2900" s="100"/>
      <c r="Z2900" s="100"/>
    </row>
    <row r="2901" spans="1:26">
      <c r="A2901" s="100"/>
      <c r="B2901" s="100"/>
      <c r="C2901" s="100"/>
      <c r="D2901" s="100"/>
      <c r="E2901" s="100"/>
      <c r="F2901" s="100"/>
      <c r="G2901" s="100"/>
      <c r="H2901" s="100"/>
      <c r="I2901" s="100"/>
      <c r="J2901" s="100"/>
      <c r="K2901" s="100"/>
      <c r="L2901" s="100"/>
      <c r="M2901" s="100"/>
      <c r="N2901" s="100"/>
      <c r="O2901" s="100"/>
      <c r="P2901" s="100"/>
      <c r="Q2901" s="100"/>
      <c r="R2901" s="100"/>
      <c r="S2901" s="100"/>
      <c r="T2901" s="100"/>
      <c r="U2901" s="100"/>
      <c r="V2901" s="100"/>
      <c r="W2901" s="100"/>
      <c r="X2901" s="100"/>
      <c r="Y2901" s="100"/>
      <c r="Z2901" s="100"/>
    </row>
    <row r="2902" spans="1:26">
      <c r="A2902" s="100"/>
      <c r="B2902" s="100"/>
      <c r="C2902" s="100"/>
      <c r="D2902" s="100"/>
      <c r="E2902" s="100"/>
      <c r="F2902" s="100"/>
      <c r="G2902" s="100"/>
      <c r="H2902" s="100"/>
      <c r="I2902" s="100"/>
      <c r="J2902" s="100"/>
      <c r="K2902" s="100"/>
      <c r="L2902" s="100"/>
      <c r="M2902" s="100"/>
      <c r="N2902" s="100"/>
      <c r="O2902" s="100"/>
      <c r="P2902" s="100"/>
      <c r="Q2902" s="100"/>
      <c r="R2902" s="100"/>
      <c r="S2902" s="100"/>
      <c r="T2902" s="100"/>
      <c r="U2902" s="100"/>
      <c r="V2902" s="100"/>
      <c r="W2902" s="100"/>
      <c r="X2902" s="100"/>
      <c r="Y2902" s="100"/>
      <c r="Z2902" s="100"/>
    </row>
    <row r="2903" spans="1:26">
      <c r="A2903" s="100"/>
      <c r="B2903" s="100"/>
      <c r="C2903" s="100"/>
      <c r="D2903" s="100"/>
      <c r="E2903" s="100"/>
      <c r="F2903" s="100"/>
      <c r="G2903" s="100"/>
      <c r="H2903" s="100"/>
      <c r="I2903" s="100"/>
      <c r="J2903" s="100"/>
      <c r="K2903" s="100"/>
      <c r="L2903" s="100"/>
      <c r="M2903" s="100"/>
      <c r="N2903" s="100"/>
      <c r="O2903" s="100"/>
      <c r="P2903" s="100"/>
      <c r="Q2903" s="100"/>
      <c r="R2903" s="100"/>
      <c r="S2903" s="100"/>
      <c r="T2903" s="100"/>
      <c r="U2903" s="100"/>
      <c r="V2903" s="100"/>
      <c r="W2903" s="100"/>
      <c r="X2903" s="100"/>
      <c r="Y2903" s="100"/>
      <c r="Z2903" s="100"/>
    </row>
    <row r="2904" spans="1:26">
      <c r="A2904" s="100"/>
      <c r="B2904" s="100"/>
      <c r="C2904" s="100"/>
      <c r="D2904" s="100"/>
      <c r="E2904" s="100"/>
      <c r="F2904" s="100"/>
      <c r="G2904" s="100"/>
      <c r="H2904" s="100"/>
      <c r="I2904" s="100"/>
      <c r="J2904" s="100"/>
      <c r="K2904" s="100"/>
      <c r="L2904" s="100"/>
      <c r="M2904" s="100"/>
      <c r="N2904" s="100"/>
      <c r="O2904" s="100"/>
      <c r="P2904" s="100"/>
      <c r="Q2904" s="100"/>
      <c r="R2904" s="100"/>
      <c r="S2904" s="100"/>
      <c r="T2904" s="100"/>
      <c r="U2904" s="100"/>
      <c r="V2904" s="100"/>
      <c r="W2904" s="100"/>
      <c r="X2904" s="100"/>
      <c r="Y2904" s="100"/>
      <c r="Z2904" s="100"/>
    </row>
    <row r="2905" spans="1:26">
      <c r="A2905" s="100"/>
      <c r="B2905" s="100"/>
      <c r="C2905" s="100"/>
      <c r="D2905" s="100"/>
      <c r="E2905" s="100"/>
      <c r="F2905" s="100"/>
      <c r="G2905" s="100"/>
      <c r="H2905" s="100"/>
      <c r="I2905" s="100"/>
      <c r="J2905" s="100"/>
      <c r="K2905" s="100"/>
      <c r="L2905" s="100"/>
      <c r="M2905" s="100"/>
      <c r="N2905" s="100"/>
      <c r="O2905" s="100"/>
      <c r="P2905" s="100"/>
      <c r="Q2905" s="100"/>
      <c r="R2905" s="100"/>
      <c r="S2905" s="100"/>
      <c r="T2905" s="100"/>
      <c r="U2905" s="100"/>
      <c r="V2905" s="100"/>
      <c r="W2905" s="100"/>
      <c r="X2905" s="100"/>
      <c r="Y2905" s="100"/>
      <c r="Z2905" s="100"/>
    </row>
    <row r="2906" spans="1:26">
      <c r="A2906" s="100"/>
      <c r="B2906" s="100"/>
      <c r="C2906" s="100"/>
      <c r="D2906" s="100"/>
      <c r="E2906" s="100"/>
      <c r="F2906" s="100"/>
      <c r="G2906" s="100"/>
      <c r="H2906" s="100"/>
      <c r="I2906" s="100"/>
      <c r="J2906" s="100"/>
      <c r="K2906" s="100"/>
      <c r="L2906" s="100"/>
      <c r="M2906" s="100"/>
      <c r="N2906" s="100"/>
      <c r="O2906" s="100"/>
      <c r="P2906" s="100"/>
      <c r="Q2906" s="100"/>
      <c r="R2906" s="100"/>
      <c r="S2906" s="100"/>
      <c r="T2906" s="100"/>
      <c r="U2906" s="100"/>
      <c r="V2906" s="100"/>
      <c r="W2906" s="100"/>
      <c r="X2906" s="100"/>
      <c r="Y2906" s="100"/>
      <c r="Z2906" s="100"/>
    </row>
    <row r="2907" spans="1:26">
      <c r="A2907" s="100"/>
      <c r="B2907" s="100"/>
      <c r="C2907" s="100"/>
      <c r="D2907" s="100"/>
      <c r="E2907" s="100"/>
      <c r="F2907" s="100"/>
      <c r="G2907" s="100"/>
      <c r="H2907" s="100"/>
      <c r="I2907" s="100"/>
      <c r="J2907" s="100"/>
      <c r="K2907" s="100"/>
      <c r="L2907" s="100"/>
      <c r="M2907" s="100"/>
      <c r="N2907" s="100"/>
      <c r="O2907" s="100"/>
      <c r="P2907" s="100"/>
      <c r="Q2907" s="100"/>
      <c r="R2907" s="100"/>
      <c r="S2907" s="100"/>
      <c r="T2907" s="100"/>
      <c r="U2907" s="100"/>
      <c r="V2907" s="100"/>
      <c r="W2907" s="100"/>
      <c r="X2907" s="100"/>
      <c r="Y2907" s="100"/>
      <c r="Z2907" s="100"/>
    </row>
    <row r="2908" spans="1:26">
      <c r="A2908" s="100"/>
      <c r="B2908" s="100"/>
      <c r="C2908" s="100"/>
      <c r="D2908" s="100"/>
      <c r="E2908" s="100"/>
      <c r="F2908" s="100"/>
      <c r="G2908" s="100"/>
      <c r="H2908" s="100"/>
      <c r="I2908" s="100"/>
      <c r="J2908" s="100"/>
      <c r="K2908" s="100"/>
      <c r="L2908" s="100"/>
      <c r="M2908" s="100"/>
      <c r="N2908" s="100"/>
      <c r="O2908" s="100"/>
      <c r="P2908" s="100"/>
      <c r="Q2908" s="100"/>
      <c r="R2908" s="100"/>
      <c r="S2908" s="100"/>
      <c r="T2908" s="100"/>
      <c r="U2908" s="100"/>
      <c r="V2908" s="100"/>
      <c r="W2908" s="100"/>
      <c r="X2908" s="100"/>
      <c r="Y2908" s="100"/>
      <c r="Z2908" s="100"/>
    </row>
    <row r="2909" spans="1:26">
      <c r="A2909" s="100"/>
      <c r="B2909" s="100"/>
      <c r="C2909" s="100"/>
      <c r="D2909" s="100"/>
      <c r="E2909" s="100"/>
      <c r="F2909" s="100"/>
      <c r="G2909" s="100"/>
      <c r="H2909" s="100"/>
      <c r="I2909" s="100"/>
      <c r="J2909" s="100"/>
      <c r="K2909" s="100"/>
      <c r="L2909" s="100"/>
      <c r="M2909" s="100"/>
      <c r="N2909" s="100"/>
      <c r="O2909" s="100"/>
      <c r="P2909" s="100"/>
      <c r="Q2909" s="100"/>
      <c r="R2909" s="100"/>
      <c r="S2909" s="100"/>
      <c r="T2909" s="100"/>
      <c r="U2909" s="100"/>
      <c r="V2909" s="100"/>
      <c r="W2909" s="100"/>
      <c r="X2909" s="100"/>
      <c r="Y2909" s="100"/>
      <c r="Z2909" s="100"/>
    </row>
    <row r="2910" spans="1:26">
      <c r="A2910" s="100"/>
      <c r="B2910" s="100"/>
      <c r="C2910" s="100"/>
      <c r="D2910" s="100"/>
      <c r="E2910" s="100"/>
      <c r="F2910" s="100"/>
      <c r="G2910" s="100"/>
      <c r="H2910" s="100"/>
      <c r="I2910" s="100"/>
      <c r="J2910" s="100"/>
      <c r="K2910" s="100"/>
      <c r="L2910" s="100"/>
      <c r="M2910" s="100"/>
      <c r="N2910" s="100"/>
      <c r="O2910" s="100"/>
      <c r="P2910" s="100"/>
      <c r="Q2910" s="100"/>
      <c r="R2910" s="100"/>
      <c r="S2910" s="100"/>
      <c r="T2910" s="100"/>
      <c r="U2910" s="100"/>
      <c r="V2910" s="100"/>
      <c r="W2910" s="100"/>
      <c r="X2910" s="100"/>
      <c r="Y2910" s="100"/>
      <c r="Z2910" s="100"/>
    </row>
    <row r="2911" spans="1:26">
      <c r="A2911" s="100"/>
      <c r="B2911" s="100"/>
      <c r="C2911" s="100"/>
      <c r="D2911" s="100"/>
      <c r="E2911" s="100"/>
      <c r="F2911" s="100"/>
      <c r="G2911" s="100"/>
      <c r="H2911" s="100"/>
      <c r="I2911" s="100"/>
      <c r="J2911" s="100"/>
      <c r="K2911" s="100"/>
      <c r="L2911" s="100"/>
      <c r="M2911" s="100"/>
      <c r="N2911" s="100"/>
      <c r="O2911" s="100"/>
      <c r="P2911" s="100"/>
      <c r="Q2911" s="100"/>
      <c r="R2911" s="100"/>
      <c r="S2911" s="100"/>
      <c r="T2911" s="100"/>
      <c r="U2911" s="100"/>
      <c r="V2911" s="100"/>
      <c r="W2911" s="100"/>
      <c r="X2911" s="100"/>
      <c r="Y2911" s="100"/>
      <c r="Z2911" s="100"/>
    </row>
    <row r="2912" spans="1:26">
      <c r="A2912" s="100"/>
      <c r="B2912" s="100"/>
      <c r="C2912" s="100"/>
      <c r="D2912" s="100"/>
      <c r="E2912" s="100"/>
      <c r="F2912" s="100"/>
      <c r="G2912" s="100"/>
      <c r="H2912" s="100"/>
      <c r="I2912" s="100"/>
      <c r="J2912" s="100"/>
      <c r="K2912" s="100"/>
      <c r="L2912" s="100"/>
      <c r="M2912" s="100"/>
      <c r="N2912" s="100"/>
      <c r="O2912" s="100"/>
      <c r="P2912" s="100"/>
      <c r="Q2912" s="100"/>
      <c r="R2912" s="100"/>
      <c r="S2912" s="100"/>
      <c r="T2912" s="100"/>
      <c r="U2912" s="100"/>
      <c r="V2912" s="100"/>
      <c r="W2912" s="100"/>
      <c r="X2912" s="100"/>
      <c r="Y2912" s="100"/>
      <c r="Z2912" s="100"/>
    </row>
    <row r="2913" spans="1:26">
      <c r="A2913" s="100"/>
      <c r="B2913" s="100"/>
      <c r="C2913" s="100"/>
      <c r="D2913" s="100"/>
      <c r="E2913" s="100"/>
      <c r="F2913" s="100"/>
      <c r="G2913" s="100"/>
      <c r="H2913" s="100"/>
      <c r="I2913" s="100"/>
      <c r="J2913" s="100"/>
      <c r="K2913" s="100"/>
      <c r="L2913" s="100"/>
      <c r="M2913" s="100"/>
      <c r="N2913" s="100"/>
      <c r="O2913" s="100"/>
      <c r="P2913" s="100"/>
      <c r="Q2913" s="100"/>
      <c r="R2913" s="100"/>
      <c r="S2913" s="100"/>
      <c r="T2913" s="100"/>
      <c r="U2913" s="100"/>
      <c r="V2913" s="100"/>
      <c r="W2913" s="100"/>
      <c r="X2913" s="100"/>
      <c r="Y2913" s="100"/>
      <c r="Z2913" s="100"/>
    </row>
    <row r="2914" spans="1:26">
      <c r="A2914" s="100"/>
      <c r="B2914" s="100"/>
      <c r="C2914" s="100"/>
      <c r="D2914" s="100"/>
      <c r="E2914" s="100"/>
      <c r="F2914" s="100"/>
      <c r="G2914" s="100"/>
      <c r="H2914" s="100"/>
      <c r="I2914" s="100"/>
      <c r="J2914" s="100"/>
      <c r="K2914" s="100"/>
      <c r="L2914" s="100"/>
      <c r="M2914" s="100"/>
      <c r="N2914" s="100"/>
      <c r="O2914" s="100"/>
      <c r="P2914" s="100"/>
      <c r="Q2914" s="100"/>
      <c r="R2914" s="100"/>
      <c r="S2914" s="100"/>
      <c r="T2914" s="100"/>
      <c r="U2914" s="100"/>
      <c r="V2914" s="100"/>
      <c r="W2914" s="100"/>
      <c r="X2914" s="100"/>
      <c r="Y2914" s="100"/>
      <c r="Z2914" s="100"/>
    </row>
    <row r="2915" spans="1:26">
      <c r="A2915" s="100"/>
      <c r="B2915" s="100"/>
      <c r="C2915" s="100"/>
      <c r="D2915" s="100"/>
      <c r="E2915" s="100"/>
      <c r="F2915" s="100"/>
      <c r="G2915" s="100"/>
      <c r="H2915" s="100"/>
      <c r="I2915" s="100"/>
      <c r="J2915" s="100"/>
      <c r="K2915" s="100"/>
      <c r="L2915" s="100"/>
      <c r="M2915" s="100"/>
      <c r="N2915" s="100"/>
      <c r="O2915" s="100"/>
      <c r="P2915" s="100"/>
      <c r="Q2915" s="100"/>
      <c r="R2915" s="100"/>
      <c r="S2915" s="100"/>
      <c r="T2915" s="100"/>
      <c r="U2915" s="100"/>
      <c r="V2915" s="100"/>
      <c r="W2915" s="100"/>
      <c r="X2915" s="100"/>
      <c r="Y2915" s="100"/>
      <c r="Z2915" s="100"/>
    </row>
    <row r="2916" spans="1:26">
      <c r="A2916" s="100"/>
      <c r="B2916" s="100"/>
      <c r="C2916" s="100"/>
      <c r="D2916" s="100"/>
      <c r="E2916" s="100"/>
      <c r="F2916" s="100"/>
      <c r="G2916" s="100"/>
      <c r="H2916" s="100"/>
      <c r="I2916" s="100"/>
      <c r="J2916" s="100"/>
      <c r="K2916" s="100"/>
      <c r="L2916" s="100"/>
      <c r="M2916" s="100"/>
      <c r="N2916" s="100"/>
      <c r="O2916" s="100"/>
      <c r="P2916" s="100"/>
      <c r="Q2916" s="100"/>
      <c r="R2916" s="100"/>
      <c r="S2916" s="100"/>
      <c r="T2916" s="100"/>
      <c r="U2916" s="100"/>
      <c r="V2916" s="100"/>
      <c r="W2916" s="100"/>
      <c r="X2916" s="100"/>
      <c r="Y2916" s="100"/>
      <c r="Z2916" s="100"/>
    </row>
    <row r="2917" spans="1:26">
      <c r="A2917" s="100"/>
      <c r="B2917" s="100"/>
      <c r="C2917" s="100"/>
      <c r="D2917" s="100"/>
      <c r="E2917" s="100"/>
      <c r="F2917" s="100"/>
      <c r="G2917" s="100"/>
      <c r="H2917" s="100"/>
      <c r="I2917" s="100"/>
      <c r="J2917" s="100"/>
      <c r="K2917" s="100"/>
      <c r="L2917" s="100"/>
      <c r="M2917" s="100"/>
      <c r="N2917" s="100"/>
      <c r="O2917" s="100"/>
      <c r="P2917" s="100"/>
      <c r="Q2917" s="100"/>
      <c r="R2917" s="100"/>
      <c r="S2917" s="100"/>
      <c r="T2917" s="100"/>
      <c r="U2917" s="100"/>
      <c r="V2917" s="100"/>
      <c r="W2917" s="100"/>
      <c r="X2917" s="100"/>
      <c r="Y2917" s="100"/>
      <c r="Z2917" s="100"/>
    </row>
    <row r="2918" spans="1:26">
      <c r="A2918" s="100"/>
      <c r="B2918" s="100"/>
      <c r="C2918" s="100"/>
      <c r="D2918" s="100"/>
      <c r="E2918" s="100"/>
      <c r="F2918" s="100"/>
      <c r="G2918" s="100"/>
      <c r="H2918" s="100"/>
      <c r="I2918" s="100"/>
      <c r="J2918" s="100"/>
      <c r="K2918" s="100"/>
      <c r="L2918" s="100"/>
      <c r="M2918" s="100"/>
      <c r="N2918" s="100"/>
      <c r="O2918" s="100"/>
      <c r="P2918" s="100"/>
      <c r="Q2918" s="100"/>
      <c r="R2918" s="100"/>
      <c r="S2918" s="100"/>
      <c r="T2918" s="100"/>
      <c r="U2918" s="100"/>
      <c r="V2918" s="100"/>
      <c r="W2918" s="100"/>
      <c r="X2918" s="100"/>
      <c r="Y2918" s="100"/>
      <c r="Z2918" s="100"/>
    </row>
    <row r="2919" spans="1:26">
      <c r="A2919" s="100"/>
      <c r="B2919" s="100"/>
      <c r="C2919" s="100"/>
      <c r="D2919" s="100"/>
      <c r="E2919" s="100"/>
      <c r="F2919" s="100"/>
      <c r="G2919" s="100"/>
      <c r="H2919" s="100"/>
      <c r="I2919" s="100"/>
      <c r="J2919" s="100"/>
      <c r="K2919" s="100"/>
      <c r="L2919" s="100"/>
      <c r="M2919" s="100"/>
      <c r="N2919" s="100"/>
      <c r="O2919" s="100"/>
      <c r="P2919" s="100"/>
      <c r="Q2919" s="100"/>
      <c r="R2919" s="100"/>
      <c r="S2919" s="100"/>
      <c r="T2919" s="100"/>
      <c r="U2919" s="100"/>
      <c r="V2919" s="100"/>
      <c r="W2919" s="100"/>
      <c r="X2919" s="100"/>
      <c r="Y2919" s="100"/>
      <c r="Z2919" s="100"/>
    </row>
    <row r="2920" spans="1:26">
      <c r="A2920" s="100"/>
      <c r="B2920" s="100"/>
      <c r="C2920" s="100"/>
      <c r="D2920" s="100"/>
      <c r="E2920" s="100"/>
      <c r="F2920" s="100"/>
      <c r="G2920" s="100"/>
      <c r="H2920" s="100"/>
      <c r="I2920" s="100"/>
      <c r="J2920" s="100"/>
      <c r="K2920" s="100"/>
      <c r="L2920" s="100"/>
      <c r="M2920" s="100"/>
      <c r="N2920" s="100"/>
      <c r="O2920" s="100"/>
      <c r="P2920" s="100"/>
      <c r="Q2920" s="100"/>
      <c r="R2920" s="100"/>
      <c r="S2920" s="100"/>
      <c r="T2920" s="100"/>
      <c r="U2920" s="100"/>
      <c r="V2920" s="100"/>
      <c r="W2920" s="100"/>
      <c r="X2920" s="100"/>
      <c r="Y2920" s="100"/>
      <c r="Z2920" s="100"/>
    </row>
    <row r="2921" spans="1:26">
      <c r="A2921" s="100"/>
      <c r="B2921" s="100"/>
      <c r="C2921" s="100"/>
      <c r="D2921" s="100"/>
      <c r="E2921" s="100"/>
      <c r="F2921" s="100"/>
      <c r="G2921" s="100"/>
      <c r="H2921" s="100"/>
      <c r="I2921" s="100"/>
      <c r="J2921" s="100"/>
      <c r="K2921" s="100"/>
      <c r="L2921" s="100"/>
      <c r="M2921" s="100"/>
      <c r="N2921" s="100"/>
      <c r="O2921" s="100"/>
      <c r="P2921" s="100"/>
      <c r="Q2921" s="100"/>
      <c r="R2921" s="100"/>
      <c r="S2921" s="100"/>
      <c r="T2921" s="100"/>
      <c r="U2921" s="100"/>
      <c r="V2921" s="100"/>
      <c r="W2921" s="100"/>
      <c r="X2921" s="100"/>
      <c r="Y2921" s="100"/>
      <c r="Z2921" s="100"/>
    </row>
    <row r="2922" spans="1:26">
      <c r="A2922" s="100"/>
      <c r="B2922" s="100"/>
      <c r="C2922" s="100"/>
      <c r="D2922" s="100"/>
      <c r="E2922" s="100"/>
      <c r="F2922" s="100"/>
      <c r="G2922" s="100"/>
      <c r="H2922" s="100"/>
      <c r="I2922" s="100"/>
      <c r="J2922" s="100"/>
      <c r="K2922" s="100"/>
      <c r="L2922" s="100"/>
      <c r="M2922" s="100"/>
      <c r="N2922" s="100"/>
      <c r="O2922" s="100"/>
      <c r="P2922" s="100"/>
      <c r="Q2922" s="100"/>
      <c r="R2922" s="100"/>
      <c r="S2922" s="100"/>
      <c r="T2922" s="100"/>
      <c r="U2922" s="100"/>
      <c r="V2922" s="100"/>
      <c r="W2922" s="100"/>
      <c r="X2922" s="100"/>
      <c r="Y2922" s="100"/>
      <c r="Z2922" s="100"/>
    </row>
    <row r="2923" spans="1:26">
      <c r="A2923" s="100"/>
      <c r="B2923" s="100"/>
      <c r="C2923" s="100"/>
      <c r="D2923" s="100"/>
      <c r="E2923" s="100"/>
      <c r="F2923" s="100"/>
      <c r="G2923" s="100"/>
      <c r="H2923" s="100"/>
      <c r="I2923" s="100"/>
      <c r="J2923" s="100"/>
      <c r="K2923" s="100"/>
      <c r="L2923" s="100"/>
      <c r="M2923" s="100"/>
      <c r="N2923" s="100"/>
      <c r="O2923" s="100"/>
      <c r="P2923" s="100"/>
      <c r="Q2923" s="100"/>
      <c r="R2923" s="100"/>
      <c r="S2923" s="100"/>
      <c r="T2923" s="100"/>
      <c r="U2923" s="100"/>
      <c r="V2923" s="100"/>
      <c r="W2923" s="100"/>
      <c r="X2923" s="100"/>
      <c r="Y2923" s="100"/>
      <c r="Z2923" s="100"/>
    </row>
    <row r="2924" spans="1:26">
      <c r="A2924" s="100"/>
      <c r="B2924" s="100"/>
      <c r="C2924" s="100"/>
      <c r="D2924" s="100"/>
      <c r="E2924" s="100"/>
      <c r="F2924" s="100"/>
      <c r="G2924" s="100"/>
      <c r="H2924" s="100"/>
      <c r="I2924" s="100"/>
      <c r="J2924" s="100"/>
      <c r="K2924" s="100"/>
      <c r="L2924" s="100"/>
      <c r="M2924" s="100"/>
      <c r="N2924" s="100"/>
      <c r="O2924" s="100"/>
      <c r="P2924" s="100"/>
      <c r="Q2924" s="100"/>
      <c r="R2924" s="100"/>
      <c r="S2924" s="100"/>
      <c r="T2924" s="100"/>
      <c r="U2924" s="100"/>
      <c r="V2924" s="100"/>
      <c r="W2924" s="100"/>
      <c r="X2924" s="100"/>
      <c r="Y2924" s="100"/>
      <c r="Z2924" s="100"/>
    </row>
    <row r="2925" spans="1:26">
      <c r="A2925" s="100"/>
      <c r="B2925" s="100"/>
      <c r="C2925" s="100"/>
      <c r="D2925" s="100"/>
      <c r="E2925" s="100"/>
      <c r="F2925" s="100"/>
      <c r="G2925" s="100"/>
      <c r="H2925" s="100"/>
      <c r="I2925" s="100"/>
      <c r="J2925" s="100"/>
      <c r="K2925" s="100"/>
      <c r="L2925" s="100"/>
      <c r="M2925" s="100"/>
      <c r="N2925" s="100"/>
      <c r="O2925" s="100"/>
      <c r="P2925" s="100"/>
      <c r="Q2925" s="100"/>
      <c r="R2925" s="100"/>
      <c r="S2925" s="100"/>
      <c r="T2925" s="100"/>
      <c r="U2925" s="100"/>
      <c r="V2925" s="100"/>
      <c r="W2925" s="100"/>
      <c r="X2925" s="100"/>
      <c r="Y2925" s="100"/>
      <c r="Z2925" s="100"/>
    </row>
    <row r="2926" spans="1:26">
      <c r="A2926" s="100"/>
      <c r="B2926" s="100"/>
      <c r="C2926" s="100"/>
      <c r="D2926" s="100"/>
      <c r="E2926" s="100"/>
      <c r="F2926" s="100"/>
      <c r="G2926" s="100"/>
      <c r="H2926" s="100"/>
      <c r="I2926" s="100"/>
      <c r="J2926" s="100"/>
      <c r="K2926" s="100"/>
      <c r="L2926" s="100"/>
      <c r="M2926" s="100"/>
      <c r="N2926" s="100"/>
      <c r="O2926" s="100"/>
      <c r="P2926" s="100"/>
      <c r="Q2926" s="100"/>
      <c r="R2926" s="100"/>
      <c r="S2926" s="100"/>
      <c r="T2926" s="100"/>
      <c r="U2926" s="100"/>
      <c r="V2926" s="100"/>
      <c r="W2926" s="100"/>
      <c r="X2926" s="100"/>
      <c r="Y2926" s="100"/>
      <c r="Z2926" s="100"/>
    </row>
    <row r="2927" spans="1:26">
      <c r="A2927" s="100"/>
      <c r="B2927" s="100"/>
      <c r="C2927" s="100"/>
      <c r="D2927" s="100"/>
      <c r="E2927" s="100"/>
      <c r="F2927" s="100"/>
      <c r="G2927" s="100"/>
      <c r="H2927" s="100"/>
      <c r="I2927" s="100"/>
      <c r="J2927" s="100"/>
      <c r="K2927" s="100"/>
      <c r="L2927" s="100"/>
      <c r="M2927" s="100"/>
      <c r="N2927" s="100"/>
      <c r="O2927" s="100"/>
      <c r="P2927" s="100"/>
      <c r="Q2927" s="100"/>
      <c r="R2927" s="100"/>
      <c r="S2927" s="100"/>
      <c r="T2927" s="100"/>
      <c r="U2927" s="100"/>
      <c r="V2927" s="100"/>
      <c r="W2927" s="100"/>
      <c r="X2927" s="100"/>
      <c r="Y2927" s="100"/>
      <c r="Z2927" s="100"/>
    </row>
    <row r="2928" spans="1:26">
      <c r="A2928" s="100"/>
      <c r="B2928" s="100"/>
      <c r="C2928" s="100"/>
      <c r="D2928" s="100"/>
      <c r="E2928" s="100"/>
      <c r="F2928" s="100"/>
      <c r="G2928" s="100"/>
      <c r="H2928" s="100"/>
      <c r="I2928" s="100"/>
      <c r="J2928" s="100"/>
      <c r="K2928" s="100"/>
      <c r="L2928" s="100"/>
      <c r="M2928" s="100"/>
      <c r="N2928" s="100"/>
      <c r="O2928" s="100"/>
      <c r="P2928" s="100"/>
      <c r="Q2928" s="100"/>
      <c r="R2928" s="100"/>
      <c r="S2928" s="100"/>
      <c r="T2928" s="100"/>
      <c r="U2928" s="100"/>
      <c r="V2928" s="100"/>
      <c r="W2928" s="100"/>
      <c r="X2928" s="100"/>
      <c r="Y2928" s="100"/>
      <c r="Z2928" s="100"/>
    </row>
    <row r="2929" spans="1:26">
      <c r="A2929" s="100"/>
      <c r="B2929" s="100"/>
      <c r="C2929" s="100"/>
      <c r="D2929" s="100"/>
      <c r="E2929" s="100"/>
      <c r="F2929" s="100"/>
      <c r="G2929" s="100"/>
      <c r="H2929" s="100"/>
      <c r="I2929" s="100"/>
      <c r="J2929" s="100"/>
      <c r="K2929" s="100"/>
      <c r="L2929" s="100"/>
      <c r="M2929" s="100"/>
      <c r="N2929" s="100"/>
      <c r="O2929" s="100"/>
      <c r="P2929" s="100"/>
      <c r="Q2929" s="100"/>
      <c r="R2929" s="100"/>
      <c r="S2929" s="100"/>
      <c r="T2929" s="100"/>
      <c r="U2929" s="100"/>
      <c r="V2929" s="100"/>
      <c r="W2929" s="100"/>
      <c r="X2929" s="100"/>
      <c r="Y2929" s="100"/>
      <c r="Z2929" s="100"/>
    </row>
    <row r="2930" spans="1:26">
      <c r="A2930" s="100"/>
      <c r="B2930" s="100"/>
      <c r="C2930" s="100"/>
      <c r="D2930" s="100"/>
      <c r="E2930" s="100"/>
      <c r="F2930" s="100"/>
      <c r="G2930" s="100"/>
      <c r="H2930" s="100"/>
      <c r="I2930" s="100"/>
      <c r="J2930" s="100"/>
      <c r="K2930" s="100"/>
      <c r="L2930" s="100"/>
      <c r="M2930" s="100"/>
      <c r="N2930" s="100"/>
      <c r="O2930" s="100"/>
      <c r="P2930" s="100"/>
      <c r="Q2930" s="100"/>
      <c r="R2930" s="100"/>
      <c r="S2930" s="100"/>
      <c r="T2930" s="100"/>
      <c r="U2930" s="100"/>
      <c r="V2930" s="100"/>
      <c r="W2930" s="100"/>
      <c r="X2930" s="100"/>
      <c r="Y2930" s="100"/>
      <c r="Z2930" s="100"/>
    </row>
    <row r="2931" spans="1:26">
      <c r="A2931" s="100"/>
      <c r="B2931" s="100"/>
      <c r="C2931" s="100"/>
      <c r="D2931" s="100"/>
      <c r="E2931" s="100"/>
      <c r="F2931" s="100"/>
      <c r="G2931" s="100"/>
      <c r="H2931" s="100"/>
      <c r="I2931" s="100"/>
      <c r="J2931" s="100"/>
      <c r="K2931" s="100"/>
      <c r="L2931" s="100"/>
      <c r="M2931" s="100"/>
      <c r="N2931" s="100"/>
      <c r="O2931" s="100"/>
      <c r="P2931" s="100"/>
      <c r="Q2931" s="100"/>
      <c r="R2931" s="100"/>
      <c r="S2931" s="100"/>
      <c r="T2931" s="100"/>
      <c r="U2931" s="100"/>
      <c r="V2931" s="100"/>
      <c r="W2931" s="100"/>
      <c r="X2931" s="100"/>
      <c r="Y2931" s="100"/>
      <c r="Z2931" s="100"/>
    </row>
    <row r="2932" spans="1:26">
      <c r="A2932" s="100"/>
      <c r="B2932" s="100"/>
      <c r="C2932" s="100"/>
      <c r="D2932" s="100"/>
      <c r="E2932" s="100"/>
      <c r="F2932" s="100"/>
      <c r="G2932" s="100"/>
      <c r="H2932" s="100"/>
      <c r="I2932" s="100"/>
      <c r="J2932" s="100"/>
      <c r="K2932" s="100"/>
      <c r="L2932" s="100"/>
      <c r="M2932" s="100"/>
      <c r="N2932" s="100"/>
      <c r="O2932" s="100"/>
      <c r="P2932" s="100"/>
      <c r="Q2932" s="100"/>
      <c r="R2932" s="100"/>
      <c r="S2932" s="100"/>
      <c r="T2932" s="100"/>
      <c r="U2932" s="100"/>
      <c r="V2932" s="100"/>
      <c r="W2932" s="100"/>
      <c r="X2932" s="100"/>
      <c r="Y2932" s="100"/>
      <c r="Z2932" s="100"/>
    </row>
    <row r="2933" spans="1:26">
      <c r="A2933" s="100"/>
      <c r="B2933" s="100"/>
      <c r="C2933" s="100"/>
      <c r="D2933" s="100"/>
      <c r="E2933" s="100"/>
      <c r="F2933" s="100"/>
      <c r="G2933" s="100"/>
      <c r="H2933" s="100"/>
      <c r="I2933" s="100"/>
      <c r="J2933" s="100"/>
      <c r="K2933" s="100"/>
      <c r="L2933" s="100"/>
      <c r="M2933" s="100"/>
      <c r="N2933" s="100"/>
      <c r="O2933" s="100"/>
      <c r="P2933" s="100"/>
      <c r="Q2933" s="100"/>
      <c r="R2933" s="100"/>
      <c r="S2933" s="100"/>
      <c r="T2933" s="100"/>
      <c r="U2933" s="100"/>
      <c r="V2933" s="100"/>
      <c r="W2933" s="100"/>
      <c r="X2933" s="100"/>
      <c r="Y2933" s="100"/>
      <c r="Z2933" s="100"/>
    </row>
    <row r="2934" spans="1:26">
      <c r="A2934" s="100"/>
      <c r="B2934" s="100"/>
      <c r="C2934" s="100"/>
      <c r="D2934" s="100"/>
      <c r="E2934" s="100"/>
      <c r="F2934" s="100"/>
      <c r="G2934" s="100"/>
      <c r="H2934" s="100"/>
      <c r="I2934" s="100"/>
      <c r="J2934" s="100"/>
      <c r="K2934" s="100"/>
      <c r="L2934" s="100"/>
      <c r="M2934" s="100"/>
      <c r="N2934" s="100"/>
      <c r="O2934" s="100"/>
      <c r="P2934" s="100"/>
      <c r="Q2934" s="100"/>
      <c r="R2934" s="100"/>
      <c r="S2934" s="100"/>
      <c r="T2934" s="100"/>
      <c r="U2934" s="100"/>
      <c r="V2934" s="100"/>
      <c r="W2934" s="100"/>
      <c r="X2934" s="100"/>
      <c r="Y2934" s="100"/>
      <c r="Z2934" s="100"/>
    </row>
    <row r="2935" spans="1:26">
      <c r="A2935" s="100"/>
      <c r="B2935" s="100"/>
      <c r="C2935" s="100"/>
      <c r="D2935" s="100"/>
      <c r="E2935" s="100"/>
      <c r="F2935" s="100"/>
      <c r="G2935" s="100"/>
      <c r="H2935" s="100"/>
      <c r="I2935" s="100"/>
      <c r="J2935" s="100"/>
      <c r="K2935" s="100"/>
      <c r="L2935" s="100"/>
      <c r="M2935" s="100"/>
      <c r="N2935" s="100"/>
      <c r="O2935" s="100"/>
      <c r="P2935" s="100"/>
      <c r="Q2935" s="100"/>
      <c r="R2935" s="100"/>
      <c r="S2935" s="100"/>
      <c r="T2935" s="100"/>
      <c r="U2935" s="100"/>
      <c r="V2935" s="100"/>
      <c r="W2935" s="100"/>
      <c r="X2935" s="100"/>
      <c r="Y2935" s="100"/>
      <c r="Z2935" s="100"/>
    </row>
    <row r="2936" spans="1:26">
      <c r="A2936" s="100"/>
      <c r="B2936" s="100"/>
      <c r="C2936" s="100"/>
      <c r="D2936" s="100"/>
      <c r="E2936" s="100"/>
      <c r="F2936" s="100"/>
      <c r="G2936" s="100"/>
      <c r="H2936" s="100"/>
      <c r="I2936" s="100"/>
      <c r="J2936" s="100"/>
      <c r="K2936" s="100"/>
      <c r="L2936" s="100"/>
      <c r="M2936" s="100"/>
      <c r="N2936" s="100"/>
      <c r="O2936" s="100"/>
      <c r="P2936" s="100"/>
      <c r="Q2936" s="100"/>
      <c r="R2936" s="100"/>
      <c r="S2936" s="100"/>
      <c r="T2936" s="100"/>
      <c r="U2936" s="100"/>
      <c r="V2936" s="100"/>
      <c r="W2936" s="100"/>
      <c r="X2936" s="100"/>
      <c r="Y2936" s="100"/>
      <c r="Z2936" s="100"/>
    </row>
    <row r="2937" spans="1:26">
      <c r="A2937" s="100"/>
      <c r="B2937" s="100"/>
      <c r="C2937" s="100"/>
      <c r="D2937" s="100"/>
      <c r="E2937" s="100"/>
      <c r="F2937" s="100"/>
      <c r="G2937" s="100"/>
      <c r="H2937" s="100"/>
      <c r="I2937" s="100"/>
      <c r="J2937" s="100"/>
      <c r="K2937" s="100"/>
      <c r="L2937" s="100"/>
      <c r="M2937" s="100"/>
      <c r="N2937" s="100"/>
      <c r="O2937" s="100"/>
      <c r="P2937" s="100"/>
      <c r="Q2937" s="100"/>
      <c r="R2937" s="100"/>
      <c r="S2937" s="100"/>
      <c r="T2937" s="100"/>
      <c r="U2937" s="100"/>
      <c r="V2937" s="100"/>
      <c r="W2937" s="100"/>
      <c r="X2937" s="100"/>
      <c r="Y2937" s="100"/>
      <c r="Z2937" s="100"/>
    </row>
    <row r="2938" spans="1:26">
      <c r="A2938" s="100"/>
      <c r="B2938" s="100"/>
      <c r="C2938" s="100"/>
      <c r="D2938" s="100"/>
      <c r="E2938" s="100"/>
      <c r="F2938" s="100"/>
      <c r="G2938" s="100"/>
      <c r="H2938" s="100"/>
      <c r="I2938" s="100"/>
      <c r="J2938" s="100"/>
      <c r="K2938" s="100"/>
      <c r="L2938" s="100"/>
      <c r="M2938" s="100"/>
      <c r="N2938" s="100"/>
      <c r="O2938" s="100"/>
      <c r="P2938" s="100"/>
      <c r="Q2938" s="100"/>
      <c r="R2938" s="100"/>
      <c r="S2938" s="100"/>
      <c r="T2938" s="100"/>
      <c r="U2938" s="100"/>
      <c r="V2938" s="100"/>
      <c r="W2938" s="100"/>
      <c r="X2938" s="100"/>
      <c r="Y2938" s="100"/>
      <c r="Z2938" s="100"/>
    </row>
    <row r="2939" spans="1:26">
      <c r="A2939" s="100"/>
      <c r="B2939" s="100"/>
      <c r="C2939" s="100"/>
      <c r="D2939" s="100"/>
      <c r="E2939" s="100"/>
      <c r="F2939" s="100"/>
      <c r="G2939" s="100"/>
      <c r="H2939" s="100"/>
      <c r="I2939" s="100"/>
      <c r="J2939" s="100"/>
      <c r="K2939" s="100"/>
      <c r="L2939" s="100"/>
      <c r="M2939" s="100"/>
      <c r="N2939" s="100"/>
      <c r="O2939" s="100"/>
      <c r="P2939" s="100"/>
      <c r="Q2939" s="100"/>
      <c r="R2939" s="100"/>
      <c r="S2939" s="100"/>
      <c r="T2939" s="100"/>
      <c r="U2939" s="100"/>
      <c r="V2939" s="100"/>
      <c r="W2939" s="100"/>
      <c r="X2939" s="100"/>
      <c r="Y2939" s="100"/>
      <c r="Z2939" s="100"/>
    </row>
    <row r="2940" spans="1:26">
      <c r="A2940" s="100"/>
      <c r="B2940" s="100"/>
      <c r="C2940" s="100"/>
      <c r="D2940" s="100"/>
      <c r="E2940" s="100"/>
      <c r="F2940" s="100"/>
      <c r="G2940" s="100"/>
      <c r="H2940" s="100"/>
      <c r="I2940" s="100"/>
      <c r="J2940" s="100"/>
      <c r="K2940" s="100"/>
      <c r="L2940" s="100"/>
      <c r="M2940" s="100"/>
      <c r="N2940" s="100"/>
      <c r="O2940" s="100"/>
      <c r="P2940" s="100"/>
      <c r="Q2940" s="100"/>
      <c r="R2940" s="100"/>
      <c r="S2940" s="100"/>
      <c r="T2940" s="100"/>
      <c r="U2940" s="100"/>
      <c r="V2940" s="100"/>
      <c r="W2940" s="100"/>
      <c r="X2940" s="100"/>
      <c r="Y2940" s="100"/>
      <c r="Z2940" s="100"/>
    </row>
    <row r="2941" spans="1:26">
      <c r="A2941" s="100"/>
      <c r="B2941" s="100"/>
      <c r="C2941" s="100"/>
      <c r="D2941" s="100"/>
      <c r="E2941" s="100"/>
      <c r="F2941" s="100"/>
      <c r="G2941" s="100"/>
      <c r="H2941" s="100"/>
      <c r="I2941" s="100"/>
      <c r="J2941" s="100"/>
      <c r="K2941" s="100"/>
      <c r="L2941" s="100"/>
      <c r="M2941" s="100"/>
      <c r="N2941" s="100"/>
      <c r="O2941" s="100"/>
      <c r="P2941" s="100"/>
      <c r="Q2941" s="100"/>
      <c r="R2941" s="100"/>
      <c r="S2941" s="100"/>
      <c r="T2941" s="100"/>
      <c r="U2941" s="100"/>
      <c r="V2941" s="100"/>
      <c r="W2941" s="100"/>
      <c r="X2941" s="100"/>
      <c r="Y2941" s="100"/>
      <c r="Z2941" s="100"/>
    </row>
    <row r="2942" spans="1:26">
      <c r="A2942" s="100"/>
      <c r="B2942" s="100"/>
      <c r="C2942" s="100"/>
      <c r="D2942" s="100"/>
      <c r="E2942" s="100"/>
      <c r="F2942" s="100"/>
      <c r="G2942" s="100"/>
      <c r="H2942" s="100"/>
      <c r="I2942" s="100"/>
      <c r="J2942" s="100"/>
      <c r="K2942" s="100"/>
      <c r="L2942" s="100"/>
      <c r="M2942" s="100"/>
      <c r="N2942" s="100"/>
      <c r="O2942" s="100"/>
      <c r="P2942" s="100"/>
      <c r="Q2942" s="100"/>
      <c r="R2942" s="100"/>
      <c r="S2942" s="100"/>
      <c r="T2942" s="100"/>
      <c r="U2942" s="100"/>
      <c r="V2942" s="100"/>
      <c r="W2942" s="100"/>
      <c r="X2942" s="100"/>
      <c r="Y2942" s="100"/>
      <c r="Z2942" s="100"/>
    </row>
    <row r="2943" spans="1:26">
      <c r="A2943" s="100"/>
      <c r="B2943" s="100"/>
      <c r="C2943" s="100"/>
      <c r="D2943" s="100"/>
      <c r="E2943" s="100"/>
      <c r="F2943" s="100"/>
      <c r="G2943" s="100"/>
      <c r="H2943" s="100"/>
      <c r="I2943" s="100"/>
      <c r="J2943" s="100"/>
      <c r="K2943" s="100"/>
      <c r="L2943" s="100"/>
      <c r="M2943" s="100"/>
      <c r="N2943" s="100"/>
      <c r="O2943" s="100"/>
      <c r="P2943" s="100"/>
      <c r="Q2943" s="100"/>
      <c r="R2943" s="100"/>
      <c r="S2943" s="100"/>
      <c r="T2943" s="100"/>
      <c r="U2943" s="100"/>
      <c r="V2943" s="100"/>
      <c r="W2943" s="100"/>
      <c r="X2943" s="100"/>
      <c r="Y2943" s="100"/>
      <c r="Z2943" s="100"/>
    </row>
    <row r="2944" spans="1:26">
      <c r="A2944" s="100"/>
      <c r="B2944" s="100"/>
      <c r="C2944" s="100"/>
      <c r="D2944" s="100"/>
      <c r="E2944" s="100"/>
      <c r="F2944" s="100"/>
      <c r="G2944" s="100"/>
      <c r="H2944" s="100"/>
      <c r="I2944" s="100"/>
      <c r="J2944" s="100"/>
      <c r="K2944" s="100"/>
      <c r="L2944" s="100"/>
      <c r="M2944" s="100"/>
      <c r="N2944" s="100"/>
      <c r="O2944" s="100"/>
      <c r="P2944" s="100"/>
      <c r="Q2944" s="100"/>
      <c r="R2944" s="100"/>
      <c r="S2944" s="100"/>
      <c r="T2944" s="100"/>
      <c r="U2944" s="100"/>
      <c r="V2944" s="100"/>
      <c r="W2944" s="100"/>
      <c r="X2944" s="100"/>
      <c r="Y2944" s="100"/>
      <c r="Z2944" s="100"/>
    </row>
    <row r="2945" spans="1:26">
      <c r="A2945" s="100"/>
      <c r="B2945" s="100"/>
      <c r="C2945" s="100"/>
      <c r="D2945" s="100"/>
      <c r="E2945" s="100"/>
      <c r="F2945" s="100"/>
      <c r="G2945" s="100"/>
      <c r="H2945" s="100"/>
      <c r="I2945" s="100"/>
      <c r="J2945" s="100"/>
      <c r="K2945" s="100"/>
      <c r="L2945" s="100"/>
      <c r="M2945" s="100"/>
      <c r="N2945" s="100"/>
      <c r="O2945" s="100"/>
      <c r="P2945" s="100"/>
      <c r="Q2945" s="100"/>
      <c r="R2945" s="100"/>
      <c r="S2945" s="100"/>
      <c r="T2945" s="100"/>
      <c r="U2945" s="100"/>
      <c r="V2945" s="100"/>
      <c r="W2945" s="100"/>
      <c r="X2945" s="100"/>
      <c r="Y2945" s="100"/>
      <c r="Z2945" s="100"/>
    </row>
    <row r="2946" spans="1:26">
      <c r="A2946" s="100"/>
      <c r="B2946" s="100"/>
      <c r="C2946" s="100"/>
      <c r="D2946" s="100"/>
      <c r="E2946" s="100"/>
      <c r="F2946" s="100"/>
      <c r="G2946" s="100"/>
      <c r="H2946" s="100"/>
      <c r="I2946" s="100"/>
      <c r="J2946" s="100"/>
      <c r="K2946" s="100"/>
      <c r="L2946" s="100"/>
      <c r="M2946" s="100"/>
      <c r="N2946" s="100"/>
      <c r="O2946" s="100"/>
      <c r="P2946" s="100"/>
      <c r="Q2946" s="100"/>
      <c r="R2946" s="100"/>
      <c r="S2946" s="100"/>
      <c r="T2946" s="100"/>
      <c r="U2946" s="100"/>
      <c r="V2946" s="100"/>
      <c r="W2946" s="100"/>
      <c r="X2946" s="100"/>
      <c r="Y2946" s="100"/>
      <c r="Z2946" s="100"/>
    </row>
    <row r="2947" spans="1:26">
      <c r="A2947" s="100"/>
      <c r="B2947" s="100"/>
      <c r="C2947" s="100"/>
      <c r="D2947" s="100"/>
      <c r="E2947" s="100"/>
      <c r="F2947" s="100"/>
      <c r="G2947" s="100"/>
      <c r="H2947" s="100"/>
      <c r="I2947" s="100"/>
      <c r="J2947" s="100"/>
      <c r="K2947" s="100"/>
      <c r="L2947" s="100"/>
      <c r="M2947" s="100"/>
      <c r="N2947" s="100"/>
      <c r="O2947" s="100"/>
      <c r="P2947" s="100"/>
      <c r="Q2947" s="100"/>
      <c r="R2947" s="100"/>
      <c r="S2947" s="100"/>
      <c r="T2947" s="100"/>
      <c r="U2947" s="100"/>
      <c r="V2947" s="100"/>
      <c r="W2947" s="100"/>
      <c r="X2947" s="100"/>
      <c r="Y2947" s="100"/>
      <c r="Z2947" s="100"/>
    </row>
    <row r="2948" spans="1:26">
      <c r="A2948" s="100"/>
      <c r="B2948" s="100"/>
      <c r="C2948" s="100"/>
      <c r="D2948" s="100"/>
      <c r="E2948" s="100"/>
      <c r="F2948" s="100"/>
      <c r="G2948" s="100"/>
      <c r="H2948" s="100"/>
      <c r="I2948" s="100"/>
      <c r="J2948" s="100"/>
      <c r="K2948" s="100"/>
      <c r="L2948" s="100"/>
      <c r="M2948" s="100"/>
      <c r="N2948" s="100"/>
      <c r="O2948" s="100"/>
      <c r="P2948" s="100"/>
      <c r="Q2948" s="100"/>
      <c r="R2948" s="100"/>
      <c r="S2948" s="100"/>
      <c r="T2948" s="100"/>
      <c r="U2948" s="100"/>
      <c r="V2948" s="100"/>
      <c r="W2948" s="100"/>
      <c r="X2948" s="100"/>
      <c r="Y2948" s="100"/>
      <c r="Z2948" s="100"/>
    </row>
    <row r="2949" spans="1:26">
      <c r="A2949" s="100"/>
      <c r="B2949" s="100"/>
      <c r="C2949" s="100"/>
      <c r="D2949" s="100"/>
      <c r="E2949" s="100"/>
      <c r="F2949" s="100"/>
      <c r="G2949" s="100"/>
      <c r="H2949" s="100"/>
      <c r="I2949" s="100"/>
      <c r="J2949" s="100"/>
      <c r="K2949" s="100"/>
      <c r="L2949" s="100"/>
      <c r="M2949" s="100"/>
      <c r="N2949" s="100"/>
      <c r="O2949" s="100"/>
      <c r="P2949" s="100"/>
      <c r="Q2949" s="100"/>
      <c r="R2949" s="100"/>
      <c r="S2949" s="100"/>
      <c r="T2949" s="100"/>
      <c r="U2949" s="100"/>
      <c r="V2949" s="100"/>
      <c r="W2949" s="100"/>
      <c r="X2949" s="100"/>
      <c r="Y2949" s="100"/>
      <c r="Z2949" s="100"/>
    </row>
    <row r="2950" spans="1:26">
      <c r="A2950" s="100"/>
      <c r="B2950" s="100"/>
      <c r="C2950" s="100"/>
      <c r="D2950" s="100"/>
      <c r="E2950" s="100"/>
      <c r="F2950" s="100"/>
      <c r="G2950" s="100"/>
      <c r="H2950" s="100"/>
      <c r="I2950" s="100"/>
      <c r="J2950" s="100"/>
      <c r="K2950" s="100"/>
      <c r="L2950" s="100"/>
      <c r="M2950" s="100"/>
      <c r="N2950" s="100"/>
      <c r="O2950" s="100"/>
      <c r="P2950" s="100"/>
      <c r="Q2950" s="100"/>
      <c r="R2950" s="100"/>
      <c r="S2950" s="100"/>
      <c r="T2950" s="100"/>
      <c r="U2950" s="100"/>
      <c r="V2950" s="100"/>
      <c r="W2950" s="100"/>
      <c r="X2950" s="100"/>
      <c r="Y2950" s="100"/>
      <c r="Z2950" s="100"/>
    </row>
    <row r="2951" spans="1:26">
      <c r="A2951" s="100"/>
      <c r="B2951" s="100"/>
      <c r="C2951" s="100"/>
      <c r="D2951" s="100"/>
      <c r="E2951" s="100"/>
      <c r="F2951" s="100"/>
      <c r="G2951" s="100"/>
      <c r="H2951" s="100"/>
      <c r="I2951" s="100"/>
      <c r="J2951" s="100"/>
      <c r="K2951" s="100"/>
      <c r="L2951" s="100"/>
      <c r="M2951" s="100"/>
      <c r="N2951" s="100"/>
      <c r="O2951" s="100"/>
      <c r="P2951" s="100"/>
      <c r="Q2951" s="100"/>
      <c r="R2951" s="100"/>
      <c r="S2951" s="100"/>
      <c r="T2951" s="100"/>
      <c r="U2951" s="100"/>
      <c r="V2951" s="100"/>
      <c r="W2951" s="100"/>
      <c r="X2951" s="100"/>
      <c r="Y2951" s="100"/>
      <c r="Z2951" s="100"/>
    </row>
    <row r="2952" spans="1:26">
      <c r="A2952" s="100"/>
      <c r="B2952" s="100"/>
      <c r="C2952" s="100"/>
      <c r="D2952" s="100"/>
      <c r="E2952" s="100"/>
      <c r="F2952" s="100"/>
      <c r="G2952" s="100"/>
      <c r="H2952" s="100"/>
      <c r="I2952" s="100"/>
      <c r="J2952" s="100"/>
      <c r="K2952" s="100"/>
      <c r="L2952" s="100"/>
      <c r="M2952" s="100"/>
      <c r="N2952" s="100"/>
      <c r="O2952" s="100"/>
      <c r="P2952" s="100"/>
      <c r="Q2952" s="100"/>
      <c r="R2952" s="100"/>
      <c r="S2952" s="100"/>
      <c r="T2952" s="100"/>
      <c r="U2952" s="100"/>
      <c r="V2952" s="100"/>
      <c r="W2952" s="100"/>
      <c r="X2952" s="100"/>
      <c r="Y2952" s="100"/>
      <c r="Z2952" s="100"/>
    </row>
    <row r="2953" spans="1:26">
      <c r="A2953" s="100"/>
      <c r="B2953" s="100"/>
      <c r="C2953" s="100"/>
      <c r="D2953" s="100"/>
      <c r="E2953" s="100"/>
      <c r="F2953" s="100"/>
      <c r="G2953" s="100"/>
      <c r="H2953" s="100"/>
      <c r="I2953" s="100"/>
      <c r="J2953" s="100"/>
      <c r="K2953" s="100"/>
      <c r="L2953" s="100"/>
      <c r="M2953" s="100"/>
      <c r="N2953" s="100"/>
      <c r="O2953" s="100"/>
      <c r="P2953" s="100"/>
      <c r="Q2953" s="100"/>
      <c r="R2953" s="100"/>
      <c r="S2953" s="100"/>
      <c r="T2953" s="100"/>
      <c r="U2953" s="100"/>
      <c r="V2953" s="100"/>
      <c r="W2953" s="100"/>
      <c r="X2953" s="100"/>
      <c r="Y2953" s="100"/>
      <c r="Z2953" s="100"/>
    </row>
    <row r="2954" spans="1:26">
      <c r="A2954" s="100"/>
      <c r="B2954" s="100"/>
      <c r="C2954" s="100"/>
      <c r="D2954" s="100"/>
      <c r="E2954" s="100"/>
      <c r="F2954" s="100"/>
      <c r="G2954" s="100"/>
      <c r="H2954" s="100"/>
      <c r="I2954" s="100"/>
      <c r="J2954" s="100"/>
      <c r="K2954" s="100"/>
      <c r="L2954" s="100"/>
      <c r="M2954" s="100"/>
      <c r="N2954" s="100"/>
      <c r="O2954" s="100"/>
      <c r="P2954" s="100"/>
      <c r="Q2954" s="100"/>
      <c r="R2954" s="100"/>
      <c r="S2954" s="100"/>
      <c r="T2954" s="100"/>
      <c r="U2954" s="100"/>
      <c r="V2954" s="100"/>
      <c r="W2954" s="100"/>
      <c r="X2954" s="100"/>
      <c r="Y2954" s="100"/>
      <c r="Z2954" s="100"/>
    </row>
    <row r="2955" spans="1:26">
      <c r="A2955" s="100"/>
      <c r="B2955" s="100"/>
      <c r="C2955" s="100"/>
      <c r="D2955" s="100"/>
      <c r="E2955" s="100"/>
      <c r="F2955" s="100"/>
      <c r="G2955" s="100"/>
      <c r="H2955" s="100"/>
      <c r="I2955" s="100"/>
      <c r="J2955" s="100"/>
      <c r="K2955" s="100"/>
      <c r="L2955" s="100"/>
      <c r="M2955" s="100"/>
      <c r="N2955" s="100"/>
      <c r="O2955" s="100"/>
      <c r="P2955" s="100"/>
      <c r="Q2955" s="100"/>
      <c r="R2955" s="100"/>
      <c r="S2955" s="100"/>
      <c r="T2955" s="100"/>
      <c r="U2955" s="100"/>
      <c r="V2955" s="100"/>
      <c r="W2955" s="100"/>
      <c r="X2955" s="100"/>
      <c r="Y2955" s="100"/>
      <c r="Z2955" s="100"/>
    </row>
    <row r="2956" spans="1:26">
      <c r="A2956" s="100"/>
      <c r="B2956" s="100"/>
      <c r="C2956" s="100"/>
      <c r="D2956" s="100"/>
      <c r="E2956" s="100"/>
      <c r="F2956" s="100"/>
      <c r="G2956" s="100"/>
      <c r="H2956" s="100"/>
      <c r="I2956" s="100"/>
      <c r="J2956" s="100"/>
      <c r="K2956" s="100"/>
      <c r="L2956" s="100"/>
      <c r="M2956" s="100"/>
      <c r="N2956" s="100"/>
      <c r="O2956" s="100"/>
      <c r="P2956" s="100"/>
      <c r="Q2956" s="100"/>
      <c r="R2956" s="100"/>
      <c r="S2956" s="100"/>
      <c r="T2956" s="100"/>
      <c r="U2956" s="100"/>
      <c r="V2956" s="100"/>
      <c r="W2956" s="100"/>
      <c r="X2956" s="100"/>
      <c r="Y2956" s="100"/>
      <c r="Z2956" s="100"/>
    </row>
    <row r="2957" spans="1:26">
      <c r="A2957" s="100"/>
      <c r="B2957" s="100"/>
      <c r="C2957" s="100"/>
      <c r="D2957" s="100"/>
      <c r="E2957" s="100"/>
      <c r="F2957" s="100"/>
      <c r="G2957" s="100"/>
      <c r="H2957" s="100"/>
      <c r="I2957" s="100"/>
      <c r="J2957" s="100"/>
      <c r="K2957" s="100"/>
      <c r="L2957" s="100"/>
      <c r="M2957" s="100"/>
      <c r="N2957" s="100"/>
      <c r="O2957" s="100"/>
      <c r="P2957" s="100"/>
      <c r="Q2957" s="100"/>
      <c r="R2957" s="100"/>
      <c r="S2957" s="100"/>
      <c r="T2957" s="100"/>
      <c r="U2957" s="100"/>
      <c r="V2957" s="100"/>
      <c r="W2957" s="100"/>
      <c r="X2957" s="100"/>
      <c r="Y2957" s="100"/>
      <c r="Z2957" s="100"/>
    </row>
    <row r="2958" spans="1:26">
      <c r="A2958" s="100"/>
      <c r="B2958" s="100"/>
      <c r="C2958" s="100"/>
      <c r="D2958" s="100"/>
      <c r="E2958" s="100"/>
      <c r="F2958" s="100"/>
      <c r="G2958" s="100"/>
      <c r="H2958" s="100"/>
      <c r="I2958" s="100"/>
      <c r="J2958" s="100"/>
      <c r="K2958" s="100"/>
      <c r="L2958" s="100"/>
      <c r="M2958" s="100"/>
      <c r="N2958" s="100"/>
      <c r="O2958" s="100"/>
      <c r="P2958" s="100"/>
      <c r="Q2958" s="100"/>
      <c r="R2958" s="100"/>
      <c r="S2958" s="100"/>
      <c r="T2958" s="100"/>
      <c r="U2958" s="100"/>
      <c r="V2958" s="100"/>
      <c r="W2958" s="100"/>
      <c r="X2958" s="100"/>
      <c r="Y2958" s="100"/>
      <c r="Z2958" s="100"/>
    </row>
    <row r="2959" spans="1:26">
      <c r="A2959" s="100"/>
      <c r="B2959" s="100"/>
      <c r="C2959" s="100"/>
      <c r="D2959" s="100"/>
      <c r="E2959" s="100"/>
      <c r="F2959" s="100"/>
      <c r="G2959" s="100"/>
      <c r="H2959" s="100"/>
      <c r="I2959" s="100"/>
      <c r="J2959" s="100"/>
      <c r="K2959" s="100"/>
      <c r="L2959" s="100"/>
      <c r="M2959" s="100"/>
      <c r="N2959" s="100"/>
      <c r="O2959" s="100"/>
      <c r="P2959" s="100"/>
      <c r="Q2959" s="100"/>
      <c r="R2959" s="100"/>
      <c r="S2959" s="100"/>
      <c r="T2959" s="100"/>
      <c r="U2959" s="100"/>
      <c r="V2959" s="100"/>
      <c r="W2959" s="100"/>
      <c r="X2959" s="100"/>
      <c r="Y2959" s="100"/>
      <c r="Z2959" s="100"/>
    </row>
    <row r="2960" spans="1:26">
      <c r="A2960" s="100"/>
      <c r="B2960" s="100"/>
      <c r="C2960" s="100"/>
      <c r="D2960" s="100"/>
      <c r="E2960" s="100"/>
      <c r="F2960" s="100"/>
      <c r="G2960" s="100"/>
      <c r="H2960" s="100"/>
      <c r="I2960" s="100"/>
      <c r="J2960" s="100"/>
      <c r="K2960" s="100"/>
      <c r="L2960" s="100"/>
      <c r="M2960" s="100"/>
      <c r="N2960" s="100"/>
      <c r="O2960" s="100"/>
      <c r="P2960" s="100"/>
      <c r="Q2960" s="100"/>
      <c r="R2960" s="100"/>
      <c r="S2960" s="100"/>
      <c r="T2960" s="100"/>
      <c r="U2960" s="100"/>
      <c r="V2960" s="100"/>
      <c r="W2960" s="100"/>
      <c r="X2960" s="100"/>
      <c r="Y2960" s="100"/>
      <c r="Z2960" s="100"/>
    </row>
    <row r="2961" spans="1:26">
      <c r="A2961" s="100"/>
      <c r="B2961" s="100"/>
      <c r="C2961" s="100"/>
      <c r="D2961" s="100"/>
      <c r="E2961" s="100"/>
      <c r="F2961" s="100"/>
      <c r="G2961" s="100"/>
      <c r="H2961" s="100"/>
      <c r="I2961" s="100"/>
      <c r="J2961" s="100"/>
      <c r="K2961" s="100"/>
      <c r="L2961" s="100"/>
      <c r="M2961" s="100"/>
      <c r="N2961" s="100"/>
      <c r="O2961" s="100"/>
      <c r="P2961" s="100"/>
      <c r="Q2961" s="100"/>
      <c r="R2961" s="100"/>
      <c r="S2961" s="100"/>
      <c r="T2961" s="100"/>
      <c r="U2961" s="100"/>
      <c r="V2961" s="100"/>
      <c r="W2961" s="100"/>
      <c r="X2961" s="100"/>
      <c r="Y2961" s="100"/>
      <c r="Z2961" s="100"/>
    </row>
    <row r="2962" spans="1:26">
      <c r="A2962" s="100"/>
      <c r="B2962" s="100"/>
      <c r="C2962" s="100"/>
      <c r="D2962" s="100"/>
      <c r="E2962" s="100"/>
      <c r="F2962" s="100"/>
      <c r="G2962" s="100"/>
      <c r="H2962" s="100"/>
      <c r="I2962" s="100"/>
      <c r="J2962" s="100"/>
      <c r="K2962" s="100"/>
      <c r="L2962" s="100"/>
      <c r="M2962" s="100"/>
      <c r="N2962" s="100"/>
      <c r="O2962" s="100"/>
      <c r="P2962" s="100"/>
      <c r="Q2962" s="100"/>
      <c r="R2962" s="100"/>
      <c r="S2962" s="100"/>
      <c r="T2962" s="100"/>
      <c r="U2962" s="100"/>
      <c r="V2962" s="100"/>
      <c r="W2962" s="100"/>
      <c r="X2962" s="100"/>
      <c r="Y2962" s="100"/>
      <c r="Z2962" s="100"/>
    </row>
    <row r="2963" spans="1:26">
      <c r="A2963" s="100"/>
      <c r="B2963" s="100"/>
      <c r="C2963" s="100"/>
      <c r="D2963" s="100"/>
      <c r="E2963" s="100"/>
      <c r="F2963" s="100"/>
      <c r="G2963" s="100"/>
      <c r="H2963" s="100"/>
      <c r="I2963" s="100"/>
      <c r="J2963" s="100"/>
      <c r="K2963" s="100"/>
      <c r="L2963" s="100"/>
      <c r="M2963" s="100"/>
      <c r="N2963" s="100"/>
      <c r="O2963" s="100"/>
      <c r="P2963" s="100"/>
      <c r="Q2963" s="100"/>
      <c r="R2963" s="100"/>
      <c r="S2963" s="100"/>
      <c r="T2963" s="100"/>
      <c r="U2963" s="100"/>
      <c r="V2963" s="100"/>
      <c r="W2963" s="100"/>
      <c r="X2963" s="100"/>
      <c r="Y2963" s="100"/>
      <c r="Z2963" s="100"/>
    </row>
    <row r="2964" spans="1:26">
      <c r="A2964" s="100"/>
      <c r="B2964" s="100"/>
      <c r="C2964" s="100"/>
      <c r="D2964" s="100"/>
      <c r="E2964" s="100"/>
      <c r="F2964" s="100"/>
      <c r="G2964" s="100"/>
      <c r="H2964" s="100"/>
      <c r="I2964" s="100"/>
      <c r="J2964" s="100"/>
      <c r="K2964" s="100"/>
      <c r="L2964" s="100"/>
      <c r="M2964" s="100"/>
      <c r="N2964" s="100"/>
      <c r="O2964" s="100"/>
      <c r="P2964" s="100"/>
      <c r="Q2964" s="100"/>
      <c r="R2964" s="100"/>
      <c r="S2964" s="100"/>
      <c r="T2964" s="100"/>
      <c r="U2964" s="100"/>
      <c r="V2964" s="100"/>
      <c r="W2964" s="100"/>
      <c r="X2964" s="100"/>
      <c r="Y2964" s="100"/>
      <c r="Z2964" s="100"/>
    </row>
    <row r="2965" spans="1:26">
      <c r="A2965" s="100"/>
      <c r="B2965" s="100"/>
      <c r="C2965" s="100"/>
      <c r="D2965" s="100"/>
      <c r="E2965" s="100"/>
      <c r="F2965" s="100"/>
      <c r="G2965" s="100"/>
      <c r="H2965" s="100"/>
      <c r="I2965" s="100"/>
      <c r="J2965" s="100"/>
      <c r="K2965" s="100"/>
      <c r="L2965" s="100"/>
      <c r="M2965" s="100"/>
      <c r="N2965" s="100"/>
      <c r="O2965" s="100"/>
      <c r="P2965" s="100"/>
      <c r="Q2965" s="100"/>
      <c r="R2965" s="100"/>
      <c r="S2965" s="100"/>
      <c r="T2965" s="100"/>
      <c r="U2965" s="100"/>
      <c r="V2965" s="100"/>
      <c r="W2965" s="100"/>
      <c r="X2965" s="100"/>
      <c r="Y2965" s="100"/>
      <c r="Z2965" s="100"/>
    </row>
    <row r="2966" spans="1:26">
      <c r="A2966" s="100"/>
      <c r="B2966" s="100"/>
      <c r="C2966" s="100"/>
      <c r="D2966" s="100"/>
      <c r="E2966" s="100"/>
      <c r="F2966" s="100"/>
      <c r="G2966" s="100"/>
      <c r="H2966" s="100"/>
      <c r="I2966" s="100"/>
      <c r="J2966" s="100"/>
      <c r="K2966" s="100"/>
      <c r="L2966" s="100"/>
      <c r="M2966" s="100"/>
      <c r="N2966" s="100"/>
      <c r="O2966" s="100"/>
      <c r="P2966" s="100"/>
      <c r="Q2966" s="100"/>
      <c r="R2966" s="100"/>
      <c r="S2966" s="100"/>
      <c r="T2966" s="100"/>
      <c r="U2966" s="100"/>
      <c r="V2966" s="100"/>
      <c r="W2966" s="100"/>
      <c r="X2966" s="100"/>
      <c r="Y2966" s="100"/>
      <c r="Z2966" s="100"/>
    </row>
    <row r="2967" spans="1:26">
      <c r="A2967" s="100"/>
      <c r="B2967" s="100"/>
      <c r="C2967" s="100"/>
      <c r="D2967" s="100"/>
      <c r="E2967" s="100"/>
      <c r="F2967" s="100"/>
      <c r="G2967" s="100"/>
      <c r="H2967" s="100"/>
      <c r="I2967" s="100"/>
      <c r="J2967" s="100"/>
      <c r="K2967" s="100"/>
      <c r="L2967" s="100"/>
      <c r="M2967" s="100"/>
      <c r="N2967" s="100"/>
      <c r="O2967" s="100"/>
      <c r="P2967" s="100"/>
      <c r="Q2967" s="100"/>
      <c r="R2967" s="100"/>
      <c r="S2967" s="100"/>
      <c r="T2967" s="100"/>
      <c r="U2967" s="100"/>
      <c r="V2967" s="100"/>
      <c r="W2967" s="100"/>
      <c r="X2967" s="100"/>
      <c r="Y2967" s="100"/>
      <c r="Z2967" s="100"/>
    </row>
    <row r="2968" spans="1:26">
      <c r="A2968" s="100"/>
      <c r="B2968" s="100"/>
      <c r="C2968" s="100"/>
      <c r="D2968" s="100"/>
      <c r="E2968" s="100"/>
      <c r="F2968" s="100"/>
      <c r="G2968" s="100"/>
      <c r="H2968" s="100"/>
      <c r="I2968" s="100"/>
      <c r="J2968" s="100"/>
      <c r="K2968" s="100"/>
      <c r="L2968" s="100"/>
      <c r="M2968" s="100"/>
      <c r="N2968" s="100"/>
      <c r="O2968" s="100"/>
      <c r="P2968" s="100"/>
      <c r="Q2968" s="100"/>
      <c r="R2968" s="100"/>
      <c r="S2968" s="100"/>
      <c r="T2968" s="100"/>
      <c r="U2968" s="100"/>
      <c r="V2968" s="100"/>
      <c r="W2968" s="100"/>
      <c r="X2968" s="100"/>
      <c r="Y2968" s="100"/>
      <c r="Z2968" s="100"/>
    </row>
    <row r="2969" spans="1:26">
      <c r="A2969" s="100"/>
      <c r="B2969" s="100"/>
      <c r="C2969" s="100"/>
      <c r="D2969" s="100"/>
      <c r="E2969" s="100"/>
      <c r="F2969" s="100"/>
      <c r="G2969" s="100"/>
      <c r="H2969" s="100"/>
      <c r="I2969" s="100"/>
      <c r="J2969" s="100"/>
      <c r="K2969" s="100"/>
      <c r="L2969" s="100"/>
      <c r="M2969" s="100"/>
      <c r="N2969" s="100"/>
      <c r="O2969" s="100"/>
      <c r="P2969" s="100"/>
      <c r="Q2969" s="100"/>
      <c r="R2969" s="100"/>
      <c r="S2969" s="100"/>
      <c r="T2969" s="100"/>
      <c r="U2969" s="100"/>
      <c r="V2969" s="100"/>
      <c r="W2969" s="100"/>
      <c r="X2969" s="100"/>
      <c r="Y2969" s="100"/>
      <c r="Z2969" s="100"/>
    </row>
    <row r="2970" spans="1:26">
      <c r="A2970" s="100"/>
      <c r="B2970" s="100"/>
      <c r="C2970" s="100"/>
      <c r="D2970" s="100"/>
      <c r="E2970" s="100"/>
      <c r="F2970" s="100"/>
      <c r="G2970" s="100"/>
      <c r="H2970" s="100"/>
      <c r="I2970" s="100"/>
      <c r="J2970" s="100"/>
      <c r="K2970" s="100"/>
      <c r="L2970" s="100"/>
      <c r="M2970" s="100"/>
      <c r="N2970" s="100"/>
      <c r="O2970" s="100"/>
      <c r="P2970" s="100"/>
      <c r="Q2970" s="100"/>
      <c r="R2970" s="100"/>
      <c r="S2970" s="100"/>
      <c r="T2970" s="100"/>
      <c r="U2970" s="100"/>
      <c r="V2970" s="100"/>
      <c r="W2970" s="100"/>
      <c r="X2970" s="100"/>
      <c r="Y2970" s="100"/>
      <c r="Z2970" s="100"/>
    </row>
    <row r="2971" spans="1:26">
      <c r="A2971" s="100"/>
      <c r="B2971" s="100"/>
      <c r="C2971" s="100"/>
      <c r="D2971" s="100"/>
      <c r="E2971" s="100"/>
      <c r="F2971" s="100"/>
      <c r="G2971" s="100"/>
      <c r="H2971" s="100"/>
      <c r="I2971" s="100"/>
      <c r="J2971" s="100"/>
      <c r="K2971" s="100"/>
      <c r="L2971" s="100"/>
      <c r="M2971" s="100"/>
      <c r="N2971" s="100"/>
      <c r="O2971" s="100"/>
      <c r="P2971" s="100"/>
      <c r="Q2971" s="100"/>
      <c r="R2971" s="100"/>
      <c r="S2971" s="100"/>
      <c r="T2971" s="100"/>
      <c r="U2971" s="100"/>
      <c r="V2971" s="100"/>
      <c r="W2971" s="100"/>
      <c r="X2971" s="100"/>
      <c r="Y2971" s="100"/>
      <c r="Z2971" s="100"/>
    </row>
    <row r="2972" spans="1:26">
      <c r="A2972" s="100"/>
      <c r="B2972" s="100"/>
      <c r="C2972" s="100"/>
      <c r="D2972" s="100"/>
      <c r="E2972" s="100"/>
      <c r="F2972" s="100"/>
      <c r="G2972" s="100"/>
      <c r="H2972" s="100"/>
      <c r="I2972" s="100"/>
      <c r="J2972" s="100"/>
      <c r="K2972" s="100"/>
      <c r="L2972" s="100"/>
      <c r="M2972" s="100"/>
      <c r="N2972" s="100"/>
      <c r="O2972" s="100"/>
      <c r="P2972" s="100"/>
      <c r="Q2972" s="100"/>
      <c r="R2972" s="100"/>
      <c r="S2972" s="100"/>
      <c r="T2972" s="100"/>
      <c r="U2972" s="100"/>
      <c r="V2972" s="100"/>
      <c r="W2972" s="100"/>
      <c r="X2972" s="100"/>
      <c r="Y2972" s="100"/>
      <c r="Z2972" s="100"/>
    </row>
    <row r="2973" spans="1:26">
      <c r="A2973" s="100"/>
      <c r="B2973" s="100"/>
      <c r="C2973" s="100"/>
      <c r="D2973" s="100"/>
      <c r="E2973" s="100"/>
      <c r="F2973" s="100"/>
      <c r="G2973" s="100"/>
      <c r="H2973" s="100"/>
      <c r="I2973" s="100"/>
      <c r="J2973" s="100"/>
      <c r="K2973" s="100"/>
      <c r="L2973" s="100"/>
      <c r="M2973" s="100"/>
      <c r="N2973" s="100"/>
      <c r="O2973" s="100"/>
      <c r="P2973" s="100"/>
      <c r="Q2973" s="100"/>
      <c r="R2973" s="100"/>
      <c r="S2973" s="100"/>
      <c r="T2973" s="100"/>
      <c r="U2973" s="100"/>
      <c r="V2973" s="100"/>
      <c r="W2973" s="100"/>
      <c r="X2973" s="100"/>
      <c r="Y2973" s="100"/>
      <c r="Z2973" s="100"/>
    </row>
    <row r="2974" spans="1:26">
      <c r="A2974" s="100"/>
      <c r="B2974" s="100"/>
      <c r="C2974" s="100"/>
      <c r="D2974" s="100"/>
      <c r="E2974" s="100"/>
      <c r="F2974" s="100"/>
      <c r="G2974" s="100"/>
      <c r="H2974" s="100"/>
      <c r="I2974" s="100"/>
      <c r="J2974" s="100"/>
      <c r="K2974" s="100"/>
      <c r="L2974" s="100"/>
      <c r="M2974" s="100"/>
      <c r="N2974" s="100"/>
      <c r="O2974" s="100"/>
      <c r="P2974" s="100"/>
      <c r="Q2974" s="100"/>
      <c r="R2974" s="100"/>
      <c r="S2974" s="100"/>
      <c r="T2974" s="100"/>
      <c r="U2974" s="100"/>
      <c r="V2974" s="100"/>
      <c r="W2974" s="100"/>
      <c r="X2974" s="100"/>
      <c r="Y2974" s="100"/>
      <c r="Z2974" s="100"/>
    </row>
    <row r="2975" spans="1:26">
      <c r="A2975" s="100"/>
      <c r="B2975" s="100"/>
      <c r="C2975" s="100"/>
      <c r="D2975" s="100"/>
      <c r="E2975" s="100"/>
      <c r="F2975" s="100"/>
      <c r="G2975" s="100"/>
      <c r="H2975" s="100"/>
      <c r="I2975" s="100"/>
      <c r="J2975" s="100"/>
      <c r="K2975" s="100"/>
      <c r="L2975" s="100"/>
      <c r="M2975" s="100"/>
      <c r="N2975" s="100"/>
      <c r="O2975" s="100"/>
      <c r="P2975" s="100"/>
      <c r="Q2975" s="100"/>
      <c r="R2975" s="100"/>
      <c r="S2975" s="100"/>
      <c r="T2975" s="100"/>
      <c r="U2975" s="100"/>
      <c r="V2975" s="100"/>
      <c r="W2975" s="100"/>
      <c r="X2975" s="100"/>
      <c r="Y2975" s="100"/>
      <c r="Z2975" s="100"/>
    </row>
    <row r="2976" spans="1:26">
      <c r="A2976" s="100"/>
      <c r="B2976" s="100"/>
      <c r="C2976" s="100"/>
      <c r="D2976" s="100"/>
      <c r="E2976" s="100"/>
      <c r="F2976" s="100"/>
      <c r="G2976" s="100"/>
      <c r="H2976" s="100"/>
      <c r="I2976" s="100"/>
      <c r="J2976" s="100"/>
      <c r="K2976" s="100"/>
      <c r="L2976" s="100"/>
      <c r="M2976" s="100"/>
      <c r="N2976" s="100"/>
      <c r="O2976" s="100"/>
      <c r="P2976" s="100"/>
      <c r="Q2976" s="100"/>
      <c r="R2976" s="100"/>
      <c r="S2976" s="100"/>
      <c r="T2976" s="100"/>
      <c r="U2976" s="100"/>
      <c r="V2976" s="100"/>
      <c r="W2976" s="100"/>
      <c r="X2976" s="100"/>
      <c r="Y2976" s="100"/>
      <c r="Z2976" s="100"/>
    </row>
    <row r="2977" spans="1:26">
      <c r="A2977" s="100"/>
      <c r="B2977" s="100"/>
      <c r="C2977" s="100"/>
      <c r="D2977" s="100"/>
      <c r="E2977" s="100"/>
      <c r="F2977" s="100"/>
      <c r="G2977" s="100"/>
      <c r="H2977" s="100"/>
      <c r="I2977" s="100"/>
      <c r="J2977" s="100"/>
      <c r="K2977" s="100"/>
      <c r="L2977" s="100"/>
      <c r="M2977" s="100"/>
      <c r="N2977" s="100"/>
      <c r="O2977" s="100"/>
      <c r="P2977" s="100"/>
      <c r="Q2977" s="100"/>
      <c r="R2977" s="100"/>
      <c r="S2977" s="100"/>
      <c r="T2977" s="100"/>
      <c r="U2977" s="100"/>
      <c r="V2977" s="100"/>
      <c r="W2977" s="100"/>
      <c r="X2977" s="100"/>
      <c r="Y2977" s="100"/>
      <c r="Z2977" s="100"/>
    </row>
    <row r="2978" spans="1:26">
      <c r="A2978" s="100"/>
      <c r="B2978" s="100"/>
      <c r="C2978" s="100"/>
      <c r="D2978" s="100"/>
      <c r="E2978" s="100"/>
      <c r="F2978" s="100"/>
      <c r="G2978" s="100"/>
      <c r="H2978" s="100"/>
      <c r="I2978" s="100"/>
      <c r="J2978" s="100"/>
      <c r="K2978" s="100"/>
      <c r="L2978" s="100"/>
      <c r="M2978" s="100"/>
      <c r="N2978" s="100"/>
      <c r="O2978" s="100"/>
      <c r="P2978" s="100"/>
      <c r="Q2978" s="100"/>
      <c r="R2978" s="100"/>
      <c r="S2978" s="100"/>
      <c r="T2978" s="100"/>
      <c r="U2978" s="100"/>
      <c r="V2978" s="100"/>
      <c r="W2978" s="100"/>
      <c r="X2978" s="100"/>
      <c r="Y2978" s="100"/>
      <c r="Z2978" s="100"/>
    </row>
    <row r="2979" spans="1:26">
      <c r="A2979" s="100"/>
      <c r="B2979" s="100"/>
      <c r="C2979" s="100"/>
      <c r="D2979" s="100"/>
      <c r="E2979" s="100"/>
      <c r="F2979" s="100"/>
      <c r="G2979" s="100"/>
      <c r="H2979" s="100"/>
      <c r="I2979" s="100"/>
      <c r="J2979" s="100"/>
      <c r="K2979" s="100"/>
      <c r="L2979" s="100"/>
      <c r="M2979" s="100"/>
      <c r="N2979" s="100"/>
      <c r="O2979" s="100"/>
      <c r="P2979" s="100"/>
      <c r="Q2979" s="100"/>
      <c r="R2979" s="100"/>
      <c r="S2979" s="100"/>
      <c r="T2979" s="100"/>
      <c r="U2979" s="100"/>
      <c r="V2979" s="100"/>
      <c r="W2979" s="100"/>
      <c r="X2979" s="100"/>
      <c r="Y2979" s="100"/>
      <c r="Z2979" s="100"/>
    </row>
    <row r="2980" spans="1:26">
      <c r="A2980" s="100"/>
      <c r="B2980" s="100"/>
      <c r="C2980" s="100"/>
      <c r="D2980" s="100"/>
      <c r="E2980" s="100"/>
      <c r="F2980" s="100"/>
      <c r="G2980" s="100"/>
      <c r="H2980" s="100"/>
      <c r="I2980" s="100"/>
      <c r="J2980" s="100"/>
      <c r="K2980" s="100"/>
      <c r="L2980" s="100"/>
      <c r="M2980" s="100"/>
      <c r="N2980" s="100"/>
      <c r="O2980" s="100"/>
      <c r="P2980" s="100"/>
      <c r="Q2980" s="100"/>
      <c r="R2980" s="100"/>
      <c r="S2980" s="100"/>
      <c r="T2980" s="100"/>
      <c r="U2980" s="100"/>
      <c r="V2980" s="100"/>
      <c r="W2980" s="100"/>
      <c r="X2980" s="100"/>
      <c r="Y2980" s="100"/>
      <c r="Z2980" s="100"/>
    </row>
    <row r="2981" spans="1:26">
      <c r="A2981" s="100"/>
      <c r="B2981" s="100"/>
      <c r="C2981" s="100"/>
      <c r="D2981" s="100"/>
      <c r="E2981" s="100"/>
      <c r="F2981" s="100"/>
      <c r="G2981" s="100"/>
      <c r="H2981" s="100"/>
      <c r="I2981" s="100"/>
      <c r="J2981" s="100"/>
      <c r="K2981" s="100"/>
      <c r="L2981" s="100"/>
      <c r="M2981" s="100"/>
      <c r="N2981" s="100"/>
      <c r="O2981" s="100"/>
      <c r="P2981" s="100"/>
      <c r="Q2981" s="100"/>
      <c r="R2981" s="100"/>
      <c r="S2981" s="100"/>
      <c r="T2981" s="100"/>
      <c r="U2981" s="100"/>
      <c r="V2981" s="100"/>
      <c r="W2981" s="100"/>
      <c r="X2981" s="100"/>
      <c r="Y2981" s="100"/>
      <c r="Z2981" s="100"/>
    </row>
    <row r="2982" spans="1:26">
      <c r="A2982" s="100"/>
      <c r="B2982" s="100"/>
      <c r="C2982" s="100"/>
      <c r="D2982" s="100"/>
      <c r="E2982" s="100"/>
      <c r="F2982" s="100"/>
      <c r="G2982" s="100"/>
      <c r="H2982" s="100"/>
      <c r="I2982" s="100"/>
      <c r="J2982" s="100"/>
      <c r="K2982" s="100"/>
      <c r="L2982" s="100"/>
      <c r="M2982" s="100"/>
      <c r="N2982" s="100"/>
      <c r="O2982" s="100"/>
      <c r="P2982" s="100"/>
      <c r="Q2982" s="100"/>
      <c r="R2982" s="100"/>
      <c r="S2982" s="100"/>
      <c r="T2982" s="100"/>
      <c r="U2982" s="100"/>
      <c r="V2982" s="100"/>
      <c r="W2982" s="100"/>
      <c r="X2982" s="100"/>
      <c r="Y2982" s="100"/>
      <c r="Z2982" s="100"/>
    </row>
    <row r="2983" spans="1:26">
      <c r="A2983" s="100"/>
      <c r="B2983" s="100"/>
      <c r="C2983" s="100"/>
      <c r="D2983" s="100"/>
      <c r="E2983" s="100"/>
      <c r="F2983" s="100"/>
      <c r="G2983" s="100"/>
      <c r="H2983" s="100"/>
      <c r="I2983" s="100"/>
      <c r="J2983" s="100"/>
      <c r="K2983" s="100"/>
      <c r="L2983" s="100"/>
      <c r="M2983" s="100"/>
      <c r="N2983" s="100"/>
      <c r="O2983" s="100"/>
      <c r="P2983" s="100"/>
      <c r="Q2983" s="100"/>
      <c r="R2983" s="100"/>
      <c r="S2983" s="100"/>
      <c r="T2983" s="100"/>
      <c r="U2983" s="100"/>
      <c r="V2983" s="100"/>
      <c r="W2983" s="100"/>
      <c r="X2983" s="100"/>
      <c r="Y2983" s="100"/>
      <c r="Z2983" s="100"/>
    </row>
    <row r="2984" spans="1:26">
      <c r="A2984" s="100"/>
      <c r="B2984" s="100"/>
      <c r="C2984" s="100"/>
      <c r="D2984" s="100"/>
      <c r="E2984" s="100"/>
      <c r="F2984" s="100"/>
      <c r="G2984" s="100"/>
      <c r="H2984" s="100"/>
      <c r="I2984" s="100"/>
      <c r="J2984" s="100"/>
      <c r="K2984" s="100"/>
      <c r="L2984" s="100"/>
      <c r="M2984" s="100"/>
      <c r="N2984" s="100"/>
      <c r="O2984" s="100"/>
      <c r="P2984" s="100"/>
      <c r="Q2984" s="100"/>
      <c r="R2984" s="100"/>
      <c r="S2984" s="100"/>
      <c r="T2984" s="100"/>
      <c r="U2984" s="100"/>
      <c r="V2984" s="100"/>
      <c r="W2984" s="100"/>
      <c r="X2984" s="100"/>
      <c r="Y2984" s="100"/>
      <c r="Z2984" s="100"/>
    </row>
    <row r="2985" spans="1:26">
      <c r="A2985" s="100"/>
      <c r="B2985" s="100"/>
      <c r="C2985" s="100"/>
      <c r="D2985" s="100"/>
      <c r="E2985" s="100"/>
      <c r="F2985" s="100"/>
      <c r="G2985" s="100"/>
      <c r="H2985" s="100"/>
      <c r="I2985" s="100"/>
      <c r="J2985" s="100"/>
      <c r="K2985" s="100"/>
      <c r="L2985" s="100"/>
      <c r="M2985" s="100"/>
      <c r="N2985" s="100"/>
      <c r="O2985" s="100"/>
      <c r="P2985" s="100"/>
      <c r="Q2985" s="100"/>
      <c r="R2985" s="100"/>
      <c r="S2985" s="100"/>
      <c r="T2985" s="100"/>
      <c r="U2985" s="100"/>
      <c r="V2985" s="100"/>
      <c r="W2985" s="100"/>
      <c r="X2985" s="100"/>
      <c r="Y2985" s="100"/>
      <c r="Z2985" s="100"/>
    </row>
    <row r="2986" spans="1:26">
      <c r="A2986" s="100"/>
      <c r="B2986" s="100"/>
      <c r="C2986" s="100"/>
      <c r="D2986" s="100"/>
      <c r="E2986" s="100"/>
      <c r="F2986" s="100"/>
      <c r="G2986" s="100"/>
      <c r="H2986" s="100"/>
      <c r="I2986" s="100"/>
      <c r="J2986" s="100"/>
      <c r="K2986" s="100"/>
      <c r="L2986" s="100"/>
      <c r="M2986" s="100"/>
      <c r="N2986" s="100"/>
      <c r="O2986" s="100"/>
      <c r="P2986" s="100"/>
      <c r="Q2986" s="100"/>
      <c r="R2986" s="100"/>
      <c r="S2986" s="100"/>
      <c r="T2986" s="100"/>
      <c r="U2986" s="100"/>
      <c r="V2986" s="100"/>
      <c r="W2986" s="100"/>
      <c r="X2986" s="100"/>
      <c r="Y2986" s="100"/>
      <c r="Z2986" s="100"/>
    </row>
    <row r="2987" spans="1:26">
      <c r="A2987" s="100"/>
      <c r="B2987" s="100"/>
      <c r="C2987" s="100"/>
      <c r="D2987" s="100"/>
      <c r="E2987" s="100"/>
      <c r="F2987" s="100"/>
      <c r="G2987" s="100"/>
      <c r="H2987" s="100"/>
      <c r="I2987" s="100"/>
      <c r="J2987" s="100"/>
      <c r="K2987" s="100"/>
      <c r="L2987" s="100"/>
      <c r="M2987" s="100"/>
      <c r="N2987" s="100"/>
      <c r="O2987" s="100"/>
      <c r="P2987" s="100"/>
      <c r="Q2987" s="100"/>
      <c r="R2987" s="100"/>
      <c r="S2987" s="100"/>
      <c r="T2987" s="100"/>
      <c r="U2987" s="100"/>
      <c r="V2987" s="100"/>
      <c r="W2987" s="100"/>
      <c r="X2987" s="100"/>
      <c r="Y2987" s="100"/>
      <c r="Z2987" s="100"/>
    </row>
    <row r="2988" spans="1:26">
      <c r="A2988" s="100"/>
      <c r="B2988" s="100"/>
      <c r="C2988" s="100"/>
      <c r="D2988" s="100"/>
      <c r="E2988" s="100"/>
      <c r="F2988" s="100"/>
      <c r="G2988" s="100"/>
      <c r="H2988" s="100"/>
      <c r="I2988" s="100"/>
      <c r="J2988" s="100"/>
      <c r="K2988" s="100"/>
      <c r="L2988" s="100"/>
      <c r="M2988" s="100"/>
      <c r="N2988" s="100"/>
      <c r="O2988" s="100"/>
      <c r="P2988" s="100"/>
      <c r="Q2988" s="100"/>
      <c r="R2988" s="100"/>
      <c r="S2988" s="100"/>
      <c r="T2988" s="100"/>
      <c r="U2988" s="100"/>
      <c r="V2988" s="100"/>
      <c r="W2988" s="100"/>
      <c r="X2988" s="100"/>
      <c r="Y2988" s="100"/>
      <c r="Z2988" s="100"/>
    </row>
    <row r="2989" spans="1:26">
      <c r="A2989" s="100"/>
      <c r="B2989" s="100"/>
      <c r="C2989" s="100"/>
      <c r="D2989" s="100"/>
      <c r="E2989" s="100"/>
      <c r="F2989" s="100"/>
      <c r="G2989" s="100"/>
      <c r="H2989" s="100"/>
      <c r="I2989" s="100"/>
      <c r="J2989" s="100"/>
      <c r="K2989" s="100"/>
      <c r="L2989" s="100"/>
      <c r="M2989" s="100"/>
      <c r="N2989" s="100"/>
      <c r="O2989" s="100"/>
      <c r="P2989" s="100"/>
      <c r="Q2989" s="100"/>
      <c r="R2989" s="100"/>
      <c r="S2989" s="100"/>
      <c r="T2989" s="100"/>
      <c r="U2989" s="100"/>
      <c r="V2989" s="100"/>
      <c r="W2989" s="100"/>
      <c r="X2989" s="100"/>
      <c r="Y2989" s="100"/>
      <c r="Z2989" s="100"/>
    </row>
    <row r="2990" spans="1:26">
      <c r="A2990" s="100"/>
      <c r="B2990" s="100"/>
      <c r="C2990" s="100"/>
      <c r="D2990" s="100"/>
      <c r="E2990" s="100"/>
      <c r="F2990" s="100"/>
      <c r="G2990" s="100"/>
      <c r="H2990" s="100"/>
      <c r="I2990" s="100"/>
      <c r="J2990" s="100"/>
      <c r="K2990" s="100"/>
      <c r="L2990" s="100"/>
      <c r="M2990" s="100"/>
      <c r="N2990" s="100"/>
      <c r="O2990" s="100"/>
      <c r="P2990" s="100"/>
      <c r="Q2990" s="100"/>
      <c r="R2990" s="100"/>
      <c r="S2990" s="100"/>
      <c r="T2990" s="100"/>
      <c r="U2990" s="100"/>
      <c r="V2990" s="100"/>
      <c r="W2990" s="100"/>
      <c r="X2990" s="100"/>
      <c r="Y2990" s="100"/>
      <c r="Z2990" s="100"/>
    </row>
    <row r="2991" spans="1:26">
      <c r="A2991" s="100"/>
      <c r="B2991" s="100"/>
      <c r="C2991" s="100"/>
      <c r="D2991" s="100"/>
      <c r="E2991" s="100"/>
      <c r="F2991" s="100"/>
      <c r="G2991" s="100"/>
      <c r="H2991" s="100"/>
      <c r="I2991" s="100"/>
      <c r="J2991" s="100"/>
      <c r="K2991" s="100"/>
      <c r="L2991" s="100"/>
      <c r="M2991" s="100"/>
      <c r="N2991" s="100"/>
      <c r="O2991" s="100"/>
      <c r="P2991" s="100"/>
      <c r="Q2991" s="100"/>
      <c r="R2991" s="100"/>
      <c r="S2991" s="100"/>
      <c r="T2991" s="100"/>
      <c r="U2991" s="100"/>
      <c r="V2991" s="100"/>
      <c r="W2991" s="100"/>
      <c r="X2991" s="100"/>
      <c r="Y2991" s="100"/>
      <c r="Z2991" s="100"/>
    </row>
    <row r="2992" spans="1:26">
      <c r="A2992" s="100"/>
      <c r="B2992" s="100"/>
      <c r="C2992" s="100"/>
      <c r="D2992" s="100"/>
      <c r="E2992" s="100"/>
      <c r="F2992" s="100"/>
      <c r="G2992" s="100"/>
      <c r="H2992" s="100"/>
      <c r="I2992" s="100"/>
      <c r="J2992" s="100"/>
      <c r="K2992" s="100"/>
      <c r="L2992" s="100"/>
      <c r="M2992" s="100"/>
      <c r="N2992" s="100"/>
      <c r="O2992" s="100"/>
      <c r="P2992" s="100"/>
      <c r="Q2992" s="100"/>
      <c r="R2992" s="100"/>
      <c r="S2992" s="100"/>
      <c r="T2992" s="100"/>
      <c r="U2992" s="100"/>
      <c r="V2992" s="100"/>
      <c r="W2992" s="100"/>
      <c r="X2992" s="100"/>
      <c r="Y2992" s="100"/>
      <c r="Z2992" s="100"/>
    </row>
    <row r="2993" spans="1:26">
      <c r="A2993" s="100"/>
      <c r="B2993" s="100"/>
      <c r="C2993" s="100"/>
      <c r="D2993" s="100"/>
      <c r="E2993" s="100"/>
      <c r="F2993" s="100"/>
      <c r="G2993" s="100"/>
      <c r="H2993" s="100"/>
      <c r="I2993" s="100"/>
      <c r="J2993" s="100"/>
      <c r="K2993" s="100"/>
      <c r="L2993" s="100"/>
      <c r="M2993" s="100"/>
      <c r="N2993" s="100"/>
      <c r="O2993" s="100"/>
      <c r="P2993" s="100"/>
      <c r="Q2993" s="100"/>
      <c r="R2993" s="100"/>
      <c r="S2993" s="100"/>
      <c r="T2993" s="100"/>
      <c r="U2993" s="100"/>
      <c r="V2993" s="100"/>
      <c r="W2993" s="100"/>
      <c r="X2993" s="100"/>
      <c r="Y2993" s="100"/>
      <c r="Z2993" s="100"/>
    </row>
    <row r="2994" spans="1:26">
      <c r="A2994" s="100"/>
      <c r="B2994" s="100"/>
      <c r="C2994" s="100"/>
      <c r="D2994" s="100"/>
      <c r="E2994" s="100"/>
      <c r="F2994" s="100"/>
      <c r="G2994" s="100"/>
      <c r="H2994" s="100"/>
      <c r="I2994" s="100"/>
      <c r="J2994" s="100"/>
      <c r="K2994" s="100"/>
      <c r="L2994" s="100"/>
      <c r="M2994" s="100"/>
      <c r="N2994" s="100"/>
      <c r="O2994" s="100"/>
      <c r="P2994" s="100"/>
      <c r="Q2994" s="100"/>
      <c r="R2994" s="100"/>
      <c r="S2994" s="100"/>
      <c r="T2994" s="100"/>
      <c r="U2994" s="100"/>
      <c r="V2994" s="100"/>
      <c r="W2994" s="100"/>
      <c r="X2994" s="100"/>
      <c r="Y2994" s="100"/>
      <c r="Z2994" s="100"/>
    </row>
    <row r="2995" spans="1:26">
      <c r="A2995" s="100"/>
      <c r="B2995" s="100"/>
      <c r="C2995" s="100"/>
      <c r="D2995" s="100"/>
      <c r="E2995" s="100"/>
      <c r="F2995" s="100"/>
      <c r="G2995" s="100"/>
      <c r="H2995" s="100"/>
      <c r="I2995" s="100"/>
      <c r="J2995" s="100"/>
      <c r="K2995" s="100"/>
      <c r="L2995" s="100"/>
      <c r="M2995" s="100"/>
      <c r="N2995" s="100"/>
      <c r="O2995" s="100"/>
      <c r="P2995" s="100"/>
      <c r="Q2995" s="100"/>
      <c r="R2995" s="100"/>
      <c r="S2995" s="100"/>
      <c r="T2995" s="100"/>
      <c r="U2995" s="100"/>
      <c r="V2995" s="100"/>
      <c r="W2995" s="100"/>
      <c r="X2995" s="100"/>
      <c r="Y2995" s="100"/>
      <c r="Z2995" s="100"/>
    </row>
    <row r="2996" spans="1:26">
      <c r="A2996" s="100"/>
      <c r="B2996" s="100"/>
      <c r="C2996" s="100"/>
      <c r="D2996" s="100"/>
      <c r="E2996" s="100"/>
      <c r="F2996" s="100"/>
      <c r="G2996" s="100"/>
      <c r="H2996" s="100"/>
      <c r="I2996" s="100"/>
      <c r="J2996" s="100"/>
      <c r="K2996" s="100"/>
      <c r="L2996" s="100"/>
      <c r="M2996" s="100"/>
      <c r="N2996" s="100"/>
      <c r="O2996" s="100"/>
      <c r="P2996" s="100"/>
      <c r="Q2996" s="100"/>
      <c r="R2996" s="100"/>
      <c r="S2996" s="100"/>
      <c r="T2996" s="100"/>
      <c r="U2996" s="100"/>
      <c r="V2996" s="100"/>
      <c r="W2996" s="100"/>
      <c r="X2996" s="100"/>
      <c r="Y2996" s="100"/>
      <c r="Z2996" s="100"/>
    </row>
    <row r="2997" spans="1:26">
      <c r="A2997" s="100"/>
      <c r="B2997" s="100"/>
      <c r="C2997" s="100"/>
      <c r="D2997" s="100"/>
      <c r="E2997" s="100"/>
      <c r="F2997" s="100"/>
      <c r="G2997" s="100"/>
      <c r="H2997" s="100"/>
      <c r="I2997" s="100"/>
      <c r="J2997" s="100"/>
      <c r="K2997" s="100"/>
      <c r="L2997" s="100"/>
      <c r="M2997" s="100"/>
      <c r="N2997" s="100"/>
      <c r="O2997" s="100"/>
      <c r="P2997" s="100"/>
      <c r="Q2997" s="100"/>
      <c r="R2997" s="100"/>
      <c r="S2997" s="100"/>
      <c r="T2997" s="100"/>
      <c r="U2997" s="100"/>
      <c r="V2997" s="100"/>
      <c r="W2997" s="100"/>
      <c r="X2997" s="100"/>
      <c r="Y2997" s="100"/>
      <c r="Z2997" s="100"/>
    </row>
    <row r="2998" spans="1:26">
      <c r="A2998" s="100"/>
      <c r="B2998" s="100"/>
      <c r="C2998" s="100"/>
      <c r="D2998" s="100"/>
      <c r="E2998" s="100"/>
      <c r="F2998" s="100"/>
      <c r="G2998" s="100"/>
      <c r="H2998" s="100"/>
      <c r="I2998" s="100"/>
      <c r="J2998" s="100"/>
      <c r="K2998" s="100"/>
      <c r="L2998" s="100"/>
      <c r="M2998" s="100"/>
      <c r="N2998" s="100"/>
      <c r="O2998" s="100"/>
      <c r="P2998" s="100"/>
      <c r="Q2998" s="100"/>
      <c r="R2998" s="100"/>
      <c r="S2998" s="100"/>
      <c r="T2998" s="100"/>
      <c r="U2998" s="100"/>
      <c r="V2998" s="100"/>
      <c r="W2998" s="100"/>
      <c r="X2998" s="100"/>
      <c r="Y2998" s="100"/>
      <c r="Z2998" s="100"/>
    </row>
    <row r="2999" spans="1:26">
      <c r="A2999" s="100"/>
      <c r="B2999" s="100"/>
      <c r="C2999" s="100"/>
      <c r="D2999" s="100"/>
      <c r="E2999" s="100"/>
      <c r="F2999" s="100"/>
      <c r="G2999" s="100"/>
      <c r="H2999" s="100"/>
      <c r="I2999" s="100"/>
      <c r="J2999" s="100"/>
      <c r="K2999" s="100"/>
      <c r="L2999" s="100"/>
      <c r="M2999" s="100"/>
      <c r="N2999" s="100"/>
      <c r="O2999" s="100"/>
      <c r="P2999" s="100"/>
      <c r="Q2999" s="100"/>
      <c r="R2999" s="100"/>
      <c r="S2999" s="100"/>
      <c r="T2999" s="100"/>
      <c r="U2999" s="100"/>
      <c r="V2999" s="100"/>
      <c r="W2999" s="100"/>
      <c r="X2999" s="100"/>
      <c r="Y2999" s="100"/>
      <c r="Z2999" s="100"/>
    </row>
    <row r="3000" spans="1:26">
      <c r="A3000" s="100"/>
      <c r="B3000" s="100"/>
      <c r="C3000" s="100"/>
      <c r="D3000" s="100"/>
      <c r="E3000" s="100"/>
      <c r="F3000" s="100"/>
      <c r="G3000" s="100"/>
      <c r="H3000" s="100"/>
      <c r="I3000" s="100"/>
      <c r="J3000" s="100"/>
      <c r="K3000" s="100"/>
      <c r="L3000" s="100"/>
      <c r="M3000" s="100"/>
      <c r="N3000" s="100"/>
      <c r="O3000" s="100"/>
      <c r="P3000" s="100"/>
      <c r="Q3000" s="100"/>
      <c r="R3000" s="100"/>
      <c r="S3000" s="100"/>
      <c r="T3000" s="100"/>
      <c r="U3000" s="100"/>
      <c r="V3000" s="100"/>
      <c r="W3000" s="100"/>
      <c r="X3000" s="100"/>
      <c r="Y3000" s="100"/>
      <c r="Z3000" s="100"/>
    </row>
    <row r="3001" spans="1:26">
      <c r="A3001" s="100"/>
      <c r="B3001" s="100"/>
      <c r="C3001" s="100"/>
      <c r="D3001" s="100"/>
      <c r="E3001" s="100"/>
      <c r="F3001" s="100"/>
      <c r="G3001" s="100"/>
      <c r="H3001" s="100"/>
      <c r="I3001" s="100"/>
      <c r="J3001" s="100"/>
      <c r="K3001" s="100"/>
      <c r="L3001" s="100"/>
      <c r="M3001" s="100"/>
      <c r="N3001" s="100"/>
      <c r="O3001" s="100"/>
      <c r="P3001" s="100"/>
      <c r="Q3001" s="100"/>
      <c r="R3001" s="100"/>
      <c r="S3001" s="100"/>
      <c r="T3001" s="100"/>
      <c r="U3001" s="100"/>
      <c r="V3001" s="100"/>
      <c r="W3001" s="100"/>
      <c r="X3001" s="100"/>
      <c r="Y3001" s="100"/>
      <c r="Z3001" s="100"/>
    </row>
    <row r="3002" spans="1:26">
      <c r="A3002" s="100"/>
      <c r="B3002" s="100"/>
      <c r="C3002" s="100"/>
      <c r="D3002" s="100"/>
      <c r="E3002" s="100"/>
      <c r="F3002" s="100"/>
      <c r="G3002" s="100"/>
      <c r="H3002" s="100"/>
      <c r="I3002" s="100"/>
      <c r="J3002" s="100"/>
      <c r="K3002" s="100"/>
      <c r="L3002" s="100"/>
      <c r="M3002" s="100"/>
      <c r="N3002" s="100"/>
      <c r="O3002" s="100"/>
      <c r="P3002" s="100"/>
      <c r="Q3002" s="100"/>
      <c r="R3002" s="100"/>
      <c r="S3002" s="100"/>
      <c r="T3002" s="100"/>
      <c r="U3002" s="100"/>
      <c r="V3002" s="100"/>
      <c r="W3002" s="100"/>
      <c r="X3002" s="100"/>
      <c r="Y3002" s="100"/>
      <c r="Z3002" s="100"/>
    </row>
    <row r="3003" spans="1:26">
      <c r="A3003" s="100"/>
      <c r="B3003" s="100"/>
      <c r="C3003" s="100"/>
      <c r="D3003" s="100"/>
      <c r="E3003" s="100"/>
      <c r="F3003" s="100"/>
      <c r="G3003" s="100"/>
      <c r="H3003" s="100"/>
      <c r="I3003" s="100"/>
      <c r="J3003" s="100"/>
      <c r="K3003" s="100"/>
      <c r="L3003" s="100"/>
      <c r="M3003" s="100"/>
      <c r="N3003" s="100"/>
      <c r="O3003" s="100"/>
      <c r="P3003" s="100"/>
      <c r="Q3003" s="100"/>
      <c r="R3003" s="100"/>
      <c r="S3003" s="100"/>
      <c r="T3003" s="100"/>
      <c r="U3003" s="100"/>
      <c r="V3003" s="100"/>
      <c r="W3003" s="100"/>
      <c r="X3003" s="100"/>
      <c r="Y3003" s="100"/>
      <c r="Z3003" s="100"/>
    </row>
    <row r="3004" spans="1:26">
      <c r="A3004" s="100"/>
      <c r="B3004" s="100"/>
      <c r="C3004" s="100"/>
      <c r="D3004" s="100"/>
      <c r="E3004" s="100"/>
      <c r="F3004" s="100"/>
      <c r="G3004" s="100"/>
      <c r="H3004" s="100"/>
      <c r="I3004" s="100"/>
      <c r="J3004" s="100"/>
      <c r="K3004" s="100"/>
      <c r="L3004" s="100"/>
      <c r="M3004" s="100"/>
      <c r="N3004" s="100"/>
      <c r="O3004" s="100"/>
      <c r="P3004" s="100"/>
      <c r="Q3004" s="100"/>
      <c r="R3004" s="100"/>
      <c r="S3004" s="100"/>
      <c r="T3004" s="100"/>
      <c r="U3004" s="100"/>
      <c r="V3004" s="100"/>
      <c r="W3004" s="100"/>
      <c r="X3004" s="100"/>
      <c r="Y3004" s="100"/>
      <c r="Z3004" s="100"/>
    </row>
    <row r="3005" spans="1:26">
      <c r="A3005" s="100"/>
      <c r="B3005" s="100"/>
      <c r="C3005" s="100"/>
      <c r="D3005" s="100"/>
      <c r="E3005" s="100"/>
      <c r="F3005" s="100"/>
      <c r="G3005" s="100"/>
      <c r="H3005" s="100"/>
      <c r="I3005" s="100"/>
      <c r="J3005" s="100"/>
      <c r="K3005" s="100"/>
      <c r="L3005" s="100"/>
      <c r="M3005" s="100"/>
      <c r="N3005" s="100"/>
      <c r="O3005" s="100"/>
      <c r="P3005" s="100"/>
      <c r="Q3005" s="100"/>
      <c r="R3005" s="100"/>
      <c r="S3005" s="100"/>
      <c r="T3005" s="100"/>
      <c r="U3005" s="100"/>
      <c r="V3005" s="100"/>
      <c r="W3005" s="100"/>
      <c r="X3005" s="100"/>
      <c r="Y3005" s="100"/>
      <c r="Z3005" s="100"/>
    </row>
    <row r="3006" spans="1:26">
      <c r="A3006" s="100"/>
      <c r="B3006" s="100"/>
      <c r="C3006" s="100"/>
      <c r="D3006" s="100"/>
      <c r="E3006" s="100"/>
      <c r="F3006" s="100"/>
      <c r="G3006" s="100"/>
      <c r="H3006" s="100"/>
      <c r="I3006" s="100"/>
      <c r="J3006" s="100"/>
      <c r="K3006" s="100"/>
      <c r="L3006" s="100"/>
      <c r="M3006" s="100"/>
      <c r="N3006" s="100"/>
      <c r="O3006" s="100"/>
      <c r="P3006" s="100"/>
      <c r="Q3006" s="100"/>
      <c r="R3006" s="100"/>
      <c r="S3006" s="100"/>
      <c r="T3006" s="100"/>
      <c r="U3006" s="100"/>
      <c r="V3006" s="100"/>
      <c r="W3006" s="100"/>
      <c r="X3006" s="100"/>
      <c r="Y3006" s="100"/>
      <c r="Z3006" s="100"/>
    </row>
    <row r="3007" spans="1:26">
      <c r="A3007" s="100"/>
      <c r="B3007" s="100"/>
      <c r="C3007" s="100"/>
      <c r="D3007" s="100"/>
      <c r="E3007" s="100"/>
      <c r="F3007" s="100"/>
      <c r="G3007" s="100"/>
      <c r="H3007" s="100"/>
      <c r="I3007" s="100"/>
      <c r="J3007" s="100"/>
      <c r="K3007" s="100"/>
      <c r="L3007" s="100"/>
      <c r="M3007" s="100"/>
      <c r="N3007" s="100"/>
      <c r="O3007" s="100"/>
      <c r="P3007" s="100"/>
      <c r="Q3007" s="100"/>
      <c r="R3007" s="100"/>
      <c r="S3007" s="100"/>
      <c r="T3007" s="100"/>
      <c r="U3007" s="100"/>
      <c r="V3007" s="100"/>
      <c r="W3007" s="100"/>
      <c r="X3007" s="100"/>
      <c r="Y3007" s="100"/>
      <c r="Z3007" s="100"/>
    </row>
    <row r="3008" spans="1:26">
      <c r="A3008" s="100"/>
      <c r="B3008" s="100"/>
      <c r="C3008" s="100"/>
      <c r="D3008" s="100"/>
      <c r="E3008" s="100"/>
      <c r="F3008" s="100"/>
      <c r="G3008" s="100"/>
      <c r="H3008" s="100"/>
      <c r="I3008" s="100"/>
      <c r="J3008" s="100"/>
      <c r="K3008" s="100"/>
      <c r="L3008" s="100"/>
      <c r="M3008" s="100"/>
      <c r="N3008" s="100"/>
      <c r="O3008" s="100"/>
      <c r="P3008" s="100"/>
      <c r="Q3008" s="100"/>
      <c r="R3008" s="100"/>
      <c r="S3008" s="100"/>
      <c r="T3008" s="100"/>
      <c r="U3008" s="100"/>
      <c r="V3008" s="100"/>
      <c r="W3008" s="100"/>
      <c r="X3008" s="100"/>
      <c r="Y3008" s="100"/>
      <c r="Z3008" s="100"/>
    </row>
    <row r="3009" spans="1:26">
      <c r="A3009" s="100"/>
      <c r="B3009" s="100"/>
      <c r="C3009" s="100"/>
      <c r="D3009" s="100"/>
      <c r="E3009" s="100"/>
      <c r="F3009" s="100"/>
      <c r="G3009" s="100"/>
      <c r="H3009" s="100"/>
      <c r="I3009" s="100"/>
      <c r="J3009" s="100"/>
      <c r="K3009" s="100"/>
      <c r="L3009" s="100"/>
      <c r="M3009" s="100"/>
      <c r="N3009" s="100"/>
      <c r="O3009" s="100"/>
      <c r="P3009" s="100"/>
      <c r="Q3009" s="100"/>
      <c r="R3009" s="100"/>
      <c r="S3009" s="100"/>
      <c r="T3009" s="100"/>
      <c r="U3009" s="100"/>
      <c r="V3009" s="100"/>
      <c r="W3009" s="100"/>
      <c r="X3009" s="100"/>
      <c r="Y3009" s="100"/>
      <c r="Z3009" s="100"/>
    </row>
    <row r="3010" spans="1:26">
      <c r="A3010" s="100"/>
      <c r="B3010" s="100"/>
      <c r="C3010" s="100"/>
      <c r="D3010" s="100"/>
      <c r="E3010" s="100"/>
      <c r="F3010" s="100"/>
      <c r="G3010" s="100"/>
      <c r="H3010" s="100"/>
      <c r="I3010" s="100"/>
      <c r="J3010" s="100"/>
      <c r="K3010" s="100"/>
      <c r="L3010" s="100"/>
      <c r="M3010" s="100"/>
      <c r="N3010" s="100"/>
      <c r="O3010" s="100"/>
      <c r="P3010" s="100"/>
      <c r="Q3010" s="100"/>
      <c r="R3010" s="100"/>
      <c r="S3010" s="100"/>
      <c r="T3010" s="100"/>
      <c r="U3010" s="100"/>
      <c r="V3010" s="100"/>
      <c r="W3010" s="100"/>
      <c r="X3010" s="100"/>
      <c r="Y3010" s="100"/>
      <c r="Z3010" s="100"/>
    </row>
    <row r="3011" spans="1:26">
      <c r="A3011" s="100"/>
      <c r="B3011" s="100"/>
      <c r="C3011" s="100"/>
      <c r="D3011" s="100"/>
      <c r="E3011" s="100"/>
      <c r="F3011" s="100"/>
      <c r="G3011" s="100"/>
      <c r="H3011" s="100"/>
      <c r="I3011" s="100"/>
      <c r="J3011" s="100"/>
      <c r="K3011" s="100"/>
      <c r="L3011" s="100"/>
      <c r="M3011" s="100"/>
      <c r="N3011" s="100"/>
      <c r="O3011" s="100"/>
      <c r="P3011" s="100"/>
      <c r="Q3011" s="100"/>
      <c r="R3011" s="100"/>
      <c r="S3011" s="100"/>
      <c r="T3011" s="100"/>
      <c r="U3011" s="100"/>
      <c r="V3011" s="100"/>
      <c r="W3011" s="100"/>
      <c r="X3011" s="100"/>
      <c r="Y3011" s="100"/>
      <c r="Z3011" s="100"/>
    </row>
    <row r="3012" spans="1:26">
      <c r="A3012" s="100"/>
      <c r="B3012" s="100"/>
      <c r="C3012" s="100"/>
      <c r="D3012" s="100"/>
      <c r="E3012" s="100"/>
      <c r="F3012" s="100"/>
      <c r="G3012" s="100"/>
      <c r="H3012" s="100"/>
      <c r="I3012" s="100"/>
      <c r="J3012" s="100"/>
      <c r="K3012" s="100"/>
      <c r="L3012" s="100"/>
      <c r="M3012" s="100"/>
      <c r="N3012" s="100"/>
      <c r="O3012" s="100"/>
      <c r="P3012" s="100"/>
      <c r="Q3012" s="100"/>
      <c r="R3012" s="100"/>
      <c r="S3012" s="100"/>
      <c r="T3012" s="100"/>
      <c r="U3012" s="100"/>
      <c r="V3012" s="100"/>
      <c r="W3012" s="100"/>
      <c r="X3012" s="100"/>
      <c r="Y3012" s="100"/>
      <c r="Z3012" s="100"/>
    </row>
    <row r="3013" spans="1:26">
      <c r="A3013" s="100"/>
      <c r="B3013" s="100"/>
      <c r="C3013" s="100"/>
      <c r="D3013" s="100"/>
      <c r="E3013" s="100"/>
      <c r="F3013" s="100"/>
      <c r="G3013" s="100"/>
      <c r="H3013" s="100"/>
      <c r="I3013" s="100"/>
      <c r="J3013" s="100"/>
      <c r="K3013" s="100"/>
      <c r="L3013" s="100"/>
      <c r="M3013" s="100"/>
      <c r="N3013" s="100"/>
      <c r="O3013" s="100"/>
      <c r="P3013" s="100"/>
      <c r="Q3013" s="100"/>
      <c r="R3013" s="100"/>
      <c r="S3013" s="100"/>
      <c r="T3013" s="100"/>
      <c r="U3013" s="100"/>
      <c r="V3013" s="100"/>
      <c r="W3013" s="100"/>
      <c r="X3013" s="100"/>
      <c r="Y3013" s="100"/>
      <c r="Z3013" s="100"/>
    </row>
    <row r="3014" spans="1:26">
      <c r="A3014" s="100"/>
      <c r="B3014" s="100"/>
      <c r="C3014" s="100"/>
      <c r="D3014" s="100"/>
      <c r="E3014" s="100"/>
      <c r="F3014" s="100"/>
      <c r="G3014" s="100"/>
      <c r="H3014" s="100"/>
      <c r="I3014" s="100"/>
      <c r="J3014" s="100"/>
      <c r="K3014" s="100"/>
      <c r="L3014" s="100"/>
      <c r="M3014" s="100"/>
      <c r="N3014" s="100"/>
      <c r="O3014" s="100"/>
      <c r="P3014" s="100"/>
      <c r="Q3014" s="100"/>
      <c r="R3014" s="100"/>
      <c r="S3014" s="100"/>
      <c r="T3014" s="100"/>
      <c r="U3014" s="100"/>
      <c r="V3014" s="100"/>
      <c r="W3014" s="100"/>
      <c r="X3014" s="100"/>
      <c r="Y3014" s="100"/>
      <c r="Z3014" s="100"/>
    </row>
    <row r="3015" spans="1:26">
      <c r="A3015" s="100"/>
      <c r="B3015" s="100"/>
      <c r="C3015" s="100"/>
      <c r="D3015" s="100"/>
      <c r="E3015" s="100"/>
      <c r="F3015" s="100"/>
      <c r="G3015" s="100"/>
      <c r="H3015" s="100"/>
      <c r="I3015" s="100"/>
      <c r="J3015" s="100"/>
      <c r="K3015" s="100"/>
      <c r="L3015" s="100"/>
      <c r="M3015" s="100"/>
      <c r="N3015" s="100"/>
      <c r="O3015" s="100"/>
      <c r="P3015" s="100"/>
      <c r="Q3015" s="100"/>
      <c r="R3015" s="100"/>
      <c r="S3015" s="100"/>
      <c r="T3015" s="100"/>
      <c r="U3015" s="100"/>
      <c r="V3015" s="100"/>
      <c r="W3015" s="100"/>
      <c r="X3015" s="100"/>
      <c r="Y3015" s="100"/>
      <c r="Z3015" s="100"/>
    </row>
    <row r="3016" spans="1:26">
      <c r="A3016" s="100"/>
      <c r="B3016" s="100"/>
      <c r="C3016" s="100"/>
      <c r="D3016" s="100"/>
      <c r="E3016" s="100"/>
      <c r="F3016" s="100"/>
      <c r="G3016" s="100"/>
      <c r="H3016" s="100"/>
      <c r="I3016" s="100"/>
      <c r="J3016" s="100"/>
      <c r="K3016" s="100"/>
      <c r="L3016" s="100"/>
      <c r="M3016" s="100"/>
      <c r="N3016" s="100"/>
      <c r="O3016" s="100"/>
      <c r="P3016" s="100"/>
      <c r="Q3016" s="100"/>
      <c r="R3016" s="100"/>
      <c r="S3016" s="100"/>
      <c r="T3016" s="100"/>
      <c r="U3016" s="100"/>
      <c r="V3016" s="100"/>
      <c r="W3016" s="100"/>
      <c r="X3016" s="100"/>
      <c r="Y3016" s="100"/>
      <c r="Z3016" s="100"/>
    </row>
    <row r="3017" spans="1:26">
      <c r="A3017" s="100"/>
      <c r="B3017" s="100"/>
      <c r="C3017" s="100"/>
      <c r="D3017" s="100"/>
      <c r="E3017" s="100"/>
      <c r="F3017" s="100"/>
      <c r="G3017" s="100"/>
      <c r="H3017" s="100"/>
      <c r="I3017" s="100"/>
      <c r="J3017" s="100"/>
      <c r="K3017" s="100"/>
      <c r="L3017" s="100"/>
      <c r="M3017" s="100"/>
      <c r="N3017" s="100"/>
      <c r="O3017" s="100"/>
      <c r="P3017" s="100"/>
      <c r="Q3017" s="100"/>
      <c r="R3017" s="100"/>
      <c r="S3017" s="100"/>
      <c r="T3017" s="100"/>
      <c r="U3017" s="100"/>
      <c r="V3017" s="100"/>
      <c r="W3017" s="100"/>
      <c r="X3017" s="100"/>
      <c r="Y3017" s="100"/>
      <c r="Z3017" s="100"/>
    </row>
    <row r="3018" spans="1:26">
      <c r="A3018" s="100"/>
      <c r="B3018" s="100"/>
      <c r="C3018" s="100"/>
      <c r="D3018" s="100"/>
      <c r="E3018" s="100"/>
      <c r="F3018" s="100"/>
      <c r="G3018" s="100"/>
      <c r="H3018" s="100"/>
      <c r="I3018" s="100"/>
      <c r="J3018" s="100"/>
      <c r="K3018" s="100"/>
      <c r="L3018" s="100"/>
      <c r="M3018" s="100"/>
      <c r="N3018" s="100"/>
      <c r="O3018" s="100"/>
      <c r="P3018" s="100"/>
      <c r="Q3018" s="100"/>
      <c r="R3018" s="100"/>
      <c r="S3018" s="100"/>
      <c r="T3018" s="100"/>
      <c r="U3018" s="100"/>
      <c r="V3018" s="100"/>
      <c r="W3018" s="100"/>
      <c r="X3018" s="100"/>
      <c r="Y3018" s="100"/>
      <c r="Z3018" s="100"/>
    </row>
    <row r="3019" spans="1:26">
      <c r="A3019" s="100"/>
      <c r="B3019" s="100"/>
      <c r="C3019" s="100"/>
      <c r="D3019" s="100"/>
      <c r="E3019" s="100"/>
      <c r="F3019" s="100"/>
      <c r="G3019" s="100"/>
      <c r="H3019" s="100"/>
      <c r="I3019" s="100"/>
      <c r="J3019" s="100"/>
      <c r="K3019" s="100"/>
      <c r="L3019" s="100"/>
      <c r="M3019" s="100"/>
      <c r="N3019" s="100"/>
      <c r="O3019" s="100"/>
      <c r="P3019" s="100"/>
      <c r="Q3019" s="100"/>
      <c r="R3019" s="100"/>
      <c r="S3019" s="100"/>
      <c r="T3019" s="100"/>
      <c r="U3019" s="100"/>
      <c r="V3019" s="100"/>
      <c r="W3019" s="100"/>
      <c r="X3019" s="100"/>
      <c r="Y3019" s="100"/>
      <c r="Z3019" s="100"/>
    </row>
    <row r="3020" spans="1:26">
      <c r="A3020" s="100"/>
      <c r="B3020" s="100"/>
      <c r="C3020" s="100"/>
      <c r="D3020" s="100"/>
      <c r="E3020" s="100"/>
      <c r="F3020" s="100"/>
      <c r="G3020" s="100"/>
      <c r="H3020" s="100"/>
      <c r="I3020" s="100"/>
      <c r="J3020" s="100"/>
      <c r="K3020" s="100"/>
      <c r="L3020" s="100"/>
      <c r="M3020" s="100"/>
      <c r="N3020" s="100"/>
      <c r="O3020" s="100"/>
      <c r="P3020" s="100"/>
      <c r="Q3020" s="100"/>
      <c r="R3020" s="100"/>
      <c r="S3020" s="100"/>
      <c r="T3020" s="100"/>
      <c r="U3020" s="100"/>
      <c r="V3020" s="100"/>
      <c r="W3020" s="100"/>
      <c r="X3020" s="100"/>
      <c r="Y3020" s="100"/>
      <c r="Z3020" s="100"/>
    </row>
    <row r="3021" spans="1:26">
      <c r="A3021" s="100"/>
      <c r="B3021" s="100"/>
      <c r="C3021" s="100"/>
      <c r="D3021" s="100"/>
      <c r="E3021" s="100"/>
      <c r="F3021" s="100"/>
      <c r="G3021" s="100"/>
      <c r="H3021" s="100"/>
      <c r="I3021" s="100"/>
      <c r="J3021" s="100"/>
      <c r="K3021" s="100"/>
      <c r="L3021" s="100"/>
      <c r="M3021" s="100"/>
      <c r="N3021" s="100"/>
      <c r="O3021" s="100"/>
      <c r="P3021" s="100"/>
      <c r="Q3021" s="100"/>
      <c r="R3021" s="100"/>
      <c r="S3021" s="100"/>
      <c r="T3021" s="100"/>
      <c r="U3021" s="100"/>
      <c r="V3021" s="100"/>
      <c r="W3021" s="100"/>
      <c r="X3021" s="100"/>
      <c r="Y3021" s="100"/>
      <c r="Z3021" s="100"/>
    </row>
    <row r="3022" spans="1:26">
      <c r="A3022" s="100"/>
      <c r="B3022" s="100"/>
      <c r="C3022" s="100"/>
      <c r="D3022" s="100"/>
      <c r="E3022" s="100"/>
      <c r="F3022" s="100"/>
      <c r="G3022" s="100"/>
      <c r="H3022" s="100"/>
      <c r="I3022" s="100"/>
      <c r="J3022" s="100"/>
      <c r="K3022" s="100"/>
      <c r="L3022" s="100"/>
      <c r="M3022" s="100"/>
      <c r="N3022" s="100"/>
      <c r="O3022" s="100"/>
      <c r="P3022" s="100"/>
      <c r="Q3022" s="100"/>
      <c r="R3022" s="100"/>
      <c r="S3022" s="100"/>
      <c r="T3022" s="100"/>
      <c r="U3022" s="100"/>
      <c r="V3022" s="100"/>
      <c r="W3022" s="100"/>
      <c r="X3022" s="100"/>
      <c r="Y3022" s="100"/>
      <c r="Z3022" s="100"/>
    </row>
    <row r="3023" spans="1:26">
      <c r="A3023" s="100"/>
      <c r="B3023" s="100"/>
      <c r="C3023" s="100"/>
      <c r="D3023" s="100"/>
      <c r="E3023" s="100"/>
      <c r="F3023" s="100"/>
      <c r="G3023" s="100"/>
      <c r="H3023" s="100"/>
      <c r="I3023" s="100"/>
      <c r="J3023" s="100"/>
      <c r="K3023" s="100"/>
      <c r="L3023" s="100"/>
      <c r="M3023" s="100"/>
      <c r="N3023" s="100"/>
      <c r="O3023" s="100"/>
      <c r="P3023" s="100"/>
      <c r="Q3023" s="100"/>
      <c r="R3023" s="100"/>
      <c r="S3023" s="100"/>
      <c r="T3023" s="100"/>
      <c r="U3023" s="100"/>
      <c r="V3023" s="100"/>
      <c r="W3023" s="100"/>
      <c r="X3023" s="100"/>
      <c r="Y3023" s="100"/>
      <c r="Z3023" s="100"/>
    </row>
    <row r="3024" spans="1:26">
      <c r="A3024" s="100"/>
      <c r="B3024" s="100"/>
      <c r="C3024" s="100"/>
      <c r="D3024" s="100"/>
      <c r="E3024" s="100"/>
      <c r="F3024" s="100"/>
      <c r="G3024" s="100"/>
      <c r="H3024" s="100"/>
      <c r="I3024" s="100"/>
      <c r="J3024" s="100"/>
      <c r="K3024" s="100"/>
      <c r="L3024" s="100"/>
      <c r="M3024" s="100"/>
      <c r="N3024" s="100"/>
      <c r="O3024" s="100"/>
      <c r="P3024" s="100"/>
      <c r="Q3024" s="100"/>
      <c r="R3024" s="100"/>
      <c r="S3024" s="100"/>
      <c r="T3024" s="100"/>
      <c r="U3024" s="100"/>
      <c r="V3024" s="100"/>
      <c r="W3024" s="100"/>
      <c r="X3024" s="100"/>
      <c r="Y3024" s="100"/>
      <c r="Z3024" s="100"/>
    </row>
    <row r="3025" spans="1:26">
      <c r="A3025" s="100"/>
      <c r="B3025" s="100"/>
      <c r="C3025" s="100"/>
      <c r="D3025" s="100"/>
      <c r="E3025" s="100"/>
      <c r="F3025" s="100"/>
      <c r="G3025" s="100"/>
      <c r="H3025" s="100"/>
      <c r="I3025" s="100"/>
      <c r="J3025" s="100"/>
      <c r="K3025" s="100"/>
      <c r="L3025" s="100"/>
      <c r="M3025" s="100"/>
      <c r="N3025" s="100"/>
      <c r="O3025" s="100"/>
      <c r="P3025" s="100"/>
      <c r="Q3025" s="100"/>
      <c r="R3025" s="100"/>
      <c r="S3025" s="100"/>
      <c r="T3025" s="100"/>
      <c r="U3025" s="100"/>
      <c r="V3025" s="100"/>
      <c r="W3025" s="100"/>
      <c r="X3025" s="100"/>
      <c r="Y3025" s="100"/>
      <c r="Z3025" s="100"/>
    </row>
    <row r="3026" spans="1:26">
      <c r="A3026" s="100"/>
      <c r="B3026" s="100"/>
      <c r="C3026" s="100"/>
      <c r="D3026" s="100"/>
      <c r="E3026" s="100"/>
      <c r="F3026" s="100"/>
      <c r="G3026" s="100"/>
      <c r="H3026" s="100"/>
      <c r="I3026" s="100"/>
      <c r="J3026" s="100"/>
      <c r="K3026" s="100"/>
      <c r="L3026" s="100"/>
      <c r="M3026" s="100"/>
      <c r="N3026" s="100"/>
      <c r="O3026" s="100"/>
      <c r="P3026" s="100"/>
      <c r="Q3026" s="100"/>
      <c r="R3026" s="100"/>
      <c r="S3026" s="100"/>
      <c r="T3026" s="100"/>
      <c r="U3026" s="100"/>
      <c r="V3026" s="100"/>
      <c r="W3026" s="100"/>
      <c r="X3026" s="100"/>
      <c r="Y3026" s="100"/>
      <c r="Z3026" s="100"/>
    </row>
    <row r="3027" spans="1:26">
      <c r="A3027" s="100"/>
      <c r="B3027" s="100"/>
      <c r="C3027" s="100"/>
      <c r="D3027" s="100"/>
      <c r="E3027" s="100"/>
      <c r="F3027" s="100"/>
      <c r="G3027" s="100"/>
      <c r="H3027" s="100"/>
      <c r="I3027" s="100"/>
      <c r="J3027" s="100"/>
      <c r="K3027" s="100"/>
      <c r="L3027" s="100"/>
      <c r="M3027" s="100"/>
      <c r="N3027" s="100"/>
      <c r="O3027" s="100"/>
      <c r="P3027" s="100"/>
      <c r="Q3027" s="100"/>
      <c r="R3027" s="100"/>
      <c r="S3027" s="100"/>
      <c r="T3027" s="100"/>
      <c r="U3027" s="100"/>
      <c r="V3027" s="100"/>
      <c r="W3027" s="100"/>
      <c r="X3027" s="100"/>
      <c r="Y3027" s="100"/>
      <c r="Z3027" s="100"/>
    </row>
    <row r="3028" spans="1:26">
      <c r="A3028" s="100"/>
      <c r="B3028" s="100"/>
      <c r="C3028" s="100"/>
      <c r="D3028" s="100"/>
      <c r="E3028" s="100"/>
      <c r="F3028" s="100"/>
      <c r="G3028" s="100"/>
      <c r="H3028" s="100"/>
      <c r="I3028" s="100"/>
      <c r="J3028" s="100"/>
      <c r="K3028" s="100"/>
      <c r="L3028" s="100"/>
      <c r="M3028" s="100"/>
      <c r="N3028" s="100"/>
      <c r="O3028" s="100"/>
      <c r="P3028" s="100"/>
      <c r="Q3028" s="100"/>
      <c r="R3028" s="100"/>
      <c r="S3028" s="100"/>
      <c r="T3028" s="100"/>
      <c r="U3028" s="100"/>
      <c r="V3028" s="100"/>
      <c r="W3028" s="100"/>
      <c r="X3028" s="100"/>
      <c r="Y3028" s="100"/>
      <c r="Z3028" s="100"/>
    </row>
    <row r="3029" spans="1:26">
      <c r="A3029" s="100"/>
      <c r="B3029" s="100"/>
      <c r="C3029" s="100"/>
      <c r="D3029" s="100"/>
      <c r="E3029" s="100"/>
      <c r="F3029" s="100"/>
      <c r="G3029" s="100"/>
      <c r="H3029" s="100"/>
      <c r="I3029" s="100"/>
      <c r="J3029" s="100"/>
      <c r="K3029" s="100"/>
      <c r="L3029" s="100"/>
      <c r="M3029" s="100"/>
      <c r="N3029" s="100"/>
      <c r="O3029" s="100"/>
      <c r="P3029" s="100"/>
      <c r="Q3029" s="100"/>
      <c r="R3029" s="100"/>
      <c r="S3029" s="100"/>
      <c r="T3029" s="100"/>
      <c r="U3029" s="100"/>
      <c r="V3029" s="100"/>
      <c r="W3029" s="100"/>
      <c r="X3029" s="100"/>
      <c r="Y3029" s="100"/>
      <c r="Z3029" s="100"/>
    </row>
    <row r="3030" spans="1:26">
      <c r="A3030" s="100"/>
      <c r="B3030" s="100"/>
      <c r="C3030" s="100"/>
      <c r="D3030" s="100"/>
      <c r="E3030" s="100"/>
      <c r="F3030" s="100"/>
      <c r="G3030" s="100"/>
      <c r="H3030" s="100"/>
      <c r="I3030" s="100"/>
      <c r="J3030" s="100"/>
      <c r="K3030" s="100"/>
      <c r="L3030" s="100"/>
      <c r="M3030" s="100"/>
      <c r="N3030" s="100"/>
      <c r="O3030" s="100"/>
      <c r="P3030" s="100"/>
      <c r="Q3030" s="100"/>
      <c r="R3030" s="100"/>
      <c r="S3030" s="100"/>
      <c r="T3030" s="100"/>
      <c r="U3030" s="100"/>
      <c r="V3030" s="100"/>
      <c r="W3030" s="100"/>
      <c r="X3030" s="100"/>
      <c r="Y3030" s="100"/>
      <c r="Z3030" s="100"/>
    </row>
    <row r="3031" spans="1:26">
      <c r="A3031" s="100"/>
      <c r="B3031" s="100"/>
      <c r="C3031" s="100"/>
      <c r="D3031" s="100"/>
      <c r="E3031" s="100"/>
      <c r="F3031" s="100"/>
      <c r="G3031" s="100"/>
      <c r="H3031" s="100"/>
      <c r="I3031" s="100"/>
      <c r="J3031" s="100"/>
      <c r="K3031" s="100"/>
      <c r="L3031" s="100"/>
      <c r="M3031" s="100"/>
      <c r="N3031" s="100"/>
      <c r="O3031" s="100"/>
      <c r="P3031" s="100"/>
      <c r="Q3031" s="100"/>
      <c r="R3031" s="100"/>
      <c r="S3031" s="100"/>
      <c r="T3031" s="100"/>
      <c r="U3031" s="100"/>
      <c r="V3031" s="100"/>
      <c r="W3031" s="100"/>
      <c r="X3031" s="100"/>
      <c r="Y3031" s="100"/>
      <c r="Z3031" s="100"/>
    </row>
    <row r="3032" spans="1:26">
      <c r="A3032" s="100"/>
      <c r="B3032" s="100"/>
      <c r="C3032" s="100"/>
      <c r="D3032" s="100"/>
      <c r="E3032" s="100"/>
      <c r="F3032" s="100"/>
      <c r="G3032" s="100"/>
      <c r="H3032" s="100"/>
      <c r="I3032" s="100"/>
      <c r="J3032" s="100"/>
      <c r="K3032" s="100"/>
      <c r="L3032" s="100"/>
      <c r="M3032" s="100"/>
      <c r="N3032" s="100"/>
      <c r="O3032" s="100"/>
      <c r="P3032" s="100"/>
      <c r="Q3032" s="100"/>
      <c r="R3032" s="100"/>
      <c r="S3032" s="100"/>
      <c r="T3032" s="100"/>
      <c r="U3032" s="100"/>
      <c r="V3032" s="100"/>
      <c r="W3032" s="100"/>
      <c r="X3032" s="100"/>
      <c r="Y3032" s="100"/>
      <c r="Z3032" s="100"/>
    </row>
    <row r="3033" spans="1:26">
      <c r="A3033" s="100"/>
      <c r="B3033" s="100"/>
      <c r="C3033" s="100"/>
      <c r="D3033" s="100"/>
      <c r="E3033" s="100"/>
      <c r="F3033" s="100"/>
      <c r="G3033" s="100"/>
      <c r="H3033" s="100"/>
      <c r="I3033" s="100"/>
      <c r="J3033" s="100"/>
      <c r="K3033" s="100"/>
      <c r="L3033" s="100"/>
      <c r="M3033" s="100"/>
      <c r="N3033" s="100"/>
      <c r="O3033" s="100"/>
      <c r="P3033" s="100"/>
      <c r="Q3033" s="100"/>
      <c r="R3033" s="100"/>
      <c r="S3033" s="100"/>
      <c r="T3033" s="100"/>
      <c r="U3033" s="100"/>
      <c r="V3033" s="100"/>
      <c r="W3033" s="100"/>
      <c r="X3033" s="100"/>
      <c r="Y3033" s="100"/>
      <c r="Z3033" s="100"/>
    </row>
    <row r="3034" spans="1:26">
      <c r="A3034" s="100"/>
      <c r="B3034" s="100"/>
      <c r="C3034" s="100"/>
      <c r="D3034" s="100"/>
      <c r="E3034" s="100"/>
      <c r="F3034" s="100"/>
      <c r="G3034" s="100"/>
      <c r="H3034" s="100"/>
      <c r="I3034" s="100"/>
      <c r="J3034" s="100"/>
      <c r="K3034" s="100"/>
      <c r="L3034" s="100"/>
      <c r="M3034" s="100"/>
      <c r="N3034" s="100"/>
      <c r="O3034" s="100"/>
      <c r="P3034" s="100"/>
      <c r="Q3034" s="100"/>
      <c r="R3034" s="100"/>
      <c r="S3034" s="100"/>
      <c r="T3034" s="100"/>
      <c r="U3034" s="100"/>
      <c r="V3034" s="100"/>
      <c r="W3034" s="100"/>
      <c r="X3034" s="100"/>
      <c r="Y3034" s="100"/>
      <c r="Z3034" s="100"/>
    </row>
    <row r="3035" spans="1:26">
      <c r="A3035" s="100"/>
      <c r="B3035" s="100"/>
      <c r="C3035" s="100"/>
      <c r="D3035" s="100"/>
      <c r="E3035" s="100"/>
      <c r="F3035" s="100"/>
      <c r="G3035" s="100"/>
      <c r="H3035" s="100"/>
      <c r="I3035" s="100"/>
      <c r="J3035" s="100"/>
      <c r="K3035" s="100"/>
      <c r="L3035" s="100"/>
      <c r="M3035" s="100"/>
      <c r="N3035" s="100"/>
      <c r="O3035" s="100"/>
      <c r="P3035" s="100"/>
      <c r="Q3035" s="100"/>
      <c r="R3035" s="100"/>
      <c r="S3035" s="100"/>
      <c r="T3035" s="100"/>
      <c r="U3035" s="100"/>
      <c r="V3035" s="100"/>
      <c r="W3035" s="100"/>
      <c r="X3035" s="100"/>
      <c r="Y3035" s="100"/>
      <c r="Z3035" s="100"/>
    </row>
    <row r="3036" spans="1:26">
      <c r="A3036" s="100"/>
      <c r="B3036" s="100"/>
      <c r="C3036" s="100"/>
      <c r="D3036" s="100"/>
      <c r="E3036" s="100"/>
      <c r="F3036" s="100"/>
      <c r="G3036" s="100"/>
      <c r="H3036" s="100"/>
      <c r="I3036" s="100"/>
      <c r="J3036" s="100"/>
      <c r="K3036" s="100"/>
      <c r="L3036" s="100"/>
      <c r="M3036" s="100"/>
      <c r="N3036" s="100"/>
      <c r="O3036" s="100"/>
      <c r="P3036" s="100"/>
      <c r="Q3036" s="100"/>
      <c r="R3036" s="100"/>
      <c r="S3036" s="100"/>
      <c r="T3036" s="100"/>
      <c r="U3036" s="100"/>
      <c r="V3036" s="100"/>
      <c r="W3036" s="100"/>
      <c r="X3036" s="100"/>
      <c r="Y3036" s="100"/>
      <c r="Z3036" s="100"/>
    </row>
    <row r="3037" spans="1:26">
      <c r="A3037" s="100"/>
      <c r="B3037" s="100"/>
      <c r="C3037" s="100"/>
      <c r="D3037" s="100"/>
      <c r="E3037" s="100"/>
      <c r="F3037" s="100"/>
      <c r="G3037" s="100"/>
      <c r="H3037" s="100"/>
      <c r="I3037" s="100"/>
      <c r="J3037" s="100"/>
      <c r="K3037" s="100"/>
      <c r="L3037" s="100"/>
      <c r="M3037" s="100"/>
      <c r="N3037" s="100"/>
      <c r="O3037" s="100"/>
      <c r="P3037" s="100"/>
      <c r="Q3037" s="100"/>
      <c r="R3037" s="100"/>
      <c r="S3037" s="100"/>
      <c r="T3037" s="100"/>
      <c r="U3037" s="100"/>
      <c r="V3037" s="100"/>
      <c r="W3037" s="100"/>
      <c r="X3037" s="100"/>
      <c r="Y3037" s="100"/>
      <c r="Z3037" s="100"/>
    </row>
    <row r="3038" spans="1:26">
      <c r="A3038" s="100"/>
      <c r="B3038" s="100"/>
      <c r="C3038" s="100"/>
      <c r="D3038" s="100"/>
      <c r="E3038" s="100"/>
      <c r="F3038" s="100"/>
      <c r="G3038" s="100"/>
      <c r="H3038" s="100"/>
      <c r="I3038" s="100"/>
      <c r="J3038" s="100"/>
      <c r="K3038" s="100"/>
      <c r="L3038" s="100"/>
      <c r="M3038" s="100"/>
      <c r="N3038" s="100"/>
      <c r="O3038" s="100"/>
      <c r="P3038" s="100"/>
      <c r="Q3038" s="100"/>
      <c r="R3038" s="100"/>
      <c r="S3038" s="100"/>
      <c r="T3038" s="100"/>
      <c r="U3038" s="100"/>
      <c r="V3038" s="100"/>
      <c r="W3038" s="100"/>
      <c r="X3038" s="100"/>
      <c r="Y3038" s="100"/>
      <c r="Z3038" s="100"/>
    </row>
    <row r="3039" spans="1:26">
      <c r="A3039" s="100"/>
      <c r="B3039" s="100"/>
      <c r="C3039" s="100"/>
      <c r="D3039" s="100"/>
      <c r="E3039" s="100"/>
      <c r="F3039" s="100"/>
      <c r="G3039" s="100"/>
      <c r="H3039" s="100"/>
      <c r="I3039" s="100"/>
      <c r="J3039" s="100"/>
      <c r="K3039" s="100"/>
      <c r="L3039" s="100"/>
      <c r="M3039" s="100"/>
      <c r="N3039" s="100"/>
      <c r="O3039" s="100"/>
      <c r="P3039" s="100"/>
      <c r="Q3039" s="100"/>
      <c r="R3039" s="100"/>
      <c r="S3039" s="100"/>
      <c r="T3039" s="100"/>
      <c r="U3039" s="100"/>
      <c r="V3039" s="100"/>
      <c r="W3039" s="100"/>
      <c r="X3039" s="100"/>
      <c r="Y3039" s="100"/>
      <c r="Z3039" s="100"/>
    </row>
    <row r="3040" spans="1:26">
      <c r="A3040" s="100"/>
      <c r="B3040" s="100"/>
      <c r="C3040" s="100"/>
      <c r="D3040" s="100"/>
      <c r="E3040" s="100"/>
      <c r="F3040" s="100"/>
      <c r="G3040" s="100"/>
      <c r="H3040" s="100"/>
      <c r="I3040" s="100"/>
      <c r="J3040" s="100"/>
      <c r="K3040" s="100"/>
      <c r="L3040" s="100"/>
      <c r="M3040" s="100"/>
      <c r="N3040" s="100"/>
      <c r="O3040" s="100"/>
      <c r="P3040" s="100"/>
      <c r="Q3040" s="100"/>
      <c r="R3040" s="100"/>
      <c r="S3040" s="100"/>
      <c r="T3040" s="100"/>
      <c r="U3040" s="100"/>
      <c r="V3040" s="100"/>
      <c r="W3040" s="100"/>
      <c r="X3040" s="100"/>
      <c r="Y3040" s="100"/>
      <c r="Z3040" s="100"/>
    </row>
    <row r="3041" spans="1:26">
      <c r="A3041" s="100"/>
      <c r="B3041" s="100"/>
      <c r="C3041" s="100"/>
      <c r="D3041" s="100"/>
      <c r="E3041" s="100"/>
      <c r="F3041" s="100"/>
      <c r="G3041" s="100"/>
      <c r="H3041" s="100"/>
      <c r="I3041" s="100"/>
      <c r="J3041" s="100"/>
      <c r="K3041" s="100"/>
      <c r="L3041" s="100"/>
      <c r="M3041" s="100"/>
      <c r="N3041" s="100"/>
      <c r="O3041" s="100"/>
      <c r="P3041" s="100"/>
      <c r="Q3041" s="100"/>
      <c r="R3041" s="100"/>
      <c r="S3041" s="100"/>
      <c r="T3041" s="100"/>
      <c r="U3041" s="100"/>
      <c r="V3041" s="100"/>
      <c r="W3041" s="100"/>
      <c r="X3041" s="100"/>
      <c r="Y3041" s="100"/>
      <c r="Z3041" s="100"/>
    </row>
    <row r="3042" spans="1:26">
      <c r="A3042" s="100"/>
      <c r="B3042" s="100"/>
      <c r="C3042" s="100"/>
      <c r="D3042" s="100"/>
      <c r="E3042" s="100"/>
      <c r="F3042" s="100"/>
      <c r="G3042" s="100"/>
      <c r="H3042" s="100"/>
      <c r="I3042" s="100"/>
      <c r="J3042" s="100"/>
      <c r="K3042" s="100"/>
      <c r="L3042" s="100"/>
      <c r="M3042" s="100"/>
      <c r="N3042" s="100"/>
      <c r="O3042" s="100"/>
      <c r="P3042" s="100"/>
      <c r="Q3042" s="100"/>
      <c r="R3042" s="100"/>
      <c r="S3042" s="100"/>
      <c r="T3042" s="100"/>
      <c r="U3042" s="100"/>
      <c r="V3042" s="100"/>
      <c r="W3042" s="100"/>
      <c r="X3042" s="100"/>
      <c r="Y3042" s="100"/>
      <c r="Z3042" s="100"/>
    </row>
    <row r="3043" spans="1:26">
      <c r="A3043" s="100"/>
      <c r="B3043" s="100"/>
      <c r="C3043" s="100"/>
      <c r="D3043" s="100"/>
      <c r="E3043" s="100"/>
      <c r="F3043" s="100"/>
      <c r="G3043" s="100"/>
      <c r="H3043" s="100"/>
      <c r="I3043" s="100"/>
      <c r="J3043" s="100"/>
      <c r="K3043" s="100"/>
      <c r="L3043" s="100"/>
      <c r="M3043" s="100"/>
      <c r="N3043" s="100"/>
      <c r="O3043" s="100"/>
      <c r="P3043" s="100"/>
      <c r="Q3043" s="100"/>
      <c r="R3043" s="100"/>
      <c r="S3043" s="100"/>
      <c r="T3043" s="100"/>
      <c r="U3043" s="100"/>
      <c r="V3043" s="100"/>
      <c r="W3043" s="100"/>
      <c r="X3043" s="100"/>
      <c r="Y3043" s="100"/>
      <c r="Z3043" s="100"/>
    </row>
    <row r="3044" spans="1:26">
      <c r="A3044" s="100"/>
      <c r="B3044" s="100"/>
      <c r="C3044" s="100"/>
      <c r="D3044" s="100"/>
      <c r="E3044" s="100"/>
      <c r="F3044" s="100"/>
      <c r="G3044" s="100"/>
      <c r="H3044" s="100"/>
      <c r="I3044" s="100"/>
      <c r="J3044" s="100"/>
      <c r="K3044" s="100"/>
      <c r="L3044" s="100"/>
      <c r="M3044" s="100"/>
      <c r="N3044" s="100"/>
      <c r="O3044" s="100"/>
      <c r="P3044" s="100"/>
      <c r="Q3044" s="100"/>
      <c r="R3044" s="100"/>
      <c r="S3044" s="100"/>
      <c r="T3044" s="100"/>
      <c r="U3044" s="100"/>
      <c r="V3044" s="100"/>
      <c r="W3044" s="100"/>
      <c r="X3044" s="100"/>
      <c r="Y3044" s="100"/>
      <c r="Z3044" s="100"/>
    </row>
    <row r="3045" spans="1:26">
      <c r="A3045" s="100"/>
      <c r="B3045" s="100"/>
      <c r="C3045" s="100"/>
      <c r="D3045" s="100"/>
      <c r="E3045" s="100"/>
      <c r="F3045" s="100"/>
      <c r="G3045" s="100"/>
      <c r="H3045" s="100"/>
      <c r="I3045" s="100"/>
      <c r="J3045" s="100"/>
      <c r="K3045" s="100"/>
      <c r="L3045" s="100"/>
      <c r="M3045" s="100"/>
      <c r="N3045" s="100"/>
      <c r="O3045" s="100"/>
      <c r="P3045" s="100"/>
      <c r="Q3045" s="100"/>
      <c r="R3045" s="100"/>
      <c r="S3045" s="100"/>
      <c r="T3045" s="100"/>
      <c r="U3045" s="100"/>
      <c r="V3045" s="100"/>
      <c r="W3045" s="100"/>
      <c r="X3045" s="100"/>
      <c r="Y3045" s="100"/>
      <c r="Z3045" s="100"/>
    </row>
    <row r="3046" spans="1:26">
      <c r="A3046" s="100"/>
      <c r="B3046" s="100"/>
      <c r="C3046" s="100"/>
      <c r="D3046" s="100"/>
      <c r="E3046" s="100"/>
      <c r="F3046" s="100"/>
      <c r="G3046" s="100"/>
      <c r="H3046" s="100"/>
      <c r="I3046" s="100"/>
      <c r="J3046" s="100"/>
      <c r="K3046" s="100"/>
      <c r="L3046" s="100"/>
      <c r="M3046" s="100"/>
      <c r="N3046" s="100"/>
      <c r="O3046" s="100"/>
      <c r="P3046" s="100"/>
      <c r="Q3046" s="100"/>
      <c r="R3046" s="100"/>
      <c r="S3046" s="100"/>
      <c r="T3046" s="100"/>
      <c r="U3046" s="100"/>
      <c r="V3046" s="100"/>
      <c r="W3046" s="100"/>
      <c r="X3046" s="100"/>
      <c r="Y3046" s="100"/>
      <c r="Z3046" s="100"/>
    </row>
    <row r="3047" spans="1:26">
      <c r="A3047" s="100"/>
      <c r="B3047" s="100"/>
      <c r="C3047" s="100"/>
      <c r="D3047" s="100"/>
      <c r="E3047" s="100"/>
      <c r="F3047" s="100"/>
      <c r="G3047" s="100"/>
      <c r="H3047" s="100"/>
      <c r="I3047" s="100"/>
      <c r="J3047" s="100"/>
      <c r="K3047" s="100"/>
      <c r="L3047" s="100"/>
      <c r="M3047" s="100"/>
      <c r="N3047" s="100"/>
      <c r="O3047" s="100"/>
      <c r="P3047" s="100"/>
      <c r="Q3047" s="100"/>
      <c r="R3047" s="100"/>
      <c r="S3047" s="100"/>
      <c r="T3047" s="100"/>
      <c r="U3047" s="100"/>
      <c r="V3047" s="100"/>
      <c r="W3047" s="100"/>
      <c r="X3047" s="100"/>
      <c r="Y3047" s="100"/>
      <c r="Z3047" s="100"/>
    </row>
    <row r="3048" spans="1:26">
      <c r="A3048" s="100"/>
      <c r="B3048" s="100"/>
      <c r="C3048" s="100"/>
      <c r="D3048" s="100"/>
      <c r="E3048" s="100"/>
      <c r="F3048" s="100"/>
      <c r="G3048" s="100"/>
      <c r="H3048" s="100"/>
      <c r="I3048" s="100"/>
      <c r="J3048" s="100"/>
      <c r="K3048" s="100"/>
      <c r="L3048" s="100"/>
      <c r="M3048" s="100"/>
      <c r="N3048" s="100"/>
      <c r="O3048" s="100"/>
      <c r="P3048" s="100"/>
      <c r="Q3048" s="100"/>
      <c r="R3048" s="100"/>
      <c r="S3048" s="100"/>
      <c r="T3048" s="100"/>
      <c r="U3048" s="100"/>
      <c r="V3048" s="100"/>
      <c r="W3048" s="100"/>
      <c r="X3048" s="100"/>
      <c r="Y3048" s="100"/>
      <c r="Z3048" s="100"/>
    </row>
    <row r="3049" spans="1:26">
      <c r="A3049" s="100"/>
      <c r="B3049" s="100"/>
      <c r="C3049" s="100"/>
      <c r="D3049" s="100"/>
      <c r="E3049" s="100"/>
      <c r="F3049" s="100"/>
      <c r="G3049" s="100"/>
      <c r="H3049" s="100"/>
      <c r="I3049" s="100"/>
      <c r="J3049" s="100"/>
      <c r="K3049" s="100"/>
      <c r="L3049" s="100"/>
      <c r="M3049" s="100"/>
      <c r="N3049" s="100"/>
      <c r="O3049" s="100"/>
      <c r="P3049" s="100"/>
      <c r="Q3049" s="100"/>
      <c r="R3049" s="100"/>
      <c r="S3049" s="100"/>
      <c r="T3049" s="100"/>
      <c r="U3049" s="100"/>
      <c r="V3049" s="100"/>
      <c r="W3049" s="100"/>
      <c r="X3049" s="100"/>
      <c r="Y3049" s="100"/>
      <c r="Z3049" s="100"/>
    </row>
    <row r="3050" spans="1:26">
      <c r="A3050" s="100"/>
      <c r="B3050" s="100"/>
      <c r="C3050" s="100"/>
      <c r="D3050" s="100"/>
      <c r="E3050" s="100"/>
      <c r="F3050" s="100"/>
      <c r="G3050" s="100"/>
      <c r="H3050" s="100"/>
      <c r="I3050" s="100"/>
      <c r="J3050" s="100"/>
      <c r="K3050" s="100"/>
      <c r="L3050" s="100"/>
      <c r="M3050" s="100"/>
      <c r="N3050" s="100"/>
      <c r="O3050" s="100"/>
      <c r="P3050" s="100"/>
      <c r="Q3050" s="100"/>
      <c r="R3050" s="100"/>
      <c r="S3050" s="100"/>
      <c r="T3050" s="100"/>
      <c r="U3050" s="100"/>
      <c r="V3050" s="100"/>
      <c r="W3050" s="100"/>
      <c r="X3050" s="100"/>
      <c r="Y3050" s="100"/>
      <c r="Z3050" s="100"/>
    </row>
    <row r="3051" spans="1:26">
      <c r="A3051" s="100"/>
      <c r="B3051" s="100"/>
      <c r="C3051" s="100"/>
      <c r="D3051" s="100"/>
      <c r="E3051" s="100"/>
      <c r="F3051" s="100"/>
      <c r="G3051" s="100"/>
      <c r="H3051" s="100"/>
      <c r="I3051" s="100"/>
      <c r="J3051" s="100"/>
      <c r="K3051" s="100"/>
      <c r="L3051" s="100"/>
      <c r="M3051" s="100"/>
      <c r="N3051" s="100"/>
      <c r="O3051" s="100"/>
      <c r="P3051" s="100"/>
      <c r="Q3051" s="100"/>
      <c r="R3051" s="100"/>
      <c r="S3051" s="100"/>
      <c r="T3051" s="100"/>
      <c r="U3051" s="100"/>
      <c r="V3051" s="100"/>
      <c r="W3051" s="100"/>
      <c r="X3051" s="100"/>
      <c r="Y3051" s="100"/>
      <c r="Z3051" s="100"/>
    </row>
    <row r="3052" spans="1:26">
      <c r="A3052" s="100"/>
      <c r="B3052" s="100"/>
      <c r="C3052" s="100"/>
      <c r="D3052" s="100"/>
      <c r="E3052" s="100"/>
      <c r="F3052" s="100"/>
      <c r="G3052" s="100"/>
      <c r="H3052" s="100"/>
      <c r="I3052" s="100"/>
      <c r="J3052" s="100"/>
      <c r="K3052" s="100"/>
      <c r="L3052" s="100"/>
      <c r="M3052" s="100"/>
      <c r="N3052" s="100"/>
      <c r="O3052" s="100"/>
      <c r="P3052" s="100"/>
      <c r="Q3052" s="100"/>
      <c r="R3052" s="100"/>
      <c r="S3052" s="100"/>
      <c r="T3052" s="100"/>
      <c r="U3052" s="100"/>
      <c r="V3052" s="100"/>
      <c r="W3052" s="100"/>
      <c r="X3052" s="100"/>
      <c r="Y3052" s="100"/>
      <c r="Z3052" s="100"/>
    </row>
    <row r="3053" spans="1:26">
      <c r="A3053" s="100"/>
      <c r="B3053" s="100"/>
      <c r="C3053" s="100"/>
      <c r="D3053" s="100"/>
      <c r="E3053" s="100"/>
      <c r="F3053" s="100"/>
      <c r="G3053" s="100"/>
      <c r="H3053" s="100"/>
      <c r="I3053" s="100"/>
      <c r="J3053" s="100"/>
      <c r="K3053" s="100"/>
      <c r="L3053" s="100"/>
      <c r="M3053" s="100"/>
      <c r="N3053" s="100"/>
      <c r="O3053" s="100"/>
      <c r="P3053" s="100"/>
      <c r="Q3053" s="100"/>
      <c r="R3053" s="100"/>
      <c r="S3053" s="100"/>
      <c r="T3053" s="100"/>
      <c r="U3053" s="100"/>
      <c r="V3053" s="100"/>
      <c r="W3053" s="100"/>
      <c r="X3053" s="100"/>
      <c r="Y3053" s="100"/>
      <c r="Z3053" s="100"/>
    </row>
    <row r="3054" spans="1:26">
      <c r="A3054" s="100"/>
      <c r="B3054" s="100"/>
      <c r="C3054" s="100"/>
      <c r="D3054" s="100"/>
      <c r="E3054" s="100"/>
      <c r="F3054" s="100"/>
      <c r="G3054" s="100"/>
      <c r="H3054" s="100"/>
      <c r="I3054" s="100"/>
      <c r="J3054" s="100"/>
      <c r="K3054" s="100"/>
      <c r="L3054" s="100"/>
      <c r="M3054" s="100"/>
      <c r="N3054" s="100"/>
      <c r="O3054" s="100"/>
      <c r="P3054" s="100"/>
      <c r="Q3054" s="100"/>
      <c r="R3054" s="100"/>
      <c r="S3054" s="100"/>
      <c r="T3054" s="100"/>
      <c r="U3054" s="100"/>
      <c r="V3054" s="100"/>
      <c r="W3054" s="100"/>
      <c r="X3054" s="100"/>
      <c r="Y3054" s="100"/>
      <c r="Z3054" s="100"/>
    </row>
    <row r="3055" spans="1:26">
      <c r="A3055" s="100"/>
      <c r="B3055" s="100"/>
      <c r="C3055" s="100"/>
      <c r="D3055" s="100"/>
      <c r="E3055" s="100"/>
      <c r="F3055" s="100"/>
      <c r="G3055" s="100"/>
      <c r="H3055" s="100"/>
      <c r="I3055" s="100"/>
      <c r="J3055" s="100"/>
      <c r="K3055" s="100"/>
      <c r="L3055" s="100"/>
      <c r="M3055" s="100"/>
      <c r="N3055" s="100"/>
      <c r="O3055" s="100"/>
      <c r="P3055" s="100"/>
      <c r="Q3055" s="100"/>
      <c r="R3055" s="100"/>
      <c r="S3055" s="100"/>
      <c r="T3055" s="100"/>
      <c r="U3055" s="100"/>
      <c r="V3055" s="100"/>
      <c r="W3055" s="100"/>
      <c r="X3055" s="100"/>
      <c r="Y3055" s="100"/>
      <c r="Z3055" s="100"/>
    </row>
    <row r="3056" spans="1:26">
      <c r="A3056" s="100"/>
      <c r="B3056" s="100"/>
      <c r="C3056" s="100"/>
      <c r="D3056" s="100"/>
      <c r="E3056" s="100"/>
      <c r="F3056" s="100"/>
      <c r="G3056" s="100"/>
      <c r="H3056" s="100"/>
      <c r="I3056" s="100"/>
      <c r="J3056" s="100"/>
      <c r="K3056" s="100"/>
      <c r="L3056" s="100"/>
      <c r="M3056" s="100"/>
      <c r="N3056" s="100"/>
      <c r="O3056" s="100"/>
      <c r="P3056" s="100"/>
      <c r="Q3056" s="100"/>
      <c r="R3056" s="100"/>
      <c r="S3056" s="100"/>
      <c r="T3056" s="100"/>
      <c r="U3056" s="100"/>
      <c r="V3056" s="100"/>
      <c r="W3056" s="100"/>
      <c r="X3056" s="100"/>
      <c r="Y3056" s="100"/>
      <c r="Z3056" s="100"/>
    </row>
    <row r="3057" spans="1:26">
      <c r="A3057" s="100"/>
      <c r="B3057" s="100"/>
      <c r="C3057" s="100"/>
      <c r="D3057" s="100"/>
      <c r="E3057" s="100"/>
      <c r="F3057" s="100"/>
      <c r="G3057" s="100"/>
      <c r="H3057" s="100"/>
      <c r="I3057" s="100"/>
      <c r="J3057" s="100"/>
      <c r="K3057" s="100"/>
      <c r="L3057" s="100"/>
      <c r="M3057" s="100"/>
      <c r="N3057" s="100"/>
      <c r="O3057" s="100"/>
      <c r="P3057" s="100"/>
      <c r="Q3057" s="100"/>
      <c r="R3057" s="100"/>
      <c r="S3057" s="100"/>
      <c r="T3057" s="100"/>
      <c r="U3057" s="100"/>
      <c r="V3057" s="100"/>
      <c r="W3057" s="100"/>
      <c r="X3057" s="100"/>
      <c r="Y3057" s="100"/>
      <c r="Z3057" s="100"/>
    </row>
    <row r="3058" spans="1:26">
      <c r="A3058" s="100"/>
      <c r="B3058" s="100"/>
      <c r="C3058" s="100"/>
      <c r="D3058" s="100"/>
      <c r="E3058" s="100"/>
      <c r="F3058" s="100"/>
      <c r="G3058" s="100"/>
      <c r="H3058" s="100"/>
      <c r="I3058" s="100"/>
      <c r="J3058" s="100"/>
      <c r="K3058" s="100"/>
      <c r="L3058" s="100"/>
      <c r="M3058" s="100"/>
      <c r="N3058" s="100"/>
      <c r="O3058" s="100"/>
      <c r="P3058" s="100"/>
      <c r="Q3058" s="100"/>
      <c r="R3058" s="100"/>
      <c r="S3058" s="100"/>
      <c r="T3058" s="100"/>
      <c r="U3058" s="100"/>
      <c r="V3058" s="100"/>
      <c r="W3058" s="100"/>
      <c r="X3058" s="100"/>
      <c r="Y3058" s="100"/>
      <c r="Z3058" s="100"/>
    </row>
    <row r="3059" spans="1:26">
      <c r="A3059" s="100"/>
      <c r="B3059" s="100"/>
      <c r="C3059" s="100"/>
      <c r="D3059" s="100"/>
      <c r="E3059" s="100"/>
      <c r="F3059" s="100"/>
      <c r="G3059" s="100"/>
      <c r="H3059" s="100"/>
      <c r="I3059" s="100"/>
      <c r="J3059" s="100"/>
      <c r="K3059" s="100"/>
      <c r="L3059" s="100"/>
      <c r="M3059" s="100"/>
      <c r="N3059" s="100"/>
      <c r="O3059" s="100"/>
      <c r="P3059" s="100"/>
      <c r="Q3059" s="100"/>
      <c r="R3059" s="100"/>
      <c r="S3059" s="100"/>
      <c r="T3059" s="100"/>
      <c r="U3059" s="100"/>
      <c r="V3059" s="100"/>
      <c r="W3059" s="100"/>
      <c r="X3059" s="100"/>
      <c r="Y3059" s="100"/>
      <c r="Z3059" s="100"/>
    </row>
    <row r="3060" spans="1:26">
      <c r="A3060" s="100"/>
      <c r="B3060" s="100"/>
      <c r="C3060" s="100"/>
      <c r="D3060" s="100"/>
      <c r="E3060" s="100"/>
      <c r="F3060" s="100"/>
      <c r="G3060" s="100"/>
      <c r="H3060" s="100"/>
      <c r="I3060" s="100"/>
      <c r="J3060" s="100"/>
      <c r="K3060" s="100"/>
      <c r="L3060" s="100"/>
      <c r="M3060" s="100"/>
      <c r="N3060" s="100"/>
      <c r="O3060" s="100"/>
      <c r="P3060" s="100"/>
      <c r="Q3060" s="100"/>
      <c r="R3060" s="100"/>
      <c r="S3060" s="100"/>
      <c r="T3060" s="100"/>
      <c r="U3060" s="100"/>
      <c r="V3060" s="100"/>
      <c r="W3060" s="100"/>
      <c r="X3060" s="100"/>
      <c r="Y3060" s="100"/>
      <c r="Z3060" s="100"/>
    </row>
    <row r="3061" spans="1:26">
      <c r="A3061" s="100"/>
      <c r="B3061" s="100"/>
      <c r="C3061" s="100"/>
      <c r="D3061" s="100"/>
      <c r="E3061" s="100"/>
      <c r="F3061" s="100"/>
      <c r="G3061" s="100"/>
      <c r="H3061" s="100"/>
      <c r="I3061" s="100"/>
      <c r="J3061" s="100"/>
      <c r="K3061" s="100"/>
      <c r="L3061" s="100"/>
      <c r="M3061" s="100"/>
      <c r="N3061" s="100"/>
      <c r="O3061" s="100"/>
      <c r="P3061" s="100"/>
      <c r="Q3061" s="100"/>
      <c r="R3061" s="100"/>
      <c r="S3061" s="100"/>
      <c r="T3061" s="100"/>
      <c r="U3061" s="100"/>
      <c r="V3061" s="100"/>
      <c r="W3061" s="100"/>
      <c r="X3061" s="100"/>
      <c r="Y3061" s="100"/>
      <c r="Z3061" s="100"/>
    </row>
    <row r="3062" spans="1:26">
      <c r="A3062" s="100"/>
      <c r="B3062" s="100"/>
      <c r="C3062" s="100"/>
      <c r="D3062" s="100"/>
      <c r="E3062" s="100"/>
      <c r="F3062" s="100"/>
      <c r="G3062" s="100"/>
      <c r="H3062" s="100"/>
      <c r="I3062" s="100"/>
      <c r="J3062" s="100"/>
      <c r="K3062" s="100"/>
      <c r="L3062" s="100"/>
      <c r="M3062" s="100"/>
      <c r="N3062" s="100"/>
      <c r="O3062" s="100"/>
      <c r="P3062" s="100"/>
      <c r="Q3062" s="100"/>
      <c r="R3062" s="100"/>
      <c r="S3062" s="100"/>
      <c r="T3062" s="100"/>
      <c r="U3062" s="100"/>
      <c r="V3062" s="100"/>
      <c r="W3062" s="100"/>
      <c r="X3062" s="100"/>
      <c r="Y3062" s="100"/>
      <c r="Z3062" s="100"/>
    </row>
    <row r="3063" spans="1:26">
      <c r="A3063" s="100"/>
      <c r="B3063" s="100"/>
      <c r="C3063" s="100"/>
      <c r="D3063" s="100"/>
      <c r="E3063" s="100"/>
      <c r="F3063" s="100"/>
      <c r="G3063" s="100"/>
      <c r="H3063" s="100"/>
      <c r="I3063" s="100"/>
      <c r="J3063" s="100"/>
      <c r="K3063" s="100"/>
      <c r="L3063" s="100"/>
      <c r="M3063" s="100"/>
      <c r="N3063" s="100"/>
      <c r="O3063" s="100"/>
      <c r="P3063" s="100"/>
      <c r="Q3063" s="100"/>
      <c r="R3063" s="100"/>
      <c r="S3063" s="100"/>
      <c r="T3063" s="100"/>
      <c r="U3063" s="100"/>
      <c r="V3063" s="100"/>
      <c r="W3063" s="100"/>
      <c r="X3063" s="100"/>
      <c r="Y3063" s="100"/>
      <c r="Z3063" s="100"/>
    </row>
    <row r="3064" spans="1:26">
      <c r="A3064" s="100"/>
      <c r="B3064" s="100"/>
      <c r="C3064" s="100"/>
      <c r="D3064" s="100"/>
      <c r="E3064" s="100"/>
      <c r="F3064" s="100"/>
      <c r="G3064" s="100"/>
      <c r="H3064" s="100"/>
      <c r="I3064" s="100"/>
      <c r="J3064" s="100"/>
      <c r="K3064" s="100"/>
      <c r="L3064" s="100"/>
      <c r="M3064" s="100"/>
      <c r="N3064" s="100"/>
      <c r="O3064" s="100"/>
      <c r="P3064" s="100"/>
      <c r="Q3064" s="100"/>
      <c r="R3064" s="100"/>
      <c r="S3064" s="100"/>
      <c r="T3064" s="100"/>
      <c r="U3064" s="100"/>
      <c r="V3064" s="100"/>
      <c r="W3064" s="100"/>
      <c r="X3064" s="100"/>
      <c r="Y3064" s="100"/>
      <c r="Z3064" s="100"/>
    </row>
    <row r="3065" spans="1:26">
      <c r="A3065" s="100"/>
      <c r="B3065" s="100"/>
      <c r="C3065" s="100"/>
      <c r="D3065" s="100"/>
      <c r="E3065" s="100"/>
      <c r="F3065" s="100"/>
      <c r="G3065" s="100"/>
      <c r="H3065" s="100"/>
      <c r="I3065" s="100"/>
      <c r="J3065" s="100"/>
      <c r="K3065" s="100"/>
      <c r="L3065" s="100"/>
      <c r="M3065" s="100"/>
      <c r="N3065" s="100"/>
      <c r="O3065" s="100"/>
      <c r="P3065" s="100"/>
      <c r="Q3065" s="100"/>
      <c r="R3065" s="100"/>
      <c r="S3065" s="100"/>
      <c r="T3065" s="100"/>
      <c r="U3065" s="100"/>
      <c r="V3065" s="100"/>
      <c r="W3065" s="100"/>
      <c r="X3065" s="100"/>
      <c r="Y3065" s="100"/>
      <c r="Z3065" s="100"/>
    </row>
    <row r="3066" spans="1:26">
      <c r="A3066" s="100"/>
      <c r="B3066" s="100"/>
      <c r="C3066" s="100"/>
      <c r="D3066" s="100"/>
      <c r="E3066" s="100"/>
      <c r="F3066" s="100"/>
      <c r="G3066" s="100"/>
      <c r="H3066" s="100"/>
      <c r="I3066" s="100"/>
      <c r="J3066" s="100"/>
      <c r="K3066" s="100"/>
      <c r="L3066" s="100"/>
      <c r="M3066" s="100"/>
      <c r="N3066" s="100"/>
      <c r="O3066" s="100"/>
      <c r="P3066" s="100"/>
      <c r="Q3066" s="100"/>
      <c r="R3066" s="100"/>
      <c r="S3066" s="100"/>
      <c r="T3066" s="100"/>
      <c r="U3066" s="100"/>
      <c r="V3066" s="100"/>
      <c r="W3066" s="100"/>
      <c r="X3066" s="100"/>
      <c r="Y3066" s="100"/>
      <c r="Z3066" s="100"/>
    </row>
    <row r="3067" spans="1:26">
      <c r="A3067" s="100"/>
      <c r="B3067" s="100"/>
      <c r="C3067" s="100"/>
      <c r="D3067" s="100"/>
      <c r="E3067" s="100"/>
      <c r="F3067" s="100"/>
      <c r="G3067" s="100"/>
      <c r="H3067" s="100"/>
      <c r="I3067" s="100"/>
      <c r="J3067" s="100"/>
      <c r="K3067" s="100"/>
      <c r="L3067" s="100"/>
      <c r="M3067" s="100"/>
      <c r="N3067" s="100"/>
      <c r="O3067" s="100"/>
      <c r="P3067" s="100"/>
      <c r="Q3067" s="100"/>
      <c r="R3067" s="100"/>
      <c r="S3067" s="100"/>
      <c r="T3067" s="100"/>
      <c r="U3067" s="100"/>
      <c r="V3067" s="100"/>
      <c r="W3067" s="100"/>
      <c r="X3067" s="100"/>
      <c r="Y3067" s="100"/>
      <c r="Z3067" s="100"/>
    </row>
    <row r="3068" spans="1:26">
      <c r="A3068" s="100"/>
      <c r="B3068" s="100"/>
      <c r="C3068" s="100"/>
      <c r="D3068" s="100"/>
      <c r="E3068" s="100"/>
      <c r="F3068" s="100"/>
      <c r="G3068" s="100"/>
      <c r="H3068" s="100"/>
      <c r="I3068" s="100"/>
      <c r="J3068" s="100"/>
      <c r="K3068" s="100"/>
      <c r="L3068" s="100"/>
      <c r="M3068" s="100"/>
      <c r="N3068" s="100"/>
      <c r="O3068" s="100"/>
      <c r="P3068" s="100"/>
      <c r="Q3068" s="100"/>
      <c r="R3068" s="100"/>
      <c r="S3068" s="100"/>
      <c r="T3068" s="100"/>
      <c r="U3068" s="100"/>
      <c r="V3068" s="100"/>
      <c r="W3068" s="100"/>
      <c r="X3068" s="100"/>
      <c r="Y3068" s="100"/>
      <c r="Z3068" s="100"/>
    </row>
    <row r="3069" spans="1:26">
      <c r="A3069" s="100"/>
      <c r="B3069" s="100"/>
      <c r="C3069" s="100"/>
      <c r="D3069" s="100"/>
      <c r="E3069" s="100"/>
      <c r="F3069" s="100"/>
      <c r="G3069" s="100"/>
      <c r="H3069" s="100"/>
      <c r="I3069" s="100"/>
      <c r="J3069" s="100"/>
      <c r="K3069" s="100"/>
      <c r="L3069" s="100"/>
      <c r="M3069" s="100"/>
      <c r="N3069" s="100"/>
      <c r="O3069" s="100"/>
      <c r="P3069" s="100"/>
      <c r="Q3069" s="100"/>
      <c r="R3069" s="100"/>
      <c r="S3069" s="100"/>
      <c r="T3069" s="100"/>
      <c r="U3069" s="100"/>
      <c r="V3069" s="100"/>
      <c r="W3069" s="100"/>
      <c r="X3069" s="100"/>
      <c r="Y3069" s="100"/>
      <c r="Z3069" s="100"/>
    </row>
    <row r="3070" spans="1:26">
      <c r="A3070" s="100"/>
      <c r="B3070" s="100"/>
      <c r="C3070" s="100"/>
      <c r="D3070" s="100"/>
      <c r="E3070" s="100"/>
      <c r="F3070" s="100"/>
      <c r="G3070" s="100"/>
      <c r="H3070" s="100"/>
      <c r="I3070" s="100"/>
      <c r="J3070" s="100"/>
      <c r="K3070" s="100"/>
      <c r="L3070" s="100"/>
      <c r="M3070" s="100"/>
      <c r="N3070" s="100"/>
      <c r="O3070" s="100"/>
      <c r="P3070" s="100"/>
      <c r="Q3070" s="100"/>
      <c r="R3070" s="100"/>
      <c r="S3070" s="100"/>
      <c r="T3070" s="100"/>
      <c r="U3070" s="100"/>
      <c r="V3070" s="100"/>
      <c r="W3070" s="100"/>
      <c r="X3070" s="100"/>
      <c r="Y3070" s="100"/>
      <c r="Z3070" s="100"/>
    </row>
    <row r="3071" spans="1:26">
      <c r="A3071" s="100"/>
      <c r="B3071" s="100"/>
      <c r="C3071" s="100"/>
      <c r="D3071" s="100"/>
      <c r="E3071" s="100"/>
      <c r="F3071" s="100"/>
      <c r="G3071" s="100"/>
      <c r="H3071" s="100"/>
      <c r="I3071" s="100"/>
      <c r="J3071" s="100"/>
      <c r="K3071" s="100"/>
      <c r="L3071" s="100"/>
      <c r="M3071" s="100"/>
      <c r="N3071" s="100"/>
      <c r="O3071" s="100"/>
      <c r="P3071" s="100"/>
      <c r="Q3071" s="100"/>
      <c r="R3071" s="100"/>
      <c r="S3071" s="100"/>
      <c r="T3071" s="100"/>
      <c r="U3071" s="100"/>
      <c r="V3071" s="100"/>
      <c r="W3071" s="100"/>
      <c r="X3071" s="100"/>
      <c r="Y3071" s="100"/>
      <c r="Z3071" s="100"/>
    </row>
    <row r="3072" spans="1:26">
      <c r="A3072" s="100"/>
      <c r="B3072" s="100"/>
      <c r="C3072" s="100"/>
      <c r="D3072" s="100"/>
      <c r="E3072" s="100"/>
      <c r="F3072" s="100"/>
      <c r="G3072" s="100"/>
      <c r="H3072" s="100"/>
      <c r="I3072" s="100"/>
      <c r="J3072" s="100"/>
      <c r="K3072" s="100"/>
      <c r="L3072" s="100"/>
      <c r="M3072" s="100"/>
      <c r="N3072" s="100"/>
      <c r="O3072" s="100"/>
      <c r="P3072" s="100"/>
      <c r="Q3072" s="100"/>
      <c r="R3072" s="100"/>
      <c r="S3072" s="100"/>
      <c r="T3072" s="100"/>
      <c r="U3072" s="100"/>
      <c r="V3072" s="100"/>
      <c r="W3072" s="100"/>
      <c r="X3072" s="100"/>
      <c r="Y3072" s="100"/>
      <c r="Z3072" s="100"/>
    </row>
    <row r="3073" spans="1:26">
      <c r="A3073" s="100"/>
      <c r="B3073" s="100"/>
      <c r="C3073" s="100"/>
      <c r="D3073" s="100"/>
      <c r="E3073" s="100"/>
      <c r="F3073" s="100"/>
      <c r="G3073" s="100"/>
      <c r="H3073" s="100"/>
      <c r="I3073" s="100"/>
      <c r="J3073" s="100"/>
      <c r="K3073" s="100"/>
      <c r="L3073" s="100"/>
      <c r="M3073" s="100"/>
      <c r="N3073" s="100"/>
      <c r="O3073" s="100"/>
      <c r="P3073" s="100"/>
      <c r="Q3073" s="100"/>
      <c r="R3073" s="100"/>
      <c r="S3073" s="100"/>
      <c r="T3073" s="100"/>
      <c r="U3073" s="100"/>
      <c r="V3073" s="100"/>
      <c r="W3073" s="100"/>
      <c r="X3073" s="100"/>
      <c r="Y3073" s="100"/>
      <c r="Z3073" s="100"/>
    </row>
    <row r="3074" spans="1:26">
      <c r="A3074" s="100"/>
      <c r="B3074" s="100"/>
      <c r="C3074" s="100"/>
      <c r="D3074" s="100"/>
      <c r="E3074" s="100"/>
      <c r="F3074" s="100"/>
      <c r="G3074" s="100"/>
      <c r="H3074" s="100"/>
      <c r="I3074" s="100"/>
      <c r="J3074" s="100"/>
      <c r="K3074" s="100"/>
      <c r="L3074" s="100"/>
      <c r="M3074" s="100"/>
      <c r="N3074" s="100"/>
      <c r="O3074" s="100"/>
      <c r="P3074" s="100"/>
      <c r="Q3074" s="100"/>
      <c r="R3074" s="100"/>
      <c r="S3074" s="100"/>
      <c r="T3074" s="100"/>
      <c r="U3074" s="100"/>
      <c r="V3074" s="100"/>
      <c r="W3074" s="100"/>
      <c r="X3074" s="100"/>
      <c r="Y3074" s="100"/>
      <c r="Z3074" s="100"/>
    </row>
    <row r="3075" spans="1:26">
      <c r="A3075" s="100"/>
      <c r="B3075" s="100"/>
      <c r="C3075" s="100"/>
      <c r="D3075" s="100"/>
      <c r="E3075" s="100"/>
      <c r="F3075" s="100"/>
      <c r="G3075" s="100"/>
      <c r="H3075" s="100"/>
      <c r="I3075" s="100"/>
      <c r="J3075" s="100"/>
      <c r="K3075" s="100"/>
      <c r="L3075" s="100"/>
      <c r="M3075" s="100"/>
      <c r="N3075" s="100"/>
      <c r="O3075" s="100"/>
      <c r="P3075" s="100"/>
      <c r="Q3075" s="100"/>
      <c r="R3075" s="100"/>
      <c r="S3075" s="100"/>
      <c r="T3075" s="100"/>
      <c r="U3075" s="100"/>
      <c r="V3075" s="100"/>
      <c r="W3075" s="100"/>
      <c r="X3075" s="100"/>
      <c r="Y3075" s="100"/>
      <c r="Z3075" s="100"/>
    </row>
    <row r="3076" spans="1:26">
      <c r="A3076" s="100"/>
      <c r="B3076" s="100"/>
      <c r="C3076" s="100"/>
      <c r="D3076" s="100"/>
      <c r="E3076" s="100"/>
      <c r="F3076" s="100"/>
      <c r="G3076" s="100"/>
      <c r="H3076" s="100"/>
      <c r="I3076" s="100"/>
      <c r="J3076" s="100"/>
      <c r="K3076" s="100"/>
      <c r="L3076" s="100"/>
      <c r="M3076" s="100"/>
      <c r="N3076" s="100"/>
      <c r="O3076" s="100"/>
      <c r="P3076" s="100"/>
      <c r="Q3076" s="100"/>
      <c r="R3076" s="100"/>
      <c r="S3076" s="100"/>
      <c r="T3076" s="100"/>
      <c r="U3076" s="100"/>
      <c r="V3076" s="100"/>
      <c r="W3076" s="100"/>
      <c r="X3076" s="100"/>
      <c r="Y3076" s="100"/>
      <c r="Z3076" s="100"/>
    </row>
    <row r="3077" spans="1:26">
      <c r="A3077" s="100"/>
      <c r="B3077" s="100"/>
      <c r="C3077" s="100"/>
      <c r="D3077" s="100"/>
      <c r="E3077" s="100"/>
      <c r="F3077" s="100"/>
      <c r="G3077" s="100"/>
      <c r="H3077" s="100"/>
      <c r="I3077" s="100"/>
      <c r="J3077" s="100"/>
      <c r="K3077" s="100"/>
      <c r="L3077" s="100"/>
      <c r="M3077" s="100"/>
      <c r="N3077" s="100"/>
      <c r="O3077" s="100"/>
      <c r="P3077" s="100"/>
      <c r="Q3077" s="100"/>
      <c r="R3077" s="100"/>
      <c r="S3077" s="100"/>
      <c r="T3077" s="100"/>
      <c r="U3077" s="100"/>
      <c r="V3077" s="100"/>
      <c r="W3077" s="100"/>
      <c r="X3077" s="100"/>
      <c r="Y3077" s="100"/>
      <c r="Z3077" s="100"/>
    </row>
    <row r="3078" spans="1:26">
      <c r="A3078" s="100"/>
      <c r="B3078" s="100"/>
      <c r="C3078" s="100"/>
      <c r="D3078" s="100"/>
      <c r="E3078" s="100"/>
      <c r="F3078" s="100"/>
      <c r="G3078" s="100"/>
      <c r="H3078" s="100"/>
      <c r="I3078" s="100"/>
      <c r="J3078" s="100"/>
      <c r="K3078" s="100"/>
      <c r="L3078" s="100"/>
      <c r="M3078" s="100"/>
      <c r="N3078" s="100"/>
      <c r="O3078" s="100"/>
      <c r="P3078" s="100"/>
      <c r="Q3078" s="100"/>
      <c r="R3078" s="100"/>
      <c r="S3078" s="100"/>
      <c r="T3078" s="100"/>
      <c r="U3078" s="100"/>
      <c r="V3078" s="100"/>
      <c r="W3078" s="100"/>
      <c r="X3078" s="100"/>
      <c r="Y3078" s="100"/>
      <c r="Z3078" s="100"/>
    </row>
    <row r="3079" spans="1:26">
      <c r="A3079" s="100"/>
      <c r="B3079" s="100"/>
      <c r="C3079" s="100"/>
      <c r="D3079" s="100"/>
      <c r="E3079" s="100"/>
      <c r="F3079" s="100"/>
      <c r="G3079" s="100"/>
      <c r="H3079" s="100"/>
      <c r="I3079" s="100"/>
      <c r="J3079" s="100"/>
      <c r="K3079" s="100"/>
      <c r="L3079" s="100"/>
      <c r="M3079" s="100"/>
      <c r="N3079" s="100"/>
      <c r="O3079" s="100"/>
      <c r="P3079" s="100"/>
      <c r="Q3079" s="100"/>
      <c r="R3079" s="100"/>
      <c r="S3079" s="100"/>
      <c r="T3079" s="100"/>
      <c r="U3079" s="100"/>
      <c r="V3079" s="100"/>
      <c r="W3079" s="100"/>
      <c r="X3079" s="100"/>
      <c r="Y3079" s="100"/>
      <c r="Z3079" s="100"/>
    </row>
    <row r="3080" spans="1:26">
      <c r="A3080" s="100"/>
      <c r="B3080" s="100"/>
      <c r="C3080" s="100"/>
      <c r="D3080" s="100"/>
      <c r="E3080" s="100"/>
      <c r="F3080" s="100"/>
      <c r="G3080" s="100"/>
      <c r="H3080" s="100"/>
      <c r="I3080" s="100"/>
      <c r="J3080" s="100"/>
      <c r="K3080" s="100"/>
      <c r="L3080" s="100"/>
      <c r="M3080" s="100"/>
      <c r="N3080" s="100"/>
      <c r="O3080" s="100"/>
      <c r="P3080" s="100"/>
      <c r="Q3080" s="100"/>
      <c r="R3080" s="100"/>
      <c r="S3080" s="100"/>
      <c r="T3080" s="100"/>
      <c r="U3080" s="100"/>
      <c r="V3080" s="100"/>
      <c r="W3080" s="100"/>
      <c r="X3080" s="100"/>
      <c r="Y3080" s="100"/>
      <c r="Z3080" s="100"/>
    </row>
    <row r="3081" spans="1:26">
      <c r="A3081" s="100"/>
      <c r="B3081" s="100"/>
      <c r="C3081" s="100"/>
      <c r="D3081" s="100"/>
      <c r="E3081" s="100"/>
      <c r="F3081" s="100"/>
      <c r="G3081" s="100"/>
      <c r="H3081" s="100"/>
      <c r="I3081" s="100"/>
      <c r="J3081" s="100"/>
      <c r="K3081" s="100"/>
      <c r="L3081" s="100"/>
      <c r="M3081" s="100"/>
      <c r="N3081" s="100"/>
      <c r="O3081" s="100"/>
      <c r="P3081" s="100"/>
      <c r="Q3081" s="100"/>
      <c r="R3081" s="100"/>
      <c r="S3081" s="100"/>
      <c r="T3081" s="100"/>
      <c r="U3081" s="100"/>
      <c r="V3081" s="100"/>
      <c r="W3081" s="100"/>
      <c r="X3081" s="100"/>
      <c r="Y3081" s="100"/>
      <c r="Z3081" s="100"/>
    </row>
    <row r="3082" spans="1:26">
      <c r="A3082" s="100"/>
      <c r="B3082" s="100"/>
      <c r="C3082" s="100"/>
      <c r="D3082" s="100"/>
      <c r="E3082" s="100"/>
      <c r="F3082" s="100"/>
      <c r="G3082" s="100"/>
      <c r="H3082" s="100"/>
      <c r="I3082" s="100"/>
      <c r="J3082" s="100"/>
      <c r="K3082" s="100"/>
      <c r="L3082" s="100"/>
      <c r="M3082" s="100"/>
      <c r="N3082" s="100"/>
      <c r="O3082" s="100"/>
      <c r="P3082" s="100"/>
      <c r="Q3082" s="100"/>
      <c r="R3082" s="100"/>
      <c r="S3082" s="100"/>
      <c r="T3082" s="100"/>
      <c r="U3082" s="100"/>
      <c r="V3082" s="100"/>
      <c r="W3082" s="100"/>
      <c r="X3082" s="100"/>
      <c r="Y3082" s="100"/>
      <c r="Z3082" s="100"/>
    </row>
    <row r="3083" spans="1:26">
      <c r="A3083" s="100"/>
      <c r="B3083" s="100"/>
      <c r="C3083" s="100"/>
      <c r="D3083" s="100"/>
      <c r="E3083" s="100"/>
      <c r="F3083" s="100"/>
      <c r="G3083" s="100"/>
      <c r="H3083" s="100"/>
      <c r="I3083" s="100"/>
      <c r="J3083" s="100"/>
      <c r="K3083" s="100"/>
      <c r="L3083" s="100"/>
      <c r="M3083" s="100"/>
      <c r="N3083" s="100"/>
      <c r="O3083" s="100"/>
      <c r="P3083" s="100"/>
      <c r="Q3083" s="100"/>
      <c r="R3083" s="100"/>
      <c r="S3083" s="100"/>
      <c r="T3083" s="100"/>
      <c r="U3083" s="100"/>
      <c r="V3083" s="100"/>
      <c r="W3083" s="100"/>
      <c r="X3083" s="100"/>
      <c r="Y3083" s="100"/>
      <c r="Z3083" s="100"/>
    </row>
    <row r="3084" spans="1:26">
      <c r="A3084" s="100"/>
      <c r="B3084" s="100"/>
      <c r="C3084" s="100"/>
      <c r="D3084" s="100"/>
      <c r="E3084" s="100"/>
      <c r="F3084" s="100"/>
      <c r="G3084" s="100"/>
      <c r="H3084" s="100"/>
      <c r="I3084" s="100"/>
      <c r="J3084" s="100"/>
      <c r="K3084" s="100"/>
      <c r="L3084" s="100"/>
      <c r="M3084" s="100"/>
      <c r="N3084" s="100"/>
      <c r="O3084" s="100"/>
      <c r="P3084" s="100"/>
      <c r="Q3084" s="100"/>
      <c r="R3084" s="100"/>
      <c r="S3084" s="100"/>
      <c r="T3084" s="100"/>
      <c r="U3084" s="100"/>
      <c r="V3084" s="100"/>
      <c r="W3084" s="100"/>
      <c r="X3084" s="100"/>
      <c r="Y3084" s="100"/>
      <c r="Z3084" s="100"/>
    </row>
    <row r="3085" spans="1:26">
      <c r="A3085" s="100"/>
      <c r="B3085" s="100"/>
      <c r="C3085" s="100"/>
      <c r="D3085" s="100"/>
      <c r="E3085" s="100"/>
      <c r="F3085" s="100"/>
      <c r="G3085" s="100"/>
      <c r="H3085" s="100"/>
      <c r="I3085" s="100"/>
      <c r="J3085" s="100"/>
      <c r="K3085" s="100"/>
      <c r="L3085" s="100"/>
      <c r="M3085" s="100"/>
      <c r="N3085" s="100"/>
      <c r="O3085" s="100"/>
      <c r="P3085" s="100"/>
      <c r="Q3085" s="100"/>
      <c r="R3085" s="100"/>
      <c r="S3085" s="100"/>
      <c r="T3085" s="100"/>
      <c r="U3085" s="100"/>
      <c r="V3085" s="100"/>
      <c r="W3085" s="100"/>
      <c r="X3085" s="100"/>
      <c r="Y3085" s="100"/>
      <c r="Z3085" s="100"/>
    </row>
    <row r="3086" spans="1:26">
      <c r="A3086" s="100"/>
      <c r="B3086" s="100"/>
      <c r="C3086" s="100"/>
      <c r="D3086" s="100"/>
      <c r="E3086" s="100"/>
      <c r="F3086" s="100"/>
      <c r="G3086" s="100"/>
      <c r="H3086" s="100"/>
      <c r="I3086" s="100"/>
      <c r="J3086" s="100"/>
      <c r="K3086" s="100"/>
      <c r="L3086" s="100"/>
      <c r="M3086" s="100"/>
      <c r="N3086" s="100"/>
      <c r="O3086" s="100"/>
      <c r="P3086" s="100"/>
      <c r="Q3086" s="100"/>
      <c r="R3086" s="100"/>
      <c r="S3086" s="100"/>
      <c r="T3086" s="100"/>
      <c r="U3086" s="100"/>
      <c r="V3086" s="100"/>
      <c r="W3086" s="100"/>
      <c r="X3086" s="100"/>
      <c r="Y3086" s="100"/>
      <c r="Z3086" s="100"/>
    </row>
    <row r="3087" spans="1:26">
      <c r="A3087" s="100"/>
      <c r="B3087" s="100"/>
      <c r="C3087" s="100"/>
      <c r="D3087" s="100"/>
      <c r="E3087" s="100"/>
      <c r="F3087" s="100"/>
      <c r="G3087" s="100"/>
      <c r="H3087" s="100"/>
      <c r="I3087" s="100"/>
      <c r="J3087" s="100"/>
      <c r="K3087" s="100"/>
      <c r="L3087" s="100"/>
      <c r="M3087" s="100"/>
      <c r="N3087" s="100"/>
      <c r="O3087" s="100"/>
      <c r="P3087" s="100"/>
      <c r="Q3087" s="100"/>
      <c r="R3087" s="100"/>
      <c r="S3087" s="100"/>
      <c r="T3087" s="100"/>
      <c r="U3087" s="100"/>
      <c r="V3087" s="100"/>
      <c r="W3087" s="100"/>
      <c r="X3087" s="100"/>
      <c r="Y3087" s="100"/>
      <c r="Z3087" s="100"/>
    </row>
    <row r="3088" spans="1:26">
      <c r="A3088" s="100"/>
      <c r="B3088" s="100"/>
      <c r="C3088" s="100"/>
      <c r="D3088" s="100"/>
      <c r="E3088" s="100"/>
      <c r="F3088" s="100"/>
      <c r="G3088" s="100"/>
      <c r="H3088" s="100"/>
      <c r="I3088" s="100"/>
      <c r="J3088" s="100"/>
      <c r="K3088" s="100"/>
      <c r="L3088" s="100"/>
      <c r="M3088" s="100"/>
      <c r="N3088" s="100"/>
      <c r="O3088" s="100"/>
      <c r="P3088" s="100"/>
      <c r="Q3088" s="100"/>
      <c r="R3088" s="100"/>
      <c r="S3088" s="100"/>
      <c r="T3088" s="100"/>
      <c r="U3088" s="100"/>
      <c r="V3088" s="100"/>
      <c r="W3088" s="100"/>
      <c r="X3088" s="100"/>
      <c r="Y3088" s="100"/>
      <c r="Z3088" s="100"/>
    </row>
    <row r="3089" spans="1:26">
      <c r="A3089" s="100"/>
      <c r="B3089" s="100"/>
      <c r="C3089" s="100"/>
      <c r="D3089" s="100"/>
      <c r="E3089" s="100"/>
      <c r="F3089" s="100"/>
      <c r="G3089" s="100"/>
      <c r="H3089" s="100"/>
      <c r="I3089" s="100"/>
      <c r="J3089" s="100"/>
      <c r="K3089" s="100"/>
      <c r="L3089" s="100"/>
      <c r="M3089" s="100"/>
      <c r="N3089" s="100"/>
      <c r="O3089" s="100"/>
      <c r="P3089" s="100"/>
      <c r="Q3089" s="100"/>
      <c r="R3089" s="100"/>
      <c r="S3089" s="100"/>
      <c r="T3089" s="100"/>
      <c r="U3089" s="100"/>
      <c r="V3089" s="100"/>
      <c r="W3089" s="100"/>
      <c r="X3089" s="100"/>
      <c r="Y3089" s="100"/>
      <c r="Z3089" s="100"/>
    </row>
    <row r="3090" spans="1:26">
      <c r="A3090" s="100"/>
      <c r="B3090" s="100"/>
      <c r="C3090" s="100"/>
      <c r="D3090" s="100"/>
      <c r="E3090" s="100"/>
      <c r="F3090" s="100"/>
      <c r="G3090" s="100"/>
      <c r="H3090" s="100"/>
      <c r="I3090" s="100"/>
      <c r="J3090" s="100"/>
      <c r="K3090" s="100"/>
      <c r="L3090" s="100"/>
      <c r="M3090" s="100"/>
      <c r="N3090" s="100"/>
      <c r="O3090" s="100"/>
      <c r="P3090" s="100"/>
      <c r="Q3090" s="100"/>
      <c r="R3090" s="100"/>
      <c r="S3090" s="100"/>
      <c r="T3090" s="100"/>
      <c r="U3090" s="100"/>
      <c r="V3090" s="100"/>
      <c r="W3090" s="100"/>
      <c r="X3090" s="100"/>
      <c r="Y3090" s="100"/>
      <c r="Z3090" s="100"/>
    </row>
    <row r="3091" spans="1:26">
      <c r="A3091" s="100"/>
      <c r="B3091" s="100"/>
      <c r="C3091" s="100"/>
      <c r="D3091" s="100"/>
      <c r="E3091" s="100"/>
      <c r="F3091" s="100"/>
      <c r="G3091" s="100"/>
      <c r="H3091" s="100"/>
      <c r="I3091" s="100"/>
      <c r="J3091" s="100"/>
      <c r="K3091" s="100"/>
      <c r="L3091" s="100"/>
      <c r="M3091" s="100"/>
      <c r="N3091" s="100"/>
      <c r="O3091" s="100"/>
      <c r="P3091" s="100"/>
      <c r="Q3091" s="100"/>
      <c r="R3091" s="100"/>
      <c r="S3091" s="100"/>
      <c r="T3091" s="100"/>
      <c r="U3091" s="100"/>
      <c r="V3091" s="100"/>
      <c r="W3091" s="100"/>
      <c r="X3091" s="100"/>
      <c r="Y3091" s="100"/>
      <c r="Z3091" s="100"/>
    </row>
    <row r="3092" spans="1:26">
      <c r="A3092" s="100"/>
      <c r="B3092" s="100"/>
      <c r="C3092" s="100"/>
      <c r="D3092" s="100"/>
      <c r="E3092" s="100"/>
      <c r="F3092" s="100"/>
      <c r="G3092" s="100"/>
      <c r="H3092" s="100"/>
      <c r="I3092" s="100"/>
      <c r="J3092" s="100"/>
      <c r="K3092" s="100"/>
      <c r="L3092" s="100"/>
      <c r="M3092" s="100"/>
      <c r="N3092" s="100"/>
      <c r="O3092" s="100"/>
      <c r="P3092" s="100"/>
      <c r="Q3092" s="100"/>
      <c r="R3092" s="100"/>
      <c r="S3092" s="100"/>
      <c r="T3092" s="100"/>
      <c r="U3092" s="100"/>
      <c r="V3092" s="100"/>
      <c r="W3092" s="100"/>
      <c r="X3092" s="100"/>
      <c r="Y3092" s="100"/>
      <c r="Z3092" s="100"/>
    </row>
    <row r="3093" spans="1:26">
      <c r="A3093" s="100"/>
      <c r="B3093" s="100"/>
      <c r="C3093" s="100"/>
      <c r="D3093" s="100"/>
      <c r="E3093" s="100"/>
      <c r="F3093" s="100"/>
      <c r="G3093" s="100"/>
      <c r="H3093" s="100"/>
      <c r="I3093" s="100"/>
      <c r="J3093" s="100"/>
      <c r="K3093" s="100"/>
      <c r="L3093" s="100"/>
      <c r="M3093" s="100"/>
      <c r="N3093" s="100"/>
      <c r="O3093" s="100"/>
      <c r="P3093" s="100"/>
      <c r="Q3093" s="100"/>
      <c r="R3093" s="100"/>
      <c r="S3093" s="100"/>
      <c r="T3093" s="100"/>
      <c r="U3093" s="100"/>
      <c r="V3093" s="100"/>
      <c r="W3093" s="100"/>
      <c r="X3093" s="100"/>
      <c r="Y3093" s="100"/>
      <c r="Z3093" s="100"/>
    </row>
    <row r="3094" spans="1:26">
      <c r="A3094" s="100"/>
      <c r="B3094" s="100"/>
      <c r="C3094" s="100"/>
      <c r="D3094" s="100"/>
      <c r="E3094" s="100"/>
      <c r="F3094" s="100"/>
      <c r="G3094" s="100"/>
      <c r="H3094" s="100"/>
      <c r="I3094" s="100"/>
      <c r="J3094" s="100"/>
      <c r="K3094" s="100"/>
      <c r="L3094" s="100"/>
      <c r="M3094" s="100"/>
      <c r="N3094" s="100"/>
      <c r="O3094" s="100"/>
      <c r="P3094" s="100"/>
      <c r="Q3094" s="100"/>
      <c r="R3094" s="100"/>
      <c r="S3094" s="100"/>
      <c r="T3094" s="100"/>
      <c r="U3094" s="100"/>
      <c r="V3094" s="100"/>
      <c r="W3094" s="100"/>
      <c r="X3094" s="100"/>
      <c r="Y3094" s="100"/>
      <c r="Z3094" s="100"/>
    </row>
    <row r="3095" spans="1:26">
      <c r="A3095" s="100"/>
      <c r="B3095" s="100"/>
      <c r="C3095" s="100"/>
      <c r="D3095" s="100"/>
      <c r="E3095" s="100"/>
      <c r="F3095" s="100"/>
      <c r="G3095" s="100"/>
      <c r="H3095" s="100"/>
      <c r="I3095" s="100"/>
      <c r="J3095" s="100"/>
      <c r="K3095" s="100"/>
      <c r="L3095" s="100"/>
      <c r="M3095" s="100"/>
      <c r="N3095" s="100"/>
      <c r="O3095" s="100"/>
      <c r="P3095" s="100"/>
      <c r="Q3095" s="100"/>
      <c r="R3095" s="100"/>
      <c r="S3095" s="100"/>
      <c r="T3095" s="100"/>
      <c r="U3095" s="100"/>
      <c r="V3095" s="100"/>
      <c r="W3095" s="100"/>
      <c r="X3095" s="100"/>
      <c r="Y3095" s="100"/>
      <c r="Z3095" s="100"/>
    </row>
    <row r="3096" spans="1:26">
      <c r="A3096" s="100"/>
      <c r="B3096" s="100"/>
      <c r="C3096" s="100"/>
      <c r="D3096" s="100"/>
      <c r="E3096" s="100"/>
      <c r="F3096" s="100"/>
      <c r="G3096" s="100"/>
      <c r="H3096" s="100"/>
      <c r="I3096" s="100"/>
      <c r="J3096" s="100"/>
      <c r="K3096" s="100"/>
      <c r="L3096" s="100"/>
      <c r="M3096" s="100"/>
      <c r="N3096" s="100"/>
      <c r="O3096" s="100"/>
      <c r="P3096" s="100"/>
      <c r="Q3096" s="100"/>
      <c r="R3096" s="100"/>
      <c r="S3096" s="100"/>
      <c r="T3096" s="100"/>
      <c r="U3096" s="100"/>
      <c r="V3096" s="100"/>
      <c r="W3096" s="100"/>
      <c r="X3096" s="100"/>
      <c r="Y3096" s="100"/>
      <c r="Z3096" s="100"/>
    </row>
    <row r="3097" spans="1:26">
      <c r="A3097" s="100"/>
      <c r="B3097" s="100"/>
      <c r="C3097" s="100"/>
      <c r="D3097" s="100"/>
      <c r="E3097" s="100"/>
      <c r="F3097" s="100"/>
      <c r="G3097" s="100"/>
      <c r="H3097" s="100"/>
      <c r="I3097" s="100"/>
      <c r="J3097" s="100"/>
      <c r="K3097" s="100"/>
      <c r="L3097" s="100"/>
      <c r="M3097" s="100"/>
      <c r="N3097" s="100"/>
      <c r="O3097" s="100"/>
      <c r="P3097" s="100"/>
      <c r="Q3097" s="100"/>
      <c r="R3097" s="100"/>
      <c r="S3097" s="100"/>
      <c r="T3097" s="100"/>
      <c r="U3097" s="100"/>
      <c r="V3097" s="100"/>
      <c r="W3097" s="100"/>
      <c r="X3097" s="100"/>
      <c r="Y3097" s="100"/>
      <c r="Z3097" s="100"/>
    </row>
    <row r="3098" spans="1:26">
      <c r="A3098" s="100"/>
      <c r="B3098" s="100"/>
      <c r="C3098" s="100"/>
      <c r="D3098" s="100"/>
      <c r="E3098" s="100"/>
      <c r="F3098" s="100"/>
      <c r="G3098" s="100"/>
      <c r="H3098" s="100"/>
      <c r="I3098" s="100"/>
      <c r="J3098" s="100"/>
      <c r="K3098" s="100"/>
      <c r="L3098" s="100"/>
      <c r="M3098" s="100"/>
      <c r="N3098" s="100"/>
      <c r="O3098" s="100"/>
      <c r="P3098" s="100"/>
      <c r="Q3098" s="100"/>
      <c r="R3098" s="100"/>
      <c r="S3098" s="100"/>
      <c r="T3098" s="100"/>
      <c r="U3098" s="100"/>
      <c r="V3098" s="100"/>
      <c r="W3098" s="100"/>
      <c r="X3098" s="100"/>
      <c r="Y3098" s="100"/>
      <c r="Z3098" s="100"/>
    </row>
    <row r="3099" spans="1:26">
      <c r="A3099" s="100"/>
      <c r="B3099" s="100"/>
      <c r="C3099" s="100"/>
      <c r="D3099" s="100"/>
      <c r="E3099" s="100"/>
      <c r="F3099" s="100"/>
      <c r="G3099" s="100"/>
      <c r="H3099" s="100"/>
      <c r="I3099" s="100"/>
      <c r="J3099" s="100"/>
      <c r="K3099" s="100"/>
      <c r="L3099" s="100"/>
      <c r="M3099" s="100"/>
      <c r="N3099" s="100"/>
      <c r="O3099" s="100"/>
      <c r="P3099" s="100"/>
      <c r="Q3099" s="100"/>
      <c r="R3099" s="100"/>
      <c r="S3099" s="100"/>
      <c r="T3099" s="100"/>
      <c r="U3099" s="100"/>
      <c r="V3099" s="100"/>
      <c r="W3099" s="100"/>
      <c r="X3099" s="100"/>
      <c r="Y3099" s="100"/>
      <c r="Z3099" s="100"/>
    </row>
    <row r="3100" spans="1:26">
      <c r="A3100" s="100"/>
      <c r="B3100" s="100"/>
      <c r="C3100" s="100"/>
      <c r="D3100" s="100"/>
      <c r="E3100" s="100"/>
      <c r="F3100" s="100"/>
      <c r="G3100" s="100"/>
      <c r="H3100" s="100"/>
      <c r="I3100" s="100"/>
      <c r="J3100" s="100"/>
      <c r="K3100" s="100"/>
      <c r="L3100" s="100"/>
      <c r="M3100" s="100"/>
      <c r="N3100" s="100"/>
      <c r="O3100" s="100"/>
      <c r="P3100" s="100"/>
      <c r="Q3100" s="100"/>
      <c r="R3100" s="100"/>
      <c r="S3100" s="100"/>
      <c r="T3100" s="100"/>
      <c r="U3100" s="100"/>
      <c r="V3100" s="100"/>
      <c r="W3100" s="100"/>
      <c r="X3100" s="100"/>
      <c r="Y3100" s="100"/>
      <c r="Z3100" s="100"/>
    </row>
    <row r="3101" spans="1:26">
      <c r="A3101" s="100"/>
      <c r="B3101" s="100"/>
      <c r="C3101" s="100"/>
      <c r="D3101" s="100"/>
      <c r="E3101" s="100"/>
      <c r="F3101" s="100"/>
      <c r="G3101" s="100"/>
      <c r="H3101" s="100"/>
      <c r="I3101" s="100"/>
      <c r="J3101" s="100"/>
      <c r="K3101" s="100"/>
      <c r="L3101" s="100"/>
      <c r="M3101" s="100"/>
      <c r="N3101" s="100"/>
      <c r="O3101" s="100"/>
      <c r="P3101" s="100"/>
      <c r="Q3101" s="100"/>
      <c r="R3101" s="100"/>
      <c r="S3101" s="100"/>
      <c r="T3101" s="100"/>
      <c r="U3101" s="100"/>
      <c r="V3101" s="100"/>
      <c r="W3101" s="100"/>
      <c r="X3101" s="100"/>
      <c r="Y3101" s="100"/>
      <c r="Z3101" s="100"/>
    </row>
    <row r="3102" spans="1:26">
      <c r="A3102" s="100"/>
      <c r="B3102" s="100"/>
      <c r="C3102" s="100"/>
      <c r="D3102" s="100"/>
      <c r="E3102" s="100"/>
      <c r="F3102" s="100"/>
      <c r="G3102" s="100"/>
      <c r="H3102" s="100"/>
      <c r="I3102" s="100"/>
      <c r="J3102" s="100"/>
      <c r="K3102" s="100"/>
      <c r="L3102" s="100"/>
      <c r="M3102" s="100"/>
      <c r="N3102" s="100"/>
      <c r="O3102" s="100"/>
      <c r="P3102" s="100"/>
      <c r="Q3102" s="100"/>
      <c r="R3102" s="100"/>
      <c r="S3102" s="100"/>
      <c r="T3102" s="100"/>
      <c r="U3102" s="100"/>
      <c r="V3102" s="100"/>
      <c r="W3102" s="100"/>
      <c r="X3102" s="100"/>
      <c r="Y3102" s="100"/>
      <c r="Z3102" s="100"/>
    </row>
    <row r="3103" spans="1:26">
      <c r="A3103" s="100"/>
      <c r="B3103" s="100"/>
      <c r="C3103" s="100"/>
      <c r="D3103" s="100"/>
      <c r="E3103" s="100"/>
      <c r="F3103" s="100"/>
      <c r="G3103" s="100"/>
      <c r="H3103" s="100"/>
      <c r="I3103" s="100"/>
      <c r="J3103" s="100"/>
      <c r="K3103" s="100"/>
      <c r="L3103" s="100"/>
      <c r="M3103" s="100"/>
      <c r="N3103" s="100"/>
      <c r="O3103" s="100"/>
      <c r="P3103" s="100"/>
      <c r="Q3103" s="100"/>
      <c r="R3103" s="100"/>
      <c r="S3103" s="100"/>
      <c r="T3103" s="100"/>
      <c r="U3103" s="100"/>
      <c r="V3103" s="100"/>
      <c r="W3103" s="100"/>
      <c r="X3103" s="100"/>
      <c r="Y3103" s="100"/>
      <c r="Z3103" s="100"/>
    </row>
    <row r="3104" spans="1:26">
      <c r="A3104" s="100"/>
      <c r="B3104" s="100"/>
      <c r="C3104" s="100"/>
      <c r="D3104" s="100"/>
      <c r="E3104" s="100"/>
      <c r="F3104" s="100"/>
      <c r="G3104" s="100"/>
      <c r="H3104" s="100"/>
      <c r="I3104" s="100"/>
      <c r="J3104" s="100"/>
      <c r="K3104" s="100"/>
      <c r="L3104" s="100"/>
      <c r="M3104" s="100"/>
      <c r="N3104" s="100"/>
      <c r="O3104" s="100"/>
      <c r="P3104" s="100"/>
      <c r="Q3104" s="100"/>
      <c r="R3104" s="100"/>
      <c r="S3104" s="100"/>
      <c r="T3104" s="100"/>
      <c r="U3104" s="100"/>
      <c r="V3104" s="100"/>
      <c r="W3104" s="100"/>
      <c r="X3104" s="100"/>
      <c r="Y3104" s="100"/>
      <c r="Z3104" s="100"/>
    </row>
    <row r="3105" spans="1:26">
      <c r="A3105" s="100"/>
      <c r="B3105" s="100"/>
      <c r="C3105" s="100"/>
      <c r="D3105" s="100"/>
      <c r="E3105" s="100"/>
      <c r="F3105" s="100"/>
      <c r="G3105" s="100"/>
      <c r="H3105" s="100"/>
      <c r="I3105" s="100"/>
      <c r="J3105" s="100"/>
      <c r="K3105" s="100"/>
      <c r="L3105" s="100"/>
      <c r="M3105" s="100"/>
      <c r="N3105" s="100"/>
      <c r="O3105" s="100"/>
      <c r="P3105" s="100"/>
      <c r="Q3105" s="100"/>
      <c r="R3105" s="100"/>
      <c r="S3105" s="100"/>
      <c r="T3105" s="100"/>
      <c r="U3105" s="100"/>
      <c r="V3105" s="100"/>
      <c r="W3105" s="100"/>
      <c r="X3105" s="100"/>
      <c r="Y3105" s="100"/>
      <c r="Z3105" s="100"/>
    </row>
    <row r="3106" spans="1:26">
      <c r="A3106" s="100"/>
      <c r="B3106" s="100"/>
      <c r="C3106" s="100"/>
      <c r="D3106" s="100"/>
      <c r="E3106" s="100"/>
      <c r="F3106" s="100"/>
      <c r="G3106" s="100"/>
      <c r="H3106" s="100"/>
      <c r="I3106" s="100"/>
      <c r="J3106" s="100"/>
      <c r="K3106" s="100"/>
      <c r="L3106" s="100"/>
      <c r="M3106" s="100"/>
      <c r="N3106" s="100"/>
      <c r="O3106" s="100"/>
      <c r="P3106" s="100"/>
      <c r="Q3106" s="100"/>
      <c r="R3106" s="100"/>
      <c r="S3106" s="100"/>
      <c r="T3106" s="100"/>
      <c r="U3106" s="100"/>
      <c r="V3106" s="100"/>
      <c r="W3106" s="100"/>
      <c r="X3106" s="100"/>
      <c r="Y3106" s="100"/>
      <c r="Z3106" s="100"/>
    </row>
    <row r="3107" spans="1:26">
      <c r="A3107" s="100"/>
      <c r="B3107" s="100"/>
      <c r="C3107" s="100"/>
      <c r="D3107" s="100"/>
      <c r="E3107" s="100"/>
      <c r="F3107" s="100"/>
      <c r="G3107" s="100"/>
      <c r="H3107" s="100"/>
      <c r="I3107" s="100"/>
      <c r="J3107" s="100"/>
      <c r="K3107" s="100"/>
      <c r="L3107" s="100"/>
      <c r="M3107" s="100"/>
      <c r="N3107" s="100"/>
      <c r="O3107" s="100"/>
      <c r="P3107" s="100"/>
      <c r="Q3107" s="100"/>
      <c r="R3107" s="100"/>
      <c r="S3107" s="100"/>
      <c r="T3107" s="100"/>
      <c r="U3107" s="100"/>
      <c r="V3107" s="100"/>
      <c r="W3107" s="100"/>
      <c r="X3107" s="100"/>
      <c r="Y3107" s="100"/>
      <c r="Z3107" s="100"/>
    </row>
    <row r="3108" spans="1:26">
      <c r="A3108" s="100"/>
      <c r="B3108" s="100"/>
      <c r="C3108" s="100"/>
      <c r="D3108" s="100"/>
      <c r="E3108" s="100"/>
      <c r="F3108" s="100"/>
      <c r="G3108" s="100"/>
      <c r="H3108" s="100"/>
      <c r="I3108" s="100"/>
      <c r="J3108" s="100"/>
      <c r="K3108" s="100"/>
      <c r="L3108" s="100"/>
      <c r="M3108" s="100"/>
      <c r="N3108" s="100"/>
      <c r="O3108" s="100"/>
      <c r="P3108" s="100"/>
      <c r="Q3108" s="100"/>
      <c r="R3108" s="100"/>
      <c r="S3108" s="100"/>
      <c r="T3108" s="100"/>
      <c r="U3108" s="100"/>
      <c r="V3108" s="100"/>
      <c r="W3108" s="100"/>
      <c r="X3108" s="100"/>
      <c r="Y3108" s="100"/>
      <c r="Z3108" s="100"/>
    </row>
    <row r="3109" spans="1:26">
      <c r="A3109" s="100"/>
      <c r="B3109" s="100"/>
      <c r="C3109" s="100"/>
      <c r="D3109" s="100"/>
      <c r="E3109" s="100"/>
      <c r="F3109" s="100"/>
      <c r="G3109" s="100"/>
      <c r="H3109" s="100"/>
      <c r="I3109" s="100"/>
      <c r="J3109" s="100"/>
      <c r="K3109" s="100"/>
      <c r="L3109" s="100"/>
      <c r="M3109" s="100"/>
      <c r="N3109" s="100"/>
      <c r="O3109" s="100"/>
      <c r="P3109" s="100"/>
      <c r="Q3109" s="100"/>
      <c r="R3109" s="100"/>
      <c r="S3109" s="100"/>
      <c r="T3109" s="100"/>
      <c r="U3109" s="100"/>
      <c r="V3109" s="100"/>
      <c r="W3109" s="100"/>
      <c r="X3109" s="100"/>
      <c r="Y3109" s="100"/>
      <c r="Z3109" s="100"/>
    </row>
    <row r="3110" spans="1:26">
      <c r="A3110" s="100"/>
      <c r="B3110" s="100"/>
      <c r="C3110" s="100"/>
      <c r="D3110" s="100"/>
      <c r="E3110" s="100"/>
      <c r="F3110" s="100"/>
      <c r="G3110" s="100"/>
      <c r="H3110" s="100"/>
      <c r="I3110" s="100"/>
      <c r="J3110" s="100"/>
      <c r="K3110" s="100"/>
      <c r="L3110" s="100"/>
      <c r="M3110" s="100"/>
      <c r="N3110" s="100"/>
      <c r="O3110" s="100"/>
      <c r="P3110" s="100"/>
      <c r="Q3110" s="100"/>
      <c r="R3110" s="100"/>
      <c r="S3110" s="100"/>
      <c r="T3110" s="100"/>
      <c r="U3110" s="100"/>
      <c r="V3110" s="100"/>
      <c r="W3110" s="100"/>
      <c r="X3110" s="100"/>
      <c r="Y3110" s="100"/>
      <c r="Z3110" s="100"/>
    </row>
    <row r="3111" spans="1:26">
      <c r="A3111" s="100"/>
      <c r="B3111" s="100"/>
      <c r="C3111" s="100"/>
      <c r="D3111" s="100"/>
      <c r="E3111" s="100"/>
      <c r="F3111" s="100"/>
      <c r="G3111" s="100"/>
      <c r="H3111" s="100"/>
      <c r="I3111" s="100"/>
      <c r="J3111" s="100"/>
      <c r="K3111" s="100"/>
      <c r="L3111" s="100"/>
      <c r="M3111" s="100"/>
      <c r="N3111" s="100"/>
      <c r="O3111" s="100"/>
      <c r="P3111" s="100"/>
      <c r="Q3111" s="100"/>
      <c r="R3111" s="100"/>
      <c r="S3111" s="100"/>
      <c r="T3111" s="100"/>
      <c r="U3111" s="100"/>
      <c r="V3111" s="100"/>
      <c r="W3111" s="100"/>
      <c r="X3111" s="100"/>
      <c r="Y3111" s="100"/>
      <c r="Z3111" s="100"/>
    </row>
    <row r="3112" spans="1:26">
      <c r="A3112" s="100"/>
      <c r="B3112" s="100"/>
      <c r="C3112" s="100"/>
      <c r="D3112" s="100"/>
      <c r="E3112" s="100"/>
      <c r="F3112" s="100"/>
      <c r="G3112" s="100"/>
      <c r="H3112" s="100"/>
      <c r="I3112" s="100"/>
      <c r="J3112" s="100"/>
      <c r="K3112" s="100"/>
      <c r="L3112" s="100"/>
      <c r="M3112" s="100"/>
      <c r="N3112" s="100"/>
      <c r="O3112" s="100"/>
      <c r="P3112" s="100"/>
      <c r="Q3112" s="100"/>
      <c r="R3112" s="100"/>
      <c r="S3112" s="100"/>
      <c r="T3112" s="100"/>
      <c r="U3112" s="100"/>
      <c r="V3112" s="100"/>
      <c r="W3112" s="100"/>
      <c r="X3112" s="100"/>
      <c r="Y3112" s="100"/>
      <c r="Z3112" s="100"/>
    </row>
    <row r="3113" spans="1:26">
      <c r="A3113" s="100"/>
      <c r="B3113" s="100"/>
      <c r="C3113" s="100"/>
      <c r="D3113" s="100"/>
      <c r="E3113" s="100"/>
      <c r="F3113" s="100"/>
      <c r="G3113" s="100"/>
      <c r="H3113" s="100"/>
      <c r="I3113" s="100"/>
      <c r="J3113" s="100"/>
      <c r="K3113" s="100"/>
      <c r="L3113" s="100"/>
      <c r="M3113" s="100"/>
      <c r="N3113" s="100"/>
      <c r="O3113" s="100"/>
      <c r="P3113" s="100"/>
      <c r="Q3113" s="100"/>
      <c r="R3113" s="100"/>
      <c r="S3113" s="100"/>
      <c r="T3113" s="100"/>
      <c r="U3113" s="100"/>
      <c r="V3113" s="100"/>
      <c r="W3113" s="100"/>
      <c r="X3113" s="100"/>
      <c r="Y3113" s="100"/>
      <c r="Z3113" s="100"/>
    </row>
    <row r="3114" spans="1:26">
      <c r="A3114" s="100"/>
      <c r="B3114" s="100"/>
      <c r="C3114" s="100"/>
      <c r="D3114" s="100"/>
      <c r="E3114" s="100"/>
      <c r="F3114" s="100"/>
      <c r="G3114" s="100"/>
      <c r="H3114" s="100"/>
      <c r="I3114" s="100"/>
      <c r="J3114" s="100"/>
      <c r="K3114" s="100"/>
      <c r="L3114" s="100"/>
      <c r="M3114" s="100"/>
      <c r="N3114" s="100"/>
      <c r="O3114" s="100"/>
      <c r="P3114" s="100"/>
      <c r="Q3114" s="100"/>
      <c r="R3114" s="100"/>
      <c r="S3114" s="100"/>
      <c r="T3114" s="100"/>
      <c r="U3114" s="100"/>
      <c r="V3114" s="100"/>
      <c r="W3114" s="100"/>
      <c r="X3114" s="100"/>
      <c r="Y3114" s="100"/>
      <c r="Z3114" s="100"/>
    </row>
    <row r="3115" spans="1:26">
      <c r="A3115" s="100"/>
      <c r="B3115" s="100"/>
      <c r="C3115" s="100"/>
      <c r="D3115" s="100"/>
      <c r="E3115" s="100"/>
      <c r="F3115" s="100"/>
      <c r="G3115" s="100"/>
      <c r="H3115" s="100"/>
      <c r="I3115" s="100"/>
      <c r="J3115" s="100"/>
      <c r="K3115" s="100"/>
      <c r="L3115" s="100"/>
      <c r="M3115" s="100"/>
      <c r="N3115" s="100"/>
      <c r="O3115" s="100"/>
      <c r="P3115" s="100"/>
      <c r="Q3115" s="100"/>
      <c r="R3115" s="100"/>
      <c r="S3115" s="100"/>
      <c r="T3115" s="100"/>
      <c r="U3115" s="100"/>
      <c r="V3115" s="100"/>
      <c r="W3115" s="100"/>
      <c r="X3115" s="100"/>
      <c r="Y3115" s="100"/>
      <c r="Z3115" s="100"/>
    </row>
    <row r="3116" spans="1:26">
      <c r="A3116" s="100"/>
      <c r="B3116" s="100"/>
      <c r="C3116" s="100"/>
      <c r="D3116" s="100"/>
      <c r="E3116" s="100"/>
      <c r="F3116" s="100"/>
      <c r="G3116" s="100"/>
      <c r="H3116" s="100"/>
      <c r="I3116" s="100"/>
      <c r="J3116" s="100"/>
      <c r="K3116" s="100"/>
      <c r="L3116" s="100"/>
      <c r="M3116" s="100"/>
      <c r="N3116" s="100"/>
      <c r="O3116" s="100"/>
      <c r="P3116" s="100"/>
      <c r="Q3116" s="100"/>
      <c r="R3116" s="100"/>
      <c r="S3116" s="100"/>
      <c r="T3116" s="100"/>
      <c r="U3116" s="100"/>
      <c r="V3116" s="100"/>
      <c r="W3116" s="100"/>
      <c r="X3116" s="100"/>
      <c r="Y3116" s="100"/>
      <c r="Z3116" s="100"/>
    </row>
    <row r="3117" spans="1:26">
      <c r="A3117" s="100"/>
      <c r="B3117" s="100"/>
      <c r="C3117" s="100"/>
      <c r="D3117" s="100"/>
      <c r="E3117" s="100"/>
      <c r="F3117" s="100"/>
      <c r="G3117" s="100"/>
      <c r="H3117" s="100"/>
      <c r="I3117" s="100"/>
      <c r="J3117" s="100"/>
      <c r="K3117" s="100"/>
      <c r="L3117" s="100"/>
      <c r="M3117" s="100"/>
      <c r="N3117" s="100"/>
      <c r="O3117" s="100"/>
      <c r="P3117" s="100"/>
      <c r="Q3117" s="100"/>
      <c r="R3117" s="100"/>
      <c r="S3117" s="100"/>
      <c r="T3117" s="100"/>
      <c r="U3117" s="100"/>
      <c r="V3117" s="100"/>
      <c r="W3117" s="100"/>
      <c r="X3117" s="100"/>
      <c r="Y3117" s="100"/>
      <c r="Z3117" s="100"/>
    </row>
    <row r="3118" spans="1:26">
      <c r="A3118" s="100"/>
      <c r="B3118" s="100"/>
      <c r="C3118" s="100"/>
      <c r="D3118" s="100"/>
      <c r="E3118" s="100"/>
      <c r="F3118" s="100"/>
      <c r="G3118" s="100"/>
      <c r="H3118" s="100"/>
      <c r="I3118" s="100"/>
      <c r="J3118" s="100"/>
      <c r="K3118" s="100"/>
      <c r="L3118" s="100"/>
      <c r="M3118" s="100"/>
      <c r="N3118" s="100"/>
      <c r="O3118" s="100"/>
      <c r="P3118" s="100"/>
      <c r="Q3118" s="100"/>
      <c r="R3118" s="100"/>
      <c r="S3118" s="100"/>
      <c r="T3118" s="100"/>
      <c r="U3118" s="100"/>
      <c r="V3118" s="100"/>
      <c r="W3118" s="100"/>
      <c r="X3118" s="100"/>
      <c r="Y3118" s="100"/>
      <c r="Z3118" s="100"/>
    </row>
    <row r="3119" spans="1:26">
      <c r="A3119" s="100"/>
      <c r="B3119" s="100"/>
      <c r="C3119" s="100"/>
      <c r="D3119" s="100"/>
      <c r="E3119" s="100"/>
      <c r="F3119" s="100"/>
      <c r="G3119" s="100"/>
      <c r="H3119" s="100"/>
      <c r="I3119" s="100"/>
      <c r="J3119" s="100"/>
      <c r="K3119" s="100"/>
      <c r="L3119" s="100"/>
      <c r="M3119" s="100"/>
      <c r="N3119" s="100"/>
      <c r="O3119" s="100"/>
      <c r="P3119" s="100"/>
      <c r="Q3119" s="100"/>
      <c r="R3119" s="100"/>
      <c r="S3119" s="100"/>
      <c r="T3119" s="100"/>
      <c r="U3119" s="100"/>
      <c r="V3119" s="100"/>
      <c r="W3119" s="100"/>
      <c r="X3119" s="100"/>
      <c r="Y3119" s="100"/>
      <c r="Z3119" s="100"/>
    </row>
    <row r="3120" spans="1:26">
      <c r="A3120" s="100"/>
      <c r="B3120" s="100"/>
      <c r="C3120" s="100"/>
      <c r="D3120" s="100"/>
      <c r="E3120" s="100"/>
      <c r="F3120" s="100"/>
      <c r="G3120" s="100"/>
      <c r="H3120" s="100"/>
      <c r="I3120" s="100"/>
      <c r="J3120" s="100"/>
      <c r="K3120" s="100"/>
      <c r="L3120" s="100"/>
      <c r="M3120" s="100"/>
      <c r="N3120" s="100"/>
      <c r="O3120" s="100"/>
      <c r="P3120" s="100"/>
      <c r="Q3120" s="100"/>
      <c r="R3120" s="100"/>
      <c r="S3120" s="100"/>
      <c r="T3120" s="100"/>
      <c r="U3120" s="100"/>
      <c r="V3120" s="100"/>
      <c r="W3120" s="100"/>
      <c r="X3120" s="100"/>
      <c r="Y3120" s="100"/>
      <c r="Z3120" s="100"/>
    </row>
    <row r="3121" spans="1:26">
      <c r="A3121" s="100"/>
      <c r="B3121" s="100"/>
      <c r="C3121" s="100"/>
      <c r="D3121" s="100"/>
      <c r="E3121" s="100"/>
      <c r="F3121" s="100"/>
      <c r="G3121" s="100"/>
      <c r="H3121" s="100"/>
      <c r="I3121" s="100"/>
      <c r="J3121" s="100"/>
      <c r="K3121" s="100"/>
      <c r="L3121" s="100"/>
      <c r="M3121" s="100"/>
      <c r="N3121" s="100"/>
      <c r="O3121" s="100"/>
      <c r="P3121" s="100"/>
      <c r="Q3121" s="100"/>
      <c r="R3121" s="100"/>
      <c r="S3121" s="100"/>
      <c r="T3121" s="100"/>
      <c r="U3121" s="100"/>
      <c r="V3121" s="100"/>
      <c r="W3121" s="100"/>
      <c r="X3121" s="100"/>
      <c r="Y3121" s="100"/>
      <c r="Z3121" s="100"/>
    </row>
    <row r="3122" spans="1:26">
      <c r="A3122" s="100"/>
      <c r="B3122" s="100"/>
      <c r="C3122" s="100"/>
      <c r="D3122" s="100"/>
      <c r="E3122" s="100"/>
      <c r="F3122" s="100"/>
      <c r="G3122" s="100"/>
      <c r="H3122" s="100"/>
      <c r="I3122" s="100"/>
      <c r="J3122" s="100"/>
      <c r="K3122" s="100"/>
      <c r="L3122" s="100"/>
      <c r="M3122" s="100"/>
      <c r="N3122" s="100"/>
      <c r="O3122" s="100"/>
      <c r="P3122" s="100"/>
      <c r="Q3122" s="100"/>
      <c r="R3122" s="100"/>
      <c r="S3122" s="100"/>
      <c r="T3122" s="100"/>
      <c r="U3122" s="100"/>
      <c r="V3122" s="100"/>
      <c r="W3122" s="100"/>
      <c r="X3122" s="100"/>
      <c r="Y3122" s="100"/>
      <c r="Z3122" s="100"/>
    </row>
    <row r="3123" spans="1:26">
      <c r="A3123" s="100"/>
      <c r="B3123" s="100"/>
      <c r="C3123" s="100"/>
      <c r="D3123" s="100"/>
      <c r="E3123" s="100"/>
      <c r="F3123" s="100"/>
      <c r="G3123" s="100"/>
      <c r="H3123" s="100"/>
      <c r="I3123" s="100"/>
      <c r="J3123" s="100"/>
      <c r="K3123" s="100"/>
      <c r="L3123" s="100"/>
      <c r="M3123" s="100"/>
      <c r="N3123" s="100"/>
      <c r="O3123" s="100"/>
      <c r="P3123" s="100"/>
      <c r="Q3123" s="100"/>
      <c r="R3123" s="100"/>
      <c r="S3123" s="100"/>
      <c r="T3123" s="100"/>
      <c r="U3123" s="100"/>
      <c r="V3123" s="100"/>
      <c r="W3123" s="100"/>
      <c r="X3123" s="100"/>
      <c r="Y3123" s="100"/>
      <c r="Z3123" s="100"/>
    </row>
    <row r="3124" spans="1:26">
      <c r="A3124" s="100"/>
      <c r="B3124" s="100"/>
      <c r="C3124" s="100"/>
      <c r="D3124" s="100"/>
      <c r="E3124" s="100"/>
      <c r="F3124" s="100"/>
      <c r="G3124" s="100"/>
      <c r="H3124" s="100"/>
      <c r="I3124" s="100"/>
      <c r="J3124" s="100"/>
      <c r="K3124" s="100"/>
      <c r="L3124" s="100"/>
      <c r="M3124" s="100"/>
      <c r="N3124" s="100"/>
      <c r="O3124" s="100"/>
      <c r="P3124" s="100"/>
      <c r="Q3124" s="100"/>
      <c r="R3124" s="100"/>
      <c r="S3124" s="100"/>
      <c r="T3124" s="100"/>
      <c r="U3124" s="100"/>
      <c r="V3124" s="100"/>
      <c r="W3124" s="100"/>
      <c r="X3124" s="100"/>
      <c r="Y3124" s="100"/>
      <c r="Z3124" s="100"/>
    </row>
    <row r="3125" spans="1:26">
      <c r="A3125" s="100"/>
      <c r="B3125" s="100"/>
      <c r="C3125" s="100"/>
      <c r="D3125" s="100"/>
      <c r="E3125" s="100"/>
      <c r="F3125" s="100"/>
      <c r="G3125" s="100"/>
      <c r="H3125" s="100"/>
      <c r="I3125" s="100"/>
      <c r="J3125" s="100"/>
      <c r="K3125" s="100"/>
      <c r="L3125" s="100"/>
      <c r="M3125" s="100"/>
      <c r="N3125" s="100"/>
      <c r="O3125" s="100"/>
      <c r="P3125" s="100"/>
      <c r="Q3125" s="100"/>
      <c r="R3125" s="100"/>
      <c r="S3125" s="100"/>
      <c r="T3125" s="100"/>
      <c r="U3125" s="100"/>
      <c r="V3125" s="100"/>
      <c r="W3125" s="100"/>
      <c r="X3125" s="100"/>
      <c r="Y3125" s="100"/>
      <c r="Z3125" s="100"/>
    </row>
    <row r="3126" spans="1:26">
      <c r="A3126" s="100"/>
      <c r="B3126" s="100"/>
      <c r="C3126" s="100"/>
      <c r="D3126" s="100"/>
      <c r="E3126" s="100"/>
      <c r="F3126" s="100"/>
      <c r="G3126" s="100"/>
      <c r="H3126" s="100"/>
      <c r="I3126" s="100"/>
      <c r="J3126" s="100"/>
      <c r="K3126" s="100"/>
      <c r="L3126" s="100"/>
      <c r="M3126" s="100"/>
      <c r="N3126" s="100"/>
      <c r="O3126" s="100"/>
      <c r="P3126" s="100"/>
      <c r="Q3126" s="100"/>
      <c r="R3126" s="100"/>
      <c r="S3126" s="100"/>
      <c r="T3126" s="100"/>
      <c r="U3126" s="100"/>
      <c r="V3126" s="100"/>
      <c r="W3126" s="100"/>
      <c r="X3126" s="100"/>
      <c r="Y3126" s="100"/>
      <c r="Z3126" s="100"/>
    </row>
    <row r="3127" spans="1:26">
      <c r="A3127" s="100"/>
      <c r="B3127" s="100"/>
      <c r="C3127" s="100"/>
      <c r="D3127" s="100"/>
      <c r="E3127" s="100"/>
      <c r="F3127" s="100"/>
      <c r="G3127" s="100"/>
      <c r="H3127" s="100"/>
      <c r="I3127" s="100"/>
      <c r="J3127" s="100"/>
      <c r="K3127" s="100"/>
      <c r="L3127" s="100"/>
      <c r="M3127" s="100"/>
      <c r="N3127" s="100"/>
      <c r="O3127" s="100"/>
      <c r="P3127" s="100"/>
      <c r="Q3127" s="100"/>
      <c r="R3127" s="100"/>
      <c r="S3127" s="100"/>
      <c r="T3127" s="100"/>
      <c r="U3127" s="100"/>
      <c r="V3127" s="100"/>
      <c r="W3127" s="100"/>
      <c r="X3127" s="100"/>
      <c r="Y3127" s="100"/>
      <c r="Z3127" s="100"/>
    </row>
    <row r="3128" spans="1:26">
      <c r="A3128" s="100"/>
      <c r="B3128" s="100"/>
      <c r="C3128" s="100"/>
      <c r="D3128" s="100"/>
      <c r="E3128" s="100"/>
      <c r="F3128" s="100"/>
      <c r="G3128" s="100"/>
      <c r="H3128" s="100"/>
      <c r="I3128" s="100"/>
      <c r="J3128" s="100"/>
      <c r="K3128" s="100"/>
      <c r="L3128" s="100"/>
      <c r="M3128" s="100"/>
      <c r="N3128" s="100"/>
      <c r="O3128" s="100"/>
      <c r="P3128" s="100"/>
      <c r="Q3128" s="100"/>
      <c r="R3128" s="100"/>
      <c r="S3128" s="100"/>
      <c r="T3128" s="100"/>
      <c r="U3128" s="100"/>
      <c r="V3128" s="100"/>
      <c r="W3128" s="100"/>
      <c r="X3128" s="100"/>
      <c r="Y3128" s="100"/>
      <c r="Z3128" s="100"/>
    </row>
    <row r="3129" spans="1:26">
      <c r="A3129" s="100"/>
      <c r="B3129" s="100"/>
      <c r="C3129" s="100"/>
      <c r="D3129" s="100"/>
      <c r="E3129" s="100"/>
      <c r="F3129" s="100"/>
      <c r="G3129" s="100"/>
      <c r="H3129" s="100"/>
      <c r="I3129" s="100"/>
      <c r="J3129" s="100"/>
      <c r="K3129" s="100"/>
      <c r="L3129" s="100"/>
      <c r="M3129" s="100"/>
      <c r="N3129" s="100"/>
      <c r="O3129" s="100"/>
      <c r="P3129" s="100"/>
      <c r="Q3129" s="100"/>
      <c r="R3129" s="100"/>
      <c r="S3129" s="100"/>
      <c r="T3129" s="100"/>
      <c r="U3129" s="100"/>
      <c r="V3129" s="100"/>
      <c r="W3129" s="100"/>
      <c r="X3129" s="100"/>
      <c r="Y3129" s="100"/>
      <c r="Z3129" s="100"/>
    </row>
    <row r="3130" spans="1:26">
      <c r="A3130" s="100"/>
      <c r="B3130" s="100"/>
      <c r="C3130" s="100"/>
      <c r="D3130" s="100"/>
      <c r="E3130" s="100"/>
      <c r="F3130" s="100"/>
      <c r="G3130" s="100"/>
      <c r="H3130" s="100"/>
      <c r="I3130" s="100"/>
      <c r="J3130" s="100"/>
      <c r="K3130" s="100"/>
      <c r="L3130" s="100"/>
      <c r="M3130" s="100"/>
      <c r="N3130" s="100"/>
      <c r="O3130" s="100"/>
      <c r="P3130" s="100"/>
      <c r="Q3130" s="100"/>
      <c r="R3130" s="100"/>
      <c r="S3130" s="100"/>
      <c r="T3130" s="100"/>
      <c r="U3130" s="100"/>
      <c r="V3130" s="100"/>
      <c r="W3130" s="100"/>
      <c r="X3130" s="100"/>
      <c r="Y3130" s="100"/>
      <c r="Z3130" s="100"/>
    </row>
    <row r="3131" spans="1:26">
      <c r="A3131" s="100"/>
      <c r="B3131" s="100"/>
      <c r="C3131" s="100"/>
      <c r="D3131" s="100"/>
      <c r="E3131" s="100"/>
      <c r="F3131" s="100"/>
      <c r="G3131" s="100"/>
      <c r="H3131" s="100"/>
      <c r="I3131" s="100"/>
      <c r="J3131" s="100"/>
      <c r="K3131" s="100"/>
      <c r="L3131" s="100"/>
      <c r="M3131" s="100"/>
      <c r="N3131" s="100"/>
      <c r="O3131" s="100"/>
      <c r="P3131" s="100"/>
      <c r="Q3131" s="100"/>
      <c r="R3131" s="100"/>
      <c r="S3131" s="100"/>
      <c r="T3131" s="100"/>
      <c r="U3131" s="100"/>
      <c r="V3131" s="100"/>
      <c r="W3131" s="100"/>
      <c r="X3131" s="100"/>
      <c r="Y3131" s="100"/>
      <c r="Z3131" s="100"/>
    </row>
    <row r="3132" spans="1:26">
      <c r="A3132" s="100"/>
      <c r="B3132" s="100"/>
      <c r="C3132" s="100"/>
      <c r="D3132" s="100"/>
      <c r="E3132" s="100"/>
      <c r="F3132" s="100"/>
      <c r="G3132" s="100"/>
      <c r="H3132" s="100"/>
      <c r="I3132" s="100"/>
      <c r="J3132" s="100"/>
      <c r="K3132" s="100"/>
      <c r="L3132" s="100"/>
      <c r="M3132" s="100"/>
      <c r="N3132" s="100"/>
      <c r="O3132" s="100"/>
      <c r="P3132" s="100"/>
      <c r="Q3132" s="100"/>
      <c r="R3132" s="100"/>
      <c r="S3132" s="100"/>
      <c r="T3132" s="100"/>
      <c r="U3132" s="100"/>
      <c r="V3132" s="100"/>
      <c r="W3132" s="100"/>
      <c r="X3132" s="100"/>
      <c r="Y3132" s="100"/>
      <c r="Z3132" s="100"/>
    </row>
    <row r="3133" spans="1:26">
      <c r="A3133" s="100"/>
      <c r="B3133" s="100"/>
      <c r="C3133" s="100"/>
      <c r="D3133" s="100"/>
      <c r="E3133" s="100"/>
      <c r="F3133" s="100"/>
      <c r="G3133" s="100"/>
      <c r="H3133" s="100"/>
      <c r="I3133" s="100"/>
      <c r="J3133" s="100"/>
      <c r="K3133" s="100"/>
      <c r="L3133" s="100"/>
      <c r="M3133" s="100"/>
      <c r="N3133" s="100"/>
      <c r="O3133" s="100"/>
      <c r="P3133" s="100"/>
      <c r="Q3133" s="100"/>
      <c r="R3133" s="100"/>
      <c r="S3133" s="100"/>
      <c r="T3133" s="100"/>
      <c r="U3133" s="100"/>
      <c r="V3133" s="100"/>
      <c r="W3133" s="100"/>
      <c r="X3133" s="100"/>
      <c r="Y3133" s="100"/>
      <c r="Z3133" s="100"/>
    </row>
    <row r="3134" spans="1:26">
      <c r="A3134" s="100"/>
      <c r="B3134" s="100"/>
      <c r="C3134" s="100"/>
      <c r="D3134" s="100"/>
      <c r="E3134" s="100"/>
      <c r="F3134" s="100"/>
      <c r="G3134" s="100"/>
      <c r="H3134" s="100"/>
      <c r="I3134" s="100"/>
      <c r="J3134" s="100"/>
      <c r="K3134" s="100"/>
      <c r="L3134" s="100"/>
      <c r="M3134" s="100"/>
      <c r="N3134" s="100"/>
      <c r="O3134" s="100"/>
      <c r="P3134" s="100"/>
      <c r="Q3134" s="100"/>
      <c r="R3134" s="100"/>
      <c r="S3134" s="100"/>
      <c r="T3134" s="100"/>
      <c r="U3134" s="100"/>
      <c r="V3134" s="100"/>
      <c r="W3134" s="100"/>
      <c r="X3134" s="100"/>
      <c r="Y3134" s="100"/>
      <c r="Z3134" s="100"/>
    </row>
    <row r="3135" spans="1:26">
      <c r="A3135" s="100"/>
      <c r="B3135" s="100"/>
      <c r="C3135" s="100"/>
      <c r="D3135" s="100"/>
      <c r="E3135" s="100"/>
      <c r="F3135" s="100"/>
      <c r="G3135" s="100"/>
      <c r="H3135" s="100"/>
      <c r="I3135" s="100"/>
      <c r="J3135" s="100"/>
      <c r="K3135" s="100"/>
      <c r="L3135" s="100"/>
      <c r="M3135" s="100"/>
      <c r="N3135" s="100"/>
      <c r="O3135" s="100"/>
      <c r="P3135" s="100"/>
      <c r="Q3135" s="100"/>
      <c r="R3135" s="100"/>
      <c r="S3135" s="100"/>
      <c r="T3135" s="100"/>
      <c r="U3135" s="100"/>
      <c r="V3135" s="100"/>
      <c r="W3135" s="100"/>
      <c r="X3135" s="100"/>
      <c r="Y3135" s="100"/>
      <c r="Z3135" s="100"/>
    </row>
    <row r="3136" spans="1:26">
      <c r="A3136" s="100"/>
      <c r="B3136" s="100"/>
      <c r="C3136" s="100"/>
      <c r="D3136" s="100"/>
      <c r="E3136" s="100"/>
      <c r="F3136" s="100"/>
      <c r="G3136" s="100"/>
      <c r="H3136" s="100"/>
      <c r="I3136" s="100"/>
      <c r="J3136" s="100"/>
      <c r="K3136" s="100"/>
      <c r="L3136" s="100"/>
      <c r="M3136" s="100"/>
      <c r="N3136" s="100"/>
      <c r="O3136" s="100"/>
      <c r="P3136" s="100"/>
      <c r="Q3136" s="100"/>
      <c r="R3136" s="100"/>
      <c r="S3136" s="100"/>
      <c r="T3136" s="100"/>
      <c r="U3136" s="100"/>
      <c r="V3136" s="100"/>
      <c r="W3136" s="100"/>
      <c r="X3136" s="100"/>
      <c r="Y3136" s="100"/>
      <c r="Z3136" s="100"/>
    </row>
    <row r="3137" spans="1:26">
      <c r="A3137" s="100"/>
      <c r="B3137" s="100"/>
      <c r="C3137" s="100"/>
      <c r="D3137" s="100"/>
      <c r="E3137" s="100"/>
      <c r="F3137" s="100"/>
      <c r="G3137" s="100"/>
      <c r="H3137" s="100"/>
      <c r="I3137" s="100"/>
      <c r="J3137" s="100"/>
      <c r="K3137" s="100"/>
      <c r="L3137" s="100"/>
      <c r="M3137" s="100"/>
      <c r="N3137" s="100"/>
      <c r="O3137" s="100"/>
      <c r="P3137" s="100"/>
      <c r="Q3137" s="100"/>
      <c r="R3137" s="100"/>
      <c r="S3137" s="100"/>
      <c r="T3137" s="100"/>
      <c r="U3137" s="100"/>
      <c r="V3137" s="100"/>
      <c r="W3137" s="100"/>
      <c r="X3137" s="100"/>
      <c r="Y3137" s="100"/>
      <c r="Z3137" s="100"/>
    </row>
    <row r="3138" spans="1:26">
      <c r="A3138" s="100"/>
      <c r="B3138" s="100"/>
      <c r="C3138" s="100"/>
      <c r="D3138" s="100"/>
      <c r="E3138" s="100"/>
      <c r="F3138" s="100"/>
      <c r="G3138" s="100"/>
      <c r="H3138" s="100"/>
      <c r="I3138" s="100"/>
      <c r="J3138" s="100"/>
      <c r="K3138" s="100"/>
      <c r="L3138" s="100"/>
      <c r="M3138" s="100"/>
      <c r="N3138" s="100"/>
      <c r="O3138" s="100"/>
      <c r="P3138" s="100"/>
      <c r="Q3138" s="100"/>
      <c r="R3138" s="100"/>
      <c r="S3138" s="100"/>
      <c r="T3138" s="100"/>
      <c r="U3138" s="100"/>
      <c r="V3138" s="100"/>
      <c r="W3138" s="100"/>
      <c r="X3138" s="100"/>
      <c r="Y3138" s="100"/>
      <c r="Z3138" s="100"/>
    </row>
    <row r="3139" spans="1:26">
      <c r="A3139" s="100"/>
      <c r="B3139" s="100"/>
      <c r="C3139" s="100"/>
      <c r="D3139" s="100"/>
      <c r="E3139" s="100"/>
      <c r="F3139" s="100"/>
      <c r="G3139" s="100"/>
      <c r="H3139" s="100"/>
      <c r="I3139" s="100"/>
      <c r="J3139" s="100"/>
      <c r="K3139" s="100"/>
      <c r="L3139" s="100"/>
      <c r="M3139" s="100"/>
      <c r="N3139" s="100"/>
      <c r="O3139" s="100"/>
      <c r="P3139" s="100"/>
      <c r="Q3139" s="100"/>
      <c r="R3139" s="100"/>
      <c r="S3139" s="100"/>
      <c r="T3139" s="100"/>
      <c r="U3139" s="100"/>
      <c r="V3139" s="100"/>
      <c r="W3139" s="100"/>
      <c r="X3139" s="100"/>
      <c r="Y3139" s="100"/>
      <c r="Z3139" s="100"/>
    </row>
    <row r="3140" spans="1:26">
      <c r="A3140" s="100"/>
      <c r="B3140" s="100"/>
      <c r="C3140" s="100"/>
      <c r="D3140" s="100"/>
      <c r="E3140" s="100"/>
      <c r="F3140" s="100"/>
      <c r="G3140" s="100"/>
      <c r="H3140" s="100"/>
      <c r="I3140" s="100"/>
      <c r="J3140" s="100"/>
      <c r="K3140" s="100"/>
      <c r="L3140" s="100"/>
      <c r="M3140" s="100"/>
      <c r="N3140" s="100"/>
      <c r="O3140" s="100"/>
      <c r="P3140" s="100"/>
      <c r="Q3140" s="100"/>
      <c r="R3140" s="100"/>
      <c r="S3140" s="100"/>
      <c r="T3140" s="100"/>
      <c r="U3140" s="100"/>
      <c r="V3140" s="100"/>
      <c r="W3140" s="100"/>
      <c r="X3140" s="100"/>
      <c r="Y3140" s="100"/>
      <c r="Z3140" s="100"/>
    </row>
    <row r="3141" spans="1:26">
      <c r="A3141" s="100"/>
      <c r="B3141" s="100"/>
      <c r="C3141" s="100"/>
      <c r="D3141" s="100"/>
      <c r="E3141" s="100"/>
      <c r="F3141" s="100"/>
      <c r="G3141" s="100"/>
      <c r="H3141" s="100"/>
      <c r="I3141" s="100"/>
      <c r="J3141" s="100"/>
      <c r="K3141" s="100"/>
      <c r="L3141" s="100"/>
      <c r="M3141" s="100"/>
      <c r="N3141" s="100"/>
      <c r="O3141" s="100"/>
      <c r="P3141" s="100"/>
      <c r="Q3141" s="100"/>
      <c r="R3141" s="100"/>
      <c r="S3141" s="100"/>
      <c r="T3141" s="100"/>
      <c r="U3141" s="100"/>
      <c r="V3141" s="100"/>
      <c r="W3141" s="100"/>
      <c r="X3141" s="100"/>
      <c r="Y3141" s="100"/>
      <c r="Z3141" s="100"/>
    </row>
    <row r="3142" spans="1:26">
      <c r="A3142" s="100"/>
      <c r="B3142" s="100"/>
      <c r="C3142" s="100"/>
      <c r="D3142" s="100"/>
      <c r="E3142" s="100"/>
      <c r="F3142" s="100"/>
      <c r="G3142" s="100"/>
      <c r="H3142" s="100"/>
      <c r="I3142" s="100"/>
      <c r="J3142" s="100"/>
      <c r="K3142" s="100"/>
      <c r="L3142" s="100"/>
      <c r="M3142" s="100"/>
      <c r="N3142" s="100"/>
      <c r="O3142" s="100"/>
      <c r="P3142" s="100"/>
      <c r="Q3142" s="100"/>
      <c r="R3142" s="100"/>
      <c r="S3142" s="100"/>
      <c r="T3142" s="100"/>
      <c r="U3142" s="100"/>
      <c r="V3142" s="100"/>
      <c r="W3142" s="100"/>
      <c r="X3142" s="100"/>
      <c r="Y3142" s="100"/>
      <c r="Z3142" s="100"/>
    </row>
    <row r="3143" spans="1:26">
      <c r="A3143" s="100"/>
      <c r="B3143" s="100"/>
      <c r="C3143" s="100"/>
      <c r="D3143" s="100"/>
      <c r="E3143" s="100"/>
      <c r="F3143" s="100"/>
      <c r="G3143" s="100"/>
      <c r="H3143" s="100"/>
      <c r="I3143" s="100"/>
      <c r="J3143" s="100"/>
      <c r="K3143" s="100"/>
      <c r="L3143" s="100"/>
      <c r="M3143" s="100"/>
      <c r="N3143" s="100"/>
      <c r="O3143" s="100"/>
      <c r="P3143" s="100"/>
      <c r="Q3143" s="100"/>
      <c r="R3143" s="100"/>
      <c r="S3143" s="100"/>
      <c r="T3143" s="100"/>
      <c r="U3143" s="100"/>
      <c r="V3143" s="100"/>
      <c r="W3143" s="100"/>
      <c r="X3143" s="100"/>
      <c r="Y3143" s="100"/>
      <c r="Z3143" s="100"/>
    </row>
    <row r="3144" spans="1:26">
      <c r="A3144" s="100"/>
      <c r="B3144" s="100"/>
      <c r="C3144" s="100"/>
      <c r="D3144" s="100"/>
      <c r="E3144" s="100"/>
      <c r="F3144" s="100"/>
      <c r="G3144" s="100"/>
      <c r="H3144" s="100"/>
      <c r="I3144" s="100"/>
      <c r="J3144" s="100"/>
      <c r="K3144" s="100"/>
      <c r="L3144" s="100"/>
      <c r="M3144" s="100"/>
      <c r="N3144" s="100"/>
      <c r="O3144" s="100"/>
      <c r="P3144" s="100"/>
      <c r="Q3144" s="100"/>
      <c r="R3144" s="100"/>
      <c r="S3144" s="100"/>
      <c r="T3144" s="100"/>
      <c r="U3144" s="100"/>
      <c r="V3144" s="100"/>
      <c r="W3144" s="100"/>
      <c r="X3144" s="100"/>
      <c r="Y3144" s="100"/>
      <c r="Z3144" s="100"/>
    </row>
    <row r="3145" spans="1:26">
      <c r="A3145" s="100"/>
      <c r="B3145" s="100"/>
      <c r="C3145" s="100"/>
      <c r="D3145" s="100"/>
      <c r="E3145" s="100"/>
      <c r="F3145" s="100"/>
      <c r="G3145" s="100"/>
      <c r="H3145" s="100"/>
      <c r="I3145" s="100"/>
      <c r="J3145" s="100"/>
      <c r="K3145" s="100"/>
      <c r="L3145" s="100"/>
      <c r="M3145" s="100"/>
      <c r="N3145" s="100"/>
      <c r="O3145" s="100"/>
      <c r="P3145" s="100"/>
      <c r="Q3145" s="100"/>
      <c r="R3145" s="100"/>
      <c r="S3145" s="100"/>
      <c r="T3145" s="100"/>
      <c r="U3145" s="100"/>
      <c r="V3145" s="100"/>
      <c r="W3145" s="100"/>
      <c r="X3145" s="100"/>
      <c r="Y3145" s="100"/>
      <c r="Z3145" s="100"/>
    </row>
    <row r="3146" spans="1:26">
      <c r="A3146" s="100"/>
      <c r="B3146" s="100"/>
      <c r="C3146" s="100"/>
      <c r="D3146" s="100"/>
      <c r="E3146" s="100"/>
      <c r="F3146" s="100"/>
      <c r="G3146" s="100"/>
      <c r="H3146" s="100"/>
      <c r="I3146" s="100"/>
      <c r="J3146" s="100"/>
      <c r="K3146" s="100"/>
      <c r="L3146" s="100"/>
      <c r="M3146" s="100"/>
      <c r="N3146" s="100"/>
      <c r="O3146" s="100"/>
      <c r="P3146" s="100"/>
      <c r="Q3146" s="100"/>
      <c r="R3146" s="100"/>
      <c r="S3146" s="100"/>
      <c r="T3146" s="100"/>
      <c r="U3146" s="100"/>
      <c r="V3146" s="100"/>
      <c r="W3146" s="100"/>
      <c r="X3146" s="100"/>
      <c r="Y3146" s="100"/>
      <c r="Z3146" s="100"/>
    </row>
    <row r="3147" spans="1:26">
      <c r="A3147" s="100"/>
      <c r="B3147" s="100"/>
      <c r="C3147" s="100"/>
      <c r="D3147" s="100"/>
      <c r="E3147" s="100"/>
      <c r="F3147" s="100"/>
      <c r="G3147" s="100"/>
      <c r="H3147" s="100"/>
      <c r="I3147" s="100"/>
      <c r="J3147" s="100"/>
      <c r="K3147" s="100"/>
      <c r="L3147" s="100"/>
      <c r="M3147" s="100"/>
      <c r="N3147" s="100"/>
      <c r="O3147" s="100"/>
      <c r="P3147" s="100"/>
      <c r="Q3147" s="100"/>
      <c r="R3147" s="100"/>
      <c r="S3147" s="100"/>
      <c r="T3147" s="100"/>
      <c r="U3147" s="100"/>
      <c r="V3147" s="100"/>
      <c r="W3147" s="100"/>
      <c r="X3147" s="100"/>
      <c r="Y3147" s="100"/>
      <c r="Z3147" s="100"/>
    </row>
    <row r="3148" spans="1:26">
      <c r="A3148" s="100"/>
      <c r="B3148" s="100"/>
      <c r="C3148" s="100"/>
      <c r="D3148" s="100"/>
      <c r="E3148" s="100"/>
      <c r="F3148" s="100"/>
      <c r="G3148" s="100"/>
      <c r="H3148" s="100"/>
      <c r="I3148" s="100"/>
      <c r="J3148" s="100"/>
      <c r="K3148" s="100"/>
      <c r="L3148" s="100"/>
      <c r="M3148" s="100"/>
      <c r="N3148" s="100"/>
      <c r="O3148" s="100"/>
      <c r="P3148" s="100"/>
      <c r="Q3148" s="100"/>
      <c r="R3148" s="100"/>
      <c r="S3148" s="100"/>
      <c r="T3148" s="100"/>
      <c r="U3148" s="100"/>
      <c r="V3148" s="100"/>
      <c r="W3148" s="100"/>
      <c r="X3148" s="100"/>
      <c r="Y3148" s="100"/>
      <c r="Z3148" s="100"/>
    </row>
    <row r="3149" spans="1:26">
      <c r="A3149" s="100"/>
      <c r="B3149" s="100"/>
      <c r="C3149" s="100"/>
      <c r="D3149" s="100"/>
      <c r="E3149" s="100"/>
      <c r="F3149" s="100"/>
      <c r="G3149" s="100"/>
      <c r="H3149" s="100"/>
      <c r="I3149" s="100"/>
      <c r="J3149" s="100"/>
      <c r="K3149" s="100"/>
      <c r="L3149" s="100"/>
      <c r="M3149" s="100"/>
      <c r="N3149" s="100"/>
      <c r="O3149" s="100"/>
      <c r="P3149" s="100"/>
      <c r="Q3149" s="100"/>
      <c r="R3149" s="100"/>
      <c r="S3149" s="100"/>
      <c r="T3149" s="100"/>
      <c r="U3149" s="100"/>
      <c r="V3149" s="100"/>
      <c r="W3149" s="100"/>
      <c r="X3149" s="100"/>
      <c r="Y3149" s="100"/>
      <c r="Z3149" s="100"/>
    </row>
    <row r="3150" spans="1:26">
      <c r="A3150" s="100"/>
      <c r="B3150" s="100"/>
      <c r="C3150" s="100"/>
      <c r="D3150" s="100"/>
      <c r="E3150" s="100"/>
      <c r="F3150" s="100"/>
      <c r="G3150" s="100"/>
      <c r="H3150" s="100"/>
      <c r="I3150" s="100"/>
      <c r="J3150" s="100"/>
      <c r="K3150" s="100"/>
      <c r="L3150" s="100"/>
      <c r="M3150" s="100"/>
      <c r="N3150" s="100"/>
      <c r="O3150" s="100"/>
      <c r="P3150" s="100"/>
      <c r="Q3150" s="100"/>
      <c r="R3150" s="100"/>
      <c r="S3150" s="100"/>
      <c r="T3150" s="100"/>
      <c r="U3150" s="100"/>
      <c r="V3150" s="100"/>
      <c r="W3150" s="100"/>
      <c r="X3150" s="100"/>
      <c r="Y3150" s="100"/>
      <c r="Z3150" s="100"/>
    </row>
    <row r="3151" spans="1:26">
      <c r="A3151" s="100"/>
      <c r="B3151" s="100"/>
      <c r="C3151" s="100"/>
      <c r="D3151" s="100"/>
      <c r="E3151" s="100"/>
      <c r="F3151" s="100"/>
      <c r="G3151" s="100"/>
      <c r="H3151" s="100"/>
      <c r="I3151" s="100"/>
      <c r="J3151" s="100"/>
      <c r="K3151" s="100"/>
      <c r="L3151" s="100"/>
      <c r="M3151" s="100"/>
      <c r="N3151" s="100"/>
      <c r="O3151" s="100"/>
      <c r="P3151" s="100"/>
      <c r="Q3151" s="100"/>
      <c r="R3151" s="100"/>
      <c r="S3151" s="100"/>
      <c r="T3151" s="100"/>
      <c r="U3151" s="100"/>
      <c r="V3151" s="100"/>
      <c r="W3151" s="100"/>
      <c r="X3151" s="100"/>
      <c r="Y3151" s="100"/>
      <c r="Z3151" s="100"/>
    </row>
    <row r="3152" spans="1:26">
      <c r="A3152" s="100"/>
      <c r="B3152" s="100"/>
      <c r="C3152" s="100"/>
      <c r="D3152" s="100"/>
      <c r="E3152" s="100"/>
      <c r="F3152" s="100"/>
      <c r="G3152" s="100"/>
      <c r="H3152" s="100"/>
      <c r="I3152" s="100"/>
      <c r="J3152" s="100"/>
      <c r="K3152" s="100"/>
      <c r="L3152" s="100"/>
      <c r="M3152" s="100"/>
      <c r="N3152" s="100"/>
      <c r="O3152" s="100"/>
      <c r="P3152" s="100"/>
      <c r="Q3152" s="100"/>
      <c r="R3152" s="100"/>
      <c r="S3152" s="100"/>
      <c r="T3152" s="100"/>
      <c r="U3152" s="100"/>
      <c r="V3152" s="100"/>
      <c r="W3152" s="100"/>
      <c r="X3152" s="100"/>
      <c r="Y3152" s="100"/>
      <c r="Z3152" s="100"/>
    </row>
    <row r="3153" spans="1:26">
      <c r="A3153" s="100"/>
      <c r="B3153" s="100"/>
      <c r="C3153" s="100"/>
      <c r="D3153" s="100"/>
      <c r="E3153" s="100"/>
      <c r="F3153" s="100"/>
      <c r="G3153" s="100"/>
      <c r="H3153" s="100"/>
      <c r="I3153" s="100"/>
      <c r="J3153" s="100"/>
      <c r="K3153" s="100"/>
      <c r="L3153" s="100"/>
      <c r="M3153" s="100"/>
      <c r="N3153" s="100"/>
      <c r="O3153" s="100"/>
      <c r="P3153" s="100"/>
      <c r="Q3153" s="100"/>
      <c r="R3153" s="100"/>
      <c r="S3153" s="100"/>
      <c r="T3153" s="100"/>
      <c r="U3153" s="100"/>
      <c r="V3153" s="100"/>
      <c r="W3153" s="100"/>
      <c r="X3153" s="100"/>
      <c r="Y3153" s="100"/>
      <c r="Z3153" s="100"/>
    </row>
    <row r="3154" spans="1:26">
      <c r="A3154" s="100"/>
      <c r="B3154" s="100"/>
      <c r="C3154" s="100"/>
      <c r="D3154" s="100"/>
      <c r="E3154" s="100"/>
      <c r="F3154" s="100"/>
      <c r="G3154" s="100"/>
      <c r="H3154" s="100"/>
      <c r="I3154" s="100"/>
      <c r="J3154" s="100"/>
      <c r="K3154" s="100"/>
      <c r="L3154" s="100"/>
      <c r="M3154" s="100"/>
      <c r="N3154" s="100"/>
      <c r="O3154" s="100"/>
      <c r="P3154" s="100"/>
      <c r="Q3154" s="100"/>
      <c r="R3154" s="100"/>
      <c r="S3154" s="100"/>
      <c r="T3154" s="100"/>
      <c r="U3154" s="100"/>
      <c r="V3154" s="100"/>
      <c r="W3154" s="100"/>
      <c r="X3154" s="100"/>
      <c r="Y3154" s="100"/>
      <c r="Z3154" s="100"/>
    </row>
    <row r="3155" spans="1:26">
      <c r="A3155" s="100"/>
      <c r="B3155" s="100"/>
      <c r="C3155" s="100"/>
      <c r="D3155" s="100"/>
      <c r="E3155" s="100"/>
      <c r="F3155" s="100"/>
      <c r="G3155" s="100"/>
      <c r="H3155" s="100"/>
      <c r="I3155" s="100"/>
      <c r="J3155" s="100"/>
      <c r="K3155" s="100"/>
      <c r="L3155" s="100"/>
      <c r="M3155" s="100"/>
      <c r="N3155" s="100"/>
      <c r="O3155" s="100"/>
      <c r="P3155" s="100"/>
      <c r="Q3155" s="100"/>
      <c r="R3155" s="100"/>
      <c r="S3155" s="100"/>
      <c r="T3155" s="100"/>
      <c r="U3155" s="100"/>
      <c r="V3155" s="100"/>
      <c r="W3155" s="100"/>
      <c r="X3155" s="100"/>
      <c r="Y3155" s="100"/>
      <c r="Z3155" s="100"/>
    </row>
    <row r="3156" spans="1:26">
      <c r="A3156" s="100"/>
      <c r="B3156" s="100"/>
      <c r="C3156" s="100"/>
      <c r="D3156" s="100"/>
      <c r="E3156" s="100"/>
      <c r="F3156" s="100"/>
      <c r="G3156" s="100"/>
      <c r="H3156" s="100"/>
      <c r="I3156" s="100"/>
      <c r="J3156" s="100"/>
      <c r="K3156" s="100"/>
      <c r="L3156" s="100"/>
      <c r="M3156" s="100"/>
      <c r="N3156" s="100"/>
      <c r="O3156" s="100"/>
      <c r="P3156" s="100"/>
      <c r="Q3156" s="100"/>
      <c r="R3156" s="100"/>
      <c r="S3156" s="100"/>
      <c r="T3156" s="100"/>
      <c r="U3156" s="100"/>
      <c r="V3156" s="100"/>
      <c r="W3156" s="100"/>
      <c r="X3156" s="100"/>
      <c r="Y3156" s="100"/>
      <c r="Z3156" s="100"/>
    </row>
    <row r="3157" spans="1:26">
      <c r="A3157" s="100"/>
      <c r="B3157" s="100"/>
      <c r="C3157" s="100"/>
      <c r="D3157" s="100"/>
      <c r="E3157" s="100"/>
      <c r="F3157" s="100"/>
      <c r="G3157" s="100"/>
      <c r="H3157" s="100"/>
      <c r="I3157" s="100"/>
      <c r="J3157" s="100"/>
      <c r="K3157" s="100"/>
      <c r="L3157" s="100"/>
      <c r="M3157" s="100"/>
      <c r="N3157" s="100"/>
      <c r="O3157" s="100"/>
      <c r="P3157" s="100"/>
      <c r="Q3157" s="100"/>
      <c r="R3157" s="100"/>
      <c r="S3157" s="100"/>
      <c r="T3157" s="100"/>
      <c r="U3157" s="100"/>
      <c r="V3157" s="100"/>
      <c r="W3157" s="100"/>
      <c r="X3157" s="100"/>
      <c r="Y3157" s="100"/>
      <c r="Z3157" s="100"/>
    </row>
    <row r="3158" spans="1:26">
      <c r="A3158" s="100"/>
      <c r="B3158" s="100"/>
      <c r="C3158" s="100"/>
      <c r="D3158" s="100"/>
      <c r="E3158" s="100"/>
      <c r="F3158" s="100"/>
      <c r="G3158" s="100"/>
      <c r="H3158" s="100"/>
      <c r="I3158" s="100"/>
      <c r="J3158" s="100"/>
      <c r="K3158" s="100"/>
      <c r="L3158" s="100"/>
      <c r="M3158" s="100"/>
      <c r="N3158" s="100"/>
      <c r="O3158" s="100"/>
      <c r="P3158" s="100"/>
      <c r="Q3158" s="100"/>
      <c r="R3158" s="100"/>
      <c r="S3158" s="100"/>
      <c r="T3158" s="100"/>
      <c r="U3158" s="100"/>
      <c r="V3158" s="100"/>
      <c r="W3158" s="100"/>
      <c r="X3158" s="100"/>
      <c r="Y3158" s="100"/>
      <c r="Z3158" s="100"/>
    </row>
    <row r="3159" spans="1:26">
      <c r="A3159" s="100"/>
      <c r="B3159" s="100"/>
      <c r="C3159" s="100"/>
      <c r="D3159" s="100"/>
      <c r="E3159" s="100"/>
      <c r="F3159" s="100"/>
      <c r="G3159" s="100"/>
      <c r="H3159" s="100"/>
      <c r="I3159" s="100"/>
      <c r="J3159" s="100"/>
      <c r="K3159" s="100"/>
      <c r="L3159" s="100"/>
      <c r="M3159" s="100"/>
      <c r="N3159" s="100"/>
      <c r="O3159" s="100"/>
      <c r="P3159" s="100"/>
      <c r="Q3159" s="100"/>
      <c r="R3159" s="100"/>
      <c r="S3159" s="100"/>
      <c r="T3159" s="100"/>
      <c r="U3159" s="100"/>
      <c r="V3159" s="100"/>
      <c r="W3159" s="100"/>
      <c r="X3159" s="100"/>
      <c r="Y3159" s="100"/>
      <c r="Z3159" s="100"/>
    </row>
    <row r="3160" spans="1:26">
      <c r="A3160" s="100"/>
      <c r="B3160" s="100"/>
      <c r="C3160" s="100"/>
      <c r="D3160" s="100"/>
      <c r="E3160" s="100"/>
      <c r="F3160" s="100"/>
      <c r="G3160" s="100"/>
      <c r="H3160" s="100"/>
      <c r="I3160" s="100"/>
      <c r="J3160" s="100"/>
      <c r="K3160" s="100"/>
      <c r="L3160" s="100"/>
      <c r="M3160" s="100"/>
      <c r="N3160" s="100"/>
      <c r="O3160" s="100"/>
      <c r="P3160" s="100"/>
      <c r="Q3160" s="100"/>
      <c r="R3160" s="100"/>
      <c r="S3160" s="100"/>
      <c r="T3160" s="100"/>
      <c r="U3160" s="100"/>
      <c r="V3160" s="100"/>
      <c r="W3160" s="100"/>
      <c r="X3160" s="100"/>
      <c r="Y3160" s="100"/>
      <c r="Z3160" s="100"/>
    </row>
    <row r="3161" spans="1:26">
      <c r="A3161" s="100"/>
      <c r="B3161" s="100"/>
      <c r="C3161" s="100"/>
      <c r="D3161" s="100"/>
      <c r="E3161" s="100"/>
      <c r="F3161" s="100"/>
      <c r="G3161" s="100"/>
      <c r="H3161" s="100"/>
      <c r="I3161" s="100"/>
      <c r="J3161" s="100"/>
      <c r="K3161" s="100"/>
      <c r="L3161" s="100"/>
      <c r="M3161" s="100"/>
      <c r="N3161" s="100"/>
      <c r="O3161" s="100"/>
      <c r="P3161" s="100"/>
      <c r="Q3161" s="100"/>
      <c r="R3161" s="100"/>
      <c r="S3161" s="100"/>
      <c r="T3161" s="100"/>
      <c r="U3161" s="100"/>
      <c r="V3161" s="100"/>
      <c r="W3161" s="100"/>
      <c r="X3161" s="100"/>
      <c r="Y3161" s="100"/>
      <c r="Z3161" s="100"/>
    </row>
    <row r="3162" spans="1:26">
      <c r="A3162" s="100"/>
      <c r="B3162" s="100"/>
      <c r="C3162" s="100"/>
      <c r="D3162" s="100"/>
      <c r="E3162" s="100"/>
      <c r="F3162" s="100"/>
      <c r="G3162" s="100"/>
      <c r="H3162" s="100"/>
      <c r="I3162" s="100"/>
      <c r="J3162" s="100"/>
      <c r="K3162" s="100"/>
      <c r="L3162" s="100"/>
      <c r="M3162" s="100"/>
      <c r="N3162" s="100"/>
      <c r="O3162" s="100"/>
      <c r="P3162" s="100"/>
      <c r="Q3162" s="100"/>
      <c r="R3162" s="100"/>
      <c r="S3162" s="100"/>
      <c r="T3162" s="100"/>
      <c r="U3162" s="100"/>
      <c r="V3162" s="100"/>
      <c r="W3162" s="100"/>
      <c r="X3162" s="100"/>
      <c r="Y3162" s="100"/>
      <c r="Z3162" s="100"/>
    </row>
    <row r="3163" spans="1:26">
      <c r="A3163" s="100"/>
      <c r="B3163" s="100"/>
      <c r="C3163" s="100"/>
      <c r="D3163" s="100"/>
      <c r="E3163" s="100"/>
      <c r="F3163" s="100"/>
      <c r="G3163" s="100"/>
      <c r="H3163" s="100"/>
      <c r="I3163" s="100"/>
      <c r="J3163" s="100"/>
      <c r="K3163" s="100"/>
      <c r="L3163" s="100"/>
      <c r="M3163" s="100"/>
      <c r="N3163" s="100"/>
      <c r="O3163" s="100"/>
      <c r="P3163" s="100"/>
      <c r="Q3163" s="100"/>
      <c r="R3163" s="100"/>
      <c r="S3163" s="100"/>
      <c r="T3163" s="100"/>
      <c r="U3163" s="100"/>
      <c r="V3163" s="100"/>
      <c r="W3163" s="100"/>
      <c r="X3163" s="100"/>
      <c r="Y3163" s="100"/>
      <c r="Z3163" s="100"/>
    </row>
    <row r="3164" spans="1:26">
      <c r="A3164" s="100"/>
      <c r="B3164" s="100"/>
      <c r="C3164" s="100"/>
      <c r="D3164" s="100"/>
      <c r="E3164" s="100"/>
      <c r="F3164" s="100"/>
      <c r="G3164" s="100"/>
      <c r="H3164" s="100"/>
      <c r="I3164" s="100"/>
      <c r="J3164" s="100"/>
      <c r="K3164" s="100"/>
      <c r="L3164" s="100"/>
      <c r="M3164" s="100"/>
      <c r="N3164" s="100"/>
      <c r="O3164" s="100"/>
      <c r="P3164" s="100"/>
      <c r="Q3164" s="100"/>
      <c r="R3164" s="100"/>
      <c r="S3164" s="100"/>
      <c r="T3164" s="100"/>
      <c r="U3164" s="100"/>
      <c r="V3164" s="100"/>
      <c r="W3164" s="100"/>
      <c r="X3164" s="100"/>
      <c r="Y3164" s="100"/>
      <c r="Z3164" s="100"/>
    </row>
    <row r="3165" spans="1:26">
      <c r="A3165" s="100"/>
      <c r="B3165" s="100"/>
      <c r="C3165" s="100"/>
      <c r="D3165" s="100"/>
      <c r="E3165" s="100"/>
      <c r="F3165" s="100"/>
      <c r="G3165" s="100"/>
      <c r="H3165" s="100"/>
      <c r="I3165" s="100"/>
      <c r="J3165" s="100"/>
      <c r="K3165" s="100"/>
      <c r="L3165" s="100"/>
      <c r="M3165" s="100"/>
      <c r="N3165" s="100"/>
      <c r="O3165" s="100"/>
      <c r="P3165" s="100"/>
      <c r="Q3165" s="100"/>
      <c r="R3165" s="100"/>
      <c r="S3165" s="100"/>
      <c r="T3165" s="100"/>
      <c r="U3165" s="100"/>
      <c r="V3165" s="100"/>
      <c r="W3165" s="100"/>
      <c r="X3165" s="100"/>
      <c r="Y3165" s="100"/>
      <c r="Z3165" s="100"/>
    </row>
    <row r="3166" spans="1:26">
      <c r="A3166" s="100"/>
      <c r="B3166" s="100"/>
      <c r="C3166" s="100"/>
      <c r="D3166" s="100"/>
      <c r="E3166" s="100"/>
      <c r="F3166" s="100"/>
      <c r="G3166" s="100"/>
      <c r="H3166" s="100"/>
      <c r="I3166" s="100"/>
      <c r="J3166" s="100"/>
      <c r="K3166" s="100"/>
      <c r="L3166" s="100"/>
      <c r="M3166" s="100"/>
      <c r="N3166" s="100"/>
      <c r="O3166" s="100"/>
      <c r="P3166" s="100"/>
      <c r="Q3166" s="100"/>
      <c r="R3166" s="100"/>
      <c r="S3166" s="100"/>
      <c r="T3166" s="100"/>
      <c r="U3166" s="100"/>
      <c r="V3166" s="100"/>
      <c r="W3166" s="100"/>
      <c r="X3166" s="100"/>
      <c r="Y3166" s="100"/>
      <c r="Z3166" s="100"/>
    </row>
    <row r="3167" spans="1:26">
      <c r="A3167" s="100"/>
      <c r="B3167" s="100"/>
      <c r="C3167" s="100"/>
      <c r="D3167" s="100"/>
      <c r="E3167" s="100"/>
      <c r="F3167" s="100"/>
      <c r="G3167" s="100"/>
      <c r="H3167" s="100"/>
      <c r="I3167" s="100"/>
      <c r="J3167" s="100"/>
      <c r="K3167" s="100"/>
      <c r="L3167" s="100"/>
      <c r="M3167" s="100"/>
      <c r="N3167" s="100"/>
      <c r="O3167" s="100"/>
      <c r="P3167" s="100"/>
      <c r="Q3167" s="100"/>
      <c r="R3167" s="100"/>
      <c r="S3167" s="100"/>
      <c r="T3167" s="100"/>
      <c r="U3167" s="100"/>
      <c r="V3167" s="100"/>
      <c r="W3167" s="100"/>
      <c r="X3167" s="100"/>
      <c r="Y3167" s="100"/>
      <c r="Z3167" s="100"/>
    </row>
    <row r="3168" spans="1:26">
      <c r="A3168" s="100"/>
      <c r="B3168" s="100"/>
      <c r="C3168" s="100"/>
      <c r="D3168" s="100"/>
      <c r="E3168" s="100"/>
      <c r="F3168" s="100"/>
      <c r="G3168" s="100"/>
      <c r="H3168" s="100"/>
      <c r="I3168" s="100"/>
      <c r="J3168" s="100"/>
      <c r="K3168" s="100"/>
      <c r="L3168" s="100"/>
      <c r="M3168" s="100"/>
      <c r="N3168" s="100"/>
      <c r="O3168" s="100"/>
      <c r="P3168" s="100"/>
      <c r="Q3168" s="100"/>
      <c r="R3168" s="100"/>
      <c r="S3168" s="100"/>
      <c r="T3168" s="100"/>
      <c r="U3168" s="100"/>
      <c r="V3168" s="100"/>
      <c r="W3168" s="100"/>
      <c r="X3168" s="100"/>
      <c r="Y3168" s="100"/>
      <c r="Z3168" s="100"/>
    </row>
    <row r="3169" spans="1:26">
      <c r="A3169" s="100"/>
      <c r="B3169" s="100"/>
      <c r="C3169" s="100"/>
      <c r="D3169" s="100"/>
      <c r="E3169" s="100"/>
      <c r="F3169" s="100"/>
      <c r="G3169" s="100"/>
      <c r="H3169" s="100"/>
      <c r="I3169" s="100"/>
      <c r="J3169" s="100"/>
      <c r="K3169" s="100"/>
      <c r="L3169" s="100"/>
      <c r="M3169" s="100"/>
      <c r="N3169" s="100"/>
      <c r="O3169" s="100"/>
      <c r="P3169" s="100"/>
      <c r="Q3169" s="100"/>
      <c r="R3169" s="100"/>
      <c r="S3169" s="100"/>
      <c r="T3169" s="100"/>
      <c r="U3169" s="100"/>
      <c r="V3169" s="100"/>
      <c r="W3169" s="100"/>
      <c r="X3169" s="100"/>
      <c r="Y3169" s="100"/>
      <c r="Z3169" s="100"/>
    </row>
    <row r="3170" spans="1:26">
      <c r="A3170" s="100"/>
      <c r="B3170" s="100"/>
      <c r="C3170" s="100"/>
      <c r="D3170" s="100"/>
      <c r="E3170" s="100"/>
      <c r="F3170" s="100"/>
      <c r="G3170" s="100"/>
      <c r="H3170" s="100"/>
      <c r="I3170" s="100"/>
      <c r="J3170" s="100"/>
      <c r="K3170" s="100"/>
      <c r="L3170" s="100"/>
      <c r="M3170" s="100"/>
      <c r="N3170" s="100"/>
      <c r="O3170" s="100"/>
      <c r="P3170" s="100"/>
      <c r="Q3170" s="100"/>
      <c r="R3170" s="100"/>
      <c r="S3170" s="100"/>
      <c r="T3170" s="100"/>
      <c r="U3170" s="100"/>
      <c r="V3170" s="100"/>
      <c r="W3170" s="100"/>
      <c r="X3170" s="100"/>
      <c r="Y3170" s="100"/>
      <c r="Z3170" s="100"/>
    </row>
    <row r="3171" spans="1:26">
      <c r="A3171" s="100"/>
      <c r="B3171" s="100"/>
      <c r="C3171" s="100"/>
      <c r="D3171" s="100"/>
      <c r="E3171" s="100"/>
      <c r="F3171" s="100"/>
      <c r="G3171" s="100"/>
      <c r="H3171" s="100"/>
      <c r="I3171" s="100"/>
      <c r="J3171" s="100"/>
      <c r="K3171" s="100"/>
      <c r="L3171" s="100"/>
      <c r="M3171" s="100"/>
      <c r="N3171" s="100"/>
      <c r="O3171" s="100"/>
      <c r="P3171" s="100"/>
      <c r="Q3171" s="100"/>
      <c r="R3171" s="100"/>
      <c r="S3171" s="100"/>
      <c r="T3171" s="100"/>
      <c r="U3171" s="100"/>
      <c r="V3171" s="100"/>
      <c r="W3171" s="100"/>
      <c r="X3171" s="100"/>
      <c r="Y3171" s="100"/>
      <c r="Z3171" s="100"/>
    </row>
    <row r="3172" spans="1:26">
      <c r="A3172" s="100"/>
      <c r="B3172" s="100"/>
      <c r="C3172" s="100"/>
      <c r="D3172" s="100"/>
      <c r="E3172" s="100"/>
      <c r="F3172" s="100"/>
      <c r="G3172" s="100"/>
      <c r="H3172" s="100"/>
      <c r="I3172" s="100"/>
      <c r="J3172" s="100"/>
      <c r="K3172" s="100"/>
      <c r="L3172" s="100"/>
      <c r="M3172" s="100"/>
      <c r="N3172" s="100"/>
      <c r="O3172" s="100"/>
      <c r="P3172" s="100"/>
      <c r="Q3172" s="100"/>
      <c r="R3172" s="100"/>
      <c r="S3172" s="100"/>
      <c r="T3172" s="100"/>
      <c r="U3172" s="100"/>
      <c r="V3172" s="100"/>
      <c r="W3172" s="100"/>
      <c r="X3172" s="100"/>
      <c r="Y3172" s="100"/>
      <c r="Z3172" s="100"/>
    </row>
    <row r="3173" spans="1:26">
      <c r="A3173" s="100"/>
      <c r="B3173" s="100"/>
      <c r="C3173" s="100"/>
      <c r="D3173" s="100"/>
      <c r="E3173" s="100"/>
      <c r="F3173" s="100"/>
      <c r="G3173" s="100"/>
      <c r="H3173" s="100"/>
      <c r="I3173" s="100"/>
      <c r="J3173" s="100"/>
      <c r="K3173" s="100"/>
      <c r="L3173" s="100"/>
      <c r="M3173" s="100"/>
      <c r="N3173" s="100"/>
      <c r="O3173" s="100"/>
      <c r="P3173" s="100"/>
      <c r="Q3173" s="100"/>
      <c r="R3173" s="100"/>
      <c r="S3173" s="100"/>
      <c r="T3173" s="100"/>
      <c r="U3173" s="100"/>
      <c r="V3173" s="100"/>
      <c r="W3173" s="100"/>
      <c r="X3173" s="100"/>
      <c r="Y3173" s="100"/>
      <c r="Z3173" s="100"/>
    </row>
    <row r="3174" spans="1:26">
      <c r="A3174" s="100"/>
      <c r="B3174" s="100"/>
      <c r="C3174" s="100"/>
      <c r="D3174" s="100"/>
      <c r="E3174" s="100"/>
      <c r="F3174" s="100"/>
      <c r="G3174" s="100"/>
      <c r="H3174" s="100"/>
      <c r="I3174" s="100"/>
      <c r="J3174" s="100"/>
      <c r="K3174" s="100"/>
      <c r="L3174" s="100"/>
      <c r="M3174" s="100"/>
      <c r="N3174" s="100"/>
      <c r="O3174" s="100"/>
      <c r="P3174" s="100"/>
      <c r="Q3174" s="100"/>
      <c r="R3174" s="100"/>
      <c r="S3174" s="100"/>
      <c r="T3174" s="100"/>
      <c r="U3174" s="100"/>
      <c r="V3174" s="100"/>
      <c r="W3174" s="100"/>
      <c r="X3174" s="100"/>
      <c r="Y3174" s="100"/>
      <c r="Z3174" s="100"/>
    </row>
    <row r="3175" spans="1:26">
      <c r="A3175" s="100"/>
      <c r="B3175" s="100"/>
      <c r="C3175" s="100"/>
      <c r="D3175" s="100"/>
      <c r="E3175" s="100"/>
      <c r="F3175" s="100"/>
      <c r="G3175" s="100"/>
      <c r="H3175" s="100"/>
      <c r="I3175" s="100"/>
      <c r="J3175" s="100"/>
      <c r="K3175" s="100"/>
      <c r="L3175" s="100"/>
      <c r="M3175" s="100"/>
      <c r="N3175" s="100"/>
      <c r="O3175" s="100"/>
      <c r="P3175" s="100"/>
      <c r="Q3175" s="100"/>
      <c r="R3175" s="100"/>
      <c r="S3175" s="100"/>
      <c r="T3175" s="100"/>
      <c r="U3175" s="100"/>
      <c r="V3175" s="100"/>
      <c r="W3175" s="100"/>
      <c r="X3175" s="100"/>
      <c r="Y3175" s="100"/>
      <c r="Z3175" s="100"/>
    </row>
    <row r="3176" spans="1:26">
      <c r="A3176" s="100"/>
      <c r="B3176" s="100"/>
      <c r="C3176" s="100"/>
      <c r="D3176" s="100"/>
      <c r="E3176" s="100"/>
      <c r="F3176" s="100"/>
      <c r="G3176" s="100"/>
      <c r="H3176" s="100"/>
      <c r="I3176" s="100"/>
      <c r="J3176" s="100"/>
      <c r="K3176" s="100"/>
      <c r="L3176" s="100"/>
      <c r="M3176" s="100"/>
      <c r="N3176" s="100"/>
      <c r="O3176" s="100"/>
      <c r="P3176" s="100"/>
      <c r="Q3176" s="100"/>
      <c r="R3176" s="100"/>
      <c r="S3176" s="100"/>
      <c r="T3176" s="100"/>
      <c r="U3176" s="100"/>
      <c r="V3176" s="100"/>
      <c r="W3176" s="100"/>
      <c r="X3176" s="100"/>
      <c r="Y3176" s="100"/>
      <c r="Z3176" s="100"/>
    </row>
    <row r="3177" spans="1:26">
      <c r="A3177" s="100"/>
      <c r="B3177" s="100"/>
      <c r="C3177" s="100"/>
      <c r="D3177" s="100"/>
      <c r="E3177" s="100"/>
      <c r="F3177" s="100"/>
      <c r="G3177" s="100"/>
      <c r="H3177" s="100"/>
      <c r="I3177" s="100"/>
      <c r="J3177" s="100"/>
      <c r="K3177" s="100"/>
      <c r="L3177" s="100"/>
      <c r="M3177" s="100"/>
      <c r="N3177" s="100"/>
      <c r="O3177" s="100"/>
      <c r="P3177" s="100"/>
      <c r="Q3177" s="100"/>
      <c r="R3177" s="100"/>
      <c r="S3177" s="100"/>
      <c r="T3177" s="100"/>
      <c r="U3177" s="100"/>
      <c r="V3177" s="100"/>
      <c r="W3177" s="100"/>
      <c r="X3177" s="100"/>
      <c r="Y3177" s="100"/>
      <c r="Z3177" s="100"/>
    </row>
    <row r="3178" spans="1:26">
      <c r="A3178" s="100"/>
      <c r="B3178" s="100"/>
      <c r="C3178" s="100"/>
      <c r="D3178" s="100"/>
      <c r="E3178" s="100"/>
      <c r="F3178" s="100"/>
      <c r="G3178" s="100"/>
      <c r="H3178" s="100"/>
      <c r="I3178" s="100"/>
      <c r="J3178" s="100"/>
      <c r="K3178" s="100"/>
      <c r="L3178" s="100"/>
      <c r="M3178" s="100"/>
      <c r="N3178" s="100"/>
      <c r="O3178" s="100"/>
      <c r="P3178" s="100"/>
      <c r="Q3178" s="100"/>
      <c r="R3178" s="100"/>
      <c r="S3178" s="100"/>
      <c r="T3178" s="100"/>
      <c r="U3178" s="100"/>
      <c r="V3178" s="100"/>
      <c r="W3178" s="100"/>
      <c r="X3178" s="100"/>
      <c r="Y3178" s="100"/>
      <c r="Z3178" s="100"/>
    </row>
    <row r="3179" spans="1:26">
      <c r="A3179" s="100"/>
      <c r="B3179" s="100"/>
      <c r="C3179" s="100"/>
      <c r="D3179" s="100"/>
      <c r="E3179" s="100"/>
      <c r="F3179" s="100"/>
      <c r="G3179" s="100"/>
      <c r="H3179" s="100"/>
      <c r="I3179" s="100"/>
      <c r="J3179" s="100"/>
      <c r="K3179" s="100"/>
      <c r="L3179" s="100"/>
      <c r="M3179" s="100"/>
      <c r="N3179" s="100"/>
      <c r="O3179" s="100"/>
      <c r="P3179" s="100"/>
      <c r="Q3179" s="100"/>
      <c r="R3179" s="100"/>
      <c r="S3179" s="100"/>
      <c r="T3179" s="100"/>
      <c r="U3179" s="100"/>
      <c r="V3179" s="100"/>
      <c r="W3179" s="100"/>
      <c r="X3179" s="100"/>
      <c r="Y3179" s="100"/>
      <c r="Z3179" s="100"/>
    </row>
    <row r="3180" spans="1:26">
      <c r="A3180" s="100"/>
      <c r="B3180" s="100"/>
      <c r="C3180" s="100"/>
      <c r="D3180" s="100"/>
      <c r="E3180" s="100"/>
      <c r="F3180" s="100"/>
      <c r="G3180" s="100"/>
      <c r="H3180" s="100"/>
      <c r="I3180" s="100"/>
      <c r="J3180" s="100"/>
      <c r="K3180" s="100"/>
      <c r="L3180" s="100"/>
      <c r="M3180" s="100"/>
      <c r="N3180" s="100"/>
      <c r="O3180" s="100"/>
      <c r="P3180" s="100"/>
      <c r="Q3180" s="100"/>
      <c r="R3180" s="100"/>
      <c r="S3180" s="100"/>
      <c r="T3180" s="100"/>
      <c r="U3180" s="100"/>
      <c r="V3180" s="100"/>
      <c r="W3180" s="100"/>
      <c r="X3180" s="100"/>
      <c r="Y3180" s="100"/>
      <c r="Z3180" s="100"/>
    </row>
    <row r="3181" spans="1:26">
      <c r="A3181" s="100"/>
      <c r="B3181" s="100"/>
      <c r="C3181" s="100"/>
      <c r="D3181" s="100"/>
      <c r="E3181" s="100"/>
      <c r="F3181" s="100"/>
      <c r="G3181" s="100"/>
      <c r="H3181" s="100"/>
      <c r="I3181" s="100"/>
      <c r="J3181" s="100"/>
      <c r="K3181" s="100"/>
      <c r="L3181" s="100"/>
      <c r="M3181" s="100"/>
      <c r="N3181" s="100"/>
      <c r="O3181" s="100"/>
      <c r="P3181" s="100"/>
      <c r="Q3181" s="100"/>
      <c r="R3181" s="100"/>
      <c r="S3181" s="100"/>
      <c r="T3181" s="100"/>
      <c r="U3181" s="100"/>
      <c r="V3181" s="100"/>
      <c r="W3181" s="100"/>
      <c r="X3181" s="100"/>
      <c r="Y3181" s="100"/>
      <c r="Z3181" s="100"/>
    </row>
    <row r="3182" spans="1:26">
      <c r="A3182" s="100"/>
      <c r="B3182" s="100"/>
      <c r="C3182" s="100"/>
      <c r="D3182" s="100"/>
      <c r="E3182" s="100"/>
      <c r="F3182" s="100"/>
      <c r="G3182" s="100"/>
      <c r="H3182" s="100"/>
      <c r="I3182" s="100"/>
      <c r="J3182" s="100"/>
      <c r="K3182" s="100"/>
      <c r="L3182" s="100"/>
      <c r="M3182" s="100"/>
      <c r="N3182" s="100"/>
      <c r="O3182" s="100"/>
      <c r="P3182" s="100"/>
      <c r="Q3182" s="100"/>
      <c r="R3182" s="100"/>
      <c r="S3182" s="100"/>
      <c r="T3182" s="100"/>
      <c r="U3182" s="100"/>
      <c r="V3182" s="100"/>
      <c r="W3182" s="100"/>
      <c r="X3182" s="100"/>
      <c r="Y3182" s="100"/>
      <c r="Z3182" s="100"/>
    </row>
    <row r="3183" spans="1:26">
      <c r="A3183" s="100"/>
      <c r="B3183" s="100"/>
      <c r="C3183" s="100"/>
      <c r="D3183" s="100"/>
      <c r="E3183" s="100"/>
      <c r="F3183" s="100"/>
      <c r="G3183" s="100"/>
      <c r="H3183" s="100"/>
      <c r="I3183" s="100"/>
      <c r="J3183" s="100"/>
      <c r="K3183" s="100"/>
      <c r="L3183" s="100"/>
      <c r="M3183" s="100"/>
      <c r="N3183" s="100"/>
      <c r="O3183" s="100"/>
      <c r="P3183" s="100"/>
      <c r="Q3183" s="100"/>
      <c r="R3183" s="100"/>
      <c r="S3183" s="100"/>
      <c r="T3183" s="100"/>
      <c r="U3183" s="100"/>
      <c r="V3183" s="100"/>
      <c r="W3183" s="100"/>
      <c r="X3183" s="100"/>
      <c r="Y3183" s="100"/>
      <c r="Z3183" s="100"/>
    </row>
    <row r="3184" spans="1:26">
      <c r="A3184" s="100"/>
      <c r="B3184" s="100"/>
      <c r="C3184" s="100"/>
      <c r="D3184" s="100"/>
      <c r="E3184" s="100"/>
      <c r="F3184" s="100"/>
      <c r="G3184" s="100"/>
      <c r="H3184" s="100"/>
      <c r="I3184" s="100"/>
      <c r="J3184" s="100"/>
      <c r="K3184" s="100"/>
      <c r="L3184" s="100"/>
      <c r="M3184" s="100"/>
      <c r="N3184" s="100"/>
      <c r="O3184" s="100"/>
      <c r="P3184" s="100"/>
      <c r="Q3184" s="100"/>
      <c r="R3184" s="100"/>
      <c r="S3184" s="100"/>
      <c r="T3184" s="100"/>
      <c r="U3184" s="100"/>
      <c r="V3184" s="100"/>
      <c r="W3184" s="100"/>
      <c r="X3184" s="100"/>
      <c r="Y3184" s="100"/>
      <c r="Z3184" s="100"/>
    </row>
    <row r="3185" spans="1:26">
      <c r="A3185" s="100"/>
      <c r="B3185" s="100"/>
      <c r="C3185" s="100"/>
      <c r="D3185" s="100"/>
      <c r="E3185" s="100"/>
      <c r="F3185" s="100"/>
      <c r="G3185" s="100"/>
      <c r="H3185" s="100"/>
      <c r="I3185" s="100"/>
      <c r="J3185" s="100"/>
      <c r="K3185" s="100"/>
      <c r="L3185" s="100"/>
      <c r="M3185" s="100"/>
      <c r="N3185" s="100"/>
      <c r="O3185" s="100"/>
      <c r="P3185" s="100"/>
      <c r="Q3185" s="100"/>
      <c r="R3185" s="100"/>
      <c r="S3185" s="100"/>
      <c r="T3185" s="100"/>
      <c r="U3185" s="100"/>
      <c r="V3185" s="100"/>
      <c r="W3185" s="100"/>
      <c r="X3185" s="100"/>
      <c r="Y3185" s="100"/>
      <c r="Z3185" s="100"/>
    </row>
    <row r="3186" spans="1:26">
      <c r="A3186" s="100"/>
      <c r="B3186" s="100"/>
      <c r="C3186" s="100"/>
      <c r="D3186" s="100"/>
      <c r="E3186" s="100"/>
      <c r="F3186" s="100"/>
      <c r="G3186" s="100"/>
      <c r="H3186" s="100"/>
      <c r="I3186" s="100"/>
      <c r="J3186" s="100"/>
      <c r="K3186" s="100"/>
      <c r="L3186" s="100"/>
      <c r="M3186" s="100"/>
      <c r="N3186" s="100"/>
      <c r="O3186" s="100"/>
      <c r="P3186" s="100"/>
      <c r="Q3186" s="100"/>
      <c r="R3186" s="100"/>
      <c r="S3186" s="100"/>
      <c r="T3186" s="100"/>
      <c r="U3186" s="100"/>
      <c r="V3186" s="100"/>
      <c r="W3186" s="100"/>
      <c r="X3186" s="100"/>
      <c r="Y3186" s="100"/>
      <c r="Z3186" s="100"/>
    </row>
    <row r="3187" spans="1:26">
      <c r="A3187" s="100"/>
      <c r="B3187" s="100"/>
      <c r="C3187" s="100"/>
      <c r="D3187" s="100"/>
      <c r="E3187" s="100"/>
      <c r="F3187" s="100"/>
      <c r="G3187" s="100"/>
      <c r="H3187" s="100"/>
      <c r="I3187" s="100"/>
      <c r="J3187" s="100"/>
      <c r="K3187" s="100"/>
      <c r="L3187" s="100"/>
      <c r="M3187" s="100"/>
      <c r="N3187" s="100"/>
      <c r="O3187" s="100"/>
      <c r="P3187" s="100"/>
      <c r="Q3187" s="100"/>
      <c r="R3187" s="100"/>
      <c r="S3187" s="100"/>
      <c r="T3187" s="100"/>
      <c r="U3187" s="100"/>
      <c r="V3187" s="100"/>
      <c r="W3187" s="100"/>
      <c r="X3187" s="100"/>
      <c r="Y3187" s="100"/>
      <c r="Z3187" s="100"/>
    </row>
    <row r="3188" spans="1:26">
      <c r="A3188" s="100"/>
      <c r="B3188" s="100"/>
      <c r="C3188" s="100"/>
      <c r="D3188" s="100"/>
      <c r="E3188" s="100"/>
      <c r="F3188" s="100"/>
      <c r="G3188" s="100"/>
      <c r="H3188" s="100"/>
      <c r="I3188" s="100"/>
      <c r="J3188" s="100"/>
      <c r="K3188" s="100"/>
      <c r="L3188" s="100"/>
      <c r="M3188" s="100"/>
      <c r="N3188" s="100"/>
      <c r="O3188" s="100"/>
      <c r="P3188" s="100"/>
      <c r="Q3188" s="100"/>
      <c r="R3188" s="100"/>
      <c r="S3188" s="100"/>
      <c r="T3188" s="100"/>
      <c r="U3188" s="100"/>
      <c r="V3188" s="100"/>
      <c r="W3188" s="100"/>
      <c r="X3188" s="100"/>
      <c r="Y3188" s="100"/>
      <c r="Z3188" s="100"/>
    </row>
    <row r="3189" spans="1:26">
      <c r="A3189" s="100"/>
      <c r="B3189" s="100"/>
      <c r="C3189" s="100"/>
      <c r="D3189" s="100"/>
      <c r="E3189" s="100"/>
      <c r="F3189" s="100"/>
      <c r="G3189" s="100"/>
      <c r="H3189" s="100"/>
      <c r="I3189" s="100"/>
      <c r="J3189" s="100"/>
      <c r="K3189" s="100"/>
      <c r="L3189" s="100"/>
      <c r="M3189" s="100"/>
      <c r="N3189" s="100"/>
      <c r="O3189" s="100"/>
      <c r="P3189" s="100"/>
      <c r="Q3189" s="100"/>
      <c r="R3189" s="100"/>
      <c r="S3189" s="100"/>
      <c r="T3189" s="100"/>
      <c r="U3189" s="100"/>
      <c r="V3189" s="100"/>
      <c r="W3189" s="100"/>
      <c r="X3189" s="100"/>
      <c r="Y3189" s="100"/>
      <c r="Z3189" s="100"/>
    </row>
    <row r="3190" spans="1:26">
      <c r="A3190" s="100"/>
      <c r="B3190" s="100"/>
      <c r="C3190" s="100"/>
      <c r="D3190" s="100"/>
      <c r="E3190" s="100"/>
      <c r="F3190" s="100"/>
      <c r="G3190" s="100"/>
      <c r="H3190" s="100"/>
      <c r="I3190" s="100"/>
      <c r="J3190" s="100"/>
      <c r="K3190" s="100"/>
      <c r="L3190" s="100"/>
      <c r="M3190" s="100"/>
      <c r="N3190" s="100"/>
      <c r="O3190" s="100"/>
      <c r="P3190" s="100"/>
      <c r="Q3190" s="100"/>
      <c r="R3190" s="100"/>
      <c r="S3190" s="100"/>
      <c r="T3190" s="100"/>
      <c r="U3190" s="100"/>
      <c r="V3190" s="100"/>
      <c r="W3190" s="100"/>
      <c r="X3190" s="100"/>
      <c r="Y3190" s="100"/>
      <c r="Z3190" s="100"/>
    </row>
    <row r="3191" spans="1:26">
      <c r="A3191" s="100"/>
      <c r="B3191" s="100"/>
      <c r="C3191" s="100"/>
      <c r="D3191" s="100"/>
      <c r="E3191" s="100"/>
      <c r="F3191" s="100"/>
      <c r="G3191" s="100"/>
      <c r="H3191" s="100"/>
      <c r="I3191" s="100"/>
      <c r="J3191" s="100"/>
      <c r="K3191" s="100"/>
      <c r="L3191" s="100"/>
      <c r="M3191" s="100"/>
      <c r="N3191" s="100"/>
      <c r="O3191" s="100"/>
      <c r="P3191" s="100"/>
      <c r="Q3191" s="100"/>
      <c r="R3191" s="100"/>
      <c r="S3191" s="100"/>
      <c r="T3191" s="100"/>
      <c r="U3191" s="100"/>
      <c r="V3191" s="100"/>
      <c r="W3191" s="100"/>
      <c r="X3191" s="100"/>
      <c r="Y3191" s="100"/>
      <c r="Z3191" s="100"/>
    </row>
    <row r="3192" spans="1:26">
      <c r="A3192" s="100"/>
      <c r="B3192" s="100"/>
      <c r="C3192" s="100"/>
      <c r="D3192" s="100"/>
      <c r="E3192" s="100"/>
      <c r="F3192" s="100"/>
      <c r="G3192" s="100"/>
      <c r="H3192" s="100"/>
      <c r="I3192" s="100"/>
      <c r="J3192" s="100"/>
      <c r="K3192" s="100"/>
      <c r="L3192" s="100"/>
      <c r="M3192" s="100"/>
      <c r="N3192" s="100"/>
      <c r="O3192" s="100"/>
      <c r="P3192" s="100"/>
      <c r="Q3192" s="100"/>
      <c r="R3192" s="100"/>
      <c r="S3192" s="100"/>
      <c r="T3192" s="100"/>
      <c r="U3192" s="100"/>
      <c r="V3192" s="100"/>
      <c r="W3192" s="100"/>
      <c r="X3192" s="100"/>
      <c r="Y3192" s="100"/>
      <c r="Z3192" s="100"/>
    </row>
    <row r="3193" spans="1:26">
      <c r="A3193" s="100"/>
      <c r="B3193" s="100"/>
      <c r="C3193" s="100"/>
      <c r="D3193" s="100"/>
      <c r="E3193" s="100"/>
      <c r="F3193" s="100"/>
      <c r="G3193" s="100"/>
      <c r="H3193" s="100"/>
      <c r="I3193" s="100"/>
      <c r="J3193" s="100"/>
      <c r="K3193" s="100"/>
      <c r="L3193" s="100"/>
      <c r="M3193" s="100"/>
      <c r="N3193" s="100"/>
      <c r="O3193" s="100"/>
      <c r="P3193" s="100"/>
      <c r="Q3193" s="100"/>
      <c r="R3193" s="100"/>
      <c r="S3193" s="100"/>
      <c r="T3193" s="100"/>
      <c r="U3193" s="100"/>
      <c r="V3193" s="100"/>
      <c r="W3193" s="100"/>
      <c r="X3193" s="100"/>
      <c r="Y3193" s="100"/>
      <c r="Z3193" s="100"/>
    </row>
    <row r="3194" spans="1:26">
      <c r="A3194" s="100"/>
      <c r="B3194" s="100"/>
      <c r="C3194" s="100"/>
      <c r="D3194" s="100"/>
      <c r="E3194" s="100"/>
      <c r="F3194" s="100"/>
      <c r="G3194" s="100"/>
      <c r="H3194" s="100"/>
      <c r="I3194" s="100"/>
      <c r="J3194" s="100"/>
      <c r="K3194" s="100"/>
      <c r="L3194" s="100"/>
      <c r="M3194" s="100"/>
      <c r="N3194" s="100"/>
      <c r="O3194" s="100"/>
      <c r="P3194" s="100"/>
      <c r="Q3194" s="100"/>
      <c r="R3194" s="100"/>
      <c r="S3194" s="100"/>
      <c r="T3194" s="100"/>
      <c r="U3194" s="100"/>
      <c r="V3194" s="100"/>
      <c r="W3194" s="100"/>
      <c r="X3194" s="100"/>
      <c r="Y3194" s="100"/>
      <c r="Z3194" s="100"/>
    </row>
    <row r="3195" spans="1:26">
      <c r="A3195" s="100"/>
      <c r="B3195" s="100"/>
      <c r="C3195" s="100"/>
      <c r="D3195" s="100"/>
      <c r="E3195" s="100"/>
      <c r="F3195" s="100"/>
      <c r="G3195" s="100"/>
      <c r="H3195" s="100"/>
      <c r="I3195" s="100"/>
      <c r="J3195" s="100"/>
      <c r="K3195" s="100"/>
      <c r="L3195" s="100"/>
      <c r="M3195" s="100"/>
      <c r="N3195" s="100"/>
      <c r="O3195" s="100"/>
      <c r="P3195" s="100"/>
      <c r="Q3195" s="100"/>
      <c r="R3195" s="100"/>
      <c r="S3195" s="100"/>
      <c r="T3195" s="100"/>
      <c r="U3195" s="100"/>
      <c r="V3195" s="100"/>
      <c r="W3195" s="100"/>
      <c r="X3195" s="100"/>
      <c r="Y3195" s="100"/>
      <c r="Z3195" s="100"/>
    </row>
    <row r="3196" spans="1:26">
      <c r="A3196" s="100"/>
      <c r="B3196" s="100"/>
      <c r="C3196" s="100"/>
      <c r="D3196" s="100"/>
      <c r="E3196" s="100"/>
      <c r="F3196" s="100"/>
      <c r="G3196" s="100"/>
      <c r="H3196" s="100"/>
      <c r="I3196" s="100"/>
      <c r="J3196" s="100"/>
      <c r="K3196" s="100"/>
      <c r="L3196" s="100"/>
      <c r="M3196" s="100"/>
      <c r="N3196" s="100"/>
      <c r="O3196" s="100"/>
      <c r="P3196" s="100"/>
      <c r="Q3196" s="100"/>
      <c r="R3196" s="100"/>
      <c r="S3196" s="100"/>
      <c r="T3196" s="100"/>
      <c r="U3196" s="100"/>
      <c r="V3196" s="100"/>
      <c r="W3196" s="100"/>
      <c r="X3196" s="100"/>
      <c r="Y3196" s="100"/>
      <c r="Z3196" s="100"/>
    </row>
    <row r="3197" spans="1:26">
      <c r="A3197" s="100"/>
      <c r="B3197" s="100"/>
      <c r="C3197" s="100"/>
      <c r="D3197" s="100"/>
      <c r="E3197" s="100"/>
      <c r="F3197" s="100"/>
      <c r="G3197" s="100"/>
      <c r="H3197" s="100"/>
      <c r="I3197" s="100"/>
      <c r="J3197" s="100"/>
      <c r="K3197" s="100"/>
      <c r="L3197" s="100"/>
      <c r="M3197" s="100"/>
      <c r="N3197" s="100"/>
      <c r="O3197" s="100"/>
      <c r="P3197" s="100"/>
      <c r="Q3197" s="100"/>
      <c r="R3197" s="100"/>
      <c r="S3197" s="100"/>
      <c r="T3197" s="100"/>
      <c r="U3197" s="100"/>
      <c r="V3197" s="100"/>
      <c r="W3197" s="100"/>
      <c r="X3197" s="100"/>
      <c r="Y3197" s="100"/>
      <c r="Z3197" s="100"/>
    </row>
    <row r="3198" spans="1:26">
      <c r="A3198" s="100"/>
      <c r="B3198" s="100"/>
      <c r="C3198" s="100"/>
      <c r="D3198" s="100"/>
      <c r="E3198" s="100"/>
      <c r="F3198" s="100"/>
      <c r="G3198" s="100"/>
      <c r="H3198" s="100"/>
      <c r="I3198" s="100"/>
      <c r="J3198" s="100"/>
      <c r="K3198" s="100"/>
      <c r="L3198" s="100"/>
      <c r="M3198" s="100"/>
      <c r="N3198" s="100"/>
      <c r="O3198" s="100"/>
      <c r="P3198" s="100"/>
      <c r="Q3198" s="100"/>
      <c r="R3198" s="100"/>
      <c r="S3198" s="100"/>
      <c r="T3198" s="100"/>
      <c r="U3198" s="100"/>
      <c r="V3198" s="100"/>
      <c r="W3198" s="100"/>
      <c r="X3198" s="100"/>
      <c r="Y3198" s="100"/>
      <c r="Z3198" s="100"/>
    </row>
    <row r="3199" spans="1:26">
      <c r="A3199" s="100"/>
      <c r="B3199" s="100"/>
      <c r="C3199" s="100"/>
      <c r="D3199" s="100"/>
      <c r="E3199" s="100"/>
      <c r="F3199" s="100"/>
      <c r="G3199" s="100"/>
      <c r="H3199" s="100"/>
      <c r="I3199" s="100"/>
      <c r="J3199" s="100"/>
      <c r="K3199" s="100"/>
      <c r="L3199" s="100"/>
      <c r="M3199" s="100"/>
      <c r="N3199" s="100"/>
      <c r="O3199" s="100"/>
      <c r="P3199" s="100"/>
      <c r="Q3199" s="100"/>
      <c r="R3199" s="100"/>
      <c r="S3199" s="100"/>
      <c r="T3199" s="100"/>
      <c r="U3199" s="100"/>
      <c r="V3199" s="100"/>
      <c r="W3199" s="100"/>
      <c r="X3199" s="100"/>
      <c r="Y3199" s="100"/>
      <c r="Z3199" s="100"/>
    </row>
    <row r="3200" spans="1:26">
      <c r="A3200" s="100"/>
      <c r="B3200" s="100"/>
      <c r="C3200" s="100"/>
      <c r="D3200" s="100"/>
      <c r="E3200" s="100"/>
      <c r="F3200" s="100"/>
      <c r="G3200" s="100"/>
      <c r="H3200" s="100"/>
      <c r="I3200" s="100"/>
      <c r="J3200" s="100"/>
      <c r="K3200" s="100"/>
      <c r="L3200" s="100"/>
      <c r="M3200" s="100"/>
      <c r="N3200" s="100"/>
      <c r="O3200" s="100"/>
      <c r="P3200" s="100"/>
      <c r="Q3200" s="100"/>
      <c r="R3200" s="100"/>
      <c r="S3200" s="100"/>
      <c r="T3200" s="100"/>
      <c r="U3200" s="100"/>
      <c r="V3200" s="100"/>
      <c r="W3200" s="100"/>
      <c r="X3200" s="100"/>
      <c r="Y3200" s="100"/>
      <c r="Z3200" s="100"/>
    </row>
    <row r="3201" spans="1:26">
      <c r="A3201" s="100"/>
      <c r="B3201" s="100"/>
      <c r="C3201" s="100"/>
      <c r="D3201" s="100"/>
      <c r="E3201" s="100"/>
      <c r="F3201" s="100"/>
      <c r="G3201" s="100"/>
      <c r="H3201" s="100"/>
      <c r="I3201" s="100"/>
      <c r="J3201" s="100"/>
      <c r="K3201" s="100"/>
      <c r="L3201" s="100"/>
      <c r="M3201" s="100"/>
      <c r="N3201" s="100"/>
      <c r="O3201" s="100"/>
      <c r="P3201" s="100"/>
      <c r="Q3201" s="100"/>
      <c r="R3201" s="100"/>
      <c r="S3201" s="100"/>
      <c r="T3201" s="100"/>
      <c r="U3201" s="100"/>
      <c r="V3201" s="100"/>
      <c r="W3201" s="100"/>
      <c r="X3201" s="100"/>
      <c r="Y3201" s="100"/>
      <c r="Z3201" s="100"/>
    </row>
    <row r="3202" spans="1:26">
      <c r="A3202" s="100"/>
      <c r="B3202" s="100"/>
      <c r="C3202" s="100"/>
      <c r="D3202" s="100"/>
      <c r="E3202" s="100"/>
      <c r="F3202" s="100"/>
      <c r="G3202" s="100"/>
      <c r="H3202" s="100"/>
      <c r="I3202" s="100"/>
      <c r="J3202" s="100"/>
      <c r="K3202" s="100"/>
      <c r="L3202" s="100"/>
      <c r="M3202" s="100"/>
      <c r="N3202" s="100"/>
      <c r="O3202" s="100"/>
      <c r="P3202" s="100"/>
      <c r="Q3202" s="100"/>
      <c r="R3202" s="100"/>
      <c r="S3202" s="100"/>
      <c r="T3202" s="100"/>
      <c r="U3202" s="100"/>
      <c r="V3202" s="100"/>
      <c r="W3202" s="100"/>
      <c r="X3202" s="100"/>
      <c r="Y3202" s="100"/>
      <c r="Z3202" s="100"/>
    </row>
    <row r="3203" spans="1:26">
      <c r="A3203" s="100"/>
      <c r="B3203" s="100"/>
      <c r="C3203" s="100"/>
      <c r="D3203" s="100"/>
      <c r="E3203" s="100"/>
      <c r="F3203" s="100"/>
      <c r="G3203" s="100"/>
      <c r="H3203" s="100"/>
      <c r="I3203" s="100"/>
      <c r="J3203" s="100"/>
      <c r="K3203" s="100"/>
      <c r="L3203" s="100"/>
      <c r="M3203" s="100"/>
      <c r="N3203" s="100"/>
      <c r="O3203" s="100"/>
      <c r="P3203" s="100"/>
      <c r="Q3203" s="100"/>
      <c r="R3203" s="100"/>
      <c r="S3203" s="100"/>
      <c r="T3203" s="100"/>
      <c r="U3203" s="100"/>
      <c r="V3203" s="100"/>
      <c r="W3203" s="100"/>
      <c r="X3203" s="100"/>
      <c r="Y3203" s="100"/>
      <c r="Z3203" s="100"/>
    </row>
    <row r="3204" spans="1:26">
      <c r="A3204" s="100"/>
      <c r="B3204" s="100"/>
      <c r="C3204" s="100"/>
      <c r="D3204" s="100"/>
      <c r="E3204" s="100"/>
      <c r="F3204" s="100"/>
      <c r="G3204" s="100"/>
      <c r="H3204" s="100"/>
      <c r="I3204" s="100"/>
      <c r="J3204" s="100"/>
      <c r="K3204" s="100"/>
      <c r="L3204" s="100"/>
      <c r="M3204" s="100"/>
      <c r="N3204" s="100"/>
      <c r="O3204" s="100"/>
      <c r="P3204" s="100"/>
      <c r="Q3204" s="100"/>
      <c r="R3204" s="100"/>
      <c r="S3204" s="100"/>
      <c r="T3204" s="100"/>
      <c r="U3204" s="100"/>
      <c r="V3204" s="100"/>
      <c r="W3204" s="100"/>
      <c r="X3204" s="100"/>
      <c r="Y3204" s="100"/>
      <c r="Z3204" s="100"/>
    </row>
    <row r="3205" spans="1:26">
      <c r="A3205" s="100"/>
      <c r="B3205" s="100"/>
      <c r="C3205" s="100"/>
      <c r="D3205" s="100"/>
      <c r="E3205" s="100"/>
      <c r="F3205" s="100"/>
      <c r="G3205" s="100"/>
      <c r="H3205" s="100"/>
      <c r="I3205" s="100"/>
      <c r="J3205" s="100"/>
      <c r="K3205" s="100"/>
      <c r="L3205" s="100"/>
      <c r="M3205" s="100"/>
      <c r="N3205" s="100"/>
      <c r="O3205" s="100"/>
      <c r="P3205" s="100"/>
      <c r="Q3205" s="100"/>
      <c r="R3205" s="100"/>
      <c r="S3205" s="100"/>
      <c r="T3205" s="100"/>
      <c r="U3205" s="100"/>
      <c r="V3205" s="100"/>
      <c r="W3205" s="100"/>
      <c r="X3205" s="100"/>
      <c r="Y3205" s="100"/>
      <c r="Z3205" s="100"/>
    </row>
    <row r="3206" spans="1:26">
      <c r="A3206" s="100"/>
      <c r="B3206" s="100"/>
      <c r="C3206" s="100"/>
      <c r="D3206" s="100"/>
      <c r="E3206" s="100"/>
      <c r="F3206" s="100"/>
      <c r="G3206" s="100"/>
      <c r="H3206" s="100"/>
      <c r="I3206" s="100"/>
      <c r="J3206" s="100"/>
      <c r="K3206" s="100"/>
      <c r="L3206" s="100"/>
      <c r="M3206" s="100"/>
      <c r="N3206" s="100"/>
      <c r="O3206" s="100"/>
      <c r="P3206" s="100"/>
      <c r="Q3206" s="100"/>
      <c r="R3206" s="100"/>
      <c r="S3206" s="100"/>
      <c r="T3206" s="100"/>
      <c r="U3206" s="100"/>
      <c r="V3206" s="100"/>
      <c r="W3206" s="100"/>
      <c r="X3206" s="100"/>
      <c r="Y3206" s="100"/>
      <c r="Z3206" s="100"/>
    </row>
    <row r="3207" spans="1:26">
      <c r="A3207" s="100"/>
      <c r="B3207" s="100"/>
      <c r="C3207" s="100"/>
      <c r="D3207" s="100"/>
      <c r="E3207" s="100"/>
      <c r="F3207" s="100"/>
      <c r="G3207" s="100"/>
      <c r="H3207" s="100"/>
      <c r="I3207" s="100"/>
      <c r="J3207" s="100"/>
      <c r="K3207" s="100"/>
      <c r="L3207" s="100"/>
      <c r="M3207" s="100"/>
      <c r="N3207" s="100"/>
      <c r="O3207" s="100"/>
      <c r="P3207" s="100"/>
      <c r="Q3207" s="100"/>
      <c r="R3207" s="100"/>
      <c r="S3207" s="100"/>
      <c r="T3207" s="100"/>
      <c r="U3207" s="100"/>
      <c r="V3207" s="100"/>
      <c r="W3207" s="100"/>
      <c r="X3207" s="100"/>
      <c r="Y3207" s="100"/>
      <c r="Z3207" s="100"/>
    </row>
    <row r="3208" spans="1:26">
      <c r="A3208" s="100"/>
      <c r="B3208" s="100"/>
      <c r="C3208" s="100"/>
      <c r="D3208" s="100"/>
      <c r="E3208" s="100"/>
      <c r="F3208" s="100"/>
      <c r="G3208" s="100"/>
      <c r="H3208" s="100"/>
      <c r="I3208" s="100"/>
      <c r="J3208" s="100"/>
      <c r="K3208" s="100"/>
      <c r="L3208" s="100"/>
      <c r="M3208" s="100"/>
      <c r="N3208" s="100"/>
      <c r="O3208" s="100"/>
      <c r="P3208" s="100"/>
      <c r="Q3208" s="100"/>
      <c r="R3208" s="100"/>
      <c r="S3208" s="100"/>
      <c r="T3208" s="100"/>
      <c r="U3208" s="100"/>
      <c r="V3208" s="100"/>
      <c r="W3208" s="100"/>
      <c r="X3208" s="100"/>
      <c r="Y3208" s="100"/>
      <c r="Z3208" s="100"/>
    </row>
    <row r="3209" spans="1:26">
      <c r="A3209" s="100"/>
      <c r="B3209" s="100"/>
      <c r="C3209" s="100"/>
      <c r="D3209" s="100"/>
      <c r="E3209" s="100"/>
      <c r="F3209" s="100"/>
      <c r="G3209" s="100"/>
      <c r="H3209" s="100"/>
      <c r="I3209" s="100"/>
      <c r="J3209" s="100"/>
      <c r="K3209" s="100"/>
      <c r="L3209" s="100"/>
      <c r="M3209" s="100"/>
      <c r="N3209" s="100"/>
      <c r="O3209" s="100"/>
      <c r="P3209" s="100"/>
      <c r="Q3209" s="100"/>
      <c r="R3209" s="100"/>
      <c r="S3209" s="100"/>
      <c r="T3209" s="100"/>
      <c r="U3209" s="100"/>
      <c r="V3209" s="100"/>
      <c r="W3209" s="100"/>
      <c r="X3209" s="100"/>
      <c r="Y3209" s="100"/>
      <c r="Z3209" s="100"/>
    </row>
    <row r="3210" spans="1:26">
      <c r="A3210" s="100"/>
      <c r="B3210" s="100"/>
      <c r="C3210" s="100"/>
      <c r="D3210" s="100"/>
      <c r="E3210" s="100"/>
      <c r="F3210" s="100"/>
      <c r="G3210" s="100"/>
      <c r="H3210" s="100"/>
      <c r="I3210" s="100"/>
      <c r="J3210" s="100"/>
      <c r="K3210" s="100"/>
      <c r="L3210" s="100"/>
      <c r="M3210" s="100"/>
      <c r="N3210" s="100"/>
      <c r="O3210" s="100"/>
      <c r="P3210" s="100"/>
      <c r="Q3210" s="100"/>
      <c r="R3210" s="100"/>
      <c r="S3210" s="100"/>
      <c r="T3210" s="100"/>
      <c r="U3210" s="100"/>
      <c r="V3210" s="100"/>
      <c r="W3210" s="100"/>
      <c r="X3210" s="100"/>
      <c r="Y3210" s="100"/>
      <c r="Z3210" s="100"/>
    </row>
    <row r="3211" spans="1:26">
      <c r="A3211" s="100"/>
      <c r="B3211" s="100"/>
      <c r="C3211" s="100"/>
      <c r="D3211" s="100"/>
      <c r="E3211" s="100"/>
      <c r="F3211" s="100"/>
      <c r="G3211" s="100"/>
      <c r="H3211" s="100"/>
      <c r="I3211" s="100"/>
      <c r="J3211" s="100"/>
      <c r="K3211" s="100"/>
      <c r="L3211" s="100"/>
      <c r="M3211" s="100"/>
      <c r="N3211" s="100"/>
      <c r="O3211" s="100"/>
      <c r="P3211" s="100"/>
      <c r="Q3211" s="100"/>
      <c r="R3211" s="100"/>
      <c r="S3211" s="100"/>
      <c r="T3211" s="100"/>
      <c r="U3211" s="100"/>
      <c r="V3211" s="100"/>
      <c r="W3211" s="100"/>
      <c r="X3211" s="100"/>
      <c r="Y3211" s="100"/>
      <c r="Z3211" s="100"/>
    </row>
    <row r="3212" spans="1:26">
      <c r="A3212" s="100"/>
      <c r="B3212" s="100"/>
      <c r="C3212" s="100"/>
      <c r="D3212" s="100"/>
      <c r="E3212" s="100"/>
      <c r="F3212" s="100"/>
      <c r="G3212" s="100"/>
      <c r="H3212" s="100"/>
      <c r="I3212" s="100"/>
      <c r="J3212" s="100"/>
      <c r="K3212" s="100"/>
      <c r="L3212" s="100"/>
      <c r="M3212" s="100"/>
      <c r="N3212" s="100"/>
      <c r="O3212" s="100"/>
      <c r="P3212" s="100"/>
      <c r="Q3212" s="100"/>
      <c r="R3212" s="100"/>
      <c r="S3212" s="100"/>
      <c r="T3212" s="100"/>
      <c r="U3212" s="100"/>
      <c r="V3212" s="100"/>
      <c r="W3212" s="100"/>
      <c r="X3212" s="100"/>
      <c r="Y3212" s="100"/>
      <c r="Z3212" s="100"/>
    </row>
    <row r="3213" spans="1:26">
      <c r="A3213" s="100"/>
      <c r="B3213" s="100"/>
      <c r="C3213" s="100"/>
      <c r="D3213" s="100"/>
      <c r="E3213" s="100"/>
      <c r="F3213" s="100"/>
      <c r="G3213" s="100"/>
      <c r="H3213" s="100"/>
      <c r="I3213" s="100"/>
      <c r="J3213" s="100"/>
      <c r="K3213" s="100"/>
      <c r="L3213" s="100"/>
      <c r="M3213" s="100"/>
      <c r="N3213" s="100"/>
      <c r="O3213" s="100"/>
      <c r="P3213" s="100"/>
      <c r="Q3213" s="100"/>
      <c r="R3213" s="100"/>
      <c r="S3213" s="100"/>
      <c r="T3213" s="100"/>
      <c r="U3213" s="100"/>
      <c r="V3213" s="100"/>
      <c r="W3213" s="100"/>
      <c r="X3213" s="100"/>
      <c r="Y3213" s="100"/>
      <c r="Z3213" s="100"/>
    </row>
    <row r="3214" spans="1:26">
      <c r="A3214" s="100"/>
      <c r="B3214" s="100"/>
      <c r="C3214" s="100"/>
      <c r="D3214" s="100"/>
      <c r="E3214" s="100"/>
      <c r="F3214" s="100"/>
      <c r="G3214" s="100"/>
      <c r="H3214" s="100"/>
      <c r="I3214" s="100"/>
      <c r="J3214" s="100"/>
      <c r="K3214" s="100"/>
      <c r="L3214" s="100"/>
      <c r="M3214" s="100"/>
      <c r="N3214" s="100"/>
      <c r="O3214" s="100"/>
      <c r="P3214" s="100"/>
      <c r="Q3214" s="100"/>
      <c r="R3214" s="100"/>
      <c r="S3214" s="100"/>
      <c r="T3214" s="100"/>
      <c r="U3214" s="100"/>
      <c r="V3214" s="100"/>
      <c r="W3214" s="100"/>
      <c r="X3214" s="100"/>
      <c r="Y3214" s="100"/>
      <c r="Z3214" s="100"/>
    </row>
    <row r="3215" spans="1:26">
      <c r="A3215" s="100"/>
      <c r="B3215" s="100"/>
      <c r="C3215" s="100"/>
      <c r="D3215" s="100"/>
      <c r="E3215" s="100"/>
      <c r="F3215" s="100"/>
      <c r="G3215" s="100"/>
      <c r="H3215" s="100"/>
      <c r="I3215" s="100"/>
      <c r="J3215" s="100"/>
      <c r="K3215" s="100"/>
      <c r="L3215" s="100"/>
      <c r="M3215" s="100"/>
      <c r="N3215" s="100"/>
      <c r="O3215" s="100"/>
      <c r="P3215" s="100"/>
      <c r="Q3215" s="100"/>
      <c r="R3215" s="100"/>
      <c r="S3215" s="100"/>
      <c r="T3215" s="100"/>
      <c r="U3215" s="100"/>
      <c r="V3215" s="100"/>
      <c r="W3215" s="100"/>
      <c r="X3215" s="100"/>
      <c r="Y3215" s="100"/>
      <c r="Z3215" s="100"/>
    </row>
    <row r="3216" spans="1:26">
      <c r="A3216" s="100"/>
      <c r="B3216" s="100"/>
      <c r="C3216" s="100"/>
      <c r="D3216" s="100"/>
      <c r="E3216" s="100"/>
      <c r="F3216" s="100"/>
      <c r="G3216" s="100"/>
      <c r="H3216" s="100"/>
      <c r="I3216" s="100"/>
      <c r="J3216" s="100"/>
      <c r="K3216" s="100"/>
      <c r="L3216" s="100"/>
      <c r="M3216" s="100"/>
      <c r="N3216" s="100"/>
      <c r="O3216" s="100"/>
      <c r="P3216" s="100"/>
      <c r="Q3216" s="100"/>
      <c r="R3216" s="100"/>
      <c r="S3216" s="100"/>
      <c r="T3216" s="100"/>
      <c r="U3216" s="100"/>
      <c r="V3216" s="100"/>
      <c r="W3216" s="100"/>
      <c r="X3216" s="100"/>
      <c r="Y3216" s="100"/>
      <c r="Z3216" s="100"/>
    </row>
    <row r="3217" spans="1:26">
      <c r="A3217" s="100"/>
      <c r="B3217" s="100"/>
      <c r="C3217" s="100"/>
      <c r="D3217" s="100"/>
      <c r="E3217" s="100"/>
      <c r="F3217" s="100"/>
      <c r="G3217" s="100"/>
      <c r="H3217" s="100"/>
      <c r="I3217" s="100"/>
      <c r="J3217" s="100"/>
      <c r="K3217" s="100"/>
      <c r="L3217" s="100"/>
      <c r="M3217" s="100"/>
      <c r="N3217" s="100"/>
      <c r="O3217" s="100"/>
      <c r="P3217" s="100"/>
      <c r="Q3217" s="100"/>
      <c r="R3217" s="100"/>
      <c r="S3217" s="100"/>
      <c r="T3217" s="100"/>
      <c r="U3217" s="100"/>
      <c r="V3217" s="100"/>
      <c r="W3217" s="100"/>
      <c r="X3217" s="100"/>
      <c r="Y3217" s="100"/>
      <c r="Z3217" s="100"/>
    </row>
    <row r="3218" spans="1:26">
      <c r="A3218" s="100"/>
      <c r="B3218" s="100"/>
      <c r="C3218" s="100"/>
      <c r="D3218" s="100"/>
      <c r="E3218" s="100"/>
      <c r="F3218" s="100"/>
      <c r="G3218" s="100"/>
      <c r="H3218" s="100"/>
      <c r="I3218" s="100"/>
      <c r="J3218" s="100"/>
      <c r="K3218" s="100"/>
      <c r="L3218" s="100"/>
      <c r="M3218" s="100"/>
      <c r="N3218" s="100"/>
      <c r="O3218" s="100"/>
      <c r="P3218" s="100"/>
      <c r="Q3218" s="100"/>
      <c r="R3218" s="100"/>
      <c r="S3218" s="100"/>
      <c r="T3218" s="100"/>
      <c r="U3218" s="100"/>
      <c r="V3218" s="100"/>
      <c r="W3218" s="100"/>
      <c r="X3218" s="100"/>
      <c r="Y3218" s="100"/>
      <c r="Z3218" s="100"/>
    </row>
    <row r="3219" spans="1:26">
      <c r="A3219" s="100"/>
      <c r="B3219" s="100"/>
      <c r="C3219" s="100"/>
      <c r="D3219" s="100"/>
      <c r="E3219" s="100"/>
      <c r="F3219" s="100"/>
      <c r="G3219" s="100"/>
      <c r="H3219" s="100"/>
      <c r="I3219" s="100"/>
      <c r="J3219" s="100"/>
      <c r="K3219" s="100"/>
      <c r="L3219" s="100"/>
      <c r="M3219" s="100"/>
      <c r="N3219" s="100"/>
      <c r="O3219" s="100"/>
      <c r="P3219" s="100"/>
      <c r="Q3219" s="100"/>
      <c r="R3219" s="100"/>
      <c r="S3219" s="100"/>
      <c r="T3219" s="100"/>
      <c r="U3219" s="100"/>
      <c r="V3219" s="100"/>
      <c r="W3219" s="100"/>
      <c r="X3219" s="100"/>
      <c r="Y3219" s="100"/>
      <c r="Z3219" s="100"/>
    </row>
    <row r="3220" spans="1:26">
      <c r="A3220" s="100"/>
      <c r="B3220" s="100"/>
      <c r="C3220" s="100"/>
      <c r="D3220" s="100"/>
      <c r="E3220" s="100"/>
      <c r="F3220" s="100"/>
      <c r="G3220" s="100"/>
      <c r="H3220" s="100"/>
      <c r="I3220" s="100"/>
      <c r="J3220" s="100"/>
      <c r="K3220" s="100"/>
      <c r="L3220" s="100"/>
      <c r="M3220" s="100"/>
      <c r="N3220" s="100"/>
      <c r="O3220" s="100"/>
      <c r="P3220" s="100"/>
      <c r="Q3220" s="100"/>
      <c r="R3220" s="100"/>
      <c r="S3220" s="100"/>
      <c r="T3220" s="100"/>
      <c r="U3220" s="100"/>
      <c r="V3220" s="100"/>
      <c r="W3220" s="100"/>
      <c r="X3220" s="100"/>
      <c r="Y3220" s="100"/>
      <c r="Z3220" s="100"/>
    </row>
    <row r="3221" spans="1:26">
      <c r="A3221" s="100"/>
      <c r="B3221" s="100"/>
      <c r="C3221" s="100"/>
      <c r="D3221" s="100"/>
      <c r="E3221" s="100"/>
      <c r="F3221" s="100"/>
      <c r="G3221" s="100"/>
      <c r="H3221" s="100"/>
      <c r="I3221" s="100"/>
      <c r="J3221" s="100"/>
      <c r="K3221" s="100"/>
      <c r="L3221" s="100"/>
      <c r="M3221" s="100"/>
      <c r="N3221" s="100"/>
      <c r="O3221" s="100"/>
      <c r="P3221" s="100"/>
      <c r="Q3221" s="100"/>
      <c r="R3221" s="100"/>
      <c r="S3221" s="100"/>
      <c r="T3221" s="100"/>
      <c r="U3221" s="100"/>
      <c r="V3221" s="100"/>
      <c r="W3221" s="100"/>
      <c r="X3221" s="100"/>
      <c r="Y3221" s="100"/>
      <c r="Z3221" s="100"/>
    </row>
    <row r="3222" spans="1:26">
      <c r="A3222" s="100"/>
      <c r="B3222" s="100"/>
      <c r="C3222" s="100"/>
      <c r="D3222" s="100"/>
      <c r="E3222" s="100"/>
      <c r="F3222" s="100"/>
      <c r="G3222" s="100"/>
      <c r="H3222" s="100"/>
      <c r="I3222" s="100"/>
      <c r="J3222" s="100"/>
      <c r="K3222" s="100"/>
      <c r="L3222" s="100"/>
      <c r="M3222" s="100"/>
      <c r="N3222" s="100"/>
      <c r="O3222" s="100"/>
      <c r="P3222" s="100"/>
      <c r="Q3222" s="100"/>
      <c r="R3222" s="100"/>
      <c r="S3222" s="100"/>
      <c r="T3222" s="100"/>
      <c r="U3222" s="100"/>
      <c r="V3222" s="100"/>
      <c r="W3222" s="100"/>
      <c r="X3222" s="100"/>
      <c r="Y3222" s="100"/>
      <c r="Z3222" s="100"/>
    </row>
    <row r="3223" spans="1:26">
      <c r="A3223" s="100"/>
      <c r="B3223" s="100"/>
      <c r="C3223" s="100"/>
      <c r="D3223" s="100"/>
      <c r="E3223" s="100"/>
      <c r="F3223" s="100"/>
      <c r="G3223" s="100"/>
      <c r="H3223" s="100"/>
      <c r="I3223" s="100"/>
      <c r="J3223" s="100"/>
      <c r="K3223" s="100"/>
      <c r="L3223" s="100"/>
      <c r="M3223" s="100"/>
      <c r="N3223" s="100"/>
      <c r="O3223" s="100"/>
      <c r="P3223" s="100"/>
      <c r="Q3223" s="100"/>
      <c r="R3223" s="100"/>
      <c r="S3223" s="100"/>
      <c r="T3223" s="100"/>
      <c r="U3223" s="100"/>
      <c r="V3223" s="100"/>
      <c r="W3223" s="100"/>
      <c r="X3223" s="100"/>
      <c r="Y3223" s="100"/>
      <c r="Z3223" s="100"/>
    </row>
    <row r="3224" spans="1:26">
      <c r="A3224" s="100"/>
      <c r="B3224" s="100"/>
      <c r="C3224" s="100"/>
      <c r="D3224" s="100"/>
      <c r="E3224" s="100"/>
      <c r="F3224" s="100"/>
      <c r="G3224" s="100"/>
      <c r="H3224" s="100"/>
      <c r="I3224" s="100"/>
      <c r="J3224" s="100"/>
      <c r="K3224" s="100"/>
      <c r="L3224" s="100"/>
      <c r="M3224" s="100"/>
      <c r="N3224" s="100"/>
      <c r="O3224" s="100"/>
      <c r="P3224" s="100"/>
      <c r="Q3224" s="100"/>
      <c r="R3224" s="100"/>
      <c r="S3224" s="100"/>
      <c r="T3224" s="100"/>
      <c r="U3224" s="100"/>
      <c r="V3224" s="100"/>
      <c r="W3224" s="100"/>
      <c r="X3224" s="100"/>
      <c r="Y3224" s="100"/>
      <c r="Z3224" s="100"/>
    </row>
    <row r="3225" spans="1:26">
      <c r="A3225" s="100"/>
      <c r="B3225" s="100"/>
      <c r="C3225" s="100"/>
      <c r="D3225" s="100"/>
      <c r="E3225" s="100"/>
      <c r="F3225" s="100"/>
      <c r="G3225" s="100"/>
      <c r="H3225" s="100"/>
      <c r="I3225" s="100"/>
      <c r="J3225" s="100"/>
      <c r="K3225" s="100"/>
      <c r="L3225" s="100"/>
      <c r="M3225" s="100"/>
      <c r="N3225" s="100"/>
      <c r="O3225" s="100"/>
      <c r="P3225" s="100"/>
      <c r="Q3225" s="100"/>
      <c r="R3225" s="100"/>
      <c r="S3225" s="100"/>
      <c r="T3225" s="100"/>
      <c r="U3225" s="100"/>
      <c r="V3225" s="100"/>
      <c r="W3225" s="100"/>
      <c r="X3225" s="100"/>
      <c r="Y3225" s="100"/>
      <c r="Z3225" s="100"/>
    </row>
    <row r="3226" spans="1:26">
      <c r="A3226" s="100"/>
      <c r="B3226" s="100"/>
      <c r="C3226" s="100"/>
      <c r="D3226" s="100"/>
      <c r="E3226" s="100"/>
      <c r="F3226" s="100"/>
      <c r="G3226" s="100"/>
      <c r="H3226" s="100"/>
      <c r="I3226" s="100"/>
      <c r="J3226" s="100"/>
      <c r="K3226" s="100"/>
      <c r="L3226" s="100"/>
      <c r="M3226" s="100"/>
      <c r="N3226" s="100"/>
      <c r="O3226" s="100"/>
      <c r="P3226" s="100"/>
      <c r="Q3226" s="100"/>
      <c r="R3226" s="100"/>
      <c r="S3226" s="100"/>
      <c r="T3226" s="100"/>
      <c r="U3226" s="100"/>
      <c r="V3226" s="100"/>
      <c r="W3226" s="100"/>
      <c r="X3226" s="100"/>
      <c r="Y3226" s="100"/>
      <c r="Z3226" s="100"/>
    </row>
    <row r="3227" spans="1:26">
      <c r="A3227" s="100"/>
      <c r="B3227" s="100"/>
      <c r="C3227" s="100"/>
      <c r="D3227" s="100"/>
      <c r="E3227" s="100"/>
      <c r="F3227" s="100"/>
      <c r="G3227" s="100"/>
      <c r="H3227" s="100"/>
      <c r="I3227" s="100"/>
      <c r="J3227" s="100"/>
      <c r="K3227" s="100"/>
      <c r="L3227" s="100"/>
      <c r="M3227" s="100"/>
      <c r="N3227" s="100"/>
      <c r="O3227" s="100"/>
      <c r="P3227" s="100"/>
      <c r="Q3227" s="100"/>
      <c r="R3227" s="100"/>
      <c r="S3227" s="100"/>
      <c r="T3227" s="100"/>
      <c r="U3227" s="100"/>
      <c r="V3227" s="100"/>
      <c r="W3227" s="100"/>
      <c r="X3227" s="100"/>
      <c r="Y3227" s="100"/>
      <c r="Z3227" s="100"/>
    </row>
    <row r="3228" spans="1:26">
      <c r="A3228" s="100"/>
      <c r="B3228" s="100"/>
      <c r="C3228" s="100"/>
      <c r="D3228" s="100"/>
      <c r="E3228" s="100"/>
      <c r="F3228" s="100"/>
      <c r="G3228" s="100"/>
      <c r="H3228" s="100"/>
      <c r="I3228" s="100"/>
      <c r="J3228" s="100"/>
      <c r="K3228" s="100"/>
      <c r="L3228" s="100"/>
      <c r="M3228" s="100"/>
      <c r="N3228" s="100"/>
      <c r="O3228" s="100"/>
      <c r="P3228" s="100"/>
      <c r="Q3228" s="100"/>
      <c r="R3228" s="100"/>
      <c r="S3228" s="100"/>
      <c r="T3228" s="100"/>
      <c r="U3228" s="100"/>
      <c r="V3228" s="100"/>
      <c r="W3228" s="100"/>
      <c r="X3228" s="100"/>
      <c r="Y3228" s="100"/>
      <c r="Z3228" s="100"/>
    </row>
    <row r="3229" spans="1:26">
      <c r="A3229" s="100"/>
      <c r="B3229" s="100"/>
      <c r="C3229" s="100"/>
      <c r="D3229" s="100"/>
      <c r="E3229" s="100"/>
      <c r="F3229" s="100"/>
      <c r="G3229" s="100"/>
      <c r="H3229" s="100"/>
      <c r="I3229" s="100"/>
      <c r="J3229" s="100"/>
      <c r="K3229" s="100"/>
      <c r="L3229" s="100"/>
      <c r="M3229" s="100"/>
      <c r="N3229" s="100"/>
      <c r="O3229" s="100"/>
      <c r="P3229" s="100"/>
      <c r="Q3229" s="100"/>
      <c r="R3229" s="100"/>
      <c r="S3229" s="100"/>
      <c r="T3229" s="100"/>
      <c r="U3229" s="100"/>
      <c r="V3229" s="100"/>
      <c r="W3229" s="100"/>
      <c r="X3229" s="100"/>
      <c r="Y3229" s="100"/>
      <c r="Z3229" s="100"/>
    </row>
    <row r="3230" spans="1:26">
      <c r="A3230" s="100"/>
      <c r="B3230" s="100"/>
      <c r="C3230" s="100"/>
      <c r="D3230" s="100"/>
      <c r="E3230" s="100"/>
      <c r="F3230" s="100"/>
      <c r="G3230" s="100"/>
      <c r="H3230" s="100"/>
      <c r="I3230" s="100"/>
      <c r="J3230" s="100"/>
      <c r="K3230" s="100"/>
      <c r="L3230" s="100"/>
      <c r="M3230" s="100"/>
      <c r="N3230" s="100"/>
      <c r="O3230" s="100"/>
      <c r="P3230" s="100"/>
      <c r="Q3230" s="100"/>
      <c r="R3230" s="100"/>
      <c r="S3230" s="100"/>
      <c r="T3230" s="100"/>
      <c r="U3230" s="100"/>
      <c r="V3230" s="100"/>
      <c r="W3230" s="100"/>
      <c r="X3230" s="100"/>
      <c r="Y3230" s="100"/>
      <c r="Z3230" s="100"/>
    </row>
    <row r="3231" spans="1:26">
      <c r="A3231" s="100"/>
      <c r="B3231" s="100"/>
      <c r="C3231" s="100"/>
      <c r="D3231" s="100"/>
      <c r="E3231" s="100"/>
      <c r="F3231" s="100"/>
      <c r="G3231" s="100"/>
      <c r="H3231" s="100"/>
      <c r="I3231" s="100"/>
      <c r="J3231" s="100"/>
      <c r="K3231" s="100"/>
      <c r="L3231" s="100"/>
      <c r="M3231" s="100"/>
      <c r="N3231" s="100"/>
      <c r="O3231" s="100"/>
      <c r="P3231" s="100"/>
      <c r="Q3231" s="100"/>
      <c r="R3231" s="100"/>
      <c r="S3231" s="100"/>
      <c r="T3231" s="100"/>
      <c r="U3231" s="100"/>
      <c r="V3231" s="100"/>
      <c r="W3231" s="100"/>
      <c r="X3231" s="100"/>
      <c r="Y3231" s="100"/>
      <c r="Z3231" s="100"/>
    </row>
    <row r="3232" spans="1:26">
      <c r="A3232" s="100"/>
      <c r="B3232" s="100"/>
      <c r="C3232" s="100"/>
      <c r="D3232" s="100"/>
      <c r="E3232" s="100"/>
      <c r="F3232" s="100"/>
      <c r="G3232" s="100"/>
      <c r="H3232" s="100"/>
      <c r="I3232" s="100"/>
      <c r="J3232" s="100"/>
      <c r="K3232" s="100"/>
      <c r="L3232" s="100"/>
      <c r="M3232" s="100"/>
      <c r="N3232" s="100"/>
      <c r="O3232" s="100"/>
      <c r="P3232" s="100"/>
      <c r="Q3232" s="100"/>
      <c r="R3232" s="100"/>
      <c r="S3232" s="100"/>
      <c r="T3232" s="100"/>
      <c r="U3232" s="100"/>
      <c r="V3232" s="100"/>
      <c r="W3232" s="100"/>
      <c r="X3232" s="100"/>
      <c r="Y3232" s="100"/>
      <c r="Z3232" s="100"/>
    </row>
    <row r="3233" spans="1:26">
      <c r="A3233" s="100"/>
      <c r="B3233" s="100"/>
      <c r="C3233" s="100"/>
      <c r="D3233" s="100"/>
      <c r="E3233" s="100"/>
      <c r="F3233" s="100"/>
      <c r="G3233" s="100"/>
      <c r="H3233" s="100"/>
      <c r="I3233" s="100"/>
      <c r="J3233" s="100"/>
      <c r="K3233" s="100"/>
      <c r="L3233" s="100"/>
      <c r="M3233" s="100"/>
      <c r="N3233" s="100"/>
      <c r="O3233" s="100"/>
      <c r="P3233" s="100"/>
      <c r="Q3233" s="100"/>
      <c r="R3233" s="100"/>
      <c r="S3233" s="100"/>
      <c r="T3233" s="100"/>
      <c r="U3233" s="100"/>
      <c r="V3233" s="100"/>
      <c r="W3233" s="100"/>
      <c r="X3233" s="100"/>
      <c r="Y3233" s="100"/>
      <c r="Z3233" s="100"/>
    </row>
    <row r="3234" spans="1:26">
      <c r="A3234" s="100"/>
      <c r="B3234" s="100"/>
      <c r="C3234" s="100"/>
      <c r="D3234" s="100"/>
      <c r="E3234" s="100"/>
      <c r="F3234" s="100"/>
      <c r="G3234" s="100"/>
      <c r="H3234" s="100"/>
      <c r="I3234" s="100"/>
      <c r="J3234" s="100"/>
      <c r="K3234" s="100"/>
      <c r="L3234" s="100"/>
      <c r="M3234" s="100"/>
      <c r="N3234" s="100"/>
      <c r="O3234" s="100"/>
      <c r="P3234" s="100"/>
      <c r="Q3234" s="100"/>
      <c r="R3234" s="100"/>
      <c r="S3234" s="100"/>
      <c r="T3234" s="100"/>
      <c r="U3234" s="100"/>
      <c r="V3234" s="100"/>
      <c r="W3234" s="100"/>
      <c r="X3234" s="100"/>
      <c r="Y3234" s="100"/>
      <c r="Z3234" s="100"/>
    </row>
    <row r="3235" spans="1:26">
      <c r="A3235" s="100"/>
      <c r="B3235" s="100"/>
      <c r="C3235" s="100"/>
      <c r="D3235" s="100"/>
      <c r="E3235" s="100"/>
      <c r="F3235" s="100"/>
      <c r="G3235" s="100"/>
      <c r="H3235" s="100"/>
      <c r="I3235" s="100"/>
      <c r="J3235" s="100"/>
      <c r="K3235" s="100"/>
      <c r="L3235" s="100"/>
      <c r="M3235" s="100"/>
      <c r="N3235" s="100"/>
      <c r="O3235" s="100"/>
      <c r="P3235" s="100"/>
      <c r="Q3235" s="100"/>
      <c r="R3235" s="100"/>
      <c r="S3235" s="100"/>
      <c r="T3235" s="100"/>
      <c r="U3235" s="100"/>
      <c r="V3235" s="100"/>
      <c r="W3235" s="100"/>
      <c r="X3235" s="100"/>
      <c r="Y3235" s="100"/>
      <c r="Z3235" s="100"/>
    </row>
    <row r="3236" spans="1:26">
      <c r="A3236" s="100"/>
      <c r="B3236" s="100"/>
      <c r="C3236" s="100"/>
      <c r="D3236" s="100"/>
      <c r="E3236" s="100"/>
      <c r="F3236" s="100"/>
      <c r="G3236" s="100"/>
      <c r="H3236" s="100"/>
      <c r="I3236" s="100"/>
      <c r="J3236" s="100"/>
      <c r="K3236" s="100"/>
      <c r="L3236" s="100"/>
      <c r="M3236" s="100"/>
      <c r="N3236" s="100"/>
      <c r="O3236" s="100"/>
      <c r="P3236" s="100"/>
      <c r="Q3236" s="100"/>
      <c r="R3236" s="100"/>
      <c r="S3236" s="100"/>
      <c r="T3236" s="100"/>
      <c r="U3236" s="100"/>
      <c r="V3236" s="100"/>
      <c r="W3236" s="100"/>
      <c r="X3236" s="100"/>
      <c r="Y3236" s="100"/>
      <c r="Z3236" s="100"/>
    </row>
    <row r="3237" spans="1:26">
      <c r="A3237" s="100"/>
      <c r="B3237" s="100"/>
      <c r="C3237" s="100"/>
      <c r="D3237" s="100"/>
      <c r="E3237" s="100"/>
      <c r="F3237" s="100"/>
      <c r="G3237" s="100"/>
      <c r="H3237" s="100"/>
      <c r="I3237" s="100"/>
      <c r="J3237" s="100"/>
      <c r="K3237" s="100"/>
      <c r="L3237" s="100"/>
      <c r="M3237" s="100"/>
      <c r="N3237" s="100"/>
      <c r="O3237" s="100"/>
      <c r="P3237" s="100"/>
      <c r="Q3237" s="100"/>
      <c r="R3237" s="100"/>
      <c r="S3237" s="100"/>
      <c r="T3237" s="100"/>
      <c r="U3237" s="100"/>
      <c r="V3237" s="100"/>
      <c r="W3237" s="100"/>
      <c r="X3237" s="100"/>
      <c r="Y3237" s="100"/>
      <c r="Z3237" s="100"/>
    </row>
    <row r="3238" spans="1:26">
      <c r="A3238" s="100"/>
      <c r="B3238" s="100"/>
      <c r="C3238" s="100"/>
      <c r="D3238" s="100"/>
      <c r="E3238" s="100"/>
      <c r="F3238" s="100"/>
      <c r="G3238" s="100"/>
      <c r="H3238" s="100"/>
      <c r="I3238" s="100"/>
      <c r="J3238" s="100"/>
      <c r="K3238" s="100"/>
      <c r="L3238" s="100"/>
      <c r="M3238" s="100"/>
      <c r="N3238" s="100"/>
      <c r="O3238" s="100"/>
      <c r="P3238" s="100"/>
      <c r="Q3238" s="100"/>
      <c r="R3238" s="100"/>
      <c r="S3238" s="100"/>
      <c r="T3238" s="100"/>
      <c r="U3238" s="100"/>
      <c r="V3238" s="100"/>
      <c r="W3238" s="100"/>
      <c r="X3238" s="100"/>
      <c r="Y3238" s="100"/>
      <c r="Z3238" s="100"/>
    </row>
    <row r="3239" spans="1:26">
      <c r="A3239" s="100"/>
      <c r="B3239" s="100"/>
      <c r="C3239" s="100"/>
      <c r="D3239" s="100"/>
      <c r="E3239" s="100"/>
      <c r="F3239" s="100"/>
      <c r="G3239" s="100"/>
      <c r="H3239" s="100"/>
      <c r="I3239" s="100"/>
      <c r="J3239" s="100"/>
      <c r="K3239" s="100"/>
      <c r="L3239" s="100"/>
      <c r="M3239" s="100"/>
      <c r="N3239" s="100"/>
      <c r="O3239" s="100"/>
      <c r="P3239" s="100"/>
      <c r="Q3239" s="100"/>
      <c r="R3239" s="100"/>
      <c r="S3239" s="100"/>
      <c r="T3239" s="100"/>
      <c r="U3239" s="100"/>
      <c r="V3239" s="100"/>
      <c r="W3239" s="100"/>
      <c r="X3239" s="100"/>
      <c r="Y3239" s="100"/>
      <c r="Z3239" s="100"/>
    </row>
    <row r="3240" spans="1:26">
      <c r="A3240" s="100"/>
      <c r="B3240" s="100"/>
      <c r="C3240" s="100"/>
      <c r="D3240" s="100"/>
      <c r="E3240" s="100"/>
      <c r="F3240" s="100"/>
      <c r="G3240" s="100"/>
      <c r="H3240" s="100"/>
      <c r="I3240" s="100"/>
      <c r="J3240" s="100"/>
      <c r="K3240" s="100"/>
      <c r="L3240" s="100"/>
      <c r="M3240" s="100"/>
      <c r="N3240" s="100"/>
      <c r="O3240" s="100"/>
      <c r="P3240" s="100"/>
      <c r="Q3240" s="100"/>
      <c r="R3240" s="100"/>
      <c r="S3240" s="100"/>
      <c r="T3240" s="100"/>
      <c r="U3240" s="100"/>
      <c r="V3240" s="100"/>
      <c r="W3240" s="100"/>
      <c r="X3240" s="100"/>
      <c r="Y3240" s="100"/>
      <c r="Z3240" s="100"/>
    </row>
    <row r="3241" spans="1:26">
      <c r="A3241" s="100"/>
      <c r="B3241" s="100"/>
      <c r="C3241" s="100"/>
      <c r="D3241" s="100"/>
      <c r="E3241" s="100"/>
      <c r="F3241" s="100"/>
      <c r="G3241" s="100"/>
      <c r="H3241" s="100"/>
      <c r="I3241" s="100"/>
      <c r="J3241" s="100"/>
      <c r="K3241" s="100"/>
      <c r="L3241" s="100"/>
      <c r="M3241" s="100"/>
      <c r="N3241" s="100"/>
      <c r="O3241" s="100"/>
      <c r="P3241" s="100"/>
      <c r="Q3241" s="100"/>
      <c r="R3241" s="100"/>
      <c r="S3241" s="100"/>
      <c r="T3241" s="100"/>
      <c r="U3241" s="100"/>
      <c r="V3241" s="100"/>
      <c r="W3241" s="100"/>
      <c r="X3241" s="100"/>
      <c r="Y3241" s="100"/>
      <c r="Z3241" s="100"/>
    </row>
    <row r="3242" spans="1:26">
      <c r="A3242" s="100"/>
      <c r="B3242" s="100"/>
      <c r="C3242" s="100"/>
      <c r="D3242" s="100"/>
      <c r="E3242" s="100"/>
      <c r="F3242" s="100"/>
      <c r="G3242" s="100"/>
      <c r="H3242" s="100"/>
      <c r="I3242" s="100"/>
      <c r="J3242" s="100"/>
      <c r="K3242" s="100"/>
      <c r="L3242" s="100"/>
      <c r="M3242" s="100"/>
      <c r="N3242" s="100"/>
      <c r="O3242" s="100"/>
      <c r="P3242" s="100"/>
      <c r="Q3242" s="100"/>
      <c r="R3242" s="100"/>
      <c r="S3242" s="100"/>
      <c r="T3242" s="100"/>
      <c r="U3242" s="100"/>
      <c r="V3242" s="100"/>
      <c r="W3242" s="100"/>
      <c r="X3242" s="100"/>
      <c r="Y3242" s="100"/>
      <c r="Z3242" s="100"/>
    </row>
    <row r="3243" spans="1:26">
      <c r="A3243" s="100"/>
      <c r="B3243" s="100"/>
      <c r="C3243" s="100"/>
      <c r="D3243" s="100"/>
      <c r="E3243" s="100"/>
      <c r="F3243" s="100"/>
      <c r="G3243" s="100"/>
      <c r="H3243" s="100"/>
      <c r="I3243" s="100"/>
      <c r="J3243" s="100"/>
      <c r="K3243" s="100"/>
      <c r="L3243" s="100"/>
      <c r="M3243" s="100"/>
      <c r="N3243" s="100"/>
      <c r="O3243" s="100"/>
      <c r="P3243" s="100"/>
      <c r="Q3243" s="100"/>
      <c r="R3243" s="100"/>
      <c r="S3243" s="100"/>
      <c r="T3243" s="100"/>
      <c r="U3243" s="100"/>
      <c r="V3243" s="100"/>
      <c r="W3243" s="100"/>
      <c r="X3243" s="100"/>
      <c r="Y3243" s="100"/>
      <c r="Z3243" s="100"/>
    </row>
    <row r="3244" spans="1:26">
      <c r="A3244" s="100"/>
      <c r="B3244" s="100"/>
      <c r="C3244" s="100"/>
      <c r="D3244" s="100"/>
      <c r="E3244" s="100"/>
      <c r="F3244" s="100"/>
      <c r="G3244" s="100"/>
      <c r="H3244" s="100"/>
      <c r="I3244" s="100"/>
      <c r="J3244" s="100"/>
      <c r="K3244" s="100"/>
      <c r="L3244" s="100"/>
      <c r="M3244" s="100"/>
      <c r="N3244" s="100"/>
      <c r="O3244" s="100"/>
      <c r="P3244" s="100"/>
      <c r="Q3244" s="100"/>
      <c r="R3244" s="100"/>
      <c r="S3244" s="100"/>
      <c r="T3244" s="100"/>
      <c r="U3244" s="100"/>
      <c r="V3244" s="100"/>
      <c r="W3244" s="100"/>
      <c r="X3244" s="100"/>
      <c r="Y3244" s="100"/>
      <c r="Z3244" s="100"/>
    </row>
    <row r="3245" spans="1:26">
      <c r="A3245" s="100"/>
      <c r="B3245" s="100"/>
      <c r="C3245" s="100"/>
      <c r="D3245" s="100"/>
      <c r="E3245" s="100"/>
      <c r="F3245" s="100"/>
      <c r="G3245" s="100"/>
      <c r="H3245" s="100"/>
      <c r="I3245" s="100"/>
      <c r="J3245" s="100"/>
      <c r="K3245" s="100"/>
      <c r="L3245" s="100"/>
      <c r="M3245" s="100"/>
      <c r="N3245" s="100"/>
      <c r="O3245" s="100"/>
      <c r="P3245" s="100"/>
      <c r="Q3245" s="100"/>
      <c r="R3245" s="100"/>
      <c r="S3245" s="100"/>
      <c r="T3245" s="100"/>
      <c r="U3245" s="100"/>
      <c r="V3245" s="100"/>
      <c r="W3245" s="100"/>
      <c r="X3245" s="100"/>
      <c r="Y3245" s="100"/>
      <c r="Z3245" s="100"/>
    </row>
    <row r="3246" spans="1:26">
      <c r="A3246" s="100"/>
      <c r="B3246" s="100"/>
      <c r="C3246" s="100"/>
      <c r="D3246" s="100"/>
      <c r="E3246" s="100"/>
      <c r="F3246" s="100"/>
      <c r="G3246" s="100"/>
      <c r="H3246" s="100"/>
      <c r="I3246" s="100"/>
      <c r="J3246" s="100"/>
      <c r="K3246" s="100"/>
      <c r="L3246" s="100"/>
      <c r="M3246" s="100"/>
      <c r="N3246" s="100"/>
      <c r="O3246" s="100"/>
      <c r="P3246" s="100"/>
      <c r="Q3246" s="100"/>
      <c r="R3246" s="100"/>
      <c r="S3246" s="100"/>
      <c r="T3246" s="100"/>
      <c r="U3246" s="100"/>
      <c r="V3246" s="100"/>
      <c r="W3246" s="100"/>
      <c r="X3246" s="100"/>
      <c r="Y3246" s="100"/>
      <c r="Z3246" s="100"/>
    </row>
    <row r="3247" spans="1:26">
      <c r="A3247" s="100"/>
      <c r="B3247" s="100"/>
      <c r="C3247" s="100"/>
      <c r="D3247" s="100"/>
      <c r="E3247" s="100"/>
      <c r="F3247" s="100"/>
      <c r="G3247" s="100"/>
      <c r="H3247" s="100"/>
      <c r="I3247" s="100"/>
      <c r="J3247" s="100"/>
      <c r="K3247" s="100"/>
      <c r="L3247" s="100"/>
      <c r="M3247" s="100"/>
      <c r="N3247" s="100"/>
      <c r="O3247" s="100"/>
      <c r="P3247" s="100"/>
      <c r="Q3247" s="100"/>
      <c r="R3247" s="100"/>
      <c r="S3247" s="100"/>
      <c r="T3247" s="100"/>
      <c r="U3247" s="100"/>
      <c r="V3247" s="100"/>
      <c r="W3247" s="100"/>
      <c r="X3247" s="100"/>
      <c r="Y3247" s="100"/>
      <c r="Z3247" s="100"/>
    </row>
    <row r="3248" spans="1:26">
      <c r="A3248" s="100"/>
      <c r="B3248" s="100"/>
      <c r="C3248" s="100"/>
      <c r="D3248" s="100"/>
      <c r="E3248" s="100"/>
      <c r="F3248" s="100"/>
      <c r="G3248" s="100"/>
      <c r="H3248" s="100"/>
      <c r="I3248" s="100"/>
      <c r="J3248" s="100"/>
      <c r="K3248" s="100"/>
      <c r="L3248" s="100"/>
      <c r="M3248" s="100"/>
      <c r="N3248" s="100"/>
      <c r="O3248" s="100"/>
      <c r="P3248" s="100"/>
      <c r="Q3248" s="100"/>
      <c r="R3248" s="100"/>
      <c r="S3248" s="100"/>
      <c r="T3248" s="100"/>
      <c r="U3248" s="100"/>
      <c r="V3248" s="100"/>
      <c r="W3248" s="100"/>
      <c r="X3248" s="100"/>
      <c r="Y3248" s="100"/>
      <c r="Z3248" s="100"/>
    </row>
    <row r="3249" spans="1:26">
      <c r="A3249" s="100"/>
      <c r="B3249" s="100"/>
      <c r="C3249" s="100"/>
      <c r="D3249" s="100"/>
      <c r="E3249" s="100"/>
      <c r="F3249" s="100"/>
      <c r="G3249" s="100"/>
      <c r="H3249" s="100"/>
      <c r="I3249" s="100"/>
      <c r="J3249" s="100"/>
      <c r="K3249" s="100"/>
      <c r="L3249" s="100"/>
      <c r="M3249" s="100"/>
      <c r="N3249" s="100"/>
      <c r="O3249" s="100"/>
      <c r="P3249" s="100"/>
      <c r="Q3249" s="100"/>
      <c r="R3249" s="100"/>
      <c r="S3249" s="100"/>
      <c r="T3249" s="100"/>
      <c r="U3249" s="100"/>
      <c r="V3249" s="100"/>
      <c r="W3249" s="100"/>
      <c r="X3249" s="100"/>
      <c r="Y3249" s="100"/>
      <c r="Z3249" s="100"/>
    </row>
    <row r="3250" spans="1:26">
      <c r="A3250" s="100"/>
      <c r="B3250" s="100"/>
      <c r="C3250" s="100"/>
      <c r="D3250" s="100"/>
      <c r="E3250" s="100"/>
      <c r="F3250" s="100"/>
      <c r="G3250" s="100"/>
      <c r="H3250" s="100"/>
      <c r="I3250" s="100"/>
      <c r="J3250" s="100"/>
      <c r="K3250" s="100"/>
      <c r="L3250" s="100"/>
      <c r="M3250" s="100"/>
      <c r="N3250" s="100"/>
      <c r="O3250" s="100"/>
      <c r="P3250" s="100"/>
      <c r="Q3250" s="100"/>
      <c r="R3250" s="100"/>
      <c r="S3250" s="100"/>
      <c r="T3250" s="100"/>
      <c r="U3250" s="100"/>
      <c r="V3250" s="100"/>
      <c r="W3250" s="100"/>
      <c r="X3250" s="100"/>
      <c r="Y3250" s="100"/>
      <c r="Z3250" s="100"/>
    </row>
    <row r="3251" spans="1:26">
      <c r="A3251" s="100"/>
      <c r="B3251" s="100"/>
      <c r="C3251" s="100"/>
      <c r="D3251" s="100"/>
      <c r="E3251" s="100"/>
      <c r="F3251" s="100"/>
      <c r="G3251" s="100"/>
      <c r="H3251" s="100"/>
      <c r="I3251" s="100"/>
      <c r="J3251" s="100"/>
      <c r="K3251" s="100"/>
      <c r="L3251" s="100"/>
      <c r="M3251" s="100"/>
      <c r="N3251" s="100"/>
      <c r="O3251" s="100"/>
      <c r="P3251" s="100"/>
      <c r="Q3251" s="100"/>
      <c r="R3251" s="100"/>
      <c r="S3251" s="100"/>
      <c r="T3251" s="100"/>
      <c r="U3251" s="100"/>
      <c r="V3251" s="100"/>
      <c r="W3251" s="100"/>
      <c r="X3251" s="100"/>
      <c r="Y3251" s="100"/>
      <c r="Z3251" s="100"/>
    </row>
    <row r="3252" spans="1:26">
      <c r="A3252" s="100"/>
      <c r="B3252" s="100"/>
      <c r="C3252" s="100"/>
      <c r="D3252" s="100"/>
      <c r="E3252" s="100"/>
      <c r="F3252" s="100"/>
      <c r="G3252" s="100"/>
      <c r="H3252" s="100"/>
      <c r="I3252" s="100"/>
      <c r="J3252" s="100"/>
      <c r="K3252" s="100"/>
      <c r="L3252" s="100"/>
      <c r="M3252" s="100"/>
      <c r="N3252" s="100"/>
      <c r="O3252" s="100"/>
      <c r="P3252" s="100"/>
      <c r="Q3252" s="100"/>
      <c r="R3252" s="100"/>
      <c r="S3252" s="100"/>
      <c r="T3252" s="100"/>
      <c r="U3252" s="100"/>
      <c r="V3252" s="100"/>
      <c r="W3252" s="100"/>
      <c r="X3252" s="100"/>
      <c r="Y3252" s="100"/>
      <c r="Z3252" s="100"/>
    </row>
    <row r="3253" spans="1:26">
      <c r="A3253" s="100"/>
      <c r="B3253" s="100"/>
      <c r="C3253" s="100"/>
      <c r="D3253" s="100"/>
      <c r="E3253" s="100"/>
      <c r="F3253" s="100"/>
      <c r="G3253" s="100"/>
      <c r="H3253" s="100"/>
      <c r="I3253" s="100"/>
      <c r="J3253" s="100"/>
      <c r="K3253" s="100"/>
      <c r="L3253" s="100"/>
      <c r="M3253" s="100"/>
      <c r="N3253" s="100"/>
      <c r="O3253" s="100"/>
      <c r="P3253" s="100"/>
      <c r="Q3253" s="100"/>
      <c r="R3253" s="100"/>
      <c r="S3253" s="100"/>
      <c r="T3253" s="100"/>
      <c r="U3253" s="100"/>
      <c r="V3253" s="100"/>
      <c r="W3253" s="100"/>
      <c r="X3253" s="100"/>
      <c r="Y3253" s="100"/>
      <c r="Z3253" s="100"/>
    </row>
    <row r="3254" spans="1:26">
      <c r="A3254" s="100"/>
      <c r="B3254" s="100"/>
      <c r="C3254" s="100"/>
      <c r="D3254" s="100"/>
      <c r="E3254" s="100"/>
      <c r="F3254" s="100"/>
      <c r="G3254" s="100"/>
      <c r="H3254" s="100"/>
      <c r="I3254" s="100"/>
      <c r="J3254" s="100"/>
      <c r="K3254" s="100"/>
      <c r="L3254" s="100"/>
      <c r="M3254" s="100"/>
      <c r="N3254" s="100"/>
      <c r="O3254" s="100"/>
      <c r="P3254" s="100"/>
      <c r="Q3254" s="100"/>
      <c r="R3254" s="100"/>
      <c r="S3254" s="100"/>
      <c r="T3254" s="100"/>
      <c r="U3254" s="100"/>
      <c r="V3254" s="100"/>
      <c r="W3254" s="100"/>
      <c r="X3254" s="100"/>
      <c r="Y3254" s="100"/>
      <c r="Z3254" s="100"/>
    </row>
    <row r="3255" spans="1:26">
      <c r="A3255" s="100"/>
      <c r="B3255" s="100"/>
      <c r="C3255" s="100"/>
      <c r="D3255" s="100"/>
      <c r="E3255" s="100"/>
      <c r="F3255" s="100"/>
      <c r="G3255" s="100"/>
      <c r="H3255" s="100"/>
      <c r="I3255" s="100"/>
      <c r="J3255" s="100"/>
      <c r="K3255" s="100"/>
      <c r="L3255" s="100"/>
      <c r="M3255" s="100"/>
      <c r="N3255" s="100"/>
      <c r="O3255" s="100"/>
      <c r="P3255" s="100"/>
      <c r="Q3255" s="100"/>
      <c r="R3255" s="100"/>
      <c r="S3255" s="100"/>
      <c r="T3255" s="100"/>
      <c r="U3255" s="100"/>
      <c r="V3255" s="100"/>
      <c r="W3255" s="100"/>
      <c r="X3255" s="100"/>
      <c r="Y3255" s="100"/>
      <c r="Z3255" s="100"/>
    </row>
    <row r="3256" spans="1:26">
      <c r="A3256" s="100"/>
      <c r="B3256" s="100"/>
      <c r="C3256" s="100"/>
      <c r="D3256" s="100"/>
      <c r="E3256" s="100"/>
      <c r="F3256" s="100"/>
      <c r="G3256" s="100"/>
      <c r="H3256" s="100"/>
      <c r="I3256" s="100"/>
      <c r="J3256" s="100"/>
      <c r="K3256" s="100"/>
      <c r="L3256" s="100"/>
      <c r="M3256" s="100"/>
      <c r="N3256" s="100"/>
      <c r="O3256" s="100"/>
      <c r="P3256" s="100"/>
      <c r="Q3256" s="100"/>
      <c r="R3256" s="100"/>
      <c r="S3256" s="100"/>
      <c r="T3256" s="100"/>
      <c r="U3256" s="100"/>
      <c r="V3256" s="100"/>
      <c r="W3256" s="100"/>
      <c r="X3256" s="100"/>
      <c r="Y3256" s="100"/>
      <c r="Z3256" s="100"/>
    </row>
    <row r="3257" spans="1:26">
      <c r="A3257" s="100"/>
      <c r="B3257" s="100"/>
      <c r="C3257" s="100"/>
      <c r="D3257" s="100"/>
      <c r="E3257" s="100"/>
      <c r="F3257" s="100"/>
      <c r="G3257" s="100"/>
      <c r="H3257" s="100"/>
      <c r="I3257" s="100"/>
      <c r="J3257" s="100"/>
      <c r="K3257" s="100"/>
      <c r="L3257" s="100"/>
      <c r="M3257" s="100"/>
      <c r="N3257" s="100"/>
      <c r="O3257" s="100"/>
      <c r="P3257" s="100"/>
      <c r="Q3257" s="100"/>
      <c r="R3257" s="100"/>
      <c r="S3257" s="100"/>
      <c r="T3257" s="100"/>
      <c r="U3257" s="100"/>
      <c r="V3257" s="100"/>
      <c r="W3257" s="100"/>
      <c r="X3257" s="100"/>
      <c r="Y3257" s="100"/>
      <c r="Z3257" s="100"/>
    </row>
    <row r="3258" spans="1:26">
      <c r="A3258" s="100"/>
      <c r="B3258" s="100"/>
      <c r="C3258" s="100"/>
      <c r="D3258" s="100"/>
      <c r="E3258" s="100"/>
      <c r="F3258" s="100"/>
      <c r="G3258" s="100"/>
      <c r="H3258" s="100"/>
      <c r="I3258" s="100"/>
      <c r="J3258" s="100"/>
      <c r="K3258" s="100"/>
      <c r="L3258" s="100"/>
      <c r="M3258" s="100"/>
      <c r="N3258" s="100"/>
      <c r="O3258" s="100"/>
      <c r="P3258" s="100"/>
      <c r="Q3258" s="100"/>
      <c r="R3258" s="100"/>
      <c r="S3258" s="100"/>
      <c r="T3258" s="100"/>
      <c r="U3258" s="100"/>
      <c r="V3258" s="100"/>
      <c r="W3258" s="100"/>
      <c r="X3258" s="100"/>
      <c r="Y3258" s="100"/>
      <c r="Z3258" s="100"/>
    </row>
    <row r="3259" spans="1:26">
      <c r="A3259" s="100"/>
      <c r="B3259" s="100"/>
      <c r="C3259" s="100"/>
      <c r="D3259" s="100"/>
      <c r="E3259" s="100"/>
      <c r="F3259" s="100"/>
      <c r="G3259" s="100"/>
      <c r="H3259" s="100"/>
      <c r="I3259" s="100"/>
      <c r="J3259" s="100"/>
      <c r="K3259" s="100"/>
      <c r="L3259" s="100"/>
      <c r="M3259" s="100"/>
      <c r="N3259" s="100"/>
      <c r="O3259" s="100"/>
      <c r="P3259" s="100"/>
      <c r="Q3259" s="100"/>
      <c r="R3259" s="100"/>
      <c r="S3259" s="100"/>
      <c r="T3259" s="100"/>
      <c r="U3259" s="100"/>
      <c r="V3259" s="100"/>
      <c r="W3259" s="100"/>
      <c r="X3259" s="100"/>
      <c r="Y3259" s="100"/>
      <c r="Z3259" s="100"/>
    </row>
    <row r="3260" spans="1:26">
      <c r="A3260" s="100"/>
      <c r="B3260" s="100"/>
      <c r="C3260" s="100"/>
      <c r="D3260" s="100"/>
      <c r="E3260" s="100"/>
      <c r="F3260" s="100"/>
      <c r="G3260" s="100"/>
      <c r="H3260" s="100"/>
      <c r="I3260" s="100"/>
      <c r="J3260" s="100"/>
      <c r="K3260" s="100"/>
      <c r="L3260" s="100"/>
      <c r="M3260" s="100"/>
      <c r="N3260" s="100"/>
      <c r="O3260" s="100"/>
      <c r="P3260" s="100"/>
      <c r="Q3260" s="100"/>
      <c r="R3260" s="100"/>
      <c r="S3260" s="100"/>
      <c r="T3260" s="100"/>
      <c r="U3260" s="100"/>
      <c r="V3260" s="100"/>
      <c r="W3260" s="100"/>
      <c r="X3260" s="100"/>
      <c r="Y3260" s="100"/>
      <c r="Z3260" s="100"/>
    </row>
    <row r="3261" spans="1:26">
      <c r="A3261" s="100"/>
      <c r="B3261" s="100"/>
      <c r="C3261" s="100"/>
      <c r="D3261" s="100"/>
      <c r="E3261" s="100"/>
      <c r="F3261" s="100"/>
      <c r="G3261" s="100"/>
      <c r="H3261" s="100"/>
      <c r="I3261" s="100"/>
      <c r="J3261" s="100"/>
      <c r="K3261" s="100"/>
      <c r="L3261" s="100"/>
      <c r="M3261" s="100"/>
      <c r="N3261" s="100"/>
      <c r="O3261" s="100"/>
      <c r="P3261" s="100"/>
      <c r="Q3261" s="100"/>
      <c r="R3261" s="100"/>
      <c r="S3261" s="100"/>
      <c r="T3261" s="100"/>
      <c r="U3261" s="100"/>
      <c r="V3261" s="100"/>
      <c r="W3261" s="100"/>
      <c r="X3261" s="100"/>
      <c r="Y3261" s="100"/>
      <c r="Z3261" s="100"/>
    </row>
    <row r="3262" spans="1:26">
      <c r="A3262" s="100"/>
      <c r="B3262" s="100"/>
      <c r="C3262" s="100"/>
      <c r="D3262" s="100"/>
      <c r="E3262" s="100"/>
      <c r="F3262" s="100"/>
      <c r="G3262" s="100"/>
      <c r="H3262" s="100"/>
      <c r="I3262" s="100"/>
      <c r="J3262" s="100"/>
      <c r="K3262" s="100"/>
      <c r="L3262" s="100"/>
      <c r="M3262" s="100"/>
      <c r="N3262" s="100"/>
      <c r="O3262" s="100"/>
      <c r="P3262" s="100"/>
      <c r="Q3262" s="100"/>
      <c r="R3262" s="100"/>
      <c r="S3262" s="100"/>
      <c r="T3262" s="100"/>
      <c r="U3262" s="100"/>
      <c r="V3262" s="100"/>
      <c r="W3262" s="100"/>
      <c r="X3262" s="100"/>
      <c r="Y3262" s="100"/>
      <c r="Z3262" s="100"/>
    </row>
    <row r="3263" spans="1:26">
      <c r="A3263" s="100"/>
      <c r="B3263" s="100"/>
      <c r="C3263" s="100"/>
      <c r="D3263" s="100"/>
      <c r="E3263" s="100"/>
      <c r="F3263" s="100"/>
      <c r="G3263" s="100"/>
      <c r="H3263" s="100"/>
      <c r="I3263" s="100"/>
      <c r="J3263" s="100"/>
      <c r="K3263" s="100"/>
      <c r="L3263" s="100"/>
      <c r="M3263" s="100"/>
      <c r="N3263" s="100"/>
      <c r="O3263" s="100"/>
      <c r="P3263" s="100"/>
      <c r="Q3263" s="100"/>
      <c r="R3263" s="100"/>
      <c r="S3263" s="100"/>
      <c r="T3263" s="100"/>
      <c r="U3263" s="100"/>
      <c r="V3263" s="100"/>
      <c r="W3263" s="100"/>
      <c r="X3263" s="100"/>
      <c r="Y3263" s="100"/>
      <c r="Z3263" s="100"/>
    </row>
    <row r="3264" spans="1:26">
      <c r="A3264" s="100"/>
      <c r="B3264" s="100"/>
      <c r="C3264" s="100"/>
      <c r="D3264" s="100"/>
      <c r="E3264" s="100"/>
      <c r="F3264" s="100"/>
      <c r="G3264" s="100"/>
      <c r="H3264" s="100"/>
      <c r="I3264" s="100"/>
      <c r="J3264" s="100"/>
      <c r="K3264" s="100"/>
      <c r="L3264" s="100"/>
      <c r="M3264" s="100"/>
      <c r="N3264" s="100"/>
      <c r="O3264" s="100"/>
      <c r="P3264" s="100"/>
      <c r="Q3264" s="100"/>
      <c r="R3264" s="100"/>
      <c r="S3264" s="100"/>
      <c r="T3264" s="100"/>
      <c r="U3264" s="100"/>
      <c r="V3264" s="100"/>
      <c r="W3264" s="100"/>
      <c r="X3264" s="100"/>
      <c r="Y3264" s="100"/>
      <c r="Z3264" s="100"/>
    </row>
    <row r="3265" spans="1:26">
      <c r="A3265" s="100"/>
      <c r="B3265" s="100"/>
      <c r="C3265" s="100"/>
      <c r="D3265" s="100"/>
      <c r="E3265" s="100"/>
      <c r="F3265" s="100"/>
      <c r="G3265" s="100"/>
      <c r="H3265" s="100"/>
      <c r="I3265" s="100"/>
      <c r="J3265" s="100"/>
      <c r="K3265" s="100"/>
      <c r="L3265" s="100"/>
      <c r="M3265" s="100"/>
      <c r="N3265" s="100"/>
      <c r="O3265" s="100"/>
      <c r="P3265" s="100"/>
      <c r="Q3265" s="100"/>
      <c r="R3265" s="100"/>
      <c r="S3265" s="100"/>
      <c r="T3265" s="100"/>
      <c r="U3265" s="100"/>
      <c r="V3265" s="100"/>
      <c r="W3265" s="100"/>
      <c r="X3265" s="100"/>
      <c r="Y3265" s="100"/>
      <c r="Z3265" s="100"/>
    </row>
    <row r="3266" spans="1:26">
      <c r="A3266" s="100"/>
      <c r="B3266" s="100"/>
      <c r="C3266" s="100"/>
      <c r="D3266" s="100"/>
      <c r="E3266" s="100"/>
      <c r="F3266" s="100"/>
      <c r="G3266" s="100"/>
      <c r="H3266" s="100"/>
      <c r="I3266" s="100"/>
      <c r="J3266" s="100"/>
      <c r="K3266" s="100"/>
      <c r="L3266" s="100"/>
      <c r="M3266" s="100"/>
      <c r="N3266" s="100"/>
      <c r="O3266" s="100"/>
      <c r="P3266" s="100"/>
      <c r="Q3266" s="100"/>
      <c r="R3266" s="100"/>
      <c r="S3266" s="100"/>
      <c r="T3266" s="100"/>
      <c r="U3266" s="100"/>
      <c r="V3266" s="100"/>
      <c r="W3266" s="100"/>
      <c r="X3266" s="100"/>
      <c r="Y3266" s="100"/>
      <c r="Z3266" s="100"/>
    </row>
    <row r="3267" spans="1:26">
      <c r="A3267" s="100"/>
      <c r="B3267" s="100"/>
      <c r="C3267" s="100"/>
      <c r="D3267" s="100"/>
      <c r="E3267" s="100"/>
      <c r="F3267" s="100"/>
      <c r="G3267" s="100"/>
      <c r="H3267" s="100"/>
      <c r="I3267" s="100"/>
      <c r="J3267" s="100"/>
      <c r="K3267" s="100"/>
      <c r="L3267" s="100"/>
      <c r="M3267" s="100"/>
      <c r="N3267" s="100"/>
      <c r="O3267" s="100"/>
      <c r="P3267" s="100"/>
      <c r="Q3267" s="100"/>
      <c r="R3267" s="100"/>
      <c r="S3267" s="100"/>
      <c r="T3267" s="100"/>
      <c r="U3267" s="100"/>
      <c r="V3267" s="100"/>
      <c r="W3267" s="100"/>
      <c r="X3267" s="100"/>
      <c r="Y3267" s="100"/>
      <c r="Z3267" s="100"/>
    </row>
    <row r="3268" spans="1:26">
      <c r="A3268" s="100"/>
      <c r="B3268" s="100"/>
      <c r="C3268" s="100"/>
      <c r="D3268" s="100"/>
      <c r="E3268" s="100"/>
      <c r="F3268" s="100"/>
      <c r="G3268" s="100"/>
      <c r="H3268" s="100"/>
      <c r="I3268" s="100"/>
      <c r="J3268" s="100"/>
      <c r="K3268" s="100"/>
      <c r="L3268" s="100"/>
      <c r="M3268" s="100"/>
      <c r="N3268" s="100"/>
      <c r="O3268" s="100"/>
      <c r="P3268" s="100"/>
      <c r="Q3268" s="100"/>
      <c r="R3268" s="100"/>
      <c r="S3268" s="100"/>
      <c r="T3268" s="100"/>
      <c r="U3268" s="100"/>
      <c r="V3268" s="100"/>
      <c r="W3268" s="100"/>
      <c r="X3268" s="100"/>
      <c r="Y3268" s="100"/>
      <c r="Z3268" s="100"/>
    </row>
    <row r="3269" spans="1:26">
      <c r="A3269" s="100"/>
      <c r="B3269" s="100"/>
      <c r="C3269" s="100"/>
      <c r="D3269" s="100"/>
      <c r="E3269" s="100"/>
      <c r="F3269" s="100"/>
      <c r="G3269" s="100"/>
      <c r="H3269" s="100"/>
      <c r="I3269" s="100"/>
      <c r="J3269" s="100"/>
      <c r="K3269" s="100"/>
      <c r="L3269" s="100"/>
      <c r="M3269" s="100"/>
      <c r="N3269" s="100"/>
      <c r="O3269" s="100"/>
      <c r="P3269" s="100"/>
      <c r="Q3269" s="100"/>
      <c r="R3269" s="100"/>
      <c r="S3269" s="100"/>
      <c r="T3269" s="100"/>
      <c r="U3269" s="100"/>
      <c r="V3269" s="100"/>
      <c r="W3269" s="100"/>
      <c r="X3269" s="100"/>
      <c r="Y3269" s="100"/>
      <c r="Z3269" s="100"/>
    </row>
    <row r="3270" spans="1:26">
      <c r="A3270" s="100"/>
      <c r="B3270" s="100"/>
      <c r="C3270" s="100"/>
      <c r="D3270" s="100"/>
      <c r="E3270" s="100"/>
      <c r="F3270" s="100"/>
      <c r="G3270" s="100"/>
      <c r="H3270" s="100"/>
      <c r="I3270" s="100"/>
      <c r="J3270" s="100"/>
      <c r="K3270" s="100"/>
      <c r="L3270" s="100"/>
      <c r="M3270" s="100"/>
      <c r="N3270" s="100"/>
      <c r="O3270" s="100"/>
      <c r="P3270" s="100"/>
      <c r="Q3270" s="100"/>
      <c r="R3270" s="100"/>
      <c r="S3270" s="100"/>
      <c r="T3270" s="100"/>
      <c r="U3270" s="100"/>
      <c r="V3270" s="100"/>
      <c r="W3270" s="100"/>
      <c r="X3270" s="100"/>
      <c r="Y3270" s="100"/>
      <c r="Z3270" s="100"/>
    </row>
    <row r="3271" spans="1:26">
      <c r="A3271" s="100"/>
      <c r="B3271" s="100"/>
      <c r="C3271" s="100"/>
      <c r="D3271" s="100"/>
      <c r="E3271" s="100"/>
      <c r="F3271" s="100"/>
      <c r="G3271" s="100"/>
      <c r="H3271" s="100"/>
      <c r="I3271" s="100"/>
      <c r="J3271" s="100"/>
      <c r="K3271" s="100"/>
      <c r="L3271" s="100"/>
      <c r="M3271" s="100"/>
      <c r="N3271" s="100"/>
      <c r="O3271" s="100"/>
      <c r="P3271" s="100"/>
      <c r="Q3271" s="100"/>
      <c r="R3271" s="100"/>
      <c r="S3271" s="100"/>
      <c r="T3271" s="100"/>
      <c r="U3271" s="100"/>
      <c r="V3271" s="100"/>
      <c r="W3271" s="100"/>
      <c r="X3271" s="100"/>
      <c r="Y3271" s="100"/>
      <c r="Z3271" s="100"/>
    </row>
    <row r="3272" spans="1:26">
      <c r="A3272" s="100"/>
      <c r="B3272" s="100"/>
      <c r="C3272" s="100"/>
      <c r="D3272" s="100"/>
      <c r="E3272" s="100"/>
      <c r="F3272" s="100"/>
      <c r="G3272" s="100"/>
      <c r="H3272" s="100"/>
      <c r="I3272" s="100"/>
      <c r="J3272" s="100"/>
      <c r="K3272" s="100"/>
      <c r="L3272" s="100"/>
      <c r="M3272" s="100"/>
      <c r="N3272" s="100"/>
      <c r="O3272" s="100"/>
      <c r="P3272" s="100"/>
      <c r="Q3272" s="100"/>
      <c r="R3272" s="100"/>
      <c r="S3272" s="100"/>
      <c r="T3272" s="100"/>
      <c r="U3272" s="100"/>
      <c r="V3272" s="100"/>
      <c r="W3272" s="100"/>
      <c r="X3272" s="100"/>
      <c r="Y3272" s="100"/>
      <c r="Z3272" s="100"/>
    </row>
    <row r="3273" spans="1:26">
      <c r="A3273" s="100"/>
      <c r="B3273" s="100"/>
      <c r="C3273" s="100"/>
      <c r="D3273" s="100"/>
      <c r="E3273" s="100"/>
      <c r="F3273" s="100"/>
      <c r="G3273" s="100"/>
      <c r="H3273" s="100"/>
      <c r="I3273" s="100"/>
      <c r="J3273" s="100"/>
      <c r="K3273" s="100"/>
      <c r="L3273" s="100"/>
      <c r="M3273" s="100"/>
      <c r="N3273" s="100"/>
      <c r="O3273" s="100"/>
      <c r="P3273" s="100"/>
      <c r="Q3273" s="100"/>
      <c r="R3273" s="100"/>
      <c r="S3273" s="100"/>
      <c r="T3273" s="100"/>
      <c r="U3273" s="100"/>
      <c r="V3273" s="100"/>
      <c r="W3273" s="100"/>
      <c r="X3273" s="100"/>
      <c r="Y3273" s="100"/>
      <c r="Z3273" s="100"/>
    </row>
    <row r="3274" spans="1:26">
      <c r="A3274" s="100"/>
      <c r="B3274" s="100"/>
      <c r="C3274" s="100"/>
      <c r="D3274" s="100"/>
      <c r="E3274" s="100"/>
      <c r="F3274" s="100"/>
      <c r="G3274" s="100"/>
      <c r="H3274" s="100"/>
      <c r="I3274" s="100"/>
      <c r="J3274" s="100"/>
      <c r="K3274" s="100"/>
      <c r="L3274" s="100"/>
      <c r="M3274" s="100"/>
      <c r="N3274" s="100"/>
      <c r="O3274" s="100"/>
      <c r="P3274" s="100"/>
      <c r="Q3274" s="100"/>
      <c r="R3274" s="100"/>
      <c r="S3274" s="100"/>
      <c r="T3274" s="100"/>
      <c r="U3274" s="100"/>
      <c r="V3274" s="100"/>
      <c r="W3274" s="100"/>
      <c r="X3274" s="100"/>
      <c r="Y3274" s="100"/>
      <c r="Z3274" s="100"/>
    </row>
    <row r="3275" spans="1:26">
      <c r="A3275" s="100"/>
      <c r="B3275" s="100"/>
      <c r="C3275" s="100"/>
      <c r="D3275" s="100"/>
      <c r="E3275" s="100"/>
      <c r="F3275" s="100"/>
      <c r="G3275" s="100"/>
      <c r="H3275" s="100"/>
      <c r="I3275" s="100"/>
      <c r="J3275" s="100"/>
      <c r="K3275" s="100"/>
      <c r="L3275" s="100"/>
      <c r="M3275" s="100"/>
      <c r="N3275" s="100"/>
      <c r="O3275" s="100"/>
      <c r="P3275" s="100"/>
      <c r="Q3275" s="100"/>
      <c r="R3275" s="100"/>
      <c r="S3275" s="100"/>
      <c r="T3275" s="100"/>
      <c r="U3275" s="100"/>
      <c r="V3275" s="100"/>
      <c r="W3275" s="100"/>
      <c r="X3275" s="100"/>
      <c r="Y3275" s="100"/>
      <c r="Z3275" s="100"/>
    </row>
    <row r="3276" spans="1:26">
      <c r="A3276" s="100"/>
      <c r="B3276" s="100"/>
      <c r="C3276" s="100"/>
      <c r="D3276" s="100"/>
      <c r="E3276" s="100"/>
      <c r="F3276" s="100"/>
      <c r="G3276" s="100"/>
      <c r="H3276" s="100"/>
      <c r="I3276" s="100"/>
      <c r="J3276" s="100"/>
      <c r="K3276" s="100"/>
      <c r="L3276" s="100"/>
      <c r="M3276" s="100"/>
      <c r="N3276" s="100"/>
      <c r="O3276" s="100"/>
      <c r="P3276" s="100"/>
      <c r="Q3276" s="100"/>
      <c r="R3276" s="100"/>
      <c r="S3276" s="100"/>
      <c r="T3276" s="100"/>
      <c r="U3276" s="100"/>
      <c r="V3276" s="100"/>
      <c r="W3276" s="100"/>
      <c r="X3276" s="100"/>
      <c r="Y3276" s="100"/>
      <c r="Z3276" s="100"/>
    </row>
    <row r="3277" spans="1:26">
      <c r="A3277" s="100"/>
      <c r="B3277" s="100"/>
      <c r="C3277" s="100"/>
      <c r="D3277" s="100"/>
      <c r="E3277" s="100"/>
      <c r="F3277" s="100"/>
      <c r="G3277" s="100"/>
      <c r="H3277" s="100"/>
      <c r="I3277" s="100"/>
      <c r="J3277" s="100"/>
      <c r="K3277" s="100"/>
      <c r="L3277" s="100"/>
      <c r="M3277" s="100"/>
      <c r="N3277" s="100"/>
      <c r="O3277" s="100"/>
      <c r="P3277" s="100"/>
      <c r="Q3277" s="100"/>
      <c r="R3277" s="100"/>
      <c r="S3277" s="100"/>
      <c r="T3277" s="100"/>
      <c r="U3277" s="100"/>
      <c r="V3277" s="100"/>
      <c r="W3277" s="100"/>
      <c r="X3277" s="100"/>
      <c r="Y3277" s="100"/>
      <c r="Z3277" s="100"/>
    </row>
    <row r="3278" spans="1:26">
      <c r="A3278" s="100"/>
      <c r="B3278" s="100"/>
      <c r="C3278" s="100"/>
      <c r="D3278" s="100"/>
      <c r="E3278" s="100"/>
      <c r="F3278" s="100"/>
      <c r="G3278" s="100"/>
      <c r="H3278" s="100"/>
      <c r="I3278" s="100"/>
      <c r="J3278" s="100"/>
      <c r="K3278" s="100"/>
      <c r="L3278" s="100"/>
      <c r="M3278" s="100"/>
      <c r="N3278" s="100"/>
      <c r="O3278" s="100"/>
      <c r="P3278" s="100"/>
      <c r="Q3278" s="100"/>
      <c r="R3278" s="100"/>
      <c r="S3278" s="100"/>
      <c r="T3278" s="100"/>
      <c r="U3278" s="100"/>
      <c r="V3278" s="100"/>
      <c r="W3278" s="100"/>
      <c r="X3278" s="100"/>
      <c r="Y3278" s="100"/>
      <c r="Z3278" s="100"/>
    </row>
    <row r="3279" spans="1:26">
      <c r="A3279" s="100"/>
      <c r="B3279" s="100"/>
      <c r="C3279" s="100"/>
      <c r="D3279" s="100"/>
      <c r="E3279" s="100"/>
      <c r="F3279" s="100"/>
      <c r="G3279" s="100"/>
      <c r="H3279" s="100"/>
      <c r="I3279" s="100"/>
      <c r="J3279" s="100"/>
      <c r="K3279" s="100"/>
      <c r="L3279" s="100"/>
      <c r="M3279" s="100"/>
      <c r="N3279" s="100"/>
      <c r="O3279" s="100"/>
      <c r="P3279" s="100"/>
      <c r="Q3279" s="100"/>
      <c r="R3279" s="100"/>
      <c r="S3279" s="100"/>
      <c r="T3279" s="100"/>
      <c r="U3279" s="100"/>
      <c r="V3279" s="100"/>
      <c r="W3279" s="100"/>
      <c r="X3279" s="100"/>
      <c r="Y3279" s="100"/>
      <c r="Z3279" s="100"/>
    </row>
    <row r="3280" spans="1:26">
      <c r="A3280" s="100"/>
      <c r="B3280" s="100"/>
      <c r="C3280" s="100"/>
      <c r="D3280" s="100"/>
      <c r="E3280" s="100"/>
      <c r="F3280" s="100"/>
      <c r="G3280" s="100"/>
      <c r="H3280" s="100"/>
      <c r="I3280" s="100"/>
      <c r="J3280" s="100"/>
      <c r="K3280" s="100"/>
      <c r="L3280" s="100"/>
      <c r="M3280" s="100"/>
      <c r="N3280" s="100"/>
      <c r="O3280" s="100"/>
      <c r="P3280" s="100"/>
      <c r="Q3280" s="100"/>
      <c r="R3280" s="100"/>
      <c r="S3280" s="100"/>
      <c r="T3280" s="100"/>
      <c r="U3280" s="100"/>
      <c r="V3280" s="100"/>
      <c r="W3280" s="100"/>
      <c r="X3280" s="100"/>
      <c r="Y3280" s="100"/>
      <c r="Z3280" s="100"/>
    </row>
    <row r="3281" spans="1:26">
      <c r="A3281" s="100"/>
      <c r="B3281" s="100"/>
      <c r="C3281" s="100"/>
      <c r="D3281" s="100"/>
      <c r="E3281" s="100"/>
      <c r="F3281" s="100"/>
      <c r="G3281" s="100"/>
      <c r="H3281" s="100"/>
      <c r="I3281" s="100"/>
      <c r="J3281" s="100"/>
      <c r="K3281" s="100"/>
      <c r="L3281" s="100"/>
      <c r="M3281" s="100"/>
      <c r="N3281" s="100"/>
      <c r="O3281" s="100"/>
      <c r="P3281" s="100"/>
      <c r="Q3281" s="100"/>
      <c r="R3281" s="100"/>
      <c r="S3281" s="100"/>
      <c r="T3281" s="100"/>
      <c r="U3281" s="100"/>
      <c r="V3281" s="100"/>
      <c r="W3281" s="100"/>
      <c r="X3281" s="100"/>
      <c r="Y3281" s="100"/>
      <c r="Z3281" s="100"/>
    </row>
    <row r="3282" spans="1:26">
      <c r="A3282" s="100"/>
      <c r="B3282" s="100"/>
      <c r="C3282" s="100"/>
      <c r="D3282" s="100"/>
      <c r="E3282" s="100"/>
      <c r="F3282" s="100"/>
      <c r="G3282" s="100"/>
      <c r="H3282" s="100"/>
      <c r="I3282" s="100"/>
      <c r="J3282" s="100"/>
      <c r="K3282" s="100"/>
      <c r="L3282" s="100"/>
      <c r="M3282" s="100"/>
      <c r="N3282" s="100"/>
      <c r="O3282" s="100"/>
      <c r="P3282" s="100"/>
      <c r="Q3282" s="100"/>
      <c r="R3282" s="100"/>
      <c r="S3282" s="100"/>
      <c r="T3282" s="100"/>
      <c r="U3282" s="100"/>
      <c r="V3282" s="100"/>
      <c r="W3282" s="100"/>
      <c r="X3282" s="100"/>
      <c r="Y3282" s="100"/>
      <c r="Z3282" s="100"/>
    </row>
    <row r="3283" spans="1:26">
      <c r="A3283" s="100"/>
      <c r="B3283" s="100"/>
      <c r="C3283" s="100"/>
      <c r="D3283" s="100"/>
      <c r="E3283" s="100"/>
      <c r="F3283" s="100"/>
      <c r="G3283" s="100"/>
      <c r="H3283" s="100"/>
      <c r="I3283" s="100"/>
      <c r="J3283" s="100"/>
      <c r="K3283" s="100"/>
      <c r="L3283" s="100"/>
      <c r="M3283" s="100"/>
      <c r="N3283" s="100"/>
      <c r="O3283" s="100"/>
      <c r="P3283" s="100"/>
      <c r="Q3283" s="100"/>
      <c r="R3283" s="100"/>
      <c r="S3283" s="100"/>
      <c r="T3283" s="100"/>
      <c r="U3283" s="100"/>
      <c r="V3283" s="100"/>
      <c r="W3283" s="100"/>
      <c r="X3283" s="100"/>
      <c r="Y3283" s="100"/>
      <c r="Z3283" s="100"/>
    </row>
    <row r="3284" spans="1:26">
      <c r="A3284" s="100"/>
      <c r="B3284" s="100"/>
      <c r="C3284" s="100"/>
      <c r="D3284" s="100"/>
      <c r="E3284" s="100"/>
      <c r="F3284" s="100"/>
      <c r="G3284" s="100"/>
      <c r="H3284" s="100"/>
      <c r="I3284" s="100"/>
      <c r="J3284" s="100"/>
      <c r="K3284" s="100"/>
      <c r="L3284" s="100"/>
      <c r="M3284" s="100"/>
      <c r="N3284" s="100"/>
      <c r="O3284" s="100"/>
      <c r="P3284" s="100"/>
      <c r="Q3284" s="100"/>
      <c r="R3284" s="100"/>
      <c r="S3284" s="100"/>
      <c r="T3284" s="100"/>
      <c r="U3284" s="100"/>
      <c r="V3284" s="100"/>
      <c r="W3284" s="100"/>
      <c r="X3284" s="100"/>
      <c r="Y3284" s="100"/>
      <c r="Z3284" s="100"/>
    </row>
    <row r="3285" spans="1:26">
      <c r="A3285" s="100"/>
      <c r="B3285" s="100"/>
      <c r="C3285" s="100"/>
      <c r="D3285" s="100"/>
      <c r="E3285" s="100"/>
      <c r="F3285" s="100"/>
      <c r="G3285" s="100"/>
      <c r="H3285" s="100"/>
      <c r="I3285" s="100"/>
      <c r="J3285" s="100"/>
      <c r="K3285" s="100"/>
      <c r="L3285" s="100"/>
      <c r="M3285" s="100"/>
      <c r="N3285" s="100"/>
      <c r="O3285" s="100"/>
      <c r="P3285" s="100"/>
      <c r="Q3285" s="100"/>
      <c r="R3285" s="100"/>
      <c r="S3285" s="100"/>
      <c r="T3285" s="100"/>
      <c r="U3285" s="100"/>
      <c r="V3285" s="100"/>
      <c r="W3285" s="100"/>
      <c r="X3285" s="100"/>
      <c r="Y3285" s="100"/>
      <c r="Z3285" s="100"/>
    </row>
    <row r="3286" spans="1:26">
      <c r="A3286" s="100"/>
      <c r="B3286" s="100"/>
      <c r="C3286" s="100"/>
      <c r="D3286" s="100"/>
      <c r="E3286" s="100"/>
      <c r="F3286" s="100"/>
      <c r="G3286" s="100"/>
      <c r="H3286" s="100"/>
      <c r="I3286" s="100"/>
      <c r="J3286" s="100"/>
      <c r="K3286" s="100"/>
      <c r="L3286" s="100"/>
      <c r="M3286" s="100"/>
      <c r="N3286" s="100"/>
      <c r="O3286" s="100"/>
      <c r="P3286" s="100"/>
      <c r="Q3286" s="100"/>
      <c r="R3286" s="100"/>
      <c r="S3286" s="100"/>
      <c r="T3286" s="100"/>
      <c r="U3286" s="100"/>
      <c r="V3286" s="100"/>
      <c r="W3286" s="100"/>
      <c r="X3286" s="100"/>
      <c r="Y3286" s="100"/>
      <c r="Z3286" s="100"/>
    </row>
    <row r="3287" spans="1:26">
      <c r="A3287" s="100"/>
      <c r="B3287" s="100"/>
      <c r="C3287" s="100"/>
      <c r="D3287" s="100"/>
      <c r="E3287" s="100"/>
      <c r="F3287" s="100"/>
      <c r="G3287" s="100"/>
      <c r="H3287" s="100"/>
      <c r="I3287" s="100"/>
      <c r="J3287" s="100"/>
      <c r="K3287" s="100"/>
      <c r="L3287" s="100"/>
      <c r="M3287" s="100"/>
      <c r="N3287" s="100"/>
      <c r="O3287" s="100"/>
      <c r="P3287" s="100"/>
      <c r="Q3287" s="100"/>
      <c r="R3287" s="100"/>
      <c r="S3287" s="100"/>
      <c r="T3287" s="100"/>
      <c r="U3287" s="100"/>
      <c r="V3287" s="100"/>
      <c r="W3287" s="100"/>
      <c r="X3287" s="100"/>
      <c r="Y3287" s="100"/>
      <c r="Z3287" s="100"/>
    </row>
    <row r="3288" spans="1:26">
      <c r="A3288" s="100"/>
      <c r="B3288" s="100"/>
      <c r="C3288" s="100"/>
      <c r="D3288" s="100"/>
      <c r="E3288" s="100"/>
      <c r="F3288" s="100"/>
      <c r="G3288" s="100"/>
      <c r="H3288" s="100"/>
      <c r="I3288" s="100"/>
      <c r="J3288" s="100"/>
      <c r="K3288" s="100"/>
      <c r="L3288" s="100"/>
      <c r="M3288" s="100"/>
      <c r="N3288" s="100"/>
      <c r="O3288" s="100"/>
      <c r="P3288" s="100"/>
      <c r="Q3288" s="100"/>
      <c r="R3288" s="100"/>
      <c r="S3288" s="100"/>
      <c r="T3288" s="100"/>
      <c r="U3288" s="100"/>
      <c r="V3288" s="100"/>
      <c r="W3288" s="100"/>
      <c r="X3288" s="100"/>
      <c r="Y3288" s="100"/>
      <c r="Z3288" s="100"/>
    </row>
    <row r="3289" spans="1:26">
      <c r="A3289" s="100"/>
      <c r="B3289" s="100"/>
      <c r="C3289" s="100"/>
      <c r="D3289" s="100"/>
      <c r="E3289" s="100"/>
      <c r="F3289" s="100"/>
      <c r="G3289" s="100"/>
      <c r="H3289" s="100"/>
      <c r="I3289" s="100"/>
      <c r="J3289" s="100"/>
      <c r="K3289" s="100"/>
      <c r="L3289" s="100"/>
      <c r="M3289" s="100"/>
      <c r="N3289" s="100"/>
      <c r="O3289" s="100"/>
      <c r="P3289" s="100"/>
      <c r="Q3289" s="100"/>
      <c r="R3289" s="100"/>
      <c r="S3289" s="100"/>
      <c r="T3289" s="100"/>
      <c r="U3289" s="100"/>
      <c r="V3289" s="100"/>
      <c r="W3289" s="100"/>
      <c r="X3289" s="100"/>
      <c r="Y3289" s="100"/>
      <c r="Z3289" s="100"/>
    </row>
    <row r="3290" spans="1:26">
      <c r="A3290" s="100"/>
      <c r="B3290" s="100"/>
      <c r="C3290" s="100"/>
      <c r="D3290" s="100"/>
      <c r="E3290" s="100"/>
      <c r="F3290" s="100"/>
      <c r="G3290" s="100"/>
      <c r="H3290" s="100"/>
      <c r="I3290" s="100"/>
      <c r="J3290" s="100"/>
      <c r="K3290" s="100"/>
      <c r="L3290" s="100"/>
      <c r="M3290" s="100"/>
      <c r="N3290" s="100"/>
      <c r="O3290" s="100"/>
      <c r="P3290" s="100"/>
      <c r="Q3290" s="100"/>
      <c r="R3290" s="100"/>
      <c r="S3290" s="100"/>
      <c r="T3290" s="100"/>
      <c r="U3290" s="100"/>
      <c r="V3290" s="100"/>
      <c r="W3290" s="100"/>
      <c r="X3290" s="100"/>
      <c r="Y3290" s="100"/>
      <c r="Z3290" s="100"/>
    </row>
    <row r="3291" spans="1:26">
      <c r="A3291" s="100"/>
      <c r="B3291" s="100"/>
      <c r="C3291" s="100"/>
      <c r="D3291" s="100"/>
      <c r="E3291" s="100"/>
      <c r="F3291" s="100"/>
      <c r="G3291" s="100"/>
      <c r="H3291" s="100"/>
      <c r="I3291" s="100"/>
      <c r="J3291" s="100"/>
      <c r="K3291" s="100"/>
      <c r="L3291" s="100"/>
      <c r="M3291" s="100"/>
      <c r="N3291" s="100"/>
      <c r="O3291" s="100"/>
      <c r="P3291" s="100"/>
      <c r="Q3291" s="100"/>
      <c r="R3291" s="100"/>
      <c r="S3291" s="100"/>
      <c r="T3291" s="100"/>
      <c r="U3291" s="100"/>
      <c r="V3291" s="100"/>
      <c r="W3291" s="100"/>
      <c r="X3291" s="100"/>
      <c r="Y3291" s="100"/>
      <c r="Z3291" s="100"/>
    </row>
    <row r="3292" spans="1:26">
      <c r="A3292" s="100"/>
      <c r="B3292" s="100"/>
      <c r="C3292" s="100"/>
      <c r="D3292" s="100"/>
      <c r="E3292" s="100"/>
      <c r="F3292" s="100"/>
      <c r="G3292" s="100"/>
      <c r="H3292" s="100"/>
      <c r="I3292" s="100"/>
      <c r="J3292" s="100"/>
      <c r="K3292" s="100"/>
      <c r="L3292" s="100"/>
      <c r="M3292" s="100"/>
      <c r="N3292" s="100"/>
      <c r="O3292" s="100"/>
      <c r="P3292" s="100"/>
      <c r="Q3292" s="100"/>
      <c r="R3292" s="100"/>
      <c r="S3292" s="100"/>
      <c r="T3292" s="100"/>
      <c r="U3292" s="100"/>
      <c r="V3292" s="100"/>
      <c r="W3292" s="100"/>
      <c r="X3292" s="100"/>
      <c r="Y3292" s="100"/>
      <c r="Z3292" s="100"/>
    </row>
    <row r="3293" spans="1:26">
      <c r="A3293" s="100"/>
      <c r="B3293" s="100"/>
      <c r="C3293" s="100"/>
      <c r="D3293" s="100"/>
      <c r="E3293" s="100"/>
      <c r="F3293" s="100"/>
      <c r="G3293" s="100"/>
      <c r="H3293" s="100"/>
      <c r="I3293" s="100"/>
      <c r="J3293" s="100"/>
      <c r="K3293" s="100"/>
      <c r="L3293" s="100"/>
      <c r="M3293" s="100"/>
      <c r="N3293" s="100"/>
      <c r="O3293" s="100"/>
      <c r="P3293" s="100"/>
      <c r="Q3293" s="100"/>
      <c r="R3293" s="100"/>
      <c r="S3293" s="100"/>
      <c r="T3293" s="100"/>
      <c r="U3293" s="100"/>
      <c r="V3293" s="100"/>
      <c r="W3293" s="100"/>
      <c r="X3293" s="100"/>
      <c r="Y3293" s="100"/>
      <c r="Z3293" s="100"/>
    </row>
    <row r="3294" spans="1:26">
      <c r="A3294" s="100"/>
      <c r="B3294" s="100"/>
      <c r="C3294" s="100"/>
      <c r="D3294" s="100"/>
      <c r="E3294" s="100"/>
      <c r="F3294" s="100"/>
      <c r="G3294" s="100"/>
      <c r="H3294" s="100"/>
      <c r="I3294" s="100"/>
      <c r="J3294" s="100"/>
      <c r="K3294" s="100"/>
      <c r="L3294" s="100"/>
      <c r="M3294" s="100"/>
      <c r="N3294" s="100"/>
      <c r="O3294" s="100"/>
      <c r="P3294" s="100"/>
      <c r="Q3294" s="100"/>
      <c r="R3294" s="100"/>
      <c r="S3294" s="100"/>
      <c r="T3294" s="100"/>
      <c r="U3294" s="100"/>
      <c r="V3294" s="100"/>
      <c r="W3294" s="100"/>
      <c r="X3294" s="100"/>
      <c r="Y3294" s="100"/>
      <c r="Z3294" s="100"/>
    </row>
    <row r="3295" spans="1:26">
      <c r="A3295" s="100"/>
      <c r="B3295" s="100"/>
      <c r="C3295" s="100"/>
      <c r="D3295" s="100"/>
      <c r="E3295" s="100"/>
      <c r="F3295" s="100"/>
      <c r="G3295" s="100"/>
      <c r="H3295" s="100"/>
      <c r="I3295" s="100"/>
      <c r="J3295" s="100"/>
      <c r="K3295" s="100"/>
      <c r="L3295" s="100"/>
      <c r="M3295" s="100"/>
      <c r="N3295" s="100"/>
      <c r="O3295" s="100"/>
      <c r="P3295" s="100"/>
      <c r="Q3295" s="100"/>
      <c r="R3295" s="100"/>
      <c r="S3295" s="100"/>
      <c r="T3295" s="100"/>
      <c r="U3295" s="100"/>
      <c r="V3295" s="100"/>
      <c r="W3295" s="100"/>
      <c r="X3295" s="100"/>
      <c r="Y3295" s="100"/>
      <c r="Z3295" s="100"/>
    </row>
    <row r="3296" spans="1:26">
      <c r="A3296" s="100"/>
      <c r="B3296" s="100"/>
      <c r="C3296" s="100"/>
      <c r="D3296" s="100"/>
      <c r="E3296" s="100"/>
      <c r="F3296" s="100"/>
      <c r="G3296" s="100"/>
      <c r="H3296" s="100"/>
      <c r="I3296" s="100"/>
      <c r="J3296" s="100"/>
      <c r="K3296" s="100"/>
      <c r="L3296" s="100"/>
      <c r="M3296" s="100"/>
      <c r="N3296" s="100"/>
      <c r="O3296" s="100"/>
      <c r="P3296" s="100"/>
      <c r="Q3296" s="100"/>
      <c r="R3296" s="100"/>
      <c r="S3296" s="100"/>
      <c r="T3296" s="100"/>
      <c r="U3296" s="100"/>
      <c r="V3296" s="100"/>
      <c r="W3296" s="100"/>
      <c r="X3296" s="100"/>
      <c r="Y3296" s="100"/>
      <c r="Z3296" s="100"/>
    </row>
    <row r="3297" spans="1:26">
      <c r="A3297" s="100"/>
      <c r="B3297" s="100"/>
      <c r="C3297" s="100"/>
      <c r="D3297" s="100"/>
      <c r="E3297" s="100"/>
      <c r="F3297" s="100"/>
      <c r="G3297" s="100"/>
      <c r="H3297" s="100"/>
      <c r="I3297" s="100"/>
      <c r="J3297" s="100"/>
      <c r="K3297" s="100"/>
      <c r="L3297" s="100"/>
      <c r="M3297" s="100"/>
      <c r="N3297" s="100"/>
      <c r="O3297" s="100"/>
      <c r="P3297" s="100"/>
      <c r="Q3297" s="100"/>
      <c r="R3297" s="100"/>
      <c r="S3297" s="100"/>
      <c r="T3297" s="100"/>
      <c r="U3297" s="100"/>
      <c r="V3297" s="100"/>
      <c r="W3297" s="100"/>
      <c r="X3297" s="100"/>
      <c r="Y3297" s="100"/>
      <c r="Z3297" s="100"/>
    </row>
    <row r="3298" spans="1:26">
      <c r="A3298" s="100"/>
      <c r="B3298" s="100"/>
      <c r="C3298" s="100"/>
      <c r="D3298" s="100"/>
      <c r="E3298" s="100"/>
      <c r="F3298" s="100"/>
      <c r="G3298" s="100"/>
      <c r="H3298" s="100"/>
      <c r="I3298" s="100"/>
      <c r="J3298" s="100"/>
      <c r="K3298" s="100"/>
      <c r="L3298" s="100"/>
      <c r="M3298" s="100"/>
      <c r="N3298" s="100"/>
      <c r="O3298" s="100"/>
      <c r="P3298" s="100"/>
      <c r="Q3298" s="100"/>
      <c r="R3298" s="100"/>
      <c r="S3298" s="100"/>
      <c r="T3298" s="100"/>
      <c r="U3298" s="100"/>
      <c r="V3298" s="100"/>
      <c r="W3298" s="100"/>
      <c r="X3298" s="100"/>
      <c r="Y3298" s="100"/>
      <c r="Z3298" s="100"/>
    </row>
    <row r="3299" spans="1:26">
      <c r="A3299" s="100"/>
      <c r="B3299" s="100"/>
      <c r="C3299" s="100"/>
      <c r="D3299" s="100"/>
      <c r="E3299" s="100"/>
      <c r="F3299" s="100"/>
      <c r="G3299" s="100"/>
      <c r="H3299" s="100"/>
      <c r="I3299" s="100"/>
      <c r="J3299" s="100"/>
      <c r="K3299" s="100"/>
      <c r="L3299" s="100"/>
      <c r="M3299" s="100"/>
      <c r="N3299" s="100"/>
      <c r="O3299" s="100"/>
      <c r="P3299" s="100"/>
      <c r="Q3299" s="100"/>
      <c r="R3299" s="100"/>
      <c r="S3299" s="100"/>
      <c r="T3299" s="100"/>
      <c r="U3299" s="100"/>
      <c r="V3299" s="100"/>
      <c r="W3299" s="100"/>
      <c r="X3299" s="100"/>
      <c r="Y3299" s="100"/>
      <c r="Z3299" s="100"/>
    </row>
    <row r="3300" spans="1:26">
      <c r="A3300" s="100"/>
      <c r="B3300" s="100"/>
      <c r="C3300" s="100"/>
      <c r="D3300" s="100"/>
      <c r="E3300" s="100"/>
      <c r="F3300" s="100"/>
      <c r="G3300" s="100"/>
      <c r="H3300" s="100"/>
      <c r="I3300" s="100"/>
      <c r="J3300" s="100"/>
      <c r="K3300" s="100"/>
      <c r="L3300" s="100"/>
      <c r="M3300" s="100"/>
      <c r="N3300" s="100"/>
      <c r="O3300" s="100"/>
      <c r="P3300" s="100"/>
      <c r="Q3300" s="100"/>
      <c r="R3300" s="100"/>
      <c r="S3300" s="100"/>
      <c r="T3300" s="100"/>
      <c r="U3300" s="100"/>
      <c r="V3300" s="100"/>
      <c r="W3300" s="100"/>
      <c r="X3300" s="100"/>
      <c r="Y3300" s="100"/>
      <c r="Z3300" s="100"/>
    </row>
    <row r="3301" spans="1:26">
      <c r="A3301" s="100"/>
      <c r="B3301" s="100"/>
      <c r="C3301" s="100"/>
      <c r="D3301" s="100"/>
      <c r="E3301" s="100"/>
      <c r="F3301" s="100"/>
      <c r="G3301" s="100"/>
      <c r="H3301" s="100"/>
      <c r="I3301" s="100"/>
      <c r="J3301" s="100"/>
      <c r="K3301" s="100"/>
      <c r="L3301" s="100"/>
      <c r="M3301" s="100"/>
      <c r="N3301" s="100"/>
      <c r="O3301" s="100"/>
      <c r="P3301" s="100"/>
      <c r="Q3301" s="100"/>
      <c r="R3301" s="100"/>
      <c r="S3301" s="100"/>
      <c r="T3301" s="100"/>
      <c r="U3301" s="100"/>
      <c r="V3301" s="100"/>
      <c r="W3301" s="100"/>
      <c r="X3301" s="100"/>
      <c r="Y3301" s="100"/>
      <c r="Z3301" s="100"/>
    </row>
    <row r="3302" spans="1:26">
      <c r="A3302" s="100"/>
      <c r="B3302" s="100"/>
      <c r="C3302" s="100"/>
      <c r="D3302" s="100"/>
      <c r="E3302" s="100"/>
      <c r="F3302" s="100"/>
      <c r="G3302" s="100"/>
      <c r="H3302" s="100"/>
      <c r="I3302" s="100"/>
      <c r="J3302" s="100"/>
      <c r="K3302" s="100"/>
      <c r="L3302" s="100"/>
      <c r="M3302" s="100"/>
      <c r="N3302" s="100"/>
      <c r="O3302" s="100"/>
      <c r="P3302" s="100"/>
      <c r="Q3302" s="100"/>
      <c r="R3302" s="100"/>
      <c r="S3302" s="100"/>
      <c r="T3302" s="100"/>
      <c r="U3302" s="100"/>
      <c r="V3302" s="100"/>
      <c r="W3302" s="100"/>
      <c r="X3302" s="100"/>
      <c r="Y3302" s="100"/>
      <c r="Z3302" s="100"/>
    </row>
    <row r="3303" spans="1:26">
      <c r="A3303" s="100"/>
      <c r="B3303" s="100"/>
      <c r="C3303" s="100"/>
      <c r="D3303" s="100"/>
      <c r="E3303" s="100"/>
      <c r="F3303" s="100"/>
      <c r="G3303" s="100"/>
      <c r="H3303" s="100"/>
      <c r="I3303" s="100"/>
      <c r="J3303" s="100"/>
      <c r="K3303" s="100"/>
      <c r="L3303" s="100"/>
      <c r="M3303" s="100"/>
      <c r="N3303" s="100"/>
      <c r="O3303" s="100"/>
      <c r="P3303" s="100"/>
      <c r="Q3303" s="100"/>
      <c r="R3303" s="100"/>
      <c r="S3303" s="100"/>
      <c r="T3303" s="100"/>
      <c r="U3303" s="100"/>
      <c r="V3303" s="100"/>
      <c r="W3303" s="100"/>
      <c r="X3303" s="100"/>
      <c r="Y3303" s="100"/>
      <c r="Z3303" s="100"/>
    </row>
    <row r="3304" spans="1:26">
      <c r="A3304" s="100"/>
      <c r="B3304" s="100"/>
      <c r="C3304" s="100"/>
      <c r="D3304" s="100"/>
      <c r="E3304" s="100"/>
      <c r="F3304" s="100"/>
      <c r="G3304" s="100"/>
      <c r="H3304" s="100"/>
      <c r="I3304" s="100"/>
      <c r="J3304" s="100"/>
      <c r="K3304" s="100"/>
      <c r="L3304" s="100"/>
      <c r="M3304" s="100"/>
      <c r="N3304" s="100"/>
      <c r="O3304" s="100"/>
      <c r="P3304" s="100"/>
      <c r="Q3304" s="100"/>
      <c r="R3304" s="100"/>
      <c r="S3304" s="100"/>
      <c r="T3304" s="100"/>
      <c r="U3304" s="100"/>
      <c r="V3304" s="100"/>
      <c r="W3304" s="100"/>
      <c r="X3304" s="100"/>
      <c r="Y3304" s="100"/>
      <c r="Z3304" s="100"/>
    </row>
    <row r="3305" spans="1:26">
      <c r="A3305" s="100"/>
      <c r="B3305" s="100"/>
      <c r="C3305" s="100"/>
      <c r="D3305" s="100"/>
      <c r="E3305" s="100"/>
      <c r="F3305" s="100"/>
      <c r="G3305" s="100"/>
      <c r="H3305" s="100"/>
      <c r="I3305" s="100"/>
      <c r="J3305" s="100"/>
      <c r="K3305" s="100"/>
      <c r="L3305" s="100"/>
      <c r="M3305" s="100"/>
      <c r="N3305" s="100"/>
      <c r="O3305" s="100"/>
      <c r="P3305" s="100"/>
      <c r="Q3305" s="100"/>
      <c r="R3305" s="100"/>
      <c r="S3305" s="100"/>
      <c r="T3305" s="100"/>
      <c r="U3305" s="100"/>
      <c r="V3305" s="100"/>
      <c r="W3305" s="100"/>
      <c r="X3305" s="100"/>
      <c r="Y3305" s="100"/>
      <c r="Z3305" s="100"/>
    </row>
    <row r="3306" spans="1:26">
      <c r="A3306" s="100"/>
      <c r="B3306" s="100"/>
      <c r="C3306" s="100"/>
      <c r="D3306" s="100"/>
      <c r="E3306" s="100"/>
      <c r="F3306" s="100"/>
      <c r="G3306" s="100"/>
      <c r="H3306" s="100"/>
      <c r="I3306" s="100"/>
      <c r="J3306" s="100"/>
      <c r="K3306" s="100"/>
      <c r="L3306" s="100"/>
      <c r="M3306" s="100"/>
      <c r="N3306" s="100"/>
      <c r="O3306" s="100"/>
      <c r="P3306" s="100"/>
      <c r="Q3306" s="100"/>
      <c r="R3306" s="100"/>
      <c r="S3306" s="100"/>
      <c r="T3306" s="100"/>
      <c r="U3306" s="100"/>
      <c r="V3306" s="100"/>
      <c r="W3306" s="100"/>
      <c r="X3306" s="100"/>
      <c r="Y3306" s="100"/>
      <c r="Z3306" s="100"/>
    </row>
    <row r="3307" spans="1:26">
      <c r="A3307" s="100"/>
      <c r="B3307" s="100"/>
      <c r="C3307" s="100"/>
      <c r="D3307" s="100"/>
      <c r="E3307" s="100"/>
      <c r="F3307" s="100"/>
      <c r="G3307" s="100"/>
      <c r="H3307" s="100"/>
      <c r="I3307" s="100"/>
      <c r="J3307" s="100"/>
      <c r="K3307" s="100"/>
      <c r="L3307" s="100"/>
      <c r="M3307" s="100"/>
      <c r="N3307" s="100"/>
      <c r="O3307" s="100"/>
      <c r="P3307" s="100"/>
      <c r="Q3307" s="100"/>
      <c r="R3307" s="100"/>
      <c r="S3307" s="100"/>
      <c r="T3307" s="100"/>
      <c r="U3307" s="100"/>
      <c r="V3307" s="100"/>
      <c r="W3307" s="100"/>
      <c r="X3307" s="100"/>
      <c r="Y3307" s="100"/>
      <c r="Z3307" s="100"/>
    </row>
    <row r="3308" spans="1:26">
      <c r="A3308" s="100"/>
      <c r="B3308" s="100"/>
      <c r="C3308" s="100"/>
      <c r="D3308" s="100"/>
      <c r="E3308" s="100"/>
      <c r="F3308" s="100"/>
      <c r="G3308" s="100"/>
      <c r="H3308" s="100"/>
      <c r="I3308" s="100"/>
      <c r="J3308" s="100"/>
      <c r="K3308" s="100"/>
      <c r="L3308" s="100"/>
      <c r="M3308" s="100"/>
      <c r="N3308" s="100"/>
      <c r="O3308" s="100"/>
      <c r="P3308" s="100"/>
      <c r="Q3308" s="100"/>
      <c r="R3308" s="100"/>
      <c r="S3308" s="100"/>
      <c r="T3308" s="100"/>
      <c r="U3308" s="100"/>
      <c r="V3308" s="100"/>
      <c r="W3308" s="100"/>
      <c r="X3308" s="100"/>
      <c r="Y3308" s="100"/>
      <c r="Z3308" s="100"/>
    </row>
    <row r="3309" spans="1:26">
      <c r="A3309" s="100"/>
      <c r="B3309" s="100"/>
      <c r="C3309" s="100"/>
      <c r="D3309" s="100"/>
      <c r="E3309" s="100"/>
      <c r="F3309" s="100"/>
      <c r="G3309" s="100"/>
      <c r="H3309" s="100"/>
      <c r="I3309" s="100"/>
      <c r="J3309" s="100"/>
      <c r="K3309" s="100"/>
      <c r="L3309" s="100"/>
      <c r="M3309" s="100"/>
      <c r="N3309" s="100"/>
      <c r="O3309" s="100"/>
      <c r="P3309" s="100"/>
      <c r="Q3309" s="100"/>
      <c r="R3309" s="100"/>
      <c r="S3309" s="100"/>
      <c r="T3309" s="100"/>
      <c r="U3309" s="100"/>
      <c r="V3309" s="100"/>
      <c r="W3309" s="100"/>
      <c r="X3309" s="100"/>
      <c r="Y3309" s="100"/>
      <c r="Z3309" s="100"/>
    </row>
    <row r="3310" spans="1:26">
      <c r="A3310" s="100"/>
      <c r="B3310" s="100"/>
      <c r="C3310" s="100"/>
      <c r="D3310" s="100"/>
      <c r="E3310" s="100"/>
      <c r="F3310" s="100"/>
      <c r="G3310" s="100"/>
      <c r="H3310" s="100"/>
      <c r="I3310" s="100"/>
      <c r="J3310" s="100"/>
      <c r="K3310" s="100"/>
      <c r="L3310" s="100"/>
      <c r="M3310" s="100"/>
      <c r="N3310" s="100"/>
      <c r="O3310" s="100"/>
      <c r="P3310" s="100"/>
      <c r="Q3310" s="100"/>
      <c r="R3310" s="100"/>
      <c r="S3310" s="100"/>
      <c r="T3310" s="100"/>
      <c r="U3310" s="100"/>
      <c r="V3310" s="100"/>
      <c r="W3310" s="100"/>
      <c r="X3310" s="100"/>
      <c r="Y3310" s="100"/>
      <c r="Z3310" s="100"/>
    </row>
    <row r="3311" spans="1:26">
      <c r="A3311" s="100"/>
      <c r="B3311" s="100"/>
      <c r="C3311" s="100"/>
      <c r="D3311" s="100"/>
      <c r="E3311" s="100"/>
      <c r="F3311" s="100"/>
      <c r="G3311" s="100"/>
      <c r="H3311" s="100"/>
      <c r="I3311" s="100"/>
      <c r="J3311" s="100"/>
      <c r="K3311" s="100"/>
      <c r="L3311" s="100"/>
      <c r="M3311" s="100"/>
      <c r="N3311" s="100"/>
      <c r="O3311" s="100"/>
      <c r="P3311" s="100"/>
      <c r="Q3311" s="100"/>
      <c r="R3311" s="100"/>
      <c r="S3311" s="100"/>
      <c r="T3311" s="100"/>
      <c r="U3311" s="100"/>
      <c r="V3311" s="100"/>
      <c r="W3311" s="100"/>
      <c r="X3311" s="100"/>
      <c r="Y3311" s="100"/>
      <c r="Z3311" s="100"/>
    </row>
    <row r="3312" spans="1:26">
      <c r="A3312" s="100"/>
      <c r="B3312" s="100"/>
      <c r="C3312" s="100"/>
      <c r="D3312" s="100"/>
      <c r="E3312" s="100"/>
      <c r="F3312" s="100"/>
      <c r="G3312" s="100"/>
      <c r="H3312" s="100"/>
      <c r="I3312" s="100"/>
      <c r="J3312" s="100"/>
      <c r="K3312" s="100"/>
      <c r="L3312" s="100"/>
      <c r="M3312" s="100"/>
      <c r="N3312" s="100"/>
      <c r="O3312" s="100"/>
      <c r="P3312" s="100"/>
      <c r="Q3312" s="100"/>
      <c r="R3312" s="100"/>
      <c r="S3312" s="100"/>
      <c r="T3312" s="100"/>
      <c r="U3312" s="100"/>
      <c r="V3312" s="100"/>
      <c r="W3312" s="100"/>
      <c r="X3312" s="100"/>
      <c r="Y3312" s="100"/>
      <c r="Z3312" s="100"/>
    </row>
    <row r="3313" spans="1:26">
      <c r="A3313" s="100"/>
      <c r="B3313" s="100"/>
      <c r="C3313" s="100"/>
      <c r="D3313" s="100"/>
      <c r="E3313" s="100"/>
      <c r="F3313" s="100"/>
      <c r="G3313" s="100"/>
      <c r="H3313" s="100"/>
      <c r="I3313" s="100"/>
      <c r="J3313" s="100"/>
      <c r="K3313" s="100"/>
      <c r="L3313" s="100"/>
      <c r="M3313" s="100"/>
      <c r="N3313" s="100"/>
      <c r="O3313" s="100"/>
      <c r="P3313" s="100"/>
      <c r="Q3313" s="100"/>
      <c r="R3313" s="100"/>
      <c r="S3313" s="100"/>
      <c r="T3313" s="100"/>
      <c r="U3313" s="100"/>
      <c r="V3313" s="100"/>
      <c r="W3313" s="100"/>
      <c r="X3313" s="100"/>
      <c r="Y3313" s="100"/>
      <c r="Z3313" s="100"/>
    </row>
    <row r="3314" spans="1:26">
      <c r="A3314" s="100"/>
      <c r="B3314" s="100"/>
      <c r="C3314" s="100"/>
      <c r="D3314" s="100"/>
      <c r="E3314" s="100"/>
      <c r="F3314" s="100"/>
      <c r="G3314" s="100"/>
      <c r="H3314" s="100"/>
      <c r="I3314" s="100"/>
      <c r="J3314" s="100"/>
      <c r="K3314" s="100"/>
      <c r="L3314" s="100"/>
      <c r="M3314" s="100"/>
      <c r="N3314" s="100"/>
      <c r="O3314" s="100"/>
      <c r="P3314" s="100"/>
      <c r="Q3314" s="100"/>
      <c r="R3314" s="100"/>
      <c r="S3314" s="100"/>
      <c r="T3314" s="100"/>
      <c r="U3314" s="100"/>
      <c r="V3314" s="100"/>
      <c r="W3314" s="100"/>
      <c r="X3314" s="100"/>
      <c r="Y3314" s="100"/>
      <c r="Z3314" s="100"/>
    </row>
    <row r="3315" spans="1:26">
      <c r="A3315" s="100"/>
      <c r="B3315" s="100"/>
      <c r="C3315" s="100"/>
      <c r="D3315" s="100"/>
      <c r="E3315" s="100"/>
      <c r="F3315" s="100"/>
      <c r="G3315" s="100"/>
      <c r="H3315" s="100"/>
      <c r="I3315" s="100"/>
      <c r="J3315" s="100"/>
      <c r="K3315" s="100"/>
      <c r="L3315" s="100"/>
      <c r="M3315" s="100"/>
      <c r="N3315" s="100"/>
      <c r="O3315" s="100"/>
      <c r="P3315" s="100"/>
      <c r="Q3315" s="100"/>
      <c r="R3315" s="100"/>
      <c r="S3315" s="100"/>
      <c r="T3315" s="100"/>
      <c r="U3315" s="100"/>
      <c r="V3315" s="100"/>
      <c r="W3315" s="100"/>
      <c r="X3315" s="100"/>
      <c r="Y3315" s="100"/>
      <c r="Z3315" s="100"/>
    </row>
    <row r="3316" spans="1:26">
      <c r="A3316" s="100"/>
      <c r="B3316" s="100"/>
      <c r="C3316" s="100"/>
      <c r="D3316" s="100"/>
      <c r="E3316" s="100"/>
      <c r="F3316" s="100"/>
      <c r="G3316" s="100"/>
      <c r="H3316" s="100"/>
      <c r="I3316" s="100"/>
      <c r="J3316" s="100"/>
      <c r="K3316" s="100"/>
      <c r="L3316" s="100"/>
      <c r="M3316" s="100"/>
      <c r="N3316" s="100"/>
      <c r="O3316" s="100"/>
      <c r="P3316" s="100"/>
      <c r="Q3316" s="100"/>
      <c r="R3316" s="100"/>
      <c r="S3316" s="100"/>
      <c r="T3316" s="100"/>
      <c r="U3316" s="100"/>
      <c r="V3316" s="100"/>
      <c r="W3316" s="100"/>
      <c r="X3316" s="100"/>
      <c r="Y3316" s="100"/>
      <c r="Z3316" s="100"/>
    </row>
    <row r="3317" spans="1:26">
      <c r="A3317" s="100"/>
      <c r="B3317" s="100"/>
      <c r="C3317" s="100"/>
      <c r="D3317" s="100"/>
      <c r="E3317" s="100"/>
      <c r="F3317" s="100"/>
      <c r="G3317" s="100"/>
      <c r="H3317" s="100"/>
      <c r="I3317" s="100"/>
      <c r="J3317" s="100"/>
      <c r="K3317" s="100"/>
      <c r="L3317" s="100"/>
      <c r="M3317" s="100"/>
      <c r="N3317" s="100"/>
      <c r="O3317" s="100"/>
      <c r="P3317" s="100"/>
      <c r="Q3317" s="100"/>
      <c r="R3317" s="100"/>
      <c r="S3317" s="100"/>
      <c r="T3317" s="100"/>
      <c r="U3317" s="100"/>
      <c r="V3317" s="100"/>
      <c r="W3317" s="100"/>
      <c r="X3317" s="100"/>
      <c r="Y3317" s="100"/>
      <c r="Z3317" s="100"/>
    </row>
    <row r="3318" spans="1:26">
      <c r="A3318" s="100"/>
      <c r="B3318" s="100"/>
      <c r="C3318" s="100"/>
      <c r="D3318" s="100"/>
      <c r="E3318" s="100"/>
      <c r="F3318" s="100"/>
      <c r="G3318" s="100"/>
      <c r="H3318" s="100"/>
      <c r="I3318" s="100"/>
      <c r="J3318" s="100"/>
      <c r="K3318" s="100"/>
      <c r="L3318" s="100"/>
      <c r="M3318" s="100"/>
      <c r="N3318" s="100"/>
      <c r="O3318" s="100"/>
      <c r="P3318" s="100"/>
      <c r="Q3318" s="100"/>
      <c r="R3318" s="100"/>
      <c r="S3318" s="100"/>
      <c r="T3318" s="100"/>
      <c r="U3318" s="100"/>
      <c r="V3318" s="100"/>
      <c r="W3318" s="100"/>
      <c r="X3318" s="100"/>
      <c r="Y3318" s="100"/>
      <c r="Z3318" s="100"/>
    </row>
    <row r="3319" spans="1:26">
      <c r="A3319" s="100"/>
      <c r="B3319" s="100"/>
      <c r="C3319" s="100"/>
      <c r="D3319" s="100"/>
      <c r="E3319" s="100"/>
      <c r="F3319" s="100"/>
      <c r="G3319" s="100"/>
      <c r="H3319" s="100"/>
      <c r="I3319" s="100"/>
      <c r="J3319" s="100"/>
      <c r="K3319" s="100"/>
      <c r="L3319" s="100"/>
      <c r="M3319" s="100"/>
      <c r="N3319" s="100"/>
      <c r="O3319" s="100"/>
      <c r="P3319" s="100"/>
      <c r="Q3319" s="100"/>
      <c r="R3319" s="100"/>
      <c r="S3319" s="100"/>
      <c r="T3319" s="100"/>
      <c r="U3319" s="100"/>
      <c r="V3319" s="100"/>
      <c r="W3319" s="100"/>
      <c r="X3319" s="100"/>
      <c r="Y3319" s="100"/>
      <c r="Z3319" s="100"/>
    </row>
    <row r="3320" spans="1:26">
      <c r="A3320" s="100"/>
      <c r="B3320" s="100"/>
      <c r="C3320" s="100"/>
      <c r="D3320" s="100"/>
      <c r="E3320" s="100"/>
      <c r="F3320" s="100"/>
      <c r="G3320" s="100"/>
      <c r="H3320" s="100"/>
      <c r="I3320" s="100"/>
      <c r="J3320" s="100"/>
      <c r="K3320" s="100"/>
      <c r="L3320" s="100"/>
      <c r="M3320" s="100"/>
      <c r="N3320" s="100"/>
      <c r="O3320" s="100"/>
      <c r="P3320" s="100"/>
      <c r="Q3320" s="100"/>
      <c r="R3320" s="100"/>
      <c r="S3320" s="100"/>
      <c r="T3320" s="100"/>
      <c r="U3320" s="100"/>
      <c r="V3320" s="100"/>
      <c r="W3320" s="100"/>
      <c r="X3320" s="100"/>
      <c r="Y3320" s="100"/>
      <c r="Z3320" s="100"/>
    </row>
    <row r="3321" spans="1:26">
      <c r="A3321" s="100"/>
      <c r="B3321" s="100"/>
      <c r="C3321" s="100"/>
      <c r="D3321" s="100"/>
      <c r="E3321" s="100"/>
      <c r="F3321" s="100"/>
      <c r="G3321" s="100"/>
      <c r="H3321" s="100"/>
      <c r="I3321" s="100"/>
      <c r="J3321" s="100"/>
      <c r="K3321" s="100"/>
      <c r="L3321" s="100"/>
      <c r="M3321" s="100"/>
      <c r="N3321" s="100"/>
      <c r="O3321" s="100"/>
      <c r="P3321" s="100"/>
      <c r="Q3321" s="100"/>
      <c r="R3321" s="100"/>
      <c r="S3321" s="100"/>
      <c r="T3321" s="100"/>
      <c r="U3321" s="100"/>
      <c r="V3321" s="100"/>
      <c r="W3321" s="100"/>
      <c r="X3321" s="100"/>
      <c r="Y3321" s="100"/>
      <c r="Z3321" s="100"/>
    </row>
    <row r="3322" spans="1:26">
      <c r="A3322" s="100"/>
      <c r="B3322" s="100"/>
      <c r="C3322" s="100"/>
      <c r="D3322" s="100"/>
      <c r="E3322" s="100"/>
      <c r="F3322" s="100"/>
      <c r="G3322" s="100"/>
      <c r="H3322" s="100"/>
      <c r="I3322" s="100"/>
      <c r="J3322" s="100"/>
      <c r="K3322" s="100"/>
      <c r="L3322" s="100"/>
      <c r="M3322" s="100"/>
      <c r="N3322" s="100"/>
      <c r="O3322" s="100"/>
      <c r="P3322" s="100"/>
      <c r="Q3322" s="100"/>
      <c r="R3322" s="100"/>
      <c r="S3322" s="100"/>
      <c r="T3322" s="100"/>
      <c r="U3322" s="100"/>
      <c r="V3322" s="100"/>
      <c r="W3322" s="100"/>
      <c r="X3322" s="100"/>
      <c r="Y3322" s="100"/>
      <c r="Z3322" s="100"/>
    </row>
    <row r="3323" spans="1:26">
      <c r="A3323" s="100"/>
      <c r="B3323" s="100"/>
      <c r="C3323" s="100"/>
      <c r="D3323" s="100"/>
      <c r="E3323" s="100"/>
      <c r="F3323" s="100"/>
      <c r="G3323" s="100"/>
      <c r="H3323" s="100"/>
      <c r="I3323" s="100"/>
      <c r="J3323" s="100"/>
      <c r="K3323" s="100"/>
      <c r="L3323" s="100"/>
      <c r="M3323" s="100"/>
      <c r="N3323" s="100"/>
      <c r="O3323" s="100"/>
      <c r="P3323" s="100"/>
      <c r="Q3323" s="100"/>
      <c r="R3323" s="100"/>
      <c r="S3323" s="100"/>
      <c r="T3323" s="100"/>
      <c r="U3323" s="100"/>
      <c r="V3323" s="100"/>
      <c r="W3323" s="100"/>
      <c r="X3323" s="100"/>
      <c r="Y3323" s="100"/>
      <c r="Z3323" s="100"/>
    </row>
    <row r="3324" spans="1:26">
      <c r="A3324" s="100"/>
      <c r="B3324" s="100"/>
      <c r="C3324" s="100"/>
      <c r="D3324" s="100"/>
      <c r="E3324" s="100"/>
      <c r="F3324" s="100"/>
      <c r="G3324" s="100"/>
      <c r="H3324" s="100"/>
      <c r="I3324" s="100"/>
      <c r="J3324" s="100"/>
      <c r="K3324" s="100"/>
      <c r="L3324" s="100"/>
      <c r="M3324" s="100"/>
      <c r="N3324" s="100"/>
      <c r="O3324" s="100"/>
      <c r="P3324" s="100"/>
      <c r="Q3324" s="100"/>
      <c r="R3324" s="100"/>
      <c r="S3324" s="100"/>
      <c r="T3324" s="100"/>
      <c r="U3324" s="100"/>
      <c r="V3324" s="100"/>
      <c r="W3324" s="100"/>
      <c r="X3324" s="100"/>
      <c r="Y3324" s="100"/>
      <c r="Z3324" s="100"/>
    </row>
    <row r="3325" spans="1:26">
      <c r="A3325" s="100"/>
      <c r="B3325" s="100"/>
      <c r="C3325" s="100"/>
      <c r="D3325" s="100"/>
      <c r="E3325" s="100"/>
      <c r="F3325" s="100"/>
      <c r="G3325" s="100"/>
      <c r="H3325" s="100"/>
      <c r="I3325" s="100"/>
      <c r="J3325" s="100"/>
      <c r="K3325" s="100"/>
      <c r="L3325" s="100"/>
      <c r="M3325" s="100"/>
      <c r="N3325" s="100"/>
      <c r="O3325" s="100"/>
      <c r="P3325" s="100"/>
      <c r="Q3325" s="100"/>
      <c r="R3325" s="100"/>
      <c r="S3325" s="100"/>
      <c r="T3325" s="100"/>
      <c r="U3325" s="100"/>
      <c r="V3325" s="100"/>
      <c r="W3325" s="100"/>
      <c r="X3325" s="100"/>
      <c r="Y3325" s="100"/>
      <c r="Z3325" s="100"/>
    </row>
    <row r="3326" spans="1:26">
      <c r="A3326" s="100"/>
      <c r="B3326" s="100"/>
      <c r="C3326" s="100"/>
      <c r="D3326" s="100"/>
      <c r="E3326" s="100"/>
      <c r="F3326" s="100"/>
      <c r="G3326" s="100"/>
      <c r="H3326" s="100"/>
      <c r="I3326" s="100"/>
      <c r="J3326" s="100"/>
      <c r="K3326" s="100"/>
      <c r="L3326" s="100"/>
      <c r="M3326" s="100"/>
      <c r="N3326" s="100"/>
      <c r="O3326" s="100"/>
      <c r="P3326" s="100"/>
      <c r="Q3326" s="100"/>
      <c r="R3326" s="100"/>
      <c r="S3326" s="100"/>
      <c r="T3326" s="100"/>
      <c r="U3326" s="100"/>
      <c r="V3326" s="100"/>
      <c r="W3326" s="100"/>
      <c r="X3326" s="100"/>
      <c r="Y3326" s="100"/>
      <c r="Z3326" s="100"/>
    </row>
    <row r="3327" spans="1:26">
      <c r="A3327" s="100"/>
      <c r="B3327" s="100"/>
      <c r="C3327" s="100"/>
      <c r="D3327" s="100"/>
      <c r="E3327" s="100"/>
      <c r="F3327" s="100"/>
      <c r="G3327" s="100"/>
      <c r="H3327" s="100"/>
      <c r="I3327" s="100"/>
      <c r="J3327" s="100"/>
      <c r="K3327" s="100"/>
      <c r="L3327" s="100"/>
      <c r="M3327" s="100"/>
      <c r="N3327" s="100"/>
      <c r="O3327" s="100"/>
      <c r="P3327" s="100"/>
      <c r="Q3327" s="100"/>
      <c r="R3327" s="100"/>
      <c r="S3327" s="100"/>
      <c r="T3327" s="100"/>
      <c r="U3327" s="100"/>
      <c r="V3327" s="100"/>
      <c r="W3327" s="100"/>
      <c r="X3327" s="100"/>
      <c r="Y3327" s="100"/>
      <c r="Z3327" s="100"/>
    </row>
    <row r="3328" spans="1:26">
      <c r="A3328" s="100"/>
      <c r="B3328" s="100"/>
      <c r="C3328" s="100"/>
      <c r="D3328" s="100"/>
      <c r="E3328" s="100"/>
      <c r="F3328" s="100"/>
      <c r="G3328" s="100"/>
      <c r="H3328" s="100"/>
      <c r="I3328" s="100"/>
      <c r="J3328" s="100"/>
      <c r="K3328" s="100"/>
      <c r="L3328" s="100"/>
      <c r="M3328" s="100"/>
      <c r="N3328" s="100"/>
      <c r="O3328" s="100"/>
      <c r="P3328" s="100"/>
      <c r="Q3328" s="100"/>
      <c r="R3328" s="100"/>
      <c r="S3328" s="100"/>
      <c r="T3328" s="100"/>
      <c r="U3328" s="100"/>
      <c r="V3328" s="100"/>
      <c r="W3328" s="100"/>
      <c r="X3328" s="100"/>
      <c r="Y3328" s="100"/>
      <c r="Z3328" s="100"/>
    </row>
    <row r="3329" spans="1:26">
      <c r="A3329" s="100"/>
      <c r="B3329" s="100"/>
      <c r="C3329" s="100"/>
      <c r="D3329" s="100"/>
      <c r="E3329" s="100"/>
      <c r="F3329" s="100"/>
      <c r="G3329" s="100"/>
      <c r="H3329" s="100"/>
      <c r="I3329" s="100"/>
      <c r="J3329" s="100"/>
      <c r="K3329" s="100"/>
      <c r="L3329" s="100"/>
      <c r="M3329" s="100"/>
      <c r="N3329" s="100"/>
      <c r="O3329" s="100"/>
      <c r="P3329" s="100"/>
      <c r="Q3329" s="100"/>
      <c r="R3329" s="100"/>
      <c r="S3329" s="100"/>
      <c r="T3329" s="100"/>
      <c r="U3329" s="100"/>
      <c r="V3329" s="100"/>
      <c r="W3329" s="100"/>
      <c r="X3329" s="100"/>
      <c r="Y3329" s="100"/>
      <c r="Z3329" s="100"/>
    </row>
    <row r="3330" spans="1:26">
      <c r="A3330" s="100"/>
      <c r="B3330" s="100"/>
      <c r="C3330" s="100"/>
      <c r="D3330" s="100"/>
      <c r="E3330" s="100"/>
      <c r="F3330" s="100"/>
      <c r="G3330" s="100"/>
      <c r="H3330" s="100"/>
      <c r="I3330" s="100"/>
      <c r="J3330" s="100"/>
      <c r="K3330" s="100"/>
      <c r="L3330" s="100"/>
      <c r="M3330" s="100"/>
      <c r="N3330" s="100"/>
      <c r="O3330" s="100"/>
      <c r="P3330" s="100"/>
      <c r="Q3330" s="100"/>
      <c r="R3330" s="100"/>
      <c r="S3330" s="100"/>
      <c r="T3330" s="100"/>
      <c r="U3330" s="100"/>
      <c r="V3330" s="100"/>
      <c r="W3330" s="100"/>
      <c r="X3330" s="100"/>
      <c r="Y3330" s="100"/>
      <c r="Z3330" s="100"/>
    </row>
    <row r="3331" spans="1:26">
      <c r="A3331" s="100"/>
      <c r="B3331" s="100"/>
      <c r="C3331" s="100"/>
      <c r="D3331" s="100"/>
      <c r="E3331" s="100"/>
      <c r="F3331" s="100"/>
      <c r="G3331" s="100"/>
      <c r="H3331" s="100"/>
      <c r="I3331" s="100"/>
      <c r="J3331" s="100"/>
      <c r="K3331" s="100"/>
      <c r="L3331" s="100"/>
      <c r="M3331" s="100"/>
      <c r="N3331" s="100"/>
      <c r="O3331" s="100"/>
      <c r="P3331" s="100"/>
      <c r="Q3331" s="100"/>
      <c r="R3331" s="100"/>
      <c r="S3331" s="100"/>
      <c r="T3331" s="100"/>
      <c r="U3331" s="100"/>
      <c r="V3331" s="100"/>
      <c r="W3331" s="100"/>
      <c r="X3331" s="100"/>
      <c r="Y3331" s="100"/>
      <c r="Z3331" s="100"/>
    </row>
    <row r="3332" spans="1:26">
      <c r="A3332" s="100"/>
      <c r="B3332" s="100"/>
      <c r="C3332" s="100"/>
      <c r="D3332" s="100"/>
      <c r="E3332" s="100"/>
      <c r="F3332" s="100"/>
      <c r="G3332" s="100"/>
      <c r="H3332" s="100"/>
      <c r="I3332" s="100"/>
      <c r="J3332" s="100"/>
      <c r="K3332" s="100"/>
      <c r="L3332" s="100"/>
      <c r="M3332" s="100"/>
      <c r="N3332" s="100"/>
      <c r="O3332" s="100"/>
      <c r="P3332" s="100"/>
      <c r="Q3332" s="100"/>
      <c r="R3332" s="100"/>
      <c r="S3332" s="100"/>
      <c r="T3332" s="100"/>
      <c r="U3332" s="100"/>
      <c r="V3332" s="100"/>
      <c r="W3332" s="100"/>
      <c r="X3332" s="100"/>
      <c r="Y3332" s="100"/>
      <c r="Z3332" s="100"/>
    </row>
    <row r="3333" spans="1:26">
      <c r="A3333" s="100"/>
      <c r="B3333" s="100"/>
      <c r="C3333" s="100"/>
      <c r="D3333" s="100"/>
      <c r="E3333" s="100"/>
      <c r="F3333" s="100"/>
      <c r="G3333" s="100"/>
      <c r="H3333" s="100"/>
      <c r="I3333" s="100"/>
      <c r="J3333" s="100"/>
      <c r="K3333" s="100"/>
      <c r="L3333" s="100"/>
      <c r="M3333" s="100"/>
      <c r="N3333" s="100"/>
      <c r="O3333" s="100"/>
      <c r="P3333" s="100"/>
      <c r="Q3333" s="100"/>
      <c r="R3333" s="100"/>
      <c r="S3333" s="100"/>
      <c r="T3333" s="100"/>
      <c r="U3333" s="100"/>
      <c r="V3333" s="100"/>
      <c r="W3333" s="100"/>
      <c r="X3333" s="100"/>
      <c r="Y3333" s="100"/>
      <c r="Z3333" s="100"/>
    </row>
    <row r="3334" spans="1:26">
      <c r="A3334" s="100"/>
      <c r="B3334" s="100"/>
      <c r="C3334" s="100"/>
      <c r="D3334" s="100"/>
      <c r="E3334" s="100"/>
      <c r="F3334" s="100"/>
      <c r="G3334" s="100"/>
      <c r="H3334" s="100"/>
      <c r="I3334" s="100"/>
      <c r="J3334" s="100"/>
      <c r="K3334" s="100"/>
      <c r="L3334" s="100"/>
      <c r="M3334" s="100"/>
      <c r="N3334" s="100"/>
      <c r="O3334" s="100"/>
      <c r="P3334" s="100"/>
      <c r="Q3334" s="100"/>
      <c r="R3334" s="100"/>
      <c r="S3334" s="100"/>
      <c r="T3334" s="100"/>
      <c r="U3334" s="100"/>
      <c r="V3334" s="100"/>
      <c r="W3334" s="100"/>
      <c r="X3334" s="100"/>
      <c r="Y3334" s="100"/>
      <c r="Z3334" s="100"/>
    </row>
    <row r="3335" spans="1:26">
      <c r="A3335" s="100"/>
      <c r="B3335" s="100"/>
      <c r="C3335" s="100"/>
      <c r="D3335" s="100"/>
      <c r="E3335" s="100"/>
      <c r="F3335" s="100"/>
      <c r="G3335" s="100"/>
      <c r="H3335" s="100"/>
      <c r="I3335" s="100"/>
      <c r="J3335" s="100"/>
      <c r="K3335" s="100"/>
      <c r="L3335" s="100"/>
      <c r="M3335" s="100"/>
      <c r="N3335" s="100"/>
      <c r="O3335" s="100"/>
      <c r="P3335" s="100"/>
      <c r="Q3335" s="100"/>
      <c r="R3335" s="100"/>
      <c r="S3335" s="100"/>
      <c r="T3335" s="100"/>
      <c r="U3335" s="100"/>
      <c r="V3335" s="100"/>
      <c r="W3335" s="100"/>
      <c r="X3335" s="100"/>
      <c r="Y3335" s="100"/>
      <c r="Z3335" s="100"/>
    </row>
    <row r="3336" spans="1:26">
      <c r="A3336" s="100"/>
      <c r="B3336" s="100"/>
      <c r="C3336" s="100"/>
      <c r="D3336" s="100"/>
      <c r="E3336" s="100"/>
      <c r="F3336" s="100"/>
      <c r="G3336" s="100"/>
      <c r="H3336" s="100"/>
      <c r="I3336" s="100"/>
      <c r="J3336" s="100"/>
      <c r="K3336" s="100"/>
      <c r="L3336" s="100"/>
      <c r="M3336" s="100"/>
      <c r="N3336" s="100"/>
      <c r="O3336" s="100"/>
      <c r="P3336" s="100"/>
      <c r="Q3336" s="100"/>
      <c r="R3336" s="100"/>
      <c r="S3336" s="100"/>
      <c r="T3336" s="100"/>
      <c r="U3336" s="100"/>
      <c r="V3336" s="100"/>
      <c r="W3336" s="100"/>
      <c r="X3336" s="100"/>
      <c r="Y3336" s="100"/>
      <c r="Z3336" s="100"/>
    </row>
    <row r="3337" spans="1:26">
      <c r="A3337" s="100"/>
      <c r="B3337" s="100"/>
      <c r="C3337" s="100"/>
      <c r="D3337" s="100"/>
      <c r="E3337" s="100"/>
      <c r="F3337" s="100"/>
      <c r="G3337" s="100"/>
      <c r="H3337" s="100"/>
      <c r="I3337" s="100"/>
      <c r="J3337" s="100"/>
      <c r="K3337" s="100"/>
      <c r="L3337" s="100"/>
      <c r="M3337" s="100"/>
      <c r="N3337" s="100"/>
      <c r="O3337" s="100"/>
      <c r="P3337" s="100"/>
      <c r="Q3337" s="100"/>
      <c r="R3337" s="100"/>
      <c r="S3337" s="100"/>
      <c r="T3337" s="100"/>
      <c r="U3337" s="100"/>
      <c r="V3337" s="100"/>
      <c r="W3337" s="100"/>
      <c r="X3337" s="100"/>
      <c r="Y3337" s="100"/>
      <c r="Z3337" s="100"/>
    </row>
    <row r="3338" spans="1:26">
      <c r="A3338" s="100"/>
      <c r="B3338" s="100"/>
      <c r="C3338" s="100"/>
      <c r="D3338" s="100"/>
      <c r="E3338" s="100"/>
      <c r="F3338" s="100"/>
      <c r="G3338" s="100"/>
      <c r="H3338" s="100"/>
      <c r="I3338" s="100"/>
      <c r="J3338" s="100"/>
      <c r="K3338" s="100"/>
      <c r="L3338" s="100"/>
      <c r="M3338" s="100"/>
      <c r="N3338" s="100"/>
      <c r="O3338" s="100"/>
      <c r="P3338" s="100"/>
      <c r="Q3338" s="100"/>
      <c r="R3338" s="100"/>
      <c r="S3338" s="100"/>
      <c r="T3338" s="100"/>
      <c r="U3338" s="100"/>
      <c r="V3338" s="100"/>
      <c r="W3338" s="100"/>
      <c r="X3338" s="100"/>
      <c r="Y3338" s="100"/>
      <c r="Z3338" s="100"/>
    </row>
    <row r="3339" spans="1:26">
      <c r="A3339" s="100"/>
      <c r="B3339" s="100"/>
      <c r="C3339" s="100"/>
      <c r="D3339" s="100"/>
      <c r="E3339" s="100"/>
      <c r="F3339" s="100"/>
      <c r="G3339" s="100"/>
      <c r="H3339" s="100"/>
      <c r="I3339" s="100"/>
      <c r="J3339" s="100"/>
      <c r="K3339" s="100"/>
      <c r="L3339" s="100"/>
      <c r="M3339" s="100"/>
      <c r="N3339" s="100"/>
      <c r="O3339" s="100"/>
      <c r="P3339" s="100"/>
      <c r="Q3339" s="100"/>
      <c r="R3339" s="100"/>
      <c r="S3339" s="100"/>
      <c r="T3339" s="100"/>
      <c r="U3339" s="100"/>
      <c r="V3339" s="100"/>
      <c r="W3339" s="100"/>
      <c r="X3339" s="100"/>
      <c r="Y3339" s="100"/>
      <c r="Z3339" s="100"/>
    </row>
    <row r="3340" spans="1:26">
      <c r="A3340" s="100"/>
      <c r="B3340" s="100"/>
      <c r="C3340" s="100"/>
      <c r="D3340" s="100"/>
      <c r="E3340" s="100"/>
      <c r="F3340" s="100"/>
      <c r="G3340" s="100"/>
      <c r="H3340" s="100"/>
      <c r="I3340" s="100"/>
      <c r="J3340" s="100"/>
      <c r="K3340" s="100"/>
      <c r="L3340" s="100"/>
      <c r="M3340" s="100"/>
      <c r="N3340" s="100"/>
      <c r="O3340" s="100"/>
      <c r="P3340" s="100"/>
      <c r="Q3340" s="100"/>
      <c r="R3340" s="100"/>
      <c r="S3340" s="100"/>
      <c r="T3340" s="100"/>
      <c r="U3340" s="100"/>
      <c r="V3340" s="100"/>
      <c r="W3340" s="100"/>
      <c r="X3340" s="100"/>
      <c r="Y3340" s="100"/>
      <c r="Z3340" s="100"/>
    </row>
    <row r="3341" spans="1:26">
      <c r="A3341" s="100"/>
      <c r="B3341" s="100"/>
      <c r="C3341" s="100"/>
      <c r="D3341" s="100"/>
      <c r="E3341" s="100"/>
      <c r="F3341" s="100"/>
      <c r="G3341" s="100"/>
      <c r="H3341" s="100"/>
      <c r="I3341" s="100"/>
      <c r="J3341" s="100"/>
      <c r="K3341" s="100"/>
      <c r="L3341" s="100"/>
      <c r="M3341" s="100"/>
      <c r="N3341" s="100"/>
      <c r="O3341" s="100"/>
      <c r="P3341" s="100"/>
      <c r="Q3341" s="100"/>
      <c r="R3341" s="100"/>
      <c r="S3341" s="100"/>
      <c r="T3341" s="100"/>
      <c r="U3341" s="100"/>
      <c r="V3341" s="100"/>
      <c r="W3341" s="100"/>
      <c r="X3341" s="100"/>
      <c r="Y3341" s="100"/>
      <c r="Z3341" s="100"/>
    </row>
    <row r="3342" spans="1:26">
      <c r="A3342" s="100"/>
      <c r="B3342" s="100"/>
      <c r="C3342" s="100"/>
      <c r="D3342" s="100"/>
      <c r="E3342" s="100"/>
      <c r="F3342" s="100"/>
      <c r="G3342" s="100"/>
      <c r="H3342" s="100"/>
      <c r="I3342" s="100"/>
      <c r="J3342" s="100"/>
      <c r="K3342" s="100"/>
      <c r="L3342" s="100"/>
      <c r="M3342" s="100"/>
      <c r="N3342" s="100"/>
      <c r="O3342" s="100"/>
      <c r="P3342" s="100"/>
      <c r="Q3342" s="100"/>
      <c r="R3342" s="100"/>
      <c r="S3342" s="100"/>
      <c r="T3342" s="100"/>
      <c r="U3342" s="100"/>
      <c r="V3342" s="100"/>
      <c r="W3342" s="100"/>
      <c r="X3342" s="100"/>
      <c r="Y3342" s="100"/>
      <c r="Z3342" s="100"/>
    </row>
    <row r="3343" spans="1:26">
      <c r="A3343" s="100"/>
      <c r="B3343" s="100"/>
      <c r="C3343" s="100"/>
      <c r="D3343" s="100"/>
      <c r="E3343" s="100"/>
      <c r="F3343" s="100"/>
      <c r="G3343" s="100"/>
      <c r="H3343" s="100"/>
      <c r="I3343" s="100"/>
      <c r="J3343" s="100"/>
      <c r="K3343" s="100"/>
      <c r="L3343" s="100"/>
      <c r="M3343" s="100"/>
      <c r="N3343" s="100"/>
      <c r="O3343" s="100"/>
      <c r="P3343" s="100"/>
      <c r="Q3343" s="100"/>
      <c r="R3343" s="100"/>
      <c r="S3343" s="100"/>
      <c r="T3343" s="100"/>
      <c r="U3343" s="100"/>
      <c r="V3343" s="100"/>
      <c r="W3343" s="100"/>
      <c r="X3343" s="100"/>
      <c r="Y3343" s="100"/>
      <c r="Z3343" s="100"/>
    </row>
    <row r="3344" spans="1:26">
      <c r="A3344" s="100"/>
      <c r="B3344" s="100"/>
      <c r="C3344" s="100"/>
      <c r="D3344" s="100"/>
      <c r="E3344" s="100"/>
      <c r="F3344" s="100"/>
      <c r="G3344" s="100"/>
      <c r="H3344" s="100"/>
      <c r="I3344" s="100"/>
      <c r="J3344" s="100"/>
      <c r="K3344" s="100"/>
      <c r="L3344" s="100"/>
      <c r="M3344" s="100"/>
      <c r="N3344" s="100"/>
      <c r="O3344" s="100"/>
      <c r="P3344" s="100"/>
      <c r="Q3344" s="100"/>
      <c r="R3344" s="100"/>
      <c r="S3344" s="100"/>
      <c r="T3344" s="100"/>
      <c r="U3344" s="100"/>
      <c r="V3344" s="100"/>
      <c r="W3344" s="100"/>
      <c r="X3344" s="100"/>
      <c r="Y3344" s="100"/>
      <c r="Z3344" s="100"/>
    </row>
    <row r="3345" spans="1:26">
      <c r="A3345" s="100"/>
      <c r="B3345" s="100"/>
      <c r="C3345" s="100"/>
      <c r="D3345" s="100"/>
      <c r="E3345" s="100"/>
      <c r="F3345" s="100"/>
      <c r="G3345" s="100"/>
      <c r="H3345" s="100"/>
      <c r="I3345" s="100"/>
      <c r="J3345" s="100"/>
      <c r="K3345" s="100"/>
      <c r="L3345" s="100"/>
      <c r="M3345" s="100"/>
      <c r="N3345" s="100"/>
      <c r="O3345" s="100"/>
      <c r="P3345" s="100"/>
      <c r="Q3345" s="100"/>
      <c r="R3345" s="100"/>
      <c r="S3345" s="100"/>
      <c r="T3345" s="100"/>
      <c r="U3345" s="100"/>
      <c r="V3345" s="100"/>
      <c r="W3345" s="100"/>
      <c r="X3345" s="100"/>
      <c r="Y3345" s="100"/>
      <c r="Z3345" s="100"/>
    </row>
    <row r="3346" spans="1:26">
      <c r="A3346" s="100"/>
      <c r="B3346" s="100"/>
      <c r="C3346" s="100"/>
      <c r="D3346" s="100"/>
      <c r="E3346" s="100"/>
      <c r="F3346" s="100"/>
      <c r="G3346" s="100"/>
      <c r="H3346" s="100"/>
      <c r="I3346" s="100"/>
      <c r="J3346" s="100"/>
      <c r="K3346" s="100"/>
      <c r="L3346" s="100"/>
      <c r="M3346" s="100"/>
      <c r="N3346" s="100"/>
      <c r="O3346" s="100"/>
      <c r="P3346" s="100"/>
      <c r="Q3346" s="100"/>
      <c r="R3346" s="100"/>
      <c r="S3346" s="100"/>
      <c r="T3346" s="100"/>
      <c r="U3346" s="100"/>
      <c r="V3346" s="100"/>
      <c r="W3346" s="100"/>
      <c r="X3346" s="100"/>
      <c r="Y3346" s="100"/>
      <c r="Z3346" s="100"/>
    </row>
    <row r="3347" spans="1:26">
      <c r="A3347" s="100"/>
      <c r="B3347" s="100"/>
      <c r="C3347" s="100"/>
      <c r="D3347" s="100"/>
      <c r="E3347" s="100"/>
      <c r="F3347" s="100"/>
      <c r="G3347" s="100"/>
      <c r="H3347" s="100"/>
      <c r="I3347" s="100"/>
      <c r="J3347" s="100"/>
      <c r="K3347" s="100"/>
      <c r="L3347" s="100"/>
      <c r="M3347" s="100"/>
      <c r="N3347" s="100"/>
      <c r="O3347" s="100"/>
      <c r="P3347" s="100"/>
      <c r="Q3347" s="100"/>
      <c r="R3347" s="100"/>
      <c r="S3347" s="100"/>
      <c r="T3347" s="100"/>
      <c r="U3347" s="100"/>
      <c r="V3347" s="100"/>
      <c r="W3347" s="100"/>
      <c r="X3347" s="100"/>
      <c r="Y3347" s="100"/>
      <c r="Z3347" s="100"/>
    </row>
    <row r="3348" spans="1:26">
      <c r="A3348" s="100"/>
      <c r="B3348" s="100"/>
      <c r="C3348" s="100"/>
      <c r="D3348" s="100"/>
      <c r="E3348" s="100"/>
      <c r="F3348" s="100"/>
      <c r="G3348" s="100"/>
      <c r="H3348" s="100"/>
      <c r="I3348" s="100"/>
      <c r="J3348" s="100"/>
      <c r="K3348" s="100"/>
      <c r="L3348" s="100"/>
      <c r="M3348" s="100"/>
      <c r="N3348" s="100"/>
      <c r="O3348" s="100"/>
      <c r="P3348" s="100"/>
      <c r="Q3348" s="100"/>
      <c r="R3348" s="100"/>
      <c r="S3348" s="100"/>
      <c r="T3348" s="100"/>
      <c r="U3348" s="100"/>
      <c r="V3348" s="100"/>
      <c r="W3348" s="100"/>
      <c r="X3348" s="100"/>
      <c r="Y3348" s="100"/>
      <c r="Z3348" s="100"/>
    </row>
    <row r="3349" spans="1:26">
      <c r="A3349" s="100"/>
      <c r="B3349" s="100"/>
      <c r="C3349" s="100"/>
      <c r="D3349" s="100"/>
      <c r="E3349" s="100"/>
      <c r="F3349" s="100"/>
      <c r="G3349" s="100"/>
      <c r="H3349" s="100"/>
      <c r="I3349" s="100"/>
      <c r="J3349" s="100"/>
      <c r="K3349" s="100"/>
      <c r="L3349" s="100"/>
      <c r="M3349" s="100"/>
      <c r="N3349" s="100"/>
      <c r="O3349" s="100"/>
      <c r="P3349" s="100"/>
      <c r="Q3349" s="100"/>
      <c r="R3349" s="100"/>
      <c r="S3349" s="100"/>
      <c r="T3349" s="100"/>
      <c r="U3349" s="100"/>
      <c r="V3349" s="100"/>
      <c r="W3349" s="100"/>
      <c r="X3349" s="100"/>
      <c r="Y3349" s="100"/>
      <c r="Z3349" s="100"/>
    </row>
    <row r="3350" spans="1:26">
      <c r="A3350" s="100"/>
      <c r="B3350" s="100"/>
      <c r="C3350" s="100"/>
      <c r="D3350" s="100"/>
      <c r="E3350" s="100"/>
      <c r="F3350" s="100"/>
      <c r="G3350" s="100"/>
      <c r="H3350" s="100"/>
      <c r="I3350" s="100"/>
      <c r="J3350" s="100"/>
      <c r="K3350" s="100"/>
      <c r="L3350" s="100"/>
      <c r="M3350" s="100"/>
      <c r="N3350" s="100"/>
      <c r="O3350" s="100"/>
      <c r="P3350" s="100"/>
      <c r="Q3350" s="100"/>
      <c r="R3350" s="100"/>
      <c r="S3350" s="100"/>
      <c r="T3350" s="100"/>
      <c r="U3350" s="100"/>
      <c r="V3350" s="100"/>
      <c r="W3350" s="100"/>
      <c r="X3350" s="100"/>
      <c r="Y3350" s="100"/>
      <c r="Z3350" s="100"/>
    </row>
    <row r="3351" spans="1:26">
      <c r="A3351" s="100"/>
      <c r="B3351" s="100"/>
      <c r="C3351" s="100"/>
      <c r="D3351" s="100"/>
      <c r="E3351" s="100"/>
      <c r="F3351" s="100"/>
      <c r="G3351" s="100"/>
      <c r="H3351" s="100"/>
      <c r="I3351" s="100"/>
      <c r="J3351" s="100"/>
      <c r="K3351" s="100"/>
      <c r="L3351" s="100"/>
      <c r="M3351" s="100"/>
      <c r="N3351" s="100"/>
      <c r="O3351" s="100"/>
      <c r="P3351" s="100"/>
      <c r="Q3351" s="100"/>
      <c r="R3351" s="100"/>
      <c r="S3351" s="100"/>
      <c r="T3351" s="100"/>
      <c r="U3351" s="100"/>
      <c r="V3351" s="100"/>
      <c r="W3351" s="100"/>
      <c r="X3351" s="100"/>
      <c r="Y3351" s="100"/>
      <c r="Z3351" s="100"/>
    </row>
    <row r="3352" spans="1:26">
      <c r="A3352" s="100"/>
      <c r="B3352" s="100"/>
      <c r="C3352" s="100"/>
      <c r="D3352" s="100"/>
      <c r="E3352" s="100"/>
      <c r="F3352" s="100"/>
      <c r="G3352" s="100"/>
      <c r="H3352" s="100"/>
      <c r="I3352" s="100"/>
      <c r="J3352" s="100"/>
      <c r="K3352" s="100"/>
      <c r="L3352" s="100"/>
      <c r="M3352" s="100"/>
      <c r="N3352" s="100"/>
      <c r="O3352" s="100"/>
      <c r="P3352" s="100"/>
      <c r="Q3352" s="100"/>
      <c r="R3352" s="100"/>
      <c r="S3352" s="100"/>
      <c r="T3352" s="100"/>
      <c r="U3352" s="100"/>
      <c r="V3352" s="100"/>
      <c r="W3352" s="100"/>
      <c r="X3352" s="100"/>
      <c r="Y3352" s="100"/>
      <c r="Z3352" s="100"/>
    </row>
    <row r="3353" spans="1:26">
      <c r="A3353" s="100"/>
      <c r="B3353" s="100"/>
      <c r="C3353" s="100"/>
      <c r="D3353" s="100"/>
      <c r="E3353" s="100"/>
      <c r="F3353" s="100"/>
      <c r="G3353" s="100"/>
      <c r="H3353" s="100"/>
      <c r="I3353" s="100"/>
      <c r="J3353" s="100"/>
      <c r="K3353" s="100"/>
      <c r="L3353" s="100"/>
      <c r="M3353" s="100"/>
      <c r="N3353" s="100"/>
      <c r="O3353" s="100"/>
      <c r="P3353" s="100"/>
      <c r="Q3353" s="100"/>
      <c r="R3353" s="100"/>
      <c r="S3353" s="100"/>
      <c r="T3353" s="100"/>
      <c r="U3353" s="100"/>
      <c r="V3353" s="100"/>
      <c r="W3353" s="100"/>
      <c r="X3353" s="100"/>
      <c r="Y3353" s="100"/>
      <c r="Z3353" s="100"/>
    </row>
    <row r="3354" spans="1:26">
      <c r="A3354" s="100"/>
      <c r="B3354" s="100"/>
      <c r="C3354" s="100"/>
      <c r="D3354" s="100"/>
      <c r="E3354" s="100"/>
      <c r="F3354" s="100"/>
      <c r="G3354" s="100"/>
      <c r="H3354" s="100"/>
      <c r="I3354" s="100"/>
      <c r="J3354" s="100"/>
      <c r="K3354" s="100"/>
      <c r="L3354" s="100"/>
      <c r="M3354" s="100"/>
      <c r="N3354" s="100"/>
      <c r="O3354" s="100"/>
      <c r="P3354" s="100"/>
      <c r="Q3354" s="100"/>
      <c r="R3354" s="100"/>
      <c r="S3354" s="100"/>
      <c r="T3354" s="100"/>
      <c r="U3354" s="100"/>
      <c r="V3354" s="100"/>
      <c r="W3354" s="100"/>
      <c r="X3354" s="100"/>
      <c r="Y3354" s="100"/>
      <c r="Z3354" s="100"/>
    </row>
    <row r="3355" spans="1:26">
      <c r="A3355" s="100"/>
      <c r="B3355" s="100"/>
      <c r="C3355" s="100"/>
      <c r="D3355" s="100"/>
      <c r="E3355" s="100"/>
      <c r="F3355" s="100"/>
      <c r="G3355" s="100"/>
      <c r="H3355" s="100"/>
      <c r="I3355" s="100"/>
      <c r="J3355" s="100"/>
      <c r="K3355" s="100"/>
      <c r="L3355" s="100"/>
      <c r="M3355" s="100"/>
      <c r="N3355" s="100"/>
      <c r="O3355" s="100"/>
      <c r="P3355" s="100"/>
      <c r="Q3355" s="100"/>
      <c r="R3355" s="100"/>
      <c r="S3355" s="100"/>
      <c r="T3355" s="100"/>
      <c r="U3355" s="100"/>
      <c r="V3355" s="100"/>
      <c r="W3355" s="100"/>
      <c r="X3355" s="100"/>
      <c r="Y3355" s="100"/>
      <c r="Z3355" s="100"/>
    </row>
    <row r="3356" spans="1:26">
      <c r="A3356" s="100"/>
      <c r="B3356" s="100"/>
      <c r="C3356" s="100"/>
      <c r="D3356" s="100"/>
      <c r="E3356" s="100"/>
      <c r="F3356" s="100"/>
      <c r="G3356" s="100"/>
      <c r="H3356" s="100"/>
      <c r="I3356" s="100"/>
      <c r="J3356" s="100"/>
      <c r="K3356" s="100"/>
      <c r="L3356" s="100"/>
      <c r="M3356" s="100"/>
      <c r="N3356" s="100"/>
      <c r="O3356" s="100"/>
      <c r="P3356" s="100"/>
      <c r="Q3356" s="100"/>
      <c r="R3356" s="100"/>
      <c r="S3356" s="100"/>
      <c r="T3356" s="100"/>
      <c r="U3356" s="100"/>
      <c r="V3356" s="100"/>
      <c r="W3356" s="100"/>
      <c r="X3356" s="100"/>
      <c r="Y3356" s="100"/>
      <c r="Z3356" s="100"/>
    </row>
    <row r="3357" spans="1:26">
      <c r="A3357" s="100"/>
      <c r="B3357" s="100"/>
      <c r="C3357" s="100"/>
      <c r="D3357" s="100"/>
      <c r="E3357" s="100"/>
      <c r="F3357" s="100"/>
      <c r="G3357" s="100"/>
      <c r="H3357" s="100"/>
      <c r="I3357" s="100"/>
      <c r="J3357" s="100"/>
      <c r="K3357" s="100"/>
      <c r="L3357" s="100"/>
      <c r="M3357" s="100"/>
      <c r="N3357" s="100"/>
      <c r="O3357" s="100"/>
      <c r="P3357" s="100"/>
      <c r="Q3357" s="100"/>
      <c r="R3357" s="100"/>
      <c r="S3357" s="100"/>
      <c r="T3357" s="100"/>
      <c r="U3357" s="100"/>
      <c r="V3357" s="100"/>
      <c r="W3357" s="100"/>
      <c r="X3357" s="100"/>
      <c r="Y3357" s="100"/>
      <c r="Z3357" s="100"/>
    </row>
    <row r="3358" spans="1:26">
      <c r="A3358" s="100"/>
      <c r="B3358" s="100"/>
      <c r="C3358" s="100"/>
      <c r="D3358" s="100"/>
      <c r="E3358" s="100"/>
      <c r="F3358" s="100"/>
      <c r="G3358" s="100"/>
      <c r="H3358" s="100"/>
      <c r="I3358" s="100"/>
      <c r="J3358" s="100"/>
      <c r="K3358" s="100"/>
      <c r="L3358" s="100"/>
      <c r="M3358" s="100"/>
      <c r="N3358" s="100"/>
      <c r="O3358" s="100"/>
      <c r="P3358" s="100"/>
      <c r="Q3358" s="100"/>
      <c r="R3358" s="100"/>
      <c r="S3358" s="100"/>
      <c r="T3358" s="100"/>
      <c r="U3358" s="100"/>
      <c r="V3358" s="100"/>
      <c r="W3358" s="100"/>
      <c r="X3358" s="100"/>
      <c r="Y3358" s="100"/>
      <c r="Z3358" s="100"/>
    </row>
    <row r="3359" spans="1:26">
      <c r="A3359" s="100"/>
      <c r="B3359" s="100"/>
      <c r="C3359" s="100"/>
      <c r="D3359" s="100"/>
      <c r="E3359" s="100"/>
      <c r="F3359" s="100"/>
      <c r="G3359" s="100"/>
      <c r="H3359" s="100"/>
      <c r="I3359" s="100"/>
      <c r="J3359" s="100"/>
      <c r="K3359" s="100"/>
      <c r="L3359" s="100"/>
      <c r="M3359" s="100"/>
      <c r="N3359" s="100"/>
      <c r="O3359" s="100"/>
      <c r="P3359" s="100"/>
      <c r="Q3359" s="100"/>
      <c r="R3359" s="100"/>
      <c r="S3359" s="100"/>
      <c r="T3359" s="100"/>
      <c r="U3359" s="100"/>
      <c r="V3359" s="100"/>
      <c r="W3359" s="100"/>
      <c r="X3359" s="100"/>
      <c r="Y3359" s="100"/>
      <c r="Z3359" s="100"/>
    </row>
    <row r="3360" spans="1:26">
      <c r="A3360" s="100"/>
      <c r="B3360" s="100"/>
      <c r="C3360" s="100"/>
      <c r="D3360" s="100"/>
      <c r="E3360" s="100"/>
      <c r="F3360" s="100"/>
      <c r="G3360" s="100"/>
      <c r="H3360" s="100"/>
      <c r="I3360" s="100"/>
      <c r="J3360" s="100"/>
      <c r="K3360" s="100"/>
      <c r="L3360" s="100"/>
      <c r="M3360" s="100"/>
      <c r="N3360" s="100"/>
      <c r="O3360" s="100"/>
      <c r="P3360" s="100"/>
      <c r="Q3360" s="100"/>
      <c r="R3360" s="100"/>
      <c r="S3360" s="100"/>
      <c r="T3360" s="100"/>
      <c r="U3360" s="100"/>
      <c r="V3360" s="100"/>
      <c r="W3360" s="100"/>
      <c r="X3360" s="100"/>
      <c r="Y3360" s="100"/>
      <c r="Z3360" s="100"/>
    </row>
    <row r="3361" spans="1:26">
      <c r="A3361" s="100"/>
      <c r="B3361" s="100"/>
      <c r="C3361" s="100"/>
      <c r="D3361" s="100"/>
      <c r="E3361" s="100"/>
      <c r="F3361" s="100"/>
      <c r="G3361" s="100"/>
      <c r="H3361" s="100"/>
      <c r="I3361" s="100"/>
      <c r="J3361" s="100"/>
      <c r="K3361" s="100"/>
      <c r="L3361" s="100"/>
      <c r="M3361" s="100"/>
      <c r="N3361" s="100"/>
      <c r="O3361" s="100"/>
      <c r="P3361" s="100"/>
      <c r="Q3361" s="100"/>
      <c r="R3361" s="100"/>
      <c r="S3361" s="100"/>
      <c r="T3361" s="100"/>
      <c r="U3361" s="100"/>
      <c r="V3361" s="100"/>
      <c r="W3361" s="100"/>
      <c r="X3361" s="100"/>
      <c r="Y3361" s="100"/>
      <c r="Z3361" s="100"/>
    </row>
    <row r="3362" spans="1:26">
      <c r="A3362" s="100"/>
      <c r="B3362" s="100"/>
      <c r="C3362" s="100"/>
      <c r="D3362" s="100"/>
      <c r="E3362" s="100"/>
      <c r="F3362" s="100"/>
      <c r="G3362" s="100"/>
      <c r="H3362" s="100"/>
      <c r="I3362" s="100"/>
      <c r="J3362" s="100"/>
      <c r="K3362" s="100"/>
      <c r="L3362" s="100"/>
      <c r="M3362" s="100"/>
      <c r="N3362" s="100"/>
      <c r="O3362" s="100"/>
      <c r="P3362" s="100"/>
      <c r="Q3362" s="100"/>
      <c r="R3362" s="100"/>
      <c r="S3362" s="100"/>
      <c r="T3362" s="100"/>
      <c r="U3362" s="100"/>
      <c r="V3362" s="100"/>
      <c r="W3362" s="100"/>
      <c r="X3362" s="100"/>
      <c r="Y3362" s="100"/>
      <c r="Z3362" s="100"/>
    </row>
    <row r="3363" spans="1:26">
      <c r="A3363" s="100"/>
      <c r="B3363" s="100"/>
      <c r="C3363" s="100"/>
      <c r="D3363" s="100"/>
      <c r="E3363" s="100"/>
      <c r="F3363" s="100"/>
      <c r="G3363" s="100"/>
      <c r="H3363" s="100"/>
      <c r="I3363" s="100"/>
      <c r="J3363" s="100"/>
      <c r="K3363" s="100"/>
      <c r="L3363" s="100"/>
      <c r="M3363" s="100"/>
      <c r="N3363" s="100"/>
      <c r="O3363" s="100"/>
      <c r="P3363" s="100"/>
      <c r="Q3363" s="100"/>
      <c r="R3363" s="100"/>
      <c r="S3363" s="100"/>
      <c r="T3363" s="100"/>
      <c r="U3363" s="100"/>
      <c r="V3363" s="100"/>
      <c r="W3363" s="100"/>
      <c r="X3363" s="100"/>
      <c r="Y3363" s="100"/>
      <c r="Z3363" s="100"/>
    </row>
    <row r="3364" spans="1:26">
      <c r="A3364" s="100"/>
      <c r="B3364" s="100"/>
      <c r="C3364" s="100"/>
      <c r="D3364" s="100"/>
      <c r="E3364" s="100"/>
      <c r="F3364" s="100"/>
      <c r="G3364" s="100"/>
      <c r="H3364" s="100"/>
      <c r="I3364" s="100"/>
      <c r="J3364" s="100"/>
      <c r="K3364" s="100"/>
      <c r="L3364" s="100"/>
      <c r="M3364" s="100"/>
      <c r="N3364" s="100"/>
      <c r="O3364" s="100"/>
      <c r="P3364" s="100"/>
      <c r="Q3364" s="100"/>
      <c r="R3364" s="100"/>
      <c r="S3364" s="100"/>
      <c r="T3364" s="100"/>
      <c r="U3364" s="100"/>
      <c r="V3364" s="100"/>
      <c r="W3364" s="100"/>
      <c r="X3364" s="100"/>
      <c r="Y3364" s="100"/>
      <c r="Z3364" s="100"/>
    </row>
    <row r="3365" spans="1:26">
      <c r="A3365" s="100"/>
      <c r="B3365" s="100"/>
      <c r="C3365" s="100"/>
      <c r="D3365" s="100"/>
      <c r="E3365" s="100"/>
      <c r="F3365" s="100"/>
      <c r="G3365" s="100"/>
      <c r="H3365" s="100"/>
      <c r="I3365" s="100"/>
      <c r="J3365" s="100"/>
      <c r="K3365" s="100"/>
      <c r="L3365" s="100"/>
      <c r="M3365" s="100"/>
      <c r="N3365" s="100"/>
      <c r="O3365" s="100"/>
      <c r="P3365" s="100"/>
      <c r="Q3365" s="100"/>
      <c r="R3365" s="100"/>
      <c r="S3365" s="100"/>
      <c r="T3365" s="100"/>
      <c r="U3365" s="100"/>
      <c r="V3365" s="100"/>
      <c r="W3365" s="100"/>
      <c r="X3365" s="100"/>
      <c r="Y3365" s="100"/>
      <c r="Z3365" s="100"/>
    </row>
    <row r="3366" spans="1:26">
      <c r="A3366" s="100"/>
      <c r="B3366" s="100"/>
      <c r="C3366" s="100"/>
      <c r="D3366" s="100"/>
      <c r="E3366" s="100"/>
      <c r="F3366" s="100"/>
      <c r="G3366" s="100"/>
      <c r="H3366" s="100"/>
      <c r="I3366" s="100"/>
      <c r="J3366" s="100"/>
      <c r="K3366" s="100"/>
      <c r="L3366" s="100"/>
      <c r="M3366" s="100"/>
      <c r="N3366" s="100"/>
      <c r="O3366" s="100"/>
      <c r="P3366" s="100"/>
      <c r="Q3366" s="100"/>
      <c r="R3366" s="100"/>
      <c r="S3366" s="100"/>
      <c r="T3366" s="100"/>
      <c r="U3366" s="100"/>
      <c r="V3366" s="100"/>
      <c r="W3366" s="100"/>
      <c r="X3366" s="100"/>
      <c r="Y3366" s="100"/>
      <c r="Z3366" s="100"/>
    </row>
    <row r="3367" spans="1:26">
      <c r="A3367" s="100"/>
      <c r="B3367" s="100"/>
      <c r="C3367" s="100"/>
      <c r="D3367" s="100"/>
      <c r="E3367" s="100"/>
      <c r="F3367" s="100"/>
      <c r="G3367" s="100"/>
      <c r="H3367" s="100"/>
      <c r="I3367" s="100"/>
      <c r="J3367" s="100"/>
      <c r="K3367" s="100"/>
      <c r="L3367" s="100"/>
      <c r="M3367" s="100"/>
      <c r="N3367" s="100"/>
      <c r="O3367" s="100"/>
      <c r="P3367" s="100"/>
      <c r="Q3367" s="100"/>
      <c r="R3367" s="100"/>
      <c r="S3367" s="100"/>
      <c r="T3367" s="100"/>
      <c r="U3367" s="100"/>
      <c r="V3367" s="100"/>
      <c r="W3367" s="100"/>
      <c r="X3367" s="100"/>
      <c r="Y3367" s="100"/>
      <c r="Z3367" s="100"/>
    </row>
    <row r="3368" spans="1:26">
      <c r="A3368" s="100"/>
      <c r="B3368" s="100"/>
      <c r="C3368" s="100"/>
      <c r="D3368" s="100"/>
      <c r="E3368" s="100"/>
      <c r="F3368" s="100"/>
      <c r="G3368" s="100"/>
      <c r="H3368" s="100"/>
      <c r="I3368" s="100"/>
      <c r="J3368" s="100"/>
      <c r="K3368" s="100"/>
      <c r="L3368" s="100"/>
      <c r="M3368" s="100"/>
      <c r="N3368" s="100"/>
      <c r="O3368" s="100"/>
      <c r="P3368" s="100"/>
      <c r="Q3368" s="100"/>
      <c r="R3368" s="100"/>
      <c r="S3368" s="100"/>
      <c r="T3368" s="100"/>
      <c r="U3368" s="100"/>
      <c r="V3368" s="100"/>
      <c r="W3368" s="100"/>
      <c r="X3368" s="100"/>
      <c r="Y3368" s="100"/>
      <c r="Z3368" s="100"/>
    </row>
    <row r="3369" spans="1:26">
      <c r="A3369" s="100"/>
      <c r="B3369" s="100"/>
      <c r="C3369" s="100"/>
      <c r="D3369" s="100"/>
      <c r="E3369" s="100"/>
      <c r="F3369" s="100"/>
      <c r="G3369" s="100"/>
      <c r="H3369" s="100"/>
      <c r="I3369" s="100"/>
      <c r="J3369" s="100"/>
      <c r="K3369" s="100"/>
      <c r="L3369" s="100"/>
      <c r="M3369" s="100"/>
      <c r="N3369" s="100"/>
      <c r="O3369" s="100"/>
      <c r="P3369" s="100"/>
      <c r="Q3369" s="100"/>
      <c r="R3369" s="100"/>
      <c r="S3369" s="100"/>
      <c r="T3369" s="100"/>
      <c r="U3369" s="100"/>
      <c r="V3369" s="100"/>
      <c r="W3369" s="100"/>
      <c r="X3369" s="100"/>
      <c r="Y3369" s="100"/>
      <c r="Z3369" s="100"/>
    </row>
    <row r="3370" spans="1:26">
      <c r="A3370" s="100"/>
      <c r="B3370" s="100"/>
      <c r="C3370" s="100"/>
      <c r="D3370" s="100"/>
      <c r="E3370" s="100"/>
      <c r="F3370" s="100"/>
      <c r="G3370" s="100"/>
      <c r="H3370" s="100"/>
      <c r="I3370" s="100"/>
      <c r="J3370" s="100"/>
      <c r="K3370" s="100"/>
      <c r="L3370" s="100"/>
      <c r="M3370" s="100"/>
      <c r="N3370" s="100"/>
      <c r="O3370" s="100"/>
      <c r="P3370" s="100"/>
      <c r="Q3370" s="100"/>
      <c r="R3370" s="100"/>
      <c r="S3370" s="100"/>
      <c r="T3370" s="100"/>
      <c r="U3370" s="100"/>
      <c r="V3370" s="100"/>
      <c r="W3370" s="100"/>
      <c r="X3370" s="100"/>
      <c r="Y3370" s="100"/>
      <c r="Z3370" s="100"/>
    </row>
    <row r="3371" spans="1:26">
      <c r="A3371" s="100"/>
      <c r="B3371" s="100"/>
      <c r="C3371" s="100"/>
      <c r="D3371" s="100"/>
      <c r="E3371" s="100"/>
      <c r="F3371" s="100"/>
      <c r="G3371" s="100"/>
      <c r="H3371" s="100"/>
      <c r="I3371" s="100"/>
      <c r="J3371" s="100"/>
      <c r="K3371" s="100"/>
      <c r="L3371" s="100"/>
      <c r="M3371" s="100"/>
      <c r="N3371" s="100"/>
      <c r="O3371" s="100"/>
      <c r="P3371" s="100"/>
      <c r="Q3371" s="100"/>
      <c r="R3371" s="100"/>
      <c r="S3371" s="100"/>
      <c r="T3371" s="100"/>
      <c r="U3371" s="100"/>
      <c r="V3371" s="100"/>
      <c r="W3371" s="100"/>
      <c r="X3371" s="100"/>
      <c r="Y3371" s="100"/>
      <c r="Z3371" s="100"/>
    </row>
    <row r="3372" spans="1:26">
      <c r="A3372" s="100"/>
      <c r="B3372" s="100"/>
      <c r="C3372" s="100"/>
      <c r="D3372" s="100"/>
      <c r="E3372" s="100"/>
      <c r="F3372" s="100"/>
      <c r="G3372" s="100"/>
      <c r="H3372" s="100"/>
      <c r="I3372" s="100"/>
      <c r="J3372" s="100"/>
      <c r="K3372" s="100"/>
      <c r="L3372" s="100"/>
      <c r="M3372" s="100"/>
      <c r="N3372" s="100"/>
      <c r="O3372" s="100"/>
      <c r="P3372" s="100"/>
      <c r="Q3372" s="100"/>
      <c r="R3372" s="100"/>
      <c r="S3372" s="100"/>
      <c r="T3372" s="100"/>
      <c r="U3372" s="100"/>
      <c r="V3372" s="100"/>
      <c r="W3372" s="100"/>
      <c r="X3372" s="100"/>
      <c r="Y3372" s="100"/>
      <c r="Z3372" s="100"/>
    </row>
    <row r="3373" spans="1:26">
      <c r="A3373" s="100"/>
      <c r="B3373" s="100"/>
      <c r="C3373" s="100"/>
      <c r="D3373" s="100"/>
      <c r="E3373" s="100"/>
      <c r="F3373" s="100"/>
      <c r="G3373" s="100"/>
      <c r="H3373" s="100"/>
      <c r="I3373" s="100"/>
      <c r="J3373" s="100"/>
      <c r="K3373" s="100"/>
      <c r="L3373" s="100"/>
      <c r="M3373" s="100"/>
      <c r="N3373" s="100"/>
      <c r="O3373" s="100"/>
      <c r="P3373" s="100"/>
      <c r="Q3373" s="100"/>
      <c r="R3373" s="100"/>
      <c r="S3373" s="100"/>
      <c r="T3373" s="100"/>
      <c r="U3373" s="100"/>
      <c r="V3373" s="100"/>
      <c r="W3373" s="100"/>
      <c r="X3373" s="100"/>
      <c r="Y3373" s="100"/>
      <c r="Z3373" s="100"/>
    </row>
    <row r="3374" spans="1:26">
      <c r="A3374" s="100"/>
      <c r="B3374" s="100"/>
      <c r="C3374" s="100"/>
      <c r="D3374" s="100"/>
      <c r="E3374" s="100"/>
      <c r="F3374" s="100"/>
      <c r="G3374" s="100"/>
      <c r="H3374" s="100"/>
      <c r="I3374" s="100"/>
      <c r="J3374" s="100"/>
      <c r="K3374" s="100"/>
      <c r="L3374" s="100"/>
      <c r="M3374" s="100"/>
      <c r="N3374" s="100"/>
      <c r="O3374" s="100"/>
      <c r="P3374" s="100"/>
      <c r="Q3374" s="100"/>
      <c r="R3374" s="100"/>
      <c r="S3374" s="100"/>
      <c r="T3374" s="100"/>
      <c r="U3374" s="100"/>
      <c r="V3374" s="100"/>
      <c r="W3374" s="100"/>
      <c r="X3374" s="100"/>
      <c r="Y3374" s="100"/>
      <c r="Z3374" s="100"/>
    </row>
    <row r="3375" spans="1:26">
      <c r="A3375" s="100"/>
      <c r="B3375" s="100"/>
      <c r="C3375" s="100"/>
      <c r="D3375" s="100"/>
      <c r="E3375" s="100"/>
      <c r="F3375" s="100"/>
      <c r="G3375" s="100"/>
      <c r="H3375" s="100"/>
      <c r="I3375" s="100"/>
      <c r="J3375" s="100"/>
      <c r="K3375" s="100"/>
      <c r="L3375" s="100"/>
      <c r="M3375" s="100"/>
      <c r="N3375" s="100"/>
      <c r="O3375" s="100"/>
      <c r="P3375" s="100"/>
      <c r="Q3375" s="100"/>
      <c r="R3375" s="100"/>
      <c r="S3375" s="100"/>
      <c r="T3375" s="100"/>
      <c r="U3375" s="100"/>
      <c r="V3375" s="100"/>
      <c r="W3375" s="100"/>
      <c r="X3375" s="100"/>
      <c r="Y3375" s="100"/>
      <c r="Z3375" s="100"/>
    </row>
    <row r="3376" spans="1:26">
      <c r="A3376" s="100"/>
      <c r="B3376" s="100"/>
      <c r="C3376" s="100"/>
      <c r="D3376" s="100"/>
      <c r="E3376" s="100"/>
      <c r="F3376" s="100"/>
      <c r="G3376" s="100"/>
      <c r="H3376" s="100"/>
      <c r="I3376" s="100"/>
      <c r="J3376" s="100"/>
      <c r="K3376" s="100"/>
      <c r="L3376" s="100"/>
      <c r="M3376" s="100"/>
      <c r="N3376" s="100"/>
      <c r="O3376" s="100"/>
      <c r="P3376" s="100"/>
      <c r="Q3376" s="100"/>
      <c r="R3376" s="100"/>
      <c r="S3376" s="100"/>
      <c r="T3376" s="100"/>
      <c r="U3376" s="100"/>
      <c r="V3376" s="100"/>
      <c r="W3376" s="100"/>
      <c r="X3376" s="100"/>
      <c r="Y3376" s="100"/>
      <c r="Z3376" s="100"/>
    </row>
    <row r="3377" spans="1:26">
      <c r="A3377" s="100"/>
      <c r="B3377" s="100"/>
      <c r="C3377" s="100"/>
      <c r="D3377" s="100"/>
      <c r="E3377" s="100"/>
      <c r="F3377" s="100"/>
      <c r="G3377" s="100"/>
      <c r="H3377" s="100"/>
      <c r="I3377" s="100"/>
      <c r="J3377" s="100"/>
      <c r="K3377" s="100"/>
      <c r="L3377" s="100"/>
      <c r="M3377" s="100"/>
      <c r="N3377" s="100"/>
      <c r="O3377" s="100"/>
      <c r="P3377" s="100"/>
      <c r="Q3377" s="100"/>
      <c r="R3377" s="100"/>
      <c r="S3377" s="100"/>
      <c r="T3377" s="100"/>
      <c r="U3377" s="100"/>
      <c r="V3377" s="100"/>
      <c r="W3377" s="100"/>
      <c r="X3377" s="100"/>
      <c r="Y3377" s="100"/>
      <c r="Z3377" s="100"/>
    </row>
    <row r="3378" spans="1:26">
      <c r="A3378" s="100"/>
      <c r="B3378" s="100"/>
      <c r="C3378" s="100"/>
      <c r="D3378" s="100"/>
      <c r="E3378" s="100"/>
      <c r="F3378" s="100"/>
      <c r="G3378" s="100"/>
      <c r="H3378" s="100"/>
      <c r="I3378" s="100"/>
      <c r="J3378" s="100"/>
      <c r="K3378" s="100"/>
      <c r="L3378" s="100"/>
      <c r="M3378" s="100"/>
      <c r="N3378" s="100"/>
      <c r="O3378" s="100"/>
      <c r="P3378" s="100"/>
      <c r="Q3378" s="100"/>
      <c r="R3378" s="100"/>
      <c r="S3378" s="100"/>
      <c r="T3378" s="100"/>
      <c r="U3378" s="100"/>
      <c r="V3378" s="100"/>
      <c r="W3378" s="100"/>
      <c r="X3378" s="100"/>
      <c r="Y3378" s="100"/>
      <c r="Z3378" s="100"/>
    </row>
    <row r="3379" spans="1:26">
      <c r="A3379" s="100"/>
      <c r="B3379" s="100"/>
      <c r="C3379" s="100"/>
      <c r="D3379" s="100"/>
      <c r="E3379" s="100"/>
      <c r="F3379" s="100"/>
      <c r="G3379" s="100"/>
      <c r="H3379" s="100"/>
      <c r="I3379" s="100"/>
      <c r="J3379" s="100"/>
      <c r="K3379" s="100"/>
      <c r="L3379" s="100"/>
      <c r="M3379" s="100"/>
      <c r="N3379" s="100"/>
      <c r="O3379" s="100"/>
      <c r="P3379" s="100"/>
      <c r="Q3379" s="100"/>
      <c r="R3379" s="100"/>
      <c r="S3379" s="100"/>
      <c r="T3379" s="100"/>
      <c r="U3379" s="100"/>
      <c r="V3379" s="100"/>
      <c r="W3379" s="100"/>
      <c r="X3379" s="100"/>
      <c r="Y3379" s="100"/>
      <c r="Z3379" s="100"/>
    </row>
    <row r="3380" spans="1:26">
      <c r="A3380" s="100"/>
      <c r="B3380" s="100"/>
      <c r="C3380" s="100"/>
      <c r="D3380" s="100"/>
      <c r="E3380" s="100"/>
      <c r="F3380" s="100"/>
      <c r="G3380" s="100"/>
      <c r="H3380" s="100"/>
      <c r="I3380" s="100"/>
      <c r="J3380" s="100"/>
      <c r="K3380" s="100"/>
      <c r="L3380" s="100"/>
      <c r="M3380" s="100"/>
      <c r="N3380" s="100"/>
      <c r="O3380" s="100"/>
      <c r="P3380" s="100"/>
      <c r="Q3380" s="100"/>
      <c r="R3380" s="100"/>
      <c r="S3380" s="100"/>
      <c r="T3380" s="100"/>
      <c r="U3380" s="100"/>
      <c r="V3380" s="100"/>
      <c r="W3380" s="100"/>
      <c r="X3380" s="100"/>
      <c r="Y3380" s="100"/>
      <c r="Z3380" s="100"/>
    </row>
    <row r="3381" spans="1:26">
      <c r="A3381" s="100"/>
      <c r="B3381" s="100"/>
      <c r="C3381" s="100"/>
      <c r="D3381" s="100"/>
      <c r="E3381" s="100"/>
      <c r="F3381" s="100"/>
      <c r="G3381" s="100"/>
      <c r="H3381" s="100"/>
      <c r="I3381" s="100"/>
      <c r="J3381" s="100"/>
      <c r="K3381" s="100"/>
      <c r="L3381" s="100"/>
      <c r="M3381" s="100"/>
      <c r="N3381" s="100"/>
      <c r="O3381" s="100"/>
      <c r="P3381" s="100"/>
      <c r="Q3381" s="100"/>
      <c r="R3381" s="100"/>
      <c r="S3381" s="100"/>
      <c r="T3381" s="100"/>
      <c r="U3381" s="100"/>
      <c r="V3381" s="100"/>
      <c r="W3381" s="100"/>
      <c r="X3381" s="100"/>
      <c r="Y3381" s="100"/>
      <c r="Z3381" s="100"/>
    </row>
    <row r="3382" spans="1:26">
      <c r="A3382" s="100"/>
      <c r="B3382" s="100"/>
      <c r="C3382" s="100"/>
      <c r="D3382" s="100"/>
      <c r="E3382" s="100"/>
      <c r="F3382" s="100"/>
      <c r="G3382" s="100"/>
      <c r="H3382" s="100"/>
      <c r="I3382" s="100"/>
      <c r="J3382" s="100"/>
      <c r="K3382" s="100"/>
      <c r="L3382" s="100"/>
      <c r="M3382" s="100"/>
      <c r="N3382" s="100"/>
      <c r="O3382" s="100"/>
      <c r="P3382" s="100"/>
      <c r="Q3382" s="100"/>
      <c r="R3382" s="100"/>
      <c r="S3382" s="100"/>
      <c r="T3382" s="100"/>
      <c r="U3382" s="100"/>
      <c r="V3382" s="100"/>
      <c r="W3382" s="100"/>
      <c r="X3382" s="100"/>
      <c r="Y3382" s="100"/>
      <c r="Z3382" s="100"/>
    </row>
    <row r="3383" spans="1:26">
      <c r="A3383" s="100"/>
      <c r="B3383" s="100"/>
      <c r="C3383" s="100"/>
      <c r="D3383" s="100"/>
      <c r="E3383" s="100"/>
      <c r="F3383" s="100"/>
      <c r="G3383" s="100"/>
      <c r="H3383" s="100"/>
      <c r="I3383" s="100"/>
      <c r="J3383" s="100"/>
      <c r="K3383" s="100"/>
      <c r="L3383" s="100"/>
      <c r="M3383" s="100"/>
      <c r="N3383" s="100"/>
      <c r="O3383" s="100"/>
      <c r="P3383" s="100"/>
      <c r="Q3383" s="100"/>
      <c r="R3383" s="100"/>
      <c r="S3383" s="100"/>
      <c r="T3383" s="100"/>
      <c r="U3383" s="100"/>
      <c r="V3383" s="100"/>
      <c r="W3383" s="100"/>
      <c r="X3383" s="100"/>
      <c r="Y3383" s="100"/>
      <c r="Z3383" s="100"/>
    </row>
    <row r="3384" spans="1:26">
      <c r="A3384" s="100"/>
      <c r="B3384" s="100"/>
      <c r="C3384" s="100"/>
      <c r="D3384" s="100"/>
      <c r="E3384" s="100"/>
      <c r="F3384" s="100"/>
      <c r="G3384" s="100"/>
      <c r="H3384" s="100"/>
      <c r="I3384" s="100"/>
      <c r="J3384" s="100"/>
      <c r="K3384" s="100"/>
      <c r="L3384" s="100"/>
      <c r="M3384" s="100"/>
      <c r="N3384" s="100"/>
      <c r="O3384" s="100"/>
      <c r="P3384" s="100"/>
      <c r="Q3384" s="100"/>
      <c r="R3384" s="100"/>
      <c r="S3384" s="100"/>
      <c r="T3384" s="100"/>
      <c r="U3384" s="100"/>
      <c r="V3384" s="100"/>
      <c r="W3384" s="100"/>
      <c r="X3384" s="100"/>
      <c r="Y3384" s="100"/>
      <c r="Z3384" s="100"/>
    </row>
    <row r="3385" spans="1:26">
      <c r="A3385" s="100"/>
      <c r="B3385" s="100"/>
      <c r="C3385" s="100"/>
      <c r="D3385" s="100"/>
      <c r="E3385" s="100"/>
      <c r="F3385" s="100"/>
      <c r="G3385" s="100"/>
      <c r="H3385" s="100"/>
      <c r="I3385" s="100"/>
      <c r="J3385" s="100"/>
      <c r="K3385" s="100"/>
      <c r="L3385" s="100"/>
      <c r="M3385" s="100"/>
      <c r="N3385" s="100"/>
      <c r="O3385" s="100"/>
      <c r="P3385" s="100"/>
      <c r="Q3385" s="100"/>
      <c r="R3385" s="100"/>
      <c r="S3385" s="100"/>
      <c r="T3385" s="100"/>
      <c r="U3385" s="100"/>
      <c r="V3385" s="100"/>
      <c r="W3385" s="100"/>
      <c r="X3385" s="100"/>
      <c r="Y3385" s="100"/>
      <c r="Z3385" s="100"/>
    </row>
    <row r="3386" spans="1:26">
      <c r="A3386" s="100"/>
      <c r="B3386" s="100"/>
      <c r="C3386" s="100"/>
      <c r="D3386" s="100"/>
      <c r="E3386" s="100"/>
      <c r="F3386" s="100"/>
      <c r="G3386" s="100"/>
      <c r="H3386" s="100"/>
      <c r="I3386" s="100"/>
      <c r="J3386" s="100"/>
      <c r="K3386" s="100"/>
      <c r="L3386" s="100"/>
      <c r="M3386" s="100"/>
      <c r="N3386" s="100"/>
      <c r="O3386" s="100"/>
      <c r="P3386" s="100"/>
      <c r="Q3386" s="100"/>
      <c r="R3386" s="100"/>
      <c r="S3386" s="100"/>
      <c r="T3386" s="100"/>
      <c r="U3386" s="100"/>
      <c r="V3386" s="100"/>
      <c r="W3386" s="100"/>
      <c r="X3386" s="100"/>
      <c r="Y3386" s="100"/>
      <c r="Z3386" s="100"/>
    </row>
    <row r="3387" spans="1:26">
      <c r="A3387" s="100"/>
      <c r="B3387" s="100"/>
      <c r="C3387" s="100"/>
      <c r="D3387" s="100"/>
      <c r="E3387" s="100"/>
      <c r="F3387" s="100"/>
      <c r="G3387" s="100"/>
      <c r="H3387" s="100"/>
      <c r="I3387" s="100"/>
      <c r="J3387" s="100"/>
      <c r="K3387" s="100"/>
      <c r="L3387" s="100"/>
      <c r="M3387" s="100"/>
      <c r="N3387" s="100"/>
      <c r="O3387" s="100"/>
      <c r="P3387" s="100"/>
      <c r="Q3387" s="100"/>
      <c r="R3387" s="100"/>
      <c r="S3387" s="100"/>
      <c r="T3387" s="100"/>
      <c r="U3387" s="100"/>
      <c r="V3387" s="100"/>
      <c r="W3387" s="100"/>
      <c r="X3387" s="100"/>
      <c r="Y3387" s="100"/>
      <c r="Z3387" s="100"/>
    </row>
    <row r="3388" spans="1:26">
      <c r="A3388" s="100"/>
      <c r="B3388" s="100"/>
      <c r="C3388" s="100"/>
      <c r="D3388" s="100"/>
      <c r="E3388" s="100"/>
      <c r="F3388" s="100"/>
      <c r="G3388" s="100"/>
      <c r="H3388" s="100"/>
      <c r="I3388" s="100"/>
      <c r="J3388" s="100"/>
      <c r="K3388" s="100"/>
      <c r="L3388" s="100"/>
      <c r="M3388" s="100"/>
      <c r="N3388" s="100"/>
      <c r="O3388" s="100"/>
      <c r="P3388" s="100"/>
      <c r="Q3388" s="100"/>
      <c r="R3388" s="100"/>
      <c r="S3388" s="100"/>
      <c r="T3388" s="100"/>
      <c r="U3388" s="100"/>
      <c r="V3388" s="100"/>
      <c r="W3388" s="100"/>
      <c r="X3388" s="100"/>
      <c r="Y3388" s="100"/>
      <c r="Z3388" s="100"/>
    </row>
    <row r="3389" spans="1:26">
      <c r="A3389" s="100"/>
      <c r="B3389" s="100"/>
      <c r="C3389" s="100"/>
      <c r="D3389" s="100"/>
      <c r="E3389" s="100"/>
      <c r="F3389" s="100"/>
      <c r="G3389" s="100"/>
      <c r="H3389" s="100"/>
      <c r="I3389" s="100"/>
      <c r="J3389" s="100"/>
      <c r="K3389" s="100"/>
      <c r="L3389" s="100"/>
      <c r="M3389" s="100"/>
      <c r="N3389" s="100"/>
      <c r="O3389" s="100"/>
      <c r="P3389" s="100"/>
      <c r="Q3389" s="100"/>
      <c r="R3389" s="100"/>
      <c r="S3389" s="100"/>
      <c r="T3389" s="100"/>
      <c r="U3389" s="100"/>
      <c r="V3389" s="100"/>
      <c r="W3389" s="100"/>
      <c r="X3389" s="100"/>
      <c r="Y3389" s="100"/>
      <c r="Z3389" s="100"/>
    </row>
    <row r="3390" spans="1:26">
      <c r="A3390" s="100"/>
      <c r="B3390" s="100"/>
      <c r="C3390" s="100"/>
      <c r="D3390" s="100"/>
      <c r="E3390" s="100"/>
      <c r="F3390" s="100"/>
      <c r="G3390" s="100"/>
      <c r="H3390" s="100"/>
      <c r="I3390" s="100"/>
      <c r="J3390" s="100"/>
      <c r="K3390" s="100"/>
      <c r="L3390" s="100"/>
      <c r="M3390" s="100"/>
      <c r="N3390" s="100"/>
      <c r="O3390" s="100"/>
      <c r="P3390" s="100"/>
      <c r="Q3390" s="100"/>
      <c r="R3390" s="100"/>
      <c r="S3390" s="100"/>
      <c r="T3390" s="100"/>
      <c r="U3390" s="100"/>
      <c r="V3390" s="100"/>
      <c r="W3390" s="100"/>
      <c r="X3390" s="100"/>
      <c r="Y3390" s="100"/>
      <c r="Z3390" s="100"/>
    </row>
    <row r="3391" spans="1:26">
      <c r="A3391" s="100"/>
      <c r="B3391" s="100"/>
      <c r="C3391" s="100"/>
      <c r="D3391" s="100"/>
      <c r="E3391" s="100"/>
      <c r="F3391" s="100"/>
      <c r="G3391" s="100"/>
      <c r="H3391" s="100"/>
      <c r="I3391" s="100"/>
      <c r="J3391" s="100"/>
      <c r="K3391" s="100"/>
      <c r="L3391" s="100"/>
      <c r="M3391" s="100"/>
      <c r="N3391" s="100"/>
      <c r="O3391" s="100"/>
      <c r="P3391" s="100"/>
      <c r="Q3391" s="100"/>
      <c r="R3391" s="100"/>
      <c r="S3391" s="100"/>
      <c r="T3391" s="100"/>
      <c r="U3391" s="100"/>
      <c r="V3391" s="100"/>
      <c r="W3391" s="100"/>
      <c r="X3391" s="100"/>
      <c r="Y3391" s="100"/>
      <c r="Z3391" s="100"/>
    </row>
    <row r="3392" spans="1:26">
      <c r="A3392" s="100"/>
      <c r="B3392" s="100"/>
      <c r="C3392" s="100"/>
      <c r="D3392" s="100"/>
      <c r="E3392" s="100"/>
      <c r="F3392" s="100"/>
      <c r="G3392" s="100"/>
      <c r="H3392" s="100"/>
      <c r="I3392" s="100"/>
      <c r="J3392" s="100"/>
      <c r="K3392" s="100"/>
      <c r="L3392" s="100"/>
      <c r="M3392" s="100"/>
      <c r="N3392" s="100"/>
      <c r="O3392" s="100"/>
      <c r="P3392" s="100"/>
      <c r="Q3392" s="100"/>
      <c r="R3392" s="100"/>
      <c r="S3392" s="100"/>
      <c r="T3392" s="100"/>
      <c r="U3392" s="100"/>
      <c r="V3392" s="100"/>
      <c r="W3392" s="100"/>
      <c r="X3392" s="100"/>
      <c r="Y3392" s="100"/>
      <c r="Z3392" s="100"/>
    </row>
    <row r="3393" spans="1:26">
      <c r="A3393" s="100"/>
      <c r="B3393" s="100"/>
      <c r="C3393" s="100"/>
      <c r="D3393" s="100"/>
      <c r="E3393" s="100"/>
      <c r="F3393" s="100"/>
      <c r="G3393" s="100"/>
      <c r="H3393" s="100"/>
      <c r="I3393" s="100"/>
      <c r="J3393" s="100"/>
      <c r="K3393" s="100"/>
      <c r="L3393" s="100"/>
      <c r="M3393" s="100"/>
      <c r="N3393" s="100"/>
      <c r="O3393" s="100"/>
      <c r="P3393" s="100"/>
      <c r="Q3393" s="100"/>
      <c r="R3393" s="100"/>
      <c r="S3393" s="100"/>
      <c r="T3393" s="100"/>
      <c r="U3393" s="100"/>
      <c r="V3393" s="100"/>
      <c r="W3393" s="100"/>
      <c r="X3393" s="100"/>
      <c r="Y3393" s="100"/>
      <c r="Z3393" s="100"/>
    </row>
    <row r="3394" spans="1:26">
      <c r="A3394" s="100"/>
      <c r="B3394" s="100"/>
      <c r="C3394" s="100"/>
      <c r="D3394" s="100"/>
      <c r="E3394" s="100"/>
      <c r="F3394" s="100"/>
      <c r="G3394" s="100"/>
      <c r="H3394" s="100"/>
      <c r="I3394" s="100"/>
      <c r="J3394" s="100"/>
      <c r="K3394" s="100"/>
      <c r="L3394" s="100"/>
      <c r="M3394" s="100"/>
      <c r="N3394" s="100"/>
      <c r="O3394" s="100"/>
      <c r="P3394" s="100"/>
      <c r="Q3394" s="100"/>
      <c r="R3394" s="100"/>
      <c r="S3394" s="100"/>
      <c r="T3394" s="100"/>
      <c r="U3394" s="100"/>
      <c r="V3394" s="100"/>
      <c r="W3394" s="100"/>
      <c r="X3394" s="100"/>
      <c r="Y3394" s="100"/>
      <c r="Z3394" s="100"/>
    </row>
    <row r="3395" spans="1:26">
      <c r="A3395" s="100"/>
      <c r="B3395" s="100"/>
      <c r="C3395" s="100"/>
      <c r="D3395" s="100"/>
      <c r="E3395" s="100"/>
      <c r="F3395" s="100"/>
      <c r="G3395" s="100"/>
      <c r="H3395" s="100"/>
      <c r="I3395" s="100"/>
      <c r="J3395" s="100"/>
      <c r="K3395" s="100"/>
      <c r="L3395" s="100"/>
      <c r="M3395" s="100"/>
      <c r="N3395" s="100"/>
      <c r="O3395" s="100"/>
      <c r="P3395" s="100"/>
      <c r="Q3395" s="100"/>
      <c r="R3395" s="100"/>
      <c r="S3395" s="100"/>
      <c r="T3395" s="100"/>
      <c r="U3395" s="100"/>
      <c r="V3395" s="100"/>
      <c r="W3395" s="100"/>
      <c r="X3395" s="100"/>
      <c r="Y3395" s="100"/>
      <c r="Z3395" s="100"/>
    </row>
    <row r="3396" spans="1:26">
      <c r="A3396" s="100"/>
      <c r="B3396" s="100"/>
      <c r="C3396" s="100"/>
      <c r="D3396" s="100"/>
      <c r="E3396" s="100"/>
      <c r="F3396" s="100"/>
      <c r="G3396" s="100"/>
      <c r="H3396" s="100"/>
      <c r="I3396" s="100"/>
      <c r="J3396" s="100"/>
      <c r="K3396" s="100"/>
      <c r="L3396" s="100"/>
      <c r="M3396" s="100"/>
      <c r="N3396" s="100"/>
      <c r="O3396" s="100"/>
      <c r="P3396" s="100"/>
      <c r="Q3396" s="100"/>
      <c r="R3396" s="100"/>
      <c r="S3396" s="100"/>
      <c r="T3396" s="100"/>
      <c r="U3396" s="100"/>
      <c r="V3396" s="100"/>
      <c r="W3396" s="100"/>
      <c r="X3396" s="100"/>
      <c r="Y3396" s="100"/>
      <c r="Z3396" s="100"/>
    </row>
    <row r="3397" spans="1:26">
      <c r="A3397" s="100"/>
      <c r="B3397" s="100"/>
      <c r="C3397" s="100"/>
      <c r="D3397" s="100"/>
      <c r="E3397" s="100"/>
      <c r="F3397" s="100"/>
      <c r="G3397" s="100"/>
      <c r="H3397" s="100"/>
      <c r="I3397" s="100"/>
      <c r="J3397" s="100"/>
      <c r="K3397" s="100"/>
      <c r="L3397" s="100"/>
      <c r="M3397" s="100"/>
      <c r="N3397" s="100"/>
      <c r="O3397" s="100"/>
      <c r="P3397" s="100"/>
      <c r="Q3397" s="100"/>
      <c r="R3397" s="100"/>
      <c r="S3397" s="100"/>
      <c r="T3397" s="100"/>
      <c r="U3397" s="100"/>
      <c r="V3397" s="100"/>
      <c r="W3397" s="100"/>
      <c r="X3397" s="100"/>
      <c r="Y3397" s="100"/>
      <c r="Z3397" s="100"/>
    </row>
    <row r="3398" spans="1:26">
      <c r="A3398" s="100"/>
      <c r="B3398" s="100"/>
      <c r="C3398" s="100"/>
      <c r="D3398" s="100"/>
      <c r="E3398" s="100"/>
      <c r="F3398" s="100"/>
      <c r="G3398" s="100"/>
      <c r="H3398" s="100"/>
      <c r="I3398" s="100"/>
      <c r="J3398" s="100"/>
      <c r="K3398" s="100"/>
      <c r="L3398" s="100"/>
      <c r="M3398" s="100"/>
      <c r="N3398" s="100"/>
      <c r="O3398" s="100"/>
      <c r="P3398" s="100"/>
      <c r="Q3398" s="100"/>
      <c r="R3398" s="100"/>
      <c r="S3398" s="100"/>
      <c r="T3398" s="100"/>
      <c r="U3398" s="100"/>
      <c r="V3398" s="100"/>
      <c r="W3398" s="100"/>
      <c r="X3398" s="100"/>
      <c r="Y3398" s="100"/>
      <c r="Z3398" s="100"/>
    </row>
    <row r="3399" spans="1:26">
      <c r="A3399" s="100"/>
      <c r="B3399" s="100"/>
      <c r="C3399" s="100"/>
      <c r="D3399" s="100"/>
      <c r="E3399" s="100"/>
      <c r="F3399" s="100"/>
      <c r="G3399" s="100"/>
      <c r="H3399" s="100"/>
      <c r="I3399" s="100"/>
      <c r="J3399" s="100"/>
      <c r="K3399" s="100"/>
      <c r="L3399" s="100"/>
      <c r="M3399" s="100"/>
      <c r="N3399" s="100"/>
      <c r="O3399" s="100"/>
      <c r="P3399" s="100"/>
      <c r="Q3399" s="100"/>
      <c r="R3399" s="100"/>
      <c r="S3399" s="100"/>
      <c r="T3399" s="100"/>
      <c r="U3399" s="100"/>
      <c r="V3399" s="100"/>
      <c r="W3399" s="100"/>
      <c r="X3399" s="100"/>
      <c r="Y3399" s="100"/>
      <c r="Z3399" s="100"/>
    </row>
    <row r="3400" spans="1:26">
      <c r="A3400" s="100"/>
      <c r="B3400" s="100"/>
      <c r="C3400" s="100"/>
      <c r="D3400" s="100"/>
      <c r="E3400" s="100"/>
      <c r="F3400" s="100"/>
      <c r="G3400" s="100"/>
      <c r="H3400" s="100"/>
      <c r="I3400" s="100"/>
      <c r="J3400" s="100"/>
      <c r="K3400" s="100"/>
      <c r="L3400" s="100"/>
      <c r="M3400" s="100"/>
      <c r="N3400" s="100"/>
      <c r="O3400" s="100"/>
      <c r="P3400" s="100"/>
      <c r="Q3400" s="100"/>
      <c r="R3400" s="100"/>
      <c r="S3400" s="100"/>
      <c r="T3400" s="100"/>
      <c r="U3400" s="100"/>
      <c r="V3400" s="100"/>
      <c r="W3400" s="100"/>
      <c r="X3400" s="100"/>
      <c r="Y3400" s="100"/>
      <c r="Z3400" s="100"/>
    </row>
    <row r="3401" spans="1:26">
      <c r="A3401" s="100"/>
      <c r="B3401" s="100"/>
      <c r="C3401" s="100"/>
      <c r="D3401" s="100"/>
      <c r="E3401" s="100"/>
      <c r="F3401" s="100"/>
      <c r="G3401" s="100"/>
      <c r="H3401" s="100"/>
      <c r="I3401" s="100"/>
      <c r="J3401" s="100"/>
      <c r="K3401" s="100"/>
      <c r="L3401" s="100"/>
      <c r="M3401" s="100"/>
      <c r="N3401" s="100"/>
      <c r="O3401" s="100"/>
      <c r="P3401" s="100"/>
      <c r="Q3401" s="100"/>
      <c r="R3401" s="100"/>
      <c r="S3401" s="100"/>
      <c r="T3401" s="100"/>
      <c r="U3401" s="100"/>
      <c r="V3401" s="100"/>
      <c r="W3401" s="100"/>
      <c r="X3401" s="100"/>
      <c r="Y3401" s="100"/>
      <c r="Z3401" s="100"/>
    </row>
    <row r="3402" spans="1:26">
      <c r="A3402" s="100"/>
      <c r="B3402" s="100"/>
      <c r="C3402" s="100"/>
      <c r="D3402" s="100"/>
      <c r="E3402" s="100"/>
      <c r="F3402" s="100"/>
      <c r="G3402" s="100"/>
      <c r="H3402" s="100"/>
      <c r="I3402" s="100"/>
      <c r="J3402" s="100"/>
      <c r="K3402" s="100"/>
      <c r="L3402" s="100"/>
      <c r="M3402" s="100"/>
      <c r="N3402" s="100"/>
      <c r="O3402" s="100"/>
      <c r="P3402" s="100"/>
      <c r="Q3402" s="100"/>
      <c r="R3402" s="100"/>
      <c r="S3402" s="100"/>
      <c r="T3402" s="100"/>
      <c r="U3402" s="100"/>
      <c r="V3402" s="100"/>
      <c r="W3402" s="100"/>
      <c r="X3402" s="100"/>
      <c r="Y3402" s="100"/>
      <c r="Z3402" s="100"/>
    </row>
    <row r="3403" spans="1:26">
      <c r="A3403" s="100"/>
      <c r="B3403" s="100"/>
      <c r="C3403" s="100"/>
      <c r="D3403" s="100"/>
      <c r="E3403" s="100"/>
      <c r="F3403" s="100"/>
      <c r="G3403" s="100"/>
      <c r="H3403" s="100"/>
      <c r="I3403" s="100"/>
      <c r="J3403" s="100"/>
      <c r="K3403" s="100"/>
      <c r="L3403" s="100"/>
      <c r="M3403" s="100"/>
      <c r="N3403" s="100"/>
      <c r="O3403" s="100"/>
      <c r="P3403" s="100"/>
      <c r="Q3403" s="100"/>
      <c r="R3403" s="100"/>
      <c r="S3403" s="100"/>
      <c r="T3403" s="100"/>
      <c r="U3403" s="100"/>
      <c r="V3403" s="100"/>
      <c r="W3403" s="100"/>
      <c r="X3403" s="100"/>
      <c r="Y3403" s="100"/>
      <c r="Z3403" s="100"/>
    </row>
    <row r="3404" spans="1:26">
      <c r="A3404" s="100"/>
      <c r="B3404" s="100"/>
      <c r="C3404" s="100"/>
      <c r="D3404" s="100"/>
      <c r="E3404" s="100"/>
      <c r="F3404" s="100"/>
      <c r="G3404" s="100"/>
      <c r="H3404" s="100"/>
      <c r="I3404" s="100"/>
      <c r="J3404" s="100"/>
      <c r="K3404" s="100"/>
      <c r="L3404" s="100"/>
      <c r="M3404" s="100"/>
      <c r="N3404" s="100"/>
      <c r="O3404" s="100"/>
      <c r="P3404" s="100"/>
      <c r="Q3404" s="100"/>
      <c r="R3404" s="100"/>
      <c r="S3404" s="100"/>
      <c r="T3404" s="100"/>
      <c r="U3404" s="100"/>
      <c r="V3404" s="100"/>
      <c r="W3404" s="100"/>
      <c r="X3404" s="100"/>
      <c r="Y3404" s="100"/>
      <c r="Z3404" s="100"/>
    </row>
    <row r="3405" spans="1:26">
      <c r="A3405" s="100"/>
      <c r="B3405" s="100"/>
      <c r="C3405" s="100"/>
      <c r="D3405" s="100"/>
      <c r="E3405" s="100"/>
      <c r="F3405" s="100"/>
      <c r="G3405" s="100"/>
      <c r="H3405" s="100"/>
      <c r="I3405" s="100"/>
      <c r="J3405" s="100"/>
      <c r="K3405" s="100"/>
      <c r="L3405" s="100"/>
      <c r="M3405" s="100"/>
      <c r="N3405" s="100"/>
      <c r="O3405" s="100"/>
      <c r="P3405" s="100"/>
      <c r="Q3405" s="100"/>
      <c r="R3405" s="100"/>
      <c r="S3405" s="100"/>
      <c r="T3405" s="100"/>
      <c r="U3405" s="100"/>
      <c r="V3405" s="100"/>
      <c r="W3405" s="100"/>
      <c r="X3405" s="100"/>
      <c r="Y3405" s="100"/>
      <c r="Z3405" s="100"/>
    </row>
    <row r="3406" spans="1:26">
      <c r="A3406" s="100"/>
      <c r="B3406" s="100"/>
      <c r="C3406" s="100"/>
      <c r="D3406" s="100"/>
      <c r="E3406" s="100"/>
      <c r="F3406" s="100"/>
      <c r="G3406" s="100"/>
      <c r="H3406" s="100"/>
      <c r="I3406" s="100"/>
      <c r="J3406" s="100"/>
      <c r="K3406" s="100"/>
      <c r="L3406" s="100"/>
      <c r="M3406" s="100"/>
      <c r="N3406" s="100"/>
      <c r="O3406" s="100"/>
      <c r="P3406" s="100"/>
      <c r="Q3406" s="100"/>
      <c r="R3406" s="100"/>
      <c r="S3406" s="100"/>
      <c r="T3406" s="100"/>
      <c r="U3406" s="100"/>
      <c r="V3406" s="100"/>
      <c r="W3406" s="100"/>
      <c r="X3406" s="100"/>
      <c r="Y3406" s="100"/>
      <c r="Z3406" s="100"/>
    </row>
    <row r="3407" spans="1:26">
      <c r="A3407" s="100"/>
      <c r="B3407" s="100"/>
      <c r="C3407" s="100"/>
      <c r="D3407" s="100"/>
      <c r="E3407" s="100"/>
      <c r="F3407" s="100"/>
      <c r="G3407" s="100"/>
      <c r="H3407" s="100"/>
      <c r="I3407" s="100"/>
      <c r="J3407" s="100"/>
      <c r="K3407" s="100"/>
      <c r="L3407" s="100"/>
      <c r="M3407" s="100"/>
      <c r="N3407" s="100"/>
      <c r="O3407" s="100"/>
      <c r="P3407" s="100"/>
      <c r="Q3407" s="100"/>
      <c r="R3407" s="100"/>
      <c r="S3407" s="100"/>
      <c r="T3407" s="100"/>
      <c r="U3407" s="100"/>
      <c r="V3407" s="100"/>
      <c r="W3407" s="100"/>
      <c r="X3407" s="100"/>
      <c r="Y3407" s="100"/>
      <c r="Z3407" s="100"/>
    </row>
    <row r="3408" spans="1:26">
      <c r="A3408" s="100"/>
      <c r="B3408" s="100"/>
      <c r="C3408" s="100"/>
      <c r="D3408" s="100"/>
      <c r="E3408" s="100"/>
      <c r="F3408" s="100"/>
      <c r="G3408" s="100"/>
      <c r="H3408" s="100"/>
      <c r="I3408" s="100"/>
      <c r="J3408" s="100"/>
      <c r="K3408" s="100"/>
      <c r="L3408" s="100"/>
      <c r="M3408" s="100"/>
      <c r="N3408" s="100"/>
      <c r="O3408" s="100"/>
      <c r="P3408" s="100"/>
      <c r="Q3408" s="100"/>
      <c r="R3408" s="100"/>
      <c r="S3408" s="100"/>
      <c r="T3408" s="100"/>
      <c r="U3408" s="100"/>
      <c r="V3408" s="100"/>
      <c r="W3408" s="100"/>
      <c r="X3408" s="100"/>
      <c r="Y3408" s="100"/>
      <c r="Z3408" s="100"/>
    </row>
    <row r="3409" spans="1:26">
      <c r="A3409" s="100"/>
      <c r="B3409" s="100"/>
      <c r="C3409" s="100"/>
      <c r="D3409" s="100"/>
      <c r="E3409" s="100"/>
      <c r="F3409" s="100"/>
      <c r="G3409" s="100"/>
      <c r="H3409" s="100"/>
      <c r="I3409" s="100"/>
      <c r="J3409" s="100"/>
      <c r="K3409" s="100"/>
      <c r="L3409" s="100"/>
      <c r="M3409" s="100"/>
      <c r="N3409" s="100"/>
      <c r="O3409" s="100"/>
      <c r="P3409" s="100"/>
      <c r="Q3409" s="100"/>
      <c r="R3409" s="100"/>
      <c r="S3409" s="100"/>
      <c r="T3409" s="100"/>
      <c r="U3409" s="100"/>
      <c r="V3409" s="100"/>
      <c r="W3409" s="100"/>
      <c r="X3409" s="100"/>
      <c r="Y3409" s="100"/>
      <c r="Z3409" s="100"/>
    </row>
    <row r="3410" spans="1:26">
      <c r="A3410" s="100"/>
      <c r="B3410" s="100"/>
      <c r="C3410" s="100"/>
      <c r="D3410" s="100"/>
      <c r="E3410" s="100"/>
      <c r="F3410" s="100"/>
      <c r="G3410" s="100"/>
      <c r="H3410" s="100"/>
      <c r="I3410" s="100"/>
      <c r="J3410" s="100"/>
      <c r="K3410" s="100"/>
      <c r="L3410" s="100"/>
      <c r="M3410" s="100"/>
      <c r="N3410" s="100"/>
      <c r="O3410" s="100"/>
      <c r="P3410" s="100"/>
      <c r="Q3410" s="100"/>
      <c r="R3410" s="100"/>
      <c r="S3410" s="100"/>
      <c r="T3410" s="100"/>
      <c r="U3410" s="100"/>
      <c r="V3410" s="100"/>
      <c r="W3410" s="100"/>
      <c r="X3410" s="100"/>
      <c r="Y3410" s="100"/>
      <c r="Z3410" s="100"/>
    </row>
    <row r="3411" spans="1:26">
      <c r="A3411" s="100"/>
      <c r="B3411" s="100"/>
      <c r="C3411" s="100"/>
      <c r="D3411" s="100"/>
      <c r="E3411" s="100"/>
      <c r="F3411" s="100"/>
      <c r="G3411" s="100"/>
      <c r="H3411" s="100"/>
      <c r="I3411" s="100"/>
      <c r="J3411" s="100"/>
      <c r="K3411" s="100"/>
      <c r="L3411" s="100"/>
      <c r="M3411" s="100"/>
      <c r="N3411" s="100"/>
      <c r="O3411" s="100"/>
      <c r="P3411" s="100"/>
      <c r="Q3411" s="100"/>
      <c r="R3411" s="100"/>
      <c r="S3411" s="100"/>
      <c r="T3411" s="100"/>
      <c r="U3411" s="100"/>
      <c r="V3411" s="100"/>
      <c r="W3411" s="100"/>
      <c r="X3411" s="100"/>
      <c r="Y3411" s="100"/>
      <c r="Z3411" s="100"/>
    </row>
    <row r="3412" spans="1:26">
      <c r="A3412" s="100"/>
      <c r="B3412" s="100"/>
      <c r="C3412" s="100"/>
      <c r="D3412" s="100"/>
      <c r="E3412" s="100"/>
      <c r="F3412" s="100"/>
      <c r="G3412" s="100"/>
      <c r="H3412" s="100"/>
      <c r="I3412" s="100"/>
      <c r="J3412" s="100"/>
      <c r="K3412" s="100"/>
      <c r="L3412" s="100"/>
      <c r="M3412" s="100"/>
      <c r="N3412" s="100"/>
      <c r="O3412" s="100"/>
      <c r="P3412" s="100"/>
      <c r="Q3412" s="100"/>
      <c r="R3412" s="100"/>
      <c r="S3412" s="100"/>
      <c r="T3412" s="100"/>
      <c r="U3412" s="100"/>
      <c r="V3412" s="100"/>
      <c r="W3412" s="100"/>
      <c r="X3412" s="100"/>
      <c r="Y3412" s="100"/>
      <c r="Z3412" s="100"/>
    </row>
    <row r="3413" spans="1:26">
      <c r="A3413" s="100"/>
      <c r="B3413" s="100"/>
      <c r="C3413" s="100"/>
      <c r="D3413" s="100"/>
      <c r="E3413" s="100"/>
      <c r="F3413" s="100"/>
      <c r="G3413" s="100"/>
      <c r="H3413" s="100"/>
      <c r="I3413" s="100"/>
      <c r="J3413" s="100"/>
      <c r="K3413" s="100"/>
      <c r="L3413" s="100"/>
      <c r="M3413" s="100"/>
      <c r="N3413" s="100"/>
      <c r="O3413" s="100"/>
      <c r="P3413" s="100"/>
      <c r="Q3413" s="100"/>
      <c r="R3413" s="100"/>
      <c r="S3413" s="100"/>
      <c r="T3413" s="100"/>
      <c r="U3413" s="100"/>
      <c r="V3413" s="100"/>
      <c r="W3413" s="100"/>
      <c r="X3413" s="100"/>
      <c r="Y3413" s="100"/>
      <c r="Z3413" s="100"/>
    </row>
    <row r="3414" spans="1:26">
      <c r="A3414" s="100"/>
      <c r="B3414" s="100"/>
      <c r="C3414" s="100"/>
      <c r="D3414" s="100"/>
      <c r="E3414" s="100"/>
      <c r="F3414" s="100"/>
      <c r="G3414" s="100"/>
      <c r="H3414" s="100"/>
      <c r="I3414" s="100"/>
      <c r="J3414" s="100"/>
      <c r="K3414" s="100"/>
      <c r="L3414" s="100"/>
      <c r="M3414" s="100"/>
      <c r="N3414" s="100"/>
      <c r="O3414" s="100"/>
      <c r="P3414" s="100"/>
      <c r="Q3414" s="100"/>
      <c r="R3414" s="100"/>
      <c r="S3414" s="100"/>
      <c r="T3414" s="100"/>
      <c r="U3414" s="100"/>
      <c r="V3414" s="100"/>
      <c r="W3414" s="100"/>
      <c r="X3414" s="100"/>
      <c r="Y3414" s="100"/>
      <c r="Z3414" s="100"/>
    </row>
    <row r="3415" spans="1:26">
      <c r="A3415" s="100"/>
      <c r="B3415" s="100"/>
      <c r="C3415" s="100"/>
      <c r="D3415" s="100"/>
      <c r="E3415" s="100"/>
      <c r="F3415" s="100"/>
      <c r="G3415" s="100"/>
      <c r="H3415" s="100"/>
      <c r="I3415" s="100"/>
      <c r="J3415" s="100"/>
      <c r="K3415" s="100"/>
      <c r="L3415" s="100"/>
      <c r="M3415" s="100"/>
      <c r="N3415" s="100"/>
      <c r="O3415" s="100"/>
      <c r="P3415" s="100"/>
      <c r="Q3415" s="100"/>
      <c r="R3415" s="100"/>
      <c r="S3415" s="100"/>
      <c r="T3415" s="100"/>
      <c r="U3415" s="100"/>
      <c r="V3415" s="100"/>
      <c r="W3415" s="100"/>
      <c r="X3415" s="100"/>
      <c r="Y3415" s="100"/>
      <c r="Z3415" s="100"/>
    </row>
    <row r="3416" spans="1:26">
      <c r="A3416" s="100"/>
      <c r="B3416" s="100"/>
      <c r="C3416" s="100"/>
      <c r="D3416" s="100"/>
      <c r="E3416" s="100"/>
      <c r="F3416" s="100"/>
      <c r="G3416" s="100"/>
      <c r="H3416" s="100"/>
      <c r="I3416" s="100"/>
      <c r="J3416" s="100"/>
      <c r="K3416" s="100"/>
      <c r="L3416" s="100"/>
      <c r="M3416" s="100"/>
      <c r="N3416" s="100"/>
      <c r="O3416" s="100"/>
      <c r="P3416" s="100"/>
      <c r="Q3416" s="100"/>
      <c r="R3416" s="100"/>
      <c r="S3416" s="100"/>
      <c r="T3416" s="100"/>
      <c r="U3416" s="100"/>
      <c r="V3416" s="100"/>
      <c r="W3416" s="100"/>
      <c r="X3416" s="100"/>
      <c r="Y3416" s="100"/>
      <c r="Z3416" s="100"/>
    </row>
    <row r="3417" spans="1:26">
      <c r="A3417" s="100"/>
      <c r="B3417" s="100"/>
      <c r="C3417" s="100"/>
      <c r="D3417" s="100"/>
      <c r="E3417" s="100"/>
      <c r="F3417" s="100"/>
      <c r="G3417" s="100"/>
      <c r="H3417" s="100"/>
      <c r="I3417" s="100"/>
      <c r="J3417" s="100"/>
      <c r="K3417" s="100"/>
      <c r="L3417" s="100"/>
      <c r="M3417" s="100"/>
      <c r="N3417" s="100"/>
      <c r="O3417" s="100"/>
      <c r="P3417" s="100"/>
      <c r="Q3417" s="100"/>
      <c r="R3417" s="100"/>
      <c r="S3417" s="100"/>
      <c r="T3417" s="100"/>
      <c r="U3417" s="100"/>
      <c r="V3417" s="100"/>
      <c r="W3417" s="100"/>
      <c r="X3417" s="100"/>
      <c r="Y3417" s="100"/>
      <c r="Z3417" s="100"/>
    </row>
    <row r="3418" spans="1:26">
      <c r="A3418" s="100"/>
      <c r="B3418" s="100"/>
      <c r="C3418" s="100"/>
      <c r="D3418" s="100"/>
      <c r="E3418" s="100"/>
      <c r="F3418" s="100"/>
      <c r="G3418" s="100"/>
      <c r="H3418" s="100"/>
      <c r="I3418" s="100"/>
      <c r="J3418" s="100"/>
      <c r="K3418" s="100"/>
      <c r="L3418" s="100"/>
      <c r="M3418" s="100"/>
      <c r="N3418" s="100"/>
      <c r="O3418" s="100"/>
      <c r="P3418" s="100"/>
      <c r="Q3418" s="100"/>
      <c r="R3418" s="100"/>
      <c r="S3418" s="100"/>
      <c r="T3418" s="100"/>
      <c r="U3418" s="100"/>
      <c r="V3418" s="100"/>
      <c r="W3418" s="100"/>
      <c r="X3418" s="100"/>
      <c r="Y3418" s="100"/>
      <c r="Z3418" s="100"/>
    </row>
    <row r="3419" spans="1:26">
      <c r="A3419" s="100"/>
      <c r="B3419" s="100"/>
      <c r="C3419" s="100"/>
      <c r="D3419" s="100"/>
      <c r="E3419" s="100"/>
      <c r="F3419" s="100"/>
      <c r="G3419" s="100"/>
      <c r="H3419" s="100"/>
      <c r="I3419" s="100"/>
      <c r="J3419" s="100"/>
      <c r="K3419" s="100"/>
      <c r="L3419" s="100"/>
      <c r="M3419" s="100"/>
      <c r="N3419" s="100"/>
      <c r="O3419" s="100"/>
      <c r="P3419" s="100"/>
      <c r="Q3419" s="100"/>
      <c r="R3419" s="100"/>
      <c r="S3419" s="100"/>
      <c r="T3419" s="100"/>
      <c r="U3419" s="100"/>
      <c r="V3419" s="100"/>
      <c r="W3419" s="100"/>
      <c r="X3419" s="100"/>
      <c r="Y3419" s="100"/>
      <c r="Z3419" s="100"/>
    </row>
    <row r="3420" spans="1:26">
      <c r="A3420" s="100"/>
      <c r="B3420" s="100"/>
      <c r="C3420" s="100"/>
      <c r="D3420" s="100"/>
      <c r="E3420" s="100"/>
      <c r="F3420" s="100"/>
      <c r="G3420" s="100"/>
      <c r="H3420" s="100"/>
      <c r="I3420" s="100"/>
      <c r="J3420" s="100"/>
      <c r="K3420" s="100"/>
      <c r="L3420" s="100"/>
      <c r="M3420" s="100"/>
      <c r="N3420" s="100"/>
      <c r="O3420" s="100"/>
      <c r="P3420" s="100"/>
      <c r="Q3420" s="100"/>
      <c r="R3420" s="100"/>
      <c r="S3420" s="100"/>
      <c r="T3420" s="100"/>
      <c r="U3420" s="100"/>
      <c r="V3420" s="100"/>
      <c r="W3420" s="100"/>
      <c r="X3420" s="100"/>
      <c r="Y3420" s="100"/>
      <c r="Z3420" s="100"/>
    </row>
    <row r="3421" spans="1:26">
      <c r="A3421" s="100"/>
      <c r="B3421" s="100"/>
      <c r="C3421" s="100"/>
      <c r="D3421" s="100"/>
      <c r="E3421" s="100"/>
      <c r="F3421" s="100"/>
      <c r="G3421" s="100"/>
      <c r="H3421" s="100"/>
      <c r="I3421" s="100"/>
      <c r="J3421" s="100"/>
      <c r="K3421" s="100"/>
      <c r="L3421" s="100"/>
      <c r="M3421" s="100"/>
      <c r="N3421" s="100"/>
      <c r="O3421" s="100"/>
      <c r="P3421" s="100"/>
      <c r="Q3421" s="100"/>
      <c r="R3421" s="100"/>
      <c r="S3421" s="100"/>
      <c r="T3421" s="100"/>
      <c r="U3421" s="100"/>
      <c r="V3421" s="100"/>
      <c r="W3421" s="100"/>
      <c r="X3421" s="100"/>
      <c r="Y3421" s="100"/>
      <c r="Z3421" s="100"/>
    </row>
    <row r="3422" spans="1:26">
      <c r="A3422" s="100"/>
      <c r="B3422" s="100"/>
      <c r="C3422" s="100"/>
      <c r="D3422" s="100"/>
      <c r="E3422" s="100"/>
      <c r="F3422" s="100"/>
      <c r="G3422" s="100"/>
      <c r="H3422" s="100"/>
      <c r="I3422" s="100"/>
      <c r="J3422" s="100"/>
      <c r="K3422" s="100"/>
      <c r="L3422" s="100"/>
      <c r="M3422" s="100"/>
      <c r="N3422" s="100"/>
      <c r="O3422" s="100"/>
      <c r="P3422" s="100"/>
      <c r="Q3422" s="100"/>
      <c r="R3422" s="100"/>
      <c r="S3422" s="100"/>
      <c r="T3422" s="100"/>
      <c r="U3422" s="100"/>
      <c r="V3422" s="100"/>
      <c r="W3422" s="100"/>
      <c r="X3422" s="100"/>
      <c r="Y3422" s="100"/>
      <c r="Z3422" s="100"/>
    </row>
    <row r="3423" spans="1:26">
      <c r="A3423" s="100"/>
      <c r="B3423" s="100"/>
      <c r="C3423" s="100"/>
      <c r="D3423" s="100"/>
      <c r="E3423" s="100"/>
      <c r="F3423" s="100"/>
      <c r="G3423" s="100"/>
      <c r="H3423" s="100"/>
      <c r="I3423" s="100"/>
      <c r="J3423" s="100"/>
      <c r="K3423" s="100"/>
      <c r="L3423" s="100"/>
      <c r="M3423" s="100"/>
      <c r="N3423" s="100"/>
      <c r="O3423" s="100"/>
      <c r="P3423" s="100"/>
      <c r="Q3423" s="100"/>
      <c r="R3423" s="100"/>
      <c r="S3423" s="100"/>
      <c r="T3423" s="100"/>
      <c r="U3423" s="100"/>
      <c r="V3423" s="100"/>
      <c r="W3423" s="100"/>
      <c r="X3423" s="100"/>
      <c r="Y3423" s="100"/>
      <c r="Z3423" s="100"/>
    </row>
    <row r="3424" spans="1:26">
      <c r="A3424" s="100"/>
      <c r="B3424" s="100"/>
      <c r="C3424" s="100"/>
      <c r="D3424" s="100"/>
      <c r="E3424" s="100"/>
      <c r="F3424" s="100"/>
      <c r="G3424" s="100"/>
      <c r="H3424" s="100"/>
      <c r="I3424" s="100"/>
      <c r="J3424" s="100"/>
      <c r="K3424" s="100"/>
      <c r="L3424" s="100"/>
      <c r="M3424" s="100"/>
      <c r="N3424" s="100"/>
      <c r="O3424" s="100"/>
      <c r="P3424" s="100"/>
      <c r="Q3424" s="100"/>
      <c r="R3424" s="100"/>
      <c r="S3424" s="100"/>
      <c r="T3424" s="100"/>
      <c r="U3424" s="100"/>
      <c r="V3424" s="100"/>
      <c r="W3424" s="100"/>
      <c r="X3424" s="100"/>
      <c r="Y3424" s="100"/>
      <c r="Z3424" s="100"/>
    </row>
    <row r="3425" spans="1:26">
      <c r="A3425" s="100"/>
      <c r="B3425" s="100"/>
      <c r="C3425" s="100"/>
      <c r="D3425" s="100"/>
      <c r="E3425" s="100"/>
      <c r="F3425" s="100"/>
      <c r="G3425" s="100"/>
      <c r="H3425" s="100"/>
      <c r="I3425" s="100"/>
      <c r="J3425" s="100"/>
      <c r="K3425" s="100"/>
      <c r="L3425" s="100"/>
      <c r="M3425" s="100"/>
      <c r="N3425" s="100"/>
      <c r="O3425" s="100"/>
      <c r="P3425" s="100"/>
      <c r="Q3425" s="100"/>
      <c r="R3425" s="100"/>
      <c r="S3425" s="100"/>
      <c r="T3425" s="100"/>
      <c r="U3425" s="100"/>
      <c r="V3425" s="100"/>
      <c r="W3425" s="100"/>
      <c r="X3425" s="100"/>
      <c r="Y3425" s="100"/>
      <c r="Z3425" s="100"/>
    </row>
    <row r="3426" spans="1:26">
      <c r="A3426" s="100"/>
      <c r="B3426" s="100"/>
      <c r="C3426" s="100"/>
      <c r="D3426" s="100"/>
      <c r="E3426" s="100"/>
      <c r="F3426" s="100"/>
      <c r="G3426" s="100"/>
      <c r="H3426" s="100"/>
      <c r="I3426" s="100"/>
      <c r="J3426" s="100"/>
      <c r="K3426" s="100"/>
      <c r="L3426" s="100"/>
      <c r="M3426" s="100"/>
      <c r="N3426" s="100"/>
      <c r="O3426" s="100"/>
      <c r="P3426" s="100"/>
      <c r="Q3426" s="100"/>
      <c r="R3426" s="100"/>
      <c r="S3426" s="100"/>
      <c r="T3426" s="100"/>
      <c r="U3426" s="100"/>
      <c r="V3426" s="100"/>
      <c r="W3426" s="100"/>
      <c r="X3426" s="100"/>
      <c r="Y3426" s="100"/>
      <c r="Z3426" s="100"/>
    </row>
    <row r="3427" spans="1:26">
      <c r="A3427" s="100"/>
      <c r="B3427" s="100"/>
      <c r="C3427" s="100"/>
      <c r="D3427" s="100"/>
      <c r="E3427" s="100"/>
      <c r="F3427" s="100"/>
      <c r="G3427" s="100"/>
      <c r="H3427" s="100"/>
      <c r="I3427" s="100"/>
      <c r="J3427" s="100"/>
      <c r="K3427" s="100"/>
      <c r="L3427" s="100"/>
      <c r="M3427" s="100"/>
      <c r="N3427" s="100"/>
      <c r="O3427" s="100"/>
      <c r="P3427" s="100"/>
      <c r="Q3427" s="100"/>
      <c r="R3427" s="100"/>
      <c r="S3427" s="100"/>
      <c r="T3427" s="100"/>
      <c r="U3427" s="100"/>
      <c r="V3427" s="100"/>
      <c r="W3427" s="100"/>
      <c r="X3427" s="100"/>
      <c r="Y3427" s="100"/>
      <c r="Z3427" s="100"/>
    </row>
    <row r="3428" spans="1:26">
      <c r="A3428" s="100"/>
      <c r="B3428" s="100"/>
      <c r="C3428" s="100"/>
      <c r="D3428" s="100"/>
      <c r="E3428" s="100"/>
      <c r="F3428" s="100"/>
      <c r="G3428" s="100"/>
      <c r="H3428" s="100"/>
      <c r="I3428" s="100"/>
      <c r="J3428" s="100"/>
      <c r="K3428" s="100"/>
      <c r="L3428" s="100"/>
      <c r="M3428" s="100"/>
      <c r="N3428" s="100"/>
      <c r="O3428" s="100"/>
      <c r="P3428" s="100"/>
      <c r="Q3428" s="100"/>
      <c r="R3428" s="100"/>
      <c r="S3428" s="100"/>
      <c r="T3428" s="100"/>
      <c r="U3428" s="100"/>
      <c r="V3428" s="100"/>
      <c r="W3428" s="100"/>
      <c r="X3428" s="100"/>
      <c r="Y3428" s="100"/>
      <c r="Z3428" s="100"/>
    </row>
    <row r="3429" spans="1:26">
      <c r="A3429" s="100"/>
      <c r="B3429" s="100"/>
      <c r="C3429" s="100"/>
      <c r="D3429" s="100"/>
      <c r="E3429" s="100"/>
      <c r="F3429" s="100"/>
      <c r="G3429" s="100"/>
      <c r="H3429" s="100"/>
      <c r="I3429" s="100"/>
      <c r="J3429" s="100"/>
      <c r="K3429" s="100"/>
      <c r="L3429" s="100"/>
      <c r="M3429" s="100"/>
      <c r="N3429" s="100"/>
      <c r="O3429" s="100"/>
      <c r="P3429" s="100"/>
      <c r="Q3429" s="100"/>
      <c r="R3429" s="100"/>
      <c r="S3429" s="100"/>
      <c r="T3429" s="100"/>
      <c r="U3429" s="100"/>
      <c r="V3429" s="100"/>
      <c r="W3429" s="100"/>
      <c r="X3429" s="100"/>
      <c r="Y3429" s="100"/>
      <c r="Z3429" s="100"/>
    </row>
    <row r="3430" spans="1:26">
      <c r="A3430" s="100"/>
      <c r="B3430" s="100"/>
      <c r="C3430" s="100"/>
      <c r="D3430" s="100"/>
      <c r="E3430" s="100"/>
      <c r="F3430" s="100"/>
      <c r="G3430" s="100"/>
      <c r="H3430" s="100"/>
      <c r="I3430" s="100"/>
      <c r="J3430" s="100"/>
      <c r="K3430" s="100"/>
      <c r="L3430" s="100"/>
      <c r="M3430" s="100"/>
      <c r="N3430" s="100"/>
      <c r="O3430" s="100"/>
      <c r="P3430" s="100"/>
      <c r="Q3430" s="100"/>
      <c r="R3430" s="100"/>
      <c r="S3430" s="100"/>
      <c r="T3430" s="100"/>
      <c r="U3430" s="100"/>
      <c r="V3430" s="100"/>
      <c r="W3430" s="100"/>
      <c r="X3430" s="100"/>
      <c r="Y3430" s="100"/>
      <c r="Z3430" s="100"/>
    </row>
    <row r="3431" spans="1:26">
      <c r="A3431" s="100"/>
      <c r="B3431" s="100"/>
      <c r="C3431" s="100"/>
      <c r="D3431" s="100"/>
      <c r="E3431" s="100"/>
      <c r="F3431" s="100"/>
      <c r="G3431" s="100"/>
      <c r="H3431" s="100"/>
      <c r="I3431" s="100"/>
      <c r="J3431" s="100"/>
      <c r="K3431" s="100"/>
      <c r="L3431" s="100"/>
      <c r="M3431" s="100"/>
      <c r="N3431" s="100"/>
      <c r="O3431" s="100"/>
      <c r="P3431" s="100"/>
      <c r="Q3431" s="100"/>
      <c r="R3431" s="100"/>
      <c r="S3431" s="100"/>
      <c r="T3431" s="100"/>
      <c r="U3431" s="100"/>
      <c r="V3431" s="100"/>
      <c r="W3431" s="100"/>
      <c r="X3431" s="100"/>
      <c r="Y3431" s="100"/>
      <c r="Z3431" s="100"/>
    </row>
    <row r="3432" spans="1:26">
      <c r="A3432" s="100"/>
      <c r="B3432" s="100"/>
      <c r="C3432" s="100"/>
      <c r="D3432" s="100"/>
      <c r="E3432" s="100"/>
      <c r="F3432" s="100"/>
      <c r="G3432" s="100"/>
      <c r="H3432" s="100"/>
      <c r="I3432" s="100"/>
      <c r="J3432" s="100"/>
      <c r="K3432" s="100"/>
      <c r="L3432" s="100"/>
      <c r="M3432" s="100"/>
      <c r="N3432" s="100"/>
      <c r="O3432" s="100"/>
      <c r="P3432" s="100"/>
      <c r="Q3432" s="100"/>
      <c r="R3432" s="100"/>
      <c r="S3432" s="100"/>
      <c r="T3432" s="100"/>
      <c r="U3432" s="100"/>
      <c r="V3432" s="100"/>
      <c r="W3432" s="100"/>
      <c r="X3432" s="100"/>
      <c r="Y3432" s="100"/>
      <c r="Z3432" s="100"/>
    </row>
    <row r="3433" spans="1:26">
      <c r="A3433" s="100"/>
      <c r="B3433" s="100"/>
      <c r="C3433" s="100"/>
      <c r="D3433" s="100"/>
      <c r="E3433" s="100"/>
      <c r="F3433" s="100"/>
      <c r="G3433" s="100"/>
      <c r="H3433" s="100"/>
      <c r="I3433" s="100"/>
      <c r="J3433" s="100"/>
      <c r="K3433" s="100"/>
      <c r="L3433" s="100"/>
      <c r="M3433" s="100"/>
      <c r="N3433" s="100"/>
      <c r="O3433" s="100"/>
      <c r="P3433" s="100"/>
      <c r="Q3433" s="100"/>
      <c r="R3433" s="100"/>
      <c r="S3433" s="100"/>
      <c r="T3433" s="100"/>
      <c r="U3433" s="100"/>
      <c r="V3433" s="100"/>
      <c r="W3433" s="100"/>
      <c r="X3433" s="100"/>
      <c r="Y3433" s="100"/>
      <c r="Z3433" s="100"/>
    </row>
    <row r="3434" spans="1:26">
      <c r="A3434" s="100"/>
      <c r="B3434" s="100"/>
      <c r="C3434" s="100"/>
      <c r="D3434" s="100"/>
      <c r="E3434" s="100"/>
      <c r="F3434" s="100"/>
      <c r="G3434" s="100"/>
      <c r="H3434" s="100"/>
      <c r="I3434" s="100"/>
      <c r="J3434" s="100"/>
      <c r="K3434" s="100"/>
      <c r="L3434" s="100"/>
      <c r="M3434" s="100"/>
      <c r="N3434" s="100"/>
      <c r="O3434" s="100"/>
      <c r="P3434" s="100"/>
      <c r="Q3434" s="100"/>
      <c r="R3434" s="100"/>
      <c r="S3434" s="100"/>
      <c r="T3434" s="100"/>
      <c r="U3434" s="100"/>
      <c r="V3434" s="100"/>
      <c r="W3434" s="100"/>
      <c r="X3434" s="100"/>
      <c r="Y3434" s="100"/>
      <c r="Z3434" s="100"/>
    </row>
    <row r="3435" spans="1:26">
      <c r="A3435" s="100"/>
      <c r="B3435" s="100"/>
      <c r="C3435" s="100"/>
      <c r="D3435" s="100"/>
      <c r="E3435" s="100"/>
      <c r="F3435" s="100"/>
      <c r="G3435" s="100"/>
      <c r="H3435" s="100"/>
      <c r="I3435" s="100"/>
      <c r="J3435" s="100"/>
      <c r="K3435" s="100"/>
      <c r="L3435" s="100"/>
      <c r="M3435" s="100"/>
      <c r="N3435" s="100"/>
      <c r="O3435" s="100"/>
      <c r="P3435" s="100"/>
      <c r="Q3435" s="100"/>
      <c r="R3435" s="100"/>
      <c r="S3435" s="100"/>
      <c r="T3435" s="100"/>
      <c r="U3435" s="100"/>
      <c r="V3435" s="100"/>
      <c r="W3435" s="100"/>
      <c r="X3435" s="100"/>
      <c r="Y3435" s="100"/>
      <c r="Z3435" s="100"/>
    </row>
    <row r="3436" spans="1:26">
      <c r="A3436" s="100"/>
      <c r="B3436" s="100"/>
      <c r="C3436" s="100"/>
      <c r="D3436" s="100"/>
      <c r="E3436" s="100"/>
      <c r="F3436" s="100"/>
      <c r="G3436" s="100"/>
      <c r="H3436" s="100"/>
      <c r="I3436" s="100"/>
      <c r="J3436" s="100"/>
      <c r="K3436" s="100"/>
      <c r="L3436" s="100"/>
      <c r="M3436" s="100"/>
      <c r="N3436" s="100"/>
      <c r="O3436" s="100"/>
      <c r="P3436" s="100"/>
      <c r="Q3436" s="100"/>
      <c r="R3436" s="100"/>
      <c r="S3436" s="100"/>
      <c r="T3436" s="100"/>
      <c r="U3436" s="100"/>
      <c r="V3436" s="100"/>
      <c r="W3436" s="100"/>
      <c r="X3436" s="100"/>
      <c r="Y3436" s="100"/>
      <c r="Z3436" s="100"/>
    </row>
    <row r="3437" spans="1:26">
      <c r="A3437" s="100"/>
      <c r="B3437" s="100"/>
      <c r="C3437" s="100"/>
      <c r="D3437" s="100"/>
      <c r="E3437" s="100"/>
      <c r="F3437" s="100"/>
      <c r="G3437" s="100"/>
      <c r="H3437" s="100"/>
      <c r="I3437" s="100"/>
      <c r="J3437" s="100"/>
      <c r="K3437" s="100"/>
      <c r="L3437" s="100"/>
      <c r="M3437" s="100"/>
      <c r="N3437" s="100"/>
      <c r="O3437" s="100"/>
      <c r="P3437" s="100"/>
      <c r="Q3437" s="100"/>
      <c r="R3437" s="100"/>
      <c r="S3437" s="100"/>
      <c r="T3437" s="100"/>
      <c r="U3437" s="100"/>
      <c r="V3437" s="100"/>
      <c r="W3437" s="100"/>
      <c r="X3437" s="100"/>
      <c r="Y3437" s="100"/>
      <c r="Z3437" s="100"/>
    </row>
    <row r="3438" spans="1:26">
      <c r="A3438" s="100"/>
      <c r="B3438" s="100"/>
      <c r="C3438" s="100"/>
      <c r="D3438" s="100"/>
      <c r="E3438" s="100"/>
      <c r="F3438" s="100"/>
      <c r="G3438" s="100"/>
      <c r="H3438" s="100"/>
      <c r="I3438" s="100"/>
      <c r="J3438" s="100"/>
      <c r="K3438" s="100"/>
      <c r="L3438" s="100"/>
      <c r="M3438" s="100"/>
      <c r="N3438" s="100"/>
      <c r="O3438" s="100"/>
      <c r="P3438" s="100"/>
      <c r="Q3438" s="100"/>
      <c r="R3438" s="100"/>
      <c r="S3438" s="100"/>
      <c r="T3438" s="100"/>
      <c r="U3438" s="100"/>
      <c r="V3438" s="100"/>
      <c r="W3438" s="100"/>
      <c r="X3438" s="100"/>
      <c r="Y3438" s="100"/>
      <c r="Z3438" s="100"/>
    </row>
    <row r="3439" spans="1:26">
      <c r="A3439" s="100"/>
      <c r="B3439" s="100"/>
      <c r="C3439" s="100"/>
      <c r="D3439" s="100"/>
      <c r="E3439" s="100"/>
      <c r="F3439" s="100"/>
      <c r="G3439" s="100"/>
      <c r="H3439" s="100"/>
      <c r="I3439" s="100"/>
      <c r="J3439" s="100"/>
      <c r="K3439" s="100"/>
      <c r="L3439" s="100"/>
      <c r="M3439" s="100"/>
      <c r="N3439" s="100"/>
      <c r="O3439" s="100"/>
      <c r="P3439" s="100"/>
      <c r="Q3439" s="100"/>
      <c r="R3439" s="100"/>
      <c r="S3439" s="100"/>
      <c r="T3439" s="100"/>
      <c r="U3439" s="100"/>
      <c r="V3439" s="100"/>
      <c r="W3439" s="100"/>
      <c r="X3439" s="100"/>
      <c r="Y3439" s="100"/>
      <c r="Z3439" s="100"/>
    </row>
    <row r="3440" spans="1:26">
      <c r="A3440" s="100"/>
      <c r="B3440" s="100"/>
      <c r="C3440" s="100"/>
      <c r="D3440" s="100"/>
      <c r="E3440" s="100"/>
      <c r="F3440" s="100"/>
      <c r="G3440" s="100"/>
      <c r="H3440" s="100"/>
      <c r="I3440" s="100"/>
      <c r="J3440" s="100"/>
      <c r="K3440" s="100"/>
      <c r="L3440" s="100"/>
      <c r="M3440" s="100"/>
      <c r="N3440" s="100"/>
      <c r="O3440" s="100"/>
      <c r="P3440" s="100"/>
      <c r="Q3440" s="100"/>
      <c r="R3440" s="100"/>
      <c r="S3440" s="100"/>
      <c r="T3440" s="100"/>
      <c r="U3440" s="100"/>
      <c r="V3440" s="100"/>
      <c r="W3440" s="100"/>
      <c r="X3440" s="100"/>
      <c r="Y3440" s="100"/>
      <c r="Z3440" s="100"/>
    </row>
    <row r="3441" spans="1:26">
      <c r="A3441" s="100"/>
      <c r="B3441" s="100"/>
      <c r="C3441" s="100"/>
      <c r="D3441" s="100"/>
      <c r="E3441" s="100"/>
      <c r="F3441" s="100"/>
      <c r="G3441" s="100"/>
      <c r="H3441" s="100"/>
      <c r="I3441" s="100"/>
      <c r="J3441" s="100"/>
      <c r="K3441" s="100"/>
      <c r="L3441" s="100"/>
      <c r="M3441" s="100"/>
      <c r="N3441" s="100"/>
      <c r="O3441" s="100"/>
      <c r="P3441" s="100"/>
      <c r="Q3441" s="100"/>
      <c r="R3441" s="100"/>
      <c r="S3441" s="100"/>
      <c r="T3441" s="100"/>
      <c r="U3441" s="100"/>
      <c r="V3441" s="100"/>
      <c r="W3441" s="100"/>
      <c r="X3441" s="100"/>
      <c r="Y3441" s="100"/>
      <c r="Z3441" s="100"/>
    </row>
    <row r="3442" spans="1:26">
      <c r="A3442" s="100"/>
      <c r="B3442" s="100"/>
      <c r="C3442" s="100"/>
      <c r="D3442" s="100"/>
      <c r="E3442" s="100"/>
      <c r="F3442" s="100"/>
      <c r="G3442" s="100"/>
      <c r="H3442" s="100"/>
      <c r="I3442" s="100"/>
      <c r="J3442" s="100"/>
      <c r="K3442" s="100"/>
      <c r="L3442" s="100"/>
      <c r="M3442" s="100"/>
      <c r="N3442" s="100"/>
      <c r="O3442" s="100"/>
      <c r="P3442" s="100"/>
      <c r="Q3442" s="100"/>
      <c r="R3442" s="100"/>
      <c r="S3442" s="100"/>
      <c r="T3442" s="100"/>
      <c r="U3442" s="100"/>
      <c r="V3442" s="100"/>
      <c r="W3442" s="100"/>
      <c r="X3442" s="100"/>
      <c r="Y3442" s="100"/>
      <c r="Z3442" s="100"/>
    </row>
    <row r="3443" spans="1:26">
      <c r="A3443" s="100"/>
      <c r="B3443" s="100"/>
      <c r="C3443" s="100"/>
      <c r="D3443" s="100"/>
      <c r="E3443" s="100"/>
      <c r="F3443" s="100"/>
      <c r="G3443" s="100"/>
      <c r="H3443" s="100"/>
      <c r="I3443" s="100"/>
      <c r="J3443" s="100"/>
      <c r="K3443" s="100"/>
      <c r="L3443" s="100"/>
      <c r="M3443" s="100"/>
      <c r="N3443" s="100"/>
      <c r="O3443" s="100"/>
      <c r="P3443" s="100"/>
      <c r="Q3443" s="100"/>
      <c r="R3443" s="100"/>
      <c r="S3443" s="100"/>
      <c r="T3443" s="100"/>
      <c r="U3443" s="100"/>
      <c r="V3443" s="100"/>
      <c r="W3443" s="100"/>
      <c r="X3443" s="100"/>
      <c r="Y3443" s="100"/>
      <c r="Z3443" s="100"/>
    </row>
    <row r="3444" spans="1:26">
      <c r="A3444" s="100"/>
      <c r="B3444" s="100"/>
      <c r="C3444" s="100"/>
      <c r="D3444" s="100"/>
      <c r="E3444" s="100"/>
      <c r="F3444" s="100"/>
      <c r="G3444" s="100"/>
      <c r="H3444" s="100"/>
      <c r="I3444" s="100"/>
      <c r="J3444" s="100"/>
      <c r="K3444" s="100"/>
      <c r="L3444" s="100"/>
      <c r="M3444" s="100"/>
      <c r="N3444" s="100"/>
      <c r="O3444" s="100"/>
      <c r="P3444" s="100"/>
      <c r="Q3444" s="100"/>
      <c r="R3444" s="100"/>
      <c r="S3444" s="100"/>
      <c r="T3444" s="100"/>
      <c r="U3444" s="100"/>
      <c r="V3444" s="100"/>
      <c r="W3444" s="100"/>
      <c r="X3444" s="100"/>
      <c r="Y3444" s="100"/>
      <c r="Z3444" s="100"/>
    </row>
    <row r="3445" spans="1:26">
      <c r="A3445" s="100"/>
      <c r="B3445" s="100"/>
      <c r="C3445" s="100"/>
      <c r="D3445" s="100"/>
      <c r="E3445" s="100"/>
      <c r="F3445" s="100"/>
      <c r="G3445" s="100"/>
      <c r="H3445" s="100"/>
      <c r="I3445" s="100"/>
      <c r="J3445" s="100"/>
      <c r="K3445" s="100"/>
      <c r="L3445" s="100"/>
      <c r="M3445" s="100"/>
      <c r="N3445" s="100"/>
      <c r="O3445" s="100"/>
      <c r="P3445" s="100"/>
      <c r="Q3445" s="100"/>
      <c r="R3445" s="100"/>
      <c r="S3445" s="100"/>
      <c r="T3445" s="100"/>
      <c r="U3445" s="100"/>
      <c r="V3445" s="100"/>
      <c r="W3445" s="100"/>
      <c r="X3445" s="100"/>
      <c r="Y3445" s="100"/>
      <c r="Z3445" s="100"/>
    </row>
    <row r="3446" spans="1:26">
      <c r="A3446" s="100"/>
      <c r="B3446" s="100"/>
      <c r="C3446" s="100"/>
      <c r="D3446" s="100"/>
      <c r="E3446" s="100"/>
      <c r="F3446" s="100"/>
      <c r="G3446" s="100"/>
      <c r="H3446" s="100"/>
      <c r="I3446" s="100"/>
      <c r="J3446" s="100"/>
      <c r="K3446" s="100"/>
      <c r="L3446" s="100"/>
      <c r="M3446" s="100"/>
      <c r="N3446" s="100"/>
      <c r="O3446" s="100"/>
      <c r="P3446" s="100"/>
      <c r="Q3446" s="100"/>
      <c r="R3446" s="100"/>
      <c r="S3446" s="100"/>
      <c r="T3446" s="100"/>
      <c r="U3446" s="100"/>
      <c r="V3446" s="100"/>
      <c r="W3446" s="100"/>
      <c r="X3446" s="100"/>
      <c r="Y3446" s="100"/>
      <c r="Z3446" s="100"/>
    </row>
    <row r="3447" spans="1:26">
      <c r="A3447" s="100"/>
      <c r="B3447" s="100"/>
      <c r="C3447" s="100"/>
      <c r="D3447" s="100"/>
      <c r="E3447" s="100"/>
      <c r="F3447" s="100"/>
      <c r="G3447" s="100"/>
      <c r="H3447" s="100"/>
      <c r="I3447" s="100"/>
      <c r="J3447" s="100"/>
      <c r="K3447" s="100"/>
      <c r="L3447" s="100"/>
      <c r="M3447" s="100"/>
      <c r="N3447" s="100"/>
      <c r="O3447" s="100"/>
      <c r="P3447" s="100"/>
      <c r="Q3447" s="100"/>
      <c r="R3447" s="100"/>
      <c r="S3447" s="100"/>
      <c r="T3447" s="100"/>
      <c r="U3447" s="100"/>
      <c r="V3447" s="100"/>
      <c r="W3447" s="100"/>
      <c r="X3447" s="100"/>
      <c r="Y3447" s="100"/>
      <c r="Z3447" s="100"/>
    </row>
    <row r="3448" spans="1:26">
      <c r="A3448" s="100"/>
      <c r="B3448" s="100"/>
      <c r="C3448" s="100"/>
      <c r="D3448" s="100"/>
      <c r="E3448" s="100"/>
      <c r="F3448" s="100"/>
      <c r="G3448" s="100"/>
      <c r="H3448" s="100"/>
      <c r="I3448" s="100"/>
      <c r="J3448" s="100"/>
      <c r="K3448" s="100"/>
      <c r="L3448" s="100"/>
      <c r="M3448" s="100"/>
      <c r="N3448" s="100"/>
      <c r="O3448" s="100"/>
      <c r="P3448" s="100"/>
      <c r="Q3448" s="100"/>
      <c r="R3448" s="100"/>
      <c r="S3448" s="100"/>
      <c r="T3448" s="100"/>
      <c r="U3448" s="100"/>
      <c r="V3448" s="100"/>
      <c r="W3448" s="100"/>
      <c r="X3448" s="100"/>
      <c r="Y3448" s="100"/>
      <c r="Z3448" s="100"/>
    </row>
    <row r="3449" spans="1:26">
      <c r="A3449" s="100"/>
      <c r="B3449" s="100"/>
      <c r="C3449" s="100"/>
      <c r="D3449" s="100"/>
      <c r="E3449" s="100"/>
      <c r="F3449" s="100"/>
      <c r="G3449" s="100"/>
      <c r="H3449" s="100"/>
      <c r="I3449" s="100"/>
      <c r="J3449" s="100"/>
      <c r="K3449" s="100"/>
      <c r="L3449" s="100"/>
      <c r="M3449" s="100"/>
      <c r="N3449" s="100"/>
      <c r="O3449" s="100"/>
      <c r="P3449" s="100"/>
      <c r="Q3449" s="100"/>
      <c r="R3449" s="100"/>
      <c r="S3449" s="100"/>
      <c r="T3449" s="100"/>
      <c r="U3449" s="100"/>
      <c r="V3449" s="100"/>
      <c r="W3449" s="100"/>
      <c r="X3449" s="100"/>
      <c r="Y3449" s="100"/>
      <c r="Z3449" s="100"/>
    </row>
    <row r="3450" spans="1:26">
      <c r="A3450" s="100"/>
      <c r="B3450" s="100"/>
      <c r="C3450" s="100"/>
      <c r="D3450" s="100"/>
      <c r="E3450" s="100"/>
      <c r="F3450" s="100"/>
      <c r="G3450" s="100"/>
      <c r="H3450" s="100"/>
      <c r="I3450" s="100"/>
      <c r="J3450" s="100"/>
      <c r="K3450" s="100"/>
      <c r="L3450" s="100"/>
      <c r="M3450" s="100"/>
      <c r="N3450" s="100"/>
      <c r="O3450" s="100"/>
      <c r="P3450" s="100"/>
      <c r="Q3450" s="100"/>
      <c r="R3450" s="100"/>
      <c r="S3450" s="100"/>
      <c r="T3450" s="100"/>
      <c r="U3450" s="100"/>
      <c r="V3450" s="100"/>
      <c r="W3450" s="100"/>
      <c r="X3450" s="100"/>
      <c r="Y3450" s="100"/>
      <c r="Z3450" s="100"/>
    </row>
    <row r="3451" spans="1:26">
      <c r="A3451" s="100"/>
      <c r="B3451" s="100"/>
      <c r="C3451" s="100"/>
      <c r="D3451" s="100"/>
      <c r="E3451" s="100"/>
      <c r="F3451" s="100"/>
      <c r="G3451" s="100"/>
      <c r="H3451" s="100"/>
      <c r="I3451" s="100"/>
      <c r="J3451" s="100"/>
      <c r="K3451" s="100"/>
      <c r="L3451" s="100"/>
      <c r="M3451" s="100"/>
      <c r="N3451" s="100"/>
      <c r="O3451" s="100"/>
      <c r="P3451" s="100"/>
      <c r="Q3451" s="100"/>
      <c r="R3451" s="100"/>
      <c r="S3451" s="100"/>
      <c r="T3451" s="100"/>
      <c r="U3451" s="100"/>
      <c r="V3451" s="100"/>
      <c r="W3451" s="100"/>
      <c r="X3451" s="100"/>
      <c r="Y3451" s="100"/>
      <c r="Z3451" s="100"/>
    </row>
    <row r="3452" spans="1:26">
      <c r="A3452" s="100"/>
      <c r="B3452" s="100"/>
      <c r="C3452" s="100"/>
      <c r="D3452" s="100"/>
      <c r="E3452" s="100"/>
      <c r="F3452" s="100"/>
      <c r="G3452" s="100"/>
      <c r="H3452" s="100"/>
      <c r="I3452" s="100"/>
      <c r="J3452" s="100"/>
      <c r="K3452" s="100"/>
      <c r="L3452" s="100"/>
      <c r="M3452" s="100"/>
      <c r="N3452" s="100"/>
      <c r="O3452" s="100"/>
      <c r="P3452" s="100"/>
      <c r="Q3452" s="100"/>
      <c r="R3452" s="100"/>
      <c r="S3452" s="100"/>
      <c r="T3452" s="100"/>
      <c r="U3452" s="100"/>
      <c r="V3452" s="100"/>
      <c r="W3452" s="100"/>
      <c r="X3452" s="100"/>
      <c r="Y3452" s="100"/>
      <c r="Z3452" s="100"/>
    </row>
    <row r="3453" spans="1:26">
      <c r="A3453" s="100"/>
      <c r="B3453" s="100"/>
      <c r="C3453" s="100"/>
      <c r="D3453" s="100"/>
      <c r="E3453" s="100"/>
      <c r="F3453" s="100"/>
      <c r="G3453" s="100"/>
      <c r="H3453" s="100"/>
      <c r="I3453" s="100"/>
      <c r="J3453" s="100"/>
      <c r="K3453" s="100"/>
      <c r="L3453" s="100"/>
      <c r="M3453" s="100"/>
      <c r="N3453" s="100"/>
      <c r="O3453" s="100"/>
      <c r="P3453" s="100"/>
      <c r="Q3453" s="100"/>
      <c r="R3453" s="100"/>
      <c r="S3453" s="100"/>
      <c r="T3453" s="100"/>
      <c r="U3453" s="100"/>
      <c r="V3453" s="100"/>
      <c r="W3453" s="100"/>
      <c r="X3453" s="100"/>
      <c r="Y3453" s="100"/>
      <c r="Z3453" s="100"/>
    </row>
    <row r="3454" spans="1:26">
      <c r="A3454" s="100"/>
      <c r="B3454" s="100"/>
      <c r="C3454" s="100"/>
      <c r="D3454" s="100"/>
      <c r="E3454" s="100"/>
      <c r="F3454" s="100"/>
      <c r="G3454" s="100"/>
      <c r="H3454" s="100"/>
      <c r="I3454" s="100"/>
      <c r="J3454" s="100"/>
      <c r="K3454" s="100"/>
      <c r="L3454" s="100"/>
      <c r="M3454" s="100"/>
      <c r="N3454" s="100"/>
      <c r="O3454" s="100"/>
      <c r="P3454" s="100"/>
      <c r="Q3454" s="100"/>
      <c r="R3454" s="100"/>
      <c r="S3454" s="100"/>
      <c r="T3454" s="100"/>
      <c r="U3454" s="100"/>
      <c r="V3454" s="100"/>
      <c r="W3454" s="100"/>
      <c r="X3454" s="100"/>
      <c r="Y3454" s="100"/>
      <c r="Z3454" s="100"/>
    </row>
    <row r="3455" spans="1:26">
      <c r="A3455" s="100"/>
      <c r="B3455" s="100"/>
      <c r="C3455" s="100"/>
      <c r="D3455" s="100"/>
      <c r="E3455" s="100"/>
      <c r="F3455" s="100"/>
      <c r="G3455" s="100"/>
      <c r="H3455" s="100"/>
      <c r="I3455" s="100"/>
      <c r="J3455" s="100"/>
      <c r="K3455" s="100"/>
      <c r="L3455" s="100"/>
      <c r="M3455" s="100"/>
      <c r="N3455" s="100"/>
      <c r="O3455" s="100"/>
      <c r="P3455" s="100"/>
      <c r="Q3455" s="100"/>
      <c r="R3455" s="100"/>
      <c r="S3455" s="100"/>
      <c r="T3455" s="100"/>
      <c r="U3455" s="100"/>
      <c r="V3455" s="100"/>
      <c r="W3455" s="100"/>
      <c r="X3455" s="100"/>
      <c r="Y3455" s="100"/>
      <c r="Z3455" s="100"/>
    </row>
    <row r="3456" spans="1:26">
      <c r="A3456" s="100"/>
      <c r="B3456" s="100"/>
      <c r="C3456" s="100"/>
      <c r="D3456" s="100"/>
      <c r="E3456" s="100"/>
      <c r="F3456" s="100"/>
      <c r="G3456" s="100"/>
      <c r="H3456" s="100"/>
      <c r="I3456" s="100"/>
      <c r="J3456" s="100"/>
      <c r="K3456" s="100"/>
      <c r="L3456" s="100"/>
      <c r="M3456" s="100"/>
      <c r="N3456" s="100"/>
      <c r="O3456" s="100"/>
      <c r="P3456" s="100"/>
      <c r="Q3456" s="100"/>
      <c r="R3456" s="100"/>
      <c r="S3456" s="100"/>
      <c r="T3456" s="100"/>
      <c r="U3456" s="100"/>
      <c r="V3456" s="100"/>
      <c r="W3456" s="100"/>
      <c r="X3456" s="100"/>
      <c r="Y3456" s="100"/>
      <c r="Z3456" s="100"/>
    </row>
    <row r="3457" spans="1:26">
      <c r="A3457" s="100"/>
      <c r="B3457" s="100"/>
      <c r="C3457" s="100"/>
      <c r="D3457" s="100"/>
      <c r="E3457" s="100"/>
      <c r="F3457" s="100"/>
      <c r="G3457" s="100"/>
      <c r="H3457" s="100"/>
      <c r="I3457" s="100"/>
      <c r="J3457" s="100"/>
      <c r="K3457" s="100"/>
      <c r="L3457" s="100"/>
      <c r="M3457" s="100"/>
      <c r="N3457" s="100"/>
      <c r="O3457" s="100"/>
      <c r="P3457" s="100"/>
      <c r="Q3457" s="100"/>
      <c r="R3457" s="100"/>
      <c r="S3457" s="100"/>
      <c r="T3457" s="100"/>
      <c r="U3457" s="100"/>
      <c r="V3457" s="100"/>
      <c r="W3457" s="100"/>
      <c r="X3457" s="100"/>
      <c r="Y3457" s="100"/>
      <c r="Z3457" s="100"/>
    </row>
    <row r="3458" spans="1:26">
      <c r="A3458" s="100"/>
      <c r="B3458" s="100"/>
      <c r="C3458" s="100"/>
      <c r="D3458" s="100"/>
      <c r="E3458" s="100"/>
      <c r="F3458" s="100"/>
      <c r="G3458" s="100"/>
      <c r="H3458" s="100"/>
      <c r="I3458" s="100"/>
      <c r="J3458" s="100"/>
      <c r="K3458" s="100"/>
      <c r="L3458" s="100"/>
      <c r="M3458" s="100"/>
      <c r="N3458" s="100"/>
      <c r="O3458" s="100"/>
      <c r="P3458" s="100"/>
      <c r="Q3458" s="100"/>
      <c r="R3458" s="100"/>
      <c r="S3458" s="100"/>
      <c r="T3458" s="100"/>
      <c r="U3458" s="100"/>
      <c r="V3458" s="100"/>
      <c r="W3458" s="100"/>
      <c r="X3458" s="100"/>
      <c r="Y3458" s="100"/>
      <c r="Z3458" s="100"/>
    </row>
    <row r="3459" spans="1:26">
      <c r="A3459" s="100"/>
      <c r="B3459" s="100"/>
      <c r="C3459" s="100"/>
      <c r="D3459" s="100"/>
      <c r="E3459" s="100"/>
      <c r="F3459" s="100"/>
      <c r="G3459" s="100"/>
      <c r="H3459" s="100"/>
      <c r="I3459" s="100"/>
      <c r="J3459" s="100"/>
      <c r="K3459" s="100"/>
      <c r="L3459" s="100"/>
      <c r="M3459" s="100"/>
      <c r="N3459" s="100"/>
      <c r="O3459" s="100"/>
      <c r="P3459" s="100"/>
      <c r="Q3459" s="100"/>
      <c r="R3459" s="100"/>
      <c r="S3459" s="100"/>
      <c r="T3459" s="100"/>
      <c r="U3459" s="100"/>
      <c r="V3459" s="100"/>
      <c r="W3459" s="100"/>
      <c r="X3459" s="100"/>
      <c r="Y3459" s="100"/>
      <c r="Z3459" s="100"/>
    </row>
    <row r="3460" spans="1:26">
      <c r="A3460" s="100"/>
      <c r="B3460" s="100"/>
      <c r="C3460" s="100"/>
      <c r="D3460" s="100"/>
      <c r="E3460" s="100"/>
      <c r="F3460" s="100"/>
      <c r="G3460" s="100"/>
      <c r="H3460" s="100"/>
      <c r="I3460" s="100"/>
      <c r="J3460" s="100"/>
      <c r="K3460" s="100"/>
      <c r="L3460" s="100"/>
      <c r="M3460" s="100"/>
      <c r="N3460" s="100"/>
      <c r="O3460" s="100"/>
      <c r="P3460" s="100"/>
      <c r="Q3460" s="100"/>
      <c r="R3460" s="100"/>
      <c r="S3460" s="100"/>
      <c r="T3460" s="100"/>
      <c r="U3460" s="100"/>
      <c r="V3460" s="100"/>
      <c r="W3460" s="100"/>
      <c r="X3460" s="100"/>
      <c r="Y3460" s="100"/>
      <c r="Z3460" s="100"/>
    </row>
    <row r="3461" spans="1:26">
      <c r="A3461" s="100"/>
      <c r="B3461" s="100"/>
      <c r="C3461" s="100"/>
      <c r="D3461" s="100"/>
      <c r="E3461" s="100"/>
      <c r="F3461" s="100"/>
      <c r="G3461" s="100"/>
      <c r="H3461" s="100"/>
      <c r="I3461" s="100"/>
      <c r="J3461" s="100"/>
      <c r="K3461" s="100"/>
      <c r="L3461" s="100"/>
      <c r="M3461" s="100"/>
      <c r="N3461" s="100"/>
      <c r="O3461" s="100"/>
      <c r="P3461" s="100"/>
      <c r="Q3461" s="100"/>
      <c r="R3461" s="100"/>
      <c r="S3461" s="100"/>
      <c r="T3461" s="100"/>
      <c r="U3461" s="100"/>
      <c r="V3461" s="100"/>
      <c r="W3461" s="100"/>
      <c r="X3461" s="100"/>
      <c r="Y3461" s="100"/>
      <c r="Z3461" s="100"/>
    </row>
    <row r="3462" spans="1:26">
      <c r="A3462" s="100"/>
      <c r="B3462" s="100"/>
      <c r="C3462" s="100"/>
      <c r="D3462" s="100"/>
      <c r="E3462" s="100"/>
      <c r="F3462" s="100"/>
      <c r="G3462" s="100"/>
      <c r="H3462" s="100"/>
      <c r="I3462" s="100"/>
      <c r="J3462" s="100"/>
      <c r="K3462" s="100"/>
      <c r="L3462" s="100"/>
      <c r="M3462" s="100"/>
      <c r="N3462" s="100"/>
      <c r="O3462" s="100"/>
      <c r="P3462" s="100"/>
      <c r="Q3462" s="100"/>
      <c r="R3462" s="100"/>
      <c r="S3462" s="100"/>
      <c r="T3462" s="100"/>
      <c r="U3462" s="100"/>
      <c r="V3462" s="100"/>
      <c r="W3462" s="100"/>
      <c r="X3462" s="100"/>
      <c r="Y3462" s="100"/>
      <c r="Z3462" s="100"/>
    </row>
    <row r="3463" spans="1:26">
      <c r="A3463" s="100"/>
      <c r="B3463" s="100"/>
      <c r="C3463" s="100"/>
      <c r="D3463" s="100"/>
      <c r="E3463" s="100"/>
      <c r="F3463" s="100"/>
      <c r="G3463" s="100"/>
      <c r="H3463" s="100"/>
      <c r="I3463" s="100"/>
      <c r="J3463" s="100"/>
      <c r="K3463" s="100"/>
      <c r="L3463" s="100"/>
      <c r="M3463" s="100"/>
      <c r="N3463" s="100"/>
      <c r="O3463" s="100"/>
      <c r="P3463" s="100"/>
      <c r="Q3463" s="100"/>
      <c r="R3463" s="100"/>
      <c r="S3463" s="100"/>
      <c r="T3463" s="100"/>
      <c r="U3463" s="100"/>
      <c r="V3463" s="100"/>
      <c r="W3463" s="100"/>
      <c r="X3463" s="100"/>
      <c r="Y3463" s="100"/>
      <c r="Z3463" s="100"/>
    </row>
    <row r="3464" spans="1:26">
      <c r="A3464" s="100"/>
      <c r="B3464" s="100"/>
      <c r="C3464" s="100"/>
      <c r="D3464" s="100"/>
      <c r="E3464" s="100"/>
      <c r="F3464" s="100"/>
      <c r="G3464" s="100"/>
      <c r="H3464" s="100"/>
      <c r="I3464" s="100"/>
      <c r="J3464" s="100"/>
      <c r="K3464" s="100"/>
      <c r="L3464" s="100"/>
      <c r="M3464" s="100"/>
      <c r="N3464" s="100"/>
      <c r="O3464" s="100"/>
      <c r="P3464" s="100"/>
      <c r="Q3464" s="100"/>
      <c r="R3464" s="100"/>
      <c r="S3464" s="100"/>
      <c r="T3464" s="100"/>
      <c r="U3464" s="100"/>
      <c r="V3464" s="100"/>
      <c r="W3464" s="100"/>
      <c r="X3464" s="100"/>
      <c r="Y3464" s="100"/>
      <c r="Z3464" s="100"/>
    </row>
    <row r="3465" spans="1:26">
      <c r="A3465" s="100"/>
      <c r="B3465" s="100"/>
      <c r="C3465" s="100"/>
      <c r="D3465" s="100"/>
      <c r="E3465" s="100"/>
      <c r="F3465" s="100"/>
      <c r="G3465" s="100"/>
      <c r="H3465" s="100"/>
      <c r="I3465" s="100"/>
      <c r="J3465" s="100"/>
      <c r="K3465" s="100"/>
      <c r="L3465" s="100"/>
      <c r="M3465" s="100"/>
      <c r="N3465" s="100"/>
      <c r="O3465" s="100"/>
      <c r="P3465" s="100"/>
      <c r="Q3465" s="100"/>
      <c r="R3465" s="100"/>
      <c r="S3465" s="100"/>
      <c r="T3465" s="100"/>
      <c r="U3465" s="100"/>
      <c r="V3465" s="100"/>
      <c r="W3465" s="100"/>
      <c r="X3465" s="100"/>
      <c r="Y3465" s="100"/>
      <c r="Z3465" s="100"/>
    </row>
    <row r="3466" spans="1:26">
      <c r="A3466" s="100"/>
      <c r="B3466" s="100"/>
      <c r="C3466" s="100"/>
      <c r="D3466" s="100"/>
      <c r="E3466" s="100"/>
      <c r="F3466" s="100"/>
      <c r="G3466" s="100"/>
      <c r="H3466" s="100"/>
      <c r="I3466" s="100"/>
      <c r="J3466" s="100"/>
      <c r="K3466" s="100"/>
      <c r="L3466" s="100"/>
      <c r="M3466" s="100"/>
      <c r="N3466" s="100"/>
      <c r="O3466" s="100"/>
      <c r="P3466" s="100"/>
      <c r="Q3466" s="100"/>
      <c r="R3466" s="100"/>
      <c r="S3466" s="100"/>
      <c r="T3466" s="100"/>
      <c r="U3466" s="100"/>
      <c r="V3466" s="100"/>
      <c r="W3466" s="100"/>
      <c r="X3466" s="100"/>
      <c r="Y3466" s="100"/>
      <c r="Z3466" s="100"/>
    </row>
    <row r="3467" spans="1:26">
      <c r="A3467" s="100"/>
      <c r="B3467" s="100"/>
      <c r="C3467" s="100"/>
      <c r="D3467" s="100"/>
      <c r="E3467" s="100"/>
      <c r="F3467" s="100"/>
      <c r="G3467" s="100"/>
      <c r="H3467" s="100"/>
      <c r="I3467" s="100"/>
      <c r="J3467" s="100"/>
      <c r="K3467" s="100"/>
      <c r="L3467" s="100"/>
      <c r="M3467" s="100"/>
      <c r="N3467" s="100"/>
      <c r="O3467" s="100"/>
      <c r="P3467" s="100"/>
      <c r="Q3467" s="100"/>
      <c r="R3467" s="100"/>
      <c r="S3467" s="100"/>
      <c r="T3467" s="100"/>
      <c r="U3467" s="100"/>
      <c r="V3467" s="100"/>
      <c r="W3467" s="100"/>
      <c r="X3467" s="100"/>
      <c r="Y3467" s="100"/>
      <c r="Z3467" s="100"/>
    </row>
    <row r="3468" spans="1:26">
      <c r="A3468" s="100"/>
      <c r="B3468" s="100"/>
      <c r="C3468" s="100"/>
      <c r="D3468" s="100"/>
      <c r="E3468" s="100"/>
      <c r="F3468" s="100"/>
      <c r="G3468" s="100"/>
      <c r="H3468" s="100"/>
      <c r="I3468" s="100"/>
      <c r="J3468" s="100"/>
      <c r="K3468" s="100"/>
      <c r="L3468" s="100"/>
      <c r="M3468" s="100"/>
      <c r="N3468" s="100"/>
      <c r="O3468" s="100"/>
      <c r="P3468" s="100"/>
      <c r="Q3468" s="100"/>
      <c r="R3468" s="100"/>
      <c r="S3468" s="100"/>
      <c r="T3468" s="100"/>
      <c r="U3468" s="100"/>
      <c r="V3468" s="100"/>
      <c r="W3468" s="100"/>
      <c r="X3468" s="100"/>
      <c r="Y3468" s="100"/>
      <c r="Z3468" s="100"/>
    </row>
    <row r="3469" spans="1:26">
      <c r="A3469" s="100"/>
      <c r="B3469" s="100"/>
      <c r="C3469" s="100"/>
      <c r="D3469" s="100"/>
      <c r="E3469" s="100"/>
      <c r="F3469" s="100"/>
      <c r="G3469" s="100"/>
      <c r="H3469" s="100"/>
      <c r="I3469" s="100"/>
      <c r="J3469" s="100"/>
      <c r="K3469" s="100"/>
      <c r="L3469" s="100"/>
      <c r="M3469" s="100"/>
      <c r="N3469" s="100"/>
      <c r="O3469" s="100"/>
      <c r="P3469" s="100"/>
      <c r="Q3469" s="100"/>
      <c r="R3469" s="100"/>
      <c r="S3469" s="100"/>
      <c r="T3469" s="100"/>
      <c r="U3469" s="100"/>
      <c r="V3469" s="100"/>
      <c r="W3469" s="100"/>
      <c r="X3469" s="100"/>
      <c r="Y3469" s="100"/>
      <c r="Z3469" s="100"/>
    </row>
    <row r="3470" spans="1:26">
      <c r="A3470" s="100"/>
      <c r="B3470" s="100"/>
      <c r="C3470" s="100"/>
      <c r="D3470" s="100"/>
      <c r="E3470" s="100"/>
      <c r="F3470" s="100"/>
      <c r="G3470" s="100"/>
      <c r="H3470" s="100"/>
      <c r="I3470" s="100"/>
      <c r="J3470" s="100"/>
      <c r="K3470" s="100"/>
      <c r="L3470" s="100"/>
      <c r="M3470" s="100"/>
      <c r="N3470" s="100"/>
      <c r="O3470" s="100"/>
      <c r="P3470" s="100"/>
      <c r="Q3470" s="100"/>
      <c r="R3470" s="100"/>
      <c r="S3470" s="100"/>
      <c r="T3470" s="100"/>
      <c r="U3470" s="100"/>
      <c r="V3470" s="100"/>
      <c r="W3470" s="100"/>
      <c r="X3470" s="100"/>
      <c r="Y3470" s="100"/>
      <c r="Z3470" s="100"/>
    </row>
    <row r="3471" spans="1:26">
      <c r="A3471" s="100"/>
      <c r="B3471" s="100"/>
      <c r="C3471" s="100"/>
      <c r="D3471" s="100"/>
      <c r="E3471" s="100"/>
      <c r="F3471" s="100"/>
      <c r="G3471" s="100"/>
      <c r="H3471" s="100"/>
      <c r="I3471" s="100"/>
      <c r="J3471" s="100"/>
      <c r="K3471" s="100"/>
      <c r="L3471" s="100"/>
      <c r="M3471" s="100"/>
      <c r="N3471" s="100"/>
      <c r="O3471" s="100"/>
      <c r="P3471" s="100"/>
      <c r="Q3471" s="100"/>
      <c r="R3471" s="100"/>
      <c r="S3471" s="100"/>
      <c r="T3471" s="100"/>
      <c r="U3471" s="100"/>
      <c r="V3471" s="100"/>
      <c r="W3471" s="100"/>
      <c r="X3471" s="100"/>
      <c r="Y3471" s="100"/>
      <c r="Z3471" s="100"/>
    </row>
    <row r="3472" spans="1:26">
      <c r="A3472" s="100"/>
      <c r="B3472" s="100"/>
      <c r="C3472" s="100"/>
      <c r="D3472" s="100"/>
      <c r="E3472" s="100"/>
      <c r="F3472" s="100"/>
      <c r="G3472" s="100"/>
      <c r="H3472" s="100"/>
      <c r="I3472" s="100"/>
      <c r="J3472" s="100"/>
      <c r="K3472" s="100"/>
      <c r="L3472" s="100"/>
      <c r="M3472" s="100"/>
      <c r="N3472" s="100"/>
      <c r="O3472" s="100"/>
      <c r="P3472" s="100"/>
      <c r="Q3472" s="100"/>
      <c r="R3472" s="100"/>
      <c r="S3472" s="100"/>
      <c r="T3472" s="100"/>
      <c r="U3472" s="100"/>
      <c r="V3472" s="100"/>
      <c r="W3472" s="100"/>
      <c r="X3472" s="100"/>
      <c r="Y3472" s="100"/>
      <c r="Z3472" s="100"/>
    </row>
    <row r="3473" spans="1:26">
      <c r="A3473" s="100"/>
      <c r="B3473" s="100"/>
      <c r="C3473" s="100"/>
      <c r="D3473" s="100"/>
      <c r="E3473" s="100"/>
      <c r="F3473" s="100"/>
      <c r="G3473" s="100"/>
      <c r="H3473" s="100"/>
      <c r="I3473" s="100"/>
      <c r="J3473" s="100"/>
      <c r="K3473" s="100"/>
      <c r="L3473" s="100"/>
      <c r="M3473" s="100"/>
      <c r="N3473" s="100"/>
      <c r="O3473" s="100"/>
      <c r="P3473" s="100"/>
      <c r="Q3473" s="100"/>
      <c r="R3473" s="100"/>
      <c r="S3473" s="100"/>
      <c r="T3473" s="100"/>
      <c r="U3473" s="100"/>
      <c r="V3473" s="100"/>
      <c r="W3473" s="100"/>
      <c r="X3473" s="100"/>
      <c r="Y3473" s="100"/>
      <c r="Z3473" s="100"/>
    </row>
    <row r="3474" spans="1:26">
      <c r="A3474" s="100"/>
      <c r="B3474" s="100"/>
      <c r="C3474" s="100"/>
      <c r="D3474" s="100"/>
      <c r="E3474" s="100"/>
      <c r="F3474" s="100"/>
      <c r="G3474" s="100"/>
      <c r="H3474" s="100"/>
      <c r="I3474" s="100"/>
      <c r="J3474" s="100"/>
      <c r="K3474" s="100"/>
      <c r="L3474" s="100"/>
      <c r="M3474" s="100"/>
      <c r="N3474" s="100"/>
      <c r="O3474" s="100"/>
      <c r="P3474" s="100"/>
      <c r="Q3474" s="100"/>
      <c r="R3474" s="100"/>
      <c r="S3474" s="100"/>
      <c r="T3474" s="100"/>
      <c r="U3474" s="100"/>
      <c r="V3474" s="100"/>
      <c r="W3474" s="100"/>
      <c r="X3474" s="100"/>
      <c r="Y3474" s="100"/>
      <c r="Z3474" s="100"/>
    </row>
    <row r="3475" spans="1:26">
      <c r="A3475" s="100"/>
      <c r="B3475" s="100"/>
      <c r="C3475" s="100"/>
      <c r="D3475" s="100"/>
      <c r="E3475" s="100"/>
      <c r="F3475" s="100"/>
      <c r="G3475" s="100"/>
      <c r="H3475" s="100"/>
      <c r="I3475" s="100"/>
      <c r="J3475" s="100"/>
      <c r="K3475" s="100"/>
      <c r="L3475" s="100"/>
      <c r="M3475" s="100"/>
      <c r="N3475" s="100"/>
      <c r="O3475" s="100"/>
      <c r="P3475" s="100"/>
      <c r="Q3475" s="100"/>
      <c r="R3475" s="100"/>
      <c r="S3475" s="100"/>
      <c r="T3475" s="100"/>
      <c r="U3475" s="100"/>
      <c r="V3475" s="100"/>
      <c r="W3475" s="100"/>
      <c r="X3475" s="100"/>
      <c r="Y3475" s="100"/>
      <c r="Z3475" s="100"/>
    </row>
    <row r="3476" spans="1:26">
      <c r="A3476" s="100"/>
      <c r="B3476" s="100"/>
      <c r="C3476" s="100"/>
      <c r="D3476" s="100"/>
      <c r="E3476" s="100"/>
      <c r="F3476" s="100"/>
      <c r="G3476" s="100"/>
      <c r="H3476" s="100"/>
      <c r="I3476" s="100"/>
      <c r="J3476" s="100"/>
      <c r="K3476" s="100"/>
      <c r="L3476" s="100"/>
      <c r="M3476" s="100"/>
      <c r="N3476" s="100"/>
      <c r="O3476" s="100"/>
      <c r="P3476" s="100"/>
      <c r="Q3476" s="100"/>
      <c r="R3476" s="100"/>
      <c r="S3476" s="100"/>
      <c r="T3476" s="100"/>
      <c r="U3476" s="100"/>
      <c r="V3476" s="100"/>
      <c r="W3476" s="100"/>
      <c r="X3476" s="100"/>
      <c r="Y3476" s="100"/>
      <c r="Z3476" s="100"/>
    </row>
    <row r="3477" spans="1:26">
      <c r="A3477" s="100"/>
      <c r="B3477" s="100"/>
      <c r="C3477" s="100"/>
      <c r="D3477" s="100"/>
      <c r="E3477" s="100"/>
      <c r="F3477" s="100"/>
      <c r="G3477" s="100"/>
      <c r="H3477" s="100"/>
      <c r="I3477" s="100"/>
      <c r="J3477" s="100"/>
      <c r="K3477" s="100"/>
      <c r="L3477" s="100"/>
      <c r="M3477" s="100"/>
      <c r="N3477" s="100"/>
      <c r="O3477" s="100"/>
      <c r="P3477" s="100"/>
      <c r="Q3477" s="100"/>
      <c r="R3477" s="100"/>
      <c r="S3477" s="100"/>
      <c r="T3477" s="100"/>
      <c r="U3477" s="100"/>
      <c r="V3477" s="100"/>
      <c r="W3477" s="100"/>
      <c r="X3477" s="100"/>
      <c r="Y3477" s="100"/>
      <c r="Z3477" s="100"/>
    </row>
    <row r="3478" spans="1:26">
      <c r="A3478" s="100"/>
      <c r="B3478" s="100"/>
      <c r="C3478" s="100"/>
      <c r="D3478" s="100"/>
      <c r="E3478" s="100"/>
      <c r="F3478" s="100"/>
      <c r="G3478" s="100"/>
      <c r="H3478" s="100"/>
      <c r="I3478" s="100"/>
      <c r="J3478" s="100"/>
      <c r="K3478" s="100"/>
      <c r="L3478" s="100"/>
      <c r="M3478" s="100"/>
      <c r="N3478" s="100"/>
      <c r="O3478" s="100"/>
      <c r="P3478" s="100"/>
      <c r="Q3478" s="100"/>
      <c r="R3478" s="100"/>
      <c r="S3478" s="100"/>
      <c r="T3478" s="100"/>
      <c r="U3478" s="100"/>
      <c r="V3478" s="100"/>
      <c r="W3478" s="100"/>
      <c r="X3478" s="100"/>
      <c r="Y3478" s="100"/>
      <c r="Z3478" s="100"/>
    </row>
    <row r="3479" spans="1:26">
      <c r="A3479" s="100"/>
      <c r="B3479" s="100"/>
      <c r="C3479" s="100"/>
      <c r="D3479" s="100"/>
      <c r="E3479" s="100"/>
      <c r="F3479" s="100"/>
      <c r="G3479" s="100"/>
      <c r="H3479" s="100"/>
      <c r="I3479" s="100"/>
      <c r="J3479" s="100"/>
      <c r="K3479" s="100"/>
      <c r="L3479" s="100"/>
      <c r="M3479" s="100"/>
      <c r="N3479" s="100"/>
      <c r="O3479" s="100"/>
      <c r="P3479" s="100"/>
      <c r="Q3479" s="100"/>
      <c r="R3479" s="100"/>
      <c r="S3479" s="100"/>
      <c r="T3479" s="100"/>
      <c r="U3479" s="100"/>
      <c r="V3479" s="100"/>
      <c r="W3479" s="100"/>
      <c r="X3479" s="100"/>
      <c r="Y3479" s="100"/>
      <c r="Z3479" s="100"/>
    </row>
    <row r="3480" spans="1:26">
      <c r="A3480" s="100"/>
      <c r="B3480" s="100"/>
      <c r="C3480" s="100"/>
      <c r="D3480" s="100"/>
      <c r="E3480" s="100"/>
      <c r="F3480" s="100"/>
      <c r="G3480" s="100"/>
      <c r="H3480" s="100"/>
      <c r="I3480" s="100"/>
      <c r="J3480" s="100"/>
      <c r="K3480" s="100"/>
      <c r="L3480" s="100"/>
      <c r="M3480" s="100"/>
      <c r="N3480" s="100"/>
      <c r="O3480" s="100"/>
      <c r="P3480" s="100"/>
      <c r="Q3480" s="100"/>
      <c r="R3480" s="100"/>
      <c r="S3480" s="100"/>
      <c r="T3480" s="100"/>
      <c r="U3480" s="100"/>
      <c r="V3480" s="100"/>
      <c r="W3480" s="100"/>
      <c r="X3480" s="100"/>
      <c r="Y3480" s="100"/>
      <c r="Z3480" s="100"/>
    </row>
    <row r="3481" spans="1:26">
      <c r="A3481" s="100"/>
      <c r="B3481" s="100"/>
      <c r="C3481" s="100"/>
      <c r="D3481" s="100"/>
      <c r="E3481" s="100"/>
      <c r="F3481" s="100"/>
      <c r="G3481" s="100"/>
      <c r="H3481" s="100"/>
      <c r="I3481" s="100"/>
      <c r="J3481" s="100"/>
      <c r="K3481" s="100"/>
      <c r="L3481" s="100"/>
      <c r="M3481" s="100"/>
      <c r="N3481" s="100"/>
      <c r="O3481" s="100"/>
      <c r="P3481" s="100"/>
      <c r="Q3481" s="100"/>
      <c r="R3481" s="100"/>
      <c r="S3481" s="100"/>
      <c r="T3481" s="100"/>
      <c r="U3481" s="100"/>
      <c r="V3481" s="100"/>
      <c r="W3481" s="100"/>
      <c r="X3481" s="100"/>
      <c r="Y3481" s="100"/>
      <c r="Z3481" s="100"/>
    </row>
    <row r="3482" spans="1:26">
      <c r="A3482" s="100"/>
      <c r="B3482" s="100"/>
      <c r="C3482" s="100"/>
      <c r="D3482" s="100"/>
      <c r="E3482" s="100"/>
      <c r="F3482" s="100"/>
      <c r="G3482" s="100"/>
      <c r="H3482" s="100"/>
      <c r="I3482" s="100"/>
      <c r="J3482" s="100"/>
      <c r="K3482" s="100"/>
      <c r="L3482" s="100"/>
      <c r="M3482" s="100"/>
      <c r="N3482" s="100"/>
      <c r="O3482" s="100"/>
      <c r="P3482" s="100"/>
      <c r="Q3482" s="100"/>
      <c r="R3482" s="100"/>
      <c r="S3482" s="100"/>
      <c r="T3482" s="100"/>
      <c r="U3482" s="100"/>
      <c r="V3482" s="100"/>
      <c r="W3482" s="100"/>
      <c r="X3482" s="100"/>
      <c r="Y3482" s="100"/>
      <c r="Z3482" s="100"/>
    </row>
    <row r="3483" spans="1:26">
      <c r="A3483" s="100"/>
      <c r="B3483" s="100"/>
      <c r="C3483" s="100"/>
      <c r="D3483" s="100"/>
      <c r="E3483" s="100"/>
      <c r="F3483" s="100"/>
      <c r="G3483" s="100"/>
      <c r="H3483" s="100"/>
      <c r="I3483" s="100"/>
      <c r="J3483" s="100"/>
      <c r="K3483" s="100"/>
      <c r="L3483" s="100"/>
      <c r="M3483" s="100"/>
      <c r="N3483" s="100"/>
      <c r="O3483" s="100"/>
      <c r="P3483" s="100"/>
      <c r="Q3483" s="100"/>
      <c r="R3483" s="100"/>
      <c r="S3483" s="100"/>
      <c r="T3483" s="100"/>
      <c r="U3483" s="100"/>
      <c r="V3483" s="100"/>
      <c r="W3483" s="100"/>
      <c r="X3483" s="100"/>
      <c r="Y3483" s="100"/>
      <c r="Z3483" s="100"/>
    </row>
    <row r="3484" spans="1:26">
      <c r="A3484" s="100"/>
      <c r="B3484" s="100"/>
      <c r="C3484" s="100"/>
      <c r="D3484" s="100"/>
      <c r="E3484" s="100"/>
      <c r="F3484" s="100"/>
      <c r="G3484" s="100"/>
      <c r="H3484" s="100"/>
      <c r="I3484" s="100"/>
      <c r="J3484" s="100"/>
      <c r="K3484" s="100"/>
      <c r="L3484" s="100"/>
      <c r="M3484" s="100"/>
      <c r="N3484" s="100"/>
      <c r="O3484" s="100"/>
      <c r="P3484" s="100"/>
      <c r="Q3484" s="100"/>
      <c r="R3484" s="100"/>
      <c r="S3484" s="100"/>
      <c r="T3484" s="100"/>
      <c r="U3484" s="100"/>
      <c r="V3484" s="100"/>
      <c r="W3484" s="100"/>
      <c r="X3484" s="100"/>
      <c r="Y3484" s="100"/>
      <c r="Z3484" s="100"/>
    </row>
    <row r="3485" spans="1:26">
      <c r="A3485" s="100"/>
      <c r="B3485" s="100"/>
      <c r="C3485" s="100"/>
      <c r="D3485" s="100"/>
      <c r="E3485" s="100"/>
      <c r="F3485" s="100"/>
      <c r="G3485" s="100"/>
      <c r="H3485" s="100"/>
      <c r="I3485" s="100"/>
      <c r="J3485" s="100"/>
      <c r="K3485" s="100"/>
      <c r="L3485" s="100"/>
      <c r="M3485" s="100"/>
      <c r="N3485" s="100"/>
      <c r="O3485" s="100"/>
      <c r="P3485" s="100"/>
      <c r="Q3485" s="100"/>
      <c r="R3485" s="100"/>
      <c r="S3485" s="100"/>
      <c r="T3485" s="100"/>
      <c r="U3485" s="100"/>
      <c r="V3485" s="100"/>
      <c r="W3485" s="100"/>
      <c r="X3485" s="100"/>
      <c r="Y3485" s="100"/>
      <c r="Z3485" s="100"/>
    </row>
    <row r="3486" spans="1:26">
      <c r="A3486" s="100"/>
      <c r="B3486" s="100"/>
      <c r="C3486" s="100"/>
      <c r="D3486" s="100"/>
      <c r="E3486" s="100"/>
      <c r="F3486" s="100"/>
      <c r="G3486" s="100"/>
      <c r="H3486" s="100"/>
      <c r="I3486" s="100"/>
      <c r="J3486" s="100"/>
      <c r="K3486" s="100"/>
      <c r="L3486" s="100"/>
      <c r="M3486" s="100"/>
      <c r="N3486" s="100"/>
      <c r="O3486" s="100"/>
      <c r="P3486" s="100"/>
      <c r="Q3486" s="100"/>
      <c r="R3486" s="100"/>
      <c r="S3486" s="100"/>
      <c r="T3486" s="100"/>
      <c r="U3486" s="100"/>
      <c r="V3486" s="100"/>
      <c r="W3486" s="100"/>
      <c r="X3486" s="100"/>
      <c r="Y3486" s="100"/>
      <c r="Z3486" s="100"/>
    </row>
    <row r="3487" spans="1:26">
      <c r="A3487" s="100"/>
      <c r="B3487" s="100"/>
      <c r="C3487" s="100"/>
      <c r="D3487" s="100"/>
      <c r="E3487" s="100"/>
      <c r="F3487" s="100"/>
      <c r="G3487" s="100"/>
      <c r="H3487" s="100"/>
      <c r="I3487" s="100"/>
      <c r="J3487" s="100"/>
      <c r="K3487" s="100"/>
      <c r="L3487" s="100"/>
      <c r="M3487" s="100"/>
      <c r="N3487" s="100"/>
      <c r="O3487" s="100"/>
      <c r="P3487" s="100"/>
      <c r="Q3487" s="100"/>
      <c r="R3487" s="100"/>
      <c r="S3487" s="100"/>
      <c r="T3487" s="100"/>
      <c r="U3487" s="100"/>
      <c r="V3487" s="100"/>
      <c r="W3487" s="100"/>
      <c r="X3487" s="100"/>
      <c r="Y3487" s="100"/>
      <c r="Z3487" s="100"/>
    </row>
    <row r="3488" spans="1:26">
      <c r="A3488" s="100"/>
      <c r="B3488" s="100"/>
      <c r="C3488" s="100"/>
      <c r="D3488" s="100"/>
      <c r="E3488" s="100"/>
      <c r="F3488" s="100"/>
      <c r="G3488" s="100"/>
      <c r="H3488" s="100"/>
      <c r="I3488" s="100"/>
      <c r="J3488" s="100"/>
      <c r="K3488" s="100"/>
      <c r="L3488" s="100"/>
      <c r="M3488" s="100"/>
      <c r="N3488" s="100"/>
      <c r="O3488" s="100"/>
      <c r="P3488" s="100"/>
      <c r="Q3488" s="100"/>
      <c r="R3488" s="100"/>
      <c r="S3488" s="100"/>
      <c r="T3488" s="100"/>
      <c r="U3488" s="100"/>
      <c r="V3488" s="100"/>
      <c r="W3488" s="100"/>
      <c r="X3488" s="100"/>
      <c r="Y3488" s="100"/>
      <c r="Z3488" s="100"/>
    </row>
    <row r="3489" spans="1:26">
      <c r="A3489" s="100"/>
      <c r="B3489" s="100"/>
      <c r="C3489" s="100"/>
      <c r="D3489" s="100"/>
      <c r="E3489" s="100"/>
      <c r="F3489" s="100"/>
      <c r="G3489" s="100"/>
      <c r="H3489" s="100"/>
      <c r="I3489" s="100"/>
      <c r="J3489" s="100"/>
      <c r="K3489" s="100"/>
      <c r="L3489" s="100"/>
      <c r="M3489" s="100"/>
      <c r="N3489" s="100"/>
      <c r="O3489" s="100"/>
      <c r="P3489" s="100"/>
      <c r="Q3489" s="100"/>
      <c r="R3489" s="100"/>
      <c r="S3489" s="100"/>
      <c r="T3489" s="100"/>
      <c r="U3489" s="100"/>
      <c r="V3489" s="100"/>
      <c r="W3489" s="100"/>
      <c r="X3489" s="100"/>
      <c r="Y3489" s="100"/>
      <c r="Z3489" s="100"/>
    </row>
    <row r="3490" spans="1:26">
      <c r="A3490" s="100"/>
      <c r="B3490" s="100"/>
      <c r="C3490" s="100"/>
      <c r="D3490" s="100"/>
      <c r="E3490" s="100"/>
      <c r="F3490" s="100"/>
      <c r="G3490" s="100"/>
      <c r="H3490" s="100"/>
      <c r="I3490" s="100"/>
      <c r="J3490" s="100"/>
      <c r="K3490" s="100"/>
      <c r="L3490" s="100"/>
      <c r="M3490" s="100"/>
      <c r="N3490" s="100"/>
      <c r="O3490" s="100"/>
      <c r="P3490" s="100"/>
      <c r="Q3490" s="100"/>
      <c r="R3490" s="100"/>
      <c r="S3490" s="100"/>
      <c r="T3490" s="100"/>
      <c r="U3490" s="100"/>
      <c r="V3490" s="100"/>
      <c r="W3490" s="100"/>
      <c r="X3490" s="100"/>
      <c r="Y3490" s="100"/>
      <c r="Z3490" s="100"/>
    </row>
    <row r="3491" spans="1:26">
      <c r="A3491" s="100"/>
      <c r="B3491" s="100"/>
      <c r="C3491" s="100"/>
      <c r="D3491" s="100"/>
      <c r="E3491" s="100"/>
      <c r="F3491" s="100"/>
      <c r="G3491" s="100"/>
      <c r="H3491" s="100"/>
      <c r="I3491" s="100"/>
      <c r="J3491" s="100"/>
      <c r="K3491" s="100"/>
      <c r="L3491" s="100"/>
      <c r="M3491" s="100"/>
      <c r="N3491" s="100"/>
      <c r="O3491" s="100"/>
      <c r="P3491" s="100"/>
      <c r="Q3491" s="100"/>
      <c r="R3491" s="100"/>
      <c r="S3491" s="100"/>
      <c r="T3491" s="100"/>
      <c r="U3491" s="100"/>
      <c r="V3491" s="100"/>
      <c r="W3491" s="100"/>
      <c r="X3491" s="100"/>
      <c r="Y3491" s="100"/>
      <c r="Z3491" s="100"/>
    </row>
    <row r="3492" spans="1:26">
      <c r="A3492" s="100"/>
      <c r="B3492" s="100"/>
      <c r="C3492" s="100"/>
      <c r="D3492" s="100"/>
      <c r="E3492" s="100"/>
      <c r="F3492" s="100"/>
      <c r="G3492" s="100"/>
      <c r="H3492" s="100"/>
      <c r="I3492" s="100"/>
      <c r="J3492" s="100"/>
      <c r="K3492" s="100"/>
      <c r="L3492" s="100"/>
      <c r="M3492" s="100"/>
      <c r="N3492" s="100"/>
      <c r="O3492" s="100"/>
      <c r="P3492" s="100"/>
      <c r="Q3492" s="100"/>
      <c r="R3492" s="100"/>
      <c r="S3492" s="100"/>
      <c r="T3492" s="100"/>
      <c r="U3492" s="100"/>
      <c r="V3492" s="100"/>
      <c r="W3492" s="100"/>
      <c r="X3492" s="100"/>
      <c r="Y3492" s="100"/>
      <c r="Z3492" s="100"/>
    </row>
    <row r="3493" spans="1:26">
      <c r="A3493" s="100"/>
      <c r="B3493" s="100"/>
      <c r="C3493" s="100"/>
      <c r="D3493" s="100"/>
      <c r="E3493" s="100"/>
      <c r="F3493" s="100"/>
      <c r="G3493" s="100"/>
      <c r="H3493" s="100"/>
      <c r="I3493" s="100"/>
      <c r="J3493" s="100"/>
      <c r="K3493" s="100"/>
      <c r="L3493" s="100"/>
      <c r="M3493" s="100"/>
      <c r="N3493" s="100"/>
      <c r="O3493" s="100"/>
      <c r="P3493" s="100"/>
      <c r="Q3493" s="100"/>
      <c r="R3493" s="100"/>
      <c r="S3493" s="100"/>
      <c r="T3493" s="100"/>
      <c r="U3493" s="100"/>
      <c r="V3493" s="100"/>
      <c r="W3493" s="100"/>
      <c r="X3493" s="100"/>
      <c r="Y3493" s="100"/>
      <c r="Z3493" s="100"/>
    </row>
    <row r="3494" spans="1:26">
      <c r="A3494" s="100"/>
      <c r="B3494" s="100"/>
      <c r="C3494" s="100"/>
      <c r="D3494" s="100"/>
      <c r="E3494" s="100"/>
      <c r="F3494" s="100"/>
      <c r="G3494" s="100"/>
      <c r="H3494" s="100"/>
      <c r="I3494" s="100"/>
      <c r="J3494" s="100"/>
      <c r="K3494" s="100"/>
      <c r="L3494" s="100"/>
      <c r="M3494" s="100"/>
      <c r="N3494" s="100"/>
      <c r="O3494" s="100"/>
      <c r="P3494" s="100"/>
      <c r="Q3494" s="100"/>
      <c r="R3494" s="100"/>
      <c r="S3494" s="100"/>
      <c r="T3494" s="100"/>
      <c r="U3494" s="100"/>
      <c r="V3494" s="100"/>
      <c r="W3494" s="100"/>
      <c r="X3494" s="100"/>
      <c r="Y3494" s="100"/>
      <c r="Z3494" s="100"/>
    </row>
    <row r="3495" spans="1:26">
      <c r="A3495" s="100"/>
      <c r="B3495" s="100"/>
      <c r="C3495" s="100"/>
      <c r="D3495" s="100"/>
      <c r="E3495" s="100"/>
      <c r="F3495" s="100"/>
      <c r="G3495" s="100"/>
      <c r="H3495" s="100"/>
      <c r="I3495" s="100"/>
      <c r="J3495" s="100"/>
      <c r="K3495" s="100"/>
      <c r="L3495" s="100"/>
      <c r="M3495" s="100"/>
      <c r="N3495" s="100"/>
      <c r="O3495" s="100"/>
      <c r="P3495" s="100"/>
      <c r="Q3495" s="100"/>
      <c r="R3495" s="100"/>
      <c r="S3495" s="100"/>
      <c r="T3495" s="100"/>
      <c r="U3495" s="100"/>
      <c r="V3495" s="100"/>
      <c r="W3495" s="100"/>
      <c r="X3495" s="100"/>
      <c r="Y3495" s="100"/>
      <c r="Z3495" s="100"/>
    </row>
    <row r="3496" spans="1:26">
      <c r="A3496" s="100"/>
      <c r="B3496" s="100"/>
      <c r="C3496" s="100"/>
      <c r="D3496" s="100"/>
      <c r="E3496" s="100"/>
      <c r="F3496" s="100"/>
      <c r="G3496" s="100"/>
      <c r="H3496" s="100"/>
      <c r="I3496" s="100"/>
      <c r="J3496" s="100"/>
      <c r="K3496" s="100"/>
      <c r="L3496" s="100"/>
      <c r="M3496" s="100"/>
      <c r="N3496" s="100"/>
      <c r="O3496" s="100"/>
      <c r="P3496" s="100"/>
      <c r="Q3496" s="100"/>
      <c r="R3496" s="100"/>
      <c r="S3496" s="100"/>
      <c r="T3496" s="100"/>
      <c r="U3496" s="100"/>
      <c r="V3496" s="100"/>
      <c r="W3496" s="100"/>
      <c r="X3496" s="100"/>
      <c r="Y3496" s="100"/>
      <c r="Z3496" s="100"/>
    </row>
    <row r="3497" spans="1:26">
      <c r="A3497" s="100"/>
      <c r="B3497" s="100"/>
      <c r="C3497" s="100"/>
      <c r="D3497" s="100"/>
      <c r="E3497" s="100"/>
      <c r="F3497" s="100"/>
      <c r="G3497" s="100"/>
      <c r="H3497" s="100"/>
      <c r="I3497" s="100"/>
      <c r="J3497" s="100"/>
      <c r="K3497" s="100"/>
      <c r="L3497" s="100"/>
      <c r="M3497" s="100"/>
      <c r="N3497" s="100"/>
      <c r="O3497" s="100"/>
      <c r="P3497" s="100"/>
      <c r="Q3497" s="100"/>
      <c r="R3497" s="100"/>
      <c r="S3497" s="100"/>
      <c r="T3497" s="100"/>
      <c r="U3497" s="100"/>
      <c r="V3497" s="100"/>
      <c r="W3497" s="100"/>
      <c r="X3497" s="100"/>
      <c r="Y3497" s="100"/>
      <c r="Z3497" s="100"/>
    </row>
    <row r="3498" spans="1:26">
      <c r="A3498" s="100"/>
      <c r="B3498" s="100"/>
      <c r="C3498" s="100"/>
      <c r="D3498" s="100"/>
      <c r="E3498" s="100"/>
      <c r="F3498" s="100"/>
      <c r="G3498" s="100"/>
      <c r="H3498" s="100"/>
      <c r="I3498" s="100"/>
      <c r="J3498" s="100"/>
      <c r="K3498" s="100"/>
      <c r="L3498" s="100"/>
      <c r="M3498" s="100"/>
      <c r="N3498" s="100"/>
      <c r="O3498" s="100"/>
      <c r="P3498" s="100"/>
      <c r="Q3498" s="100"/>
      <c r="R3498" s="100"/>
      <c r="S3498" s="100"/>
      <c r="T3498" s="100"/>
      <c r="U3498" s="100"/>
      <c r="V3498" s="100"/>
      <c r="W3498" s="100"/>
      <c r="X3498" s="100"/>
      <c r="Y3498" s="100"/>
      <c r="Z3498" s="100"/>
    </row>
    <row r="3499" spans="1:26">
      <c r="A3499" s="100"/>
      <c r="B3499" s="100"/>
      <c r="C3499" s="100"/>
      <c r="D3499" s="100"/>
      <c r="E3499" s="100"/>
      <c r="F3499" s="100"/>
      <c r="G3499" s="100"/>
      <c r="H3499" s="100"/>
      <c r="I3499" s="100"/>
      <c r="J3499" s="100"/>
      <c r="K3499" s="100"/>
      <c r="L3499" s="100"/>
      <c r="M3499" s="100"/>
      <c r="N3499" s="100"/>
      <c r="O3499" s="100"/>
      <c r="P3499" s="100"/>
      <c r="Q3499" s="100"/>
      <c r="R3499" s="100"/>
      <c r="S3499" s="100"/>
      <c r="T3499" s="100"/>
      <c r="U3499" s="100"/>
      <c r="V3499" s="100"/>
      <c r="W3499" s="100"/>
      <c r="X3499" s="100"/>
      <c r="Y3499" s="100"/>
      <c r="Z3499" s="100"/>
    </row>
    <row r="3500" spans="1:26">
      <c r="A3500" s="100"/>
      <c r="B3500" s="100"/>
      <c r="C3500" s="100"/>
      <c r="D3500" s="100"/>
      <c r="E3500" s="100"/>
      <c r="F3500" s="100"/>
      <c r="G3500" s="100"/>
      <c r="H3500" s="100"/>
      <c r="I3500" s="100"/>
      <c r="J3500" s="100"/>
      <c r="K3500" s="100"/>
      <c r="L3500" s="100"/>
      <c r="M3500" s="100"/>
      <c r="N3500" s="100"/>
      <c r="O3500" s="100"/>
      <c r="P3500" s="100"/>
      <c r="Q3500" s="100"/>
      <c r="R3500" s="100"/>
      <c r="S3500" s="100"/>
      <c r="T3500" s="100"/>
      <c r="U3500" s="100"/>
      <c r="V3500" s="100"/>
      <c r="W3500" s="100"/>
      <c r="X3500" s="100"/>
      <c r="Y3500" s="100"/>
      <c r="Z3500" s="100"/>
    </row>
    <row r="3501" spans="1:26">
      <c r="A3501" s="100"/>
      <c r="B3501" s="100"/>
      <c r="C3501" s="100"/>
      <c r="D3501" s="100"/>
      <c r="E3501" s="100"/>
      <c r="F3501" s="100"/>
      <c r="G3501" s="100"/>
      <c r="H3501" s="100"/>
      <c r="I3501" s="100"/>
      <c r="J3501" s="100"/>
      <c r="K3501" s="100"/>
      <c r="L3501" s="100"/>
      <c r="M3501" s="100"/>
      <c r="N3501" s="100"/>
      <c r="O3501" s="100"/>
      <c r="P3501" s="100"/>
      <c r="Q3501" s="100"/>
      <c r="R3501" s="100"/>
      <c r="S3501" s="100"/>
      <c r="T3501" s="100"/>
      <c r="U3501" s="100"/>
      <c r="V3501" s="100"/>
      <c r="W3501" s="100"/>
      <c r="X3501" s="100"/>
      <c r="Y3501" s="100"/>
      <c r="Z3501" s="100"/>
    </row>
    <row r="3502" spans="1:26">
      <c r="A3502" s="100"/>
      <c r="B3502" s="100"/>
      <c r="C3502" s="100"/>
      <c r="D3502" s="100"/>
      <c r="E3502" s="100"/>
      <c r="F3502" s="100"/>
      <c r="G3502" s="100"/>
      <c r="H3502" s="100"/>
      <c r="I3502" s="100"/>
      <c r="J3502" s="100"/>
      <c r="K3502" s="100"/>
      <c r="L3502" s="100"/>
      <c r="M3502" s="100"/>
      <c r="N3502" s="100"/>
      <c r="O3502" s="100"/>
      <c r="P3502" s="100"/>
      <c r="Q3502" s="100"/>
      <c r="R3502" s="100"/>
      <c r="S3502" s="100"/>
      <c r="T3502" s="100"/>
      <c r="U3502" s="100"/>
      <c r="V3502" s="100"/>
      <c r="W3502" s="100"/>
      <c r="X3502" s="100"/>
      <c r="Y3502" s="100"/>
      <c r="Z3502" s="100"/>
    </row>
    <row r="3503" spans="1:26">
      <c r="A3503" s="100"/>
      <c r="B3503" s="100"/>
      <c r="C3503" s="100"/>
      <c r="D3503" s="100"/>
      <c r="E3503" s="100"/>
      <c r="F3503" s="100"/>
      <c r="G3503" s="100"/>
      <c r="H3503" s="100"/>
      <c r="I3503" s="100"/>
      <c r="J3503" s="100"/>
      <c r="K3503" s="100"/>
      <c r="L3503" s="100"/>
      <c r="M3503" s="100"/>
      <c r="N3503" s="100"/>
      <c r="O3503" s="100"/>
      <c r="P3503" s="100"/>
      <c r="Q3503" s="100"/>
      <c r="R3503" s="100"/>
      <c r="S3503" s="100"/>
      <c r="T3503" s="100"/>
      <c r="U3503" s="100"/>
      <c r="V3503" s="100"/>
      <c r="W3503" s="100"/>
      <c r="X3503" s="100"/>
      <c r="Y3503" s="100"/>
      <c r="Z3503" s="100"/>
    </row>
    <row r="3504" spans="1:26">
      <c r="A3504" s="100"/>
      <c r="B3504" s="100"/>
      <c r="C3504" s="100"/>
      <c r="D3504" s="100"/>
      <c r="E3504" s="100"/>
      <c r="F3504" s="100"/>
      <c r="G3504" s="100"/>
      <c r="H3504" s="100"/>
      <c r="I3504" s="100"/>
      <c r="J3504" s="100"/>
      <c r="K3504" s="100"/>
      <c r="L3504" s="100"/>
      <c r="M3504" s="100"/>
      <c r="N3504" s="100"/>
      <c r="O3504" s="100"/>
      <c r="P3504" s="100"/>
      <c r="Q3504" s="100"/>
      <c r="R3504" s="100"/>
      <c r="S3504" s="100"/>
      <c r="T3504" s="100"/>
      <c r="U3504" s="100"/>
      <c r="V3504" s="100"/>
      <c r="W3504" s="100"/>
      <c r="X3504" s="100"/>
      <c r="Y3504" s="100"/>
      <c r="Z3504" s="100"/>
    </row>
    <row r="3505" spans="1:26">
      <c r="A3505" s="100"/>
      <c r="B3505" s="100"/>
      <c r="C3505" s="100"/>
      <c r="D3505" s="100"/>
      <c r="E3505" s="100"/>
      <c r="F3505" s="100"/>
      <c r="G3505" s="100"/>
      <c r="H3505" s="100"/>
      <c r="I3505" s="100"/>
      <c r="J3505" s="100"/>
      <c r="K3505" s="100"/>
      <c r="L3505" s="100"/>
      <c r="M3505" s="100"/>
      <c r="N3505" s="100"/>
      <c r="O3505" s="100"/>
      <c r="P3505" s="100"/>
      <c r="Q3505" s="100"/>
      <c r="R3505" s="100"/>
      <c r="S3505" s="100"/>
      <c r="T3505" s="100"/>
      <c r="U3505" s="100"/>
      <c r="V3505" s="100"/>
      <c r="W3505" s="100"/>
      <c r="X3505" s="100"/>
      <c r="Y3505" s="100"/>
      <c r="Z3505" s="100"/>
    </row>
    <row r="3506" spans="1:26">
      <c r="A3506" s="100"/>
      <c r="B3506" s="100"/>
      <c r="C3506" s="100"/>
      <c r="D3506" s="100"/>
      <c r="E3506" s="100"/>
      <c r="F3506" s="100"/>
      <c r="G3506" s="100"/>
      <c r="H3506" s="100"/>
      <c r="I3506" s="100"/>
      <c r="J3506" s="100"/>
      <c r="K3506" s="100"/>
      <c r="L3506" s="100"/>
      <c r="M3506" s="100"/>
      <c r="N3506" s="100"/>
      <c r="O3506" s="100"/>
      <c r="P3506" s="100"/>
      <c r="Q3506" s="100"/>
      <c r="R3506" s="100"/>
      <c r="S3506" s="100"/>
      <c r="T3506" s="100"/>
      <c r="U3506" s="100"/>
      <c r="V3506" s="100"/>
      <c r="W3506" s="100"/>
      <c r="X3506" s="100"/>
      <c r="Y3506" s="100"/>
      <c r="Z3506" s="100"/>
    </row>
    <row r="3507" spans="1:26">
      <c r="A3507" s="100"/>
      <c r="B3507" s="100"/>
      <c r="C3507" s="100"/>
      <c r="D3507" s="100"/>
      <c r="E3507" s="100"/>
      <c r="F3507" s="100"/>
      <c r="G3507" s="100"/>
      <c r="H3507" s="100"/>
      <c r="I3507" s="100"/>
      <c r="J3507" s="100"/>
      <c r="K3507" s="100"/>
      <c r="L3507" s="100"/>
      <c r="M3507" s="100"/>
      <c r="N3507" s="100"/>
      <c r="O3507" s="100"/>
      <c r="P3507" s="100"/>
      <c r="Q3507" s="100"/>
      <c r="R3507" s="100"/>
      <c r="S3507" s="100"/>
      <c r="T3507" s="100"/>
      <c r="U3507" s="100"/>
      <c r="V3507" s="100"/>
      <c r="W3507" s="100"/>
      <c r="X3507" s="100"/>
      <c r="Y3507" s="100"/>
      <c r="Z3507" s="100"/>
    </row>
    <row r="3508" spans="1:26">
      <c r="A3508" s="100"/>
      <c r="B3508" s="100"/>
      <c r="C3508" s="100"/>
      <c r="D3508" s="100"/>
      <c r="E3508" s="100"/>
      <c r="F3508" s="100"/>
      <c r="G3508" s="100"/>
      <c r="H3508" s="100"/>
      <c r="I3508" s="100"/>
      <c r="J3508" s="100"/>
      <c r="K3508" s="100"/>
      <c r="L3508" s="100"/>
      <c r="M3508" s="100"/>
      <c r="N3508" s="100"/>
      <c r="O3508" s="100"/>
      <c r="P3508" s="100"/>
      <c r="Q3508" s="100"/>
      <c r="R3508" s="100"/>
      <c r="S3508" s="100"/>
      <c r="T3508" s="100"/>
      <c r="U3508" s="100"/>
      <c r="V3508" s="100"/>
      <c r="W3508" s="100"/>
      <c r="X3508" s="100"/>
      <c r="Y3508" s="100"/>
      <c r="Z3508" s="100"/>
    </row>
    <row r="3509" spans="1:26">
      <c r="A3509" s="100"/>
      <c r="B3509" s="100"/>
      <c r="C3509" s="100"/>
      <c r="D3509" s="100"/>
      <c r="E3509" s="100"/>
      <c r="F3509" s="100"/>
      <c r="G3509" s="100"/>
      <c r="H3509" s="100"/>
      <c r="I3509" s="100"/>
      <c r="J3509" s="100"/>
      <c r="K3509" s="100"/>
      <c r="L3509" s="100"/>
      <c r="M3509" s="100"/>
      <c r="N3509" s="100"/>
      <c r="O3509" s="100"/>
      <c r="P3509" s="100"/>
      <c r="Q3509" s="100"/>
      <c r="R3509" s="100"/>
      <c r="S3509" s="100"/>
      <c r="T3509" s="100"/>
      <c r="U3509" s="100"/>
      <c r="V3509" s="100"/>
      <c r="W3509" s="100"/>
      <c r="X3509" s="100"/>
      <c r="Y3509" s="100"/>
      <c r="Z3509" s="100"/>
    </row>
    <row r="3510" spans="1:26">
      <c r="A3510" s="100"/>
      <c r="B3510" s="100"/>
      <c r="C3510" s="100"/>
      <c r="D3510" s="100"/>
      <c r="E3510" s="100"/>
      <c r="F3510" s="100"/>
      <c r="G3510" s="100"/>
      <c r="H3510" s="100"/>
      <c r="I3510" s="100"/>
      <c r="J3510" s="100"/>
      <c r="K3510" s="100"/>
      <c r="L3510" s="100"/>
      <c r="M3510" s="100"/>
      <c r="N3510" s="100"/>
      <c r="O3510" s="100"/>
      <c r="P3510" s="100"/>
      <c r="Q3510" s="100"/>
      <c r="R3510" s="100"/>
      <c r="S3510" s="100"/>
      <c r="T3510" s="100"/>
      <c r="U3510" s="100"/>
      <c r="V3510" s="100"/>
      <c r="W3510" s="100"/>
      <c r="X3510" s="100"/>
      <c r="Y3510" s="100"/>
      <c r="Z3510" s="100"/>
    </row>
    <row r="3511" spans="1:26">
      <c r="A3511" s="100"/>
      <c r="B3511" s="100"/>
      <c r="C3511" s="100"/>
      <c r="D3511" s="100"/>
      <c r="E3511" s="100"/>
      <c r="F3511" s="100"/>
      <c r="G3511" s="100"/>
      <c r="H3511" s="100"/>
      <c r="I3511" s="100"/>
      <c r="J3511" s="100"/>
      <c r="K3511" s="100"/>
      <c r="L3511" s="100"/>
      <c r="M3511" s="100"/>
      <c r="N3511" s="100"/>
      <c r="O3511" s="100"/>
      <c r="P3511" s="100"/>
      <c r="Q3511" s="100"/>
      <c r="R3511" s="100"/>
      <c r="S3511" s="100"/>
      <c r="T3511" s="100"/>
      <c r="U3511" s="100"/>
      <c r="V3511" s="100"/>
      <c r="W3511" s="100"/>
      <c r="X3511" s="100"/>
      <c r="Y3511" s="100"/>
      <c r="Z3511" s="100"/>
    </row>
    <row r="3512" spans="1:26">
      <c r="A3512" s="100"/>
      <c r="B3512" s="100"/>
      <c r="C3512" s="100"/>
      <c r="D3512" s="100"/>
      <c r="E3512" s="100"/>
      <c r="F3512" s="100"/>
      <c r="G3512" s="100"/>
      <c r="H3512" s="100"/>
      <c r="I3512" s="100"/>
      <c r="J3512" s="100"/>
      <c r="K3512" s="100"/>
      <c r="L3512" s="100"/>
      <c r="M3512" s="100"/>
      <c r="N3512" s="100"/>
      <c r="O3512" s="100"/>
      <c r="P3512" s="100"/>
      <c r="Q3512" s="100"/>
      <c r="R3512" s="100"/>
      <c r="S3512" s="100"/>
      <c r="T3512" s="100"/>
      <c r="U3512" s="100"/>
      <c r="V3512" s="100"/>
      <c r="W3512" s="100"/>
      <c r="X3512" s="100"/>
      <c r="Y3512" s="100"/>
      <c r="Z3512" s="100"/>
    </row>
    <row r="3513" spans="1:26">
      <c r="A3513" s="100"/>
      <c r="B3513" s="100"/>
      <c r="C3513" s="100"/>
      <c r="D3513" s="100"/>
      <c r="E3513" s="100"/>
      <c r="F3513" s="100"/>
      <c r="G3513" s="100"/>
      <c r="H3513" s="100"/>
      <c r="I3513" s="100"/>
      <c r="J3513" s="100"/>
      <c r="K3513" s="100"/>
      <c r="L3513" s="100"/>
      <c r="M3513" s="100"/>
      <c r="N3513" s="100"/>
      <c r="O3513" s="100"/>
      <c r="P3513" s="100"/>
      <c r="Q3513" s="100"/>
      <c r="R3513" s="100"/>
      <c r="S3513" s="100"/>
      <c r="T3513" s="100"/>
      <c r="U3513" s="100"/>
      <c r="V3513" s="100"/>
      <c r="W3513" s="100"/>
      <c r="X3513" s="100"/>
      <c r="Y3513" s="100"/>
      <c r="Z3513" s="100"/>
    </row>
    <row r="3514" spans="1:26">
      <c r="A3514" s="100"/>
      <c r="B3514" s="100"/>
      <c r="C3514" s="100"/>
      <c r="D3514" s="100"/>
      <c r="E3514" s="100"/>
      <c r="F3514" s="100"/>
      <c r="G3514" s="100"/>
      <c r="H3514" s="100"/>
      <c r="I3514" s="100"/>
      <c r="J3514" s="100"/>
      <c r="K3514" s="100"/>
      <c r="L3514" s="100"/>
      <c r="M3514" s="100"/>
      <c r="N3514" s="100"/>
      <c r="O3514" s="100"/>
      <c r="P3514" s="100"/>
      <c r="Q3514" s="100"/>
      <c r="R3514" s="100"/>
      <c r="S3514" s="100"/>
      <c r="T3514" s="100"/>
      <c r="U3514" s="100"/>
      <c r="V3514" s="100"/>
      <c r="W3514" s="100"/>
      <c r="X3514" s="100"/>
      <c r="Y3514" s="100"/>
      <c r="Z3514" s="100"/>
    </row>
    <row r="3515" spans="1:26">
      <c r="A3515" s="100"/>
      <c r="B3515" s="100"/>
      <c r="C3515" s="100"/>
      <c r="D3515" s="100"/>
      <c r="E3515" s="100"/>
      <c r="F3515" s="100"/>
      <c r="G3515" s="100"/>
      <c r="H3515" s="100"/>
      <c r="I3515" s="100"/>
      <c r="J3515" s="100"/>
      <c r="K3515" s="100"/>
      <c r="L3515" s="100"/>
      <c r="M3515" s="100"/>
      <c r="N3515" s="100"/>
      <c r="O3515" s="100"/>
      <c r="P3515" s="100"/>
      <c r="Q3515" s="100"/>
      <c r="R3515" s="100"/>
      <c r="S3515" s="100"/>
      <c r="T3515" s="100"/>
      <c r="U3515" s="100"/>
      <c r="V3515" s="100"/>
      <c r="W3515" s="100"/>
      <c r="X3515" s="100"/>
      <c r="Y3515" s="100"/>
      <c r="Z3515" s="100"/>
    </row>
    <row r="3516" spans="1:26">
      <c r="A3516" s="100"/>
      <c r="B3516" s="100"/>
      <c r="C3516" s="100"/>
      <c r="D3516" s="100"/>
      <c r="E3516" s="100"/>
      <c r="F3516" s="100"/>
      <c r="G3516" s="100"/>
      <c r="H3516" s="100"/>
      <c r="I3516" s="100"/>
      <c r="J3516" s="100"/>
      <c r="K3516" s="100"/>
      <c r="L3516" s="100"/>
      <c r="M3516" s="100"/>
      <c r="N3516" s="100"/>
      <c r="O3516" s="100"/>
      <c r="P3516" s="100"/>
      <c r="Q3516" s="100"/>
      <c r="R3516" s="100"/>
      <c r="S3516" s="100"/>
      <c r="T3516" s="100"/>
      <c r="U3516" s="100"/>
      <c r="V3516" s="100"/>
      <c r="W3516" s="100"/>
      <c r="X3516" s="100"/>
      <c r="Y3516" s="100"/>
      <c r="Z3516" s="100"/>
    </row>
    <row r="3517" spans="1:26">
      <c r="A3517" s="100"/>
      <c r="B3517" s="100"/>
      <c r="C3517" s="100"/>
      <c r="D3517" s="100"/>
      <c r="E3517" s="100"/>
      <c r="F3517" s="100"/>
      <c r="G3517" s="100"/>
      <c r="H3517" s="100"/>
      <c r="I3517" s="100"/>
      <c r="J3517" s="100"/>
      <c r="K3517" s="100"/>
      <c r="L3517" s="100"/>
      <c r="M3517" s="100"/>
      <c r="N3517" s="100"/>
      <c r="O3517" s="100"/>
      <c r="P3517" s="100"/>
      <c r="Q3517" s="100"/>
      <c r="R3517" s="100"/>
      <c r="S3517" s="100"/>
      <c r="T3517" s="100"/>
      <c r="U3517" s="100"/>
      <c r="V3517" s="100"/>
      <c r="W3517" s="100"/>
      <c r="X3517" s="100"/>
      <c r="Y3517" s="100"/>
      <c r="Z3517" s="100"/>
    </row>
    <row r="3518" spans="1:26">
      <c r="A3518" s="100"/>
      <c r="B3518" s="100"/>
      <c r="C3518" s="100"/>
      <c r="D3518" s="100"/>
      <c r="E3518" s="100"/>
      <c r="F3518" s="100"/>
      <c r="G3518" s="100"/>
      <c r="H3518" s="100"/>
      <c r="I3518" s="100"/>
      <c r="J3518" s="100"/>
      <c r="K3518" s="100"/>
      <c r="L3518" s="100"/>
      <c r="M3518" s="100"/>
      <c r="N3518" s="100"/>
      <c r="O3518" s="100"/>
      <c r="P3518" s="100"/>
      <c r="Q3518" s="100"/>
      <c r="R3518" s="100"/>
      <c r="S3518" s="100"/>
      <c r="T3518" s="100"/>
      <c r="U3518" s="100"/>
      <c r="V3518" s="100"/>
      <c r="W3518" s="100"/>
      <c r="X3518" s="100"/>
      <c r="Y3518" s="100"/>
      <c r="Z3518" s="100"/>
    </row>
    <row r="3519" spans="1:26">
      <c r="A3519" s="100"/>
      <c r="B3519" s="100"/>
      <c r="C3519" s="100"/>
      <c r="D3519" s="100"/>
      <c r="E3519" s="100"/>
      <c r="F3519" s="100"/>
      <c r="G3519" s="100"/>
      <c r="H3519" s="100"/>
      <c r="I3519" s="100"/>
      <c r="J3519" s="100"/>
      <c r="K3519" s="100"/>
      <c r="L3519" s="100"/>
      <c r="M3519" s="100"/>
      <c r="N3519" s="100"/>
      <c r="O3519" s="100"/>
      <c r="P3519" s="100"/>
      <c r="Q3519" s="100"/>
      <c r="R3519" s="100"/>
      <c r="S3519" s="100"/>
      <c r="T3519" s="100"/>
      <c r="U3519" s="100"/>
      <c r="V3519" s="100"/>
      <c r="W3519" s="100"/>
      <c r="X3519" s="100"/>
      <c r="Y3519" s="100"/>
      <c r="Z3519" s="100"/>
    </row>
    <row r="3520" spans="1:26">
      <c r="A3520" s="100"/>
      <c r="B3520" s="100"/>
      <c r="C3520" s="100"/>
      <c r="D3520" s="100"/>
      <c r="E3520" s="100"/>
      <c r="F3520" s="100"/>
      <c r="G3520" s="100"/>
      <c r="H3520" s="100"/>
      <c r="I3520" s="100"/>
      <c r="J3520" s="100"/>
      <c r="K3520" s="100"/>
      <c r="L3520" s="100"/>
      <c r="M3520" s="100"/>
      <c r="N3520" s="100"/>
      <c r="O3520" s="100"/>
      <c r="P3520" s="100"/>
      <c r="Q3520" s="100"/>
      <c r="R3520" s="100"/>
      <c r="S3520" s="100"/>
      <c r="T3520" s="100"/>
      <c r="U3520" s="100"/>
      <c r="V3520" s="100"/>
      <c r="W3520" s="100"/>
      <c r="X3520" s="100"/>
      <c r="Y3520" s="100"/>
      <c r="Z3520" s="100"/>
    </row>
    <row r="3521" spans="1:26">
      <c r="A3521" s="100"/>
      <c r="B3521" s="100"/>
      <c r="C3521" s="100"/>
      <c r="D3521" s="100"/>
      <c r="E3521" s="100"/>
      <c r="F3521" s="100"/>
      <c r="G3521" s="100"/>
      <c r="H3521" s="100"/>
      <c r="I3521" s="100"/>
      <c r="J3521" s="100"/>
      <c r="K3521" s="100"/>
      <c r="L3521" s="100"/>
      <c r="M3521" s="100"/>
      <c r="N3521" s="100"/>
      <c r="O3521" s="100"/>
      <c r="P3521" s="100"/>
      <c r="Q3521" s="100"/>
      <c r="R3521" s="100"/>
      <c r="S3521" s="100"/>
      <c r="T3521" s="100"/>
      <c r="U3521" s="100"/>
      <c r="V3521" s="100"/>
      <c r="W3521" s="100"/>
      <c r="X3521" s="100"/>
      <c r="Y3521" s="100"/>
      <c r="Z3521" s="100"/>
    </row>
    <row r="3522" spans="1:26">
      <c r="A3522" s="100"/>
      <c r="B3522" s="100"/>
      <c r="C3522" s="100"/>
      <c r="D3522" s="100"/>
      <c r="E3522" s="100"/>
      <c r="F3522" s="100"/>
      <c r="G3522" s="100"/>
      <c r="H3522" s="100"/>
      <c r="I3522" s="100"/>
      <c r="J3522" s="100"/>
      <c r="K3522" s="100"/>
      <c r="L3522" s="100"/>
      <c r="M3522" s="100"/>
      <c r="N3522" s="100"/>
      <c r="O3522" s="100"/>
      <c r="P3522" s="100"/>
      <c r="Q3522" s="100"/>
      <c r="R3522" s="100"/>
      <c r="S3522" s="100"/>
      <c r="T3522" s="100"/>
      <c r="U3522" s="100"/>
      <c r="V3522" s="100"/>
      <c r="W3522" s="100"/>
      <c r="X3522" s="100"/>
      <c r="Y3522" s="100"/>
      <c r="Z3522" s="100"/>
    </row>
    <row r="3523" spans="1:26">
      <c r="A3523" s="100"/>
      <c r="B3523" s="100"/>
      <c r="C3523" s="100"/>
      <c r="D3523" s="100"/>
      <c r="E3523" s="100"/>
      <c r="F3523" s="100"/>
      <c r="G3523" s="100"/>
      <c r="H3523" s="100"/>
      <c r="I3523" s="100"/>
      <c r="J3523" s="100"/>
      <c r="K3523" s="100"/>
      <c r="L3523" s="100"/>
      <c r="M3523" s="100"/>
      <c r="N3523" s="100"/>
      <c r="O3523" s="100"/>
      <c r="P3523" s="100"/>
      <c r="Q3523" s="100"/>
      <c r="R3523" s="100"/>
      <c r="S3523" s="100"/>
      <c r="T3523" s="100"/>
      <c r="U3523" s="100"/>
      <c r="V3523" s="100"/>
      <c r="W3523" s="100"/>
      <c r="X3523" s="100"/>
      <c r="Y3523" s="100"/>
      <c r="Z3523" s="100"/>
    </row>
    <row r="3524" spans="1:26">
      <c r="A3524" s="100"/>
      <c r="B3524" s="100"/>
      <c r="C3524" s="100"/>
      <c r="D3524" s="100"/>
      <c r="E3524" s="100"/>
      <c r="F3524" s="100"/>
      <c r="G3524" s="100"/>
      <c r="H3524" s="100"/>
      <c r="I3524" s="100"/>
      <c r="J3524" s="100"/>
      <c r="K3524" s="100"/>
      <c r="L3524" s="100"/>
      <c r="M3524" s="100"/>
      <c r="N3524" s="100"/>
      <c r="O3524" s="100"/>
      <c r="P3524" s="100"/>
      <c r="Q3524" s="100"/>
      <c r="R3524" s="100"/>
      <c r="S3524" s="100"/>
      <c r="T3524" s="100"/>
      <c r="U3524" s="100"/>
      <c r="V3524" s="100"/>
      <c r="W3524" s="100"/>
      <c r="X3524" s="100"/>
      <c r="Y3524" s="100"/>
      <c r="Z3524" s="100"/>
    </row>
    <row r="3525" spans="1:26">
      <c r="A3525" s="100"/>
      <c r="B3525" s="100"/>
      <c r="C3525" s="100"/>
      <c r="D3525" s="100"/>
      <c r="E3525" s="100"/>
      <c r="F3525" s="100"/>
      <c r="G3525" s="100"/>
      <c r="H3525" s="100"/>
      <c r="I3525" s="100"/>
      <c r="J3525" s="100"/>
      <c r="K3525" s="100"/>
      <c r="L3525" s="100"/>
      <c r="M3525" s="100"/>
      <c r="N3525" s="100"/>
      <c r="O3525" s="100"/>
      <c r="P3525" s="100"/>
      <c r="Q3525" s="100"/>
      <c r="R3525" s="100"/>
      <c r="S3525" s="100"/>
      <c r="T3525" s="100"/>
      <c r="U3525" s="100"/>
      <c r="V3525" s="100"/>
      <c r="W3525" s="100"/>
      <c r="X3525" s="100"/>
      <c r="Y3525" s="100"/>
      <c r="Z3525" s="100"/>
    </row>
    <row r="3526" spans="1:26">
      <c r="A3526" s="100"/>
      <c r="B3526" s="100"/>
      <c r="C3526" s="100"/>
      <c r="D3526" s="100"/>
      <c r="E3526" s="100"/>
      <c r="F3526" s="100"/>
      <c r="G3526" s="100"/>
      <c r="H3526" s="100"/>
      <c r="I3526" s="100"/>
      <c r="J3526" s="100"/>
      <c r="K3526" s="100"/>
      <c r="L3526" s="100"/>
      <c r="M3526" s="100"/>
      <c r="N3526" s="100"/>
      <c r="O3526" s="100"/>
      <c r="P3526" s="100"/>
      <c r="Q3526" s="100"/>
      <c r="R3526" s="100"/>
      <c r="S3526" s="100"/>
      <c r="T3526" s="100"/>
      <c r="U3526" s="100"/>
      <c r="V3526" s="100"/>
      <c r="W3526" s="100"/>
      <c r="X3526" s="100"/>
      <c r="Y3526" s="100"/>
      <c r="Z3526" s="100"/>
    </row>
    <row r="3527" spans="1:26">
      <c r="A3527" s="100"/>
      <c r="B3527" s="100"/>
      <c r="C3527" s="100"/>
      <c r="D3527" s="100"/>
      <c r="E3527" s="100"/>
      <c r="F3527" s="100"/>
      <c r="G3527" s="100"/>
      <c r="H3527" s="100"/>
      <c r="I3527" s="100"/>
      <c r="J3527" s="100"/>
      <c r="K3527" s="100"/>
      <c r="L3527" s="100"/>
      <c r="M3527" s="100"/>
      <c r="N3527" s="100"/>
      <c r="O3527" s="100"/>
      <c r="P3527" s="100"/>
      <c r="Q3527" s="100"/>
      <c r="R3527" s="100"/>
      <c r="S3527" s="100"/>
      <c r="T3527" s="100"/>
      <c r="U3527" s="100"/>
      <c r="V3527" s="100"/>
      <c r="W3527" s="100"/>
      <c r="X3527" s="100"/>
      <c r="Y3527" s="100"/>
      <c r="Z3527" s="100"/>
    </row>
    <row r="3528" spans="1:26">
      <c r="A3528" s="100"/>
      <c r="B3528" s="100"/>
      <c r="C3528" s="100"/>
      <c r="D3528" s="100"/>
      <c r="E3528" s="100"/>
      <c r="F3528" s="100"/>
      <c r="G3528" s="100"/>
      <c r="H3528" s="100"/>
      <c r="I3528" s="100"/>
      <c r="J3528" s="100"/>
      <c r="K3528" s="100"/>
      <c r="L3528" s="100"/>
      <c r="M3528" s="100"/>
      <c r="N3528" s="100"/>
      <c r="O3528" s="100"/>
      <c r="P3528" s="100"/>
      <c r="Q3528" s="100"/>
      <c r="R3528" s="100"/>
      <c r="S3528" s="100"/>
      <c r="T3528" s="100"/>
      <c r="U3528" s="100"/>
      <c r="V3528" s="100"/>
      <c r="W3528" s="100"/>
      <c r="X3528" s="100"/>
      <c r="Y3528" s="100"/>
      <c r="Z3528" s="100"/>
    </row>
    <row r="3529" spans="1:26">
      <c r="A3529" s="100"/>
      <c r="B3529" s="100"/>
      <c r="C3529" s="100"/>
      <c r="D3529" s="100"/>
      <c r="E3529" s="100"/>
      <c r="F3529" s="100"/>
      <c r="G3529" s="100"/>
      <c r="H3529" s="100"/>
      <c r="I3529" s="100"/>
      <c r="J3529" s="100"/>
      <c r="K3529" s="100"/>
      <c r="L3529" s="100"/>
      <c r="M3529" s="100"/>
      <c r="N3529" s="100"/>
      <c r="O3529" s="100"/>
      <c r="P3529" s="100"/>
      <c r="Q3529" s="100"/>
      <c r="R3529" s="100"/>
      <c r="S3529" s="100"/>
      <c r="T3529" s="100"/>
      <c r="U3529" s="100"/>
      <c r="V3529" s="100"/>
      <c r="W3529" s="100"/>
      <c r="X3529" s="100"/>
      <c r="Y3529" s="100"/>
      <c r="Z3529" s="100"/>
    </row>
    <row r="3530" spans="1:26">
      <c r="A3530" s="100"/>
      <c r="B3530" s="100"/>
      <c r="C3530" s="100"/>
      <c r="D3530" s="100"/>
      <c r="E3530" s="100"/>
      <c r="F3530" s="100"/>
      <c r="G3530" s="100"/>
      <c r="H3530" s="100"/>
      <c r="I3530" s="100"/>
      <c r="J3530" s="100"/>
      <c r="K3530" s="100"/>
      <c r="L3530" s="100"/>
      <c r="M3530" s="100"/>
      <c r="N3530" s="100"/>
      <c r="O3530" s="100"/>
      <c r="P3530" s="100"/>
      <c r="Q3530" s="100"/>
      <c r="R3530" s="100"/>
      <c r="S3530" s="100"/>
      <c r="T3530" s="100"/>
      <c r="U3530" s="100"/>
      <c r="V3530" s="100"/>
      <c r="W3530" s="100"/>
      <c r="X3530" s="100"/>
      <c r="Y3530" s="100"/>
      <c r="Z3530" s="100"/>
    </row>
    <row r="3531" spans="1:26">
      <c r="A3531" s="100"/>
      <c r="B3531" s="100"/>
      <c r="C3531" s="100"/>
      <c r="D3531" s="100"/>
      <c r="E3531" s="100"/>
      <c r="F3531" s="100"/>
      <c r="G3531" s="100"/>
      <c r="H3531" s="100"/>
      <c r="I3531" s="100"/>
      <c r="J3531" s="100"/>
      <c r="K3531" s="100"/>
      <c r="L3531" s="100"/>
      <c r="M3531" s="100"/>
      <c r="N3531" s="100"/>
      <c r="O3531" s="100"/>
      <c r="P3531" s="100"/>
      <c r="Q3531" s="100"/>
      <c r="R3531" s="100"/>
      <c r="S3531" s="100"/>
      <c r="T3531" s="100"/>
      <c r="U3531" s="100"/>
      <c r="V3531" s="100"/>
      <c r="W3531" s="100"/>
      <c r="X3531" s="100"/>
      <c r="Y3531" s="100"/>
      <c r="Z3531" s="100"/>
    </row>
    <row r="3532" spans="1:26">
      <c r="A3532" s="100"/>
      <c r="B3532" s="100"/>
      <c r="C3532" s="100"/>
      <c r="D3532" s="100"/>
      <c r="E3532" s="100"/>
      <c r="F3532" s="100"/>
      <c r="G3532" s="100"/>
      <c r="H3532" s="100"/>
      <c r="I3532" s="100"/>
      <c r="J3532" s="100"/>
      <c r="K3532" s="100"/>
      <c r="L3532" s="100"/>
      <c r="M3532" s="100"/>
      <c r="N3532" s="100"/>
      <c r="O3532" s="100"/>
      <c r="P3532" s="100"/>
      <c r="Q3532" s="100"/>
      <c r="R3532" s="100"/>
      <c r="S3532" s="100"/>
      <c r="T3532" s="100"/>
      <c r="U3532" s="100"/>
      <c r="V3532" s="100"/>
      <c r="W3532" s="100"/>
      <c r="X3532" s="100"/>
      <c r="Y3532" s="100"/>
      <c r="Z3532" s="100"/>
    </row>
    <row r="3533" spans="1:26">
      <c r="A3533" s="100"/>
      <c r="B3533" s="100"/>
      <c r="C3533" s="100"/>
      <c r="D3533" s="100"/>
      <c r="E3533" s="100"/>
      <c r="F3533" s="100"/>
      <c r="G3533" s="100"/>
      <c r="H3533" s="100"/>
      <c r="I3533" s="100"/>
      <c r="J3533" s="100"/>
      <c r="K3533" s="100"/>
      <c r="L3533" s="100"/>
      <c r="M3533" s="100"/>
      <c r="N3533" s="100"/>
      <c r="O3533" s="100"/>
      <c r="P3533" s="100"/>
      <c r="Q3533" s="100"/>
      <c r="R3533" s="100"/>
      <c r="S3533" s="100"/>
      <c r="T3533" s="100"/>
      <c r="U3533" s="100"/>
      <c r="V3533" s="100"/>
      <c r="W3533" s="100"/>
      <c r="X3533" s="100"/>
      <c r="Y3533" s="100"/>
      <c r="Z3533" s="100"/>
    </row>
    <row r="3534" spans="1:26">
      <c r="A3534" s="100"/>
      <c r="B3534" s="100"/>
      <c r="C3534" s="100"/>
      <c r="D3534" s="100"/>
      <c r="E3534" s="100"/>
      <c r="F3534" s="100"/>
      <c r="G3534" s="100"/>
      <c r="H3534" s="100"/>
      <c r="I3534" s="100"/>
      <c r="J3534" s="100"/>
      <c r="K3534" s="100"/>
      <c r="L3534" s="100"/>
      <c r="M3534" s="100"/>
      <c r="N3534" s="100"/>
      <c r="O3534" s="100"/>
      <c r="P3534" s="100"/>
      <c r="Q3534" s="100"/>
      <c r="R3534" s="100"/>
      <c r="S3534" s="100"/>
      <c r="T3534" s="100"/>
      <c r="U3534" s="100"/>
      <c r="V3534" s="100"/>
      <c r="W3534" s="100"/>
      <c r="X3534" s="100"/>
      <c r="Y3534" s="100"/>
      <c r="Z3534" s="100"/>
    </row>
    <row r="3535" spans="1:26">
      <c r="A3535" s="100"/>
      <c r="B3535" s="100"/>
      <c r="C3535" s="100"/>
      <c r="D3535" s="100"/>
      <c r="E3535" s="100"/>
      <c r="F3535" s="100"/>
      <c r="G3535" s="100"/>
      <c r="H3535" s="100"/>
      <c r="I3535" s="100"/>
      <c r="J3535" s="100"/>
      <c r="K3535" s="100"/>
      <c r="L3535" s="100"/>
      <c r="M3535" s="100"/>
      <c r="N3535" s="100"/>
      <c r="O3535" s="100"/>
      <c r="P3535" s="100"/>
      <c r="Q3535" s="100"/>
      <c r="R3535" s="100"/>
      <c r="S3535" s="100"/>
      <c r="T3535" s="100"/>
      <c r="U3535" s="100"/>
      <c r="V3535" s="100"/>
      <c r="W3535" s="100"/>
      <c r="X3535" s="100"/>
      <c r="Y3535" s="100"/>
      <c r="Z3535" s="100"/>
    </row>
    <row r="3536" spans="1:26">
      <c r="A3536" s="100"/>
      <c r="B3536" s="100"/>
      <c r="C3536" s="100"/>
      <c r="D3536" s="100"/>
      <c r="E3536" s="100"/>
      <c r="F3536" s="100"/>
      <c r="G3536" s="100"/>
      <c r="H3536" s="100"/>
      <c r="I3536" s="100"/>
      <c r="J3536" s="100"/>
      <c r="K3536" s="100"/>
      <c r="L3536" s="100"/>
      <c r="M3536" s="100"/>
      <c r="N3536" s="100"/>
      <c r="O3536" s="100"/>
      <c r="P3536" s="100"/>
      <c r="Q3536" s="100"/>
      <c r="R3536" s="100"/>
      <c r="S3536" s="100"/>
      <c r="T3536" s="100"/>
      <c r="U3536" s="100"/>
      <c r="V3536" s="100"/>
      <c r="W3536" s="100"/>
      <c r="X3536" s="100"/>
      <c r="Y3536" s="100"/>
      <c r="Z3536" s="100"/>
    </row>
    <row r="3537" spans="1:26">
      <c r="A3537" s="100"/>
      <c r="B3537" s="100"/>
      <c r="C3537" s="100"/>
      <c r="D3537" s="100"/>
      <c r="E3537" s="100"/>
      <c r="F3537" s="100"/>
      <c r="G3537" s="100"/>
      <c r="H3537" s="100"/>
      <c r="I3537" s="100"/>
      <c r="J3537" s="100"/>
      <c r="K3537" s="100"/>
      <c r="L3537" s="100"/>
      <c r="M3537" s="100"/>
      <c r="N3537" s="100"/>
      <c r="O3537" s="100"/>
      <c r="P3537" s="100"/>
      <c r="Q3537" s="100"/>
      <c r="R3537" s="100"/>
      <c r="S3537" s="100"/>
      <c r="T3537" s="100"/>
      <c r="U3537" s="100"/>
      <c r="V3537" s="100"/>
      <c r="W3537" s="100"/>
      <c r="X3537" s="100"/>
      <c r="Y3537" s="100"/>
      <c r="Z3537" s="100"/>
    </row>
    <row r="3538" spans="1:26">
      <c r="A3538" s="100"/>
      <c r="B3538" s="100"/>
      <c r="C3538" s="100"/>
      <c r="D3538" s="100"/>
      <c r="E3538" s="100"/>
      <c r="F3538" s="100"/>
      <c r="G3538" s="100"/>
      <c r="H3538" s="100"/>
      <c r="I3538" s="100"/>
      <c r="J3538" s="100"/>
      <c r="K3538" s="100"/>
      <c r="L3538" s="100"/>
      <c r="M3538" s="100"/>
      <c r="N3538" s="100"/>
      <c r="O3538" s="100"/>
      <c r="P3538" s="100"/>
      <c r="Q3538" s="100"/>
      <c r="R3538" s="100"/>
      <c r="S3538" s="100"/>
      <c r="T3538" s="100"/>
      <c r="U3538" s="100"/>
      <c r="V3538" s="100"/>
      <c r="W3538" s="100"/>
      <c r="X3538" s="100"/>
      <c r="Y3538" s="100"/>
      <c r="Z3538" s="100"/>
    </row>
    <row r="3539" spans="1:26">
      <c r="A3539" s="100"/>
      <c r="B3539" s="100"/>
      <c r="C3539" s="100"/>
      <c r="D3539" s="100"/>
      <c r="E3539" s="100"/>
      <c r="F3539" s="100"/>
      <c r="G3539" s="100"/>
      <c r="H3539" s="100"/>
      <c r="I3539" s="100"/>
      <c r="J3539" s="100"/>
      <c r="K3539" s="100"/>
      <c r="L3539" s="100"/>
      <c r="M3539" s="100"/>
      <c r="N3539" s="100"/>
      <c r="O3539" s="100"/>
      <c r="P3539" s="100"/>
      <c r="Q3539" s="100"/>
      <c r="R3539" s="100"/>
      <c r="S3539" s="100"/>
      <c r="T3539" s="100"/>
      <c r="U3539" s="100"/>
      <c r="V3539" s="100"/>
      <c r="W3539" s="100"/>
      <c r="X3539" s="100"/>
      <c r="Y3539" s="100"/>
      <c r="Z3539" s="100"/>
    </row>
    <row r="3540" spans="1:26">
      <c r="A3540" s="100"/>
      <c r="B3540" s="100"/>
      <c r="C3540" s="100"/>
      <c r="D3540" s="100"/>
      <c r="E3540" s="100"/>
      <c r="F3540" s="100"/>
      <c r="G3540" s="100"/>
      <c r="H3540" s="100"/>
      <c r="I3540" s="100"/>
      <c r="J3540" s="100"/>
      <c r="K3540" s="100"/>
      <c r="L3540" s="100"/>
      <c r="M3540" s="100"/>
      <c r="N3540" s="100"/>
      <c r="O3540" s="100"/>
      <c r="P3540" s="100"/>
      <c r="Q3540" s="100"/>
      <c r="R3540" s="100"/>
      <c r="S3540" s="100"/>
      <c r="T3540" s="100"/>
      <c r="U3540" s="100"/>
      <c r="V3540" s="100"/>
      <c r="W3540" s="100"/>
      <c r="X3540" s="100"/>
      <c r="Y3540" s="100"/>
      <c r="Z3540" s="100"/>
    </row>
    <row r="3541" spans="1:26">
      <c r="A3541" s="100"/>
      <c r="B3541" s="100"/>
      <c r="C3541" s="100"/>
      <c r="D3541" s="100"/>
      <c r="E3541" s="100"/>
      <c r="F3541" s="100"/>
      <c r="G3541" s="100"/>
      <c r="H3541" s="100"/>
      <c r="I3541" s="100"/>
      <c r="J3541" s="100"/>
      <c r="K3541" s="100"/>
      <c r="L3541" s="100"/>
      <c r="M3541" s="100"/>
      <c r="N3541" s="100"/>
      <c r="O3541" s="100"/>
      <c r="P3541" s="100"/>
      <c r="Q3541" s="100"/>
      <c r="R3541" s="100"/>
      <c r="S3541" s="100"/>
      <c r="T3541" s="100"/>
      <c r="U3541" s="100"/>
      <c r="V3541" s="100"/>
      <c r="W3541" s="100"/>
      <c r="X3541" s="100"/>
      <c r="Y3541" s="100"/>
      <c r="Z3541" s="100"/>
    </row>
    <row r="3542" spans="1:26">
      <c r="A3542" s="100"/>
      <c r="B3542" s="100"/>
      <c r="C3542" s="100"/>
      <c r="D3542" s="100"/>
      <c r="E3542" s="100"/>
      <c r="F3542" s="100"/>
      <c r="G3542" s="100"/>
      <c r="H3542" s="100"/>
      <c r="I3542" s="100"/>
      <c r="J3542" s="100"/>
      <c r="K3542" s="100"/>
      <c r="L3542" s="100"/>
      <c r="M3542" s="100"/>
      <c r="N3542" s="100"/>
      <c r="O3542" s="100"/>
      <c r="P3542" s="100"/>
      <c r="Q3542" s="100"/>
      <c r="R3542" s="100"/>
      <c r="S3542" s="100"/>
      <c r="T3542" s="100"/>
      <c r="U3542" s="100"/>
      <c r="V3542" s="100"/>
      <c r="W3542" s="100"/>
      <c r="X3542" s="100"/>
      <c r="Y3542" s="100"/>
      <c r="Z3542" s="100"/>
    </row>
    <row r="3543" spans="1:26">
      <c r="A3543" s="100"/>
      <c r="B3543" s="100"/>
      <c r="C3543" s="100"/>
      <c r="D3543" s="100"/>
      <c r="E3543" s="100"/>
      <c r="F3543" s="100"/>
      <c r="G3543" s="100"/>
      <c r="H3543" s="100"/>
      <c r="I3543" s="100"/>
      <c r="J3543" s="100"/>
      <c r="K3543" s="100"/>
      <c r="L3543" s="100"/>
      <c r="M3543" s="100"/>
      <c r="N3543" s="100"/>
      <c r="O3543" s="100"/>
      <c r="P3543" s="100"/>
      <c r="Q3543" s="100"/>
      <c r="R3543" s="100"/>
      <c r="S3543" s="100"/>
      <c r="T3543" s="100"/>
      <c r="U3543" s="100"/>
      <c r="V3543" s="100"/>
      <c r="W3543" s="100"/>
      <c r="X3543" s="100"/>
      <c r="Y3543" s="100"/>
      <c r="Z3543" s="100"/>
    </row>
    <row r="3544" spans="1:26">
      <c r="A3544" s="100"/>
      <c r="B3544" s="100"/>
      <c r="C3544" s="100"/>
      <c r="D3544" s="100"/>
      <c r="E3544" s="100"/>
      <c r="F3544" s="100"/>
      <c r="G3544" s="100"/>
      <c r="H3544" s="100"/>
      <c r="I3544" s="100"/>
      <c r="J3544" s="100"/>
      <c r="K3544" s="100"/>
      <c r="L3544" s="100"/>
      <c r="M3544" s="100"/>
      <c r="N3544" s="100"/>
      <c r="O3544" s="100"/>
      <c r="P3544" s="100"/>
      <c r="Q3544" s="100"/>
      <c r="R3544" s="100"/>
      <c r="S3544" s="100"/>
      <c r="T3544" s="100"/>
      <c r="U3544" s="100"/>
      <c r="V3544" s="100"/>
      <c r="W3544" s="100"/>
      <c r="X3544" s="100"/>
      <c r="Y3544" s="100"/>
      <c r="Z3544" s="100"/>
    </row>
    <row r="3545" spans="1:26">
      <c r="A3545" s="100"/>
      <c r="B3545" s="100"/>
      <c r="C3545" s="100"/>
      <c r="D3545" s="100"/>
      <c r="E3545" s="100"/>
      <c r="F3545" s="100"/>
      <c r="G3545" s="100"/>
      <c r="H3545" s="100"/>
      <c r="I3545" s="100"/>
      <c r="J3545" s="100"/>
      <c r="K3545" s="100"/>
      <c r="L3545" s="100"/>
      <c r="M3545" s="100"/>
      <c r="N3545" s="100"/>
      <c r="O3545" s="100"/>
      <c r="P3545" s="100"/>
      <c r="Q3545" s="100"/>
      <c r="R3545" s="100"/>
      <c r="S3545" s="100"/>
      <c r="T3545" s="100"/>
      <c r="U3545" s="100"/>
      <c r="V3545" s="100"/>
      <c r="W3545" s="100"/>
      <c r="X3545" s="100"/>
      <c r="Y3545" s="100"/>
      <c r="Z3545" s="100"/>
    </row>
    <row r="3546" spans="1:26">
      <c r="A3546" s="100"/>
      <c r="B3546" s="100"/>
      <c r="C3546" s="100"/>
      <c r="D3546" s="100"/>
      <c r="E3546" s="100"/>
      <c r="F3546" s="100"/>
      <c r="G3546" s="100"/>
      <c r="H3546" s="100"/>
      <c r="I3546" s="100"/>
      <c r="J3546" s="100"/>
      <c r="K3546" s="100"/>
      <c r="L3546" s="100"/>
      <c r="M3546" s="100"/>
      <c r="N3546" s="100"/>
      <c r="O3546" s="100"/>
      <c r="P3546" s="100"/>
      <c r="Q3546" s="100"/>
      <c r="R3546" s="100"/>
      <c r="S3546" s="100"/>
      <c r="T3546" s="100"/>
      <c r="U3546" s="100"/>
      <c r="V3546" s="100"/>
      <c r="W3546" s="100"/>
      <c r="X3546" s="100"/>
      <c r="Y3546" s="100"/>
      <c r="Z3546" s="100"/>
    </row>
    <row r="3547" spans="1:26">
      <c r="A3547" s="100"/>
      <c r="B3547" s="100"/>
      <c r="C3547" s="100"/>
      <c r="D3547" s="100"/>
      <c r="E3547" s="100"/>
      <c r="F3547" s="100"/>
      <c r="G3547" s="100"/>
      <c r="H3547" s="100"/>
      <c r="I3547" s="100"/>
      <c r="J3547" s="100"/>
      <c r="K3547" s="100"/>
      <c r="L3547" s="100"/>
      <c r="M3547" s="100"/>
      <c r="N3547" s="100"/>
      <c r="O3547" s="100"/>
      <c r="P3547" s="100"/>
      <c r="Q3547" s="100"/>
      <c r="R3547" s="100"/>
      <c r="S3547" s="100"/>
      <c r="T3547" s="100"/>
      <c r="U3547" s="100"/>
      <c r="V3547" s="100"/>
      <c r="W3547" s="100"/>
      <c r="X3547" s="100"/>
      <c r="Y3547" s="100"/>
      <c r="Z3547" s="100"/>
    </row>
    <row r="3548" spans="1:26">
      <c r="A3548" s="100"/>
      <c r="B3548" s="100"/>
      <c r="C3548" s="100"/>
      <c r="D3548" s="100"/>
      <c r="E3548" s="100"/>
      <c r="F3548" s="100"/>
      <c r="G3548" s="100"/>
      <c r="H3548" s="100"/>
      <c r="I3548" s="100"/>
      <c r="J3548" s="100"/>
      <c r="K3548" s="100"/>
      <c r="L3548" s="100"/>
      <c r="M3548" s="100"/>
      <c r="N3548" s="100"/>
      <c r="O3548" s="100"/>
      <c r="P3548" s="100"/>
      <c r="Q3548" s="100"/>
      <c r="R3548" s="100"/>
      <c r="S3548" s="100"/>
      <c r="T3548" s="100"/>
      <c r="U3548" s="100"/>
      <c r="V3548" s="100"/>
      <c r="W3548" s="100"/>
      <c r="X3548" s="100"/>
      <c r="Y3548" s="100"/>
      <c r="Z3548" s="100"/>
    </row>
    <row r="3549" spans="1:26">
      <c r="A3549" s="100"/>
      <c r="B3549" s="100"/>
      <c r="C3549" s="100"/>
      <c r="D3549" s="100"/>
      <c r="E3549" s="100"/>
      <c r="F3549" s="100"/>
      <c r="G3549" s="100"/>
      <c r="H3549" s="100"/>
      <c r="I3549" s="100"/>
      <c r="J3549" s="100"/>
      <c r="K3549" s="100"/>
      <c r="L3549" s="100"/>
      <c r="M3549" s="100"/>
      <c r="N3549" s="100"/>
      <c r="O3549" s="100"/>
      <c r="P3549" s="100"/>
      <c r="Q3549" s="100"/>
      <c r="R3549" s="100"/>
      <c r="S3549" s="100"/>
      <c r="T3549" s="100"/>
      <c r="U3549" s="100"/>
      <c r="V3549" s="100"/>
      <c r="W3549" s="100"/>
      <c r="X3549" s="100"/>
      <c r="Y3549" s="100"/>
      <c r="Z3549" s="100"/>
    </row>
    <row r="3550" spans="1:26">
      <c r="A3550" s="100"/>
      <c r="B3550" s="100"/>
      <c r="C3550" s="100"/>
      <c r="D3550" s="100"/>
      <c r="E3550" s="100"/>
      <c r="F3550" s="100"/>
      <c r="G3550" s="100"/>
      <c r="H3550" s="100"/>
      <c r="I3550" s="100"/>
      <c r="J3550" s="100"/>
      <c r="K3550" s="100"/>
      <c r="L3550" s="100"/>
      <c r="M3550" s="100"/>
      <c r="N3550" s="100"/>
      <c r="O3550" s="100"/>
      <c r="P3550" s="100"/>
      <c r="Q3550" s="100"/>
      <c r="R3550" s="100"/>
      <c r="S3550" s="100"/>
      <c r="T3550" s="100"/>
      <c r="U3550" s="100"/>
      <c r="V3550" s="100"/>
      <c r="W3550" s="100"/>
      <c r="X3550" s="100"/>
      <c r="Y3550" s="100"/>
      <c r="Z3550" s="100"/>
    </row>
    <row r="3551" spans="1:26">
      <c r="A3551" s="100"/>
      <c r="B3551" s="100"/>
      <c r="C3551" s="100"/>
      <c r="D3551" s="100"/>
      <c r="E3551" s="100"/>
      <c r="F3551" s="100"/>
      <c r="G3551" s="100"/>
      <c r="H3551" s="100"/>
      <c r="I3551" s="100"/>
      <c r="J3551" s="100"/>
      <c r="K3551" s="100"/>
      <c r="L3551" s="100"/>
      <c r="M3551" s="100"/>
      <c r="N3551" s="100"/>
      <c r="O3551" s="100"/>
      <c r="P3551" s="100"/>
      <c r="Q3551" s="100"/>
      <c r="R3551" s="100"/>
      <c r="S3551" s="100"/>
      <c r="T3551" s="100"/>
      <c r="U3551" s="100"/>
      <c r="V3551" s="100"/>
      <c r="W3551" s="100"/>
      <c r="X3551" s="100"/>
      <c r="Y3551" s="100"/>
      <c r="Z3551" s="100"/>
    </row>
    <row r="3552" spans="1:26">
      <c r="A3552" s="100"/>
      <c r="B3552" s="100"/>
      <c r="C3552" s="100"/>
      <c r="D3552" s="100"/>
      <c r="E3552" s="100"/>
      <c r="F3552" s="100"/>
      <c r="G3552" s="100"/>
      <c r="H3552" s="100"/>
      <c r="I3552" s="100"/>
      <c r="J3552" s="100"/>
      <c r="K3552" s="100"/>
      <c r="L3552" s="100"/>
      <c r="M3552" s="100"/>
      <c r="N3552" s="100"/>
      <c r="O3552" s="100"/>
      <c r="P3552" s="100"/>
      <c r="Q3552" s="100"/>
      <c r="R3552" s="100"/>
      <c r="S3552" s="100"/>
      <c r="T3552" s="100"/>
      <c r="U3552" s="100"/>
      <c r="V3552" s="100"/>
      <c r="W3552" s="100"/>
      <c r="X3552" s="100"/>
      <c r="Y3552" s="100"/>
      <c r="Z3552" s="100"/>
    </row>
    <row r="3553" spans="1:26">
      <c r="A3553" s="100"/>
      <c r="B3553" s="100"/>
      <c r="C3553" s="100"/>
      <c r="D3553" s="100"/>
      <c r="E3553" s="100"/>
      <c r="F3553" s="100"/>
      <c r="G3553" s="100"/>
      <c r="H3553" s="100"/>
      <c r="I3553" s="100"/>
      <c r="J3553" s="100"/>
      <c r="K3553" s="100"/>
      <c r="L3553" s="100"/>
      <c r="M3553" s="100"/>
      <c r="N3553" s="100"/>
      <c r="O3553" s="100"/>
      <c r="P3553" s="100"/>
      <c r="Q3553" s="100"/>
      <c r="R3553" s="100"/>
      <c r="S3553" s="100"/>
      <c r="T3553" s="100"/>
      <c r="U3553" s="100"/>
      <c r="V3553" s="100"/>
      <c r="W3553" s="100"/>
      <c r="X3553" s="100"/>
      <c r="Y3553" s="100"/>
      <c r="Z3553" s="100"/>
    </row>
    <row r="3554" spans="1:26">
      <c r="A3554" s="100"/>
      <c r="B3554" s="100"/>
      <c r="C3554" s="100"/>
      <c r="D3554" s="100"/>
      <c r="E3554" s="100"/>
      <c r="F3554" s="100"/>
      <c r="G3554" s="100"/>
      <c r="H3554" s="100"/>
      <c r="I3554" s="100"/>
      <c r="J3554" s="100"/>
      <c r="K3554" s="100"/>
      <c r="L3554" s="100"/>
      <c r="M3554" s="100"/>
      <c r="N3554" s="100"/>
      <c r="O3554" s="100"/>
      <c r="P3554" s="100"/>
      <c r="Q3554" s="100"/>
      <c r="R3554" s="100"/>
      <c r="S3554" s="100"/>
      <c r="T3554" s="100"/>
      <c r="U3554" s="100"/>
      <c r="V3554" s="100"/>
      <c r="W3554" s="100"/>
      <c r="X3554" s="100"/>
      <c r="Y3554" s="100"/>
      <c r="Z3554" s="100"/>
    </row>
    <row r="3555" spans="1:26">
      <c r="A3555" s="100"/>
      <c r="B3555" s="100"/>
      <c r="C3555" s="100"/>
      <c r="D3555" s="100"/>
      <c r="E3555" s="100"/>
      <c r="F3555" s="100"/>
      <c r="G3555" s="100"/>
      <c r="H3555" s="100"/>
      <c r="I3555" s="100"/>
      <c r="J3555" s="100"/>
      <c r="K3555" s="100"/>
      <c r="L3555" s="100"/>
      <c r="M3555" s="100"/>
      <c r="N3555" s="100"/>
      <c r="O3555" s="100"/>
      <c r="P3555" s="100"/>
      <c r="Q3555" s="100"/>
      <c r="R3555" s="100"/>
      <c r="S3555" s="100"/>
      <c r="T3555" s="100"/>
      <c r="U3555" s="100"/>
      <c r="V3555" s="100"/>
      <c r="W3555" s="100"/>
      <c r="X3555" s="100"/>
      <c r="Y3555" s="100"/>
      <c r="Z3555" s="100"/>
    </row>
    <row r="3556" spans="1:26">
      <c r="A3556" s="100"/>
      <c r="B3556" s="100"/>
      <c r="C3556" s="100"/>
      <c r="D3556" s="100"/>
      <c r="E3556" s="100"/>
      <c r="F3556" s="100"/>
      <c r="G3556" s="100"/>
      <c r="H3556" s="100"/>
      <c r="I3556" s="100"/>
      <c r="J3556" s="100"/>
      <c r="K3556" s="100"/>
      <c r="L3556" s="100"/>
      <c r="M3556" s="100"/>
      <c r="N3556" s="100"/>
      <c r="O3556" s="100"/>
      <c r="P3556" s="100"/>
      <c r="Q3556" s="100"/>
      <c r="R3556" s="100"/>
      <c r="S3556" s="100"/>
      <c r="T3556" s="100"/>
      <c r="U3556" s="100"/>
      <c r="V3556" s="100"/>
      <c r="W3556" s="100"/>
      <c r="X3556" s="100"/>
      <c r="Y3556" s="100"/>
      <c r="Z3556" s="100"/>
    </row>
    <row r="3557" spans="1:26">
      <c r="A3557" s="100"/>
      <c r="B3557" s="100"/>
      <c r="C3557" s="100"/>
      <c r="D3557" s="100"/>
      <c r="E3557" s="100"/>
      <c r="F3557" s="100"/>
      <c r="G3557" s="100"/>
      <c r="H3557" s="100"/>
      <c r="I3557" s="100"/>
      <c r="J3557" s="100"/>
      <c r="K3557" s="100"/>
      <c r="L3557" s="100"/>
      <c r="M3557" s="100"/>
      <c r="N3557" s="100"/>
      <c r="O3557" s="100"/>
      <c r="P3557" s="100"/>
      <c r="Q3557" s="100"/>
      <c r="R3557" s="100"/>
      <c r="S3557" s="100"/>
      <c r="T3557" s="100"/>
      <c r="U3557" s="100"/>
      <c r="V3557" s="100"/>
      <c r="W3557" s="100"/>
      <c r="X3557" s="100"/>
      <c r="Y3557" s="100"/>
      <c r="Z3557" s="100"/>
    </row>
    <row r="3558" spans="1:26">
      <c r="A3558" s="100"/>
      <c r="B3558" s="100"/>
      <c r="C3558" s="100"/>
      <c r="D3558" s="100"/>
      <c r="E3558" s="100"/>
      <c r="F3558" s="100"/>
      <c r="G3558" s="100"/>
      <c r="H3558" s="100"/>
      <c r="I3558" s="100"/>
      <c r="J3558" s="100"/>
      <c r="K3558" s="100"/>
      <c r="L3558" s="100"/>
      <c r="M3558" s="100"/>
      <c r="N3558" s="100"/>
      <c r="O3558" s="100"/>
      <c r="P3558" s="100"/>
      <c r="Q3558" s="100"/>
      <c r="R3558" s="100"/>
      <c r="S3558" s="100"/>
      <c r="T3558" s="100"/>
      <c r="U3558" s="100"/>
      <c r="V3558" s="100"/>
      <c r="W3558" s="100"/>
      <c r="X3558" s="100"/>
      <c r="Y3558" s="100"/>
      <c r="Z3558" s="100"/>
    </row>
    <row r="3559" spans="1:26">
      <c r="A3559" s="100"/>
      <c r="B3559" s="100"/>
      <c r="C3559" s="100"/>
      <c r="D3559" s="100"/>
      <c r="E3559" s="100"/>
      <c r="F3559" s="100"/>
      <c r="G3559" s="100"/>
      <c r="H3559" s="100"/>
      <c r="I3559" s="100"/>
      <c r="J3559" s="100"/>
      <c r="K3559" s="100"/>
      <c r="L3559" s="100"/>
      <c r="M3559" s="100"/>
      <c r="N3559" s="100"/>
      <c r="O3559" s="100"/>
      <c r="P3559" s="100"/>
      <c r="Q3559" s="100"/>
      <c r="R3559" s="100"/>
      <c r="S3559" s="100"/>
      <c r="T3559" s="100"/>
      <c r="U3559" s="100"/>
      <c r="V3559" s="100"/>
      <c r="W3559" s="100"/>
      <c r="X3559" s="100"/>
      <c r="Y3559" s="100"/>
      <c r="Z3559" s="100"/>
    </row>
    <row r="3560" spans="1:26">
      <c r="A3560" s="100"/>
      <c r="B3560" s="100"/>
      <c r="C3560" s="100"/>
      <c r="D3560" s="100"/>
      <c r="E3560" s="100"/>
      <c r="F3560" s="100"/>
      <c r="G3560" s="100"/>
      <c r="H3560" s="100"/>
      <c r="I3560" s="100"/>
      <c r="J3560" s="100"/>
      <c r="K3560" s="100"/>
      <c r="L3560" s="100"/>
      <c r="M3560" s="100"/>
      <c r="N3560" s="100"/>
      <c r="O3560" s="100"/>
      <c r="P3560" s="100"/>
      <c r="Q3560" s="100"/>
      <c r="R3560" s="100"/>
      <c r="S3560" s="100"/>
      <c r="T3560" s="100"/>
      <c r="U3560" s="100"/>
      <c r="V3560" s="100"/>
      <c r="W3560" s="100"/>
      <c r="X3560" s="100"/>
      <c r="Y3560" s="100"/>
      <c r="Z3560" s="100"/>
    </row>
    <row r="3561" spans="1:26">
      <c r="A3561" s="100"/>
      <c r="B3561" s="100"/>
      <c r="C3561" s="100"/>
      <c r="D3561" s="100"/>
      <c r="E3561" s="100"/>
      <c r="F3561" s="100"/>
      <c r="G3561" s="100"/>
      <c r="H3561" s="100"/>
      <c r="I3561" s="100"/>
      <c r="J3561" s="100"/>
      <c r="K3561" s="100"/>
      <c r="L3561" s="100"/>
      <c r="M3561" s="100"/>
      <c r="N3561" s="100"/>
      <c r="O3561" s="100"/>
      <c r="P3561" s="100"/>
      <c r="Q3561" s="100"/>
      <c r="R3561" s="100"/>
      <c r="S3561" s="100"/>
      <c r="T3561" s="100"/>
      <c r="U3561" s="100"/>
      <c r="V3561" s="100"/>
      <c r="W3561" s="100"/>
      <c r="X3561" s="100"/>
      <c r="Y3561" s="100"/>
      <c r="Z3561" s="100"/>
    </row>
    <row r="3562" spans="1:26">
      <c r="A3562" s="100"/>
      <c r="B3562" s="100"/>
      <c r="C3562" s="100"/>
      <c r="D3562" s="100"/>
      <c r="E3562" s="100"/>
      <c r="F3562" s="100"/>
      <c r="G3562" s="100"/>
      <c r="H3562" s="100"/>
      <c r="I3562" s="100"/>
      <c r="J3562" s="100"/>
      <c r="K3562" s="100"/>
      <c r="L3562" s="100"/>
      <c r="M3562" s="100"/>
      <c r="N3562" s="100"/>
      <c r="O3562" s="100"/>
      <c r="P3562" s="100"/>
      <c r="Q3562" s="100"/>
      <c r="R3562" s="100"/>
      <c r="S3562" s="100"/>
      <c r="T3562" s="100"/>
      <c r="U3562" s="100"/>
      <c r="V3562" s="100"/>
      <c r="W3562" s="100"/>
      <c r="X3562" s="100"/>
      <c r="Y3562" s="100"/>
      <c r="Z3562" s="100"/>
    </row>
    <row r="3563" spans="1:26">
      <c r="A3563" s="100"/>
      <c r="B3563" s="100"/>
      <c r="C3563" s="100"/>
      <c r="D3563" s="100"/>
      <c r="E3563" s="100"/>
      <c r="F3563" s="100"/>
      <c r="G3563" s="100"/>
      <c r="H3563" s="100"/>
      <c r="I3563" s="100"/>
      <c r="J3563" s="100"/>
      <c r="K3563" s="100"/>
      <c r="L3563" s="100"/>
      <c r="M3563" s="100"/>
      <c r="N3563" s="100"/>
      <c r="O3563" s="100"/>
      <c r="P3563" s="100"/>
      <c r="Q3563" s="100"/>
      <c r="R3563" s="100"/>
      <c r="S3563" s="100"/>
      <c r="T3563" s="100"/>
      <c r="U3563" s="100"/>
      <c r="V3563" s="100"/>
      <c r="W3563" s="100"/>
      <c r="X3563" s="100"/>
      <c r="Y3563" s="100"/>
      <c r="Z3563" s="100"/>
    </row>
    <row r="3564" spans="1:26">
      <c r="A3564" s="100"/>
      <c r="B3564" s="100"/>
      <c r="C3564" s="100"/>
      <c r="D3564" s="100"/>
      <c r="E3564" s="100"/>
      <c r="F3564" s="100"/>
      <c r="G3564" s="100"/>
      <c r="H3564" s="100"/>
      <c r="I3564" s="100"/>
      <c r="J3564" s="100"/>
      <c r="K3564" s="100"/>
      <c r="L3564" s="100"/>
      <c r="M3564" s="100"/>
      <c r="N3564" s="100"/>
      <c r="O3564" s="100"/>
      <c r="P3564" s="100"/>
      <c r="Q3564" s="100"/>
      <c r="R3564" s="100"/>
      <c r="S3564" s="100"/>
      <c r="T3564" s="100"/>
      <c r="U3564" s="100"/>
      <c r="V3564" s="100"/>
      <c r="W3564" s="100"/>
      <c r="X3564" s="100"/>
      <c r="Y3564" s="100"/>
      <c r="Z3564" s="100"/>
    </row>
    <row r="3565" spans="1:26">
      <c r="A3565" s="100"/>
      <c r="B3565" s="100"/>
      <c r="C3565" s="100"/>
      <c r="D3565" s="100"/>
      <c r="E3565" s="100"/>
      <c r="F3565" s="100"/>
      <c r="G3565" s="100"/>
      <c r="H3565" s="100"/>
      <c r="I3565" s="100"/>
      <c r="J3565" s="100"/>
      <c r="K3565" s="100"/>
      <c r="L3565" s="100"/>
      <c r="M3565" s="100"/>
      <c r="N3565" s="100"/>
      <c r="O3565" s="100"/>
      <c r="P3565" s="100"/>
      <c r="Q3565" s="100"/>
      <c r="R3565" s="100"/>
      <c r="S3565" s="100"/>
      <c r="T3565" s="100"/>
      <c r="U3565" s="100"/>
      <c r="V3565" s="100"/>
      <c r="W3565" s="100"/>
      <c r="X3565" s="100"/>
      <c r="Y3565" s="100"/>
      <c r="Z3565" s="100"/>
    </row>
    <row r="3566" spans="1:26">
      <c r="A3566" s="100"/>
      <c r="B3566" s="100"/>
      <c r="C3566" s="100"/>
      <c r="D3566" s="100"/>
      <c r="E3566" s="100"/>
      <c r="F3566" s="100"/>
      <c r="G3566" s="100"/>
      <c r="H3566" s="100"/>
      <c r="I3566" s="100"/>
      <c r="J3566" s="100"/>
      <c r="K3566" s="100"/>
      <c r="L3566" s="100"/>
      <c r="M3566" s="100"/>
      <c r="N3566" s="100"/>
      <c r="O3566" s="100"/>
      <c r="P3566" s="100"/>
      <c r="Q3566" s="100"/>
      <c r="R3566" s="100"/>
      <c r="S3566" s="100"/>
      <c r="T3566" s="100"/>
      <c r="U3566" s="100"/>
      <c r="V3566" s="100"/>
      <c r="W3566" s="100"/>
      <c r="X3566" s="100"/>
      <c r="Y3566" s="100"/>
      <c r="Z3566" s="100"/>
    </row>
    <row r="3567" spans="1:26">
      <c r="A3567" s="100"/>
      <c r="B3567" s="100"/>
      <c r="C3567" s="100"/>
      <c r="D3567" s="100"/>
      <c r="E3567" s="100"/>
      <c r="F3567" s="100"/>
      <c r="G3567" s="100"/>
      <c r="H3567" s="100"/>
      <c r="I3567" s="100"/>
      <c r="J3567" s="100"/>
      <c r="K3567" s="100"/>
      <c r="L3567" s="100"/>
      <c r="M3567" s="100"/>
      <c r="N3567" s="100"/>
      <c r="O3567" s="100"/>
      <c r="P3567" s="100"/>
      <c r="Q3567" s="100"/>
      <c r="R3567" s="100"/>
      <c r="S3567" s="100"/>
      <c r="T3567" s="100"/>
      <c r="U3567" s="100"/>
      <c r="V3567" s="100"/>
      <c r="W3567" s="100"/>
      <c r="X3567" s="100"/>
      <c r="Y3567" s="100"/>
      <c r="Z3567" s="100"/>
    </row>
    <row r="3568" spans="1:26">
      <c r="A3568" s="100"/>
      <c r="B3568" s="100"/>
      <c r="C3568" s="100"/>
      <c r="D3568" s="100"/>
      <c r="E3568" s="100"/>
      <c r="F3568" s="100"/>
      <c r="G3568" s="100"/>
      <c r="H3568" s="100"/>
      <c r="I3568" s="100"/>
      <c r="J3568" s="100"/>
      <c r="K3568" s="100"/>
      <c r="L3568" s="100"/>
      <c r="M3568" s="100"/>
      <c r="N3568" s="100"/>
      <c r="O3568" s="100"/>
      <c r="P3568" s="100"/>
      <c r="Q3568" s="100"/>
      <c r="R3568" s="100"/>
      <c r="S3568" s="100"/>
      <c r="T3568" s="100"/>
      <c r="U3568" s="100"/>
      <c r="V3568" s="100"/>
      <c r="W3568" s="100"/>
      <c r="X3568" s="100"/>
      <c r="Y3568" s="100"/>
      <c r="Z3568" s="100"/>
    </row>
    <row r="3569" spans="1:26">
      <c r="A3569" s="100"/>
      <c r="B3569" s="100"/>
      <c r="C3569" s="100"/>
      <c r="D3569" s="100"/>
      <c r="E3569" s="100"/>
      <c r="F3569" s="100"/>
      <c r="G3569" s="100"/>
      <c r="H3569" s="100"/>
      <c r="I3569" s="100"/>
      <c r="J3569" s="100"/>
      <c r="K3569" s="100"/>
      <c r="L3569" s="100"/>
      <c r="M3569" s="100"/>
      <c r="N3569" s="100"/>
      <c r="O3569" s="100"/>
      <c r="P3569" s="100"/>
      <c r="Q3569" s="100"/>
      <c r="R3569" s="100"/>
      <c r="S3569" s="100"/>
      <c r="T3569" s="100"/>
      <c r="U3569" s="100"/>
      <c r="V3569" s="100"/>
      <c r="W3569" s="100"/>
      <c r="X3569" s="100"/>
      <c r="Y3569" s="100"/>
      <c r="Z3569" s="100"/>
    </row>
    <row r="3570" spans="1:26">
      <c r="A3570" s="100"/>
      <c r="B3570" s="100"/>
      <c r="C3570" s="100"/>
      <c r="D3570" s="100"/>
      <c r="E3570" s="100"/>
      <c r="F3570" s="100"/>
      <c r="G3570" s="100"/>
      <c r="H3570" s="100"/>
      <c r="I3570" s="100"/>
      <c r="J3570" s="100"/>
      <c r="K3570" s="100"/>
      <c r="L3570" s="100"/>
      <c r="M3570" s="100"/>
      <c r="N3570" s="100"/>
      <c r="O3570" s="100"/>
      <c r="P3570" s="100"/>
      <c r="Q3570" s="100"/>
      <c r="R3570" s="100"/>
      <c r="S3570" s="100"/>
      <c r="T3570" s="100"/>
      <c r="U3570" s="100"/>
      <c r="V3570" s="100"/>
      <c r="W3570" s="100"/>
      <c r="X3570" s="100"/>
      <c r="Y3570" s="100"/>
      <c r="Z3570" s="100"/>
    </row>
    <row r="3571" spans="1:26">
      <c r="A3571" s="100"/>
      <c r="B3571" s="100"/>
      <c r="C3571" s="100"/>
      <c r="D3571" s="100"/>
      <c r="E3571" s="100"/>
      <c r="F3571" s="100"/>
      <c r="G3571" s="100"/>
      <c r="H3571" s="100"/>
      <c r="I3571" s="100"/>
      <c r="J3571" s="100"/>
      <c r="K3571" s="100"/>
      <c r="L3571" s="100"/>
      <c r="M3571" s="100"/>
      <c r="N3571" s="100"/>
      <c r="O3571" s="100"/>
      <c r="P3571" s="100"/>
      <c r="Q3571" s="100"/>
      <c r="R3571" s="100"/>
      <c r="S3571" s="100"/>
      <c r="T3571" s="100"/>
      <c r="U3571" s="100"/>
      <c r="V3571" s="100"/>
      <c r="W3571" s="100"/>
      <c r="X3571" s="100"/>
      <c r="Y3571" s="100"/>
      <c r="Z3571" s="100"/>
    </row>
    <row r="3572" spans="1:26">
      <c r="A3572" s="100"/>
      <c r="B3572" s="100"/>
      <c r="C3572" s="100"/>
      <c r="D3572" s="100"/>
      <c r="E3572" s="100"/>
      <c r="F3572" s="100"/>
      <c r="G3572" s="100"/>
      <c r="H3572" s="100"/>
      <c r="I3572" s="100"/>
      <c r="J3572" s="100"/>
      <c r="K3572" s="100"/>
      <c r="L3572" s="100"/>
      <c r="M3572" s="100"/>
      <c r="N3572" s="100"/>
      <c r="O3572" s="100"/>
      <c r="P3572" s="100"/>
      <c r="Q3572" s="100"/>
      <c r="R3572" s="100"/>
      <c r="S3572" s="100"/>
      <c r="T3572" s="100"/>
      <c r="U3572" s="100"/>
      <c r="V3572" s="100"/>
      <c r="W3572" s="100"/>
      <c r="X3572" s="100"/>
      <c r="Y3572" s="100"/>
      <c r="Z3572" s="100"/>
    </row>
    <row r="3573" spans="1:26">
      <c r="A3573" s="100"/>
      <c r="B3573" s="100"/>
      <c r="C3573" s="100"/>
      <c r="D3573" s="100"/>
      <c r="E3573" s="100"/>
      <c r="F3573" s="100"/>
      <c r="G3573" s="100"/>
      <c r="H3573" s="100"/>
      <c r="I3573" s="100"/>
      <c r="J3573" s="100"/>
      <c r="K3573" s="100"/>
      <c r="L3573" s="100"/>
      <c r="M3573" s="100"/>
      <c r="N3573" s="100"/>
      <c r="O3573" s="100"/>
      <c r="P3573" s="100"/>
      <c r="Q3573" s="100"/>
      <c r="R3573" s="100"/>
      <c r="S3573" s="100"/>
      <c r="T3573" s="100"/>
      <c r="U3573" s="100"/>
      <c r="V3573" s="100"/>
      <c r="W3573" s="100"/>
      <c r="X3573" s="100"/>
      <c r="Y3573" s="100"/>
      <c r="Z3573" s="100"/>
    </row>
    <row r="3574" spans="1:26">
      <c r="A3574" s="100"/>
      <c r="B3574" s="100"/>
      <c r="C3574" s="100"/>
      <c r="D3574" s="100"/>
      <c r="E3574" s="100"/>
      <c r="F3574" s="100"/>
      <c r="G3574" s="100"/>
      <c r="H3574" s="100"/>
      <c r="I3574" s="100"/>
      <c r="J3574" s="100"/>
      <c r="K3574" s="100"/>
      <c r="L3574" s="100"/>
      <c r="M3574" s="100"/>
      <c r="N3574" s="100"/>
      <c r="O3574" s="100"/>
      <c r="P3574" s="100"/>
      <c r="Q3574" s="100"/>
      <c r="R3574" s="100"/>
      <c r="S3574" s="100"/>
      <c r="T3574" s="100"/>
      <c r="U3574" s="100"/>
      <c r="V3574" s="100"/>
      <c r="W3574" s="100"/>
      <c r="X3574" s="100"/>
      <c r="Y3574" s="100"/>
      <c r="Z3574" s="100"/>
    </row>
    <row r="3575" spans="1:26">
      <c r="A3575" s="100"/>
      <c r="B3575" s="100"/>
      <c r="C3575" s="100"/>
      <c r="D3575" s="100"/>
      <c r="E3575" s="100"/>
      <c r="F3575" s="100"/>
      <c r="G3575" s="100"/>
      <c r="H3575" s="100"/>
      <c r="I3575" s="100"/>
      <c r="J3575" s="100"/>
      <c r="K3575" s="100"/>
      <c r="L3575" s="100"/>
      <c r="M3575" s="100"/>
      <c r="N3575" s="100"/>
      <c r="O3575" s="100"/>
      <c r="P3575" s="100"/>
      <c r="Q3575" s="100"/>
      <c r="R3575" s="100"/>
      <c r="S3575" s="100"/>
      <c r="T3575" s="100"/>
      <c r="U3575" s="100"/>
      <c r="V3575" s="100"/>
      <c r="W3575" s="100"/>
      <c r="X3575" s="100"/>
      <c r="Y3575" s="100"/>
      <c r="Z3575" s="100"/>
    </row>
    <row r="3576" spans="1:26">
      <c r="A3576" s="100"/>
      <c r="B3576" s="100"/>
      <c r="C3576" s="100"/>
      <c r="D3576" s="100"/>
      <c r="E3576" s="100"/>
      <c r="F3576" s="100"/>
      <c r="G3576" s="100"/>
      <c r="H3576" s="100"/>
      <c r="I3576" s="100"/>
      <c r="J3576" s="100"/>
      <c r="K3576" s="100"/>
      <c r="L3576" s="100"/>
      <c r="M3576" s="100"/>
      <c r="N3576" s="100"/>
      <c r="O3576" s="100"/>
      <c r="P3576" s="100"/>
      <c r="Q3576" s="100"/>
      <c r="R3576" s="100"/>
      <c r="S3576" s="100"/>
      <c r="T3576" s="100"/>
      <c r="U3576" s="100"/>
      <c r="V3576" s="100"/>
      <c r="W3576" s="100"/>
      <c r="X3576" s="100"/>
      <c r="Y3576" s="100"/>
      <c r="Z3576" s="100"/>
    </row>
    <row r="3577" spans="1:26">
      <c r="A3577" s="100"/>
      <c r="B3577" s="100"/>
      <c r="C3577" s="100"/>
      <c r="D3577" s="100"/>
      <c r="E3577" s="100"/>
      <c r="F3577" s="100"/>
      <c r="G3577" s="100"/>
      <c r="H3577" s="100"/>
      <c r="I3577" s="100"/>
      <c r="J3577" s="100"/>
      <c r="K3577" s="100"/>
      <c r="L3577" s="100"/>
      <c r="M3577" s="100"/>
      <c r="N3577" s="100"/>
      <c r="O3577" s="100"/>
      <c r="P3577" s="100"/>
      <c r="Q3577" s="100"/>
      <c r="R3577" s="100"/>
      <c r="S3577" s="100"/>
      <c r="T3577" s="100"/>
      <c r="U3577" s="100"/>
      <c r="V3577" s="100"/>
      <c r="W3577" s="100"/>
      <c r="X3577" s="100"/>
      <c r="Y3577" s="100"/>
      <c r="Z3577" s="100"/>
    </row>
    <row r="3578" spans="1:26">
      <c r="A3578" s="100"/>
      <c r="B3578" s="100"/>
      <c r="C3578" s="100"/>
      <c r="D3578" s="100"/>
      <c r="E3578" s="100"/>
      <c r="F3578" s="100"/>
      <c r="G3578" s="100"/>
      <c r="H3578" s="100"/>
      <c r="I3578" s="100"/>
      <c r="J3578" s="100"/>
      <c r="K3578" s="100"/>
      <c r="L3578" s="100"/>
      <c r="M3578" s="100"/>
      <c r="N3578" s="100"/>
      <c r="O3578" s="100"/>
      <c r="P3578" s="100"/>
      <c r="Q3578" s="100"/>
      <c r="R3578" s="100"/>
      <c r="S3578" s="100"/>
      <c r="T3578" s="100"/>
      <c r="U3578" s="100"/>
      <c r="V3578" s="100"/>
      <c r="W3578" s="100"/>
      <c r="X3578" s="100"/>
      <c r="Y3578" s="100"/>
      <c r="Z3578" s="100"/>
    </row>
    <row r="3579" spans="1:26">
      <c r="A3579" s="100"/>
      <c r="B3579" s="100"/>
      <c r="C3579" s="100"/>
      <c r="D3579" s="100"/>
      <c r="E3579" s="100"/>
      <c r="F3579" s="100"/>
      <c r="G3579" s="100"/>
      <c r="H3579" s="100"/>
      <c r="I3579" s="100"/>
      <c r="J3579" s="100"/>
      <c r="K3579" s="100"/>
      <c r="L3579" s="100"/>
      <c r="M3579" s="100"/>
      <c r="N3579" s="100"/>
      <c r="O3579" s="100"/>
      <c r="P3579" s="100"/>
      <c r="Q3579" s="100"/>
      <c r="R3579" s="100"/>
      <c r="S3579" s="100"/>
      <c r="T3579" s="100"/>
      <c r="U3579" s="100"/>
      <c r="V3579" s="100"/>
      <c r="W3579" s="100"/>
      <c r="X3579" s="100"/>
      <c r="Y3579" s="100"/>
      <c r="Z3579" s="100"/>
    </row>
    <row r="3580" spans="1:26">
      <c r="A3580" s="100"/>
      <c r="B3580" s="100"/>
      <c r="C3580" s="100"/>
      <c r="D3580" s="100"/>
      <c r="E3580" s="100"/>
      <c r="F3580" s="100"/>
      <c r="G3580" s="100"/>
      <c r="H3580" s="100"/>
      <c r="I3580" s="100"/>
      <c r="J3580" s="100"/>
      <c r="K3580" s="100"/>
      <c r="L3580" s="100"/>
      <c r="M3580" s="100"/>
      <c r="N3580" s="100"/>
      <c r="O3580" s="100"/>
      <c r="P3580" s="100"/>
      <c r="Q3580" s="100"/>
      <c r="R3580" s="100"/>
      <c r="S3580" s="100"/>
      <c r="T3580" s="100"/>
      <c r="U3580" s="100"/>
      <c r="V3580" s="100"/>
      <c r="W3580" s="100"/>
      <c r="X3580" s="100"/>
      <c r="Y3580" s="100"/>
      <c r="Z3580" s="100"/>
    </row>
    <row r="3581" spans="1:26">
      <c r="A3581" s="100"/>
      <c r="B3581" s="100"/>
      <c r="C3581" s="100"/>
      <c r="D3581" s="100"/>
      <c r="E3581" s="100"/>
      <c r="F3581" s="100"/>
      <c r="G3581" s="100"/>
      <c r="H3581" s="100"/>
      <c r="I3581" s="100"/>
      <c r="J3581" s="100"/>
      <c r="K3581" s="100"/>
      <c r="L3581" s="100"/>
      <c r="M3581" s="100"/>
      <c r="N3581" s="100"/>
      <c r="O3581" s="100"/>
      <c r="P3581" s="100"/>
      <c r="Q3581" s="100"/>
      <c r="R3581" s="100"/>
      <c r="S3581" s="100"/>
      <c r="T3581" s="100"/>
      <c r="U3581" s="100"/>
      <c r="V3581" s="100"/>
      <c r="W3581" s="100"/>
      <c r="X3581" s="100"/>
      <c r="Y3581" s="100"/>
      <c r="Z3581" s="100"/>
    </row>
    <row r="3582" spans="1:26">
      <c r="A3582" s="100"/>
      <c r="B3582" s="100"/>
      <c r="C3582" s="100"/>
      <c r="D3582" s="100"/>
      <c r="E3582" s="100"/>
      <c r="F3582" s="100"/>
      <c r="G3582" s="100"/>
      <c r="H3582" s="100"/>
      <c r="I3582" s="100"/>
      <c r="J3582" s="100"/>
      <c r="K3582" s="100"/>
      <c r="L3582" s="100"/>
      <c r="M3582" s="100"/>
      <c r="N3582" s="100"/>
      <c r="O3582" s="100"/>
      <c r="P3582" s="100"/>
      <c r="Q3582" s="100"/>
      <c r="R3582" s="100"/>
      <c r="S3582" s="100"/>
      <c r="T3582" s="100"/>
      <c r="U3582" s="100"/>
      <c r="V3582" s="100"/>
      <c r="W3582" s="100"/>
      <c r="X3582" s="100"/>
      <c r="Y3582" s="100"/>
      <c r="Z3582" s="100"/>
    </row>
    <row r="3583" spans="1:26">
      <c r="A3583" s="100"/>
      <c r="B3583" s="100"/>
      <c r="C3583" s="100"/>
      <c r="D3583" s="100"/>
      <c r="E3583" s="100"/>
      <c r="F3583" s="100"/>
      <c r="G3583" s="100"/>
      <c r="H3583" s="100"/>
      <c r="I3583" s="100"/>
      <c r="J3583" s="100"/>
      <c r="K3583" s="100"/>
      <c r="L3583" s="100"/>
      <c r="M3583" s="100"/>
      <c r="N3583" s="100"/>
      <c r="O3583" s="100"/>
      <c r="P3583" s="100"/>
      <c r="Q3583" s="100"/>
      <c r="R3583" s="100"/>
      <c r="S3583" s="100"/>
      <c r="T3583" s="100"/>
      <c r="U3583" s="100"/>
      <c r="V3583" s="100"/>
      <c r="W3583" s="100"/>
      <c r="X3583" s="100"/>
      <c r="Y3583" s="100"/>
      <c r="Z3583" s="100"/>
    </row>
    <row r="3584" spans="1:26">
      <c r="A3584" s="100"/>
      <c r="B3584" s="100"/>
      <c r="C3584" s="100"/>
      <c r="D3584" s="100"/>
      <c r="E3584" s="100"/>
      <c r="F3584" s="100"/>
      <c r="G3584" s="100"/>
      <c r="H3584" s="100"/>
      <c r="I3584" s="100"/>
      <c r="J3584" s="100"/>
      <c r="K3584" s="100"/>
      <c r="L3584" s="100"/>
      <c r="M3584" s="100"/>
      <c r="N3584" s="100"/>
      <c r="O3584" s="100"/>
      <c r="P3584" s="100"/>
      <c r="Q3584" s="100"/>
      <c r="R3584" s="100"/>
      <c r="S3584" s="100"/>
      <c r="T3584" s="100"/>
      <c r="U3584" s="100"/>
      <c r="V3584" s="100"/>
      <c r="W3584" s="100"/>
      <c r="X3584" s="100"/>
      <c r="Y3584" s="100"/>
      <c r="Z3584" s="100"/>
    </row>
    <row r="3585" spans="1:26">
      <c r="A3585" s="100"/>
      <c r="B3585" s="100"/>
      <c r="C3585" s="100"/>
      <c r="D3585" s="100"/>
      <c r="E3585" s="100"/>
      <c r="F3585" s="100"/>
      <c r="G3585" s="100"/>
      <c r="H3585" s="100"/>
      <c r="I3585" s="100"/>
      <c r="J3585" s="100"/>
      <c r="K3585" s="100"/>
      <c r="L3585" s="100"/>
      <c r="M3585" s="100"/>
      <c r="N3585" s="100"/>
      <c r="O3585" s="100"/>
      <c r="P3585" s="100"/>
      <c r="Q3585" s="100"/>
      <c r="R3585" s="100"/>
      <c r="S3585" s="100"/>
      <c r="T3585" s="100"/>
      <c r="U3585" s="100"/>
      <c r="V3585" s="100"/>
      <c r="W3585" s="100"/>
      <c r="X3585" s="100"/>
      <c r="Y3585" s="100"/>
      <c r="Z3585" s="100"/>
    </row>
    <row r="3586" spans="1:26">
      <c r="A3586" s="100"/>
      <c r="B3586" s="100"/>
      <c r="C3586" s="100"/>
      <c r="D3586" s="100"/>
      <c r="E3586" s="100"/>
      <c r="F3586" s="100"/>
      <c r="G3586" s="100"/>
      <c r="H3586" s="100"/>
      <c r="I3586" s="100"/>
      <c r="J3586" s="100"/>
      <c r="K3586" s="100"/>
      <c r="L3586" s="100"/>
      <c r="M3586" s="100"/>
      <c r="N3586" s="100"/>
      <c r="O3586" s="100"/>
      <c r="P3586" s="100"/>
      <c r="Q3586" s="100"/>
      <c r="R3586" s="100"/>
      <c r="S3586" s="100"/>
      <c r="T3586" s="100"/>
      <c r="U3586" s="100"/>
      <c r="V3586" s="100"/>
      <c r="W3586" s="100"/>
      <c r="X3586" s="100"/>
      <c r="Y3586" s="100"/>
      <c r="Z3586" s="100"/>
    </row>
    <row r="3587" spans="1:26">
      <c r="A3587" s="100"/>
      <c r="B3587" s="100"/>
      <c r="C3587" s="100"/>
      <c r="D3587" s="100"/>
      <c r="E3587" s="100"/>
      <c r="F3587" s="100"/>
      <c r="G3587" s="100"/>
      <c r="H3587" s="100"/>
      <c r="I3587" s="100"/>
      <c r="J3587" s="100"/>
      <c r="K3587" s="100"/>
      <c r="L3587" s="100"/>
      <c r="M3587" s="100"/>
      <c r="N3587" s="100"/>
      <c r="O3587" s="100"/>
      <c r="P3587" s="100"/>
      <c r="Q3587" s="100"/>
      <c r="R3587" s="100"/>
      <c r="S3587" s="100"/>
      <c r="T3587" s="100"/>
      <c r="U3587" s="100"/>
      <c r="V3587" s="100"/>
      <c r="W3587" s="100"/>
      <c r="X3587" s="100"/>
      <c r="Y3587" s="100"/>
      <c r="Z3587" s="100"/>
    </row>
    <row r="3588" spans="1:26">
      <c r="A3588" s="100"/>
      <c r="B3588" s="100"/>
      <c r="C3588" s="100"/>
      <c r="D3588" s="100"/>
      <c r="E3588" s="100"/>
      <c r="F3588" s="100"/>
      <c r="G3588" s="100"/>
      <c r="H3588" s="100"/>
      <c r="I3588" s="100"/>
      <c r="J3588" s="100"/>
      <c r="K3588" s="100"/>
      <c r="L3588" s="100"/>
      <c r="M3588" s="100"/>
      <c r="N3588" s="100"/>
      <c r="O3588" s="100"/>
      <c r="P3588" s="100"/>
      <c r="Q3588" s="100"/>
      <c r="R3588" s="100"/>
      <c r="S3588" s="100"/>
      <c r="T3588" s="100"/>
      <c r="U3588" s="100"/>
      <c r="V3588" s="100"/>
      <c r="W3588" s="100"/>
      <c r="X3588" s="100"/>
      <c r="Y3588" s="100"/>
      <c r="Z3588" s="100"/>
    </row>
    <row r="3589" spans="1:26">
      <c r="A3589" s="100"/>
      <c r="B3589" s="100"/>
      <c r="C3589" s="100"/>
      <c r="D3589" s="100"/>
      <c r="E3589" s="100"/>
      <c r="F3589" s="100"/>
      <c r="G3589" s="100"/>
      <c r="H3589" s="100"/>
      <c r="I3589" s="100"/>
      <c r="J3589" s="100"/>
      <c r="K3589" s="100"/>
      <c r="L3589" s="100"/>
      <c r="M3589" s="100"/>
      <c r="N3589" s="100"/>
      <c r="O3589" s="100"/>
      <c r="P3589" s="100"/>
      <c r="Q3589" s="100"/>
      <c r="R3589" s="100"/>
      <c r="S3589" s="100"/>
      <c r="T3589" s="100"/>
      <c r="U3589" s="100"/>
      <c r="V3589" s="100"/>
      <c r="W3589" s="100"/>
      <c r="X3589" s="100"/>
      <c r="Y3589" s="100"/>
      <c r="Z3589" s="100"/>
    </row>
    <row r="3590" spans="1:26">
      <c r="A3590" s="100"/>
      <c r="B3590" s="100"/>
      <c r="C3590" s="100"/>
      <c r="D3590" s="100"/>
      <c r="E3590" s="100"/>
      <c r="F3590" s="100"/>
      <c r="G3590" s="100"/>
      <c r="H3590" s="100"/>
      <c r="I3590" s="100"/>
      <c r="J3590" s="100"/>
      <c r="K3590" s="100"/>
      <c r="L3590" s="100"/>
      <c r="M3590" s="100"/>
      <c r="N3590" s="100"/>
      <c r="O3590" s="100"/>
      <c r="P3590" s="100"/>
      <c r="Q3590" s="100"/>
      <c r="R3590" s="100"/>
      <c r="S3590" s="100"/>
      <c r="T3590" s="100"/>
      <c r="U3590" s="100"/>
      <c r="V3590" s="100"/>
      <c r="W3590" s="100"/>
      <c r="X3590" s="100"/>
      <c r="Y3590" s="100"/>
      <c r="Z3590" s="100"/>
    </row>
    <row r="3591" spans="1:26">
      <c r="A3591" s="100"/>
      <c r="B3591" s="100"/>
      <c r="C3591" s="100"/>
      <c r="D3591" s="100"/>
      <c r="E3591" s="100"/>
      <c r="F3591" s="100"/>
      <c r="G3591" s="100"/>
      <c r="H3591" s="100"/>
      <c r="I3591" s="100"/>
      <c r="J3591" s="100"/>
      <c r="K3591" s="100"/>
      <c r="L3591" s="100"/>
      <c r="M3591" s="100"/>
      <c r="N3591" s="100"/>
      <c r="O3591" s="100"/>
      <c r="P3591" s="100"/>
      <c r="Q3591" s="100"/>
      <c r="R3591" s="100"/>
      <c r="S3591" s="100"/>
      <c r="T3591" s="100"/>
      <c r="U3591" s="100"/>
      <c r="V3591" s="100"/>
      <c r="W3591" s="100"/>
      <c r="X3591" s="100"/>
      <c r="Y3591" s="100"/>
      <c r="Z3591" s="100"/>
    </row>
    <row r="3592" spans="1:26">
      <c r="A3592" s="100"/>
      <c r="B3592" s="100"/>
      <c r="C3592" s="100"/>
      <c r="D3592" s="100"/>
      <c r="E3592" s="100"/>
      <c r="F3592" s="100"/>
      <c r="G3592" s="100"/>
      <c r="H3592" s="100"/>
      <c r="I3592" s="100"/>
      <c r="J3592" s="100"/>
      <c r="K3592" s="100"/>
      <c r="L3592" s="100"/>
      <c r="M3592" s="100"/>
      <c r="N3592" s="100"/>
      <c r="O3592" s="100"/>
      <c r="P3592" s="100"/>
      <c r="Q3592" s="100"/>
      <c r="R3592" s="100"/>
      <c r="S3592" s="100"/>
      <c r="T3592" s="100"/>
      <c r="U3592" s="100"/>
      <c r="V3592" s="100"/>
      <c r="W3592" s="100"/>
      <c r="X3592" s="100"/>
      <c r="Y3592" s="100"/>
      <c r="Z3592" s="100"/>
    </row>
    <row r="3593" spans="1:26">
      <c r="A3593" s="100"/>
      <c r="B3593" s="100"/>
      <c r="C3593" s="100"/>
      <c r="D3593" s="100"/>
      <c r="E3593" s="100"/>
      <c r="F3593" s="100"/>
      <c r="G3593" s="100"/>
      <c r="H3593" s="100"/>
      <c r="I3593" s="100"/>
      <c r="J3593" s="100"/>
      <c r="K3593" s="100"/>
      <c r="L3593" s="100"/>
      <c r="M3593" s="100"/>
      <c r="N3593" s="100"/>
      <c r="O3593" s="100"/>
      <c r="P3593" s="100"/>
      <c r="Q3593" s="100"/>
      <c r="R3593" s="100"/>
      <c r="S3593" s="100"/>
      <c r="T3593" s="100"/>
      <c r="U3593" s="100"/>
      <c r="V3593" s="100"/>
      <c r="W3593" s="100"/>
      <c r="X3593" s="100"/>
      <c r="Y3593" s="100"/>
      <c r="Z3593" s="100"/>
    </row>
    <row r="3594" spans="1:26">
      <c r="A3594" s="100"/>
      <c r="B3594" s="100"/>
      <c r="C3594" s="100"/>
      <c r="D3594" s="100"/>
      <c r="E3594" s="100"/>
      <c r="F3594" s="100"/>
      <c r="G3594" s="100"/>
      <c r="H3594" s="100"/>
      <c r="I3594" s="100"/>
      <c r="J3594" s="100"/>
      <c r="K3594" s="100"/>
      <c r="L3594" s="100"/>
      <c r="M3594" s="100"/>
      <c r="N3594" s="100"/>
      <c r="O3594" s="100"/>
      <c r="P3594" s="100"/>
      <c r="Q3594" s="100"/>
      <c r="R3594" s="100"/>
      <c r="S3594" s="100"/>
      <c r="T3594" s="100"/>
      <c r="U3594" s="100"/>
      <c r="V3594" s="100"/>
      <c r="W3594" s="100"/>
      <c r="X3594" s="100"/>
      <c r="Y3594" s="100"/>
      <c r="Z3594" s="100"/>
    </row>
    <row r="3595" spans="1:26">
      <c r="A3595" s="100"/>
      <c r="B3595" s="100"/>
      <c r="C3595" s="100"/>
      <c r="D3595" s="100"/>
      <c r="E3595" s="100"/>
      <c r="F3595" s="100"/>
      <c r="G3595" s="100"/>
      <c r="H3595" s="100"/>
      <c r="I3595" s="100"/>
      <c r="J3595" s="100"/>
      <c r="K3595" s="100"/>
      <c r="L3595" s="100"/>
      <c r="M3595" s="100"/>
      <c r="N3595" s="100"/>
      <c r="O3595" s="100"/>
      <c r="P3595" s="100"/>
      <c r="Q3595" s="100"/>
      <c r="R3595" s="100"/>
      <c r="S3595" s="100"/>
      <c r="T3595" s="100"/>
      <c r="U3595" s="100"/>
      <c r="V3595" s="100"/>
      <c r="W3595" s="100"/>
      <c r="X3595" s="100"/>
      <c r="Y3595" s="100"/>
      <c r="Z3595" s="100"/>
    </row>
    <row r="3596" spans="1:26">
      <c r="A3596" s="100"/>
      <c r="B3596" s="100"/>
      <c r="C3596" s="100"/>
      <c r="D3596" s="100"/>
      <c r="E3596" s="100"/>
      <c r="F3596" s="100"/>
      <c r="G3596" s="100"/>
      <c r="H3596" s="100"/>
      <c r="I3596" s="100"/>
      <c r="J3596" s="100"/>
      <c r="K3596" s="100"/>
      <c r="L3596" s="100"/>
      <c r="M3596" s="100"/>
      <c r="N3596" s="100"/>
      <c r="O3596" s="100"/>
      <c r="P3596" s="100"/>
      <c r="Q3596" s="100"/>
      <c r="R3596" s="100"/>
      <c r="S3596" s="100"/>
      <c r="T3596" s="100"/>
      <c r="U3596" s="100"/>
      <c r="V3596" s="100"/>
      <c r="W3596" s="100"/>
      <c r="X3596" s="100"/>
      <c r="Y3596" s="100"/>
      <c r="Z3596" s="100"/>
    </row>
    <row r="3597" spans="1:26">
      <c r="A3597" s="100"/>
      <c r="B3597" s="100"/>
      <c r="C3597" s="100"/>
      <c r="D3597" s="100"/>
      <c r="E3597" s="100"/>
      <c r="F3597" s="100"/>
      <c r="G3597" s="100"/>
      <c r="H3597" s="100"/>
      <c r="I3597" s="100"/>
      <c r="J3597" s="100"/>
      <c r="K3597" s="100"/>
      <c r="L3597" s="100"/>
      <c r="M3597" s="100"/>
      <c r="N3597" s="100"/>
      <c r="O3597" s="100"/>
      <c r="P3597" s="100"/>
      <c r="Q3597" s="100"/>
      <c r="R3597" s="100"/>
      <c r="S3597" s="100"/>
      <c r="T3597" s="100"/>
      <c r="U3597" s="100"/>
      <c r="V3597" s="100"/>
      <c r="W3597" s="100"/>
      <c r="X3597" s="100"/>
      <c r="Y3597" s="100"/>
      <c r="Z3597" s="100"/>
    </row>
    <row r="3598" spans="1:26">
      <c r="A3598" s="100"/>
      <c r="B3598" s="100"/>
      <c r="C3598" s="100"/>
      <c r="D3598" s="100"/>
      <c r="E3598" s="100"/>
      <c r="F3598" s="100"/>
      <c r="G3598" s="100"/>
      <c r="H3598" s="100"/>
      <c r="I3598" s="100"/>
      <c r="J3598" s="100"/>
      <c r="K3598" s="100"/>
      <c r="L3598" s="100"/>
      <c r="M3598" s="100"/>
      <c r="N3598" s="100"/>
      <c r="O3598" s="100"/>
      <c r="P3598" s="100"/>
      <c r="Q3598" s="100"/>
      <c r="R3598" s="100"/>
      <c r="S3598" s="100"/>
      <c r="T3598" s="100"/>
      <c r="U3598" s="100"/>
      <c r="V3598" s="100"/>
      <c r="W3598" s="100"/>
      <c r="X3598" s="100"/>
      <c r="Y3598" s="100"/>
      <c r="Z3598" s="100"/>
    </row>
    <row r="3599" spans="1:26">
      <c r="A3599" s="100"/>
      <c r="B3599" s="100"/>
      <c r="C3599" s="100"/>
      <c r="D3599" s="100"/>
      <c r="E3599" s="100"/>
      <c r="F3599" s="100"/>
      <c r="G3599" s="100"/>
      <c r="H3599" s="100"/>
      <c r="I3599" s="100"/>
      <c r="J3599" s="100"/>
      <c r="K3599" s="100"/>
      <c r="L3599" s="100"/>
      <c r="M3599" s="100"/>
      <c r="N3599" s="100"/>
      <c r="O3599" s="100"/>
      <c r="P3599" s="100"/>
      <c r="Q3599" s="100"/>
      <c r="R3599" s="100"/>
      <c r="S3599" s="100"/>
      <c r="T3599" s="100"/>
      <c r="U3599" s="100"/>
      <c r="V3599" s="100"/>
      <c r="W3599" s="100"/>
      <c r="X3599" s="100"/>
      <c r="Y3599" s="100"/>
      <c r="Z3599" s="100"/>
    </row>
    <row r="3600" spans="1:26">
      <c r="A3600" s="100"/>
      <c r="B3600" s="100"/>
      <c r="C3600" s="100"/>
      <c r="D3600" s="100"/>
      <c r="E3600" s="100"/>
      <c r="F3600" s="100"/>
      <c r="G3600" s="100"/>
      <c r="H3600" s="100"/>
      <c r="I3600" s="100"/>
      <c r="J3600" s="100"/>
      <c r="K3600" s="100"/>
      <c r="L3600" s="100"/>
      <c r="M3600" s="100"/>
      <c r="N3600" s="100"/>
      <c r="O3600" s="100"/>
      <c r="P3600" s="100"/>
      <c r="Q3600" s="100"/>
      <c r="R3600" s="100"/>
      <c r="S3600" s="100"/>
      <c r="T3600" s="100"/>
      <c r="U3600" s="100"/>
      <c r="V3600" s="100"/>
      <c r="W3600" s="100"/>
      <c r="X3600" s="100"/>
      <c r="Y3600" s="100"/>
      <c r="Z3600" s="100"/>
    </row>
    <row r="3601" spans="1:26">
      <c r="A3601" s="100"/>
      <c r="B3601" s="100"/>
      <c r="C3601" s="100"/>
      <c r="D3601" s="100"/>
      <c r="E3601" s="100"/>
      <c r="F3601" s="100"/>
      <c r="G3601" s="100"/>
      <c r="H3601" s="100"/>
      <c r="I3601" s="100"/>
      <c r="J3601" s="100"/>
      <c r="K3601" s="100"/>
      <c r="L3601" s="100"/>
      <c r="M3601" s="100"/>
      <c r="N3601" s="100"/>
      <c r="O3601" s="100"/>
      <c r="P3601" s="100"/>
      <c r="Q3601" s="100"/>
      <c r="R3601" s="100"/>
      <c r="S3601" s="100"/>
      <c r="T3601" s="100"/>
      <c r="U3601" s="100"/>
      <c r="V3601" s="100"/>
      <c r="W3601" s="100"/>
      <c r="X3601" s="100"/>
      <c r="Y3601" s="100"/>
      <c r="Z3601" s="100"/>
    </row>
    <row r="3602" spans="1:26">
      <c r="A3602" s="100"/>
      <c r="B3602" s="100"/>
      <c r="C3602" s="100"/>
      <c r="D3602" s="100"/>
      <c r="E3602" s="100"/>
      <c r="F3602" s="100"/>
      <c r="G3602" s="100"/>
      <c r="H3602" s="100"/>
      <c r="I3602" s="100"/>
      <c r="J3602" s="100"/>
      <c r="K3602" s="100"/>
      <c r="L3602" s="100"/>
      <c r="M3602" s="100"/>
      <c r="N3602" s="100"/>
      <c r="O3602" s="100"/>
      <c r="P3602" s="100"/>
      <c r="Q3602" s="100"/>
      <c r="R3602" s="100"/>
      <c r="S3602" s="100"/>
      <c r="T3602" s="100"/>
      <c r="U3602" s="100"/>
      <c r="V3602" s="100"/>
      <c r="W3602" s="100"/>
      <c r="X3602" s="100"/>
      <c r="Y3602" s="100"/>
      <c r="Z3602" s="100"/>
    </row>
    <row r="3603" spans="1:26">
      <c r="A3603" s="100"/>
      <c r="B3603" s="100"/>
      <c r="C3603" s="100"/>
      <c r="D3603" s="100"/>
      <c r="E3603" s="100"/>
      <c r="F3603" s="100"/>
      <c r="G3603" s="100"/>
      <c r="H3603" s="100"/>
      <c r="I3603" s="100"/>
      <c r="J3603" s="100"/>
      <c r="K3603" s="100"/>
      <c r="L3603" s="100"/>
      <c r="M3603" s="100"/>
      <c r="N3603" s="100"/>
      <c r="O3603" s="100"/>
      <c r="P3603" s="100"/>
      <c r="Q3603" s="100"/>
      <c r="R3603" s="100"/>
      <c r="S3603" s="100"/>
      <c r="T3603" s="100"/>
      <c r="U3603" s="100"/>
      <c r="V3603" s="100"/>
      <c r="W3603" s="100"/>
      <c r="X3603" s="100"/>
      <c r="Y3603" s="100"/>
      <c r="Z3603" s="100"/>
    </row>
    <row r="3604" spans="1:26">
      <c r="A3604" s="100"/>
      <c r="B3604" s="100"/>
      <c r="C3604" s="100"/>
      <c r="D3604" s="100"/>
      <c r="E3604" s="100"/>
      <c r="F3604" s="100"/>
      <c r="G3604" s="100"/>
      <c r="H3604" s="100"/>
      <c r="I3604" s="100"/>
      <c r="J3604" s="100"/>
      <c r="K3604" s="100"/>
      <c r="L3604" s="100"/>
      <c r="M3604" s="100"/>
      <c r="N3604" s="100"/>
      <c r="O3604" s="100"/>
      <c r="P3604" s="100"/>
      <c r="Q3604" s="100"/>
      <c r="R3604" s="100"/>
      <c r="S3604" s="100"/>
      <c r="T3604" s="100"/>
      <c r="U3604" s="100"/>
      <c r="V3604" s="100"/>
      <c r="W3604" s="100"/>
      <c r="X3604" s="100"/>
      <c r="Y3604" s="100"/>
      <c r="Z3604" s="100"/>
    </row>
    <row r="3605" spans="1:26">
      <c r="A3605" s="100"/>
      <c r="B3605" s="100"/>
      <c r="C3605" s="100"/>
      <c r="D3605" s="100"/>
      <c r="E3605" s="100"/>
      <c r="F3605" s="100"/>
      <c r="G3605" s="100"/>
      <c r="H3605" s="100"/>
      <c r="I3605" s="100"/>
      <c r="J3605" s="100"/>
      <c r="K3605" s="100"/>
      <c r="L3605" s="100"/>
      <c r="M3605" s="100"/>
      <c r="N3605" s="100"/>
      <c r="O3605" s="100"/>
      <c r="P3605" s="100"/>
      <c r="Q3605" s="100"/>
      <c r="R3605" s="100"/>
      <c r="S3605" s="100"/>
      <c r="T3605" s="100"/>
      <c r="U3605" s="100"/>
      <c r="V3605" s="100"/>
      <c r="W3605" s="100"/>
      <c r="X3605" s="100"/>
      <c r="Y3605" s="100"/>
      <c r="Z3605" s="100"/>
    </row>
    <row r="3606" spans="1:26">
      <c r="A3606" s="100"/>
      <c r="B3606" s="100"/>
      <c r="C3606" s="100"/>
      <c r="D3606" s="100"/>
      <c r="E3606" s="100"/>
      <c r="F3606" s="100"/>
      <c r="G3606" s="100"/>
      <c r="H3606" s="100"/>
      <c r="I3606" s="100"/>
      <c r="J3606" s="100"/>
      <c r="K3606" s="100"/>
      <c r="L3606" s="100"/>
      <c r="M3606" s="100"/>
      <c r="N3606" s="100"/>
      <c r="O3606" s="100"/>
      <c r="P3606" s="100"/>
      <c r="Q3606" s="100"/>
      <c r="R3606" s="100"/>
      <c r="S3606" s="100"/>
      <c r="T3606" s="100"/>
      <c r="U3606" s="100"/>
      <c r="V3606" s="100"/>
      <c r="W3606" s="100"/>
      <c r="X3606" s="100"/>
      <c r="Y3606" s="100"/>
      <c r="Z3606" s="100"/>
    </row>
    <row r="3607" spans="1:26">
      <c r="A3607" s="100"/>
      <c r="B3607" s="100"/>
      <c r="C3607" s="100"/>
      <c r="D3607" s="100"/>
      <c r="E3607" s="100"/>
      <c r="F3607" s="100"/>
      <c r="G3607" s="100"/>
      <c r="H3607" s="100"/>
      <c r="I3607" s="100"/>
      <c r="J3607" s="100"/>
      <c r="K3607" s="100"/>
      <c r="L3607" s="100"/>
      <c r="M3607" s="100"/>
      <c r="N3607" s="100"/>
      <c r="O3607" s="100"/>
      <c r="P3607" s="100"/>
      <c r="Q3607" s="100"/>
      <c r="R3607" s="100"/>
      <c r="S3607" s="100"/>
      <c r="T3607" s="100"/>
      <c r="U3607" s="100"/>
      <c r="V3607" s="100"/>
      <c r="W3607" s="100"/>
      <c r="X3607" s="100"/>
      <c r="Y3607" s="100"/>
      <c r="Z3607" s="100"/>
    </row>
    <row r="3608" spans="1:26">
      <c r="A3608" s="100"/>
      <c r="B3608" s="100"/>
      <c r="C3608" s="100"/>
      <c r="D3608" s="100"/>
      <c r="E3608" s="100"/>
      <c r="F3608" s="100"/>
      <c r="G3608" s="100"/>
      <c r="H3608" s="100"/>
      <c r="I3608" s="100"/>
      <c r="J3608" s="100"/>
      <c r="K3608" s="100"/>
      <c r="L3608" s="100"/>
      <c r="M3608" s="100"/>
      <c r="N3608" s="100"/>
      <c r="O3608" s="100"/>
      <c r="P3608" s="100"/>
      <c r="Q3608" s="100"/>
      <c r="R3608" s="100"/>
      <c r="S3608" s="100"/>
      <c r="T3608" s="100"/>
      <c r="U3608" s="100"/>
      <c r="V3608" s="100"/>
      <c r="W3608" s="100"/>
      <c r="X3608" s="100"/>
      <c r="Y3608" s="100"/>
      <c r="Z3608" s="100"/>
    </row>
    <row r="3609" spans="1:26">
      <c r="A3609" s="100"/>
      <c r="B3609" s="100"/>
      <c r="C3609" s="100"/>
      <c r="D3609" s="100"/>
      <c r="E3609" s="100"/>
      <c r="F3609" s="100"/>
      <c r="G3609" s="100"/>
      <c r="H3609" s="100"/>
      <c r="I3609" s="100"/>
      <c r="J3609" s="100"/>
      <c r="K3609" s="100"/>
      <c r="L3609" s="100"/>
      <c r="M3609" s="100"/>
      <c r="N3609" s="100"/>
      <c r="O3609" s="100"/>
      <c r="P3609" s="100"/>
      <c r="Q3609" s="100"/>
      <c r="R3609" s="100"/>
      <c r="S3609" s="100"/>
      <c r="T3609" s="100"/>
      <c r="U3609" s="100"/>
      <c r="V3609" s="100"/>
      <c r="W3609" s="100"/>
      <c r="X3609" s="100"/>
      <c r="Y3609" s="100"/>
      <c r="Z3609" s="100"/>
    </row>
    <row r="3610" spans="1:26">
      <c r="A3610" s="100"/>
      <c r="B3610" s="100"/>
      <c r="C3610" s="100"/>
      <c r="D3610" s="100"/>
      <c r="E3610" s="100"/>
      <c r="F3610" s="100"/>
      <c r="G3610" s="100"/>
      <c r="H3610" s="100"/>
      <c r="I3610" s="100"/>
      <c r="J3610" s="100"/>
      <c r="K3610" s="100"/>
      <c r="L3610" s="100"/>
      <c r="M3610" s="100"/>
      <c r="N3610" s="100"/>
      <c r="O3610" s="100"/>
      <c r="P3610" s="100"/>
      <c r="Q3610" s="100"/>
      <c r="R3610" s="100"/>
      <c r="S3610" s="100"/>
      <c r="T3610" s="100"/>
      <c r="U3610" s="100"/>
      <c r="V3610" s="100"/>
      <c r="W3610" s="100"/>
      <c r="X3610" s="100"/>
      <c r="Y3610" s="100"/>
      <c r="Z3610" s="100"/>
    </row>
    <row r="3611" spans="1:26">
      <c r="A3611" s="100"/>
      <c r="B3611" s="100"/>
      <c r="C3611" s="100"/>
      <c r="D3611" s="100"/>
      <c r="E3611" s="100"/>
      <c r="F3611" s="100"/>
      <c r="G3611" s="100"/>
      <c r="H3611" s="100"/>
      <c r="I3611" s="100"/>
      <c r="J3611" s="100"/>
      <c r="K3611" s="100"/>
      <c r="L3611" s="100"/>
      <c r="M3611" s="100"/>
      <c r="N3611" s="100"/>
      <c r="O3611" s="100"/>
      <c r="P3611" s="100"/>
      <c r="Q3611" s="100"/>
      <c r="R3611" s="100"/>
      <c r="S3611" s="100"/>
      <c r="T3611" s="100"/>
      <c r="U3611" s="100"/>
      <c r="V3611" s="100"/>
      <c r="W3611" s="100"/>
      <c r="X3611" s="100"/>
      <c r="Y3611" s="100"/>
      <c r="Z3611" s="100"/>
    </row>
    <row r="3612" spans="1:26">
      <c r="A3612" s="100"/>
      <c r="B3612" s="100"/>
      <c r="C3612" s="100"/>
      <c r="D3612" s="100"/>
      <c r="E3612" s="100"/>
      <c r="F3612" s="100"/>
      <c r="G3612" s="100"/>
      <c r="H3612" s="100"/>
      <c r="I3612" s="100"/>
      <c r="J3612" s="100"/>
      <c r="K3612" s="100"/>
      <c r="L3612" s="100"/>
      <c r="M3612" s="100"/>
      <c r="N3612" s="100"/>
      <c r="O3612" s="100"/>
      <c r="P3612" s="100"/>
      <c r="Q3612" s="100"/>
      <c r="R3612" s="100"/>
      <c r="S3612" s="100"/>
      <c r="T3612" s="100"/>
      <c r="U3612" s="100"/>
      <c r="V3612" s="100"/>
      <c r="W3612" s="100"/>
      <c r="X3612" s="100"/>
      <c r="Y3612" s="100"/>
      <c r="Z3612" s="100"/>
    </row>
    <row r="3613" spans="1:26">
      <c r="A3613" s="100"/>
      <c r="B3613" s="100"/>
      <c r="C3613" s="100"/>
      <c r="D3613" s="100"/>
      <c r="E3613" s="100"/>
      <c r="F3613" s="100"/>
      <c r="G3613" s="100"/>
      <c r="H3613" s="100"/>
      <c r="I3613" s="100"/>
      <c r="J3613" s="100"/>
      <c r="K3613" s="100"/>
      <c r="L3613" s="100"/>
      <c r="M3613" s="100"/>
      <c r="N3613" s="100"/>
      <c r="O3613" s="100"/>
      <c r="P3613" s="100"/>
      <c r="Q3613" s="100"/>
      <c r="R3613" s="100"/>
      <c r="S3613" s="100"/>
      <c r="T3613" s="100"/>
      <c r="U3613" s="100"/>
      <c r="V3613" s="100"/>
      <c r="W3613" s="100"/>
      <c r="X3613" s="100"/>
      <c r="Y3613" s="100"/>
      <c r="Z3613" s="100"/>
    </row>
    <row r="3614" spans="1:26">
      <c r="A3614" s="100"/>
      <c r="B3614" s="100"/>
      <c r="C3614" s="100"/>
      <c r="D3614" s="100"/>
      <c r="E3614" s="100"/>
      <c r="F3614" s="100"/>
      <c r="G3614" s="100"/>
      <c r="H3614" s="100"/>
      <c r="I3614" s="100"/>
      <c r="J3614" s="100"/>
      <c r="K3614" s="100"/>
      <c r="L3614" s="100"/>
      <c r="M3614" s="100"/>
      <c r="N3614" s="100"/>
      <c r="O3614" s="100"/>
      <c r="P3614" s="100"/>
      <c r="Q3614" s="100"/>
      <c r="R3614" s="100"/>
      <c r="S3614" s="100"/>
      <c r="T3614" s="100"/>
      <c r="U3614" s="100"/>
      <c r="V3614" s="100"/>
      <c r="W3614" s="100"/>
      <c r="X3614" s="100"/>
      <c r="Y3614" s="100"/>
      <c r="Z3614" s="100"/>
    </row>
    <row r="3615" spans="1:26">
      <c r="A3615" s="100"/>
      <c r="B3615" s="100"/>
      <c r="C3615" s="100"/>
      <c r="D3615" s="100"/>
      <c r="E3615" s="100"/>
      <c r="F3615" s="100"/>
      <c r="G3615" s="100"/>
      <c r="H3615" s="100"/>
      <c r="I3615" s="100"/>
      <c r="J3615" s="100"/>
      <c r="K3615" s="100"/>
      <c r="L3615" s="100"/>
      <c r="M3615" s="100"/>
      <c r="N3615" s="100"/>
      <c r="O3615" s="100"/>
      <c r="P3615" s="100"/>
      <c r="Q3615" s="100"/>
      <c r="R3615" s="100"/>
      <c r="S3615" s="100"/>
      <c r="T3615" s="100"/>
      <c r="U3615" s="100"/>
      <c r="V3615" s="100"/>
      <c r="W3615" s="100"/>
      <c r="X3615" s="100"/>
      <c r="Y3615" s="100"/>
      <c r="Z3615" s="100"/>
    </row>
    <row r="3616" spans="1:26">
      <c r="A3616" s="100"/>
      <c r="B3616" s="100"/>
      <c r="C3616" s="100"/>
      <c r="D3616" s="100"/>
      <c r="E3616" s="100"/>
      <c r="F3616" s="100"/>
      <c r="G3616" s="100"/>
      <c r="H3616" s="100"/>
      <c r="I3616" s="100"/>
      <c r="J3616" s="100"/>
      <c r="K3616" s="100"/>
      <c r="L3616" s="100"/>
      <c r="M3616" s="100"/>
      <c r="N3616" s="100"/>
      <c r="O3616" s="100"/>
      <c r="P3616" s="100"/>
      <c r="Q3616" s="100"/>
      <c r="R3616" s="100"/>
      <c r="S3616" s="100"/>
      <c r="T3616" s="100"/>
      <c r="U3616" s="100"/>
      <c r="V3616" s="100"/>
      <c r="W3616" s="100"/>
      <c r="X3616" s="100"/>
      <c r="Y3616" s="100"/>
      <c r="Z3616" s="100"/>
    </row>
    <row r="3617" spans="1:26">
      <c r="A3617" s="100"/>
      <c r="B3617" s="100"/>
      <c r="C3617" s="100"/>
      <c r="D3617" s="100"/>
      <c r="E3617" s="100"/>
      <c r="F3617" s="100"/>
      <c r="G3617" s="100"/>
      <c r="H3617" s="100"/>
      <c r="I3617" s="100"/>
      <c r="J3617" s="100"/>
      <c r="K3617" s="100"/>
      <c r="L3617" s="100"/>
      <c r="M3617" s="100"/>
      <c r="N3617" s="100"/>
      <c r="O3617" s="100"/>
      <c r="P3617" s="100"/>
      <c r="Q3617" s="100"/>
      <c r="R3617" s="100"/>
      <c r="S3617" s="100"/>
      <c r="T3617" s="100"/>
      <c r="U3617" s="100"/>
      <c r="V3617" s="100"/>
      <c r="W3617" s="100"/>
      <c r="X3617" s="100"/>
      <c r="Y3617" s="100"/>
      <c r="Z3617" s="100"/>
    </row>
    <row r="3618" spans="1:26">
      <c r="A3618" s="100"/>
      <c r="B3618" s="100"/>
      <c r="C3618" s="100"/>
      <c r="D3618" s="100"/>
      <c r="E3618" s="100"/>
      <c r="F3618" s="100"/>
      <c r="G3618" s="100"/>
      <c r="H3618" s="100"/>
      <c r="I3618" s="100"/>
      <c r="J3618" s="100"/>
      <c r="K3618" s="100"/>
      <c r="L3618" s="100"/>
      <c r="M3618" s="100"/>
      <c r="N3618" s="100"/>
      <c r="O3618" s="100"/>
      <c r="P3618" s="100"/>
      <c r="Q3618" s="100"/>
      <c r="R3618" s="100"/>
      <c r="S3618" s="100"/>
      <c r="T3618" s="100"/>
      <c r="U3618" s="100"/>
      <c r="V3618" s="100"/>
      <c r="W3618" s="100"/>
      <c r="X3618" s="100"/>
      <c r="Y3618" s="100"/>
      <c r="Z3618" s="100"/>
    </row>
    <row r="3619" spans="1:26">
      <c r="A3619" s="100"/>
      <c r="B3619" s="100"/>
      <c r="C3619" s="100"/>
      <c r="D3619" s="100"/>
      <c r="E3619" s="100"/>
      <c r="F3619" s="100"/>
      <c r="G3619" s="100"/>
      <c r="H3619" s="100"/>
      <c r="I3619" s="100"/>
      <c r="J3619" s="100"/>
      <c r="K3619" s="100"/>
      <c r="L3619" s="100"/>
      <c r="M3619" s="100"/>
      <c r="N3619" s="100"/>
      <c r="O3619" s="100"/>
      <c r="P3619" s="100"/>
      <c r="Q3619" s="100"/>
      <c r="R3619" s="100"/>
      <c r="S3619" s="100"/>
      <c r="T3619" s="100"/>
      <c r="U3619" s="100"/>
      <c r="V3619" s="100"/>
      <c r="W3619" s="100"/>
      <c r="X3619" s="100"/>
      <c r="Y3619" s="100"/>
      <c r="Z3619" s="100"/>
    </row>
    <row r="3620" spans="1:26">
      <c r="A3620" s="100"/>
      <c r="B3620" s="100"/>
      <c r="C3620" s="100"/>
      <c r="D3620" s="100"/>
      <c r="E3620" s="100"/>
      <c r="F3620" s="100"/>
      <c r="G3620" s="100"/>
      <c r="H3620" s="100"/>
      <c r="I3620" s="100"/>
      <c r="J3620" s="100"/>
      <c r="K3620" s="100"/>
      <c r="L3620" s="100"/>
      <c r="M3620" s="100"/>
      <c r="N3620" s="100"/>
      <c r="O3620" s="100"/>
      <c r="P3620" s="100"/>
      <c r="Q3620" s="100"/>
      <c r="R3620" s="100"/>
      <c r="S3620" s="100"/>
      <c r="T3620" s="100"/>
      <c r="U3620" s="100"/>
      <c r="V3620" s="100"/>
      <c r="W3620" s="100"/>
      <c r="X3620" s="100"/>
      <c r="Y3620" s="100"/>
      <c r="Z3620" s="100"/>
    </row>
    <row r="3621" spans="1:26">
      <c r="A3621" s="100"/>
      <c r="B3621" s="100"/>
      <c r="C3621" s="100"/>
      <c r="D3621" s="100"/>
      <c r="E3621" s="100"/>
      <c r="F3621" s="100"/>
      <c r="G3621" s="100"/>
      <c r="H3621" s="100"/>
      <c r="I3621" s="100"/>
      <c r="J3621" s="100"/>
      <c r="K3621" s="100"/>
      <c r="L3621" s="100"/>
      <c r="M3621" s="100"/>
      <c r="N3621" s="100"/>
      <c r="O3621" s="100"/>
      <c r="P3621" s="100"/>
      <c r="Q3621" s="100"/>
      <c r="R3621" s="100"/>
      <c r="S3621" s="100"/>
      <c r="T3621" s="100"/>
      <c r="U3621" s="100"/>
      <c r="V3621" s="100"/>
      <c r="W3621" s="100"/>
      <c r="X3621" s="100"/>
      <c r="Y3621" s="100"/>
      <c r="Z3621" s="100"/>
    </row>
    <row r="3622" spans="1:26">
      <c r="A3622" s="100"/>
      <c r="B3622" s="100"/>
      <c r="C3622" s="100"/>
      <c r="D3622" s="100"/>
      <c r="E3622" s="100"/>
      <c r="F3622" s="100"/>
      <c r="G3622" s="100"/>
      <c r="H3622" s="100"/>
      <c r="I3622" s="100"/>
      <c r="J3622" s="100"/>
      <c r="K3622" s="100"/>
      <c r="L3622" s="100"/>
      <c r="M3622" s="100"/>
      <c r="N3622" s="100"/>
      <c r="O3622" s="100"/>
      <c r="P3622" s="100"/>
      <c r="Q3622" s="100"/>
      <c r="R3622" s="100"/>
      <c r="S3622" s="100"/>
      <c r="T3622" s="100"/>
      <c r="U3622" s="100"/>
      <c r="V3622" s="100"/>
      <c r="W3622" s="100"/>
      <c r="X3622" s="100"/>
      <c r="Y3622" s="100"/>
      <c r="Z3622" s="100"/>
    </row>
    <row r="3623" spans="1:26">
      <c r="A3623" s="100"/>
      <c r="B3623" s="100"/>
      <c r="C3623" s="100"/>
      <c r="D3623" s="100"/>
      <c r="E3623" s="100"/>
      <c r="F3623" s="100"/>
      <c r="G3623" s="100"/>
      <c r="H3623" s="100"/>
      <c r="I3623" s="100"/>
      <c r="J3623" s="100"/>
      <c r="K3623" s="100"/>
      <c r="L3623" s="100"/>
      <c r="M3623" s="100"/>
      <c r="N3623" s="100"/>
      <c r="O3623" s="100"/>
      <c r="P3623" s="100"/>
      <c r="Q3623" s="100"/>
      <c r="R3623" s="100"/>
      <c r="S3623" s="100"/>
      <c r="T3623" s="100"/>
      <c r="U3623" s="100"/>
      <c r="V3623" s="100"/>
      <c r="W3623" s="100"/>
      <c r="X3623" s="100"/>
      <c r="Y3623" s="100"/>
      <c r="Z3623" s="100"/>
    </row>
    <row r="3624" spans="1:26">
      <c r="A3624" s="100"/>
      <c r="B3624" s="100"/>
      <c r="C3624" s="100"/>
      <c r="D3624" s="100"/>
      <c r="E3624" s="100"/>
      <c r="F3624" s="100"/>
      <c r="G3624" s="100"/>
      <c r="H3624" s="100"/>
      <c r="I3624" s="100"/>
      <c r="J3624" s="100"/>
      <c r="K3624" s="100"/>
      <c r="L3624" s="100"/>
      <c r="M3624" s="100"/>
      <c r="N3624" s="100"/>
      <c r="O3624" s="100"/>
      <c r="P3624" s="100"/>
      <c r="Q3624" s="100"/>
      <c r="R3624" s="100"/>
      <c r="S3624" s="100"/>
      <c r="T3624" s="100"/>
      <c r="U3624" s="100"/>
      <c r="V3624" s="100"/>
      <c r="W3624" s="100"/>
      <c r="X3624" s="100"/>
      <c r="Y3624" s="100"/>
      <c r="Z3624" s="100"/>
    </row>
    <row r="3625" spans="1:26">
      <c r="A3625" s="100"/>
      <c r="B3625" s="100"/>
      <c r="C3625" s="100"/>
      <c r="D3625" s="100"/>
      <c r="E3625" s="100"/>
      <c r="F3625" s="100"/>
      <c r="G3625" s="100"/>
      <c r="H3625" s="100"/>
      <c r="I3625" s="100"/>
      <c r="J3625" s="100"/>
      <c r="K3625" s="100"/>
      <c r="L3625" s="100"/>
      <c r="M3625" s="100"/>
      <c r="N3625" s="100"/>
      <c r="O3625" s="100"/>
      <c r="P3625" s="100"/>
      <c r="Q3625" s="100"/>
      <c r="R3625" s="100"/>
      <c r="S3625" s="100"/>
      <c r="T3625" s="100"/>
      <c r="U3625" s="100"/>
      <c r="V3625" s="100"/>
      <c r="W3625" s="100"/>
      <c r="X3625" s="100"/>
      <c r="Y3625" s="100"/>
      <c r="Z3625" s="100"/>
    </row>
    <row r="3626" spans="1:26">
      <c r="A3626" s="100"/>
      <c r="B3626" s="100"/>
      <c r="C3626" s="100"/>
      <c r="D3626" s="100"/>
      <c r="E3626" s="100"/>
      <c r="F3626" s="100"/>
      <c r="G3626" s="100"/>
      <c r="H3626" s="100"/>
      <c r="I3626" s="100"/>
      <c r="J3626" s="100"/>
      <c r="K3626" s="100"/>
      <c r="L3626" s="100"/>
      <c r="M3626" s="100"/>
      <c r="N3626" s="100"/>
      <c r="O3626" s="100"/>
      <c r="P3626" s="100"/>
      <c r="Q3626" s="100"/>
      <c r="R3626" s="100"/>
      <c r="S3626" s="100"/>
      <c r="T3626" s="100"/>
      <c r="U3626" s="100"/>
      <c r="V3626" s="100"/>
      <c r="W3626" s="100"/>
      <c r="X3626" s="100"/>
      <c r="Y3626" s="100"/>
      <c r="Z3626" s="100"/>
    </row>
    <row r="3627" spans="1:26">
      <c r="A3627" s="100"/>
      <c r="B3627" s="100"/>
      <c r="C3627" s="100"/>
      <c r="D3627" s="100"/>
      <c r="E3627" s="100"/>
      <c r="F3627" s="100"/>
      <c r="G3627" s="100"/>
      <c r="H3627" s="100"/>
      <c r="I3627" s="100"/>
      <c r="J3627" s="100"/>
      <c r="K3627" s="100"/>
      <c r="L3627" s="100"/>
      <c r="M3627" s="100"/>
      <c r="N3627" s="100"/>
      <c r="O3627" s="100"/>
      <c r="P3627" s="100"/>
      <c r="Q3627" s="100"/>
      <c r="R3627" s="100"/>
      <c r="S3627" s="100"/>
      <c r="T3627" s="100"/>
      <c r="U3627" s="100"/>
      <c r="V3627" s="100"/>
      <c r="W3627" s="100"/>
      <c r="X3627" s="100"/>
      <c r="Y3627" s="100"/>
      <c r="Z3627" s="100"/>
    </row>
    <row r="3628" spans="1:26">
      <c r="A3628" s="100"/>
      <c r="B3628" s="100"/>
      <c r="C3628" s="100"/>
      <c r="D3628" s="100"/>
      <c r="E3628" s="100"/>
      <c r="F3628" s="100"/>
      <c r="G3628" s="100"/>
      <c r="H3628" s="100"/>
      <c r="I3628" s="100"/>
      <c r="J3628" s="100"/>
      <c r="K3628" s="100"/>
      <c r="L3628" s="100"/>
      <c r="M3628" s="100"/>
      <c r="N3628" s="100"/>
      <c r="O3628" s="100"/>
      <c r="P3628" s="100"/>
      <c r="Q3628" s="100"/>
      <c r="R3628" s="100"/>
      <c r="S3628" s="100"/>
      <c r="T3628" s="100"/>
      <c r="U3628" s="100"/>
      <c r="V3628" s="100"/>
      <c r="W3628" s="100"/>
      <c r="X3628" s="100"/>
      <c r="Y3628" s="100"/>
      <c r="Z3628" s="100"/>
    </row>
    <row r="3629" spans="1:26">
      <c r="A3629" s="100"/>
      <c r="B3629" s="100"/>
      <c r="C3629" s="100"/>
      <c r="D3629" s="100"/>
      <c r="E3629" s="100"/>
      <c r="F3629" s="100"/>
      <c r="G3629" s="100"/>
      <c r="H3629" s="100"/>
      <c r="I3629" s="100"/>
      <c r="J3629" s="100"/>
      <c r="K3629" s="100"/>
      <c r="L3629" s="100"/>
      <c r="M3629" s="100"/>
      <c r="N3629" s="100"/>
      <c r="O3629" s="100"/>
      <c r="P3629" s="100"/>
      <c r="Q3629" s="100"/>
      <c r="R3629" s="100"/>
      <c r="S3629" s="100"/>
      <c r="T3629" s="100"/>
      <c r="U3629" s="100"/>
      <c r="V3629" s="100"/>
      <c r="W3629" s="100"/>
      <c r="X3629" s="100"/>
      <c r="Y3629" s="100"/>
      <c r="Z3629" s="100"/>
    </row>
    <row r="3630" spans="1:26">
      <c r="A3630" s="100"/>
      <c r="B3630" s="100"/>
      <c r="C3630" s="100"/>
      <c r="D3630" s="100"/>
      <c r="E3630" s="100"/>
      <c r="F3630" s="100"/>
      <c r="G3630" s="100"/>
      <c r="H3630" s="100"/>
      <c r="I3630" s="100"/>
      <c r="J3630" s="100"/>
      <c r="K3630" s="100"/>
      <c r="L3630" s="100"/>
      <c r="M3630" s="100"/>
      <c r="N3630" s="100"/>
      <c r="O3630" s="100"/>
      <c r="P3630" s="100"/>
      <c r="Q3630" s="100"/>
      <c r="R3630" s="100"/>
      <c r="S3630" s="100"/>
      <c r="T3630" s="100"/>
      <c r="U3630" s="100"/>
      <c r="V3630" s="100"/>
      <c r="W3630" s="100"/>
      <c r="X3630" s="100"/>
      <c r="Y3630" s="100"/>
      <c r="Z3630" s="100"/>
    </row>
    <row r="3631" spans="1:26">
      <c r="A3631" s="100"/>
      <c r="B3631" s="100"/>
      <c r="C3631" s="100"/>
      <c r="D3631" s="100"/>
      <c r="E3631" s="100"/>
      <c r="F3631" s="100"/>
      <c r="G3631" s="100"/>
      <c r="H3631" s="100"/>
      <c r="I3631" s="100"/>
      <c r="J3631" s="100"/>
      <c r="K3631" s="100"/>
      <c r="L3631" s="100"/>
      <c r="M3631" s="100"/>
      <c r="N3631" s="100"/>
      <c r="O3631" s="100"/>
      <c r="P3631" s="100"/>
      <c r="Q3631" s="100"/>
      <c r="R3631" s="100"/>
      <c r="S3631" s="100"/>
      <c r="T3631" s="100"/>
      <c r="U3631" s="100"/>
      <c r="V3631" s="100"/>
      <c r="W3631" s="100"/>
      <c r="X3631" s="100"/>
      <c r="Y3631" s="100"/>
      <c r="Z3631" s="100"/>
    </row>
    <row r="3632" spans="1:26">
      <c r="A3632" s="100"/>
      <c r="B3632" s="100"/>
      <c r="C3632" s="100"/>
      <c r="D3632" s="100"/>
      <c r="E3632" s="100"/>
      <c r="F3632" s="100"/>
      <c r="G3632" s="100"/>
      <c r="H3632" s="100"/>
      <c r="I3632" s="100"/>
      <c r="J3632" s="100"/>
      <c r="K3632" s="100"/>
      <c r="L3632" s="100"/>
      <c r="M3632" s="100"/>
      <c r="N3632" s="100"/>
      <c r="O3632" s="100"/>
      <c r="P3632" s="100"/>
      <c r="Q3632" s="100"/>
      <c r="R3632" s="100"/>
      <c r="S3632" s="100"/>
      <c r="T3632" s="100"/>
      <c r="U3632" s="100"/>
      <c r="V3632" s="100"/>
      <c r="W3632" s="100"/>
      <c r="X3632" s="100"/>
      <c r="Y3632" s="100"/>
      <c r="Z3632" s="100"/>
    </row>
    <row r="3633" spans="1:26">
      <c r="A3633" s="100"/>
      <c r="B3633" s="100"/>
      <c r="C3633" s="100"/>
      <c r="D3633" s="100"/>
      <c r="E3633" s="100"/>
      <c r="F3633" s="100"/>
      <c r="G3633" s="100"/>
      <c r="H3633" s="100"/>
      <c r="I3633" s="100"/>
      <c r="J3633" s="100"/>
      <c r="K3633" s="100"/>
      <c r="L3633" s="100"/>
      <c r="M3633" s="100"/>
      <c r="N3633" s="100"/>
      <c r="O3633" s="100"/>
      <c r="P3633" s="100"/>
      <c r="Q3633" s="100"/>
      <c r="R3633" s="100"/>
      <c r="S3633" s="100"/>
      <c r="T3633" s="100"/>
      <c r="U3633" s="100"/>
      <c r="V3633" s="100"/>
      <c r="W3633" s="100"/>
      <c r="X3633" s="100"/>
      <c r="Y3633" s="100"/>
      <c r="Z3633" s="100"/>
    </row>
    <row r="3634" spans="1:26">
      <c r="A3634" s="100"/>
      <c r="B3634" s="100"/>
      <c r="C3634" s="100"/>
      <c r="D3634" s="100"/>
      <c r="E3634" s="100"/>
      <c r="F3634" s="100"/>
      <c r="G3634" s="100"/>
      <c r="H3634" s="100"/>
      <c r="I3634" s="100"/>
      <c r="J3634" s="100"/>
      <c r="K3634" s="100"/>
      <c r="L3634" s="100"/>
      <c r="M3634" s="100"/>
      <c r="N3634" s="100"/>
      <c r="O3634" s="100"/>
      <c r="P3634" s="100"/>
      <c r="Q3634" s="100"/>
      <c r="R3634" s="100"/>
      <c r="S3634" s="100"/>
      <c r="T3634" s="100"/>
      <c r="U3634" s="100"/>
      <c r="V3634" s="100"/>
      <c r="W3634" s="100"/>
      <c r="X3634" s="100"/>
      <c r="Y3634" s="100"/>
      <c r="Z3634" s="100"/>
    </row>
    <row r="3635" spans="1:26">
      <c r="A3635" s="100"/>
      <c r="B3635" s="100"/>
      <c r="C3635" s="100"/>
      <c r="D3635" s="100"/>
      <c r="E3635" s="100"/>
      <c r="F3635" s="100"/>
      <c r="G3635" s="100"/>
      <c r="H3635" s="100"/>
      <c r="I3635" s="100"/>
      <c r="J3635" s="100"/>
      <c r="K3635" s="100"/>
      <c r="L3635" s="100"/>
      <c r="M3635" s="100"/>
      <c r="N3635" s="100"/>
      <c r="O3635" s="100"/>
      <c r="P3635" s="100"/>
      <c r="Q3635" s="100"/>
      <c r="R3635" s="100"/>
      <c r="S3635" s="100"/>
      <c r="T3635" s="100"/>
      <c r="U3635" s="100"/>
      <c r="V3635" s="100"/>
      <c r="W3635" s="100"/>
      <c r="X3635" s="100"/>
      <c r="Y3635" s="100"/>
      <c r="Z3635" s="100"/>
    </row>
    <row r="3636" spans="1:26">
      <c r="A3636" s="100"/>
      <c r="B3636" s="100"/>
      <c r="C3636" s="100"/>
      <c r="D3636" s="100"/>
      <c r="E3636" s="100"/>
      <c r="F3636" s="100"/>
      <c r="G3636" s="100"/>
      <c r="H3636" s="100"/>
      <c r="I3636" s="100"/>
      <c r="J3636" s="100"/>
      <c r="K3636" s="100"/>
      <c r="L3636" s="100"/>
      <c r="M3636" s="100"/>
      <c r="N3636" s="100"/>
      <c r="O3636" s="100"/>
      <c r="P3636" s="100"/>
      <c r="Q3636" s="100"/>
      <c r="R3636" s="100"/>
      <c r="S3636" s="100"/>
      <c r="T3636" s="100"/>
      <c r="U3636" s="100"/>
      <c r="V3636" s="100"/>
      <c r="W3636" s="100"/>
      <c r="X3636" s="100"/>
      <c r="Y3636" s="100"/>
      <c r="Z3636" s="100"/>
    </row>
    <row r="3637" spans="1:26">
      <c r="A3637" s="100"/>
      <c r="B3637" s="100"/>
      <c r="C3637" s="100"/>
      <c r="D3637" s="100"/>
      <c r="E3637" s="100"/>
      <c r="F3637" s="100"/>
      <c r="G3637" s="100"/>
      <c r="H3637" s="100"/>
      <c r="I3637" s="100"/>
      <c r="J3637" s="100"/>
      <c r="K3637" s="100"/>
      <c r="L3637" s="100"/>
      <c r="M3637" s="100"/>
      <c r="N3637" s="100"/>
      <c r="O3637" s="100"/>
      <c r="P3637" s="100"/>
      <c r="Q3637" s="100"/>
      <c r="R3637" s="100"/>
      <c r="S3637" s="100"/>
      <c r="T3637" s="100"/>
      <c r="U3637" s="100"/>
      <c r="V3637" s="100"/>
      <c r="W3637" s="100"/>
      <c r="X3637" s="100"/>
      <c r="Y3637" s="100"/>
      <c r="Z3637" s="100"/>
    </row>
    <row r="3638" spans="1:26">
      <c r="A3638" s="100"/>
      <c r="B3638" s="100"/>
      <c r="C3638" s="100"/>
      <c r="D3638" s="100"/>
      <c r="E3638" s="100"/>
      <c r="F3638" s="100"/>
      <c r="G3638" s="100"/>
      <c r="H3638" s="100"/>
      <c r="I3638" s="100"/>
      <c r="J3638" s="100"/>
      <c r="K3638" s="100"/>
      <c r="L3638" s="100"/>
      <c r="M3638" s="100"/>
      <c r="N3638" s="100"/>
      <c r="O3638" s="100"/>
      <c r="P3638" s="100"/>
      <c r="Q3638" s="100"/>
      <c r="R3638" s="100"/>
      <c r="S3638" s="100"/>
      <c r="T3638" s="100"/>
      <c r="U3638" s="100"/>
      <c r="V3638" s="100"/>
      <c r="W3638" s="100"/>
      <c r="X3638" s="100"/>
      <c r="Y3638" s="100"/>
      <c r="Z3638" s="100"/>
    </row>
    <row r="3639" spans="1:26">
      <c r="A3639" s="100"/>
      <c r="B3639" s="100"/>
      <c r="C3639" s="100"/>
      <c r="D3639" s="100"/>
      <c r="E3639" s="100"/>
      <c r="F3639" s="100"/>
      <c r="G3639" s="100"/>
      <c r="H3639" s="100"/>
      <c r="I3639" s="100"/>
      <c r="J3639" s="100"/>
      <c r="K3639" s="100"/>
      <c r="L3639" s="100"/>
      <c r="M3639" s="100"/>
      <c r="N3639" s="100"/>
      <c r="O3639" s="100"/>
      <c r="P3639" s="100"/>
      <c r="Q3639" s="100"/>
      <c r="R3639" s="100"/>
      <c r="S3639" s="100"/>
      <c r="T3639" s="100"/>
      <c r="U3639" s="100"/>
      <c r="V3639" s="100"/>
      <c r="W3639" s="100"/>
      <c r="X3639" s="100"/>
      <c r="Y3639" s="100"/>
      <c r="Z3639" s="100"/>
    </row>
    <row r="3640" spans="1:26">
      <c r="A3640" s="100"/>
      <c r="B3640" s="100"/>
      <c r="C3640" s="100"/>
      <c r="D3640" s="100"/>
      <c r="E3640" s="100"/>
      <c r="F3640" s="100"/>
      <c r="G3640" s="100"/>
      <c r="H3640" s="100"/>
      <c r="I3640" s="100"/>
      <c r="J3640" s="100"/>
      <c r="K3640" s="100"/>
      <c r="L3640" s="100"/>
      <c r="M3640" s="100"/>
      <c r="N3640" s="100"/>
      <c r="O3640" s="100"/>
      <c r="P3640" s="100"/>
      <c r="Q3640" s="100"/>
      <c r="R3640" s="100"/>
      <c r="S3640" s="100"/>
      <c r="T3640" s="100"/>
      <c r="U3640" s="100"/>
      <c r="V3640" s="100"/>
      <c r="W3640" s="100"/>
      <c r="X3640" s="100"/>
      <c r="Y3640" s="100"/>
      <c r="Z3640" s="100"/>
    </row>
    <row r="3641" spans="1:26">
      <c r="A3641" s="100"/>
      <c r="B3641" s="100"/>
      <c r="C3641" s="100"/>
      <c r="D3641" s="100"/>
      <c r="E3641" s="100"/>
      <c r="F3641" s="100"/>
      <c r="G3641" s="100"/>
      <c r="H3641" s="100"/>
      <c r="I3641" s="100"/>
      <c r="J3641" s="100"/>
      <c r="K3641" s="100"/>
      <c r="L3641" s="100"/>
      <c r="M3641" s="100"/>
      <c r="N3641" s="100"/>
      <c r="O3641" s="100"/>
      <c r="P3641" s="100"/>
      <c r="Q3641" s="100"/>
      <c r="R3641" s="100"/>
      <c r="S3641" s="100"/>
      <c r="T3641" s="100"/>
      <c r="U3641" s="100"/>
      <c r="V3641" s="100"/>
      <c r="W3641" s="100"/>
      <c r="X3641" s="100"/>
      <c r="Y3641" s="100"/>
      <c r="Z3641" s="100"/>
    </row>
    <row r="3642" spans="1:26">
      <c r="A3642" s="100"/>
      <c r="B3642" s="100"/>
      <c r="C3642" s="100"/>
      <c r="D3642" s="100"/>
      <c r="E3642" s="100"/>
      <c r="F3642" s="100"/>
      <c r="G3642" s="100"/>
      <c r="H3642" s="100"/>
      <c r="I3642" s="100"/>
      <c r="J3642" s="100"/>
      <c r="K3642" s="100"/>
      <c r="L3642" s="100"/>
      <c r="M3642" s="100"/>
      <c r="N3642" s="100"/>
      <c r="O3642" s="100"/>
      <c r="P3642" s="100"/>
      <c r="Q3642" s="100"/>
      <c r="R3642" s="100"/>
      <c r="S3642" s="100"/>
      <c r="T3642" s="100"/>
      <c r="U3642" s="100"/>
      <c r="V3642" s="100"/>
      <c r="W3642" s="100"/>
      <c r="X3642" s="100"/>
      <c r="Y3642" s="100"/>
      <c r="Z3642" s="100"/>
    </row>
    <row r="3643" spans="1:26">
      <c r="A3643" s="100"/>
      <c r="B3643" s="100"/>
      <c r="C3643" s="100"/>
      <c r="D3643" s="100"/>
      <c r="E3643" s="100"/>
      <c r="F3643" s="100"/>
      <c r="G3643" s="100"/>
      <c r="H3643" s="100"/>
      <c r="I3643" s="100"/>
      <c r="J3643" s="100"/>
      <c r="K3643" s="100"/>
      <c r="L3643" s="100"/>
      <c r="M3643" s="100"/>
      <c r="N3643" s="100"/>
      <c r="O3643" s="100"/>
      <c r="P3643" s="100"/>
      <c r="Q3643" s="100"/>
      <c r="R3643" s="100"/>
      <c r="S3643" s="100"/>
      <c r="T3643" s="100"/>
      <c r="U3643" s="100"/>
      <c r="V3643" s="100"/>
      <c r="W3643" s="100"/>
      <c r="X3643" s="100"/>
      <c r="Y3643" s="100"/>
      <c r="Z3643" s="100"/>
    </row>
    <row r="3644" spans="1:26">
      <c r="A3644" s="100"/>
      <c r="B3644" s="100"/>
      <c r="C3644" s="100"/>
      <c r="D3644" s="100"/>
      <c r="E3644" s="100"/>
      <c r="F3644" s="100"/>
      <c r="G3644" s="100"/>
      <c r="H3644" s="100"/>
      <c r="I3644" s="100"/>
      <c r="J3644" s="100"/>
      <c r="K3644" s="100"/>
      <c r="L3644" s="100"/>
      <c r="M3644" s="100"/>
      <c r="N3644" s="100"/>
      <c r="O3644" s="100"/>
      <c r="P3644" s="100"/>
      <c r="Q3644" s="100"/>
      <c r="R3644" s="100"/>
      <c r="S3644" s="100"/>
      <c r="T3644" s="100"/>
      <c r="U3644" s="100"/>
      <c r="V3644" s="100"/>
      <c r="W3644" s="100"/>
      <c r="X3644" s="100"/>
      <c r="Y3644" s="100"/>
      <c r="Z3644" s="100"/>
    </row>
    <row r="3645" spans="1:26">
      <c r="A3645" s="100"/>
      <c r="B3645" s="100"/>
      <c r="C3645" s="100"/>
      <c r="D3645" s="100"/>
      <c r="E3645" s="100"/>
      <c r="F3645" s="100"/>
      <c r="G3645" s="100"/>
      <c r="H3645" s="100"/>
      <c r="I3645" s="100"/>
      <c r="J3645" s="100"/>
      <c r="K3645" s="100"/>
      <c r="L3645" s="100"/>
      <c r="M3645" s="100"/>
      <c r="N3645" s="100"/>
      <c r="O3645" s="100"/>
      <c r="P3645" s="100"/>
      <c r="Q3645" s="100"/>
      <c r="R3645" s="100"/>
      <c r="S3645" s="100"/>
      <c r="T3645" s="100"/>
      <c r="U3645" s="100"/>
      <c r="V3645" s="100"/>
      <c r="W3645" s="100"/>
      <c r="X3645" s="100"/>
      <c r="Y3645" s="100"/>
      <c r="Z3645" s="100"/>
    </row>
    <row r="3646" spans="1:26">
      <c r="A3646" s="100"/>
      <c r="B3646" s="100"/>
      <c r="C3646" s="100"/>
      <c r="D3646" s="100"/>
      <c r="E3646" s="100"/>
      <c r="F3646" s="100"/>
      <c r="G3646" s="100"/>
      <c r="H3646" s="100"/>
      <c r="I3646" s="100"/>
      <c r="J3646" s="100"/>
      <c r="K3646" s="100"/>
      <c r="L3646" s="100"/>
      <c r="M3646" s="100"/>
      <c r="N3646" s="100"/>
      <c r="O3646" s="100"/>
      <c r="P3646" s="100"/>
      <c r="Q3646" s="100"/>
      <c r="R3646" s="100"/>
      <c r="S3646" s="100"/>
      <c r="T3646" s="100"/>
      <c r="U3646" s="100"/>
      <c r="V3646" s="100"/>
      <c r="W3646" s="100"/>
      <c r="X3646" s="100"/>
      <c r="Y3646" s="100"/>
      <c r="Z3646" s="100"/>
    </row>
    <row r="3647" spans="1:26">
      <c r="A3647" s="100"/>
      <c r="B3647" s="100"/>
      <c r="C3647" s="100"/>
      <c r="D3647" s="100"/>
      <c r="E3647" s="100"/>
      <c r="F3647" s="100"/>
      <c r="G3647" s="100"/>
      <c r="H3647" s="100"/>
      <c r="I3647" s="100"/>
      <c r="J3647" s="100"/>
      <c r="K3647" s="100"/>
      <c r="L3647" s="100"/>
      <c r="M3647" s="100"/>
      <c r="N3647" s="100"/>
      <c r="O3647" s="100"/>
      <c r="P3647" s="100"/>
      <c r="Q3647" s="100"/>
      <c r="R3647" s="100"/>
      <c r="S3647" s="100"/>
      <c r="T3647" s="100"/>
      <c r="U3647" s="100"/>
      <c r="V3647" s="100"/>
      <c r="W3647" s="100"/>
      <c r="X3647" s="100"/>
      <c r="Y3647" s="100"/>
      <c r="Z3647" s="100"/>
    </row>
    <row r="3648" spans="1:26">
      <c r="A3648" s="100"/>
      <c r="B3648" s="100"/>
      <c r="C3648" s="100"/>
      <c r="D3648" s="100"/>
      <c r="E3648" s="100"/>
      <c r="F3648" s="100"/>
      <c r="G3648" s="100"/>
      <c r="H3648" s="100"/>
      <c r="I3648" s="100"/>
      <c r="J3648" s="100"/>
      <c r="K3648" s="100"/>
      <c r="L3648" s="100"/>
      <c r="M3648" s="100"/>
      <c r="N3648" s="100"/>
      <c r="O3648" s="100"/>
      <c r="P3648" s="100"/>
      <c r="Q3648" s="100"/>
      <c r="R3648" s="100"/>
      <c r="S3648" s="100"/>
      <c r="T3648" s="100"/>
      <c r="U3648" s="100"/>
      <c r="V3648" s="100"/>
      <c r="W3648" s="100"/>
      <c r="X3648" s="100"/>
      <c r="Y3648" s="100"/>
      <c r="Z3648" s="100"/>
    </row>
    <row r="3649" spans="1:26">
      <c r="A3649" s="100"/>
      <c r="B3649" s="100"/>
      <c r="C3649" s="100"/>
      <c r="D3649" s="100"/>
      <c r="E3649" s="100"/>
      <c r="F3649" s="100"/>
      <c r="G3649" s="100"/>
      <c r="H3649" s="100"/>
      <c r="I3649" s="100"/>
      <c r="J3649" s="100"/>
      <c r="K3649" s="100"/>
      <c r="L3649" s="100"/>
      <c r="M3649" s="100"/>
      <c r="N3649" s="100"/>
      <c r="O3649" s="100"/>
      <c r="P3649" s="100"/>
      <c r="Q3649" s="100"/>
      <c r="R3649" s="100"/>
      <c r="S3649" s="100"/>
      <c r="T3649" s="100"/>
      <c r="U3649" s="100"/>
      <c r="V3649" s="100"/>
      <c r="W3649" s="100"/>
      <c r="X3649" s="100"/>
      <c r="Y3649" s="100"/>
      <c r="Z3649" s="100"/>
    </row>
    <row r="3650" spans="1:26">
      <c r="A3650" s="100"/>
      <c r="B3650" s="100"/>
      <c r="C3650" s="100"/>
      <c r="D3650" s="100"/>
      <c r="E3650" s="100"/>
      <c r="F3650" s="100"/>
      <c r="G3650" s="100"/>
      <c r="H3650" s="100"/>
      <c r="I3650" s="100"/>
      <c r="J3650" s="100"/>
      <c r="K3650" s="100"/>
      <c r="L3650" s="100"/>
      <c r="M3650" s="100"/>
      <c r="N3650" s="100"/>
      <c r="O3650" s="100"/>
      <c r="P3650" s="100"/>
      <c r="Q3650" s="100"/>
      <c r="R3650" s="100"/>
      <c r="S3650" s="100"/>
      <c r="T3650" s="100"/>
      <c r="U3650" s="100"/>
      <c r="V3650" s="100"/>
      <c r="W3650" s="100"/>
      <c r="X3650" s="100"/>
      <c r="Y3650" s="100"/>
      <c r="Z3650" s="100"/>
    </row>
    <row r="3651" spans="1:26">
      <c r="A3651" s="100"/>
      <c r="B3651" s="100"/>
      <c r="C3651" s="100"/>
      <c r="D3651" s="100"/>
      <c r="E3651" s="100"/>
      <c r="F3651" s="100"/>
      <c r="G3651" s="100"/>
      <c r="H3651" s="100"/>
      <c r="I3651" s="100"/>
      <c r="J3651" s="100"/>
      <c r="K3651" s="100"/>
      <c r="L3651" s="100"/>
      <c r="M3651" s="100"/>
      <c r="N3651" s="100"/>
      <c r="O3651" s="100"/>
      <c r="P3651" s="100"/>
      <c r="Q3651" s="100"/>
      <c r="R3651" s="100"/>
      <c r="S3651" s="100"/>
      <c r="T3651" s="100"/>
      <c r="U3651" s="100"/>
      <c r="V3651" s="100"/>
      <c r="W3651" s="100"/>
      <c r="X3651" s="100"/>
      <c r="Y3651" s="100"/>
      <c r="Z3651" s="100"/>
    </row>
    <row r="3652" spans="1:26">
      <c r="A3652" s="100"/>
      <c r="B3652" s="100"/>
      <c r="C3652" s="100"/>
      <c r="D3652" s="100"/>
      <c r="E3652" s="100"/>
      <c r="F3652" s="100"/>
      <c r="G3652" s="100"/>
      <c r="H3652" s="100"/>
      <c r="I3652" s="100"/>
      <c r="J3652" s="100"/>
      <c r="K3652" s="100"/>
      <c r="L3652" s="100"/>
      <c r="M3652" s="100"/>
      <c r="N3652" s="100"/>
      <c r="O3652" s="100"/>
      <c r="P3652" s="100"/>
      <c r="Q3652" s="100"/>
      <c r="R3652" s="100"/>
      <c r="S3652" s="100"/>
      <c r="T3652" s="100"/>
      <c r="U3652" s="100"/>
      <c r="V3652" s="100"/>
      <c r="W3652" s="100"/>
      <c r="X3652" s="100"/>
      <c r="Y3652" s="100"/>
      <c r="Z3652" s="100"/>
    </row>
    <row r="3653" spans="1:26">
      <c r="A3653" s="100"/>
      <c r="B3653" s="100"/>
      <c r="C3653" s="100"/>
      <c r="D3653" s="100"/>
      <c r="E3653" s="100"/>
      <c r="F3653" s="100"/>
      <c r="G3653" s="100"/>
      <c r="H3653" s="100"/>
      <c r="I3653" s="100"/>
      <c r="J3653" s="100"/>
      <c r="K3653" s="100"/>
      <c r="L3653" s="100"/>
      <c r="M3653" s="100"/>
      <c r="N3653" s="100"/>
      <c r="O3653" s="100"/>
      <c r="P3653" s="100"/>
      <c r="Q3653" s="100"/>
      <c r="R3653" s="100"/>
      <c r="S3653" s="100"/>
      <c r="T3653" s="100"/>
      <c r="U3653" s="100"/>
      <c r="V3653" s="100"/>
      <c r="W3653" s="100"/>
      <c r="X3653" s="100"/>
      <c r="Y3653" s="100"/>
      <c r="Z3653" s="100"/>
    </row>
    <row r="3654" spans="1:26">
      <c r="A3654" s="100"/>
      <c r="B3654" s="100"/>
      <c r="C3654" s="100"/>
      <c r="D3654" s="100"/>
      <c r="E3654" s="100"/>
      <c r="F3654" s="100"/>
      <c r="G3654" s="100"/>
      <c r="H3654" s="100"/>
      <c r="I3654" s="100"/>
      <c r="J3654" s="100"/>
      <c r="K3654" s="100"/>
      <c r="L3654" s="100"/>
      <c r="M3654" s="100"/>
      <c r="N3654" s="100"/>
      <c r="O3654" s="100"/>
      <c r="P3654" s="100"/>
      <c r="Q3654" s="100"/>
      <c r="R3654" s="100"/>
      <c r="S3654" s="100"/>
      <c r="T3654" s="100"/>
      <c r="U3654" s="100"/>
      <c r="V3654" s="100"/>
      <c r="W3654" s="100"/>
      <c r="X3654" s="100"/>
      <c r="Y3654" s="100"/>
      <c r="Z3654" s="100"/>
    </row>
    <row r="3655" spans="1:26">
      <c r="A3655" s="100"/>
      <c r="B3655" s="100"/>
      <c r="C3655" s="100"/>
      <c r="D3655" s="100"/>
      <c r="E3655" s="100"/>
      <c r="F3655" s="100"/>
      <c r="G3655" s="100"/>
      <c r="H3655" s="100"/>
      <c r="I3655" s="100"/>
      <c r="J3655" s="100"/>
      <c r="K3655" s="100"/>
      <c r="L3655" s="100"/>
      <c r="M3655" s="100"/>
      <c r="N3655" s="100"/>
      <c r="O3655" s="100"/>
      <c r="P3655" s="100"/>
      <c r="Q3655" s="100"/>
      <c r="R3655" s="100"/>
      <c r="S3655" s="100"/>
      <c r="T3655" s="100"/>
      <c r="U3655" s="100"/>
      <c r="V3655" s="100"/>
      <c r="W3655" s="100"/>
      <c r="X3655" s="100"/>
      <c r="Y3655" s="100"/>
      <c r="Z3655" s="100"/>
    </row>
    <row r="3656" spans="1:26">
      <c r="A3656" s="100"/>
      <c r="B3656" s="100"/>
      <c r="C3656" s="100"/>
      <c r="D3656" s="100"/>
      <c r="E3656" s="100"/>
      <c r="F3656" s="100"/>
      <c r="G3656" s="100"/>
      <c r="H3656" s="100"/>
      <c r="I3656" s="100"/>
      <c r="J3656" s="100"/>
      <c r="K3656" s="100"/>
      <c r="L3656" s="100"/>
      <c r="M3656" s="100"/>
      <c r="N3656" s="100"/>
      <c r="O3656" s="100"/>
      <c r="P3656" s="100"/>
      <c r="Q3656" s="100"/>
      <c r="R3656" s="100"/>
      <c r="S3656" s="100"/>
      <c r="T3656" s="100"/>
      <c r="U3656" s="100"/>
      <c r="V3656" s="100"/>
      <c r="W3656" s="100"/>
      <c r="X3656" s="100"/>
      <c r="Y3656" s="100"/>
      <c r="Z3656" s="100"/>
    </row>
    <row r="3657" spans="1:26">
      <c r="A3657" s="100"/>
      <c r="B3657" s="100"/>
      <c r="C3657" s="100"/>
      <c r="D3657" s="100"/>
      <c r="E3657" s="100"/>
      <c r="F3657" s="100"/>
      <c r="G3657" s="100"/>
      <c r="H3657" s="100"/>
      <c r="I3657" s="100"/>
      <c r="J3657" s="100"/>
      <c r="K3657" s="100"/>
      <c r="L3657" s="100"/>
      <c r="M3657" s="100"/>
      <c r="N3657" s="100"/>
      <c r="O3657" s="100"/>
      <c r="P3657" s="100"/>
      <c r="Q3657" s="100"/>
      <c r="R3657" s="100"/>
      <c r="S3657" s="100"/>
      <c r="T3657" s="100"/>
      <c r="U3657" s="100"/>
      <c r="V3657" s="100"/>
      <c r="W3657" s="100"/>
      <c r="X3657" s="100"/>
      <c r="Y3657" s="100"/>
      <c r="Z3657" s="100"/>
    </row>
    <row r="3658" spans="1:26">
      <c r="A3658" s="100"/>
      <c r="B3658" s="100"/>
      <c r="C3658" s="100"/>
      <c r="D3658" s="100"/>
      <c r="E3658" s="100"/>
      <c r="F3658" s="100"/>
      <c r="G3658" s="100"/>
      <c r="H3658" s="100"/>
      <c r="I3658" s="100"/>
      <c r="J3658" s="100"/>
      <c r="K3658" s="100"/>
      <c r="L3658" s="100"/>
      <c r="M3658" s="100"/>
      <c r="N3658" s="100"/>
      <c r="O3658" s="100"/>
      <c r="P3658" s="100"/>
      <c r="Q3658" s="100"/>
      <c r="R3658" s="100"/>
      <c r="S3658" s="100"/>
      <c r="T3658" s="100"/>
      <c r="U3658" s="100"/>
      <c r="V3658" s="100"/>
      <c r="W3658" s="100"/>
      <c r="X3658" s="100"/>
      <c r="Y3658" s="100"/>
      <c r="Z3658" s="100"/>
    </row>
    <row r="3659" spans="1:26">
      <c r="A3659" s="100"/>
      <c r="B3659" s="100"/>
      <c r="C3659" s="100"/>
      <c r="D3659" s="100"/>
      <c r="E3659" s="100"/>
      <c r="F3659" s="100"/>
      <c r="G3659" s="100"/>
      <c r="H3659" s="100"/>
      <c r="I3659" s="100"/>
      <c r="J3659" s="100"/>
      <c r="K3659" s="100"/>
      <c r="L3659" s="100"/>
      <c r="M3659" s="100"/>
      <c r="N3659" s="100"/>
      <c r="O3659" s="100"/>
      <c r="P3659" s="100"/>
      <c r="Q3659" s="100"/>
      <c r="R3659" s="100"/>
      <c r="S3659" s="100"/>
      <c r="T3659" s="100"/>
      <c r="U3659" s="100"/>
      <c r="V3659" s="100"/>
      <c r="W3659" s="100"/>
      <c r="X3659" s="100"/>
      <c r="Y3659" s="100"/>
      <c r="Z3659" s="100"/>
    </row>
    <row r="3660" spans="1:26">
      <c r="A3660" s="100"/>
      <c r="B3660" s="100"/>
      <c r="C3660" s="100"/>
      <c r="D3660" s="100"/>
      <c r="E3660" s="100"/>
      <c r="F3660" s="100"/>
      <c r="G3660" s="100"/>
      <c r="H3660" s="100"/>
      <c r="I3660" s="100"/>
      <c r="J3660" s="100"/>
      <c r="K3660" s="100"/>
      <c r="L3660" s="100"/>
      <c r="M3660" s="100"/>
      <c r="N3660" s="100"/>
      <c r="O3660" s="100"/>
      <c r="P3660" s="100"/>
      <c r="Q3660" s="100"/>
      <c r="R3660" s="100"/>
      <c r="S3660" s="100"/>
      <c r="T3660" s="100"/>
      <c r="U3660" s="100"/>
      <c r="V3660" s="100"/>
      <c r="W3660" s="100"/>
      <c r="X3660" s="100"/>
      <c r="Y3660" s="100"/>
      <c r="Z3660" s="100"/>
    </row>
    <row r="3661" spans="1:26">
      <c r="A3661" s="100"/>
      <c r="B3661" s="100"/>
      <c r="C3661" s="100"/>
      <c r="D3661" s="100"/>
      <c r="E3661" s="100"/>
      <c r="F3661" s="100"/>
      <c r="G3661" s="100"/>
      <c r="H3661" s="100"/>
      <c r="I3661" s="100"/>
      <c r="J3661" s="100"/>
      <c r="K3661" s="100"/>
      <c r="L3661" s="100"/>
      <c r="M3661" s="100"/>
      <c r="N3661" s="100"/>
      <c r="O3661" s="100"/>
      <c r="P3661" s="100"/>
      <c r="Q3661" s="100"/>
      <c r="R3661" s="100"/>
      <c r="S3661" s="100"/>
      <c r="T3661" s="100"/>
      <c r="U3661" s="100"/>
      <c r="V3661" s="100"/>
      <c r="W3661" s="100"/>
      <c r="X3661" s="100"/>
      <c r="Y3661" s="100"/>
      <c r="Z3661" s="100"/>
    </row>
    <row r="3662" spans="1:26">
      <c r="A3662" s="100"/>
      <c r="B3662" s="100"/>
      <c r="C3662" s="100"/>
      <c r="D3662" s="100"/>
      <c r="E3662" s="100"/>
      <c r="F3662" s="100"/>
      <c r="G3662" s="100"/>
      <c r="H3662" s="100"/>
      <c r="I3662" s="100"/>
      <c r="J3662" s="100"/>
      <c r="K3662" s="100"/>
      <c r="L3662" s="100"/>
      <c r="M3662" s="100"/>
      <c r="N3662" s="100"/>
      <c r="O3662" s="100"/>
      <c r="P3662" s="100"/>
      <c r="Q3662" s="100"/>
      <c r="R3662" s="100"/>
      <c r="S3662" s="100"/>
      <c r="T3662" s="100"/>
      <c r="U3662" s="100"/>
      <c r="V3662" s="100"/>
      <c r="W3662" s="100"/>
      <c r="X3662" s="100"/>
      <c r="Y3662" s="100"/>
      <c r="Z3662" s="100"/>
    </row>
    <row r="3663" spans="1:26">
      <c r="A3663" s="100"/>
      <c r="B3663" s="100"/>
      <c r="C3663" s="100"/>
      <c r="D3663" s="100"/>
      <c r="E3663" s="100"/>
      <c r="F3663" s="100"/>
      <c r="G3663" s="100"/>
      <c r="H3663" s="100"/>
      <c r="I3663" s="100"/>
      <c r="J3663" s="100"/>
      <c r="K3663" s="100"/>
      <c r="L3663" s="100"/>
      <c r="M3663" s="100"/>
      <c r="N3663" s="100"/>
      <c r="O3663" s="100"/>
      <c r="P3663" s="100"/>
      <c r="Q3663" s="100"/>
      <c r="R3663" s="100"/>
      <c r="S3663" s="100"/>
      <c r="T3663" s="100"/>
      <c r="U3663" s="100"/>
      <c r="V3663" s="100"/>
      <c r="W3663" s="100"/>
      <c r="X3663" s="100"/>
      <c r="Y3663" s="100"/>
      <c r="Z3663" s="100"/>
    </row>
    <row r="3664" spans="1:26">
      <c r="A3664" s="100"/>
      <c r="B3664" s="100"/>
      <c r="C3664" s="100"/>
      <c r="D3664" s="100"/>
      <c r="E3664" s="100"/>
      <c r="F3664" s="100"/>
      <c r="G3664" s="100"/>
      <c r="H3664" s="100"/>
      <c r="I3664" s="100"/>
      <c r="J3664" s="100"/>
      <c r="K3664" s="100"/>
      <c r="L3664" s="100"/>
      <c r="M3664" s="100"/>
      <c r="N3664" s="100"/>
      <c r="O3664" s="100"/>
      <c r="P3664" s="100"/>
      <c r="Q3664" s="100"/>
      <c r="R3664" s="100"/>
      <c r="S3664" s="100"/>
      <c r="T3664" s="100"/>
      <c r="U3664" s="100"/>
      <c r="V3664" s="100"/>
      <c r="W3664" s="100"/>
      <c r="X3664" s="100"/>
      <c r="Y3664" s="100"/>
      <c r="Z3664" s="100"/>
    </row>
    <row r="3665" spans="1:26">
      <c r="A3665" s="100"/>
      <c r="B3665" s="100"/>
      <c r="C3665" s="100"/>
      <c r="D3665" s="100"/>
      <c r="E3665" s="100"/>
      <c r="F3665" s="100"/>
      <c r="G3665" s="100"/>
      <c r="H3665" s="100"/>
      <c r="I3665" s="100"/>
      <c r="J3665" s="100"/>
      <c r="K3665" s="100"/>
      <c r="L3665" s="100"/>
      <c r="M3665" s="100"/>
      <c r="N3665" s="100"/>
      <c r="O3665" s="100"/>
      <c r="P3665" s="100"/>
      <c r="Q3665" s="100"/>
      <c r="R3665" s="100"/>
      <c r="S3665" s="100"/>
      <c r="T3665" s="100"/>
      <c r="U3665" s="100"/>
      <c r="V3665" s="100"/>
      <c r="W3665" s="100"/>
      <c r="X3665" s="100"/>
      <c r="Y3665" s="100"/>
      <c r="Z3665" s="100"/>
    </row>
    <row r="3666" spans="1:26">
      <c r="A3666" s="100"/>
      <c r="B3666" s="100"/>
      <c r="C3666" s="100"/>
      <c r="D3666" s="100"/>
      <c r="E3666" s="100"/>
      <c r="F3666" s="100"/>
      <c r="G3666" s="100"/>
      <c r="H3666" s="100"/>
      <c r="I3666" s="100"/>
      <c r="J3666" s="100"/>
      <c r="K3666" s="100"/>
      <c r="L3666" s="100"/>
      <c r="M3666" s="100"/>
      <c r="N3666" s="100"/>
      <c r="O3666" s="100"/>
      <c r="P3666" s="100"/>
      <c r="Q3666" s="100"/>
      <c r="R3666" s="100"/>
      <c r="S3666" s="100"/>
      <c r="T3666" s="100"/>
      <c r="U3666" s="100"/>
      <c r="V3666" s="100"/>
      <c r="W3666" s="100"/>
      <c r="X3666" s="100"/>
      <c r="Y3666" s="100"/>
      <c r="Z3666" s="100"/>
    </row>
    <row r="3667" spans="1:26">
      <c r="A3667" s="100"/>
      <c r="B3667" s="100"/>
      <c r="C3667" s="100"/>
      <c r="D3667" s="100"/>
      <c r="E3667" s="100"/>
      <c r="F3667" s="100"/>
      <c r="G3667" s="100"/>
      <c r="H3667" s="100"/>
      <c r="I3667" s="100"/>
      <c r="J3667" s="100"/>
      <c r="K3667" s="100"/>
      <c r="L3667" s="100"/>
      <c r="M3667" s="100"/>
      <c r="N3667" s="100"/>
      <c r="O3667" s="100"/>
      <c r="P3667" s="100"/>
      <c r="Q3667" s="100"/>
      <c r="R3667" s="100"/>
      <c r="S3667" s="100"/>
      <c r="T3667" s="100"/>
      <c r="U3667" s="100"/>
      <c r="V3667" s="100"/>
      <c r="W3667" s="100"/>
      <c r="X3667" s="100"/>
      <c r="Y3667" s="100"/>
      <c r="Z3667" s="100"/>
    </row>
    <row r="3668" spans="1:26">
      <c r="A3668" s="100"/>
      <c r="B3668" s="100"/>
      <c r="C3668" s="100"/>
      <c r="D3668" s="100"/>
      <c r="E3668" s="100"/>
      <c r="F3668" s="100"/>
      <c r="G3668" s="100"/>
      <c r="H3668" s="100"/>
      <c r="I3668" s="100"/>
      <c r="J3668" s="100"/>
      <c r="K3668" s="100"/>
      <c r="L3668" s="100"/>
      <c r="M3668" s="100"/>
      <c r="N3668" s="100"/>
      <c r="O3668" s="100"/>
      <c r="P3668" s="100"/>
      <c r="Q3668" s="100"/>
      <c r="R3668" s="100"/>
      <c r="S3668" s="100"/>
      <c r="T3668" s="100"/>
      <c r="U3668" s="100"/>
      <c r="V3668" s="100"/>
      <c r="W3668" s="100"/>
      <c r="X3668" s="100"/>
      <c r="Y3668" s="100"/>
      <c r="Z3668" s="100"/>
    </row>
    <row r="3669" spans="1:26">
      <c r="A3669" s="100"/>
      <c r="B3669" s="100"/>
      <c r="C3669" s="100"/>
      <c r="D3669" s="100"/>
      <c r="E3669" s="100"/>
      <c r="F3669" s="100"/>
      <c r="G3669" s="100"/>
      <c r="H3669" s="100"/>
      <c r="I3669" s="100"/>
      <c r="J3669" s="100"/>
      <c r="K3669" s="100"/>
      <c r="L3669" s="100"/>
      <c r="M3669" s="100"/>
      <c r="N3669" s="100"/>
      <c r="O3669" s="100"/>
      <c r="P3669" s="100"/>
      <c r="Q3669" s="100"/>
      <c r="R3669" s="100"/>
      <c r="S3669" s="100"/>
      <c r="T3669" s="100"/>
      <c r="U3669" s="100"/>
      <c r="V3669" s="100"/>
      <c r="W3669" s="100"/>
      <c r="X3669" s="100"/>
      <c r="Y3669" s="100"/>
      <c r="Z3669" s="100"/>
    </row>
    <row r="3670" spans="1:26">
      <c r="A3670" s="100"/>
      <c r="B3670" s="100"/>
      <c r="C3670" s="100"/>
      <c r="D3670" s="100"/>
      <c r="E3670" s="100"/>
      <c r="F3670" s="100"/>
      <c r="G3670" s="100"/>
      <c r="H3670" s="100"/>
      <c r="I3670" s="100"/>
      <c r="J3670" s="100"/>
      <c r="K3670" s="100"/>
      <c r="L3670" s="100"/>
      <c r="M3670" s="100"/>
      <c r="N3670" s="100"/>
      <c r="O3670" s="100"/>
      <c r="P3670" s="100"/>
      <c r="Q3670" s="100"/>
      <c r="R3670" s="100"/>
      <c r="S3670" s="100"/>
      <c r="T3670" s="100"/>
      <c r="U3670" s="100"/>
      <c r="V3670" s="100"/>
      <c r="W3670" s="100"/>
      <c r="X3670" s="100"/>
      <c r="Y3670" s="100"/>
      <c r="Z3670" s="100"/>
    </row>
    <row r="3671" spans="1:26">
      <c r="A3671" s="100"/>
      <c r="B3671" s="100"/>
      <c r="C3671" s="100"/>
      <c r="D3671" s="100"/>
      <c r="E3671" s="100"/>
      <c r="F3671" s="100"/>
      <c r="G3671" s="100"/>
      <c r="H3671" s="100"/>
      <c r="I3671" s="100"/>
      <c r="J3671" s="100"/>
      <c r="K3671" s="100"/>
      <c r="L3671" s="100"/>
      <c r="M3671" s="100"/>
      <c r="N3671" s="100"/>
      <c r="O3671" s="100"/>
      <c r="P3671" s="100"/>
      <c r="Q3671" s="100"/>
      <c r="R3671" s="100"/>
      <c r="S3671" s="100"/>
      <c r="T3671" s="100"/>
      <c r="U3671" s="100"/>
      <c r="V3671" s="100"/>
      <c r="W3671" s="100"/>
      <c r="X3671" s="100"/>
      <c r="Y3671" s="100"/>
      <c r="Z3671" s="100"/>
    </row>
    <row r="3672" spans="1:26">
      <c r="A3672" s="100"/>
      <c r="B3672" s="100"/>
      <c r="C3672" s="100"/>
      <c r="D3672" s="100"/>
      <c r="E3672" s="100"/>
      <c r="F3672" s="100"/>
      <c r="G3672" s="100"/>
      <c r="H3672" s="100"/>
      <c r="I3672" s="100"/>
      <c r="J3672" s="100"/>
      <c r="K3672" s="100"/>
      <c r="L3672" s="100"/>
      <c r="M3672" s="100"/>
      <c r="N3672" s="100"/>
      <c r="O3672" s="100"/>
      <c r="P3672" s="100"/>
      <c r="Q3672" s="100"/>
      <c r="R3672" s="100"/>
      <c r="S3672" s="100"/>
      <c r="T3672" s="100"/>
      <c r="U3672" s="100"/>
      <c r="V3672" s="100"/>
      <c r="W3672" s="100"/>
      <c r="X3672" s="100"/>
      <c r="Y3672" s="100"/>
      <c r="Z3672" s="100"/>
    </row>
    <row r="3673" spans="1:26">
      <c r="A3673" s="100"/>
      <c r="B3673" s="100"/>
      <c r="C3673" s="100"/>
      <c r="D3673" s="100"/>
      <c r="E3673" s="100"/>
      <c r="F3673" s="100"/>
      <c r="G3673" s="100"/>
      <c r="H3673" s="100"/>
      <c r="I3673" s="100"/>
      <c r="J3673" s="100"/>
      <c r="K3673" s="100"/>
      <c r="L3673" s="100"/>
      <c r="M3673" s="100"/>
      <c r="N3673" s="100"/>
      <c r="O3673" s="100"/>
      <c r="P3673" s="100"/>
      <c r="Q3673" s="100"/>
      <c r="R3673" s="100"/>
      <c r="S3673" s="100"/>
      <c r="T3673" s="100"/>
      <c r="U3673" s="100"/>
      <c r="V3673" s="100"/>
      <c r="W3673" s="100"/>
      <c r="X3673" s="100"/>
      <c r="Y3673" s="100"/>
      <c r="Z3673" s="100"/>
    </row>
    <row r="3674" spans="1:26">
      <c r="A3674" s="100"/>
      <c r="B3674" s="100"/>
      <c r="C3674" s="100"/>
      <c r="D3674" s="100"/>
      <c r="E3674" s="100"/>
      <c r="F3674" s="100"/>
      <c r="G3674" s="100"/>
      <c r="H3674" s="100"/>
      <c r="I3674" s="100"/>
      <c r="J3674" s="100"/>
      <c r="K3674" s="100"/>
      <c r="L3674" s="100"/>
      <c r="M3674" s="100"/>
      <c r="N3674" s="100"/>
      <c r="O3674" s="100"/>
      <c r="P3674" s="100"/>
      <c r="Q3674" s="100"/>
      <c r="R3674" s="100"/>
      <c r="S3674" s="100"/>
      <c r="T3674" s="100"/>
      <c r="U3674" s="100"/>
      <c r="V3674" s="100"/>
      <c r="W3674" s="100"/>
      <c r="X3674" s="100"/>
      <c r="Y3674" s="100"/>
      <c r="Z3674" s="100"/>
    </row>
    <row r="3675" spans="1:26">
      <c r="A3675" s="100"/>
      <c r="B3675" s="100"/>
      <c r="C3675" s="100"/>
      <c r="D3675" s="100"/>
      <c r="E3675" s="100"/>
      <c r="F3675" s="100"/>
      <c r="G3675" s="100"/>
      <c r="H3675" s="100"/>
      <c r="I3675" s="100"/>
      <c r="J3675" s="100"/>
      <c r="K3675" s="100"/>
      <c r="L3675" s="100"/>
      <c r="M3675" s="100"/>
      <c r="N3675" s="100"/>
      <c r="O3675" s="100"/>
      <c r="P3675" s="100"/>
      <c r="Q3675" s="100"/>
      <c r="R3675" s="100"/>
      <c r="S3675" s="100"/>
      <c r="T3675" s="100"/>
      <c r="U3675" s="100"/>
      <c r="V3675" s="100"/>
      <c r="W3675" s="100"/>
      <c r="X3675" s="100"/>
      <c r="Y3675" s="100"/>
      <c r="Z3675" s="100"/>
    </row>
    <row r="3676" spans="1:26">
      <c r="A3676" s="100"/>
      <c r="B3676" s="100"/>
      <c r="C3676" s="100"/>
      <c r="D3676" s="100"/>
      <c r="E3676" s="100"/>
      <c r="F3676" s="100"/>
      <c r="G3676" s="100"/>
      <c r="H3676" s="100"/>
      <c r="I3676" s="100"/>
      <c r="J3676" s="100"/>
      <c r="K3676" s="100"/>
      <c r="L3676" s="100"/>
      <c r="M3676" s="100"/>
      <c r="N3676" s="100"/>
      <c r="O3676" s="100"/>
      <c r="P3676" s="100"/>
      <c r="Q3676" s="100"/>
      <c r="R3676" s="100"/>
      <c r="S3676" s="100"/>
      <c r="T3676" s="100"/>
      <c r="U3676" s="100"/>
      <c r="V3676" s="100"/>
      <c r="W3676" s="100"/>
      <c r="X3676" s="100"/>
      <c r="Y3676" s="100"/>
      <c r="Z3676" s="100"/>
    </row>
    <row r="3677" spans="1:26">
      <c r="A3677" s="100"/>
      <c r="B3677" s="100"/>
      <c r="C3677" s="100"/>
      <c r="D3677" s="100"/>
      <c r="E3677" s="100"/>
      <c r="F3677" s="100"/>
      <c r="G3677" s="100"/>
      <c r="H3677" s="100"/>
      <c r="I3677" s="100"/>
      <c r="J3677" s="100"/>
      <c r="K3677" s="100"/>
      <c r="L3677" s="100"/>
      <c r="M3677" s="100"/>
      <c r="N3677" s="100"/>
      <c r="O3677" s="100"/>
      <c r="P3677" s="100"/>
      <c r="Q3677" s="100"/>
      <c r="R3677" s="100"/>
      <c r="S3677" s="100"/>
      <c r="T3677" s="100"/>
      <c r="U3677" s="100"/>
      <c r="V3677" s="100"/>
      <c r="W3677" s="100"/>
      <c r="X3677" s="100"/>
      <c r="Y3677" s="100"/>
      <c r="Z3677" s="100"/>
    </row>
    <row r="3678" spans="1:26">
      <c r="A3678" s="100"/>
      <c r="B3678" s="100"/>
      <c r="C3678" s="100"/>
      <c r="D3678" s="100"/>
      <c r="E3678" s="100"/>
      <c r="F3678" s="100"/>
      <c r="G3678" s="100"/>
      <c r="H3678" s="100"/>
      <c r="I3678" s="100"/>
      <c r="J3678" s="100"/>
      <c r="K3678" s="100"/>
      <c r="L3678" s="100"/>
      <c r="M3678" s="100"/>
      <c r="N3678" s="100"/>
      <c r="O3678" s="100"/>
      <c r="P3678" s="100"/>
      <c r="Q3678" s="100"/>
      <c r="R3678" s="100"/>
      <c r="S3678" s="100"/>
      <c r="T3678" s="100"/>
      <c r="U3678" s="100"/>
      <c r="V3678" s="100"/>
      <c r="W3678" s="100"/>
      <c r="X3678" s="100"/>
      <c r="Y3678" s="100"/>
      <c r="Z3678" s="100"/>
    </row>
    <row r="3679" spans="1:26">
      <c r="A3679" s="100"/>
      <c r="B3679" s="100"/>
      <c r="C3679" s="100"/>
      <c r="D3679" s="100"/>
      <c r="E3679" s="100"/>
      <c r="F3679" s="100"/>
      <c r="G3679" s="100"/>
      <c r="H3679" s="100"/>
      <c r="I3679" s="100"/>
      <c r="J3679" s="100"/>
      <c r="K3679" s="100"/>
      <c r="L3679" s="100"/>
      <c r="M3679" s="100"/>
      <c r="N3679" s="100"/>
      <c r="O3679" s="100"/>
      <c r="P3679" s="100"/>
      <c r="Q3679" s="100"/>
      <c r="R3679" s="100"/>
      <c r="S3679" s="100"/>
      <c r="T3679" s="100"/>
      <c r="U3679" s="100"/>
      <c r="V3679" s="100"/>
      <c r="W3679" s="100"/>
      <c r="X3679" s="100"/>
      <c r="Y3679" s="100"/>
      <c r="Z3679" s="100"/>
    </row>
    <row r="3680" spans="1:26">
      <c r="A3680" s="100"/>
      <c r="B3680" s="100"/>
      <c r="C3680" s="100"/>
      <c r="D3680" s="100"/>
      <c r="E3680" s="100"/>
      <c r="F3680" s="100"/>
      <c r="G3680" s="100"/>
      <c r="H3680" s="100"/>
      <c r="I3680" s="100"/>
      <c r="J3680" s="100"/>
      <c r="K3680" s="100"/>
      <c r="L3680" s="100"/>
      <c r="M3680" s="100"/>
      <c r="N3680" s="100"/>
      <c r="O3680" s="100"/>
      <c r="P3680" s="100"/>
      <c r="Q3680" s="100"/>
      <c r="R3680" s="100"/>
      <c r="S3680" s="100"/>
      <c r="T3680" s="100"/>
      <c r="U3680" s="100"/>
      <c r="V3680" s="100"/>
      <c r="W3680" s="100"/>
      <c r="X3680" s="100"/>
      <c r="Y3680" s="100"/>
      <c r="Z3680" s="100"/>
    </row>
    <row r="3681" spans="1:26">
      <c r="A3681" s="100"/>
      <c r="B3681" s="100"/>
      <c r="C3681" s="100"/>
      <c r="D3681" s="100"/>
      <c r="E3681" s="100"/>
      <c r="F3681" s="100"/>
      <c r="G3681" s="100"/>
      <c r="H3681" s="100"/>
      <c r="I3681" s="100"/>
      <c r="J3681" s="100"/>
      <c r="K3681" s="100"/>
      <c r="L3681" s="100"/>
      <c r="M3681" s="100"/>
      <c r="N3681" s="100"/>
      <c r="O3681" s="100"/>
      <c r="P3681" s="100"/>
      <c r="Q3681" s="100"/>
      <c r="R3681" s="100"/>
      <c r="S3681" s="100"/>
      <c r="T3681" s="100"/>
      <c r="U3681" s="100"/>
      <c r="V3681" s="100"/>
      <c r="W3681" s="100"/>
      <c r="X3681" s="100"/>
      <c r="Y3681" s="100"/>
      <c r="Z3681" s="100"/>
    </row>
    <row r="3682" spans="1:26">
      <c r="A3682" s="100"/>
      <c r="B3682" s="100"/>
      <c r="C3682" s="100"/>
      <c r="D3682" s="100"/>
      <c r="E3682" s="100"/>
      <c r="F3682" s="100"/>
      <c r="G3682" s="100"/>
      <c r="H3682" s="100"/>
      <c r="I3682" s="100"/>
      <c r="J3682" s="100"/>
      <c r="K3682" s="100"/>
      <c r="L3682" s="100"/>
      <c r="M3682" s="100"/>
      <c r="N3682" s="100"/>
      <c r="O3682" s="100"/>
      <c r="P3682" s="100"/>
      <c r="Q3682" s="100"/>
      <c r="R3682" s="100"/>
      <c r="S3682" s="100"/>
      <c r="T3682" s="100"/>
      <c r="U3682" s="100"/>
      <c r="V3682" s="100"/>
      <c r="W3682" s="100"/>
      <c r="X3682" s="100"/>
      <c r="Y3682" s="100"/>
      <c r="Z3682" s="100"/>
    </row>
    <row r="3683" spans="1:26">
      <c r="A3683" s="100"/>
      <c r="B3683" s="100"/>
      <c r="C3683" s="100"/>
      <c r="D3683" s="100"/>
      <c r="E3683" s="100"/>
      <c r="F3683" s="100"/>
      <c r="G3683" s="100"/>
      <c r="H3683" s="100"/>
      <c r="I3683" s="100"/>
      <c r="J3683" s="100"/>
      <c r="K3683" s="100"/>
      <c r="L3683" s="100"/>
      <c r="M3683" s="100"/>
      <c r="N3683" s="100"/>
      <c r="O3683" s="100"/>
      <c r="P3683" s="100"/>
      <c r="Q3683" s="100"/>
      <c r="R3683" s="100"/>
      <c r="S3683" s="100"/>
      <c r="T3683" s="100"/>
      <c r="U3683" s="100"/>
      <c r="V3683" s="100"/>
      <c r="W3683" s="100"/>
      <c r="X3683" s="100"/>
      <c r="Y3683" s="100"/>
      <c r="Z3683" s="100"/>
    </row>
    <row r="3684" spans="1:26">
      <c r="A3684" s="100"/>
      <c r="B3684" s="100"/>
      <c r="C3684" s="100"/>
      <c r="D3684" s="100"/>
      <c r="E3684" s="100"/>
      <c r="F3684" s="100"/>
      <c r="G3684" s="100"/>
      <c r="H3684" s="100"/>
      <c r="I3684" s="100"/>
      <c r="J3684" s="100"/>
      <c r="K3684" s="100"/>
      <c r="L3684" s="100"/>
      <c r="M3684" s="100"/>
      <c r="N3684" s="100"/>
      <c r="O3684" s="100"/>
      <c r="P3684" s="100"/>
      <c r="Q3684" s="100"/>
      <c r="R3684" s="100"/>
      <c r="S3684" s="100"/>
      <c r="T3684" s="100"/>
      <c r="U3684" s="100"/>
      <c r="V3684" s="100"/>
      <c r="W3684" s="100"/>
      <c r="X3684" s="100"/>
      <c r="Y3684" s="100"/>
      <c r="Z3684" s="100"/>
    </row>
    <row r="3685" spans="1:26">
      <c r="A3685" s="100"/>
      <c r="B3685" s="100"/>
      <c r="C3685" s="100"/>
      <c r="D3685" s="100"/>
      <c r="E3685" s="100"/>
      <c r="F3685" s="100"/>
      <c r="G3685" s="100"/>
      <c r="H3685" s="100"/>
      <c r="I3685" s="100"/>
      <c r="J3685" s="100"/>
      <c r="K3685" s="100"/>
      <c r="L3685" s="100"/>
      <c r="M3685" s="100"/>
      <c r="N3685" s="100"/>
      <c r="O3685" s="100"/>
      <c r="P3685" s="100"/>
      <c r="Q3685" s="100"/>
      <c r="R3685" s="100"/>
      <c r="S3685" s="100"/>
      <c r="T3685" s="100"/>
      <c r="U3685" s="100"/>
      <c r="V3685" s="100"/>
      <c r="W3685" s="100"/>
      <c r="X3685" s="100"/>
      <c r="Y3685" s="100"/>
      <c r="Z3685" s="100"/>
    </row>
    <row r="3686" spans="1:26">
      <c r="A3686" s="100"/>
      <c r="B3686" s="100"/>
      <c r="C3686" s="100"/>
      <c r="D3686" s="100"/>
      <c r="E3686" s="100"/>
      <c r="F3686" s="100"/>
      <c r="G3686" s="100"/>
      <c r="H3686" s="100"/>
      <c r="I3686" s="100"/>
      <c r="J3686" s="100"/>
      <c r="K3686" s="100"/>
      <c r="L3686" s="100"/>
      <c r="M3686" s="100"/>
      <c r="N3686" s="100"/>
      <c r="O3686" s="100"/>
      <c r="P3686" s="100"/>
      <c r="Q3686" s="100"/>
      <c r="R3686" s="100"/>
      <c r="S3686" s="100"/>
      <c r="T3686" s="100"/>
      <c r="U3686" s="100"/>
      <c r="V3686" s="100"/>
      <c r="W3686" s="100"/>
      <c r="X3686" s="100"/>
      <c r="Y3686" s="100"/>
      <c r="Z3686" s="100"/>
    </row>
    <row r="3687" spans="1:26">
      <c r="A3687" s="100"/>
      <c r="B3687" s="100"/>
      <c r="C3687" s="100"/>
      <c r="D3687" s="100"/>
      <c r="E3687" s="100"/>
      <c r="F3687" s="100"/>
      <c r="G3687" s="100"/>
      <c r="H3687" s="100"/>
      <c r="I3687" s="100"/>
      <c r="J3687" s="100"/>
      <c r="K3687" s="100"/>
      <c r="L3687" s="100"/>
      <c r="M3687" s="100"/>
      <c r="N3687" s="100"/>
      <c r="O3687" s="100"/>
      <c r="P3687" s="100"/>
      <c r="Q3687" s="100"/>
      <c r="R3687" s="100"/>
      <c r="S3687" s="100"/>
      <c r="T3687" s="100"/>
      <c r="U3687" s="100"/>
      <c r="V3687" s="100"/>
      <c r="W3687" s="100"/>
      <c r="X3687" s="100"/>
      <c r="Y3687" s="100"/>
      <c r="Z3687" s="100"/>
    </row>
    <row r="3688" spans="1:26">
      <c r="A3688" s="100"/>
      <c r="B3688" s="100"/>
      <c r="C3688" s="100"/>
      <c r="D3688" s="100"/>
      <c r="E3688" s="100"/>
      <c r="F3688" s="100"/>
      <c r="G3688" s="100"/>
      <c r="H3688" s="100"/>
      <c r="I3688" s="100"/>
      <c r="J3688" s="100"/>
      <c r="K3688" s="100"/>
      <c r="L3688" s="100"/>
      <c r="M3688" s="100"/>
      <c r="N3688" s="100"/>
      <c r="O3688" s="100"/>
      <c r="P3688" s="100"/>
      <c r="Q3688" s="100"/>
      <c r="R3688" s="100"/>
      <c r="S3688" s="100"/>
      <c r="T3688" s="100"/>
      <c r="U3688" s="100"/>
      <c r="V3688" s="100"/>
      <c r="W3688" s="100"/>
      <c r="X3688" s="100"/>
      <c r="Y3688" s="100"/>
      <c r="Z3688" s="100"/>
    </row>
    <row r="3689" spans="1:26">
      <c r="A3689" s="100"/>
      <c r="B3689" s="100"/>
      <c r="C3689" s="100"/>
      <c r="D3689" s="100"/>
      <c r="E3689" s="100"/>
      <c r="F3689" s="100"/>
      <c r="G3689" s="100"/>
      <c r="H3689" s="100"/>
      <c r="I3689" s="100"/>
      <c r="J3689" s="100"/>
      <c r="K3689" s="100"/>
      <c r="L3689" s="100"/>
      <c r="M3689" s="100"/>
      <c r="N3689" s="100"/>
      <c r="O3689" s="100"/>
      <c r="P3689" s="100"/>
      <c r="Q3689" s="100"/>
      <c r="R3689" s="100"/>
      <c r="S3689" s="100"/>
      <c r="T3689" s="100"/>
      <c r="U3689" s="100"/>
      <c r="V3689" s="100"/>
      <c r="W3689" s="100"/>
      <c r="X3689" s="100"/>
      <c r="Y3689" s="100"/>
      <c r="Z3689" s="100"/>
    </row>
    <row r="3690" spans="1:26">
      <c r="A3690" s="100"/>
      <c r="B3690" s="100"/>
      <c r="C3690" s="100"/>
      <c r="D3690" s="100"/>
      <c r="E3690" s="100"/>
      <c r="F3690" s="100"/>
      <c r="G3690" s="100"/>
      <c r="H3690" s="100"/>
      <c r="I3690" s="100"/>
      <c r="J3690" s="100"/>
      <c r="K3690" s="100"/>
      <c r="L3690" s="100"/>
      <c r="M3690" s="100"/>
      <c r="N3690" s="100"/>
      <c r="O3690" s="100"/>
      <c r="P3690" s="100"/>
      <c r="Q3690" s="100"/>
      <c r="R3690" s="100"/>
      <c r="S3690" s="100"/>
      <c r="T3690" s="100"/>
      <c r="U3690" s="100"/>
      <c r="V3690" s="100"/>
      <c r="W3690" s="100"/>
      <c r="X3690" s="100"/>
      <c r="Y3690" s="100"/>
      <c r="Z3690" s="100"/>
    </row>
    <row r="3691" spans="1:26">
      <c r="A3691" s="100"/>
      <c r="B3691" s="100"/>
      <c r="C3691" s="100"/>
      <c r="D3691" s="100"/>
      <c r="E3691" s="100"/>
      <c r="F3691" s="100"/>
      <c r="G3691" s="100"/>
      <c r="H3691" s="100"/>
      <c r="I3691" s="100"/>
      <c r="J3691" s="100"/>
      <c r="K3691" s="100"/>
      <c r="L3691" s="100"/>
      <c r="M3691" s="100"/>
      <c r="N3691" s="100"/>
      <c r="O3691" s="100"/>
      <c r="P3691" s="100"/>
      <c r="Q3691" s="100"/>
      <c r="R3691" s="100"/>
      <c r="S3691" s="100"/>
      <c r="T3691" s="100"/>
      <c r="U3691" s="100"/>
      <c r="V3691" s="100"/>
      <c r="W3691" s="100"/>
      <c r="X3691" s="100"/>
      <c r="Y3691" s="100"/>
      <c r="Z3691" s="100"/>
    </row>
    <row r="3692" spans="1:26">
      <c r="A3692" s="100"/>
      <c r="B3692" s="100"/>
      <c r="C3692" s="100"/>
      <c r="D3692" s="100"/>
      <c r="E3692" s="100"/>
      <c r="F3692" s="100"/>
      <c r="G3692" s="100"/>
      <c r="H3692" s="100"/>
      <c r="I3692" s="100"/>
      <c r="J3692" s="100"/>
      <c r="K3692" s="100"/>
      <c r="L3692" s="100"/>
      <c r="M3692" s="100"/>
      <c r="N3692" s="100"/>
      <c r="O3692" s="100"/>
      <c r="P3692" s="100"/>
      <c r="Q3692" s="100"/>
      <c r="R3692" s="100"/>
      <c r="S3692" s="100"/>
      <c r="T3692" s="100"/>
      <c r="U3692" s="100"/>
      <c r="V3692" s="100"/>
      <c r="W3692" s="100"/>
      <c r="X3692" s="100"/>
      <c r="Y3692" s="100"/>
      <c r="Z3692" s="100"/>
    </row>
    <row r="3693" spans="1:26">
      <c r="A3693" s="100"/>
      <c r="B3693" s="100"/>
      <c r="C3693" s="100"/>
      <c r="D3693" s="100"/>
      <c r="E3693" s="100"/>
      <c r="F3693" s="100"/>
      <c r="G3693" s="100"/>
      <c r="H3693" s="100"/>
      <c r="I3693" s="100"/>
      <c r="J3693" s="100"/>
      <c r="K3693" s="100"/>
      <c r="L3693" s="100"/>
      <c r="M3693" s="100"/>
      <c r="N3693" s="100"/>
      <c r="O3693" s="100"/>
      <c r="P3693" s="100"/>
      <c r="Q3693" s="100"/>
      <c r="R3693" s="100"/>
      <c r="S3693" s="100"/>
      <c r="T3693" s="100"/>
      <c r="U3693" s="100"/>
      <c r="V3693" s="100"/>
      <c r="W3693" s="100"/>
      <c r="X3693" s="100"/>
      <c r="Y3693" s="100"/>
      <c r="Z3693" s="100"/>
    </row>
    <row r="3694" spans="1:26">
      <c r="A3694" s="100"/>
      <c r="B3694" s="100"/>
      <c r="C3694" s="100"/>
      <c r="D3694" s="100"/>
      <c r="E3694" s="100"/>
      <c r="F3694" s="100"/>
      <c r="G3694" s="100"/>
      <c r="H3694" s="100"/>
      <c r="I3694" s="100"/>
      <c r="J3694" s="100"/>
      <c r="K3694" s="100"/>
      <c r="L3694" s="100"/>
      <c r="M3694" s="100"/>
      <c r="N3694" s="100"/>
      <c r="O3694" s="100"/>
      <c r="P3694" s="100"/>
      <c r="Q3694" s="100"/>
      <c r="R3694" s="100"/>
      <c r="S3694" s="100"/>
      <c r="T3694" s="100"/>
      <c r="U3694" s="100"/>
      <c r="V3694" s="100"/>
      <c r="W3694" s="100"/>
      <c r="X3694" s="100"/>
      <c r="Y3694" s="100"/>
      <c r="Z3694" s="100"/>
    </row>
    <row r="3695" spans="1:26">
      <c r="A3695" s="100"/>
      <c r="B3695" s="100"/>
      <c r="C3695" s="100"/>
      <c r="D3695" s="100"/>
      <c r="E3695" s="100"/>
      <c r="F3695" s="100"/>
      <c r="G3695" s="100"/>
      <c r="H3695" s="100"/>
      <c r="I3695" s="100"/>
      <c r="J3695" s="100"/>
      <c r="K3695" s="100"/>
      <c r="L3695" s="100"/>
      <c r="M3695" s="100"/>
      <c r="N3695" s="100"/>
      <c r="O3695" s="100"/>
      <c r="P3695" s="100"/>
      <c r="Q3695" s="100"/>
      <c r="R3695" s="100"/>
      <c r="S3695" s="100"/>
      <c r="T3695" s="100"/>
      <c r="U3695" s="100"/>
      <c r="V3695" s="100"/>
      <c r="W3695" s="100"/>
      <c r="X3695" s="100"/>
      <c r="Y3695" s="100"/>
      <c r="Z3695" s="100"/>
    </row>
    <row r="3696" spans="1:26">
      <c r="A3696" s="100"/>
      <c r="B3696" s="100"/>
      <c r="C3696" s="100"/>
      <c r="D3696" s="100"/>
      <c r="E3696" s="100"/>
      <c r="F3696" s="100"/>
      <c r="G3696" s="100"/>
      <c r="H3696" s="100"/>
      <c r="I3696" s="100"/>
      <c r="J3696" s="100"/>
      <c r="K3696" s="100"/>
      <c r="L3696" s="100"/>
      <c r="M3696" s="100"/>
      <c r="N3696" s="100"/>
      <c r="O3696" s="100"/>
      <c r="P3696" s="100"/>
      <c r="Q3696" s="100"/>
      <c r="R3696" s="100"/>
      <c r="S3696" s="100"/>
      <c r="T3696" s="100"/>
      <c r="U3696" s="100"/>
      <c r="V3696" s="100"/>
      <c r="W3696" s="100"/>
      <c r="X3696" s="100"/>
      <c r="Y3696" s="100"/>
      <c r="Z3696" s="100"/>
    </row>
    <row r="3697" spans="1:26">
      <c r="A3697" s="100"/>
      <c r="B3697" s="100"/>
      <c r="C3697" s="100"/>
      <c r="D3697" s="100"/>
      <c r="E3697" s="100"/>
      <c r="F3697" s="100"/>
      <c r="G3697" s="100"/>
      <c r="H3697" s="100"/>
      <c r="I3697" s="100"/>
      <c r="J3697" s="100"/>
      <c r="K3697" s="100"/>
      <c r="L3697" s="100"/>
      <c r="M3697" s="100"/>
      <c r="N3697" s="100"/>
      <c r="O3697" s="100"/>
      <c r="P3697" s="100"/>
      <c r="Q3697" s="100"/>
      <c r="R3697" s="100"/>
      <c r="S3697" s="100"/>
      <c r="T3697" s="100"/>
      <c r="U3697" s="100"/>
      <c r="V3697" s="100"/>
      <c r="W3697" s="100"/>
      <c r="X3697" s="100"/>
      <c r="Y3697" s="100"/>
      <c r="Z3697" s="100"/>
    </row>
    <row r="3698" spans="1:26">
      <c r="A3698" s="100"/>
      <c r="B3698" s="100"/>
      <c r="C3698" s="100"/>
      <c r="D3698" s="100"/>
      <c r="E3698" s="100"/>
      <c r="F3698" s="100"/>
      <c r="G3698" s="100"/>
      <c r="H3698" s="100"/>
      <c r="I3698" s="100"/>
      <c r="J3698" s="100"/>
      <c r="K3698" s="100"/>
      <c r="L3698" s="100"/>
      <c r="M3698" s="100"/>
      <c r="N3698" s="100"/>
      <c r="O3698" s="100"/>
      <c r="P3698" s="100"/>
      <c r="Q3698" s="100"/>
      <c r="R3698" s="100"/>
      <c r="S3698" s="100"/>
      <c r="T3698" s="100"/>
      <c r="U3698" s="100"/>
      <c r="V3698" s="100"/>
      <c r="W3698" s="100"/>
      <c r="X3698" s="100"/>
      <c r="Y3698" s="100"/>
      <c r="Z3698" s="100"/>
    </row>
    <row r="3699" spans="1:26">
      <c r="A3699" s="100"/>
      <c r="B3699" s="100"/>
      <c r="C3699" s="100"/>
      <c r="D3699" s="100"/>
      <c r="E3699" s="100"/>
      <c r="F3699" s="100"/>
      <c r="G3699" s="100"/>
      <c r="H3699" s="100"/>
      <c r="I3699" s="100"/>
      <c r="J3699" s="100"/>
      <c r="K3699" s="100"/>
      <c r="L3699" s="100"/>
      <c r="M3699" s="100"/>
      <c r="N3699" s="100"/>
      <c r="O3699" s="100"/>
      <c r="P3699" s="100"/>
      <c r="Q3699" s="100"/>
      <c r="R3699" s="100"/>
      <c r="S3699" s="100"/>
      <c r="T3699" s="100"/>
      <c r="U3699" s="100"/>
      <c r="V3699" s="100"/>
      <c r="W3699" s="100"/>
      <c r="X3699" s="100"/>
      <c r="Y3699" s="100"/>
      <c r="Z3699" s="100"/>
    </row>
    <row r="3700" spans="1:26">
      <c r="A3700" s="100"/>
      <c r="B3700" s="100"/>
      <c r="C3700" s="100"/>
      <c r="D3700" s="100"/>
      <c r="E3700" s="100"/>
      <c r="F3700" s="100"/>
      <c r="G3700" s="100"/>
      <c r="H3700" s="100"/>
      <c r="I3700" s="100"/>
      <c r="J3700" s="100"/>
      <c r="K3700" s="100"/>
      <c r="L3700" s="100"/>
      <c r="M3700" s="100"/>
      <c r="N3700" s="100"/>
      <c r="O3700" s="100"/>
      <c r="P3700" s="100"/>
      <c r="Q3700" s="100"/>
      <c r="R3700" s="100"/>
      <c r="S3700" s="100"/>
      <c r="T3700" s="100"/>
      <c r="U3700" s="100"/>
      <c r="V3700" s="100"/>
      <c r="W3700" s="100"/>
      <c r="X3700" s="100"/>
      <c r="Y3700" s="100"/>
      <c r="Z3700" s="100"/>
    </row>
    <row r="3701" spans="1:26">
      <c r="A3701" s="100"/>
      <c r="B3701" s="100"/>
      <c r="C3701" s="100"/>
      <c r="D3701" s="100"/>
      <c r="E3701" s="100"/>
      <c r="F3701" s="100"/>
      <c r="G3701" s="100"/>
      <c r="H3701" s="100"/>
      <c r="I3701" s="100"/>
      <c r="J3701" s="100"/>
      <c r="K3701" s="100"/>
      <c r="L3701" s="100"/>
      <c r="M3701" s="100"/>
      <c r="N3701" s="100"/>
      <c r="O3701" s="100"/>
      <c r="P3701" s="100"/>
      <c r="Q3701" s="100"/>
      <c r="R3701" s="100"/>
      <c r="S3701" s="100"/>
      <c r="T3701" s="100"/>
      <c r="U3701" s="100"/>
      <c r="V3701" s="100"/>
      <c r="W3701" s="100"/>
      <c r="X3701" s="100"/>
      <c r="Y3701" s="100"/>
      <c r="Z3701" s="100"/>
    </row>
    <row r="3702" spans="1:26">
      <c r="A3702" s="100"/>
      <c r="B3702" s="100"/>
      <c r="C3702" s="100"/>
      <c r="D3702" s="100"/>
      <c r="E3702" s="100"/>
      <c r="F3702" s="100"/>
      <c r="G3702" s="100"/>
      <c r="H3702" s="100"/>
      <c r="I3702" s="100"/>
      <c r="J3702" s="100"/>
      <c r="K3702" s="100"/>
      <c r="L3702" s="100"/>
      <c r="M3702" s="100"/>
      <c r="N3702" s="100"/>
      <c r="O3702" s="100"/>
      <c r="P3702" s="100"/>
      <c r="Q3702" s="100"/>
      <c r="R3702" s="100"/>
      <c r="S3702" s="100"/>
      <c r="T3702" s="100"/>
      <c r="U3702" s="100"/>
      <c r="V3702" s="100"/>
      <c r="W3702" s="100"/>
      <c r="X3702" s="100"/>
      <c r="Y3702" s="100"/>
      <c r="Z3702" s="100"/>
    </row>
    <row r="3703" spans="1:26">
      <c r="A3703" s="100"/>
      <c r="B3703" s="100"/>
      <c r="C3703" s="100"/>
      <c r="D3703" s="100"/>
      <c r="E3703" s="100"/>
      <c r="F3703" s="100"/>
      <c r="G3703" s="100"/>
      <c r="H3703" s="100"/>
      <c r="I3703" s="100"/>
      <c r="J3703" s="100"/>
      <c r="K3703" s="100"/>
      <c r="L3703" s="100"/>
      <c r="M3703" s="100"/>
      <c r="N3703" s="100"/>
      <c r="O3703" s="100"/>
      <c r="P3703" s="100"/>
      <c r="Q3703" s="100"/>
      <c r="R3703" s="100"/>
      <c r="S3703" s="100"/>
      <c r="T3703" s="100"/>
      <c r="U3703" s="100"/>
      <c r="V3703" s="100"/>
      <c r="W3703" s="100"/>
      <c r="X3703" s="100"/>
      <c r="Y3703" s="100"/>
      <c r="Z3703" s="100"/>
    </row>
    <row r="3704" spans="1:26">
      <c r="A3704" s="100"/>
      <c r="B3704" s="100"/>
      <c r="C3704" s="100"/>
      <c r="D3704" s="100"/>
      <c r="E3704" s="100"/>
      <c r="F3704" s="100"/>
      <c r="G3704" s="100"/>
      <c r="H3704" s="100"/>
      <c r="I3704" s="100"/>
      <c r="J3704" s="100"/>
      <c r="K3704" s="100"/>
      <c r="L3704" s="100"/>
      <c r="M3704" s="100"/>
      <c r="N3704" s="100"/>
      <c r="O3704" s="100"/>
      <c r="P3704" s="100"/>
      <c r="Q3704" s="100"/>
      <c r="R3704" s="100"/>
      <c r="S3704" s="100"/>
      <c r="T3704" s="100"/>
      <c r="U3704" s="100"/>
      <c r="V3704" s="100"/>
      <c r="W3704" s="100"/>
      <c r="X3704" s="100"/>
      <c r="Y3704" s="100"/>
      <c r="Z3704" s="100"/>
    </row>
    <row r="3705" spans="1:26">
      <c r="A3705" s="100"/>
      <c r="B3705" s="100"/>
      <c r="C3705" s="100"/>
      <c r="D3705" s="100"/>
      <c r="E3705" s="100"/>
      <c r="F3705" s="100"/>
      <c r="G3705" s="100"/>
      <c r="H3705" s="100"/>
      <c r="I3705" s="100"/>
      <c r="J3705" s="100"/>
      <c r="K3705" s="100"/>
      <c r="L3705" s="100"/>
      <c r="M3705" s="100"/>
      <c r="N3705" s="100"/>
      <c r="O3705" s="100"/>
      <c r="P3705" s="100"/>
      <c r="Q3705" s="100"/>
      <c r="R3705" s="100"/>
      <c r="S3705" s="100"/>
      <c r="T3705" s="100"/>
      <c r="U3705" s="100"/>
      <c r="V3705" s="100"/>
      <c r="W3705" s="100"/>
      <c r="X3705" s="100"/>
      <c r="Y3705" s="100"/>
      <c r="Z3705" s="100"/>
    </row>
    <row r="3706" spans="1:26">
      <c r="A3706" s="100"/>
      <c r="B3706" s="100"/>
      <c r="C3706" s="100"/>
      <c r="D3706" s="100"/>
      <c r="E3706" s="100"/>
      <c r="F3706" s="100"/>
      <c r="G3706" s="100"/>
      <c r="H3706" s="100"/>
      <c r="I3706" s="100"/>
      <c r="J3706" s="100"/>
      <c r="K3706" s="100"/>
      <c r="L3706" s="100"/>
      <c r="M3706" s="100"/>
      <c r="N3706" s="100"/>
      <c r="O3706" s="100"/>
      <c r="P3706" s="100"/>
      <c r="Q3706" s="100"/>
      <c r="R3706" s="100"/>
      <c r="S3706" s="100"/>
      <c r="T3706" s="100"/>
      <c r="U3706" s="100"/>
      <c r="V3706" s="100"/>
      <c r="W3706" s="100"/>
      <c r="X3706" s="100"/>
      <c r="Y3706" s="100"/>
      <c r="Z3706" s="100"/>
    </row>
    <row r="3707" spans="1:26">
      <c r="A3707" s="100"/>
      <c r="B3707" s="100"/>
      <c r="C3707" s="100"/>
      <c r="D3707" s="100"/>
      <c r="E3707" s="100"/>
      <c r="F3707" s="100"/>
      <c r="G3707" s="100"/>
      <c r="H3707" s="100"/>
      <c r="I3707" s="100"/>
      <c r="J3707" s="100"/>
      <c r="K3707" s="100"/>
      <c r="L3707" s="100"/>
      <c r="M3707" s="100"/>
      <c r="N3707" s="100"/>
      <c r="O3707" s="100"/>
      <c r="P3707" s="100"/>
      <c r="Q3707" s="100"/>
      <c r="R3707" s="100"/>
      <c r="S3707" s="100"/>
      <c r="T3707" s="100"/>
      <c r="U3707" s="100"/>
      <c r="V3707" s="100"/>
      <c r="W3707" s="100"/>
      <c r="X3707" s="100"/>
      <c r="Y3707" s="100"/>
      <c r="Z3707" s="100"/>
    </row>
    <row r="3708" spans="1:26">
      <c r="A3708" s="100"/>
      <c r="B3708" s="100"/>
      <c r="C3708" s="100"/>
      <c r="D3708" s="100"/>
      <c r="E3708" s="100"/>
      <c r="F3708" s="100"/>
      <c r="G3708" s="100"/>
      <c r="H3708" s="100"/>
      <c r="I3708" s="100"/>
      <c r="J3708" s="100"/>
      <c r="K3708" s="100"/>
      <c r="L3708" s="100"/>
      <c r="M3708" s="100"/>
      <c r="N3708" s="100"/>
      <c r="O3708" s="100"/>
      <c r="P3708" s="100"/>
      <c r="Q3708" s="100"/>
      <c r="R3708" s="100"/>
      <c r="S3708" s="100"/>
      <c r="T3708" s="100"/>
      <c r="U3708" s="100"/>
      <c r="V3708" s="100"/>
      <c r="W3708" s="100"/>
      <c r="X3708" s="100"/>
      <c r="Y3708" s="100"/>
      <c r="Z3708" s="100"/>
    </row>
    <row r="3709" spans="1:26">
      <c r="A3709" s="100"/>
      <c r="B3709" s="100"/>
      <c r="C3709" s="100"/>
      <c r="D3709" s="100"/>
      <c r="E3709" s="100"/>
      <c r="F3709" s="100"/>
      <c r="G3709" s="100"/>
      <c r="H3709" s="100"/>
      <c r="I3709" s="100"/>
      <c r="J3709" s="100"/>
      <c r="K3709" s="100"/>
      <c r="L3709" s="100"/>
      <c r="M3709" s="100"/>
      <c r="N3709" s="100"/>
      <c r="O3709" s="100"/>
      <c r="P3709" s="100"/>
      <c r="Q3709" s="100"/>
      <c r="R3709" s="100"/>
      <c r="S3709" s="100"/>
      <c r="T3709" s="100"/>
      <c r="U3709" s="100"/>
      <c r="V3709" s="100"/>
      <c r="W3709" s="100"/>
      <c r="X3709" s="100"/>
      <c r="Y3709" s="100"/>
      <c r="Z3709" s="100"/>
    </row>
    <row r="3710" spans="1:26">
      <c r="A3710" s="100"/>
      <c r="B3710" s="100"/>
      <c r="C3710" s="100"/>
      <c r="D3710" s="100"/>
      <c r="E3710" s="100"/>
      <c r="F3710" s="100"/>
      <c r="G3710" s="100"/>
      <c r="H3710" s="100"/>
      <c r="I3710" s="100"/>
      <c r="J3710" s="100"/>
      <c r="K3710" s="100"/>
      <c r="L3710" s="100"/>
      <c r="M3710" s="100"/>
      <c r="N3710" s="100"/>
      <c r="O3710" s="100"/>
      <c r="P3710" s="100"/>
      <c r="Q3710" s="100"/>
      <c r="R3710" s="100"/>
      <c r="S3710" s="100"/>
      <c r="T3710" s="100"/>
      <c r="U3710" s="100"/>
      <c r="V3710" s="100"/>
      <c r="W3710" s="100"/>
      <c r="X3710" s="100"/>
      <c r="Y3710" s="100"/>
      <c r="Z3710" s="100"/>
    </row>
    <row r="3711" spans="1:26">
      <c r="A3711" s="100"/>
      <c r="B3711" s="100"/>
      <c r="C3711" s="100"/>
      <c r="D3711" s="100"/>
      <c r="E3711" s="100"/>
      <c r="F3711" s="100"/>
      <c r="G3711" s="100"/>
      <c r="H3711" s="100"/>
      <c r="I3711" s="100"/>
      <c r="J3711" s="100"/>
      <c r="K3711" s="100"/>
      <c r="L3711" s="100"/>
      <c r="M3711" s="100"/>
      <c r="N3711" s="100"/>
      <c r="O3711" s="100"/>
      <c r="P3711" s="100"/>
      <c r="Q3711" s="100"/>
      <c r="R3711" s="100"/>
      <c r="S3711" s="100"/>
      <c r="T3711" s="100"/>
      <c r="U3711" s="100"/>
      <c r="V3711" s="100"/>
      <c r="W3711" s="100"/>
      <c r="X3711" s="100"/>
      <c r="Y3711" s="100"/>
      <c r="Z3711" s="100"/>
    </row>
    <row r="3712" spans="1:26">
      <c r="A3712" s="100"/>
      <c r="B3712" s="100"/>
      <c r="C3712" s="100"/>
      <c r="D3712" s="100"/>
      <c r="E3712" s="100"/>
      <c r="F3712" s="100"/>
      <c r="G3712" s="100"/>
      <c r="H3712" s="100"/>
      <c r="I3712" s="100"/>
      <c r="J3712" s="100"/>
      <c r="K3712" s="100"/>
      <c r="L3712" s="100"/>
      <c r="M3712" s="100"/>
      <c r="N3712" s="100"/>
      <c r="O3712" s="100"/>
      <c r="P3712" s="100"/>
      <c r="Q3712" s="100"/>
      <c r="R3712" s="100"/>
      <c r="S3712" s="100"/>
      <c r="T3712" s="100"/>
      <c r="U3712" s="100"/>
      <c r="V3712" s="100"/>
      <c r="W3712" s="100"/>
      <c r="X3712" s="100"/>
      <c r="Y3712" s="100"/>
      <c r="Z3712" s="100"/>
    </row>
    <row r="3713" spans="1:26">
      <c r="A3713" s="100"/>
      <c r="B3713" s="100"/>
      <c r="C3713" s="100"/>
      <c r="D3713" s="100"/>
      <c r="E3713" s="100"/>
      <c r="F3713" s="100"/>
      <c r="G3713" s="100"/>
      <c r="H3713" s="100"/>
      <c r="I3713" s="100"/>
      <c r="J3713" s="100"/>
      <c r="K3713" s="100"/>
      <c r="L3713" s="100"/>
      <c r="M3713" s="100"/>
      <c r="N3713" s="100"/>
      <c r="O3713" s="100"/>
      <c r="P3713" s="100"/>
      <c r="Q3713" s="100"/>
      <c r="R3713" s="100"/>
      <c r="S3713" s="100"/>
      <c r="T3713" s="100"/>
      <c r="U3713" s="100"/>
      <c r="V3713" s="100"/>
      <c r="W3713" s="100"/>
      <c r="X3713" s="100"/>
      <c r="Y3713" s="100"/>
      <c r="Z3713" s="100"/>
    </row>
    <row r="3714" spans="1:26">
      <c r="A3714" s="100"/>
      <c r="B3714" s="100"/>
      <c r="C3714" s="100"/>
      <c r="D3714" s="100"/>
      <c r="E3714" s="100"/>
      <c r="F3714" s="100"/>
      <c r="G3714" s="100"/>
      <c r="H3714" s="100"/>
      <c r="I3714" s="100"/>
      <c r="J3714" s="100"/>
      <c r="K3714" s="100"/>
      <c r="L3714" s="100"/>
      <c r="M3714" s="100"/>
      <c r="N3714" s="100"/>
      <c r="O3714" s="100"/>
      <c r="P3714" s="100"/>
      <c r="Q3714" s="100"/>
      <c r="R3714" s="100"/>
      <c r="S3714" s="100"/>
      <c r="T3714" s="100"/>
      <c r="U3714" s="100"/>
      <c r="V3714" s="100"/>
      <c r="W3714" s="100"/>
      <c r="X3714" s="100"/>
      <c r="Y3714" s="100"/>
      <c r="Z3714" s="100"/>
    </row>
    <row r="3715" spans="1:26">
      <c r="A3715" s="100"/>
      <c r="B3715" s="100"/>
      <c r="C3715" s="100"/>
      <c r="D3715" s="100"/>
      <c r="E3715" s="100"/>
      <c r="F3715" s="100"/>
      <c r="G3715" s="100"/>
      <c r="H3715" s="100"/>
      <c r="I3715" s="100"/>
      <c r="J3715" s="100"/>
      <c r="K3715" s="100"/>
      <c r="L3715" s="100"/>
      <c r="M3715" s="100"/>
      <c r="N3715" s="100"/>
      <c r="O3715" s="100"/>
      <c r="P3715" s="100"/>
      <c r="Q3715" s="100"/>
      <c r="R3715" s="100"/>
      <c r="S3715" s="100"/>
      <c r="T3715" s="100"/>
      <c r="U3715" s="100"/>
      <c r="V3715" s="100"/>
      <c r="W3715" s="100"/>
      <c r="X3715" s="100"/>
      <c r="Y3715" s="100"/>
      <c r="Z3715" s="100"/>
    </row>
    <row r="3716" spans="1:26">
      <c r="A3716" s="100"/>
      <c r="B3716" s="100"/>
      <c r="C3716" s="100"/>
      <c r="D3716" s="100"/>
      <c r="E3716" s="100"/>
      <c r="F3716" s="100"/>
      <c r="G3716" s="100"/>
      <c r="H3716" s="100"/>
      <c r="I3716" s="100"/>
      <c r="J3716" s="100"/>
      <c r="K3716" s="100"/>
      <c r="L3716" s="100"/>
      <c r="M3716" s="100"/>
      <c r="N3716" s="100"/>
      <c r="O3716" s="100"/>
      <c r="P3716" s="100"/>
      <c r="Q3716" s="100"/>
      <c r="R3716" s="100"/>
      <c r="S3716" s="100"/>
      <c r="T3716" s="100"/>
      <c r="U3716" s="100"/>
      <c r="V3716" s="100"/>
      <c r="W3716" s="100"/>
      <c r="X3716" s="100"/>
      <c r="Y3716" s="100"/>
      <c r="Z3716" s="100"/>
    </row>
    <row r="3717" spans="1:26">
      <c r="A3717" s="100"/>
      <c r="B3717" s="100"/>
      <c r="C3717" s="100"/>
      <c r="D3717" s="100"/>
      <c r="E3717" s="100"/>
      <c r="F3717" s="100"/>
      <c r="G3717" s="100"/>
      <c r="H3717" s="100"/>
      <c r="I3717" s="100"/>
      <c r="J3717" s="100"/>
      <c r="K3717" s="100"/>
      <c r="L3717" s="100"/>
      <c r="M3717" s="100"/>
      <c r="N3717" s="100"/>
      <c r="O3717" s="100"/>
      <c r="P3717" s="100"/>
      <c r="Q3717" s="100"/>
      <c r="R3717" s="100"/>
      <c r="S3717" s="100"/>
      <c r="T3717" s="100"/>
      <c r="U3717" s="100"/>
      <c r="V3717" s="100"/>
      <c r="W3717" s="100"/>
      <c r="X3717" s="100"/>
      <c r="Y3717" s="100"/>
      <c r="Z3717" s="100"/>
    </row>
    <row r="3718" spans="1:26">
      <c r="A3718" s="100"/>
      <c r="B3718" s="100"/>
      <c r="C3718" s="100"/>
      <c r="D3718" s="100"/>
      <c r="E3718" s="100"/>
      <c r="F3718" s="100"/>
      <c r="G3718" s="100"/>
      <c r="H3718" s="100"/>
      <c r="I3718" s="100"/>
      <c r="J3718" s="100"/>
      <c r="K3718" s="100"/>
      <c r="L3718" s="100"/>
      <c r="M3718" s="100"/>
      <c r="N3718" s="100"/>
      <c r="O3718" s="100"/>
      <c r="P3718" s="100"/>
      <c r="Q3718" s="100"/>
      <c r="R3718" s="100"/>
      <c r="S3718" s="100"/>
      <c r="T3718" s="100"/>
      <c r="U3718" s="100"/>
      <c r="V3718" s="100"/>
      <c r="W3718" s="100"/>
      <c r="X3718" s="100"/>
      <c r="Y3718" s="100"/>
      <c r="Z3718" s="100"/>
    </row>
    <row r="3719" spans="1:26">
      <c r="A3719" s="100"/>
      <c r="B3719" s="100"/>
      <c r="C3719" s="100"/>
      <c r="D3719" s="100"/>
      <c r="E3719" s="100"/>
      <c r="F3719" s="100"/>
      <c r="G3719" s="100"/>
      <c r="H3719" s="100"/>
      <c r="I3719" s="100"/>
      <c r="J3719" s="100"/>
      <c r="K3719" s="100"/>
      <c r="L3719" s="100"/>
      <c r="M3719" s="100"/>
      <c r="N3719" s="100"/>
      <c r="O3719" s="100"/>
      <c r="P3719" s="100"/>
      <c r="Q3719" s="100"/>
      <c r="R3719" s="100"/>
      <c r="S3719" s="100"/>
      <c r="T3719" s="100"/>
      <c r="U3719" s="100"/>
      <c r="V3719" s="100"/>
      <c r="W3719" s="100"/>
      <c r="X3719" s="100"/>
      <c r="Y3719" s="100"/>
      <c r="Z3719" s="100"/>
    </row>
    <row r="3720" spans="1:26">
      <c r="A3720" s="100"/>
      <c r="B3720" s="100"/>
      <c r="C3720" s="100"/>
      <c r="D3720" s="100"/>
      <c r="E3720" s="100"/>
      <c r="F3720" s="100"/>
      <c r="G3720" s="100"/>
      <c r="H3720" s="100"/>
      <c r="I3720" s="100"/>
      <c r="J3720" s="100"/>
      <c r="K3720" s="100"/>
      <c r="L3720" s="100"/>
      <c r="M3720" s="100"/>
      <c r="N3720" s="100"/>
      <c r="O3720" s="100"/>
      <c r="P3720" s="100"/>
      <c r="Q3720" s="100"/>
      <c r="R3720" s="100"/>
      <c r="S3720" s="100"/>
      <c r="T3720" s="100"/>
      <c r="U3720" s="100"/>
      <c r="V3720" s="100"/>
      <c r="W3720" s="100"/>
      <c r="X3720" s="100"/>
      <c r="Y3720" s="100"/>
      <c r="Z3720" s="100"/>
    </row>
    <row r="3721" spans="1:26">
      <c r="A3721" s="100"/>
      <c r="B3721" s="100"/>
      <c r="C3721" s="100"/>
      <c r="D3721" s="100"/>
      <c r="E3721" s="100"/>
      <c r="F3721" s="100"/>
      <c r="G3721" s="100"/>
      <c r="H3721" s="100"/>
      <c r="I3721" s="100"/>
      <c r="J3721" s="100"/>
      <c r="K3721" s="100"/>
      <c r="L3721" s="100"/>
      <c r="M3721" s="100"/>
      <c r="N3721" s="100"/>
      <c r="O3721" s="100"/>
      <c r="P3721" s="100"/>
      <c r="Q3721" s="100"/>
      <c r="R3721" s="100"/>
      <c r="S3721" s="100"/>
      <c r="T3721" s="100"/>
      <c r="U3721" s="100"/>
      <c r="V3721" s="100"/>
      <c r="W3721" s="100"/>
      <c r="X3721" s="100"/>
      <c r="Y3721" s="100"/>
      <c r="Z3721" s="100"/>
    </row>
    <row r="3722" spans="1:26">
      <c r="A3722" s="100"/>
      <c r="B3722" s="100"/>
      <c r="C3722" s="100"/>
      <c r="D3722" s="100"/>
      <c r="E3722" s="100"/>
      <c r="F3722" s="100"/>
      <c r="G3722" s="100"/>
      <c r="H3722" s="100"/>
      <c r="I3722" s="100"/>
      <c r="J3722" s="100"/>
      <c r="K3722" s="100"/>
      <c r="L3722" s="100"/>
      <c r="M3722" s="100"/>
      <c r="N3722" s="100"/>
      <c r="O3722" s="100"/>
      <c r="P3722" s="100"/>
      <c r="Q3722" s="100"/>
      <c r="R3722" s="100"/>
      <c r="S3722" s="100"/>
      <c r="T3722" s="100"/>
      <c r="U3722" s="100"/>
      <c r="V3722" s="100"/>
      <c r="W3722" s="100"/>
      <c r="X3722" s="100"/>
      <c r="Y3722" s="100"/>
      <c r="Z3722" s="100"/>
    </row>
    <row r="3723" spans="1:26">
      <c r="A3723" s="100"/>
      <c r="B3723" s="100"/>
      <c r="C3723" s="100"/>
      <c r="D3723" s="100"/>
      <c r="E3723" s="100"/>
      <c r="F3723" s="100"/>
      <c r="G3723" s="100"/>
      <c r="H3723" s="100"/>
      <c r="I3723" s="100"/>
      <c r="J3723" s="100"/>
      <c r="K3723" s="100"/>
      <c r="L3723" s="100"/>
      <c r="M3723" s="100"/>
      <c r="N3723" s="100"/>
      <c r="O3723" s="100"/>
      <c r="P3723" s="100"/>
      <c r="Q3723" s="100"/>
      <c r="R3723" s="100"/>
      <c r="S3723" s="100"/>
      <c r="T3723" s="100"/>
      <c r="U3723" s="100"/>
      <c r="V3723" s="100"/>
      <c r="W3723" s="100"/>
      <c r="X3723" s="100"/>
      <c r="Y3723" s="100"/>
      <c r="Z3723" s="100"/>
    </row>
    <row r="3724" spans="1:26">
      <c r="A3724" s="100"/>
      <c r="B3724" s="100"/>
      <c r="C3724" s="100"/>
      <c r="D3724" s="100"/>
      <c r="E3724" s="100"/>
      <c r="F3724" s="100"/>
      <c r="G3724" s="100"/>
      <c r="H3724" s="100"/>
      <c r="I3724" s="100"/>
      <c r="J3724" s="100"/>
      <c r="K3724" s="100"/>
      <c r="L3724" s="100"/>
      <c r="M3724" s="100"/>
      <c r="N3724" s="100"/>
      <c r="O3724" s="100"/>
      <c r="P3724" s="100"/>
      <c r="Q3724" s="100"/>
      <c r="R3724" s="100"/>
      <c r="S3724" s="100"/>
      <c r="T3724" s="100"/>
      <c r="U3724" s="100"/>
      <c r="V3724" s="100"/>
      <c r="W3724" s="100"/>
      <c r="X3724" s="100"/>
      <c r="Y3724" s="100"/>
      <c r="Z3724" s="100"/>
    </row>
    <row r="3725" spans="1:26">
      <c r="A3725" s="100"/>
      <c r="B3725" s="100"/>
      <c r="C3725" s="100"/>
      <c r="D3725" s="100"/>
      <c r="E3725" s="100"/>
      <c r="F3725" s="100"/>
      <c r="G3725" s="100"/>
      <c r="H3725" s="100"/>
      <c r="I3725" s="100"/>
      <c r="J3725" s="100"/>
      <c r="K3725" s="100"/>
      <c r="L3725" s="100"/>
      <c r="M3725" s="100"/>
      <c r="N3725" s="100"/>
      <c r="O3725" s="100"/>
      <c r="P3725" s="100"/>
      <c r="Q3725" s="100"/>
      <c r="R3725" s="100"/>
      <c r="S3725" s="100"/>
      <c r="T3725" s="100"/>
      <c r="U3725" s="100"/>
      <c r="V3725" s="100"/>
      <c r="W3725" s="100"/>
      <c r="X3725" s="100"/>
      <c r="Y3725" s="100"/>
      <c r="Z3725" s="100"/>
    </row>
    <row r="3726" spans="1:26">
      <c r="A3726" s="100"/>
      <c r="B3726" s="100"/>
      <c r="C3726" s="100"/>
      <c r="D3726" s="100"/>
      <c r="E3726" s="100"/>
      <c r="F3726" s="100"/>
      <c r="G3726" s="100"/>
      <c r="H3726" s="100"/>
      <c r="I3726" s="100"/>
      <c r="J3726" s="100"/>
      <c r="K3726" s="100"/>
      <c r="L3726" s="100"/>
      <c r="M3726" s="100"/>
      <c r="N3726" s="100"/>
      <c r="O3726" s="100"/>
      <c r="P3726" s="100"/>
      <c r="Q3726" s="100"/>
      <c r="R3726" s="100"/>
      <c r="S3726" s="100"/>
      <c r="T3726" s="100"/>
      <c r="U3726" s="100"/>
      <c r="V3726" s="100"/>
      <c r="W3726" s="100"/>
      <c r="X3726" s="100"/>
      <c r="Y3726" s="100"/>
      <c r="Z3726" s="100"/>
    </row>
    <row r="3727" spans="1:26">
      <c r="A3727" s="100"/>
      <c r="B3727" s="100"/>
      <c r="C3727" s="100"/>
      <c r="D3727" s="100"/>
      <c r="E3727" s="100"/>
      <c r="F3727" s="100"/>
      <c r="G3727" s="100"/>
      <c r="H3727" s="100"/>
      <c r="I3727" s="100"/>
      <c r="J3727" s="100"/>
      <c r="K3727" s="100"/>
      <c r="L3727" s="100"/>
      <c r="M3727" s="100"/>
      <c r="N3727" s="100"/>
      <c r="O3727" s="100"/>
      <c r="P3727" s="100"/>
      <c r="Q3727" s="100"/>
      <c r="R3727" s="100"/>
      <c r="S3727" s="100"/>
      <c r="T3727" s="100"/>
      <c r="U3727" s="100"/>
      <c r="V3727" s="100"/>
      <c r="W3727" s="100"/>
      <c r="X3727" s="100"/>
      <c r="Y3727" s="100"/>
      <c r="Z3727" s="100"/>
    </row>
    <row r="3728" spans="1:26">
      <c r="A3728" s="100"/>
      <c r="B3728" s="100"/>
      <c r="C3728" s="100"/>
      <c r="D3728" s="100"/>
      <c r="E3728" s="100"/>
      <c r="F3728" s="100"/>
      <c r="G3728" s="100"/>
      <c r="H3728" s="100"/>
      <c r="I3728" s="100"/>
      <c r="J3728" s="100"/>
      <c r="K3728" s="100"/>
      <c r="L3728" s="100"/>
      <c r="M3728" s="100"/>
      <c r="N3728" s="100"/>
      <c r="O3728" s="100"/>
      <c r="P3728" s="100"/>
      <c r="Q3728" s="100"/>
      <c r="R3728" s="100"/>
      <c r="S3728" s="100"/>
      <c r="T3728" s="100"/>
      <c r="U3728" s="100"/>
      <c r="V3728" s="100"/>
      <c r="W3728" s="100"/>
      <c r="X3728" s="100"/>
      <c r="Y3728" s="100"/>
      <c r="Z3728" s="100"/>
    </row>
    <row r="3729" spans="1:26">
      <c r="A3729" s="100"/>
      <c r="B3729" s="100"/>
      <c r="C3729" s="100"/>
      <c r="D3729" s="100"/>
      <c r="E3729" s="100"/>
      <c r="F3729" s="100"/>
      <c r="G3729" s="100"/>
      <c r="H3729" s="100"/>
      <c r="I3729" s="100"/>
      <c r="J3729" s="100"/>
      <c r="K3729" s="100"/>
      <c r="L3729" s="100"/>
      <c r="M3729" s="100"/>
      <c r="N3729" s="100"/>
      <c r="O3729" s="100"/>
      <c r="P3729" s="100"/>
      <c r="Q3729" s="100"/>
      <c r="R3729" s="100"/>
      <c r="S3729" s="100"/>
      <c r="T3729" s="100"/>
      <c r="U3729" s="100"/>
      <c r="V3729" s="100"/>
      <c r="W3729" s="100"/>
      <c r="X3729" s="100"/>
      <c r="Y3729" s="100"/>
      <c r="Z3729" s="100"/>
    </row>
    <row r="3730" spans="1:26">
      <c r="A3730" s="100"/>
      <c r="B3730" s="100"/>
      <c r="C3730" s="100"/>
      <c r="D3730" s="100"/>
      <c r="E3730" s="100"/>
      <c r="F3730" s="100"/>
      <c r="G3730" s="100"/>
      <c r="H3730" s="100"/>
      <c r="I3730" s="100"/>
      <c r="J3730" s="100"/>
      <c r="K3730" s="100"/>
      <c r="L3730" s="100"/>
      <c r="M3730" s="100"/>
      <c r="N3730" s="100"/>
      <c r="O3730" s="100"/>
      <c r="P3730" s="100"/>
      <c r="Q3730" s="100"/>
      <c r="R3730" s="100"/>
      <c r="S3730" s="100"/>
      <c r="T3730" s="100"/>
      <c r="U3730" s="100"/>
      <c r="V3730" s="100"/>
      <c r="W3730" s="100"/>
      <c r="X3730" s="100"/>
      <c r="Y3730" s="100"/>
      <c r="Z3730" s="100"/>
    </row>
    <row r="3731" spans="1:26">
      <c r="A3731" s="100"/>
      <c r="B3731" s="100"/>
      <c r="C3731" s="100"/>
      <c r="D3731" s="100"/>
      <c r="E3731" s="100"/>
      <c r="F3731" s="100"/>
      <c r="G3731" s="100"/>
      <c r="H3731" s="100"/>
      <c r="I3731" s="100"/>
      <c r="J3731" s="100"/>
      <c r="K3731" s="100"/>
      <c r="L3731" s="100"/>
      <c r="M3731" s="100"/>
      <c r="N3731" s="100"/>
      <c r="O3731" s="100"/>
      <c r="P3731" s="100"/>
      <c r="Q3731" s="100"/>
      <c r="R3731" s="100"/>
      <c r="S3731" s="100"/>
      <c r="T3731" s="100"/>
      <c r="U3731" s="100"/>
      <c r="V3731" s="100"/>
      <c r="W3731" s="100"/>
      <c r="X3731" s="100"/>
      <c r="Y3731" s="100"/>
      <c r="Z3731" s="100"/>
    </row>
    <row r="3732" spans="1:26">
      <c r="A3732" s="100"/>
      <c r="B3732" s="100"/>
      <c r="C3732" s="100"/>
      <c r="D3732" s="100"/>
      <c r="E3732" s="100"/>
      <c r="F3732" s="100"/>
      <c r="G3732" s="100"/>
      <c r="H3732" s="100"/>
      <c r="I3732" s="100"/>
      <c r="J3732" s="100"/>
      <c r="K3732" s="100"/>
      <c r="L3732" s="100"/>
      <c r="M3732" s="100"/>
      <c r="N3732" s="100"/>
      <c r="O3732" s="100"/>
      <c r="P3732" s="100"/>
      <c r="Q3732" s="100"/>
      <c r="R3732" s="100"/>
      <c r="S3732" s="100"/>
      <c r="T3732" s="100"/>
      <c r="U3732" s="100"/>
      <c r="V3732" s="100"/>
      <c r="W3732" s="100"/>
      <c r="X3732" s="100"/>
      <c r="Y3732" s="100"/>
      <c r="Z3732" s="100"/>
    </row>
    <row r="3733" spans="1:26">
      <c r="A3733" s="100"/>
      <c r="B3733" s="100"/>
      <c r="C3733" s="100"/>
      <c r="D3733" s="100"/>
      <c r="E3733" s="100"/>
      <c r="F3733" s="100"/>
      <c r="G3733" s="100"/>
      <c r="H3733" s="100"/>
      <c r="I3733" s="100"/>
      <c r="J3733" s="100"/>
      <c r="K3733" s="100"/>
      <c r="L3733" s="100"/>
      <c r="M3733" s="100"/>
      <c r="N3733" s="100"/>
      <c r="O3733" s="100"/>
      <c r="P3733" s="100"/>
      <c r="Q3733" s="100"/>
      <c r="R3733" s="100"/>
      <c r="S3733" s="100"/>
      <c r="T3733" s="100"/>
      <c r="U3733" s="100"/>
      <c r="V3733" s="100"/>
      <c r="W3733" s="100"/>
      <c r="X3733" s="100"/>
      <c r="Y3733" s="100"/>
      <c r="Z3733" s="100"/>
    </row>
    <row r="3734" spans="1:26">
      <c r="A3734" s="100"/>
      <c r="B3734" s="100"/>
      <c r="C3734" s="100"/>
      <c r="D3734" s="100"/>
      <c r="E3734" s="100"/>
      <c r="F3734" s="100"/>
      <c r="G3734" s="100"/>
      <c r="H3734" s="100"/>
      <c r="I3734" s="100"/>
      <c r="J3734" s="100"/>
      <c r="K3734" s="100"/>
      <c r="L3734" s="100"/>
      <c r="M3734" s="100"/>
      <c r="N3734" s="100"/>
      <c r="O3734" s="100"/>
      <c r="P3734" s="100"/>
      <c r="Q3734" s="100"/>
      <c r="R3734" s="100"/>
      <c r="S3734" s="100"/>
      <c r="T3734" s="100"/>
      <c r="U3734" s="100"/>
      <c r="V3734" s="100"/>
      <c r="W3734" s="100"/>
      <c r="X3734" s="100"/>
      <c r="Y3734" s="100"/>
      <c r="Z3734" s="100"/>
    </row>
    <row r="3735" spans="1:26">
      <c r="A3735" s="100"/>
      <c r="B3735" s="100"/>
      <c r="C3735" s="100"/>
      <c r="D3735" s="100"/>
      <c r="E3735" s="100"/>
      <c r="F3735" s="100"/>
      <c r="G3735" s="100"/>
      <c r="H3735" s="100"/>
      <c r="I3735" s="100"/>
      <c r="J3735" s="100"/>
      <c r="K3735" s="100"/>
      <c r="L3735" s="100"/>
      <c r="M3735" s="100"/>
      <c r="N3735" s="100"/>
      <c r="O3735" s="100"/>
      <c r="P3735" s="100"/>
      <c r="Q3735" s="100"/>
      <c r="R3735" s="100"/>
      <c r="S3735" s="100"/>
      <c r="T3735" s="100"/>
      <c r="U3735" s="100"/>
      <c r="V3735" s="100"/>
      <c r="W3735" s="100"/>
      <c r="X3735" s="100"/>
      <c r="Y3735" s="100"/>
      <c r="Z3735" s="100"/>
    </row>
    <row r="3736" spans="1:26">
      <c r="A3736" s="100"/>
      <c r="B3736" s="100"/>
      <c r="C3736" s="100"/>
      <c r="D3736" s="100"/>
      <c r="E3736" s="100"/>
      <c r="F3736" s="100"/>
      <c r="G3736" s="100"/>
      <c r="H3736" s="100"/>
      <c r="I3736" s="100"/>
      <c r="J3736" s="100"/>
      <c r="K3736" s="100"/>
      <c r="L3736" s="100"/>
      <c r="M3736" s="100"/>
      <c r="N3736" s="100"/>
      <c r="O3736" s="100"/>
      <c r="P3736" s="100"/>
      <c r="Q3736" s="100"/>
      <c r="R3736" s="100"/>
      <c r="S3736" s="100"/>
      <c r="T3736" s="100"/>
      <c r="U3736" s="100"/>
      <c r="V3736" s="100"/>
      <c r="W3736" s="100"/>
      <c r="X3736" s="100"/>
      <c r="Y3736" s="100"/>
      <c r="Z3736" s="100"/>
    </row>
    <row r="3737" spans="1:26">
      <c r="A3737" s="100"/>
      <c r="B3737" s="100"/>
      <c r="C3737" s="100"/>
      <c r="D3737" s="100"/>
      <c r="E3737" s="100"/>
      <c r="F3737" s="100"/>
      <c r="G3737" s="100"/>
      <c r="H3737" s="100"/>
      <c r="I3737" s="100"/>
      <c r="J3737" s="100"/>
      <c r="K3737" s="100"/>
      <c r="L3737" s="100"/>
      <c r="M3737" s="100"/>
      <c r="N3737" s="100"/>
      <c r="O3737" s="100"/>
      <c r="P3737" s="100"/>
      <c r="Q3737" s="100"/>
      <c r="R3737" s="100"/>
      <c r="S3737" s="100"/>
      <c r="T3737" s="100"/>
      <c r="U3737" s="100"/>
      <c r="V3737" s="100"/>
      <c r="W3737" s="100"/>
      <c r="X3737" s="100"/>
      <c r="Y3737" s="100"/>
      <c r="Z3737" s="100"/>
    </row>
    <row r="3738" spans="1:26">
      <c r="A3738" s="100"/>
      <c r="B3738" s="100"/>
      <c r="C3738" s="100"/>
      <c r="D3738" s="100"/>
      <c r="E3738" s="100"/>
      <c r="F3738" s="100"/>
      <c r="G3738" s="100"/>
      <c r="H3738" s="100"/>
      <c r="I3738" s="100"/>
      <c r="J3738" s="100"/>
      <c r="K3738" s="100"/>
      <c r="L3738" s="100"/>
      <c r="M3738" s="100"/>
      <c r="N3738" s="100"/>
      <c r="O3738" s="100"/>
      <c r="P3738" s="100"/>
      <c r="Q3738" s="100"/>
      <c r="R3738" s="100"/>
      <c r="S3738" s="100"/>
      <c r="T3738" s="100"/>
      <c r="U3738" s="100"/>
      <c r="V3738" s="100"/>
      <c r="W3738" s="100"/>
      <c r="X3738" s="100"/>
      <c r="Y3738" s="100"/>
      <c r="Z3738" s="100"/>
    </row>
    <row r="3739" spans="1:26">
      <c r="A3739" s="100"/>
      <c r="B3739" s="100"/>
      <c r="C3739" s="100"/>
      <c r="D3739" s="100"/>
      <c r="E3739" s="100"/>
      <c r="F3739" s="100"/>
      <c r="G3739" s="100"/>
      <c r="H3739" s="100"/>
      <c r="I3739" s="100"/>
      <c r="J3739" s="100"/>
      <c r="K3739" s="100"/>
      <c r="L3739" s="100"/>
      <c r="M3739" s="100"/>
      <c r="N3739" s="100"/>
      <c r="O3739" s="100"/>
      <c r="P3739" s="100"/>
      <c r="Q3739" s="100"/>
      <c r="R3739" s="100"/>
      <c r="S3739" s="100"/>
      <c r="T3739" s="100"/>
      <c r="U3739" s="100"/>
      <c r="V3739" s="100"/>
      <c r="W3739" s="100"/>
      <c r="X3739" s="100"/>
      <c r="Y3739" s="100"/>
      <c r="Z3739" s="100"/>
    </row>
    <row r="3740" spans="1:26">
      <c r="A3740" s="100"/>
      <c r="B3740" s="100"/>
      <c r="C3740" s="100"/>
      <c r="D3740" s="100"/>
      <c r="E3740" s="100"/>
      <c r="F3740" s="100"/>
      <c r="G3740" s="100"/>
      <c r="H3740" s="100"/>
      <c r="I3740" s="100"/>
      <c r="J3740" s="100"/>
      <c r="K3740" s="100"/>
      <c r="L3740" s="100"/>
      <c r="M3740" s="100"/>
      <c r="N3740" s="100"/>
      <c r="O3740" s="100"/>
      <c r="P3740" s="100"/>
      <c r="Q3740" s="100"/>
      <c r="R3740" s="100"/>
      <c r="S3740" s="100"/>
      <c r="T3740" s="100"/>
      <c r="U3740" s="100"/>
      <c r="V3740" s="100"/>
      <c r="W3740" s="100"/>
      <c r="X3740" s="100"/>
      <c r="Y3740" s="100"/>
      <c r="Z3740" s="100"/>
    </row>
    <row r="3741" spans="1:26">
      <c r="A3741" s="100"/>
      <c r="B3741" s="100"/>
      <c r="C3741" s="100"/>
      <c r="D3741" s="100"/>
      <c r="E3741" s="100"/>
      <c r="F3741" s="100"/>
      <c r="G3741" s="100"/>
      <c r="H3741" s="100"/>
      <c r="I3741" s="100"/>
      <c r="J3741" s="100"/>
      <c r="K3741" s="100"/>
      <c r="L3741" s="100"/>
      <c r="M3741" s="100"/>
      <c r="N3741" s="100"/>
      <c r="O3741" s="100"/>
      <c r="P3741" s="100"/>
      <c r="Q3741" s="100"/>
      <c r="R3741" s="100"/>
      <c r="S3741" s="100"/>
      <c r="T3741" s="100"/>
      <c r="U3741" s="100"/>
      <c r="V3741" s="100"/>
      <c r="W3741" s="100"/>
      <c r="X3741" s="100"/>
      <c r="Y3741" s="100"/>
      <c r="Z3741" s="100"/>
    </row>
    <row r="3742" spans="1:26">
      <c r="A3742" s="100"/>
      <c r="B3742" s="100"/>
      <c r="C3742" s="100"/>
      <c r="D3742" s="100"/>
      <c r="E3742" s="100"/>
      <c r="F3742" s="100"/>
      <c r="G3742" s="100"/>
      <c r="H3742" s="100"/>
      <c r="I3742" s="100"/>
      <c r="J3742" s="100"/>
      <c r="K3742" s="100"/>
      <c r="L3742" s="100"/>
      <c r="M3742" s="100"/>
      <c r="N3742" s="100"/>
      <c r="O3742" s="100"/>
      <c r="P3742" s="100"/>
      <c r="Q3742" s="100"/>
      <c r="R3742" s="100"/>
      <c r="S3742" s="100"/>
      <c r="T3742" s="100"/>
      <c r="U3742" s="100"/>
      <c r="V3742" s="100"/>
      <c r="W3742" s="100"/>
      <c r="X3742" s="100"/>
      <c r="Y3742" s="100"/>
      <c r="Z3742" s="100"/>
    </row>
    <row r="3743" spans="1:26">
      <c r="A3743" s="100"/>
      <c r="B3743" s="100"/>
      <c r="C3743" s="100"/>
      <c r="D3743" s="100"/>
      <c r="E3743" s="100"/>
      <c r="F3743" s="100"/>
      <c r="G3743" s="100"/>
      <c r="H3743" s="100"/>
      <c r="I3743" s="100"/>
      <c r="J3743" s="100"/>
      <c r="K3743" s="100"/>
      <c r="L3743" s="100"/>
      <c r="M3743" s="100"/>
      <c r="N3743" s="100"/>
      <c r="O3743" s="100"/>
      <c r="P3743" s="100"/>
      <c r="Q3743" s="100"/>
      <c r="R3743" s="100"/>
      <c r="S3743" s="100"/>
      <c r="T3743" s="100"/>
      <c r="U3743" s="100"/>
      <c r="V3743" s="100"/>
      <c r="W3743" s="100"/>
      <c r="X3743" s="100"/>
      <c r="Y3743" s="100"/>
      <c r="Z3743" s="100"/>
    </row>
    <row r="3744" spans="1:26">
      <c r="A3744" s="100"/>
      <c r="B3744" s="100"/>
      <c r="C3744" s="100"/>
      <c r="D3744" s="100"/>
      <c r="E3744" s="100"/>
      <c r="F3744" s="100"/>
      <c r="G3744" s="100"/>
      <c r="H3744" s="100"/>
      <c r="I3744" s="100"/>
      <c r="J3744" s="100"/>
      <c r="K3744" s="100"/>
      <c r="L3744" s="100"/>
      <c r="M3744" s="100"/>
      <c r="N3744" s="100"/>
      <c r="O3744" s="100"/>
      <c r="P3744" s="100"/>
      <c r="Q3744" s="100"/>
      <c r="R3744" s="100"/>
      <c r="S3744" s="100"/>
      <c r="T3744" s="100"/>
      <c r="U3744" s="100"/>
      <c r="V3744" s="100"/>
      <c r="W3744" s="100"/>
      <c r="X3744" s="100"/>
      <c r="Y3744" s="100"/>
      <c r="Z3744" s="100"/>
    </row>
    <row r="3745" spans="1:26">
      <c r="A3745" s="100"/>
      <c r="B3745" s="100"/>
      <c r="C3745" s="100"/>
      <c r="D3745" s="100"/>
      <c r="E3745" s="100"/>
      <c r="F3745" s="100"/>
      <c r="G3745" s="100"/>
      <c r="H3745" s="100"/>
      <c r="I3745" s="100"/>
      <c r="J3745" s="100"/>
      <c r="K3745" s="100"/>
      <c r="L3745" s="100"/>
      <c r="M3745" s="100"/>
      <c r="N3745" s="100"/>
      <c r="O3745" s="100"/>
      <c r="P3745" s="100"/>
      <c r="Q3745" s="100"/>
      <c r="R3745" s="100"/>
      <c r="S3745" s="100"/>
      <c r="T3745" s="100"/>
      <c r="U3745" s="100"/>
      <c r="V3745" s="100"/>
      <c r="W3745" s="100"/>
      <c r="X3745" s="100"/>
      <c r="Y3745" s="100"/>
      <c r="Z3745" s="100"/>
    </row>
    <row r="3746" spans="1:26">
      <c r="A3746" s="100"/>
      <c r="B3746" s="100"/>
      <c r="C3746" s="100"/>
      <c r="D3746" s="100"/>
      <c r="E3746" s="100"/>
      <c r="F3746" s="100"/>
      <c r="G3746" s="100"/>
      <c r="H3746" s="100"/>
      <c r="I3746" s="100"/>
      <c r="J3746" s="100"/>
      <c r="K3746" s="100"/>
      <c r="L3746" s="100"/>
      <c r="M3746" s="100"/>
      <c r="N3746" s="100"/>
      <c r="O3746" s="100"/>
      <c r="P3746" s="100"/>
      <c r="Q3746" s="100"/>
      <c r="R3746" s="100"/>
      <c r="S3746" s="100"/>
      <c r="T3746" s="100"/>
      <c r="U3746" s="100"/>
      <c r="V3746" s="100"/>
      <c r="W3746" s="100"/>
      <c r="X3746" s="100"/>
      <c r="Y3746" s="100"/>
      <c r="Z3746" s="100"/>
    </row>
    <row r="3747" spans="1:26">
      <c r="A3747" s="100"/>
      <c r="B3747" s="100"/>
      <c r="C3747" s="100"/>
      <c r="D3747" s="100"/>
      <c r="E3747" s="100"/>
      <c r="F3747" s="100"/>
      <c r="G3747" s="100"/>
      <c r="H3747" s="100"/>
      <c r="I3747" s="100"/>
      <c r="J3747" s="100"/>
      <c r="K3747" s="100"/>
      <c r="L3747" s="100"/>
      <c r="M3747" s="100"/>
      <c r="N3747" s="100"/>
      <c r="O3747" s="100"/>
      <c r="P3747" s="100"/>
      <c r="Q3747" s="100"/>
      <c r="R3747" s="100"/>
      <c r="S3747" s="100"/>
      <c r="T3747" s="100"/>
      <c r="U3747" s="100"/>
      <c r="V3747" s="100"/>
      <c r="W3747" s="100"/>
      <c r="X3747" s="100"/>
      <c r="Y3747" s="100"/>
      <c r="Z3747" s="100"/>
    </row>
    <row r="3748" spans="1:26">
      <c r="A3748" s="100"/>
      <c r="B3748" s="100"/>
      <c r="C3748" s="100"/>
      <c r="D3748" s="100"/>
      <c r="E3748" s="100"/>
      <c r="F3748" s="100"/>
      <c r="G3748" s="100"/>
      <c r="H3748" s="100"/>
      <c r="I3748" s="100"/>
      <c r="J3748" s="100"/>
      <c r="K3748" s="100"/>
      <c r="L3748" s="100"/>
      <c r="M3748" s="100"/>
      <c r="N3748" s="100"/>
      <c r="O3748" s="100"/>
      <c r="P3748" s="100"/>
      <c r="Q3748" s="100"/>
      <c r="R3748" s="100"/>
      <c r="S3748" s="100"/>
      <c r="T3748" s="100"/>
      <c r="U3748" s="100"/>
      <c r="V3748" s="100"/>
      <c r="W3748" s="100"/>
      <c r="X3748" s="100"/>
      <c r="Y3748" s="100"/>
      <c r="Z3748" s="100"/>
    </row>
    <row r="3749" spans="1:26">
      <c r="A3749" s="100"/>
      <c r="B3749" s="100"/>
      <c r="C3749" s="100"/>
      <c r="D3749" s="100"/>
      <c r="E3749" s="100"/>
      <c r="F3749" s="100"/>
      <c r="G3749" s="100"/>
      <c r="H3749" s="100"/>
      <c r="I3749" s="100"/>
      <c r="J3749" s="100"/>
      <c r="K3749" s="100"/>
      <c r="L3749" s="100"/>
      <c r="M3749" s="100"/>
      <c r="N3749" s="100"/>
      <c r="O3749" s="100"/>
      <c r="P3749" s="100"/>
      <c r="Q3749" s="100"/>
      <c r="R3749" s="100"/>
      <c r="S3749" s="100"/>
      <c r="T3749" s="100"/>
      <c r="U3749" s="100"/>
      <c r="V3749" s="100"/>
      <c r="W3749" s="100"/>
      <c r="X3749" s="100"/>
      <c r="Y3749" s="100"/>
      <c r="Z3749" s="100"/>
    </row>
    <row r="3750" spans="1:26">
      <c r="A3750" s="100"/>
      <c r="B3750" s="100"/>
      <c r="C3750" s="100"/>
      <c r="D3750" s="100"/>
      <c r="E3750" s="100"/>
      <c r="F3750" s="100"/>
      <c r="G3750" s="100"/>
      <c r="H3750" s="100"/>
      <c r="I3750" s="100"/>
      <c r="J3750" s="100"/>
      <c r="K3750" s="100"/>
      <c r="L3750" s="100"/>
      <c r="M3750" s="100"/>
      <c r="N3750" s="100"/>
      <c r="O3750" s="100"/>
      <c r="P3750" s="100"/>
      <c r="Q3750" s="100"/>
      <c r="R3750" s="100"/>
      <c r="S3750" s="100"/>
      <c r="T3750" s="100"/>
      <c r="U3750" s="100"/>
      <c r="V3750" s="100"/>
      <c r="W3750" s="100"/>
      <c r="X3750" s="100"/>
      <c r="Y3750" s="100"/>
      <c r="Z3750" s="100"/>
    </row>
    <row r="3751" spans="1:26">
      <c r="A3751" s="100"/>
      <c r="B3751" s="100"/>
      <c r="C3751" s="100"/>
      <c r="D3751" s="100"/>
      <c r="E3751" s="100"/>
      <c r="F3751" s="100"/>
      <c r="G3751" s="100"/>
      <c r="H3751" s="100"/>
      <c r="I3751" s="100"/>
      <c r="J3751" s="100"/>
      <c r="K3751" s="100"/>
      <c r="L3751" s="100"/>
      <c r="M3751" s="100"/>
      <c r="N3751" s="100"/>
      <c r="O3751" s="100"/>
      <c r="P3751" s="100"/>
      <c r="Q3751" s="100"/>
      <c r="R3751" s="100"/>
      <c r="S3751" s="100"/>
      <c r="T3751" s="100"/>
      <c r="U3751" s="100"/>
      <c r="V3751" s="100"/>
      <c r="W3751" s="100"/>
      <c r="X3751" s="100"/>
      <c r="Y3751" s="100"/>
      <c r="Z3751" s="100"/>
    </row>
    <row r="3752" spans="1:26">
      <c r="A3752" s="100"/>
      <c r="B3752" s="100"/>
      <c r="C3752" s="100"/>
      <c r="D3752" s="100"/>
      <c r="E3752" s="100"/>
      <c r="F3752" s="100"/>
      <c r="G3752" s="100"/>
      <c r="H3752" s="100"/>
      <c r="I3752" s="100"/>
      <c r="J3752" s="100"/>
      <c r="K3752" s="100"/>
      <c r="L3752" s="100"/>
      <c r="M3752" s="100"/>
      <c r="N3752" s="100"/>
      <c r="O3752" s="100"/>
      <c r="P3752" s="100"/>
      <c r="Q3752" s="100"/>
      <c r="R3752" s="100"/>
      <c r="S3752" s="100"/>
      <c r="T3752" s="100"/>
      <c r="U3752" s="100"/>
      <c r="V3752" s="100"/>
      <c r="W3752" s="100"/>
      <c r="X3752" s="100"/>
      <c r="Y3752" s="100"/>
      <c r="Z3752" s="100"/>
    </row>
    <row r="3753" spans="1:26">
      <c r="A3753" s="100"/>
      <c r="B3753" s="100"/>
      <c r="C3753" s="100"/>
      <c r="D3753" s="100"/>
      <c r="E3753" s="100"/>
      <c r="F3753" s="100"/>
      <c r="G3753" s="100"/>
      <c r="H3753" s="100"/>
      <c r="I3753" s="100"/>
      <c r="J3753" s="100"/>
      <c r="K3753" s="100"/>
      <c r="L3753" s="100"/>
      <c r="M3753" s="100"/>
      <c r="N3753" s="100"/>
      <c r="O3753" s="100"/>
      <c r="P3753" s="100"/>
      <c r="Q3753" s="100"/>
      <c r="R3753" s="100"/>
      <c r="S3753" s="100"/>
      <c r="T3753" s="100"/>
      <c r="U3753" s="100"/>
      <c r="V3753" s="100"/>
      <c r="W3753" s="100"/>
      <c r="X3753" s="100"/>
      <c r="Y3753" s="100"/>
      <c r="Z3753" s="100"/>
    </row>
    <row r="3754" spans="1:26">
      <c r="A3754" s="100"/>
      <c r="B3754" s="100"/>
      <c r="C3754" s="100"/>
      <c r="D3754" s="100"/>
      <c r="E3754" s="100"/>
      <c r="F3754" s="100"/>
      <c r="G3754" s="100"/>
      <c r="H3754" s="100"/>
      <c r="I3754" s="100"/>
      <c r="J3754" s="100"/>
      <c r="K3754" s="100"/>
      <c r="L3754" s="100"/>
      <c r="M3754" s="100"/>
      <c r="N3754" s="100"/>
      <c r="O3754" s="100"/>
      <c r="P3754" s="100"/>
      <c r="Q3754" s="100"/>
      <c r="R3754" s="100"/>
      <c r="S3754" s="100"/>
      <c r="T3754" s="100"/>
      <c r="U3754" s="100"/>
      <c r="V3754" s="100"/>
      <c r="W3754" s="100"/>
      <c r="X3754" s="100"/>
      <c r="Y3754" s="100"/>
      <c r="Z3754" s="100"/>
    </row>
    <row r="3755" spans="1:26">
      <c r="A3755" s="100"/>
      <c r="B3755" s="100"/>
      <c r="C3755" s="100"/>
      <c r="D3755" s="100"/>
      <c r="E3755" s="100"/>
      <c r="F3755" s="100"/>
      <c r="G3755" s="100"/>
      <c r="H3755" s="100"/>
      <c r="I3755" s="100"/>
      <c r="J3755" s="100"/>
      <c r="K3755" s="100"/>
      <c r="L3755" s="100"/>
      <c r="M3755" s="100"/>
      <c r="N3755" s="100"/>
      <c r="O3755" s="100"/>
      <c r="P3755" s="100"/>
      <c r="Q3755" s="100"/>
      <c r="R3755" s="100"/>
      <c r="S3755" s="100"/>
      <c r="T3755" s="100"/>
      <c r="U3755" s="100"/>
      <c r="V3755" s="100"/>
      <c r="W3755" s="100"/>
      <c r="X3755" s="100"/>
      <c r="Y3755" s="100"/>
      <c r="Z3755" s="100"/>
    </row>
    <row r="3756" spans="1:26">
      <c r="A3756" s="100"/>
      <c r="B3756" s="100"/>
      <c r="C3756" s="100"/>
      <c r="D3756" s="100"/>
      <c r="E3756" s="100"/>
      <c r="F3756" s="100"/>
      <c r="G3756" s="100"/>
      <c r="H3756" s="100"/>
      <c r="I3756" s="100"/>
      <c r="J3756" s="100"/>
      <c r="K3756" s="100"/>
      <c r="L3756" s="100"/>
      <c r="M3756" s="100"/>
      <c r="N3756" s="100"/>
      <c r="O3756" s="100"/>
      <c r="P3756" s="100"/>
      <c r="Q3756" s="100"/>
      <c r="R3756" s="100"/>
      <c r="S3756" s="100"/>
      <c r="T3756" s="100"/>
      <c r="U3756" s="100"/>
      <c r="V3756" s="100"/>
      <c r="W3756" s="100"/>
      <c r="X3756" s="100"/>
      <c r="Y3756" s="100"/>
      <c r="Z3756" s="100"/>
    </row>
    <row r="3757" spans="1:26">
      <c r="A3757" s="100"/>
      <c r="B3757" s="100"/>
      <c r="C3757" s="100"/>
      <c r="D3757" s="100"/>
      <c r="E3757" s="100"/>
      <c r="F3757" s="100"/>
      <c r="G3757" s="100"/>
      <c r="H3757" s="100"/>
      <c r="I3757" s="100"/>
      <c r="J3757" s="100"/>
      <c r="K3757" s="100"/>
      <c r="L3757" s="100"/>
      <c r="M3757" s="100"/>
      <c r="N3757" s="100"/>
      <c r="O3757" s="100"/>
      <c r="P3757" s="100"/>
      <c r="Q3757" s="100"/>
      <c r="R3757" s="100"/>
      <c r="S3757" s="100"/>
      <c r="T3757" s="100"/>
      <c r="U3757" s="100"/>
      <c r="V3757" s="100"/>
      <c r="W3757" s="100"/>
      <c r="X3757" s="100"/>
      <c r="Y3757" s="100"/>
      <c r="Z3757" s="100"/>
    </row>
    <row r="3758" spans="1:26">
      <c r="A3758" s="100"/>
      <c r="B3758" s="100"/>
      <c r="C3758" s="100"/>
      <c r="D3758" s="100"/>
      <c r="E3758" s="100"/>
      <c r="F3758" s="100"/>
      <c r="G3758" s="100"/>
      <c r="H3758" s="100"/>
      <c r="I3758" s="100"/>
      <c r="J3758" s="100"/>
      <c r="K3758" s="100"/>
      <c r="L3758" s="100"/>
      <c r="M3758" s="100"/>
      <c r="N3758" s="100"/>
      <c r="O3758" s="100"/>
      <c r="P3758" s="100"/>
      <c r="Q3758" s="100"/>
      <c r="R3758" s="100"/>
      <c r="S3758" s="100"/>
      <c r="T3758" s="100"/>
      <c r="U3758" s="100"/>
      <c r="V3758" s="100"/>
      <c r="W3758" s="100"/>
      <c r="X3758" s="100"/>
      <c r="Y3758" s="100"/>
      <c r="Z3758" s="100"/>
    </row>
    <row r="3759" spans="1:26">
      <c r="A3759" s="100"/>
      <c r="B3759" s="100"/>
      <c r="C3759" s="100"/>
      <c r="D3759" s="100"/>
      <c r="E3759" s="100"/>
      <c r="F3759" s="100"/>
      <c r="G3759" s="100"/>
      <c r="H3759" s="100"/>
      <c r="I3759" s="100"/>
      <c r="J3759" s="100"/>
      <c r="K3759" s="100"/>
      <c r="L3759" s="100"/>
      <c r="M3759" s="100"/>
      <c r="N3759" s="100"/>
      <c r="O3759" s="100"/>
      <c r="P3759" s="100"/>
      <c r="Q3759" s="100"/>
      <c r="R3759" s="100"/>
      <c r="S3759" s="100"/>
      <c r="T3759" s="100"/>
      <c r="U3759" s="100"/>
      <c r="V3759" s="100"/>
      <c r="W3759" s="100"/>
      <c r="X3759" s="100"/>
      <c r="Y3759" s="100"/>
      <c r="Z3759" s="100"/>
    </row>
    <row r="3760" spans="1:26">
      <c r="A3760" s="100"/>
      <c r="B3760" s="100"/>
      <c r="C3760" s="100"/>
      <c r="D3760" s="100"/>
      <c r="E3760" s="100"/>
      <c r="F3760" s="100"/>
      <c r="G3760" s="100"/>
      <c r="H3760" s="100"/>
      <c r="I3760" s="100"/>
      <c r="J3760" s="100"/>
      <c r="K3760" s="100"/>
      <c r="L3760" s="100"/>
      <c r="M3760" s="100"/>
      <c r="N3760" s="100"/>
      <c r="O3760" s="100"/>
      <c r="P3760" s="100"/>
      <c r="Q3760" s="100"/>
      <c r="R3760" s="100"/>
      <c r="S3760" s="100"/>
      <c r="T3760" s="100"/>
      <c r="U3760" s="100"/>
      <c r="V3760" s="100"/>
      <c r="W3760" s="100"/>
      <c r="X3760" s="100"/>
      <c r="Y3760" s="100"/>
      <c r="Z3760" s="100"/>
    </row>
    <row r="3761" spans="1:26">
      <c r="A3761" s="100"/>
      <c r="B3761" s="100"/>
      <c r="C3761" s="100"/>
      <c r="D3761" s="100"/>
      <c r="E3761" s="100"/>
      <c r="F3761" s="100"/>
      <c r="G3761" s="100"/>
      <c r="H3761" s="100"/>
      <c r="I3761" s="100"/>
      <c r="J3761" s="100"/>
      <c r="K3761" s="100"/>
      <c r="L3761" s="100"/>
      <c r="M3761" s="100"/>
      <c r="N3761" s="100"/>
      <c r="O3761" s="100"/>
      <c r="P3761" s="100"/>
      <c r="Q3761" s="100"/>
      <c r="R3761" s="100"/>
      <c r="S3761" s="100"/>
      <c r="T3761" s="100"/>
      <c r="U3761" s="100"/>
      <c r="V3761" s="100"/>
      <c r="W3761" s="100"/>
      <c r="X3761" s="100"/>
      <c r="Y3761" s="100"/>
      <c r="Z3761" s="100"/>
    </row>
    <row r="3762" spans="1:26">
      <c r="A3762" s="100"/>
      <c r="B3762" s="100"/>
      <c r="C3762" s="100"/>
      <c r="D3762" s="100"/>
      <c r="E3762" s="100"/>
      <c r="F3762" s="100"/>
      <c r="G3762" s="100"/>
      <c r="H3762" s="100"/>
      <c r="I3762" s="100"/>
      <c r="J3762" s="100"/>
      <c r="K3762" s="100"/>
      <c r="L3762" s="100"/>
      <c r="M3762" s="100"/>
      <c r="N3762" s="100"/>
      <c r="O3762" s="100"/>
      <c r="P3762" s="100"/>
      <c r="Q3762" s="100"/>
      <c r="R3762" s="100"/>
      <c r="S3762" s="100"/>
      <c r="T3762" s="100"/>
      <c r="U3762" s="100"/>
      <c r="V3762" s="100"/>
      <c r="W3762" s="100"/>
      <c r="X3762" s="100"/>
      <c r="Y3762" s="100"/>
      <c r="Z3762" s="100"/>
    </row>
    <row r="3763" spans="1:26">
      <c r="A3763" s="100"/>
      <c r="B3763" s="100"/>
      <c r="C3763" s="100"/>
      <c r="D3763" s="100"/>
      <c r="E3763" s="100"/>
      <c r="F3763" s="100"/>
      <c r="G3763" s="100"/>
      <c r="H3763" s="100"/>
      <c r="I3763" s="100"/>
      <c r="J3763" s="100"/>
      <c r="K3763" s="100"/>
      <c r="L3763" s="100"/>
      <c r="M3763" s="100"/>
      <c r="N3763" s="100"/>
      <c r="O3763" s="100"/>
      <c r="P3763" s="100"/>
      <c r="Q3763" s="100"/>
      <c r="R3763" s="100"/>
      <c r="S3763" s="100"/>
      <c r="T3763" s="100"/>
      <c r="U3763" s="100"/>
      <c r="V3763" s="100"/>
      <c r="W3763" s="100"/>
      <c r="X3763" s="100"/>
      <c r="Y3763" s="100"/>
      <c r="Z3763" s="100"/>
    </row>
    <row r="3764" spans="1:26">
      <c r="A3764" s="100"/>
      <c r="B3764" s="100"/>
      <c r="C3764" s="100"/>
      <c r="D3764" s="100"/>
      <c r="E3764" s="100"/>
      <c r="F3764" s="100"/>
      <c r="G3764" s="100"/>
      <c r="H3764" s="100"/>
      <c r="I3764" s="100"/>
      <c r="J3764" s="100"/>
      <c r="K3764" s="100"/>
      <c r="L3764" s="100"/>
      <c r="M3764" s="100"/>
      <c r="N3764" s="100"/>
      <c r="O3764" s="100"/>
      <c r="P3764" s="100"/>
      <c r="Q3764" s="100"/>
      <c r="R3764" s="100"/>
      <c r="S3764" s="100"/>
      <c r="T3764" s="100"/>
      <c r="U3764" s="100"/>
      <c r="V3764" s="100"/>
      <c r="W3764" s="100"/>
      <c r="X3764" s="100"/>
      <c r="Y3764" s="100"/>
      <c r="Z3764" s="100"/>
    </row>
    <row r="3765" spans="1:26">
      <c r="A3765" s="100"/>
      <c r="B3765" s="100"/>
      <c r="C3765" s="100"/>
      <c r="D3765" s="100"/>
      <c r="E3765" s="100"/>
      <c r="F3765" s="100"/>
      <c r="G3765" s="100"/>
      <c r="H3765" s="100"/>
      <c r="I3765" s="100"/>
      <c r="J3765" s="100"/>
      <c r="K3765" s="100"/>
      <c r="L3765" s="100"/>
      <c r="M3765" s="100"/>
      <c r="N3765" s="100"/>
      <c r="O3765" s="100"/>
      <c r="P3765" s="100"/>
      <c r="Q3765" s="100"/>
      <c r="R3765" s="100"/>
      <c r="S3765" s="100"/>
      <c r="T3765" s="100"/>
      <c r="U3765" s="100"/>
      <c r="V3765" s="100"/>
      <c r="W3765" s="100"/>
      <c r="X3765" s="100"/>
      <c r="Y3765" s="100"/>
      <c r="Z3765" s="100"/>
    </row>
    <row r="3766" spans="1:26">
      <c r="A3766" s="100"/>
      <c r="B3766" s="100"/>
      <c r="C3766" s="100"/>
      <c r="D3766" s="100"/>
      <c r="E3766" s="100"/>
      <c r="F3766" s="100"/>
      <c r="G3766" s="100"/>
      <c r="H3766" s="100"/>
      <c r="I3766" s="100"/>
      <c r="J3766" s="100"/>
      <c r="K3766" s="100"/>
      <c r="L3766" s="100"/>
      <c r="M3766" s="100"/>
      <c r="N3766" s="100"/>
      <c r="O3766" s="100"/>
      <c r="P3766" s="100"/>
      <c r="Q3766" s="100"/>
      <c r="R3766" s="100"/>
      <c r="S3766" s="100"/>
      <c r="T3766" s="100"/>
      <c r="U3766" s="100"/>
      <c r="V3766" s="100"/>
      <c r="W3766" s="100"/>
      <c r="X3766" s="100"/>
      <c r="Y3766" s="100"/>
      <c r="Z3766" s="100"/>
    </row>
    <row r="3767" spans="1:26">
      <c r="A3767" s="100"/>
      <c r="B3767" s="100"/>
      <c r="C3767" s="100"/>
      <c r="D3767" s="100"/>
      <c r="E3767" s="100"/>
      <c r="F3767" s="100"/>
      <c r="G3767" s="100"/>
      <c r="H3767" s="100"/>
      <c r="I3767" s="100"/>
      <c r="J3767" s="100"/>
      <c r="K3767" s="100"/>
      <c r="L3767" s="100"/>
      <c r="M3767" s="100"/>
      <c r="N3767" s="100"/>
      <c r="O3767" s="100"/>
      <c r="P3767" s="100"/>
      <c r="Q3767" s="100"/>
      <c r="R3767" s="100"/>
      <c r="S3767" s="100"/>
      <c r="T3767" s="100"/>
      <c r="U3767" s="100"/>
      <c r="V3767" s="100"/>
      <c r="W3767" s="100"/>
      <c r="X3767" s="100"/>
      <c r="Y3767" s="100"/>
      <c r="Z3767" s="100"/>
    </row>
    <row r="3768" spans="1:26">
      <c r="A3768" s="100"/>
      <c r="B3768" s="100"/>
      <c r="C3768" s="100"/>
      <c r="D3768" s="100"/>
      <c r="E3768" s="100"/>
      <c r="F3768" s="100"/>
      <c r="G3768" s="100"/>
      <c r="H3768" s="100"/>
      <c r="I3768" s="100"/>
      <c r="J3768" s="100"/>
      <c r="K3768" s="100"/>
      <c r="L3768" s="100"/>
      <c r="M3768" s="100"/>
      <c r="N3768" s="100"/>
      <c r="O3768" s="100"/>
      <c r="P3768" s="100"/>
      <c r="Q3768" s="100"/>
      <c r="R3768" s="100"/>
      <c r="S3768" s="100"/>
      <c r="T3768" s="100"/>
      <c r="U3768" s="100"/>
      <c r="V3768" s="100"/>
      <c r="W3768" s="100"/>
      <c r="X3768" s="100"/>
      <c r="Y3768" s="100"/>
      <c r="Z3768" s="100"/>
    </row>
    <row r="3769" spans="1:26">
      <c r="A3769" s="100"/>
      <c r="B3769" s="100"/>
      <c r="C3769" s="100"/>
      <c r="D3769" s="100"/>
      <c r="E3769" s="100"/>
      <c r="F3769" s="100"/>
      <c r="G3769" s="100"/>
      <c r="H3769" s="100"/>
      <c r="I3769" s="100"/>
      <c r="J3769" s="100"/>
      <c r="K3769" s="100"/>
      <c r="L3769" s="100"/>
      <c r="M3769" s="100"/>
      <c r="N3769" s="100"/>
      <c r="O3769" s="100"/>
      <c r="P3769" s="100"/>
      <c r="Q3769" s="100"/>
      <c r="R3769" s="100"/>
      <c r="S3769" s="100"/>
      <c r="T3769" s="100"/>
      <c r="U3769" s="100"/>
      <c r="V3769" s="100"/>
      <c r="W3769" s="100"/>
      <c r="X3769" s="100"/>
      <c r="Y3769" s="100"/>
      <c r="Z3769" s="100"/>
    </row>
    <row r="3770" spans="1:26">
      <c r="A3770" s="100"/>
      <c r="B3770" s="100"/>
      <c r="C3770" s="100"/>
      <c r="D3770" s="100"/>
      <c r="E3770" s="100"/>
      <c r="F3770" s="100"/>
      <c r="G3770" s="100"/>
      <c r="H3770" s="100"/>
      <c r="I3770" s="100"/>
      <c r="J3770" s="100"/>
      <c r="K3770" s="100"/>
      <c r="L3770" s="100"/>
      <c r="M3770" s="100"/>
      <c r="N3770" s="100"/>
      <c r="O3770" s="100"/>
      <c r="P3770" s="100"/>
      <c r="Q3770" s="100"/>
      <c r="R3770" s="100"/>
      <c r="S3770" s="100"/>
      <c r="T3770" s="100"/>
      <c r="U3770" s="100"/>
      <c r="V3770" s="100"/>
      <c r="W3770" s="100"/>
      <c r="X3770" s="100"/>
      <c r="Y3770" s="100"/>
      <c r="Z3770" s="100"/>
    </row>
    <row r="3771" spans="1:26">
      <c r="A3771" s="100"/>
      <c r="B3771" s="100"/>
      <c r="C3771" s="100"/>
      <c r="D3771" s="100"/>
      <c r="E3771" s="100"/>
      <c r="F3771" s="100"/>
      <c r="G3771" s="100"/>
      <c r="H3771" s="100"/>
      <c r="I3771" s="100"/>
      <c r="J3771" s="100"/>
      <c r="K3771" s="100"/>
      <c r="L3771" s="100"/>
      <c r="M3771" s="100"/>
      <c r="N3771" s="100"/>
      <c r="O3771" s="100"/>
      <c r="P3771" s="100"/>
      <c r="Q3771" s="100"/>
      <c r="R3771" s="100"/>
      <c r="S3771" s="100"/>
      <c r="T3771" s="100"/>
      <c r="U3771" s="100"/>
      <c r="V3771" s="100"/>
      <c r="W3771" s="100"/>
      <c r="X3771" s="100"/>
      <c r="Y3771" s="100"/>
      <c r="Z3771" s="100"/>
    </row>
    <row r="3772" spans="1:26">
      <c r="A3772" s="100"/>
      <c r="B3772" s="100"/>
      <c r="C3772" s="100"/>
      <c r="D3772" s="100"/>
      <c r="E3772" s="100"/>
      <c r="F3772" s="100"/>
      <c r="G3772" s="100"/>
      <c r="H3772" s="100"/>
      <c r="I3772" s="100"/>
      <c r="J3772" s="100"/>
      <c r="K3772" s="100"/>
      <c r="L3772" s="100"/>
      <c r="M3772" s="100"/>
      <c r="N3772" s="100"/>
      <c r="O3772" s="100"/>
      <c r="P3772" s="100"/>
      <c r="Q3772" s="100"/>
      <c r="R3772" s="100"/>
      <c r="S3772" s="100"/>
      <c r="T3772" s="100"/>
      <c r="U3772" s="100"/>
      <c r="V3772" s="100"/>
      <c r="W3772" s="100"/>
      <c r="X3772" s="100"/>
      <c r="Y3772" s="100"/>
      <c r="Z3772" s="100"/>
    </row>
    <row r="3773" spans="1:26">
      <c r="A3773" s="100"/>
      <c r="B3773" s="100"/>
      <c r="C3773" s="100"/>
      <c r="D3773" s="100"/>
      <c r="E3773" s="100"/>
      <c r="F3773" s="100"/>
      <c r="G3773" s="100"/>
      <c r="H3773" s="100"/>
      <c r="I3773" s="100"/>
      <c r="J3773" s="100"/>
      <c r="K3773" s="100"/>
      <c r="L3773" s="100"/>
      <c r="M3773" s="100"/>
      <c r="N3773" s="100"/>
      <c r="O3773" s="100"/>
      <c r="P3773" s="100"/>
      <c r="Q3773" s="100"/>
      <c r="R3773" s="100"/>
      <c r="S3773" s="100"/>
      <c r="T3773" s="100"/>
      <c r="U3773" s="100"/>
      <c r="V3773" s="100"/>
      <c r="W3773" s="100"/>
      <c r="X3773" s="100"/>
      <c r="Y3773" s="100"/>
      <c r="Z3773" s="100"/>
    </row>
    <row r="3774" spans="1:26">
      <c r="A3774" s="100"/>
      <c r="B3774" s="100"/>
      <c r="C3774" s="100"/>
      <c r="D3774" s="100"/>
      <c r="E3774" s="100"/>
      <c r="F3774" s="100"/>
      <c r="G3774" s="100"/>
      <c r="H3774" s="100"/>
      <c r="I3774" s="100"/>
      <c r="J3774" s="100"/>
      <c r="K3774" s="100"/>
      <c r="L3774" s="100"/>
      <c r="M3774" s="100"/>
      <c r="N3774" s="100"/>
      <c r="O3774" s="100"/>
      <c r="P3774" s="100"/>
      <c r="Q3774" s="100"/>
      <c r="R3774" s="100"/>
      <c r="S3774" s="100"/>
      <c r="T3774" s="100"/>
      <c r="U3774" s="100"/>
      <c r="V3774" s="100"/>
      <c r="W3774" s="100"/>
      <c r="X3774" s="100"/>
      <c r="Y3774" s="100"/>
      <c r="Z3774" s="100"/>
    </row>
    <row r="3775" spans="1:26">
      <c r="A3775" s="100"/>
      <c r="B3775" s="100"/>
      <c r="C3775" s="100"/>
      <c r="D3775" s="100"/>
      <c r="E3775" s="100"/>
      <c r="F3775" s="100"/>
      <c r="G3775" s="100"/>
      <c r="H3775" s="100"/>
      <c r="I3775" s="100"/>
      <c r="J3775" s="100"/>
      <c r="K3775" s="100"/>
      <c r="L3775" s="100"/>
      <c r="M3775" s="100"/>
      <c r="N3775" s="100"/>
      <c r="O3775" s="100"/>
      <c r="P3775" s="100"/>
      <c r="Q3775" s="100"/>
      <c r="R3775" s="100"/>
      <c r="S3775" s="100"/>
      <c r="T3775" s="100"/>
      <c r="U3775" s="100"/>
      <c r="V3775" s="100"/>
      <c r="W3775" s="100"/>
      <c r="X3775" s="100"/>
      <c r="Y3775" s="100"/>
      <c r="Z3775" s="100"/>
    </row>
    <row r="3776" spans="1:26">
      <c r="A3776" s="100"/>
      <c r="B3776" s="100"/>
      <c r="C3776" s="100"/>
      <c r="D3776" s="100"/>
      <c r="E3776" s="100"/>
      <c r="F3776" s="100"/>
      <c r="G3776" s="100"/>
      <c r="H3776" s="100"/>
      <c r="I3776" s="100"/>
      <c r="J3776" s="100"/>
      <c r="K3776" s="100"/>
      <c r="L3776" s="100"/>
      <c r="M3776" s="100"/>
      <c r="N3776" s="100"/>
      <c r="O3776" s="100"/>
      <c r="P3776" s="100"/>
      <c r="Q3776" s="100"/>
      <c r="R3776" s="100"/>
      <c r="S3776" s="100"/>
      <c r="T3776" s="100"/>
      <c r="U3776" s="100"/>
      <c r="V3776" s="100"/>
      <c r="W3776" s="100"/>
      <c r="X3776" s="100"/>
      <c r="Y3776" s="100"/>
      <c r="Z3776" s="100"/>
    </row>
    <row r="3777" spans="1:26">
      <c r="A3777" s="100"/>
      <c r="B3777" s="100"/>
      <c r="C3777" s="100"/>
      <c r="D3777" s="100"/>
      <c r="E3777" s="100"/>
      <c r="F3777" s="100"/>
      <c r="G3777" s="100"/>
      <c r="H3777" s="100"/>
      <c r="I3777" s="100"/>
      <c r="J3777" s="100"/>
      <c r="K3777" s="100"/>
      <c r="L3777" s="100"/>
      <c r="M3777" s="100"/>
      <c r="N3777" s="100"/>
      <c r="O3777" s="100"/>
      <c r="P3777" s="100"/>
      <c r="Q3777" s="100"/>
      <c r="R3777" s="100"/>
      <c r="S3777" s="100"/>
      <c r="T3777" s="100"/>
      <c r="U3777" s="100"/>
      <c r="V3777" s="100"/>
      <c r="W3777" s="100"/>
      <c r="X3777" s="100"/>
      <c r="Y3777" s="100"/>
      <c r="Z3777" s="100"/>
    </row>
    <row r="3778" spans="1:26">
      <c r="A3778" s="100"/>
      <c r="B3778" s="100"/>
      <c r="C3778" s="100"/>
      <c r="D3778" s="100"/>
      <c r="E3778" s="100"/>
      <c r="F3778" s="100"/>
      <c r="G3778" s="100"/>
      <c r="H3778" s="100"/>
      <c r="I3778" s="100"/>
      <c r="J3778" s="100"/>
      <c r="K3778" s="100"/>
      <c r="L3778" s="100"/>
      <c r="M3778" s="100"/>
      <c r="N3778" s="100"/>
      <c r="O3778" s="100"/>
      <c r="P3778" s="100"/>
      <c r="Q3778" s="100"/>
      <c r="R3778" s="100"/>
      <c r="S3778" s="100"/>
      <c r="T3778" s="100"/>
      <c r="U3778" s="100"/>
      <c r="V3778" s="100"/>
      <c r="W3778" s="100"/>
      <c r="X3778" s="100"/>
      <c r="Y3778" s="100"/>
      <c r="Z3778" s="100"/>
    </row>
    <row r="3779" spans="1:26">
      <c r="A3779" s="100"/>
      <c r="B3779" s="100"/>
      <c r="C3779" s="100"/>
      <c r="D3779" s="100"/>
      <c r="E3779" s="100"/>
      <c r="F3779" s="100"/>
      <c r="G3779" s="100"/>
      <c r="H3779" s="100"/>
      <c r="I3779" s="100"/>
      <c r="J3779" s="100"/>
      <c r="K3779" s="100"/>
      <c r="L3779" s="100"/>
      <c r="M3779" s="100"/>
      <c r="N3779" s="100"/>
      <c r="O3779" s="100"/>
      <c r="P3779" s="100"/>
      <c r="Q3779" s="100"/>
      <c r="R3779" s="100"/>
      <c r="S3779" s="100"/>
      <c r="T3779" s="100"/>
      <c r="U3779" s="100"/>
      <c r="V3779" s="100"/>
      <c r="W3779" s="100"/>
      <c r="X3779" s="100"/>
      <c r="Y3779" s="100"/>
      <c r="Z3779" s="100"/>
    </row>
    <row r="3780" spans="1:26">
      <c r="A3780" s="100"/>
      <c r="B3780" s="100"/>
      <c r="C3780" s="100"/>
      <c r="D3780" s="100"/>
      <c r="E3780" s="100"/>
      <c r="F3780" s="100"/>
      <c r="G3780" s="100"/>
      <c r="H3780" s="100"/>
      <c r="I3780" s="100"/>
      <c r="J3780" s="100"/>
      <c r="K3780" s="100"/>
      <c r="L3780" s="100"/>
      <c r="M3780" s="100"/>
      <c r="N3780" s="100"/>
      <c r="O3780" s="100"/>
      <c r="P3780" s="100"/>
      <c r="Q3780" s="100"/>
      <c r="R3780" s="100"/>
      <c r="S3780" s="100"/>
      <c r="T3780" s="100"/>
      <c r="U3780" s="100"/>
      <c r="V3780" s="100"/>
      <c r="W3780" s="100"/>
      <c r="X3780" s="100"/>
      <c r="Y3780" s="100"/>
      <c r="Z3780" s="100"/>
    </row>
    <row r="3781" spans="1:26">
      <c r="A3781" s="100"/>
      <c r="B3781" s="100"/>
      <c r="C3781" s="100"/>
      <c r="D3781" s="100"/>
      <c r="E3781" s="100"/>
      <c r="F3781" s="100"/>
      <c r="G3781" s="100"/>
      <c r="H3781" s="100"/>
      <c r="I3781" s="100"/>
      <c r="J3781" s="100"/>
      <c r="K3781" s="100"/>
      <c r="L3781" s="100"/>
      <c r="M3781" s="100"/>
      <c r="N3781" s="100"/>
      <c r="O3781" s="100"/>
      <c r="P3781" s="100"/>
      <c r="Q3781" s="100"/>
      <c r="R3781" s="100"/>
      <c r="S3781" s="100"/>
      <c r="T3781" s="100"/>
      <c r="U3781" s="100"/>
      <c r="V3781" s="100"/>
      <c r="W3781" s="100"/>
      <c r="X3781" s="100"/>
      <c r="Y3781" s="100"/>
      <c r="Z3781" s="100"/>
    </row>
    <row r="3782" spans="1:26">
      <c r="A3782" s="100"/>
      <c r="B3782" s="100"/>
      <c r="C3782" s="100"/>
      <c r="D3782" s="100"/>
      <c r="E3782" s="100"/>
      <c r="F3782" s="100"/>
      <c r="G3782" s="100"/>
      <c r="H3782" s="100"/>
      <c r="I3782" s="100"/>
      <c r="J3782" s="100"/>
      <c r="K3782" s="100"/>
      <c r="L3782" s="100"/>
      <c r="M3782" s="100"/>
      <c r="N3782" s="100"/>
      <c r="O3782" s="100"/>
      <c r="P3782" s="100"/>
      <c r="Q3782" s="100"/>
      <c r="R3782" s="100"/>
      <c r="S3782" s="100"/>
      <c r="T3782" s="100"/>
      <c r="U3782" s="100"/>
      <c r="V3782" s="100"/>
      <c r="W3782" s="100"/>
      <c r="X3782" s="100"/>
      <c r="Y3782" s="100"/>
      <c r="Z3782" s="100"/>
    </row>
    <row r="3783" spans="1:26">
      <c r="A3783" s="100"/>
      <c r="B3783" s="100"/>
      <c r="C3783" s="100"/>
      <c r="D3783" s="100"/>
      <c r="E3783" s="100"/>
      <c r="F3783" s="100"/>
      <c r="G3783" s="100"/>
      <c r="H3783" s="100"/>
      <c r="I3783" s="100"/>
      <c r="J3783" s="100"/>
      <c r="K3783" s="100"/>
      <c r="L3783" s="100"/>
      <c r="M3783" s="100"/>
      <c r="N3783" s="100"/>
      <c r="O3783" s="100"/>
      <c r="P3783" s="100"/>
      <c r="Q3783" s="100"/>
      <c r="R3783" s="100"/>
      <c r="S3783" s="100"/>
      <c r="T3783" s="100"/>
      <c r="U3783" s="100"/>
      <c r="V3783" s="100"/>
      <c r="W3783" s="100"/>
      <c r="X3783" s="100"/>
      <c r="Y3783" s="100"/>
      <c r="Z3783" s="100"/>
    </row>
    <row r="3784" spans="1:26">
      <c r="A3784" s="100"/>
      <c r="B3784" s="100"/>
      <c r="C3784" s="100"/>
      <c r="D3784" s="100"/>
      <c r="E3784" s="100"/>
      <c r="F3784" s="100"/>
      <c r="G3784" s="100"/>
      <c r="H3784" s="100"/>
      <c r="I3784" s="100"/>
      <c r="J3784" s="100"/>
      <c r="K3784" s="100"/>
      <c r="L3784" s="100"/>
      <c r="M3784" s="100"/>
      <c r="N3784" s="100"/>
      <c r="O3784" s="100"/>
      <c r="P3784" s="100"/>
      <c r="Q3784" s="100"/>
      <c r="R3784" s="100"/>
      <c r="S3784" s="100"/>
      <c r="T3784" s="100"/>
      <c r="U3784" s="100"/>
      <c r="V3784" s="100"/>
      <c r="W3784" s="100"/>
      <c r="X3784" s="100"/>
      <c r="Y3784" s="100"/>
      <c r="Z3784" s="100"/>
    </row>
    <row r="3785" spans="1:26">
      <c r="A3785" s="100"/>
      <c r="B3785" s="100"/>
      <c r="C3785" s="100"/>
      <c r="D3785" s="100"/>
      <c r="E3785" s="100"/>
      <c r="F3785" s="100"/>
      <c r="G3785" s="100"/>
      <c r="H3785" s="100"/>
      <c r="I3785" s="100"/>
      <c r="J3785" s="100"/>
      <c r="K3785" s="100"/>
      <c r="L3785" s="100"/>
      <c r="M3785" s="100"/>
      <c r="N3785" s="100"/>
      <c r="O3785" s="100"/>
      <c r="P3785" s="100"/>
      <c r="Q3785" s="100"/>
      <c r="R3785" s="100"/>
      <c r="S3785" s="100"/>
      <c r="T3785" s="100"/>
      <c r="U3785" s="100"/>
      <c r="V3785" s="100"/>
      <c r="W3785" s="100"/>
      <c r="X3785" s="100"/>
      <c r="Y3785" s="100"/>
      <c r="Z3785" s="100"/>
    </row>
    <row r="3786" spans="1:26">
      <c r="A3786" s="100"/>
      <c r="B3786" s="100"/>
      <c r="C3786" s="100"/>
      <c r="D3786" s="100"/>
      <c r="E3786" s="100"/>
      <c r="F3786" s="100"/>
      <c r="G3786" s="100"/>
      <c r="H3786" s="100"/>
      <c r="I3786" s="100"/>
      <c r="J3786" s="100"/>
      <c r="K3786" s="100"/>
      <c r="L3786" s="100"/>
      <c r="M3786" s="100"/>
      <c r="N3786" s="100"/>
      <c r="O3786" s="100"/>
      <c r="P3786" s="100"/>
      <c r="Q3786" s="100"/>
      <c r="R3786" s="100"/>
      <c r="S3786" s="100"/>
      <c r="T3786" s="100"/>
      <c r="U3786" s="100"/>
      <c r="V3786" s="100"/>
      <c r="W3786" s="100"/>
      <c r="X3786" s="100"/>
      <c r="Y3786" s="100"/>
      <c r="Z3786" s="100"/>
    </row>
    <row r="3787" spans="1:26">
      <c r="A3787" s="100"/>
      <c r="B3787" s="100"/>
      <c r="C3787" s="100"/>
      <c r="D3787" s="100"/>
      <c r="E3787" s="100"/>
      <c r="F3787" s="100"/>
      <c r="G3787" s="100"/>
      <c r="H3787" s="100"/>
      <c r="I3787" s="100"/>
      <c r="J3787" s="100"/>
      <c r="K3787" s="100"/>
      <c r="L3787" s="100"/>
      <c r="M3787" s="100"/>
      <c r="N3787" s="100"/>
      <c r="O3787" s="100"/>
      <c r="P3787" s="100"/>
      <c r="Q3787" s="100"/>
      <c r="R3787" s="100"/>
      <c r="S3787" s="100"/>
      <c r="T3787" s="100"/>
      <c r="U3787" s="100"/>
      <c r="V3787" s="100"/>
      <c r="W3787" s="100"/>
      <c r="X3787" s="100"/>
      <c r="Y3787" s="100"/>
      <c r="Z3787" s="100"/>
    </row>
    <row r="3788" spans="1:26">
      <c r="A3788" s="100"/>
      <c r="B3788" s="100"/>
      <c r="C3788" s="100"/>
      <c r="D3788" s="100"/>
      <c r="E3788" s="100"/>
      <c r="F3788" s="100"/>
      <c r="G3788" s="100"/>
      <c r="H3788" s="100"/>
      <c r="I3788" s="100"/>
      <c r="J3788" s="100"/>
      <c r="K3788" s="100"/>
      <c r="L3788" s="100"/>
      <c r="M3788" s="100"/>
      <c r="N3788" s="100"/>
      <c r="O3788" s="100"/>
      <c r="P3788" s="100"/>
      <c r="Q3788" s="100"/>
      <c r="R3788" s="100"/>
      <c r="S3788" s="100"/>
      <c r="T3788" s="100"/>
      <c r="U3788" s="100"/>
      <c r="V3788" s="100"/>
      <c r="W3788" s="100"/>
      <c r="X3788" s="100"/>
      <c r="Y3788" s="100"/>
      <c r="Z3788" s="100"/>
    </row>
    <row r="3789" spans="1:26">
      <c r="A3789" s="100"/>
      <c r="B3789" s="100"/>
      <c r="C3789" s="100"/>
      <c r="D3789" s="100"/>
      <c r="E3789" s="100"/>
      <c r="F3789" s="100"/>
      <c r="G3789" s="100"/>
      <c r="H3789" s="100"/>
      <c r="I3789" s="100"/>
      <c r="J3789" s="100"/>
      <c r="K3789" s="100"/>
      <c r="L3789" s="100"/>
      <c r="M3789" s="100"/>
      <c r="N3789" s="100"/>
      <c r="O3789" s="100"/>
      <c r="P3789" s="100"/>
      <c r="Q3789" s="100"/>
      <c r="R3789" s="100"/>
      <c r="S3789" s="100"/>
      <c r="T3789" s="100"/>
      <c r="U3789" s="100"/>
      <c r="V3789" s="100"/>
      <c r="W3789" s="100"/>
      <c r="X3789" s="100"/>
      <c r="Y3789" s="100"/>
      <c r="Z3789" s="100"/>
    </row>
    <row r="3790" spans="1:26">
      <c r="A3790" s="100"/>
      <c r="B3790" s="100"/>
      <c r="C3790" s="100"/>
      <c r="D3790" s="100"/>
      <c r="E3790" s="100"/>
      <c r="F3790" s="100"/>
      <c r="G3790" s="100"/>
      <c r="H3790" s="100"/>
      <c r="I3790" s="100"/>
      <c r="J3790" s="100"/>
      <c r="K3790" s="100"/>
      <c r="L3790" s="100"/>
      <c r="M3790" s="100"/>
      <c r="N3790" s="100"/>
      <c r="O3790" s="100"/>
      <c r="P3790" s="100"/>
      <c r="Q3790" s="100"/>
      <c r="R3790" s="100"/>
      <c r="S3790" s="100"/>
      <c r="T3790" s="100"/>
      <c r="U3790" s="100"/>
      <c r="V3790" s="100"/>
      <c r="W3790" s="100"/>
      <c r="X3790" s="100"/>
      <c r="Y3790" s="100"/>
      <c r="Z3790" s="100"/>
    </row>
    <row r="3791" spans="1:26">
      <c r="A3791" s="100"/>
      <c r="B3791" s="100"/>
      <c r="C3791" s="100"/>
      <c r="D3791" s="100"/>
      <c r="E3791" s="100"/>
      <c r="F3791" s="100"/>
      <c r="G3791" s="100"/>
      <c r="H3791" s="100"/>
      <c r="I3791" s="100"/>
      <c r="J3791" s="100"/>
      <c r="K3791" s="100"/>
      <c r="L3791" s="100"/>
      <c r="M3791" s="100"/>
      <c r="N3791" s="100"/>
      <c r="O3791" s="100"/>
      <c r="P3791" s="100"/>
      <c r="Q3791" s="100"/>
      <c r="R3791" s="100"/>
      <c r="S3791" s="100"/>
      <c r="T3791" s="100"/>
      <c r="U3791" s="100"/>
      <c r="V3791" s="100"/>
      <c r="W3791" s="100"/>
      <c r="X3791" s="100"/>
      <c r="Y3791" s="100"/>
      <c r="Z3791" s="100"/>
    </row>
    <row r="3792" spans="1:26">
      <c r="A3792" s="100"/>
      <c r="B3792" s="100"/>
      <c r="C3792" s="100"/>
      <c r="D3792" s="100"/>
      <c r="E3792" s="100"/>
      <c r="F3792" s="100"/>
      <c r="G3792" s="100"/>
      <c r="H3792" s="100"/>
      <c r="I3792" s="100"/>
      <c r="J3792" s="100"/>
      <c r="K3792" s="100"/>
      <c r="L3792" s="100"/>
      <c r="M3792" s="100"/>
      <c r="N3792" s="100"/>
      <c r="O3792" s="100"/>
      <c r="P3792" s="100"/>
      <c r="Q3792" s="100"/>
      <c r="R3792" s="100"/>
      <c r="S3792" s="100"/>
      <c r="T3792" s="100"/>
      <c r="U3792" s="100"/>
      <c r="V3792" s="100"/>
      <c r="W3792" s="100"/>
      <c r="X3792" s="100"/>
      <c r="Y3792" s="100"/>
      <c r="Z3792" s="100"/>
    </row>
    <row r="3793" spans="1:26">
      <c r="A3793" s="100"/>
      <c r="B3793" s="100"/>
      <c r="C3793" s="100"/>
      <c r="D3793" s="100"/>
      <c r="E3793" s="100"/>
      <c r="F3793" s="100"/>
      <c r="G3793" s="100"/>
      <c r="H3793" s="100"/>
      <c r="I3793" s="100"/>
      <c r="J3793" s="100"/>
      <c r="K3793" s="100"/>
      <c r="L3793" s="100"/>
      <c r="M3793" s="100"/>
      <c r="N3793" s="100"/>
      <c r="O3793" s="100"/>
      <c r="P3793" s="100"/>
      <c r="Q3793" s="100"/>
      <c r="R3793" s="100"/>
      <c r="S3793" s="100"/>
      <c r="T3793" s="100"/>
      <c r="U3793" s="100"/>
      <c r="V3793" s="100"/>
      <c r="W3793" s="100"/>
      <c r="X3793" s="100"/>
      <c r="Y3793" s="100"/>
      <c r="Z3793" s="100"/>
    </row>
    <row r="3794" spans="1:26">
      <c r="A3794" s="100"/>
      <c r="B3794" s="100"/>
      <c r="C3794" s="100"/>
      <c r="D3794" s="100"/>
      <c r="E3794" s="100"/>
      <c r="F3794" s="100"/>
      <c r="G3794" s="100"/>
      <c r="H3794" s="100"/>
      <c r="I3794" s="100"/>
      <c r="J3794" s="100"/>
      <c r="K3794" s="100"/>
      <c r="L3794" s="100"/>
      <c r="M3794" s="100"/>
      <c r="N3794" s="100"/>
      <c r="O3794" s="100"/>
      <c r="P3794" s="100"/>
      <c r="Q3794" s="100"/>
      <c r="R3794" s="100"/>
      <c r="S3794" s="100"/>
      <c r="T3794" s="100"/>
      <c r="U3794" s="100"/>
      <c r="V3794" s="100"/>
      <c r="W3794" s="100"/>
      <c r="X3794" s="100"/>
      <c r="Y3794" s="100"/>
      <c r="Z3794" s="100"/>
    </row>
    <row r="3795" spans="1:26">
      <c r="A3795" s="100"/>
      <c r="B3795" s="100"/>
      <c r="C3795" s="100"/>
      <c r="D3795" s="100"/>
      <c r="E3795" s="100"/>
      <c r="F3795" s="100"/>
      <c r="G3795" s="100"/>
      <c r="H3795" s="100"/>
      <c r="I3795" s="100"/>
      <c r="J3795" s="100"/>
      <c r="K3795" s="100"/>
      <c r="L3795" s="100"/>
      <c r="M3795" s="100"/>
      <c r="N3795" s="100"/>
      <c r="O3795" s="100"/>
      <c r="P3795" s="100"/>
      <c r="Q3795" s="100"/>
      <c r="R3795" s="100"/>
      <c r="S3795" s="100"/>
      <c r="T3795" s="100"/>
      <c r="U3795" s="100"/>
      <c r="V3795" s="100"/>
      <c r="W3795" s="100"/>
      <c r="X3795" s="100"/>
      <c r="Y3795" s="100"/>
      <c r="Z3795" s="100"/>
    </row>
    <row r="3796" spans="1:26">
      <c r="A3796" s="100"/>
      <c r="B3796" s="100"/>
      <c r="C3796" s="100"/>
      <c r="D3796" s="100"/>
      <c r="E3796" s="100"/>
      <c r="F3796" s="100"/>
      <c r="G3796" s="100"/>
      <c r="H3796" s="100"/>
      <c r="I3796" s="100"/>
      <c r="J3796" s="100"/>
      <c r="K3796" s="100"/>
      <c r="L3796" s="100"/>
      <c r="M3796" s="100"/>
      <c r="N3796" s="100"/>
      <c r="O3796" s="100"/>
      <c r="P3796" s="100"/>
      <c r="Q3796" s="100"/>
      <c r="R3796" s="100"/>
      <c r="S3796" s="100"/>
      <c r="T3796" s="100"/>
      <c r="U3796" s="100"/>
      <c r="V3796" s="100"/>
      <c r="W3796" s="100"/>
      <c r="X3796" s="100"/>
      <c r="Y3796" s="100"/>
      <c r="Z3796" s="100"/>
    </row>
    <row r="3797" spans="1:26">
      <c r="A3797" s="100"/>
      <c r="B3797" s="100"/>
      <c r="C3797" s="100"/>
      <c r="D3797" s="100"/>
      <c r="E3797" s="100"/>
      <c r="F3797" s="100"/>
      <c r="G3797" s="100"/>
      <c r="H3797" s="100"/>
      <c r="I3797" s="100"/>
      <c r="J3797" s="100"/>
      <c r="K3797" s="100"/>
      <c r="L3797" s="100"/>
      <c r="M3797" s="100"/>
      <c r="N3797" s="100"/>
      <c r="O3797" s="100"/>
      <c r="P3797" s="100"/>
      <c r="Q3797" s="100"/>
      <c r="R3797" s="100"/>
      <c r="S3797" s="100"/>
      <c r="T3797" s="100"/>
      <c r="U3797" s="100"/>
      <c r="V3797" s="100"/>
      <c r="W3797" s="100"/>
      <c r="X3797" s="100"/>
      <c r="Y3797" s="100"/>
      <c r="Z3797" s="100"/>
    </row>
    <row r="3798" spans="1:26">
      <c r="A3798" s="100"/>
      <c r="B3798" s="100"/>
      <c r="C3798" s="100"/>
      <c r="D3798" s="100"/>
      <c r="E3798" s="100"/>
      <c r="F3798" s="100"/>
      <c r="G3798" s="100"/>
      <c r="H3798" s="100"/>
      <c r="I3798" s="100"/>
      <c r="J3798" s="100"/>
      <c r="K3798" s="100"/>
      <c r="L3798" s="100"/>
      <c r="M3798" s="100"/>
      <c r="N3798" s="100"/>
      <c r="O3798" s="100"/>
      <c r="P3798" s="100"/>
      <c r="Q3798" s="100"/>
      <c r="R3798" s="100"/>
      <c r="S3798" s="100"/>
      <c r="T3798" s="100"/>
      <c r="U3798" s="100"/>
      <c r="V3798" s="100"/>
      <c r="W3798" s="100"/>
      <c r="X3798" s="100"/>
      <c r="Y3798" s="100"/>
      <c r="Z3798" s="100"/>
    </row>
    <row r="3799" spans="1:26">
      <c r="A3799" s="100"/>
      <c r="B3799" s="100"/>
      <c r="C3799" s="100"/>
      <c r="D3799" s="100"/>
      <c r="E3799" s="100"/>
      <c r="F3799" s="100"/>
      <c r="G3799" s="100"/>
      <c r="H3799" s="100"/>
      <c r="I3799" s="100"/>
      <c r="J3799" s="100"/>
      <c r="K3799" s="100"/>
      <c r="L3799" s="100"/>
      <c r="M3799" s="100"/>
      <c r="N3799" s="100"/>
      <c r="O3799" s="100"/>
      <c r="P3799" s="100"/>
      <c r="Q3799" s="100"/>
      <c r="R3799" s="100"/>
      <c r="S3799" s="100"/>
      <c r="T3799" s="100"/>
      <c r="U3799" s="100"/>
      <c r="V3799" s="100"/>
      <c r="W3799" s="100"/>
      <c r="X3799" s="100"/>
      <c r="Y3799" s="100"/>
      <c r="Z3799" s="100"/>
    </row>
    <row r="3800" spans="1:26">
      <c r="A3800" s="100"/>
      <c r="B3800" s="100"/>
      <c r="C3800" s="100"/>
      <c r="D3800" s="100"/>
      <c r="E3800" s="100"/>
      <c r="F3800" s="100"/>
      <c r="G3800" s="100"/>
      <c r="H3800" s="100"/>
      <c r="I3800" s="100"/>
      <c r="J3800" s="100"/>
      <c r="K3800" s="100"/>
      <c r="L3800" s="100"/>
      <c r="M3800" s="100"/>
      <c r="N3800" s="100"/>
      <c r="O3800" s="100"/>
      <c r="P3800" s="100"/>
      <c r="Q3800" s="100"/>
      <c r="R3800" s="100"/>
      <c r="S3800" s="100"/>
      <c r="T3800" s="100"/>
      <c r="U3800" s="100"/>
      <c r="V3800" s="100"/>
      <c r="W3800" s="100"/>
      <c r="X3800" s="100"/>
      <c r="Y3800" s="100"/>
      <c r="Z3800" s="100"/>
    </row>
    <row r="3801" spans="1:26">
      <c r="A3801" s="100"/>
      <c r="B3801" s="100"/>
      <c r="C3801" s="100"/>
      <c r="D3801" s="100"/>
      <c r="E3801" s="100"/>
      <c r="F3801" s="100"/>
      <c r="G3801" s="100"/>
      <c r="H3801" s="100"/>
      <c r="I3801" s="100"/>
      <c r="J3801" s="100"/>
      <c r="K3801" s="100"/>
      <c r="L3801" s="100"/>
      <c r="M3801" s="100"/>
      <c r="N3801" s="100"/>
      <c r="O3801" s="100"/>
      <c r="P3801" s="100"/>
      <c r="Q3801" s="100"/>
      <c r="R3801" s="100"/>
      <c r="S3801" s="100"/>
      <c r="T3801" s="100"/>
      <c r="U3801" s="100"/>
      <c r="V3801" s="100"/>
      <c r="W3801" s="100"/>
      <c r="X3801" s="100"/>
      <c r="Y3801" s="100"/>
      <c r="Z3801" s="100"/>
    </row>
    <row r="3802" spans="1:26">
      <c r="A3802" s="100"/>
      <c r="B3802" s="100"/>
      <c r="C3802" s="100"/>
      <c r="D3802" s="100"/>
      <c r="E3802" s="100"/>
      <c r="F3802" s="100"/>
      <c r="G3802" s="100"/>
      <c r="H3802" s="100"/>
      <c r="I3802" s="100"/>
      <c r="J3802" s="100"/>
      <c r="K3802" s="100"/>
      <c r="L3802" s="100"/>
      <c r="M3802" s="100"/>
      <c r="N3802" s="100"/>
      <c r="O3802" s="100"/>
      <c r="P3802" s="100"/>
      <c r="Q3802" s="100"/>
      <c r="R3802" s="100"/>
      <c r="S3802" s="100"/>
      <c r="T3802" s="100"/>
      <c r="U3802" s="100"/>
      <c r="V3802" s="100"/>
      <c r="W3802" s="100"/>
      <c r="X3802" s="100"/>
      <c r="Y3802" s="100"/>
      <c r="Z3802" s="100"/>
    </row>
    <row r="3803" spans="1:26">
      <c r="A3803" s="100"/>
      <c r="B3803" s="100"/>
      <c r="C3803" s="100"/>
      <c r="D3803" s="100"/>
      <c r="E3803" s="100"/>
      <c r="F3803" s="100"/>
      <c r="G3803" s="100"/>
      <c r="H3803" s="100"/>
      <c r="I3803" s="100"/>
      <c r="J3803" s="100"/>
      <c r="K3803" s="100"/>
      <c r="L3803" s="100"/>
      <c r="M3803" s="100"/>
      <c r="N3803" s="100"/>
      <c r="O3803" s="100"/>
      <c r="P3803" s="100"/>
      <c r="Q3803" s="100"/>
      <c r="R3803" s="100"/>
      <c r="S3803" s="100"/>
      <c r="T3803" s="100"/>
      <c r="U3803" s="100"/>
      <c r="V3803" s="100"/>
      <c r="W3803" s="100"/>
      <c r="X3803" s="100"/>
      <c r="Y3803" s="100"/>
      <c r="Z3803" s="100"/>
    </row>
    <row r="3804" spans="1:26">
      <c r="A3804" s="100"/>
      <c r="B3804" s="100"/>
      <c r="C3804" s="100"/>
      <c r="D3804" s="100"/>
      <c r="E3804" s="100"/>
      <c r="F3804" s="100"/>
      <c r="G3804" s="100"/>
      <c r="H3804" s="100"/>
      <c r="I3804" s="100"/>
      <c r="J3804" s="100"/>
      <c r="K3804" s="100"/>
      <c r="L3804" s="100"/>
      <c r="M3804" s="100"/>
      <c r="N3804" s="100"/>
      <c r="O3804" s="100"/>
      <c r="P3804" s="100"/>
      <c r="Q3804" s="100"/>
      <c r="R3804" s="100"/>
      <c r="S3804" s="100"/>
      <c r="T3804" s="100"/>
      <c r="U3804" s="100"/>
      <c r="V3804" s="100"/>
      <c r="W3804" s="100"/>
      <c r="X3804" s="100"/>
      <c r="Y3804" s="100"/>
      <c r="Z3804" s="100"/>
    </row>
    <row r="3805" spans="1:26">
      <c r="A3805" s="100"/>
      <c r="B3805" s="100"/>
      <c r="C3805" s="100"/>
      <c r="D3805" s="100"/>
      <c r="E3805" s="100"/>
      <c r="F3805" s="100"/>
      <c r="G3805" s="100"/>
      <c r="H3805" s="100"/>
      <c r="I3805" s="100"/>
      <c r="J3805" s="100"/>
      <c r="K3805" s="100"/>
      <c r="L3805" s="100"/>
      <c r="M3805" s="100"/>
      <c r="N3805" s="100"/>
      <c r="O3805" s="100"/>
      <c r="P3805" s="100"/>
      <c r="Q3805" s="100"/>
      <c r="R3805" s="100"/>
      <c r="S3805" s="100"/>
      <c r="T3805" s="100"/>
      <c r="U3805" s="100"/>
      <c r="V3805" s="100"/>
      <c r="W3805" s="100"/>
      <c r="X3805" s="100"/>
      <c r="Y3805" s="100"/>
      <c r="Z3805" s="100"/>
    </row>
    <row r="3806" spans="1:26">
      <c r="A3806" s="100"/>
      <c r="B3806" s="100"/>
      <c r="C3806" s="100"/>
      <c r="D3806" s="100"/>
      <c r="E3806" s="100"/>
      <c r="F3806" s="100"/>
      <c r="G3806" s="100"/>
      <c r="H3806" s="100"/>
      <c r="I3806" s="100"/>
      <c r="J3806" s="100"/>
      <c r="K3806" s="100"/>
      <c r="L3806" s="100"/>
      <c r="M3806" s="100"/>
      <c r="N3806" s="100"/>
      <c r="O3806" s="100"/>
      <c r="P3806" s="100"/>
      <c r="Q3806" s="100"/>
      <c r="R3806" s="100"/>
      <c r="S3806" s="100"/>
      <c r="T3806" s="100"/>
      <c r="U3806" s="100"/>
      <c r="V3806" s="100"/>
      <c r="W3806" s="100"/>
      <c r="X3806" s="100"/>
      <c r="Y3806" s="100"/>
      <c r="Z3806" s="100"/>
    </row>
    <row r="3807" spans="1:26">
      <c r="A3807" s="100"/>
      <c r="B3807" s="100"/>
      <c r="C3807" s="100"/>
      <c r="D3807" s="100"/>
      <c r="E3807" s="100"/>
      <c r="F3807" s="100"/>
      <c r="G3807" s="100"/>
      <c r="H3807" s="100"/>
      <c r="I3807" s="100"/>
      <c r="J3807" s="100"/>
      <c r="K3807" s="100"/>
      <c r="L3807" s="100"/>
      <c r="M3807" s="100"/>
      <c r="N3807" s="100"/>
      <c r="O3807" s="100"/>
      <c r="P3807" s="100"/>
      <c r="Q3807" s="100"/>
      <c r="R3807" s="100"/>
      <c r="S3807" s="100"/>
      <c r="T3807" s="100"/>
      <c r="U3807" s="100"/>
      <c r="V3807" s="100"/>
      <c r="W3807" s="100"/>
      <c r="X3807" s="100"/>
      <c r="Y3807" s="100"/>
      <c r="Z3807" s="100"/>
    </row>
    <row r="3808" spans="1:26">
      <c r="A3808" s="100"/>
      <c r="B3808" s="100"/>
      <c r="C3808" s="100"/>
      <c r="D3808" s="100"/>
      <c r="E3808" s="100"/>
      <c r="F3808" s="100"/>
      <c r="G3808" s="100"/>
      <c r="H3808" s="100"/>
      <c r="I3808" s="100"/>
      <c r="J3808" s="100"/>
      <c r="K3808" s="100"/>
      <c r="L3808" s="100"/>
      <c r="M3808" s="100"/>
      <c r="N3808" s="100"/>
      <c r="O3808" s="100"/>
      <c r="P3808" s="100"/>
      <c r="Q3808" s="100"/>
      <c r="R3808" s="100"/>
      <c r="S3808" s="100"/>
      <c r="T3808" s="100"/>
      <c r="U3808" s="100"/>
      <c r="V3808" s="100"/>
      <c r="W3808" s="100"/>
      <c r="X3808" s="100"/>
      <c r="Y3808" s="100"/>
      <c r="Z3808" s="100"/>
    </row>
    <row r="3809" spans="1:26">
      <c r="A3809" s="100"/>
      <c r="B3809" s="100"/>
      <c r="C3809" s="100"/>
      <c r="D3809" s="100"/>
      <c r="E3809" s="100"/>
      <c r="F3809" s="100"/>
      <c r="G3809" s="100"/>
      <c r="H3809" s="100"/>
      <c r="I3809" s="100"/>
      <c r="J3809" s="100"/>
      <c r="K3809" s="100"/>
      <c r="L3809" s="100"/>
      <c r="M3809" s="100"/>
      <c r="N3809" s="100"/>
      <c r="O3809" s="100"/>
      <c r="P3809" s="100"/>
      <c r="Q3809" s="100"/>
      <c r="R3809" s="100"/>
      <c r="S3809" s="100"/>
      <c r="T3809" s="100"/>
      <c r="U3809" s="100"/>
      <c r="V3809" s="100"/>
      <c r="W3809" s="100"/>
      <c r="X3809" s="100"/>
      <c r="Y3809" s="100"/>
      <c r="Z3809" s="100"/>
    </row>
    <row r="3810" spans="1:26">
      <c r="A3810" s="100"/>
      <c r="B3810" s="100"/>
      <c r="C3810" s="100"/>
      <c r="D3810" s="100"/>
      <c r="E3810" s="100"/>
      <c r="F3810" s="100"/>
      <c r="G3810" s="100"/>
      <c r="H3810" s="100"/>
      <c r="I3810" s="100"/>
      <c r="J3810" s="100"/>
      <c r="K3810" s="100"/>
      <c r="L3810" s="100"/>
      <c r="M3810" s="100"/>
      <c r="N3810" s="100"/>
      <c r="O3810" s="100"/>
      <c r="P3810" s="100"/>
      <c r="Q3810" s="100"/>
      <c r="R3810" s="100"/>
      <c r="S3810" s="100"/>
      <c r="T3810" s="100"/>
      <c r="U3810" s="100"/>
      <c r="V3810" s="100"/>
      <c r="W3810" s="100"/>
      <c r="X3810" s="100"/>
      <c r="Y3810" s="100"/>
      <c r="Z3810" s="100"/>
    </row>
    <row r="3811" spans="1:26">
      <c r="A3811" s="100"/>
      <c r="B3811" s="100"/>
      <c r="C3811" s="100"/>
      <c r="D3811" s="100"/>
      <c r="E3811" s="100"/>
      <c r="F3811" s="100"/>
      <c r="G3811" s="100"/>
      <c r="H3811" s="100"/>
      <c r="I3811" s="100"/>
      <c r="J3811" s="100"/>
      <c r="K3811" s="100"/>
      <c r="L3811" s="100"/>
      <c r="M3811" s="100"/>
      <c r="N3811" s="100"/>
      <c r="O3811" s="100"/>
      <c r="P3811" s="100"/>
      <c r="Q3811" s="100"/>
      <c r="R3811" s="100"/>
      <c r="S3811" s="100"/>
      <c r="T3811" s="100"/>
      <c r="U3811" s="100"/>
      <c r="V3811" s="100"/>
      <c r="W3811" s="100"/>
      <c r="X3811" s="100"/>
      <c r="Y3811" s="100"/>
      <c r="Z3811" s="100"/>
    </row>
    <row r="3812" spans="1:26">
      <c r="A3812" s="100"/>
      <c r="B3812" s="100"/>
      <c r="C3812" s="100"/>
      <c r="D3812" s="100"/>
      <c r="E3812" s="100"/>
      <c r="F3812" s="100"/>
      <c r="G3812" s="100"/>
      <c r="H3812" s="100"/>
      <c r="I3812" s="100"/>
      <c r="J3812" s="100"/>
      <c r="K3812" s="100"/>
      <c r="L3812" s="100"/>
      <c r="M3812" s="100"/>
      <c r="N3812" s="100"/>
      <c r="O3812" s="100"/>
      <c r="P3812" s="100"/>
      <c r="Q3812" s="100"/>
      <c r="R3812" s="100"/>
      <c r="S3812" s="100"/>
      <c r="T3812" s="100"/>
      <c r="U3812" s="100"/>
      <c r="V3812" s="100"/>
      <c r="W3812" s="100"/>
      <c r="X3812" s="100"/>
      <c r="Y3812" s="100"/>
      <c r="Z3812" s="100"/>
    </row>
    <row r="3813" spans="1:26">
      <c r="A3813" s="100"/>
      <c r="B3813" s="100"/>
      <c r="C3813" s="100"/>
      <c r="D3813" s="100"/>
      <c r="E3813" s="100"/>
      <c r="F3813" s="100"/>
      <c r="G3813" s="100"/>
      <c r="H3813" s="100"/>
      <c r="I3813" s="100"/>
      <c r="J3813" s="100"/>
      <c r="K3813" s="100"/>
      <c r="L3813" s="100"/>
      <c r="M3813" s="100"/>
      <c r="N3813" s="100"/>
      <c r="O3813" s="100"/>
      <c r="P3813" s="100"/>
      <c r="Q3813" s="100"/>
      <c r="R3813" s="100"/>
      <c r="S3813" s="100"/>
      <c r="T3813" s="100"/>
      <c r="U3813" s="100"/>
      <c r="V3813" s="100"/>
      <c r="W3813" s="100"/>
      <c r="X3813" s="100"/>
      <c r="Y3813" s="100"/>
      <c r="Z3813" s="100"/>
    </row>
    <row r="3814" spans="1:26">
      <c r="A3814" s="100"/>
      <c r="B3814" s="100"/>
      <c r="C3814" s="100"/>
      <c r="D3814" s="100"/>
      <c r="E3814" s="100"/>
      <c r="F3814" s="100"/>
      <c r="G3814" s="100"/>
      <c r="H3814" s="100"/>
      <c r="I3814" s="100"/>
      <c r="J3814" s="100"/>
      <c r="K3814" s="100"/>
      <c r="L3814" s="100"/>
      <c r="M3814" s="100"/>
      <c r="N3814" s="100"/>
      <c r="O3814" s="100"/>
      <c r="P3814" s="100"/>
      <c r="Q3814" s="100"/>
      <c r="R3814" s="100"/>
      <c r="S3814" s="100"/>
      <c r="T3814" s="100"/>
      <c r="U3814" s="100"/>
      <c r="V3814" s="100"/>
      <c r="W3814" s="100"/>
      <c r="X3814" s="100"/>
      <c r="Y3814" s="100"/>
      <c r="Z3814" s="100"/>
    </row>
    <row r="3815" spans="1:26">
      <c r="A3815" s="100"/>
      <c r="B3815" s="100"/>
      <c r="C3815" s="100"/>
      <c r="D3815" s="100"/>
      <c r="E3815" s="100"/>
      <c r="F3815" s="100"/>
      <c r="G3815" s="100"/>
      <c r="H3815" s="100"/>
      <c r="I3815" s="100"/>
      <c r="J3815" s="100"/>
      <c r="K3815" s="100"/>
      <c r="L3815" s="100"/>
      <c r="M3815" s="100"/>
      <c r="N3815" s="100"/>
      <c r="O3815" s="100"/>
      <c r="P3815" s="100"/>
      <c r="Q3815" s="100"/>
      <c r="R3815" s="100"/>
      <c r="S3815" s="100"/>
      <c r="T3815" s="100"/>
      <c r="U3815" s="100"/>
      <c r="V3815" s="100"/>
      <c r="W3815" s="100"/>
      <c r="X3815" s="100"/>
      <c r="Y3815" s="100"/>
      <c r="Z3815" s="100"/>
    </row>
    <row r="3816" spans="1:26">
      <c r="A3816" s="100"/>
      <c r="B3816" s="100"/>
      <c r="C3816" s="100"/>
      <c r="D3816" s="100"/>
      <c r="E3816" s="100"/>
      <c r="F3816" s="100"/>
      <c r="G3816" s="100"/>
      <c r="H3816" s="100"/>
      <c r="I3816" s="100"/>
      <c r="J3816" s="100"/>
      <c r="K3816" s="100"/>
      <c r="L3816" s="100"/>
      <c r="M3816" s="100"/>
      <c r="N3816" s="100"/>
      <c r="O3816" s="100"/>
      <c r="P3816" s="100"/>
      <c r="Q3816" s="100"/>
      <c r="R3816" s="100"/>
      <c r="S3816" s="100"/>
      <c r="T3816" s="100"/>
      <c r="U3816" s="100"/>
      <c r="V3816" s="100"/>
      <c r="W3816" s="100"/>
      <c r="X3816" s="100"/>
      <c r="Y3816" s="100"/>
      <c r="Z3816" s="100"/>
    </row>
    <row r="3817" spans="1:26">
      <c r="A3817" s="100"/>
      <c r="B3817" s="100"/>
      <c r="C3817" s="100"/>
      <c r="D3817" s="100"/>
      <c r="E3817" s="100"/>
      <c r="F3817" s="100"/>
      <c r="G3817" s="100"/>
      <c r="H3817" s="100"/>
      <c r="I3817" s="100"/>
      <c r="J3817" s="100"/>
      <c r="K3817" s="100"/>
      <c r="L3817" s="100"/>
      <c r="M3817" s="100"/>
      <c r="N3817" s="100"/>
      <c r="O3817" s="100"/>
      <c r="P3817" s="100"/>
      <c r="Q3817" s="100"/>
      <c r="R3817" s="100"/>
      <c r="S3817" s="100"/>
      <c r="T3817" s="100"/>
      <c r="U3817" s="100"/>
      <c r="V3817" s="100"/>
      <c r="W3817" s="100"/>
      <c r="X3817" s="100"/>
      <c r="Y3817" s="100"/>
      <c r="Z3817" s="100"/>
    </row>
    <row r="3818" spans="1:26">
      <c r="A3818" s="100"/>
      <c r="B3818" s="100"/>
      <c r="C3818" s="100"/>
      <c r="D3818" s="100"/>
      <c r="E3818" s="100"/>
      <c r="F3818" s="100"/>
      <c r="G3818" s="100"/>
      <c r="H3818" s="100"/>
      <c r="I3818" s="100"/>
      <c r="J3818" s="100"/>
      <c r="K3818" s="100"/>
      <c r="L3818" s="100"/>
      <c r="M3818" s="100"/>
      <c r="N3818" s="100"/>
      <c r="O3818" s="100"/>
      <c r="P3818" s="100"/>
      <c r="Q3818" s="100"/>
      <c r="R3818" s="100"/>
      <c r="S3818" s="100"/>
      <c r="T3818" s="100"/>
      <c r="U3818" s="100"/>
      <c r="V3818" s="100"/>
      <c r="W3818" s="100"/>
      <c r="X3818" s="100"/>
      <c r="Y3818" s="100"/>
      <c r="Z3818" s="100"/>
    </row>
    <row r="3819" spans="1:26">
      <c r="A3819" s="100"/>
      <c r="B3819" s="100"/>
      <c r="C3819" s="100"/>
      <c r="D3819" s="100"/>
      <c r="E3819" s="100"/>
      <c r="F3819" s="100"/>
      <c r="G3819" s="100"/>
      <c r="H3819" s="100"/>
      <c r="I3819" s="100"/>
      <c r="J3819" s="100"/>
      <c r="K3819" s="100"/>
      <c r="L3819" s="100"/>
      <c r="M3819" s="100"/>
      <c r="N3819" s="100"/>
      <c r="O3819" s="100"/>
      <c r="P3819" s="100"/>
      <c r="Q3819" s="100"/>
      <c r="R3819" s="100"/>
      <c r="S3819" s="100"/>
      <c r="T3819" s="100"/>
      <c r="U3819" s="100"/>
      <c r="V3819" s="100"/>
      <c r="W3819" s="100"/>
      <c r="X3819" s="100"/>
      <c r="Y3819" s="100"/>
      <c r="Z3819" s="100"/>
    </row>
    <row r="3820" spans="1:26">
      <c r="A3820" s="100"/>
      <c r="B3820" s="100"/>
      <c r="C3820" s="100"/>
      <c r="D3820" s="100"/>
      <c r="E3820" s="100"/>
      <c r="F3820" s="100"/>
      <c r="G3820" s="100"/>
      <c r="H3820" s="100"/>
      <c r="I3820" s="100"/>
      <c r="J3820" s="100"/>
      <c r="K3820" s="100"/>
      <c r="L3820" s="100"/>
      <c r="M3820" s="100"/>
      <c r="N3820" s="100"/>
      <c r="O3820" s="100"/>
      <c r="P3820" s="100"/>
      <c r="Q3820" s="100"/>
      <c r="R3820" s="100"/>
      <c r="S3820" s="100"/>
      <c r="T3820" s="100"/>
      <c r="U3820" s="100"/>
      <c r="V3820" s="100"/>
      <c r="W3820" s="100"/>
      <c r="X3820" s="100"/>
      <c r="Y3820" s="100"/>
      <c r="Z3820" s="100"/>
    </row>
    <row r="3821" spans="1:26">
      <c r="A3821" s="100"/>
      <c r="B3821" s="100"/>
      <c r="C3821" s="100"/>
      <c r="D3821" s="100"/>
      <c r="E3821" s="100"/>
      <c r="F3821" s="100"/>
      <c r="G3821" s="100"/>
      <c r="H3821" s="100"/>
      <c r="I3821" s="100"/>
      <c r="J3821" s="100"/>
      <c r="K3821" s="100"/>
      <c r="L3821" s="100"/>
      <c r="M3821" s="100"/>
      <c r="N3821" s="100"/>
      <c r="O3821" s="100"/>
      <c r="P3821" s="100"/>
      <c r="Q3821" s="100"/>
      <c r="R3821" s="100"/>
      <c r="S3821" s="100"/>
      <c r="T3821" s="100"/>
      <c r="U3821" s="100"/>
      <c r="V3821" s="100"/>
      <c r="W3821" s="100"/>
      <c r="X3821" s="100"/>
      <c r="Y3821" s="100"/>
      <c r="Z3821" s="100"/>
    </row>
    <row r="3822" spans="1:26">
      <c r="A3822" s="100"/>
      <c r="B3822" s="100"/>
      <c r="C3822" s="100"/>
      <c r="D3822" s="100"/>
      <c r="E3822" s="100"/>
      <c r="F3822" s="100"/>
      <c r="G3822" s="100"/>
      <c r="H3822" s="100"/>
      <c r="I3822" s="100"/>
      <c r="J3822" s="100"/>
      <c r="K3822" s="100"/>
      <c r="L3822" s="100"/>
      <c r="M3822" s="100"/>
      <c r="N3822" s="100"/>
      <c r="O3822" s="100"/>
      <c r="P3822" s="100"/>
      <c r="Q3822" s="100"/>
      <c r="R3822" s="100"/>
      <c r="S3822" s="100"/>
      <c r="T3822" s="100"/>
      <c r="U3822" s="100"/>
      <c r="V3822" s="100"/>
      <c r="W3822" s="100"/>
      <c r="X3822" s="100"/>
      <c r="Y3822" s="100"/>
      <c r="Z3822" s="100"/>
    </row>
    <row r="3823" spans="1:26">
      <c r="A3823" s="100"/>
      <c r="B3823" s="100"/>
      <c r="C3823" s="100"/>
      <c r="D3823" s="100"/>
      <c r="E3823" s="100"/>
      <c r="F3823" s="100"/>
      <c r="G3823" s="100"/>
      <c r="H3823" s="100"/>
      <c r="I3823" s="100"/>
      <c r="J3823" s="100"/>
      <c r="K3823" s="100"/>
      <c r="L3823" s="100"/>
      <c r="M3823" s="100"/>
      <c r="N3823" s="100"/>
      <c r="O3823" s="100"/>
      <c r="P3823" s="100"/>
      <c r="Q3823" s="100"/>
      <c r="R3823" s="100"/>
      <c r="S3823" s="100"/>
      <c r="T3823" s="100"/>
      <c r="U3823" s="100"/>
      <c r="V3823" s="100"/>
      <c r="W3823" s="100"/>
      <c r="X3823" s="100"/>
      <c r="Y3823" s="100"/>
      <c r="Z3823" s="100"/>
    </row>
    <row r="3824" spans="1:26">
      <c r="A3824" s="100"/>
      <c r="B3824" s="100"/>
      <c r="C3824" s="100"/>
      <c r="D3824" s="100"/>
      <c r="E3824" s="100"/>
      <c r="F3824" s="100"/>
      <c r="G3824" s="100"/>
      <c r="H3824" s="100"/>
      <c r="I3824" s="100"/>
      <c r="J3824" s="100"/>
      <c r="K3824" s="100"/>
      <c r="L3824" s="100"/>
      <c r="M3824" s="100"/>
      <c r="N3824" s="100"/>
      <c r="O3824" s="100"/>
      <c r="P3824" s="100"/>
      <c r="Q3824" s="100"/>
      <c r="R3824" s="100"/>
      <c r="S3824" s="100"/>
      <c r="T3824" s="100"/>
      <c r="U3824" s="100"/>
      <c r="V3824" s="100"/>
      <c r="W3824" s="100"/>
      <c r="X3824" s="100"/>
      <c r="Y3824" s="100"/>
      <c r="Z3824" s="100"/>
    </row>
    <row r="3825" spans="1:26">
      <c r="A3825" s="100"/>
      <c r="B3825" s="100"/>
      <c r="C3825" s="100"/>
      <c r="D3825" s="100"/>
      <c r="E3825" s="100"/>
      <c r="F3825" s="100"/>
      <c r="G3825" s="100"/>
      <c r="H3825" s="100"/>
      <c r="I3825" s="100"/>
      <c r="J3825" s="100"/>
      <c r="K3825" s="100"/>
      <c r="L3825" s="100"/>
      <c r="M3825" s="100"/>
      <c r="N3825" s="100"/>
      <c r="O3825" s="100"/>
      <c r="P3825" s="100"/>
      <c r="Q3825" s="100"/>
      <c r="R3825" s="100"/>
      <c r="S3825" s="100"/>
      <c r="T3825" s="100"/>
      <c r="U3825" s="100"/>
      <c r="V3825" s="100"/>
      <c r="W3825" s="100"/>
      <c r="X3825" s="100"/>
      <c r="Y3825" s="100"/>
      <c r="Z3825" s="100"/>
    </row>
    <row r="3826" spans="1:26">
      <c r="A3826" s="100"/>
      <c r="B3826" s="100"/>
      <c r="C3826" s="100"/>
      <c r="D3826" s="100"/>
      <c r="E3826" s="100"/>
      <c r="F3826" s="100"/>
      <c r="G3826" s="100"/>
      <c r="H3826" s="100"/>
      <c r="I3826" s="100"/>
      <c r="J3826" s="100"/>
      <c r="K3826" s="100"/>
      <c r="L3826" s="100"/>
      <c r="M3826" s="100"/>
      <c r="N3826" s="100"/>
      <c r="O3826" s="100"/>
      <c r="P3826" s="100"/>
      <c r="Q3826" s="100"/>
      <c r="R3826" s="100"/>
      <c r="S3826" s="100"/>
      <c r="T3826" s="100"/>
      <c r="U3826" s="100"/>
      <c r="V3826" s="100"/>
      <c r="W3826" s="100"/>
      <c r="X3826" s="100"/>
      <c r="Y3826" s="100"/>
      <c r="Z3826" s="100"/>
    </row>
    <row r="3827" spans="1:26">
      <c r="A3827" s="100"/>
      <c r="B3827" s="100"/>
      <c r="C3827" s="100"/>
      <c r="D3827" s="100"/>
      <c r="E3827" s="100"/>
      <c r="F3827" s="100"/>
      <c r="G3827" s="100"/>
      <c r="H3827" s="100"/>
      <c r="I3827" s="100"/>
      <c r="J3827" s="100"/>
      <c r="K3827" s="100"/>
      <c r="L3827" s="100"/>
      <c r="M3827" s="100"/>
      <c r="N3827" s="100"/>
      <c r="O3827" s="100"/>
      <c r="P3827" s="100"/>
      <c r="Q3827" s="100"/>
      <c r="R3827" s="100"/>
      <c r="S3827" s="100"/>
      <c r="T3827" s="100"/>
      <c r="U3827" s="100"/>
      <c r="V3827" s="100"/>
      <c r="W3827" s="100"/>
      <c r="X3827" s="100"/>
      <c r="Y3827" s="100"/>
      <c r="Z3827" s="100"/>
    </row>
    <row r="3828" spans="1:26">
      <c r="A3828" s="100"/>
      <c r="B3828" s="100"/>
      <c r="C3828" s="100"/>
      <c r="D3828" s="100"/>
      <c r="E3828" s="100"/>
      <c r="F3828" s="100"/>
      <c r="G3828" s="100"/>
      <c r="H3828" s="100"/>
      <c r="I3828" s="100"/>
      <c r="J3828" s="100"/>
      <c r="K3828" s="100"/>
      <c r="L3828" s="100"/>
      <c r="M3828" s="100"/>
      <c r="N3828" s="100"/>
      <c r="O3828" s="100"/>
      <c r="P3828" s="100"/>
      <c r="Q3828" s="100"/>
      <c r="R3828" s="100"/>
      <c r="S3828" s="100"/>
      <c r="T3828" s="100"/>
      <c r="U3828" s="100"/>
      <c r="V3828" s="100"/>
      <c r="W3828" s="100"/>
      <c r="X3828" s="100"/>
      <c r="Y3828" s="100"/>
      <c r="Z3828" s="100"/>
    </row>
    <row r="3829" spans="1:26">
      <c r="A3829" s="100"/>
      <c r="B3829" s="100"/>
      <c r="C3829" s="100"/>
      <c r="D3829" s="100"/>
      <c r="E3829" s="100"/>
      <c r="F3829" s="100"/>
      <c r="G3829" s="100"/>
      <c r="H3829" s="100"/>
      <c r="I3829" s="100"/>
      <c r="J3829" s="100"/>
      <c r="K3829" s="100"/>
      <c r="L3829" s="100"/>
      <c r="M3829" s="100"/>
      <c r="N3829" s="100"/>
      <c r="O3829" s="100"/>
      <c r="P3829" s="100"/>
      <c r="Q3829" s="100"/>
      <c r="R3829" s="100"/>
      <c r="S3829" s="100"/>
      <c r="T3829" s="100"/>
      <c r="U3829" s="100"/>
      <c r="V3829" s="100"/>
      <c r="W3829" s="100"/>
      <c r="X3829" s="100"/>
      <c r="Y3829" s="100"/>
      <c r="Z3829" s="100"/>
    </row>
    <row r="3830" spans="1:26">
      <c r="A3830" s="100"/>
      <c r="B3830" s="100"/>
      <c r="C3830" s="100"/>
      <c r="D3830" s="100"/>
      <c r="E3830" s="100"/>
      <c r="F3830" s="100"/>
      <c r="G3830" s="100"/>
      <c r="H3830" s="100"/>
      <c r="I3830" s="100"/>
      <c r="J3830" s="100"/>
      <c r="K3830" s="100"/>
      <c r="L3830" s="100"/>
      <c r="M3830" s="100"/>
      <c r="N3830" s="100"/>
      <c r="O3830" s="100"/>
      <c r="P3830" s="100"/>
      <c r="Q3830" s="100"/>
      <c r="R3830" s="100"/>
      <c r="S3830" s="100"/>
      <c r="T3830" s="100"/>
      <c r="U3830" s="100"/>
      <c r="V3830" s="100"/>
      <c r="W3830" s="100"/>
      <c r="X3830" s="100"/>
      <c r="Y3830" s="100"/>
      <c r="Z3830" s="100"/>
    </row>
    <row r="3831" spans="1:26">
      <c r="A3831" s="100"/>
      <c r="B3831" s="100"/>
      <c r="C3831" s="100"/>
      <c r="D3831" s="100"/>
      <c r="E3831" s="100"/>
      <c r="F3831" s="100"/>
      <c r="G3831" s="100"/>
      <c r="H3831" s="100"/>
      <c r="I3831" s="100"/>
      <c r="J3831" s="100"/>
      <c r="K3831" s="100"/>
      <c r="L3831" s="100"/>
      <c r="M3831" s="100"/>
      <c r="N3831" s="100"/>
      <c r="O3831" s="100"/>
      <c r="P3831" s="100"/>
      <c r="Q3831" s="100"/>
      <c r="R3831" s="100"/>
      <c r="S3831" s="100"/>
      <c r="T3831" s="100"/>
      <c r="U3831" s="100"/>
      <c r="V3831" s="100"/>
      <c r="W3831" s="100"/>
      <c r="X3831" s="100"/>
      <c r="Y3831" s="100"/>
      <c r="Z3831" s="100"/>
    </row>
    <row r="3832" spans="1:26">
      <c r="A3832" s="100"/>
      <c r="B3832" s="100"/>
      <c r="C3832" s="100"/>
      <c r="D3832" s="100"/>
      <c r="E3832" s="100"/>
      <c r="F3832" s="100"/>
      <c r="G3832" s="100"/>
      <c r="H3832" s="100"/>
      <c r="I3832" s="100"/>
      <c r="J3832" s="100"/>
      <c r="K3832" s="100"/>
      <c r="L3832" s="100"/>
      <c r="M3832" s="100"/>
      <c r="N3832" s="100"/>
      <c r="O3832" s="100"/>
      <c r="P3832" s="100"/>
      <c r="Q3832" s="100"/>
      <c r="R3832" s="100"/>
      <c r="S3832" s="100"/>
      <c r="T3832" s="100"/>
      <c r="U3832" s="100"/>
      <c r="V3832" s="100"/>
      <c r="W3832" s="100"/>
      <c r="X3832" s="100"/>
      <c r="Y3832" s="100"/>
      <c r="Z3832" s="100"/>
    </row>
    <row r="3833" spans="1:26">
      <c r="A3833" s="100"/>
      <c r="B3833" s="100"/>
      <c r="C3833" s="100"/>
      <c r="D3833" s="100"/>
      <c r="E3833" s="100"/>
      <c r="F3833" s="100"/>
      <c r="G3833" s="100"/>
      <c r="H3833" s="100"/>
      <c r="I3833" s="100"/>
      <c r="J3833" s="100"/>
      <c r="K3833" s="100"/>
      <c r="L3833" s="100"/>
      <c r="M3833" s="100"/>
      <c r="N3833" s="100"/>
      <c r="O3833" s="100"/>
      <c r="P3833" s="100"/>
      <c r="Q3833" s="100"/>
      <c r="R3833" s="100"/>
      <c r="S3833" s="100"/>
      <c r="T3833" s="100"/>
      <c r="U3833" s="100"/>
      <c r="V3833" s="100"/>
      <c r="W3833" s="100"/>
      <c r="X3833" s="100"/>
      <c r="Y3833" s="100"/>
      <c r="Z3833" s="100"/>
    </row>
    <row r="3834" spans="1:26">
      <c r="A3834" s="100"/>
      <c r="B3834" s="100"/>
      <c r="C3834" s="100"/>
      <c r="D3834" s="100"/>
      <c r="E3834" s="100"/>
      <c r="F3834" s="100"/>
      <c r="G3834" s="100"/>
      <c r="H3834" s="100"/>
      <c r="I3834" s="100"/>
      <c r="J3834" s="100"/>
      <c r="K3834" s="100"/>
      <c r="L3834" s="100"/>
      <c r="M3834" s="100"/>
      <c r="N3834" s="100"/>
      <c r="O3834" s="100"/>
      <c r="P3834" s="100"/>
      <c r="Q3834" s="100"/>
      <c r="R3834" s="100"/>
      <c r="S3834" s="100"/>
      <c r="T3834" s="100"/>
      <c r="U3834" s="100"/>
      <c r="V3834" s="100"/>
      <c r="W3834" s="100"/>
      <c r="X3834" s="100"/>
      <c r="Y3834" s="100"/>
      <c r="Z3834" s="100"/>
    </row>
    <row r="3835" spans="1:26">
      <c r="A3835" s="100"/>
      <c r="B3835" s="100"/>
      <c r="C3835" s="100"/>
      <c r="D3835" s="100"/>
      <c r="E3835" s="100"/>
      <c r="F3835" s="100"/>
      <c r="G3835" s="100"/>
      <c r="H3835" s="100"/>
      <c r="I3835" s="100"/>
      <c r="J3835" s="100"/>
      <c r="K3835" s="100"/>
      <c r="L3835" s="100"/>
      <c r="M3835" s="100"/>
      <c r="N3835" s="100"/>
      <c r="O3835" s="100"/>
      <c r="P3835" s="100"/>
      <c r="Q3835" s="100"/>
      <c r="R3835" s="100"/>
      <c r="S3835" s="100"/>
      <c r="T3835" s="100"/>
      <c r="U3835" s="100"/>
      <c r="V3835" s="100"/>
      <c r="W3835" s="100"/>
      <c r="X3835" s="100"/>
      <c r="Y3835" s="100"/>
      <c r="Z3835" s="100"/>
    </row>
    <row r="3836" spans="1:26">
      <c r="A3836" s="100"/>
      <c r="B3836" s="100"/>
      <c r="C3836" s="100"/>
      <c r="D3836" s="100"/>
      <c r="E3836" s="100"/>
      <c r="F3836" s="100"/>
      <c r="G3836" s="100"/>
      <c r="H3836" s="100"/>
      <c r="I3836" s="100"/>
      <c r="J3836" s="100"/>
      <c r="K3836" s="100"/>
      <c r="L3836" s="100"/>
      <c r="M3836" s="100"/>
      <c r="N3836" s="100"/>
      <c r="O3836" s="100"/>
      <c r="P3836" s="100"/>
      <c r="Q3836" s="100"/>
      <c r="R3836" s="100"/>
      <c r="S3836" s="100"/>
      <c r="T3836" s="100"/>
      <c r="U3836" s="100"/>
      <c r="V3836" s="100"/>
      <c r="W3836" s="100"/>
      <c r="X3836" s="100"/>
      <c r="Y3836" s="100"/>
      <c r="Z3836" s="100"/>
    </row>
    <row r="3837" spans="1:26">
      <c r="A3837" s="100"/>
      <c r="B3837" s="100"/>
      <c r="C3837" s="100"/>
      <c r="D3837" s="100"/>
      <c r="E3837" s="100"/>
      <c r="F3837" s="100"/>
      <c r="G3837" s="100"/>
      <c r="H3837" s="100"/>
      <c r="I3837" s="100"/>
      <c r="J3837" s="100"/>
      <c r="K3837" s="100"/>
      <c r="L3837" s="100"/>
      <c r="M3837" s="100"/>
      <c r="N3837" s="100"/>
      <c r="O3837" s="100"/>
      <c r="P3837" s="100"/>
      <c r="Q3837" s="100"/>
      <c r="R3837" s="100"/>
      <c r="S3837" s="100"/>
      <c r="T3837" s="100"/>
      <c r="U3837" s="100"/>
      <c r="V3837" s="100"/>
      <c r="W3837" s="100"/>
      <c r="X3837" s="100"/>
      <c r="Y3837" s="100"/>
      <c r="Z3837" s="100"/>
    </row>
    <row r="3838" spans="1:26">
      <c r="A3838" s="100"/>
      <c r="B3838" s="100"/>
      <c r="C3838" s="100"/>
      <c r="D3838" s="100"/>
      <c r="E3838" s="100"/>
      <c r="F3838" s="100"/>
      <c r="G3838" s="100"/>
      <c r="H3838" s="100"/>
      <c r="I3838" s="100"/>
      <c r="J3838" s="100"/>
      <c r="K3838" s="100"/>
      <c r="L3838" s="100"/>
      <c r="M3838" s="100"/>
      <c r="N3838" s="100"/>
      <c r="O3838" s="100"/>
      <c r="P3838" s="100"/>
      <c r="Q3838" s="100"/>
      <c r="R3838" s="100"/>
      <c r="S3838" s="100"/>
      <c r="T3838" s="100"/>
      <c r="U3838" s="100"/>
      <c r="V3838" s="100"/>
      <c r="W3838" s="100"/>
      <c r="X3838" s="100"/>
      <c r="Y3838" s="100"/>
      <c r="Z3838" s="100"/>
    </row>
    <row r="3839" spans="1:26">
      <c r="A3839" s="100"/>
      <c r="B3839" s="100"/>
      <c r="C3839" s="100"/>
      <c r="D3839" s="100"/>
      <c r="E3839" s="100"/>
      <c r="F3839" s="100"/>
      <c r="G3839" s="100"/>
      <c r="H3839" s="100"/>
      <c r="I3839" s="100"/>
      <c r="J3839" s="100"/>
      <c r="K3839" s="100"/>
      <c r="L3839" s="100"/>
      <c r="M3839" s="100"/>
      <c r="N3839" s="100"/>
      <c r="O3839" s="100"/>
      <c r="P3839" s="100"/>
      <c r="Q3839" s="100"/>
      <c r="R3839" s="100"/>
      <c r="S3839" s="100"/>
      <c r="T3839" s="100"/>
      <c r="U3839" s="100"/>
      <c r="V3839" s="100"/>
      <c r="W3839" s="100"/>
      <c r="X3839" s="100"/>
      <c r="Y3839" s="100"/>
      <c r="Z3839" s="100"/>
    </row>
    <row r="3840" spans="1:26">
      <c r="A3840" s="100"/>
      <c r="B3840" s="100"/>
      <c r="C3840" s="100"/>
      <c r="D3840" s="100"/>
      <c r="E3840" s="100"/>
      <c r="F3840" s="100"/>
      <c r="G3840" s="100"/>
      <c r="H3840" s="100"/>
      <c r="I3840" s="100"/>
      <c r="J3840" s="100"/>
      <c r="K3840" s="100"/>
      <c r="L3840" s="100"/>
      <c r="M3840" s="100"/>
      <c r="N3840" s="100"/>
      <c r="O3840" s="100"/>
      <c r="P3840" s="100"/>
      <c r="Q3840" s="100"/>
      <c r="R3840" s="100"/>
      <c r="S3840" s="100"/>
      <c r="T3840" s="100"/>
      <c r="U3840" s="100"/>
      <c r="V3840" s="100"/>
      <c r="W3840" s="100"/>
      <c r="X3840" s="100"/>
      <c r="Y3840" s="100"/>
      <c r="Z3840" s="100"/>
    </row>
    <row r="3841" spans="1:26">
      <c r="A3841" s="100"/>
      <c r="B3841" s="100"/>
      <c r="C3841" s="100"/>
      <c r="D3841" s="100"/>
      <c r="E3841" s="100"/>
      <c r="F3841" s="100"/>
      <c r="G3841" s="100"/>
      <c r="H3841" s="100"/>
      <c r="I3841" s="100"/>
      <c r="J3841" s="100"/>
      <c r="K3841" s="100"/>
      <c r="L3841" s="100"/>
      <c r="M3841" s="100"/>
      <c r="N3841" s="100"/>
      <c r="O3841" s="100"/>
      <c r="P3841" s="100"/>
      <c r="Q3841" s="100"/>
      <c r="R3841" s="100"/>
      <c r="S3841" s="100"/>
      <c r="T3841" s="100"/>
      <c r="U3841" s="100"/>
      <c r="V3841" s="100"/>
      <c r="W3841" s="100"/>
      <c r="X3841" s="100"/>
      <c r="Y3841" s="100"/>
      <c r="Z3841" s="100"/>
    </row>
    <row r="3842" spans="1:26">
      <c r="A3842" s="100"/>
      <c r="B3842" s="100"/>
      <c r="C3842" s="100"/>
      <c r="D3842" s="100"/>
      <c r="E3842" s="100"/>
      <c r="F3842" s="100"/>
      <c r="G3842" s="100"/>
      <c r="H3842" s="100"/>
      <c r="I3842" s="100"/>
      <c r="J3842" s="100"/>
      <c r="K3842" s="100"/>
      <c r="L3842" s="100"/>
      <c r="M3842" s="100"/>
      <c r="N3842" s="100"/>
      <c r="O3842" s="100"/>
      <c r="P3842" s="100"/>
      <c r="Q3842" s="100"/>
      <c r="R3842" s="100"/>
      <c r="S3842" s="100"/>
      <c r="T3842" s="100"/>
      <c r="U3842" s="100"/>
      <c r="V3842" s="100"/>
      <c r="W3842" s="100"/>
      <c r="X3842" s="100"/>
      <c r="Y3842" s="100"/>
      <c r="Z3842" s="100"/>
    </row>
    <row r="3843" spans="1:26">
      <c r="A3843" s="100"/>
      <c r="B3843" s="100"/>
      <c r="C3843" s="100"/>
      <c r="D3843" s="100"/>
      <c r="E3843" s="100"/>
      <c r="F3843" s="100"/>
      <c r="G3843" s="100"/>
      <c r="H3843" s="100"/>
      <c r="I3843" s="100"/>
      <c r="J3843" s="100"/>
      <c r="K3843" s="100"/>
      <c r="L3843" s="100"/>
      <c r="M3843" s="100"/>
      <c r="N3843" s="100"/>
      <c r="O3843" s="100"/>
      <c r="P3843" s="100"/>
      <c r="Q3843" s="100"/>
      <c r="R3843" s="100"/>
      <c r="S3843" s="100"/>
      <c r="T3843" s="100"/>
      <c r="U3843" s="100"/>
      <c r="V3843" s="100"/>
      <c r="W3843" s="100"/>
      <c r="X3843" s="100"/>
      <c r="Y3843" s="100"/>
      <c r="Z3843" s="100"/>
    </row>
    <row r="3844" spans="1:26">
      <c r="A3844" s="100"/>
      <c r="B3844" s="100"/>
      <c r="C3844" s="100"/>
      <c r="D3844" s="100"/>
      <c r="E3844" s="100"/>
      <c r="F3844" s="100"/>
      <c r="G3844" s="100"/>
      <c r="H3844" s="100"/>
      <c r="I3844" s="100"/>
      <c r="J3844" s="100"/>
      <c r="K3844" s="100"/>
      <c r="L3844" s="100"/>
      <c r="M3844" s="100"/>
      <c r="N3844" s="100"/>
      <c r="O3844" s="100"/>
      <c r="P3844" s="100"/>
      <c r="Q3844" s="100"/>
      <c r="R3844" s="100"/>
      <c r="S3844" s="100"/>
      <c r="T3844" s="100"/>
      <c r="U3844" s="100"/>
      <c r="V3844" s="100"/>
      <c r="W3844" s="100"/>
      <c r="X3844" s="100"/>
      <c r="Y3844" s="100"/>
      <c r="Z3844" s="100"/>
    </row>
    <row r="3845" spans="1:26">
      <c r="A3845" s="100"/>
      <c r="B3845" s="100"/>
      <c r="C3845" s="100"/>
      <c r="D3845" s="100"/>
      <c r="E3845" s="100"/>
      <c r="F3845" s="100"/>
      <c r="G3845" s="100"/>
      <c r="H3845" s="100"/>
      <c r="I3845" s="100"/>
      <c r="J3845" s="100"/>
      <c r="K3845" s="100"/>
      <c r="L3845" s="100"/>
      <c r="M3845" s="100"/>
      <c r="N3845" s="100"/>
      <c r="O3845" s="100"/>
      <c r="P3845" s="100"/>
      <c r="Q3845" s="100"/>
      <c r="R3845" s="100"/>
      <c r="S3845" s="100"/>
      <c r="T3845" s="100"/>
      <c r="U3845" s="100"/>
      <c r="V3845" s="100"/>
      <c r="W3845" s="100"/>
      <c r="X3845" s="100"/>
      <c r="Y3845" s="100"/>
      <c r="Z3845" s="100"/>
    </row>
    <row r="3846" spans="1:26">
      <c r="A3846" s="100"/>
      <c r="B3846" s="100"/>
      <c r="C3846" s="100"/>
      <c r="D3846" s="100"/>
      <c r="E3846" s="100"/>
      <c r="F3846" s="100"/>
      <c r="G3846" s="100"/>
      <c r="H3846" s="100"/>
      <c r="I3846" s="100"/>
      <c r="J3846" s="100"/>
      <c r="K3846" s="100"/>
      <c r="L3846" s="100"/>
      <c r="M3846" s="100"/>
      <c r="N3846" s="100"/>
      <c r="O3846" s="100"/>
      <c r="P3846" s="100"/>
      <c r="Q3846" s="100"/>
      <c r="R3846" s="100"/>
      <c r="S3846" s="100"/>
      <c r="T3846" s="100"/>
      <c r="U3846" s="100"/>
      <c r="V3846" s="100"/>
      <c r="W3846" s="100"/>
      <c r="X3846" s="100"/>
      <c r="Y3846" s="100"/>
      <c r="Z3846" s="100"/>
    </row>
    <row r="3847" spans="1:26">
      <c r="A3847" s="100"/>
      <c r="B3847" s="100"/>
      <c r="C3847" s="100"/>
      <c r="D3847" s="100"/>
      <c r="E3847" s="100"/>
      <c r="F3847" s="100"/>
      <c r="G3847" s="100"/>
      <c r="H3847" s="100"/>
      <c r="I3847" s="100"/>
      <c r="J3847" s="100"/>
      <c r="K3847" s="100"/>
      <c r="L3847" s="100"/>
      <c r="M3847" s="100"/>
      <c r="N3847" s="100"/>
      <c r="O3847" s="100"/>
      <c r="P3847" s="100"/>
      <c r="Q3847" s="100"/>
      <c r="R3847" s="100"/>
      <c r="S3847" s="100"/>
      <c r="T3847" s="100"/>
      <c r="U3847" s="100"/>
      <c r="V3847" s="100"/>
      <c r="W3847" s="100"/>
      <c r="X3847" s="100"/>
      <c r="Y3847" s="100"/>
      <c r="Z3847" s="100"/>
    </row>
    <row r="3848" spans="1:26">
      <c r="A3848" s="100"/>
      <c r="B3848" s="100"/>
      <c r="C3848" s="100"/>
      <c r="D3848" s="100"/>
      <c r="E3848" s="100"/>
      <c r="F3848" s="100"/>
      <c r="G3848" s="100"/>
      <c r="H3848" s="100"/>
      <c r="I3848" s="100"/>
      <c r="J3848" s="100"/>
      <c r="K3848" s="100"/>
      <c r="L3848" s="100"/>
      <c r="M3848" s="100"/>
      <c r="N3848" s="100"/>
      <c r="O3848" s="100"/>
      <c r="P3848" s="100"/>
      <c r="Q3848" s="100"/>
      <c r="R3848" s="100"/>
      <c r="S3848" s="100"/>
      <c r="T3848" s="100"/>
      <c r="U3848" s="100"/>
      <c r="V3848" s="100"/>
      <c r="W3848" s="100"/>
      <c r="X3848" s="100"/>
      <c r="Y3848" s="100"/>
      <c r="Z3848" s="100"/>
    </row>
    <row r="3849" spans="1:26">
      <c r="A3849" s="100"/>
      <c r="B3849" s="100"/>
      <c r="C3849" s="100"/>
      <c r="D3849" s="100"/>
      <c r="E3849" s="100"/>
      <c r="F3849" s="100"/>
      <c r="G3849" s="100"/>
      <c r="H3849" s="100"/>
      <c r="I3849" s="100"/>
      <c r="J3849" s="100"/>
      <c r="K3849" s="100"/>
      <c r="L3849" s="100"/>
      <c r="M3849" s="100"/>
      <c r="N3849" s="100"/>
      <c r="O3849" s="100"/>
      <c r="P3849" s="100"/>
      <c r="Q3849" s="100"/>
      <c r="R3849" s="100"/>
      <c r="S3849" s="100"/>
      <c r="T3849" s="100"/>
      <c r="U3849" s="100"/>
      <c r="V3849" s="100"/>
      <c r="W3849" s="100"/>
      <c r="X3849" s="100"/>
      <c r="Y3849" s="100"/>
      <c r="Z3849" s="100"/>
    </row>
    <row r="3850" spans="1:26">
      <c r="A3850" s="100"/>
      <c r="B3850" s="100"/>
      <c r="C3850" s="100"/>
      <c r="D3850" s="100"/>
      <c r="E3850" s="100"/>
      <c r="F3850" s="100"/>
      <c r="G3850" s="100"/>
      <c r="H3850" s="100"/>
      <c r="I3850" s="100"/>
      <c r="J3850" s="100"/>
      <c r="K3850" s="100"/>
      <c r="L3850" s="100"/>
      <c r="M3850" s="100"/>
      <c r="N3850" s="100"/>
      <c r="O3850" s="100"/>
      <c r="P3850" s="100"/>
      <c r="Q3850" s="100"/>
      <c r="R3850" s="100"/>
      <c r="S3850" s="100"/>
      <c r="T3850" s="100"/>
      <c r="U3850" s="100"/>
      <c r="V3850" s="100"/>
      <c r="W3850" s="100"/>
      <c r="X3850" s="100"/>
      <c r="Y3850" s="100"/>
      <c r="Z3850" s="100"/>
    </row>
    <row r="3851" spans="1:26">
      <c r="A3851" s="100"/>
      <c r="B3851" s="100"/>
      <c r="C3851" s="100"/>
      <c r="D3851" s="100"/>
      <c r="E3851" s="100"/>
      <c r="F3851" s="100"/>
      <c r="G3851" s="100"/>
      <c r="H3851" s="100"/>
      <c r="I3851" s="100"/>
      <c r="J3851" s="100"/>
      <c r="K3851" s="100"/>
      <c r="L3851" s="100"/>
      <c r="M3851" s="100"/>
      <c r="N3851" s="100"/>
      <c r="O3851" s="100"/>
      <c r="P3851" s="100"/>
      <c r="Q3851" s="100"/>
      <c r="R3851" s="100"/>
      <c r="S3851" s="100"/>
      <c r="T3851" s="100"/>
      <c r="U3851" s="100"/>
      <c r="V3851" s="100"/>
      <c r="W3851" s="100"/>
      <c r="X3851" s="100"/>
      <c r="Y3851" s="100"/>
      <c r="Z3851" s="100"/>
    </row>
    <row r="3852" spans="1:26">
      <c r="A3852" s="100"/>
      <c r="B3852" s="100"/>
      <c r="C3852" s="100"/>
      <c r="D3852" s="100"/>
      <c r="E3852" s="100"/>
      <c r="F3852" s="100"/>
      <c r="G3852" s="100"/>
      <c r="H3852" s="100"/>
      <c r="I3852" s="100"/>
      <c r="J3852" s="100"/>
      <c r="K3852" s="100"/>
      <c r="L3852" s="100"/>
      <c r="M3852" s="100"/>
      <c r="N3852" s="100"/>
      <c r="O3852" s="100"/>
      <c r="P3852" s="100"/>
      <c r="Q3852" s="100"/>
      <c r="R3852" s="100"/>
      <c r="S3852" s="100"/>
      <c r="T3852" s="100"/>
      <c r="U3852" s="100"/>
      <c r="V3852" s="100"/>
      <c r="W3852" s="100"/>
      <c r="X3852" s="100"/>
      <c r="Y3852" s="100"/>
      <c r="Z3852" s="100"/>
    </row>
    <row r="3853" spans="1:26">
      <c r="A3853" s="100"/>
      <c r="B3853" s="100"/>
      <c r="C3853" s="100"/>
      <c r="D3853" s="100"/>
      <c r="E3853" s="100"/>
      <c r="F3853" s="100"/>
      <c r="G3853" s="100"/>
      <c r="H3853" s="100"/>
      <c r="I3853" s="100"/>
      <c r="J3853" s="100"/>
      <c r="K3853" s="100"/>
      <c r="L3853" s="100"/>
      <c r="M3853" s="100"/>
      <c r="N3853" s="100"/>
      <c r="O3853" s="100"/>
      <c r="P3853" s="100"/>
      <c r="Q3853" s="100"/>
      <c r="R3853" s="100"/>
      <c r="S3853" s="100"/>
      <c r="T3853" s="100"/>
      <c r="U3853" s="100"/>
      <c r="V3853" s="100"/>
      <c r="W3853" s="100"/>
      <c r="X3853" s="100"/>
      <c r="Y3853" s="100"/>
      <c r="Z3853" s="100"/>
    </row>
    <row r="3854" spans="1:26">
      <c r="A3854" s="100"/>
      <c r="B3854" s="100"/>
      <c r="C3854" s="100"/>
      <c r="D3854" s="100"/>
      <c r="E3854" s="100"/>
      <c r="F3854" s="100"/>
      <c r="G3854" s="100"/>
      <c r="H3854" s="100"/>
      <c r="I3854" s="100"/>
      <c r="J3854" s="100"/>
      <c r="K3854" s="100"/>
      <c r="L3854" s="100"/>
      <c r="M3854" s="100"/>
      <c r="N3854" s="100"/>
      <c r="O3854" s="100"/>
      <c r="P3854" s="100"/>
      <c r="Q3854" s="100"/>
      <c r="R3854" s="100"/>
      <c r="S3854" s="100"/>
      <c r="T3854" s="100"/>
      <c r="U3854" s="100"/>
      <c r="V3854" s="100"/>
      <c r="W3854" s="100"/>
      <c r="X3854" s="100"/>
      <c r="Y3854" s="100"/>
      <c r="Z3854" s="100"/>
    </row>
    <row r="3855" spans="1:26">
      <c r="A3855" s="100"/>
      <c r="B3855" s="100"/>
      <c r="C3855" s="100"/>
      <c r="D3855" s="100"/>
      <c r="E3855" s="100"/>
      <c r="F3855" s="100"/>
      <c r="G3855" s="100"/>
      <c r="H3855" s="100"/>
      <c r="I3855" s="100"/>
      <c r="J3855" s="100"/>
      <c r="K3855" s="100"/>
      <c r="L3855" s="100"/>
      <c r="M3855" s="100"/>
      <c r="N3855" s="100"/>
      <c r="O3855" s="100"/>
      <c r="P3855" s="100"/>
      <c r="Q3855" s="100"/>
      <c r="R3855" s="100"/>
      <c r="S3855" s="100"/>
      <c r="T3855" s="100"/>
      <c r="U3855" s="100"/>
      <c r="V3855" s="100"/>
      <c r="W3855" s="100"/>
      <c r="X3855" s="100"/>
      <c r="Y3855" s="100"/>
      <c r="Z3855" s="100"/>
    </row>
    <row r="3856" spans="1:26">
      <c r="A3856" s="100"/>
      <c r="B3856" s="100"/>
      <c r="C3856" s="100"/>
      <c r="D3856" s="100"/>
      <c r="E3856" s="100"/>
      <c r="F3856" s="100"/>
      <c r="G3856" s="100"/>
      <c r="H3856" s="100"/>
      <c r="I3856" s="100"/>
      <c r="J3856" s="100"/>
      <c r="K3856" s="100"/>
      <c r="L3856" s="100"/>
      <c r="M3856" s="100"/>
      <c r="N3856" s="100"/>
      <c r="O3856" s="100"/>
      <c r="P3856" s="100"/>
      <c r="Q3856" s="100"/>
      <c r="R3856" s="100"/>
      <c r="S3856" s="100"/>
      <c r="T3856" s="100"/>
      <c r="U3856" s="100"/>
      <c r="V3856" s="100"/>
      <c r="W3856" s="100"/>
      <c r="X3856" s="100"/>
      <c r="Y3856" s="100"/>
      <c r="Z3856" s="100"/>
    </row>
    <row r="3857" spans="1:26">
      <c r="A3857" s="100"/>
      <c r="B3857" s="100"/>
      <c r="C3857" s="100"/>
      <c r="D3857" s="100"/>
      <c r="E3857" s="100"/>
      <c r="F3857" s="100"/>
      <c r="G3857" s="100"/>
      <c r="H3857" s="100"/>
      <c r="I3857" s="100"/>
      <c r="J3857" s="100"/>
      <c r="K3857" s="100"/>
      <c r="L3857" s="100"/>
      <c r="M3857" s="100"/>
      <c r="N3857" s="100"/>
      <c r="O3857" s="100"/>
      <c r="P3857" s="100"/>
      <c r="Q3857" s="100"/>
      <c r="R3857" s="100"/>
      <c r="S3857" s="100"/>
      <c r="T3857" s="100"/>
      <c r="U3857" s="100"/>
      <c r="V3857" s="100"/>
      <c r="W3857" s="100"/>
      <c r="X3857" s="100"/>
      <c r="Y3857" s="100"/>
      <c r="Z3857" s="100"/>
    </row>
    <row r="3858" spans="1:26">
      <c r="A3858" s="100"/>
      <c r="B3858" s="100"/>
      <c r="C3858" s="100"/>
      <c r="D3858" s="100"/>
      <c r="E3858" s="100"/>
      <c r="F3858" s="100"/>
      <c r="G3858" s="100"/>
      <c r="H3858" s="100"/>
      <c r="I3858" s="100"/>
      <c r="J3858" s="100"/>
      <c r="K3858" s="100"/>
      <c r="L3858" s="100"/>
      <c r="M3858" s="100"/>
      <c r="N3858" s="100"/>
      <c r="O3858" s="100"/>
      <c r="P3858" s="100"/>
      <c r="Q3858" s="100"/>
      <c r="R3858" s="100"/>
      <c r="S3858" s="100"/>
      <c r="T3858" s="100"/>
      <c r="U3858" s="100"/>
      <c r="V3858" s="100"/>
      <c r="W3858" s="100"/>
      <c r="X3858" s="100"/>
      <c r="Y3858" s="100"/>
      <c r="Z3858" s="100"/>
    </row>
    <row r="3859" spans="1:26">
      <c r="A3859" s="100"/>
      <c r="B3859" s="100"/>
      <c r="C3859" s="100"/>
      <c r="D3859" s="100"/>
      <c r="E3859" s="100"/>
      <c r="F3859" s="100"/>
      <c r="G3859" s="100"/>
      <c r="H3859" s="100"/>
      <c r="I3859" s="100"/>
      <c r="J3859" s="100"/>
      <c r="K3859" s="100"/>
      <c r="L3859" s="100"/>
      <c r="M3859" s="100"/>
      <c r="N3859" s="100"/>
      <c r="O3859" s="100"/>
      <c r="P3859" s="100"/>
      <c r="Q3859" s="100"/>
      <c r="R3859" s="100"/>
      <c r="S3859" s="100"/>
      <c r="T3859" s="100"/>
      <c r="U3859" s="100"/>
      <c r="V3859" s="100"/>
      <c r="W3859" s="100"/>
      <c r="X3859" s="100"/>
      <c r="Y3859" s="100"/>
      <c r="Z3859" s="100"/>
    </row>
    <row r="3860" spans="1:26">
      <c r="A3860" s="100"/>
      <c r="B3860" s="100"/>
      <c r="C3860" s="100"/>
      <c r="D3860" s="100"/>
      <c r="E3860" s="100"/>
      <c r="F3860" s="100"/>
      <c r="G3860" s="100"/>
      <c r="H3860" s="100"/>
      <c r="I3860" s="100"/>
      <c r="J3860" s="100"/>
      <c r="K3860" s="100"/>
      <c r="L3860" s="100"/>
      <c r="M3860" s="100"/>
      <c r="N3860" s="100"/>
      <c r="O3860" s="100"/>
      <c r="P3860" s="100"/>
      <c r="Q3860" s="100"/>
      <c r="R3860" s="100"/>
      <c r="S3860" s="100"/>
      <c r="T3860" s="100"/>
      <c r="U3860" s="100"/>
      <c r="V3860" s="100"/>
      <c r="W3860" s="100"/>
      <c r="X3860" s="100"/>
      <c r="Y3860" s="100"/>
      <c r="Z3860" s="100"/>
    </row>
    <row r="3861" spans="1:26">
      <c r="A3861" s="100"/>
      <c r="B3861" s="100"/>
      <c r="C3861" s="100"/>
      <c r="D3861" s="100"/>
      <c r="E3861" s="100"/>
      <c r="F3861" s="100"/>
      <c r="G3861" s="100"/>
      <c r="H3861" s="100"/>
      <c r="I3861" s="100"/>
      <c r="J3861" s="100"/>
      <c r="K3861" s="100"/>
      <c r="L3861" s="100"/>
      <c r="M3861" s="100"/>
      <c r="N3861" s="100"/>
      <c r="O3861" s="100"/>
      <c r="P3861" s="100"/>
      <c r="Q3861" s="100"/>
      <c r="R3861" s="100"/>
      <c r="S3861" s="100"/>
      <c r="T3861" s="100"/>
      <c r="U3861" s="100"/>
      <c r="V3861" s="100"/>
      <c r="W3861" s="100"/>
      <c r="X3861" s="100"/>
      <c r="Y3861" s="100"/>
      <c r="Z3861" s="100"/>
    </row>
    <row r="3862" spans="1:26">
      <c r="A3862" s="100"/>
      <c r="B3862" s="100"/>
      <c r="C3862" s="100"/>
      <c r="D3862" s="100"/>
      <c r="E3862" s="100"/>
      <c r="F3862" s="100"/>
      <c r="G3862" s="100"/>
      <c r="H3862" s="100"/>
      <c r="I3862" s="100"/>
      <c r="J3862" s="100"/>
      <c r="K3862" s="100"/>
      <c r="L3862" s="100"/>
      <c r="M3862" s="100"/>
      <c r="N3862" s="100"/>
      <c r="O3862" s="100"/>
      <c r="P3862" s="100"/>
      <c r="Q3862" s="100"/>
      <c r="R3862" s="100"/>
      <c r="S3862" s="100"/>
      <c r="T3862" s="100"/>
      <c r="U3862" s="100"/>
      <c r="V3862" s="100"/>
      <c r="W3862" s="100"/>
      <c r="X3862" s="100"/>
      <c r="Y3862" s="100"/>
      <c r="Z3862" s="100"/>
    </row>
    <row r="3863" spans="1:26">
      <c r="A3863" s="100"/>
      <c r="B3863" s="100"/>
      <c r="C3863" s="100"/>
      <c r="D3863" s="100"/>
      <c r="E3863" s="100"/>
      <c r="F3863" s="100"/>
      <c r="G3863" s="100"/>
      <c r="H3863" s="100"/>
      <c r="I3863" s="100"/>
      <c r="J3863" s="100"/>
      <c r="K3863" s="100"/>
      <c r="L3863" s="100"/>
      <c r="M3863" s="100"/>
      <c r="N3863" s="100"/>
      <c r="O3863" s="100"/>
      <c r="P3863" s="100"/>
      <c r="Q3863" s="100"/>
      <c r="R3863" s="100"/>
      <c r="S3863" s="100"/>
      <c r="T3863" s="100"/>
      <c r="U3863" s="100"/>
      <c r="V3863" s="100"/>
      <c r="W3863" s="100"/>
      <c r="X3863" s="100"/>
      <c r="Y3863" s="100"/>
      <c r="Z3863" s="100"/>
    </row>
    <row r="3864" spans="1:26">
      <c r="A3864" s="100"/>
      <c r="B3864" s="100"/>
      <c r="C3864" s="100"/>
      <c r="D3864" s="100"/>
      <c r="E3864" s="100"/>
      <c r="F3864" s="100"/>
      <c r="G3864" s="100"/>
      <c r="H3864" s="100"/>
      <c r="I3864" s="100"/>
      <c r="J3864" s="100"/>
      <c r="K3864" s="100"/>
      <c r="L3864" s="100"/>
      <c r="M3864" s="100"/>
      <c r="N3864" s="100"/>
      <c r="O3864" s="100"/>
      <c r="P3864" s="100"/>
      <c r="Q3864" s="100"/>
      <c r="R3864" s="100"/>
      <c r="S3864" s="100"/>
      <c r="T3864" s="100"/>
      <c r="U3864" s="100"/>
      <c r="V3864" s="100"/>
      <c r="W3864" s="100"/>
      <c r="X3864" s="100"/>
      <c r="Y3864" s="100"/>
      <c r="Z3864" s="100"/>
    </row>
    <row r="3865" spans="1:26">
      <c r="A3865" s="100"/>
      <c r="B3865" s="100"/>
      <c r="C3865" s="100"/>
      <c r="D3865" s="100"/>
      <c r="E3865" s="100"/>
      <c r="F3865" s="100"/>
      <c r="G3865" s="100"/>
      <c r="H3865" s="100"/>
      <c r="I3865" s="100"/>
      <c r="J3865" s="100"/>
      <c r="K3865" s="100"/>
      <c r="L3865" s="100"/>
      <c r="M3865" s="100"/>
      <c r="N3865" s="100"/>
      <c r="O3865" s="100"/>
      <c r="P3865" s="100"/>
      <c r="Q3865" s="100"/>
      <c r="R3865" s="100"/>
      <c r="S3865" s="100"/>
      <c r="T3865" s="100"/>
      <c r="U3865" s="100"/>
      <c r="V3865" s="100"/>
      <c r="W3865" s="100"/>
      <c r="X3865" s="100"/>
      <c r="Y3865" s="100"/>
      <c r="Z3865" s="100"/>
    </row>
    <row r="3866" spans="1:26">
      <c r="A3866" s="100"/>
      <c r="B3866" s="100"/>
      <c r="C3866" s="100"/>
      <c r="D3866" s="100"/>
      <c r="E3866" s="100"/>
      <c r="F3866" s="100"/>
      <c r="G3866" s="100"/>
      <c r="H3866" s="100"/>
      <c r="I3866" s="100"/>
      <c r="J3866" s="100"/>
      <c r="K3866" s="100"/>
      <c r="L3866" s="100"/>
      <c r="M3866" s="100"/>
      <c r="N3866" s="100"/>
      <c r="O3866" s="100"/>
      <c r="P3866" s="100"/>
      <c r="Q3866" s="100"/>
      <c r="R3866" s="100"/>
      <c r="S3866" s="100"/>
      <c r="T3866" s="100"/>
      <c r="U3866" s="100"/>
      <c r="V3866" s="100"/>
      <c r="W3866" s="100"/>
      <c r="X3866" s="100"/>
      <c r="Y3866" s="100"/>
      <c r="Z3866" s="100"/>
    </row>
    <row r="3867" spans="1:26">
      <c r="A3867" s="100"/>
      <c r="B3867" s="100"/>
      <c r="C3867" s="100"/>
      <c r="D3867" s="100"/>
      <c r="E3867" s="100"/>
      <c r="F3867" s="100"/>
      <c r="G3867" s="100"/>
      <c r="H3867" s="100"/>
      <c r="I3867" s="100"/>
      <c r="J3867" s="100"/>
      <c r="K3867" s="100"/>
      <c r="L3867" s="100"/>
      <c r="M3867" s="100"/>
      <c r="N3867" s="100"/>
      <c r="O3867" s="100"/>
      <c r="P3867" s="100"/>
      <c r="Q3867" s="100"/>
      <c r="R3867" s="100"/>
      <c r="S3867" s="100"/>
      <c r="T3867" s="100"/>
      <c r="U3867" s="100"/>
      <c r="V3867" s="100"/>
      <c r="W3867" s="100"/>
      <c r="X3867" s="100"/>
      <c r="Y3867" s="100"/>
      <c r="Z3867" s="100"/>
    </row>
    <row r="3868" spans="1:26">
      <c r="A3868" s="100"/>
      <c r="B3868" s="100"/>
      <c r="C3868" s="100"/>
      <c r="D3868" s="100"/>
      <c r="E3868" s="100"/>
      <c r="F3868" s="100"/>
      <c r="G3868" s="100"/>
      <c r="H3868" s="100"/>
      <c r="I3868" s="100"/>
      <c r="J3868" s="100"/>
      <c r="K3868" s="100"/>
      <c r="L3868" s="100"/>
      <c r="M3868" s="100"/>
      <c r="N3868" s="100"/>
      <c r="O3868" s="100"/>
      <c r="P3868" s="100"/>
      <c r="Q3868" s="100"/>
      <c r="R3868" s="100"/>
      <c r="S3868" s="100"/>
      <c r="T3868" s="100"/>
      <c r="U3868" s="100"/>
      <c r="V3868" s="100"/>
      <c r="W3868" s="100"/>
      <c r="X3868" s="100"/>
      <c r="Y3868" s="100"/>
      <c r="Z3868" s="100"/>
    </row>
    <row r="3869" spans="1:26">
      <c r="A3869" s="100"/>
      <c r="B3869" s="100"/>
      <c r="C3869" s="100"/>
      <c r="D3869" s="100"/>
      <c r="E3869" s="100"/>
      <c r="F3869" s="100"/>
      <c r="G3869" s="100"/>
      <c r="H3869" s="100"/>
      <c r="I3869" s="100"/>
      <c r="J3869" s="100"/>
      <c r="K3869" s="100"/>
      <c r="L3869" s="100"/>
      <c r="M3869" s="100"/>
      <c r="N3869" s="100"/>
      <c r="O3869" s="100"/>
      <c r="P3869" s="100"/>
      <c r="Q3869" s="100"/>
      <c r="R3869" s="100"/>
      <c r="S3869" s="100"/>
      <c r="T3869" s="100"/>
      <c r="U3869" s="100"/>
      <c r="V3869" s="100"/>
      <c r="W3869" s="100"/>
      <c r="X3869" s="100"/>
      <c r="Y3869" s="100"/>
      <c r="Z3869" s="100"/>
    </row>
    <row r="3870" spans="1:26">
      <c r="A3870" s="100"/>
      <c r="B3870" s="100"/>
      <c r="C3870" s="100"/>
      <c r="D3870" s="100"/>
      <c r="E3870" s="100"/>
      <c r="F3870" s="100"/>
      <c r="G3870" s="100"/>
      <c r="H3870" s="100"/>
      <c r="I3870" s="100"/>
      <c r="J3870" s="100"/>
      <c r="K3870" s="100"/>
      <c r="L3870" s="100"/>
      <c r="M3870" s="100"/>
      <c r="N3870" s="100"/>
      <c r="O3870" s="100"/>
      <c r="P3870" s="100"/>
      <c r="Q3870" s="100"/>
      <c r="R3870" s="100"/>
      <c r="S3870" s="100"/>
      <c r="T3870" s="100"/>
      <c r="U3870" s="100"/>
      <c r="V3870" s="100"/>
      <c r="W3870" s="100"/>
      <c r="X3870" s="100"/>
      <c r="Y3870" s="100"/>
      <c r="Z3870" s="100"/>
    </row>
    <row r="3871" spans="1:26">
      <c r="A3871" s="100"/>
      <c r="B3871" s="100"/>
      <c r="C3871" s="100"/>
      <c r="D3871" s="100"/>
      <c r="E3871" s="100"/>
      <c r="F3871" s="100"/>
      <c r="G3871" s="100"/>
      <c r="H3871" s="100"/>
      <c r="I3871" s="100"/>
      <c r="J3871" s="100"/>
      <c r="K3871" s="100"/>
      <c r="L3871" s="100"/>
      <c r="M3871" s="100"/>
      <c r="N3871" s="100"/>
      <c r="O3871" s="100"/>
      <c r="P3871" s="100"/>
      <c r="Q3871" s="100"/>
      <c r="R3871" s="100"/>
      <c r="S3871" s="100"/>
      <c r="T3871" s="100"/>
      <c r="U3871" s="100"/>
      <c r="V3871" s="100"/>
      <c r="W3871" s="100"/>
      <c r="X3871" s="100"/>
      <c r="Y3871" s="100"/>
      <c r="Z3871" s="100"/>
    </row>
    <row r="3872" spans="1:26">
      <c r="A3872" s="100"/>
      <c r="B3872" s="100"/>
      <c r="C3872" s="100"/>
      <c r="D3872" s="100"/>
      <c r="E3872" s="100"/>
      <c r="F3872" s="100"/>
      <c r="G3872" s="100"/>
      <c r="H3872" s="100"/>
      <c r="I3872" s="100"/>
      <c r="J3872" s="100"/>
      <c r="K3872" s="100"/>
      <c r="L3872" s="100"/>
      <c r="M3872" s="100"/>
      <c r="N3872" s="100"/>
      <c r="O3872" s="100"/>
      <c r="P3872" s="100"/>
      <c r="Q3872" s="100"/>
      <c r="R3872" s="100"/>
      <c r="S3872" s="100"/>
      <c r="T3872" s="100"/>
      <c r="U3872" s="100"/>
      <c r="V3872" s="100"/>
      <c r="W3872" s="100"/>
      <c r="X3872" s="100"/>
      <c r="Y3872" s="100"/>
      <c r="Z3872" s="100"/>
    </row>
    <row r="3873" spans="1:26">
      <c r="A3873" s="100"/>
      <c r="B3873" s="100"/>
      <c r="C3873" s="100"/>
      <c r="D3873" s="100"/>
      <c r="E3873" s="100"/>
      <c r="F3873" s="100"/>
      <c r="G3873" s="100"/>
      <c r="H3873" s="100"/>
      <c r="I3873" s="100"/>
      <c r="J3873" s="100"/>
      <c r="K3873" s="100"/>
      <c r="L3873" s="100"/>
      <c r="M3873" s="100"/>
      <c r="N3873" s="100"/>
      <c r="O3873" s="100"/>
      <c r="P3873" s="100"/>
      <c r="Q3873" s="100"/>
      <c r="R3873" s="100"/>
      <c r="S3873" s="100"/>
      <c r="T3873" s="100"/>
      <c r="U3873" s="100"/>
      <c r="V3873" s="100"/>
      <c r="W3873" s="100"/>
      <c r="X3873" s="100"/>
      <c r="Y3873" s="100"/>
      <c r="Z3873" s="100"/>
    </row>
    <row r="3874" spans="1:26">
      <c r="A3874" s="100"/>
      <c r="B3874" s="100"/>
      <c r="C3874" s="100"/>
      <c r="D3874" s="100"/>
      <c r="E3874" s="100"/>
      <c r="F3874" s="100"/>
      <c r="G3874" s="100"/>
      <c r="H3874" s="100"/>
      <c r="I3874" s="100"/>
      <c r="J3874" s="100"/>
      <c r="K3874" s="100"/>
      <c r="L3874" s="100"/>
      <c r="M3874" s="100"/>
      <c r="N3874" s="100"/>
      <c r="O3874" s="100"/>
      <c r="P3874" s="100"/>
      <c r="Q3874" s="100"/>
      <c r="R3874" s="100"/>
      <c r="S3874" s="100"/>
      <c r="T3874" s="100"/>
      <c r="U3874" s="100"/>
      <c r="V3874" s="100"/>
      <c r="W3874" s="100"/>
      <c r="X3874" s="100"/>
      <c r="Y3874" s="100"/>
      <c r="Z3874" s="100"/>
    </row>
    <row r="3875" spans="1:26">
      <c r="A3875" s="100"/>
      <c r="B3875" s="100"/>
      <c r="C3875" s="100"/>
      <c r="D3875" s="100"/>
      <c r="E3875" s="100"/>
      <c r="F3875" s="100"/>
      <c r="G3875" s="100"/>
      <c r="H3875" s="100"/>
      <c r="I3875" s="100"/>
      <c r="J3875" s="100"/>
      <c r="K3875" s="100"/>
      <c r="L3875" s="100"/>
      <c r="M3875" s="100"/>
      <c r="N3875" s="100"/>
      <c r="O3875" s="100"/>
      <c r="P3875" s="100"/>
      <c r="Q3875" s="100"/>
      <c r="R3875" s="100"/>
      <c r="S3875" s="100"/>
      <c r="T3875" s="100"/>
      <c r="U3875" s="100"/>
      <c r="V3875" s="100"/>
      <c r="W3875" s="100"/>
      <c r="X3875" s="100"/>
      <c r="Y3875" s="100"/>
      <c r="Z3875" s="100"/>
    </row>
    <row r="3876" spans="1:26">
      <c r="A3876" s="100"/>
      <c r="B3876" s="100"/>
      <c r="C3876" s="100"/>
      <c r="D3876" s="100"/>
      <c r="E3876" s="100"/>
      <c r="F3876" s="100"/>
      <c r="G3876" s="100"/>
      <c r="H3876" s="100"/>
      <c r="I3876" s="100"/>
      <c r="J3876" s="100"/>
      <c r="K3876" s="100"/>
      <c r="L3876" s="100"/>
      <c r="M3876" s="100"/>
      <c r="N3876" s="100"/>
      <c r="O3876" s="100"/>
      <c r="P3876" s="100"/>
      <c r="Q3876" s="100"/>
      <c r="R3876" s="100"/>
      <c r="S3876" s="100"/>
      <c r="T3876" s="100"/>
      <c r="U3876" s="100"/>
      <c r="V3876" s="100"/>
      <c r="W3876" s="100"/>
      <c r="X3876" s="100"/>
      <c r="Y3876" s="100"/>
      <c r="Z3876" s="100"/>
    </row>
    <row r="3877" spans="1:26">
      <c r="A3877" s="100"/>
      <c r="B3877" s="100"/>
      <c r="C3877" s="100"/>
      <c r="D3877" s="100"/>
      <c r="E3877" s="100"/>
      <c r="F3877" s="100"/>
      <c r="G3877" s="100"/>
      <c r="H3877" s="100"/>
      <c r="I3877" s="100"/>
      <c r="J3877" s="100"/>
      <c r="K3877" s="100"/>
      <c r="L3877" s="100"/>
      <c r="M3877" s="100"/>
      <c r="N3877" s="100"/>
      <c r="O3877" s="100"/>
      <c r="P3877" s="100"/>
      <c r="Q3877" s="100"/>
      <c r="R3877" s="100"/>
      <c r="S3877" s="100"/>
      <c r="T3877" s="100"/>
      <c r="U3877" s="100"/>
      <c r="V3877" s="100"/>
      <c r="W3877" s="100"/>
      <c r="X3877" s="100"/>
      <c r="Y3877" s="100"/>
      <c r="Z3877" s="100"/>
    </row>
    <row r="3878" spans="1:26">
      <c r="A3878" s="100"/>
      <c r="B3878" s="100"/>
      <c r="C3878" s="100"/>
      <c r="D3878" s="100"/>
      <c r="E3878" s="100"/>
      <c r="F3878" s="100"/>
      <c r="G3878" s="100"/>
      <c r="H3878" s="100"/>
      <c r="I3878" s="100"/>
      <c r="J3878" s="100"/>
      <c r="K3878" s="100"/>
      <c r="L3878" s="100"/>
      <c r="M3878" s="100"/>
      <c r="N3878" s="100"/>
      <c r="O3878" s="100"/>
      <c r="P3878" s="100"/>
      <c r="Q3878" s="100"/>
      <c r="R3878" s="100"/>
      <c r="S3878" s="100"/>
      <c r="T3878" s="100"/>
      <c r="U3878" s="100"/>
      <c r="V3878" s="100"/>
      <c r="W3878" s="100"/>
      <c r="X3878" s="100"/>
      <c r="Y3878" s="100"/>
      <c r="Z3878" s="100"/>
    </row>
    <row r="3879" spans="1:26">
      <c r="A3879" s="100"/>
      <c r="B3879" s="100"/>
      <c r="C3879" s="100"/>
      <c r="D3879" s="100"/>
      <c r="E3879" s="100"/>
      <c r="F3879" s="100"/>
      <c r="G3879" s="100"/>
      <c r="H3879" s="100"/>
      <c r="I3879" s="100"/>
      <c r="J3879" s="100"/>
      <c r="K3879" s="100"/>
      <c r="L3879" s="100"/>
      <c r="M3879" s="100"/>
      <c r="N3879" s="100"/>
      <c r="O3879" s="100"/>
      <c r="P3879" s="100"/>
      <c r="Q3879" s="100"/>
      <c r="R3879" s="100"/>
      <c r="S3879" s="100"/>
      <c r="T3879" s="100"/>
      <c r="U3879" s="100"/>
      <c r="V3879" s="100"/>
      <c r="W3879" s="100"/>
      <c r="X3879" s="100"/>
      <c r="Y3879" s="100"/>
      <c r="Z3879" s="100"/>
    </row>
    <row r="3880" spans="1:26">
      <c r="A3880" s="100"/>
      <c r="B3880" s="100"/>
      <c r="C3880" s="100"/>
      <c r="D3880" s="100"/>
      <c r="E3880" s="100"/>
      <c r="F3880" s="100"/>
      <c r="G3880" s="100"/>
      <c r="H3880" s="100"/>
      <c r="I3880" s="100"/>
      <c r="J3880" s="100"/>
      <c r="K3880" s="100"/>
      <c r="L3880" s="100"/>
      <c r="M3880" s="100"/>
      <c r="N3880" s="100"/>
      <c r="O3880" s="100"/>
      <c r="P3880" s="100"/>
      <c r="Q3880" s="100"/>
      <c r="R3880" s="100"/>
      <c r="S3880" s="100"/>
      <c r="T3880" s="100"/>
      <c r="U3880" s="100"/>
      <c r="V3880" s="100"/>
      <c r="W3880" s="100"/>
      <c r="X3880" s="100"/>
      <c r="Y3880" s="100"/>
      <c r="Z3880" s="100"/>
    </row>
    <row r="3881" spans="1:26">
      <c r="A3881" s="100"/>
      <c r="B3881" s="100"/>
      <c r="C3881" s="100"/>
      <c r="D3881" s="100"/>
      <c r="E3881" s="100"/>
      <c r="F3881" s="100"/>
      <c r="G3881" s="100"/>
      <c r="H3881" s="100"/>
      <c r="I3881" s="100"/>
      <c r="J3881" s="100"/>
      <c r="K3881" s="100"/>
      <c r="L3881" s="100"/>
      <c r="M3881" s="100"/>
      <c r="N3881" s="100"/>
      <c r="O3881" s="100"/>
      <c r="P3881" s="100"/>
      <c r="Q3881" s="100"/>
      <c r="R3881" s="100"/>
      <c r="S3881" s="100"/>
      <c r="T3881" s="100"/>
      <c r="U3881" s="100"/>
      <c r="V3881" s="100"/>
      <c r="W3881" s="100"/>
      <c r="X3881" s="100"/>
      <c r="Y3881" s="100"/>
      <c r="Z3881" s="100"/>
    </row>
    <row r="3882" spans="1:26">
      <c r="A3882" s="100"/>
      <c r="B3882" s="100"/>
      <c r="C3882" s="100"/>
      <c r="D3882" s="100"/>
      <c r="E3882" s="100"/>
      <c r="F3882" s="100"/>
      <c r="G3882" s="100"/>
      <c r="H3882" s="100"/>
      <c r="I3882" s="100"/>
      <c r="J3882" s="100"/>
      <c r="K3882" s="100"/>
      <c r="L3882" s="100"/>
      <c r="M3882" s="100"/>
      <c r="N3882" s="100"/>
      <c r="O3882" s="100"/>
      <c r="P3882" s="100"/>
      <c r="Q3882" s="100"/>
      <c r="R3882" s="100"/>
      <c r="S3882" s="100"/>
      <c r="T3882" s="100"/>
      <c r="U3882" s="100"/>
      <c r="V3882" s="100"/>
      <c r="W3882" s="100"/>
      <c r="X3882" s="100"/>
      <c r="Y3882" s="100"/>
      <c r="Z3882" s="100"/>
    </row>
    <row r="3883" spans="1:26">
      <c r="A3883" s="100"/>
      <c r="B3883" s="100"/>
      <c r="C3883" s="100"/>
      <c r="D3883" s="100"/>
      <c r="E3883" s="100"/>
      <c r="F3883" s="100"/>
      <c r="G3883" s="100"/>
      <c r="H3883" s="100"/>
      <c r="I3883" s="100"/>
      <c r="J3883" s="100"/>
      <c r="K3883" s="100"/>
      <c r="L3883" s="100"/>
      <c r="M3883" s="100"/>
      <c r="N3883" s="100"/>
      <c r="O3883" s="100"/>
      <c r="P3883" s="100"/>
      <c r="Q3883" s="100"/>
      <c r="R3883" s="100"/>
      <c r="S3883" s="100"/>
      <c r="T3883" s="100"/>
      <c r="U3883" s="100"/>
      <c r="V3883" s="100"/>
      <c r="W3883" s="100"/>
      <c r="X3883" s="100"/>
      <c r="Y3883" s="100"/>
      <c r="Z3883" s="100"/>
    </row>
    <row r="3884" spans="1:26">
      <c r="A3884" s="100"/>
      <c r="B3884" s="100"/>
      <c r="C3884" s="100"/>
      <c r="D3884" s="100"/>
      <c r="E3884" s="100"/>
      <c r="F3884" s="100"/>
      <c r="G3884" s="100"/>
      <c r="H3884" s="100"/>
      <c r="I3884" s="100"/>
      <c r="J3884" s="100"/>
      <c r="K3884" s="100"/>
      <c r="L3884" s="100"/>
      <c r="M3884" s="100"/>
      <c r="N3884" s="100"/>
      <c r="O3884" s="100"/>
      <c r="P3884" s="100"/>
      <c r="Q3884" s="100"/>
      <c r="R3884" s="100"/>
      <c r="S3884" s="100"/>
      <c r="T3884" s="100"/>
      <c r="U3884" s="100"/>
      <c r="V3884" s="100"/>
      <c r="W3884" s="100"/>
      <c r="X3884" s="100"/>
      <c r="Y3884" s="100"/>
      <c r="Z3884" s="100"/>
    </row>
    <row r="3885" spans="1:26">
      <c r="A3885" s="100"/>
      <c r="B3885" s="100"/>
      <c r="C3885" s="100"/>
      <c r="D3885" s="100"/>
      <c r="E3885" s="100"/>
      <c r="F3885" s="100"/>
      <c r="G3885" s="100"/>
      <c r="H3885" s="100"/>
      <c r="I3885" s="100"/>
      <c r="J3885" s="100"/>
      <c r="K3885" s="100"/>
      <c r="L3885" s="100"/>
      <c r="M3885" s="100"/>
      <c r="N3885" s="100"/>
      <c r="O3885" s="100"/>
      <c r="P3885" s="100"/>
      <c r="Q3885" s="100"/>
      <c r="R3885" s="100"/>
      <c r="S3885" s="100"/>
      <c r="T3885" s="100"/>
      <c r="U3885" s="100"/>
      <c r="V3885" s="100"/>
      <c r="W3885" s="100"/>
      <c r="X3885" s="100"/>
      <c r="Y3885" s="100"/>
      <c r="Z3885" s="100"/>
    </row>
    <row r="3886" spans="1:26">
      <c r="A3886" s="100"/>
      <c r="B3886" s="100"/>
      <c r="C3886" s="100"/>
      <c r="D3886" s="100"/>
      <c r="E3886" s="100"/>
      <c r="F3886" s="100"/>
      <c r="G3886" s="100"/>
      <c r="H3886" s="100"/>
      <c r="I3886" s="100"/>
      <c r="J3886" s="100"/>
      <c r="K3886" s="100"/>
      <c r="L3886" s="100"/>
      <c r="M3886" s="100"/>
      <c r="N3886" s="100"/>
      <c r="O3886" s="100"/>
      <c r="P3886" s="100"/>
      <c r="Q3886" s="100"/>
      <c r="R3886" s="100"/>
      <c r="S3886" s="100"/>
      <c r="T3886" s="100"/>
      <c r="U3886" s="100"/>
      <c r="V3886" s="100"/>
      <c r="W3886" s="100"/>
      <c r="X3886" s="100"/>
      <c r="Y3886" s="100"/>
      <c r="Z3886" s="100"/>
    </row>
    <row r="3887" spans="1:26">
      <c r="A3887" s="100"/>
      <c r="B3887" s="100"/>
      <c r="C3887" s="100"/>
      <c r="D3887" s="100"/>
      <c r="E3887" s="100"/>
      <c r="F3887" s="100"/>
      <c r="G3887" s="100"/>
      <c r="H3887" s="100"/>
      <c r="I3887" s="100"/>
      <c r="J3887" s="100"/>
      <c r="K3887" s="100"/>
      <c r="L3887" s="100"/>
      <c r="M3887" s="100"/>
      <c r="N3887" s="100"/>
      <c r="O3887" s="100"/>
      <c r="P3887" s="100"/>
      <c r="Q3887" s="100"/>
      <c r="R3887" s="100"/>
      <c r="S3887" s="100"/>
      <c r="T3887" s="100"/>
      <c r="U3887" s="100"/>
      <c r="V3887" s="100"/>
      <c r="W3887" s="100"/>
      <c r="X3887" s="100"/>
      <c r="Y3887" s="100"/>
      <c r="Z3887" s="100"/>
    </row>
    <row r="3888" spans="1:26">
      <c r="A3888" s="100"/>
      <c r="B3888" s="100"/>
      <c r="C3888" s="100"/>
      <c r="D3888" s="100"/>
      <c r="E3888" s="100"/>
      <c r="F3888" s="100"/>
      <c r="G3888" s="100"/>
      <c r="H3888" s="100"/>
      <c r="I3888" s="100"/>
      <c r="J3888" s="100"/>
      <c r="K3888" s="100"/>
      <c r="L3888" s="100"/>
      <c r="M3888" s="100"/>
      <c r="N3888" s="100"/>
      <c r="O3888" s="100"/>
      <c r="P3888" s="100"/>
      <c r="Q3888" s="100"/>
      <c r="R3888" s="100"/>
      <c r="S3888" s="100"/>
      <c r="T3888" s="100"/>
      <c r="U3888" s="100"/>
      <c r="V3888" s="100"/>
      <c r="W3888" s="100"/>
      <c r="X3888" s="100"/>
      <c r="Y3888" s="100"/>
      <c r="Z3888" s="100"/>
    </row>
    <row r="3889" spans="1:26">
      <c r="A3889" s="100"/>
      <c r="B3889" s="100"/>
      <c r="C3889" s="100"/>
      <c r="D3889" s="100"/>
      <c r="E3889" s="100"/>
      <c r="F3889" s="100"/>
      <c r="G3889" s="100"/>
      <c r="H3889" s="100"/>
      <c r="I3889" s="100"/>
      <c r="J3889" s="100"/>
      <c r="K3889" s="100"/>
      <c r="L3889" s="100"/>
      <c r="M3889" s="100"/>
      <c r="N3889" s="100"/>
      <c r="O3889" s="100"/>
      <c r="P3889" s="100"/>
      <c r="Q3889" s="100"/>
      <c r="R3889" s="100"/>
      <c r="S3889" s="100"/>
      <c r="T3889" s="100"/>
      <c r="U3889" s="100"/>
      <c r="V3889" s="100"/>
      <c r="W3889" s="100"/>
      <c r="X3889" s="100"/>
      <c r="Y3889" s="100"/>
      <c r="Z3889" s="100"/>
    </row>
    <row r="3890" spans="1:26">
      <c r="A3890" s="100"/>
      <c r="B3890" s="100"/>
      <c r="C3890" s="100"/>
      <c r="D3890" s="100"/>
      <c r="E3890" s="100"/>
      <c r="F3890" s="100"/>
      <c r="G3890" s="100"/>
      <c r="H3890" s="100"/>
      <c r="I3890" s="100"/>
      <c r="J3890" s="100"/>
      <c r="K3890" s="100"/>
      <c r="L3890" s="100"/>
      <c r="M3890" s="100"/>
      <c r="N3890" s="100"/>
      <c r="O3890" s="100"/>
      <c r="P3890" s="100"/>
      <c r="Q3890" s="100"/>
      <c r="R3890" s="100"/>
      <c r="S3890" s="100"/>
      <c r="T3890" s="100"/>
      <c r="U3890" s="100"/>
      <c r="V3890" s="100"/>
      <c r="W3890" s="100"/>
      <c r="X3890" s="100"/>
      <c r="Y3890" s="100"/>
      <c r="Z3890" s="100"/>
    </row>
    <row r="3891" spans="1:26">
      <c r="A3891" s="100"/>
      <c r="B3891" s="100"/>
      <c r="C3891" s="100"/>
      <c r="D3891" s="100"/>
      <c r="E3891" s="100"/>
      <c r="F3891" s="100"/>
      <c r="G3891" s="100"/>
      <c r="H3891" s="100"/>
      <c r="I3891" s="100"/>
      <c r="J3891" s="100"/>
      <c r="K3891" s="100"/>
      <c r="L3891" s="100"/>
      <c r="M3891" s="100"/>
      <c r="N3891" s="100"/>
      <c r="O3891" s="100"/>
      <c r="P3891" s="100"/>
      <c r="Q3891" s="100"/>
      <c r="R3891" s="100"/>
      <c r="S3891" s="100"/>
      <c r="T3891" s="100"/>
      <c r="U3891" s="100"/>
      <c r="V3891" s="100"/>
      <c r="W3891" s="100"/>
      <c r="X3891" s="100"/>
      <c r="Y3891" s="100"/>
      <c r="Z3891" s="100"/>
    </row>
    <row r="3892" spans="1:26">
      <c r="A3892" s="100"/>
      <c r="B3892" s="100"/>
      <c r="C3892" s="100"/>
      <c r="D3892" s="100"/>
      <c r="E3892" s="100"/>
      <c r="F3892" s="100"/>
      <c r="G3892" s="100"/>
      <c r="H3892" s="100"/>
      <c r="I3892" s="100"/>
      <c r="J3892" s="100"/>
      <c r="K3892" s="100"/>
      <c r="L3892" s="100"/>
      <c r="M3892" s="100"/>
      <c r="N3892" s="100"/>
      <c r="O3892" s="100"/>
      <c r="P3892" s="100"/>
      <c r="Q3892" s="100"/>
      <c r="R3892" s="100"/>
      <c r="S3892" s="100"/>
      <c r="T3892" s="100"/>
      <c r="U3892" s="100"/>
      <c r="V3892" s="100"/>
      <c r="W3892" s="100"/>
      <c r="X3892" s="100"/>
      <c r="Y3892" s="100"/>
      <c r="Z3892" s="100"/>
    </row>
    <row r="3893" spans="1:26">
      <c r="A3893" s="100"/>
      <c r="B3893" s="100"/>
      <c r="C3893" s="100"/>
      <c r="D3893" s="100"/>
      <c r="E3893" s="100"/>
      <c r="F3893" s="100"/>
      <c r="G3893" s="100"/>
      <c r="H3893" s="100"/>
      <c r="I3893" s="100"/>
      <c r="J3893" s="100"/>
      <c r="K3893" s="100"/>
      <c r="L3893" s="100"/>
      <c r="M3893" s="100"/>
      <c r="N3893" s="100"/>
      <c r="O3893" s="100"/>
      <c r="P3893" s="100"/>
      <c r="Q3893" s="100"/>
      <c r="R3893" s="100"/>
      <c r="S3893" s="100"/>
      <c r="T3893" s="100"/>
      <c r="U3893" s="100"/>
      <c r="V3893" s="100"/>
      <c r="W3893" s="100"/>
      <c r="X3893" s="100"/>
      <c r="Y3893" s="100"/>
      <c r="Z3893" s="100"/>
    </row>
    <row r="3894" spans="1:26">
      <c r="A3894" s="100"/>
      <c r="B3894" s="100"/>
      <c r="C3894" s="100"/>
      <c r="D3894" s="100"/>
      <c r="E3894" s="100"/>
      <c r="F3894" s="100"/>
      <c r="G3894" s="100"/>
      <c r="H3894" s="100"/>
      <c r="I3894" s="100"/>
      <c r="J3894" s="100"/>
      <c r="K3894" s="100"/>
      <c r="L3894" s="100"/>
      <c r="M3894" s="100"/>
      <c r="N3894" s="100"/>
      <c r="O3894" s="100"/>
      <c r="P3894" s="100"/>
      <c r="Q3894" s="100"/>
      <c r="R3894" s="100"/>
      <c r="S3894" s="100"/>
      <c r="T3894" s="100"/>
      <c r="U3894" s="100"/>
      <c r="V3894" s="100"/>
      <c r="W3894" s="100"/>
      <c r="X3894" s="100"/>
      <c r="Y3894" s="100"/>
      <c r="Z3894" s="100"/>
    </row>
    <row r="3895" spans="1:26">
      <c r="A3895" s="100"/>
      <c r="B3895" s="100"/>
      <c r="C3895" s="100"/>
      <c r="D3895" s="100"/>
      <c r="E3895" s="100"/>
      <c r="F3895" s="100"/>
      <c r="G3895" s="100"/>
      <c r="H3895" s="100"/>
      <c r="I3895" s="100"/>
      <c r="J3895" s="100"/>
      <c r="K3895" s="100"/>
      <c r="L3895" s="100"/>
      <c r="M3895" s="100"/>
      <c r="N3895" s="100"/>
      <c r="O3895" s="100"/>
      <c r="P3895" s="100"/>
      <c r="Q3895" s="100"/>
      <c r="R3895" s="100"/>
      <c r="S3895" s="100"/>
      <c r="T3895" s="100"/>
      <c r="U3895" s="100"/>
      <c r="V3895" s="100"/>
      <c r="W3895" s="100"/>
      <c r="X3895" s="100"/>
      <c r="Y3895" s="100"/>
      <c r="Z3895" s="100"/>
    </row>
    <row r="3896" spans="1:26">
      <c r="A3896" s="100"/>
      <c r="B3896" s="100"/>
      <c r="C3896" s="100"/>
      <c r="D3896" s="100"/>
      <c r="E3896" s="100"/>
      <c r="F3896" s="100"/>
      <c r="G3896" s="100"/>
      <c r="H3896" s="100"/>
      <c r="I3896" s="100"/>
      <c r="J3896" s="100"/>
      <c r="K3896" s="100"/>
      <c r="L3896" s="100"/>
      <c r="M3896" s="100"/>
      <c r="N3896" s="100"/>
      <c r="O3896" s="100"/>
      <c r="P3896" s="100"/>
      <c r="Q3896" s="100"/>
      <c r="R3896" s="100"/>
      <c r="S3896" s="100"/>
      <c r="T3896" s="100"/>
      <c r="U3896" s="100"/>
      <c r="V3896" s="100"/>
      <c r="W3896" s="100"/>
      <c r="X3896" s="100"/>
      <c r="Y3896" s="100"/>
      <c r="Z3896" s="100"/>
    </row>
    <row r="3897" spans="1:26">
      <c r="A3897" s="100"/>
      <c r="B3897" s="100"/>
      <c r="C3897" s="100"/>
      <c r="D3897" s="100"/>
      <c r="E3897" s="100"/>
      <c r="F3897" s="100"/>
      <c r="G3897" s="100"/>
      <c r="H3897" s="100"/>
      <c r="I3897" s="100"/>
      <c r="J3897" s="100"/>
      <c r="K3897" s="100"/>
      <c r="L3897" s="100"/>
      <c r="M3897" s="100"/>
      <c r="N3897" s="100"/>
      <c r="O3897" s="100"/>
      <c r="P3897" s="100"/>
      <c r="Q3897" s="100"/>
      <c r="R3897" s="100"/>
      <c r="S3897" s="100"/>
      <c r="T3897" s="100"/>
      <c r="U3897" s="100"/>
      <c r="V3897" s="100"/>
      <c r="W3897" s="100"/>
      <c r="X3897" s="100"/>
      <c r="Y3897" s="100"/>
      <c r="Z3897" s="100"/>
    </row>
    <row r="3898" spans="1:26">
      <c r="A3898" s="100"/>
      <c r="B3898" s="100"/>
      <c r="C3898" s="100"/>
      <c r="D3898" s="100"/>
      <c r="E3898" s="100"/>
      <c r="F3898" s="100"/>
      <c r="G3898" s="100"/>
      <c r="H3898" s="100"/>
      <c r="I3898" s="100"/>
      <c r="J3898" s="100"/>
      <c r="K3898" s="100"/>
      <c r="L3898" s="100"/>
      <c r="M3898" s="100"/>
      <c r="N3898" s="100"/>
      <c r="O3898" s="100"/>
      <c r="P3898" s="100"/>
      <c r="Q3898" s="100"/>
      <c r="R3898" s="100"/>
      <c r="S3898" s="100"/>
      <c r="T3898" s="100"/>
      <c r="U3898" s="100"/>
      <c r="V3898" s="100"/>
      <c r="W3898" s="100"/>
      <c r="X3898" s="100"/>
      <c r="Y3898" s="100"/>
      <c r="Z3898" s="100"/>
    </row>
    <row r="3899" spans="1:26">
      <c r="A3899" s="100"/>
      <c r="B3899" s="100"/>
      <c r="C3899" s="100"/>
      <c r="D3899" s="100"/>
      <c r="E3899" s="100"/>
      <c r="F3899" s="100"/>
      <c r="G3899" s="100"/>
      <c r="H3899" s="100"/>
      <c r="I3899" s="100"/>
      <c r="J3899" s="100"/>
      <c r="K3899" s="100"/>
      <c r="L3899" s="100"/>
      <c r="M3899" s="100"/>
      <c r="N3899" s="100"/>
      <c r="O3899" s="100"/>
      <c r="P3899" s="100"/>
      <c r="Q3899" s="100"/>
      <c r="R3899" s="100"/>
      <c r="S3899" s="100"/>
      <c r="T3899" s="100"/>
      <c r="U3899" s="100"/>
      <c r="V3899" s="100"/>
      <c r="W3899" s="100"/>
      <c r="X3899" s="100"/>
      <c r="Y3899" s="100"/>
      <c r="Z3899" s="100"/>
    </row>
    <row r="3900" spans="1:26">
      <c r="A3900" s="100"/>
      <c r="B3900" s="100"/>
      <c r="C3900" s="100"/>
      <c r="D3900" s="100"/>
      <c r="E3900" s="100"/>
      <c r="F3900" s="100"/>
      <c r="G3900" s="100"/>
      <c r="H3900" s="100"/>
      <c r="I3900" s="100"/>
      <c r="J3900" s="100"/>
      <c r="K3900" s="100"/>
      <c r="L3900" s="100"/>
      <c r="M3900" s="100"/>
      <c r="N3900" s="100"/>
      <c r="O3900" s="100"/>
      <c r="P3900" s="100"/>
      <c r="Q3900" s="100"/>
      <c r="R3900" s="100"/>
      <c r="S3900" s="100"/>
      <c r="T3900" s="100"/>
      <c r="U3900" s="100"/>
      <c r="V3900" s="100"/>
      <c r="W3900" s="100"/>
      <c r="X3900" s="100"/>
      <c r="Y3900" s="100"/>
      <c r="Z3900" s="100"/>
    </row>
    <row r="3901" spans="1:26">
      <c r="A3901" s="100"/>
      <c r="B3901" s="100"/>
      <c r="C3901" s="100"/>
      <c r="D3901" s="100"/>
      <c r="E3901" s="100"/>
      <c r="F3901" s="100"/>
      <c r="G3901" s="100"/>
      <c r="H3901" s="100"/>
      <c r="I3901" s="100"/>
      <c r="J3901" s="100"/>
      <c r="K3901" s="100"/>
      <c r="L3901" s="100"/>
      <c r="M3901" s="100"/>
      <c r="N3901" s="100"/>
      <c r="O3901" s="100"/>
      <c r="P3901" s="100"/>
      <c r="Q3901" s="100"/>
      <c r="R3901" s="100"/>
      <c r="S3901" s="100"/>
      <c r="T3901" s="100"/>
      <c r="U3901" s="100"/>
      <c r="V3901" s="100"/>
      <c r="W3901" s="100"/>
      <c r="X3901" s="100"/>
      <c r="Y3901" s="100"/>
      <c r="Z3901" s="100"/>
    </row>
    <row r="3902" spans="1:26">
      <c r="A3902" s="100"/>
      <c r="B3902" s="100"/>
      <c r="C3902" s="100"/>
      <c r="D3902" s="100"/>
      <c r="E3902" s="100"/>
      <c r="F3902" s="100"/>
      <c r="G3902" s="100"/>
      <c r="H3902" s="100"/>
      <c r="I3902" s="100"/>
      <c r="J3902" s="100"/>
      <c r="K3902" s="100"/>
      <c r="L3902" s="100"/>
      <c r="M3902" s="100"/>
      <c r="N3902" s="100"/>
      <c r="O3902" s="100"/>
      <c r="P3902" s="100"/>
      <c r="Q3902" s="100"/>
      <c r="R3902" s="100"/>
      <c r="S3902" s="100"/>
      <c r="T3902" s="100"/>
      <c r="U3902" s="100"/>
      <c r="V3902" s="100"/>
      <c r="W3902" s="100"/>
      <c r="X3902" s="100"/>
      <c r="Y3902" s="100"/>
      <c r="Z3902" s="100"/>
    </row>
    <row r="3903" spans="1:26">
      <c r="A3903" s="100"/>
      <c r="B3903" s="100"/>
      <c r="C3903" s="100"/>
      <c r="D3903" s="100"/>
      <c r="E3903" s="100"/>
      <c r="F3903" s="100"/>
      <c r="G3903" s="100"/>
      <c r="H3903" s="100"/>
      <c r="I3903" s="100"/>
      <c r="J3903" s="100"/>
      <c r="K3903" s="100"/>
      <c r="L3903" s="100"/>
      <c r="M3903" s="100"/>
      <c r="N3903" s="100"/>
      <c r="O3903" s="100"/>
      <c r="P3903" s="100"/>
      <c r="Q3903" s="100"/>
      <c r="R3903" s="100"/>
      <c r="S3903" s="100"/>
      <c r="T3903" s="100"/>
      <c r="U3903" s="100"/>
      <c r="V3903" s="100"/>
      <c r="W3903" s="100"/>
      <c r="X3903" s="100"/>
      <c r="Y3903" s="100"/>
      <c r="Z3903" s="100"/>
    </row>
    <row r="3904" spans="1:26">
      <c r="A3904" s="100"/>
      <c r="B3904" s="100"/>
      <c r="C3904" s="100"/>
      <c r="D3904" s="100"/>
      <c r="E3904" s="100"/>
      <c r="F3904" s="100"/>
      <c r="G3904" s="100"/>
      <c r="H3904" s="100"/>
      <c r="I3904" s="100"/>
      <c r="J3904" s="100"/>
      <c r="K3904" s="100"/>
      <c r="L3904" s="100"/>
      <c r="M3904" s="100"/>
      <c r="N3904" s="100"/>
      <c r="O3904" s="100"/>
      <c r="P3904" s="100"/>
      <c r="Q3904" s="100"/>
      <c r="R3904" s="100"/>
      <c r="S3904" s="100"/>
      <c r="T3904" s="100"/>
      <c r="U3904" s="100"/>
      <c r="V3904" s="100"/>
      <c r="W3904" s="100"/>
      <c r="X3904" s="100"/>
      <c r="Y3904" s="100"/>
      <c r="Z3904" s="100"/>
    </row>
    <row r="3905" spans="1:26">
      <c r="A3905" s="100"/>
      <c r="B3905" s="100"/>
      <c r="C3905" s="100"/>
      <c r="D3905" s="100"/>
      <c r="E3905" s="100"/>
      <c r="F3905" s="100"/>
      <c r="G3905" s="100"/>
      <c r="H3905" s="100"/>
      <c r="I3905" s="100"/>
      <c r="J3905" s="100"/>
      <c r="K3905" s="100"/>
      <c r="L3905" s="100"/>
      <c r="M3905" s="100"/>
      <c r="N3905" s="100"/>
      <c r="O3905" s="100"/>
      <c r="P3905" s="100"/>
      <c r="Q3905" s="100"/>
      <c r="R3905" s="100"/>
      <c r="S3905" s="100"/>
      <c r="T3905" s="100"/>
      <c r="U3905" s="100"/>
      <c r="V3905" s="100"/>
      <c r="W3905" s="100"/>
      <c r="X3905" s="100"/>
      <c r="Y3905" s="100"/>
      <c r="Z3905" s="100"/>
    </row>
    <row r="3906" spans="1:26">
      <c r="A3906" s="100"/>
      <c r="B3906" s="100"/>
      <c r="C3906" s="100"/>
      <c r="D3906" s="100"/>
      <c r="E3906" s="100"/>
      <c r="F3906" s="100"/>
      <c r="G3906" s="100"/>
      <c r="H3906" s="100"/>
      <c r="I3906" s="100"/>
      <c r="J3906" s="100"/>
      <c r="K3906" s="100"/>
      <c r="L3906" s="100"/>
      <c r="M3906" s="100"/>
      <c r="N3906" s="100"/>
      <c r="O3906" s="100"/>
      <c r="P3906" s="100"/>
      <c r="Q3906" s="100"/>
      <c r="R3906" s="100"/>
      <c r="S3906" s="100"/>
      <c r="T3906" s="100"/>
      <c r="U3906" s="100"/>
      <c r="V3906" s="100"/>
      <c r="W3906" s="100"/>
      <c r="X3906" s="100"/>
      <c r="Y3906" s="100"/>
      <c r="Z3906" s="100"/>
    </row>
    <row r="3907" spans="1:26">
      <c r="A3907" s="100"/>
      <c r="B3907" s="100"/>
      <c r="C3907" s="100"/>
      <c r="D3907" s="100"/>
      <c r="E3907" s="100"/>
      <c r="F3907" s="100"/>
      <c r="G3907" s="100"/>
      <c r="H3907" s="100"/>
      <c r="I3907" s="100"/>
      <c r="J3907" s="100"/>
      <c r="K3907" s="100"/>
      <c r="L3907" s="100"/>
      <c r="M3907" s="100"/>
      <c r="N3907" s="100"/>
      <c r="O3907" s="100"/>
      <c r="P3907" s="100"/>
      <c r="Q3907" s="100"/>
      <c r="R3907" s="100"/>
      <c r="S3907" s="100"/>
      <c r="T3907" s="100"/>
      <c r="U3907" s="100"/>
      <c r="V3907" s="100"/>
      <c r="W3907" s="100"/>
      <c r="X3907" s="100"/>
      <c r="Y3907" s="100"/>
      <c r="Z3907" s="100"/>
    </row>
    <row r="3908" spans="1:26">
      <c r="A3908" s="100"/>
      <c r="B3908" s="100"/>
      <c r="C3908" s="100"/>
      <c r="D3908" s="100"/>
      <c r="E3908" s="100"/>
      <c r="F3908" s="100"/>
      <c r="G3908" s="100"/>
      <c r="H3908" s="100"/>
      <c r="I3908" s="100"/>
      <c r="J3908" s="100"/>
      <c r="K3908" s="100"/>
      <c r="L3908" s="100"/>
      <c r="M3908" s="100"/>
      <c r="N3908" s="100"/>
      <c r="O3908" s="100"/>
      <c r="P3908" s="100"/>
      <c r="Q3908" s="100"/>
      <c r="R3908" s="100"/>
      <c r="S3908" s="100"/>
      <c r="T3908" s="100"/>
      <c r="U3908" s="100"/>
      <c r="V3908" s="100"/>
      <c r="W3908" s="100"/>
      <c r="X3908" s="100"/>
      <c r="Y3908" s="100"/>
      <c r="Z3908" s="100"/>
    </row>
    <row r="3909" spans="1:26">
      <c r="A3909" s="100"/>
      <c r="B3909" s="100"/>
      <c r="C3909" s="100"/>
      <c r="D3909" s="100"/>
      <c r="E3909" s="100"/>
      <c r="F3909" s="100"/>
      <c r="G3909" s="100"/>
      <c r="H3909" s="100"/>
      <c r="I3909" s="100"/>
      <c r="J3909" s="100"/>
      <c r="K3909" s="100"/>
      <c r="L3909" s="100"/>
      <c r="M3909" s="100"/>
      <c r="N3909" s="100"/>
      <c r="O3909" s="100"/>
      <c r="P3909" s="100"/>
      <c r="Q3909" s="100"/>
      <c r="R3909" s="100"/>
      <c r="S3909" s="100"/>
      <c r="T3909" s="100"/>
      <c r="U3909" s="100"/>
      <c r="V3909" s="100"/>
      <c r="W3909" s="100"/>
      <c r="X3909" s="100"/>
      <c r="Y3909" s="100"/>
      <c r="Z3909" s="100"/>
    </row>
    <row r="3910" spans="1:26">
      <c r="A3910" s="100"/>
      <c r="B3910" s="100"/>
      <c r="C3910" s="100"/>
      <c r="D3910" s="100"/>
      <c r="E3910" s="100"/>
      <c r="F3910" s="100"/>
      <c r="G3910" s="100"/>
      <c r="H3910" s="100"/>
      <c r="I3910" s="100"/>
      <c r="J3910" s="100"/>
      <c r="K3910" s="100"/>
      <c r="L3910" s="100"/>
      <c r="M3910" s="100"/>
      <c r="N3910" s="100"/>
      <c r="O3910" s="100"/>
      <c r="P3910" s="100"/>
      <c r="Q3910" s="100"/>
      <c r="R3910" s="100"/>
      <c r="S3910" s="100"/>
      <c r="T3910" s="100"/>
      <c r="U3910" s="100"/>
      <c r="V3910" s="100"/>
      <c r="W3910" s="100"/>
      <c r="X3910" s="100"/>
      <c r="Y3910" s="100"/>
      <c r="Z3910" s="100"/>
    </row>
    <row r="3911" spans="1:26">
      <c r="A3911" s="100"/>
      <c r="B3911" s="100"/>
      <c r="C3911" s="100"/>
      <c r="D3911" s="100"/>
      <c r="E3911" s="100"/>
      <c r="F3911" s="100"/>
      <c r="G3911" s="100"/>
      <c r="H3911" s="100"/>
      <c r="I3911" s="100"/>
      <c r="J3911" s="100"/>
      <c r="K3911" s="100"/>
      <c r="L3911" s="100"/>
      <c r="M3911" s="100"/>
      <c r="N3911" s="100"/>
      <c r="O3911" s="100"/>
      <c r="P3911" s="100"/>
      <c r="Q3911" s="100"/>
      <c r="R3911" s="100"/>
      <c r="S3911" s="100"/>
      <c r="T3911" s="100"/>
      <c r="U3911" s="100"/>
      <c r="V3911" s="100"/>
      <c r="W3911" s="100"/>
      <c r="X3911" s="100"/>
      <c r="Y3911" s="100"/>
      <c r="Z3911" s="100"/>
    </row>
    <row r="3912" spans="1:26">
      <c r="A3912" s="100"/>
      <c r="B3912" s="100"/>
      <c r="C3912" s="100"/>
      <c r="D3912" s="100"/>
      <c r="E3912" s="100"/>
      <c r="F3912" s="100"/>
      <c r="G3912" s="100"/>
      <c r="H3912" s="100"/>
      <c r="I3912" s="100"/>
      <c r="J3912" s="100"/>
      <c r="K3912" s="100"/>
      <c r="L3912" s="100"/>
      <c r="M3912" s="100"/>
      <c r="N3912" s="100"/>
      <c r="O3912" s="100"/>
      <c r="P3912" s="100"/>
      <c r="Q3912" s="100"/>
      <c r="R3912" s="100"/>
      <c r="S3912" s="100"/>
      <c r="T3912" s="100"/>
      <c r="U3912" s="100"/>
      <c r="V3912" s="100"/>
      <c r="W3912" s="100"/>
      <c r="X3912" s="100"/>
      <c r="Y3912" s="100"/>
      <c r="Z3912" s="100"/>
    </row>
    <row r="3913" spans="1:26">
      <c r="A3913" s="100"/>
      <c r="B3913" s="100"/>
      <c r="C3913" s="100"/>
      <c r="D3913" s="100"/>
      <c r="E3913" s="100"/>
      <c r="F3913" s="100"/>
      <c r="G3913" s="100"/>
      <c r="H3913" s="100"/>
      <c r="I3913" s="100"/>
      <c r="J3913" s="100"/>
      <c r="K3913" s="100"/>
      <c r="L3913" s="100"/>
      <c r="M3913" s="100"/>
      <c r="N3913" s="100"/>
      <c r="O3913" s="100"/>
      <c r="P3913" s="100"/>
      <c r="Q3913" s="100"/>
      <c r="R3913" s="100"/>
      <c r="S3913" s="100"/>
      <c r="T3913" s="100"/>
      <c r="U3913" s="100"/>
      <c r="V3913" s="100"/>
      <c r="W3913" s="100"/>
      <c r="X3913" s="100"/>
      <c r="Y3913" s="100"/>
      <c r="Z3913" s="100"/>
    </row>
    <row r="3914" spans="1:26">
      <c r="A3914" s="100"/>
      <c r="B3914" s="100"/>
      <c r="C3914" s="100"/>
      <c r="D3914" s="100"/>
      <c r="E3914" s="100"/>
      <c r="F3914" s="100"/>
      <c r="G3914" s="100"/>
      <c r="H3914" s="100"/>
      <c r="I3914" s="100"/>
      <c r="J3914" s="100"/>
      <c r="K3914" s="100"/>
      <c r="L3914" s="100"/>
      <c r="M3914" s="100"/>
      <c r="N3914" s="100"/>
      <c r="O3914" s="100"/>
      <c r="P3914" s="100"/>
      <c r="Q3914" s="100"/>
      <c r="R3914" s="100"/>
      <c r="S3914" s="100"/>
      <c r="T3914" s="100"/>
      <c r="U3914" s="100"/>
      <c r="V3914" s="100"/>
      <c r="W3914" s="100"/>
      <c r="X3914" s="100"/>
      <c r="Y3914" s="100"/>
      <c r="Z3914" s="100"/>
    </row>
    <row r="3915" spans="1:26">
      <c r="A3915" s="100"/>
      <c r="B3915" s="100"/>
      <c r="C3915" s="100"/>
      <c r="D3915" s="100"/>
      <c r="E3915" s="100"/>
      <c r="F3915" s="100"/>
      <c r="G3915" s="100"/>
      <c r="H3915" s="100"/>
      <c r="I3915" s="100"/>
      <c r="J3915" s="100"/>
      <c r="K3915" s="100"/>
      <c r="L3915" s="100"/>
      <c r="M3915" s="100"/>
      <c r="N3915" s="100"/>
      <c r="O3915" s="100"/>
      <c r="P3915" s="100"/>
      <c r="Q3915" s="100"/>
      <c r="R3915" s="100"/>
      <c r="S3915" s="100"/>
      <c r="T3915" s="100"/>
      <c r="U3915" s="100"/>
      <c r="V3915" s="100"/>
      <c r="W3915" s="100"/>
      <c r="X3915" s="100"/>
      <c r="Y3915" s="100"/>
      <c r="Z3915" s="100"/>
    </row>
    <row r="3916" spans="1:26">
      <c r="A3916" s="100"/>
      <c r="B3916" s="100"/>
      <c r="C3916" s="100"/>
      <c r="D3916" s="100"/>
      <c r="E3916" s="100"/>
      <c r="F3916" s="100"/>
      <c r="G3916" s="100"/>
      <c r="H3916" s="100"/>
      <c r="I3916" s="100"/>
      <c r="J3916" s="100"/>
      <c r="K3916" s="100"/>
      <c r="L3916" s="100"/>
      <c r="M3916" s="100"/>
      <c r="N3916" s="100"/>
      <c r="O3916" s="100"/>
      <c r="P3916" s="100"/>
      <c r="Q3916" s="100"/>
      <c r="R3916" s="100"/>
      <c r="S3916" s="100"/>
      <c r="T3916" s="100"/>
      <c r="U3916" s="100"/>
      <c r="V3916" s="100"/>
      <c r="W3916" s="100"/>
      <c r="X3916" s="100"/>
      <c r="Y3916" s="100"/>
      <c r="Z3916" s="100"/>
    </row>
    <row r="3917" spans="1:26">
      <c r="A3917" s="100"/>
      <c r="B3917" s="100"/>
      <c r="C3917" s="100"/>
      <c r="D3917" s="100"/>
      <c r="E3917" s="100"/>
      <c r="F3917" s="100"/>
      <c r="G3917" s="100"/>
      <c r="H3917" s="100"/>
      <c r="I3917" s="100"/>
      <c r="J3917" s="100"/>
      <c r="K3917" s="100"/>
      <c r="L3917" s="100"/>
      <c r="M3917" s="100"/>
      <c r="N3917" s="100"/>
      <c r="O3917" s="100"/>
      <c r="P3917" s="100"/>
      <c r="Q3917" s="100"/>
      <c r="R3917" s="100"/>
      <c r="S3917" s="100"/>
      <c r="T3917" s="100"/>
      <c r="U3917" s="100"/>
      <c r="V3917" s="100"/>
      <c r="W3917" s="100"/>
      <c r="X3917" s="100"/>
      <c r="Y3917" s="100"/>
      <c r="Z3917" s="100"/>
    </row>
    <row r="3918" spans="1:26">
      <c r="A3918" s="100"/>
      <c r="B3918" s="100"/>
      <c r="C3918" s="100"/>
      <c r="D3918" s="100"/>
      <c r="E3918" s="100"/>
      <c r="F3918" s="100"/>
      <c r="G3918" s="100"/>
      <c r="H3918" s="100"/>
      <c r="I3918" s="100"/>
      <c r="J3918" s="100"/>
      <c r="K3918" s="100"/>
      <c r="L3918" s="100"/>
      <c r="M3918" s="100"/>
      <c r="N3918" s="100"/>
      <c r="O3918" s="100"/>
      <c r="P3918" s="100"/>
      <c r="Q3918" s="100"/>
      <c r="R3918" s="100"/>
      <c r="S3918" s="100"/>
      <c r="T3918" s="100"/>
      <c r="U3918" s="100"/>
      <c r="V3918" s="100"/>
      <c r="W3918" s="100"/>
      <c r="X3918" s="100"/>
      <c r="Y3918" s="100"/>
      <c r="Z3918" s="100"/>
    </row>
    <row r="3919" spans="1:26">
      <c r="A3919" s="100"/>
      <c r="B3919" s="100"/>
      <c r="C3919" s="100"/>
      <c r="D3919" s="100"/>
      <c r="E3919" s="100"/>
      <c r="F3919" s="100"/>
      <c r="G3919" s="100"/>
      <c r="H3919" s="100"/>
      <c r="I3919" s="100"/>
      <c r="J3919" s="100"/>
      <c r="K3919" s="100"/>
      <c r="L3919" s="100"/>
      <c r="M3919" s="100"/>
      <c r="N3919" s="100"/>
      <c r="O3919" s="100"/>
      <c r="P3919" s="100"/>
      <c r="Q3919" s="100"/>
      <c r="R3919" s="100"/>
      <c r="S3919" s="100"/>
      <c r="T3919" s="100"/>
      <c r="U3919" s="100"/>
      <c r="V3919" s="100"/>
      <c r="W3919" s="100"/>
      <c r="X3919" s="100"/>
      <c r="Y3919" s="100"/>
      <c r="Z3919" s="100"/>
    </row>
    <row r="3920" spans="1:26">
      <c r="A3920" s="100"/>
      <c r="B3920" s="100"/>
      <c r="C3920" s="100"/>
      <c r="D3920" s="100"/>
      <c r="E3920" s="100"/>
      <c r="F3920" s="100"/>
      <c r="G3920" s="100"/>
      <c r="H3920" s="100"/>
      <c r="I3920" s="100"/>
      <c r="J3920" s="100"/>
      <c r="K3920" s="100"/>
      <c r="L3920" s="100"/>
      <c r="M3920" s="100"/>
      <c r="N3920" s="100"/>
      <c r="O3920" s="100"/>
      <c r="P3920" s="100"/>
      <c r="Q3920" s="100"/>
      <c r="R3920" s="100"/>
      <c r="S3920" s="100"/>
      <c r="T3920" s="100"/>
      <c r="U3920" s="100"/>
      <c r="V3920" s="100"/>
      <c r="W3920" s="100"/>
      <c r="X3920" s="100"/>
      <c r="Y3920" s="100"/>
      <c r="Z3920" s="100"/>
    </row>
    <row r="3921" spans="1:26">
      <c r="A3921" s="100"/>
      <c r="B3921" s="100"/>
      <c r="C3921" s="100"/>
      <c r="D3921" s="100"/>
      <c r="E3921" s="100"/>
      <c r="F3921" s="100"/>
      <c r="G3921" s="100"/>
      <c r="H3921" s="100"/>
      <c r="I3921" s="100"/>
      <c r="J3921" s="100"/>
      <c r="K3921" s="100"/>
      <c r="L3921" s="100"/>
      <c r="M3921" s="100"/>
      <c r="N3921" s="100"/>
      <c r="O3921" s="100"/>
      <c r="P3921" s="100"/>
      <c r="Q3921" s="100"/>
      <c r="R3921" s="100"/>
      <c r="S3921" s="100"/>
      <c r="T3921" s="100"/>
      <c r="U3921" s="100"/>
      <c r="V3921" s="100"/>
      <c r="W3921" s="100"/>
      <c r="X3921" s="100"/>
      <c r="Y3921" s="100"/>
      <c r="Z3921" s="100"/>
    </row>
    <row r="3922" spans="1:26">
      <c r="A3922" s="100"/>
      <c r="B3922" s="100"/>
      <c r="C3922" s="100"/>
      <c r="D3922" s="100"/>
      <c r="E3922" s="100"/>
      <c r="F3922" s="100"/>
      <c r="G3922" s="100"/>
      <c r="H3922" s="100"/>
      <c r="I3922" s="100"/>
      <c r="J3922" s="100"/>
      <c r="K3922" s="100"/>
      <c r="L3922" s="100"/>
      <c r="M3922" s="100"/>
      <c r="N3922" s="100"/>
      <c r="O3922" s="100"/>
      <c r="P3922" s="100"/>
      <c r="Q3922" s="100"/>
      <c r="R3922" s="100"/>
      <c r="S3922" s="100"/>
      <c r="T3922" s="100"/>
      <c r="U3922" s="100"/>
      <c r="V3922" s="100"/>
      <c r="W3922" s="100"/>
      <c r="X3922" s="100"/>
      <c r="Y3922" s="100"/>
      <c r="Z3922" s="100"/>
    </row>
    <row r="3923" spans="1:26">
      <c r="A3923" s="100"/>
      <c r="B3923" s="100"/>
      <c r="C3923" s="100"/>
      <c r="D3923" s="100"/>
      <c r="E3923" s="100"/>
      <c r="F3923" s="100"/>
      <c r="G3923" s="100"/>
      <c r="H3923" s="100"/>
      <c r="I3923" s="100"/>
      <c r="J3923" s="100"/>
      <c r="K3923" s="100"/>
      <c r="L3923" s="100"/>
      <c r="M3923" s="100"/>
      <c r="N3923" s="100"/>
      <c r="O3923" s="100"/>
      <c r="P3923" s="100"/>
      <c r="Q3923" s="100"/>
      <c r="R3923" s="100"/>
      <c r="S3923" s="100"/>
      <c r="T3923" s="100"/>
      <c r="U3923" s="100"/>
      <c r="V3923" s="100"/>
      <c r="W3923" s="100"/>
      <c r="X3923" s="100"/>
      <c r="Y3923" s="100"/>
      <c r="Z3923" s="100"/>
    </row>
    <row r="3924" spans="1:26">
      <c r="A3924" s="100"/>
      <c r="B3924" s="100"/>
      <c r="C3924" s="100"/>
      <c r="D3924" s="100"/>
      <c r="E3924" s="100"/>
      <c r="F3924" s="100"/>
      <c r="G3924" s="100"/>
      <c r="H3924" s="100"/>
      <c r="I3924" s="100"/>
      <c r="J3924" s="100"/>
      <c r="K3924" s="100"/>
      <c r="L3924" s="100"/>
      <c r="M3924" s="100"/>
      <c r="N3924" s="100"/>
      <c r="O3924" s="100"/>
      <c r="P3924" s="100"/>
      <c r="Q3924" s="100"/>
      <c r="R3924" s="100"/>
      <c r="S3924" s="100"/>
      <c r="T3924" s="100"/>
      <c r="U3924" s="100"/>
      <c r="V3924" s="100"/>
      <c r="W3924" s="100"/>
      <c r="X3924" s="100"/>
      <c r="Y3924" s="100"/>
      <c r="Z3924" s="100"/>
    </row>
    <row r="3925" spans="1:26">
      <c r="A3925" s="100"/>
      <c r="B3925" s="100"/>
      <c r="C3925" s="100"/>
      <c r="D3925" s="100"/>
      <c r="E3925" s="100"/>
      <c r="F3925" s="100"/>
      <c r="G3925" s="100"/>
      <c r="H3925" s="100"/>
      <c r="I3925" s="100"/>
      <c r="J3925" s="100"/>
      <c r="K3925" s="100"/>
      <c r="L3925" s="100"/>
      <c r="M3925" s="100"/>
      <c r="N3925" s="100"/>
      <c r="O3925" s="100"/>
      <c r="P3925" s="100"/>
      <c r="Q3925" s="100"/>
      <c r="R3925" s="100"/>
      <c r="S3925" s="100"/>
      <c r="T3925" s="100"/>
      <c r="U3925" s="100"/>
      <c r="V3925" s="100"/>
      <c r="W3925" s="100"/>
      <c r="X3925" s="100"/>
      <c r="Y3925" s="100"/>
      <c r="Z3925" s="100"/>
    </row>
    <row r="3926" spans="1:26">
      <c r="A3926" s="100"/>
      <c r="B3926" s="100"/>
      <c r="C3926" s="100"/>
      <c r="D3926" s="100"/>
      <c r="E3926" s="100"/>
      <c r="F3926" s="100"/>
      <c r="G3926" s="100"/>
      <c r="H3926" s="100"/>
      <c r="I3926" s="100"/>
      <c r="J3926" s="100"/>
      <c r="K3926" s="100"/>
      <c r="L3926" s="100"/>
      <c r="M3926" s="100"/>
      <c r="N3926" s="100"/>
      <c r="O3926" s="100"/>
      <c r="P3926" s="100"/>
      <c r="Q3926" s="100"/>
      <c r="R3926" s="100"/>
      <c r="S3926" s="100"/>
      <c r="T3926" s="100"/>
      <c r="U3926" s="100"/>
      <c r="V3926" s="100"/>
      <c r="W3926" s="100"/>
      <c r="X3926" s="100"/>
      <c r="Y3926" s="100"/>
      <c r="Z3926" s="100"/>
    </row>
    <row r="3927" spans="1:26">
      <c r="A3927" s="100"/>
      <c r="B3927" s="100"/>
      <c r="C3927" s="100"/>
      <c r="D3927" s="100"/>
      <c r="E3927" s="100"/>
      <c r="F3927" s="100"/>
      <c r="G3927" s="100"/>
      <c r="H3927" s="100"/>
      <c r="I3927" s="100"/>
      <c r="J3927" s="100"/>
      <c r="K3927" s="100"/>
      <c r="L3927" s="100"/>
      <c r="M3927" s="100"/>
      <c r="N3927" s="100"/>
      <c r="O3927" s="100"/>
      <c r="P3927" s="100"/>
      <c r="Q3927" s="100"/>
      <c r="R3927" s="100"/>
      <c r="S3927" s="100"/>
      <c r="T3927" s="100"/>
      <c r="U3927" s="100"/>
      <c r="V3927" s="100"/>
      <c r="W3927" s="100"/>
      <c r="X3927" s="100"/>
      <c r="Y3927" s="100"/>
      <c r="Z3927" s="100"/>
    </row>
    <row r="3928" spans="1:26">
      <c r="A3928" s="100"/>
      <c r="B3928" s="100"/>
      <c r="C3928" s="100"/>
      <c r="D3928" s="100"/>
      <c r="E3928" s="100"/>
      <c r="F3928" s="100"/>
      <c r="G3928" s="100"/>
      <c r="H3928" s="100"/>
      <c r="I3928" s="100"/>
      <c r="J3928" s="100"/>
      <c r="K3928" s="100"/>
      <c r="L3928" s="100"/>
      <c r="M3928" s="100"/>
      <c r="N3928" s="100"/>
      <c r="O3928" s="100"/>
      <c r="P3928" s="100"/>
      <c r="Q3928" s="100"/>
      <c r="R3928" s="100"/>
      <c r="S3928" s="100"/>
      <c r="T3928" s="100"/>
      <c r="U3928" s="100"/>
      <c r="V3928" s="100"/>
      <c r="W3928" s="100"/>
      <c r="X3928" s="100"/>
      <c r="Y3928" s="100"/>
      <c r="Z3928" s="100"/>
    </row>
    <row r="3929" spans="1:26">
      <c r="A3929" s="100"/>
      <c r="B3929" s="100"/>
      <c r="C3929" s="100"/>
      <c r="D3929" s="100"/>
      <c r="E3929" s="100"/>
      <c r="F3929" s="100"/>
      <c r="G3929" s="100"/>
      <c r="H3929" s="100"/>
      <c r="I3929" s="100"/>
      <c r="J3929" s="100"/>
      <c r="K3929" s="100"/>
      <c r="L3929" s="100"/>
      <c r="M3929" s="100"/>
      <c r="N3929" s="100"/>
      <c r="O3929" s="100"/>
      <c r="P3929" s="100"/>
      <c r="Q3929" s="100"/>
      <c r="R3929" s="100"/>
      <c r="S3929" s="100"/>
      <c r="T3929" s="100"/>
      <c r="U3929" s="100"/>
      <c r="V3929" s="100"/>
      <c r="W3929" s="100"/>
      <c r="X3929" s="100"/>
      <c r="Y3929" s="100"/>
      <c r="Z3929" s="100"/>
    </row>
    <row r="3930" spans="1:26">
      <c r="A3930" s="100"/>
      <c r="B3930" s="100"/>
      <c r="C3930" s="100"/>
      <c r="D3930" s="100"/>
      <c r="E3930" s="100"/>
      <c r="F3930" s="100"/>
      <c r="G3930" s="100"/>
      <c r="H3930" s="100"/>
      <c r="I3930" s="100"/>
      <c r="J3930" s="100"/>
      <c r="K3930" s="100"/>
      <c r="L3930" s="100"/>
      <c r="M3930" s="100"/>
      <c r="N3930" s="100"/>
      <c r="O3930" s="100"/>
      <c r="P3930" s="100"/>
      <c r="Q3930" s="100"/>
      <c r="R3930" s="100"/>
      <c r="S3930" s="100"/>
      <c r="T3930" s="100"/>
      <c r="U3930" s="100"/>
      <c r="V3930" s="100"/>
      <c r="W3930" s="100"/>
      <c r="X3930" s="100"/>
      <c r="Y3930" s="100"/>
      <c r="Z3930" s="100"/>
    </row>
    <row r="3931" spans="1:26">
      <c r="A3931" s="100"/>
      <c r="B3931" s="100"/>
      <c r="C3931" s="100"/>
      <c r="D3931" s="100"/>
      <c r="E3931" s="100"/>
      <c r="F3931" s="100"/>
      <c r="G3931" s="100"/>
      <c r="H3931" s="100"/>
      <c r="I3931" s="100"/>
      <c r="J3931" s="100"/>
      <c r="K3931" s="100"/>
      <c r="L3931" s="100"/>
      <c r="M3931" s="100"/>
      <c r="N3931" s="100"/>
      <c r="O3931" s="100"/>
      <c r="P3931" s="100"/>
      <c r="Q3931" s="100"/>
      <c r="R3931" s="100"/>
      <c r="S3931" s="100"/>
      <c r="T3931" s="100"/>
      <c r="U3931" s="100"/>
      <c r="V3931" s="100"/>
      <c r="W3931" s="100"/>
      <c r="X3931" s="100"/>
      <c r="Y3931" s="100"/>
      <c r="Z3931" s="100"/>
    </row>
    <row r="3932" spans="1:26">
      <c r="A3932" s="100"/>
      <c r="B3932" s="100"/>
      <c r="C3932" s="100"/>
      <c r="D3932" s="100"/>
      <c r="E3932" s="100"/>
      <c r="F3932" s="100"/>
      <c r="G3932" s="100"/>
      <c r="H3932" s="100"/>
      <c r="I3932" s="100"/>
      <c r="J3932" s="100"/>
      <c r="K3932" s="100"/>
      <c r="L3932" s="100"/>
      <c r="M3932" s="100"/>
      <c r="N3932" s="100"/>
      <c r="O3932" s="100"/>
      <c r="P3932" s="100"/>
      <c r="Q3932" s="100"/>
      <c r="R3932" s="100"/>
      <c r="S3932" s="100"/>
      <c r="T3932" s="100"/>
      <c r="U3932" s="100"/>
      <c r="V3932" s="100"/>
      <c r="W3932" s="100"/>
      <c r="X3932" s="100"/>
      <c r="Y3932" s="100"/>
      <c r="Z3932" s="100"/>
    </row>
    <row r="3933" spans="1:26">
      <c r="A3933" s="100"/>
      <c r="B3933" s="100"/>
      <c r="C3933" s="100"/>
      <c r="D3933" s="100"/>
      <c r="E3933" s="100"/>
      <c r="F3933" s="100"/>
      <c r="G3933" s="100"/>
      <c r="H3933" s="100"/>
      <c r="I3933" s="100"/>
      <c r="J3933" s="100"/>
      <c r="K3933" s="100"/>
      <c r="L3933" s="100"/>
      <c r="M3933" s="100"/>
      <c r="N3933" s="100"/>
      <c r="O3933" s="100"/>
      <c r="P3933" s="100"/>
      <c r="Q3933" s="100"/>
      <c r="R3933" s="100"/>
      <c r="S3933" s="100"/>
      <c r="T3933" s="100"/>
      <c r="U3933" s="100"/>
      <c r="V3933" s="100"/>
      <c r="W3933" s="100"/>
      <c r="X3933" s="100"/>
      <c r="Y3933" s="100"/>
      <c r="Z3933" s="100"/>
    </row>
    <row r="3934" spans="1:26">
      <c r="A3934" s="100"/>
      <c r="B3934" s="100"/>
      <c r="C3934" s="100"/>
      <c r="D3934" s="100"/>
      <c r="E3934" s="100"/>
      <c r="F3934" s="100"/>
      <c r="G3934" s="100"/>
      <c r="H3934" s="100"/>
      <c r="I3934" s="100"/>
      <c r="J3934" s="100"/>
      <c r="K3934" s="100"/>
      <c r="L3934" s="100"/>
      <c r="M3934" s="100"/>
      <c r="N3934" s="100"/>
      <c r="O3934" s="100"/>
      <c r="P3934" s="100"/>
      <c r="Q3934" s="100"/>
      <c r="R3934" s="100"/>
      <c r="S3934" s="100"/>
      <c r="T3934" s="100"/>
      <c r="U3934" s="100"/>
      <c r="V3934" s="100"/>
      <c r="W3934" s="100"/>
      <c r="X3934" s="100"/>
      <c r="Y3934" s="100"/>
      <c r="Z3934" s="100"/>
    </row>
    <row r="3935" spans="1:26">
      <c r="A3935" s="100"/>
      <c r="B3935" s="100"/>
      <c r="C3935" s="100"/>
      <c r="D3935" s="100"/>
      <c r="E3935" s="100"/>
      <c r="F3935" s="100"/>
      <c r="G3935" s="100"/>
      <c r="H3935" s="100"/>
      <c r="I3935" s="100"/>
      <c r="J3935" s="100"/>
      <c r="K3935" s="100"/>
      <c r="L3935" s="100"/>
      <c r="M3935" s="100"/>
      <c r="N3935" s="100"/>
      <c r="O3935" s="100"/>
      <c r="P3935" s="100"/>
      <c r="Q3935" s="100"/>
      <c r="R3935" s="100"/>
      <c r="S3935" s="100"/>
      <c r="T3935" s="100"/>
      <c r="U3935" s="100"/>
      <c r="V3935" s="100"/>
      <c r="W3935" s="100"/>
      <c r="X3935" s="100"/>
      <c r="Y3935" s="100"/>
      <c r="Z3935" s="100"/>
    </row>
    <row r="3936" spans="1:26">
      <c r="A3936" s="100"/>
      <c r="B3936" s="100"/>
      <c r="C3936" s="100"/>
      <c r="D3936" s="100"/>
      <c r="E3936" s="100"/>
      <c r="F3936" s="100"/>
      <c r="G3936" s="100"/>
      <c r="H3936" s="100"/>
      <c r="I3936" s="100"/>
      <c r="J3936" s="100"/>
      <c r="K3936" s="100"/>
      <c r="L3936" s="100"/>
      <c r="M3936" s="100"/>
      <c r="N3936" s="100"/>
      <c r="O3936" s="100"/>
      <c r="P3936" s="100"/>
      <c r="Q3936" s="100"/>
      <c r="R3936" s="100"/>
      <c r="S3936" s="100"/>
      <c r="T3936" s="100"/>
      <c r="U3936" s="100"/>
      <c r="V3936" s="100"/>
      <c r="W3936" s="100"/>
      <c r="X3936" s="100"/>
      <c r="Y3936" s="100"/>
      <c r="Z3936" s="100"/>
    </row>
    <row r="3937" spans="1:26">
      <c r="A3937" s="100"/>
      <c r="B3937" s="100"/>
      <c r="C3937" s="100"/>
      <c r="D3937" s="100"/>
      <c r="E3937" s="100"/>
      <c r="F3937" s="100"/>
      <c r="G3937" s="100"/>
      <c r="H3937" s="100"/>
      <c r="I3937" s="100"/>
      <c r="J3937" s="100"/>
      <c r="K3937" s="100"/>
      <c r="L3937" s="100"/>
      <c r="M3937" s="100"/>
      <c r="N3937" s="100"/>
      <c r="O3937" s="100"/>
      <c r="P3937" s="100"/>
      <c r="Q3937" s="100"/>
      <c r="R3937" s="100"/>
      <c r="S3937" s="100"/>
      <c r="T3937" s="100"/>
      <c r="U3937" s="100"/>
      <c r="V3937" s="100"/>
      <c r="W3937" s="100"/>
      <c r="X3937" s="100"/>
      <c r="Y3937" s="100"/>
      <c r="Z3937" s="100"/>
    </row>
    <row r="3938" spans="1:26">
      <c r="A3938" s="100"/>
      <c r="B3938" s="100"/>
      <c r="C3938" s="100"/>
      <c r="D3938" s="100"/>
      <c r="E3938" s="100"/>
      <c r="F3938" s="100"/>
      <c r="G3938" s="100"/>
      <c r="H3938" s="100"/>
      <c r="I3938" s="100"/>
      <c r="J3938" s="100"/>
      <c r="K3938" s="100"/>
      <c r="L3938" s="100"/>
      <c r="M3938" s="100"/>
      <c r="N3938" s="100"/>
      <c r="O3938" s="100"/>
      <c r="P3938" s="100"/>
      <c r="Q3938" s="100"/>
      <c r="R3938" s="100"/>
      <c r="S3938" s="100"/>
      <c r="T3938" s="100"/>
      <c r="U3938" s="100"/>
      <c r="V3938" s="100"/>
      <c r="W3938" s="100"/>
      <c r="X3938" s="100"/>
      <c r="Y3938" s="100"/>
      <c r="Z3938" s="100"/>
    </row>
    <row r="3939" spans="1:26">
      <c r="A3939" s="100"/>
      <c r="B3939" s="100"/>
      <c r="C3939" s="100"/>
      <c r="D3939" s="100"/>
      <c r="E3939" s="100"/>
      <c r="F3939" s="100"/>
      <c r="G3939" s="100"/>
      <c r="H3939" s="100"/>
      <c r="I3939" s="100"/>
      <c r="J3939" s="100"/>
      <c r="K3939" s="100"/>
      <c r="L3939" s="100"/>
      <c r="M3939" s="100"/>
      <c r="N3939" s="100"/>
      <c r="O3939" s="100"/>
      <c r="P3939" s="100"/>
      <c r="Q3939" s="100"/>
      <c r="R3939" s="100"/>
      <c r="S3939" s="100"/>
      <c r="T3939" s="100"/>
      <c r="U3939" s="100"/>
      <c r="V3939" s="100"/>
      <c r="W3939" s="100"/>
      <c r="X3939" s="100"/>
      <c r="Y3939" s="100"/>
      <c r="Z3939" s="100"/>
    </row>
    <row r="3940" spans="1:26">
      <c r="A3940" s="100"/>
      <c r="B3940" s="100"/>
      <c r="C3940" s="100"/>
      <c r="D3940" s="100"/>
      <c r="E3940" s="100"/>
      <c r="F3940" s="100"/>
      <c r="G3940" s="100"/>
      <c r="H3940" s="100"/>
      <c r="I3940" s="100"/>
      <c r="J3940" s="100"/>
      <c r="K3940" s="100"/>
      <c r="L3940" s="100"/>
      <c r="M3940" s="100"/>
      <c r="N3940" s="100"/>
      <c r="O3940" s="100"/>
      <c r="P3940" s="100"/>
      <c r="Q3940" s="100"/>
      <c r="R3940" s="100"/>
      <c r="S3940" s="100"/>
      <c r="T3940" s="100"/>
      <c r="U3940" s="100"/>
      <c r="V3940" s="100"/>
      <c r="W3940" s="100"/>
      <c r="X3940" s="100"/>
      <c r="Y3940" s="100"/>
      <c r="Z3940" s="100"/>
    </row>
    <row r="3941" spans="1:26">
      <c r="A3941" s="100"/>
      <c r="B3941" s="100"/>
      <c r="C3941" s="100"/>
      <c r="D3941" s="100"/>
      <c r="E3941" s="100"/>
      <c r="F3941" s="100"/>
      <c r="G3941" s="100"/>
      <c r="H3941" s="100"/>
      <c r="I3941" s="100"/>
      <c r="J3941" s="100"/>
      <c r="K3941" s="100"/>
      <c r="L3941" s="100"/>
      <c r="M3941" s="100"/>
      <c r="N3941" s="100"/>
      <c r="O3941" s="100"/>
      <c r="P3941" s="100"/>
      <c r="Q3941" s="100"/>
      <c r="R3941" s="100"/>
      <c r="S3941" s="100"/>
      <c r="T3941" s="100"/>
      <c r="U3941" s="100"/>
      <c r="V3941" s="100"/>
      <c r="W3941" s="100"/>
      <c r="X3941" s="100"/>
      <c r="Y3941" s="100"/>
      <c r="Z3941" s="100"/>
    </row>
    <row r="3942" spans="1:26">
      <c r="A3942" s="100"/>
      <c r="B3942" s="100"/>
      <c r="C3942" s="100"/>
      <c r="D3942" s="100"/>
      <c r="E3942" s="100"/>
      <c r="F3942" s="100"/>
      <c r="G3942" s="100"/>
      <c r="H3942" s="100"/>
      <c r="I3942" s="100"/>
      <c r="J3942" s="100"/>
      <c r="K3942" s="100"/>
      <c r="L3942" s="100"/>
      <c r="M3942" s="100"/>
      <c r="N3942" s="100"/>
      <c r="O3942" s="100"/>
      <c r="P3942" s="100"/>
      <c r="Q3942" s="100"/>
      <c r="R3942" s="100"/>
      <c r="S3942" s="100"/>
      <c r="T3942" s="100"/>
      <c r="U3942" s="100"/>
      <c r="V3942" s="100"/>
      <c r="W3942" s="100"/>
      <c r="X3942" s="100"/>
      <c r="Y3942" s="100"/>
      <c r="Z3942" s="100"/>
    </row>
    <row r="3943" spans="1:26">
      <c r="A3943" s="100"/>
      <c r="B3943" s="100"/>
      <c r="C3943" s="100"/>
      <c r="D3943" s="100"/>
      <c r="E3943" s="100"/>
      <c r="F3943" s="100"/>
      <c r="G3943" s="100"/>
      <c r="H3943" s="100"/>
      <c r="I3943" s="100"/>
      <c r="J3943" s="100"/>
      <c r="K3943" s="100"/>
      <c r="L3943" s="100"/>
      <c r="M3943" s="100"/>
      <c r="N3943" s="100"/>
      <c r="O3943" s="100"/>
      <c r="P3943" s="100"/>
      <c r="Q3943" s="100"/>
      <c r="R3943" s="100"/>
      <c r="S3943" s="100"/>
      <c r="T3943" s="100"/>
      <c r="U3943" s="100"/>
      <c r="V3943" s="100"/>
      <c r="W3943" s="100"/>
      <c r="X3943" s="100"/>
      <c r="Y3943" s="100"/>
      <c r="Z3943" s="100"/>
    </row>
    <row r="3944" spans="1:26">
      <c r="A3944" s="100"/>
      <c r="B3944" s="100"/>
      <c r="C3944" s="100"/>
      <c r="D3944" s="100"/>
      <c r="E3944" s="100"/>
      <c r="F3944" s="100"/>
      <c r="G3944" s="100"/>
      <c r="H3944" s="100"/>
      <c r="I3944" s="100"/>
      <c r="J3944" s="100"/>
      <c r="K3944" s="100"/>
      <c r="L3944" s="100"/>
      <c r="M3944" s="100"/>
      <c r="N3944" s="100"/>
      <c r="O3944" s="100"/>
      <c r="P3944" s="100"/>
      <c r="Q3944" s="100"/>
      <c r="R3944" s="100"/>
      <c r="S3944" s="100"/>
      <c r="T3944" s="100"/>
      <c r="U3944" s="100"/>
      <c r="V3944" s="100"/>
      <c r="W3944" s="100"/>
      <c r="X3944" s="100"/>
      <c r="Y3944" s="100"/>
      <c r="Z3944" s="100"/>
    </row>
    <row r="3945" spans="1:26">
      <c r="A3945" s="100"/>
      <c r="B3945" s="100"/>
      <c r="C3945" s="100"/>
      <c r="D3945" s="100"/>
      <c r="E3945" s="100"/>
      <c r="F3945" s="100"/>
      <c r="G3945" s="100"/>
      <c r="H3945" s="100"/>
      <c r="I3945" s="100"/>
      <c r="J3945" s="100"/>
      <c r="K3945" s="100"/>
      <c r="L3945" s="100"/>
      <c r="M3945" s="100"/>
      <c r="N3945" s="100"/>
      <c r="O3945" s="100"/>
      <c r="P3945" s="100"/>
      <c r="Q3945" s="100"/>
      <c r="R3945" s="100"/>
      <c r="S3945" s="100"/>
      <c r="T3945" s="100"/>
      <c r="U3945" s="100"/>
      <c r="V3945" s="100"/>
      <c r="W3945" s="100"/>
      <c r="X3945" s="100"/>
      <c r="Y3945" s="100"/>
      <c r="Z3945" s="100"/>
    </row>
    <row r="3946" spans="1:26">
      <c r="A3946" s="100"/>
      <c r="B3946" s="100"/>
      <c r="C3946" s="100"/>
      <c r="D3946" s="100"/>
      <c r="E3946" s="100"/>
      <c r="F3946" s="100"/>
      <c r="G3946" s="100"/>
      <c r="H3946" s="100"/>
      <c r="I3946" s="100"/>
      <c r="J3946" s="100"/>
      <c r="K3946" s="100"/>
      <c r="L3946" s="100"/>
      <c r="M3946" s="100"/>
      <c r="N3946" s="100"/>
      <c r="O3946" s="100"/>
      <c r="P3946" s="100"/>
      <c r="Q3946" s="100"/>
      <c r="R3946" s="100"/>
      <c r="S3946" s="100"/>
      <c r="T3946" s="100"/>
      <c r="U3946" s="100"/>
      <c r="V3946" s="100"/>
      <c r="W3946" s="100"/>
      <c r="X3946" s="100"/>
      <c r="Y3946" s="100"/>
      <c r="Z3946" s="100"/>
    </row>
    <row r="3947" spans="1:26">
      <c r="A3947" s="100"/>
      <c r="B3947" s="100"/>
      <c r="C3947" s="100"/>
      <c r="D3947" s="100"/>
      <c r="E3947" s="100"/>
      <c r="F3947" s="100"/>
      <c r="G3947" s="100"/>
      <c r="H3947" s="100"/>
      <c r="I3947" s="100"/>
      <c r="J3947" s="100"/>
      <c r="K3947" s="100"/>
      <c r="L3947" s="100"/>
      <c r="M3947" s="100"/>
      <c r="N3947" s="100"/>
      <c r="O3947" s="100"/>
      <c r="P3947" s="100"/>
      <c r="Q3947" s="100"/>
      <c r="R3947" s="100"/>
      <c r="S3947" s="100"/>
      <c r="T3947" s="100"/>
      <c r="U3947" s="100"/>
      <c r="V3947" s="100"/>
      <c r="W3947" s="100"/>
      <c r="X3947" s="100"/>
      <c r="Y3947" s="100"/>
      <c r="Z3947" s="100"/>
    </row>
    <row r="3948" spans="1:26">
      <c r="A3948" s="100"/>
      <c r="B3948" s="100"/>
      <c r="C3948" s="100"/>
      <c r="D3948" s="100"/>
      <c r="E3948" s="100"/>
      <c r="F3948" s="100"/>
      <c r="G3948" s="100"/>
      <c r="H3948" s="100"/>
      <c r="I3948" s="100"/>
      <c r="J3948" s="100"/>
      <c r="K3948" s="100"/>
      <c r="L3948" s="100"/>
      <c r="M3948" s="100"/>
      <c r="N3948" s="100"/>
      <c r="O3948" s="100"/>
      <c r="P3948" s="100"/>
      <c r="Q3948" s="100"/>
      <c r="R3948" s="100"/>
      <c r="S3948" s="100"/>
      <c r="T3948" s="100"/>
      <c r="U3948" s="100"/>
      <c r="V3948" s="100"/>
      <c r="W3948" s="100"/>
      <c r="X3948" s="100"/>
      <c r="Y3948" s="100"/>
      <c r="Z3948" s="100"/>
    </row>
    <row r="3949" spans="1:26">
      <c r="A3949" s="100"/>
      <c r="B3949" s="100"/>
      <c r="C3949" s="100"/>
      <c r="D3949" s="100"/>
      <c r="E3949" s="100"/>
      <c r="F3949" s="100"/>
      <c r="G3949" s="100"/>
      <c r="H3949" s="100"/>
      <c r="I3949" s="100"/>
      <c r="J3949" s="100"/>
      <c r="K3949" s="100"/>
      <c r="L3949" s="100"/>
      <c r="M3949" s="100"/>
      <c r="N3949" s="100"/>
      <c r="O3949" s="100"/>
      <c r="P3949" s="100"/>
      <c r="Q3949" s="100"/>
      <c r="R3949" s="100"/>
      <c r="S3949" s="100"/>
      <c r="T3949" s="100"/>
      <c r="U3949" s="100"/>
      <c r="V3949" s="100"/>
      <c r="W3949" s="100"/>
      <c r="X3949" s="100"/>
      <c r="Y3949" s="100"/>
      <c r="Z3949" s="100"/>
    </row>
    <row r="3950" spans="1:26">
      <c r="A3950" s="100"/>
      <c r="B3950" s="100"/>
      <c r="C3950" s="100"/>
      <c r="D3950" s="100"/>
      <c r="E3950" s="100"/>
      <c r="F3950" s="100"/>
      <c r="G3950" s="100"/>
      <c r="H3950" s="100"/>
      <c r="I3950" s="100"/>
      <c r="J3950" s="100"/>
      <c r="K3950" s="100"/>
      <c r="L3950" s="100"/>
      <c r="M3950" s="100"/>
      <c r="N3950" s="100"/>
      <c r="O3950" s="100"/>
      <c r="P3950" s="100"/>
      <c r="Q3950" s="100"/>
      <c r="R3950" s="100"/>
      <c r="S3950" s="100"/>
      <c r="T3950" s="100"/>
      <c r="U3950" s="100"/>
      <c r="V3950" s="100"/>
      <c r="W3950" s="100"/>
      <c r="X3950" s="100"/>
      <c r="Y3950" s="100"/>
      <c r="Z3950" s="100"/>
    </row>
    <row r="3951" spans="1:26">
      <c r="A3951" s="100"/>
      <c r="B3951" s="100"/>
      <c r="C3951" s="100"/>
      <c r="D3951" s="100"/>
      <c r="E3951" s="100"/>
      <c r="F3951" s="100"/>
      <c r="G3951" s="100"/>
      <c r="H3951" s="100"/>
      <c r="I3951" s="100"/>
      <c r="J3951" s="100"/>
      <c r="K3951" s="100"/>
      <c r="L3951" s="100"/>
      <c r="M3951" s="100"/>
      <c r="N3951" s="100"/>
      <c r="O3951" s="100"/>
      <c r="P3951" s="100"/>
      <c r="Q3951" s="100"/>
      <c r="R3951" s="100"/>
      <c r="S3951" s="100"/>
      <c r="T3951" s="100"/>
      <c r="U3951" s="100"/>
      <c r="V3951" s="100"/>
      <c r="W3951" s="100"/>
      <c r="X3951" s="100"/>
      <c r="Y3951" s="100"/>
      <c r="Z3951" s="100"/>
    </row>
    <row r="3952" spans="1:26">
      <c r="A3952" s="100"/>
      <c r="B3952" s="100"/>
      <c r="C3952" s="100"/>
      <c r="D3952" s="100"/>
      <c r="E3952" s="100"/>
      <c r="F3952" s="100"/>
      <c r="G3952" s="100"/>
      <c r="H3952" s="100"/>
      <c r="I3952" s="100"/>
      <c r="J3952" s="100"/>
      <c r="K3952" s="100"/>
      <c r="L3952" s="100"/>
      <c r="M3952" s="100"/>
      <c r="N3952" s="100"/>
      <c r="O3952" s="100"/>
      <c r="P3952" s="100"/>
      <c r="Q3952" s="100"/>
      <c r="R3952" s="100"/>
      <c r="S3952" s="100"/>
      <c r="T3952" s="100"/>
      <c r="U3952" s="100"/>
      <c r="V3952" s="100"/>
      <c r="W3952" s="100"/>
      <c r="X3952" s="100"/>
      <c r="Y3952" s="100"/>
      <c r="Z3952" s="100"/>
    </row>
    <row r="3953" spans="1:26">
      <c r="A3953" s="100"/>
      <c r="B3953" s="100"/>
      <c r="C3953" s="100"/>
      <c r="D3953" s="100"/>
      <c r="E3953" s="100"/>
      <c r="F3953" s="100"/>
      <c r="G3953" s="100"/>
      <c r="H3953" s="100"/>
      <c r="I3953" s="100"/>
      <c r="J3953" s="100"/>
      <c r="K3953" s="100"/>
      <c r="L3953" s="100"/>
      <c r="M3953" s="100"/>
      <c r="N3953" s="100"/>
      <c r="O3953" s="100"/>
      <c r="P3953" s="100"/>
      <c r="Q3953" s="100"/>
      <c r="R3953" s="100"/>
      <c r="S3953" s="100"/>
      <c r="T3953" s="100"/>
      <c r="U3953" s="100"/>
      <c r="V3953" s="100"/>
      <c r="W3953" s="100"/>
      <c r="X3953" s="100"/>
      <c r="Y3953" s="100"/>
      <c r="Z3953" s="100"/>
    </row>
    <row r="3954" spans="1:26">
      <c r="A3954" s="100"/>
      <c r="B3954" s="100"/>
      <c r="C3954" s="100"/>
      <c r="D3954" s="100"/>
      <c r="E3954" s="100"/>
      <c r="F3954" s="100"/>
      <c r="G3954" s="100"/>
      <c r="H3954" s="100"/>
      <c r="I3954" s="100"/>
      <c r="J3954" s="100"/>
      <c r="K3954" s="100"/>
      <c r="L3954" s="100"/>
      <c r="M3954" s="100"/>
      <c r="N3954" s="100"/>
      <c r="O3954" s="100"/>
      <c r="P3954" s="100"/>
      <c r="Q3954" s="100"/>
      <c r="R3954" s="100"/>
      <c r="S3954" s="100"/>
      <c r="T3954" s="100"/>
      <c r="U3954" s="100"/>
      <c r="V3954" s="100"/>
      <c r="W3954" s="100"/>
      <c r="X3954" s="100"/>
      <c r="Y3954" s="100"/>
      <c r="Z3954" s="100"/>
    </row>
    <row r="3955" spans="1:26">
      <c r="A3955" s="100"/>
      <c r="B3955" s="100"/>
      <c r="C3955" s="100"/>
      <c r="D3955" s="100"/>
      <c r="E3955" s="100"/>
      <c r="F3955" s="100"/>
      <c r="G3955" s="100"/>
      <c r="H3955" s="100"/>
      <c r="I3955" s="100"/>
      <c r="J3955" s="100"/>
      <c r="K3955" s="100"/>
      <c r="L3955" s="100"/>
      <c r="M3955" s="100"/>
      <c r="N3955" s="100"/>
      <c r="O3955" s="100"/>
      <c r="P3955" s="100"/>
      <c r="Q3955" s="100"/>
      <c r="R3955" s="100"/>
      <c r="S3955" s="100"/>
      <c r="T3955" s="100"/>
      <c r="U3955" s="100"/>
      <c r="V3955" s="100"/>
      <c r="W3955" s="100"/>
      <c r="X3955" s="100"/>
      <c r="Y3955" s="100"/>
      <c r="Z3955" s="100"/>
    </row>
    <row r="3956" spans="1:26">
      <c r="A3956" s="100"/>
      <c r="B3956" s="100"/>
      <c r="C3956" s="100"/>
      <c r="D3956" s="100"/>
      <c r="E3956" s="100"/>
      <c r="F3956" s="100"/>
      <c r="G3956" s="100"/>
      <c r="H3956" s="100"/>
      <c r="I3956" s="100"/>
      <c r="J3956" s="100"/>
      <c r="K3956" s="100"/>
      <c r="L3956" s="100"/>
      <c r="M3956" s="100"/>
      <c r="N3956" s="100"/>
      <c r="O3956" s="100"/>
      <c r="P3956" s="100"/>
      <c r="Q3956" s="100"/>
      <c r="R3956" s="100"/>
      <c r="S3956" s="100"/>
      <c r="T3956" s="100"/>
      <c r="U3956" s="100"/>
      <c r="V3956" s="100"/>
      <c r="W3956" s="100"/>
      <c r="X3956" s="100"/>
      <c r="Y3956" s="100"/>
      <c r="Z3956" s="100"/>
    </row>
    <row r="3957" spans="1:26">
      <c r="A3957" s="100"/>
      <c r="B3957" s="100"/>
      <c r="C3957" s="100"/>
      <c r="D3957" s="100"/>
      <c r="E3957" s="100"/>
      <c r="F3957" s="100"/>
      <c r="G3957" s="100"/>
      <c r="H3957" s="100"/>
      <c r="I3957" s="100"/>
      <c r="J3957" s="100"/>
      <c r="K3957" s="100"/>
      <c r="L3957" s="100"/>
      <c r="M3957" s="100"/>
      <c r="N3957" s="100"/>
      <c r="O3957" s="100"/>
      <c r="P3957" s="100"/>
      <c r="Q3957" s="100"/>
      <c r="R3957" s="100"/>
      <c r="S3957" s="100"/>
      <c r="T3957" s="100"/>
      <c r="U3957" s="100"/>
      <c r="V3957" s="100"/>
      <c r="W3957" s="100"/>
      <c r="X3957" s="100"/>
      <c r="Y3957" s="100"/>
      <c r="Z3957" s="100"/>
    </row>
    <row r="3958" spans="1:26">
      <c r="A3958" s="100"/>
      <c r="B3958" s="100"/>
      <c r="C3958" s="100"/>
      <c r="D3958" s="100"/>
      <c r="E3958" s="100"/>
      <c r="F3958" s="100"/>
      <c r="G3958" s="100"/>
      <c r="H3958" s="100"/>
      <c r="I3958" s="100"/>
      <c r="J3958" s="100"/>
      <c r="K3958" s="100"/>
      <c r="L3958" s="100"/>
      <c r="M3958" s="100"/>
      <c r="N3958" s="100"/>
      <c r="O3958" s="100"/>
      <c r="P3958" s="100"/>
      <c r="Q3958" s="100"/>
      <c r="R3958" s="100"/>
      <c r="S3958" s="100"/>
      <c r="T3958" s="100"/>
      <c r="U3958" s="100"/>
      <c r="V3958" s="100"/>
      <c r="W3958" s="100"/>
      <c r="X3958" s="100"/>
      <c r="Y3958" s="100"/>
      <c r="Z3958" s="100"/>
    </row>
    <row r="3959" spans="1:26">
      <c r="A3959" s="100"/>
      <c r="B3959" s="100"/>
      <c r="C3959" s="100"/>
      <c r="D3959" s="100"/>
      <c r="E3959" s="100"/>
      <c r="F3959" s="100"/>
      <c r="G3959" s="100"/>
      <c r="H3959" s="100"/>
      <c r="I3959" s="100"/>
      <c r="J3959" s="100"/>
      <c r="K3959" s="100"/>
      <c r="L3959" s="100"/>
      <c r="M3959" s="100"/>
      <c r="N3959" s="100"/>
      <c r="O3959" s="100"/>
      <c r="P3959" s="100"/>
      <c r="Q3959" s="100"/>
      <c r="R3959" s="100"/>
      <c r="S3959" s="100"/>
      <c r="T3959" s="100"/>
      <c r="U3959" s="100"/>
      <c r="V3959" s="100"/>
      <c r="W3959" s="100"/>
      <c r="X3959" s="100"/>
      <c r="Y3959" s="100"/>
      <c r="Z3959" s="100"/>
    </row>
    <row r="3960" spans="1:26">
      <c r="A3960" s="100"/>
      <c r="B3960" s="100"/>
      <c r="C3960" s="100"/>
      <c r="D3960" s="100"/>
      <c r="E3960" s="100"/>
      <c r="F3960" s="100"/>
      <c r="G3960" s="100"/>
      <c r="H3960" s="100"/>
      <c r="I3960" s="100"/>
      <c r="J3960" s="100"/>
      <c r="K3960" s="100"/>
      <c r="L3960" s="100"/>
      <c r="M3960" s="100"/>
      <c r="N3960" s="100"/>
      <c r="O3960" s="100"/>
      <c r="P3960" s="100"/>
      <c r="Q3960" s="100"/>
      <c r="R3960" s="100"/>
      <c r="S3960" s="100"/>
      <c r="T3960" s="100"/>
      <c r="U3960" s="100"/>
      <c r="V3960" s="100"/>
      <c r="W3960" s="100"/>
      <c r="X3960" s="100"/>
      <c r="Y3960" s="100"/>
      <c r="Z3960" s="100"/>
    </row>
    <row r="3961" spans="1:26">
      <c r="A3961" s="100"/>
      <c r="B3961" s="100"/>
      <c r="C3961" s="100"/>
      <c r="D3961" s="100"/>
      <c r="E3961" s="100"/>
      <c r="F3961" s="100"/>
      <c r="G3961" s="100"/>
      <c r="H3961" s="100"/>
      <c r="I3961" s="100"/>
      <c r="J3961" s="100"/>
      <c r="K3961" s="100"/>
      <c r="L3961" s="100"/>
      <c r="M3961" s="100"/>
      <c r="N3961" s="100"/>
      <c r="O3961" s="100"/>
      <c r="P3961" s="100"/>
      <c r="Q3961" s="100"/>
      <c r="R3961" s="100"/>
      <c r="S3961" s="100"/>
      <c r="T3961" s="100"/>
      <c r="U3961" s="100"/>
      <c r="V3961" s="100"/>
      <c r="W3961" s="100"/>
      <c r="X3961" s="100"/>
      <c r="Y3961" s="100"/>
      <c r="Z3961" s="100"/>
    </row>
    <row r="3962" spans="1:26">
      <c r="A3962" s="100"/>
      <c r="B3962" s="100"/>
      <c r="C3962" s="100"/>
      <c r="D3962" s="100"/>
      <c r="E3962" s="100"/>
      <c r="F3962" s="100"/>
      <c r="G3962" s="100"/>
      <c r="H3962" s="100"/>
      <c r="I3962" s="100"/>
      <c r="J3962" s="100"/>
      <c r="K3962" s="100"/>
      <c r="L3962" s="100"/>
      <c r="M3962" s="100"/>
      <c r="N3962" s="100"/>
      <c r="O3962" s="100"/>
      <c r="P3962" s="100"/>
      <c r="Q3962" s="100"/>
      <c r="R3962" s="100"/>
      <c r="S3962" s="100"/>
      <c r="T3962" s="100"/>
      <c r="U3962" s="100"/>
      <c r="V3962" s="100"/>
      <c r="W3962" s="100"/>
      <c r="X3962" s="100"/>
      <c r="Y3962" s="100"/>
      <c r="Z3962" s="100"/>
    </row>
    <row r="3963" spans="1:26">
      <c r="A3963" s="100"/>
      <c r="B3963" s="100"/>
      <c r="C3963" s="100"/>
      <c r="D3963" s="100"/>
      <c r="E3963" s="100"/>
      <c r="F3963" s="100"/>
      <c r="G3963" s="100"/>
      <c r="H3963" s="100"/>
      <c r="I3963" s="100"/>
      <c r="J3963" s="100"/>
      <c r="K3963" s="100"/>
      <c r="L3963" s="100"/>
      <c r="M3963" s="100"/>
      <c r="N3963" s="100"/>
      <c r="O3963" s="100"/>
      <c r="P3963" s="100"/>
      <c r="Q3963" s="100"/>
      <c r="R3963" s="100"/>
      <c r="S3963" s="100"/>
      <c r="T3963" s="100"/>
      <c r="U3963" s="100"/>
      <c r="V3963" s="100"/>
      <c r="W3963" s="100"/>
      <c r="X3963" s="100"/>
      <c r="Y3963" s="100"/>
      <c r="Z3963" s="100"/>
    </row>
    <row r="3964" spans="1:26">
      <c r="A3964" s="100"/>
      <c r="B3964" s="100"/>
      <c r="C3964" s="100"/>
      <c r="D3964" s="100"/>
      <c r="E3964" s="100"/>
      <c r="F3964" s="100"/>
      <c r="G3964" s="100"/>
      <c r="H3964" s="100"/>
      <c r="I3964" s="100"/>
      <c r="J3964" s="100"/>
      <c r="K3964" s="100"/>
      <c r="L3964" s="100"/>
      <c r="M3964" s="100"/>
      <c r="N3964" s="100"/>
      <c r="O3964" s="100"/>
      <c r="P3964" s="100"/>
      <c r="Q3964" s="100"/>
      <c r="R3964" s="100"/>
      <c r="S3964" s="100"/>
      <c r="T3964" s="100"/>
      <c r="U3964" s="100"/>
      <c r="V3964" s="100"/>
      <c r="W3964" s="100"/>
      <c r="X3964" s="100"/>
      <c r="Y3964" s="100"/>
      <c r="Z3964" s="100"/>
    </row>
    <row r="3965" spans="1:26">
      <c r="A3965" s="100"/>
      <c r="B3965" s="100"/>
      <c r="C3965" s="100"/>
      <c r="D3965" s="100"/>
      <c r="E3965" s="100"/>
      <c r="F3965" s="100"/>
      <c r="G3965" s="100"/>
      <c r="H3965" s="100"/>
      <c r="I3965" s="100"/>
      <c r="J3965" s="100"/>
      <c r="K3965" s="100"/>
      <c r="L3965" s="100"/>
      <c r="M3965" s="100"/>
      <c r="N3965" s="100"/>
      <c r="O3965" s="100"/>
      <c r="P3965" s="100"/>
      <c r="Q3965" s="100"/>
      <c r="R3965" s="100"/>
      <c r="S3965" s="100"/>
      <c r="T3965" s="100"/>
      <c r="U3965" s="100"/>
      <c r="V3965" s="100"/>
      <c r="W3965" s="100"/>
      <c r="X3965" s="100"/>
      <c r="Y3965" s="100"/>
      <c r="Z3965" s="100"/>
    </row>
    <row r="3966" spans="1:26">
      <c r="A3966" s="100"/>
      <c r="B3966" s="100"/>
      <c r="C3966" s="100"/>
      <c r="D3966" s="100"/>
      <c r="E3966" s="100"/>
      <c r="F3966" s="100"/>
      <c r="G3966" s="100"/>
      <c r="H3966" s="100"/>
      <c r="I3966" s="100"/>
      <c r="J3966" s="100"/>
      <c r="K3966" s="100"/>
      <c r="L3966" s="100"/>
      <c r="M3966" s="100"/>
      <c r="N3966" s="100"/>
      <c r="O3966" s="100"/>
      <c r="P3966" s="100"/>
      <c r="Q3966" s="100"/>
      <c r="R3966" s="100"/>
      <c r="S3966" s="100"/>
      <c r="T3966" s="100"/>
      <c r="U3966" s="100"/>
      <c r="V3966" s="100"/>
      <c r="W3966" s="100"/>
      <c r="X3966" s="100"/>
      <c r="Y3966" s="100"/>
      <c r="Z3966" s="100"/>
    </row>
    <row r="3967" spans="1:26">
      <c r="A3967" s="100"/>
      <c r="B3967" s="100"/>
      <c r="C3967" s="100"/>
      <c r="D3967" s="100"/>
      <c r="E3967" s="100"/>
      <c r="F3967" s="100"/>
      <c r="G3967" s="100"/>
      <c r="H3967" s="100"/>
      <c r="I3967" s="100"/>
      <c r="J3967" s="100"/>
      <c r="K3967" s="100"/>
      <c r="L3967" s="100"/>
      <c r="M3967" s="100"/>
      <c r="N3967" s="100"/>
      <c r="O3967" s="100"/>
      <c r="P3967" s="100"/>
      <c r="Q3967" s="100"/>
      <c r="R3967" s="100"/>
      <c r="S3967" s="100"/>
      <c r="T3967" s="100"/>
      <c r="U3967" s="100"/>
      <c r="V3967" s="100"/>
      <c r="W3967" s="100"/>
      <c r="X3967" s="100"/>
      <c r="Y3967" s="100"/>
      <c r="Z3967" s="100"/>
    </row>
    <row r="3968" spans="1:26">
      <c r="A3968" s="100"/>
      <c r="B3968" s="100"/>
      <c r="C3968" s="100"/>
      <c r="D3968" s="100"/>
      <c r="E3968" s="100"/>
      <c r="F3968" s="100"/>
      <c r="G3968" s="100"/>
      <c r="H3968" s="100"/>
      <c r="I3968" s="100"/>
      <c r="J3968" s="100"/>
      <c r="K3968" s="100"/>
      <c r="L3968" s="100"/>
      <c r="M3968" s="100"/>
      <c r="N3968" s="100"/>
      <c r="O3968" s="100"/>
      <c r="P3968" s="100"/>
      <c r="Q3968" s="100"/>
      <c r="R3968" s="100"/>
      <c r="S3968" s="100"/>
      <c r="T3968" s="100"/>
      <c r="U3968" s="100"/>
      <c r="V3968" s="100"/>
      <c r="W3968" s="100"/>
      <c r="X3968" s="100"/>
      <c r="Y3968" s="100"/>
      <c r="Z3968" s="100"/>
    </row>
    <row r="3969" spans="1:26">
      <c r="A3969" s="100"/>
      <c r="B3969" s="100"/>
      <c r="C3969" s="100"/>
      <c r="D3969" s="100"/>
      <c r="E3969" s="100"/>
      <c r="F3969" s="100"/>
      <c r="G3969" s="100"/>
      <c r="H3969" s="100"/>
      <c r="I3969" s="100"/>
      <c r="J3969" s="100"/>
      <c r="K3969" s="100"/>
      <c r="L3969" s="100"/>
      <c r="M3969" s="100"/>
      <c r="N3969" s="100"/>
      <c r="O3969" s="100"/>
      <c r="P3969" s="100"/>
      <c r="Q3969" s="100"/>
      <c r="R3969" s="100"/>
      <c r="S3969" s="100"/>
      <c r="T3969" s="100"/>
      <c r="U3969" s="100"/>
      <c r="V3969" s="100"/>
      <c r="W3969" s="100"/>
      <c r="X3969" s="100"/>
      <c r="Y3969" s="100"/>
      <c r="Z3969" s="100"/>
    </row>
    <row r="3970" spans="1:26">
      <c r="A3970" s="100"/>
      <c r="B3970" s="100"/>
      <c r="C3970" s="100"/>
      <c r="D3970" s="100"/>
      <c r="E3970" s="100"/>
      <c r="F3970" s="100"/>
      <c r="G3970" s="100"/>
      <c r="H3970" s="100"/>
      <c r="I3970" s="100"/>
      <c r="J3970" s="100"/>
      <c r="K3970" s="100"/>
      <c r="L3970" s="100"/>
      <c r="M3970" s="100"/>
      <c r="N3970" s="100"/>
      <c r="O3970" s="100"/>
      <c r="P3970" s="100"/>
      <c r="Q3970" s="100"/>
      <c r="R3970" s="100"/>
      <c r="S3970" s="100"/>
      <c r="T3970" s="100"/>
      <c r="U3970" s="100"/>
      <c r="V3970" s="100"/>
      <c r="W3970" s="100"/>
      <c r="X3970" s="100"/>
      <c r="Y3970" s="100"/>
      <c r="Z3970" s="100"/>
    </row>
    <row r="3971" spans="1:26">
      <c r="A3971" s="100"/>
      <c r="B3971" s="100"/>
      <c r="C3971" s="100"/>
      <c r="D3971" s="100"/>
      <c r="E3971" s="100"/>
      <c r="F3971" s="100"/>
      <c r="G3971" s="100"/>
      <c r="H3971" s="100"/>
      <c r="I3971" s="100"/>
      <c r="J3971" s="100"/>
      <c r="K3971" s="100"/>
      <c r="L3971" s="100"/>
      <c r="M3971" s="100"/>
      <c r="N3971" s="100"/>
      <c r="O3971" s="100"/>
      <c r="P3971" s="100"/>
      <c r="Q3971" s="100"/>
      <c r="R3971" s="100"/>
      <c r="S3971" s="100"/>
      <c r="T3971" s="100"/>
      <c r="U3971" s="100"/>
      <c r="V3971" s="100"/>
      <c r="W3971" s="100"/>
      <c r="X3971" s="100"/>
      <c r="Y3971" s="100"/>
      <c r="Z3971" s="100"/>
    </row>
    <row r="3972" spans="1:26">
      <c r="A3972" s="100"/>
      <c r="B3972" s="100"/>
      <c r="C3972" s="100"/>
      <c r="D3972" s="100"/>
      <c r="E3972" s="100"/>
      <c r="F3972" s="100"/>
      <c r="G3972" s="100"/>
      <c r="H3972" s="100"/>
      <c r="I3972" s="100"/>
      <c r="J3972" s="100"/>
      <c r="K3972" s="100"/>
      <c r="L3972" s="100"/>
      <c r="M3972" s="100"/>
      <c r="N3972" s="100"/>
      <c r="O3972" s="100"/>
      <c r="P3972" s="100"/>
      <c r="Q3972" s="100"/>
      <c r="R3972" s="100"/>
      <c r="S3972" s="100"/>
      <c r="T3972" s="100"/>
      <c r="U3972" s="100"/>
      <c r="V3972" s="100"/>
      <c r="W3972" s="100"/>
      <c r="X3972" s="100"/>
      <c r="Y3972" s="100"/>
      <c r="Z3972" s="100"/>
    </row>
    <row r="3973" spans="1:26">
      <c r="A3973" s="100"/>
      <c r="B3973" s="100"/>
      <c r="C3973" s="100"/>
      <c r="D3973" s="100"/>
      <c r="E3973" s="100"/>
      <c r="F3973" s="100"/>
      <c r="G3973" s="100"/>
      <c r="H3973" s="100"/>
      <c r="I3973" s="100"/>
      <c r="J3973" s="100"/>
      <c r="K3973" s="100"/>
      <c r="L3973" s="100"/>
      <c r="M3973" s="100"/>
      <c r="N3973" s="100"/>
      <c r="O3973" s="100"/>
      <c r="P3973" s="100"/>
      <c r="Q3973" s="100"/>
      <c r="R3973" s="100"/>
      <c r="S3973" s="100"/>
      <c r="T3973" s="100"/>
      <c r="U3973" s="100"/>
      <c r="V3973" s="100"/>
      <c r="W3973" s="100"/>
      <c r="X3973" s="100"/>
      <c r="Y3973" s="100"/>
      <c r="Z3973" s="100"/>
    </row>
    <row r="3974" spans="1:26">
      <c r="A3974" s="100"/>
      <c r="B3974" s="100"/>
      <c r="C3974" s="100"/>
      <c r="D3974" s="100"/>
      <c r="E3974" s="100"/>
      <c r="F3974" s="100"/>
      <c r="G3974" s="100"/>
      <c r="H3974" s="100"/>
      <c r="I3974" s="100"/>
      <c r="J3974" s="100"/>
      <c r="K3974" s="100"/>
      <c r="L3974" s="100"/>
      <c r="M3974" s="100"/>
      <c r="N3974" s="100"/>
      <c r="O3974" s="100"/>
      <c r="P3974" s="100"/>
      <c r="Q3974" s="100"/>
      <c r="R3974" s="100"/>
      <c r="S3974" s="100"/>
      <c r="T3974" s="100"/>
      <c r="U3974" s="100"/>
      <c r="V3974" s="100"/>
      <c r="W3974" s="100"/>
      <c r="X3974" s="100"/>
      <c r="Y3974" s="100"/>
      <c r="Z3974" s="100"/>
    </row>
    <row r="3975" spans="1:26">
      <c r="A3975" s="100"/>
      <c r="B3975" s="100"/>
      <c r="C3975" s="100"/>
      <c r="D3975" s="100"/>
      <c r="E3975" s="100"/>
      <c r="F3975" s="100"/>
      <c r="G3975" s="100"/>
      <c r="H3975" s="100"/>
      <c r="I3975" s="100"/>
      <c r="J3975" s="100"/>
      <c r="K3975" s="100"/>
      <c r="L3975" s="100"/>
      <c r="M3975" s="100"/>
      <c r="N3975" s="100"/>
      <c r="O3975" s="100"/>
      <c r="P3975" s="100"/>
      <c r="Q3975" s="100"/>
      <c r="R3975" s="100"/>
      <c r="S3975" s="100"/>
      <c r="T3975" s="100"/>
      <c r="U3975" s="100"/>
      <c r="V3975" s="100"/>
      <c r="W3975" s="100"/>
      <c r="X3975" s="100"/>
      <c r="Y3975" s="100"/>
      <c r="Z3975" s="100"/>
    </row>
    <row r="3976" spans="1:26">
      <c r="A3976" s="100"/>
      <c r="B3976" s="100"/>
      <c r="C3976" s="100"/>
      <c r="D3976" s="100"/>
      <c r="E3976" s="100"/>
      <c r="F3976" s="100"/>
      <c r="G3976" s="100"/>
      <c r="H3976" s="100"/>
      <c r="I3976" s="100"/>
      <c r="J3976" s="100"/>
      <c r="K3976" s="100"/>
      <c r="L3976" s="100"/>
      <c r="M3976" s="100"/>
      <c r="N3976" s="100"/>
      <c r="O3976" s="100"/>
      <c r="P3976" s="100"/>
      <c r="Q3976" s="100"/>
      <c r="R3976" s="100"/>
      <c r="S3976" s="100"/>
      <c r="T3976" s="100"/>
      <c r="U3976" s="100"/>
      <c r="V3976" s="100"/>
      <c r="W3976" s="100"/>
      <c r="X3976" s="100"/>
      <c r="Y3976" s="100"/>
      <c r="Z3976" s="100"/>
    </row>
    <row r="3977" spans="1:26">
      <c r="A3977" s="100"/>
      <c r="B3977" s="100"/>
      <c r="C3977" s="100"/>
      <c r="D3977" s="100"/>
      <c r="E3977" s="100"/>
      <c r="F3977" s="100"/>
      <c r="G3977" s="100"/>
      <c r="H3977" s="100"/>
      <c r="I3977" s="100"/>
      <c r="J3977" s="100"/>
      <c r="K3977" s="100"/>
      <c r="L3977" s="100"/>
      <c r="M3977" s="100"/>
      <c r="N3977" s="100"/>
      <c r="O3977" s="100"/>
      <c r="P3977" s="100"/>
      <c r="Q3977" s="100"/>
      <c r="R3977" s="100"/>
      <c r="S3977" s="100"/>
      <c r="T3977" s="100"/>
      <c r="U3977" s="100"/>
      <c r="V3977" s="100"/>
      <c r="W3977" s="100"/>
      <c r="X3977" s="100"/>
      <c r="Y3977" s="100"/>
      <c r="Z3977" s="100"/>
    </row>
    <row r="3978" spans="1:26">
      <c r="A3978" s="100"/>
      <c r="B3978" s="100"/>
      <c r="C3978" s="100"/>
      <c r="D3978" s="100"/>
      <c r="E3978" s="100"/>
      <c r="F3978" s="100"/>
      <c r="G3978" s="100"/>
      <c r="H3978" s="100"/>
      <c r="I3978" s="100"/>
      <c r="J3978" s="100"/>
      <c r="K3978" s="100"/>
      <c r="L3978" s="100"/>
      <c r="M3978" s="100"/>
      <c r="N3978" s="100"/>
      <c r="O3978" s="100"/>
      <c r="P3978" s="100"/>
      <c r="Q3978" s="100"/>
      <c r="R3978" s="100"/>
      <c r="S3978" s="100"/>
      <c r="T3978" s="100"/>
      <c r="U3978" s="100"/>
      <c r="V3978" s="100"/>
      <c r="W3978" s="100"/>
      <c r="X3978" s="100"/>
      <c r="Y3978" s="100"/>
      <c r="Z3978" s="100"/>
    </row>
    <row r="3979" spans="1:26">
      <c r="A3979" s="100"/>
      <c r="B3979" s="100"/>
      <c r="C3979" s="100"/>
      <c r="D3979" s="100"/>
      <c r="E3979" s="100"/>
      <c r="F3979" s="100"/>
      <c r="G3979" s="100"/>
      <c r="H3979" s="100"/>
      <c r="I3979" s="100"/>
      <c r="J3979" s="100"/>
      <c r="K3979" s="100"/>
      <c r="L3979" s="100"/>
      <c r="M3979" s="100"/>
      <c r="N3979" s="100"/>
      <c r="O3979" s="100"/>
      <c r="P3979" s="100"/>
      <c r="Q3979" s="100"/>
      <c r="R3979" s="100"/>
      <c r="S3979" s="100"/>
      <c r="T3979" s="100"/>
      <c r="U3979" s="100"/>
      <c r="V3979" s="100"/>
      <c r="W3979" s="100"/>
      <c r="X3979" s="100"/>
      <c r="Y3979" s="100"/>
      <c r="Z3979" s="100"/>
    </row>
    <row r="3980" spans="1:26">
      <c r="A3980" s="100"/>
      <c r="B3980" s="100"/>
      <c r="C3980" s="100"/>
      <c r="D3980" s="100"/>
      <c r="E3980" s="100"/>
      <c r="F3980" s="100"/>
      <c r="G3980" s="100"/>
      <c r="H3980" s="100"/>
      <c r="I3980" s="100"/>
      <c r="J3980" s="100"/>
      <c r="K3980" s="100"/>
      <c r="L3980" s="100"/>
      <c r="M3980" s="100"/>
      <c r="N3980" s="100"/>
      <c r="O3980" s="100"/>
      <c r="P3980" s="100"/>
      <c r="Q3980" s="100"/>
      <c r="R3980" s="100"/>
      <c r="S3980" s="100"/>
      <c r="T3980" s="100"/>
      <c r="U3980" s="100"/>
      <c r="V3980" s="100"/>
      <c r="W3980" s="100"/>
      <c r="X3980" s="100"/>
      <c r="Y3980" s="100"/>
      <c r="Z3980" s="100"/>
    </row>
    <row r="3981" spans="1:26">
      <c r="A3981" s="100"/>
      <c r="B3981" s="100"/>
      <c r="C3981" s="100"/>
      <c r="D3981" s="100"/>
      <c r="E3981" s="100"/>
      <c r="F3981" s="100"/>
      <c r="G3981" s="100"/>
      <c r="H3981" s="100"/>
      <c r="I3981" s="100"/>
      <c r="J3981" s="100"/>
      <c r="K3981" s="100"/>
      <c r="L3981" s="100"/>
      <c r="M3981" s="100"/>
      <c r="N3981" s="100"/>
      <c r="O3981" s="100"/>
      <c r="P3981" s="100"/>
      <c r="Q3981" s="100"/>
      <c r="R3981" s="100"/>
      <c r="S3981" s="100"/>
      <c r="T3981" s="100"/>
      <c r="U3981" s="100"/>
      <c r="V3981" s="100"/>
      <c r="W3981" s="100"/>
      <c r="X3981" s="100"/>
      <c r="Y3981" s="100"/>
      <c r="Z3981" s="100"/>
    </row>
    <row r="3982" spans="1:26">
      <c r="A3982" s="100"/>
      <c r="B3982" s="100"/>
      <c r="C3982" s="100"/>
      <c r="D3982" s="100"/>
      <c r="E3982" s="100"/>
      <c r="F3982" s="100"/>
      <c r="G3982" s="100"/>
      <c r="H3982" s="100"/>
      <c r="I3982" s="100"/>
      <c r="J3982" s="100"/>
      <c r="K3982" s="100"/>
      <c r="L3982" s="100"/>
      <c r="M3982" s="100"/>
      <c r="N3982" s="100"/>
      <c r="O3982" s="100"/>
      <c r="P3982" s="100"/>
      <c r="Q3982" s="100"/>
      <c r="R3982" s="100"/>
      <c r="S3982" s="100"/>
      <c r="T3982" s="100"/>
      <c r="U3982" s="100"/>
      <c r="V3982" s="100"/>
      <c r="W3982" s="100"/>
      <c r="X3982" s="100"/>
      <c r="Y3982" s="100"/>
      <c r="Z3982" s="100"/>
    </row>
    <row r="3983" spans="1:26">
      <c r="A3983" s="100"/>
      <c r="B3983" s="100"/>
      <c r="C3983" s="100"/>
      <c r="D3983" s="100"/>
      <c r="E3983" s="100"/>
      <c r="F3983" s="100"/>
      <c r="G3983" s="100"/>
      <c r="H3983" s="100"/>
      <c r="I3983" s="100"/>
      <c r="J3983" s="100"/>
      <c r="K3983" s="100"/>
      <c r="L3983" s="100"/>
      <c r="M3983" s="100"/>
      <c r="N3983" s="100"/>
      <c r="O3983" s="100"/>
      <c r="P3983" s="100"/>
      <c r="Q3983" s="100"/>
      <c r="R3983" s="100"/>
      <c r="S3983" s="100"/>
      <c r="T3983" s="100"/>
      <c r="U3983" s="100"/>
      <c r="V3983" s="100"/>
      <c r="W3983" s="100"/>
      <c r="X3983" s="100"/>
      <c r="Y3983" s="100"/>
      <c r="Z3983" s="100"/>
    </row>
    <row r="3984" spans="1:26">
      <c r="A3984" s="100"/>
      <c r="B3984" s="100"/>
      <c r="C3984" s="100"/>
      <c r="D3984" s="100"/>
      <c r="E3984" s="100"/>
      <c r="F3984" s="100"/>
      <c r="G3984" s="100"/>
      <c r="H3984" s="100"/>
      <c r="I3984" s="100"/>
      <c r="J3984" s="100"/>
      <c r="K3984" s="100"/>
      <c r="L3984" s="100"/>
      <c r="M3984" s="100"/>
      <c r="N3984" s="100"/>
      <c r="O3984" s="100"/>
      <c r="P3984" s="100"/>
      <c r="Q3984" s="100"/>
      <c r="R3984" s="100"/>
      <c r="S3984" s="100"/>
      <c r="T3984" s="100"/>
      <c r="U3984" s="100"/>
      <c r="V3984" s="100"/>
      <c r="W3984" s="100"/>
      <c r="X3984" s="100"/>
      <c r="Y3984" s="100"/>
      <c r="Z3984" s="100"/>
    </row>
    <row r="3985" spans="1:26">
      <c r="A3985" s="100"/>
      <c r="B3985" s="100"/>
      <c r="C3985" s="100"/>
      <c r="D3985" s="100"/>
      <c r="E3985" s="100"/>
      <c r="F3985" s="100"/>
      <c r="G3985" s="100"/>
      <c r="H3985" s="100"/>
      <c r="I3985" s="100"/>
      <c r="J3985" s="100"/>
      <c r="K3985" s="100"/>
      <c r="L3985" s="100"/>
      <c r="M3985" s="100"/>
      <c r="N3985" s="100"/>
      <c r="O3985" s="100"/>
      <c r="P3985" s="100"/>
      <c r="Q3985" s="100"/>
      <c r="R3985" s="100"/>
      <c r="S3985" s="100"/>
      <c r="T3985" s="100"/>
      <c r="U3985" s="100"/>
      <c r="V3985" s="100"/>
      <c r="W3985" s="100"/>
      <c r="X3985" s="100"/>
      <c r="Y3985" s="100"/>
      <c r="Z3985" s="100"/>
    </row>
    <row r="3986" spans="1:26">
      <c r="A3986" s="100"/>
      <c r="B3986" s="100"/>
      <c r="C3986" s="100"/>
      <c r="D3986" s="100"/>
      <c r="E3986" s="100"/>
      <c r="F3986" s="100"/>
      <c r="G3986" s="100"/>
      <c r="H3986" s="100"/>
      <c r="I3986" s="100"/>
      <c r="J3986" s="100"/>
      <c r="K3986" s="100"/>
      <c r="L3986" s="100"/>
      <c r="M3986" s="100"/>
      <c r="N3986" s="100"/>
      <c r="O3986" s="100"/>
      <c r="P3986" s="100"/>
      <c r="Q3986" s="100"/>
      <c r="R3986" s="100"/>
      <c r="S3986" s="100"/>
      <c r="T3986" s="100"/>
      <c r="U3986" s="100"/>
      <c r="V3986" s="100"/>
      <c r="W3986" s="100"/>
      <c r="X3986" s="100"/>
      <c r="Y3986" s="100"/>
      <c r="Z3986" s="100"/>
    </row>
    <row r="3987" spans="1:26">
      <c r="A3987" s="100"/>
      <c r="B3987" s="100"/>
      <c r="C3987" s="100"/>
      <c r="D3987" s="100"/>
      <c r="E3987" s="100"/>
      <c r="F3987" s="100"/>
      <c r="G3987" s="100"/>
      <c r="H3987" s="100"/>
      <c r="I3987" s="100"/>
      <c r="J3987" s="100"/>
      <c r="K3987" s="100"/>
      <c r="L3987" s="100"/>
      <c r="M3987" s="100"/>
      <c r="N3987" s="100"/>
      <c r="O3987" s="100"/>
      <c r="P3987" s="100"/>
      <c r="Q3987" s="100"/>
      <c r="R3987" s="100"/>
      <c r="S3987" s="100"/>
      <c r="T3987" s="100"/>
      <c r="U3987" s="100"/>
      <c r="V3987" s="100"/>
      <c r="W3987" s="100"/>
      <c r="X3987" s="100"/>
      <c r="Y3987" s="100"/>
      <c r="Z3987" s="100"/>
    </row>
    <row r="3988" spans="1:26">
      <c r="A3988" s="100"/>
      <c r="B3988" s="100"/>
      <c r="C3988" s="100"/>
      <c r="D3988" s="100"/>
      <c r="E3988" s="100"/>
      <c r="F3988" s="100"/>
      <c r="G3988" s="100"/>
      <c r="H3988" s="100"/>
      <c r="I3988" s="100"/>
      <c r="J3988" s="100"/>
      <c r="K3988" s="100"/>
      <c r="L3988" s="100"/>
      <c r="M3988" s="100"/>
      <c r="N3988" s="100"/>
      <c r="O3988" s="100"/>
      <c r="P3988" s="100"/>
      <c r="Q3988" s="100"/>
      <c r="R3988" s="100"/>
      <c r="S3988" s="100"/>
      <c r="T3988" s="100"/>
      <c r="U3988" s="100"/>
      <c r="V3988" s="100"/>
      <c r="W3988" s="100"/>
      <c r="X3988" s="100"/>
      <c r="Y3988" s="100"/>
      <c r="Z3988" s="100"/>
    </row>
    <row r="3989" spans="1:26">
      <c r="A3989" s="100"/>
      <c r="B3989" s="100"/>
      <c r="C3989" s="100"/>
      <c r="D3989" s="100"/>
      <c r="E3989" s="100"/>
      <c r="F3989" s="100"/>
      <c r="G3989" s="100"/>
      <c r="H3989" s="100"/>
      <c r="I3989" s="100"/>
      <c r="J3989" s="100"/>
      <c r="K3989" s="100"/>
      <c r="L3989" s="100"/>
      <c r="M3989" s="100"/>
      <c r="N3989" s="100"/>
      <c r="O3989" s="100"/>
      <c r="P3989" s="100"/>
      <c r="Q3989" s="100"/>
      <c r="R3989" s="100"/>
      <c r="S3989" s="100"/>
      <c r="T3989" s="100"/>
      <c r="U3989" s="100"/>
      <c r="V3989" s="100"/>
      <c r="W3989" s="100"/>
      <c r="X3989" s="100"/>
      <c r="Y3989" s="100"/>
      <c r="Z3989" s="100"/>
    </row>
    <row r="3990" spans="1:26">
      <c r="A3990" s="100"/>
      <c r="B3990" s="100"/>
      <c r="C3990" s="100"/>
      <c r="D3990" s="100"/>
      <c r="E3990" s="100"/>
      <c r="F3990" s="100"/>
      <c r="G3990" s="100"/>
      <c r="H3990" s="100"/>
      <c r="I3990" s="100"/>
      <c r="J3990" s="100"/>
      <c r="K3990" s="100"/>
      <c r="L3990" s="100"/>
      <c r="M3990" s="100"/>
      <c r="N3990" s="100"/>
      <c r="O3990" s="100"/>
      <c r="P3990" s="100"/>
      <c r="Q3990" s="100"/>
      <c r="R3990" s="100"/>
      <c r="S3990" s="100"/>
      <c r="T3990" s="100"/>
      <c r="U3990" s="100"/>
      <c r="V3990" s="100"/>
      <c r="W3990" s="100"/>
      <c r="X3990" s="100"/>
      <c r="Y3990" s="100"/>
      <c r="Z3990" s="100"/>
    </row>
    <row r="3991" spans="1:26">
      <c r="A3991" s="100"/>
      <c r="B3991" s="100"/>
      <c r="C3991" s="100"/>
      <c r="D3991" s="100"/>
      <c r="E3991" s="100"/>
      <c r="F3991" s="100"/>
      <c r="G3991" s="100"/>
      <c r="H3991" s="100"/>
      <c r="I3991" s="100"/>
      <c r="J3991" s="100"/>
      <c r="K3991" s="100"/>
      <c r="L3991" s="100"/>
      <c r="M3991" s="100"/>
      <c r="N3991" s="100"/>
      <c r="O3991" s="100"/>
      <c r="P3991" s="100"/>
      <c r="Q3991" s="100"/>
      <c r="R3991" s="100"/>
      <c r="S3991" s="100"/>
      <c r="T3991" s="100"/>
      <c r="U3991" s="100"/>
      <c r="V3991" s="100"/>
      <c r="W3991" s="100"/>
      <c r="X3991" s="100"/>
      <c r="Y3991" s="100"/>
      <c r="Z3991" s="100"/>
    </row>
    <row r="3992" spans="1:26">
      <c r="A3992" s="100"/>
      <c r="B3992" s="100"/>
      <c r="C3992" s="100"/>
      <c r="D3992" s="100"/>
      <c r="E3992" s="100"/>
      <c r="F3992" s="100"/>
      <c r="G3992" s="100"/>
      <c r="H3992" s="100"/>
      <c r="I3992" s="100"/>
      <c r="J3992" s="100"/>
      <c r="K3992" s="100"/>
      <c r="L3992" s="100"/>
      <c r="M3992" s="100"/>
      <c r="N3992" s="100"/>
      <c r="O3992" s="100"/>
      <c r="P3992" s="100"/>
      <c r="Q3992" s="100"/>
      <c r="R3992" s="100"/>
      <c r="S3992" s="100"/>
      <c r="T3992" s="100"/>
      <c r="U3992" s="100"/>
      <c r="V3992" s="100"/>
      <c r="W3992" s="100"/>
      <c r="X3992" s="100"/>
      <c r="Y3992" s="100"/>
      <c r="Z3992" s="100"/>
    </row>
    <row r="3993" spans="1:26">
      <c r="A3993" s="100"/>
      <c r="B3993" s="100"/>
      <c r="C3993" s="100"/>
      <c r="D3993" s="100"/>
      <c r="E3993" s="100"/>
      <c r="F3993" s="100"/>
      <c r="G3993" s="100"/>
      <c r="H3993" s="100"/>
      <c r="I3993" s="100"/>
      <c r="J3993" s="100"/>
      <c r="K3993" s="100"/>
      <c r="L3993" s="100"/>
      <c r="M3993" s="100"/>
      <c r="N3993" s="100"/>
      <c r="O3993" s="100"/>
      <c r="P3993" s="100"/>
      <c r="Q3993" s="100"/>
      <c r="R3993" s="100"/>
      <c r="S3993" s="100"/>
      <c r="T3993" s="100"/>
      <c r="U3993" s="100"/>
      <c r="V3993" s="100"/>
      <c r="W3993" s="100"/>
      <c r="X3993" s="100"/>
      <c r="Y3993" s="100"/>
      <c r="Z3993" s="100"/>
    </row>
    <row r="3994" spans="1:26">
      <c r="A3994" s="100"/>
      <c r="B3994" s="100"/>
      <c r="C3994" s="100"/>
      <c r="D3994" s="100"/>
      <c r="E3994" s="100"/>
      <c r="F3994" s="100"/>
      <c r="G3994" s="100"/>
      <c r="H3994" s="100"/>
      <c r="I3994" s="100"/>
      <c r="J3994" s="100"/>
      <c r="K3994" s="100"/>
      <c r="L3994" s="100"/>
      <c r="M3994" s="100"/>
      <c r="N3994" s="100"/>
      <c r="O3994" s="100"/>
      <c r="P3994" s="100"/>
      <c r="Q3994" s="100"/>
      <c r="R3994" s="100"/>
      <c r="S3994" s="100"/>
      <c r="T3994" s="100"/>
      <c r="U3994" s="100"/>
      <c r="V3994" s="100"/>
      <c r="W3994" s="100"/>
      <c r="X3994" s="100"/>
      <c r="Y3994" s="100"/>
      <c r="Z3994" s="100"/>
    </row>
    <row r="3995" spans="1:26">
      <c r="A3995" s="100"/>
      <c r="B3995" s="100"/>
      <c r="C3995" s="100"/>
      <c r="D3995" s="100"/>
      <c r="E3995" s="100"/>
      <c r="F3995" s="100"/>
      <c r="G3995" s="100"/>
      <c r="H3995" s="100"/>
      <c r="I3995" s="100"/>
      <c r="J3995" s="100"/>
      <c r="K3995" s="100"/>
      <c r="L3995" s="100"/>
      <c r="M3995" s="100"/>
      <c r="N3995" s="100"/>
      <c r="O3995" s="100"/>
      <c r="P3995" s="100"/>
      <c r="Q3995" s="100"/>
      <c r="R3995" s="100"/>
      <c r="S3995" s="100"/>
      <c r="T3995" s="100"/>
      <c r="U3995" s="100"/>
      <c r="V3995" s="100"/>
      <c r="W3995" s="100"/>
      <c r="X3995" s="100"/>
      <c r="Y3995" s="100"/>
      <c r="Z3995" s="100"/>
    </row>
    <row r="3996" spans="1:26">
      <c r="A3996" s="100"/>
      <c r="B3996" s="100"/>
      <c r="C3996" s="100"/>
      <c r="D3996" s="100"/>
      <c r="E3996" s="100"/>
      <c r="F3996" s="100"/>
      <c r="G3996" s="100"/>
      <c r="H3996" s="100"/>
      <c r="I3996" s="100"/>
      <c r="J3996" s="100"/>
      <c r="K3996" s="100"/>
      <c r="L3996" s="100"/>
      <c r="M3996" s="100"/>
      <c r="N3996" s="100"/>
      <c r="O3996" s="100"/>
      <c r="P3996" s="100"/>
      <c r="Q3996" s="100"/>
      <c r="R3996" s="100"/>
      <c r="S3996" s="100"/>
      <c r="T3996" s="100"/>
      <c r="U3996" s="100"/>
      <c r="V3996" s="100"/>
      <c r="W3996" s="100"/>
      <c r="X3996" s="100"/>
      <c r="Y3996" s="100"/>
      <c r="Z3996" s="100"/>
    </row>
    <row r="3997" spans="1:26">
      <c r="A3997" s="100"/>
      <c r="B3997" s="100"/>
      <c r="C3997" s="100"/>
      <c r="D3997" s="100"/>
      <c r="E3997" s="100"/>
      <c r="F3997" s="100"/>
      <c r="G3997" s="100"/>
      <c r="H3997" s="100"/>
      <c r="I3997" s="100"/>
      <c r="J3997" s="100"/>
      <c r="K3997" s="100"/>
      <c r="L3997" s="100"/>
      <c r="M3997" s="100"/>
      <c r="N3997" s="100"/>
      <c r="O3997" s="100"/>
      <c r="P3997" s="100"/>
      <c r="Q3997" s="100"/>
      <c r="R3997" s="100"/>
      <c r="S3997" s="100"/>
      <c r="T3997" s="100"/>
      <c r="U3997" s="100"/>
      <c r="V3997" s="100"/>
      <c r="W3997" s="100"/>
      <c r="X3997" s="100"/>
      <c r="Y3997" s="100"/>
      <c r="Z3997" s="100"/>
    </row>
    <row r="3998" spans="1:26">
      <c r="A3998" s="100"/>
      <c r="B3998" s="100"/>
      <c r="C3998" s="100"/>
      <c r="D3998" s="100"/>
      <c r="E3998" s="100"/>
      <c r="F3998" s="100"/>
      <c r="G3998" s="100"/>
      <c r="H3998" s="100"/>
      <c r="I3998" s="100"/>
      <c r="J3998" s="100"/>
      <c r="K3998" s="100"/>
      <c r="L3998" s="100"/>
      <c r="M3998" s="100"/>
      <c r="N3998" s="100"/>
      <c r="O3998" s="100"/>
      <c r="P3998" s="100"/>
      <c r="Q3998" s="100"/>
      <c r="R3998" s="100"/>
      <c r="S3998" s="100"/>
      <c r="T3998" s="100"/>
      <c r="U3998" s="100"/>
      <c r="V3998" s="100"/>
      <c r="W3998" s="100"/>
      <c r="X3998" s="100"/>
      <c r="Y3998" s="100"/>
      <c r="Z3998" s="100"/>
    </row>
    <row r="3999" spans="1:26">
      <c r="A3999" s="100"/>
      <c r="B3999" s="100"/>
      <c r="C3999" s="100"/>
      <c r="D3999" s="100"/>
      <c r="E3999" s="100"/>
      <c r="F3999" s="100"/>
      <c r="G3999" s="100"/>
      <c r="H3999" s="100"/>
      <c r="I3999" s="100"/>
      <c r="J3999" s="100"/>
      <c r="K3999" s="100"/>
      <c r="L3999" s="100"/>
      <c r="M3999" s="100"/>
      <c r="N3999" s="100"/>
      <c r="O3999" s="100"/>
      <c r="P3999" s="100"/>
      <c r="Q3999" s="100"/>
      <c r="R3999" s="100"/>
      <c r="S3999" s="100"/>
      <c r="T3999" s="100"/>
      <c r="U3999" s="100"/>
      <c r="V3999" s="100"/>
      <c r="W3999" s="100"/>
      <c r="X3999" s="100"/>
      <c r="Y3999" s="100"/>
      <c r="Z3999" s="100"/>
    </row>
    <row r="4000" spans="1:26">
      <c r="A4000" s="100"/>
      <c r="B4000" s="100"/>
      <c r="C4000" s="100"/>
      <c r="D4000" s="100"/>
      <c r="E4000" s="100"/>
      <c r="F4000" s="100"/>
      <c r="G4000" s="100"/>
      <c r="H4000" s="100"/>
      <c r="I4000" s="100"/>
      <c r="J4000" s="100"/>
      <c r="K4000" s="100"/>
      <c r="L4000" s="100"/>
      <c r="M4000" s="100"/>
      <c r="N4000" s="100"/>
      <c r="O4000" s="100"/>
      <c r="P4000" s="100"/>
      <c r="Q4000" s="100"/>
      <c r="R4000" s="100"/>
      <c r="S4000" s="100"/>
      <c r="T4000" s="100"/>
      <c r="U4000" s="100"/>
      <c r="V4000" s="100"/>
      <c r="W4000" s="100"/>
      <c r="X4000" s="100"/>
      <c r="Y4000" s="100"/>
      <c r="Z4000" s="100"/>
    </row>
    <row r="4001" spans="1:26">
      <c r="A4001" s="100"/>
      <c r="B4001" s="100"/>
      <c r="C4001" s="100"/>
      <c r="D4001" s="100"/>
      <c r="E4001" s="100"/>
      <c r="F4001" s="100"/>
      <c r="G4001" s="100"/>
      <c r="H4001" s="100"/>
      <c r="I4001" s="100"/>
      <c r="J4001" s="100"/>
      <c r="K4001" s="100"/>
      <c r="L4001" s="100"/>
      <c r="M4001" s="100"/>
      <c r="N4001" s="100"/>
      <c r="O4001" s="100"/>
      <c r="P4001" s="100"/>
      <c r="Q4001" s="100"/>
      <c r="R4001" s="100"/>
      <c r="S4001" s="100"/>
      <c r="T4001" s="100"/>
      <c r="U4001" s="100"/>
      <c r="V4001" s="100"/>
      <c r="W4001" s="100"/>
      <c r="X4001" s="100"/>
      <c r="Y4001" s="100"/>
      <c r="Z4001" s="100"/>
    </row>
    <row r="4002" spans="1:26">
      <c r="A4002" s="100"/>
      <c r="B4002" s="100"/>
      <c r="C4002" s="100"/>
      <c r="D4002" s="100"/>
      <c r="E4002" s="100"/>
      <c r="F4002" s="100"/>
      <c r="G4002" s="100"/>
      <c r="H4002" s="100"/>
      <c r="I4002" s="100"/>
      <c r="J4002" s="100"/>
      <c r="K4002" s="100"/>
      <c r="L4002" s="100"/>
      <c r="M4002" s="100"/>
      <c r="N4002" s="100"/>
      <c r="O4002" s="100"/>
      <c r="P4002" s="100"/>
      <c r="Q4002" s="100"/>
      <c r="R4002" s="100"/>
      <c r="S4002" s="100"/>
      <c r="T4002" s="100"/>
      <c r="U4002" s="100"/>
      <c r="V4002" s="100"/>
      <c r="W4002" s="100"/>
      <c r="X4002" s="100"/>
      <c r="Y4002" s="100"/>
      <c r="Z4002" s="100"/>
    </row>
    <row r="4003" spans="1:26">
      <c r="A4003" s="100"/>
      <c r="B4003" s="100"/>
      <c r="C4003" s="100"/>
      <c r="D4003" s="100"/>
      <c r="E4003" s="100"/>
      <c r="F4003" s="100"/>
      <c r="G4003" s="100"/>
      <c r="H4003" s="100"/>
      <c r="I4003" s="100"/>
      <c r="J4003" s="100"/>
      <c r="K4003" s="100"/>
      <c r="L4003" s="100"/>
      <c r="M4003" s="100"/>
      <c r="N4003" s="100"/>
      <c r="O4003" s="100"/>
      <c r="P4003" s="100"/>
      <c r="Q4003" s="100"/>
      <c r="R4003" s="100"/>
      <c r="S4003" s="100"/>
      <c r="T4003" s="100"/>
      <c r="U4003" s="100"/>
      <c r="V4003" s="100"/>
      <c r="W4003" s="100"/>
      <c r="X4003" s="100"/>
      <c r="Y4003" s="100"/>
      <c r="Z4003" s="100"/>
    </row>
    <row r="4004" spans="1:26">
      <c r="A4004" s="100"/>
      <c r="B4004" s="100"/>
      <c r="C4004" s="100"/>
      <c r="D4004" s="100"/>
      <c r="E4004" s="100"/>
      <c r="F4004" s="100"/>
      <c r="G4004" s="100"/>
      <c r="H4004" s="100"/>
      <c r="I4004" s="100"/>
      <c r="J4004" s="100"/>
      <c r="K4004" s="100"/>
      <c r="L4004" s="100"/>
      <c r="M4004" s="100"/>
      <c r="N4004" s="100"/>
      <c r="O4004" s="100"/>
      <c r="P4004" s="100"/>
      <c r="Q4004" s="100"/>
      <c r="R4004" s="100"/>
      <c r="S4004" s="100"/>
      <c r="T4004" s="100"/>
      <c r="U4004" s="100"/>
      <c r="V4004" s="100"/>
      <c r="W4004" s="100"/>
      <c r="X4004" s="100"/>
      <c r="Y4004" s="100"/>
      <c r="Z4004" s="100"/>
    </row>
    <row r="4005" spans="1:26">
      <c r="A4005" s="100"/>
      <c r="B4005" s="100"/>
      <c r="C4005" s="100"/>
      <c r="D4005" s="100"/>
      <c r="E4005" s="100"/>
      <c r="F4005" s="100"/>
      <c r="G4005" s="100"/>
      <c r="H4005" s="100"/>
      <c r="I4005" s="100"/>
      <c r="J4005" s="100"/>
      <c r="K4005" s="100"/>
      <c r="L4005" s="100"/>
      <c r="M4005" s="100"/>
      <c r="N4005" s="100"/>
      <c r="O4005" s="100"/>
      <c r="P4005" s="100"/>
      <c r="Q4005" s="100"/>
      <c r="R4005" s="100"/>
      <c r="S4005" s="100"/>
      <c r="T4005" s="100"/>
      <c r="U4005" s="100"/>
      <c r="V4005" s="100"/>
      <c r="W4005" s="100"/>
      <c r="X4005" s="100"/>
      <c r="Y4005" s="100"/>
      <c r="Z4005" s="100"/>
    </row>
    <row r="4006" spans="1:26">
      <c r="A4006" s="100"/>
      <c r="B4006" s="100"/>
      <c r="C4006" s="100"/>
      <c r="D4006" s="100"/>
      <c r="E4006" s="100"/>
      <c r="F4006" s="100"/>
      <c r="G4006" s="100"/>
      <c r="H4006" s="100"/>
      <c r="I4006" s="100"/>
      <c r="J4006" s="100"/>
      <c r="K4006" s="100"/>
      <c r="L4006" s="100"/>
      <c r="M4006" s="100"/>
      <c r="N4006" s="100"/>
      <c r="O4006" s="100"/>
      <c r="P4006" s="100"/>
      <c r="Q4006" s="100"/>
      <c r="R4006" s="100"/>
      <c r="S4006" s="100"/>
      <c r="T4006" s="100"/>
      <c r="U4006" s="100"/>
      <c r="V4006" s="100"/>
      <c r="W4006" s="100"/>
      <c r="X4006" s="100"/>
      <c r="Y4006" s="100"/>
      <c r="Z4006" s="100"/>
    </row>
    <row r="4007" spans="1:26">
      <c r="A4007" s="100"/>
      <c r="B4007" s="100"/>
      <c r="C4007" s="100"/>
      <c r="D4007" s="100"/>
      <c r="E4007" s="100"/>
      <c r="F4007" s="100"/>
      <c r="G4007" s="100"/>
      <c r="H4007" s="100"/>
      <c r="I4007" s="100"/>
      <c r="J4007" s="100"/>
      <c r="K4007" s="100"/>
      <c r="L4007" s="100"/>
      <c r="M4007" s="100"/>
      <c r="N4007" s="100"/>
      <c r="O4007" s="100"/>
      <c r="P4007" s="100"/>
      <c r="Q4007" s="100"/>
      <c r="R4007" s="100"/>
      <c r="S4007" s="100"/>
      <c r="T4007" s="100"/>
      <c r="U4007" s="100"/>
      <c r="V4007" s="100"/>
      <c r="W4007" s="100"/>
      <c r="X4007" s="100"/>
      <c r="Y4007" s="100"/>
      <c r="Z4007" s="100"/>
    </row>
    <row r="4008" spans="1:26">
      <c r="A4008" s="100"/>
      <c r="B4008" s="100"/>
      <c r="C4008" s="100"/>
      <c r="D4008" s="100"/>
      <c r="E4008" s="100"/>
      <c r="F4008" s="100"/>
      <c r="G4008" s="100"/>
      <c r="H4008" s="100"/>
      <c r="I4008" s="100"/>
      <c r="J4008" s="100"/>
      <c r="K4008" s="100"/>
      <c r="L4008" s="100"/>
      <c r="M4008" s="100"/>
      <c r="N4008" s="100"/>
      <c r="O4008" s="100"/>
      <c r="P4008" s="100"/>
      <c r="Q4008" s="100"/>
      <c r="R4008" s="100"/>
      <c r="S4008" s="100"/>
      <c r="T4008" s="100"/>
      <c r="U4008" s="100"/>
      <c r="V4008" s="100"/>
      <c r="W4008" s="100"/>
      <c r="X4008" s="100"/>
      <c r="Y4008" s="100"/>
      <c r="Z4008" s="100"/>
    </row>
    <row r="4009" spans="1:26">
      <c r="A4009" s="100"/>
      <c r="B4009" s="100"/>
      <c r="C4009" s="100"/>
      <c r="D4009" s="100"/>
      <c r="E4009" s="100"/>
      <c r="F4009" s="100"/>
      <c r="G4009" s="100"/>
      <c r="H4009" s="100"/>
      <c r="I4009" s="100"/>
      <c r="J4009" s="100"/>
      <c r="K4009" s="100"/>
      <c r="L4009" s="100"/>
      <c r="M4009" s="100"/>
      <c r="N4009" s="100"/>
      <c r="O4009" s="100"/>
      <c r="P4009" s="100"/>
      <c r="Q4009" s="100"/>
      <c r="R4009" s="100"/>
      <c r="S4009" s="100"/>
      <c r="T4009" s="100"/>
      <c r="U4009" s="100"/>
      <c r="V4009" s="100"/>
      <c r="W4009" s="100"/>
      <c r="X4009" s="100"/>
      <c r="Y4009" s="100"/>
      <c r="Z4009" s="100"/>
    </row>
    <row r="4010" spans="1:26">
      <c r="A4010" s="100"/>
      <c r="B4010" s="100"/>
      <c r="C4010" s="100"/>
      <c r="D4010" s="100"/>
      <c r="E4010" s="100"/>
      <c r="F4010" s="100"/>
      <c r="G4010" s="100"/>
      <c r="H4010" s="100"/>
      <c r="I4010" s="100"/>
      <c r="J4010" s="100"/>
      <c r="K4010" s="100"/>
      <c r="L4010" s="100"/>
      <c r="M4010" s="100"/>
      <c r="N4010" s="100"/>
      <c r="O4010" s="100"/>
      <c r="P4010" s="100"/>
      <c r="Q4010" s="100"/>
      <c r="R4010" s="100"/>
      <c r="S4010" s="100"/>
      <c r="T4010" s="100"/>
      <c r="U4010" s="100"/>
      <c r="V4010" s="100"/>
      <c r="W4010" s="100"/>
      <c r="X4010" s="100"/>
      <c r="Y4010" s="100"/>
      <c r="Z4010" s="100"/>
    </row>
    <row r="4011" spans="1:26">
      <c r="A4011" s="100"/>
      <c r="B4011" s="100"/>
      <c r="C4011" s="100"/>
      <c r="D4011" s="100"/>
      <c r="E4011" s="100"/>
      <c r="F4011" s="100"/>
      <c r="G4011" s="100"/>
      <c r="H4011" s="100"/>
      <c r="I4011" s="100"/>
      <c r="J4011" s="100"/>
      <c r="K4011" s="100"/>
      <c r="L4011" s="100"/>
      <c r="M4011" s="100"/>
      <c r="N4011" s="100"/>
      <c r="O4011" s="100"/>
      <c r="P4011" s="100"/>
      <c r="Q4011" s="100"/>
      <c r="R4011" s="100"/>
      <c r="S4011" s="100"/>
      <c r="T4011" s="100"/>
      <c r="U4011" s="100"/>
      <c r="V4011" s="100"/>
      <c r="W4011" s="100"/>
      <c r="X4011" s="100"/>
      <c r="Y4011" s="100"/>
      <c r="Z4011" s="100"/>
    </row>
    <row r="4012" spans="1:26">
      <c r="A4012" s="100"/>
      <c r="B4012" s="100"/>
      <c r="C4012" s="100"/>
      <c r="D4012" s="100"/>
      <c r="E4012" s="100"/>
      <c r="F4012" s="100"/>
      <c r="G4012" s="100"/>
      <c r="H4012" s="100"/>
      <c r="I4012" s="100"/>
      <c r="J4012" s="100"/>
      <c r="K4012" s="100"/>
      <c r="L4012" s="100"/>
      <c r="M4012" s="100"/>
      <c r="N4012" s="100"/>
      <c r="O4012" s="100"/>
      <c r="P4012" s="100"/>
      <c r="Q4012" s="100"/>
      <c r="R4012" s="100"/>
      <c r="S4012" s="100"/>
      <c r="T4012" s="100"/>
      <c r="U4012" s="100"/>
      <c r="V4012" s="100"/>
      <c r="W4012" s="100"/>
      <c r="X4012" s="100"/>
      <c r="Y4012" s="100"/>
      <c r="Z4012" s="100"/>
    </row>
    <row r="4013" spans="1:26">
      <c r="A4013" s="100"/>
      <c r="B4013" s="100"/>
      <c r="C4013" s="100"/>
      <c r="D4013" s="100"/>
      <c r="E4013" s="100"/>
      <c r="F4013" s="100"/>
      <c r="G4013" s="100"/>
      <c r="H4013" s="100"/>
      <c r="I4013" s="100"/>
      <c r="J4013" s="100"/>
      <c r="K4013" s="100"/>
      <c r="L4013" s="100"/>
      <c r="M4013" s="100"/>
      <c r="N4013" s="100"/>
      <c r="O4013" s="100"/>
      <c r="P4013" s="100"/>
      <c r="Q4013" s="100"/>
      <c r="R4013" s="100"/>
      <c r="S4013" s="100"/>
      <c r="T4013" s="100"/>
      <c r="U4013" s="100"/>
      <c r="V4013" s="100"/>
      <c r="W4013" s="100"/>
      <c r="X4013" s="100"/>
      <c r="Y4013" s="100"/>
      <c r="Z4013" s="100"/>
    </row>
    <row r="4014" spans="1:26">
      <c r="A4014" s="100"/>
      <c r="B4014" s="100"/>
      <c r="C4014" s="100"/>
      <c r="D4014" s="100"/>
      <c r="E4014" s="100"/>
      <c r="F4014" s="100"/>
      <c r="G4014" s="100"/>
      <c r="H4014" s="100"/>
      <c r="I4014" s="100"/>
      <c r="J4014" s="100"/>
      <c r="K4014" s="100"/>
      <c r="L4014" s="100"/>
      <c r="M4014" s="100"/>
      <c r="N4014" s="100"/>
      <c r="O4014" s="100"/>
      <c r="P4014" s="100"/>
      <c r="Q4014" s="100"/>
      <c r="R4014" s="100"/>
      <c r="S4014" s="100"/>
      <c r="T4014" s="100"/>
      <c r="U4014" s="100"/>
      <c r="V4014" s="100"/>
      <c r="W4014" s="100"/>
      <c r="X4014" s="100"/>
      <c r="Y4014" s="100"/>
      <c r="Z4014" s="100"/>
    </row>
    <row r="4015" spans="1:26">
      <c r="A4015" s="100"/>
      <c r="B4015" s="100"/>
      <c r="C4015" s="100"/>
      <c r="D4015" s="100"/>
      <c r="E4015" s="100"/>
      <c r="F4015" s="100"/>
      <c r="G4015" s="100"/>
      <c r="H4015" s="100"/>
      <c r="I4015" s="100"/>
      <c r="J4015" s="100"/>
      <c r="K4015" s="100"/>
      <c r="L4015" s="100"/>
      <c r="M4015" s="100"/>
      <c r="N4015" s="100"/>
      <c r="O4015" s="100"/>
      <c r="P4015" s="100"/>
      <c r="Q4015" s="100"/>
      <c r="R4015" s="100"/>
      <c r="S4015" s="100"/>
      <c r="T4015" s="100"/>
      <c r="U4015" s="100"/>
      <c r="V4015" s="100"/>
      <c r="W4015" s="100"/>
      <c r="X4015" s="100"/>
      <c r="Y4015" s="100"/>
      <c r="Z4015" s="100"/>
    </row>
    <row r="4016" spans="1:26">
      <c r="A4016" s="100"/>
      <c r="B4016" s="100"/>
      <c r="C4016" s="100"/>
      <c r="D4016" s="100"/>
      <c r="E4016" s="100"/>
      <c r="F4016" s="100"/>
      <c r="G4016" s="100"/>
      <c r="H4016" s="100"/>
      <c r="I4016" s="100"/>
      <c r="J4016" s="100"/>
      <c r="K4016" s="100"/>
      <c r="L4016" s="100"/>
      <c r="M4016" s="100"/>
      <c r="N4016" s="100"/>
      <c r="O4016" s="100"/>
      <c r="P4016" s="100"/>
      <c r="Q4016" s="100"/>
      <c r="R4016" s="100"/>
      <c r="S4016" s="100"/>
      <c r="T4016" s="100"/>
      <c r="U4016" s="100"/>
      <c r="V4016" s="100"/>
      <c r="W4016" s="100"/>
      <c r="X4016" s="100"/>
      <c r="Y4016" s="100"/>
      <c r="Z4016" s="100"/>
    </row>
    <row r="4017" spans="1:26">
      <c r="A4017" s="100"/>
      <c r="B4017" s="100"/>
      <c r="C4017" s="100"/>
      <c r="D4017" s="100"/>
      <c r="E4017" s="100"/>
      <c r="F4017" s="100"/>
      <c r="G4017" s="100"/>
      <c r="H4017" s="100"/>
      <c r="I4017" s="100"/>
      <c r="J4017" s="100"/>
      <c r="K4017" s="100"/>
      <c r="L4017" s="100"/>
      <c r="M4017" s="100"/>
      <c r="N4017" s="100"/>
      <c r="O4017" s="100"/>
      <c r="P4017" s="100"/>
      <c r="Q4017" s="100"/>
      <c r="R4017" s="100"/>
      <c r="S4017" s="100"/>
      <c r="T4017" s="100"/>
      <c r="U4017" s="100"/>
      <c r="V4017" s="100"/>
      <c r="W4017" s="100"/>
      <c r="X4017" s="100"/>
      <c r="Y4017" s="100"/>
      <c r="Z4017" s="100"/>
    </row>
    <row r="4018" spans="1:26">
      <c r="A4018" s="100"/>
      <c r="B4018" s="100"/>
      <c r="C4018" s="100"/>
      <c r="D4018" s="100"/>
      <c r="E4018" s="100"/>
      <c r="F4018" s="100"/>
      <c r="G4018" s="100"/>
      <c r="H4018" s="100"/>
      <c r="I4018" s="100"/>
      <c r="J4018" s="100"/>
      <c r="K4018" s="100"/>
      <c r="L4018" s="100"/>
      <c r="M4018" s="100"/>
      <c r="N4018" s="100"/>
      <c r="O4018" s="100"/>
      <c r="P4018" s="100"/>
      <c r="Q4018" s="100"/>
      <c r="R4018" s="100"/>
      <c r="S4018" s="100"/>
      <c r="T4018" s="100"/>
      <c r="U4018" s="100"/>
      <c r="V4018" s="100"/>
      <c r="W4018" s="100"/>
      <c r="X4018" s="100"/>
      <c r="Y4018" s="100"/>
      <c r="Z4018" s="100"/>
    </row>
    <row r="4019" spans="1:26">
      <c r="A4019" s="100"/>
      <c r="B4019" s="100"/>
      <c r="C4019" s="100"/>
      <c r="D4019" s="100"/>
      <c r="E4019" s="100"/>
      <c r="F4019" s="100"/>
      <c r="G4019" s="100"/>
      <c r="H4019" s="100"/>
      <c r="I4019" s="100"/>
      <c r="J4019" s="100"/>
      <c r="K4019" s="100"/>
      <c r="L4019" s="100"/>
      <c r="M4019" s="100"/>
      <c r="N4019" s="100"/>
      <c r="O4019" s="100"/>
      <c r="P4019" s="100"/>
      <c r="Q4019" s="100"/>
      <c r="R4019" s="100"/>
      <c r="S4019" s="100"/>
      <c r="T4019" s="100"/>
      <c r="U4019" s="100"/>
      <c r="V4019" s="100"/>
      <c r="W4019" s="100"/>
      <c r="X4019" s="100"/>
      <c r="Y4019" s="100"/>
      <c r="Z4019" s="100"/>
    </row>
    <row r="4020" spans="1:26">
      <c r="A4020" s="100"/>
      <c r="B4020" s="100"/>
      <c r="C4020" s="100"/>
      <c r="D4020" s="100"/>
      <c r="E4020" s="100"/>
      <c r="F4020" s="100"/>
      <c r="G4020" s="100"/>
      <c r="H4020" s="100"/>
      <c r="I4020" s="100"/>
      <c r="J4020" s="100"/>
      <c r="K4020" s="100"/>
      <c r="L4020" s="100"/>
      <c r="M4020" s="100"/>
      <c r="N4020" s="100"/>
      <c r="O4020" s="100"/>
      <c r="P4020" s="100"/>
      <c r="Q4020" s="100"/>
      <c r="R4020" s="100"/>
      <c r="S4020" s="100"/>
      <c r="T4020" s="100"/>
      <c r="U4020" s="100"/>
      <c r="V4020" s="100"/>
      <c r="W4020" s="100"/>
      <c r="X4020" s="100"/>
      <c r="Y4020" s="100"/>
      <c r="Z4020" s="100"/>
    </row>
    <row r="4021" spans="1:26">
      <c r="A4021" s="100"/>
      <c r="B4021" s="100"/>
      <c r="C4021" s="100"/>
      <c r="D4021" s="100"/>
      <c r="E4021" s="100"/>
      <c r="F4021" s="100"/>
      <c r="G4021" s="100"/>
      <c r="H4021" s="100"/>
      <c r="I4021" s="100"/>
      <c r="J4021" s="100"/>
      <c r="K4021" s="100"/>
      <c r="L4021" s="100"/>
      <c r="M4021" s="100"/>
      <c r="N4021" s="100"/>
      <c r="O4021" s="100"/>
      <c r="P4021" s="100"/>
      <c r="Q4021" s="100"/>
      <c r="R4021" s="100"/>
      <c r="S4021" s="100"/>
      <c r="T4021" s="100"/>
      <c r="U4021" s="100"/>
      <c r="V4021" s="100"/>
      <c r="W4021" s="100"/>
      <c r="X4021" s="100"/>
      <c r="Y4021" s="100"/>
      <c r="Z4021" s="100"/>
    </row>
    <row r="4022" spans="1:26">
      <c r="A4022" s="100"/>
      <c r="B4022" s="100"/>
      <c r="C4022" s="100"/>
      <c r="D4022" s="100"/>
      <c r="E4022" s="100"/>
      <c r="F4022" s="100"/>
      <c r="G4022" s="100"/>
      <c r="H4022" s="100"/>
      <c r="I4022" s="100"/>
      <c r="J4022" s="100"/>
      <c r="K4022" s="100"/>
      <c r="L4022" s="100"/>
      <c r="M4022" s="100"/>
      <c r="N4022" s="100"/>
      <c r="O4022" s="100"/>
      <c r="P4022" s="100"/>
      <c r="Q4022" s="100"/>
      <c r="R4022" s="100"/>
      <c r="S4022" s="100"/>
      <c r="T4022" s="100"/>
      <c r="U4022" s="100"/>
      <c r="V4022" s="100"/>
      <c r="W4022" s="100"/>
      <c r="X4022" s="100"/>
      <c r="Y4022" s="100"/>
      <c r="Z4022" s="100"/>
    </row>
    <row r="4023" spans="1:26">
      <c r="A4023" s="100"/>
      <c r="B4023" s="100"/>
      <c r="C4023" s="100"/>
      <c r="D4023" s="100"/>
      <c r="E4023" s="100"/>
      <c r="F4023" s="100"/>
      <c r="G4023" s="100"/>
      <c r="H4023" s="100"/>
      <c r="I4023" s="100"/>
      <c r="J4023" s="100"/>
      <c r="K4023" s="100"/>
      <c r="L4023" s="100"/>
      <c r="M4023" s="100"/>
      <c r="N4023" s="100"/>
      <c r="O4023" s="100"/>
      <c r="P4023" s="100"/>
      <c r="Q4023" s="100"/>
      <c r="R4023" s="100"/>
      <c r="S4023" s="100"/>
      <c r="T4023" s="100"/>
      <c r="U4023" s="100"/>
      <c r="V4023" s="100"/>
      <c r="W4023" s="100"/>
      <c r="X4023" s="100"/>
      <c r="Y4023" s="100"/>
      <c r="Z4023" s="100"/>
    </row>
    <row r="4024" spans="1:26">
      <c r="A4024" s="100"/>
      <c r="B4024" s="100"/>
      <c r="C4024" s="100"/>
      <c r="D4024" s="100"/>
      <c r="E4024" s="100"/>
      <c r="F4024" s="100"/>
      <c r="G4024" s="100"/>
      <c r="H4024" s="100"/>
      <c r="I4024" s="100"/>
      <c r="J4024" s="100"/>
      <c r="K4024" s="100"/>
      <c r="L4024" s="100"/>
      <c r="M4024" s="100"/>
      <c r="N4024" s="100"/>
      <c r="O4024" s="100"/>
      <c r="P4024" s="100"/>
      <c r="Q4024" s="100"/>
      <c r="R4024" s="100"/>
      <c r="S4024" s="100"/>
      <c r="T4024" s="100"/>
      <c r="U4024" s="100"/>
      <c r="V4024" s="100"/>
      <c r="W4024" s="100"/>
      <c r="X4024" s="100"/>
      <c r="Y4024" s="100"/>
      <c r="Z4024" s="100"/>
    </row>
    <row r="4025" spans="1:26">
      <c r="A4025" s="100"/>
      <c r="B4025" s="100"/>
      <c r="C4025" s="100"/>
      <c r="D4025" s="100"/>
      <c r="E4025" s="100"/>
      <c r="F4025" s="100"/>
      <c r="G4025" s="100"/>
      <c r="H4025" s="100"/>
      <c r="I4025" s="100"/>
      <c r="J4025" s="100"/>
      <c r="K4025" s="100"/>
      <c r="L4025" s="100"/>
      <c r="M4025" s="100"/>
      <c r="N4025" s="100"/>
      <c r="O4025" s="100"/>
      <c r="P4025" s="100"/>
      <c r="Q4025" s="100"/>
      <c r="R4025" s="100"/>
      <c r="S4025" s="100"/>
      <c r="T4025" s="100"/>
      <c r="U4025" s="100"/>
      <c r="V4025" s="100"/>
      <c r="W4025" s="100"/>
      <c r="X4025" s="100"/>
      <c r="Y4025" s="100"/>
      <c r="Z4025" s="100"/>
    </row>
    <row r="4026" spans="1:26">
      <c r="A4026" s="100"/>
      <c r="B4026" s="100"/>
      <c r="C4026" s="100"/>
      <c r="D4026" s="100"/>
      <c r="E4026" s="100"/>
      <c r="F4026" s="100"/>
      <c r="G4026" s="100"/>
      <c r="H4026" s="100"/>
      <c r="I4026" s="100"/>
      <c r="J4026" s="100"/>
      <c r="K4026" s="100"/>
      <c r="L4026" s="100"/>
      <c r="M4026" s="100"/>
      <c r="N4026" s="100"/>
      <c r="O4026" s="100"/>
      <c r="P4026" s="100"/>
      <c r="Q4026" s="100"/>
      <c r="R4026" s="100"/>
      <c r="S4026" s="100"/>
      <c r="T4026" s="100"/>
      <c r="U4026" s="100"/>
      <c r="V4026" s="100"/>
      <c r="W4026" s="100"/>
      <c r="X4026" s="100"/>
      <c r="Y4026" s="100"/>
      <c r="Z4026" s="100"/>
    </row>
    <row r="4027" spans="1:26">
      <c r="A4027" s="100"/>
      <c r="B4027" s="100"/>
      <c r="C4027" s="100"/>
      <c r="D4027" s="100"/>
      <c r="E4027" s="100"/>
      <c r="F4027" s="100"/>
      <c r="G4027" s="100"/>
      <c r="H4027" s="100"/>
      <c r="I4027" s="100"/>
      <c r="J4027" s="100"/>
      <c r="K4027" s="100"/>
      <c r="L4027" s="100"/>
      <c r="M4027" s="100"/>
      <c r="N4027" s="100"/>
      <c r="O4027" s="100"/>
      <c r="P4027" s="100"/>
      <c r="Q4027" s="100"/>
      <c r="R4027" s="100"/>
      <c r="S4027" s="100"/>
      <c r="T4027" s="100"/>
      <c r="U4027" s="100"/>
      <c r="V4027" s="100"/>
      <c r="W4027" s="100"/>
      <c r="X4027" s="100"/>
      <c r="Y4027" s="100"/>
      <c r="Z4027" s="100"/>
    </row>
    <row r="4028" spans="1:26">
      <c r="A4028" s="100"/>
      <c r="B4028" s="100"/>
      <c r="C4028" s="100"/>
      <c r="D4028" s="100"/>
      <c r="E4028" s="100"/>
      <c r="F4028" s="100"/>
      <c r="G4028" s="100"/>
      <c r="H4028" s="100"/>
      <c r="I4028" s="100"/>
      <c r="J4028" s="100"/>
      <c r="K4028" s="100"/>
      <c r="L4028" s="100"/>
      <c r="M4028" s="100"/>
      <c r="N4028" s="100"/>
      <c r="O4028" s="100"/>
      <c r="P4028" s="100"/>
      <c r="Q4028" s="100"/>
      <c r="R4028" s="100"/>
      <c r="S4028" s="100"/>
      <c r="T4028" s="100"/>
      <c r="U4028" s="100"/>
      <c r="V4028" s="100"/>
      <c r="W4028" s="100"/>
      <c r="X4028" s="100"/>
      <c r="Y4028" s="100"/>
      <c r="Z4028" s="100"/>
    </row>
    <row r="4029" spans="1:26">
      <c r="A4029" s="100"/>
      <c r="B4029" s="100"/>
      <c r="C4029" s="100"/>
      <c r="D4029" s="100"/>
      <c r="E4029" s="100"/>
      <c r="F4029" s="100"/>
      <c r="G4029" s="100"/>
      <c r="H4029" s="100"/>
      <c r="I4029" s="100"/>
      <c r="J4029" s="100"/>
      <c r="K4029" s="100"/>
      <c r="L4029" s="100"/>
      <c r="M4029" s="100"/>
      <c r="N4029" s="100"/>
      <c r="O4029" s="100"/>
      <c r="P4029" s="100"/>
      <c r="Q4029" s="100"/>
      <c r="R4029" s="100"/>
      <c r="S4029" s="100"/>
      <c r="T4029" s="100"/>
      <c r="U4029" s="100"/>
      <c r="V4029" s="100"/>
      <c r="W4029" s="100"/>
      <c r="X4029" s="100"/>
      <c r="Y4029" s="100"/>
      <c r="Z4029" s="100"/>
    </row>
    <row r="4030" spans="1:26">
      <c r="A4030" s="100"/>
      <c r="B4030" s="100"/>
      <c r="C4030" s="100"/>
      <c r="D4030" s="100"/>
      <c r="E4030" s="100"/>
      <c r="F4030" s="100"/>
      <c r="G4030" s="100"/>
      <c r="H4030" s="100"/>
      <c r="I4030" s="100"/>
      <c r="J4030" s="100"/>
      <c r="K4030" s="100"/>
      <c r="L4030" s="100"/>
      <c r="M4030" s="100"/>
      <c r="N4030" s="100"/>
      <c r="O4030" s="100"/>
      <c r="P4030" s="100"/>
      <c r="Q4030" s="100"/>
      <c r="R4030" s="100"/>
      <c r="S4030" s="100"/>
      <c r="T4030" s="100"/>
      <c r="U4030" s="100"/>
      <c r="V4030" s="100"/>
      <c r="W4030" s="100"/>
      <c r="X4030" s="100"/>
      <c r="Y4030" s="100"/>
      <c r="Z4030" s="100"/>
    </row>
    <row r="4031" spans="1:26">
      <c r="A4031" s="100"/>
      <c r="B4031" s="100"/>
      <c r="C4031" s="100"/>
      <c r="D4031" s="100"/>
      <c r="E4031" s="100"/>
      <c r="F4031" s="100"/>
      <c r="G4031" s="100"/>
      <c r="H4031" s="100"/>
      <c r="I4031" s="100"/>
      <c r="J4031" s="100"/>
      <c r="K4031" s="100"/>
      <c r="L4031" s="100"/>
      <c r="M4031" s="100"/>
      <c r="N4031" s="100"/>
      <c r="O4031" s="100"/>
      <c r="P4031" s="100"/>
      <c r="Q4031" s="100"/>
      <c r="R4031" s="100"/>
      <c r="S4031" s="100"/>
      <c r="T4031" s="100"/>
      <c r="U4031" s="100"/>
      <c r="V4031" s="100"/>
      <c r="W4031" s="100"/>
      <c r="X4031" s="100"/>
      <c r="Y4031" s="100"/>
      <c r="Z4031" s="100"/>
    </row>
    <row r="4032" spans="1:26">
      <c r="A4032" s="100"/>
      <c r="B4032" s="100"/>
      <c r="C4032" s="100"/>
      <c r="D4032" s="100"/>
      <c r="E4032" s="100"/>
      <c r="F4032" s="100"/>
      <c r="G4032" s="100"/>
      <c r="H4032" s="100"/>
      <c r="I4032" s="100"/>
      <c r="J4032" s="100"/>
      <c r="K4032" s="100"/>
      <c r="L4032" s="100"/>
      <c r="M4032" s="100"/>
      <c r="N4032" s="100"/>
      <c r="O4032" s="100"/>
      <c r="P4032" s="100"/>
      <c r="Q4032" s="100"/>
      <c r="R4032" s="100"/>
      <c r="S4032" s="100"/>
      <c r="T4032" s="100"/>
      <c r="U4032" s="100"/>
      <c r="V4032" s="100"/>
      <c r="W4032" s="100"/>
      <c r="X4032" s="100"/>
      <c r="Y4032" s="100"/>
      <c r="Z4032" s="100"/>
    </row>
    <row r="4033" spans="1:26">
      <c r="A4033" s="100"/>
      <c r="B4033" s="100"/>
      <c r="C4033" s="100"/>
      <c r="D4033" s="100"/>
      <c r="E4033" s="100"/>
      <c r="F4033" s="100"/>
      <c r="G4033" s="100"/>
      <c r="H4033" s="100"/>
      <c r="I4033" s="100"/>
      <c r="J4033" s="100"/>
      <c r="K4033" s="100"/>
      <c r="L4033" s="100"/>
      <c r="M4033" s="100"/>
      <c r="N4033" s="100"/>
      <c r="O4033" s="100"/>
      <c r="P4033" s="100"/>
      <c r="Q4033" s="100"/>
      <c r="R4033" s="100"/>
      <c r="S4033" s="100"/>
      <c r="T4033" s="100"/>
      <c r="U4033" s="100"/>
      <c r="V4033" s="100"/>
      <c r="W4033" s="100"/>
      <c r="X4033" s="100"/>
      <c r="Y4033" s="100"/>
      <c r="Z4033" s="100"/>
    </row>
    <row r="4034" spans="1:26">
      <c r="A4034" s="100"/>
      <c r="B4034" s="100"/>
      <c r="C4034" s="100"/>
      <c r="D4034" s="100"/>
      <c r="E4034" s="100"/>
      <c r="F4034" s="100"/>
      <c r="G4034" s="100"/>
      <c r="H4034" s="100"/>
      <c r="I4034" s="100"/>
      <c r="J4034" s="100"/>
      <c r="K4034" s="100"/>
      <c r="L4034" s="100"/>
      <c r="M4034" s="100"/>
      <c r="N4034" s="100"/>
      <c r="O4034" s="100"/>
      <c r="P4034" s="100"/>
      <c r="Q4034" s="100"/>
      <c r="R4034" s="100"/>
      <c r="S4034" s="100"/>
      <c r="T4034" s="100"/>
      <c r="U4034" s="100"/>
      <c r="V4034" s="100"/>
      <c r="W4034" s="100"/>
      <c r="X4034" s="100"/>
      <c r="Y4034" s="100"/>
      <c r="Z4034" s="100"/>
    </row>
    <row r="4035" spans="1:26">
      <c r="A4035" s="100"/>
      <c r="B4035" s="100"/>
      <c r="C4035" s="100"/>
      <c r="D4035" s="100"/>
      <c r="E4035" s="100"/>
      <c r="F4035" s="100"/>
      <c r="G4035" s="100"/>
      <c r="H4035" s="100"/>
      <c r="I4035" s="100"/>
      <c r="J4035" s="100"/>
      <c r="K4035" s="100"/>
      <c r="L4035" s="100"/>
      <c r="M4035" s="100"/>
      <c r="N4035" s="100"/>
      <c r="O4035" s="100"/>
      <c r="P4035" s="100"/>
      <c r="Q4035" s="100"/>
      <c r="R4035" s="100"/>
      <c r="S4035" s="100"/>
      <c r="T4035" s="100"/>
      <c r="U4035" s="100"/>
      <c r="V4035" s="100"/>
      <c r="W4035" s="100"/>
      <c r="X4035" s="100"/>
      <c r="Y4035" s="100"/>
      <c r="Z4035" s="100"/>
    </row>
    <row r="4036" spans="1:26">
      <c r="A4036" s="100"/>
      <c r="B4036" s="100"/>
      <c r="C4036" s="100"/>
      <c r="D4036" s="100"/>
      <c r="E4036" s="100"/>
      <c r="F4036" s="100"/>
      <c r="G4036" s="100"/>
      <c r="H4036" s="100"/>
      <c r="I4036" s="100"/>
      <c r="J4036" s="100"/>
      <c r="K4036" s="100"/>
      <c r="L4036" s="100"/>
      <c r="M4036" s="100"/>
      <c r="N4036" s="100"/>
      <c r="O4036" s="100"/>
      <c r="P4036" s="100"/>
      <c r="Q4036" s="100"/>
      <c r="R4036" s="100"/>
      <c r="S4036" s="100"/>
      <c r="T4036" s="100"/>
      <c r="U4036" s="100"/>
      <c r="V4036" s="100"/>
      <c r="W4036" s="100"/>
      <c r="X4036" s="100"/>
      <c r="Y4036" s="100"/>
      <c r="Z4036" s="100"/>
    </row>
    <row r="4037" spans="1:26">
      <c r="A4037" s="100"/>
      <c r="B4037" s="100"/>
      <c r="C4037" s="100"/>
      <c r="D4037" s="100"/>
      <c r="E4037" s="100"/>
      <c r="F4037" s="100"/>
      <c r="G4037" s="100"/>
      <c r="H4037" s="100"/>
      <c r="I4037" s="100"/>
      <c r="J4037" s="100"/>
      <c r="K4037" s="100"/>
      <c r="L4037" s="100"/>
      <c r="M4037" s="100"/>
      <c r="N4037" s="100"/>
      <c r="O4037" s="100"/>
      <c r="P4037" s="100"/>
      <c r="Q4037" s="100"/>
      <c r="R4037" s="100"/>
      <c r="S4037" s="100"/>
      <c r="T4037" s="100"/>
      <c r="U4037" s="100"/>
      <c r="V4037" s="100"/>
      <c r="W4037" s="100"/>
      <c r="X4037" s="100"/>
      <c r="Y4037" s="100"/>
      <c r="Z4037" s="100"/>
    </row>
    <row r="4038" spans="1:26">
      <c r="A4038" s="100"/>
      <c r="B4038" s="100"/>
      <c r="C4038" s="100"/>
      <c r="D4038" s="100"/>
      <c r="E4038" s="100"/>
      <c r="F4038" s="100"/>
      <c r="G4038" s="100"/>
      <c r="H4038" s="100"/>
      <c r="I4038" s="100"/>
      <c r="J4038" s="100"/>
      <c r="K4038" s="100"/>
      <c r="L4038" s="100"/>
      <c r="M4038" s="100"/>
      <c r="N4038" s="100"/>
      <c r="O4038" s="100"/>
      <c r="P4038" s="100"/>
      <c r="Q4038" s="100"/>
      <c r="R4038" s="100"/>
      <c r="S4038" s="100"/>
      <c r="T4038" s="100"/>
      <c r="U4038" s="100"/>
      <c r="V4038" s="100"/>
      <c r="W4038" s="100"/>
      <c r="X4038" s="100"/>
      <c r="Y4038" s="100"/>
      <c r="Z4038" s="100"/>
    </row>
    <row r="4039" spans="1:26">
      <c r="A4039" s="100"/>
      <c r="B4039" s="100"/>
      <c r="C4039" s="100"/>
      <c r="D4039" s="100"/>
      <c r="E4039" s="100"/>
      <c r="F4039" s="100"/>
      <c r="G4039" s="100"/>
      <c r="H4039" s="100"/>
      <c r="I4039" s="100"/>
      <c r="J4039" s="100"/>
      <c r="K4039" s="100"/>
      <c r="L4039" s="100"/>
      <c r="M4039" s="100"/>
      <c r="N4039" s="100"/>
      <c r="O4039" s="100"/>
      <c r="P4039" s="100"/>
      <c r="Q4039" s="100"/>
      <c r="R4039" s="100"/>
      <c r="S4039" s="100"/>
      <c r="T4039" s="100"/>
      <c r="U4039" s="100"/>
      <c r="V4039" s="100"/>
      <c r="W4039" s="100"/>
      <c r="X4039" s="100"/>
      <c r="Y4039" s="100"/>
      <c r="Z4039" s="100"/>
    </row>
    <row r="4040" spans="1:26">
      <c r="A4040" s="100"/>
      <c r="B4040" s="100"/>
      <c r="C4040" s="100"/>
      <c r="D4040" s="100"/>
      <c r="E4040" s="100"/>
      <c r="F4040" s="100"/>
      <c r="G4040" s="100"/>
      <c r="H4040" s="100"/>
      <c r="I4040" s="100"/>
      <c r="J4040" s="100"/>
      <c r="K4040" s="100"/>
      <c r="L4040" s="100"/>
      <c r="M4040" s="100"/>
      <c r="N4040" s="100"/>
      <c r="O4040" s="100"/>
      <c r="P4040" s="100"/>
      <c r="Q4040" s="100"/>
      <c r="R4040" s="100"/>
      <c r="S4040" s="100"/>
      <c r="T4040" s="100"/>
      <c r="U4040" s="100"/>
      <c r="V4040" s="100"/>
      <c r="W4040" s="100"/>
      <c r="X4040" s="100"/>
      <c r="Y4040" s="100"/>
      <c r="Z4040" s="100"/>
    </row>
    <row r="4041" spans="1:26">
      <c r="A4041" s="100"/>
      <c r="B4041" s="100"/>
      <c r="C4041" s="100"/>
      <c r="D4041" s="100"/>
      <c r="E4041" s="100"/>
      <c r="F4041" s="100"/>
      <c r="G4041" s="100"/>
      <c r="H4041" s="100"/>
      <c r="I4041" s="100"/>
      <c r="J4041" s="100"/>
      <c r="K4041" s="100"/>
      <c r="L4041" s="100"/>
      <c r="M4041" s="100"/>
      <c r="N4041" s="100"/>
      <c r="O4041" s="100"/>
      <c r="P4041" s="100"/>
      <c r="Q4041" s="100"/>
      <c r="R4041" s="100"/>
      <c r="S4041" s="100"/>
      <c r="T4041" s="100"/>
      <c r="U4041" s="100"/>
      <c r="V4041" s="100"/>
      <c r="W4041" s="100"/>
      <c r="X4041" s="100"/>
      <c r="Y4041" s="100"/>
      <c r="Z4041" s="100"/>
    </row>
    <row r="4042" spans="1:26">
      <c r="A4042" s="100"/>
      <c r="B4042" s="100"/>
      <c r="C4042" s="100"/>
      <c r="D4042" s="100"/>
      <c r="E4042" s="100"/>
      <c r="F4042" s="100"/>
      <c r="G4042" s="100"/>
      <c r="H4042" s="100"/>
      <c r="I4042" s="100"/>
      <c r="J4042" s="100"/>
      <c r="K4042" s="100"/>
      <c r="L4042" s="100"/>
      <c r="M4042" s="100"/>
      <c r="N4042" s="100"/>
      <c r="O4042" s="100"/>
      <c r="P4042" s="100"/>
      <c r="Q4042" s="100"/>
      <c r="R4042" s="100"/>
      <c r="S4042" s="100"/>
      <c r="T4042" s="100"/>
      <c r="U4042" s="100"/>
      <c r="V4042" s="100"/>
      <c r="W4042" s="100"/>
      <c r="X4042" s="100"/>
      <c r="Y4042" s="100"/>
      <c r="Z4042" s="100"/>
    </row>
    <row r="4043" spans="1:26">
      <c r="A4043" s="100"/>
      <c r="B4043" s="100"/>
      <c r="C4043" s="100"/>
      <c r="D4043" s="100"/>
      <c r="E4043" s="100"/>
      <c r="F4043" s="100"/>
      <c r="G4043" s="100"/>
      <c r="H4043" s="100"/>
      <c r="I4043" s="100"/>
      <c r="J4043" s="100"/>
      <c r="K4043" s="100"/>
      <c r="L4043" s="100"/>
      <c r="M4043" s="100"/>
      <c r="N4043" s="100"/>
      <c r="O4043" s="100"/>
      <c r="P4043" s="100"/>
      <c r="Q4043" s="100"/>
      <c r="R4043" s="100"/>
      <c r="S4043" s="100"/>
      <c r="T4043" s="100"/>
      <c r="U4043" s="100"/>
      <c r="V4043" s="100"/>
      <c r="W4043" s="100"/>
      <c r="X4043" s="100"/>
      <c r="Y4043" s="100"/>
      <c r="Z4043" s="100"/>
    </row>
    <row r="4044" spans="1:26">
      <c r="A4044" s="100"/>
      <c r="B4044" s="100"/>
      <c r="C4044" s="100"/>
      <c r="D4044" s="100"/>
      <c r="E4044" s="100"/>
      <c r="F4044" s="100"/>
      <c r="G4044" s="100"/>
      <c r="H4044" s="100"/>
      <c r="I4044" s="100"/>
      <c r="J4044" s="100"/>
      <c r="K4044" s="100"/>
      <c r="L4044" s="100"/>
      <c r="M4044" s="100"/>
      <c r="N4044" s="100"/>
      <c r="O4044" s="100"/>
      <c r="P4044" s="100"/>
      <c r="Q4044" s="100"/>
      <c r="R4044" s="100"/>
      <c r="S4044" s="100"/>
      <c r="T4044" s="100"/>
      <c r="U4044" s="100"/>
      <c r="V4044" s="100"/>
      <c r="W4044" s="100"/>
      <c r="X4044" s="100"/>
      <c r="Y4044" s="100"/>
      <c r="Z4044" s="100"/>
    </row>
    <row r="4045" spans="1:26">
      <c r="A4045" s="100"/>
      <c r="B4045" s="100"/>
      <c r="C4045" s="100"/>
      <c r="D4045" s="100"/>
      <c r="E4045" s="100"/>
      <c r="F4045" s="100"/>
      <c r="G4045" s="100"/>
      <c r="H4045" s="100"/>
      <c r="I4045" s="100"/>
      <c r="J4045" s="100"/>
      <c r="K4045" s="100"/>
      <c r="L4045" s="100"/>
      <c r="M4045" s="100"/>
      <c r="N4045" s="100"/>
      <c r="O4045" s="100"/>
      <c r="P4045" s="100"/>
      <c r="Q4045" s="100"/>
      <c r="R4045" s="100"/>
      <c r="S4045" s="100"/>
      <c r="T4045" s="100"/>
      <c r="U4045" s="100"/>
      <c r="V4045" s="100"/>
      <c r="W4045" s="100"/>
      <c r="X4045" s="100"/>
      <c r="Y4045" s="100"/>
      <c r="Z4045" s="100"/>
    </row>
    <row r="4046" spans="1:26">
      <c r="A4046" s="100"/>
      <c r="B4046" s="100"/>
      <c r="C4046" s="100"/>
      <c r="D4046" s="100"/>
      <c r="E4046" s="100"/>
      <c r="F4046" s="100"/>
      <c r="G4046" s="100"/>
      <c r="H4046" s="100"/>
      <c r="I4046" s="100"/>
      <c r="J4046" s="100"/>
      <c r="K4046" s="100"/>
      <c r="L4046" s="100"/>
      <c r="M4046" s="100"/>
      <c r="N4046" s="100"/>
      <c r="O4046" s="100"/>
      <c r="P4046" s="100"/>
      <c r="Q4046" s="100"/>
      <c r="R4046" s="100"/>
      <c r="S4046" s="100"/>
      <c r="T4046" s="100"/>
      <c r="U4046" s="100"/>
      <c r="V4046" s="100"/>
      <c r="W4046" s="100"/>
      <c r="X4046" s="100"/>
      <c r="Y4046" s="100"/>
      <c r="Z4046" s="100"/>
    </row>
    <row r="4047" spans="1:26">
      <c r="A4047" s="100"/>
      <c r="B4047" s="100"/>
      <c r="C4047" s="100"/>
      <c r="D4047" s="100"/>
      <c r="E4047" s="100"/>
      <c r="F4047" s="100"/>
      <c r="G4047" s="100"/>
      <c r="H4047" s="100"/>
      <c r="I4047" s="100"/>
      <c r="J4047" s="100"/>
      <c r="K4047" s="100"/>
      <c r="L4047" s="100"/>
      <c r="M4047" s="100"/>
      <c r="N4047" s="100"/>
      <c r="O4047" s="100"/>
      <c r="P4047" s="100"/>
      <c r="Q4047" s="100"/>
      <c r="R4047" s="100"/>
      <c r="S4047" s="100"/>
      <c r="T4047" s="100"/>
      <c r="U4047" s="100"/>
      <c r="V4047" s="100"/>
      <c r="W4047" s="100"/>
      <c r="X4047" s="100"/>
      <c r="Y4047" s="100"/>
      <c r="Z4047" s="100"/>
    </row>
    <row r="4048" spans="1:26">
      <c r="A4048" s="100"/>
      <c r="B4048" s="100"/>
      <c r="C4048" s="100"/>
      <c r="D4048" s="100"/>
      <c r="E4048" s="100"/>
      <c r="F4048" s="100"/>
      <c r="G4048" s="100"/>
      <c r="H4048" s="100"/>
      <c r="I4048" s="100"/>
      <c r="J4048" s="100"/>
      <c r="K4048" s="100"/>
      <c r="L4048" s="100"/>
      <c r="M4048" s="100"/>
      <c r="N4048" s="100"/>
      <c r="O4048" s="100"/>
      <c r="P4048" s="100"/>
      <c r="Q4048" s="100"/>
      <c r="R4048" s="100"/>
      <c r="S4048" s="100"/>
      <c r="T4048" s="100"/>
      <c r="U4048" s="100"/>
      <c r="V4048" s="100"/>
      <c r="W4048" s="100"/>
      <c r="X4048" s="100"/>
      <c r="Y4048" s="100"/>
      <c r="Z4048" s="100"/>
    </row>
    <row r="4049" spans="1:26">
      <c r="A4049" s="100"/>
      <c r="B4049" s="100"/>
      <c r="C4049" s="100"/>
      <c r="D4049" s="100"/>
      <c r="E4049" s="100"/>
      <c r="F4049" s="100"/>
      <c r="G4049" s="100"/>
      <c r="H4049" s="100"/>
      <c r="I4049" s="100"/>
      <c r="J4049" s="100"/>
      <c r="K4049" s="100"/>
      <c r="L4049" s="100"/>
      <c r="M4049" s="100"/>
      <c r="N4049" s="100"/>
      <c r="O4049" s="100"/>
      <c r="P4049" s="100"/>
      <c r="Q4049" s="100"/>
      <c r="R4049" s="100"/>
      <c r="S4049" s="100"/>
      <c r="T4049" s="100"/>
      <c r="U4049" s="100"/>
      <c r="V4049" s="100"/>
      <c r="W4049" s="100"/>
      <c r="X4049" s="100"/>
      <c r="Y4049" s="100"/>
      <c r="Z4049" s="100"/>
    </row>
    <row r="4050" spans="1:26">
      <c r="A4050" s="100"/>
      <c r="B4050" s="100"/>
      <c r="C4050" s="100"/>
      <c r="D4050" s="100"/>
      <c r="E4050" s="100"/>
      <c r="F4050" s="100"/>
      <c r="G4050" s="100"/>
      <c r="H4050" s="100"/>
      <c r="I4050" s="100"/>
      <c r="J4050" s="100"/>
      <c r="K4050" s="100"/>
      <c r="L4050" s="100"/>
      <c r="M4050" s="100"/>
      <c r="N4050" s="100"/>
      <c r="O4050" s="100"/>
      <c r="P4050" s="100"/>
      <c r="Q4050" s="100"/>
      <c r="R4050" s="100"/>
      <c r="S4050" s="100"/>
      <c r="T4050" s="100"/>
      <c r="U4050" s="100"/>
      <c r="V4050" s="100"/>
      <c r="W4050" s="100"/>
      <c r="X4050" s="100"/>
      <c r="Y4050" s="100"/>
      <c r="Z4050" s="100"/>
    </row>
    <row r="4051" spans="1:26">
      <c r="A4051" s="100"/>
      <c r="B4051" s="100"/>
      <c r="C4051" s="100"/>
      <c r="D4051" s="100"/>
      <c r="E4051" s="100"/>
      <c r="F4051" s="100"/>
      <c r="G4051" s="100"/>
      <c r="H4051" s="100"/>
      <c r="I4051" s="100"/>
      <c r="J4051" s="100"/>
      <c r="K4051" s="100"/>
      <c r="L4051" s="100"/>
      <c r="M4051" s="100"/>
      <c r="N4051" s="100"/>
      <c r="O4051" s="100"/>
      <c r="P4051" s="100"/>
      <c r="Q4051" s="100"/>
      <c r="R4051" s="100"/>
      <c r="S4051" s="100"/>
      <c r="T4051" s="100"/>
      <c r="U4051" s="100"/>
      <c r="V4051" s="100"/>
      <c r="W4051" s="100"/>
      <c r="X4051" s="100"/>
      <c r="Y4051" s="100"/>
      <c r="Z4051" s="100"/>
    </row>
    <row r="4052" spans="1:26">
      <c r="A4052" s="100"/>
      <c r="B4052" s="100"/>
      <c r="C4052" s="100"/>
      <c r="D4052" s="100"/>
      <c r="E4052" s="100"/>
      <c r="F4052" s="100"/>
      <c r="G4052" s="100"/>
      <c r="H4052" s="100"/>
      <c r="I4052" s="100"/>
      <c r="J4052" s="100"/>
      <c r="K4052" s="100"/>
      <c r="L4052" s="100"/>
      <c r="M4052" s="100"/>
      <c r="N4052" s="100"/>
      <c r="O4052" s="100"/>
      <c r="P4052" s="100"/>
      <c r="Q4052" s="100"/>
      <c r="R4052" s="100"/>
      <c r="S4052" s="100"/>
      <c r="T4052" s="100"/>
      <c r="U4052" s="100"/>
      <c r="V4052" s="100"/>
      <c r="W4052" s="100"/>
      <c r="X4052" s="100"/>
      <c r="Y4052" s="100"/>
      <c r="Z4052" s="100"/>
    </row>
    <row r="4053" spans="1:26">
      <c r="A4053" s="100"/>
      <c r="B4053" s="100"/>
      <c r="C4053" s="100"/>
      <c r="D4053" s="100"/>
      <c r="E4053" s="100"/>
      <c r="F4053" s="100"/>
      <c r="G4053" s="100"/>
      <c r="H4053" s="100"/>
      <c r="I4053" s="100"/>
      <c r="J4053" s="100"/>
      <c r="K4053" s="100"/>
      <c r="L4053" s="100"/>
      <c r="M4053" s="100"/>
      <c r="N4053" s="100"/>
      <c r="O4053" s="100"/>
      <c r="P4053" s="100"/>
      <c r="Q4053" s="100"/>
      <c r="R4053" s="100"/>
      <c r="S4053" s="100"/>
      <c r="T4053" s="100"/>
      <c r="U4053" s="100"/>
      <c r="V4053" s="100"/>
      <c r="W4053" s="100"/>
      <c r="X4053" s="100"/>
      <c r="Y4053" s="100"/>
      <c r="Z4053" s="100"/>
    </row>
    <row r="4054" spans="1:26">
      <c r="A4054" s="100"/>
      <c r="B4054" s="100"/>
      <c r="C4054" s="100"/>
      <c r="D4054" s="100"/>
      <c r="E4054" s="100"/>
      <c r="F4054" s="100"/>
      <c r="G4054" s="100"/>
      <c r="H4054" s="100"/>
      <c r="I4054" s="100"/>
      <c r="J4054" s="100"/>
      <c r="K4054" s="100"/>
      <c r="L4054" s="100"/>
      <c r="M4054" s="100"/>
      <c r="N4054" s="100"/>
      <c r="O4054" s="100"/>
      <c r="P4054" s="100"/>
      <c r="Q4054" s="100"/>
      <c r="R4054" s="100"/>
      <c r="S4054" s="100"/>
      <c r="T4054" s="100"/>
      <c r="U4054" s="100"/>
      <c r="V4054" s="100"/>
      <c r="W4054" s="100"/>
      <c r="X4054" s="100"/>
      <c r="Y4054" s="100"/>
      <c r="Z4054" s="100"/>
    </row>
    <row r="4055" spans="1:26">
      <c r="A4055" s="100"/>
      <c r="B4055" s="100"/>
      <c r="C4055" s="100"/>
      <c r="D4055" s="100"/>
      <c r="E4055" s="100"/>
      <c r="F4055" s="100"/>
      <c r="G4055" s="100"/>
      <c r="H4055" s="100"/>
      <c r="I4055" s="100"/>
      <c r="J4055" s="100"/>
      <c r="K4055" s="100"/>
      <c r="L4055" s="100"/>
      <c r="M4055" s="100"/>
      <c r="N4055" s="100"/>
      <c r="O4055" s="100"/>
      <c r="P4055" s="100"/>
      <c r="Q4055" s="100"/>
      <c r="R4055" s="100"/>
      <c r="S4055" s="100"/>
      <c r="T4055" s="100"/>
      <c r="U4055" s="100"/>
      <c r="V4055" s="100"/>
      <c r="W4055" s="100"/>
      <c r="X4055" s="100"/>
      <c r="Y4055" s="100"/>
      <c r="Z4055" s="100"/>
    </row>
    <row r="4056" spans="1:26">
      <c r="A4056" s="100"/>
      <c r="B4056" s="100"/>
      <c r="C4056" s="100"/>
      <c r="D4056" s="100"/>
      <c r="E4056" s="100"/>
      <c r="F4056" s="100"/>
      <c r="G4056" s="100"/>
      <c r="H4056" s="100"/>
      <c r="I4056" s="100"/>
      <c r="J4056" s="100"/>
      <c r="K4056" s="100"/>
      <c r="L4056" s="100"/>
      <c r="M4056" s="100"/>
      <c r="N4056" s="100"/>
      <c r="O4056" s="100"/>
      <c r="P4056" s="100"/>
      <c r="Q4056" s="100"/>
      <c r="R4056" s="100"/>
      <c r="S4056" s="100"/>
      <c r="T4056" s="100"/>
      <c r="U4056" s="100"/>
      <c r="V4056" s="100"/>
      <c r="W4056" s="100"/>
      <c r="X4056" s="100"/>
      <c r="Y4056" s="100"/>
      <c r="Z4056" s="100"/>
    </row>
    <row r="4057" spans="1:26">
      <c r="A4057" s="100"/>
      <c r="B4057" s="100"/>
      <c r="C4057" s="100"/>
      <c r="D4057" s="100"/>
      <c r="E4057" s="100"/>
      <c r="F4057" s="100"/>
      <c r="G4057" s="100"/>
      <c r="H4057" s="100"/>
      <c r="I4057" s="100"/>
      <c r="J4057" s="100"/>
      <c r="K4057" s="100"/>
      <c r="L4057" s="100"/>
      <c r="M4057" s="100"/>
      <c r="N4057" s="100"/>
      <c r="O4057" s="100"/>
      <c r="P4057" s="100"/>
      <c r="Q4057" s="100"/>
      <c r="R4057" s="100"/>
      <c r="S4057" s="100"/>
      <c r="T4057" s="100"/>
      <c r="U4057" s="100"/>
      <c r="V4057" s="100"/>
      <c r="W4057" s="100"/>
      <c r="X4057" s="100"/>
      <c r="Y4057" s="100"/>
      <c r="Z4057" s="100"/>
    </row>
    <row r="4058" spans="1:26">
      <c r="A4058" s="100"/>
      <c r="B4058" s="100"/>
      <c r="C4058" s="100"/>
      <c r="D4058" s="100"/>
      <c r="E4058" s="100"/>
      <c r="F4058" s="100"/>
      <c r="G4058" s="100"/>
      <c r="H4058" s="100"/>
      <c r="I4058" s="100"/>
      <c r="J4058" s="100"/>
      <c r="K4058" s="100"/>
      <c r="L4058" s="100"/>
      <c r="M4058" s="100"/>
      <c r="N4058" s="100"/>
      <c r="O4058" s="100"/>
      <c r="P4058" s="100"/>
      <c r="Q4058" s="100"/>
      <c r="R4058" s="100"/>
      <c r="S4058" s="100"/>
      <c r="T4058" s="100"/>
      <c r="U4058" s="100"/>
      <c r="V4058" s="100"/>
      <c r="W4058" s="100"/>
      <c r="X4058" s="100"/>
      <c r="Y4058" s="100"/>
      <c r="Z4058" s="100"/>
    </row>
    <row r="4059" spans="1:26">
      <c r="A4059" s="100"/>
      <c r="B4059" s="100"/>
      <c r="C4059" s="100"/>
      <c r="D4059" s="100"/>
      <c r="E4059" s="100"/>
      <c r="F4059" s="100"/>
      <c r="G4059" s="100"/>
      <c r="H4059" s="100"/>
      <c r="I4059" s="100"/>
      <c r="J4059" s="100"/>
      <c r="K4059" s="100"/>
      <c r="L4059" s="100"/>
      <c r="M4059" s="100"/>
      <c r="N4059" s="100"/>
      <c r="O4059" s="100"/>
      <c r="P4059" s="100"/>
      <c r="Q4059" s="100"/>
      <c r="R4059" s="100"/>
      <c r="S4059" s="100"/>
      <c r="T4059" s="100"/>
      <c r="U4059" s="100"/>
      <c r="V4059" s="100"/>
      <c r="W4059" s="100"/>
      <c r="X4059" s="100"/>
      <c r="Y4059" s="100"/>
      <c r="Z4059" s="100"/>
    </row>
    <row r="4060" spans="1:26">
      <c r="A4060" s="100"/>
      <c r="B4060" s="100"/>
      <c r="C4060" s="100"/>
      <c r="D4060" s="100"/>
      <c r="E4060" s="100"/>
      <c r="F4060" s="100"/>
      <c r="G4060" s="100"/>
      <c r="H4060" s="100"/>
      <c r="I4060" s="100"/>
      <c r="J4060" s="100"/>
      <c r="K4060" s="100"/>
      <c r="L4060" s="100"/>
      <c r="M4060" s="100"/>
      <c r="N4060" s="100"/>
      <c r="O4060" s="100"/>
      <c r="P4060" s="100"/>
      <c r="Q4060" s="100"/>
      <c r="R4060" s="100"/>
      <c r="S4060" s="100"/>
      <c r="T4060" s="100"/>
      <c r="U4060" s="100"/>
      <c r="V4060" s="100"/>
      <c r="W4060" s="100"/>
      <c r="X4060" s="100"/>
      <c r="Y4060" s="100"/>
      <c r="Z4060" s="100"/>
    </row>
    <row r="4061" spans="1:26">
      <c r="A4061" s="100"/>
      <c r="B4061" s="100"/>
      <c r="C4061" s="100"/>
      <c r="D4061" s="100"/>
      <c r="E4061" s="100"/>
      <c r="F4061" s="100"/>
      <c r="G4061" s="100"/>
      <c r="H4061" s="100"/>
      <c r="I4061" s="100"/>
      <c r="J4061" s="100"/>
      <c r="K4061" s="100"/>
      <c r="L4061" s="100"/>
      <c r="M4061" s="100"/>
      <c r="N4061" s="100"/>
      <c r="O4061" s="100"/>
      <c r="P4061" s="100"/>
      <c r="Q4061" s="100"/>
      <c r="R4061" s="100"/>
      <c r="S4061" s="100"/>
      <c r="T4061" s="100"/>
      <c r="U4061" s="100"/>
      <c r="V4061" s="100"/>
      <c r="W4061" s="100"/>
      <c r="X4061" s="100"/>
      <c r="Y4061" s="100"/>
      <c r="Z4061" s="100"/>
    </row>
    <row r="4062" spans="1:26">
      <c r="A4062" s="100"/>
      <c r="B4062" s="100"/>
      <c r="C4062" s="100"/>
      <c r="D4062" s="100"/>
      <c r="E4062" s="100"/>
      <c r="F4062" s="100"/>
      <c r="G4062" s="100"/>
      <c r="H4062" s="100"/>
      <c r="I4062" s="100"/>
      <c r="J4062" s="100"/>
      <c r="K4062" s="100"/>
      <c r="L4062" s="100"/>
      <c r="M4062" s="100"/>
      <c r="N4062" s="100"/>
      <c r="O4062" s="100"/>
      <c r="P4062" s="100"/>
      <c r="Q4062" s="100"/>
      <c r="R4062" s="100"/>
      <c r="S4062" s="100"/>
      <c r="T4062" s="100"/>
      <c r="U4062" s="100"/>
      <c r="V4062" s="100"/>
      <c r="W4062" s="100"/>
      <c r="X4062" s="100"/>
      <c r="Y4062" s="100"/>
      <c r="Z4062" s="100"/>
    </row>
    <row r="4063" spans="1:26">
      <c r="A4063" s="100"/>
      <c r="B4063" s="100"/>
      <c r="C4063" s="100"/>
      <c r="D4063" s="100"/>
      <c r="E4063" s="100"/>
      <c r="F4063" s="100"/>
      <c r="G4063" s="100"/>
      <c r="H4063" s="100"/>
      <c r="I4063" s="100"/>
      <c r="J4063" s="100"/>
      <c r="K4063" s="100"/>
      <c r="L4063" s="100"/>
      <c r="M4063" s="100"/>
      <c r="N4063" s="100"/>
      <c r="O4063" s="100"/>
      <c r="P4063" s="100"/>
      <c r="Q4063" s="100"/>
      <c r="R4063" s="100"/>
      <c r="S4063" s="100"/>
      <c r="T4063" s="100"/>
      <c r="U4063" s="100"/>
      <c r="V4063" s="100"/>
      <c r="W4063" s="100"/>
      <c r="X4063" s="100"/>
      <c r="Y4063" s="100"/>
      <c r="Z4063" s="100"/>
    </row>
    <row r="4064" spans="1:26">
      <c r="A4064" s="100"/>
      <c r="B4064" s="100"/>
      <c r="C4064" s="100"/>
      <c r="D4064" s="100"/>
      <c r="E4064" s="100"/>
      <c r="F4064" s="100"/>
      <c r="G4064" s="100"/>
      <c r="H4064" s="100"/>
      <c r="I4064" s="100"/>
      <c r="J4064" s="100"/>
      <c r="K4064" s="100"/>
      <c r="L4064" s="100"/>
      <c r="M4064" s="100"/>
      <c r="N4064" s="100"/>
      <c r="O4064" s="100"/>
      <c r="P4064" s="100"/>
      <c r="Q4064" s="100"/>
      <c r="R4064" s="100"/>
      <c r="S4064" s="100"/>
      <c r="T4064" s="100"/>
      <c r="U4064" s="100"/>
      <c r="V4064" s="100"/>
      <c r="W4064" s="100"/>
      <c r="X4064" s="100"/>
      <c r="Y4064" s="100"/>
      <c r="Z4064" s="100"/>
    </row>
    <row r="4065" spans="1:26">
      <c r="A4065" s="100"/>
      <c r="B4065" s="100"/>
      <c r="C4065" s="100"/>
      <c r="D4065" s="100"/>
      <c r="E4065" s="100"/>
      <c r="F4065" s="100"/>
      <c r="G4065" s="100"/>
      <c r="H4065" s="100"/>
      <c r="I4065" s="100"/>
      <c r="J4065" s="100"/>
      <c r="K4065" s="100"/>
      <c r="L4065" s="100"/>
      <c r="M4065" s="100"/>
      <c r="N4065" s="100"/>
      <c r="O4065" s="100"/>
      <c r="P4065" s="100"/>
      <c r="Q4065" s="100"/>
      <c r="R4065" s="100"/>
      <c r="S4065" s="100"/>
      <c r="T4065" s="100"/>
      <c r="U4065" s="100"/>
      <c r="V4065" s="100"/>
      <c r="W4065" s="100"/>
      <c r="X4065" s="100"/>
      <c r="Y4065" s="100"/>
      <c r="Z4065" s="100"/>
    </row>
    <row r="4066" spans="1:26">
      <c r="A4066" s="100"/>
      <c r="B4066" s="100"/>
      <c r="C4066" s="100"/>
      <c r="D4066" s="100"/>
      <c r="E4066" s="100"/>
      <c r="F4066" s="100"/>
      <c r="G4066" s="100"/>
      <c r="H4066" s="100"/>
      <c r="I4066" s="100"/>
      <c r="J4066" s="100"/>
      <c r="K4066" s="100"/>
      <c r="L4066" s="100"/>
      <c r="M4066" s="100"/>
      <c r="N4066" s="100"/>
      <c r="O4066" s="100"/>
      <c r="P4066" s="100"/>
      <c r="Q4066" s="100"/>
      <c r="R4066" s="100"/>
      <c r="S4066" s="100"/>
      <c r="T4066" s="100"/>
      <c r="U4066" s="100"/>
      <c r="V4066" s="100"/>
      <c r="W4066" s="100"/>
      <c r="X4066" s="100"/>
      <c r="Y4066" s="100"/>
      <c r="Z4066" s="100"/>
    </row>
    <row r="4067" spans="1:26">
      <c r="A4067" s="100"/>
      <c r="B4067" s="100"/>
      <c r="C4067" s="100"/>
      <c r="D4067" s="100"/>
      <c r="E4067" s="100"/>
      <c r="F4067" s="100"/>
      <c r="G4067" s="100"/>
      <c r="H4067" s="100"/>
      <c r="I4067" s="100"/>
      <c r="J4067" s="100"/>
      <c r="K4067" s="100"/>
      <c r="L4067" s="100"/>
      <c r="M4067" s="100"/>
      <c r="N4067" s="100"/>
      <c r="O4067" s="100"/>
      <c r="P4067" s="100"/>
      <c r="Q4067" s="100"/>
      <c r="R4067" s="100"/>
      <c r="S4067" s="100"/>
      <c r="T4067" s="100"/>
      <c r="U4067" s="100"/>
      <c r="V4067" s="100"/>
      <c r="W4067" s="100"/>
      <c r="X4067" s="100"/>
      <c r="Y4067" s="100"/>
      <c r="Z4067" s="100"/>
    </row>
    <row r="4068" spans="1:26">
      <c r="A4068" s="100"/>
      <c r="B4068" s="100"/>
      <c r="C4068" s="100"/>
      <c r="D4068" s="100"/>
      <c r="E4068" s="100"/>
      <c r="F4068" s="100"/>
      <c r="G4068" s="100"/>
      <c r="H4068" s="100"/>
      <c r="I4068" s="100"/>
      <c r="J4068" s="100"/>
      <c r="K4068" s="100"/>
      <c r="L4068" s="100"/>
      <c r="M4068" s="100"/>
      <c r="N4068" s="100"/>
      <c r="O4068" s="100"/>
      <c r="P4068" s="100"/>
      <c r="Q4068" s="100"/>
      <c r="R4068" s="100"/>
      <c r="S4068" s="100"/>
      <c r="T4068" s="100"/>
      <c r="U4068" s="100"/>
      <c r="V4068" s="100"/>
      <c r="W4068" s="100"/>
      <c r="X4068" s="100"/>
      <c r="Y4068" s="100"/>
      <c r="Z4068" s="100"/>
    </row>
    <row r="4069" spans="1:26">
      <c r="A4069" s="100"/>
      <c r="B4069" s="100"/>
      <c r="C4069" s="100"/>
      <c r="D4069" s="100"/>
      <c r="E4069" s="100"/>
      <c r="F4069" s="100"/>
      <c r="G4069" s="100"/>
      <c r="H4069" s="100"/>
      <c r="I4069" s="100"/>
      <c r="J4069" s="100"/>
      <c r="K4069" s="100"/>
      <c r="L4069" s="100"/>
      <c r="M4069" s="100"/>
      <c r="N4069" s="100"/>
      <c r="O4069" s="100"/>
      <c r="P4069" s="100"/>
      <c r="Q4069" s="100"/>
      <c r="R4069" s="100"/>
      <c r="S4069" s="100"/>
      <c r="T4069" s="100"/>
      <c r="U4069" s="100"/>
      <c r="V4069" s="100"/>
      <c r="W4069" s="100"/>
      <c r="X4069" s="100"/>
      <c r="Y4069" s="100"/>
      <c r="Z4069" s="100"/>
    </row>
    <row r="4070" spans="1:26">
      <c r="A4070" s="100"/>
      <c r="B4070" s="100"/>
      <c r="C4070" s="100"/>
      <c r="D4070" s="100"/>
      <c r="E4070" s="100"/>
      <c r="F4070" s="100"/>
      <c r="G4070" s="100"/>
      <c r="H4070" s="100"/>
      <c r="I4070" s="100"/>
      <c r="J4070" s="100"/>
      <c r="K4070" s="100"/>
      <c r="L4070" s="100"/>
      <c r="M4070" s="100"/>
      <c r="N4070" s="100"/>
      <c r="O4070" s="100"/>
      <c r="P4070" s="100"/>
      <c r="Q4070" s="100"/>
      <c r="R4070" s="100"/>
      <c r="S4070" s="100"/>
      <c r="T4070" s="100"/>
      <c r="U4070" s="100"/>
      <c r="V4070" s="100"/>
      <c r="W4070" s="100"/>
      <c r="X4070" s="100"/>
      <c r="Y4070" s="100"/>
      <c r="Z4070" s="100"/>
    </row>
    <row r="4071" spans="1:26">
      <c r="A4071" s="100"/>
      <c r="B4071" s="100"/>
      <c r="C4071" s="100"/>
      <c r="D4071" s="100"/>
      <c r="E4071" s="100"/>
      <c r="F4071" s="100"/>
      <c r="G4071" s="100"/>
      <c r="H4071" s="100"/>
      <c r="I4071" s="100"/>
      <c r="J4071" s="100"/>
      <c r="K4071" s="100"/>
      <c r="L4071" s="100"/>
      <c r="M4071" s="100"/>
      <c r="N4071" s="100"/>
      <c r="O4071" s="100"/>
      <c r="P4071" s="100"/>
      <c r="Q4071" s="100"/>
      <c r="R4071" s="100"/>
      <c r="S4071" s="100"/>
      <c r="T4071" s="100"/>
      <c r="U4071" s="100"/>
      <c r="V4071" s="100"/>
      <c r="W4071" s="100"/>
      <c r="X4071" s="100"/>
      <c r="Y4071" s="100"/>
      <c r="Z4071" s="100"/>
    </row>
    <row r="4072" spans="1:26">
      <c r="A4072" s="100"/>
      <c r="B4072" s="100"/>
      <c r="C4072" s="100"/>
      <c r="D4072" s="100"/>
      <c r="E4072" s="100"/>
      <c r="F4072" s="100"/>
      <c r="G4072" s="100"/>
      <c r="H4072" s="100"/>
      <c r="I4072" s="100"/>
      <c r="J4072" s="100"/>
      <c r="K4072" s="100"/>
      <c r="L4072" s="100"/>
      <c r="M4072" s="100"/>
      <c r="N4072" s="100"/>
      <c r="O4072" s="100"/>
      <c r="P4072" s="100"/>
      <c r="Q4072" s="100"/>
      <c r="R4072" s="100"/>
      <c r="S4072" s="100"/>
      <c r="T4072" s="100"/>
      <c r="U4072" s="100"/>
      <c r="V4072" s="100"/>
      <c r="W4072" s="100"/>
      <c r="X4072" s="100"/>
      <c r="Y4072" s="100"/>
      <c r="Z4072" s="100"/>
    </row>
    <row r="4073" spans="1:26">
      <c r="A4073" s="100"/>
      <c r="B4073" s="100"/>
      <c r="C4073" s="100"/>
      <c r="D4073" s="100"/>
      <c r="E4073" s="100"/>
      <c r="F4073" s="100"/>
      <c r="G4073" s="100"/>
      <c r="H4073" s="100"/>
      <c r="I4073" s="100"/>
      <c r="J4073" s="100"/>
      <c r="K4073" s="100"/>
      <c r="L4073" s="100"/>
      <c r="M4073" s="100"/>
      <c r="N4073" s="100"/>
      <c r="O4073" s="100"/>
      <c r="P4073" s="100"/>
      <c r="Q4073" s="100"/>
      <c r="R4073" s="100"/>
      <c r="S4073" s="100"/>
      <c r="T4073" s="100"/>
      <c r="U4073" s="100"/>
      <c r="V4073" s="100"/>
      <c r="W4073" s="100"/>
      <c r="X4073" s="100"/>
      <c r="Y4073" s="100"/>
      <c r="Z4073" s="100"/>
    </row>
    <row r="4074" spans="1:26">
      <c r="A4074" s="100"/>
      <c r="B4074" s="100"/>
      <c r="C4074" s="100"/>
      <c r="D4074" s="100"/>
      <c r="E4074" s="100"/>
      <c r="F4074" s="100"/>
      <c r="G4074" s="100"/>
      <c r="H4074" s="100"/>
      <c r="I4074" s="100"/>
      <c r="J4074" s="100"/>
      <c r="K4074" s="100"/>
      <c r="L4074" s="100"/>
      <c r="M4074" s="100"/>
      <c r="N4074" s="100"/>
      <c r="O4074" s="100"/>
      <c r="P4074" s="100"/>
      <c r="Q4074" s="100"/>
      <c r="R4074" s="100"/>
      <c r="S4074" s="100"/>
      <c r="T4074" s="100"/>
      <c r="U4074" s="100"/>
      <c r="V4074" s="100"/>
      <c r="W4074" s="100"/>
      <c r="X4074" s="100"/>
      <c r="Y4074" s="100"/>
      <c r="Z4074" s="100"/>
    </row>
    <row r="4075" spans="1:26">
      <c r="A4075" s="100"/>
      <c r="B4075" s="100"/>
      <c r="C4075" s="100"/>
      <c r="D4075" s="100"/>
      <c r="E4075" s="100"/>
      <c r="F4075" s="100"/>
      <c r="G4075" s="100"/>
      <c r="H4075" s="100"/>
      <c r="I4075" s="100"/>
      <c r="J4075" s="100"/>
      <c r="K4075" s="100"/>
      <c r="L4075" s="100"/>
      <c r="M4075" s="100"/>
      <c r="N4075" s="100"/>
      <c r="O4075" s="100"/>
      <c r="P4075" s="100"/>
      <c r="Q4075" s="100"/>
      <c r="R4075" s="100"/>
      <c r="S4075" s="100"/>
      <c r="T4075" s="100"/>
      <c r="U4075" s="100"/>
      <c r="V4075" s="100"/>
      <c r="W4075" s="100"/>
      <c r="X4075" s="100"/>
      <c r="Y4075" s="100"/>
      <c r="Z4075" s="100"/>
    </row>
    <row r="4076" spans="1:26">
      <c r="A4076" s="100"/>
      <c r="B4076" s="100"/>
      <c r="C4076" s="100"/>
      <c r="D4076" s="100"/>
      <c r="E4076" s="100"/>
      <c r="F4076" s="100"/>
      <c r="G4076" s="100"/>
      <c r="H4076" s="100"/>
      <c r="I4076" s="100"/>
      <c r="J4076" s="100"/>
      <c r="K4076" s="100"/>
      <c r="L4076" s="100"/>
      <c r="M4076" s="100"/>
      <c r="N4076" s="100"/>
      <c r="O4076" s="100"/>
      <c r="P4076" s="100"/>
      <c r="Q4076" s="100"/>
      <c r="R4076" s="100"/>
      <c r="S4076" s="100"/>
      <c r="T4076" s="100"/>
      <c r="U4076" s="100"/>
      <c r="V4076" s="100"/>
      <c r="W4076" s="100"/>
      <c r="X4076" s="100"/>
      <c r="Y4076" s="100"/>
      <c r="Z4076" s="100"/>
    </row>
    <row r="4077" spans="1:26">
      <c r="A4077" s="100"/>
      <c r="B4077" s="100"/>
      <c r="C4077" s="100"/>
      <c r="D4077" s="100"/>
      <c r="E4077" s="100"/>
      <c r="F4077" s="100"/>
      <c r="G4077" s="100"/>
      <c r="H4077" s="100"/>
      <c r="I4077" s="100"/>
      <c r="J4077" s="100"/>
      <c r="K4077" s="100"/>
      <c r="L4077" s="100"/>
      <c r="M4077" s="100"/>
      <c r="N4077" s="100"/>
      <c r="O4077" s="100"/>
      <c r="P4077" s="100"/>
      <c r="Q4077" s="100"/>
      <c r="R4077" s="100"/>
      <c r="S4077" s="100"/>
      <c r="T4077" s="100"/>
      <c r="U4077" s="100"/>
      <c r="V4077" s="100"/>
      <c r="W4077" s="100"/>
      <c r="X4077" s="100"/>
      <c r="Y4077" s="100"/>
      <c r="Z4077" s="100"/>
    </row>
    <row r="4078" spans="1:26">
      <c r="A4078" s="100"/>
      <c r="B4078" s="100"/>
      <c r="C4078" s="100"/>
      <c r="D4078" s="100"/>
      <c r="E4078" s="100"/>
      <c r="F4078" s="100"/>
      <c r="G4078" s="100"/>
      <c r="H4078" s="100"/>
      <c r="I4078" s="100"/>
      <c r="J4078" s="100"/>
      <c r="K4078" s="100"/>
      <c r="L4078" s="100"/>
      <c r="M4078" s="100"/>
      <c r="N4078" s="100"/>
      <c r="O4078" s="100"/>
      <c r="P4078" s="100"/>
      <c r="Q4078" s="100"/>
      <c r="R4078" s="100"/>
      <c r="S4078" s="100"/>
      <c r="T4078" s="100"/>
      <c r="U4078" s="100"/>
      <c r="V4078" s="100"/>
      <c r="W4078" s="100"/>
      <c r="X4078" s="100"/>
      <c r="Y4078" s="100"/>
      <c r="Z4078" s="100"/>
    </row>
    <row r="4079" spans="1:26">
      <c r="A4079" s="100"/>
      <c r="B4079" s="100"/>
      <c r="C4079" s="100"/>
      <c r="D4079" s="100"/>
      <c r="E4079" s="100"/>
      <c r="F4079" s="100"/>
      <c r="G4079" s="100"/>
      <c r="H4079" s="100"/>
      <c r="I4079" s="100"/>
      <c r="J4079" s="100"/>
      <c r="K4079" s="100"/>
      <c r="L4079" s="100"/>
      <c r="M4079" s="100"/>
      <c r="N4079" s="100"/>
      <c r="O4079" s="100"/>
      <c r="P4079" s="100"/>
      <c r="Q4079" s="100"/>
      <c r="R4079" s="100"/>
      <c r="S4079" s="100"/>
      <c r="T4079" s="100"/>
      <c r="U4079" s="100"/>
      <c r="V4079" s="100"/>
      <c r="W4079" s="100"/>
      <c r="X4079" s="100"/>
      <c r="Y4079" s="100"/>
      <c r="Z4079" s="100"/>
    </row>
    <row r="4080" spans="1:26">
      <c r="A4080" s="100"/>
      <c r="B4080" s="100"/>
      <c r="C4080" s="100"/>
      <c r="D4080" s="100"/>
      <c r="E4080" s="100"/>
      <c r="F4080" s="100"/>
      <c r="G4080" s="100"/>
      <c r="H4080" s="100"/>
      <c r="I4080" s="100"/>
      <c r="J4080" s="100"/>
      <c r="K4080" s="100"/>
      <c r="L4080" s="100"/>
      <c r="M4080" s="100"/>
      <c r="N4080" s="100"/>
      <c r="O4080" s="100"/>
      <c r="P4080" s="100"/>
      <c r="Q4080" s="100"/>
      <c r="R4080" s="100"/>
      <c r="S4080" s="100"/>
      <c r="T4080" s="100"/>
      <c r="U4080" s="100"/>
      <c r="V4080" s="100"/>
      <c r="W4080" s="100"/>
      <c r="X4080" s="100"/>
      <c r="Y4080" s="100"/>
      <c r="Z4080" s="100"/>
    </row>
    <row r="4081" spans="1:26">
      <c r="A4081" s="100"/>
      <c r="B4081" s="100"/>
      <c r="C4081" s="100"/>
      <c r="D4081" s="100"/>
      <c r="E4081" s="100"/>
      <c r="F4081" s="100"/>
      <c r="G4081" s="100"/>
      <c r="H4081" s="100"/>
      <c r="I4081" s="100"/>
      <c r="J4081" s="100"/>
      <c r="K4081" s="100"/>
      <c r="L4081" s="100"/>
      <c r="M4081" s="100"/>
      <c r="N4081" s="100"/>
      <c r="O4081" s="100"/>
      <c r="P4081" s="100"/>
      <c r="Q4081" s="100"/>
      <c r="R4081" s="100"/>
      <c r="S4081" s="100"/>
      <c r="T4081" s="100"/>
      <c r="U4081" s="100"/>
      <c r="V4081" s="100"/>
      <c r="W4081" s="100"/>
      <c r="X4081" s="100"/>
      <c r="Y4081" s="100"/>
      <c r="Z4081" s="100"/>
    </row>
    <row r="4082" spans="1:26">
      <c r="A4082" s="100"/>
      <c r="B4082" s="100"/>
      <c r="C4082" s="100"/>
      <c r="D4082" s="100"/>
      <c r="E4082" s="100"/>
      <c r="F4082" s="100"/>
      <c r="G4082" s="100"/>
      <c r="H4082" s="100"/>
      <c r="I4082" s="100"/>
      <c r="J4082" s="100"/>
      <c r="K4082" s="100"/>
      <c r="L4082" s="100"/>
      <c r="M4082" s="100"/>
      <c r="N4082" s="100"/>
      <c r="O4082" s="100"/>
      <c r="P4082" s="100"/>
      <c r="Q4082" s="100"/>
      <c r="R4082" s="100"/>
      <c r="S4082" s="100"/>
      <c r="T4082" s="100"/>
      <c r="U4082" s="100"/>
      <c r="V4082" s="100"/>
      <c r="W4082" s="100"/>
      <c r="X4082" s="100"/>
      <c r="Y4082" s="100"/>
      <c r="Z4082" s="100"/>
    </row>
    <row r="4083" spans="1:26">
      <c r="A4083" s="100"/>
      <c r="B4083" s="100"/>
      <c r="C4083" s="100"/>
      <c r="D4083" s="100"/>
      <c r="E4083" s="100"/>
      <c r="F4083" s="100"/>
      <c r="G4083" s="100"/>
      <c r="H4083" s="100"/>
      <c r="I4083" s="100"/>
      <c r="J4083" s="100"/>
      <c r="K4083" s="100"/>
      <c r="L4083" s="100"/>
      <c r="M4083" s="100"/>
      <c r="N4083" s="100"/>
      <c r="O4083" s="100"/>
      <c r="P4083" s="100"/>
      <c r="Q4083" s="100"/>
      <c r="R4083" s="100"/>
      <c r="S4083" s="100"/>
      <c r="T4083" s="100"/>
      <c r="U4083" s="100"/>
      <c r="V4083" s="100"/>
      <c r="W4083" s="100"/>
      <c r="X4083" s="100"/>
      <c r="Y4083" s="100"/>
      <c r="Z4083" s="100"/>
    </row>
    <row r="4084" spans="1:26">
      <c r="A4084" s="100"/>
      <c r="B4084" s="100"/>
      <c r="C4084" s="100"/>
      <c r="D4084" s="100"/>
      <c r="E4084" s="100"/>
      <c r="F4084" s="100"/>
      <c r="G4084" s="100"/>
      <c r="H4084" s="100"/>
      <c r="I4084" s="100"/>
      <c r="J4084" s="100"/>
      <c r="K4084" s="100"/>
      <c r="L4084" s="100"/>
      <c r="M4084" s="100"/>
      <c r="N4084" s="100"/>
      <c r="O4084" s="100"/>
      <c r="P4084" s="100"/>
      <c r="Q4084" s="100"/>
      <c r="R4084" s="100"/>
      <c r="S4084" s="100"/>
      <c r="T4084" s="100"/>
      <c r="U4084" s="100"/>
      <c r="V4084" s="100"/>
      <c r="W4084" s="100"/>
      <c r="X4084" s="100"/>
      <c r="Y4084" s="100"/>
      <c r="Z4084" s="100"/>
    </row>
    <row r="4085" spans="1:26">
      <c r="A4085" s="100"/>
      <c r="B4085" s="100"/>
      <c r="C4085" s="100"/>
      <c r="D4085" s="100"/>
      <c r="E4085" s="100"/>
      <c r="F4085" s="100"/>
      <c r="G4085" s="100"/>
      <c r="H4085" s="100"/>
      <c r="I4085" s="100"/>
      <c r="J4085" s="100"/>
      <c r="K4085" s="100"/>
      <c r="L4085" s="100"/>
      <c r="M4085" s="100"/>
      <c r="N4085" s="100"/>
      <c r="O4085" s="100"/>
      <c r="P4085" s="100"/>
      <c r="Q4085" s="100"/>
      <c r="R4085" s="100"/>
      <c r="S4085" s="100"/>
      <c r="T4085" s="100"/>
      <c r="U4085" s="100"/>
      <c r="V4085" s="100"/>
      <c r="W4085" s="100"/>
      <c r="X4085" s="100"/>
      <c r="Y4085" s="100"/>
      <c r="Z4085" s="100"/>
    </row>
    <row r="4086" spans="1:26">
      <c r="A4086" s="100"/>
      <c r="B4086" s="100"/>
      <c r="C4086" s="100"/>
      <c r="D4086" s="100"/>
      <c r="E4086" s="100"/>
      <c r="F4086" s="100"/>
      <c r="G4086" s="100"/>
      <c r="H4086" s="100"/>
      <c r="I4086" s="100"/>
      <c r="J4086" s="100"/>
      <c r="K4086" s="100"/>
      <c r="L4086" s="100"/>
      <c r="M4086" s="100"/>
      <c r="N4086" s="100"/>
      <c r="O4086" s="100"/>
      <c r="P4086" s="100"/>
      <c r="Q4086" s="100"/>
      <c r="R4086" s="100"/>
      <c r="S4086" s="100"/>
      <c r="T4086" s="100"/>
      <c r="U4086" s="100"/>
      <c r="V4086" s="100"/>
      <c r="W4086" s="100"/>
      <c r="X4086" s="100"/>
      <c r="Y4086" s="100"/>
      <c r="Z4086" s="100"/>
    </row>
    <row r="4087" spans="1:26">
      <c r="A4087" s="100"/>
      <c r="B4087" s="100"/>
      <c r="C4087" s="100"/>
      <c r="D4087" s="100"/>
      <c r="E4087" s="100"/>
      <c r="F4087" s="100"/>
      <c r="G4087" s="100"/>
      <c r="H4087" s="100"/>
      <c r="I4087" s="100"/>
      <c r="J4087" s="100"/>
      <c r="K4087" s="100"/>
      <c r="L4087" s="100"/>
      <c r="M4087" s="100"/>
      <c r="N4087" s="100"/>
      <c r="O4087" s="100"/>
      <c r="P4087" s="100"/>
      <c r="Q4087" s="100"/>
      <c r="R4087" s="100"/>
      <c r="S4087" s="100"/>
      <c r="T4087" s="100"/>
      <c r="U4087" s="100"/>
      <c r="V4087" s="100"/>
      <c r="W4087" s="100"/>
      <c r="X4087" s="100"/>
      <c r="Y4087" s="100"/>
      <c r="Z4087" s="100"/>
    </row>
    <row r="4088" spans="1:26">
      <c r="A4088" s="100"/>
      <c r="B4088" s="100"/>
      <c r="C4088" s="100"/>
      <c r="D4088" s="100"/>
      <c r="E4088" s="100"/>
      <c r="F4088" s="100"/>
      <c r="G4088" s="100"/>
      <c r="H4088" s="100"/>
      <c r="I4088" s="100"/>
      <c r="J4088" s="100"/>
      <c r="K4088" s="100"/>
      <c r="L4088" s="100"/>
      <c r="M4088" s="100"/>
      <c r="N4088" s="100"/>
      <c r="O4088" s="100"/>
      <c r="P4088" s="100"/>
      <c r="Q4088" s="100"/>
      <c r="R4088" s="100"/>
      <c r="S4088" s="100"/>
      <c r="T4088" s="100"/>
      <c r="U4088" s="100"/>
      <c r="V4088" s="100"/>
      <c r="W4088" s="100"/>
      <c r="X4088" s="100"/>
      <c r="Y4088" s="100"/>
      <c r="Z4088" s="100"/>
    </row>
    <row r="4089" spans="1:26">
      <c r="A4089" s="100"/>
      <c r="B4089" s="100"/>
      <c r="C4089" s="100"/>
      <c r="D4089" s="100"/>
      <c r="E4089" s="100"/>
      <c r="F4089" s="100"/>
      <c r="G4089" s="100"/>
      <c r="H4089" s="100"/>
      <c r="I4089" s="100"/>
      <c r="J4089" s="100"/>
      <c r="K4089" s="100"/>
      <c r="L4089" s="100"/>
      <c r="M4089" s="100"/>
      <c r="N4089" s="100"/>
      <c r="O4089" s="100"/>
      <c r="P4089" s="100"/>
      <c r="Q4089" s="100"/>
      <c r="R4089" s="100"/>
      <c r="S4089" s="100"/>
      <c r="T4089" s="100"/>
      <c r="U4089" s="100"/>
      <c r="V4089" s="100"/>
      <c r="W4089" s="100"/>
      <c r="X4089" s="100"/>
      <c r="Y4089" s="100"/>
      <c r="Z4089" s="100"/>
    </row>
    <row r="4090" spans="1:26">
      <c r="A4090" s="100"/>
      <c r="B4090" s="100"/>
      <c r="C4090" s="100"/>
      <c r="D4090" s="100"/>
      <c r="E4090" s="100"/>
      <c r="F4090" s="100"/>
      <c r="G4090" s="100"/>
      <c r="H4090" s="100"/>
      <c r="I4090" s="100"/>
      <c r="J4090" s="100"/>
      <c r="K4090" s="100"/>
      <c r="L4090" s="100"/>
      <c r="M4090" s="100"/>
      <c r="N4090" s="100"/>
      <c r="O4090" s="100"/>
      <c r="P4090" s="100"/>
      <c r="Q4090" s="100"/>
      <c r="R4090" s="100"/>
      <c r="S4090" s="100"/>
      <c r="T4090" s="100"/>
      <c r="U4090" s="100"/>
      <c r="V4090" s="100"/>
      <c r="W4090" s="100"/>
      <c r="X4090" s="100"/>
      <c r="Y4090" s="100"/>
      <c r="Z4090" s="100"/>
    </row>
    <row r="4091" spans="1:26">
      <c r="A4091" s="100"/>
      <c r="B4091" s="100"/>
      <c r="C4091" s="100"/>
      <c r="D4091" s="100"/>
      <c r="E4091" s="100"/>
      <c r="F4091" s="100"/>
      <c r="G4091" s="100"/>
      <c r="H4091" s="100"/>
      <c r="I4091" s="100"/>
      <c r="J4091" s="100"/>
      <c r="K4091" s="100"/>
      <c r="L4091" s="100"/>
      <c r="M4091" s="100"/>
      <c r="N4091" s="100"/>
      <c r="O4091" s="100"/>
      <c r="P4091" s="100"/>
      <c r="Q4091" s="100"/>
      <c r="R4091" s="100"/>
      <c r="S4091" s="100"/>
      <c r="T4091" s="100"/>
      <c r="U4091" s="100"/>
      <c r="V4091" s="100"/>
      <c r="W4091" s="100"/>
      <c r="X4091" s="100"/>
      <c r="Y4091" s="100"/>
      <c r="Z4091" s="100"/>
    </row>
    <row r="4092" spans="1:26">
      <c r="A4092" s="100"/>
      <c r="B4092" s="100"/>
      <c r="C4092" s="100"/>
      <c r="D4092" s="100"/>
      <c r="E4092" s="100"/>
      <c r="F4092" s="100"/>
      <c r="G4092" s="100"/>
      <c r="H4092" s="100"/>
      <c r="I4092" s="100"/>
      <c r="J4092" s="100"/>
      <c r="K4092" s="100"/>
      <c r="L4092" s="100"/>
      <c r="M4092" s="100"/>
      <c r="N4092" s="100"/>
      <c r="O4092" s="100"/>
      <c r="P4092" s="100"/>
      <c r="Q4092" s="100"/>
      <c r="R4092" s="100"/>
      <c r="S4092" s="100"/>
      <c r="T4092" s="100"/>
      <c r="U4092" s="100"/>
      <c r="V4092" s="100"/>
      <c r="W4092" s="100"/>
      <c r="X4092" s="100"/>
      <c r="Y4092" s="100"/>
      <c r="Z4092" s="100"/>
    </row>
    <row r="4093" spans="1:26">
      <c r="A4093" s="100"/>
      <c r="B4093" s="100"/>
      <c r="C4093" s="100"/>
      <c r="D4093" s="100"/>
      <c r="E4093" s="100"/>
      <c r="F4093" s="100"/>
      <c r="G4093" s="100"/>
      <c r="H4093" s="100"/>
      <c r="I4093" s="100"/>
      <c r="J4093" s="100"/>
      <c r="K4093" s="100"/>
      <c r="L4093" s="100"/>
      <c r="M4093" s="100"/>
      <c r="N4093" s="100"/>
      <c r="O4093" s="100"/>
      <c r="P4093" s="100"/>
      <c r="Q4093" s="100"/>
      <c r="R4093" s="100"/>
      <c r="S4093" s="100"/>
      <c r="T4093" s="100"/>
      <c r="U4093" s="100"/>
      <c r="V4093" s="100"/>
      <c r="W4093" s="100"/>
      <c r="X4093" s="100"/>
      <c r="Y4093" s="100"/>
      <c r="Z4093" s="100"/>
    </row>
    <row r="4094" spans="1:26">
      <c r="A4094" s="100"/>
      <c r="B4094" s="100"/>
      <c r="C4094" s="100"/>
      <c r="D4094" s="100"/>
      <c r="E4094" s="100"/>
      <c r="F4094" s="100"/>
      <c r="G4094" s="100"/>
      <c r="H4094" s="100"/>
      <c r="I4094" s="100"/>
      <c r="J4094" s="100"/>
      <c r="K4094" s="100"/>
      <c r="L4094" s="100"/>
      <c r="M4094" s="100"/>
      <c r="N4094" s="100"/>
      <c r="O4094" s="100"/>
      <c r="P4094" s="100"/>
      <c r="Q4094" s="100"/>
      <c r="R4094" s="100"/>
      <c r="S4094" s="100"/>
      <c r="T4094" s="100"/>
      <c r="U4094" s="100"/>
      <c r="V4094" s="100"/>
      <c r="W4094" s="100"/>
      <c r="X4094" s="100"/>
      <c r="Y4094" s="100"/>
      <c r="Z4094" s="100"/>
    </row>
    <row r="4095" spans="1:26">
      <c r="A4095" s="100"/>
      <c r="B4095" s="100"/>
      <c r="C4095" s="100"/>
      <c r="D4095" s="100"/>
      <c r="E4095" s="100"/>
      <c r="F4095" s="100"/>
      <c r="G4095" s="100"/>
      <c r="H4095" s="100"/>
      <c r="I4095" s="100"/>
      <c r="J4095" s="100"/>
      <c r="K4095" s="100"/>
      <c r="L4095" s="100"/>
      <c r="M4095" s="100"/>
      <c r="N4095" s="100"/>
      <c r="O4095" s="100"/>
      <c r="P4095" s="100"/>
      <c r="Q4095" s="100"/>
      <c r="R4095" s="100"/>
      <c r="S4095" s="100"/>
      <c r="T4095" s="100"/>
      <c r="U4095" s="100"/>
      <c r="V4095" s="100"/>
      <c r="W4095" s="100"/>
      <c r="X4095" s="100"/>
      <c r="Y4095" s="100"/>
      <c r="Z4095" s="100"/>
    </row>
    <row r="4096" spans="1:26">
      <c r="A4096" s="100"/>
      <c r="B4096" s="100"/>
      <c r="C4096" s="100"/>
      <c r="D4096" s="100"/>
      <c r="E4096" s="100"/>
      <c r="F4096" s="100"/>
      <c r="G4096" s="100"/>
      <c r="H4096" s="100"/>
      <c r="I4096" s="100"/>
      <c r="J4096" s="100"/>
      <c r="K4096" s="100"/>
      <c r="L4096" s="100"/>
      <c r="M4096" s="100"/>
      <c r="N4096" s="100"/>
      <c r="O4096" s="100"/>
      <c r="P4096" s="100"/>
      <c r="Q4096" s="100"/>
      <c r="R4096" s="100"/>
      <c r="S4096" s="100"/>
      <c r="T4096" s="100"/>
      <c r="U4096" s="100"/>
      <c r="V4096" s="100"/>
      <c r="W4096" s="100"/>
      <c r="X4096" s="100"/>
      <c r="Y4096" s="100"/>
      <c r="Z4096" s="100"/>
    </row>
    <row r="4097" spans="1:26">
      <c r="A4097" s="100"/>
      <c r="B4097" s="100"/>
      <c r="C4097" s="100"/>
      <c r="D4097" s="100"/>
      <c r="E4097" s="100"/>
      <c r="F4097" s="100"/>
      <c r="G4097" s="100"/>
      <c r="H4097" s="100"/>
      <c r="I4097" s="100"/>
      <c r="J4097" s="100"/>
      <c r="K4097" s="100"/>
      <c r="L4097" s="100"/>
      <c r="M4097" s="100"/>
      <c r="N4097" s="100"/>
      <c r="O4097" s="100"/>
      <c r="P4097" s="100"/>
      <c r="Q4097" s="100"/>
      <c r="R4097" s="100"/>
      <c r="S4097" s="100"/>
      <c r="T4097" s="100"/>
      <c r="U4097" s="100"/>
      <c r="V4097" s="100"/>
      <c r="W4097" s="100"/>
      <c r="X4097" s="100"/>
      <c r="Y4097" s="100"/>
      <c r="Z4097" s="100"/>
    </row>
    <row r="4098" spans="1:26">
      <c r="A4098" s="100"/>
      <c r="B4098" s="100"/>
      <c r="C4098" s="100"/>
      <c r="D4098" s="100"/>
      <c r="E4098" s="100"/>
      <c r="F4098" s="100"/>
      <c r="G4098" s="100"/>
      <c r="H4098" s="100"/>
      <c r="I4098" s="100"/>
      <c r="J4098" s="100"/>
      <c r="K4098" s="100"/>
      <c r="L4098" s="100"/>
      <c r="M4098" s="100"/>
      <c r="N4098" s="100"/>
      <c r="O4098" s="100"/>
      <c r="P4098" s="100"/>
      <c r="Q4098" s="100"/>
      <c r="R4098" s="100"/>
      <c r="S4098" s="100"/>
      <c r="T4098" s="100"/>
      <c r="U4098" s="100"/>
      <c r="V4098" s="100"/>
      <c r="W4098" s="100"/>
      <c r="X4098" s="100"/>
      <c r="Y4098" s="100"/>
      <c r="Z4098" s="100"/>
    </row>
    <row r="4099" spans="1:26">
      <c r="A4099" s="100"/>
      <c r="B4099" s="100"/>
      <c r="C4099" s="100"/>
      <c r="D4099" s="100"/>
      <c r="E4099" s="100"/>
      <c r="F4099" s="100"/>
      <c r="G4099" s="100"/>
      <c r="H4099" s="100"/>
      <c r="I4099" s="100"/>
      <c r="J4099" s="100"/>
      <c r="K4099" s="100"/>
      <c r="L4099" s="100"/>
      <c r="M4099" s="100"/>
      <c r="N4099" s="100"/>
      <c r="O4099" s="100"/>
      <c r="P4099" s="100"/>
      <c r="Q4099" s="100"/>
      <c r="R4099" s="100"/>
      <c r="S4099" s="100"/>
      <c r="T4099" s="100"/>
      <c r="U4099" s="100"/>
      <c r="V4099" s="100"/>
      <c r="W4099" s="100"/>
      <c r="X4099" s="100"/>
      <c r="Y4099" s="100"/>
      <c r="Z4099" s="100"/>
    </row>
    <row r="4100" spans="1:26">
      <c r="A4100" s="100"/>
      <c r="B4100" s="100"/>
      <c r="C4100" s="100"/>
      <c r="D4100" s="100"/>
      <c r="E4100" s="100"/>
      <c r="F4100" s="100"/>
      <c r="G4100" s="100"/>
      <c r="H4100" s="100"/>
      <c r="I4100" s="100"/>
      <c r="J4100" s="100"/>
      <c r="K4100" s="100"/>
      <c r="L4100" s="100"/>
      <c r="M4100" s="100"/>
      <c r="N4100" s="100"/>
      <c r="O4100" s="100"/>
      <c r="P4100" s="100"/>
      <c r="Q4100" s="100"/>
      <c r="R4100" s="100"/>
      <c r="S4100" s="100"/>
      <c r="T4100" s="100"/>
      <c r="U4100" s="100"/>
      <c r="V4100" s="100"/>
      <c r="W4100" s="100"/>
      <c r="X4100" s="100"/>
      <c r="Y4100" s="100"/>
      <c r="Z4100" s="100"/>
    </row>
    <row r="4101" spans="1:26">
      <c r="A4101" s="100"/>
      <c r="B4101" s="100"/>
      <c r="C4101" s="100"/>
      <c r="D4101" s="100"/>
      <c r="E4101" s="100"/>
      <c r="F4101" s="100"/>
      <c r="G4101" s="100"/>
      <c r="H4101" s="100"/>
      <c r="I4101" s="100"/>
      <c r="J4101" s="100"/>
      <c r="K4101" s="100"/>
      <c r="L4101" s="100"/>
      <c r="M4101" s="100"/>
      <c r="N4101" s="100"/>
      <c r="O4101" s="100"/>
      <c r="P4101" s="100"/>
      <c r="Q4101" s="100"/>
      <c r="R4101" s="100"/>
      <c r="S4101" s="100"/>
      <c r="T4101" s="100"/>
      <c r="U4101" s="100"/>
      <c r="V4101" s="100"/>
      <c r="W4101" s="100"/>
      <c r="X4101" s="100"/>
      <c r="Y4101" s="100"/>
      <c r="Z4101" s="100"/>
    </row>
    <row r="4102" spans="1:26">
      <c r="A4102" s="100"/>
      <c r="B4102" s="100"/>
      <c r="C4102" s="100"/>
      <c r="D4102" s="100"/>
      <c r="E4102" s="100"/>
      <c r="F4102" s="100"/>
      <c r="G4102" s="100"/>
      <c r="H4102" s="100"/>
      <c r="I4102" s="100"/>
      <c r="J4102" s="100"/>
      <c r="K4102" s="100"/>
      <c r="L4102" s="100"/>
      <c r="M4102" s="100"/>
      <c r="N4102" s="100"/>
      <c r="O4102" s="100"/>
      <c r="P4102" s="100"/>
      <c r="Q4102" s="100"/>
      <c r="R4102" s="100"/>
      <c r="S4102" s="100"/>
      <c r="T4102" s="100"/>
      <c r="U4102" s="100"/>
      <c r="V4102" s="100"/>
      <c r="W4102" s="100"/>
      <c r="X4102" s="100"/>
      <c r="Y4102" s="100"/>
      <c r="Z4102" s="100"/>
    </row>
    <row r="4103" spans="1:26">
      <c r="A4103" s="100"/>
      <c r="B4103" s="100"/>
      <c r="C4103" s="100"/>
      <c r="D4103" s="100"/>
      <c r="E4103" s="100"/>
      <c r="F4103" s="100"/>
      <c r="G4103" s="100"/>
      <c r="H4103" s="100"/>
      <c r="I4103" s="100"/>
      <c r="J4103" s="100"/>
      <c r="K4103" s="100"/>
      <c r="L4103" s="100"/>
      <c r="M4103" s="100"/>
      <c r="N4103" s="100"/>
      <c r="O4103" s="100"/>
      <c r="P4103" s="100"/>
      <c r="Q4103" s="100"/>
      <c r="R4103" s="100"/>
      <c r="S4103" s="100"/>
      <c r="T4103" s="100"/>
      <c r="U4103" s="100"/>
      <c r="V4103" s="100"/>
      <c r="W4103" s="100"/>
      <c r="X4103" s="100"/>
      <c r="Y4103" s="100"/>
      <c r="Z4103" s="100"/>
    </row>
    <row r="4104" spans="1:26">
      <c r="A4104" s="100"/>
      <c r="B4104" s="100"/>
      <c r="C4104" s="100"/>
      <c r="D4104" s="100"/>
      <c r="E4104" s="100"/>
      <c r="F4104" s="100"/>
      <c r="G4104" s="100"/>
      <c r="H4104" s="100"/>
      <c r="I4104" s="100"/>
      <c r="J4104" s="100"/>
      <c r="K4104" s="100"/>
      <c r="L4104" s="100"/>
      <c r="M4104" s="100"/>
      <c r="N4104" s="100"/>
      <c r="O4104" s="100"/>
      <c r="P4104" s="100"/>
      <c r="Q4104" s="100"/>
      <c r="R4104" s="100"/>
      <c r="S4104" s="100"/>
      <c r="T4104" s="100"/>
      <c r="U4104" s="100"/>
      <c r="V4104" s="100"/>
      <c r="W4104" s="100"/>
      <c r="X4104" s="100"/>
      <c r="Y4104" s="100"/>
      <c r="Z4104" s="100"/>
    </row>
    <row r="4105" spans="1:26">
      <c r="A4105" s="100"/>
      <c r="B4105" s="100"/>
      <c r="C4105" s="100"/>
      <c r="D4105" s="100"/>
      <c r="E4105" s="100"/>
      <c r="F4105" s="100"/>
      <c r="G4105" s="100"/>
      <c r="H4105" s="100"/>
      <c r="I4105" s="100"/>
      <c r="J4105" s="100"/>
      <c r="K4105" s="100"/>
      <c r="L4105" s="100"/>
      <c r="M4105" s="100"/>
      <c r="N4105" s="100"/>
      <c r="O4105" s="100"/>
      <c r="P4105" s="100"/>
      <c r="Q4105" s="100"/>
      <c r="R4105" s="100"/>
      <c r="S4105" s="100"/>
      <c r="T4105" s="100"/>
      <c r="U4105" s="100"/>
      <c r="V4105" s="100"/>
      <c r="W4105" s="100"/>
      <c r="X4105" s="100"/>
      <c r="Y4105" s="100"/>
      <c r="Z4105" s="100"/>
    </row>
    <row r="4106" spans="1:26">
      <c r="A4106" s="100"/>
      <c r="B4106" s="100"/>
      <c r="C4106" s="100"/>
      <c r="D4106" s="100"/>
      <c r="E4106" s="100"/>
      <c r="F4106" s="100"/>
      <c r="G4106" s="100"/>
      <c r="H4106" s="100"/>
      <c r="I4106" s="100"/>
      <c r="J4106" s="100"/>
      <c r="K4106" s="100"/>
      <c r="L4106" s="100"/>
      <c r="M4106" s="100"/>
      <c r="N4106" s="100"/>
      <c r="O4106" s="100"/>
      <c r="P4106" s="100"/>
      <c r="Q4106" s="100"/>
      <c r="R4106" s="100"/>
      <c r="S4106" s="100"/>
      <c r="T4106" s="100"/>
      <c r="U4106" s="100"/>
      <c r="V4106" s="100"/>
      <c r="W4106" s="100"/>
      <c r="X4106" s="100"/>
      <c r="Y4106" s="100"/>
      <c r="Z4106" s="100"/>
    </row>
    <row r="4107" spans="1:26">
      <c r="A4107" s="100"/>
      <c r="B4107" s="100"/>
      <c r="C4107" s="100"/>
      <c r="D4107" s="100"/>
      <c r="E4107" s="100"/>
      <c r="F4107" s="100"/>
      <c r="G4107" s="100"/>
      <c r="H4107" s="100"/>
      <c r="I4107" s="100"/>
      <c r="J4107" s="100"/>
      <c r="K4107" s="100"/>
      <c r="L4107" s="100"/>
      <c r="M4107" s="100"/>
      <c r="N4107" s="100"/>
      <c r="O4107" s="100"/>
      <c r="P4107" s="100"/>
      <c r="Q4107" s="100"/>
      <c r="R4107" s="100"/>
      <c r="S4107" s="100"/>
      <c r="T4107" s="100"/>
      <c r="U4107" s="100"/>
      <c r="V4107" s="100"/>
      <c r="W4107" s="100"/>
      <c r="X4107" s="100"/>
      <c r="Y4107" s="100"/>
      <c r="Z4107" s="100"/>
    </row>
    <row r="4108" spans="1:26">
      <c r="A4108" s="100"/>
      <c r="B4108" s="100"/>
      <c r="C4108" s="100"/>
      <c r="D4108" s="100"/>
      <c r="E4108" s="100"/>
      <c r="F4108" s="100"/>
      <c r="G4108" s="100"/>
      <c r="H4108" s="100"/>
      <c r="I4108" s="100"/>
      <c r="J4108" s="100"/>
      <c r="K4108" s="100"/>
      <c r="L4108" s="100"/>
      <c r="M4108" s="100"/>
      <c r="N4108" s="100"/>
      <c r="O4108" s="100"/>
      <c r="P4108" s="100"/>
      <c r="Q4108" s="100"/>
      <c r="R4108" s="100"/>
      <c r="S4108" s="100"/>
      <c r="T4108" s="100"/>
      <c r="U4108" s="100"/>
      <c r="V4108" s="100"/>
      <c r="W4108" s="100"/>
      <c r="X4108" s="100"/>
      <c r="Y4108" s="100"/>
      <c r="Z4108" s="100"/>
    </row>
    <row r="4109" spans="1:26">
      <c r="A4109" s="100"/>
      <c r="B4109" s="100"/>
      <c r="C4109" s="100"/>
      <c r="D4109" s="100"/>
      <c r="E4109" s="100"/>
      <c r="F4109" s="100"/>
      <c r="G4109" s="100"/>
      <c r="H4109" s="100"/>
      <c r="I4109" s="100"/>
      <c r="J4109" s="100"/>
      <c r="K4109" s="100"/>
      <c r="L4109" s="100"/>
      <c r="M4109" s="100"/>
      <c r="N4109" s="100"/>
      <c r="O4109" s="100"/>
      <c r="P4109" s="100"/>
      <c r="Q4109" s="100"/>
      <c r="R4109" s="100"/>
      <c r="S4109" s="100"/>
      <c r="T4109" s="100"/>
      <c r="U4109" s="100"/>
      <c r="V4109" s="100"/>
      <c r="W4109" s="100"/>
      <c r="X4109" s="100"/>
      <c r="Y4109" s="100"/>
      <c r="Z4109" s="100"/>
    </row>
    <row r="4110" spans="1:26">
      <c r="A4110" s="100"/>
      <c r="B4110" s="100"/>
      <c r="C4110" s="100"/>
      <c r="D4110" s="100"/>
      <c r="E4110" s="100"/>
      <c r="F4110" s="100"/>
      <c r="G4110" s="100"/>
      <c r="H4110" s="100"/>
      <c r="I4110" s="100"/>
      <c r="J4110" s="100"/>
      <c r="K4110" s="100"/>
      <c r="L4110" s="100"/>
      <c r="M4110" s="100"/>
      <c r="N4110" s="100"/>
      <c r="O4110" s="100"/>
      <c r="P4110" s="100"/>
      <c r="Q4110" s="100"/>
      <c r="R4110" s="100"/>
      <c r="S4110" s="100"/>
      <c r="T4110" s="100"/>
      <c r="U4110" s="100"/>
      <c r="V4110" s="100"/>
      <c r="W4110" s="100"/>
      <c r="X4110" s="100"/>
      <c r="Y4110" s="100"/>
      <c r="Z4110" s="100"/>
    </row>
    <row r="4111" spans="1:26">
      <c r="A4111" s="100"/>
      <c r="B4111" s="100"/>
      <c r="C4111" s="100"/>
      <c r="D4111" s="100"/>
      <c r="E4111" s="100"/>
      <c r="F4111" s="100"/>
      <c r="G4111" s="100"/>
      <c r="H4111" s="100"/>
      <c r="I4111" s="100"/>
      <c r="J4111" s="100"/>
      <c r="K4111" s="100"/>
      <c r="L4111" s="100"/>
      <c r="M4111" s="100"/>
      <c r="N4111" s="100"/>
      <c r="O4111" s="100"/>
      <c r="P4111" s="100"/>
      <c r="Q4111" s="100"/>
      <c r="R4111" s="100"/>
      <c r="S4111" s="100"/>
      <c r="T4111" s="100"/>
      <c r="U4111" s="100"/>
      <c r="V4111" s="100"/>
      <c r="W4111" s="100"/>
      <c r="X4111" s="100"/>
      <c r="Y4111" s="100"/>
      <c r="Z4111" s="100"/>
    </row>
    <row r="4112" spans="1:26">
      <c r="A4112" s="100"/>
      <c r="B4112" s="100"/>
      <c r="C4112" s="100"/>
      <c r="D4112" s="100"/>
      <c r="E4112" s="100"/>
      <c r="F4112" s="100"/>
      <c r="G4112" s="100"/>
      <c r="H4112" s="100"/>
      <c r="I4112" s="100"/>
      <c r="J4112" s="100"/>
      <c r="K4112" s="100"/>
      <c r="L4112" s="100"/>
      <c r="M4112" s="100"/>
      <c r="N4112" s="100"/>
      <c r="O4112" s="100"/>
      <c r="P4112" s="100"/>
      <c r="Q4112" s="100"/>
      <c r="R4112" s="100"/>
      <c r="S4112" s="100"/>
      <c r="T4112" s="100"/>
      <c r="U4112" s="100"/>
      <c r="V4112" s="100"/>
      <c r="W4112" s="100"/>
      <c r="X4112" s="100"/>
      <c r="Y4112" s="100"/>
      <c r="Z4112" s="100"/>
    </row>
    <row r="4113" spans="1:26">
      <c r="A4113" s="100"/>
      <c r="B4113" s="100"/>
      <c r="C4113" s="100"/>
      <c r="D4113" s="100"/>
      <c r="E4113" s="100"/>
      <c r="F4113" s="100"/>
      <c r="G4113" s="100"/>
      <c r="H4113" s="100"/>
      <c r="I4113" s="100"/>
      <c r="J4113" s="100"/>
      <c r="K4113" s="100"/>
      <c r="L4113" s="100"/>
      <c r="M4113" s="100"/>
      <c r="N4113" s="100"/>
      <c r="O4113" s="100"/>
      <c r="P4113" s="100"/>
      <c r="Q4113" s="100"/>
      <c r="R4113" s="100"/>
      <c r="S4113" s="100"/>
      <c r="T4113" s="100"/>
      <c r="U4113" s="100"/>
      <c r="V4113" s="100"/>
      <c r="W4113" s="100"/>
      <c r="X4113" s="100"/>
      <c r="Y4113" s="100"/>
      <c r="Z4113" s="100"/>
    </row>
    <row r="4114" spans="1:26">
      <c r="A4114" s="100"/>
      <c r="B4114" s="100"/>
      <c r="C4114" s="100"/>
      <c r="D4114" s="100"/>
      <c r="E4114" s="100"/>
      <c r="F4114" s="100"/>
      <c r="G4114" s="100"/>
      <c r="H4114" s="100"/>
      <c r="I4114" s="100"/>
      <c r="J4114" s="100"/>
      <c r="K4114" s="100"/>
      <c r="L4114" s="100"/>
      <c r="M4114" s="100"/>
      <c r="N4114" s="100"/>
      <c r="O4114" s="100"/>
      <c r="P4114" s="100"/>
      <c r="Q4114" s="100"/>
      <c r="R4114" s="100"/>
      <c r="S4114" s="100"/>
      <c r="T4114" s="100"/>
      <c r="U4114" s="100"/>
      <c r="V4114" s="100"/>
      <c r="W4114" s="100"/>
      <c r="X4114" s="100"/>
      <c r="Y4114" s="100"/>
      <c r="Z4114" s="100"/>
    </row>
    <row r="4115" spans="1:26">
      <c r="A4115" s="100"/>
      <c r="B4115" s="100"/>
      <c r="C4115" s="100"/>
      <c r="D4115" s="100"/>
      <c r="E4115" s="100"/>
      <c r="F4115" s="100"/>
      <c r="G4115" s="100"/>
      <c r="H4115" s="100"/>
      <c r="I4115" s="100"/>
      <c r="J4115" s="100"/>
      <c r="K4115" s="100"/>
      <c r="L4115" s="100"/>
      <c r="M4115" s="100"/>
      <c r="N4115" s="100"/>
      <c r="O4115" s="100"/>
      <c r="P4115" s="100"/>
      <c r="Q4115" s="100"/>
      <c r="R4115" s="100"/>
      <c r="S4115" s="100"/>
      <c r="T4115" s="100"/>
      <c r="U4115" s="100"/>
      <c r="V4115" s="100"/>
      <c r="W4115" s="100"/>
      <c r="X4115" s="100"/>
      <c r="Y4115" s="100"/>
      <c r="Z4115" s="100"/>
    </row>
    <row r="4116" spans="1:26">
      <c r="A4116" s="100"/>
      <c r="B4116" s="100"/>
      <c r="C4116" s="100"/>
      <c r="D4116" s="100"/>
      <c r="E4116" s="100"/>
      <c r="F4116" s="100"/>
      <c r="G4116" s="100"/>
      <c r="H4116" s="100"/>
      <c r="I4116" s="100"/>
      <c r="J4116" s="100"/>
      <c r="K4116" s="100"/>
      <c r="L4116" s="100"/>
      <c r="M4116" s="100"/>
      <c r="N4116" s="100"/>
      <c r="O4116" s="100"/>
      <c r="P4116" s="100"/>
      <c r="Q4116" s="100"/>
      <c r="R4116" s="100"/>
      <c r="S4116" s="100"/>
      <c r="T4116" s="100"/>
      <c r="U4116" s="100"/>
      <c r="V4116" s="100"/>
      <c r="W4116" s="100"/>
      <c r="X4116" s="100"/>
      <c r="Y4116" s="100"/>
      <c r="Z4116" s="100"/>
    </row>
    <row r="4117" spans="1:26">
      <c r="A4117" s="100"/>
      <c r="B4117" s="100"/>
      <c r="C4117" s="100"/>
      <c r="D4117" s="100"/>
      <c r="E4117" s="100"/>
      <c r="F4117" s="100"/>
      <c r="G4117" s="100"/>
      <c r="H4117" s="100"/>
      <c r="I4117" s="100"/>
      <c r="J4117" s="100"/>
      <c r="K4117" s="100"/>
      <c r="L4117" s="100"/>
      <c r="M4117" s="100"/>
      <c r="N4117" s="100"/>
      <c r="O4117" s="100"/>
      <c r="P4117" s="100"/>
      <c r="Q4117" s="100"/>
      <c r="R4117" s="100"/>
      <c r="S4117" s="100"/>
      <c r="T4117" s="100"/>
      <c r="U4117" s="100"/>
      <c r="V4117" s="100"/>
      <c r="W4117" s="100"/>
      <c r="X4117" s="100"/>
      <c r="Y4117" s="100"/>
      <c r="Z4117" s="100"/>
    </row>
    <row r="4118" spans="1:26">
      <c r="A4118" s="100"/>
      <c r="B4118" s="100"/>
      <c r="C4118" s="100"/>
      <c r="D4118" s="100"/>
      <c r="E4118" s="100"/>
      <c r="F4118" s="100"/>
      <c r="G4118" s="100"/>
      <c r="H4118" s="100"/>
      <c r="I4118" s="100"/>
      <c r="J4118" s="100"/>
      <c r="K4118" s="100"/>
      <c r="L4118" s="100"/>
      <c r="M4118" s="100"/>
      <c r="N4118" s="100"/>
      <c r="O4118" s="100"/>
      <c r="P4118" s="100"/>
      <c r="Q4118" s="100"/>
      <c r="R4118" s="100"/>
      <c r="S4118" s="100"/>
      <c r="T4118" s="100"/>
      <c r="U4118" s="100"/>
      <c r="V4118" s="100"/>
      <c r="W4118" s="100"/>
      <c r="X4118" s="100"/>
      <c r="Y4118" s="100"/>
      <c r="Z4118" s="100"/>
    </row>
    <row r="4119" spans="1:26">
      <c r="A4119" s="100"/>
      <c r="B4119" s="100"/>
      <c r="C4119" s="100"/>
      <c r="D4119" s="100"/>
      <c r="E4119" s="100"/>
      <c r="F4119" s="100"/>
      <c r="G4119" s="100"/>
      <c r="H4119" s="100"/>
      <c r="I4119" s="100"/>
      <c r="J4119" s="100"/>
      <c r="K4119" s="100"/>
      <c r="L4119" s="100"/>
      <c r="M4119" s="100"/>
      <c r="N4119" s="100"/>
      <c r="O4119" s="100"/>
      <c r="P4119" s="100"/>
      <c r="Q4119" s="100"/>
      <c r="R4119" s="100"/>
      <c r="S4119" s="100"/>
      <c r="T4119" s="100"/>
      <c r="U4119" s="100"/>
      <c r="V4119" s="100"/>
      <c r="W4119" s="100"/>
      <c r="X4119" s="100"/>
      <c r="Y4119" s="100"/>
      <c r="Z4119" s="100"/>
    </row>
    <row r="4120" spans="1:26">
      <c r="A4120" s="100"/>
      <c r="B4120" s="100"/>
      <c r="C4120" s="100"/>
      <c r="D4120" s="100"/>
      <c r="E4120" s="100"/>
      <c r="F4120" s="100"/>
      <c r="G4120" s="100"/>
      <c r="H4120" s="100"/>
      <c r="I4120" s="100"/>
      <c r="J4120" s="100"/>
      <c r="K4120" s="100"/>
      <c r="L4120" s="100"/>
      <c r="M4120" s="100"/>
      <c r="N4120" s="100"/>
      <c r="O4120" s="100"/>
      <c r="P4120" s="100"/>
      <c r="Q4120" s="100"/>
      <c r="R4120" s="100"/>
      <c r="S4120" s="100"/>
      <c r="T4120" s="100"/>
      <c r="U4120" s="100"/>
      <c r="V4120" s="100"/>
      <c r="W4120" s="100"/>
      <c r="X4120" s="100"/>
      <c r="Y4120" s="100"/>
      <c r="Z4120" s="100"/>
    </row>
    <row r="4121" spans="1:26">
      <c r="A4121" s="100"/>
      <c r="B4121" s="100"/>
      <c r="C4121" s="100"/>
      <c r="D4121" s="100"/>
      <c r="E4121" s="100"/>
      <c r="F4121" s="100"/>
      <c r="G4121" s="100"/>
      <c r="H4121" s="100"/>
      <c r="I4121" s="100"/>
      <c r="J4121" s="100"/>
      <c r="K4121" s="100"/>
      <c r="L4121" s="100"/>
      <c r="M4121" s="100"/>
      <c r="N4121" s="100"/>
      <c r="O4121" s="100"/>
      <c r="P4121" s="100"/>
      <c r="Q4121" s="100"/>
      <c r="R4121" s="100"/>
      <c r="S4121" s="100"/>
      <c r="T4121" s="100"/>
      <c r="U4121" s="100"/>
      <c r="V4121" s="100"/>
      <c r="W4121" s="100"/>
      <c r="X4121" s="100"/>
      <c r="Y4121" s="100"/>
      <c r="Z4121" s="100"/>
    </row>
    <row r="4122" spans="1:26">
      <c r="A4122" s="100"/>
      <c r="B4122" s="100"/>
      <c r="C4122" s="100"/>
      <c r="D4122" s="100"/>
      <c r="E4122" s="100"/>
      <c r="F4122" s="100"/>
      <c r="G4122" s="100"/>
      <c r="H4122" s="100"/>
      <c r="I4122" s="100"/>
      <c r="J4122" s="100"/>
      <c r="K4122" s="100"/>
      <c r="L4122" s="100"/>
      <c r="M4122" s="100"/>
      <c r="N4122" s="100"/>
      <c r="O4122" s="100"/>
      <c r="P4122" s="100"/>
      <c r="Q4122" s="100"/>
      <c r="R4122" s="100"/>
      <c r="S4122" s="100"/>
      <c r="T4122" s="100"/>
      <c r="U4122" s="100"/>
      <c r="V4122" s="100"/>
      <c r="W4122" s="100"/>
      <c r="X4122" s="100"/>
      <c r="Y4122" s="100"/>
      <c r="Z4122" s="100"/>
    </row>
    <row r="4123" spans="1:26">
      <c r="A4123" s="100"/>
      <c r="B4123" s="100"/>
      <c r="C4123" s="100"/>
      <c r="D4123" s="100"/>
      <c r="E4123" s="100"/>
      <c r="F4123" s="100"/>
      <c r="G4123" s="100"/>
      <c r="H4123" s="100"/>
      <c r="I4123" s="100"/>
      <c r="J4123" s="100"/>
      <c r="K4123" s="100"/>
      <c r="L4123" s="100"/>
      <c r="M4123" s="100"/>
      <c r="N4123" s="100"/>
      <c r="O4123" s="100"/>
      <c r="P4123" s="100"/>
      <c r="Q4123" s="100"/>
      <c r="R4123" s="100"/>
      <c r="S4123" s="100"/>
      <c r="T4123" s="100"/>
      <c r="U4123" s="100"/>
      <c r="V4123" s="100"/>
      <c r="W4123" s="100"/>
      <c r="X4123" s="100"/>
      <c r="Y4123" s="100"/>
      <c r="Z4123" s="100"/>
    </row>
    <row r="4124" spans="1:26">
      <c r="A4124" s="100"/>
      <c r="B4124" s="100"/>
      <c r="C4124" s="100"/>
      <c r="D4124" s="100"/>
      <c r="E4124" s="100"/>
      <c r="F4124" s="100"/>
      <c r="G4124" s="100"/>
      <c r="H4124" s="100"/>
      <c r="I4124" s="100"/>
      <c r="J4124" s="100"/>
      <c r="K4124" s="100"/>
      <c r="L4124" s="100"/>
      <c r="M4124" s="100"/>
      <c r="N4124" s="100"/>
      <c r="O4124" s="100"/>
      <c r="P4124" s="100"/>
      <c r="Q4124" s="100"/>
      <c r="R4124" s="100"/>
      <c r="S4124" s="100"/>
      <c r="T4124" s="100"/>
      <c r="U4124" s="100"/>
      <c r="V4124" s="100"/>
      <c r="W4124" s="100"/>
      <c r="X4124" s="100"/>
      <c r="Y4124" s="100"/>
      <c r="Z4124" s="100"/>
    </row>
    <row r="4125" spans="1:26">
      <c r="A4125" s="100"/>
      <c r="B4125" s="100"/>
      <c r="C4125" s="100"/>
      <c r="D4125" s="100"/>
      <c r="E4125" s="100"/>
      <c r="F4125" s="100"/>
      <c r="G4125" s="100"/>
      <c r="H4125" s="100"/>
      <c r="I4125" s="100"/>
      <c r="J4125" s="100"/>
      <c r="K4125" s="100"/>
      <c r="L4125" s="100"/>
      <c r="M4125" s="100"/>
      <c r="N4125" s="100"/>
      <c r="O4125" s="100"/>
      <c r="P4125" s="100"/>
      <c r="Q4125" s="100"/>
      <c r="R4125" s="100"/>
      <c r="S4125" s="100"/>
      <c r="T4125" s="100"/>
      <c r="U4125" s="100"/>
      <c r="V4125" s="100"/>
      <c r="W4125" s="100"/>
      <c r="X4125" s="100"/>
      <c r="Y4125" s="100"/>
      <c r="Z4125" s="100"/>
    </row>
    <row r="4126" spans="1:26">
      <c r="A4126" s="100"/>
      <c r="B4126" s="100"/>
      <c r="C4126" s="100"/>
      <c r="D4126" s="100"/>
      <c r="E4126" s="100"/>
      <c r="F4126" s="100"/>
      <c r="G4126" s="100"/>
      <c r="H4126" s="100"/>
      <c r="I4126" s="100"/>
      <c r="J4126" s="100"/>
      <c r="K4126" s="100"/>
      <c r="L4126" s="100"/>
      <c r="M4126" s="100"/>
      <c r="N4126" s="100"/>
      <c r="O4126" s="100"/>
      <c r="P4126" s="100"/>
      <c r="Q4126" s="100"/>
      <c r="R4126" s="100"/>
      <c r="S4126" s="100"/>
      <c r="T4126" s="100"/>
      <c r="U4126" s="100"/>
      <c r="V4126" s="100"/>
      <c r="W4126" s="100"/>
      <c r="X4126" s="100"/>
      <c r="Y4126" s="100"/>
      <c r="Z4126" s="100"/>
    </row>
    <row r="4127" spans="1:26">
      <c r="A4127" s="100"/>
      <c r="B4127" s="100"/>
      <c r="C4127" s="100"/>
      <c r="D4127" s="100"/>
      <c r="E4127" s="100"/>
      <c r="F4127" s="100"/>
      <c r="G4127" s="100"/>
      <c r="H4127" s="100"/>
      <c r="I4127" s="100"/>
      <c r="J4127" s="100"/>
      <c r="K4127" s="100"/>
      <c r="L4127" s="100"/>
      <c r="M4127" s="100"/>
      <c r="N4127" s="100"/>
      <c r="O4127" s="100"/>
      <c r="P4127" s="100"/>
      <c r="Q4127" s="100"/>
      <c r="R4127" s="100"/>
      <c r="S4127" s="100"/>
      <c r="T4127" s="100"/>
      <c r="U4127" s="100"/>
      <c r="V4127" s="100"/>
      <c r="W4127" s="100"/>
      <c r="X4127" s="100"/>
      <c r="Y4127" s="100"/>
      <c r="Z4127" s="100"/>
    </row>
    <row r="4128" spans="1:26">
      <c r="A4128" s="100"/>
      <c r="B4128" s="100"/>
      <c r="C4128" s="100"/>
      <c r="D4128" s="100"/>
      <c r="E4128" s="100"/>
      <c r="F4128" s="100"/>
      <c r="G4128" s="100"/>
      <c r="H4128" s="100"/>
      <c r="I4128" s="100"/>
      <c r="J4128" s="100"/>
      <c r="K4128" s="100"/>
      <c r="L4128" s="100"/>
      <c r="M4128" s="100"/>
      <c r="N4128" s="100"/>
      <c r="O4128" s="100"/>
      <c r="P4128" s="100"/>
      <c r="Q4128" s="100"/>
      <c r="R4128" s="100"/>
      <c r="S4128" s="100"/>
      <c r="T4128" s="100"/>
      <c r="U4128" s="100"/>
      <c r="V4128" s="100"/>
      <c r="W4128" s="100"/>
      <c r="X4128" s="100"/>
      <c r="Y4128" s="100"/>
      <c r="Z4128" s="100"/>
    </row>
    <row r="4129" spans="1:26">
      <c r="A4129" s="100"/>
      <c r="B4129" s="100"/>
      <c r="C4129" s="100"/>
      <c r="D4129" s="100"/>
      <c r="E4129" s="100"/>
      <c r="F4129" s="100"/>
      <c r="G4129" s="100"/>
      <c r="H4129" s="100"/>
      <c r="I4129" s="100"/>
      <c r="J4129" s="100"/>
      <c r="K4129" s="100"/>
      <c r="L4129" s="100"/>
      <c r="M4129" s="100"/>
      <c r="N4129" s="100"/>
      <c r="O4129" s="100"/>
      <c r="P4129" s="100"/>
      <c r="Q4129" s="100"/>
      <c r="R4129" s="100"/>
      <c r="S4129" s="100"/>
      <c r="T4129" s="100"/>
      <c r="U4129" s="100"/>
      <c r="V4129" s="100"/>
      <c r="W4129" s="100"/>
      <c r="X4129" s="100"/>
      <c r="Y4129" s="100"/>
      <c r="Z4129" s="100"/>
    </row>
    <row r="4130" spans="1:26">
      <c r="A4130" s="100"/>
      <c r="B4130" s="100"/>
      <c r="C4130" s="100"/>
      <c r="D4130" s="100"/>
      <c r="E4130" s="100"/>
      <c r="F4130" s="100"/>
      <c r="G4130" s="100"/>
      <c r="H4130" s="100"/>
      <c r="I4130" s="100"/>
      <c r="J4130" s="100"/>
      <c r="K4130" s="100"/>
      <c r="L4130" s="100"/>
      <c r="M4130" s="100"/>
      <c r="N4130" s="100"/>
      <c r="O4130" s="100"/>
      <c r="P4130" s="100"/>
      <c r="Q4130" s="100"/>
      <c r="R4130" s="100"/>
      <c r="S4130" s="100"/>
      <c r="T4130" s="100"/>
      <c r="U4130" s="100"/>
      <c r="V4130" s="100"/>
      <c r="W4130" s="100"/>
      <c r="X4130" s="100"/>
      <c r="Y4130" s="100"/>
      <c r="Z4130" s="100"/>
    </row>
    <row r="4131" spans="1:26">
      <c r="A4131" s="100"/>
      <c r="B4131" s="100"/>
      <c r="C4131" s="100"/>
      <c r="D4131" s="100"/>
      <c r="E4131" s="100"/>
      <c r="F4131" s="100"/>
      <c r="G4131" s="100"/>
      <c r="H4131" s="100"/>
      <c r="I4131" s="100"/>
      <c r="J4131" s="100"/>
      <c r="K4131" s="100"/>
      <c r="L4131" s="100"/>
      <c r="M4131" s="100"/>
      <c r="N4131" s="100"/>
      <c r="O4131" s="100"/>
      <c r="P4131" s="100"/>
      <c r="Q4131" s="100"/>
      <c r="R4131" s="100"/>
      <c r="S4131" s="100"/>
      <c r="T4131" s="100"/>
      <c r="U4131" s="100"/>
      <c r="V4131" s="100"/>
      <c r="W4131" s="100"/>
      <c r="X4131" s="100"/>
      <c r="Y4131" s="100"/>
      <c r="Z4131" s="100"/>
    </row>
    <row r="4132" spans="1:26">
      <c r="A4132" s="100"/>
      <c r="B4132" s="100"/>
      <c r="C4132" s="100"/>
      <c r="D4132" s="100"/>
      <c r="E4132" s="100"/>
      <c r="F4132" s="100"/>
      <c r="G4132" s="100"/>
      <c r="H4132" s="100"/>
      <c r="I4132" s="100"/>
      <c r="J4132" s="100"/>
      <c r="K4132" s="100"/>
      <c r="L4132" s="100"/>
      <c r="M4132" s="100"/>
      <c r="N4132" s="100"/>
      <c r="O4132" s="100"/>
      <c r="P4132" s="100"/>
      <c r="Q4132" s="100"/>
      <c r="R4132" s="100"/>
      <c r="S4132" s="100"/>
      <c r="T4132" s="100"/>
      <c r="U4132" s="100"/>
      <c r="V4132" s="100"/>
      <c r="W4132" s="100"/>
      <c r="X4132" s="100"/>
      <c r="Y4132" s="100"/>
      <c r="Z4132" s="100"/>
    </row>
    <row r="4133" spans="1:26">
      <c r="A4133" s="100"/>
      <c r="B4133" s="100"/>
      <c r="C4133" s="100"/>
      <c r="D4133" s="100"/>
      <c r="E4133" s="100"/>
      <c r="F4133" s="100"/>
      <c r="G4133" s="100"/>
      <c r="H4133" s="100"/>
      <c r="I4133" s="100"/>
      <c r="J4133" s="100"/>
      <c r="K4133" s="100"/>
      <c r="L4133" s="100"/>
      <c r="M4133" s="100"/>
      <c r="N4133" s="100"/>
      <c r="O4133" s="100"/>
      <c r="P4133" s="100"/>
      <c r="Q4133" s="100"/>
      <c r="R4133" s="100"/>
      <c r="S4133" s="100"/>
      <c r="T4133" s="100"/>
      <c r="U4133" s="100"/>
      <c r="V4133" s="100"/>
      <c r="W4133" s="100"/>
      <c r="X4133" s="100"/>
      <c r="Y4133" s="100"/>
      <c r="Z4133" s="100"/>
    </row>
    <row r="4134" spans="1:26">
      <c r="A4134" s="100"/>
      <c r="B4134" s="100"/>
      <c r="C4134" s="100"/>
      <c r="D4134" s="100"/>
      <c r="E4134" s="100"/>
      <c r="F4134" s="100"/>
      <c r="G4134" s="100"/>
      <c r="H4134" s="100"/>
      <c r="I4134" s="100"/>
      <c r="J4134" s="100"/>
      <c r="K4134" s="100"/>
      <c r="L4134" s="100"/>
      <c r="M4134" s="100"/>
      <c r="N4134" s="100"/>
      <c r="O4134" s="100"/>
      <c r="P4134" s="100"/>
      <c r="Q4134" s="100"/>
      <c r="R4134" s="100"/>
      <c r="S4134" s="100"/>
      <c r="T4134" s="100"/>
      <c r="U4134" s="100"/>
      <c r="V4134" s="100"/>
      <c r="W4134" s="100"/>
      <c r="X4134" s="100"/>
      <c r="Y4134" s="100"/>
      <c r="Z4134" s="100"/>
    </row>
    <row r="4135" spans="1:26">
      <c r="A4135" s="100"/>
      <c r="B4135" s="100"/>
      <c r="C4135" s="100"/>
      <c r="D4135" s="100"/>
      <c r="E4135" s="100"/>
      <c r="F4135" s="100"/>
      <c r="G4135" s="100"/>
      <c r="H4135" s="100"/>
      <c r="I4135" s="100"/>
      <c r="J4135" s="100"/>
      <c r="K4135" s="100"/>
      <c r="L4135" s="100"/>
      <c r="M4135" s="100"/>
      <c r="N4135" s="100"/>
      <c r="O4135" s="100"/>
      <c r="P4135" s="100"/>
      <c r="Q4135" s="100"/>
      <c r="R4135" s="100"/>
      <c r="S4135" s="100"/>
      <c r="T4135" s="100"/>
      <c r="U4135" s="100"/>
      <c r="V4135" s="100"/>
      <c r="W4135" s="100"/>
      <c r="X4135" s="100"/>
      <c r="Y4135" s="100"/>
      <c r="Z4135" s="100"/>
    </row>
    <row r="4136" spans="1:26">
      <c r="A4136" s="100"/>
      <c r="B4136" s="100"/>
      <c r="C4136" s="100"/>
      <c r="D4136" s="100"/>
      <c r="E4136" s="100"/>
      <c r="F4136" s="100"/>
      <c r="G4136" s="100"/>
      <c r="H4136" s="100"/>
      <c r="I4136" s="100"/>
      <c r="J4136" s="100"/>
      <c r="K4136" s="100"/>
      <c r="L4136" s="100"/>
      <c r="M4136" s="100"/>
      <c r="N4136" s="100"/>
      <c r="O4136" s="100"/>
      <c r="P4136" s="100"/>
      <c r="Q4136" s="100"/>
      <c r="R4136" s="100"/>
      <c r="S4136" s="100"/>
      <c r="T4136" s="100"/>
      <c r="U4136" s="100"/>
      <c r="V4136" s="100"/>
      <c r="W4136" s="100"/>
      <c r="X4136" s="100"/>
      <c r="Y4136" s="100"/>
      <c r="Z4136" s="100"/>
    </row>
    <row r="4137" spans="1:26">
      <c r="A4137" s="100"/>
      <c r="B4137" s="100"/>
      <c r="C4137" s="100"/>
      <c r="D4137" s="100"/>
      <c r="E4137" s="100"/>
      <c r="F4137" s="100"/>
      <c r="G4137" s="100"/>
      <c r="H4137" s="100"/>
      <c r="I4137" s="100"/>
      <c r="J4137" s="100"/>
      <c r="K4137" s="100"/>
      <c r="L4137" s="100"/>
      <c r="M4137" s="100"/>
      <c r="N4137" s="100"/>
      <c r="O4137" s="100"/>
      <c r="P4137" s="100"/>
      <c r="Q4137" s="100"/>
      <c r="R4137" s="100"/>
      <c r="S4137" s="100"/>
      <c r="T4137" s="100"/>
      <c r="U4137" s="100"/>
      <c r="V4137" s="100"/>
      <c r="W4137" s="100"/>
      <c r="X4137" s="100"/>
      <c r="Y4137" s="100"/>
      <c r="Z4137" s="100"/>
    </row>
    <row r="4138" spans="1:26">
      <c r="A4138" s="100"/>
      <c r="B4138" s="100"/>
      <c r="C4138" s="100"/>
      <c r="D4138" s="100"/>
      <c r="E4138" s="100"/>
      <c r="F4138" s="100"/>
      <c r="G4138" s="100"/>
      <c r="H4138" s="100"/>
      <c r="I4138" s="100"/>
      <c r="J4138" s="100"/>
      <c r="K4138" s="100"/>
      <c r="L4138" s="100"/>
      <c r="M4138" s="100"/>
      <c r="N4138" s="100"/>
      <c r="O4138" s="100"/>
      <c r="P4138" s="100"/>
      <c r="Q4138" s="100"/>
      <c r="R4138" s="100"/>
      <c r="S4138" s="100"/>
      <c r="T4138" s="100"/>
      <c r="U4138" s="100"/>
      <c r="V4138" s="100"/>
      <c r="W4138" s="100"/>
      <c r="X4138" s="100"/>
      <c r="Y4138" s="100"/>
      <c r="Z4138" s="100"/>
    </row>
    <row r="4139" spans="1:26">
      <c r="A4139" s="100"/>
      <c r="B4139" s="100"/>
      <c r="C4139" s="100"/>
      <c r="D4139" s="100"/>
      <c r="E4139" s="100"/>
      <c r="F4139" s="100"/>
      <c r="G4139" s="100"/>
      <c r="H4139" s="100"/>
      <c r="I4139" s="100"/>
      <c r="J4139" s="100"/>
      <c r="K4139" s="100"/>
      <c r="L4139" s="100"/>
      <c r="M4139" s="100"/>
      <c r="N4139" s="100"/>
      <c r="O4139" s="100"/>
      <c r="P4139" s="100"/>
      <c r="Q4139" s="100"/>
      <c r="R4139" s="100"/>
      <c r="S4139" s="100"/>
      <c r="T4139" s="100"/>
      <c r="U4139" s="100"/>
      <c r="V4139" s="100"/>
      <c r="W4139" s="100"/>
      <c r="X4139" s="100"/>
      <c r="Y4139" s="100"/>
      <c r="Z4139" s="100"/>
    </row>
    <row r="4140" spans="1:26">
      <c r="A4140" s="100"/>
      <c r="B4140" s="100"/>
      <c r="C4140" s="100"/>
      <c r="D4140" s="100"/>
      <c r="E4140" s="100"/>
      <c r="F4140" s="100"/>
      <c r="G4140" s="100"/>
      <c r="H4140" s="100"/>
      <c r="I4140" s="100"/>
      <c r="J4140" s="100"/>
      <c r="K4140" s="100"/>
      <c r="L4140" s="100"/>
      <c r="M4140" s="100"/>
      <c r="N4140" s="100"/>
      <c r="O4140" s="100"/>
      <c r="P4140" s="100"/>
      <c r="Q4140" s="100"/>
      <c r="R4140" s="100"/>
      <c r="S4140" s="100"/>
      <c r="T4140" s="100"/>
      <c r="U4140" s="100"/>
      <c r="V4140" s="100"/>
      <c r="W4140" s="100"/>
      <c r="X4140" s="100"/>
      <c r="Y4140" s="100"/>
      <c r="Z4140" s="100"/>
    </row>
    <row r="4141" spans="1:26">
      <c r="A4141" s="100"/>
      <c r="B4141" s="100"/>
      <c r="C4141" s="100"/>
      <c r="D4141" s="100"/>
      <c r="E4141" s="100"/>
      <c r="F4141" s="100"/>
      <c r="G4141" s="100"/>
      <c r="H4141" s="100"/>
      <c r="I4141" s="100"/>
      <c r="J4141" s="100"/>
      <c r="K4141" s="100"/>
      <c r="L4141" s="100"/>
      <c r="M4141" s="100"/>
      <c r="N4141" s="100"/>
      <c r="O4141" s="100"/>
      <c r="P4141" s="100"/>
      <c r="Q4141" s="100"/>
      <c r="R4141" s="100"/>
      <c r="S4141" s="100"/>
      <c r="T4141" s="100"/>
      <c r="U4141" s="100"/>
      <c r="V4141" s="100"/>
      <c r="W4141" s="100"/>
      <c r="X4141" s="100"/>
      <c r="Y4141" s="100"/>
      <c r="Z4141" s="100"/>
    </row>
    <row r="4142" spans="1:26">
      <c r="A4142" s="100"/>
      <c r="B4142" s="100"/>
      <c r="C4142" s="100"/>
      <c r="D4142" s="100"/>
      <c r="E4142" s="100"/>
      <c r="F4142" s="100"/>
      <c r="G4142" s="100"/>
      <c r="H4142" s="100"/>
      <c r="I4142" s="100"/>
      <c r="J4142" s="100"/>
      <c r="K4142" s="100"/>
      <c r="L4142" s="100"/>
      <c r="M4142" s="100"/>
      <c r="N4142" s="100"/>
      <c r="O4142" s="100"/>
      <c r="P4142" s="100"/>
      <c r="Q4142" s="100"/>
      <c r="R4142" s="100"/>
      <c r="S4142" s="100"/>
      <c r="T4142" s="100"/>
      <c r="U4142" s="100"/>
      <c r="V4142" s="100"/>
      <c r="W4142" s="100"/>
      <c r="X4142" s="100"/>
      <c r="Y4142" s="100"/>
      <c r="Z4142" s="100"/>
    </row>
    <row r="4143" spans="1:26">
      <c r="A4143" s="100"/>
      <c r="B4143" s="100"/>
      <c r="C4143" s="100"/>
      <c r="D4143" s="100"/>
      <c r="E4143" s="100"/>
      <c r="F4143" s="100"/>
      <c r="G4143" s="100"/>
      <c r="H4143" s="100"/>
      <c r="I4143" s="100"/>
      <c r="J4143" s="100"/>
      <c r="K4143" s="100"/>
      <c r="L4143" s="100"/>
      <c r="M4143" s="100"/>
      <c r="N4143" s="100"/>
      <c r="O4143" s="100"/>
      <c r="P4143" s="100"/>
      <c r="Q4143" s="100"/>
      <c r="R4143" s="100"/>
      <c r="S4143" s="100"/>
      <c r="T4143" s="100"/>
      <c r="U4143" s="100"/>
      <c r="V4143" s="100"/>
      <c r="W4143" s="100"/>
      <c r="X4143" s="100"/>
      <c r="Y4143" s="100"/>
      <c r="Z4143" s="100"/>
    </row>
    <row r="4144" spans="1:26">
      <c r="A4144" s="100"/>
      <c r="B4144" s="100"/>
      <c r="C4144" s="100"/>
      <c r="D4144" s="100"/>
      <c r="E4144" s="100"/>
      <c r="F4144" s="100"/>
      <c r="G4144" s="100"/>
      <c r="H4144" s="100"/>
      <c r="I4144" s="100"/>
      <c r="J4144" s="100"/>
      <c r="K4144" s="100"/>
      <c r="L4144" s="100"/>
      <c r="M4144" s="100"/>
      <c r="N4144" s="100"/>
      <c r="O4144" s="100"/>
      <c r="P4144" s="100"/>
      <c r="Q4144" s="100"/>
      <c r="R4144" s="100"/>
      <c r="S4144" s="100"/>
      <c r="T4144" s="100"/>
      <c r="U4144" s="100"/>
      <c r="V4144" s="100"/>
      <c r="W4144" s="100"/>
      <c r="X4144" s="100"/>
      <c r="Y4144" s="100"/>
      <c r="Z4144" s="100"/>
    </row>
    <row r="4145" spans="1:26">
      <c r="A4145" s="100"/>
      <c r="B4145" s="100"/>
      <c r="C4145" s="100"/>
      <c r="D4145" s="100"/>
      <c r="E4145" s="100"/>
      <c r="F4145" s="100"/>
      <c r="G4145" s="100"/>
      <c r="H4145" s="100"/>
      <c r="I4145" s="100"/>
      <c r="J4145" s="100"/>
      <c r="K4145" s="100"/>
      <c r="L4145" s="100"/>
      <c r="M4145" s="100"/>
      <c r="N4145" s="100"/>
      <c r="O4145" s="100"/>
      <c r="P4145" s="100"/>
      <c r="Q4145" s="100"/>
      <c r="R4145" s="100"/>
      <c r="S4145" s="100"/>
      <c r="T4145" s="100"/>
      <c r="U4145" s="100"/>
      <c r="V4145" s="100"/>
      <c r="W4145" s="100"/>
      <c r="X4145" s="100"/>
      <c r="Y4145" s="100"/>
      <c r="Z4145" s="100"/>
    </row>
    <row r="4146" spans="1:26">
      <c r="A4146" s="100"/>
      <c r="B4146" s="100"/>
      <c r="C4146" s="100"/>
      <c r="D4146" s="100"/>
      <c r="E4146" s="100"/>
      <c r="F4146" s="100"/>
      <c r="G4146" s="100"/>
      <c r="H4146" s="100"/>
      <c r="I4146" s="100"/>
      <c r="J4146" s="100"/>
      <c r="K4146" s="100"/>
      <c r="L4146" s="100"/>
      <c r="M4146" s="100"/>
      <c r="N4146" s="100"/>
      <c r="O4146" s="100"/>
      <c r="P4146" s="100"/>
      <c r="Q4146" s="100"/>
      <c r="R4146" s="100"/>
      <c r="S4146" s="100"/>
      <c r="T4146" s="100"/>
      <c r="U4146" s="100"/>
      <c r="V4146" s="100"/>
      <c r="W4146" s="100"/>
      <c r="X4146" s="100"/>
      <c r="Y4146" s="100"/>
      <c r="Z4146" s="100"/>
    </row>
    <row r="4147" spans="1:26">
      <c r="A4147" s="100"/>
      <c r="B4147" s="100"/>
      <c r="C4147" s="100"/>
      <c r="D4147" s="100"/>
      <c r="E4147" s="100"/>
      <c r="F4147" s="100"/>
      <c r="G4147" s="100"/>
      <c r="H4147" s="100"/>
      <c r="I4147" s="100"/>
      <c r="J4147" s="100"/>
      <c r="K4147" s="100"/>
      <c r="L4147" s="100"/>
      <c r="M4147" s="100"/>
      <c r="N4147" s="100"/>
      <c r="O4147" s="100"/>
      <c r="P4147" s="100"/>
      <c r="Q4147" s="100"/>
      <c r="R4147" s="100"/>
      <c r="S4147" s="100"/>
      <c r="T4147" s="100"/>
      <c r="U4147" s="100"/>
      <c r="V4147" s="100"/>
      <c r="W4147" s="100"/>
      <c r="X4147" s="100"/>
      <c r="Y4147" s="100"/>
      <c r="Z4147" s="100"/>
    </row>
    <row r="4148" spans="1:26">
      <c r="A4148" s="100"/>
      <c r="B4148" s="100"/>
      <c r="C4148" s="100"/>
      <c r="D4148" s="100"/>
      <c r="E4148" s="100"/>
      <c r="F4148" s="100"/>
      <c r="G4148" s="100"/>
      <c r="H4148" s="100"/>
      <c r="I4148" s="100"/>
      <c r="J4148" s="100"/>
      <c r="K4148" s="100"/>
      <c r="L4148" s="100"/>
      <c r="M4148" s="100"/>
      <c r="N4148" s="100"/>
      <c r="O4148" s="100"/>
      <c r="P4148" s="100"/>
      <c r="Q4148" s="100"/>
      <c r="R4148" s="100"/>
      <c r="S4148" s="100"/>
      <c r="T4148" s="100"/>
      <c r="U4148" s="100"/>
      <c r="V4148" s="100"/>
      <c r="W4148" s="100"/>
      <c r="X4148" s="100"/>
      <c r="Y4148" s="100"/>
      <c r="Z4148" s="100"/>
    </row>
    <row r="4149" spans="1:26">
      <c r="A4149" s="100"/>
      <c r="B4149" s="100"/>
      <c r="C4149" s="100"/>
      <c r="D4149" s="100"/>
      <c r="E4149" s="100"/>
      <c r="F4149" s="100"/>
      <c r="G4149" s="100"/>
      <c r="H4149" s="100"/>
      <c r="I4149" s="100"/>
      <c r="J4149" s="100"/>
      <c r="K4149" s="100"/>
      <c r="L4149" s="100"/>
      <c r="M4149" s="100"/>
      <c r="N4149" s="100"/>
      <c r="O4149" s="100"/>
      <c r="P4149" s="100"/>
      <c r="Q4149" s="100"/>
      <c r="R4149" s="100"/>
      <c r="S4149" s="100"/>
      <c r="T4149" s="100"/>
      <c r="U4149" s="100"/>
      <c r="V4149" s="100"/>
      <c r="W4149" s="100"/>
      <c r="X4149" s="100"/>
      <c r="Y4149" s="100"/>
      <c r="Z4149" s="100"/>
    </row>
    <row r="4150" spans="1:26">
      <c r="A4150" s="100"/>
      <c r="B4150" s="100"/>
      <c r="C4150" s="100"/>
      <c r="D4150" s="100"/>
      <c r="E4150" s="100"/>
      <c r="F4150" s="100"/>
      <c r="G4150" s="100"/>
      <c r="H4150" s="100"/>
      <c r="I4150" s="100"/>
      <c r="J4150" s="100"/>
      <c r="K4150" s="100"/>
      <c r="L4150" s="100"/>
      <c r="M4150" s="100"/>
      <c r="N4150" s="100"/>
      <c r="O4150" s="100"/>
      <c r="P4150" s="100"/>
      <c r="Q4150" s="100"/>
      <c r="R4150" s="100"/>
      <c r="S4150" s="100"/>
      <c r="T4150" s="100"/>
      <c r="U4150" s="100"/>
      <c r="V4150" s="100"/>
      <c r="W4150" s="100"/>
      <c r="X4150" s="100"/>
      <c r="Y4150" s="100"/>
      <c r="Z4150" s="100"/>
    </row>
    <row r="4151" spans="1:26">
      <c r="A4151" s="100"/>
      <c r="B4151" s="100"/>
      <c r="C4151" s="100"/>
      <c r="D4151" s="100"/>
      <c r="E4151" s="100"/>
      <c r="F4151" s="100"/>
      <c r="G4151" s="100"/>
      <c r="H4151" s="100"/>
      <c r="I4151" s="100"/>
      <c r="J4151" s="100"/>
      <c r="K4151" s="100"/>
      <c r="L4151" s="100"/>
      <c r="M4151" s="100"/>
      <c r="N4151" s="100"/>
      <c r="O4151" s="100"/>
      <c r="P4151" s="100"/>
      <c r="Q4151" s="100"/>
      <c r="R4151" s="100"/>
      <c r="S4151" s="100"/>
      <c r="T4151" s="100"/>
      <c r="U4151" s="100"/>
      <c r="V4151" s="100"/>
      <c r="W4151" s="100"/>
      <c r="X4151" s="100"/>
      <c r="Y4151" s="100"/>
      <c r="Z4151" s="100"/>
    </row>
    <row r="4152" spans="1:26">
      <c r="A4152" s="100"/>
      <c r="B4152" s="100"/>
      <c r="C4152" s="100"/>
      <c r="D4152" s="100"/>
      <c r="E4152" s="100"/>
      <c r="F4152" s="100"/>
      <c r="G4152" s="100"/>
      <c r="H4152" s="100"/>
      <c r="I4152" s="100"/>
      <c r="J4152" s="100"/>
      <c r="K4152" s="100"/>
      <c r="L4152" s="100"/>
      <c r="M4152" s="100"/>
      <c r="N4152" s="100"/>
      <c r="O4152" s="100"/>
      <c r="P4152" s="100"/>
      <c r="Q4152" s="100"/>
      <c r="R4152" s="100"/>
      <c r="S4152" s="100"/>
      <c r="T4152" s="100"/>
      <c r="U4152" s="100"/>
      <c r="V4152" s="100"/>
      <c r="W4152" s="100"/>
      <c r="X4152" s="100"/>
      <c r="Y4152" s="100"/>
      <c r="Z4152" s="100"/>
    </row>
    <row r="4153" spans="1:26">
      <c r="A4153" s="100"/>
      <c r="B4153" s="100"/>
      <c r="C4153" s="100"/>
      <c r="D4153" s="100"/>
      <c r="E4153" s="100"/>
      <c r="F4153" s="100"/>
      <c r="G4153" s="100"/>
      <c r="H4153" s="100"/>
      <c r="I4153" s="100"/>
      <c r="J4153" s="100"/>
      <c r="K4153" s="100"/>
      <c r="L4153" s="100"/>
      <c r="M4153" s="100"/>
      <c r="N4153" s="100"/>
      <c r="O4153" s="100"/>
      <c r="P4153" s="100"/>
      <c r="Q4153" s="100"/>
      <c r="R4153" s="100"/>
      <c r="S4153" s="100"/>
      <c r="T4153" s="100"/>
      <c r="U4153" s="100"/>
      <c r="V4153" s="100"/>
      <c r="W4153" s="100"/>
      <c r="X4153" s="100"/>
      <c r="Y4153" s="100"/>
      <c r="Z4153" s="100"/>
    </row>
    <row r="4154" spans="1:26">
      <c r="A4154" s="100"/>
      <c r="B4154" s="100"/>
      <c r="C4154" s="100"/>
      <c r="D4154" s="100"/>
      <c r="E4154" s="100"/>
      <c r="F4154" s="100"/>
      <c r="G4154" s="100"/>
      <c r="H4154" s="100"/>
      <c r="I4154" s="100"/>
      <c r="J4154" s="100"/>
      <c r="K4154" s="100"/>
      <c r="L4154" s="100"/>
      <c r="M4154" s="100"/>
      <c r="N4154" s="100"/>
      <c r="O4154" s="100"/>
      <c r="P4154" s="100"/>
      <c r="Q4154" s="100"/>
      <c r="R4154" s="100"/>
      <c r="S4154" s="100"/>
      <c r="T4154" s="100"/>
      <c r="U4154" s="100"/>
      <c r="V4154" s="100"/>
      <c r="W4154" s="100"/>
      <c r="X4154" s="100"/>
      <c r="Y4154" s="100"/>
      <c r="Z4154" s="100"/>
    </row>
    <row r="4155" spans="1:26">
      <c r="A4155" s="100"/>
      <c r="B4155" s="100"/>
      <c r="C4155" s="100"/>
      <c r="D4155" s="100"/>
      <c r="E4155" s="100"/>
      <c r="F4155" s="100"/>
      <c r="G4155" s="100"/>
      <c r="H4155" s="100"/>
      <c r="I4155" s="100"/>
      <c r="J4155" s="100"/>
      <c r="K4155" s="100"/>
      <c r="L4155" s="100"/>
      <c r="M4155" s="100"/>
      <c r="N4155" s="100"/>
      <c r="O4155" s="100"/>
      <c r="P4155" s="100"/>
      <c r="Q4155" s="100"/>
      <c r="R4155" s="100"/>
      <c r="S4155" s="100"/>
      <c r="T4155" s="100"/>
      <c r="U4155" s="100"/>
      <c r="V4155" s="100"/>
      <c r="W4155" s="100"/>
      <c r="X4155" s="100"/>
      <c r="Y4155" s="100"/>
      <c r="Z4155" s="100"/>
    </row>
    <row r="4156" spans="1:26">
      <c r="A4156" s="100"/>
      <c r="B4156" s="100"/>
      <c r="C4156" s="100"/>
      <c r="D4156" s="100"/>
      <c r="E4156" s="100"/>
      <c r="F4156" s="100"/>
      <c r="G4156" s="100"/>
      <c r="H4156" s="100"/>
      <c r="I4156" s="100"/>
      <c r="J4156" s="100"/>
      <c r="K4156" s="100"/>
      <c r="L4156" s="100"/>
      <c r="M4156" s="100"/>
      <c r="N4156" s="100"/>
      <c r="O4156" s="100"/>
      <c r="P4156" s="100"/>
      <c r="Q4156" s="100"/>
      <c r="R4156" s="100"/>
      <c r="S4156" s="100"/>
      <c r="T4156" s="100"/>
      <c r="U4156" s="100"/>
      <c r="V4156" s="100"/>
      <c r="W4156" s="100"/>
      <c r="X4156" s="100"/>
      <c r="Y4156" s="100"/>
      <c r="Z4156" s="100"/>
    </row>
    <row r="4157" spans="1:26">
      <c r="A4157" s="100"/>
      <c r="B4157" s="100"/>
      <c r="C4157" s="100"/>
      <c r="D4157" s="100"/>
      <c r="E4157" s="100"/>
      <c r="F4157" s="100"/>
      <c r="G4157" s="100"/>
      <c r="H4157" s="100"/>
      <c r="I4157" s="100"/>
      <c r="J4157" s="100"/>
      <c r="K4157" s="100"/>
      <c r="L4157" s="100"/>
      <c r="M4157" s="100"/>
      <c r="N4157" s="100"/>
      <c r="O4157" s="100"/>
      <c r="P4157" s="100"/>
      <c r="Q4157" s="100"/>
      <c r="R4157" s="100"/>
      <c r="S4157" s="100"/>
      <c r="T4157" s="100"/>
      <c r="U4157" s="100"/>
      <c r="V4157" s="100"/>
      <c r="W4157" s="100"/>
      <c r="X4157" s="100"/>
      <c r="Y4157" s="100"/>
      <c r="Z4157" s="100"/>
    </row>
    <row r="4158" spans="1:26">
      <c r="A4158" s="100"/>
      <c r="B4158" s="100"/>
      <c r="C4158" s="100"/>
      <c r="D4158" s="100"/>
      <c r="E4158" s="100"/>
      <c r="F4158" s="100"/>
      <c r="G4158" s="100"/>
      <c r="H4158" s="100"/>
      <c r="I4158" s="100"/>
      <c r="J4158" s="100"/>
      <c r="K4158" s="100"/>
      <c r="L4158" s="100"/>
      <c r="M4158" s="100"/>
      <c r="N4158" s="100"/>
      <c r="O4158" s="100"/>
      <c r="P4158" s="100"/>
      <c r="Q4158" s="100"/>
      <c r="R4158" s="100"/>
      <c r="S4158" s="100"/>
      <c r="T4158" s="100"/>
      <c r="U4158" s="100"/>
      <c r="V4158" s="100"/>
      <c r="W4158" s="100"/>
      <c r="X4158" s="100"/>
      <c r="Y4158" s="100"/>
      <c r="Z4158" s="100"/>
    </row>
    <row r="4159" spans="1:26">
      <c r="A4159" s="100"/>
      <c r="B4159" s="100"/>
      <c r="C4159" s="100"/>
      <c r="D4159" s="100"/>
      <c r="E4159" s="100"/>
      <c r="F4159" s="100"/>
      <c r="G4159" s="100"/>
      <c r="H4159" s="100"/>
      <c r="I4159" s="100"/>
      <c r="J4159" s="100"/>
      <c r="K4159" s="100"/>
      <c r="L4159" s="100"/>
      <c r="M4159" s="100"/>
      <c r="N4159" s="100"/>
      <c r="O4159" s="100"/>
      <c r="P4159" s="100"/>
      <c r="Q4159" s="100"/>
      <c r="R4159" s="100"/>
      <c r="S4159" s="100"/>
      <c r="T4159" s="100"/>
      <c r="U4159" s="100"/>
      <c r="V4159" s="100"/>
      <c r="W4159" s="100"/>
      <c r="X4159" s="100"/>
      <c r="Y4159" s="100"/>
      <c r="Z4159" s="100"/>
    </row>
    <row r="4160" spans="1:26">
      <c r="A4160" s="100"/>
      <c r="B4160" s="100"/>
      <c r="C4160" s="100"/>
      <c r="D4160" s="100"/>
      <c r="E4160" s="100"/>
      <c r="F4160" s="100"/>
      <c r="G4160" s="100"/>
      <c r="H4160" s="100"/>
      <c r="I4160" s="100"/>
      <c r="J4160" s="100"/>
      <c r="K4160" s="100"/>
      <c r="L4160" s="100"/>
      <c r="M4160" s="100"/>
      <c r="N4160" s="100"/>
      <c r="O4160" s="100"/>
      <c r="P4160" s="100"/>
      <c r="Q4160" s="100"/>
      <c r="R4160" s="100"/>
      <c r="S4160" s="100"/>
      <c r="T4160" s="100"/>
      <c r="U4160" s="100"/>
      <c r="V4160" s="100"/>
      <c r="W4160" s="100"/>
      <c r="X4160" s="100"/>
      <c r="Y4160" s="100"/>
      <c r="Z4160" s="100"/>
    </row>
    <row r="4161" spans="1:26">
      <c r="A4161" s="100"/>
      <c r="B4161" s="100"/>
      <c r="C4161" s="100"/>
      <c r="D4161" s="100"/>
      <c r="E4161" s="100"/>
      <c r="F4161" s="100"/>
      <c r="G4161" s="100"/>
      <c r="H4161" s="100"/>
      <c r="I4161" s="100"/>
      <c r="J4161" s="100"/>
      <c r="K4161" s="100"/>
      <c r="L4161" s="100"/>
      <c r="M4161" s="100"/>
      <c r="N4161" s="100"/>
      <c r="O4161" s="100"/>
      <c r="P4161" s="100"/>
      <c r="Q4161" s="100"/>
      <c r="R4161" s="100"/>
      <c r="S4161" s="100"/>
      <c r="T4161" s="100"/>
      <c r="U4161" s="100"/>
      <c r="V4161" s="100"/>
      <c r="W4161" s="100"/>
      <c r="X4161" s="100"/>
      <c r="Y4161" s="100"/>
      <c r="Z4161" s="100"/>
    </row>
    <row r="4162" spans="1:26">
      <c r="A4162" s="100"/>
      <c r="B4162" s="100"/>
      <c r="C4162" s="100"/>
      <c r="D4162" s="100"/>
      <c r="E4162" s="100"/>
      <c r="F4162" s="100"/>
      <c r="G4162" s="100"/>
      <c r="H4162" s="100"/>
      <c r="I4162" s="100"/>
      <c r="J4162" s="100"/>
      <c r="K4162" s="100"/>
      <c r="L4162" s="100"/>
      <c r="M4162" s="100"/>
      <c r="N4162" s="100"/>
      <c r="O4162" s="100"/>
      <c r="P4162" s="100"/>
      <c r="Q4162" s="100"/>
      <c r="R4162" s="100"/>
      <c r="S4162" s="100"/>
      <c r="T4162" s="100"/>
      <c r="U4162" s="100"/>
      <c r="V4162" s="100"/>
      <c r="W4162" s="100"/>
      <c r="X4162" s="100"/>
      <c r="Y4162" s="100"/>
      <c r="Z4162" s="100"/>
    </row>
    <row r="4163" spans="1:26">
      <c r="A4163" s="100"/>
      <c r="B4163" s="100"/>
      <c r="C4163" s="100"/>
      <c r="D4163" s="100"/>
      <c r="E4163" s="100"/>
      <c r="F4163" s="100"/>
      <c r="G4163" s="100"/>
      <c r="H4163" s="100"/>
      <c r="I4163" s="100"/>
      <c r="J4163" s="100"/>
      <c r="K4163" s="100"/>
      <c r="L4163" s="100"/>
      <c r="M4163" s="100"/>
      <c r="N4163" s="100"/>
      <c r="O4163" s="100"/>
      <c r="P4163" s="100"/>
      <c r="Q4163" s="100"/>
      <c r="R4163" s="100"/>
      <c r="S4163" s="100"/>
      <c r="T4163" s="100"/>
      <c r="U4163" s="100"/>
      <c r="V4163" s="100"/>
      <c r="W4163" s="100"/>
      <c r="X4163" s="100"/>
      <c r="Y4163" s="100"/>
      <c r="Z4163" s="100"/>
    </row>
    <row r="4164" spans="1:26">
      <c r="A4164" s="100"/>
      <c r="B4164" s="100"/>
      <c r="C4164" s="100"/>
      <c r="D4164" s="100"/>
      <c r="E4164" s="100"/>
      <c r="F4164" s="100"/>
      <c r="G4164" s="100"/>
      <c r="H4164" s="100"/>
      <c r="I4164" s="100"/>
      <c r="J4164" s="100"/>
      <c r="K4164" s="100"/>
      <c r="L4164" s="100"/>
      <c r="M4164" s="100"/>
      <c r="N4164" s="100"/>
      <c r="O4164" s="100"/>
      <c r="P4164" s="100"/>
      <c r="Q4164" s="100"/>
      <c r="R4164" s="100"/>
      <c r="S4164" s="100"/>
      <c r="T4164" s="100"/>
      <c r="U4164" s="100"/>
      <c r="V4164" s="100"/>
      <c r="W4164" s="100"/>
      <c r="X4164" s="100"/>
      <c r="Y4164" s="100"/>
      <c r="Z4164" s="100"/>
    </row>
    <row r="4165" spans="1:26">
      <c r="A4165" s="100"/>
      <c r="B4165" s="100"/>
      <c r="C4165" s="100"/>
      <c r="D4165" s="100"/>
      <c r="E4165" s="100"/>
      <c r="F4165" s="100"/>
      <c r="G4165" s="100"/>
      <c r="H4165" s="100"/>
      <c r="I4165" s="100"/>
      <c r="J4165" s="100"/>
      <c r="K4165" s="100"/>
      <c r="L4165" s="100"/>
      <c r="M4165" s="100"/>
      <c r="N4165" s="100"/>
      <c r="O4165" s="100"/>
      <c r="P4165" s="100"/>
      <c r="Q4165" s="100"/>
      <c r="R4165" s="100"/>
      <c r="S4165" s="100"/>
      <c r="T4165" s="100"/>
      <c r="U4165" s="100"/>
      <c r="V4165" s="100"/>
      <c r="W4165" s="100"/>
      <c r="X4165" s="100"/>
      <c r="Y4165" s="100"/>
      <c r="Z4165" s="100"/>
    </row>
    <row r="4166" spans="1:26">
      <c r="A4166" s="100"/>
      <c r="B4166" s="100"/>
      <c r="C4166" s="100"/>
      <c r="D4166" s="100"/>
      <c r="E4166" s="100"/>
      <c r="F4166" s="100"/>
      <c r="G4166" s="100"/>
      <c r="H4166" s="100"/>
      <c r="I4166" s="100"/>
      <c r="J4166" s="100"/>
      <c r="K4166" s="100"/>
      <c r="L4166" s="100"/>
      <c r="M4166" s="100"/>
      <c r="N4166" s="100"/>
      <c r="O4166" s="100"/>
      <c r="P4166" s="100"/>
      <c r="Q4166" s="100"/>
      <c r="R4166" s="100"/>
      <c r="S4166" s="100"/>
      <c r="T4166" s="100"/>
      <c r="U4166" s="100"/>
      <c r="V4166" s="100"/>
      <c r="W4166" s="100"/>
      <c r="X4166" s="100"/>
      <c r="Y4166" s="100"/>
      <c r="Z4166" s="100"/>
    </row>
    <row r="4167" spans="1:26">
      <c r="A4167" s="100"/>
      <c r="B4167" s="100"/>
      <c r="C4167" s="100"/>
      <c r="D4167" s="100"/>
      <c r="E4167" s="100"/>
      <c r="F4167" s="100"/>
      <c r="G4167" s="100"/>
      <c r="H4167" s="100"/>
      <c r="I4167" s="100"/>
      <c r="J4167" s="100"/>
      <c r="K4167" s="100"/>
      <c r="L4167" s="100"/>
      <c r="M4167" s="100"/>
      <c r="N4167" s="100"/>
      <c r="O4167" s="100"/>
      <c r="P4167" s="100"/>
      <c r="Q4167" s="100"/>
      <c r="R4167" s="100"/>
      <c r="S4167" s="100"/>
      <c r="T4167" s="100"/>
      <c r="U4167" s="100"/>
      <c r="V4167" s="100"/>
      <c r="W4167" s="100"/>
      <c r="X4167" s="100"/>
      <c r="Y4167" s="100"/>
      <c r="Z4167" s="100"/>
    </row>
    <row r="4168" spans="1:26">
      <c r="A4168" s="100"/>
      <c r="B4168" s="100"/>
      <c r="C4168" s="100"/>
      <c r="D4168" s="100"/>
      <c r="E4168" s="100"/>
      <c r="F4168" s="100"/>
      <c r="G4168" s="100"/>
      <c r="H4168" s="100"/>
      <c r="I4168" s="100"/>
      <c r="J4168" s="100"/>
      <c r="K4168" s="100"/>
      <c r="L4168" s="100"/>
      <c r="M4168" s="100"/>
      <c r="N4168" s="100"/>
      <c r="O4168" s="100"/>
      <c r="P4168" s="100"/>
      <c r="Q4168" s="100"/>
      <c r="R4168" s="100"/>
      <c r="S4168" s="100"/>
      <c r="T4168" s="100"/>
      <c r="U4168" s="100"/>
      <c r="V4168" s="100"/>
      <c r="W4168" s="100"/>
      <c r="X4168" s="100"/>
      <c r="Y4168" s="100"/>
      <c r="Z4168" s="100"/>
    </row>
    <row r="4169" spans="1:26">
      <c r="A4169" s="100"/>
      <c r="B4169" s="100"/>
      <c r="C4169" s="100"/>
      <c r="D4169" s="100"/>
      <c r="E4169" s="100"/>
      <c r="F4169" s="100"/>
      <c r="G4169" s="100"/>
      <c r="H4169" s="100"/>
      <c r="I4169" s="100"/>
      <c r="J4169" s="100"/>
      <c r="K4169" s="100"/>
      <c r="L4169" s="100"/>
      <c r="M4169" s="100"/>
      <c r="N4169" s="100"/>
      <c r="O4169" s="100"/>
      <c r="P4169" s="100"/>
      <c r="Q4169" s="100"/>
      <c r="R4169" s="100"/>
      <c r="S4169" s="100"/>
      <c r="T4169" s="100"/>
      <c r="U4169" s="100"/>
      <c r="V4169" s="100"/>
      <c r="W4169" s="100"/>
      <c r="X4169" s="100"/>
      <c r="Y4169" s="100"/>
      <c r="Z4169" s="100"/>
    </row>
    <row r="4170" spans="1:26">
      <c r="A4170" s="100"/>
      <c r="B4170" s="100"/>
      <c r="C4170" s="100"/>
      <c r="D4170" s="100"/>
      <c r="E4170" s="100"/>
      <c r="F4170" s="100"/>
      <c r="G4170" s="100"/>
      <c r="H4170" s="100"/>
      <c r="I4170" s="100"/>
      <c r="J4170" s="100"/>
      <c r="K4170" s="100"/>
      <c r="L4170" s="100"/>
      <c r="M4170" s="100"/>
      <c r="N4170" s="100"/>
      <c r="O4170" s="100"/>
      <c r="P4170" s="100"/>
      <c r="Q4170" s="100"/>
      <c r="R4170" s="100"/>
      <c r="S4170" s="100"/>
      <c r="T4170" s="100"/>
      <c r="U4170" s="100"/>
      <c r="V4170" s="100"/>
      <c r="W4170" s="100"/>
      <c r="X4170" s="100"/>
      <c r="Y4170" s="100"/>
      <c r="Z4170" s="100"/>
    </row>
    <row r="4171" spans="1:26">
      <c r="A4171" s="100"/>
      <c r="B4171" s="100"/>
      <c r="C4171" s="100"/>
      <c r="D4171" s="100"/>
      <c r="E4171" s="100"/>
      <c r="F4171" s="100"/>
      <c r="G4171" s="100"/>
      <c r="H4171" s="100"/>
      <c r="I4171" s="100"/>
      <c r="J4171" s="100"/>
      <c r="K4171" s="100"/>
      <c r="L4171" s="100"/>
      <c r="M4171" s="100"/>
      <c r="N4171" s="100"/>
      <c r="O4171" s="100"/>
      <c r="P4171" s="100"/>
      <c r="Q4171" s="100"/>
      <c r="R4171" s="100"/>
      <c r="S4171" s="100"/>
      <c r="T4171" s="100"/>
      <c r="U4171" s="100"/>
      <c r="V4171" s="100"/>
      <c r="W4171" s="100"/>
      <c r="X4171" s="100"/>
      <c r="Y4171" s="100"/>
      <c r="Z4171" s="100"/>
    </row>
    <row r="4172" spans="1:26">
      <c r="A4172" s="100"/>
      <c r="B4172" s="100"/>
      <c r="C4172" s="100"/>
      <c r="D4172" s="100"/>
      <c r="E4172" s="100"/>
      <c r="F4172" s="100"/>
      <c r="G4172" s="100"/>
      <c r="H4172" s="100"/>
      <c r="I4172" s="100"/>
      <c r="J4172" s="100"/>
      <c r="K4172" s="100"/>
      <c r="L4172" s="100"/>
      <c r="M4172" s="100"/>
      <c r="N4172" s="100"/>
      <c r="O4172" s="100"/>
      <c r="P4172" s="100"/>
      <c r="Q4172" s="100"/>
      <c r="R4172" s="100"/>
      <c r="S4172" s="100"/>
      <c r="T4172" s="100"/>
      <c r="U4172" s="100"/>
      <c r="V4172" s="100"/>
      <c r="W4172" s="100"/>
      <c r="X4172" s="100"/>
      <c r="Y4172" s="100"/>
      <c r="Z4172" s="100"/>
    </row>
    <row r="4173" spans="1:26">
      <c r="A4173" s="100"/>
      <c r="B4173" s="100"/>
      <c r="C4173" s="100"/>
      <c r="D4173" s="100"/>
      <c r="E4173" s="100"/>
      <c r="F4173" s="100"/>
      <c r="G4173" s="100"/>
      <c r="H4173" s="100"/>
      <c r="I4173" s="100"/>
      <c r="J4173" s="100"/>
      <c r="K4173" s="100"/>
      <c r="L4173" s="100"/>
      <c r="M4173" s="100"/>
      <c r="N4173" s="100"/>
      <c r="O4173" s="100"/>
      <c r="P4173" s="100"/>
      <c r="Q4173" s="100"/>
      <c r="R4173" s="100"/>
      <c r="S4173" s="100"/>
      <c r="T4173" s="100"/>
      <c r="U4173" s="100"/>
      <c r="V4173" s="100"/>
      <c r="W4173" s="100"/>
      <c r="X4173" s="100"/>
      <c r="Y4173" s="100"/>
      <c r="Z4173" s="100"/>
    </row>
    <row r="4174" spans="1:26">
      <c r="A4174" s="100"/>
      <c r="B4174" s="100"/>
      <c r="C4174" s="100"/>
      <c r="D4174" s="100"/>
      <c r="E4174" s="100"/>
      <c r="F4174" s="100"/>
      <c r="G4174" s="100"/>
      <c r="H4174" s="100"/>
      <c r="I4174" s="100"/>
      <c r="J4174" s="100"/>
      <c r="K4174" s="100"/>
      <c r="L4174" s="100"/>
      <c r="M4174" s="100"/>
      <c r="N4174" s="100"/>
      <c r="O4174" s="100"/>
      <c r="P4174" s="100"/>
      <c r="Q4174" s="100"/>
      <c r="R4174" s="100"/>
      <c r="S4174" s="100"/>
      <c r="T4174" s="100"/>
      <c r="U4174" s="100"/>
      <c r="V4174" s="100"/>
      <c r="W4174" s="100"/>
      <c r="X4174" s="100"/>
      <c r="Y4174" s="100"/>
      <c r="Z4174" s="100"/>
    </row>
    <row r="4175" spans="1:26">
      <c r="A4175" s="100"/>
      <c r="B4175" s="100"/>
      <c r="C4175" s="100"/>
      <c r="D4175" s="100"/>
      <c r="E4175" s="100"/>
      <c r="F4175" s="100"/>
      <c r="G4175" s="100"/>
      <c r="H4175" s="100"/>
      <c r="I4175" s="100"/>
      <c r="J4175" s="100"/>
      <c r="K4175" s="100"/>
      <c r="L4175" s="100"/>
      <c r="M4175" s="100"/>
      <c r="N4175" s="100"/>
      <c r="O4175" s="100"/>
      <c r="P4175" s="100"/>
      <c r="Q4175" s="100"/>
      <c r="R4175" s="100"/>
      <c r="S4175" s="100"/>
      <c r="T4175" s="100"/>
      <c r="U4175" s="100"/>
      <c r="V4175" s="100"/>
      <c r="W4175" s="100"/>
      <c r="X4175" s="100"/>
      <c r="Y4175" s="100"/>
      <c r="Z4175" s="100"/>
    </row>
    <row r="4176" spans="1:26">
      <c r="A4176" s="100"/>
      <c r="B4176" s="100"/>
      <c r="C4176" s="100"/>
      <c r="D4176" s="100"/>
      <c r="E4176" s="100"/>
      <c r="F4176" s="100"/>
      <c r="G4176" s="100"/>
      <c r="H4176" s="100"/>
      <c r="I4176" s="100"/>
      <c r="J4176" s="100"/>
      <c r="K4176" s="100"/>
      <c r="L4176" s="100"/>
      <c r="M4176" s="100"/>
      <c r="N4176" s="100"/>
      <c r="O4176" s="100"/>
      <c r="P4176" s="100"/>
      <c r="Q4176" s="100"/>
      <c r="R4176" s="100"/>
      <c r="S4176" s="100"/>
      <c r="T4176" s="100"/>
      <c r="U4176" s="100"/>
      <c r="V4176" s="100"/>
      <c r="W4176" s="100"/>
      <c r="X4176" s="100"/>
      <c r="Y4176" s="100"/>
      <c r="Z4176" s="100"/>
    </row>
    <row r="4177" spans="1:26">
      <c r="A4177" s="100"/>
      <c r="B4177" s="100"/>
      <c r="C4177" s="100"/>
      <c r="D4177" s="100"/>
      <c r="E4177" s="100"/>
      <c r="F4177" s="100"/>
      <c r="G4177" s="100"/>
      <c r="H4177" s="100"/>
      <c r="I4177" s="100"/>
      <c r="J4177" s="100"/>
      <c r="K4177" s="100"/>
      <c r="L4177" s="100"/>
      <c r="M4177" s="100"/>
      <c r="N4177" s="100"/>
      <c r="O4177" s="100"/>
      <c r="P4177" s="100"/>
      <c r="Q4177" s="100"/>
      <c r="R4177" s="100"/>
      <c r="S4177" s="100"/>
      <c r="T4177" s="100"/>
      <c r="U4177" s="100"/>
      <c r="V4177" s="100"/>
      <c r="W4177" s="100"/>
      <c r="X4177" s="100"/>
      <c r="Y4177" s="100"/>
      <c r="Z4177" s="100"/>
    </row>
    <row r="4178" spans="1:26">
      <c r="A4178" s="100"/>
      <c r="B4178" s="100"/>
      <c r="C4178" s="100"/>
      <c r="D4178" s="100"/>
      <c r="E4178" s="100"/>
      <c r="F4178" s="100"/>
      <c r="G4178" s="100"/>
      <c r="H4178" s="100"/>
      <c r="I4178" s="100"/>
      <c r="J4178" s="100"/>
      <c r="K4178" s="100"/>
      <c r="L4178" s="100"/>
      <c r="M4178" s="100"/>
      <c r="N4178" s="100"/>
      <c r="O4178" s="100"/>
      <c r="P4178" s="100"/>
      <c r="Q4178" s="100"/>
      <c r="R4178" s="100"/>
      <c r="S4178" s="100"/>
      <c r="T4178" s="100"/>
      <c r="U4178" s="100"/>
      <c r="V4178" s="100"/>
      <c r="W4178" s="100"/>
      <c r="X4178" s="100"/>
      <c r="Y4178" s="100"/>
      <c r="Z4178" s="100"/>
    </row>
    <row r="4179" spans="1:26">
      <c r="A4179" s="100"/>
      <c r="B4179" s="100"/>
      <c r="C4179" s="100"/>
      <c r="D4179" s="100"/>
      <c r="E4179" s="100"/>
      <c r="F4179" s="100"/>
      <c r="G4179" s="100"/>
      <c r="H4179" s="100"/>
      <c r="I4179" s="100"/>
      <c r="J4179" s="100"/>
      <c r="K4179" s="100"/>
      <c r="L4179" s="100"/>
      <c r="M4179" s="100"/>
      <c r="N4179" s="100"/>
      <c r="O4179" s="100"/>
      <c r="P4179" s="100"/>
      <c r="Q4179" s="100"/>
      <c r="R4179" s="100"/>
      <c r="S4179" s="100"/>
      <c r="T4179" s="100"/>
      <c r="U4179" s="100"/>
      <c r="V4179" s="100"/>
      <c r="W4179" s="100"/>
      <c r="X4179" s="100"/>
      <c r="Y4179" s="100"/>
      <c r="Z4179" s="100"/>
    </row>
    <row r="4180" spans="1:26">
      <c r="A4180" s="100"/>
      <c r="B4180" s="100"/>
      <c r="C4180" s="100"/>
      <c r="D4180" s="100"/>
      <c r="E4180" s="100"/>
      <c r="F4180" s="100"/>
      <c r="G4180" s="100"/>
      <c r="H4180" s="100"/>
      <c r="I4180" s="100"/>
      <c r="J4180" s="100"/>
      <c r="K4180" s="100"/>
      <c r="L4180" s="100"/>
      <c r="M4180" s="100"/>
      <c r="N4180" s="100"/>
      <c r="O4180" s="100"/>
      <c r="P4180" s="100"/>
      <c r="Q4180" s="100"/>
      <c r="R4180" s="100"/>
      <c r="S4180" s="100"/>
      <c r="T4180" s="100"/>
      <c r="U4180" s="100"/>
      <c r="V4180" s="100"/>
      <c r="W4180" s="100"/>
      <c r="X4180" s="100"/>
      <c r="Y4180" s="100"/>
      <c r="Z4180" s="100"/>
    </row>
    <row r="4181" spans="1:26">
      <c r="A4181" s="100"/>
      <c r="B4181" s="100"/>
      <c r="C4181" s="100"/>
      <c r="D4181" s="100"/>
      <c r="E4181" s="100"/>
      <c r="F4181" s="100"/>
      <c r="G4181" s="100"/>
      <c r="H4181" s="100"/>
      <c r="I4181" s="100"/>
      <c r="J4181" s="100"/>
      <c r="K4181" s="100"/>
      <c r="L4181" s="100"/>
      <c r="M4181" s="100"/>
      <c r="N4181" s="100"/>
      <c r="O4181" s="100"/>
      <c r="P4181" s="100"/>
      <c r="Q4181" s="100"/>
      <c r="R4181" s="100"/>
      <c r="S4181" s="100"/>
      <c r="T4181" s="100"/>
      <c r="U4181" s="100"/>
      <c r="V4181" s="100"/>
      <c r="W4181" s="100"/>
      <c r="X4181" s="100"/>
      <c r="Y4181" s="100"/>
      <c r="Z4181" s="100"/>
    </row>
    <row r="4182" spans="1:26">
      <c r="A4182" s="100"/>
      <c r="B4182" s="100"/>
      <c r="C4182" s="100"/>
      <c r="D4182" s="100"/>
      <c r="E4182" s="100"/>
      <c r="F4182" s="100"/>
      <c r="G4182" s="100"/>
      <c r="H4182" s="100"/>
      <c r="I4182" s="100"/>
      <c r="J4182" s="100"/>
      <c r="K4182" s="100"/>
      <c r="L4182" s="100"/>
      <c r="M4182" s="100"/>
      <c r="N4182" s="100"/>
      <c r="O4182" s="100"/>
      <c r="P4182" s="100"/>
      <c r="Q4182" s="100"/>
      <c r="R4182" s="100"/>
      <c r="S4182" s="100"/>
      <c r="T4182" s="100"/>
      <c r="U4182" s="100"/>
      <c r="V4182" s="100"/>
      <c r="W4182" s="100"/>
      <c r="X4182" s="100"/>
      <c r="Y4182" s="100"/>
      <c r="Z4182" s="100"/>
    </row>
    <row r="4183" spans="1:26">
      <c r="A4183" s="100"/>
      <c r="B4183" s="100"/>
      <c r="C4183" s="100"/>
      <c r="D4183" s="100"/>
      <c r="E4183" s="100"/>
      <c r="F4183" s="100"/>
      <c r="G4183" s="100"/>
      <c r="H4183" s="100"/>
      <c r="I4183" s="100"/>
      <c r="J4183" s="100"/>
      <c r="K4183" s="100"/>
      <c r="L4183" s="100"/>
      <c r="M4183" s="100"/>
      <c r="N4183" s="100"/>
      <c r="O4183" s="100"/>
      <c r="P4183" s="100"/>
      <c r="Q4183" s="100"/>
      <c r="R4183" s="100"/>
      <c r="S4183" s="100"/>
      <c r="T4183" s="100"/>
      <c r="U4183" s="100"/>
      <c r="V4183" s="100"/>
      <c r="W4183" s="100"/>
      <c r="X4183" s="100"/>
      <c r="Y4183" s="100"/>
      <c r="Z4183" s="100"/>
    </row>
    <row r="4184" spans="1:26">
      <c r="A4184" s="100"/>
      <c r="B4184" s="100"/>
      <c r="C4184" s="100"/>
      <c r="D4184" s="100"/>
      <c r="E4184" s="100"/>
      <c r="F4184" s="100"/>
      <c r="G4184" s="100"/>
      <c r="H4184" s="100"/>
      <c r="I4184" s="100"/>
      <c r="J4184" s="100"/>
      <c r="K4184" s="100"/>
      <c r="L4184" s="100"/>
      <c r="M4184" s="100"/>
      <c r="N4184" s="100"/>
      <c r="O4184" s="100"/>
      <c r="P4184" s="100"/>
      <c r="Q4184" s="100"/>
      <c r="R4184" s="100"/>
      <c r="S4184" s="100"/>
      <c r="T4184" s="100"/>
      <c r="U4184" s="100"/>
      <c r="V4184" s="100"/>
      <c r="W4184" s="100"/>
      <c r="X4184" s="100"/>
      <c r="Y4184" s="100"/>
      <c r="Z4184" s="100"/>
    </row>
    <row r="4185" spans="1:26">
      <c r="A4185" s="100"/>
      <c r="B4185" s="100"/>
      <c r="C4185" s="100"/>
      <c r="D4185" s="100"/>
      <c r="E4185" s="100"/>
      <c r="F4185" s="100"/>
      <c r="G4185" s="100"/>
      <c r="H4185" s="100"/>
      <c r="I4185" s="100"/>
      <c r="J4185" s="100"/>
      <c r="K4185" s="100"/>
      <c r="L4185" s="100"/>
      <c r="M4185" s="100"/>
      <c r="N4185" s="100"/>
      <c r="O4185" s="100"/>
      <c r="P4185" s="100"/>
      <c r="Q4185" s="100"/>
      <c r="R4185" s="100"/>
      <c r="S4185" s="100"/>
      <c r="T4185" s="100"/>
      <c r="U4185" s="100"/>
      <c r="V4185" s="100"/>
      <c r="W4185" s="100"/>
      <c r="X4185" s="100"/>
      <c r="Y4185" s="100"/>
      <c r="Z4185" s="100"/>
    </row>
    <row r="4186" spans="1:26">
      <c r="A4186" s="100"/>
      <c r="B4186" s="100"/>
      <c r="C4186" s="100"/>
      <c r="D4186" s="100"/>
      <c r="E4186" s="100"/>
      <c r="F4186" s="100"/>
      <c r="G4186" s="100"/>
      <c r="H4186" s="100"/>
      <c r="I4186" s="100"/>
      <c r="J4186" s="100"/>
      <c r="K4186" s="100"/>
      <c r="L4186" s="100"/>
      <c r="M4186" s="100"/>
      <c r="N4186" s="100"/>
      <c r="O4186" s="100"/>
      <c r="P4186" s="100"/>
      <c r="Q4186" s="100"/>
      <c r="R4186" s="100"/>
      <c r="S4186" s="100"/>
      <c r="T4186" s="100"/>
      <c r="U4186" s="100"/>
      <c r="V4186" s="100"/>
      <c r="W4186" s="100"/>
      <c r="X4186" s="100"/>
      <c r="Y4186" s="100"/>
      <c r="Z4186" s="100"/>
    </row>
    <row r="4187" spans="1:26">
      <c r="A4187" s="100"/>
      <c r="B4187" s="100"/>
      <c r="C4187" s="100"/>
      <c r="D4187" s="100"/>
      <c r="E4187" s="100"/>
      <c r="F4187" s="100"/>
      <c r="G4187" s="100"/>
      <c r="H4187" s="100"/>
      <c r="I4187" s="100"/>
      <c r="J4187" s="100"/>
      <c r="K4187" s="100"/>
      <c r="L4187" s="100"/>
      <c r="M4187" s="100"/>
      <c r="N4187" s="100"/>
      <c r="O4187" s="100"/>
      <c r="P4187" s="100"/>
      <c r="Q4187" s="100"/>
      <c r="R4187" s="100"/>
      <c r="S4187" s="100"/>
      <c r="T4187" s="100"/>
      <c r="U4187" s="100"/>
      <c r="V4187" s="100"/>
      <c r="W4187" s="100"/>
      <c r="X4187" s="100"/>
      <c r="Y4187" s="100"/>
      <c r="Z4187" s="100"/>
    </row>
    <row r="4188" spans="1:26">
      <c r="A4188" s="100"/>
      <c r="B4188" s="100"/>
      <c r="C4188" s="100"/>
      <c r="D4188" s="100"/>
      <c r="E4188" s="100"/>
      <c r="F4188" s="100"/>
      <c r="G4188" s="100"/>
      <c r="H4188" s="100"/>
      <c r="I4188" s="100"/>
      <c r="J4188" s="100"/>
      <c r="K4188" s="100"/>
      <c r="L4188" s="100"/>
      <c r="M4188" s="100"/>
      <c r="N4188" s="100"/>
      <c r="O4188" s="100"/>
      <c r="P4188" s="100"/>
      <c r="Q4188" s="100"/>
      <c r="R4188" s="100"/>
      <c r="S4188" s="100"/>
      <c r="T4188" s="100"/>
      <c r="U4188" s="100"/>
      <c r="V4188" s="100"/>
      <c r="W4188" s="100"/>
      <c r="X4188" s="100"/>
      <c r="Y4188" s="100"/>
      <c r="Z4188" s="100"/>
    </row>
    <row r="4189" spans="1:26">
      <c r="A4189" s="100"/>
      <c r="B4189" s="100"/>
      <c r="C4189" s="100"/>
      <c r="D4189" s="100"/>
      <c r="E4189" s="100"/>
      <c r="F4189" s="100"/>
      <c r="G4189" s="100"/>
      <c r="H4189" s="100"/>
      <c r="I4189" s="100"/>
      <c r="J4189" s="100"/>
      <c r="K4189" s="100"/>
      <c r="L4189" s="100"/>
      <c r="M4189" s="100"/>
      <c r="N4189" s="100"/>
      <c r="O4189" s="100"/>
      <c r="P4189" s="100"/>
      <c r="Q4189" s="100"/>
      <c r="R4189" s="100"/>
      <c r="S4189" s="100"/>
      <c r="T4189" s="100"/>
      <c r="U4189" s="100"/>
      <c r="V4189" s="100"/>
      <c r="W4189" s="100"/>
      <c r="X4189" s="100"/>
      <c r="Y4189" s="100"/>
      <c r="Z4189" s="100"/>
    </row>
    <row r="4190" spans="1:26">
      <c r="A4190" s="100"/>
      <c r="B4190" s="100"/>
      <c r="C4190" s="100"/>
      <c r="D4190" s="100"/>
      <c r="E4190" s="100"/>
      <c r="F4190" s="100"/>
      <c r="G4190" s="100"/>
      <c r="H4190" s="100"/>
      <c r="I4190" s="100"/>
      <c r="J4190" s="100"/>
      <c r="K4190" s="100"/>
      <c r="L4190" s="100"/>
      <c r="M4190" s="100"/>
      <c r="N4190" s="100"/>
      <c r="O4190" s="100"/>
      <c r="P4190" s="100"/>
      <c r="Q4190" s="100"/>
      <c r="R4190" s="100"/>
      <c r="S4190" s="100"/>
      <c r="T4190" s="100"/>
      <c r="U4190" s="100"/>
      <c r="V4190" s="100"/>
      <c r="W4190" s="100"/>
      <c r="X4190" s="100"/>
      <c r="Y4190" s="100"/>
      <c r="Z4190" s="100"/>
    </row>
    <row r="4191" spans="1:26">
      <c r="A4191" s="100"/>
      <c r="B4191" s="100"/>
      <c r="C4191" s="100"/>
      <c r="D4191" s="100"/>
      <c r="E4191" s="100"/>
      <c r="F4191" s="100"/>
      <c r="G4191" s="100"/>
      <c r="H4191" s="100"/>
      <c r="I4191" s="100"/>
      <c r="J4191" s="100"/>
      <c r="K4191" s="100"/>
      <c r="L4191" s="100"/>
      <c r="M4191" s="100"/>
      <c r="N4191" s="100"/>
      <c r="O4191" s="100"/>
      <c r="P4191" s="100"/>
      <c r="Q4191" s="100"/>
      <c r="R4191" s="100"/>
      <c r="S4191" s="100"/>
      <c r="T4191" s="100"/>
      <c r="U4191" s="100"/>
      <c r="V4191" s="100"/>
      <c r="W4191" s="100"/>
      <c r="X4191" s="100"/>
      <c r="Y4191" s="100"/>
      <c r="Z4191" s="100"/>
    </row>
    <row r="4192" spans="1:26">
      <c r="A4192" s="100"/>
      <c r="B4192" s="100"/>
      <c r="C4192" s="100"/>
      <c r="D4192" s="100"/>
      <c r="E4192" s="100"/>
      <c r="F4192" s="100"/>
      <c r="G4192" s="100"/>
      <c r="H4192" s="100"/>
      <c r="I4192" s="100"/>
      <c r="J4192" s="100"/>
      <c r="K4192" s="100"/>
      <c r="L4192" s="100"/>
      <c r="M4192" s="100"/>
      <c r="N4192" s="100"/>
      <c r="O4192" s="100"/>
      <c r="P4192" s="100"/>
      <c r="Q4192" s="100"/>
      <c r="R4192" s="100"/>
      <c r="S4192" s="100"/>
      <c r="T4192" s="100"/>
      <c r="U4192" s="100"/>
      <c r="V4192" s="100"/>
      <c r="W4192" s="100"/>
      <c r="X4192" s="100"/>
      <c r="Y4192" s="100"/>
      <c r="Z4192" s="100"/>
    </row>
    <row r="4193" spans="1:26">
      <c r="A4193" s="100"/>
      <c r="B4193" s="100"/>
      <c r="C4193" s="100"/>
      <c r="D4193" s="100"/>
      <c r="E4193" s="100"/>
      <c r="F4193" s="100"/>
      <c r="G4193" s="100"/>
      <c r="H4193" s="100"/>
      <c r="I4193" s="100"/>
      <c r="J4193" s="100"/>
      <c r="K4193" s="100"/>
      <c r="L4193" s="100"/>
      <c r="M4193" s="100"/>
      <c r="N4193" s="100"/>
      <c r="O4193" s="100"/>
      <c r="P4193" s="100"/>
      <c r="Q4193" s="100"/>
      <c r="R4193" s="100"/>
      <c r="S4193" s="100"/>
      <c r="T4193" s="100"/>
      <c r="U4193" s="100"/>
      <c r="V4193" s="100"/>
      <c r="W4193" s="100"/>
      <c r="X4193" s="100"/>
      <c r="Y4193" s="100"/>
      <c r="Z4193" s="100"/>
    </row>
    <row r="4194" spans="1:26">
      <c r="A4194" s="100"/>
      <c r="B4194" s="100"/>
      <c r="C4194" s="100"/>
      <c r="D4194" s="100"/>
      <c r="E4194" s="100"/>
      <c r="F4194" s="100"/>
      <c r="G4194" s="100"/>
      <c r="H4194" s="100"/>
      <c r="I4194" s="100"/>
      <c r="J4194" s="100"/>
      <c r="K4194" s="100"/>
      <c r="L4194" s="100"/>
      <c r="M4194" s="100"/>
      <c r="N4194" s="100"/>
      <c r="O4194" s="100"/>
      <c r="P4194" s="100"/>
      <c r="Q4194" s="100"/>
      <c r="R4194" s="100"/>
      <c r="S4194" s="100"/>
      <c r="T4194" s="100"/>
      <c r="U4194" s="100"/>
      <c r="V4194" s="100"/>
      <c r="W4194" s="100"/>
      <c r="X4194" s="100"/>
      <c r="Y4194" s="100"/>
      <c r="Z4194" s="100"/>
    </row>
    <row r="4195" spans="1:26">
      <c r="A4195" s="100"/>
      <c r="B4195" s="100"/>
      <c r="C4195" s="100"/>
      <c r="D4195" s="100"/>
      <c r="E4195" s="100"/>
      <c r="F4195" s="100"/>
      <c r="G4195" s="100"/>
      <c r="H4195" s="100"/>
      <c r="I4195" s="100"/>
      <c r="J4195" s="100"/>
      <c r="K4195" s="100"/>
      <c r="L4195" s="100"/>
      <c r="M4195" s="100"/>
      <c r="N4195" s="100"/>
      <c r="O4195" s="100"/>
      <c r="P4195" s="100"/>
      <c r="Q4195" s="100"/>
      <c r="R4195" s="100"/>
      <c r="S4195" s="100"/>
      <c r="T4195" s="100"/>
      <c r="U4195" s="100"/>
      <c r="V4195" s="100"/>
      <c r="W4195" s="100"/>
      <c r="X4195" s="100"/>
      <c r="Y4195" s="100"/>
      <c r="Z4195" s="100"/>
    </row>
    <row r="4196" spans="1:26">
      <c r="A4196" s="100"/>
      <c r="B4196" s="100"/>
      <c r="C4196" s="100"/>
      <c r="D4196" s="100"/>
      <c r="E4196" s="100"/>
      <c r="F4196" s="100"/>
      <c r="G4196" s="100"/>
      <c r="H4196" s="100"/>
      <c r="I4196" s="100"/>
      <c r="J4196" s="100"/>
      <c r="K4196" s="100"/>
      <c r="L4196" s="100"/>
      <c r="M4196" s="100"/>
      <c r="N4196" s="100"/>
      <c r="O4196" s="100"/>
      <c r="P4196" s="100"/>
      <c r="Q4196" s="100"/>
      <c r="R4196" s="100"/>
      <c r="S4196" s="100"/>
      <c r="T4196" s="100"/>
      <c r="U4196" s="100"/>
      <c r="V4196" s="100"/>
      <c r="W4196" s="100"/>
      <c r="X4196" s="100"/>
      <c r="Y4196" s="100"/>
      <c r="Z4196" s="100"/>
    </row>
    <row r="4197" spans="1:26">
      <c r="A4197" s="100"/>
      <c r="B4197" s="100"/>
      <c r="C4197" s="100"/>
      <c r="D4197" s="100"/>
      <c r="E4197" s="100"/>
      <c r="F4197" s="100"/>
      <c r="G4197" s="100"/>
      <c r="H4197" s="100"/>
      <c r="I4197" s="100"/>
      <c r="J4197" s="100"/>
      <c r="K4197" s="100"/>
      <c r="L4197" s="100"/>
      <c r="M4197" s="100"/>
      <c r="N4197" s="100"/>
      <c r="O4197" s="100"/>
      <c r="P4197" s="100"/>
      <c r="Q4197" s="100"/>
      <c r="R4197" s="100"/>
      <c r="S4197" s="100"/>
      <c r="T4197" s="100"/>
      <c r="U4197" s="100"/>
      <c r="V4197" s="100"/>
      <c r="W4197" s="100"/>
      <c r="X4197" s="100"/>
      <c r="Y4197" s="100"/>
      <c r="Z4197" s="100"/>
    </row>
    <row r="4198" spans="1:26">
      <c r="A4198" s="100"/>
      <c r="B4198" s="100"/>
      <c r="C4198" s="100"/>
      <c r="D4198" s="100"/>
      <c r="E4198" s="100"/>
      <c r="F4198" s="100"/>
      <c r="G4198" s="100"/>
      <c r="H4198" s="100"/>
      <c r="I4198" s="100"/>
      <c r="J4198" s="100"/>
      <c r="K4198" s="100"/>
      <c r="L4198" s="100"/>
      <c r="M4198" s="100"/>
      <c r="N4198" s="100"/>
      <c r="O4198" s="100"/>
      <c r="P4198" s="100"/>
      <c r="Q4198" s="100"/>
      <c r="R4198" s="100"/>
      <c r="S4198" s="100"/>
      <c r="T4198" s="100"/>
      <c r="U4198" s="100"/>
      <c r="V4198" s="100"/>
      <c r="W4198" s="100"/>
      <c r="X4198" s="100"/>
      <c r="Y4198" s="100"/>
      <c r="Z4198" s="100"/>
    </row>
    <row r="4199" spans="1:26">
      <c r="A4199" s="100"/>
      <c r="B4199" s="100"/>
      <c r="C4199" s="100"/>
      <c r="D4199" s="100"/>
      <c r="E4199" s="100"/>
      <c r="F4199" s="100"/>
      <c r="G4199" s="100"/>
      <c r="H4199" s="100"/>
      <c r="I4199" s="100"/>
      <c r="J4199" s="100"/>
      <c r="K4199" s="100"/>
      <c r="L4199" s="100"/>
      <c r="M4199" s="100"/>
      <c r="N4199" s="100"/>
      <c r="O4199" s="100"/>
      <c r="P4199" s="100"/>
      <c r="Q4199" s="100"/>
      <c r="R4199" s="100"/>
      <c r="S4199" s="100"/>
      <c r="T4199" s="100"/>
      <c r="U4199" s="100"/>
      <c r="V4199" s="100"/>
      <c r="W4199" s="100"/>
      <c r="X4199" s="100"/>
      <c r="Y4199" s="100"/>
      <c r="Z4199" s="100"/>
    </row>
    <row r="4200" spans="1:26">
      <c r="A4200" s="100"/>
      <c r="B4200" s="100"/>
      <c r="C4200" s="100"/>
      <c r="D4200" s="100"/>
      <c r="E4200" s="100"/>
      <c r="F4200" s="100"/>
      <c r="G4200" s="100"/>
      <c r="H4200" s="100"/>
      <c r="I4200" s="100"/>
      <c r="J4200" s="100"/>
      <c r="K4200" s="100"/>
      <c r="L4200" s="100"/>
      <c r="M4200" s="100"/>
      <c r="N4200" s="100"/>
      <c r="O4200" s="100"/>
      <c r="P4200" s="100"/>
      <c r="Q4200" s="100"/>
      <c r="R4200" s="100"/>
      <c r="S4200" s="100"/>
      <c r="T4200" s="100"/>
      <c r="U4200" s="100"/>
      <c r="V4200" s="100"/>
      <c r="W4200" s="100"/>
      <c r="X4200" s="100"/>
      <c r="Y4200" s="100"/>
      <c r="Z4200" s="100"/>
    </row>
    <row r="4201" spans="1:26">
      <c r="A4201" s="100"/>
      <c r="B4201" s="100"/>
      <c r="C4201" s="100"/>
      <c r="D4201" s="100"/>
      <c r="E4201" s="100"/>
      <c r="F4201" s="100"/>
      <c r="G4201" s="100"/>
      <c r="H4201" s="100"/>
      <c r="I4201" s="100"/>
      <c r="J4201" s="100"/>
      <c r="K4201" s="100"/>
      <c r="L4201" s="100"/>
      <c r="M4201" s="100"/>
      <c r="N4201" s="100"/>
      <c r="O4201" s="100"/>
      <c r="P4201" s="100"/>
      <c r="Q4201" s="100"/>
      <c r="R4201" s="100"/>
      <c r="S4201" s="100"/>
      <c r="T4201" s="100"/>
      <c r="U4201" s="100"/>
      <c r="V4201" s="100"/>
      <c r="W4201" s="100"/>
      <c r="X4201" s="100"/>
      <c r="Y4201" s="100"/>
      <c r="Z4201" s="100"/>
    </row>
    <row r="4202" spans="1:26">
      <c r="A4202" s="100"/>
      <c r="B4202" s="100"/>
      <c r="C4202" s="100"/>
      <c r="D4202" s="100"/>
      <c r="E4202" s="100"/>
      <c r="F4202" s="100"/>
      <c r="G4202" s="100"/>
      <c r="H4202" s="100"/>
      <c r="I4202" s="100"/>
      <c r="J4202" s="100"/>
      <c r="K4202" s="100"/>
      <c r="L4202" s="100"/>
      <c r="M4202" s="100"/>
      <c r="N4202" s="100"/>
      <c r="O4202" s="100"/>
      <c r="P4202" s="100"/>
      <c r="Q4202" s="100"/>
      <c r="R4202" s="100"/>
      <c r="S4202" s="100"/>
      <c r="T4202" s="100"/>
      <c r="U4202" s="100"/>
      <c r="V4202" s="100"/>
      <c r="W4202" s="100"/>
      <c r="X4202" s="100"/>
      <c r="Y4202" s="100"/>
      <c r="Z4202" s="100"/>
    </row>
    <row r="4203" spans="1:26">
      <c r="A4203" s="100"/>
      <c r="B4203" s="100"/>
      <c r="C4203" s="100"/>
      <c r="D4203" s="100"/>
      <c r="E4203" s="100"/>
      <c r="F4203" s="100"/>
      <c r="G4203" s="100"/>
      <c r="H4203" s="100"/>
      <c r="I4203" s="100"/>
      <c r="J4203" s="100"/>
      <c r="K4203" s="100"/>
      <c r="L4203" s="100"/>
      <c r="M4203" s="100"/>
      <c r="N4203" s="100"/>
      <c r="O4203" s="100"/>
      <c r="P4203" s="100"/>
      <c r="Q4203" s="100"/>
      <c r="R4203" s="100"/>
      <c r="S4203" s="100"/>
      <c r="T4203" s="100"/>
      <c r="U4203" s="100"/>
      <c r="V4203" s="100"/>
      <c r="W4203" s="100"/>
      <c r="X4203" s="100"/>
      <c r="Y4203" s="100"/>
      <c r="Z4203" s="100"/>
    </row>
    <row r="4204" spans="1:26">
      <c r="A4204" s="100"/>
      <c r="B4204" s="100"/>
      <c r="C4204" s="100"/>
      <c r="D4204" s="100"/>
      <c r="E4204" s="100"/>
      <c r="F4204" s="100"/>
      <c r="G4204" s="100"/>
      <c r="H4204" s="100"/>
      <c r="I4204" s="100"/>
      <c r="J4204" s="100"/>
      <c r="K4204" s="100"/>
      <c r="L4204" s="100"/>
      <c r="M4204" s="100"/>
      <c r="N4204" s="100"/>
      <c r="O4204" s="100"/>
      <c r="P4204" s="100"/>
      <c r="Q4204" s="100"/>
      <c r="R4204" s="100"/>
      <c r="S4204" s="100"/>
      <c r="T4204" s="100"/>
      <c r="U4204" s="100"/>
      <c r="V4204" s="100"/>
      <c r="W4204" s="100"/>
      <c r="X4204" s="100"/>
      <c r="Y4204" s="100"/>
      <c r="Z4204" s="100"/>
    </row>
    <row r="4205" spans="1:26">
      <c r="A4205" s="100"/>
      <c r="B4205" s="100"/>
      <c r="C4205" s="100"/>
      <c r="D4205" s="100"/>
      <c r="E4205" s="100"/>
      <c r="F4205" s="100"/>
      <c r="G4205" s="100"/>
      <c r="H4205" s="100"/>
      <c r="I4205" s="100"/>
      <c r="J4205" s="100"/>
      <c r="K4205" s="100"/>
      <c r="L4205" s="100"/>
      <c r="M4205" s="100"/>
      <c r="N4205" s="100"/>
      <c r="O4205" s="100"/>
      <c r="P4205" s="100"/>
      <c r="Q4205" s="100"/>
      <c r="R4205" s="100"/>
      <c r="S4205" s="100"/>
      <c r="T4205" s="100"/>
      <c r="U4205" s="100"/>
      <c r="V4205" s="100"/>
      <c r="W4205" s="100"/>
      <c r="X4205" s="100"/>
      <c r="Y4205" s="100"/>
      <c r="Z4205" s="100"/>
    </row>
    <row r="4206" spans="1:26">
      <c r="A4206" s="100"/>
      <c r="B4206" s="100"/>
      <c r="C4206" s="100"/>
      <c r="D4206" s="100"/>
      <c r="E4206" s="100"/>
      <c r="F4206" s="100"/>
      <c r="G4206" s="100"/>
      <c r="H4206" s="100"/>
      <c r="I4206" s="100"/>
      <c r="J4206" s="100"/>
      <c r="K4206" s="100"/>
      <c r="L4206" s="100"/>
      <c r="M4206" s="100"/>
      <c r="N4206" s="100"/>
      <c r="O4206" s="100"/>
      <c r="P4206" s="100"/>
      <c r="Q4206" s="100"/>
      <c r="R4206" s="100"/>
      <c r="S4206" s="100"/>
      <c r="T4206" s="100"/>
      <c r="U4206" s="100"/>
      <c r="V4206" s="100"/>
      <c r="W4206" s="100"/>
      <c r="X4206" s="100"/>
      <c r="Y4206" s="100"/>
      <c r="Z4206" s="100"/>
    </row>
    <row r="4207" spans="1:26">
      <c r="A4207" s="100"/>
      <c r="B4207" s="100"/>
      <c r="C4207" s="100"/>
      <c r="D4207" s="100"/>
      <c r="E4207" s="100"/>
      <c r="F4207" s="100"/>
      <c r="G4207" s="100"/>
      <c r="H4207" s="100"/>
      <c r="I4207" s="100"/>
      <c r="J4207" s="100"/>
      <c r="K4207" s="100"/>
      <c r="L4207" s="100"/>
      <c r="M4207" s="100"/>
      <c r="N4207" s="100"/>
      <c r="O4207" s="100"/>
      <c r="P4207" s="100"/>
      <c r="Q4207" s="100"/>
      <c r="R4207" s="100"/>
      <c r="S4207" s="100"/>
      <c r="T4207" s="100"/>
      <c r="U4207" s="100"/>
      <c r="V4207" s="100"/>
      <c r="W4207" s="100"/>
      <c r="X4207" s="100"/>
      <c r="Y4207" s="100"/>
      <c r="Z4207" s="100"/>
    </row>
    <row r="4208" spans="1:26">
      <c r="A4208" s="100"/>
      <c r="B4208" s="100"/>
      <c r="C4208" s="100"/>
      <c r="D4208" s="100"/>
      <c r="E4208" s="100"/>
      <c r="F4208" s="100"/>
      <c r="G4208" s="100"/>
      <c r="H4208" s="100"/>
      <c r="I4208" s="100"/>
      <c r="J4208" s="100"/>
      <c r="K4208" s="100"/>
      <c r="L4208" s="100"/>
      <c r="M4208" s="100"/>
      <c r="N4208" s="100"/>
      <c r="O4208" s="100"/>
      <c r="P4208" s="100"/>
      <c r="Q4208" s="100"/>
      <c r="R4208" s="100"/>
      <c r="S4208" s="100"/>
      <c r="T4208" s="100"/>
      <c r="U4208" s="100"/>
      <c r="V4208" s="100"/>
      <c r="W4208" s="100"/>
      <c r="X4208" s="100"/>
      <c r="Y4208" s="100"/>
      <c r="Z4208" s="100"/>
    </row>
    <row r="4209" spans="1:26">
      <c r="A4209" s="100"/>
      <c r="B4209" s="100"/>
      <c r="C4209" s="100"/>
      <c r="D4209" s="100"/>
      <c r="E4209" s="100"/>
      <c r="F4209" s="100"/>
      <c r="G4209" s="100"/>
      <c r="H4209" s="100"/>
      <c r="I4209" s="100"/>
      <c r="J4209" s="100"/>
      <c r="K4209" s="100"/>
      <c r="L4209" s="100"/>
      <c r="M4209" s="100"/>
      <c r="N4209" s="100"/>
      <c r="O4209" s="100"/>
      <c r="P4209" s="100"/>
      <c r="Q4209" s="100"/>
      <c r="R4209" s="100"/>
      <c r="S4209" s="100"/>
      <c r="T4209" s="100"/>
      <c r="U4209" s="100"/>
      <c r="V4209" s="100"/>
      <c r="W4209" s="100"/>
      <c r="X4209" s="100"/>
      <c r="Y4209" s="100"/>
      <c r="Z4209" s="100"/>
    </row>
    <row r="4210" spans="1:26">
      <c r="A4210" s="100"/>
      <c r="B4210" s="100"/>
      <c r="C4210" s="100"/>
      <c r="D4210" s="100"/>
      <c r="E4210" s="100"/>
      <c r="F4210" s="100"/>
      <c r="G4210" s="100"/>
      <c r="H4210" s="100"/>
      <c r="I4210" s="100"/>
      <c r="J4210" s="100"/>
      <c r="K4210" s="100"/>
      <c r="L4210" s="100"/>
      <c r="M4210" s="100"/>
      <c r="N4210" s="100"/>
      <c r="O4210" s="100"/>
      <c r="P4210" s="100"/>
      <c r="Q4210" s="100"/>
      <c r="R4210" s="100"/>
      <c r="S4210" s="100"/>
      <c r="T4210" s="100"/>
      <c r="U4210" s="100"/>
      <c r="V4210" s="100"/>
      <c r="W4210" s="100"/>
      <c r="X4210" s="100"/>
      <c r="Y4210" s="100"/>
      <c r="Z4210" s="100"/>
    </row>
    <row r="4211" spans="1:26">
      <c r="A4211" s="100"/>
      <c r="B4211" s="100"/>
      <c r="C4211" s="100"/>
      <c r="D4211" s="100"/>
      <c r="E4211" s="100"/>
      <c r="F4211" s="100"/>
      <c r="G4211" s="100"/>
      <c r="H4211" s="100"/>
      <c r="I4211" s="100"/>
      <c r="J4211" s="100"/>
      <c r="K4211" s="100"/>
      <c r="L4211" s="100"/>
      <c r="M4211" s="100"/>
      <c r="N4211" s="100"/>
      <c r="O4211" s="100"/>
      <c r="P4211" s="100"/>
      <c r="Q4211" s="100"/>
      <c r="R4211" s="100"/>
      <c r="S4211" s="100"/>
      <c r="T4211" s="100"/>
      <c r="U4211" s="100"/>
      <c r="V4211" s="100"/>
      <c r="W4211" s="100"/>
      <c r="X4211" s="100"/>
      <c r="Y4211" s="100"/>
      <c r="Z4211" s="100"/>
    </row>
    <row r="4212" spans="1:26">
      <c r="A4212" s="100"/>
      <c r="B4212" s="100"/>
      <c r="C4212" s="100"/>
      <c r="D4212" s="100"/>
      <c r="E4212" s="100"/>
      <c r="F4212" s="100"/>
      <c r="G4212" s="100"/>
      <c r="H4212" s="100"/>
      <c r="I4212" s="100"/>
      <c r="J4212" s="100"/>
      <c r="K4212" s="100"/>
      <c r="L4212" s="100"/>
      <c r="M4212" s="100"/>
      <c r="N4212" s="100"/>
      <c r="O4212" s="100"/>
      <c r="P4212" s="100"/>
      <c r="Q4212" s="100"/>
      <c r="R4212" s="100"/>
      <c r="S4212" s="100"/>
      <c r="T4212" s="100"/>
      <c r="U4212" s="100"/>
      <c r="V4212" s="100"/>
      <c r="W4212" s="100"/>
      <c r="X4212" s="100"/>
      <c r="Y4212" s="100"/>
      <c r="Z4212" s="100"/>
    </row>
    <row r="4213" spans="1:26">
      <c r="A4213" s="100"/>
      <c r="B4213" s="100"/>
      <c r="C4213" s="100"/>
      <c r="D4213" s="100"/>
      <c r="E4213" s="100"/>
      <c r="F4213" s="100"/>
      <c r="G4213" s="100"/>
      <c r="H4213" s="100"/>
      <c r="I4213" s="100"/>
      <c r="J4213" s="100"/>
      <c r="K4213" s="100"/>
      <c r="L4213" s="100"/>
      <c r="M4213" s="100"/>
      <c r="N4213" s="100"/>
      <c r="O4213" s="100"/>
      <c r="P4213" s="100"/>
      <c r="Q4213" s="100"/>
      <c r="R4213" s="100"/>
      <c r="S4213" s="100"/>
      <c r="T4213" s="100"/>
      <c r="U4213" s="100"/>
      <c r="V4213" s="100"/>
      <c r="W4213" s="100"/>
      <c r="X4213" s="100"/>
      <c r="Y4213" s="100"/>
      <c r="Z4213" s="100"/>
    </row>
    <row r="4214" spans="1:26">
      <c r="A4214" s="100"/>
      <c r="B4214" s="100"/>
      <c r="C4214" s="100"/>
      <c r="D4214" s="100"/>
      <c r="E4214" s="100"/>
      <c r="F4214" s="100"/>
      <c r="G4214" s="100"/>
      <c r="H4214" s="100"/>
      <c r="I4214" s="100"/>
      <c r="J4214" s="100"/>
      <c r="K4214" s="100"/>
      <c r="L4214" s="100"/>
      <c r="M4214" s="100"/>
      <c r="N4214" s="100"/>
      <c r="O4214" s="100"/>
      <c r="P4214" s="100"/>
      <c r="Q4214" s="100"/>
      <c r="R4214" s="100"/>
      <c r="S4214" s="100"/>
      <c r="T4214" s="100"/>
      <c r="U4214" s="100"/>
      <c r="V4214" s="100"/>
      <c r="W4214" s="100"/>
      <c r="X4214" s="100"/>
      <c r="Y4214" s="100"/>
      <c r="Z4214" s="100"/>
    </row>
    <row r="4215" spans="1:26">
      <c r="A4215" s="100"/>
      <c r="B4215" s="100"/>
      <c r="C4215" s="100"/>
      <c r="D4215" s="100"/>
      <c r="E4215" s="100"/>
      <c r="F4215" s="100"/>
      <c r="G4215" s="100"/>
      <c r="H4215" s="100"/>
      <c r="I4215" s="100"/>
      <c r="J4215" s="100"/>
      <c r="K4215" s="100"/>
      <c r="L4215" s="100"/>
      <c r="M4215" s="100"/>
      <c r="N4215" s="100"/>
      <c r="O4215" s="100"/>
      <c r="P4215" s="100"/>
      <c r="Q4215" s="100"/>
      <c r="R4215" s="100"/>
      <c r="S4215" s="100"/>
      <c r="T4215" s="100"/>
      <c r="U4215" s="100"/>
      <c r="V4215" s="100"/>
      <c r="W4215" s="100"/>
      <c r="X4215" s="100"/>
      <c r="Y4215" s="100"/>
      <c r="Z4215" s="100"/>
    </row>
    <row r="4216" spans="1:26">
      <c r="A4216" s="100"/>
      <c r="B4216" s="100"/>
      <c r="C4216" s="100"/>
      <c r="D4216" s="100"/>
      <c r="E4216" s="100"/>
      <c r="F4216" s="100"/>
      <c r="G4216" s="100"/>
      <c r="H4216" s="100"/>
      <c r="I4216" s="100"/>
      <c r="J4216" s="100"/>
      <c r="K4216" s="100"/>
      <c r="L4216" s="100"/>
      <c r="M4216" s="100"/>
      <c r="N4216" s="100"/>
      <c r="O4216" s="100"/>
      <c r="P4216" s="100"/>
      <c r="Q4216" s="100"/>
      <c r="R4216" s="100"/>
      <c r="S4216" s="100"/>
      <c r="T4216" s="100"/>
      <c r="U4216" s="100"/>
      <c r="V4216" s="100"/>
      <c r="W4216" s="100"/>
      <c r="X4216" s="100"/>
      <c r="Y4216" s="100"/>
      <c r="Z4216" s="100"/>
    </row>
    <row r="4217" spans="1:26">
      <c r="A4217" s="100"/>
      <c r="B4217" s="100"/>
      <c r="C4217" s="100"/>
      <c r="D4217" s="100"/>
      <c r="E4217" s="100"/>
      <c r="F4217" s="100"/>
      <c r="G4217" s="100"/>
      <c r="H4217" s="100"/>
      <c r="I4217" s="100"/>
      <c r="J4217" s="100"/>
      <c r="K4217" s="100"/>
      <c r="L4217" s="100"/>
      <c r="M4217" s="100"/>
      <c r="N4217" s="100"/>
      <c r="O4217" s="100"/>
      <c r="P4217" s="100"/>
      <c r="Q4217" s="100"/>
      <c r="R4217" s="100"/>
      <c r="S4217" s="100"/>
      <c r="T4217" s="100"/>
      <c r="U4217" s="100"/>
      <c r="V4217" s="100"/>
      <c r="W4217" s="100"/>
      <c r="X4217" s="100"/>
      <c r="Y4217" s="100"/>
      <c r="Z4217" s="100"/>
    </row>
    <row r="4218" spans="1:26">
      <c r="A4218" s="100"/>
      <c r="B4218" s="100"/>
      <c r="C4218" s="100"/>
      <c r="D4218" s="100"/>
      <c r="E4218" s="100"/>
      <c r="F4218" s="100"/>
      <c r="G4218" s="100"/>
      <c r="H4218" s="100"/>
      <c r="I4218" s="100"/>
      <c r="J4218" s="100"/>
      <c r="K4218" s="100"/>
      <c r="L4218" s="100"/>
      <c r="M4218" s="100"/>
      <c r="N4218" s="100"/>
      <c r="O4218" s="100"/>
      <c r="P4218" s="100"/>
      <c r="Q4218" s="100"/>
      <c r="R4218" s="100"/>
      <c r="S4218" s="100"/>
      <c r="T4218" s="100"/>
      <c r="U4218" s="100"/>
      <c r="V4218" s="100"/>
      <c r="W4218" s="100"/>
      <c r="X4218" s="100"/>
      <c r="Y4218" s="100"/>
      <c r="Z4218" s="100"/>
    </row>
    <row r="4219" spans="1:26">
      <c r="A4219" s="100"/>
      <c r="B4219" s="100"/>
      <c r="C4219" s="100"/>
      <c r="D4219" s="100"/>
      <c r="E4219" s="100"/>
      <c r="F4219" s="100"/>
      <c r="G4219" s="100"/>
      <c r="H4219" s="100"/>
      <c r="I4219" s="100"/>
      <c r="J4219" s="100"/>
      <c r="K4219" s="100"/>
      <c r="L4219" s="100"/>
      <c r="M4219" s="100"/>
      <c r="N4219" s="100"/>
      <c r="O4219" s="100"/>
      <c r="P4219" s="100"/>
      <c r="Q4219" s="100"/>
      <c r="R4219" s="100"/>
      <c r="S4219" s="100"/>
      <c r="T4219" s="100"/>
      <c r="U4219" s="100"/>
      <c r="V4219" s="100"/>
      <c r="W4219" s="100"/>
      <c r="X4219" s="100"/>
      <c r="Y4219" s="100"/>
      <c r="Z4219" s="100"/>
    </row>
    <row r="4220" spans="1:26">
      <c r="A4220" s="100"/>
      <c r="B4220" s="100"/>
      <c r="C4220" s="100"/>
      <c r="D4220" s="100"/>
      <c r="E4220" s="100"/>
      <c r="F4220" s="100"/>
      <c r="G4220" s="100"/>
      <c r="H4220" s="100"/>
      <c r="I4220" s="100"/>
      <c r="J4220" s="100"/>
      <c r="K4220" s="100"/>
      <c r="L4220" s="100"/>
      <c r="M4220" s="100"/>
      <c r="N4220" s="100"/>
      <c r="O4220" s="100"/>
      <c r="P4220" s="100"/>
      <c r="Q4220" s="100"/>
      <c r="R4220" s="100"/>
      <c r="S4220" s="100"/>
      <c r="T4220" s="100"/>
      <c r="U4220" s="100"/>
      <c r="V4220" s="100"/>
      <c r="W4220" s="100"/>
      <c r="X4220" s="100"/>
      <c r="Y4220" s="100"/>
      <c r="Z4220" s="100"/>
    </row>
    <row r="4221" spans="1:26">
      <c r="A4221" s="100"/>
      <c r="B4221" s="100"/>
      <c r="C4221" s="100"/>
      <c r="D4221" s="100"/>
      <c r="E4221" s="100"/>
      <c r="F4221" s="100"/>
      <c r="G4221" s="100"/>
      <c r="H4221" s="100"/>
      <c r="I4221" s="100"/>
      <c r="J4221" s="100"/>
      <c r="K4221" s="100"/>
      <c r="L4221" s="100"/>
      <c r="M4221" s="100"/>
      <c r="N4221" s="100"/>
      <c r="O4221" s="100"/>
      <c r="P4221" s="100"/>
      <c r="Q4221" s="100"/>
      <c r="R4221" s="100"/>
      <c r="S4221" s="100"/>
      <c r="T4221" s="100"/>
      <c r="U4221" s="100"/>
      <c r="V4221" s="100"/>
      <c r="W4221" s="100"/>
      <c r="X4221" s="100"/>
      <c r="Y4221" s="100"/>
      <c r="Z4221" s="100"/>
    </row>
    <row r="4222" spans="1:26">
      <c r="A4222" s="100"/>
      <c r="B4222" s="100"/>
      <c r="C4222" s="100"/>
      <c r="D4222" s="100"/>
      <c r="E4222" s="100"/>
      <c r="F4222" s="100"/>
      <c r="G4222" s="100"/>
      <c r="H4222" s="100"/>
      <c r="I4222" s="100"/>
      <c r="J4222" s="100"/>
      <c r="K4222" s="100"/>
      <c r="L4222" s="100"/>
      <c r="M4222" s="100"/>
      <c r="N4222" s="100"/>
      <c r="O4222" s="100"/>
      <c r="P4222" s="100"/>
      <c r="Q4222" s="100"/>
      <c r="R4222" s="100"/>
      <c r="S4222" s="100"/>
      <c r="T4222" s="100"/>
      <c r="U4222" s="100"/>
      <c r="V4222" s="100"/>
      <c r="W4222" s="100"/>
      <c r="X4222" s="100"/>
      <c r="Y4222" s="100"/>
      <c r="Z4222" s="100"/>
    </row>
    <row r="4223" spans="1:26">
      <c r="A4223" s="100"/>
      <c r="B4223" s="100"/>
      <c r="C4223" s="100"/>
      <c r="D4223" s="100"/>
      <c r="E4223" s="100"/>
      <c r="F4223" s="100"/>
      <c r="G4223" s="100"/>
      <c r="H4223" s="100"/>
      <c r="I4223" s="100"/>
      <c r="J4223" s="100"/>
      <c r="K4223" s="100"/>
      <c r="L4223" s="100"/>
      <c r="M4223" s="100"/>
      <c r="N4223" s="100"/>
      <c r="O4223" s="100"/>
      <c r="P4223" s="100"/>
      <c r="Q4223" s="100"/>
      <c r="R4223" s="100"/>
      <c r="S4223" s="100"/>
      <c r="T4223" s="100"/>
      <c r="U4223" s="100"/>
      <c r="V4223" s="100"/>
      <c r="W4223" s="100"/>
      <c r="X4223" s="100"/>
      <c r="Y4223" s="100"/>
      <c r="Z4223" s="100"/>
    </row>
    <row r="4224" spans="1:26">
      <c r="A4224" s="100"/>
      <c r="B4224" s="100"/>
      <c r="C4224" s="100"/>
      <c r="D4224" s="100"/>
      <c r="E4224" s="100"/>
      <c r="F4224" s="100"/>
      <c r="G4224" s="100"/>
      <c r="H4224" s="100"/>
      <c r="I4224" s="100"/>
      <c r="J4224" s="100"/>
      <c r="K4224" s="100"/>
      <c r="L4224" s="100"/>
      <c r="M4224" s="100"/>
      <c r="N4224" s="100"/>
      <c r="O4224" s="100"/>
      <c r="P4224" s="100"/>
      <c r="Q4224" s="100"/>
      <c r="R4224" s="100"/>
      <c r="S4224" s="100"/>
      <c r="T4224" s="100"/>
      <c r="U4224" s="100"/>
      <c r="V4224" s="100"/>
      <c r="W4224" s="100"/>
      <c r="X4224" s="100"/>
      <c r="Y4224" s="100"/>
      <c r="Z4224" s="100"/>
    </row>
    <row r="4225" spans="1:26">
      <c r="A4225" s="100"/>
      <c r="B4225" s="100"/>
      <c r="C4225" s="100"/>
      <c r="D4225" s="100"/>
      <c r="E4225" s="100"/>
      <c r="F4225" s="100"/>
      <c r="G4225" s="100"/>
      <c r="H4225" s="100"/>
      <c r="I4225" s="100"/>
      <c r="J4225" s="100"/>
      <c r="K4225" s="100"/>
      <c r="L4225" s="100"/>
      <c r="M4225" s="100"/>
      <c r="N4225" s="100"/>
      <c r="O4225" s="100"/>
      <c r="P4225" s="100"/>
      <c r="Q4225" s="100"/>
      <c r="R4225" s="100"/>
      <c r="S4225" s="100"/>
      <c r="T4225" s="100"/>
      <c r="U4225" s="100"/>
      <c r="V4225" s="100"/>
      <c r="W4225" s="100"/>
      <c r="X4225" s="100"/>
      <c r="Y4225" s="100"/>
      <c r="Z4225" s="100"/>
    </row>
    <row r="4226" spans="1:26">
      <c r="A4226" s="100"/>
      <c r="B4226" s="100"/>
      <c r="C4226" s="100"/>
      <c r="D4226" s="100"/>
      <c r="E4226" s="100"/>
      <c r="F4226" s="100"/>
      <c r="G4226" s="100"/>
      <c r="H4226" s="100"/>
      <c r="I4226" s="100"/>
      <c r="J4226" s="100"/>
      <c r="K4226" s="100"/>
      <c r="L4226" s="100"/>
      <c r="M4226" s="100"/>
      <c r="N4226" s="100"/>
      <c r="O4226" s="100"/>
      <c r="P4226" s="100"/>
      <c r="Q4226" s="100"/>
      <c r="R4226" s="100"/>
      <c r="S4226" s="100"/>
      <c r="T4226" s="100"/>
      <c r="U4226" s="100"/>
      <c r="V4226" s="100"/>
      <c r="W4226" s="100"/>
      <c r="X4226" s="100"/>
      <c r="Y4226" s="100"/>
      <c r="Z4226" s="100"/>
    </row>
    <row r="4227" spans="1:26">
      <c r="A4227" s="100"/>
      <c r="B4227" s="100"/>
      <c r="C4227" s="100"/>
      <c r="D4227" s="100"/>
      <c r="E4227" s="100"/>
      <c r="F4227" s="100"/>
      <c r="G4227" s="100"/>
      <c r="H4227" s="100"/>
      <c r="I4227" s="100"/>
      <c r="J4227" s="100"/>
      <c r="K4227" s="100"/>
      <c r="L4227" s="100"/>
      <c r="M4227" s="100"/>
      <c r="N4227" s="100"/>
      <c r="O4227" s="100"/>
      <c r="P4227" s="100"/>
      <c r="Q4227" s="100"/>
      <c r="R4227" s="100"/>
      <c r="S4227" s="100"/>
      <c r="T4227" s="100"/>
      <c r="U4227" s="100"/>
      <c r="V4227" s="100"/>
      <c r="W4227" s="100"/>
      <c r="X4227" s="100"/>
      <c r="Y4227" s="100"/>
      <c r="Z4227" s="100"/>
    </row>
    <row r="4228" spans="1:26">
      <c r="A4228" s="100"/>
      <c r="B4228" s="100"/>
      <c r="C4228" s="100"/>
      <c r="D4228" s="100"/>
      <c r="E4228" s="100"/>
      <c r="F4228" s="100"/>
      <c r="G4228" s="100"/>
      <c r="H4228" s="100"/>
      <c r="I4228" s="100"/>
      <c r="J4228" s="100"/>
      <c r="K4228" s="100"/>
      <c r="L4228" s="100"/>
      <c r="M4228" s="100"/>
      <c r="N4228" s="100"/>
      <c r="O4228" s="100"/>
      <c r="P4228" s="100"/>
      <c r="Q4228" s="100"/>
      <c r="R4228" s="100"/>
      <c r="S4228" s="100"/>
      <c r="T4228" s="100"/>
      <c r="U4228" s="100"/>
      <c r="V4228" s="100"/>
      <c r="W4228" s="100"/>
      <c r="X4228" s="100"/>
      <c r="Y4228" s="100"/>
      <c r="Z4228" s="100"/>
    </row>
    <row r="4229" spans="1:26">
      <c r="A4229" s="100"/>
      <c r="B4229" s="100"/>
      <c r="C4229" s="100"/>
      <c r="D4229" s="100"/>
      <c r="E4229" s="100"/>
      <c r="F4229" s="100"/>
      <c r="G4229" s="100"/>
      <c r="H4229" s="100"/>
      <c r="I4229" s="100"/>
      <c r="J4229" s="100"/>
      <c r="K4229" s="100"/>
      <c r="L4229" s="100"/>
      <c r="M4229" s="100"/>
      <c r="N4229" s="100"/>
      <c r="O4229" s="100"/>
      <c r="P4229" s="100"/>
      <c r="Q4229" s="100"/>
      <c r="R4229" s="100"/>
      <c r="S4229" s="100"/>
      <c r="T4229" s="100"/>
      <c r="U4229" s="100"/>
      <c r="V4229" s="100"/>
      <c r="W4229" s="100"/>
      <c r="X4229" s="100"/>
      <c r="Y4229" s="100"/>
      <c r="Z4229" s="100"/>
    </row>
    <row r="4230" spans="1:26">
      <c r="A4230" s="100"/>
      <c r="B4230" s="100"/>
      <c r="C4230" s="100"/>
      <c r="D4230" s="100"/>
      <c r="E4230" s="100"/>
      <c r="F4230" s="100"/>
      <c r="G4230" s="100"/>
      <c r="H4230" s="100"/>
      <c r="I4230" s="100"/>
      <c r="J4230" s="100"/>
      <c r="K4230" s="100"/>
      <c r="L4230" s="100"/>
      <c r="M4230" s="100"/>
      <c r="N4230" s="100"/>
      <c r="O4230" s="100"/>
      <c r="P4230" s="100"/>
      <c r="Q4230" s="100"/>
      <c r="R4230" s="100"/>
      <c r="S4230" s="100"/>
      <c r="T4230" s="100"/>
      <c r="U4230" s="100"/>
      <c r="V4230" s="100"/>
      <c r="W4230" s="100"/>
      <c r="X4230" s="100"/>
      <c r="Y4230" s="100"/>
      <c r="Z4230" s="100"/>
    </row>
    <row r="4231" spans="1:26">
      <c r="A4231" s="100"/>
      <c r="B4231" s="100"/>
      <c r="C4231" s="100"/>
      <c r="D4231" s="100"/>
      <c r="E4231" s="100"/>
      <c r="F4231" s="100"/>
      <c r="G4231" s="100"/>
      <c r="H4231" s="100"/>
      <c r="I4231" s="100"/>
      <c r="J4231" s="100"/>
      <c r="K4231" s="100"/>
      <c r="L4231" s="100"/>
      <c r="M4231" s="100"/>
      <c r="N4231" s="100"/>
      <c r="O4231" s="100"/>
      <c r="P4231" s="100"/>
      <c r="Q4231" s="100"/>
      <c r="R4231" s="100"/>
      <c r="S4231" s="100"/>
      <c r="T4231" s="100"/>
      <c r="U4231" s="100"/>
      <c r="V4231" s="100"/>
      <c r="W4231" s="100"/>
      <c r="X4231" s="100"/>
      <c r="Y4231" s="100"/>
      <c r="Z4231" s="100"/>
    </row>
    <row r="4232" spans="1:26">
      <c r="A4232" s="100"/>
      <c r="B4232" s="100"/>
      <c r="C4232" s="100"/>
      <c r="D4232" s="100"/>
      <c r="E4232" s="100"/>
      <c r="F4232" s="100"/>
      <c r="G4232" s="100"/>
      <c r="H4232" s="100"/>
      <c r="I4232" s="100"/>
      <c r="J4232" s="100"/>
      <c r="K4232" s="100"/>
      <c r="L4232" s="100"/>
      <c r="M4232" s="100"/>
      <c r="N4232" s="100"/>
      <c r="O4232" s="100"/>
      <c r="P4232" s="100"/>
      <c r="Q4232" s="100"/>
      <c r="R4232" s="100"/>
      <c r="S4232" s="100"/>
      <c r="T4232" s="100"/>
      <c r="U4232" s="100"/>
      <c r="V4232" s="100"/>
      <c r="W4232" s="100"/>
      <c r="X4232" s="100"/>
      <c r="Y4232" s="100"/>
      <c r="Z4232" s="100"/>
    </row>
    <row r="4233" spans="1:26">
      <c r="A4233" s="100"/>
      <c r="B4233" s="100"/>
      <c r="C4233" s="100"/>
      <c r="D4233" s="100"/>
      <c r="E4233" s="100"/>
      <c r="F4233" s="100"/>
      <c r="G4233" s="100"/>
      <c r="H4233" s="100"/>
      <c r="I4233" s="100"/>
      <c r="J4233" s="100"/>
      <c r="K4233" s="100"/>
      <c r="L4233" s="100"/>
      <c r="M4233" s="100"/>
      <c r="N4233" s="100"/>
      <c r="O4233" s="100"/>
      <c r="P4233" s="100"/>
      <c r="Q4233" s="100"/>
      <c r="R4233" s="100"/>
      <c r="S4233" s="100"/>
      <c r="T4233" s="100"/>
      <c r="U4233" s="100"/>
      <c r="V4233" s="100"/>
      <c r="W4233" s="100"/>
      <c r="X4233" s="100"/>
      <c r="Y4233" s="100"/>
      <c r="Z4233" s="100"/>
    </row>
    <row r="4234" spans="1:26">
      <c r="A4234" s="100"/>
      <c r="B4234" s="100"/>
      <c r="C4234" s="100"/>
      <c r="D4234" s="100"/>
      <c r="E4234" s="100"/>
      <c r="F4234" s="100"/>
      <c r="G4234" s="100"/>
      <c r="H4234" s="100"/>
      <c r="I4234" s="100"/>
      <c r="J4234" s="100"/>
      <c r="K4234" s="100"/>
      <c r="L4234" s="100"/>
      <c r="M4234" s="100"/>
      <c r="N4234" s="100"/>
      <c r="O4234" s="100"/>
      <c r="P4234" s="100"/>
      <c r="Q4234" s="100"/>
      <c r="R4234" s="100"/>
      <c r="S4234" s="100"/>
      <c r="T4234" s="100"/>
      <c r="U4234" s="100"/>
      <c r="V4234" s="100"/>
      <c r="W4234" s="100"/>
      <c r="X4234" s="100"/>
      <c r="Y4234" s="100"/>
      <c r="Z4234" s="100"/>
    </row>
    <row r="4235" spans="1:26">
      <c r="A4235" s="100"/>
      <c r="B4235" s="100"/>
      <c r="C4235" s="100"/>
      <c r="D4235" s="100"/>
      <c r="E4235" s="100"/>
      <c r="F4235" s="100"/>
      <c r="G4235" s="100"/>
      <c r="H4235" s="100"/>
      <c r="I4235" s="100"/>
      <c r="J4235" s="100"/>
      <c r="K4235" s="100"/>
      <c r="L4235" s="100"/>
      <c r="M4235" s="100"/>
      <c r="N4235" s="100"/>
      <c r="O4235" s="100"/>
      <c r="P4235" s="100"/>
      <c r="Q4235" s="100"/>
      <c r="R4235" s="100"/>
      <c r="S4235" s="100"/>
      <c r="T4235" s="100"/>
      <c r="U4235" s="100"/>
      <c r="V4235" s="100"/>
      <c r="W4235" s="100"/>
      <c r="X4235" s="100"/>
      <c r="Y4235" s="100"/>
      <c r="Z4235" s="100"/>
    </row>
    <row r="4236" spans="1:26">
      <c r="A4236" s="100"/>
      <c r="B4236" s="100"/>
      <c r="C4236" s="100"/>
      <c r="D4236" s="100"/>
      <c r="E4236" s="100"/>
      <c r="F4236" s="100"/>
      <c r="G4236" s="100"/>
      <c r="H4236" s="100"/>
      <c r="I4236" s="100"/>
      <c r="J4236" s="100"/>
      <c r="K4236" s="100"/>
      <c r="L4236" s="100"/>
      <c r="M4236" s="100"/>
      <c r="N4236" s="100"/>
      <c r="O4236" s="100"/>
      <c r="P4236" s="100"/>
      <c r="Q4236" s="100"/>
      <c r="R4236" s="100"/>
      <c r="S4236" s="100"/>
      <c r="T4236" s="100"/>
      <c r="U4236" s="100"/>
      <c r="V4236" s="100"/>
      <c r="W4236" s="100"/>
      <c r="X4236" s="100"/>
      <c r="Y4236" s="100"/>
      <c r="Z4236" s="100"/>
    </row>
    <row r="4237" spans="1:26">
      <c r="A4237" s="100"/>
      <c r="B4237" s="100"/>
      <c r="C4237" s="100"/>
      <c r="D4237" s="100"/>
      <c r="E4237" s="100"/>
      <c r="F4237" s="100"/>
      <c r="G4237" s="100"/>
      <c r="H4237" s="100"/>
      <c r="I4237" s="100"/>
      <c r="J4237" s="100"/>
      <c r="K4237" s="100"/>
      <c r="L4237" s="100"/>
      <c r="M4237" s="100"/>
      <c r="N4237" s="100"/>
      <c r="O4237" s="100"/>
      <c r="P4237" s="100"/>
      <c r="Q4237" s="100"/>
      <c r="R4237" s="100"/>
      <c r="S4237" s="100"/>
      <c r="T4237" s="100"/>
      <c r="U4237" s="100"/>
      <c r="V4237" s="100"/>
      <c r="W4237" s="100"/>
      <c r="X4237" s="100"/>
      <c r="Y4237" s="100"/>
      <c r="Z4237" s="100"/>
    </row>
    <row r="4238" spans="1:26">
      <c r="A4238" s="100"/>
      <c r="B4238" s="100"/>
      <c r="C4238" s="100"/>
      <c r="D4238" s="100"/>
      <c r="E4238" s="100"/>
      <c r="F4238" s="100"/>
      <c r="G4238" s="100"/>
      <c r="H4238" s="100"/>
      <c r="I4238" s="100"/>
      <c r="J4238" s="100"/>
      <c r="K4238" s="100"/>
      <c r="L4238" s="100"/>
      <c r="M4238" s="100"/>
      <c r="N4238" s="100"/>
      <c r="O4238" s="100"/>
      <c r="P4238" s="100"/>
      <c r="Q4238" s="100"/>
      <c r="R4238" s="100"/>
      <c r="S4238" s="100"/>
      <c r="T4238" s="100"/>
      <c r="U4238" s="100"/>
      <c r="V4238" s="100"/>
      <c r="W4238" s="100"/>
      <c r="X4238" s="100"/>
      <c r="Y4238" s="100"/>
      <c r="Z4238" s="100"/>
    </row>
    <row r="4239" spans="1:26">
      <c r="A4239" s="100"/>
      <c r="B4239" s="100"/>
      <c r="C4239" s="100"/>
      <c r="D4239" s="100"/>
      <c r="E4239" s="100"/>
      <c r="F4239" s="100"/>
      <c r="G4239" s="100"/>
      <c r="H4239" s="100"/>
      <c r="I4239" s="100"/>
      <c r="J4239" s="100"/>
      <c r="K4239" s="100"/>
      <c r="L4239" s="100"/>
      <c r="M4239" s="100"/>
      <c r="N4239" s="100"/>
      <c r="O4239" s="100"/>
      <c r="P4239" s="100"/>
      <c r="Q4239" s="100"/>
      <c r="R4239" s="100"/>
      <c r="S4239" s="100"/>
      <c r="T4239" s="100"/>
      <c r="U4239" s="100"/>
      <c r="V4239" s="100"/>
      <c r="W4239" s="100"/>
      <c r="X4239" s="100"/>
      <c r="Y4239" s="100"/>
      <c r="Z4239" s="100"/>
    </row>
    <row r="4240" spans="1:26">
      <c r="A4240" s="100"/>
      <c r="B4240" s="100"/>
      <c r="C4240" s="100"/>
      <c r="D4240" s="100"/>
      <c r="E4240" s="100"/>
      <c r="F4240" s="100"/>
      <c r="G4240" s="100"/>
      <c r="H4240" s="100"/>
      <c r="I4240" s="100"/>
      <c r="J4240" s="100"/>
      <c r="K4240" s="100"/>
      <c r="L4240" s="100"/>
      <c r="M4240" s="100"/>
      <c r="N4240" s="100"/>
      <c r="O4240" s="100"/>
      <c r="P4240" s="100"/>
      <c r="Q4240" s="100"/>
      <c r="R4240" s="100"/>
      <c r="S4240" s="100"/>
      <c r="T4240" s="100"/>
      <c r="U4240" s="100"/>
      <c r="V4240" s="100"/>
      <c r="W4240" s="100"/>
      <c r="X4240" s="100"/>
      <c r="Y4240" s="100"/>
      <c r="Z4240" s="100"/>
    </row>
    <row r="4241" spans="1:26">
      <c r="A4241" s="100"/>
      <c r="B4241" s="100"/>
      <c r="C4241" s="100"/>
      <c r="D4241" s="100"/>
      <c r="E4241" s="100"/>
      <c r="F4241" s="100"/>
      <c r="G4241" s="100"/>
      <c r="H4241" s="100"/>
      <c r="I4241" s="100"/>
      <c r="J4241" s="100"/>
      <c r="K4241" s="100"/>
      <c r="L4241" s="100"/>
      <c r="M4241" s="100"/>
      <c r="N4241" s="100"/>
      <c r="O4241" s="100"/>
      <c r="P4241" s="100"/>
      <c r="Q4241" s="100"/>
      <c r="R4241" s="100"/>
      <c r="S4241" s="100"/>
      <c r="T4241" s="100"/>
      <c r="U4241" s="100"/>
      <c r="V4241" s="100"/>
      <c r="W4241" s="100"/>
      <c r="X4241" s="100"/>
      <c r="Y4241" s="100"/>
      <c r="Z4241" s="100"/>
    </row>
    <row r="4242" spans="1:26">
      <c r="A4242" s="100"/>
      <c r="B4242" s="100"/>
      <c r="C4242" s="100"/>
      <c r="D4242" s="100"/>
      <c r="E4242" s="100"/>
      <c r="F4242" s="100"/>
      <c r="G4242" s="100"/>
      <c r="H4242" s="100"/>
      <c r="I4242" s="100"/>
      <c r="J4242" s="100"/>
      <c r="K4242" s="100"/>
      <c r="L4242" s="100"/>
      <c r="M4242" s="100"/>
      <c r="N4242" s="100"/>
      <c r="O4242" s="100"/>
      <c r="P4242" s="100"/>
      <c r="Q4242" s="100"/>
      <c r="R4242" s="100"/>
      <c r="S4242" s="100"/>
      <c r="T4242" s="100"/>
      <c r="U4242" s="100"/>
      <c r="V4242" s="100"/>
      <c r="W4242" s="100"/>
      <c r="X4242" s="100"/>
      <c r="Y4242" s="100"/>
      <c r="Z4242" s="100"/>
    </row>
    <row r="4243" spans="1:26">
      <c r="A4243" s="100"/>
      <c r="B4243" s="100"/>
      <c r="C4243" s="100"/>
      <c r="D4243" s="100"/>
      <c r="E4243" s="100"/>
      <c r="F4243" s="100"/>
      <c r="G4243" s="100"/>
      <c r="H4243" s="100"/>
      <c r="I4243" s="100"/>
      <c r="J4243" s="100"/>
      <c r="K4243" s="100"/>
      <c r="L4243" s="100"/>
      <c r="M4243" s="100"/>
      <c r="N4243" s="100"/>
      <c r="O4243" s="100"/>
      <c r="P4243" s="100"/>
      <c r="Q4243" s="100"/>
      <c r="R4243" s="100"/>
      <c r="S4243" s="100"/>
      <c r="T4243" s="100"/>
      <c r="U4243" s="100"/>
      <c r="V4243" s="100"/>
      <c r="W4243" s="100"/>
      <c r="X4243" s="100"/>
      <c r="Y4243" s="100"/>
      <c r="Z4243" s="100"/>
    </row>
    <row r="4244" spans="1:26">
      <c r="A4244" s="100"/>
      <c r="B4244" s="100"/>
      <c r="C4244" s="100"/>
      <c r="D4244" s="100"/>
      <c r="E4244" s="100"/>
      <c r="F4244" s="100"/>
      <c r="G4244" s="100"/>
      <c r="H4244" s="100"/>
      <c r="I4244" s="100"/>
      <c r="J4244" s="100"/>
      <c r="K4244" s="100"/>
      <c r="L4244" s="100"/>
      <c r="M4244" s="100"/>
      <c r="N4244" s="100"/>
      <c r="O4244" s="100"/>
      <c r="P4244" s="100"/>
      <c r="Q4244" s="100"/>
      <c r="R4244" s="100"/>
      <c r="S4244" s="100"/>
      <c r="T4244" s="100"/>
      <c r="U4244" s="100"/>
      <c r="V4244" s="100"/>
      <c r="W4244" s="100"/>
      <c r="X4244" s="100"/>
      <c r="Y4244" s="100"/>
      <c r="Z4244" s="100"/>
    </row>
    <row r="4245" spans="1:26">
      <c r="A4245" s="100"/>
      <c r="B4245" s="100"/>
      <c r="C4245" s="100"/>
      <c r="D4245" s="100"/>
      <c r="E4245" s="100"/>
      <c r="F4245" s="100"/>
      <c r="G4245" s="100"/>
      <c r="H4245" s="100"/>
      <c r="I4245" s="100"/>
      <c r="J4245" s="100"/>
      <c r="K4245" s="100"/>
      <c r="L4245" s="100"/>
      <c r="M4245" s="100"/>
      <c r="N4245" s="100"/>
      <c r="O4245" s="100"/>
      <c r="P4245" s="100"/>
      <c r="Q4245" s="100"/>
      <c r="R4245" s="100"/>
      <c r="S4245" s="100"/>
      <c r="T4245" s="100"/>
      <c r="U4245" s="100"/>
      <c r="V4245" s="100"/>
      <c r="W4245" s="100"/>
      <c r="X4245" s="100"/>
      <c r="Y4245" s="100"/>
      <c r="Z4245" s="100"/>
    </row>
    <row r="4246" spans="1:26">
      <c r="A4246" s="100"/>
      <c r="B4246" s="100"/>
      <c r="C4246" s="100"/>
      <c r="D4246" s="100"/>
      <c r="E4246" s="100"/>
      <c r="F4246" s="100"/>
      <c r="G4246" s="100"/>
      <c r="H4246" s="100"/>
      <c r="I4246" s="100"/>
      <c r="J4246" s="100"/>
      <c r="K4246" s="100"/>
      <c r="L4246" s="100"/>
      <c r="M4246" s="100"/>
      <c r="N4246" s="100"/>
      <c r="O4246" s="100"/>
      <c r="P4246" s="100"/>
      <c r="Q4246" s="100"/>
      <c r="R4246" s="100"/>
      <c r="S4246" s="100"/>
      <c r="T4246" s="100"/>
      <c r="U4246" s="100"/>
      <c r="V4246" s="100"/>
      <c r="W4246" s="100"/>
      <c r="X4246" s="100"/>
      <c r="Y4246" s="100"/>
      <c r="Z4246" s="100"/>
    </row>
    <row r="4247" spans="1:26">
      <c r="A4247" s="100"/>
      <c r="B4247" s="100"/>
      <c r="C4247" s="100"/>
      <c r="D4247" s="100"/>
      <c r="E4247" s="100"/>
      <c r="F4247" s="100"/>
      <c r="G4247" s="100"/>
      <c r="H4247" s="100"/>
      <c r="I4247" s="100"/>
      <c r="J4247" s="100"/>
      <c r="K4247" s="100"/>
      <c r="L4247" s="100"/>
      <c r="M4247" s="100"/>
      <c r="N4247" s="100"/>
      <c r="O4247" s="100"/>
      <c r="P4247" s="100"/>
      <c r="Q4247" s="100"/>
      <c r="R4247" s="100"/>
      <c r="S4247" s="100"/>
      <c r="T4247" s="100"/>
      <c r="U4247" s="100"/>
      <c r="V4247" s="100"/>
      <c r="W4247" s="100"/>
      <c r="X4247" s="100"/>
      <c r="Y4247" s="100"/>
      <c r="Z4247" s="100"/>
    </row>
    <row r="4248" spans="1:26">
      <c r="A4248" s="100"/>
      <c r="B4248" s="100"/>
      <c r="C4248" s="100"/>
      <c r="D4248" s="100"/>
      <c r="E4248" s="100"/>
      <c r="F4248" s="100"/>
      <c r="G4248" s="100"/>
      <c r="H4248" s="100"/>
      <c r="I4248" s="100"/>
      <c r="J4248" s="100"/>
      <c r="K4248" s="100"/>
      <c r="L4248" s="100"/>
      <c r="M4248" s="100"/>
      <c r="N4248" s="100"/>
      <c r="O4248" s="100"/>
      <c r="P4248" s="100"/>
      <c r="Q4248" s="100"/>
      <c r="R4248" s="100"/>
      <c r="S4248" s="100"/>
      <c r="T4248" s="100"/>
      <c r="U4248" s="100"/>
      <c r="V4248" s="100"/>
      <c r="W4248" s="100"/>
      <c r="X4248" s="100"/>
      <c r="Y4248" s="100"/>
      <c r="Z4248" s="100"/>
    </row>
    <row r="4249" spans="1:26">
      <c r="A4249" s="100"/>
      <c r="B4249" s="100"/>
      <c r="C4249" s="100"/>
      <c r="D4249" s="100"/>
      <c r="E4249" s="100"/>
      <c r="F4249" s="100"/>
      <c r="G4249" s="100"/>
      <c r="H4249" s="100"/>
      <c r="I4249" s="100"/>
      <c r="J4249" s="100"/>
      <c r="K4249" s="100"/>
      <c r="L4249" s="100"/>
      <c r="M4249" s="100"/>
      <c r="N4249" s="100"/>
      <c r="O4249" s="100"/>
      <c r="P4249" s="100"/>
      <c r="Q4249" s="100"/>
      <c r="R4249" s="100"/>
      <c r="S4249" s="100"/>
      <c r="T4249" s="100"/>
      <c r="U4249" s="100"/>
      <c r="V4249" s="100"/>
      <c r="W4249" s="100"/>
      <c r="X4249" s="100"/>
      <c r="Y4249" s="100"/>
      <c r="Z4249" s="100"/>
    </row>
    <row r="4250" spans="1:26">
      <c r="A4250" s="100"/>
      <c r="B4250" s="100"/>
      <c r="C4250" s="100"/>
      <c r="D4250" s="100"/>
      <c r="E4250" s="100"/>
      <c r="F4250" s="100"/>
      <c r="G4250" s="100"/>
      <c r="H4250" s="100"/>
      <c r="I4250" s="100"/>
      <c r="J4250" s="100"/>
      <c r="K4250" s="100"/>
      <c r="L4250" s="100"/>
      <c r="M4250" s="100"/>
      <c r="N4250" s="100"/>
      <c r="O4250" s="100"/>
      <c r="P4250" s="100"/>
      <c r="Q4250" s="100"/>
      <c r="R4250" s="100"/>
      <c r="S4250" s="100"/>
      <c r="T4250" s="100"/>
      <c r="U4250" s="100"/>
      <c r="V4250" s="100"/>
      <c r="W4250" s="100"/>
      <c r="X4250" s="100"/>
      <c r="Y4250" s="100"/>
      <c r="Z4250" s="100"/>
    </row>
    <row r="4251" spans="1:26">
      <c r="A4251" s="100"/>
      <c r="B4251" s="100"/>
      <c r="C4251" s="100"/>
      <c r="D4251" s="100"/>
      <c r="E4251" s="100"/>
      <c r="F4251" s="100"/>
      <c r="G4251" s="100"/>
      <c r="H4251" s="100"/>
      <c r="I4251" s="100"/>
      <c r="J4251" s="100"/>
      <c r="K4251" s="100"/>
      <c r="L4251" s="100"/>
      <c r="M4251" s="100"/>
      <c r="N4251" s="100"/>
      <c r="O4251" s="100"/>
      <c r="P4251" s="100"/>
      <c r="Q4251" s="100"/>
      <c r="R4251" s="100"/>
      <c r="S4251" s="100"/>
      <c r="T4251" s="100"/>
      <c r="U4251" s="100"/>
      <c r="V4251" s="100"/>
      <c r="W4251" s="100"/>
      <c r="X4251" s="100"/>
      <c r="Y4251" s="100"/>
      <c r="Z4251" s="100"/>
    </row>
    <row r="4252" spans="1:26">
      <c r="A4252" s="100"/>
      <c r="B4252" s="100"/>
      <c r="C4252" s="100"/>
      <c r="D4252" s="100"/>
      <c r="E4252" s="100"/>
      <c r="F4252" s="100"/>
      <c r="G4252" s="100"/>
      <c r="H4252" s="100"/>
      <c r="I4252" s="100"/>
      <c r="J4252" s="100"/>
      <c r="K4252" s="100"/>
      <c r="L4252" s="100"/>
      <c r="M4252" s="100"/>
      <c r="N4252" s="100"/>
      <c r="O4252" s="100"/>
      <c r="P4252" s="100"/>
      <c r="Q4252" s="100"/>
      <c r="R4252" s="100"/>
      <c r="S4252" s="100"/>
      <c r="T4252" s="100"/>
      <c r="U4252" s="100"/>
      <c r="V4252" s="100"/>
      <c r="W4252" s="100"/>
      <c r="X4252" s="100"/>
      <c r="Y4252" s="100"/>
      <c r="Z4252" s="100"/>
    </row>
    <row r="4253" spans="1:26">
      <c r="A4253" s="100"/>
      <c r="B4253" s="100"/>
      <c r="C4253" s="100"/>
      <c r="D4253" s="100"/>
      <c r="E4253" s="100"/>
      <c r="F4253" s="100"/>
      <c r="G4253" s="100"/>
      <c r="H4253" s="100"/>
      <c r="I4253" s="100"/>
      <c r="J4253" s="100"/>
      <c r="K4253" s="100"/>
      <c r="L4253" s="100"/>
      <c r="M4253" s="100"/>
      <c r="N4253" s="100"/>
      <c r="O4253" s="100"/>
      <c r="P4253" s="100"/>
      <c r="Q4253" s="100"/>
      <c r="R4253" s="100"/>
      <c r="S4253" s="100"/>
      <c r="T4253" s="100"/>
      <c r="U4253" s="100"/>
      <c r="V4253" s="100"/>
      <c r="W4253" s="100"/>
      <c r="X4253" s="100"/>
      <c r="Y4253" s="100"/>
      <c r="Z4253" s="100"/>
    </row>
    <row r="4254" spans="1:26">
      <c r="A4254" s="100"/>
      <c r="B4254" s="100"/>
      <c r="C4254" s="100"/>
      <c r="D4254" s="100"/>
      <c r="E4254" s="100"/>
      <c r="F4254" s="100"/>
      <c r="G4254" s="100"/>
      <c r="H4254" s="100"/>
      <c r="I4254" s="100"/>
      <c r="J4254" s="100"/>
      <c r="K4254" s="100"/>
      <c r="L4254" s="100"/>
      <c r="M4254" s="100"/>
      <c r="N4254" s="100"/>
      <c r="O4254" s="100"/>
      <c r="P4254" s="100"/>
      <c r="Q4254" s="100"/>
      <c r="R4254" s="100"/>
      <c r="S4254" s="100"/>
      <c r="T4254" s="100"/>
      <c r="U4254" s="100"/>
      <c r="V4254" s="100"/>
      <c r="W4254" s="100"/>
      <c r="X4254" s="100"/>
      <c r="Y4254" s="100"/>
      <c r="Z4254" s="100"/>
    </row>
    <row r="4255" spans="1:26">
      <c r="A4255" s="100"/>
      <c r="B4255" s="100"/>
      <c r="C4255" s="100"/>
      <c r="D4255" s="100"/>
      <c r="E4255" s="100"/>
      <c r="F4255" s="100"/>
      <c r="G4255" s="100"/>
      <c r="H4255" s="100"/>
      <c r="I4255" s="100"/>
      <c r="J4255" s="100"/>
      <c r="K4255" s="100"/>
      <c r="L4255" s="100"/>
      <c r="M4255" s="100"/>
      <c r="N4255" s="100"/>
      <c r="O4255" s="100"/>
      <c r="P4255" s="100"/>
      <c r="Q4255" s="100"/>
      <c r="R4255" s="100"/>
      <c r="S4255" s="100"/>
      <c r="T4255" s="100"/>
      <c r="U4255" s="100"/>
      <c r="V4255" s="100"/>
      <c r="W4255" s="100"/>
      <c r="X4255" s="100"/>
      <c r="Y4255" s="100"/>
      <c r="Z4255" s="100"/>
    </row>
    <row r="4256" spans="1:26">
      <c r="A4256" s="100"/>
      <c r="B4256" s="100"/>
      <c r="C4256" s="100"/>
      <c r="D4256" s="100"/>
      <c r="E4256" s="100"/>
      <c r="F4256" s="100"/>
      <c r="G4256" s="100"/>
      <c r="H4256" s="100"/>
      <c r="I4256" s="100"/>
      <c r="J4256" s="100"/>
      <c r="K4256" s="100"/>
      <c r="L4256" s="100"/>
      <c r="M4256" s="100"/>
      <c r="N4256" s="100"/>
      <c r="O4256" s="100"/>
      <c r="P4256" s="100"/>
      <c r="Q4256" s="100"/>
      <c r="R4256" s="100"/>
      <c r="S4256" s="100"/>
      <c r="T4256" s="100"/>
      <c r="U4256" s="100"/>
      <c r="V4256" s="100"/>
      <c r="W4256" s="100"/>
      <c r="X4256" s="100"/>
      <c r="Y4256" s="100"/>
      <c r="Z4256" s="100"/>
    </row>
    <row r="4257" spans="1:26">
      <c r="A4257" s="100"/>
      <c r="B4257" s="100"/>
      <c r="C4257" s="100"/>
      <c r="D4257" s="100"/>
      <c r="E4257" s="100"/>
      <c r="F4257" s="100"/>
      <c r="G4257" s="100"/>
      <c r="H4257" s="100"/>
      <c r="I4257" s="100"/>
      <c r="J4257" s="100"/>
      <c r="K4257" s="100"/>
      <c r="L4257" s="100"/>
      <c r="M4257" s="100"/>
      <c r="N4257" s="100"/>
      <c r="O4257" s="100"/>
      <c r="P4257" s="100"/>
      <c r="Q4257" s="100"/>
      <c r="R4257" s="100"/>
      <c r="S4257" s="100"/>
      <c r="T4257" s="100"/>
      <c r="U4257" s="100"/>
      <c r="V4257" s="100"/>
      <c r="W4257" s="100"/>
      <c r="X4257" s="100"/>
      <c r="Y4257" s="100"/>
      <c r="Z4257" s="100"/>
    </row>
    <row r="4258" spans="1:26">
      <c r="A4258" s="100"/>
      <c r="B4258" s="100"/>
      <c r="C4258" s="100"/>
      <c r="D4258" s="100"/>
      <c r="E4258" s="100"/>
      <c r="F4258" s="100"/>
      <c r="G4258" s="100"/>
      <c r="H4258" s="100"/>
      <c r="I4258" s="100"/>
      <c r="J4258" s="100"/>
      <c r="K4258" s="100"/>
      <c r="L4258" s="100"/>
      <c r="M4258" s="100"/>
      <c r="N4258" s="100"/>
      <c r="O4258" s="100"/>
      <c r="P4258" s="100"/>
      <c r="Q4258" s="100"/>
      <c r="R4258" s="100"/>
      <c r="S4258" s="100"/>
      <c r="T4258" s="100"/>
      <c r="U4258" s="100"/>
      <c r="V4258" s="100"/>
      <c r="W4258" s="100"/>
      <c r="X4258" s="100"/>
      <c r="Y4258" s="100"/>
      <c r="Z4258" s="100"/>
    </row>
    <row r="4259" spans="1:26">
      <c r="A4259" s="100"/>
      <c r="B4259" s="100"/>
      <c r="C4259" s="100"/>
      <c r="D4259" s="100"/>
      <c r="E4259" s="100"/>
      <c r="F4259" s="100"/>
      <c r="G4259" s="100"/>
      <c r="H4259" s="100"/>
      <c r="I4259" s="100"/>
      <c r="J4259" s="100"/>
      <c r="K4259" s="100"/>
      <c r="L4259" s="100"/>
      <c r="M4259" s="100"/>
      <c r="N4259" s="100"/>
      <c r="O4259" s="100"/>
      <c r="P4259" s="100"/>
      <c r="Q4259" s="100"/>
      <c r="R4259" s="100"/>
      <c r="S4259" s="100"/>
      <c r="T4259" s="100"/>
      <c r="U4259" s="100"/>
      <c r="V4259" s="100"/>
      <c r="W4259" s="100"/>
      <c r="X4259" s="100"/>
      <c r="Y4259" s="100"/>
      <c r="Z4259" s="100"/>
    </row>
    <row r="4260" spans="1:26">
      <c r="A4260" s="100"/>
      <c r="B4260" s="100"/>
      <c r="C4260" s="100"/>
      <c r="D4260" s="100"/>
      <c r="E4260" s="100"/>
      <c r="F4260" s="100"/>
      <c r="G4260" s="100"/>
      <c r="H4260" s="100"/>
      <c r="I4260" s="100"/>
      <c r="J4260" s="100"/>
      <c r="K4260" s="100"/>
      <c r="L4260" s="100"/>
      <c r="M4260" s="100"/>
      <c r="N4260" s="100"/>
      <c r="O4260" s="100"/>
      <c r="P4260" s="100"/>
      <c r="Q4260" s="100"/>
      <c r="R4260" s="100"/>
      <c r="S4260" s="100"/>
      <c r="T4260" s="100"/>
      <c r="U4260" s="100"/>
      <c r="V4260" s="100"/>
      <c r="W4260" s="100"/>
      <c r="X4260" s="100"/>
      <c r="Y4260" s="100"/>
      <c r="Z4260" s="100"/>
    </row>
    <row r="4261" spans="1:26">
      <c r="A4261" s="100"/>
      <c r="B4261" s="100"/>
      <c r="C4261" s="100"/>
      <c r="D4261" s="100"/>
      <c r="E4261" s="100"/>
      <c r="F4261" s="100"/>
      <c r="G4261" s="100"/>
      <c r="H4261" s="100"/>
      <c r="I4261" s="100"/>
      <c r="J4261" s="100"/>
      <c r="K4261" s="100"/>
      <c r="L4261" s="100"/>
      <c r="M4261" s="100"/>
      <c r="N4261" s="100"/>
      <c r="O4261" s="100"/>
      <c r="P4261" s="100"/>
      <c r="Q4261" s="100"/>
      <c r="R4261" s="100"/>
      <c r="S4261" s="100"/>
      <c r="T4261" s="100"/>
      <c r="U4261" s="100"/>
      <c r="V4261" s="100"/>
      <c r="W4261" s="100"/>
      <c r="X4261" s="100"/>
      <c r="Y4261" s="100"/>
      <c r="Z4261" s="100"/>
    </row>
    <row r="4262" spans="1:26">
      <c r="A4262" s="100"/>
      <c r="B4262" s="100"/>
      <c r="C4262" s="100"/>
      <c r="D4262" s="100"/>
      <c r="E4262" s="100"/>
      <c r="F4262" s="100"/>
      <c r="G4262" s="100"/>
      <c r="H4262" s="100"/>
      <c r="I4262" s="100"/>
      <c r="J4262" s="100"/>
      <c r="K4262" s="100"/>
      <c r="L4262" s="100"/>
      <c r="M4262" s="100"/>
      <c r="N4262" s="100"/>
      <c r="O4262" s="100"/>
      <c r="P4262" s="100"/>
      <c r="Q4262" s="100"/>
      <c r="R4262" s="100"/>
      <c r="S4262" s="100"/>
      <c r="T4262" s="100"/>
      <c r="U4262" s="100"/>
      <c r="V4262" s="100"/>
      <c r="W4262" s="100"/>
      <c r="X4262" s="100"/>
      <c r="Y4262" s="100"/>
      <c r="Z4262" s="100"/>
    </row>
    <row r="4263" spans="1:26">
      <c r="A4263" s="100"/>
      <c r="B4263" s="100"/>
      <c r="C4263" s="100"/>
      <c r="D4263" s="100"/>
      <c r="E4263" s="100"/>
      <c r="F4263" s="100"/>
      <c r="G4263" s="100"/>
      <c r="H4263" s="100"/>
      <c r="I4263" s="100"/>
      <c r="J4263" s="100"/>
      <c r="K4263" s="100"/>
      <c r="L4263" s="100"/>
      <c r="M4263" s="100"/>
      <c r="N4263" s="100"/>
      <c r="O4263" s="100"/>
      <c r="P4263" s="100"/>
      <c r="Q4263" s="100"/>
      <c r="R4263" s="100"/>
      <c r="S4263" s="100"/>
      <c r="T4263" s="100"/>
      <c r="U4263" s="100"/>
      <c r="V4263" s="100"/>
      <c r="W4263" s="100"/>
      <c r="X4263" s="100"/>
      <c r="Y4263" s="100"/>
      <c r="Z4263" s="100"/>
    </row>
    <row r="4264" spans="1:26">
      <c r="A4264" s="100"/>
      <c r="B4264" s="100"/>
      <c r="C4264" s="100"/>
      <c r="D4264" s="100"/>
      <c r="E4264" s="100"/>
      <c r="F4264" s="100"/>
      <c r="G4264" s="100"/>
      <c r="H4264" s="100"/>
      <c r="I4264" s="100"/>
      <c r="J4264" s="100"/>
      <c r="K4264" s="100"/>
      <c r="L4264" s="100"/>
      <c r="M4264" s="100"/>
      <c r="N4264" s="100"/>
      <c r="O4264" s="100"/>
      <c r="P4264" s="100"/>
      <c r="Q4264" s="100"/>
      <c r="R4264" s="100"/>
      <c r="S4264" s="100"/>
      <c r="T4264" s="100"/>
      <c r="U4264" s="100"/>
      <c r="V4264" s="100"/>
      <c r="W4264" s="100"/>
      <c r="X4264" s="100"/>
      <c r="Y4264" s="100"/>
      <c r="Z4264" s="100"/>
    </row>
    <row r="4265" spans="1:26">
      <c r="A4265" s="100"/>
      <c r="B4265" s="100"/>
      <c r="C4265" s="100"/>
      <c r="D4265" s="100"/>
      <c r="E4265" s="100"/>
      <c r="F4265" s="100"/>
      <c r="G4265" s="100"/>
      <c r="H4265" s="100"/>
      <c r="I4265" s="100"/>
      <c r="J4265" s="100"/>
      <c r="K4265" s="100"/>
      <c r="L4265" s="100"/>
      <c r="M4265" s="100"/>
      <c r="N4265" s="100"/>
      <c r="O4265" s="100"/>
      <c r="P4265" s="100"/>
      <c r="Q4265" s="100"/>
      <c r="R4265" s="100"/>
      <c r="S4265" s="100"/>
      <c r="T4265" s="100"/>
      <c r="U4265" s="100"/>
      <c r="V4265" s="100"/>
      <c r="W4265" s="100"/>
      <c r="X4265" s="100"/>
      <c r="Y4265" s="100"/>
      <c r="Z4265" s="100"/>
    </row>
    <row r="4266" spans="1:26">
      <c r="A4266" s="100"/>
      <c r="B4266" s="100"/>
      <c r="C4266" s="100"/>
      <c r="D4266" s="100"/>
      <c r="E4266" s="100"/>
      <c r="F4266" s="100"/>
      <c r="G4266" s="100"/>
      <c r="H4266" s="100"/>
      <c r="I4266" s="100"/>
      <c r="J4266" s="100"/>
      <c r="K4266" s="100"/>
      <c r="L4266" s="100"/>
      <c r="M4266" s="100"/>
      <c r="N4266" s="100"/>
      <c r="O4266" s="100"/>
      <c r="P4266" s="100"/>
      <c r="Q4266" s="100"/>
      <c r="R4266" s="100"/>
      <c r="S4266" s="100"/>
      <c r="T4266" s="100"/>
      <c r="U4266" s="100"/>
      <c r="V4266" s="100"/>
      <c r="W4266" s="100"/>
      <c r="X4266" s="100"/>
      <c r="Y4266" s="100"/>
      <c r="Z4266" s="100"/>
    </row>
    <row r="4267" spans="1:26">
      <c r="A4267" s="100"/>
      <c r="B4267" s="100"/>
      <c r="C4267" s="100"/>
      <c r="D4267" s="100"/>
      <c r="E4267" s="100"/>
      <c r="F4267" s="100"/>
      <c r="G4267" s="100"/>
      <c r="H4267" s="100"/>
      <c r="I4267" s="100"/>
      <c r="J4267" s="100"/>
      <c r="K4267" s="100"/>
      <c r="L4267" s="100"/>
      <c r="M4267" s="100"/>
      <c r="N4267" s="100"/>
      <c r="O4267" s="100"/>
      <c r="P4267" s="100"/>
      <c r="Q4267" s="100"/>
      <c r="R4267" s="100"/>
      <c r="S4267" s="100"/>
      <c r="T4267" s="100"/>
      <c r="U4267" s="100"/>
      <c r="V4267" s="100"/>
      <c r="W4267" s="100"/>
      <c r="X4267" s="100"/>
      <c r="Y4267" s="100"/>
      <c r="Z4267" s="100"/>
    </row>
    <row r="4268" spans="1:26">
      <c r="A4268" s="100"/>
      <c r="B4268" s="100"/>
      <c r="C4268" s="100"/>
      <c r="D4268" s="100"/>
      <c r="E4268" s="100"/>
      <c r="F4268" s="100"/>
      <c r="G4268" s="100"/>
      <c r="H4268" s="100"/>
      <c r="I4268" s="100"/>
      <c r="J4268" s="100"/>
      <c r="K4268" s="100"/>
      <c r="L4268" s="100"/>
      <c r="M4268" s="100"/>
      <c r="N4268" s="100"/>
      <c r="O4268" s="100"/>
      <c r="P4268" s="100"/>
      <c r="Q4268" s="100"/>
      <c r="R4268" s="100"/>
      <c r="S4268" s="100"/>
      <c r="T4268" s="100"/>
      <c r="U4268" s="100"/>
      <c r="V4268" s="100"/>
      <c r="W4268" s="100"/>
      <c r="X4268" s="100"/>
      <c r="Y4268" s="100"/>
      <c r="Z4268" s="100"/>
    </row>
    <row r="4269" spans="1:26">
      <c r="A4269" s="100"/>
      <c r="B4269" s="100"/>
      <c r="C4269" s="100"/>
      <c r="D4269" s="100"/>
      <c r="E4269" s="100"/>
      <c r="F4269" s="100"/>
      <c r="G4269" s="100"/>
      <c r="H4269" s="100"/>
      <c r="I4269" s="100"/>
      <c r="J4269" s="100"/>
      <c r="K4269" s="100"/>
      <c r="L4269" s="100"/>
      <c r="M4269" s="100"/>
      <c r="N4269" s="100"/>
      <c r="O4269" s="100"/>
      <c r="P4269" s="100"/>
      <c r="Q4269" s="100"/>
      <c r="R4269" s="100"/>
      <c r="S4269" s="100"/>
      <c r="T4269" s="100"/>
      <c r="U4269" s="100"/>
      <c r="V4269" s="100"/>
      <c r="W4269" s="100"/>
      <c r="X4269" s="100"/>
      <c r="Y4269" s="100"/>
      <c r="Z4269" s="100"/>
    </row>
    <row r="4270" spans="1:26">
      <c r="A4270" s="100"/>
      <c r="B4270" s="100"/>
      <c r="C4270" s="100"/>
      <c r="D4270" s="100"/>
      <c r="E4270" s="100"/>
      <c r="F4270" s="100"/>
      <c r="G4270" s="100"/>
      <c r="H4270" s="100"/>
      <c r="I4270" s="100"/>
      <c r="J4270" s="100"/>
      <c r="K4270" s="100"/>
      <c r="L4270" s="100"/>
      <c r="M4270" s="100"/>
      <c r="N4270" s="100"/>
      <c r="O4270" s="100"/>
      <c r="P4270" s="100"/>
      <c r="Q4270" s="100"/>
      <c r="R4270" s="100"/>
      <c r="S4270" s="100"/>
      <c r="T4270" s="100"/>
      <c r="U4270" s="100"/>
      <c r="V4270" s="100"/>
      <c r="W4270" s="100"/>
      <c r="X4270" s="100"/>
      <c r="Y4270" s="100"/>
      <c r="Z4270" s="100"/>
    </row>
    <row r="4271" spans="1:26">
      <c r="A4271" s="100"/>
      <c r="B4271" s="100"/>
      <c r="C4271" s="100"/>
      <c r="D4271" s="100"/>
      <c r="E4271" s="100"/>
      <c r="F4271" s="100"/>
      <c r="G4271" s="100"/>
      <c r="H4271" s="100"/>
      <c r="I4271" s="100"/>
      <c r="J4271" s="100"/>
      <c r="K4271" s="100"/>
      <c r="L4271" s="100"/>
      <c r="M4271" s="100"/>
      <c r="N4271" s="100"/>
      <c r="O4271" s="100"/>
      <c r="P4271" s="100"/>
      <c r="Q4271" s="100"/>
      <c r="R4271" s="100"/>
      <c r="S4271" s="100"/>
      <c r="T4271" s="100"/>
      <c r="U4271" s="100"/>
      <c r="V4271" s="100"/>
      <c r="W4271" s="100"/>
      <c r="X4271" s="100"/>
      <c r="Y4271" s="100"/>
      <c r="Z4271" s="100"/>
    </row>
    <row r="4272" spans="1:26">
      <c r="A4272" s="100"/>
      <c r="B4272" s="100"/>
      <c r="C4272" s="100"/>
      <c r="D4272" s="100"/>
      <c r="E4272" s="100"/>
      <c r="F4272" s="100"/>
      <c r="G4272" s="100"/>
      <c r="H4272" s="100"/>
      <c r="I4272" s="100"/>
      <c r="J4272" s="100"/>
      <c r="K4272" s="100"/>
      <c r="L4272" s="100"/>
      <c r="M4272" s="100"/>
      <c r="N4272" s="100"/>
      <c r="O4272" s="100"/>
      <c r="P4272" s="100"/>
      <c r="Q4272" s="100"/>
      <c r="R4272" s="100"/>
      <c r="S4272" s="100"/>
      <c r="T4272" s="100"/>
      <c r="U4272" s="100"/>
      <c r="V4272" s="100"/>
      <c r="W4272" s="100"/>
      <c r="X4272" s="100"/>
      <c r="Y4272" s="100"/>
      <c r="Z4272" s="100"/>
    </row>
    <row r="4273" spans="1:26">
      <c r="A4273" s="100"/>
      <c r="B4273" s="100"/>
      <c r="C4273" s="100"/>
      <c r="D4273" s="100"/>
      <c r="E4273" s="100"/>
      <c r="F4273" s="100"/>
      <c r="G4273" s="100"/>
      <c r="H4273" s="100"/>
      <c r="I4273" s="100"/>
      <c r="J4273" s="100"/>
      <c r="K4273" s="100"/>
      <c r="L4273" s="100"/>
      <c r="M4273" s="100"/>
      <c r="N4273" s="100"/>
      <c r="O4273" s="100"/>
      <c r="P4273" s="100"/>
      <c r="Q4273" s="100"/>
      <c r="R4273" s="100"/>
      <c r="S4273" s="100"/>
      <c r="T4273" s="100"/>
      <c r="U4273" s="100"/>
      <c r="V4273" s="100"/>
      <c r="W4273" s="100"/>
      <c r="X4273" s="100"/>
      <c r="Y4273" s="100"/>
      <c r="Z4273" s="100"/>
    </row>
    <row r="4274" spans="1:26">
      <c r="A4274" s="100"/>
      <c r="B4274" s="100"/>
      <c r="C4274" s="100"/>
      <c r="D4274" s="100"/>
      <c r="E4274" s="100"/>
      <c r="F4274" s="100"/>
      <c r="G4274" s="100"/>
      <c r="H4274" s="100"/>
      <c r="I4274" s="100"/>
      <c r="J4274" s="100"/>
      <c r="K4274" s="100"/>
      <c r="L4274" s="100"/>
      <c r="M4274" s="100"/>
      <c r="N4274" s="100"/>
      <c r="O4274" s="100"/>
      <c r="P4274" s="100"/>
      <c r="Q4274" s="100"/>
      <c r="R4274" s="100"/>
      <c r="S4274" s="100"/>
      <c r="T4274" s="100"/>
      <c r="U4274" s="100"/>
      <c r="V4274" s="100"/>
      <c r="W4274" s="100"/>
      <c r="X4274" s="100"/>
      <c r="Y4274" s="100"/>
      <c r="Z4274" s="100"/>
    </row>
    <row r="4275" spans="1:26">
      <c r="A4275" s="100"/>
      <c r="B4275" s="100"/>
      <c r="C4275" s="100"/>
      <c r="D4275" s="100"/>
      <c r="E4275" s="100"/>
      <c r="F4275" s="100"/>
      <c r="G4275" s="100"/>
      <c r="H4275" s="100"/>
      <c r="I4275" s="100"/>
      <c r="J4275" s="100"/>
      <c r="K4275" s="100"/>
      <c r="L4275" s="100"/>
      <c r="M4275" s="100"/>
      <c r="N4275" s="100"/>
      <c r="O4275" s="100"/>
      <c r="P4275" s="100"/>
      <c r="Q4275" s="100"/>
      <c r="R4275" s="100"/>
      <c r="S4275" s="100"/>
      <c r="T4275" s="100"/>
      <c r="U4275" s="100"/>
      <c r="V4275" s="100"/>
      <c r="W4275" s="100"/>
      <c r="X4275" s="100"/>
      <c r="Y4275" s="100"/>
      <c r="Z4275" s="100"/>
    </row>
    <row r="4276" spans="1:26">
      <c r="A4276" s="100"/>
      <c r="B4276" s="100"/>
      <c r="C4276" s="100"/>
      <c r="D4276" s="100"/>
      <c r="E4276" s="100"/>
      <c r="F4276" s="100"/>
      <c r="G4276" s="100"/>
      <c r="H4276" s="100"/>
      <c r="I4276" s="100"/>
      <c r="J4276" s="100"/>
      <c r="K4276" s="100"/>
      <c r="L4276" s="100"/>
      <c r="M4276" s="100"/>
      <c r="N4276" s="100"/>
      <c r="O4276" s="100"/>
      <c r="P4276" s="100"/>
      <c r="Q4276" s="100"/>
      <c r="R4276" s="100"/>
      <c r="S4276" s="100"/>
      <c r="T4276" s="100"/>
      <c r="U4276" s="100"/>
      <c r="V4276" s="100"/>
      <c r="W4276" s="100"/>
      <c r="X4276" s="100"/>
      <c r="Y4276" s="100"/>
      <c r="Z4276" s="100"/>
    </row>
    <row r="4277" spans="1:26">
      <c r="A4277" s="100"/>
      <c r="B4277" s="100"/>
      <c r="C4277" s="100"/>
      <c r="D4277" s="100"/>
      <c r="E4277" s="100"/>
      <c r="F4277" s="100"/>
      <c r="G4277" s="100"/>
      <c r="H4277" s="100"/>
      <c r="I4277" s="100"/>
      <c r="J4277" s="100"/>
      <c r="K4277" s="100"/>
      <c r="L4277" s="100"/>
      <c r="M4277" s="100"/>
      <c r="N4277" s="100"/>
      <c r="O4277" s="100"/>
      <c r="P4277" s="100"/>
      <c r="Q4277" s="100"/>
      <c r="R4277" s="100"/>
      <c r="S4277" s="100"/>
      <c r="T4277" s="100"/>
      <c r="U4277" s="100"/>
      <c r="V4277" s="100"/>
      <c r="W4277" s="100"/>
      <c r="X4277" s="100"/>
      <c r="Y4277" s="100"/>
      <c r="Z4277" s="100"/>
    </row>
    <row r="4278" spans="1:26">
      <c r="A4278" s="100"/>
      <c r="B4278" s="100"/>
      <c r="C4278" s="100"/>
      <c r="D4278" s="100"/>
      <c r="E4278" s="100"/>
      <c r="F4278" s="100"/>
      <c r="G4278" s="100"/>
      <c r="H4278" s="100"/>
      <c r="I4278" s="100"/>
      <c r="J4278" s="100"/>
      <c r="K4278" s="100"/>
      <c r="L4278" s="100"/>
      <c r="M4278" s="100"/>
      <c r="N4278" s="100"/>
      <c r="O4278" s="100"/>
      <c r="P4278" s="100"/>
      <c r="Q4278" s="100"/>
      <c r="R4278" s="100"/>
      <c r="S4278" s="100"/>
      <c r="T4278" s="100"/>
      <c r="U4278" s="100"/>
      <c r="V4278" s="100"/>
      <c r="W4278" s="100"/>
      <c r="X4278" s="100"/>
      <c r="Y4278" s="100"/>
      <c r="Z4278" s="100"/>
    </row>
    <row r="4279" spans="1:26">
      <c r="A4279" s="100"/>
      <c r="B4279" s="100"/>
      <c r="C4279" s="100"/>
      <c r="D4279" s="100"/>
      <c r="E4279" s="100"/>
      <c r="F4279" s="100"/>
      <c r="G4279" s="100"/>
      <c r="H4279" s="100"/>
      <c r="I4279" s="100"/>
      <c r="J4279" s="100"/>
      <c r="K4279" s="100"/>
      <c r="L4279" s="100"/>
      <c r="M4279" s="100"/>
      <c r="N4279" s="100"/>
      <c r="O4279" s="100"/>
      <c r="P4279" s="100"/>
      <c r="Q4279" s="100"/>
      <c r="R4279" s="100"/>
      <c r="S4279" s="100"/>
      <c r="T4279" s="100"/>
      <c r="U4279" s="100"/>
      <c r="V4279" s="100"/>
      <c r="W4279" s="100"/>
      <c r="X4279" s="100"/>
      <c r="Y4279" s="100"/>
      <c r="Z4279" s="100"/>
    </row>
    <row r="4280" spans="1:26">
      <c r="A4280" s="100"/>
      <c r="B4280" s="100"/>
      <c r="C4280" s="100"/>
      <c r="D4280" s="100"/>
      <c r="E4280" s="100"/>
      <c r="F4280" s="100"/>
      <c r="G4280" s="100"/>
      <c r="H4280" s="100"/>
      <c r="I4280" s="100"/>
      <c r="J4280" s="100"/>
      <c r="K4280" s="100"/>
      <c r="L4280" s="100"/>
      <c r="M4280" s="100"/>
      <c r="N4280" s="100"/>
      <c r="O4280" s="100"/>
      <c r="P4280" s="100"/>
      <c r="Q4280" s="100"/>
      <c r="R4280" s="100"/>
      <c r="S4280" s="100"/>
      <c r="T4280" s="100"/>
      <c r="U4280" s="100"/>
      <c r="V4280" s="100"/>
      <c r="W4280" s="100"/>
      <c r="X4280" s="100"/>
      <c r="Y4280" s="100"/>
      <c r="Z4280" s="100"/>
    </row>
    <row r="4281" spans="1:26">
      <c r="A4281" s="100"/>
      <c r="B4281" s="100"/>
      <c r="C4281" s="100"/>
      <c r="D4281" s="100"/>
      <c r="E4281" s="100"/>
      <c r="F4281" s="100"/>
      <c r="G4281" s="100"/>
      <c r="H4281" s="100"/>
      <c r="I4281" s="100"/>
      <c r="J4281" s="100"/>
      <c r="K4281" s="100"/>
      <c r="L4281" s="100"/>
      <c r="M4281" s="100"/>
      <c r="N4281" s="100"/>
      <c r="O4281" s="100"/>
      <c r="P4281" s="100"/>
      <c r="Q4281" s="100"/>
      <c r="R4281" s="100"/>
      <c r="S4281" s="100"/>
      <c r="T4281" s="100"/>
      <c r="U4281" s="100"/>
      <c r="V4281" s="100"/>
      <c r="W4281" s="100"/>
      <c r="X4281" s="100"/>
      <c r="Y4281" s="100"/>
      <c r="Z4281" s="100"/>
    </row>
    <row r="4282" spans="1:26">
      <c r="A4282" s="100"/>
      <c r="B4282" s="100"/>
      <c r="C4282" s="100"/>
      <c r="D4282" s="100"/>
      <c r="E4282" s="100"/>
      <c r="F4282" s="100"/>
      <c r="G4282" s="100"/>
      <c r="H4282" s="100"/>
      <c r="I4282" s="100"/>
      <c r="J4282" s="100"/>
      <c r="K4282" s="100"/>
      <c r="L4282" s="100"/>
      <c r="M4282" s="100"/>
      <c r="N4282" s="100"/>
      <c r="O4282" s="100"/>
      <c r="P4282" s="100"/>
      <c r="Q4282" s="100"/>
      <c r="R4282" s="100"/>
      <c r="S4282" s="100"/>
      <c r="T4282" s="100"/>
      <c r="U4282" s="100"/>
      <c r="V4282" s="100"/>
      <c r="W4282" s="100"/>
      <c r="X4282" s="100"/>
      <c r="Y4282" s="100"/>
      <c r="Z4282" s="100"/>
    </row>
    <row r="4283" spans="1:26">
      <c r="A4283" s="100"/>
      <c r="B4283" s="100"/>
      <c r="C4283" s="100"/>
      <c r="D4283" s="100"/>
      <c r="E4283" s="100"/>
      <c r="F4283" s="100"/>
      <c r="G4283" s="100"/>
      <c r="H4283" s="100"/>
      <c r="I4283" s="100"/>
      <c r="J4283" s="100"/>
      <c r="K4283" s="100"/>
      <c r="L4283" s="100"/>
      <c r="M4283" s="100"/>
      <c r="N4283" s="100"/>
      <c r="O4283" s="100"/>
      <c r="P4283" s="100"/>
      <c r="Q4283" s="100"/>
      <c r="R4283" s="100"/>
      <c r="S4283" s="100"/>
      <c r="T4283" s="100"/>
      <c r="U4283" s="100"/>
      <c r="V4283" s="100"/>
      <c r="W4283" s="100"/>
      <c r="X4283" s="100"/>
      <c r="Y4283" s="100"/>
      <c r="Z4283" s="100"/>
    </row>
    <row r="4284" spans="1:26">
      <c r="A4284" s="100"/>
      <c r="B4284" s="100"/>
      <c r="C4284" s="100"/>
      <c r="D4284" s="100"/>
      <c r="E4284" s="100"/>
      <c r="F4284" s="100"/>
      <c r="G4284" s="100"/>
      <c r="H4284" s="100"/>
      <c r="I4284" s="100"/>
      <c r="J4284" s="100"/>
      <c r="K4284" s="100"/>
      <c r="L4284" s="100"/>
      <c r="M4284" s="100"/>
      <c r="N4284" s="100"/>
      <c r="O4284" s="100"/>
      <c r="P4284" s="100"/>
      <c r="Q4284" s="100"/>
      <c r="R4284" s="100"/>
      <c r="S4284" s="100"/>
      <c r="T4284" s="100"/>
      <c r="U4284" s="100"/>
      <c r="V4284" s="100"/>
      <c r="W4284" s="100"/>
      <c r="X4284" s="100"/>
      <c r="Y4284" s="100"/>
      <c r="Z4284" s="100"/>
    </row>
    <row r="4285" spans="1:26">
      <c r="A4285" s="100"/>
      <c r="B4285" s="100"/>
      <c r="C4285" s="100"/>
      <c r="D4285" s="100"/>
      <c r="E4285" s="100"/>
      <c r="F4285" s="100"/>
      <c r="G4285" s="100"/>
      <c r="H4285" s="100"/>
      <c r="I4285" s="100"/>
      <c r="J4285" s="100"/>
      <c r="K4285" s="100"/>
      <c r="L4285" s="100"/>
      <c r="M4285" s="100"/>
      <c r="N4285" s="100"/>
      <c r="O4285" s="100"/>
      <c r="P4285" s="100"/>
      <c r="Q4285" s="100"/>
      <c r="R4285" s="100"/>
      <c r="S4285" s="100"/>
      <c r="T4285" s="100"/>
      <c r="U4285" s="100"/>
      <c r="V4285" s="100"/>
      <c r="W4285" s="100"/>
      <c r="X4285" s="100"/>
      <c r="Y4285" s="100"/>
      <c r="Z4285" s="100"/>
    </row>
    <row r="4286" spans="1:26">
      <c r="A4286" s="100"/>
      <c r="B4286" s="100"/>
      <c r="C4286" s="100"/>
      <c r="D4286" s="100"/>
      <c r="E4286" s="100"/>
      <c r="F4286" s="100"/>
      <c r="G4286" s="100"/>
      <c r="H4286" s="100"/>
      <c r="I4286" s="100"/>
      <c r="J4286" s="100"/>
      <c r="K4286" s="100"/>
      <c r="L4286" s="100"/>
      <c r="M4286" s="100"/>
      <c r="N4286" s="100"/>
      <c r="O4286" s="100"/>
      <c r="P4286" s="100"/>
      <c r="Q4286" s="100"/>
      <c r="R4286" s="100"/>
      <c r="S4286" s="100"/>
      <c r="T4286" s="100"/>
      <c r="U4286" s="100"/>
      <c r="V4286" s="100"/>
      <c r="W4286" s="100"/>
      <c r="X4286" s="100"/>
      <c r="Y4286" s="100"/>
      <c r="Z4286" s="100"/>
    </row>
    <row r="4287" spans="1:26">
      <c r="A4287" s="100"/>
      <c r="B4287" s="100"/>
      <c r="C4287" s="100"/>
      <c r="D4287" s="100"/>
      <c r="E4287" s="100"/>
      <c r="F4287" s="100"/>
      <c r="G4287" s="100"/>
      <c r="H4287" s="100"/>
      <c r="I4287" s="100"/>
      <c r="J4287" s="100"/>
      <c r="K4287" s="100"/>
      <c r="L4287" s="100"/>
      <c r="M4287" s="100"/>
      <c r="N4287" s="100"/>
      <c r="O4287" s="100"/>
      <c r="P4287" s="100"/>
      <c r="Q4287" s="100"/>
      <c r="R4287" s="100"/>
      <c r="S4287" s="100"/>
      <c r="T4287" s="100"/>
      <c r="U4287" s="100"/>
      <c r="V4287" s="100"/>
      <c r="W4287" s="100"/>
      <c r="X4287" s="100"/>
      <c r="Y4287" s="100"/>
      <c r="Z4287" s="100"/>
    </row>
    <row r="4288" spans="1:26">
      <c r="A4288" s="100"/>
      <c r="B4288" s="100"/>
      <c r="C4288" s="100"/>
      <c r="D4288" s="100"/>
      <c r="E4288" s="100"/>
      <c r="F4288" s="100"/>
      <c r="G4288" s="100"/>
      <c r="H4288" s="100"/>
      <c r="I4288" s="100"/>
      <c r="J4288" s="100"/>
      <c r="K4288" s="100"/>
      <c r="L4288" s="100"/>
      <c r="M4288" s="100"/>
      <c r="N4288" s="100"/>
      <c r="O4288" s="100"/>
      <c r="P4288" s="100"/>
      <c r="Q4288" s="100"/>
      <c r="R4288" s="100"/>
      <c r="S4288" s="100"/>
      <c r="T4288" s="100"/>
      <c r="U4288" s="100"/>
      <c r="V4288" s="100"/>
      <c r="W4288" s="100"/>
      <c r="X4288" s="100"/>
      <c r="Y4288" s="100"/>
      <c r="Z4288" s="100"/>
    </row>
    <row r="4289" spans="1:26">
      <c r="A4289" s="100"/>
      <c r="B4289" s="100"/>
      <c r="C4289" s="100"/>
      <c r="D4289" s="100"/>
      <c r="E4289" s="100"/>
      <c r="F4289" s="100"/>
      <c r="G4289" s="100"/>
      <c r="H4289" s="100"/>
      <c r="I4289" s="100"/>
      <c r="J4289" s="100"/>
      <c r="K4289" s="100"/>
      <c r="L4289" s="100"/>
      <c r="M4289" s="100"/>
      <c r="N4289" s="100"/>
      <c r="O4289" s="100"/>
      <c r="P4289" s="100"/>
      <c r="Q4289" s="100"/>
      <c r="R4289" s="100"/>
      <c r="S4289" s="100"/>
      <c r="T4289" s="100"/>
      <c r="U4289" s="100"/>
      <c r="V4289" s="100"/>
      <c r="W4289" s="100"/>
      <c r="X4289" s="100"/>
      <c r="Y4289" s="100"/>
      <c r="Z4289" s="100"/>
    </row>
    <row r="4290" spans="1:26">
      <c r="A4290" s="100"/>
      <c r="B4290" s="100"/>
      <c r="C4290" s="100"/>
      <c r="D4290" s="100"/>
      <c r="E4290" s="100"/>
      <c r="F4290" s="100"/>
      <c r="G4290" s="100"/>
      <c r="H4290" s="100"/>
      <c r="I4290" s="100"/>
      <c r="J4290" s="100"/>
      <c r="K4290" s="100"/>
      <c r="L4290" s="100"/>
      <c r="M4290" s="100"/>
      <c r="N4290" s="100"/>
      <c r="O4290" s="100"/>
      <c r="P4290" s="100"/>
      <c r="Q4290" s="100"/>
      <c r="R4290" s="100"/>
      <c r="S4290" s="100"/>
      <c r="T4290" s="100"/>
      <c r="U4290" s="100"/>
      <c r="V4290" s="100"/>
      <c r="W4290" s="100"/>
      <c r="X4290" s="100"/>
      <c r="Y4290" s="100"/>
      <c r="Z4290" s="100"/>
    </row>
    <row r="4291" spans="1:26">
      <c r="A4291" s="100"/>
      <c r="B4291" s="100"/>
      <c r="C4291" s="100"/>
      <c r="D4291" s="100"/>
      <c r="E4291" s="100"/>
      <c r="F4291" s="100"/>
      <c r="G4291" s="100"/>
      <c r="H4291" s="100"/>
      <c r="I4291" s="100"/>
      <c r="J4291" s="100"/>
      <c r="K4291" s="100"/>
      <c r="L4291" s="100"/>
      <c r="M4291" s="100"/>
      <c r="N4291" s="100"/>
      <c r="O4291" s="100"/>
      <c r="P4291" s="100"/>
      <c r="Q4291" s="100"/>
      <c r="R4291" s="100"/>
      <c r="S4291" s="100"/>
      <c r="T4291" s="100"/>
      <c r="U4291" s="100"/>
      <c r="V4291" s="100"/>
      <c r="W4291" s="100"/>
      <c r="X4291" s="100"/>
      <c r="Y4291" s="100"/>
      <c r="Z4291" s="100"/>
    </row>
    <row r="4292" spans="1:26">
      <c r="A4292" s="100"/>
      <c r="B4292" s="100"/>
      <c r="C4292" s="100"/>
      <c r="D4292" s="100"/>
      <c r="E4292" s="100"/>
      <c r="F4292" s="100"/>
      <c r="G4292" s="100"/>
      <c r="H4292" s="100"/>
      <c r="I4292" s="100"/>
      <c r="J4292" s="100"/>
      <c r="K4292" s="100"/>
      <c r="L4292" s="100"/>
      <c r="M4292" s="100"/>
      <c r="N4292" s="100"/>
      <c r="O4292" s="100"/>
      <c r="P4292" s="100"/>
      <c r="Q4292" s="100"/>
      <c r="R4292" s="100"/>
      <c r="S4292" s="100"/>
      <c r="T4292" s="100"/>
      <c r="U4292" s="100"/>
      <c r="V4292" s="100"/>
      <c r="W4292" s="100"/>
      <c r="X4292" s="100"/>
      <c r="Y4292" s="100"/>
      <c r="Z4292" s="100"/>
    </row>
    <row r="4293" spans="1:26">
      <c r="A4293" s="100"/>
      <c r="B4293" s="100"/>
      <c r="C4293" s="100"/>
      <c r="D4293" s="100"/>
      <c r="E4293" s="100"/>
      <c r="F4293" s="100"/>
      <c r="G4293" s="100"/>
      <c r="H4293" s="100"/>
      <c r="I4293" s="100"/>
      <c r="J4293" s="100"/>
      <c r="K4293" s="100"/>
      <c r="L4293" s="100"/>
      <c r="M4293" s="100"/>
      <c r="N4293" s="100"/>
      <c r="O4293" s="100"/>
      <c r="P4293" s="100"/>
      <c r="Q4293" s="100"/>
      <c r="R4293" s="100"/>
      <c r="S4293" s="100"/>
      <c r="T4293" s="100"/>
      <c r="U4293" s="100"/>
      <c r="V4293" s="100"/>
      <c r="W4293" s="100"/>
      <c r="X4293" s="100"/>
      <c r="Y4293" s="100"/>
      <c r="Z4293" s="100"/>
    </row>
    <row r="4294" spans="1:26">
      <c r="A4294" s="100"/>
      <c r="B4294" s="100"/>
      <c r="C4294" s="100"/>
      <c r="D4294" s="100"/>
      <c r="E4294" s="100"/>
      <c r="F4294" s="100"/>
      <c r="G4294" s="100"/>
      <c r="H4294" s="100"/>
      <c r="I4294" s="100"/>
      <c r="J4294" s="100"/>
      <c r="K4294" s="100"/>
      <c r="L4294" s="100"/>
      <c r="M4294" s="100"/>
      <c r="N4294" s="100"/>
      <c r="O4294" s="100"/>
      <c r="P4294" s="100"/>
      <c r="Q4294" s="100"/>
      <c r="R4294" s="100"/>
      <c r="S4294" s="100"/>
      <c r="T4294" s="100"/>
      <c r="U4294" s="100"/>
      <c r="V4294" s="100"/>
      <c r="W4294" s="100"/>
      <c r="X4294" s="100"/>
      <c r="Y4294" s="100"/>
      <c r="Z4294" s="100"/>
    </row>
    <row r="4295" spans="1:26">
      <c r="A4295" s="100"/>
      <c r="B4295" s="100"/>
      <c r="C4295" s="100"/>
      <c r="D4295" s="100"/>
      <c r="E4295" s="100"/>
      <c r="F4295" s="100"/>
      <c r="G4295" s="100"/>
      <c r="H4295" s="100"/>
      <c r="I4295" s="100"/>
      <c r="J4295" s="100"/>
      <c r="K4295" s="100"/>
      <c r="L4295" s="100"/>
      <c r="M4295" s="100"/>
      <c r="N4295" s="100"/>
      <c r="O4295" s="100"/>
      <c r="P4295" s="100"/>
      <c r="Q4295" s="100"/>
      <c r="R4295" s="100"/>
      <c r="S4295" s="100"/>
      <c r="T4295" s="100"/>
      <c r="U4295" s="100"/>
      <c r="V4295" s="100"/>
      <c r="W4295" s="100"/>
      <c r="X4295" s="100"/>
      <c r="Y4295" s="100"/>
      <c r="Z4295" s="100"/>
    </row>
    <row r="4296" spans="1:26">
      <c r="A4296" s="100"/>
      <c r="B4296" s="100"/>
      <c r="C4296" s="100"/>
      <c r="D4296" s="100"/>
      <c r="E4296" s="100"/>
      <c r="F4296" s="100"/>
      <c r="G4296" s="100"/>
      <c r="H4296" s="100"/>
      <c r="I4296" s="100"/>
      <c r="J4296" s="100"/>
      <c r="K4296" s="100"/>
      <c r="L4296" s="100"/>
      <c r="M4296" s="100"/>
      <c r="N4296" s="100"/>
      <c r="O4296" s="100"/>
      <c r="P4296" s="100"/>
      <c r="Q4296" s="100"/>
      <c r="R4296" s="100"/>
      <c r="S4296" s="100"/>
      <c r="T4296" s="100"/>
      <c r="U4296" s="100"/>
      <c r="V4296" s="100"/>
      <c r="W4296" s="100"/>
      <c r="X4296" s="100"/>
      <c r="Y4296" s="100"/>
      <c r="Z4296" s="100"/>
    </row>
    <row r="4297" spans="1:26">
      <c r="A4297" s="100"/>
      <c r="B4297" s="100"/>
      <c r="C4297" s="100"/>
      <c r="D4297" s="100"/>
      <c r="E4297" s="100"/>
      <c r="F4297" s="100"/>
      <c r="G4297" s="100"/>
      <c r="H4297" s="100"/>
      <c r="I4297" s="100"/>
      <c r="J4297" s="100"/>
      <c r="K4297" s="100"/>
      <c r="L4297" s="100"/>
      <c r="M4297" s="100"/>
      <c r="N4297" s="100"/>
      <c r="O4297" s="100"/>
      <c r="P4297" s="100"/>
      <c r="Q4297" s="100"/>
      <c r="R4297" s="100"/>
      <c r="S4297" s="100"/>
      <c r="T4297" s="100"/>
      <c r="U4297" s="100"/>
      <c r="V4297" s="100"/>
      <c r="W4297" s="100"/>
      <c r="X4297" s="100"/>
      <c r="Y4297" s="100"/>
      <c r="Z4297" s="100"/>
    </row>
    <row r="4298" spans="1:26">
      <c r="A4298" s="100"/>
      <c r="B4298" s="100"/>
      <c r="C4298" s="100"/>
      <c r="D4298" s="100"/>
      <c r="E4298" s="100"/>
      <c r="F4298" s="100"/>
      <c r="G4298" s="100"/>
      <c r="H4298" s="100"/>
      <c r="I4298" s="100"/>
      <c r="J4298" s="100"/>
      <c r="K4298" s="100"/>
      <c r="L4298" s="100"/>
      <c r="M4298" s="100"/>
      <c r="N4298" s="100"/>
      <c r="O4298" s="100"/>
      <c r="P4298" s="100"/>
      <c r="Q4298" s="100"/>
      <c r="R4298" s="100"/>
      <c r="S4298" s="100"/>
      <c r="T4298" s="100"/>
      <c r="U4298" s="100"/>
      <c r="V4298" s="100"/>
      <c r="W4298" s="100"/>
      <c r="X4298" s="100"/>
      <c r="Y4298" s="100"/>
      <c r="Z4298" s="100"/>
    </row>
    <row r="4299" spans="1:26">
      <c r="A4299" s="100"/>
      <c r="B4299" s="100"/>
      <c r="C4299" s="100"/>
      <c r="D4299" s="100"/>
      <c r="E4299" s="100"/>
      <c r="F4299" s="100"/>
      <c r="G4299" s="100"/>
      <c r="H4299" s="100"/>
      <c r="I4299" s="100"/>
      <c r="J4299" s="100"/>
      <c r="K4299" s="100"/>
      <c r="L4299" s="100"/>
      <c r="M4299" s="100"/>
      <c r="N4299" s="100"/>
      <c r="O4299" s="100"/>
      <c r="P4299" s="100"/>
      <c r="Q4299" s="100"/>
      <c r="R4299" s="100"/>
      <c r="S4299" s="100"/>
      <c r="T4299" s="100"/>
      <c r="U4299" s="100"/>
      <c r="V4299" s="100"/>
      <c r="W4299" s="100"/>
      <c r="X4299" s="100"/>
      <c r="Y4299" s="100"/>
      <c r="Z4299" s="100"/>
    </row>
    <row r="4300" spans="1:26">
      <c r="A4300" s="100"/>
      <c r="B4300" s="100"/>
      <c r="C4300" s="100"/>
      <c r="D4300" s="100"/>
      <c r="E4300" s="100"/>
      <c r="F4300" s="100"/>
      <c r="G4300" s="100"/>
      <c r="H4300" s="100"/>
      <c r="I4300" s="100"/>
      <c r="J4300" s="100"/>
      <c r="K4300" s="100"/>
      <c r="L4300" s="100"/>
      <c r="M4300" s="100"/>
      <c r="N4300" s="100"/>
      <c r="O4300" s="100"/>
      <c r="P4300" s="100"/>
      <c r="Q4300" s="100"/>
      <c r="R4300" s="100"/>
      <c r="S4300" s="100"/>
      <c r="T4300" s="100"/>
      <c r="U4300" s="100"/>
      <c r="V4300" s="100"/>
      <c r="W4300" s="100"/>
      <c r="X4300" s="100"/>
      <c r="Y4300" s="100"/>
      <c r="Z4300" s="100"/>
    </row>
    <row r="4301" spans="1:26">
      <c r="A4301" s="100"/>
      <c r="B4301" s="100"/>
      <c r="C4301" s="100"/>
      <c r="D4301" s="100"/>
      <c r="E4301" s="100"/>
      <c r="F4301" s="100"/>
      <c r="G4301" s="100"/>
      <c r="H4301" s="100"/>
      <c r="I4301" s="100"/>
      <c r="J4301" s="100"/>
      <c r="K4301" s="100"/>
      <c r="L4301" s="100"/>
      <c r="M4301" s="100"/>
      <c r="N4301" s="100"/>
      <c r="O4301" s="100"/>
      <c r="P4301" s="100"/>
      <c r="Q4301" s="100"/>
      <c r="R4301" s="100"/>
      <c r="S4301" s="100"/>
      <c r="T4301" s="100"/>
      <c r="U4301" s="100"/>
      <c r="V4301" s="100"/>
      <c r="W4301" s="100"/>
      <c r="X4301" s="100"/>
      <c r="Y4301" s="100"/>
      <c r="Z4301" s="100"/>
    </row>
    <row r="4302" spans="1:26">
      <c r="A4302" s="100"/>
      <c r="B4302" s="100"/>
      <c r="C4302" s="100"/>
      <c r="D4302" s="100"/>
      <c r="E4302" s="100"/>
      <c r="F4302" s="100"/>
      <c r="G4302" s="100"/>
      <c r="H4302" s="100"/>
      <c r="I4302" s="100"/>
      <c r="J4302" s="100"/>
      <c r="K4302" s="100"/>
      <c r="L4302" s="100"/>
      <c r="M4302" s="100"/>
      <c r="N4302" s="100"/>
      <c r="O4302" s="100"/>
      <c r="P4302" s="100"/>
      <c r="Q4302" s="100"/>
      <c r="R4302" s="100"/>
      <c r="S4302" s="100"/>
      <c r="T4302" s="100"/>
      <c r="U4302" s="100"/>
      <c r="V4302" s="100"/>
      <c r="W4302" s="100"/>
      <c r="X4302" s="100"/>
      <c r="Y4302" s="100"/>
      <c r="Z4302" s="100"/>
    </row>
    <row r="4303" spans="1:26">
      <c r="A4303" s="100"/>
      <c r="B4303" s="100"/>
      <c r="C4303" s="100"/>
      <c r="D4303" s="100"/>
      <c r="E4303" s="100"/>
      <c r="F4303" s="100"/>
      <c r="G4303" s="100"/>
      <c r="H4303" s="100"/>
      <c r="I4303" s="100"/>
      <c r="J4303" s="100"/>
      <c r="K4303" s="100"/>
      <c r="L4303" s="100"/>
      <c r="M4303" s="100"/>
      <c r="N4303" s="100"/>
      <c r="O4303" s="100"/>
      <c r="P4303" s="100"/>
      <c r="Q4303" s="100"/>
      <c r="R4303" s="100"/>
      <c r="S4303" s="100"/>
      <c r="T4303" s="100"/>
      <c r="U4303" s="100"/>
      <c r="V4303" s="100"/>
      <c r="W4303" s="100"/>
      <c r="X4303" s="100"/>
      <c r="Y4303" s="100"/>
      <c r="Z4303" s="100"/>
    </row>
    <row r="4304" spans="1:26">
      <c r="A4304" s="100"/>
      <c r="B4304" s="100"/>
      <c r="C4304" s="100"/>
      <c r="D4304" s="100"/>
      <c r="E4304" s="100"/>
      <c r="F4304" s="100"/>
      <c r="G4304" s="100"/>
      <c r="H4304" s="100"/>
      <c r="I4304" s="100"/>
      <c r="J4304" s="100"/>
      <c r="K4304" s="100"/>
      <c r="L4304" s="100"/>
      <c r="M4304" s="100"/>
      <c r="N4304" s="100"/>
      <c r="O4304" s="100"/>
      <c r="P4304" s="100"/>
      <c r="Q4304" s="100"/>
      <c r="R4304" s="100"/>
      <c r="S4304" s="100"/>
      <c r="T4304" s="100"/>
      <c r="U4304" s="100"/>
      <c r="V4304" s="100"/>
      <c r="W4304" s="100"/>
      <c r="X4304" s="100"/>
      <c r="Y4304" s="100"/>
      <c r="Z4304" s="100"/>
    </row>
    <row r="4305" spans="1:26">
      <c r="A4305" s="100"/>
      <c r="B4305" s="100"/>
      <c r="C4305" s="100"/>
      <c r="D4305" s="100"/>
      <c r="E4305" s="100"/>
      <c r="F4305" s="100"/>
      <c r="G4305" s="100"/>
      <c r="H4305" s="100"/>
      <c r="I4305" s="100"/>
      <c r="J4305" s="100"/>
      <c r="K4305" s="100"/>
      <c r="L4305" s="100"/>
      <c r="M4305" s="100"/>
      <c r="N4305" s="100"/>
      <c r="O4305" s="100"/>
      <c r="P4305" s="100"/>
      <c r="Q4305" s="100"/>
      <c r="R4305" s="100"/>
      <c r="S4305" s="100"/>
      <c r="T4305" s="100"/>
      <c r="U4305" s="100"/>
      <c r="V4305" s="100"/>
      <c r="W4305" s="100"/>
      <c r="X4305" s="100"/>
      <c r="Y4305" s="100"/>
      <c r="Z4305" s="100"/>
    </row>
    <row r="4306" spans="1:26">
      <c r="A4306" s="100"/>
      <c r="B4306" s="100"/>
      <c r="C4306" s="100"/>
      <c r="D4306" s="100"/>
      <c r="E4306" s="100"/>
      <c r="F4306" s="100"/>
      <c r="G4306" s="100"/>
      <c r="H4306" s="100"/>
      <c r="I4306" s="100"/>
      <c r="J4306" s="100"/>
      <c r="K4306" s="100"/>
      <c r="L4306" s="100"/>
      <c r="M4306" s="100"/>
      <c r="N4306" s="100"/>
      <c r="O4306" s="100"/>
      <c r="P4306" s="100"/>
      <c r="Q4306" s="100"/>
      <c r="R4306" s="100"/>
      <c r="S4306" s="100"/>
      <c r="T4306" s="100"/>
      <c r="U4306" s="100"/>
      <c r="V4306" s="100"/>
      <c r="W4306" s="100"/>
      <c r="X4306" s="100"/>
      <c r="Y4306" s="100"/>
      <c r="Z4306" s="100"/>
    </row>
    <row r="4307" spans="1:26">
      <c r="A4307" s="100"/>
      <c r="B4307" s="100"/>
      <c r="C4307" s="100"/>
      <c r="D4307" s="100"/>
      <c r="E4307" s="100"/>
      <c r="F4307" s="100"/>
      <c r="G4307" s="100"/>
      <c r="H4307" s="100"/>
      <c r="I4307" s="100"/>
      <c r="J4307" s="100"/>
      <c r="K4307" s="100"/>
      <c r="L4307" s="100"/>
      <c r="M4307" s="100"/>
      <c r="N4307" s="100"/>
      <c r="O4307" s="100"/>
      <c r="P4307" s="100"/>
      <c r="Q4307" s="100"/>
      <c r="R4307" s="100"/>
      <c r="S4307" s="100"/>
      <c r="T4307" s="100"/>
      <c r="U4307" s="100"/>
      <c r="V4307" s="100"/>
      <c r="W4307" s="100"/>
      <c r="X4307" s="100"/>
      <c r="Y4307" s="100"/>
      <c r="Z4307" s="100"/>
    </row>
    <row r="4308" spans="1:26">
      <c r="A4308" s="100"/>
      <c r="B4308" s="100"/>
      <c r="C4308" s="100"/>
      <c r="D4308" s="100"/>
      <c r="E4308" s="100"/>
      <c r="F4308" s="100"/>
      <c r="G4308" s="100"/>
      <c r="H4308" s="100"/>
      <c r="I4308" s="100"/>
      <c r="J4308" s="100"/>
      <c r="K4308" s="100"/>
      <c r="L4308" s="100"/>
      <c r="M4308" s="100"/>
      <c r="N4308" s="100"/>
      <c r="O4308" s="100"/>
      <c r="P4308" s="100"/>
      <c r="Q4308" s="100"/>
      <c r="R4308" s="100"/>
      <c r="S4308" s="100"/>
      <c r="T4308" s="100"/>
      <c r="U4308" s="100"/>
      <c r="V4308" s="100"/>
      <c r="W4308" s="100"/>
      <c r="X4308" s="100"/>
      <c r="Y4308" s="100"/>
      <c r="Z4308" s="100"/>
    </row>
    <row r="4309" spans="1:26">
      <c r="A4309" s="100"/>
      <c r="B4309" s="100"/>
      <c r="C4309" s="100"/>
      <c r="D4309" s="100"/>
      <c r="E4309" s="100"/>
      <c r="F4309" s="100"/>
      <c r="G4309" s="100"/>
      <c r="H4309" s="100"/>
      <c r="I4309" s="100"/>
      <c r="J4309" s="100"/>
      <c r="K4309" s="100"/>
      <c r="L4309" s="100"/>
      <c r="M4309" s="100"/>
      <c r="N4309" s="100"/>
      <c r="O4309" s="100"/>
      <c r="P4309" s="100"/>
      <c r="Q4309" s="100"/>
      <c r="R4309" s="100"/>
      <c r="S4309" s="100"/>
      <c r="T4309" s="100"/>
      <c r="U4309" s="100"/>
      <c r="V4309" s="100"/>
      <c r="W4309" s="100"/>
      <c r="X4309" s="100"/>
      <c r="Y4309" s="100"/>
      <c r="Z4309" s="100"/>
    </row>
    <row r="4310" spans="1:26">
      <c r="A4310" s="100"/>
      <c r="B4310" s="100"/>
      <c r="C4310" s="100"/>
      <c r="D4310" s="100"/>
      <c r="E4310" s="100"/>
      <c r="F4310" s="100"/>
      <c r="G4310" s="100"/>
      <c r="H4310" s="100"/>
      <c r="I4310" s="100"/>
      <c r="J4310" s="100"/>
      <c r="K4310" s="100"/>
      <c r="L4310" s="100"/>
      <c r="M4310" s="100"/>
      <c r="N4310" s="100"/>
      <c r="O4310" s="100"/>
      <c r="P4310" s="100"/>
      <c r="Q4310" s="100"/>
      <c r="R4310" s="100"/>
      <c r="S4310" s="100"/>
      <c r="T4310" s="100"/>
      <c r="U4310" s="100"/>
      <c r="V4310" s="100"/>
      <c r="W4310" s="100"/>
      <c r="X4310" s="100"/>
      <c r="Y4310" s="100"/>
      <c r="Z4310" s="100"/>
    </row>
    <row r="4311" spans="1:26">
      <c r="A4311" s="100"/>
      <c r="B4311" s="100"/>
      <c r="C4311" s="100"/>
      <c r="D4311" s="100"/>
      <c r="E4311" s="100"/>
      <c r="F4311" s="100"/>
      <c r="G4311" s="100"/>
      <c r="H4311" s="100"/>
      <c r="I4311" s="100"/>
      <c r="J4311" s="100"/>
      <c r="K4311" s="100"/>
      <c r="L4311" s="100"/>
      <c r="M4311" s="100"/>
      <c r="N4311" s="100"/>
      <c r="O4311" s="100"/>
      <c r="P4311" s="100"/>
      <c r="Q4311" s="100"/>
      <c r="R4311" s="100"/>
      <c r="S4311" s="100"/>
      <c r="T4311" s="100"/>
      <c r="U4311" s="100"/>
      <c r="V4311" s="100"/>
      <c r="W4311" s="100"/>
      <c r="X4311" s="100"/>
      <c r="Y4311" s="100"/>
      <c r="Z4311" s="100"/>
    </row>
    <row r="4312" spans="1:26">
      <c r="A4312" s="100"/>
      <c r="B4312" s="100"/>
      <c r="C4312" s="100"/>
      <c r="D4312" s="100"/>
      <c r="E4312" s="100"/>
      <c r="F4312" s="100"/>
      <c r="G4312" s="100"/>
      <c r="H4312" s="100"/>
      <c r="I4312" s="100"/>
      <c r="J4312" s="100"/>
      <c r="K4312" s="100"/>
      <c r="L4312" s="100"/>
      <c r="M4312" s="100"/>
      <c r="N4312" s="100"/>
      <c r="O4312" s="100"/>
      <c r="P4312" s="100"/>
      <c r="Q4312" s="100"/>
      <c r="R4312" s="100"/>
      <c r="S4312" s="100"/>
      <c r="T4312" s="100"/>
      <c r="U4312" s="100"/>
      <c r="V4312" s="100"/>
      <c r="W4312" s="100"/>
      <c r="X4312" s="100"/>
      <c r="Y4312" s="100"/>
      <c r="Z4312" s="100"/>
    </row>
    <row r="4313" spans="1:26">
      <c r="A4313" s="100"/>
      <c r="B4313" s="100"/>
      <c r="C4313" s="100"/>
      <c r="D4313" s="100"/>
      <c r="E4313" s="100"/>
      <c r="F4313" s="100"/>
      <c r="G4313" s="100"/>
      <c r="H4313" s="100"/>
      <c r="I4313" s="100"/>
      <c r="J4313" s="100"/>
      <c r="K4313" s="100"/>
      <c r="L4313" s="100"/>
      <c r="M4313" s="100"/>
      <c r="N4313" s="100"/>
      <c r="O4313" s="100"/>
      <c r="P4313" s="100"/>
      <c r="Q4313" s="100"/>
      <c r="R4313" s="100"/>
      <c r="S4313" s="100"/>
      <c r="T4313" s="100"/>
      <c r="U4313" s="100"/>
      <c r="V4313" s="100"/>
      <c r="W4313" s="100"/>
      <c r="X4313" s="100"/>
      <c r="Y4313" s="100"/>
      <c r="Z4313" s="100"/>
    </row>
    <row r="4314" spans="1:26">
      <c r="A4314" s="100"/>
      <c r="B4314" s="100"/>
      <c r="C4314" s="100"/>
      <c r="D4314" s="100"/>
      <c r="E4314" s="100"/>
      <c r="F4314" s="100"/>
      <c r="G4314" s="100"/>
      <c r="H4314" s="100"/>
      <c r="I4314" s="100"/>
      <c r="J4314" s="100"/>
      <c r="K4314" s="100"/>
      <c r="L4314" s="100"/>
      <c r="M4314" s="100"/>
      <c r="N4314" s="100"/>
      <c r="O4314" s="100"/>
      <c r="P4314" s="100"/>
      <c r="Q4314" s="100"/>
      <c r="R4314" s="100"/>
      <c r="S4314" s="100"/>
      <c r="T4314" s="100"/>
      <c r="U4314" s="100"/>
      <c r="V4314" s="100"/>
      <c r="W4314" s="100"/>
      <c r="X4314" s="100"/>
      <c r="Y4314" s="100"/>
      <c r="Z4314" s="100"/>
    </row>
    <row r="4315" spans="1:26">
      <c r="A4315" s="100"/>
      <c r="B4315" s="100"/>
      <c r="C4315" s="100"/>
      <c r="D4315" s="100"/>
      <c r="E4315" s="100"/>
      <c r="F4315" s="100"/>
      <c r="G4315" s="100"/>
      <c r="H4315" s="100"/>
      <c r="I4315" s="100"/>
      <c r="J4315" s="100"/>
      <c r="K4315" s="100"/>
      <c r="L4315" s="100"/>
      <c r="M4315" s="100"/>
      <c r="N4315" s="100"/>
      <c r="O4315" s="100"/>
      <c r="P4315" s="100"/>
      <c r="Q4315" s="100"/>
      <c r="R4315" s="100"/>
      <c r="S4315" s="100"/>
      <c r="T4315" s="100"/>
      <c r="U4315" s="100"/>
      <c r="V4315" s="100"/>
      <c r="W4315" s="100"/>
      <c r="X4315" s="100"/>
      <c r="Y4315" s="100"/>
      <c r="Z4315" s="100"/>
    </row>
    <row r="4316" spans="1:26">
      <c r="A4316" s="100"/>
      <c r="B4316" s="100"/>
      <c r="C4316" s="100"/>
      <c r="D4316" s="100"/>
      <c r="E4316" s="100"/>
      <c r="F4316" s="100"/>
      <c r="G4316" s="100"/>
      <c r="H4316" s="100"/>
      <c r="I4316" s="100"/>
      <c r="J4316" s="100"/>
      <c r="K4316" s="100"/>
      <c r="L4316" s="100"/>
      <c r="M4316" s="100"/>
      <c r="N4316" s="100"/>
      <c r="O4316" s="100"/>
      <c r="P4316" s="100"/>
      <c r="Q4316" s="100"/>
      <c r="R4316" s="100"/>
      <c r="S4316" s="100"/>
      <c r="T4316" s="100"/>
      <c r="U4316" s="100"/>
      <c r="V4316" s="100"/>
      <c r="W4316" s="100"/>
      <c r="X4316" s="100"/>
      <c r="Y4316" s="100"/>
      <c r="Z4316" s="100"/>
    </row>
    <row r="4317" spans="1:26">
      <c r="A4317" s="100"/>
      <c r="B4317" s="100"/>
      <c r="C4317" s="100"/>
      <c r="D4317" s="100"/>
      <c r="E4317" s="100"/>
      <c r="F4317" s="100"/>
      <c r="G4317" s="100"/>
      <c r="H4317" s="100"/>
      <c r="I4317" s="100"/>
      <c r="J4317" s="100"/>
      <c r="K4317" s="100"/>
      <c r="L4317" s="100"/>
      <c r="M4317" s="100"/>
      <c r="N4317" s="100"/>
      <c r="O4317" s="100"/>
      <c r="P4317" s="100"/>
      <c r="Q4317" s="100"/>
      <c r="R4317" s="100"/>
      <c r="S4317" s="100"/>
      <c r="T4317" s="100"/>
      <c r="U4317" s="100"/>
      <c r="V4317" s="100"/>
      <c r="W4317" s="100"/>
      <c r="X4317" s="100"/>
      <c r="Y4317" s="100"/>
      <c r="Z4317" s="100"/>
    </row>
    <row r="4318" spans="1:26">
      <c r="A4318" s="100"/>
      <c r="B4318" s="100"/>
      <c r="C4318" s="100"/>
      <c r="D4318" s="100"/>
      <c r="E4318" s="100"/>
      <c r="F4318" s="100"/>
      <c r="G4318" s="100"/>
      <c r="H4318" s="100"/>
      <c r="I4318" s="100"/>
      <c r="J4318" s="100"/>
      <c r="K4318" s="100"/>
      <c r="L4318" s="100"/>
      <c r="M4318" s="100"/>
      <c r="N4318" s="100"/>
      <c r="O4318" s="100"/>
      <c r="P4318" s="100"/>
      <c r="Q4318" s="100"/>
      <c r="R4318" s="100"/>
      <c r="S4318" s="100"/>
      <c r="T4318" s="100"/>
      <c r="U4318" s="100"/>
      <c r="V4318" s="100"/>
      <c r="W4318" s="100"/>
      <c r="X4318" s="100"/>
      <c r="Y4318" s="100"/>
      <c r="Z4318" s="100"/>
    </row>
    <row r="4319" spans="1:26">
      <c r="A4319" s="100"/>
      <c r="B4319" s="100"/>
      <c r="C4319" s="100"/>
      <c r="D4319" s="100"/>
      <c r="E4319" s="100"/>
      <c r="F4319" s="100"/>
      <c r="G4319" s="100"/>
      <c r="H4319" s="100"/>
      <c r="I4319" s="100"/>
      <c r="J4319" s="100"/>
      <c r="K4319" s="100"/>
      <c r="L4319" s="100"/>
      <c r="M4319" s="100"/>
      <c r="N4319" s="100"/>
      <c r="O4319" s="100"/>
      <c r="P4319" s="100"/>
      <c r="Q4319" s="100"/>
      <c r="R4319" s="100"/>
      <c r="S4319" s="100"/>
      <c r="T4319" s="100"/>
      <c r="U4319" s="100"/>
      <c r="V4319" s="100"/>
      <c r="W4319" s="100"/>
      <c r="X4319" s="100"/>
      <c r="Y4319" s="100"/>
      <c r="Z4319" s="100"/>
    </row>
    <row r="4320" spans="1:26">
      <c r="A4320" s="100"/>
      <c r="B4320" s="100"/>
      <c r="C4320" s="100"/>
      <c r="D4320" s="100"/>
      <c r="E4320" s="100"/>
      <c r="F4320" s="100"/>
      <c r="G4320" s="100"/>
      <c r="H4320" s="100"/>
      <c r="I4320" s="100"/>
      <c r="J4320" s="100"/>
      <c r="K4320" s="100"/>
      <c r="L4320" s="100"/>
      <c r="M4320" s="100"/>
      <c r="N4320" s="100"/>
      <c r="O4320" s="100"/>
      <c r="P4320" s="100"/>
      <c r="Q4320" s="100"/>
      <c r="R4320" s="100"/>
      <c r="S4320" s="100"/>
      <c r="T4320" s="100"/>
      <c r="U4320" s="100"/>
      <c r="V4320" s="100"/>
      <c r="W4320" s="100"/>
      <c r="X4320" s="100"/>
      <c r="Y4320" s="100"/>
      <c r="Z4320" s="100"/>
    </row>
    <row r="4321" spans="1:26">
      <c r="A4321" s="100"/>
      <c r="B4321" s="100"/>
      <c r="C4321" s="100"/>
      <c r="D4321" s="100"/>
      <c r="E4321" s="100"/>
      <c r="F4321" s="100"/>
      <c r="G4321" s="100"/>
      <c r="H4321" s="100"/>
      <c r="I4321" s="100"/>
      <c r="J4321" s="100"/>
      <c r="K4321" s="100"/>
      <c r="L4321" s="100"/>
      <c r="M4321" s="100"/>
      <c r="N4321" s="100"/>
      <c r="O4321" s="100"/>
      <c r="P4321" s="100"/>
      <c r="Q4321" s="100"/>
      <c r="R4321" s="100"/>
      <c r="S4321" s="100"/>
      <c r="T4321" s="100"/>
      <c r="U4321" s="100"/>
      <c r="V4321" s="100"/>
      <c r="W4321" s="100"/>
      <c r="X4321" s="100"/>
      <c r="Y4321" s="100"/>
      <c r="Z4321" s="100"/>
    </row>
    <row r="4322" spans="1:26">
      <c r="A4322" s="100"/>
      <c r="B4322" s="100"/>
      <c r="C4322" s="100"/>
      <c r="D4322" s="100"/>
      <c r="E4322" s="100"/>
      <c r="F4322" s="100"/>
      <c r="G4322" s="100"/>
      <c r="H4322" s="100"/>
      <c r="I4322" s="100"/>
      <c r="J4322" s="100"/>
      <c r="K4322" s="100"/>
      <c r="L4322" s="100"/>
      <c r="M4322" s="100"/>
      <c r="N4322" s="100"/>
      <c r="O4322" s="100"/>
      <c r="P4322" s="100"/>
      <c r="Q4322" s="100"/>
      <c r="R4322" s="100"/>
      <c r="S4322" s="100"/>
      <c r="T4322" s="100"/>
      <c r="U4322" s="100"/>
      <c r="V4322" s="100"/>
      <c r="W4322" s="100"/>
      <c r="X4322" s="100"/>
      <c r="Y4322" s="100"/>
      <c r="Z4322" s="100"/>
    </row>
    <row r="4323" spans="1:26">
      <c r="A4323" s="100"/>
      <c r="B4323" s="100"/>
      <c r="C4323" s="100"/>
      <c r="D4323" s="100"/>
      <c r="E4323" s="100"/>
      <c r="F4323" s="100"/>
      <c r="G4323" s="100"/>
      <c r="H4323" s="100"/>
      <c r="I4323" s="100"/>
      <c r="J4323" s="100"/>
      <c r="K4323" s="100"/>
      <c r="L4323" s="100"/>
      <c r="M4323" s="100"/>
      <c r="N4323" s="100"/>
      <c r="O4323" s="100"/>
      <c r="P4323" s="100"/>
      <c r="Q4323" s="100"/>
      <c r="R4323" s="100"/>
      <c r="S4323" s="100"/>
      <c r="T4323" s="100"/>
      <c r="U4323" s="100"/>
      <c r="V4323" s="100"/>
      <c r="W4323" s="100"/>
      <c r="X4323" s="100"/>
      <c r="Y4323" s="100"/>
      <c r="Z4323" s="100"/>
    </row>
    <row r="4324" spans="1:26">
      <c r="A4324" s="100"/>
      <c r="B4324" s="100"/>
      <c r="C4324" s="100"/>
      <c r="D4324" s="100"/>
      <c r="E4324" s="100"/>
      <c r="F4324" s="100"/>
      <c r="G4324" s="100"/>
      <c r="H4324" s="100"/>
      <c r="I4324" s="100"/>
      <c r="J4324" s="100"/>
      <c r="K4324" s="100"/>
      <c r="L4324" s="100"/>
      <c r="M4324" s="100"/>
      <c r="N4324" s="100"/>
      <c r="O4324" s="100"/>
      <c r="P4324" s="100"/>
      <c r="Q4324" s="100"/>
      <c r="R4324" s="100"/>
      <c r="S4324" s="100"/>
      <c r="T4324" s="100"/>
      <c r="U4324" s="100"/>
      <c r="V4324" s="100"/>
      <c r="W4324" s="100"/>
      <c r="X4324" s="100"/>
      <c r="Y4324" s="100"/>
      <c r="Z4324" s="100"/>
    </row>
    <row r="4325" spans="1:26">
      <c r="A4325" s="100"/>
      <c r="B4325" s="100"/>
      <c r="C4325" s="100"/>
      <c r="D4325" s="100"/>
      <c r="E4325" s="100"/>
      <c r="F4325" s="100"/>
      <c r="G4325" s="100"/>
      <c r="H4325" s="100"/>
      <c r="I4325" s="100"/>
      <c r="J4325" s="100"/>
      <c r="K4325" s="100"/>
      <c r="L4325" s="100"/>
      <c r="M4325" s="100"/>
      <c r="N4325" s="100"/>
      <c r="O4325" s="100"/>
      <c r="P4325" s="100"/>
      <c r="Q4325" s="100"/>
      <c r="R4325" s="100"/>
      <c r="S4325" s="100"/>
      <c r="T4325" s="100"/>
      <c r="U4325" s="100"/>
      <c r="V4325" s="100"/>
      <c r="W4325" s="100"/>
      <c r="X4325" s="100"/>
      <c r="Y4325" s="100"/>
      <c r="Z4325" s="100"/>
    </row>
    <row r="4326" spans="1:26">
      <c r="A4326" s="100"/>
      <c r="B4326" s="100"/>
      <c r="C4326" s="100"/>
      <c r="D4326" s="100"/>
      <c r="E4326" s="100"/>
      <c r="F4326" s="100"/>
      <c r="G4326" s="100"/>
      <c r="H4326" s="100"/>
      <c r="I4326" s="100"/>
      <c r="J4326" s="100"/>
      <c r="K4326" s="100"/>
      <c r="L4326" s="100"/>
      <c r="M4326" s="100"/>
      <c r="N4326" s="100"/>
      <c r="O4326" s="100"/>
      <c r="P4326" s="100"/>
      <c r="Q4326" s="100"/>
      <c r="R4326" s="100"/>
      <c r="S4326" s="100"/>
      <c r="T4326" s="100"/>
      <c r="U4326" s="100"/>
      <c r="V4326" s="100"/>
      <c r="W4326" s="100"/>
      <c r="X4326" s="100"/>
      <c r="Y4326" s="100"/>
      <c r="Z4326" s="100"/>
    </row>
    <row r="4327" spans="1:26">
      <c r="A4327" s="100"/>
      <c r="B4327" s="100"/>
      <c r="C4327" s="100"/>
      <c r="D4327" s="100"/>
      <c r="E4327" s="100"/>
      <c r="F4327" s="100"/>
      <c r="G4327" s="100"/>
      <c r="H4327" s="100"/>
      <c r="I4327" s="100"/>
      <c r="J4327" s="100"/>
      <c r="K4327" s="100"/>
      <c r="L4327" s="100"/>
      <c r="M4327" s="100"/>
      <c r="N4327" s="100"/>
      <c r="O4327" s="100"/>
      <c r="P4327" s="100"/>
      <c r="Q4327" s="100"/>
      <c r="R4327" s="100"/>
      <c r="S4327" s="100"/>
      <c r="T4327" s="100"/>
      <c r="U4327" s="100"/>
      <c r="V4327" s="100"/>
      <c r="W4327" s="100"/>
      <c r="X4327" s="100"/>
      <c r="Y4327" s="100"/>
      <c r="Z4327" s="100"/>
    </row>
    <row r="4328" spans="1:26">
      <c r="A4328" s="100"/>
      <c r="B4328" s="100"/>
      <c r="C4328" s="100"/>
      <c r="D4328" s="100"/>
      <c r="E4328" s="100"/>
      <c r="F4328" s="100"/>
      <c r="G4328" s="100"/>
      <c r="H4328" s="100"/>
      <c r="I4328" s="100"/>
      <c r="J4328" s="100"/>
      <c r="K4328" s="100"/>
      <c r="L4328" s="100"/>
      <c r="M4328" s="100"/>
      <c r="N4328" s="100"/>
      <c r="O4328" s="100"/>
      <c r="P4328" s="100"/>
      <c r="Q4328" s="100"/>
      <c r="R4328" s="100"/>
      <c r="S4328" s="100"/>
      <c r="T4328" s="100"/>
      <c r="U4328" s="100"/>
      <c r="V4328" s="100"/>
      <c r="W4328" s="100"/>
      <c r="X4328" s="100"/>
      <c r="Y4328" s="100"/>
      <c r="Z4328" s="100"/>
    </row>
    <row r="4329" spans="1:26">
      <c r="A4329" s="100"/>
      <c r="B4329" s="100"/>
      <c r="C4329" s="100"/>
      <c r="D4329" s="100"/>
      <c r="E4329" s="100"/>
      <c r="F4329" s="100"/>
      <c r="G4329" s="100"/>
      <c r="H4329" s="100"/>
      <c r="I4329" s="100"/>
      <c r="J4329" s="100"/>
      <c r="K4329" s="100"/>
      <c r="L4329" s="100"/>
      <c r="M4329" s="100"/>
      <c r="N4329" s="100"/>
      <c r="O4329" s="100"/>
      <c r="P4329" s="100"/>
      <c r="Q4329" s="100"/>
      <c r="R4329" s="100"/>
      <c r="S4329" s="100"/>
      <c r="T4329" s="100"/>
      <c r="U4329" s="100"/>
      <c r="V4329" s="100"/>
      <c r="W4329" s="100"/>
      <c r="X4329" s="100"/>
      <c r="Y4329" s="100"/>
      <c r="Z4329" s="100"/>
    </row>
    <row r="4330" spans="1:26">
      <c r="A4330" s="100"/>
      <c r="B4330" s="100"/>
      <c r="C4330" s="100"/>
      <c r="D4330" s="100"/>
      <c r="E4330" s="100"/>
      <c r="F4330" s="100"/>
      <c r="G4330" s="100"/>
      <c r="H4330" s="100"/>
      <c r="I4330" s="100"/>
      <c r="J4330" s="100"/>
      <c r="K4330" s="100"/>
      <c r="L4330" s="100"/>
      <c r="M4330" s="100"/>
      <c r="N4330" s="100"/>
      <c r="O4330" s="100"/>
      <c r="P4330" s="100"/>
      <c r="Q4330" s="100"/>
      <c r="R4330" s="100"/>
      <c r="S4330" s="100"/>
      <c r="T4330" s="100"/>
      <c r="U4330" s="100"/>
      <c r="V4330" s="100"/>
      <c r="W4330" s="100"/>
      <c r="X4330" s="100"/>
      <c r="Y4330" s="100"/>
      <c r="Z4330" s="100"/>
    </row>
    <row r="4331" spans="1:26">
      <c r="A4331" s="100"/>
      <c r="B4331" s="100"/>
      <c r="C4331" s="100"/>
      <c r="D4331" s="100"/>
      <c r="E4331" s="100"/>
      <c r="F4331" s="100"/>
      <c r="G4331" s="100"/>
      <c r="H4331" s="100"/>
      <c r="I4331" s="100"/>
      <c r="J4331" s="100"/>
      <c r="K4331" s="100"/>
      <c r="L4331" s="100"/>
      <c r="M4331" s="100"/>
      <c r="N4331" s="100"/>
      <c r="O4331" s="100"/>
      <c r="P4331" s="100"/>
      <c r="Q4331" s="100"/>
      <c r="R4331" s="100"/>
      <c r="S4331" s="100"/>
      <c r="T4331" s="100"/>
      <c r="U4331" s="100"/>
      <c r="V4331" s="100"/>
      <c r="W4331" s="100"/>
      <c r="X4331" s="100"/>
      <c r="Y4331" s="100"/>
      <c r="Z4331" s="100"/>
    </row>
    <row r="4332" spans="1:26">
      <c r="A4332" s="100"/>
      <c r="B4332" s="100"/>
      <c r="C4332" s="100"/>
      <c r="D4332" s="100"/>
      <c r="E4332" s="100"/>
      <c r="F4332" s="100"/>
      <c r="G4332" s="100"/>
      <c r="H4332" s="100"/>
      <c r="I4332" s="100"/>
      <c r="J4332" s="100"/>
      <c r="K4332" s="100"/>
      <c r="L4332" s="100"/>
      <c r="M4332" s="100"/>
      <c r="N4332" s="100"/>
      <c r="O4332" s="100"/>
      <c r="P4332" s="100"/>
      <c r="Q4332" s="100"/>
      <c r="R4332" s="100"/>
      <c r="S4332" s="100"/>
      <c r="T4332" s="100"/>
      <c r="U4332" s="100"/>
      <c r="V4332" s="100"/>
      <c r="W4332" s="100"/>
      <c r="X4332" s="100"/>
      <c r="Y4332" s="100"/>
      <c r="Z4332" s="100"/>
    </row>
    <row r="4333" spans="1:26">
      <c r="A4333" s="100"/>
      <c r="B4333" s="100"/>
      <c r="C4333" s="100"/>
      <c r="D4333" s="100"/>
      <c r="E4333" s="100"/>
      <c r="F4333" s="100"/>
      <c r="G4333" s="100"/>
      <c r="H4333" s="100"/>
      <c r="I4333" s="100"/>
      <c r="J4333" s="100"/>
      <c r="K4333" s="100"/>
      <c r="L4333" s="100"/>
      <c r="M4333" s="100"/>
      <c r="N4333" s="100"/>
      <c r="O4333" s="100"/>
      <c r="P4333" s="100"/>
      <c r="Q4333" s="100"/>
      <c r="R4333" s="100"/>
      <c r="S4333" s="100"/>
      <c r="T4333" s="100"/>
      <c r="U4333" s="100"/>
      <c r="V4333" s="100"/>
      <c r="W4333" s="100"/>
      <c r="X4333" s="100"/>
      <c r="Y4333" s="100"/>
      <c r="Z4333" s="100"/>
    </row>
    <row r="4334" spans="1:26">
      <c r="A4334" s="100"/>
      <c r="B4334" s="100"/>
      <c r="C4334" s="100"/>
      <c r="D4334" s="100"/>
      <c r="E4334" s="100"/>
      <c r="F4334" s="100"/>
      <c r="G4334" s="100"/>
      <c r="H4334" s="100"/>
      <c r="I4334" s="100"/>
      <c r="J4334" s="100"/>
      <c r="K4334" s="100"/>
      <c r="L4334" s="100"/>
      <c r="M4334" s="100"/>
      <c r="N4334" s="100"/>
      <c r="O4334" s="100"/>
      <c r="P4334" s="100"/>
      <c r="Q4334" s="100"/>
      <c r="R4334" s="100"/>
      <c r="S4334" s="100"/>
      <c r="T4334" s="100"/>
      <c r="U4334" s="100"/>
      <c r="V4334" s="100"/>
      <c r="W4334" s="100"/>
      <c r="X4334" s="100"/>
      <c r="Y4334" s="100"/>
      <c r="Z4334" s="100"/>
    </row>
    <row r="4335" spans="1:26">
      <c r="A4335" s="100"/>
      <c r="B4335" s="100"/>
      <c r="C4335" s="100"/>
      <c r="D4335" s="100"/>
      <c r="E4335" s="100"/>
      <c r="F4335" s="100"/>
      <c r="G4335" s="100"/>
      <c r="H4335" s="100"/>
      <c r="I4335" s="100"/>
      <c r="J4335" s="100"/>
      <c r="K4335" s="100"/>
      <c r="L4335" s="100"/>
      <c r="M4335" s="100"/>
      <c r="N4335" s="100"/>
      <c r="O4335" s="100"/>
      <c r="P4335" s="100"/>
      <c r="Q4335" s="100"/>
      <c r="R4335" s="100"/>
      <c r="S4335" s="100"/>
      <c r="T4335" s="100"/>
      <c r="U4335" s="100"/>
      <c r="V4335" s="100"/>
      <c r="W4335" s="100"/>
      <c r="X4335" s="100"/>
      <c r="Y4335" s="100"/>
      <c r="Z4335" s="100"/>
    </row>
    <row r="4336" spans="1:26">
      <c r="A4336" s="100"/>
      <c r="B4336" s="100"/>
      <c r="C4336" s="100"/>
      <c r="D4336" s="100"/>
      <c r="E4336" s="100"/>
      <c r="F4336" s="100"/>
      <c r="G4336" s="100"/>
      <c r="H4336" s="100"/>
      <c r="I4336" s="100"/>
      <c r="J4336" s="100"/>
      <c r="K4336" s="100"/>
      <c r="L4336" s="100"/>
      <c r="M4336" s="100"/>
      <c r="N4336" s="100"/>
      <c r="O4336" s="100"/>
      <c r="P4336" s="100"/>
      <c r="Q4336" s="100"/>
      <c r="R4336" s="100"/>
      <c r="S4336" s="100"/>
      <c r="T4336" s="100"/>
      <c r="U4336" s="100"/>
      <c r="V4336" s="100"/>
      <c r="W4336" s="100"/>
      <c r="X4336" s="100"/>
      <c r="Y4336" s="100"/>
      <c r="Z4336" s="100"/>
    </row>
    <row r="4337" spans="1:26">
      <c r="A4337" s="100"/>
      <c r="B4337" s="100"/>
      <c r="C4337" s="100"/>
      <c r="D4337" s="100"/>
      <c r="E4337" s="100"/>
      <c r="F4337" s="100"/>
      <c r="G4337" s="100"/>
      <c r="H4337" s="100"/>
      <c r="I4337" s="100"/>
      <c r="J4337" s="100"/>
      <c r="K4337" s="100"/>
      <c r="L4337" s="100"/>
      <c r="M4337" s="100"/>
      <c r="N4337" s="100"/>
      <c r="O4337" s="100"/>
      <c r="P4337" s="100"/>
      <c r="Q4337" s="100"/>
      <c r="R4337" s="100"/>
      <c r="S4337" s="100"/>
      <c r="T4337" s="100"/>
      <c r="U4337" s="100"/>
      <c r="V4337" s="100"/>
      <c r="W4337" s="100"/>
      <c r="X4337" s="100"/>
      <c r="Y4337" s="100"/>
      <c r="Z4337" s="100"/>
    </row>
    <row r="4338" spans="1:26">
      <c r="A4338" s="100"/>
      <c r="B4338" s="100"/>
      <c r="C4338" s="100"/>
      <c r="D4338" s="100"/>
      <c r="E4338" s="100"/>
      <c r="F4338" s="100"/>
      <c r="G4338" s="100"/>
      <c r="H4338" s="100"/>
      <c r="I4338" s="100"/>
      <c r="J4338" s="100"/>
      <c r="K4338" s="100"/>
      <c r="L4338" s="100"/>
      <c r="M4338" s="100"/>
      <c r="N4338" s="100"/>
      <c r="O4338" s="100"/>
      <c r="P4338" s="100"/>
      <c r="Q4338" s="100"/>
      <c r="R4338" s="100"/>
      <c r="S4338" s="100"/>
      <c r="T4338" s="100"/>
      <c r="U4338" s="100"/>
      <c r="V4338" s="100"/>
      <c r="W4338" s="100"/>
      <c r="X4338" s="100"/>
      <c r="Y4338" s="100"/>
      <c r="Z4338" s="100"/>
    </row>
    <row r="4339" spans="1:26">
      <c r="A4339" s="100"/>
      <c r="B4339" s="100"/>
      <c r="C4339" s="100"/>
      <c r="D4339" s="100"/>
      <c r="E4339" s="100"/>
      <c r="F4339" s="100"/>
      <c r="G4339" s="100"/>
      <c r="H4339" s="100"/>
      <c r="I4339" s="100"/>
      <c r="J4339" s="100"/>
      <c r="K4339" s="100"/>
      <c r="L4339" s="100"/>
      <c r="M4339" s="100"/>
      <c r="N4339" s="100"/>
      <c r="O4339" s="100"/>
      <c r="P4339" s="100"/>
      <c r="Q4339" s="100"/>
      <c r="R4339" s="100"/>
      <c r="S4339" s="100"/>
      <c r="T4339" s="100"/>
      <c r="U4339" s="100"/>
      <c r="V4339" s="100"/>
      <c r="W4339" s="100"/>
      <c r="X4339" s="100"/>
      <c r="Y4339" s="100"/>
      <c r="Z4339" s="100"/>
    </row>
    <row r="4340" spans="1:26">
      <c r="A4340" s="100"/>
      <c r="B4340" s="100"/>
      <c r="C4340" s="100"/>
      <c r="D4340" s="100"/>
      <c r="E4340" s="100"/>
      <c r="F4340" s="100"/>
      <c r="G4340" s="100"/>
      <c r="H4340" s="100"/>
      <c r="I4340" s="100"/>
      <c r="J4340" s="100"/>
      <c r="K4340" s="100"/>
      <c r="L4340" s="100"/>
      <c r="M4340" s="100"/>
      <c r="N4340" s="100"/>
      <c r="O4340" s="100"/>
      <c r="P4340" s="100"/>
      <c r="Q4340" s="100"/>
      <c r="R4340" s="100"/>
      <c r="S4340" s="100"/>
      <c r="T4340" s="100"/>
      <c r="U4340" s="100"/>
      <c r="V4340" s="100"/>
      <c r="W4340" s="100"/>
      <c r="X4340" s="100"/>
      <c r="Y4340" s="100"/>
      <c r="Z4340" s="100"/>
    </row>
    <row r="4341" spans="1:26">
      <c r="A4341" s="100"/>
      <c r="B4341" s="100"/>
      <c r="C4341" s="100"/>
      <c r="D4341" s="100"/>
      <c r="E4341" s="100"/>
      <c r="F4341" s="100"/>
      <c r="G4341" s="100"/>
      <c r="H4341" s="100"/>
      <c r="I4341" s="100"/>
      <c r="J4341" s="100"/>
      <c r="K4341" s="100"/>
      <c r="L4341" s="100"/>
      <c r="M4341" s="100"/>
      <c r="N4341" s="100"/>
      <c r="O4341" s="100"/>
      <c r="P4341" s="100"/>
      <c r="Q4341" s="100"/>
      <c r="R4341" s="100"/>
      <c r="S4341" s="100"/>
      <c r="T4341" s="100"/>
      <c r="U4341" s="100"/>
      <c r="V4341" s="100"/>
      <c r="W4341" s="100"/>
      <c r="X4341" s="100"/>
      <c r="Y4341" s="100"/>
      <c r="Z4341" s="100"/>
    </row>
    <row r="4342" spans="1:26">
      <c r="A4342" s="100"/>
      <c r="B4342" s="100"/>
      <c r="C4342" s="100"/>
      <c r="D4342" s="100"/>
      <c r="E4342" s="100"/>
      <c r="F4342" s="100"/>
      <c r="G4342" s="100"/>
      <c r="H4342" s="100"/>
      <c r="I4342" s="100"/>
      <c r="J4342" s="100"/>
      <c r="K4342" s="100"/>
      <c r="L4342" s="100"/>
      <c r="M4342" s="100"/>
      <c r="N4342" s="100"/>
      <c r="O4342" s="100"/>
      <c r="P4342" s="100"/>
      <c r="Q4342" s="100"/>
      <c r="R4342" s="100"/>
      <c r="S4342" s="100"/>
      <c r="T4342" s="100"/>
      <c r="U4342" s="100"/>
      <c r="V4342" s="100"/>
      <c r="W4342" s="100"/>
      <c r="X4342" s="100"/>
      <c r="Y4342" s="100"/>
      <c r="Z4342" s="100"/>
    </row>
    <row r="4343" spans="1:26">
      <c r="A4343" s="100"/>
      <c r="B4343" s="100"/>
      <c r="C4343" s="100"/>
      <c r="D4343" s="100"/>
      <c r="E4343" s="100"/>
      <c r="F4343" s="100"/>
      <c r="G4343" s="100"/>
      <c r="H4343" s="100"/>
      <c r="I4343" s="100"/>
      <c r="J4343" s="100"/>
      <c r="K4343" s="100"/>
      <c r="L4343" s="100"/>
      <c r="M4343" s="100"/>
      <c r="N4343" s="100"/>
      <c r="O4343" s="100"/>
      <c r="P4343" s="100"/>
      <c r="Q4343" s="100"/>
      <c r="R4343" s="100"/>
      <c r="S4343" s="100"/>
      <c r="T4343" s="100"/>
      <c r="U4343" s="100"/>
      <c r="V4343" s="100"/>
      <c r="W4343" s="100"/>
      <c r="X4343" s="100"/>
      <c r="Y4343" s="100"/>
      <c r="Z4343" s="100"/>
    </row>
    <row r="4344" spans="1:26">
      <c r="A4344" s="100"/>
      <c r="B4344" s="100"/>
      <c r="C4344" s="100"/>
      <c r="D4344" s="100"/>
      <c r="E4344" s="100"/>
      <c r="F4344" s="100"/>
      <c r="G4344" s="100"/>
      <c r="H4344" s="100"/>
      <c r="I4344" s="100"/>
      <c r="J4344" s="100"/>
      <c r="K4344" s="100"/>
      <c r="L4344" s="100"/>
      <c r="M4344" s="100"/>
      <c r="N4344" s="100"/>
      <c r="O4344" s="100"/>
      <c r="P4344" s="100"/>
      <c r="Q4344" s="100"/>
      <c r="R4344" s="100"/>
      <c r="S4344" s="100"/>
      <c r="T4344" s="100"/>
      <c r="U4344" s="100"/>
      <c r="V4344" s="100"/>
      <c r="W4344" s="100"/>
      <c r="X4344" s="100"/>
      <c r="Y4344" s="100"/>
      <c r="Z4344" s="100"/>
    </row>
    <row r="4345" spans="1:26">
      <c r="A4345" s="100"/>
      <c r="B4345" s="100"/>
      <c r="C4345" s="100"/>
      <c r="D4345" s="100"/>
      <c r="E4345" s="100"/>
      <c r="F4345" s="100"/>
      <c r="G4345" s="100"/>
      <c r="H4345" s="100"/>
      <c r="I4345" s="100"/>
      <c r="J4345" s="100"/>
      <c r="K4345" s="100"/>
      <c r="L4345" s="100"/>
      <c r="M4345" s="100"/>
      <c r="N4345" s="100"/>
      <c r="O4345" s="100"/>
      <c r="P4345" s="100"/>
      <c r="Q4345" s="100"/>
      <c r="R4345" s="100"/>
      <c r="S4345" s="100"/>
      <c r="T4345" s="100"/>
      <c r="U4345" s="100"/>
      <c r="V4345" s="100"/>
      <c r="W4345" s="100"/>
      <c r="X4345" s="100"/>
      <c r="Y4345" s="100"/>
      <c r="Z4345" s="100"/>
    </row>
    <row r="4346" spans="1:26">
      <c r="A4346" s="100"/>
      <c r="B4346" s="100"/>
      <c r="C4346" s="100"/>
      <c r="D4346" s="100"/>
      <c r="E4346" s="100"/>
      <c r="F4346" s="100"/>
      <c r="G4346" s="100"/>
      <c r="H4346" s="100"/>
      <c r="I4346" s="100"/>
      <c r="J4346" s="100"/>
      <c r="K4346" s="100"/>
      <c r="L4346" s="100"/>
      <c r="M4346" s="100"/>
      <c r="N4346" s="100"/>
      <c r="O4346" s="100"/>
      <c r="P4346" s="100"/>
      <c r="Q4346" s="100"/>
      <c r="R4346" s="100"/>
      <c r="S4346" s="100"/>
      <c r="T4346" s="100"/>
      <c r="U4346" s="100"/>
      <c r="V4346" s="100"/>
      <c r="W4346" s="100"/>
      <c r="X4346" s="100"/>
      <c r="Y4346" s="100"/>
      <c r="Z4346" s="100"/>
    </row>
    <row r="4347" spans="1:26">
      <c r="A4347" s="100"/>
      <c r="B4347" s="100"/>
      <c r="C4347" s="100"/>
      <c r="D4347" s="100"/>
      <c r="E4347" s="100"/>
      <c r="F4347" s="100"/>
      <c r="G4347" s="100"/>
      <c r="H4347" s="100"/>
      <c r="I4347" s="100"/>
      <c r="J4347" s="100"/>
      <c r="K4347" s="100"/>
      <c r="L4347" s="100"/>
      <c r="M4347" s="100"/>
      <c r="N4347" s="100"/>
      <c r="O4347" s="100"/>
      <c r="P4347" s="100"/>
      <c r="Q4347" s="100"/>
      <c r="R4347" s="100"/>
      <c r="S4347" s="100"/>
      <c r="T4347" s="100"/>
      <c r="U4347" s="100"/>
      <c r="V4347" s="100"/>
      <c r="W4347" s="100"/>
      <c r="X4347" s="100"/>
      <c r="Y4347" s="100"/>
      <c r="Z4347" s="100"/>
    </row>
    <row r="4348" spans="1:26">
      <c r="A4348" s="100"/>
      <c r="B4348" s="100"/>
      <c r="C4348" s="100"/>
      <c r="D4348" s="100"/>
      <c r="E4348" s="100"/>
      <c r="F4348" s="100"/>
      <c r="G4348" s="100"/>
      <c r="H4348" s="100"/>
      <c r="I4348" s="100"/>
      <c r="J4348" s="100"/>
      <c r="K4348" s="100"/>
      <c r="L4348" s="100"/>
      <c r="M4348" s="100"/>
      <c r="N4348" s="100"/>
      <c r="O4348" s="100"/>
      <c r="P4348" s="100"/>
      <c r="Q4348" s="100"/>
      <c r="R4348" s="100"/>
      <c r="S4348" s="100"/>
      <c r="T4348" s="100"/>
      <c r="U4348" s="100"/>
      <c r="V4348" s="100"/>
      <c r="W4348" s="100"/>
      <c r="X4348" s="100"/>
      <c r="Y4348" s="100"/>
      <c r="Z4348" s="100"/>
    </row>
    <row r="4349" spans="1:26">
      <c r="A4349" s="100"/>
      <c r="B4349" s="100"/>
      <c r="C4349" s="100"/>
      <c r="D4349" s="100"/>
      <c r="E4349" s="100"/>
      <c r="F4349" s="100"/>
      <c r="G4349" s="100"/>
      <c r="H4349" s="100"/>
      <c r="I4349" s="100"/>
      <c r="J4349" s="100"/>
      <c r="K4349" s="100"/>
      <c r="L4349" s="100"/>
      <c r="M4349" s="100"/>
      <c r="N4349" s="100"/>
      <c r="O4349" s="100"/>
      <c r="P4349" s="100"/>
      <c r="Q4349" s="100"/>
      <c r="R4349" s="100"/>
      <c r="S4349" s="100"/>
      <c r="T4349" s="100"/>
      <c r="U4349" s="100"/>
      <c r="V4349" s="100"/>
      <c r="W4349" s="100"/>
      <c r="X4349" s="100"/>
      <c r="Y4349" s="100"/>
      <c r="Z4349" s="100"/>
    </row>
    <row r="4350" spans="1:26">
      <c r="A4350" s="100"/>
      <c r="B4350" s="100"/>
      <c r="C4350" s="100"/>
      <c r="D4350" s="100"/>
      <c r="E4350" s="100"/>
      <c r="F4350" s="100"/>
      <c r="G4350" s="100"/>
      <c r="H4350" s="100"/>
      <c r="I4350" s="100"/>
      <c r="J4350" s="100"/>
      <c r="K4350" s="100"/>
      <c r="L4350" s="100"/>
      <c r="M4350" s="100"/>
      <c r="N4350" s="100"/>
      <c r="O4350" s="100"/>
      <c r="P4350" s="100"/>
      <c r="Q4350" s="100"/>
      <c r="R4350" s="100"/>
      <c r="S4350" s="100"/>
      <c r="T4350" s="100"/>
      <c r="U4350" s="100"/>
      <c r="V4350" s="100"/>
      <c r="W4350" s="100"/>
      <c r="X4350" s="100"/>
      <c r="Y4350" s="100"/>
      <c r="Z4350" s="100"/>
    </row>
    <row r="4351" spans="1:26">
      <c r="A4351" s="100"/>
      <c r="B4351" s="100"/>
      <c r="C4351" s="100"/>
      <c r="D4351" s="100"/>
      <c r="E4351" s="100"/>
      <c r="F4351" s="100"/>
      <c r="G4351" s="100"/>
      <c r="H4351" s="100"/>
      <c r="I4351" s="100"/>
      <c r="J4351" s="100"/>
      <c r="K4351" s="100"/>
      <c r="L4351" s="100"/>
      <c r="M4351" s="100"/>
      <c r="N4351" s="100"/>
      <c r="O4351" s="100"/>
      <c r="P4351" s="100"/>
      <c r="Q4351" s="100"/>
      <c r="R4351" s="100"/>
      <c r="S4351" s="100"/>
      <c r="T4351" s="100"/>
      <c r="U4351" s="100"/>
      <c r="V4351" s="100"/>
      <c r="W4351" s="100"/>
      <c r="X4351" s="100"/>
      <c r="Y4351" s="100"/>
      <c r="Z4351" s="100"/>
    </row>
    <row r="4352" spans="1:26">
      <c r="A4352" s="100"/>
      <c r="B4352" s="100"/>
      <c r="C4352" s="100"/>
      <c r="D4352" s="100"/>
      <c r="E4352" s="100"/>
      <c r="F4352" s="100"/>
      <c r="G4352" s="100"/>
      <c r="H4352" s="100"/>
      <c r="I4352" s="100"/>
      <c r="J4352" s="100"/>
      <c r="K4352" s="100"/>
      <c r="L4352" s="100"/>
      <c r="M4352" s="100"/>
      <c r="N4352" s="100"/>
      <c r="O4352" s="100"/>
      <c r="P4352" s="100"/>
      <c r="Q4352" s="100"/>
      <c r="R4352" s="100"/>
      <c r="S4352" s="100"/>
      <c r="T4352" s="100"/>
      <c r="U4352" s="100"/>
      <c r="V4352" s="100"/>
      <c r="W4352" s="100"/>
      <c r="X4352" s="100"/>
      <c r="Y4352" s="100"/>
      <c r="Z4352" s="100"/>
    </row>
    <row r="4353" spans="1:26">
      <c r="A4353" s="100"/>
      <c r="B4353" s="100"/>
      <c r="C4353" s="100"/>
      <c r="D4353" s="100"/>
      <c r="E4353" s="100"/>
      <c r="F4353" s="100"/>
      <c r="G4353" s="100"/>
      <c r="H4353" s="100"/>
      <c r="I4353" s="100"/>
      <c r="J4353" s="100"/>
      <c r="K4353" s="100"/>
      <c r="L4353" s="100"/>
      <c r="M4353" s="100"/>
      <c r="N4353" s="100"/>
      <c r="O4353" s="100"/>
      <c r="P4353" s="100"/>
      <c r="Q4353" s="100"/>
      <c r="R4353" s="100"/>
      <c r="S4353" s="100"/>
      <c r="T4353" s="100"/>
      <c r="U4353" s="100"/>
      <c r="V4353" s="100"/>
      <c r="W4353" s="100"/>
      <c r="X4353" s="100"/>
      <c r="Y4353" s="100"/>
      <c r="Z4353" s="100"/>
    </row>
    <row r="4354" spans="1:26">
      <c r="A4354" s="100"/>
      <c r="B4354" s="100"/>
      <c r="C4354" s="100"/>
      <c r="D4354" s="100"/>
      <c r="E4354" s="100"/>
      <c r="F4354" s="100"/>
      <c r="G4354" s="100"/>
      <c r="H4354" s="100"/>
      <c r="I4354" s="100"/>
      <c r="J4354" s="100"/>
      <c r="K4354" s="100"/>
      <c r="L4354" s="100"/>
      <c r="M4354" s="100"/>
      <c r="N4354" s="100"/>
      <c r="O4354" s="100"/>
      <c r="P4354" s="100"/>
      <c r="Q4354" s="100"/>
      <c r="R4354" s="100"/>
      <c r="S4354" s="100"/>
      <c r="T4354" s="100"/>
      <c r="U4354" s="100"/>
      <c r="V4354" s="100"/>
      <c r="W4354" s="100"/>
      <c r="X4354" s="100"/>
      <c r="Y4354" s="100"/>
      <c r="Z4354" s="100"/>
    </row>
    <row r="4355" spans="1:26">
      <c r="A4355" s="100"/>
      <c r="B4355" s="100"/>
      <c r="C4355" s="100"/>
      <c r="D4355" s="100"/>
      <c r="E4355" s="100"/>
      <c r="F4355" s="100"/>
      <c r="G4355" s="100"/>
      <c r="H4355" s="100"/>
      <c r="I4355" s="100"/>
      <c r="J4355" s="100"/>
      <c r="K4355" s="100"/>
      <c r="L4355" s="100"/>
      <c r="M4355" s="100"/>
      <c r="N4355" s="100"/>
      <c r="O4355" s="100"/>
      <c r="P4355" s="100"/>
      <c r="Q4355" s="100"/>
      <c r="R4355" s="100"/>
      <c r="S4355" s="100"/>
      <c r="T4355" s="100"/>
      <c r="U4355" s="100"/>
      <c r="V4355" s="100"/>
      <c r="W4355" s="100"/>
      <c r="X4355" s="100"/>
      <c r="Y4355" s="100"/>
      <c r="Z4355" s="100"/>
    </row>
    <row r="4356" spans="1:26">
      <c r="A4356" s="100"/>
      <c r="B4356" s="100"/>
      <c r="C4356" s="100"/>
      <c r="D4356" s="100"/>
      <c r="E4356" s="100"/>
      <c r="F4356" s="100"/>
      <c r="G4356" s="100"/>
      <c r="H4356" s="100"/>
      <c r="I4356" s="100"/>
      <c r="J4356" s="100"/>
      <c r="K4356" s="100"/>
      <c r="L4356" s="100"/>
      <c r="M4356" s="100"/>
      <c r="N4356" s="100"/>
      <c r="O4356" s="100"/>
      <c r="P4356" s="100"/>
      <c r="Q4356" s="100"/>
      <c r="R4356" s="100"/>
      <c r="S4356" s="100"/>
      <c r="T4356" s="100"/>
      <c r="U4356" s="100"/>
      <c r="V4356" s="100"/>
      <c r="W4356" s="100"/>
      <c r="X4356" s="100"/>
      <c r="Y4356" s="100"/>
      <c r="Z4356" s="100"/>
    </row>
    <row r="4357" spans="1:26">
      <c r="A4357" s="100"/>
      <c r="B4357" s="100"/>
      <c r="C4357" s="100"/>
      <c r="D4357" s="100"/>
      <c r="E4357" s="100"/>
      <c r="F4357" s="100"/>
      <c r="G4357" s="100"/>
      <c r="H4357" s="100"/>
      <c r="I4357" s="100"/>
      <c r="J4357" s="100"/>
      <c r="K4357" s="100"/>
      <c r="L4357" s="100"/>
      <c r="M4357" s="100"/>
      <c r="N4357" s="100"/>
      <c r="O4357" s="100"/>
      <c r="P4357" s="100"/>
      <c r="Q4357" s="100"/>
      <c r="R4357" s="100"/>
      <c r="S4357" s="100"/>
      <c r="T4357" s="100"/>
      <c r="U4357" s="100"/>
      <c r="V4357" s="100"/>
      <c r="W4357" s="100"/>
      <c r="X4357" s="100"/>
      <c r="Y4357" s="100"/>
      <c r="Z4357" s="100"/>
    </row>
    <row r="4358" spans="1:26">
      <c r="A4358" s="100"/>
      <c r="B4358" s="100"/>
      <c r="C4358" s="100"/>
      <c r="D4358" s="100"/>
      <c r="E4358" s="100"/>
      <c r="F4358" s="100"/>
      <c r="G4358" s="100"/>
      <c r="H4358" s="100"/>
      <c r="I4358" s="100"/>
      <c r="J4358" s="100"/>
      <c r="K4358" s="100"/>
      <c r="L4358" s="100"/>
      <c r="M4358" s="100"/>
      <c r="N4358" s="100"/>
      <c r="O4358" s="100"/>
      <c r="P4358" s="100"/>
      <c r="Q4358" s="100"/>
      <c r="R4358" s="100"/>
      <c r="S4358" s="100"/>
      <c r="T4358" s="100"/>
      <c r="U4358" s="100"/>
      <c r="V4358" s="100"/>
      <c r="W4358" s="100"/>
      <c r="X4358" s="100"/>
      <c r="Y4358" s="100"/>
      <c r="Z4358" s="100"/>
    </row>
    <row r="4359" spans="1:26">
      <c r="A4359" s="100"/>
      <c r="B4359" s="100"/>
      <c r="C4359" s="100"/>
      <c r="D4359" s="100"/>
      <c r="E4359" s="100"/>
      <c r="F4359" s="100"/>
      <c r="G4359" s="100"/>
      <c r="H4359" s="100"/>
      <c r="I4359" s="100"/>
      <c r="J4359" s="100"/>
      <c r="K4359" s="100"/>
      <c r="L4359" s="100"/>
      <c r="M4359" s="100"/>
      <c r="N4359" s="100"/>
      <c r="O4359" s="100"/>
      <c r="P4359" s="100"/>
      <c r="Q4359" s="100"/>
      <c r="R4359" s="100"/>
      <c r="S4359" s="100"/>
      <c r="T4359" s="100"/>
      <c r="U4359" s="100"/>
      <c r="V4359" s="100"/>
      <c r="W4359" s="100"/>
      <c r="X4359" s="100"/>
      <c r="Y4359" s="100"/>
      <c r="Z4359" s="100"/>
    </row>
    <row r="4360" spans="1:26">
      <c r="A4360" s="100"/>
      <c r="B4360" s="100"/>
      <c r="C4360" s="100"/>
      <c r="D4360" s="100"/>
      <c r="E4360" s="100"/>
      <c r="F4360" s="100"/>
      <c r="G4360" s="100"/>
      <c r="H4360" s="100"/>
      <c r="I4360" s="100"/>
      <c r="J4360" s="100"/>
      <c r="K4360" s="100"/>
      <c r="L4360" s="100"/>
      <c r="M4360" s="100"/>
      <c r="N4360" s="100"/>
      <c r="O4360" s="100"/>
      <c r="P4360" s="100"/>
      <c r="Q4360" s="100"/>
      <c r="R4360" s="100"/>
      <c r="S4360" s="100"/>
      <c r="T4360" s="100"/>
      <c r="U4360" s="100"/>
      <c r="V4360" s="100"/>
      <c r="W4360" s="100"/>
      <c r="X4360" s="100"/>
      <c r="Y4360" s="100"/>
      <c r="Z4360" s="100"/>
    </row>
    <row r="4361" spans="1:26">
      <c r="A4361" s="100"/>
      <c r="B4361" s="100"/>
      <c r="C4361" s="100"/>
      <c r="D4361" s="100"/>
      <c r="E4361" s="100"/>
      <c r="F4361" s="100"/>
      <c r="G4361" s="100"/>
      <c r="H4361" s="100"/>
      <c r="I4361" s="100"/>
      <c r="J4361" s="100"/>
      <c r="K4361" s="100"/>
      <c r="L4361" s="100"/>
      <c r="M4361" s="100"/>
      <c r="N4361" s="100"/>
      <c r="O4361" s="100"/>
      <c r="P4361" s="100"/>
      <c r="Q4361" s="100"/>
      <c r="R4361" s="100"/>
      <c r="S4361" s="100"/>
      <c r="T4361" s="100"/>
      <c r="U4361" s="100"/>
      <c r="V4361" s="100"/>
      <c r="W4361" s="100"/>
      <c r="X4361" s="100"/>
      <c r="Y4361" s="100"/>
      <c r="Z4361" s="100"/>
    </row>
    <row r="4362" spans="1:26">
      <c r="A4362" s="100"/>
      <c r="B4362" s="100"/>
      <c r="C4362" s="100"/>
      <c r="D4362" s="100"/>
      <c r="E4362" s="100"/>
      <c r="F4362" s="100"/>
      <c r="G4362" s="100"/>
      <c r="H4362" s="100"/>
      <c r="I4362" s="100"/>
      <c r="J4362" s="100"/>
      <c r="K4362" s="100"/>
      <c r="L4362" s="100"/>
      <c r="M4362" s="100"/>
      <c r="N4362" s="100"/>
      <c r="O4362" s="100"/>
      <c r="P4362" s="100"/>
      <c r="Q4362" s="100"/>
      <c r="R4362" s="100"/>
      <c r="S4362" s="100"/>
      <c r="T4362" s="100"/>
      <c r="U4362" s="100"/>
      <c r="V4362" s="100"/>
      <c r="W4362" s="100"/>
      <c r="X4362" s="100"/>
      <c r="Y4362" s="100"/>
      <c r="Z4362" s="100"/>
    </row>
    <row r="4363" spans="1:26">
      <c r="A4363" s="100"/>
      <c r="B4363" s="100"/>
      <c r="C4363" s="100"/>
      <c r="D4363" s="100"/>
      <c r="E4363" s="100"/>
      <c r="F4363" s="100"/>
      <c r="G4363" s="100"/>
      <c r="H4363" s="100"/>
      <c r="I4363" s="100"/>
      <c r="J4363" s="100"/>
      <c r="K4363" s="100"/>
      <c r="L4363" s="100"/>
      <c r="M4363" s="100"/>
      <c r="N4363" s="100"/>
      <c r="O4363" s="100"/>
      <c r="P4363" s="100"/>
      <c r="Q4363" s="100"/>
      <c r="R4363" s="100"/>
      <c r="S4363" s="100"/>
      <c r="T4363" s="100"/>
      <c r="U4363" s="100"/>
      <c r="V4363" s="100"/>
      <c r="W4363" s="100"/>
      <c r="X4363" s="100"/>
      <c r="Y4363" s="100"/>
      <c r="Z4363" s="100"/>
    </row>
    <row r="4364" spans="1:26">
      <c r="A4364" s="100"/>
      <c r="B4364" s="100"/>
      <c r="C4364" s="100"/>
      <c r="D4364" s="100"/>
      <c r="E4364" s="100"/>
      <c r="F4364" s="100"/>
      <c r="G4364" s="100"/>
      <c r="H4364" s="100"/>
      <c r="I4364" s="100"/>
      <c r="J4364" s="100"/>
      <c r="K4364" s="100"/>
      <c r="L4364" s="100"/>
      <c r="M4364" s="100"/>
      <c r="N4364" s="100"/>
      <c r="O4364" s="100"/>
      <c r="P4364" s="100"/>
      <c r="Q4364" s="100"/>
      <c r="R4364" s="100"/>
      <c r="S4364" s="100"/>
      <c r="T4364" s="100"/>
      <c r="U4364" s="100"/>
      <c r="V4364" s="100"/>
      <c r="W4364" s="100"/>
      <c r="X4364" s="100"/>
      <c r="Y4364" s="100"/>
      <c r="Z4364" s="100"/>
    </row>
    <row r="4365" spans="1:26">
      <c r="A4365" s="100"/>
      <c r="B4365" s="100"/>
      <c r="C4365" s="100"/>
      <c r="D4365" s="100"/>
      <c r="E4365" s="100"/>
      <c r="F4365" s="100"/>
      <c r="G4365" s="100"/>
      <c r="H4365" s="100"/>
      <c r="I4365" s="100"/>
      <c r="J4365" s="100"/>
      <c r="K4365" s="100"/>
      <c r="L4365" s="100"/>
      <c r="M4365" s="100"/>
      <c r="N4365" s="100"/>
      <c r="O4365" s="100"/>
      <c r="P4365" s="100"/>
      <c r="Q4365" s="100"/>
      <c r="R4365" s="100"/>
      <c r="S4365" s="100"/>
      <c r="T4365" s="100"/>
      <c r="U4365" s="100"/>
      <c r="V4365" s="100"/>
      <c r="W4365" s="100"/>
      <c r="X4365" s="100"/>
      <c r="Y4365" s="100"/>
      <c r="Z4365" s="100"/>
    </row>
    <row r="4366" spans="1:26">
      <c r="A4366" s="100"/>
      <c r="B4366" s="100"/>
      <c r="C4366" s="100"/>
      <c r="D4366" s="100"/>
      <c r="E4366" s="100"/>
      <c r="F4366" s="100"/>
      <c r="G4366" s="100"/>
      <c r="H4366" s="100"/>
      <c r="I4366" s="100"/>
      <c r="J4366" s="100"/>
      <c r="K4366" s="100"/>
      <c r="L4366" s="100"/>
      <c r="M4366" s="100"/>
      <c r="N4366" s="100"/>
      <c r="O4366" s="100"/>
      <c r="P4366" s="100"/>
      <c r="Q4366" s="100"/>
      <c r="R4366" s="100"/>
      <c r="S4366" s="100"/>
      <c r="T4366" s="100"/>
      <c r="U4366" s="100"/>
      <c r="V4366" s="100"/>
      <c r="W4366" s="100"/>
      <c r="X4366" s="100"/>
      <c r="Y4366" s="100"/>
      <c r="Z4366" s="100"/>
    </row>
    <row r="4367" spans="1:26">
      <c r="A4367" s="100"/>
      <c r="B4367" s="100"/>
      <c r="C4367" s="100"/>
      <c r="D4367" s="100"/>
      <c r="E4367" s="100"/>
      <c r="F4367" s="100"/>
      <c r="G4367" s="100"/>
      <c r="H4367" s="100"/>
      <c r="I4367" s="100"/>
      <c r="J4367" s="100"/>
      <c r="K4367" s="100"/>
      <c r="L4367" s="100"/>
      <c r="M4367" s="100"/>
      <c r="N4367" s="100"/>
      <c r="O4367" s="100"/>
      <c r="P4367" s="100"/>
      <c r="Q4367" s="100"/>
      <c r="R4367" s="100"/>
      <c r="S4367" s="100"/>
      <c r="T4367" s="100"/>
      <c r="U4367" s="100"/>
      <c r="V4367" s="100"/>
      <c r="W4367" s="100"/>
      <c r="X4367" s="100"/>
      <c r="Y4367" s="100"/>
      <c r="Z4367" s="100"/>
    </row>
    <row r="4368" spans="1:26">
      <c r="A4368" s="100"/>
      <c r="B4368" s="100"/>
      <c r="C4368" s="100"/>
      <c r="D4368" s="100"/>
      <c r="E4368" s="100"/>
      <c r="F4368" s="100"/>
      <c r="G4368" s="100"/>
      <c r="H4368" s="100"/>
      <c r="I4368" s="100"/>
      <c r="J4368" s="100"/>
      <c r="K4368" s="100"/>
      <c r="L4368" s="100"/>
      <c r="M4368" s="100"/>
      <c r="N4368" s="100"/>
      <c r="O4368" s="100"/>
      <c r="P4368" s="100"/>
      <c r="Q4368" s="100"/>
      <c r="R4368" s="100"/>
      <c r="S4368" s="100"/>
      <c r="T4368" s="100"/>
      <c r="U4368" s="100"/>
      <c r="V4368" s="100"/>
      <c r="W4368" s="100"/>
      <c r="X4368" s="100"/>
      <c r="Y4368" s="100"/>
      <c r="Z4368" s="100"/>
    </row>
    <row r="4369" spans="1:26">
      <c r="A4369" s="100"/>
      <c r="B4369" s="100"/>
      <c r="C4369" s="100"/>
      <c r="D4369" s="100"/>
      <c r="E4369" s="100"/>
      <c r="F4369" s="100"/>
      <c r="G4369" s="100"/>
      <c r="H4369" s="100"/>
      <c r="I4369" s="100"/>
      <c r="J4369" s="100"/>
      <c r="K4369" s="100"/>
      <c r="L4369" s="100"/>
      <c r="M4369" s="100"/>
      <c r="N4369" s="100"/>
      <c r="O4369" s="100"/>
      <c r="P4369" s="100"/>
      <c r="Q4369" s="100"/>
      <c r="R4369" s="100"/>
      <c r="S4369" s="100"/>
      <c r="T4369" s="100"/>
      <c r="U4369" s="100"/>
      <c r="V4369" s="100"/>
      <c r="W4369" s="100"/>
      <c r="X4369" s="100"/>
      <c r="Y4369" s="100"/>
      <c r="Z4369" s="100"/>
    </row>
    <row r="4370" spans="1:26">
      <c r="A4370" s="100"/>
      <c r="B4370" s="100"/>
      <c r="C4370" s="100"/>
      <c r="D4370" s="100"/>
      <c r="E4370" s="100"/>
      <c r="F4370" s="100"/>
      <c r="G4370" s="100"/>
      <c r="H4370" s="100"/>
      <c r="I4370" s="100"/>
      <c r="J4370" s="100"/>
      <c r="K4370" s="100"/>
      <c r="L4370" s="100"/>
      <c r="M4370" s="100"/>
      <c r="N4370" s="100"/>
      <c r="O4370" s="100"/>
      <c r="P4370" s="100"/>
      <c r="Q4370" s="100"/>
      <c r="R4370" s="100"/>
      <c r="S4370" s="100"/>
      <c r="T4370" s="100"/>
      <c r="U4370" s="100"/>
      <c r="V4370" s="100"/>
      <c r="W4370" s="100"/>
      <c r="X4370" s="100"/>
      <c r="Y4370" s="100"/>
      <c r="Z4370" s="100"/>
    </row>
    <row r="4371" spans="1:26">
      <c r="A4371" s="100"/>
      <c r="B4371" s="100"/>
      <c r="C4371" s="100"/>
      <c r="D4371" s="100"/>
      <c r="E4371" s="100"/>
      <c r="F4371" s="100"/>
      <c r="G4371" s="100"/>
      <c r="H4371" s="100"/>
      <c r="I4371" s="100"/>
      <c r="J4371" s="100"/>
      <c r="K4371" s="100"/>
      <c r="L4371" s="100"/>
      <c r="M4371" s="100"/>
      <c r="N4371" s="100"/>
      <c r="O4371" s="100"/>
      <c r="P4371" s="100"/>
      <c r="Q4371" s="100"/>
      <c r="R4371" s="100"/>
      <c r="S4371" s="100"/>
      <c r="T4371" s="100"/>
      <c r="U4371" s="100"/>
      <c r="V4371" s="100"/>
      <c r="W4371" s="100"/>
      <c r="X4371" s="100"/>
      <c r="Y4371" s="100"/>
      <c r="Z4371" s="100"/>
    </row>
    <row r="4372" spans="1:26">
      <c r="A4372" s="100"/>
      <c r="B4372" s="100"/>
      <c r="C4372" s="100"/>
      <c r="D4372" s="100"/>
      <c r="E4372" s="100"/>
      <c r="F4372" s="100"/>
      <c r="G4372" s="100"/>
      <c r="H4372" s="100"/>
      <c r="I4372" s="100"/>
      <c r="J4372" s="100"/>
      <c r="K4372" s="100"/>
      <c r="L4372" s="100"/>
      <c r="M4372" s="100"/>
      <c r="N4372" s="100"/>
      <c r="O4372" s="100"/>
      <c r="P4372" s="100"/>
      <c r="Q4372" s="100"/>
      <c r="R4372" s="100"/>
      <c r="S4372" s="100"/>
      <c r="T4372" s="100"/>
      <c r="U4372" s="100"/>
      <c r="V4372" s="100"/>
      <c r="W4372" s="100"/>
      <c r="X4372" s="100"/>
      <c r="Y4372" s="100"/>
      <c r="Z4372" s="100"/>
    </row>
    <row r="4373" spans="1:26">
      <c r="A4373" s="100"/>
      <c r="B4373" s="100"/>
      <c r="C4373" s="100"/>
      <c r="D4373" s="100"/>
      <c r="E4373" s="100"/>
      <c r="F4373" s="100"/>
      <c r="G4373" s="100"/>
      <c r="H4373" s="100"/>
      <c r="I4373" s="100"/>
      <c r="J4373" s="100"/>
      <c r="K4373" s="100"/>
      <c r="L4373" s="100"/>
      <c r="M4373" s="100"/>
      <c r="N4373" s="100"/>
      <c r="O4373" s="100"/>
      <c r="P4373" s="100"/>
      <c r="Q4373" s="100"/>
      <c r="R4373" s="100"/>
      <c r="S4373" s="100"/>
      <c r="T4373" s="100"/>
      <c r="U4373" s="100"/>
      <c r="V4373" s="100"/>
      <c r="W4373" s="100"/>
      <c r="X4373" s="100"/>
      <c r="Y4373" s="100"/>
      <c r="Z4373" s="100"/>
    </row>
    <row r="4374" spans="1:26">
      <c r="A4374" s="100"/>
      <c r="B4374" s="100"/>
      <c r="C4374" s="100"/>
      <c r="D4374" s="100"/>
      <c r="E4374" s="100"/>
      <c r="F4374" s="100"/>
      <c r="G4374" s="100"/>
      <c r="H4374" s="100"/>
      <c r="I4374" s="100"/>
      <c r="J4374" s="100"/>
      <c r="K4374" s="100"/>
      <c r="L4374" s="100"/>
      <c r="M4374" s="100"/>
      <c r="N4374" s="100"/>
      <c r="O4374" s="100"/>
      <c r="P4374" s="100"/>
      <c r="Q4374" s="100"/>
      <c r="R4374" s="100"/>
      <c r="S4374" s="100"/>
      <c r="T4374" s="100"/>
      <c r="U4374" s="100"/>
      <c r="V4374" s="100"/>
      <c r="W4374" s="100"/>
      <c r="X4374" s="100"/>
      <c r="Y4374" s="100"/>
      <c r="Z4374" s="100"/>
    </row>
    <row r="4375" spans="1:26">
      <c r="A4375" s="100"/>
      <c r="B4375" s="100"/>
      <c r="C4375" s="100"/>
      <c r="D4375" s="100"/>
      <c r="E4375" s="100"/>
      <c r="F4375" s="100"/>
      <c r="G4375" s="100"/>
      <c r="H4375" s="100"/>
      <c r="I4375" s="100"/>
      <c r="J4375" s="100"/>
      <c r="K4375" s="100"/>
      <c r="L4375" s="100"/>
      <c r="M4375" s="100"/>
      <c r="N4375" s="100"/>
      <c r="O4375" s="100"/>
      <c r="P4375" s="100"/>
      <c r="Q4375" s="100"/>
      <c r="R4375" s="100"/>
      <c r="S4375" s="100"/>
      <c r="T4375" s="100"/>
      <c r="U4375" s="100"/>
      <c r="V4375" s="100"/>
      <c r="W4375" s="100"/>
      <c r="X4375" s="100"/>
      <c r="Y4375" s="100"/>
      <c r="Z4375" s="100"/>
    </row>
    <row r="4376" spans="1:26">
      <c r="A4376" s="100"/>
      <c r="B4376" s="100"/>
      <c r="C4376" s="100"/>
      <c r="D4376" s="100"/>
      <c r="E4376" s="100"/>
      <c r="F4376" s="100"/>
      <c r="G4376" s="100"/>
      <c r="H4376" s="100"/>
      <c r="I4376" s="100"/>
      <c r="J4376" s="100"/>
      <c r="K4376" s="100"/>
      <c r="L4376" s="100"/>
      <c r="M4376" s="100"/>
      <c r="N4376" s="100"/>
      <c r="O4376" s="100"/>
      <c r="P4376" s="100"/>
      <c r="Q4376" s="100"/>
      <c r="R4376" s="100"/>
      <c r="S4376" s="100"/>
      <c r="T4376" s="100"/>
      <c r="U4376" s="100"/>
      <c r="V4376" s="100"/>
      <c r="W4376" s="100"/>
      <c r="X4376" s="100"/>
      <c r="Y4376" s="100"/>
      <c r="Z4376" s="100"/>
    </row>
    <row r="4377" spans="1:26">
      <c r="A4377" s="100"/>
      <c r="B4377" s="100"/>
      <c r="C4377" s="100"/>
      <c r="D4377" s="100"/>
      <c r="E4377" s="100"/>
      <c r="F4377" s="100"/>
      <c r="G4377" s="100"/>
      <c r="H4377" s="100"/>
      <c r="I4377" s="100"/>
      <c r="J4377" s="100"/>
      <c r="K4377" s="100"/>
      <c r="L4377" s="100"/>
      <c r="M4377" s="100"/>
      <c r="N4377" s="100"/>
      <c r="O4377" s="100"/>
      <c r="P4377" s="100"/>
      <c r="Q4377" s="100"/>
      <c r="R4377" s="100"/>
      <c r="S4377" s="100"/>
      <c r="T4377" s="100"/>
      <c r="U4377" s="100"/>
      <c r="V4377" s="100"/>
      <c r="W4377" s="100"/>
      <c r="X4377" s="100"/>
      <c r="Y4377" s="100"/>
      <c r="Z4377" s="100"/>
    </row>
    <row r="4378" spans="1:26">
      <c r="A4378" s="100"/>
      <c r="B4378" s="100"/>
      <c r="C4378" s="100"/>
      <c r="D4378" s="100"/>
      <c r="E4378" s="100"/>
      <c r="F4378" s="100"/>
      <c r="G4378" s="100"/>
      <c r="H4378" s="100"/>
      <c r="I4378" s="100"/>
      <c r="J4378" s="100"/>
      <c r="K4378" s="100"/>
      <c r="L4378" s="100"/>
      <c r="M4378" s="100"/>
      <c r="N4378" s="100"/>
      <c r="O4378" s="100"/>
      <c r="P4378" s="100"/>
      <c r="Q4378" s="100"/>
      <c r="R4378" s="100"/>
      <c r="S4378" s="100"/>
      <c r="T4378" s="100"/>
      <c r="U4378" s="100"/>
      <c r="V4378" s="100"/>
      <c r="W4378" s="100"/>
      <c r="X4378" s="100"/>
      <c r="Y4378" s="100"/>
      <c r="Z4378" s="100"/>
    </row>
    <row r="4379" spans="1:26">
      <c r="A4379" s="100"/>
      <c r="B4379" s="100"/>
      <c r="C4379" s="100"/>
      <c r="D4379" s="100"/>
      <c r="E4379" s="100"/>
      <c r="F4379" s="100"/>
      <c r="G4379" s="100"/>
      <c r="H4379" s="100"/>
      <c r="I4379" s="100"/>
      <c r="J4379" s="100"/>
      <c r="K4379" s="100"/>
      <c r="L4379" s="100"/>
      <c r="M4379" s="100"/>
      <c r="N4379" s="100"/>
      <c r="O4379" s="100"/>
      <c r="P4379" s="100"/>
      <c r="Q4379" s="100"/>
      <c r="R4379" s="100"/>
      <c r="S4379" s="100"/>
      <c r="T4379" s="100"/>
      <c r="U4379" s="100"/>
      <c r="V4379" s="100"/>
      <c r="W4379" s="100"/>
      <c r="X4379" s="100"/>
      <c r="Y4379" s="100"/>
      <c r="Z4379" s="100"/>
    </row>
    <row r="4380" spans="1:26">
      <c r="A4380" s="100"/>
      <c r="B4380" s="100"/>
      <c r="C4380" s="100"/>
      <c r="D4380" s="100"/>
      <c r="E4380" s="100"/>
      <c r="F4380" s="100"/>
      <c r="G4380" s="100"/>
      <c r="H4380" s="100"/>
      <c r="I4380" s="100"/>
      <c r="J4380" s="100"/>
      <c r="K4380" s="100"/>
      <c r="L4380" s="100"/>
      <c r="M4380" s="100"/>
      <c r="N4380" s="100"/>
      <c r="O4380" s="100"/>
      <c r="P4380" s="100"/>
      <c r="Q4380" s="100"/>
      <c r="R4380" s="100"/>
      <c r="S4380" s="100"/>
      <c r="T4380" s="100"/>
      <c r="U4380" s="100"/>
      <c r="V4380" s="100"/>
      <c r="W4380" s="100"/>
      <c r="X4380" s="100"/>
      <c r="Y4380" s="100"/>
      <c r="Z4380" s="100"/>
    </row>
    <row r="4381" spans="1:26">
      <c r="A4381" s="100"/>
      <c r="B4381" s="100"/>
      <c r="C4381" s="100"/>
      <c r="D4381" s="100"/>
      <c r="E4381" s="100"/>
      <c r="F4381" s="100"/>
      <c r="G4381" s="100"/>
      <c r="H4381" s="100"/>
      <c r="I4381" s="100"/>
      <c r="J4381" s="100"/>
      <c r="K4381" s="100"/>
      <c r="L4381" s="100"/>
      <c r="M4381" s="100"/>
      <c r="N4381" s="100"/>
      <c r="O4381" s="100"/>
      <c r="P4381" s="100"/>
      <c r="Q4381" s="100"/>
      <c r="R4381" s="100"/>
      <c r="S4381" s="100"/>
      <c r="T4381" s="100"/>
      <c r="U4381" s="100"/>
      <c r="V4381" s="100"/>
      <c r="W4381" s="100"/>
      <c r="X4381" s="100"/>
      <c r="Y4381" s="100"/>
      <c r="Z4381" s="100"/>
    </row>
    <row r="4382" spans="1:26">
      <c r="A4382" s="100"/>
      <c r="B4382" s="100"/>
      <c r="C4382" s="100"/>
      <c r="D4382" s="100"/>
      <c r="E4382" s="100"/>
      <c r="F4382" s="100"/>
      <c r="G4382" s="100"/>
      <c r="H4382" s="100"/>
      <c r="I4382" s="100"/>
      <c r="J4382" s="100"/>
      <c r="K4382" s="100"/>
      <c r="L4382" s="100"/>
      <c r="M4382" s="100"/>
      <c r="N4382" s="100"/>
      <c r="O4382" s="100"/>
      <c r="P4382" s="100"/>
      <c r="Q4382" s="100"/>
      <c r="R4382" s="100"/>
      <c r="S4382" s="100"/>
      <c r="T4382" s="100"/>
      <c r="U4382" s="100"/>
      <c r="V4382" s="100"/>
      <c r="W4382" s="100"/>
      <c r="X4382" s="100"/>
      <c r="Y4382" s="100"/>
      <c r="Z4382" s="100"/>
    </row>
    <row r="4383" spans="1:26">
      <c r="A4383" s="100"/>
      <c r="B4383" s="100"/>
      <c r="C4383" s="100"/>
      <c r="D4383" s="100"/>
      <c r="E4383" s="100"/>
      <c r="F4383" s="100"/>
      <c r="G4383" s="100"/>
      <c r="H4383" s="100"/>
      <c r="I4383" s="100"/>
      <c r="J4383" s="100"/>
      <c r="K4383" s="100"/>
      <c r="L4383" s="100"/>
      <c r="M4383" s="100"/>
      <c r="N4383" s="100"/>
      <c r="O4383" s="100"/>
      <c r="P4383" s="100"/>
      <c r="Q4383" s="100"/>
      <c r="R4383" s="100"/>
      <c r="S4383" s="100"/>
      <c r="T4383" s="100"/>
      <c r="U4383" s="100"/>
      <c r="V4383" s="100"/>
      <c r="W4383" s="100"/>
      <c r="X4383" s="100"/>
      <c r="Y4383" s="100"/>
      <c r="Z4383" s="100"/>
    </row>
    <row r="4384" spans="1:26">
      <c r="A4384" s="100"/>
      <c r="B4384" s="100"/>
      <c r="C4384" s="100"/>
      <c r="D4384" s="100"/>
      <c r="E4384" s="100"/>
      <c r="F4384" s="100"/>
      <c r="G4384" s="100"/>
      <c r="H4384" s="100"/>
      <c r="I4384" s="100"/>
      <c r="J4384" s="100"/>
      <c r="K4384" s="100"/>
      <c r="L4384" s="100"/>
      <c r="M4384" s="100"/>
      <c r="N4384" s="100"/>
      <c r="O4384" s="100"/>
      <c r="P4384" s="100"/>
      <c r="Q4384" s="100"/>
      <c r="R4384" s="100"/>
      <c r="S4384" s="100"/>
      <c r="T4384" s="100"/>
      <c r="U4384" s="100"/>
      <c r="V4384" s="100"/>
      <c r="W4384" s="100"/>
      <c r="X4384" s="100"/>
      <c r="Y4384" s="100"/>
      <c r="Z4384" s="100"/>
    </row>
    <row r="4385" spans="1:26">
      <c r="A4385" s="100"/>
      <c r="B4385" s="100"/>
      <c r="C4385" s="100"/>
      <c r="D4385" s="100"/>
      <c r="E4385" s="100"/>
      <c r="F4385" s="100"/>
      <c r="G4385" s="100"/>
      <c r="H4385" s="100"/>
      <c r="I4385" s="100"/>
      <c r="J4385" s="100"/>
      <c r="K4385" s="100"/>
      <c r="L4385" s="100"/>
      <c r="M4385" s="100"/>
      <c r="N4385" s="100"/>
      <c r="O4385" s="100"/>
      <c r="P4385" s="100"/>
      <c r="Q4385" s="100"/>
      <c r="R4385" s="100"/>
      <c r="S4385" s="100"/>
      <c r="T4385" s="100"/>
      <c r="U4385" s="100"/>
      <c r="V4385" s="100"/>
      <c r="W4385" s="100"/>
      <c r="X4385" s="100"/>
      <c r="Y4385" s="100"/>
      <c r="Z4385" s="100"/>
    </row>
    <row r="4386" spans="1:26">
      <c r="A4386" s="100"/>
      <c r="B4386" s="100"/>
      <c r="C4386" s="100"/>
      <c r="D4386" s="100"/>
      <c r="E4386" s="100"/>
      <c r="F4386" s="100"/>
      <c r="G4386" s="100"/>
      <c r="H4386" s="100"/>
      <c r="I4386" s="100"/>
      <c r="J4386" s="100"/>
      <c r="K4386" s="100"/>
      <c r="L4386" s="100"/>
      <c r="M4386" s="100"/>
      <c r="N4386" s="100"/>
      <c r="O4386" s="100"/>
      <c r="P4386" s="100"/>
      <c r="Q4386" s="100"/>
      <c r="R4386" s="100"/>
      <c r="S4386" s="100"/>
      <c r="T4386" s="100"/>
      <c r="U4386" s="100"/>
      <c r="V4386" s="100"/>
      <c r="W4386" s="100"/>
      <c r="X4386" s="100"/>
      <c r="Y4386" s="100"/>
      <c r="Z4386" s="100"/>
    </row>
    <row r="4387" spans="1:26">
      <c r="A4387" s="100"/>
      <c r="B4387" s="100"/>
      <c r="C4387" s="100"/>
      <c r="D4387" s="100"/>
      <c r="E4387" s="100"/>
      <c r="F4387" s="100"/>
      <c r="G4387" s="100"/>
      <c r="H4387" s="100"/>
      <c r="I4387" s="100"/>
      <c r="J4387" s="100"/>
      <c r="K4387" s="100"/>
      <c r="L4387" s="100"/>
      <c r="M4387" s="100"/>
      <c r="N4387" s="100"/>
      <c r="O4387" s="100"/>
      <c r="P4387" s="100"/>
      <c r="Q4387" s="100"/>
      <c r="R4387" s="100"/>
      <c r="S4387" s="100"/>
      <c r="T4387" s="100"/>
      <c r="U4387" s="100"/>
      <c r="V4387" s="100"/>
      <c r="W4387" s="100"/>
      <c r="X4387" s="100"/>
      <c r="Y4387" s="100"/>
      <c r="Z4387" s="100"/>
    </row>
    <row r="4388" spans="1:26">
      <c r="A4388" s="100"/>
      <c r="B4388" s="100"/>
      <c r="C4388" s="100"/>
      <c r="D4388" s="100"/>
      <c r="E4388" s="100"/>
      <c r="F4388" s="100"/>
      <c r="G4388" s="100"/>
      <c r="H4388" s="100"/>
      <c r="I4388" s="100"/>
      <c r="J4388" s="100"/>
      <c r="K4388" s="100"/>
      <c r="L4388" s="100"/>
      <c r="M4388" s="100"/>
      <c r="N4388" s="100"/>
      <c r="O4388" s="100"/>
      <c r="P4388" s="100"/>
      <c r="Q4388" s="100"/>
      <c r="R4388" s="100"/>
      <c r="S4388" s="100"/>
      <c r="T4388" s="100"/>
      <c r="U4388" s="100"/>
      <c r="V4388" s="100"/>
      <c r="W4388" s="100"/>
      <c r="X4388" s="100"/>
      <c r="Y4388" s="100"/>
      <c r="Z4388" s="100"/>
    </row>
    <row r="4389" spans="1:26">
      <c r="A4389" s="100"/>
      <c r="B4389" s="100"/>
      <c r="C4389" s="100"/>
      <c r="D4389" s="100"/>
      <c r="E4389" s="100"/>
      <c r="F4389" s="100"/>
      <c r="G4389" s="100"/>
      <c r="H4389" s="100"/>
      <c r="I4389" s="100"/>
      <c r="J4389" s="100"/>
      <c r="K4389" s="100"/>
      <c r="L4389" s="100"/>
      <c r="M4389" s="100"/>
      <c r="N4389" s="100"/>
      <c r="O4389" s="100"/>
      <c r="P4389" s="100"/>
      <c r="Q4389" s="100"/>
      <c r="R4389" s="100"/>
      <c r="S4389" s="100"/>
      <c r="T4389" s="100"/>
      <c r="U4389" s="100"/>
      <c r="V4389" s="100"/>
      <c r="W4389" s="100"/>
      <c r="X4389" s="100"/>
      <c r="Y4389" s="100"/>
      <c r="Z4389" s="100"/>
    </row>
    <row r="4390" spans="1:26">
      <c r="A4390" s="100"/>
      <c r="B4390" s="100"/>
      <c r="C4390" s="100"/>
      <c r="D4390" s="100"/>
      <c r="E4390" s="100"/>
      <c r="F4390" s="100"/>
      <c r="G4390" s="100"/>
      <c r="H4390" s="100"/>
      <c r="I4390" s="100"/>
      <c r="J4390" s="100"/>
      <c r="K4390" s="100"/>
      <c r="L4390" s="100"/>
      <c r="M4390" s="100"/>
      <c r="N4390" s="100"/>
      <c r="O4390" s="100"/>
      <c r="P4390" s="100"/>
      <c r="Q4390" s="100"/>
      <c r="R4390" s="100"/>
      <c r="S4390" s="100"/>
      <c r="T4390" s="100"/>
      <c r="U4390" s="100"/>
      <c r="V4390" s="100"/>
      <c r="W4390" s="100"/>
      <c r="X4390" s="100"/>
      <c r="Y4390" s="100"/>
      <c r="Z4390" s="100"/>
    </row>
    <row r="4391" spans="1:26">
      <c r="A4391" s="100"/>
      <c r="B4391" s="100"/>
      <c r="C4391" s="100"/>
      <c r="D4391" s="100"/>
      <c r="E4391" s="100"/>
      <c r="F4391" s="100"/>
      <c r="G4391" s="100"/>
      <c r="H4391" s="100"/>
      <c r="I4391" s="100"/>
      <c r="J4391" s="100"/>
      <c r="K4391" s="100"/>
      <c r="L4391" s="100"/>
      <c r="M4391" s="100"/>
      <c r="N4391" s="100"/>
      <c r="O4391" s="100"/>
      <c r="P4391" s="100"/>
      <c r="Q4391" s="100"/>
      <c r="R4391" s="100"/>
      <c r="S4391" s="100"/>
      <c r="T4391" s="100"/>
      <c r="U4391" s="100"/>
      <c r="V4391" s="100"/>
      <c r="W4391" s="100"/>
      <c r="X4391" s="100"/>
      <c r="Y4391" s="100"/>
      <c r="Z4391" s="100"/>
    </row>
    <row r="4392" spans="1:26">
      <c r="A4392" s="100"/>
      <c r="B4392" s="100"/>
      <c r="C4392" s="100"/>
      <c r="D4392" s="100"/>
      <c r="E4392" s="100"/>
      <c r="F4392" s="100"/>
      <c r="G4392" s="100"/>
      <c r="H4392" s="100"/>
      <c r="I4392" s="100"/>
      <c r="J4392" s="100"/>
      <c r="K4392" s="100"/>
      <c r="L4392" s="100"/>
      <c r="M4392" s="100"/>
      <c r="N4392" s="100"/>
      <c r="O4392" s="100"/>
      <c r="P4392" s="100"/>
      <c r="Q4392" s="100"/>
      <c r="R4392" s="100"/>
      <c r="S4392" s="100"/>
      <c r="T4392" s="100"/>
      <c r="U4392" s="100"/>
      <c r="V4392" s="100"/>
      <c r="W4392" s="100"/>
      <c r="X4392" s="100"/>
      <c r="Y4392" s="100"/>
      <c r="Z4392" s="100"/>
    </row>
    <row r="4393" spans="1:26">
      <c r="A4393" s="100"/>
      <c r="B4393" s="100"/>
      <c r="C4393" s="100"/>
      <c r="D4393" s="100"/>
      <c r="E4393" s="100"/>
      <c r="F4393" s="100"/>
      <c r="G4393" s="100"/>
      <c r="H4393" s="100"/>
      <c r="I4393" s="100"/>
      <c r="J4393" s="100"/>
      <c r="K4393" s="100"/>
      <c r="L4393" s="100"/>
      <c r="M4393" s="100"/>
      <c r="N4393" s="100"/>
      <c r="O4393" s="100"/>
      <c r="P4393" s="100"/>
      <c r="Q4393" s="100"/>
      <c r="R4393" s="100"/>
      <c r="S4393" s="100"/>
      <c r="T4393" s="100"/>
      <c r="U4393" s="100"/>
      <c r="V4393" s="100"/>
      <c r="W4393" s="100"/>
      <c r="X4393" s="100"/>
      <c r="Y4393" s="100"/>
      <c r="Z4393" s="100"/>
    </row>
    <row r="4394" spans="1:26">
      <c r="A4394" s="100"/>
      <c r="B4394" s="100"/>
      <c r="C4394" s="100"/>
      <c r="D4394" s="100"/>
      <c r="E4394" s="100"/>
      <c r="F4394" s="100"/>
      <c r="G4394" s="100"/>
      <c r="H4394" s="100"/>
      <c r="I4394" s="100"/>
      <c r="J4394" s="100"/>
      <c r="K4394" s="100"/>
      <c r="L4394" s="100"/>
      <c r="M4394" s="100"/>
      <c r="N4394" s="100"/>
      <c r="O4394" s="100"/>
      <c r="P4394" s="100"/>
      <c r="Q4394" s="100"/>
      <c r="R4394" s="100"/>
      <c r="S4394" s="100"/>
      <c r="T4394" s="100"/>
      <c r="U4394" s="100"/>
      <c r="V4394" s="100"/>
      <c r="W4394" s="100"/>
      <c r="X4394" s="100"/>
      <c r="Y4394" s="100"/>
      <c r="Z4394" s="100"/>
    </row>
    <row r="4395" spans="1:26">
      <c r="A4395" s="100"/>
      <c r="B4395" s="100"/>
      <c r="C4395" s="100"/>
      <c r="D4395" s="100"/>
      <c r="E4395" s="100"/>
      <c r="F4395" s="100"/>
      <c r="G4395" s="100"/>
      <c r="H4395" s="100"/>
      <c r="I4395" s="100"/>
      <c r="J4395" s="100"/>
      <c r="K4395" s="100"/>
      <c r="L4395" s="100"/>
      <c r="M4395" s="100"/>
      <c r="N4395" s="100"/>
      <c r="O4395" s="100"/>
      <c r="P4395" s="100"/>
      <c r="Q4395" s="100"/>
      <c r="R4395" s="100"/>
      <c r="S4395" s="100"/>
      <c r="T4395" s="100"/>
      <c r="U4395" s="100"/>
      <c r="V4395" s="100"/>
      <c r="W4395" s="100"/>
      <c r="X4395" s="100"/>
      <c r="Y4395" s="100"/>
      <c r="Z4395" s="100"/>
    </row>
    <row r="4396" spans="1:26">
      <c r="A4396" s="100"/>
      <c r="B4396" s="100"/>
      <c r="C4396" s="100"/>
      <c r="D4396" s="100"/>
      <c r="E4396" s="100"/>
      <c r="F4396" s="100"/>
      <c r="G4396" s="100"/>
      <c r="H4396" s="100"/>
      <c r="I4396" s="100"/>
      <c r="J4396" s="100"/>
      <c r="K4396" s="100"/>
      <c r="L4396" s="100"/>
      <c r="M4396" s="100"/>
      <c r="N4396" s="100"/>
      <c r="O4396" s="100"/>
      <c r="P4396" s="100"/>
      <c r="Q4396" s="100"/>
      <c r="R4396" s="100"/>
      <c r="S4396" s="100"/>
      <c r="T4396" s="100"/>
      <c r="U4396" s="100"/>
      <c r="V4396" s="100"/>
      <c r="W4396" s="100"/>
      <c r="X4396" s="100"/>
      <c r="Y4396" s="100"/>
      <c r="Z4396" s="100"/>
    </row>
    <row r="4397" spans="1:26">
      <c r="A4397" s="100"/>
      <c r="B4397" s="100"/>
      <c r="C4397" s="100"/>
      <c r="D4397" s="100"/>
      <c r="E4397" s="100"/>
      <c r="F4397" s="100"/>
      <c r="G4397" s="100"/>
      <c r="H4397" s="100"/>
      <c r="I4397" s="100"/>
      <c r="J4397" s="100"/>
      <c r="K4397" s="100"/>
      <c r="L4397" s="100"/>
      <c r="M4397" s="100"/>
      <c r="N4397" s="100"/>
      <c r="O4397" s="100"/>
      <c r="P4397" s="100"/>
      <c r="Q4397" s="100"/>
      <c r="R4397" s="100"/>
      <c r="S4397" s="100"/>
      <c r="T4397" s="100"/>
      <c r="U4397" s="100"/>
      <c r="V4397" s="100"/>
      <c r="W4397" s="100"/>
      <c r="X4397" s="100"/>
      <c r="Y4397" s="100"/>
      <c r="Z4397" s="100"/>
    </row>
    <row r="4398" spans="1:26">
      <c r="A4398" s="100"/>
      <c r="B4398" s="100"/>
      <c r="C4398" s="100"/>
      <c r="D4398" s="100"/>
      <c r="E4398" s="100"/>
      <c r="F4398" s="100"/>
      <c r="G4398" s="100"/>
      <c r="H4398" s="100"/>
      <c r="I4398" s="100"/>
      <c r="J4398" s="100"/>
      <c r="K4398" s="100"/>
      <c r="L4398" s="100"/>
      <c r="M4398" s="100"/>
      <c r="N4398" s="100"/>
      <c r="O4398" s="100"/>
      <c r="P4398" s="100"/>
      <c r="Q4398" s="100"/>
      <c r="R4398" s="100"/>
      <c r="S4398" s="100"/>
      <c r="T4398" s="100"/>
      <c r="U4398" s="100"/>
      <c r="V4398" s="100"/>
      <c r="W4398" s="100"/>
      <c r="X4398" s="100"/>
      <c r="Y4398" s="100"/>
      <c r="Z4398" s="100"/>
    </row>
    <row r="4399" spans="1:26">
      <c r="A4399" s="100"/>
      <c r="B4399" s="100"/>
      <c r="C4399" s="100"/>
      <c r="D4399" s="100"/>
      <c r="E4399" s="100"/>
      <c r="F4399" s="100"/>
      <c r="G4399" s="100"/>
      <c r="H4399" s="100"/>
      <c r="I4399" s="100"/>
      <c r="J4399" s="100"/>
      <c r="K4399" s="100"/>
      <c r="L4399" s="100"/>
      <c r="M4399" s="100"/>
      <c r="N4399" s="100"/>
      <c r="O4399" s="100"/>
      <c r="P4399" s="100"/>
      <c r="Q4399" s="100"/>
      <c r="R4399" s="100"/>
      <c r="S4399" s="100"/>
      <c r="T4399" s="100"/>
      <c r="U4399" s="100"/>
      <c r="V4399" s="100"/>
      <c r="W4399" s="100"/>
      <c r="X4399" s="100"/>
      <c r="Y4399" s="100"/>
      <c r="Z4399" s="100"/>
    </row>
    <row r="4400" spans="1:26">
      <c r="A4400" s="100"/>
      <c r="B4400" s="100"/>
      <c r="C4400" s="100"/>
      <c r="D4400" s="100"/>
      <c r="E4400" s="100"/>
      <c r="F4400" s="100"/>
      <c r="G4400" s="100"/>
      <c r="H4400" s="100"/>
      <c r="I4400" s="100"/>
      <c r="J4400" s="100"/>
      <c r="K4400" s="100"/>
      <c r="L4400" s="100"/>
      <c r="M4400" s="100"/>
      <c r="N4400" s="100"/>
      <c r="O4400" s="100"/>
      <c r="P4400" s="100"/>
      <c r="Q4400" s="100"/>
      <c r="R4400" s="100"/>
      <c r="S4400" s="100"/>
      <c r="T4400" s="100"/>
      <c r="U4400" s="100"/>
      <c r="V4400" s="100"/>
      <c r="W4400" s="100"/>
      <c r="X4400" s="100"/>
      <c r="Y4400" s="100"/>
      <c r="Z4400" s="100"/>
    </row>
    <row r="4401" spans="1:26">
      <c r="A4401" s="100"/>
      <c r="B4401" s="100"/>
      <c r="C4401" s="100"/>
      <c r="D4401" s="100"/>
      <c r="E4401" s="100"/>
      <c r="F4401" s="100"/>
      <c r="G4401" s="100"/>
      <c r="H4401" s="100"/>
      <c r="I4401" s="100"/>
      <c r="J4401" s="100"/>
      <c r="K4401" s="100"/>
      <c r="L4401" s="100"/>
      <c r="M4401" s="100"/>
      <c r="N4401" s="100"/>
      <c r="O4401" s="100"/>
      <c r="P4401" s="100"/>
      <c r="Q4401" s="100"/>
      <c r="R4401" s="100"/>
      <c r="S4401" s="100"/>
      <c r="T4401" s="100"/>
      <c r="U4401" s="100"/>
      <c r="V4401" s="100"/>
      <c r="W4401" s="100"/>
      <c r="X4401" s="100"/>
      <c r="Y4401" s="100"/>
      <c r="Z4401" s="100"/>
    </row>
    <row r="4402" spans="1:26">
      <c r="A4402" s="100"/>
      <c r="B4402" s="100"/>
      <c r="C4402" s="100"/>
      <c r="D4402" s="100"/>
      <c r="E4402" s="100"/>
      <c r="F4402" s="100"/>
      <c r="G4402" s="100"/>
      <c r="H4402" s="100"/>
      <c r="I4402" s="100"/>
      <c r="J4402" s="100"/>
      <c r="K4402" s="100"/>
      <c r="L4402" s="100"/>
      <c r="M4402" s="100"/>
      <c r="N4402" s="100"/>
      <c r="O4402" s="100"/>
      <c r="P4402" s="100"/>
      <c r="Q4402" s="100"/>
      <c r="R4402" s="100"/>
      <c r="S4402" s="100"/>
      <c r="T4402" s="100"/>
      <c r="U4402" s="100"/>
      <c r="V4402" s="100"/>
      <c r="W4402" s="100"/>
      <c r="X4402" s="100"/>
      <c r="Y4402" s="100"/>
      <c r="Z4402" s="100"/>
    </row>
    <row r="4403" spans="1:26">
      <c r="A4403" s="100"/>
      <c r="B4403" s="100"/>
      <c r="C4403" s="100"/>
      <c r="D4403" s="100"/>
      <c r="E4403" s="100"/>
      <c r="F4403" s="100"/>
      <c r="G4403" s="100"/>
      <c r="H4403" s="100"/>
      <c r="I4403" s="100"/>
      <c r="J4403" s="100"/>
      <c r="K4403" s="100"/>
      <c r="L4403" s="100"/>
      <c r="M4403" s="100"/>
      <c r="N4403" s="100"/>
      <c r="O4403" s="100"/>
      <c r="P4403" s="100"/>
      <c r="Q4403" s="100"/>
      <c r="R4403" s="100"/>
      <c r="S4403" s="100"/>
      <c r="T4403" s="100"/>
      <c r="U4403" s="100"/>
      <c r="V4403" s="100"/>
      <c r="W4403" s="100"/>
      <c r="X4403" s="100"/>
      <c r="Y4403" s="100"/>
      <c r="Z4403" s="100"/>
    </row>
    <row r="4404" spans="1:26">
      <c r="A4404" s="100"/>
      <c r="B4404" s="100"/>
      <c r="C4404" s="100"/>
      <c r="D4404" s="100"/>
      <c r="E4404" s="100"/>
      <c r="F4404" s="100"/>
      <c r="G4404" s="100"/>
      <c r="H4404" s="100"/>
      <c r="I4404" s="100"/>
      <c r="J4404" s="100"/>
      <c r="K4404" s="100"/>
      <c r="L4404" s="100"/>
      <c r="M4404" s="100"/>
      <c r="N4404" s="100"/>
      <c r="O4404" s="100"/>
      <c r="P4404" s="100"/>
      <c r="Q4404" s="100"/>
      <c r="R4404" s="100"/>
      <c r="S4404" s="100"/>
      <c r="T4404" s="100"/>
      <c r="U4404" s="100"/>
      <c r="V4404" s="100"/>
      <c r="W4404" s="100"/>
      <c r="X4404" s="100"/>
      <c r="Y4404" s="100"/>
      <c r="Z4404" s="100"/>
    </row>
    <row r="4405" spans="1:26">
      <c r="A4405" s="100"/>
      <c r="B4405" s="100"/>
      <c r="C4405" s="100"/>
      <c r="D4405" s="100"/>
      <c r="E4405" s="100"/>
      <c r="F4405" s="100"/>
      <c r="G4405" s="100"/>
      <c r="H4405" s="100"/>
      <c r="I4405" s="100"/>
      <c r="J4405" s="100"/>
      <c r="K4405" s="100"/>
      <c r="L4405" s="100"/>
      <c r="M4405" s="100"/>
      <c r="N4405" s="100"/>
      <c r="O4405" s="100"/>
      <c r="P4405" s="100"/>
      <c r="Q4405" s="100"/>
      <c r="R4405" s="100"/>
      <c r="S4405" s="100"/>
      <c r="T4405" s="100"/>
      <c r="U4405" s="100"/>
      <c r="V4405" s="100"/>
      <c r="W4405" s="100"/>
      <c r="X4405" s="100"/>
      <c r="Y4405" s="100"/>
      <c r="Z4405" s="100"/>
    </row>
    <row r="4406" spans="1:26">
      <c r="A4406" s="100"/>
      <c r="B4406" s="100"/>
      <c r="C4406" s="100"/>
      <c r="D4406" s="100"/>
      <c r="E4406" s="100"/>
      <c r="F4406" s="100"/>
      <c r="G4406" s="100"/>
      <c r="H4406" s="100"/>
      <c r="I4406" s="100"/>
      <c r="J4406" s="100"/>
      <c r="K4406" s="100"/>
      <c r="L4406" s="100"/>
      <c r="M4406" s="100"/>
      <c r="N4406" s="100"/>
      <c r="O4406" s="100"/>
      <c r="P4406" s="100"/>
      <c r="Q4406" s="100"/>
      <c r="R4406" s="100"/>
      <c r="S4406" s="100"/>
      <c r="T4406" s="100"/>
      <c r="U4406" s="100"/>
      <c r="V4406" s="100"/>
      <c r="W4406" s="100"/>
      <c r="X4406" s="100"/>
      <c r="Y4406" s="100"/>
      <c r="Z4406" s="100"/>
    </row>
    <row r="4407" spans="1:26">
      <c r="A4407" s="100"/>
      <c r="B4407" s="100"/>
      <c r="C4407" s="100"/>
      <c r="D4407" s="100"/>
      <c r="E4407" s="100"/>
      <c r="F4407" s="100"/>
      <c r="G4407" s="100"/>
      <c r="H4407" s="100"/>
      <c r="I4407" s="100"/>
      <c r="J4407" s="100"/>
      <c r="K4407" s="100"/>
      <c r="L4407" s="100"/>
      <c r="M4407" s="100"/>
      <c r="N4407" s="100"/>
      <c r="O4407" s="100"/>
      <c r="P4407" s="100"/>
      <c r="Q4407" s="100"/>
      <c r="R4407" s="100"/>
      <c r="S4407" s="100"/>
      <c r="T4407" s="100"/>
      <c r="U4407" s="100"/>
      <c r="V4407" s="100"/>
      <c r="W4407" s="100"/>
      <c r="X4407" s="100"/>
      <c r="Y4407" s="100"/>
      <c r="Z4407" s="100"/>
    </row>
    <row r="4408" spans="1:26">
      <c r="A4408" s="100"/>
      <c r="B4408" s="100"/>
      <c r="C4408" s="100"/>
      <c r="D4408" s="100"/>
      <c r="E4408" s="100"/>
      <c r="F4408" s="100"/>
      <c r="G4408" s="100"/>
      <c r="H4408" s="100"/>
      <c r="I4408" s="100"/>
      <c r="J4408" s="100"/>
      <c r="K4408" s="100"/>
      <c r="L4408" s="100"/>
      <c r="M4408" s="100"/>
      <c r="N4408" s="100"/>
      <c r="O4408" s="100"/>
      <c r="P4408" s="100"/>
      <c r="Q4408" s="100"/>
      <c r="R4408" s="100"/>
      <c r="S4408" s="100"/>
      <c r="T4408" s="100"/>
      <c r="U4408" s="100"/>
      <c r="V4408" s="100"/>
      <c r="W4408" s="100"/>
      <c r="X4408" s="100"/>
      <c r="Y4408" s="100"/>
      <c r="Z4408" s="100"/>
    </row>
    <row r="4409" spans="1:26">
      <c r="A4409" s="100"/>
      <c r="B4409" s="100"/>
      <c r="C4409" s="100"/>
      <c r="D4409" s="100"/>
      <c r="E4409" s="100"/>
      <c r="F4409" s="100"/>
      <c r="G4409" s="100"/>
      <c r="H4409" s="100"/>
      <c r="I4409" s="100"/>
      <c r="J4409" s="100"/>
      <c r="K4409" s="100"/>
      <c r="L4409" s="100"/>
      <c r="M4409" s="100"/>
      <c r="N4409" s="100"/>
      <c r="O4409" s="100"/>
      <c r="P4409" s="100"/>
      <c r="Q4409" s="100"/>
      <c r="R4409" s="100"/>
      <c r="S4409" s="100"/>
      <c r="T4409" s="100"/>
      <c r="U4409" s="100"/>
      <c r="V4409" s="100"/>
      <c r="W4409" s="100"/>
      <c r="X4409" s="100"/>
      <c r="Y4409" s="100"/>
      <c r="Z4409" s="100"/>
    </row>
    <row r="4410" spans="1:26">
      <c r="A4410" s="100"/>
      <c r="B4410" s="100"/>
      <c r="C4410" s="100"/>
      <c r="D4410" s="100"/>
      <c r="E4410" s="100"/>
      <c r="F4410" s="100"/>
      <c r="G4410" s="100"/>
      <c r="H4410" s="100"/>
      <c r="I4410" s="100"/>
      <c r="J4410" s="100"/>
      <c r="K4410" s="100"/>
      <c r="L4410" s="100"/>
      <c r="M4410" s="100"/>
      <c r="N4410" s="100"/>
      <c r="O4410" s="100"/>
      <c r="P4410" s="100"/>
      <c r="Q4410" s="100"/>
      <c r="R4410" s="100"/>
      <c r="S4410" s="100"/>
      <c r="T4410" s="100"/>
      <c r="U4410" s="100"/>
      <c r="V4410" s="100"/>
      <c r="W4410" s="100"/>
      <c r="X4410" s="100"/>
      <c r="Y4410" s="100"/>
      <c r="Z4410" s="100"/>
    </row>
    <row r="4411" spans="1:26">
      <c r="A4411" s="100"/>
      <c r="B4411" s="100"/>
      <c r="C4411" s="100"/>
      <c r="D4411" s="100"/>
      <c r="E4411" s="100"/>
      <c r="F4411" s="100"/>
      <c r="G4411" s="100"/>
      <c r="H4411" s="100"/>
      <c r="I4411" s="100"/>
      <c r="J4411" s="100"/>
      <c r="K4411" s="100"/>
      <c r="L4411" s="100"/>
      <c r="M4411" s="100"/>
      <c r="N4411" s="100"/>
      <c r="O4411" s="100"/>
      <c r="P4411" s="100"/>
      <c r="Q4411" s="100"/>
      <c r="R4411" s="100"/>
      <c r="S4411" s="100"/>
      <c r="T4411" s="100"/>
      <c r="U4411" s="100"/>
      <c r="V4411" s="100"/>
      <c r="W4411" s="100"/>
      <c r="X4411" s="100"/>
      <c r="Y4411" s="100"/>
      <c r="Z4411" s="100"/>
    </row>
    <row r="4412" spans="1:26">
      <c r="A4412" s="100"/>
      <c r="B4412" s="100"/>
      <c r="C4412" s="100"/>
      <c r="D4412" s="100"/>
      <c r="E4412" s="100"/>
      <c r="F4412" s="100"/>
      <c r="G4412" s="100"/>
      <c r="H4412" s="100"/>
      <c r="I4412" s="100"/>
      <c r="J4412" s="100"/>
      <c r="K4412" s="100"/>
      <c r="L4412" s="100"/>
      <c r="M4412" s="100"/>
      <c r="N4412" s="100"/>
      <c r="O4412" s="100"/>
      <c r="P4412" s="100"/>
      <c r="Q4412" s="100"/>
      <c r="R4412" s="100"/>
      <c r="S4412" s="100"/>
      <c r="T4412" s="100"/>
      <c r="U4412" s="100"/>
      <c r="V4412" s="100"/>
      <c r="W4412" s="100"/>
      <c r="X4412" s="100"/>
      <c r="Y4412" s="100"/>
      <c r="Z4412" s="100"/>
    </row>
    <row r="4413" spans="1:26">
      <c r="A4413" s="100"/>
      <c r="B4413" s="100"/>
      <c r="C4413" s="100"/>
      <c r="D4413" s="100"/>
      <c r="E4413" s="100"/>
      <c r="F4413" s="100"/>
      <c r="G4413" s="100"/>
      <c r="H4413" s="100"/>
      <c r="I4413" s="100"/>
      <c r="J4413" s="100"/>
      <c r="K4413" s="100"/>
      <c r="L4413" s="100"/>
      <c r="M4413" s="100"/>
      <c r="N4413" s="100"/>
      <c r="O4413" s="100"/>
      <c r="P4413" s="100"/>
      <c r="Q4413" s="100"/>
      <c r="R4413" s="100"/>
      <c r="S4413" s="100"/>
      <c r="T4413" s="100"/>
      <c r="U4413" s="100"/>
      <c r="V4413" s="100"/>
      <c r="W4413" s="100"/>
      <c r="X4413" s="100"/>
      <c r="Y4413" s="100"/>
      <c r="Z4413" s="100"/>
    </row>
    <row r="4414" spans="1:26">
      <c r="A4414" s="100"/>
      <c r="B4414" s="100"/>
      <c r="C4414" s="100"/>
      <c r="D4414" s="100"/>
      <c r="E4414" s="100"/>
      <c r="F4414" s="100"/>
      <c r="G4414" s="100"/>
      <c r="H4414" s="100"/>
      <c r="I4414" s="100"/>
      <c r="J4414" s="100"/>
      <c r="K4414" s="100"/>
      <c r="L4414" s="100"/>
      <c r="M4414" s="100"/>
      <c r="N4414" s="100"/>
      <c r="O4414" s="100"/>
      <c r="P4414" s="100"/>
      <c r="Q4414" s="100"/>
      <c r="R4414" s="100"/>
      <c r="S4414" s="100"/>
      <c r="T4414" s="100"/>
      <c r="U4414" s="100"/>
      <c r="V4414" s="100"/>
      <c r="W4414" s="100"/>
      <c r="X4414" s="100"/>
      <c r="Y4414" s="100"/>
      <c r="Z4414" s="100"/>
    </row>
    <row r="4415" spans="1:26">
      <c r="A4415" s="100"/>
      <c r="B4415" s="100"/>
      <c r="C4415" s="100"/>
      <c r="D4415" s="100"/>
      <c r="E4415" s="100"/>
      <c r="F4415" s="100"/>
      <c r="G4415" s="100"/>
      <c r="H4415" s="100"/>
      <c r="I4415" s="100"/>
      <c r="J4415" s="100"/>
      <c r="K4415" s="100"/>
      <c r="L4415" s="100"/>
      <c r="M4415" s="100"/>
      <c r="N4415" s="100"/>
      <c r="O4415" s="100"/>
      <c r="P4415" s="100"/>
      <c r="Q4415" s="100"/>
      <c r="R4415" s="100"/>
      <c r="S4415" s="100"/>
      <c r="T4415" s="100"/>
      <c r="U4415" s="100"/>
      <c r="V4415" s="100"/>
      <c r="W4415" s="100"/>
      <c r="X4415" s="100"/>
      <c r="Y4415" s="100"/>
      <c r="Z4415" s="100"/>
    </row>
    <row r="4416" spans="1:26">
      <c r="A4416" s="100"/>
      <c r="B4416" s="100"/>
      <c r="C4416" s="100"/>
      <c r="D4416" s="100"/>
      <c r="E4416" s="100"/>
      <c r="F4416" s="100"/>
      <c r="G4416" s="100"/>
      <c r="H4416" s="100"/>
      <c r="I4416" s="100"/>
      <c r="J4416" s="100"/>
      <c r="K4416" s="100"/>
      <c r="L4416" s="100"/>
      <c r="M4416" s="100"/>
      <c r="N4416" s="100"/>
      <c r="O4416" s="100"/>
      <c r="P4416" s="100"/>
      <c r="Q4416" s="100"/>
      <c r="R4416" s="100"/>
      <c r="S4416" s="100"/>
      <c r="T4416" s="100"/>
      <c r="U4416" s="100"/>
      <c r="V4416" s="100"/>
      <c r="W4416" s="100"/>
      <c r="X4416" s="100"/>
      <c r="Y4416" s="100"/>
      <c r="Z4416" s="100"/>
    </row>
    <row r="4417" spans="1:26">
      <c r="A4417" s="100"/>
      <c r="B4417" s="100"/>
      <c r="C4417" s="100"/>
      <c r="D4417" s="100"/>
      <c r="E4417" s="100"/>
      <c r="F4417" s="100"/>
      <c r="G4417" s="100"/>
      <c r="H4417" s="100"/>
      <c r="I4417" s="100"/>
      <c r="J4417" s="100"/>
      <c r="K4417" s="100"/>
      <c r="L4417" s="100"/>
      <c r="M4417" s="100"/>
      <c r="N4417" s="100"/>
      <c r="O4417" s="100"/>
      <c r="P4417" s="100"/>
      <c r="Q4417" s="100"/>
      <c r="R4417" s="100"/>
      <c r="S4417" s="100"/>
      <c r="T4417" s="100"/>
      <c r="U4417" s="100"/>
      <c r="V4417" s="100"/>
      <c r="W4417" s="100"/>
      <c r="X4417" s="100"/>
      <c r="Y4417" s="100"/>
      <c r="Z4417" s="100"/>
    </row>
    <row r="4418" spans="1:26">
      <c r="A4418" s="100"/>
      <c r="B4418" s="100"/>
      <c r="C4418" s="100"/>
      <c r="D4418" s="100"/>
      <c r="E4418" s="100"/>
      <c r="F4418" s="100"/>
      <c r="G4418" s="100"/>
      <c r="H4418" s="100"/>
      <c r="I4418" s="100"/>
      <c r="J4418" s="100"/>
      <c r="K4418" s="100"/>
      <c r="L4418" s="100"/>
      <c r="M4418" s="100"/>
      <c r="N4418" s="100"/>
      <c r="O4418" s="100"/>
      <c r="P4418" s="100"/>
      <c r="Q4418" s="100"/>
      <c r="R4418" s="100"/>
      <c r="S4418" s="100"/>
      <c r="T4418" s="100"/>
      <c r="U4418" s="100"/>
      <c r="V4418" s="100"/>
      <c r="W4418" s="100"/>
      <c r="X4418" s="100"/>
      <c r="Y4418" s="100"/>
      <c r="Z4418" s="100"/>
    </row>
    <row r="4419" spans="1:26">
      <c r="A4419" s="100"/>
      <c r="B4419" s="100"/>
      <c r="C4419" s="100"/>
      <c r="D4419" s="100"/>
      <c r="E4419" s="100"/>
      <c r="F4419" s="100"/>
      <c r="G4419" s="100"/>
      <c r="H4419" s="100"/>
      <c r="I4419" s="100"/>
      <c r="J4419" s="100"/>
      <c r="K4419" s="100"/>
      <c r="L4419" s="100"/>
      <c r="M4419" s="100"/>
      <c r="N4419" s="100"/>
      <c r="O4419" s="100"/>
      <c r="P4419" s="100"/>
      <c r="Q4419" s="100"/>
      <c r="R4419" s="100"/>
      <c r="S4419" s="100"/>
      <c r="T4419" s="100"/>
      <c r="U4419" s="100"/>
      <c r="V4419" s="100"/>
      <c r="W4419" s="100"/>
      <c r="X4419" s="100"/>
      <c r="Y4419" s="100"/>
      <c r="Z4419" s="100"/>
    </row>
    <row r="4420" spans="1:26">
      <c r="A4420" s="100"/>
      <c r="B4420" s="100"/>
      <c r="C4420" s="100"/>
      <c r="D4420" s="100"/>
      <c r="E4420" s="100"/>
      <c r="F4420" s="100"/>
      <c r="G4420" s="100"/>
      <c r="H4420" s="100"/>
      <c r="I4420" s="100"/>
      <c r="J4420" s="100"/>
      <c r="K4420" s="100"/>
      <c r="L4420" s="100"/>
      <c r="M4420" s="100"/>
      <c r="N4420" s="100"/>
      <c r="O4420" s="100"/>
      <c r="P4420" s="100"/>
      <c r="Q4420" s="100"/>
      <c r="R4420" s="100"/>
      <c r="S4420" s="100"/>
      <c r="T4420" s="100"/>
      <c r="U4420" s="100"/>
      <c r="V4420" s="100"/>
      <c r="W4420" s="100"/>
      <c r="X4420" s="100"/>
      <c r="Y4420" s="100"/>
      <c r="Z4420" s="100"/>
    </row>
    <row r="4421" spans="1:26">
      <c r="A4421" s="100"/>
      <c r="B4421" s="100"/>
      <c r="C4421" s="100"/>
      <c r="D4421" s="100"/>
      <c r="E4421" s="100"/>
      <c r="F4421" s="100"/>
      <c r="G4421" s="100"/>
      <c r="H4421" s="100"/>
      <c r="I4421" s="100"/>
      <c r="J4421" s="100"/>
      <c r="K4421" s="100"/>
      <c r="L4421" s="100"/>
      <c r="M4421" s="100"/>
      <c r="N4421" s="100"/>
      <c r="O4421" s="100"/>
      <c r="P4421" s="100"/>
      <c r="Q4421" s="100"/>
      <c r="R4421" s="100"/>
      <c r="S4421" s="100"/>
      <c r="T4421" s="100"/>
      <c r="U4421" s="100"/>
      <c r="V4421" s="100"/>
      <c r="W4421" s="100"/>
      <c r="X4421" s="100"/>
      <c r="Y4421" s="100"/>
      <c r="Z4421" s="100"/>
    </row>
    <row r="4422" spans="1:26">
      <c r="A4422" s="100"/>
      <c r="B4422" s="100"/>
      <c r="C4422" s="100"/>
      <c r="D4422" s="100"/>
      <c r="E4422" s="100"/>
      <c r="F4422" s="100"/>
      <c r="G4422" s="100"/>
      <c r="H4422" s="100"/>
      <c r="I4422" s="100"/>
      <c r="J4422" s="100"/>
      <c r="K4422" s="100"/>
      <c r="L4422" s="100"/>
      <c r="M4422" s="100"/>
      <c r="N4422" s="100"/>
      <c r="O4422" s="100"/>
      <c r="P4422" s="100"/>
      <c r="Q4422" s="100"/>
      <c r="R4422" s="100"/>
      <c r="S4422" s="100"/>
      <c r="T4422" s="100"/>
      <c r="U4422" s="100"/>
      <c r="V4422" s="100"/>
      <c r="W4422" s="100"/>
      <c r="X4422" s="100"/>
      <c r="Y4422" s="100"/>
      <c r="Z4422" s="100"/>
    </row>
    <row r="4423" spans="1:26">
      <c r="A4423" s="100"/>
      <c r="B4423" s="100"/>
      <c r="C4423" s="100"/>
      <c r="D4423" s="100"/>
      <c r="E4423" s="100"/>
      <c r="F4423" s="100"/>
      <c r="G4423" s="100"/>
      <c r="H4423" s="100"/>
      <c r="I4423" s="100"/>
      <c r="J4423" s="100"/>
      <c r="K4423" s="100"/>
      <c r="L4423" s="100"/>
      <c r="M4423" s="100"/>
      <c r="N4423" s="100"/>
      <c r="O4423" s="100"/>
      <c r="P4423" s="100"/>
      <c r="Q4423" s="100"/>
      <c r="R4423" s="100"/>
      <c r="S4423" s="100"/>
      <c r="T4423" s="100"/>
      <c r="U4423" s="100"/>
      <c r="V4423" s="100"/>
      <c r="W4423" s="100"/>
      <c r="X4423" s="100"/>
      <c r="Y4423" s="100"/>
      <c r="Z4423" s="100"/>
    </row>
    <row r="4424" spans="1:26">
      <c r="A4424" s="100"/>
      <c r="B4424" s="100"/>
      <c r="C4424" s="100"/>
      <c r="D4424" s="100"/>
      <c r="E4424" s="100"/>
      <c r="F4424" s="100"/>
      <c r="G4424" s="100"/>
      <c r="H4424" s="100"/>
      <c r="I4424" s="100"/>
      <c r="J4424" s="100"/>
      <c r="K4424" s="100"/>
      <c r="L4424" s="100"/>
      <c r="M4424" s="100"/>
      <c r="N4424" s="100"/>
      <c r="O4424" s="100"/>
      <c r="P4424" s="100"/>
      <c r="Q4424" s="100"/>
      <c r="R4424" s="100"/>
      <c r="S4424" s="100"/>
      <c r="T4424" s="100"/>
      <c r="U4424" s="100"/>
      <c r="V4424" s="100"/>
      <c r="W4424" s="100"/>
      <c r="X4424" s="100"/>
      <c r="Y4424" s="100"/>
      <c r="Z4424" s="100"/>
    </row>
    <row r="4425" spans="1:26">
      <c r="A4425" s="100"/>
      <c r="B4425" s="100"/>
      <c r="C4425" s="100"/>
      <c r="D4425" s="100"/>
      <c r="E4425" s="100"/>
      <c r="F4425" s="100"/>
      <c r="G4425" s="100"/>
      <c r="H4425" s="100"/>
      <c r="I4425" s="100"/>
      <c r="J4425" s="100"/>
      <c r="K4425" s="100"/>
      <c r="L4425" s="100"/>
      <c r="M4425" s="100"/>
      <c r="N4425" s="100"/>
      <c r="O4425" s="100"/>
      <c r="P4425" s="100"/>
      <c r="Q4425" s="100"/>
      <c r="R4425" s="100"/>
      <c r="S4425" s="100"/>
      <c r="T4425" s="100"/>
      <c r="U4425" s="100"/>
      <c r="V4425" s="100"/>
      <c r="W4425" s="100"/>
      <c r="X4425" s="100"/>
      <c r="Y4425" s="100"/>
      <c r="Z4425" s="100"/>
    </row>
    <row r="4426" spans="1:26">
      <c r="A4426" s="100"/>
      <c r="B4426" s="100"/>
      <c r="C4426" s="100"/>
      <c r="D4426" s="100"/>
      <c r="E4426" s="100"/>
      <c r="F4426" s="100"/>
      <c r="G4426" s="100"/>
      <c r="H4426" s="100"/>
      <c r="I4426" s="100"/>
      <c r="J4426" s="100"/>
      <c r="K4426" s="100"/>
      <c r="L4426" s="100"/>
      <c r="M4426" s="100"/>
      <c r="N4426" s="100"/>
      <c r="O4426" s="100"/>
      <c r="P4426" s="100"/>
      <c r="Q4426" s="100"/>
      <c r="R4426" s="100"/>
      <c r="S4426" s="100"/>
      <c r="T4426" s="100"/>
      <c r="U4426" s="100"/>
      <c r="V4426" s="100"/>
      <c r="W4426" s="100"/>
      <c r="X4426" s="100"/>
      <c r="Y4426" s="100"/>
      <c r="Z4426" s="100"/>
    </row>
    <row r="4427" spans="1:26">
      <c r="A4427" s="100"/>
      <c r="B4427" s="100"/>
      <c r="C4427" s="100"/>
      <c r="D4427" s="100"/>
      <c r="E4427" s="100"/>
      <c r="F4427" s="100"/>
      <c r="G4427" s="100"/>
      <c r="H4427" s="100"/>
      <c r="I4427" s="100"/>
      <c r="J4427" s="100"/>
      <c r="K4427" s="100"/>
      <c r="L4427" s="100"/>
      <c r="M4427" s="100"/>
      <c r="N4427" s="100"/>
      <c r="O4427" s="100"/>
      <c r="P4427" s="100"/>
      <c r="Q4427" s="100"/>
      <c r="R4427" s="100"/>
      <c r="S4427" s="100"/>
      <c r="T4427" s="100"/>
      <c r="U4427" s="100"/>
      <c r="V4427" s="100"/>
      <c r="W4427" s="100"/>
      <c r="X4427" s="100"/>
      <c r="Y4427" s="100"/>
      <c r="Z4427" s="100"/>
    </row>
    <row r="4428" spans="1:26">
      <c r="A4428" s="100"/>
      <c r="B4428" s="100"/>
      <c r="C4428" s="100"/>
      <c r="D4428" s="100"/>
      <c r="E4428" s="100"/>
      <c r="F4428" s="100"/>
      <c r="G4428" s="100"/>
      <c r="H4428" s="100"/>
      <c r="I4428" s="100"/>
      <c r="J4428" s="100"/>
      <c r="K4428" s="100"/>
      <c r="L4428" s="100"/>
      <c r="M4428" s="100"/>
      <c r="N4428" s="100"/>
      <c r="O4428" s="100"/>
      <c r="P4428" s="100"/>
      <c r="Q4428" s="100"/>
      <c r="R4428" s="100"/>
      <c r="S4428" s="100"/>
      <c r="T4428" s="100"/>
      <c r="U4428" s="100"/>
      <c r="V4428" s="100"/>
      <c r="W4428" s="100"/>
      <c r="X4428" s="100"/>
      <c r="Y4428" s="100"/>
      <c r="Z4428" s="100"/>
    </row>
    <row r="4429" spans="1:26">
      <c r="A4429" s="100"/>
      <c r="B4429" s="100"/>
      <c r="C4429" s="100"/>
      <c r="D4429" s="100"/>
      <c r="E4429" s="100"/>
      <c r="F4429" s="100"/>
      <c r="G4429" s="100"/>
      <c r="H4429" s="100"/>
      <c r="I4429" s="100"/>
      <c r="J4429" s="100"/>
      <c r="K4429" s="100"/>
      <c r="L4429" s="100"/>
      <c r="M4429" s="100"/>
      <c r="N4429" s="100"/>
      <c r="O4429" s="100"/>
      <c r="P4429" s="100"/>
      <c r="Q4429" s="100"/>
      <c r="R4429" s="100"/>
      <c r="S4429" s="100"/>
      <c r="T4429" s="100"/>
      <c r="U4429" s="100"/>
      <c r="V4429" s="100"/>
      <c r="W4429" s="100"/>
      <c r="X4429" s="100"/>
      <c r="Y4429" s="100"/>
      <c r="Z4429" s="100"/>
    </row>
    <row r="4430" spans="1:26">
      <c r="A4430" s="100"/>
      <c r="B4430" s="100"/>
      <c r="C4430" s="100"/>
      <c r="D4430" s="100"/>
      <c r="E4430" s="100"/>
      <c r="F4430" s="100"/>
      <c r="G4430" s="100"/>
      <c r="H4430" s="100"/>
      <c r="I4430" s="100"/>
      <c r="J4430" s="100"/>
      <c r="K4430" s="100"/>
      <c r="L4430" s="100"/>
      <c r="M4430" s="100"/>
      <c r="N4430" s="100"/>
      <c r="O4430" s="100"/>
      <c r="P4430" s="100"/>
      <c r="Q4430" s="100"/>
      <c r="R4430" s="100"/>
      <c r="S4430" s="100"/>
      <c r="T4430" s="100"/>
      <c r="U4430" s="100"/>
      <c r="V4430" s="100"/>
      <c r="W4430" s="100"/>
      <c r="X4430" s="100"/>
      <c r="Y4430" s="100"/>
      <c r="Z4430" s="100"/>
    </row>
    <row r="4431" spans="1:26">
      <c r="A4431" s="100"/>
      <c r="B4431" s="100"/>
      <c r="C4431" s="100"/>
      <c r="D4431" s="100"/>
      <c r="E4431" s="100"/>
      <c r="F4431" s="100"/>
      <c r="G4431" s="100"/>
      <c r="H4431" s="100"/>
      <c r="I4431" s="100"/>
      <c r="J4431" s="100"/>
      <c r="K4431" s="100"/>
      <c r="L4431" s="100"/>
      <c r="M4431" s="100"/>
      <c r="N4431" s="100"/>
      <c r="O4431" s="100"/>
      <c r="P4431" s="100"/>
      <c r="Q4431" s="100"/>
      <c r="R4431" s="100"/>
      <c r="S4431" s="100"/>
      <c r="T4431" s="100"/>
      <c r="U4431" s="100"/>
      <c r="V4431" s="100"/>
      <c r="W4431" s="100"/>
      <c r="X4431" s="100"/>
      <c r="Y4431" s="100"/>
      <c r="Z4431" s="100"/>
    </row>
    <row r="4432" spans="1:26">
      <c r="A4432" s="100"/>
      <c r="B4432" s="100"/>
      <c r="C4432" s="100"/>
      <c r="D4432" s="100"/>
      <c r="E4432" s="100"/>
      <c r="F4432" s="100"/>
      <c r="G4432" s="100"/>
      <c r="H4432" s="100"/>
      <c r="I4432" s="100"/>
      <c r="J4432" s="100"/>
      <c r="K4432" s="100"/>
      <c r="L4432" s="100"/>
      <c r="M4432" s="100"/>
      <c r="N4432" s="100"/>
      <c r="O4432" s="100"/>
      <c r="P4432" s="100"/>
      <c r="Q4432" s="100"/>
      <c r="R4432" s="100"/>
      <c r="S4432" s="100"/>
      <c r="T4432" s="100"/>
      <c r="U4432" s="100"/>
      <c r="V4432" s="100"/>
      <c r="W4432" s="100"/>
      <c r="X4432" s="100"/>
      <c r="Y4432" s="100"/>
      <c r="Z4432" s="100"/>
    </row>
    <row r="4433" spans="1:26">
      <c r="A4433" s="100"/>
      <c r="B4433" s="100"/>
      <c r="C4433" s="100"/>
      <c r="D4433" s="100"/>
      <c r="E4433" s="100"/>
      <c r="F4433" s="100"/>
      <c r="G4433" s="100"/>
      <c r="H4433" s="100"/>
      <c r="I4433" s="100"/>
      <c r="J4433" s="100"/>
      <c r="K4433" s="100"/>
      <c r="L4433" s="100"/>
      <c r="M4433" s="100"/>
      <c r="N4433" s="100"/>
      <c r="O4433" s="100"/>
      <c r="P4433" s="100"/>
      <c r="Q4433" s="100"/>
      <c r="R4433" s="100"/>
      <c r="S4433" s="100"/>
      <c r="T4433" s="100"/>
      <c r="U4433" s="100"/>
      <c r="V4433" s="100"/>
      <c r="W4433" s="100"/>
      <c r="X4433" s="100"/>
      <c r="Y4433" s="100"/>
      <c r="Z4433" s="100"/>
    </row>
    <row r="4434" spans="1:26">
      <c r="A4434" s="100"/>
      <c r="B4434" s="100"/>
      <c r="C4434" s="100"/>
      <c r="D4434" s="100"/>
      <c r="E4434" s="100"/>
      <c r="F4434" s="100"/>
      <c r="G4434" s="100"/>
      <c r="H4434" s="100"/>
      <c r="I4434" s="100"/>
      <c r="J4434" s="100"/>
      <c r="K4434" s="100"/>
      <c r="L4434" s="100"/>
      <c r="M4434" s="100"/>
      <c r="N4434" s="100"/>
      <c r="O4434" s="100"/>
      <c r="P4434" s="100"/>
      <c r="Q4434" s="100"/>
      <c r="R4434" s="100"/>
      <c r="S4434" s="100"/>
      <c r="T4434" s="100"/>
      <c r="U4434" s="100"/>
      <c r="V4434" s="100"/>
      <c r="W4434" s="100"/>
      <c r="X4434" s="100"/>
      <c r="Y4434" s="100"/>
      <c r="Z4434" s="100"/>
    </row>
    <row r="4435" spans="1:26">
      <c r="A4435" s="100"/>
      <c r="B4435" s="100"/>
      <c r="C4435" s="100"/>
      <c r="D4435" s="100"/>
      <c r="E4435" s="100"/>
      <c r="F4435" s="100"/>
      <c r="G4435" s="100"/>
      <c r="H4435" s="100"/>
      <c r="I4435" s="100"/>
      <c r="J4435" s="100"/>
      <c r="K4435" s="100"/>
      <c r="L4435" s="100"/>
      <c r="M4435" s="100"/>
      <c r="N4435" s="100"/>
      <c r="O4435" s="100"/>
      <c r="P4435" s="100"/>
      <c r="Q4435" s="100"/>
      <c r="R4435" s="100"/>
      <c r="S4435" s="100"/>
      <c r="T4435" s="100"/>
      <c r="U4435" s="100"/>
      <c r="V4435" s="100"/>
      <c r="W4435" s="100"/>
      <c r="X4435" s="100"/>
      <c r="Y4435" s="100"/>
      <c r="Z4435" s="100"/>
    </row>
    <row r="4436" spans="1:26">
      <c r="A4436" s="100"/>
      <c r="B4436" s="100"/>
      <c r="C4436" s="100"/>
      <c r="D4436" s="100"/>
      <c r="E4436" s="100"/>
      <c r="F4436" s="100"/>
      <c r="G4436" s="100"/>
      <c r="H4436" s="100"/>
      <c r="I4436" s="100"/>
      <c r="J4436" s="100"/>
      <c r="K4436" s="100"/>
      <c r="L4436" s="100"/>
      <c r="M4436" s="100"/>
      <c r="N4436" s="100"/>
      <c r="O4436" s="100"/>
      <c r="P4436" s="100"/>
      <c r="Q4436" s="100"/>
      <c r="R4436" s="100"/>
      <c r="S4436" s="100"/>
      <c r="T4436" s="100"/>
      <c r="U4436" s="100"/>
      <c r="V4436" s="100"/>
      <c r="W4436" s="100"/>
      <c r="X4436" s="100"/>
      <c r="Y4436" s="100"/>
      <c r="Z4436" s="100"/>
    </row>
    <row r="4437" spans="1:26">
      <c r="A4437" s="100"/>
      <c r="B4437" s="100"/>
      <c r="C4437" s="100"/>
      <c r="D4437" s="100"/>
      <c r="E4437" s="100"/>
      <c r="F4437" s="100"/>
      <c r="G4437" s="100"/>
      <c r="H4437" s="100"/>
      <c r="I4437" s="100"/>
      <c r="J4437" s="100"/>
      <c r="K4437" s="100"/>
      <c r="L4437" s="100"/>
      <c r="M4437" s="100"/>
      <c r="N4437" s="100"/>
      <c r="O4437" s="100"/>
      <c r="P4437" s="100"/>
      <c r="Q4437" s="100"/>
      <c r="R4437" s="100"/>
      <c r="S4437" s="100"/>
      <c r="T4437" s="100"/>
      <c r="U4437" s="100"/>
      <c r="V4437" s="100"/>
      <c r="W4437" s="100"/>
      <c r="X4437" s="100"/>
      <c r="Y4437" s="100"/>
      <c r="Z4437" s="100"/>
    </row>
    <row r="4438" spans="1:26">
      <c r="A4438" s="100"/>
      <c r="B4438" s="100"/>
      <c r="C4438" s="100"/>
      <c r="D4438" s="100"/>
      <c r="E4438" s="100"/>
      <c r="F4438" s="100"/>
      <c r="G4438" s="100"/>
      <c r="H4438" s="100"/>
      <c r="I4438" s="100"/>
      <c r="J4438" s="100"/>
      <c r="K4438" s="100"/>
      <c r="L4438" s="100"/>
      <c r="M4438" s="100"/>
      <c r="N4438" s="100"/>
      <c r="O4438" s="100"/>
      <c r="P4438" s="100"/>
      <c r="Q4438" s="100"/>
      <c r="R4438" s="100"/>
      <c r="S4438" s="100"/>
      <c r="T4438" s="100"/>
      <c r="U4438" s="100"/>
      <c r="V4438" s="100"/>
      <c r="W4438" s="100"/>
      <c r="X4438" s="100"/>
      <c r="Y4438" s="100"/>
      <c r="Z4438" s="100"/>
    </row>
    <row r="4439" spans="1:26">
      <c r="A4439" s="100"/>
      <c r="B4439" s="100"/>
      <c r="C4439" s="100"/>
      <c r="D4439" s="100"/>
      <c r="E4439" s="100"/>
      <c r="F4439" s="100"/>
      <c r="G4439" s="100"/>
      <c r="H4439" s="100"/>
      <c r="I4439" s="100"/>
      <c r="J4439" s="100"/>
      <c r="K4439" s="100"/>
      <c r="L4439" s="100"/>
      <c r="M4439" s="100"/>
      <c r="N4439" s="100"/>
      <c r="O4439" s="100"/>
      <c r="P4439" s="100"/>
      <c r="Q4439" s="100"/>
      <c r="R4439" s="100"/>
      <c r="S4439" s="100"/>
      <c r="T4439" s="100"/>
      <c r="U4439" s="100"/>
      <c r="V4439" s="100"/>
      <c r="W4439" s="100"/>
      <c r="X4439" s="100"/>
      <c r="Y4439" s="100"/>
      <c r="Z4439" s="100"/>
    </row>
    <row r="4440" spans="1:26">
      <c r="A4440" s="100"/>
      <c r="B4440" s="100"/>
      <c r="C4440" s="100"/>
      <c r="D4440" s="100"/>
      <c r="E4440" s="100"/>
      <c r="F4440" s="100"/>
      <c r="G4440" s="100"/>
      <c r="H4440" s="100"/>
      <c r="I4440" s="100"/>
      <c r="J4440" s="100"/>
      <c r="K4440" s="100"/>
      <c r="L4440" s="100"/>
      <c r="M4440" s="100"/>
      <c r="N4440" s="100"/>
      <c r="O4440" s="100"/>
      <c r="P4440" s="100"/>
      <c r="Q4440" s="100"/>
      <c r="R4440" s="100"/>
      <c r="S4440" s="100"/>
      <c r="T4440" s="100"/>
      <c r="U4440" s="100"/>
      <c r="V4440" s="100"/>
      <c r="W4440" s="100"/>
      <c r="X4440" s="100"/>
      <c r="Y4440" s="100"/>
      <c r="Z4440" s="100"/>
    </row>
    <row r="4441" spans="1:26">
      <c r="A4441" s="100"/>
      <c r="B4441" s="100"/>
      <c r="C4441" s="100"/>
      <c r="D4441" s="100"/>
      <c r="E4441" s="100"/>
      <c r="F4441" s="100"/>
      <c r="G4441" s="100"/>
      <c r="H4441" s="100"/>
      <c r="I4441" s="100"/>
      <c r="J4441" s="100"/>
      <c r="K4441" s="100"/>
      <c r="L4441" s="100"/>
      <c r="M4441" s="100"/>
      <c r="N4441" s="100"/>
      <c r="O4441" s="100"/>
      <c r="P4441" s="100"/>
      <c r="Q4441" s="100"/>
      <c r="R4441" s="100"/>
      <c r="S4441" s="100"/>
      <c r="T4441" s="100"/>
      <c r="U4441" s="100"/>
      <c r="V4441" s="100"/>
      <c r="W4441" s="100"/>
      <c r="X4441" s="100"/>
      <c r="Y4441" s="100"/>
      <c r="Z4441" s="100"/>
    </row>
    <row r="4442" spans="1:26">
      <c r="A4442" s="100"/>
      <c r="B4442" s="100"/>
      <c r="C4442" s="100"/>
      <c r="D4442" s="100"/>
      <c r="E4442" s="100"/>
      <c r="F4442" s="100"/>
      <c r="G4442" s="100"/>
      <c r="H4442" s="100"/>
      <c r="I4442" s="100"/>
      <c r="J4442" s="100"/>
      <c r="K4442" s="100"/>
      <c r="L4442" s="100"/>
      <c r="M4442" s="100"/>
      <c r="N4442" s="100"/>
      <c r="O4442" s="100"/>
      <c r="P4442" s="100"/>
      <c r="Q4442" s="100"/>
      <c r="R4442" s="100"/>
      <c r="S4442" s="100"/>
      <c r="T4442" s="100"/>
      <c r="U4442" s="100"/>
      <c r="V4442" s="100"/>
      <c r="W4442" s="100"/>
      <c r="X4442" s="100"/>
      <c r="Y4442" s="100"/>
      <c r="Z4442" s="100"/>
    </row>
    <row r="4443" spans="1:26">
      <c r="A4443" s="100"/>
      <c r="B4443" s="100"/>
      <c r="C4443" s="100"/>
      <c r="D4443" s="100"/>
      <c r="E4443" s="100"/>
      <c r="F4443" s="100"/>
      <c r="G4443" s="100"/>
      <c r="H4443" s="100"/>
      <c r="I4443" s="100"/>
      <c r="J4443" s="100"/>
      <c r="K4443" s="100"/>
      <c r="L4443" s="100"/>
      <c r="M4443" s="100"/>
      <c r="N4443" s="100"/>
      <c r="O4443" s="100"/>
      <c r="P4443" s="100"/>
      <c r="Q4443" s="100"/>
      <c r="R4443" s="100"/>
      <c r="S4443" s="100"/>
      <c r="T4443" s="100"/>
      <c r="U4443" s="100"/>
      <c r="V4443" s="100"/>
      <c r="W4443" s="100"/>
      <c r="X4443" s="100"/>
      <c r="Y4443" s="100"/>
      <c r="Z4443" s="100"/>
    </row>
    <row r="4444" spans="1:26">
      <c r="A4444" s="100"/>
      <c r="B4444" s="100"/>
      <c r="C4444" s="100"/>
      <c r="D4444" s="100"/>
      <c r="E4444" s="100"/>
      <c r="F4444" s="100"/>
      <c r="G4444" s="100"/>
      <c r="H4444" s="100"/>
      <c r="I4444" s="100"/>
      <c r="J4444" s="100"/>
      <c r="K4444" s="100"/>
      <c r="L4444" s="100"/>
      <c r="M4444" s="100"/>
      <c r="N4444" s="100"/>
      <c r="O4444" s="100"/>
      <c r="P4444" s="100"/>
      <c r="Q4444" s="100"/>
      <c r="R4444" s="100"/>
      <c r="S4444" s="100"/>
      <c r="T4444" s="100"/>
      <c r="U4444" s="100"/>
      <c r="V4444" s="100"/>
      <c r="W4444" s="100"/>
      <c r="X4444" s="100"/>
      <c r="Y4444" s="100"/>
      <c r="Z4444" s="100"/>
    </row>
    <row r="4445" spans="1:26">
      <c r="A4445" s="100"/>
      <c r="B4445" s="100"/>
      <c r="C4445" s="100"/>
      <c r="D4445" s="100"/>
      <c r="E4445" s="100"/>
      <c r="F4445" s="100"/>
      <c r="G4445" s="100"/>
      <c r="H4445" s="100"/>
      <c r="I4445" s="100"/>
      <c r="J4445" s="100"/>
      <c r="K4445" s="100"/>
      <c r="L4445" s="100"/>
      <c r="M4445" s="100"/>
      <c r="N4445" s="100"/>
      <c r="O4445" s="100"/>
      <c r="P4445" s="100"/>
      <c r="Q4445" s="100"/>
      <c r="R4445" s="100"/>
      <c r="S4445" s="100"/>
      <c r="T4445" s="100"/>
      <c r="U4445" s="100"/>
      <c r="V4445" s="100"/>
      <c r="W4445" s="100"/>
      <c r="X4445" s="100"/>
      <c r="Y4445" s="100"/>
      <c r="Z4445" s="100"/>
    </row>
    <row r="4446" spans="1:26">
      <c r="A4446" s="100"/>
      <c r="B4446" s="100"/>
      <c r="C4446" s="100"/>
      <c r="D4446" s="100"/>
      <c r="E4446" s="100"/>
      <c r="F4446" s="100"/>
      <c r="G4446" s="100"/>
      <c r="H4446" s="100"/>
      <c r="I4446" s="100"/>
      <c r="J4446" s="100"/>
      <c r="K4446" s="100"/>
      <c r="L4446" s="100"/>
      <c r="M4446" s="100"/>
      <c r="N4446" s="100"/>
      <c r="O4446" s="100"/>
      <c r="P4446" s="100"/>
      <c r="Q4446" s="100"/>
      <c r="R4446" s="100"/>
      <c r="S4446" s="100"/>
      <c r="T4446" s="100"/>
      <c r="U4446" s="100"/>
      <c r="V4446" s="100"/>
      <c r="W4446" s="100"/>
      <c r="X4446" s="100"/>
      <c r="Y4446" s="100"/>
      <c r="Z4446" s="100"/>
    </row>
    <row r="4447" spans="1:26">
      <c r="A4447" s="100"/>
      <c r="B4447" s="100"/>
      <c r="C4447" s="100"/>
      <c r="D4447" s="100"/>
      <c r="E4447" s="100"/>
      <c r="F4447" s="100"/>
      <c r="G4447" s="100"/>
      <c r="H4447" s="100"/>
      <c r="I4447" s="100"/>
      <c r="J4447" s="100"/>
      <c r="K4447" s="100"/>
      <c r="L4447" s="100"/>
      <c r="M4447" s="100"/>
      <c r="N4447" s="100"/>
      <c r="O4447" s="100"/>
      <c r="P4447" s="100"/>
      <c r="Q4447" s="100"/>
      <c r="R4447" s="100"/>
      <c r="S4447" s="100"/>
      <c r="T4447" s="100"/>
      <c r="U4447" s="100"/>
      <c r="V4447" s="100"/>
      <c r="W4447" s="100"/>
      <c r="X4447" s="100"/>
      <c r="Y4447" s="100"/>
      <c r="Z4447" s="100"/>
    </row>
    <row r="4448" spans="1:26">
      <c r="A4448" s="100"/>
      <c r="B4448" s="100"/>
      <c r="C4448" s="100"/>
      <c r="D4448" s="100"/>
      <c r="E4448" s="100"/>
      <c r="F4448" s="100"/>
      <c r="G4448" s="100"/>
      <c r="H4448" s="100"/>
      <c r="I4448" s="100"/>
      <c r="J4448" s="100"/>
      <c r="K4448" s="100"/>
      <c r="L4448" s="100"/>
      <c r="M4448" s="100"/>
      <c r="N4448" s="100"/>
      <c r="O4448" s="100"/>
      <c r="P4448" s="100"/>
      <c r="Q4448" s="100"/>
      <c r="R4448" s="100"/>
      <c r="S4448" s="100"/>
      <c r="T4448" s="100"/>
      <c r="U4448" s="100"/>
      <c r="V4448" s="100"/>
      <c r="W4448" s="100"/>
      <c r="X4448" s="100"/>
      <c r="Y4448" s="100"/>
      <c r="Z4448" s="100"/>
    </row>
    <row r="4449" spans="1:26">
      <c r="A4449" s="100"/>
      <c r="B4449" s="100"/>
      <c r="C4449" s="100"/>
      <c r="D4449" s="100"/>
      <c r="E4449" s="100"/>
      <c r="F4449" s="100"/>
      <c r="G4449" s="100"/>
      <c r="H4449" s="100"/>
      <c r="I4449" s="100"/>
      <c r="J4449" s="100"/>
      <c r="K4449" s="100"/>
      <c r="L4449" s="100"/>
      <c r="M4449" s="100"/>
      <c r="N4449" s="100"/>
      <c r="O4449" s="100"/>
      <c r="P4449" s="100"/>
      <c r="Q4449" s="100"/>
      <c r="R4449" s="100"/>
      <c r="S4449" s="100"/>
      <c r="T4449" s="100"/>
      <c r="U4449" s="100"/>
      <c r="V4449" s="100"/>
      <c r="W4449" s="100"/>
      <c r="X4449" s="100"/>
      <c r="Y4449" s="100"/>
      <c r="Z4449" s="100"/>
    </row>
    <row r="4450" spans="1:26">
      <c r="A4450" s="100"/>
      <c r="B4450" s="100"/>
      <c r="C4450" s="100"/>
      <c r="D4450" s="100"/>
      <c r="E4450" s="100"/>
      <c r="F4450" s="100"/>
      <c r="G4450" s="100"/>
      <c r="H4450" s="100"/>
      <c r="I4450" s="100"/>
      <c r="J4450" s="100"/>
      <c r="K4450" s="100"/>
      <c r="L4450" s="100"/>
      <c r="M4450" s="100"/>
      <c r="N4450" s="100"/>
      <c r="O4450" s="100"/>
      <c r="P4450" s="100"/>
      <c r="Q4450" s="100"/>
      <c r="R4450" s="100"/>
      <c r="S4450" s="100"/>
      <c r="T4450" s="100"/>
      <c r="U4450" s="100"/>
      <c r="V4450" s="100"/>
      <c r="W4450" s="100"/>
      <c r="X4450" s="100"/>
      <c r="Y4450" s="100"/>
      <c r="Z4450" s="100"/>
    </row>
    <row r="4451" spans="1:26">
      <c r="A4451" s="100"/>
      <c r="B4451" s="100"/>
      <c r="C4451" s="100"/>
      <c r="D4451" s="100"/>
      <c r="E4451" s="100"/>
      <c r="F4451" s="100"/>
      <c r="G4451" s="100"/>
      <c r="H4451" s="100"/>
      <c r="I4451" s="100"/>
      <c r="J4451" s="100"/>
      <c r="K4451" s="100"/>
      <c r="L4451" s="100"/>
      <c r="M4451" s="100"/>
      <c r="N4451" s="100"/>
      <c r="O4451" s="100"/>
      <c r="P4451" s="100"/>
      <c r="Q4451" s="100"/>
      <c r="R4451" s="100"/>
      <c r="S4451" s="100"/>
      <c r="T4451" s="100"/>
      <c r="U4451" s="100"/>
      <c r="V4451" s="100"/>
      <c r="W4451" s="100"/>
      <c r="X4451" s="100"/>
      <c r="Y4451" s="100"/>
      <c r="Z4451" s="100"/>
    </row>
    <row r="4452" spans="1:26">
      <c r="A4452" s="100"/>
      <c r="B4452" s="100"/>
      <c r="C4452" s="100"/>
      <c r="D4452" s="100"/>
      <c r="E4452" s="100"/>
      <c r="F4452" s="100"/>
      <c r="G4452" s="100"/>
      <c r="H4452" s="100"/>
      <c r="I4452" s="100"/>
      <c r="J4452" s="100"/>
      <c r="K4452" s="100"/>
      <c r="L4452" s="100"/>
      <c r="M4452" s="100"/>
      <c r="N4452" s="100"/>
      <c r="O4452" s="100"/>
      <c r="P4452" s="100"/>
      <c r="Q4452" s="100"/>
      <c r="R4452" s="100"/>
      <c r="S4452" s="100"/>
      <c r="T4452" s="100"/>
      <c r="U4452" s="100"/>
      <c r="V4452" s="100"/>
      <c r="W4452" s="100"/>
      <c r="X4452" s="100"/>
      <c r="Y4452" s="100"/>
      <c r="Z4452" s="100"/>
    </row>
    <row r="4453" spans="1:26">
      <c r="A4453" s="100"/>
      <c r="B4453" s="100"/>
      <c r="C4453" s="100"/>
      <c r="D4453" s="100"/>
      <c r="E4453" s="100"/>
      <c r="F4453" s="100"/>
      <c r="G4453" s="100"/>
      <c r="H4453" s="100"/>
      <c r="I4453" s="100"/>
      <c r="J4453" s="100"/>
      <c r="K4453" s="100"/>
      <c r="L4453" s="100"/>
      <c r="M4453" s="100"/>
      <c r="N4453" s="100"/>
      <c r="O4453" s="100"/>
      <c r="P4453" s="100"/>
      <c r="Q4453" s="100"/>
      <c r="R4453" s="100"/>
      <c r="S4453" s="100"/>
      <c r="T4453" s="100"/>
      <c r="U4453" s="100"/>
      <c r="V4453" s="100"/>
      <c r="W4453" s="100"/>
      <c r="X4453" s="100"/>
      <c r="Y4453" s="100"/>
      <c r="Z4453" s="100"/>
    </row>
    <row r="4454" spans="1:26">
      <c r="A4454" s="100"/>
      <c r="B4454" s="100"/>
      <c r="C4454" s="100"/>
      <c r="D4454" s="100"/>
      <c r="E4454" s="100"/>
      <c r="F4454" s="100"/>
      <c r="G4454" s="100"/>
      <c r="H4454" s="100"/>
      <c r="I4454" s="100"/>
      <c r="J4454" s="100"/>
      <c r="K4454" s="100"/>
      <c r="L4454" s="100"/>
      <c r="M4454" s="100"/>
      <c r="N4454" s="100"/>
      <c r="O4454" s="100"/>
      <c r="P4454" s="100"/>
      <c r="Q4454" s="100"/>
      <c r="R4454" s="100"/>
      <c r="S4454" s="100"/>
      <c r="T4454" s="100"/>
      <c r="U4454" s="100"/>
      <c r="V4454" s="100"/>
      <c r="W4454" s="100"/>
      <c r="X4454" s="100"/>
      <c r="Y4454" s="100"/>
      <c r="Z4454" s="100"/>
    </row>
    <row r="4455" spans="1:26">
      <c r="A4455" s="100"/>
      <c r="B4455" s="100"/>
      <c r="C4455" s="100"/>
      <c r="D4455" s="100"/>
      <c r="E4455" s="100"/>
      <c r="F4455" s="100"/>
      <c r="G4455" s="100"/>
      <c r="H4455" s="100"/>
      <c r="I4455" s="100"/>
      <c r="J4455" s="100"/>
      <c r="K4455" s="100"/>
      <c r="L4455" s="100"/>
      <c r="M4455" s="100"/>
      <c r="N4455" s="100"/>
      <c r="O4455" s="100"/>
      <c r="P4455" s="100"/>
      <c r="Q4455" s="100"/>
      <c r="R4455" s="100"/>
      <c r="S4455" s="100"/>
      <c r="T4455" s="100"/>
      <c r="U4455" s="100"/>
      <c r="V4455" s="100"/>
      <c r="W4455" s="100"/>
      <c r="X4455" s="100"/>
      <c r="Y4455" s="100"/>
      <c r="Z4455" s="100"/>
    </row>
    <row r="4456" spans="1:26">
      <c r="A4456" s="100"/>
      <c r="B4456" s="100"/>
      <c r="C4456" s="100"/>
      <c r="D4456" s="100"/>
      <c r="E4456" s="100"/>
      <c r="F4456" s="100"/>
      <c r="G4456" s="100"/>
      <c r="H4456" s="100"/>
      <c r="I4456" s="100"/>
      <c r="J4456" s="100"/>
      <c r="K4456" s="100"/>
      <c r="L4456" s="100"/>
      <c r="M4456" s="100"/>
      <c r="N4456" s="100"/>
      <c r="O4456" s="100"/>
      <c r="P4456" s="100"/>
      <c r="Q4456" s="100"/>
      <c r="R4456" s="100"/>
      <c r="S4456" s="100"/>
      <c r="T4456" s="100"/>
      <c r="U4456" s="100"/>
      <c r="V4456" s="100"/>
      <c r="W4456" s="100"/>
      <c r="X4456" s="100"/>
      <c r="Y4456" s="100"/>
      <c r="Z4456" s="100"/>
    </row>
    <row r="4457" spans="1:26">
      <c r="A4457" s="100"/>
      <c r="B4457" s="100"/>
      <c r="C4457" s="100"/>
      <c r="D4457" s="100"/>
      <c r="E4457" s="100"/>
      <c r="F4457" s="100"/>
      <c r="G4457" s="100"/>
      <c r="H4457" s="100"/>
      <c r="I4457" s="100"/>
      <c r="J4457" s="100"/>
      <c r="K4457" s="100"/>
      <c r="L4457" s="100"/>
      <c r="M4457" s="100"/>
      <c r="N4457" s="100"/>
      <c r="O4457" s="100"/>
      <c r="P4457" s="100"/>
      <c r="Q4457" s="100"/>
      <c r="R4457" s="100"/>
      <c r="S4457" s="100"/>
      <c r="T4457" s="100"/>
      <c r="U4457" s="100"/>
      <c r="V4457" s="100"/>
      <c r="W4457" s="100"/>
      <c r="X4457" s="100"/>
      <c r="Y4457" s="100"/>
      <c r="Z4457" s="100"/>
    </row>
    <row r="4458" spans="1:26">
      <c r="A4458" s="100"/>
      <c r="B4458" s="100"/>
      <c r="C4458" s="100"/>
      <c r="D4458" s="100"/>
      <c r="E4458" s="100"/>
      <c r="F4458" s="100"/>
      <c r="G4458" s="100"/>
      <c r="H4458" s="100"/>
      <c r="I4458" s="100"/>
      <c r="J4458" s="100"/>
      <c r="K4458" s="100"/>
      <c r="L4458" s="100"/>
      <c r="M4458" s="100"/>
      <c r="N4458" s="100"/>
      <c r="O4458" s="100"/>
      <c r="P4458" s="100"/>
      <c r="Q4458" s="100"/>
      <c r="R4458" s="100"/>
      <c r="S4458" s="100"/>
      <c r="T4458" s="100"/>
      <c r="U4458" s="100"/>
      <c r="V4458" s="100"/>
      <c r="W4458" s="100"/>
      <c r="X4458" s="100"/>
      <c r="Y4458" s="100"/>
      <c r="Z4458" s="100"/>
    </row>
    <row r="4459" spans="1:26">
      <c r="A4459" s="100"/>
      <c r="B4459" s="100"/>
      <c r="C4459" s="100"/>
      <c r="D4459" s="100"/>
      <c r="E4459" s="100"/>
      <c r="F4459" s="100"/>
      <c r="G4459" s="100"/>
      <c r="H4459" s="100"/>
      <c r="I4459" s="100"/>
      <c r="J4459" s="100"/>
      <c r="K4459" s="100"/>
      <c r="L4459" s="100"/>
      <c r="M4459" s="100"/>
      <c r="N4459" s="100"/>
      <c r="O4459" s="100"/>
      <c r="P4459" s="100"/>
      <c r="Q4459" s="100"/>
      <c r="R4459" s="100"/>
      <c r="S4459" s="100"/>
      <c r="T4459" s="100"/>
      <c r="U4459" s="100"/>
      <c r="V4459" s="100"/>
      <c r="W4459" s="100"/>
      <c r="X4459" s="100"/>
      <c r="Y4459" s="100"/>
      <c r="Z4459" s="100"/>
    </row>
    <row r="4460" spans="1:26">
      <c r="A4460" s="100"/>
      <c r="B4460" s="100"/>
      <c r="C4460" s="100"/>
      <c r="D4460" s="100"/>
      <c r="E4460" s="100"/>
      <c r="F4460" s="100"/>
      <c r="G4460" s="100"/>
      <c r="H4460" s="100"/>
      <c r="I4460" s="100"/>
      <c r="J4460" s="100"/>
      <c r="K4460" s="100"/>
      <c r="L4460" s="100"/>
      <c r="M4460" s="100"/>
      <c r="N4460" s="100"/>
      <c r="O4460" s="100"/>
      <c r="P4460" s="100"/>
      <c r="Q4460" s="100"/>
      <c r="R4460" s="100"/>
      <c r="S4460" s="100"/>
      <c r="T4460" s="100"/>
      <c r="U4460" s="100"/>
      <c r="V4460" s="100"/>
      <c r="W4460" s="100"/>
      <c r="X4460" s="100"/>
      <c r="Y4460" s="100"/>
      <c r="Z4460" s="100"/>
    </row>
    <row r="4461" spans="1:26">
      <c r="A4461" s="100"/>
      <c r="B4461" s="100"/>
      <c r="C4461" s="100"/>
      <c r="D4461" s="100"/>
      <c r="E4461" s="100"/>
      <c r="F4461" s="100"/>
      <c r="G4461" s="100"/>
      <c r="H4461" s="100"/>
      <c r="I4461" s="100"/>
      <c r="J4461" s="100"/>
      <c r="K4461" s="100"/>
      <c r="L4461" s="100"/>
      <c r="M4461" s="100"/>
      <c r="N4461" s="100"/>
      <c r="O4461" s="100"/>
      <c r="P4461" s="100"/>
      <c r="Q4461" s="100"/>
      <c r="R4461" s="100"/>
      <c r="S4461" s="100"/>
      <c r="T4461" s="100"/>
      <c r="U4461" s="100"/>
      <c r="V4461" s="100"/>
      <c r="W4461" s="100"/>
      <c r="X4461" s="100"/>
      <c r="Y4461" s="100"/>
      <c r="Z4461" s="100"/>
    </row>
    <row r="4462" spans="1:26">
      <c r="A4462" s="100"/>
      <c r="B4462" s="100"/>
      <c r="C4462" s="100"/>
      <c r="D4462" s="100"/>
      <c r="E4462" s="100"/>
      <c r="F4462" s="100"/>
      <c r="G4462" s="100"/>
      <c r="H4462" s="100"/>
      <c r="I4462" s="100"/>
      <c r="J4462" s="100"/>
      <c r="K4462" s="100"/>
      <c r="L4462" s="100"/>
      <c r="M4462" s="100"/>
      <c r="N4462" s="100"/>
      <c r="O4462" s="100"/>
      <c r="P4462" s="100"/>
      <c r="Q4462" s="100"/>
      <c r="R4462" s="100"/>
      <c r="S4462" s="100"/>
      <c r="T4462" s="100"/>
      <c r="U4462" s="100"/>
      <c r="V4462" s="100"/>
      <c r="W4462" s="100"/>
      <c r="X4462" s="100"/>
      <c r="Y4462" s="100"/>
      <c r="Z4462" s="100"/>
    </row>
    <row r="4463" spans="1:26">
      <c r="A4463" s="100"/>
      <c r="B4463" s="100"/>
      <c r="C4463" s="100"/>
      <c r="D4463" s="100"/>
      <c r="E4463" s="100"/>
      <c r="F4463" s="100"/>
      <c r="G4463" s="100"/>
      <c r="H4463" s="100"/>
      <c r="I4463" s="100"/>
      <c r="J4463" s="100"/>
      <c r="K4463" s="100"/>
      <c r="L4463" s="100"/>
      <c r="M4463" s="100"/>
      <c r="N4463" s="100"/>
      <c r="O4463" s="100"/>
      <c r="P4463" s="100"/>
      <c r="Q4463" s="100"/>
      <c r="R4463" s="100"/>
      <c r="S4463" s="100"/>
      <c r="T4463" s="100"/>
      <c r="U4463" s="100"/>
      <c r="V4463" s="100"/>
      <c r="W4463" s="100"/>
      <c r="X4463" s="100"/>
      <c r="Y4463" s="100"/>
      <c r="Z4463" s="100"/>
    </row>
    <row r="4464" spans="1:26">
      <c r="A4464" s="100"/>
      <c r="B4464" s="100"/>
      <c r="C4464" s="100"/>
      <c r="D4464" s="100"/>
      <c r="E4464" s="100"/>
      <c r="F4464" s="100"/>
      <c r="G4464" s="100"/>
      <c r="H4464" s="100"/>
      <c r="I4464" s="100"/>
      <c r="J4464" s="100"/>
      <c r="K4464" s="100"/>
      <c r="L4464" s="100"/>
      <c r="M4464" s="100"/>
      <c r="N4464" s="100"/>
      <c r="O4464" s="100"/>
      <c r="P4464" s="100"/>
      <c r="Q4464" s="100"/>
      <c r="R4464" s="100"/>
      <c r="S4464" s="100"/>
      <c r="T4464" s="100"/>
      <c r="U4464" s="100"/>
      <c r="V4464" s="100"/>
      <c r="W4464" s="100"/>
      <c r="X4464" s="100"/>
      <c r="Y4464" s="100"/>
      <c r="Z4464" s="100"/>
    </row>
    <row r="4465" spans="1:26">
      <c r="A4465" s="100"/>
      <c r="B4465" s="100"/>
      <c r="C4465" s="100"/>
      <c r="D4465" s="100"/>
      <c r="E4465" s="100"/>
      <c r="F4465" s="100"/>
      <c r="G4465" s="100"/>
      <c r="H4465" s="100"/>
      <c r="I4465" s="100"/>
      <c r="J4465" s="100"/>
      <c r="K4465" s="100"/>
      <c r="L4465" s="100"/>
      <c r="M4465" s="100"/>
      <c r="N4465" s="100"/>
      <c r="O4465" s="100"/>
      <c r="P4465" s="100"/>
      <c r="Q4465" s="100"/>
      <c r="R4465" s="100"/>
      <c r="S4465" s="100"/>
      <c r="T4465" s="100"/>
      <c r="U4465" s="100"/>
      <c r="V4465" s="100"/>
      <c r="W4465" s="100"/>
      <c r="X4465" s="100"/>
      <c r="Y4465" s="100"/>
      <c r="Z4465" s="100"/>
    </row>
    <row r="4466" spans="1:26">
      <c r="A4466" s="100"/>
      <c r="B4466" s="100"/>
      <c r="C4466" s="100"/>
      <c r="D4466" s="100"/>
      <c r="E4466" s="100"/>
      <c r="F4466" s="100"/>
      <c r="G4466" s="100"/>
      <c r="H4466" s="100"/>
      <c r="I4466" s="100"/>
      <c r="J4466" s="100"/>
      <c r="K4466" s="100"/>
      <c r="L4466" s="100"/>
      <c r="M4466" s="100"/>
      <c r="N4466" s="100"/>
      <c r="O4466" s="100"/>
      <c r="P4466" s="100"/>
      <c r="Q4466" s="100"/>
      <c r="R4466" s="100"/>
      <c r="S4466" s="100"/>
      <c r="T4466" s="100"/>
      <c r="U4466" s="100"/>
      <c r="V4466" s="100"/>
      <c r="W4466" s="100"/>
      <c r="X4466" s="100"/>
      <c r="Y4466" s="100"/>
      <c r="Z4466" s="100"/>
    </row>
    <row r="4467" spans="1:26">
      <c r="A4467" s="100"/>
      <c r="B4467" s="100"/>
      <c r="C4467" s="100"/>
      <c r="D4467" s="100"/>
      <c r="E4467" s="100"/>
      <c r="F4467" s="100"/>
      <c r="G4467" s="100"/>
      <c r="H4467" s="100"/>
      <c r="I4467" s="100"/>
      <c r="J4467" s="100"/>
      <c r="K4467" s="100"/>
      <c r="L4467" s="100"/>
      <c r="M4467" s="100"/>
      <c r="N4467" s="100"/>
      <c r="O4467" s="100"/>
      <c r="P4467" s="100"/>
      <c r="Q4467" s="100"/>
      <c r="R4467" s="100"/>
      <c r="S4467" s="100"/>
      <c r="T4467" s="100"/>
      <c r="U4467" s="100"/>
      <c r="V4467" s="100"/>
      <c r="W4467" s="100"/>
      <c r="X4467" s="100"/>
      <c r="Y4467" s="100"/>
      <c r="Z4467" s="100"/>
    </row>
    <row r="4468" spans="1:26">
      <c r="A4468" s="100"/>
      <c r="B4468" s="100"/>
      <c r="C4468" s="100"/>
      <c r="D4468" s="100"/>
      <c r="E4468" s="100"/>
      <c r="F4468" s="100"/>
      <c r="G4468" s="100"/>
      <c r="H4468" s="100"/>
      <c r="I4468" s="100"/>
      <c r="J4468" s="100"/>
      <c r="K4468" s="100"/>
      <c r="L4468" s="100"/>
      <c r="M4468" s="100"/>
      <c r="N4468" s="100"/>
      <c r="O4468" s="100"/>
      <c r="P4468" s="100"/>
      <c r="Q4468" s="100"/>
      <c r="R4468" s="100"/>
      <c r="S4468" s="100"/>
      <c r="T4468" s="100"/>
      <c r="U4468" s="100"/>
      <c r="V4468" s="100"/>
      <c r="W4468" s="100"/>
      <c r="X4468" s="100"/>
      <c r="Y4468" s="100"/>
      <c r="Z4468" s="100"/>
    </row>
    <row r="4469" spans="1:26">
      <c r="A4469" s="100"/>
      <c r="B4469" s="100"/>
      <c r="C4469" s="100"/>
      <c r="D4469" s="100"/>
      <c r="E4469" s="100"/>
      <c r="F4469" s="100"/>
      <c r="G4469" s="100"/>
      <c r="H4469" s="100"/>
      <c r="I4469" s="100"/>
      <c r="J4469" s="100"/>
      <c r="K4469" s="100"/>
      <c r="L4469" s="100"/>
      <c r="M4469" s="100"/>
      <c r="N4469" s="100"/>
      <c r="O4469" s="100"/>
      <c r="P4469" s="100"/>
      <c r="Q4469" s="100"/>
      <c r="R4469" s="100"/>
      <c r="S4469" s="100"/>
      <c r="T4469" s="100"/>
      <c r="U4469" s="100"/>
      <c r="V4469" s="100"/>
      <c r="W4469" s="100"/>
      <c r="X4469" s="100"/>
      <c r="Y4469" s="100"/>
      <c r="Z4469" s="100"/>
    </row>
    <row r="4470" spans="1:26">
      <c r="A4470" s="100"/>
      <c r="B4470" s="100"/>
      <c r="C4470" s="100"/>
      <c r="D4470" s="100"/>
      <c r="E4470" s="100"/>
      <c r="F4470" s="100"/>
      <c r="G4470" s="100"/>
      <c r="H4470" s="100"/>
      <c r="I4470" s="100"/>
      <c r="J4470" s="100"/>
      <c r="K4470" s="100"/>
      <c r="L4470" s="100"/>
      <c r="M4470" s="100"/>
      <c r="N4470" s="100"/>
      <c r="O4470" s="100"/>
      <c r="P4470" s="100"/>
      <c r="Q4470" s="100"/>
      <c r="R4470" s="100"/>
      <c r="S4470" s="100"/>
      <c r="T4470" s="100"/>
      <c r="U4470" s="100"/>
      <c r="V4470" s="100"/>
      <c r="W4470" s="100"/>
      <c r="X4470" s="100"/>
      <c r="Y4470" s="100"/>
      <c r="Z4470" s="100"/>
    </row>
    <row r="4471" spans="1:26">
      <c r="A4471" s="100"/>
      <c r="B4471" s="100"/>
      <c r="C4471" s="100"/>
      <c r="D4471" s="100"/>
      <c r="E4471" s="100"/>
      <c r="F4471" s="100"/>
      <c r="G4471" s="100"/>
      <c r="H4471" s="100"/>
      <c r="I4471" s="100"/>
      <c r="J4471" s="100"/>
      <c r="K4471" s="100"/>
      <c r="L4471" s="100"/>
      <c r="M4471" s="100"/>
      <c r="N4471" s="100"/>
      <c r="O4471" s="100"/>
      <c r="P4471" s="100"/>
      <c r="Q4471" s="100"/>
      <c r="R4471" s="100"/>
      <c r="S4471" s="100"/>
      <c r="T4471" s="100"/>
      <c r="U4471" s="100"/>
      <c r="V4471" s="100"/>
      <c r="W4471" s="100"/>
      <c r="X4471" s="100"/>
      <c r="Y4471" s="100"/>
      <c r="Z4471" s="100"/>
    </row>
    <row r="4472" spans="1:26">
      <c r="A4472" s="100"/>
      <c r="B4472" s="100"/>
      <c r="C4472" s="100"/>
      <c r="D4472" s="100"/>
      <c r="E4472" s="100"/>
      <c r="F4472" s="100"/>
      <c r="G4472" s="100"/>
      <c r="H4472" s="100"/>
      <c r="I4472" s="100"/>
      <c r="J4472" s="100"/>
      <c r="K4472" s="100"/>
      <c r="L4472" s="100"/>
      <c r="M4472" s="100"/>
      <c r="N4472" s="100"/>
      <c r="O4472" s="100"/>
      <c r="P4472" s="100"/>
      <c r="Q4472" s="100"/>
      <c r="R4472" s="100"/>
      <c r="S4472" s="100"/>
      <c r="T4472" s="100"/>
      <c r="U4472" s="100"/>
      <c r="V4472" s="100"/>
      <c r="W4472" s="100"/>
      <c r="X4472" s="100"/>
      <c r="Y4472" s="100"/>
      <c r="Z4472" s="100"/>
    </row>
    <row r="4473" spans="1:26">
      <c r="A4473" s="100"/>
      <c r="B4473" s="100"/>
      <c r="C4473" s="100"/>
      <c r="D4473" s="100"/>
      <c r="E4473" s="100"/>
      <c r="F4473" s="100"/>
      <c r="G4473" s="100"/>
      <c r="H4473" s="100"/>
      <c r="I4473" s="100"/>
      <c r="J4473" s="100"/>
      <c r="K4473" s="100"/>
      <c r="L4473" s="100"/>
      <c r="M4473" s="100"/>
      <c r="N4473" s="100"/>
      <c r="O4473" s="100"/>
      <c r="P4473" s="100"/>
      <c r="Q4473" s="100"/>
      <c r="R4473" s="100"/>
      <c r="S4473" s="100"/>
      <c r="T4473" s="100"/>
      <c r="U4473" s="100"/>
      <c r="V4473" s="100"/>
      <c r="W4473" s="100"/>
      <c r="X4473" s="100"/>
      <c r="Y4473" s="100"/>
      <c r="Z4473" s="100"/>
    </row>
    <row r="4474" spans="1:26">
      <c r="A4474" s="100"/>
      <c r="B4474" s="100"/>
      <c r="C4474" s="100"/>
      <c r="D4474" s="100"/>
      <c r="E4474" s="100"/>
      <c r="F4474" s="100"/>
      <c r="G4474" s="100"/>
      <c r="H4474" s="100"/>
      <c r="I4474" s="100"/>
      <c r="J4474" s="100"/>
      <c r="K4474" s="100"/>
      <c r="L4474" s="100"/>
      <c r="M4474" s="100"/>
      <c r="N4474" s="100"/>
      <c r="O4474" s="100"/>
      <c r="P4474" s="100"/>
      <c r="Q4474" s="100"/>
      <c r="R4474" s="100"/>
      <c r="S4474" s="100"/>
      <c r="T4474" s="100"/>
      <c r="U4474" s="100"/>
      <c r="V4474" s="100"/>
      <c r="W4474" s="100"/>
      <c r="X4474" s="100"/>
      <c r="Y4474" s="100"/>
      <c r="Z4474" s="100"/>
    </row>
    <row r="4475" spans="1:26">
      <c r="A4475" s="100"/>
      <c r="B4475" s="100"/>
      <c r="C4475" s="100"/>
      <c r="D4475" s="100"/>
      <c r="E4475" s="100"/>
      <c r="F4475" s="100"/>
      <c r="G4475" s="100"/>
      <c r="H4475" s="100"/>
      <c r="I4475" s="100"/>
      <c r="J4475" s="100"/>
      <c r="K4475" s="100"/>
      <c r="L4475" s="100"/>
      <c r="M4475" s="100"/>
      <c r="N4475" s="100"/>
      <c r="O4475" s="100"/>
      <c r="P4475" s="100"/>
      <c r="Q4475" s="100"/>
      <c r="R4475" s="100"/>
      <c r="S4475" s="100"/>
      <c r="T4475" s="100"/>
      <c r="U4475" s="100"/>
      <c r="V4475" s="100"/>
      <c r="W4475" s="100"/>
      <c r="X4475" s="100"/>
      <c r="Y4475" s="100"/>
      <c r="Z4475" s="100"/>
    </row>
    <row r="4476" spans="1:26">
      <c r="A4476" s="100"/>
      <c r="B4476" s="100"/>
      <c r="C4476" s="100"/>
      <c r="D4476" s="100"/>
      <c r="E4476" s="100"/>
      <c r="F4476" s="100"/>
      <c r="G4476" s="100"/>
      <c r="H4476" s="100"/>
      <c r="I4476" s="100"/>
      <c r="J4476" s="100"/>
      <c r="K4476" s="100"/>
      <c r="L4476" s="100"/>
      <c r="M4476" s="100"/>
      <c r="N4476" s="100"/>
      <c r="O4476" s="100"/>
      <c r="P4476" s="100"/>
      <c r="Q4476" s="100"/>
      <c r="R4476" s="100"/>
      <c r="S4476" s="100"/>
      <c r="T4476" s="100"/>
      <c r="U4476" s="100"/>
      <c r="V4476" s="100"/>
      <c r="W4476" s="100"/>
      <c r="X4476" s="100"/>
      <c r="Y4476" s="100"/>
      <c r="Z4476" s="100"/>
    </row>
    <row r="4477" spans="1:26">
      <c r="A4477" s="100"/>
      <c r="B4477" s="100"/>
      <c r="C4477" s="100"/>
      <c r="D4477" s="100"/>
      <c r="E4477" s="100"/>
      <c r="F4477" s="100"/>
      <c r="G4477" s="100"/>
      <c r="H4477" s="100"/>
      <c r="I4477" s="100"/>
      <c r="J4477" s="100"/>
      <c r="K4477" s="100"/>
      <c r="L4477" s="100"/>
      <c r="M4477" s="100"/>
      <c r="N4477" s="100"/>
      <c r="O4477" s="100"/>
      <c r="P4477" s="100"/>
      <c r="Q4477" s="100"/>
      <c r="R4477" s="100"/>
      <c r="S4477" s="100"/>
      <c r="T4477" s="100"/>
      <c r="U4477" s="100"/>
      <c r="V4477" s="100"/>
      <c r="W4477" s="100"/>
      <c r="X4477" s="100"/>
      <c r="Y4477" s="100"/>
      <c r="Z4477" s="100"/>
    </row>
    <row r="4478" spans="1:26">
      <c r="A4478" s="100"/>
      <c r="B4478" s="100"/>
      <c r="C4478" s="100"/>
      <c r="D4478" s="100"/>
      <c r="E4478" s="100"/>
      <c r="F4478" s="100"/>
      <c r="G4478" s="100"/>
      <c r="H4478" s="100"/>
      <c r="I4478" s="100"/>
      <c r="J4478" s="100"/>
      <c r="K4478" s="100"/>
      <c r="L4478" s="100"/>
      <c r="M4478" s="100"/>
      <c r="N4478" s="100"/>
      <c r="O4478" s="100"/>
      <c r="P4478" s="100"/>
      <c r="Q4478" s="100"/>
      <c r="R4478" s="100"/>
      <c r="S4478" s="100"/>
      <c r="T4478" s="100"/>
      <c r="U4478" s="100"/>
      <c r="V4478" s="100"/>
      <c r="W4478" s="100"/>
      <c r="X4478" s="100"/>
      <c r="Y4478" s="100"/>
      <c r="Z4478" s="100"/>
    </row>
    <row r="4479" spans="1:26">
      <c r="A4479" s="100"/>
      <c r="B4479" s="100"/>
      <c r="C4479" s="100"/>
      <c r="D4479" s="100"/>
      <c r="E4479" s="100"/>
      <c r="F4479" s="100"/>
      <c r="G4479" s="100"/>
      <c r="H4479" s="100"/>
      <c r="I4479" s="100"/>
      <c r="J4479" s="100"/>
      <c r="K4479" s="100"/>
      <c r="L4479" s="100"/>
      <c r="M4479" s="100"/>
      <c r="N4479" s="100"/>
      <c r="O4479" s="100"/>
      <c r="P4479" s="100"/>
      <c r="Q4479" s="100"/>
      <c r="R4479" s="100"/>
      <c r="S4479" s="100"/>
      <c r="T4479" s="100"/>
      <c r="U4479" s="100"/>
      <c r="V4479" s="100"/>
      <c r="W4479" s="100"/>
      <c r="X4479" s="100"/>
      <c r="Y4479" s="100"/>
      <c r="Z4479" s="100"/>
    </row>
    <row r="4480" spans="1:26">
      <c r="A4480" s="100"/>
      <c r="B4480" s="100"/>
      <c r="C4480" s="100"/>
      <c r="D4480" s="100"/>
      <c r="E4480" s="100"/>
      <c r="F4480" s="100"/>
      <c r="G4480" s="100"/>
      <c r="H4480" s="100"/>
      <c r="I4480" s="100"/>
      <c r="J4480" s="100"/>
      <c r="K4480" s="100"/>
      <c r="L4480" s="100"/>
      <c r="M4480" s="100"/>
      <c r="N4480" s="100"/>
      <c r="O4480" s="100"/>
      <c r="P4480" s="100"/>
      <c r="Q4480" s="100"/>
      <c r="R4480" s="100"/>
      <c r="S4480" s="100"/>
      <c r="T4480" s="100"/>
      <c r="U4480" s="100"/>
      <c r="V4480" s="100"/>
      <c r="W4480" s="100"/>
      <c r="X4480" s="100"/>
      <c r="Y4480" s="100"/>
      <c r="Z4480" s="100"/>
    </row>
    <row r="4481" spans="1:26">
      <c r="A4481" s="100"/>
      <c r="B4481" s="100"/>
      <c r="C4481" s="100"/>
      <c r="D4481" s="100"/>
      <c r="E4481" s="100"/>
      <c r="F4481" s="100"/>
      <c r="G4481" s="100"/>
      <c r="H4481" s="100"/>
      <c r="I4481" s="100"/>
      <c r="J4481" s="100"/>
      <c r="K4481" s="100"/>
      <c r="L4481" s="100"/>
      <c r="M4481" s="100"/>
      <c r="N4481" s="100"/>
      <c r="O4481" s="100"/>
      <c r="P4481" s="100"/>
      <c r="Q4481" s="100"/>
      <c r="R4481" s="100"/>
      <c r="S4481" s="100"/>
      <c r="T4481" s="100"/>
      <c r="U4481" s="100"/>
      <c r="V4481" s="100"/>
      <c r="W4481" s="100"/>
      <c r="X4481" s="100"/>
      <c r="Y4481" s="100"/>
      <c r="Z4481" s="100"/>
    </row>
    <row r="4482" spans="1:26">
      <c r="A4482" s="100"/>
      <c r="B4482" s="100"/>
      <c r="C4482" s="100"/>
      <c r="D4482" s="100"/>
      <c r="E4482" s="100"/>
      <c r="F4482" s="100"/>
      <c r="G4482" s="100"/>
      <c r="H4482" s="100"/>
      <c r="I4482" s="100"/>
      <c r="J4482" s="100"/>
      <c r="K4482" s="100"/>
      <c r="L4482" s="100"/>
      <c r="M4482" s="100"/>
      <c r="N4482" s="100"/>
      <c r="O4482" s="100"/>
      <c r="P4482" s="100"/>
      <c r="Q4482" s="100"/>
      <c r="R4482" s="100"/>
      <c r="S4482" s="100"/>
      <c r="T4482" s="100"/>
      <c r="U4482" s="100"/>
      <c r="V4482" s="100"/>
      <c r="W4482" s="100"/>
      <c r="X4482" s="100"/>
      <c r="Y4482" s="100"/>
      <c r="Z4482" s="100"/>
    </row>
    <row r="4483" spans="1:26">
      <c r="A4483" s="100"/>
      <c r="B4483" s="100"/>
      <c r="C4483" s="100"/>
      <c r="D4483" s="100"/>
      <c r="E4483" s="100"/>
      <c r="F4483" s="100"/>
      <c r="G4483" s="100"/>
      <c r="H4483" s="100"/>
      <c r="I4483" s="100"/>
      <c r="J4483" s="100"/>
      <c r="K4483" s="100"/>
      <c r="L4483" s="100"/>
      <c r="M4483" s="100"/>
      <c r="N4483" s="100"/>
      <c r="O4483" s="100"/>
      <c r="P4483" s="100"/>
      <c r="Q4483" s="100"/>
      <c r="R4483" s="100"/>
      <c r="S4483" s="100"/>
      <c r="T4483" s="100"/>
      <c r="U4483" s="100"/>
      <c r="V4483" s="100"/>
      <c r="W4483" s="100"/>
      <c r="X4483" s="100"/>
      <c r="Y4483" s="100"/>
      <c r="Z4483" s="100"/>
    </row>
    <row r="4484" spans="1:26">
      <c r="A4484" s="100"/>
      <c r="B4484" s="100"/>
      <c r="C4484" s="100"/>
      <c r="D4484" s="100"/>
      <c r="E4484" s="100"/>
      <c r="F4484" s="100"/>
      <c r="G4484" s="100"/>
      <c r="H4484" s="100"/>
      <c r="I4484" s="100"/>
      <c r="J4484" s="100"/>
      <c r="K4484" s="100"/>
      <c r="L4484" s="100"/>
      <c r="M4484" s="100"/>
      <c r="N4484" s="100"/>
      <c r="O4484" s="100"/>
      <c r="P4484" s="100"/>
      <c r="Q4484" s="100"/>
      <c r="R4484" s="100"/>
      <c r="S4484" s="100"/>
      <c r="T4484" s="100"/>
      <c r="U4484" s="100"/>
      <c r="V4484" s="100"/>
      <c r="W4484" s="100"/>
      <c r="X4484" s="100"/>
      <c r="Y4484" s="100"/>
      <c r="Z4484" s="100"/>
    </row>
    <row r="4485" spans="1:26">
      <c r="A4485" s="100"/>
      <c r="B4485" s="100"/>
      <c r="C4485" s="100"/>
      <c r="D4485" s="100"/>
      <c r="E4485" s="100"/>
      <c r="F4485" s="100"/>
      <c r="G4485" s="100"/>
      <c r="H4485" s="100"/>
      <c r="I4485" s="100"/>
      <c r="J4485" s="100"/>
      <c r="K4485" s="100"/>
      <c r="L4485" s="100"/>
      <c r="M4485" s="100"/>
      <c r="N4485" s="100"/>
      <c r="O4485" s="100"/>
      <c r="P4485" s="100"/>
      <c r="Q4485" s="100"/>
      <c r="R4485" s="100"/>
      <c r="S4485" s="100"/>
      <c r="T4485" s="100"/>
      <c r="U4485" s="100"/>
      <c r="V4485" s="100"/>
      <c r="W4485" s="100"/>
      <c r="X4485" s="100"/>
      <c r="Y4485" s="100"/>
      <c r="Z4485" s="100"/>
    </row>
    <row r="4486" spans="1:26">
      <c r="A4486" s="100"/>
      <c r="B4486" s="100"/>
      <c r="C4486" s="100"/>
      <c r="D4486" s="100"/>
      <c r="E4486" s="100"/>
      <c r="F4486" s="100"/>
      <c r="G4486" s="100"/>
      <c r="H4486" s="100"/>
      <c r="I4486" s="100"/>
      <c r="J4486" s="100"/>
      <c r="K4486" s="100"/>
      <c r="L4486" s="100"/>
      <c r="M4486" s="100"/>
      <c r="N4486" s="100"/>
      <c r="O4486" s="100"/>
      <c r="P4486" s="100"/>
      <c r="Q4486" s="100"/>
      <c r="R4486" s="100"/>
      <c r="S4486" s="100"/>
      <c r="T4486" s="100"/>
      <c r="U4486" s="100"/>
      <c r="V4486" s="100"/>
      <c r="W4486" s="100"/>
      <c r="X4486" s="100"/>
      <c r="Y4486" s="100"/>
      <c r="Z4486" s="100"/>
    </row>
    <row r="4487" spans="1:26">
      <c r="A4487" s="100"/>
      <c r="B4487" s="100"/>
      <c r="C4487" s="100"/>
      <c r="D4487" s="100"/>
      <c r="E4487" s="100"/>
      <c r="F4487" s="100"/>
      <c r="G4487" s="100"/>
      <c r="H4487" s="100"/>
      <c r="I4487" s="100"/>
      <c r="J4487" s="100"/>
      <c r="K4487" s="100"/>
      <c r="L4487" s="100"/>
      <c r="M4487" s="100"/>
      <c r="N4487" s="100"/>
      <c r="O4487" s="100"/>
      <c r="P4487" s="100"/>
      <c r="Q4487" s="100"/>
      <c r="R4487" s="100"/>
      <c r="S4487" s="100"/>
      <c r="T4487" s="100"/>
      <c r="U4487" s="100"/>
      <c r="V4487" s="100"/>
      <c r="W4487" s="100"/>
      <c r="X4487" s="100"/>
      <c r="Y4487" s="100"/>
      <c r="Z4487" s="100"/>
    </row>
    <row r="4488" spans="1:26">
      <c r="A4488" s="100"/>
      <c r="B4488" s="100"/>
      <c r="C4488" s="100"/>
      <c r="D4488" s="100"/>
      <c r="E4488" s="100"/>
      <c r="F4488" s="100"/>
      <c r="G4488" s="100"/>
      <c r="H4488" s="100"/>
      <c r="I4488" s="100"/>
      <c r="J4488" s="100"/>
      <c r="K4488" s="100"/>
      <c r="L4488" s="100"/>
      <c r="M4488" s="100"/>
      <c r="N4488" s="100"/>
      <c r="O4488" s="100"/>
      <c r="P4488" s="100"/>
      <c r="Q4488" s="100"/>
      <c r="R4488" s="100"/>
      <c r="S4488" s="100"/>
      <c r="T4488" s="100"/>
      <c r="U4488" s="100"/>
      <c r="V4488" s="100"/>
      <c r="W4488" s="100"/>
      <c r="X4488" s="100"/>
      <c r="Y4488" s="100"/>
      <c r="Z4488" s="100"/>
    </row>
    <row r="4489" spans="1:26">
      <c r="A4489" s="100"/>
      <c r="B4489" s="100"/>
      <c r="C4489" s="100"/>
      <c r="D4489" s="100"/>
      <c r="E4489" s="100"/>
      <c r="F4489" s="100"/>
      <c r="G4489" s="100"/>
      <c r="H4489" s="100"/>
      <c r="I4489" s="100"/>
      <c r="J4489" s="100"/>
      <c r="K4489" s="100"/>
      <c r="L4489" s="100"/>
      <c r="M4489" s="100"/>
      <c r="N4489" s="100"/>
      <c r="O4489" s="100"/>
      <c r="P4489" s="100"/>
      <c r="Q4489" s="100"/>
      <c r="R4489" s="100"/>
      <c r="S4489" s="100"/>
      <c r="T4489" s="100"/>
      <c r="U4489" s="100"/>
      <c r="V4489" s="100"/>
      <c r="W4489" s="100"/>
      <c r="X4489" s="100"/>
      <c r="Y4489" s="100"/>
      <c r="Z4489" s="100"/>
    </row>
    <row r="4490" spans="1:26">
      <c r="A4490" s="100"/>
      <c r="B4490" s="100"/>
      <c r="C4490" s="100"/>
      <c r="D4490" s="100"/>
      <c r="E4490" s="100"/>
      <c r="F4490" s="100"/>
      <c r="G4490" s="100"/>
      <c r="H4490" s="100"/>
      <c r="I4490" s="100"/>
      <c r="J4490" s="100"/>
      <c r="K4490" s="100"/>
      <c r="L4490" s="100"/>
      <c r="M4490" s="100"/>
      <c r="N4490" s="100"/>
      <c r="O4490" s="100"/>
      <c r="P4490" s="100"/>
      <c r="Q4490" s="100"/>
      <c r="R4490" s="100"/>
      <c r="S4490" s="100"/>
      <c r="T4490" s="100"/>
      <c r="U4490" s="100"/>
      <c r="V4490" s="100"/>
      <c r="W4490" s="100"/>
      <c r="X4490" s="100"/>
      <c r="Y4490" s="100"/>
      <c r="Z4490" s="100"/>
    </row>
    <row r="4491" spans="1:26">
      <c r="A4491" s="100"/>
      <c r="B4491" s="100"/>
      <c r="C4491" s="100"/>
      <c r="D4491" s="100"/>
      <c r="E4491" s="100"/>
      <c r="F4491" s="100"/>
      <c r="G4491" s="100"/>
      <c r="H4491" s="100"/>
      <c r="I4491" s="100"/>
      <c r="J4491" s="100"/>
      <c r="K4491" s="100"/>
      <c r="L4491" s="100"/>
      <c r="M4491" s="100"/>
      <c r="N4491" s="100"/>
      <c r="O4491" s="100"/>
      <c r="P4491" s="100"/>
      <c r="Q4491" s="100"/>
      <c r="R4491" s="100"/>
      <c r="S4491" s="100"/>
      <c r="T4491" s="100"/>
      <c r="U4491" s="100"/>
      <c r="V4491" s="100"/>
      <c r="W4491" s="100"/>
      <c r="X4491" s="100"/>
      <c r="Y4491" s="100"/>
      <c r="Z4491" s="100"/>
    </row>
    <row r="4492" spans="1:26">
      <c r="A4492" s="100"/>
      <c r="B4492" s="100"/>
      <c r="C4492" s="100"/>
      <c r="D4492" s="100"/>
      <c r="E4492" s="100"/>
      <c r="F4492" s="100"/>
      <c r="G4492" s="100"/>
      <c r="H4492" s="100"/>
      <c r="I4492" s="100"/>
      <c r="J4492" s="100"/>
      <c r="K4492" s="100"/>
      <c r="L4492" s="100"/>
      <c r="M4492" s="100"/>
      <c r="N4492" s="100"/>
      <c r="O4492" s="100"/>
      <c r="P4492" s="100"/>
      <c r="Q4492" s="100"/>
      <c r="R4492" s="100"/>
      <c r="S4492" s="100"/>
      <c r="T4492" s="100"/>
      <c r="U4492" s="100"/>
      <c r="V4492" s="100"/>
      <c r="W4492" s="100"/>
      <c r="X4492" s="100"/>
      <c r="Y4492" s="100"/>
      <c r="Z4492" s="100"/>
    </row>
    <row r="4493" spans="1:26">
      <c r="A4493" s="100"/>
      <c r="B4493" s="100"/>
      <c r="C4493" s="100"/>
      <c r="D4493" s="100"/>
      <c r="E4493" s="100"/>
      <c r="F4493" s="100"/>
      <c r="G4493" s="100"/>
      <c r="H4493" s="100"/>
      <c r="I4493" s="100"/>
      <c r="J4493" s="100"/>
      <c r="K4493" s="100"/>
      <c r="L4493" s="100"/>
      <c r="M4493" s="100"/>
      <c r="N4493" s="100"/>
      <c r="O4493" s="100"/>
      <c r="P4493" s="100"/>
      <c r="Q4493" s="100"/>
      <c r="R4493" s="100"/>
      <c r="S4493" s="100"/>
      <c r="T4493" s="100"/>
      <c r="U4493" s="100"/>
      <c r="V4493" s="100"/>
      <c r="W4493" s="100"/>
      <c r="X4493" s="100"/>
      <c r="Y4493" s="100"/>
      <c r="Z4493" s="100"/>
    </row>
    <row r="4494" spans="1:26">
      <c r="A4494" s="100"/>
      <c r="B4494" s="100"/>
      <c r="C4494" s="100"/>
      <c r="D4494" s="100"/>
      <c r="E4494" s="100"/>
      <c r="F4494" s="100"/>
      <c r="G4494" s="100"/>
      <c r="H4494" s="100"/>
      <c r="I4494" s="100"/>
      <c r="J4494" s="100"/>
      <c r="K4494" s="100"/>
      <c r="L4494" s="100"/>
      <c r="M4494" s="100"/>
      <c r="N4494" s="100"/>
      <c r="O4494" s="100"/>
      <c r="P4494" s="100"/>
      <c r="Q4494" s="100"/>
      <c r="R4494" s="100"/>
      <c r="S4494" s="100"/>
      <c r="T4494" s="100"/>
      <c r="U4494" s="100"/>
      <c r="V4494" s="100"/>
      <c r="W4494" s="100"/>
      <c r="X4494" s="100"/>
      <c r="Y4494" s="100"/>
      <c r="Z4494" s="100"/>
    </row>
    <row r="4495" spans="1:26">
      <c r="A4495" s="100"/>
      <c r="B4495" s="100"/>
      <c r="C4495" s="100"/>
      <c r="D4495" s="100"/>
      <c r="E4495" s="100"/>
      <c r="F4495" s="100"/>
      <c r="G4495" s="100"/>
      <c r="H4495" s="100"/>
      <c r="I4495" s="100"/>
      <c r="J4495" s="100"/>
      <c r="K4495" s="100"/>
      <c r="L4495" s="100"/>
      <c r="M4495" s="100"/>
      <c r="N4495" s="100"/>
      <c r="O4495" s="100"/>
      <c r="P4495" s="100"/>
      <c r="Q4495" s="100"/>
      <c r="R4495" s="100"/>
      <c r="S4495" s="100"/>
      <c r="T4495" s="100"/>
      <c r="U4495" s="100"/>
      <c r="V4495" s="100"/>
      <c r="W4495" s="100"/>
      <c r="X4495" s="100"/>
      <c r="Y4495" s="100"/>
      <c r="Z4495" s="100"/>
    </row>
    <row r="4496" spans="1:26">
      <c r="A4496" s="100"/>
      <c r="B4496" s="100"/>
      <c r="C4496" s="100"/>
      <c r="D4496" s="100"/>
      <c r="E4496" s="100"/>
      <c r="F4496" s="100"/>
      <c r="G4496" s="100"/>
      <c r="H4496" s="100"/>
      <c r="I4496" s="100"/>
      <c r="J4496" s="100"/>
      <c r="K4496" s="100"/>
      <c r="L4496" s="100"/>
      <c r="M4496" s="100"/>
      <c r="N4496" s="100"/>
      <c r="O4496" s="100"/>
      <c r="P4496" s="100"/>
      <c r="Q4496" s="100"/>
      <c r="R4496" s="100"/>
      <c r="S4496" s="100"/>
      <c r="T4496" s="100"/>
      <c r="U4496" s="100"/>
      <c r="V4496" s="100"/>
      <c r="W4496" s="100"/>
      <c r="X4496" s="100"/>
      <c r="Y4496" s="100"/>
      <c r="Z4496" s="100"/>
    </row>
    <row r="4497" spans="1:26">
      <c r="A4497" s="100"/>
      <c r="B4497" s="100"/>
      <c r="C4497" s="100"/>
      <c r="D4497" s="100"/>
      <c r="E4497" s="100"/>
      <c r="F4497" s="100"/>
      <c r="G4497" s="100"/>
      <c r="H4497" s="100"/>
      <c r="I4497" s="100"/>
      <c r="J4497" s="100"/>
      <c r="K4497" s="100"/>
      <c r="L4497" s="100"/>
      <c r="M4497" s="100"/>
      <c r="N4497" s="100"/>
      <c r="O4497" s="100"/>
      <c r="P4497" s="100"/>
      <c r="Q4497" s="100"/>
      <c r="R4497" s="100"/>
      <c r="S4497" s="100"/>
      <c r="T4497" s="100"/>
      <c r="U4497" s="100"/>
      <c r="V4497" s="100"/>
      <c r="W4497" s="100"/>
      <c r="X4497" s="100"/>
      <c r="Y4497" s="100"/>
      <c r="Z4497" s="100"/>
    </row>
    <row r="4498" spans="1:26">
      <c r="A4498" s="100"/>
      <c r="B4498" s="100"/>
      <c r="C4498" s="100"/>
      <c r="D4498" s="100"/>
      <c r="E4498" s="100"/>
      <c r="F4498" s="100"/>
      <c r="G4498" s="100"/>
      <c r="H4498" s="100"/>
      <c r="I4498" s="100"/>
      <c r="J4498" s="100"/>
      <c r="K4498" s="100"/>
      <c r="L4498" s="100"/>
      <c r="M4498" s="100"/>
      <c r="N4498" s="100"/>
      <c r="O4498" s="100"/>
      <c r="P4498" s="100"/>
      <c r="Q4498" s="100"/>
      <c r="R4498" s="100"/>
      <c r="S4498" s="100"/>
      <c r="T4498" s="100"/>
      <c r="U4498" s="100"/>
      <c r="V4498" s="100"/>
      <c r="W4498" s="100"/>
      <c r="X4498" s="100"/>
      <c r="Y4498" s="100"/>
      <c r="Z4498" s="100"/>
    </row>
    <row r="4499" spans="1:26">
      <c r="A4499" s="100"/>
      <c r="B4499" s="100"/>
      <c r="C4499" s="100"/>
      <c r="D4499" s="100"/>
      <c r="E4499" s="100"/>
      <c r="F4499" s="100"/>
      <c r="G4499" s="100"/>
      <c r="H4499" s="100"/>
      <c r="I4499" s="100"/>
      <c r="J4499" s="100"/>
      <c r="K4499" s="100"/>
      <c r="L4499" s="100"/>
      <c r="M4499" s="100"/>
      <c r="N4499" s="100"/>
      <c r="O4499" s="100"/>
      <c r="P4499" s="100"/>
      <c r="Q4499" s="100"/>
      <c r="R4499" s="100"/>
      <c r="S4499" s="100"/>
      <c r="T4499" s="100"/>
      <c r="U4499" s="100"/>
      <c r="V4499" s="100"/>
      <c r="W4499" s="100"/>
      <c r="X4499" s="100"/>
      <c r="Y4499" s="100"/>
      <c r="Z4499" s="100"/>
    </row>
    <row r="4500" spans="1:26">
      <c r="A4500" s="100"/>
      <c r="B4500" s="100"/>
      <c r="C4500" s="100"/>
      <c r="D4500" s="100"/>
      <c r="E4500" s="100"/>
      <c r="F4500" s="100"/>
      <c r="G4500" s="100"/>
      <c r="H4500" s="100"/>
      <c r="I4500" s="100"/>
      <c r="J4500" s="100"/>
      <c r="K4500" s="100"/>
      <c r="L4500" s="100"/>
      <c r="M4500" s="100"/>
      <c r="N4500" s="100"/>
      <c r="O4500" s="100"/>
      <c r="P4500" s="100"/>
      <c r="Q4500" s="100"/>
      <c r="R4500" s="100"/>
      <c r="S4500" s="100"/>
      <c r="T4500" s="100"/>
      <c r="U4500" s="100"/>
      <c r="V4500" s="100"/>
      <c r="W4500" s="100"/>
      <c r="X4500" s="100"/>
      <c r="Y4500" s="100"/>
      <c r="Z4500" s="100"/>
    </row>
    <row r="4501" spans="1:26">
      <c r="A4501" s="100"/>
      <c r="B4501" s="100"/>
      <c r="C4501" s="100"/>
      <c r="D4501" s="100"/>
      <c r="E4501" s="100"/>
      <c r="F4501" s="100"/>
      <c r="G4501" s="100"/>
      <c r="H4501" s="100"/>
      <c r="I4501" s="100"/>
      <c r="J4501" s="100"/>
      <c r="K4501" s="100"/>
      <c r="L4501" s="100"/>
      <c r="M4501" s="100"/>
      <c r="N4501" s="100"/>
      <c r="O4501" s="100"/>
      <c r="P4501" s="100"/>
      <c r="Q4501" s="100"/>
      <c r="R4501" s="100"/>
      <c r="S4501" s="100"/>
      <c r="T4501" s="100"/>
      <c r="U4501" s="100"/>
      <c r="V4501" s="100"/>
      <c r="W4501" s="100"/>
      <c r="X4501" s="100"/>
      <c r="Y4501" s="100"/>
      <c r="Z4501" s="100"/>
    </row>
    <row r="4502" spans="1:26">
      <c r="A4502" s="100"/>
      <c r="B4502" s="100"/>
      <c r="C4502" s="100"/>
      <c r="D4502" s="100"/>
      <c r="E4502" s="100"/>
      <c r="F4502" s="100"/>
      <c r="G4502" s="100"/>
      <c r="H4502" s="100"/>
      <c r="I4502" s="100"/>
      <c r="J4502" s="100"/>
      <c r="K4502" s="100"/>
      <c r="L4502" s="100"/>
      <c r="M4502" s="100"/>
      <c r="N4502" s="100"/>
      <c r="O4502" s="100"/>
      <c r="P4502" s="100"/>
      <c r="Q4502" s="100"/>
      <c r="R4502" s="100"/>
      <c r="S4502" s="100"/>
      <c r="T4502" s="100"/>
      <c r="U4502" s="100"/>
      <c r="V4502" s="100"/>
      <c r="W4502" s="100"/>
      <c r="X4502" s="100"/>
      <c r="Y4502" s="100"/>
      <c r="Z4502" s="100"/>
    </row>
    <row r="4503" spans="1:26">
      <c r="A4503" s="100"/>
      <c r="B4503" s="100"/>
      <c r="C4503" s="100"/>
      <c r="D4503" s="100"/>
      <c r="E4503" s="100"/>
      <c r="F4503" s="100"/>
      <c r="G4503" s="100"/>
      <c r="H4503" s="100"/>
      <c r="I4503" s="100"/>
      <c r="J4503" s="100"/>
      <c r="K4503" s="100"/>
      <c r="L4503" s="100"/>
      <c r="M4503" s="100"/>
      <c r="N4503" s="100"/>
      <c r="O4503" s="100"/>
      <c r="P4503" s="100"/>
      <c r="Q4503" s="100"/>
      <c r="R4503" s="100"/>
      <c r="S4503" s="100"/>
      <c r="T4503" s="100"/>
      <c r="U4503" s="100"/>
      <c r="V4503" s="100"/>
      <c r="W4503" s="100"/>
      <c r="X4503" s="100"/>
      <c r="Y4503" s="100"/>
      <c r="Z4503" s="100"/>
    </row>
    <row r="4504" spans="1:26">
      <c r="A4504" s="100"/>
      <c r="B4504" s="100"/>
      <c r="C4504" s="100"/>
      <c r="D4504" s="100"/>
      <c r="E4504" s="100"/>
      <c r="F4504" s="100"/>
      <c r="G4504" s="100"/>
      <c r="H4504" s="100"/>
      <c r="I4504" s="100"/>
      <c r="J4504" s="100"/>
      <c r="K4504" s="100"/>
      <c r="L4504" s="100"/>
      <c r="M4504" s="100"/>
      <c r="N4504" s="100"/>
      <c r="O4504" s="100"/>
      <c r="P4504" s="100"/>
      <c r="Q4504" s="100"/>
      <c r="R4504" s="100"/>
      <c r="S4504" s="100"/>
      <c r="T4504" s="100"/>
      <c r="U4504" s="100"/>
      <c r="V4504" s="100"/>
      <c r="W4504" s="100"/>
      <c r="X4504" s="100"/>
      <c r="Y4504" s="100"/>
      <c r="Z4504" s="100"/>
    </row>
    <row r="4505" spans="1:26">
      <c r="A4505" s="100"/>
      <c r="B4505" s="100"/>
      <c r="C4505" s="100"/>
      <c r="D4505" s="100"/>
      <c r="E4505" s="100"/>
      <c r="F4505" s="100"/>
      <c r="G4505" s="100"/>
      <c r="H4505" s="100"/>
      <c r="I4505" s="100"/>
      <c r="J4505" s="100"/>
      <c r="K4505" s="100"/>
      <c r="L4505" s="100"/>
      <c r="M4505" s="100"/>
      <c r="N4505" s="100"/>
      <c r="O4505" s="100"/>
      <c r="P4505" s="100"/>
      <c r="Q4505" s="100"/>
      <c r="R4505" s="100"/>
      <c r="S4505" s="100"/>
      <c r="T4505" s="100"/>
      <c r="U4505" s="100"/>
      <c r="V4505" s="100"/>
      <c r="W4505" s="100"/>
      <c r="X4505" s="100"/>
      <c r="Y4505" s="100"/>
      <c r="Z4505" s="100"/>
    </row>
    <row r="4506" spans="1:26">
      <c r="A4506" s="100"/>
      <c r="B4506" s="100"/>
      <c r="C4506" s="100"/>
      <c r="D4506" s="100"/>
      <c r="E4506" s="100"/>
      <c r="F4506" s="100"/>
      <c r="G4506" s="100"/>
      <c r="H4506" s="100"/>
      <c r="I4506" s="100"/>
      <c r="J4506" s="100"/>
      <c r="K4506" s="100"/>
      <c r="L4506" s="100"/>
      <c r="M4506" s="100"/>
      <c r="N4506" s="100"/>
      <c r="O4506" s="100"/>
      <c r="P4506" s="100"/>
      <c r="Q4506" s="100"/>
      <c r="R4506" s="100"/>
      <c r="S4506" s="100"/>
      <c r="T4506" s="100"/>
      <c r="U4506" s="100"/>
      <c r="V4506" s="100"/>
      <c r="W4506" s="100"/>
      <c r="X4506" s="100"/>
      <c r="Y4506" s="100"/>
      <c r="Z4506" s="100"/>
    </row>
    <row r="4507" spans="1:26">
      <c r="A4507" s="100"/>
      <c r="B4507" s="100"/>
      <c r="C4507" s="100"/>
      <c r="D4507" s="100"/>
      <c r="E4507" s="100"/>
      <c r="F4507" s="100"/>
      <c r="G4507" s="100"/>
      <c r="H4507" s="100"/>
      <c r="I4507" s="100"/>
      <c r="J4507" s="100"/>
      <c r="K4507" s="100"/>
      <c r="L4507" s="100"/>
      <c r="M4507" s="100"/>
      <c r="N4507" s="100"/>
      <c r="O4507" s="100"/>
      <c r="P4507" s="100"/>
      <c r="Q4507" s="100"/>
      <c r="R4507" s="100"/>
      <c r="S4507" s="100"/>
      <c r="T4507" s="100"/>
      <c r="U4507" s="100"/>
      <c r="V4507" s="100"/>
      <c r="W4507" s="100"/>
      <c r="X4507" s="100"/>
      <c r="Y4507" s="100"/>
      <c r="Z4507" s="100"/>
    </row>
    <row r="4508" spans="1:26">
      <c r="A4508" s="100"/>
      <c r="B4508" s="100"/>
      <c r="C4508" s="100"/>
      <c r="D4508" s="100"/>
      <c r="E4508" s="100"/>
      <c r="F4508" s="100"/>
      <c r="G4508" s="100"/>
      <c r="H4508" s="100"/>
      <c r="I4508" s="100"/>
      <c r="J4508" s="100"/>
      <c r="K4508" s="100"/>
      <c r="L4508" s="100"/>
      <c r="M4508" s="100"/>
      <c r="N4508" s="100"/>
      <c r="O4508" s="100"/>
      <c r="P4508" s="100"/>
      <c r="Q4508" s="100"/>
      <c r="R4508" s="100"/>
      <c r="S4508" s="100"/>
      <c r="T4508" s="100"/>
      <c r="U4508" s="100"/>
      <c r="V4508" s="100"/>
      <c r="W4508" s="100"/>
      <c r="X4508" s="100"/>
      <c r="Y4508" s="100"/>
      <c r="Z4508" s="100"/>
    </row>
    <row r="4509" spans="1:26">
      <c r="A4509" s="100"/>
      <c r="B4509" s="100"/>
      <c r="C4509" s="100"/>
      <c r="D4509" s="100"/>
      <c r="E4509" s="100"/>
      <c r="F4509" s="100"/>
      <c r="G4509" s="100"/>
      <c r="H4509" s="100"/>
      <c r="I4509" s="100"/>
      <c r="J4509" s="100"/>
      <c r="K4509" s="100"/>
      <c r="L4509" s="100"/>
      <c r="M4509" s="100"/>
      <c r="N4509" s="100"/>
      <c r="O4509" s="100"/>
      <c r="P4509" s="100"/>
      <c r="Q4509" s="100"/>
      <c r="R4509" s="100"/>
      <c r="S4509" s="100"/>
      <c r="T4509" s="100"/>
      <c r="U4509" s="100"/>
      <c r="V4509" s="100"/>
      <c r="W4509" s="100"/>
      <c r="X4509" s="100"/>
      <c r="Y4509" s="100"/>
      <c r="Z4509" s="100"/>
    </row>
    <row r="4510" spans="1:26">
      <c r="A4510" s="100"/>
      <c r="B4510" s="100"/>
      <c r="C4510" s="100"/>
      <c r="D4510" s="100"/>
      <c r="E4510" s="100"/>
      <c r="F4510" s="100"/>
      <c r="G4510" s="100"/>
      <c r="H4510" s="100"/>
      <c r="I4510" s="100"/>
      <c r="J4510" s="100"/>
      <c r="K4510" s="100"/>
      <c r="L4510" s="100"/>
      <c r="M4510" s="100"/>
      <c r="N4510" s="100"/>
      <c r="O4510" s="100"/>
      <c r="P4510" s="100"/>
      <c r="Q4510" s="100"/>
      <c r="R4510" s="100"/>
      <c r="S4510" s="100"/>
      <c r="T4510" s="100"/>
      <c r="U4510" s="100"/>
      <c r="V4510" s="100"/>
      <c r="W4510" s="100"/>
      <c r="X4510" s="100"/>
      <c r="Y4510" s="100"/>
      <c r="Z4510" s="100"/>
    </row>
    <row r="4511" spans="1:26">
      <c r="A4511" s="100"/>
      <c r="B4511" s="100"/>
      <c r="C4511" s="100"/>
      <c r="D4511" s="100"/>
      <c r="E4511" s="100"/>
      <c r="F4511" s="100"/>
      <c r="G4511" s="100"/>
      <c r="H4511" s="100"/>
      <c r="I4511" s="100"/>
      <c r="J4511" s="100"/>
      <c r="K4511" s="100"/>
      <c r="L4511" s="100"/>
      <c r="M4511" s="100"/>
      <c r="N4511" s="100"/>
      <c r="O4511" s="100"/>
      <c r="P4511" s="100"/>
      <c r="Q4511" s="100"/>
      <c r="R4511" s="100"/>
      <c r="S4511" s="100"/>
      <c r="T4511" s="100"/>
      <c r="U4511" s="100"/>
      <c r="V4511" s="100"/>
      <c r="W4511" s="100"/>
      <c r="X4511" s="100"/>
      <c r="Y4511" s="100"/>
      <c r="Z4511" s="100"/>
    </row>
    <row r="4512" spans="1:26">
      <c r="A4512" s="100"/>
      <c r="B4512" s="100"/>
      <c r="C4512" s="100"/>
      <c r="D4512" s="100"/>
      <c r="E4512" s="100"/>
      <c r="F4512" s="100"/>
      <c r="G4512" s="100"/>
      <c r="H4512" s="100"/>
      <c r="I4512" s="100"/>
      <c r="J4512" s="100"/>
      <c r="K4512" s="100"/>
      <c r="L4512" s="100"/>
      <c r="M4512" s="100"/>
      <c r="N4512" s="100"/>
      <c r="O4512" s="100"/>
      <c r="P4512" s="100"/>
      <c r="Q4512" s="100"/>
      <c r="R4512" s="100"/>
      <c r="S4512" s="100"/>
      <c r="T4512" s="100"/>
      <c r="U4512" s="100"/>
      <c r="V4512" s="100"/>
      <c r="W4512" s="100"/>
      <c r="X4512" s="100"/>
      <c r="Y4512" s="100"/>
      <c r="Z4512" s="100"/>
    </row>
    <row r="4513" spans="1:26">
      <c r="A4513" s="100"/>
      <c r="B4513" s="100"/>
      <c r="C4513" s="100"/>
      <c r="D4513" s="100"/>
      <c r="E4513" s="100"/>
      <c r="F4513" s="100"/>
      <c r="G4513" s="100"/>
      <c r="H4513" s="100"/>
      <c r="I4513" s="100"/>
      <c r="J4513" s="100"/>
      <c r="K4513" s="100"/>
      <c r="L4513" s="100"/>
      <c r="M4513" s="100"/>
      <c r="N4513" s="100"/>
      <c r="O4513" s="100"/>
      <c r="P4513" s="100"/>
      <c r="Q4513" s="100"/>
      <c r="R4513" s="100"/>
      <c r="S4513" s="100"/>
      <c r="T4513" s="100"/>
      <c r="U4513" s="100"/>
      <c r="V4513" s="100"/>
      <c r="W4513" s="100"/>
      <c r="X4513" s="100"/>
      <c r="Y4513" s="100"/>
      <c r="Z4513" s="100"/>
    </row>
    <row r="4514" spans="1:26">
      <c r="A4514" s="100"/>
      <c r="B4514" s="100"/>
      <c r="C4514" s="100"/>
      <c r="D4514" s="100"/>
      <c r="E4514" s="100"/>
      <c r="F4514" s="100"/>
      <c r="G4514" s="100"/>
      <c r="H4514" s="100"/>
      <c r="I4514" s="100"/>
      <c r="J4514" s="100"/>
      <c r="K4514" s="100"/>
      <c r="L4514" s="100"/>
      <c r="M4514" s="100"/>
      <c r="N4514" s="100"/>
      <c r="O4514" s="100"/>
      <c r="P4514" s="100"/>
      <c r="Q4514" s="100"/>
      <c r="R4514" s="100"/>
      <c r="S4514" s="100"/>
      <c r="T4514" s="100"/>
      <c r="U4514" s="100"/>
      <c r="V4514" s="100"/>
      <c r="W4514" s="100"/>
      <c r="X4514" s="100"/>
      <c r="Y4514" s="100"/>
      <c r="Z4514" s="100"/>
    </row>
    <row r="4515" spans="1:26">
      <c r="A4515" s="100"/>
      <c r="B4515" s="100"/>
      <c r="C4515" s="100"/>
      <c r="D4515" s="100"/>
      <c r="E4515" s="100"/>
      <c r="F4515" s="100"/>
      <c r="G4515" s="100"/>
      <c r="H4515" s="100"/>
      <c r="I4515" s="100"/>
      <c r="J4515" s="100"/>
      <c r="K4515" s="100"/>
      <c r="L4515" s="100"/>
      <c r="M4515" s="100"/>
      <c r="N4515" s="100"/>
      <c r="O4515" s="100"/>
      <c r="P4515" s="100"/>
      <c r="Q4515" s="100"/>
      <c r="R4515" s="100"/>
      <c r="S4515" s="100"/>
      <c r="T4515" s="100"/>
      <c r="U4515" s="100"/>
      <c r="V4515" s="100"/>
      <c r="W4515" s="100"/>
      <c r="X4515" s="100"/>
      <c r="Y4515" s="100"/>
      <c r="Z4515" s="100"/>
    </row>
    <row r="4516" spans="1:26">
      <c r="A4516" s="100"/>
      <c r="B4516" s="100"/>
      <c r="C4516" s="100"/>
      <c r="D4516" s="100"/>
      <c r="E4516" s="100"/>
      <c r="F4516" s="100"/>
      <c r="G4516" s="100"/>
      <c r="H4516" s="100"/>
      <c r="I4516" s="100"/>
      <c r="J4516" s="100"/>
      <c r="K4516" s="100"/>
      <c r="L4516" s="100"/>
      <c r="M4516" s="100"/>
      <c r="N4516" s="100"/>
      <c r="O4516" s="100"/>
      <c r="P4516" s="100"/>
      <c r="Q4516" s="100"/>
      <c r="R4516" s="100"/>
      <c r="S4516" s="100"/>
      <c r="T4516" s="100"/>
      <c r="U4516" s="100"/>
      <c r="V4516" s="100"/>
      <c r="W4516" s="100"/>
      <c r="X4516" s="100"/>
      <c r="Y4516" s="100"/>
      <c r="Z4516" s="100"/>
    </row>
    <row r="4517" spans="1:26">
      <c r="A4517" s="100"/>
      <c r="B4517" s="100"/>
      <c r="C4517" s="100"/>
      <c r="D4517" s="100"/>
      <c r="E4517" s="100"/>
      <c r="F4517" s="100"/>
      <c r="G4517" s="100"/>
      <c r="H4517" s="100"/>
      <c r="I4517" s="100"/>
      <c r="J4517" s="100"/>
      <c r="K4517" s="100"/>
      <c r="L4517" s="100"/>
      <c r="M4517" s="100"/>
      <c r="N4517" s="100"/>
      <c r="O4517" s="100"/>
      <c r="P4517" s="100"/>
      <c r="Q4517" s="100"/>
      <c r="R4517" s="100"/>
      <c r="S4517" s="100"/>
      <c r="T4517" s="100"/>
      <c r="U4517" s="100"/>
      <c r="V4517" s="100"/>
      <c r="W4517" s="100"/>
      <c r="X4517" s="100"/>
      <c r="Y4517" s="100"/>
      <c r="Z4517" s="100"/>
    </row>
    <row r="4518" spans="1:26">
      <c r="A4518" s="100"/>
      <c r="B4518" s="100"/>
      <c r="C4518" s="100"/>
      <c r="D4518" s="100"/>
      <c r="E4518" s="100"/>
      <c r="F4518" s="100"/>
      <c r="G4518" s="100"/>
      <c r="H4518" s="100"/>
      <c r="I4518" s="100"/>
      <c r="J4518" s="100"/>
      <c r="K4518" s="100"/>
      <c r="L4518" s="100"/>
      <c r="M4518" s="100"/>
      <c r="N4518" s="100"/>
      <c r="O4518" s="100"/>
      <c r="P4518" s="100"/>
      <c r="Q4518" s="100"/>
      <c r="R4518" s="100"/>
      <c r="S4518" s="100"/>
      <c r="T4518" s="100"/>
      <c r="U4518" s="100"/>
      <c r="V4518" s="100"/>
      <c r="W4518" s="100"/>
      <c r="X4518" s="100"/>
      <c r="Y4518" s="100"/>
      <c r="Z4518" s="100"/>
    </row>
    <row r="4519" spans="1:26">
      <c r="A4519" s="100"/>
      <c r="B4519" s="100"/>
      <c r="C4519" s="100"/>
      <c r="D4519" s="100"/>
      <c r="E4519" s="100"/>
      <c r="F4519" s="100"/>
      <c r="G4519" s="100"/>
      <c r="H4519" s="100"/>
      <c r="I4519" s="100"/>
      <c r="J4519" s="100"/>
      <c r="K4519" s="100"/>
      <c r="L4519" s="100"/>
      <c r="M4519" s="100"/>
      <c r="N4519" s="100"/>
      <c r="O4519" s="100"/>
      <c r="P4519" s="100"/>
      <c r="Q4519" s="100"/>
      <c r="R4519" s="100"/>
      <c r="S4519" s="100"/>
      <c r="T4519" s="100"/>
      <c r="U4519" s="100"/>
      <c r="V4519" s="100"/>
      <c r="W4519" s="100"/>
      <c r="X4519" s="100"/>
      <c r="Y4519" s="100"/>
      <c r="Z4519" s="100"/>
    </row>
    <row r="4520" spans="1:26">
      <c r="A4520" s="100"/>
      <c r="B4520" s="100"/>
      <c r="C4520" s="100"/>
      <c r="D4520" s="100"/>
      <c r="E4520" s="100"/>
      <c r="F4520" s="100"/>
      <c r="G4520" s="100"/>
      <c r="H4520" s="100"/>
      <c r="I4520" s="100"/>
      <c r="J4520" s="100"/>
      <c r="K4520" s="100"/>
      <c r="L4520" s="100"/>
      <c r="M4520" s="100"/>
      <c r="N4520" s="100"/>
      <c r="O4520" s="100"/>
      <c r="P4520" s="100"/>
      <c r="Q4520" s="100"/>
      <c r="R4520" s="100"/>
      <c r="S4520" s="100"/>
      <c r="T4520" s="100"/>
      <c r="U4520" s="100"/>
      <c r="V4520" s="100"/>
      <c r="W4520" s="100"/>
      <c r="X4520" s="100"/>
      <c r="Y4520" s="100"/>
      <c r="Z4520" s="100"/>
    </row>
    <row r="4521" spans="1:26">
      <c r="A4521" s="100"/>
      <c r="B4521" s="100"/>
      <c r="C4521" s="100"/>
      <c r="D4521" s="100"/>
      <c r="E4521" s="100"/>
      <c r="F4521" s="100"/>
      <c r="G4521" s="100"/>
      <c r="H4521" s="100"/>
      <c r="I4521" s="100"/>
      <c r="J4521" s="100"/>
      <c r="K4521" s="100"/>
      <c r="L4521" s="100"/>
      <c r="M4521" s="100"/>
      <c r="N4521" s="100"/>
      <c r="O4521" s="100"/>
      <c r="P4521" s="100"/>
      <c r="Q4521" s="100"/>
      <c r="R4521" s="100"/>
      <c r="S4521" s="100"/>
      <c r="T4521" s="100"/>
      <c r="U4521" s="100"/>
      <c r="V4521" s="100"/>
      <c r="W4521" s="100"/>
      <c r="X4521" s="100"/>
      <c r="Y4521" s="100"/>
      <c r="Z4521" s="100"/>
    </row>
    <row r="4522" spans="1:26">
      <c r="A4522" s="100"/>
      <c r="B4522" s="100"/>
      <c r="C4522" s="100"/>
      <c r="D4522" s="100"/>
      <c r="E4522" s="100"/>
      <c r="F4522" s="100"/>
      <c r="G4522" s="100"/>
      <c r="H4522" s="100"/>
      <c r="I4522" s="100"/>
      <c r="J4522" s="100"/>
      <c r="K4522" s="100"/>
      <c r="L4522" s="100"/>
      <c r="M4522" s="100"/>
      <c r="N4522" s="100"/>
      <c r="O4522" s="100"/>
      <c r="P4522" s="100"/>
      <c r="Q4522" s="100"/>
      <c r="R4522" s="100"/>
      <c r="S4522" s="100"/>
      <c r="T4522" s="100"/>
      <c r="U4522" s="100"/>
      <c r="V4522" s="100"/>
      <c r="W4522" s="100"/>
      <c r="X4522" s="100"/>
      <c r="Y4522" s="100"/>
      <c r="Z4522" s="100"/>
    </row>
    <row r="4523" spans="1:26">
      <c r="A4523" s="100"/>
      <c r="B4523" s="100"/>
      <c r="C4523" s="100"/>
      <c r="D4523" s="100"/>
      <c r="E4523" s="100"/>
      <c r="F4523" s="100"/>
      <c r="G4523" s="100"/>
      <c r="H4523" s="100"/>
      <c r="I4523" s="100"/>
      <c r="J4523" s="100"/>
      <c r="K4523" s="100"/>
      <c r="L4523" s="100"/>
      <c r="M4523" s="100"/>
      <c r="N4523" s="100"/>
      <c r="O4523" s="100"/>
      <c r="P4523" s="100"/>
      <c r="Q4523" s="100"/>
      <c r="R4523" s="100"/>
      <c r="S4523" s="100"/>
      <c r="T4523" s="100"/>
      <c r="U4523" s="100"/>
      <c r="V4523" s="100"/>
      <c r="W4523" s="100"/>
      <c r="X4523" s="100"/>
      <c r="Y4523" s="100"/>
      <c r="Z4523" s="100"/>
    </row>
    <row r="4524" spans="1:26">
      <c r="A4524" s="100"/>
      <c r="B4524" s="100"/>
      <c r="C4524" s="100"/>
      <c r="D4524" s="100"/>
      <c r="E4524" s="100"/>
      <c r="F4524" s="100"/>
      <c r="G4524" s="100"/>
      <c r="H4524" s="100"/>
      <c r="I4524" s="100"/>
      <c r="J4524" s="100"/>
      <c r="K4524" s="100"/>
      <c r="L4524" s="100"/>
      <c r="M4524" s="100"/>
      <c r="N4524" s="100"/>
      <c r="O4524" s="100"/>
      <c r="P4524" s="100"/>
      <c r="Q4524" s="100"/>
      <c r="R4524" s="100"/>
      <c r="S4524" s="100"/>
      <c r="T4524" s="100"/>
      <c r="U4524" s="100"/>
      <c r="V4524" s="100"/>
      <c r="W4524" s="100"/>
      <c r="X4524" s="100"/>
      <c r="Y4524" s="100"/>
      <c r="Z4524" s="100"/>
    </row>
    <row r="4525" spans="1:26">
      <c r="A4525" s="100"/>
      <c r="B4525" s="100"/>
      <c r="C4525" s="100"/>
      <c r="D4525" s="100"/>
      <c r="E4525" s="100"/>
      <c r="F4525" s="100"/>
      <c r="G4525" s="100"/>
      <c r="H4525" s="100"/>
      <c r="I4525" s="100"/>
      <c r="J4525" s="100"/>
      <c r="K4525" s="100"/>
      <c r="L4525" s="100"/>
      <c r="M4525" s="100"/>
      <c r="N4525" s="100"/>
      <c r="O4525" s="100"/>
      <c r="P4525" s="100"/>
      <c r="Q4525" s="100"/>
      <c r="R4525" s="100"/>
      <c r="S4525" s="100"/>
      <c r="T4525" s="100"/>
      <c r="U4525" s="100"/>
      <c r="V4525" s="100"/>
      <c r="W4525" s="100"/>
      <c r="X4525" s="100"/>
      <c r="Y4525" s="100"/>
      <c r="Z4525" s="100"/>
    </row>
    <row r="4526" spans="1:26">
      <c r="A4526" s="100"/>
      <c r="B4526" s="100"/>
      <c r="C4526" s="100"/>
      <c r="D4526" s="100"/>
      <c r="E4526" s="100"/>
      <c r="F4526" s="100"/>
      <c r="G4526" s="100"/>
      <c r="H4526" s="100"/>
      <c r="I4526" s="100"/>
      <c r="J4526" s="100"/>
      <c r="K4526" s="100"/>
      <c r="L4526" s="100"/>
      <c r="M4526" s="100"/>
      <c r="N4526" s="100"/>
      <c r="O4526" s="100"/>
      <c r="P4526" s="100"/>
      <c r="Q4526" s="100"/>
      <c r="R4526" s="100"/>
      <c r="S4526" s="100"/>
      <c r="T4526" s="100"/>
      <c r="U4526" s="100"/>
      <c r="V4526" s="100"/>
      <c r="W4526" s="100"/>
      <c r="X4526" s="100"/>
      <c r="Y4526" s="100"/>
      <c r="Z4526" s="100"/>
    </row>
    <row r="4527" spans="1:26">
      <c r="A4527" s="100"/>
      <c r="B4527" s="100"/>
      <c r="C4527" s="100"/>
      <c r="D4527" s="100"/>
      <c r="E4527" s="100"/>
      <c r="F4527" s="100"/>
      <c r="G4527" s="100"/>
      <c r="H4527" s="100"/>
      <c r="I4527" s="100"/>
      <c r="J4527" s="100"/>
      <c r="K4527" s="100"/>
      <c r="L4527" s="100"/>
      <c r="M4527" s="100"/>
      <c r="N4527" s="100"/>
      <c r="O4527" s="100"/>
      <c r="P4527" s="100"/>
      <c r="Q4527" s="100"/>
      <c r="R4527" s="100"/>
      <c r="S4527" s="100"/>
      <c r="T4527" s="100"/>
      <c r="U4527" s="100"/>
      <c r="V4527" s="100"/>
      <c r="W4527" s="100"/>
      <c r="X4527" s="100"/>
      <c r="Y4527" s="100"/>
      <c r="Z4527" s="100"/>
    </row>
    <row r="4528" spans="1:26">
      <c r="A4528" s="100"/>
      <c r="B4528" s="100"/>
      <c r="C4528" s="100"/>
      <c r="D4528" s="100"/>
      <c r="E4528" s="100"/>
      <c r="F4528" s="100"/>
      <c r="G4528" s="100"/>
      <c r="H4528" s="100"/>
      <c r="I4528" s="100"/>
      <c r="J4528" s="100"/>
      <c r="K4528" s="100"/>
      <c r="L4528" s="100"/>
      <c r="M4528" s="100"/>
      <c r="N4528" s="100"/>
      <c r="O4528" s="100"/>
      <c r="P4528" s="100"/>
      <c r="Q4528" s="100"/>
      <c r="R4528" s="100"/>
      <c r="S4528" s="100"/>
      <c r="T4528" s="100"/>
      <c r="U4528" s="100"/>
      <c r="V4528" s="100"/>
      <c r="W4528" s="100"/>
      <c r="X4528" s="100"/>
      <c r="Y4528" s="100"/>
      <c r="Z4528" s="100"/>
    </row>
    <row r="4529" spans="1:26">
      <c r="A4529" s="100"/>
      <c r="B4529" s="100"/>
      <c r="C4529" s="100"/>
      <c r="D4529" s="100"/>
      <c r="E4529" s="100"/>
      <c r="F4529" s="100"/>
      <c r="G4529" s="100"/>
      <c r="H4529" s="100"/>
      <c r="I4529" s="100"/>
      <c r="J4529" s="100"/>
      <c r="K4529" s="100"/>
      <c r="L4529" s="100"/>
      <c r="M4529" s="100"/>
      <c r="N4529" s="100"/>
      <c r="O4529" s="100"/>
      <c r="P4529" s="100"/>
      <c r="Q4529" s="100"/>
      <c r="R4529" s="100"/>
      <c r="S4529" s="100"/>
      <c r="T4529" s="100"/>
      <c r="U4529" s="100"/>
      <c r="V4529" s="100"/>
      <c r="W4529" s="100"/>
      <c r="X4529" s="100"/>
      <c r="Y4529" s="100"/>
      <c r="Z4529" s="100"/>
    </row>
    <row r="4530" spans="1:26">
      <c r="A4530" s="100"/>
      <c r="B4530" s="100"/>
      <c r="C4530" s="100"/>
      <c r="D4530" s="100"/>
      <c r="E4530" s="100"/>
      <c r="F4530" s="100"/>
      <c r="G4530" s="100"/>
      <c r="H4530" s="100"/>
      <c r="I4530" s="100"/>
      <c r="J4530" s="100"/>
      <c r="K4530" s="100"/>
      <c r="L4530" s="100"/>
      <c r="M4530" s="100"/>
      <c r="N4530" s="100"/>
      <c r="O4530" s="100"/>
      <c r="P4530" s="100"/>
      <c r="Q4530" s="100"/>
      <c r="R4530" s="100"/>
      <c r="S4530" s="100"/>
      <c r="T4530" s="100"/>
      <c r="U4530" s="100"/>
      <c r="V4530" s="100"/>
      <c r="W4530" s="100"/>
      <c r="X4530" s="100"/>
      <c r="Y4530" s="100"/>
      <c r="Z4530" s="100"/>
    </row>
    <row r="4531" spans="1:26">
      <c r="A4531" s="100"/>
      <c r="B4531" s="100"/>
      <c r="C4531" s="100"/>
      <c r="D4531" s="100"/>
      <c r="E4531" s="100"/>
      <c r="F4531" s="100"/>
      <c r="G4531" s="100"/>
      <c r="H4531" s="100"/>
      <c r="I4531" s="100"/>
      <c r="J4531" s="100"/>
      <c r="K4531" s="100"/>
      <c r="L4531" s="100"/>
      <c r="M4531" s="100"/>
      <c r="N4531" s="100"/>
      <c r="O4531" s="100"/>
      <c r="P4531" s="100"/>
      <c r="Q4531" s="100"/>
      <c r="R4531" s="100"/>
      <c r="S4531" s="100"/>
      <c r="T4531" s="100"/>
      <c r="U4531" s="100"/>
      <c r="V4531" s="100"/>
      <c r="W4531" s="100"/>
      <c r="X4531" s="100"/>
      <c r="Y4531" s="100"/>
      <c r="Z4531" s="100"/>
    </row>
    <row r="4532" spans="1:26">
      <c r="A4532" s="100"/>
      <c r="B4532" s="100"/>
      <c r="C4532" s="100"/>
      <c r="D4532" s="100"/>
      <c r="E4532" s="100"/>
      <c r="F4532" s="100"/>
      <c r="G4532" s="100"/>
      <c r="H4532" s="100"/>
      <c r="I4532" s="100"/>
      <c r="J4532" s="100"/>
      <c r="K4532" s="100"/>
      <c r="L4532" s="100"/>
      <c r="M4532" s="100"/>
      <c r="N4532" s="100"/>
      <c r="O4532" s="100"/>
      <c r="P4532" s="100"/>
      <c r="Q4532" s="100"/>
      <c r="R4532" s="100"/>
      <c r="S4532" s="100"/>
      <c r="T4532" s="100"/>
      <c r="U4532" s="100"/>
      <c r="V4532" s="100"/>
      <c r="W4532" s="100"/>
      <c r="X4532" s="100"/>
      <c r="Y4532" s="100"/>
      <c r="Z4532" s="100"/>
    </row>
    <row r="4533" spans="1:26">
      <c r="A4533" s="100"/>
      <c r="B4533" s="100"/>
      <c r="C4533" s="100"/>
      <c r="D4533" s="100"/>
      <c r="E4533" s="100"/>
      <c r="F4533" s="100"/>
      <c r="G4533" s="100"/>
      <c r="H4533" s="100"/>
      <c r="I4533" s="100"/>
      <c r="J4533" s="100"/>
      <c r="K4533" s="100"/>
      <c r="L4533" s="100"/>
      <c r="M4533" s="100"/>
      <c r="N4533" s="100"/>
      <c r="O4533" s="100"/>
      <c r="P4533" s="100"/>
      <c r="Q4533" s="100"/>
      <c r="R4533" s="100"/>
      <c r="S4533" s="100"/>
      <c r="T4533" s="100"/>
      <c r="U4533" s="100"/>
      <c r="V4533" s="100"/>
      <c r="W4533" s="100"/>
      <c r="X4533" s="100"/>
      <c r="Y4533" s="100"/>
      <c r="Z4533" s="100"/>
    </row>
    <row r="4534" spans="1:26">
      <c r="A4534" s="100"/>
      <c r="B4534" s="100"/>
      <c r="C4534" s="100"/>
      <c r="D4534" s="100"/>
      <c r="E4534" s="100"/>
      <c r="F4534" s="100"/>
      <c r="G4534" s="100"/>
      <c r="H4534" s="100"/>
      <c r="I4534" s="100"/>
      <c r="J4534" s="100"/>
      <c r="K4534" s="100"/>
      <c r="L4534" s="100"/>
      <c r="M4534" s="100"/>
      <c r="N4534" s="100"/>
      <c r="O4534" s="100"/>
      <c r="P4534" s="100"/>
      <c r="Q4534" s="100"/>
      <c r="R4534" s="100"/>
      <c r="S4534" s="100"/>
      <c r="T4534" s="100"/>
      <c r="U4534" s="100"/>
      <c r="V4534" s="100"/>
      <c r="W4534" s="100"/>
      <c r="X4534" s="100"/>
      <c r="Y4534" s="100"/>
      <c r="Z4534" s="100"/>
    </row>
    <row r="4535" spans="1:26">
      <c r="A4535" s="100"/>
      <c r="B4535" s="100"/>
      <c r="C4535" s="100"/>
      <c r="D4535" s="100"/>
      <c r="E4535" s="100"/>
      <c r="F4535" s="100"/>
      <c r="G4535" s="100"/>
      <c r="H4535" s="100"/>
      <c r="I4535" s="100"/>
      <c r="J4535" s="100"/>
      <c r="K4535" s="100"/>
      <c r="L4535" s="100"/>
      <c r="M4535" s="100"/>
      <c r="N4535" s="100"/>
      <c r="O4535" s="100"/>
      <c r="P4535" s="100"/>
      <c r="Q4535" s="100"/>
      <c r="R4535" s="100"/>
      <c r="S4535" s="100"/>
      <c r="T4535" s="100"/>
      <c r="U4535" s="100"/>
      <c r="V4535" s="100"/>
      <c r="W4535" s="100"/>
      <c r="X4535" s="100"/>
      <c r="Y4535" s="100"/>
      <c r="Z4535" s="100"/>
    </row>
    <row r="4536" spans="1:26">
      <c r="A4536" s="100"/>
      <c r="B4536" s="100"/>
      <c r="C4536" s="100"/>
      <c r="D4536" s="100"/>
      <c r="E4536" s="100"/>
      <c r="F4536" s="100"/>
      <c r="G4536" s="100"/>
      <c r="H4536" s="100"/>
      <c r="I4536" s="100"/>
      <c r="J4536" s="100"/>
      <c r="K4536" s="100"/>
      <c r="L4536" s="100"/>
      <c r="M4536" s="100"/>
      <c r="N4536" s="100"/>
      <c r="O4536" s="100"/>
      <c r="P4536" s="100"/>
      <c r="Q4536" s="100"/>
      <c r="R4536" s="100"/>
      <c r="S4536" s="100"/>
      <c r="T4536" s="100"/>
      <c r="U4536" s="100"/>
      <c r="V4536" s="100"/>
      <c r="W4536" s="100"/>
      <c r="X4536" s="100"/>
      <c r="Y4536" s="100"/>
      <c r="Z4536" s="100"/>
    </row>
    <row r="4537" spans="1:26">
      <c r="A4537" s="100"/>
      <c r="B4537" s="100"/>
      <c r="C4537" s="100"/>
      <c r="D4537" s="100"/>
      <c r="E4537" s="100"/>
      <c r="F4537" s="100"/>
      <c r="G4537" s="100"/>
      <c r="H4537" s="100"/>
      <c r="I4537" s="100"/>
      <c r="J4537" s="100"/>
      <c r="K4537" s="100"/>
      <c r="L4537" s="100"/>
      <c r="M4537" s="100"/>
      <c r="N4537" s="100"/>
      <c r="O4537" s="100"/>
      <c r="P4537" s="100"/>
      <c r="Q4537" s="100"/>
      <c r="R4537" s="100"/>
      <c r="S4537" s="100"/>
      <c r="T4537" s="100"/>
      <c r="U4537" s="100"/>
      <c r="V4537" s="100"/>
      <c r="W4537" s="100"/>
      <c r="X4537" s="100"/>
      <c r="Y4537" s="100"/>
      <c r="Z4537" s="100"/>
    </row>
    <row r="4538" spans="1:26">
      <c r="A4538" s="100"/>
      <c r="B4538" s="100"/>
      <c r="C4538" s="100"/>
      <c r="D4538" s="100"/>
      <c r="E4538" s="100"/>
      <c r="F4538" s="100"/>
      <c r="G4538" s="100"/>
      <c r="H4538" s="100"/>
      <c r="I4538" s="100"/>
      <c r="J4538" s="100"/>
      <c r="K4538" s="100"/>
      <c r="L4538" s="100"/>
      <c r="M4538" s="100"/>
      <c r="N4538" s="100"/>
      <c r="O4538" s="100"/>
      <c r="P4538" s="100"/>
      <c r="Q4538" s="100"/>
      <c r="R4538" s="100"/>
      <c r="S4538" s="100"/>
      <c r="T4538" s="100"/>
      <c r="U4538" s="100"/>
      <c r="V4538" s="100"/>
      <c r="W4538" s="100"/>
      <c r="X4538" s="100"/>
      <c r="Y4538" s="100"/>
      <c r="Z4538" s="100"/>
    </row>
    <row r="4539" spans="1:26">
      <c r="A4539" s="100"/>
      <c r="B4539" s="100"/>
      <c r="C4539" s="100"/>
      <c r="D4539" s="100"/>
      <c r="E4539" s="100"/>
      <c r="F4539" s="100"/>
      <c r="G4539" s="100"/>
      <c r="H4539" s="100"/>
      <c r="I4539" s="100"/>
      <c r="J4539" s="100"/>
      <c r="K4539" s="100"/>
      <c r="L4539" s="100"/>
      <c r="M4539" s="100"/>
      <c r="N4539" s="100"/>
      <c r="O4539" s="100"/>
      <c r="P4539" s="100"/>
      <c r="Q4539" s="100"/>
      <c r="R4539" s="100"/>
      <c r="S4539" s="100"/>
      <c r="T4539" s="100"/>
      <c r="U4539" s="100"/>
      <c r="V4539" s="100"/>
      <c r="W4539" s="100"/>
      <c r="X4539" s="100"/>
      <c r="Y4539" s="100"/>
      <c r="Z4539" s="100"/>
    </row>
    <row r="4540" spans="1:26">
      <c r="A4540" s="100"/>
      <c r="B4540" s="100"/>
      <c r="C4540" s="100"/>
      <c r="D4540" s="100"/>
      <c r="E4540" s="100"/>
      <c r="F4540" s="100"/>
      <c r="G4540" s="100"/>
      <c r="H4540" s="100"/>
      <c r="I4540" s="100"/>
      <c r="J4540" s="100"/>
      <c r="K4540" s="100"/>
      <c r="L4540" s="100"/>
      <c r="M4540" s="100"/>
      <c r="N4540" s="100"/>
      <c r="O4540" s="100"/>
      <c r="P4540" s="100"/>
      <c r="Q4540" s="100"/>
      <c r="R4540" s="100"/>
      <c r="S4540" s="100"/>
      <c r="T4540" s="100"/>
      <c r="U4540" s="100"/>
      <c r="V4540" s="100"/>
      <c r="W4540" s="100"/>
      <c r="X4540" s="100"/>
      <c r="Y4540" s="100"/>
      <c r="Z4540" s="100"/>
    </row>
    <row r="4541" spans="1:26">
      <c r="A4541" s="100"/>
      <c r="B4541" s="100"/>
      <c r="C4541" s="100"/>
      <c r="D4541" s="100"/>
      <c r="E4541" s="100"/>
      <c r="F4541" s="100"/>
      <c r="G4541" s="100"/>
      <c r="H4541" s="100"/>
      <c r="I4541" s="100"/>
      <c r="J4541" s="100"/>
      <c r="K4541" s="100"/>
      <c r="L4541" s="100"/>
      <c r="M4541" s="100"/>
      <c r="N4541" s="100"/>
      <c r="O4541" s="100"/>
      <c r="P4541" s="100"/>
      <c r="Q4541" s="100"/>
      <c r="R4541" s="100"/>
      <c r="S4541" s="100"/>
      <c r="T4541" s="100"/>
      <c r="U4541" s="100"/>
      <c r="V4541" s="100"/>
      <c r="W4541" s="100"/>
      <c r="X4541" s="100"/>
      <c r="Y4541" s="100"/>
      <c r="Z4541" s="100"/>
    </row>
    <row r="4542" spans="1:26">
      <c r="A4542" s="100"/>
      <c r="B4542" s="100"/>
      <c r="C4542" s="100"/>
      <c r="D4542" s="100"/>
      <c r="E4542" s="100"/>
      <c r="F4542" s="100"/>
      <c r="G4542" s="100"/>
      <c r="H4542" s="100"/>
      <c r="I4542" s="100"/>
      <c r="J4542" s="100"/>
      <c r="K4542" s="100"/>
      <c r="L4542" s="100"/>
      <c r="M4542" s="100"/>
      <c r="N4542" s="100"/>
      <c r="O4542" s="100"/>
      <c r="P4542" s="100"/>
      <c r="Q4542" s="100"/>
      <c r="R4542" s="100"/>
      <c r="S4542" s="100"/>
      <c r="T4542" s="100"/>
      <c r="U4542" s="100"/>
      <c r="V4542" s="100"/>
      <c r="W4542" s="100"/>
      <c r="X4542" s="100"/>
      <c r="Y4542" s="100"/>
      <c r="Z4542" s="100"/>
    </row>
    <row r="4543" spans="1:26">
      <c r="A4543" s="100"/>
      <c r="B4543" s="100"/>
      <c r="C4543" s="100"/>
      <c r="D4543" s="100"/>
      <c r="E4543" s="100"/>
      <c r="F4543" s="100"/>
      <c r="G4543" s="100"/>
      <c r="H4543" s="100"/>
      <c r="I4543" s="100"/>
      <c r="J4543" s="100"/>
      <c r="K4543" s="100"/>
      <c r="L4543" s="100"/>
      <c r="M4543" s="100"/>
      <c r="N4543" s="100"/>
      <c r="O4543" s="100"/>
      <c r="P4543" s="100"/>
      <c r="Q4543" s="100"/>
      <c r="R4543" s="100"/>
      <c r="S4543" s="100"/>
      <c r="T4543" s="100"/>
      <c r="U4543" s="100"/>
      <c r="V4543" s="100"/>
      <c r="W4543" s="100"/>
      <c r="X4543" s="100"/>
      <c r="Y4543" s="100"/>
      <c r="Z4543" s="100"/>
    </row>
    <row r="4544" spans="1:26">
      <c r="A4544" s="100"/>
      <c r="B4544" s="100"/>
      <c r="C4544" s="100"/>
      <c r="D4544" s="100"/>
      <c r="E4544" s="100"/>
      <c r="F4544" s="100"/>
      <c r="G4544" s="100"/>
      <c r="H4544" s="100"/>
      <c r="I4544" s="100"/>
      <c r="J4544" s="100"/>
      <c r="K4544" s="100"/>
      <c r="L4544" s="100"/>
      <c r="M4544" s="100"/>
      <c r="N4544" s="100"/>
      <c r="O4544" s="100"/>
      <c r="P4544" s="100"/>
      <c r="Q4544" s="100"/>
      <c r="R4544" s="100"/>
      <c r="S4544" s="100"/>
      <c r="T4544" s="100"/>
      <c r="U4544" s="100"/>
      <c r="V4544" s="100"/>
      <c r="W4544" s="100"/>
      <c r="X4544" s="100"/>
      <c r="Y4544" s="100"/>
      <c r="Z4544" s="100"/>
    </row>
    <row r="4545" spans="1:26">
      <c r="A4545" s="100"/>
      <c r="B4545" s="100"/>
      <c r="C4545" s="100"/>
      <c r="D4545" s="100"/>
      <c r="E4545" s="100"/>
      <c r="F4545" s="100"/>
      <c r="G4545" s="100"/>
      <c r="H4545" s="100"/>
      <c r="I4545" s="100"/>
      <c r="J4545" s="100"/>
      <c r="K4545" s="100"/>
      <c r="L4545" s="100"/>
      <c r="M4545" s="100"/>
      <c r="N4545" s="100"/>
      <c r="O4545" s="100"/>
      <c r="P4545" s="100"/>
      <c r="Q4545" s="100"/>
      <c r="R4545" s="100"/>
      <c r="S4545" s="100"/>
      <c r="T4545" s="100"/>
      <c r="U4545" s="100"/>
      <c r="V4545" s="100"/>
      <c r="W4545" s="100"/>
      <c r="X4545" s="100"/>
      <c r="Y4545" s="100"/>
      <c r="Z4545" s="100"/>
    </row>
    <row r="4546" spans="1:26">
      <c r="A4546" s="100"/>
      <c r="B4546" s="100"/>
      <c r="C4546" s="100"/>
      <c r="D4546" s="100"/>
      <c r="E4546" s="100"/>
      <c r="F4546" s="100"/>
      <c r="G4546" s="100"/>
      <c r="H4546" s="100"/>
      <c r="I4546" s="100"/>
      <c r="J4546" s="100"/>
      <c r="K4546" s="100"/>
      <c r="L4546" s="100"/>
      <c r="M4546" s="100"/>
      <c r="N4546" s="100"/>
      <c r="O4546" s="100"/>
      <c r="P4546" s="100"/>
      <c r="Q4546" s="100"/>
      <c r="R4546" s="100"/>
      <c r="S4546" s="100"/>
      <c r="T4546" s="100"/>
      <c r="U4546" s="100"/>
      <c r="V4546" s="100"/>
      <c r="W4546" s="100"/>
      <c r="X4546" s="100"/>
      <c r="Y4546" s="100"/>
      <c r="Z4546" s="100"/>
    </row>
    <row r="4547" spans="1:26">
      <c r="A4547" s="100"/>
      <c r="B4547" s="100"/>
      <c r="C4547" s="100"/>
      <c r="D4547" s="100"/>
      <c r="E4547" s="100"/>
      <c r="F4547" s="100"/>
      <c r="G4547" s="100"/>
      <c r="H4547" s="100"/>
      <c r="I4547" s="100"/>
      <c r="J4547" s="100"/>
      <c r="K4547" s="100"/>
      <c r="L4547" s="100"/>
      <c r="M4547" s="100"/>
      <c r="N4547" s="100"/>
      <c r="O4547" s="100"/>
      <c r="P4547" s="100"/>
      <c r="Q4547" s="100"/>
      <c r="R4547" s="100"/>
      <c r="S4547" s="100"/>
      <c r="T4547" s="100"/>
      <c r="U4547" s="100"/>
      <c r="V4547" s="100"/>
      <c r="W4547" s="100"/>
      <c r="X4547" s="100"/>
      <c r="Y4547" s="100"/>
      <c r="Z4547" s="100"/>
    </row>
    <row r="4548" spans="1:26">
      <c r="A4548" s="100"/>
      <c r="B4548" s="100"/>
      <c r="C4548" s="100"/>
      <c r="D4548" s="100"/>
      <c r="E4548" s="100"/>
      <c r="F4548" s="100"/>
      <c r="G4548" s="100"/>
      <c r="H4548" s="100"/>
      <c r="I4548" s="100"/>
      <c r="J4548" s="100"/>
      <c r="K4548" s="100"/>
      <c r="L4548" s="100"/>
      <c r="M4548" s="100"/>
      <c r="N4548" s="100"/>
      <c r="O4548" s="100"/>
      <c r="P4548" s="100"/>
      <c r="Q4548" s="100"/>
      <c r="R4548" s="100"/>
      <c r="S4548" s="100"/>
      <c r="T4548" s="100"/>
      <c r="U4548" s="100"/>
      <c r="V4548" s="100"/>
      <c r="W4548" s="100"/>
      <c r="X4548" s="100"/>
      <c r="Y4548" s="100"/>
      <c r="Z4548" s="100"/>
    </row>
    <row r="4549" spans="1:26">
      <c r="A4549" s="100"/>
      <c r="B4549" s="100"/>
      <c r="C4549" s="100"/>
      <c r="D4549" s="100"/>
      <c r="E4549" s="100"/>
      <c r="F4549" s="100"/>
      <c r="G4549" s="100"/>
      <c r="H4549" s="100"/>
      <c r="I4549" s="100"/>
      <c r="J4549" s="100"/>
      <c r="K4549" s="100"/>
      <c r="L4549" s="100"/>
      <c r="M4549" s="100"/>
      <c r="N4549" s="100"/>
      <c r="O4549" s="100"/>
      <c r="P4549" s="100"/>
      <c r="Q4549" s="100"/>
      <c r="R4549" s="100"/>
      <c r="S4549" s="100"/>
      <c r="T4549" s="100"/>
      <c r="U4549" s="100"/>
      <c r="V4549" s="100"/>
      <c r="W4549" s="100"/>
      <c r="X4549" s="100"/>
      <c r="Y4549" s="100"/>
      <c r="Z4549" s="100"/>
    </row>
    <row r="4550" spans="1:26">
      <c r="A4550" s="100"/>
      <c r="B4550" s="100"/>
      <c r="C4550" s="100"/>
      <c r="D4550" s="100"/>
      <c r="E4550" s="100"/>
      <c r="F4550" s="100"/>
      <c r="G4550" s="100"/>
      <c r="H4550" s="100"/>
      <c r="I4550" s="100"/>
      <c r="J4550" s="100"/>
      <c r="K4550" s="100"/>
      <c r="L4550" s="100"/>
      <c r="M4550" s="100"/>
      <c r="N4550" s="100"/>
      <c r="O4550" s="100"/>
      <c r="P4550" s="100"/>
      <c r="Q4550" s="100"/>
      <c r="R4550" s="100"/>
      <c r="S4550" s="100"/>
      <c r="T4550" s="100"/>
      <c r="U4550" s="100"/>
      <c r="V4550" s="100"/>
      <c r="W4550" s="100"/>
      <c r="X4550" s="100"/>
      <c r="Y4550" s="100"/>
      <c r="Z4550" s="100"/>
    </row>
    <row r="4551" spans="1:26">
      <c r="A4551" s="100"/>
      <c r="B4551" s="100"/>
      <c r="C4551" s="100"/>
      <c r="D4551" s="100"/>
      <c r="E4551" s="100"/>
      <c r="F4551" s="100"/>
      <c r="G4551" s="100"/>
      <c r="H4551" s="100"/>
      <c r="I4551" s="100"/>
      <c r="J4551" s="100"/>
      <c r="K4551" s="100"/>
      <c r="L4551" s="100"/>
      <c r="M4551" s="100"/>
      <c r="N4551" s="100"/>
      <c r="O4551" s="100"/>
      <c r="P4551" s="100"/>
      <c r="Q4551" s="100"/>
      <c r="R4551" s="100"/>
      <c r="S4551" s="100"/>
      <c r="T4551" s="100"/>
      <c r="U4551" s="100"/>
      <c r="V4551" s="100"/>
      <c r="W4551" s="100"/>
      <c r="X4551" s="100"/>
      <c r="Y4551" s="100"/>
      <c r="Z4551" s="100"/>
    </row>
    <row r="4552" spans="1:26">
      <c r="A4552" s="100"/>
      <c r="B4552" s="100"/>
      <c r="C4552" s="100"/>
      <c r="D4552" s="100"/>
      <c r="E4552" s="100"/>
      <c r="F4552" s="100"/>
      <c r="G4552" s="100"/>
      <c r="H4552" s="100"/>
      <c r="I4552" s="100"/>
      <c r="J4552" s="100"/>
      <c r="K4552" s="100"/>
      <c r="L4552" s="100"/>
      <c r="M4552" s="100"/>
      <c r="N4552" s="100"/>
      <c r="O4552" s="100"/>
      <c r="P4552" s="100"/>
      <c r="Q4552" s="100"/>
      <c r="R4552" s="100"/>
      <c r="S4552" s="100"/>
      <c r="T4552" s="100"/>
      <c r="U4552" s="100"/>
      <c r="V4552" s="100"/>
      <c r="W4552" s="100"/>
      <c r="X4552" s="100"/>
      <c r="Y4552" s="100"/>
      <c r="Z4552" s="100"/>
    </row>
    <row r="4553" spans="1:26">
      <c r="A4553" s="100"/>
      <c r="B4553" s="100"/>
      <c r="C4553" s="100"/>
      <c r="D4553" s="100"/>
      <c r="E4553" s="100"/>
      <c r="F4553" s="100"/>
      <c r="G4553" s="100"/>
      <c r="H4553" s="100"/>
      <c r="I4553" s="100"/>
      <c r="J4553" s="100"/>
      <c r="K4553" s="100"/>
      <c r="L4553" s="100"/>
      <c r="M4553" s="100"/>
      <c r="N4553" s="100"/>
      <c r="O4553" s="100"/>
      <c r="P4553" s="100"/>
      <c r="Q4553" s="100"/>
      <c r="R4553" s="100"/>
      <c r="S4553" s="100"/>
      <c r="T4553" s="100"/>
      <c r="U4553" s="100"/>
      <c r="V4553" s="100"/>
      <c r="W4553" s="100"/>
      <c r="X4553" s="100"/>
      <c r="Y4553" s="100"/>
      <c r="Z4553" s="100"/>
    </row>
    <row r="4554" spans="1:26">
      <c r="A4554" s="100"/>
      <c r="B4554" s="100"/>
      <c r="C4554" s="100"/>
      <c r="D4554" s="100"/>
      <c r="E4554" s="100"/>
      <c r="F4554" s="100"/>
      <c r="G4554" s="100"/>
      <c r="H4554" s="100"/>
      <c r="I4554" s="100"/>
      <c r="J4554" s="100"/>
      <c r="K4554" s="100"/>
      <c r="L4554" s="100"/>
      <c r="M4554" s="100"/>
      <c r="N4554" s="100"/>
      <c r="O4554" s="100"/>
      <c r="P4554" s="100"/>
      <c r="Q4554" s="100"/>
      <c r="R4554" s="100"/>
      <c r="S4554" s="100"/>
      <c r="T4554" s="100"/>
      <c r="U4554" s="100"/>
      <c r="V4554" s="100"/>
      <c r="W4554" s="100"/>
      <c r="X4554" s="100"/>
      <c r="Y4554" s="100"/>
      <c r="Z4554" s="100"/>
    </row>
    <row r="4555" spans="1:26">
      <c r="A4555" s="100"/>
      <c r="B4555" s="100"/>
      <c r="C4555" s="100"/>
      <c r="D4555" s="100"/>
      <c r="E4555" s="100"/>
      <c r="F4555" s="100"/>
      <c r="G4555" s="100"/>
      <c r="H4555" s="100"/>
      <c r="I4555" s="100"/>
      <c r="J4555" s="100"/>
      <c r="K4555" s="100"/>
      <c r="L4555" s="100"/>
      <c r="M4555" s="100"/>
      <c r="N4555" s="100"/>
      <c r="O4555" s="100"/>
      <c r="P4555" s="100"/>
      <c r="Q4555" s="100"/>
      <c r="R4555" s="100"/>
      <c r="S4555" s="100"/>
      <c r="T4555" s="100"/>
      <c r="U4555" s="100"/>
      <c r="V4555" s="100"/>
      <c r="W4555" s="100"/>
      <c r="X4555" s="100"/>
      <c r="Y4555" s="100"/>
      <c r="Z4555" s="100"/>
    </row>
    <row r="4556" spans="1:26">
      <c r="A4556" s="100"/>
      <c r="B4556" s="100"/>
      <c r="C4556" s="100"/>
      <c r="D4556" s="100"/>
      <c r="E4556" s="100"/>
      <c r="F4556" s="100"/>
      <c r="G4556" s="100"/>
      <c r="H4556" s="100"/>
      <c r="I4556" s="100"/>
      <c r="J4556" s="100"/>
      <c r="K4556" s="100"/>
      <c r="L4556" s="100"/>
      <c r="M4556" s="100"/>
      <c r="N4556" s="100"/>
      <c r="O4556" s="100"/>
      <c r="P4556" s="100"/>
      <c r="Q4556" s="100"/>
      <c r="R4556" s="100"/>
      <c r="S4556" s="100"/>
      <c r="T4556" s="100"/>
      <c r="U4556" s="100"/>
      <c r="V4556" s="100"/>
      <c r="W4556" s="100"/>
      <c r="X4556" s="100"/>
      <c r="Y4556" s="100"/>
      <c r="Z4556" s="100"/>
    </row>
    <row r="4557" spans="1:26">
      <c r="A4557" s="100"/>
      <c r="B4557" s="100"/>
      <c r="C4557" s="100"/>
      <c r="D4557" s="100"/>
      <c r="E4557" s="100"/>
      <c r="F4557" s="100"/>
      <c r="G4557" s="100"/>
      <c r="H4557" s="100"/>
      <c r="I4557" s="100"/>
      <c r="J4557" s="100"/>
      <c r="K4557" s="100"/>
      <c r="L4557" s="100"/>
      <c r="M4557" s="100"/>
      <c r="N4557" s="100"/>
      <c r="O4557" s="100"/>
      <c r="P4557" s="100"/>
      <c r="Q4557" s="100"/>
      <c r="R4557" s="100"/>
      <c r="S4557" s="100"/>
      <c r="T4557" s="100"/>
      <c r="U4557" s="100"/>
      <c r="V4557" s="100"/>
      <c r="W4557" s="100"/>
      <c r="X4557" s="100"/>
      <c r="Y4557" s="100"/>
      <c r="Z4557" s="100"/>
    </row>
    <row r="4558" spans="1:26">
      <c r="A4558" s="100"/>
      <c r="B4558" s="100"/>
      <c r="C4558" s="100"/>
      <c r="D4558" s="100"/>
      <c r="E4558" s="100"/>
      <c r="F4558" s="100"/>
      <c r="G4558" s="100"/>
      <c r="H4558" s="100"/>
      <c r="I4558" s="100"/>
      <c r="J4558" s="100"/>
      <c r="K4558" s="100"/>
      <c r="L4558" s="100"/>
      <c r="M4558" s="100"/>
      <c r="N4558" s="100"/>
      <c r="O4558" s="100"/>
      <c r="P4558" s="100"/>
      <c r="Q4558" s="100"/>
      <c r="R4558" s="100"/>
      <c r="S4558" s="100"/>
      <c r="T4558" s="100"/>
      <c r="U4558" s="100"/>
      <c r="V4558" s="100"/>
      <c r="W4558" s="100"/>
      <c r="X4558" s="100"/>
      <c r="Y4558" s="100"/>
      <c r="Z4558" s="100"/>
    </row>
    <row r="4559" spans="1:26">
      <c r="A4559" s="100"/>
      <c r="B4559" s="100"/>
      <c r="C4559" s="100"/>
      <c r="D4559" s="100"/>
      <c r="E4559" s="100"/>
      <c r="F4559" s="100"/>
      <c r="G4559" s="100"/>
      <c r="H4559" s="100"/>
      <c r="I4559" s="100"/>
      <c r="J4559" s="100"/>
      <c r="K4559" s="100"/>
      <c r="L4559" s="100"/>
      <c r="M4559" s="100"/>
      <c r="N4559" s="100"/>
      <c r="O4559" s="100"/>
      <c r="P4559" s="100"/>
      <c r="Q4559" s="100"/>
      <c r="R4559" s="100"/>
      <c r="S4559" s="100"/>
      <c r="T4559" s="100"/>
      <c r="U4559" s="100"/>
      <c r="V4559" s="100"/>
      <c r="W4559" s="100"/>
      <c r="X4559" s="100"/>
      <c r="Y4559" s="100"/>
      <c r="Z4559" s="100"/>
    </row>
    <row r="4560" spans="1:26">
      <c r="A4560" s="100"/>
      <c r="B4560" s="100"/>
      <c r="C4560" s="100"/>
      <c r="D4560" s="100"/>
      <c r="E4560" s="100"/>
      <c r="F4560" s="100"/>
      <c r="G4560" s="100"/>
      <c r="H4560" s="100"/>
      <c r="I4560" s="100"/>
      <c r="J4560" s="100"/>
      <c r="K4560" s="100"/>
      <c r="L4560" s="100"/>
      <c r="M4560" s="100"/>
      <c r="N4560" s="100"/>
      <c r="O4560" s="100"/>
      <c r="P4560" s="100"/>
      <c r="Q4560" s="100"/>
      <c r="R4560" s="100"/>
      <c r="S4560" s="100"/>
      <c r="T4560" s="100"/>
      <c r="U4560" s="100"/>
      <c r="V4560" s="100"/>
      <c r="W4560" s="100"/>
      <c r="X4560" s="100"/>
      <c r="Y4560" s="100"/>
      <c r="Z4560" s="100"/>
    </row>
    <row r="4561" spans="1:26">
      <c r="A4561" s="100"/>
      <c r="B4561" s="100"/>
      <c r="C4561" s="100"/>
      <c r="D4561" s="100"/>
      <c r="E4561" s="100"/>
      <c r="F4561" s="100"/>
      <c r="G4561" s="100"/>
      <c r="H4561" s="100"/>
      <c r="I4561" s="100"/>
      <c r="J4561" s="100"/>
      <c r="K4561" s="100"/>
      <c r="L4561" s="100"/>
      <c r="M4561" s="100"/>
      <c r="N4561" s="100"/>
      <c r="O4561" s="100"/>
      <c r="P4561" s="100"/>
      <c r="Q4561" s="100"/>
      <c r="R4561" s="100"/>
      <c r="S4561" s="100"/>
      <c r="T4561" s="100"/>
      <c r="U4561" s="100"/>
      <c r="V4561" s="100"/>
      <c r="W4561" s="100"/>
      <c r="X4561" s="100"/>
      <c r="Y4561" s="100"/>
      <c r="Z4561" s="100"/>
    </row>
  </sheetData>
  <phoneticPr fontId="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3013"/>
  <sheetViews>
    <sheetView workbookViewId="0"/>
  </sheetViews>
  <sheetFormatPr defaultColWidth="14.42578125" defaultRowHeight="15" customHeight="1"/>
  <sheetData>
    <row r="1" spans="1:26">
      <c r="A1" s="100" t="e">
        <f ca="1">IFERROR(__xludf.DUMMYFUNCTION("IMPORTRANGE(""https://docs.google.com/spreadsheets/d/1PLLq6YTmFFMklDHedBb_tVR7NVjsQrSVqiUJW2TeuHQ/edit?usp=sharing"", ""cryptodataBybit!A1:Z5000"")"),"id")</f>
        <v>#NAME?</v>
      </c>
      <c r="B1" s="100" t="e">
        <f ca="1">IFERROR(__xludf.DUMMYFUNCTION("""COMPUTED_VALUE"""),"symbol")</f>
        <v>#NAME?</v>
      </c>
      <c r="C1" s="100" t="e">
        <f ca="1">IFERROR(__xludf.DUMMYFUNCTION("""COMPUTED_VALUE"""),"price")</f>
        <v>#NAME?</v>
      </c>
      <c r="D1" s="100" t="e">
        <f ca="1">IFERROR(__xludf.DUMMYFUNCTION("""COMPUTED_VALUE"""),"change7d")</f>
        <v>#NAME?</v>
      </c>
      <c r="E1" s="100" t="e">
        <f ca="1">IFERROR(__xludf.DUMMYFUNCTION("""COMPUTED_VALUE"""),"change30d")</f>
        <v>#NAME?</v>
      </c>
      <c r="F1" s="100" t="e">
        <f ca="1">IFERROR(__xludf.DUMMYFUNCTION("""COMPUTED_VALUE"""),"time1d")</f>
        <v>#NAME?</v>
      </c>
      <c r="G1" s="100" t="e">
        <f ca="1">IFERROR(__xludf.DUMMYFUNCTION("""COMPUTED_VALUE"""),"time7d")</f>
        <v>#NAME?</v>
      </c>
      <c r="H1" s="100" t="e">
        <f ca="1">IFERROR(__xludf.DUMMYFUNCTION("""COMPUTED_VALUE"""),"time1m")</f>
        <v>#NAME?</v>
      </c>
      <c r="I1" s="100" t="e">
        <f ca="1">IFERROR(__xludf.DUMMYFUNCTION("""COMPUTED_VALUE"""),"time5min")</f>
        <v>#NAME?</v>
      </c>
      <c r="J1" s="100" t="e">
        <f ca="1">IFERROR(__xludf.DUMMYFUNCTION("""COMPUTED_VALUE"""),"change1d")</f>
        <v>#NAME?</v>
      </c>
      <c r="K1" s="100" t="e">
        <f ca="1">IFERROR(__xludf.DUMMYFUNCTION("""COMPUTED_VALUE"""),"time1sec")</f>
        <v>#NAME?</v>
      </c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</row>
    <row r="2" spans="1:26">
      <c r="A2" s="100" t="e">
        <f ca="1">IFERROR(__xludf.DUMMYFUNCTION("""COMPUTED_VALUE"""),12747119)</f>
        <v>#NAME?</v>
      </c>
      <c r="B2" s="100" t="e">
        <f ca="1">IFERROR(__xludf.DUMMYFUNCTION("""COMPUTED_VALUE"""),"BEAMUSDT")</f>
        <v>#NAME?</v>
      </c>
      <c r="C2" s="100" t="e">
        <f ca="1">IFERROR(__xludf.DUMMYFUNCTION("""COMPUTED_VALUE"""),"0.006325")</f>
        <v>#NAME?</v>
      </c>
      <c r="D2" s="100" t="e">
        <f t="shared" ref="D2:E21" ca="1" si="0">IFERROR(__xludf.DUMMYFUNCTION("""COMPUTED_VALUE"""),"-")</f>
        <v>#NAME?</v>
      </c>
      <c r="E2" s="100" t="e">
        <f t="shared" ca="1" si="0"/>
        <v>#NAME?</v>
      </c>
      <c r="F2" s="100" t="e">
        <f t="shared" ref="F2:F65" ca="1" si="1">IFERROR(__xludf.DUMMYFUNCTION("""COMPUTED_VALUE"""),20200)</f>
        <v>#NAME?</v>
      </c>
      <c r="G2" s="100" t="e">
        <f t="shared" ref="G2:G65" ca="1" si="2">IFERROR(__xludf.DUMMYFUNCTION("""COMPUTED_VALUE"""),2885)</f>
        <v>#NAME?</v>
      </c>
      <c r="H2" s="100" t="e">
        <f t="shared" ref="H2:H65" ca="1" si="3">IFERROR(__xludf.DUMMYFUNCTION("""COMPUTED_VALUE"""),663)</f>
        <v>#NAME?</v>
      </c>
      <c r="I2" s="100" t="e">
        <f t="shared" ref="I2:I65" ca="1" si="4">IFERROR(__xludf.DUMMYFUNCTION("""COMPUTED_VALUE"""),5817721)</f>
        <v>#NAME?</v>
      </c>
      <c r="J2" s="100" t="e">
        <f ca="1">IFERROR(__xludf.DUMMYFUNCTION("""COMPUTED_VALUE"""),"-3.9600000000000004")</f>
        <v>#NAME?</v>
      </c>
      <c r="K2" s="100" t="e">
        <f t="shared" ref="K2:K65" ca="1" si="5">IFERROR(__xludf.DUMMYFUNCTION("""COMPUTED_VALUE"""),"22.04.2025 13:05:01")</f>
        <v>#NAME?</v>
      </c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</row>
    <row r="3" spans="1:26">
      <c r="A3" s="100" t="e">
        <f ca="1">IFERROR(__xludf.DUMMYFUNCTION("""COMPUTED_VALUE"""),12747120)</f>
        <v>#NAME?</v>
      </c>
      <c r="B3" s="100" t="e">
        <f ca="1">IFERROR(__xludf.DUMMYFUNCTION("""COMPUTED_VALUE"""),"PIRATEUSDT")</f>
        <v>#NAME?</v>
      </c>
      <c r="C3" s="100" t="e">
        <f ca="1">IFERROR(__xludf.DUMMYFUNCTION("""COMPUTED_VALUE"""),"0.06129")</f>
        <v>#NAME?</v>
      </c>
      <c r="D3" s="100" t="e">
        <f t="shared" ca="1" si="0"/>
        <v>#NAME?</v>
      </c>
      <c r="E3" s="100" t="e">
        <f t="shared" ca="1" si="0"/>
        <v>#NAME?</v>
      </c>
      <c r="F3" s="100" t="e">
        <f t="shared" ca="1" si="1"/>
        <v>#NAME?</v>
      </c>
      <c r="G3" s="100" t="e">
        <f t="shared" ca="1" si="2"/>
        <v>#NAME?</v>
      </c>
      <c r="H3" s="100" t="e">
        <f t="shared" ca="1" si="3"/>
        <v>#NAME?</v>
      </c>
      <c r="I3" s="100" t="e">
        <f t="shared" ca="1" si="4"/>
        <v>#NAME?</v>
      </c>
      <c r="J3" s="100" t="e">
        <f ca="1">IFERROR(__xludf.DUMMYFUNCTION("""COMPUTED_VALUE"""),"49.16")</f>
        <v>#NAME?</v>
      </c>
      <c r="K3" s="100" t="e">
        <f t="shared" ca="1" si="5"/>
        <v>#NAME?</v>
      </c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</row>
    <row r="4" spans="1:26">
      <c r="A4" s="100" t="e">
        <f ca="1">IFERROR(__xludf.DUMMYFUNCTION("""COMPUTED_VALUE"""),12747121)</f>
        <v>#NAME?</v>
      </c>
      <c r="B4" s="100" t="e">
        <f ca="1">IFERROR(__xludf.DUMMYFUNCTION("""COMPUTED_VALUE"""),"UNIUSDT")</f>
        <v>#NAME?</v>
      </c>
      <c r="C4" s="100" t="e">
        <f ca="1">IFERROR(__xludf.DUMMYFUNCTION("""COMPUTED_VALUE"""),"5.361")</f>
        <v>#NAME?</v>
      </c>
      <c r="D4" s="100" t="e">
        <f t="shared" ca="1" si="0"/>
        <v>#NAME?</v>
      </c>
      <c r="E4" s="100" t="e">
        <f t="shared" ca="1" si="0"/>
        <v>#NAME?</v>
      </c>
      <c r="F4" s="100" t="e">
        <f t="shared" ca="1" si="1"/>
        <v>#NAME?</v>
      </c>
      <c r="G4" s="100" t="e">
        <f t="shared" ca="1" si="2"/>
        <v>#NAME?</v>
      </c>
      <c r="H4" s="100" t="e">
        <f t="shared" ca="1" si="3"/>
        <v>#NAME?</v>
      </c>
      <c r="I4" s="100" t="e">
        <f t="shared" ca="1" si="4"/>
        <v>#NAME?</v>
      </c>
      <c r="J4" s="100" t="e">
        <f ca="1">IFERROR(__xludf.DUMMYFUNCTION("""COMPUTED_VALUE"""),"-1.49")</f>
        <v>#NAME?</v>
      </c>
      <c r="K4" s="100" t="e">
        <f t="shared" ca="1" si="5"/>
        <v>#NAME?</v>
      </c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</row>
    <row r="5" spans="1:26">
      <c r="A5" s="100" t="e">
        <f ca="1">IFERROR(__xludf.DUMMYFUNCTION("""COMPUTED_VALUE"""),12747122)</f>
        <v>#NAME?</v>
      </c>
      <c r="B5" s="100" t="e">
        <f ca="1">IFERROR(__xludf.DUMMYFUNCTION("""COMPUTED_VALUE"""),"AVAXUSDT")</f>
        <v>#NAME?</v>
      </c>
      <c r="C5" s="100" t="e">
        <f ca="1">IFERROR(__xludf.DUMMYFUNCTION("""COMPUTED_VALUE"""),"20.17")</f>
        <v>#NAME?</v>
      </c>
      <c r="D5" s="100" t="e">
        <f t="shared" ca="1" si="0"/>
        <v>#NAME?</v>
      </c>
      <c r="E5" s="100" t="e">
        <f t="shared" ca="1" si="0"/>
        <v>#NAME?</v>
      </c>
      <c r="F5" s="100" t="e">
        <f t="shared" ca="1" si="1"/>
        <v>#NAME?</v>
      </c>
      <c r="G5" s="100" t="e">
        <f t="shared" ca="1" si="2"/>
        <v>#NAME?</v>
      </c>
      <c r="H5" s="100" t="e">
        <f t="shared" ca="1" si="3"/>
        <v>#NAME?</v>
      </c>
      <c r="I5" s="100" t="e">
        <f t="shared" ca="1" si="4"/>
        <v>#NAME?</v>
      </c>
      <c r="J5" s="100" t="e">
        <f ca="1">IFERROR(__xludf.DUMMYFUNCTION("""COMPUTED_VALUE"""),"-2.37")</f>
        <v>#NAME?</v>
      </c>
      <c r="K5" s="100" t="e">
        <f t="shared" ca="1" si="5"/>
        <v>#NAME?</v>
      </c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</row>
    <row r="6" spans="1:26">
      <c r="A6" s="100" t="e">
        <f ca="1">IFERROR(__xludf.DUMMYFUNCTION("""COMPUTED_VALUE"""),12747123)</f>
        <v>#NAME?</v>
      </c>
      <c r="B6" s="100" t="e">
        <f ca="1">IFERROR(__xludf.DUMMYFUNCTION("""COMPUTED_VALUE"""),"ENSUSDT")</f>
        <v>#NAME?</v>
      </c>
      <c r="C6" s="100" t="e">
        <f ca="1">IFERROR(__xludf.DUMMYFUNCTION("""COMPUTED_VALUE"""),"15.31")</f>
        <v>#NAME?</v>
      </c>
      <c r="D6" s="100" t="e">
        <f t="shared" ca="1" si="0"/>
        <v>#NAME?</v>
      </c>
      <c r="E6" s="100" t="e">
        <f t="shared" ca="1" si="0"/>
        <v>#NAME?</v>
      </c>
      <c r="F6" s="100" t="e">
        <f t="shared" ca="1" si="1"/>
        <v>#NAME?</v>
      </c>
      <c r="G6" s="100" t="e">
        <f t="shared" ca="1" si="2"/>
        <v>#NAME?</v>
      </c>
      <c r="H6" s="100" t="e">
        <f t="shared" ca="1" si="3"/>
        <v>#NAME?</v>
      </c>
      <c r="I6" s="100" t="e">
        <f t="shared" ca="1" si="4"/>
        <v>#NAME?</v>
      </c>
      <c r="J6" s="100" t="e">
        <f ca="1">IFERROR(__xludf.DUMMYFUNCTION("""COMPUTED_VALUE"""),"0.9199999999999999")</f>
        <v>#NAME?</v>
      </c>
      <c r="K6" s="100" t="e">
        <f t="shared" ca="1" si="5"/>
        <v>#NAME?</v>
      </c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</row>
    <row r="7" spans="1:26">
      <c r="A7" s="100" t="e">
        <f ca="1">IFERROR(__xludf.DUMMYFUNCTION("""COMPUTED_VALUE"""),12747124)</f>
        <v>#NAME?</v>
      </c>
      <c r="B7" s="100" t="e">
        <f ca="1">IFERROR(__xludf.DUMMYFUNCTION("""COMPUTED_VALUE"""),"AAVEUSDT")</f>
        <v>#NAME?</v>
      </c>
      <c r="C7" s="100" t="e">
        <f ca="1">IFERROR(__xludf.DUMMYFUNCTION("""COMPUTED_VALUE"""),"146.67")</f>
        <v>#NAME?</v>
      </c>
      <c r="D7" s="100" t="e">
        <f t="shared" ca="1" si="0"/>
        <v>#NAME?</v>
      </c>
      <c r="E7" s="100" t="e">
        <f t="shared" ca="1" si="0"/>
        <v>#NAME?</v>
      </c>
      <c r="F7" s="100" t="e">
        <f t="shared" ca="1" si="1"/>
        <v>#NAME?</v>
      </c>
      <c r="G7" s="100" t="e">
        <f t="shared" ca="1" si="2"/>
        <v>#NAME?</v>
      </c>
      <c r="H7" s="100" t="e">
        <f t="shared" ca="1" si="3"/>
        <v>#NAME?</v>
      </c>
      <c r="I7" s="100" t="e">
        <f t="shared" ca="1" si="4"/>
        <v>#NAME?</v>
      </c>
      <c r="J7" s="100" t="e">
        <f ca="1">IFERROR(__xludf.DUMMYFUNCTION("""COMPUTED_VALUE"""),"1.03")</f>
        <v>#NAME?</v>
      </c>
      <c r="K7" s="100" t="e">
        <f t="shared" ca="1" si="5"/>
        <v>#NAME?</v>
      </c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</row>
    <row r="8" spans="1:26">
      <c r="A8" s="100" t="e">
        <f ca="1">IFERROR(__xludf.DUMMYFUNCTION("""COMPUTED_VALUE"""),12747125)</f>
        <v>#NAME?</v>
      </c>
      <c r="B8" s="100" t="e">
        <f ca="1">IFERROR(__xludf.DUMMYFUNCTION("""COMPUTED_VALUE"""),"SHIBUSDT")</f>
        <v>#NAME?</v>
      </c>
      <c r="C8" s="100" t="e">
        <f ca="1">IFERROR(__xludf.DUMMYFUNCTION("""COMPUTED_VALUE"""),"0.00001252")</f>
        <v>#NAME?</v>
      </c>
      <c r="D8" s="100" t="e">
        <f t="shared" ca="1" si="0"/>
        <v>#NAME?</v>
      </c>
      <c r="E8" s="100" t="e">
        <f t="shared" ca="1" si="0"/>
        <v>#NAME?</v>
      </c>
      <c r="F8" s="100" t="e">
        <f t="shared" ca="1" si="1"/>
        <v>#NAME?</v>
      </c>
      <c r="G8" s="100" t="e">
        <f t="shared" ca="1" si="2"/>
        <v>#NAME?</v>
      </c>
      <c r="H8" s="100" t="e">
        <f t="shared" ca="1" si="3"/>
        <v>#NAME?</v>
      </c>
      <c r="I8" s="100" t="e">
        <f t="shared" ca="1" si="4"/>
        <v>#NAME?</v>
      </c>
      <c r="J8" s="100" t="e">
        <f ca="1">IFERROR(__xludf.DUMMYFUNCTION("""COMPUTED_VALUE"""),"-0.95")</f>
        <v>#NAME?</v>
      </c>
      <c r="K8" s="100" t="e">
        <f t="shared" ca="1" si="5"/>
        <v>#NAME?</v>
      </c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</row>
    <row r="9" spans="1:26">
      <c r="A9" s="100" t="e">
        <f ca="1">IFERROR(__xludf.DUMMYFUNCTION("""COMPUTED_VALUE"""),12747126)</f>
        <v>#NAME?</v>
      </c>
      <c r="B9" s="100" t="e">
        <f ca="1">IFERROR(__xludf.DUMMYFUNCTION("""COMPUTED_VALUE"""),"ETHUSDE")</f>
        <v>#NAME?</v>
      </c>
      <c r="C9" s="100" t="e">
        <f ca="1">IFERROR(__xludf.DUMMYFUNCTION("""COMPUTED_VALUE"""),"1626.93")</f>
        <v>#NAME?</v>
      </c>
      <c r="D9" s="100" t="e">
        <f t="shared" ca="1" si="0"/>
        <v>#NAME?</v>
      </c>
      <c r="E9" s="100" t="e">
        <f t="shared" ca="1" si="0"/>
        <v>#NAME?</v>
      </c>
      <c r="F9" s="100" t="e">
        <f t="shared" ca="1" si="1"/>
        <v>#NAME?</v>
      </c>
      <c r="G9" s="100" t="e">
        <f t="shared" ca="1" si="2"/>
        <v>#NAME?</v>
      </c>
      <c r="H9" s="100" t="e">
        <f t="shared" ca="1" si="3"/>
        <v>#NAME?</v>
      </c>
      <c r="I9" s="100" t="e">
        <f t="shared" ca="1" si="4"/>
        <v>#NAME?</v>
      </c>
      <c r="J9" s="100" t="e">
        <f ca="1">IFERROR(__xludf.DUMMYFUNCTION("""COMPUTED_VALUE"""),"-0.96")</f>
        <v>#NAME?</v>
      </c>
      <c r="K9" s="100" t="e">
        <f t="shared" ca="1" si="5"/>
        <v>#NAME?</v>
      </c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</row>
    <row r="10" spans="1:26">
      <c r="A10" s="100" t="e">
        <f ca="1">IFERROR(__xludf.DUMMYFUNCTION("""COMPUTED_VALUE"""),12747127)</f>
        <v>#NAME?</v>
      </c>
      <c r="B10" s="100" t="e">
        <f ca="1">IFERROR(__xludf.DUMMYFUNCTION("""COMPUTED_VALUE"""),"TAIKOUSDT")</f>
        <v>#NAME?</v>
      </c>
      <c r="C10" s="100" t="e">
        <f ca="1">IFERROR(__xludf.DUMMYFUNCTION("""COMPUTED_VALUE"""),"0.5929")</f>
        <v>#NAME?</v>
      </c>
      <c r="D10" s="100" t="e">
        <f t="shared" ca="1" si="0"/>
        <v>#NAME?</v>
      </c>
      <c r="E10" s="100" t="e">
        <f t="shared" ca="1" si="0"/>
        <v>#NAME?</v>
      </c>
      <c r="F10" s="100" t="e">
        <f t="shared" ca="1" si="1"/>
        <v>#NAME?</v>
      </c>
      <c r="G10" s="100" t="e">
        <f t="shared" ca="1" si="2"/>
        <v>#NAME?</v>
      </c>
      <c r="H10" s="100" t="e">
        <f t="shared" ca="1" si="3"/>
        <v>#NAME?</v>
      </c>
      <c r="I10" s="100" t="e">
        <f t="shared" ca="1" si="4"/>
        <v>#NAME?</v>
      </c>
      <c r="J10" s="100" t="e">
        <f ca="1">IFERROR(__xludf.DUMMYFUNCTION("""COMPUTED_VALUE"""),"-2.6599999999999997")</f>
        <v>#NAME?</v>
      </c>
      <c r="K10" s="100" t="e">
        <f t="shared" ca="1" si="5"/>
        <v>#NAME?</v>
      </c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</row>
    <row r="11" spans="1:26">
      <c r="A11" s="100" t="e">
        <f ca="1">IFERROR(__xludf.DUMMYFUNCTION("""COMPUTED_VALUE"""),12747128)</f>
        <v>#NAME?</v>
      </c>
      <c r="B11" s="100" t="e">
        <f ca="1">IFERROR(__xludf.DUMMYFUNCTION("""COMPUTED_VALUE"""),"SONUSDT")</f>
        <v>#NAME?</v>
      </c>
      <c r="C11" s="100" t="e">
        <f ca="1">IFERROR(__xludf.DUMMYFUNCTION("""COMPUTED_VALUE"""),"0.0001212")</f>
        <v>#NAME?</v>
      </c>
      <c r="D11" s="100" t="e">
        <f t="shared" ca="1" si="0"/>
        <v>#NAME?</v>
      </c>
      <c r="E11" s="100" t="e">
        <f t="shared" ca="1" si="0"/>
        <v>#NAME?</v>
      </c>
      <c r="F11" s="100" t="e">
        <f t="shared" ca="1" si="1"/>
        <v>#NAME?</v>
      </c>
      <c r="G11" s="100" t="e">
        <f t="shared" ca="1" si="2"/>
        <v>#NAME?</v>
      </c>
      <c r="H11" s="100" t="e">
        <f t="shared" ca="1" si="3"/>
        <v>#NAME?</v>
      </c>
      <c r="I11" s="100" t="e">
        <f t="shared" ca="1" si="4"/>
        <v>#NAME?</v>
      </c>
      <c r="J11" s="100" t="e">
        <f ca="1">IFERROR(__xludf.DUMMYFUNCTION("""COMPUTED_VALUE"""),"1.08")</f>
        <v>#NAME?</v>
      </c>
      <c r="K11" s="100" t="e">
        <f t="shared" ca="1" si="5"/>
        <v>#NAME?</v>
      </c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</row>
    <row r="12" spans="1:26">
      <c r="A12" s="100" t="e">
        <f ca="1">IFERROR(__xludf.DUMMYFUNCTION("""COMPUTED_VALUE"""),12747129)</f>
        <v>#NAME?</v>
      </c>
      <c r="B12" s="100" t="e">
        <f ca="1">IFERROR(__xludf.DUMMYFUNCTION("""COMPUTED_VALUE"""),"FMBUSDT")</f>
        <v>#NAME?</v>
      </c>
      <c r="C12" s="100" t="e">
        <f ca="1">IFERROR(__xludf.DUMMYFUNCTION("""COMPUTED_VALUE"""),"0.004")</f>
        <v>#NAME?</v>
      </c>
      <c r="D12" s="100" t="e">
        <f t="shared" ca="1" si="0"/>
        <v>#NAME?</v>
      </c>
      <c r="E12" s="100" t="e">
        <f t="shared" ca="1" si="0"/>
        <v>#NAME?</v>
      </c>
      <c r="F12" s="100" t="e">
        <f t="shared" ca="1" si="1"/>
        <v>#NAME?</v>
      </c>
      <c r="G12" s="100" t="e">
        <f t="shared" ca="1" si="2"/>
        <v>#NAME?</v>
      </c>
      <c r="H12" s="100" t="e">
        <f t="shared" ca="1" si="3"/>
        <v>#NAME?</v>
      </c>
      <c r="I12" s="100" t="e">
        <f t="shared" ca="1" si="4"/>
        <v>#NAME?</v>
      </c>
      <c r="J12" s="100" t="e">
        <f ca="1">IFERROR(__xludf.DUMMYFUNCTION("""COMPUTED_VALUE"""),"0.22999999999999998")</f>
        <v>#NAME?</v>
      </c>
      <c r="K12" s="100" t="e">
        <f t="shared" ca="1" si="5"/>
        <v>#NAME?</v>
      </c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</row>
    <row r="13" spans="1:26">
      <c r="A13" s="100" t="e">
        <f ca="1">IFERROR(__xludf.DUMMYFUNCTION("""COMPUTED_VALUE"""),12747130)</f>
        <v>#NAME?</v>
      </c>
      <c r="B13" s="100" t="e">
        <f ca="1">IFERROR(__xludf.DUMMYFUNCTION("""COMPUTED_VALUE"""),"DOGEUSDT")</f>
        <v>#NAME?</v>
      </c>
      <c r="C13" s="100" t="e">
        <f ca="1">IFERROR(__xludf.DUMMYFUNCTION("""COMPUTED_VALUE"""),"0.16376")</f>
        <v>#NAME?</v>
      </c>
      <c r="D13" s="100" t="e">
        <f t="shared" ca="1" si="0"/>
        <v>#NAME?</v>
      </c>
      <c r="E13" s="100" t="e">
        <f t="shared" ca="1" si="0"/>
        <v>#NAME?</v>
      </c>
      <c r="F13" s="100" t="e">
        <f t="shared" ca="1" si="1"/>
        <v>#NAME?</v>
      </c>
      <c r="G13" s="100" t="e">
        <f t="shared" ca="1" si="2"/>
        <v>#NAME?</v>
      </c>
      <c r="H13" s="100" t="e">
        <f t="shared" ca="1" si="3"/>
        <v>#NAME?</v>
      </c>
      <c r="I13" s="100" t="e">
        <f t="shared" ca="1" si="4"/>
        <v>#NAME?</v>
      </c>
      <c r="J13" s="100" t="e">
        <f ca="1">IFERROR(__xludf.DUMMYFUNCTION("""COMPUTED_VALUE"""),"0.9400000000000001")</f>
        <v>#NAME?</v>
      </c>
      <c r="K13" s="100" t="e">
        <f t="shared" ca="1" si="5"/>
        <v>#NAME?</v>
      </c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</row>
    <row r="14" spans="1:26">
      <c r="A14" s="100" t="e">
        <f ca="1">IFERROR(__xludf.DUMMYFUNCTION("""COMPUTED_VALUE"""),12747131)</f>
        <v>#NAME?</v>
      </c>
      <c r="B14" s="100" t="e">
        <f ca="1">IFERROR(__xludf.DUMMYFUNCTION("""COMPUTED_VALUE"""),"STOPUSDT")</f>
        <v>#NAME?</v>
      </c>
      <c r="C14" s="100" t="e">
        <f ca="1">IFERROR(__xludf.DUMMYFUNCTION("""COMPUTED_VALUE"""),"0.08298")</f>
        <v>#NAME?</v>
      </c>
      <c r="D14" s="100" t="e">
        <f t="shared" ca="1" si="0"/>
        <v>#NAME?</v>
      </c>
      <c r="E14" s="100" t="e">
        <f t="shared" ca="1" si="0"/>
        <v>#NAME?</v>
      </c>
      <c r="F14" s="100" t="e">
        <f t="shared" ca="1" si="1"/>
        <v>#NAME?</v>
      </c>
      <c r="G14" s="100" t="e">
        <f t="shared" ca="1" si="2"/>
        <v>#NAME?</v>
      </c>
      <c r="H14" s="100" t="e">
        <f t="shared" ca="1" si="3"/>
        <v>#NAME?</v>
      </c>
      <c r="I14" s="100" t="e">
        <f t="shared" ca="1" si="4"/>
        <v>#NAME?</v>
      </c>
      <c r="J14" s="100" t="e">
        <f ca="1">IFERROR(__xludf.DUMMYFUNCTION("""COMPUTED_VALUE"""),"0.47000000000000003")</f>
        <v>#NAME?</v>
      </c>
      <c r="K14" s="100" t="e">
        <f t="shared" ca="1" si="5"/>
        <v>#NAME?</v>
      </c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</row>
    <row r="15" spans="1:26">
      <c r="A15" s="100" t="e">
        <f ca="1">IFERROR(__xludf.DUMMYFUNCTION("""COMPUTED_VALUE"""),12747132)</f>
        <v>#NAME?</v>
      </c>
      <c r="B15" s="100" t="e">
        <f ca="1">IFERROR(__xludf.DUMMYFUNCTION("""COMPUTED_VALUE"""),"SCAUSDT")</f>
        <v>#NAME?</v>
      </c>
      <c r="C15" s="100" t="e">
        <f ca="1">IFERROR(__xludf.DUMMYFUNCTION("""COMPUTED_VALUE"""),"0.08925")</f>
        <v>#NAME?</v>
      </c>
      <c r="D15" s="100" t="e">
        <f t="shared" ca="1" si="0"/>
        <v>#NAME?</v>
      </c>
      <c r="E15" s="100" t="e">
        <f t="shared" ca="1" si="0"/>
        <v>#NAME?</v>
      </c>
      <c r="F15" s="100" t="e">
        <f t="shared" ca="1" si="1"/>
        <v>#NAME?</v>
      </c>
      <c r="G15" s="100" t="e">
        <f t="shared" ca="1" si="2"/>
        <v>#NAME?</v>
      </c>
      <c r="H15" s="100" t="e">
        <f t="shared" ca="1" si="3"/>
        <v>#NAME?</v>
      </c>
      <c r="I15" s="100" t="e">
        <f t="shared" ca="1" si="4"/>
        <v>#NAME?</v>
      </c>
      <c r="J15" s="100" t="e">
        <f ca="1">IFERROR(__xludf.DUMMYFUNCTION("""COMPUTED_VALUE"""),"-4.55")</f>
        <v>#NAME?</v>
      </c>
      <c r="K15" s="100" t="e">
        <f t="shared" ca="1" si="5"/>
        <v>#NAME?</v>
      </c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</row>
    <row r="16" spans="1:26">
      <c r="A16" s="100" t="e">
        <f ca="1">IFERROR(__xludf.DUMMYFUNCTION("""COMPUTED_VALUE"""),12747133)</f>
        <v>#NAME?</v>
      </c>
      <c r="B16" s="100" t="e">
        <f ca="1">IFERROR(__xludf.DUMMYFUNCTION("""COMPUTED_VALUE"""),"GLMRUSDT")</f>
        <v>#NAME?</v>
      </c>
      <c r="C16" s="100" t="e">
        <f ca="1">IFERROR(__xludf.DUMMYFUNCTION("""COMPUTED_VALUE"""),"0.07018")</f>
        <v>#NAME?</v>
      </c>
      <c r="D16" s="100" t="e">
        <f t="shared" ca="1" si="0"/>
        <v>#NAME?</v>
      </c>
      <c r="E16" s="100" t="e">
        <f t="shared" ca="1" si="0"/>
        <v>#NAME?</v>
      </c>
      <c r="F16" s="100" t="e">
        <f t="shared" ca="1" si="1"/>
        <v>#NAME?</v>
      </c>
      <c r="G16" s="100" t="e">
        <f t="shared" ca="1" si="2"/>
        <v>#NAME?</v>
      </c>
      <c r="H16" s="100" t="e">
        <f t="shared" ca="1" si="3"/>
        <v>#NAME?</v>
      </c>
      <c r="I16" s="100" t="e">
        <f t="shared" ca="1" si="4"/>
        <v>#NAME?</v>
      </c>
      <c r="J16" s="100" t="e">
        <f ca="1">IFERROR(__xludf.DUMMYFUNCTION("""COMPUTED_VALUE"""),"-3.6900000000000004")</f>
        <v>#NAME?</v>
      </c>
      <c r="K16" s="100" t="e">
        <f t="shared" ca="1" si="5"/>
        <v>#NAME?</v>
      </c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</row>
    <row r="17" spans="1:26">
      <c r="A17" s="100" t="e">
        <f ca="1">IFERROR(__xludf.DUMMYFUNCTION("""COMPUTED_VALUE"""),12747134)</f>
        <v>#NAME?</v>
      </c>
      <c r="B17" s="100" t="e">
        <f ca="1">IFERROR(__xludf.DUMMYFUNCTION("""COMPUTED_VALUE"""),"FETUSDT")</f>
        <v>#NAME?</v>
      </c>
      <c r="C17" s="100" t="e">
        <f ca="1">IFERROR(__xludf.DUMMYFUNCTION("""COMPUTED_VALUE"""),"0.591")</f>
        <v>#NAME?</v>
      </c>
      <c r="D17" s="100" t="e">
        <f t="shared" ca="1" si="0"/>
        <v>#NAME?</v>
      </c>
      <c r="E17" s="100" t="e">
        <f t="shared" ca="1" si="0"/>
        <v>#NAME?</v>
      </c>
      <c r="F17" s="100" t="e">
        <f t="shared" ca="1" si="1"/>
        <v>#NAME?</v>
      </c>
      <c r="G17" s="100" t="e">
        <f t="shared" ca="1" si="2"/>
        <v>#NAME?</v>
      </c>
      <c r="H17" s="100" t="e">
        <f t="shared" ca="1" si="3"/>
        <v>#NAME?</v>
      </c>
      <c r="I17" s="100" t="e">
        <f t="shared" ca="1" si="4"/>
        <v>#NAME?</v>
      </c>
      <c r="J17" s="100" t="e">
        <f ca="1">IFERROR(__xludf.DUMMYFUNCTION("""COMPUTED_VALUE"""),"-4.9799999999999995")</f>
        <v>#NAME?</v>
      </c>
      <c r="K17" s="100" t="e">
        <f t="shared" ca="1" si="5"/>
        <v>#NAME?</v>
      </c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</row>
    <row r="18" spans="1:26">
      <c r="A18" s="100" t="e">
        <f ca="1">IFERROR(__xludf.DUMMYFUNCTION("""COMPUTED_VALUE"""),12747135)</f>
        <v>#NAME?</v>
      </c>
      <c r="B18" s="100" t="e">
        <f ca="1">IFERROR(__xludf.DUMMYFUNCTION("""COMPUTED_VALUE"""),"JASMYUSDT")</f>
        <v>#NAME?</v>
      </c>
      <c r="C18" s="100" t="e">
        <f ca="1">IFERROR(__xludf.DUMMYFUNCTION("""COMPUTED_VALUE"""),"0.01418")</f>
        <v>#NAME?</v>
      </c>
      <c r="D18" s="100" t="e">
        <f t="shared" ca="1" si="0"/>
        <v>#NAME?</v>
      </c>
      <c r="E18" s="100" t="e">
        <f t="shared" ca="1" si="0"/>
        <v>#NAME?</v>
      </c>
      <c r="F18" s="100" t="e">
        <f t="shared" ca="1" si="1"/>
        <v>#NAME?</v>
      </c>
      <c r="G18" s="100" t="e">
        <f t="shared" ca="1" si="2"/>
        <v>#NAME?</v>
      </c>
      <c r="H18" s="100" t="e">
        <f t="shared" ca="1" si="3"/>
        <v>#NAME?</v>
      </c>
      <c r="I18" s="100" t="e">
        <f t="shared" ca="1" si="4"/>
        <v>#NAME?</v>
      </c>
      <c r="J18" s="100" t="e">
        <f ca="1">IFERROR(__xludf.DUMMYFUNCTION("""COMPUTED_VALUE"""),"-4.83")</f>
        <v>#NAME?</v>
      </c>
      <c r="K18" s="100" t="e">
        <f t="shared" ca="1" si="5"/>
        <v>#NAME?</v>
      </c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</row>
    <row r="19" spans="1:26">
      <c r="A19" s="100" t="e">
        <f ca="1">IFERROR(__xludf.DUMMYFUNCTION("""COMPUTED_VALUE"""),12747136)</f>
        <v>#NAME?</v>
      </c>
      <c r="B19" s="100" t="e">
        <f ca="1">IFERROR(__xludf.DUMMYFUNCTION("""COMPUTED_VALUE"""),"WLDEUR")</f>
        <v>#NAME?</v>
      </c>
      <c r="C19" s="100" t="e">
        <f ca="1">IFERROR(__xludf.DUMMYFUNCTION("""COMPUTED_VALUE"""),"0.677")</f>
        <v>#NAME?</v>
      </c>
      <c r="D19" s="100" t="e">
        <f t="shared" ca="1" si="0"/>
        <v>#NAME?</v>
      </c>
      <c r="E19" s="100" t="e">
        <f t="shared" ca="1" si="0"/>
        <v>#NAME?</v>
      </c>
      <c r="F19" s="100" t="e">
        <f t="shared" ca="1" si="1"/>
        <v>#NAME?</v>
      </c>
      <c r="G19" s="100" t="e">
        <f t="shared" ca="1" si="2"/>
        <v>#NAME?</v>
      </c>
      <c r="H19" s="100" t="e">
        <f t="shared" ca="1" si="3"/>
        <v>#NAME?</v>
      </c>
      <c r="I19" s="100" t="e">
        <f t="shared" ca="1" si="4"/>
        <v>#NAME?</v>
      </c>
      <c r="J19" s="100" t="e">
        <f ca="1">IFERROR(__xludf.DUMMYFUNCTION("""COMPUTED_VALUE"""),"-1.17")</f>
        <v>#NAME?</v>
      </c>
      <c r="K19" s="100" t="e">
        <f t="shared" ca="1" si="5"/>
        <v>#NAME?</v>
      </c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</row>
    <row r="20" spans="1:26">
      <c r="A20" s="100" t="e">
        <f ca="1">IFERROR(__xludf.DUMMYFUNCTION("""COMPUTED_VALUE"""),12747137)</f>
        <v>#NAME?</v>
      </c>
      <c r="B20" s="100" t="e">
        <f ca="1">IFERROR(__xludf.DUMMYFUNCTION("""COMPUTED_VALUE"""),"ZILUSDT")</f>
        <v>#NAME?</v>
      </c>
      <c r="C20" s="100" t="e">
        <f ca="1">IFERROR(__xludf.DUMMYFUNCTION("""COMPUTED_VALUE"""),"0.01186")</f>
        <v>#NAME?</v>
      </c>
      <c r="D20" s="100" t="e">
        <f t="shared" ca="1" si="0"/>
        <v>#NAME?</v>
      </c>
      <c r="E20" s="100" t="e">
        <f t="shared" ca="1" si="0"/>
        <v>#NAME?</v>
      </c>
      <c r="F20" s="100" t="e">
        <f t="shared" ca="1" si="1"/>
        <v>#NAME?</v>
      </c>
      <c r="G20" s="100" t="e">
        <f t="shared" ca="1" si="2"/>
        <v>#NAME?</v>
      </c>
      <c r="H20" s="100" t="e">
        <f t="shared" ca="1" si="3"/>
        <v>#NAME?</v>
      </c>
      <c r="I20" s="100" t="e">
        <f t="shared" ca="1" si="4"/>
        <v>#NAME?</v>
      </c>
      <c r="J20" s="100" t="e">
        <f ca="1">IFERROR(__xludf.DUMMYFUNCTION("""COMPUTED_VALUE"""),"-1.25")</f>
        <v>#NAME?</v>
      </c>
      <c r="K20" s="100" t="e">
        <f t="shared" ca="1" si="5"/>
        <v>#NAME?</v>
      </c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</row>
    <row r="21" spans="1:26">
      <c r="A21" s="100" t="e">
        <f ca="1">IFERROR(__xludf.DUMMYFUNCTION("""COMPUTED_VALUE"""),12747138)</f>
        <v>#NAME?</v>
      </c>
      <c r="B21" s="100" t="e">
        <f ca="1">IFERROR(__xludf.DUMMYFUNCTION("""COMPUTED_VALUE"""),"BTCTRY")</f>
        <v>#NAME?</v>
      </c>
      <c r="C21" s="100" t="e">
        <f ca="1">IFERROR(__xludf.DUMMYFUNCTION("""COMPUTED_VALUE"""),"3386501")</f>
        <v>#NAME?</v>
      </c>
      <c r="D21" s="100" t="e">
        <f t="shared" ca="1" si="0"/>
        <v>#NAME?</v>
      </c>
      <c r="E21" s="100" t="e">
        <f t="shared" ca="1" si="0"/>
        <v>#NAME?</v>
      </c>
      <c r="F21" s="100" t="e">
        <f t="shared" ca="1" si="1"/>
        <v>#NAME?</v>
      </c>
      <c r="G21" s="100" t="e">
        <f t="shared" ca="1" si="2"/>
        <v>#NAME?</v>
      </c>
      <c r="H21" s="100" t="e">
        <f t="shared" ca="1" si="3"/>
        <v>#NAME?</v>
      </c>
      <c r="I21" s="100" t="e">
        <f t="shared" ca="1" si="4"/>
        <v>#NAME?</v>
      </c>
      <c r="J21" s="100" t="e">
        <f ca="1">IFERROR(__xludf.DUMMYFUNCTION("""COMPUTED_VALUE"""),"1.23")</f>
        <v>#NAME?</v>
      </c>
      <c r="K21" s="100" t="e">
        <f t="shared" ca="1" si="5"/>
        <v>#NAME?</v>
      </c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</row>
    <row r="22" spans="1:26">
      <c r="A22" s="100" t="e">
        <f ca="1">IFERROR(__xludf.DUMMYFUNCTION("""COMPUTED_VALUE"""),12747139)</f>
        <v>#NAME?</v>
      </c>
      <c r="B22" s="100" t="e">
        <f ca="1">IFERROR(__xludf.DUMMYFUNCTION("""COMPUTED_VALUE"""),"PENDLEUSDT")</f>
        <v>#NAME?</v>
      </c>
      <c r="C22" s="100" t="e">
        <f ca="1">IFERROR(__xludf.DUMMYFUNCTION("""COMPUTED_VALUE"""),"3.332")</f>
        <v>#NAME?</v>
      </c>
      <c r="D22" s="100" t="e">
        <f t="shared" ref="D22:E41" ca="1" si="6">IFERROR(__xludf.DUMMYFUNCTION("""COMPUTED_VALUE"""),"-")</f>
        <v>#NAME?</v>
      </c>
      <c r="E22" s="100" t="e">
        <f t="shared" ca="1" si="6"/>
        <v>#NAME?</v>
      </c>
      <c r="F22" s="100" t="e">
        <f t="shared" ca="1" si="1"/>
        <v>#NAME?</v>
      </c>
      <c r="G22" s="100" t="e">
        <f t="shared" ca="1" si="2"/>
        <v>#NAME?</v>
      </c>
      <c r="H22" s="100" t="e">
        <f t="shared" ca="1" si="3"/>
        <v>#NAME?</v>
      </c>
      <c r="I22" s="100" t="e">
        <f t="shared" ca="1" si="4"/>
        <v>#NAME?</v>
      </c>
      <c r="J22" s="100" t="e">
        <f ca="1">IFERROR(__xludf.DUMMYFUNCTION("""COMPUTED_VALUE"""),"1.22")</f>
        <v>#NAME?</v>
      </c>
      <c r="K22" s="100" t="e">
        <f t="shared" ca="1" si="5"/>
        <v>#NAME?</v>
      </c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</row>
    <row r="23" spans="1:26">
      <c r="A23" s="100" t="e">
        <f ca="1">IFERROR(__xludf.DUMMYFUNCTION("""COMPUTED_VALUE"""),12747140)</f>
        <v>#NAME?</v>
      </c>
      <c r="B23" s="100" t="e">
        <f ca="1">IFERROR(__xludf.DUMMYFUNCTION("""COMPUTED_VALUE"""),"LDOUSDT")</f>
        <v>#NAME?</v>
      </c>
      <c r="C23" s="100" t="e">
        <f ca="1">IFERROR(__xludf.DUMMYFUNCTION("""COMPUTED_VALUE"""),"0.729")</f>
        <v>#NAME?</v>
      </c>
      <c r="D23" s="100" t="e">
        <f t="shared" ca="1" si="6"/>
        <v>#NAME?</v>
      </c>
      <c r="E23" s="100" t="e">
        <f t="shared" ca="1" si="6"/>
        <v>#NAME?</v>
      </c>
      <c r="F23" s="100" t="e">
        <f t="shared" ca="1" si="1"/>
        <v>#NAME?</v>
      </c>
      <c r="G23" s="100" t="e">
        <f t="shared" ca="1" si="2"/>
        <v>#NAME?</v>
      </c>
      <c r="H23" s="100" t="e">
        <f t="shared" ca="1" si="3"/>
        <v>#NAME?</v>
      </c>
      <c r="I23" s="100" t="e">
        <f t="shared" ca="1" si="4"/>
        <v>#NAME?</v>
      </c>
      <c r="J23" s="100" t="e">
        <f ca="1">IFERROR(__xludf.DUMMYFUNCTION("""COMPUTED_VALUE"""),"-1.49")</f>
        <v>#NAME?</v>
      </c>
      <c r="K23" s="100" t="e">
        <f t="shared" ca="1" si="5"/>
        <v>#NAME?</v>
      </c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</row>
    <row r="24" spans="1:26">
      <c r="A24" s="100" t="e">
        <f ca="1">IFERROR(__xludf.DUMMYFUNCTION("""COMPUTED_VALUE"""),12747141)</f>
        <v>#NAME?</v>
      </c>
      <c r="B24" s="100" t="e">
        <f ca="1">IFERROR(__xludf.DUMMYFUNCTION("""COMPUTED_VALUE"""),"PONKEUSDT")</f>
        <v>#NAME?</v>
      </c>
      <c r="C24" s="100" t="e">
        <f ca="1">IFERROR(__xludf.DUMMYFUNCTION("""COMPUTED_VALUE"""),"0.08488")</f>
        <v>#NAME?</v>
      </c>
      <c r="D24" s="100" t="e">
        <f t="shared" ca="1" si="6"/>
        <v>#NAME?</v>
      </c>
      <c r="E24" s="100" t="e">
        <f t="shared" ca="1" si="6"/>
        <v>#NAME?</v>
      </c>
      <c r="F24" s="100" t="e">
        <f t="shared" ca="1" si="1"/>
        <v>#NAME?</v>
      </c>
      <c r="G24" s="100" t="e">
        <f t="shared" ca="1" si="2"/>
        <v>#NAME?</v>
      </c>
      <c r="H24" s="100" t="e">
        <f t="shared" ca="1" si="3"/>
        <v>#NAME?</v>
      </c>
      <c r="I24" s="100" t="e">
        <f t="shared" ca="1" si="4"/>
        <v>#NAME?</v>
      </c>
      <c r="J24" s="100" t="e">
        <f ca="1">IFERROR(__xludf.DUMMYFUNCTION("""COMPUTED_VALUE"""),"-2.36")</f>
        <v>#NAME?</v>
      </c>
      <c r="K24" s="100" t="e">
        <f t="shared" ca="1" si="5"/>
        <v>#NAME?</v>
      </c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</row>
    <row r="25" spans="1:26">
      <c r="A25" s="100" t="e">
        <f ca="1">IFERROR(__xludf.DUMMYFUNCTION("""COMPUTED_VALUE"""),12747142)</f>
        <v>#NAME?</v>
      </c>
      <c r="B25" s="100" t="e">
        <f ca="1">IFERROR(__xludf.DUMMYFUNCTION("""COMPUTED_VALUE"""),"TRXUSDC")</f>
        <v>#NAME?</v>
      </c>
      <c r="C25" s="100" t="e">
        <f ca="1">IFERROR(__xludf.DUMMYFUNCTION("""COMPUTED_VALUE"""),"0.2482")</f>
        <v>#NAME?</v>
      </c>
      <c r="D25" s="100" t="e">
        <f t="shared" ca="1" si="6"/>
        <v>#NAME?</v>
      </c>
      <c r="E25" s="100" t="e">
        <f t="shared" ca="1" si="6"/>
        <v>#NAME?</v>
      </c>
      <c r="F25" s="100" t="e">
        <f t="shared" ca="1" si="1"/>
        <v>#NAME?</v>
      </c>
      <c r="G25" s="100" t="e">
        <f t="shared" ca="1" si="2"/>
        <v>#NAME?</v>
      </c>
      <c r="H25" s="100" t="e">
        <f t="shared" ca="1" si="3"/>
        <v>#NAME?</v>
      </c>
      <c r="I25" s="100" t="e">
        <f t="shared" ca="1" si="4"/>
        <v>#NAME?</v>
      </c>
      <c r="J25" s="100" t="e">
        <f ca="1">IFERROR(__xludf.DUMMYFUNCTION("""COMPUTED_VALUE"""),"1.9300000000000002")</f>
        <v>#NAME?</v>
      </c>
      <c r="K25" s="100" t="e">
        <f t="shared" ca="1" si="5"/>
        <v>#NAME?</v>
      </c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</row>
    <row r="26" spans="1:26">
      <c r="A26" s="100" t="e">
        <f ca="1">IFERROR(__xludf.DUMMYFUNCTION("""COMPUTED_VALUE"""),12747143)</f>
        <v>#NAME?</v>
      </c>
      <c r="B26" s="100" t="e">
        <f ca="1">IFERROR(__xludf.DUMMYFUNCTION("""COMPUTED_VALUE"""),"WLDUSDT")</f>
        <v>#NAME?</v>
      </c>
      <c r="C26" s="100" t="e">
        <f ca="1">IFERROR(__xludf.DUMMYFUNCTION("""COMPUTED_VALUE"""),"0.779")</f>
        <v>#NAME?</v>
      </c>
      <c r="D26" s="100" t="e">
        <f t="shared" ca="1" si="6"/>
        <v>#NAME?</v>
      </c>
      <c r="E26" s="100" t="e">
        <f t="shared" ca="1" si="6"/>
        <v>#NAME?</v>
      </c>
      <c r="F26" s="100" t="e">
        <f t="shared" ca="1" si="1"/>
        <v>#NAME?</v>
      </c>
      <c r="G26" s="100" t="e">
        <f t="shared" ca="1" si="2"/>
        <v>#NAME?</v>
      </c>
      <c r="H26" s="100" t="e">
        <f t="shared" ca="1" si="3"/>
        <v>#NAME?</v>
      </c>
      <c r="I26" s="100" t="e">
        <f t="shared" ca="1" si="4"/>
        <v>#NAME?</v>
      </c>
      <c r="J26" s="100" t="e">
        <f ca="1">IFERROR(__xludf.DUMMYFUNCTION("""COMPUTED_VALUE"""),"-1.52")</f>
        <v>#NAME?</v>
      </c>
      <c r="K26" s="100" t="e">
        <f t="shared" ca="1" si="5"/>
        <v>#NAME?</v>
      </c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</row>
    <row r="27" spans="1:26">
      <c r="A27" s="100" t="e">
        <f ca="1">IFERROR(__xludf.DUMMYFUNCTION("""COMPUTED_VALUE"""),12747144)</f>
        <v>#NAME?</v>
      </c>
      <c r="B27" s="100" t="e">
        <f ca="1">IFERROR(__xludf.DUMMYFUNCTION("""COMPUTED_VALUE"""),"ZEROUSDT")</f>
        <v>#NAME?</v>
      </c>
      <c r="C27" s="100" t="e">
        <f ca="1">IFERROR(__xludf.DUMMYFUNCTION("""COMPUTED_VALUE"""),"0.0000857")</f>
        <v>#NAME?</v>
      </c>
      <c r="D27" s="100" t="e">
        <f t="shared" ca="1" si="6"/>
        <v>#NAME?</v>
      </c>
      <c r="E27" s="100" t="e">
        <f t="shared" ca="1" si="6"/>
        <v>#NAME?</v>
      </c>
      <c r="F27" s="100" t="e">
        <f t="shared" ca="1" si="1"/>
        <v>#NAME?</v>
      </c>
      <c r="G27" s="100" t="e">
        <f t="shared" ca="1" si="2"/>
        <v>#NAME?</v>
      </c>
      <c r="H27" s="100" t="e">
        <f t="shared" ca="1" si="3"/>
        <v>#NAME?</v>
      </c>
      <c r="I27" s="100" t="e">
        <f t="shared" ca="1" si="4"/>
        <v>#NAME?</v>
      </c>
      <c r="J27" s="100" t="e">
        <f ca="1">IFERROR(__xludf.DUMMYFUNCTION("""COMPUTED_VALUE"""),"6.99")</f>
        <v>#NAME?</v>
      </c>
      <c r="K27" s="100" t="e">
        <f t="shared" ca="1" si="5"/>
        <v>#NAME?</v>
      </c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</row>
    <row r="28" spans="1:26">
      <c r="A28" s="100" t="e">
        <f ca="1">IFERROR(__xludf.DUMMYFUNCTION("""COMPUTED_VALUE"""),12747145)</f>
        <v>#NAME?</v>
      </c>
      <c r="B28" s="100" t="e">
        <f ca="1">IFERROR(__xludf.DUMMYFUNCTION("""COMPUTED_VALUE"""),"HOOKUSDT")</f>
        <v>#NAME?</v>
      </c>
      <c r="C28" s="100" t="e">
        <f ca="1">IFERROR(__xludf.DUMMYFUNCTION("""COMPUTED_VALUE"""),"0.1288")</f>
        <v>#NAME?</v>
      </c>
      <c r="D28" s="100" t="e">
        <f t="shared" ca="1" si="6"/>
        <v>#NAME?</v>
      </c>
      <c r="E28" s="100" t="e">
        <f t="shared" ca="1" si="6"/>
        <v>#NAME?</v>
      </c>
      <c r="F28" s="100" t="e">
        <f t="shared" ca="1" si="1"/>
        <v>#NAME?</v>
      </c>
      <c r="G28" s="100" t="e">
        <f t="shared" ca="1" si="2"/>
        <v>#NAME?</v>
      </c>
      <c r="H28" s="100" t="e">
        <f t="shared" ca="1" si="3"/>
        <v>#NAME?</v>
      </c>
      <c r="I28" s="100" t="e">
        <f t="shared" ca="1" si="4"/>
        <v>#NAME?</v>
      </c>
      <c r="J28" s="100" t="e">
        <f ca="1">IFERROR(__xludf.DUMMYFUNCTION("""COMPUTED_VALUE"""),"-2.87")</f>
        <v>#NAME?</v>
      </c>
      <c r="K28" s="100" t="e">
        <f t="shared" ca="1" si="5"/>
        <v>#NAME?</v>
      </c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</row>
    <row r="29" spans="1:26">
      <c r="A29" s="100" t="e">
        <f ca="1">IFERROR(__xludf.DUMMYFUNCTION("""COMPUTED_VALUE"""),12747146)</f>
        <v>#NAME?</v>
      </c>
      <c r="B29" s="100" t="e">
        <f ca="1">IFERROR(__xludf.DUMMYFUNCTION("""COMPUTED_VALUE"""),"ZEREBROUSDT")</f>
        <v>#NAME?</v>
      </c>
      <c r="C29" s="100" t="e">
        <f ca="1">IFERROR(__xludf.DUMMYFUNCTION("""COMPUTED_VALUE"""),"0.0274")</f>
        <v>#NAME?</v>
      </c>
      <c r="D29" s="100" t="e">
        <f t="shared" ca="1" si="6"/>
        <v>#NAME?</v>
      </c>
      <c r="E29" s="100" t="e">
        <f t="shared" ca="1" si="6"/>
        <v>#NAME?</v>
      </c>
      <c r="F29" s="100" t="e">
        <f t="shared" ca="1" si="1"/>
        <v>#NAME?</v>
      </c>
      <c r="G29" s="100" t="e">
        <f t="shared" ca="1" si="2"/>
        <v>#NAME?</v>
      </c>
      <c r="H29" s="100" t="e">
        <f t="shared" ca="1" si="3"/>
        <v>#NAME?</v>
      </c>
      <c r="I29" s="100" t="e">
        <f t="shared" ca="1" si="4"/>
        <v>#NAME?</v>
      </c>
      <c r="J29" s="100" t="e">
        <f ca="1">IFERROR(__xludf.DUMMYFUNCTION("""COMPUTED_VALUE"""),"22.32")</f>
        <v>#NAME?</v>
      </c>
      <c r="K29" s="100" t="e">
        <f t="shared" ca="1" si="5"/>
        <v>#NAME?</v>
      </c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</row>
    <row r="30" spans="1:26">
      <c r="A30" s="100" t="e">
        <f ca="1">IFERROR(__xludf.DUMMYFUNCTION("""COMPUTED_VALUE"""),12747147)</f>
        <v>#NAME?</v>
      </c>
      <c r="B30" s="100" t="e">
        <f ca="1">IFERROR(__xludf.DUMMYFUNCTION("""COMPUTED_VALUE"""),"XAUTUSDT")</f>
        <v>#NAME?</v>
      </c>
      <c r="C30" s="100" t="e">
        <f ca="1">IFERROR(__xludf.DUMMYFUNCTION("""COMPUTED_VALUE"""),"3484.5")</f>
        <v>#NAME?</v>
      </c>
      <c r="D30" s="100" t="e">
        <f t="shared" ca="1" si="6"/>
        <v>#NAME?</v>
      </c>
      <c r="E30" s="100" t="e">
        <f t="shared" ca="1" si="6"/>
        <v>#NAME?</v>
      </c>
      <c r="F30" s="100" t="e">
        <f t="shared" ca="1" si="1"/>
        <v>#NAME?</v>
      </c>
      <c r="G30" s="100" t="e">
        <f t="shared" ca="1" si="2"/>
        <v>#NAME?</v>
      </c>
      <c r="H30" s="100" t="e">
        <f t="shared" ca="1" si="3"/>
        <v>#NAME?</v>
      </c>
      <c r="I30" s="100" t="e">
        <f t="shared" ca="1" si="4"/>
        <v>#NAME?</v>
      </c>
      <c r="J30" s="100" t="e">
        <f ca="1">IFERROR(__xludf.DUMMYFUNCTION("""COMPUTED_VALUE"""),"1.8499999999999999")</f>
        <v>#NAME?</v>
      </c>
      <c r="K30" s="100" t="e">
        <f t="shared" ca="1" si="5"/>
        <v>#NAME?</v>
      </c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</row>
    <row r="31" spans="1:26">
      <c r="A31" s="100" t="e">
        <f ca="1">IFERROR(__xludf.DUMMYFUNCTION("""COMPUTED_VALUE"""),12747148)</f>
        <v>#NAME?</v>
      </c>
      <c r="B31" s="100" t="e">
        <f ca="1">IFERROR(__xludf.DUMMYFUNCTION("""COMPUTED_VALUE"""),"BABYDOGEUSDT")</f>
        <v>#NAME?</v>
      </c>
      <c r="C31" s="100" t="e">
        <f ca="1">IFERROR(__xludf.DUMMYFUNCTION("""COMPUTED_VALUE"""),"0.000000001292")</f>
        <v>#NAME?</v>
      </c>
      <c r="D31" s="100" t="e">
        <f t="shared" ca="1" si="6"/>
        <v>#NAME?</v>
      </c>
      <c r="E31" s="100" t="e">
        <f t="shared" ca="1" si="6"/>
        <v>#NAME?</v>
      </c>
      <c r="F31" s="100" t="e">
        <f t="shared" ca="1" si="1"/>
        <v>#NAME?</v>
      </c>
      <c r="G31" s="100" t="e">
        <f t="shared" ca="1" si="2"/>
        <v>#NAME?</v>
      </c>
      <c r="H31" s="100" t="e">
        <f t="shared" ca="1" si="3"/>
        <v>#NAME?</v>
      </c>
      <c r="I31" s="100" t="e">
        <f t="shared" ca="1" si="4"/>
        <v>#NAME?</v>
      </c>
      <c r="J31" s="100" t="e">
        <f ca="1">IFERROR(__xludf.DUMMYFUNCTION("""COMPUTED_VALUE"""),"-0.45999999999999996")</f>
        <v>#NAME?</v>
      </c>
      <c r="K31" s="100" t="e">
        <f t="shared" ca="1" si="5"/>
        <v>#NAME?</v>
      </c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</row>
    <row r="32" spans="1:26">
      <c r="A32" s="100" t="e">
        <f ca="1">IFERROR(__xludf.DUMMYFUNCTION("""COMPUTED_VALUE"""),12747149)</f>
        <v>#NAME?</v>
      </c>
      <c r="B32" s="100" t="e">
        <f ca="1">IFERROR(__xludf.DUMMYFUNCTION("""COMPUTED_VALUE"""),"LTCBTC")</f>
        <v>#NAME?</v>
      </c>
      <c r="C32" s="100" t="e">
        <f ca="1">IFERROR(__xludf.DUMMYFUNCTION("""COMPUTED_VALUE"""),"0.000896")</f>
        <v>#NAME?</v>
      </c>
      <c r="D32" s="100" t="e">
        <f t="shared" ca="1" si="6"/>
        <v>#NAME?</v>
      </c>
      <c r="E32" s="100" t="e">
        <f t="shared" ca="1" si="6"/>
        <v>#NAME?</v>
      </c>
      <c r="F32" s="100" t="e">
        <f t="shared" ca="1" si="1"/>
        <v>#NAME?</v>
      </c>
      <c r="G32" s="100" t="e">
        <f t="shared" ca="1" si="2"/>
        <v>#NAME?</v>
      </c>
      <c r="H32" s="100" t="e">
        <f t="shared" ca="1" si="3"/>
        <v>#NAME?</v>
      </c>
      <c r="I32" s="100" t="e">
        <f t="shared" ca="1" si="4"/>
        <v>#NAME?</v>
      </c>
      <c r="J32" s="100" t="e">
        <f ca="1">IFERROR(__xludf.DUMMYFUNCTION("""COMPUTED_VALUE"""),"-3.1399999999999997")</f>
        <v>#NAME?</v>
      </c>
      <c r="K32" s="100" t="e">
        <f t="shared" ca="1" si="5"/>
        <v>#NAME?</v>
      </c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</row>
    <row r="33" spans="1:26">
      <c r="A33" s="100" t="e">
        <f ca="1">IFERROR(__xludf.DUMMYFUNCTION("""COMPUTED_VALUE"""),12747150)</f>
        <v>#NAME?</v>
      </c>
      <c r="B33" s="100" t="e">
        <f ca="1">IFERROR(__xludf.DUMMYFUNCTION("""COMPUTED_VALUE"""),"BONKUSDT")</f>
        <v>#NAME?</v>
      </c>
      <c r="C33" s="100" t="e">
        <f ca="1">IFERROR(__xludf.DUMMYFUNCTION("""COMPUTED_VALUE"""),"0.00001299")</f>
        <v>#NAME?</v>
      </c>
      <c r="D33" s="100" t="e">
        <f t="shared" ca="1" si="6"/>
        <v>#NAME?</v>
      </c>
      <c r="E33" s="100" t="e">
        <f t="shared" ca="1" si="6"/>
        <v>#NAME?</v>
      </c>
      <c r="F33" s="100" t="e">
        <f t="shared" ca="1" si="1"/>
        <v>#NAME?</v>
      </c>
      <c r="G33" s="100" t="e">
        <f t="shared" ca="1" si="2"/>
        <v>#NAME?</v>
      </c>
      <c r="H33" s="100" t="e">
        <f t="shared" ca="1" si="3"/>
        <v>#NAME?</v>
      </c>
      <c r="I33" s="100" t="e">
        <f t="shared" ca="1" si="4"/>
        <v>#NAME?</v>
      </c>
      <c r="J33" s="100" t="e">
        <f ca="1">IFERROR(__xludf.DUMMYFUNCTION("""COMPUTED_VALUE"""),"2.6100000000000003")</f>
        <v>#NAME?</v>
      </c>
      <c r="K33" s="100" t="e">
        <f t="shared" ca="1" si="5"/>
        <v>#NAME?</v>
      </c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</row>
    <row r="34" spans="1:26">
      <c r="A34" s="100" t="e">
        <f ca="1">IFERROR(__xludf.DUMMYFUNCTION("""COMPUTED_VALUE"""),12747151)</f>
        <v>#NAME?</v>
      </c>
      <c r="B34" s="100" t="e">
        <f ca="1">IFERROR(__xludf.DUMMYFUNCTION("""COMPUTED_VALUE"""),"WUSDT")</f>
        <v>#NAME?</v>
      </c>
      <c r="C34" s="100" t="e">
        <f ca="1">IFERROR(__xludf.DUMMYFUNCTION("""COMPUTED_VALUE"""),"0.0762")</f>
        <v>#NAME?</v>
      </c>
      <c r="D34" s="100" t="e">
        <f t="shared" ca="1" si="6"/>
        <v>#NAME?</v>
      </c>
      <c r="E34" s="100" t="e">
        <f t="shared" ca="1" si="6"/>
        <v>#NAME?</v>
      </c>
      <c r="F34" s="100" t="e">
        <f t="shared" ca="1" si="1"/>
        <v>#NAME?</v>
      </c>
      <c r="G34" s="100" t="e">
        <f t="shared" ca="1" si="2"/>
        <v>#NAME?</v>
      </c>
      <c r="H34" s="100" t="e">
        <f t="shared" ca="1" si="3"/>
        <v>#NAME?</v>
      </c>
      <c r="I34" s="100" t="e">
        <f t="shared" ca="1" si="4"/>
        <v>#NAME?</v>
      </c>
      <c r="J34" s="100" t="e">
        <f ca="1">IFERROR(__xludf.DUMMYFUNCTION("""COMPUTED_VALUE"""),"-6.8500000000000005")</f>
        <v>#NAME?</v>
      </c>
      <c r="K34" s="100" t="e">
        <f t="shared" ca="1" si="5"/>
        <v>#NAME?</v>
      </c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</row>
    <row r="35" spans="1:26">
      <c r="A35" s="100" t="e">
        <f ca="1">IFERROR(__xludf.DUMMYFUNCTION("""COMPUTED_VALUE"""),12747152)</f>
        <v>#NAME?</v>
      </c>
      <c r="B35" s="100" t="e">
        <f ca="1">IFERROR(__xludf.DUMMYFUNCTION("""COMPUTED_VALUE"""),"NOTUSDC")</f>
        <v>#NAME?</v>
      </c>
      <c r="C35" s="100" t="e">
        <f ca="1">IFERROR(__xludf.DUMMYFUNCTION("""COMPUTED_VALUE"""),"0.00196")</f>
        <v>#NAME?</v>
      </c>
      <c r="D35" s="100" t="e">
        <f t="shared" ca="1" si="6"/>
        <v>#NAME?</v>
      </c>
      <c r="E35" s="100" t="e">
        <f t="shared" ca="1" si="6"/>
        <v>#NAME?</v>
      </c>
      <c r="F35" s="100" t="e">
        <f t="shared" ca="1" si="1"/>
        <v>#NAME?</v>
      </c>
      <c r="G35" s="100" t="e">
        <f t="shared" ca="1" si="2"/>
        <v>#NAME?</v>
      </c>
      <c r="H35" s="100" t="e">
        <f t="shared" ca="1" si="3"/>
        <v>#NAME?</v>
      </c>
      <c r="I35" s="100" t="e">
        <f t="shared" ca="1" si="4"/>
        <v>#NAME?</v>
      </c>
      <c r="J35" s="100" t="e">
        <f ca="1">IFERROR(__xludf.DUMMYFUNCTION("""COMPUTED_VALUE"""),"-0.5599999999999999")</f>
        <v>#NAME?</v>
      </c>
      <c r="K35" s="100" t="e">
        <f t="shared" ca="1" si="5"/>
        <v>#NAME?</v>
      </c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</row>
    <row r="36" spans="1:26">
      <c r="A36" s="100" t="e">
        <f ca="1">IFERROR(__xludf.DUMMYFUNCTION("""COMPUTED_VALUE"""),12747153)</f>
        <v>#NAME?</v>
      </c>
      <c r="B36" s="100" t="e">
        <f ca="1">IFERROR(__xludf.DUMMYFUNCTION("""COMPUTED_VALUE"""),"RATSUSDT")</f>
        <v>#NAME?</v>
      </c>
      <c r="C36" s="100" t="e">
        <f ca="1">IFERROR(__xludf.DUMMYFUNCTION("""COMPUTED_VALUE"""),"0.00003029")</f>
        <v>#NAME?</v>
      </c>
      <c r="D36" s="100" t="e">
        <f t="shared" ca="1" si="6"/>
        <v>#NAME?</v>
      </c>
      <c r="E36" s="100" t="e">
        <f t="shared" ca="1" si="6"/>
        <v>#NAME?</v>
      </c>
      <c r="F36" s="100" t="e">
        <f t="shared" ca="1" si="1"/>
        <v>#NAME?</v>
      </c>
      <c r="G36" s="100" t="e">
        <f t="shared" ca="1" si="2"/>
        <v>#NAME?</v>
      </c>
      <c r="H36" s="100" t="e">
        <f t="shared" ca="1" si="3"/>
        <v>#NAME?</v>
      </c>
      <c r="I36" s="100" t="e">
        <f t="shared" ca="1" si="4"/>
        <v>#NAME?</v>
      </c>
      <c r="J36" s="100" t="e">
        <f ca="1">IFERROR(__xludf.DUMMYFUNCTION("""COMPUTED_VALUE"""),"-1.27")</f>
        <v>#NAME?</v>
      </c>
      <c r="K36" s="100" t="e">
        <f t="shared" ca="1" si="5"/>
        <v>#NAME?</v>
      </c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</row>
    <row r="37" spans="1:26">
      <c r="A37" s="100" t="e">
        <f ca="1">IFERROR(__xludf.DUMMYFUNCTION("""COMPUTED_VALUE"""),12747154)</f>
        <v>#NAME?</v>
      </c>
      <c r="B37" s="100" t="e">
        <f ca="1">IFERROR(__xludf.DUMMYFUNCTION("""COMPUTED_VALUE"""),"BBSOLUSDC")</f>
        <v>#NAME?</v>
      </c>
      <c r="C37" s="100" t="e">
        <f ca="1">IFERROR(__xludf.DUMMYFUNCTION("""COMPUTED_VALUE"""),"150.43")</f>
        <v>#NAME?</v>
      </c>
      <c r="D37" s="100" t="e">
        <f t="shared" ca="1" si="6"/>
        <v>#NAME?</v>
      </c>
      <c r="E37" s="100" t="e">
        <f t="shared" ca="1" si="6"/>
        <v>#NAME?</v>
      </c>
      <c r="F37" s="100" t="e">
        <f t="shared" ca="1" si="1"/>
        <v>#NAME?</v>
      </c>
      <c r="G37" s="100" t="e">
        <f t="shared" ca="1" si="2"/>
        <v>#NAME?</v>
      </c>
      <c r="H37" s="100" t="e">
        <f t="shared" ca="1" si="3"/>
        <v>#NAME?</v>
      </c>
      <c r="I37" s="100" t="e">
        <f t="shared" ca="1" si="4"/>
        <v>#NAME?</v>
      </c>
      <c r="J37" s="100" t="e">
        <f ca="1">IFERROR(__xludf.DUMMYFUNCTION("""COMPUTED_VALUE"""),"-0.18")</f>
        <v>#NAME?</v>
      </c>
      <c r="K37" s="100" t="e">
        <f t="shared" ca="1" si="5"/>
        <v>#NAME?</v>
      </c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</row>
    <row r="38" spans="1:26">
      <c r="A38" s="100" t="e">
        <f ca="1">IFERROR(__xludf.DUMMYFUNCTION("""COMPUTED_VALUE"""),12747155)</f>
        <v>#NAME?</v>
      </c>
      <c r="B38" s="100" t="e">
        <f ca="1">IFERROR(__xludf.DUMMYFUNCTION("""COMPUTED_VALUE"""),"HOTUSDT")</f>
        <v>#NAME?</v>
      </c>
      <c r="C38" s="100" t="e">
        <f ca="1">IFERROR(__xludf.DUMMYFUNCTION("""COMPUTED_VALUE"""),"0.000987")</f>
        <v>#NAME?</v>
      </c>
      <c r="D38" s="100" t="e">
        <f t="shared" ca="1" si="6"/>
        <v>#NAME?</v>
      </c>
      <c r="E38" s="100" t="e">
        <f t="shared" ca="1" si="6"/>
        <v>#NAME?</v>
      </c>
      <c r="F38" s="100" t="e">
        <f t="shared" ca="1" si="1"/>
        <v>#NAME?</v>
      </c>
      <c r="G38" s="100" t="e">
        <f t="shared" ca="1" si="2"/>
        <v>#NAME?</v>
      </c>
      <c r="H38" s="100" t="e">
        <f t="shared" ca="1" si="3"/>
        <v>#NAME?</v>
      </c>
      <c r="I38" s="100" t="e">
        <f t="shared" ca="1" si="4"/>
        <v>#NAME?</v>
      </c>
      <c r="J38" s="100" t="e">
        <f ca="1">IFERROR(__xludf.DUMMYFUNCTION("""COMPUTED_VALUE"""),"-1.5")</f>
        <v>#NAME?</v>
      </c>
      <c r="K38" s="100" t="e">
        <f t="shared" ca="1" si="5"/>
        <v>#NAME?</v>
      </c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</row>
    <row r="39" spans="1:26">
      <c r="A39" s="100" t="e">
        <f ca="1">IFERROR(__xludf.DUMMYFUNCTION("""COMPUTED_VALUE"""),12747156)</f>
        <v>#NAME?</v>
      </c>
      <c r="B39" s="100" t="e">
        <f ca="1">IFERROR(__xludf.DUMMYFUNCTION("""COMPUTED_VALUE"""),"PRCLUSDT")</f>
        <v>#NAME?</v>
      </c>
      <c r="C39" s="100" t="e">
        <f ca="1">IFERROR(__xludf.DUMMYFUNCTION("""COMPUTED_VALUE"""),"0.0675")</f>
        <v>#NAME?</v>
      </c>
      <c r="D39" s="100" t="e">
        <f t="shared" ca="1" si="6"/>
        <v>#NAME?</v>
      </c>
      <c r="E39" s="100" t="e">
        <f t="shared" ca="1" si="6"/>
        <v>#NAME?</v>
      </c>
      <c r="F39" s="100" t="e">
        <f t="shared" ca="1" si="1"/>
        <v>#NAME?</v>
      </c>
      <c r="G39" s="100" t="e">
        <f t="shared" ca="1" si="2"/>
        <v>#NAME?</v>
      </c>
      <c r="H39" s="100" t="e">
        <f t="shared" ca="1" si="3"/>
        <v>#NAME?</v>
      </c>
      <c r="I39" s="100" t="e">
        <f t="shared" ca="1" si="4"/>
        <v>#NAME?</v>
      </c>
      <c r="J39" s="100" t="e">
        <f ca="1">IFERROR(__xludf.DUMMYFUNCTION("""COMPUTED_VALUE"""),"13.83")</f>
        <v>#NAME?</v>
      </c>
      <c r="K39" s="100" t="e">
        <f t="shared" ca="1" si="5"/>
        <v>#NAME?</v>
      </c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</row>
    <row r="40" spans="1:26">
      <c r="A40" s="100" t="e">
        <f ca="1">IFERROR(__xludf.DUMMYFUNCTION("""COMPUTED_VALUE"""),12747157)</f>
        <v>#NAME?</v>
      </c>
      <c r="B40" s="100" t="e">
        <f ca="1">IFERROR(__xludf.DUMMYFUNCTION("""COMPUTED_VALUE"""),"KROUSDT")</f>
        <v>#NAME?</v>
      </c>
      <c r="C40" s="100" t="e">
        <f ca="1">IFERROR(__xludf.DUMMYFUNCTION("""COMPUTED_VALUE"""),"0.00872")</f>
        <v>#NAME?</v>
      </c>
      <c r="D40" s="100" t="e">
        <f t="shared" ca="1" si="6"/>
        <v>#NAME?</v>
      </c>
      <c r="E40" s="100" t="e">
        <f t="shared" ca="1" si="6"/>
        <v>#NAME?</v>
      </c>
      <c r="F40" s="100" t="e">
        <f t="shared" ca="1" si="1"/>
        <v>#NAME?</v>
      </c>
      <c r="G40" s="100" t="e">
        <f t="shared" ca="1" si="2"/>
        <v>#NAME?</v>
      </c>
      <c r="H40" s="100" t="e">
        <f t="shared" ca="1" si="3"/>
        <v>#NAME?</v>
      </c>
      <c r="I40" s="100" t="e">
        <f t="shared" ca="1" si="4"/>
        <v>#NAME?</v>
      </c>
      <c r="J40" s="100" t="e">
        <f ca="1">IFERROR(__xludf.DUMMYFUNCTION("""COMPUTED_VALUE"""),"13.389999999999999")</f>
        <v>#NAME?</v>
      </c>
      <c r="K40" s="100" t="e">
        <f t="shared" ca="1" si="5"/>
        <v>#NAME?</v>
      </c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</row>
    <row r="41" spans="1:26">
      <c r="A41" s="100" t="e">
        <f ca="1">IFERROR(__xludf.DUMMYFUNCTION("""COMPUTED_VALUE"""),12747158)</f>
        <v>#NAME?</v>
      </c>
      <c r="B41" s="100" t="e">
        <f ca="1">IFERROR(__xludf.DUMMYFUNCTION("""COMPUTED_VALUE"""),"JUVUSDT")</f>
        <v>#NAME?</v>
      </c>
      <c r="C41" s="100" t="e">
        <f ca="1">IFERROR(__xludf.DUMMYFUNCTION("""COMPUTED_VALUE"""),"0.9869")</f>
        <v>#NAME?</v>
      </c>
      <c r="D41" s="100" t="e">
        <f t="shared" ca="1" si="6"/>
        <v>#NAME?</v>
      </c>
      <c r="E41" s="100" t="e">
        <f t="shared" ca="1" si="6"/>
        <v>#NAME?</v>
      </c>
      <c r="F41" s="100" t="e">
        <f t="shared" ca="1" si="1"/>
        <v>#NAME?</v>
      </c>
      <c r="G41" s="100" t="e">
        <f t="shared" ca="1" si="2"/>
        <v>#NAME?</v>
      </c>
      <c r="H41" s="100" t="e">
        <f t="shared" ca="1" si="3"/>
        <v>#NAME?</v>
      </c>
      <c r="I41" s="100" t="e">
        <f t="shared" ca="1" si="4"/>
        <v>#NAME?</v>
      </c>
      <c r="J41" s="100" t="e">
        <f ca="1">IFERROR(__xludf.DUMMYFUNCTION("""COMPUTED_VALUE"""),"1.02")</f>
        <v>#NAME?</v>
      </c>
      <c r="K41" s="100" t="e">
        <f t="shared" ca="1" si="5"/>
        <v>#NAME?</v>
      </c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</row>
    <row r="42" spans="1:26">
      <c r="A42" s="100" t="e">
        <f ca="1">IFERROR(__xludf.DUMMYFUNCTION("""COMPUTED_VALUE"""),12747159)</f>
        <v>#NAME?</v>
      </c>
      <c r="B42" s="100" t="e">
        <f ca="1">IFERROR(__xludf.DUMMYFUNCTION("""COMPUTED_VALUE"""),"SONICUSDT")</f>
        <v>#NAME?</v>
      </c>
      <c r="C42" s="100" t="e">
        <f ca="1">IFERROR(__xludf.DUMMYFUNCTION("""COMPUTED_VALUE"""),"0.22273")</f>
        <v>#NAME?</v>
      </c>
      <c r="D42" s="100" t="e">
        <f t="shared" ref="D42:E61" ca="1" si="7">IFERROR(__xludf.DUMMYFUNCTION("""COMPUTED_VALUE"""),"-")</f>
        <v>#NAME?</v>
      </c>
      <c r="E42" s="100" t="e">
        <f t="shared" ca="1" si="7"/>
        <v>#NAME?</v>
      </c>
      <c r="F42" s="100" t="e">
        <f t="shared" ca="1" si="1"/>
        <v>#NAME?</v>
      </c>
      <c r="G42" s="100" t="e">
        <f t="shared" ca="1" si="2"/>
        <v>#NAME?</v>
      </c>
      <c r="H42" s="100" t="e">
        <f t="shared" ca="1" si="3"/>
        <v>#NAME?</v>
      </c>
      <c r="I42" s="100" t="e">
        <f t="shared" ca="1" si="4"/>
        <v>#NAME?</v>
      </c>
      <c r="J42" s="100" t="e">
        <f ca="1">IFERROR(__xludf.DUMMYFUNCTION("""COMPUTED_VALUE"""),"-1.17")</f>
        <v>#NAME?</v>
      </c>
      <c r="K42" s="100" t="e">
        <f t="shared" ca="1" si="5"/>
        <v>#NAME?</v>
      </c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</row>
    <row r="43" spans="1:26">
      <c r="A43" s="100" t="e">
        <f ca="1">IFERROR(__xludf.DUMMYFUNCTION("""COMPUTED_VALUE"""),12747160)</f>
        <v>#NAME?</v>
      </c>
      <c r="B43" s="100" t="e">
        <f ca="1">IFERROR(__xludf.DUMMYFUNCTION("""COMPUTED_VALUE"""),"GENEUSDT")</f>
        <v>#NAME?</v>
      </c>
      <c r="C43" s="100" t="e">
        <f ca="1">IFERROR(__xludf.DUMMYFUNCTION("""COMPUTED_VALUE"""),"0.05609")</f>
        <v>#NAME?</v>
      </c>
      <c r="D43" s="100" t="e">
        <f t="shared" ca="1" si="7"/>
        <v>#NAME?</v>
      </c>
      <c r="E43" s="100" t="e">
        <f t="shared" ca="1" si="7"/>
        <v>#NAME?</v>
      </c>
      <c r="F43" s="100" t="e">
        <f t="shared" ca="1" si="1"/>
        <v>#NAME?</v>
      </c>
      <c r="G43" s="100" t="e">
        <f t="shared" ca="1" si="2"/>
        <v>#NAME?</v>
      </c>
      <c r="H43" s="100" t="e">
        <f t="shared" ca="1" si="3"/>
        <v>#NAME?</v>
      </c>
      <c r="I43" s="100" t="e">
        <f t="shared" ca="1" si="4"/>
        <v>#NAME?</v>
      </c>
      <c r="J43" s="100" t="e">
        <f ca="1">IFERROR(__xludf.DUMMYFUNCTION("""COMPUTED_VALUE"""),"1.08")</f>
        <v>#NAME?</v>
      </c>
      <c r="K43" s="100" t="e">
        <f t="shared" ca="1" si="5"/>
        <v>#NAME?</v>
      </c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</row>
    <row r="44" spans="1:26">
      <c r="A44" s="100" t="e">
        <f ca="1">IFERROR(__xludf.DUMMYFUNCTION("""COMPUTED_VALUE"""),12747161)</f>
        <v>#NAME?</v>
      </c>
      <c r="B44" s="100" t="e">
        <f ca="1">IFERROR(__xludf.DUMMYFUNCTION("""COMPUTED_VALUE"""),"VRAUSDT")</f>
        <v>#NAME?</v>
      </c>
      <c r="C44" s="100" t="e">
        <f ca="1">IFERROR(__xludf.DUMMYFUNCTION("""COMPUTED_VALUE"""),"0.001312")</f>
        <v>#NAME?</v>
      </c>
      <c r="D44" s="100" t="e">
        <f t="shared" ca="1" si="7"/>
        <v>#NAME?</v>
      </c>
      <c r="E44" s="100" t="e">
        <f t="shared" ca="1" si="7"/>
        <v>#NAME?</v>
      </c>
      <c r="F44" s="100" t="e">
        <f t="shared" ca="1" si="1"/>
        <v>#NAME?</v>
      </c>
      <c r="G44" s="100" t="e">
        <f t="shared" ca="1" si="2"/>
        <v>#NAME?</v>
      </c>
      <c r="H44" s="100" t="e">
        <f t="shared" ca="1" si="3"/>
        <v>#NAME?</v>
      </c>
      <c r="I44" s="100" t="e">
        <f t="shared" ca="1" si="4"/>
        <v>#NAME?</v>
      </c>
      <c r="J44" s="100" t="e">
        <f ca="1">IFERROR(__xludf.DUMMYFUNCTION("""COMPUTED_VALUE"""),"-0.38")</f>
        <v>#NAME?</v>
      </c>
      <c r="K44" s="100" t="e">
        <f t="shared" ca="1" si="5"/>
        <v>#NAME?</v>
      </c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</row>
    <row r="45" spans="1:26">
      <c r="A45" s="100" t="e">
        <f ca="1">IFERROR(__xludf.DUMMYFUNCTION("""COMPUTED_VALUE"""),12747162)</f>
        <v>#NAME?</v>
      </c>
      <c r="B45" s="100" t="e">
        <f ca="1">IFERROR(__xludf.DUMMYFUNCTION("""COMPUTED_VALUE"""),"BBSOLSOL")</f>
        <v>#NAME?</v>
      </c>
      <c r="C45" s="100" t="e">
        <f ca="1">IFERROR(__xludf.DUMMYFUNCTION("""COMPUTED_VALUE"""),"1.0763")</f>
        <v>#NAME?</v>
      </c>
      <c r="D45" s="100" t="e">
        <f t="shared" ca="1" si="7"/>
        <v>#NAME?</v>
      </c>
      <c r="E45" s="100" t="e">
        <f t="shared" ca="1" si="7"/>
        <v>#NAME?</v>
      </c>
      <c r="F45" s="100" t="e">
        <f t="shared" ca="1" si="1"/>
        <v>#NAME?</v>
      </c>
      <c r="G45" s="100" t="e">
        <f t="shared" ca="1" si="2"/>
        <v>#NAME?</v>
      </c>
      <c r="H45" s="100" t="e">
        <f t="shared" ca="1" si="3"/>
        <v>#NAME?</v>
      </c>
      <c r="I45" s="100" t="e">
        <f t="shared" ca="1" si="4"/>
        <v>#NAME?</v>
      </c>
      <c r="J45" s="100" t="e">
        <f ca="1">IFERROR(__xludf.DUMMYFUNCTION("""COMPUTED_VALUE"""),"0.13999999999999999")</f>
        <v>#NAME?</v>
      </c>
      <c r="K45" s="100" t="e">
        <f t="shared" ca="1" si="5"/>
        <v>#NAME?</v>
      </c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</row>
    <row r="46" spans="1:26">
      <c r="A46" s="100" t="e">
        <f ca="1">IFERROR(__xludf.DUMMYFUNCTION("""COMPUTED_VALUE"""),12747163)</f>
        <v>#NAME?</v>
      </c>
      <c r="B46" s="100" t="e">
        <f ca="1">IFERROR(__xludf.DUMMYFUNCTION("""COMPUTED_VALUE"""),"NYANUSDT")</f>
        <v>#NAME?</v>
      </c>
      <c r="C46" s="100" t="e">
        <f ca="1">IFERROR(__xludf.DUMMYFUNCTION("""COMPUTED_VALUE"""),"0.01592")</f>
        <v>#NAME?</v>
      </c>
      <c r="D46" s="100" t="e">
        <f t="shared" ca="1" si="7"/>
        <v>#NAME?</v>
      </c>
      <c r="E46" s="100" t="e">
        <f t="shared" ca="1" si="7"/>
        <v>#NAME?</v>
      </c>
      <c r="F46" s="100" t="e">
        <f t="shared" ca="1" si="1"/>
        <v>#NAME?</v>
      </c>
      <c r="G46" s="100" t="e">
        <f t="shared" ca="1" si="2"/>
        <v>#NAME?</v>
      </c>
      <c r="H46" s="100" t="e">
        <f t="shared" ca="1" si="3"/>
        <v>#NAME?</v>
      </c>
      <c r="I46" s="100" t="e">
        <f t="shared" ca="1" si="4"/>
        <v>#NAME?</v>
      </c>
      <c r="J46" s="100" t="e">
        <f ca="1">IFERROR(__xludf.DUMMYFUNCTION("""COMPUTED_VALUE"""),"0.0")</f>
        <v>#NAME?</v>
      </c>
      <c r="K46" s="100" t="e">
        <f t="shared" ca="1" si="5"/>
        <v>#NAME?</v>
      </c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</row>
    <row r="47" spans="1:26">
      <c r="A47" s="100" t="e">
        <f ca="1">IFERROR(__xludf.DUMMYFUNCTION("""COMPUTED_VALUE"""),12747164)</f>
        <v>#NAME?</v>
      </c>
      <c r="B47" s="100" t="e">
        <f ca="1">IFERROR(__xludf.DUMMYFUNCTION("""COMPUTED_VALUE"""),"APRSUSDT")</f>
        <v>#NAME?</v>
      </c>
      <c r="C47" s="100" t="e">
        <f ca="1">IFERROR(__xludf.DUMMYFUNCTION("""COMPUTED_VALUE"""),"0.01306")</f>
        <v>#NAME?</v>
      </c>
      <c r="D47" s="100" t="e">
        <f t="shared" ca="1" si="7"/>
        <v>#NAME?</v>
      </c>
      <c r="E47" s="100" t="e">
        <f t="shared" ca="1" si="7"/>
        <v>#NAME?</v>
      </c>
      <c r="F47" s="100" t="e">
        <f t="shared" ca="1" si="1"/>
        <v>#NAME?</v>
      </c>
      <c r="G47" s="100" t="e">
        <f t="shared" ca="1" si="2"/>
        <v>#NAME?</v>
      </c>
      <c r="H47" s="100" t="e">
        <f t="shared" ca="1" si="3"/>
        <v>#NAME?</v>
      </c>
      <c r="I47" s="100" t="e">
        <f t="shared" ca="1" si="4"/>
        <v>#NAME?</v>
      </c>
      <c r="J47" s="100" t="e">
        <f ca="1">IFERROR(__xludf.DUMMYFUNCTION("""COMPUTED_VALUE"""),"-6.710000000000001")</f>
        <v>#NAME?</v>
      </c>
      <c r="K47" s="100" t="e">
        <f t="shared" ca="1" si="5"/>
        <v>#NAME?</v>
      </c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</row>
    <row r="48" spans="1:26">
      <c r="A48" s="100" t="e">
        <f ca="1">IFERROR(__xludf.DUMMYFUNCTION("""COMPUTED_VALUE"""),12747165)</f>
        <v>#NAME?</v>
      </c>
      <c r="B48" s="100" t="e">
        <f ca="1">IFERROR(__xludf.DUMMYFUNCTION("""COMPUTED_VALUE"""),"CARVUSDT")</f>
        <v>#NAME?</v>
      </c>
      <c r="C48" s="100" t="e">
        <f ca="1">IFERROR(__xludf.DUMMYFUNCTION("""COMPUTED_VALUE"""),"0.3095")</f>
        <v>#NAME?</v>
      </c>
      <c r="D48" s="100" t="e">
        <f t="shared" ca="1" si="7"/>
        <v>#NAME?</v>
      </c>
      <c r="E48" s="100" t="e">
        <f t="shared" ca="1" si="7"/>
        <v>#NAME?</v>
      </c>
      <c r="F48" s="100" t="e">
        <f t="shared" ca="1" si="1"/>
        <v>#NAME?</v>
      </c>
      <c r="G48" s="100" t="e">
        <f t="shared" ca="1" si="2"/>
        <v>#NAME?</v>
      </c>
      <c r="H48" s="100" t="e">
        <f t="shared" ca="1" si="3"/>
        <v>#NAME?</v>
      </c>
      <c r="I48" s="100" t="e">
        <f t="shared" ca="1" si="4"/>
        <v>#NAME?</v>
      </c>
      <c r="J48" s="100" t="e">
        <f ca="1">IFERROR(__xludf.DUMMYFUNCTION("""COMPUTED_VALUE"""),"-1.6199999999999999")</f>
        <v>#NAME?</v>
      </c>
      <c r="K48" s="100" t="e">
        <f t="shared" ca="1" si="5"/>
        <v>#NAME?</v>
      </c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</row>
    <row r="49" spans="1:26">
      <c r="A49" s="100" t="e">
        <f ca="1">IFERROR(__xludf.DUMMYFUNCTION("""COMPUTED_VALUE"""),12747166)</f>
        <v>#NAME?</v>
      </c>
      <c r="B49" s="100" t="e">
        <f ca="1">IFERROR(__xludf.DUMMYFUNCTION("""COMPUTED_VALUE"""),"FUELUSDT")</f>
        <v>#NAME?</v>
      </c>
      <c r="C49" s="100" t="e">
        <f ca="1">IFERROR(__xludf.DUMMYFUNCTION("""COMPUTED_VALUE"""),"0.00914")</f>
        <v>#NAME?</v>
      </c>
      <c r="D49" s="100" t="e">
        <f t="shared" ca="1" si="7"/>
        <v>#NAME?</v>
      </c>
      <c r="E49" s="100" t="e">
        <f t="shared" ca="1" si="7"/>
        <v>#NAME?</v>
      </c>
      <c r="F49" s="100" t="e">
        <f t="shared" ca="1" si="1"/>
        <v>#NAME?</v>
      </c>
      <c r="G49" s="100" t="e">
        <f t="shared" ca="1" si="2"/>
        <v>#NAME?</v>
      </c>
      <c r="H49" s="100" t="e">
        <f t="shared" ca="1" si="3"/>
        <v>#NAME?</v>
      </c>
      <c r="I49" s="100" t="e">
        <f t="shared" ca="1" si="4"/>
        <v>#NAME?</v>
      </c>
      <c r="J49" s="100" t="e">
        <f ca="1">IFERROR(__xludf.DUMMYFUNCTION("""COMPUTED_VALUE"""),"-2.04")</f>
        <v>#NAME?</v>
      </c>
      <c r="K49" s="100" t="e">
        <f t="shared" ca="1" si="5"/>
        <v>#NAME?</v>
      </c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</row>
    <row r="50" spans="1:26">
      <c r="A50" s="100" t="e">
        <f ca="1">IFERROR(__xludf.DUMMYFUNCTION("""COMPUTED_VALUE"""),12747167)</f>
        <v>#NAME?</v>
      </c>
      <c r="B50" s="100" t="e">
        <f ca="1">IFERROR(__xludf.DUMMYFUNCTION("""COMPUTED_VALUE"""),"G7USDT")</f>
        <v>#NAME?</v>
      </c>
      <c r="C50" s="100" t="e">
        <f ca="1">IFERROR(__xludf.DUMMYFUNCTION("""COMPUTED_VALUE"""),"0.00516")</f>
        <v>#NAME?</v>
      </c>
      <c r="D50" s="100" t="e">
        <f t="shared" ca="1" si="7"/>
        <v>#NAME?</v>
      </c>
      <c r="E50" s="100" t="e">
        <f t="shared" ca="1" si="7"/>
        <v>#NAME?</v>
      </c>
      <c r="F50" s="100" t="e">
        <f t="shared" ca="1" si="1"/>
        <v>#NAME?</v>
      </c>
      <c r="G50" s="100" t="e">
        <f t="shared" ca="1" si="2"/>
        <v>#NAME?</v>
      </c>
      <c r="H50" s="100" t="e">
        <f t="shared" ca="1" si="3"/>
        <v>#NAME?</v>
      </c>
      <c r="I50" s="100" t="e">
        <f t="shared" ca="1" si="4"/>
        <v>#NAME?</v>
      </c>
      <c r="J50" s="100" t="e">
        <f ca="1">IFERROR(__xludf.DUMMYFUNCTION("""COMPUTED_VALUE"""),"2.79")</f>
        <v>#NAME?</v>
      </c>
      <c r="K50" s="100" t="e">
        <f t="shared" ca="1" si="5"/>
        <v>#NAME?</v>
      </c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</row>
    <row r="51" spans="1:26">
      <c r="A51" s="100" t="e">
        <f ca="1">IFERROR(__xludf.DUMMYFUNCTION("""COMPUTED_VALUE"""),12747168)</f>
        <v>#NAME?</v>
      </c>
      <c r="B51" s="100" t="e">
        <f ca="1">IFERROR(__xludf.DUMMYFUNCTION("""COMPUTED_VALUE"""),"SANDBTC")</f>
        <v>#NAME?</v>
      </c>
      <c r="C51" s="100" t="e">
        <f ca="1">IFERROR(__xludf.DUMMYFUNCTION("""COMPUTED_VALUE"""),"0.00000309")</f>
        <v>#NAME?</v>
      </c>
      <c r="D51" s="100" t="e">
        <f t="shared" ca="1" si="7"/>
        <v>#NAME?</v>
      </c>
      <c r="E51" s="100" t="e">
        <f t="shared" ca="1" si="7"/>
        <v>#NAME?</v>
      </c>
      <c r="F51" s="100" t="e">
        <f t="shared" ca="1" si="1"/>
        <v>#NAME?</v>
      </c>
      <c r="G51" s="100" t="e">
        <f t="shared" ca="1" si="2"/>
        <v>#NAME?</v>
      </c>
      <c r="H51" s="100" t="e">
        <f t="shared" ca="1" si="3"/>
        <v>#NAME?</v>
      </c>
      <c r="I51" s="100" t="e">
        <f t="shared" ca="1" si="4"/>
        <v>#NAME?</v>
      </c>
      <c r="J51" s="100" t="e">
        <f ca="1">IFERROR(__xludf.DUMMYFUNCTION("""COMPUTED_VALUE"""),"-4.63")</f>
        <v>#NAME?</v>
      </c>
      <c r="K51" s="100" t="e">
        <f t="shared" ca="1" si="5"/>
        <v>#NAME?</v>
      </c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</row>
    <row r="52" spans="1:26">
      <c r="A52" s="100" t="e">
        <f ca="1">IFERROR(__xludf.DUMMYFUNCTION("""COMPUTED_VALUE"""),12747169)</f>
        <v>#NAME?</v>
      </c>
      <c r="B52" s="100" t="e">
        <f ca="1">IFERROR(__xludf.DUMMYFUNCTION("""COMPUTED_VALUE"""),"FOXYUSDT")</f>
        <v>#NAME?</v>
      </c>
      <c r="C52" s="100" t="e">
        <f ca="1">IFERROR(__xludf.DUMMYFUNCTION("""COMPUTED_VALUE"""),"0.001326")</f>
        <v>#NAME?</v>
      </c>
      <c r="D52" s="100" t="e">
        <f t="shared" ca="1" si="7"/>
        <v>#NAME?</v>
      </c>
      <c r="E52" s="100" t="e">
        <f t="shared" ca="1" si="7"/>
        <v>#NAME?</v>
      </c>
      <c r="F52" s="100" t="e">
        <f t="shared" ca="1" si="1"/>
        <v>#NAME?</v>
      </c>
      <c r="G52" s="100" t="e">
        <f t="shared" ca="1" si="2"/>
        <v>#NAME?</v>
      </c>
      <c r="H52" s="100" t="e">
        <f t="shared" ca="1" si="3"/>
        <v>#NAME?</v>
      </c>
      <c r="I52" s="100" t="e">
        <f t="shared" ca="1" si="4"/>
        <v>#NAME?</v>
      </c>
      <c r="J52" s="100" t="e">
        <f ca="1">IFERROR(__xludf.DUMMYFUNCTION("""COMPUTED_VALUE"""),"-9.36")</f>
        <v>#NAME?</v>
      </c>
      <c r="K52" s="100" t="e">
        <f t="shared" ca="1" si="5"/>
        <v>#NAME?</v>
      </c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</row>
    <row r="53" spans="1:26">
      <c r="A53" s="100" t="e">
        <f ca="1">IFERROR(__xludf.DUMMYFUNCTION("""COMPUTED_VALUE"""),12747170)</f>
        <v>#NAME?</v>
      </c>
      <c r="B53" s="100" t="e">
        <f ca="1">IFERROR(__xludf.DUMMYFUNCTION("""COMPUTED_VALUE"""),"QORPOUSDT")</f>
        <v>#NAME?</v>
      </c>
      <c r="C53" s="100" t="e">
        <f ca="1">IFERROR(__xludf.DUMMYFUNCTION("""COMPUTED_VALUE"""),"0.01945")</f>
        <v>#NAME?</v>
      </c>
      <c r="D53" s="100" t="e">
        <f t="shared" ca="1" si="7"/>
        <v>#NAME?</v>
      </c>
      <c r="E53" s="100" t="e">
        <f t="shared" ca="1" si="7"/>
        <v>#NAME?</v>
      </c>
      <c r="F53" s="100" t="e">
        <f t="shared" ca="1" si="1"/>
        <v>#NAME?</v>
      </c>
      <c r="G53" s="100" t="e">
        <f t="shared" ca="1" si="2"/>
        <v>#NAME?</v>
      </c>
      <c r="H53" s="100" t="e">
        <f t="shared" ca="1" si="3"/>
        <v>#NAME?</v>
      </c>
      <c r="I53" s="100" t="e">
        <f t="shared" ca="1" si="4"/>
        <v>#NAME?</v>
      </c>
      <c r="J53" s="100" t="e">
        <f ca="1">IFERROR(__xludf.DUMMYFUNCTION("""COMPUTED_VALUE"""),"3.5700000000000003")</f>
        <v>#NAME?</v>
      </c>
      <c r="K53" s="100" t="e">
        <f t="shared" ca="1" si="5"/>
        <v>#NAME?</v>
      </c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</row>
    <row r="54" spans="1:26">
      <c r="A54" s="100" t="e">
        <f ca="1">IFERROR(__xludf.DUMMYFUNCTION("""COMPUTED_VALUE"""),12747171)</f>
        <v>#NAME?</v>
      </c>
      <c r="B54" s="100" t="e">
        <f ca="1">IFERROR(__xludf.DUMMYFUNCTION("""COMPUTED_VALUE"""),"PSGUSDT")</f>
        <v>#NAME?</v>
      </c>
      <c r="C54" s="100" t="e">
        <f ca="1">IFERROR(__xludf.DUMMYFUNCTION("""COMPUTED_VALUE"""),"2.0003")</f>
        <v>#NAME?</v>
      </c>
      <c r="D54" s="100" t="e">
        <f t="shared" ca="1" si="7"/>
        <v>#NAME?</v>
      </c>
      <c r="E54" s="100" t="e">
        <f t="shared" ca="1" si="7"/>
        <v>#NAME?</v>
      </c>
      <c r="F54" s="100" t="e">
        <f t="shared" ca="1" si="1"/>
        <v>#NAME?</v>
      </c>
      <c r="G54" s="100" t="e">
        <f t="shared" ca="1" si="2"/>
        <v>#NAME?</v>
      </c>
      <c r="H54" s="100" t="e">
        <f t="shared" ca="1" si="3"/>
        <v>#NAME?</v>
      </c>
      <c r="I54" s="100" t="e">
        <f t="shared" ca="1" si="4"/>
        <v>#NAME?</v>
      </c>
      <c r="J54" s="100" t="e">
        <f ca="1">IFERROR(__xludf.DUMMYFUNCTION("""COMPUTED_VALUE"""),"3.94")</f>
        <v>#NAME?</v>
      </c>
      <c r="K54" s="100" t="e">
        <f t="shared" ca="1" si="5"/>
        <v>#NAME?</v>
      </c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</row>
    <row r="55" spans="1:26">
      <c r="A55" s="100" t="e">
        <f ca="1">IFERROR(__xludf.DUMMYFUNCTION("""COMPUTED_VALUE"""),12747172)</f>
        <v>#NAME?</v>
      </c>
      <c r="B55" s="100" t="e">
        <f ca="1">IFERROR(__xludf.DUMMYFUNCTION("""COMPUTED_VALUE"""),"EIGENUSDT")</f>
        <v>#NAME?</v>
      </c>
      <c r="C55" s="100" t="e">
        <f ca="1">IFERROR(__xludf.DUMMYFUNCTION("""COMPUTED_VALUE"""),"0.846")</f>
        <v>#NAME?</v>
      </c>
      <c r="D55" s="100" t="e">
        <f t="shared" ca="1" si="7"/>
        <v>#NAME?</v>
      </c>
      <c r="E55" s="100" t="e">
        <f t="shared" ca="1" si="7"/>
        <v>#NAME?</v>
      </c>
      <c r="F55" s="100" t="e">
        <f t="shared" ca="1" si="1"/>
        <v>#NAME?</v>
      </c>
      <c r="G55" s="100" t="e">
        <f t="shared" ca="1" si="2"/>
        <v>#NAME?</v>
      </c>
      <c r="H55" s="100" t="e">
        <f t="shared" ca="1" si="3"/>
        <v>#NAME?</v>
      </c>
      <c r="I55" s="100" t="e">
        <f t="shared" ca="1" si="4"/>
        <v>#NAME?</v>
      </c>
      <c r="J55" s="100" t="e">
        <f ca="1">IFERROR(__xludf.DUMMYFUNCTION("""COMPUTED_VALUE"""),"-1.51")</f>
        <v>#NAME?</v>
      </c>
      <c r="K55" s="100" t="e">
        <f t="shared" ca="1" si="5"/>
        <v>#NAME?</v>
      </c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</row>
    <row r="56" spans="1:26">
      <c r="A56" s="100" t="e">
        <f ca="1">IFERROR(__xludf.DUMMYFUNCTION("""COMPUTED_VALUE"""),12747173)</f>
        <v>#NAME?</v>
      </c>
      <c r="B56" s="100" t="e">
        <f ca="1">IFERROR(__xludf.DUMMYFUNCTION("""COMPUTED_VALUE"""),"MANAUSDT")</f>
        <v>#NAME?</v>
      </c>
      <c r="C56" s="100" t="e">
        <f ca="1">IFERROR(__xludf.DUMMYFUNCTION("""COMPUTED_VALUE"""),"0.2993")</f>
        <v>#NAME?</v>
      </c>
      <c r="D56" s="100" t="e">
        <f t="shared" ca="1" si="7"/>
        <v>#NAME?</v>
      </c>
      <c r="E56" s="100" t="e">
        <f t="shared" ca="1" si="7"/>
        <v>#NAME?</v>
      </c>
      <c r="F56" s="100" t="e">
        <f t="shared" ca="1" si="1"/>
        <v>#NAME?</v>
      </c>
      <c r="G56" s="100" t="e">
        <f t="shared" ca="1" si="2"/>
        <v>#NAME?</v>
      </c>
      <c r="H56" s="100" t="e">
        <f t="shared" ca="1" si="3"/>
        <v>#NAME?</v>
      </c>
      <c r="I56" s="100" t="e">
        <f t="shared" ca="1" si="4"/>
        <v>#NAME?</v>
      </c>
      <c r="J56" s="100" t="e">
        <f ca="1">IFERROR(__xludf.DUMMYFUNCTION("""COMPUTED_VALUE"""),"-3.7600000000000002")</f>
        <v>#NAME?</v>
      </c>
      <c r="K56" s="100" t="e">
        <f t="shared" ca="1" si="5"/>
        <v>#NAME?</v>
      </c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</row>
    <row r="57" spans="1:26">
      <c r="A57" s="100" t="e">
        <f ca="1">IFERROR(__xludf.DUMMYFUNCTION("""COMPUTED_VALUE"""),12747174)</f>
        <v>#NAME?</v>
      </c>
      <c r="B57" s="100" t="e">
        <f ca="1">IFERROR(__xludf.DUMMYFUNCTION("""COMPUTED_VALUE"""),"BICOUSDT")</f>
        <v>#NAME?</v>
      </c>
      <c r="C57" s="100" t="e">
        <f ca="1">IFERROR(__xludf.DUMMYFUNCTION("""COMPUTED_VALUE"""),"0.1118")</f>
        <v>#NAME?</v>
      </c>
      <c r="D57" s="100" t="e">
        <f t="shared" ca="1" si="7"/>
        <v>#NAME?</v>
      </c>
      <c r="E57" s="100" t="e">
        <f t="shared" ca="1" si="7"/>
        <v>#NAME?</v>
      </c>
      <c r="F57" s="100" t="e">
        <f t="shared" ca="1" si="1"/>
        <v>#NAME?</v>
      </c>
      <c r="G57" s="100" t="e">
        <f t="shared" ca="1" si="2"/>
        <v>#NAME?</v>
      </c>
      <c r="H57" s="100" t="e">
        <f t="shared" ca="1" si="3"/>
        <v>#NAME?</v>
      </c>
      <c r="I57" s="100" t="e">
        <f t="shared" ca="1" si="4"/>
        <v>#NAME?</v>
      </c>
      <c r="J57" s="100" t="e">
        <f ca="1">IFERROR(__xludf.DUMMYFUNCTION("""COMPUTED_VALUE"""),"-2.19")</f>
        <v>#NAME?</v>
      </c>
      <c r="K57" s="100" t="e">
        <f t="shared" ca="1" si="5"/>
        <v>#NAME?</v>
      </c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</row>
    <row r="58" spans="1:26">
      <c r="A58" s="100" t="e">
        <f ca="1">IFERROR(__xludf.DUMMYFUNCTION("""COMPUTED_VALUE"""),12747175)</f>
        <v>#NAME?</v>
      </c>
      <c r="B58" s="100" t="e">
        <f ca="1">IFERROR(__xludf.DUMMYFUNCTION("""COMPUTED_VALUE"""),"MSTARUSDT")</f>
        <v>#NAME?</v>
      </c>
      <c r="C58" s="100" t="e">
        <f ca="1">IFERROR(__xludf.DUMMYFUNCTION("""COMPUTED_VALUE"""),"0.005408")</f>
        <v>#NAME?</v>
      </c>
      <c r="D58" s="100" t="e">
        <f t="shared" ca="1" si="7"/>
        <v>#NAME?</v>
      </c>
      <c r="E58" s="100" t="e">
        <f t="shared" ca="1" si="7"/>
        <v>#NAME?</v>
      </c>
      <c r="F58" s="100" t="e">
        <f t="shared" ca="1" si="1"/>
        <v>#NAME?</v>
      </c>
      <c r="G58" s="100" t="e">
        <f t="shared" ca="1" si="2"/>
        <v>#NAME?</v>
      </c>
      <c r="H58" s="100" t="e">
        <f t="shared" ca="1" si="3"/>
        <v>#NAME?</v>
      </c>
      <c r="I58" s="100" t="e">
        <f t="shared" ca="1" si="4"/>
        <v>#NAME?</v>
      </c>
      <c r="J58" s="100" t="e">
        <f ca="1">IFERROR(__xludf.DUMMYFUNCTION("""COMPUTED_VALUE"""),"-15.629999999999999")</f>
        <v>#NAME?</v>
      </c>
      <c r="K58" s="100" t="e">
        <f t="shared" ca="1" si="5"/>
        <v>#NAME?</v>
      </c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</row>
    <row r="59" spans="1:26">
      <c r="A59" s="100" t="e">
        <f ca="1">IFERROR(__xludf.DUMMYFUNCTION("""COMPUTED_VALUE"""),12747176)</f>
        <v>#NAME?</v>
      </c>
      <c r="B59" s="100" t="e">
        <f ca="1">IFERROR(__xludf.DUMMYFUNCTION("""COMPUTED_VALUE"""),"SVLUSDT")</f>
        <v>#NAME?</v>
      </c>
      <c r="C59" s="100" t="e">
        <f ca="1">IFERROR(__xludf.DUMMYFUNCTION("""COMPUTED_VALUE"""),"0.004426")</f>
        <v>#NAME?</v>
      </c>
      <c r="D59" s="100" t="e">
        <f t="shared" ca="1" si="7"/>
        <v>#NAME?</v>
      </c>
      <c r="E59" s="100" t="e">
        <f t="shared" ca="1" si="7"/>
        <v>#NAME?</v>
      </c>
      <c r="F59" s="100" t="e">
        <f t="shared" ca="1" si="1"/>
        <v>#NAME?</v>
      </c>
      <c r="G59" s="100" t="e">
        <f t="shared" ca="1" si="2"/>
        <v>#NAME?</v>
      </c>
      <c r="H59" s="100" t="e">
        <f t="shared" ca="1" si="3"/>
        <v>#NAME?</v>
      </c>
      <c r="I59" s="100" t="e">
        <f t="shared" ca="1" si="4"/>
        <v>#NAME?</v>
      </c>
      <c r="J59" s="100" t="e">
        <f ca="1">IFERROR(__xludf.DUMMYFUNCTION("""COMPUTED_VALUE"""),"-0.49")</f>
        <v>#NAME?</v>
      </c>
      <c r="K59" s="100" t="e">
        <f t="shared" ca="1" si="5"/>
        <v>#NAME?</v>
      </c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</row>
    <row r="60" spans="1:26">
      <c r="A60" s="100" t="e">
        <f ca="1">IFERROR(__xludf.DUMMYFUNCTION("""COMPUTED_VALUE"""),12747177)</f>
        <v>#NAME?</v>
      </c>
      <c r="B60" s="100" t="e">
        <f ca="1">IFERROR(__xludf.DUMMYFUNCTION("""COMPUTED_VALUE"""),"VENOMUSDT")</f>
        <v>#NAME?</v>
      </c>
      <c r="C60" s="100" t="e">
        <f ca="1">IFERROR(__xludf.DUMMYFUNCTION("""COMPUTED_VALUE"""),"0.14065")</f>
        <v>#NAME?</v>
      </c>
      <c r="D60" s="100" t="e">
        <f t="shared" ca="1" si="7"/>
        <v>#NAME?</v>
      </c>
      <c r="E60" s="100" t="e">
        <f t="shared" ca="1" si="7"/>
        <v>#NAME?</v>
      </c>
      <c r="F60" s="100" t="e">
        <f t="shared" ca="1" si="1"/>
        <v>#NAME?</v>
      </c>
      <c r="G60" s="100" t="e">
        <f t="shared" ca="1" si="2"/>
        <v>#NAME?</v>
      </c>
      <c r="H60" s="100" t="e">
        <f t="shared" ca="1" si="3"/>
        <v>#NAME?</v>
      </c>
      <c r="I60" s="100" t="e">
        <f t="shared" ca="1" si="4"/>
        <v>#NAME?</v>
      </c>
      <c r="J60" s="100" t="e">
        <f ca="1">IFERROR(__xludf.DUMMYFUNCTION("""COMPUTED_VALUE"""),"-0.7799999999999999")</f>
        <v>#NAME?</v>
      </c>
      <c r="K60" s="100" t="e">
        <f t="shared" ca="1" si="5"/>
        <v>#NAME?</v>
      </c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</row>
    <row r="61" spans="1:26">
      <c r="A61" s="100" t="e">
        <f ca="1">IFERROR(__xludf.DUMMYFUNCTION("""COMPUTED_VALUE"""),12747178)</f>
        <v>#NAME?</v>
      </c>
      <c r="B61" s="100" t="e">
        <f ca="1">IFERROR(__xludf.DUMMYFUNCTION("""COMPUTED_VALUE"""),"HBARUSDT")</f>
        <v>#NAME?</v>
      </c>
      <c r="C61" s="100" t="e">
        <f ca="1">IFERROR(__xludf.DUMMYFUNCTION("""COMPUTED_VALUE"""),"0.17257")</f>
        <v>#NAME?</v>
      </c>
      <c r="D61" s="100" t="e">
        <f t="shared" ca="1" si="7"/>
        <v>#NAME?</v>
      </c>
      <c r="E61" s="100" t="e">
        <f t="shared" ca="1" si="7"/>
        <v>#NAME?</v>
      </c>
      <c r="F61" s="100" t="e">
        <f t="shared" ca="1" si="1"/>
        <v>#NAME?</v>
      </c>
      <c r="G61" s="100" t="e">
        <f t="shared" ca="1" si="2"/>
        <v>#NAME?</v>
      </c>
      <c r="H61" s="100" t="e">
        <f t="shared" ca="1" si="3"/>
        <v>#NAME?</v>
      </c>
      <c r="I61" s="100" t="e">
        <f t="shared" ca="1" si="4"/>
        <v>#NAME?</v>
      </c>
      <c r="J61" s="100" t="e">
        <f ca="1">IFERROR(__xludf.DUMMYFUNCTION("""COMPUTED_VALUE"""),"0.26")</f>
        <v>#NAME?</v>
      </c>
      <c r="K61" s="100" t="e">
        <f t="shared" ca="1" si="5"/>
        <v>#NAME?</v>
      </c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</row>
    <row r="62" spans="1:26">
      <c r="A62" s="100" t="e">
        <f ca="1">IFERROR(__xludf.DUMMYFUNCTION("""COMPUTED_VALUE"""),12747179)</f>
        <v>#NAME?</v>
      </c>
      <c r="B62" s="100" t="e">
        <f ca="1">IFERROR(__xludf.DUMMYFUNCTION("""COMPUTED_VALUE"""),"TNSRUSDT")</f>
        <v>#NAME?</v>
      </c>
      <c r="C62" s="100" t="e">
        <f ca="1">IFERROR(__xludf.DUMMYFUNCTION("""COMPUTED_VALUE"""),"0.1439")</f>
        <v>#NAME?</v>
      </c>
      <c r="D62" s="100" t="e">
        <f t="shared" ref="D62:E81" ca="1" si="8">IFERROR(__xludf.DUMMYFUNCTION("""COMPUTED_VALUE"""),"-")</f>
        <v>#NAME?</v>
      </c>
      <c r="E62" s="100" t="e">
        <f t="shared" ca="1" si="8"/>
        <v>#NAME?</v>
      </c>
      <c r="F62" s="100" t="e">
        <f t="shared" ca="1" si="1"/>
        <v>#NAME?</v>
      </c>
      <c r="G62" s="100" t="e">
        <f t="shared" ca="1" si="2"/>
        <v>#NAME?</v>
      </c>
      <c r="H62" s="100" t="e">
        <f t="shared" ca="1" si="3"/>
        <v>#NAME?</v>
      </c>
      <c r="I62" s="100" t="e">
        <f t="shared" ca="1" si="4"/>
        <v>#NAME?</v>
      </c>
      <c r="J62" s="100" t="e">
        <f ca="1">IFERROR(__xludf.DUMMYFUNCTION("""COMPUTED_VALUE"""),"6.83")</f>
        <v>#NAME?</v>
      </c>
      <c r="K62" s="100" t="e">
        <f t="shared" ca="1" si="5"/>
        <v>#NAME?</v>
      </c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</row>
    <row r="63" spans="1:26">
      <c r="A63" s="100" t="e">
        <f ca="1">IFERROR(__xludf.DUMMYFUNCTION("""COMPUTED_VALUE"""),12747180)</f>
        <v>#NAME?</v>
      </c>
      <c r="B63" s="100" t="e">
        <f ca="1">IFERROR(__xludf.DUMMYFUNCTION("""COMPUTED_VALUE"""),"MODEUSDT")</f>
        <v>#NAME?</v>
      </c>
      <c r="C63" s="100" t="e">
        <f ca="1">IFERROR(__xludf.DUMMYFUNCTION("""COMPUTED_VALUE"""),"0.002981")</f>
        <v>#NAME?</v>
      </c>
      <c r="D63" s="100" t="e">
        <f t="shared" ca="1" si="8"/>
        <v>#NAME?</v>
      </c>
      <c r="E63" s="100" t="e">
        <f t="shared" ca="1" si="8"/>
        <v>#NAME?</v>
      </c>
      <c r="F63" s="100" t="e">
        <f t="shared" ca="1" si="1"/>
        <v>#NAME?</v>
      </c>
      <c r="G63" s="100" t="e">
        <f t="shared" ca="1" si="2"/>
        <v>#NAME?</v>
      </c>
      <c r="H63" s="100" t="e">
        <f t="shared" ca="1" si="3"/>
        <v>#NAME?</v>
      </c>
      <c r="I63" s="100" t="e">
        <f t="shared" ca="1" si="4"/>
        <v>#NAME?</v>
      </c>
      <c r="J63" s="100" t="e">
        <f ca="1">IFERROR(__xludf.DUMMYFUNCTION("""COMPUTED_VALUE"""),"-0.47000000000000003")</f>
        <v>#NAME?</v>
      </c>
      <c r="K63" s="100" t="e">
        <f t="shared" ca="1" si="5"/>
        <v>#NAME?</v>
      </c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</row>
    <row r="64" spans="1:26">
      <c r="A64" s="100" t="e">
        <f ca="1">IFERROR(__xludf.DUMMYFUNCTION("""COMPUTED_VALUE"""),12747181)</f>
        <v>#NAME?</v>
      </c>
      <c r="B64" s="100" t="e">
        <f ca="1">IFERROR(__xludf.DUMMYFUNCTION("""COMPUTED_VALUE"""),"RVNUSDT")</f>
        <v>#NAME?</v>
      </c>
      <c r="C64" s="100" t="e">
        <f ca="1">IFERROR(__xludf.DUMMYFUNCTION("""COMPUTED_VALUE"""),"0.01111")</f>
        <v>#NAME?</v>
      </c>
      <c r="D64" s="100" t="e">
        <f t="shared" ca="1" si="8"/>
        <v>#NAME?</v>
      </c>
      <c r="E64" s="100" t="e">
        <f t="shared" ca="1" si="8"/>
        <v>#NAME?</v>
      </c>
      <c r="F64" s="100" t="e">
        <f t="shared" ca="1" si="1"/>
        <v>#NAME?</v>
      </c>
      <c r="G64" s="100" t="e">
        <f t="shared" ca="1" si="2"/>
        <v>#NAME?</v>
      </c>
      <c r="H64" s="100" t="e">
        <f t="shared" ca="1" si="3"/>
        <v>#NAME?</v>
      </c>
      <c r="I64" s="100" t="e">
        <f t="shared" ca="1" si="4"/>
        <v>#NAME?</v>
      </c>
      <c r="J64" s="100" t="e">
        <f ca="1">IFERROR(__xludf.DUMMYFUNCTION("""COMPUTED_VALUE"""),"-2.46")</f>
        <v>#NAME?</v>
      </c>
      <c r="K64" s="100" t="e">
        <f t="shared" ca="1" si="5"/>
        <v>#NAME?</v>
      </c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</row>
    <row r="65" spans="1:26">
      <c r="A65" s="100" t="e">
        <f ca="1">IFERROR(__xludf.DUMMYFUNCTION("""COMPUTED_VALUE"""),12747182)</f>
        <v>#NAME?</v>
      </c>
      <c r="B65" s="100" t="e">
        <f ca="1">IFERROR(__xludf.DUMMYFUNCTION("""COMPUTED_VALUE"""),"BTCUSDT")</f>
        <v>#NAME?</v>
      </c>
      <c r="C65" s="100" t="e">
        <f ca="1">IFERROR(__xludf.DUMMYFUNCTION("""COMPUTED_VALUE"""),"88591.3")</f>
        <v>#NAME?</v>
      </c>
      <c r="D65" s="100" t="e">
        <f t="shared" ca="1" si="8"/>
        <v>#NAME?</v>
      </c>
      <c r="E65" s="100" t="e">
        <f t="shared" ca="1" si="8"/>
        <v>#NAME?</v>
      </c>
      <c r="F65" s="100" t="e">
        <f t="shared" ca="1" si="1"/>
        <v>#NAME?</v>
      </c>
      <c r="G65" s="100" t="e">
        <f t="shared" ca="1" si="2"/>
        <v>#NAME?</v>
      </c>
      <c r="H65" s="100" t="e">
        <f t="shared" ca="1" si="3"/>
        <v>#NAME?</v>
      </c>
      <c r="I65" s="100" t="e">
        <f t="shared" ca="1" si="4"/>
        <v>#NAME?</v>
      </c>
      <c r="J65" s="100" t="e">
        <f ca="1">IFERROR(__xludf.DUMMYFUNCTION("""COMPUTED_VALUE"""),"1.27")</f>
        <v>#NAME?</v>
      </c>
      <c r="K65" s="100" t="e">
        <f t="shared" ca="1" si="5"/>
        <v>#NAME?</v>
      </c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</row>
    <row r="66" spans="1:26">
      <c r="A66" s="100" t="e">
        <f ca="1">IFERROR(__xludf.DUMMYFUNCTION("""COMPUTED_VALUE"""),12747183)</f>
        <v>#NAME?</v>
      </c>
      <c r="B66" s="100" t="e">
        <f ca="1">IFERROR(__xludf.DUMMYFUNCTION("""COMPUTED_VALUE"""),"RPLUSDT")</f>
        <v>#NAME?</v>
      </c>
      <c r="C66" s="100" t="e">
        <f ca="1">IFERROR(__xludf.DUMMYFUNCTION("""COMPUTED_VALUE"""),"4.044")</f>
        <v>#NAME?</v>
      </c>
      <c r="D66" s="100" t="e">
        <f t="shared" ca="1" si="8"/>
        <v>#NAME?</v>
      </c>
      <c r="E66" s="100" t="e">
        <f t="shared" ca="1" si="8"/>
        <v>#NAME?</v>
      </c>
      <c r="F66" s="100" t="e">
        <f t="shared" ref="F66:F129" ca="1" si="9">IFERROR(__xludf.DUMMYFUNCTION("""COMPUTED_VALUE"""),20200)</f>
        <v>#NAME?</v>
      </c>
      <c r="G66" s="100" t="e">
        <f t="shared" ref="G66:G129" ca="1" si="10">IFERROR(__xludf.DUMMYFUNCTION("""COMPUTED_VALUE"""),2885)</f>
        <v>#NAME?</v>
      </c>
      <c r="H66" s="100" t="e">
        <f t="shared" ref="H66:H129" ca="1" si="11">IFERROR(__xludf.DUMMYFUNCTION("""COMPUTED_VALUE"""),663)</f>
        <v>#NAME?</v>
      </c>
      <c r="I66" s="100" t="e">
        <f t="shared" ref="I66:I129" ca="1" si="12">IFERROR(__xludf.DUMMYFUNCTION("""COMPUTED_VALUE"""),5817721)</f>
        <v>#NAME?</v>
      </c>
      <c r="J66" s="100" t="e">
        <f ca="1">IFERROR(__xludf.DUMMYFUNCTION("""COMPUTED_VALUE"""),"-6.370000000000001")</f>
        <v>#NAME?</v>
      </c>
      <c r="K66" s="100" t="e">
        <f t="shared" ref="K66:K129" ca="1" si="13">IFERROR(__xludf.DUMMYFUNCTION("""COMPUTED_VALUE"""),"22.04.2025 13:05:01")</f>
        <v>#NAME?</v>
      </c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</row>
    <row r="67" spans="1:26">
      <c r="A67" s="100" t="e">
        <f ca="1">IFERROR(__xludf.DUMMYFUNCTION("""COMPUTED_VALUE"""),12747184)</f>
        <v>#NAME?</v>
      </c>
      <c r="B67" s="100" t="e">
        <f ca="1">IFERROR(__xludf.DUMMYFUNCTION("""COMPUTED_VALUE"""),"MOVEUSDT")</f>
        <v>#NAME?</v>
      </c>
      <c r="C67" s="100" t="e">
        <f ca="1">IFERROR(__xludf.DUMMYFUNCTION("""COMPUTED_VALUE"""),"0.2245")</f>
        <v>#NAME?</v>
      </c>
      <c r="D67" s="100" t="e">
        <f t="shared" ca="1" si="8"/>
        <v>#NAME?</v>
      </c>
      <c r="E67" s="100" t="e">
        <f t="shared" ca="1" si="8"/>
        <v>#NAME?</v>
      </c>
      <c r="F67" s="100" t="e">
        <f t="shared" ca="1" si="9"/>
        <v>#NAME?</v>
      </c>
      <c r="G67" s="100" t="e">
        <f t="shared" ca="1" si="10"/>
        <v>#NAME?</v>
      </c>
      <c r="H67" s="100" t="e">
        <f t="shared" ca="1" si="11"/>
        <v>#NAME?</v>
      </c>
      <c r="I67" s="100" t="e">
        <f t="shared" ca="1" si="12"/>
        <v>#NAME?</v>
      </c>
      <c r="J67" s="100" t="e">
        <f ca="1">IFERROR(__xludf.DUMMYFUNCTION("""COMPUTED_VALUE"""),"-4.31")</f>
        <v>#NAME?</v>
      </c>
      <c r="K67" s="100" t="e">
        <f t="shared" ca="1" si="13"/>
        <v>#NAME?</v>
      </c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</row>
    <row r="68" spans="1:26">
      <c r="A68" s="100" t="e">
        <f ca="1">IFERROR(__xludf.DUMMYFUNCTION("""COMPUTED_VALUE"""),12747185)</f>
        <v>#NAME?</v>
      </c>
      <c r="B68" s="100" t="e">
        <f ca="1">IFERROR(__xludf.DUMMYFUNCTION("""COMPUTED_VALUE"""),"ELIXUSDT")</f>
        <v>#NAME?</v>
      </c>
      <c r="C68" s="100" t="e">
        <f ca="1">IFERROR(__xludf.DUMMYFUNCTION("""COMPUTED_VALUE"""),"0.006063")</f>
        <v>#NAME?</v>
      </c>
      <c r="D68" s="100" t="e">
        <f t="shared" ca="1" si="8"/>
        <v>#NAME?</v>
      </c>
      <c r="E68" s="100" t="e">
        <f t="shared" ca="1" si="8"/>
        <v>#NAME?</v>
      </c>
      <c r="F68" s="100" t="e">
        <f t="shared" ca="1" si="9"/>
        <v>#NAME?</v>
      </c>
      <c r="G68" s="100" t="e">
        <f t="shared" ca="1" si="10"/>
        <v>#NAME?</v>
      </c>
      <c r="H68" s="100" t="e">
        <f t="shared" ca="1" si="11"/>
        <v>#NAME?</v>
      </c>
      <c r="I68" s="100" t="e">
        <f t="shared" ca="1" si="12"/>
        <v>#NAME?</v>
      </c>
      <c r="J68" s="100" t="e">
        <f ca="1">IFERROR(__xludf.DUMMYFUNCTION("""COMPUTED_VALUE"""),"-0.8500000000000001")</f>
        <v>#NAME?</v>
      </c>
      <c r="K68" s="100" t="e">
        <f t="shared" ca="1" si="13"/>
        <v>#NAME?</v>
      </c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</row>
    <row r="69" spans="1:26">
      <c r="A69" s="100" t="e">
        <f ca="1">IFERROR(__xludf.DUMMYFUNCTION("""COMPUTED_VALUE"""),12747186)</f>
        <v>#NAME?</v>
      </c>
      <c r="B69" s="100" t="e">
        <f ca="1">IFERROR(__xludf.DUMMYFUNCTION("""COMPUTED_VALUE"""),"EPTUSDT")</f>
        <v>#NAME?</v>
      </c>
      <c r="C69" s="100" t="e">
        <f ca="1">IFERROR(__xludf.DUMMYFUNCTION("""COMPUTED_VALUE"""),"0.013196")</f>
        <v>#NAME?</v>
      </c>
      <c r="D69" s="100" t="e">
        <f t="shared" ca="1" si="8"/>
        <v>#NAME?</v>
      </c>
      <c r="E69" s="100" t="e">
        <f t="shared" ca="1" si="8"/>
        <v>#NAME?</v>
      </c>
      <c r="F69" s="100" t="e">
        <f t="shared" ca="1" si="9"/>
        <v>#NAME?</v>
      </c>
      <c r="G69" s="100" t="e">
        <f t="shared" ca="1" si="10"/>
        <v>#NAME?</v>
      </c>
      <c r="H69" s="100" t="e">
        <f t="shared" ca="1" si="11"/>
        <v>#NAME?</v>
      </c>
      <c r="I69" s="100" t="e">
        <f t="shared" ca="1" si="12"/>
        <v>#NAME?</v>
      </c>
      <c r="J69" s="100" t="e">
        <f ca="1">IFERROR(__xludf.DUMMYFUNCTION("""COMPUTED_VALUE"""),"339.87")</f>
        <v>#NAME?</v>
      </c>
      <c r="K69" s="100" t="e">
        <f t="shared" ca="1" si="13"/>
        <v>#NAME?</v>
      </c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</row>
    <row r="70" spans="1:26">
      <c r="A70" s="100" t="e">
        <f ca="1">IFERROR(__xludf.DUMMYFUNCTION("""COMPUTED_VALUE"""),12747187)</f>
        <v>#NAME?</v>
      </c>
      <c r="B70" s="100" t="e">
        <f ca="1">IFERROR(__xludf.DUMMYFUNCTION("""COMPUTED_VALUE"""),"ELXUSDT")</f>
        <v>#NAME?</v>
      </c>
      <c r="C70" s="100" t="e">
        <f ca="1">IFERROR(__xludf.DUMMYFUNCTION("""COMPUTED_VALUE"""),"0.1132")</f>
        <v>#NAME?</v>
      </c>
      <c r="D70" s="100" t="e">
        <f t="shared" ca="1" si="8"/>
        <v>#NAME?</v>
      </c>
      <c r="E70" s="100" t="e">
        <f t="shared" ca="1" si="8"/>
        <v>#NAME?</v>
      </c>
      <c r="F70" s="100" t="e">
        <f t="shared" ca="1" si="9"/>
        <v>#NAME?</v>
      </c>
      <c r="G70" s="100" t="e">
        <f t="shared" ca="1" si="10"/>
        <v>#NAME?</v>
      </c>
      <c r="H70" s="100" t="e">
        <f t="shared" ca="1" si="11"/>
        <v>#NAME?</v>
      </c>
      <c r="I70" s="100" t="e">
        <f t="shared" ca="1" si="12"/>
        <v>#NAME?</v>
      </c>
      <c r="J70" s="100" t="e">
        <f ca="1">IFERROR(__xludf.DUMMYFUNCTION("""COMPUTED_VALUE"""),"-24.38")</f>
        <v>#NAME?</v>
      </c>
      <c r="K70" s="100" t="e">
        <f t="shared" ca="1" si="13"/>
        <v>#NAME?</v>
      </c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</row>
    <row r="71" spans="1:26">
      <c r="A71" s="100" t="e">
        <f ca="1">IFERROR(__xludf.DUMMYFUNCTION("""COMPUTED_VALUE"""),12747188)</f>
        <v>#NAME?</v>
      </c>
      <c r="B71" s="100" t="e">
        <f ca="1">IFERROR(__xludf.DUMMYFUNCTION("""COMPUTED_VALUE"""),"EOSUSDT")</f>
        <v>#NAME?</v>
      </c>
      <c r="C71" s="100" t="e">
        <f ca="1">IFERROR(__xludf.DUMMYFUNCTION("""COMPUTED_VALUE"""),"0.6324")</f>
        <v>#NAME?</v>
      </c>
      <c r="D71" s="100" t="e">
        <f t="shared" ca="1" si="8"/>
        <v>#NAME?</v>
      </c>
      <c r="E71" s="100" t="e">
        <f t="shared" ca="1" si="8"/>
        <v>#NAME?</v>
      </c>
      <c r="F71" s="100" t="e">
        <f t="shared" ca="1" si="9"/>
        <v>#NAME?</v>
      </c>
      <c r="G71" s="100" t="e">
        <f t="shared" ca="1" si="10"/>
        <v>#NAME?</v>
      </c>
      <c r="H71" s="100" t="e">
        <f t="shared" ca="1" si="11"/>
        <v>#NAME?</v>
      </c>
      <c r="I71" s="100" t="e">
        <f t="shared" ca="1" si="12"/>
        <v>#NAME?</v>
      </c>
      <c r="J71" s="100" t="e">
        <f ca="1">IFERROR(__xludf.DUMMYFUNCTION("""COMPUTED_VALUE"""),"-3.1399999999999997")</f>
        <v>#NAME?</v>
      </c>
      <c r="K71" s="100" t="e">
        <f t="shared" ca="1" si="13"/>
        <v>#NAME?</v>
      </c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</row>
    <row r="72" spans="1:26">
      <c r="A72" s="100" t="e">
        <f ca="1">IFERROR(__xludf.DUMMYFUNCTION("""COMPUTED_VALUE"""),12747189)</f>
        <v>#NAME?</v>
      </c>
      <c r="B72" s="100" t="e">
        <f ca="1">IFERROR(__xludf.DUMMYFUNCTION("""COMPUTED_VALUE"""),"KDAUSDT")</f>
        <v>#NAME?</v>
      </c>
      <c r="C72" s="100" t="e">
        <f ca="1">IFERROR(__xludf.DUMMYFUNCTION("""COMPUTED_VALUE"""),"0.4612")</f>
        <v>#NAME?</v>
      </c>
      <c r="D72" s="100" t="e">
        <f t="shared" ca="1" si="8"/>
        <v>#NAME?</v>
      </c>
      <c r="E72" s="100" t="e">
        <f t="shared" ca="1" si="8"/>
        <v>#NAME?</v>
      </c>
      <c r="F72" s="100" t="e">
        <f t="shared" ca="1" si="9"/>
        <v>#NAME?</v>
      </c>
      <c r="G72" s="100" t="e">
        <f t="shared" ca="1" si="10"/>
        <v>#NAME?</v>
      </c>
      <c r="H72" s="100" t="e">
        <f t="shared" ca="1" si="11"/>
        <v>#NAME?</v>
      </c>
      <c r="I72" s="100" t="e">
        <f t="shared" ca="1" si="12"/>
        <v>#NAME?</v>
      </c>
      <c r="J72" s="100" t="e">
        <f ca="1">IFERROR(__xludf.DUMMYFUNCTION("""COMPUTED_VALUE"""),"-4.14")</f>
        <v>#NAME?</v>
      </c>
      <c r="K72" s="100" t="e">
        <f t="shared" ca="1" si="13"/>
        <v>#NAME?</v>
      </c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</row>
    <row r="73" spans="1:26">
      <c r="A73" s="100" t="e">
        <f ca="1">IFERROR(__xludf.DUMMYFUNCTION("""COMPUTED_VALUE"""),12747190)</f>
        <v>#NAME?</v>
      </c>
      <c r="B73" s="100" t="e">
        <f ca="1">IFERROR(__xludf.DUMMYFUNCTION("""COMPUTED_VALUE"""),"STGUSDT")</f>
        <v>#NAME?</v>
      </c>
      <c r="C73" s="100" t="e">
        <f ca="1">IFERROR(__xludf.DUMMYFUNCTION("""COMPUTED_VALUE"""),"0.1917")</f>
        <v>#NAME?</v>
      </c>
      <c r="D73" s="100" t="e">
        <f t="shared" ca="1" si="8"/>
        <v>#NAME?</v>
      </c>
      <c r="E73" s="100" t="e">
        <f t="shared" ca="1" si="8"/>
        <v>#NAME?</v>
      </c>
      <c r="F73" s="100" t="e">
        <f t="shared" ca="1" si="9"/>
        <v>#NAME?</v>
      </c>
      <c r="G73" s="100" t="e">
        <f t="shared" ca="1" si="10"/>
        <v>#NAME?</v>
      </c>
      <c r="H73" s="100" t="e">
        <f t="shared" ca="1" si="11"/>
        <v>#NAME?</v>
      </c>
      <c r="I73" s="100" t="e">
        <f t="shared" ca="1" si="12"/>
        <v>#NAME?</v>
      </c>
      <c r="J73" s="100" t="e">
        <f ca="1">IFERROR(__xludf.DUMMYFUNCTION("""COMPUTED_VALUE"""),"-1.44")</f>
        <v>#NAME?</v>
      </c>
      <c r="K73" s="100" t="e">
        <f t="shared" ca="1" si="13"/>
        <v>#NAME?</v>
      </c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</row>
    <row r="74" spans="1:26">
      <c r="A74" s="100" t="e">
        <f ca="1">IFERROR(__xludf.DUMMYFUNCTION("""COMPUTED_VALUE"""),12747191)</f>
        <v>#NAME?</v>
      </c>
      <c r="B74" s="100" t="e">
        <f ca="1">IFERROR(__xludf.DUMMYFUNCTION("""COMPUTED_VALUE"""),"FETUSDC")</f>
        <v>#NAME?</v>
      </c>
      <c r="C74" s="100" t="e">
        <f ca="1">IFERROR(__xludf.DUMMYFUNCTION("""COMPUTED_VALUE"""),"0.591")</f>
        <v>#NAME?</v>
      </c>
      <c r="D74" s="100" t="e">
        <f t="shared" ca="1" si="8"/>
        <v>#NAME?</v>
      </c>
      <c r="E74" s="100" t="e">
        <f t="shared" ca="1" si="8"/>
        <v>#NAME?</v>
      </c>
      <c r="F74" s="100" t="e">
        <f t="shared" ca="1" si="9"/>
        <v>#NAME?</v>
      </c>
      <c r="G74" s="100" t="e">
        <f t="shared" ca="1" si="10"/>
        <v>#NAME?</v>
      </c>
      <c r="H74" s="100" t="e">
        <f t="shared" ca="1" si="11"/>
        <v>#NAME?</v>
      </c>
      <c r="I74" s="100" t="e">
        <f t="shared" ca="1" si="12"/>
        <v>#NAME?</v>
      </c>
      <c r="J74" s="100" t="e">
        <f ca="1">IFERROR(__xludf.DUMMYFUNCTION("""COMPUTED_VALUE"""),"-5.4399999999999995")</f>
        <v>#NAME?</v>
      </c>
      <c r="K74" s="100" t="e">
        <f t="shared" ca="1" si="13"/>
        <v>#NAME?</v>
      </c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</row>
    <row r="75" spans="1:26">
      <c r="A75" s="100" t="e">
        <f ca="1">IFERROR(__xludf.DUMMYFUNCTION("""COMPUTED_VALUE"""),12747192)</f>
        <v>#NAME?</v>
      </c>
      <c r="B75" s="100" t="e">
        <f ca="1">IFERROR(__xludf.DUMMYFUNCTION("""COMPUTED_VALUE"""),"STRKUSDT")</f>
        <v>#NAME?</v>
      </c>
      <c r="C75" s="100" t="e">
        <f ca="1">IFERROR(__xludf.DUMMYFUNCTION("""COMPUTED_VALUE"""),"0.1352")</f>
        <v>#NAME?</v>
      </c>
      <c r="D75" s="100" t="e">
        <f t="shared" ca="1" si="8"/>
        <v>#NAME?</v>
      </c>
      <c r="E75" s="100" t="e">
        <f t="shared" ca="1" si="8"/>
        <v>#NAME?</v>
      </c>
      <c r="F75" s="100" t="e">
        <f t="shared" ca="1" si="9"/>
        <v>#NAME?</v>
      </c>
      <c r="G75" s="100" t="e">
        <f t="shared" ca="1" si="10"/>
        <v>#NAME?</v>
      </c>
      <c r="H75" s="100" t="e">
        <f t="shared" ca="1" si="11"/>
        <v>#NAME?</v>
      </c>
      <c r="I75" s="100" t="e">
        <f t="shared" ca="1" si="12"/>
        <v>#NAME?</v>
      </c>
      <c r="J75" s="100" t="e">
        <f ca="1">IFERROR(__xludf.DUMMYFUNCTION("""COMPUTED_VALUE"""),"-1.24")</f>
        <v>#NAME?</v>
      </c>
      <c r="K75" s="100" t="e">
        <f t="shared" ca="1" si="13"/>
        <v>#NAME?</v>
      </c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</row>
    <row r="76" spans="1:26">
      <c r="A76" s="100" t="e">
        <f ca="1">IFERROR(__xludf.DUMMYFUNCTION("""COMPUTED_VALUE"""),12747193)</f>
        <v>#NAME?</v>
      </c>
      <c r="B76" s="100" t="e">
        <f ca="1">IFERROR(__xludf.DUMMYFUNCTION("""COMPUTED_VALUE"""),"ROSEUSDT")</f>
        <v>#NAME?</v>
      </c>
      <c r="C76" s="100" t="e">
        <f ca="1">IFERROR(__xludf.DUMMYFUNCTION("""COMPUTED_VALUE"""),"0.02613")</f>
        <v>#NAME?</v>
      </c>
      <c r="D76" s="100" t="e">
        <f t="shared" ca="1" si="8"/>
        <v>#NAME?</v>
      </c>
      <c r="E76" s="100" t="e">
        <f t="shared" ca="1" si="8"/>
        <v>#NAME?</v>
      </c>
      <c r="F76" s="100" t="e">
        <f t="shared" ca="1" si="9"/>
        <v>#NAME?</v>
      </c>
      <c r="G76" s="100" t="e">
        <f t="shared" ca="1" si="10"/>
        <v>#NAME?</v>
      </c>
      <c r="H76" s="100" t="e">
        <f t="shared" ca="1" si="11"/>
        <v>#NAME?</v>
      </c>
      <c r="I76" s="100" t="e">
        <f t="shared" ca="1" si="12"/>
        <v>#NAME?</v>
      </c>
      <c r="J76" s="100" t="e">
        <f ca="1">IFERROR(__xludf.DUMMYFUNCTION("""COMPUTED_VALUE"""),"-3.65")</f>
        <v>#NAME?</v>
      </c>
      <c r="K76" s="100" t="e">
        <f t="shared" ca="1" si="13"/>
        <v>#NAME?</v>
      </c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</row>
    <row r="77" spans="1:26">
      <c r="A77" s="100" t="e">
        <f ca="1">IFERROR(__xludf.DUMMYFUNCTION("""COMPUTED_VALUE"""),12747194)</f>
        <v>#NAME?</v>
      </c>
      <c r="B77" s="100" t="e">
        <f ca="1">IFERROR(__xludf.DUMMYFUNCTION("""COMPUTED_VALUE"""),"KASTAUSDT")</f>
        <v>#NAME?</v>
      </c>
      <c r="C77" s="100" t="e">
        <f ca="1">IFERROR(__xludf.DUMMYFUNCTION("""COMPUTED_VALUE"""),"0.011764")</f>
        <v>#NAME?</v>
      </c>
      <c r="D77" s="100" t="e">
        <f t="shared" ca="1" si="8"/>
        <v>#NAME?</v>
      </c>
      <c r="E77" s="100" t="e">
        <f t="shared" ca="1" si="8"/>
        <v>#NAME?</v>
      </c>
      <c r="F77" s="100" t="e">
        <f t="shared" ca="1" si="9"/>
        <v>#NAME?</v>
      </c>
      <c r="G77" s="100" t="e">
        <f t="shared" ca="1" si="10"/>
        <v>#NAME?</v>
      </c>
      <c r="H77" s="100" t="e">
        <f t="shared" ca="1" si="11"/>
        <v>#NAME?</v>
      </c>
      <c r="I77" s="100" t="e">
        <f t="shared" ca="1" si="12"/>
        <v>#NAME?</v>
      </c>
      <c r="J77" s="100" t="e">
        <f ca="1">IFERROR(__xludf.DUMMYFUNCTION("""COMPUTED_VALUE"""),"-0.3")</f>
        <v>#NAME?</v>
      </c>
      <c r="K77" s="100" t="e">
        <f t="shared" ca="1" si="13"/>
        <v>#NAME?</v>
      </c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</row>
    <row r="78" spans="1:26">
      <c r="A78" s="100" t="e">
        <f ca="1">IFERROR(__xludf.DUMMYFUNCTION("""COMPUTED_VALUE"""),12747195)</f>
        <v>#NAME?</v>
      </c>
      <c r="B78" s="100" t="e">
        <f ca="1">IFERROR(__xludf.DUMMYFUNCTION("""COMPUTED_VALUE"""),"ETHUSDT")</f>
        <v>#NAME?</v>
      </c>
      <c r="C78" s="100" t="e">
        <f ca="1">IFERROR(__xludf.DUMMYFUNCTION("""COMPUTED_VALUE"""),"1625.1")</f>
        <v>#NAME?</v>
      </c>
      <c r="D78" s="100" t="e">
        <f t="shared" ca="1" si="8"/>
        <v>#NAME?</v>
      </c>
      <c r="E78" s="100" t="e">
        <f t="shared" ca="1" si="8"/>
        <v>#NAME?</v>
      </c>
      <c r="F78" s="100" t="e">
        <f t="shared" ca="1" si="9"/>
        <v>#NAME?</v>
      </c>
      <c r="G78" s="100" t="e">
        <f t="shared" ca="1" si="10"/>
        <v>#NAME?</v>
      </c>
      <c r="H78" s="100" t="e">
        <f t="shared" ca="1" si="11"/>
        <v>#NAME?</v>
      </c>
      <c r="I78" s="100" t="e">
        <f t="shared" ca="1" si="12"/>
        <v>#NAME?</v>
      </c>
      <c r="J78" s="100" t="e">
        <f ca="1">IFERROR(__xludf.DUMMYFUNCTION("""COMPUTED_VALUE"""),"-1.01")</f>
        <v>#NAME?</v>
      </c>
      <c r="K78" s="100" t="e">
        <f t="shared" ca="1" si="13"/>
        <v>#NAME?</v>
      </c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</row>
    <row r="79" spans="1:26">
      <c r="A79" s="100" t="e">
        <f ca="1">IFERROR(__xludf.DUMMYFUNCTION("""COMPUTED_VALUE"""),12747196)</f>
        <v>#NAME?</v>
      </c>
      <c r="B79" s="100" t="e">
        <f ca="1">IFERROR(__xludf.DUMMYFUNCTION("""COMPUTED_VALUE"""),"SLPUSDT")</f>
        <v>#NAME?</v>
      </c>
      <c r="C79" s="100" t="e">
        <f ca="1">IFERROR(__xludf.DUMMYFUNCTION("""COMPUTED_VALUE"""),"0.001625")</f>
        <v>#NAME?</v>
      </c>
      <c r="D79" s="100" t="e">
        <f t="shared" ca="1" si="8"/>
        <v>#NAME?</v>
      </c>
      <c r="E79" s="100" t="e">
        <f t="shared" ca="1" si="8"/>
        <v>#NAME?</v>
      </c>
      <c r="F79" s="100" t="e">
        <f t="shared" ca="1" si="9"/>
        <v>#NAME?</v>
      </c>
      <c r="G79" s="100" t="e">
        <f t="shared" ca="1" si="10"/>
        <v>#NAME?</v>
      </c>
      <c r="H79" s="100" t="e">
        <f t="shared" ca="1" si="11"/>
        <v>#NAME?</v>
      </c>
      <c r="I79" s="100" t="e">
        <f t="shared" ca="1" si="12"/>
        <v>#NAME?</v>
      </c>
      <c r="J79" s="100" t="e">
        <f ca="1">IFERROR(__xludf.DUMMYFUNCTION("""COMPUTED_VALUE"""),"3.04")</f>
        <v>#NAME?</v>
      </c>
      <c r="K79" s="100" t="e">
        <f t="shared" ca="1" si="13"/>
        <v>#NAME?</v>
      </c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</row>
    <row r="80" spans="1:26">
      <c r="A80" s="100" t="e">
        <f ca="1">IFERROR(__xludf.DUMMYFUNCTION("""COMPUTED_VALUE"""),12747197)</f>
        <v>#NAME?</v>
      </c>
      <c r="B80" s="100" t="e">
        <f ca="1">IFERROR(__xludf.DUMMYFUNCTION("""COMPUTED_VALUE"""),"TIAUSDT")</f>
        <v>#NAME?</v>
      </c>
      <c r="C80" s="100" t="e">
        <f ca="1">IFERROR(__xludf.DUMMYFUNCTION("""COMPUTED_VALUE"""),"2.527")</f>
        <v>#NAME?</v>
      </c>
      <c r="D80" s="100" t="e">
        <f t="shared" ca="1" si="8"/>
        <v>#NAME?</v>
      </c>
      <c r="E80" s="100" t="e">
        <f t="shared" ca="1" si="8"/>
        <v>#NAME?</v>
      </c>
      <c r="F80" s="100" t="e">
        <f t="shared" ca="1" si="9"/>
        <v>#NAME?</v>
      </c>
      <c r="G80" s="100" t="e">
        <f t="shared" ca="1" si="10"/>
        <v>#NAME?</v>
      </c>
      <c r="H80" s="100" t="e">
        <f t="shared" ca="1" si="11"/>
        <v>#NAME?</v>
      </c>
      <c r="I80" s="100" t="e">
        <f t="shared" ca="1" si="12"/>
        <v>#NAME?</v>
      </c>
      <c r="J80" s="100" t="e">
        <f ca="1">IFERROR(__xludf.DUMMYFUNCTION("""COMPUTED_VALUE"""),"-2.9899999999999998")</f>
        <v>#NAME?</v>
      </c>
      <c r="K80" s="100" t="e">
        <f t="shared" ca="1" si="13"/>
        <v>#NAME?</v>
      </c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</row>
    <row r="81" spans="1:26">
      <c r="A81" s="100" t="e">
        <f ca="1">IFERROR(__xludf.DUMMYFUNCTION("""COMPUTED_VALUE"""),12747198)</f>
        <v>#NAME?</v>
      </c>
      <c r="B81" s="100" t="e">
        <f ca="1">IFERROR(__xludf.DUMMYFUNCTION("""COMPUTED_VALUE"""),"PNUTUSDT")</f>
        <v>#NAME?</v>
      </c>
      <c r="C81" s="100" t="e">
        <f ca="1">IFERROR(__xludf.DUMMYFUNCTION("""COMPUTED_VALUE"""),"0.1308")</f>
        <v>#NAME?</v>
      </c>
      <c r="D81" s="100" t="e">
        <f t="shared" ca="1" si="8"/>
        <v>#NAME?</v>
      </c>
      <c r="E81" s="100" t="e">
        <f t="shared" ca="1" si="8"/>
        <v>#NAME?</v>
      </c>
      <c r="F81" s="100" t="e">
        <f t="shared" ca="1" si="9"/>
        <v>#NAME?</v>
      </c>
      <c r="G81" s="100" t="e">
        <f t="shared" ca="1" si="10"/>
        <v>#NAME?</v>
      </c>
      <c r="H81" s="100" t="e">
        <f t="shared" ca="1" si="11"/>
        <v>#NAME?</v>
      </c>
      <c r="I81" s="100" t="e">
        <f t="shared" ca="1" si="12"/>
        <v>#NAME?</v>
      </c>
      <c r="J81" s="100" t="e">
        <f ca="1">IFERROR(__xludf.DUMMYFUNCTION("""COMPUTED_VALUE"""),"-3.82")</f>
        <v>#NAME?</v>
      </c>
      <c r="K81" s="100" t="e">
        <f t="shared" ca="1" si="13"/>
        <v>#NAME?</v>
      </c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</row>
    <row r="82" spans="1:26">
      <c r="A82" s="100" t="e">
        <f ca="1">IFERROR(__xludf.DUMMYFUNCTION("""COMPUTED_VALUE"""),12747199)</f>
        <v>#NAME?</v>
      </c>
      <c r="B82" s="100" t="e">
        <f ca="1">IFERROR(__xludf.DUMMYFUNCTION("""COMPUTED_VALUE"""),"SALDUSDT")</f>
        <v>#NAME?</v>
      </c>
      <c r="C82" s="100" t="e">
        <f ca="1">IFERROR(__xludf.DUMMYFUNCTION("""COMPUTED_VALUE"""),"0.0002054")</f>
        <v>#NAME?</v>
      </c>
      <c r="D82" s="100" t="e">
        <f t="shared" ref="D82:E101" ca="1" si="14">IFERROR(__xludf.DUMMYFUNCTION("""COMPUTED_VALUE"""),"-")</f>
        <v>#NAME?</v>
      </c>
      <c r="E82" s="100" t="e">
        <f t="shared" ca="1" si="14"/>
        <v>#NAME?</v>
      </c>
      <c r="F82" s="100" t="e">
        <f t="shared" ca="1" si="9"/>
        <v>#NAME?</v>
      </c>
      <c r="G82" s="100" t="e">
        <f t="shared" ca="1" si="10"/>
        <v>#NAME?</v>
      </c>
      <c r="H82" s="100" t="e">
        <f t="shared" ca="1" si="11"/>
        <v>#NAME?</v>
      </c>
      <c r="I82" s="100" t="e">
        <f t="shared" ca="1" si="12"/>
        <v>#NAME?</v>
      </c>
      <c r="J82" s="100" t="e">
        <f ca="1">IFERROR(__xludf.DUMMYFUNCTION("""COMPUTED_VALUE"""),"-3.39")</f>
        <v>#NAME?</v>
      </c>
      <c r="K82" s="100" t="e">
        <f t="shared" ca="1" si="13"/>
        <v>#NAME?</v>
      </c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</row>
    <row r="83" spans="1:26">
      <c r="A83" s="100" t="e">
        <f ca="1">IFERROR(__xludf.DUMMYFUNCTION("""COMPUTED_VALUE"""),12747200)</f>
        <v>#NAME?</v>
      </c>
      <c r="B83" s="100" t="e">
        <f ca="1">IFERROR(__xludf.DUMMYFUNCTION("""COMPUTED_VALUE"""),"XRPUSDT")</f>
        <v>#NAME?</v>
      </c>
      <c r="C83" s="100" t="e">
        <f ca="1">IFERROR(__xludf.DUMMYFUNCTION("""COMPUTED_VALUE"""),"2.1048")</f>
        <v>#NAME?</v>
      </c>
      <c r="D83" s="100" t="e">
        <f t="shared" ca="1" si="14"/>
        <v>#NAME?</v>
      </c>
      <c r="E83" s="100" t="e">
        <f t="shared" ca="1" si="14"/>
        <v>#NAME?</v>
      </c>
      <c r="F83" s="100" t="e">
        <f t="shared" ca="1" si="9"/>
        <v>#NAME?</v>
      </c>
      <c r="G83" s="100" t="e">
        <f t="shared" ca="1" si="10"/>
        <v>#NAME?</v>
      </c>
      <c r="H83" s="100" t="e">
        <f t="shared" ca="1" si="11"/>
        <v>#NAME?</v>
      </c>
      <c r="I83" s="100" t="e">
        <f t="shared" ca="1" si="12"/>
        <v>#NAME?</v>
      </c>
      <c r="J83" s="100" t="e">
        <f ca="1">IFERROR(__xludf.DUMMYFUNCTION("""COMPUTED_VALUE"""),"-1.01")</f>
        <v>#NAME?</v>
      </c>
      <c r="K83" s="100" t="e">
        <f t="shared" ca="1" si="13"/>
        <v>#NAME?</v>
      </c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>
      <c r="A84" s="100" t="e">
        <f ca="1">IFERROR(__xludf.DUMMYFUNCTION("""COMPUTED_VALUE"""),12747201)</f>
        <v>#NAME?</v>
      </c>
      <c r="B84" s="100" t="e">
        <f ca="1">IFERROR(__xludf.DUMMYFUNCTION("""COMPUTED_VALUE"""),"SERAPHUSDT")</f>
        <v>#NAME?</v>
      </c>
      <c r="C84" s="100" t="e">
        <f ca="1">IFERROR(__xludf.DUMMYFUNCTION("""COMPUTED_VALUE"""),"0.16667")</f>
        <v>#NAME?</v>
      </c>
      <c r="D84" s="100" t="e">
        <f t="shared" ca="1" si="14"/>
        <v>#NAME?</v>
      </c>
      <c r="E84" s="100" t="e">
        <f t="shared" ca="1" si="14"/>
        <v>#NAME?</v>
      </c>
      <c r="F84" s="100" t="e">
        <f t="shared" ca="1" si="9"/>
        <v>#NAME?</v>
      </c>
      <c r="G84" s="100" t="e">
        <f t="shared" ca="1" si="10"/>
        <v>#NAME?</v>
      </c>
      <c r="H84" s="100" t="e">
        <f t="shared" ca="1" si="11"/>
        <v>#NAME?</v>
      </c>
      <c r="I84" s="100" t="e">
        <f t="shared" ca="1" si="12"/>
        <v>#NAME?</v>
      </c>
      <c r="J84" s="100" t="e">
        <f ca="1">IFERROR(__xludf.DUMMYFUNCTION("""COMPUTED_VALUE"""),"-0.47000000000000003")</f>
        <v>#NAME?</v>
      </c>
      <c r="K84" s="100" t="e">
        <f t="shared" ca="1" si="13"/>
        <v>#NAME?</v>
      </c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>
      <c r="A85" s="100" t="e">
        <f ca="1">IFERROR(__xludf.DUMMYFUNCTION("""COMPUTED_VALUE"""),12747202)</f>
        <v>#NAME?</v>
      </c>
      <c r="B85" s="100" t="e">
        <f ca="1">IFERROR(__xludf.DUMMYFUNCTION("""COMPUTED_VALUE"""),"ULTIUSDT")</f>
        <v>#NAME?</v>
      </c>
      <c r="C85" s="100" t="e">
        <f ca="1">IFERROR(__xludf.DUMMYFUNCTION("""COMPUTED_VALUE"""),"0.003206")</f>
        <v>#NAME?</v>
      </c>
      <c r="D85" s="100" t="e">
        <f t="shared" ca="1" si="14"/>
        <v>#NAME?</v>
      </c>
      <c r="E85" s="100" t="e">
        <f t="shared" ca="1" si="14"/>
        <v>#NAME?</v>
      </c>
      <c r="F85" s="100" t="e">
        <f t="shared" ca="1" si="9"/>
        <v>#NAME?</v>
      </c>
      <c r="G85" s="100" t="e">
        <f t="shared" ca="1" si="10"/>
        <v>#NAME?</v>
      </c>
      <c r="H85" s="100" t="e">
        <f t="shared" ca="1" si="11"/>
        <v>#NAME?</v>
      </c>
      <c r="I85" s="100" t="e">
        <f t="shared" ca="1" si="12"/>
        <v>#NAME?</v>
      </c>
      <c r="J85" s="100" t="e">
        <f ca="1">IFERROR(__xludf.DUMMYFUNCTION("""COMPUTED_VALUE"""),"-0.53")</f>
        <v>#NAME?</v>
      </c>
      <c r="K85" s="100" t="e">
        <f t="shared" ca="1" si="13"/>
        <v>#NAME?</v>
      </c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</row>
    <row r="86" spans="1:26">
      <c r="A86" s="100" t="e">
        <f ca="1">IFERROR(__xludf.DUMMYFUNCTION("""COMPUTED_VALUE"""),12747203)</f>
        <v>#NAME?</v>
      </c>
      <c r="B86" s="100" t="e">
        <f ca="1">IFERROR(__xludf.DUMMYFUNCTION("""COMPUTED_VALUE"""),"PEOPLEUSDT")</f>
        <v>#NAME?</v>
      </c>
      <c r="C86" s="100" t="e">
        <f ca="1">IFERROR(__xludf.DUMMYFUNCTION("""COMPUTED_VALUE"""),"0.01212")</f>
        <v>#NAME?</v>
      </c>
      <c r="D86" s="100" t="e">
        <f t="shared" ca="1" si="14"/>
        <v>#NAME?</v>
      </c>
      <c r="E86" s="100" t="e">
        <f t="shared" ca="1" si="14"/>
        <v>#NAME?</v>
      </c>
      <c r="F86" s="100" t="e">
        <f t="shared" ca="1" si="9"/>
        <v>#NAME?</v>
      </c>
      <c r="G86" s="100" t="e">
        <f t="shared" ca="1" si="10"/>
        <v>#NAME?</v>
      </c>
      <c r="H86" s="100" t="e">
        <f t="shared" ca="1" si="11"/>
        <v>#NAME?</v>
      </c>
      <c r="I86" s="100" t="e">
        <f t="shared" ca="1" si="12"/>
        <v>#NAME?</v>
      </c>
      <c r="J86" s="100" t="e">
        <f ca="1">IFERROR(__xludf.DUMMYFUNCTION("""COMPUTED_VALUE"""),"-3.73")</f>
        <v>#NAME?</v>
      </c>
      <c r="K86" s="100" t="e">
        <f t="shared" ca="1" si="13"/>
        <v>#NAME?</v>
      </c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</row>
    <row r="87" spans="1:26">
      <c r="A87" s="100" t="e">
        <f ca="1">IFERROR(__xludf.DUMMYFUNCTION("""COMPUTED_VALUE"""),12747204)</f>
        <v>#NAME?</v>
      </c>
      <c r="B87" s="100" t="e">
        <f ca="1">IFERROR(__xludf.DUMMYFUNCTION("""COMPUTED_VALUE"""),"ROOTUSDT")</f>
        <v>#NAME?</v>
      </c>
      <c r="C87" s="100" t="e">
        <f ca="1">IFERROR(__xludf.DUMMYFUNCTION("""COMPUTED_VALUE"""),"0.005935")</f>
        <v>#NAME?</v>
      </c>
      <c r="D87" s="100" t="e">
        <f t="shared" ca="1" si="14"/>
        <v>#NAME?</v>
      </c>
      <c r="E87" s="100" t="e">
        <f t="shared" ca="1" si="14"/>
        <v>#NAME?</v>
      </c>
      <c r="F87" s="100" t="e">
        <f t="shared" ca="1" si="9"/>
        <v>#NAME?</v>
      </c>
      <c r="G87" s="100" t="e">
        <f t="shared" ca="1" si="10"/>
        <v>#NAME?</v>
      </c>
      <c r="H87" s="100" t="e">
        <f t="shared" ca="1" si="11"/>
        <v>#NAME?</v>
      </c>
      <c r="I87" s="100" t="e">
        <f t="shared" ca="1" si="12"/>
        <v>#NAME?</v>
      </c>
      <c r="J87" s="100" t="e">
        <f ca="1">IFERROR(__xludf.DUMMYFUNCTION("""COMPUTED_VALUE"""),"1.1900000000000002")</f>
        <v>#NAME?</v>
      </c>
      <c r="K87" s="100" t="e">
        <f t="shared" ca="1" si="13"/>
        <v>#NAME?</v>
      </c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</row>
    <row r="88" spans="1:26">
      <c r="A88" s="100" t="e">
        <f ca="1">IFERROR(__xludf.DUMMYFUNCTION("""COMPUTED_VALUE"""),12747205)</f>
        <v>#NAME?</v>
      </c>
      <c r="B88" s="100" t="e">
        <f ca="1">IFERROR(__xludf.DUMMYFUNCTION("""COMPUTED_VALUE"""),"CORNUSDT")</f>
        <v>#NAME?</v>
      </c>
      <c r="C88" s="100" t="e">
        <f ca="1">IFERROR(__xludf.DUMMYFUNCTION("""COMPUTED_VALUE"""),"0.05047")</f>
        <v>#NAME?</v>
      </c>
      <c r="D88" s="100" t="e">
        <f t="shared" ca="1" si="14"/>
        <v>#NAME?</v>
      </c>
      <c r="E88" s="100" t="e">
        <f t="shared" ca="1" si="14"/>
        <v>#NAME?</v>
      </c>
      <c r="F88" s="100" t="e">
        <f t="shared" ca="1" si="9"/>
        <v>#NAME?</v>
      </c>
      <c r="G88" s="100" t="e">
        <f t="shared" ca="1" si="10"/>
        <v>#NAME?</v>
      </c>
      <c r="H88" s="100" t="e">
        <f t="shared" ca="1" si="11"/>
        <v>#NAME?</v>
      </c>
      <c r="I88" s="100" t="e">
        <f t="shared" ca="1" si="12"/>
        <v>#NAME?</v>
      </c>
      <c r="J88" s="100" t="e">
        <f ca="1">IFERROR(__xludf.DUMMYFUNCTION("""COMPUTED_VALUE"""),"-0.65")</f>
        <v>#NAME?</v>
      </c>
      <c r="K88" s="100" t="e">
        <f t="shared" ca="1" si="13"/>
        <v>#NAME?</v>
      </c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</row>
    <row r="89" spans="1:26">
      <c r="A89" s="100" t="e">
        <f ca="1">IFERROR(__xludf.DUMMYFUNCTION("""COMPUTED_VALUE"""),12747206)</f>
        <v>#NAME?</v>
      </c>
      <c r="B89" s="100" t="e">
        <f ca="1">IFERROR(__xludf.DUMMYFUNCTION("""COMPUTED_VALUE"""),"SUSHIUSDT")</f>
        <v>#NAME?</v>
      </c>
      <c r="C89" s="100" t="e">
        <f ca="1">IFERROR(__xludf.DUMMYFUNCTION("""COMPUTED_VALUE"""),"0.6")</f>
        <v>#NAME?</v>
      </c>
      <c r="D89" s="100" t="e">
        <f t="shared" ca="1" si="14"/>
        <v>#NAME?</v>
      </c>
      <c r="E89" s="100" t="e">
        <f t="shared" ca="1" si="14"/>
        <v>#NAME?</v>
      </c>
      <c r="F89" s="100" t="e">
        <f t="shared" ca="1" si="9"/>
        <v>#NAME?</v>
      </c>
      <c r="G89" s="100" t="e">
        <f t="shared" ca="1" si="10"/>
        <v>#NAME?</v>
      </c>
      <c r="H89" s="100" t="e">
        <f t="shared" ca="1" si="11"/>
        <v>#NAME?</v>
      </c>
      <c r="I89" s="100" t="e">
        <f t="shared" ca="1" si="12"/>
        <v>#NAME?</v>
      </c>
      <c r="J89" s="100" t="e">
        <f ca="1">IFERROR(__xludf.DUMMYFUNCTION("""COMPUTED_VALUE"""),"-0.66")</f>
        <v>#NAME?</v>
      </c>
      <c r="K89" s="100" t="e">
        <f t="shared" ca="1" si="13"/>
        <v>#NAME?</v>
      </c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</row>
    <row r="90" spans="1:26">
      <c r="A90" s="100" t="e">
        <f ca="1">IFERROR(__xludf.DUMMYFUNCTION("""COMPUTED_VALUE"""),12747207)</f>
        <v>#NAME?</v>
      </c>
      <c r="B90" s="100" t="e">
        <f ca="1">IFERROR(__xludf.DUMMYFUNCTION("""COMPUTED_VALUE"""),"WEMIXUSDT")</f>
        <v>#NAME?</v>
      </c>
      <c r="C90" s="100" t="e">
        <f ca="1">IFERROR(__xludf.DUMMYFUNCTION("""COMPUTED_VALUE"""),"0.7117")</f>
        <v>#NAME?</v>
      </c>
      <c r="D90" s="100" t="e">
        <f t="shared" ca="1" si="14"/>
        <v>#NAME?</v>
      </c>
      <c r="E90" s="100" t="e">
        <f t="shared" ca="1" si="14"/>
        <v>#NAME?</v>
      </c>
      <c r="F90" s="100" t="e">
        <f t="shared" ca="1" si="9"/>
        <v>#NAME?</v>
      </c>
      <c r="G90" s="100" t="e">
        <f t="shared" ca="1" si="10"/>
        <v>#NAME?</v>
      </c>
      <c r="H90" s="100" t="e">
        <f t="shared" ca="1" si="11"/>
        <v>#NAME?</v>
      </c>
      <c r="I90" s="100" t="e">
        <f t="shared" ca="1" si="12"/>
        <v>#NAME?</v>
      </c>
      <c r="J90" s="100" t="e">
        <f ca="1">IFERROR(__xludf.DUMMYFUNCTION("""COMPUTED_VALUE"""),"-1.43")</f>
        <v>#NAME?</v>
      </c>
      <c r="K90" s="100" t="e">
        <f t="shared" ca="1" si="13"/>
        <v>#NAME?</v>
      </c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</row>
    <row r="91" spans="1:26">
      <c r="A91" s="100" t="e">
        <f ca="1">IFERROR(__xludf.DUMMYFUNCTION("""COMPUTED_VALUE"""),12747208)</f>
        <v>#NAME?</v>
      </c>
      <c r="B91" s="100" t="e">
        <f ca="1">IFERROR(__xludf.DUMMYFUNCTION("""COMPUTED_VALUE"""),"MNTBTC")</f>
        <v>#NAME?</v>
      </c>
      <c r="C91" s="100" t="e">
        <f ca="1">IFERROR(__xludf.DUMMYFUNCTION("""COMPUTED_VALUE"""),"0.00000749")</f>
        <v>#NAME?</v>
      </c>
      <c r="D91" s="100" t="e">
        <f t="shared" ca="1" si="14"/>
        <v>#NAME?</v>
      </c>
      <c r="E91" s="100" t="e">
        <f t="shared" ca="1" si="14"/>
        <v>#NAME?</v>
      </c>
      <c r="F91" s="100" t="e">
        <f t="shared" ca="1" si="9"/>
        <v>#NAME?</v>
      </c>
      <c r="G91" s="100" t="e">
        <f t="shared" ca="1" si="10"/>
        <v>#NAME?</v>
      </c>
      <c r="H91" s="100" t="e">
        <f t="shared" ca="1" si="11"/>
        <v>#NAME?</v>
      </c>
      <c r="I91" s="100" t="e">
        <f t="shared" ca="1" si="12"/>
        <v>#NAME?</v>
      </c>
      <c r="J91" s="100" t="e">
        <f ca="1">IFERROR(__xludf.DUMMYFUNCTION("""COMPUTED_VALUE"""),"-2.35")</f>
        <v>#NAME?</v>
      </c>
      <c r="K91" s="100" t="e">
        <f t="shared" ca="1" si="13"/>
        <v>#NAME?</v>
      </c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</row>
    <row r="92" spans="1:26">
      <c r="A92" s="100" t="e">
        <f ca="1">IFERROR(__xludf.DUMMYFUNCTION("""COMPUTED_VALUE"""),12747209)</f>
        <v>#NAME?</v>
      </c>
      <c r="B92" s="100" t="e">
        <f ca="1">IFERROR(__xludf.DUMMYFUNCTION("""COMPUTED_VALUE"""),"POLUSDT")</f>
        <v>#NAME?</v>
      </c>
      <c r="C92" s="100" t="e">
        <f ca="1">IFERROR(__xludf.DUMMYFUNCTION("""COMPUTED_VALUE"""),"0.2166")</f>
        <v>#NAME?</v>
      </c>
      <c r="D92" s="100" t="e">
        <f t="shared" ca="1" si="14"/>
        <v>#NAME?</v>
      </c>
      <c r="E92" s="100" t="e">
        <f t="shared" ca="1" si="14"/>
        <v>#NAME?</v>
      </c>
      <c r="F92" s="100" t="e">
        <f t="shared" ca="1" si="9"/>
        <v>#NAME?</v>
      </c>
      <c r="G92" s="100" t="e">
        <f t="shared" ca="1" si="10"/>
        <v>#NAME?</v>
      </c>
      <c r="H92" s="100" t="e">
        <f t="shared" ca="1" si="11"/>
        <v>#NAME?</v>
      </c>
      <c r="I92" s="100" t="e">
        <f t="shared" ca="1" si="12"/>
        <v>#NAME?</v>
      </c>
      <c r="J92" s="100" t="e">
        <f ca="1">IFERROR(__xludf.DUMMYFUNCTION("""COMPUTED_VALUE"""),"10.12")</f>
        <v>#NAME?</v>
      </c>
      <c r="K92" s="100" t="e">
        <f t="shared" ca="1" si="13"/>
        <v>#NAME?</v>
      </c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</row>
    <row r="93" spans="1:26">
      <c r="A93" s="100" t="e">
        <f ca="1">IFERROR(__xludf.DUMMYFUNCTION("""COMPUTED_VALUE"""),12747210)</f>
        <v>#NAME?</v>
      </c>
      <c r="B93" s="100" t="e">
        <f ca="1">IFERROR(__xludf.DUMMYFUNCTION("""COMPUTED_VALUE"""),"ETHBTC")</f>
        <v>#NAME?</v>
      </c>
      <c r="C93" s="100" t="e">
        <f ca="1">IFERROR(__xludf.DUMMYFUNCTION("""COMPUTED_VALUE"""),"0.018345")</f>
        <v>#NAME?</v>
      </c>
      <c r="D93" s="100" t="e">
        <f t="shared" ca="1" si="14"/>
        <v>#NAME?</v>
      </c>
      <c r="E93" s="100" t="e">
        <f t="shared" ca="1" si="14"/>
        <v>#NAME?</v>
      </c>
      <c r="F93" s="100" t="e">
        <f t="shared" ca="1" si="9"/>
        <v>#NAME?</v>
      </c>
      <c r="G93" s="100" t="e">
        <f t="shared" ca="1" si="10"/>
        <v>#NAME?</v>
      </c>
      <c r="H93" s="100" t="e">
        <f t="shared" ca="1" si="11"/>
        <v>#NAME?</v>
      </c>
      <c r="I93" s="100" t="e">
        <f t="shared" ca="1" si="12"/>
        <v>#NAME?</v>
      </c>
      <c r="J93" s="100" t="e">
        <f ca="1">IFERROR(__xludf.DUMMYFUNCTION("""COMPUTED_VALUE"""),"-2.25")</f>
        <v>#NAME?</v>
      </c>
      <c r="K93" s="100" t="e">
        <f t="shared" ca="1" si="13"/>
        <v>#NAME?</v>
      </c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</row>
    <row r="94" spans="1:26">
      <c r="A94" s="100" t="e">
        <f ca="1">IFERROR(__xludf.DUMMYFUNCTION("""COMPUTED_VALUE"""),12747211)</f>
        <v>#NAME?</v>
      </c>
      <c r="B94" s="100" t="e">
        <f ca="1">IFERROR(__xludf.DUMMYFUNCTION("""COMPUTED_VALUE"""),"TRXUSDT")</f>
        <v>#NAME?</v>
      </c>
      <c r="C94" s="100" t="e">
        <f ca="1">IFERROR(__xludf.DUMMYFUNCTION("""COMPUTED_VALUE"""),"0.2482")</f>
        <v>#NAME?</v>
      </c>
      <c r="D94" s="100" t="e">
        <f t="shared" ca="1" si="14"/>
        <v>#NAME?</v>
      </c>
      <c r="E94" s="100" t="e">
        <f t="shared" ca="1" si="14"/>
        <v>#NAME?</v>
      </c>
      <c r="F94" s="100" t="e">
        <f t="shared" ca="1" si="9"/>
        <v>#NAME?</v>
      </c>
      <c r="G94" s="100" t="e">
        <f t="shared" ca="1" si="10"/>
        <v>#NAME?</v>
      </c>
      <c r="H94" s="100" t="e">
        <f t="shared" ca="1" si="11"/>
        <v>#NAME?</v>
      </c>
      <c r="I94" s="100" t="e">
        <f t="shared" ca="1" si="12"/>
        <v>#NAME?</v>
      </c>
      <c r="J94" s="100" t="e">
        <f ca="1">IFERROR(__xludf.DUMMYFUNCTION("""COMPUTED_VALUE"""),"1.97")</f>
        <v>#NAME?</v>
      </c>
      <c r="K94" s="100" t="e">
        <f t="shared" ca="1" si="13"/>
        <v>#NAME?</v>
      </c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</row>
    <row r="95" spans="1:26">
      <c r="A95" s="100" t="e">
        <f ca="1">IFERROR(__xludf.DUMMYFUNCTION("""COMPUTED_VALUE"""),12747212)</f>
        <v>#NAME?</v>
      </c>
      <c r="B95" s="100" t="e">
        <f ca="1">IFERROR(__xludf.DUMMYFUNCTION("""COMPUTED_VALUE"""),"BRUSDT")</f>
        <v>#NAME?</v>
      </c>
      <c r="C95" s="100" t="e">
        <f ca="1">IFERROR(__xludf.DUMMYFUNCTION("""COMPUTED_VALUE"""),"0.04492")</f>
        <v>#NAME?</v>
      </c>
      <c r="D95" s="100" t="e">
        <f t="shared" ca="1" si="14"/>
        <v>#NAME?</v>
      </c>
      <c r="E95" s="100" t="e">
        <f t="shared" ca="1" si="14"/>
        <v>#NAME?</v>
      </c>
      <c r="F95" s="100" t="e">
        <f t="shared" ca="1" si="9"/>
        <v>#NAME?</v>
      </c>
      <c r="G95" s="100" t="e">
        <f t="shared" ca="1" si="10"/>
        <v>#NAME?</v>
      </c>
      <c r="H95" s="100" t="e">
        <f t="shared" ca="1" si="11"/>
        <v>#NAME?</v>
      </c>
      <c r="I95" s="100" t="e">
        <f t="shared" ca="1" si="12"/>
        <v>#NAME?</v>
      </c>
      <c r="J95" s="100" t="e">
        <f ca="1">IFERROR(__xludf.DUMMYFUNCTION("""COMPUTED_VALUE"""),"2.6")</f>
        <v>#NAME?</v>
      </c>
      <c r="K95" s="100" t="e">
        <f t="shared" ca="1" si="13"/>
        <v>#NAME?</v>
      </c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</row>
    <row r="96" spans="1:26">
      <c r="A96" s="100" t="e">
        <f ca="1">IFERROR(__xludf.DUMMYFUNCTION("""COMPUTED_VALUE"""),12747213)</f>
        <v>#NAME?</v>
      </c>
      <c r="B96" s="100" t="e">
        <f ca="1">IFERROR(__xludf.DUMMYFUNCTION("""COMPUTED_VALUE"""),"DOTUSDT")</f>
        <v>#NAME?</v>
      </c>
      <c r="C96" s="100" t="e">
        <f ca="1">IFERROR(__xludf.DUMMYFUNCTION("""COMPUTED_VALUE"""),"3.741")</f>
        <v>#NAME?</v>
      </c>
      <c r="D96" s="100" t="e">
        <f t="shared" ca="1" si="14"/>
        <v>#NAME?</v>
      </c>
      <c r="E96" s="100" t="e">
        <f t="shared" ca="1" si="14"/>
        <v>#NAME?</v>
      </c>
      <c r="F96" s="100" t="e">
        <f t="shared" ca="1" si="9"/>
        <v>#NAME?</v>
      </c>
      <c r="G96" s="100" t="e">
        <f t="shared" ca="1" si="10"/>
        <v>#NAME?</v>
      </c>
      <c r="H96" s="100" t="e">
        <f t="shared" ca="1" si="11"/>
        <v>#NAME?</v>
      </c>
      <c r="I96" s="100" t="e">
        <f t="shared" ca="1" si="12"/>
        <v>#NAME?</v>
      </c>
      <c r="J96" s="100" t="e">
        <f ca="1">IFERROR(__xludf.DUMMYFUNCTION("""COMPUTED_VALUE"""),"-4.64")</f>
        <v>#NAME?</v>
      </c>
      <c r="K96" s="100" t="e">
        <f t="shared" ca="1" si="13"/>
        <v>#NAME?</v>
      </c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</row>
    <row r="97" spans="1:26">
      <c r="A97" s="100" t="e">
        <f ca="1">IFERROR(__xludf.DUMMYFUNCTION("""COMPUTED_VALUE"""),12747214)</f>
        <v>#NAME?</v>
      </c>
      <c r="B97" s="100" t="e">
        <f ca="1">IFERROR(__xludf.DUMMYFUNCTION("""COMPUTED_VALUE"""),"AFCUSDT")</f>
        <v>#NAME?</v>
      </c>
      <c r="C97" s="100" t="e">
        <f ca="1">IFERROR(__xludf.DUMMYFUNCTION("""COMPUTED_VALUE"""),"0.5051")</f>
        <v>#NAME?</v>
      </c>
      <c r="D97" s="100" t="e">
        <f t="shared" ca="1" si="14"/>
        <v>#NAME?</v>
      </c>
      <c r="E97" s="100" t="e">
        <f t="shared" ca="1" si="14"/>
        <v>#NAME?</v>
      </c>
      <c r="F97" s="100" t="e">
        <f t="shared" ca="1" si="9"/>
        <v>#NAME?</v>
      </c>
      <c r="G97" s="100" t="e">
        <f t="shared" ca="1" si="10"/>
        <v>#NAME?</v>
      </c>
      <c r="H97" s="100" t="e">
        <f t="shared" ca="1" si="11"/>
        <v>#NAME?</v>
      </c>
      <c r="I97" s="100" t="e">
        <f t="shared" ca="1" si="12"/>
        <v>#NAME?</v>
      </c>
      <c r="J97" s="100" t="e">
        <f ca="1">IFERROR(__xludf.DUMMYFUNCTION("""COMPUTED_VALUE"""),"3.65")</f>
        <v>#NAME?</v>
      </c>
      <c r="K97" s="100" t="e">
        <f t="shared" ca="1" si="13"/>
        <v>#NAME?</v>
      </c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</row>
    <row r="98" spans="1:26">
      <c r="A98" s="100" t="e">
        <f ca="1">IFERROR(__xludf.DUMMYFUNCTION("""COMPUTED_VALUE"""),12747215)</f>
        <v>#NAME?</v>
      </c>
      <c r="B98" s="100" t="e">
        <f ca="1">IFERROR(__xludf.DUMMYFUNCTION("""COMPUTED_VALUE"""),"ENAUSDT")</f>
        <v>#NAME?</v>
      </c>
      <c r="C98" s="100" t="e">
        <f ca="1">IFERROR(__xludf.DUMMYFUNCTION("""COMPUTED_VALUE"""),"0.2932")</f>
        <v>#NAME?</v>
      </c>
      <c r="D98" s="100" t="e">
        <f t="shared" ca="1" si="14"/>
        <v>#NAME?</v>
      </c>
      <c r="E98" s="100" t="e">
        <f t="shared" ca="1" si="14"/>
        <v>#NAME?</v>
      </c>
      <c r="F98" s="100" t="e">
        <f t="shared" ca="1" si="9"/>
        <v>#NAME?</v>
      </c>
      <c r="G98" s="100" t="e">
        <f t="shared" ca="1" si="10"/>
        <v>#NAME?</v>
      </c>
      <c r="H98" s="100" t="e">
        <f t="shared" ca="1" si="11"/>
        <v>#NAME?</v>
      </c>
      <c r="I98" s="100" t="e">
        <f t="shared" ca="1" si="12"/>
        <v>#NAME?</v>
      </c>
      <c r="J98" s="100" t="e">
        <f ca="1">IFERROR(__xludf.DUMMYFUNCTION("""COMPUTED_VALUE"""),"-1.94")</f>
        <v>#NAME?</v>
      </c>
      <c r="K98" s="100" t="e">
        <f t="shared" ca="1" si="13"/>
        <v>#NAME?</v>
      </c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</row>
    <row r="99" spans="1:26">
      <c r="A99" s="100" t="e">
        <f ca="1">IFERROR(__xludf.DUMMYFUNCTION("""COMPUTED_VALUE"""),12747216)</f>
        <v>#NAME?</v>
      </c>
      <c r="B99" s="100" t="e">
        <f ca="1">IFERROR(__xludf.DUMMYFUNCTION("""COMPUTED_VALUE"""),"ALTUSDT")</f>
        <v>#NAME?</v>
      </c>
      <c r="C99" s="100" t="e">
        <f ca="1">IFERROR(__xludf.DUMMYFUNCTION("""COMPUTED_VALUE"""),"0.02862")</f>
        <v>#NAME?</v>
      </c>
      <c r="D99" s="100" t="e">
        <f t="shared" ca="1" si="14"/>
        <v>#NAME?</v>
      </c>
      <c r="E99" s="100" t="e">
        <f t="shared" ca="1" si="14"/>
        <v>#NAME?</v>
      </c>
      <c r="F99" s="100" t="e">
        <f t="shared" ca="1" si="9"/>
        <v>#NAME?</v>
      </c>
      <c r="G99" s="100" t="e">
        <f t="shared" ca="1" si="10"/>
        <v>#NAME?</v>
      </c>
      <c r="H99" s="100" t="e">
        <f t="shared" ca="1" si="11"/>
        <v>#NAME?</v>
      </c>
      <c r="I99" s="100" t="e">
        <f t="shared" ca="1" si="12"/>
        <v>#NAME?</v>
      </c>
      <c r="J99" s="100" t="e">
        <f ca="1">IFERROR(__xludf.DUMMYFUNCTION("""COMPUTED_VALUE"""),"-3.18")</f>
        <v>#NAME?</v>
      </c>
      <c r="K99" s="100" t="e">
        <f t="shared" ca="1" si="13"/>
        <v>#NAME?</v>
      </c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</row>
    <row r="100" spans="1:26">
      <c r="A100" s="100" t="e">
        <f ca="1">IFERROR(__xludf.DUMMYFUNCTION("""COMPUTED_VALUE"""),12747217)</f>
        <v>#NAME?</v>
      </c>
      <c r="B100" s="100" t="e">
        <f ca="1">IFERROR(__xludf.DUMMYFUNCTION("""COMPUTED_VALUE"""),"CPOOLUSDT")</f>
        <v>#NAME?</v>
      </c>
      <c r="C100" s="100" t="e">
        <f ca="1">IFERROR(__xludf.DUMMYFUNCTION("""COMPUTED_VALUE"""),"0.12938")</f>
        <v>#NAME?</v>
      </c>
      <c r="D100" s="100" t="e">
        <f t="shared" ca="1" si="14"/>
        <v>#NAME?</v>
      </c>
      <c r="E100" s="100" t="e">
        <f t="shared" ca="1" si="14"/>
        <v>#NAME?</v>
      </c>
      <c r="F100" s="100" t="e">
        <f t="shared" ca="1" si="9"/>
        <v>#NAME?</v>
      </c>
      <c r="G100" s="100" t="e">
        <f t="shared" ca="1" si="10"/>
        <v>#NAME?</v>
      </c>
      <c r="H100" s="100" t="e">
        <f t="shared" ca="1" si="11"/>
        <v>#NAME?</v>
      </c>
      <c r="I100" s="100" t="e">
        <f t="shared" ca="1" si="12"/>
        <v>#NAME?</v>
      </c>
      <c r="J100" s="100" t="e">
        <f ca="1">IFERROR(__xludf.DUMMYFUNCTION("""COMPUTED_VALUE"""),"-5.6899999999999995")</f>
        <v>#NAME?</v>
      </c>
      <c r="K100" s="100" t="e">
        <f t="shared" ca="1" si="13"/>
        <v>#NAME?</v>
      </c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</row>
    <row r="101" spans="1:26">
      <c r="A101" s="100" t="e">
        <f ca="1">IFERROR(__xludf.DUMMYFUNCTION("""COMPUTED_VALUE"""),12747218)</f>
        <v>#NAME?</v>
      </c>
      <c r="B101" s="100" t="e">
        <f ca="1">IFERROR(__xludf.DUMMYFUNCTION("""COMPUTED_VALUE"""),"SUIUSDT")</f>
        <v>#NAME?</v>
      </c>
      <c r="C101" s="100" t="e">
        <f ca="1">IFERROR(__xludf.DUMMYFUNCTION("""COMPUTED_VALUE"""),"2.3162")</f>
        <v>#NAME?</v>
      </c>
      <c r="D101" s="100" t="e">
        <f t="shared" ca="1" si="14"/>
        <v>#NAME?</v>
      </c>
      <c r="E101" s="100" t="e">
        <f t="shared" ca="1" si="14"/>
        <v>#NAME?</v>
      </c>
      <c r="F101" s="100" t="e">
        <f t="shared" ca="1" si="9"/>
        <v>#NAME?</v>
      </c>
      <c r="G101" s="100" t="e">
        <f t="shared" ca="1" si="10"/>
        <v>#NAME?</v>
      </c>
      <c r="H101" s="100" t="e">
        <f t="shared" ca="1" si="11"/>
        <v>#NAME?</v>
      </c>
      <c r="I101" s="100" t="e">
        <f t="shared" ca="1" si="12"/>
        <v>#NAME?</v>
      </c>
      <c r="J101" s="100" t="e">
        <f ca="1">IFERROR(__xludf.DUMMYFUNCTION("""COMPUTED_VALUE"""),"1.94")</f>
        <v>#NAME?</v>
      </c>
      <c r="K101" s="100" t="e">
        <f t="shared" ca="1" si="13"/>
        <v>#NAME?</v>
      </c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</row>
    <row r="102" spans="1:26">
      <c r="A102" s="100" t="e">
        <f ca="1">IFERROR(__xludf.DUMMYFUNCTION("""COMPUTED_VALUE"""),12747219)</f>
        <v>#NAME?</v>
      </c>
      <c r="B102" s="100" t="e">
        <f ca="1">IFERROR(__xludf.DUMMYFUNCTION("""COMPUTED_VALUE"""),"SOLUSDC")</f>
        <v>#NAME?</v>
      </c>
      <c r="C102" s="100" t="e">
        <f ca="1">IFERROR(__xludf.DUMMYFUNCTION("""COMPUTED_VALUE"""),"140.03")</f>
        <v>#NAME?</v>
      </c>
      <c r="D102" s="100" t="e">
        <f t="shared" ref="D102:E121" ca="1" si="15">IFERROR(__xludf.DUMMYFUNCTION("""COMPUTED_VALUE"""),"-")</f>
        <v>#NAME?</v>
      </c>
      <c r="E102" s="100" t="e">
        <f t="shared" ca="1" si="15"/>
        <v>#NAME?</v>
      </c>
      <c r="F102" s="100" t="e">
        <f t="shared" ca="1" si="9"/>
        <v>#NAME?</v>
      </c>
      <c r="G102" s="100" t="e">
        <f t="shared" ca="1" si="10"/>
        <v>#NAME?</v>
      </c>
      <c r="H102" s="100" t="e">
        <f t="shared" ca="1" si="11"/>
        <v>#NAME?</v>
      </c>
      <c r="I102" s="100" t="e">
        <f t="shared" ca="1" si="12"/>
        <v>#NAME?</v>
      </c>
      <c r="J102" s="100" t="e">
        <f ca="1">IFERROR(__xludf.DUMMYFUNCTION("""COMPUTED_VALUE"""),"-0.06")</f>
        <v>#NAME?</v>
      </c>
      <c r="K102" s="100" t="e">
        <f t="shared" ca="1" si="13"/>
        <v>#NAME?</v>
      </c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</row>
    <row r="103" spans="1:26">
      <c r="A103" s="100" t="e">
        <f ca="1">IFERROR(__xludf.DUMMYFUNCTION("""COMPUTED_VALUE"""),12747220)</f>
        <v>#NAME?</v>
      </c>
      <c r="B103" s="100" t="e">
        <f ca="1">IFERROR(__xludf.DUMMYFUNCTION("""COMPUTED_VALUE"""),"GSWIFTUSDT")</f>
        <v>#NAME?</v>
      </c>
      <c r="C103" s="100" t="e">
        <f ca="1">IFERROR(__xludf.DUMMYFUNCTION("""COMPUTED_VALUE"""),"0.01327")</f>
        <v>#NAME?</v>
      </c>
      <c r="D103" s="100" t="e">
        <f t="shared" ca="1" si="15"/>
        <v>#NAME?</v>
      </c>
      <c r="E103" s="100" t="e">
        <f t="shared" ca="1" si="15"/>
        <v>#NAME?</v>
      </c>
      <c r="F103" s="100" t="e">
        <f t="shared" ca="1" si="9"/>
        <v>#NAME?</v>
      </c>
      <c r="G103" s="100" t="e">
        <f t="shared" ca="1" si="10"/>
        <v>#NAME?</v>
      </c>
      <c r="H103" s="100" t="e">
        <f t="shared" ca="1" si="11"/>
        <v>#NAME?</v>
      </c>
      <c r="I103" s="100" t="e">
        <f t="shared" ca="1" si="12"/>
        <v>#NAME?</v>
      </c>
      <c r="J103" s="100" t="e">
        <f ca="1">IFERROR(__xludf.DUMMYFUNCTION("""COMPUTED_VALUE"""),"-3.7699999999999996")</f>
        <v>#NAME?</v>
      </c>
      <c r="K103" s="100" t="e">
        <f t="shared" ca="1" si="13"/>
        <v>#NAME?</v>
      </c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</row>
    <row r="104" spans="1:26">
      <c r="A104" s="100" t="e">
        <f ca="1">IFERROR(__xludf.DUMMYFUNCTION("""COMPUTED_VALUE"""),12747221)</f>
        <v>#NAME?</v>
      </c>
      <c r="B104" s="100" t="e">
        <f ca="1">IFERROR(__xludf.DUMMYFUNCTION("""COMPUTED_VALUE"""),"BBLUSDT")</f>
        <v>#NAME?</v>
      </c>
      <c r="C104" s="100" t="e">
        <f ca="1">IFERROR(__xludf.DUMMYFUNCTION("""COMPUTED_VALUE"""),"0.0005201")</f>
        <v>#NAME?</v>
      </c>
      <c r="D104" s="100" t="e">
        <f t="shared" ca="1" si="15"/>
        <v>#NAME?</v>
      </c>
      <c r="E104" s="100" t="e">
        <f t="shared" ca="1" si="15"/>
        <v>#NAME?</v>
      </c>
      <c r="F104" s="100" t="e">
        <f t="shared" ca="1" si="9"/>
        <v>#NAME?</v>
      </c>
      <c r="G104" s="100" t="e">
        <f t="shared" ca="1" si="10"/>
        <v>#NAME?</v>
      </c>
      <c r="H104" s="100" t="e">
        <f t="shared" ca="1" si="11"/>
        <v>#NAME?</v>
      </c>
      <c r="I104" s="100" t="e">
        <f t="shared" ca="1" si="12"/>
        <v>#NAME?</v>
      </c>
      <c r="J104" s="100" t="e">
        <f ca="1">IFERROR(__xludf.DUMMYFUNCTION("""COMPUTED_VALUE"""),"-9.85")</f>
        <v>#NAME?</v>
      </c>
      <c r="K104" s="100" t="e">
        <f t="shared" ca="1" si="13"/>
        <v>#NAME?</v>
      </c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</row>
    <row r="105" spans="1:26">
      <c r="A105" s="100" t="e">
        <f ca="1">IFERROR(__xludf.DUMMYFUNCTION("""COMPUTED_VALUE"""),12747222)</f>
        <v>#NAME?</v>
      </c>
      <c r="B105" s="100" t="e">
        <f ca="1">IFERROR(__xludf.DUMMYFUNCTION("""COMPUTED_VALUE"""),"PERPUSDT")</f>
        <v>#NAME?</v>
      </c>
      <c r="C105" s="100" t="e">
        <f ca="1">IFERROR(__xludf.DUMMYFUNCTION("""COMPUTED_VALUE"""),"0.226")</f>
        <v>#NAME?</v>
      </c>
      <c r="D105" s="100" t="e">
        <f t="shared" ca="1" si="15"/>
        <v>#NAME?</v>
      </c>
      <c r="E105" s="100" t="e">
        <f t="shared" ca="1" si="15"/>
        <v>#NAME?</v>
      </c>
      <c r="F105" s="100" t="e">
        <f t="shared" ca="1" si="9"/>
        <v>#NAME?</v>
      </c>
      <c r="G105" s="100" t="e">
        <f t="shared" ca="1" si="10"/>
        <v>#NAME?</v>
      </c>
      <c r="H105" s="100" t="e">
        <f t="shared" ca="1" si="11"/>
        <v>#NAME?</v>
      </c>
      <c r="I105" s="100" t="e">
        <f t="shared" ca="1" si="12"/>
        <v>#NAME?</v>
      </c>
      <c r="J105" s="100" t="e">
        <f ca="1">IFERROR(__xludf.DUMMYFUNCTION("""COMPUTED_VALUE"""),"-7.22")</f>
        <v>#NAME?</v>
      </c>
      <c r="K105" s="100" t="e">
        <f t="shared" ca="1" si="13"/>
        <v>#NAME?</v>
      </c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</row>
    <row r="106" spans="1:26">
      <c r="A106" s="100" t="e">
        <f ca="1">IFERROR(__xludf.DUMMYFUNCTION("""COMPUTED_VALUE"""),12747223)</f>
        <v>#NAME?</v>
      </c>
      <c r="B106" s="100" t="e">
        <f ca="1">IFERROR(__xludf.DUMMYFUNCTION("""COMPUTED_VALUE"""),"DOTBTC")</f>
        <v>#NAME?</v>
      </c>
      <c r="C106" s="100" t="e">
        <f ca="1">IFERROR(__xludf.DUMMYFUNCTION("""COMPUTED_VALUE"""),"0.00004224")</f>
        <v>#NAME?</v>
      </c>
      <c r="D106" s="100" t="e">
        <f t="shared" ca="1" si="15"/>
        <v>#NAME?</v>
      </c>
      <c r="E106" s="100" t="e">
        <f t="shared" ca="1" si="15"/>
        <v>#NAME?</v>
      </c>
      <c r="F106" s="100" t="e">
        <f t="shared" ca="1" si="9"/>
        <v>#NAME?</v>
      </c>
      <c r="G106" s="100" t="e">
        <f t="shared" ca="1" si="10"/>
        <v>#NAME?</v>
      </c>
      <c r="H106" s="100" t="e">
        <f t="shared" ca="1" si="11"/>
        <v>#NAME?</v>
      </c>
      <c r="I106" s="100" t="e">
        <f t="shared" ca="1" si="12"/>
        <v>#NAME?</v>
      </c>
      <c r="J106" s="100" t="e">
        <f ca="1">IFERROR(__xludf.DUMMYFUNCTION("""COMPUTED_VALUE"""),"-5.949999999999999")</f>
        <v>#NAME?</v>
      </c>
      <c r="K106" s="100" t="e">
        <f t="shared" ca="1" si="13"/>
        <v>#NAME?</v>
      </c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</row>
    <row r="107" spans="1:26">
      <c r="A107" s="100" t="e">
        <f ca="1">IFERROR(__xludf.DUMMYFUNCTION("""COMPUTED_VALUE"""),12747224)</f>
        <v>#NAME?</v>
      </c>
      <c r="B107" s="100" t="e">
        <f ca="1">IFERROR(__xludf.DUMMYFUNCTION("""COMPUTED_VALUE"""),"ZIGUSDT")</f>
        <v>#NAME?</v>
      </c>
      <c r="C107" s="100" t="e">
        <f ca="1">IFERROR(__xludf.DUMMYFUNCTION("""COMPUTED_VALUE"""),"0.07401")</f>
        <v>#NAME?</v>
      </c>
      <c r="D107" s="100" t="e">
        <f t="shared" ca="1" si="15"/>
        <v>#NAME?</v>
      </c>
      <c r="E107" s="100" t="e">
        <f t="shared" ca="1" si="15"/>
        <v>#NAME?</v>
      </c>
      <c r="F107" s="100" t="e">
        <f t="shared" ca="1" si="9"/>
        <v>#NAME?</v>
      </c>
      <c r="G107" s="100" t="e">
        <f t="shared" ca="1" si="10"/>
        <v>#NAME?</v>
      </c>
      <c r="H107" s="100" t="e">
        <f t="shared" ca="1" si="11"/>
        <v>#NAME?</v>
      </c>
      <c r="I107" s="100" t="e">
        <f t="shared" ca="1" si="12"/>
        <v>#NAME?</v>
      </c>
      <c r="J107" s="100" t="e">
        <f ca="1">IFERROR(__xludf.DUMMYFUNCTION("""COMPUTED_VALUE"""),"-1.0")</f>
        <v>#NAME?</v>
      </c>
      <c r="K107" s="100" t="e">
        <f t="shared" ca="1" si="13"/>
        <v>#NAME?</v>
      </c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</row>
    <row r="108" spans="1:26">
      <c r="A108" s="100" t="e">
        <f ca="1">IFERROR(__xludf.DUMMYFUNCTION("""COMPUTED_VALUE"""),12747225)</f>
        <v>#NAME?</v>
      </c>
      <c r="B108" s="100" t="e">
        <f ca="1">IFERROR(__xludf.DUMMYFUNCTION("""COMPUTED_VALUE"""),"CRVUSDT")</f>
        <v>#NAME?</v>
      </c>
      <c r="C108" s="100" t="e">
        <f ca="1">IFERROR(__xludf.DUMMYFUNCTION("""COMPUTED_VALUE"""),"0.6138")</f>
        <v>#NAME?</v>
      </c>
      <c r="D108" s="100" t="e">
        <f t="shared" ca="1" si="15"/>
        <v>#NAME?</v>
      </c>
      <c r="E108" s="100" t="e">
        <f t="shared" ca="1" si="15"/>
        <v>#NAME?</v>
      </c>
      <c r="F108" s="100" t="e">
        <f t="shared" ca="1" si="9"/>
        <v>#NAME?</v>
      </c>
      <c r="G108" s="100" t="e">
        <f t="shared" ca="1" si="10"/>
        <v>#NAME?</v>
      </c>
      <c r="H108" s="100" t="e">
        <f t="shared" ca="1" si="11"/>
        <v>#NAME?</v>
      </c>
      <c r="I108" s="100" t="e">
        <f t="shared" ca="1" si="12"/>
        <v>#NAME?</v>
      </c>
      <c r="J108" s="100" t="e">
        <f ca="1">IFERROR(__xludf.DUMMYFUNCTION("""COMPUTED_VALUE"""),"-0.53")</f>
        <v>#NAME?</v>
      </c>
      <c r="K108" s="100" t="e">
        <f t="shared" ca="1" si="13"/>
        <v>#NAME?</v>
      </c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</row>
    <row r="109" spans="1:26">
      <c r="A109" s="100" t="e">
        <f ca="1">IFERROR(__xludf.DUMMYFUNCTION("""COMPUTED_VALUE"""),12747226)</f>
        <v>#NAME?</v>
      </c>
      <c r="B109" s="100" t="e">
        <f ca="1">IFERROR(__xludf.DUMMYFUNCTION("""COMPUTED_VALUE"""),"MVUSDT")</f>
        <v>#NAME?</v>
      </c>
      <c r="C109" s="100" t="e">
        <f ca="1">IFERROR(__xludf.DUMMYFUNCTION("""COMPUTED_VALUE"""),"0.008017")</f>
        <v>#NAME?</v>
      </c>
      <c r="D109" s="100" t="e">
        <f t="shared" ca="1" si="15"/>
        <v>#NAME?</v>
      </c>
      <c r="E109" s="100" t="e">
        <f t="shared" ca="1" si="15"/>
        <v>#NAME?</v>
      </c>
      <c r="F109" s="100" t="e">
        <f t="shared" ca="1" si="9"/>
        <v>#NAME?</v>
      </c>
      <c r="G109" s="100" t="e">
        <f t="shared" ca="1" si="10"/>
        <v>#NAME?</v>
      </c>
      <c r="H109" s="100" t="e">
        <f t="shared" ca="1" si="11"/>
        <v>#NAME?</v>
      </c>
      <c r="I109" s="100" t="e">
        <f t="shared" ca="1" si="12"/>
        <v>#NAME?</v>
      </c>
      <c r="J109" s="100" t="e">
        <f ca="1">IFERROR(__xludf.DUMMYFUNCTION("""COMPUTED_VALUE"""),"-0.35000000000000003")</f>
        <v>#NAME?</v>
      </c>
      <c r="K109" s="100" t="e">
        <f t="shared" ca="1" si="13"/>
        <v>#NAME?</v>
      </c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</row>
    <row r="110" spans="1:26">
      <c r="A110" s="100" t="e">
        <f ca="1">IFERROR(__xludf.DUMMYFUNCTION("""COMPUTED_VALUE"""),12747227)</f>
        <v>#NAME?</v>
      </c>
      <c r="B110" s="100" t="e">
        <f ca="1">IFERROR(__xludf.DUMMYFUNCTION("""COMPUTED_VALUE"""),"PURSEUSDT")</f>
        <v>#NAME?</v>
      </c>
      <c r="C110" s="100" t="e">
        <f ca="1">IFERROR(__xludf.DUMMYFUNCTION("""COMPUTED_VALUE"""),"0.00005501")</f>
        <v>#NAME?</v>
      </c>
      <c r="D110" s="100" t="e">
        <f t="shared" ca="1" si="15"/>
        <v>#NAME?</v>
      </c>
      <c r="E110" s="100" t="e">
        <f t="shared" ca="1" si="15"/>
        <v>#NAME?</v>
      </c>
      <c r="F110" s="100" t="e">
        <f t="shared" ca="1" si="9"/>
        <v>#NAME?</v>
      </c>
      <c r="G110" s="100" t="e">
        <f t="shared" ca="1" si="10"/>
        <v>#NAME?</v>
      </c>
      <c r="H110" s="100" t="e">
        <f t="shared" ca="1" si="11"/>
        <v>#NAME?</v>
      </c>
      <c r="I110" s="100" t="e">
        <f t="shared" ca="1" si="12"/>
        <v>#NAME?</v>
      </c>
      <c r="J110" s="100" t="e">
        <f ca="1">IFERROR(__xludf.DUMMYFUNCTION("""COMPUTED_VALUE"""),"39.97")</f>
        <v>#NAME?</v>
      </c>
      <c r="K110" s="100" t="e">
        <f t="shared" ca="1" si="13"/>
        <v>#NAME?</v>
      </c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</row>
    <row r="111" spans="1:26">
      <c r="A111" s="100" t="e">
        <f ca="1">IFERROR(__xludf.DUMMYFUNCTION("""COMPUTED_VALUE"""),12747228)</f>
        <v>#NAME?</v>
      </c>
      <c r="B111" s="100" t="e">
        <f ca="1">IFERROR(__xludf.DUMMYFUNCTION("""COMPUTED_VALUE"""),"TOKENUSDT")</f>
        <v>#NAME?</v>
      </c>
      <c r="C111" s="100" t="e">
        <f ca="1">IFERROR(__xludf.DUMMYFUNCTION("""COMPUTED_VALUE"""),"0.01397")</f>
        <v>#NAME?</v>
      </c>
      <c r="D111" s="100" t="e">
        <f t="shared" ca="1" si="15"/>
        <v>#NAME?</v>
      </c>
      <c r="E111" s="100" t="e">
        <f t="shared" ca="1" si="15"/>
        <v>#NAME?</v>
      </c>
      <c r="F111" s="100" t="e">
        <f t="shared" ca="1" si="9"/>
        <v>#NAME?</v>
      </c>
      <c r="G111" s="100" t="e">
        <f t="shared" ca="1" si="10"/>
        <v>#NAME?</v>
      </c>
      <c r="H111" s="100" t="e">
        <f t="shared" ca="1" si="11"/>
        <v>#NAME?</v>
      </c>
      <c r="I111" s="100" t="e">
        <f t="shared" ca="1" si="12"/>
        <v>#NAME?</v>
      </c>
      <c r="J111" s="100" t="e">
        <f ca="1">IFERROR(__xludf.DUMMYFUNCTION("""COMPUTED_VALUE"""),"0.0")</f>
        <v>#NAME?</v>
      </c>
      <c r="K111" s="100" t="e">
        <f t="shared" ca="1" si="13"/>
        <v>#NAME?</v>
      </c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</row>
    <row r="112" spans="1:26">
      <c r="A112" s="100" t="e">
        <f ca="1">IFERROR(__xludf.DUMMYFUNCTION("""COMPUTED_VALUE"""),12747229)</f>
        <v>#NAME?</v>
      </c>
      <c r="B112" s="100" t="e">
        <f ca="1">IFERROR(__xludf.DUMMYFUNCTION("""COMPUTED_VALUE"""),"SAROSUSDT")</f>
        <v>#NAME?</v>
      </c>
      <c r="C112" s="100" t="e">
        <f ca="1">IFERROR(__xludf.DUMMYFUNCTION("""COMPUTED_VALUE"""),"0.11952")</f>
        <v>#NAME?</v>
      </c>
      <c r="D112" s="100" t="e">
        <f t="shared" ca="1" si="15"/>
        <v>#NAME?</v>
      </c>
      <c r="E112" s="100" t="e">
        <f t="shared" ca="1" si="15"/>
        <v>#NAME?</v>
      </c>
      <c r="F112" s="100" t="e">
        <f t="shared" ca="1" si="9"/>
        <v>#NAME?</v>
      </c>
      <c r="G112" s="100" t="e">
        <f t="shared" ca="1" si="10"/>
        <v>#NAME?</v>
      </c>
      <c r="H112" s="100" t="e">
        <f t="shared" ca="1" si="11"/>
        <v>#NAME?</v>
      </c>
      <c r="I112" s="100" t="e">
        <f t="shared" ca="1" si="12"/>
        <v>#NAME?</v>
      </c>
      <c r="J112" s="100" t="e">
        <f ca="1">IFERROR(__xludf.DUMMYFUNCTION("""COMPUTED_VALUE"""),"-4.38")</f>
        <v>#NAME?</v>
      </c>
      <c r="K112" s="100" t="e">
        <f t="shared" ca="1" si="13"/>
        <v>#NAME?</v>
      </c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</row>
    <row r="113" spans="1:26">
      <c r="A113" s="100" t="e">
        <f ca="1">IFERROR(__xludf.DUMMYFUNCTION("""COMPUTED_VALUE"""),12747230)</f>
        <v>#NAME?</v>
      </c>
      <c r="B113" s="100" t="e">
        <f ca="1">IFERROR(__xludf.DUMMYFUNCTION("""COMPUTED_VALUE"""),"FIDAUSDT")</f>
        <v>#NAME?</v>
      </c>
      <c r="C113" s="100" t="e">
        <f ca="1">IFERROR(__xludf.DUMMYFUNCTION("""COMPUTED_VALUE"""),"0.0733")</f>
        <v>#NAME?</v>
      </c>
      <c r="D113" s="100" t="e">
        <f t="shared" ca="1" si="15"/>
        <v>#NAME?</v>
      </c>
      <c r="E113" s="100" t="e">
        <f t="shared" ca="1" si="15"/>
        <v>#NAME?</v>
      </c>
      <c r="F113" s="100" t="e">
        <f t="shared" ca="1" si="9"/>
        <v>#NAME?</v>
      </c>
      <c r="G113" s="100" t="e">
        <f t="shared" ca="1" si="10"/>
        <v>#NAME?</v>
      </c>
      <c r="H113" s="100" t="e">
        <f t="shared" ca="1" si="11"/>
        <v>#NAME?</v>
      </c>
      <c r="I113" s="100" t="e">
        <f t="shared" ca="1" si="12"/>
        <v>#NAME?</v>
      </c>
      <c r="J113" s="100" t="e">
        <f ca="1">IFERROR(__xludf.DUMMYFUNCTION("""COMPUTED_VALUE"""),"0.13999999999999999")</f>
        <v>#NAME?</v>
      </c>
      <c r="K113" s="100" t="e">
        <f t="shared" ca="1" si="13"/>
        <v>#NAME?</v>
      </c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</row>
    <row r="114" spans="1:26">
      <c r="A114" s="100" t="e">
        <f ca="1">IFERROR(__xludf.DUMMYFUNCTION("""COMPUTED_VALUE"""),12747231)</f>
        <v>#NAME?</v>
      </c>
      <c r="B114" s="100" t="e">
        <f ca="1">IFERROR(__xludf.DUMMYFUNCTION("""COMPUTED_VALUE"""),"STARUSDT")</f>
        <v>#NAME?</v>
      </c>
      <c r="C114" s="100" t="e">
        <f ca="1">IFERROR(__xludf.DUMMYFUNCTION("""COMPUTED_VALUE"""),"0.007334")</f>
        <v>#NAME?</v>
      </c>
      <c r="D114" s="100" t="e">
        <f t="shared" ca="1" si="15"/>
        <v>#NAME?</v>
      </c>
      <c r="E114" s="100" t="e">
        <f t="shared" ca="1" si="15"/>
        <v>#NAME?</v>
      </c>
      <c r="F114" s="100" t="e">
        <f t="shared" ca="1" si="9"/>
        <v>#NAME?</v>
      </c>
      <c r="G114" s="100" t="e">
        <f t="shared" ca="1" si="10"/>
        <v>#NAME?</v>
      </c>
      <c r="H114" s="100" t="e">
        <f t="shared" ca="1" si="11"/>
        <v>#NAME?</v>
      </c>
      <c r="I114" s="100" t="e">
        <f t="shared" ca="1" si="12"/>
        <v>#NAME?</v>
      </c>
      <c r="J114" s="100" t="e">
        <f ca="1">IFERROR(__xludf.DUMMYFUNCTION("""COMPUTED_VALUE"""),"-1.5699999999999998")</f>
        <v>#NAME?</v>
      </c>
      <c r="K114" s="100" t="e">
        <f t="shared" ca="1" si="13"/>
        <v>#NAME?</v>
      </c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</row>
    <row r="115" spans="1:26">
      <c r="A115" s="100" t="e">
        <f ca="1">IFERROR(__xludf.DUMMYFUNCTION("""COMPUTED_VALUE"""),12747232)</f>
        <v>#NAME?</v>
      </c>
      <c r="B115" s="100" t="e">
        <f ca="1">IFERROR(__xludf.DUMMYFUNCTION("""COMPUTED_VALUE"""),"ADAUSDT")</f>
        <v>#NAME?</v>
      </c>
      <c r="C115" s="100" t="e">
        <f ca="1">IFERROR(__xludf.DUMMYFUNCTION("""COMPUTED_VALUE"""),"0.6401")</f>
        <v>#NAME?</v>
      </c>
      <c r="D115" s="100" t="e">
        <f t="shared" ca="1" si="15"/>
        <v>#NAME?</v>
      </c>
      <c r="E115" s="100" t="e">
        <f t="shared" ca="1" si="15"/>
        <v>#NAME?</v>
      </c>
      <c r="F115" s="100" t="e">
        <f t="shared" ca="1" si="9"/>
        <v>#NAME?</v>
      </c>
      <c r="G115" s="100" t="e">
        <f t="shared" ca="1" si="10"/>
        <v>#NAME?</v>
      </c>
      <c r="H115" s="100" t="e">
        <f t="shared" ca="1" si="11"/>
        <v>#NAME?</v>
      </c>
      <c r="I115" s="100" t="e">
        <f t="shared" ca="1" si="12"/>
        <v>#NAME?</v>
      </c>
      <c r="J115" s="100" t="e">
        <f ca="1">IFERROR(__xludf.DUMMYFUNCTION("""COMPUTED_VALUE"""),"-1.1400000000000001")</f>
        <v>#NAME?</v>
      </c>
      <c r="K115" s="100" t="e">
        <f t="shared" ca="1" si="13"/>
        <v>#NAME?</v>
      </c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</row>
    <row r="116" spans="1:26">
      <c r="A116" s="100" t="e">
        <f ca="1">IFERROR(__xludf.DUMMYFUNCTION("""COMPUTED_VALUE"""),12747233)</f>
        <v>#NAME?</v>
      </c>
      <c r="B116" s="100" t="e">
        <f ca="1">IFERROR(__xludf.DUMMYFUNCTION("""COMPUTED_VALUE"""),"ICXUSDT")</f>
        <v>#NAME?</v>
      </c>
      <c r="C116" s="100" t="e">
        <f ca="1">IFERROR(__xludf.DUMMYFUNCTION("""COMPUTED_VALUE"""),"0.10022")</f>
        <v>#NAME?</v>
      </c>
      <c r="D116" s="100" t="e">
        <f t="shared" ca="1" si="15"/>
        <v>#NAME?</v>
      </c>
      <c r="E116" s="100" t="e">
        <f t="shared" ca="1" si="15"/>
        <v>#NAME?</v>
      </c>
      <c r="F116" s="100" t="e">
        <f t="shared" ca="1" si="9"/>
        <v>#NAME?</v>
      </c>
      <c r="G116" s="100" t="e">
        <f t="shared" ca="1" si="10"/>
        <v>#NAME?</v>
      </c>
      <c r="H116" s="100" t="e">
        <f t="shared" ca="1" si="11"/>
        <v>#NAME?</v>
      </c>
      <c r="I116" s="100" t="e">
        <f t="shared" ca="1" si="12"/>
        <v>#NAME?</v>
      </c>
      <c r="J116" s="100" t="e">
        <f ca="1">IFERROR(__xludf.DUMMYFUNCTION("""COMPUTED_VALUE"""),"-1.8599999999999999")</f>
        <v>#NAME?</v>
      </c>
      <c r="K116" s="100" t="e">
        <f t="shared" ca="1" si="13"/>
        <v>#NAME?</v>
      </c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</row>
    <row r="117" spans="1:26">
      <c r="A117" s="100" t="e">
        <f ca="1">IFERROR(__xludf.DUMMYFUNCTION("""COMPUTED_VALUE"""),12747234)</f>
        <v>#NAME?</v>
      </c>
      <c r="B117" s="100" t="e">
        <f ca="1">IFERROR(__xludf.DUMMYFUNCTION("""COMPUTED_VALUE"""),"SAFEUSDT")</f>
        <v>#NAME?</v>
      </c>
      <c r="C117" s="100" t="e">
        <f ca="1">IFERROR(__xludf.DUMMYFUNCTION("""COMPUTED_VALUE"""),"0.417")</f>
        <v>#NAME?</v>
      </c>
      <c r="D117" s="100" t="e">
        <f t="shared" ca="1" si="15"/>
        <v>#NAME?</v>
      </c>
      <c r="E117" s="100" t="e">
        <f t="shared" ca="1" si="15"/>
        <v>#NAME?</v>
      </c>
      <c r="F117" s="100" t="e">
        <f t="shared" ca="1" si="9"/>
        <v>#NAME?</v>
      </c>
      <c r="G117" s="100" t="e">
        <f t="shared" ca="1" si="10"/>
        <v>#NAME?</v>
      </c>
      <c r="H117" s="100" t="e">
        <f t="shared" ca="1" si="11"/>
        <v>#NAME?</v>
      </c>
      <c r="I117" s="100" t="e">
        <f t="shared" ca="1" si="12"/>
        <v>#NAME?</v>
      </c>
      <c r="J117" s="100" t="e">
        <f ca="1">IFERROR(__xludf.DUMMYFUNCTION("""COMPUTED_VALUE"""),"-0.41000000000000003")</f>
        <v>#NAME?</v>
      </c>
      <c r="K117" s="100" t="e">
        <f t="shared" ca="1" si="13"/>
        <v>#NAME?</v>
      </c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</row>
    <row r="118" spans="1:26">
      <c r="A118" s="100" t="e">
        <f ca="1">IFERROR(__xludf.DUMMYFUNCTION("""COMPUTED_VALUE"""),12747235)</f>
        <v>#NAME?</v>
      </c>
      <c r="B118" s="100" t="e">
        <f ca="1">IFERROR(__xludf.DUMMYFUNCTION("""COMPUTED_VALUE"""),"GPSUSDT")</f>
        <v>#NAME?</v>
      </c>
      <c r="C118" s="100" t="e">
        <f ca="1">IFERROR(__xludf.DUMMYFUNCTION("""COMPUTED_VALUE"""),"0.01675")</f>
        <v>#NAME?</v>
      </c>
      <c r="D118" s="100" t="e">
        <f t="shared" ca="1" si="15"/>
        <v>#NAME?</v>
      </c>
      <c r="E118" s="100" t="e">
        <f t="shared" ca="1" si="15"/>
        <v>#NAME?</v>
      </c>
      <c r="F118" s="100" t="e">
        <f t="shared" ca="1" si="9"/>
        <v>#NAME?</v>
      </c>
      <c r="G118" s="100" t="e">
        <f t="shared" ca="1" si="10"/>
        <v>#NAME?</v>
      </c>
      <c r="H118" s="100" t="e">
        <f t="shared" ca="1" si="11"/>
        <v>#NAME?</v>
      </c>
      <c r="I118" s="100" t="e">
        <f t="shared" ca="1" si="12"/>
        <v>#NAME?</v>
      </c>
      <c r="J118" s="100" t="e">
        <f ca="1">IFERROR(__xludf.DUMMYFUNCTION("""COMPUTED_VALUE"""),"-10.52")</f>
        <v>#NAME?</v>
      </c>
      <c r="K118" s="100" t="e">
        <f t="shared" ca="1" si="13"/>
        <v>#NAME?</v>
      </c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</row>
    <row r="119" spans="1:26">
      <c r="A119" s="100" t="e">
        <f ca="1">IFERROR(__xludf.DUMMYFUNCTION("""COMPUTED_VALUE"""),12747236)</f>
        <v>#NAME?</v>
      </c>
      <c r="B119" s="100" t="e">
        <f ca="1">IFERROR(__xludf.DUMMYFUNCTION("""COMPUTED_VALUE"""),"HTXUSDT")</f>
        <v>#NAME?</v>
      </c>
      <c r="C119" s="100" t="e">
        <f ca="1">IFERROR(__xludf.DUMMYFUNCTION("""COMPUTED_VALUE"""),"0.000001728")</f>
        <v>#NAME?</v>
      </c>
      <c r="D119" s="100" t="e">
        <f t="shared" ca="1" si="15"/>
        <v>#NAME?</v>
      </c>
      <c r="E119" s="100" t="e">
        <f t="shared" ca="1" si="15"/>
        <v>#NAME?</v>
      </c>
      <c r="F119" s="100" t="e">
        <f t="shared" ca="1" si="9"/>
        <v>#NAME?</v>
      </c>
      <c r="G119" s="100" t="e">
        <f t="shared" ca="1" si="10"/>
        <v>#NAME?</v>
      </c>
      <c r="H119" s="100" t="e">
        <f t="shared" ca="1" si="11"/>
        <v>#NAME?</v>
      </c>
      <c r="I119" s="100" t="e">
        <f t="shared" ca="1" si="12"/>
        <v>#NAME?</v>
      </c>
      <c r="J119" s="100" t="e">
        <f ca="1">IFERROR(__xludf.DUMMYFUNCTION("""COMPUTED_VALUE"""),"2.6100000000000003")</f>
        <v>#NAME?</v>
      </c>
      <c r="K119" s="100" t="e">
        <f t="shared" ca="1" si="13"/>
        <v>#NAME?</v>
      </c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</row>
    <row r="120" spans="1:26">
      <c r="A120" s="100" t="e">
        <f ca="1">IFERROR(__xludf.DUMMYFUNCTION("""COMPUTED_VALUE"""),12747237)</f>
        <v>#NAME?</v>
      </c>
      <c r="B120" s="100" t="e">
        <f ca="1">IFERROR(__xludf.DUMMYFUNCTION("""COMPUTED_VALUE"""),"TURBOSUSDT")</f>
        <v>#NAME?</v>
      </c>
      <c r="C120" s="100" t="e">
        <f ca="1">IFERROR(__xludf.DUMMYFUNCTION("""COMPUTED_VALUE"""),"0.0010459")</f>
        <v>#NAME?</v>
      </c>
      <c r="D120" s="100" t="e">
        <f t="shared" ca="1" si="15"/>
        <v>#NAME?</v>
      </c>
      <c r="E120" s="100" t="e">
        <f t="shared" ca="1" si="15"/>
        <v>#NAME?</v>
      </c>
      <c r="F120" s="100" t="e">
        <f t="shared" ca="1" si="9"/>
        <v>#NAME?</v>
      </c>
      <c r="G120" s="100" t="e">
        <f t="shared" ca="1" si="10"/>
        <v>#NAME?</v>
      </c>
      <c r="H120" s="100" t="e">
        <f t="shared" ca="1" si="11"/>
        <v>#NAME?</v>
      </c>
      <c r="I120" s="100" t="e">
        <f t="shared" ca="1" si="12"/>
        <v>#NAME?</v>
      </c>
      <c r="J120" s="100" t="e">
        <f ca="1">IFERROR(__xludf.DUMMYFUNCTION("""COMPUTED_VALUE"""),"3.4799999999999995")</f>
        <v>#NAME?</v>
      </c>
      <c r="K120" s="100" t="e">
        <f t="shared" ca="1" si="13"/>
        <v>#NAME?</v>
      </c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</row>
    <row r="121" spans="1:26">
      <c r="A121" s="100" t="e">
        <f ca="1">IFERROR(__xludf.DUMMYFUNCTION("""COMPUTED_VALUE"""),12747238)</f>
        <v>#NAME?</v>
      </c>
      <c r="B121" s="100" t="e">
        <f ca="1">IFERROR(__xludf.DUMMYFUNCTION("""COMPUTED_VALUE"""),"MEMEUSDT")</f>
        <v>#NAME?</v>
      </c>
      <c r="C121" s="100" t="e">
        <f ca="1">IFERROR(__xludf.DUMMYFUNCTION("""COMPUTED_VALUE"""),"0.001955")</f>
        <v>#NAME?</v>
      </c>
      <c r="D121" s="100" t="e">
        <f t="shared" ca="1" si="15"/>
        <v>#NAME?</v>
      </c>
      <c r="E121" s="100" t="e">
        <f t="shared" ca="1" si="15"/>
        <v>#NAME?</v>
      </c>
      <c r="F121" s="100" t="e">
        <f t="shared" ca="1" si="9"/>
        <v>#NAME?</v>
      </c>
      <c r="G121" s="100" t="e">
        <f t="shared" ca="1" si="10"/>
        <v>#NAME?</v>
      </c>
      <c r="H121" s="100" t="e">
        <f t="shared" ca="1" si="11"/>
        <v>#NAME?</v>
      </c>
      <c r="I121" s="100" t="e">
        <f t="shared" ca="1" si="12"/>
        <v>#NAME?</v>
      </c>
      <c r="J121" s="100" t="e">
        <f ca="1">IFERROR(__xludf.DUMMYFUNCTION("""COMPUTED_VALUE"""),"-10.03")</f>
        <v>#NAME?</v>
      </c>
      <c r="K121" s="100" t="e">
        <f t="shared" ca="1" si="13"/>
        <v>#NAME?</v>
      </c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</row>
    <row r="122" spans="1:26">
      <c r="A122" s="100" t="e">
        <f ca="1">IFERROR(__xludf.DUMMYFUNCTION("""COMPUTED_VALUE"""),12747239)</f>
        <v>#NAME?</v>
      </c>
      <c r="B122" s="100" t="e">
        <f ca="1">IFERROR(__xludf.DUMMYFUNCTION("""COMPUTED_VALUE"""),"MKRUSDT")</f>
        <v>#NAME?</v>
      </c>
      <c r="C122" s="100" t="e">
        <f ca="1">IFERROR(__xludf.DUMMYFUNCTION("""COMPUTED_VALUE"""),"1388")</f>
        <v>#NAME?</v>
      </c>
      <c r="D122" s="100" t="e">
        <f t="shared" ref="D122:E141" ca="1" si="16">IFERROR(__xludf.DUMMYFUNCTION("""COMPUTED_VALUE"""),"-")</f>
        <v>#NAME?</v>
      </c>
      <c r="E122" s="100" t="e">
        <f t="shared" ca="1" si="16"/>
        <v>#NAME?</v>
      </c>
      <c r="F122" s="100" t="e">
        <f t="shared" ca="1" si="9"/>
        <v>#NAME?</v>
      </c>
      <c r="G122" s="100" t="e">
        <f t="shared" ca="1" si="10"/>
        <v>#NAME?</v>
      </c>
      <c r="H122" s="100" t="e">
        <f t="shared" ca="1" si="11"/>
        <v>#NAME?</v>
      </c>
      <c r="I122" s="100" t="e">
        <f t="shared" ca="1" si="12"/>
        <v>#NAME?</v>
      </c>
      <c r="J122" s="100" t="e">
        <f ca="1">IFERROR(__xludf.DUMMYFUNCTION("""COMPUTED_VALUE"""),"-0.5")</f>
        <v>#NAME?</v>
      </c>
      <c r="K122" s="100" t="e">
        <f t="shared" ca="1" si="13"/>
        <v>#NAME?</v>
      </c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</row>
    <row r="123" spans="1:26">
      <c r="A123" s="100" t="e">
        <f ca="1">IFERROR(__xludf.DUMMYFUNCTION("""COMPUTED_VALUE"""),12747240)</f>
        <v>#NAME?</v>
      </c>
      <c r="B123" s="100" t="e">
        <f ca="1">IFERROR(__xludf.DUMMYFUNCTION("""COMPUTED_VALUE"""),"LINKUSDT")</f>
        <v>#NAME?</v>
      </c>
      <c r="C123" s="100" t="e">
        <f ca="1">IFERROR(__xludf.DUMMYFUNCTION("""COMPUTED_VALUE"""),"13.32")</f>
        <v>#NAME?</v>
      </c>
      <c r="D123" s="100" t="e">
        <f t="shared" ca="1" si="16"/>
        <v>#NAME?</v>
      </c>
      <c r="E123" s="100" t="e">
        <f t="shared" ca="1" si="16"/>
        <v>#NAME?</v>
      </c>
      <c r="F123" s="100" t="e">
        <f t="shared" ca="1" si="9"/>
        <v>#NAME?</v>
      </c>
      <c r="G123" s="100" t="e">
        <f t="shared" ca="1" si="10"/>
        <v>#NAME?</v>
      </c>
      <c r="H123" s="100" t="e">
        <f t="shared" ca="1" si="11"/>
        <v>#NAME?</v>
      </c>
      <c r="I123" s="100" t="e">
        <f t="shared" ca="1" si="12"/>
        <v>#NAME?</v>
      </c>
      <c r="J123" s="100" t="e">
        <f ca="1">IFERROR(__xludf.DUMMYFUNCTION("""COMPUTED_VALUE"""),"-1.41")</f>
        <v>#NAME?</v>
      </c>
      <c r="K123" s="100" t="e">
        <f t="shared" ca="1" si="13"/>
        <v>#NAME?</v>
      </c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</row>
    <row r="124" spans="1:26">
      <c r="A124" s="100" t="e">
        <f ca="1">IFERROR(__xludf.DUMMYFUNCTION("""COMPUTED_VALUE"""),12747241)</f>
        <v>#NAME?</v>
      </c>
      <c r="B124" s="100" t="e">
        <f ca="1">IFERROR(__xludf.DUMMYFUNCTION("""COMPUTED_VALUE"""),"XZKUSDT")</f>
        <v>#NAME?</v>
      </c>
      <c r="C124" s="100" t="e">
        <f ca="1">IFERROR(__xludf.DUMMYFUNCTION("""COMPUTED_VALUE"""),"0.008346")</f>
        <v>#NAME?</v>
      </c>
      <c r="D124" s="100" t="e">
        <f t="shared" ca="1" si="16"/>
        <v>#NAME?</v>
      </c>
      <c r="E124" s="100" t="e">
        <f t="shared" ca="1" si="16"/>
        <v>#NAME?</v>
      </c>
      <c r="F124" s="100" t="e">
        <f t="shared" ca="1" si="9"/>
        <v>#NAME?</v>
      </c>
      <c r="G124" s="100" t="e">
        <f t="shared" ca="1" si="10"/>
        <v>#NAME?</v>
      </c>
      <c r="H124" s="100" t="e">
        <f t="shared" ca="1" si="11"/>
        <v>#NAME?</v>
      </c>
      <c r="I124" s="100" t="e">
        <f t="shared" ca="1" si="12"/>
        <v>#NAME?</v>
      </c>
      <c r="J124" s="100" t="e">
        <f ca="1">IFERROR(__xludf.DUMMYFUNCTION("""COMPUTED_VALUE"""),"8.28")</f>
        <v>#NAME?</v>
      </c>
      <c r="K124" s="100" t="e">
        <f t="shared" ca="1" si="13"/>
        <v>#NAME?</v>
      </c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</row>
    <row r="125" spans="1:26">
      <c r="A125" s="100" t="e">
        <f ca="1">IFERROR(__xludf.DUMMYFUNCTION("""COMPUTED_VALUE"""),12747242)</f>
        <v>#NAME?</v>
      </c>
      <c r="B125" s="100" t="e">
        <f ca="1">IFERROR(__xludf.DUMMYFUNCTION("""COMPUTED_VALUE"""),"MXUSDT")</f>
        <v>#NAME?</v>
      </c>
      <c r="C125" s="100" t="e">
        <f ca="1">IFERROR(__xludf.DUMMYFUNCTION("""COMPUTED_VALUE"""),"2.7522")</f>
        <v>#NAME?</v>
      </c>
      <c r="D125" s="100" t="e">
        <f t="shared" ca="1" si="16"/>
        <v>#NAME?</v>
      </c>
      <c r="E125" s="100" t="e">
        <f t="shared" ca="1" si="16"/>
        <v>#NAME?</v>
      </c>
      <c r="F125" s="100" t="e">
        <f t="shared" ca="1" si="9"/>
        <v>#NAME?</v>
      </c>
      <c r="G125" s="100" t="e">
        <f t="shared" ca="1" si="10"/>
        <v>#NAME?</v>
      </c>
      <c r="H125" s="100" t="e">
        <f t="shared" ca="1" si="11"/>
        <v>#NAME?</v>
      </c>
      <c r="I125" s="100" t="e">
        <f t="shared" ca="1" si="12"/>
        <v>#NAME?</v>
      </c>
      <c r="J125" s="100" t="e">
        <f ca="1">IFERROR(__xludf.DUMMYFUNCTION("""COMPUTED_VALUE"""),"0.03")</f>
        <v>#NAME?</v>
      </c>
      <c r="K125" s="100" t="e">
        <f t="shared" ca="1" si="13"/>
        <v>#NAME?</v>
      </c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</row>
    <row r="126" spans="1:26">
      <c r="A126" s="100" t="e">
        <f ca="1">IFERROR(__xludf.DUMMYFUNCTION("""COMPUTED_VALUE"""),12747243)</f>
        <v>#NAME?</v>
      </c>
      <c r="B126" s="100" t="e">
        <f ca="1">IFERROR(__xludf.DUMMYFUNCTION("""COMPUTED_VALUE"""),"KSMUSDT")</f>
        <v>#NAME?</v>
      </c>
      <c r="C126" s="100" t="e">
        <f ca="1">IFERROR(__xludf.DUMMYFUNCTION("""COMPUTED_VALUE"""),"13.91")</f>
        <v>#NAME?</v>
      </c>
      <c r="D126" s="100" t="e">
        <f t="shared" ca="1" si="16"/>
        <v>#NAME?</v>
      </c>
      <c r="E126" s="100" t="e">
        <f t="shared" ca="1" si="16"/>
        <v>#NAME?</v>
      </c>
      <c r="F126" s="100" t="e">
        <f t="shared" ca="1" si="9"/>
        <v>#NAME?</v>
      </c>
      <c r="G126" s="100" t="e">
        <f t="shared" ca="1" si="10"/>
        <v>#NAME?</v>
      </c>
      <c r="H126" s="100" t="e">
        <f t="shared" ca="1" si="11"/>
        <v>#NAME?</v>
      </c>
      <c r="I126" s="100" t="e">
        <f t="shared" ca="1" si="12"/>
        <v>#NAME?</v>
      </c>
      <c r="J126" s="100" t="e">
        <f ca="1">IFERROR(__xludf.DUMMYFUNCTION("""COMPUTED_VALUE"""),"-1.5599999999999998")</f>
        <v>#NAME?</v>
      </c>
      <c r="K126" s="100" t="e">
        <f t="shared" ca="1" si="13"/>
        <v>#NAME?</v>
      </c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</row>
    <row r="127" spans="1:26">
      <c r="A127" s="100" t="e">
        <f ca="1">IFERROR(__xludf.DUMMYFUNCTION("""COMPUTED_VALUE"""),12747244)</f>
        <v>#NAME?</v>
      </c>
      <c r="B127" s="100" t="e">
        <f ca="1">IFERROR(__xludf.DUMMYFUNCTION("""COMPUTED_VALUE"""),"TSTUSDT")</f>
        <v>#NAME?</v>
      </c>
      <c r="C127" s="100" t="e">
        <f ca="1">IFERROR(__xludf.DUMMYFUNCTION("""COMPUTED_VALUE"""),"0.003079")</f>
        <v>#NAME?</v>
      </c>
      <c r="D127" s="100" t="e">
        <f t="shared" ca="1" si="16"/>
        <v>#NAME?</v>
      </c>
      <c r="E127" s="100" t="e">
        <f t="shared" ca="1" si="16"/>
        <v>#NAME?</v>
      </c>
      <c r="F127" s="100" t="e">
        <f t="shared" ca="1" si="9"/>
        <v>#NAME?</v>
      </c>
      <c r="G127" s="100" t="e">
        <f t="shared" ca="1" si="10"/>
        <v>#NAME?</v>
      </c>
      <c r="H127" s="100" t="e">
        <f t="shared" ca="1" si="11"/>
        <v>#NAME?</v>
      </c>
      <c r="I127" s="100" t="e">
        <f t="shared" ca="1" si="12"/>
        <v>#NAME?</v>
      </c>
      <c r="J127" s="100" t="e">
        <f ca="1">IFERROR(__xludf.DUMMYFUNCTION("""COMPUTED_VALUE"""),"0.0")</f>
        <v>#NAME?</v>
      </c>
      <c r="K127" s="100" t="e">
        <f t="shared" ca="1" si="13"/>
        <v>#NAME?</v>
      </c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</row>
    <row r="128" spans="1:26">
      <c r="A128" s="100" t="e">
        <f ca="1">IFERROR(__xludf.DUMMYFUNCTION("""COMPUTED_VALUE"""),12747245)</f>
        <v>#NAME?</v>
      </c>
      <c r="B128" s="100" t="e">
        <f ca="1">IFERROR(__xludf.DUMMYFUNCTION("""COMPUTED_VALUE"""),"TONUSDC")</f>
        <v>#NAME?</v>
      </c>
      <c r="C128" s="100" t="e">
        <f ca="1">IFERROR(__xludf.DUMMYFUNCTION("""COMPUTED_VALUE"""),"2.916")</f>
        <v>#NAME?</v>
      </c>
      <c r="D128" s="100" t="e">
        <f t="shared" ca="1" si="16"/>
        <v>#NAME?</v>
      </c>
      <c r="E128" s="100" t="e">
        <f t="shared" ca="1" si="16"/>
        <v>#NAME?</v>
      </c>
      <c r="F128" s="100" t="e">
        <f t="shared" ca="1" si="9"/>
        <v>#NAME?</v>
      </c>
      <c r="G128" s="100" t="e">
        <f t="shared" ca="1" si="10"/>
        <v>#NAME?</v>
      </c>
      <c r="H128" s="100" t="e">
        <f t="shared" ca="1" si="11"/>
        <v>#NAME?</v>
      </c>
      <c r="I128" s="100" t="e">
        <f t="shared" ca="1" si="12"/>
        <v>#NAME?</v>
      </c>
      <c r="J128" s="100" t="e">
        <f ca="1">IFERROR(__xludf.DUMMYFUNCTION("""COMPUTED_VALUE"""),"-3.32")</f>
        <v>#NAME?</v>
      </c>
      <c r="K128" s="100" t="e">
        <f t="shared" ca="1" si="13"/>
        <v>#NAME?</v>
      </c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</row>
    <row r="129" spans="1:26">
      <c r="A129" s="100" t="e">
        <f ca="1">IFERROR(__xludf.DUMMYFUNCTION("""COMPUTED_VALUE"""),12747246)</f>
        <v>#NAME?</v>
      </c>
      <c r="B129" s="100" t="e">
        <f ca="1">IFERROR(__xludf.DUMMYFUNCTION("""COMPUTED_VALUE"""),"DRIFTUSDT")</f>
        <v>#NAME?</v>
      </c>
      <c r="C129" s="100" t="e">
        <f ca="1">IFERROR(__xludf.DUMMYFUNCTION("""COMPUTED_VALUE"""),"0.497")</f>
        <v>#NAME?</v>
      </c>
      <c r="D129" s="100" t="e">
        <f t="shared" ca="1" si="16"/>
        <v>#NAME?</v>
      </c>
      <c r="E129" s="100" t="e">
        <f t="shared" ca="1" si="16"/>
        <v>#NAME?</v>
      </c>
      <c r="F129" s="100" t="e">
        <f t="shared" ca="1" si="9"/>
        <v>#NAME?</v>
      </c>
      <c r="G129" s="100" t="e">
        <f t="shared" ca="1" si="10"/>
        <v>#NAME?</v>
      </c>
      <c r="H129" s="100" t="e">
        <f t="shared" ca="1" si="11"/>
        <v>#NAME?</v>
      </c>
      <c r="I129" s="100" t="e">
        <f t="shared" ca="1" si="12"/>
        <v>#NAME?</v>
      </c>
      <c r="J129" s="100" t="e">
        <f ca="1">IFERROR(__xludf.DUMMYFUNCTION("""COMPUTED_VALUE"""),"-0.48")</f>
        <v>#NAME?</v>
      </c>
      <c r="K129" s="100" t="e">
        <f t="shared" ca="1" si="13"/>
        <v>#NAME?</v>
      </c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</row>
    <row r="130" spans="1:26">
      <c r="A130" s="100" t="e">
        <f ca="1">IFERROR(__xludf.DUMMYFUNCTION("""COMPUTED_VALUE"""),12747247)</f>
        <v>#NAME?</v>
      </c>
      <c r="B130" s="100" t="e">
        <f ca="1">IFERROR(__xludf.DUMMYFUNCTION("""COMPUTED_VALUE"""),"BOBAUSDT")</f>
        <v>#NAME?</v>
      </c>
      <c r="C130" s="100" t="e">
        <f ca="1">IFERROR(__xludf.DUMMYFUNCTION("""COMPUTED_VALUE"""),"0.08409")</f>
        <v>#NAME?</v>
      </c>
      <c r="D130" s="100" t="e">
        <f t="shared" ca="1" si="16"/>
        <v>#NAME?</v>
      </c>
      <c r="E130" s="100" t="e">
        <f t="shared" ca="1" si="16"/>
        <v>#NAME?</v>
      </c>
      <c r="F130" s="100" t="e">
        <f t="shared" ref="F130:F193" ca="1" si="17">IFERROR(__xludf.DUMMYFUNCTION("""COMPUTED_VALUE"""),20200)</f>
        <v>#NAME?</v>
      </c>
      <c r="G130" s="100" t="e">
        <f t="shared" ref="G130:G193" ca="1" si="18">IFERROR(__xludf.DUMMYFUNCTION("""COMPUTED_VALUE"""),2885)</f>
        <v>#NAME?</v>
      </c>
      <c r="H130" s="100" t="e">
        <f t="shared" ref="H130:H193" ca="1" si="19">IFERROR(__xludf.DUMMYFUNCTION("""COMPUTED_VALUE"""),663)</f>
        <v>#NAME?</v>
      </c>
      <c r="I130" s="100" t="e">
        <f t="shared" ref="I130:I193" ca="1" si="20">IFERROR(__xludf.DUMMYFUNCTION("""COMPUTED_VALUE"""),5817721)</f>
        <v>#NAME?</v>
      </c>
      <c r="J130" s="100" t="e">
        <f ca="1">IFERROR(__xludf.DUMMYFUNCTION("""COMPUTED_VALUE"""),"-21.87")</f>
        <v>#NAME?</v>
      </c>
      <c r="K130" s="100" t="e">
        <f t="shared" ref="K130:K193" ca="1" si="21">IFERROR(__xludf.DUMMYFUNCTION("""COMPUTED_VALUE"""),"22.04.2025 13:05:01")</f>
        <v>#NAME?</v>
      </c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</row>
    <row r="131" spans="1:26">
      <c r="A131" s="100" t="e">
        <f ca="1">IFERROR(__xludf.DUMMYFUNCTION("""COMPUTED_VALUE"""),12747248)</f>
        <v>#NAME?</v>
      </c>
      <c r="B131" s="100" t="e">
        <f ca="1">IFERROR(__xludf.DUMMYFUNCTION("""COMPUTED_VALUE"""),"BCHUSDC")</f>
        <v>#NAME?</v>
      </c>
      <c r="C131" s="100" t="e">
        <f ca="1">IFERROR(__xludf.DUMMYFUNCTION("""COMPUTED_VALUE"""),"347.1")</f>
        <v>#NAME?</v>
      </c>
      <c r="D131" s="100" t="e">
        <f t="shared" ca="1" si="16"/>
        <v>#NAME?</v>
      </c>
      <c r="E131" s="100" t="e">
        <f t="shared" ca="1" si="16"/>
        <v>#NAME?</v>
      </c>
      <c r="F131" s="100" t="e">
        <f t="shared" ca="1" si="17"/>
        <v>#NAME?</v>
      </c>
      <c r="G131" s="100" t="e">
        <f t="shared" ca="1" si="18"/>
        <v>#NAME?</v>
      </c>
      <c r="H131" s="100" t="e">
        <f t="shared" ca="1" si="19"/>
        <v>#NAME?</v>
      </c>
      <c r="I131" s="100" t="e">
        <f t="shared" ca="1" si="20"/>
        <v>#NAME?</v>
      </c>
      <c r="J131" s="100" t="e">
        <f ca="1">IFERROR(__xludf.DUMMYFUNCTION("""COMPUTED_VALUE"""),"2.03")</f>
        <v>#NAME?</v>
      </c>
      <c r="K131" s="100" t="e">
        <f t="shared" ca="1" si="21"/>
        <v>#NAME?</v>
      </c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</row>
    <row r="132" spans="1:26">
      <c r="A132" s="100" t="e">
        <f ca="1">IFERROR(__xludf.DUMMYFUNCTION("""COMPUTED_VALUE"""),12747249)</f>
        <v>#NAME?</v>
      </c>
      <c r="B132" s="100" t="e">
        <f ca="1">IFERROR(__xludf.DUMMYFUNCTION("""COMPUTED_VALUE"""),"BCHUSDT")</f>
        <v>#NAME?</v>
      </c>
      <c r="C132" s="100" t="e">
        <f ca="1">IFERROR(__xludf.DUMMYFUNCTION("""COMPUTED_VALUE"""),"346.4")</f>
        <v>#NAME?</v>
      </c>
      <c r="D132" s="100" t="e">
        <f t="shared" ca="1" si="16"/>
        <v>#NAME?</v>
      </c>
      <c r="E132" s="100" t="e">
        <f t="shared" ca="1" si="16"/>
        <v>#NAME?</v>
      </c>
      <c r="F132" s="100" t="e">
        <f t="shared" ca="1" si="17"/>
        <v>#NAME?</v>
      </c>
      <c r="G132" s="100" t="e">
        <f t="shared" ca="1" si="18"/>
        <v>#NAME?</v>
      </c>
      <c r="H132" s="100" t="e">
        <f t="shared" ca="1" si="19"/>
        <v>#NAME?</v>
      </c>
      <c r="I132" s="100" t="e">
        <f t="shared" ca="1" si="20"/>
        <v>#NAME?</v>
      </c>
      <c r="J132" s="100" t="e">
        <f ca="1">IFERROR(__xludf.DUMMYFUNCTION("""COMPUTED_VALUE"""),"1.2")</f>
        <v>#NAME?</v>
      </c>
      <c r="K132" s="100" t="e">
        <f t="shared" ca="1" si="21"/>
        <v>#NAME?</v>
      </c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</row>
    <row r="133" spans="1:26">
      <c r="A133" s="100" t="e">
        <f ca="1">IFERROR(__xludf.DUMMYFUNCTION("""COMPUTED_VALUE"""),12747250)</f>
        <v>#NAME?</v>
      </c>
      <c r="B133" s="100" t="e">
        <f ca="1">IFERROR(__xludf.DUMMYFUNCTION("""COMPUTED_VALUE"""),"MNTUSDC")</f>
        <v>#NAME?</v>
      </c>
      <c r="C133" s="100" t="e">
        <f ca="1">IFERROR(__xludf.DUMMYFUNCTION("""COMPUTED_VALUE"""),"0.6662")</f>
        <v>#NAME?</v>
      </c>
      <c r="D133" s="100" t="e">
        <f t="shared" ca="1" si="16"/>
        <v>#NAME?</v>
      </c>
      <c r="E133" s="100" t="e">
        <f t="shared" ca="1" si="16"/>
        <v>#NAME?</v>
      </c>
      <c r="F133" s="100" t="e">
        <f t="shared" ca="1" si="17"/>
        <v>#NAME?</v>
      </c>
      <c r="G133" s="100" t="e">
        <f t="shared" ca="1" si="18"/>
        <v>#NAME?</v>
      </c>
      <c r="H133" s="100" t="e">
        <f t="shared" ca="1" si="19"/>
        <v>#NAME?</v>
      </c>
      <c r="I133" s="100" t="e">
        <f t="shared" ca="1" si="20"/>
        <v>#NAME?</v>
      </c>
      <c r="J133" s="100" t="e">
        <f ca="1">IFERROR(__xludf.DUMMYFUNCTION("""COMPUTED_VALUE"""),"-0.33")</f>
        <v>#NAME?</v>
      </c>
      <c r="K133" s="100" t="e">
        <f t="shared" ca="1" si="21"/>
        <v>#NAME?</v>
      </c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</row>
    <row r="134" spans="1:26">
      <c r="A134" s="100" t="e">
        <f ca="1">IFERROR(__xludf.DUMMYFUNCTION("""COMPUTED_VALUE"""),12747251)</f>
        <v>#NAME?</v>
      </c>
      <c r="B134" s="100" t="e">
        <f ca="1">IFERROR(__xludf.DUMMYFUNCTION("""COMPUTED_VALUE"""),"LDOUSDC")</f>
        <v>#NAME?</v>
      </c>
      <c r="C134" s="100" t="e">
        <f ca="1">IFERROR(__xludf.DUMMYFUNCTION("""COMPUTED_VALUE"""),"0.729")</f>
        <v>#NAME?</v>
      </c>
      <c r="D134" s="100" t="e">
        <f t="shared" ca="1" si="16"/>
        <v>#NAME?</v>
      </c>
      <c r="E134" s="100" t="e">
        <f t="shared" ca="1" si="16"/>
        <v>#NAME?</v>
      </c>
      <c r="F134" s="100" t="e">
        <f t="shared" ca="1" si="17"/>
        <v>#NAME?</v>
      </c>
      <c r="G134" s="100" t="e">
        <f t="shared" ca="1" si="18"/>
        <v>#NAME?</v>
      </c>
      <c r="H134" s="100" t="e">
        <f t="shared" ca="1" si="19"/>
        <v>#NAME?</v>
      </c>
      <c r="I134" s="100" t="e">
        <f t="shared" ca="1" si="20"/>
        <v>#NAME?</v>
      </c>
      <c r="J134" s="100" t="e">
        <f ca="1">IFERROR(__xludf.DUMMYFUNCTION("""COMPUTED_VALUE"""),"-1.49")</f>
        <v>#NAME?</v>
      </c>
      <c r="K134" s="100" t="e">
        <f t="shared" ca="1" si="21"/>
        <v>#NAME?</v>
      </c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</row>
    <row r="135" spans="1:26">
      <c r="A135" s="100" t="e">
        <f ca="1">IFERROR(__xludf.DUMMYFUNCTION("""COMPUTED_VALUE"""),12747252)</f>
        <v>#NAME?</v>
      </c>
      <c r="B135" s="100" t="e">
        <f ca="1">IFERROR(__xludf.DUMMYFUNCTION("""COMPUTED_VALUE"""),"CAPSUSDT")</f>
        <v>#NAME?</v>
      </c>
      <c r="C135" s="100" t="e">
        <f ca="1">IFERROR(__xludf.DUMMYFUNCTION("""COMPUTED_VALUE"""),"0.001328")</f>
        <v>#NAME?</v>
      </c>
      <c r="D135" s="100" t="e">
        <f t="shared" ca="1" si="16"/>
        <v>#NAME?</v>
      </c>
      <c r="E135" s="100" t="e">
        <f t="shared" ca="1" si="16"/>
        <v>#NAME?</v>
      </c>
      <c r="F135" s="100" t="e">
        <f t="shared" ca="1" si="17"/>
        <v>#NAME?</v>
      </c>
      <c r="G135" s="100" t="e">
        <f t="shared" ca="1" si="18"/>
        <v>#NAME?</v>
      </c>
      <c r="H135" s="100" t="e">
        <f t="shared" ca="1" si="19"/>
        <v>#NAME?</v>
      </c>
      <c r="I135" s="100" t="e">
        <f t="shared" ca="1" si="20"/>
        <v>#NAME?</v>
      </c>
      <c r="J135" s="100" t="e">
        <f ca="1">IFERROR(__xludf.DUMMYFUNCTION("""COMPUTED_VALUE"""),"-0.67")</f>
        <v>#NAME?</v>
      </c>
      <c r="K135" s="100" t="e">
        <f t="shared" ca="1" si="21"/>
        <v>#NAME?</v>
      </c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</row>
    <row r="136" spans="1:26">
      <c r="A136" s="100" t="e">
        <f ca="1">IFERROR(__xludf.DUMMYFUNCTION("""COMPUTED_VALUE"""),12747253)</f>
        <v>#NAME?</v>
      </c>
      <c r="B136" s="100" t="e">
        <f ca="1">IFERROR(__xludf.DUMMYFUNCTION("""COMPUTED_VALUE"""),"ATOMUSDC")</f>
        <v>#NAME?</v>
      </c>
      <c r="C136" s="100" t="e">
        <f ca="1">IFERROR(__xludf.DUMMYFUNCTION("""COMPUTED_VALUE"""),"4.08")</f>
        <v>#NAME?</v>
      </c>
      <c r="D136" s="100" t="e">
        <f t="shared" ca="1" si="16"/>
        <v>#NAME?</v>
      </c>
      <c r="E136" s="100" t="e">
        <f t="shared" ca="1" si="16"/>
        <v>#NAME?</v>
      </c>
      <c r="F136" s="100" t="e">
        <f t="shared" ca="1" si="17"/>
        <v>#NAME?</v>
      </c>
      <c r="G136" s="100" t="e">
        <f t="shared" ca="1" si="18"/>
        <v>#NAME?</v>
      </c>
      <c r="H136" s="100" t="e">
        <f t="shared" ca="1" si="19"/>
        <v>#NAME?</v>
      </c>
      <c r="I136" s="100" t="e">
        <f t="shared" ca="1" si="20"/>
        <v>#NAME?</v>
      </c>
      <c r="J136" s="100" t="e">
        <f ca="1">IFERROR(__xludf.DUMMYFUNCTION("""COMPUTED_VALUE"""),"-4.72")</f>
        <v>#NAME?</v>
      </c>
      <c r="K136" s="100" t="e">
        <f t="shared" ca="1" si="21"/>
        <v>#NAME?</v>
      </c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</row>
    <row r="137" spans="1:26">
      <c r="A137" s="100" t="e">
        <f ca="1">IFERROR(__xludf.DUMMYFUNCTION("""COMPUTED_VALUE"""),12747254)</f>
        <v>#NAME?</v>
      </c>
      <c r="B137" s="100" t="e">
        <f ca="1">IFERROR(__xludf.DUMMYFUNCTION("""COMPUTED_VALUE"""),"SUIUSDC")</f>
        <v>#NAME?</v>
      </c>
      <c r="C137" s="100" t="e">
        <f ca="1">IFERROR(__xludf.DUMMYFUNCTION("""COMPUTED_VALUE"""),"2.3158")</f>
        <v>#NAME?</v>
      </c>
      <c r="D137" s="100" t="e">
        <f t="shared" ca="1" si="16"/>
        <v>#NAME?</v>
      </c>
      <c r="E137" s="100" t="e">
        <f t="shared" ca="1" si="16"/>
        <v>#NAME?</v>
      </c>
      <c r="F137" s="100" t="e">
        <f t="shared" ca="1" si="17"/>
        <v>#NAME?</v>
      </c>
      <c r="G137" s="100" t="e">
        <f t="shared" ca="1" si="18"/>
        <v>#NAME?</v>
      </c>
      <c r="H137" s="100" t="e">
        <f t="shared" ca="1" si="19"/>
        <v>#NAME?</v>
      </c>
      <c r="I137" s="100" t="e">
        <f t="shared" ca="1" si="20"/>
        <v>#NAME?</v>
      </c>
      <c r="J137" s="100" t="e">
        <f ca="1">IFERROR(__xludf.DUMMYFUNCTION("""COMPUTED_VALUE"""),"1.8900000000000001")</f>
        <v>#NAME?</v>
      </c>
      <c r="K137" s="100" t="e">
        <f t="shared" ca="1" si="21"/>
        <v>#NAME?</v>
      </c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</row>
    <row r="138" spans="1:26">
      <c r="A138" s="100" t="e">
        <f ca="1">IFERROR(__xludf.DUMMYFUNCTION("""COMPUTED_VALUE"""),12747255)</f>
        <v>#NAME?</v>
      </c>
      <c r="B138" s="100" t="e">
        <f ca="1">IFERROR(__xludf.DUMMYFUNCTION("""COMPUTED_VALUE"""),"USTCUSDT")</f>
        <v>#NAME?</v>
      </c>
      <c r="C138" s="100" t="e">
        <f ca="1">IFERROR(__xludf.DUMMYFUNCTION("""COMPUTED_VALUE"""),"0.01197")</f>
        <v>#NAME?</v>
      </c>
      <c r="D138" s="100" t="e">
        <f t="shared" ca="1" si="16"/>
        <v>#NAME?</v>
      </c>
      <c r="E138" s="100" t="e">
        <f t="shared" ca="1" si="16"/>
        <v>#NAME?</v>
      </c>
      <c r="F138" s="100" t="e">
        <f t="shared" ca="1" si="17"/>
        <v>#NAME?</v>
      </c>
      <c r="G138" s="100" t="e">
        <f t="shared" ca="1" si="18"/>
        <v>#NAME?</v>
      </c>
      <c r="H138" s="100" t="e">
        <f t="shared" ca="1" si="19"/>
        <v>#NAME?</v>
      </c>
      <c r="I138" s="100" t="e">
        <f t="shared" ca="1" si="20"/>
        <v>#NAME?</v>
      </c>
      <c r="J138" s="100" t="e">
        <f ca="1">IFERROR(__xludf.DUMMYFUNCTION("""COMPUTED_VALUE"""),"-3.47")</f>
        <v>#NAME?</v>
      </c>
      <c r="K138" s="100" t="e">
        <f t="shared" ca="1" si="21"/>
        <v>#NAME?</v>
      </c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</row>
    <row r="139" spans="1:26">
      <c r="A139" s="100" t="e">
        <f ca="1">IFERROR(__xludf.DUMMYFUNCTION("""COMPUTED_VALUE"""),12747256)</f>
        <v>#NAME?</v>
      </c>
      <c r="B139" s="100" t="e">
        <f ca="1">IFERROR(__xludf.DUMMYFUNCTION("""COMPUTED_VALUE"""),"TONEUR")</f>
        <v>#NAME?</v>
      </c>
      <c r="C139" s="100" t="e">
        <f ca="1">IFERROR(__xludf.DUMMYFUNCTION("""COMPUTED_VALUE"""),"2.537")</f>
        <v>#NAME?</v>
      </c>
      <c r="D139" s="100" t="e">
        <f t="shared" ca="1" si="16"/>
        <v>#NAME?</v>
      </c>
      <c r="E139" s="100" t="e">
        <f t="shared" ca="1" si="16"/>
        <v>#NAME?</v>
      </c>
      <c r="F139" s="100" t="e">
        <f t="shared" ca="1" si="17"/>
        <v>#NAME?</v>
      </c>
      <c r="G139" s="100" t="e">
        <f t="shared" ca="1" si="18"/>
        <v>#NAME?</v>
      </c>
      <c r="H139" s="100" t="e">
        <f t="shared" ca="1" si="19"/>
        <v>#NAME?</v>
      </c>
      <c r="I139" s="100" t="e">
        <f t="shared" ca="1" si="20"/>
        <v>#NAME?</v>
      </c>
      <c r="J139" s="100" t="e">
        <f ca="1">IFERROR(__xludf.DUMMYFUNCTION("""COMPUTED_VALUE"""),"-2.91")</f>
        <v>#NAME?</v>
      </c>
      <c r="K139" s="100" t="e">
        <f t="shared" ca="1" si="21"/>
        <v>#NAME?</v>
      </c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</row>
    <row r="140" spans="1:26">
      <c r="A140" s="100" t="e">
        <f ca="1">IFERROR(__xludf.DUMMYFUNCTION("""COMPUTED_VALUE"""),12747257)</f>
        <v>#NAME?</v>
      </c>
      <c r="B140" s="100" t="e">
        <f ca="1">IFERROR(__xludf.DUMMYFUNCTION("""COMPUTED_VALUE"""),"RACAUSDT")</f>
        <v>#NAME?</v>
      </c>
      <c r="C140" s="100" t="e">
        <f ca="1">IFERROR(__xludf.DUMMYFUNCTION("""COMPUTED_VALUE"""),"0.00008709")</f>
        <v>#NAME?</v>
      </c>
      <c r="D140" s="100" t="e">
        <f t="shared" ca="1" si="16"/>
        <v>#NAME?</v>
      </c>
      <c r="E140" s="100" t="e">
        <f t="shared" ca="1" si="16"/>
        <v>#NAME?</v>
      </c>
      <c r="F140" s="100" t="e">
        <f t="shared" ca="1" si="17"/>
        <v>#NAME?</v>
      </c>
      <c r="G140" s="100" t="e">
        <f t="shared" ca="1" si="18"/>
        <v>#NAME?</v>
      </c>
      <c r="H140" s="100" t="e">
        <f t="shared" ca="1" si="19"/>
        <v>#NAME?</v>
      </c>
      <c r="I140" s="100" t="e">
        <f t="shared" ca="1" si="20"/>
        <v>#NAME?</v>
      </c>
      <c r="J140" s="100" t="e">
        <f ca="1">IFERROR(__xludf.DUMMYFUNCTION("""COMPUTED_VALUE"""),"-0.72")</f>
        <v>#NAME?</v>
      </c>
      <c r="K140" s="100" t="e">
        <f t="shared" ca="1" si="21"/>
        <v>#NAME?</v>
      </c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</row>
    <row r="141" spans="1:26">
      <c r="A141" s="100" t="e">
        <f ca="1">IFERROR(__xludf.DUMMYFUNCTION("""COMPUTED_VALUE"""),12747258)</f>
        <v>#NAME?</v>
      </c>
      <c r="B141" s="100" t="e">
        <f ca="1">IFERROR(__xludf.DUMMYFUNCTION("""COMPUTED_VALUE"""),"FHEUSDT")</f>
        <v>#NAME?</v>
      </c>
      <c r="C141" s="100" t="e">
        <f ca="1">IFERROR(__xludf.DUMMYFUNCTION("""COMPUTED_VALUE"""),"0.09588")</f>
        <v>#NAME?</v>
      </c>
      <c r="D141" s="100" t="e">
        <f t="shared" ca="1" si="16"/>
        <v>#NAME?</v>
      </c>
      <c r="E141" s="100" t="e">
        <f t="shared" ca="1" si="16"/>
        <v>#NAME?</v>
      </c>
      <c r="F141" s="100" t="e">
        <f t="shared" ca="1" si="17"/>
        <v>#NAME?</v>
      </c>
      <c r="G141" s="100" t="e">
        <f t="shared" ca="1" si="18"/>
        <v>#NAME?</v>
      </c>
      <c r="H141" s="100" t="e">
        <f t="shared" ca="1" si="19"/>
        <v>#NAME?</v>
      </c>
      <c r="I141" s="100" t="e">
        <f t="shared" ca="1" si="20"/>
        <v>#NAME?</v>
      </c>
      <c r="J141" s="100" t="e">
        <f ca="1">IFERROR(__xludf.DUMMYFUNCTION("""COMPUTED_VALUE"""),"-1.51")</f>
        <v>#NAME?</v>
      </c>
      <c r="K141" s="100" t="e">
        <f t="shared" ca="1" si="21"/>
        <v>#NAME?</v>
      </c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</row>
    <row r="142" spans="1:26">
      <c r="A142" s="100" t="e">
        <f ca="1">IFERROR(__xludf.DUMMYFUNCTION("""COMPUTED_VALUE"""),12747259)</f>
        <v>#NAME?</v>
      </c>
      <c r="B142" s="100" t="e">
        <f ca="1">IFERROR(__xludf.DUMMYFUNCTION("""COMPUTED_VALUE"""),"WWYUSDT")</f>
        <v>#NAME?</v>
      </c>
      <c r="C142" s="100" t="e">
        <f ca="1">IFERROR(__xludf.DUMMYFUNCTION("""COMPUTED_VALUE"""),"0.0001951")</f>
        <v>#NAME?</v>
      </c>
      <c r="D142" s="100" t="e">
        <f t="shared" ref="D142:E161" ca="1" si="22">IFERROR(__xludf.DUMMYFUNCTION("""COMPUTED_VALUE"""),"-")</f>
        <v>#NAME?</v>
      </c>
      <c r="E142" s="100" t="e">
        <f t="shared" ca="1" si="22"/>
        <v>#NAME?</v>
      </c>
      <c r="F142" s="100" t="e">
        <f t="shared" ca="1" si="17"/>
        <v>#NAME?</v>
      </c>
      <c r="G142" s="100" t="e">
        <f t="shared" ca="1" si="18"/>
        <v>#NAME?</v>
      </c>
      <c r="H142" s="100" t="e">
        <f t="shared" ca="1" si="19"/>
        <v>#NAME?</v>
      </c>
      <c r="I142" s="100" t="e">
        <f t="shared" ca="1" si="20"/>
        <v>#NAME?</v>
      </c>
      <c r="J142" s="100" t="e">
        <f ca="1">IFERROR(__xludf.DUMMYFUNCTION("""COMPUTED_VALUE"""),"4.390000000000001")</f>
        <v>#NAME?</v>
      </c>
      <c r="K142" s="100" t="e">
        <f t="shared" ca="1" si="21"/>
        <v>#NAME?</v>
      </c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</row>
    <row r="143" spans="1:26">
      <c r="A143" s="100" t="e">
        <f ca="1">IFERROR(__xludf.DUMMYFUNCTION("""COMPUTED_VALUE"""),12747260)</f>
        <v>#NAME?</v>
      </c>
      <c r="B143" s="100" t="e">
        <f ca="1">IFERROR(__xludf.DUMMYFUNCTION("""COMPUTED_VALUE"""),"UMAUSDT")</f>
        <v>#NAME?</v>
      </c>
      <c r="C143" s="100" t="e">
        <f ca="1">IFERROR(__xludf.DUMMYFUNCTION("""COMPUTED_VALUE"""),"1.117")</f>
        <v>#NAME?</v>
      </c>
      <c r="D143" s="100" t="e">
        <f t="shared" ca="1" si="22"/>
        <v>#NAME?</v>
      </c>
      <c r="E143" s="100" t="e">
        <f t="shared" ca="1" si="22"/>
        <v>#NAME?</v>
      </c>
      <c r="F143" s="100" t="e">
        <f t="shared" ca="1" si="17"/>
        <v>#NAME?</v>
      </c>
      <c r="G143" s="100" t="e">
        <f t="shared" ca="1" si="18"/>
        <v>#NAME?</v>
      </c>
      <c r="H143" s="100" t="e">
        <f t="shared" ca="1" si="19"/>
        <v>#NAME?</v>
      </c>
      <c r="I143" s="100" t="e">
        <f t="shared" ca="1" si="20"/>
        <v>#NAME?</v>
      </c>
      <c r="J143" s="100" t="e">
        <f ca="1">IFERROR(__xludf.DUMMYFUNCTION("""COMPUTED_VALUE"""),"-2.64")</f>
        <v>#NAME?</v>
      </c>
      <c r="K143" s="100" t="e">
        <f t="shared" ca="1" si="21"/>
        <v>#NAME?</v>
      </c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</row>
    <row r="144" spans="1:26">
      <c r="A144" s="100" t="e">
        <f ca="1">IFERROR(__xludf.DUMMYFUNCTION("""COMPUTED_VALUE"""),12747261)</f>
        <v>#NAME?</v>
      </c>
      <c r="B144" s="100" t="e">
        <f ca="1">IFERROR(__xludf.DUMMYFUNCTION("""COMPUTED_VALUE"""),"PRIMEUSDT")</f>
        <v>#NAME?</v>
      </c>
      <c r="C144" s="100" t="e">
        <f ca="1">IFERROR(__xludf.DUMMYFUNCTION("""COMPUTED_VALUE"""),"2.558")</f>
        <v>#NAME?</v>
      </c>
      <c r="D144" s="100" t="e">
        <f t="shared" ca="1" si="22"/>
        <v>#NAME?</v>
      </c>
      <c r="E144" s="100" t="e">
        <f t="shared" ca="1" si="22"/>
        <v>#NAME?</v>
      </c>
      <c r="F144" s="100" t="e">
        <f t="shared" ca="1" si="17"/>
        <v>#NAME?</v>
      </c>
      <c r="G144" s="100" t="e">
        <f t="shared" ca="1" si="18"/>
        <v>#NAME?</v>
      </c>
      <c r="H144" s="100" t="e">
        <f t="shared" ca="1" si="19"/>
        <v>#NAME?</v>
      </c>
      <c r="I144" s="100" t="e">
        <f t="shared" ca="1" si="20"/>
        <v>#NAME?</v>
      </c>
      <c r="J144" s="100" t="e">
        <f ca="1">IFERROR(__xludf.DUMMYFUNCTION("""COMPUTED_VALUE"""),"0.9900000000000001")</f>
        <v>#NAME?</v>
      </c>
      <c r="K144" s="100" t="e">
        <f t="shared" ca="1" si="21"/>
        <v>#NAME?</v>
      </c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</row>
    <row r="145" spans="1:26">
      <c r="A145" s="100" t="e">
        <f ca="1">IFERROR(__xludf.DUMMYFUNCTION("""COMPUTED_VALUE"""),12747262)</f>
        <v>#NAME?</v>
      </c>
      <c r="B145" s="100" t="e">
        <f ca="1">IFERROR(__xludf.DUMMYFUNCTION("""COMPUTED_VALUE"""),"DBRUSDT")</f>
        <v>#NAME?</v>
      </c>
      <c r="C145" s="100" t="e">
        <f ca="1">IFERROR(__xludf.DUMMYFUNCTION("""COMPUTED_VALUE"""),"0.01492")</f>
        <v>#NAME?</v>
      </c>
      <c r="D145" s="100" t="e">
        <f t="shared" ca="1" si="22"/>
        <v>#NAME?</v>
      </c>
      <c r="E145" s="100" t="e">
        <f t="shared" ca="1" si="22"/>
        <v>#NAME?</v>
      </c>
      <c r="F145" s="100" t="e">
        <f t="shared" ca="1" si="17"/>
        <v>#NAME?</v>
      </c>
      <c r="G145" s="100" t="e">
        <f t="shared" ca="1" si="18"/>
        <v>#NAME?</v>
      </c>
      <c r="H145" s="100" t="e">
        <f t="shared" ca="1" si="19"/>
        <v>#NAME?</v>
      </c>
      <c r="I145" s="100" t="e">
        <f t="shared" ca="1" si="20"/>
        <v>#NAME?</v>
      </c>
      <c r="J145" s="100" t="e">
        <f ca="1">IFERROR(__xludf.DUMMYFUNCTION("""COMPUTED_VALUE"""),"-3.49")</f>
        <v>#NAME?</v>
      </c>
      <c r="K145" s="100" t="e">
        <f t="shared" ca="1" si="21"/>
        <v>#NAME?</v>
      </c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</row>
    <row r="146" spans="1:26">
      <c r="A146" s="100" t="e">
        <f ca="1">IFERROR(__xludf.DUMMYFUNCTION("""COMPUTED_VALUE"""),12747263)</f>
        <v>#NAME?</v>
      </c>
      <c r="B146" s="100" t="e">
        <f ca="1">IFERROR(__xludf.DUMMYFUNCTION("""COMPUTED_VALUE"""),"AEROUSDT")</f>
        <v>#NAME?</v>
      </c>
      <c r="C146" s="100" t="e">
        <f ca="1">IFERROR(__xludf.DUMMYFUNCTION("""COMPUTED_VALUE"""),"0.4042")</f>
        <v>#NAME?</v>
      </c>
      <c r="D146" s="100" t="e">
        <f t="shared" ca="1" si="22"/>
        <v>#NAME?</v>
      </c>
      <c r="E146" s="100" t="e">
        <f t="shared" ca="1" si="22"/>
        <v>#NAME?</v>
      </c>
      <c r="F146" s="100" t="e">
        <f t="shared" ca="1" si="17"/>
        <v>#NAME?</v>
      </c>
      <c r="G146" s="100" t="e">
        <f t="shared" ca="1" si="18"/>
        <v>#NAME?</v>
      </c>
      <c r="H146" s="100" t="e">
        <f t="shared" ca="1" si="19"/>
        <v>#NAME?</v>
      </c>
      <c r="I146" s="100" t="e">
        <f t="shared" ca="1" si="20"/>
        <v>#NAME?</v>
      </c>
      <c r="J146" s="100" t="e">
        <f ca="1">IFERROR(__xludf.DUMMYFUNCTION("""COMPUTED_VALUE"""),"-4.130000000000001")</f>
        <v>#NAME?</v>
      </c>
      <c r="K146" s="100" t="e">
        <f t="shared" ca="1" si="21"/>
        <v>#NAME?</v>
      </c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</row>
    <row r="147" spans="1:26">
      <c r="A147" s="100" t="e">
        <f ca="1">IFERROR(__xludf.DUMMYFUNCTION("""COMPUTED_VALUE"""),12747264)</f>
        <v>#NAME?</v>
      </c>
      <c r="B147" s="100" t="e">
        <f ca="1">IFERROR(__xludf.DUMMYFUNCTION("""COMPUTED_VALUE"""),"SHIBUSDC")</f>
        <v>#NAME?</v>
      </c>
      <c r="C147" s="100" t="e">
        <f ca="1">IFERROR(__xludf.DUMMYFUNCTION("""COMPUTED_VALUE"""),"0.00001252")</f>
        <v>#NAME?</v>
      </c>
      <c r="D147" s="100" t="e">
        <f t="shared" ca="1" si="22"/>
        <v>#NAME?</v>
      </c>
      <c r="E147" s="100" t="e">
        <f t="shared" ca="1" si="22"/>
        <v>#NAME?</v>
      </c>
      <c r="F147" s="100" t="e">
        <f t="shared" ca="1" si="17"/>
        <v>#NAME?</v>
      </c>
      <c r="G147" s="100" t="e">
        <f t="shared" ca="1" si="18"/>
        <v>#NAME?</v>
      </c>
      <c r="H147" s="100" t="e">
        <f t="shared" ca="1" si="19"/>
        <v>#NAME?</v>
      </c>
      <c r="I147" s="100" t="e">
        <f t="shared" ca="1" si="20"/>
        <v>#NAME?</v>
      </c>
      <c r="J147" s="100" t="e">
        <f ca="1">IFERROR(__xludf.DUMMYFUNCTION("""COMPUTED_VALUE"""),"-1.03")</f>
        <v>#NAME?</v>
      </c>
      <c r="K147" s="100" t="e">
        <f t="shared" ca="1" si="21"/>
        <v>#NAME?</v>
      </c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</row>
    <row r="148" spans="1:26">
      <c r="A148" s="100" t="e">
        <f ca="1">IFERROR(__xludf.DUMMYFUNCTION("""COMPUTED_VALUE"""),12747265)</f>
        <v>#NAME?</v>
      </c>
      <c r="B148" s="100" t="e">
        <f ca="1">IFERROR(__xludf.DUMMYFUNCTION("""COMPUTED_VALUE"""),"AARKUSDT")</f>
        <v>#NAME?</v>
      </c>
      <c r="C148" s="100" t="e">
        <f ca="1">IFERROR(__xludf.DUMMYFUNCTION("""COMPUTED_VALUE"""),"0.001607")</f>
        <v>#NAME?</v>
      </c>
      <c r="D148" s="100" t="e">
        <f t="shared" ca="1" si="22"/>
        <v>#NAME?</v>
      </c>
      <c r="E148" s="100" t="e">
        <f t="shared" ca="1" si="22"/>
        <v>#NAME?</v>
      </c>
      <c r="F148" s="100" t="e">
        <f t="shared" ca="1" si="17"/>
        <v>#NAME?</v>
      </c>
      <c r="G148" s="100" t="e">
        <f t="shared" ca="1" si="18"/>
        <v>#NAME?</v>
      </c>
      <c r="H148" s="100" t="e">
        <f t="shared" ca="1" si="19"/>
        <v>#NAME?</v>
      </c>
      <c r="I148" s="100" t="e">
        <f t="shared" ca="1" si="20"/>
        <v>#NAME?</v>
      </c>
      <c r="J148" s="100" t="e">
        <f ca="1">IFERROR(__xludf.DUMMYFUNCTION("""COMPUTED_VALUE"""),"-10.22")</f>
        <v>#NAME?</v>
      </c>
      <c r="K148" s="100" t="e">
        <f t="shared" ca="1" si="21"/>
        <v>#NAME?</v>
      </c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</row>
    <row r="149" spans="1:26">
      <c r="A149" s="100" t="e">
        <f ca="1">IFERROR(__xludf.DUMMYFUNCTION("""COMPUTED_VALUE"""),12747266)</f>
        <v>#NAME?</v>
      </c>
      <c r="B149" s="100" t="e">
        <f ca="1">IFERROR(__xludf.DUMMYFUNCTION("""COMPUTED_VALUE"""),"DOTUSDC")</f>
        <v>#NAME?</v>
      </c>
      <c r="C149" s="100" t="e">
        <f ca="1">IFERROR(__xludf.DUMMYFUNCTION("""COMPUTED_VALUE"""),"3.741")</f>
        <v>#NAME?</v>
      </c>
      <c r="D149" s="100" t="e">
        <f t="shared" ca="1" si="22"/>
        <v>#NAME?</v>
      </c>
      <c r="E149" s="100" t="e">
        <f t="shared" ca="1" si="22"/>
        <v>#NAME?</v>
      </c>
      <c r="F149" s="100" t="e">
        <f t="shared" ca="1" si="17"/>
        <v>#NAME?</v>
      </c>
      <c r="G149" s="100" t="e">
        <f t="shared" ca="1" si="18"/>
        <v>#NAME?</v>
      </c>
      <c r="H149" s="100" t="e">
        <f t="shared" ca="1" si="19"/>
        <v>#NAME?</v>
      </c>
      <c r="I149" s="100" t="e">
        <f t="shared" ca="1" si="20"/>
        <v>#NAME?</v>
      </c>
      <c r="J149" s="100" t="e">
        <f ca="1">IFERROR(__xludf.DUMMYFUNCTION("""COMPUTED_VALUE"""),"-4.64")</f>
        <v>#NAME?</v>
      </c>
      <c r="K149" s="100" t="e">
        <f t="shared" ca="1" si="21"/>
        <v>#NAME?</v>
      </c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</row>
    <row r="150" spans="1:26">
      <c r="A150" s="100" t="e">
        <f ca="1">IFERROR(__xludf.DUMMYFUNCTION("""COMPUTED_VALUE"""),12747267)</f>
        <v>#NAME?</v>
      </c>
      <c r="B150" s="100" t="e">
        <f ca="1">IFERROR(__xludf.DUMMYFUNCTION("""COMPUTED_VALUE"""),"DOGEEUR")</f>
        <v>#NAME?</v>
      </c>
      <c r="C150" s="100" t="e">
        <f ca="1">IFERROR(__xludf.DUMMYFUNCTION("""COMPUTED_VALUE"""),"0.14226")</f>
        <v>#NAME?</v>
      </c>
      <c r="D150" s="100" t="e">
        <f t="shared" ca="1" si="22"/>
        <v>#NAME?</v>
      </c>
      <c r="E150" s="100" t="e">
        <f t="shared" ca="1" si="22"/>
        <v>#NAME?</v>
      </c>
      <c r="F150" s="100" t="e">
        <f t="shared" ca="1" si="17"/>
        <v>#NAME?</v>
      </c>
      <c r="G150" s="100" t="e">
        <f t="shared" ca="1" si="18"/>
        <v>#NAME?</v>
      </c>
      <c r="H150" s="100" t="e">
        <f t="shared" ca="1" si="19"/>
        <v>#NAME?</v>
      </c>
      <c r="I150" s="100" t="e">
        <f t="shared" ca="1" si="20"/>
        <v>#NAME?</v>
      </c>
      <c r="J150" s="100" t="e">
        <f ca="1">IFERROR(__xludf.DUMMYFUNCTION("""COMPUTED_VALUE"""),"1.6099999999999999")</f>
        <v>#NAME?</v>
      </c>
      <c r="K150" s="100" t="e">
        <f t="shared" ca="1" si="21"/>
        <v>#NAME?</v>
      </c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</row>
    <row r="151" spans="1:26">
      <c r="A151" s="100" t="e">
        <f ca="1">IFERROR(__xludf.DUMMYFUNCTION("""COMPUTED_VALUE"""),12747268)</f>
        <v>#NAME?</v>
      </c>
      <c r="B151" s="100" t="e">
        <f ca="1">IFERROR(__xludf.DUMMYFUNCTION("""COMPUTED_VALUE"""),"C98USDT")</f>
        <v>#NAME?</v>
      </c>
      <c r="C151" s="100" t="e">
        <f ca="1">IFERROR(__xludf.DUMMYFUNCTION("""COMPUTED_VALUE"""),"0.05392")</f>
        <v>#NAME?</v>
      </c>
      <c r="D151" s="100" t="e">
        <f t="shared" ca="1" si="22"/>
        <v>#NAME?</v>
      </c>
      <c r="E151" s="100" t="e">
        <f t="shared" ca="1" si="22"/>
        <v>#NAME?</v>
      </c>
      <c r="F151" s="100" t="e">
        <f t="shared" ca="1" si="17"/>
        <v>#NAME?</v>
      </c>
      <c r="G151" s="100" t="e">
        <f t="shared" ca="1" si="18"/>
        <v>#NAME?</v>
      </c>
      <c r="H151" s="100" t="e">
        <f t="shared" ca="1" si="19"/>
        <v>#NAME?</v>
      </c>
      <c r="I151" s="100" t="e">
        <f t="shared" ca="1" si="20"/>
        <v>#NAME?</v>
      </c>
      <c r="J151" s="100" t="e">
        <f ca="1">IFERROR(__xludf.DUMMYFUNCTION("""COMPUTED_VALUE"""),"-2.5")</f>
        <v>#NAME?</v>
      </c>
      <c r="K151" s="100" t="e">
        <f t="shared" ca="1" si="21"/>
        <v>#NAME?</v>
      </c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</row>
    <row r="152" spans="1:26">
      <c r="A152" s="100" t="e">
        <f ca="1">IFERROR(__xludf.DUMMYFUNCTION("""COMPUTED_VALUE"""),12747269)</f>
        <v>#NAME?</v>
      </c>
      <c r="B152" s="100" t="e">
        <f ca="1">IFERROR(__xludf.DUMMYFUNCTION("""COMPUTED_VALUE"""),"LTCEUR")</f>
        <v>#NAME?</v>
      </c>
      <c r="C152" s="100" t="e">
        <f ca="1">IFERROR(__xludf.DUMMYFUNCTION("""COMPUTED_VALUE"""),"68.95")</f>
        <v>#NAME?</v>
      </c>
      <c r="D152" s="100" t="e">
        <f t="shared" ca="1" si="22"/>
        <v>#NAME?</v>
      </c>
      <c r="E152" s="100" t="e">
        <f t="shared" ca="1" si="22"/>
        <v>#NAME?</v>
      </c>
      <c r="F152" s="100" t="e">
        <f t="shared" ca="1" si="17"/>
        <v>#NAME?</v>
      </c>
      <c r="G152" s="100" t="e">
        <f t="shared" ca="1" si="18"/>
        <v>#NAME?</v>
      </c>
      <c r="H152" s="100" t="e">
        <f t="shared" ca="1" si="19"/>
        <v>#NAME?</v>
      </c>
      <c r="I152" s="100" t="e">
        <f t="shared" ca="1" si="20"/>
        <v>#NAME?</v>
      </c>
      <c r="J152" s="100" t="e">
        <f ca="1">IFERROR(__xludf.DUMMYFUNCTION("""COMPUTED_VALUE"""),"-1.67")</f>
        <v>#NAME?</v>
      </c>
      <c r="K152" s="100" t="e">
        <f t="shared" ca="1" si="21"/>
        <v>#NAME?</v>
      </c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</row>
    <row r="153" spans="1:26">
      <c r="A153" s="100" t="e">
        <f ca="1">IFERROR(__xludf.DUMMYFUNCTION("""COMPUTED_VALUE"""),12747270)</f>
        <v>#NAME?</v>
      </c>
      <c r="B153" s="100" t="e">
        <f ca="1">IFERROR(__xludf.DUMMYFUNCTION("""COMPUTED_VALUE"""),"NEARUSDT")</f>
        <v>#NAME?</v>
      </c>
      <c r="C153" s="100" t="e">
        <f ca="1">IFERROR(__xludf.DUMMYFUNCTION("""COMPUTED_VALUE"""),"2.19")</f>
        <v>#NAME?</v>
      </c>
      <c r="D153" s="100" t="e">
        <f t="shared" ca="1" si="22"/>
        <v>#NAME?</v>
      </c>
      <c r="E153" s="100" t="e">
        <f t="shared" ca="1" si="22"/>
        <v>#NAME?</v>
      </c>
      <c r="F153" s="100" t="e">
        <f t="shared" ca="1" si="17"/>
        <v>#NAME?</v>
      </c>
      <c r="G153" s="100" t="e">
        <f t="shared" ca="1" si="18"/>
        <v>#NAME?</v>
      </c>
      <c r="H153" s="100" t="e">
        <f t="shared" ca="1" si="19"/>
        <v>#NAME?</v>
      </c>
      <c r="I153" s="100" t="e">
        <f t="shared" ca="1" si="20"/>
        <v>#NAME?</v>
      </c>
      <c r="J153" s="100" t="e">
        <f ca="1">IFERROR(__xludf.DUMMYFUNCTION("""COMPUTED_VALUE"""),"-5.319999999999999")</f>
        <v>#NAME?</v>
      </c>
      <c r="K153" s="100" t="e">
        <f t="shared" ca="1" si="21"/>
        <v>#NAME?</v>
      </c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</row>
    <row r="154" spans="1:26">
      <c r="A154" s="100" t="e">
        <f ca="1">IFERROR(__xludf.DUMMYFUNCTION("""COMPUTED_VALUE"""),12747271)</f>
        <v>#NAME?</v>
      </c>
      <c r="B154" s="100" t="e">
        <f ca="1">IFERROR(__xludf.DUMMYFUNCTION("""COMPUTED_VALUE"""),"CATIUSDC")</f>
        <v>#NAME?</v>
      </c>
      <c r="C154" s="100" t="e">
        <f ca="1">IFERROR(__xludf.DUMMYFUNCTION("""COMPUTED_VALUE"""),"0.0833")</f>
        <v>#NAME?</v>
      </c>
      <c r="D154" s="100" t="e">
        <f t="shared" ca="1" si="22"/>
        <v>#NAME?</v>
      </c>
      <c r="E154" s="100" t="e">
        <f t="shared" ca="1" si="22"/>
        <v>#NAME?</v>
      </c>
      <c r="F154" s="100" t="e">
        <f t="shared" ca="1" si="17"/>
        <v>#NAME?</v>
      </c>
      <c r="G154" s="100" t="e">
        <f t="shared" ca="1" si="18"/>
        <v>#NAME?</v>
      </c>
      <c r="H154" s="100" t="e">
        <f t="shared" ca="1" si="19"/>
        <v>#NAME?</v>
      </c>
      <c r="I154" s="100" t="e">
        <f t="shared" ca="1" si="20"/>
        <v>#NAME?</v>
      </c>
      <c r="J154" s="100" t="e">
        <f ca="1">IFERROR(__xludf.DUMMYFUNCTION("""COMPUTED_VALUE"""),"-2.23")</f>
        <v>#NAME?</v>
      </c>
      <c r="K154" s="100" t="e">
        <f t="shared" ca="1" si="21"/>
        <v>#NAME?</v>
      </c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</row>
    <row r="155" spans="1:26">
      <c r="A155" s="100" t="e">
        <f ca="1">IFERROR(__xludf.DUMMYFUNCTION("""COMPUTED_VALUE"""),12747272)</f>
        <v>#NAME?</v>
      </c>
      <c r="B155" s="100" t="e">
        <f ca="1">IFERROR(__xludf.DUMMYFUNCTION("""COMPUTED_VALUE"""),"ETHEUR")</f>
        <v>#NAME?</v>
      </c>
      <c r="C155" s="100" t="e">
        <f ca="1">IFERROR(__xludf.DUMMYFUNCTION("""COMPUTED_VALUE"""),"1413.55")</f>
        <v>#NAME?</v>
      </c>
      <c r="D155" s="100" t="e">
        <f t="shared" ca="1" si="22"/>
        <v>#NAME?</v>
      </c>
      <c r="E155" s="100" t="e">
        <f t="shared" ca="1" si="22"/>
        <v>#NAME?</v>
      </c>
      <c r="F155" s="100" t="e">
        <f t="shared" ca="1" si="17"/>
        <v>#NAME?</v>
      </c>
      <c r="G155" s="100" t="e">
        <f t="shared" ca="1" si="18"/>
        <v>#NAME?</v>
      </c>
      <c r="H155" s="100" t="e">
        <f t="shared" ca="1" si="19"/>
        <v>#NAME?</v>
      </c>
      <c r="I155" s="100" t="e">
        <f t="shared" ca="1" si="20"/>
        <v>#NAME?</v>
      </c>
      <c r="J155" s="100" t="e">
        <f ca="1">IFERROR(__xludf.DUMMYFUNCTION("""COMPUTED_VALUE"""),"-0.66")</f>
        <v>#NAME?</v>
      </c>
      <c r="K155" s="100" t="e">
        <f t="shared" ca="1" si="21"/>
        <v>#NAME?</v>
      </c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</row>
    <row r="156" spans="1:26">
      <c r="A156" s="100" t="e">
        <f ca="1">IFERROR(__xludf.DUMMYFUNCTION("""COMPUTED_VALUE"""),12747273)</f>
        <v>#NAME?</v>
      </c>
      <c r="B156" s="100" t="e">
        <f ca="1">IFERROR(__xludf.DUMMYFUNCTION("""COMPUTED_VALUE"""),"MEWUSDT")</f>
        <v>#NAME?</v>
      </c>
      <c r="C156" s="100" t="e">
        <f ca="1">IFERROR(__xludf.DUMMYFUNCTION("""COMPUTED_VALUE"""),"0.002633")</f>
        <v>#NAME?</v>
      </c>
      <c r="D156" s="100" t="e">
        <f t="shared" ca="1" si="22"/>
        <v>#NAME?</v>
      </c>
      <c r="E156" s="100" t="e">
        <f t="shared" ca="1" si="22"/>
        <v>#NAME?</v>
      </c>
      <c r="F156" s="100" t="e">
        <f t="shared" ca="1" si="17"/>
        <v>#NAME?</v>
      </c>
      <c r="G156" s="100" t="e">
        <f t="shared" ca="1" si="18"/>
        <v>#NAME?</v>
      </c>
      <c r="H156" s="100" t="e">
        <f t="shared" ca="1" si="19"/>
        <v>#NAME?</v>
      </c>
      <c r="I156" s="100" t="e">
        <f t="shared" ca="1" si="20"/>
        <v>#NAME?</v>
      </c>
      <c r="J156" s="100" t="e">
        <f ca="1">IFERROR(__xludf.DUMMYFUNCTION("""COMPUTED_VALUE"""),"6.3")</f>
        <v>#NAME?</v>
      </c>
      <c r="K156" s="100" t="e">
        <f t="shared" ca="1" si="21"/>
        <v>#NAME?</v>
      </c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</row>
    <row r="157" spans="1:26">
      <c r="A157" s="100" t="e">
        <f ca="1">IFERROR(__xludf.DUMMYFUNCTION("""COMPUTED_VALUE"""),12747274)</f>
        <v>#NAME?</v>
      </c>
      <c r="B157" s="100" t="e">
        <f ca="1">IFERROR(__xludf.DUMMYFUNCTION("""COMPUTED_VALUE"""),"USDTBUSDT")</f>
        <v>#NAME?</v>
      </c>
      <c r="C157" s="100" t="e">
        <f ca="1">IFERROR(__xludf.DUMMYFUNCTION("""COMPUTED_VALUE"""),"1.0002")</f>
        <v>#NAME?</v>
      </c>
      <c r="D157" s="100" t="e">
        <f t="shared" ca="1" si="22"/>
        <v>#NAME?</v>
      </c>
      <c r="E157" s="100" t="e">
        <f t="shared" ca="1" si="22"/>
        <v>#NAME?</v>
      </c>
      <c r="F157" s="100" t="e">
        <f t="shared" ca="1" si="17"/>
        <v>#NAME?</v>
      </c>
      <c r="G157" s="100" t="e">
        <f t="shared" ca="1" si="18"/>
        <v>#NAME?</v>
      </c>
      <c r="H157" s="100" t="e">
        <f t="shared" ca="1" si="19"/>
        <v>#NAME?</v>
      </c>
      <c r="I157" s="100" t="e">
        <f t="shared" ca="1" si="20"/>
        <v>#NAME?</v>
      </c>
      <c r="J157" s="100" t="e">
        <f ca="1">IFERROR(__xludf.DUMMYFUNCTION("""COMPUTED_VALUE"""),"0.01")</f>
        <v>#NAME?</v>
      </c>
      <c r="K157" s="100" t="e">
        <f t="shared" ca="1" si="21"/>
        <v>#NAME?</v>
      </c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</row>
    <row r="158" spans="1:26">
      <c r="A158" s="100" t="e">
        <f ca="1">IFERROR(__xludf.DUMMYFUNCTION("""COMPUTED_VALUE"""),12747275)</f>
        <v>#NAME?</v>
      </c>
      <c r="B158" s="100" t="e">
        <f ca="1">IFERROR(__xludf.DUMMYFUNCTION("""COMPUTED_VALUE"""),"MNRYUSDT")</f>
        <v>#NAME?</v>
      </c>
      <c r="C158" s="100" t="e">
        <f ca="1">IFERROR(__xludf.DUMMYFUNCTION("""COMPUTED_VALUE"""),"0.00649")</f>
        <v>#NAME?</v>
      </c>
      <c r="D158" s="100" t="e">
        <f t="shared" ca="1" si="22"/>
        <v>#NAME?</v>
      </c>
      <c r="E158" s="100" t="e">
        <f t="shared" ca="1" si="22"/>
        <v>#NAME?</v>
      </c>
      <c r="F158" s="100" t="e">
        <f t="shared" ca="1" si="17"/>
        <v>#NAME?</v>
      </c>
      <c r="G158" s="100" t="e">
        <f t="shared" ca="1" si="18"/>
        <v>#NAME?</v>
      </c>
      <c r="H158" s="100" t="e">
        <f t="shared" ca="1" si="19"/>
        <v>#NAME?</v>
      </c>
      <c r="I158" s="100" t="e">
        <f t="shared" ca="1" si="20"/>
        <v>#NAME?</v>
      </c>
      <c r="J158" s="100" t="e">
        <f ca="1">IFERROR(__xludf.DUMMYFUNCTION("""COMPUTED_VALUE"""),"2.37")</f>
        <v>#NAME?</v>
      </c>
      <c r="K158" s="100" t="e">
        <f t="shared" ca="1" si="21"/>
        <v>#NAME?</v>
      </c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</row>
    <row r="159" spans="1:26">
      <c r="A159" s="100" t="e">
        <f ca="1">IFERROR(__xludf.DUMMYFUNCTION("""COMPUTED_VALUE"""),12747276)</f>
        <v>#NAME?</v>
      </c>
      <c r="B159" s="100" t="e">
        <f ca="1">IFERROR(__xludf.DUMMYFUNCTION("""COMPUTED_VALUE"""),"STREAMUSDT")</f>
        <v>#NAME?</v>
      </c>
      <c r="C159" s="100" t="e">
        <f ca="1">IFERROR(__xludf.DUMMYFUNCTION("""COMPUTED_VALUE"""),"0.0201")</f>
        <v>#NAME?</v>
      </c>
      <c r="D159" s="100" t="e">
        <f t="shared" ca="1" si="22"/>
        <v>#NAME?</v>
      </c>
      <c r="E159" s="100" t="e">
        <f t="shared" ca="1" si="22"/>
        <v>#NAME?</v>
      </c>
      <c r="F159" s="100" t="e">
        <f t="shared" ca="1" si="17"/>
        <v>#NAME?</v>
      </c>
      <c r="G159" s="100" t="e">
        <f t="shared" ca="1" si="18"/>
        <v>#NAME?</v>
      </c>
      <c r="H159" s="100" t="e">
        <f t="shared" ca="1" si="19"/>
        <v>#NAME?</v>
      </c>
      <c r="I159" s="100" t="e">
        <f t="shared" ca="1" si="20"/>
        <v>#NAME?</v>
      </c>
      <c r="J159" s="100" t="e">
        <f ca="1">IFERROR(__xludf.DUMMYFUNCTION("""COMPUTED_VALUE"""),"-16.77")</f>
        <v>#NAME?</v>
      </c>
      <c r="K159" s="100" t="e">
        <f t="shared" ca="1" si="21"/>
        <v>#NAME?</v>
      </c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</row>
    <row r="160" spans="1:26">
      <c r="A160" s="100" t="e">
        <f ca="1">IFERROR(__xludf.DUMMYFUNCTION("""COMPUTED_VALUE"""),12747277)</f>
        <v>#NAME?</v>
      </c>
      <c r="B160" s="100" t="e">
        <f ca="1">IFERROR(__xludf.DUMMYFUNCTION("""COMPUTED_VALUE"""),"ZENUSDT")</f>
        <v>#NAME?</v>
      </c>
      <c r="C160" s="100" t="e">
        <f ca="1">IFERROR(__xludf.DUMMYFUNCTION("""COMPUTED_VALUE"""),"8.65")</f>
        <v>#NAME?</v>
      </c>
      <c r="D160" s="100" t="e">
        <f t="shared" ca="1" si="22"/>
        <v>#NAME?</v>
      </c>
      <c r="E160" s="100" t="e">
        <f t="shared" ca="1" si="22"/>
        <v>#NAME?</v>
      </c>
      <c r="F160" s="100" t="e">
        <f t="shared" ca="1" si="17"/>
        <v>#NAME?</v>
      </c>
      <c r="G160" s="100" t="e">
        <f t="shared" ca="1" si="18"/>
        <v>#NAME?</v>
      </c>
      <c r="H160" s="100" t="e">
        <f t="shared" ca="1" si="19"/>
        <v>#NAME?</v>
      </c>
      <c r="I160" s="100" t="e">
        <f t="shared" ca="1" si="20"/>
        <v>#NAME?</v>
      </c>
      <c r="J160" s="100" t="e">
        <f ca="1">IFERROR(__xludf.DUMMYFUNCTION("""COMPUTED_VALUE"""),"-3.8899999999999997")</f>
        <v>#NAME?</v>
      </c>
      <c r="K160" s="100" t="e">
        <f t="shared" ca="1" si="21"/>
        <v>#NAME?</v>
      </c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</row>
    <row r="161" spans="1:26">
      <c r="A161" s="100" t="e">
        <f ca="1">IFERROR(__xludf.DUMMYFUNCTION("""COMPUTED_VALUE"""),12747278)</f>
        <v>#NAME?</v>
      </c>
      <c r="B161" s="100" t="e">
        <f ca="1">IFERROR(__xludf.DUMMYFUNCTION("""COMPUTED_VALUE"""),"AMIUSDT")</f>
        <v>#NAME?</v>
      </c>
      <c r="C161" s="100" t="e">
        <f ca="1">IFERROR(__xludf.DUMMYFUNCTION("""COMPUTED_VALUE"""),"0.06555")</f>
        <v>#NAME?</v>
      </c>
      <c r="D161" s="100" t="e">
        <f t="shared" ca="1" si="22"/>
        <v>#NAME?</v>
      </c>
      <c r="E161" s="100" t="e">
        <f t="shared" ca="1" si="22"/>
        <v>#NAME?</v>
      </c>
      <c r="F161" s="100" t="e">
        <f t="shared" ca="1" si="17"/>
        <v>#NAME?</v>
      </c>
      <c r="G161" s="100" t="e">
        <f t="shared" ca="1" si="18"/>
        <v>#NAME?</v>
      </c>
      <c r="H161" s="100" t="e">
        <f t="shared" ca="1" si="19"/>
        <v>#NAME?</v>
      </c>
      <c r="I161" s="100" t="e">
        <f t="shared" ca="1" si="20"/>
        <v>#NAME?</v>
      </c>
      <c r="J161" s="100" t="e">
        <f ca="1">IFERROR(__xludf.DUMMYFUNCTION("""COMPUTED_VALUE"""),"-4.38")</f>
        <v>#NAME?</v>
      </c>
      <c r="K161" s="100" t="e">
        <f t="shared" ca="1" si="21"/>
        <v>#NAME?</v>
      </c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</row>
    <row r="162" spans="1:26">
      <c r="A162" s="100" t="e">
        <f ca="1">IFERROR(__xludf.DUMMYFUNCTION("""COMPUTED_VALUE"""),12747279)</f>
        <v>#NAME?</v>
      </c>
      <c r="B162" s="100" t="e">
        <f ca="1">IFERROR(__xludf.DUMMYFUNCTION("""COMPUTED_VALUE"""),"LUCEUSDT")</f>
        <v>#NAME?</v>
      </c>
      <c r="C162" s="100" t="e">
        <f ca="1">IFERROR(__xludf.DUMMYFUNCTION("""COMPUTED_VALUE"""),"0.01131")</f>
        <v>#NAME?</v>
      </c>
      <c r="D162" s="100" t="e">
        <f t="shared" ref="D162:E181" ca="1" si="23">IFERROR(__xludf.DUMMYFUNCTION("""COMPUTED_VALUE"""),"-")</f>
        <v>#NAME?</v>
      </c>
      <c r="E162" s="100" t="e">
        <f t="shared" ca="1" si="23"/>
        <v>#NAME?</v>
      </c>
      <c r="F162" s="100" t="e">
        <f t="shared" ca="1" si="17"/>
        <v>#NAME?</v>
      </c>
      <c r="G162" s="100" t="e">
        <f t="shared" ca="1" si="18"/>
        <v>#NAME?</v>
      </c>
      <c r="H162" s="100" t="e">
        <f t="shared" ca="1" si="19"/>
        <v>#NAME?</v>
      </c>
      <c r="I162" s="100" t="e">
        <f t="shared" ca="1" si="20"/>
        <v>#NAME?</v>
      </c>
      <c r="J162" s="100" t="e">
        <f ca="1">IFERROR(__xludf.DUMMYFUNCTION("""COMPUTED_VALUE"""),"-30.490000000000002")</f>
        <v>#NAME?</v>
      </c>
      <c r="K162" s="100" t="e">
        <f t="shared" ca="1" si="21"/>
        <v>#NAME?</v>
      </c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</row>
    <row r="163" spans="1:26">
      <c r="A163" s="100" t="e">
        <f ca="1">IFERROR(__xludf.DUMMYFUNCTION("""COMPUTED_VALUE"""),12747280)</f>
        <v>#NAME?</v>
      </c>
      <c r="B163" s="100" t="e">
        <f ca="1">IFERROR(__xludf.DUMMYFUNCTION("""COMPUTED_VALUE"""),"BTCBRL")</f>
        <v>#NAME?</v>
      </c>
      <c r="C163" s="100" t="e">
        <f ca="1">IFERROR(__xludf.DUMMYFUNCTION("""COMPUTED_VALUE"""),"516346")</f>
        <v>#NAME?</v>
      </c>
      <c r="D163" s="100" t="e">
        <f t="shared" ca="1" si="23"/>
        <v>#NAME?</v>
      </c>
      <c r="E163" s="100" t="e">
        <f t="shared" ca="1" si="23"/>
        <v>#NAME?</v>
      </c>
      <c r="F163" s="100" t="e">
        <f t="shared" ca="1" si="17"/>
        <v>#NAME?</v>
      </c>
      <c r="G163" s="100" t="e">
        <f t="shared" ca="1" si="18"/>
        <v>#NAME?</v>
      </c>
      <c r="H163" s="100" t="e">
        <f t="shared" ca="1" si="19"/>
        <v>#NAME?</v>
      </c>
      <c r="I163" s="100" t="e">
        <f t="shared" ca="1" si="20"/>
        <v>#NAME?</v>
      </c>
      <c r="J163" s="100" t="e">
        <f ca="1">IFERROR(__xludf.DUMMYFUNCTION("""COMPUTED_VALUE"""),"1.11")</f>
        <v>#NAME?</v>
      </c>
      <c r="K163" s="100" t="e">
        <f t="shared" ca="1" si="21"/>
        <v>#NAME?</v>
      </c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</row>
    <row r="164" spans="1:26">
      <c r="A164" s="100" t="e">
        <f ca="1">IFERROR(__xludf.DUMMYFUNCTION("""COMPUTED_VALUE"""),12747281)</f>
        <v>#NAME?</v>
      </c>
      <c r="B164" s="100" t="e">
        <f ca="1">IFERROR(__xludf.DUMMYFUNCTION("""COMPUTED_VALUE"""),"MOCAUSDT")</f>
        <v>#NAME?</v>
      </c>
      <c r="C164" s="100" t="e">
        <f ca="1">IFERROR(__xludf.DUMMYFUNCTION("""COMPUTED_VALUE"""),"0.07722")</f>
        <v>#NAME?</v>
      </c>
      <c r="D164" s="100" t="e">
        <f t="shared" ca="1" si="23"/>
        <v>#NAME?</v>
      </c>
      <c r="E164" s="100" t="e">
        <f t="shared" ca="1" si="23"/>
        <v>#NAME?</v>
      </c>
      <c r="F164" s="100" t="e">
        <f t="shared" ca="1" si="17"/>
        <v>#NAME?</v>
      </c>
      <c r="G164" s="100" t="e">
        <f t="shared" ca="1" si="18"/>
        <v>#NAME?</v>
      </c>
      <c r="H164" s="100" t="e">
        <f t="shared" ca="1" si="19"/>
        <v>#NAME?</v>
      </c>
      <c r="I164" s="100" t="e">
        <f t="shared" ca="1" si="20"/>
        <v>#NAME?</v>
      </c>
      <c r="J164" s="100" t="e">
        <f ca="1">IFERROR(__xludf.DUMMYFUNCTION("""COMPUTED_VALUE"""),"-0.49")</f>
        <v>#NAME?</v>
      </c>
      <c r="K164" s="100" t="e">
        <f t="shared" ca="1" si="21"/>
        <v>#NAME?</v>
      </c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</row>
    <row r="165" spans="1:26">
      <c r="A165" s="100" t="e">
        <f ca="1">IFERROR(__xludf.DUMMYFUNCTION("""COMPUTED_VALUE"""),12747282)</f>
        <v>#NAME?</v>
      </c>
      <c r="B165" s="100" t="e">
        <f ca="1">IFERROR(__xludf.DUMMYFUNCTION("""COMPUTED_VALUE"""),"METHUSDT")</f>
        <v>#NAME?</v>
      </c>
      <c r="C165" s="100" t="e">
        <f ca="1">IFERROR(__xludf.DUMMYFUNCTION("""COMPUTED_VALUE"""),"1727.77")</f>
        <v>#NAME?</v>
      </c>
      <c r="D165" s="100" t="e">
        <f t="shared" ca="1" si="23"/>
        <v>#NAME?</v>
      </c>
      <c r="E165" s="100" t="e">
        <f t="shared" ca="1" si="23"/>
        <v>#NAME?</v>
      </c>
      <c r="F165" s="100" t="e">
        <f t="shared" ca="1" si="17"/>
        <v>#NAME?</v>
      </c>
      <c r="G165" s="100" t="e">
        <f t="shared" ca="1" si="18"/>
        <v>#NAME?</v>
      </c>
      <c r="H165" s="100" t="e">
        <f t="shared" ca="1" si="19"/>
        <v>#NAME?</v>
      </c>
      <c r="I165" s="100" t="e">
        <f t="shared" ca="1" si="20"/>
        <v>#NAME?</v>
      </c>
      <c r="J165" s="100" t="e">
        <f ca="1">IFERROR(__xludf.DUMMYFUNCTION("""COMPUTED_VALUE"""),"-0.97")</f>
        <v>#NAME?</v>
      </c>
      <c r="K165" s="100" t="e">
        <f t="shared" ca="1" si="21"/>
        <v>#NAME?</v>
      </c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</row>
    <row r="166" spans="1:26">
      <c r="A166" s="100" t="e">
        <f ca="1">IFERROR(__xludf.DUMMYFUNCTION("""COMPUTED_VALUE"""),12747283)</f>
        <v>#NAME?</v>
      </c>
      <c r="B166" s="100" t="e">
        <f ca="1">IFERROR(__xludf.DUMMYFUNCTION("""COMPUTED_VALUE"""),"ETCUSDT")</f>
        <v>#NAME?</v>
      </c>
      <c r="C166" s="100" t="e">
        <f ca="1">IFERROR(__xludf.DUMMYFUNCTION("""COMPUTED_VALUE"""),"15.59")</f>
        <v>#NAME?</v>
      </c>
      <c r="D166" s="100" t="e">
        <f t="shared" ca="1" si="23"/>
        <v>#NAME?</v>
      </c>
      <c r="E166" s="100" t="e">
        <f t="shared" ca="1" si="23"/>
        <v>#NAME?</v>
      </c>
      <c r="F166" s="100" t="e">
        <f t="shared" ca="1" si="17"/>
        <v>#NAME?</v>
      </c>
      <c r="G166" s="100" t="e">
        <f t="shared" ca="1" si="18"/>
        <v>#NAME?</v>
      </c>
      <c r="H166" s="100" t="e">
        <f t="shared" ca="1" si="19"/>
        <v>#NAME?</v>
      </c>
      <c r="I166" s="100" t="e">
        <f t="shared" ca="1" si="20"/>
        <v>#NAME?</v>
      </c>
      <c r="J166" s="100" t="e">
        <f ca="1">IFERROR(__xludf.DUMMYFUNCTION("""COMPUTED_VALUE"""),"-3.2300000000000004")</f>
        <v>#NAME?</v>
      </c>
      <c r="K166" s="100" t="e">
        <f t="shared" ca="1" si="21"/>
        <v>#NAME?</v>
      </c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</row>
    <row r="167" spans="1:26">
      <c r="A167" s="100" t="e">
        <f ca="1">IFERROR(__xludf.DUMMYFUNCTION("""COMPUTED_VALUE"""),12747284)</f>
        <v>#NAME?</v>
      </c>
      <c r="B167" s="100" t="e">
        <f ca="1">IFERROR(__xludf.DUMMYFUNCTION("""COMPUTED_VALUE"""),"LUNCUSDC")</f>
        <v>#NAME?</v>
      </c>
      <c r="C167" s="100" t="e">
        <f ca="1">IFERROR(__xludf.DUMMYFUNCTION("""COMPUTED_VALUE"""),"0.00005992")</f>
        <v>#NAME?</v>
      </c>
      <c r="D167" s="100" t="e">
        <f t="shared" ca="1" si="23"/>
        <v>#NAME?</v>
      </c>
      <c r="E167" s="100" t="e">
        <f t="shared" ca="1" si="23"/>
        <v>#NAME?</v>
      </c>
      <c r="F167" s="100" t="e">
        <f t="shared" ca="1" si="17"/>
        <v>#NAME?</v>
      </c>
      <c r="G167" s="100" t="e">
        <f t="shared" ca="1" si="18"/>
        <v>#NAME?</v>
      </c>
      <c r="H167" s="100" t="e">
        <f t="shared" ca="1" si="19"/>
        <v>#NAME?</v>
      </c>
      <c r="I167" s="100" t="e">
        <f t="shared" ca="1" si="20"/>
        <v>#NAME?</v>
      </c>
      <c r="J167" s="100" t="e">
        <f ca="1">IFERROR(__xludf.DUMMYFUNCTION("""COMPUTED_VALUE"""),"-3.88")</f>
        <v>#NAME?</v>
      </c>
      <c r="K167" s="100" t="e">
        <f t="shared" ca="1" si="21"/>
        <v>#NAME?</v>
      </c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</row>
    <row r="168" spans="1:26">
      <c r="A168" s="100" t="e">
        <f ca="1">IFERROR(__xludf.DUMMYFUNCTION("""COMPUTED_VALUE"""),12747285)</f>
        <v>#NAME?</v>
      </c>
      <c r="B168" s="100" t="e">
        <f ca="1">IFERROR(__xludf.DUMMYFUNCTION("""COMPUTED_VALUE"""),"CMETHUSDT")</f>
        <v>#NAME?</v>
      </c>
      <c r="C168" s="100" t="e">
        <f ca="1">IFERROR(__xludf.DUMMYFUNCTION("""COMPUTED_VALUE"""),"1727.84")</f>
        <v>#NAME?</v>
      </c>
      <c r="D168" s="100" t="e">
        <f t="shared" ca="1" si="23"/>
        <v>#NAME?</v>
      </c>
      <c r="E168" s="100" t="e">
        <f t="shared" ca="1" si="23"/>
        <v>#NAME?</v>
      </c>
      <c r="F168" s="100" t="e">
        <f t="shared" ca="1" si="17"/>
        <v>#NAME?</v>
      </c>
      <c r="G168" s="100" t="e">
        <f t="shared" ca="1" si="18"/>
        <v>#NAME?</v>
      </c>
      <c r="H168" s="100" t="e">
        <f t="shared" ca="1" si="19"/>
        <v>#NAME?</v>
      </c>
      <c r="I168" s="100" t="e">
        <f t="shared" ca="1" si="20"/>
        <v>#NAME?</v>
      </c>
      <c r="J168" s="100" t="e">
        <f ca="1">IFERROR(__xludf.DUMMYFUNCTION("""COMPUTED_VALUE"""),"-1.13")</f>
        <v>#NAME?</v>
      </c>
      <c r="K168" s="100" t="e">
        <f t="shared" ca="1" si="21"/>
        <v>#NAME?</v>
      </c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</row>
    <row r="169" spans="1:26">
      <c r="A169" s="100" t="e">
        <f ca="1">IFERROR(__xludf.DUMMYFUNCTION("""COMPUTED_VALUE"""),12747286)</f>
        <v>#NAME?</v>
      </c>
      <c r="B169" s="100" t="e">
        <f ca="1">IFERROR(__xludf.DUMMYFUNCTION("""COMPUTED_VALUE"""),"STETHUSDT")</f>
        <v>#NAME?</v>
      </c>
      <c r="C169" s="100" t="e">
        <f ca="1">IFERROR(__xludf.DUMMYFUNCTION("""COMPUTED_VALUE"""),"1623.05")</f>
        <v>#NAME?</v>
      </c>
      <c r="D169" s="100" t="e">
        <f t="shared" ca="1" si="23"/>
        <v>#NAME?</v>
      </c>
      <c r="E169" s="100" t="e">
        <f t="shared" ca="1" si="23"/>
        <v>#NAME?</v>
      </c>
      <c r="F169" s="100" t="e">
        <f t="shared" ca="1" si="17"/>
        <v>#NAME?</v>
      </c>
      <c r="G169" s="100" t="e">
        <f t="shared" ca="1" si="18"/>
        <v>#NAME?</v>
      </c>
      <c r="H169" s="100" t="e">
        <f t="shared" ca="1" si="19"/>
        <v>#NAME?</v>
      </c>
      <c r="I169" s="100" t="e">
        <f t="shared" ca="1" si="20"/>
        <v>#NAME?</v>
      </c>
      <c r="J169" s="100" t="e">
        <f ca="1">IFERROR(__xludf.DUMMYFUNCTION("""COMPUTED_VALUE"""),"-1.08")</f>
        <v>#NAME?</v>
      </c>
      <c r="K169" s="100" t="e">
        <f t="shared" ca="1" si="21"/>
        <v>#NAME?</v>
      </c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</row>
    <row r="170" spans="1:26">
      <c r="A170" s="100" t="e">
        <f ca="1">IFERROR(__xludf.DUMMYFUNCTION("""COMPUTED_VALUE"""),12747287)</f>
        <v>#NAME?</v>
      </c>
      <c r="B170" s="100" t="e">
        <f ca="1">IFERROR(__xludf.DUMMYFUNCTION("""COMPUTED_VALUE"""),"LTCUSDC")</f>
        <v>#NAME?</v>
      </c>
      <c r="C170" s="100" t="e">
        <f ca="1">IFERROR(__xludf.DUMMYFUNCTION("""COMPUTED_VALUE"""),"79.27")</f>
        <v>#NAME?</v>
      </c>
      <c r="D170" s="100" t="e">
        <f t="shared" ca="1" si="23"/>
        <v>#NAME?</v>
      </c>
      <c r="E170" s="100" t="e">
        <f t="shared" ca="1" si="23"/>
        <v>#NAME?</v>
      </c>
      <c r="F170" s="100" t="e">
        <f t="shared" ca="1" si="17"/>
        <v>#NAME?</v>
      </c>
      <c r="G170" s="100" t="e">
        <f t="shared" ca="1" si="18"/>
        <v>#NAME?</v>
      </c>
      <c r="H170" s="100" t="e">
        <f t="shared" ca="1" si="19"/>
        <v>#NAME?</v>
      </c>
      <c r="I170" s="100" t="e">
        <f t="shared" ca="1" si="20"/>
        <v>#NAME?</v>
      </c>
      <c r="J170" s="100" t="e">
        <f ca="1">IFERROR(__xludf.DUMMYFUNCTION("""COMPUTED_VALUE"""),"-2.1")</f>
        <v>#NAME?</v>
      </c>
      <c r="K170" s="100" t="e">
        <f t="shared" ca="1" si="21"/>
        <v>#NAME?</v>
      </c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</row>
    <row r="171" spans="1:26">
      <c r="A171" s="100" t="e">
        <f ca="1">IFERROR(__xludf.DUMMYFUNCTION("""COMPUTED_VALUE"""),12747288)</f>
        <v>#NAME?</v>
      </c>
      <c r="B171" s="100" t="e">
        <f ca="1">IFERROR(__xludf.DUMMYFUNCTION("""COMPUTED_VALUE"""),"POPCATUSDT")</f>
        <v>#NAME?</v>
      </c>
      <c r="C171" s="100" t="e">
        <f ca="1">IFERROR(__xludf.DUMMYFUNCTION("""COMPUTED_VALUE"""),"0.3002")</f>
        <v>#NAME?</v>
      </c>
      <c r="D171" s="100" t="e">
        <f t="shared" ca="1" si="23"/>
        <v>#NAME?</v>
      </c>
      <c r="E171" s="100" t="e">
        <f t="shared" ca="1" si="23"/>
        <v>#NAME?</v>
      </c>
      <c r="F171" s="100" t="e">
        <f t="shared" ca="1" si="17"/>
        <v>#NAME?</v>
      </c>
      <c r="G171" s="100" t="e">
        <f t="shared" ca="1" si="18"/>
        <v>#NAME?</v>
      </c>
      <c r="H171" s="100" t="e">
        <f t="shared" ca="1" si="19"/>
        <v>#NAME?</v>
      </c>
      <c r="I171" s="100" t="e">
        <f t="shared" ca="1" si="20"/>
        <v>#NAME?</v>
      </c>
      <c r="J171" s="100" t="e">
        <f ca="1">IFERROR(__xludf.DUMMYFUNCTION("""COMPUTED_VALUE"""),"17.91")</f>
        <v>#NAME?</v>
      </c>
      <c r="K171" s="100" t="e">
        <f t="shared" ca="1" si="21"/>
        <v>#NAME?</v>
      </c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</row>
    <row r="172" spans="1:26">
      <c r="A172" s="100" t="e">
        <f ca="1">IFERROR(__xludf.DUMMYFUNCTION("""COMPUTED_VALUE"""),12747289)</f>
        <v>#NAME?</v>
      </c>
      <c r="B172" s="100" t="e">
        <f ca="1">IFERROR(__xludf.DUMMYFUNCTION("""COMPUTED_VALUE"""),"ZENTUSDT")</f>
        <v>#NAME?</v>
      </c>
      <c r="C172" s="100" t="e">
        <f ca="1">IFERROR(__xludf.DUMMYFUNCTION("""COMPUTED_VALUE"""),"0.01067")</f>
        <v>#NAME?</v>
      </c>
      <c r="D172" s="100" t="e">
        <f t="shared" ca="1" si="23"/>
        <v>#NAME?</v>
      </c>
      <c r="E172" s="100" t="e">
        <f t="shared" ca="1" si="23"/>
        <v>#NAME?</v>
      </c>
      <c r="F172" s="100" t="e">
        <f t="shared" ca="1" si="17"/>
        <v>#NAME?</v>
      </c>
      <c r="G172" s="100" t="e">
        <f t="shared" ca="1" si="18"/>
        <v>#NAME?</v>
      </c>
      <c r="H172" s="100" t="e">
        <f t="shared" ca="1" si="19"/>
        <v>#NAME?</v>
      </c>
      <c r="I172" s="100" t="e">
        <f t="shared" ca="1" si="20"/>
        <v>#NAME?</v>
      </c>
      <c r="J172" s="100" t="e">
        <f ca="1">IFERROR(__xludf.DUMMYFUNCTION("""COMPUTED_VALUE"""),"9.32")</f>
        <v>#NAME?</v>
      </c>
      <c r="K172" s="100" t="e">
        <f t="shared" ca="1" si="21"/>
        <v>#NAME?</v>
      </c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</row>
    <row r="173" spans="1:26">
      <c r="A173" s="100" t="e">
        <f ca="1">IFERROR(__xludf.DUMMYFUNCTION("""COMPUTED_VALUE"""),12747290)</f>
        <v>#NAME?</v>
      </c>
      <c r="B173" s="100" t="e">
        <f ca="1">IFERROR(__xludf.DUMMYFUNCTION("""COMPUTED_VALUE"""),"GUMMYUSDT")</f>
        <v>#NAME?</v>
      </c>
      <c r="C173" s="100" t="e">
        <f ca="1">IFERROR(__xludf.DUMMYFUNCTION("""COMPUTED_VALUE"""),"0.001817")</f>
        <v>#NAME?</v>
      </c>
      <c r="D173" s="100" t="e">
        <f t="shared" ca="1" si="23"/>
        <v>#NAME?</v>
      </c>
      <c r="E173" s="100" t="e">
        <f t="shared" ca="1" si="23"/>
        <v>#NAME?</v>
      </c>
      <c r="F173" s="100" t="e">
        <f t="shared" ca="1" si="17"/>
        <v>#NAME?</v>
      </c>
      <c r="G173" s="100" t="e">
        <f t="shared" ca="1" si="18"/>
        <v>#NAME?</v>
      </c>
      <c r="H173" s="100" t="e">
        <f t="shared" ca="1" si="19"/>
        <v>#NAME?</v>
      </c>
      <c r="I173" s="100" t="e">
        <f t="shared" ca="1" si="20"/>
        <v>#NAME?</v>
      </c>
      <c r="J173" s="100" t="e">
        <f ca="1">IFERROR(__xludf.DUMMYFUNCTION("""COMPUTED_VALUE"""),"0.72")</f>
        <v>#NAME?</v>
      </c>
      <c r="K173" s="100" t="e">
        <f t="shared" ca="1" si="21"/>
        <v>#NAME?</v>
      </c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</row>
    <row r="174" spans="1:26">
      <c r="A174" s="100" t="e">
        <f ca="1">IFERROR(__xludf.DUMMYFUNCTION("""COMPUTED_VALUE"""),12747291)</f>
        <v>#NAME?</v>
      </c>
      <c r="B174" s="100" t="e">
        <f ca="1">IFERROR(__xludf.DUMMYFUNCTION("""COMPUTED_VALUE"""),"SQTUSDT")</f>
        <v>#NAME?</v>
      </c>
      <c r="C174" s="100" t="e">
        <f ca="1">IFERROR(__xludf.DUMMYFUNCTION("""COMPUTED_VALUE"""),"0.001588")</f>
        <v>#NAME?</v>
      </c>
      <c r="D174" s="100" t="e">
        <f t="shared" ca="1" si="23"/>
        <v>#NAME?</v>
      </c>
      <c r="E174" s="100" t="e">
        <f t="shared" ca="1" si="23"/>
        <v>#NAME?</v>
      </c>
      <c r="F174" s="100" t="e">
        <f t="shared" ca="1" si="17"/>
        <v>#NAME?</v>
      </c>
      <c r="G174" s="100" t="e">
        <f t="shared" ca="1" si="18"/>
        <v>#NAME?</v>
      </c>
      <c r="H174" s="100" t="e">
        <f t="shared" ca="1" si="19"/>
        <v>#NAME?</v>
      </c>
      <c r="I174" s="100" t="e">
        <f t="shared" ca="1" si="20"/>
        <v>#NAME?</v>
      </c>
      <c r="J174" s="100" t="e">
        <f ca="1">IFERROR(__xludf.DUMMYFUNCTION("""COMPUTED_VALUE"""),"-3.9899999999999998")</f>
        <v>#NAME?</v>
      </c>
      <c r="K174" s="100" t="e">
        <f t="shared" ca="1" si="21"/>
        <v>#NAME?</v>
      </c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</row>
    <row r="175" spans="1:26">
      <c r="A175" s="100" t="e">
        <f ca="1">IFERROR(__xludf.DUMMYFUNCTION("""COMPUTED_VALUE"""),12747292)</f>
        <v>#NAME?</v>
      </c>
      <c r="B175" s="100" t="e">
        <f ca="1">IFERROR(__xludf.DUMMYFUNCTION("""COMPUTED_VALUE"""),"RSS3USDT")</f>
        <v>#NAME?</v>
      </c>
      <c r="C175" s="100" t="e">
        <f ca="1">IFERROR(__xludf.DUMMYFUNCTION("""COMPUTED_VALUE"""),"0.05706")</f>
        <v>#NAME?</v>
      </c>
      <c r="D175" s="100" t="e">
        <f t="shared" ca="1" si="23"/>
        <v>#NAME?</v>
      </c>
      <c r="E175" s="100" t="e">
        <f t="shared" ca="1" si="23"/>
        <v>#NAME?</v>
      </c>
      <c r="F175" s="100" t="e">
        <f t="shared" ca="1" si="17"/>
        <v>#NAME?</v>
      </c>
      <c r="G175" s="100" t="e">
        <f t="shared" ca="1" si="18"/>
        <v>#NAME?</v>
      </c>
      <c r="H175" s="100" t="e">
        <f t="shared" ca="1" si="19"/>
        <v>#NAME?</v>
      </c>
      <c r="I175" s="100" t="e">
        <f t="shared" ca="1" si="20"/>
        <v>#NAME?</v>
      </c>
      <c r="J175" s="100" t="e">
        <f ca="1">IFERROR(__xludf.DUMMYFUNCTION("""COMPUTED_VALUE"""),"11.27")</f>
        <v>#NAME?</v>
      </c>
      <c r="K175" s="100" t="e">
        <f t="shared" ca="1" si="21"/>
        <v>#NAME?</v>
      </c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</row>
    <row r="176" spans="1:26">
      <c r="A176" s="100" t="e">
        <f ca="1">IFERROR(__xludf.DUMMYFUNCTION("""COMPUTED_VALUE"""),12747293)</f>
        <v>#NAME?</v>
      </c>
      <c r="B176" s="100" t="e">
        <f ca="1">IFERROR(__xludf.DUMMYFUNCTION("""COMPUTED_VALUE"""),"AFGUSDT")</f>
        <v>#NAME?</v>
      </c>
      <c r="C176" s="100" t="e">
        <f ca="1">IFERROR(__xludf.DUMMYFUNCTION("""COMPUTED_VALUE"""),"0.003001")</f>
        <v>#NAME?</v>
      </c>
      <c r="D176" s="100" t="e">
        <f t="shared" ca="1" si="23"/>
        <v>#NAME?</v>
      </c>
      <c r="E176" s="100" t="e">
        <f t="shared" ca="1" si="23"/>
        <v>#NAME?</v>
      </c>
      <c r="F176" s="100" t="e">
        <f t="shared" ca="1" si="17"/>
        <v>#NAME?</v>
      </c>
      <c r="G176" s="100" t="e">
        <f t="shared" ca="1" si="18"/>
        <v>#NAME?</v>
      </c>
      <c r="H176" s="100" t="e">
        <f t="shared" ca="1" si="19"/>
        <v>#NAME?</v>
      </c>
      <c r="I176" s="100" t="e">
        <f t="shared" ca="1" si="20"/>
        <v>#NAME?</v>
      </c>
      <c r="J176" s="100" t="e">
        <f ca="1">IFERROR(__xludf.DUMMYFUNCTION("""COMPUTED_VALUE"""),"-0.43")</f>
        <v>#NAME?</v>
      </c>
      <c r="K176" s="100" t="e">
        <f t="shared" ca="1" si="21"/>
        <v>#NAME?</v>
      </c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</row>
    <row r="177" spans="1:26">
      <c r="A177" s="100" t="e">
        <f ca="1">IFERROR(__xludf.DUMMYFUNCTION("""COMPUTED_VALUE"""),12747294)</f>
        <v>#NAME?</v>
      </c>
      <c r="B177" s="100" t="e">
        <f ca="1">IFERROR(__xludf.DUMMYFUNCTION("""COMPUTED_VALUE"""),"PAWSUSDT")</f>
        <v>#NAME?</v>
      </c>
      <c r="C177" s="100" t="e">
        <f ca="1">IFERROR(__xludf.DUMMYFUNCTION("""COMPUTED_VALUE"""),"0.0001329")</f>
        <v>#NAME?</v>
      </c>
      <c r="D177" s="100" t="e">
        <f t="shared" ca="1" si="23"/>
        <v>#NAME?</v>
      </c>
      <c r="E177" s="100" t="e">
        <f t="shared" ca="1" si="23"/>
        <v>#NAME?</v>
      </c>
      <c r="F177" s="100" t="e">
        <f t="shared" ca="1" si="17"/>
        <v>#NAME?</v>
      </c>
      <c r="G177" s="100" t="e">
        <f t="shared" ca="1" si="18"/>
        <v>#NAME?</v>
      </c>
      <c r="H177" s="100" t="e">
        <f t="shared" ca="1" si="19"/>
        <v>#NAME?</v>
      </c>
      <c r="I177" s="100" t="e">
        <f t="shared" ca="1" si="20"/>
        <v>#NAME?</v>
      </c>
      <c r="J177" s="100" t="e">
        <f ca="1">IFERROR(__xludf.DUMMYFUNCTION("""COMPUTED_VALUE"""),"-10.92")</f>
        <v>#NAME?</v>
      </c>
      <c r="K177" s="100" t="e">
        <f t="shared" ca="1" si="21"/>
        <v>#NAME?</v>
      </c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</row>
    <row r="178" spans="1:26">
      <c r="A178" s="100" t="e">
        <f ca="1">IFERROR(__xludf.DUMMYFUNCTION("""COMPUTED_VALUE"""),12747295)</f>
        <v>#NAME?</v>
      </c>
      <c r="B178" s="100" t="e">
        <f ca="1">IFERROR(__xludf.DUMMYFUNCTION("""COMPUTED_VALUE"""),"ZEXUSDT")</f>
        <v>#NAME?</v>
      </c>
      <c r="C178" s="100" t="e">
        <f ca="1">IFERROR(__xludf.DUMMYFUNCTION("""COMPUTED_VALUE"""),"0.02787")</f>
        <v>#NAME?</v>
      </c>
      <c r="D178" s="100" t="e">
        <f t="shared" ca="1" si="23"/>
        <v>#NAME?</v>
      </c>
      <c r="E178" s="100" t="e">
        <f t="shared" ca="1" si="23"/>
        <v>#NAME?</v>
      </c>
      <c r="F178" s="100" t="e">
        <f t="shared" ca="1" si="17"/>
        <v>#NAME?</v>
      </c>
      <c r="G178" s="100" t="e">
        <f t="shared" ca="1" si="18"/>
        <v>#NAME?</v>
      </c>
      <c r="H178" s="100" t="e">
        <f t="shared" ca="1" si="19"/>
        <v>#NAME?</v>
      </c>
      <c r="I178" s="100" t="e">
        <f t="shared" ca="1" si="20"/>
        <v>#NAME?</v>
      </c>
      <c r="J178" s="100" t="e">
        <f ca="1">IFERROR(__xludf.DUMMYFUNCTION("""COMPUTED_VALUE"""),"0.06999999999999999")</f>
        <v>#NAME?</v>
      </c>
      <c r="K178" s="100" t="e">
        <f t="shared" ca="1" si="21"/>
        <v>#NAME?</v>
      </c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</row>
    <row r="179" spans="1:26">
      <c r="A179" s="100" t="e">
        <f ca="1">IFERROR(__xludf.DUMMYFUNCTION("""COMPUTED_VALUE"""),12747296)</f>
        <v>#NAME?</v>
      </c>
      <c r="B179" s="100" t="e">
        <f ca="1">IFERROR(__xludf.DUMMYFUNCTION("""COMPUTED_VALUE"""),"XTERUSDT")</f>
        <v>#NAME?</v>
      </c>
      <c r="C179" s="100" t="e">
        <f ca="1">IFERROR(__xludf.DUMMYFUNCTION("""COMPUTED_VALUE"""),"0.30964")</f>
        <v>#NAME?</v>
      </c>
      <c r="D179" s="100" t="e">
        <f t="shared" ca="1" si="23"/>
        <v>#NAME?</v>
      </c>
      <c r="E179" s="100" t="e">
        <f t="shared" ca="1" si="23"/>
        <v>#NAME?</v>
      </c>
      <c r="F179" s="100" t="e">
        <f t="shared" ca="1" si="17"/>
        <v>#NAME?</v>
      </c>
      <c r="G179" s="100" t="e">
        <f t="shared" ca="1" si="18"/>
        <v>#NAME?</v>
      </c>
      <c r="H179" s="100" t="e">
        <f t="shared" ca="1" si="19"/>
        <v>#NAME?</v>
      </c>
      <c r="I179" s="100" t="e">
        <f t="shared" ca="1" si="20"/>
        <v>#NAME?</v>
      </c>
      <c r="J179" s="100" t="e">
        <f ca="1">IFERROR(__xludf.DUMMYFUNCTION("""COMPUTED_VALUE"""),"-1.8599999999999999")</f>
        <v>#NAME?</v>
      </c>
      <c r="K179" s="100" t="e">
        <f t="shared" ca="1" si="21"/>
        <v>#NAME?</v>
      </c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</row>
    <row r="180" spans="1:26">
      <c r="A180" s="100" t="e">
        <f ca="1">IFERROR(__xludf.DUMMYFUNCTION("""COMPUTED_VALUE"""),12747297)</f>
        <v>#NAME?</v>
      </c>
      <c r="B180" s="100" t="e">
        <f ca="1">IFERROR(__xludf.DUMMYFUNCTION("""COMPUTED_VALUE"""),"VPADUSDT")</f>
        <v>#NAME?</v>
      </c>
      <c r="C180" s="100" t="e">
        <f ca="1">IFERROR(__xludf.DUMMYFUNCTION("""COMPUTED_VALUE"""),"0.004527")</f>
        <v>#NAME?</v>
      </c>
      <c r="D180" s="100" t="e">
        <f t="shared" ca="1" si="23"/>
        <v>#NAME?</v>
      </c>
      <c r="E180" s="100" t="e">
        <f t="shared" ca="1" si="23"/>
        <v>#NAME?</v>
      </c>
      <c r="F180" s="100" t="e">
        <f t="shared" ca="1" si="17"/>
        <v>#NAME?</v>
      </c>
      <c r="G180" s="100" t="e">
        <f t="shared" ca="1" si="18"/>
        <v>#NAME?</v>
      </c>
      <c r="H180" s="100" t="e">
        <f t="shared" ca="1" si="19"/>
        <v>#NAME?</v>
      </c>
      <c r="I180" s="100" t="e">
        <f t="shared" ca="1" si="20"/>
        <v>#NAME?</v>
      </c>
      <c r="J180" s="100" t="e">
        <f ca="1">IFERROR(__xludf.DUMMYFUNCTION("""COMPUTED_VALUE"""),"-1.18")</f>
        <v>#NAME?</v>
      </c>
      <c r="K180" s="100" t="e">
        <f t="shared" ca="1" si="21"/>
        <v>#NAME?</v>
      </c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</row>
    <row r="181" spans="1:26">
      <c r="A181" s="100" t="e">
        <f ca="1">IFERROR(__xludf.DUMMYFUNCTION("""COMPUTED_VALUE"""),12747298)</f>
        <v>#NAME?</v>
      </c>
      <c r="B181" s="100" t="e">
        <f ca="1">IFERROR(__xludf.DUMMYFUNCTION("""COMPUTED_VALUE"""),"TELUSDT")</f>
        <v>#NAME?</v>
      </c>
      <c r="C181" s="100" t="e">
        <f ca="1">IFERROR(__xludf.DUMMYFUNCTION("""COMPUTED_VALUE"""),"0.005665")</f>
        <v>#NAME?</v>
      </c>
      <c r="D181" s="100" t="e">
        <f t="shared" ca="1" si="23"/>
        <v>#NAME?</v>
      </c>
      <c r="E181" s="100" t="e">
        <f t="shared" ca="1" si="23"/>
        <v>#NAME?</v>
      </c>
      <c r="F181" s="100" t="e">
        <f t="shared" ca="1" si="17"/>
        <v>#NAME?</v>
      </c>
      <c r="G181" s="100" t="e">
        <f t="shared" ca="1" si="18"/>
        <v>#NAME?</v>
      </c>
      <c r="H181" s="100" t="e">
        <f t="shared" ca="1" si="19"/>
        <v>#NAME?</v>
      </c>
      <c r="I181" s="100" t="e">
        <f t="shared" ca="1" si="20"/>
        <v>#NAME?</v>
      </c>
      <c r="J181" s="100" t="e">
        <f ca="1">IFERROR(__xludf.DUMMYFUNCTION("""COMPUTED_VALUE"""),"2.55")</f>
        <v>#NAME?</v>
      </c>
      <c r="K181" s="100" t="e">
        <f t="shared" ca="1" si="21"/>
        <v>#NAME?</v>
      </c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</row>
    <row r="182" spans="1:26">
      <c r="A182" s="100" t="e">
        <f ca="1">IFERROR(__xludf.DUMMYFUNCTION("""COMPUTED_VALUE"""),12747299)</f>
        <v>#NAME?</v>
      </c>
      <c r="B182" s="100" t="e">
        <f ca="1">IFERROR(__xludf.DUMMYFUNCTION("""COMPUTED_VALUE"""),"RUNEUSDT")</f>
        <v>#NAME?</v>
      </c>
      <c r="C182" s="100" t="e">
        <f ca="1">IFERROR(__xludf.DUMMYFUNCTION("""COMPUTED_VALUE"""),"1.247")</f>
        <v>#NAME?</v>
      </c>
      <c r="D182" s="100" t="e">
        <f t="shared" ref="D182:E201" ca="1" si="24">IFERROR(__xludf.DUMMYFUNCTION("""COMPUTED_VALUE"""),"-")</f>
        <v>#NAME?</v>
      </c>
      <c r="E182" s="100" t="e">
        <f t="shared" ca="1" si="24"/>
        <v>#NAME?</v>
      </c>
      <c r="F182" s="100" t="e">
        <f t="shared" ca="1" si="17"/>
        <v>#NAME?</v>
      </c>
      <c r="G182" s="100" t="e">
        <f t="shared" ca="1" si="18"/>
        <v>#NAME?</v>
      </c>
      <c r="H182" s="100" t="e">
        <f t="shared" ca="1" si="19"/>
        <v>#NAME?</v>
      </c>
      <c r="I182" s="100" t="e">
        <f t="shared" ca="1" si="20"/>
        <v>#NAME?</v>
      </c>
      <c r="J182" s="100" t="e">
        <f ca="1">IFERROR(__xludf.DUMMYFUNCTION("""COMPUTED_VALUE"""),"0.24")</f>
        <v>#NAME?</v>
      </c>
      <c r="K182" s="100" t="e">
        <f t="shared" ca="1" si="21"/>
        <v>#NAME?</v>
      </c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</row>
    <row r="183" spans="1:26">
      <c r="A183" s="100" t="e">
        <f ca="1">IFERROR(__xludf.DUMMYFUNCTION("""COMPUTED_VALUE"""),12747300)</f>
        <v>#NAME?</v>
      </c>
      <c r="B183" s="100" t="e">
        <f ca="1">IFERROR(__xludf.DUMMYFUNCTION("""COMPUTED_VALUE"""),"LFTUSDT")</f>
        <v>#NAME?</v>
      </c>
      <c r="C183" s="100" t="e">
        <f ca="1">IFERROR(__xludf.DUMMYFUNCTION("""COMPUTED_VALUE"""),"0.01306")</f>
        <v>#NAME?</v>
      </c>
      <c r="D183" s="100" t="e">
        <f t="shared" ca="1" si="24"/>
        <v>#NAME?</v>
      </c>
      <c r="E183" s="100" t="e">
        <f t="shared" ca="1" si="24"/>
        <v>#NAME?</v>
      </c>
      <c r="F183" s="100" t="e">
        <f t="shared" ca="1" si="17"/>
        <v>#NAME?</v>
      </c>
      <c r="G183" s="100" t="e">
        <f t="shared" ca="1" si="18"/>
        <v>#NAME?</v>
      </c>
      <c r="H183" s="100" t="e">
        <f t="shared" ca="1" si="19"/>
        <v>#NAME?</v>
      </c>
      <c r="I183" s="100" t="e">
        <f t="shared" ca="1" si="20"/>
        <v>#NAME?</v>
      </c>
      <c r="J183" s="100" t="e">
        <f ca="1">IFERROR(__xludf.DUMMYFUNCTION("""COMPUTED_VALUE"""),"-1.1400000000000001")</f>
        <v>#NAME?</v>
      </c>
      <c r="K183" s="100" t="e">
        <f t="shared" ca="1" si="21"/>
        <v>#NAME?</v>
      </c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</row>
    <row r="184" spans="1:26">
      <c r="A184" s="100" t="e">
        <f ca="1">IFERROR(__xludf.DUMMYFUNCTION("""COMPUTED_VALUE"""),12747301)</f>
        <v>#NAME?</v>
      </c>
      <c r="B184" s="100" t="e">
        <f ca="1">IFERROR(__xludf.DUMMYFUNCTION("""COMPUTED_VALUE"""),"SANDUSDC")</f>
        <v>#NAME?</v>
      </c>
      <c r="C184" s="100" t="e">
        <f ca="1">IFERROR(__xludf.DUMMYFUNCTION("""COMPUTED_VALUE"""),"0.2744")</f>
        <v>#NAME?</v>
      </c>
      <c r="D184" s="100" t="e">
        <f t="shared" ca="1" si="24"/>
        <v>#NAME?</v>
      </c>
      <c r="E184" s="100" t="e">
        <f t="shared" ca="1" si="24"/>
        <v>#NAME?</v>
      </c>
      <c r="F184" s="100" t="e">
        <f t="shared" ca="1" si="17"/>
        <v>#NAME?</v>
      </c>
      <c r="G184" s="100" t="e">
        <f t="shared" ca="1" si="18"/>
        <v>#NAME?</v>
      </c>
      <c r="H184" s="100" t="e">
        <f t="shared" ca="1" si="19"/>
        <v>#NAME?</v>
      </c>
      <c r="I184" s="100" t="e">
        <f t="shared" ca="1" si="20"/>
        <v>#NAME?</v>
      </c>
      <c r="J184" s="100" t="e">
        <f ca="1">IFERROR(__xludf.DUMMYFUNCTION("""COMPUTED_VALUE"""),"-3.0700000000000003")</f>
        <v>#NAME?</v>
      </c>
      <c r="K184" s="100" t="e">
        <f t="shared" ca="1" si="21"/>
        <v>#NAME?</v>
      </c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</row>
    <row r="185" spans="1:26">
      <c r="A185" s="100" t="e">
        <f ca="1">IFERROR(__xludf.DUMMYFUNCTION("""COMPUTED_VALUE"""),12747302)</f>
        <v>#NAME?</v>
      </c>
      <c r="B185" s="100" t="e">
        <f ca="1">IFERROR(__xludf.DUMMYFUNCTION("""COMPUTED_VALUE"""),"LTCUSDT")</f>
        <v>#NAME?</v>
      </c>
      <c r="C185" s="100" t="e">
        <f ca="1">IFERROR(__xludf.DUMMYFUNCTION("""COMPUTED_VALUE"""),"79.38")</f>
        <v>#NAME?</v>
      </c>
      <c r="D185" s="100" t="e">
        <f t="shared" ca="1" si="24"/>
        <v>#NAME?</v>
      </c>
      <c r="E185" s="100" t="e">
        <f t="shared" ca="1" si="24"/>
        <v>#NAME?</v>
      </c>
      <c r="F185" s="100" t="e">
        <f t="shared" ca="1" si="17"/>
        <v>#NAME?</v>
      </c>
      <c r="G185" s="100" t="e">
        <f t="shared" ca="1" si="18"/>
        <v>#NAME?</v>
      </c>
      <c r="H185" s="100" t="e">
        <f t="shared" ca="1" si="19"/>
        <v>#NAME?</v>
      </c>
      <c r="I185" s="100" t="e">
        <f t="shared" ca="1" si="20"/>
        <v>#NAME?</v>
      </c>
      <c r="J185" s="100" t="e">
        <f ca="1">IFERROR(__xludf.DUMMYFUNCTION("""COMPUTED_VALUE"""),"-1.8900000000000001")</f>
        <v>#NAME?</v>
      </c>
      <c r="K185" s="100" t="e">
        <f t="shared" ca="1" si="21"/>
        <v>#NAME?</v>
      </c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</row>
    <row r="186" spans="1:26">
      <c r="A186" s="100" t="e">
        <f ca="1">IFERROR(__xludf.DUMMYFUNCTION("""COMPUTED_VALUE"""),12747303)</f>
        <v>#NAME?</v>
      </c>
      <c r="B186" s="100" t="e">
        <f ca="1">IFERROR(__xludf.DUMMYFUNCTION("""COMPUTED_VALUE"""),"GODSUSDT")</f>
        <v>#NAME?</v>
      </c>
      <c r="C186" s="100" t="e">
        <f ca="1">IFERROR(__xludf.DUMMYFUNCTION("""COMPUTED_VALUE"""),"0.09231")</f>
        <v>#NAME?</v>
      </c>
      <c r="D186" s="100" t="e">
        <f t="shared" ca="1" si="24"/>
        <v>#NAME?</v>
      </c>
      <c r="E186" s="100" t="e">
        <f t="shared" ca="1" si="24"/>
        <v>#NAME?</v>
      </c>
      <c r="F186" s="100" t="e">
        <f t="shared" ca="1" si="17"/>
        <v>#NAME?</v>
      </c>
      <c r="G186" s="100" t="e">
        <f t="shared" ca="1" si="18"/>
        <v>#NAME?</v>
      </c>
      <c r="H186" s="100" t="e">
        <f t="shared" ca="1" si="19"/>
        <v>#NAME?</v>
      </c>
      <c r="I186" s="100" t="e">
        <f t="shared" ca="1" si="20"/>
        <v>#NAME?</v>
      </c>
      <c r="J186" s="100" t="e">
        <f ca="1">IFERROR(__xludf.DUMMYFUNCTION("""COMPUTED_VALUE"""),"0.7100000000000001")</f>
        <v>#NAME?</v>
      </c>
      <c r="K186" s="100" t="e">
        <f t="shared" ca="1" si="21"/>
        <v>#NAME?</v>
      </c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</row>
    <row r="187" spans="1:26">
      <c r="A187" s="100" t="e">
        <f ca="1">IFERROR(__xludf.DUMMYFUNCTION("""COMPUTED_VALUE"""),12747304)</f>
        <v>#NAME?</v>
      </c>
      <c r="B187" s="100" t="e">
        <f ca="1">IFERROR(__xludf.DUMMYFUNCTION("""COMPUTED_VALUE"""),"SOLEUR")</f>
        <v>#NAME?</v>
      </c>
      <c r="C187" s="100" t="e">
        <f ca="1">IFERROR(__xludf.DUMMYFUNCTION("""COMPUTED_VALUE"""),"121.98")</f>
        <v>#NAME?</v>
      </c>
      <c r="D187" s="100" t="e">
        <f t="shared" ca="1" si="24"/>
        <v>#NAME?</v>
      </c>
      <c r="E187" s="100" t="e">
        <f t="shared" ca="1" si="24"/>
        <v>#NAME?</v>
      </c>
      <c r="F187" s="100" t="e">
        <f t="shared" ca="1" si="17"/>
        <v>#NAME?</v>
      </c>
      <c r="G187" s="100" t="e">
        <f t="shared" ca="1" si="18"/>
        <v>#NAME?</v>
      </c>
      <c r="H187" s="100" t="e">
        <f t="shared" ca="1" si="19"/>
        <v>#NAME?</v>
      </c>
      <c r="I187" s="100" t="e">
        <f t="shared" ca="1" si="20"/>
        <v>#NAME?</v>
      </c>
      <c r="J187" s="100" t="e">
        <f ca="1">IFERROR(__xludf.DUMMYFUNCTION("""COMPUTED_VALUE"""),"0.53")</f>
        <v>#NAME?</v>
      </c>
      <c r="K187" s="100" t="e">
        <f t="shared" ca="1" si="21"/>
        <v>#NAME?</v>
      </c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</row>
    <row r="188" spans="1:26">
      <c r="A188" s="100" t="e">
        <f ca="1">IFERROR(__xludf.DUMMYFUNCTION("""COMPUTED_VALUE"""),12747305)</f>
        <v>#NAME?</v>
      </c>
      <c r="B188" s="100" t="e">
        <f ca="1">IFERROR(__xludf.DUMMYFUNCTION("""COMPUTED_VALUE"""),"ETHBRL")</f>
        <v>#NAME?</v>
      </c>
      <c r="C188" s="100" t="e">
        <f ca="1">IFERROR(__xludf.DUMMYFUNCTION("""COMPUTED_VALUE"""),"9472.48")</f>
        <v>#NAME?</v>
      </c>
      <c r="D188" s="100" t="e">
        <f t="shared" ca="1" si="24"/>
        <v>#NAME?</v>
      </c>
      <c r="E188" s="100" t="e">
        <f t="shared" ca="1" si="24"/>
        <v>#NAME?</v>
      </c>
      <c r="F188" s="100" t="e">
        <f t="shared" ca="1" si="17"/>
        <v>#NAME?</v>
      </c>
      <c r="G188" s="100" t="e">
        <f t="shared" ca="1" si="18"/>
        <v>#NAME?</v>
      </c>
      <c r="H188" s="100" t="e">
        <f t="shared" ca="1" si="19"/>
        <v>#NAME?</v>
      </c>
      <c r="I188" s="100" t="e">
        <f t="shared" ca="1" si="20"/>
        <v>#NAME?</v>
      </c>
      <c r="J188" s="100" t="e">
        <f ca="1">IFERROR(__xludf.DUMMYFUNCTION("""COMPUTED_VALUE"""),"-1.24")</f>
        <v>#NAME?</v>
      </c>
      <c r="K188" s="100" t="e">
        <f t="shared" ca="1" si="21"/>
        <v>#NAME?</v>
      </c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</row>
    <row r="189" spans="1:26">
      <c r="A189" s="100" t="e">
        <f ca="1">IFERROR(__xludf.DUMMYFUNCTION("""COMPUTED_VALUE"""),12747306)</f>
        <v>#NAME?</v>
      </c>
      <c r="B189" s="100" t="e">
        <f ca="1">IFERROR(__xludf.DUMMYFUNCTION("""COMPUTED_VALUE"""),"MDAOUSDT")</f>
        <v>#NAME?</v>
      </c>
      <c r="C189" s="100" t="e">
        <f ca="1">IFERROR(__xludf.DUMMYFUNCTION("""COMPUTED_VALUE"""),"0.023")</f>
        <v>#NAME?</v>
      </c>
      <c r="D189" s="100" t="e">
        <f t="shared" ca="1" si="24"/>
        <v>#NAME?</v>
      </c>
      <c r="E189" s="100" t="e">
        <f t="shared" ca="1" si="24"/>
        <v>#NAME?</v>
      </c>
      <c r="F189" s="100" t="e">
        <f t="shared" ca="1" si="17"/>
        <v>#NAME?</v>
      </c>
      <c r="G189" s="100" t="e">
        <f t="shared" ca="1" si="18"/>
        <v>#NAME?</v>
      </c>
      <c r="H189" s="100" t="e">
        <f t="shared" ca="1" si="19"/>
        <v>#NAME?</v>
      </c>
      <c r="I189" s="100" t="e">
        <f t="shared" ca="1" si="20"/>
        <v>#NAME?</v>
      </c>
      <c r="J189" s="100" t="e">
        <f ca="1">IFERROR(__xludf.DUMMYFUNCTION("""COMPUTED_VALUE"""),"-0.48")</f>
        <v>#NAME?</v>
      </c>
      <c r="K189" s="100" t="e">
        <f t="shared" ca="1" si="21"/>
        <v>#NAME?</v>
      </c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</row>
    <row r="190" spans="1:26">
      <c r="A190" s="100" t="e">
        <f ca="1">IFERROR(__xludf.DUMMYFUNCTION("""COMPUTED_VALUE"""),12747307)</f>
        <v>#NAME?</v>
      </c>
      <c r="B190" s="100" t="e">
        <f ca="1">IFERROR(__xludf.DUMMYFUNCTION("""COMPUTED_VALUE"""),"VICUSDT")</f>
        <v>#NAME?</v>
      </c>
      <c r="C190" s="100" t="e">
        <f ca="1">IFERROR(__xludf.DUMMYFUNCTION("""COMPUTED_VALUE"""),"0.2037")</f>
        <v>#NAME?</v>
      </c>
      <c r="D190" s="100" t="e">
        <f t="shared" ca="1" si="24"/>
        <v>#NAME?</v>
      </c>
      <c r="E190" s="100" t="e">
        <f t="shared" ca="1" si="24"/>
        <v>#NAME?</v>
      </c>
      <c r="F190" s="100" t="e">
        <f t="shared" ca="1" si="17"/>
        <v>#NAME?</v>
      </c>
      <c r="G190" s="100" t="e">
        <f t="shared" ca="1" si="18"/>
        <v>#NAME?</v>
      </c>
      <c r="H190" s="100" t="e">
        <f t="shared" ca="1" si="19"/>
        <v>#NAME?</v>
      </c>
      <c r="I190" s="100" t="e">
        <f t="shared" ca="1" si="20"/>
        <v>#NAME?</v>
      </c>
      <c r="J190" s="100" t="e">
        <f ca="1">IFERROR(__xludf.DUMMYFUNCTION("""COMPUTED_VALUE"""),"-4.72")</f>
        <v>#NAME?</v>
      </c>
      <c r="K190" s="100" t="e">
        <f t="shared" ca="1" si="21"/>
        <v>#NAME?</v>
      </c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</row>
    <row r="191" spans="1:26">
      <c r="A191" s="100" t="e">
        <f ca="1">IFERROR(__xludf.DUMMYFUNCTION("""COMPUTED_VALUE"""),12747308)</f>
        <v>#NAME?</v>
      </c>
      <c r="B191" s="100" t="e">
        <f ca="1">IFERROR(__xludf.DUMMYFUNCTION("""COMPUTED_VALUE"""),"ZROUSDC")</f>
        <v>#NAME?</v>
      </c>
      <c r="C191" s="100" t="e">
        <f ca="1">IFERROR(__xludf.DUMMYFUNCTION("""COMPUTED_VALUE"""),"2.487")</f>
        <v>#NAME?</v>
      </c>
      <c r="D191" s="100" t="e">
        <f t="shared" ca="1" si="24"/>
        <v>#NAME?</v>
      </c>
      <c r="E191" s="100" t="e">
        <f t="shared" ca="1" si="24"/>
        <v>#NAME?</v>
      </c>
      <c r="F191" s="100" t="e">
        <f t="shared" ca="1" si="17"/>
        <v>#NAME?</v>
      </c>
      <c r="G191" s="100" t="e">
        <f t="shared" ca="1" si="18"/>
        <v>#NAME?</v>
      </c>
      <c r="H191" s="100" t="e">
        <f t="shared" ca="1" si="19"/>
        <v>#NAME?</v>
      </c>
      <c r="I191" s="100" t="e">
        <f t="shared" ca="1" si="20"/>
        <v>#NAME?</v>
      </c>
      <c r="J191" s="100" t="e">
        <f ca="1">IFERROR(__xludf.DUMMYFUNCTION("""COMPUTED_VALUE"""),"-3.6799999999999997")</f>
        <v>#NAME?</v>
      </c>
      <c r="K191" s="100" t="e">
        <f t="shared" ca="1" si="21"/>
        <v>#NAME?</v>
      </c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</row>
    <row r="192" spans="1:26">
      <c r="A192" s="100" t="e">
        <f ca="1">IFERROR(__xludf.DUMMYFUNCTION("""COMPUTED_VALUE"""),12747309)</f>
        <v>#NAME?</v>
      </c>
      <c r="B192" s="100" t="e">
        <f ca="1">IFERROR(__xludf.DUMMYFUNCTION("""COMPUTED_VALUE"""),"SSVUSDT")</f>
        <v>#NAME?</v>
      </c>
      <c r="C192" s="100" t="e">
        <f ca="1">IFERROR(__xludf.DUMMYFUNCTION("""COMPUTED_VALUE"""),"5.699")</f>
        <v>#NAME?</v>
      </c>
      <c r="D192" s="100" t="e">
        <f t="shared" ca="1" si="24"/>
        <v>#NAME?</v>
      </c>
      <c r="E192" s="100" t="e">
        <f t="shared" ca="1" si="24"/>
        <v>#NAME?</v>
      </c>
      <c r="F192" s="100" t="e">
        <f t="shared" ca="1" si="17"/>
        <v>#NAME?</v>
      </c>
      <c r="G192" s="100" t="e">
        <f t="shared" ca="1" si="18"/>
        <v>#NAME?</v>
      </c>
      <c r="H192" s="100" t="e">
        <f t="shared" ca="1" si="19"/>
        <v>#NAME?</v>
      </c>
      <c r="I192" s="100" t="e">
        <f t="shared" ca="1" si="20"/>
        <v>#NAME?</v>
      </c>
      <c r="J192" s="100" t="e">
        <f ca="1">IFERROR(__xludf.DUMMYFUNCTION("""COMPUTED_VALUE"""),"-1.16")</f>
        <v>#NAME?</v>
      </c>
      <c r="K192" s="100" t="e">
        <f t="shared" ca="1" si="21"/>
        <v>#NAME?</v>
      </c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</row>
    <row r="193" spans="1:26">
      <c r="A193" s="100" t="e">
        <f ca="1">IFERROR(__xludf.DUMMYFUNCTION("""COMPUTED_VALUE"""),12747310)</f>
        <v>#NAME?</v>
      </c>
      <c r="B193" s="100" t="e">
        <f ca="1">IFERROR(__xludf.DUMMYFUNCTION("""COMPUTED_VALUE"""),"WIFUSDC")</f>
        <v>#NAME?</v>
      </c>
      <c r="C193" s="100" t="e">
        <f ca="1">IFERROR(__xludf.DUMMYFUNCTION("""COMPUTED_VALUE"""),"0.436")</f>
        <v>#NAME?</v>
      </c>
      <c r="D193" s="100" t="e">
        <f t="shared" ca="1" si="24"/>
        <v>#NAME?</v>
      </c>
      <c r="E193" s="100" t="e">
        <f t="shared" ca="1" si="24"/>
        <v>#NAME?</v>
      </c>
      <c r="F193" s="100" t="e">
        <f t="shared" ca="1" si="17"/>
        <v>#NAME?</v>
      </c>
      <c r="G193" s="100" t="e">
        <f t="shared" ca="1" si="18"/>
        <v>#NAME?</v>
      </c>
      <c r="H193" s="100" t="e">
        <f t="shared" ca="1" si="19"/>
        <v>#NAME?</v>
      </c>
      <c r="I193" s="100" t="e">
        <f t="shared" ca="1" si="20"/>
        <v>#NAME?</v>
      </c>
      <c r="J193" s="100" t="e">
        <f ca="1">IFERROR(__xludf.DUMMYFUNCTION("""COMPUTED_VALUE"""),"-1.13")</f>
        <v>#NAME?</v>
      </c>
      <c r="K193" s="100" t="e">
        <f t="shared" ca="1" si="21"/>
        <v>#NAME?</v>
      </c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</row>
    <row r="194" spans="1:26">
      <c r="A194" s="100" t="e">
        <f ca="1">IFERROR(__xludf.DUMMYFUNCTION("""COMPUTED_VALUE"""),12747311)</f>
        <v>#NAME?</v>
      </c>
      <c r="B194" s="100" t="e">
        <f ca="1">IFERROR(__xludf.DUMMYFUNCTION("""COMPUTED_VALUE"""),"THNUSDT")</f>
        <v>#NAME?</v>
      </c>
      <c r="C194" s="100" t="e">
        <f ca="1">IFERROR(__xludf.DUMMYFUNCTION("""COMPUTED_VALUE"""),"0.001097")</f>
        <v>#NAME?</v>
      </c>
      <c r="D194" s="100" t="e">
        <f t="shared" ca="1" si="24"/>
        <v>#NAME?</v>
      </c>
      <c r="E194" s="100" t="e">
        <f t="shared" ca="1" si="24"/>
        <v>#NAME?</v>
      </c>
      <c r="F194" s="100" t="e">
        <f t="shared" ref="F194:F257" ca="1" si="25">IFERROR(__xludf.DUMMYFUNCTION("""COMPUTED_VALUE"""),20200)</f>
        <v>#NAME?</v>
      </c>
      <c r="G194" s="100" t="e">
        <f t="shared" ref="G194:G257" ca="1" si="26">IFERROR(__xludf.DUMMYFUNCTION("""COMPUTED_VALUE"""),2885)</f>
        <v>#NAME?</v>
      </c>
      <c r="H194" s="100" t="e">
        <f t="shared" ref="H194:H257" ca="1" si="27">IFERROR(__xludf.DUMMYFUNCTION("""COMPUTED_VALUE"""),663)</f>
        <v>#NAME?</v>
      </c>
      <c r="I194" s="100" t="e">
        <f t="shared" ref="I194:I257" ca="1" si="28">IFERROR(__xludf.DUMMYFUNCTION("""COMPUTED_VALUE"""),5817721)</f>
        <v>#NAME?</v>
      </c>
      <c r="J194" s="100" t="e">
        <f ca="1">IFERROR(__xludf.DUMMYFUNCTION("""COMPUTED_VALUE"""),"0.45999999999999996")</f>
        <v>#NAME?</v>
      </c>
      <c r="K194" s="100" t="e">
        <f t="shared" ref="K194:K257" ca="1" si="29">IFERROR(__xludf.DUMMYFUNCTION("""COMPUTED_VALUE"""),"22.04.2025 13:05:01")</f>
        <v>#NAME?</v>
      </c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</row>
    <row r="195" spans="1:26">
      <c r="A195" s="100" t="e">
        <f ca="1">IFERROR(__xludf.DUMMYFUNCTION("""COMPUTED_VALUE"""),12747312)</f>
        <v>#NAME?</v>
      </c>
      <c r="B195" s="100" t="e">
        <f ca="1">IFERROR(__xludf.DUMMYFUNCTION("""COMPUTED_VALUE"""),"AKIUSDT")</f>
        <v>#NAME?</v>
      </c>
      <c r="C195" s="100" t="e">
        <f ca="1">IFERROR(__xludf.DUMMYFUNCTION("""COMPUTED_VALUE"""),"0.013122")</f>
        <v>#NAME?</v>
      </c>
      <c r="D195" s="100" t="e">
        <f t="shared" ca="1" si="24"/>
        <v>#NAME?</v>
      </c>
      <c r="E195" s="100" t="e">
        <f t="shared" ca="1" si="24"/>
        <v>#NAME?</v>
      </c>
      <c r="F195" s="100" t="e">
        <f t="shared" ca="1" si="25"/>
        <v>#NAME?</v>
      </c>
      <c r="G195" s="100" t="e">
        <f t="shared" ca="1" si="26"/>
        <v>#NAME?</v>
      </c>
      <c r="H195" s="100" t="e">
        <f t="shared" ca="1" si="27"/>
        <v>#NAME?</v>
      </c>
      <c r="I195" s="100" t="e">
        <f t="shared" ca="1" si="28"/>
        <v>#NAME?</v>
      </c>
      <c r="J195" s="100" t="e">
        <f ca="1">IFERROR(__xludf.DUMMYFUNCTION("""COMPUTED_VALUE"""),"-2.42")</f>
        <v>#NAME?</v>
      </c>
      <c r="K195" s="100" t="e">
        <f t="shared" ca="1" si="29"/>
        <v>#NAME?</v>
      </c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</row>
    <row r="196" spans="1:26">
      <c r="A196" s="100" t="e">
        <f ca="1">IFERROR(__xludf.DUMMYFUNCTION("""COMPUTED_VALUE"""),12747313)</f>
        <v>#NAME?</v>
      </c>
      <c r="B196" s="100" t="e">
        <f ca="1">IFERROR(__xludf.DUMMYFUNCTION("""COMPUTED_VALUE"""),"TAIUSDT")</f>
        <v>#NAME?</v>
      </c>
      <c r="C196" s="100" t="e">
        <f ca="1">IFERROR(__xludf.DUMMYFUNCTION("""COMPUTED_VALUE"""),"0.04557")</f>
        <v>#NAME?</v>
      </c>
      <c r="D196" s="100" t="e">
        <f t="shared" ca="1" si="24"/>
        <v>#NAME?</v>
      </c>
      <c r="E196" s="100" t="e">
        <f t="shared" ca="1" si="24"/>
        <v>#NAME?</v>
      </c>
      <c r="F196" s="100" t="e">
        <f t="shared" ca="1" si="25"/>
        <v>#NAME?</v>
      </c>
      <c r="G196" s="100" t="e">
        <f t="shared" ca="1" si="26"/>
        <v>#NAME?</v>
      </c>
      <c r="H196" s="100" t="e">
        <f t="shared" ca="1" si="27"/>
        <v>#NAME?</v>
      </c>
      <c r="I196" s="100" t="e">
        <f t="shared" ca="1" si="28"/>
        <v>#NAME?</v>
      </c>
      <c r="J196" s="100" t="e">
        <f ca="1">IFERROR(__xludf.DUMMYFUNCTION("""COMPUTED_VALUE"""),"18.360000000000003")</f>
        <v>#NAME?</v>
      </c>
      <c r="K196" s="100" t="e">
        <f t="shared" ca="1" si="29"/>
        <v>#NAME?</v>
      </c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</row>
    <row r="197" spans="1:26">
      <c r="A197" s="100" t="e">
        <f ca="1">IFERROR(__xludf.DUMMYFUNCTION("""COMPUTED_VALUE"""),12747314)</f>
        <v>#NAME?</v>
      </c>
      <c r="B197" s="100" t="e">
        <f ca="1">IFERROR(__xludf.DUMMYFUNCTION("""COMPUTED_VALUE"""),"VVVUSDT")</f>
        <v>#NAME?</v>
      </c>
      <c r="C197" s="100" t="e">
        <f ca="1">IFERROR(__xludf.DUMMYFUNCTION("""COMPUTED_VALUE"""),"2.396")</f>
        <v>#NAME?</v>
      </c>
      <c r="D197" s="100" t="e">
        <f t="shared" ca="1" si="24"/>
        <v>#NAME?</v>
      </c>
      <c r="E197" s="100" t="e">
        <f t="shared" ca="1" si="24"/>
        <v>#NAME?</v>
      </c>
      <c r="F197" s="100" t="e">
        <f t="shared" ca="1" si="25"/>
        <v>#NAME?</v>
      </c>
      <c r="G197" s="100" t="e">
        <f t="shared" ca="1" si="26"/>
        <v>#NAME?</v>
      </c>
      <c r="H197" s="100" t="e">
        <f t="shared" ca="1" si="27"/>
        <v>#NAME?</v>
      </c>
      <c r="I197" s="100" t="e">
        <f t="shared" ca="1" si="28"/>
        <v>#NAME?</v>
      </c>
      <c r="J197" s="100" t="e">
        <f ca="1">IFERROR(__xludf.DUMMYFUNCTION("""COMPUTED_VALUE"""),"-0.16999999999999998")</f>
        <v>#NAME?</v>
      </c>
      <c r="K197" s="100" t="e">
        <f t="shared" ca="1" si="29"/>
        <v>#NAME?</v>
      </c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</row>
    <row r="198" spans="1:26">
      <c r="A198" s="100" t="e">
        <f ca="1">IFERROR(__xludf.DUMMYFUNCTION("""COMPUTED_VALUE"""),12747315)</f>
        <v>#NAME?</v>
      </c>
      <c r="B198" s="100" t="e">
        <f ca="1">IFERROR(__xludf.DUMMYFUNCTION("""COMPUTED_VALUE"""),"XARUSDT")</f>
        <v>#NAME?</v>
      </c>
      <c r="C198" s="100" t="e">
        <f ca="1">IFERROR(__xludf.DUMMYFUNCTION("""COMPUTED_VALUE"""),"0.007369")</f>
        <v>#NAME?</v>
      </c>
      <c r="D198" s="100" t="e">
        <f t="shared" ca="1" si="24"/>
        <v>#NAME?</v>
      </c>
      <c r="E198" s="100" t="e">
        <f t="shared" ca="1" si="24"/>
        <v>#NAME?</v>
      </c>
      <c r="F198" s="100" t="e">
        <f t="shared" ca="1" si="25"/>
        <v>#NAME?</v>
      </c>
      <c r="G198" s="100" t="e">
        <f t="shared" ca="1" si="26"/>
        <v>#NAME?</v>
      </c>
      <c r="H198" s="100" t="e">
        <f t="shared" ca="1" si="27"/>
        <v>#NAME?</v>
      </c>
      <c r="I198" s="100" t="e">
        <f t="shared" ca="1" si="28"/>
        <v>#NAME?</v>
      </c>
      <c r="J198" s="100" t="e">
        <f ca="1">IFERROR(__xludf.DUMMYFUNCTION("""COMPUTED_VALUE"""),"-11.74")</f>
        <v>#NAME?</v>
      </c>
      <c r="K198" s="100" t="e">
        <f t="shared" ca="1" si="29"/>
        <v>#NAME?</v>
      </c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</row>
    <row r="199" spans="1:26">
      <c r="A199" s="100" t="e">
        <f ca="1">IFERROR(__xludf.DUMMYFUNCTION("""COMPUTED_VALUE"""),12747316)</f>
        <v>#NAME?</v>
      </c>
      <c r="B199" s="100" t="e">
        <f ca="1">IFERROR(__xludf.DUMMYFUNCTION("""COMPUTED_VALUE"""),"NAVXUSDT")</f>
        <v>#NAME?</v>
      </c>
      <c r="C199" s="100" t="e">
        <f ca="1">IFERROR(__xludf.DUMMYFUNCTION("""COMPUTED_VALUE"""),"0.04148")</f>
        <v>#NAME?</v>
      </c>
      <c r="D199" s="100" t="e">
        <f t="shared" ca="1" si="24"/>
        <v>#NAME?</v>
      </c>
      <c r="E199" s="100" t="e">
        <f t="shared" ca="1" si="24"/>
        <v>#NAME?</v>
      </c>
      <c r="F199" s="100" t="e">
        <f t="shared" ca="1" si="25"/>
        <v>#NAME?</v>
      </c>
      <c r="G199" s="100" t="e">
        <f t="shared" ca="1" si="26"/>
        <v>#NAME?</v>
      </c>
      <c r="H199" s="100" t="e">
        <f t="shared" ca="1" si="27"/>
        <v>#NAME?</v>
      </c>
      <c r="I199" s="100" t="e">
        <f t="shared" ca="1" si="28"/>
        <v>#NAME?</v>
      </c>
      <c r="J199" s="100" t="e">
        <f ca="1">IFERROR(__xludf.DUMMYFUNCTION("""COMPUTED_VALUE"""),"0.16999999999999998")</f>
        <v>#NAME?</v>
      </c>
      <c r="K199" s="100" t="e">
        <f t="shared" ca="1" si="29"/>
        <v>#NAME?</v>
      </c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</row>
    <row r="200" spans="1:26">
      <c r="A200" s="100" t="e">
        <f ca="1">IFERROR(__xludf.DUMMYFUNCTION("""COMPUTED_VALUE"""),12747317)</f>
        <v>#NAME?</v>
      </c>
      <c r="B200" s="100" t="e">
        <f ca="1">IFERROR(__xludf.DUMMYFUNCTION("""COMPUTED_VALUE"""),"HMSTRUSDT")</f>
        <v>#NAME?</v>
      </c>
      <c r="C200" s="100" t="e">
        <f ca="1">IFERROR(__xludf.DUMMYFUNCTION("""COMPUTED_VALUE"""),"0.002606")</f>
        <v>#NAME?</v>
      </c>
      <c r="D200" s="100" t="e">
        <f t="shared" ca="1" si="24"/>
        <v>#NAME?</v>
      </c>
      <c r="E200" s="100" t="e">
        <f t="shared" ca="1" si="24"/>
        <v>#NAME?</v>
      </c>
      <c r="F200" s="100" t="e">
        <f t="shared" ca="1" si="25"/>
        <v>#NAME?</v>
      </c>
      <c r="G200" s="100" t="e">
        <f t="shared" ca="1" si="26"/>
        <v>#NAME?</v>
      </c>
      <c r="H200" s="100" t="e">
        <f t="shared" ca="1" si="27"/>
        <v>#NAME?</v>
      </c>
      <c r="I200" s="100" t="e">
        <f t="shared" ca="1" si="28"/>
        <v>#NAME?</v>
      </c>
      <c r="J200" s="100" t="e">
        <f ca="1">IFERROR(__xludf.DUMMYFUNCTION("""COMPUTED_VALUE"""),"-1.25")</f>
        <v>#NAME?</v>
      </c>
      <c r="K200" s="100" t="e">
        <f t="shared" ca="1" si="29"/>
        <v>#NAME?</v>
      </c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</row>
    <row r="201" spans="1:26">
      <c r="A201" s="100" t="e">
        <f ca="1">IFERROR(__xludf.DUMMYFUNCTION("""COMPUTED_VALUE"""),12747318)</f>
        <v>#NAME?</v>
      </c>
      <c r="B201" s="100" t="e">
        <f ca="1">IFERROR(__xludf.DUMMYFUNCTION("""COMPUTED_VALUE"""),"NEARUSDC")</f>
        <v>#NAME?</v>
      </c>
      <c r="C201" s="100" t="e">
        <f ca="1">IFERROR(__xludf.DUMMYFUNCTION("""COMPUTED_VALUE"""),"2.186")</f>
        <v>#NAME?</v>
      </c>
      <c r="D201" s="100" t="e">
        <f t="shared" ca="1" si="24"/>
        <v>#NAME?</v>
      </c>
      <c r="E201" s="100" t="e">
        <f t="shared" ca="1" si="24"/>
        <v>#NAME?</v>
      </c>
      <c r="F201" s="100" t="e">
        <f t="shared" ca="1" si="25"/>
        <v>#NAME?</v>
      </c>
      <c r="G201" s="100" t="e">
        <f t="shared" ca="1" si="26"/>
        <v>#NAME?</v>
      </c>
      <c r="H201" s="100" t="e">
        <f t="shared" ca="1" si="27"/>
        <v>#NAME?</v>
      </c>
      <c r="I201" s="100" t="e">
        <f t="shared" ca="1" si="28"/>
        <v>#NAME?</v>
      </c>
      <c r="J201" s="100" t="e">
        <f ca="1">IFERROR(__xludf.DUMMYFUNCTION("""COMPUTED_VALUE"""),"-6.419999999999999")</f>
        <v>#NAME?</v>
      </c>
      <c r="K201" s="100" t="e">
        <f t="shared" ca="1" si="29"/>
        <v>#NAME?</v>
      </c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</row>
    <row r="202" spans="1:26">
      <c r="A202" s="100" t="e">
        <f ca="1">IFERROR(__xludf.DUMMYFUNCTION("""COMPUTED_VALUE"""),12747319)</f>
        <v>#NAME?</v>
      </c>
      <c r="B202" s="100" t="e">
        <f ca="1">IFERROR(__xludf.DUMMYFUNCTION("""COMPUTED_VALUE"""),"LMWRUSDT")</f>
        <v>#NAME?</v>
      </c>
      <c r="C202" s="100" t="e">
        <f ca="1">IFERROR(__xludf.DUMMYFUNCTION("""COMPUTED_VALUE"""),"0.08307")</f>
        <v>#NAME?</v>
      </c>
      <c r="D202" s="100" t="e">
        <f t="shared" ref="D202:E221" ca="1" si="30">IFERROR(__xludf.DUMMYFUNCTION("""COMPUTED_VALUE"""),"-")</f>
        <v>#NAME?</v>
      </c>
      <c r="E202" s="100" t="e">
        <f t="shared" ca="1" si="30"/>
        <v>#NAME?</v>
      </c>
      <c r="F202" s="100" t="e">
        <f t="shared" ca="1" si="25"/>
        <v>#NAME?</v>
      </c>
      <c r="G202" s="100" t="e">
        <f t="shared" ca="1" si="26"/>
        <v>#NAME?</v>
      </c>
      <c r="H202" s="100" t="e">
        <f t="shared" ca="1" si="27"/>
        <v>#NAME?</v>
      </c>
      <c r="I202" s="100" t="e">
        <f t="shared" ca="1" si="28"/>
        <v>#NAME?</v>
      </c>
      <c r="J202" s="100" t="e">
        <f ca="1">IFERROR(__xludf.DUMMYFUNCTION("""COMPUTED_VALUE"""),"-5.72")</f>
        <v>#NAME?</v>
      </c>
      <c r="K202" s="100" t="e">
        <f t="shared" ca="1" si="29"/>
        <v>#NAME?</v>
      </c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</row>
    <row r="203" spans="1:26">
      <c r="A203" s="100" t="e">
        <f ca="1">IFERROR(__xludf.DUMMYFUNCTION("""COMPUTED_VALUE"""),12747320)</f>
        <v>#NAME?</v>
      </c>
      <c r="B203" s="100" t="e">
        <f ca="1">IFERROR(__xludf.DUMMYFUNCTION("""COMPUTED_VALUE"""),"SOSOUSDT")</f>
        <v>#NAME?</v>
      </c>
      <c r="C203" s="100" t="e">
        <f ca="1">IFERROR(__xludf.DUMMYFUNCTION("""COMPUTED_VALUE"""),"0.506")</f>
        <v>#NAME?</v>
      </c>
      <c r="D203" s="100" t="e">
        <f t="shared" ca="1" si="30"/>
        <v>#NAME?</v>
      </c>
      <c r="E203" s="100" t="e">
        <f t="shared" ca="1" si="30"/>
        <v>#NAME?</v>
      </c>
      <c r="F203" s="100" t="e">
        <f t="shared" ca="1" si="25"/>
        <v>#NAME?</v>
      </c>
      <c r="G203" s="100" t="e">
        <f t="shared" ca="1" si="26"/>
        <v>#NAME?</v>
      </c>
      <c r="H203" s="100" t="e">
        <f t="shared" ca="1" si="27"/>
        <v>#NAME?</v>
      </c>
      <c r="I203" s="100" t="e">
        <f t="shared" ca="1" si="28"/>
        <v>#NAME?</v>
      </c>
      <c r="J203" s="100" t="e">
        <f ca="1">IFERROR(__xludf.DUMMYFUNCTION("""COMPUTED_VALUE"""),"0.32")</f>
        <v>#NAME?</v>
      </c>
      <c r="K203" s="100" t="e">
        <f t="shared" ca="1" si="29"/>
        <v>#NAME?</v>
      </c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</row>
    <row r="204" spans="1:26">
      <c r="A204" s="100" t="e">
        <f ca="1">IFERROR(__xludf.DUMMYFUNCTION("""COMPUTED_VALUE"""),12747321)</f>
        <v>#NAME?</v>
      </c>
      <c r="B204" s="100" t="e">
        <f ca="1">IFERROR(__xludf.DUMMYFUNCTION("""COMPUTED_VALUE"""),"USDEUSDC")</f>
        <v>#NAME?</v>
      </c>
      <c r="C204" s="100" t="e">
        <f ca="1">IFERROR(__xludf.DUMMYFUNCTION("""COMPUTED_VALUE"""),"0.9993")</f>
        <v>#NAME?</v>
      </c>
      <c r="D204" s="100" t="e">
        <f t="shared" ca="1" si="30"/>
        <v>#NAME?</v>
      </c>
      <c r="E204" s="100" t="e">
        <f t="shared" ca="1" si="30"/>
        <v>#NAME?</v>
      </c>
      <c r="F204" s="100" t="e">
        <f t="shared" ca="1" si="25"/>
        <v>#NAME?</v>
      </c>
      <c r="G204" s="100" t="e">
        <f t="shared" ca="1" si="26"/>
        <v>#NAME?</v>
      </c>
      <c r="H204" s="100" t="e">
        <f t="shared" ca="1" si="27"/>
        <v>#NAME?</v>
      </c>
      <c r="I204" s="100" t="e">
        <f t="shared" ca="1" si="28"/>
        <v>#NAME?</v>
      </c>
      <c r="J204" s="100" t="e">
        <f ca="1">IFERROR(__xludf.DUMMYFUNCTION("""COMPUTED_VALUE"""),"0.0")</f>
        <v>#NAME?</v>
      </c>
      <c r="K204" s="100" t="e">
        <f t="shared" ca="1" si="29"/>
        <v>#NAME?</v>
      </c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</row>
    <row r="205" spans="1:26">
      <c r="A205" s="100" t="e">
        <f ca="1">IFERROR(__xludf.DUMMYFUNCTION("""COMPUTED_VALUE"""),12747322)</f>
        <v>#NAME?</v>
      </c>
      <c r="B205" s="100" t="e">
        <f ca="1">IFERROR(__xludf.DUMMYFUNCTION("""COMPUTED_VALUE"""),"IPUSDT")</f>
        <v>#NAME?</v>
      </c>
      <c r="C205" s="100" t="e">
        <f ca="1">IFERROR(__xludf.DUMMYFUNCTION("""COMPUTED_VALUE"""),"3.625")</f>
        <v>#NAME?</v>
      </c>
      <c r="D205" s="100" t="e">
        <f t="shared" ca="1" si="30"/>
        <v>#NAME?</v>
      </c>
      <c r="E205" s="100" t="e">
        <f t="shared" ca="1" si="30"/>
        <v>#NAME?</v>
      </c>
      <c r="F205" s="100" t="e">
        <f t="shared" ca="1" si="25"/>
        <v>#NAME?</v>
      </c>
      <c r="G205" s="100" t="e">
        <f t="shared" ca="1" si="26"/>
        <v>#NAME?</v>
      </c>
      <c r="H205" s="100" t="e">
        <f t="shared" ca="1" si="27"/>
        <v>#NAME?</v>
      </c>
      <c r="I205" s="100" t="e">
        <f t="shared" ca="1" si="28"/>
        <v>#NAME?</v>
      </c>
      <c r="J205" s="100" t="e">
        <f ca="1">IFERROR(__xludf.DUMMYFUNCTION("""COMPUTED_VALUE"""),"-2.08")</f>
        <v>#NAME?</v>
      </c>
      <c r="K205" s="100" t="e">
        <f t="shared" ca="1" si="29"/>
        <v>#NAME?</v>
      </c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</row>
    <row r="206" spans="1:26">
      <c r="A206" s="100" t="e">
        <f ca="1">IFERROR(__xludf.DUMMYFUNCTION("""COMPUTED_VALUE"""),12747323)</f>
        <v>#NAME?</v>
      </c>
      <c r="B206" s="100" t="e">
        <f ca="1">IFERROR(__xludf.DUMMYFUNCTION("""COMPUTED_VALUE"""),"AGLDUSDT")</f>
        <v>#NAME?</v>
      </c>
      <c r="C206" s="100" t="e">
        <f ca="1">IFERROR(__xludf.DUMMYFUNCTION("""COMPUTED_VALUE"""),"0.8224")</f>
        <v>#NAME?</v>
      </c>
      <c r="D206" s="100" t="e">
        <f t="shared" ca="1" si="30"/>
        <v>#NAME?</v>
      </c>
      <c r="E206" s="100" t="e">
        <f t="shared" ca="1" si="30"/>
        <v>#NAME?</v>
      </c>
      <c r="F206" s="100" t="e">
        <f t="shared" ca="1" si="25"/>
        <v>#NAME?</v>
      </c>
      <c r="G206" s="100" t="e">
        <f t="shared" ca="1" si="26"/>
        <v>#NAME?</v>
      </c>
      <c r="H206" s="100" t="e">
        <f t="shared" ca="1" si="27"/>
        <v>#NAME?</v>
      </c>
      <c r="I206" s="100" t="e">
        <f t="shared" ca="1" si="28"/>
        <v>#NAME?</v>
      </c>
      <c r="J206" s="100" t="e">
        <f ca="1">IFERROR(__xludf.DUMMYFUNCTION("""COMPUTED_VALUE"""),"-2.52")</f>
        <v>#NAME?</v>
      </c>
      <c r="K206" s="100" t="e">
        <f t="shared" ca="1" si="29"/>
        <v>#NAME?</v>
      </c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</row>
    <row r="207" spans="1:26">
      <c r="A207" s="100" t="e">
        <f ca="1">IFERROR(__xludf.DUMMYFUNCTION("""COMPUTED_VALUE"""),12747324)</f>
        <v>#NAME?</v>
      </c>
      <c r="B207" s="100" t="e">
        <f ca="1">IFERROR(__xludf.DUMMYFUNCTION("""COMPUTED_VALUE"""),"KASUSDT")</f>
        <v>#NAME?</v>
      </c>
      <c r="C207" s="100" t="e">
        <f ca="1">IFERROR(__xludf.DUMMYFUNCTION("""COMPUTED_VALUE"""),"0.09143")</f>
        <v>#NAME?</v>
      </c>
      <c r="D207" s="100" t="e">
        <f t="shared" ca="1" si="30"/>
        <v>#NAME?</v>
      </c>
      <c r="E207" s="100" t="e">
        <f t="shared" ca="1" si="30"/>
        <v>#NAME?</v>
      </c>
      <c r="F207" s="100" t="e">
        <f t="shared" ca="1" si="25"/>
        <v>#NAME?</v>
      </c>
      <c r="G207" s="100" t="e">
        <f t="shared" ca="1" si="26"/>
        <v>#NAME?</v>
      </c>
      <c r="H207" s="100" t="e">
        <f t="shared" ca="1" si="27"/>
        <v>#NAME?</v>
      </c>
      <c r="I207" s="100" t="e">
        <f t="shared" ca="1" si="28"/>
        <v>#NAME?</v>
      </c>
      <c r="J207" s="100" t="e">
        <f ca="1">IFERROR(__xludf.DUMMYFUNCTION("""COMPUTED_VALUE"""),"10.33")</f>
        <v>#NAME?</v>
      </c>
      <c r="K207" s="100" t="e">
        <f t="shared" ca="1" si="29"/>
        <v>#NAME?</v>
      </c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</row>
    <row r="208" spans="1:26">
      <c r="A208" s="100" t="e">
        <f ca="1">IFERROR(__xludf.DUMMYFUNCTION("""COMPUTED_VALUE"""),12747325)</f>
        <v>#NAME?</v>
      </c>
      <c r="B208" s="100" t="e">
        <f ca="1">IFERROR(__xludf.DUMMYFUNCTION("""COMPUTED_VALUE"""),"SFUNDUSDT")</f>
        <v>#NAME?</v>
      </c>
      <c r="C208" s="100" t="e">
        <f ca="1">IFERROR(__xludf.DUMMYFUNCTION("""COMPUTED_VALUE"""),"0.519")</f>
        <v>#NAME?</v>
      </c>
      <c r="D208" s="100" t="e">
        <f t="shared" ca="1" si="30"/>
        <v>#NAME?</v>
      </c>
      <c r="E208" s="100" t="e">
        <f t="shared" ca="1" si="30"/>
        <v>#NAME?</v>
      </c>
      <c r="F208" s="100" t="e">
        <f t="shared" ca="1" si="25"/>
        <v>#NAME?</v>
      </c>
      <c r="G208" s="100" t="e">
        <f t="shared" ca="1" si="26"/>
        <v>#NAME?</v>
      </c>
      <c r="H208" s="100" t="e">
        <f t="shared" ca="1" si="27"/>
        <v>#NAME?</v>
      </c>
      <c r="I208" s="100" t="e">
        <f t="shared" ca="1" si="28"/>
        <v>#NAME?</v>
      </c>
      <c r="J208" s="100" t="e">
        <f ca="1">IFERROR(__xludf.DUMMYFUNCTION("""COMPUTED_VALUE"""),"-0.35000000000000003")</f>
        <v>#NAME?</v>
      </c>
      <c r="K208" s="100" t="e">
        <f t="shared" ca="1" si="29"/>
        <v>#NAME?</v>
      </c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</row>
    <row r="209" spans="1:26">
      <c r="A209" s="100" t="e">
        <f ca="1">IFERROR(__xludf.DUMMYFUNCTION("""COMPUTED_VALUE"""),12747326)</f>
        <v>#NAME?</v>
      </c>
      <c r="B209" s="100" t="e">
        <f ca="1">IFERROR(__xludf.DUMMYFUNCTION("""COMPUTED_VALUE"""),"USDYUSDT")</f>
        <v>#NAME?</v>
      </c>
      <c r="C209" s="100" t="e">
        <f ca="1">IFERROR(__xludf.DUMMYFUNCTION("""COMPUTED_VALUE"""),"1.0853")</f>
        <v>#NAME?</v>
      </c>
      <c r="D209" s="100" t="e">
        <f t="shared" ca="1" si="30"/>
        <v>#NAME?</v>
      </c>
      <c r="E209" s="100" t="e">
        <f t="shared" ca="1" si="30"/>
        <v>#NAME?</v>
      </c>
      <c r="F209" s="100" t="e">
        <f t="shared" ca="1" si="25"/>
        <v>#NAME?</v>
      </c>
      <c r="G209" s="100" t="e">
        <f t="shared" ca="1" si="26"/>
        <v>#NAME?</v>
      </c>
      <c r="H209" s="100" t="e">
        <f t="shared" ca="1" si="27"/>
        <v>#NAME?</v>
      </c>
      <c r="I209" s="100" t="e">
        <f t="shared" ca="1" si="28"/>
        <v>#NAME?</v>
      </c>
      <c r="J209" s="100" t="e">
        <f ca="1">IFERROR(__xludf.DUMMYFUNCTION("""COMPUTED_VALUE"""),"0.04")</f>
        <v>#NAME?</v>
      </c>
      <c r="K209" s="100" t="e">
        <f t="shared" ca="1" si="29"/>
        <v>#NAME?</v>
      </c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</row>
    <row r="210" spans="1:26">
      <c r="A210" s="100" t="e">
        <f ca="1">IFERROR(__xludf.DUMMYFUNCTION("""COMPUTED_VALUE"""),12747327)</f>
        <v>#NAME?</v>
      </c>
      <c r="B210" s="100" t="e">
        <f ca="1">IFERROR(__xludf.DUMMYFUNCTION("""COMPUTED_VALUE"""),"BBSOLUSDT")</f>
        <v>#NAME?</v>
      </c>
      <c r="C210" s="100" t="e">
        <f ca="1">IFERROR(__xludf.DUMMYFUNCTION("""COMPUTED_VALUE"""),"150.79")</f>
        <v>#NAME?</v>
      </c>
      <c r="D210" s="100" t="e">
        <f t="shared" ca="1" si="30"/>
        <v>#NAME?</v>
      </c>
      <c r="E210" s="100" t="e">
        <f t="shared" ca="1" si="30"/>
        <v>#NAME?</v>
      </c>
      <c r="F210" s="100" t="e">
        <f t="shared" ca="1" si="25"/>
        <v>#NAME?</v>
      </c>
      <c r="G210" s="100" t="e">
        <f t="shared" ca="1" si="26"/>
        <v>#NAME?</v>
      </c>
      <c r="H210" s="100" t="e">
        <f t="shared" ca="1" si="27"/>
        <v>#NAME?</v>
      </c>
      <c r="I210" s="100" t="e">
        <f t="shared" ca="1" si="28"/>
        <v>#NAME?</v>
      </c>
      <c r="J210" s="100" t="e">
        <f ca="1">IFERROR(__xludf.DUMMYFUNCTION("""COMPUTED_VALUE"""),"0.05")</f>
        <v>#NAME?</v>
      </c>
      <c r="K210" s="100" t="e">
        <f t="shared" ca="1" si="29"/>
        <v>#NAME?</v>
      </c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</row>
    <row r="211" spans="1:26">
      <c r="A211" s="100" t="e">
        <f ca="1">IFERROR(__xludf.DUMMYFUNCTION("""COMPUTED_VALUE"""),12747328)</f>
        <v>#NAME?</v>
      </c>
      <c r="B211" s="100" t="e">
        <f ca="1">IFERROR(__xludf.DUMMYFUNCTION("""COMPUTED_VALUE"""),"LADYSUSDT")</f>
        <v>#NAME?</v>
      </c>
      <c r="C211" s="100" t="e">
        <f ca="1">IFERROR(__xludf.DUMMYFUNCTION("""COMPUTED_VALUE"""),"0.00000003514")</f>
        <v>#NAME?</v>
      </c>
      <c r="D211" s="100" t="e">
        <f t="shared" ca="1" si="30"/>
        <v>#NAME?</v>
      </c>
      <c r="E211" s="100" t="e">
        <f t="shared" ca="1" si="30"/>
        <v>#NAME?</v>
      </c>
      <c r="F211" s="100" t="e">
        <f t="shared" ca="1" si="25"/>
        <v>#NAME?</v>
      </c>
      <c r="G211" s="100" t="e">
        <f t="shared" ca="1" si="26"/>
        <v>#NAME?</v>
      </c>
      <c r="H211" s="100" t="e">
        <f t="shared" ca="1" si="27"/>
        <v>#NAME?</v>
      </c>
      <c r="I211" s="100" t="e">
        <f t="shared" ca="1" si="28"/>
        <v>#NAME?</v>
      </c>
      <c r="J211" s="100" t="e">
        <f ca="1">IFERROR(__xludf.DUMMYFUNCTION("""COMPUTED_VALUE"""),"-2.09")</f>
        <v>#NAME?</v>
      </c>
      <c r="K211" s="100" t="e">
        <f t="shared" ca="1" si="29"/>
        <v>#NAME?</v>
      </c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</row>
    <row r="212" spans="1:26">
      <c r="A212" s="100" t="e">
        <f ca="1">IFERROR(__xludf.DUMMYFUNCTION("""COMPUTED_VALUE"""),12747329)</f>
        <v>#NAME?</v>
      </c>
      <c r="B212" s="100" t="e">
        <f ca="1">IFERROR(__xludf.DUMMYFUNCTION("""COMPUTED_VALUE"""),"ARBUSDT")</f>
        <v>#NAME?</v>
      </c>
      <c r="C212" s="100" t="e">
        <f ca="1">IFERROR(__xludf.DUMMYFUNCTION("""COMPUTED_VALUE"""),"0.3007")</f>
        <v>#NAME?</v>
      </c>
      <c r="D212" s="100" t="e">
        <f t="shared" ca="1" si="30"/>
        <v>#NAME?</v>
      </c>
      <c r="E212" s="100" t="e">
        <f t="shared" ca="1" si="30"/>
        <v>#NAME?</v>
      </c>
      <c r="F212" s="100" t="e">
        <f t="shared" ca="1" si="25"/>
        <v>#NAME?</v>
      </c>
      <c r="G212" s="100" t="e">
        <f t="shared" ca="1" si="26"/>
        <v>#NAME?</v>
      </c>
      <c r="H212" s="100" t="e">
        <f t="shared" ca="1" si="27"/>
        <v>#NAME?</v>
      </c>
      <c r="I212" s="100" t="e">
        <f t="shared" ca="1" si="28"/>
        <v>#NAME?</v>
      </c>
      <c r="J212" s="100" t="e">
        <f ca="1">IFERROR(__xludf.DUMMYFUNCTION("""COMPUTED_VALUE"""),"-3.65")</f>
        <v>#NAME?</v>
      </c>
      <c r="K212" s="100" t="e">
        <f t="shared" ca="1" si="29"/>
        <v>#NAME?</v>
      </c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</row>
    <row r="213" spans="1:26">
      <c r="A213" s="100" t="e">
        <f ca="1">IFERROR(__xludf.DUMMYFUNCTION("""COMPUTED_VALUE"""),12747330)</f>
        <v>#NAME?</v>
      </c>
      <c r="B213" s="100" t="e">
        <f ca="1">IFERROR(__xludf.DUMMYFUNCTION("""COMPUTED_VALUE"""),"ICPUSDC")</f>
        <v>#NAME?</v>
      </c>
      <c r="C213" s="100" t="e">
        <f ca="1">IFERROR(__xludf.DUMMYFUNCTION("""COMPUTED_VALUE"""),"4.672")</f>
        <v>#NAME?</v>
      </c>
      <c r="D213" s="100" t="e">
        <f t="shared" ca="1" si="30"/>
        <v>#NAME?</v>
      </c>
      <c r="E213" s="100" t="e">
        <f t="shared" ca="1" si="30"/>
        <v>#NAME?</v>
      </c>
      <c r="F213" s="100" t="e">
        <f t="shared" ca="1" si="25"/>
        <v>#NAME?</v>
      </c>
      <c r="G213" s="100" t="e">
        <f t="shared" ca="1" si="26"/>
        <v>#NAME?</v>
      </c>
      <c r="H213" s="100" t="e">
        <f t="shared" ca="1" si="27"/>
        <v>#NAME?</v>
      </c>
      <c r="I213" s="100" t="e">
        <f t="shared" ca="1" si="28"/>
        <v>#NAME?</v>
      </c>
      <c r="J213" s="100" t="e">
        <f ca="1">IFERROR(__xludf.DUMMYFUNCTION("""COMPUTED_VALUE"""),"-6.11")</f>
        <v>#NAME?</v>
      </c>
      <c r="K213" s="100" t="e">
        <f t="shared" ca="1" si="29"/>
        <v>#NAME?</v>
      </c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</row>
    <row r="214" spans="1:26">
      <c r="A214" s="100" t="e">
        <f ca="1">IFERROR(__xludf.DUMMYFUNCTION("""COMPUTED_VALUE"""),12747331)</f>
        <v>#NAME?</v>
      </c>
      <c r="B214" s="100" t="e">
        <f ca="1">IFERROR(__xludf.DUMMYFUNCTION("""COMPUTED_VALUE"""),"COTUSDT")</f>
        <v>#NAME?</v>
      </c>
      <c r="C214" s="100" t="e">
        <f ca="1">IFERROR(__xludf.DUMMYFUNCTION("""COMPUTED_VALUE"""),"0.003745")</f>
        <v>#NAME?</v>
      </c>
      <c r="D214" s="100" t="e">
        <f t="shared" ca="1" si="30"/>
        <v>#NAME?</v>
      </c>
      <c r="E214" s="100" t="e">
        <f t="shared" ca="1" si="30"/>
        <v>#NAME?</v>
      </c>
      <c r="F214" s="100" t="e">
        <f t="shared" ca="1" si="25"/>
        <v>#NAME?</v>
      </c>
      <c r="G214" s="100" t="e">
        <f t="shared" ca="1" si="26"/>
        <v>#NAME?</v>
      </c>
      <c r="H214" s="100" t="e">
        <f t="shared" ca="1" si="27"/>
        <v>#NAME?</v>
      </c>
      <c r="I214" s="100" t="e">
        <f t="shared" ca="1" si="28"/>
        <v>#NAME?</v>
      </c>
      <c r="J214" s="100" t="e">
        <f ca="1">IFERROR(__xludf.DUMMYFUNCTION("""COMPUTED_VALUE"""),"0.21")</f>
        <v>#NAME?</v>
      </c>
      <c r="K214" s="100" t="e">
        <f t="shared" ca="1" si="29"/>
        <v>#NAME?</v>
      </c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</row>
    <row r="215" spans="1:26">
      <c r="A215" s="100" t="e">
        <f ca="1">IFERROR(__xludf.DUMMYFUNCTION("""COMPUTED_VALUE"""),12747332)</f>
        <v>#NAME?</v>
      </c>
      <c r="B215" s="100" t="e">
        <f ca="1">IFERROR(__xludf.DUMMYFUNCTION("""COMPUTED_VALUE"""),"MASKUSDT")</f>
        <v>#NAME?</v>
      </c>
      <c r="C215" s="100" t="e">
        <f ca="1">IFERROR(__xludf.DUMMYFUNCTION("""COMPUTED_VALUE"""),"1.058")</f>
        <v>#NAME?</v>
      </c>
      <c r="D215" s="100" t="e">
        <f t="shared" ca="1" si="30"/>
        <v>#NAME?</v>
      </c>
      <c r="E215" s="100" t="e">
        <f t="shared" ca="1" si="30"/>
        <v>#NAME?</v>
      </c>
      <c r="F215" s="100" t="e">
        <f t="shared" ca="1" si="25"/>
        <v>#NAME?</v>
      </c>
      <c r="G215" s="100" t="e">
        <f t="shared" ca="1" si="26"/>
        <v>#NAME?</v>
      </c>
      <c r="H215" s="100" t="e">
        <f t="shared" ca="1" si="27"/>
        <v>#NAME?</v>
      </c>
      <c r="I215" s="100" t="e">
        <f t="shared" ca="1" si="28"/>
        <v>#NAME?</v>
      </c>
      <c r="J215" s="100" t="e">
        <f ca="1">IFERROR(__xludf.DUMMYFUNCTION("""COMPUTED_VALUE"""),"-2.58")</f>
        <v>#NAME?</v>
      </c>
      <c r="K215" s="100" t="e">
        <f t="shared" ca="1" si="29"/>
        <v>#NAME?</v>
      </c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</row>
    <row r="216" spans="1:26">
      <c r="A216" s="100" t="e">
        <f ca="1">IFERROR(__xludf.DUMMYFUNCTION("""COMPUTED_VALUE"""),12747333)</f>
        <v>#NAME?</v>
      </c>
      <c r="B216" s="100" t="e">
        <f ca="1">IFERROR(__xludf.DUMMYFUNCTION("""COMPUTED_VALUE"""),"BMTUSDT")</f>
        <v>#NAME?</v>
      </c>
      <c r="C216" s="100" t="e">
        <f ca="1">IFERROR(__xludf.DUMMYFUNCTION("""COMPUTED_VALUE"""),"0.0815")</f>
        <v>#NAME?</v>
      </c>
      <c r="D216" s="100" t="e">
        <f t="shared" ca="1" si="30"/>
        <v>#NAME?</v>
      </c>
      <c r="E216" s="100" t="e">
        <f t="shared" ca="1" si="30"/>
        <v>#NAME?</v>
      </c>
      <c r="F216" s="100" t="e">
        <f t="shared" ca="1" si="25"/>
        <v>#NAME?</v>
      </c>
      <c r="G216" s="100" t="e">
        <f t="shared" ca="1" si="26"/>
        <v>#NAME?</v>
      </c>
      <c r="H216" s="100" t="e">
        <f t="shared" ca="1" si="27"/>
        <v>#NAME?</v>
      </c>
      <c r="I216" s="100" t="e">
        <f t="shared" ca="1" si="28"/>
        <v>#NAME?</v>
      </c>
      <c r="J216" s="100" t="e">
        <f ca="1">IFERROR(__xludf.DUMMYFUNCTION("""COMPUTED_VALUE"""),"-2.86")</f>
        <v>#NAME?</v>
      </c>
      <c r="K216" s="100" t="e">
        <f t="shared" ca="1" si="29"/>
        <v>#NAME?</v>
      </c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</row>
    <row r="217" spans="1:26">
      <c r="A217" s="100" t="e">
        <f ca="1">IFERROR(__xludf.DUMMYFUNCTION("""COMPUTED_VALUE"""),12747334)</f>
        <v>#NAME?</v>
      </c>
      <c r="B217" s="100" t="e">
        <f ca="1">IFERROR(__xludf.DUMMYFUNCTION("""COMPUTED_VALUE"""),"REALUSDT")</f>
        <v>#NAME?</v>
      </c>
      <c r="C217" s="100" t="e">
        <f ca="1">IFERROR(__xludf.DUMMYFUNCTION("""COMPUTED_VALUE"""),"0.0047")</f>
        <v>#NAME?</v>
      </c>
      <c r="D217" s="100" t="e">
        <f t="shared" ca="1" si="30"/>
        <v>#NAME?</v>
      </c>
      <c r="E217" s="100" t="e">
        <f t="shared" ca="1" si="30"/>
        <v>#NAME?</v>
      </c>
      <c r="F217" s="100" t="e">
        <f t="shared" ca="1" si="25"/>
        <v>#NAME?</v>
      </c>
      <c r="G217" s="100" t="e">
        <f t="shared" ca="1" si="26"/>
        <v>#NAME?</v>
      </c>
      <c r="H217" s="100" t="e">
        <f t="shared" ca="1" si="27"/>
        <v>#NAME?</v>
      </c>
      <c r="I217" s="100" t="e">
        <f t="shared" ca="1" si="28"/>
        <v>#NAME?</v>
      </c>
      <c r="J217" s="100" t="e">
        <f ca="1">IFERROR(__xludf.DUMMYFUNCTION("""COMPUTED_VALUE"""),"-16.07")</f>
        <v>#NAME?</v>
      </c>
      <c r="K217" s="100" t="e">
        <f t="shared" ca="1" si="29"/>
        <v>#NAME?</v>
      </c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</row>
    <row r="218" spans="1:26">
      <c r="A218" s="100" t="e">
        <f ca="1">IFERROR(__xludf.DUMMYFUNCTION("""COMPUTED_VALUE"""),12747335)</f>
        <v>#NAME?</v>
      </c>
      <c r="B218" s="100" t="e">
        <f ca="1">IFERROR(__xludf.DUMMYFUNCTION("""COMPUTED_VALUE"""),"GAMEUSDT")</f>
        <v>#NAME?</v>
      </c>
      <c r="C218" s="100" t="e">
        <f ca="1">IFERROR(__xludf.DUMMYFUNCTION("""COMPUTED_VALUE"""),"0.01648")</f>
        <v>#NAME?</v>
      </c>
      <c r="D218" s="100" t="e">
        <f t="shared" ca="1" si="30"/>
        <v>#NAME?</v>
      </c>
      <c r="E218" s="100" t="e">
        <f t="shared" ca="1" si="30"/>
        <v>#NAME?</v>
      </c>
      <c r="F218" s="100" t="e">
        <f t="shared" ca="1" si="25"/>
        <v>#NAME?</v>
      </c>
      <c r="G218" s="100" t="e">
        <f t="shared" ca="1" si="26"/>
        <v>#NAME?</v>
      </c>
      <c r="H218" s="100" t="e">
        <f t="shared" ca="1" si="27"/>
        <v>#NAME?</v>
      </c>
      <c r="I218" s="100" t="e">
        <f t="shared" ca="1" si="28"/>
        <v>#NAME?</v>
      </c>
      <c r="J218" s="100" t="e">
        <f ca="1">IFERROR(__xludf.DUMMYFUNCTION("""COMPUTED_VALUE"""),"0.37")</f>
        <v>#NAME?</v>
      </c>
      <c r="K218" s="100" t="e">
        <f t="shared" ca="1" si="29"/>
        <v>#NAME?</v>
      </c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</row>
    <row r="219" spans="1:26">
      <c r="A219" s="100" t="e">
        <f ca="1">IFERROR(__xludf.DUMMYFUNCTION("""COMPUTED_VALUE"""),12747336)</f>
        <v>#NAME?</v>
      </c>
      <c r="B219" s="100" t="e">
        <f ca="1">IFERROR(__xludf.DUMMYFUNCTION("""COMPUTED_VALUE"""),"XLMBTC")</f>
        <v>#NAME?</v>
      </c>
      <c r="C219" s="100" t="e">
        <f ca="1">IFERROR(__xludf.DUMMYFUNCTION("""COMPUTED_VALUE"""),"0.0000027968")</f>
        <v>#NAME?</v>
      </c>
      <c r="D219" s="100" t="e">
        <f t="shared" ca="1" si="30"/>
        <v>#NAME?</v>
      </c>
      <c r="E219" s="100" t="e">
        <f t="shared" ca="1" si="30"/>
        <v>#NAME?</v>
      </c>
      <c r="F219" s="100" t="e">
        <f t="shared" ca="1" si="25"/>
        <v>#NAME?</v>
      </c>
      <c r="G219" s="100" t="e">
        <f t="shared" ca="1" si="26"/>
        <v>#NAME?</v>
      </c>
      <c r="H219" s="100" t="e">
        <f t="shared" ca="1" si="27"/>
        <v>#NAME?</v>
      </c>
      <c r="I219" s="100" t="e">
        <f t="shared" ca="1" si="28"/>
        <v>#NAME?</v>
      </c>
      <c r="J219" s="100" t="e">
        <f ca="1">IFERROR(__xludf.DUMMYFUNCTION("""COMPUTED_VALUE"""),"-5.83")</f>
        <v>#NAME?</v>
      </c>
      <c r="K219" s="100" t="e">
        <f t="shared" ca="1" si="29"/>
        <v>#NAME?</v>
      </c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</row>
    <row r="220" spans="1:26">
      <c r="A220" s="100" t="e">
        <f ca="1">IFERROR(__xludf.DUMMYFUNCTION("""COMPUTED_VALUE"""),12747337)</f>
        <v>#NAME?</v>
      </c>
      <c r="B220" s="100" t="e">
        <f ca="1">IFERROR(__xludf.DUMMYFUNCTION("""COMPUTED_VALUE"""),"NIBIUSDT")</f>
        <v>#NAME?</v>
      </c>
      <c r="C220" s="100" t="e">
        <f ca="1">IFERROR(__xludf.DUMMYFUNCTION("""COMPUTED_VALUE"""),"0.01664")</f>
        <v>#NAME?</v>
      </c>
      <c r="D220" s="100" t="e">
        <f t="shared" ca="1" si="30"/>
        <v>#NAME?</v>
      </c>
      <c r="E220" s="100" t="e">
        <f t="shared" ca="1" si="30"/>
        <v>#NAME?</v>
      </c>
      <c r="F220" s="100" t="e">
        <f t="shared" ca="1" si="25"/>
        <v>#NAME?</v>
      </c>
      <c r="G220" s="100" t="e">
        <f t="shared" ca="1" si="26"/>
        <v>#NAME?</v>
      </c>
      <c r="H220" s="100" t="e">
        <f t="shared" ca="1" si="27"/>
        <v>#NAME?</v>
      </c>
      <c r="I220" s="100" t="e">
        <f t="shared" ca="1" si="28"/>
        <v>#NAME?</v>
      </c>
      <c r="J220" s="100" t="e">
        <f ca="1">IFERROR(__xludf.DUMMYFUNCTION("""COMPUTED_VALUE"""),"1.59")</f>
        <v>#NAME?</v>
      </c>
      <c r="K220" s="100" t="e">
        <f t="shared" ca="1" si="29"/>
        <v>#NAME?</v>
      </c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</row>
    <row r="221" spans="1:26">
      <c r="A221" s="100" t="e">
        <f ca="1">IFERROR(__xludf.DUMMYFUNCTION("""COMPUTED_VALUE"""),12747338)</f>
        <v>#NAME?</v>
      </c>
      <c r="B221" s="100" t="e">
        <f ca="1">IFERROR(__xludf.DUMMYFUNCTION("""COMPUTED_VALUE"""),"A8USDT")</f>
        <v>#NAME?</v>
      </c>
      <c r="C221" s="100" t="e">
        <f ca="1">IFERROR(__xludf.DUMMYFUNCTION("""COMPUTED_VALUE"""),"0.1263")</f>
        <v>#NAME?</v>
      </c>
      <c r="D221" s="100" t="e">
        <f t="shared" ca="1" si="30"/>
        <v>#NAME?</v>
      </c>
      <c r="E221" s="100" t="e">
        <f t="shared" ca="1" si="30"/>
        <v>#NAME?</v>
      </c>
      <c r="F221" s="100" t="e">
        <f t="shared" ca="1" si="25"/>
        <v>#NAME?</v>
      </c>
      <c r="G221" s="100" t="e">
        <f t="shared" ca="1" si="26"/>
        <v>#NAME?</v>
      </c>
      <c r="H221" s="100" t="e">
        <f t="shared" ca="1" si="27"/>
        <v>#NAME?</v>
      </c>
      <c r="I221" s="100" t="e">
        <f t="shared" ca="1" si="28"/>
        <v>#NAME?</v>
      </c>
      <c r="J221" s="100" t="e">
        <f ca="1">IFERROR(__xludf.DUMMYFUNCTION("""COMPUTED_VALUE"""),"-1.17")</f>
        <v>#NAME?</v>
      </c>
      <c r="K221" s="100" t="e">
        <f t="shared" ca="1" si="29"/>
        <v>#NAME?</v>
      </c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</row>
    <row r="222" spans="1:26">
      <c r="A222" s="100" t="e">
        <f ca="1">IFERROR(__xludf.DUMMYFUNCTION("""COMPUTED_VALUE"""),12747339)</f>
        <v>#NAME?</v>
      </c>
      <c r="B222" s="100" t="e">
        <f ca="1">IFERROR(__xludf.DUMMYFUNCTION("""COMPUTED_VALUE"""),"SPELLUSDT")</f>
        <v>#NAME?</v>
      </c>
      <c r="C222" s="100" t="e">
        <f ca="1">IFERROR(__xludf.DUMMYFUNCTION("""COMPUTED_VALUE"""),"0.0005572")</f>
        <v>#NAME?</v>
      </c>
      <c r="D222" s="100" t="e">
        <f t="shared" ref="D222:E241" ca="1" si="31">IFERROR(__xludf.DUMMYFUNCTION("""COMPUTED_VALUE"""),"-")</f>
        <v>#NAME?</v>
      </c>
      <c r="E222" s="100" t="e">
        <f t="shared" ca="1" si="31"/>
        <v>#NAME?</v>
      </c>
      <c r="F222" s="100" t="e">
        <f t="shared" ca="1" si="25"/>
        <v>#NAME?</v>
      </c>
      <c r="G222" s="100" t="e">
        <f t="shared" ca="1" si="26"/>
        <v>#NAME?</v>
      </c>
      <c r="H222" s="100" t="e">
        <f t="shared" ca="1" si="27"/>
        <v>#NAME?</v>
      </c>
      <c r="I222" s="100" t="e">
        <f t="shared" ca="1" si="28"/>
        <v>#NAME?</v>
      </c>
      <c r="J222" s="100" t="e">
        <f ca="1">IFERROR(__xludf.DUMMYFUNCTION("""COMPUTED_VALUE"""),"2.4299999999999997")</f>
        <v>#NAME?</v>
      </c>
      <c r="K222" s="100" t="e">
        <f t="shared" ca="1" si="29"/>
        <v>#NAME?</v>
      </c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</row>
    <row r="223" spans="1:26">
      <c r="A223" s="100" t="e">
        <f ca="1">IFERROR(__xludf.DUMMYFUNCTION("""COMPUTED_VALUE"""),12747340)</f>
        <v>#NAME?</v>
      </c>
      <c r="B223" s="100" t="e">
        <f ca="1">IFERROR(__xludf.DUMMYFUNCTION("""COMPUTED_VALUE"""),"BLASTUSDT")</f>
        <v>#NAME?</v>
      </c>
      <c r="C223" s="100" t="e">
        <f ca="1">IFERROR(__xludf.DUMMYFUNCTION("""COMPUTED_VALUE"""),"0.00299")</f>
        <v>#NAME?</v>
      </c>
      <c r="D223" s="100" t="e">
        <f t="shared" ca="1" si="31"/>
        <v>#NAME?</v>
      </c>
      <c r="E223" s="100" t="e">
        <f t="shared" ca="1" si="31"/>
        <v>#NAME?</v>
      </c>
      <c r="F223" s="100" t="e">
        <f t="shared" ca="1" si="25"/>
        <v>#NAME?</v>
      </c>
      <c r="G223" s="100" t="e">
        <f t="shared" ca="1" si="26"/>
        <v>#NAME?</v>
      </c>
      <c r="H223" s="100" t="e">
        <f t="shared" ca="1" si="27"/>
        <v>#NAME?</v>
      </c>
      <c r="I223" s="100" t="e">
        <f t="shared" ca="1" si="28"/>
        <v>#NAME?</v>
      </c>
      <c r="J223" s="100" t="e">
        <f ca="1">IFERROR(__xludf.DUMMYFUNCTION("""COMPUTED_VALUE"""),"-3.95")</f>
        <v>#NAME?</v>
      </c>
      <c r="K223" s="100" t="e">
        <f t="shared" ca="1" si="29"/>
        <v>#NAME?</v>
      </c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</row>
    <row r="224" spans="1:26">
      <c r="A224" s="100" t="e">
        <f ca="1">IFERROR(__xludf.DUMMYFUNCTION("""COMPUTED_VALUE"""),12747341)</f>
        <v>#NAME?</v>
      </c>
      <c r="B224" s="100" t="e">
        <f ca="1">IFERROR(__xludf.DUMMYFUNCTION("""COMPUTED_VALUE"""),"AIOZUSDT")</f>
        <v>#NAME?</v>
      </c>
      <c r="C224" s="100" t="e">
        <f ca="1">IFERROR(__xludf.DUMMYFUNCTION("""COMPUTED_VALUE"""),"0.2834")</f>
        <v>#NAME?</v>
      </c>
      <c r="D224" s="100" t="e">
        <f t="shared" ca="1" si="31"/>
        <v>#NAME?</v>
      </c>
      <c r="E224" s="100" t="e">
        <f t="shared" ca="1" si="31"/>
        <v>#NAME?</v>
      </c>
      <c r="F224" s="100" t="e">
        <f t="shared" ca="1" si="25"/>
        <v>#NAME?</v>
      </c>
      <c r="G224" s="100" t="e">
        <f t="shared" ca="1" si="26"/>
        <v>#NAME?</v>
      </c>
      <c r="H224" s="100" t="e">
        <f t="shared" ca="1" si="27"/>
        <v>#NAME?</v>
      </c>
      <c r="I224" s="100" t="e">
        <f t="shared" ca="1" si="28"/>
        <v>#NAME?</v>
      </c>
      <c r="J224" s="100" t="e">
        <f ca="1">IFERROR(__xludf.DUMMYFUNCTION("""COMPUTED_VALUE"""),"1.6099999999999999")</f>
        <v>#NAME?</v>
      </c>
      <c r="K224" s="100" t="e">
        <f t="shared" ca="1" si="29"/>
        <v>#NAME?</v>
      </c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</row>
    <row r="225" spans="1:26">
      <c r="A225" s="100" t="e">
        <f ca="1">IFERROR(__xludf.DUMMYFUNCTION("""COMPUTED_VALUE"""),12747342)</f>
        <v>#NAME?</v>
      </c>
      <c r="B225" s="100" t="e">
        <f ca="1">IFERROR(__xludf.DUMMYFUNCTION("""COMPUTED_VALUE"""),"B3TRUSDC")</f>
        <v>#NAME?</v>
      </c>
      <c r="C225" s="100" t="e">
        <f ca="1">IFERROR(__xludf.DUMMYFUNCTION("""COMPUTED_VALUE"""),"0.1238")</f>
        <v>#NAME?</v>
      </c>
      <c r="D225" s="100" t="e">
        <f t="shared" ca="1" si="31"/>
        <v>#NAME?</v>
      </c>
      <c r="E225" s="100" t="e">
        <f t="shared" ca="1" si="31"/>
        <v>#NAME?</v>
      </c>
      <c r="F225" s="100" t="e">
        <f t="shared" ca="1" si="25"/>
        <v>#NAME?</v>
      </c>
      <c r="G225" s="100" t="e">
        <f t="shared" ca="1" si="26"/>
        <v>#NAME?</v>
      </c>
      <c r="H225" s="100" t="e">
        <f t="shared" ca="1" si="27"/>
        <v>#NAME?</v>
      </c>
      <c r="I225" s="100" t="e">
        <f t="shared" ca="1" si="28"/>
        <v>#NAME?</v>
      </c>
      <c r="J225" s="100" t="e">
        <f ca="1">IFERROR(__xludf.DUMMYFUNCTION("""COMPUTED_VALUE"""),"-0.88")</f>
        <v>#NAME?</v>
      </c>
      <c r="K225" s="100" t="e">
        <f t="shared" ca="1" si="29"/>
        <v>#NAME?</v>
      </c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</row>
    <row r="226" spans="1:26">
      <c r="A226" s="100" t="e">
        <f ca="1">IFERROR(__xludf.DUMMYFUNCTION("""COMPUTED_VALUE"""),12747343)</f>
        <v>#NAME?</v>
      </c>
      <c r="B226" s="100" t="e">
        <f ca="1">IFERROR(__xludf.DUMMYFUNCTION("""COMPUTED_VALUE"""),"GRTUSDT")</f>
        <v>#NAME?</v>
      </c>
      <c r="C226" s="100" t="e">
        <f ca="1">IFERROR(__xludf.DUMMYFUNCTION("""COMPUTED_VALUE"""),"0.08367")</f>
        <v>#NAME?</v>
      </c>
      <c r="D226" s="100" t="e">
        <f t="shared" ca="1" si="31"/>
        <v>#NAME?</v>
      </c>
      <c r="E226" s="100" t="e">
        <f t="shared" ca="1" si="31"/>
        <v>#NAME?</v>
      </c>
      <c r="F226" s="100" t="e">
        <f t="shared" ca="1" si="25"/>
        <v>#NAME?</v>
      </c>
      <c r="G226" s="100" t="e">
        <f t="shared" ca="1" si="26"/>
        <v>#NAME?</v>
      </c>
      <c r="H226" s="100" t="e">
        <f t="shared" ca="1" si="27"/>
        <v>#NAME?</v>
      </c>
      <c r="I226" s="100" t="e">
        <f t="shared" ca="1" si="28"/>
        <v>#NAME?</v>
      </c>
      <c r="J226" s="100" t="e">
        <f ca="1">IFERROR(__xludf.DUMMYFUNCTION("""COMPUTED_VALUE"""),"-1.9800000000000002")</f>
        <v>#NAME?</v>
      </c>
      <c r="K226" s="100" t="e">
        <f t="shared" ca="1" si="29"/>
        <v>#NAME?</v>
      </c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</row>
    <row r="227" spans="1:26">
      <c r="A227" s="100" t="e">
        <f ca="1">IFERROR(__xludf.DUMMYFUNCTION("""COMPUTED_VALUE"""),12747344)</f>
        <v>#NAME?</v>
      </c>
      <c r="B227" s="100" t="e">
        <f ca="1">IFERROR(__xludf.DUMMYFUNCTION("""COMPUTED_VALUE"""),"ZKUSDC")</f>
        <v>#NAME?</v>
      </c>
      <c r="C227" s="100" t="e">
        <f ca="1">IFERROR(__xludf.DUMMYFUNCTION("""COMPUTED_VALUE"""),"0.0516")</f>
        <v>#NAME?</v>
      </c>
      <c r="D227" s="100" t="e">
        <f t="shared" ca="1" si="31"/>
        <v>#NAME?</v>
      </c>
      <c r="E227" s="100" t="e">
        <f t="shared" ca="1" si="31"/>
        <v>#NAME?</v>
      </c>
      <c r="F227" s="100" t="e">
        <f t="shared" ca="1" si="25"/>
        <v>#NAME?</v>
      </c>
      <c r="G227" s="100" t="e">
        <f t="shared" ca="1" si="26"/>
        <v>#NAME?</v>
      </c>
      <c r="H227" s="100" t="e">
        <f t="shared" ca="1" si="27"/>
        <v>#NAME?</v>
      </c>
      <c r="I227" s="100" t="e">
        <f t="shared" ca="1" si="28"/>
        <v>#NAME?</v>
      </c>
      <c r="J227" s="100" t="e">
        <f ca="1">IFERROR(__xludf.DUMMYFUNCTION("""COMPUTED_VALUE"""),"-2.27")</f>
        <v>#NAME?</v>
      </c>
      <c r="K227" s="100" t="e">
        <f t="shared" ca="1" si="29"/>
        <v>#NAME?</v>
      </c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</row>
    <row r="228" spans="1:26">
      <c r="A228" s="100" t="e">
        <f ca="1">IFERROR(__xludf.DUMMYFUNCTION("""COMPUTED_VALUE"""),12747345)</f>
        <v>#NAME?</v>
      </c>
      <c r="B228" s="100" t="e">
        <f ca="1">IFERROR(__xludf.DUMMYFUNCTION("""COMPUTED_VALUE"""),"LLUSDT")</f>
        <v>#NAME?</v>
      </c>
      <c r="C228" s="100" t="e">
        <f ca="1">IFERROR(__xludf.DUMMYFUNCTION("""COMPUTED_VALUE"""),"0.01188")</f>
        <v>#NAME?</v>
      </c>
      <c r="D228" s="100" t="e">
        <f t="shared" ca="1" si="31"/>
        <v>#NAME?</v>
      </c>
      <c r="E228" s="100" t="e">
        <f t="shared" ca="1" si="31"/>
        <v>#NAME?</v>
      </c>
      <c r="F228" s="100" t="e">
        <f t="shared" ca="1" si="25"/>
        <v>#NAME?</v>
      </c>
      <c r="G228" s="100" t="e">
        <f t="shared" ca="1" si="26"/>
        <v>#NAME?</v>
      </c>
      <c r="H228" s="100" t="e">
        <f t="shared" ca="1" si="27"/>
        <v>#NAME?</v>
      </c>
      <c r="I228" s="100" t="e">
        <f t="shared" ca="1" si="28"/>
        <v>#NAME?</v>
      </c>
      <c r="J228" s="100" t="e">
        <f ca="1">IFERROR(__xludf.DUMMYFUNCTION("""COMPUTED_VALUE"""),"-1.08")</f>
        <v>#NAME?</v>
      </c>
      <c r="K228" s="100" t="e">
        <f t="shared" ca="1" si="29"/>
        <v>#NAME?</v>
      </c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</row>
    <row r="229" spans="1:26">
      <c r="A229" s="100" t="e">
        <f ca="1">IFERROR(__xludf.DUMMYFUNCTION("""COMPUTED_VALUE"""),12747346)</f>
        <v>#NAME?</v>
      </c>
      <c r="B229" s="100" t="e">
        <f ca="1">IFERROR(__xludf.DUMMYFUNCTION("""COMPUTED_VALUE"""),"NRNUSDT")</f>
        <v>#NAME?</v>
      </c>
      <c r="C229" s="100" t="e">
        <f ca="1">IFERROR(__xludf.DUMMYFUNCTION("""COMPUTED_VALUE"""),"0.03057")</f>
        <v>#NAME?</v>
      </c>
      <c r="D229" s="100" t="e">
        <f t="shared" ca="1" si="31"/>
        <v>#NAME?</v>
      </c>
      <c r="E229" s="100" t="e">
        <f t="shared" ca="1" si="31"/>
        <v>#NAME?</v>
      </c>
      <c r="F229" s="100" t="e">
        <f t="shared" ca="1" si="25"/>
        <v>#NAME?</v>
      </c>
      <c r="G229" s="100" t="e">
        <f t="shared" ca="1" si="26"/>
        <v>#NAME?</v>
      </c>
      <c r="H229" s="100" t="e">
        <f t="shared" ca="1" si="27"/>
        <v>#NAME?</v>
      </c>
      <c r="I229" s="100" t="e">
        <f t="shared" ca="1" si="28"/>
        <v>#NAME?</v>
      </c>
      <c r="J229" s="100" t="e">
        <f ca="1">IFERROR(__xludf.DUMMYFUNCTION("""COMPUTED_VALUE"""),"-0.2")</f>
        <v>#NAME?</v>
      </c>
      <c r="K229" s="100" t="e">
        <f t="shared" ca="1" si="29"/>
        <v>#NAME?</v>
      </c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</row>
    <row r="230" spans="1:26">
      <c r="A230" s="100" t="e">
        <f ca="1">IFERROR(__xludf.DUMMYFUNCTION("""COMPUTED_VALUE"""),12747347)</f>
        <v>#NAME?</v>
      </c>
      <c r="B230" s="100" t="e">
        <f ca="1">IFERROR(__xludf.DUMMYFUNCTION("""COMPUTED_VALUE"""),"MNTUSDT")</f>
        <v>#NAME?</v>
      </c>
      <c r="C230" s="100" t="e">
        <f ca="1">IFERROR(__xludf.DUMMYFUNCTION("""COMPUTED_VALUE"""),"0.6649")</f>
        <v>#NAME?</v>
      </c>
      <c r="D230" s="100" t="e">
        <f t="shared" ca="1" si="31"/>
        <v>#NAME?</v>
      </c>
      <c r="E230" s="100" t="e">
        <f t="shared" ca="1" si="31"/>
        <v>#NAME?</v>
      </c>
      <c r="F230" s="100" t="e">
        <f t="shared" ca="1" si="25"/>
        <v>#NAME?</v>
      </c>
      <c r="G230" s="100" t="e">
        <f t="shared" ca="1" si="26"/>
        <v>#NAME?</v>
      </c>
      <c r="H230" s="100" t="e">
        <f t="shared" ca="1" si="27"/>
        <v>#NAME?</v>
      </c>
      <c r="I230" s="100" t="e">
        <f t="shared" ca="1" si="28"/>
        <v>#NAME?</v>
      </c>
      <c r="J230" s="100" t="e">
        <f ca="1">IFERROR(__xludf.DUMMYFUNCTION("""COMPUTED_VALUE"""),"-0.45999999999999996")</f>
        <v>#NAME?</v>
      </c>
      <c r="K230" s="100" t="e">
        <f t="shared" ca="1" si="29"/>
        <v>#NAME?</v>
      </c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</row>
    <row r="231" spans="1:26">
      <c r="A231" s="100" t="e">
        <f ca="1">IFERROR(__xludf.DUMMYFUNCTION("""COMPUTED_VALUE"""),12747348)</f>
        <v>#NAME?</v>
      </c>
      <c r="B231" s="100" t="e">
        <f ca="1">IFERROR(__xludf.DUMMYFUNCTION("""COMPUTED_VALUE"""),"JTOUSDT")</f>
        <v>#NAME?</v>
      </c>
      <c r="C231" s="100" t="e">
        <f ca="1">IFERROR(__xludf.DUMMYFUNCTION("""COMPUTED_VALUE"""),"1.716")</f>
        <v>#NAME?</v>
      </c>
      <c r="D231" s="100" t="e">
        <f t="shared" ca="1" si="31"/>
        <v>#NAME?</v>
      </c>
      <c r="E231" s="100" t="e">
        <f t="shared" ca="1" si="31"/>
        <v>#NAME?</v>
      </c>
      <c r="F231" s="100" t="e">
        <f t="shared" ca="1" si="25"/>
        <v>#NAME?</v>
      </c>
      <c r="G231" s="100" t="e">
        <f t="shared" ca="1" si="26"/>
        <v>#NAME?</v>
      </c>
      <c r="H231" s="100" t="e">
        <f t="shared" ca="1" si="27"/>
        <v>#NAME?</v>
      </c>
      <c r="I231" s="100" t="e">
        <f t="shared" ca="1" si="28"/>
        <v>#NAME?</v>
      </c>
      <c r="J231" s="100" t="e">
        <f ca="1">IFERROR(__xludf.DUMMYFUNCTION("""COMPUTED_VALUE"""),"1.72")</f>
        <v>#NAME?</v>
      </c>
      <c r="K231" s="100" t="e">
        <f t="shared" ca="1" si="29"/>
        <v>#NAME?</v>
      </c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</row>
    <row r="232" spans="1:26">
      <c r="A232" s="100" t="e">
        <f ca="1">IFERROR(__xludf.DUMMYFUNCTION("""COMPUTED_VALUE"""),12747349)</f>
        <v>#NAME?</v>
      </c>
      <c r="B232" s="100" t="e">
        <f ca="1">IFERROR(__xludf.DUMMYFUNCTION("""COMPUTED_VALUE"""),"CATIUSDT")</f>
        <v>#NAME?</v>
      </c>
      <c r="C232" s="100" t="e">
        <f ca="1">IFERROR(__xludf.DUMMYFUNCTION("""COMPUTED_VALUE"""),"0.0834")</f>
        <v>#NAME?</v>
      </c>
      <c r="D232" s="100" t="e">
        <f t="shared" ca="1" si="31"/>
        <v>#NAME?</v>
      </c>
      <c r="E232" s="100" t="e">
        <f t="shared" ca="1" si="31"/>
        <v>#NAME?</v>
      </c>
      <c r="F232" s="100" t="e">
        <f t="shared" ca="1" si="25"/>
        <v>#NAME?</v>
      </c>
      <c r="G232" s="100" t="e">
        <f t="shared" ca="1" si="26"/>
        <v>#NAME?</v>
      </c>
      <c r="H232" s="100" t="e">
        <f t="shared" ca="1" si="27"/>
        <v>#NAME?</v>
      </c>
      <c r="I232" s="100" t="e">
        <f t="shared" ca="1" si="28"/>
        <v>#NAME?</v>
      </c>
      <c r="J232" s="100" t="e">
        <f ca="1">IFERROR(__xludf.DUMMYFUNCTION("""COMPUTED_VALUE"""),"-2.11")</f>
        <v>#NAME?</v>
      </c>
      <c r="K232" s="100" t="e">
        <f t="shared" ca="1" si="29"/>
        <v>#NAME?</v>
      </c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</row>
    <row r="233" spans="1:26">
      <c r="A233" s="100" t="e">
        <f ca="1">IFERROR(__xludf.DUMMYFUNCTION("""COMPUTED_VALUE"""),12747350)</f>
        <v>#NAME?</v>
      </c>
      <c r="B233" s="100" t="e">
        <f ca="1">IFERROR(__xludf.DUMMYFUNCTION("""COMPUTED_VALUE"""),"ETHFIUSDT")</f>
        <v>#NAME?</v>
      </c>
      <c r="C233" s="100" t="e">
        <f ca="1">IFERROR(__xludf.DUMMYFUNCTION("""COMPUTED_VALUE"""),"0.515")</f>
        <v>#NAME?</v>
      </c>
      <c r="D233" s="100" t="e">
        <f t="shared" ca="1" si="31"/>
        <v>#NAME?</v>
      </c>
      <c r="E233" s="100" t="e">
        <f t="shared" ca="1" si="31"/>
        <v>#NAME?</v>
      </c>
      <c r="F233" s="100" t="e">
        <f t="shared" ca="1" si="25"/>
        <v>#NAME?</v>
      </c>
      <c r="G233" s="100" t="e">
        <f t="shared" ca="1" si="26"/>
        <v>#NAME?</v>
      </c>
      <c r="H233" s="100" t="e">
        <f t="shared" ca="1" si="27"/>
        <v>#NAME?</v>
      </c>
      <c r="I233" s="100" t="e">
        <f t="shared" ca="1" si="28"/>
        <v>#NAME?</v>
      </c>
      <c r="J233" s="100" t="e">
        <f ca="1">IFERROR(__xludf.DUMMYFUNCTION("""COMPUTED_VALUE"""),"3.4099999999999997")</f>
        <v>#NAME?</v>
      </c>
      <c r="K233" s="100" t="e">
        <f t="shared" ca="1" si="29"/>
        <v>#NAME?</v>
      </c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</row>
    <row r="234" spans="1:26">
      <c r="A234" s="100" t="e">
        <f ca="1">IFERROR(__xludf.DUMMYFUNCTION("""COMPUTED_VALUE"""),12747351)</f>
        <v>#NAME?</v>
      </c>
      <c r="B234" s="100" t="e">
        <f ca="1">IFERROR(__xludf.DUMMYFUNCTION("""COMPUTED_VALUE"""),"DEGENUSDT")</f>
        <v>#NAME?</v>
      </c>
      <c r="C234" s="100" t="e">
        <f ca="1">IFERROR(__xludf.DUMMYFUNCTION("""COMPUTED_VALUE"""),"0.002636")</f>
        <v>#NAME?</v>
      </c>
      <c r="D234" s="100" t="e">
        <f t="shared" ca="1" si="31"/>
        <v>#NAME?</v>
      </c>
      <c r="E234" s="100" t="e">
        <f t="shared" ca="1" si="31"/>
        <v>#NAME?</v>
      </c>
      <c r="F234" s="100" t="e">
        <f t="shared" ca="1" si="25"/>
        <v>#NAME?</v>
      </c>
      <c r="G234" s="100" t="e">
        <f t="shared" ca="1" si="26"/>
        <v>#NAME?</v>
      </c>
      <c r="H234" s="100" t="e">
        <f t="shared" ca="1" si="27"/>
        <v>#NAME?</v>
      </c>
      <c r="I234" s="100" t="e">
        <f t="shared" ca="1" si="28"/>
        <v>#NAME?</v>
      </c>
      <c r="J234" s="100" t="e">
        <f ca="1">IFERROR(__xludf.DUMMYFUNCTION("""COMPUTED_VALUE"""),"0.45999999999999996")</f>
        <v>#NAME?</v>
      </c>
      <c r="K234" s="100" t="e">
        <f t="shared" ca="1" si="29"/>
        <v>#NAME?</v>
      </c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</row>
    <row r="235" spans="1:26">
      <c r="A235" s="100" t="e">
        <f ca="1">IFERROR(__xludf.DUMMYFUNCTION("""COMPUTED_VALUE"""),12747352)</f>
        <v>#NAME?</v>
      </c>
      <c r="B235" s="100" t="e">
        <f ca="1">IFERROR(__xludf.DUMMYFUNCTION("""COMPUTED_VALUE"""),"PIXFIUSDT")</f>
        <v>#NAME?</v>
      </c>
      <c r="C235" s="100" t="e">
        <f ca="1">IFERROR(__xludf.DUMMYFUNCTION("""COMPUTED_VALUE"""),"0.0007922")</f>
        <v>#NAME?</v>
      </c>
      <c r="D235" s="100" t="e">
        <f t="shared" ca="1" si="31"/>
        <v>#NAME?</v>
      </c>
      <c r="E235" s="100" t="e">
        <f t="shared" ca="1" si="31"/>
        <v>#NAME?</v>
      </c>
      <c r="F235" s="100" t="e">
        <f t="shared" ca="1" si="25"/>
        <v>#NAME?</v>
      </c>
      <c r="G235" s="100" t="e">
        <f t="shared" ca="1" si="26"/>
        <v>#NAME?</v>
      </c>
      <c r="H235" s="100" t="e">
        <f t="shared" ca="1" si="27"/>
        <v>#NAME?</v>
      </c>
      <c r="I235" s="100" t="e">
        <f t="shared" ca="1" si="28"/>
        <v>#NAME?</v>
      </c>
      <c r="J235" s="100" t="e">
        <f ca="1">IFERROR(__xludf.DUMMYFUNCTION("""COMPUTED_VALUE"""),"74.0")</f>
        <v>#NAME?</v>
      </c>
      <c r="K235" s="100" t="e">
        <f t="shared" ca="1" si="29"/>
        <v>#NAME?</v>
      </c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</row>
    <row r="236" spans="1:26">
      <c r="A236" s="100" t="e">
        <f ca="1">IFERROR(__xludf.DUMMYFUNCTION("""COMPUTED_VALUE"""),12747353)</f>
        <v>#NAME?</v>
      </c>
      <c r="B236" s="100" t="e">
        <f ca="1">IFERROR(__xludf.DUMMYFUNCTION("""COMPUTED_VALUE"""),"CGPTUSDT")</f>
        <v>#NAME?</v>
      </c>
      <c r="C236" s="100" t="e">
        <f ca="1">IFERROR(__xludf.DUMMYFUNCTION("""COMPUTED_VALUE"""),"0.08009")</f>
        <v>#NAME?</v>
      </c>
      <c r="D236" s="100" t="e">
        <f t="shared" ca="1" si="31"/>
        <v>#NAME?</v>
      </c>
      <c r="E236" s="100" t="e">
        <f t="shared" ca="1" si="31"/>
        <v>#NAME?</v>
      </c>
      <c r="F236" s="100" t="e">
        <f t="shared" ca="1" si="25"/>
        <v>#NAME?</v>
      </c>
      <c r="G236" s="100" t="e">
        <f t="shared" ca="1" si="26"/>
        <v>#NAME?</v>
      </c>
      <c r="H236" s="100" t="e">
        <f t="shared" ca="1" si="27"/>
        <v>#NAME?</v>
      </c>
      <c r="I236" s="100" t="e">
        <f t="shared" ca="1" si="28"/>
        <v>#NAME?</v>
      </c>
      <c r="J236" s="100" t="e">
        <f ca="1">IFERROR(__xludf.DUMMYFUNCTION("""COMPUTED_VALUE"""),"2.64")</f>
        <v>#NAME?</v>
      </c>
      <c r="K236" s="100" t="e">
        <f t="shared" ca="1" si="29"/>
        <v>#NAME?</v>
      </c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</row>
    <row r="237" spans="1:26">
      <c r="A237" s="100" t="e">
        <f ca="1">IFERROR(__xludf.DUMMYFUNCTION("""COMPUTED_VALUE"""),12747354)</f>
        <v>#NAME?</v>
      </c>
      <c r="B237" s="100" t="e">
        <f ca="1">IFERROR(__xludf.DUMMYFUNCTION("""COMPUTED_VALUE"""),"DMAILUSDT")</f>
        <v>#NAME?</v>
      </c>
      <c r="C237" s="100" t="e">
        <f ca="1">IFERROR(__xludf.DUMMYFUNCTION("""COMPUTED_VALUE"""),"0.0893")</f>
        <v>#NAME?</v>
      </c>
      <c r="D237" s="100" t="e">
        <f t="shared" ca="1" si="31"/>
        <v>#NAME?</v>
      </c>
      <c r="E237" s="100" t="e">
        <f t="shared" ca="1" si="31"/>
        <v>#NAME?</v>
      </c>
      <c r="F237" s="100" t="e">
        <f t="shared" ca="1" si="25"/>
        <v>#NAME?</v>
      </c>
      <c r="G237" s="100" t="e">
        <f t="shared" ca="1" si="26"/>
        <v>#NAME?</v>
      </c>
      <c r="H237" s="100" t="e">
        <f t="shared" ca="1" si="27"/>
        <v>#NAME?</v>
      </c>
      <c r="I237" s="100" t="e">
        <f t="shared" ca="1" si="28"/>
        <v>#NAME?</v>
      </c>
      <c r="J237" s="100" t="e">
        <f ca="1">IFERROR(__xludf.DUMMYFUNCTION("""COMPUTED_VALUE"""),"-3.56")</f>
        <v>#NAME?</v>
      </c>
      <c r="K237" s="100" t="e">
        <f t="shared" ca="1" si="29"/>
        <v>#NAME?</v>
      </c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</row>
    <row r="238" spans="1:26">
      <c r="A238" s="100" t="e">
        <f ca="1">IFERROR(__xludf.DUMMYFUNCTION("""COMPUTED_VALUE"""),12747355)</f>
        <v>#NAME?</v>
      </c>
      <c r="B238" s="100" t="e">
        <f ca="1">IFERROR(__xludf.DUMMYFUNCTION("""COMPUTED_VALUE"""),"MAGICUSDT")</f>
        <v>#NAME?</v>
      </c>
      <c r="C238" s="100" t="e">
        <f ca="1">IFERROR(__xludf.DUMMYFUNCTION("""COMPUTED_VALUE"""),"0.2537")</f>
        <v>#NAME?</v>
      </c>
      <c r="D238" s="100" t="e">
        <f t="shared" ca="1" si="31"/>
        <v>#NAME?</v>
      </c>
      <c r="E238" s="100" t="e">
        <f t="shared" ca="1" si="31"/>
        <v>#NAME?</v>
      </c>
      <c r="F238" s="100" t="e">
        <f t="shared" ca="1" si="25"/>
        <v>#NAME?</v>
      </c>
      <c r="G238" s="100" t="e">
        <f t="shared" ca="1" si="26"/>
        <v>#NAME?</v>
      </c>
      <c r="H238" s="100" t="e">
        <f t="shared" ca="1" si="27"/>
        <v>#NAME?</v>
      </c>
      <c r="I238" s="100" t="e">
        <f t="shared" ca="1" si="28"/>
        <v>#NAME?</v>
      </c>
      <c r="J238" s="100" t="e">
        <f ca="1">IFERROR(__xludf.DUMMYFUNCTION("""COMPUTED_VALUE"""),"8.42")</f>
        <v>#NAME?</v>
      </c>
      <c r="K238" s="100" t="e">
        <f t="shared" ca="1" si="29"/>
        <v>#NAME?</v>
      </c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</row>
    <row r="239" spans="1:26">
      <c r="A239" s="100" t="e">
        <f ca="1">IFERROR(__xludf.DUMMYFUNCTION("""COMPUTED_VALUE"""),12747356)</f>
        <v>#NAME?</v>
      </c>
      <c r="B239" s="100" t="e">
        <f ca="1">IFERROR(__xludf.DUMMYFUNCTION("""COMPUTED_VALUE"""),"SAILUSDT")</f>
        <v>#NAME?</v>
      </c>
      <c r="C239" s="100" t="e">
        <f ca="1">IFERROR(__xludf.DUMMYFUNCTION("""COMPUTED_VALUE"""),"0.0008374")</f>
        <v>#NAME?</v>
      </c>
      <c r="D239" s="100" t="e">
        <f t="shared" ca="1" si="31"/>
        <v>#NAME?</v>
      </c>
      <c r="E239" s="100" t="e">
        <f t="shared" ca="1" si="31"/>
        <v>#NAME?</v>
      </c>
      <c r="F239" s="100" t="e">
        <f t="shared" ca="1" si="25"/>
        <v>#NAME?</v>
      </c>
      <c r="G239" s="100" t="e">
        <f t="shared" ca="1" si="26"/>
        <v>#NAME?</v>
      </c>
      <c r="H239" s="100" t="e">
        <f t="shared" ca="1" si="27"/>
        <v>#NAME?</v>
      </c>
      <c r="I239" s="100" t="e">
        <f t="shared" ca="1" si="28"/>
        <v>#NAME?</v>
      </c>
      <c r="J239" s="100" t="e">
        <f ca="1">IFERROR(__xludf.DUMMYFUNCTION("""COMPUTED_VALUE"""),"0.0")</f>
        <v>#NAME?</v>
      </c>
      <c r="K239" s="100" t="e">
        <f t="shared" ca="1" si="29"/>
        <v>#NAME?</v>
      </c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</row>
    <row r="240" spans="1:26">
      <c r="A240" s="100" t="e">
        <f ca="1">IFERROR(__xludf.DUMMYFUNCTION("""COMPUTED_VALUE"""),12747357)</f>
        <v>#NAME?</v>
      </c>
      <c r="B240" s="100" t="e">
        <f ca="1">IFERROR(__xludf.DUMMYFUNCTION("""COMPUTED_VALUE"""),"BTCUSDQ")</f>
        <v>#NAME?</v>
      </c>
      <c r="C240" s="100" t="e">
        <f ca="1">IFERROR(__xludf.DUMMYFUNCTION("""COMPUTED_VALUE"""),"88000")</f>
        <v>#NAME?</v>
      </c>
      <c r="D240" s="100" t="e">
        <f t="shared" ca="1" si="31"/>
        <v>#NAME?</v>
      </c>
      <c r="E240" s="100" t="e">
        <f t="shared" ca="1" si="31"/>
        <v>#NAME?</v>
      </c>
      <c r="F240" s="100" t="e">
        <f t="shared" ca="1" si="25"/>
        <v>#NAME?</v>
      </c>
      <c r="G240" s="100" t="e">
        <f t="shared" ca="1" si="26"/>
        <v>#NAME?</v>
      </c>
      <c r="H240" s="100" t="e">
        <f t="shared" ca="1" si="27"/>
        <v>#NAME?</v>
      </c>
      <c r="I240" s="100" t="e">
        <f t="shared" ca="1" si="28"/>
        <v>#NAME?</v>
      </c>
      <c r="J240" s="100" t="e">
        <f ca="1">IFERROR(__xludf.DUMMYFUNCTION("""COMPUTED_VALUE"""),"0.66")</f>
        <v>#NAME?</v>
      </c>
      <c r="K240" s="100" t="e">
        <f t="shared" ca="1" si="29"/>
        <v>#NAME?</v>
      </c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</row>
    <row r="241" spans="1:26">
      <c r="A241" s="100" t="e">
        <f ca="1">IFERROR(__xludf.DUMMYFUNCTION("""COMPUTED_VALUE"""),12747358)</f>
        <v>#NAME?</v>
      </c>
      <c r="B241" s="100" t="e">
        <f ca="1">IFERROR(__xludf.DUMMYFUNCTION("""COMPUTED_VALUE"""),"ARBUSDC")</f>
        <v>#NAME?</v>
      </c>
      <c r="C241" s="100" t="e">
        <f ca="1">IFERROR(__xludf.DUMMYFUNCTION("""COMPUTED_VALUE"""),"0.3006")</f>
        <v>#NAME?</v>
      </c>
      <c r="D241" s="100" t="e">
        <f t="shared" ca="1" si="31"/>
        <v>#NAME?</v>
      </c>
      <c r="E241" s="100" t="e">
        <f t="shared" ca="1" si="31"/>
        <v>#NAME?</v>
      </c>
      <c r="F241" s="100" t="e">
        <f t="shared" ca="1" si="25"/>
        <v>#NAME?</v>
      </c>
      <c r="G241" s="100" t="e">
        <f t="shared" ca="1" si="26"/>
        <v>#NAME?</v>
      </c>
      <c r="H241" s="100" t="e">
        <f t="shared" ca="1" si="27"/>
        <v>#NAME?</v>
      </c>
      <c r="I241" s="100" t="e">
        <f t="shared" ca="1" si="28"/>
        <v>#NAME?</v>
      </c>
      <c r="J241" s="100" t="e">
        <f ca="1">IFERROR(__xludf.DUMMYFUNCTION("""COMPUTED_VALUE"""),"-3.8699999999999997")</f>
        <v>#NAME?</v>
      </c>
      <c r="K241" s="100" t="e">
        <f t="shared" ca="1" si="29"/>
        <v>#NAME?</v>
      </c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</row>
    <row r="242" spans="1:26">
      <c r="A242" s="100" t="e">
        <f ca="1">IFERROR(__xludf.DUMMYFUNCTION("""COMPUTED_VALUE"""),12747359)</f>
        <v>#NAME?</v>
      </c>
      <c r="B242" s="100" t="e">
        <f ca="1">IFERROR(__xludf.DUMMYFUNCTION("""COMPUTED_VALUE"""),"OPUSDC")</f>
        <v>#NAME?</v>
      </c>
      <c r="C242" s="100" t="e">
        <f ca="1">IFERROR(__xludf.DUMMYFUNCTION("""COMPUTED_VALUE"""),"0.69")</f>
        <v>#NAME?</v>
      </c>
      <c r="D242" s="100" t="e">
        <f t="shared" ref="D242:E261" ca="1" si="32">IFERROR(__xludf.DUMMYFUNCTION("""COMPUTED_VALUE"""),"-")</f>
        <v>#NAME?</v>
      </c>
      <c r="E242" s="100" t="e">
        <f t="shared" ca="1" si="32"/>
        <v>#NAME?</v>
      </c>
      <c r="F242" s="100" t="e">
        <f t="shared" ca="1" si="25"/>
        <v>#NAME?</v>
      </c>
      <c r="G242" s="100" t="e">
        <f t="shared" ca="1" si="26"/>
        <v>#NAME?</v>
      </c>
      <c r="H242" s="100" t="e">
        <f t="shared" ca="1" si="27"/>
        <v>#NAME?</v>
      </c>
      <c r="I242" s="100" t="e">
        <f t="shared" ca="1" si="28"/>
        <v>#NAME?</v>
      </c>
      <c r="J242" s="100" t="e">
        <f ca="1">IFERROR(__xludf.DUMMYFUNCTION("""COMPUTED_VALUE"""),"-4.83")</f>
        <v>#NAME?</v>
      </c>
      <c r="K242" s="100" t="e">
        <f t="shared" ca="1" si="29"/>
        <v>#NAME?</v>
      </c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</row>
    <row r="243" spans="1:26">
      <c r="A243" s="100" t="e">
        <f ca="1">IFERROR(__xludf.DUMMYFUNCTION("""COMPUTED_VALUE"""),12747360)</f>
        <v>#NAME?</v>
      </c>
      <c r="B243" s="100" t="e">
        <f ca="1">IFERROR(__xludf.DUMMYFUNCTION("""COMPUTED_VALUE"""),"MYROUSDT")</f>
        <v>#NAME?</v>
      </c>
      <c r="C243" s="100" t="e">
        <f ca="1">IFERROR(__xludf.DUMMYFUNCTION("""COMPUTED_VALUE"""),"0.01359")</f>
        <v>#NAME?</v>
      </c>
      <c r="D243" s="100" t="e">
        <f t="shared" ca="1" si="32"/>
        <v>#NAME?</v>
      </c>
      <c r="E243" s="100" t="e">
        <f t="shared" ca="1" si="32"/>
        <v>#NAME?</v>
      </c>
      <c r="F243" s="100" t="e">
        <f t="shared" ca="1" si="25"/>
        <v>#NAME?</v>
      </c>
      <c r="G243" s="100" t="e">
        <f t="shared" ca="1" si="26"/>
        <v>#NAME?</v>
      </c>
      <c r="H243" s="100" t="e">
        <f t="shared" ca="1" si="27"/>
        <v>#NAME?</v>
      </c>
      <c r="I243" s="100" t="e">
        <f t="shared" ca="1" si="28"/>
        <v>#NAME?</v>
      </c>
      <c r="J243" s="100" t="e">
        <f ca="1">IFERROR(__xludf.DUMMYFUNCTION("""COMPUTED_VALUE"""),"9.51")</f>
        <v>#NAME?</v>
      </c>
      <c r="K243" s="100" t="e">
        <f t="shared" ca="1" si="29"/>
        <v>#NAME?</v>
      </c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</row>
    <row r="244" spans="1:26">
      <c r="A244" s="100" t="e">
        <f ca="1">IFERROR(__xludf.DUMMYFUNCTION("""COMPUTED_VALUE"""),12747361)</f>
        <v>#NAME?</v>
      </c>
      <c r="B244" s="100" t="e">
        <f ca="1">IFERROR(__xludf.DUMMYFUNCTION("""COMPUTED_VALUE"""),"MANAUSDC")</f>
        <v>#NAME?</v>
      </c>
      <c r="C244" s="100" t="e">
        <f ca="1">IFERROR(__xludf.DUMMYFUNCTION("""COMPUTED_VALUE"""),"0.2992")</f>
        <v>#NAME?</v>
      </c>
      <c r="D244" s="100" t="e">
        <f t="shared" ca="1" si="32"/>
        <v>#NAME?</v>
      </c>
      <c r="E244" s="100" t="e">
        <f t="shared" ca="1" si="32"/>
        <v>#NAME?</v>
      </c>
      <c r="F244" s="100" t="e">
        <f t="shared" ca="1" si="25"/>
        <v>#NAME?</v>
      </c>
      <c r="G244" s="100" t="e">
        <f t="shared" ca="1" si="26"/>
        <v>#NAME?</v>
      </c>
      <c r="H244" s="100" t="e">
        <f t="shared" ca="1" si="27"/>
        <v>#NAME?</v>
      </c>
      <c r="I244" s="100" t="e">
        <f t="shared" ca="1" si="28"/>
        <v>#NAME?</v>
      </c>
      <c r="J244" s="100" t="e">
        <f ca="1">IFERROR(__xludf.DUMMYFUNCTION("""COMPUTED_VALUE"""),"-3.95")</f>
        <v>#NAME?</v>
      </c>
      <c r="K244" s="100" t="e">
        <f t="shared" ca="1" si="29"/>
        <v>#NAME?</v>
      </c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</row>
    <row r="245" spans="1:26">
      <c r="A245" s="100" t="e">
        <f ca="1">IFERROR(__xludf.DUMMYFUNCTION("""COMPUTED_VALUE"""),12747362)</f>
        <v>#NAME?</v>
      </c>
      <c r="B245" s="100" t="e">
        <f ca="1">IFERROR(__xludf.DUMMYFUNCTION("""COMPUTED_VALUE"""),"ANIMEUSDT")</f>
        <v>#NAME?</v>
      </c>
      <c r="C245" s="100" t="e">
        <f ca="1">IFERROR(__xludf.DUMMYFUNCTION("""COMPUTED_VALUE"""),"0.01634")</f>
        <v>#NAME?</v>
      </c>
      <c r="D245" s="100" t="e">
        <f t="shared" ca="1" si="32"/>
        <v>#NAME?</v>
      </c>
      <c r="E245" s="100" t="e">
        <f t="shared" ca="1" si="32"/>
        <v>#NAME?</v>
      </c>
      <c r="F245" s="100" t="e">
        <f t="shared" ca="1" si="25"/>
        <v>#NAME?</v>
      </c>
      <c r="G245" s="100" t="e">
        <f t="shared" ca="1" si="26"/>
        <v>#NAME?</v>
      </c>
      <c r="H245" s="100" t="e">
        <f t="shared" ca="1" si="27"/>
        <v>#NAME?</v>
      </c>
      <c r="I245" s="100" t="e">
        <f t="shared" ca="1" si="28"/>
        <v>#NAME?</v>
      </c>
      <c r="J245" s="100" t="e">
        <f ca="1">IFERROR(__xludf.DUMMYFUNCTION("""COMPUTED_VALUE"""),"-6.36")</f>
        <v>#NAME?</v>
      </c>
      <c r="K245" s="100" t="e">
        <f t="shared" ca="1" si="29"/>
        <v>#NAME?</v>
      </c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</row>
    <row r="246" spans="1:26">
      <c r="A246" s="100" t="e">
        <f ca="1">IFERROR(__xludf.DUMMYFUNCTION("""COMPUTED_VALUE"""),12747363)</f>
        <v>#NAME?</v>
      </c>
      <c r="B246" s="100" t="e">
        <f ca="1">IFERROR(__xludf.DUMMYFUNCTION("""COMPUTED_VALUE"""),"PORT3USDT")</f>
        <v>#NAME?</v>
      </c>
      <c r="C246" s="100" t="e">
        <f ca="1">IFERROR(__xludf.DUMMYFUNCTION("""COMPUTED_VALUE"""),"0.02259")</f>
        <v>#NAME?</v>
      </c>
      <c r="D246" s="100" t="e">
        <f t="shared" ca="1" si="32"/>
        <v>#NAME?</v>
      </c>
      <c r="E246" s="100" t="e">
        <f t="shared" ca="1" si="32"/>
        <v>#NAME?</v>
      </c>
      <c r="F246" s="100" t="e">
        <f t="shared" ca="1" si="25"/>
        <v>#NAME?</v>
      </c>
      <c r="G246" s="100" t="e">
        <f t="shared" ca="1" si="26"/>
        <v>#NAME?</v>
      </c>
      <c r="H246" s="100" t="e">
        <f t="shared" ca="1" si="27"/>
        <v>#NAME?</v>
      </c>
      <c r="I246" s="100" t="e">
        <f t="shared" ca="1" si="28"/>
        <v>#NAME?</v>
      </c>
      <c r="J246" s="100" t="e">
        <f ca="1">IFERROR(__xludf.DUMMYFUNCTION("""COMPUTED_VALUE"""),"-1.27")</f>
        <v>#NAME?</v>
      </c>
      <c r="K246" s="100" t="e">
        <f t="shared" ca="1" si="29"/>
        <v>#NAME?</v>
      </c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</row>
    <row r="247" spans="1:26">
      <c r="A247" s="100" t="e">
        <f ca="1">IFERROR(__xludf.DUMMYFUNCTION("""COMPUTED_VALUE"""),12747364)</f>
        <v>#NAME?</v>
      </c>
      <c r="B247" s="100" t="e">
        <f ca="1">IFERROR(__xludf.DUMMYFUNCTION("""COMPUTED_VALUE"""),"HPOS10IUSDT")</f>
        <v>#NAME?</v>
      </c>
      <c r="C247" s="100" t="e">
        <f ca="1">IFERROR(__xludf.DUMMYFUNCTION("""COMPUTED_VALUE"""),"0.0544")</f>
        <v>#NAME?</v>
      </c>
      <c r="D247" s="100" t="e">
        <f t="shared" ca="1" si="32"/>
        <v>#NAME?</v>
      </c>
      <c r="E247" s="100" t="e">
        <f t="shared" ca="1" si="32"/>
        <v>#NAME?</v>
      </c>
      <c r="F247" s="100" t="e">
        <f t="shared" ca="1" si="25"/>
        <v>#NAME?</v>
      </c>
      <c r="G247" s="100" t="e">
        <f t="shared" ca="1" si="26"/>
        <v>#NAME?</v>
      </c>
      <c r="H247" s="100" t="e">
        <f t="shared" ca="1" si="27"/>
        <v>#NAME?</v>
      </c>
      <c r="I247" s="100" t="e">
        <f t="shared" ca="1" si="28"/>
        <v>#NAME?</v>
      </c>
      <c r="J247" s="100" t="e">
        <f ca="1">IFERROR(__xludf.DUMMYFUNCTION("""COMPUTED_VALUE"""),"-1.9800000000000002")</f>
        <v>#NAME?</v>
      </c>
      <c r="K247" s="100" t="e">
        <f t="shared" ca="1" si="29"/>
        <v>#NAME?</v>
      </c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</row>
    <row r="248" spans="1:26">
      <c r="A248" s="100" t="e">
        <f ca="1">IFERROR(__xludf.DUMMYFUNCTION("""COMPUTED_VALUE"""),12747365)</f>
        <v>#NAME?</v>
      </c>
      <c r="B248" s="100" t="e">
        <f ca="1">IFERROR(__xludf.DUMMYFUNCTION("""COMPUTED_VALUE"""),"USDCBRL")</f>
        <v>#NAME?</v>
      </c>
      <c r="C248" s="100" t="e">
        <f ca="1">IFERROR(__xludf.DUMMYFUNCTION("""COMPUTED_VALUE"""),"5.829")</f>
        <v>#NAME?</v>
      </c>
      <c r="D248" s="100" t="e">
        <f t="shared" ca="1" si="32"/>
        <v>#NAME?</v>
      </c>
      <c r="E248" s="100" t="e">
        <f t="shared" ca="1" si="32"/>
        <v>#NAME?</v>
      </c>
      <c r="F248" s="100" t="e">
        <f t="shared" ca="1" si="25"/>
        <v>#NAME?</v>
      </c>
      <c r="G248" s="100" t="e">
        <f t="shared" ca="1" si="26"/>
        <v>#NAME?</v>
      </c>
      <c r="H248" s="100" t="e">
        <f t="shared" ca="1" si="27"/>
        <v>#NAME?</v>
      </c>
      <c r="I248" s="100" t="e">
        <f t="shared" ca="1" si="28"/>
        <v>#NAME?</v>
      </c>
      <c r="J248" s="100" t="e">
        <f ca="1">IFERROR(__xludf.DUMMYFUNCTION("""COMPUTED_VALUE"""),"-0.21")</f>
        <v>#NAME?</v>
      </c>
      <c r="K248" s="100" t="e">
        <f t="shared" ca="1" si="29"/>
        <v>#NAME?</v>
      </c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</row>
    <row r="249" spans="1:26">
      <c r="A249" s="100" t="e">
        <f ca="1">IFERROR(__xludf.DUMMYFUNCTION("""COMPUTED_VALUE"""),12747366)</f>
        <v>#NAME?</v>
      </c>
      <c r="B249" s="100" t="e">
        <f ca="1">IFERROR(__xludf.DUMMYFUNCTION("""COMPUTED_VALUE"""),"ADAEUR")</f>
        <v>#NAME?</v>
      </c>
      <c r="C249" s="100" t="e">
        <f ca="1">IFERROR(__xludf.DUMMYFUNCTION("""COMPUTED_VALUE"""),"0.5556")</f>
        <v>#NAME?</v>
      </c>
      <c r="D249" s="100" t="e">
        <f t="shared" ca="1" si="32"/>
        <v>#NAME?</v>
      </c>
      <c r="E249" s="100" t="e">
        <f t="shared" ca="1" si="32"/>
        <v>#NAME?</v>
      </c>
      <c r="F249" s="100" t="e">
        <f t="shared" ca="1" si="25"/>
        <v>#NAME?</v>
      </c>
      <c r="G249" s="100" t="e">
        <f t="shared" ca="1" si="26"/>
        <v>#NAME?</v>
      </c>
      <c r="H249" s="100" t="e">
        <f t="shared" ca="1" si="27"/>
        <v>#NAME?</v>
      </c>
      <c r="I249" s="100" t="e">
        <f t="shared" ca="1" si="28"/>
        <v>#NAME?</v>
      </c>
      <c r="J249" s="100" t="e">
        <f ca="1">IFERROR(__xludf.DUMMYFUNCTION("""COMPUTED_VALUE"""),"-0.8699999999999999")</f>
        <v>#NAME?</v>
      </c>
      <c r="K249" s="100" t="e">
        <f t="shared" ca="1" si="29"/>
        <v>#NAME?</v>
      </c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</row>
    <row r="250" spans="1:26">
      <c r="A250" s="100" t="e">
        <f ca="1">IFERROR(__xludf.DUMMYFUNCTION("""COMPUTED_VALUE"""),12747367)</f>
        <v>#NAME?</v>
      </c>
      <c r="B250" s="100" t="e">
        <f ca="1">IFERROR(__xludf.DUMMYFUNCTION("""COMPUTED_VALUE"""),"MAJORUSDT")</f>
        <v>#NAME?</v>
      </c>
      <c r="C250" s="100" t="e">
        <f ca="1">IFERROR(__xludf.DUMMYFUNCTION("""COMPUTED_VALUE"""),"0.1964")</f>
        <v>#NAME?</v>
      </c>
      <c r="D250" s="100" t="e">
        <f t="shared" ca="1" si="32"/>
        <v>#NAME?</v>
      </c>
      <c r="E250" s="100" t="e">
        <f t="shared" ca="1" si="32"/>
        <v>#NAME?</v>
      </c>
      <c r="F250" s="100" t="e">
        <f t="shared" ca="1" si="25"/>
        <v>#NAME?</v>
      </c>
      <c r="G250" s="100" t="e">
        <f t="shared" ca="1" si="26"/>
        <v>#NAME?</v>
      </c>
      <c r="H250" s="100" t="e">
        <f t="shared" ca="1" si="27"/>
        <v>#NAME?</v>
      </c>
      <c r="I250" s="100" t="e">
        <f t="shared" ca="1" si="28"/>
        <v>#NAME?</v>
      </c>
      <c r="J250" s="100" t="e">
        <f ca="1">IFERROR(__xludf.DUMMYFUNCTION("""COMPUTED_VALUE"""),"14.39")</f>
        <v>#NAME?</v>
      </c>
      <c r="K250" s="100" t="e">
        <f t="shared" ca="1" si="29"/>
        <v>#NAME?</v>
      </c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</row>
    <row r="251" spans="1:26">
      <c r="A251" s="100" t="e">
        <f ca="1">IFERROR(__xludf.DUMMYFUNCTION("""COMPUTED_VALUE"""),12747368)</f>
        <v>#NAME?</v>
      </c>
      <c r="B251" s="100" t="e">
        <f ca="1">IFERROR(__xludf.DUMMYFUNCTION("""COMPUTED_VALUE"""),"SHRAPUSDT")</f>
        <v>#NAME?</v>
      </c>
      <c r="C251" s="100" t="e">
        <f ca="1">IFERROR(__xludf.DUMMYFUNCTION("""COMPUTED_VALUE"""),"0.005346")</f>
        <v>#NAME?</v>
      </c>
      <c r="D251" s="100" t="e">
        <f t="shared" ca="1" si="32"/>
        <v>#NAME?</v>
      </c>
      <c r="E251" s="100" t="e">
        <f t="shared" ca="1" si="32"/>
        <v>#NAME?</v>
      </c>
      <c r="F251" s="100" t="e">
        <f t="shared" ca="1" si="25"/>
        <v>#NAME?</v>
      </c>
      <c r="G251" s="100" t="e">
        <f t="shared" ca="1" si="26"/>
        <v>#NAME?</v>
      </c>
      <c r="H251" s="100" t="e">
        <f t="shared" ca="1" si="27"/>
        <v>#NAME?</v>
      </c>
      <c r="I251" s="100" t="e">
        <f t="shared" ca="1" si="28"/>
        <v>#NAME?</v>
      </c>
      <c r="J251" s="100" t="e">
        <f ca="1">IFERROR(__xludf.DUMMYFUNCTION("""COMPUTED_VALUE"""),"1.63")</f>
        <v>#NAME?</v>
      </c>
      <c r="K251" s="100" t="e">
        <f t="shared" ca="1" si="29"/>
        <v>#NAME?</v>
      </c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</row>
    <row r="252" spans="1:26">
      <c r="A252" s="100" t="e">
        <f ca="1">IFERROR(__xludf.DUMMYFUNCTION("""COMPUTED_VALUE"""),12747369)</f>
        <v>#NAME?</v>
      </c>
      <c r="B252" s="100" t="e">
        <f ca="1">IFERROR(__xludf.DUMMYFUNCTION("""COMPUTED_VALUE"""),"LUNAIUSDT")</f>
        <v>#NAME?</v>
      </c>
      <c r="C252" s="100" t="e">
        <f ca="1">IFERROR(__xludf.DUMMYFUNCTION("""COMPUTED_VALUE"""),"0.00898")</f>
        <v>#NAME?</v>
      </c>
      <c r="D252" s="100" t="e">
        <f t="shared" ca="1" si="32"/>
        <v>#NAME?</v>
      </c>
      <c r="E252" s="100" t="e">
        <f t="shared" ca="1" si="32"/>
        <v>#NAME?</v>
      </c>
      <c r="F252" s="100" t="e">
        <f t="shared" ca="1" si="25"/>
        <v>#NAME?</v>
      </c>
      <c r="G252" s="100" t="e">
        <f t="shared" ca="1" si="26"/>
        <v>#NAME?</v>
      </c>
      <c r="H252" s="100" t="e">
        <f t="shared" ca="1" si="27"/>
        <v>#NAME?</v>
      </c>
      <c r="I252" s="100" t="e">
        <f t="shared" ca="1" si="28"/>
        <v>#NAME?</v>
      </c>
      <c r="J252" s="100" t="e">
        <f ca="1">IFERROR(__xludf.DUMMYFUNCTION("""COMPUTED_VALUE"""),"-2.29")</f>
        <v>#NAME?</v>
      </c>
      <c r="K252" s="100" t="e">
        <f t="shared" ca="1" si="29"/>
        <v>#NAME?</v>
      </c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</row>
    <row r="253" spans="1:26">
      <c r="A253" s="100" t="e">
        <f ca="1">IFERROR(__xludf.DUMMYFUNCTION("""COMPUTED_VALUE"""),12747370)</f>
        <v>#NAME?</v>
      </c>
      <c r="B253" s="100" t="e">
        <f ca="1">IFERROR(__xludf.DUMMYFUNCTION("""COMPUTED_VALUE"""),"ZTXUSDT")</f>
        <v>#NAME?</v>
      </c>
      <c r="C253" s="100" t="e">
        <f ca="1">IFERROR(__xludf.DUMMYFUNCTION("""COMPUTED_VALUE"""),"0.002162")</f>
        <v>#NAME?</v>
      </c>
      <c r="D253" s="100" t="e">
        <f t="shared" ca="1" si="32"/>
        <v>#NAME?</v>
      </c>
      <c r="E253" s="100" t="e">
        <f t="shared" ca="1" si="32"/>
        <v>#NAME?</v>
      </c>
      <c r="F253" s="100" t="e">
        <f t="shared" ca="1" si="25"/>
        <v>#NAME?</v>
      </c>
      <c r="G253" s="100" t="e">
        <f t="shared" ca="1" si="26"/>
        <v>#NAME?</v>
      </c>
      <c r="H253" s="100" t="e">
        <f t="shared" ca="1" si="27"/>
        <v>#NAME?</v>
      </c>
      <c r="I253" s="100" t="e">
        <f t="shared" ca="1" si="28"/>
        <v>#NAME?</v>
      </c>
      <c r="J253" s="100" t="e">
        <f ca="1">IFERROR(__xludf.DUMMYFUNCTION("""COMPUTED_VALUE"""),"-6.0")</f>
        <v>#NAME?</v>
      </c>
      <c r="K253" s="100" t="e">
        <f t="shared" ca="1" si="29"/>
        <v>#NAME?</v>
      </c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</row>
    <row r="254" spans="1:26">
      <c r="A254" s="100" t="e">
        <f ca="1">IFERROR(__xludf.DUMMYFUNCTION("""COMPUTED_VALUE"""),12747371)</f>
        <v>#NAME?</v>
      </c>
      <c r="B254" s="100" t="e">
        <f ca="1">IFERROR(__xludf.DUMMYFUNCTION("""COMPUTED_VALUE"""),"MAKUSDT")</f>
        <v>#NAME?</v>
      </c>
      <c r="C254" s="100" t="e">
        <f ca="1">IFERROR(__xludf.DUMMYFUNCTION("""COMPUTED_VALUE"""),"0.0041")</f>
        <v>#NAME?</v>
      </c>
      <c r="D254" s="100" t="e">
        <f t="shared" ca="1" si="32"/>
        <v>#NAME?</v>
      </c>
      <c r="E254" s="100" t="e">
        <f t="shared" ca="1" si="32"/>
        <v>#NAME?</v>
      </c>
      <c r="F254" s="100" t="e">
        <f t="shared" ca="1" si="25"/>
        <v>#NAME?</v>
      </c>
      <c r="G254" s="100" t="e">
        <f t="shared" ca="1" si="26"/>
        <v>#NAME?</v>
      </c>
      <c r="H254" s="100" t="e">
        <f t="shared" ca="1" si="27"/>
        <v>#NAME?</v>
      </c>
      <c r="I254" s="100" t="e">
        <f t="shared" ca="1" si="28"/>
        <v>#NAME?</v>
      </c>
      <c r="J254" s="100" t="e">
        <f ca="1">IFERROR(__xludf.DUMMYFUNCTION("""COMPUTED_VALUE"""),"1.9900000000000002")</f>
        <v>#NAME?</v>
      </c>
      <c r="K254" s="100" t="e">
        <f t="shared" ca="1" si="29"/>
        <v>#NAME?</v>
      </c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</row>
    <row r="255" spans="1:26">
      <c r="A255" s="100" t="e">
        <f ca="1">IFERROR(__xludf.DUMMYFUNCTION("""COMPUTED_VALUE"""),12747372)</f>
        <v>#NAME?</v>
      </c>
      <c r="B255" s="100" t="e">
        <f ca="1">IFERROR(__xludf.DUMMYFUNCTION("""COMPUTED_VALUE"""),"MBOXUSDT")</f>
        <v>#NAME?</v>
      </c>
      <c r="C255" s="100" t="e">
        <f ca="1">IFERROR(__xludf.DUMMYFUNCTION("""COMPUTED_VALUE"""),"0.05199")</f>
        <v>#NAME?</v>
      </c>
      <c r="D255" s="100" t="e">
        <f t="shared" ca="1" si="32"/>
        <v>#NAME?</v>
      </c>
      <c r="E255" s="100" t="e">
        <f t="shared" ca="1" si="32"/>
        <v>#NAME?</v>
      </c>
      <c r="F255" s="100" t="e">
        <f t="shared" ca="1" si="25"/>
        <v>#NAME?</v>
      </c>
      <c r="G255" s="100" t="e">
        <f t="shared" ca="1" si="26"/>
        <v>#NAME?</v>
      </c>
      <c r="H255" s="100" t="e">
        <f t="shared" ca="1" si="27"/>
        <v>#NAME?</v>
      </c>
      <c r="I255" s="100" t="e">
        <f t="shared" ca="1" si="28"/>
        <v>#NAME?</v>
      </c>
      <c r="J255" s="100" t="e">
        <f ca="1">IFERROR(__xludf.DUMMYFUNCTION("""COMPUTED_VALUE"""),"-5.87")</f>
        <v>#NAME?</v>
      </c>
      <c r="K255" s="100" t="e">
        <f t="shared" ca="1" si="29"/>
        <v>#NAME?</v>
      </c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</row>
    <row r="256" spans="1:26">
      <c r="A256" s="100" t="e">
        <f ca="1">IFERROR(__xludf.DUMMYFUNCTION("""COMPUTED_VALUE"""),12747373)</f>
        <v>#NAME?</v>
      </c>
      <c r="B256" s="100" t="e">
        <f ca="1">IFERROR(__xludf.DUMMYFUNCTION("""COMPUTED_VALUE"""),"VPRUSDT")</f>
        <v>#NAME?</v>
      </c>
      <c r="C256" s="100" t="e">
        <f ca="1">IFERROR(__xludf.DUMMYFUNCTION("""COMPUTED_VALUE"""),"0.0003591")</f>
        <v>#NAME?</v>
      </c>
      <c r="D256" s="100" t="e">
        <f t="shared" ca="1" si="32"/>
        <v>#NAME?</v>
      </c>
      <c r="E256" s="100" t="e">
        <f t="shared" ca="1" si="32"/>
        <v>#NAME?</v>
      </c>
      <c r="F256" s="100" t="e">
        <f t="shared" ca="1" si="25"/>
        <v>#NAME?</v>
      </c>
      <c r="G256" s="100" t="e">
        <f t="shared" ca="1" si="26"/>
        <v>#NAME?</v>
      </c>
      <c r="H256" s="100" t="e">
        <f t="shared" ca="1" si="27"/>
        <v>#NAME?</v>
      </c>
      <c r="I256" s="100" t="e">
        <f t="shared" ca="1" si="28"/>
        <v>#NAME?</v>
      </c>
      <c r="J256" s="100" t="e">
        <f ca="1">IFERROR(__xludf.DUMMYFUNCTION("""COMPUTED_VALUE"""),"-1.21")</f>
        <v>#NAME?</v>
      </c>
      <c r="K256" s="100" t="e">
        <f t="shared" ca="1" si="29"/>
        <v>#NAME?</v>
      </c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</row>
    <row r="257" spans="1:26">
      <c r="A257" s="100" t="e">
        <f ca="1">IFERROR(__xludf.DUMMYFUNCTION("""COMPUTED_VALUE"""),12747374)</f>
        <v>#NAME?</v>
      </c>
      <c r="B257" s="100" t="e">
        <f ca="1">IFERROR(__xludf.DUMMYFUNCTION("""COMPUTED_VALUE"""),"RPKUSDT")</f>
        <v>#NAME?</v>
      </c>
      <c r="C257" s="100" t="e">
        <f ca="1">IFERROR(__xludf.DUMMYFUNCTION("""COMPUTED_VALUE"""),"0.001279")</f>
        <v>#NAME?</v>
      </c>
      <c r="D257" s="100" t="e">
        <f t="shared" ca="1" si="32"/>
        <v>#NAME?</v>
      </c>
      <c r="E257" s="100" t="e">
        <f t="shared" ca="1" si="32"/>
        <v>#NAME?</v>
      </c>
      <c r="F257" s="100" t="e">
        <f t="shared" ca="1" si="25"/>
        <v>#NAME?</v>
      </c>
      <c r="G257" s="100" t="e">
        <f t="shared" ca="1" si="26"/>
        <v>#NAME?</v>
      </c>
      <c r="H257" s="100" t="e">
        <f t="shared" ca="1" si="27"/>
        <v>#NAME?</v>
      </c>
      <c r="I257" s="100" t="e">
        <f t="shared" ca="1" si="28"/>
        <v>#NAME?</v>
      </c>
      <c r="J257" s="100" t="e">
        <f ca="1">IFERROR(__xludf.DUMMYFUNCTION("""COMPUTED_VALUE"""),"-8.32")</f>
        <v>#NAME?</v>
      </c>
      <c r="K257" s="100" t="e">
        <f t="shared" ca="1" si="29"/>
        <v>#NAME?</v>
      </c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</row>
    <row r="258" spans="1:26">
      <c r="A258" s="100" t="e">
        <f ca="1">IFERROR(__xludf.DUMMYFUNCTION("""COMPUTED_VALUE"""),12747375)</f>
        <v>#NAME?</v>
      </c>
      <c r="B258" s="100" t="e">
        <f ca="1">IFERROR(__xludf.DUMMYFUNCTION("""COMPUTED_VALUE"""),"APTRUSDT")</f>
        <v>#NAME?</v>
      </c>
      <c r="C258" s="100" t="e">
        <f ca="1">IFERROR(__xludf.DUMMYFUNCTION("""COMPUTED_VALUE"""),"0.001292")</f>
        <v>#NAME?</v>
      </c>
      <c r="D258" s="100" t="e">
        <f t="shared" ca="1" si="32"/>
        <v>#NAME?</v>
      </c>
      <c r="E258" s="100" t="e">
        <f t="shared" ca="1" si="32"/>
        <v>#NAME?</v>
      </c>
      <c r="F258" s="100" t="e">
        <f t="shared" ref="F258:F321" ca="1" si="33">IFERROR(__xludf.DUMMYFUNCTION("""COMPUTED_VALUE"""),20200)</f>
        <v>#NAME?</v>
      </c>
      <c r="G258" s="100" t="e">
        <f t="shared" ref="G258:G321" ca="1" si="34">IFERROR(__xludf.DUMMYFUNCTION("""COMPUTED_VALUE"""),2885)</f>
        <v>#NAME?</v>
      </c>
      <c r="H258" s="100" t="e">
        <f t="shared" ref="H258:H321" ca="1" si="35">IFERROR(__xludf.DUMMYFUNCTION("""COMPUTED_VALUE"""),663)</f>
        <v>#NAME?</v>
      </c>
      <c r="I258" s="100" t="e">
        <f t="shared" ref="I258:I321" ca="1" si="36">IFERROR(__xludf.DUMMYFUNCTION("""COMPUTED_VALUE"""),5817721)</f>
        <v>#NAME?</v>
      </c>
      <c r="J258" s="100" t="e">
        <f ca="1">IFERROR(__xludf.DUMMYFUNCTION("""COMPUTED_VALUE"""),"-2.27")</f>
        <v>#NAME?</v>
      </c>
      <c r="K258" s="100" t="e">
        <f t="shared" ref="K258:K321" ca="1" si="37">IFERROR(__xludf.DUMMYFUNCTION("""COMPUTED_VALUE"""),"22.04.2025 13:05:01")</f>
        <v>#NAME?</v>
      </c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</row>
    <row r="259" spans="1:26">
      <c r="A259" s="100" t="e">
        <f ca="1">IFERROR(__xludf.DUMMYFUNCTION("""COMPUTED_VALUE"""),12747376)</f>
        <v>#NAME?</v>
      </c>
      <c r="B259" s="100" t="e">
        <f ca="1">IFERROR(__xludf.DUMMYFUNCTION("""COMPUTED_VALUE"""),"CHILLGUYUSDT")</f>
        <v>#NAME?</v>
      </c>
      <c r="C259" s="100" t="e">
        <f ca="1">IFERROR(__xludf.DUMMYFUNCTION("""COMPUTED_VALUE"""),"0.02162")</f>
        <v>#NAME?</v>
      </c>
      <c r="D259" s="100" t="e">
        <f t="shared" ca="1" si="32"/>
        <v>#NAME?</v>
      </c>
      <c r="E259" s="100" t="e">
        <f t="shared" ca="1" si="32"/>
        <v>#NAME?</v>
      </c>
      <c r="F259" s="100" t="e">
        <f t="shared" ca="1" si="33"/>
        <v>#NAME?</v>
      </c>
      <c r="G259" s="100" t="e">
        <f t="shared" ca="1" si="34"/>
        <v>#NAME?</v>
      </c>
      <c r="H259" s="100" t="e">
        <f t="shared" ca="1" si="35"/>
        <v>#NAME?</v>
      </c>
      <c r="I259" s="100" t="e">
        <f t="shared" ca="1" si="36"/>
        <v>#NAME?</v>
      </c>
      <c r="J259" s="100" t="e">
        <f ca="1">IFERROR(__xludf.DUMMYFUNCTION("""COMPUTED_VALUE"""),"0.98")</f>
        <v>#NAME?</v>
      </c>
      <c r="K259" s="100" t="e">
        <f t="shared" ca="1" si="37"/>
        <v>#NAME?</v>
      </c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</row>
    <row r="260" spans="1:26">
      <c r="A260" s="100" t="e">
        <f ca="1">IFERROR(__xludf.DUMMYFUNCTION("""COMPUTED_VALUE"""),12747377)</f>
        <v>#NAME?</v>
      </c>
      <c r="B260" s="100" t="e">
        <f ca="1">IFERROR(__xludf.DUMMYFUNCTION("""COMPUTED_VALUE"""),"DOMEUSDT")</f>
        <v>#NAME?</v>
      </c>
      <c r="C260" s="100" t="e">
        <f ca="1">IFERROR(__xludf.DUMMYFUNCTION("""COMPUTED_VALUE"""),"0.0001403")</f>
        <v>#NAME?</v>
      </c>
      <c r="D260" s="100" t="e">
        <f t="shared" ca="1" si="32"/>
        <v>#NAME?</v>
      </c>
      <c r="E260" s="100" t="e">
        <f t="shared" ca="1" si="32"/>
        <v>#NAME?</v>
      </c>
      <c r="F260" s="100" t="e">
        <f t="shared" ca="1" si="33"/>
        <v>#NAME?</v>
      </c>
      <c r="G260" s="100" t="e">
        <f t="shared" ca="1" si="34"/>
        <v>#NAME?</v>
      </c>
      <c r="H260" s="100" t="e">
        <f t="shared" ca="1" si="35"/>
        <v>#NAME?</v>
      </c>
      <c r="I260" s="100" t="e">
        <f t="shared" ca="1" si="36"/>
        <v>#NAME?</v>
      </c>
      <c r="J260" s="100" t="e">
        <f ca="1">IFERROR(__xludf.DUMMYFUNCTION("""COMPUTED_VALUE"""),"-3.9699999999999998")</f>
        <v>#NAME?</v>
      </c>
      <c r="K260" s="100" t="e">
        <f t="shared" ca="1" si="37"/>
        <v>#NAME?</v>
      </c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</row>
    <row r="261" spans="1:26">
      <c r="A261" s="100" t="e">
        <f ca="1">IFERROR(__xludf.DUMMYFUNCTION("""COMPUTED_VALUE"""),12747378)</f>
        <v>#NAME?</v>
      </c>
      <c r="B261" s="100" t="e">
        <f ca="1">IFERROR(__xludf.DUMMYFUNCTION("""COMPUTED_VALUE"""),"DLCUSDT")</f>
        <v>#NAME?</v>
      </c>
      <c r="C261" s="100" t="e">
        <f ca="1">IFERROR(__xludf.DUMMYFUNCTION("""COMPUTED_VALUE"""),"0.15059")</f>
        <v>#NAME?</v>
      </c>
      <c r="D261" s="100" t="e">
        <f t="shared" ca="1" si="32"/>
        <v>#NAME?</v>
      </c>
      <c r="E261" s="100" t="e">
        <f t="shared" ca="1" si="32"/>
        <v>#NAME?</v>
      </c>
      <c r="F261" s="100" t="e">
        <f t="shared" ca="1" si="33"/>
        <v>#NAME?</v>
      </c>
      <c r="G261" s="100" t="e">
        <f t="shared" ca="1" si="34"/>
        <v>#NAME?</v>
      </c>
      <c r="H261" s="100" t="e">
        <f t="shared" ca="1" si="35"/>
        <v>#NAME?</v>
      </c>
      <c r="I261" s="100" t="e">
        <f t="shared" ca="1" si="36"/>
        <v>#NAME?</v>
      </c>
      <c r="J261" s="100" t="e">
        <f ca="1">IFERROR(__xludf.DUMMYFUNCTION("""COMPUTED_VALUE"""),"1.23")</f>
        <v>#NAME?</v>
      </c>
      <c r="K261" s="100" t="e">
        <f t="shared" ca="1" si="37"/>
        <v>#NAME?</v>
      </c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</row>
    <row r="262" spans="1:26">
      <c r="A262" s="100" t="e">
        <f ca="1">IFERROR(__xludf.DUMMYFUNCTION("""COMPUTED_VALUE"""),12747379)</f>
        <v>#NAME?</v>
      </c>
      <c r="B262" s="100" t="e">
        <f ca="1">IFERROR(__xludf.DUMMYFUNCTION("""COMPUTED_VALUE"""),"MOJOUSDT")</f>
        <v>#NAME?</v>
      </c>
      <c r="C262" s="100" t="e">
        <f ca="1">IFERROR(__xludf.DUMMYFUNCTION("""COMPUTED_VALUE"""),"0.00257")</f>
        <v>#NAME?</v>
      </c>
      <c r="D262" s="100" t="e">
        <f t="shared" ref="D262:E281" ca="1" si="38">IFERROR(__xludf.DUMMYFUNCTION("""COMPUTED_VALUE"""),"-")</f>
        <v>#NAME?</v>
      </c>
      <c r="E262" s="100" t="e">
        <f t="shared" ca="1" si="38"/>
        <v>#NAME?</v>
      </c>
      <c r="F262" s="100" t="e">
        <f t="shared" ca="1" si="33"/>
        <v>#NAME?</v>
      </c>
      <c r="G262" s="100" t="e">
        <f t="shared" ca="1" si="34"/>
        <v>#NAME?</v>
      </c>
      <c r="H262" s="100" t="e">
        <f t="shared" ca="1" si="35"/>
        <v>#NAME?</v>
      </c>
      <c r="I262" s="100" t="e">
        <f t="shared" ca="1" si="36"/>
        <v>#NAME?</v>
      </c>
      <c r="J262" s="100" t="e">
        <f ca="1">IFERROR(__xludf.DUMMYFUNCTION("""COMPUTED_VALUE"""),"0.31")</f>
        <v>#NAME?</v>
      </c>
      <c r="K262" s="100" t="e">
        <f t="shared" ca="1" si="37"/>
        <v>#NAME?</v>
      </c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</row>
    <row r="263" spans="1:26">
      <c r="A263" s="100" t="e">
        <f ca="1">IFERROR(__xludf.DUMMYFUNCTION("""COMPUTED_VALUE"""),12747380)</f>
        <v>#NAME?</v>
      </c>
      <c r="B263" s="100" t="e">
        <f ca="1">IFERROR(__xludf.DUMMYFUNCTION("""COMPUTED_VALUE"""),"BTTUSDT")</f>
        <v>#NAME?</v>
      </c>
      <c r="C263" s="100" t="e">
        <f ca="1">IFERROR(__xludf.DUMMYFUNCTION("""COMPUTED_VALUE"""),"0.0000006106")</f>
        <v>#NAME?</v>
      </c>
      <c r="D263" s="100" t="e">
        <f t="shared" ca="1" si="38"/>
        <v>#NAME?</v>
      </c>
      <c r="E263" s="100" t="e">
        <f t="shared" ca="1" si="38"/>
        <v>#NAME?</v>
      </c>
      <c r="F263" s="100" t="e">
        <f t="shared" ca="1" si="33"/>
        <v>#NAME?</v>
      </c>
      <c r="G263" s="100" t="e">
        <f t="shared" ca="1" si="34"/>
        <v>#NAME?</v>
      </c>
      <c r="H263" s="100" t="e">
        <f t="shared" ca="1" si="35"/>
        <v>#NAME?</v>
      </c>
      <c r="I263" s="100" t="e">
        <f t="shared" ca="1" si="36"/>
        <v>#NAME?</v>
      </c>
      <c r="J263" s="100" t="e">
        <f ca="1">IFERROR(__xludf.DUMMYFUNCTION("""COMPUTED_VALUE"""),"-0.33")</f>
        <v>#NAME?</v>
      </c>
      <c r="K263" s="100" t="e">
        <f t="shared" ca="1" si="37"/>
        <v>#NAME?</v>
      </c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</row>
    <row r="264" spans="1:26">
      <c r="A264" s="100" t="e">
        <f ca="1">IFERROR(__xludf.DUMMYFUNCTION("""COMPUTED_VALUE"""),12747381)</f>
        <v>#NAME?</v>
      </c>
      <c r="B264" s="100" t="e">
        <f ca="1">IFERROR(__xludf.DUMMYFUNCTION("""COMPUTED_VALUE"""),"XAIUSDT")</f>
        <v>#NAME?</v>
      </c>
      <c r="C264" s="100" t="e">
        <f ca="1">IFERROR(__xludf.DUMMYFUNCTION("""COMPUTED_VALUE"""),"0.0565")</f>
        <v>#NAME?</v>
      </c>
      <c r="D264" s="100" t="e">
        <f t="shared" ca="1" si="38"/>
        <v>#NAME?</v>
      </c>
      <c r="E264" s="100" t="e">
        <f t="shared" ca="1" si="38"/>
        <v>#NAME?</v>
      </c>
      <c r="F264" s="100" t="e">
        <f t="shared" ca="1" si="33"/>
        <v>#NAME?</v>
      </c>
      <c r="G264" s="100" t="e">
        <f t="shared" ca="1" si="34"/>
        <v>#NAME?</v>
      </c>
      <c r="H264" s="100" t="e">
        <f t="shared" ca="1" si="35"/>
        <v>#NAME?</v>
      </c>
      <c r="I264" s="100" t="e">
        <f t="shared" ca="1" si="36"/>
        <v>#NAME?</v>
      </c>
      <c r="J264" s="100" t="e">
        <f ca="1">IFERROR(__xludf.DUMMYFUNCTION("""COMPUTED_VALUE"""),"-0.35000000000000003")</f>
        <v>#NAME?</v>
      </c>
      <c r="K264" s="100" t="e">
        <f t="shared" ca="1" si="37"/>
        <v>#NAME?</v>
      </c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</row>
    <row r="265" spans="1:26">
      <c r="A265" s="100" t="e">
        <f ca="1">IFERROR(__xludf.DUMMYFUNCTION("""COMPUTED_VALUE"""),12747382)</f>
        <v>#NAME?</v>
      </c>
      <c r="B265" s="100" t="e">
        <f ca="1">IFERROR(__xludf.DUMMYFUNCTION("""COMPUTED_VALUE"""),"ARKMUSDT")</f>
        <v>#NAME?</v>
      </c>
      <c r="C265" s="100" t="e">
        <f ca="1">IFERROR(__xludf.DUMMYFUNCTION("""COMPUTED_VALUE"""),"0.502")</f>
        <v>#NAME?</v>
      </c>
      <c r="D265" s="100" t="e">
        <f t="shared" ca="1" si="38"/>
        <v>#NAME?</v>
      </c>
      <c r="E265" s="100" t="e">
        <f t="shared" ca="1" si="38"/>
        <v>#NAME?</v>
      </c>
      <c r="F265" s="100" t="e">
        <f t="shared" ca="1" si="33"/>
        <v>#NAME?</v>
      </c>
      <c r="G265" s="100" t="e">
        <f t="shared" ca="1" si="34"/>
        <v>#NAME?</v>
      </c>
      <c r="H265" s="100" t="e">
        <f t="shared" ca="1" si="35"/>
        <v>#NAME?</v>
      </c>
      <c r="I265" s="100" t="e">
        <f t="shared" ca="1" si="36"/>
        <v>#NAME?</v>
      </c>
      <c r="J265" s="100" t="e">
        <f ca="1">IFERROR(__xludf.DUMMYFUNCTION("""COMPUTED_VALUE"""),"-4.5600000000000005")</f>
        <v>#NAME?</v>
      </c>
      <c r="K265" s="100" t="e">
        <f t="shared" ca="1" si="37"/>
        <v>#NAME?</v>
      </c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</row>
    <row r="266" spans="1:26">
      <c r="A266" s="100" t="e">
        <f ca="1">IFERROR(__xludf.DUMMYFUNCTION("""COMPUTED_VALUE"""),12747383)</f>
        <v>#NAME?</v>
      </c>
      <c r="B266" s="100" t="e">
        <f ca="1">IFERROR(__xludf.DUMMYFUNCTION("""COMPUTED_VALUE"""),"HNTUSDT")</f>
        <v>#NAME?</v>
      </c>
      <c r="C266" s="100" t="e">
        <f ca="1">IFERROR(__xludf.DUMMYFUNCTION("""COMPUTED_VALUE"""),"3.43")</f>
        <v>#NAME?</v>
      </c>
      <c r="D266" s="100" t="e">
        <f t="shared" ca="1" si="38"/>
        <v>#NAME?</v>
      </c>
      <c r="E266" s="100" t="e">
        <f t="shared" ca="1" si="38"/>
        <v>#NAME?</v>
      </c>
      <c r="F266" s="100" t="e">
        <f t="shared" ca="1" si="33"/>
        <v>#NAME?</v>
      </c>
      <c r="G266" s="100" t="e">
        <f t="shared" ca="1" si="34"/>
        <v>#NAME?</v>
      </c>
      <c r="H266" s="100" t="e">
        <f t="shared" ca="1" si="35"/>
        <v>#NAME?</v>
      </c>
      <c r="I266" s="100" t="e">
        <f t="shared" ca="1" si="36"/>
        <v>#NAME?</v>
      </c>
      <c r="J266" s="100" t="e">
        <f ca="1">IFERROR(__xludf.DUMMYFUNCTION("""COMPUTED_VALUE"""),"-2.03")</f>
        <v>#NAME?</v>
      </c>
      <c r="K266" s="100" t="e">
        <f t="shared" ca="1" si="37"/>
        <v>#NAME?</v>
      </c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</row>
    <row r="267" spans="1:26">
      <c r="A267" s="100" t="e">
        <f ca="1">IFERROR(__xludf.DUMMYFUNCTION("""COMPUTED_VALUE"""),12747384)</f>
        <v>#NAME?</v>
      </c>
      <c r="B267" s="100" t="e">
        <f ca="1">IFERROR(__xludf.DUMMYFUNCTION("""COMPUTED_VALUE"""),"MVLUSDT")</f>
        <v>#NAME?</v>
      </c>
      <c r="C267" s="100" t="e">
        <f ca="1">IFERROR(__xludf.DUMMYFUNCTION("""COMPUTED_VALUE"""),"0.003447")</f>
        <v>#NAME?</v>
      </c>
      <c r="D267" s="100" t="e">
        <f t="shared" ca="1" si="38"/>
        <v>#NAME?</v>
      </c>
      <c r="E267" s="100" t="e">
        <f t="shared" ca="1" si="38"/>
        <v>#NAME?</v>
      </c>
      <c r="F267" s="100" t="e">
        <f t="shared" ca="1" si="33"/>
        <v>#NAME?</v>
      </c>
      <c r="G267" s="100" t="e">
        <f t="shared" ca="1" si="34"/>
        <v>#NAME?</v>
      </c>
      <c r="H267" s="100" t="e">
        <f t="shared" ca="1" si="35"/>
        <v>#NAME?</v>
      </c>
      <c r="I267" s="100" t="e">
        <f t="shared" ca="1" si="36"/>
        <v>#NAME?</v>
      </c>
      <c r="J267" s="100" t="e">
        <f ca="1">IFERROR(__xludf.DUMMYFUNCTION("""COMPUTED_VALUE"""),"1.53")</f>
        <v>#NAME?</v>
      </c>
      <c r="K267" s="100" t="e">
        <f t="shared" ca="1" si="37"/>
        <v>#NAME?</v>
      </c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</row>
    <row r="268" spans="1:26">
      <c r="A268" s="100" t="e">
        <f ca="1">IFERROR(__xludf.DUMMYFUNCTION("""COMPUTED_VALUE"""),12747385)</f>
        <v>#NAME?</v>
      </c>
      <c r="B268" s="100" t="e">
        <f ca="1">IFERROR(__xludf.DUMMYFUNCTION("""COMPUTED_VALUE"""),"AXSUSDT")</f>
        <v>#NAME?</v>
      </c>
      <c r="C268" s="100" t="e">
        <f ca="1">IFERROR(__xludf.DUMMYFUNCTION("""COMPUTED_VALUE"""),"2.282")</f>
        <v>#NAME?</v>
      </c>
      <c r="D268" s="100" t="e">
        <f t="shared" ca="1" si="38"/>
        <v>#NAME?</v>
      </c>
      <c r="E268" s="100" t="e">
        <f t="shared" ca="1" si="38"/>
        <v>#NAME?</v>
      </c>
      <c r="F268" s="100" t="e">
        <f t="shared" ca="1" si="33"/>
        <v>#NAME?</v>
      </c>
      <c r="G268" s="100" t="e">
        <f t="shared" ca="1" si="34"/>
        <v>#NAME?</v>
      </c>
      <c r="H268" s="100" t="e">
        <f t="shared" ca="1" si="35"/>
        <v>#NAME?</v>
      </c>
      <c r="I268" s="100" t="e">
        <f t="shared" ca="1" si="36"/>
        <v>#NAME?</v>
      </c>
      <c r="J268" s="100" t="e">
        <f ca="1">IFERROR(__xludf.DUMMYFUNCTION("""COMPUTED_VALUE"""),"-3.71")</f>
        <v>#NAME?</v>
      </c>
      <c r="K268" s="100" t="e">
        <f t="shared" ca="1" si="37"/>
        <v>#NAME?</v>
      </c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</row>
    <row r="269" spans="1:26">
      <c r="A269" s="100" t="e">
        <f ca="1">IFERROR(__xludf.DUMMYFUNCTION("""COMPUTED_VALUE"""),12747386)</f>
        <v>#NAME?</v>
      </c>
      <c r="B269" s="100" t="e">
        <f ca="1">IFERROR(__xludf.DUMMYFUNCTION("""COMPUTED_VALUE"""),"ENAEUR")</f>
        <v>#NAME?</v>
      </c>
      <c r="C269" s="100" t="e">
        <f ca="1">IFERROR(__xludf.DUMMYFUNCTION("""COMPUTED_VALUE"""),"0.2533")</f>
        <v>#NAME?</v>
      </c>
      <c r="D269" s="100" t="e">
        <f t="shared" ca="1" si="38"/>
        <v>#NAME?</v>
      </c>
      <c r="E269" s="100" t="e">
        <f t="shared" ca="1" si="38"/>
        <v>#NAME?</v>
      </c>
      <c r="F269" s="100" t="e">
        <f t="shared" ca="1" si="33"/>
        <v>#NAME?</v>
      </c>
      <c r="G269" s="100" t="e">
        <f t="shared" ca="1" si="34"/>
        <v>#NAME?</v>
      </c>
      <c r="H269" s="100" t="e">
        <f t="shared" ca="1" si="35"/>
        <v>#NAME?</v>
      </c>
      <c r="I269" s="100" t="e">
        <f t="shared" ca="1" si="36"/>
        <v>#NAME?</v>
      </c>
      <c r="J269" s="100" t="e">
        <f ca="1">IFERROR(__xludf.DUMMYFUNCTION("""COMPUTED_VALUE"""),"-0.16")</f>
        <v>#NAME?</v>
      </c>
      <c r="K269" s="100" t="e">
        <f t="shared" ca="1" si="37"/>
        <v>#NAME?</v>
      </c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</row>
    <row r="270" spans="1:26">
      <c r="A270" s="100" t="e">
        <f ca="1">IFERROR(__xludf.DUMMYFUNCTION("""COMPUTED_VALUE"""),12747387)</f>
        <v>#NAME?</v>
      </c>
      <c r="B270" s="100" t="e">
        <f ca="1">IFERROR(__xludf.DUMMYFUNCTION("""COMPUTED_VALUE"""),"NEIROCTOUSDT")</f>
        <v>#NAME?</v>
      </c>
      <c r="C270" s="100" t="e">
        <f ca="1">IFERROR(__xludf.DUMMYFUNCTION("""COMPUTED_VALUE"""),"0.0001921")</f>
        <v>#NAME?</v>
      </c>
      <c r="D270" s="100" t="e">
        <f t="shared" ca="1" si="38"/>
        <v>#NAME?</v>
      </c>
      <c r="E270" s="100" t="e">
        <f t="shared" ca="1" si="38"/>
        <v>#NAME?</v>
      </c>
      <c r="F270" s="100" t="e">
        <f t="shared" ca="1" si="33"/>
        <v>#NAME?</v>
      </c>
      <c r="G270" s="100" t="e">
        <f t="shared" ca="1" si="34"/>
        <v>#NAME?</v>
      </c>
      <c r="H270" s="100" t="e">
        <f t="shared" ca="1" si="35"/>
        <v>#NAME?</v>
      </c>
      <c r="I270" s="100" t="e">
        <f t="shared" ca="1" si="36"/>
        <v>#NAME?</v>
      </c>
      <c r="J270" s="100" t="e">
        <f ca="1">IFERROR(__xludf.DUMMYFUNCTION("""COMPUTED_VALUE"""),"-0.5700000000000001")</f>
        <v>#NAME?</v>
      </c>
      <c r="K270" s="100" t="e">
        <f t="shared" ca="1" si="37"/>
        <v>#NAME?</v>
      </c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</row>
    <row r="271" spans="1:26">
      <c r="A271" s="100" t="e">
        <f ca="1">IFERROR(__xludf.DUMMYFUNCTION("""COMPUTED_VALUE"""),12747388)</f>
        <v>#NAME?</v>
      </c>
      <c r="B271" s="100" t="e">
        <f ca="1">IFERROR(__xludf.DUMMYFUNCTION("""COMPUTED_VALUE"""),"APEUSDT")</f>
        <v>#NAME?</v>
      </c>
      <c r="C271" s="100" t="e">
        <f ca="1">IFERROR(__xludf.DUMMYFUNCTION("""COMPUTED_VALUE"""),"0.461")</f>
        <v>#NAME?</v>
      </c>
      <c r="D271" s="100" t="e">
        <f t="shared" ca="1" si="38"/>
        <v>#NAME?</v>
      </c>
      <c r="E271" s="100" t="e">
        <f t="shared" ca="1" si="38"/>
        <v>#NAME?</v>
      </c>
      <c r="F271" s="100" t="e">
        <f t="shared" ca="1" si="33"/>
        <v>#NAME?</v>
      </c>
      <c r="G271" s="100" t="e">
        <f t="shared" ca="1" si="34"/>
        <v>#NAME?</v>
      </c>
      <c r="H271" s="100" t="e">
        <f t="shared" ca="1" si="35"/>
        <v>#NAME?</v>
      </c>
      <c r="I271" s="100" t="e">
        <f t="shared" ca="1" si="36"/>
        <v>#NAME?</v>
      </c>
      <c r="J271" s="100" t="e">
        <f ca="1">IFERROR(__xludf.DUMMYFUNCTION("""COMPUTED_VALUE"""),"-2.74")</f>
        <v>#NAME?</v>
      </c>
      <c r="K271" s="100" t="e">
        <f t="shared" ca="1" si="37"/>
        <v>#NAME?</v>
      </c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</row>
    <row r="272" spans="1:26">
      <c r="A272" s="100" t="e">
        <f ca="1">IFERROR(__xludf.DUMMYFUNCTION("""COMPUTED_VALUE"""),12747389)</f>
        <v>#NAME?</v>
      </c>
      <c r="B272" s="100" t="e">
        <f ca="1">IFERROR(__xludf.DUMMYFUNCTION("""COMPUTED_VALUE"""),"PEPEUSDT")</f>
        <v>#NAME?</v>
      </c>
      <c r="C272" s="100" t="e">
        <f ca="1">IFERROR(__xludf.DUMMYFUNCTION("""COMPUTED_VALUE"""),"0.00000812")</f>
        <v>#NAME?</v>
      </c>
      <c r="D272" s="100" t="e">
        <f t="shared" ca="1" si="38"/>
        <v>#NAME?</v>
      </c>
      <c r="E272" s="100" t="e">
        <f t="shared" ca="1" si="38"/>
        <v>#NAME?</v>
      </c>
      <c r="F272" s="100" t="e">
        <f t="shared" ca="1" si="33"/>
        <v>#NAME?</v>
      </c>
      <c r="G272" s="100" t="e">
        <f t="shared" ca="1" si="34"/>
        <v>#NAME?</v>
      </c>
      <c r="H272" s="100" t="e">
        <f t="shared" ca="1" si="35"/>
        <v>#NAME?</v>
      </c>
      <c r="I272" s="100" t="e">
        <f t="shared" ca="1" si="36"/>
        <v>#NAME?</v>
      </c>
      <c r="J272" s="100" t="e">
        <f ca="1">IFERROR(__xludf.DUMMYFUNCTION("""COMPUTED_VALUE"""),"3.61")</f>
        <v>#NAME?</v>
      </c>
      <c r="K272" s="100" t="e">
        <f t="shared" ca="1" si="37"/>
        <v>#NAME?</v>
      </c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</row>
    <row r="273" spans="1:26">
      <c r="A273" s="100" t="e">
        <f ca="1">IFERROR(__xludf.DUMMYFUNCTION("""COMPUTED_VALUE"""),12747390)</f>
        <v>#NAME?</v>
      </c>
      <c r="B273" s="100" t="e">
        <f ca="1">IFERROR(__xludf.DUMMYFUNCTION("""COMPUTED_VALUE"""),"SUNDOGUSDT")</f>
        <v>#NAME?</v>
      </c>
      <c r="C273" s="100" t="e">
        <f ca="1">IFERROR(__xludf.DUMMYFUNCTION("""COMPUTED_VALUE"""),"0.04933")</f>
        <v>#NAME?</v>
      </c>
      <c r="D273" s="100" t="e">
        <f t="shared" ca="1" si="38"/>
        <v>#NAME?</v>
      </c>
      <c r="E273" s="100" t="e">
        <f t="shared" ca="1" si="38"/>
        <v>#NAME?</v>
      </c>
      <c r="F273" s="100" t="e">
        <f t="shared" ca="1" si="33"/>
        <v>#NAME?</v>
      </c>
      <c r="G273" s="100" t="e">
        <f t="shared" ca="1" si="34"/>
        <v>#NAME?</v>
      </c>
      <c r="H273" s="100" t="e">
        <f t="shared" ca="1" si="35"/>
        <v>#NAME?</v>
      </c>
      <c r="I273" s="100" t="e">
        <f t="shared" ca="1" si="36"/>
        <v>#NAME?</v>
      </c>
      <c r="J273" s="100" t="e">
        <f ca="1">IFERROR(__xludf.DUMMYFUNCTION("""COMPUTED_VALUE"""),"0.26")</f>
        <v>#NAME?</v>
      </c>
      <c r="K273" s="100" t="e">
        <f t="shared" ca="1" si="37"/>
        <v>#NAME?</v>
      </c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</row>
    <row r="274" spans="1:26">
      <c r="A274" s="100" t="e">
        <f ca="1">IFERROR(__xludf.DUMMYFUNCTION("""COMPUTED_VALUE"""),12747391)</f>
        <v>#NAME?</v>
      </c>
      <c r="B274" s="100" t="e">
        <f ca="1">IFERROR(__xludf.DUMMYFUNCTION("""COMPUTED_VALUE"""),"FARUSDT")</f>
        <v>#NAME?</v>
      </c>
      <c r="C274" s="100" t="e">
        <f ca="1">IFERROR(__xludf.DUMMYFUNCTION("""COMPUTED_VALUE"""),"0.001332")</f>
        <v>#NAME?</v>
      </c>
      <c r="D274" s="100" t="e">
        <f t="shared" ca="1" si="38"/>
        <v>#NAME?</v>
      </c>
      <c r="E274" s="100" t="e">
        <f t="shared" ca="1" si="38"/>
        <v>#NAME?</v>
      </c>
      <c r="F274" s="100" t="e">
        <f t="shared" ca="1" si="33"/>
        <v>#NAME?</v>
      </c>
      <c r="G274" s="100" t="e">
        <f t="shared" ca="1" si="34"/>
        <v>#NAME?</v>
      </c>
      <c r="H274" s="100" t="e">
        <f t="shared" ca="1" si="35"/>
        <v>#NAME?</v>
      </c>
      <c r="I274" s="100" t="e">
        <f t="shared" ca="1" si="36"/>
        <v>#NAME?</v>
      </c>
      <c r="J274" s="100" t="e">
        <f ca="1">IFERROR(__xludf.DUMMYFUNCTION("""COMPUTED_VALUE"""),"-2.92")</f>
        <v>#NAME?</v>
      </c>
      <c r="K274" s="100" t="e">
        <f t="shared" ca="1" si="37"/>
        <v>#NAME?</v>
      </c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</row>
    <row r="275" spans="1:26">
      <c r="A275" s="100" t="e">
        <f ca="1">IFERROR(__xludf.DUMMYFUNCTION("""COMPUTED_VALUE"""),12747392)</f>
        <v>#NAME?</v>
      </c>
      <c r="B275" s="100" t="e">
        <f ca="1">IFERROR(__xludf.DUMMYFUNCTION("""COMPUTED_VALUE"""),"PLUMEUSDT")</f>
        <v>#NAME?</v>
      </c>
      <c r="C275" s="100" t="e">
        <f ca="1">IFERROR(__xludf.DUMMYFUNCTION("""COMPUTED_VALUE"""),"0.17008")</f>
        <v>#NAME?</v>
      </c>
      <c r="D275" s="100" t="e">
        <f t="shared" ca="1" si="38"/>
        <v>#NAME?</v>
      </c>
      <c r="E275" s="100" t="e">
        <f t="shared" ca="1" si="38"/>
        <v>#NAME?</v>
      </c>
      <c r="F275" s="100" t="e">
        <f t="shared" ca="1" si="33"/>
        <v>#NAME?</v>
      </c>
      <c r="G275" s="100" t="e">
        <f t="shared" ca="1" si="34"/>
        <v>#NAME?</v>
      </c>
      <c r="H275" s="100" t="e">
        <f t="shared" ca="1" si="35"/>
        <v>#NAME?</v>
      </c>
      <c r="I275" s="100" t="e">
        <f t="shared" ca="1" si="36"/>
        <v>#NAME?</v>
      </c>
      <c r="J275" s="100" t="e">
        <f ca="1">IFERROR(__xludf.DUMMYFUNCTION("""COMPUTED_VALUE"""),"-0.3")</f>
        <v>#NAME?</v>
      </c>
      <c r="K275" s="100" t="e">
        <f t="shared" ca="1" si="37"/>
        <v>#NAME?</v>
      </c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</row>
    <row r="276" spans="1:26">
      <c r="A276" s="100" t="e">
        <f ca="1">IFERROR(__xludf.DUMMYFUNCTION("""COMPUTED_VALUE"""),12747393)</f>
        <v>#NAME?</v>
      </c>
      <c r="B276" s="100" t="e">
        <f ca="1">IFERROR(__xludf.DUMMYFUNCTION("""COMPUTED_VALUE"""),"ESEUSDT")</f>
        <v>#NAME?</v>
      </c>
      <c r="C276" s="100" t="e">
        <f ca="1">IFERROR(__xludf.DUMMYFUNCTION("""COMPUTED_VALUE"""),"0.009774")</f>
        <v>#NAME?</v>
      </c>
      <c r="D276" s="100" t="e">
        <f t="shared" ca="1" si="38"/>
        <v>#NAME?</v>
      </c>
      <c r="E276" s="100" t="e">
        <f t="shared" ca="1" si="38"/>
        <v>#NAME?</v>
      </c>
      <c r="F276" s="100" t="e">
        <f t="shared" ca="1" si="33"/>
        <v>#NAME?</v>
      </c>
      <c r="G276" s="100" t="e">
        <f t="shared" ca="1" si="34"/>
        <v>#NAME?</v>
      </c>
      <c r="H276" s="100" t="e">
        <f t="shared" ca="1" si="35"/>
        <v>#NAME?</v>
      </c>
      <c r="I276" s="100" t="e">
        <f t="shared" ca="1" si="36"/>
        <v>#NAME?</v>
      </c>
      <c r="J276" s="100" t="e">
        <f ca="1">IFERROR(__xludf.DUMMYFUNCTION("""COMPUTED_VALUE"""),"2.82")</f>
        <v>#NAME?</v>
      </c>
      <c r="K276" s="100" t="e">
        <f t="shared" ca="1" si="37"/>
        <v>#NAME?</v>
      </c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</row>
    <row r="277" spans="1:26">
      <c r="A277" s="100" t="e">
        <f ca="1">IFERROR(__xludf.DUMMYFUNCTION("""COMPUTED_VALUE"""),12747394)</f>
        <v>#NAME?</v>
      </c>
      <c r="B277" s="100" t="e">
        <f ca="1">IFERROR(__xludf.DUMMYFUNCTION("""COMPUTED_VALUE"""),"ONDOUSDC")</f>
        <v>#NAME?</v>
      </c>
      <c r="C277" s="100" t="e">
        <f ca="1">IFERROR(__xludf.DUMMYFUNCTION("""COMPUTED_VALUE"""),"0.861")</f>
        <v>#NAME?</v>
      </c>
      <c r="D277" s="100" t="e">
        <f t="shared" ca="1" si="38"/>
        <v>#NAME?</v>
      </c>
      <c r="E277" s="100" t="e">
        <f t="shared" ca="1" si="38"/>
        <v>#NAME?</v>
      </c>
      <c r="F277" s="100" t="e">
        <f t="shared" ca="1" si="33"/>
        <v>#NAME?</v>
      </c>
      <c r="G277" s="100" t="e">
        <f t="shared" ca="1" si="34"/>
        <v>#NAME?</v>
      </c>
      <c r="H277" s="100" t="e">
        <f t="shared" ca="1" si="35"/>
        <v>#NAME?</v>
      </c>
      <c r="I277" s="100" t="e">
        <f t="shared" ca="1" si="36"/>
        <v>#NAME?</v>
      </c>
      <c r="J277" s="100" t="e">
        <f ca="1">IFERROR(__xludf.DUMMYFUNCTION("""COMPUTED_VALUE"""),"-1.77")</f>
        <v>#NAME?</v>
      </c>
      <c r="K277" s="100" t="e">
        <f t="shared" ca="1" si="37"/>
        <v>#NAME?</v>
      </c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</row>
    <row r="278" spans="1:26">
      <c r="A278" s="100" t="e">
        <f ca="1">IFERROR(__xludf.DUMMYFUNCTION("""COMPUTED_VALUE"""),12747395)</f>
        <v>#NAME?</v>
      </c>
      <c r="B278" s="100" t="e">
        <f ca="1">IFERROR(__xludf.DUMMYFUNCTION("""COMPUTED_VALUE"""),"PYUSDUSDT")</f>
        <v>#NAME?</v>
      </c>
      <c r="C278" s="100" t="e">
        <f ca="1">IFERROR(__xludf.DUMMYFUNCTION("""COMPUTED_VALUE"""),"0.9997")</f>
        <v>#NAME?</v>
      </c>
      <c r="D278" s="100" t="e">
        <f t="shared" ca="1" si="38"/>
        <v>#NAME?</v>
      </c>
      <c r="E278" s="100" t="e">
        <f t="shared" ca="1" si="38"/>
        <v>#NAME?</v>
      </c>
      <c r="F278" s="100" t="e">
        <f t="shared" ca="1" si="33"/>
        <v>#NAME?</v>
      </c>
      <c r="G278" s="100" t="e">
        <f t="shared" ca="1" si="34"/>
        <v>#NAME?</v>
      </c>
      <c r="H278" s="100" t="e">
        <f t="shared" ca="1" si="35"/>
        <v>#NAME?</v>
      </c>
      <c r="I278" s="100" t="e">
        <f t="shared" ca="1" si="36"/>
        <v>#NAME?</v>
      </c>
      <c r="J278" s="100" t="e">
        <f ca="1">IFERROR(__xludf.DUMMYFUNCTION("""COMPUTED_VALUE"""),"-0.02")</f>
        <v>#NAME?</v>
      </c>
      <c r="K278" s="100" t="e">
        <f t="shared" ca="1" si="37"/>
        <v>#NAME?</v>
      </c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</row>
    <row r="279" spans="1:26">
      <c r="A279" s="100" t="e">
        <f ca="1">IFERROR(__xludf.DUMMYFUNCTION("""COMPUTED_VALUE"""),12747396)</f>
        <v>#NAME?</v>
      </c>
      <c r="B279" s="100" t="e">
        <f ca="1">IFERROR(__xludf.DUMMYFUNCTION("""COMPUTED_VALUE"""),"FORTUSDT")</f>
        <v>#NAME?</v>
      </c>
      <c r="C279" s="100" t="e">
        <f ca="1">IFERROR(__xludf.DUMMYFUNCTION("""COMPUTED_VALUE"""),"0.07363")</f>
        <v>#NAME?</v>
      </c>
      <c r="D279" s="100" t="e">
        <f t="shared" ca="1" si="38"/>
        <v>#NAME?</v>
      </c>
      <c r="E279" s="100" t="e">
        <f t="shared" ca="1" si="38"/>
        <v>#NAME?</v>
      </c>
      <c r="F279" s="100" t="e">
        <f t="shared" ca="1" si="33"/>
        <v>#NAME?</v>
      </c>
      <c r="G279" s="100" t="e">
        <f t="shared" ca="1" si="34"/>
        <v>#NAME?</v>
      </c>
      <c r="H279" s="100" t="e">
        <f t="shared" ca="1" si="35"/>
        <v>#NAME?</v>
      </c>
      <c r="I279" s="100" t="e">
        <f t="shared" ca="1" si="36"/>
        <v>#NAME?</v>
      </c>
      <c r="J279" s="100" t="e">
        <f ca="1">IFERROR(__xludf.DUMMYFUNCTION("""COMPUTED_VALUE"""),"-4.82")</f>
        <v>#NAME?</v>
      </c>
      <c r="K279" s="100" t="e">
        <f t="shared" ca="1" si="37"/>
        <v>#NAME?</v>
      </c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</row>
    <row r="280" spans="1:26">
      <c r="A280" s="100" t="e">
        <f ca="1">IFERROR(__xludf.DUMMYFUNCTION("""COMPUTED_VALUE"""),12747397)</f>
        <v>#NAME?</v>
      </c>
      <c r="B280" s="100" t="e">
        <f ca="1">IFERROR(__xludf.DUMMYFUNCTION("""COMPUTED_VALUE"""),"ENJUSDT")</f>
        <v>#NAME?</v>
      </c>
      <c r="C280" s="100" t="e">
        <f ca="1">IFERROR(__xludf.DUMMYFUNCTION("""COMPUTED_VALUE"""),"0.088")</f>
        <v>#NAME?</v>
      </c>
      <c r="D280" s="100" t="e">
        <f t="shared" ca="1" si="38"/>
        <v>#NAME?</v>
      </c>
      <c r="E280" s="100" t="e">
        <f t="shared" ca="1" si="38"/>
        <v>#NAME?</v>
      </c>
      <c r="F280" s="100" t="e">
        <f t="shared" ca="1" si="33"/>
        <v>#NAME?</v>
      </c>
      <c r="G280" s="100" t="e">
        <f t="shared" ca="1" si="34"/>
        <v>#NAME?</v>
      </c>
      <c r="H280" s="100" t="e">
        <f t="shared" ca="1" si="35"/>
        <v>#NAME?</v>
      </c>
      <c r="I280" s="100" t="e">
        <f t="shared" ca="1" si="36"/>
        <v>#NAME?</v>
      </c>
      <c r="J280" s="100" t="e">
        <f ca="1">IFERROR(__xludf.DUMMYFUNCTION("""COMPUTED_VALUE"""),"-14.96")</f>
        <v>#NAME?</v>
      </c>
      <c r="K280" s="100" t="e">
        <f t="shared" ca="1" si="37"/>
        <v>#NAME?</v>
      </c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</row>
    <row r="281" spans="1:26">
      <c r="A281" s="100" t="e">
        <f ca="1">IFERROR(__xludf.DUMMYFUNCTION("""COMPUTED_VALUE"""),12747398)</f>
        <v>#NAME?</v>
      </c>
      <c r="B281" s="100" t="e">
        <f ca="1">IFERROR(__xludf.DUMMYFUNCTION("""COMPUTED_VALUE"""),"ZROUSDT")</f>
        <v>#NAME?</v>
      </c>
      <c r="C281" s="100" t="e">
        <f ca="1">IFERROR(__xludf.DUMMYFUNCTION("""COMPUTED_VALUE"""),"2.488")</f>
        <v>#NAME?</v>
      </c>
      <c r="D281" s="100" t="e">
        <f t="shared" ca="1" si="38"/>
        <v>#NAME?</v>
      </c>
      <c r="E281" s="100" t="e">
        <f t="shared" ca="1" si="38"/>
        <v>#NAME?</v>
      </c>
      <c r="F281" s="100" t="e">
        <f t="shared" ca="1" si="33"/>
        <v>#NAME?</v>
      </c>
      <c r="G281" s="100" t="e">
        <f t="shared" ca="1" si="34"/>
        <v>#NAME?</v>
      </c>
      <c r="H281" s="100" t="e">
        <f t="shared" ca="1" si="35"/>
        <v>#NAME?</v>
      </c>
      <c r="I281" s="100" t="e">
        <f t="shared" ca="1" si="36"/>
        <v>#NAME?</v>
      </c>
      <c r="J281" s="100" t="e">
        <f ca="1">IFERROR(__xludf.DUMMYFUNCTION("""COMPUTED_VALUE"""),"-3.5700000000000003")</f>
        <v>#NAME?</v>
      </c>
      <c r="K281" s="100" t="e">
        <f t="shared" ca="1" si="37"/>
        <v>#NAME?</v>
      </c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</row>
    <row r="282" spans="1:26">
      <c r="A282" s="100" t="e">
        <f ca="1">IFERROR(__xludf.DUMMYFUNCTION("""COMPUTED_VALUE"""),12747399)</f>
        <v>#NAME?</v>
      </c>
      <c r="B282" s="100" t="e">
        <f ca="1">IFERROR(__xludf.DUMMYFUNCTION("""COMPUTED_VALUE"""),"GTAIUSDT")</f>
        <v>#NAME?</v>
      </c>
      <c r="C282" s="100" t="e">
        <f ca="1">IFERROR(__xludf.DUMMYFUNCTION("""COMPUTED_VALUE"""),"0.1133")</f>
        <v>#NAME?</v>
      </c>
      <c r="D282" s="100" t="e">
        <f t="shared" ref="D282:E301" ca="1" si="39">IFERROR(__xludf.DUMMYFUNCTION("""COMPUTED_VALUE"""),"-")</f>
        <v>#NAME?</v>
      </c>
      <c r="E282" s="100" t="e">
        <f t="shared" ca="1" si="39"/>
        <v>#NAME?</v>
      </c>
      <c r="F282" s="100" t="e">
        <f t="shared" ca="1" si="33"/>
        <v>#NAME?</v>
      </c>
      <c r="G282" s="100" t="e">
        <f t="shared" ca="1" si="34"/>
        <v>#NAME?</v>
      </c>
      <c r="H282" s="100" t="e">
        <f t="shared" ca="1" si="35"/>
        <v>#NAME?</v>
      </c>
      <c r="I282" s="100" t="e">
        <f t="shared" ca="1" si="36"/>
        <v>#NAME?</v>
      </c>
      <c r="J282" s="100" t="e">
        <f ca="1">IFERROR(__xludf.DUMMYFUNCTION("""COMPUTED_VALUE"""),"-3.0")</f>
        <v>#NAME?</v>
      </c>
      <c r="K282" s="100" t="e">
        <f t="shared" ca="1" si="37"/>
        <v>#NAME?</v>
      </c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</row>
    <row r="283" spans="1:26">
      <c r="A283" s="100" t="e">
        <f ca="1">IFERROR(__xludf.DUMMYFUNCTION("""COMPUTED_VALUE"""),12747400)</f>
        <v>#NAME?</v>
      </c>
      <c r="B283" s="100" t="e">
        <f ca="1">IFERROR(__xludf.DUMMYFUNCTION("""COMPUTED_VALUE"""),"SIDUSUSDT")</f>
        <v>#NAME?</v>
      </c>
      <c r="C283" s="100" t="e">
        <f ca="1">IFERROR(__xludf.DUMMYFUNCTION("""COMPUTED_VALUE"""),"0.0010796")</f>
        <v>#NAME?</v>
      </c>
      <c r="D283" s="100" t="e">
        <f t="shared" ca="1" si="39"/>
        <v>#NAME?</v>
      </c>
      <c r="E283" s="100" t="e">
        <f t="shared" ca="1" si="39"/>
        <v>#NAME?</v>
      </c>
      <c r="F283" s="100" t="e">
        <f t="shared" ca="1" si="33"/>
        <v>#NAME?</v>
      </c>
      <c r="G283" s="100" t="e">
        <f t="shared" ca="1" si="34"/>
        <v>#NAME?</v>
      </c>
      <c r="H283" s="100" t="e">
        <f t="shared" ca="1" si="35"/>
        <v>#NAME?</v>
      </c>
      <c r="I283" s="100" t="e">
        <f t="shared" ca="1" si="36"/>
        <v>#NAME?</v>
      </c>
      <c r="J283" s="100" t="e">
        <f ca="1">IFERROR(__xludf.DUMMYFUNCTION("""COMPUTED_VALUE"""),"-9.48")</f>
        <v>#NAME?</v>
      </c>
      <c r="K283" s="100" t="e">
        <f t="shared" ca="1" si="37"/>
        <v>#NAME?</v>
      </c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</row>
    <row r="284" spans="1:26">
      <c r="A284" s="100" t="e">
        <f ca="1">IFERROR(__xludf.DUMMYFUNCTION("""COMPUTED_VALUE"""),12747401)</f>
        <v>#NAME?</v>
      </c>
      <c r="B284" s="100" t="e">
        <f ca="1">IFERROR(__xludf.DUMMYFUNCTION("""COMPUTED_VALUE"""),"JASMYUSDC")</f>
        <v>#NAME?</v>
      </c>
      <c r="C284" s="100" t="e">
        <f ca="1">IFERROR(__xludf.DUMMYFUNCTION("""COMPUTED_VALUE"""),"0.01433")</f>
        <v>#NAME?</v>
      </c>
      <c r="D284" s="100" t="e">
        <f t="shared" ca="1" si="39"/>
        <v>#NAME?</v>
      </c>
      <c r="E284" s="100" t="e">
        <f t="shared" ca="1" si="39"/>
        <v>#NAME?</v>
      </c>
      <c r="F284" s="100" t="e">
        <f t="shared" ca="1" si="33"/>
        <v>#NAME?</v>
      </c>
      <c r="G284" s="100" t="e">
        <f t="shared" ca="1" si="34"/>
        <v>#NAME?</v>
      </c>
      <c r="H284" s="100" t="e">
        <f t="shared" ca="1" si="35"/>
        <v>#NAME?</v>
      </c>
      <c r="I284" s="100" t="e">
        <f t="shared" ca="1" si="36"/>
        <v>#NAME?</v>
      </c>
      <c r="J284" s="100" t="e">
        <f ca="1">IFERROR(__xludf.DUMMYFUNCTION("""COMPUTED_VALUE"""),"-4.3999999999999995")</f>
        <v>#NAME?</v>
      </c>
      <c r="K284" s="100" t="e">
        <f t="shared" ca="1" si="37"/>
        <v>#NAME?</v>
      </c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</row>
    <row r="285" spans="1:26">
      <c r="A285" s="100" t="e">
        <f ca="1">IFERROR(__xludf.DUMMYFUNCTION("""COMPUTED_VALUE"""),12747402)</f>
        <v>#NAME?</v>
      </c>
      <c r="B285" s="100" t="e">
        <f ca="1">IFERROR(__xludf.DUMMYFUNCTION("""COMPUTED_VALUE"""),"FLOCKUSDT")</f>
        <v>#NAME?</v>
      </c>
      <c r="C285" s="100" t="e">
        <f ca="1">IFERROR(__xludf.DUMMYFUNCTION("""COMPUTED_VALUE"""),"0.05363")</f>
        <v>#NAME?</v>
      </c>
      <c r="D285" s="100" t="e">
        <f t="shared" ca="1" si="39"/>
        <v>#NAME?</v>
      </c>
      <c r="E285" s="100" t="e">
        <f t="shared" ca="1" si="39"/>
        <v>#NAME?</v>
      </c>
      <c r="F285" s="100" t="e">
        <f t="shared" ca="1" si="33"/>
        <v>#NAME?</v>
      </c>
      <c r="G285" s="100" t="e">
        <f t="shared" ca="1" si="34"/>
        <v>#NAME?</v>
      </c>
      <c r="H285" s="100" t="e">
        <f t="shared" ca="1" si="35"/>
        <v>#NAME?</v>
      </c>
      <c r="I285" s="100" t="e">
        <f t="shared" ca="1" si="36"/>
        <v>#NAME?</v>
      </c>
      <c r="J285" s="100" t="e">
        <f ca="1">IFERROR(__xludf.DUMMYFUNCTION("""COMPUTED_VALUE"""),"-0.9199999999999999")</f>
        <v>#NAME?</v>
      </c>
      <c r="K285" s="100" t="e">
        <f t="shared" ca="1" si="37"/>
        <v>#NAME?</v>
      </c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</row>
    <row r="286" spans="1:26">
      <c r="A286" s="100" t="e">
        <f ca="1">IFERROR(__xludf.DUMMYFUNCTION("""COMPUTED_VALUE"""),12747403)</f>
        <v>#NAME?</v>
      </c>
      <c r="B286" s="100" t="e">
        <f ca="1">IFERROR(__xludf.DUMMYFUNCTION("""COMPUTED_VALUE"""),"GALFTUSDT")</f>
        <v>#NAME?</v>
      </c>
      <c r="C286" s="100" t="e">
        <f ca="1">IFERROR(__xludf.DUMMYFUNCTION("""COMPUTED_VALUE"""),"2.558")</f>
        <v>#NAME?</v>
      </c>
      <c r="D286" s="100" t="e">
        <f t="shared" ca="1" si="39"/>
        <v>#NAME?</v>
      </c>
      <c r="E286" s="100" t="e">
        <f t="shared" ca="1" si="39"/>
        <v>#NAME?</v>
      </c>
      <c r="F286" s="100" t="e">
        <f t="shared" ca="1" si="33"/>
        <v>#NAME?</v>
      </c>
      <c r="G286" s="100" t="e">
        <f t="shared" ca="1" si="34"/>
        <v>#NAME?</v>
      </c>
      <c r="H286" s="100" t="e">
        <f t="shared" ca="1" si="35"/>
        <v>#NAME?</v>
      </c>
      <c r="I286" s="100" t="e">
        <f t="shared" ca="1" si="36"/>
        <v>#NAME?</v>
      </c>
      <c r="J286" s="100" t="e">
        <f ca="1">IFERROR(__xludf.DUMMYFUNCTION("""COMPUTED_VALUE"""),"38.269999999999996")</f>
        <v>#NAME?</v>
      </c>
      <c r="K286" s="100" t="e">
        <f t="shared" ca="1" si="37"/>
        <v>#NAME?</v>
      </c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</row>
    <row r="287" spans="1:26">
      <c r="A287" s="100" t="e">
        <f ca="1">IFERROR(__xludf.DUMMYFUNCTION("""COMPUTED_VALUE"""),12747404)</f>
        <v>#NAME?</v>
      </c>
      <c r="B287" s="100" t="e">
        <f ca="1">IFERROR(__xludf.DUMMYFUNCTION("""COMPUTED_VALUE"""),"IDUSDT")</f>
        <v>#NAME?</v>
      </c>
      <c r="C287" s="100" t="e">
        <f ca="1">IFERROR(__xludf.DUMMYFUNCTION("""COMPUTED_VALUE"""),"0.18114")</f>
        <v>#NAME?</v>
      </c>
      <c r="D287" s="100" t="e">
        <f t="shared" ca="1" si="39"/>
        <v>#NAME?</v>
      </c>
      <c r="E287" s="100" t="e">
        <f t="shared" ca="1" si="39"/>
        <v>#NAME?</v>
      </c>
      <c r="F287" s="100" t="e">
        <f t="shared" ca="1" si="33"/>
        <v>#NAME?</v>
      </c>
      <c r="G287" s="100" t="e">
        <f t="shared" ca="1" si="34"/>
        <v>#NAME?</v>
      </c>
      <c r="H287" s="100" t="e">
        <f t="shared" ca="1" si="35"/>
        <v>#NAME?</v>
      </c>
      <c r="I287" s="100" t="e">
        <f t="shared" ca="1" si="36"/>
        <v>#NAME?</v>
      </c>
      <c r="J287" s="100" t="e">
        <f ca="1">IFERROR(__xludf.DUMMYFUNCTION("""COMPUTED_VALUE"""),"-2.45")</f>
        <v>#NAME?</v>
      </c>
      <c r="K287" s="100" t="e">
        <f t="shared" ca="1" si="37"/>
        <v>#NAME?</v>
      </c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</row>
    <row r="288" spans="1:26">
      <c r="A288" s="100" t="e">
        <f ca="1">IFERROR(__xludf.DUMMYFUNCTION("""COMPUTED_VALUE"""),12747405)</f>
        <v>#NAME?</v>
      </c>
      <c r="B288" s="100" t="e">
        <f ca="1">IFERROR(__xludf.DUMMYFUNCTION("""COMPUTED_VALUE"""),"OMNIUSDT")</f>
        <v>#NAME?</v>
      </c>
      <c r="C288" s="100" t="e">
        <f ca="1">IFERROR(__xludf.DUMMYFUNCTION("""COMPUTED_VALUE"""),"2.227")</f>
        <v>#NAME?</v>
      </c>
      <c r="D288" s="100" t="e">
        <f t="shared" ca="1" si="39"/>
        <v>#NAME?</v>
      </c>
      <c r="E288" s="100" t="e">
        <f t="shared" ca="1" si="39"/>
        <v>#NAME?</v>
      </c>
      <c r="F288" s="100" t="e">
        <f t="shared" ca="1" si="33"/>
        <v>#NAME?</v>
      </c>
      <c r="G288" s="100" t="e">
        <f t="shared" ca="1" si="34"/>
        <v>#NAME?</v>
      </c>
      <c r="H288" s="100" t="e">
        <f t="shared" ca="1" si="35"/>
        <v>#NAME?</v>
      </c>
      <c r="I288" s="100" t="e">
        <f t="shared" ca="1" si="36"/>
        <v>#NAME?</v>
      </c>
      <c r="J288" s="100" t="e">
        <f ca="1">IFERROR(__xludf.DUMMYFUNCTION("""COMPUTED_VALUE"""),"2.1999999999999997")</f>
        <v>#NAME?</v>
      </c>
      <c r="K288" s="100" t="e">
        <f t="shared" ca="1" si="37"/>
        <v>#NAME?</v>
      </c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</row>
    <row r="289" spans="1:26">
      <c r="A289" s="100" t="e">
        <f ca="1">IFERROR(__xludf.DUMMYFUNCTION("""COMPUTED_VALUE"""),12747406)</f>
        <v>#NAME?</v>
      </c>
      <c r="B289" s="100" t="e">
        <f ca="1">IFERROR(__xludf.DUMMYFUNCTION("""COMPUTED_VALUE"""),"TRCUSDT")</f>
        <v>#NAME?</v>
      </c>
      <c r="C289" s="100" t="e">
        <f ca="1">IFERROR(__xludf.DUMMYFUNCTION("""COMPUTED_VALUE"""),"0.000201")</f>
        <v>#NAME?</v>
      </c>
      <c r="D289" s="100" t="e">
        <f t="shared" ca="1" si="39"/>
        <v>#NAME?</v>
      </c>
      <c r="E289" s="100" t="e">
        <f t="shared" ca="1" si="39"/>
        <v>#NAME?</v>
      </c>
      <c r="F289" s="100" t="e">
        <f t="shared" ca="1" si="33"/>
        <v>#NAME?</v>
      </c>
      <c r="G289" s="100" t="e">
        <f t="shared" ca="1" si="34"/>
        <v>#NAME?</v>
      </c>
      <c r="H289" s="100" t="e">
        <f t="shared" ca="1" si="35"/>
        <v>#NAME?</v>
      </c>
      <c r="I289" s="100" t="e">
        <f t="shared" ca="1" si="36"/>
        <v>#NAME?</v>
      </c>
      <c r="J289" s="100" t="e">
        <f ca="1">IFERROR(__xludf.DUMMYFUNCTION("""COMPUTED_VALUE"""),"0.0")</f>
        <v>#NAME?</v>
      </c>
      <c r="K289" s="100" t="e">
        <f t="shared" ca="1" si="37"/>
        <v>#NAME?</v>
      </c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</row>
    <row r="290" spans="1:26">
      <c r="A290" s="100" t="e">
        <f ca="1">IFERROR(__xludf.DUMMYFUNCTION("""COMPUTED_VALUE"""),12747407)</f>
        <v>#NAME?</v>
      </c>
      <c r="B290" s="100" t="e">
        <f ca="1">IFERROR(__xludf.DUMMYFUNCTION("""COMPUTED_VALUE"""),"PSTAKEUSDT")</f>
        <v>#NAME?</v>
      </c>
      <c r="C290" s="100" t="e">
        <f ca="1">IFERROR(__xludf.DUMMYFUNCTION("""COMPUTED_VALUE"""),"0.01123")</f>
        <v>#NAME?</v>
      </c>
      <c r="D290" s="100" t="e">
        <f t="shared" ca="1" si="39"/>
        <v>#NAME?</v>
      </c>
      <c r="E290" s="100" t="e">
        <f t="shared" ca="1" si="39"/>
        <v>#NAME?</v>
      </c>
      <c r="F290" s="100" t="e">
        <f t="shared" ca="1" si="33"/>
        <v>#NAME?</v>
      </c>
      <c r="G290" s="100" t="e">
        <f t="shared" ca="1" si="34"/>
        <v>#NAME?</v>
      </c>
      <c r="H290" s="100" t="e">
        <f t="shared" ca="1" si="35"/>
        <v>#NAME?</v>
      </c>
      <c r="I290" s="100" t="e">
        <f t="shared" ca="1" si="36"/>
        <v>#NAME?</v>
      </c>
      <c r="J290" s="100" t="e">
        <f ca="1">IFERROR(__xludf.DUMMYFUNCTION("""COMPUTED_VALUE"""),"-2.26")</f>
        <v>#NAME?</v>
      </c>
      <c r="K290" s="100" t="e">
        <f t="shared" ca="1" si="37"/>
        <v>#NAME?</v>
      </c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</row>
    <row r="291" spans="1:26">
      <c r="A291" s="100" t="e">
        <f ca="1">IFERROR(__xludf.DUMMYFUNCTION("""COMPUTED_VALUE"""),12747408)</f>
        <v>#NAME?</v>
      </c>
      <c r="B291" s="100" t="e">
        <f ca="1">IFERROR(__xludf.DUMMYFUNCTION("""COMPUTED_VALUE"""),"FILUSDT")</f>
        <v>#NAME?</v>
      </c>
      <c r="C291" s="100" t="e">
        <f ca="1">IFERROR(__xludf.DUMMYFUNCTION("""COMPUTED_VALUE"""),"2.495")</f>
        <v>#NAME?</v>
      </c>
      <c r="D291" s="100" t="e">
        <f t="shared" ca="1" si="39"/>
        <v>#NAME?</v>
      </c>
      <c r="E291" s="100" t="e">
        <f t="shared" ca="1" si="39"/>
        <v>#NAME?</v>
      </c>
      <c r="F291" s="100" t="e">
        <f t="shared" ca="1" si="33"/>
        <v>#NAME?</v>
      </c>
      <c r="G291" s="100" t="e">
        <f t="shared" ca="1" si="34"/>
        <v>#NAME?</v>
      </c>
      <c r="H291" s="100" t="e">
        <f t="shared" ca="1" si="35"/>
        <v>#NAME?</v>
      </c>
      <c r="I291" s="100" t="e">
        <f t="shared" ca="1" si="36"/>
        <v>#NAME?</v>
      </c>
      <c r="J291" s="100" t="e">
        <f ca="1">IFERROR(__xludf.DUMMYFUNCTION("""COMPUTED_VALUE"""),"-6.7299999999999995")</f>
        <v>#NAME?</v>
      </c>
      <c r="K291" s="100" t="e">
        <f t="shared" ca="1" si="37"/>
        <v>#NAME?</v>
      </c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</row>
    <row r="292" spans="1:26">
      <c r="A292" s="100" t="e">
        <f ca="1">IFERROR(__xludf.DUMMYFUNCTION("""COMPUTED_VALUE"""),12747409)</f>
        <v>#NAME?</v>
      </c>
      <c r="B292" s="100" t="e">
        <f ca="1">IFERROR(__xludf.DUMMYFUNCTION("""COMPUTED_VALUE"""),"MEWUSDC")</f>
        <v>#NAME?</v>
      </c>
      <c r="C292" s="100" t="e">
        <f ca="1">IFERROR(__xludf.DUMMYFUNCTION("""COMPUTED_VALUE"""),"0.002635")</f>
        <v>#NAME?</v>
      </c>
      <c r="D292" s="100" t="e">
        <f t="shared" ca="1" si="39"/>
        <v>#NAME?</v>
      </c>
      <c r="E292" s="100" t="e">
        <f t="shared" ca="1" si="39"/>
        <v>#NAME?</v>
      </c>
      <c r="F292" s="100" t="e">
        <f t="shared" ca="1" si="33"/>
        <v>#NAME?</v>
      </c>
      <c r="G292" s="100" t="e">
        <f t="shared" ca="1" si="34"/>
        <v>#NAME?</v>
      </c>
      <c r="H292" s="100" t="e">
        <f t="shared" ca="1" si="35"/>
        <v>#NAME?</v>
      </c>
      <c r="I292" s="100" t="e">
        <f t="shared" ca="1" si="36"/>
        <v>#NAME?</v>
      </c>
      <c r="J292" s="100" t="e">
        <f ca="1">IFERROR(__xludf.DUMMYFUNCTION("""COMPUTED_VALUE"""),"6.419999999999999")</f>
        <v>#NAME?</v>
      </c>
      <c r="K292" s="100" t="e">
        <f t="shared" ca="1" si="37"/>
        <v>#NAME?</v>
      </c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</row>
    <row r="293" spans="1:26">
      <c r="A293" s="100" t="e">
        <f ca="1">IFERROR(__xludf.DUMMYFUNCTION("""COMPUTED_VALUE"""),12747410)</f>
        <v>#NAME?</v>
      </c>
      <c r="B293" s="100" t="e">
        <f ca="1">IFERROR(__xludf.DUMMYFUNCTION("""COMPUTED_VALUE"""),"VETUSDT")</f>
        <v>#NAME?</v>
      </c>
      <c r="C293" s="100" t="e">
        <f ca="1">IFERROR(__xludf.DUMMYFUNCTION("""COMPUTED_VALUE"""),"0.02359")</f>
        <v>#NAME?</v>
      </c>
      <c r="D293" s="100" t="e">
        <f t="shared" ca="1" si="39"/>
        <v>#NAME?</v>
      </c>
      <c r="E293" s="100" t="e">
        <f t="shared" ca="1" si="39"/>
        <v>#NAME?</v>
      </c>
      <c r="F293" s="100" t="e">
        <f t="shared" ca="1" si="33"/>
        <v>#NAME?</v>
      </c>
      <c r="G293" s="100" t="e">
        <f t="shared" ca="1" si="34"/>
        <v>#NAME?</v>
      </c>
      <c r="H293" s="100" t="e">
        <f t="shared" ca="1" si="35"/>
        <v>#NAME?</v>
      </c>
      <c r="I293" s="100" t="e">
        <f t="shared" ca="1" si="36"/>
        <v>#NAME?</v>
      </c>
      <c r="J293" s="100" t="e">
        <f ca="1">IFERROR(__xludf.DUMMYFUNCTION("""COMPUTED_VALUE"""),"-3.5999999999999996")</f>
        <v>#NAME?</v>
      </c>
      <c r="K293" s="100" t="e">
        <f t="shared" ca="1" si="37"/>
        <v>#NAME?</v>
      </c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</row>
    <row r="294" spans="1:26">
      <c r="A294" s="100" t="e">
        <f ca="1">IFERROR(__xludf.DUMMYFUNCTION("""COMPUTED_VALUE"""),12747411)</f>
        <v>#NAME?</v>
      </c>
      <c r="B294" s="100" t="e">
        <f ca="1">IFERROR(__xludf.DUMMYFUNCTION("""COMPUTED_VALUE"""),"PEPEEUR")</f>
        <v>#NAME?</v>
      </c>
      <c r="C294" s="100" t="e">
        <f ca="1">IFERROR(__xludf.DUMMYFUNCTION("""COMPUTED_VALUE"""),"0.00000706")</f>
        <v>#NAME?</v>
      </c>
      <c r="D294" s="100" t="e">
        <f t="shared" ca="1" si="39"/>
        <v>#NAME?</v>
      </c>
      <c r="E294" s="100" t="e">
        <f t="shared" ca="1" si="39"/>
        <v>#NAME?</v>
      </c>
      <c r="F294" s="100" t="e">
        <f t="shared" ca="1" si="33"/>
        <v>#NAME?</v>
      </c>
      <c r="G294" s="100" t="e">
        <f t="shared" ca="1" si="34"/>
        <v>#NAME?</v>
      </c>
      <c r="H294" s="100" t="e">
        <f t="shared" ca="1" si="35"/>
        <v>#NAME?</v>
      </c>
      <c r="I294" s="100" t="e">
        <f t="shared" ca="1" si="36"/>
        <v>#NAME?</v>
      </c>
      <c r="J294" s="100" t="e">
        <f ca="1">IFERROR(__xludf.DUMMYFUNCTION("""COMPUTED_VALUE"""),"3.52")</f>
        <v>#NAME?</v>
      </c>
      <c r="K294" s="100" t="e">
        <f t="shared" ca="1" si="37"/>
        <v>#NAME?</v>
      </c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</row>
    <row r="295" spans="1:26">
      <c r="A295" s="100" t="e">
        <f ca="1">IFERROR(__xludf.DUMMYFUNCTION("""COMPUTED_VALUE"""),12747412)</f>
        <v>#NAME?</v>
      </c>
      <c r="B295" s="100" t="e">
        <f ca="1">IFERROR(__xludf.DUMMYFUNCTION("""COMPUTED_VALUE"""),"MIXUSDT")</f>
        <v>#NAME?</v>
      </c>
      <c r="C295" s="100" t="e">
        <f ca="1">IFERROR(__xludf.DUMMYFUNCTION("""COMPUTED_VALUE"""),"0.00108")</f>
        <v>#NAME?</v>
      </c>
      <c r="D295" s="100" t="e">
        <f t="shared" ca="1" si="39"/>
        <v>#NAME?</v>
      </c>
      <c r="E295" s="100" t="e">
        <f t="shared" ca="1" si="39"/>
        <v>#NAME?</v>
      </c>
      <c r="F295" s="100" t="e">
        <f t="shared" ca="1" si="33"/>
        <v>#NAME?</v>
      </c>
      <c r="G295" s="100" t="e">
        <f t="shared" ca="1" si="34"/>
        <v>#NAME?</v>
      </c>
      <c r="H295" s="100" t="e">
        <f t="shared" ca="1" si="35"/>
        <v>#NAME?</v>
      </c>
      <c r="I295" s="100" t="e">
        <f t="shared" ca="1" si="36"/>
        <v>#NAME?</v>
      </c>
      <c r="J295" s="100" t="e">
        <f ca="1">IFERROR(__xludf.DUMMYFUNCTION("""COMPUTED_VALUE"""),"0.47000000000000003")</f>
        <v>#NAME?</v>
      </c>
      <c r="K295" s="100" t="e">
        <f t="shared" ca="1" si="37"/>
        <v>#NAME?</v>
      </c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</row>
    <row r="296" spans="1:26">
      <c r="A296" s="100" t="e">
        <f ca="1">IFERROR(__xludf.DUMMYFUNCTION("""COMPUTED_VALUE"""),12747413)</f>
        <v>#NAME?</v>
      </c>
      <c r="B296" s="100" t="e">
        <f ca="1">IFERROR(__xludf.DUMMYFUNCTION("""COMPUTED_VALUE"""),"OIKUSDT")</f>
        <v>#NAME?</v>
      </c>
      <c r="C296" s="100" t="e">
        <f ca="1">IFERROR(__xludf.DUMMYFUNCTION("""COMPUTED_VALUE"""),"0.01564")</f>
        <v>#NAME?</v>
      </c>
      <c r="D296" s="100" t="e">
        <f t="shared" ca="1" si="39"/>
        <v>#NAME?</v>
      </c>
      <c r="E296" s="100" t="e">
        <f t="shared" ca="1" si="39"/>
        <v>#NAME?</v>
      </c>
      <c r="F296" s="100" t="e">
        <f t="shared" ca="1" si="33"/>
        <v>#NAME?</v>
      </c>
      <c r="G296" s="100" t="e">
        <f t="shared" ca="1" si="34"/>
        <v>#NAME?</v>
      </c>
      <c r="H296" s="100" t="e">
        <f t="shared" ca="1" si="35"/>
        <v>#NAME?</v>
      </c>
      <c r="I296" s="100" t="e">
        <f t="shared" ca="1" si="36"/>
        <v>#NAME?</v>
      </c>
      <c r="J296" s="100" t="e">
        <f ca="1">IFERROR(__xludf.DUMMYFUNCTION("""COMPUTED_VALUE"""),"-6.52")</f>
        <v>#NAME?</v>
      </c>
      <c r="K296" s="100" t="e">
        <f t="shared" ca="1" si="37"/>
        <v>#NAME?</v>
      </c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</row>
    <row r="297" spans="1:26">
      <c r="A297" s="100" t="e">
        <f ca="1">IFERROR(__xludf.DUMMYFUNCTION("""COMPUTED_VALUE"""),12747414)</f>
        <v>#NAME?</v>
      </c>
      <c r="B297" s="100" t="e">
        <f ca="1">IFERROR(__xludf.DUMMYFUNCTION("""COMPUTED_VALUE"""),"WBTCBTC")</f>
        <v>#NAME?</v>
      </c>
      <c r="C297" s="100" t="e">
        <f ca="1">IFERROR(__xludf.DUMMYFUNCTION("""COMPUTED_VALUE"""),"0.9996")</f>
        <v>#NAME?</v>
      </c>
      <c r="D297" s="100" t="e">
        <f t="shared" ca="1" si="39"/>
        <v>#NAME?</v>
      </c>
      <c r="E297" s="100" t="e">
        <f t="shared" ca="1" si="39"/>
        <v>#NAME?</v>
      </c>
      <c r="F297" s="100" t="e">
        <f t="shared" ca="1" si="33"/>
        <v>#NAME?</v>
      </c>
      <c r="G297" s="100" t="e">
        <f t="shared" ca="1" si="34"/>
        <v>#NAME?</v>
      </c>
      <c r="H297" s="100" t="e">
        <f t="shared" ca="1" si="35"/>
        <v>#NAME?</v>
      </c>
      <c r="I297" s="100" t="e">
        <f t="shared" ca="1" si="36"/>
        <v>#NAME?</v>
      </c>
      <c r="J297" s="100" t="e">
        <f ca="1">IFERROR(__xludf.DUMMYFUNCTION("""COMPUTED_VALUE"""),"0.02")</f>
        <v>#NAME?</v>
      </c>
      <c r="K297" s="100" t="e">
        <f t="shared" ca="1" si="37"/>
        <v>#NAME?</v>
      </c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</row>
    <row r="298" spans="1:26">
      <c r="A298" s="100" t="e">
        <f ca="1">IFERROR(__xludf.DUMMYFUNCTION("""COMPUTED_VALUE"""),12747415)</f>
        <v>#NAME?</v>
      </c>
      <c r="B298" s="100" t="e">
        <f ca="1">IFERROR(__xludf.DUMMYFUNCTION("""COMPUTED_VALUE"""),"KAVAUSDT")</f>
        <v>#NAME?</v>
      </c>
      <c r="C298" s="100" t="e">
        <f ca="1">IFERROR(__xludf.DUMMYFUNCTION("""COMPUTED_VALUE"""),"0.4156")</f>
        <v>#NAME?</v>
      </c>
      <c r="D298" s="100" t="e">
        <f t="shared" ca="1" si="39"/>
        <v>#NAME?</v>
      </c>
      <c r="E298" s="100" t="e">
        <f t="shared" ca="1" si="39"/>
        <v>#NAME?</v>
      </c>
      <c r="F298" s="100" t="e">
        <f t="shared" ca="1" si="33"/>
        <v>#NAME?</v>
      </c>
      <c r="G298" s="100" t="e">
        <f t="shared" ca="1" si="34"/>
        <v>#NAME?</v>
      </c>
      <c r="H298" s="100" t="e">
        <f t="shared" ca="1" si="35"/>
        <v>#NAME?</v>
      </c>
      <c r="I298" s="100" t="e">
        <f t="shared" ca="1" si="36"/>
        <v>#NAME?</v>
      </c>
      <c r="J298" s="100" t="e">
        <f ca="1">IFERROR(__xludf.DUMMYFUNCTION("""COMPUTED_VALUE"""),"-1.4200000000000002")</f>
        <v>#NAME?</v>
      </c>
      <c r="K298" s="100" t="e">
        <f t="shared" ca="1" si="37"/>
        <v>#NAME?</v>
      </c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</row>
    <row r="299" spans="1:26">
      <c r="A299" s="100" t="e">
        <f ca="1">IFERROR(__xludf.DUMMYFUNCTION("""COMPUTED_VALUE"""),12747416)</f>
        <v>#NAME?</v>
      </c>
      <c r="B299" s="100" t="e">
        <f ca="1">IFERROR(__xludf.DUMMYFUNCTION("""COMPUTED_VALUE"""),"ONEUSDT")</f>
        <v>#NAME?</v>
      </c>
      <c r="C299" s="100" t="e">
        <f ca="1">IFERROR(__xludf.DUMMYFUNCTION("""COMPUTED_VALUE"""),"0.01168")</f>
        <v>#NAME?</v>
      </c>
      <c r="D299" s="100" t="e">
        <f t="shared" ca="1" si="39"/>
        <v>#NAME?</v>
      </c>
      <c r="E299" s="100" t="e">
        <f t="shared" ca="1" si="39"/>
        <v>#NAME?</v>
      </c>
      <c r="F299" s="100" t="e">
        <f t="shared" ca="1" si="33"/>
        <v>#NAME?</v>
      </c>
      <c r="G299" s="100" t="e">
        <f t="shared" ca="1" si="34"/>
        <v>#NAME?</v>
      </c>
      <c r="H299" s="100" t="e">
        <f t="shared" ca="1" si="35"/>
        <v>#NAME?</v>
      </c>
      <c r="I299" s="100" t="e">
        <f t="shared" ca="1" si="36"/>
        <v>#NAME?</v>
      </c>
      <c r="J299" s="100" t="e">
        <f ca="1">IFERROR(__xludf.DUMMYFUNCTION("""COMPUTED_VALUE"""),"0.7799999999999999")</f>
        <v>#NAME?</v>
      </c>
      <c r="K299" s="100" t="e">
        <f t="shared" ca="1" si="37"/>
        <v>#NAME?</v>
      </c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</row>
    <row r="300" spans="1:26">
      <c r="A300" s="100" t="e">
        <f ca="1">IFERROR(__xludf.DUMMYFUNCTION("""COMPUTED_VALUE"""),12747417)</f>
        <v>#NAME?</v>
      </c>
      <c r="B300" s="100" t="e">
        <f ca="1">IFERROR(__xludf.DUMMYFUNCTION("""COMPUTED_VALUE"""),"STATUSDT")</f>
        <v>#NAME?</v>
      </c>
      <c r="C300" s="100" t="e">
        <f ca="1">IFERROR(__xludf.DUMMYFUNCTION("""COMPUTED_VALUE"""),"0.0776")</f>
        <v>#NAME?</v>
      </c>
      <c r="D300" s="100" t="e">
        <f t="shared" ca="1" si="39"/>
        <v>#NAME?</v>
      </c>
      <c r="E300" s="100" t="e">
        <f t="shared" ca="1" si="39"/>
        <v>#NAME?</v>
      </c>
      <c r="F300" s="100" t="e">
        <f t="shared" ca="1" si="33"/>
        <v>#NAME?</v>
      </c>
      <c r="G300" s="100" t="e">
        <f t="shared" ca="1" si="34"/>
        <v>#NAME?</v>
      </c>
      <c r="H300" s="100" t="e">
        <f t="shared" ca="1" si="35"/>
        <v>#NAME?</v>
      </c>
      <c r="I300" s="100" t="e">
        <f t="shared" ca="1" si="36"/>
        <v>#NAME?</v>
      </c>
      <c r="J300" s="100" t="e">
        <f ca="1">IFERROR(__xludf.DUMMYFUNCTION("""COMPUTED_VALUE"""),"5.72")</f>
        <v>#NAME?</v>
      </c>
      <c r="K300" s="100" t="e">
        <f t="shared" ca="1" si="37"/>
        <v>#NAME?</v>
      </c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</row>
    <row r="301" spans="1:26">
      <c r="A301" s="100" t="e">
        <f ca="1">IFERROR(__xludf.DUMMYFUNCTION("""COMPUTED_VALUE"""),12747418)</f>
        <v>#NAME?</v>
      </c>
      <c r="B301" s="100" t="e">
        <f ca="1">IFERROR(__xludf.DUMMYFUNCTION("""COMPUTED_VALUE"""),"RDNTUSDT")</f>
        <v>#NAME?</v>
      </c>
      <c r="C301" s="100" t="e">
        <f ca="1">IFERROR(__xludf.DUMMYFUNCTION("""COMPUTED_VALUE"""),"0.02097")</f>
        <v>#NAME?</v>
      </c>
      <c r="D301" s="100" t="e">
        <f t="shared" ca="1" si="39"/>
        <v>#NAME?</v>
      </c>
      <c r="E301" s="100" t="e">
        <f t="shared" ca="1" si="39"/>
        <v>#NAME?</v>
      </c>
      <c r="F301" s="100" t="e">
        <f t="shared" ca="1" si="33"/>
        <v>#NAME?</v>
      </c>
      <c r="G301" s="100" t="e">
        <f t="shared" ca="1" si="34"/>
        <v>#NAME?</v>
      </c>
      <c r="H301" s="100" t="e">
        <f t="shared" ca="1" si="35"/>
        <v>#NAME?</v>
      </c>
      <c r="I301" s="100" t="e">
        <f t="shared" ca="1" si="36"/>
        <v>#NAME?</v>
      </c>
      <c r="J301" s="100" t="e">
        <f ca="1">IFERROR(__xludf.DUMMYFUNCTION("""COMPUTED_VALUE"""),"-2.19")</f>
        <v>#NAME?</v>
      </c>
      <c r="K301" s="100" t="e">
        <f t="shared" ca="1" si="37"/>
        <v>#NAME?</v>
      </c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</row>
    <row r="302" spans="1:26">
      <c r="A302" s="100" t="e">
        <f ca="1">IFERROR(__xludf.DUMMYFUNCTION("""COMPUTED_VALUE"""),12747419)</f>
        <v>#NAME?</v>
      </c>
      <c r="B302" s="100" t="e">
        <f ca="1">IFERROR(__xludf.DUMMYFUNCTION("""COMPUTED_VALUE"""),"SNXUSDT")</f>
        <v>#NAME?</v>
      </c>
      <c r="C302" s="100" t="e">
        <f ca="1">IFERROR(__xludf.DUMMYFUNCTION("""COMPUTED_VALUE"""),"0.6667")</f>
        <v>#NAME?</v>
      </c>
      <c r="D302" s="100" t="e">
        <f t="shared" ref="D302:E321" ca="1" si="40">IFERROR(__xludf.DUMMYFUNCTION("""COMPUTED_VALUE"""),"-")</f>
        <v>#NAME?</v>
      </c>
      <c r="E302" s="100" t="e">
        <f t="shared" ca="1" si="40"/>
        <v>#NAME?</v>
      </c>
      <c r="F302" s="100" t="e">
        <f t="shared" ca="1" si="33"/>
        <v>#NAME?</v>
      </c>
      <c r="G302" s="100" t="e">
        <f t="shared" ca="1" si="34"/>
        <v>#NAME?</v>
      </c>
      <c r="H302" s="100" t="e">
        <f t="shared" ca="1" si="35"/>
        <v>#NAME?</v>
      </c>
      <c r="I302" s="100" t="e">
        <f t="shared" ca="1" si="36"/>
        <v>#NAME?</v>
      </c>
      <c r="J302" s="100" t="e">
        <f ca="1">IFERROR(__xludf.DUMMYFUNCTION("""COMPUTED_VALUE"""),"-1.7000000000000002")</f>
        <v>#NAME?</v>
      </c>
      <c r="K302" s="100" t="e">
        <f t="shared" ca="1" si="37"/>
        <v>#NAME?</v>
      </c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</row>
    <row r="303" spans="1:26">
      <c r="A303" s="100" t="e">
        <f ca="1">IFERROR(__xludf.DUMMYFUNCTION("""COMPUTED_VALUE"""),12747420)</f>
        <v>#NAME?</v>
      </c>
      <c r="B303" s="100" t="e">
        <f ca="1">IFERROR(__xludf.DUMMYFUNCTION("""COMPUTED_VALUE"""),"KAIAUSDT")</f>
        <v>#NAME?</v>
      </c>
      <c r="C303" s="100" t="e">
        <f ca="1">IFERROR(__xludf.DUMMYFUNCTION("""COMPUTED_VALUE"""),"0.113")</f>
        <v>#NAME?</v>
      </c>
      <c r="D303" s="100" t="e">
        <f t="shared" ca="1" si="40"/>
        <v>#NAME?</v>
      </c>
      <c r="E303" s="100" t="e">
        <f t="shared" ca="1" si="40"/>
        <v>#NAME?</v>
      </c>
      <c r="F303" s="100" t="e">
        <f t="shared" ca="1" si="33"/>
        <v>#NAME?</v>
      </c>
      <c r="G303" s="100" t="e">
        <f t="shared" ca="1" si="34"/>
        <v>#NAME?</v>
      </c>
      <c r="H303" s="100" t="e">
        <f t="shared" ca="1" si="35"/>
        <v>#NAME?</v>
      </c>
      <c r="I303" s="100" t="e">
        <f t="shared" ca="1" si="36"/>
        <v>#NAME?</v>
      </c>
      <c r="J303" s="100" t="e">
        <f ca="1">IFERROR(__xludf.DUMMYFUNCTION("""COMPUTED_VALUE"""),"5.0200000000000005")</f>
        <v>#NAME?</v>
      </c>
      <c r="K303" s="100" t="e">
        <f t="shared" ca="1" si="37"/>
        <v>#NAME?</v>
      </c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</row>
    <row r="304" spans="1:26">
      <c r="A304" s="100" t="e">
        <f ca="1">IFERROR(__xludf.DUMMYFUNCTION("""COMPUTED_VALUE"""),12747421)</f>
        <v>#NAME?</v>
      </c>
      <c r="B304" s="100" t="e">
        <f ca="1">IFERROR(__xludf.DUMMYFUNCTION("""COMPUTED_VALUE"""),"5IREUSDT")</f>
        <v>#NAME?</v>
      </c>
      <c r="C304" s="100" t="e">
        <f ca="1">IFERROR(__xludf.DUMMYFUNCTION("""COMPUTED_VALUE"""),"0.001224")</f>
        <v>#NAME?</v>
      </c>
      <c r="D304" s="100" t="e">
        <f t="shared" ca="1" si="40"/>
        <v>#NAME?</v>
      </c>
      <c r="E304" s="100" t="e">
        <f t="shared" ca="1" si="40"/>
        <v>#NAME?</v>
      </c>
      <c r="F304" s="100" t="e">
        <f t="shared" ca="1" si="33"/>
        <v>#NAME?</v>
      </c>
      <c r="G304" s="100" t="e">
        <f t="shared" ca="1" si="34"/>
        <v>#NAME?</v>
      </c>
      <c r="H304" s="100" t="e">
        <f t="shared" ca="1" si="35"/>
        <v>#NAME?</v>
      </c>
      <c r="I304" s="100" t="e">
        <f t="shared" ca="1" si="36"/>
        <v>#NAME?</v>
      </c>
      <c r="J304" s="100" t="e">
        <f ca="1">IFERROR(__xludf.DUMMYFUNCTION("""COMPUTED_VALUE"""),"-2.7")</f>
        <v>#NAME?</v>
      </c>
      <c r="K304" s="100" t="e">
        <f t="shared" ca="1" si="37"/>
        <v>#NAME?</v>
      </c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</row>
    <row r="305" spans="1:26">
      <c r="A305" s="100" t="e">
        <f ca="1">IFERROR(__xludf.DUMMYFUNCTION("""COMPUTED_VALUE"""),12747422)</f>
        <v>#NAME?</v>
      </c>
      <c r="B305" s="100" t="e">
        <f ca="1">IFERROR(__xludf.DUMMYFUNCTION("""COMPUTED_VALUE"""),"JUSDT")</f>
        <v>#NAME?</v>
      </c>
      <c r="C305" s="100" t="e">
        <f ca="1">IFERROR(__xludf.DUMMYFUNCTION("""COMPUTED_VALUE"""),"0.2241")</f>
        <v>#NAME?</v>
      </c>
      <c r="D305" s="100" t="e">
        <f t="shared" ca="1" si="40"/>
        <v>#NAME?</v>
      </c>
      <c r="E305" s="100" t="e">
        <f t="shared" ca="1" si="40"/>
        <v>#NAME?</v>
      </c>
      <c r="F305" s="100" t="e">
        <f t="shared" ca="1" si="33"/>
        <v>#NAME?</v>
      </c>
      <c r="G305" s="100" t="e">
        <f t="shared" ca="1" si="34"/>
        <v>#NAME?</v>
      </c>
      <c r="H305" s="100" t="e">
        <f t="shared" ca="1" si="35"/>
        <v>#NAME?</v>
      </c>
      <c r="I305" s="100" t="e">
        <f t="shared" ca="1" si="36"/>
        <v>#NAME?</v>
      </c>
      <c r="J305" s="100" t="e">
        <f ca="1">IFERROR(__xludf.DUMMYFUNCTION("""COMPUTED_VALUE"""),"1.96")</f>
        <v>#NAME?</v>
      </c>
      <c r="K305" s="100" t="e">
        <f t="shared" ca="1" si="37"/>
        <v>#NAME?</v>
      </c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</row>
    <row r="306" spans="1:26">
      <c r="A306" s="100" t="e">
        <f ca="1">IFERROR(__xludf.DUMMYFUNCTION("""COMPUTED_VALUE"""),12747423)</f>
        <v>#NAME?</v>
      </c>
      <c r="B306" s="100" t="e">
        <f ca="1">IFERROR(__xludf.DUMMYFUNCTION("""COMPUTED_VALUE"""),"LOOKSUSDT")</f>
        <v>#NAME?</v>
      </c>
      <c r="C306" s="100" t="e">
        <f ca="1">IFERROR(__xludf.DUMMYFUNCTION("""COMPUTED_VALUE"""),"0.01036")</f>
        <v>#NAME?</v>
      </c>
      <c r="D306" s="100" t="e">
        <f t="shared" ca="1" si="40"/>
        <v>#NAME?</v>
      </c>
      <c r="E306" s="100" t="e">
        <f t="shared" ca="1" si="40"/>
        <v>#NAME?</v>
      </c>
      <c r="F306" s="100" t="e">
        <f t="shared" ca="1" si="33"/>
        <v>#NAME?</v>
      </c>
      <c r="G306" s="100" t="e">
        <f t="shared" ca="1" si="34"/>
        <v>#NAME?</v>
      </c>
      <c r="H306" s="100" t="e">
        <f t="shared" ca="1" si="35"/>
        <v>#NAME?</v>
      </c>
      <c r="I306" s="100" t="e">
        <f t="shared" ca="1" si="36"/>
        <v>#NAME?</v>
      </c>
      <c r="J306" s="100" t="e">
        <f ca="1">IFERROR(__xludf.DUMMYFUNCTION("""COMPUTED_VALUE"""),"-2.91")</f>
        <v>#NAME?</v>
      </c>
      <c r="K306" s="100" t="e">
        <f t="shared" ca="1" si="37"/>
        <v>#NAME?</v>
      </c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</row>
    <row r="307" spans="1:26">
      <c r="A307" s="100" t="e">
        <f ca="1">IFERROR(__xludf.DUMMYFUNCTION("""COMPUTED_VALUE"""),12747424)</f>
        <v>#NAME?</v>
      </c>
      <c r="B307" s="100" t="e">
        <f ca="1">IFERROR(__xludf.DUMMYFUNCTION("""COMPUTED_VALUE"""),"TWTUSDT")</f>
        <v>#NAME?</v>
      </c>
      <c r="C307" s="100" t="e">
        <f ca="1">IFERROR(__xludf.DUMMYFUNCTION("""COMPUTED_VALUE"""),"0.7822")</f>
        <v>#NAME?</v>
      </c>
      <c r="D307" s="100" t="e">
        <f t="shared" ca="1" si="40"/>
        <v>#NAME?</v>
      </c>
      <c r="E307" s="100" t="e">
        <f t="shared" ca="1" si="40"/>
        <v>#NAME?</v>
      </c>
      <c r="F307" s="100" t="e">
        <f t="shared" ca="1" si="33"/>
        <v>#NAME?</v>
      </c>
      <c r="G307" s="100" t="e">
        <f t="shared" ca="1" si="34"/>
        <v>#NAME?</v>
      </c>
      <c r="H307" s="100" t="e">
        <f t="shared" ca="1" si="35"/>
        <v>#NAME?</v>
      </c>
      <c r="I307" s="100" t="e">
        <f t="shared" ca="1" si="36"/>
        <v>#NAME?</v>
      </c>
      <c r="J307" s="100" t="e">
        <f ca="1">IFERROR(__xludf.DUMMYFUNCTION("""COMPUTED_VALUE"""),"-0.69")</f>
        <v>#NAME?</v>
      </c>
      <c r="K307" s="100" t="e">
        <f t="shared" ca="1" si="37"/>
        <v>#NAME?</v>
      </c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</row>
    <row r="308" spans="1:26">
      <c r="A308" s="100" t="e">
        <f ca="1">IFERROR(__xludf.DUMMYFUNCTION("""COMPUTED_VALUE"""),12747425)</f>
        <v>#NAME?</v>
      </c>
      <c r="B308" s="100" t="e">
        <f ca="1">IFERROR(__xludf.DUMMYFUNCTION("""COMPUTED_VALUE"""),"BTCUSDE")</f>
        <v>#NAME?</v>
      </c>
      <c r="C308" s="100" t="e">
        <f ca="1">IFERROR(__xludf.DUMMYFUNCTION("""COMPUTED_VALUE"""),"88451.9")</f>
        <v>#NAME?</v>
      </c>
      <c r="D308" s="100" t="e">
        <f t="shared" ca="1" si="40"/>
        <v>#NAME?</v>
      </c>
      <c r="E308" s="100" t="e">
        <f t="shared" ca="1" si="40"/>
        <v>#NAME?</v>
      </c>
      <c r="F308" s="100" t="e">
        <f t="shared" ca="1" si="33"/>
        <v>#NAME?</v>
      </c>
      <c r="G308" s="100" t="e">
        <f t="shared" ca="1" si="34"/>
        <v>#NAME?</v>
      </c>
      <c r="H308" s="100" t="e">
        <f t="shared" ca="1" si="35"/>
        <v>#NAME?</v>
      </c>
      <c r="I308" s="100" t="e">
        <f t="shared" ca="1" si="36"/>
        <v>#NAME?</v>
      </c>
      <c r="J308" s="100" t="e">
        <f ca="1">IFERROR(__xludf.DUMMYFUNCTION("""COMPUTED_VALUE"""),"0.96")</f>
        <v>#NAME?</v>
      </c>
      <c r="K308" s="100" t="e">
        <f t="shared" ca="1" si="37"/>
        <v>#NAME?</v>
      </c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</row>
    <row r="309" spans="1:26">
      <c r="A309" s="100" t="e">
        <f ca="1">IFERROR(__xludf.DUMMYFUNCTION("""COMPUTED_VALUE"""),12747426)</f>
        <v>#NAME?</v>
      </c>
      <c r="B309" s="100" t="e">
        <f ca="1">IFERROR(__xludf.DUMMYFUNCTION("""COMPUTED_VALUE"""),"NAKAUSDT")</f>
        <v>#NAME?</v>
      </c>
      <c r="C309" s="100" t="e">
        <f ca="1">IFERROR(__xludf.DUMMYFUNCTION("""COMPUTED_VALUE"""),"0.3277")</f>
        <v>#NAME?</v>
      </c>
      <c r="D309" s="100" t="e">
        <f t="shared" ca="1" si="40"/>
        <v>#NAME?</v>
      </c>
      <c r="E309" s="100" t="e">
        <f t="shared" ca="1" si="40"/>
        <v>#NAME?</v>
      </c>
      <c r="F309" s="100" t="e">
        <f t="shared" ca="1" si="33"/>
        <v>#NAME?</v>
      </c>
      <c r="G309" s="100" t="e">
        <f t="shared" ca="1" si="34"/>
        <v>#NAME?</v>
      </c>
      <c r="H309" s="100" t="e">
        <f t="shared" ca="1" si="35"/>
        <v>#NAME?</v>
      </c>
      <c r="I309" s="100" t="e">
        <f t="shared" ca="1" si="36"/>
        <v>#NAME?</v>
      </c>
      <c r="J309" s="100" t="e">
        <f ca="1">IFERROR(__xludf.DUMMYFUNCTION("""COMPUTED_VALUE"""),"1.68")</f>
        <v>#NAME?</v>
      </c>
      <c r="K309" s="100" t="e">
        <f t="shared" ca="1" si="37"/>
        <v>#NAME?</v>
      </c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</row>
    <row r="310" spans="1:26">
      <c r="A310" s="100" t="e">
        <f ca="1">IFERROR(__xludf.DUMMYFUNCTION("""COMPUTED_VALUE"""),12747427)</f>
        <v>#NAME?</v>
      </c>
      <c r="B310" s="100" t="e">
        <f ca="1">IFERROR(__xludf.DUMMYFUNCTION("""COMPUTED_VALUE"""),"BATUSDT")</f>
        <v>#NAME?</v>
      </c>
      <c r="C310" s="100" t="e">
        <f ca="1">IFERROR(__xludf.DUMMYFUNCTION("""COMPUTED_VALUE"""),"0.1326")</f>
        <v>#NAME?</v>
      </c>
      <c r="D310" s="100" t="e">
        <f t="shared" ca="1" si="40"/>
        <v>#NAME?</v>
      </c>
      <c r="E310" s="100" t="e">
        <f t="shared" ca="1" si="40"/>
        <v>#NAME?</v>
      </c>
      <c r="F310" s="100" t="e">
        <f t="shared" ca="1" si="33"/>
        <v>#NAME?</v>
      </c>
      <c r="G310" s="100" t="e">
        <f t="shared" ca="1" si="34"/>
        <v>#NAME?</v>
      </c>
      <c r="H310" s="100" t="e">
        <f t="shared" ca="1" si="35"/>
        <v>#NAME?</v>
      </c>
      <c r="I310" s="100" t="e">
        <f t="shared" ca="1" si="36"/>
        <v>#NAME?</v>
      </c>
      <c r="J310" s="100" t="e">
        <f ca="1">IFERROR(__xludf.DUMMYFUNCTION("""COMPUTED_VALUE"""),"-1.5599999999999998")</f>
        <v>#NAME?</v>
      </c>
      <c r="K310" s="100" t="e">
        <f t="shared" ca="1" si="37"/>
        <v>#NAME?</v>
      </c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</row>
    <row r="311" spans="1:26">
      <c r="A311" s="100" t="e">
        <f ca="1">IFERROR(__xludf.DUMMYFUNCTION("""COMPUTED_VALUE"""),12747428)</f>
        <v>#NAME?</v>
      </c>
      <c r="B311" s="100" t="e">
        <f ca="1">IFERROR(__xludf.DUMMYFUNCTION("""COMPUTED_VALUE"""),"SPXUSDT")</f>
        <v>#NAME?</v>
      </c>
      <c r="C311" s="100" t="e">
        <f ca="1">IFERROR(__xludf.DUMMYFUNCTION("""COMPUTED_VALUE"""),"0.4633")</f>
        <v>#NAME?</v>
      </c>
      <c r="D311" s="100" t="e">
        <f t="shared" ca="1" si="40"/>
        <v>#NAME?</v>
      </c>
      <c r="E311" s="100" t="e">
        <f t="shared" ca="1" si="40"/>
        <v>#NAME?</v>
      </c>
      <c r="F311" s="100" t="e">
        <f t="shared" ca="1" si="33"/>
        <v>#NAME?</v>
      </c>
      <c r="G311" s="100" t="e">
        <f t="shared" ca="1" si="34"/>
        <v>#NAME?</v>
      </c>
      <c r="H311" s="100" t="e">
        <f t="shared" ca="1" si="35"/>
        <v>#NAME?</v>
      </c>
      <c r="I311" s="100" t="e">
        <f t="shared" ca="1" si="36"/>
        <v>#NAME?</v>
      </c>
      <c r="J311" s="100" t="e">
        <f ca="1">IFERROR(__xludf.DUMMYFUNCTION("""COMPUTED_VALUE"""),"0.22")</f>
        <v>#NAME?</v>
      </c>
      <c r="K311" s="100" t="e">
        <f t="shared" ca="1" si="37"/>
        <v>#NAME?</v>
      </c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</row>
    <row r="312" spans="1:26">
      <c r="A312" s="100" t="e">
        <f ca="1">IFERROR(__xludf.DUMMYFUNCTION("""COMPUTED_VALUE"""),12747429)</f>
        <v>#NAME?</v>
      </c>
      <c r="B312" s="100" t="e">
        <f ca="1">IFERROR(__xludf.DUMMYFUNCTION("""COMPUTED_VALUE"""),"OMGUSDT")</f>
        <v>#NAME?</v>
      </c>
      <c r="C312" s="100" t="e">
        <f ca="1">IFERROR(__xludf.DUMMYFUNCTION("""COMPUTED_VALUE"""),"0.1909")</f>
        <v>#NAME?</v>
      </c>
      <c r="D312" s="100" t="e">
        <f t="shared" ca="1" si="40"/>
        <v>#NAME?</v>
      </c>
      <c r="E312" s="100" t="e">
        <f t="shared" ca="1" si="40"/>
        <v>#NAME?</v>
      </c>
      <c r="F312" s="100" t="e">
        <f t="shared" ca="1" si="33"/>
        <v>#NAME?</v>
      </c>
      <c r="G312" s="100" t="e">
        <f t="shared" ca="1" si="34"/>
        <v>#NAME?</v>
      </c>
      <c r="H312" s="100" t="e">
        <f t="shared" ca="1" si="35"/>
        <v>#NAME?</v>
      </c>
      <c r="I312" s="100" t="e">
        <f t="shared" ca="1" si="36"/>
        <v>#NAME?</v>
      </c>
      <c r="J312" s="100" t="e">
        <f ca="1">IFERROR(__xludf.DUMMYFUNCTION("""COMPUTED_VALUE"""),"-1.1900000000000002")</f>
        <v>#NAME?</v>
      </c>
      <c r="K312" s="100" t="e">
        <f t="shared" ca="1" si="37"/>
        <v>#NAME?</v>
      </c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</row>
    <row r="313" spans="1:26">
      <c r="A313" s="100" t="e">
        <f ca="1">IFERROR(__xludf.DUMMYFUNCTION("""COMPUTED_VALUE"""),12747430)</f>
        <v>#NAME?</v>
      </c>
      <c r="B313" s="100" t="e">
        <f ca="1">IFERROR(__xludf.DUMMYFUNCTION("""COMPUTED_VALUE"""),"ARUSDT")</f>
        <v>#NAME?</v>
      </c>
      <c r="C313" s="100" t="e">
        <f ca="1">IFERROR(__xludf.DUMMYFUNCTION("""COMPUTED_VALUE"""),"5.53")</f>
        <v>#NAME?</v>
      </c>
      <c r="D313" s="100" t="e">
        <f t="shared" ca="1" si="40"/>
        <v>#NAME?</v>
      </c>
      <c r="E313" s="100" t="e">
        <f t="shared" ca="1" si="40"/>
        <v>#NAME?</v>
      </c>
      <c r="F313" s="100" t="e">
        <f t="shared" ca="1" si="33"/>
        <v>#NAME?</v>
      </c>
      <c r="G313" s="100" t="e">
        <f t="shared" ca="1" si="34"/>
        <v>#NAME?</v>
      </c>
      <c r="H313" s="100" t="e">
        <f t="shared" ca="1" si="35"/>
        <v>#NAME?</v>
      </c>
      <c r="I313" s="100" t="e">
        <f t="shared" ca="1" si="36"/>
        <v>#NAME?</v>
      </c>
      <c r="J313" s="100" t="e">
        <f ca="1">IFERROR(__xludf.DUMMYFUNCTION("""COMPUTED_VALUE"""),"-1.95")</f>
        <v>#NAME?</v>
      </c>
      <c r="K313" s="100" t="e">
        <f t="shared" ca="1" si="37"/>
        <v>#NAME?</v>
      </c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</row>
    <row r="314" spans="1:26">
      <c r="A314" s="100" t="e">
        <f ca="1">IFERROR(__xludf.DUMMYFUNCTION("""COMPUTED_VALUE"""),12747431)</f>
        <v>#NAME?</v>
      </c>
      <c r="B314" s="100" t="e">
        <f ca="1">IFERROR(__xludf.DUMMYFUNCTION("""COMPUTED_VALUE"""),"LRCUSDT")</f>
        <v>#NAME?</v>
      </c>
      <c r="C314" s="100" t="e">
        <f ca="1">IFERROR(__xludf.DUMMYFUNCTION("""COMPUTED_VALUE"""),"0.0941")</f>
        <v>#NAME?</v>
      </c>
      <c r="D314" s="100" t="e">
        <f t="shared" ca="1" si="40"/>
        <v>#NAME?</v>
      </c>
      <c r="E314" s="100" t="e">
        <f t="shared" ca="1" si="40"/>
        <v>#NAME?</v>
      </c>
      <c r="F314" s="100" t="e">
        <f t="shared" ca="1" si="33"/>
        <v>#NAME?</v>
      </c>
      <c r="G314" s="100" t="e">
        <f t="shared" ca="1" si="34"/>
        <v>#NAME?</v>
      </c>
      <c r="H314" s="100" t="e">
        <f t="shared" ca="1" si="35"/>
        <v>#NAME?</v>
      </c>
      <c r="I314" s="100" t="e">
        <f t="shared" ca="1" si="36"/>
        <v>#NAME?</v>
      </c>
      <c r="J314" s="100" t="e">
        <f ca="1">IFERROR(__xludf.DUMMYFUNCTION("""COMPUTED_VALUE"""),"-1.9800000000000002")</f>
        <v>#NAME?</v>
      </c>
      <c r="K314" s="100" t="e">
        <f t="shared" ca="1" si="37"/>
        <v>#NAME?</v>
      </c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</row>
    <row r="315" spans="1:26">
      <c r="A315" s="100" t="e">
        <f ca="1">IFERROR(__xludf.DUMMYFUNCTION("""COMPUTED_VALUE"""),12747432)</f>
        <v>#NAME?</v>
      </c>
      <c r="B315" s="100" t="e">
        <f ca="1">IFERROR(__xludf.DUMMYFUNCTION("""COMPUTED_VALUE"""),"ONDOUSDT")</f>
        <v>#NAME?</v>
      </c>
      <c r="C315" s="100" t="e">
        <f ca="1">IFERROR(__xludf.DUMMYFUNCTION("""COMPUTED_VALUE"""),"0.8606")</f>
        <v>#NAME?</v>
      </c>
      <c r="D315" s="100" t="e">
        <f t="shared" ca="1" si="40"/>
        <v>#NAME?</v>
      </c>
      <c r="E315" s="100" t="e">
        <f t="shared" ca="1" si="40"/>
        <v>#NAME?</v>
      </c>
      <c r="F315" s="100" t="e">
        <f t="shared" ca="1" si="33"/>
        <v>#NAME?</v>
      </c>
      <c r="G315" s="100" t="e">
        <f t="shared" ca="1" si="34"/>
        <v>#NAME?</v>
      </c>
      <c r="H315" s="100" t="e">
        <f t="shared" ca="1" si="35"/>
        <v>#NAME?</v>
      </c>
      <c r="I315" s="100" t="e">
        <f t="shared" ca="1" si="36"/>
        <v>#NAME?</v>
      </c>
      <c r="J315" s="100" t="e">
        <f ca="1">IFERROR(__xludf.DUMMYFUNCTION("""COMPUTED_VALUE"""),"-2.04")</f>
        <v>#NAME?</v>
      </c>
      <c r="K315" s="100" t="e">
        <f t="shared" ca="1" si="37"/>
        <v>#NAME?</v>
      </c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</row>
    <row r="316" spans="1:26">
      <c r="A316" s="100" t="e">
        <f ca="1">IFERROR(__xludf.DUMMYFUNCTION("""COMPUTED_VALUE"""),12747433)</f>
        <v>#NAME?</v>
      </c>
      <c r="B316" s="100" t="e">
        <f ca="1">IFERROR(__xludf.DUMMYFUNCTION("""COMPUTED_VALUE"""),"GMTUSDC")</f>
        <v>#NAME?</v>
      </c>
      <c r="C316" s="100" t="e">
        <f ca="1">IFERROR(__xludf.DUMMYFUNCTION("""COMPUTED_VALUE"""),"0.05984")</f>
        <v>#NAME?</v>
      </c>
      <c r="D316" s="100" t="e">
        <f t="shared" ca="1" si="40"/>
        <v>#NAME?</v>
      </c>
      <c r="E316" s="100" t="e">
        <f t="shared" ca="1" si="40"/>
        <v>#NAME?</v>
      </c>
      <c r="F316" s="100" t="e">
        <f t="shared" ca="1" si="33"/>
        <v>#NAME?</v>
      </c>
      <c r="G316" s="100" t="e">
        <f t="shared" ca="1" si="34"/>
        <v>#NAME?</v>
      </c>
      <c r="H316" s="100" t="e">
        <f t="shared" ca="1" si="35"/>
        <v>#NAME?</v>
      </c>
      <c r="I316" s="100" t="e">
        <f t="shared" ca="1" si="36"/>
        <v>#NAME?</v>
      </c>
      <c r="J316" s="100" t="e">
        <f ca="1">IFERROR(__xludf.DUMMYFUNCTION("""COMPUTED_VALUE"""),"8.62")</f>
        <v>#NAME?</v>
      </c>
      <c r="K316" s="100" t="e">
        <f t="shared" ca="1" si="37"/>
        <v>#NAME?</v>
      </c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</row>
    <row r="317" spans="1:26">
      <c r="A317" s="100" t="e">
        <f ca="1">IFERROR(__xludf.DUMMYFUNCTION("""COMPUTED_VALUE"""),12747434)</f>
        <v>#NAME?</v>
      </c>
      <c r="B317" s="100" t="e">
        <f ca="1">IFERROR(__xludf.DUMMYFUNCTION("""COMPUTED_VALUE"""),"OMUSDT")</f>
        <v>#NAME?</v>
      </c>
      <c r="C317" s="100" t="e">
        <f ca="1">IFERROR(__xludf.DUMMYFUNCTION("""COMPUTED_VALUE"""),"0.5395")</f>
        <v>#NAME?</v>
      </c>
      <c r="D317" s="100" t="e">
        <f t="shared" ca="1" si="40"/>
        <v>#NAME?</v>
      </c>
      <c r="E317" s="100" t="e">
        <f t="shared" ca="1" si="40"/>
        <v>#NAME?</v>
      </c>
      <c r="F317" s="100" t="e">
        <f t="shared" ca="1" si="33"/>
        <v>#NAME?</v>
      </c>
      <c r="G317" s="100" t="e">
        <f t="shared" ca="1" si="34"/>
        <v>#NAME?</v>
      </c>
      <c r="H317" s="100" t="e">
        <f t="shared" ca="1" si="35"/>
        <v>#NAME?</v>
      </c>
      <c r="I317" s="100" t="e">
        <f t="shared" ca="1" si="36"/>
        <v>#NAME?</v>
      </c>
      <c r="J317" s="100" t="e">
        <f ca="1">IFERROR(__xludf.DUMMYFUNCTION("""COMPUTED_VALUE"""),"7.7700000000000005")</f>
        <v>#NAME?</v>
      </c>
      <c r="K317" s="100" t="e">
        <f t="shared" ca="1" si="37"/>
        <v>#NAME?</v>
      </c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</row>
    <row r="318" spans="1:26">
      <c r="A318" s="100" t="e">
        <f ca="1">IFERROR(__xludf.DUMMYFUNCTION("""COMPUTED_VALUE"""),12747435)</f>
        <v>#NAME?</v>
      </c>
      <c r="B318" s="100" t="e">
        <f ca="1">IFERROR(__xludf.DUMMYFUNCTION("""COMPUTED_VALUE"""),"ETHPLN")</f>
        <v>#NAME?</v>
      </c>
      <c r="C318" s="100" t="e">
        <f ca="1">IFERROR(__xludf.DUMMYFUNCTION("""COMPUTED_VALUE"""),"6054")</f>
        <v>#NAME?</v>
      </c>
      <c r="D318" s="100" t="e">
        <f t="shared" ca="1" si="40"/>
        <v>#NAME?</v>
      </c>
      <c r="E318" s="100" t="e">
        <f t="shared" ca="1" si="40"/>
        <v>#NAME?</v>
      </c>
      <c r="F318" s="100" t="e">
        <f t="shared" ca="1" si="33"/>
        <v>#NAME?</v>
      </c>
      <c r="G318" s="100" t="e">
        <f t="shared" ca="1" si="34"/>
        <v>#NAME?</v>
      </c>
      <c r="H318" s="100" t="e">
        <f t="shared" ca="1" si="35"/>
        <v>#NAME?</v>
      </c>
      <c r="I318" s="100" t="e">
        <f t="shared" ca="1" si="36"/>
        <v>#NAME?</v>
      </c>
      <c r="J318" s="100" t="e">
        <f ca="1">IFERROR(__xludf.DUMMYFUNCTION("""COMPUTED_VALUE"""),"-0.72")</f>
        <v>#NAME?</v>
      </c>
      <c r="K318" s="100" t="e">
        <f t="shared" ca="1" si="37"/>
        <v>#NAME?</v>
      </c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</row>
    <row r="319" spans="1:26">
      <c r="A319" s="100" t="e">
        <f ca="1">IFERROR(__xludf.DUMMYFUNCTION("""COMPUTED_VALUE"""),12747436)</f>
        <v>#NAME?</v>
      </c>
      <c r="B319" s="100" t="e">
        <f ca="1">IFERROR(__xludf.DUMMYFUNCTION("""COMPUTED_VALUE"""),"KASUSDC")</f>
        <v>#NAME?</v>
      </c>
      <c r="C319" s="100" t="e">
        <f ca="1">IFERROR(__xludf.DUMMYFUNCTION("""COMPUTED_VALUE"""),"0.09138")</f>
        <v>#NAME?</v>
      </c>
      <c r="D319" s="100" t="e">
        <f t="shared" ca="1" si="40"/>
        <v>#NAME?</v>
      </c>
      <c r="E319" s="100" t="e">
        <f t="shared" ca="1" si="40"/>
        <v>#NAME?</v>
      </c>
      <c r="F319" s="100" t="e">
        <f t="shared" ca="1" si="33"/>
        <v>#NAME?</v>
      </c>
      <c r="G319" s="100" t="e">
        <f t="shared" ca="1" si="34"/>
        <v>#NAME?</v>
      </c>
      <c r="H319" s="100" t="e">
        <f t="shared" ca="1" si="35"/>
        <v>#NAME?</v>
      </c>
      <c r="I319" s="100" t="e">
        <f t="shared" ca="1" si="36"/>
        <v>#NAME?</v>
      </c>
      <c r="J319" s="100" t="e">
        <f ca="1">IFERROR(__xludf.DUMMYFUNCTION("""COMPUTED_VALUE"""),"10.03")</f>
        <v>#NAME?</v>
      </c>
      <c r="K319" s="100" t="e">
        <f t="shared" ca="1" si="37"/>
        <v>#NAME?</v>
      </c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</row>
    <row r="320" spans="1:26">
      <c r="A320" s="100" t="e">
        <f ca="1">IFERROR(__xludf.DUMMYFUNCTION("""COMPUTED_VALUE"""),12747437)</f>
        <v>#NAME?</v>
      </c>
      <c r="B320" s="100" t="e">
        <f ca="1">IFERROR(__xludf.DUMMYFUNCTION("""COMPUTED_VALUE"""),"TOMIUSDT")</f>
        <v>#NAME?</v>
      </c>
      <c r="C320" s="100" t="e">
        <f ca="1">IFERROR(__xludf.DUMMYFUNCTION("""COMPUTED_VALUE"""),"0.001642")</f>
        <v>#NAME?</v>
      </c>
      <c r="D320" s="100" t="e">
        <f t="shared" ca="1" si="40"/>
        <v>#NAME?</v>
      </c>
      <c r="E320" s="100" t="e">
        <f t="shared" ca="1" si="40"/>
        <v>#NAME?</v>
      </c>
      <c r="F320" s="100" t="e">
        <f t="shared" ca="1" si="33"/>
        <v>#NAME?</v>
      </c>
      <c r="G320" s="100" t="e">
        <f t="shared" ca="1" si="34"/>
        <v>#NAME?</v>
      </c>
      <c r="H320" s="100" t="e">
        <f t="shared" ca="1" si="35"/>
        <v>#NAME?</v>
      </c>
      <c r="I320" s="100" t="e">
        <f t="shared" ca="1" si="36"/>
        <v>#NAME?</v>
      </c>
      <c r="J320" s="100" t="e">
        <f ca="1">IFERROR(__xludf.DUMMYFUNCTION("""COMPUTED_VALUE"""),"-19.59")</f>
        <v>#NAME?</v>
      </c>
      <c r="K320" s="100" t="e">
        <f t="shared" ca="1" si="37"/>
        <v>#NAME?</v>
      </c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</row>
    <row r="321" spans="1:26">
      <c r="A321" s="100" t="e">
        <f ca="1">IFERROR(__xludf.DUMMYFUNCTION("""COMPUTED_VALUE"""),12747438)</f>
        <v>#NAME?</v>
      </c>
      <c r="B321" s="100" t="e">
        <f ca="1">IFERROR(__xludf.DUMMYFUNCTION("""COMPUTED_VALUE"""),"VTHOUSDT")</f>
        <v>#NAME?</v>
      </c>
      <c r="C321" s="100" t="e">
        <f ca="1">IFERROR(__xludf.DUMMYFUNCTION("""COMPUTED_VALUE"""),"0.002427")</f>
        <v>#NAME?</v>
      </c>
      <c r="D321" s="100" t="e">
        <f t="shared" ca="1" si="40"/>
        <v>#NAME?</v>
      </c>
      <c r="E321" s="100" t="e">
        <f t="shared" ca="1" si="40"/>
        <v>#NAME?</v>
      </c>
      <c r="F321" s="100" t="e">
        <f t="shared" ca="1" si="33"/>
        <v>#NAME?</v>
      </c>
      <c r="G321" s="100" t="e">
        <f t="shared" ca="1" si="34"/>
        <v>#NAME?</v>
      </c>
      <c r="H321" s="100" t="e">
        <f t="shared" ca="1" si="35"/>
        <v>#NAME?</v>
      </c>
      <c r="I321" s="100" t="e">
        <f t="shared" ca="1" si="36"/>
        <v>#NAME?</v>
      </c>
      <c r="J321" s="100" t="e">
        <f ca="1">IFERROR(__xludf.DUMMYFUNCTION("""COMPUTED_VALUE"""),"-2.76")</f>
        <v>#NAME?</v>
      </c>
      <c r="K321" s="100" t="e">
        <f t="shared" ca="1" si="37"/>
        <v>#NAME?</v>
      </c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</row>
    <row r="322" spans="1:26">
      <c r="A322" s="100" t="e">
        <f ca="1">IFERROR(__xludf.DUMMYFUNCTION("""COMPUTED_VALUE"""),12747439)</f>
        <v>#NAME?</v>
      </c>
      <c r="B322" s="100" t="e">
        <f ca="1">IFERROR(__xludf.DUMMYFUNCTION("""COMPUTED_VALUE"""),"WALUSDT")</f>
        <v>#NAME?</v>
      </c>
      <c r="C322" s="100" t="e">
        <f ca="1">IFERROR(__xludf.DUMMYFUNCTION("""COMPUTED_VALUE"""),"0.4345")</f>
        <v>#NAME?</v>
      </c>
      <c r="D322" s="100" t="e">
        <f t="shared" ref="D322:E341" ca="1" si="41">IFERROR(__xludf.DUMMYFUNCTION("""COMPUTED_VALUE"""),"-")</f>
        <v>#NAME?</v>
      </c>
      <c r="E322" s="100" t="e">
        <f t="shared" ca="1" si="41"/>
        <v>#NAME?</v>
      </c>
      <c r="F322" s="100" t="e">
        <f t="shared" ref="F322:F385" ca="1" si="42">IFERROR(__xludf.DUMMYFUNCTION("""COMPUTED_VALUE"""),20200)</f>
        <v>#NAME?</v>
      </c>
      <c r="G322" s="100" t="e">
        <f t="shared" ref="G322:G385" ca="1" si="43">IFERROR(__xludf.DUMMYFUNCTION("""COMPUTED_VALUE"""),2885)</f>
        <v>#NAME?</v>
      </c>
      <c r="H322" s="100" t="e">
        <f t="shared" ref="H322:H385" ca="1" si="44">IFERROR(__xludf.DUMMYFUNCTION("""COMPUTED_VALUE"""),663)</f>
        <v>#NAME?</v>
      </c>
      <c r="I322" s="100" t="e">
        <f t="shared" ref="I322:I385" ca="1" si="45">IFERROR(__xludf.DUMMYFUNCTION("""COMPUTED_VALUE"""),5817721)</f>
        <v>#NAME?</v>
      </c>
      <c r="J322" s="100" t="e">
        <f ca="1">IFERROR(__xludf.DUMMYFUNCTION("""COMPUTED_VALUE"""),"-1.38")</f>
        <v>#NAME?</v>
      </c>
      <c r="K322" s="100" t="e">
        <f t="shared" ref="K322:K385" ca="1" si="46">IFERROR(__xludf.DUMMYFUNCTION("""COMPUTED_VALUE"""),"22.04.2025 13:05:01")</f>
        <v>#NAME?</v>
      </c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</row>
    <row r="323" spans="1:26">
      <c r="A323" s="100" t="e">
        <f ca="1">IFERROR(__xludf.DUMMYFUNCTION("""COMPUTED_VALUE"""),12747440)</f>
        <v>#NAME?</v>
      </c>
      <c r="B323" s="100" t="e">
        <f ca="1">IFERROR(__xludf.DUMMYFUNCTION("""COMPUTED_VALUE"""),"WELLUSDT")</f>
        <v>#NAME?</v>
      </c>
      <c r="C323" s="100" t="e">
        <f ca="1">IFERROR(__xludf.DUMMYFUNCTION("""COMPUTED_VALUE"""),"0.0001529")</f>
        <v>#NAME?</v>
      </c>
      <c r="D323" s="100" t="e">
        <f t="shared" ca="1" si="41"/>
        <v>#NAME?</v>
      </c>
      <c r="E323" s="100" t="e">
        <f t="shared" ca="1" si="41"/>
        <v>#NAME?</v>
      </c>
      <c r="F323" s="100" t="e">
        <f t="shared" ca="1" si="42"/>
        <v>#NAME?</v>
      </c>
      <c r="G323" s="100" t="e">
        <f t="shared" ca="1" si="43"/>
        <v>#NAME?</v>
      </c>
      <c r="H323" s="100" t="e">
        <f t="shared" ca="1" si="44"/>
        <v>#NAME?</v>
      </c>
      <c r="I323" s="100" t="e">
        <f t="shared" ca="1" si="45"/>
        <v>#NAME?</v>
      </c>
      <c r="J323" s="100" t="e">
        <f ca="1">IFERROR(__xludf.DUMMYFUNCTION("""COMPUTED_VALUE"""),"-1.0999999999999999")</f>
        <v>#NAME?</v>
      </c>
      <c r="K323" s="100" t="e">
        <f t="shared" ca="1" si="46"/>
        <v>#NAME?</v>
      </c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</row>
    <row r="324" spans="1:26">
      <c r="A324" s="100" t="e">
        <f ca="1">IFERROR(__xludf.DUMMYFUNCTION("""COMPUTED_VALUE"""),12747441)</f>
        <v>#NAME?</v>
      </c>
      <c r="B324" s="100" t="e">
        <f ca="1">IFERROR(__xludf.DUMMYFUNCTION("""COMPUTED_VALUE"""),"VELOUSDT")</f>
        <v>#NAME?</v>
      </c>
      <c r="C324" s="100" t="e">
        <f ca="1">IFERROR(__xludf.DUMMYFUNCTION("""COMPUTED_VALUE"""),"0.013741")</f>
        <v>#NAME?</v>
      </c>
      <c r="D324" s="100" t="e">
        <f t="shared" ca="1" si="41"/>
        <v>#NAME?</v>
      </c>
      <c r="E324" s="100" t="e">
        <f t="shared" ca="1" si="41"/>
        <v>#NAME?</v>
      </c>
      <c r="F324" s="100" t="e">
        <f t="shared" ca="1" si="42"/>
        <v>#NAME?</v>
      </c>
      <c r="G324" s="100" t="e">
        <f t="shared" ca="1" si="43"/>
        <v>#NAME?</v>
      </c>
      <c r="H324" s="100" t="e">
        <f t="shared" ca="1" si="44"/>
        <v>#NAME?</v>
      </c>
      <c r="I324" s="100" t="e">
        <f t="shared" ca="1" si="45"/>
        <v>#NAME?</v>
      </c>
      <c r="J324" s="100" t="e">
        <f ca="1">IFERROR(__xludf.DUMMYFUNCTION("""COMPUTED_VALUE"""),"2.23")</f>
        <v>#NAME?</v>
      </c>
      <c r="K324" s="100" t="e">
        <f t="shared" ca="1" si="46"/>
        <v>#NAME?</v>
      </c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</row>
    <row r="325" spans="1:26">
      <c r="A325" s="100" t="e">
        <f ca="1">IFERROR(__xludf.DUMMYFUNCTION("""COMPUTED_VALUE"""),12747442)</f>
        <v>#NAME?</v>
      </c>
      <c r="B325" s="100" t="e">
        <f ca="1">IFERROR(__xludf.DUMMYFUNCTION("""COMPUTED_VALUE"""),"SWELLUSDC")</f>
        <v>#NAME?</v>
      </c>
      <c r="C325" s="100" t="e">
        <f ca="1">IFERROR(__xludf.DUMMYFUNCTION("""COMPUTED_VALUE"""),"0.00875")</f>
        <v>#NAME?</v>
      </c>
      <c r="D325" s="100" t="e">
        <f t="shared" ca="1" si="41"/>
        <v>#NAME?</v>
      </c>
      <c r="E325" s="100" t="e">
        <f t="shared" ca="1" si="41"/>
        <v>#NAME?</v>
      </c>
      <c r="F325" s="100" t="e">
        <f t="shared" ca="1" si="42"/>
        <v>#NAME?</v>
      </c>
      <c r="G325" s="100" t="e">
        <f t="shared" ca="1" si="43"/>
        <v>#NAME?</v>
      </c>
      <c r="H325" s="100" t="e">
        <f t="shared" ca="1" si="44"/>
        <v>#NAME?</v>
      </c>
      <c r="I325" s="100" t="e">
        <f t="shared" ca="1" si="45"/>
        <v>#NAME?</v>
      </c>
      <c r="J325" s="100" t="e">
        <f ca="1">IFERROR(__xludf.DUMMYFUNCTION("""COMPUTED_VALUE"""),"-2.9899999999999998")</f>
        <v>#NAME?</v>
      </c>
      <c r="K325" s="100" t="e">
        <f t="shared" ca="1" si="46"/>
        <v>#NAME?</v>
      </c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</row>
    <row r="326" spans="1:26">
      <c r="A326" s="100" t="e">
        <f ca="1">IFERROR(__xludf.DUMMYFUNCTION("""COMPUTED_VALUE"""),12747443)</f>
        <v>#NAME?</v>
      </c>
      <c r="B326" s="100" t="e">
        <f ca="1">IFERROR(__xludf.DUMMYFUNCTION("""COMPUTED_VALUE"""),"MOVRUSDT")</f>
        <v>#NAME?</v>
      </c>
      <c r="C326" s="100" t="e">
        <f ca="1">IFERROR(__xludf.DUMMYFUNCTION("""COMPUTED_VALUE"""),"5.52")</f>
        <v>#NAME?</v>
      </c>
      <c r="D326" s="100" t="e">
        <f t="shared" ca="1" si="41"/>
        <v>#NAME?</v>
      </c>
      <c r="E326" s="100" t="e">
        <f t="shared" ca="1" si="41"/>
        <v>#NAME?</v>
      </c>
      <c r="F326" s="100" t="e">
        <f t="shared" ca="1" si="42"/>
        <v>#NAME?</v>
      </c>
      <c r="G326" s="100" t="e">
        <f t="shared" ca="1" si="43"/>
        <v>#NAME?</v>
      </c>
      <c r="H326" s="100" t="e">
        <f t="shared" ca="1" si="44"/>
        <v>#NAME?</v>
      </c>
      <c r="I326" s="100" t="e">
        <f t="shared" ca="1" si="45"/>
        <v>#NAME?</v>
      </c>
      <c r="J326" s="100" t="e">
        <f ca="1">IFERROR(__xludf.DUMMYFUNCTION("""COMPUTED_VALUE"""),"-4.71")</f>
        <v>#NAME?</v>
      </c>
      <c r="K326" s="100" t="e">
        <f t="shared" ca="1" si="46"/>
        <v>#NAME?</v>
      </c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</row>
    <row r="327" spans="1:26">
      <c r="A327" s="100" t="e">
        <f ca="1">IFERROR(__xludf.DUMMYFUNCTION("""COMPUTED_VALUE"""),12747444)</f>
        <v>#NAME?</v>
      </c>
      <c r="B327" s="100" t="e">
        <f ca="1">IFERROR(__xludf.DUMMYFUNCTION("""COMPUTED_VALUE"""),"XLMUSDC")</f>
        <v>#NAME?</v>
      </c>
      <c r="C327" s="100" t="e">
        <f ca="1">IFERROR(__xludf.DUMMYFUNCTION("""COMPUTED_VALUE"""),"0.2472")</f>
        <v>#NAME?</v>
      </c>
      <c r="D327" s="100" t="e">
        <f t="shared" ca="1" si="41"/>
        <v>#NAME?</v>
      </c>
      <c r="E327" s="100" t="e">
        <f t="shared" ca="1" si="41"/>
        <v>#NAME?</v>
      </c>
      <c r="F327" s="100" t="e">
        <f t="shared" ca="1" si="42"/>
        <v>#NAME?</v>
      </c>
      <c r="G327" s="100" t="e">
        <f t="shared" ca="1" si="43"/>
        <v>#NAME?</v>
      </c>
      <c r="H327" s="100" t="e">
        <f t="shared" ca="1" si="44"/>
        <v>#NAME?</v>
      </c>
      <c r="I327" s="100" t="e">
        <f t="shared" ca="1" si="45"/>
        <v>#NAME?</v>
      </c>
      <c r="J327" s="100" t="e">
        <f ca="1">IFERROR(__xludf.DUMMYFUNCTION("""COMPUTED_VALUE"""),"-4.81")</f>
        <v>#NAME?</v>
      </c>
      <c r="K327" s="100" t="e">
        <f t="shared" ca="1" si="46"/>
        <v>#NAME?</v>
      </c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</row>
    <row r="328" spans="1:26">
      <c r="A328" s="100" t="e">
        <f ca="1">IFERROR(__xludf.DUMMYFUNCTION("""COMPUTED_VALUE"""),12747445)</f>
        <v>#NAME?</v>
      </c>
      <c r="B328" s="100" t="e">
        <f ca="1">IFERROR(__xludf.DUMMYFUNCTION("""COMPUTED_VALUE"""),"MOGUSDT")</f>
        <v>#NAME?</v>
      </c>
      <c r="C328" s="100" t="e">
        <f ca="1">IFERROR(__xludf.DUMMYFUNCTION("""COMPUTED_VALUE"""),"0.0000004985")</f>
        <v>#NAME?</v>
      </c>
      <c r="D328" s="100" t="e">
        <f t="shared" ca="1" si="41"/>
        <v>#NAME?</v>
      </c>
      <c r="E328" s="100" t="e">
        <f t="shared" ca="1" si="41"/>
        <v>#NAME?</v>
      </c>
      <c r="F328" s="100" t="e">
        <f t="shared" ca="1" si="42"/>
        <v>#NAME?</v>
      </c>
      <c r="G328" s="100" t="e">
        <f t="shared" ca="1" si="43"/>
        <v>#NAME?</v>
      </c>
      <c r="H328" s="100" t="e">
        <f t="shared" ca="1" si="44"/>
        <v>#NAME?</v>
      </c>
      <c r="I328" s="100" t="e">
        <f t="shared" ca="1" si="45"/>
        <v>#NAME?</v>
      </c>
      <c r="J328" s="100" t="e">
        <f ca="1">IFERROR(__xludf.DUMMYFUNCTION("""COMPUTED_VALUE"""),"2.6100000000000003")</f>
        <v>#NAME?</v>
      </c>
      <c r="K328" s="100" t="e">
        <f t="shared" ca="1" si="46"/>
        <v>#NAME?</v>
      </c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</row>
    <row r="329" spans="1:26">
      <c r="A329" s="100" t="e">
        <f ca="1">IFERROR(__xludf.DUMMYFUNCTION("""COMPUTED_VALUE"""),12747446)</f>
        <v>#NAME?</v>
      </c>
      <c r="B329" s="100" t="e">
        <f ca="1">IFERROR(__xludf.DUMMYFUNCTION("""COMPUTED_VALUE"""),"USDQUSDT")</f>
        <v>#NAME?</v>
      </c>
      <c r="C329" s="100" t="e">
        <f ca="1">IFERROR(__xludf.DUMMYFUNCTION("""COMPUTED_VALUE"""),"0.9995")</f>
        <v>#NAME?</v>
      </c>
      <c r="D329" s="100" t="e">
        <f t="shared" ca="1" si="41"/>
        <v>#NAME?</v>
      </c>
      <c r="E329" s="100" t="e">
        <f t="shared" ca="1" si="41"/>
        <v>#NAME?</v>
      </c>
      <c r="F329" s="100" t="e">
        <f t="shared" ca="1" si="42"/>
        <v>#NAME?</v>
      </c>
      <c r="G329" s="100" t="e">
        <f t="shared" ca="1" si="43"/>
        <v>#NAME?</v>
      </c>
      <c r="H329" s="100" t="e">
        <f t="shared" ca="1" si="44"/>
        <v>#NAME?</v>
      </c>
      <c r="I329" s="100" t="e">
        <f t="shared" ca="1" si="45"/>
        <v>#NAME?</v>
      </c>
      <c r="J329" s="100" t="e">
        <f ca="1">IFERROR(__xludf.DUMMYFUNCTION("""COMPUTED_VALUE"""),"-0.1")</f>
        <v>#NAME?</v>
      </c>
      <c r="K329" s="100" t="e">
        <f t="shared" ca="1" si="46"/>
        <v>#NAME?</v>
      </c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</row>
    <row r="330" spans="1:26">
      <c r="A330" s="100" t="e">
        <f ca="1">IFERROR(__xludf.DUMMYFUNCTION("""COMPUTED_VALUE"""),12747447)</f>
        <v>#NAME?</v>
      </c>
      <c r="B330" s="100" t="e">
        <f ca="1">IFERROR(__xludf.DUMMYFUNCTION("""COMPUTED_VALUE"""),"USDRUSDT")</f>
        <v>#NAME?</v>
      </c>
      <c r="C330" s="100" t="e">
        <f ca="1">IFERROR(__xludf.DUMMYFUNCTION("""COMPUTED_VALUE"""),"1.0198")</f>
        <v>#NAME?</v>
      </c>
      <c r="D330" s="100" t="e">
        <f t="shared" ca="1" si="41"/>
        <v>#NAME?</v>
      </c>
      <c r="E330" s="100" t="e">
        <f t="shared" ca="1" si="41"/>
        <v>#NAME?</v>
      </c>
      <c r="F330" s="100" t="e">
        <f t="shared" ca="1" si="42"/>
        <v>#NAME?</v>
      </c>
      <c r="G330" s="100" t="e">
        <f t="shared" ca="1" si="43"/>
        <v>#NAME?</v>
      </c>
      <c r="H330" s="100" t="e">
        <f t="shared" ca="1" si="44"/>
        <v>#NAME?</v>
      </c>
      <c r="I330" s="100" t="e">
        <f t="shared" ca="1" si="45"/>
        <v>#NAME?</v>
      </c>
      <c r="J330" s="100" t="e">
        <f ca="1">IFERROR(__xludf.DUMMYFUNCTION("""COMPUTED_VALUE"""),"-0.01")</f>
        <v>#NAME?</v>
      </c>
      <c r="K330" s="100" t="e">
        <f t="shared" ca="1" si="46"/>
        <v>#NAME?</v>
      </c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</row>
    <row r="331" spans="1:26">
      <c r="A331" s="100" t="e">
        <f ca="1">IFERROR(__xludf.DUMMYFUNCTION("""COMPUTED_VALUE"""),12747448)</f>
        <v>#NAME?</v>
      </c>
      <c r="B331" s="100" t="e">
        <f ca="1">IFERROR(__xludf.DUMMYFUNCTION("""COMPUTED_VALUE"""),"COOKIEUSDT")</f>
        <v>#NAME?</v>
      </c>
      <c r="C331" s="100" t="e">
        <f ca="1">IFERROR(__xludf.DUMMYFUNCTION("""COMPUTED_VALUE"""),"0.0998")</f>
        <v>#NAME?</v>
      </c>
      <c r="D331" s="100" t="e">
        <f t="shared" ca="1" si="41"/>
        <v>#NAME?</v>
      </c>
      <c r="E331" s="100" t="e">
        <f t="shared" ca="1" si="41"/>
        <v>#NAME?</v>
      </c>
      <c r="F331" s="100" t="e">
        <f t="shared" ca="1" si="42"/>
        <v>#NAME?</v>
      </c>
      <c r="G331" s="100" t="e">
        <f t="shared" ca="1" si="43"/>
        <v>#NAME?</v>
      </c>
      <c r="H331" s="100" t="e">
        <f t="shared" ca="1" si="44"/>
        <v>#NAME?</v>
      </c>
      <c r="I331" s="100" t="e">
        <f t="shared" ca="1" si="45"/>
        <v>#NAME?</v>
      </c>
      <c r="J331" s="100" t="e">
        <f ca="1">IFERROR(__xludf.DUMMYFUNCTION("""COMPUTED_VALUE"""),"-1.09")</f>
        <v>#NAME?</v>
      </c>
      <c r="K331" s="100" t="e">
        <f t="shared" ca="1" si="46"/>
        <v>#NAME?</v>
      </c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</row>
    <row r="332" spans="1:26">
      <c r="A332" s="100" t="e">
        <f ca="1">IFERROR(__xludf.DUMMYFUNCTION("""COMPUTED_VALUE"""),12747449)</f>
        <v>#NAME?</v>
      </c>
      <c r="B332" s="100" t="e">
        <f ca="1">IFERROR(__xludf.DUMMYFUNCTION("""COMPUTED_VALUE"""),"SHIBEUR")</f>
        <v>#NAME?</v>
      </c>
      <c r="C332" s="100" t="e">
        <f ca="1">IFERROR(__xludf.DUMMYFUNCTION("""COMPUTED_VALUE"""),"0.00001091")</f>
        <v>#NAME?</v>
      </c>
      <c r="D332" s="100" t="e">
        <f t="shared" ca="1" si="41"/>
        <v>#NAME?</v>
      </c>
      <c r="E332" s="100" t="e">
        <f t="shared" ca="1" si="41"/>
        <v>#NAME?</v>
      </c>
      <c r="F332" s="100" t="e">
        <f t="shared" ca="1" si="42"/>
        <v>#NAME?</v>
      </c>
      <c r="G332" s="100" t="e">
        <f t="shared" ca="1" si="43"/>
        <v>#NAME?</v>
      </c>
      <c r="H332" s="100" t="e">
        <f t="shared" ca="1" si="44"/>
        <v>#NAME?</v>
      </c>
      <c r="I332" s="100" t="e">
        <f t="shared" ca="1" si="45"/>
        <v>#NAME?</v>
      </c>
      <c r="J332" s="100" t="e">
        <f ca="1">IFERROR(__xludf.DUMMYFUNCTION("""COMPUTED_VALUE"""),"-0.27")</f>
        <v>#NAME?</v>
      </c>
      <c r="K332" s="100" t="e">
        <f t="shared" ca="1" si="46"/>
        <v>#NAME?</v>
      </c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</row>
    <row r="333" spans="1:26">
      <c r="A333" s="100" t="e">
        <f ca="1">IFERROR(__xludf.DUMMYFUNCTION("""COMPUTED_VALUE"""),12747450)</f>
        <v>#NAME?</v>
      </c>
      <c r="B333" s="100" t="e">
        <f ca="1">IFERROR(__xludf.DUMMYFUNCTION("""COMPUTED_VALUE"""),"L3USDT")</f>
        <v>#NAME?</v>
      </c>
      <c r="C333" s="100" t="e">
        <f ca="1">IFERROR(__xludf.DUMMYFUNCTION("""COMPUTED_VALUE"""),"0.06327")</f>
        <v>#NAME?</v>
      </c>
      <c r="D333" s="100" t="e">
        <f t="shared" ca="1" si="41"/>
        <v>#NAME?</v>
      </c>
      <c r="E333" s="100" t="e">
        <f t="shared" ca="1" si="41"/>
        <v>#NAME?</v>
      </c>
      <c r="F333" s="100" t="e">
        <f t="shared" ca="1" si="42"/>
        <v>#NAME?</v>
      </c>
      <c r="G333" s="100" t="e">
        <f t="shared" ca="1" si="43"/>
        <v>#NAME?</v>
      </c>
      <c r="H333" s="100" t="e">
        <f t="shared" ca="1" si="44"/>
        <v>#NAME?</v>
      </c>
      <c r="I333" s="100" t="e">
        <f t="shared" ca="1" si="45"/>
        <v>#NAME?</v>
      </c>
      <c r="J333" s="100" t="e">
        <f ca="1">IFERROR(__xludf.DUMMYFUNCTION("""COMPUTED_VALUE"""),"-5.0")</f>
        <v>#NAME?</v>
      </c>
      <c r="K333" s="100" t="e">
        <f t="shared" ca="1" si="46"/>
        <v>#NAME?</v>
      </c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</row>
    <row r="334" spans="1:26">
      <c r="A334" s="100" t="e">
        <f ca="1">IFERROR(__xludf.DUMMYFUNCTION("""COMPUTED_VALUE"""),12747451)</f>
        <v>#NAME?</v>
      </c>
      <c r="B334" s="100" t="e">
        <f ca="1">IFERROR(__xludf.DUMMYFUNCTION("""COMPUTED_VALUE"""),"RENDERUSDT")</f>
        <v>#NAME?</v>
      </c>
      <c r="C334" s="100" t="e">
        <f ca="1">IFERROR(__xludf.DUMMYFUNCTION("""COMPUTED_VALUE"""),"4.387")</f>
        <v>#NAME?</v>
      </c>
      <c r="D334" s="100" t="e">
        <f t="shared" ca="1" si="41"/>
        <v>#NAME?</v>
      </c>
      <c r="E334" s="100" t="e">
        <f t="shared" ca="1" si="41"/>
        <v>#NAME?</v>
      </c>
      <c r="F334" s="100" t="e">
        <f t="shared" ca="1" si="42"/>
        <v>#NAME?</v>
      </c>
      <c r="G334" s="100" t="e">
        <f t="shared" ca="1" si="43"/>
        <v>#NAME?</v>
      </c>
      <c r="H334" s="100" t="e">
        <f t="shared" ca="1" si="44"/>
        <v>#NAME?</v>
      </c>
      <c r="I334" s="100" t="e">
        <f t="shared" ca="1" si="45"/>
        <v>#NAME?</v>
      </c>
      <c r="J334" s="100" t="e">
        <f ca="1">IFERROR(__xludf.DUMMYFUNCTION("""COMPUTED_VALUE"""),"-1.6400000000000001")</f>
        <v>#NAME?</v>
      </c>
      <c r="K334" s="100" t="e">
        <f t="shared" ca="1" si="46"/>
        <v>#NAME?</v>
      </c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</row>
    <row r="335" spans="1:26">
      <c r="A335" s="100" t="e">
        <f ca="1">IFERROR(__xludf.DUMMYFUNCTION("""COMPUTED_VALUE"""),12747452)</f>
        <v>#NAME?</v>
      </c>
      <c r="B335" s="100" t="e">
        <f ca="1">IFERROR(__xludf.DUMMYFUNCTION("""COMPUTED_VALUE"""),"VIRTUALUSDT")</f>
        <v>#NAME?</v>
      </c>
      <c r="C335" s="100" t="e">
        <f ca="1">IFERROR(__xludf.DUMMYFUNCTION("""COMPUTED_VALUE"""),"0.5779")</f>
        <v>#NAME?</v>
      </c>
      <c r="D335" s="100" t="e">
        <f t="shared" ca="1" si="41"/>
        <v>#NAME?</v>
      </c>
      <c r="E335" s="100" t="e">
        <f t="shared" ca="1" si="41"/>
        <v>#NAME?</v>
      </c>
      <c r="F335" s="100" t="e">
        <f t="shared" ca="1" si="42"/>
        <v>#NAME?</v>
      </c>
      <c r="G335" s="100" t="e">
        <f t="shared" ca="1" si="43"/>
        <v>#NAME?</v>
      </c>
      <c r="H335" s="100" t="e">
        <f t="shared" ca="1" si="44"/>
        <v>#NAME?</v>
      </c>
      <c r="I335" s="100" t="e">
        <f t="shared" ca="1" si="45"/>
        <v>#NAME?</v>
      </c>
      <c r="J335" s="100" t="e">
        <f ca="1">IFERROR(__xludf.DUMMYFUNCTION("""COMPUTED_VALUE"""),"-1.38")</f>
        <v>#NAME?</v>
      </c>
      <c r="K335" s="100" t="e">
        <f t="shared" ca="1" si="46"/>
        <v>#NAME?</v>
      </c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</row>
    <row r="336" spans="1:26">
      <c r="A336" s="100" t="e">
        <f ca="1">IFERROR(__xludf.DUMMYFUNCTION("""COMPUTED_VALUE"""),12747453)</f>
        <v>#NAME?</v>
      </c>
      <c r="B336" s="100" t="e">
        <f ca="1">IFERROR(__xludf.DUMMYFUNCTION("""COMPUTED_VALUE"""),"ARTYUSDT")</f>
        <v>#NAME?</v>
      </c>
      <c r="C336" s="100" t="e">
        <f ca="1">IFERROR(__xludf.DUMMYFUNCTION("""COMPUTED_VALUE"""),"0.2438")</f>
        <v>#NAME?</v>
      </c>
      <c r="D336" s="100" t="e">
        <f t="shared" ca="1" si="41"/>
        <v>#NAME?</v>
      </c>
      <c r="E336" s="100" t="e">
        <f t="shared" ca="1" si="41"/>
        <v>#NAME?</v>
      </c>
      <c r="F336" s="100" t="e">
        <f t="shared" ca="1" si="42"/>
        <v>#NAME?</v>
      </c>
      <c r="G336" s="100" t="e">
        <f t="shared" ca="1" si="43"/>
        <v>#NAME?</v>
      </c>
      <c r="H336" s="100" t="e">
        <f t="shared" ca="1" si="44"/>
        <v>#NAME?</v>
      </c>
      <c r="I336" s="100" t="e">
        <f t="shared" ca="1" si="45"/>
        <v>#NAME?</v>
      </c>
      <c r="J336" s="100" t="e">
        <f ca="1">IFERROR(__xludf.DUMMYFUNCTION("""COMPUTED_VALUE"""),"-0.53")</f>
        <v>#NAME?</v>
      </c>
      <c r="K336" s="100" t="e">
        <f t="shared" ca="1" si="46"/>
        <v>#NAME?</v>
      </c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</row>
    <row r="337" spans="1:26">
      <c r="A337" s="100" t="e">
        <f ca="1">IFERROR(__xludf.DUMMYFUNCTION("""COMPUTED_VALUE"""),12747454)</f>
        <v>#NAME?</v>
      </c>
      <c r="B337" s="100" t="e">
        <f ca="1">IFERROR(__xludf.DUMMYFUNCTION("""COMPUTED_VALUE"""),"DIAMUSDT")</f>
        <v>#NAME?</v>
      </c>
      <c r="C337" s="100" t="e">
        <f ca="1">IFERROR(__xludf.DUMMYFUNCTION("""COMPUTED_VALUE"""),"0.00975")</f>
        <v>#NAME?</v>
      </c>
      <c r="D337" s="100" t="e">
        <f t="shared" ca="1" si="41"/>
        <v>#NAME?</v>
      </c>
      <c r="E337" s="100" t="e">
        <f t="shared" ca="1" si="41"/>
        <v>#NAME?</v>
      </c>
      <c r="F337" s="100" t="e">
        <f t="shared" ca="1" si="42"/>
        <v>#NAME?</v>
      </c>
      <c r="G337" s="100" t="e">
        <f t="shared" ca="1" si="43"/>
        <v>#NAME?</v>
      </c>
      <c r="H337" s="100" t="e">
        <f t="shared" ca="1" si="44"/>
        <v>#NAME?</v>
      </c>
      <c r="I337" s="100" t="e">
        <f t="shared" ca="1" si="45"/>
        <v>#NAME?</v>
      </c>
      <c r="J337" s="100" t="e">
        <f ca="1">IFERROR(__xludf.DUMMYFUNCTION("""COMPUTED_VALUE"""),"-0.51")</f>
        <v>#NAME?</v>
      </c>
      <c r="K337" s="100" t="e">
        <f t="shared" ca="1" si="46"/>
        <v>#NAME?</v>
      </c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</row>
    <row r="338" spans="1:26">
      <c r="A338" s="100" t="e">
        <f ca="1">IFERROR(__xludf.DUMMYFUNCTION("""COMPUTED_VALUE"""),12747455)</f>
        <v>#NAME?</v>
      </c>
      <c r="B338" s="100" t="e">
        <f ca="1">IFERROR(__xludf.DUMMYFUNCTION("""COMPUTED_VALUE"""),"FLOKIUSDC")</f>
        <v>#NAME?</v>
      </c>
      <c r="C338" s="100" t="e">
        <f ca="1">IFERROR(__xludf.DUMMYFUNCTION("""COMPUTED_VALUE"""),"0.00005924")</f>
        <v>#NAME?</v>
      </c>
      <c r="D338" s="100" t="e">
        <f t="shared" ca="1" si="41"/>
        <v>#NAME?</v>
      </c>
      <c r="E338" s="100" t="e">
        <f t="shared" ca="1" si="41"/>
        <v>#NAME?</v>
      </c>
      <c r="F338" s="100" t="e">
        <f t="shared" ca="1" si="42"/>
        <v>#NAME?</v>
      </c>
      <c r="G338" s="100" t="e">
        <f t="shared" ca="1" si="43"/>
        <v>#NAME?</v>
      </c>
      <c r="H338" s="100" t="e">
        <f t="shared" ca="1" si="44"/>
        <v>#NAME?</v>
      </c>
      <c r="I338" s="100" t="e">
        <f t="shared" ca="1" si="45"/>
        <v>#NAME?</v>
      </c>
      <c r="J338" s="100" t="e">
        <f ca="1">IFERROR(__xludf.DUMMYFUNCTION("""COMPUTED_VALUE"""),"-0.75")</f>
        <v>#NAME?</v>
      </c>
      <c r="K338" s="100" t="e">
        <f t="shared" ca="1" si="46"/>
        <v>#NAME?</v>
      </c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</row>
    <row r="339" spans="1:26">
      <c r="A339" s="100" t="e">
        <f ca="1">IFERROR(__xludf.DUMMYFUNCTION("""COMPUTED_VALUE"""),12747456)</f>
        <v>#NAME?</v>
      </c>
      <c r="B339" s="100" t="e">
        <f ca="1">IFERROR(__xludf.DUMMYFUNCTION("""COMPUTED_VALUE"""),"SWELLUSDT")</f>
        <v>#NAME?</v>
      </c>
      <c r="C339" s="100" t="e">
        <f ca="1">IFERROR(__xludf.DUMMYFUNCTION("""COMPUTED_VALUE"""),"0.00873")</f>
        <v>#NAME?</v>
      </c>
      <c r="D339" s="100" t="e">
        <f t="shared" ca="1" si="41"/>
        <v>#NAME?</v>
      </c>
      <c r="E339" s="100" t="e">
        <f t="shared" ca="1" si="41"/>
        <v>#NAME?</v>
      </c>
      <c r="F339" s="100" t="e">
        <f t="shared" ca="1" si="42"/>
        <v>#NAME?</v>
      </c>
      <c r="G339" s="100" t="e">
        <f t="shared" ca="1" si="43"/>
        <v>#NAME?</v>
      </c>
      <c r="H339" s="100" t="e">
        <f t="shared" ca="1" si="44"/>
        <v>#NAME?</v>
      </c>
      <c r="I339" s="100" t="e">
        <f t="shared" ca="1" si="45"/>
        <v>#NAME?</v>
      </c>
      <c r="J339" s="100" t="e">
        <f ca="1">IFERROR(__xludf.DUMMYFUNCTION("""COMPUTED_VALUE"""),"-1.91")</f>
        <v>#NAME?</v>
      </c>
      <c r="K339" s="100" t="e">
        <f t="shared" ca="1" si="46"/>
        <v>#NAME?</v>
      </c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</row>
    <row r="340" spans="1:26">
      <c r="A340" s="100" t="e">
        <f ca="1">IFERROR(__xludf.DUMMYFUNCTION("""COMPUTED_VALUE"""),12747457)</f>
        <v>#NAME?</v>
      </c>
      <c r="B340" s="100" t="e">
        <f ca="1">IFERROR(__xludf.DUMMYFUNCTION("""COMPUTED_VALUE"""),"USDTPLN")</f>
        <v>#NAME?</v>
      </c>
      <c r="C340" s="100" t="e">
        <f ca="1">IFERROR(__xludf.DUMMYFUNCTION("""COMPUTED_VALUE"""),"3.726")</f>
        <v>#NAME?</v>
      </c>
      <c r="D340" s="100" t="e">
        <f t="shared" ca="1" si="41"/>
        <v>#NAME?</v>
      </c>
      <c r="E340" s="100" t="e">
        <f t="shared" ca="1" si="41"/>
        <v>#NAME?</v>
      </c>
      <c r="F340" s="100" t="e">
        <f t="shared" ca="1" si="42"/>
        <v>#NAME?</v>
      </c>
      <c r="G340" s="100" t="e">
        <f t="shared" ca="1" si="43"/>
        <v>#NAME?</v>
      </c>
      <c r="H340" s="100" t="e">
        <f t="shared" ca="1" si="44"/>
        <v>#NAME?</v>
      </c>
      <c r="I340" s="100" t="e">
        <f t="shared" ca="1" si="45"/>
        <v>#NAME?</v>
      </c>
      <c r="J340" s="100" t="e">
        <f ca="1">IFERROR(__xludf.DUMMYFUNCTION("""COMPUTED_VALUE"""),"0.32")</f>
        <v>#NAME?</v>
      </c>
      <c r="K340" s="100" t="e">
        <f t="shared" ca="1" si="46"/>
        <v>#NAME?</v>
      </c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</row>
    <row r="341" spans="1:26">
      <c r="A341" s="100" t="e">
        <f ca="1">IFERROR(__xludf.DUMMYFUNCTION("""COMPUTED_VALUE"""),12747458)</f>
        <v>#NAME?</v>
      </c>
      <c r="B341" s="100" t="e">
        <f ca="1">IFERROR(__xludf.DUMMYFUNCTION("""COMPUTED_VALUE"""),"PUMPUSDT")</f>
        <v>#NAME?</v>
      </c>
      <c r="C341" s="100" t="e">
        <f ca="1">IFERROR(__xludf.DUMMYFUNCTION("""COMPUTED_VALUE"""),"0.2082")</f>
        <v>#NAME?</v>
      </c>
      <c r="D341" s="100" t="e">
        <f t="shared" ca="1" si="41"/>
        <v>#NAME?</v>
      </c>
      <c r="E341" s="100" t="e">
        <f t="shared" ca="1" si="41"/>
        <v>#NAME?</v>
      </c>
      <c r="F341" s="100" t="e">
        <f t="shared" ca="1" si="42"/>
        <v>#NAME?</v>
      </c>
      <c r="G341" s="100" t="e">
        <f t="shared" ca="1" si="43"/>
        <v>#NAME?</v>
      </c>
      <c r="H341" s="100" t="e">
        <f t="shared" ca="1" si="44"/>
        <v>#NAME?</v>
      </c>
      <c r="I341" s="100" t="e">
        <f t="shared" ca="1" si="45"/>
        <v>#NAME?</v>
      </c>
      <c r="J341" s="100" t="e">
        <f ca="1">IFERROR(__xludf.DUMMYFUNCTION("""COMPUTED_VALUE"""),"24.43")</f>
        <v>#NAME?</v>
      </c>
      <c r="K341" s="100" t="e">
        <f t="shared" ca="1" si="46"/>
        <v>#NAME?</v>
      </c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</row>
    <row r="342" spans="1:26">
      <c r="A342" s="100" t="e">
        <f ca="1">IFERROR(__xludf.DUMMYFUNCTION("""COMPUTED_VALUE"""),12747459)</f>
        <v>#NAME?</v>
      </c>
      <c r="B342" s="100" t="e">
        <f ca="1">IFERROR(__xludf.DUMMYFUNCTION("""COMPUTED_VALUE"""),"DGBUSDT")</f>
        <v>#NAME?</v>
      </c>
      <c r="C342" s="100" t="e">
        <f ca="1">IFERROR(__xludf.DUMMYFUNCTION("""COMPUTED_VALUE"""),"0.010146")</f>
        <v>#NAME?</v>
      </c>
      <c r="D342" s="100" t="e">
        <f t="shared" ref="D342:E361" ca="1" si="47">IFERROR(__xludf.DUMMYFUNCTION("""COMPUTED_VALUE"""),"-")</f>
        <v>#NAME?</v>
      </c>
      <c r="E342" s="100" t="e">
        <f t="shared" ca="1" si="47"/>
        <v>#NAME?</v>
      </c>
      <c r="F342" s="100" t="e">
        <f t="shared" ca="1" si="42"/>
        <v>#NAME?</v>
      </c>
      <c r="G342" s="100" t="e">
        <f t="shared" ca="1" si="43"/>
        <v>#NAME?</v>
      </c>
      <c r="H342" s="100" t="e">
        <f t="shared" ca="1" si="44"/>
        <v>#NAME?</v>
      </c>
      <c r="I342" s="100" t="e">
        <f t="shared" ca="1" si="45"/>
        <v>#NAME?</v>
      </c>
      <c r="J342" s="100" t="e">
        <f ca="1">IFERROR(__xludf.DUMMYFUNCTION("""COMPUTED_VALUE"""),"1.0")</f>
        <v>#NAME?</v>
      </c>
      <c r="K342" s="100" t="e">
        <f t="shared" ca="1" si="46"/>
        <v>#NAME?</v>
      </c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</row>
    <row r="343" spans="1:26">
      <c r="A343" s="100" t="e">
        <f ca="1">IFERROR(__xludf.DUMMYFUNCTION("""COMPUTED_VALUE"""),12747460)</f>
        <v>#NAME?</v>
      </c>
      <c r="B343" s="100" t="e">
        <f ca="1">IFERROR(__xludf.DUMMYFUNCTION("""COMPUTED_VALUE"""),"VELARUSDT")</f>
        <v>#NAME?</v>
      </c>
      <c r="C343" s="100" t="e">
        <f ca="1">IFERROR(__xludf.DUMMYFUNCTION("""COMPUTED_VALUE"""),"0.0104")</f>
        <v>#NAME?</v>
      </c>
      <c r="D343" s="100" t="e">
        <f t="shared" ca="1" si="47"/>
        <v>#NAME?</v>
      </c>
      <c r="E343" s="100" t="e">
        <f t="shared" ca="1" si="47"/>
        <v>#NAME?</v>
      </c>
      <c r="F343" s="100" t="e">
        <f t="shared" ca="1" si="42"/>
        <v>#NAME?</v>
      </c>
      <c r="G343" s="100" t="e">
        <f t="shared" ca="1" si="43"/>
        <v>#NAME?</v>
      </c>
      <c r="H343" s="100" t="e">
        <f t="shared" ca="1" si="44"/>
        <v>#NAME?</v>
      </c>
      <c r="I343" s="100" t="e">
        <f t="shared" ca="1" si="45"/>
        <v>#NAME?</v>
      </c>
      <c r="J343" s="100" t="e">
        <f ca="1">IFERROR(__xludf.DUMMYFUNCTION("""COMPUTED_VALUE"""),"-6.140000000000001")</f>
        <v>#NAME?</v>
      </c>
      <c r="K343" s="100" t="e">
        <f t="shared" ca="1" si="46"/>
        <v>#NAME?</v>
      </c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</row>
    <row r="344" spans="1:26">
      <c r="A344" s="100" t="e">
        <f ca="1">IFERROR(__xludf.DUMMYFUNCTION("""COMPUTED_VALUE"""),12747461)</f>
        <v>#NAME?</v>
      </c>
      <c r="B344" s="100" t="e">
        <f ca="1">IFERROR(__xludf.DUMMYFUNCTION("""COMPUTED_VALUE"""),"TOSHIUSDT")</f>
        <v>#NAME?</v>
      </c>
      <c r="C344" s="100" t="e">
        <f ca="1">IFERROR(__xludf.DUMMYFUNCTION("""COMPUTED_VALUE"""),"0.00034931")</f>
        <v>#NAME?</v>
      </c>
      <c r="D344" s="100" t="e">
        <f t="shared" ca="1" si="47"/>
        <v>#NAME?</v>
      </c>
      <c r="E344" s="100" t="e">
        <f t="shared" ca="1" si="47"/>
        <v>#NAME?</v>
      </c>
      <c r="F344" s="100" t="e">
        <f t="shared" ca="1" si="42"/>
        <v>#NAME?</v>
      </c>
      <c r="G344" s="100" t="e">
        <f t="shared" ca="1" si="43"/>
        <v>#NAME?</v>
      </c>
      <c r="H344" s="100" t="e">
        <f t="shared" ca="1" si="44"/>
        <v>#NAME?</v>
      </c>
      <c r="I344" s="100" t="e">
        <f t="shared" ca="1" si="45"/>
        <v>#NAME?</v>
      </c>
      <c r="J344" s="100" t="e">
        <f ca="1">IFERROR(__xludf.DUMMYFUNCTION("""COMPUTED_VALUE"""),"3.64")</f>
        <v>#NAME?</v>
      </c>
      <c r="K344" s="100" t="e">
        <f t="shared" ca="1" si="46"/>
        <v>#NAME?</v>
      </c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</row>
    <row r="345" spans="1:26">
      <c r="A345" s="100" t="e">
        <f ca="1">IFERROR(__xludf.DUMMYFUNCTION("""COMPUTED_VALUE"""),12747462)</f>
        <v>#NAME?</v>
      </c>
      <c r="B345" s="100" t="e">
        <f ca="1">IFERROR(__xludf.DUMMYFUNCTION("""COMPUTED_VALUE"""),"DYMUSDT")</f>
        <v>#NAME?</v>
      </c>
      <c r="C345" s="100" t="e">
        <f ca="1">IFERROR(__xludf.DUMMYFUNCTION("""COMPUTED_VALUE"""),"0.2759")</f>
        <v>#NAME?</v>
      </c>
      <c r="D345" s="100" t="e">
        <f t="shared" ca="1" si="47"/>
        <v>#NAME?</v>
      </c>
      <c r="E345" s="100" t="e">
        <f t="shared" ca="1" si="47"/>
        <v>#NAME?</v>
      </c>
      <c r="F345" s="100" t="e">
        <f t="shared" ca="1" si="42"/>
        <v>#NAME?</v>
      </c>
      <c r="G345" s="100" t="e">
        <f t="shared" ca="1" si="43"/>
        <v>#NAME?</v>
      </c>
      <c r="H345" s="100" t="e">
        <f t="shared" ca="1" si="44"/>
        <v>#NAME?</v>
      </c>
      <c r="I345" s="100" t="e">
        <f t="shared" ca="1" si="45"/>
        <v>#NAME?</v>
      </c>
      <c r="J345" s="100" t="e">
        <f ca="1">IFERROR(__xludf.DUMMYFUNCTION("""COMPUTED_VALUE"""),"-4.5")</f>
        <v>#NAME?</v>
      </c>
      <c r="K345" s="100" t="e">
        <f t="shared" ca="1" si="46"/>
        <v>#NAME?</v>
      </c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</row>
    <row r="346" spans="1:26">
      <c r="A346" s="100" t="e">
        <f ca="1">IFERROR(__xludf.DUMMYFUNCTION("""COMPUTED_VALUE"""),12747463)</f>
        <v>#NAME?</v>
      </c>
      <c r="B346" s="100" t="e">
        <f ca="1">IFERROR(__xludf.DUMMYFUNCTION("""COMPUTED_VALUE"""),"ZKJUSDT")</f>
        <v>#NAME?</v>
      </c>
      <c r="C346" s="100" t="e">
        <f ca="1">IFERROR(__xludf.DUMMYFUNCTION("""COMPUTED_VALUE"""),"2.1974")</f>
        <v>#NAME?</v>
      </c>
      <c r="D346" s="100" t="e">
        <f t="shared" ca="1" si="47"/>
        <v>#NAME?</v>
      </c>
      <c r="E346" s="100" t="e">
        <f t="shared" ca="1" si="47"/>
        <v>#NAME?</v>
      </c>
      <c r="F346" s="100" t="e">
        <f t="shared" ca="1" si="42"/>
        <v>#NAME?</v>
      </c>
      <c r="G346" s="100" t="e">
        <f t="shared" ca="1" si="43"/>
        <v>#NAME?</v>
      </c>
      <c r="H346" s="100" t="e">
        <f t="shared" ca="1" si="44"/>
        <v>#NAME?</v>
      </c>
      <c r="I346" s="100" t="e">
        <f t="shared" ca="1" si="45"/>
        <v>#NAME?</v>
      </c>
      <c r="J346" s="100" t="e">
        <f ca="1">IFERROR(__xludf.DUMMYFUNCTION("""COMPUTED_VALUE"""),"-0.33999999999999997")</f>
        <v>#NAME?</v>
      </c>
      <c r="K346" s="100" t="e">
        <f t="shared" ca="1" si="46"/>
        <v>#NAME?</v>
      </c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</row>
    <row r="347" spans="1:26">
      <c r="A347" s="100" t="e">
        <f ca="1">IFERROR(__xludf.DUMMYFUNCTION("""COMPUTED_VALUE"""),12747464)</f>
        <v>#NAME?</v>
      </c>
      <c r="B347" s="100" t="e">
        <f ca="1">IFERROR(__xludf.DUMMYFUNCTION("""COMPUTED_VALUE"""),"ALGOUSDT")</f>
        <v>#NAME?</v>
      </c>
      <c r="C347" s="100" t="e">
        <f ca="1">IFERROR(__xludf.DUMMYFUNCTION("""COMPUTED_VALUE"""),"0.1931")</f>
        <v>#NAME?</v>
      </c>
      <c r="D347" s="100" t="e">
        <f t="shared" ca="1" si="47"/>
        <v>#NAME?</v>
      </c>
      <c r="E347" s="100" t="e">
        <f t="shared" ca="1" si="47"/>
        <v>#NAME?</v>
      </c>
      <c r="F347" s="100" t="e">
        <f t="shared" ca="1" si="42"/>
        <v>#NAME?</v>
      </c>
      <c r="G347" s="100" t="e">
        <f t="shared" ca="1" si="43"/>
        <v>#NAME?</v>
      </c>
      <c r="H347" s="100" t="e">
        <f t="shared" ca="1" si="44"/>
        <v>#NAME?</v>
      </c>
      <c r="I347" s="100" t="e">
        <f t="shared" ca="1" si="45"/>
        <v>#NAME?</v>
      </c>
      <c r="J347" s="100" t="e">
        <f ca="1">IFERROR(__xludf.DUMMYFUNCTION("""COMPUTED_VALUE"""),"-3.93")</f>
        <v>#NAME?</v>
      </c>
      <c r="K347" s="100" t="e">
        <f t="shared" ca="1" si="46"/>
        <v>#NAME?</v>
      </c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</row>
    <row r="348" spans="1:26">
      <c r="A348" s="100" t="e">
        <f ca="1">IFERROR(__xludf.DUMMYFUNCTION("""COMPUTED_VALUE"""),12747465)</f>
        <v>#NAME?</v>
      </c>
      <c r="B348" s="100" t="e">
        <f ca="1">IFERROR(__xludf.DUMMYFUNCTION("""COMPUTED_VALUE"""),"ALGOBTC")</f>
        <v>#NAME?</v>
      </c>
      <c r="C348" s="100" t="e">
        <f ca="1">IFERROR(__xludf.DUMMYFUNCTION("""COMPUTED_VALUE"""),"0.000002194")</f>
        <v>#NAME?</v>
      </c>
      <c r="D348" s="100" t="e">
        <f t="shared" ca="1" si="47"/>
        <v>#NAME?</v>
      </c>
      <c r="E348" s="100" t="e">
        <f t="shared" ca="1" si="47"/>
        <v>#NAME?</v>
      </c>
      <c r="F348" s="100" t="e">
        <f t="shared" ca="1" si="42"/>
        <v>#NAME?</v>
      </c>
      <c r="G348" s="100" t="e">
        <f t="shared" ca="1" si="43"/>
        <v>#NAME?</v>
      </c>
      <c r="H348" s="100" t="e">
        <f t="shared" ca="1" si="44"/>
        <v>#NAME?</v>
      </c>
      <c r="I348" s="100" t="e">
        <f t="shared" ca="1" si="45"/>
        <v>#NAME?</v>
      </c>
      <c r="J348" s="100" t="e">
        <f ca="1">IFERROR(__xludf.DUMMYFUNCTION("""COMPUTED_VALUE"""),"-5.3100000000000005")</f>
        <v>#NAME?</v>
      </c>
      <c r="K348" s="100" t="e">
        <f t="shared" ca="1" si="46"/>
        <v>#NAME?</v>
      </c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</row>
    <row r="349" spans="1:26">
      <c r="A349" s="100" t="e">
        <f ca="1">IFERROR(__xludf.DUMMYFUNCTION("""COMPUTED_VALUE"""),12747466)</f>
        <v>#NAME?</v>
      </c>
      <c r="B349" s="100" t="e">
        <f ca="1">IFERROR(__xludf.DUMMYFUNCTION("""COMPUTED_VALUE"""),"FLRUSDT")</f>
        <v>#NAME?</v>
      </c>
      <c r="C349" s="100" t="e">
        <f ca="1">IFERROR(__xludf.DUMMYFUNCTION("""COMPUTED_VALUE"""),"0.01614")</f>
        <v>#NAME?</v>
      </c>
      <c r="D349" s="100" t="e">
        <f t="shared" ca="1" si="47"/>
        <v>#NAME?</v>
      </c>
      <c r="E349" s="100" t="e">
        <f t="shared" ca="1" si="47"/>
        <v>#NAME?</v>
      </c>
      <c r="F349" s="100" t="e">
        <f t="shared" ca="1" si="42"/>
        <v>#NAME?</v>
      </c>
      <c r="G349" s="100" t="e">
        <f t="shared" ca="1" si="43"/>
        <v>#NAME?</v>
      </c>
      <c r="H349" s="100" t="e">
        <f t="shared" ca="1" si="44"/>
        <v>#NAME?</v>
      </c>
      <c r="I349" s="100" t="e">
        <f t="shared" ca="1" si="45"/>
        <v>#NAME?</v>
      </c>
      <c r="J349" s="100" t="e">
        <f ca="1">IFERROR(__xludf.DUMMYFUNCTION("""COMPUTED_VALUE"""),"-1.28")</f>
        <v>#NAME?</v>
      </c>
      <c r="K349" s="100" t="e">
        <f t="shared" ca="1" si="46"/>
        <v>#NAME?</v>
      </c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</row>
    <row r="350" spans="1:26">
      <c r="A350" s="100" t="e">
        <f ca="1">IFERROR(__xludf.DUMMYFUNCTION("""COMPUTED_VALUE"""),12747467)</f>
        <v>#NAME?</v>
      </c>
      <c r="B350" s="100" t="e">
        <f ca="1">IFERROR(__xludf.DUMMYFUNCTION("""COMPUTED_VALUE"""),"SCUSDT")</f>
        <v>#NAME?</v>
      </c>
      <c r="C350" s="100" t="e">
        <f ca="1">IFERROR(__xludf.DUMMYFUNCTION("""COMPUTED_VALUE"""),"0.003323")</f>
        <v>#NAME?</v>
      </c>
      <c r="D350" s="100" t="e">
        <f t="shared" ca="1" si="47"/>
        <v>#NAME?</v>
      </c>
      <c r="E350" s="100" t="e">
        <f t="shared" ca="1" si="47"/>
        <v>#NAME?</v>
      </c>
      <c r="F350" s="100" t="e">
        <f t="shared" ca="1" si="42"/>
        <v>#NAME?</v>
      </c>
      <c r="G350" s="100" t="e">
        <f t="shared" ca="1" si="43"/>
        <v>#NAME?</v>
      </c>
      <c r="H350" s="100" t="e">
        <f t="shared" ca="1" si="44"/>
        <v>#NAME?</v>
      </c>
      <c r="I350" s="100" t="e">
        <f t="shared" ca="1" si="45"/>
        <v>#NAME?</v>
      </c>
      <c r="J350" s="100" t="e">
        <f ca="1">IFERROR(__xludf.DUMMYFUNCTION("""COMPUTED_VALUE"""),"-1.28")</f>
        <v>#NAME?</v>
      </c>
      <c r="K350" s="100" t="e">
        <f t="shared" ca="1" si="46"/>
        <v>#NAME?</v>
      </c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</row>
    <row r="351" spans="1:26">
      <c r="A351" s="100" t="e">
        <f ca="1">IFERROR(__xludf.DUMMYFUNCTION("""COMPUTED_VALUE"""),12747468)</f>
        <v>#NAME?</v>
      </c>
      <c r="B351" s="100" t="e">
        <f ca="1">IFERROR(__xludf.DUMMYFUNCTION("""COMPUTED_VALUE"""),"ETHDAI")</f>
        <v>#NAME?</v>
      </c>
      <c r="C351" s="100" t="e">
        <f ca="1">IFERROR(__xludf.DUMMYFUNCTION("""COMPUTED_VALUE"""),"1637.12")</f>
        <v>#NAME?</v>
      </c>
      <c r="D351" s="100" t="e">
        <f t="shared" ca="1" si="47"/>
        <v>#NAME?</v>
      </c>
      <c r="E351" s="100" t="e">
        <f t="shared" ca="1" si="47"/>
        <v>#NAME?</v>
      </c>
      <c r="F351" s="100" t="e">
        <f t="shared" ca="1" si="42"/>
        <v>#NAME?</v>
      </c>
      <c r="G351" s="100" t="e">
        <f t="shared" ca="1" si="43"/>
        <v>#NAME?</v>
      </c>
      <c r="H351" s="100" t="e">
        <f t="shared" ca="1" si="44"/>
        <v>#NAME?</v>
      </c>
      <c r="I351" s="100" t="e">
        <f t="shared" ca="1" si="45"/>
        <v>#NAME?</v>
      </c>
      <c r="J351" s="100" t="e">
        <f ca="1">IFERROR(__xludf.DUMMYFUNCTION("""COMPUTED_VALUE"""),"-0.22")</f>
        <v>#NAME?</v>
      </c>
      <c r="K351" s="100" t="e">
        <f t="shared" ca="1" si="46"/>
        <v>#NAME?</v>
      </c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</row>
    <row r="352" spans="1:26">
      <c r="A352" s="100" t="e">
        <f ca="1">IFERROR(__xludf.DUMMYFUNCTION("""COMPUTED_VALUE"""),12747469)</f>
        <v>#NAME?</v>
      </c>
      <c r="B352" s="100" t="e">
        <f ca="1">IFERROR(__xludf.DUMMYFUNCTION("""COMPUTED_VALUE"""),"WEETHETH")</f>
        <v>#NAME?</v>
      </c>
      <c r="C352" s="100" t="e">
        <f ca="1">IFERROR(__xludf.DUMMYFUNCTION("""COMPUTED_VALUE"""),"1.062")</f>
        <v>#NAME?</v>
      </c>
      <c r="D352" s="100" t="e">
        <f t="shared" ca="1" si="47"/>
        <v>#NAME?</v>
      </c>
      <c r="E352" s="100" t="e">
        <f t="shared" ca="1" si="47"/>
        <v>#NAME?</v>
      </c>
      <c r="F352" s="100" t="e">
        <f t="shared" ca="1" si="42"/>
        <v>#NAME?</v>
      </c>
      <c r="G352" s="100" t="e">
        <f t="shared" ca="1" si="43"/>
        <v>#NAME?</v>
      </c>
      <c r="H352" s="100" t="e">
        <f t="shared" ca="1" si="44"/>
        <v>#NAME?</v>
      </c>
      <c r="I352" s="100" t="e">
        <f t="shared" ca="1" si="45"/>
        <v>#NAME?</v>
      </c>
      <c r="J352" s="100" t="e">
        <f ca="1">IFERROR(__xludf.DUMMYFUNCTION("""COMPUTED_VALUE"""),"0.02")</f>
        <v>#NAME?</v>
      </c>
      <c r="K352" s="100" t="e">
        <f t="shared" ca="1" si="46"/>
        <v>#NAME?</v>
      </c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</row>
    <row r="353" spans="1:26">
      <c r="A353" s="100" t="e">
        <f ca="1">IFERROR(__xludf.DUMMYFUNCTION("""COMPUTED_VALUE"""),12747470)</f>
        <v>#NAME?</v>
      </c>
      <c r="B353" s="100" t="e">
        <f ca="1">IFERROR(__xludf.DUMMYFUNCTION("""COMPUTED_VALUE"""),"SOLVUSDT")</f>
        <v>#NAME?</v>
      </c>
      <c r="C353" s="100" t="e">
        <f ca="1">IFERROR(__xludf.DUMMYFUNCTION("""COMPUTED_VALUE"""),"0.02717")</f>
        <v>#NAME?</v>
      </c>
      <c r="D353" s="100" t="e">
        <f t="shared" ca="1" si="47"/>
        <v>#NAME?</v>
      </c>
      <c r="E353" s="100" t="e">
        <f t="shared" ca="1" si="47"/>
        <v>#NAME?</v>
      </c>
      <c r="F353" s="100" t="e">
        <f t="shared" ca="1" si="42"/>
        <v>#NAME?</v>
      </c>
      <c r="G353" s="100" t="e">
        <f t="shared" ca="1" si="43"/>
        <v>#NAME?</v>
      </c>
      <c r="H353" s="100" t="e">
        <f t="shared" ca="1" si="44"/>
        <v>#NAME?</v>
      </c>
      <c r="I353" s="100" t="e">
        <f t="shared" ca="1" si="45"/>
        <v>#NAME?</v>
      </c>
      <c r="J353" s="100" t="e">
        <f ca="1">IFERROR(__xludf.DUMMYFUNCTION("""COMPUTED_VALUE"""),"-2.65")</f>
        <v>#NAME?</v>
      </c>
      <c r="K353" s="100" t="e">
        <f t="shared" ca="1" si="46"/>
        <v>#NAME?</v>
      </c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</row>
    <row r="354" spans="1:26">
      <c r="A354" s="100" t="e">
        <f ca="1">IFERROR(__xludf.DUMMYFUNCTION("""COMPUTED_VALUE"""),12747471)</f>
        <v>#NAME?</v>
      </c>
      <c r="B354" s="100" t="e">
        <f ca="1">IFERROR(__xludf.DUMMYFUNCTION("""COMPUTED_VALUE"""),"TUSDUSDT")</f>
        <v>#NAME?</v>
      </c>
      <c r="C354" s="100" t="e">
        <f ca="1">IFERROR(__xludf.DUMMYFUNCTION("""COMPUTED_VALUE"""),"0.9982")</f>
        <v>#NAME?</v>
      </c>
      <c r="D354" s="100" t="e">
        <f t="shared" ca="1" si="47"/>
        <v>#NAME?</v>
      </c>
      <c r="E354" s="100" t="e">
        <f t="shared" ca="1" si="47"/>
        <v>#NAME?</v>
      </c>
      <c r="F354" s="100" t="e">
        <f t="shared" ca="1" si="42"/>
        <v>#NAME?</v>
      </c>
      <c r="G354" s="100" t="e">
        <f t="shared" ca="1" si="43"/>
        <v>#NAME?</v>
      </c>
      <c r="H354" s="100" t="e">
        <f t="shared" ca="1" si="44"/>
        <v>#NAME?</v>
      </c>
      <c r="I354" s="100" t="e">
        <f t="shared" ca="1" si="45"/>
        <v>#NAME?</v>
      </c>
      <c r="J354" s="100" t="e">
        <f ca="1">IFERROR(__xludf.DUMMYFUNCTION("""COMPUTED_VALUE"""),"-0.01")</f>
        <v>#NAME?</v>
      </c>
      <c r="K354" s="100" t="e">
        <f t="shared" ca="1" si="46"/>
        <v>#NAME?</v>
      </c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</row>
    <row r="355" spans="1:26">
      <c r="A355" s="100" t="e">
        <f ca="1">IFERROR(__xludf.DUMMYFUNCTION("""COMPUTED_VALUE"""),12747472)</f>
        <v>#NAME?</v>
      </c>
      <c r="B355" s="100" t="e">
        <f ca="1">IFERROR(__xludf.DUMMYFUNCTION("""COMPUTED_VALUE"""),"SOLUSDE")</f>
        <v>#NAME?</v>
      </c>
      <c r="C355" s="100" t="e">
        <f ca="1">IFERROR(__xludf.DUMMYFUNCTION("""COMPUTED_VALUE"""),"139.84")</f>
        <v>#NAME?</v>
      </c>
      <c r="D355" s="100" t="e">
        <f t="shared" ca="1" si="47"/>
        <v>#NAME?</v>
      </c>
      <c r="E355" s="100" t="e">
        <f t="shared" ca="1" si="47"/>
        <v>#NAME?</v>
      </c>
      <c r="F355" s="100" t="e">
        <f t="shared" ca="1" si="42"/>
        <v>#NAME?</v>
      </c>
      <c r="G355" s="100" t="e">
        <f t="shared" ca="1" si="43"/>
        <v>#NAME?</v>
      </c>
      <c r="H355" s="100" t="e">
        <f t="shared" ca="1" si="44"/>
        <v>#NAME?</v>
      </c>
      <c r="I355" s="100" t="e">
        <f t="shared" ca="1" si="45"/>
        <v>#NAME?</v>
      </c>
      <c r="J355" s="100" t="e">
        <f ca="1">IFERROR(__xludf.DUMMYFUNCTION("""COMPUTED_VALUE"""),"-0.11")</f>
        <v>#NAME?</v>
      </c>
      <c r="K355" s="100" t="e">
        <f t="shared" ca="1" si="46"/>
        <v>#NAME?</v>
      </c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</row>
    <row r="356" spans="1:26">
      <c r="A356" s="100" t="e">
        <f ca="1">IFERROR(__xludf.DUMMYFUNCTION("""COMPUTED_VALUE"""),12747473)</f>
        <v>#NAME?</v>
      </c>
      <c r="B356" s="100" t="e">
        <f ca="1">IFERROR(__xludf.DUMMYFUNCTION("""COMPUTED_VALUE"""),"KMNOUSDT")</f>
        <v>#NAME?</v>
      </c>
      <c r="C356" s="100" t="e">
        <f ca="1">IFERROR(__xludf.DUMMYFUNCTION("""COMPUTED_VALUE"""),"0.05574")</f>
        <v>#NAME?</v>
      </c>
      <c r="D356" s="100" t="e">
        <f t="shared" ca="1" si="47"/>
        <v>#NAME?</v>
      </c>
      <c r="E356" s="100" t="e">
        <f t="shared" ca="1" si="47"/>
        <v>#NAME?</v>
      </c>
      <c r="F356" s="100" t="e">
        <f t="shared" ca="1" si="42"/>
        <v>#NAME?</v>
      </c>
      <c r="G356" s="100" t="e">
        <f t="shared" ca="1" si="43"/>
        <v>#NAME?</v>
      </c>
      <c r="H356" s="100" t="e">
        <f t="shared" ca="1" si="44"/>
        <v>#NAME?</v>
      </c>
      <c r="I356" s="100" t="e">
        <f t="shared" ca="1" si="45"/>
        <v>#NAME?</v>
      </c>
      <c r="J356" s="100" t="e">
        <f ca="1">IFERROR(__xludf.DUMMYFUNCTION("""COMPUTED_VALUE"""),"7.19")</f>
        <v>#NAME?</v>
      </c>
      <c r="K356" s="100" t="e">
        <f t="shared" ca="1" si="46"/>
        <v>#NAME?</v>
      </c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</row>
    <row r="357" spans="1:26">
      <c r="A357" s="100" t="e">
        <f ca="1">IFERROR(__xludf.DUMMYFUNCTION("""COMPUTED_VALUE"""),12747474)</f>
        <v>#NAME?</v>
      </c>
      <c r="B357" s="100" t="e">
        <f ca="1">IFERROR(__xludf.DUMMYFUNCTION("""COMPUTED_VALUE"""),"MASAUSDT")</f>
        <v>#NAME?</v>
      </c>
      <c r="C357" s="100" t="e">
        <f ca="1">IFERROR(__xludf.DUMMYFUNCTION("""COMPUTED_VALUE"""),"0.02195")</f>
        <v>#NAME?</v>
      </c>
      <c r="D357" s="100" t="e">
        <f t="shared" ca="1" si="47"/>
        <v>#NAME?</v>
      </c>
      <c r="E357" s="100" t="e">
        <f t="shared" ca="1" si="47"/>
        <v>#NAME?</v>
      </c>
      <c r="F357" s="100" t="e">
        <f t="shared" ca="1" si="42"/>
        <v>#NAME?</v>
      </c>
      <c r="G357" s="100" t="e">
        <f t="shared" ca="1" si="43"/>
        <v>#NAME?</v>
      </c>
      <c r="H357" s="100" t="e">
        <f t="shared" ca="1" si="44"/>
        <v>#NAME?</v>
      </c>
      <c r="I357" s="100" t="e">
        <f t="shared" ca="1" si="45"/>
        <v>#NAME?</v>
      </c>
      <c r="J357" s="100" t="e">
        <f ca="1">IFERROR(__xludf.DUMMYFUNCTION("""COMPUTED_VALUE"""),"-11.53")</f>
        <v>#NAME?</v>
      </c>
      <c r="K357" s="100" t="e">
        <f t="shared" ca="1" si="46"/>
        <v>#NAME?</v>
      </c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</row>
    <row r="358" spans="1:26">
      <c r="A358" s="100" t="e">
        <f ca="1">IFERROR(__xludf.DUMMYFUNCTION("""COMPUTED_VALUE"""),12747475)</f>
        <v>#NAME?</v>
      </c>
      <c r="B358" s="100" t="e">
        <f ca="1">IFERROR(__xludf.DUMMYFUNCTION("""COMPUTED_VALUE"""),"GALAXISUSDT")</f>
        <v>#NAME?</v>
      </c>
      <c r="C358" s="100" t="e">
        <f ca="1">IFERROR(__xludf.DUMMYFUNCTION("""COMPUTED_VALUE"""),"0.000406")</f>
        <v>#NAME?</v>
      </c>
      <c r="D358" s="100" t="e">
        <f t="shared" ca="1" si="47"/>
        <v>#NAME?</v>
      </c>
      <c r="E358" s="100" t="e">
        <f t="shared" ca="1" si="47"/>
        <v>#NAME?</v>
      </c>
      <c r="F358" s="100" t="e">
        <f t="shared" ca="1" si="42"/>
        <v>#NAME?</v>
      </c>
      <c r="G358" s="100" t="e">
        <f t="shared" ca="1" si="43"/>
        <v>#NAME?</v>
      </c>
      <c r="H358" s="100" t="e">
        <f t="shared" ca="1" si="44"/>
        <v>#NAME?</v>
      </c>
      <c r="I358" s="100" t="e">
        <f t="shared" ca="1" si="45"/>
        <v>#NAME?</v>
      </c>
      <c r="J358" s="100" t="e">
        <f ca="1">IFERROR(__xludf.DUMMYFUNCTION("""COMPUTED_VALUE"""),"-4.67")</f>
        <v>#NAME?</v>
      </c>
      <c r="K358" s="100" t="e">
        <f t="shared" ca="1" si="46"/>
        <v>#NAME?</v>
      </c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</row>
    <row r="359" spans="1:26">
      <c r="A359" s="100" t="e">
        <f ca="1">IFERROR(__xludf.DUMMYFUNCTION("""COMPUTED_VALUE"""),12747476)</f>
        <v>#NAME?</v>
      </c>
      <c r="B359" s="100" t="e">
        <f ca="1">IFERROR(__xludf.DUMMYFUNCTION("""COMPUTED_VALUE"""),"CATBNBUSDT")</f>
        <v>#NAME?</v>
      </c>
      <c r="C359" s="100" t="e">
        <f ca="1">IFERROR(__xludf.DUMMYFUNCTION("""COMPUTED_VALUE"""),"0.00000558")</f>
        <v>#NAME?</v>
      </c>
      <c r="D359" s="100" t="e">
        <f t="shared" ca="1" si="47"/>
        <v>#NAME?</v>
      </c>
      <c r="E359" s="100" t="e">
        <f t="shared" ca="1" si="47"/>
        <v>#NAME?</v>
      </c>
      <c r="F359" s="100" t="e">
        <f t="shared" ca="1" si="42"/>
        <v>#NAME?</v>
      </c>
      <c r="G359" s="100" t="e">
        <f t="shared" ca="1" si="43"/>
        <v>#NAME?</v>
      </c>
      <c r="H359" s="100" t="e">
        <f t="shared" ca="1" si="44"/>
        <v>#NAME?</v>
      </c>
      <c r="I359" s="100" t="e">
        <f t="shared" ca="1" si="45"/>
        <v>#NAME?</v>
      </c>
      <c r="J359" s="100" t="e">
        <f ca="1">IFERROR(__xludf.DUMMYFUNCTION("""COMPUTED_VALUE"""),"-3.1300000000000003")</f>
        <v>#NAME?</v>
      </c>
      <c r="K359" s="100" t="e">
        <f t="shared" ca="1" si="46"/>
        <v>#NAME?</v>
      </c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</row>
    <row r="360" spans="1:26">
      <c r="A360" s="100" t="e">
        <f ca="1">IFERROR(__xludf.DUMMYFUNCTION("""COMPUTED_VALUE"""),12747477)</f>
        <v>#NAME?</v>
      </c>
      <c r="B360" s="100" t="e">
        <f ca="1">IFERROR(__xludf.DUMMYFUNCTION("""COMPUTED_VALUE"""),"GSTSUSDT")</f>
        <v>#NAME?</v>
      </c>
      <c r="C360" s="100" t="e">
        <f ca="1">IFERROR(__xludf.DUMMYFUNCTION("""COMPUTED_VALUE"""),"0.001693")</f>
        <v>#NAME?</v>
      </c>
      <c r="D360" s="100" t="e">
        <f t="shared" ca="1" si="47"/>
        <v>#NAME?</v>
      </c>
      <c r="E360" s="100" t="e">
        <f t="shared" ca="1" si="47"/>
        <v>#NAME?</v>
      </c>
      <c r="F360" s="100" t="e">
        <f t="shared" ca="1" si="42"/>
        <v>#NAME?</v>
      </c>
      <c r="G360" s="100" t="e">
        <f t="shared" ca="1" si="43"/>
        <v>#NAME?</v>
      </c>
      <c r="H360" s="100" t="e">
        <f t="shared" ca="1" si="44"/>
        <v>#NAME?</v>
      </c>
      <c r="I360" s="100" t="e">
        <f t="shared" ca="1" si="45"/>
        <v>#NAME?</v>
      </c>
      <c r="J360" s="100" t="e">
        <f ca="1">IFERROR(__xludf.DUMMYFUNCTION("""COMPUTED_VALUE"""),"0.59")</f>
        <v>#NAME?</v>
      </c>
      <c r="K360" s="100" t="e">
        <f t="shared" ca="1" si="46"/>
        <v>#NAME?</v>
      </c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</row>
    <row r="361" spans="1:26">
      <c r="A361" s="100" t="e">
        <f ca="1">IFERROR(__xludf.DUMMYFUNCTION("""COMPUTED_VALUE"""),12747478)</f>
        <v>#NAME?</v>
      </c>
      <c r="B361" s="100" t="e">
        <f ca="1">IFERROR(__xludf.DUMMYFUNCTION("""COMPUTED_VALUE"""),"NLKUSDT")</f>
        <v>#NAME?</v>
      </c>
      <c r="C361" s="100" t="e">
        <f ca="1">IFERROR(__xludf.DUMMYFUNCTION("""COMPUTED_VALUE"""),"0.003076")</f>
        <v>#NAME?</v>
      </c>
      <c r="D361" s="100" t="e">
        <f t="shared" ca="1" si="47"/>
        <v>#NAME?</v>
      </c>
      <c r="E361" s="100" t="e">
        <f t="shared" ca="1" si="47"/>
        <v>#NAME?</v>
      </c>
      <c r="F361" s="100" t="e">
        <f t="shared" ca="1" si="42"/>
        <v>#NAME?</v>
      </c>
      <c r="G361" s="100" t="e">
        <f t="shared" ca="1" si="43"/>
        <v>#NAME?</v>
      </c>
      <c r="H361" s="100" t="e">
        <f t="shared" ca="1" si="44"/>
        <v>#NAME?</v>
      </c>
      <c r="I361" s="100" t="e">
        <f t="shared" ca="1" si="45"/>
        <v>#NAME?</v>
      </c>
      <c r="J361" s="100" t="e">
        <f ca="1">IFERROR(__xludf.DUMMYFUNCTION("""COMPUTED_VALUE"""),"0.45999999999999996")</f>
        <v>#NAME?</v>
      </c>
      <c r="K361" s="100" t="e">
        <f t="shared" ca="1" si="46"/>
        <v>#NAME?</v>
      </c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</row>
    <row r="362" spans="1:26">
      <c r="A362" s="100" t="e">
        <f ca="1">IFERROR(__xludf.DUMMYFUNCTION("""COMPUTED_VALUE"""),12747479)</f>
        <v>#NAME?</v>
      </c>
      <c r="B362" s="100" t="e">
        <f ca="1">IFERROR(__xludf.DUMMYFUNCTION("""COMPUTED_VALUE"""),"CATSUSDT")</f>
        <v>#NAME?</v>
      </c>
      <c r="C362" s="100" t="e">
        <f ca="1">IFERROR(__xludf.DUMMYFUNCTION("""COMPUTED_VALUE"""),"0.000007927")</f>
        <v>#NAME?</v>
      </c>
      <c r="D362" s="100" t="e">
        <f t="shared" ref="D362:E381" ca="1" si="48">IFERROR(__xludf.DUMMYFUNCTION("""COMPUTED_VALUE"""),"-")</f>
        <v>#NAME?</v>
      </c>
      <c r="E362" s="100" t="e">
        <f t="shared" ca="1" si="48"/>
        <v>#NAME?</v>
      </c>
      <c r="F362" s="100" t="e">
        <f t="shared" ca="1" si="42"/>
        <v>#NAME?</v>
      </c>
      <c r="G362" s="100" t="e">
        <f t="shared" ca="1" si="43"/>
        <v>#NAME?</v>
      </c>
      <c r="H362" s="100" t="e">
        <f t="shared" ca="1" si="44"/>
        <v>#NAME?</v>
      </c>
      <c r="I362" s="100" t="e">
        <f t="shared" ca="1" si="45"/>
        <v>#NAME?</v>
      </c>
      <c r="J362" s="100" t="e">
        <f ca="1">IFERROR(__xludf.DUMMYFUNCTION("""COMPUTED_VALUE"""),"0.65")</f>
        <v>#NAME?</v>
      </c>
      <c r="K362" s="100" t="e">
        <f t="shared" ca="1" si="46"/>
        <v>#NAME?</v>
      </c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</row>
    <row r="363" spans="1:26">
      <c r="A363" s="100" t="e">
        <f ca="1">IFERROR(__xludf.DUMMYFUNCTION("""COMPUTED_VALUE"""),12747480)</f>
        <v>#NAME?</v>
      </c>
      <c r="B363" s="100" t="e">
        <f ca="1">IFERROR(__xludf.DUMMYFUNCTION("""COMPUTED_VALUE"""),"ZETAUSDT")</f>
        <v>#NAME?</v>
      </c>
      <c r="C363" s="100" t="e">
        <f ca="1">IFERROR(__xludf.DUMMYFUNCTION("""COMPUTED_VALUE"""),"0.2356")</f>
        <v>#NAME?</v>
      </c>
      <c r="D363" s="100" t="e">
        <f t="shared" ca="1" si="48"/>
        <v>#NAME?</v>
      </c>
      <c r="E363" s="100" t="e">
        <f t="shared" ca="1" si="48"/>
        <v>#NAME?</v>
      </c>
      <c r="F363" s="100" t="e">
        <f t="shared" ca="1" si="42"/>
        <v>#NAME?</v>
      </c>
      <c r="G363" s="100" t="e">
        <f t="shared" ca="1" si="43"/>
        <v>#NAME?</v>
      </c>
      <c r="H363" s="100" t="e">
        <f t="shared" ca="1" si="44"/>
        <v>#NAME?</v>
      </c>
      <c r="I363" s="100" t="e">
        <f t="shared" ca="1" si="45"/>
        <v>#NAME?</v>
      </c>
      <c r="J363" s="100" t="e">
        <f ca="1">IFERROR(__xludf.DUMMYFUNCTION("""COMPUTED_VALUE"""),"-1.22")</f>
        <v>#NAME?</v>
      </c>
      <c r="K363" s="100" t="e">
        <f t="shared" ca="1" si="46"/>
        <v>#NAME?</v>
      </c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</row>
    <row r="364" spans="1:26">
      <c r="A364" s="100" t="e">
        <f ca="1">IFERROR(__xludf.DUMMYFUNCTION("""COMPUTED_VALUE"""),12747481)</f>
        <v>#NAME?</v>
      </c>
      <c r="B364" s="100" t="e">
        <f ca="1">IFERROR(__xludf.DUMMYFUNCTION("""COMPUTED_VALUE"""),"EVERUSDT")</f>
        <v>#NAME?</v>
      </c>
      <c r="C364" s="100" t="e">
        <f ca="1">IFERROR(__xludf.DUMMYFUNCTION("""COMPUTED_VALUE"""),"0.013747")</f>
        <v>#NAME?</v>
      </c>
      <c r="D364" s="100" t="e">
        <f t="shared" ca="1" si="48"/>
        <v>#NAME?</v>
      </c>
      <c r="E364" s="100" t="e">
        <f t="shared" ca="1" si="48"/>
        <v>#NAME?</v>
      </c>
      <c r="F364" s="100" t="e">
        <f t="shared" ca="1" si="42"/>
        <v>#NAME?</v>
      </c>
      <c r="G364" s="100" t="e">
        <f t="shared" ca="1" si="43"/>
        <v>#NAME?</v>
      </c>
      <c r="H364" s="100" t="e">
        <f t="shared" ca="1" si="44"/>
        <v>#NAME?</v>
      </c>
      <c r="I364" s="100" t="e">
        <f t="shared" ca="1" si="45"/>
        <v>#NAME?</v>
      </c>
      <c r="J364" s="100" t="e">
        <f ca="1">IFERROR(__xludf.DUMMYFUNCTION("""COMPUTED_VALUE"""),"-2.37")</f>
        <v>#NAME?</v>
      </c>
      <c r="K364" s="100" t="e">
        <f t="shared" ca="1" si="46"/>
        <v>#NAME?</v>
      </c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</row>
    <row r="365" spans="1:26">
      <c r="A365" s="100" t="e">
        <f ca="1">IFERROR(__xludf.DUMMYFUNCTION("""COMPUTED_VALUE"""),12747482)</f>
        <v>#NAME?</v>
      </c>
      <c r="B365" s="100" t="e">
        <f ca="1">IFERROR(__xludf.DUMMYFUNCTION("""COMPUTED_VALUE"""),"MAVIAUSDT")</f>
        <v>#NAME?</v>
      </c>
      <c r="C365" s="100" t="e">
        <f ca="1">IFERROR(__xludf.DUMMYFUNCTION("""COMPUTED_VALUE"""),"0.177")</f>
        <v>#NAME?</v>
      </c>
      <c r="D365" s="100" t="e">
        <f t="shared" ca="1" si="48"/>
        <v>#NAME?</v>
      </c>
      <c r="E365" s="100" t="e">
        <f t="shared" ca="1" si="48"/>
        <v>#NAME?</v>
      </c>
      <c r="F365" s="100" t="e">
        <f t="shared" ca="1" si="42"/>
        <v>#NAME?</v>
      </c>
      <c r="G365" s="100" t="e">
        <f t="shared" ca="1" si="43"/>
        <v>#NAME?</v>
      </c>
      <c r="H365" s="100" t="e">
        <f t="shared" ca="1" si="44"/>
        <v>#NAME?</v>
      </c>
      <c r="I365" s="100" t="e">
        <f t="shared" ca="1" si="45"/>
        <v>#NAME?</v>
      </c>
      <c r="J365" s="100" t="e">
        <f ca="1">IFERROR(__xludf.DUMMYFUNCTION("""COMPUTED_VALUE"""),"-4.2700000000000005")</f>
        <v>#NAME?</v>
      </c>
      <c r="K365" s="100" t="e">
        <f t="shared" ca="1" si="46"/>
        <v>#NAME?</v>
      </c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</row>
    <row r="366" spans="1:26">
      <c r="A366" s="100" t="e">
        <f ca="1">IFERROR(__xludf.DUMMYFUNCTION("""COMPUTED_VALUE"""),12747483)</f>
        <v>#NAME?</v>
      </c>
      <c r="B366" s="100" t="e">
        <f ca="1">IFERROR(__xludf.DUMMYFUNCTION("""COMPUTED_VALUE"""),"APTUSDT")</f>
        <v>#NAME?</v>
      </c>
      <c r="C366" s="100" t="e">
        <f ca="1">IFERROR(__xludf.DUMMYFUNCTION("""COMPUTED_VALUE"""),"4.87")</f>
        <v>#NAME?</v>
      </c>
      <c r="D366" s="100" t="e">
        <f t="shared" ca="1" si="48"/>
        <v>#NAME?</v>
      </c>
      <c r="E366" s="100" t="e">
        <f t="shared" ca="1" si="48"/>
        <v>#NAME?</v>
      </c>
      <c r="F366" s="100" t="e">
        <f t="shared" ca="1" si="42"/>
        <v>#NAME?</v>
      </c>
      <c r="G366" s="100" t="e">
        <f t="shared" ca="1" si="43"/>
        <v>#NAME?</v>
      </c>
      <c r="H366" s="100" t="e">
        <f t="shared" ca="1" si="44"/>
        <v>#NAME?</v>
      </c>
      <c r="I366" s="100" t="e">
        <f t="shared" ca="1" si="45"/>
        <v>#NAME?</v>
      </c>
      <c r="J366" s="100" t="e">
        <f ca="1">IFERROR(__xludf.DUMMYFUNCTION("""COMPUTED_VALUE"""),"-6.17")</f>
        <v>#NAME?</v>
      </c>
      <c r="K366" s="100" t="e">
        <f t="shared" ca="1" si="46"/>
        <v>#NAME?</v>
      </c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</row>
    <row r="367" spans="1:26">
      <c r="A367" s="100" t="e">
        <f ca="1">IFERROR(__xludf.DUMMYFUNCTION("""COMPUTED_VALUE"""),12747484)</f>
        <v>#NAME?</v>
      </c>
      <c r="B367" s="100" t="e">
        <f ca="1">IFERROR(__xludf.DUMMYFUNCTION("""COMPUTED_VALUE"""),"AGIUSDT")</f>
        <v>#NAME?</v>
      </c>
      <c r="C367" s="100" t="e">
        <f ca="1">IFERROR(__xludf.DUMMYFUNCTION("""COMPUTED_VALUE"""),"0.05452")</f>
        <v>#NAME?</v>
      </c>
      <c r="D367" s="100" t="e">
        <f t="shared" ca="1" si="48"/>
        <v>#NAME?</v>
      </c>
      <c r="E367" s="100" t="e">
        <f t="shared" ca="1" si="48"/>
        <v>#NAME?</v>
      </c>
      <c r="F367" s="100" t="e">
        <f t="shared" ca="1" si="42"/>
        <v>#NAME?</v>
      </c>
      <c r="G367" s="100" t="e">
        <f t="shared" ca="1" si="43"/>
        <v>#NAME?</v>
      </c>
      <c r="H367" s="100" t="e">
        <f t="shared" ca="1" si="44"/>
        <v>#NAME?</v>
      </c>
      <c r="I367" s="100" t="e">
        <f t="shared" ca="1" si="45"/>
        <v>#NAME?</v>
      </c>
      <c r="J367" s="100" t="e">
        <f ca="1">IFERROR(__xludf.DUMMYFUNCTION("""COMPUTED_VALUE"""),"-1.7999999999999998")</f>
        <v>#NAME?</v>
      </c>
      <c r="K367" s="100" t="e">
        <f t="shared" ca="1" si="46"/>
        <v>#NAME?</v>
      </c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</row>
    <row r="368" spans="1:26">
      <c r="A368" s="100" t="e">
        <f ca="1">IFERROR(__xludf.DUMMYFUNCTION("""COMPUTED_VALUE"""),12747485)</f>
        <v>#NAME?</v>
      </c>
      <c r="B368" s="100" t="e">
        <f ca="1">IFERROR(__xludf.DUMMYFUNCTION("""COMPUTED_VALUE"""),"USDTBRZ")</f>
        <v>#NAME?</v>
      </c>
      <c r="C368" s="100" t="e">
        <f ca="1">IFERROR(__xludf.DUMMYFUNCTION("""COMPUTED_VALUE"""),"5.883")</f>
        <v>#NAME?</v>
      </c>
      <c r="D368" s="100" t="e">
        <f t="shared" ca="1" si="48"/>
        <v>#NAME?</v>
      </c>
      <c r="E368" s="100" t="e">
        <f t="shared" ca="1" si="48"/>
        <v>#NAME?</v>
      </c>
      <c r="F368" s="100" t="e">
        <f t="shared" ca="1" si="42"/>
        <v>#NAME?</v>
      </c>
      <c r="G368" s="100" t="e">
        <f t="shared" ca="1" si="43"/>
        <v>#NAME?</v>
      </c>
      <c r="H368" s="100" t="e">
        <f t="shared" ca="1" si="44"/>
        <v>#NAME?</v>
      </c>
      <c r="I368" s="100" t="e">
        <f t="shared" ca="1" si="45"/>
        <v>#NAME?</v>
      </c>
      <c r="J368" s="100" t="e">
        <f ca="1">IFERROR(__xludf.DUMMYFUNCTION("""COMPUTED_VALUE"""),"0.84")</f>
        <v>#NAME?</v>
      </c>
      <c r="K368" s="100" t="e">
        <f t="shared" ca="1" si="46"/>
        <v>#NAME?</v>
      </c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</row>
    <row r="369" spans="1:26">
      <c r="A369" s="100" t="e">
        <f ca="1">IFERROR(__xludf.DUMMYFUNCTION("""COMPUTED_VALUE"""),12747486)</f>
        <v>#NAME?</v>
      </c>
      <c r="B369" s="100" t="e">
        <f ca="1">IFERROR(__xludf.DUMMYFUNCTION("""COMPUTED_VALUE"""),"CHZUSDC")</f>
        <v>#NAME?</v>
      </c>
      <c r="C369" s="100" t="e">
        <f ca="1">IFERROR(__xludf.DUMMYFUNCTION("""COMPUTED_VALUE"""),"0.037")</f>
        <v>#NAME?</v>
      </c>
      <c r="D369" s="100" t="e">
        <f t="shared" ca="1" si="48"/>
        <v>#NAME?</v>
      </c>
      <c r="E369" s="100" t="e">
        <f t="shared" ca="1" si="48"/>
        <v>#NAME?</v>
      </c>
      <c r="F369" s="100" t="e">
        <f t="shared" ca="1" si="42"/>
        <v>#NAME?</v>
      </c>
      <c r="G369" s="100" t="e">
        <f t="shared" ca="1" si="43"/>
        <v>#NAME?</v>
      </c>
      <c r="H369" s="100" t="e">
        <f t="shared" ca="1" si="44"/>
        <v>#NAME?</v>
      </c>
      <c r="I369" s="100" t="e">
        <f t="shared" ca="1" si="45"/>
        <v>#NAME?</v>
      </c>
      <c r="J369" s="100" t="e">
        <f ca="1">IFERROR(__xludf.DUMMYFUNCTION("""COMPUTED_VALUE"""),"-4.390000000000001")</f>
        <v>#NAME?</v>
      </c>
      <c r="K369" s="100" t="e">
        <f t="shared" ca="1" si="46"/>
        <v>#NAME?</v>
      </c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</row>
    <row r="370" spans="1:26">
      <c r="A370" s="100" t="e">
        <f ca="1">IFERROR(__xludf.DUMMYFUNCTION("""COMPUTED_VALUE"""),12747487)</f>
        <v>#NAME?</v>
      </c>
      <c r="B370" s="100" t="e">
        <f ca="1">IFERROR(__xludf.DUMMYFUNCTION("""COMPUTED_VALUE"""),"USDCUSDT")</f>
        <v>#NAME?</v>
      </c>
      <c r="C370" s="100" t="e">
        <f ca="1">IFERROR(__xludf.DUMMYFUNCTION("""COMPUTED_VALUE"""),"1")</f>
        <v>#NAME?</v>
      </c>
      <c r="D370" s="100" t="e">
        <f t="shared" ca="1" si="48"/>
        <v>#NAME?</v>
      </c>
      <c r="E370" s="100" t="e">
        <f t="shared" ca="1" si="48"/>
        <v>#NAME?</v>
      </c>
      <c r="F370" s="100" t="e">
        <f t="shared" ca="1" si="42"/>
        <v>#NAME?</v>
      </c>
      <c r="G370" s="100" t="e">
        <f t="shared" ca="1" si="43"/>
        <v>#NAME?</v>
      </c>
      <c r="H370" s="100" t="e">
        <f t="shared" ca="1" si="44"/>
        <v>#NAME?</v>
      </c>
      <c r="I370" s="100" t="e">
        <f t="shared" ca="1" si="45"/>
        <v>#NAME?</v>
      </c>
      <c r="J370" s="100" t="e">
        <f ca="1">IFERROR(__xludf.DUMMYFUNCTION("""COMPUTED_VALUE"""),"0.01")</f>
        <v>#NAME?</v>
      </c>
      <c r="K370" s="100" t="e">
        <f t="shared" ca="1" si="46"/>
        <v>#NAME?</v>
      </c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</row>
    <row r="371" spans="1:26">
      <c r="A371" s="100" t="e">
        <f ca="1">IFERROR(__xludf.DUMMYFUNCTION("""COMPUTED_VALUE"""),12747488)</f>
        <v>#NAME?</v>
      </c>
      <c r="B371" s="100" t="e">
        <f ca="1">IFERROR(__xludf.DUMMYFUNCTION("""COMPUTED_VALUE"""),"VRTXUSDT")</f>
        <v>#NAME?</v>
      </c>
      <c r="C371" s="100" t="e">
        <f ca="1">IFERROR(__xludf.DUMMYFUNCTION("""COMPUTED_VALUE"""),"0.04524")</f>
        <v>#NAME?</v>
      </c>
      <c r="D371" s="100" t="e">
        <f t="shared" ca="1" si="48"/>
        <v>#NAME?</v>
      </c>
      <c r="E371" s="100" t="e">
        <f t="shared" ca="1" si="48"/>
        <v>#NAME?</v>
      </c>
      <c r="F371" s="100" t="e">
        <f t="shared" ca="1" si="42"/>
        <v>#NAME?</v>
      </c>
      <c r="G371" s="100" t="e">
        <f t="shared" ca="1" si="43"/>
        <v>#NAME?</v>
      </c>
      <c r="H371" s="100" t="e">
        <f t="shared" ca="1" si="44"/>
        <v>#NAME?</v>
      </c>
      <c r="I371" s="100" t="e">
        <f t="shared" ca="1" si="45"/>
        <v>#NAME?</v>
      </c>
      <c r="J371" s="100" t="e">
        <f ca="1">IFERROR(__xludf.DUMMYFUNCTION("""COMPUTED_VALUE"""),"0.51")</f>
        <v>#NAME?</v>
      </c>
      <c r="K371" s="100" t="e">
        <f t="shared" ca="1" si="46"/>
        <v>#NAME?</v>
      </c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</row>
    <row r="372" spans="1:26">
      <c r="A372" s="100" t="e">
        <f ca="1">IFERROR(__xludf.DUMMYFUNCTION("""COMPUTED_VALUE"""),12747489)</f>
        <v>#NAME?</v>
      </c>
      <c r="B372" s="100" t="e">
        <f ca="1">IFERROR(__xludf.DUMMYFUNCTION("""COMPUTED_VALUE"""),"PYTHUSDT")</f>
        <v>#NAME?</v>
      </c>
      <c r="C372" s="100" t="e">
        <f ca="1">IFERROR(__xludf.DUMMYFUNCTION("""COMPUTED_VALUE"""),"0.1415")</f>
        <v>#NAME?</v>
      </c>
      <c r="D372" s="100" t="e">
        <f t="shared" ca="1" si="48"/>
        <v>#NAME?</v>
      </c>
      <c r="E372" s="100" t="e">
        <f t="shared" ca="1" si="48"/>
        <v>#NAME?</v>
      </c>
      <c r="F372" s="100" t="e">
        <f t="shared" ca="1" si="42"/>
        <v>#NAME?</v>
      </c>
      <c r="G372" s="100" t="e">
        <f t="shared" ca="1" si="43"/>
        <v>#NAME?</v>
      </c>
      <c r="H372" s="100" t="e">
        <f t="shared" ca="1" si="44"/>
        <v>#NAME?</v>
      </c>
      <c r="I372" s="100" t="e">
        <f t="shared" ca="1" si="45"/>
        <v>#NAME?</v>
      </c>
      <c r="J372" s="100" t="e">
        <f ca="1">IFERROR(__xludf.DUMMYFUNCTION("""COMPUTED_VALUE"""),"-2.35")</f>
        <v>#NAME?</v>
      </c>
      <c r="K372" s="100" t="e">
        <f t="shared" ca="1" si="46"/>
        <v>#NAME?</v>
      </c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</row>
    <row r="373" spans="1:26">
      <c r="A373" s="100" t="e">
        <f ca="1">IFERROR(__xludf.DUMMYFUNCTION("""COMPUTED_VALUE"""),12747490)</f>
        <v>#NAME?</v>
      </c>
      <c r="B373" s="100" t="e">
        <f ca="1">IFERROR(__xludf.DUMMYFUNCTION("""COMPUTED_VALUE"""),"ERTHAUSDT")</f>
        <v>#NAME?</v>
      </c>
      <c r="C373" s="100" t="e">
        <f ca="1">IFERROR(__xludf.DUMMYFUNCTION("""COMPUTED_VALUE"""),"0.0004464")</f>
        <v>#NAME?</v>
      </c>
      <c r="D373" s="100" t="e">
        <f t="shared" ca="1" si="48"/>
        <v>#NAME?</v>
      </c>
      <c r="E373" s="100" t="e">
        <f t="shared" ca="1" si="48"/>
        <v>#NAME?</v>
      </c>
      <c r="F373" s="100" t="e">
        <f t="shared" ca="1" si="42"/>
        <v>#NAME?</v>
      </c>
      <c r="G373" s="100" t="e">
        <f t="shared" ca="1" si="43"/>
        <v>#NAME?</v>
      </c>
      <c r="H373" s="100" t="e">
        <f t="shared" ca="1" si="44"/>
        <v>#NAME?</v>
      </c>
      <c r="I373" s="100" t="e">
        <f t="shared" ca="1" si="45"/>
        <v>#NAME?</v>
      </c>
      <c r="J373" s="100" t="e">
        <f ca="1">IFERROR(__xludf.DUMMYFUNCTION("""COMPUTED_VALUE"""),"-3.52")</f>
        <v>#NAME?</v>
      </c>
      <c r="K373" s="100" t="e">
        <f t="shared" ca="1" si="46"/>
        <v>#NAME?</v>
      </c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</row>
    <row r="374" spans="1:26">
      <c r="A374" s="100" t="e">
        <f ca="1">IFERROR(__xludf.DUMMYFUNCTION("""COMPUTED_VALUE"""),12747491)</f>
        <v>#NAME?</v>
      </c>
      <c r="B374" s="100" t="e">
        <f ca="1">IFERROR(__xludf.DUMMYFUNCTION("""COMPUTED_VALUE"""),"NUTSUSDT")</f>
        <v>#NAME?</v>
      </c>
      <c r="C374" s="100" t="e">
        <f ca="1">IFERROR(__xludf.DUMMYFUNCTION("""COMPUTED_VALUE"""),"0.001564")</f>
        <v>#NAME?</v>
      </c>
      <c r="D374" s="100" t="e">
        <f t="shared" ca="1" si="48"/>
        <v>#NAME?</v>
      </c>
      <c r="E374" s="100" t="e">
        <f t="shared" ca="1" si="48"/>
        <v>#NAME?</v>
      </c>
      <c r="F374" s="100" t="e">
        <f t="shared" ca="1" si="42"/>
        <v>#NAME?</v>
      </c>
      <c r="G374" s="100" t="e">
        <f t="shared" ca="1" si="43"/>
        <v>#NAME?</v>
      </c>
      <c r="H374" s="100" t="e">
        <f t="shared" ca="1" si="44"/>
        <v>#NAME?</v>
      </c>
      <c r="I374" s="100" t="e">
        <f t="shared" ca="1" si="45"/>
        <v>#NAME?</v>
      </c>
      <c r="J374" s="100" t="e">
        <f ca="1">IFERROR(__xludf.DUMMYFUNCTION("""COMPUTED_VALUE"""),"0.0")</f>
        <v>#NAME?</v>
      </c>
      <c r="K374" s="100" t="e">
        <f t="shared" ca="1" si="46"/>
        <v>#NAME?</v>
      </c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</row>
    <row r="375" spans="1:26">
      <c r="A375" s="100" t="e">
        <f ca="1">IFERROR(__xludf.DUMMYFUNCTION("""COMPUTED_VALUE"""),12747492)</f>
        <v>#NAME?</v>
      </c>
      <c r="B375" s="100" t="e">
        <f ca="1">IFERROR(__xludf.DUMMYFUNCTION("""COMPUTED_VALUE"""),"ZRCUSDT")</f>
        <v>#NAME?</v>
      </c>
      <c r="C375" s="100" t="e">
        <f ca="1">IFERROR(__xludf.DUMMYFUNCTION("""COMPUTED_VALUE"""),"0.03642")</f>
        <v>#NAME?</v>
      </c>
      <c r="D375" s="100" t="e">
        <f t="shared" ca="1" si="48"/>
        <v>#NAME?</v>
      </c>
      <c r="E375" s="100" t="e">
        <f t="shared" ca="1" si="48"/>
        <v>#NAME?</v>
      </c>
      <c r="F375" s="100" t="e">
        <f t="shared" ca="1" si="42"/>
        <v>#NAME?</v>
      </c>
      <c r="G375" s="100" t="e">
        <f t="shared" ca="1" si="43"/>
        <v>#NAME?</v>
      </c>
      <c r="H375" s="100" t="e">
        <f t="shared" ca="1" si="44"/>
        <v>#NAME?</v>
      </c>
      <c r="I375" s="100" t="e">
        <f t="shared" ca="1" si="45"/>
        <v>#NAME?</v>
      </c>
      <c r="J375" s="100" t="e">
        <f ca="1">IFERROR(__xludf.DUMMYFUNCTION("""COMPUTED_VALUE"""),"-0.41000000000000003")</f>
        <v>#NAME?</v>
      </c>
      <c r="K375" s="100" t="e">
        <f t="shared" ca="1" si="46"/>
        <v>#NAME?</v>
      </c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</row>
    <row r="376" spans="1:26">
      <c r="A376" s="100" t="e">
        <f ca="1">IFERROR(__xludf.DUMMYFUNCTION("""COMPUTED_VALUE"""),12747493)</f>
        <v>#NAME?</v>
      </c>
      <c r="B376" s="100" t="e">
        <f ca="1">IFERROR(__xludf.DUMMYFUNCTION("""COMPUTED_VALUE"""),"APEUSDC")</f>
        <v>#NAME?</v>
      </c>
      <c r="C376" s="100" t="e">
        <f ca="1">IFERROR(__xludf.DUMMYFUNCTION("""COMPUTED_VALUE"""),"0.468")</f>
        <v>#NAME?</v>
      </c>
      <c r="D376" s="100" t="e">
        <f t="shared" ca="1" si="48"/>
        <v>#NAME?</v>
      </c>
      <c r="E376" s="100" t="e">
        <f t="shared" ca="1" si="48"/>
        <v>#NAME?</v>
      </c>
      <c r="F376" s="100" t="e">
        <f t="shared" ca="1" si="42"/>
        <v>#NAME?</v>
      </c>
      <c r="G376" s="100" t="e">
        <f t="shared" ca="1" si="43"/>
        <v>#NAME?</v>
      </c>
      <c r="H376" s="100" t="e">
        <f t="shared" ca="1" si="44"/>
        <v>#NAME?</v>
      </c>
      <c r="I376" s="100" t="e">
        <f t="shared" ca="1" si="45"/>
        <v>#NAME?</v>
      </c>
      <c r="J376" s="100" t="e">
        <f ca="1">IFERROR(__xludf.DUMMYFUNCTION("""COMPUTED_VALUE"""),"-1.27")</f>
        <v>#NAME?</v>
      </c>
      <c r="K376" s="100" t="e">
        <f t="shared" ca="1" si="46"/>
        <v>#NAME?</v>
      </c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</row>
    <row r="377" spans="1:26">
      <c r="A377" s="100" t="e">
        <f ca="1">IFERROR(__xludf.DUMMYFUNCTION("""COMPUTED_VALUE"""),12747494)</f>
        <v>#NAME?</v>
      </c>
      <c r="B377" s="100" t="e">
        <f ca="1">IFERROR(__xludf.DUMMYFUNCTION("""COMPUTED_VALUE"""),"SOLBRL")</f>
        <v>#NAME?</v>
      </c>
      <c r="C377" s="100" t="e">
        <f ca="1">IFERROR(__xludf.DUMMYFUNCTION("""COMPUTED_VALUE"""),"811.2")</f>
        <v>#NAME?</v>
      </c>
      <c r="D377" s="100" t="e">
        <f t="shared" ca="1" si="48"/>
        <v>#NAME?</v>
      </c>
      <c r="E377" s="100" t="e">
        <f t="shared" ca="1" si="48"/>
        <v>#NAME?</v>
      </c>
      <c r="F377" s="100" t="e">
        <f t="shared" ca="1" si="42"/>
        <v>#NAME?</v>
      </c>
      <c r="G377" s="100" t="e">
        <f t="shared" ca="1" si="43"/>
        <v>#NAME?</v>
      </c>
      <c r="H377" s="100" t="e">
        <f t="shared" ca="1" si="44"/>
        <v>#NAME?</v>
      </c>
      <c r="I377" s="100" t="e">
        <f t="shared" ca="1" si="45"/>
        <v>#NAME?</v>
      </c>
      <c r="J377" s="100" t="e">
        <f ca="1">IFERROR(__xludf.DUMMYFUNCTION("""COMPUTED_VALUE"""),"-0.9400000000000001")</f>
        <v>#NAME?</v>
      </c>
      <c r="K377" s="100" t="e">
        <f t="shared" ca="1" si="46"/>
        <v>#NAME?</v>
      </c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</row>
    <row r="378" spans="1:26">
      <c r="A378" s="100" t="e">
        <f ca="1">IFERROR(__xludf.DUMMYFUNCTION("""COMPUTED_VALUE"""),12747495)</f>
        <v>#NAME?</v>
      </c>
      <c r="B378" s="100" t="e">
        <f ca="1">IFERROR(__xludf.DUMMYFUNCTION("""COMPUTED_VALUE"""),"OASUSDT")</f>
        <v>#NAME?</v>
      </c>
      <c r="C378" s="100" t="e">
        <f ca="1">IFERROR(__xludf.DUMMYFUNCTION("""COMPUTED_VALUE"""),"0.014349")</f>
        <v>#NAME?</v>
      </c>
      <c r="D378" s="100" t="e">
        <f t="shared" ca="1" si="48"/>
        <v>#NAME?</v>
      </c>
      <c r="E378" s="100" t="e">
        <f t="shared" ca="1" si="48"/>
        <v>#NAME?</v>
      </c>
      <c r="F378" s="100" t="e">
        <f t="shared" ca="1" si="42"/>
        <v>#NAME?</v>
      </c>
      <c r="G378" s="100" t="e">
        <f t="shared" ca="1" si="43"/>
        <v>#NAME?</v>
      </c>
      <c r="H378" s="100" t="e">
        <f t="shared" ca="1" si="44"/>
        <v>#NAME?</v>
      </c>
      <c r="I378" s="100" t="e">
        <f t="shared" ca="1" si="45"/>
        <v>#NAME?</v>
      </c>
      <c r="J378" s="100" t="e">
        <f ca="1">IFERROR(__xludf.DUMMYFUNCTION("""COMPUTED_VALUE"""),"-3.37")</f>
        <v>#NAME?</v>
      </c>
      <c r="K378" s="100" t="e">
        <f t="shared" ca="1" si="46"/>
        <v>#NAME?</v>
      </c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</row>
    <row r="379" spans="1:26">
      <c r="A379" s="100" t="e">
        <f ca="1">IFERROR(__xludf.DUMMYFUNCTION("""COMPUTED_VALUE"""),12747496)</f>
        <v>#NAME?</v>
      </c>
      <c r="B379" s="100" t="e">
        <f ca="1">IFERROR(__xludf.DUMMYFUNCTION("""COMPUTED_VALUE"""),"ACHUSDT")</f>
        <v>#NAME?</v>
      </c>
      <c r="C379" s="100" t="e">
        <f ca="1">IFERROR(__xludf.DUMMYFUNCTION("""COMPUTED_VALUE"""),"0.02607")</f>
        <v>#NAME?</v>
      </c>
      <c r="D379" s="100" t="e">
        <f t="shared" ca="1" si="48"/>
        <v>#NAME?</v>
      </c>
      <c r="E379" s="100" t="e">
        <f t="shared" ca="1" si="48"/>
        <v>#NAME?</v>
      </c>
      <c r="F379" s="100" t="e">
        <f t="shared" ca="1" si="42"/>
        <v>#NAME?</v>
      </c>
      <c r="G379" s="100" t="e">
        <f t="shared" ca="1" si="43"/>
        <v>#NAME?</v>
      </c>
      <c r="H379" s="100" t="e">
        <f t="shared" ca="1" si="44"/>
        <v>#NAME?</v>
      </c>
      <c r="I379" s="100" t="e">
        <f t="shared" ca="1" si="45"/>
        <v>#NAME?</v>
      </c>
      <c r="J379" s="100" t="e">
        <f ca="1">IFERROR(__xludf.DUMMYFUNCTION("""COMPUTED_VALUE"""),"-5.779999999999999")</f>
        <v>#NAME?</v>
      </c>
      <c r="K379" s="100" t="e">
        <f t="shared" ca="1" si="46"/>
        <v>#NAME?</v>
      </c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</row>
    <row r="380" spans="1:26">
      <c r="A380" s="100" t="e">
        <f ca="1">IFERROR(__xludf.DUMMYFUNCTION("""COMPUTED_VALUE"""),12747497)</f>
        <v>#NAME?</v>
      </c>
      <c r="B380" s="100" t="e">
        <f ca="1">IFERROR(__xludf.DUMMYFUNCTION("""COMPUTED_VALUE"""),"GOATUSDT")</f>
        <v>#NAME?</v>
      </c>
      <c r="C380" s="100" t="e">
        <f ca="1">IFERROR(__xludf.DUMMYFUNCTION("""COMPUTED_VALUE"""),"0.0553")</f>
        <v>#NAME?</v>
      </c>
      <c r="D380" s="100" t="e">
        <f t="shared" ca="1" si="48"/>
        <v>#NAME?</v>
      </c>
      <c r="E380" s="100" t="e">
        <f t="shared" ca="1" si="48"/>
        <v>#NAME?</v>
      </c>
      <c r="F380" s="100" t="e">
        <f t="shared" ca="1" si="42"/>
        <v>#NAME?</v>
      </c>
      <c r="G380" s="100" t="e">
        <f t="shared" ca="1" si="43"/>
        <v>#NAME?</v>
      </c>
      <c r="H380" s="100" t="e">
        <f t="shared" ca="1" si="44"/>
        <v>#NAME?</v>
      </c>
      <c r="I380" s="100" t="e">
        <f t="shared" ca="1" si="45"/>
        <v>#NAME?</v>
      </c>
      <c r="J380" s="100" t="e">
        <f ca="1">IFERROR(__xludf.DUMMYFUNCTION("""COMPUTED_VALUE"""),"8.01")</f>
        <v>#NAME?</v>
      </c>
      <c r="K380" s="100" t="e">
        <f t="shared" ca="1" si="46"/>
        <v>#NAME?</v>
      </c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</row>
    <row r="381" spans="1:26">
      <c r="A381" s="100" t="e">
        <f ca="1">IFERROR(__xludf.DUMMYFUNCTION("""COMPUTED_VALUE"""),12747498)</f>
        <v>#NAME?</v>
      </c>
      <c r="B381" s="100" t="e">
        <f ca="1">IFERROR(__xludf.DUMMYFUNCTION("""COMPUTED_VALUE"""),"UXLINKUSDT")</f>
        <v>#NAME?</v>
      </c>
      <c r="C381" s="100" t="e">
        <f ca="1">IFERROR(__xludf.DUMMYFUNCTION("""COMPUTED_VALUE"""),"0.4313")</f>
        <v>#NAME?</v>
      </c>
      <c r="D381" s="100" t="e">
        <f t="shared" ca="1" si="48"/>
        <v>#NAME?</v>
      </c>
      <c r="E381" s="100" t="e">
        <f t="shared" ca="1" si="48"/>
        <v>#NAME?</v>
      </c>
      <c r="F381" s="100" t="e">
        <f t="shared" ca="1" si="42"/>
        <v>#NAME?</v>
      </c>
      <c r="G381" s="100" t="e">
        <f t="shared" ca="1" si="43"/>
        <v>#NAME?</v>
      </c>
      <c r="H381" s="100" t="e">
        <f t="shared" ca="1" si="44"/>
        <v>#NAME?</v>
      </c>
      <c r="I381" s="100" t="e">
        <f t="shared" ca="1" si="45"/>
        <v>#NAME?</v>
      </c>
      <c r="J381" s="100" t="e">
        <f ca="1">IFERROR(__xludf.DUMMYFUNCTION("""COMPUTED_VALUE"""),"-2.0")</f>
        <v>#NAME?</v>
      </c>
      <c r="K381" s="100" t="e">
        <f t="shared" ca="1" si="46"/>
        <v>#NAME?</v>
      </c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</row>
    <row r="382" spans="1:26">
      <c r="A382" s="100" t="e">
        <f ca="1">IFERROR(__xludf.DUMMYFUNCTION("""COMPUTED_VALUE"""),12747499)</f>
        <v>#NAME?</v>
      </c>
      <c r="B382" s="100" t="e">
        <f ca="1">IFERROR(__xludf.DUMMYFUNCTION("""COMPUTED_VALUE"""),"MERLUSDT")</f>
        <v>#NAME?</v>
      </c>
      <c r="C382" s="100" t="e">
        <f ca="1">IFERROR(__xludf.DUMMYFUNCTION("""COMPUTED_VALUE"""),"0.0801")</f>
        <v>#NAME?</v>
      </c>
      <c r="D382" s="100" t="e">
        <f t="shared" ref="D382:E401" ca="1" si="49">IFERROR(__xludf.DUMMYFUNCTION("""COMPUTED_VALUE"""),"-")</f>
        <v>#NAME?</v>
      </c>
      <c r="E382" s="100" t="e">
        <f t="shared" ca="1" si="49"/>
        <v>#NAME?</v>
      </c>
      <c r="F382" s="100" t="e">
        <f t="shared" ca="1" si="42"/>
        <v>#NAME?</v>
      </c>
      <c r="G382" s="100" t="e">
        <f t="shared" ca="1" si="43"/>
        <v>#NAME?</v>
      </c>
      <c r="H382" s="100" t="e">
        <f t="shared" ca="1" si="44"/>
        <v>#NAME?</v>
      </c>
      <c r="I382" s="100" t="e">
        <f t="shared" ca="1" si="45"/>
        <v>#NAME?</v>
      </c>
      <c r="J382" s="100" t="e">
        <f ca="1">IFERROR(__xludf.DUMMYFUNCTION("""COMPUTED_VALUE"""),"-3.61")</f>
        <v>#NAME?</v>
      </c>
      <c r="K382" s="100" t="e">
        <f t="shared" ca="1" si="46"/>
        <v>#NAME?</v>
      </c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</row>
    <row r="383" spans="1:26">
      <c r="A383" s="100" t="e">
        <f ca="1">IFERROR(__xludf.DUMMYFUNCTION("""COMPUTED_VALUE"""),12747500)</f>
        <v>#NAME?</v>
      </c>
      <c r="B383" s="100" t="e">
        <f ca="1">IFERROR(__xludf.DUMMYFUNCTION("""COMPUTED_VALUE"""),"BANUSDT")</f>
        <v>#NAME?</v>
      </c>
      <c r="C383" s="100" t="e">
        <f ca="1">IFERROR(__xludf.DUMMYFUNCTION("""COMPUTED_VALUE"""),"0.04591")</f>
        <v>#NAME?</v>
      </c>
      <c r="D383" s="100" t="e">
        <f t="shared" ca="1" si="49"/>
        <v>#NAME?</v>
      </c>
      <c r="E383" s="100" t="e">
        <f t="shared" ca="1" si="49"/>
        <v>#NAME?</v>
      </c>
      <c r="F383" s="100" t="e">
        <f t="shared" ca="1" si="42"/>
        <v>#NAME?</v>
      </c>
      <c r="G383" s="100" t="e">
        <f t="shared" ca="1" si="43"/>
        <v>#NAME?</v>
      </c>
      <c r="H383" s="100" t="e">
        <f t="shared" ca="1" si="44"/>
        <v>#NAME?</v>
      </c>
      <c r="I383" s="100" t="e">
        <f t="shared" ca="1" si="45"/>
        <v>#NAME?</v>
      </c>
      <c r="J383" s="100" t="e">
        <f ca="1">IFERROR(__xludf.DUMMYFUNCTION("""COMPUTED_VALUE"""),"-3.08")</f>
        <v>#NAME?</v>
      </c>
      <c r="K383" s="100" t="e">
        <f t="shared" ca="1" si="46"/>
        <v>#NAME?</v>
      </c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</row>
    <row r="384" spans="1:26">
      <c r="A384" s="100" t="e">
        <f ca="1">IFERROR(__xludf.DUMMYFUNCTION("""COMPUTED_VALUE"""),12747501)</f>
        <v>#NAME?</v>
      </c>
      <c r="B384" s="100" t="e">
        <f ca="1">IFERROR(__xludf.DUMMYFUNCTION("""COMPUTED_VALUE"""),"BTCUSDR")</f>
        <v>#NAME?</v>
      </c>
      <c r="C384" s="100" t="e">
        <f ca="1">IFERROR(__xludf.DUMMYFUNCTION("""COMPUTED_VALUE"""),"84267.32")</f>
        <v>#NAME?</v>
      </c>
      <c r="D384" s="100" t="e">
        <f t="shared" ca="1" si="49"/>
        <v>#NAME?</v>
      </c>
      <c r="E384" s="100" t="e">
        <f t="shared" ca="1" si="49"/>
        <v>#NAME?</v>
      </c>
      <c r="F384" s="100" t="e">
        <f t="shared" ca="1" si="42"/>
        <v>#NAME?</v>
      </c>
      <c r="G384" s="100" t="e">
        <f t="shared" ca="1" si="43"/>
        <v>#NAME?</v>
      </c>
      <c r="H384" s="100" t="e">
        <f t="shared" ca="1" si="44"/>
        <v>#NAME?</v>
      </c>
      <c r="I384" s="100" t="e">
        <f t="shared" ca="1" si="45"/>
        <v>#NAME?</v>
      </c>
      <c r="J384" s="100" t="e">
        <f ca="1">IFERROR(__xludf.DUMMYFUNCTION("""COMPUTED_VALUE"""),"0.0")</f>
        <v>#NAME?</v>
      </c>
      <c r="K384" s="100" t="e">
        <f t="shared" ca="1" si="46"/>
        <v>#NAME?</v>
      </c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</row>
    <row r="385" spans="1:26">
      <c r="A385" s="100" t="e">
        <f ca="1">IFERROR(__xludf.DUMMYFUNCTION("""COMPUTED_VALUE"""),12747502)</f>
        <v>#NAME?</v>
      </c>
      <c r="B385" s="100" t="e">
        <f ca="1">IFERROR(__xludf.DUMMYFUNCTION("""COMPUTED_VALUE"""),"SUNUSDT")</f>
        <v>#NAME?</v>
      </c>
      <c r="C385" s="100" t="e">
        <f ca="1">IFERROR(__xludf.DUMMYFUNCTION("""COMPUTED_VALUE"""),"0.017307")</f>
        <v>#NAME?</v>
      </c>
      <c r="D385" s="100" t="e">
        <f t="shared" ca="1" si="49"/>
        <v>#NAME?</v>
      </c>
      <c r="E385" s="100" t="e">
        <f t="shared" ca="1" si="49"/>
        <v>#NAME?</v>
      </c>
      <c r="F385" s="100" t="e">
        <f t="shared" ca="1" si="42"/>
        <v>#NAME?</v>
      </c>
      <c r="G385" s="100" t="e">
        <f t="shared" ca="1" si="43"/>
        <v>#NAME?</v>
      </c>
      <c r="H385" s="100" t="e">
        <f t="shared" ca="1" si="44"/>
        <v>#NAME?</v>
      </c>
      <c r="I385" s="100" t="e">
        <f t="shared" ca="1" si="45"/>
        <v>#NAME?</v>
      </c>
      <c r="J385" s="100" t="e">
        <f ca="1">IFERROR(__xludf.DUMMYFUNCTION("""COMPUTED_VALUE"""),"2.55")</f>
        <v>#NAME?</v>
      </c>
      <c r="K385" s="100" t="e">
        <f t="shared" ca="1" si="46"/>
        <v>#NAME?</v>
      </c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</row>
    <row r="386" spans="1:26">
      <c r="A386" s="100" t="e">
        <f ca="1">IFERROR(__xludf.DUMMYFUNCTION("""COMPUTED_VALUE"""),12747503)</f>
        <v>#NAME?</v>
      </c>
      <c r="B386" s="100" t="e">
        <f ca="1">IFERROR(__xludf.DUMMYFUNCTION("""COMPUTED_VALUE"""),"XIONUSDT")</f>
        <v>#NAME?</v>
      </c>
      <c r="C386" s="100" t="e">
        <f ca="1">IFERROR(__xludf.DUMMYFUNCTION("""COMPUTED_VALUE"""),"0.9247")</f>
        <v>#NAME?</v>
      </c>
      <c r="D386" s="100" t="e">
        <f t="shared" ca="1" si="49"/>
        <v>#NAME?</v>
      </c>
      <c r="E386" s="100" t="e">
        <f t="shared" ca="1" si="49"/>
        <v>#NAME?</v>
      </c>
      <c r="F386" s="100" t="e">
        <f t="shared" ref="F386:F449" ca="1" si="50">IFERROR(__xludf.DUMMYFUNCTION("""COMPUTED_VALUE"""),20200)</f>
        <v>#NAME?</v>
      </c>
      <c r="G386" s="100" t="e">
        <f t="shared" ref="G386:G449" ca="1" si="51">IFERROR(__xludf.DUMMYFUNCTION("""COMPUTED_VALUE"""),2885)</f>
        <v>#NAME?</v>
      </c>
      <c r="H386" s="100" t="e">
        <f t="shared" ref="H386:H449" ca="1" si="52">IFERROR(__xludf.DUMMYFUNCTION("""COMPUTED_VALUE"""),663)</f>
        <v>#NAME?</v>
      </c>
      <c r="I386" s="100" t="e">
        <f t="shared" ref="I386:I449" ca="1" si="53">IFERROR(__xludf.DUMMYFUNCTION("""COMPUTED_VALUE"""),5817721)</f>
        <v>#NAME?</v>
      </c>
      <c r="J386" s="100" t="e">
        <f ca="1">IFERROR(__xludf.DUMMYFUNCTION("""COMPUTED_VALUE"""),"-2.75")</f>
        <v>#NAME?</v>
      </c>
      <c r="K386" s="100" t="e">
        <f t="shared" ref="K386:K449" ca="1" si="54">IFERROR(__xludf.DUMMYFUNCTION("""COMPUTED_VALUE"""),"22.04.2025 13:05:01")</f>
        <v>#NAME?</v>
      </c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</row>
    <row r="387" spans="1:26">
      <c r="A387" s="100" t="e">
        <f ca="1">IFERROR(__xludf.DUMMYFUNCTION("""COMPUTED_VALUE"""),12747504)</f>
        <v>#NAME?</v>
      </c>
      <c r="B387" s="100" t="e">
        <f ca="1">IFERROR(__xludf.DUMMYFUNCTION("""COMPUTED_VALUE"""),"COQUSDT")</f>
        <v>#NAME?</v>
      </c>
      <c r="C387" s="100" t="e">
        <f ca="1">IFERROR(__xludf.DUMMYFUNCTION("""COMPUTED_VALUE"""),"0.0000006212")</f>
        <v>#NAME?</v>
      </c>
      <c r="D387" s="100" t="e">
        <f t="shared" ca="1" si="49"/>
        <v>#NAME?</v>
      </c>
      <c r="E387" s="100" t="e">
        <f t="shared" ca="1" si="49"/>
        <v>#NAME?</v>
      </c>
      <c r="F387" s="100" t="e">
        <f t="shared" ca="1" si="50"/>
        <v>#NAME?</v>
      </c>
      <c r="G387" s="100" t="e">
        <f t="shared" ca="1" si="51"/>
        <v>#NAME?</v>
      </c>
      <c r="H387" s="100" t="e">
        <f t="shared" ca="1" si="52"/>
        <v>#NAME?</v>
      </c>
      <c r="I387" s="100" t="e">
        <f t="shared" ca="1" si="53"/>
        <v>#NAME?</v>
      </c>
      <c r="J387" s="100" t="e">
        <f ca="1">IFERROR(__xludf.DUMMYFUNCTION("""COMPUTED_VALUE"""),"-2.8000000000000003")</f>
        <v>#NAME?</v>
      </c>
      <c r="K387" s="100" t="e">
        <f t="shared" ca="1" si="54"/>
        <v>#NAME?</v>
      </c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</row>
    <row r="388" spans="1:26">
      <c r="A388" s="100" t="e">
        <f ca="1">IFERROR(__xludf.DUMMYFUNCTION("""COMPUTED_VALUE"""),12747505)</f>
        <v>#NAME?</v>
      </c>
      <c r="B388" s="100" t="e">
        <f ca="1">IFERROR(__xludf.DUMMYFUNCTION("""COMPUTED_VALUE"""),"SPECUSDT")</f>
        <v>#NAME?</v>
      </c>
      <c r="C388" s="100" t="e">
        <f ca="1">IFERROR(__xludf.DUMMYFUNCTION("""COMPUTED_VALUE"""),"1.457")</f>
        <v>#NAME?</v>
      </c>
      <c r="D388" s="100" t="e">
        <f t="shared" ca="1" si="49"/>
        <v>#NAME?</v>
      </c>
      <c r="E388" s="100" t="e">
        <f t="shared" ca="1" si="49"/>
        <v>#NAME?</v>
      </c>
      <c r="F388" s="100" t="e">
        <f t="shared" ca="1" si="50"/>
        <v>#NAME?</v>
      </c>
      <c r="G388" s="100" t="e">
        <f t="shared" ca="1" si="51"/>
        <v>#NAME?</v>
      </c>
      <c r="H388" s="100" t="e">
        <f t="shared" ca="1" si="52"/>
        <v>#NAME?</v>
      </c>
      <c r="I388" s="100" t="e">
        <f t="shared" ca="1" si="53"/>
        <v>#NAME?</v>
      </c>
      <c r="J388" s="100" t="e">
        <f ca="1">IFERROR(__xludf.DUMMYFUNCTION("""COMPUTED_VALUE"""),"5.2")</f>
        <v>#NAME?</v>
      </c>
      <c r="K388" s="100" t="e">
        <f t="shared" ca="1" si="54"/>
        <v>#NAME?</v>
      </c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</row>
    <row r="389" spans="1:26">
      <c r="A389" s="100" t="e">
        <f ca="1">IFERROR(__xludf.DUMMYFUNCTION("""COMPUTED_VALUE"""),12747506)</f>
        <v>#NAME?</v>
      </c>
      <c r="B389" s="100" t="e">
        <f ca="1">IFERROR(__xludf.DUMMYFUNCTION("""COMPUTED_VALUE"""),"XEMUSDT")</f>
        <v>#NAME?</v>
      </c>
      <c r="C389" s="100" t="e">
        <f ca="1">IFERROR(__xludf.DUMMYFUNCTION("""COMPUTED_VALUE"""),"0.01671")</f>
        <v>#NAME?</v>
      </c>
      <c r="D389" s="100" t="e">
        <f t="shared" ca="1" si="49"/>
        <v>#NAME?</v>
      </c>
      <c r="E389" s="100" t="e">
        <f t="shared" ca="1" si="49"/>
        <v>#NAME?</v>
      </c>
      <c r="F389" s="100" t="e">
        <f t="shared" ca="1" si="50"/>
        <v>#NAME?</v>
      </c>
      <c r="G389" s="100" t="e">
        <f t="shared" ca="1" si="51"/>
        <v>#NAME?</v>
      </c>
      <c r="H389" s="100" t="e">
        <f t="shared" ca="1" si="52"/>
        <v>#NAME?</v>
      </c>
      <c r="I389" s="100" t="e">
        <f t="shared" ca="1" si="53"/>
        <v>#NAME?</v>
      </c>
      <c r="J389" s="100" t="e">
        <f ca="1">IFERROR(__xludf.DUMMYFUNCTION("""COMPUTED_VALUE"""),"0.06")</f>
        <v>#NAME?</v>
      </c>
      <c r="K389" s="100" t="e">
        <f t="shared" ca="1" si="54"/>
        <v>#NAME?</v>
      </c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</row>
    <row r="390" spans="1:26">
      <c r="A390" s="100" t="e">
        <f ca="1">IFERROR(__xludf.DUMMYFUNCTION("""COMPUTED_VALUE"""),12747507)</f>
        <v>#NAME?</v>
      </c>
      <c r="B390" s="100" t="e">
        <f ca="1">IFERROR(__xludf.DUMMYFUNCTION("""COMPUTED_VALUE"""),"PAALUSDT")</f>
        <v>#NAME?</v>
      </c>
      <c r="C390" s="100" t="e">
        <f ca="1">IFERROR(__xludf.DUMMYFUNCTION("""COMPUTED_VALUE"""),"0.13728")</f>
        <v>#NAME?</v>
      </c>
      <c r="D390" s="100" t="e">
        <f t="shared" ca="1" si="49"/>
        <v>#NAME?</v>
      </c>
      <c r="E390" s="100" t="e">
        <f t="shared" ca="1" si="49"/>
        <v>#NAME?</v>
      </c>
      <c r="F390" s="100" t="e">
        <f t="shared" ca="1" si="50"/>
        <v>#NAME?</v>
      </c>
      <c r="G390" s="100" t="e">
        <f t="shared" ca="1" si="51"/>
        <v>#NAME?</v>
      </c>
      <c r="H390" s="100" t="e">
        <f t="shared" ca="1" si="52"/>
        <v>#NAME?</v>
      </c>
      <c r="I390" s="100" t="e">
        <f t="shared" ca="1" si="53"/>
        <v>#NAME?</v>
      </c>
      <c r="J390" s="100" t="e">
        <f ca="1">IFERROR(__xludf.DUMMYFUNCTION("""COMPUTED_VALUE"""),"1.06")</f>
        <v>#NAME?</v>
      </c>
      <c r="K390" s="100" t="e">
        <f t="shared" ca="1" si="54"/>
        <v>#NAME?</v>
      </c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</row>
    <row r="391" spans="1:26">
      <c r="A391" s="100" t="e">
        <f ca="1">IFERROR(__xludf.DUMMYFUNCTION("""COMPUTED_VALUE"""),12747508)</f>
        <v>#NAME?</v>
      </c>
      <c r="B391" s="100" t="e">
        <f ca="1">IFERROR(__xludf.DUMMYFUNCTION("""COMPUTED_VALUE"""),"VANRYUSDT")</f>
        <v>#NAME?</v>
      </c>
      <c r="C391" s="100" t="e">
        <f ca="1">IFERROR(__xludf.DUMMYFUNCTION("""COMPUTED_VALUE"""),"0.02564")</f>
        <v>#NAME?</v>
      </c>
      <c r="D391" s="100" t="e">
        <f t="shared" ca="1" si="49"/>
        <v>#NAME?</v>
      </c>
      <c r="E391" s="100" t="e">
        <f t="shared" ca="1" si="49"/>
        <v>#NAME?</v>
      </c>
      <c r="F391" s="100" t="e">
        <f t="shared" ca="1" si="50"/>
        <v>#NAME?</v>
      </c>
      <c r="G391" s="100" t="e">
        <f t="shared" ca="1" si="51"/>
        <v>#NAME?</v>
      </c>
      <c r="H391" s="100" t="e">
        <f t="shared" ca="1" si="52"/>
        <v>#NAME?</v>
      </c>
      <c r="I391" s="100" t="e">
        <f t="shared" ca="1" si="53"/>
        <v>#NAME?</v>
      </c>
      <c r="J391" s="100" t="e">
        <f ca="1">IFERROR(__xludf.DUMMYFUNCTION("""COMPUTED_VALUE"""),"-1.76")</f>
        <v>#NAME?</v>
      </c>
      <c r="K391" s="100" t="e">
        <f t="shared" ca="1" si="54"/>
        <v>#NAME?</v>
      </c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</row>
    <row r="392" spans="1:26">
      <c r="A392" s="100" t="e">
        <f ca="1">IFERROR(__xludf.DUMMYFUNCTION("""COMPUTED_VALUE"""),12747509)</f>
        <v>#NAME?</v>
      </c>
      <c r="B392" s="100" t="e">
        <f ca="1">IFERROR(__xludf.DUMMYFUNCTION("""COMPUTED_VALUE"""),"MANABTC")</f>
        <v>#NAME?</v>
      </c>
      <c r="C392" s="100" t="e">
        <f ca="1">IFERROR(__xludf.DUMMYFUNCTION("""COMPUTED_VALUE"""),"0.00000338")</f>
        <v>#NAME?</v>
      </c>
      <c r="D392" s="100" t="e">
        <f t="shared" ca="1" si="49"/>
        <v>#NAME?</v>
      </c>
      <c r="E392" s="100" t="e">
        <f t="shared" ca="1" si="49"/>
        <v>#NAME?</v>
      </c>
      <c r="F392" s="100" t="e">
        <f t="shared" ca="1" si="50"/>
        <v>#NAME?</v>
      </c>
      <c r="G392" s="100" t="e">
        <f t="shared" ca="1" si="51"/>
        <v>#NAME?</v>
      </c>
      <c r="H392" s="100" t="e">
        <f t="shared" ca="1" si="52"/>
        <v>#NAME?</v>
      </c>
      <c r="I392" s="100" t="e">
        <f t="shared" ca="1" si="53"/>
        <v>#NAME?</v>
      </c>
      <c r="J392" s="100" t="e">
        <f ca="1">IFERROR(__xludf.DUMMYFUNCTION("""COMPUTED_VALUE"""),"-5.06")</f>
        <v>#NAME?</v>
      </c>
      <c r="K392" s="100" t="e">
        <f t="shared" ca="1" si="54"/>
        <v>#NAME?</v>
      </c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</row>
    <row r="393" spans="1:26">
      <c r="A393" s="100" t="e">
        <f ca="1">IFERROR(__xludf.DUMMYFUNCTION("""COMPUTED_VALUE"""),12747510)</f>
        <v>#NAME?</v>
      </c>
      <c r="B393" s="100" t="e">
        <f ca="1">IFERROR(__xludf.DUMMYFUNCTION("""COMPUTED_VALUE"""),"APEXUSDT")</f>
        <v>#NAME?</v>
      </c>
      <c r="C393" s="100" t="e">
        <f ca="1">IFERROR(__xludf.DUMMYFUNCTION("""COMPUTED_VALUE"""),"0.7413")</f>
        <v>#NAME?</v>
      </c>
      <c r="D393" s="100" t="e">
        <f t="shared" ca="1" si="49"/>
        <v>#NAME?</v>
      </c>
      <c r="E393" s="100" t="e">
        <f t="shared" ca="1" si="49"/>
        <v>#NAME?</v>
      </c>
      <c r="F393" s="100" t="e">
        <f t="shared" ca="1" si="50"/>
        <v>#NAME?</v>
      </c>
      <c r="G393" s="100" t="e">
        <f t="shared" ca="1" si="51"/>
        <v>#NAME?</v>
      </c>
      <c r="H393" s="100" t="e">
        <f t="shared" ca="1" si="52"/>
        <v>#NAME?</v>
      </c>
      <c r="I393" s="100" t="e">
        <f t="shared" ca="1" si="53"/>
        <v>#NAME?</v>
      </c>
      <c r="J393" s="100" t="e">
        <f ca="1">IFERROR(__xludf.DUMMYFUNCTION("""COMPUTED_VALUE"""),"0.11")</f>
        <v>#NAME?</v>
      </c>
      <c r="K393" s="100" t="e">
        <f t="shared" ca="1" si="54"/>
        <v>#NAME?</v>
      </c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</row>
    <row r="394" spans="1:26">
      <c r="A394" s="100" t="e">
        <f ca="1">IFERROR(__xludf.DUMMYFUNCTION("""COMPUTED_VALUE"""),12747511)</f>
        <v>#NAME?</v>
      </c>
      <c r="B394" s="100" t="e">
        <f ca="1">IFERROR(__xludf.DUMMYFUNCTION("""COMPUTED_VALUE"""),"FXSUSDT")</f>
        <v>#NAME?</v>
      </c>
      <c r="C394" s="100" t="e">
        <f ca="1">IFERROR(__xludf.DUMMYFUNCTION("""COMPUTED_VALUE"""),"1.884")</f>
        <v>#NAME?</v>
      </c>
      <c r="D394" s="100" t="e">
        <f t="shared" ca="1" si="49"/>
        <v>#NAME?</v>
      </c>
      <c r="E394" s="100" t="e">
        <f t="shared" ca="1" si="49"/>
        <v>#NAME?</v>
      </c>
      <c r="F394" s="100" t="e">
        <f t="shared" ca="1" si="50"/>
        <v>#NAME?</v>
      </c>
      <c r="G394" s="100" t="e">
        <f t="shared" ca="1" si="51"/>
        <v>#NAME?</v>
      </c>
      <c r="H394" s="100" t="e">
        <f t="shared" ca="1" si="52"/>
        <v>#NAME?</v>
      </c>
      <c r="I394" s="100" t="e">
        <f t="shared" ca="1" si="53"/>
        <v>#NAME?</v>
      </c>
      <c r="J394" s="100" t="e">
        <f ca="1">IFERROR(__xludf.DUMMYFUNCTION("""COMPUTED_VALUE"""),"-0.37")</f>
        <v>#NAME?</v>
      </c>
      <c r="K394" s="100" t="e">
        <f t="shared" ca="1" si="54"/>
        <v>#NAME?</v>
      </c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</row>
    <row r="395" spans="1:26">
      <c r="A395" s="100" t="e">
        <f ca="1">IFERROR(__xludf.DUMMYFUNCTION("""COMPUTED_VALUE"""),12747512)</f>
        <v>#NAME?</v>
      </c>
      <c r="B395" s="100" t="e">
        <f ca="1">IFERROR(__xludf.DUMMYFUNCTION("""COMPUTED_VALUE"""),"FIREUSDT")</f>
        <v>#NAME?</v>
      </c>
      <c r="C395" s="100" t="e">
        <f ca="1">IFERROR(__xludf.DUMMYFUNCTION("""COMPUTED_VALUE"""),"0.05447")</f>
        <v>#NAME?</v>
      </c>
      <c r="D395" s="100" t="e">
        <f t="shared" ca="1" si="49"/>
        <v>#NAME?</v>
      </c>
      <c r="E395" s="100" t="e">
        <f t="shared" ca="1" si="49"/>
        <v>#NAME?</v>
      </c>
      <c r="F395" s="100" t="e">
        <f t="shared" ca="1" si="50"/>
        <v>#NAME?</v>
      </c>
      <c r="G395" s="100" t="e">
        <f t="shared" ca="1" si="51"/>
        <v>#NAME?</v>
      </c>
      <c r="H395" s="100" t="e">
        <f t="shared" ca="1" si="52"/>
        <v>#NAME?</v>
      </c>
      <c r="I395" s="100" t="e">
        <f t="shared" ca="1" si="53"/>
        <v>#NAME?</v>
      </c>
      <c r="J395" s="100" t="e">
        <f ca="1">IFERROR(__xludf.DUMMYFUNCTION("""COMPUTED_VALUE"""),"-7.739999999999999")</f>
        <v>#NAME?</v>
      </c>
      <c r="K395" s="100" t="e">
        <f t="shared" ca="1" si="54"/>
        <v>#NAME?</v>
      </c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</row>
    <row r="396" spans="1:26">
      <c r="A396" s="100" t="e">
        <f ca="1">IFERROR(__xludf.DUMMYFUNCTION("""COMPUTED_VALUE"""),12747513)</f>
        <v>#NAME?</v>
      </c>
      <c r="B396" s="100" t="e">
        <f ca="1">IFERROR(__xludf.DUMMYFUNCTION("""COMPUTED_VALUE"""),"NOTUSDT")</f>
        <v>#NAME?</v>
      </c>
      <c r="C396" s="100" t="e">
        <f ca="1">IFERROR(__xludf.DUMMYFUNCTION("""COMPUTED_VALUE"""),"0.001922")</f>
        <v>#NAME?</v>
      </c>
      <c r="D396" s="100" t="e">
        <f t="shared" ca="1" si="49"/>
        <v>#NAME?</v>
      </c>
      <c r="E396" s="100" t="e">
        <f t="shared" ca="1" si="49"/>
        <v>#NAME?</v>
      </c>
      <c r="F396" s="100" t="e">
        <f t="shared" ca="1" si="50"/>
        <v>#NAME?</v>
      </c>
      <c r="G396" s="100" t="e">
        <f t="shared" ca="1" si="51"/>
        <v>#NAME?</v>
      </c>
      <c r="H396" s="100" t="e">
        <f t="shared" ca="1" si="52"/>
        <v>#NAME?</v>
      </c>
      <c r="I396" s="100" t="e">
        <f t="shared" ca="1" si="53"/>
        <v>#NAME?</v>
      </c>
      <c r="J396" s="100" t="e">
        <f ca="1">IFERROR(__xludf.DUMMYFUNCTION("""COMPUTED_VALUE"""),"-1.23")</f>
        <v>#NAME?</v>
      </c>
      <c r="K396" s="100" t="e">
        <f t="shared" ca="1" si="54"/>
        <v>#NAME?</v>
      </c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</row>
    <row r="397" spans="1:26">
      <c r="A397" s="100" t="e">
        <f ca="1">IFERROR(__xludf.DUMMYFUNCTION("""COMPUTED_VALUE"""),12747514)</f>
        <v>#NAME?</v>
      </c>
      <c r="B397" s="100" t="e">
        <f ca="1">IFERROR(__xludf.DUMMYFUNCTION("""COMPUTED_VALUE"""),"DOGEUSDC")</f>
        <v>#NAME?</v>
      </c>
      <c r="C397" s="100" t="e">
        <f ca="1">IFERROR(__xludf.DUMMYFUNCTION("""COMPUTED_VALUE"""),"0.16371")</f>
        <v>#NAME?</v>
      </c>
      <c r="D397" s="100" t="e">
        <f t="shared" ca="1" si="49"/>
        <v>#NAME?</v>
      </c>
      <c r="E397" s="100" t="e">
        <f t="shared" ca="1" si="49"/>
        <v>#NAME?</v>
      </c>
      <c r="F397" s="100" t="e">
        <f t="shared" ca="1" si="50"/>
        <v>#NAME?</v>
      </c>
      <c r="G397" s="100" t="e">
        <f t="shared" ca="1" si="51"/>
        <v>#NAME?</v>
      </c>
      <c r="H397" s="100" t="e">
        <f t="shared" ca="1" si="52"/>
        <v>#NAME?</v>
      </c>
      <c r="I397" s="100" t="e">
        <f t="shared" ca="1" si="53"/>
        <v>#NAME?</v>
      </c>
      <c r="J397" s="100" t="e">
        <f ca="1">IFERROR(__xludf.DUMMYFUNCTION("""COMPUTED_VALUE"""),"0.84")</f>
        <v>#NAME?</v>
      </c>
      <c r="K397" s="100" t="e">
        <f t="shared" ca="1" si="54"/>
        <v>#NAME?</v>
      </c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</row>
    <row r="398" spans="1:26">
      <c r="A398" s="100" t="e">
        <f ca="1">IFERROR(__xludf.DUMMYFUNCTION("""COMPUTED_VALUE"""),12747515)</f>
        <v>#NAME?</v>
      </c>
      <c r="B398" s="100" t="e">
        <f ca="1">IFERROR(__xludf.DUMMYFUNCTION("""COMPUTED_VALUE"""),"GRASSUSDT")</f>
        <v>#NAME?</v>
      </c>
      <c r="C398" s="100" t="e">
        <f ca="1">IFERROR(__xludf.DUMMYFUNCTION("""COMPUTED_VALUE"""),"1.5978")</f>
        <v>#NAME?</v>
      </c>
      <c r="D398" s="100" t="e">
        <f t="shared" ca="1" si="49"/>
        <v>#NAME?</v>
      </c>
      <c r="E398" s="100" t="e">
        <f t="shared" ca="1" si="49"/>
        <v>#NAME?</v>
      </c>
      <c r="F398" s="100" t="e">
        <f t="shared" ca="1" si="50"/>
        <v>#NAME?</v>
      </c>
      <c r="G398" s="100" t="e">
        <f t="shared" ca="1" si="51"/>
        <v>#NAME?</v>
      </c>
      <c r="H398" s="100" t="e">
        <f t="shared" ca="1" si="52"/>
        <v>#NAME?</v>
      </c>
      <c r="I398" s="100" t="e">
        <f t="shared" ca="1" si="53"/>
        <v>#NAME?</v>
      </c>
      <c r="J398" s="100" t="e">
        <f ca="1">IFERROR(__xludf.DUMMYFUNCTION("""COMPUTED_VALUE"""),"-5.7299999999999995")</f>
        <v>#NAME?</v>
      </c>
      <c r="K398" s="100" t="e">
        <f t="shared" ca="1" si="54"/>
        <v>#NAME?</v>
      </c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</row>
    <row r="399" spans="1:26">
      <c r="A399" s="100" t="e">
        <f ca="1">IFERROR(__xludf.DUMMYFUNCTION("""COMPUTED_VALUE"""),12747516)</f>
        <v>#NAME?</v>
      </c>
      <c r="B399" s="100" t="e">
        <f ca="1">IFERROR(__xludf.DUMMYFUNCTION("""COMPUTED_VALUE"""),"USDDUSDT")</f>
        <v>#NAME?</v>
      </c>
      <c r="C399" s="100" t="e">
        <f ca="1">IFERROR(__xludf.DUMMYFUNCTION("""COMPUTED_VALUE"""),"0.9999")</f>
        <v>#NAME?</v>
      </c>
      <c r="D399" s="100" t="e">
        <f t="shared" ca="1" si="49"/>
        <v>#NAME?</v>
      </c>
      <c r="E399" s="100" t="e">
        <f t="shared" ca="1" si="49"/>
        <v>#NAME?</v>
      </c>
      <c r="F399" s="100" t="e">
        <f t="shared" ca="1" si="50"/>
        <v>#NAME?</v>
      </c>
      <c r="G399" s="100" t="e">
        <f t="shared" ca="1" si="51"/>
        <v>#NAME?</v>
      </c>
      <c r="H399" s="100" t="e">
        <f t="shared" ca="1" si="52"/>
        <v>#NAME?</v>
      </c>
      <c r="I399" s="100" t="e">
        <f t="shared" ca="1" si="53"/>
        <v>#NAME?</v>
      </c>
      <c r="J399" s="100" t="e">
        <f ca="1">IFERROR(__xludf.DUMMYFUNCTION("""COMPUTED_VALUE"""),"-0.05")</f>
        <v>#NAME?</v>
      </c>
      <c r="K399" s="100" t="e">
        <f t="shared" ca="1" si="54"/>
        <v>#NAME?</v>
      </c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</row>
    <row r="400" spans="1:26">
      <c r="A400" s="100" t="e">
        <f ca="1">IFERROR(__xludf.DUMMYFUNCTION("""COMPUTED_VALUE"""),12747517)</f>
        <v>#NAME?</v>
      </c>
      <c r="B400" s="100" t="e">
        <f ca="1">IFERROR(__xludf.DUMMYFUNCTION("""COMPUTED_VALUE"""),"FTTUSDT")</f>
        <v>#NAME?</v>
      </c>
      <c r="C400" s="100" t="e">
        <f ca="1">IFERROR(__xludf.DUMMYFUNCTION("""COMPUTED_VALUE"""),"0.8168")</f>
        <v>#NAME?</v>
      </c>
      <c r="D400" s="100" t="e">
        <f t="shared" ca="1" si="49"/>
        <v>#NAME?</v>
      </c>
      <c r="E400" s="100" t="e">
        <f t="shared" ca="1" si="49"/>
        <v>#NAME?</v>
      </c>
      <c r="F400" s="100" t="e">
        <f t="shared" ca="1" si="50"/>
        <v>#NAME?</v>
      </c>
      <c r="G400" s="100" t="e">
        <f t="shared" ca="1" si="51"/>
        <v>#NAME?</v>
      </c>
      <c r="H400" s="100" t="e">
        <f t="shared" ca="1" si="52"/>
        <v>#NAME?</v>
      </c>
      <c r="I400" s="100" t="e">
        <f t="shared" ca="1" si="53"/>
        <v>#NAME?</v>
      </c>
      <c r="J400" s="100" t="e">
        <f ca="1">IFERROR(__xludf.DUMMYFUNCTION("""COMPUTED_VALUE"""),"-1.6500000000000001")</f>
        <v>#NAME?</v>
      </c>
      <c r="K400" s="100" t="e">
        <f t="shared" ca="1" si="54"/>
        <v>#NAME?</v>
      </c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</row>
    <row r="401" spans="1:26">
      <c r="A401" s="100" t="e">
        <f ca="1">IFERROR(__xludf.DUMMYFUNCTION("""COMPUTED_VALUE"""),12747518)</f>
        <v>#NAME?</v>
      </c>
      <c r="B401" s="100" t="e">
        <f ca="1">IFERROR(__xludf.DUMMYFUNCTION("""COMPUTED_VALUE"""),"ETHWUSDT")</f>
        <v>#NAME?</v>
      </c>
      <c r="C401" s="100" t="e">
        <f ca="1">IFERROR(__xludf.DUMMYFUNCTION("""COMPUTED_VALUE"""),"1.3023")</f>
        <v>#NAME?</v>
      </c>
      <c r="D401" s="100" t="e">
        <f t="shared" ca="1" si="49"/>
        <v>#NAME?</v>
      </c>
      <c r="E401" s="100" t="e">
        <f t="shared" ca="1" si="49"/>
        <v>#NAME?</v>
      </c>
      <c r="F401" s="100" t="e">
        <f t="shared" ca="1" si="50"/>
        <v>#NAME?</v>
      </c>
      <c r="G401" s="100" t="e">
        <f t="shared" ca="1" si="51"/>
        <v>#NAME?</v>
      </c>
      <c r="H401" s="100" t="e">
        <f t="shared" ca="1" si="52"/>
        <v>#NAME?</v>
      </c>
      <c r="I401" s="100" t="e">
        <f t="shared" ca="1" si="53"/>
        <v>#NAME?</v>
      </c>
      <c r="J401" s="100" t="e">
        <f ca="1">IFERROR(__xludf.DUMMYFUNCTION("""COMPUTED_VALUE"""),"-0.7000000000000001")</f>
        <v>#NAME?</v>
      </c>
      <c r="K401" s="100" t="e">
        <f t="shared" ca="1" si="54"/>
        <v>#NAME?</v>
      </c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</row>
    <row r="402" spans="1:26">
      <c r="A402" s="100" t="e">
        <f ca="1">IFERROR(__xludf.DUMMYFUNCTION("""COMPUTED_VALUE"""),12747519)</f>
        <v>#NAME?</v>
      </c>
      <c r="B402" s="100" t="e">
        <f ca="1">IFERROR(__xludf.DUMMYFUNCTION("""COMPUTED_VALUE"""),"WLDUSDC")</f>
        <v>#NAME?</v>
      </c>
      <c r="C402" s="100" t="e">
        <f ca="1">IFERROR(__xludf.DUMMYFUNCTION("""COMPUTED_VALUE"""),"0.778")</f>
        <v>#NAME?</v>
      </c>
      <c r="D402" s="100" t="e">
        <f t="shared" ref="D402:E421" ca="1" si="55">IFERROR(__xludf.DUMMYFUNCTION("""COMPUTED_VALUE"""),"-")</f>
        <v>#NAME?</v>
      </c>
      <c r="E402" s="100" t="e">
        <f t="shared" ca="1" si="55"/>
        <v>#NAME?</v>
      </c>
      <c r="F402" s="100" t="e">
        <f t="shared" ca="1" si="50"/>
        <v>#NAME?</v>
      </c>
      <c r="G402" s="100" t="e">
        <f t="shared" ca="1" si="51"/>
        <v>#NAME?</v>
      </c>
      <c r="H402" s="100" t="e">
        <f t="shared" ca="1" si="52"/>
        <v>#NAME?</v>
      </c>
      <c r="I402" s="100" t="e">
        <f t="shared" ca="1" si="53"/>
        <v>#NAME?</v>
      </c>
      <c r="J402" s="100" t="e">
        <f ca="1">IFERROR(__xludf.DUMMYFUNCTION("""COMPUTED_VALUE"""),"-1.77")</f>
        <v>#NAME?</v>
      </c>
      <c r="K402" s="100" t="e">
        <f t="shared" ca="1" si="54"/>
        <v>#NAME?</v>
      </c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</row>
    <row r="403" spans="1:26">
      <c r="A403" s="100" t="e">
        <f ca="1">IFERROR(__xludf.DUMMYFUNCTION("""COMPUTED_VALUE"""),12747520)</f>
        <v>#NAME?</v>
      </c>
      <c r="B403" s="100" t="e">
        <f ca="1">IFERROR(__xludf.DUMMYFUNCTION("""COMPUTED_VALUE"""),"ZKLUSDT")</f>
        <v>#NAME?</v>
      </c>
      <c r="C403" s="100" t="e">
        <f ca="1">IFERROR(__xludf.DUMMYFUNCTION("""COMPUTED_VALUE"""),"0.03194")</f>
        <v>#NAME?</v>
      </c>
      <c r="D403" s="100" t="e">
        <f t="shared" ca="1" si="55"/>
        <v>#NAME?</v>
      </c>
      <c r="E403" s="100" t="e">
        <f t="shared" ca="1" si="55"/>
        <v>#NAME?</v>
      </c>
      <c r="F403" s="100" t="e">
        <f t="shared" ca="1" si="50"/>
        <v>#NAME?</v>
      </c>
      <c r="G403" s="100" t="e">
        <f t="shared" ca="1" si="51"/>
        <v>#NAME?</v>
      </c>
      <c r="H403" s="100" t="e">
        <f t="shared" ca="1" si="52"/>
        <v>#NAME?</v>
      </c>
      <c r="I403" s="100" t="e">
        <f t="shared" ca="1" si="53"/>
        <v>#NAME?</v>
      </c>
      <c r="J403" s="100" t="e">
        <f ca="1">IFERROR(__xludf.DUMMYFUNCTION("""COMPUTED_VALUE"""),"-4.08")</f>
        <v>#NAME?</v>
      </c>
      <c r="K403" s="100" t="e">
        <f t="shared" ca="1" si="54"/>
        <v>#NAME?</v>
      </c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</row>
    <row r="404" spans="1:26">
      <c r="A404" s="100" t="e">
        <f ca="1">IFERROR(__xludf.DUMMYFUNCTION("""COMPUTED_VALUE"""),12747521)</f>
        <v>#NAME?</v>
      </c>
      <c r="B404" s="100" t="e">
        <f ca="1">IFERROR(__xludf.DUMMYFUNCTION("""COMPUTED_VALUE"""),"LUNAUSDT")</f>
        <v>#NAME?</v>
      </c>
      <c r="C404" s="100" t="e">
        <f ca="1">IFERROR(__xludf.DUMMYFUNCTION("""COMPUTED_VALUE"""),"0.1652")</f>
        <v>#NAME?</v>
      </c>
      <c r="D404" s="100" t="e">
        <f t="shared" ca="1" si="55"/>
        <v>#NAME?</v>
      </c>
      <c r="E404" s="100" t="e">
        <f t="shared" ca="1" si="55"/>
        <v>#NAME?</v>
      </c>
      <c r="F404" s="100" t="e">
        <f t="shared" ca="1" si="50"/>
        <v>#NAME?</v>
      </c>
      <c r="G404" s="100" t="e">
        <f t="shared" ca="1" si="51"/>
        <v>#NAME?</v>
      </c>
      <c r="H404" s="100" t="e">
        <f t="shared" ca="1" si="52"/>
        <v>#NAME?</v>
      </c>
      <c r="I404" s="100" t="e">
        <f t="shared" ca="1" si="53"/>
        <v>#NAME?</v>
      </c>
      <c r="J404" s="100" t="e">
        <f ca="1">IFERROR(__xludf.DUMMYFUNCTION("""COMPUTED_VALUE"""),"-3.56")</f>
        <v>#NAME?</v>
      </c>
      <c r="K404" s="100" t="e">
        <f t="shared" ca="1" si="54"/>
        <v>#NAME?</v>
      </c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</row>
    <row r="405" spans="1:26">
      <c r="A405" s="100" t="e">
        <f ca="1">IFERROR(__xludf.DUMMYFUNCTION("""COMPUTED_VALUE"""),12747522)</f>
        <v>#NAME?</v>
      </c>
      <c r="B405" s="100" t="e">
        <f ca="1">IFERROR(__xludf.DUMMYFUNCTION("""COMPUTED_VALUE"""),"ORDERUSDT")</f>
        <v>#NAME?</v>
      </c>
      <c r="C405" s="100" t="e">
        <f ca="1">IFERROR(__xludf.DUMMYFUNCTION("""COMPUTED_VALUE"""),"0.1046")</f>
        <v>#NAME?</v>
      </c>
      <c r="D405" s="100" t="e">
        <f t="shared" ca="1" si="55"/>
        <v>#NAME?</v>
      </c>
      <c r="E405" s="100" t="e">
        <f t="shared" ca="1" si="55"/>
        <v>#NAME?</v>
      </c>
      <c r="F405" s="100" t="e">
        <f t="shared" ca="1" si="50"/>
        <v>#NAME?</v>
      </c>
      <c r="G405" s="100" t="e">
        <f t="shared" ca="1" si="51"/>
        <v>#NAME?</v>
      </c>
      <c r="H405" s="100" t="e">
        <f t="shared" ca="1" si="52"/>
        <v>#NAME?</v>
      </c>
      <c r="I405" s="100" t="e">
        <f t="shared" ca="1" si="53"/>
        <v>#NAME?</v>
      </c>
      <c r="J405" s="100" t="e">
        <f ca="1">IFERROR(__xludf.DUMMYFUNCTION("""COMPUTED_VALUE"""),"-7.02")</f>
        <v>#NAME?</v>
      </c>
      <c r="K405" s="100" t="e">
        <f t="shared" ca="1" si="54"/>
        <v>#NAME?</v>
      </c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</row>
    <row r="406" spans="1:26">
      <c r="A406" s="100" t="e">
        <f ca="1">IFERROR(__xludf.DUMMYFUNCTION("""COMPUTED_VALUE"""),12747523)</f>
        <v>#NAME?</v>
      </c>
      <c r="B406" s="100" t="e">
        <f ca="1">IFERROR(__xludf.DUMMYFUNCTION("""COMPUTED_VALUE"""),"PORTALUSDT")</f>
        <v>#NAME?</v>
      </c>
      <c r="C406" s="100" t="e">
        <f ca="1">IFERROR(__xludf.DUMMYFUNCTION("""COMPUTED_VALUE"""),"0.08931")</f>
        <v>#NAME?</v>
      </c>
      <c r="D406" s="100" t="e">
        <f t="shared" ca="1" si="55"/>
        <v>#NAME?</v>
      </c>
      <c r="E406" s="100" t="e">
        <f t="shared" ca="1" si="55"/>
        <v>#NAME?</v>
      </c>
      <c r="F406" s="100" t="e">
        <f t="shared" ca="1" si="50"/>
        <v>#NAME?</v>
      </c>
      <c r="G406" s="100" t="e">
        <f t="shared" ca="1" si="51"/>
        <v>#NAME?</v>
      </c>
      <c r="H406" s="100" t="e">
        <f t="shared" ca="1" si="52"/>
        <v>#NAME?</v>
      </c>
      <c r="I406" s="100" t="e">
        <f t="shared" ca="1" si="53"/>
        <v>#NAME?</v>
      </c>
      <c r="J406" s="100" t="e">
        <f ca="1">IFERROR(__xludf.DUMMYFUNCTION("""COMPUTED_VALUE"""),"4.12")</f>
        <v>#NAME?</v>
      </c>
      <c r="K406" s="100" t="e">
        <f t="shared" ca="1" si="54"/>
        <v>#NAME?</v>
      </c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</row>
    <row r="407" spans="1:26">
      <c r="A407" s="100" t="e">
        <f ca="1">IFERROR(__xludf.DUMMYFUNCTION("""COMPUTED_VALUE"""),12747524)</f>
        <v>#NAME?</v>
      </c>
      <c r="B407" s="100" t="e">
        <f ca="1">IFERROR(__xludf.DUMMYFUNCTION("""COMPUTED_VALUE"""),"FILUSDC")</f>
        <v>#NAME?</v>
      </c>
      <c r="C407" s="100" t="e">
        <f ca="1">IFERROR(__xludf.DUMMYFUNCTION("""COMPUTED_VALUE"""),"2.509")</f>
        <v>#NAME?</v>
      </c>
      <c r="D407" s="100" t="e">
        <f t="shared" ca="1" si="55"/>
        <v>#NAME?</v>
      </c>
      <c r="E407" s="100" t="e">
        <f t="shared" ca="1" si="55"/>
        <v>#NAME?</v>
      </c>
      <c r="F407" s="100" t="e">
        <f t="shared" ca="1" si="50"/>
        <v>#NAME?</v>
      </c>
      <c r="G407" s="100" t="e">
        <f t="shared" ca="1" si="51"/>
        <v>#NAME?</v>
      </c>
      <c r="H407" s="100" t="e">
        <f t="shared" ca="1" si="52"/>
        <v>#NAME?</v>
      </c>
      <c r="I407" s="100" t="e">
        <f t="shared" ca="1" si="53"/>
        <v>#NAME?</v>
      </c>
      <c r="J407" s="100" t="e">
        <f ca="1">IFERROR(__xludf.DUMMYFUNCTION("""COMPUTED_VALUE"""),"-6.419999999999999")</f>
        <v>#NAME?</v>
      </c>
      <c r="K407" s="100" t="e">
        <f t="shared" ca="1" si="54"/>
        <v>#NAME?</v>
      </c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</row>
    <row r="408" spans="1:26">
      <c r="A408" s="100" t="e">
        <f ca="1">IFERROR(__xludf.DUMMYFUNCTION("""COMPUTED_VALUE"""),12747525)</f>
        <v>#NAME?</v>
      </c>
      <c r="B408" s="100" t="e">
        <f ca="1">IFERROR(__xludf.DUMMYFUNCTION("""COMPUTED_VALUE"""),"USDTEUR")</f>
        <v>#NAME?</v>
      </c>
      <c r="C408" s="100" t="e">
        <f ca="1">IFERROR(__xludf.DUMMYFUNCTION("""COMPUTED_VALUE"""),"0.8704")</f>
        <v>#NAME?</v>
      </c>
      <c r="D408" s="100" t="e">
        <f t="shared" ca="1" si="55"/>
        <v>#NAME?</v>
      </c>
      <c r="E408" s="100" t="e">
        <f t="shared" ca="1" si="55"/>
        <v>#NAME?</v>
      </c>
      <c r="F408" s="100" t="e">
        <f t="shared" ca="1" si="50"/>
        <v>#NAME?</v>
      </c>
      <c r="G408" s="100" t="e">
        <f t="shared" ca="1" si="51"/>
        <v>#NAME?</v>
      </c>
      <c r="H408" s="100" t="e">
        <f t="shared" ca="1" si="52"/>
        <v>#NAME?</v>
      </c>
      <c r="I408" s="100" t="e">
        <f t="shared" ca="1" si="53"/>
        <v>#NAME?</v>
      </c>
      <c r="J408" s="100" t="e">
        <f ca="1">IFERROR(__xludf.DUMMYFUNCTION("""COMPUTED_VALUE"""),"0.47000000000000003")</f>
        <v>#NAME?</v>
      </c>
      <c r="K408" s="100" t="e">
        <f t="shared" ca="1" si="54"/>
        <v>#NAME?</v>
      </c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</row>
    <row r="409" spans="1:26">
      <c r="A409" s="100" t="e">
        <f ca="1">IFERROR(__xludf.DUMMYFUNCTION("""COMPUTED_VALUE"""),12747526)</f>
        <v>#NAME?</v>
      </c>
      <c r="B409" s="100" t="e">
        <f ca="1">IFERROR(__xludf.DUMMYFUNCTION("""COMPUTED_VALUE"""),"FITFIUSDT")</f>
        <v>#NAME?</v>
      </c>
      <c r="C409" s="100" t="e">
        <f ca="1">IFERROR(__xludf.DUMMYFUNCTION("""COMPUTED_VALUE"""),"0.001547")</f>
        <v>#NAME?</v>
      </c>
      <c r="D409" s="100" t="e">
        <f t="shared" ca="1" si="55"/>
        <v>#NAME?</v>
      </c>
      <c r="E409" s="100" t="e">
        <f t="shared" ca="1" si="55"/>
        <v>#NAME?</v>
      </c>
      <c r="F409" s="100" t="e">
        <f t="shared" ca="1" si="50"/>
        <v>#NAME?</v>
      </c>
      <c r="G409" s="100" t="e">
        <f t="shared" ca="1" si="51"/>
        <v>#NAME?</v>
      </c>
      <c r="H409" s="100" t="e">
        <f t="shared" ca="1" si="52"/>
        <v>#NAME?</v>
      </c>
      <c r="I409" s="100" t="e">
        <f t="shared" ca="1" si="53"/>
        <v>#NAME?</v>
      </c>
      <c r="J409" s="100" t="e">
        <f ca="1">IFERROR(__xludf.DUMMYFUNCTION("""COMPUTED_VALUE"""),"-3.6700000000000004")</f>
        <v>#NAME?</v>
      </c>
      <c r="K409" s="100" t="e">
        <f t="shared" ca="1" si="54"/>
        <v>#NAME?</v>
      </c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</row>
    <row r="410" spans="1:26">
      <c r="A410" s="100" t="e">
        <f ca="1">IFERROR(__xludf.DUMMYFUNCTION("""COMPUTED_VALUE"""),12747527)</f>
        <v>#NAME?</v>
      </c>
      <c r="B410" s="100" t="e">
        <f ca="1">IFERROR(__xludf.DUMMYFUNCTION("""COMPUTED_VALUE"""),"UNIUSDC")</f>
        <v>#NAME?</v>
      </c>
      <c r="C410" s="100" t="e">
        <f ca="1">IFERROR(__xludf.DUMMYFUNCTION("""COMPUTED_VALUE"""),"5.355")</f>
        <v>#NAME?</v>
      </c>
      <c r="D410" s="100" t="e">
        <f t="shared" ca="1" si="55"/>
        <v>#NAME?</v>
      </c>
      <c r="E410" s="100" t="e">
        <f t="shared" ca="1" si="55"/>
        <v>#NAME?</v>
      </c>
      <c r="F410" s="100" t="e">
        <f t="shared" ca="1" si="50"/>
        <v>#NAME?</v>
      </c>
      <c r="G410" s="100" t="e">
        <f t="shared" ca="1" si="51"/>
        <v>#NAME?</v>
      </c>
      <c r="H410" s="100" t="e">
        <f t="shared" ca="1" si="52"/>
        <v>#NAME?</v>
      </c>
      <c r="I410" s="100" t="e">
        <f t="shared" ca="1" si="53"/>
        <v>#NAME?</v>
      </c>
      <c r="J410" s="100" t="e">
        <f ca="1">IFERROR(__xludf.DUMMYFUNCTION("""COMPUTED_VALUE"""),"-1.44")</f>
        <v>#NAME?</v>
      </c>
      <c r="K410" s="100" t="e">
        <f t="shared" ca="1" si="54"/>
        <v>#NAME?</v>
      </c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</row>
    <row r="411" spans="1:26">
      <c r="A411" s="100" t="e">
        <f ca="1">IFERROR(__xludf.DUMMYFUNCTION("""COMPUTED_VALUE"""),12747528)</f>
        <v>#NAME?</v>
      </c>
      <c r="B411" s="100" t="e">
        <f ca="1">IFERROR(__xludf.DUMMYFUNCTION("""COMPUTED_VALUE"""),"EGP1USDT")</f>
        <v>#NAME?</v>
      </c>
      <c r="C411" s="100" t="e">
        <f ca="1">IFERROR(__xludf.DUMMYFUNCTION("""COMPUTED_VALUE"""),"0.8556")</f>
        <v>#NAME?</v>
      </c>
      <c r="D411" s="100" t="e">
        <f t="shared" ca="1" si="55"/>
        <v>#NAME?</v>
      </c>
      <c r="E411" s="100" t="e">
        <f t="shared" ca="1" si="55"/>
        <v>#NAME?</v>
      </c>
      <c r="F411" s="100" t="e">
        <f t="shared" ca="1" si="50"/>
        <v>#NAME?</v>
      </c>
      <c r="G411" s="100" t="e">
        <f t="shared" ca="1" si="51"/>
        <v>#NAME?</v>
      </c>
      <c r="H411" s="100" t="e">
        <f t="shared" ca="1" si="52"/>
        <v>#NAME?</v>
      </c>
      <c r="I411" s="100" t="e">
        <f t="shared" ca="1" si="53"/>
        <v>#NAME?</v>
      </c>
      <c r="J411" s="100" t="e">
        <f ca="1">IFERROR(__xludf.DUMMYFUNCTION("""COMPUTED_VALUE"""),"-9.24")</f>
        <v>#NAME?</v>
      </c>
      <c r="K411" s="100" t="e">
        <f t="shared" ca="1" si="54"/>
        <v>#NAME?</v>
      </c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</row>
    <row r="412" spans="1:26">
      <c r="A412" s="100" t="e">
        <f ca="1">IFERROR(__xludf.DUMMYFUNCTION("""COMPUTED_VALUE"""),12747529)</f>
        <v>#NAME?</v>
      </c>
      <c r="B412" s="100" t="e">
        <f ca="1">IFERROR(__xludf.DUMMYFUNCTION("""COMPUTED_VALUE"""),"BNBUSDC")</f>
        <v>#NAME?</v>
      </c>
      <c r="C412" s="100" t="e">
        <f ca="1">IFERROR(__xludf.DUMMYFUNCTION("""COMPUTED_VALUE"""),"605.3")</f>
        <v>#NAME?</v>
      </c>
      <c r="D412" s="100" t="e">
        <f t="shared" ca="1" si="55"/>
        <v>#NAME?</v>
      </c>
      <c r="E412" s="100" t="e">
        <f t="shared" ca="1" si="55"/>
        <v>#NAME?</v>
      </c>
      <c r="F412" s="100" t="e">
        <f t="shared" ca="1" si="50"/>
        <v>#NAME?</v>
      </c>
      <c r="G412" s="100" t="e">
        <f t="shared" ca="1" si="51"/>
        <v>#NAME?</v>
      </c>
      <c r="H412" s="100" t="e">
        <f t="shared" ca="1" si="52"/>
        <v>#NAME?</v>
      </c>
      <c r="I412" s="100" t="e">
        <f t="shared" ca="1" si="53"/>
        <v>#NAME?</v>
      </c>
      <c r="J412" s="100" t="e">
        <f ca="1">IFERROR(__xludf.DUMMYFUNCTION("""COMPUTED_VALUE"""),"0.12")</f>
        <v>#NAME?</v>
      </c>
      <c r="K412" s="100" t="e">
        <f t="shared" ca="1" si="54"/>
        <v>#NAME?</v>
      </c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</row>
    <row r="413" spans="1:26">
      <c r="A413" s="100" t="e">
        <f ca="1">IFERROR(__xludf.DUMMYFUNCTION("""COMPUTED_VALUE"""),12747530)</f>
        <v>#NAME?</v>
      </c>
      <c r="B413" s="100" t="e">
        <f ca="1">IFERROR(__xludf.DUMMYFUNCTION("""COMPUTED_VALUE"""),"FLIPUSDT")</f>
        <v>#NAME?</v>
      </c>
      <c r="C413" s="100" t="e">
        <f ca="1">IFERROR(__xludf.DUMMYFUNCTION("""COMPUTED_VALUE"""),"0.4867")</f>
        <v>#NAME?</v>
      </c>
      <c r="D413" s="100" t="e">
        <f t="shared" ca="1" si="55"/>
        <v>#NAME?</v>
      </c>
      <c r="E413" s="100" t="e">
        <f t="shared" ca="1" si="55"/>
        <v>#NAME?</v>
      </c>
      <c r="F413" s="100" t="e">
        <f t="shared" ca="1" si="50"/>
        <v>#NAME?</v>
      </c>
      <c r="G413" s="100" t="e">
        <f t="shared" ca="1" si="51"/>
        <v>#NAME?</v>
      </c>
      <c r="H413" s="100" t="e">
        <f t="shared" ca="1" si="52"/>
        <v>#NAME?</v>
      </c>
      <c r="I413" s="100" t="e">
        <f t="shared" ca="1" si="53"/>
        <v>#NAME?</v>
      </c>
      <c r="J413" s="100" t="e">
        <f ca="1">IFERROR(__xludf.DUMMYFUNCTION("""COMPUTED_VALUE"""),"3.73")</f>
        <v>#NAME?</v>
      </c>
      <c r="K413" s="100" t="e">
        <f t="shared" ca="1" si="54"/>
        <v>#NAME?</v>
      </c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</row>
    <row r="414" spans="1:26">
      <c r="A414" s="100" t="e">
        <f ca="1">IFERROR(__xludf.DUMMYFUNCTION("""COMPUTED_VALUE"""),12747531)</f>
        <v>#NAME?</v>
      </c>
      <c r="B414" s="100" t="e">
        <f ca="1">IFERROR(__xludf.DUMMYFUNCTION("""COMPUTED_VALUE"""),"ETHTRY")</f>
        <v>#NAME?</v>
      </c>
      <c r="C414" s="100" t="e">
        <f ca="1">IFERROR(__xludf.DUMMYFUNCTION("""COMPUTED_VALUE"""),"62095")</f>
        <v>#NAME?</v>
      </c>
      <c r="D414" s="100" t="e">
        <f t="shared" ca="1" si="55"/>
        <v>#NAME?</v>
      </c>
      <c r="E414" s="100" t="e">
        <f t="shared" ca="1" si="55"/>
        <v>#NAME?</v>
      </c>
      <c r="F414" s="100" t="e">
        <f t="shared" ca="1" si="50"/>
        <v>#NAME?</v>
      </c>
      <c r="G414" s="100" t="e">
        <f t="shared" ca="1" si="51"/>
        <v>#NAME?</v>
      </c>
      <c r="H414" s="100" t="e">
        <f t="shared" ca="1" si="52"/>
        <v>#NAME?</v>
      </c>
      <c r="I414" s="100" t="e">
        <f t="shared" ca="1" si="53"/>
        <v>#NAME?</v>
      </c>
      <c r="J414" s="100" t="e">
        <f ca="1">IFERROR(__xludf.DUMMYFUNCTION("""COMPUTED_VALUE"""),"-1.17")</f>
        <v>#NAME?</v>
      </c>
      <c r="K414" s="100" t="e">
        <f t="shared" ca="1" si="54"/>
        <v>#NAME?</v>
      </c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</row>
    <row r="415" spans="1:26">
      <c r="A415" s="100" t="e">
        <f ca="1">IFERROR(__xludf.DUMMYFUNCTION("""COMPUTED_VALUE"""),12747532)</f>
        <v>#NAME?</v>
      </c>
      <c r="B415" s="100" t="e">
        <f ca="1">IFERROR(__xludf.DUMMYFUNCTION("""COMPUTED_VALUE"""),"HFTUSDC")</f>
        <v>#NAME?</v>
      </c>
      <c r="C415" s="100" t="e">
        <f ca="1">IFERROR(__xludf.DUMMYFUNCTION("""COMPUTED_VALUE"""),"0.0641")</f>
        <v>#NAME?</v>
      </c>
      <c r="D415" s="100" t="e">
        <f t="shared" ca="1" si="55"/>
        <v>#NAME?</v>
      </c>
      <c r="E415" s="100" t="e">
        <f t="shared" ca="1" si="55"/>
        <v>#NAME?</v>
      </c>
      <c r="F415" s="100" t="e">
        <f t="shared" ca="1" si="50"/>
        <v>#NAME?</v>
      </c>
      <c r="G415" s="100" t="e">
        <f t="shared" ca="1" si="51"/>
        <v>#NAME?</v>
      </c>
      <c r="H415" s="100" t="e">
        <f t="shared" ca="1" si="52"/>
        <v>#NAME?</v>
      </c>
      <c r="I415" s="100" t="e">
        <f t="shared" ca="1" si="53"/>
        <v>#NAME?</v>
      </c>
      <c r="J415" s="100" t="e">
        <f ca="1">IFERROR(__xludf.DUMMYFUNCTION("""COMPUTED_VALUE"""),"-4.75")</f>
        <v>#NAME?</v>
      </c>
      <c r="K415" s="100" t="e">
        <f t="shared" ca="1" si="54"/>
        <v>#NAME?</v>
      </c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</row>
    <row r="416" spans="1:26">
      <c r="A416" s="100" t="e">
        <f ca="1">IFERROR(__xludf.DUMMYFUNCTION("""COMPUTED_VALUE"""),12747533)</f>
        <v>#NAME?</v>
      </c>
      <c r="B416" s="100" t="e">
        <f ca="1">IFERROR(__xludf.DUMMYFUNCTION("""COMPUTED_VALUE"""),"BRETTUSDT")</f>
        <v>#NAME?</v>
      </c>
      <c r="C416" s="100" t="e">
        <f ca="1">IFERROR(__xludf.DUMMYFUNCTION("""COMPUTED_VALUE"""),"0.03557")</f>
        <v>#NAME?</v>
      </c>
      <c r="D416" s="100" t="e">
        <f t="shared" ca="1" si="55"/>
        <v>#NAME?</v>
      </c>
      <c r="E416" s="100" t="e">
        <f t="shared" ca="1" si="55"/>
        <v>#NAME?</v>
      </c>
      <c r="F416" s="100" t="e">
        <f t="shared" ca="1" si="50"/>
        <v>#NAME?</v>
      </c>
      <c r="G416" s="100" t="e">
        <f t="shared" ca="1" si="51"/>
        <v>#NAME?</v>
      </c>
      <c r="H416" s="100" t="e">
        <f t="shared" ca="1" si="52"/>
        <v>#NAME?</v>
      </c>
      <c r="I416" s="100" t="e">
        <f t="shared" ca="1" si="53"/>
        <v>#NAME?</v>
      </c>
      <c r="J416" s="100" t="e">
        <f ca="1">IFERROR(__xludf.DUMMYFUNCTION("""COMPUTED_VALUE"""),"-2.09")</f>
        <v>#NAME?</v>
      </c>
      <c r="K416" s="100" t="e">
        <f t="shared" ca="1" si="54"/>
        <v>#NAME?</v>
      </c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</row>
    <row r="417" spans="1:26">
      <c r="A417" s="100" t="e">
        <f ca="1">IFERROR(__xludf.DUMMYFUNCTION("""COMPUTED_VALUE"""),12747534)</f>
        <v>#NAME?</v>
      </c>
      <c r="B417" s="100" t="e">
        <f ca="1">IFERROR(__xludf.DUMMYFUNCTION("""COMPUTED_VALUE"""),"SOLBTC")</f>
        <v>#NAME?</v>
      </c>
      <c r="C417" s="100" t="e">
        <f ca="1">IFERROR(__xludf.DUMMYFUNCTION("""COMPUTED_VALUE"""),"0.0015812")</f>
        <v>#NAME?</v>
      </c>
      <c r="D417" s="100" t="e">
        <f t="shared" ca="1" si="55"/>
        <v>#NAME?</v>
      </c>
      <c r="E417" s="100" t="e">
        <f t="shared" ca="1" si="55"/>
        <v>#NAME?</v>
      </c>
      <c r="F417" s="100" t="e">
        <f t="shared" ca="1" si="50"/>
        <v>#NAME?</v>
      </c>
      <c r="G417" s="100" t="e">
        <f t="shared" ca="1" si="51"/>
        <v>#NAME?</v>
      </c>
      <c r="H417" s="100" t="e">
        <f t="shared" ca="1" si="52"/>
        <v>#NAME?</v>
      </c>
      <c r="I417" s="100" t="e">
        <f t="shared" ca="1" si="53"/>
        <v>#NAME?</v>
      </c>
      <c r="J417" s="100" t="e">
        <f ca="1">IFERROR(__xludf.DUMMYFUNCTION("""COMPUTED_VALUE"""),"-1.27")</f>
        <v>#NAME?</v>
      </c>
      <c r="K417" s="100" t="e">
        <f t="shared" ca="1" si="54"/>
        <v>#NAME?</v>
      </c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</row>
    <row r="418" spans="1:26">
      <c r="A418" s="100" t="e">
        <f ca="1">IFERROR(__xludf.DUMMYFUNCTION("""COMPUTED_VALUE"""),12747535)</f>
        <v>#NAME?</v>
      </c>
      <c r="B418" s="100" t="e">
        <f ca="1">IFERROR(__xludf.DUMMYFUNCTION("""COMPUTED_VALUE"""),"CHRPUSDT")</f>
        <v>#NAME?</v>
      </c>
      <c r="C418" s="100" t="e">
        <f ca="1">IFERROR(__xludf.DUMMYFUNCTION("""COMPUTED_VALUE"""),"0.001918")</f>
        <v>#NAME?</v>
      </c>
      <c r="D418" s="100" t="e">
        <f t="shared" ca="1" si="55"/>
        <v>#NAME?</v>
      </c>
      <c r="E418" s="100" t="e">
        <f t="shared" ca="1" si="55"/>
        <v>#NAME?</v>
      </c>
      <c r="F418" s="100" t="e">
        <f t="shared" ca="1" si="50"/>
        <v>#NAME?</v>
      </c>
      <c r="G418" s="100" t="e">
        <f t="shared" ca="1" si="51"/>
        <v>#NAME?</v>
      </c>
      <c r="H418" s="100" t="e">
        <f t="shared" ca="1" si="52"/>
        <v>#NAME?</v>
      </c>
      <c r="I418" s="100" t="e">
        <f t="shared" ca="1" si="53"/>
        <v>#NAME?</v>
      </c>
      <c r="J418" s="100" t="e">
        <f ca="1">IFERROR(__xludf.DUMMYFUNCTION("""COMPUTED_VALUE"""),"-7.79")</f>
        <v>#NAME?</v>
      </c>
      <c r="K418" s="100" t="e">
        <f t="shared" ca="1" si="54"/>
        <v>#NAME?</v>
      </c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</row>
    <row r="419" spans="1:26">
      <c r="A419" s="100" t="e">
        <f ca="1">IFERROR(__xludf.DUMMYFUNCTION("""COMPUTED_VALUE"""),12747536)</f>
        <v>#NAME?</v>
      </c>
      <c r="B419" s="100" t="e">
        <f ca="1">IFERROR(__xludf.DUMMYFUNCTION("""COMPUTED_VALUE"""),"REDUSDT")</f>
        <v>#NAME?</v>
      </c>
      <c r="C419" s="100" t="e">
        <f ca="1">IFERROR(__xludf.DUMMYFUNCTION("""COMPUTED_VALUE"""),"0.3889")</f>
        <v>#NAME?</v>
      </c>
      <c r="D419" s="100" t="e">
        <f t="shared" ca="1" si="55"/>
        <v>#NAME?</v>
      </c>
      <c r="E419" s="100" t="e">
        <f t="shared" ca="1" si="55"/>
        <v>#NAME?</v>
      </c>
      <c r="F419" s="100" t="e">
        <f t="shared" ca="1" si="50"/>
        <v>#NAME?</v>
      </c>
      <c r="G419" s="100" t="e">
        <f t="shared" ca="1" si="51"/>
        <v>#NAME?</v>
      </c>
      <c r="H419" s="100" t="e">
        <f t="shared" ca="1" si="52"/>
        <v>#NAME?</v>
      </c>
      <c r="I419" s="100" t="e">
        <f t="shared" ca="1" si="53"/>
        <v>#NAME?</v>
      </c>
      <c r="J419" s="100" t="e">
        <f ca="1">IFERROR(__xludf.DUMMYFUNCTION("""COMPUTED_VALUE"""),"0.45999999999999996")</f>
        <v>#NAME?</v>
      </c>
      <c r="K419" s="100" t="e">
        <f t="shared" ca="1" si="54"/>
        <v>#NAME?</v>
      </c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</row>
    <row r="420" spans="1:26">
      <c r="A420" s="100" t="e">
        <f ca="1">IFERROR(__xludf.DUMMYFUNCTION("""COMPUTED_VALUE"""),12747537)</f>
        <v>#NAME?</v>
      </c>
      <c r="B420" s="100" t="e">
        <f ca="1">IFERROR(__xludf.DUMMYFUNCTION("""COMPUTED_VALUE"""),"ATOMUSDT")</f>
        <v>#NAME?</v>
      </c>
      <c r="C420" s="100" t="e">
        <f ca="1">IFERROR(__xludf.DUMMYFUNCTION("""COMPUTED_VALUE"""),"4.085")</f>
        <v>#NAME?</v>
      </c>
      <c r="D420" s="100" t="e">
        <f t="shared" ca="1" si="55"/>
        <v>#NAME?</v>
      </c>
      <c r="E420" s="100" t="e">
        <f t="shared" ca="1" si="55"/>
        <v>#NAME?</v>
      </c>
      <c r="F420" s="100" t="e">
        <f t="shared" ca="1" si="50"/>
        <v>#NAME?</v>
      </c>
      <c r="G420" s="100" t="e">
        <f t="shared" ca="1" si="51"/>
        <v>#NAME?</v>
      </c>
      <c r="H420" s="100" t="e">
        <f t="shared" ca="1" si="52"/>
        <v>#NAME?</v>
      </c>
      <c r="I420" s="100" t="e">
        <f t="shared" ca="1" si="53"/>
        <v>#NAME?</v>
      </c>
      <c r="J420" s="100" t="e">
        <f ca="1">IFERROR(__xludf.DUMMYFUNCTION("""COMPUTED_VALUE"""),"-4.2700000000000005")</f>
        <v>#NAME?</v>
      </c>
      <c r="K420" s="100" t="e">
        <f t="shared" ca="1" si="54"/>
        <v>#NAME?</v>
      </c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</row>
    <row r="421" spans="1:26">
      <c r="A421" s="100" t="e">
        <f ca="1">IFERROR(__xludf.DUMMYFUNCTION("""COMPUTED_VALUE"""),12747538)</f>
        <v>#NAME?</v>
      </c>
      <c r="B421" s="100" t="e">
        <f ca="1">IFERROR(__xludf.DUMMYFUNCTION("""COMPUTED_VALUE"""),"SUSDT")</f>
        <v>#NAME?</v>
      </c>
      <c r="C421" s="100" t="e">
        <f ca="1">IFERROR(__xludf.DUMMYFUNCTION("""COMPUTED_VALUE"""),"0.4795")</f>
        <v>#NAME?</v>
      </c>
      <c r="D421" s="100" t="e">
        <f t="shared" ca="1" si="55"/>
        <v>#NAME?</v>
      </c>
      <c r="E421" s="100" t="e">
        <f t="shared" ca="1" si="55"/>
        <v>#NAME?</v>
      </c>
      <c r="F421" s="100" t="e">
        <f t="shared" ca="1" si="50"/>
        <v>#NAME?</v>
      </c>
      <c r="G421" s="100" t="e">
        <f t="shared" ca="1" si="51"/>
        <v>#NAME?</v>
      </c>
      <c r="H421" s="100" t="e">
        <f t="shared" ca="1" si="52"/>
        <v>#NAME?</v>
      </c>
      <c r="I421" s="100" t="e">
        <f t="shared" ca="1" si="53"/>
        <v>#NAME?</v>
      </c>
      <c r="J421" s="100" t="e">
        <f ca="1">IFERROR(__xludf.DUMMYFUNCTION("""COMPUTED_VALUE"""),"-1.6199999999999999")</f>
        <v>#NAME?</v>
      </c>
      <c r="K421" s="100" t="e">
        <f t="shared" ca="1" si="54"/>
        <v>#NAME?</v>
      </c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</row>
    <row r="422" spans="1:26">
      <c r="A422" s="100" t="e">
        <f ca="1">IFERROR(__xludf.DUMMYFUNCTION("""COMPUTED_VALUE"""),12747539)</f>
        <v>#NAME?</v>
      </c>
      <c r="B422" s="100" t="e">
        <f ca="1">IFERROR(__xludf.DUMMYFUNCTION("""COMPUTED_VALUE"""),"VANAUSDT")</f>
        <v>#NAME?</v>
      </c>
      <c r="C422" s="100" t="e">
        <f ca="1">IFERROR(__xludf.DUMMYFUNCTION("""COMPUTED_VALUE"""),"5.029")</f>
        <v>#NAME?</v>
      </c>
      <c r="D422" s="100" t="e">
        <f t="shared" ref="D422:E441" ca="1" si="56">IFERROR(__xludf.DUMMYFUNCTION("""COMPUTED_VALUE"""),"-")</f>
        <v>#NAME?</v>
      </c>
      <c r="E422" s="100" t="e">
        <f t="shared" ca="1" si="56"/>
        <v>#NAME?</v>
      </c>
      <c r="F422" s="100" t="e">
        <f t="shared" ca="1" si="50"/>
        <v>#NAME?</v>
      </c>
      <c r="G422" s="100" t="e">
        <f t="shared" ca="1" si="51"/>
        <v>#NAME?</v>
      </c>
      <c r="H422" s="100" t="e">
        <f t="shared" ca="1" si="52"/>
        <v>#NAME?</v>
      </c>
      <c r="I422" s="100" t="e">
        <f t="shared" ca="1" si="53"/>
        <v>#NAME?</v>
      </c>
      <c r="J422" s="100" t="e">
        <f ca="1">IFERROR(__xludf.DUMMYFUNCTION("""COMPUTED_VALUE"""),"-2.06")</f>
        <v>#NAME?</v>
      </c>
      <c r="K422" s="100" t="e">
        <f t="shared" ca="1" si="54"/>
        <v>#NAME?</v>
      </c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</row>
    <row r="423" spans="1:26">
      <c r="A423" s="100" t="e">
        <f ca="1">IFERROR(__xludf.DUMMYFUNCTION("""COMPUTED_VALUE"""),12747540)</f>
        <v>#NAME?</v>
      </c>
      <c r="B423" s="100" t="e">
        <f ca="1">IFERROR(__xludf.DUMMYFUNCTION("""COMPUTED_VALUE"""),"ACSUSDT")</f>
        <v>#NAME?</v>
      </c>
      <c r="C423" s="100" t="e">
        <f ca="1">IFERROR(__xludf.DUMMYFUNCTION("""COMPUTED_VALUE"""),"0.0012575")</f>
        <v>#NAME?</v>
      </c>
      <c r="D423" s="100" t="e">
        <f t="shared" ca="1" si="56"/>
        <v>#NAME?</v>
      </c>
      <c r="E423" s="100" t="e">
        <f t="shared" ca="1" si="56"/>
        <v>#NAME?</v>
      </c>
      <c r="F423" s="100" t="e">
        <f t="shared" ca="1" si="50"/>
        <v>#NAME?</v>
      </c>
      <c r="G423" s="100" t="e">
        <f t="shared" ca="1" si="51"/>
        <v>#NAME?</v>
      </c>
      <c r="H423" s="100" t="e">
        <f t="shared" ca="1" si="52"/>
        <v>#NAME?</v>
      </c>
      <c r="I423" s="100" t="e">
        <f t="shared" ca="1" si="53"/>
        <v>#NAME?</v>
      </c>
      <c r="J423" s="100" t="e">
        <f ca="1">IFERROR(__xludf.DUMMYFUNCTION("""COMPUTED_VALUE"""),"-4.12")</f>
        <v>#NAME?</v>
      </c>
      <c r="K423" s="100" t="e">
        <f t="shared" ca="1" si="54"/>
        <v>#NAME?</v>
      </c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</row>
    <row r="424" spans="1:26">
      <c r="A424" s="100" t="e">
        <f ca="1">IFERROR(__xludf.DUMMYFUNCTION("""COMPUTED_VALUE"""),12747541)</f>
        <v>#NAME?</v>
      </c>
      <c r="B424" s="100" t="e">
        <f ca="1">IFERROR(__xludf.DUMMYFUNCTION("""COMPUTED_VALUE"""),"WAVESUSDT")</f>
        <v>#NAME?</v>
      </c>
      <c r="C424" s="100" t="e">
        <f ca="1">IFERROR(__xludf.DUMMYFUNCTION("""COMPUTED_VALUE"""),"1.096")</f>
        <v>#NAME?</v>
      </c>
      <c r="D424" s="100" t="e">
        <f t="shared" ca="1" si="56"/>
        <v>#NAME?</v>
      </c>
      <c r="E424" s="100" t="e">
        <f t="shared" ca="1" si="56"/>
        <v>#NAME?</v>
      </c>
      <c r="F424" s="100" t="e">
        <f t="shared" ca="1" si="50"/>
        <v>#NAME?</v>
      </c>
      <c r="G424" s="100" t="e">
        <f t="shared" ca="1" si="51"/>
        <v>#NAME?</v>
      </c>
      <c r="H424" s="100" t="e">
        <f t="shared" ca="1" si="52"/>
        <v>#NAME?</v>
      </c>
      <c r="I424" s="100" t="e">
        <f t="shared" ca="1" si="53"/>
        <v>#NAME?</v>
      </c>
      <c r="J424" s="100" t="e">
        <f ca="1">IFERROR(__xludf.DUMMYFUNCTION("""COMPUTED_VALUE"""),"-2.1399999999999997")</f>
        <v>#NAME?</v>
      </c>
      <c r="K424" s="100" t="e">
        <f t="shared" ca="1" si="54"/>
        <v>#NAME?</v>
      </c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</row>
    <row r="425" spans="1:26">
      <c r="A425" s="100" t="e">
        <f ca="1">IFERROR(__xludf.DUMMYFUNCTION("""COMPUTED_VALUE"""),12747542)</f>
        <v>#NAME?</v>
      </c>
      <c r="B425" s="100" t="e">
        <f ca="1">IFERROR(__xludf.DUMMYFUNCTION("""COMPUTED_VALUE"""),"DOGSEUR")</f>
        <v>#NAME?</v>
      </c>
      <c r="C425" s="100" t="e">
        <f ca="1">IFERROR(__xludf.DUMMYFUNCTION("""COMPUTED_VALUE"""),"0.0001039")</f>
        <v>#NAME?</v>
      </c>
      <c r="D425" s="100" t="e">
        <f t="shared" ca="1" si="56"/>
        <v>#NAME?</v>
      </c>
      <c r="E425" s="100" t="e">
        <f t="shared" ca="1" si="56"/>
        <v>#NAME?</v>
      </c>
      <c r="F425" s="100" t="e">
        <f t="shared" ca="1" si="50"/>
        <v>#NAME?</v>
      </c>
      <c r="G425" s="100" t="e">
        <f t="shared" ca="1" si="51"/>
        <v>#NAME?</v>
      </c>
      <c r="H425" s="100" t="e">
        <f t="shared" ca="1" si="52"/>
        <v>#NAME?</v>
      </c>
      <c r="I425" s="100" t="e">
        <f t="shared" ca="1" si="53"/>
        <v>#NAME?</v>
      </c>
      <c r="J425" s="100" t="e">
        <f ca="1">IFERROR(__xludf.DUMMYFUNCTION("""COMPUTED_VALUE"""),"-2.9000000000000004")</f>
        <v>#NAME?</v>
      </c>
      <c r="K425" s="100" t="e">
        <f t="shared" ca="1" si="54"/>
        <v>#NAME?</v>
      </c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</row>
    <row r="426" spans="1:26">
      <c r="A426" s="100" t="e">
        <f ca="1">IFERROR(__xludf.DUMMYFUNCTION("""COMPUTED_VALUE"""),12747543)</f>
        <v>#NAME?</v>
      </c>
      <c r="B426" s="100" t="e">
        <f ca="1">IFERROR(__xludf.DUMMYFUNCTION("""COMPUTED_VALUE"""),"LINKUSDC")</f>
        <v>#NAME?</v>
      </c>
      <c r="C426" s="100" t="e">
        <f ca="1">IFERROR(__xludf.DUMMYFUNCTION("""COMPUTED_VALUE"""),"13.31")</f>
        <v>#NAME?</v>
      </c>
      <c r="D426" s="100" t="e">
        <f t="shared" ca="1" si="56"/>
        <v>#NAME?</v>
      </c>
      <c r="E426" s="100" t="e">
        <f t="shared" ca="1" si="56"/>
        <v>#NAME?</v>
      </c>
      <c r="F426" s="100" t="e">
        <f t="shared" ca="1" si="50"/>
        <v>#NAME?</v>
      </c>
      <c r="G426" s="100" t="e">
        <f t="shared" ca="1" si="51"/>
        <v>#NAME?</v>
      </c>
      <c r="H426" s="100" t="e">
        <f t="shared" ca="1" si="52"/>
        <v>#NAME?</v>
      </c>
      <c r="I426" s="100" t="e">
        <f t="shared" ca="1" si="53"/>
        <v>#NAME?</v>
      </c>
      <c r="J426" s="100" t="e">
        <f ca="1">IFERROR(__xludf.DUMMYFUNCTION("""COMPUTED_VALUE"""),"-1.55")</f>
        <v>#NAME?</v>
      </c>
      <c r="K426" s="100" t="e">
        <f t="shared" ca="1" si="54"/>
        <v>#NAME?</v>
      </c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</row>
    <row r="427" spans="1:26">
      <c r="A427" s="100" t="e">
        <f ca="1">IFERROR(__xludf.DUMMYFUNCTION("""COMPUTED_VALUE"""),12747544)</f>
        <v>#NAME?</v>
      </c>
      <c r="B427" s="100" t="e">
        <f ca="1">IFERROR(__xludf.DUMMYFUNCTION("""COMPUTED_VALUE"""),"USDTBRL")</f>
        <v>#NAME?</v>
      </c>
      <c r="C427" s="100" t="e">
        <f ca="1">IFERROR(__xludf.DUMMYFUNCTION("""COMPUTED_VALUE"""),"5.83")</f>
        <v>#NAME?</v>
      </c>
      <c r="D427" s="100" t="e">
        <f t="shared" ca="1" si="56"/>
        <v>#NAME?</v>
      </c>
      <c r="E427" s="100" t="e">
        <f t="shared" ca="1" si="56"/>
        <v>#NAME?</v>
      </c>
      <c r="F427" s="100" t="e">
        <f t="shared" ca="1" si="50"/>
        <v>#NAME?</v>
      </c>
      <c r="G427" s="100" t="e">
        <f t="shared" ca="1" si="51"/>
        <v>#NAME?</v>
      </c>
      <c r="H427" s="100" t="e">
        <f t="shared" ca="1" si="52"/>
        <v>#NAME?</v>
      </c>
      <c r="I427" s="100" t="e">
        <f t="shared" ca="1" si="53"/>
        <v>#NAME?</v>
      </c>
      <c r="J427" s="100" t="e">
        <f ca="1">IFERROR(__xludf.DUMMYFUNCTION("""COMPUTED_VALUE"""),"-0.19")</f>
        <v>#NAME?</v>
      </c>
      <c r="K427" s="100" t="e">
        <f t="shared" ca="1" si="54"/>
        <v>#NAME?</v>
      </c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</row>
    <row r="428" spans="1:26">
      <c r="A428" s="100" t="e">
        <f ca="1">IFERROR(__xludf.DUMMYFUNCTION("""COMPUTED_VALUE"""),12747545)</f>
        <v>#NAME?</v>
      </c>
      <c r="B428" s="100" t="e">
        <f ca="1">IFERROR(__xludf.DUMMYFUNCTION("""COMPUTED_VALUE"""),"EGLDUSDT")</f>
        <v>#NAME?</v>
      </c>
      <c r="C428" s="100" t="e">
        <f ca="1">IFERROR(__xludf.DUMMYFUNCTION("""COMPUTED_VALUE"""),"14.1")</f>
        <v>#NAME?</v>
      </c>
      <c r="D428" s="100" t="e">
        <f t="shared" ca="1" si="56"/>
        <v>#NAME?</v>
      </c>
      <c r="E428" s="100" t="e">
        <f t="shared" ca="1" si="56"/>
        <v>#NAME?</v>
      </c>
      <c r="F428" s="100" t="e">
        <f t="shared" ca="1" si="50"/>
        <v>#NAME?</v>
      </c>
      <c r="G428" s="100" t="e">
        <f t="shared" ca="1" si="51"/>
        <v>#NAME?</v>
      </c>
      <c r="H428" s="100" t="e">
        <f t="shared" ca="1" si="52"/>
        <v>#NAME?</v>
      </c>
      <c r="I428" s="100" t="e">
        <f t="shared" ca="1" si="53"/>
        <v>#NAME?</v>
      </c>
      <c r="J428" s="100" t="e">
        <f ca="1">IFERROR(__xludf.DUMMYFUNCTION("""COMPUTED_VALUE"""),"-2.62")</f>
        <v>#NAME?</v>
      </c>
      <c r="K428" s="100" t="e">
        <f t="shared" ca="1" si="54"/>
        <v>#NAME?</v>
      </c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</row>
    <row r="429" spans="1:26">
      <c r="A429" s="100" t="e">
        <f ca="1">IFERROR(__xludf.DUMMYFUNCTION("""COMPUTED_VALUE"""),12747546)</f>
        <v>#NAME?</v>
      </c>
      <c r="B429" s="100" t="e">
        <f ca="1">IFERROR(__xludf.DUMMYFUNCTION("""COMPUTED_VALUE"""),"SEIUSDT")</f>
        <v>#NAME?</v>
      </c>
      <c r="C429" s="100" t="e">
        <f ca="1">IFERROR(__xludf.DUMMYFUNCTION("""COMPUTED_VALUE"""),"0.1796")</f>
        <v>#NAME?</v>
      </c>
      <c r="D429" s="100" t="e">
        <f t="shared" ca="1" si="56"/>
        <v>#NAME?</v>
      </c>
      <c r="E429" s="100" t="e">
        <f t="shared" ca="1" si="56"/>
        <v>#NAME?</v>
      </c>
      <c r="F429" s="100" t="e">
        <f t="shared" ca="1" si="50"/>
        <v>#NAME?</v>
      </c>
      <c r="G429" s="100" t="e">
        <f t="shared" ca="1" si="51"/>
        <v>#NAME?</v>
      </c>
      <c r="H429" s="100" t="e">
        <f t="shared" ca="1" si="52"/>
        <v>#NAME?</v>
      </c>
      <c r="I429" s="100" t="e">
        <f t="shared" ca="1" si="53"/>
        <v>#NAME?</v>
      </c>
      <c r="J429" s="100" t="e">
        <f ca="1">IFERROR(__xludf.DUMMYFUNCTION("""COMPUTED_VALUE"""),"0.06")</f>
        <v>#NAME?</v>
      </c>
      <c r="K429" s="100" t="e">
        <f t="shared" ca="1" si="54"/>
        <v>#NAME?</v>
      </c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</row>
    <row r="430" spans="1:26">
      <c r="A430" s="100" t="e">
        <f ca="1">IFERROR(__xludf.DUMMYFUNCTION("""COMPUTED_VALUE"""),12747547)</f>
        <v>#NAME?</v>
      </c>
      <c r="B430" s="100" t="e">
        <f ca="1">IFERROR(__xludf.DUMMYFUNCTION("""COMPUTED_VALUE"""),"DAIUSDT")</f>
        <v>#NAME?</v>
      </c>
      <c r="C430" s="100" t="e">
        <f ca="1">IFERROR(__xludf.DUMMYFUNCTION("""COMPUTED_VALUE"""),"1")</f>
        <v>#NAME?</v>
      </c>
      <c r="D430" s="100" t="e">
        <f t="shared" ca="1" si="56"/>
        <v>#NAME?</v>
      </c>
      <c r="E430" s="100" t="e">
        <f t="shared" ca="1" si="56"/>
        <v>#NAME?</v>
      </c>
      <c r="F430" s="100" t="e">
        <f t="shared" ca="1" si="50"/>
        <v>#NAME?</v>
      </c>
      <c r="G430" s="100" t="e">
        <f t="shared" ca="1" si="51"/>
        <v>#NAME?</v>
      </c>
      <c r="H430" s="100" t="e">
        <f t="shared" ca="1" si="52"/>
        <v>#NAME?</v>
      </c>
      <c r="I430" s="100" t="e">
        <f t="shared" ca="1" si="53"/>
        <v>#NAME?</v>
      </c>
      <c r="J430" s="100" t="e">
        <f ca="1">IFERROR(__xludf.DUMMYFUNCTION("""COMPUTED_VALUE"""),"0.0")</f>
        <v>#NAME?</v>
      </c>
      <c r="K430" s="100" t="e">
        <f t="shared" ca="1" si="54"/>
        <v>#NAME?</v>
      </c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</row>
    <row r="431" spans="1:26">
      <c r="A431" s="100" t="e">
        <f ca="1">IFERROR(__xludf.DUMMYFUNCTION("""COMPUTED_VALUE"""),12747548)</f>
        <v>#NAME?</v>
      </c>
      <c r="B431" s="100" t="e">
        <f ca="1">IFERROR(__xludf.DUMMYFUNCTION("""COMPUTED_VALUE"""),"KILOUSDT")</f>
        <v>#NAME?</v>
      </c>
      <c r="C431" s="100" t="e">
        <f ca="1">IFERROR(__xludf.DUMMYFUNCTION("""COMPUTED_VALUE"""),"0.039")</f>
        <v>#NAME?</v>
      </c>
      <c r="D431" s="100" t="e">
        <f t="shared" ca="1" si="56"/>
        <v>#NAME?</v>
      </c>
      <c r="E431" s="100" t="e">
        <f t="shared" ca="1" si="56"/>
        <v>#NAME?</v>
      </c>
      <c r="F431" s="100" t="e">
        <f t="shared" ca="1" si="50"/>
        <v>#NAME?</v>
      </c>
      <c r="G431" s="100" t="e">
        <f t="shared" ca="1" si="51"/>
        <v>#NAME?</v>
      </c>
      <c r="H431" s="100" t="e">
        <f t="shared" ca="1" si="52"/>
        <v>#NAME?</v>
      </c>
      <c r="I431" s="100" t="e">
        <f t="shared" ca="1" si="53"/>
        <v>#NAME?</v>
      </c>
      <c r="J431" s="100" t="e">
        <f ca="1">IFERROR(__xludf.DUMMYFUNCTION("""COMPUTED_VALUE"""),"-1.76")</f>
        <v>#NAME?</v>
      </c>
      <c r="K431" s="100" t="e">
        <f t="shared" ca="1" si="54"/>
        <v>#NAME?</v>
      </c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</row>
    <row r="432" spans="1:26">
      <c r="A432" s="100" t="e">
        <f ca="1">IFERROR(__xludf.DUMMYFUNCTION("""COMPUTED_VALUE"""),12747549)</f>
        <v>#NAME?</v>
      </c>
      <c r="B432" s="100" t="e">
        <f ca="1">IFERROR(__xludf.DUMMYFUNCTION("""COMPUTED_VALUE"""),"NYMUSDT")</f>
        <v>#NAME?</v>
      </c>
      <c r="C432" s="100" t="e">
        <f ca="1">IFERROR(__xludf.DUMMYFUNCTION("""COMPUTED_VALUE"""),"0.0504")</f>
        <v>#NAME?</v>
      </c>
      <c r="D432" s="100" t="e">
        <f t="shared" ca="1" si="56"/>
        <v>#NAME?</v>
      </c>
      <c r="E432" s="100" t="e">
        <f t="shared" ca="1" si="56"/>
        <v>#NAME?</v>
      </c>
      <c r="F432" s="100" t="e">
        <f t="shared" ca="1" si="50"/>
        <v>#NAME?</v>
      </c>
      <c r="G432" s="100" t="e">
        <f t="shared" ca="1" si="51"/>
        <v>#NAME?</v>
      </c>
      <c r="H432" s="100" t="e">
        <f t="shared" ca="1" si="52"/>
        <v>#NAME?</v>
      </c>
      <c r="I432" s="100" t="e">
        <f t="shared" ca="1" si="53"/>
        <v>#NAME?</v>
      </c>
      <c r="J432" s="100" t="e">
        <f ca="1">IFERROR(__xludf.DUMMYFUNCTION("""COMPUTED_VALUE"""),"-2.36")</f>
        <v>#NAME?</v>
      </c>
      <c r="K432" s="100" t="e">
        <f t="shared" ca="1" si="54"/>
        <v>#NAME?</v>
      </c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</row>
    <row r="433" spans="1:26">
      <c r="A433" s="100" t="e">
        <f ca="1">IFERROR(__xludf.DUMMYFUNCTION("""COMPUTED_VALUE"""),12747550)</f>
        <v>#NAME?</v>
      </c>
      <c r="B433" s="100" t="e">
        <f ca="1">IFERROR(__xludf.DUMMYFUNCTION("""COMPUTED_VALUE"""),"NEAREUR")</f>
        <v>#NAME?</v>
      </c>
      <c r="C433" s="100" t="e">
        <f ca="1">IFERROR(__xludf.DUMMYFUNCTION("""COMPUTED_VALUE"""),"1.901")</f>
        <v>#NAME?</v>
      </c>
      <c r="D433" s="100" t="e">
        <f t="shared" ca="1" si="56"/>
        <v>#NAME?</v>
      </c>
      <c r="E433" s="100" t="e">
        <f t="shared" ca="1" si="56"/>
        <v>#NAME?</v>
      </c>
      <c r="F433" s="100" t="e">
        <f t="shared" ca="1" si="50"/>
        <v>#NAME?</v>
      </c>
      <c r="G433" s="100" t="e">
        <f t="shared" ca="1" si="51"/>
        <v>#NAME?</v>
      </c>
      <c r="H433" s="100" t="e">
        <f t="shared" ca="1" si="52"/>
        <v>#NAME?</v>
      </c>
      <c r="I433" s="100" t="e">
        <f t="shared" ca="1" si="53"/>
        <v>#NAME?</v>
      </c>
      <c r="J433" s="100" t="e">
        <f ca="1">IFERROR(__xludf.DUMMYFUNCTION("""COMPUTED_VALUE"""),"-5.2299999999999995")</f>
        <v>#NAME?</v>
      </c>
      <c r="K433" s="100" t="e">
        <f t="shared" ca="1" si="54"/>
        <v>#NAME?</v>
      </c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</row>
    <row r="434" spans="1:26">
      <c r="A434" s="100" t="e">
        <f ca="1">IFERROR(__xludf.DUMMYFUNCTION("""COMPUTED_VALUE"""),12747551)</f>
        <v>#NAME?</v>
      </c>
      <c r="B434" s="100" t="e">
        <f ca="1">IFERROR(__xludf.DUMMYFUNCTION("""COMPUTED_VALUE"""),"WENUSDT")</f>
        <v>#NAME?</v>
      </c>
      <c r="C434" s="100" t="e">
        <f ca="1">IFERROR(__xludf.DUMMYFUNCTION("""COMPUTED_VALUE"""),"0.00002623")</f>
        <v>#NAME?</v>
      </c>
      <c r="D434" s="100" t="e">
        <f t="shared" ca="1" si="56"/>
        <v>#NAME?</v>
      </c>
      <c r="E434" s="100" t="e">
        <f t="shared" ca="1" si="56"/>
        <v>#NAME?</v>
      </c>
      <c r="F434" s="100" t="e">
        <f t="shared" ca="1" si="50"/>
        <v>#NAME?</v>
      </c>
      <c r="G434" s="100" t="e">
        <f t="shared" ca="1" si="51"/>
        <v>#NAME?</v>
      </c>
      <c r="H434" s="100" t="e">
        <f t="shared" ca="1" si="52"/>
        <v>#NAME?</v>
      </c>
      <c r="I434" s="100" t="e">
        <f t="shared" ca="1" si="53"/>
        <v>#NAME?</v>
      </c>
      <c r="J434" s="100" t="e">
        <f ca="1">IFERROR(__xludf.DUMMYFUNCTION("""COMPUTED_VALUE"""),"0.0")</f>
        <v>#NAME?</v>
      </c>
      <c r="K434" s="100" t="e">
        <f t="shared" ca="1" si="54"/>
        <v>#NAME?</v>
      </c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</row>
    <row r="435" spans="1:26">
      <c r="A435" s="100" t="e">
        <f ca="1">IFERROR(__xludf.DUMMYFUNCTION("""COMPUTED_VALUE"""),12747552)</f>
        <v>#NAME?</v>
      </c>
      <c r="B435" s="100" t="e">
        <f ca="1">IFERROR(__xludf.DUMMYFUNCTION("""COMPUTED_VALUE"""),"GMTUSDT")</f>
        <v>#NAME?</v>
      </c>
      <c r="C435" s="100" t="e">
        <f ca="1">IFERROR(__xludf.DUMMYFUNCTION("""COMPUTED_VALUE"""),"0.06008")</f>
        <v>#NAME?</v>
      </c>
      <c r="D435" s="100" t="e">
        <f t="shared" ca="1" si="56"/>
        <v>#NAME?</v>
      </c>
      <c r="E435" s="100" t="e">
        <f t="shared" ca="1" si="56"/>
        <v>#NAME?</v>
      </c>
      <c r="F435" s="100" t="e">
        <f t="shared" ca="1" si="50"/>
        <v>#NAME?</v>
      </c>
      <c r="G435" s="100" t="e">
        <f t="shared" ca="1" si="51"/>
        <v>#NAME?</v>
      </c>
      <c r="H435" s="100" t="e">
        <f t="shared" ca="1" si="52"/>
        <v>#NAME?</v>
      </c>
      <c r="I435" s="100" t="e">
        <f t="shared" ca="1" si="53"/>
        <v>#NAME?</v>
      </c>
      <c r="J435" s="100" t="e">
        <f ca="1">IFERROR(__xludf.DUMMYFUNCTION("""COMPUTED_VALUE"""),"9.1")</f>
        <v>#NAME?</v>
      </c>
      <c r="K435" s="100" t="e">
        <f t="shared" ca="1" si="54"/>
        <v>#NAME?</v>
      </c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</row>
    <row r="436" spans="1:26">
      <c r="A436" s="100" t="e">
        <f ca="1">IFERROR(__xludf.DUMMYFUNCTION("""COMPUTED_VALUE"""),12747553)</f>
        <v>#NAME?</v>
      </c>
      <c r="B436" s="100" t="e">
        <f ca="1">IFERROR(__xludf.DUMMYFUNCTION("""COMPUTED_VALUE"""),"KCSUSDT")</f>
        <v>#NAME?</v>
      </c>
      <c r="C436" s="100" t="e">
        <f ca="1">IFERROR(__xludf.DUMMYFUNCTION("""COMPUTED_VALUE"""),"9.907")</f>
        <v>#NAME?</v>
      </c>
      <c r="D436" s="100" t="e">
        <f t="shared" ca="1" si="56"/>
        <v>#NAME?</v>
      </c>
      <c r="E436" s="100" t="e">
        <f t="shared" ca="1" si="56"/>
        <v>#NAME?</v>
      </c>
      <c r="F436" s="100" t="e">
        <f t="shared" ca="1" si="50"/>
        <v>#NAME?</v>
      </c>
      <c r="G436" s="100" t="e">
        <f t="shared" ca="1" si="51"/>
        <v>#NAME?</v>
      </c>
      <c r="H436" s="100" t="e">
        <f t="shared" ca="1" si="52"/>
        <v>#NAME?</v>
      </c>
      <c r="I436" s="100" t="e">
        <f t="shared" ca="1" si="53"/>
        <v>#NAME?</v>
      </c>
      <c r="J436" s="100" t="e">
        <f ca="1">IFERROR(__xludf.DUMMYFUNCTION("""COMPUTED_VALUE"""),"-0.64")</f>
        <v>#NAME?</v>
      </c>
      <c r="K436" s="100" t="e">
        <f t="shared" ca="1" si="54"/>
        <v>#NAME?</v>
      </c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</row>
    <row r="437" spans="1:26">
      <c r="A437" s="100" t="e">
        <f ca="1">IFERROR(__xludf.DUMMYFUNCTION("""COMPUTED_VALUE"""),12747554)</f>
        <v>#NAME?</v>
      </c>
      <c r="B437" s="100" t="e">
        <f ca="1">IFERROR(__xludf.DUMMYFUNCTION("""COMPUTED_VALUE"""),"FLOWUSDT")</f>
        <v>#NAME?</v>
      </c>
      <c r="C437" s="100" t="e">
        <f ca="1">IFERROR(__xludf.DUMMYFUNCTION("""COMPUTED_VALUE"""),"0.3732")</f>
        <v>#NAME?</v>
      </c>
      <c r="D437" s="100" t="e">
        <f t="shared" ca="1" si="56"/>
        <v>#NAME?</v>
      </c>
      <c r="E437" s="100" t="e">
        <f t="shared" ca="1" si="56"/>
        <v>#NAME?</v>
      </c>
      <c r="F437" s="100" t="e">
        <f t="shared" ca="1" si="50"/>
        <v>#NAME?</v>
      </c>
      <c r="G437" s="100" t="e">
        <f t="shared" ca="1" si="51"/>
        <v>#NAME?</v>
      </c>
      <c r="H437" s="100" t="e">
        <f t="shared" ca="1" si="52"/>
        <v>#NAME?</v>
      </c>
      <c r="I437" s="100" t="e">
        <f t="shared" ca="1" si="53"/>
        <v>#NAME?</v>
      </c>
      <c r="J437" s="100" t="e">
        <f ca="1">IFERROR(__xludf.DUMMYFUNCTION("""COMPUTED_VALUE"""),"-1.22")</f>
        <v>#NAME?</v>
      </c>
      <c r="K437" s="100" t="e">
        <f t="shared" ca="1" si="54"/>
        <v>#NAME?</v>
      </c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</row>
    <row r="438" spans="1:26">
      <c r="A438" s="100" t="e">
        <f ca="1">IFERROR(__xludf.DUMMYFUNCTION("""COMPUTED_VALUE"""),12747555)</f>
        <v>#NAME?</v>
      </c>
      <c r="B438" s="100" t="e">
        <f ca="1">IFERROR(__xludf.DUMMYFUNCTION("""COMPUTED_VALUE"""),"ATHUSDT")</f>
        <v>#NAME?</v>
      </c>
      <c r="C438" s="100" t="e">
        <f ca="1">IFERROR(__xludf.DUMMYFUNCTION("""COMPUTED_VALUE"""),"0.027874")</f>
        <v>#NAME?</v>
      </c>
      <c r="D438" s="100" t="e">
        <f t="shared" ca="1" si="56"/>
        <v>#NAME?</v>
      </c>
      <c r="E438" s="100" t="e">
        <f t="shared" ca="1" si="56"/>
        <v>#NAME?</v>
      </c>
      <c r="F438" s="100" t="e">
        <f t="shared" ca="1" si="50"/>
        <v>#NAME?</v>
      </c>
      <c r="G438" s="100" t="e">
        <f t="shared" ca="1" si="51"/>
        <v>#NAME?</v>
      </c>
      <c r="H438" s="100" t="e">
        <f t="shared" ca="1" si="52"/>
        <v>#NAME?</v>
      </c>
      <c r="I438" s="100" t="e">
        <f t="shared" ca="1" si="53"/>
        <v>#NAME?</v>
      </c>
      <c r="J438" s="100" t="e">
        <f ca="1">IFERROR(__xludf.DUMMYFUNCTION("""COMPUTED_VALUE"""),"-0.27999999999999997")</f>
        <v>#NAME?</v>
      </c>
      <c r="K438" s="100" t="e">
        <f t="shared" ca="1" si="54"/>
        <v>#NAME?</v>
      </c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</row>
    <row r="439" spans="1:26">
      <c r="A439" s="100" t="e">
        <f ca="1">IFERROR(__xludf.DUMMYFUNCTION("""COMPUTED_VALUE"""),12747556)</f>
        <v>#NAME?</v>
      </c>
      <c r="B439" s="100" t="e">
        <f ca="1">IFERROR(__xludf.DUMMYFUNCTION("""COMPUTED_VALUE"""),"IOUSDT")</f>
        <v>#NAME?</v>
      </c>
      <c r="C439" s="100" t="e">
        <f ca="1">IFERROR(__xludf.DUMMYFUNCTION("""COMPUTED_VALUE"""),"0.644")</f>
        <v>#NAME?</v>
      </c>
      <c r="D439" s="100" t="e">
        <f t="shared" ca="1" si="56"/>
        <v>#NAME?</v>
      </c>
      <c r="E439" s="100" t="e">
        <f t="shared" ca="1" si="56"/>
        <v>#NAME?</v>
      </c>
      <c r="F439" s="100" t="e">
        <f t="shared" ca="1" si="50"/>
        <v>#NAME?</v>
      </c>
      <c r="G439" s="100" t="e">
        <f t="shared" ca="1" si="51"/>
        <v>#NAME?</v>
      </c>
      <c r="H439" s="100" t="e">
        <f t="shared" ca="1" si="52"/>
        <v>#NAME?</v>
      </c>
      <c r="I439" s="100" t="e">
        <f t="shared" ca="1" si="53"/>
        <v>#NAME?</v>
      </c>
      <c r="J439" s="100" t="e">
        <f ca="1">IFERROR(__xludf.DUMMYFUNCTION("""COMPUTED_VALUE"""),"-3.88")</f>
        <v>#NAME?</v>
      </c>
      <c r="K439" s="100" t="e">
        <f t="shared" ca="1" si="54"/>
        <v>#NAME?</v>
      </c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</row>
    <row r="440" spans="1:26">
      <c r="A440" s="100" t="e">
        <f ca="1">IFERROR(__xludf.DUMMYFUNCTION("""COMPUTED_VALUE"""),12747557)</f>
        <v>#NAME?</v>
      </c>
      <c r="B440" s="100" t="e">
        <f ca="1">IFERROR(__xludf.DUMMYFUNCTION("""COMPUTED_VALUE"""),"1INCHUSDT")</f>
        <v>#NAME?</v>
      </c>
      <c r="C440" s="100" t="e">
        <f ca="1">IFERROR(__xludf.DUMMYFUNCTION("""COMPUTED_VALUE"""),"0.1759")</f>
        <v>#NAME?</v>
      </c>
      <c r="D440" s="100" t="e">
        <f t="shared" ca="1" si="56"/>
        <v>#NAME?</v>
      </c>
      <c r="E440" s="100" t="e">
        <f t="shared" ca="1" si="56"/>
        <v>#NAME?</v>
      </c>
      <c r="F440" s="100" t="e">
        <f t="shared" ca="1" si="50"/>
        <v>#NAME?</v>
      </c>
      <c r="G440" s="100" t="e">
        <f t="shared" ca="1" si="51"/>
        <v>#NAME?</v>
      </c>
      <c r="H440" s="100" t="e">
        <f t="shared" ca="1" si="52"/>
        <v>#NAME?</v>
      </c>
      <c r="I440" s="100" t="e">
        <f t="shared" ca="1" si="53"/>
        <v>#NAME?</v>
      </c>
      <c r="J440" s="100" t="e">
        <f ca="1">IFERROR(__xludf.DUMMYFUNCTION("""COMPUTED_VALUE"""),"-2.33")</f>
        <v>#NAME?</v>
      </c>
      <c r="K440" s="100" t="e">
        <f t="shared" ca="1" si="54"/>
        <v>#NAME?</v>
      </c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</row>
    <row r="441" spans="1:26">
      <c r="A441" s="100" t="e">
        <f ca="1">IFERROR(__xludf.DUMMYFUNCTION("""COMPUTED_VALUE"""),12747558)</f>
        <v>#NAME?</v>
      </c>
      <c r="B441" s="100" t="e">
        <f ca="1">IFERROR(__xludf.DUMMYFUNCTION("""COMPUTED_VALUE"""),"QTUMUSDT")</f>
        <v>#NAME?</v>
      </c>
      <c r="C441" s="100" t="e">
        <f ca="1">IFERROR(__xludf.DUMMYFUNCTION("""COMPUTED_VALUE"""),"2.1038")</f>
        <v>#NAME?</v>
      </c>
      <c r="D441" s="100" t="e">
        <f t="shared" ca="1" si="56"/>
        <v>#NAME?</v>
      </c>
      <c r="E441" s="100" t="e">
        <f t="shared" ca="1" si="56"/>
        <v>#NAME?</v>
      </c>
      <c r="F441" s="100" t="e">
        <f t="shared" ca="1" si="50"/>
        <v>#NAME?</v>
      </c>
      <c r="G441" s="100" t="e">
        <f t="shared" ca="1" si="51"/>
        <v>#NAME?</v>
      </c>
      <c r="H441" s="100" t="e">
        <f t="shared" ca="1" si="52"/>
        <v>#NAME?</v>
      </c>
      <c r="I441" s="100" t="e">
        <f t="shared" ca="1" si="53"/>
        <v>#NAME?</v>
      </c>
      <c r="J441" s="100" t="e">
        <f ca="1">IFERROR(__xludf.DUMMYFUNCTION("""COMPUTED_VALUE"""),"-2.08")</f>
        <v>#NAME?</v>
      </c>
      <c r="K441" s="100" t="e">
        <f t="shared" ca="1" si="54"/>
        <v>#NAME?</v>
      </c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</row>
    <row r="442" spans="1:26">
      <c r="A442" s="100" t="e">
        <f ca="1">IFERROR(__xludf.DUMMYFUNCTION("""COMPUTED_VALUE"""),12747559)</f>
        <v>#NAME?</v>
      </c>
      <c r="B442" s="100" t="e">
        <f ca="1">IFERROR(__xludf.DUMMYFUNCTION("""COMPUTED_VALUE"""),"STRKUSDC")</f>
        <v>#NAME?</v>
      </c>
      <c r="C442" s="100" t="e">
        <f ca="1">IFERROR(__xludf.DUMMYFUNCTION("""COMPUTED_VALUE"""),"0.1352")</f>
        <v>#NAME?</v>
      </c>
      <c r="D442" s="100" t="e">
        <f t="shared" ref="D442:E461" ca="1" si="57">IFERROR(__xludf.DUMMYFUNCTION("""COMPUTED_VALUE"""),"-")</f>
        <v>#NAME?</v>
      </c>
      <c r="E442" s="100" t="e">
        <f t="shared" ca="1" si="57"/>
        <v>#NAME?</v>
      </c>
      <c r="F442" s="100" t="e">
        <f t="shared" ca="1" si="50"/>
        <v>#NAME?</v>
      </c>
      <c r="G442" s="100" t="e">
        <f t="shared" ca="1" si="51"/>
        <v>#NAME?</v>
      </c>
      <c r="H442" s="100" t="e">
        <f t="shared" ca="1" si="52"/>
        <v>#NAME?</v>
      </c>
      <c r="I442" s="100" t="e">
        <f t="shared" ca="1" si="53"/>
        <v>#NAME?</v>
      </c>
      <c r="J442" s="100" t="e">
        <f ca="1">IFERROR(__xludf.DUMMYFUNCTION("""COMPUTED_VALUE"""),"-1.6")</f>
        <v>#NAME?</v>
      </c>
      <c r="K442" s="100" t="e">
        <f t="shared" ca="1" si="54"/>
        <v>#NAME?</v>
      </c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</row>
    <row r="443" spans="1:26">
      <c r="A443" s="100" t="e">
        <f ca="1">IFERROR(__xludf.DUMMYFUNCTION("""COMPUTED_VALUE"""),12747560)</f>
        <v>#NAME?</v>
      </c>
      <c r="B443" s="100" t="e">
        <f ca="1">IFERROR(__xludf.DUMMYFUNCTION("""COMPUTED_VALUE"""),"PBUXUSDT")</f>
        <v>#NAME?</v>
      </c>
      <c r="C443" s="100" t="e">
        <f ca="1">IFERROR(__xludf.DUMMYFUNCTION("""COMPUTED_VALUE"""),"0.003408")</f>
        <v>#NAME?</v>
      </c>
      <c r="D443" s="100" t="e">
        <f t="shared" ca="1" si="57"/>
        <v>#NAME?</v>
      </c>
      <c r="E443" s="100" t="e">
        <f t="shared" ca="1" si="57"/>
        <v>#NAME?</v>
      </c>
      <c r="F443" s="100" t="e">
        <f t="shared" ca="1" si="50"/>
        <v>#NAME?</v>
      </c>
      <c r="G443" s="100" t="e">
        <f t="shared" ca="1" si="51"/>
        <v>#NAME?</v>
      </c>
      <c r="H443" s="100" t="e">
        <f t="shared" ca="1" si="52"/>
        <v>#NAME?</v>
      </c>
      <c r="I443" s="100" t="e">
        <f t="shared" ca="1" si="53"/>
        <v>#NAME?</v>
      </c>
      <c r="J443" s="100" t="e">
        <f ca="1">IFERROR(__xludf.DUMMYFUNCTION("""COMPUTED_VALUE"""),"0.24")</f>
        <v>#NAME?</v>
      </c>
      <c r="K443" s="100" t="e">
        <f t="shared" ca="1" si="54"/>
        <v>#NAME?</v>
      </c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</row>
    <row r="444" spans="1:26">
      <c r="A444" s="100" t="e">
        <f ca="1">IFERROR(__xludf.DUMMYFUNCTION("""COMPUTED_VALUE"""),12747561)</f>
        <v>#NAME?</v>
      </c>
      <c r="B444" s="100" t="e">
        <f ca="1">IFERROR(__xludf.DUMMYFUNCTION("""COMPUTED_VALUE"""),"AVAUSDT")</f>
        <v>#NAME?</v>
      </c>
      <c r="C444" s="100" t="e">
        <f ca="1">IFERROR(__xludf.DUMMYFUNCTION("""COMPUTED_VALUE"""),"0.5713")</f>
        <v>#NAME?</v>
      </c>
      <c r="D444" s="100" t="e">
        <f t="shared" ca="1" si="57"/>
        <v>#NAME?</v>
      </c>
      <c r="E444" s="100" t="e">
        <f t="shared" ca="1" si="57"/>
        <v>#NAME?</v>
      </c>
      <c r="F444" s="100" t="e">
        <f t="shared" ca="1" si="50"/>
        <v>#NAME?</v>
      </c>
      <c r="G444" s="100" t="e">
        <f t="shared" ca="1" si="51"/>
        <v>#NAME?</v>
      </c>
      <c r="H444" s="100" t="e">
        <f t="shared" ca="1" si="52"/>
        <v>#NAME?</v>
      </c>
      <c r="I444" s="100" t="e">
        <f t="shared" ca="1" si="53"/>
        <v>#NAME?</v>
      </c>
      <c r="J444" s="100" t="e">
        <f ca="1">IFERROR(__xludf.DUMMYFUNCTION("""COMPUTED_VALUE"""),"-2.19")</f>
        <v>#NAME?</v>
      </c>
      <c r="K444" s="100" t="e">
        <f t="shared" ca="1" si="54"/>
        <v>#NAME?</v>
      </c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</row>
    <row r="445" spans="1:26">
      <c r="A445" s="100" t="e">
        <f ca="1">IFERROR(__xludf.DUMMYFUNCTION("""COMPUTED_VALUE"""),12747562)</f>
        <v>#NAME?</v>
      </c>
      <c r="B445" s="100" t="e">
        <f ca="1">IFERROR(__xludf.DUMMYFUNCTION("""COMPUTED_VALUE"""),"XLMUSDT")</f>
        <v>#NAME?</v>
      </c>
      <c r="C445" s="100" t="e">
        <f ca="1">IFERROR(__xludf.DUMMYFUNCTION("""COMPUTED_VALUE"""),"0.2475")</f>
        <v>#NAME?</v>
      </c>
      <c r="D445" s="100" t="e">
        <f t="shared" ca="1" si="57"/>
        <v>#NAME?</v>
      </c>
      <c r="E445" s="100" t="e">
        <f t="shared" ca="1" si="57"/>
        <v>#NAME?</v>
      </c>
      <c r="F445" s="100" t="e">
        <f t="shared" ca="1" si="50"/>
        <v>#NAME?</v>
      </c>
      <c r="G445" s="100" t="e">
        <f t="shared" ca="1" si="51"/>
        <v>#NAME?</v>
      </c>
      <c r="H445" s="100" t="e">
        <f t="shared" ca="1" si="52"/>
        <v>#NAME?</v>
      </c>
      <c r="I445" s="100" t="e">
        <f t="shared" ca="1" si="53"/>
        <v>#NAME?</v>
      </c>
      <c r="J445" s="100" t="e">
        <f ca="1">IFERROR(__xludf.DUMMYFUNCTION("""COMPUTED_VALUE"""),"-4.590000000000001")</f>
        <v>#NAME?</v>
      </c>
      <c r="K445" s="100" t="e">
        <f t="shared" ca="1" si="54"/>
        <v>#NAME?</v>
      </c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</row>
    <row r="446" spans="1:26">
      <c r="A446" s="100" t="e">
        <f ca="1">IFERROR(__xludf.DUMMYFUNCTION("""COMPUTED_VALUE"""),12747563)</f>
        <v>#NAME?</v>
      </c>
      <c r="B446" s="100" t="e">
        <f ca="1">IFERROR(__xludf.DUMMYFUNCTION("""COMPUTED_VALUE"""),"AVLUSDT")</f>
        <v>#NAME?</v>
      </c>
      <c r="C446" s="100" t="e">
        <f ca="1">IFERROR(__xludf.DUMMYFUNCTION("""COMPUTED_VALUE"""),"0.2207")</f>
        <v>#NAME?</v>
      </c>
      <c r="D446" s="100" t="e">
        <f t="shared" ca="1" si="57"/>
        <v>#NAME?</v>
      </c>
      <c r="E446" s="100" t="e">
        <f t="shared" ca="1" si="57"/>
        <v>#NAME?</v>
      </c>
      <c r="F446" s="100" t="e">
        <f t="shared" ca="1" si="50"/>
        <v>#NAME?</v>
      </c>
      <c r="G446" s="100" t="e">
        <f t="shared" ca="1" si="51"/>
        <v>#NAME?</v>
      </c>
      <c r="H446" s="100" t="e">
        <f t="shared" ca="1" si="52"/>
        <v>#NAME?</v>
      </c>
      <c r="I446" s="100" t="e">
        <f t="shared" ca="1" si="53"/>
        <v>#NAME?</v>
      </c>
      <c r="J446" s="100" t="e">
        <f ca="1">IFERROR(__xludf.DUMMYFUNCTION("""COMPUTED_VALUE"""),"-3.83")</f>
        <v>#NAME?</v>
      </c>
      <c r="K446" s="100" t="e">
        <f t="shared" ca="1" si="54"/>
        <v>#NAME?</v>
      </c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</row>
    <row r="447" spans="1:26">
      <c r="A447" s="100" t="e">
        <f ca="1">IFERROR(__xludf.DUMMYFUNCTION("""COMPUTED_VALUE"""),12747564)</f>
        <v>#NAME?</v>
      </c>
      <c r="B447" s="100" t="e">
        <f ca="1">IFERROR(__xludf.DUMMYFUNCTION("""COMPUTED_VALUE"""),"ETH3SUSDT")</f>
        <v>#NAME?</v>
      </c>
      <c r="C447" s="100" t="e">
        <f ca="1">IFERROR(__xludf.DUMMYFUNCTION("""COMPUTED_VALUE"""),"0.014341")</f>
        <v>#NAME?</v>
      </c>
      <c r="D447" s="100" t="e">
        <f t="shared" ca="1" si="57"/>
        <v>#NAME?</v>
      </c>
      <c r="E447" s="100" t="e">
        <f t="shared" ca="1" si="57"/>
        <v>#NAME?</v>
      </c>
      <c r="F447" s="100" t="e">
        <f t="shared" ca="1" si="50"/>
        <v>#NAME?</v>
      </c>
      <c r="G447" s="100" t="e">
        <f t="shared" ca="1" si="51"/>
        <v>#NAME?</v>
      </c>
      <c r="H447" s="100" t="e">
        <f t="shared" ca="1" si="52"/>
        <v>#NAME?</v>
      </c>
      <c r="I447" s="100" t="e">
        <f t="shared" ca="1" si="53"/>
        <v>#NAME?</v>
      </c>
      <c r="J447" s="100" t="e">
        <f ca="1">IFERROR(__xludf.DUMMYFUNCTION("""COMPUTED_VALUE"""),"3.18")</f>
        <v>#NAME?</v>
      </c>
      <c r="K447" s="100" t="e">
        <f t="shared" ca="1" si="54"/>
        <v>#NAME?</v>
      </c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</row>
    <row r="448" spans="1:26">
      <c r="A448" s="100" t="e">
        <f ca="1">IFERROR(__xludf.DUMMYFUNCTION("""COMPUTED_VALUE"""),12747565)</f>
        <v>#NAME?</v>
      </c>
      <c r="B448" s="100" t="e">
        <f ca="1">IFERROR(__xludf.DUMMYFUNCTION("""COMPUTED_VALUE"""),"LEVERUSDT")</f>
        <v>#NAME?</v>
      </c>
      <c r="C448" s="100" t="e">
        <f ca="1">IFERROR(__xludf.DUMMYFUNCTION("""COMPUTED_VALUE"""),"0.0004572")</f>
        <v>#NAME?</v>
      </c>
      <c r="D448" s="100" t="e">
        <f t="shared" ca="1" si="57"/>
        <v>#NAME?</v>
      </c>
      <c r="E448" s="100" t="e">
        <f t="shared" ca="1" si="57"/>
        <v>#NAME?</v>
      </c>
      <c r="F448" s="100" t="e">
        <f t="shared" ca="1" si="50"/>
        <v>#NAME?</v>
      </c>
      <c r="G448" s="100" t="e">
        <f t="shared" ca="1" si="51"/>
        <v>#NAME?</v>
      </c>
      <c r="H448" s="100" t="e">
        <f t="shared" ca="1" si="52"/>
        <v>#NAME?</v>
      </c>
      <c r="I448" s="100" t="e">
        <f t="shared" ca="1" si="53"/>
        <v>#NAME?</v>
      </c>
      <c r="J448" s="100" t="e">
        <f ca="1">IFERROR(__xludf.DUMMYFUNCTION("""COMPUTED_VALUE"""),"-5.38")</f>
        <v>#NAME?</v>
      </c>
      <c r="K448" s="100" t="e">
        <f t="shared" ca="1" si="54"/>
        <v>#NAME?</v>
      </c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</row>
    <row r="449" spans="1:26">
      <c r="A449" s="100" t="e">
        <f ca="1">IFERROR(__xludf.DUMMYFUNCTION("""COMPUTED_VALUE"""),12747566)</f>
        <v>#NAME?</v>
      </c>
      <c r="B449" s="100" t="e">
        <f ca="1">IFERROR(__xludf.DUMMYFUNCTION("""COMPUTED_VALUE"""),"TONUSDT")</f>
        <v>#NAME?</v>
      </c>
      <c r="C449" s="100" t="e">
        <f ca="1">IFERROR(__xludf.DUMMYFUNCTION("""COMPUTED_VALUE"""),"2.912")</f>
        <v>#NAME?</v>
      </c>
      <c r="D449" s="100" t="e">
        <f t="shared" ca="1" si="57"/>
        <v>#NAME?</v>
      </c>
      <c r="E449" s="100" t="e">
        <f t="shared" ca="1" si="57"/>
        <v>#NAME?</v>
      </c>
      <c r="F449" s="100" t="e">
        <f t="shared" ca="1" si="50"/>
        <v>#NAME?</v>
      </c>
      <c r="G449" s="100" t="e">
        <f t="shared" ca="1" si="51"/>
        <v>#NAME?</v>
      </c>
      <c r="H449" s="100" t="e">
        <f t="shared" ca="1" si="52"/>
        <v>#NAME?</v>
      </c>
      <c r="I449" s="100" t="e">
        <f t="shared" ca="1" si="53"/>
        <v>#NAME?</v>
      </c>
      <c r="J449" s="100" t="e">
        <f ca="1">IFERROR(__xludf.DUMMYFUNCTION("""COMPUTED_VALUE"""),"-3.29")</f>
        <v>#NAME?</v>
      </c>
      <c r="K449" s="100" t="e">
        <f t="shared" ca="1" si="54"/>
        <v>#NAME?</v>
      </c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</row>
    <row r="450" spans="1:26">
      <c r="A450" s="100" t="e">
        <f ca="1">IFERROR(__xludf.DUMMYFUNCTION("""COMPUTED_VALUE"""),12747567)</f>
        <v>#NAME?</v>
      </c>
      <c r="B450" s="100" t="e">
        <f ca="1">IFERROR(__xludf.DUMMYFUNCTION("""COMPUTED_VALUE"""),"MOZUSDT")</f>
        <v>#NAME?</v>
      </c>
      <c r="C450" s="100" t="e">
        <f ca="1">IFERROR(__xludf.DUMMYFUNCTION("""COMPUTED_VALUE"""),"0.010494")</f>
        <v>#NAME?</v>
      </c>
      <c r="D450" s="100" t="e">
        <f t="shared" ca="1" si="57"/>
        <v>#NAME?</v>
      </c>
      <c r="E450" s="100" t="e">
        <f t="shared" ca="1" si="57"/>
        <v>#NAME?</v>
      </c>
      <c r="F450" s="100" t="e">
        <f t="shared" ref="F450:F513" ca="1" si="58">IFERROR(__xludf.DUMMYFUNCTION("""COMPUTED_VALUE"""),20200)</f>
        <v>#NAME?</v>
      </c>
      <c r="G450" s="100" t="e">
        <f t="shared" ref="G450:G513" ca="1" si="59">IFERROR(__xludf.DUMMYFUNCTION("""COMPUTED_VALUE"""),2885)</f>
        <v>#NAME?</v>
      </c>
      <c r="H450" s="100" t="e">
        <f t="shared" ref="H450:H513" ca="1" si="60">IFERROR(__xludf.DUMMYFUNCTION("""COMPUTED_VALUE"""),663)</f>
        <v>#NAME?</v>
      </c>
      <c r="I450" s="100" t="e">
        <f t="shared" ref="I450:I513" ca="1" si="61">IFERROR(__xludf.DUMMYFUNCTION("""COMPUTED_VALUE"""),5817721)</f>
        <v>#NAME?</v>
      </c>
      <c r="J450" s="100" t="e">
        <f ca="1">IFERROR(__xludf.DUMMYFUNCTION("""COMPUTED_VALUE"""),"6.21")</f>
        <v>#NAME?</v>
      </c>
      <c r="K450" s="100" t="e">
        <f t="shared" ref="K450:K513" ca="1" si="62">IFERROR(__xludf.DUMMYFUNCTION("""COMPUTED_VALUE"""),"22.04.2025 13:05:01")</f>
        <v>#NAME?</v>
      </c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</row>
    <row r="451" spans="1:26">
      <c r="A451" s="100" t="e">
        <f ca="1">IFERROR(__xludf.DUMMYFUNCTION("""COMPUTED_VALUE"""),12747568)</f>
        <v>#NAME?</v>
      </c>
      <c r="B451" s="100" t="e">
        <f ca="1">IFERROR(__xludf.DUMMYFUNCTION("""COMPUTED_VALUE"""),"USDCEUR")</f>
        <v>#NAME?</v>
      </c>
      <c r="C451" s="100" t="e">
        <f ca="1">IFERROR(__xludf.DUMMYFUNCTION("""COMPUTED_VALUE"""),"0.8703")</f>
        <v>#NAME?</v>
      </c>
      <c r="D451" s="100" t="e">
        <f t="shared" ca="1" si="57"/>
        <v>#NAME?</v>
      </c>
      <c r="E451" s="100" t="e">
        <f t="shared" ca="1" si="57"/>
        <v>#NAME?</v>
      </c>
      <c r="F451" s="100" t="e">
        <f t="shared" ca="1" si="58"/>
        <v>#NAME?</v>
      </c>
      <c r="G451" s="100" t="e">
        <f t="shared" ca="1" si="59"/>
        <v>#NAME?</v>
      </c>
      <c r="H451" s="100" t="e">
        <f t="shared" ca="1" si="60"/>
        <v>#NAME?</v>
      </c>
      <c r="I451" s="100" t="e">
        <f t="shared" ca="1" si="61"/>
        <v>#NAME?</v>
      </c>
      <c r="J451" s="100" t="e">
        <f ca="1">IFERROR(__xludf.DUMMYFUNCTION("""COMPUTED_VALUE"""),"0.51")</f>
        <v>#NAME?</v>
      </c>
      <c r="K451" s="100" t="e">
        <f t="shared" ca="1" si="62"/>
        <v>#NAME?</v>
      </c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</row>
    <row r="452" spans="1:26">
      <c r="A452" s="100" t="e">
        <f ca="1">IFERROR(__xludf.DUMMYFUNCTION("""COMPUTED_VALUE"""),12747569)</f>
        <v>#NAME?</v>
      </c>
      <c r="B452" s="100" t="e">
        <f ca="1">IFERROR(__xludf.DUMMYFUNCTION("""COMPUTED_VALUE"""),"B3TRUSDT")</f>
        <v>#NAME?</v>
      </c>
      <c r="C452" s="100" t="e">
        <f ca="1">IFERROR(__xludf.DUMMYFUNCTION("""COMPUTED_VALUE"""),"0.1245")</f>
        <v>#NAME?</v>
      </c>
      <c r="D452" s="100" t="e">
        <f t="shared" ca="1" si="57"/>
        <v>#NAME?</v>
      </c>
      <c r="E452" s="100" t="e">
        <f t="shared" ca="1" si="57"/>
        <v>#NAME?</v>
      </c>
      <c r="F452" s="100" t="e">
        <f t="shared" ca="1" si="58"/>
        <v>#NAME?</v>
      </c>
      <c r="G452" s="100" t="e">
        <f t="shared" ca="1" si="59"/>
        <v>#NAME?</v>
      </c>
      <c r="H452" s="100" t="e">
        <f t="shared" ca="1" si="60"/>
        <v>#NAME?</v>
      </c>
      <c r="I452" s="100" t="e">
        <f t="shared" ca="1" si="61"/>
        <v>#NAME?</v>
      </c>
      <c r="J452" s="100" t="e">
        <f ca="1">IFERROR(__xludf.DUMMYFUNCTION("""COMPUTED_VALUE"""),"-1.03")</f>
        <v>#NAME?</v>
      </c>
      <c r="K452" s="100" t="e">
        <f t="shared" ca="1" si="62"/>
        <v>#NAME?</v>
      </c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</row>
    <row r="453" spans="1:26">
      <c r="A453" s="100" t="e">
        <f ca="1">IFERROR(__xludf.DUMMYFUNCTION("""COMPUTED_VALUE"""),12747570)</f>
        <v>#NAME?</v>
      </c>
      <c r="B453" s="100" t="e">
        <f ca="1">IFERROR(__xludf.DUMMYFUNCTION("""COMPUTED_VALUE"""),"TENETUSDT")</f>
        <v>#NAME?</v>
      </c>
      <c r="C453" s="100" t="e">
        <f ca="1">IFERROR(__xludf.DUMMYFUNCTION("""COMPUTED_VALUE"""),"0.0005546")</f>
        <v>#NAME?</v>
      </c>
      <c r="D453" s="100" t="e">
        <f t="shared" ca="1" si="57"/>
        <v>#NAME?</v>
      </c>
      <c r="E453" s="100" t="e">
        <f t="shared" ca="1" si="57"/>
        <v>#NAME?</v>
      </c>
      <c r="F453" s="100" t="e">
        <f t="shared" ca="1" si="58"/>
        <v>#NAME?</v>
      </c>
      <c r="G453" s="100" t="e">
        <f t="shared" ca="1" si="59"/>
        <v>#NAME?</v>
      </c>
      <c r="H453" s="100" t="e">
        <f t="shared" ca="1" si="60"/>
        <v>#NAME?</v>
      </c>
      <c r="I453" s="100" t="e">
        <f t="shared" ca="1" si="61"/>
        <v>#NAME?</v>
      </c>
      <c r="J453" s="100" t="e">
        <f ca="1">IFERROR(__xludf.DUMMYFUNCTION("""COMPUTED_VALUE"""),"-0.05")</f>
        <v>#NAME?</v>
      </c>
      <c r="K453" s="100" t="e">
        <f t="shared" ca="1" si="62"/>
        <v>#NAME?</v>
      </c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</row>
    <row r="454" spans="1:26">
      <c r="A454" s="100" t="e">
        <f ca="1">IFERROR(__xludf.DUMMYFUNCTION("""COMPUTED_VALUE"""),12747571)</f>
        <v>#NAME?</v>
      </c>
      <c r="B454" s="100" t="e">
        <f ca="1">IFERROR(__xludf.DUMMYFUNCTION("""COMPUTED_VALUE"""),"DEFIUSDT")</f>
        <v>#NAME?</v>
      </c>
      <c r="C454" s="100" t="e">
        <f ca="1">IFERROR(__xludf.DUMMYFUNCTION("""COMPUTED_VALUE"""),"0.003799")</f>
        <v>#NAME?</v>
      </c>
      <c r="D454" s="100" t="e">
        <f t="shared" ca="1" si="57"/>
        <v>#NAME?</v>
      </c>
      <c r="E454" s="100" t="e">
        <f t="shared" ca="1" si="57"/>
        <v>#NAME?</v>
      </c>
      <c r="F454" s="100" t="e">
        <f t="shared" ca="1" si="58"/>
        <v>#NAME?</v>
      </c>
      <c r="G454" s="100" t="e">
        <f t="shared" ca="1" si="59"/>
        <v>#NAME?</v>
      </c>
      <c r="H454" s="100" t="e">
        <f t="shared" ca="1" si="60"/>
        <v>#NAME?</v>
      </c>
      <c r="I454" s="100" t="e">
        <f t="shared" ca="1" si="61"/>
        <v>#NAME?</v>
      </c>
      <c r="J454" s="100" t="e">
        <f ca="1">IFERROR(__xludf.DUMMYFUNCTION("""COMPUTED_VALUE"""),"5.319999999999999")</f>
        <v>#NAME?</v>
      </c>
      <c r="K454" s="100" t="e">
        <f t="shared" ca="1" si="62"/>
        <v>#NAME?</v>
      </c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</row>
    <row r="455" spans="1:26">
      <c r="A455" s="100" t="e">
        <f ca="1">IFERROR(__xludf.DUMMYFUNCTION("""COMPUTED_VALUE"""),12747572)</f>
        <v>#NAME?</v>
      </c>
      <c r="B455" s="100" t="e">
        <f ca="1">IFERROR(__xludf.DUMMYFUNCTION("""COMPUTED_VALUE"""),"FLUIDUSDT")</f>
        <v>#NAME?</v>
      </c>
      <c r="C455" s="100" t="e">
        <f ca="1">IFERROR(__xludf.DUMMYFUNCTION("""COMPUTED_VALUE"""),"3.93")</f>
        <v>#NAME?</v>
      </c>
      <c r="D455" s="100" t="e">
        <f t="shared" ca="1" si="57"/>
        <v>#NAME?</v>
      </c>
      <c r="E455" s="100" t="e">
        <f t="shared" ca="1" si="57"/>
        <v>#NAME?</v>
      </c>
      <c r="F455" s="100" t="e">
        <f t="shared" ca="1" si="58"/>
        <v>#NAME?</v>
      </c>
      <c r="G455" s="100" t="e">
        <f t="shared" ca="1" si="59"/>
        <v>#NAME?</v>
      </c>
      <c r="H455" s="100" t="e">
        <f t="shared" ca="1" si="60"/>
        <v>#NAME?</v>
      </c>
      <c r="I455" s="100" t="e">
        <f t="shared" ca="1" si="61"/>
        <v>#NAME?</v>
      </c>
      <c r="J455" s="100" t="e">
        <f ca="1">IFERROR(__xludf.DUMMYFUNCTION("""COMPUTED_VALUE"""),"-1.83")</f>
        <v>#NAME?</v>
      </c>
      <c r="K455" s="100" t="e">
        <f t="shared" ca="1" si="62"/>
        <v>#NAME?</v>
      </c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</row>
    <row r="456" spans="1:26">
      <c r="A456" s="100" t="e">
        <f ca="1">IFERROR(__xludf.DUMMYFUNCTION("""COMPUTED_VALUE"""),12747573)</f>
        <v>#NAME?</v>
      </c>
      <c r="B456" s="100" t="e">
        <f ca="1">IFERROR(__xludf.DUMMYFUNCTION("""COMPUTED_VALUE"""),"SCRTUSDT")</f>
        <v>#NAME?</v>
      </c>
      <c r="C456" s="100" t="e">
        <f ca="1">IFERROR(__xludf.DUMMYFUNCTION("""COMPUTED_VALUE"""),"0.2184")</f>
        <v>#NAME?</v>
      </c>
      <c r="D456" s="100" t="e">
        <f t="shared" ca="1" si="57"/>
        <v>#NAME?</v>
      </c>
      <c r="E456" s="100" t="e">
        <f t="shared" ca="1" si="57"/>
        <v>#NAME?</v>
      </c>
      <c r="F456" s="100" t="e">
        <f t="shared" ca="1" si="58"/>
        <v>#NAME?</v>
      </c>
      <c r="G456" s="100" t="e">
        <f t="shared" ca="1" si="59"/>
        <v>#NAME?</v>
      </c>
      <c r="H456" s="100" t="e">
        <f t="shared" ca="1" si="60"/>
        <v>#NAME?</v>
      </c>
      <c r="I456" s="100" t="e">
        <f t="shared" ca="1" si="61"/>
        <v>#NAME?</v>
      </c>
      <c r="J456" s="100" t="e">
        <f ca="1">IFERROR(__xludf.DUMMYFUNCTION("""COMPUTED_VALUE"""),"1.49")</f>
        <v>#NAME?</v>
      </c>
      <c r="K456" s="100" t="e">
        <f t="shared" ca="1" si="62"/>
        <v>#NAME?</v>
      </c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</row>
    <row r="457" spans="1:26">
      <c r="A457" s="100" t="e">
        <f ca="1">IFERROR(__xludf.DUMMYFUNCTION("""COMPUTED_VALUE"""),12747574)</f>
        <v>#NAME?</v>
      </c>
      <c r="B457" s="100" t="e">
        <f ca="1">IFERROR(__xludf.DUMMYFUNCTION("""COMPUTED_VALUE"""),"WOOUSDT")</f>
        <v>#NAME?</v>
      </c>
      <c r="C457" s="100" t="e">
        <f ca="1">IFERROR(__xludf.DUMMYFUNCTION("""COMPUTED_VALUE"""),"0.06183")</f>
        <v>#NAME?</v>
      </c>
      <c r="D457" s="100" t="e">
        <f t="shared" ca="1" si="57"/>
        <v>#NAME?</v>
      </c>
      <c r="E457" s="100" t="e">
        <f t="shared" ca="1" si="57"/>
        <v>#NAME?</v>
      </c>
      <c r="F457" s="100" t="e">
        <f t="shared" ca="1" si="58"/>
        <v>#NAME?</v>
      </c>
      <c r="G457" s="100" t="e">
        <f t="shared" ca="1" si="59"/>
        <v>#NAME?</v>
      </c>
      <c r="H457" s="100" t="e">
        <f t="shared" ca="1" si="60"/>
        <v>#NAME?</v>
      </c>
      <c r="I457" s="100" t="e">
        <f t="shared" ca="1" si="61"/>
        <v>#NAME?</v>
      </c>
      <c r="J457" s="100" t="e">
        <f ca="1">IFERROR(__xludf.DUMMYFUNCTION("""COMPUTED_VALUE"""),"-1.5599999999999998")</f>
        <v>#NAME?</v>
      </c>
      <c r="K457" s="100" t="e">
        <f t="shared" ca="1" si="62"/>
        <v>#NAME?</v>
      </c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</row>
    <row r="458" spans="1:26">
      <c r="A458" s="100" t="e">
        <f ca="1">IFERROR(__xludf.DUMMYFUNCTION("""COMPUTED_VALUE"""),12747575)</f>
        <v>#NAME?</v>
      </c>
      <c r="B458" s="100" t="e">
        <f ca="1">IFERROR(__xludf.DUMMYFUNCTION("""COMPUTED_VALUE"""),"INJUSDT")</f>
        <v>#NAME?</v>
      </c>
      <c r="C458" s="100" t="e">
        <f ca="1">IFERROR(__xludf.DUMMYFUNCTION("""COMPUTED_VALUE"""),"8.49")</f>
        <v>#NAME?</v>
      </c>
      <c r="D458" s="100" t="e">
        <f t="shared" ca="1" si="57"/>
        <v>#NAME?</v>
      </c>
      <c r="E458" s="100" t="e">
        <f t="shared" ca="1" si="57"/>
        <v>#NAME?</v>
      </c>
      <c r="F458" s="100" t="e">
        <f t="shared" ca="1" si="58"/>
        <v>#NAME?</v>
      </c>
      <c r="G458" s="100" t="e">
        <f t="shared" ca="1" si="59"/>
        <v>#NAME?</v>
      </c>
      <c r="H458" s="100" t="e">
        <f t="shared" ca="1" si="60"/>
        <v>#NAME?</v>
      </c>
      <c r="I458" s="100" t="e">
        <f t="shared" ca="1" si="61"/>
        <v>#NAME?</v>
      </c>
      <c r="J458" s="100" t="e">
        <f ca="1">IFERROR(__xludf.DUMMYFUNCTION("""COMPUTED_VALUE"""),"-5.140000000000001")</f>
        <v>#NAME?</v>
      </c>
      <c r="K458" s="100" t="e">
        <f t="shared" ca="1" si="62"/>
        <v>#NAME?</v>
      </c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</row>
    <row r="459" spans="1:26">
      <c r="A459" s="100" t="e">
        <f ca="1">IFERROR(__xludf.DUMMYFUNCTION("""COMPUTED_VALUE"""),12747576)</f>
        <v>#NAME?</v>
      </c>
      <c r="B459" s="100" t="e">
        <f ca="1">IFERROR(__xludf.DUMMYFUNCTION("""COMPUTED_VALUE"""),"LINKEUR")</f>
        <v>#NAME?</v>
      </c>
      <c r="C459" s="100" t="e">
        <f ca="1">IFERROR(__xludf.DUMMYFUNCTION("""COMPUTED_VALUE"""),"11.58")</f>
        <v>#NAME?</v>
      </c>
      <c r="D459" s="100" t="e">
        <f t="shared" ca="1" si="57"/>
        <v>#NAME?</v>
      </c>
      <c r="E459" s="100" t="e">
        <f t="shared" ca="1" si="57"/>
        <v>#NAME?</v>
      </c>
      <c r="F459" s="100" t="e">
        <f t="shared" ca="1" si="58"/>
        <v>#NAME?</v>
      </c>
      <c r="G459" s="100" t="e">
        <f t="shared" ca="1" si="59"/>
        <v>#NAME?</v>
      </c>
      <c r="H459" s="100" t="e">
        <f t="shared" ca="1" si="60"/>
        <v>#NAME?</v>
      </c>
      <c r="I459" s="100" t="e">
        <f t="shared" ca="1" si="61"/>
        <v>#NAME?</v>
      </c>
      <c r="J459" s="100" t="e">
        <f ca="1">IFERROR(__xludf.DUMMYFUNCTION("""COMPUTED_VALUE"""),"-2.1999999999999997")</f>
        <v>#NAME?</v>
      </c>
      <c r="K459" s="100" t="e">
        <f t="shared" ca="1" si="62"/>
        <v>#NAME?</v>
      </c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</row>
    <row r="460" spans="1:26">
      <c r="A460" s="100" t="e">
        <f ca="1">IFERROR(__xludf.DUMMYFUNCTION("""COMPUTED_VALUE"""),12747577)</f>
        <v>#NAME?</v>
      </c>
      <c r="B460" s="100" t="e">
        <f ca="1">IFERROR(__xludf.DUMMYFUNCTION("""COMPUTED_VALUE"""),"XUSDT")</f>
        <v>#NAME?</v>
      </c>
      <c r="C460" s="100" t="e">
        <f ca="1">IFERROR(__xludf.DUMMYFUNCTION("""COMPUTED_VALUE"""),"0.00006831")</f>
        <v>#NAME?</v>
      </c>
      <c r="D460" s="100" t="e">
        <f t="shared" ca="1" si="57"/>
        <v>#NAME?</v>
      </c>
      <c r="E460" s="100" t="e">
        <f t="shared" ca="1" si="57"/>
        <v>#NAME?</v>
      </c>
      <c r="F460" s="100" t="e">
        <f t="shared" ca="1" si="58"/>
        <v>#NAME?</v>
      </c>
      <c r="G460" s="100" t="e">
        <f t="shared" ca="1" si="59"/>
        <v>#NAME?</v>
      </c>
      <c r="H460" s="100" t="e">
        <f t="shared" ca="1" si="60"/>
        <v>#NAME?</v>
      </c>
      <c r="I460" s="100" t="e">
        <f t="shared" ca="1" si="61"/>
        <v>#NAME?</v>
      </c>
      <c r="J460" s="100" t="e">
        <f ca="1">IFERROR(__xludf.DUMMYFUNCTION("""COMPUTED_VALUE"""),"-0.44999999999999996")</f>
        <v>#NAME?</v>
      </c>
      <c r="K460" s="100" t="e">
        <f t="shared" ca="1" si="62"/>
        <v>#NAME?</v>
      </c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</row>
    <row r="461" spans="1:26">
      <c r="A461" s="100" t="e">
        <f ca="1">IFERROR(__xludf.DUMMYFUNCTION("""COMPUTED_VALUE"""),12747578)</f>
        <v>#NAME?</v>
      </c>
      <c r="B461" s="100" t="e">
        <f ca="1">IFERROR(__xludf.DUMMYFUNCTION("""COMPUTED_VALUE"""),"CYBERUSDT")</f>
        <v>#NAME?</v>
      </c>
      <c r="C461" s="100" t="e">
        <f ca="1">IFERROR(__xludf.DUMMYFUNCTION("""COMPUTED_VALUE"""),"1.1941")</f>
        <v>#NAME?</v>
      </c>
      <c r="D461" s="100" t="e">
        <f t="shared" ca="1" si="57"/>
        <v>#NAME?</v>
      </c>
      <c r="E461" s="100" t="e">
        <f t="shared" ca="1" si="57"/>
        <v>#NAME?</v>
      </c>
      <c r="F461" s="100" t="e">
        <f t="shared" ca="1" si="58"/>
        <v>#NAME?</v>
      </c>
      <c r="G461" s="100" t="e">
        <f t="shared" ca="1" si="59"/>
        <v>#NAME?</v>
      </c>
      <c r="H461" s="100" t="e">
        <f t="shared" ca="1" si="60"/>
        <v>#NAME?</v>
      </c>
      <c r="I461" s="100" t="e">
        <f t="shared" ca="1" si="61"/>
        <v>#NAME?</v>
      </c>
      <c r="J461" s="100" t="e">
        <f ca="1">IFERROR(__xludf.DUMMYFUNCTION("""COMPUTED_VALUE"""),"-2.1999999999999997")</f>
        <v>#NAME?</v>
      </c>
      <c r="K461" s="100" t="e">
        <f t="shared" ca="1" si="62"/>
        <v>#NAME?</v>
      </c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</row>
    <row r="462" spans="1:26">
      <c r="A462" s="100" t="e">
        <f ca="1">IFERROR(__xludf.DUMMYFUNCTION("""COMPUTED_VALUE"""),12747579)</f>
        <v>#NAME?</v>
      </c>
      <c r="B462" s="100" t="e">
        <f ca="1">IFERROR(__xludf.DUMMYFUNCTION("""COMPUTED_VALUE"""),"TRVLUSDT")</f>
        <v>#NAME?</v>
      </c>
      <c r="C462" s="100" t="e">
        <f ca="1">IFERROR(__xludf.DUMMYFUNCTION("""COMPUTED_VALUE"""),"0.006276")</f>
        <v>#NAME?</v>
      </c>
      <c r="D462" s="100" t="e">
        <f t="shared" ref="D462:E481" ca="1" si="63">IFERROR(__xludf.DUMMYFUNCTION("""COMPUTED_VALUE"""),"-")</f>
        <v>#NAME?</v>
      </c>
      <c r="E462" s="100" t="e">
        <f t="shared" ca="1" si="63"/>
        <v>#NAME?</v>
      </c>
      <c r="F462" s="100" t="e">
        <f t="shared" ca="1" si="58"/>
        <v>#NAME?</v>
      </c>
      <c r="G462" s="100" t="e">
        <f t="shared" ca="1" si="59"/>
        <v>#NAME?</v>
      </c>
      <c r="H462" s="100" t="e">
        <f t="shared" ca="1" si="60"/>
        <v>#NAME?</v>
      </c>
      <c r="I462" s="100" t="e">
        <f t="shared" ca="1" si="61"/>
        <v>#NAME?</v>
      </c>
      <c r="J462" s="100" t="e">
        <f ca="1">IFERROR(__xludf.DUMMYFUNCTION("""COMPUTED_VALUE"""),"5.83")</f>
        <v>#NAME?</v>
      </c>
      <c r="K462" s="100" t="e">
        <f t="shared" ca="1" si="62"/>
        <v>#NAME?</v>
      </c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</row>
    <row r="463" spans="1:26">
      <c r="A463" s="100" t="e">
        <f ca="1">IFERROR(__xludf.DUMMYFUNCTION("""COMPUTED_VALUE"""),12747580)</f>
        <v>#NAME?</v>
      </c>
      <c r="B463" s="100" t="e">
        <f ca="1">IFERROR(__xludf.DUMMYFUNCTION("""COMPUTED_VALUE"""),"MORPHOUSDT")</f>
        <v>#NAME?</v>
      </c>
      <c r="C463" s="100" t="e">
        <f ca="1">IFERROR(__xludf.DUMMYFUNCTION("""COMPUTED_VALUE"""),"0.9294")</f>
        <v>#NAME?</v>
      </c>
      <c r="D463" s="100" t="e">
        <f t="shared" ca="1" si="63"/>
        <v>#NAME?</v>
      </c>
      <c r="E463" s="100" t="e">
        <f t="shared" ca="1" si="63"/>
        <v>#NAME?</v>
      </c>
      <c r="F463" s="100" t="e">
        <f t="shared" ca="1" si="58"/>
        <v>#NAME?</v>
      </c>
      <c r="G463" s="100" t="e">
        <f t="shared" ca="1" si="59"/>
        <v>#NAME?</v>
      </c>
      <c r="H463" s="100" t="e">
        <f t="shared" ca="1" si="60"/>
        <v>#NAME?</v>
      </c>
      <c r="I463" s="100" t="e">
        <f t="shared" ca="1" si="61"/>
        <v>#NAME?</v>
      </c>
      <c r="J463" s="100" t="e">
        <f ca="1">IFERROR(__xludf.DUMMYFUNCTION("""COMPUTED_VALUE"""),"-0.8999999999999999")</f>
        <v>#NAME?</v>
      </c>
      <c r="K463" s="100" t="e">
        <f t="shared" ca="1" si="62"/>
        <v>#NAME?</v>
      </c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</row>
    <row r="464" spans="1:26">
      <c r="A464" s="100" t="e">
        <f ca="1">IFERROR(__xludf.DUMMYFUNCTION("""COMPUTED_VALUE"""),12747581)</f>
        <v>#NAME?</v>
      </c>
      <c r="B464" s="100" t="e">
        <f ca="1">IFERROR(__xludf.DUMMYFUNCTION("""COMPUTED_VALUE"""),"CTAUSDT")</f>
        <v>#NAME?</v>
      </c>
      <c r="C464" s="100" t="e">
        <f ca="1">IFERROR(__xludf.DUMMYFUNCTION("""COMPUTED_VALUE"""),"0.01878")</f>
        <v>#NAME?</v>
      </c>
      <c r="D464" s="100" t="e">
        <f t="shared" ca="1" si="63"/>
        <v>#NAME?</v>
      </c>
      <c r="E464" s="100" t="e">
        <f t="shared" ca="1" si="63"/>
        <v>#NAME?</v>
      </c>
      <c r="F464" s="100" t="e">
        <f t="shared" ca="1" si="58"/>
        <v>#NAME?</v>
      </c>
      <c r="G464" s="100" t="e">
        <f t="shared" ca="1" si="59"/>
        <v>#NAME?</v>
      </c>
      <c r="H464" s="100" t="e">
        <f t="shared" ca="1" si="60"/>
        <v>#NAME?</v>
      </c>
      <c r="I464" s="100" t="e">
        <f t="shared" ca="1" si="61"/>
        <v>#NAME?</v>
      </c>
      <c r="J464" s="100" t="e">
        <f ca="1">IFERROR(__xludf.DUMMYFUNCTION("""COMPUTED_VALUE"""),"-2.85")</f>
        <v>#NAME?</v>
      </c>
      <c r="K464" s="100" t="e">
        <f t="shared" ca="1" si="62"/>
        <v>#NAME?</v>
      </c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</row>
    <row r="465" spans="1:26">
      <c r="A465" s="100" t="e">
        <f ca="1">IFERROR(__xludf.DUMMYFUNCTION("""COMPUTED_VALUE"""),12747582)</f>
        <v>#NAME?</v>
      </c>
      <c r="B465" s="100" t="e">
        <f ca="1">IFERROR(__xludf.DUMMYFUNCTION("""COMPUTED_VALUE"""),"IMXUSDT")</f>
        <v>#NAME?</v>
      </c>
      <c r="C465" s="100" t="e">
        <f ca="1">IFERROR(__xludf.DUMMYFUNCTION("""COMPUTED_VALUE"""),"0.459")</f>
        <v>#NAME?</v>
      </c>
      <c r="D465" s="100" t="e">
        <f t="shared" ca="1" si="63"/>
        <v>#NAME?</v>
      </c>
      <c r="E465" s="100" t="e">
        <f t="shared" ca="1" si="63"/>
        <v>#NAME?</v>
      </c>
      <c r="F465" s="100" t="e">
        <f t="shared" ca="1" si="58"/>
        <v>#NAME?</v>
      </c>
      <c r="G465" s="100" t="e">
        <f t="shared" ca="1" si="59"/>
        <v>#NAME?</v>
      </c>
      <c r="H465" s="100" t="e">
        <f t="shared" ca="1" si="60"/>
        <v>#NAME?</v>
      </c>
      <c r="I465" s="100" t="e">
        <f t="shared" ca="1" si="61"/>
        <v>#NAME?</v>
      </c>
      <c r="J465" s="100" t="e">
        <f ca="1">IFERROR(__xludf.DUMMYFUNCTION("""COMPUTED_VALUE"""),"-5.17")</f>
        <v>#NAME?</v>
      </c>
      <c r="K465" s="100" t="e">
        <f t="shared" ca="1" si="62"/>
        <v>#NAME?</v>
      </c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</row>
    <row r="466" spans="1:26">
      <c r="A466" s="100" t="e">
        <f ca="1">IFERROR(__xludf.DUMMYFUNCTION("""COMPUTED_VALUE"""),12747583)</f>
        <v>#NAME?</v>
      </c>
      <c r="B466" s="100" t="e">
        <f ca="1">IFERROR(__xludf.DUMMYFUNCTION("""COMPUTED_VALUE"""),"LUNCUSDT")</f>
        <v>#NAME?</v>
      </c>
      <c r="C466" s="100" t="e">
        <f ca="1">IFERROR(__xludf.DUMMYFUNCTION("""COMPUTED_VALUE"""),"0.00006025")</f>
        <v>#NAME?</v>
      </c>
      <c r="D466" s="100" t="e">
        <f t="shared" ca="1" si="63"/>
        <v>#NAME?</v>
      </c>
      <c r="E466" s="100" t="e">
        <f t="shared" ca="1" si="63"/>
        <v>#NAME?</v>
      </c>
      <c r="F466" s="100" t="e">
        <f t="shared" ca="1" si="58"/>
        <v>#NAME?</v>
      </c>
      <c r="G466" s="100" t="e">
        <f t="shared" ca="1" si="59"/>
        <v>#NAME?</v>
      </c>
      <c r="H466" s="100" t="e">
        <f t="shared" ca="1" si="60"/>
        <v>#NAME?</v>
      </c>
      <c r="I466" s="100" t="e">
        <f t="shared" ca="1" si="61"/>
        <v>#NAME?</v>
      </c>
      <c r="J466" s="100" t="e">
        <f ca="1">IFERROR(__xludf.DUMMYFUNCTION("""COMPUTED_VALUE"""),"-3.34")</f>
        <v>#NAME?</v>
      </c>
      <c r="K466" s="100" t="e">
        <f t="shared" ca="1" si="62"/>
        <v>#NAME?</v>
      </c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</row>
    <row r="467" spans="1:26">
      <c r="A467" s="100" t="e">
        <f ca="1">IFERROR(__xludf.DUMMYFUNCTION("""COMPUTED_VALUE"""),12747584)</f>
        <v>#NAME?</v>
      </c>
      <c r="B467" s="100" t="e">
        <f ca="1">IFERROR(__xludf.DUMMYFUNCTION("""COMPUTED_VALUE"""),"HFTUSDT")</f>
        <v>#NAME?</v>
      </c>
      <c r="C467" s="100" t="e">
        <f ca="1">IFERROR(__xludf.DUMMYFUNCTION("""COMPUTED_VALUE"""),"0.0637")</f>
        <v>#NAME?</v>
      </c>
      <c r="D467" s="100" t="e">
        <f t="shared" ca="1" si="63"/>
        <v>#NAME?</v>
      </c>
      <c r="E467" s="100" t="e">
        <f t="shared" ca="1" si="63"/>
        <v>#NAME?</v>
      </c>
      <c r="F467" s="100" t="e">
        <f t="shared" ca="1" si="58"/>
        <v>#NAME?</v>
      </c>
      <c r="G467" s="100" t="e">
        <f t="shared" ca="1" si="59"/>
        <v>#NAME?</v>
      </c>
      <c r="H467" s="100" t="e">
        <f t="shared" ca="1" si="60"/>
        <v>#NAME?</v>
      </c>
      <c r="I467" s="100" t="e">
        <f t="shared" ca="1" si="61"/>
        <v>#NAME?</v>
      </c>
      <c r="J467" s="100" t="e">
        <f ca="1">IFERROR(__xludf.DUMMYFUNCTION("""COMPUTED_VALUE"""),"-4.64")</f>
        <v>#NAME?</v>
      </c>
      <c r="K467" s="100" t="e">
        <f t="shared" ca="1" si="62"/>
        <v>#NAME?</v>
      </c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</row>
    <row r="468" spans="1:26">
      <c r="A468" s="100" t="e">
        <f ca="1">IFERROR(__xludf.DUMMYFUNCTION("""COMPUTED_VALUE"""),12747585)</f>
        <v>#NAME?</v>
      </c>
      <c r="B468" s="100" t="e">
        <f ca="1">IFERROR(__xludf.DUMMYFUNCTION("""COMPUTED_VALUE"""),"AGLAUSDT")</f>
        <v>#NAME?</v>
      </c>
      <c r="C468" s="100" t="e">
        <f ca="1">IFERROR(__xludf.DUMMYFUNCTION("""COMPUTED_VALUE"""),"0.00127")</f>
        <v>#NAME?</v>
      </c>
      <c r="D468" s="100" t="e">
        <f t="shared" ca="1" si="63"/>
        <v>#NAME?</v>
      </c>
      <c r="E468" s="100" t="e">
        <f t="shared" ca="1" si="63"/>
        <v>#NAME?</v>
      </c>
      <c r="F468" s="100" t="e">
        <f t="shared" ca="1" si="58"/>
        <v>#NAME?</v>
      </c>
      <c r="G468" s="100" t="e">
        <f t="shared" ca="1" si="59"/>
        <v>#NAME?</v>
      </c>
      <c r="H468" s="100" t="e">
        <f t="shared" ca="1" si="60"/>
        <v>#NAME?</v>
      </c>
      <c r="I468" s="100" t="e">
        <f t="shared" ca="1" si="61"/>
        <v>#NAME?</v>
      </c>
      <c r="J468" s="100" t="e">
        <f ca="1">IFERROR(__xludf.DUMMYFUNCTION("""COMPUTED_VALUE"""),"-4.46")</f>
        <v>#NAME?</v>
      </c>
      <c r="K468" s="100" t="e">
        <f t="shared" ca="1" si="62"/>
        <v>#NAME?</v>
      </c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</row>
    <row r="469" spans="1:26">
      <c r="A469" s="100" t="e">
        <f ca="1">IFERROR(__xludf.DUMMYFUNCTION("""COMPUTED_VALUE"""),12747586)</f>
        <v>#NAME?</v>
      </c>
      <c r="B469" s="100" t="e">
        <f ca="1">IFERROR(__xludf.DUMMYFUNCTION("""COMPUTED_VALUE"""),"INTERUSDT")</f>
        <v>#NAME?</v>
      </c>
      <c r="C469" s="100" t="e">
        <f ca="1">IFERROR(__xludf.DUMMYFUNCTION("""COMPUTED_VALUE"""),"0.8267")</f>
        <v>#NAME?</v>
      </c>
      <c r="D469" s="100" t="e">
        <f t="shared" ca="1" si="63"/>
        <v>#NAME?</v>
      </c>
      <c r="E469" s="100" t="e">
        <f t="shared" ca="1" si="63"/>
        <v>#NAME?</v>
      </c>
      <c r="F469" s="100" t="e">
        <f t="shared" ca="1" si="58"/>
        <v>#NAME?</v>
      </c>
      <c r="G469" s="100" t="e">
        <f t="shared" ca="1" si="59"/>
        <v>#NAME?</v>
      </c>
      <c r="H469" s="100" t="e">
        <f t="shared" ca="1" si="60"/>
        <v>#NAME?</v>
      </c>
      <c r="I469" s="100" t="e">
        <f t="shared" ca="1" si="61"/>
        <v>#NAME?</v>
      </c>
      <c r="J469" s="100" t="e">
        <f ca="1">IFERROR(__xludf.DUMMYFUNCTION("""COMPUTED_VALUE"""),"5.93")</f>
        <v>#NAME?</v>
      </c>
      <c r="K469" s="100" t="e">
        <f t="shared" ca="1" si="62"/>
        <v>#NAME?</v>
      </c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</row>
    <row r="470" spans="1:26">
      <c r="A470" s="100" t="e">
        <f ca="1">IFERROR(__xludf.DUMMYFUNCTION("""COMPUTED_VALUE"""),12747587)</f>
        <v>#NAME?</v>
      </c>
      <c r="B470" s="100" t="e">
        <f ca="1">IFERROR(__xludf.DUMMYFUNCTION("""COMPUTED_VALUE"""),"XETAUSDT")</f>
        <v>#NAME?</v>
      </c>
      <c r="C470" s="100" t="e">
        <f ca="1">IFERROR(__xludf.DUMMYFUNCTION("""COMPUTED_VALUE"""),"0.000894")</f>
        <v>#NAME?</v>
      </c>
      <c r="D470" s="100" t="e">
        <f t="shared" ca="1" si="63"/>
        <v>#NAME?</v>
      </c>
      <c r="E470" s="100" t="e">
        <f t="shared" ca="1" si="63"/>
        <v>#NAME?</v>
      </c>
      <c r="F470" s="100" t="e">
        <f t="shared" ca="1" si="58"/>
        <v>#NAME?</v>
      </c>
      <c r="G470" s="100" t="e">
        <f t="shared" ca="1" si="59"/>
        <v>#NAME?</v>
      </c>
      <c r="H470" s="100" t="e">
        <f t="shared" ca="1" si="60"/>
        <v>#NAME?</v>
      </c>
      <c r="I470" s="100" t="e">
        <f t="shared" ca="1" si="61"/>
        <v>#NAME?</v>
      </c>
      <c r="J470" s="100" t="e">
        <f ca="1">IFERROR(__xludf.DUMMYFUNCTION("""COMPUTED_VALUE"""),"-5.99")</f>
        <v>#NAME?</v>
      </c>
      <c r="K470" s="100" t="e">
        <f t="shared" ca="1" si="62"/>
        <v>#NAME?</v>
      </c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</row>
    <row r="471" spans="1:26">
      <c r="A471" s="100" t="e">
        <f ca="1">IFERROR(__xludf.DUMMYFUNCTION("""COMPUTED_VALUE"""),12747588)</f>
        <v>#NAME?</v>
      </c>
      <c r="B471" s="100" t="e">
        <f ca="1">IFERROR(__xludf.DUMMYFUNCTION("""COMPUTED_VALUE"""),"MONUSDT")</f>
        <v>#NAME?</v>
      </c>
      <c r="C471" s="100" t="e">
        <f ca="1">IFERROR(__xludf.DUMMYFUNCTION("""COMPUTED_VALUE"""),"0.02725")</f>
        <v>#NAME?</v>
      </c>
      <c r="D471" s="100" t="e">
        <f t="shared" ca="1" si="63"/>
        <v>#NAME?</v>
      </c>
      <c r="E471" s="100" t="e">
        <f t="shared" ca="1" si="63"/>
        <v>#NAME?</v>
      </c>
      <c r="F471" s="100" t="e">
        <f t="shared" ca="1" si="58"/>
        <v>#NAME?</v>
      </c>
      <c r="G471" s="100" t="e">
        <f t="shared" ca="1" si="59"/>
        <v>#NAME?</v>
      </c>
      <c r="H471" s="100" t="e">
        <f t="shared" ca="1" si="60"/>
        <v>#NAME?</v>
      </c>
      <c r="I471" s="100" t="e">
        <f t="shared" ca="1" si="61"/>
        <v>#NAME?</v>
      </c>
      <c r="J471" s="100" t="e">
        <f ca="1">IFERROR(__xludf.DUMMYFUNCTION("""COMPUTED_VALUE"""),"1.68")</f>
        <v>#NAME?</v>
      </c>
      <c r="K471" s="100" t="e">
        <f t="shared" ca="1" si="62"/>
        <v>#NAME?</v>
      </c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</row>
    <row r="472" spans="1:26">
      <c r="A472" s="100" t="e">
        <f ca="1">IFERROR(__xludf.DUMMYFUNCTION("""COMPUTED_VALUE"""),12747589)</f>
        <v>#NAME?</v>
      </c>
      <c r="B472" s="100" t="e">
        <f ca="1">IFERROR(__xludf.DUMMYFUNCTION("""COMPUTED_VALUE"""),"IZIUSDT")</f>
        <v>#NAME?</v>
      </c>
      <c r="C472" s="100" t="e">
        <f ca="1">IFERROR(__xludf.DUMMYFUNCTION("""COMPUTED_VALUE"""),"0.004624")</f>
        <v>#NAME?</v>
      </c>
      <c r="D472" s="100" t="e">
        <f t="shared" ca="1" si="63"/>
        <v>#NAME?</v>
      </c>
      <c r="E472" s="100" t="e">
        <f t="shared" ca="1" si="63"/>
        <v>#NAME?</v>
      </c>
      <c r="F472" s="100" t="e">
        <f t="shared" ca="1" si="58"/>
        <v>#NAME?</v>
      </c>
      <c r="G472" s="100" t="e">
        <f t="shared" ca="1" si="59"/>
        <v>#NAME?</v>
      </c>
      <c r="H472" s="100" t="e">
        <f t="shared" ca="1" si="60"/>
        <v>#NAME?</v>
      </c>
      <c r="I472" s="100" t="e">
        <f t="shared" ca="1" si="61"/>
        <v>#NAME?</v>
      </c>
      <c r="J472" s="100" t="e">
        <f ca="1">IFERROR(__xludf.DUMMYFUNCTION("""COMPUTED_VALUE"""),"-1.0699999999999998")</f>
        <v>#NAME?</v>
      </c>
      <c r="K472" s="100" t="e">
        <f t="shared" ca="1" si="62"/>
        <v>#NAME?</v>
      </c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</row>
    <row r="473" spans="1:26">
      <c r="A473" s="100" t="e">
        <f ca="1">IFERROR(__xludf.DUMMYFUNCTION("""COMPUTED_VALUE"""),12747590)</f>
        <v>#NAME?</v>
      </c>
      <c r="B473" s="100" t="e">
        <f ca="1">IFERROR(__xludf.DUMMYFUNCTION("""COMPUTED_VALUE"""),"ADAUSDC")</f>
        <v>#NAME?</v>
      </c>
      <c r="C473" s="100" t="e">
        <f ca="1">IFERROR(__xludf.DUMMYFUNCTION("""COMPUTED_VALUE"""),"0.64")</f>
        <v>#NAME?</v>
      </c>
      <c r="D473" s="100" t="e">
        <f t="shared" ca="1" si="63"/>
        <v>#NAME?</v>
      </c>
      <c r="E473" s="100" t="e">
        <f t="shared" ca="1" si="63"/>
        <v>#NAME?</v>
      </c>
      <c r="F473" s="100" t="e">
        <f t="shared" ca="1" si="58"/>
        <v>#NAME?</v>
      </c>
      <c r="G473" s="100" t="e">
        <f t="shared" ca="1" si="59"/>
        <v>#NAME?</v>
      </c>
      <c r="H473" s="100" t="e">
        <f t="shared" ca="1" si="60"/>
        <v>#NAME?</v>
      </c>
      <c r="I473" s="100" t="e">
        <f t="shared" ca="1" si="61"/>
        <v>#NAME?</v>
      </c>
      <c r="J473" s="100" t="e">
        <f ca="1">IFERROR(__xludf.DUMMYFUNCTION("""COMPUTED_VALUE"""),"-1.05")</f>
        <v>#NAME?</v>
      </c>
      <c r="K473" s="100" t="e">
        <f t="shared" ca="1" si="62"/>
        <v>#NAME?</v>
      </c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</row>
    <row r="474" spans="1:26">
      <c r="A474" s="100" t="e">
        <f ca="1">IFERROR(__xludf.DUMMYFUNCTION("""COMPUTED_VALUE"""),12747591)</f>
        <v>#NAME?</v>
      </c>
      <c r="B474" s="100" t="e">
        <f ca="1">IFERROR(__xludf.DUMMYFUNCTION("""COMPUTED_VALUE"""),"PINEYEUSDT")</f>
        <v>#NAME?</v>
      </c>
      <c r="C474" s="100" t="e">
        <f ca="1">IFERROR(__xludf.DUMMYFUNCTION("""COMPUTED_VALUE"""),"0.000089")</f>
        <v>#NAME?</v>
      </c>
      <c r="D474" s="100" t="e">
        <f t="shared" ca="1" si="63"/>
        <v>#NAME?</v>
      </c>
      <c r="E474" s="100" t="e">
        <f t="shared" ca="1" si="63"/>
        <v>#NAME?</v>
      </c>
      <c r="F474" s="100" t="e">
        <f t="shared" ca="1" si="58"/>
        <v>#NAME?</v>
      </c>
      <c r="G474" s="100" t="e">
        <f t="shared" ca="1" si="59"/>
        <v>#NAME?</v>
      </c>
      <c r="H474" s="100" t="e">
        <f t="shared" ca="1" si="60"/>
        <v>#NAME?</v>
      </c>
      <c r="I474" s="100" t="e">
        <f t="shared" ca="1" si="61"/>
        <v>#NAME?</v>
      </c>
      <c r="J474" s="100" t="e">
        <f ca="1">IFERROR(__xludf.DUMMYFUNCTION("""COMPUTED_VALUE"""),"-3.47")</f>
        <v>#NAME?</v>
      </c>
      <c r="K474" s="100" t="e">
        <f t="shared" ca="1" si="62"/>
        <v>#NAME?</v>
      </c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</row>
    <row r="475" spans="1:26">
      <c r="A475" s="100" t="e">
        <f ca="1">IFERROR(__xludf.DUMMYFUNCTION("""COMPUTED_VALUE"""),12747592)</f>
        <v>#NAME?</v>
      </c>
      <c r="B475" s="100" t="e">
        <f ca="1">IFERROR(__xludf.DUMMYFUNCTION("""COMPUTED_VALUE"""),"CHZUSDT")</f>
        <v>#NAME?</v>
      </c>
      <c r="C475" s="100" t="e">
        <f ca="1">IFERROR(__xludf.DUMMYFUNCTION("""COMPUTED_VALUE"""),"0.0371")</f>
        <v>#NAME?</v>
      </c>
      <c r="D475" s="100" t="e">
        <f t="shared" ca="1" si="63"/>
        <v>#NAME?</v>
      </c>
      <c r="E475" s="100" t="e">
        <f t="shared" ca="1" si="63"/>
        <v>#NAME?</v>
      </c>
      <c r="F475" s="100" t="e">
        <f t="shared" ca="1" si="58"/>
        <v>#NAME?</v>
      </c>
      <c r="G475" s="100" t="e">
        <f t="shared" ca="1" si="59"/>
        <v>#NAME?</v>
      </c>
      <c r="H475" s="100" t="e">
        <f t="shared" ca="1" si="60"/>
        <v>#NAME?</v>
      </c>
      <c r="I475" s="100" t="e">
        <f t="shared" ca="1" si="61"/>
        <v>#NAME?</v>
      </c>
      <c r="J475" s="100" t="e">
        <f ca="1">IFERROR(__xludf.DUMMYFUNCTION("""COMPUTED_VALUE"""),"-2.88")</f>
        <v>#NAME?</v>
      </c>
      <c r="K475" s="100" t="e">
        <f t="shared" ca="1" si="62"/>
        <v>#NAME?</v>
      </c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</row>
    <row r="476" spans="1:26">
      <c r="A476" s="100" t="e">
        <f ca="1">IFERROR(__xludf.DUMMYFUNCTION("""COMPUTED_VALUE"""),12747593)</f>
        <v>#NAME?</v>
      </c>
      <c r="B476" s="100" t="e">
        <f ca="1">IFERROR(__xludf.DUMMYFUNCTION("""COMPUTED_VALUE"""),"ZRXUSDT")</f>
        <v>#NAME?</v>
      </c>
      <c r="C476" s="100" t="e">
        <f ca="1">IFERROR(__xludf.DUMMYFUNCTION("""COMPUTED_VALUE"""),"0.2527")</f>
        <v>#NAME?</v>
      </c>
      <c r="D476" s="100" t="e">
        <f t="shared" ca="1" si="63"/>
        <v>#NAME?</v>
      </c>
      <c r="E476" s="100" t="e">
        <f t="shared" ca="1" si="63"/>
        <v>#NAME?</v>
      </c>
      <c r="F476" s="100" t="e">
        <f t="shared" ca="1" si="58"/>
        <v>#NAME?</v>
      </c>
      <c r="G476" s="100" t="e">
        <f t="shared" ca="1" si="59"/>
        <v>#NAME?</v>
      </c>
      <c r="H476" s="100" t="e">
        <f t="shared" ca="1" si="60"/>
        <v>#NAME?</v>
      </c>
      <c r="I476" s="100" t="e">
        <f t="shared" ca="1" si="61"/>
        <v>#NAME?</v>
      </c>
      <c r="J476" s="100" t="e">
        <f ca="1">IFERROR(__xludf.DUMMYFUNCTION("""COMPUTED_VALUE"""),"-3.18")</f>
        <v>#NAME?</v>
      </c>
      <c r="K476" s="100" t="e">
        <f t="shared" ca="1" si="62"/>
        <v>#NAME?</v>
      </c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</row>
    <row r="477" spans="1:26">
      <c r="A477" s="100" t="e">
        <f ca="1">IFERROR(__xludf.DUMMYFUNCTION("""COMPUTED_VALUE"""),12747594)</f>
        <v>#NAME?</v>
      </c>
      <c r="B477" s="100" t="e">
        <f ca="1">IFERROR(__xludf.DUMMYFUNCTION("""COMPUTED_VALUE"""),"XCADUSDT")</f>
        <v>#NAME?</v>
      </c>
      <c r="C477" s="100" t="e">
        <f ca="1">IFERROR(__xludf.DUMMYFUNCTION("""COMPUTED_VALUE"""),"0.05474")</f>
        <v>#NAME?</v>
      </c>
      <c r="D477" s="100" t="e">
        <f t="shared" ca="1" si="63"/>
        <v>#NAME?</v>
      </c>
      <c r="E477" s="100" t="e">
        <f t="shared" ca="1" si="63"/>
        <v>#NAME?</v>
      </c>
      <c r="F477" s="100" t="e">
        <f t="shared" ca="1" si="58"/>
        <v>#NAME?</v>
      </c>
      <c r="G477" s="100" t="e">
        <f t="shared" ca="1" si="59"/>
        <v>#NAME?</v>
      </c>
      <c r="H477" s="100" t="e">
        <f t="shared" ca="1" si="60"/>
        <v>#NAME?</v>
      </c>
      <c r="I477" s="100" t="e">
        <f t="shared" ca="1" si="61"/>
        <v>#NAME?</v>
      </c>
      <c r="J477" s="100" t="e">
        <f ca="1">IFERROR(__xludf.DUMMYFUNCTION("""COMPUTED_VALUE"""),"-4.93")</f>
        <v>#NAME?</v>
      </c>
      <c r="K477" s="100" t="e">
        <f t="shared" ca="1" si="62"/>
        <v>#NAME?</v>
      </c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</row>
    <row r="478" spans="1:26">
      <c r="A478" s="100" t="e">
        <f ca="1">IFERROR(__xludf.DUMMYFUNCTION("""COMPUTED_VALUE"""),12747595)</f>
        <v>#NAME?</v>
      </c>
      <c r="B478" s="100" t="e">
        <f ca="1">IFERROR(__xludf.DUMMYFUNCTION("""COMPUTED_VALUE"""),"BRAWLUSDT")</f>
        <v>#NAME?</v>
      </c>
      <c r="C478" s="100" t="e">
        <f ca="1">IFERROR(__xludf.DUMMYFUNCTION("""COMPUTED_VALUE"""),"0.0000615")</f>
        <v>#NAME?</v>
      </c>
      <c r="D478" s="100" t="e">
        <f t="shared" ca="1" si="63"/>
        <v>#NAME?</v>
      </c>
      <c r="E478" s="100" t="e">
        <f t="shared" ca="1" si="63"/>
        <v>#NAME?</v>
      </c>
      <c r="F478" s="100" t="e">
        <f t="shared" ca="1" si="58"/>
        <v>#NAME?</v>
      </c>
      <c r="G478" s="100" t="e">
        <f t="shared" ca="1" si="59"/>
        <v>#NAME?</v>
      </c>
      <c r="H478" s="100" t="e">
        <f t="shared" ca="1" si="60"/>
        <v>#NAME?</v>
      </c>
      <c r="I478" s="100" t="e">
        <f t="shared" ca="1" si="61"/>
        <v>#NAME?</v>
      </c>
      <c r="J478" s="100" t="e">
        <f ca="1">IFERROR(__xludf.DUMMYFUNCTION("""COMPUTED_VALUE"""),"-7.380000000000001")</f>
        <v>#NAME?</v>
      </c>
      <c r="K478" s="100" t="e">
        <f t="shared" ca="1" si="62"/>
        <v>#NAME?</v>
      </c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</row>
    <row r="479" spans="1:26">
      <c r="A479" s="100" t="e">
        <f ca="1">IFERROR(__xludf.DUMMYFUNCTION("""COMPUTED_VALUE"""),12747596)</f>
        <v>#NAME?</v>
      </c>
      <c r="B479" s="100" t="e">
        <f ca="1">IFERROR(__xludf.DUMMYFUNCTION("""COMPUTED_VALUE"""),"OPUSDT")</f>
        <v>#NAME?</v>
      </c>
      <c r="C479" s="100" t="e">
        <f ca="1">IFERROR(__xludf.DUMMYFUNCTION("""COMPUTED_VALUE"""),"0.69")</f>
        <v>#NAME?</v>
      </c>
      <c r="D479" s="100" t="e">
        <f t="shared" ca="1" si="63"/>
        <v>#NAME?</v>
      </c>
      <c r="E479" s="100" t="e">
        <f t="shared" ca="1" si="63"/>
        <v>#NAME?</v>
      </c>
      <c r="F479" s="100" t="e">
        <f t="shared" ca="1" si="58"/>
        <v>#NAME?</v>
      </c>
      <c r="G479" s="100" t="e">
        <f t="shared" ca="1" si="59"/>
        <v>#NAME?</v>
      </c>
      <c r="H479" s="100" t="e">
        <f t="shared" ca="1" si="60"/>
        <v>#NAME?</v>
      </c>
      <c r="I479" s="100" t="e">
        <f t="shared" ca="1" si="61"/>
        <v>#NAME?</v>
      </c>
      <c r="J479" s="100" t="e">
        <f ca="1">IFERROR(__xludf.DUMMYFUNCTION("""COMPUTED_VALUE"""),"-4.96")</f>
        <v>#NAME?</v>
      </c>
      <c r="K479" s="100" t="e">
        <f t="shared" ca="1" si="62"/>
        <v>#NAME?</v>
      </c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</row>
    <row r="480" spans="1:26">
      <c r="A480" s="100" t="e">
        <f ca="1">IFERROR(__xludf.DUMMYFUNCTION("""COMPUTED_VALUE"""),12747597)</f>
        <v>#NAME?</v>
      </c>
      <c r="B480" s="100" t="e">
        <f ca="1">IFERROR(__xludf.DUMMYFUNCTION("""COMPUTED_VALUE"""),"JSTUSDT")</f>
        <v>#NAME?</v>
      </c>
      <c r="C480" s="100" t="e">
        <f ca="1">IFERROR(__xludf.DUMMYFUNCTION("""COMPUTED_VALUE"""),"0.03144")</f>
        <v>#NAME?</v>
      </c>
      <c r="D480" s="100" t="e">
        <f t="shared" ca="1" si="63"/>
        <v>#NAME?</v>
      </c>
      <c r="E480" s="100" t="e">
        <f t="shared" ca="1" si="63"/>
        <v>#NAME?</v>
      </c>
      <c r="F480" s="100" t="e">
        <f t="shared" ca="1" si="58"/>
        <v>#NAME?</v>
      </c>
      <c r="G480" s="100" t="e">
        <f t="shared" ca="1" si="59"/>
        <v>#NAME?</v>
      </c>
      <c r="H480" s="100" t="e">
        <f t="shared" ca="1" si="60"/>
        <v>#NAME?</v>
      </c>
      <c r="I480" s="100" t="e">
        <f t="shared" ca="1" si="61"/>
        <v>#NAME?</v>
      </c>
      <c r="J480" s="100" t="e">
        <f ca="1">IFERROR(__xludf.DUMMYFUNCTION("""COMPUTED_VALUE"""),"1.48")</f>
        <v>#NAME?</v>
      </c>
      <c r="K480" s="100" t="e">
        <f t="shared" ca="1" si="62"/>
        <v>#NAME?</v>
      </c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</row>
    <row r="481" spans="1:26">
      <c r="A481" s="100" t="e">
        <f ca="1">IFERROR(__xludf.DUMMYFUNCTION("""COMPUTED_VALUE"""),12747598)</f>
        <v>#NAME?</v>
      </c>
      <c r="B481" s="100" t="e">
        <f ca="1">IFERROR(__xludf.DUMMYFUNCTION("""COMPUTED_VALUE"""),"ODOSUSDT")</f>
        <v>#NAME?</v>
      </c>
      <c r="C481" s="100" t="e">
        <f ca="1">IFERROR(__xludf.DUMMYFUNCTION("""COMPUTED_VALUE"""),"0.006454")</f>
        <v>#NAME?</v>
      </c>
      <c r="D481" s="100" t="e">
        <f t="shared" ca="1" si="63"/>
        <v>#NAME?</v>
      </c>
      <c r="E481" s="100" t="e">
        <f t="shared" ca="1" si="63"/>
        <v>#NAME?</v>
      </c>
      <c r="F481" s="100" t="e">
        <f t="shared" ca="1" si="58"/>
        <v>#NAME?</v>
      </c>
      <c r="G481" s="100" t="e">
        <f t="shared" ca="1" si="59"/>
        <v>#NAME?</v>
      </c>
      <c r="H481" s="100" t="e">
        <f t="shared" ca="1" si="60"/>
        <v>#NAME?</v>
      </c>
      <c r="I481" s="100" t="e">
        <f t="shared" ca="1" si="61"/>
        <v>#NAME?</v>
      </c>
      <c r="J481" s="100" t="e">
        <f ca="1">IFERROR(__xludf.DUMMYFUNCTION("""COMPUTED_VALUE"""),"-1.6")</f>
        <v>#NAME?</v>
      </c>
      <c r="K481" s="100" t="e">
        <f t="shared" ca="1" si="62"/>
        <v>#NAME?</v>
      </c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</row>
    <row r="482" spans="1:26">
      <c r="A482" s="100" t="e">
        <f ca="1">IFERROR(__xludf.DUMMYFUNCTION("""COMPUTED_VALUE"""),12747599)</f>
        <v>#NAME?</v>
      </c>
      <c r="B482" s="100" t="e">
        <f ca="1">IFERROR(__xludf.DUMMYFUNCTION("""COMPUTED_VALUE"""),"CATIEUR")</f>
        <v>#NAME?</v>
      </c>
      <c r="C482" s="100" t="e">
        <f ca="1">IFERROR(__xludf.DUMMYFUNCTION("""COMPUTED_VALUE"""),"0.0728")</f>
        <v>#NAME?</v>
      </c>
      <c r="D482" s="100" t="e">
        <f t="shared" ref="D482:E501" ca="1" si="64">IFERROR(__xludf.DUMMYFUNCTION("""COMPUTED_VALUE"""),"-")</f>
        <v>#NAME?</v>
      </c>
      <c r="E482" s="100" t="e">
        <f t="shared" ca="1" si="64"/>
        <v>#NAME?</v>
      </c>
      <c r="F482" s="100" t="e">
        <f t="shared" ca="1" si="58"/>
        <v>#NAME?</v>
      </c>
      <c r="G482" s="100" t="e">
        <f t="shared" ca="1" si="59"/>
        <v>#NAME?</v>
      </c>
      <c r="H482" s="100" t="e">
        <f t="shared" ca="1" si="60"/>
        <v>#NAME?</v>
      </c>
      <c r="I482" s="100" t="e">
        <f t="shared" ca="1" si="61"/>
        <v>#NAME?</v>
      </c>
      <c r="J482" s="100" t="e">
        <f ca="1">IFERROR(__xludf.DUMMYFUNCTION("""COMPUTED_VALUE"""),"-1.7500000000000002")</f>
        <v>#NAME?</v>
      </c>
      <c r="K482" s="100" t="e">
        <f t="shared" ca="1" si="62"/>
        <v>#NAME?</v>
      </c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</row>
    <row r="483" spans="1:26">
      <c r="A483" s="100" t="e">
        <f ca="1">IFERROR(__xludf.DUMMYFUNCTION("""COMPUTED_VALUE"""),12747600)</f>
        <v>#NAME?</v>
      </c>
      <c r="B483" s="100" t="e">
        <f ca="1">IFERROR(__xludf.DUMMYFUNCTION("""COMPUTED_VALUE"""),"XTZUSDT")</f>
        <v>#NAME?</v>
      </c>
      <c r="C483" s="100" t="e">
        <f ca="1">IFERROR(__xludf.DUMMYFUNCTION("""COMPUTED_VALUE"""),"0.507")</f>
        <v>#NAME?</v>
      </c>
      <c r="D483" s="100" t="e">
        <f t="shared" ca="1" si="64"/>
        <v>#NAME?</v>
      </c>
      <c r="E483" s="100" t="e">
        <f t="shared" ca="1" si="64"/>
        <v>#NAME?</v>
      </c>
      <c r="F483" s="100" t="e">
        <f t="shared" ca="1" si="58"/>
        <v>#NAME?</v>
      </c>
      <c r="G483" s="100" t="e">
        <f t="shared" ca="1" si="59"/>
        <v>#NAME?</v>
      </c>
      <c r="H483" s="100" t="e">
        <f t="shared" ca="1" si="60"/>
        <v>#NAME?</v>
      </c>
      <c r="I483" s="100" t="e">
        <f t="shared" ca="1" si="61"/>
        <v>#NAME?</v>
      </c>
      <c r="J483" s="100" t="e">
        <f ca="1">IFERROR(__xludf.DUMMYFUNCTION("""COMPUTED_VALUE"""),"-0.38999999999999996")</f>
        <v>#NAME?</v>
      </c>
      <c r="K483" s="100" t="e">
        <f t="shared" ca="1" si="62"/>
        <v>#NAME?</v>
      </c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</row>
    <row r="484" spans="1:26">
      <c r="A484" s="100" t="e">
        <f ca="1">IFERROR(__xludf.DUMMYFUNCTION("""COMPUTED_VALUE"""),12747601)</f>
        <v>#NAME?</v>
      </c>
      <c r="B484" s="100" t="e">
        <f ca="1">IFERROR(__xludf.DUMMYFUNCTION("""COMPUTED_VALUE"""),"HLGUSDT")</f>
        <v>#NAME?</v>
      </c>
      <c r="C484" s="100" t="e">
        <f ca="1">IFERROR(__xludf.DUMMYFUNCTION("""COMPUTED_VALUE"""),"0.0004332")</f>
        <v>#NAME?</v>
      </c>
      <c r="D484" s="100" t="e">
        <f t="shared" ca="1" si="64"/>
        <v>#NAME?</v>
      </c>
      <c r="E484" s="100" t="e">
        <f t="shared" ca="1" si="64"/>
        <v>#NAME?</v>
      </c>
      <c r="F484" s="100" t="e">
        <f t="shared" ca="1" si="58"/>
        <v>#NAME?</v>
      </c>
      <c r="G484" s="100" t="e">
        <f t="shared" ca="1" si="59"/>
        <v>#NAME?</v>
      </c>
      <c r="H484" s="100" t="e">
        <f t="shared" ca="1" si="60"/>
        <v>#NAME?</v>
      </c>
      <c r="I484" s="100" t="e">
        <f t="shared" ca="1" si="61"/>
        <v>#NAME?</v>
      </c>
      <c r="J484" s="100" t="e">
        <f ca="1">IFERROR(__xludf.DUMMYFUNCTION("""COMPUTED_VALUE"""),"-12.94")</f>
        <v>#NAME?</v>
      </c>
      <c r="K484" s="100" t="e">
        <f t="shared" ca="1" si="62"/>
        <v>#NAME?</v>
      </c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</row>
    <row r="485" spans="1:26">
      <c r="A485" s="100" t="e">
        <f ca="1">IFERROR(__xludf.DUMMYFUNCTION("""COMPUTED_VALUE"""),12747602)</f>
        <v>#NAME?</v>
      </c>
      <c r="B485" s="100" t="e">
        <f ca="1">IFERROR(__xludf.DUMMYFUNCTION("""COMPUTED_VALUE"""),"POKTUSDT")</f>
        <v>#NAME?</v>
      </c>
      <c r="C485" s="100" t="e">
        <f ca="1">IFERROR(__xludf.DUMMYFUNCTION("""COMPUTED_VALUE"""),"0.0127")</f>
        <v>#NAME?</v>
      </c>
      <c r="D485" s="100" t="e">
        <f t="shared" ca="1" si="64"/>
        <v>#NAME?</v>
      </c>
      <c r="E485" s="100" t="e">
        <f t="shared" ca="1" si="64"/>
        <v>#NAME?</v>
      </c>
      <c r="F485" s="100" t="e">
        <f t="shared" ca="1" si="58"/>
        <v>#NAME?</v>
      </c>
      <c r="G485" s="100" t="e">
        <f t="shared" ca="1" si="59"/>
        <v>#NAME?</v>
      </c>
      <c r="H485" s="100" t="e">
        <f t="shared" ca="1" si="60"/>
        <v>#NAME?</v>
      </c>
      <c r="I485" s="100" t="e">
        <f t="shared" ca="1" si="61"/>
        <v>#NAME?</v>
      </c>
      <c r="J485" s="100" t="e">
        <f ca="1">IFERROR(__xludf.DUMMYFUNCTION("""COMPUTED_VALUE"""),"-10.37")</f>
        <v>#NAME?</v>
      </c>
      <c r="K485" s="100" t="e">
        <f t="shared" ca="1" si="62"/>
        <v>#NAME?</v>
      </c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</row>
    <row r="486" spans="1:26">
      <c r="A486" s="100" t="e">
        <f ca="1">IFERROR(__xludf.DUMMYFUNCTION("""COMPUTED_VALUE"""),12747603)</f>
        <v>#NAME?</v>
      </c>
      <c r="B486" s="100" t="e">
        <f ca="1">IFERROR(__xludf.DUMMYFUNCTION("""COMPUTED_VALUE"""),"LAYERUSDT")</f>
        <v>#NAME?</v>
      </c>
      <c r="C486" s="100" t="e">
        <f ca="1">IFERROR(__xludf.DUMMYFUNCTION("""COMPUTED_VALUE"""),"1.962")</f>
        <v>#NAME?</v>
      </c>
      <c r="D486" s="100" t="e">
        <f t="shared" ca="1" si="64"/>
        <v>#NAME?</v>
      </c>
      <c r="E486" s="100" t="e">
        <f t="shared" ca="1" si="64"/>
        <v>#NAME?</v>
      </c>
      <c r="F486" s="100" t="e">
        <f t="shared" ca="1" si="58"/>
        <v>#NAME?</v>
      </c>
      <c r="G486" s="100" t="e">
        <f t="shared" ca="1" si="59"/>
        <v>#NAME?</v>
      </c>
      <c r="H486" s="100" t="e">
        <f t="shared" ca="1" si="60"/>
        <v>#NAME?</v>
      </c>
      <c r="I486" s="100" t="e">
        <f t="shared" ca="1" si="61"/>
        <v>#NAME?</v>
      </c>
      <c r="J486" s="100" t="e">
        <f ca="1">IFERROR(__xludf.DUMMYFUNCTION("""COMPUTED_VALUE"""),"-8.649999999999999")</f>
        <v>#NAME?</v>
      </c>
      <c r="K486" s="100" t="e">
        <f t="shared" ca="1" si="62"/>
        <v>#NAME?</v>
      </c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</row>
    <row r="487" spans="1:26">
      <c r="A487" s="100" t="e">
        <f ca="1">IFERROR(__xludf.DUMMYFUNCTION("""COMPUTED_VALUE"""),12747604)</f>
        <v>#NAME?</v>
      </c>
      <c r="B487" s="100" t="e">
        <f ca="1">IFERROR(__xludf.DUMMYFUNCTION("""COMPUTED_VALUE"""),"MYRIAUSDT")</f>
        <v>#NAME?</v>
      </c>
      <c r="C487" s="100" t="e">
        <f ca="1">IFERROR(__xludf.DUMMYFUNCTION("""COMPUTED_VALUE"""),"0.000845")</f>
        <v>#NAME?</v>
      </c>
      <c r="D487" s="100" t="e">
        <f t="shared" ca="1" si="64"/>
        <v>#NAME?</v>
      </c>
      <c r="E487" s="100" t="e">
        <f t="shared" ca="1" si="64"/>
        <v>#NAME?</v>
      </c>
      <c r="F487" s="100" t="e">
        <f t="shared" ca="1" si="58"/>
        <v>#NAME?</v>
      </c>
      <c r="G487" s="100" t="e">
        <f t="shared" ca="1" si="59"/>
        <v>#NAME?</v>
      </c>
      <c r="H487" s="100" t="e">
        <f t="shared" ca="1" si="60"/>
        <v>#NAME?</v>
      </c>
      <c r="I487" s="100" t="e">
        <f t="shared" ca="1" si="61"/>
        <v>#NAME?</v>
      </c>
      <c r="J487" s="100" t="e">
        <f ca="1">IFERROR(__xludf.DUMMYFUNCTION("""COMPUTED_VALUE"""),"-6.460000000000001")</f>
        <v>#NAME?</v>
      </c>
      <c r="K487" s="100" t="e">
        <f t="shared" ca="1" si="62"/>
        <v>#NAME?</v>
      </c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</row>
    <row r="488" spans="1:26">
      <c r="A488" s="100" t="e">
        <f ca="1">IFERROR(__xludf.DUMMYFUNCTION("""COMPUTED_VALUE"""),12747605)</f>
        <v>#NAME?</v>
      </c>
      <c r="B488" s="100" t="e">
        <f ca="1">IFERROR(__xludf.DUMMYFUNCTION("""COMPUTED_VALUE"""),"HMSTRUSDC")</f>
        <v>#NAME?</v>
      </c>
      <c r="C488" s="100" t="e">
        <f ca="1">IFERROR(__xludf.DUMMYFUNCTION("""COMPUTED_VALUE"""),"0.002602")</f>
        <v>#NAME?</v>
      </c>
      <c r="D488" s="100" t="e">
        <f t="shared" ca="1" si="64"/>
        <v>#NAME?</v>
      </c>
      <c r="E488" s="100" t="e">
        <f t="shared" ca="1" si="64"/>
        <v>#NAME?</v>
      </c>
      <c r="F488" s="100" t="e">
        <f t="shared" ca="1" si="58"/>
        <v>#NAME?</v>
      </c>
      <c r="G488" s="100" t="e">
        <f t="shared" ca="1" si="59"/>
        <v>#NAME?</v>
      </c>
      <c r="H488" s="100" t="e">
        <f t="shared" ca="1" si="60"/>
        <v>#NAME?</v>
      </c>
      <c r="I488" s="100" t="e">
        <f t="shared" ca="1" si="61"/>
        <v>#NAME?</v>
      </c>
      <c r="J488" s="100" t="e">
        <f ca="1">IFERROR(__xludf.DUMMYFUNCTION("""COMPUTED_VALUE"""),"-1.18")</f>
        <v>#NAME?</v>
      </c>
      <c r="K488" s="100" t="e">
        <f t="shared" ca="1" si="62"/>
        <v>#NAME?</v>
      </c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</row>
    <row r="489" spans="1:26">
      <c r="A489" s="100" t="e">
        <f ca="1">IFERROR(__xludf.DUMMYFUNCTION("""COMPUTED_VALUE"""),12747606)</f>
        <v>#NAME?</v>
      </c>
      <c r="B489" s="100" t="e">
        <f ca="1">IFERROR(__xludf.DUMMYFUNCTION("""COMPUTED_VALUE"""),"CSPRUSDT")</f>
        <v>#NAME?</v>
      </c>
      <c r="C489" s="100" t="e">
        <f ca="1">IFERROR(__xludf.DUMMYFUNCTION("""COMPUTED_VALUE"""),"0.00955")</f>
        <v>#NAME?</v>
      </c>
      <c r="D489" s="100" t="e">
        <f t="shared" ca="1" si="64"/>
        <v>#NAME?</v>
      </c>
      <c r="E489" s="100" t="e">
        <f t="shared" ca="1" si="64"/>
        <v>#NAME?</v>
      </c>
      <c r="F489" s="100" t="e">
        <f t="shared" ca="1" si="58"/>
        <v>#NAME?</v>
      </c>
      <c r="G489" s="100" t="e">
        <f t="shared" ca="1" si="59"/>
        <v>#NAME?</v>
      </c>
      <c r="H489" s="100" t="e">
        <f t="shared" ca="1" si="60"/>
        <v>#NAME?</v>
      </c>
      <c r="I489" s="100" t="e">
        <f t="shared" ca="1" si="61"/>
        <v>#NAME?</v>
      </c>
      <c r="J489" s="100" t="e">
        <f ca="1">IFERROR(__xludf.DUMMYFUNCTION("""COMPUTED_VALUE"""),"-0.9299999999999999")</f>
        <v>#NAME?</v>
      </c>
      <c r="K489" s="100" t="e">
        <f t="shared" ca="1" si="62"/>
        <v>#NAME?</v>
      </c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</row>
    <row r="490" spans="1:26">
      <c r="A490" s="100" t="e">
        <f ca="1">IFERROR(__xludf.DUMMYFUNCTION("""COMPUTED_VALUE"""),12747607)</f>
        <v>#NAME?</v>
      </c>
      <c r="B490" s="100" t="e">
        <f ca="1">IFERROR(__xludf.DUMMYFUNCTION("""COMPUTED_VALUE"""),"SISUSDT")</f>
        <v>#NAME?</v>
      </c>
      <c r="C490" s="100" t="e">
        <f ca="1">IFERROR(__xludf.DUMMYFUNCTION("""COMPUTED_VALUE"""),"0.04756")</f>
        <v>#NAME?</v>
      </c>
      <c r="D490" s="100" t="e">
        <f t="shared" ca="1" si="64"/>
        <v>#NAME?</v>
      </c>
      <c r="E490" s="100" t="e">
        <f t="shared" ca="1" si="64"/>
        <v>#NAME?</v>
      </c>
      <c r="F490" s="100" t="e">
        <f t="shared" ca="1" si="58"/>
        <v>#NAME?</v>
      </c>
      <c r="G490" s="100" t="e">
        <f t="shared" ca="1" si="59"/>
        <v>#NAME?</v>
      </c>
      <c r="H490" s="100" t="e">
        <f t="shared" ca="1" si="60"/>
        <v>#NAME?</v>
      </c>
      <c r="I490" s="100" t="e">
        <f t="shared" ca="1" si="61"/>
        <v>#NAME?</v>
      </c>
      <c r="J490" s="100" t="e">
        <f ca="1">IFERROR(__xludf.DUMMYFUNCTION("""COMPUTED_VALUE"""),"-5.82")</f>
        <v>#NAME?</v>
      </c>
      <c r="K490" s="100" t="e">
        <f t="shared" ca="1" si="62"/>
        <v>#NAME?</v>
      </c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</row>
    <row r="491" spans="1:26">
      <c r="A491" s="100" t="e">
        <f ca="1">IFERROR(__xludf.DUMMYFUNCTION("""COMPUTED_VALUE"""),12747608)</f>
        <v>#NAME?</v>
      </c>
      <c r="B491" s="100" t="e">
        <f ca="1">IFERROR(__xludf.DUMMYFUNCTION("""COMPUTED_VALUE"""),"MEUSDT")</f>
        <v>#NAME?</v>
      </c>
      <c r="C491" s="100" t="e">
        <f ca="1">IFERROR(__xludf.DUMMYFUNCTION("""COMPUTED_VALUE"""),"0.798")</f>
        <v>#NAME?</v>
      </c>
      <c r="D491" s="100" t="e">
        <f t="shared" ca="1" si="64"/>
        <v>#NAME?</v>
      </c>
      <c r="E491" s="100" t="e">
        <f t="shared" ca="1" si="64"/>
        <v>#NAME?</v>
      </c>
      <c r="F491" s="100" t="e">
        <f t="shared" ca="1" si="58"/>
        <v>#NAME?</v>
      </c>
      <c r="G491" s="100" t="e">
        <f t="shared" ca="1" si="59"/>
        <v>#NAME?</v>
      </c>
      <c r="H491" s="100" t="e">
        <f t="shared" ca="1" si="60"/>
        <v>#NAME?</v>
      </c>
      <c r="I491" s="100" t="e">
        <f t="shared" ca="1" si="61"/>
        <v>#NAME?</v>
      </c>
      <c r="J491" s="100" t="e">
        <f ca="1">IFERROR(__xludf.DUMMYFUNCTION("""COMPUTED_VALUE"""),"-1.97")</f>
        <v>#NAME?</v>
      </c>
      <c r="K491" s="100" t="e">
        <f t="shared" ca="1" si="62"/>
        <v>#NAME?</v>
      </c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</row>
    <row r="492" spans="1:26">
      <c r="A492" s="100" t="e">
        <f ca="1">IFERROR(__xludf.DUMMYFUNCTION("""COMPUTED_VALUE"""),12747609)</f>
        <v>#NAME?</v>
      </c>
      <c r="B492" s="100" t="e">
        <f ca="1">IFERROR(__xludf.DUMMYFUNCTION("""COMPUTED_VALUE"""),"BABY1USDT")</f>
        <v>#NAME?</v>
      </c>
      <c r="C492" s="100" t="e">
        <f ca="1">IFERROR(__xludf.DUMMYFUNCTION("""COMPUTED_VALUE"""),"0.08076")</f>
        <v>#NAME?</v>
      </c>
      <c r="D492" s="100" t="e">
        <f t="shared" ca="1" si="64"/>
        <v>#NAME?</v>
      </c>
      <c r="E492" s="100" t="e">
        <f t="shared" ca="1" si="64"/>
        <v>#NAME?</v>
      </c>
      <c r="F492" s="100" t="e">
        <f t="shared" ca="1" si="58"/>
        <v>#NAME?</v>
      </c>
      <c r="G492" s="100" t="e">
        <f t="shared" ca="1" si="59"/>
        <v>#NAME?</v>
      </c>
      <c r="H492" s="100" t="e">
        <f t="shared" ca="1" si="60"/>
        <v>#NAME?</v>
      </c>
      <c r="I492" s="100" t="e">
        <f t="shared" ca="1" si="61"/>
        <v>#NAME?</v>
      </c>
      <c r="J492" s="100" t="e">
        <f ca="1">IFERROR(__xludf.DUMMYFUNCTION("""COMPUTED_VALUE"""),"8.48")</f>
        <v>#NAME?</v>
      </c>
      <c r="K492" s="100" t="e">
        <f t="shared" ca="1" si="62"/>
        <v>#NAME?</v>
      </c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</row>
    <row r="493" spans="1:26">
      <c r="A493" s="100" t="e">
        <f ca="1">IFERROR(__xludf.DUMMYFUNCTION("""COMPUTED_VALUE"""),12747610)</f>
        <v>#NAME?</v>
      </c>
      <c r="B493" s="100" t="e">
        <f ca="1">IFERROR(__xludf.DUMMYFUNCTION("""COMPUTED_VALUE"""),"XAVAUSDT")</f>
        <v>#NAME?</v>
      </c>
      <c r="C493" s="100" t="e">
        <f ca="1">IFERROR(__xludf.DUMMYFUNCTION("""COMPUTED_VALUE"""),"0.2435")</f>
        <v>#NAME?</v>
      </c>
      <c r="D493" s="100" t="e">
        <f t="shared" ca="1" si="64"/>
        <v>#NAME?</v>
      </c>
      <c r="E493" s="100" t="e">
        <f t="shared" ca="1" si="64"/>
        <v>#NAME?</v>
      </c>
      <c r="F493" s="100" t="e">
        <f t="shared" ca="1" si="58"/>
        <v>#NAME?</v>
      </c>
      <c r="G493" s="100" t="e">
        <f t="shared" ca="1" si="59"/>
        <v>#NAME?</v>
      </c>
      <c r="H493" s="100" t="e">
        <f t="shared" ca="1" si="60"/>
        <v>#NAME?</v>
      </c>
      <c r="I493" s="100" t="e">
        <f t="shared" ca="1" si="61"/>
        <v>#NAME?</v>
      </c>
      <c r="J493" s="100" t="e">
        <f ca="1">IFERROR(__xludf.DUMMYFUNCTION("""COMPUTED_VALUE"""),"-2.09")</f>
        <v>#NAME?</v>
      </c>
      <c r="K493" s="100" t="e">
        <f t="shared" ca="1" si="62"/>
        <v>#NAME?</v>
      </c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</row>
    <row r="494" spans="1:26">
      <c r="A494" s="100" t="e">
        <f ca="1">IFERROR(__xludf.DUMMYFUNCTION("""COMPUTED_VALUE"""),12747611)</f>
        <v>#NAME?</v>
      </c>
      <c r="B494" s="100" t="e">
        <f ca="1">IFERROR(__xludf.DUMMYFUNCTION("""COMPUTED_VALUE"""),"OBTUSDT")</f>
        <v>#NAME?</v>
      </c>
      <c r="C494" s="100" t="e">
        <f ca="1">IFERROR(__xludf.DUMMYFUNCTION("""COMPUTED_VALUE"""),"0.01349")</f>
        <v>#NAME?</v>
      </c>
      <c r="D494" s="100" t="e">
        <f t="shared" ca="1" si="64"/>
        <v>#NAME?</v>
      </c>
      <c r="E494" s="100" t="e">
        <f t="shared" ca="1" si="64"/>
        <v>#NAME?</v>
      </c>
      <c r="F494" s="100" t="e">
        <f t="shared" ca="1" si="58"/>
        <v>#NAME?</v>
      </c>
      <c r="G494" s="100" t="e">
        <f t="shared" ca="1" si="59"/>
        <v>#NAME?</v>
      </c>
      <c r="H494" s="100" t="e">
        <f t="shared" ca="1" si="60"/>
        <v>#NAME?</v>
      </c>
      <c r="I494" s="100" t="e">
        <f t="shared" ca="1" si="61"/>
        <v>#NAME?</v>
      </c>
      <c r="J494" s="100" t="e">
        <f ca="1">IFERROR(__xludf.DUMMYFUNCTION("""COMPUTED_VALUE"""),"27.750000000000004")</f>
        <v>#NAME?</v>
      </c>
      <c r="K494" s="100" t="e">
        <f t="shared" ca="1" si="62"/>
        <v>#NAME?</v>
      </c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</row>
    <row r="495" spans="1:26">
      <c r="A495" s="100" t="e">
        <f ca="1">IFERROR(__xludf.DUMMYFUNCTION("""COMPUTED_VALUE"""),12747612)</f>
        <v>#NAME?</v>
      </c>
      <c r="B495" s="100" t="e">
        <f ca="1">IFERROR(__xludf.DUMMYFUNCTION("""COMPUTED_VALUE"""),"SQDUSDT")</f>
        <v>#NAME?</v>
      </c>
      <c r="C495" s="100" t="e">
        <f ca="1">IFERROR(__xludf.DUMMYFUNCTION("""COMPUTED_VALUE"""),"0.18741")</f>
        <v>#NAME?</v>
      </c>
      <c r="D495" s="100" t="e">
        <f t="shared" ca="1" si="64"/>
        <v>#NAME?</v>
      </c>
      <c r="E495" s="100" t="e">
        <f t="shared" ca="1" si="64"/>
        <v>#NAME?</v>
      </c>
      <c r="F495" s="100" t="e">
        <f t="shared" ca="1" si="58"/>
        <v>#NAME?</v>
      </c>
      <c r="G495" s="100" t="e">
        <f t="shared" ca="1" si="59"/>
        <v>#NAME?</v>
      </c>
      <c r="H495" s="100" t="e">
        <f t="shared" ca="1" si="60"/>
        <v>#NAME?</v>
      </c>
      <c r="I495" s="100" t="e">
        <f t="shared" ca="1" si="61"/>
        <v>#NAME?</v>
      </c>
      <c r="J495" s="100" t="e">
        <f ca="1">IFERROR(__xludf.DUMMYFUNCTION("""COMPUTED_VALUE"""),"1.3")</f>
        <v>#NAME?</v>
      </c>
      <c r="K495" s="100" t="e">
        <f t="shared" ca="1" si="62"/>
        <v>#NAME?</v>
      </c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</row>
    <row r="496" spans="1:26">
      <c r="A496" s="100" t="e">
        <f ca="1">IFERROR(__xludf.DUMMYFUNCTION("""COMPUTED_VALUE"""),12747613)</f>
        <v>#NAME?</v>
      </c>
      <c r="B496" s="100" t="e">
        <f ca="1">IFERROR(__xludf.DUMMYFUNCTION("""COMPUTED_VALUE"""),"ICPUSDT")</f>
        <v>#NAME?</v>
      </c>
      <c r="C496" s="100" t="e">
        <f ca="1">IFERROR(__xludf.DUMMYFUNCTION("""COMPUTED_VALUE"""),"4.673")</f>
        <v>#NAME?</v>
      </c>
      <c r="D496" s="100" t="e">
        <f t="shared" ca="1" si="64"/>
        <v>#NAME?</v>
      </c>
      <c r="E496" s="100" t="e">
        <f t="shared" ca="1" si="64"/>
        <v>#NAME?</v>
      </c>
      <c r="F496" s="100" t="e">
        <f t="shared" ca="1" si="58"/>
        <v>#NAME?</v>
      </c>
      <c r="G496" s="100" t="e">
        <f t="shared" ca="1" si="59"/>
        <v>#NAME?</v>
      </c>
      <c r="H496" s="100" t="e">
        <f t="shared" ca="1" si="60"/>
        <v>#NAME?</v>
      </c>
      <c r="I496" s="100" t="e">
        <f t="shared" ca="1" si="61"/>
        <v>#NAME?</v>
      </c>
      <c r="J496" s="100" t="e">
        <f ca="1">IFERROR(__xludf.DUMMYFUNCTION("""COMPUTED_VALUE"""),"-6.22")</f>
        <v>#NAME?</v>
      </c>
      <c r="K496" s="100" t="e">
        <f t="shared" ca="1" si="62"/>
        <v>#NAME?</v>
      </c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</row>
    <row r="497" spans="1:26">
      <c r="A497" s="100" t="e">
        <f ca="1">IFERROR(__xludf.DUMMYFUNCTION("""COMPUTED_VALUE"""),12747614)</f>
        <v>#NAME?</v>
      </c>
      <c r="B497" s="100" t="e">
        <f ca="1">IFERROR(__xludf.DUMMYFUNCTION("""COMPUTED_VALUE"""),"BOMEUSDT")</f>
        <v>#NAME?</v>
      </c>
      <c r="C497" s="100" t="e">
        <f ca="1">IFERROR(__xludf.DUMMYFUNCTION("""COMPUTED_VALUE"""),"0.001283")</f>
        <v>#NAME?</v>
      </c>
      <c r="D497" s="100" t="e">
        <f t="shared" ca="1" si="64"/>
        <v>#NAME?</v>
      </c>
      <c r="E497" s="100" t="e">
        <f t="shared" ca="1" si="64"/>
        <v>#NAME?</v>
      </c>
      <c r="F497" s="100" t="e">
        <f t="shared" ca="1" si="58"/>
        <v>#NAME?</v>
      </c>
      <c r="G497" s="100" t="e">
        <f t="shared" ca="1" si="59"/>
        <v>#NAME?</v>
      </c>
      <c r="H497" s="100" t="e">
        <f t="shared" ca="1" si="60"/>
        <v>#NAME?</v>
      </c>
      <c r="I497" s="100" t="e">
        <f t="shared" ca="1" si="61"/>
        <v>#NAME?</v>
      </c>
      <c r="J497" s="100" t="e">
        <f ca="1">IFERROR(__xludf.DUMMYFUNCTION("""COMPUTED_VALUE"""),"-0.31")</f>
        <v>#NAME?</v>
      </c>
      <c r="K497" s="100" t="e">
        <f t="shared" ca="1" si="62"/>
        <v>#NAME?</v>
      </c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</row>
    <row r="498" spans="1:26">
      <c r="A498" s="100" t="e">
        <f ca="1">IFERROR(__xludf.DUMMYFUNCTION("""COMPUTED_VALUE"""),12747615)</f>
        <v>#NAME?</v>
      </c>
      <c r="B498" s="100" t="e">
        <f ca="1">IFERROR(__xludf.DUMMYFUNCTION("""COMPUTED_VALUE"""),"BERAUSDT")</f>
        <v>#NAME?</v>
      </c>
      <c r="C498" s="100" t="e">
        <f ca="1">IFERROR(__xludf.DUMMYFUNCTION("""COMPUTED_VALUE"""),"3.421")</f>
        <v>#NAME?</v>
      </c>
      <c r="D498" s="100" t="e">
        <f t="shared" ca="1" si="64"/>
        <v>#NAME?</v>
      </c>
      <c r="E498" s="100" t="e">
        <f t="shared" ca="1" si="64"/>
        <v>#NAME?</v>
      </c>
      <c r="F498" s="100" t="e">
        <f t="shared" ca="1" si="58"/>
        <v>#NAME?</v>
      </c>
      <c r="G498" s="100" t="e">
        <f t="shared" ca="1" si="59"/>
        <v>#NAME?</v>
      </c>
      <c r="H498" s="100" t="e">
        <f t="shared" ca="1" si="60"/>
        <v>#NAME?</v>
      </c>
      <c r="I498" s="100" t="e">
        <f t="shared" ca="1" si="61"/>
        <v>#NAME?</v>
      </c>
      <c r="J498" s="100" t="e">
        <f ca="1">IFERROR(__xludf.DUMMYFUNCTION("""COMPUTED_VALUE"""),"-1.95")</f>
        <v>#NAME?</v>
      </c>
      <c r="K498" s="100" t="e">
        <f t="shared" ca="1" si="62"/>
        <v>#NAME?</v>
      </c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</row>
    <row r="499" spans="1:26">
      <c r="A499" s="100" t="e">
        <f ca="1">IFERROR(__xludf.DUMMYFUNCTION("""COMPUTED_VALUE"""),12747616)</f>
        <v>#NAME?</v>
      </c>
      <c r="B499" s="100" t="e">
        <f ca="1">IFERROR(__xludf.DUMMYFUNCTION("""COMPUTED_VALUE"""),"NSUSDT")</f>
        <v>#NAME?</v>
      </c>
      <c r="C499" s="100" t="e">
        <f ca="1">IFERROR(__xludf.DUMMYFUNCTION("""COMPUTED_VALUE"""),"0.16483")</f>
        <v>#NAME?</v>
      </c>
      <c r="D499" s="100" t="e">
        <f t="shared" ca="1" si="64"/>
        <v>#NAME?</v>
      </c>
      <c r="E499" s="100" t="e">
        <f t="shared" ca="1" si="64"/>
        <v>#NAME?</v>
      </c>
      <c r="F499" s="100" t="e">
        <f t="shared" ca="1" si="58"/>
        <v>#NAME?</v>
      </c>
      <c r="G499" s="100" t="e">
        <f t="shared" ca="1" si="59"/>
        <v>#NAME?</v>
      </c>
      <c r="H499" s="100" t="e">
        <f t="shared" ca="1" si="60"/>
        <v>#NAME?</v>
      </c>
      <c r="I499" s="100" t="e">
        <f t="shared" ca="1" si="61"/>
        <v>#NAME?</v>
      </c>
      <c r="J499" s="100" t="e">
        <f ca="1">IFERROR(__xludf.DUMMYFUNCTION("""COMPUTED_VALUE"""),"5.45")</f>
        <v>#NAME?</v>
      </c>
      <c r="K499" s="100" t="e">
        <f t="shared" ca="1" si="62"/>
        <v>#NAME?</v>
      </c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</row>
    <row r="500" spans="1:26">
      <c r="A500" s="100" t="e">
        <f ca="1">IFERROR(__xludf.DUMMYFUNCTION("""COMPUTED_VALUE"""),12747617)</f>
        <v>#NAME?</v>
      </c>
      <c r="B500" s="100" t="e">
        <f ca="1">IFERROR(__xludf.DUMMYFUNCTION("""COMPUTED_VALUE"""),"BONKUSDC")</f>
        <v>#NAME?</v>
      </c>
      <c r="C500" s="100" t="e">
        <f ca="1">IFERROR(__xludf.DUMMYFUNCTION("""COMPUTED_VALUE"""),"0.000013")</f>
        <v>#NAME?</v>
      </c>
      <c r="D500" s="100" t="e">
        <f t="shared" ca="1" si="64"/>
        <v>#NAME?</v>
      </c>
      <c r="E500" s="100" t="e">
        <f t="shared" ca="1" si="64"/>
        <v>#NAME?</v>
      </c>
      <c r="F500" s="100" t="e">
        <f t="shared" ca="1" si="58"/>
        <v>#NAME?</v>
      </c>
      <c r="G500" s="100" t="e">
        <f t="shared" ca="1" si="59"/>
        <v>#NAME?</v>
      </c>
      <c r="H500" s="100" t="e">
        <f t="shared" ca="1" si="60"/>
        <v>#NAME?</v>
      </c>
      <c r="I500" s="100" t="e">
        <f t="shared" ca="1" si="61"/>
        <v>#NAME?</v>
      </c>
      <c r="J500" s="100" t="e">
        <f ca="1">IFERROR(__xludf.DUMMYFUNCTION("""COMPUTED_VALUE"""),"2.69")</f>
        <v>#NAME?</v>
      </c>
      <c r="K500" s="100" t="e">
        <f t="shared" ca="1" si="62"/>
        <v>#NAME?</v>
      </c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</row>
    <row r="501" spans="1:26">
      <c r="A501" s="100" t="e">
        <f ca="1">IFERROR(__xludf.DUMMYFUNCTION("""COMPUTED_VALUE"""),12747618)</f>
        <v>#NAME?</v>
      </c>
      <c r="B501" s="100" t="e">
        <f ca="1">IFERROR(__xludf.DUMMYFUNCTION("""COMPUTED_VALUE"""),"XRPUSDC")</f>
        <v>#NAME?</v>
      </c>
      <c r="C501" s="100" t="e">
        <f ca="1">IFERROR(__xludf.DUMMYFUNCTION("""COMPUTED_VALUE"""),"2.1058")</f>
        <v>#NAME?</v>
      </c>
      <c r="D501" s="100" t="e">
        <f t="shared" ca="1" si="64"/>
        <v>#NAME?</v>
      </c>
      <c r="E501" s="100" t="e">
        <f t="shared" ca="1" si="64"/>
        <v>#NAME?</v>
      </c>
      <c r="F501" s="100" t="e">
        <f t="shared" ca="1" si="58"/>
        <v>#NAME?</v>
      </c>
      <c r="G501" s="100" t="e">
        <f t="shared" ca="1" si="59"/>
        <v>#NAME?</v>
      </c>
      <c r="H501" s="100" t="e">
        <f t="shared" ca="1" si="60"/>
        <v>#NAME?</v>
      </c>
      <c r="I501" s="100" t="e">
        <f t="shared" ca="1" si="61"/>
        <v>#NAME?</v>
      </c>
      <c r="J501" s="100" t="e">
        <f ca="1">IFERROR(__xludf.DUMMYFUNCTION("""COMPUTED_VALUE"""),"-0.95")</f>
        <v>#NAME?</v>
      </c>
      <c r="K501" s="100" t="e">
        <f t="shared" ca="1" si="62"/>
        <v>#NAME?</v>
      </c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</row>
    <row r="502" spans="1:26">
      <c r="A502" s="100" t="e">
        <f ca="1">IFERROR(__xludf.DUMMYFUNCTION("""COMPUTED_VALUE"""),12747619)</f>
        <v>#NAME?</v>
      </c>
      <c r="B502" s="100" t="e">
        <f ca="1">IFERROR(__xludf.DUMMYFUNCTION("""COMPUTED_VALUE"""),"ETH3LUSDT")</f>
        <v>#NAME?</v>
      </c>
      <c r="C502" s="100" t="e">
        <f ca="1">IFERROR(__xludf.DUMMYFUNCTION("""COMPUTED_VALUE"""),"0.0785")</f>
        <v>#NAME?</v>
      </c>
      <c r="D502" s="100" t="e">
        <f t="shared" ref="D502:E521" ca="1" si="65">IFERROR(__xludf.DUMMYFUNCTION("""COMPUTED_VALUE"""),"-")</f>
        <v>#NAME?</v>
      </c>
      <c r="E502" s="100" t="e">
        <f t="shared" ca="1" si="65"/>
        <v>#NAME?</v>
      </c>
      <c r="F502" s="100" t="e">
        <f t="shared" ca="1" si="58"/>
        <v>#NAME?</v>
      </c>
      <c r="G502" s="100" t="e">
        <f t="shared" ca="1" si="59"/>
        <v>#NAME?</v>
      </c>
      <c r="H502" s="100" t="e">
        <f t="shared" ca="1" si="60"/>
        <v>#NAME?</v>
      </c>
      <c r="I502" s="100" t="e">
        <f t="shared" ca="1" si="61"/>
        <v>#NAME?</v>
      </c>
      <c r="J502" s="100" t="e">
        <f ca="1">IFERROR(__xludf.DUMMYFUNCTION("""COMPUTED_VALUE"""),"-6.21")</f>
        <v>#NAME?</v>
      </c>
      <c r="K502" s="100" t="e">
        <f t="shared" ca="1" si="62"/>
        <v>#NAME?</v>
      </c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</row>
    <row r="503" spans="1:26">
      <c r="A503" s="100" t="e">
        <f ca="1">IFERROR(__xludf.DUMMYFUNCTION("""COMPUTED_VALUE"""),12747620)</f>
        <v>#NAME?</v>
      </c>
      <c r="B503" s="100" t="e">
        <f ca="1">IFERROR(__xludf.DUMMYFUNCTION("""COMPUTED_VALUE"""),"COMPUSDT")</f>
        <v>#NAME?</v>
      </c>
      <c r="C503" s="100" t="e">
        <f ca="1">IFERROR(__xludf.DUMMYFUNCTION("""COMPUTED_VALUE"""),"39.81")</f>
        <v>#NAME?</v>
      </c>
      <c r="D503" s="100" t="e">
        <f t="shared" ca="1" si="65"/>
        <v>#NAME?</v>
      </c>
      <c r="E503" s="100" t="e">
        <f t="shared" ca="1" si="65"/>
        <v>#NAME?</v>
      </c>
      <c r="F503" s="100" t="e">
        <f t="shared" ca="1" si="58"/>
        <v>#NAME?</v>
      </c>
      <c r="G503" s="100" t="e">
        <f t="shared" ca="1" si="59"/>
        <v>#NAME?</v>
      </c>
      <c r="H503" s="100" t="e">
        <f t="shared" ca="1" si="60"/>
        <v>#NAME?</v>
      </c>
      <c r="I503" s="100" t="e">
        <f t="shared" ca="1" si="61"/>
        <v>#NAME?</v>
      </c>
      <c r="J503" s="100" t="e">
        <f ca="1">IFERROR(__xludf.DUMMYFUNCTION("""COMPUTED_VALUE"""),"-3.0700000000000003")</f>
        <v>#NAME?</v>
      </c>
      <c r="K503" s="100" t="e">
        <f t="shared" ca="1" si="62"/>
        <v>#NAME?</v>
      </c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</row>
    <row r="504" spans="1:26">
      <c r="A504" s="100" t="e">
        <f ca="1">IFERROR(__xludf.DUMMYFUNCTION("""COMPUTED_VALUE"""),12747621)</f>
        <v>#NAME?</v>
      </c>
      <c r="B504" s="100" t="e">
        <f ca="1">IFERROR(__xludf.DUMMYFUNCTION("""COMPUTED_VALUE"""),"ZKUSDT")</f>
        <v>#NAME?</v>
      </c>
      <c r="C504" s="100" t="e">
        <f ca="1">IFERROR(__xludf.DUMMYFUNCTION("""COMPUTED_VALUE"""),"0.0517")</f>
        <v>#NAME?</v>
      </c>
      <c r="D504" s="100" t="e">
        <f t="shared" ca="1" si="65"/>
        <v>#NAME?</v>
      </c>
      <c r="E504" s="100" t="e">
        <f t="shared" ca="1" si="65"/>
        <v>#NAME?</v>
      </c>
      <c r="F504" s="100" t="e">
        <f t="shared" ca="1" si="58"/>
        <v>#NAME?</v>
      </c>
      <c r="G504" s="100" t="e">
        <f t="shared" ca="1" si="59"/>
        <v>#NAME?</v>
      </c>
      <c r="H504" s="100" t="e">
        <f t="shared" ca="1" si="60"/>
        <v>#NAME?</v>
      </c>
      <c r="I504" s="100" t="e">
        <f t="shared" ca="1" si="61"/>
        <v>#NAME?</v>
      </c>
      <c r="J504" s="100" t="e">
        <f ca="1">IFERROR(__xludf.DUMMYFUNCTION("""COMPUTED_VALUE"""),"-1.15")</f>
        <v>#NAME?</v>
      </c>
      <c r="K504" s="100" t="e">
        <f t="shared" ca="1" si="62"/>
        <v>#NAME?</v>
      </c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</row>
    <row r="505" spans="1:26">
      <c r="A505" s="100" t="e">
        <f ca="1">IFERROR(__xludf.DUMMYFUNCTION("""COMPUTED_VALUE"""),12747622)</f>
        <v>#NAME?</v>
      </c>
      <c r="B505" s="100" t="e">
        <f ca="1">IFERROR(__xludf.DUMMYFUNCTION("""COMPUTED_VALUE"""),"KCALUSDT")</f>
        <v>#NAME?</v>
      </c>
      <c r="C505" s="100" t="e">
        <f ca="1">IFERROR(__xludf.DUMMYFUNCTION("""COMPUTED_VALUE"""),"0.00911")</f>
        <v>#NAME?</v>
      </c>
      <c r="D505" s="100" t="e">
        <f t="shared" ca="1" si="65"/>
        <v>#NAME?</v>
      </c>
      <c r="E505" s="100" t="e">
        <f t="shared" ca="1" si="65"/>
        <v>#NAME?</v>
      </c>
      <c r="F505" s="100" t="e">
        <f t="shared" ca="1" si="58"/>
        <v>#NAME?</v>
      </c>
      <c r="G505" s="100" t="e">
        <f t="shared" ca="1" si="59"/>
        <v>#NAME?</v>
      </c>
      <c r="H505" s="100" t="e">
        <f t="shared" ca="1" si="60"/>
        <v>#NAME?</v>
      </c>
      <c r="I505" s="100" t="e">
        <f t="shared" ca="1" si="61"/>
        <v>#NAME?</v>
      </c>
      <c r="J505" s="100" t="e">
        <f ca="1">IFERROR(__xludf.DUMMYFUNCTION("""COMPUTED_VALUE"""),"-7.42")</f>
        <v>#NAME?</v>
      </c>
      <c r="K505" s="100" t="e">
        <f t="shared" ca="1" si="62"/>
        <v>#NAME?</v>
      </c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</row>
    <row r="506" spans="1:26">
      <c r="A506" s="100" t="e">
        <f ca="1">IFERROR(__xludf.DUMMYFUNCTION("""COMPUTED_VALUE"""),12747623)</f>
        <v>#NAME?</v>
      </c>
      <c r="B506" s="100" t="e">
        <f ca="1">IFERROR(__xludf.DUMMYFUNCTION("""COMPUTED_VALUE"""),"USDTTRY")</f>
        <v>#NAME?</v>
      </c>
      <c r="C506" s="100" t="e">
        <f ca="1">IFERROR(__xludf.DUMMYFUNCTION("""COMPUTED_VALUE"""),"38.22")</f>
        <v>#NAME?</v>
      </c>
      <c r="D506" s="100" t="e">
        <f t="shared" ca="1" si="65"/>
        <v>#NAME?</v>
      </c>
      <c r="E506" s="100" t="e">
        <f t="shared" ca="1" si="65"/>
        <v>#NAME?</v>
      </c>
      <c r="F506" s="100" t="e">
        <f t="shared" ca="1" si="58"/>
        <v>#NAME?</v>
      </c>
      <c r="G506" s="100" t="e">
        <f t="shared" ca="1" si="59"/>
        <v>#NAME?</v>
      </c>
      <c r="H506" s="100" t="e">
        <f t="shared" ca="1" si="60"/>
        <v>#NAME?</v>
      </c>
      <c r="I506" s="100" t="e">
        <f t="shared" ca="1" si="61"/>
        <v>#NAME?</v>
      </c>
      <c r="J506" s="100" t="e">
        <f ca="1">IFERROR(__xludf.DUMMYFUNCTION("""COMPUTED_VALUE"""),"0.03")</f>
        <v>#NAME?</v>
      </c>
      <c r="K506" s="100" t="e">
        <f t="shared" ca="1" si="62"/>
        <v>#NAME?</v>
      </c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</row>
    <row r="507" spans="1:26">
      <c r="A507" s="100" t="e">
        <f ca="1">IFERROR(__xludf.DUMMYFUNCTION("""COMPUTED_VALUE"""),12747624)</f>
        <v>#NAME?</v>
      </c>
      <c r="B507" s="100" t="e">
        <f ca="1">IFERROR(__xludf.DUMMYFUNCTION("""COMPUTED_VALUE"""),"FLOKIUSDT")</f>
        <v>#NAME?</v>
      </c>
      <c r="C507" s="100" t="e">
        <f ca="1">IFERROR(__xludf.DUMMYFUNCTION("""COMPUTED_VALUE"""),"0.0000588")</f>
        <v>#NAME?</v>
      </c>
      <c r="D507" s="100" t="e">
        <f t="shared" ca="1" si="65"/>
        <v>#NAME?</v>
      </c>
      <c r="E507" s="100" t="e">
        <f t="shared" ca="1" si="65"/>
        <v>#NAME?</v>
      </c>
      <c r="F507" s="100" t="e">
        <f t="shared" ca="1" si="58"/>
        <v>#NAME?</v>
      </c>
      <c r="G507" s="100" t="e">
        <f t="shared" ca="1" si="59"/>
        <v>#NAME?</v>
      </c>
      <c r="H507" s="100" t="e">
        <f t="shared" ca="1" si="60"/>
        <v>#NAME?</v>
      </c>
      <c r="I507" s="100" t="e">
        <f t="shared" ca="1" si="61"/>
        <v>#NAME?</v>
      </c>
      <c r="J507" s="100" t="e">
        <f ca="1">IFERROR(__xludf.DUMMYFUNCTION("""COMPUTED_VALUE"""),"-1.03")</f>
        <v>#NAME?</v>
      </c>
      <c r="K507" s="100" t="e">
        <f t="shared" ca="1" si="62"/>
        <v>#NAME?</v>
      </c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</row>
    <row r="508" spans="1:26">
      <c r="A508" s="100" t="e">
        <f ca="1">IFERROR(__xludf.DUMMYFUNCTION("""COMPUTED_VALUE"""),12747625)</f>
        <v>#NAME?</v>
      </c>
      <c r="B508" s="100" t="e">
        <f ca="1">IFERROR(__xludf.DUMMYFUNCTION("""COMPUTED_VALUE"""),"SEIUSDC")</f>
        <v>#NAME?</v>
      </c>
      <c r="C508" s="100" t="e">
        <f ca="1">IFERROR(__xludf.DUMMYFUNCTION("""COMPUTED_VALUE"""),"0.1795")</f>
        <v>#NAME?</v>
      </c>
      <c r="D508" s="100" t="e">
        <f t="shared" ca="1" si="65"/>
        <v>#NAME?</v>
      </c>
      <c r="E508" s="100" t="e">
        <f t="shared" ca="1" si="65"/>
        <v>#NAME?</v>
      </c>
      <c r="F508" s="100" t="e">
        <f t="shared" ca="1" si="58"/>
        <v>#NAME?</v>
      </c>
      <c r="G508" s="100" t="e">
        <f t="shared" ca="1" si="59"/>
        <v>#NAME?</v>
      </c>
      <c r="H508" s="100" t="e">
        <f t="shared" ca="1" si="60"/>
        <v>#NAME?</v>
      </c>
      <c r="I508" s="100" t="e">
        <f t="shared" ca="1" si="61"/>
        <v>#NAME?</v>
      </c>
      <c r="J508" s="100" t="e">
        <f ca="1">IFERROR(__xludf.DUMMYFUNCTION("""COMPUTED_VALUE"""),"0.06")</f>
        <v>#NAME?</v>
      </c>
      <c r="K508" s="100" t="e">
        <f t="shared" ca="1" si="62"/>
        <v>#NAME?</v>
      </c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</row>
    <row r="509" spans="1:26">
      <c r="A509" s="100" t="e">
        <f ca="1">IFERROR(__xludf.DUMMYFUNCTION("""COMPUTED_VALUE"""),12747626)</f>
        <v>#NAME?</v>
      </c>
      <c r="B509" s="100" t="e">
        <f ca="1">IFERROR(__xludf.DUMMYFUNCTION("""COMPUTED_VALUE"""),"PELLUSDT")</f>
        <v>#NAME?</v>
      </c>
      <c r="C509" s="100" t="e">
        <f ca="1">IFERROR(__xludf.DUMMYFUNCTION("""COMPUTED_VALUE"""),"0.003898")</f>
        <v>#NAME?</v>
      </c>
      <c r="D509" s="100" t="e">
        <f t="shared" ca="1" si="65"/>
        <v>#NAME?</v>
      </c>
      <c r="E509" s="100" t="e">
        <f t="shared" ca="1" si="65"/>
        <v>#NAME?</v>
      </c>
      <c r="F509" s="100" t="e">
        <f t="shared" ca="1" si="58"/>
        <v>#NAME?</v>
      </c>
      <c r="G509" s="100" t="e">
        <f t="shared" ca="1" si="59"/>
        <v>#NAME?</v>
      </c>
      <c r="H509" s="100" t="e">
        <f t="shared" ca="1" si="60"/>
        <v>#NAME?</v>
      </c>
      <c r="I509" s="100" t="e">
        <f t="shared" ca="1" si="61"/>
        <v>#NAME?</v>
      </c>
      <c r="J509" s="100" t="e">
        <f ca="1">IFERROR(__xludf.DUMMYFUNCTION("""COMPUTED_VALUE"""),"-7.28")</f>
        <v>#NAME?</v>
      </c>
      <c r="K509" s="100" t="e">
        <f t="shared" ca="1" si="62"/>
        <v>#NAME?</v>
      </c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</row>
    <row r="510" spans="1:26">
      <c r="A510" s="100" t="e">
        <f ca="1">IFERROR(__xludf.DUMMYFUNCTION("""COMPUTED_VALUE"""),12747627)</f>
        <v>#NAME?</v>
      </c>
      <c r="B510" s="100" t="e">
        <f ca="1">IFERROR(__xludf.DUMMYFUNCTION("""COMPUTED_VALUE"""),"DEEPUSDT")</f>
        <v>#NAME?</v>
      </c>
      <c r="C510" s="100" t="e">
        <f ca="1">IFERROR(__xludf.DUMMYFUNCTION("""COMPUTED_VALUE"""),"0.1224")</f>
        <v>#NAME?</v>
      </c>
      <c r="D510" s="100" t="e">
        <f t="shared" ca="1" si="65"/>
        <v>#NAME?</v>
      </c>
      <c r="E510" s="100" t="e">
        <f t="shared" ca="1" si="65"/>
        <v>#NAME?</v>
      </c>
      <c r="F510" s="100" t="e">
        <f t="shared" ca="1" si="58"/>
        <v>#NAME?</v>
      </c>
      <c r="G510" s="100" t="e">
        <f t="shared" ca="1" si="59"/>
        <v>#NAME?</v>
      </c>
      <c r="H510" s="100" t="e">
        <f t="shared" ca="1" si="60"/>
        <v>#NAME?</v>
      </c>
      <c r="I510" s="100" t="e">
        <f t="shared" ca="1" si="61"/>
        <v>#NAME?</v>
      </c>
      <c r="J510" s="100" t="e">
        <f ca="1">IFERROR(__xludf.DUMMYFUNCTION("""COMPUTED_VALUE"""),"28.52")</f>
        <v>#NAME?</v>
      </c>
      <c r="K510" s="100" t="e">
        <f t="shared" ca="1" si="62"/>
        <v>#NAME?</v>
      </c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</row>
    <row r="511" spans="1:26">
      <c r="A511" s="100" t="e">
        <f ca="1">IFERROR(__xludf.DUMMYFUNCTION("""COMPUTED_VALUE"""),12747628)</f>
        <v>#NAME?</v>
      </c>
      <c r="B511" s="100" t="e">
        <f ca="1">IFERROR(__xludf.DUMMYFUNCTION("""COMPUTED_VALUE"""),"OLUSDT")</f>
        <v>#NAME?</v>
      </c>
      <c r="C511" s="100" t="e">
        <f ca="1">IFERROR(__xludf.DUMMYFUNCTION("""COMPUTED_VALUE"""),"0.07618")</f>
        <v>#NAME?</v>
      </c>
      <c r="D511" s="100" t="e">
        <f t="shared" ca="1" si="65"/>
        <v>#NAME?</v>
      </c>
      <c r="E511" s="100" t="e">
        <f t="shared" ca="1" si="65"/>
        <v>#NAME?</v>
      </c>
      <c r="F511" s="100" t="e">
        <f t="shared" ca="1" si="58"/>
        <v>#NAME?</v>
      </c>
      <c r="G511" s="100" t="e">
        <f t="shared" ca="1" si="59"/>
        <v>#NAME?</v>
      </c>
      <c r="H511" s="100" t="e">
        <f t="shared" ca="1" si="60"/>
        <v>#NAME?</v>
      </c>
      <c r="I511" s="100" t="e">
        <f t="shared" ca="1" si="61"/>
        <v>#NAME?</v>
      </c>
      <c r="J511" s="100" t="e">
        <f ca="1">IFERROR(__xludf.DUMMYFUNCTION("""COMPUTED_VALUE"""),"28.92")</f>
        <v>#NAME?</v>
      </c>
      <c r="K511" s="100" t="e">
        <f t="shared" ca="1" si="62"/>
        <v>#NAME?</v>
      </c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</row>
    <row r="512" spans="1:26">
      <c r="A512" s="100" t="e">
        <f ca="1">IFERROR(__xludf.DUMMYFUNCTION("""COMPUTED_VALUE"""),12747629)</f>
        <v>#NAME?</v>
      </c>
      <c r="B512" s="100" t="e">
        <f ca="1">IFERROR(__xludf.DUMMYFUNCTION("""COMPUTED_VALUE"""),"BELUSDT")</f>
        <v>#NAME?</v>
      </c>
      <c r="C512" s="100" t="e">
        <f ca="1">IFERROR(__xludf.DUMMYFUNCTION("""COMPUTED_VALUE"""),"0.3766")</f>
        <v>#NAME?</v>
      </c>
      <c r="D512" s="100" t="e">
        <f t="shared" ca="1" si="65"/>
        <v>#NAME?</v>
      </c>
      <c r="E512" s="100" t="e">
        <f t="shared" ca="1" si="65"/>
        <v>#NAME?</v>
      </c>
      <c r="F512" s="100" t="e">
        <f t="shared" ca="1" si="58"/>
        <v>#NAME?</v>
      </c>
      <c r="G512" s="100" t="e">
        <f t="shared" ca="1" si="59"/>
        <v>#NAME?</v>
      </c>
      <c r="H512" s="100" t="e">
        <f t="shared" ca="1" si="60"/>
        <v>#NAME?</v>
      </c>
      <c r="I512" s="100" t="e">
        <f t="shared" ca="1" si="61"/>
        <v>#NAME?</v>
      </c>
      <c r="J512" s="100" t="e">
        <f ca="1">IFERROR(__xludf.DUMMYFUNCTION("""COMPUTED_VALUE"""),"-7.449999999999999")</f>
        <v>#NAME?</v>
      </c>
      <c r="K512" s="100" t="e">
        <f t="shared" ca="1" si="62"/>
        <v>#NAME?</v>
      </c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</row>
    <row r="513" spans="1:26">
      <c r="A513" s="100" t="e">
        <f ca="1">IFERROR(__xludf.DUMMYFUNCTION("""COMPUTED_VALUE"""),12747630)</f>
        <v>#NAME?</v>
      </c>
      <c r="B513" s="100" t="e">
        <f ca="1">IFERROR(__xludf.DUMMYFUNCTION("""COMPUTED_VALUE"""),"JUPUSDT")</f>
        <v>#NAME?</v>
      </c>
      <c r="C513" s="100" t="e">
        <f ca="1">IFERROR(__xludf.DUMMYFUNCTION("""COMPUTED_VALUE"""),"0.4057")</f>
        <v>#NAME?</v>
      </c>
      <c r="D513" s="100" t="e">
        <f t="shared" ca="1" si="65"/>
        <v>#NAME?</v>
      </c>
      <c r="E513" s="100" t="e">
        <f t="shared" ca="1" si="65"/>
        <v>#NAME?</v>
      </c>
      <c r="F513" s="100" t="e">
        <f t="shared" ca="1" si="58"/>
        <v>#NAME?</v>
      </c>
      <c r="G513" s="100" t="e">
        <f t="shared" ca="1" si="59"/>
        <v>#NAME?</v>
      </c>
      <c r="H513" s="100" t="e">
        <f t="shared" ca="1" si="60"/>
        <v>#NAME?</v>
      </c>
      <c r="I513" s="100" t="e">
        <f t="shared" ca="1" si="61"/>
        <v>#NAME?</v>
      </c>
      <c r="J513" s="100" t="e">
        <f ca="1">IFERROR(__xludf.DUMMYFUNCTION("""COMPUTED_VALUE"""),"1.78")</f>
        <v>#NAME?</v>
      </c>
      <c r="K513" s="100" t="e">
        <f t="shared" ca="1" si="62"/>
        <v>#NAME?</v>
      </c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</row>
    <row r="514" spans="1:26">
      <c r="A514" s="100" t="e">
        <f ca="1">IFERROR(__xludf.DUMMYFUNCTION("""COMPUTED_VALUE"""),12747631)</f>
        <v>#NAME?</v>
      </c>
      <c r="B514" s="100" t="e">
        <f ca="1">IFERROR(__xludf.DUMMYFUNCTION("""COMPUTED_VALUE"""),"LAVAUSDT")</f>
        <v>#NAME?</v>
      </c>
      <c r="C514" s="100" t="e">
        <f ca="1">IFERROR(__xludf.DUMMYFUNCTION("""COMPUTED_VALUE"""),"0.05051")</f>
        <v>#NAME?</v>
      </c>
      <c r="D514" s="100" t="e">
        <f t="shared" ca="1" si="65"/>
        <v>#NAME?</v>
      </c>
      <c r="E514" s="100" t="e">
        <f t="shared" ca="1" si="65"/>
        <v>#NAME?</v>
      </c>
      <c r="F514" s="100" t="e">
        <f t="shared" ref="F514:F577" ca="1" si="66">IFERROR(__xludf.DUMMYFUNCTION("""COMPUTED_VALUE"""),20200)</f>
        <v>#NAME?</v>
      </c>
      <c r="G514" s="100" t="e">
        <f t="shared" ref="G514:G577" ca="1" si="67">IFERROR(__xludf.DUMMYFUNCTION("""COMPUTED_VALUE"""),2885)</f>
        <v>#NAME?</v>
      </c>
      <c r="H514" s="100" t="e">
        <f t="shared" ref="H514:H577" ca="1" si="68">IFERROR(__xludf.DUMMYFUNCTION("""COMPUTED_VALUE"""),663)</f>
        <v>#NAME?</v>
      </c>
      <c r="I514" s="100" t="e">
        <f t="shared" ref="I514:I577" ca="1" si="69">IFERROR(__xludf.DUMMYFUNCTION("""COMPUTED_VALUE"""),5817721)</f>
        <v>#NAME?</v>
      </c>
      <c r="J514" s="100" t="e">
        <f ca="1">IFERROR(__xludf.DUMMYFUNCTION("""COMPUTED_VALUE"""),"18.68")</f>
        <v>#NAME?</v>
      </c>
      <c r="K514" s="100" t="e">
        <f t="shared" ref="K514:K577" ca="1" si="70">IFERROR(__xludf.DUMMYFUNCTION("""COMPUTED_VALUE"""),"22.04.2025 13:05:01")</f>
        <v>#NAME?</v>
      </c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</row>
    <row r="515" spans="1:26">
      <c r="A515" s="100" t="e">
        <f ca="1">IFERROR(__xludf.DUMMYFUNCTION("""COMPUTED_VALUE"""),12747632)</f>
        <v>#NAME?</v>
      </c>
      <c r="B515" s="100" t="e">
        <f ca="1">IFERROR(__xludf.DUMMYFUNCTION("""COMPUTED_VALUE"""),"ETHUSDC")</f>
        <v>#NAME?</v>
      </c>
      <c r="C515" s="100" t="e">
        <f ca="1">IFERROR(__xludf.DUMMYFUNCTION("""COMPUTED_VALUE"""),"1625.21")</f>
        <v>#NAME?</v>
      </c>
      <c r="D515" s="100" t="e">
        <f t="shared" ca="1" si="65"/>
        <v>#NAME?</v>
      </c>
      <c r="E515" s="100" t="e">
        <f t="shared" ca="1" si="65"/>
        <v>#NAME?</v>
      </c>
      <c r="F515" s="100" t="e">
        <f t="shared" ca="1" si="66"/>
        <v>#NAME?</v>
      </c>
      <c r="G515" s="100" t="e">
        <f t="shared" ca="1" si="67"/>
        <v>#NAME?</v>
      </c>
      <c r="H515" s="100" t="e">
        <f t="shared" ca="1" si="68"/>
        <v>#NAME?</v>
      </c>
      <c r="I515" s="100" t="e">
        <f t="shared" ca="1" si="69"/>
        <v>#NAME?</v>
      </c>
      <c r="J515" s="100" t="e">
        <f ca="1">IFERROR(__xludf.DUMMYFUNCTION("""COMPUTED_VALUE"""),"-1.04")</f>
        <v>#NAME?</v>
      </c>
      <c r="K515" s="100" t="e">
        <f t="shared" ca="1" si="70"/>
        <v>#NAME?</v>
      </c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</row>
    <row r="516" spans="1:26">
      <c r="A516" s="100" t="e">
        <f ca="1">IFERROR(__xludf.DUMMYFUNCTION("""COMPUTED_VALUE"""),12747633)</f>
        <v>#NAME?</v>
      </c>
      <c r="B516" s="100" t="e">
        <f ca="1">IFERROR(__xludf.DUMMYFUNCTION("""COMPUTED_VALUE"""),"INJUSDC")</f>
        <v>#NAME?</v>
      </c>
      <c r="C516" s="100" t="e">
        <f ca="1">IFERROR(__xludf.DUMMYFUNCTION("""COMPUTED_VALUE"""),"8.49")</f>
        <v>#NAME?</v>
      </c>
      <c r="D516" s="100" t="e">
        <f t="shared" ca="1" si="65"/>
        <v>#NAME?</v>
      </c>
      <c r="E516" s="100" t="e">
        <f t="shared" ca="1" si="65"/>
        <v>#NAME?</v>
      </c>
      <c r="F516" s="100" t="e">
        <f t="shared" ca="1" si="66"/>
        <v>#NAME?</v>
      </c>
      <c r="G516" s="100" t="e">
        <f t="shared" ca="1" si="67"/>
        <v>#NAME?</v>
      </c>
      <c r="H516" s="100" t="e">
        <f t="shared" ca="1" si="68"/>
        <v>#NAME?</v>
      </c>
      <c r="I516" s="100" t="e">
        <f t="shared" ca="1" si="69"/>
        <v>#NAME?</v>
      </c>
      <c r="J516" s="100" t="e">
        <f ca="1">IFERROR(__xludf.DUMMYFUNCTION("""COMPUTED_VALUE"""),"-5.029999999999999")</f>
        <v>#NAME?</v>
      </c>
      <c r="K516" s="100" t="e">
        <f t="shared" ca="1" si="70"/>
        <v>#NAME?</v>
      </c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</row>
    <row r="517" spans="1:26">
      <c r="A517" s="100" t="e">
        <f ca="1">IFERROR(__xludf.DUMMYFUNCTION("""COMPUTED_VALUE"""),12747634)</f>
        <v>#NAME?</v>
      </c>
      <c r="B517" s="100" t="e">
        <f ca="1">IFERROR(__xludf.DUMMYFUNCTION("""COMPUTED_VALUE"""),"MANTAUSDT")</f>
        <v>#NAME?</v>
      </c>
      <c r="C517" s="100" t="e">
        <f ca="1">IFERROR(__xludf.DUMMYFUNCTION("""COMPUTED_VALUE"""),"0.2089")</f>
        <v>#NAME?</v>
      </c>
      <c r="D517" s="100" t="e">
        <f t="shared" ca="1" si="65"/>
        <v>#NAME?</v>
      </c>
      <c r="E517" s="100" t="e">
        <f t="shared" ca="1" si="65"/>
        <v>#NAME?</v>
      </c>
      <c r="F517" s="100" t="e">
        <f t="shared" ca="1" si="66"/>
        <v>#NAME?</v>
      </c>
      <c r="G517" s="100" t="e">
        <f t="shared" ca="1" si="67"/>
        <v>#NAME?</v>
      </c>
      <c r="H517" s="100" t="e">
        <f t="shared" ca="1" si="68"/>
        <v>#NAME?</v>
      </c>
      <c r="I517" s="100" t="e">
        <f t="shared" ca="1" si="69"/>
        <v>#NAME?</v>
      </c>
      <c r="J517" s="100" t="e">
        <f ca="1">IFERROR(__xludf.DUMMYFUNCTION("""COMPUTED_VALUE"""),"-0.52")</f>
        <v>#NAME?</v>
      </c>
      <c r="K517" s="100" t="e">
        <f t="shared" ca="1" si="70"/>
        <v>#NAME?</v>
      </c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</row>
    <row r="518" spans="1:26">
      <c r="A518" s="100" t="e">
        <f ca="1">IFERROR(__xludf.DUMMYFUNCTION("""COMPUTED_VALUE"""),12747635)</f>
        <v>#NAME?</v>
      </c>
      <c r="B518" s="100" t="e">
        <f ca="1">IFERROR(__xludf.DUMMYFUNCTION("""COMPUTED_VALUE"""),"WAXPUSDT")</f>
        <v>#NAME?</v>
      </c>
      <c r="C518" s="100" t="e">
        <f ca="1">IFERROR(__xludf.DUMMYFUNCTION("""COMPUTED_VALUE"""),"0.02361")</f>
        <v>#NAME?</v>
      </c>
      <c r="D518" s="100" t="e">
        <f t="shared" ca="1" si="65"/>
        <v>#NAME?</v>
      </c>
      <c r="E518" s="100" t="e">
        <f t="shared" ca="1" si="65"/>
        <v>#NAME?</v>
      </c>
      <c r="F518" s="100" t="e">
        <f t="shared" ca="1" si="66"/>
        <v>#NAME?</v>
      </c>
      <c r="G518" s="100" t="e">
        <f t="shared" ca="1" si="67"/>
        <v>#NAME?</v>
      </c>
      <c r="H518" s="100" t="e">
        <f t="shared" ca="1" si="68"/>
        <v>#NAME?</v>
      </c>
      <c r="I518" s="100" t="e">
        <f t="shared" ca="1" si="69"/>
        <v>#NAME?</v>
      </c>
      <c r="J518" s="100" t="e">
        <f ca="1">IFERROR(__xludf.DUMMYFUNCTION("""COMPUTED_VALUE"""),"-1.58")</f>
        <v>#NAME?</v>
      </c>
      <c r="K518" s="100" t="e">
        <f t="shared" ca="1" si="70"/>
        <v>#NAME?</v>
      </c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</row>
    <row r="519" spans="1:26">
      <c r="A519" s="100" t="e">
        <f ca="1">IFERROR(__xludf.DUMMYFUNCTION("""COMPUTED_VALUE"""),12747636)</f>
        <v>#NAME?</v>
      </c>
      <c r="B519" s="100" t="e">
        <f ca="1">IFERROR(__xludf.DUMMYFUNCTION("""COMPUTED_VALUE"""),"WIFEUR")</f>
        <v>#NAME?</v>
      </c>
      <c r="C519" s="100" t="e">
        <f ca="1">IFERROR(__xludf.DUMMYFUNCTION("""COMPUTED_VALUE"""),"0.378")</f>
        <v>#NAME?</v>
      </c>
      <c r="D519" s="100" t="e">
        <f t="shared" ca="1" si="65"/>
        <v>#NAME?</v>
      </c>
      <c r="E519" s="100" t="e">
        <f t="shared" ca="1" si="65"/>
        <v>#NAME?</v>
      </c>
      <c r="F519" s="100" t="e">
        <f t="shared" ca="1" si="66"/>
        <v>#NAME?</v>
      </c>
      <c r="G519" s="100" t="e">
        <f t="shared" ca="1" si="67"/>
        <v>#NAME?</v>
      </c>
      <c r="H519" s="100" t="e">
        <f t="shared" ca="1" si="68"/>
        <v>#NAME?</v>
      </c>
      <c r="I519" s="100" t="e">
        <f t="shared" ca="1" si="69"/>
        <v>#NAME?</v>
      </c>
      <c r="J519" s="100" t="e">
        <f ca="1">IFERROR(__xludf.DUMMYFUNCTION("""COMPUTED_VALUE"""),"-1.82")</f>
        <v>#NAME?</v>
      </c>
      <c r="K519" s="100" t="e">
        <f t="shared" ca="1" si="70"/>
        <v>#NAME?</v>
      </c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</row>
    <row r="520" spans="1:26">
      <c r="A520" s="100" t="e">
        <f ca="1">IFERROR(__xludf.DUMMYFUNCTION("""COMPUTED_VALUE"""),12747637)</f>
        <v>#NAME?</v>
      </c>
      <c r="B520" s="100" t="e">
        <f ca="1">IFERROR(__xludf.DUMMYFUNCTION("""COMPUTED_VALUE"""),"GMXUSDT")</f>
        <v>#NAME?</v>
      </c>
      <c r="C520" s="100" t="e">
        <f ca="1">IFERROR(__xludf.DUMMYFUNCTION("""COMPUTED_VALUE"""),"13.64")</f>
        <v>#NAME?</v>
      </c>
      <c r="D520" s="100" t="e">
        <f t="shared" ca="1" si="65"/>
        <v>#NAME?</v>
      </c>
      <c r="E520" s="100" t="e">
        <f t="shared" ca="1" si="65"/>
        <v>#NAME?</v>
      </c>
      <c r="F520" s="100" t="e">
        <f t="shared" ca="1" si="66"/>
        <v>#NAME?</v>
      </c>
      <c r="G520" s="100" t="e">
        <f t="shared" ca="1" si="67"/>
        <v>#NAME?</v>
      </c>
      <c r="H520" s="100" t="e">
        <f t="shared" ca="1" si="68"/>
        <v>#NAME?</v>
      </c>
      <c r="I520" s="100" t="e">
        <f t="shared" ca="1" si="69"/>
        <v>#NAME?</v>
      </c>
      <c r="J520" s="100" t="e">
        <f ca="1">IFERROR(__xludf.DUMMYFUNCTION("""COMPUTED_VALUE"""),"-9.07")</f>
        <v>#NAME?</v>
      </c>
      <c r="K520" s="100" t="e">
        <f t="shared" ca="1" si="70"/>
        <v>#NAME?</v>
      </c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</row>
    <row r="521" spans="1:26">
      <c r="A521" s="100" t="e">
        <f ca="1">IFERROR(__xludf.DUMMYFUNCTION("""COMPUTED_VALUE"""),12747638)</f>
        <v>#NAME?</v>
      </c>
      <c r="B521" s="100" t="e">
        <f ca="1">IFERROR(__xludf.DUMMYFUNCTION("""COMPUTED_VALUE"""),"ANKRUSDT")</f>
        <v>#NAME?</v>
      </c>
      <c r="C521" s="100" t="e">
        <f ca="1">IFERROR(__xludf.DUMMYFUNCTION("""COMPUTED_VALUE"""),"0.01845")</f>
        <v>#NAME?</v>
      </c>
      <c r="D521" s="100" t="e">
        <f t="shared" ca="1" si="65"/>
        <v>#NAME?</v>
      </c>
      <c r="E521" s="100" t="e">
        <f t="shared" ca="1" si="65"/>
        <v>#NAME?</v>
      </c>
      <c r="F521" s="100" t="e">
        <f t="shared" ca="1" si="66"/>
        <v>#NAME?</v>
      </c>
      <c r="G521" s="100" t="e">
        <f t="shared" ca="1" si="67"/>
        <v>#NAME?</v>
      </c>
      <c r="H521" s="100" t="e">
        <f t="shared" ca="1" si="68"/>
        <v>#NAME?</v>
      </c>
      <c r="I521" s="100" t="e">
        <f t="shared" ca="1" si="69"/>
        <v>#NAME?</v>
      </c>
      <c r="J521" s="100" t="e">
        <f ca="1">IFERROR(__xludf.DUMMYFUNCTION("""COMPUTED_VALUE"""),"-1.91")</f>
        <v>#NAME?</v>
      </c>
      <c r="K521" s="100" t="e">
        <f t="shared" ca="1" si="70"/>
        <v>#NAME?</v>
      </c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</row>
    <row r="522" spans="1:26">
      <c r="A522" s="100" t="e">
        <f ca="1">IFERROR(__xludf.DUMMYFUNCTION("""COMPUTED_VALUE"""),12747639)</f>
        <v>#NAME?</v>
      </c>
      <c r="B522" s="100" t="e">
        <f ca="1">IFERROR(__xludf.DUMMYFUNCTION("""COMPUTED_VALUE"""),"QNTUSDT")</f>
        <v>#NAME?</v>
      </c>
      <c r="C522" s="100" t="e">
        <f ca="1">IFERROR(__xludf.DUMMYFUNCTION("""COMPUTED_VALUE"""),"67.72")</f>
        <v>#NAME?</v>
      </c>
      <c r="D522" s="100" t="e">
        <f t="shared" ref="D522:E541" ca="1" si="71">IFERROR(__xludf.DUMMYFUNCTION("""COMPUTED_VALUE"""),"-")</f>
        <v>#NAME?</v>
      </c>
      <c r="E522" s="100" t="e">
        <f t="shared" ca="1" si="71"/>
        <v>#NAME?</v>
      </c>
      <c r="F522" s="100" t="e">
        <f t="shared" ca="1" si="66"/>
        <v>#NAME?</v>
      </c>
      <c r="G522" s="100" t="e">
        <f t="shared" ca="1" si="67"/>
        <v>#NAME?</v>
      </c>
      <c r="H522" s="100" t="e">
        <f t="shared" ca="1" si="68"/>
        <v>#NAME?</v>
      </c>
      <c r="I522" s="100" t="e">
        <f t="shared" ca="1" si="69"/>
        <v>#NAME?</v>
      </c>
      <c r="J522" s="100" t="e">
        <f ca="1">IFERROR(__xludf.DUMMYFUNCTION("""COMPUTED_VALUE"""),"0.6799999999999999")</f>
        <v>#NAME?</v>
      </c>
      <c r="K522" s="100" t="e">
        <f t="shared" ca="1" si="70"/>
        <v>#NAME?</v>
      </c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</row>
    <row r="523" spans="1:26">
      <c r="A523" s="100" t="e">
        <f ca="1">IFERROR(__xludf.DUMMYFUNCTION("""COMPUTED_VALUE"""),12747640)</f>
        <v>#NAME?</v>
      </c>
      <c r="B523" s="100" t="e">
        <f ca="1">IFERROR(__xludf.DUMMYFUNCTION("""COMPUTED_VALUE"""),"SOLUSDT")</f>
        <v>#NAME?</v>
      </c>
      <c r="C523" s="100" t="e">
        <f ca="1">IFERROR(__xludf.DUMMYFUNCTION("""COMPUTED_VALUE"""),"140.08")</f>
        <v>#NAME?</v>
      </c>
      <c r="D523" s="100" t="e">
        <f t="shared" ca="1" si="71"/>
        <v>#NAME?</v>
      </c>
      <c r="E523" s="100" t="e">
        <f t="shared" ca="1" si="71"/>
        <v>#NAME?</v>
      </c>
      <c r="F523" s="100" t="e">
        <f t="shared" ca="1" si="66"/>
        <v>#NAME?</v>
      </c>
      <c r="G523" s="100" t="e">
        <f t="shared" ca="1" si="67"/>
        <v>#NAME?</v>
      </c>
      <c r="H523" s="100" t="e">
        <f t="shared" ca="1" si="68"/>
        <v>#NAME?</v>
      </c>
      <c r="I523" s="100" t="e">
        <f t="shared" ca="1" si="69"/>
        <v>#NAME?</v>
      </c>
      <c r="J523" s="100" t="e">
        <f ca="1">IFERROR(__xludf.DUMMYFUNCTION("""COMPUTED_VALUE"""),"-0.01")</f>
        <v>#NAME?</v>
      </c>
      <c r="K523" s="100" t="e">
        <f t="shared" ca="1" si="70"/>
        <v>#NAME?</v>
      </c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</row>
    <row r="524" spans="1:26">
      <c r="A524" s="100" t="e">
        <f ca="1">IFERROR(__xludf.DUMMYFUNCTION("""COMPUTED_VALUE"""),12747641)</f>
        <v>#NAME?</v>
      </c>
      <c r="B524" s="100" t="e">
        <f ca="1">IFERROR(__xludf.DUMMYFUNCTION("""COMPUTED_VALUE"""),"GSTUSDT")</f>
        <v>#NAME?</v>
      </c>
      <c r="C524" s="100" t="e">
        <f ca="1">IFERROR(__xludf.DUMMYFUNCTION("""COMPUTED_VALUE"""),"0.007342")</f>
        <v>#NAME?</v>
      </c>
      <c r="D524" s="100" t="e">
        <f t="shared" ca="1" si="71"/>
        <v>#NAME?</v>
      </c>
      <c r="E524" s="100" t="e">
        <f t="shared" ca="1" si="71"/>
        <v>#NAME?</v>
      </c>
      <c r="F524" s="100" t="e">
        <f t="shared" ca="1" si="66"/>
        <v>#NAME?</v>
      </c>
      <c r="G524" s="100" t="e">
        <f t="shared" ca="1" si="67"/>
        <v>#NAME?</v>
      </c>
      <c r="H524" s="100" t="e">
        <f t="shared" ca="1" si="68"/>
        <v>#NAME?</v>
      </c>
      <c r="I524" s="100" t="e">
        <f t="shared" ca="1" si="69"/>
        <v>#NAME?</v>
      </c>
      <c r="J524" s="100" t="e">
        <f ca="1">IFERROR(__xludf.DUMMYFUNCTION("""COMPUTED_VALUE"""),"-0.08")</f>
        <v>#NAME?</v>
      </c>
      <c r="K524" s="100" t="e">
        <f t="shared" ca="1" si="70"/>
        <v>#NAME?</v>
      </c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</row>
    <row r="525" spans="1:26">
      <c r="A525" s="100" t="e">
        <f ca="1">IFERROR(__xludf.DUMMYFUNCTION("""COMPUTED_VALUE"""),12747642)</f>
        <v>#NAME?</v>
      </c>
      <c r="B525" s="100" t="e">
        <f ca="1">IFERROR(__xludf.DUMMYFUNCTION("""COMPUTED_VALUE"""),"XRPBTC")</f>
        <v>#NAME?</v>
      </c>
      <c r="C525" s="100" t="e">
        <f ca="1">IFERROR(__xludf.DUMMYFUNCTION("""COMPUTED_VALUE"""),"0.00002376")</f>
        <v>#NAME?</v>
      </c>
      <c r="D525" s="100" t="e">
        <f t="shared" ca="1" si="71"/>
        <v>#NAME?</v>
      </c>
      <c r="E525" s="100" t="e">
        <f t="shared" ca="1" si="71"/>
        <v>#NAME?</v>
      </c>
      <c r="F525" s="100" t="e">
        <f t="shared" ca="1" si="66"/>
        <v>#NAME?</v>
      </c>
      <c r="G525" s="100" t="e">
        <f t="shared" ca="1" si="67"/>
        <v>#NAME?</v>
      </c>
      <c r="H525" s="100" t="e">
        <f t="shared" ca="1" si="68"/>
        <v>#NAME?</v>
      </c>
      <c r="I525" s="100" t="e">
        <f t="shared" ca="1" si="69"/>
        <v>#NAME?</v>
      </c>
      <c r="J525" s="100" t="e">
        <f ca="1">IFERROR(__xludf.DUMMYFUNCTION("""COMPUTED_VALUE"""),"-2.22")</f>
        <v>#NAME?</v>
      </c>
      <c r="K525" s="100" t="e">
        <f t="shared" ca="1" si="70"/>
        <v>#NAME?</v>
      </c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</row>
    <row r="526" spans="1:26">
      <c r="A526" s="100" t="e">
        <f ca="1">IFERROR(__xludf.DUMMYFUNCTION("""COMPUTED_VALUE"""),12747643)</f>
        <v>#NAME?</v>
      </c>
      <c r="B526" s="100" t="e">
        <f ca="1">IFERROR(__xludf.DUMMYFUNCTION("""COMPUTED_VALUE"""),"XECUSDT")</f>
        <v>#NAME?</v>
      </c>
      <c r="C526" s="100" t="e">
        <f ca="1">IFERROR(__xludf.DUMMYFUNCTION("""COMPUTED_VALUE"""),"0.00002076")</f>
        <v>#NAME?</v>
      </c>
      <c r="D526" s="100" t="e">
        <f t="shared" ca="1" si="71"/>
        <v>#NAME?</v>
      </c>
      <c r="E526" s="100" t="e">
        <f t="shared" ca="1" si="71"/>
        <v>#NAME?</v>
      </c>
      <c r="F526" s="100" t="e">
        <f t="shared" ca="1" si="66"/>
        <v>#NAME?</v>
      </c>
      <c r="G526" s="100" t="e">
        <f t="shared" ca="1" si="67"/>
        <v>#NAME?</v>
      </c>
      <c r="H526" s="100" t="e">
        <f t="shared" ca="1" si="68"/>
        <v>#NAME?</v>
      </c>
      <c r="I526" s="100" t="e">
        <f t="shared" ca="1" si="69"/>
        <v>#NAME?</v>
      </c>
      <c r="J526" s="100" t="e">
        <f ca="1">IFERROR(__xludf.DUMMYFUNCTION("""COMPUTED_VALUE"""),"-0.76")</f>
        <v>#NAME?</v>
      </c>
      <c r="K526" s="100" t="e">
        <f t="shared" ca="1" si="70"/>
        <v>#NAME?</v>
      </c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</row>
    <row r="527" spans="1:26">
      <c r="A527" s="100" t="e">
        <f ca="1">IFERROR(__xludf.DUMMYFUNCTION("""COMPUTED_VALUE"""),12747644)</f>
        <v>#NAME?</v>
      </c>
      <c r="B527" s="100" t="e">
        <f ca="1">IFERROR(__xludf.DUMMYFUNCTION("""COMPUTED_VALUE"""),"STXUSDT")</f>
        <v>#NAME?</v>
      </c>
      <c r="C527" s="100" t="e">
        <f ca="1">IFERROR(__xludf.DUMMYFUNCTION("""COMPUTED_VALUE"""),"0.7503")</f>
        <v>#NAME?</v>
      </c>
      <c r="D527" s="100" t="e">
        <f t="shared" ca="1" si="71"/>
        <v>#NAME?</v>
      </c>
      <c r="E527" s="100" t="e">
        <f t="shared" ca="1" si="71"/>
        <v>#NAME?</v>
      </c>
      <c r="F527" s="100" t="e">
        <f t="shared" ca="1" si="66"/>
        <v>#NAME?</v>
      </c>
      <c r="G527" s="100" t="e">
        <f t="shared" ca="1" si="67"/>
        <v>#NAME?</v>
      </c>
      <c r="H527" s="100" t="e">
        <f t="shared" ca="1" si="68"/>
        <v>#NAME?</v>
      </c>
      <c r="I527" s="100" t="e">
        <f t="shared" ca="1" si="69"/>
        <v>#NAME?</v>
      </c>
      <c r="J527" s="100" t="e">
        <f ca="1">IFERROR(__xludf.DUMMYFUNCTION("""COMPUTED_VALUE"""),"6.87")</f>
        <v>#NAME?</v>
      </c>
      <c r="K527" s="100" t="e">
        <f t="shared" ca="1" si="70"/>
        <v>#NAME?</v>
      </c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</row>
    <row r="528" spans="1:26">
      <c r="A528" s="100" t="e">
        <f ca="1">IFERROR(__xludf.DUMMYFUNCTION("""COMPUTED_VALUE"""),12747645)</f>
        <v>#NAME?</v>
      </c>
      <c r="B528" s="100" t="e">
        <f ca="1">IFERROR(__xludf.DUMMYFUNCTION("""COMPUTED_VALUE"""),"AVAXEUR")</f>
        <v>#NAME?</v>
      </c>
      <c r="C528" s="100" t="e">
        <f ca="1">IFERROR(__xludf.DUMMYFUNCTION("""COMPUTED_VALUE"""),"17.6")</f>
        <v>#NAME?</v>
      </c>
      <c r="D528" s="100" t="e">
        <f t="shared" ca="1" si="71"/>
        <v>#NAME?</v>
      </c>
      <c r="E528" s="100" t="e">
        <f t="shared" ca="1" si="71"/>
        <v>#NAME?</v>
      </c>
      <c r="F528" s="100" t="e">
        <f t="shared" ca="1" si="66"/>
        <v>#NAME?</v>
      </c>
      <c r="G528" s="100" t="e">
        <f t="shared" ca="1" si="67"/>
        <v>#NAME?</v>
      </c>
      <c r="H528" s="100" t="e">
        <f t="shared" ca="1" si="68"/>
        <v>#NAME?</v>
      </c>
      <c r="I528" s="100" t="e">
        <f t="shared" ca="1" si="69"/>
        <v>#NAME?</v>
      </c>
      <c r="J528" s="100" t="e">
        <f ca="1">IFERROR(__xludf.DUMMYFUNCTION("""COMPUTED_VALUE"""),"-1.68")</f>
        <v>#NAME?</v>
      </c>
      <c r="K528" s="100" t="e">
        <f t="shared" ca="1" si="70"/>
        <v>#NAME?</v>
      </c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</row>
    <row r="529" spans="1:26">
      <c r="A529" s="100" t="e">
        <f ca="1">IFERROR(__xludf.DUMMYFUNCTION("""COMPUTED_VALUE"""),12747646)</f>
        <v>#NAME?</v>
      </c>
      <c r="B529" s="100" t="e">
        <f ca="1">IFERROR(__xludf.DUMMYFUNCTION("""COMPUTED_VALUE"""),"HATUSDT")</f>
        <v>#NAME?</v>
      </c>
      <c r="C529" s="100" t="e">
        <f ca="1">IFERROR(__xludf.DUMMYFUNCTION("""COMPUTED_VALUE"""),"0.00404")</f>
        <v>#NAME?</v>
      </c>
      <c r="D529" s="100" t="e">
        <f t="shared" ca="1" si="71"/>
        <v>#NAME?</v>
      </c>
      <c r="E529" s="100" t="e">
        <f t="shared" ca="1" si="71"/>
        <v>#NAME?</v>
      </c>
      <c r="F529" s="100" t="e">
        <f t="shared" ca="1" si="66"/>
        <v>#NAME?</v>
      </c>
      <c r="G529" s="100" t="e">
        <f t="shared" ca="1" si="67"/>
        <v>#NAME?</v>
      </c>
      <c r="H529" s="100" t="e">
        <f t="shared" ca="1" si="68"/>
        <v>#NAME?</v>
      </c>
      <c r="I529" s="100" t="e">
        <f t="shared" ca="1" si="69"/>
        <v>#NAME?</v>
      </c>
      <c r="J529" s="100" t="e">
        <f ca="1">IFERROR(__xludf.DUMMYFUNCTION("""COMPUTED_VALUE"""),"-7.76")</f>
        <v>#NAME?</v>
      </c>
      <c r="K529" s="100" t="e">
        <f t="shared" ca="1" si="70"/>
        <v>#NAME?</v>
      </c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</row>
    <row r="530" spans="1:26">
      <c r="A530" s="100" t="e">
        <f ca="1">IFERROR(__xludf.DUMMYFUNCTION("""COMPUTED_VALUE"""),12747647)</f>
        <v>#NAME?</v>
      </c>
      <c r="B530" s="100" t="e">
        <f ca="1">IFERROR(__xludf.DUMMYFUNCTION("""COMPUTED_VALUE"""),"BBUSDT")</f>
        <v>#NAME?</v>
      </c>
      <c r="C530" s="100" t="e">
        <f ca="1">IFERROR(__xludf.DUMMYFUNCTION("""COMPUTED_VALUE"""),"0.1086")</f>
        <v>#NAME?</v>
      </c>
      <c r="D530" s="100" t="e">
        <f t="shared" ca="1" si="71"/>
        <v>#NAME?</v>
      </c>
      <c r="E530" s="100" t="e">
        <f t="shared" ca="1" si="71"/>
        <v>#NAME?</v>
      </c>
      <c r="F530" s="100" t="e">
        <f t="shared" ca="1" si="66"/>
        <v>#NAME?</v>
      </c>
      <c r="G530" s="100" t="e">
        <f t="shared" ca="1" si="67"/>
        <v>#NAME?</v>
      </c>
      <c r="H530" s="100" t="e">
        <f t="shared" ca="1" si="68"/>
        <v>#NAME?</v>
      </c>
      <c r="I530" s="100" t="e">
        <f t="shared" ca="1" si="69"/>
        <v>#NAME?</v>
      </c>
      <c r="J530" s="100" t="e">
        <f ca="1">IFERROR(__xludf.DUMMYFUNCTION("""COMPUTED_VALUE"""),"-1.63")</f>
        <v>#NAME?</v>
      </c>
      <c r="K530" s="100" t="e">
        <f t="shared" ca="1" si="70"/>
        <v>#NAME?</v>
      </c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</row>
    <row r="531" spans="1:26">
      <c r="A531" s="100" t="e">
        <f ca="1">IFERROR(__xludf.DUMMYFUNCTION("""COMPUTED_VALUE"""),12747648)</f>
        <v>#NAME?</v>
      </c>
      <c r="B531" s="100" t="e">
        <f ca="1">IFERROR(__xludf.DUMMYFUNCTION("""COMPUTED_VALUE"""),"AEVOUSDT")</f>
        <v>#NAME?</v>
      </c>
      <c r="C531" s="100" t="e">
        <f ca="1">IFERROR(__xludf.DUMMYFUNCTION("""COMPUTED_VALUE"""),"0.0977")</f>
        <v>#NAME?</v>
      </c>
      <c r="D531" s="100" t="e">
        <f t="shared" ca="1" si="71"/>
        <v>#NAME?</v>
      </c>
      <c r="E531" s="100" t="e">
        <f t="shared" ca="1" si="71"/>
        <v>#NAME?</v>
      </c>
      <c r="F531" s="100" t="e">
        <f t="shared" ca="1" si="66"/>
        <v>#NAME?</v>
      </c>
      <c r="G531" s="100" t="e">
        <f t="shared" ca="1" si="67"/>
        <v>#NAME?</v>
      </c>
      <c r="H531" s="100" t="e">
        <f t="shared" ca="1" si="68"/>
        <v>#NAME?</v>
      </c>
      <c r="I531" s="100" t="e">
        <f t="shared" ca="1" si="69"/>
        <v>#NAME?</v>
      </c>
      <c r="J531" s="100" t="e">
        <f ca="1">IFERROR(__xludf.DUMMYFUNCTION("""COMPUTED_VALUE"""),"-0.7100000000000001")</f>
        <v>#NAME?</v>
      </c>
      <c r="K531" s="100" t="e">
        <f t="shared" ca="1" si="70"/>
        <v>#NAME?</v>
      </c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</row>
    <row r="532" spans="1:26">
      <c r="A532" s="100" t="e">
        <f ca="1">IFERROR(__xludf.DUMMYFUNCTION("""COMPUTED_VALUE"""),12747649)</f>
        <v>#NAME?</v>
      </c>
      <c r="B532" s="100" t="e">
        <f ca="1">IFERROR(__xludf.DUMMYFUNCTION("""COMPUTED_VALUE"""),"TAPUSDT")</f>
        <v>#NAME?</v>
      </c>
      <c r="C532" s="100" t="e">
        <f ca="1">IFERROR(__xludf.DUMMYFUNCTION("""COMPUTED_VALUE"""),"0.0004037")</f>
        <v>#NAME?</v>
      </c>
      <c r="D532" s="100" t="e">
        <f t="shared" ca="1" si="71"/>
        <v>#NAME?</v>
      </c>
      <c r="E532" s="100" t="e">
        <f t="shared" ca="1" si="71"/>
        <v>#NAME?</v>
      </c>
      <c r="F532" s="100" t="e">
        <f t="shared" ca="1" si="66"/>
        <v>#NAME?</v>
      </c>
      <c r="G532" s="100" t="e">
        <f t="shared" ca="1" si="67"/>
        <v>#NAME?</v>
      </c>
      <c r="H532" s="100" t="e">
        <f t="shared" ca="1" si="68"/>
        <v>#NAME?</v>
      </c>
      <c r="I532" s="100" t="e">
        <f t="shared" ca="1" si="69"/>
        <v>#NAME?</v>
      </c>
      <c r="J532" s="100" t="e">
        <f ca="1">IFERROR(__xludf.DUMMYFUNCTION("""COMPUTED_VALUE"""),"-0.22")</f>
        <v>#NAME?</v>
      </c>
      <c r="K532" s="100" t="e">
        <f t="shared" ca="1" si="70"/>
        <v>#NAME?</v>
      </c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</row>
    <row r="533" spans="1:26">
      <c r="A533" s="100" t="e">
        <f ca="1">IFERROR(__xludf.DUMMYFUNCTION("""COMPUTED_VALUE"""),12747650)</f>
        <v>#NAME?</v>
      </c>
      <c r="B533" s="100" t="e">
        <f ca="1">IFERROR(__xludf.DUMMYFUNCTION("""COMPUTED_VALUE"""),"BTCUSDC")</f>
        <v>#NAME?</v>
      </c>
      <c r="C533" s="100" t="e">
        <f ca="1">IFERROR(__xludf.DUMMYFUNCTION("""COMPUTED_VALUE"""),"88596.8")</f>
        <v>#NAME?</v>
      </c>
      <c r="D533" s="100" t="e">
        <f t="shared" ca="1" si="71"/>
        <v>#NAME?</v>
      </c>
      <c r="E533" s="100" t="e">
        <f t="shared" ca="1" si="71"/>
        <v>#NAME?</v>
      </c>
      <c r="F533" s="100" t="e">
        <f t="shared" ca="1" si="66"/>
        <v>#NAME?</v>
      </c>
      <c r="G533" s="100" t="e">
        <f t="shared" ca="1" si="67"/>
        <v>#NAME?</v>
      </c>
      <c r="H533" s="100" t="e">
        <f t="shared" ca="1" si="68"/>
        <v>#NAME?</v>
      </c>
      <c r="I533" s="100" t="e">
        <f t="shared" ca="1" si="69"/>
        <v>#NAME?</v>
      </c>
      <c r="J533" s="100" t="e">
        <f ca="1">IFERROR(__xludf.DUMMYFUNCTION("""COMPUTED_VALUE"""),"1.27")</f>
        <v>#NAME?</v>
      </c>
      <c r="K533" s="100" t="e">
        <f t="shared" ca="1" si="70"/>
        <v>#NAME?</v>
      </c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</row>
    <row r="534" spans="1:26">
      <c r="A534" s="100" t="e">
        <f ca="1">IFERROR(__xludf.DUMMYFUNCTION("""COMPUTED_VALUE"""),12747651)</f>
        <v>#NAME?</v>
      </c>
      <c r="B534" s="100" t="e">
        <f ca="1">IFERROR(__xludf.DUMMYFUNCTION("""COMPUTED_VALUE"""),"MPLXUSDT")</f>
        <v>#NAME?</v>
      </c>
      <c r="C534" s="100" t="e">
        <f ca="1">IFERROR(__xludf.DUMMYFUNCTION("""COMPUTED_VALUE"""),"0.20557")</f>
        <v>#NAME?</v>
      </c>
      <c r="D534" s="100" t="e">
        <f t="shared" ca="1" si="71"/>
        <v>#NAME?</v>
      </c>
      <c r="E534" s="100" t="e">
        <f t="shared" ca="1" si="71"/>
        <v>#NAME?</v>
      </c>
      <c r="F534" s="100" t="e">
        <f t="shared" ca="1" si="66"/>
        <v>#NAME?</v>
      </c>
      <c r="G534" s="100" t="e">
        <f t="shared" ca="1" si="67"/>
        <v>#NAME?</v>
      </c>
      <c r="H534" s="100" t="e">
        <f t="shared" ca="1" si="68"/>
        <v>#NAME?</v>
      </c>
      <c r="I534" s="100" t="e">
        <f t="shared" ca="1" si="69"/>
        <v>#NAME?</v>
      </c>
      <c r="J534" s="100" t="e">
        <f ca="1">IFERROR(__xludf.DUMMYFUNCTION("""COMPUTED_VALUE"""),"-2.07")</f>
        <v>#NAME?</v>
      </c>
      <c r="K534" s="100" t="e">
        <f t="shared" ca="1" si="70"/>
        <v>#NAME?</v>
      </c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</row>
    <row r="535" spans="1:26">
      <c r="A535" s="100" t="e">
        <f ca="1">IFERROR(__xludf.DUMMYFUNCTION("""COMPUTED_VALUE"""),12747652)</f>
        <v>#NAME?</v>
      </c>
      <c r="B535" s="100" t="e">
        <f ca="1">IFERROR(__xludf.DUMMYFUNCTION("""COMPUTED_VALUE"""),"NEXOUSDT")</f>
        <v>#NAME?</v>
      </c>
      <c r="C535" s="100" t="e">
        <f ca="1">IFERROR(__xludf.DUMMYFUNCTION("""COMPUTED_VALUE"""),"1.0544")</f>
        <v>#NAME?</v>
      </c>
      <c r="D535" s="100" t="e">
        <f t="shared" ca="1" si="71"/>
        <v>#NAME?</v>
      </c>
      <c r="E535" s="100" t="e">
        <f t="shared" ca="1" si="71"/>
        <v>#NAME?</v>
      </c>
      <c r="F535" s="100" t="e">
        <f t="shared" ca="1" si="66"/>
        <v>#NAME?</v>
      </c>
      <c r="G535" s="100" t="e">
        <f t="shared" ca="1" si="67"/>
        <v>#NAME?</v>
      </c>
      <c r="H535" s="100" t="e">
        <f t="shared" ca="1" si="68"/>
        <v>#NAME?</v>
      </c>
      <c r="I535" s="100" t="e">
        <f t="shared" ca="1" si="69"/>
        <v>#NAME?</v>
      </c>
      <c r="J535" s="100" t="e">
        <f ca="1">IFERROR(__xludf.DUMMYFUNCTION("""COMPUTED_VALUE"""),"1.5599999999999998")</f>
        <v>#NAME?</v>
      </c>
      <c r="K535" s="100" t="e">
        <f t="shared" ca="1" si="70"/>
        <v>#NAME?</v>
      </c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</row>
    <row r="536" spans="1:26">
      <c r="A536" s="100" t="e">
        <f ca="1">IFERROR(__xludf.DUMMYFUNCTION("""COMPUTED_VALUE"""),12747653)</f>
        <v>#NAME?</v>
      </c>
      <c r="B536" s="100" t="e">
        <f ca="1">IFERROR(__xludf.DUMMYFUNCTION("""COMPUTED_VALUE"""),"BTCEUR")</f>
        <v>#NAME?</v>
      </c>
      <c r="C536" s="100" t="e">
        <f ca="1">IFERROR(__xludf.DUMMYFUNCTION("""COMPUTED_VALUE"""),"77069.7")</f>
        <v>#NAME?</v>
      </c>
      <c r="D536" s="100" t="e">
        <f t="shared" ca="1" si="71"/>
        <v>#NAME?</v>
      </c>
      <c r="E536" s="100" t="e">
        <f t="shared" ca="1" si="71"/>
        <v>#NAME?</v>
      </c>
      <c r="F536" s="100" t="e">
        <f t="shared" ca="1" si="66"/>
        <v>#NAME?</v>
      </c>
      <c r="G536" s="100" t="e">
        <f t="shared" ca="1" si="67"/>
        <v>#NAME?</v>
      </c>
      <c r="H536" s="100" t="e">
        <f t="shared" ca="1" si="68"/>
        <v>#NAME?</v>
      </c>
      <c r="I536" s="100" t="e">
        <f t="shared" ca="1" si="69"/>
        <v>#NAME?</v>
      </c>
      <c r="J536" s="100" t="e">
        <f ca="1">IFERROR(__xludf.DUMMYFUNCTION("""COMPUTED_VALUE"""),"1.7399999999999998")</f>
        <v>#NAME?</v>
      </c>
      <c r="K536" s="100" t="e">
        <f t="shared" ca="1" si="70"/>
        <v>#NAME?</v>
      </c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</row>
    <row r="537" spans="1:26">
      <c r="A537" s="100" t="e">
        <f ca="1">IFERROR(__xludf.DUMMYFUNCTION("""COMPUTED_VALUE"""),12747654)</f>
        <v>#NAME?</v>
      </c>
      <c r="B537" s="100" t="e">
        <f ca="1">IFERROR(__xludf.DUMMYFUNCTION("""COMPUTED_VALUE"""),"EXVGUSDT")</f>
        <v>#NAME?</v>
      </c>
      <c r="C537" s="100" t="e">
        <f ca="1">IFERROR(__xludf.DUMMYFUNCTION("""COMPUTED_VALUE"""),"0.003572")</f>
        <v>#NAME?</v>
      </c>
      <c r="D537" s="100" t="e">
        <f t="shared" ca="1" si="71"/>
        <v>#NAME?</v>
      </c>
      <c r="E537" s="100" t="e">
        <f t="shared" ca="1" si="71"/>
        <v>#NAME?</v>
      </c>
      <c r="F537" s="100" t="e">
        <f t="shared" ca="1" si="66"/>
        <v>#NAME?</v>
      </c>
      <c r="G537" s="100" t="e">
        <f t="shared" ca="1" si="67"/>
        <v>#NAME?</v>
      </c>
      <c r="H537" s="100" t="e">
        <f t="shared" ca="1" si="68"/>
        <v>#NAME?</v>
      </c>
      <c r="I537" s="100" t="e">
        <f t="shared" ca="1" si="69"/>
        <v>#NAME?</v>
      </c>
      <c r="J537" s="100" t="e">
        <f ca="1">IFERROR(__xludf.DUMMYFUNCTION("""COMPUTED_VALUE"""),"-0.7799999999999999")</f>
        <v>#NAME?</v>
      </c>
      <c r="K537" s="100" t="e">
        <f t="shared" ca="1" si="70"/>
        <v>#NAME?</v>
      </c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</row>
    <row r="538" spans="1:26">
      <c r="A538" s="100" t="e">
        <f ca="1">IFERROR(__xludf.DUMMYFUNCTION("""COMPUTED_VALUE"""),12747655)</f>
        <v>#NAME?</v>
      </c>
      <c r="B538" s="100" t="e">
        <f ca="1">IFERROR(__xludf.DUMMYFUNCTION("""COMPUTED_VALUE"""),"AXLUSDT")</f>
        <v>#NAME?</v>
      </c>
      <c r="C538" s="100" t="e">
        <f ca="1">IFERROR(__xludf.DUMMYFUNCTION("""COMPUTED_VALUE"""),"0.3049")</f>
        <v>#NAME?</v>
      </c>
      <c r="D538" s="100" t="e">
        <f t="shared" ca="1" si="71"/>
        <v>#NAME?</v>
      </c>
      <c r="E538" s="100" t="e">
        <f t="shared" ca="1" si="71"/>
        <v>#NAME?</v>
      </c>
      <c r="F538" s="100" t="e">
        <f t="shared" ca="1" si="66"/>
        <v>#NAME?</v>
      </c>
      <c r="G538" s="100" t="e">
        <f t="shared" ca="1" si="67"/>
        <v>#NAME?</v>
      </c>
      <c r="H538" s="100" t="e">
        <f t="shared" ca="1" si="68"/>
        <v>#NAME?</v>
      </c>
      <c r="I538" s="100" t="e">
        <f t="shared" ca="1" si="69"/>
        <v>#NAME?</v>
      </c>
      <c r="J538" s="100" t="e">
        <f ca="1">IFERROR(__xludf.DUMMYFUNCTION("""COMPUTED_VALUE"""),"-0.65")</f>
        <v>#NAME?</v>
      </c>
      <c r="K538" s="100" t="e">
        <f t="shared" ca="1" si="70"/>
        <v>#NAME?</v>
      </c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</row>
    <row r="539" spans="1:26">
      <c r="A539" s="100" t="e">
        <f ca="1">IFERROR(__xludf.DUMMYFUNCTION("""COMPUTED_VALUE"""),12747656)</f>
        <v>#NAME?</v>
      </c>
      <c r="B539" s="100" t="e">
        <f ca="1">IFERROR(__xludf.DUMMYFUNCTION("""COMPUTED_VALUE"""),"WCTUSDT")</f>
        <v>#NAME?</v>
      </c>
      <c r="C539" s="100" t="e">
        <f ca="1">IFERROR(__xludf.DUMMYFUNCTION("""COMPUTED_VALUE"""),"0.4134")</f>
        <v>#NAME?</v>
      </c>
      <c r="D539" s="100" t="e">
        <f t="shared" ca="1" si="71"/>
        <v>#NAME?</v>
      </c>
      <c r="E539" s="100" t="e">
        <f t="shared" ca="1" si="71"/>
        <v>#NAME?</v>
      </c>
      <c r="F539" s="100" t="e">
        <f t="shared" ca="1" si="66"/>
        <v>#NAME?</v>
      </c>
      <c r="G539" s="100" t="e">
        <f t="shared" ca="1" si="67"/>
        <v>#NAME?</v>
      </c>
      <c r="H539" s="100" t="e">
        <f t="shared" ca="1" si="68"/>
        <v>#NAME?</v>
      </c>
      <c r="I539" s="100" t="e">
        <f t="shared" ca="1" si="69"/>
        <v>#NAME?</v>
      </c>
      <c r="J539" s="100" t="e">
        <f ca="1">IFERROR(__xludf.DUMMYFUNCTION("""COMPUTED_VALUE"""),"-10.83")</f>
        <v>#NAME?</v>
      </c>
      <c r="K539" s="100" t="e">
        <f t="shared" ca="1" si="70"/>
        <v>#NAME?</v>
      </c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</row>
    <row r="540" spans="1:26">
      <c r="A540" s="100" t="e">
        <f ca="1">IFERROR(__xludf.DUMMYFUNCTION("""COMPUTED_VALUE"""),12747657)</f>
        <v>#NAME?</v>
      </c>
      <c r="B540" s="100" t="e">
        <f ca="1">IFERROR(__xludf.DUMMYFUNCTION("""COMPUTED_VALUE"""),"BTCBRZ")</f>
        <v>#NAME?</v>
      </c>
      <c r="C540" s="100" t="e">
        <f ca="1">IFERROR(__xludf.DUMMYFUNCTION("""COMPUTED_VALUE"""),"516924.9")</f>
        <v>#NAME?</v>
      </c>
      <c r="D540" s="100" t="e">
        <f t="shared" ca="1" si="71"/>
        <v>#NAME?</v>
      </c>
      <c r="E540" s="100" t="e">
        <f t="shared" ca="1" si="71"/>
        <v>#NAME?</v>
      </c>
      <c r="F540" s="100" t="e">
        <f t="shared" ca="1" si="66"/>
        <v>#NAME?</v>
      </c>
      <c r="G540" s="100" t="e">
        <f t="shared" ca="1" si="67"/>
        <v>#NAME?</v>
      </c>
      <c r="H540" s="100" t="e">
        <f t="shared" ca="1" si="68"/>
        <v>#NAME?</v>
      </c>
      <c r="I540" s="100" t="e">
        <f t="shared" ca="1" si="69"/>
        <v>#NAME?</v>
      </c>
      <c r="J540" s="100" t="e">
        <f ca="1">IFERROR(__xludf.DUMMYFUNCTION("""COMPUTED_VALUE"""),"6.45")</f>
        <v>#NAME?</v>
      </c>
      <c r="K540" s="100" t="e">
        <f t="shared" ca="1" si="70"/>
        <v>#NAME?</v>
      </c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</row>
    <row r="541" spans="1:26">
      <c r="A541" s="100" t="e">
        <f ca="1">IFERROR(__xludf.DUMMYFUNCTION("""COMPUTED_VALUE"""),12747658)</f>
        <v>#NAME?</v>
      </c>
      <c r="B541" s="100" t="e">
        <f ca="1">IFERROR(__xludf.DUMMYFUNCTION("""COMPUTED_VALUE"""),"USDEUSDT")</f>
        <v>#NAME?</v>
      </c>
      <c r="C541" s="100" t="e">
        <f ca="1">IFERROR(__xludf.DUMMYFUNCTION("""COMPUTED_VALUE"""),"0.9992")</f>
        <v>#NAME?</v>
      </c>
      <c r="D541" s="100" t="e">
        <f t="shared" ca="1" si="71"/>
        <v>#NAME?</v>
      </c>
      <c r="E541" s="100" t="e">
        <f t="shared" ca="1" si="71"/>
        <v>#NAME?</v>
      </c>
      <c r="F541" s="100" t="e">
        <f t="shared" ca="1" si="66"/>
        <v>#NAME?</v>
      </c>
      <c r="G541" s="100" t="e">
        <f t="shared" ca="1" si="67"/>
        <v>#NAME?</v>
      </c>
      <c r="H541" s="100" t="e">
        <f t="shared" ca="1" si="68"/>
        <v>#NAME?</v>
      </c>
      <c r="I541" s="100" t="e">
        <f t="shared" ca="1" si="69"/>
        <v>#NAME?</v>
      </c>
      <c r="J541" s="100" t="e">
        <f ca="1">IFERROR(__xludf.DUMMYFUNCTION("""COMPUTED_VALUE"""),"-0.01")</f>
        <v>#NAME?</v>
      </c>
      <c r="K541" s="100" t="e">
        <f t="shared" ca="1" si="70"/>
        <v>#NAME?</v>
      </c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</row>
    <row r="542" spans="1:26">
      <c r="A542" s="100" t="e">
        <f ca="1">IFERROR(__xludf.DUMMYFUNCTION("""COMPUTED_VALUE"""),12747659)</f>
        <v>#NAME?</v>
      </c>
      <c r="B542" s="100" t="e">
        <f ca="1">IFERROR(__xludf.DUMMYFUNCTION("""COMPUTED_VALUE"""),"PIPUSDT")</f>
        <v>#NAME?</v>
      </c>
      <c r="C542" s="100" t="e">
        <f ca="1">IFERROR(__xludf.DUMMYFUNCTION("""COMPUTED_VALUE"""),"0.00279")</f>
        <v>#NAME?</v>
      </c>
      <c r="D542" s="100" t="e">
        <f t="shared" ref="D542:E561" ca="1" si="72">IFERROR(__xludf.DUMMYFUNCTION("""COMPUTED_VALUE"""),"-")</f>
        <v>#NAME?</v>
      </c>
      <c r="E542" s="100" t="e">
        <f t="shared" ca="1" si="72"/>
        <v>#NAME?</v>
      </c>
      <c r="F542" s="100" t="e">
        <f t="shared" ca="1" si="66"/>
        <v>#NAME?</v>
      </c>
      <c r="G542" s="100" t="e">
        <f t="shared" ca="1" si="67"/>
        <v>#NAME?</v>
      </c>
      <c r="H542" s="100" t="e">
        <f t="shared" ca="1" si="68"/>
        <v>#NAME?</v>
      </c>
      <c r="I542" s="100" t="e">
        <f t="shared" ca="1" si="69"/>
        <v>#NAME?</v>
      </c>
      <c r="J542" s="100" t="e">
        <f ca="1">IFERROR(__xludf.DUMMYFUNCTION("""COMPUTED_VALUE"""),"-3.7900000000000005")</f>
        <v>#NAME?</v>
      </c>
      <c r="K542" s="100" t="e">
        <f t="shared" ca="1" si="70"/>
        <v>#NAME?</v>
      </c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</row>
    <row r="543" spans="1:26">
      <c r="A543" s="100" t="e">
        <f ca="1">IFERROR(__xludf.DUMMYFUNCTION("""COMPUTED_VALUE"""),12747660)</f>
        <v>#NAME?</v>
      </c>
      <c r="B543" s="100" t="e">
        <f ca="1">IFERROR(__xludf.DUMMYFUNCTION("""COMPUTED_VALUE"""),"KUBUSDT")</f>
        <v>#NAME?</v>
      </c>
      <c r="C543" s="100" t="e">
        <f ca="1">IFERROR(__xludf.DUMMYFUNCTION("""COMPUTED_VALUE"""),"1.4702")</f>
        <v>#NAME?</v>
      </c>
      <c r="D543" s="100" t="e">
        <f t="shared" ca="1" si="72"/>
        <v>#NAME?</v>
      </c>
      <c r="E543" s="100" t="e">
        <f t="shared" ca="1" si="72"/>
        <v>#NAME?</v>
      </c>
      <c r="F543" s="100" t="e">
        <f t="shared" ca="1" si="66"/>
        <v>#NAME?</v>
      </c>
      <c r="G543" s="100" t="e">
        <f t="shared" ca="1" si="67"/>
        <v>#NAME?</v>
      </c>
      <c r="H543" s="100" t="e">
        <f t="shared" ca="1" si="68"/>
        <v>#NAME?</v>
      </c>
      <c r="I543" s="100" t="e">
        <f t="shared" ca="1" si="69"/>
        <v>#NAME?</v>
      </c>
      <c r="J543" s="100" t="e">
        <f ca="1">IFERROR(__xludf.DUMMYFUNCTION("""COMPUTED_VALUE"""),"4.9799999999999995")</f>
        <v>#NAME?</v>
      </c>
      <c r="K543" s="100" t="e">
        <f t="shared" ca="1" si="70"/>
        <v>#NAME?</v>
      </c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</row>
    <row r="544" spans="1:26">
      <c r="A544" s="100" t="e">
        <f ca="1">IFERROR(__xludf.DUMMYFUNCTION("""COMPUTED_VALUE"""),12747661)</f>
        <v>#NAME?</v>
      </c>
      <c r="B544" s="100" t="e">
        <f ca="1">IFERROR(__xludf.DUMMYFUNCTION("""COMPUTED_VALUE"""),"MEEUSDT")</f>
        <v>#NAME?</v>
      </c>
      <c r="C544" s="100" t="e">
        <f ca="1">IFERROR(__xludf.DUMMYFUNCTION("""COMPUTED_VALUE"""),"0.003473")</f>
        <v>#NAME?</v>
      </c>
      <c r="D544" s="100" t="e">
        <f t="shared" ca="1" si="72"/>
        <v>#NAME?</v>
      </c>
      <c r="E544" s="100" t="e">
        <f t="shared" ca="1" si="72"/>
        <v>#NAME?</v>
      </c>
      <c r="F544" s="100" t="e">
        <f t="shared" ca="1" si="66"/>
        <v>#NAME?</v>
      </c>
      <c r="G544" s="100" t="e">
        <f t="shared" ca="1" si="67"/>
        <v>#NAME?</v>
      </c>
      <c r="H544" s="100" t="e">
        <f t="shared" ca="1" si="68"/>
        <v>#NAME?</v>
      </c>
      <c r="I544" s="100" t="e">
        <f t="shared" ca="1" si="69"/>
        <v>#NAME?</v>
      </c>
      <c r="J544" s="100" t="e">
        <f ca="1">IFERROR(__xludf.DUMMYFUNCTION("""COMPUTED_VALUE"""),"1.4000000000000001")</f>
        <v>#NAME?</v>
      </c>
      <c r="K544" s="100" t="e">
        <f t="shared" ca="1" si="70"/>
        <v>#NAME?</v>
      </c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</row>
    <row r="545" spans="1:26">
      <c r="A545" s="100" t="e">
        <f ca="1">IFERROR(__xludf.DUMMYFUNCTION("""COMPUTED_VALUE"""),12747662)</f>
        <v>#NAME?</v>
      </c>
      <c r="B545" s="100" t="e">
        <f ca="1">IFERROR(__xludf.DUMMYFUNCTION("""COMPUTED_VALUE"""),"HVHUSDT")</f>
        <v>#NAME?</v>
      </c>
      <c r="C545" s="100" t="e">
        <f ca="1">IFERROR(__xludf.DUMMYFUNCTION("""COMPUTED_VALUE"""),"0.001484")</f>
        <v>#NAME?</v>
      </c>
      <c r="D545" s="100" t="e">
        <f t="shared" ca="1" si="72"/>
        <v>#NAME?</v>
      </c>
      <c r="E545" s="100" t="e">
        <f t="shared" ca="1" si="72"/>
        <v>#NAME?</v>
      </c>
      <c r="F545" s="100" t="e">
        <f t="shared" ca="1" si="66"/>
        <v>#NAME?</v>
      </c>
      <c r="G545" s="100" t="e">
        <f t="shared" ca="1" si="67"/>
        <v>#NAME?</v>
      </c>
      <c r="H545" s="100" t="e">
        <f t="shared" ca="1" si="68"/>
        <v>#NAME?</v>
      </c>
      <c r="I545" s="100" t="e">
        <f t="shared" ca="1" si="69"/>
        <v>#NAME?</v>
      </c>
      <c r="J545" s="100" t="e">
        <f ca="1">IFERROR(__xludf.DUMMYFUNCTION("""COMPUTED_VALUE"""),"-2.18")</f>
        <v>#NAME?</v>
      </c>
      <c r="K545" s="100" t="e">
        <f t="shared" ca="1" si="70"/>
        <v>#NAME?</v>
      </c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</row>
    <row r="546" spans="1:26">
      <c r="A546" s="100" t="e">
        <f ca="1">IFERROR(__xludf.DUMMYFUNCTION("""COMPUTED_VALUE"""),12747663)</f>
        <v>#NAME?</v>
      </c>
      <c r="B546" s="100" t="e">
        <f ca="1">IFERROR(__xludf.DUMMYFUNCTION("""COMPUTED_VALUE"""),"SENDUSDT")</f>
        <v>#NAME?</v>
      </c>
      <c r="C546" s="100" t="e">
        <f ca="1">IFERROR(__xludf.DUMMYFUNCTION("""COMPUTED_VALUE"""),"0.4799")</f>
        <v>#NAME?</v>
      </c>
      <c r="D546" s="100" t="e">
        <f t="shared" ca="1" si="72"/>
        <v>#NAME?</v>
      </c>
      <c r="E546" s="100" t="e">
        <f t="shared" ca="1" si="72"/>
        <v>#NAME?</v>
      </c>
      <c r="F546" s="100" t="e">
        <f t="shared" ca="1" si="66"/>
        <v>#NAME?</v>
      </c>
      <c r="G546" s="100" t="e">
        <f t="shared" ca="1" si="67"/>
        <v>#NAME?</v>
      </c>
      <c r="H546" s="100" t="e">
        <f t="shared" ca="1" si="68"/>
        <v>#NAME?</v>
      </c>
      <c r="I546" s="100" t="e">
        <f t="shared" ca="1" si="69"/>
        <v>#NAME?</v>
      </c>
      <c r="J546" s="100" t="e">
        <f ca="1">IFERROR(__xludf.DUMMYFUNCTION("""COMPUTED_VALUE"""),"-1.13")</f>
        <v>#NAME?</v>
      </c>
      <c r="K546" s="100" t="e">
        <f t="shared" ca="1" si="70"/>
        <v>#NAME?</v>
      </c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</row>
    <row r="547" spans="1:26">
      <c r="A547" s="100" t="e">
        <f ca="1">IFERROR(__xludf.DUMMYFUNCTION("""COMPUTED_VALUE"""),12747664)</f>
        <v>#NAME?</v>
      </c>
      <c r="B547" s="100" t="e">
        <f ca="1">IFERROR(__xludf.DUMMYFUNCTION("""COMPUTED_VALUE"""),"XDCUSDT")</f>
        <v>#NAME?</v>
      </c>
      <c r="C547" s="100" t="e">
        <f ca="1">IFERROR(__xludf.DUMMYFUNCTION("""COMPUTED_VALUE"""),"0.07189")</f>
        <v>#NAME?</v>
      </c>
      <c r="D547" s="100" t="e">
        <f t="shared" ca="1" si="72"/>
        <v>#NAME?</v>
      </c>
      <c r="E547" s="100" t="e">
        <f t="shared" ca="1" si="72"/>
        <v>#NAME?</v>
      </c>
      <c r="F547" s="100" t="e">
        <f t="shared" ca="1" si="66"/>
        <v>#NAME?</v>
      </c>
      <c r="G547" s="100" t="e">
        <f t="shared" ca="1" si="67"/>
        <v>#NAME?</v>
      </c>
      <c r="H547" s="100" t="e">
        <f t="shared" ca="1" si="68"/>
        <v>#NAME?</v>
      </c>
      <c r="I547" s="100" t="e">
        <f t="shared" ca="1" si="69"/>
        <v>#NAME?</v>
      </c>
      <c r="J547" s="100" t="e">
        <f ca="1">IFERROR(__xludf.DUMMYFUNCTION("""COMPUTED_VALUE"""),"0.03")</f>
        <v>#NAME?</v>
      </c>
      <c r="K547" s="100" t="e">
        <f t="shared" ca="1" si="70"/>
        <v>#NAME?</v>
      </c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</row>
    <row r="548" spans="1:26">
      <c r="A548" s="100" t="e">
        <f ca="1">IFERROR(__xludf.DUMMYFUNCTION("""COMPUTED_VALUE"""),12747665)</f>
        <v>#NAME?</v>
      </c>
      <c r="B548" s="100" t="e">
        <f ca="1">IFERROR(__xludf.DUMMYFUNCTION("""COMPUTED_VALUE"""),"STETHEUR")</f>
        <v>#NAME?</v>
      </c>
      <c r="C548" s="100" t="e">
        <f ca="1">IFERROR(__xludf.DUMMYFUNCTION("""COMPUTED_VALUE"""),"1394.72")</f>
        <v>#NAME?</v>
      </c>
      <c r="D548" s="100" t="e">
        <f t="shared" ca="1" si="72"/>
        <v>#NAME?</v>
      </c>
      <c r="E548" s="100" t="e">
        <f t="shared" ca="1" si="72"/>
        <v>#NAME?</v>
      </c>
      <c r="F548" s="100" t="e">
        <f t="shared" ca="1" si="66"/>
        <v>#NAME?</v>
      </c>
      <c r="G548" s="100" t="e">
        <f t="shared" ca="1" si="67"/>
        <v>#NAME?</v>
      </c>
      <c r="H548" s="100" t="e">
        <f t="shared" ca="1" si="68"/>
        <v>#NAME?</v>
      </c>
      <c r="I548" s="100" t="e">
        <f t="shared" ca="1" si="69"/>
        <v>#NAME?</v>
      </c>
      <c r="J548" s="100" t="e">
        <f ca="1">IFERROR(__xludf.DUMMYFUNCTION("""COMPUTED_VALUE"""),"0.26")</f>
        <v>#NAME?</v>
      </c>
      <c r="K548" s="100" t="e">
        <f t="shared" ca="1" si="70"/>
        <v>#NAME?</v>
      </c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</row>
    <row r="549" spans="1:26">
      <c r="A549" s="100" t="e">
        <f ca="1">IFERROR(__xludf.DUMMYFUNCTION("""COMPUTED_VALUE"""),12747666)</f>
        <v>#NAME?</v>
      </c>
      <c r="B549" s="100" t="e">
        <f ca="1">IFERROR(__xludf.DUMMYFUNCTION("""COMPUTED_VALUE"""),"FLTUSDT")</f>
        <v>#NAME?</v>
      </c>
      <c r="C549" s="100" t="e">
        <f ca="1">IFERROR(__xludf.DUMMYFUNCTION("""COMPUTED_VALUE"""),"0.04008")</f>
        <v>#NAME?</v>
      </c>
      <c r="D549" s="100" t="e">
        <f t="shared" ca="1" si="72"/>
        <v>#NAME?</v>
      </c>
      <c r="E549" s="100" t="e">
        <f t="shared" ca="1" si="72"/>
        <v>#NAME?</v>
      </c>
      <c r="F549" s="100" t="e">
        <f t="shared" ca="1" si="66"/>
        <v>#NAME?</v>
      </c>
      <c r="G549" s="100" t="e">
        <f t="shared" ca="1" si="67"/>
        <v>#NAME?</v>
      </c>
      <c r="H549" s="100" t="e">
        <f t="shared" ca="1" si="68"/>
        <v>#NAME?</v>
      </c>
      <c r="I549" s="100" t="e">
        <f t="shared" ca="1" si="69"/>
        <v>#NAME?</v>
      </c>
      <c r="J549" s="100" t="e">
        <f ca="1">IFERROR(__xludf.DUMMYFUNCTION("""COMPUTED_VALUE"""),"2.82")</f>
        <v>#NAME?</v>
      </c>
      <c r="K549" s="100" t="e">
        <f t="shared" ca="1" si="70"/>
        <v>#NAME?</v>
      </c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</row>
    <row r="550" spans="1:26">
      <c r="A550" s="100" t="e">
        <f ca="1">IFERROR(__xludf.DUMMYFUNCTION("""COMPUTED_VALUE"""),12747667)</f>
        <v>#NAME?</v>
      </c>
      <c r="B550" s="100" t="e">
        <f ca="1">IFERROR(__xludf.DUMMYFUNCTION("""COMPUTED_VALUE"""),"DYDXUSDT")</f>
        <v>#NAME?</v>
      </c>
      <c r="C550" s="100" t="e">
        <f ca="1">IFERROR(__xludf.DUMMYFUNCTION("""COMPUTED_VALUE"""),"0.5858")</f>
        <v>#NAME?</v>
      </c>
      <c r="D550" s="100" t="e">
        <f t="shared" ca="1" si="72"/>
        <v>#NAME?</v>
      </c>
      <c r="E550" s="100" t="e">
        <f t="shared" ca="1" si="72"/>
        <v>#NAME?</v>
      </c>
      <c r="F550" s="100" t="e">
        <f t="shared" ca="1" si="66"/>
        <v>#NAME?</v>
      </c>
      <c r="G550" s="100" t="e">
        <f t="shared" ca="1" si="67"/>
        <v>#NAME?</v>
      </c>
      <c r="H550" s="100" t="e">
        <f t="shared" ca="1" si="68"/>
        <v>#NAME?</v>
      </c>
      <c r="I550" s="100" t="e">
        <f t="shared" ca="1" si="69"/>
        <v>#NAME?</v>
      </c>
      <c r="J550" s="100" t="e">
        <f ca="1">IFERROR(__xludf.DUMMYFUNCTION("""COMPUTED_VALUE"""),"-3.3000000000000003")</f>
        <v>#NAME?</v>
      </c>
      <c r="K550" s="100" t="e">
        <f t="shared" ca="1" si="70"/>
        <v>#NAME?</v>
      </c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</row>
    <row r="551" spans="1:26">
      <c r="A551" s="100" t="e">
        <f ca="1">IFERROR(__xludf.DUMMYFUNCTION("""COMPUTED_VALUE"""),12747668)</f>
        <v>#NAME?</v>
      </c>
      <c r="B551" s="100" t="e">
        <f ca="1">IFERROR(__xludf.DUMMYFUNCTION("""COMPUTED_VALUE"""),"WBTCUSDT")</f>
        <v>#NAME?</v>
      </c>
      <c r="C551" s="100" t="e">
        <f ca="1">IFERROR(__xludf.DUMMYFUNCTION("""COMPUTED_VALUE"""),"88472.74")</f>
        <v>#NAME?</v>
      </c>
      <c r="D551" s="100" t="e">
        <f t="shared" ca="1" si="72"/>
        <v>#NAME?</v>
      </c>
      <c r="E551" s="100" t="e">
        <f t="shared" ca="1" si="72"/>
        <v>#NAME?</v>
      </c>
      <c r="F551" s="100" t="e">
        <f t="shared" ca="1" si="66"/>
        <v>#NAME?</v>
      </c>
      <c r="G551" s="100" t="e">
        <f t="shared" ca="1" si="67"/>
        <v>#NAME?</v>
      </c>
      <c r="H551" s="100" t="e">
        <f t="shared" ca="1" si="68"/>
        <v>#NAME?</v>
      </c>
      <c r="I551" s="100" t="e">
        <f t="shared" ca="1" si="69"/>
        <v>#NAME?</v>
      </c>
      <c r="J551" s="100" t="e">
        <f ca="1">IFERROR(__xludf.DUMMYFUNCTION("""COMPUTED_VALUE"""),"1.3299999999999998")</f>
        <v>#NAME?</v>
      </c>
      <c r="K551" s="100" t="e">
        <f t="shared" ca="1" si="70"/>
        <v>#NAME?</v>
      </c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</row>
    <row r="552" spans="1:26">
      <c r="A552" s="100" t="e">
        <f ca="1">IFERROR(__xludf.DUMMYFUNCTION("""COMPUTED_VALUE"""),12747669)</f>
        <v>#NAME?</v>
      </c>
      <c r="B552" s="100" t="e">
        <f ca="1">IFERROR(__xludf.DUMMYFUNCTION("""COMPUTED_VALUE"""),"AURORAUSDT")</f>
        <v>#NAME?</v>
      </c>
      <c r="C552" s="100" t="e">
        <f ca="1">IFERROR(__xludf.DUMMYFUNCTION("""COMPUTED_VALUE"""),"0.0838")</f>
        <v>#NAME?</v>
      </c>
      <c r="D552" s="100" t="e">
        <f t="shared" ca="1" si="72"/>
        <v>#NAME?</v>
      </c>
      <c r="E552" s="100" t="e">
        <f t="shared" ca="1" si="72"/>
        <v>#NAME?</v>
      </c>
      <c r="F552" s="100" t="e">
        <f t="shared" ca="1" si="66"/>
        <v>#NAME?</v>
      </c>
      <c r="G552" s="100" t="e">
        <f t="shared" ca="1" si="67"/>
        <v>#NAME?</v>
      </c>
      <c r="H552" s="100" t="e">
        <f t="shared" ca="1" si="68"/>
        <v>#NAME?</v>
      </c>
      <c r="I552" s="100" t="e">
        <f t="shared" ca="1" si="69"/>
        <v>#NAME?</v>
      </c>
      <c r="J552" s="100" t="e">
        <f ca="1">IFERROR(__xludf.DUMMYFUNCTION("""COMPUTED_VALUE"""),"-7.3")</f>
        <v>#NAME?</v>
      </c>
      <c r="K552" s="100" t="e">
        <f t="shared" ca="1" si="70"/>
        <v>#NAME?</v>
      </c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</row>
    <row r="553" spans="1:26">
      <c r="A553" s="100" t="e">
        <f ca="1">IFERROR(__xludf.DUMMYFUNCTION("""COMPUTED_VALUE"""),12747670)</f>
        <v>#NAME?</v>
      </c>
      <c r="B553" s="100" t="e">
        <f ca="1">IFERROR(__xludf.DUMMYFUNCTION("""COMPUTED_VALUE"""),"GALAUSDT")</f>
        <v>#NAME?</v>
      </c>
      <c r="C553" s="100" t="e">
        <f ca="1">IFERROR(__xludf.DUMMYFUNCTION("""COMPUTED_VALUE"""),"0.01595")</f>
        <v>#NAME?</v>
      </c>
      <c r="D553" s="100" t="e">
        <f t="shared" ca="1" si="72"/>
        <v>#NAME?</v>
      </c>
      <c r="E553" s="100" t="e">
        <f t="shared" ca="1" si="72"/>
        <v>#NAME?</v>
      </c>
      <c r="F553" s="100" t="e">
        <f t="shared" ca="1" si="66"/>
        <v>#NAME?</v>
      </c>
      <c r="G553" s="100" t="e">
        <f t="shared" ca="1" si="67"/>
        <v>#NAME?</v>
      </c>
      <c r="H553" s="100" t="e">
        <f t="shared" ca="1" si="68"/>
        <v>#NAME?</v>
      </c>
      <c r="I553" s="100" t="e">
        <f t="shared" ca="1" si="69"/>
        <v>#NAME?</v>
      </c>
      <c r="J553" s="100" t="e">
        <f ca="1">IFERROR(__xludf.DUMMYFUNCTION("""COMPUTED_VALUE"""),"-1.97")</f>
        <v>#NAME?</v>
      </c>
      <c r="K553" s="100" t="e">
        <f t="shared" ca="1" si="70"/>
        <v>#NAME?</v>
      </c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</row>
    <row r="554" spans="1:26">
      <c r="A554" s="100" t="e">
        <f ca="1">IFERROR(__xludf.DUMMYFUNCTION("""COMPUTED_VALUE"""),12747671)</f>
        <v>#NAME?</v>
      </c>
      <c r="B554" s="100" t="e">
        <f ca="1">IFERROR(__xludf.DUMMYFUNCTION("""COMPUTED_VALUE"""),"AEGUSDT")</f>
        <v>#NAME?</v>
      </c>
      <c r="C554" s="100" t="e">
        <f ca="1">IFERROR(__xludf.DUMMYFUNCTION("""COMPUTED_VALUE"""),"0.001986")</f>
        <v>#NAME?</v>
      </c>
      <c r="D554" s="100" t="e">
        <f t="shared" ca="1" si="72"/>
        <v>#NAME?</v>
      </c>
      <c r="E554" s="100" t="e">
        <f t="shared" ca="1" si="72"/>
        <v>#NAME?</v>
      </c>
      <c r="F554" s="100" t="e">
        <f t="shared" ca="1" si="66"/>
        <v>#NAME?</v>
      </c>
      <c r="G554" s="100" t="e">
        <f t="shared" ca="1" si="67"/>
        <v>#NAME?</v>
      </c>
      <c r="H554" s="100" t="e">
        <f t="shared" ca="1" si="68"/>
        <v>#NAME?</v>
      </c>
      <c r="I554" s="100" t="e">
        <f t="shared" ca="1" si="69"/>
        <v>#NAME?</v>
      </c>
      <c r="J554" s="100" t="e">
        <f ca="1">IFERROR(__xludf.DUMMYFUNCTION("""COMPUTED_VALUE"""),"-13.84")</f>
        <v>#NAME?</v>
      </c>
      <c r="K554" s="100" t="e">
        <f t="shared" ca="1" si="70"/>
        <v>#NAME?</v>
      </c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</row>
    <row r="555" spans="1:26">
      <c r="A555" s="100" t="e">
        <f ca="1">IFERROR(__xludf.DUMMYFUNCTION("""COMPUTED_VALUE"""),12747672)</f>
        <v>#NAME?</v>
      </c>
      <c r="B555" s="100" t="e">
        <f ca="1">IFERROR(__xludf.DUMMYFUNCTION("""COMPUTED_VALUE"""),"EGOUSDT")</f>
        <v>#NAME?</v>
      </c>
      <c r="C555" s="100" t="e">
        <f ca="1">IFERROR(__xludf.DUMMYFUNCTION("""COMPUTED_VALUE"""),"0.006555")</f>
        <v>#NAME?</v>
      </c>
      <c r="D555" s="100" t="e">
        <f t="shared" ca="1" si="72"/>
        <v>#NAME?</v>
      </c>
      <c r="E555" s="100" t="e">
        <f t="shared" ca="1" si="72"/>
        <v>#NAME?</v>
      </c>
      <c r="F555" s="100" t="e">
        <f t="shared" ca="1" si="66"/>
        <v>#NAME?</v>
      </c>
      <c r="G555" s="100" t="e">
        <f t="shared" ca="1" si="67"/>
        <v>#NAME?</v>
      </c>
      <c r="H555" s="100" t="e">
        <f t="shared" ca="1" si="68"/>
        <v>#NAME?</v>
      </c>
      <c r="I555" s="100" t="e">
        <f t="shared" ca="1" si="69"/>
        <v>#NAME?</v>
      </c>
      <c r="J555" s="100" t="e">
        <f ca="1">IFERROR(__xludf.DUMMYFUNCTION("""COMPUTED_VALUE"""),"0.95")</f>
        <v>#NAME?</v>
      </c>
      <c r="K555" s="100" t="e">
        <f t="shared" ca="1" si="70"/>
        <v>#NAME?</v>
      </c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</row>
    <row r="556" spans="1:26">
      <c r="A556" s="100" t="e">
        <f ca="1">IFERROR(__xludf.DUMMYFUNCTION("""COMPUTED_VALUE"""),12747673)</f>
        <v>#NAME?</v>
      </c>
      <c r="B556" s="100" t="e">
        <f ca="1">IFERROR(__xludf.DUMMYFUNCTION("""COMPUTED_VALUE"""),"NFTUSDT")</f>
        <v>#NAME?</v>
      </c>
      <c r="C556" s="100" t="e">
        <f ca="1">IFERROR(__xludf.DUMMYFUNCTION("""COMPUTED_VALUE"""),"0.0000004298")</f>
        <v>#NAME?</v>
      </c>
      <c r="D556" s="100" t="e">
        <f t="shared" ca="1" si="72"/>
        <v>#NAME?</v>
      </c>
      <c r="E556" s="100" t="e">
        <f t="shared" ca="1" si="72"/>
        <v>#NAME?</v>
      </c>
      <c r="F556" s="100" t="e">
        <f t="shared" ca="1" si="66"/>
        <v>#NAME?</v>
      </c>
      <c r="G556" s="100" t="e">
        <f t="shared" ca="1" si="67"/>
        <v>#NAME?</v>
      </c>
      <c r="H556" s="100" t="e">
        <f t="shared" ca="1" si="68"/>
        <v>#NAME?</v>
      </c>
      <c r="I556" s="100" t="e">
        <f t="shared" ca="1" si="69"/>
        <v>#NAME?</v>
      </c>
      <c r="J556" s="100" t="e">
        <f ca="1">IFERROR(__xludf.DUMMYFUNCTION("""COMPUTED_VALUE"""),"0.8699999999999999")</f>
        <v>#NAME?</v>
      </c>
      <c r="K556" s="100" t="e">
        <f t="shared" ca="1" si="70"/>
        <v>#NAME?</v>
      </c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</row>
    <row r="557" spans="1:26">
      <c r="A557" s="100" t="e">
        <f ca="1">IFERROR(__xludf.DUMMYFUNCTION("""COMPUTED_VALUE"""),12747674)</f>
        <v>#NAME?</v>
      </c>
      <c r="B557" s="100" t="e">
        <f ca="1">IFERROR(__xludf.DUMMYFUNCTION("""COMPUTED_VALUE"""),"BCUTUSDT")</f>
        <v>#NAME?</v>
      </c>
      <c r="C557" s="100" t="e">
        <f ca="1">IFERROR(__xludf.DUMMYFUNCTION("""COMPUTED_VALUE"""),"0.02139")</f>
        <v>#NAME?</v>
      </c>
      <c r="D557" s="100" t="e">
        <f t="shared" ca="1" si="72"/>
        <v>#NAME?</v>
      </c>
      <c r="E557" s="100" t="e">
        <f t="shared" ca="1" si="72"/>
        <v>#NAME?</v>
      </c>
      <c r="F557" s="100" t="e">
        <f t="shared" ca="1" si="66"/>
        <v>#NAME?</v>
      </c>
      <c r="G557" s="100" t="e">
        <f t="shared" ca="1" si="67"/>
        <v>#NAME?</v>
      </c>
      <c r="H557" s="100" t="e">
        <f t="shared" ca="1" si="68"/>
        <v>#NAME?</v>
      </c>
      <c r="I557" s="100" t="e">
        <f t="shared" ca="1" si="69"/>
        <v>#NAME?</v>
      </c>
      <c r="J557" s="100" t="e">
        <f ca="1">IFERROR(__xludf.DUMMYFUNCTION("""COMPUTED_VALUE"""),"-1.25")</f>
        <v>#NAME?</v>
      </c>
      <c r="K557" s="100" t="e">
        <f t="shared" ca="1" si="70"/>
        <v>#NAME?</v>
      </c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</row>
    <row r="558" spans="1:26">
      <c r="A558" s="100" t="e">
        <f ca="1">IFERROR(__xludf.DUMMYFUNCTION("""COMPUTED_VALUE"""),12747675)</f>
        <v>#NAME?</v>
      </c>
      <c r="B558" s="100" t="e">
        <f ca="1">IFERROR(__xludf.DUMMYFUNCTION("""COMPUTED_VALUE"""),"PARTIUSDT")</f>
        <v>#NAME?</v>
      </c>
      <c r="C558" s="100" t="e">
        <f ca="1">IFERROR(__xludf.DUMMYFUNCTION("""COMPUTED_VALUE"""),"0.17029")</f>
        <v>#NAME?</v>
      </c>
      <c r="D558" s="100" t="e">
        <f t="shared" ca="1" si="72"/>
        <v>#NAME?</v>
      </c>
      <c r="E558" s="100" t="e">
        <f t="shared" ca="1" si="72"/>
        <v>#NAME?</v>
      </c>
      <c r="F558" s="100" t="e">
        <f t="shared" ca="1" si="66"/>
        <v>#NAME?</v>
      </c>
      <c r="G558" s="100" t="e">
        <f t="shared" ca="1" si="67"/>
        <v>#NAME?</v>
      </c>
      <c r="H558" s="100" t="e">
        <f t="shared" ca="1" si="68"/>
        <v>#NAME?</v>
      </c>
      <c r="I558" s="100" t="e">
        <f t="shared" ca="1" si="69"/>
        <v>#NAME?</v>
      </c>
      <c r="J558" s="100" t="e">
        <f ca="1">IFERROR(__xludf.DUMMYFUNCTION("""COMPUTED_VALUE"""),"3.04")</f>
        <v>#NAME?</v>
      </c>
      <c r="K558" s="100" t="e">
        <f t="shared" ca="1" si="70"/>
        <v>#NAME?</v>
      </c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</row>
    <row r="559" spans="1:26">
      <c r="A559" s="100" t="e">
        <f ca="1">IFERROR(__xludf.DUMMYFUNCTION("""COMPUTED_VALUE"""),12747676)</f>
        <v>#NAME?</v>
      </c>
      <c r="B559" s="100" t="e">
        <f ca="1">IFERROR(__xludf.DUMMYFUNCTION("""COMPUTED_VALUE"""),"TIMEUSDT")</f>
        <v>#NAME?</v>
      </c>
      <c r="C559" s="100" t="e">
        <f ca="1">IFERROR(__xludf.DUMMYFUNCTION("""COMPUTED_VALUE"""),"12.005")</f>
        <v>#NAME?</v>
      </c>
      <c r="D559" s="100" t="e">
        <f t="shared" ca="1" si="72"/>
        <v>#NAME?</v>
      </c>
      <c r="E559" s="100" t="e">
        <f t="shared" ca="1" si="72"/>
        <v>#NAME?</v>
      </c>
      <c r="F559" s="100" t="e">
        <f t="shared" ca="1" si="66"/>
        <v>#NAME?</v>
      </c>
      <c r="G559" s="100" t="e">
        <f t="shared" ca="1" si="67"/>
        <v>#NAME?</v>
      </c>
      <c r="H559" s="100" t="e">
        <f t="shared" ca="1" si="68"/>
        <v>#NAME?</v>
      </c>
      <c r="I559" s="100" t="e">
        <f t="shared" ca="1" si="69"/>
        <v>#NAME?</v>
      </c>
      <c r="J559" s="100" t="e">
        <f ca="1">IFERROR(__xludf.DUMMYFUNCTION("""COMPUTED_VALUE"""),"-2.11")</f>
        <v>#NAME?</v>
      </c>
      <c r="K559" s="100" t="e">
        <f t="shared" ca="1" si="70"/>
        <v>#NAME?</v>
      </c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</row>
    <row r="560" spans="1:26">
      <c r="A560" s="100" t="e">
        <f ca="1">IFERROR(__xludf.DUMMYFUNCTION("""COMPUTED_VALUE"""),12747677)</f>
        <v>#NAME?</v>
      </c>
      <c r="B560" s="100" t="e">
        <f ca="1">IFERROR(__xludf.DUMMYFUNCTION("""COMPUTED_VALUE"""),"MCRTUSDT")</f>
        <v>#NAME?</v>
      </c>
      <c r="C560" s="100" t="e">
        <f ca="1">IFERROR(__xludf.DUMMYFUNCTION("""COMPUTED_VALUE"""),"0.0006356")</f>
        <v>#NAME?</v>
      </c>
      <c r="D560" s="100" t="e">
        <f t="shared" ca="1" si="72"/>
        <v>#NAME?</v>
      </c>
      <c r="E560" s="100" t="e">
        <f t="shared" ca="1" si="72"/>
        <v>#NAME?</v>
      </c>
      <c r="F560" s="100" t="e">
        <f t="shared" ca="1" si="66"/>
        <v>#NAME?</v>
      </c>
      <c r="G560" s="100" t="e">
        <f t="shared" ca="1" si="67"/>
        <v>#NAME?</v>
      </c>
      <c r="H560" s="100" t="e">
        <f t="shared" ca="1" si="68"/>
        <v>#NAME?</v>
      </c>
      <c r="I560" s="100" t="e">
        <f t="shared" ca="1" si="69"/>
        <v>#NAME?</v>
      </c>
      <c r="J560" s="100" t="e">
        <f ca="1">IFERROR(__xludf.DUMMYFUNCTION("""COMPUTED_VALUE"""),"1.55")</f>
        <v>#NAME?</v>
      </c>
      <c r="K560" s="100" t="e">
        <f t="shared" ca="1" si="70"/>
        <v>#NAME?</v>
      </c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</row>
    <row r="561" spans="1:26">
      <c r="A561" s="100" t="e">
        <f ca="1">IFERROR(__xludf.DUMMYFUNCTION("""COMPUTED_VALUE"""),12747678)</f>
        <v>#NAME?</v>
      </c>
      <c r="B561" s="100" t="e">
        <f ca="1">IFERROR(__xludf.DUMMYFUNCTION("""COMPUTED_VALUE"""),"AIXBTUSDT")</f>
        <v>#NAME?</v>
      </c>
      <c r="C561" s="100" t="e">
        <f ca="1">IFERROR(__xludf.DUMMYFUNCTION("""COMPUTED_VALUE"""),"0.0848")</f>
        <v>#NAME?</v>
      </c>
      <c r="D561" s="100" t="e">
        <f t="shared" ca="1" si="72"/>
        <v>#NAME?</v>
      </c>
      <c r="E561" s="100" t="e">
        <f t="shared" ca="1" si="72"/>
        <v>#NAME?</v>
      </c>
      <c r="F561" s="100" t="e">
        <f t="shared" ca="1" si="66"/>
        <v>#NAME?</v>
      </c>
      <c r="G561" s="100" t="e">
        <f t="shared" ca="1" si="67"/>
        <v>#NAME?</v>
      </c>
      <c r="H561" s="100" t="e">
        <f t="shared" ca="1" si="68"/>
        <v>#NAME?</v>
      </c>
      <c r="I561" s="100" t="e">
        <f t="shared" ca="1" si="69"/>
        <v>#NAME?</v>
      </c>
      <c r="J561" s="100" t="e">
        <f ca="1">IFERROR(__xludf.DUMMYFUNCTION("""COMPUTED_VALUE"""),"-0.59")</f>
        <v>#NAME?</v>
      </c>
      <c r="K561" s="100" t="e">
        <f t="shared" ca="1" si="70"/>
        <v>#NAME?</v>
      </c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</row>
    <row r="562" spans="1:26">
      <c r="A562" s="100" t="e">
        <f ca="1">IFERROR(__xludf.DUMMYFUNCTION("""COMPUTED_VALUE"""),12747679)</f>
        <v>#NAME?</v>
      </c>
      <c r="B562" s="100" t="e">
        <f ca="1">IFERROR(__xludf.DUMMYFUNCTION("""COMPUTED_VALUE"""),"PPTUSDT")</f>
        <v>#NAME?</v>
      </c>
      <c r="C562" s="100" t="e">
        <f ca="1">IFERROR(__xludf.DUMMYFUNCTION("""COMPUTED_VALUE"""),"0.17905")</f>
        <v>#NAME?</v>
      </c>
      <c r="D562" s="100" t="e">
        <f t="shared" ref="D562:E581" ca="1" si="73">IFERROR(__xludf.DUMMYFUNCTION("""COMPUTED_VALUE"""),"-")</f>
        <v>#NAME?</v>
      </c>
      <c r="E562" s="100" t="e">
        <f t="shared" ca="1" si="73"/>
        <v>#NAME?</v>
      </c>
      <c r="F562" s="100" t="e">
        <f t="shared" ca="1" si="66"/>
        <v>#NAME?</v>
      </c>
      <c r="G562" s="100" t="e">
        <f t="shared" ca="1" si="67"/>
        <v>#NAME?</v>
      </c>
      <c r="H562" s="100" t="e">
        <f t="shared" ca="1" si="68"/>
        <v>#NAME?</v>
      </c>
      <c r="I562" s="100" t="e">
        <f t="shared" ca="1" si="69"/>
        <v>#NAME?</v>
      </c>
      <c r="J562" s="100" t="e">
        <f ca="1">IFERROR(__xludf.DUMMYFUNCTION("""COMPUTED_VALUE"""),"-7.91")</f>
        <v>#NAME?</v>
      </c>
      <c r="K562" s="100" t="e">
        <f t="shared" ca="1" si="70"/>
        <v>#NAME?</v>
      </c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</row>
    <row r="563" spans="1:26">
      <c r="A563" s="100" t="e">
        <f ca="1">IFERROR(__xludf.DUMMYFUNCTION("""COMPUTED_VALUE"""),12747680)</f>
        <v>#NAME?</v>
      </c>
      <c r="B563" s="100" t="e">
        <f ca="1">IFERROR(__xludf.DUMMYFUNCTION("""COMPUTED_VALUE"""),"EOSUSDC")</f>
        <v>#NAME?</v>
      </c>
      <c r="C563" s="100" t="e">
        <f ca="1">IFERROR(__xludf.DUMMYFUNCTION("""COMPUTED_VALUE"""),"0.6337")</f>
        <v>#NAME?</v>
      </c>
      <c r="D563" s="100" t="e">
        <f t="shared" ca="1" si="73"/>
        <v>#NAME?</v>
      </c>
      <c r="E563" s="100" t="e">
        <f t="shared" ca="1" si="73"/>
        <v>#NAME?</v>
      </c>
      <c r="F563" s="100" t="e">
        <f t="shared" ca="1" si="66"/>
        <v>#NAME?</v>
      </c>
      <c r="G563" s="100" t="e">
        <f t="shared" ca="1" si="67"/>
        <v>#NAME?</v>
      </c>
      <c r="H563" s="100" t="e">
        <f t="shared" ca="1" si="68"/>
        <v>#NAME?</v>
      </c>
      <c r="I563" s="100" t="e">
        <f t="shared" ca="1" si="69"/>
        <v>#NAME?</v>
      </c>
      <c r="J563" s="100" t="e">
        <f ca="1">IFERROR(__xludf.DUMMYFUNCTION("""COMPUTED_VALUE"""),"-2.7")</f>
        <v>#NAME?</v>
      </c>
      <c r="K563" s="100" t="e">
        <f t="shared" ca="1" si="70"/>
        <v>#NAME?</v>
      </c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</row>
    <row r="564" spans="1:26">
      <c r="A564" s="100" t="e">
        <f ca="1">IFERROR(__xludf.DUMMYFUNCTION("""COMPUTED_VALUE"""),12747681)</f>
        <v>#NAME?</v>
      </c>
      <c r="B564" s="100" t="e">
        <f ca="1">IFERROR(__xludf.DUMMYFUNCTION("""COMPUTED_VALUE"""),"METHETH")</f>
        <v>#NAME?</v>
      </c>
      <c r="C564" s="100" t="e">
        <f ca="1">IFERROR(__xludf.DUMMYFUNCTION("""COMPUTED_VALUE"""),"1.063")</f>
        <v>#NAME?</v>
      </c>
      <c r="D564" s="100" t="e">
        <f t="shared" ca="1" si="73"/>
        <v>#NAME?</v>
      </c>
      <c r="E564" s="100" t="e">
        <f t="shared" ca="1" si="73"/>
        <v>#NAME?</v>
      </c>
      <c r="F564" s="100" t="e">
        <f t="shared" ca="1" si="66"/>
        <v>#NAME?</v>
      </c>
      <c r="G564" s="100" t="e">
        <f t="shared" ca="1" si="67"/>
        <v>#NAME?</v>
      </c>
      <c r="H564" s="100" t="e">
        <f t="shared" ca="1" si="68"/>
        <v>#NAME?</v>
      </c>
      <c r="I564" s="100" t="e">
        <f t="shared" ca="1" si="69"/>
        <v>#NAME?</v>
      </c>
      <c r="J564" s="100" t="e">
        <f ca="1">IFERROR(__xludf.DUMMYFUNCTION("""COMPUTED_VALUE"""),"0.08")</f>
        <v>#NAME?</v>
      </c>
      <c r="K564" s="100" t="e">
        <f t="shared" ca="1" si="70"/>
        <v>#NAME?</v>
      </c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</row>
    <row r="565" spans="1:26">
      <c r="A565" s="100" t="e">
        <f ca="1">IFERROR(__xludf.DUMMYFUNCTION("""COMPUTED_VALUE"""),12747682)</f>
        <v>#NAME?</v>
      </c>
      <c r="B565" s="100" t="e">
        <f ca="1">IFERROR(__xludf.DUMMYFUNCTION("""COMPUTED_VALUE"""),"CLOUDUSDT")</f>
        <v>#NAME?</v>
      </c>
      <c r="C565" s="100" t="e">
        <f ca="1">IFERROR(__xludf.DUMMYFUNCTION("""COMPUTED_VALUE"""),"0.07546")</f>
        <v>#NAME?</v>
      </c>
      <c r="D565" s="100" t="e">
        <f t="shared" ca="1" si="73"/>
        <v>#NAME?</v>
      </c>
      <c r="E565" s="100" t="e">
        <f t="shared" ca="1" si="73"/>
        <v>#NAME?</v>
      </c>
      <c r="F565" s="100" t="e">
        <f t="shared" ca="1" si="66"/>
        <v>#NAME?</v>
      </c>
      <c r="G565" s="100" t="e">
        <f t="shared" ca="1" si="67"/>
        <v>#NAME?</v>
      </c>
      <c r="H565" s="100" t="e">
        <f t="shared" ca="1" si="68"/>
        <v>#NAME?</v>
      </c>
      <c r="I565" s="100" t="e">
        <f t="shared" ca="1" si="69"/>
        <v>#NAME?</v>
      </c>
      <c r="J565" s="100" t="e">
        <f ca="1">IFERROR(__xludf.DUMMYFUNCTION("""COMPUTED_VALUE"""),"-0.65")</f>
        <v>#NAME?</v>
      </c>
      <c r="K565" s="100" t="e">
        <f t="shared" ca="1" si="70"/>
        <v>#NAME?</v>
      </c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</row>
    <row r="566" spans="1:26">
      <c r="A566" s="100" t="e">
        <f ca="1">IFERROR(__xludf.DUMMYFUNCTION("""COMPUTED_VALUE"""),12747683)</f>
        <v>#NAME?</v>
      </c>
      <c r="B566" s="100" t="e">
        <f ca="1">IFERROR(__xludf.DUMMYFUNCTION("""COMPUTED_VALUE"""),"CITYUSDT")</f>
        <v>#NAME?</v>
      </c>
      <c r="C566" s="100" t="e">
        <f ca="1">IFERROR(__xludf.DUMMYFUNCTION("""COMPUTED_VALUE"""),"1.0309")</f>
        <v>#NAME?</v>
      </c>
      <c r="D566" s="100" t="e">
        <f t="shared" ca="1" si="73"/>
        <v>#NAME?</v>
      </c>
      <c r="E566" s="100" t="e">
        <f t="shared" ca="1" si="73"/>
        <v>#NAME?</v>
      </c>
      <c r="F566" s="100" t="e">
        <f t="shared" ca="1" si="66"/>
        <v>#NAME?</v>
      </c>
      <c r="G566" s="100" t="e">
        <f t="shared" ca="1" si="67"/>
        <v>#NAME?</v>
      </c>
      <c r="H566" s="100" t="e">
        <f t="shared" ca="1" si="68"/>
        <v>#NAME?</v>
      </c>
      <c r="I566" s="100" t="e">
        <f t="shared" ca="1" si="69"/>
        <v>#NAME?</v>
      </c>
      <c r="J566" s="100" t="e">
        <f ca="1">IFERROR(__xludf.DUMMYFUNCTION("""COMPUTED_VALUE"""),"3.06")</f>
        <v>#NAME?</v>
      </c>
      <c r="K566" s="100" t="e">
        <f t="shared" ca="1" si="70"/>
        <v>#NAME?</v>
      </c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</row>
    <row r="567" spans="1:26">
      <c r="A567" s="100" t="e">
        <f ca="1">IFERROR(__xludf.DUMMYFUNCTION("""COMPUTED_VALUE"""),12747684)</f>
        <v>#NAME?</v>
      </c>
      <c r="B567" s="100" t="e">
        <f ca="1">IFERROR(__xludf.DUMMYFUNCTION("""COMPUTED_VALUE"""),"AVAXUSDC")</f>
        <v>#NAME?</v>
      </c>
      <c r="C567" s="100" t="e">
        <f ca="1">IFERROR(__xludf.DUMMYFUNCTION("""COMPUTED_VALUE"""),"20.17")</f>
        <v>#NAME?</v>
      </c>
      <c r="D567" s="100" t="e">
        <f t="shared" ca="1" si="73"/>
        <v>#NAME?</v>
      </c>
      <c r="E567" s="100" t="e">
        <f t="shared" ca="1" si="73"/>
        <v>#NAME?</v>
      </c>
      <c r="F567" s="100" t="e">
        <f t="shared" ca="1" si="66"/>
        <v>#NAME?</v>
      </c>
      <c r="G567" s="100" t="e">
        <f t="shared" ca="1" si="67"/>
        <v>#NAME?</v>
      </c>
      <c r="H567" s="100" t="e">
        <f t="shared" ca="1" si="68"/>
        <v>#NAME?</v>
      </c>
      <c r="I567" s="100" t="e">
        <f t="shared" ca="1" si="69"/>
        <v>#NAME?</v>
      </c>
      <c r="J567" s="100" t="e">
        <f ca="1">IFERROR(__xludf.DUMMYFUNCTION("""COMPUTED_VALUE"""),"-2.2800000000000002")</f>
        <v>#NAME?</v>
      </c>
      <c r="K567" s="100" t="e">
        <f t="shared" ca="1" si="70"/>
        <v>#NAME?</v>
      </c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</row>
    <row r="568" spans="1:26">
      <c r="A568" s="100" t="e">
        <f ca="1">IFERROR(__xludf.DUMMYFUNCTION("""COMPUTED_VALUE"""),12747685)</f>
        <v>#NAME?</v>
      </c>
      <c r="B568" s="100" t="e">
        <f ca="1">IFERROR(__xludf.DUMMYFUNCTION("""COMPUTED_VALUE"""),"BTC3LUSDT")</f>
        <v>#NAME?</v>
      </c>
      <c r="C568" s="100" t="e">
        <f ca="1">IFERROR(__xludf.DUMMYFUNCTION("""COMPUTED_VALUE"""),"4.4375")</f>
        <v>#NAME?</v>
      </c>
      <c r="D568" s="100" t="e">
        <f t="shared" ca="1" si="73"/>
        <v>#NAME?</v>
      </c>
      <c r="E568" s="100" t="e">
        <f t="shared" ca="1" si="73"/>
        <v>#NAME?</v>
      </c>
      <c r="F568" s="100" t="e">
        <f t="shared" ca="1" si="66"/>
        <v>#NAME?</v>
      </c>
      <c r="G568" s="100" t="e">
        <f t="shared" ca="1" si="67"/>
        <v>#NAME?</v>
      </c>
      <c r="H568" s="100" t="e">
        <f t="shared" ca="1" si="68"/>
        <v>#NAME?</v>
      </c>
      <c r="I568" s="100" t="e">
        <f t="shared" ca="1" si="69"/>
        <v>#NAME?</v>
      </c>
      <c r="J568" s="100" t="e">
        <f ca="1">IFERROR(__xludf.DUMMYFUNCTION("""COMPUTED_VALUE"""),"3.02")</f>
        <v>#NAME?</v>
      </c>
      <c r="K568" s="100" t="e">
        <f t="shared" ca="1" si="70"/>
        <v>#NAME?</v>
      </c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</row>
    <row r="569" spans="1:26">
      <c r="A569" s="100" t="e">
        <f ca="1">IFERROR(__xludf.DUMMYFUNCTION("""COMPUTED_VALUE"""),12747686)</f>
        <v>#NAME?</v>
      </c>
      <c r="B569" s="100" t="e">
        <f ca="1">IFERROR(__xludf.DUMMYFUNCTION("""COMPUTED_VALUE"""),"BNBUSDT")</f>
        <v>#NAME?</v>
      </c>
      <c r="C569" s="100" t="e">
        <f ca="1">IFERROR(__xludf.DUMMYFUNCTION("""COMPUTED_VALUE"""),"606.1")</f>
        <v>#NAME?</v>
      </c>
      <c r="D569" s="100" t="e">
        <f t="shared" ca="1" si="73"/>
        <v>#NAME?</v>
      </c>
      <c r="E569" s="100" t="e">
        <f t="shared" ca="1" si="73"/>
        <v>#NAME?</v>
      </c>
      <c r="F569" s="100" t="e">
        <f t="shared" ca="1" si="66"/>
        <v>#NAME?</v>
      </c>
      <c r="G569" s="100" t="e">
        <f t="shared" ca="1" si="67"/>
        <v>#NAME?</v>
      </c>
      <c r="H569" s="100" t="e">
        <f t="shared" ca="1" si="68"/>
        <v>#NAME?</v>
      </c>
      <c r="I569" s="100" t="e">
        <f t="shared" ca="1" si="69"/>
        <v>#NAME?</v>
      </c>
      <c r="J569" s="100" t="e">
        <f ca="1">IFERROR(__xludf.DUMMYFUNCTION("""COMPUTED_VALUE"""),"0.27999999999999997")</f>
        <v>#NAME?</v>
      </c>
      <c r="K569" s="100" t="e">
        <f t="shared" ca="1" si="70"/>
        <v>#NAME?</v>
      </c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</row>
    <row r="570" spans="1:26">
      <c r="A570" s="100" t="e">
        <f ca="1">IFERROR(__xludf.DUMMYFUNCTION("""COMPUTED_VALUE"""),12747687)</f>
        <v>#NAME?</v>
      </c>
      <c r="B570" s="100" t="e">
        <f ca="1">IFERROR(__xludf.DUMMYFUNCTION("""COMPUTED_VALUE"""),"MEMEFIUSDT")</f>
        <v>#NAME?</v>
      </c>
      <c r="C570" s="100" t="e">
        <f ca="1">IFERROR(__xludf.DUMMYFUNCTION("""COMPUTED_VALUE"""),"0.000752")</f>
        <v>#NAME?</v>
      </c>
      <c r="D570" s="100" t="e">
        <f t="shared" ca="1" si="73"/>
        <v>#NAME?</v>
      </c>
      <c r="E570" s="100" t="e">
        <f t="shared" ca="1" si="73"/>
        <v>#NAME?</v>
      </c>
      <c r="F570" s="100" t="e">
        <f t="shared" ca="1" si="66"/>
        <v>#NAME?</v>
      </c>
      <c r="G570" s="100" t="e">
        <f t="shared" ca="1" si="67"/>
        <v>#NAME?</v>
      </c>
      <c r="H570" s="100" t="e">
        <f t="shared" ca="1" si="68"/>
        <v>#NAME?</v>
      </c>
      <c r="I570" s="100" t="e">
        <f t="shared" ca="1" si="69"/>
        <v>#NAME?</v>
      </c>
      <c r="J570" s="100" t="e">
        <f ca="1">IFERROR(__xludf.DUMMYFUNCTION("""COMPUTED_VALUE"""),"-0.4")</f>
        <v>#NAME?</v>
      </c>
      <c r="K570" s="100" t="e">
        <f t="shared" ca="1" si="70"/>
        <v>#NAME?</v>
      </c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</row>
    <row r="571" spans="1:26">
      <c r="A571" s="100" t="e">
        <f ca="1">IFERROR(__xludf.DUMMYFUNCTION("""COMPUTED_VALUE"""),12747688)</f>
        <v>#NAME?</v>
      </c>
      <c r="B571" s="100" t="e">
        <f ca="1">IFERROR(__xludf.DUMMYFUNCTION("""COMPUTED_VALUE"""),"FUSDT")</f>
        <v>#NAME?</v>
      </c>
      <c r="C571" s="100" t="e">
        <f ca="1">IFERROR(__xludf.DUMMYFUNCTION("""COMPUTED_VALUE"""),"0.01144")</f>
        <v>#NAME?</v>
      </c>
      <c r="D571" s="100" t="e">
        <f t="shared" ca="1" si="73"/>
        <v>#NAME?</v>
      </c>
      <c r="E571" s="100" t="e">
        <f t="shared" ca="1" si="73"/>
        <v>#NAME?</v>
      </c>
      <c r="F571" s="100" t="e">
        <f t="shared" ca="1" si="66"/>
        <v>#NAME?</v>
      </c>
      <c r="G571" s="100" t="e">
        <f t="shared" ca="1" si="67"/>
        <v>#NAME?</v>
      </c>
      <c r="H571" s="100" t="e">
        <f t="shared" ca="1" si="68"/>
        <v>#NAME?</v>
      </c>
      <c r="I571" s="100" t="e">
        <f t="shared" ca="1" si="69"/>
        <v>#NAME?</v>
      </c>
      <c r="J571" s="100" t="e">
        <f ca="1">IFERROR(__xludf.DUMMYFUNCTION("""COMPUTED_VALUE"""),"-1.97")</f>
        <v>#NAME?</v>
      </c>
      <c r="K571" s="100" t="e">
        <f t="shared" ca="1" si="70"/>
        <v>#NAME?</v>
      </c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</row>
    <row r="572" spans="1:26">
      <c r="A572" s="100" t="e">
        <f ca="1">IFERROR(__xludf.DUMMYFUNCTION("""COMPUTED_VALUE"""),12747689)</f>
        <v>#NAME?</v>
      </c>
      <c r="B572" s="100" t="e">
        <f ca="1">IFERROR(__xludf.DUMMYFUNCTION("""COMPUTED_VALUE"""),"MINAUSDT")</f>
        <v>#NAME?</v>
      </c>
      <c r="C572" s="100" t="e">
        <f ca="1">IFERROR(__xludf.DUMMYFUNCTION("""COMPUTED_VALUE"""),"0.2193")</f>
        <v>#NAME?</v>
      </c>
      <c r="D572" s="100" t="e">
        <f t="shared" ca="1" si="73"/>
        <v>#NAME?</v>
      </c>
      <c r="E572" s="100" t="e">
        <f t="shared" ca="1" si="73"/>
        <v>#NAME?</v>
      </c>
      <c r="F572" s="100" t="e">
        <f t="shared" ca="1" si="66"/>
        <v>#NAME?</v>
      </c>
      <c r="G572" s="100" t="e">
        <f t="shared" ca="1" si="67"/>
        <v>#NAME?</v>
      </c>
      <c r="H572" s="100" t="e">
        <f t="shared" ca="1" si="68"/>
        <v>#NAME?</v>
      </c>
      <c r="I572" s="100" t="e">
        <f t="shared" ca="1" si="69"/>
        <v>#NAME?</v>
      </c>
      <c r="J572" s="100" t="e">
        <f ca="1">IFERROR(__xludf.DUMMYFUNCTION("""COMPUTED_VALUE"""),"-1.6199999999999999")</f>
        <v>#NAME?</v>
      </c>
      <c r="K572" s="100" t="e">
        <f t="shared" ca="1" si="70"/>
        <v>#NAME?</v>
      </c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</row>
    <row r="573" spans="1:26">
      <c r="A573" s="100" t="e">
        <f ca="1">IFERROR(__xludf.DUMMYFUNCTION("""COMPUTED_VALUE"""),12747690)</f>
        <v>#NAME?</v>
      </c>
      <c r="B573" s="100" t="e">
        <f ca="1">IFERROR(__xludf.DUMMYFUNCTION("""COMPUTED_VALUE"""),"PUFFERUSDT")</f>
        <v>#NAME?</v>
      </c>
      <c r="C573" s="100" t="e">
        <f ca="1">IFERROR(__xludf.DUMMYFUNCTION("""COMPUTED_VALUE"""),"0.1678")</f>
        <v>#NAME?</v>
      </c>
      <c r="D573" s="100" t="e">
        <f t="shared" ca="1" si="73"/>
        <v>#NAME?</v>
      </c>
      <c r="E573" s="100" t="e">
        <f t="shared" ca="1" si="73"/>
        <v>#NAME?</v>
      </c>
      <c r="F573" s="100" t="e">
        <f t="shared" ca="1" si="66"/>
        <v>#NAME?</v>
      </c>
      <c r="G573" s="100" t="e">
        <f t="shared" ca="1" si="67"/>
        <v>#NAME?</v>
      </c>
      <c r="H573" s="100" t="e">
        <f t="shared" ca="1" si="68"/>
        <v>#NAME?</v>
      </c>
      <c r="I573" s="100" t="e">
        <f t="shared" ca="1" si="69"/>
        <v>#NAME?</v>
      </c>
      <c r="J573" s="100" t="e">
        <f ca="1">IFERROR(__xludf.DUMMYFUNCTION("""COMPUTED_VALUE"""),"-2.16")</f>
        <v>#NAME?</v>
      </c>
      <c r="K573" s="100" t="e">
        <f t="shared" ca="1" si="70"/>
        <v>#NAME?</v>
      </c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</row>
    <row r="574" spans="1:26">
      <c r="A574" s="100" t="e">
        <f ca="1">IFERROR(__xludf.DUMMYFUNCTION("""COMPUTED_VALUE"""),12747691)</f>
        <v>#NAME?</v>
      </c>
      <c r="B574" s="100" t="e">
        <f ca="1">IFERROR(__xludf.DUMMYFUNCTION("""COMPUTED_VALUE"""),"INSPUSDT")</f>
        <v>#NAME?</v>
      </c>
      <c r="C574" s="100" t="e">
        <f ca="1">IFERROR(__xludf.DUMMYFUNCTION("""COMPUTED_VALUE"""),"0.006721")</f>
        <v>#NAME?</v>
      </c>
      <c r="D574" s="100" t="e">
        <f t="shared" ca="1" si="73"/>
        <v>#NAME?</v>
      </c>
      <c r="E574" s="100" t="e">
        <f t="shared" ca="1" si="73"/>
        <v>#NAME?</v>
      </c>
      <c r="F574" s="100" t="e">
        <f t="shared" ca="1" si="66"/>
        <v>#NAME?</v>
      </c>
      <c r="G574" s="100" t="e">
        <f t="shared" ca="1" si="67"/>
        <v>#NAME?</v>
      </c>
      <c r="H574" s="100" t="e">
        <f t="shared" ca="1" si="68"/>
        <v>#NAME?</v>
      </c>
      <c r="I574" s="100" t="e">
        <f t="shared" ca="1" si="69"/>
        <v>#NAME?</v>
      </c>
      <c r="J574" s="100" t="e">
        <f ca="1">IFERROR(__xludf.DUMMYFUNCTION("""COMPUTED_VALUE"""),"-1.39")</f>
        <v>#NAME?</v>
      </c>
      <c r="K574" s="100" t="e">
        <f t="shared" ca="1" si="70"/>
        <v>#NAME?</v>
      </c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</row>
    <row r="575" spans="1:26">
      <c r="A575" s="100" t="e">
        <f ca="1">IFERROR(__xludf.DUMMYFUNCTION("""COMPUTED_VALUE"""),12747692)</f>
        <v>#NAME?</v>
      </c>
      <c r="B575" s="100" t="e">
        <f ca="1">IFERROR(__xludf.DUMMYFUNCTION("""COMPUTED_VALUE"""),"SUPRAUSDT")</f>
        <v>#NAME?</v>
      </c>
      <c r="C575" s="100" t="e">
        <f ca="1">IFERROR(__xludf.DUMMYFUNCTION("""COMPUTED_VALUE"""),"0.00449")</f>
        <v>#NAME?</v>
      </c>
      <c r="D575" s="100" t="e">
        <f t="shared" ca="1" si="73"/>
        <v>#NAME?</v>
      </c>
      <c r="E575" s="100" t="e">
        <f t="shared" ca="1" si="73"/>
        <v>#NAME?</v>
      </c>
      <c r="F575" s="100" t="e">
        <f t="shared" ca="1" si="66"/>
        <v>#NAME?</v>
      </c>
      <c r="G575" s="100" t="e">
        <f t="shared" ca="1" si="67"/>
        <v>#NAME?</v>
      </c>
      <c r="H575" s="100" t="e">
        <f t="shared" ca="1" si="68"/>
        <v>#NAME?</v>
      </c>
      <c r="I575" s="100" t="e">
        <f t="shared" ca="1" si="69"/>
        <v>#NAME?</v>
      </c>
      <c r="J575" s="100" t="e">
        <f ca="1">IFERROR(__xludf.DUMMYFUNCTION("""COMPUTED_VALUE"""),"-3.65")</f>
        <v>#NAME?</v>
      </c>
      <c r="K575" s="100" t="e">
        <f t="shared" ca="1" si="70"/>
        <v>#NAME?</v>
      </c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</row>
    <row r="576" spans="1:26">
      <c r="A576" s="100" t="e">
        <f ca="1">IFERROR(__xludf.DUMMYFUNCTION("""COMPUTED_VALUE"""),12747693)</f>
        <v>#NAME?</v>
      </c>
      <c r="B576" s="100" t="e">
        <f ca="1">IFERROR(__xludf.DUMMYFUNCTION("""COMPUTED_VALUE"""),"N3USDT")</f>
        <v>#NAME?</v>
      </c>
      <c r="C576" s="100" t="e">
        <f ca="1">IFERROR(__xludf.DUMMYFUNCTION("""COMPUTED_VALUE"""),"0.00184")</f>
        <v>#NAME?</v>
      </c>
      <c r="D576" s="100" t="e">
        <f t="shared" ca="1" si="73"/>
        <v>#NAME?</v>
      </c>
      <c r="E576" s="100" t="e">
        <f t="shared" ca="1" si="73"/>
        <v>#NAME?</v>
      </c>
      <c r="F576" s="100" t="e">
        <f t="shared" ca="1" si="66"/>
        <v>#NAME?</v>
      </c>
      <c r="G576" s="100" t="e">
        <f t="shared" ca="1" si="67"/>
        <v>#NAME?</v>
      </c>
      <c r="H576" s="100" t="e">
        <f t="shared" ca="1" si="68"/>
        <v>#NAME?</v>
      </c>
      <c r="I576" s="100" t="e">
        <f t="shared" ca="1" si="69"/>
        <v>#NAME?</v>
      </c>
      <c r="J576" s="100" t="e">
        <f ca="1">IFERROR(__xludf.DUMMYFUNCTION("""COMPUTED_VALUE"""),"-3.66")</f>
        <v>#NAME?</v>
      </c>
      <c r="K576" s="100" t="e">
        <f t="shared" ca="1" si="70"/>
        <v>#NAME?</v>
      </c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</row>
    <row r="577" spans="1:26">
      <c r="A577" s="100" t="e">
        <f ca="1">IFERROR(__xludf.DUMMYFUNCTION("""COMPUTED_VALUE"""),12747694)</f>
        <v>#NAME?</v>
      </c>
      <c r="B577" s="100" t="e">
        <f ca="1">IFERROR(__xludf.DUMMYFUNCTION("""COMPUTED_VALUE"""),"VINUUSDT")</f>
        <v>#NAME?</v>
      </c>
      <c r="C577" s="100" t="e">
        <f ca="1">IFERROR(__xludf.DUMMYFUNCTION("""COMPUTED_VALUE"""),"0.000000010872")</f>
        <v>#NAME?</v>
      </c>
      <c r="D577" s="100" t="e">
        <f t="shared" ca="1" si="73"/>
        <v>#NAME?</v>
      </c>
      <c r="E577" s="100" t="e">
        <f t="shared" ca="1" si="73"/>
        <v>#NAME?</v>
      </c>
      <c r="F577" s="100" t="e">
        <f t="shared" ca="1" si="66"/>
        <v>#NAME?</v>
      </c>
      <c r="G577" s="100" t="e">
        <f t="shared" ca="1" si="67"/>
        <v>#NAME?</v>
      </c>
      <c r="H577" s="100" t="e">
        <f t="shared" ca="1" si="68"/>
        <v>#NAME?</v>
      </c>
      <c r="I577" s="100" t="e">
        <f t="shared" ca="1" si="69"/>
        <v>#NAME?</v>
      </c>
      <c r="J577" s="100" t="e">
        <f ca="1">IFERROR(__xludf.DUMMYFUNCTION("""COMPUTED_VALUE"""),"-0.06")</f>
        <v>#NAME?</v>
      </c>
      <c r="K577" s="100" t="e">
        <f t="shared" ca="1" si="70"/>
        <v>#NAME?</v>
      </c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</row>
    <row r="578" spans="1:26">
      <c r="A578" s="100" t="e">
        <f ca="1">IFERROR(__xludf.DUMMYFUNCTION("""COMPUTED_VALUE"""),12747695)</f>
        <v>#NAME?</v>
      </c>
      <c r="B578" s="100" t="e">
        <f ca="1">IFERROR(__xludf.DUMMYFUNCTION("""COMPUTED_VALUE"""),"APPUSDT")</f>
        <v>#NAME?</v>
      </c>
      <c r="C578" s="100" t="e">
        <f ca="1">IFERROR(__xludf.DUMMYFUNCTION("""COMPUTED_VALUE"""),"0.00367")</f>
        <v>#NAME?</v>
      </c>
      <c r="D578" s="100" t="e">
        <f t="shared" ca="1" si="73"/>
        <v>#NAME?</v>
      </c>
      <c r="E578" s="100" t="e">
        <f t="shared" ca="1" si="73"/>
        <v>#NAME?</v>
      </c>
      <c r="F578" s="100" t="e">
        <f t="shared" ref="F578:F631" ca="1" si="74">IFERROR(__xludf.DUMMYFUNCTION("""COMPUTED_VALUE"""),20200)</f>
        <v>#NAME?</v>
      </c>
      <c r="G578" s="100" t="e">
        <f t="shared" ref="G578:G638" ca="1" si="75">IFERROR(__xludf.DUMMYFUNCTION("""COMPUTED_VALUE"""),2885)</f>
        <v>#NAME?</v>
      </c>
      <c r="H578" s="100" t="e">
        <f t="shared" ref="H578:H641" ca="1" si="76">IFERROR(__xludf.DUMMYFUNCTION("""COMPUTED_VALUE"""),663)</f>
        <v>#NAME?</v>
      </c>
      <c r="I578" s="100" t="e">
        <f t="shared" ref="I578:I631" ca="1" si="77">IFERROR(__xludf.DUMMYFUNCTION("""COMPUTED_VALUE"""),5817721)</f>
        <v>#NAME?</v>
      </c>
      <c r="J578" s="100" t="e">
        <f ca="1">IFERROR(__xludf.DUMMYFUNCTION("""COMPUTED_VALUE"""),"1.02")</f>
        <v>#NAME?</v>
      </c>
      <c r="K578" s="100" t="e">
        <f t="shared" ref="K578:K631" ca="1" si="78">IFERROR(__xludf.DUMMYFUNCTION("""COMPUTED_VALUE"""),"22.04.2025 13:05:01")</f>
        <v>#NAME?</v>
      </c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</row>
    <row r="579" spans="1:26">
      <c r="A579" s="100" t="e">
        <f ca="1">IFERROR(__xludf.DUMMYFUNCTION("""COMPUTED_VALUE"""),12747696)</f>
        <v>#NAME?</v>
      </c>
      <c r="B579" s="100" t="e">
        <f ca="1">IFERROR(__xludf.DUMMYFUNCTION("""COMPUTED_VALUE"""),"CBKUSDT")</f>
        <v>#NAME?</v>
      </c>
      <c r="C579" s="100" t="e">
        <f ca="1">IFERROR(__xludf.DUMMYFUNCTION("""COMPUTED_VALUE"""),"0.5237")</f>
        <v>#NAME?</v>
      </c>
      <c r="D579" s="100" t="e">
        <f t="shared" ca="1" si="73"/>
        <v>#NAME?</v>
      </c>
      <c r="E579" s="100" t="e">
        <f t="shared" ca="1" si="73"/>
        <v>#NAME?</v>
      </c>
      <c r="F579" s="100" t="e">
        <f t="shared" ca="1" si="74"/>
        <v>#NAME?</v>
      </c>
      <c r="G579" s="100" t="e">
        <f t="shared" ca="1" si="75"/>
        <v>#NAME?</v>
      </c>
      <c r="H579" s="100" t="e">
        <f t="shared" ca="1" si="76"/>
        <v>#NAME?</v>
      </c>
      <c r="I579" s="100" t="e">
        <f t="shared" ca="1" si="77"/>
        <v>#NAME?</v>
      </c>
      <c r="J579" s="100" t="e">
        <f ca="1">IFERROR(__xludf.DUMMYFUNCTION("""COMPUTED_VALUE"""),"-1.34")</f>
        <v>#NAME?</v>
      </c>
      <c r="K579" s="100" t="e">
        <f t="shared" ca="1" si="78"/>
        <v>#NAME?</v>
      </c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</row>
    <row r="580" spans="1:26">
      <c r="A580" s="100" t="e">
        <f ca="1">IFERROR(__xludf.DUMMYFUNCTION("""COMPUTED_VALUE"""),12747697)</f>
        <v>#NAME?</v>
      </c>
      <c r="B580" s="100" t="e">
        <f ca="1">IFERROR(__xludf.DUMMYFUNCTION("""COMPUTED_VALUE"""),"TRUMPUSDT")</f>
        <v>#NAME?</v>
      </c>
      <c r="C580" s="100" t="e">
        <f ca="1">IFERROR(__xludf.DUMMYFUNCTION("""COMPUTED_VALUE"""),"8.54")</f>
        <v>#NAME?</v>
      </c>
      <c r="D580" s="100" t="e">
        <f t="shared" ca="1" si="73"/>
        <v>#NAME?</v>
      </c>
      <c r="E580" s="100" t="e">
        <f t="shared" ca="1" si="73"/>
        <v>#NAME?</v>
      </c>
      <c r="F580" s="100" t="e">
        <f t="shared" ca="1" si="74"/>
        <v>#NAME?</v>
      </c>
      <c r="G580" s="100" t="e">
        <f t="shared" ca="1" si="75"/>
        <v>#NAME?</v>
      </c>
      <c r="H580" s="100" t="e">
        <f t="shared" ca="1" si="76"/>
        <v>#NAME?</v>
      </c>
      <c r="I580" s="100" t="e">
        <f t="shared" ca="1" si="77"/>
        <v>#NAME?</v>
      </c>
      <c r="J580" s="100" t="e">
        <f ca="1">IFERROR(__xludf.DUMMYFUNCTION("""COMPUTED_VALUE"""),"3.7699999999999996")</f>
        <v>#NAME?</v>
      </c>
      <c r="K580" s="100" t="e">
        <f t="shared" ca="1" si="78"/>
        <v>#NAME?</v>
      </c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</row>
    <row r="581" spans="1:26">
      <c r="A581" s="100" t="e">
        <f ca="1">IFERROR(__xludf.DUMMYFUNCTION("""COMPUTED_VALUE"""),12747698)</f>
        <v>#NAME?</v>
      </c>
      <c r="B581" s="100" t="e">
        <f ca="1">IFERROR(__xludf.DUMMYFUNCTION("""COMPUTED_VALUE"""),"ELDAUSDT")</f>
        <v>#NAME?</v>
      </c>
      <c r="C581" s="100" t="e">
        <f ca="1">IFERROR(__xludf.DUMMYFUNCTION("""COMPUTED_VALUE"""),"0.001671")</f>
        <v>#NAME?</v>
      </c>
      <c r="D581" s="100" t="e">
        <f t="shared" ca="1" si="73"/>
        <v>#NAME?</v>
      </c>
      <c r="E581" s="100" t="e">
        <f t="shared" ca="1" si="73"/>
        <v>#NAME?</v>
      </c>
      <c r="F581" s="100" t="e">
        <f t="shared" ca="1" si="74"/>
        <v>#NAME?</v>
      </c>
      <c r="G581" s="100" t="e">
        <f t="shared" ca="1" si="75"/>
        <v>#NAME?</v>
      </c>
      <c r="H581" s="100" t="e">
        <f t="shared" ca="1" si="76"/>
        <v>#NAME?</v>
      </c>
      <c r="I581" s="100" t="e">
        <f t="shared" ca="1" si="77"/>
        <v>#NAME?</v>
      </c>
      <c r="J581" s="100" t="e">
        <f ca="1">IFERROR(__xludf.DUMMYFUNCTION("""COMPUTED_VALUE"""),"-5.54")</f>
        <v>#NAME?</v>
      </c>
      <c r="K581" s="100" t="e">
        <f t="shared" ca="1" si="78"/>
        <v>#NAME?</v>
      </c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</row>
    <row r="582" spans="1:26">
      <c r="A582" s="100" t="e">
        <f ca="1">IFERROR(__xludf.DUMMYFUNCTION("""COMPUTED_VALUE"""),12747699)</f>
        <v>#NAME?</v>
      </c>
      <c r="B582" s="100" t="e">
        <f ca="1">IFERROR(__xludf.DUMMYFUNCTION("""COMPUTED_VALUE"""),"NEIROUSDT")</f>
        <v>#NAME?</v>
      </c>
      <c r="C582" s="100" t="e">
        <f ca="1">IFERROR(__xludf.DUMMYFUNCTION("""COMPUTED_VALUE"""),"0.02967")</f>
        <v>#NAME?</v>
      </c>
      <c r="D582" s="100" t="e">
        <f t="shared" ref="D582:E601" ca="1" si="79">IFERROR(__xludf.DUMMYFUNCTION("""COMPUTED_VALUE"""),"-")</f>
        <v>#NAME?</v>
      </c>
      <c r="E582" s="100" t="e">
        <f t="shared" ca="1" si="79"/>
        <v>#NAME?</v>
      </c>
      <c r="F582" s="100" t="e">
        <f t="shared" ca="1" si="74"/>
        <v>#NAME?</v>
      </c>
      <c r="G582" s="100" t="e">
        <f t="shared" ca="1" si="75"/>
        <v>#NAME?</v>
      </c>
      <c r="H582" s="100" t="e">
        <f t="shared" ca="1" si="76"/>
        <v>#NAME?</v>
      </c>
      <c r="I582" s="100" t="e">
        <f t="shared" ca="1" si="77"/>
        <v>#NAME?</v>
      </c>
      <c r="J582" s="100" t="e">
        <f ca="1">IFERROR(__xludf.DUMMYFUNCTION("""COMPUTED_VALUE"""),"7.1499999999999995")</f>
        <v>#NAME?</v>
      </c>
      <c r="K582" s="100" t="e">
        <f t="shared" ca="1" si="78"/>
        <v>#NAME?</v>
      </c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</row>
    <row r="583" spans="1:26">
      <c r="A583" s="100" t="e">
        <f ca="1">IFERROR(__xludf.DUMMYFUNCTION("""COMPUTED_VALUE"""),12747700)</f>
        <v>#NAME?</v>
      </c>
      <c r="B583" s="100" t="e">
        <f ca="1">IFERROR(__xludf.DUMMYFUNCTION("""COMPUTED_VALUE"""),"DOP1USDT")</f>
        <v>#NAME?</v>
      </c>
      <c r="C583" s="100" t="e">
        <f ca="1">IFERROR(__xludf.DUMMYFUNCTION("""COMPUTED_VALUE"""),"0.000308")</f>
        <v>#NAME?</v>
      </c>
      <c r="D583" s="100" t="e">
        <f t="shared" ca="1" si="79"/>
        <v>#NAME?</v>
      </c>
      <c r="E583" s="100" t="e">
        <f t="shared" ca="1" si="79"/>
        <v>#NAME?</v>
      </c>
      <c r="F583" s="100" t="e">
        <f t="shared" ca="1" si="74"/>
        <v>#NAME?</v>
      </c>
      <c r="G583" s="100" t="e">
        <f t="shared" ca="1" si="75"/>
        <v>#NAME?</v>
      </c>
      <c r="H583" s="100" t="e">
        <f t="shared" ca="1" si="76"/>
        <v>#NAME?</v>
      </c>
      <c r="I583" s="100" t="e">
        <f t="shared" ca="1" si="77"/>
        <v>#NAME?</v>
      </c>
      <c r="J583" s="100" t="e">
        <f ca="1">IFERROR(__xludf.DUMMYFUNCTION("""COMPUTED_VALUE"""),"-3.4799999999999995")</f>
        <v>#NAME?</v>
      </c>
      <c r="K583" s="100" t="e">
        <f t="shared" ca="1" si="78"/>
        <v>#NAME?</v>
      </c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</row>
    <row r="584" spans="1:26">
      <c r="A584" s="100" t="e">
        <f ca="1">IFERROR(__xludf.DUMMYFUNCTION("""COMPUTED_VALUE"""),12747701)</f>
        <v>#NAME?</v>
      </c>
      <c r="B584" s="100" t="e">
        <f ca="1">IFERROR(__xludf.DUMMYFUNCTION("""COMPUTED_VALUE"""),"ALCHUSDT")</f>
        <v>#NAME?</v>
      </c>
      <c r="C584" s="100" t="e">
        <f ca="1">IFERROR(__xludf.DUMMYFUNCTION("""COMPUTED_VALUE"""),"0.15481")</f>
        <v>#NAME?</v>
      </c>
      <c r="D584" s="100" t="e">
        <f t="shared" ca="1" si="79"/>
        <v>#NAME?</v>
      </c>
      <c r="E584" s="100" t="e">
        <f t="shared" ca="1" si="79"/>
        <v>#NAME?</v>
      </c>
      <c r="F584" s="100" t="e">
        <f t="shared" ca="1" si="74"/>
        <v>#NAME?</v>
      </c>
      <c r="G584" s="100" t="e">
        <f t="shared" ca="1" si="75"/>
        <v>#NAME?</v>
      </c>
      <c r="H584" s="100" t="e">
        <f t="shared" ca="1" si="76"/>
        <v>#NAME?</v>
      </c>
      <c r="I584" s="100" t="e">
        <f t="shared" ca="1" si="77"/>
        <v>#NAME?</v>
      </c>
      <c r="J584" s="100" t="e">
        <f ca="1">IFERROR(__xludf.DUMMYFUNCTION("""COMPUTED_VALUE"""),"0.16999999999999998")</f>
        <v>#NAME?</v>
      </c>
      <c r="K584" s="100" t="e">
        <f t="shared" ca="1" si="78"/>
        <v>#NAME?</v>
      </c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</row>
    <row r="585" spans="1:26">
      <c r="A585" s="100" t="e">
        <f ca="1">IFERROR(__xludf.DUMMYFUNCTION("""COMPUTED_VALUE"""),12747702)</f>
        <v>#NAME?</v>
      </c>
      <c r="B585" s="100" t="e">
        <f ca="1">IFERROR(__xludf.DUMMYFUNCTION("""COMPUTED_VALUE"""),"YFIUSDT")</f>
        <v>#NAME?</v>
      </c>
      <c r="C585" s="100" t="e">
        <f ca="1">IFERROR(__xludf.DUMMYFUNCTION("""COMPUTED_VALUE"""),"4702")</f>
        <v>#NAME?</v>
      </c>
      <c r="D585" s="100" t="e">
        <f t="shared" ca="1" si="79"/>
        <v>#NAME?</v>
      </c>
      <c r="E585" s="100" t="e">
        <f t="shared" ca="1" si="79"/>
        <v>#NAME?</v>
      </c>
      <c r="F585" s="100" t="e">
        <f t="shared" ca="1" si="74"/>
        <v>#NAME?</v>
      </c>
      <c r="G585" s="100" t="e">
        <f t="shared" ca="1" si="75"/>
        <v>#NAME?</v>
      </c>
      <c r="H585" s="100" t="e">
        <f t="shared" ca="1" si="76"/>
        <v>#NAME?</v>
      </c>
      <c r="I585" s="100" t="e">
        <f t="shared" ca="1" si="77"/>
        <v>#NAME?</v>
      </c>
      <c r="J585" s="100" t="e">
        <f ca="1">IFERROR(__xludf.DUMMYFUNCTION("""COMPUTED_VALUE"""),"-2.16")</f>
        <v>#NAME?</v>
      </c>
      <c r="K585" s="100" t="e">
        <f t="shared" ca="1" si="78"/>
        <v>#NAME?</v>
      </c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</row>
    <row r="586" spans="1:26">
      <c r="A586" s="100" t="e">
        <f ca="1">IFERROR(__xludf.DUMMYFUNCTION("""COMPUTED_VALUE"""),12747703)</f>
        <v>#NAME?</v>
      </c>
      <c r="B586" s="100" t="e">
        <f ca="1">IFERROR(__xludf.DUMMYFUNCTION("""COMPUTED_VALUE"""),"BTCDAI")</f>
        <v>#NAME?</v>
      </c>
      <c r="C586" s="100" t="e">
        <f ca="1">IFERROR(__xludf.DUMMYFUNCTION("""COMPUTED_VALUE"""),"88515.5")</f>
        <v>#NAME?</v>
      </c>
      <c r="D586" s="100" t="e">
        <f t="shared" ca="1" si="79"/>
        <v>#NAME?</v>
      </c>
      <c r="E586" s="100" t="e">
        <f t="shared" ca="1" si="79"/>
        <v>#NAME?</v>
      </c>
      <c r="F586" s="100" t="e">
        <f t="shared" ca="1" si="74"/>
        <v>#NAME?</v>
      </c>
      <c r="G586" s="100" t="e">
        <f t="shared" ca="1" si="75"/>
        <v>#NAME?</v>
      </c>
      <c r="H586" s="100" t="e">
        <f t="shared" ca="1" si="76"/>
        <v>#NAME?</v>
      </c>
      <c r="I586" s="100" t="e">
        <f t="shared" ca="1" si="77"/>
        <v>#NAME?</v>
      </c>
      <c r="J586" s="100" t="e">
        <f ca="1">IFERROR(__xludf.DUMMYFUNCTION("""COMPUTED_VALUE"""),"1.27")</f>
        <v>#NAME?</v>
      </c>
      <c r="K586" s="100" t="e">
        <f t="shared" ca="1" si="78"/>
        <v>#NAME?</v>
      </c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</row>
    <row r="587" spans="1:26">
      <c r="A587" s="100" t="e">
        <f ca="1">IFERROR(__xludf.DUMMYFUNCTION("""COMPUTED_VALUE"""),12747704)</f>
        <v>#NAME?</v>
      </c>
      <c r="B587" s="100" t="e">
        <f ca="1">IFERROR(__xludf.DUMMYFUNCTION("""COMPUTED_VALUE"""),"TRUMPUSDC")</f>
        <v>#NAME?</v>
      </c>
      <c r="C587" s="100" t="e">
        <f ca="1">IFERROR(__xludf.DUMMYFUNCTION("""COMPUTED_VALUE"""),"8.54")</f>
        <v>#NAME?</v>
      </c>
      <c r="D587" s="100" t="e">
        <f t="shared" ca="1" si="79"/>
        <v>#NAME?</v>
      </c>
      <c r="E587" s="100" t="e">
        <f t="shared" ca="1" si="79"/>
        <v>#NAME?</v>
      </c>
      <c r="F587" s="100" t="e">
        <f t="shared" ca="1" si="74"/>
        <v>#NAME?</v>
      </c>
      <c r="G587" s="100" t="e">
        <f t="shared" ca="1" si="75"/>
        <v>#NAME?</v>
      </c>
      <c r="H587" s="100" t="e">
        <f t="shared" ca="1" si="76"/>
        <v>#NAME?</v>
      </c>
      <c r="I587" s="100" t="e">
        <f t="shared" ca="1" si="77"/>
        <v>#NAME?</v>
      </c>
      <c r="J587" s="100" t="e">
        <f ca="1">IFERROR(__xludf.DUMMYFUNCTION("""COMPUTED_VALUE"""),"3.64")</f>
        <v>#NAME?</v>
      </c>
      <c r="K587" s="100" t="e">
        <f t="shared" ca="1" si="78"/>
        <v>#NAME?</v>
      </c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</row>
    <row r="588" spans="1:26">
      <c r="A588" s="100" t="e">
        <f ca="1">IFERROR(__xludf.DUMMYFUNCTION("""COMPUTED_VALUE"""),12747705)</f>
        <v>#NAME?</v>
      </c>
      <c r="B588" s="100" t="e">
        <f ca="1">IFERROR(__xludf.DUMMYFUNCTION("""COMPUTED_VALUE"""),"BTC3SUSDT")</f>
        <v>#NAME?</v>
      </c>
      <c r="C588" s="100" t="e">
        <f ca="1">IFERROR(__xludf.DUMMYFUNCTION("""COMPUTED_VALUE"""),"0.01545")</f>
        <v>#NAME?</v>
      </c>
      <c r="D588" s="100" t="e">
        <f t="shared" ca="1" si="79"/>
        <v>#NAME?</v>
      </c>
      <c r="E588" s="100" t="e">
        <f t="shared" ca="1" si="79"/>
        <v>#NAME?</v>
      </c>
      <c r="F588" s="100" t="e">
        <f t="shared" ca="1" si="74"/>
        <v>#NAME?</v>
      </c>
      <c r="G588" s="100" t="e">
        <f t="shared" ca="1" si="75"/>
        <v>#NAME?</v>
      </c>
      <c r="H588" s="100" t="e">
        <f t="shared" ca="1" si="76"/>
        <v>#NAME?</v>
      </c>
      <c r="I588" s="100" t="e">
        <f t="shared" ca="1" si="77"/>
        <v>#NAME?</v>
      </c>
      <c r="J588" s="100" t="e">
        <f ca="1">IFERROR(__xludf.DUMMYFUNCTION("""COMPUTED_VALUE"""),"-4.569999999999999")</f>
        <v>#NAME?</v>
      </c>
      <c r="K588" s="100" t="e">
        <f t="shared" ca="1" si="78"/>
        <v>#NAME?</v>
      </c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</row>
    <row r="589" spans="1:26">
      <c r="A589" s="100" t="e">
        <f ca="1">IFERROR(__xludf.DUMMYFUNCTION("""COMPUTED_VALUE"""),12747706)</f>
        <v>#NAME?</v>
      </c>
      <c r="B589" s="100" t="e">
        <f ca="1">IFERROR(__xludf.DUMMYFUNCTION("""COMPUTED_VALUE"""),"THETAUSDT")</f>
        <v>#NAME?</v>
      </c>
      <c r="C589" s="100" t="e">
        <f ca="1">IFERROR(__xludf.DUMMYFUNCTION("""COMPUTED_VALUE"""),"0.6271")</f>
        <v>#NAME?</v>
      </c>
      <c r="D589" s="100" t="e">
        <f t="shared" ca="1" si="79"/>
        <v>#NAME?</v>
      </c>
      <c r="E589" s="100" t="e">
        <f t="shared" ca="1" si="79"/>
        <v>#NAME?</v>
      </c>
      <c r="F589" s="100" t="e">
        <f t="shared" ca="1" si="74"/>
        <v>#NAME?</v>
      </c>
      <c r="G589" s="100" t="e">
        <f t="shared" ca="1" si="75"/>
        <v>#NAME?</v>
      </c>
      <c r="H589" s="100" t="e">
        <f t="shared" ca="1" si="76"/>
        <v>#NAME?</v>
      </c>
      <c r="I589" s="100" t="e">
        <f t="shared" ca="1" si="77"/>
        <v>#NAME?</v>
      </c>
      <c r="J589" s="100" t="e">
        <f ca="1">IFERROR(__xludf.DUMMYFUNCTION("""COMPUTED_VALUE"""),"-5.63")</f>
        <v>#NAME?</v>
      </c>
      <c r="K589" s="100" t="e">
        <f t="shared" ca="1" si="78"/>
        <v>#NAME?</v>
      </c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</row>
    <row r="590" spans="1:26">
      <c r="A590" s="100" t="e">
        <f ca="1">IFERROR(__xludf.DUMMYFUNCTION("""COMPUTED_VALUE"""),12747707)</f>
        <v>#NAME?</v>
      </c>
      <c r="B590" s="100" t="e">
        <f ca="1">IFERROR(__xludf.DUMMYFUNCTION("""COMPUTED_VALUE"""),"PENGUUSDT")</f>
        <v>#NAME?</v>
      </c>
      <c r="C590" s="100" t="e">
        <f ca="1">IFERROR(__xludf.DUMMYFUNCTION("""COMPUTED_VALUE"""),"0.00515")</f>
        <v>#NAME?</v>
      </c>
      <c r="D590" s="100" t="e">
        <f t="shared" ca="1" si="79"/>
        <v>#NAME?</v>
      </c>
      <c r="E590" s="100" t="e">
        <f t="shared" ca="1" si="79"/>
        <v>#NAME?</v>
      </c>
      <c r="F590" s="100" t="e">
        <f t="shared" ca="1" si="74"/>
        <v>#NAME?</v>
      </c>
      <c r="G590" s="100" t="e">
        <f t="shared" ca="1" si="75"/>
        <v>#NAME?</v>
      </c>
      <c r="H590" s="100" t="e">
        <f t="shared" ca="1" si="76"/>
        <v>#NAME?</v>
      </c>
      <c r="I590" s="100" t="e">
        <f t="shared" ca="1" si="77"/>
        <v>#NAME?</v>
      </c>
      <c r="J590" s="100" t="e">
        <f ca="1">IFERROR(__xludf.DUMMYFUNCTION("""COMPUTED_VALUE"""),"0.19")</f>
        <v>#NAME?</v>
      </c>
      <c r="K590" s="100" t="e">
        <f t="shared" ca="1" si="78"/>
        <v>#NAME?</v>
      </c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</row>
    <row r="591" spans="1:26">
      <c r="A591" s="100" t="e">
        <f ca="1">IFERROR(__xludf.DUMMYFUNCTION("""COMPUTED_VALUE"""),12747708)</f>
        <v>#NAME?</v>
      </c>
      <c r="B591" s="100" t="e">
        <f ca="1">IFERROR(__xludf.DUMMYFUNCTION("""COMPUTED_VALUE"""),"XRPEUR")</f>
        <v>#NAME?</v>
      </c>
      <c r="C591" s="100" t="e">
        <f ca="1">IFERROR(__xludf.DUMMYFUNCTION("""COMPUTED_VALUE"""),"1.8341")</f>
        <v>#NAME?</v>
      </c>
      <c r="D591" s="100" t="e">
        <f t="shared" ca="1" si="79"/>
        <v>#NAME?</v>
      </c>
      <c r="E591" s="100" t="e">
        <f t="shared" ca="1" si="79"/>
        <v>#NAME?</v>
      </c>
      <c r="F591" s="100" t="e">
        <f t="shared" ca="1" si="74"/>
        <v>#NAME?</v>
      </c>
      <c r="G591" s="100" t="e">
        <f t="shared" ca="1" si="75"/>
        <v>#NAME?</v>
      </c>
      <c r="H591" s="100" t="e">
        <f t="shared" ca="1" si="76"/>
        <v>#NAME?</v>
      </c>
      <c r="I591" s="100" t="e">
        <f t="shared" ca="1" si="77"/>
        <v>#NAME?</v>
      </c>
      <c r="J591" s="100" t="e">
        <f ca="1">IFERROR(__xludf.DUMMYFUNCTION("""COMPUTED_VALUE"""),"-0.32")</f>
        <v>#NAME?</v>
      </c>
      <c r="K591" s="100" t="e">
        <f t="shared" ca="1" si="78"/>
        <v>#NAME?</v>
      </c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</row>
    <row r="592" spans="1:26">
      <c r="A592" s="100" t="e">
        <f ca="1">IFERROR(__xludf.DUMMYFUNCTION("""COMPUTED_VALUE"""),12747709)</f>
        <v>#NAME?</v>
      </c>
      <c r="B592" s="100" t="e">
        <f ca="1">IFERROR(__xludf.DUMMYFUNCTION("""COMPUTED_VALUE"""),"SWEATUSDT")</f>
        <v>#NAME?</v>
      </c>
      <c r="C592" s="100" t="e">
        <f ca="1">IFERROR(__xludf.DUMMYFUNCTION("""COMPUTED_VALUE"""),"0.004201")</f>
        <v>#NAME?</v>
      </c>
      <c r="D592" s="100" t="e">
        <f t="shared" ca="1" si="79"/>
        <v>#NAME?</v>
      </c>
      <c r="E592" s="100" t="e">
        <f t="shared" ca="1" si="79"/>
        <v>#NAME?</v>
      </c>
      <c r="F592" s="100" t="e">
        <f t="shared" ca="1" si="74"/>
        <v>#NAME?</v>
      </c>
      <c r="G592" s="100" t="e">
        <f t="shared" ca="1" si="75"/>
        <v>#NAME?</v>
      </c>
      <c r="H592" s="100" t="e">
        <f t="shared" ca="1" si="76"/>
        <v>#NAME?</v>
      </c>
      <c r="I592" s="100" t="e">
        <f t="shared" ca="1" si="77"/>
        <v>#NAME?</v>
      </c>
      <c r="J592" s="100" t="e">
        <f ca="1">IFERROR(__xludf.DUMMYFUNCTION("""COMPUTED_VALUE"""),"-1.32")</f>
        <v>#NAME?</v>
      </c>
      <c r="K592" s="100" t="e">
        <f t="shared" ca="1" si="78"/>
        <v>#NAME?</v>
      </c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</row>
    <row r="593" spans="1:26">
      <c r="A593" s="100" t="e">
        <f ca="1">IFERROR(__xludf.DUMMYFUNCTION("""COMPUTED_VALUE"""),12747710)</f>
        <v>#NAME?</v>
      </c>
      <c r="B593" s="100" t="e">
        <f ca="1">IFERROR(__xludf.DUMMYFUNCTION("""COMPUTED_VALUE"""),"DOGSUSDC")</f>
        <v>#NAME?</v>
      </c>
      <c r="C593" s="100" t="e">
        <f ca="1">IFERROR(__xludf.DUMMYFUNCTION("""COMPUTED_VALUE"""),"0.0001205")</f>
        <v>#NAME?</v>
      </c>
      <c r="D593" s="100" t="e">
        <f t="shared" ca="1" si="79"/>
        <v>#NAME?</v>
      </c>
      <c r="E593" s="100" t="e">
        <f t="shared" ca="1" si="79"/>
        <v>#NAME?</v>
      </c>
      <c r="F593" s="100" t="e">
        <f t="shared" ca="1" si="74"/>
        <v>#NAME?</v>
      </c>
      <c r="G593" s="100" t="e">
        <f t="shared" ca="1" si="75"/>
        <v>#NAME?</v>
      </c>
      <c r="H593" s="100" t="e">
        <f t="shared" ca="1" si="76"/>
        <v>#NAME?</v>
      </c>
      <c r="I593" s="100" t="e">
        <f t="shared" ca="1" si="77"/>
        <v>#NAME?</v>
      </c>
      <c r="J593" s="100" t="e">
        <f ca="1">IFERROR(__xludf.DUMMYFUNCTION("""COMPUTED_VALUE"""),"-1.47")</f>
        <v>#NAME?</v>
      </c>
      <c r="K593" s="100" t="e">
        <f t="shared" ca="1" si="78"/>
        <v>#NAME?</v>
      </c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</row>
    <row r="594" spans="1:26">
      <c r="A594" s="100" t="e">
        <f ca="1">IFERROR(__xludf.DUMMYFUNCTION("""COMPUTED_VALUE"""),12747711)</f>
        <v>#NAME?</v>
      </c>
      <c r="B594" s="100" t="e">
        <f ca="1">IFERROR(__xludf.DUMMYFUNCTION("""COMPUTED_VALUE"""),"COOKUSDT")</f>
        <v>#NAME?</v>
      </c>
      <c r="C594" s="100" t="e">
        <f ca="1">IFERROR(__xludf.DUMMYFUNCTION("""COMPUTED_VALUE"""),"0.006992")</f>
        <v>#NAME?</v>
      </c>
      <c r="D594" s="100" t="e">
        <f t="shared" ca="1" si="79"/>
        <v>#NAME?</v>
      </c>
      <c r="E594" s="100" t="e">
        <f t="shared" ca="1" si="79"/>
        <v>#NAME?</v>
      </c>
      <c r="F594" s="100" t="e">
        <f t="shared" ca="1" si="74"/>
        <v>#NAME?</v>
      </c>
      <c r="G594" s="100" t="e">
        <f t="shared" ca="1" si="75"/>
        <v>#NAME?</v>
      </c>
      <c r="H594" s="100" t="e">
        <f t="shared" ca="1" si="76"/>
        <v>#NAME?</v>
      </c>
      <c r="I594" s="100" t="e">
        <f t="shared" ca="1" si="77"/>
        <v>#NAME?</v>
      </c>
      <c r="J594" s="100" t="e">
        <f ca="1">IFERROR(__xludf.DUMMYFUNCTION("""COMPUTED_VALUE"""),"2.37")</f>
        <v>#NAME?</v>
      </c>
      <c r="K594" s="100" t="e">
        <f t="shared" ca="1" si="78"/>
        <v>#NAME?</v>
      </c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</row>
    <row r="595" spans="1:26">
      <c r="A595" s="100" t="e">
        <f ca="1">IFERROR(__xludf.DUMMYFUNCTION("""COMPUTED_VALUE"""),12747712)</f>
        <v>#NAME?</v>
      </c>
      <c r="B595" s="100" t="e">
        <f ca="1">IFERROR(__xludf.DUMMYFUNCTION("""COMPUTED_VALUE"""),"DOGSUSDT")</f>
        <v>#NAME?</v>
      </c>
      <c r="C595" s="100" t="e">
        <f ca="1">IFERROR(__xludf.DUMMYFUNCTION("""COMPUTED_VALUE"""),"0.0001194")</f>
        <v>#NAME?</v>
      </c>
      <c r="D595" s="100" t="e">
        <f t="shared" ca="1" si="79"/>
        <v>#NAME?</v>
      </c>
      <c r="E595" s="100" t="e">
        <f t="shared" ca="1" si="79"/>
        <v>#NAME?</v>
      </c>
      <c r="F595" s="100" t="e">
        <f t="shared" ca="1" si="74"/>
        <v>#NAME?</v>
      </c>
      <c r="G595" s="100" t="e">
        <f t="shared" ca="1" si="75"/>
        <v>#NAME?</v>
      </c>
      <c r="H595" s="100" t="e">
        <f t="shared" ca="1" si="76"/>
        <v>#NAME?</v>
      </c>
      <c r="I595" s="100" t="e">
        <f t="shared" ca="1" si="77"/>
        <v>#NAME?</v>
      </c>
      <c r="J595" s="100" t="e">
        <f ca="1">IFERROR(__xludf.DUMMYFUNCTION("""COMPUTED_VALUE"""),"-2.45")</f>
        <v>#NAME?</v>
      </c>
      <c r="K595" s="100" t="e">
        <f t="shared" ca="1" si="78"/>
        <v>#NAME?</v>
      </c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</row>
    <row r="596" spans="1:26">
      <c r="A596" s="100" t="e">
        <f ca="1">IFERROR(__xludf.DUMMYFUNCTION("""COMPUTED_VALUE"""),12747713)</f>
        <v>#NAME?</v>
      </c>
      <c r="B596" s="100" t="e">
        <f ca="1">IFERROR(__xludf.DUMMYFUNCTION("""COMPUTED_VALUE"""),"SCRUSDT")</f>
        <v>#NAME?</v>
      </c>
      <c r="C596" s="100" t="e">
        <f ca="1">IFERROR(__xludf.DUMMYFUNCTION("""COMPUTED_VALUE"""),"0.251")</f>
        <v>#NAME?</v>
      </c>
      <c r="D596" s="100" t="e">
        <f t="shared" ca="1" si="79"/>
        <v>#NAME?</v>
      </c>
      <c r="E596" s="100" t="e">
        <f t="shared" ca="1" si="79"/>
        <v>#NAME?</v>
      </c>
      <c r="F596" s="100" t="e">
        <f t="shared" ca="1" si="74"/>
        <v>#NAME?</v>
      </c>
      <c r="G596" s="100" t="e">
        <f t="shared" ca="1" si="75"/>
        <v>#NAME?</v>
      </c>
      <c r="H596" s="100" t="e">
        <f t="shared" ca="1" si="76"/>
        <v>#NAME?</v>
      </c>
      <c r="I596" s="100" t="e">
        <f t="shared" ca="1" si="77"/>
        <v>#NAME?</v>
      </c>
      <c r="J596" s="100" t="e">
        <f ca="1">IFERROR(__xludf.DUMMYFUNCTION("""COMPUTED_VALUE"""),"-1.5699999999999998")</f>
        <v>#NAME?</v>
      </c>
      <c r="K596" s="100" t="e">
        <f t="shared" ca="1" si="78"/>
        <v>#NAME?</v>
      </c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</row>
    <row r="597" spans="1:26">
      <c r="A597" s="100" t="e">
        <f ca="1">IFERROR(__xludf.DUMMYFUNCTION("""COMPUTED_VALUE"""),12747714)</f>
        <v>#NAME?</v>
      </c>
      <c r="B597" s="100" t="e">
        <f ca="1">IFERROR(__xludf.DUMMYFUNCTION("""COMPUTED_VALUE"""),"CELOUSDT")</f>
        <v>#NAME?</v>
      </c>
      <c r="C597" s="100" t="e">
        <f ca="1">IFERROR(__xludf.DUMMYFUNCTION("""COMPUTED_VALUE"""),"0.3114")</f>
        <v>#NAME?</v>
      </c>
      <c r="D597" s="100" t="e">
        <f t="shared" ca="1" si="79"/>
        <v>#NAME?</v>
      </c>
      <c r="E597" s="100" t="e">
        <f t="shared" ca="1" si="79"/>
        <v>#NAME?</v>
      </c>
      <c r="F597" s="100" t="e">
        <f t="shared" ca="1" si="74"/>
        <v>#NAME?</v>
      </c>
      <c r="G597" s="100" t="e">
        <f t="shared" ca="1" si="75"/>
        <v>#NAME?</v>
      </c>
      <c r="H597" s="100" t="e">
        <f t="shared" ca="1" si="76"/>
        <v>#NAME?</v>
      </c>
      <c r="I597" s="100" t="e">
        <f t="shared" ca="1" si="77"/>
        <v>#NAME?</v>
      </c>
      <c r="J597" s="100" t="e">
        <f ca="1">IFERROR(__xludf.DUMMYFUNCTION("""COMPUTED_VALUE"""),"-0.29")</f>
        <v>#NAME?</v>
      </c>
      <c r="K597" s="100" t="e">
        <f t="shared" ca="1" si="78"/>
        <v>#NAME?</v>
      </c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</row>
    <row r="598" spans="1:26">
      <c r="A598" s="100" t="e">
        <f ca="1">IFERROR(__xludf.DUMMYFUNCTION("""COMPUTED_VALUE"""),12747715)</f>
        <v>#NAME?</v>
      </c>
      <c r="B598" s="100" t="e">
        <f ca="1">IFERROR(__xludf.DUMMYFUNCTION("""COMPUTED_VALUE"""),"SOLOUSDT")</f>
        <v>#NAME?</v>
      </c>
      <c r="C598" s="100" t="e">
        <f ca="1">IFERROR(__xludf.DUMMYFUNCTION("""COMPUTED_VALUE"""),"0.23335")</f>
        <v>#NAME?</v>
      </c>
      <c r="D598" s="100" t="e">
        <f t="shared" ca="1" si="79"/>
        <v>#NAME?</v>
      </c>
      <c r="E598" s="100" t="e">
        <f t="shared" ca="1" si="79"/>
        <v>#NAME?</v>
      </c>
      <c r="F598" s="100" t="e">
        <f t="shared" ca="1" si="74"/>
        <v>#NAME?</v>
      </c>
      <c r="G598" s="100" t="e">
        <f t="shared" ca="1" si="75"/>
        <v>#NAME?</v>
      </c>
      <c r="H598" s="100" t="e">
        <f t="shared" ca="1" si="76"/>
        <v>#NAME?</v>
      </c>
      <c r="I598" s="100" t="e">
        <f t="shared" ca="1" si="77"/>
        <v>#NAME?</v>
      </c>
      <c r="J598" s="100" t="e">
        <f ca="1">IFERROR(__xludf.DUMMYFUNCTION("""COMPUTED_VALUE"""),"-3.9")</f>
        <v>#NAME?</v>
      </c>
      <c r="K598" s="100" t="e">
        <f t="shared" ca="1" si="78"/>
        <v>#NAME?</v>
      </c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</row>
    <row r="599" spans="1:26">
      <c r="A599" s="100" t="e">
        <f ca="1">IFERROR(__xludf.DUMMYFUNCTION("""COMPUTED_VALUE"""),12747716)</f>
        <v>#NAME?</v>
      </c>
      <c r="B599" s="100" t="e">
        <f ca="1">IFERROR(__xludf.DUMMYFUNCTION("""COMPUTED_VALUE"""),"WIFUSDT")</f>
        <v>#NAME?</v>
      </c>
      <c r="C599" s="100" t="e">
        <f ca="1">IFERROR(__xludf.DUMMYFUNCTION("""COMPUTED_VALUE"""),"0.436")</f>
        <v>#NAME?</v>
      </c>
      <c r="D599" s="100" t="e">
        <f t="shared" ca="1" si="79"/>
        <v>#NAME?</v>
      </c>
      <c r="E599" s="100" t="e">
        <f t="shared" ca="1" si="79"/>
        <v>#NAME?</v>
      </c>
      <c r="F599" s="100" t="e">
        <f t="shared" ca="1" si="74"/>
        <v>#NAME?</v>
      </c>
      <c r="G599" s="100" t="e">
        <f t="shared" ca="1" si="75"/>
        <v>#NAME?</v>
      </c>
      <c r="H599" s="100" t="e">
        <f t="shared" ca="1" si="76"/>
        <v>#NAME?</v>
      </c>
      <c r="I599" s="100" t="e">
        <f t="shared" ca="1" si="77"/>
        <v>#NAME?</v>
      </c>
      <c r="J599" s="100" t="e">
        <f ca="1">IFERROR(__xludf.DUMMYFUNCTION("""COMPUTED_VALUE"""),"-1.13")</f>
        <v>#NAME?</v>
      </c>
      <c r="K599" s="100" t="e">
        <f t="shared" ca="1" si="78"/>
        <v>#NAME?</v>
      </c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</row>
    <row r="600" spans="1:26">
      <c r="A600" s="100" t="e">
        <f ca="1">IFERROR(__xludf.DUMMYFUNCTION("""COMPUTED_VALUE"""),12747717)</f>
        <v>#NAME?</v>
      </c>
      <c r="B600" s="100" t="e">
        <f ca="1">IFERROR(__xludf.DUMMYFUNCTION("""COMPUTED_VALUE"""),"COREUSDT")</f>
        <v>#NAME?</v>
      </c>
      <c r="C600" s="100" t="e">
        <f ca="1">IFERROR(__xludf.DUMMYFUNCTION("""COMPUTED_VALUE"""),"0.6466")</f>
        <v>#NAME?</v>
      </c>
      <c r="D600" s="100" t="e">
        <f t="shared" ca="1" si="79"/>
        <v>#NAME?</v>
      </c>
      <c r="E600" s="100" t="e">
        <f t="shared" ca="1" si="79"/>
        <v>#NAME?</v>
      </c>
      <c r="F600" s="100" t="e">
        <f t="shared" ca="1" si="74"/>
        <v>#NAME?</v>
      </c>
      <c r="G600" s="100" t="e">
        <f t="shared" ca="1" si="75"/>
        <v>#NAME?</v>
      </c>
      <c r="H600" s="100" t="e">
        <f t="shared" ca="1" si="76"/>
        <v>#NAME?</v>
      </c>
      <c r="I600" s="100" t="e">
        <f t="shared" ca="1" si="77"/>
        <v>#NAME?</v>
      </c>
      <c r="J600" s="100" t="e">
        <f ca="1">IFERROR(__xludf.DUMMYFUNCTION("""COMPUTED_VALUE"""),"-4.390000000000001")</f>
        <v>#NAME?</v>
      </c>
      <c r="K600" s="100" t="e">
        <f t="shared" ca="1" si="78"/>
        <v>#NAME?</v>
      </c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</row>
    <row r="601" spans="1:26">
      <c r="A601" s="100" t="e">
        <f ca="1">IFERROR(__xludf.DUMMYFUNCTION("""COMPUTED_VALUE"""),12747718)</f>
        <v>#NAME?</v>
      </c>
      <c r="B601" s="100" t="e">
        <f ca="1">IFERROR(__xludf.DUMMYFUNCTION("""COMPUTED_VALUE"""),"G3USDT")</f>
        <v>#NAME?</v>
      </c>
      <c r="C601" s="100" t="e">
        <f ca="1">IFERROR(__xludf.DUMMYFUNCTION("""COMPUTED_VALUE"""),"0.00351")</f>
        <v>#NAME?</v>
      </c>
      <c r="D601" s="100" t="e">
        <f t="shared" ca="1" si="79"/>
        <v>#NAME?</v>
      </c>
      <c r="E601" s="100" t="e">
        <f t="shared" ca="1" si="79"/>
        <v>#NAME?</v>
      </c>
      <c r="F601" s="100" t="e">
        <f t="shared" ca="1" si="74"/>
        <v>#NAME?</v>
      </c>
      <c r="G601" s="100" t="e">
        <f t="shared" ca="1" si="75"/>
        <v>#NAME?</v>
      </c>
      <c r="H601" s="100" t="e">
        <f t="shared" ca="1" si="76"/>
        <v>#NAME?</v>
      </c>
      <c r="I601" s="100" t="e">
        <f t="shared" ca="1" si="77"/>
        <v>#NAME?</v>
      </c>
      <c r="J601" s="100" t="e">
        <f ca="1">IFERROR(__xludf.DUMMYFUNCTION("""COMPUTED_VALUE"""),"-1.9300000000000002")</f>
        <v>#NAME?</v>
      </c>
      <c r="K601" s="100" t="e">
        <f t="shared" ca="1" si="78"/>
        <v>#NAME?</v>
      </c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</row>
    <row r="602" spans="1:26">
      <c r="A602" s="100" t="e">
        <f ca="1">IFERROR(__xludf.DUMMYFUNCTION("""COMPUTED_VALUE"""),12747719)</f>
        <v>#NAME?</v>
      </c>
      <c r="B602" s="100" t="e">
        <f ca="1">IFERROR(__xludf.DUMMYFUNCTION("""COMPUTED_VALUE"""),"ORDIUSDT")</f>
        <v>#NAME?</v>
      </c>
      <c r="C602" s="100" t="e">
        <f ca="1">IFERROR(__xludf.DUMMYFUNCTION("""COMPUTED_VALUE"""),"6.65")</f>
        <v>#NAME?</v>
      </c>
      <c r="D602" s="100" t="e">
        <f t="shared" ref="D602:E621" ca="1" si="80">IFERROR(__xludf.DUMMYFUNCTION("""COMPUTED_VALUE"""),"-")</f>
        <v>#NAME?</v>
      </c>
      <c r="E602" s="100" t="e">
        <f t="shared" ca="1" si="80"/>
        <v>#NAME?</v>
      </c>
      <c r="F602" s="100" t="e">
        <f t="shared" ca="1" si="74"/>
        <v>#NAME?</v>
      </c>
      <c r="G602" s="100" t="e">
        <f t="shared" ca="1" si="75"/>
        <v>#NAME?</v>
      </c>
      <c r="H602" s="100" t="e">
        <f t="shared" ca="1" si="76"/>
        <v>#NAME?</v>
      </c>
      <c r="I602" s="100" t="e">
        <f t="shared" ca="1" si="77"/>
        <v>#NAME?</v>
      </c>
      <c r="J602" s="100" t="e">
        <f ca="1">IFERROR(__xludf.DUMMYFUNCTION("""COMPUTED_VALUE"""),"-1.77")</f>
        <v>#NAME?</v>
      </c>
      <c r="K602" s="100" t="e">
        <f t="shared" ca="1" si="78"/>
        <v>#NAME?</v>
      </c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</row>
    <row r="603" spans="1:26">
      <c r="A603" s="100" t="e">
        <f ca="1">IFERROR(__xludf.DUMMYFUNCTION("""COMPUTED_VALUE"""),12747720)</f>
        <v>#NAME?</v>
      </c>
      <c r="B603" s="100" t="e">
        <f ca="1">IFERROR(__xludf.DUMMYFUNCTION("""COMPUTED_VALUE"""),"APEXUSDC")</f>
        <v>#NAME?</v>
      </c>
      <c r="C603" s="100" t="e">
        <f ca="1">IFERROR(__xludf.DUMMYFUNCTION("""COMPUTED_VALUE"""),"0.7368")</f>
        <v>#NAME?</v>
      </c>
      <c r="D603" s="100" t="e">
        <f t="shared" ca="1" si="80"/>
        <v>#NAME?</v>
      </c>
      <c r="E603" s="100" t="e">
        <f t="shared" ca="1" si="80"/>
        <v>#NAME?</v>
      </c>
      <c r="F603" s="100" t="e">
        <f t="shared" ca="1" si="74"/>
        <v>#NAME?</v>
      </c>
      <c r="G603" s="100" t="e">
        <f t="shared" ca="1" si="75"/>
        <v>#NAME?</v>
      </c>
      <c r="H603" s="100" t="e">
        <f t="shared" ca="1" si="76"/>
        <v>#NAME?</v>
      </c>
      <c r="I603" s="100" t="e">
        <f t="shared" ca="1" si="77"/>
        <v>#NAME?</v>
      </c>
      <c r="J603" s="100" t="e">
        <f ca="1">IFERROR(__xludf.DUMMYFUNCTION("""COMPUTED_VALUE"""),"-2.2800000000000002")</f>
        <v>#NAME?</v>
      </c>
      <c r="K603" s="100" t="e">
        <f t="shared" ca="1" si="78"/>
        <v>#NAME?</v>
      </c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</row>
    <row r="604" spans="1:26">
      <c r="A604" s="100" t="e">
        <f ca="1">IFERROR(__xludf.DUMMYFUNCTION("""COMPUTED_VALUE"""),12747721)</f>
        <v>#NAME?</v>
      </c>
      <c r="B604" s="100" t="e">
        <f ca="1">IFERROR(__xludf.DUMMYFUNCTION("""COMPUTED_VALUE"""),"BBQUSDT")</f>
        <v>#NAME?</v>
      </c>
      <c r="C604" s="100" t="e">
        <f ca="1">IFERROR(__xludf.DUMMYFUNCTION("""COMPUTED_VALUE"""),"0.01837")</f>
        <v>#NAME?</v>
      </c>
      <c r="D604" s="100" t="e">
        <f t="shared" ca="1" si="80"/>
        <v>#NAME?</v>
      </c>
      <c r="E604" s="100" t="e">
        <f t="shared" ca="1" si="80"/>
        <v>#NAME?</v>
      </c>
      <c r="F604" s="100" t="e">
        <f t="shared" ca="1" si="74"/>
        <v>#NAME?</v>
      </c>
      <c r="G604" s="100" t="e">
        <f t="shared" ca="1" si="75"/>
        <v>#NAME?</v>
      </c>
      <c r="H604" s="100" t="e">
        <f t="shared" ca="1" si="76"/>
        <v>#NAME?</v>
      </c>
      <c r="I604" s="100" t="e">
        <f t="shared" ca="1" si="77"/>
        <v>#NAME?</v>
      </c>
      <c r="J604" s="100" t="e">
        <f ca="1">IFERROR(__xludf.DUMMYFUNCTION("""COMPUTED_VALUE"""),"-1.6099999999999999")</f>
        <v>#NAME?</v>
      </c>
      <c r="K604" s="100" t="e">
        <f t="shared" ca="1" si="78"/>
        <v>#NAME?</v>
      </c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</row>
    <row r="605" spans="1:26">
      <c r="A605" s="100" t="e">
        <f ca="1">IFERROR(__xludf.DUMMYFUNCTION("""COMPUTED_VALUE"""),12747722)</f>
        <v>#NAME?</v>
      </c>
      <c r="B605" s="100" t="e">
        <f ca="1">IFERROR(__xludf.DUMMYFUNCTION("""COMPUTED_VALUE"""),"AVAILUSDT")</f>
        <v>#NAME?</v>
      </c>
      <c r="C605" s="100" t="e">
        <f ca="1">IFERROR(__xludf.DUMMYFUNCTION("""COMPUTED_VALUE"""),"0.03093")</f>
        <v>#NAME?</v>
      </c>
      <c r="D605" s="100" t="e">
        <f t="shared" ca="1" si="80"/>
        <v>#NAME?</v>
      </c>
      <c r="E605" s="100" t="e">
        <f t="shared" ca="1" si="80"/>
        <v>#NAME?</v>
      </c>
      <c r="F605" s="100" t="e">
        <f t="shared" ca="1" si="74"/>
        <v>#NAME?</v>
      </c>
      <c r="G605" s="100" t="e">
        <f t="shared" ca="1" si="75"/>
        <v>#NAME?</v>
      </c>
      <c r="H605" s="100" t="e">
        <f t="shared" ca="1" si="76"/>
        <v>#NAME?</v>
      </c>
      <c r="I605" s="100" t="e">
        <f t="shared" ca="1" si="77"/>
        <v>#NAME?</v>
      </c>
      <c r="J605" s="100" t="e">
        <f ca="1">IFERROR(__xludf.DUMMYFUNCTION("""COMPUTED_VALUE"""),"6.4")</f>
        <v>#NAME?</v>
      </c>
      <c r="K605" s="100" t="e">
        <f t="shared" ca="1" si="78"/>
        <v>#NAME?</v>
      </c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</row>
    <row r="606" spans="1:26">
      <c r="A606" s="100" t="e">
        <f ca="1">IFERROR(__xludf.DUMMYFUNCTION("""COMPUTED_VALUE"""),12747723)</f>
        <v>#NAME?</v>
      </c>
      <c r="B606" s="100" t="e">
        <f ca="1">IFERROR(__xludf.DUMMYFUNCTION("""COMPUTED_VALUE"""),"DUELUSDT")</f>
        <v>#NAME?</v>
      </c>
      <c r="C606" s="100" t="e">
        <f ca="1">IFERROR(__xludf.DUMMYFUNCTION("""COMPUTED_VALUE"""),"0.0012885")</f>
        <v>#NAME?</v>
      </c>
      <c r="D606" s="100" t="e">
        <f t="shared" ca="1" si="80"/>
        <v>#NAME?</v>
      </c>
      <c r="E606" s="100" t="e">
        <f t="shared" ca="1" si="80"/>
        <v>#NAME?</v>
      </c>
      <c r="F606" s="100" t="e">
        <f t="shared" ca="1" si="74"/>
        <v>#NAME?</v>
      </c>
      <c r="G606" s="100" t="e">
        <f t="shared" ca="1" si="75"/>
        <v>#NAME?</v>
      </c>
      <c r="H606" s="100" t="e">
        <f t="shared" ca="1" si="76"/>
        <v>#NAME?</v>
      </c>
      <c r="I606" s="100" t="e">
        <f t="shared" ca="1" si="77"/>
        <v>#NAME?</v>
      </c>
      <c r="J606" s="100" t="e">
        <f ca="1">IFERROR(__xludf.DUMMYFUNCTION("""COMPUTED_VALUE"""),"-7.53")</f>
        <v>#NAME?</v>
      </c>
      <c r="K606" s="100" t="e">
        <f t="shared" ca="1" si="78"/>
        <v>#NAME?</v>
      </c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</row>
    <row r="607" spans="1:26">
      <c r="A607" s="100" t="e">
        <f ca="1">IFERROR(__xludf.DUMMYFUNCTION("""COMPUTED_VALUE"""),12747724)</f>
        <v>#NAME?</v>
      </c>
      <c r="B607" s="100" t="e">
        <f ca="1">IFERROR(__xludf.DUMMYFUNCTION("""COMPUTED_VALUE"""),"BTCPLN")</f>
        <v>#NAME?</v>
      </c>
      <c r="C607" s="100" t="e">
        <f ca="1">IFERROR(__xludf.DUMMYFUNCTION("""COMPUTED_VALUE"""),"329878")</f>
        <v>#NAME?</v>
      </c>
      <c r="D607" s="100" t="e">
        <f t="shared" ca="1" si="80"/>
        <v>#NAME?</v>
      </c>
      <c r="E607" s="100" t="e">
        <f t="shared" ca="1" si="80"/>
        <v>#NAME?</v>
      </c>
      <c r="F607" s="100" t="e">
        <f t="shared" ca="1" si="74"/>
        <v>#NAME?</v>
      </c>
      <c r="G607" s="100" t="e">
        <f t="shared" ca="1" si="75"/>
        <v>#NAME?</v>
      </c>
      <c r="H607" s="100" t="e">
        <f t="shared" ca="1" si="76"/>
        <v>#NAME?</v>
      </c>
      <c r="I607" s="100" t="e">
        <f t="shared" ca="1" si="77"/>
        <v>#NAME?</v>
      </c>
      <c r="J607" s="100" t="e">
        <f ca="1">IFERROR(__xludf.DUMMYFUNCTION("""COMPUTED_VALUE"""),"1.6")</f>
        <v>#NAME?</v>
      </c>
      <c r="K607" s="100" t="e">
        <f t="shared" ca="1" si="78"/>
        <v>#NAME?</v>
      </c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</row>
    <row r="608" spans="1:26">
      <c r="A608" s="100" t="e">
        <f ca="1">IFERROR(__xludf.DUMMYFUNCTION("""COMPUTED_VALUE"""),12747725)</f>
        <v>#NAME?</v>
      </c>
      <c r="B608" s="100" t="e">
        <f ca="1">IFERROR(__xludf.DUMMYFUNCTION("""COMPUTED_VALUE"""),"NESSUSDT")</f>
        <v>#NAME?</v>
      </c>
      <c r="C608" s="100" t="e">
        <f ca="1">IFERROR(__xludf.DUMMYFUNCTION("""COMPUTED_VALUE"""),"0.0349")</f>
        <v>#NAME?</v>
      </c>
      <c r="D608" s="100" t="e">
        <f t="shared" ca="1" si="80"/>
        <v>#NAME?</v>
      </c>
      <c r="E608" s="100" t="e">
        <f t="shared" ca="1" si="80"/>
        <v>#NAME?</v>
      </c>
      <c r="F608" s="100" t="e">
        <f t="shared" ca="1" si="74"/>
        <v>#NAME?</v>
      </c>
      <c r="G608" s="100" t="e">
        <f t="shared" ca="1" si="75"/>
        <v>#NAME?</v>
      </c>
      <c r="H608" s="100" t="e">
        <f t="shared" ca="1" si="76"/>
        <v>#NAME?</v>
      </c>
      <c r="I608" s="100" t="e">
        <f t="shared" ca="1" si="77"/>
        <v>#NAME?</v>
      </c>
      <c r="J608" s="100" t="e">
        <f ca="1">IFERROR(__xludf.DUMMYFUNCTION("""COMPUTED_VALUE"""),"-0.22999999999999998")</f>
        <v>#NAME?</v>
      </c>
      <c r="K608" s="100" t="e">
        <f t="shared" ca="1" si="78"/>
        <v>#NAME?</v>
      </c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</row>
    <row r="609" spans="1:26">
      <c r="A609" s="100" t="e">
        <f ca="1">IFERROR(__xludf.DUMMYFUNCTION("""COMPUTED_VALUE"""),12747726)</f>
        <v>#NAME?</v>
      </c>
      <c r="B609" s="100" t="e">
        <f ca="1">IFERROR(__xludf.DUMMYFUNCTION("""COMPUTED_VALUE"""),"CAKEUSDT")</f>
        <v>#NAME?</v>
      </c>
      <c r="C609" s="100" t="e">
        <f ca="1">IFERROR(__xludf.DUMMYFUNCTION("""COMPUTED_VALUE"""),"1.939")</f>
        <v>#NAME?</v>
      </c>
      <c r="D609" s="100" t="e">
        <f t="shared" ca="1" si="80"/>
        <v>#NAME?</v>
      </c>
      <c r="E609" s="100" t="e">
        <f t="shared" ca="1" si="80"/>
        <v>#NAME?</v>
      </c>
      <c r="F609" s="100" t="e">
        <f t="shared" ca="1" si="74"/>
        <v>#NAME?</v>
      </c>
      <c r="G609" s="100" t="e">
        <f t="shared" ca="1" si="75"/>
        <v>#NAME?</v>
      </c>
      <c r="H609" s="100" t="e">
        <f t="shared" ca="1" si="76"/>
        <v>#NAME?</v>
      </c>
      <c r="I609" s="100" t="e">
        <f t="shared" ca="1" si="77"/>
        <v>#NAME?</v>
      </c>
      <c r="J609" s="100" t="e">
        <f ca="1">IFERROR(__xludf.DUMMYFUNCTION("""COMPUTED_VALUE"""),"-2.6599999999999997")</f>
        <v>#NAME?</v>
      </c>
      <c r="K609" s="100" t="e">
        <f t="shared" ca="1" si="78"/>
        <v>#NAME?</v>
      </c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</row>
    <row r="610" spans="1:26">
      <c r="A610" s="100" t="e">
        <f ca="1">IFERROR(__xludf.DUMMYFUNCTION("""COMPUTED_VALUE"""),12747727)</f>
        <v>#NAME?</v>
      </c>
      <c r="B610" s="100" t="e">
        <f ca="1">IFERROR(__xludf.DUMMYFUNCTION("""COMPUTED_VALUE"""),"SATSUSDT")</f>
        <v>#NAME?</v>
      </c>
      <c r="C610" s="100" t="e">
        <f ca="1">IFERROR(__xludf.DUMMYFUNCTION("""COMPUTED_VALUE"""),"0.00000003865")</f>
        <v>#NAME?</v>
      </c>
      <c r="D610" s="100" t="e">
        <f t="shared" ca="1" si="80"/>
        <v>#NAME?</v>
      </c>
      <c r="E610" s="100" t="e">
        <f t="shared" ca="1" si="80"/>
        <v>#NAME?</v>
      </c>
      <c r="F610" s="100" t="e">
        <f t="shared" ca="1" si="74"/>
        <v>#NAME?</v>
      </c>
      <c r="G610" s="100" t="e">
        <f t="shared" ca="1" si="75"/>
        <v>#NAME?</v>
      </c>
      <c r="H610" s="100" t="e">
        <f t="shared" ca="1" si="76"/>
        <v>#NAME?</v>
      </c>
      <c r="I610" s="100" t="e">
        <f t="shared" ca="1" si="77"/>
        <v>#NAME?</v>
      </c>
      <c r="J610" s="100" t="e">
        <f ca="1">IFERROR(__xludf.DUMMYFUNCTION("""COMPUTED_VALUE"""),"-6.21")</f>
        <v>#NAME?</v>
      </c>
      <c r="K610" s="100" t="e">
        <f t="shared" ca="1" si="78"/>
        <v>#NAME?</v>
      </c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</row>
    <row r="611" spans="1:26">
      <c r="A611" s="100" t="e">
        <f ca="1">IFERROR(__xludf.DUMMYFUNCTION("""COMPUTED_VALUE"""),12747728)</f>
        <v>#NAME?</v>
      </c>
      <c r="B611" s="100" t="e">
        <f ca="1">IFERROR(__xludf.DUMMYFUNCTION("""COMPUTED_VALUE"""),"PEPEUSDC")</f>
        <v>#NAME?</v>
      </c>
      <c r="C611" s="100" t="e">
        <f ca="1">IFERROR(__xludf.DUMMYFUNCTION("""COMPUTED_VALUE"""),"0.000008093")</f>
        <v>#NAME?</v>
      </c>
      <c r="D611" s="100" t="e">
        <f t="shared" ca="1" si="80"/>
        <v>#NAME?</v>
      </c>
      <c r="E611" s="100" t="e">
        <f t="shared" ca="1" si="80"/>
        <v>#NAME?</v>
      </c>
      <c r="F611" s="100" t="e">
        <f t="shared" ca="1" si="74"/>
        <v>#NAME?</v>
      </c>
      <c r="G611" s="100" t="e">
        <f t="shared" ca="1" si="75"/>
        <v>#NAME?</v>
      </c>
      <c r="H611" s="100" t="e">
        <f t="shared" ca="1" si="76"/>
        <v>#NAME?</v>
      </c>
      <c r="I611" s="100" t="e">
        <f t="shared" ca="1" si="77"/>
        <v>#NAME?</v>
      </c>
      <c r="J611" s="100" t="e">
        <f ca="1">IFERROR(__xludf.DUMMYFUNCTION("""COMPUTED_VALUE"""),"3.15")</f>
        <v>#NAME?</v>
      </c>
      <c r="K611" s="100" t="e">
        <f t="shared" ca="1" si="78"/>
        <v>#NAME?</v>
      </c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</row>
    <row r="612" spans="1:26">
      <c r="A612" s="100" t="e">
        <f ca="1">IFERROR(__xludf.DUMMYFUNCTION("""COMPUTED_VALUE"""),12747729)</f>
        <v>#NAME?</v>
      </c>
      <c r="B612" s="100" t="e">
        <f ca="1">IFERROR(__xludf.DUMMYFUNCTION("""COMPUTED_VALUE"""),"APTUSDC")</f>
        <v>#NAME?</v>
      </c>
      <c r="C612" s="100" t="e">
        <f ca="1">IFERROR(__xludf.DUMMYFUNCTION("""COMPUTED_VALUE"""),"4.86")</f>
        <v>#NAME?</v>
      </c>
      <c r="D612" s="100" t="e">
        <f t="shared" ca="1" si="80"/>
        <v>#NAME?</v>
      </c>
      <c r="E612" s="100" t="e">
        <f t="shared" ca="1" si="80"/>
        <v>#NAME?</v>
      </c>
      <c r="F612" s="100" t="e">
        <f t="shared" ca="1" si="74"/>
        <v>#NAME?</v>
      </c>
      <c r="G612" s="100" t="e">
        <f t="shared" ca="1" si="75"/>
        <v>#NAME?</v>
      </c>
      <c r="H612" s="100" t="e">
        <f t="shared" ca="1" si="76"/>
        <v>#NAME?</v>
      </c>
      <c r="I612" s="100" t="e">
        <f t="shared" ca="1" si="77"/>
        <v>#NAME?</v>
      </c>
      <c r="J612" s="100" t="e">
        <f ca="1">IFERROR(__xludf.DUMMYFUNCTION("""COMPUTED_VALUE"""),"-6.18")</f>
        <v>#NAME?</v>
      </c>
      <c r="K612" s="100" t="e">
        <f t="shared" ca="1" si="78"/>
        <v>#NAME?</v>
      </c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</row>
    <row r="613" spans="1:26">
      <c r="A613" s="100" t="e">
        <f ca="1">IFERROR(__xludf.DUMMYFUNCTION("""COMPUTED_VALUE"""),12747730)</f>
        <v>#NAME?</v>
      </c>
      <c r="B613" s="100" t="e">
        <f ca="1">IFERROR(__xludf.DUMMYFUNCTION("""COMPUTED_VALUE"""),"B3USDT")</f>
        <v>#NAME?</v>
      </c>
      <c r="C613" s="100" t="e">
        <f ca="1">IFERROR(__xludf.DUMMYFUNCTION("""COMPUTED_VALUE"""),"0.003623")</f>
        <v>#NAME?</v>
      </c>
      <c r="D613" s="100" t="e">
        <f t="shared" ca="1" si="80"/>
        <v>#NAME?</v>
      </c>
      <c r="E613" s="100" t="e">
        <f t="shared" ca="1" si="80"/>
        <v>#NAME?</v>
      </c>
      <c r="F613" s="100" t="e">
        <f t="shared" ca="1" si="74"/>
        <v>#NAME?</v>
      </c>
      <c r="G613" s="100" t="e">
        <f t="shared" ca="1" si="75"/>
        <v>#NAME?</v>
      </c>
      <c r="H613" s="100" t="e">
        <f t="shared" ca="1" si="76"/>
        <v>#NAME?</v>
      </c>
      <c r="I613" s="100" t="e">
        <f t="shared" ca="1" si="77"/>
        <v>#NAME?</v>
      </c>
      <c r="J613" s="100" t="e">
        <f ca="1">IFERROR(__xludf.DUMMYFUNCTION("""COMPUTED_VALUE"""),"-3.5900000000000003")</f>
        <v>#NAME?</v>
      </c>
      <c r="K613" s="100" t="e">
        <f t="shared" ca="1" si="78"/>
        <v>#NAME?</v>
      </c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</row>
    <row r="614" spans="1:26">
      <c r="A614" s="100" t="e">
        <f ca="1">IFERROR(__xludf.DUMMYFUNCTION("""COMPUTED_VALUE"""),12747731)</f>
        <v>#NAME?</v>
      </c>
      <c r="B614" s="100" t="e">
        <f ca="1">IFERROR(__xludf.DUMMYFUNCTION("""COMPUTED_VALUE"""),"SMILEUSDT")</f>
        <v>#NAME?</v>
      </c>
      <c r="C614" s="100" t="e">
        <f ca="1">IFERROR(__xludf.DUMMYFUNCTION("""COMPUTED_VALUE"""),"0.02414")</f>
        <v>#NAME?</v>
      </c>
      <c r="D614" s="100" t="e">
        <f t="shared" ca="1" si="80"/>
        <v>#NAME?</v>
      </c>
      <c r="E614" s="100" t="e">
        <f t="shared" ca="1" si="80"/>
        <v>#NAME?</v>
      </c>
      <c r="F614" s="100" t="e">
        <f t="shared" ca="1" si="74"/>
        <v>#NAME?</v>
      </c>
      <c r="G614" s="100" t="e">
        <f t="shared" ca="1" si="75"/>
        <v>#NAME?</v>
      </c>
      <c r="H614" s="100" t="e">
        <f t="shared" ca="1" si="76"/>
        <v>#NAME?</v>
      </c>
      <c r="I614" s="100" t="e">
        <f t="shared" ca="1" si="77"/>
        <v>#NAME?</v>
      </c>
      <c r="J614" s="100" t="e">
        <f ca="1">IFERROR(__xludf.DUMMYFUNCTION("""COMPUTED_VALUE"""),"-15.24")</f>
        <v>#NAME?</v>
      </c>
      <c r="K614" s="100" t="e">
        <f t="shared" ca="1" si="78"/>
        <v>#NAME?</v>
      </c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</row>
    <row r="615" spans="1:26">
      <c r="A615" s="100" t="e">
        <f ca="1">IFERROR(__xludf.DUMMYFUNCTION("""COMPUTED_VALUE"""),12747732)</f>
        <v>#NAME?</v>
      </c>
      <c r="B615" s="100" t="e">
        <f ca="1">IFERROR(__xludf.DUMMYFUNCTION("""COMPUTED_VALUE"""),"BRETTUSDC")</f>
        <v>#NAME?</v>
      </c>
      <c r="C615" s="100" t="e">
        <f ca="1">IFERROR(__xludf.DUMMYFUNCTION("""COMPUTED_VALUE"""),"0.03557")</f>
        <v>#NAME?</v>
      </c>
      <c r="D615" s="100" t="e">
        <f t="shared" ca="1" si="80"/>
        <v>#NAME?</v>
      </c>
      <c r="E615" s="100" t="e">
        <f t="shared" ca="1" si="80"/>
        <v>#NAME?</v>
      </c>
      <c r="F615" s="100" t="e">
        <f t="shared" ca="1" si="74"/>
        <v>#NAME?</v>
      </c>
      <c r="G615" s="100" t="e">
        <f t="shared" ca="1" si="75"/>
        <v>#NAME?</v>
      </c>
      <c r="H615" s="100" t="e">
        <f t="shared" ca="1" si="76"/>
        <v>#NAME?</v>
      </c>
      <c r="I615" s="100" t="e">
        <f t="shared" ca="1" si="77"/>
        <v>#NAME?</v>
      </c>
      <c r="J615" s="100" t="e">
        <f ca="1">IFERROR(__xludf.DUMMYFUNCTION("""COMPUTED_VALUE"""),"-1.9800000000000002")</f>
        <v>#NAME?</v>
      </c>
      <c r="K615" s="100" t="e">
        <f t="shared" ca="1" si="78"/>
        <v>#NAME?</v>
      </c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</row>
    <row r="616" spans="1:26">
      <c r="A616" s="100" t="e">
        <f ca="1">IFERROR(__xludf.DUMMYFUNCTION("""COMPUTED_VALUE"""),12747733)</f>
        <v>#NAME?</v>
      </c>
      <c r="B616" s="100" t="e">
        <f ca="1">IFERROR(__xludf.DUMMYFUNCTION("""COMPUTED_VALUE"""),"GUSDT")</f>
        <v>#NAME?</v>
      </c>
      <c r="C616" s="100" t="e">
        <f ca="1">IFERROR(__xludf.DUMMYFUNCTION("""COMPUTED_VALUE"""),"0.01393")</f>
        <v>#NAME?</v>
      </c>
      <c r="D616" s="100" t="e">
        <f t="shared" ca="1" si="80"/>
        <v>#NAME?</v>
      </c>
      <c r="E616" s="100" t="e">
        <f t="shared" ca="1" si="80"/>
        <v>#NAME?</v>
      </c>
      <c r="F616" s="100" t="e">
        <f t="shared" ca="1" si="74"/>
        <v>#NAME?</v>
      </c>
      <c r="G616" s="100" t="e">
        <f t="shared" ca="1" si="75"/>
        <v>#NAME?</v>
      </c>
      <c r="H616" s="100" t="e">
        <f t="shared" ca="1" si="76"/>
        <v>#NAME?</v>
      </c>
      <c r="I616" s="100" t="e">
        <f t="shared" ca="1" si="77"/>
        <v>#NAME?</v>
      </c>
      <c r="J616" s="100" t="e">
        <f ca="1">IFERROR(__xludf.DUMMYFUNCTION("""COMPUTED_VALUE"""),"-2.04")</f>
        <v>#NAME?</v>
      </c>
      <c r="K616" s="100" t="e">
        <f t="shared" ca="1" si="78"/>
        <v>#NAME?</v>
      </c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</row>
    <row r="617" spans="1:26">
      <c r="A617" s="100" t="e">
        <f ca="1">IFERROR(__xludf.DUMMYFUNCTION("""COMPUTED_VALUE"""),12747734)</f>
        <v>#NAME?</v>
      </c>
      <c r="B617" s="100" t="e">
        <f ca="1">IFERROR(__xludf.DUMMYFUNCTION("""COMPUTED_VALUE"""),"AI16ZUSDT")</f>
        <v>#NAME?</v>
      </c>
      <c r="C617" s="100" t="e">
        <f ca="1">IFERROR(__xludf.DUMMYFUNCTION("""COMPUTED_VALUE"""),"0.1359")</f>
        <v>#NAME?</v>
      </c>
      <c r="D617" s="100" t="e">
        <f t="shared" ca="1" si="80"/>
        <v>#NAME?</v>
      </c>
      <c r="E617" s="100" t="e">
        <f t="shared" ca="1" si="80"/>
        <v>#NAME?</v>
      </c>
      <c r="F617" s="100" t="e">
        <f t="shared" ca="1" si="74"/>
        <v>#NAME?</v>
      </c>
      <c r="G617" s="100" t="e">
        <f t="shared" ca="1" si="75"/>
        <v>#NAME?</v>
      </c>
      <c r="H617" s="100" t="e">
        <f t="shared" ca="1" si="76"/>
        <v>#NAME?</v>
      </c>
      <c r="I617" s="100" t="e">
        <f t="shared" ca="1" si="77"/>
        <v>#NAME?</v>
      </c>
      <c r="J617" s="100" t="e">
        <f ca="1">IFERROR(__xludf.DUMMYFUNCTION("""COMPUTED_VALUE"""),"-5.63")</f>
        <v>#NAME?</v>
      </c>
      <c r="K617" s="100" t="e">
        <f t="shared" ca="1" si="78"/>
        <v>#NAME?</v>
      </c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</row>
    <row r="618" spans="1:26">
      <c r="A618" s="100" t="e">
        <f ca="1">IFERROR(__xludf.DUMMYFUNCTION("""COMPUTED_VALUE"""),12747735)</f>
        <v>#NAME?</v>
      </c>
      <c r="B618" s="100" t="e">
        <f ca="1">IFERROR(__xludf.DUMMYFUNCTION("""COMPUTED_VALUE"""),"MBXUSDT")</f>
        <v>#NAME?</v>
      </c>
      <c r="C618" s="100" t="e">
        <f ca="1">IFERROR(__xludf.DUMMYFUNCTION("""COMPUTED_VALUE"""),"0.1745")</f>
        <v>#NAME?</v>
      </c>
      <c r="D618" s="100" t="e">
        <f t="shared" ca="1" si="80"/>
        <v>#NAME?</v>
      </c>
      <c r="E618" s="100" t="e">
        <f t="shared" ca="1" si="80"/>
        <v>#NAME?</v>
      </c>
      <c r="F618" s="100" t="e">
        <f t="shared" ca="1" si="74"/>
        <v>#NAME?</v>
      </c>
      <c r="G618" s="100" t="e">
        <f t="shared" ca="1" si="75"/>
        <v>#NAME?</v>
      </c>
      <c r="H618" s="100" t="e">
        <f t="shared" ca="1" si="76"/>
        <v>#NAME?</v>
      </c>
      <c r="I618" s="100" t="e">
        <f t="shared" ca="1" si="77"/>
        <v>#NAME?</v>
      </c>
      <c r="J618" s="100" t="e">
        <f ca="1">IFERROR(__xludf.DUMMYFUNCTION("""COMPUTED_VALUE"""),"5.12")</f>
        <v>#NAME?</v>
      </c>
      <c r="K618" s="100" t="e">
        <f t="shared" ca="1" si="78"/>
        <v>#NAME?</v>
      </c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</row>
    <row r="619" spans="1:26">
      <c r="A619" s="100" t="e">
        <f ca="1">IFERROR(__xludf.DUMMYFUNCTION("""COMPUTED_VALUE"""),12747736)</f>
        <v>#NAME?</v>
      </c>
      <c r="B619" s="100" t="e">
        <f ca="1">IFERROR(__xludf.DUMMYFUNCTION("""COMPUTED_VALUE"""),"ORTUSDT")</f>
        <v>#NAME?</v>
      </c>
      <c r="C619" s="100" t="e">
        <f ca="1">IFERROR(__xludf.DUMMYFUNCTION("""COMPUTED_VALUE"""),"0.003046")</f>
        <v>#NAME?</v>
      </c>
      <c r="D619" s="100" t="e">
        <f t="shared" ca="1" si="80"/>
        <v>#NAME?</v>
      </c>
      <c r="E619" s="100" t="e">
        <f t="shared" ca="1" si="80"/>
        <v>#NAME?</v>
      </c>
      <c r="F619" s="100" t="e">
        <f t="shared" ca="1" si="74"/>
        <v>#NAME?</v>
      </c>
      <c r="G619" s="100" t="e">
        <f t="shared" ca="1" si="75"/>
        <v>#NAME?</v>
      </c>
      <c r="H619" s="100" t="e">
        <f t="shared" ca="1" si="76"/>
        <v>#NAME?</v>
      </c>
      <c r="I619" s="100" t="e">
        <f t="shared" ca="1" si="77"/>
        <v>#NAME?</v>
      </c>
      <c r="J619" s="100" t="e">
        <f ca="1">IFERROR(__xludf.DUMMYFUNCTION("""COMPUTED_VALUE"""),"3.4299999999999997")</f>
        <v>#NAME?</v>
      </c>
      <c r="K619" s="100" t="e">
        <f t="shared" ca="1" si="78"/>
        <v>#NAME?</v>
      </c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</row>
    <row r="620" spans="1:26">
      <c r="A620" s="100" t="e">
        <f ca="1">IFERROR(__xludf.DUMMYFUNCTION("""COMPUTED_VALUE"""),12747737)</f>
        <v>#NAME?</v>
      </c>
      <c r="B620" s="100" t="e">
        <f ca="1">IFERROR(__xludf.DUMMYFUNCTION("""COMPUTED_VALUE"""),"BLURUSDT")</f>
        <v>#NAME?</v>
      </c>
      <c r="C620" s="100" t="e">
        <f ca="1">IFERROR(__xludf.DUMMYFUNCTION("""COMPUTED_VALUE"""),"0.1046")</f>
        <v>#NAME?</v>
      </c>
      <c r="D620" s="100" t="e">
        <f t="shared" ca="1" si="80"/>
        <v>#NAME?</v>
      </c>
      <c r="E620" s="100" t="e">
        <f t="shared" ca="1" si="80"/>
        <v>#NAME?</v>
      </c>
      <c r="F620" s="100" t="e">
        <f t="shared" ca="1" si="74"/>
        <v>#NAME?</v>
      </c>
      <c r="G620" s="100" t="e">
        <f t="shared" ca="1" si="75"/>
        <v>#NAME?</v>
      </c>
      <c r="H620" s="100" t="e">
        <f t="shared" ca="1" si="76"/>
        <v>#NAME?</v>
      </c>
      <c r="I620" s="100" t="e">
        <f t="shared" ca="1" si="77"/>
        <v>#NAME?</v>
      </c>
      <c r="J620" s="100" t="e">
        <f ca="1">IFERROR(__xludf.DUMMYFUNCTION("""COMPUTED_VALUE"""),"-3.15")</f>
        <v>#NAME?</v>
      </c>
      <c r="K620" s="100" t="e">
        <f t="shared" ca="1" si="78"/>
        <v>#NAME?</v>
      </c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</row>
    <row r="621" spans="1:26">
      <c r="A621" s="100" t="e">
        <f ca="1">IFERROR(__xludf.DUMMYFUNCTION("""COMPUTED_VALUE"""),12747738)</f>
        <v>#NAME?</v>
      </c>
      <c r="B621" s="100" t="e">
        <f ca="1">IFERROR(__xludf.DUMMYFUNCTION("""COMPUTED_VALUE"""),"SANDUSDT")</f>
        <v>#NAME?</v>
      </c>
      <c r="C621" s="100" t="e">
        <f ca="1">IFERROR(__xludf.DUMMYFUNCTION("""COMPUTED_VALUE"""),"0.2749")</f>
        <v>#NAME?</v>
      </c>
      <c r="D621" s="100" t="e">
        <f t="shared" ca="1" si="80"/>
        <v>#NAME?</v>
      </c>
      <c r="E621" s="100" t="e">
        <f t="shared" ca="1" si="80"/>
        <v>#NAME?</v>
      </c>
      <c r="F621" s="100" t="e">
        <f t="shared" ca="1" si="74"/>
        <v>#NAME?</v>
      </c>
      <c r="G621" s="100" t="e">
        <f t="shared" ca="1" si="75"/>
        <v>#NAME?</v>
      </c>
      <c r="H621" s="100" t="e">
        <f t="shared" ca="1" si="76"/>
        <v>#NAME?</v>
      </c>
      <c r="I621" s="100" t="e">
        <f t="shared" ca="1" si="77"/>
        <v>#NAME?</v>
      </c>
      <c r="J621" s="100" t="e">
        <f ca="1">IFERROR(__xludf.DUMMYFUNCTION("""COMPUTED_VALUE"""),"-2.7199999999999998")</f>
        <v>#NAME?</v>
      </c>
      <c r="K621" s="100" t="e">
        <f t="shared" ca="1" si="78"/>
        <v>#NAME?</v>
      </c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</row>
    <row r="622" spans="1:26">
      <c r="A622" s="100" t="e">
        <f ca="1">IFERROR(__xludf.DUMMYFUNCTION("""COMPUTED_VALUE"""),12747739)</f>
        <v>#NAME?</v>
      </c>
      <c r="B622" s="100" t="e">
        <f ca="1">IFERROR(__xludf.DUMMYFUNCTION("""COMPUTED_VALUE"""),"CTCUSDT")</f>
        <v>#NAME?</v>
      </c>
      <c r="C622" s="100" t="e">
        <f ca="1">IFERROR(__xludf.DUMMYFUNCTION("""COMPUTED_VALUE"""),"0.5768")</f>
        <v>#NAME?</v>
      </c>
      <c r="D622" s="100" t="e">
        <f t="shared" ref="D622:E641" ca="1" si="81">IFERROR(__xludf.DUMMYFUNCTION("""COMPUTED_VALUE"""),"-")</f>
        <v>#NAME?</v>
      </c>
      <c r="E622" s="100" t="e">
        <f t="shared" ca="1" si="81"/>
        <v>#NAME?</v>
      </c>
      <c r="F622" s="100" t="e">
        <f t="shared" ca="1" si="74"/>
        <v>#NAME?</v>
      </c>
      <c r="G622" s="100" t="e">
        <f t="shared" ca="1" si="75"/>
        <v>#NAME?</v>
      </c>
      <c r="H622" s="100" t="e">
        <f t="shared" ca="1" si="76"/>
        <v>#NAME?</v>
      </c>
      <c r="I622" s="100" t="e">
        <f t="shared" ca="1" si="77"/>
        <v>#NAME?</v>
      </c>
      <c r="J622" s="100" t="e">
        <f ca="1">IFERROR(__xludf.DUMMYFUNCTION("""COMPUTED_VALUE"""),"1.8499999999999999")</f>
        <v>#NAME?</v>
      </c>
      <c r="K622" s="100" t="e">
        <f t="shared" ca="1" si="78"/>
        <v>#NAME?</v>
      </c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</row>
    <row r="623" spans="1:26">
      <c r="A623" s="100" t="e">
        <f ca="1">IFERROR(__xludf.DUMMYFUNCTION("""COMPUTED_VALUE"""),12747740)</f>
        <v>#NAME?</v>
      </c>
      <c r="B623" s="100" t="e">
        <f ca="1">IFERROR(__xludf.DUMMYFUNCTION("""COMPUTED_VALUE"""),"SDUSDT")</f>
        <v>#NAME?</v>
      </c>
      <c r="C623" s="100" t="e">
        <f ca="1">IFERROR(__xludf.DUMMYFUNCTION("""COMPUTED_VALUE"""),"0.4727")</f>
        <v>#NAME?</v>
      </c>
      <c r="D623" s="100" t="e">
        <f t="shared" ca="1" si="81"/>
        <v>#NAME?</v>
      </c>
      <c r="E623" s="100" t="e">
        <f t="shared" ca="1" si="81"/>
        <v>#NAME?</v>
      </c>
      <c r="F623" s="100" t="e">
        <f t="shared" ca="1" si="74"/>
        <v>#NAME?</v>
      </c>
      <c r="G623" s="100" t="e">
        <f t="shared" ca="1" si="75"/>
        <v>#NAME?</v>
      </c>
      <c r="H623" s="100" t="e">
        <f t="shared" ca="1" si="76"/>
        <v>#NAME?</v>
      </c>
      <c r="I623" s="100" t="e">
        <f t="shared" ca="1" si="77"/>
        <v>#NAME?</v>
      </c>
      <c r="J623" s="100" t="e">
        <f ca="1">IFERROR(__xludf.DUMMYFUNCTION("""COMPUTED_VALUE"""),"-1.6400000000000001")</f>
        <v>#NAME?</v>
      </c>
      <c r="K623" s="100" t="e">
        <f t="shared" ca="1" si="78"/>
        <v>#NAME?</v>
      </c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</row>
    <row r="624" spans="1:26">
      <c r="A624" s="100" t="e">
        <f ca="1">IFERROR(__xludf.DUMMYFUNCTION("""COMPUTED_VALUE"""),12747741)</f>
        <v>#NAME?</v>
      </c>
      <c r="B624" s="100" t="e">
        <f ca="1">IFERROR(__xludf.DUMMYFUNCTION("""COMPUTED_VALUE"""),"FMCUSDT")</f>
        <v>#NAME?</v>
      </c>
      <c r="C624" s="100" t="e">
        <f ca="1">IFERROR(__xludf.DUMMYFUNCTION("""COMPUTED_VALUE"""),"0.0003643")</f>
        <v>#NAME?</v>
      </c>
      <c r="D624" s="100" t="e">
        <f t="shared" ca="1" si="81"/>
        <v>#NAME?</v>
      </c>
      <c r="E624" s="100" t="e">
        <f t="shared" ca="1" si="81"/>
        <v>#NAME?</v>
      </c>
      <c r="F624" s="100" t="e">
        <f t="shared" ca="1" si="74"/>
        <v>#NAME?</v>
      </c>
      <c r="G624" s="100" t="e">
        <f t="shared" ca="1" si="75"/>
        <v>#NAME?</v>
      </c>
      <c r="H624" s="100" t="e">
        <f t="shared" ca="1" si="76"/>
        <v>#NAME?</v>
      </c>
      <c r="I624" s="100" t="e">
        <f t="shared" ca="1" si="77"/>
        <v>#NAME?</v>
      </c>
      <c r="J624" s="100" t="e">
        <f ca="1">IFERROR(__xludf.DUMMYFUNCTION("""COMPUTED_VALUE"""),"0.58")</f>
        <v>#NAME?</v>
      </c>
      <c r="K624" s="100" t="e">
        <f t="shared" ca="1" si="78"/>
        <v>#NAME?</v>
      </c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</row>
    <row r="625" spans="1:26">
      <c r="A625" s="100" t="e">
        <f ca="1">IFERROR(__xludf.DUMMYFUNCTION("""COMPUTED_VALUE"""),12747742)</f>
        <v>#NAME?</v>
      </c>
      <c r="B625" s="100" t="e">
        <f ca="1">IFERROR(__xludf.DUMMYFUNCTION("""COMPUTED_VALUE"""),"JEFFUSDT")</f>
        <v>#NAME?</v>
      </c>
      <c r="C625" s="100" t="e">
        <f ca="1">IFERROR(__xludf.DUMMYFUNCTION("""COMPUTED_VALUE"""),"0.00444")</f>
        <v>#NAME?</v>
      </c>
      <c r="D625" s="100" t="e">
        <f t="shared" ca="1" si="81"/>
        <v>#NAME?</v>
      </c>
      <c r="E625" s="100" t="e">
        <f t="shared" ca="1" si="81"/>
        <v>#NAME?</v>
      </c>
      <c r="F625" s="100" t="e">
        <f t="shared" ca="1" si="74"/>
        <v>#NAME?</v>
      </c>
      <c r="G625" s="100" t="e">
        <f t="shared" ca="1" si="75"/>
        <v>#NAME?</v>
      </c>
      <c r="H625" s="100" t="e">
        <f t="shared" ca="1" si="76"/>
        <v>#NAME?</v>
      </c>
      <c r="I625" s="100" t="e">
        <f t="shared" ca="1" si="77"/>
        <v>#NAME?</v>
      </c>
      <c r="J625" s="100" t="e">
        <f ca="1">IFERROR(__xludf.DUMMYFUNCTION("""COMPUTED_VALUE"""),"2.54")</f>
        <v>#NAME?</v>
      </c>
      <c r="K625" s="100" t="e">
        <f t="shared" ca="1" si="78"/>
        <v>#NAME?</v>
      </c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</row>
    <row r="626" spans="1:26">
      <c r="A626" s="100" t="e">
        <f ca="1">IFERROR(__xludf.DUMMYFUNCTION("""COMPUTED_VALUE"""),12747743)</f>
        <v>#NAME?</v>
      </c>
      <c r="B626" s="100" t="e">
        <f ca="1">IFERROR(__xludf.DUMMYFUNCTION("""COMPUTED_VALUE"""),"SQRUSDT")</f>
        <v>#NAME?</v>
      </c>
      <c r="C626" s="100" t="e">
        <f ca="1">IFERROR(__xludf.DUMMYFUNCTION("""COMPUTED_VALUE"""),"0.007581")</f>
        <v>#NAME?</v>
      </c>
      <c r="D626" s="100" t="e">
        <f t="shared" ca="1" si="81"/>
        <v>#NAME?</v>
      </c>
      <c r="E626" s="100" t="e">
        <f t="shared" ca="1" si="81"/>
        <v>#NAME?</v>
      </c>
      <c r="F626" s="100" t="e">
        <f t="shared" ca="1" si="74"/>
        <v>#NAME?</v>
      </c>
      <c r="G626" s="100" t="e">
        <f t="shared" ca="1" si="75"/>
        <v>#NAME?</v>
      </c>
      <c r="H626" s="100" t="e">
        <f t="shared" ca="1" si="76"/>
        <v>#NAME?</v>
      </c>
      <c r="I626" s="100" t="e">
        <f t="shared" ca="1" si="77"/>
        <v>#NAME?</v>
      </c>
      <c r="J626" s="100" t="e">
        <f ca="1">IFERROR(__xludf.DUMMYFUNCTION("""COMPUTED_VALUE"""),"10.37")</f>
        <v>#NAME?</v>
      </c>
      <c r="K626" s="100" t="e">
        <f t="shared" ca="1" si="78"/>
        <v>#NAME?</v>
      </c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</row>
    <row r="627" spans="1:26">
      <c r="A627" s="100" t="e">
        <f ca="1">IFERROR(__xludf.DUMMYFUNCTION("""COMPUTED_VALUE"""),12747744)</f>
        <v>#NAME?</v>
      </c>
      <c r="B627" s="100" t="e">
        <f ca="1">IFERROR(__xludf.DUMMYFUNCTION("""COMPUTED_VALUE"""),"ROAMUSDT")</f>
        <v>#NAME?</v>
      </c>
      <c r="C627" s="100" t="e">
        <f ca="1">IFERROR(__xludf.DUMMYFUNCTION("""COMPUTED_VALUE"""),"0.3505")</f>
        <v>#NAME?</v>
      </c>
      <c r="D627" s="100" t="e">
        <f t="shared" ca="1" si="81"/>
        <v>#NAME?</v>
      </c>
      <c r="E627" s="100" t="e">
        <f t="shared" ca="1" si="81"/>
        <v>#NAME?</v>
      </c>
      <c r="F627" s="100" t="e">
        <f t="shared" ca="1" si="74"/>
        <v>#NAME?</v>
      </c>
      <c r="G627" s="100" t="e">
        <f t="shared" ca="1" si="75"/>
        <v>#NAME?</v>
      </c>
      <c r="H627" s="100" t="e">
        <f t="shared" ca="1" si="76"/>
        <v>#NAME?</v>
      </c>
      <c r="I627" s="100" t="e">
        <f t="shared" ca="1" si="77"/>
        <v>#NAME?</v>
      </c>
      <c r="J627" s="100" t="e">
        <f ca="1">IFERROR(__xludf.DUMMYFUNCTION("""COMPUTED_VALUE"""),"1.68")</f>
        <v>#NAME?</v>
      </c>
      <c r="K627" s="100" t="e">
        <f t="shared" ca="1" si="78"/>
        <v>#NAME?</v>
      </c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</row>
    <row r="628" spans="1:26">
      <c r="A628" s="100" t="e">
        <f ca="1">IFERROR(__xludf.DUMMYFUNCTION("""COMPUTED_VALUE"""),12747745)</f>
        <v>#NAME?</v>
      </c>
      <c r="B628" s="100" t="e">
        <f ca="1">IFERROR(__xludf.DUMMYFUNCTION("""COMPUTED_VALUE"""),"PUFFUSDT")</f>
        <v>#NAME?</v>
      </c>
      <c r="C628" s="100" t="e">
        <f ca="1">IFERROR(__xludf.DUMMYFUNCTION("""COMPUTED_VALUE"""),"0.06686")</f>
        <v>#NAME?</v>
      </c>
      <c r="D628" s="100" t="e">
        <f t="shared" ca="1" si="81"/>
        <v>#NAME?</v>
      </c>
      <c r="E628" s="100" t="e">
        <f t="shared" ca="1" si="81"/>
        <v>#NAME?</v>
      </c>
      <c r="F628" s="100" t="e">
        <f t="shared" ca="1" si="74"/>
        <v>#NAME?</v>
      </c>
      <c r="G628" s="100" t="e">
        <f t="shared" ca="1" si="75"/>
        <v>#NAME?</v>
      </c>
      <c r="H628" s="100" t="e">
        <f t="shared" ca="1" si="76"/>
        <v>#NAME?</v>
      </c>
      <c r="I628" s="100" t="e">
        <f t="shared" ca="1" si="77"/>
        <v>#NAME?</v>
      </c>
      <c r="J628" s="100" t="e">
        <f ca="1">IFERROR(__xludf.DUMMYFUNCTION("""COMPUTED_VALUE"""),"-3.27")</f>
        <v>#NAME?</v>
      </c>
      <c r="K628" s="100" t="e">
        <f t="shared" ca="1" si="78"/>
        <v>#NAME?</v>
      </c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</row>
    <row r="629" spans="1:26">
      <c r="A629" s="100" t="e">
        <f ca="1">IFERROR(__xludf.DUMMYFUNCTION("""COMPUTED_VALUE"""),12747746)</f>
        <v>#NAME?</v>
      </c>
      <c r="B629" s="100" t="e">
        <f ca="1">IFERROR(__xludf.DUMMYFUNCTION("""COMPUTED_VALUE"""),"ONDOEUR")</f>
        <v>#NAME?</v>
      </c>
      <c r="C629" s="100" t="e">
        <f ca="1">IFERROR(__xludf.DUMMYFUNCTION("""COMPUTED_VALUE"""),"0.7499")</f>
        <v>#NAME?</v>
      </c>
      <c r="D629" s="100" t="e">
        <f t="shared" ca="1" si="81"/>
        <v>#NAME?</v>
      </c>
      <c r="E629" s="100" t="e">
        <f t="shared" ca="1" si="81"/>
        <v>#NAME?</v>
      </c>
      <c r="F629" s="100" t="e">
        <f t="shared" ca="1" si="74"/>
        <v>#NAME?</v>
      </c>
      <c r="G629" s="100" t="e">
        <f t="shared" ca="1" si="75"/>
        <v>#NAME?</v>
      </c>
      <c r="H629" s="100" t="e">
        <f t="shared" ca="1" si="76"/>
        <v>#NAME?</v>
      </c>
      <c r="I629" s="100" t="e">
        <f t="shared" ca="1" si="77"/>
        <v>#NAME?</v>
      </c>
      <c r="J629" s="100" t="e">
        <f ca="1">IFERROR(__xludf.DUMMYFUNCTION("""COMPUTED_VALUE"""),"-1.3299999999999998")</f>
        <v>#NAME?</v>
      </c>
      <c r="K629" s="100" t="e">
        <f t="shared" ca="1" si="78"/>
        <v>#NAME?</v>
      </c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</row>
    <row r="630" spans="1:26">
      <c r="A630" s="100" t="e">
        <f ca="1">IFERROR(__xludf.DUMMYFUNCTION("""COMPUTED_VALUE"""),12747747)</f>
        <v>#NAME?</v>
      </c>
      <c r="B630" s="100" t="e">
        <f ca="1">IFERROR(__xludf.DUMMYFUNCTION("""COMPUTED_VALUE"""),"TIAUSDC")</f>
        <v>#NAME?</v>
      </c>
      <c r="C630" s="100" t="e">
        <f ca="1">IFERROR(__xludf.DUMMYFUNCTION("""COMPUTED_VALUE"""),"2.518")</f>
        <v>#NAME?</v>
      </c>
      <c r="D630" s="100" t="e">
        <f t="shared" ca="1" si="81"/>
        <v>#NAME?</v>
      </c>
      <c r="E630" s="100" t="e">
        <f t="shared" ca="1" si="81"/>
        <v>#NAME?</v>
      </c>
      <c r="F630" s="100" t="e">
        <f t="shared" ca="1" si="74"/>
        <v>#NAME?</v>
      </c>
      <c r="G630" s="100" t="e">
        <f t="shared" ca="1" si="75"/>
        <v>#NAME?</v>
      </c>
      <c r="H630" s="100" t="e">
        <f t="shared" ca="1" si="76"/>
        <v>#NAME?</v>
      </c>
      <c r="I630" s="100" t="e">
        <f t="shared" ca="1" si="77"/>
        <v>#NAME?</v>
      </c>
      <c r="J630" s="100" t="e">
        <f ca="1">IFERROR(__xludf.DUMMYFUNCTION("""COMPUTED_VALUE"""),"-3.27")</f>
        <v>#NAME?</v>
      </c>
      <c r="K630" s="100" t="e">
        <f t="shared" ca="1" si="78"/>
        <v>#NAME?</v>
      </c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</row>
    <row r="631" spans="1:26">
      <c r="A631" s="100" t="e">
        <f ca="1">IFERROR(__xludf.DUMMYFUNCTION("""COMPUTED_VALUE"""),12747748)</f>
        <v>#NAME?</v>
      </c>
      <c r="B631" s="100" t="e">
        <f ca="1">IFERROR(__xludf.DUMMYFUNCTION("""COMPUTED_VALUE"""),"NEONUSDT")</f>
        <v>#NAME?</v>
      </c>
      <c r="C631" s="100" t="e">
        <f ca="1">IFERROR(__xludf.DUMMYFUNCTION("""COMPUTED_VALUE"""),"0.11891")</f>
        <v>#NAME?</v>
      </c>
      <c r="D631" s="100" t="e">
        <f t="shared" ca="1" si="81"/>
        <v>#NAME?</v>
      </c>
      <c r="E631" s="100" t="e">
        <f t="shared" ca="1" si="81"/>
        <v>#NAME?</v>
      </c>
      <c r="F631" s="100" t="e">
        <f t="shared" ca="1" si="74"/>
        <v>#NAME?</v>
      </c>
      <c r="G631" s="100" t="e">
        <f t="shared" ca="1" si="75"/>
        <v>#NAME?</v>
      </c>
      <c r="H631" s="100" t="e">
        <f t="shared" ca="1" si="76"/>
        <v>#NAME?</v>
      </c>
      <c r="I631" s="100" t="e">
        <f t="shared" ca="1" si="77"/>
        <v>#NAME?</v>
      </c>
      <c r="J631" s="100" t="e">
        <f ca="1">IFERROR(__xludf.DUMMYFUNCTION("""COMPUTED_VALUE"""),"-0.13999999999999999")</f>
        <v>#NAME?</v>
      </c>
      <c r="K631" s="100" t="e">
        <f t="shared" ca="1" si="78"/>
        <v>#NAME?</v>
      </c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</row>
    <row r="632" spans="1:26">
      <c r="A632" s="100" t="e">
        <f ca="1">IFERROR(__xludf.DUMMYFUNCTION("""COMPUTED_VALUE"""),12006706)</f>
        <v>#NAME?</v>
      </c>
      <c r="B632" s="100" t="e">
        <f ca="1">IFERROR(__xludf.DUMMYFUNCTION("""COMPUTED_VALUE"""),"DBRUSDT")</f>
        <v>#NAME?</v>
      </c>
      <c r="C632" s="100" t="e">
        <f ca="1">IFERROR(__xludf.DUMMYFUNCTION("""COMPUTED_VALUE"""),"0.01569")</f>
        <v>#NAME?</v>
      </c>
      <c r="D632" s="100" t="e">
        <f t="shared" ca="1" si="81"/>
        <v>#NAME?</v>
      </c>
      <c r="E632" s="100" t="e">
        <f t="shared" ca="1" si="81"/>
        <v>#NAME?</v>
      </c>
      <c r="F632" s="100" t="e">
        <f t="shared" ref="F632:F638" ca="1" si="82">IFERROR(__xludf.DUMMYFUNCTION("""COMPUTED_VALUE"""),20196)</f>
        <v>#NAME?</v>
      </c>
      <c r="G632" s="100" t="e">
        <f t="shared" ca="1" si="75"/>
        <v>#NAME?</v>
      </c>
      <c r="H632" s="100" t="e">
        <f t="shared" ca="1" si="76"/>
        <v>#NAME?</v>
      </c>
      <c r="I632" s="100" t="e">
        <f t="shared" ref="I632:I638" ca="1" si="83">IFERROR(__xludf.DUMMYFUNCTION("""COMPUTED_VALUE"""),5816544)</f>
        <v>#NAME?</v>
      </c>
      <c r="J632" s="100" t="e">
        <f ca="1">IFERROR(__xludf.DUMMYFUNCTION("""COMPUTED_VALUE"""),"-12.540000000000001")</f>
        <v>#NAME?</v>
      </c>
      <c r="K632" s="100" t="e">
        <f t="shared" ref="K632:K638" ca="1" si="84">IFERROR(__xludf.DUMMYFUNCTION("""COMPUTED_VALUE"""),"18.04.2025 11:00:01")</f>
        <v>#NAME?</v>
      </c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</row>
    <row r="633" spans="1:26">
      <c r="A633" s="100" t="e">
        <f ca="1">IFERROR(__xludf.DUMMYFUNCTION("""COMPUTED_VALUE"""),12006707)</f>
        <v>#NAME?</v>
      </c>
      <c r="B633" s="100" t="e">
        <f ca="1">IFERROR(__xludf.DUMMYFUNCTION("""COMPUTED_VALUE"""),"MIXUSDT")</f>
        <v>#NAME?</v>
      </c>
      <c r="C633" s="100" t="e">
        <f ca="1">IFERROR(__xludf.DUMMYFUNCTION("""COMPUTED_VALUE"""),"0.001055")</f>
        <v>#NAME?</v>
      </c>
      <c r="D633" s="100" t="e">
        <f t="shared" ca="1" si="81"/>
        <v>#NAME?</v>
      </c>
      <c r="E633" s="100" t="e">
        <f t="shared" ca="1" si="81"/>
        <v>#NAME?</v>
      </c>
      <c r="F633" s="100" t="e">
        <f t="shared" ca="1" si="82"/>
        <v>#NAME?</v>
      </c>
      <c r="G633" s="100" t="e">
        <f t="shared" ca="1" si="75"/>
        <v>#NAME?</v>
      </c>
      <c r="H633" s="100" t="e">
        <f t="shared" ca="1" si="76"/>
        <v>#NAME?</v>
      </c>
      <c r="I633" s="100" t="e">
        <f t="shared" ca="1" si="83"/>
        <v>#NAME?</v>
      </c>
      <c r="J633" s="100" t="e">
        <f ca="1">IFERROR(__xludf.DUMMYFUNCTION("""COMPUTED_VALUE"""),"-3.65")</f>
        <v>#NAME?</v>
      </c>
      <c r="K633" s="100" t="e">
        <f t="shared" ca="1" si="84"/>
        <v>#NAME?</v>
      </c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</row>
    <row r="634" spans="1:26">
      <c r="A634" s="100" t="e">
        <f ca="1">IFERROR(__xludf.DUMMYFUNCTION("""COMPUTED_VALUE"""),12006708)</f>
        <v>#NAME?</v>
      </c>
      <c r="B634" s="100" t="e">
        <f ca="1">IFERROR(__xludf.DUMMYFUNCTION("""COMPUTED_VALUE"""),"BCHUSDT")</f>
        <v>#NAME?</v>
      </c>
      <c r="C634" s="100" t="e">
        <f ca="1">IFERROR(__xludf.DUMMYFUNCTION("""COMPUTED_VALUE"""),"329.6")</f>
        <v>#NAME?</v>
      </c>
      <c r="D634" s="100" t="e">
        <f t="shared" ca="1" si="81"/>
        <v>#NAME?</v>
      </c>
      <c r="E634" s="100" t="e">
        <f t="shared" ca="1" si="81"/>
        <v>#NAME?</v>
      </c>
      <c r="F634" s="100" t="e">
        <f t="shared" ca="1" si="82"/>
        <v>#NAME?</v>
      </c>
      <c r="G634" s="100" t="e">
        <f t="shared" ca="1" si="75"/>
        <v>#NAME?</v>
      </c>
      <c r="H634" s="100" t="e">
        <f t="shared" ca="1" si="76"/>
        <v>#NAME?</v>
      </c>
      <c r="I634" s="100" t="e">
        <f t="shared" ca="1" si="83"/>
        <v>#NAME?</v>
      </c>
      <c r="J634" s="100" t="e">
        <f ca="1">IFERROR(__xludf.DUMMYFUNCTION("""COMPUTED_VALUE"""),"-1.08")</f>
        <v>#NAME?</v>
      </c>
      <c r="K634" s="100" t="e">
        <f t="shared" ca="1" si="84"/>
        <v>#NAME?</v>
      </c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</row>
    <row r="635" spans="1:26">
      <c r="A635" s="100" t="e">
        <f ca="1">IFERROR(__xludf.DUMMYFUNCTION("""COMPUTED_VALUE"""),12006709)</f>
        <v>#NAME?</v>
      </c>
      <c r="B635" s="100" t="e">
        <f ca="1">IFERROR(__xludf.DUMMYFUNCTION("""COMPUTED_VALUE"""),"WEETHETH")</f>
        <v>#NAME?</v>
      </c>
      <c r="C635" s="100" t="e">
        <f ca="1">IFERROR(__xludf.DUMMYFUNCTION("""COMPUTED_VALUE"""),"1.0615")</f>
        <v>#NAME?</v>
      </c>
      <c r="D635" s="100" t="e">
        <f t="shared" ca="1" si="81"/>
        <v>#NAME?</v>
      </c>
      <c r="E635" s="100" t="e">
        <f t="shared" ca="1" si="81"/>
        <v>#NAME?</v>
      </c>
      <c r="F635" s="100" t="e">
        <f t="shared" ca="1" si="82"/>
        <v>#NAME?</v>
      </c>
      <c r="G635" s="100" t="e">
        <f t="shared" ca="1" si="75"/>
        <v>#NAME?</v>
      </c>
      <c r="H635" s="100" t="e">
        <f t="shared" ca="1" si="76"/>
        <v>#NAME?</v>
      </c>
      <c r="I635" s="100" t="e">
        <f t="shared" ca="1" si="83"/>
        <v>#NAME?</v>
      </c>
      <c r="J635" s="100" t="e">
        <f ca="1">IFERROR(__xludf.DUMMYFUNCTION("""COMPUTED_VALUE"""),"0.06")</f>
        <v>#NAME?</v>
      </c>
      <c r="K635" s="100" t="e">
        <f t="shared" ca="1" si="84"/>
        <v>#NAME?</v>
      </c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</row>
    <row r="636" spans="1:26">
      <c r="A636" s="100" t="e">
        <f ca="1">IFERROR(__xludf.DUMMYFUNCTION("""COMPUTED_VALUE"""),12006710)</f>
        <v>#NAME?</v>
      </c>
      <c r="B636" s="100" t="e">
        <f ca="1">IFERROR(__xludf.DUMMYFUNCTION("""COMPUTED_VALUE"""),"EOSUSDC")</f>
        <v>#NAME?</v>
      </c>
      <c r="C636" s="100" t="e">
        <f ca="1">IFERROR(__xludf.DUMMYFUNCTION("""COMPUTED_VALUE"""),"0.62")</f>
        <v>#NAME?</v>
      </c>
      <c r="D636" s="100" t="e">
        <f t="shared" ca="1" si="81"/>
        <v>#NAME?</v>
      </c>
      <c r="E636" s="100" t="e">
        <f t="shared" ca="1" si="81"/>
        <v>#NAME?</v>
      </c>
      <c r="F636" s="100" t="e">
        <f t="shared" ca="1" si="82"/>
        <v>#NAME?</v>
      </c>
      <c r="G636" s="100" t="e">
        <f t="shared" ca="1" si="75"/>
        <v>#NAME?</v>
      </c>
      <c r="H636" s="100" t="e">
        <f t="shared" ca="1" si="76"/>
        <v>#NAME?</v>
      </c>
      <c r="I636" s="100" t="e">
        <f t="shared" ca="1" si="83"/>
        <v>#NAME?</v>
      </c>
      <c r="J636" s="100" t="e">
        <f ca="1">IFERROR(__xludf.DUMMYFUNCTION("""COMPUTED_VALUE"""),"1.4200000000000002")</f>
        <v>#NAME?</v>
      </c>
      <c r="K636" s="100" t="e">
        <f t="shared" ca="1" si="84"/>
        <v>#NAME?</v>
      </c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</row>
    <row r="637" spans="1:26">
      <c r="A637" s="100" t="e">
        <f ca="1">IFERROR(__xludf.DUMMYFUNCTION("""COMPUTED_VALUE"""),12006711)</f>
        <v>#NAME?</v>
      </c>
      <c r="B637" s="100" t="e">
        <f ca="1">IFERROR(__xludf.DUMMYFUNCTION("""COMPUTED_VALUE"""),"CHILLGUYUSDT")</f>
        <v>#NAME?</v>
      </c>
      <c r="C637" s="100" t="e">
        <f ca="1">IFERROR(__xludf.DUMMYFUNCTION("""COMPUTED_VALUE"""),"0.02389")</f>
        <v>#NAME?</v>
      </c>
      <c r="D637" s="100" t="e">
        <f t="shared" ca="1" si="81"/>
        <v>#NAME?</v>
      </c>
      <c r="E637" s="100" t="e">
        <f t="shared" ca="1" si="81"/>
        <v>#NAME?</v>
      </c>
      <c r="F637" s="100" t="e">
        <f t="shared" ca="1" si="82"/>
        <v>#NAME?</v>
      </c>
      <c r="G637" s="100" t="e">
        <f t="shared" ca="1" si="75"/>
        <v>#NAME?</v>
      </c>
      <c r="H637" s="100" t="e">
        <f t="shared" ca="1" si="76"/>
        <v>#NAME?</v>
      </c>
      <c r="I637" s="100" t="e">
        <f t="shared" ca="1" si="83"/>
        <v>#NAME?</v>
      </c>
      <c r="J637" s="100" t="e">
        <f ca="1">IFERROR(__xludf.DUMMYFUNCTION("""COMPUTED_VALUE"""),"11.899999999999999")</f>
        <v>#NAME?</v>
      </c>
      <c r="K637" s="100" t="e">
        <f t="shared" ca="1" si="84"/>
        <v>#NAME?</v>
      </c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</row>
    <row r="638" spans="1:26">
      <c r="A638" s="100" t="e">
        <f ca="1">IFERROR(__xludf.DUMMYFUNCTION("""COMPUTED_VALUE"""),12006712)</f>
        <v>#NAME?</v>
      </c>
      <c r="B638" s="100" t="e">
        <f ca="1">IFERROR(__xludf.DUMMYFUNCTION("""COMPUTED_VALUE"""),"QNTUSDT")</f>
        <v>#NAME?</v>
      </c>
      <c r="C638" s="100" t="e">
        <f ca="1">IFERROR(__xludf.DUMMYFUNCTION("""COMPUTED_VALUE"""),"65.36")</f>
        <v>#NAME?</v>
      </c>
      <c r="D638" s="100" t="e">
        <f t="shared" ca="1" si="81"/>
        <v>#NAME?</v>
      </c>
      <c r="E638" s="100" t="e">
        <f t="shared" ca="1" si="81"/>
        <v>#NAME?</v>
      </c>
      <c r="F638" s="100" t="e">
        <f t="shared" ca="1" si="82"/>
        <v>#NAME?</v>
      </c>
      <c r="G638" s="100" t="e">
        <f t="shared" ca="1" si="75"/>
        <v>#NAME?</v>
      </c>
      <c r="H638" s="100" t="e">
        <f t="shared" ca="1" si="76"/>
        <v>#NAME?</v>
      </c>
      <c r="I638" s="100" t="e">
        <f t="shared" ca="1" si="83"/>
        <v>#NAME?</v>
      </c>
      <c r="J638" s="100" t="e">
        <f ca="1">IFERROR(__xludf.DUMMYFUNCTION("""COMPUTED_VALUE"""),"0.18")</f>
        <v>#NAME?</v>
      </c>
      <c r="K638" s="100" t="e">
        <f t="shared" ca="1" si="84"/>
        <v>#NAME?</v>
      </c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</row>
    <row r="639" spans="1:26">
      <c r="A639" s="100" t="e">
        <f ca="1">IFERROR(__xludf.DUMMYFUNCTION("""COMPUTED_VALUE"""),11641380)</f>
        <v>#NAME?</v>
      </c>
      <c r="B639" s="100" t="e">
        <f ca="1">IFERROR(__xludf.DUMMYFUNCTION("""COMPUTED_VALUE"""),"JASMYUSDC")</f>
        <v>#NAME?</v>
      </c>
      <c r="C639" s="100" t="e">
        <f ca="1">IFERROR(__xludf.DUMMYFUNCTION("""COMPUTED_VALUE"""),"0.01393")</f>
        <v>#NAME?</v>
      </c>
      <c r="D639" s="100" t="e">
        <f t="shared" ca="1" si="81"/>
        <v>#NAME?</v>
      </c>
      <c r="E639" s="100" t="e">
        <f t="shared" ca="1" si="81"/>
        <v>#NAME?</v>
      </c>
      <c r="F639" s="100" t="e">
        <f ca="1">IFERROR(__xludf.DUMMYFUNCTION("""COMPUTED_VALUE"""),20194)</f>
        <v>#NAME?</v>
      </c>
      <c r="G639" s="100" t="e">
        <f ca="1">IFERROR(__xludf.DUMMYFUNCTION("""COMPUTED_VALUE"""),2884)</f>
        <v>#NAME?</v>
      </c>
      <c r="H639" s="100" t="e">
        <f t="shared" ca="1" si="76"/>
        <v>#NAME?</v>
      </c>
      <c r="I639" s="100" t="e">
        <f ca="1">IFERROR(__xludf.DUMMYFUNCTION("""COMPUTED_VALUE"""),5815970)</f>
        <v>#NAME?</v>
      </c>
      <c r="J639" s="100" t="e">
        <f ca="1">IFERROR(__xludf.DUMMYFUNCTION("""COMPUTED_VALUE"""),"-10.190000000000001")</f>
        <v>#NAME?</v>
      </c>
      <c r="K639" s="100" t="e">
        <f ca="1">IFERROR(__xludf.DUMMYFUNCTION("""COMPUTED_VALUE"""),"16.04.2025 11:10:01")</f>
        <v>#NAME?</v>
      </c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</row>
    <row r="640" spans="1:26">
      <c r="A640" s="100" t="e">
        <f ca="1">IFERROR(__xludf.DUMMYFUNCTION("""COMPUTED_VALUE"""),11641381)</f>
        <v>#NAME?</v>
      </c>
      <c r="B640" s="100" t="e">
        <f ca="1">IFERROR(__xludf.DUMMYFUNCTION("""COMPUTED_VALUE"""),"STOPUSDT")</f>
        <v>#NAME?</v>
      </c>
      <c r="C640" s="100" t="e">
        <f ca="1">IFERROR(__xludf.DUMMYFUNCTION("""COMPUTED_VALUE"""),"0.0873")</f>
        <v>#NAME?</v>
      </c>
      <c r="D640" s="100" t="e">
        <f t="shared" ca="1" si="81"/>
        <v>#NAME?</v>
      </c>
      <c r="E640" s="100" t="e">
        <f t="shared" ca="1" si="81"/>
        <v>#NAME?</v>
      </c>
      <c r="F640" s="100" t="e">
        <f ca="1">IFERROR(__xludf.DUMMYFUNCTION("""COMPUTED_VALUE"""),20194)</f>
        <v>#NAME?</v>
      </c>
      <c r="G640" s="100" t="e">
        <f ca="1">IFERROR(__xludf.DUMMYFUNCTION("""COMPUTED_VALUE"""),2884)</f>
        <v>#NAME?</v>
      </c>
      <c r="H640" s="100" t="e">
        <f t="shared" ca="1" si="76"/>
        <v>#NAME?</v>
      </c>
      <c r="I640" s="100" t="e">
        <f ca="1">IFERROR(__xludf.DUMMYFUNCTION("""COMPUTED_VALUE"""),5815970)</f>
        <v>#NAME?</v>
      </c>
      <c r="J640" s="100" t="e">
        <f ca="1">IFERROR(__xludf.DUMMYFUNCTION("""COMPUTED_VALUE"""),"-2.9899999999999998")</f>
        <v>#NAME?</v>
      </c>
      <c r="K640" s="100" t="e">
        <f ca="1">IFERROR(__xludf.DUMMYFUNCTION("""COMPUTED_VALUE"""),"16.04.2025 11:10:01")</f>
        <v>#NAME?</v>
      </c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</row>
    <row r="641" spans="1:26">
      <c r="A641" s="100" t="e">
        <f ca="1">IFERROR(__xludf.DUMMYFUNCTION("""COMPUTED_VALUE"""),11641382)</f>
        <v>#NAME?</v>
      </c>
      <c r="B641" s="100" t="e">
        <f ca="1">IFERROR(__xludf.DUMMYFUNCTION("""COMPUTED_VALUE"""),"BERAUSDT")</f>
        <v>#NAME?</v>
      </c>
      <c r="C641" s="100" t="e">
        <f ca="1">IFERROR(__xludf.DUMMYFUNCTION("""COMPUTED_VALUE"""),"3.726")</f>
        <v>#NAME?</v>
      </c>
      <c r="D641" s="100" t="e">
        <f t="shared" ca="1" si="81"/>
        <v>#NAME?</v>
      </c>
      <c r="E641" s="100" t="e">
        <f t="shared" ca="1" si="81"/>
        <v>#NAME?</v>
      </c>
      <c r="F641" s="100" t="e">
        <f ca="1">IFERROR(__xludf.DUMMYFUNCTION("""COMPUTED_VALUE"""),20194)</f>
        <v>#NAME?</v>
      </c>
      <c r="G641" s="100" t="e">
        <f ca="1">IFERROR(__xludf.DUMMYFUNCTION("""COMPUTED_VALUE"""),2884)</f>
        <v>#NAME?</v>
      </c>
      <c r="H641" s="100" t="e">
        <f t="shared" ca="1" si="76"/>
        <v>#NAME?</v>
      </c>
      <c r="I641" s="100" t="e">
        <f ca="1">IFERROR(__xludf.DUMMYFUNCTION("""COMPUTED_VALUE"""),5815970)</f>
        <v>#NAME?</v>
      </c>
      <c r="J641" s="100" t="e">
        <f ca="1">IFERROR(__xludf.DUMMYFUNCTION("""COMPUTED_VALUE"""),"-9.78")</f>
        <v>#NAME?</v>
      </c>
      <c r="K641" s="100" t="e">
        <f ca="1">IFERROR(__xludf.DUMMYFUNCTION("""COMPUTED_VALUE"""),"16.04.2025 11:10:01")</f>
        <v>#NAME?</v>
      </c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</row>
    <row r="642" spans="1:26">
      <c r="A642" s="100" t="e">
        <f ca="1">IFERROR(__xludf.DUMMYFUNCTION("""COMPUTED_VALUE"""),11641383)</f>
        <v>#NAME?</v>
      </c>
      <c r="B642" s="100" t="e">
        <f ca="1">IFERROR(__xludf.DUMMYFUNCTION("""COMPUTED_VALUE"""),"KASUSDT")</f>
        <v>#NAME?</v>
      </c>
      <c r="C642" s="100" t="e">
        <f ca="1">IFERROR(__xludf.DUMMYFUNCTION("""COMPUTED_VALUE"""),"0.07281")</f>
        <v>#NAME?</v>
      </c>
      <c r="D642" s="100" t="e">
        <f t="shared" ref="D642:E651" ca="1" si="85">IFERROR(__xludf.DUMMYFUNCTION("""COMPUTED_VALUE"""),"-")</f>
        <v>#NAME?</v>
      </c>
      <c r="E642" s="100" t="e">
        <f t="shared" ca="1" si="85"/>
        <v>#NAME?</v>
      </c>
      <c r="F642" s="100" t="e">
        <f ca="1">IFERROR(__xludf.DUMMYFUNCTION("""COMPUTED_VALUE"""),20194)</f>
        <v>#NAME?</v>
      </c>
      <c r="G642" s="100" t="e">
        <f ca="1">IFERROR(__xludf.DUMMYFUNCTION("""COMPUTED_VALUE"""),2884)</f>
        <v>#NAME?</v>
      </c>
      <c r="H642" s="100" t="e">
        <f t="shared" ref="H642:H647" ca="1" si="86">IFERROR(__xludf.DUMMYFUNCTION("""COMPUTED_VALUE"""),663)</f>
        <v>#NAME?</v>
      </c>
      <c r="I642" s="100" t="e">
        <f ca="1">IFERROR(__xludf.DUMMYFUNCTION("""COMPUTED_VALUE"""),5815970)</f>
        <v>#NAME?</v>
      </c>
      <c r="J642" s="100" t="e">
        <f ca="1">IFERROR(__xludf.DUMMYFUNCTION("""COMPUTED_VALUE"""),"-6.4399999999999995")</f>
        <v>#NAME?</v>
      </c>
      <c r="K642" s="100" t="e">
        <f ca="1">IFERROR(__xludf.DUMMYFUNCTION("""COMPUTED_VALUE"""),"16.04.2025 11:10:01")</f>
        <v>#NAME?</v>
      </c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</row>
    <row r="643" spans="1:26">
      <c r="A643" s="100" t="e">
        <f ca="1">IFERROR(__xludf.DUMMYFUNCTION("""COMPUTED_VALUE"""),11641384)</f>
        <v>#NAME?</v>
      </c>
      <c r="B643" s="100" t="e">
        <f ca="1">IFERROR(__xludf.DUMMYFUNCTION("""COMPUTED_VALUE"""),"ZENUSDT")</f>
        <v>#NAME?</v>
      </c>
      <c r="C643" s="100" t="e">
        <f ca="1">IFERROR(__xludf.DUMMYFUNCTION("""COMPUTED_VALUE"""),"8.17")</f>
        <v>#NAME?</v>
      </c>
      <c r="D643" s="100" t="e">
        <f t="shared" ca="1" si="85"/>
        <v>#NAME?</v>
      </c>
      <c r="E643" s="100" t="e">
        <f t="shared" ca="1" si="85"/>
        <v>#NAME?</v>
      </c>
      <c r="F643" s="100" t="e">
        <f ca="1">IFERROR(__xludf.DUMMYFUNCTION("""COMPUTED_VALUE"""),20194)</f>
        <v>#NAME?</v>
      </c>
      <c r="G643" s="100" t="e">
        <f ca="1">IFERROR(__xludf.DUMMYFUNCTION("""COMPUTED_VALUE"""),2884)</f>
        <v>#NAME?</v>
      </c>
      <c r="H643" s="100" t="e">
        <f t="shared" ca="1" si="86"/>
        <v>#NAME?</v>
      </c>
      <c r="I643" s="100" t="e">
        <f ca="1">IFERROR(__xludf.DUMMYFUNCTION("""COMPUTED_VALUE"""),5815970)</f>
        <v>#NAME?</v>
      </c>
      <c r="J643" s="100" t="e">
        <f ca="1">IFERROR(__xludf.DUMMYFUNCTION("""COMPUTED_VALUE"""),"-2.62")</f>
        <v>#NAME?</v>
      </c>
      <c r="K643" s="100" t="e">
        <f ca="1">IFERROR(__xludf.DUMMYFUNCTION("""COMPUTED_VALUE"""),"16.04.2025 11:10:01")</f>
        <v>#NAME?</v>
      </c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</row>
    <row r="644" spans="1:26">
      <c r="A644" s="100" t="e">
        <f ca="1">IFERROR(__xludf.DUMMYFUNCTION("""COMPUTED_VALUE"""),9432198)</f>
        <v>#NAME?</v>
      </c>
      <c r="B644" s="100" t="e">
        <f ca="1">IFERROR(__xludf.DUMMYFUNCTION("""COMPUTED_VALUE"""),"SOLBRL")</f>
        <v>#NAME?</v>
      </c>
      <c r="C644" s="100" t="e">
        <f ca="1">IFERROR(__xludf.DUMMYFUNCTION("""COMPUTED_VALUE"""),"669.4")</f>
        <v>#NAME?</v>
      </c>
      <c r="D644" s="100" t="e">
        <f t="shared" ca="1" si="85"/>
        <v>#NAME?</v>
      </c>
      <c r="E644" s="100" t="e">
        <f t="shared" ca="1" si="85"/>
        <v>#NAME?</v>
      </c>
      <c r="F644" s="100" t="e">
        <f ca="1">IFERROR(__xludf.DUMMYFUNCTION("""COMPUTED_VALUE"""),20182)</f>
        <v>#NAME?</v>
      </c>
      <c r="G644" s="100" t="e">
        <f ca="1">IFERROR(__xludf.DUMMYFUNCTION("""COMPUTED_VALUE"""),2883)</f>
        <v>#NAME?</v>
      </c>
      <c r="H644" s="100" t="e">
        <f t="shared" ca="1" si="86"/>
        <v>#NAME?</v>
      </c>
      <c r="I644" s="100" t="e">
        <f ca="1">IFERROR(__xludf.DUMMYFUNCTION("""COMPUTED_VALUE"""),5812512)</f>
        <v>#NAME?</v>
      </c>
      <c r="J644" s="100" t="e">
        <f ca="1">IFERROR(__xludf.DUMMYFUNCTION("""COMPUTED_VALUE"""),"-0.89")</f>
        <v>#NAME?</v>
      </c>
      <c r="K644" s="100" t="e">
        <f ca="1">IFERROR(__xludf.DUMMYFUNCTION("""COMPUTED_VALUE"""),"04.04.2025 11:00:02")</f>
        <v>#NAME?</v>
      </c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</row>
    <row r="645" spans="1:26">
      <c r="A645" s="100" t="e">
        <f ca="1">IFERROR(__xludf.DUMMYFUNCTION("""COMPUTED_VALUE"""),9432167)</f>
        <v>#NAME?</v>
      </c>
      <c r="B645" s="100" t="e">
        <f ca="1">IFERROR(__xludf.DUMMYFUNCTION("""COMPUTED_VALUE"""),"SUSDT")</f>
        <v>#NAME?</v>
      </c>
      <c r="C645" s="100" t="e">
        <f ca="1">IFERROR(__xludf.DUMMYFUNCTION("""COMPUTED_VALUE"""),"0.4879")</f>
        <v>#NAME?</v>
      </c>
      <c r="D645" s="100" t="e">
        <f t="shared" ca="1" si="85"/>
        <v>#NAME?</v>
      </c>
      <c r="E645" s="100" t="e">
        <f t="shared" ca="1" si="85"/>
        <v>#NAME?</v>
      </c>
      <c r="F645" s="100" t="e">
        <f ca="1">IFERROR(__xludf.DUMMYFUNCTION("""COMPUTED_VALUE"""),20182)</f>
        <v>#NAME?</v>
      </c>
      <c r="G645" s="100" t="e">
        <f ca="1">IFERROR(__xludf.DUMMYFUNCTION("""COMPUTED_VALUE"""),2883)</f>
        <v>#NAME?</v>
      </c>
      <c r="H645" s="100" t="e">
        <f t="shared" ca="1" si="86"/>
        <v>#NAME?</v>
      </c>
      <c r="I645" s="100" t="e">
        <f ca="1">IFERROR(__xludf.DUMMYFUNCTION("""COMPUTED_VALUE"""),5812511)</f>
        <v>#NAME?</v>
      </c>
      <c r="J645" s="100" t="e">
        <f ca="1">IFERROR(__xludf.DUMMYFUNCTION("""COMPUTED_VALUE"""),"4.16")</f>
        <v>#NAME?</v>
      </c>
      <c r="K645" s="100" t="e">
        <f ca="1">IFERROR(__xludf.DUMMYFUNCTION("""COMPUTED_VALUE"""),"04.04.2025 10:55:01")</f>
        <v>#NAME?</v>
      </c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</row>
    <row r="646" spans="1:26">
      <c r="A646" s="100" t="e">
        <f ca="1">IFERROR(__xludf.DUMMYFUNCTION("""COMPUTED_VALUE"""),9432168)</f>
        <v>#NAME?</v>
      </c>
      <c r="B646" s="100" t="e">
        <f ca="1">IFERROR(__xludf.DUMMYFUNCTION("""COMPUTED_VALUE"""),"LDOUSDC")</f>
        <v>#NAME?</v>
      </c>
      <c r="C646" s="100" t="e">
        <f ca="1">IFERROR(__xludf.DUMMYFUNCTION("""COMPUTED_VALUE"""),"0.847")</f>
        <v>#NAME?</v>
      </c>
      <c r="D646" s="100" t="e">
        <f t="shared" ca="1" si="85"/>
        <v>#NAME?</v>
      </c>
      <c r="E646" s="100" t="e">
        <f t="shared" ca="1" si="85"/>
        <v>#NAME?</v>
      </c>
      <c r="F646" s="100" t="e">
        <f ca="1">IFERROR(__xludf.DUMMYFUNCTION("""COMPUTED_VALUE"""),20182)</f>
        <v>#NAME?</v>
      </c>
      <c r="G646" s="100" t="e">
        <f ca="1">IFERROR(__xludf.DUMMYFUNCTION("""COMPUTED_VALUE"""),2883)</f>
        <v>#NAME?</v>
      </c>
      <c r="H646" s="100" t="e">
        <f t="shared" ca="1" si="86"/>
        <v>#NAME?</v>
      </c>
      <c r="I646" s="100" t="e">
        <f ca="1">IFERROR(__xludf.DUMMYFUNCTION("""COMPUTED_VALUE"""),5812511)</f>
        <v>#NAME?</v>
      </c>
      <c r="J646" s="100" t="e">
        <f ca="1">IFERROR(__xludf.DUMMYFUNCTION("""COMPUTED_VALUE"""),"3.04")</f>
        <v>#NAME?</v>
      </c>
      <c r="K646" s="100" t="e">
        <f ca="1">IFERROR(__xludf.DUMMYFUNCTION("""COMPUTED_VALUE"""),"04.04.2025 10:55:01")</f>
        <v>#NAME?</v>
      </c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</row>
    <row r="647" spans="1:26">
      <c r="A647" s="100" t="e">
        <f ca="1">IFERROR(__xludf.DUMMYFUNCTION("""COMPUTED_VALUE"""),9432169)</f>
        <v>#NAME?</v>
      </c>
      <c r="B647" s="100" t="e">
        <f ca="1">IFERROR(__xludf.DUMMYFUNCTION("""COMPUTED_VALUE"""),"ICPUSDT")</f>
        <v>#NAME?</v>
      </c>
      <c r="C647" s="100" t="e">
        <f ca="1">IFERROR(__xludf.DUMMYFUNCTION("""COMPUTED_VALUE"""),"5.215")</f>
        <v>#NAME?</v>
      </c>
      <c r="D647" s="100" t="e">
        <f t="shared" ca="1" si="85"/>
        <v>#NAME?</v>
      </c>
      <c r="E647" s="100" t="e">
        <f t="shared" ca="1" si="85"/>
        <v>#NAME?</v>
      </c>
      <c r="F647" s="100" t="e">
        <f ca="1">IFERROR(__xludf.DUMMYFUNCTION("""COMPUTED_VALUE"""),20182)</f>
        <v>#NAME?</v>
      </c>
      <c r="G647" s="100" t="e">
        <f ca="1">IFERROR(__xludf.DUMMYFUNCTION("""COMPUTED_VALUE"""),2883)</f>
        <v>#NAME?</v>
      </c>
      <c r="H647" s="100" t="e">
        <f t="shared" ca="1" si="86"/>
        <v>#NAME?</v>
      </c>
      <c r="I647" s="100" t="e">
        <f ca="1">IFERROR(__xludf.DUMMYFUNCTION("""COMPUTED_VALUE"""),5812511)</f>
        <v>#NAME?</v>
      </c>
      <c r="J647" s="100" t="e">
        <f ca="1">IFERROR(__xludf.DUMMYFUNCTION("""COMPUTED_VALUE"""),"1.8399999999999999")</f>
        <v>#NAME?</v>
      </c>
      <c r="K647" s="100" t="e">
        <f ca="1">IFERROR(__xludf.DUMMYFUNCTION("""COMPUTED_VALUE"""),"04.04.2025 10:55:01")</f>
        <v>#NAME?</v>
      </c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</row>
    <row r="648" spans="1:26">
      <c r="A648" s="100" t="e">
        <f ca="1">IFERROR(__xludf.DUMMYFUNCTION("""COMPUTED_VALUE"""),8876558)</f>
        <v>#NAME?</v>
      </c>
      <c r="B648" s="100" t="e">
        <f ca="1">IFERROR(__xludf.DUMMYFUNCTION("""COMPUTED_VALUE"""),"PIPUSDT")</f>
        <v>#NAME?</v>
      </c>
      <c r="C648" s="100" t="e">
        <f ca="1">IFERROR(__xludf.DUMMYFUNCTION("""COMPUTED_VALUE"""),"0.00409")</f>
        <v>#NAME?</v>
      </c>
      <c r="D648" s="100" t="e">
        <f t="shared" ca="1" si="85"/>
        <v>#NAME?</v>
      </c>
      <c r="E648" s="100" t="e">
        <f t="shared" ca="1" si="85"/>
        <v>#NAME?</v>
      </c>
      <c r="F648" s="100" t="e">
        <f ca="1">IFERROR(__xludf.DUMMYFUNCTION("""COMPUTED_VALUE"""),20179)</f>
        <v>#NAME?</v>
      </c>
      <c r="G648" s="100" t="e">
        <f t="shared" ref="G648:G658" ca="1" si="87">IFERROR(__xludf.DUMMYFUNCTION("""COMPUTED_VALUE"""),2882)</f>
        <v>#NAME?</v>
      </c>
      <c r="H648" s="100" t="e">
        <f t="shared" ref="H648:H661" ca="1" si="88">IFERROR(__xludf.DUMMYFUNCTION("""COMPUTED_VALUE"""),662)</f>
        <v>#NAME?</v>
      </c>
      <c r="I648" s="100" t="e">
        <f ca="1">IFERROR(__xludf.DUMMYFUNCTION("""COMPUTED_VALUE"""),5811647)</f>
        <v>#NAME?</v>
      </c>
      <c r="J648" s="100" t="e">
        <f ca="1">IFERROR(__xludf.DUMMYFUNCTION("""COMPUTED_VALUE"""),"0.49")</f>
        <v>#NAME?</v>
      </c>
      <c r="K648" s="100" t="e">
        <f ca="1">IFERROR(__xludf.DUMMYFUNCTION("""COMPUTED_VALUE"""),"01.04.2025 10:55:01")</f>
        <v>#NAME?</v>
      </c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</row>
    <row r="649" spans="1:26">
      <c r="A649" s="100" t="e">
        <f ca="1">IFERROR(__xludf.DUMMYFUNCTION("""COMPUTED_VALUE"""),8876559)</f>
        <v>#NAME?</v>
      </c>
      <c r="B649" s="100" t="e">
        <f ca="1">IFERROR(__xludf.DUMMYFUNCTION("""COMPUTED_VALUE"""),"KARATEUSDT")</f>
        <v>#NAME?</v>
      </c>
      <c r="C649" s="100" t="e">
        <f ca="1">IFERROR(__xludf.DUMMYFUNCTION("""COMPUTED_VALUE"""),"0.0001512")</f>
        <v>#NAME?</v>
      </c>
      <c r="D649" s="100" t="e">
        <f t="shared" ca="1" si="85"/>
        <v>#NAME?</v>
      </c>
      <c r="E649" s="100" t="e">
        <f t="shared" ca="1" si="85"/>
        <v>#NAME?</v>
      </c>
      <c r="F649" s="100" t="e">
        <f ca="1">IFERROR(__xludf.DUMMYFUNCTION("""COMPUTED_VALUE"""),20179)</f>
        <v>#NAME?</v>
      </c>
      <c r="G649" s="100" t="e">
        <f t="shared" ca="1" si="87"/>
        <v>#NAME?</v>
      </c>
      <c r="H649" s="100" t="e">
        <f t="shared" ca="1" si="88"/>
        <v>#NAME?</v>
      </c>
      <c r="I649" s="100" t="e">
        <f ca="1">IFERROR(__xludf.DUMMYFUNCTION("""COMPUTED_VALUE"""),5811647)</f>
        <v>#NAME?</v>
      </c>
      <c r="J649" s="100" t="e">
        <f ca="1">IFERROR(__xludf.DUMMYFUNCTION("""COMPUTED_VALUE"""),"2.44")</f>
        <v>#NAME?</v>
      </c>
      <c r="K649" s="100" t="e">
        <f ca="1">IFERROR(__xludf.DUMMYFUNCTION("""COMPUTED_VALUE"""),"01.04.2025 10:55:01")</f>
        <v>#NAME?</v>
      </c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</row>
    <row r="650" spans="1:26">
      <c r="A650" s="100" t="e">
        <f ca="1">IFERROR(__xludf.DUMMYFUNCTION("""COMPUTED_VALUE"""),8876560)</f>
        <v>#NAME?</v>
      </c>
      <c r="B650" s="100" t="e">
        <f ca="1">IFERROR(__xludf.DUMMYFUNCTION("""COMPUTED_VALUE"""),"CHZUSDT")</f>
        <v>#NAME?</v>
      </c>
      <c r="C650" s="100" t="e">
        <f ca="1">IFERROR(__xludf.DUMMYFUNCTION("""COMPUTED_VALUE"""),"0.0435")</f>
        <v>#NAME?</v>
      </c>
      <c r="D650" s="100" t="e">
        <f t="shared" ca="1" si="85"/>
        <v>#NAME?</v>
      </c>
      <c r="E650" s="100" t="e">
        <f t="shared" ca="1" si="85"/>
        <v>#NAME?</v>
      </c>
      <c r="F650" s="100" t="e">
        <f ca="1">IFERROR(__xludf.DUMMYFUNCTION("""COMPUTED_VALUE"""),20179)</f>
        <v>#NAME?</v>
      </c>
      <c r="G650" s="100" t="e">
        <f t="shared" ca="1" si="87"/>
        <v>#NAME?</v>
      </c>
      <c r="H650" s="100" t="e">
        <f t="shared" ca="1" si="88"/>
        <v>#NAME?</v>
      </c>
      <c r="I650" s="100" t="e">
        <f ca="1">IFERROR(__xludf.DUMMYFUNCTION("""COMPUTED_VALUE"""),5811647)</f>
        <v>#NAME?</v>
      </c>
      <c r="J650" s="100" t="e">
        <f ca="1">IFERROR(__xludf.DUMMYFUNCTION("""COMPUTED_VALUE"""),"4.82")</f>
        <v>#NAME?</v>
      </c>
      <c r="K650" s="100" t="e">
        <f ca="1">IFERROR(__xludf.DUMMYFUNCTION("""COMPUTED_VALUE"""),"01.04.2025 10:55:01")</f>
        <v>#NAME?</v>
      </c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</row>
    <row r="651" spans="1:26">
      <c r="A651" s="100" t="e">
        <f ca="1">IFERROR(__xludf.DUMMYFUNCTION("""COMPUTED_VALUE"""),8875894)</f>
        <v>#NAME?</v>
      </c>
      <c r="B651" s="100" t="e">
        <f ca="1">IFERROR(__xludf.DUMMYFUNCTION("""COMPUTED_VALUE"""),"ICPUSDT")</f>
        <v>#NAME?</v>
      </c>
      <c r="C651" s="100" t="e">
        <f ca="1">IFERROR(__xludf.DUMMYFUNCTION("""COMPUTED_VALUE"""),"5.411")</f>
        <v>#NAME?</v>
      </c>
      <c r="D651" s="100" t="e">
        <f t="shared" ca="1" si="85"/>
        <v>#NAME?</v>
      </c>
      <c r="E651" s="100" t="e">
        <f t="shared" ca="1" si="85"/>
        <v>#NAME?</v>
      </c>
      <c r="F651" s="100" t="e">
        <f ca="1">IFERROR(__xludf.DUMMYFUNCTION("""COMPUTED_VALUE"""),20179)</f>
        <v>#NAME?</v>
      </c>
      <c r="G651" s="100" t="e">
        <f t="shared" ca="1" si="87"/>
        <v>#NAME?</v>
      </c>
      <c r="H651" s="100" t="e">
        <f t="shared" ca="1" si="88"/>
        <v>#NAME?</v>
      </c>
      <c r="I651" s="100" t="e">
        <f ca="1">IFERROR(__xludf.DUMMYFUNCTION("""COMPUTED_VALUE"""),5811646)</f>
        <v>#NAME?</v>
      </c>
      <c r="J651" s="100" t="e">
        <f ca="1">IFERROR(__xludf.DUMMYFUNCTION("""COMPUTED_VALUE"""),"4.3999999999999995")</f>
        <v>#NAME?</v>
      </c>
      <c r="K651" s="100" t="e">
        <f ca="1">IFERROR(__xludf.DUMMYFUNCTION("""COMPUTED_VALUE"""),"01.04.2025 10:50:01")</f>
        <v>#NAME?</v>
      </c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</row>
    <row r="652" spans="1:26">
      <c r="A652" s="100" t="e">
        <f ca="1">IFERROR(__xludf.DUMMYFUNCTION("""COMPUTED_VALUE"""),8128431)</f>
        <v>#NAME?</v>
      </c>
      <c r="B652" s="100" t="e">
        <f ca="1">IFERROR(__xludf.DUMMYFUNCTION("""COMPUTED_VALUE"""),"ETHWUSDT")</f>
        <v>#NAME?</v>
      </c>
      <c r="C652" s="100" t="e">
        <f ca="1">IFERROR(__xludf.DUMMYFUNCTION("""COMPUTED_VALUE"""),"1.3957")</f>
        <v>#NAME?</v>
      </c>
      <c r="D652" s="100" t="e">
        <f ca="1">IFERROR(__xludf.DUMMYFUNCTION("""COMPUTED_VALUE"""),"-3.10")</f>
        <v>#NAME?</v>
      </c>
      <c r="E652" s="100" t="e">
        <f t="shared" ref="E652:E669" ca="1" si="89">IFERROR(__xludf.DUMMYFUNCTION("""COMPUTED_VALUE"""),"-")</f>
        <v>#NAME?</v>
      </c>
      <c r="F652" s="100" t="e">
        <f t="shared" ref="F652:F658" ca="1" si="90">IFERROR(__xludf.DUMMYFUNCTION("""COMPUTED_VALUE"""),20175)</f>
        <v>#NAME?</v>
      </c>
      <c r="G652" s="100" t="e">
        <f t="shared" ca="1" si="87"/>
        <v>#NAME?</v>
      </c>
      <c r="H652" s="100" t="e">
        <f t="shared" ca="1" si="88"/>
        <v>#NAME?</v>
      </c>
      <c r="I652" s="100" t="e">
        <f ca="1">IFERROR(__xludf.DUMMYFUNCTION("""COMPUTED_VALUE"""),5810496)</f>
        <v>#NAME?</v>
      </c>
      <c r="J652" s="100" t="e">
        <f ca="1">IFERROR(__xludf.DUMMYFUNCTION("""COMPUTED_VALUE"""),"-8.83")</f>
        <v>#NAME?</v>
      </c>
      <c r="K652" s="100" t="e">
        <f ca="1">IFERROR(__xludf.DUMMYFUNCTION("""COMPUTED_VALUE"""),"28.03.2025 11:00:02")</f>
        <v>#NAME?</v>
      </c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</row>
    <row r="653" spans="1:26">
      <c r="A653" s="100" t="e">
        <f ca="1">IFERROR(__xludf.DUMMYFUNCTION("""COMPUTED_VALUE"""),8128432)</f>
        <v>#NAME?</v>
      </c>
      <c r="B653" s="100" t="e">
        <f ca="1">IFERROR(__xludf.DUMMYFUNCTION("""COMPUTED_VALUE"""),"PENGUUSDT")</f>
        <v>#NAME?</v>
      </c>
      <c r="C653" s="100" t="e">
        <f ca="1">IFERROR(__xludf.DUMMYFUNCTION("""COMPUTED_VALUE"""),"0.00655")</f>
        <v>#NAME?</v>
      </c>
      <c r="D653" s="100" t="e">
        <f ca="1">IFERROR(__xludf.DUMMYFUNCTION("""COMPUTED_VALUE"""),"3.15")</f>
        <v>#NAME?</v>
      </c>
      <c r="E653" s="100" t="e">
        <f t="shared" ca="1" si="89"/>
        <v>#NAME?</v>
      </c>
      <c r="F653" s="100" t="e">
        <f t="shared" ca="1" si="90"/>
        <v>#NAME?</v>
      </c>
      <c r="G653" s="100" t="e">
        <f t="shared" ca="1" si="87"/>
        <v>#NAME?</v>
      </c>
      <c r="H653" s="100" t="e">
        <f t="shared" ca="1" si="88"/>
        <v>#NAME?</v>
      </c>
      <c r="I653" s="100" t="e">
        <f ca="1">IFERROR(__xludf.DUMMYFUNCTION("""COMPUTED_VALUE"""),5810496)</f>
        <v>#NAME?</v>
      </c>
      <c r="J653" s="100" t="e">
        <f ca="1">IFERROR(__xludf.DUMMYFUNCTION("""COMPUTED_VALUE"""),"-5.62")</f>
        <v>#NAME?</v>
      </c>
      <c r="K653" s="100" t="e">
        <f ca="1">IFERROR(__xludf.DUMMYFUNCTION("""COMPUTED_VALUE"""),"28.03.2025 11:00:02")</f>
        <v>#NAME?</v>
      </c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</row>
    <row r="654" spans="1:26">
      <c r="A654" s="100" t="e">
        <f ca="1">IFERROR(__xludf.DUMMYFUNCTION("""COMPUTED_VALUE"""),8128433)</f>
        <v>#NAME?</v>
      </c>
      <c r="B654" s="100" t="e">
        <f ca="1">IFERROR(__xludf.DUMMYFUNCTION("""COMPUTED_VALUE"""),"DBRUSDT")</f>
        <v>#NAME?</v>
      </c>
      <c r="C654" s="100" t="e">
        <f ca="1">IFERROR(__xludf.DUMMYFUNCTION("""COMPUTED_VALUE"""),"0.02935")</f>
        <v>#NAME?</v>
      </c>
      <c r="D654" s="100" t="e">
        <f ca="1">IFERROR(__xludf.DUMMYFUNCTION("""COMPUTED_VALUE"""),"-2.17")</f>
        <v>#NAME?</v>
      </c>
      <c r="E654" s="100" t="e">
        <f t="shared" ca="1" si="89"/>
        <v>#NAME?</v>
      </c>
      <c r="F654" s="100" t="e">
        <f t="shared" ca="1" si="90"/>
        <v>#NAME?</v>
      </c>
      <c r="G654" s="100" t="e">
        <f t="shared" ca="1" si="87"/>
        <v>#NAME?</v>
      </c>
      <c r="H654" s="100" t="e">
        <f t="shared" ca="1" si="88"/>
        <v>#NAME?</v>
      </c>
      <c r="I654" s="100" t="e">
        <f ca="1">IFERROR(__xludf.DUMMYFUNCTION("""COMPUTED_VALUE"""),5810496)</f>
        <v>#NAME?</v>
      </c>
      <c r="J654" s="100" t="e">
        <f ca="1">IFERROR(__xludf.DUMMYFUNCTION("""COMPUTED_VALUE"""),"-2.56")</f>
        <v>#NAME?</v>
      </c>
      <c r="K654" s="100" t="e">
        <f ca="1">IFERROR(__xludf.DUMMYFUNCTION("""COMPUTED_VALUE"""),"28.03.2025 11:00:02")</f>
        <v>#NAME?</v>
      </c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</row>
    <row r="655" spans="1:26">
      <c r="A655" s="100" t="e">
        <f ca="1">IFERROR(__xludf.DUMMYFUNCTION("""COMPUTED_VALUE"""),8127777)</f>
        <v>#NAME?</v>
      </c>
      <c r="B655" s="100" t="e">
        <f ca="1">IFERROR(__xludf.DUMMYFUNCTION("""COMPUTED_VALUE"""),"REDUSDT")</f>
        <v>#NAME?</v>
      </c>
      <c r="C655" s="100" t="e">
        <f ca="1">IFERROR(__xludf.DUMMYFUNCTION("""COMPUTED_VALUE"""),"0.5505")</f>
        <v>#NAME?</v>
      </c>
      <c r="D655" s="100" t="e">
        <f ca="1">IFERROR(__xludf.DUMMYFUNCTION("""COMPUTED_VALUE"""),"-13.31")</f>
        <v>#NAME?</v>
      </c>
      <c r="E655" s="100" t="e">
        <f t="shared" ca="1" si="89"/>
        <v>#NAME?</v>
      </c>
      <c r="F655" s="100" t="e">
        <f t="shared" ca="1" si="90"/>
        <v>#NAME?</v>
      </c>
      <c r="G655" s="100" t="e">
        <f t="shared" ca="1" si="87"/>
        <v>#NAME?</v>
      </c>
      <c r="H655" s="100" t="e">
        <f t="shared" ca="1" si="88"/>
        <v>#NAME?</v>
      </c>
      <c r="I655" s="100" t="e">
        <f ca="1">IFERROR(__xludf.DUMMYFUNCTION("""COMPUTED_VALUE"""),5810495)</f>
        <v>#NAME?</v>
      </c>
      <c r="J655" s="100" t="e">
        <f ca="1">IFERROR(__xludf.DUMMYFUNCTION("""COMPUTED_VALUE"""),"-8.42")</f>
        <v>#NAME?</v>
      </c>
      <c r="K655" s="100" t="e">
        <f ca="1">IFERROR(__xludf.DUMMYFUNCTION("""COMPUTED_VALUE"""),"28.03.2025 10:55:01")</f>
        <v>#NAME?</v>
      </c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</row>
    <row r="656" spans="1:26">
      <c r="A656" s="100" t="e">
        <f ca="1">IFERROR(__xludf.DUMMYFUNCTION("""COMPUTED_VALUE"""),8127778)</f>
        <v>#NAME?</v>
      </c>
      <c r="B656" s="100" t="e">
        <f ca="1">IFERROR(__xludf.DUMMYFUNCTION("""COMPUTED_VALUE"""),"ELIXUSDT")</f>
        <v>#NAME?</v>
      </c>
      <c r="C656" s="100" t="e">
        <f ca="1">IFERROR(__xludf.DUMMYFUNCTION("""COMPUTED_VALUE"""),"0.005484")</f>
        <v>#NAME?</v>
      </c>
      <c r="D656" s="100" t="e">
        <f ca="1">IFERROR(__xludf.DUMMYFUNCTION("""COMPUTED_VALUE"""),"-13.31")</f>
        <v>#NAME?</v>
      </c>
      <c r="E656" s="100" t="e">
        <f t="shared" ca="1" si="89"/>
        <v>#NAME?</v>
      </c>
      <c r="F656" s="100" t="e">
        <f t="shared" ca="1" si="90"/>
        <v>#NAME?</v>
      </c>
      <c r="G656" s="100" t="e">
        <f t="shared" ca="1" si="87"/>
        <v>#NAME?</v>
      </c>
      <c r="H656" s="100" t="e">
        <f t="shared" ca="1" si="88"/>
        <v>#NAME?</v>
      </c>
      <c r="I656" s="100" t="e">
        <f ca="1">IFERROR(__xludf.DUMMYFUNCTION("""COMPUTED_VALUE"""),5810495)</f>
        <v>#NAME?</v>
      </c>
      <c r="J656" s="100" t="e">
        <f ca="1">IFERROR(__xludf.DUMMYFUNCTION("""COMPUTED_VALUE"""),"-6.18")</f>
        <v>#NAME?</v>
      </c>
      <c r="K656" s="100" t="e">
        <f ca="1">IFERROR(__xludf.DUMMYFUNCTION("""COMPUTED_VALUE"""),"28.03.2025 10:55:01")</f>
        <v>#NAME?</v>
      </c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</row>
    <row r="657" spans="1:26">
      <c r="A657" s="100" t="e">
        <f ca="1">IFERROR(__xludf.DUMMYFUNCTION("""COMPUTED_VALUE"""),8127779)</f>
        <v>#NAME?</v>
      </c>
      <c r="B657" s="100" t="e">
        <f ca="1">IFERROR(__xludf.DUMMYFUNCTION("""COMPUTED_VALUE"""),"POLUSDT")</f>
        <v>#NAME?</v>
      </c>
      <c r="C657" s="100" t="e">
        <f ca="1">IFERROR(__xludf.DUMMYFUNCTION("""COMPUTED_VALUE"""),"0.2144")</f>
        <v>#NAME?</v>
      </c>
      <c r="D657" s="100" t="e">
        <f ca="1">IFERROR(__xludf.DUMMYFUNCTION("""COMPUTED_VALUE"""),"1.90")</f>
        <v>#NAME?</v>
      </c>
      <c r="E657" s="100" t="e">
        <f t="shared" ca="1" si="89"/>
        <v>#NAME?</v>
      </c>
      <c r="F657" s="100" t="e">
        <f t="shared" ca="1" si="90"/>
        <v>#NAME?</v>
      </c>
      <c r="G657" s="100" t="e">
        <f t="shared" ca="1" si="87"/>
        <v>#NAME?</v>
      </c>
      <c r="H657" s="100" t="e">
        <f t="shared" ca="1" si="88"/>
        <v>#NAME?</v>
      </c>
      <c r="I657" s="100" t="e">
        <f ca="1">IFERROR(__xludf.DUMMYFUNCTION("""COMPUTED_VALUE"""),5810495)</f>
        <v>#NAME?</v>
      </c>
      <c r="J657" s="100" t="e">
        <f ca="1">IFERROR(__xludf.DUMMYFUNCTION("""COMPUTED_VALUE"""),"-10.26")</f>
        <v>#NAME?</v>
      </c>
      <c r="K657" s="100" t="e">
        <f ca="1">IFERROR(__xludf.DUMMYFUNCTION("""COMPUTED_VALUE"""),"28.03.2025 10:55:01")</f>
        <v>#NAME?</v>
      </c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</row>
    <row r="658" spans="1:26">
      <c r="A658" s="100" t="e">
        <f ca="1">IFERROR(__xludf.DUMMYFUNCTION("""COMPUTED_VALUE"""),8127780)</f>
        <v>#NAME?</v>
      </c>
      <c r="B658" s="100" t="e">
        <f ca="1">IFERROR(__xludf.DUMMYFUNCTION("""COMPUTED_VALUE"""),"MOJOUSDT")</f>
        <v>#NAME?</v>
      </c>
      <c r="C658" s="100" t="e">
        <f ca="1">IFERROR(__xludf.DUMMYFUNCTION("""COMPUTED_VALUE"""),"0.007258")</f>
        <v>#NAME?</v>
      </c>
      <c r="D658" s="100" t="e">
        <f ca="1">IFERROR(__xludf.DUMMYFUNCTION("""COMPUTED_VALUE"""),"1.41")</f>
        <v>#NAME?</v>
      </c>
      <c r="E658" s="100" t="e">
        <f t="shared" ca="1" si="89"/>
        <v>#NAME?</v>
      </c>
      <c r="F658" s="100" t="e">
        <f t="shared" ca="1" si="90"/>
        <v>#NAME?</v>
      </c>
      <c r="G658" s="100" t="e">
        <f t="shared" ca="1" si="87"/>
        <v>#NAME?</v>
      </c>
      <c r="H658" s="100" t="e">
        <f t="shared" ca="1" si="88"/>
        <v>#NAME?</v>
      </c>
      <c r="I658" s="100" t="e">
        <f ca="1">IFERROR(__xludf.DUMMYFUNCTION("""COMPUTED_VALUE"""),5810495)</f>
        <v>#NAME?</v>
      </c>
      <c r="J658" s="100" t="e">
        <f ca="1">IFERROR(__xludf.DUMMYFUNCTION("""COMPUTED_VALUE"""),"-0.26")</f>
        <v>#NAME?</v>
      </c>
      <c r="K658" s="100" t="e">
        <f ca="1">IFERROR(__xludf.DUMMYFUNCTION("""COMPUTED_VALUE"""),"28.03.2025 10:55:01")</f>
        <v>#NAME?</v>
      </c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</row>
    <row r="659" spans="1:26">
      <c r="A659" s="100" t="e">
        <f ca="1">IFERROR(__xludf.DUMMYFUNCTION("""COMPUTED_VALUE"""),5497410)</f>
        <v>#NAME?</v>
      </c>
      <c r="B659" s="100" t="e">
        <f ca="1">IFERROR(__xludf.DUMMYFUNCTION("""COMPUTED_VALUE"""),"JTOUSDT")</f>
        <v>#NAME?</v>
      </c>
      <c r="C659" s="100" t="e">
        <f ca="1">IFERROR(__xludf.DUMMYFUNCTION("""COMPUTED_VALUE"""),"2.183")</f>
        <v>#NAME?</v>
      </c>
      <c r="D659" s="100" t="e">
        <f t="shared" ref="D659:D669" ca="1" si="91">IFERROR(__xludf.DUMMYFUNCTION("""COMPUTED_VALUE"""),"-")</f>
        <v>#NAME?</v>
      </c>
      <c r="E659" s="100" t="e">
        <f t="shared" ca="1" si="89"/>
        <v>#NAME?</v>
      </c>
      <c r="F659" s="100" t="e">
        <f ca="1">IFERROR(__xludf.DUMMYFUNCTION("""COMPUTED_VALUE"""),20161)</f>
        <v>#NAME?</v>
      </c>
      <c r="G659" s="100" t="e">
        <f ca="1">IFERROR(__xludf.DUMMYFUNCTION("""COMPUTED_VALUE"""),2880)</f>
        <v>#NAME?</v>
      </c>
      <c r="H659" s="100" t="e">
        <f t="shared" ca="1" si="88"/>
        <v>#NAME?</v>
      </c>
      <c r="I659" s="100" t="e">
        <f ca="1">IFERROR(__xludf.DUMMYFUNCTION("""COMPUTED_VALUE"""),5806464)</f>
        <v>#NAME?</v>
      </c>
      <c r="J659" s="100" t="e">
        <f ca="1">IFERROR(__xludf.DUMMYFUNCTION("""COMPUTED_VALUE"""),"2.44")</f>
        <v>#NAME?</v>
      </c>
      <c r="K659" s="100" t="e">
        <f ca="1">IFERROR(__xludf.DUMMYFUNCTION("""COMPUTED_VALUE"""),"14.03.2025 11:00:02")</f>
        <v>#NAME?</v>
      </c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</row>
    <row r="660" spans="1:26">
      <c r="A660" s="100" t="e">
        <f ca="1">IFERROR(__xludf.DUMMYFUNCTION("""COMPUTED_VALUE"""),5497411)</f>
        <v>#NAME?</v>
      </c>
      <c r="B660" s="100" t="e">
        <f ca="1">IFERROR(__xludf.DUMMYFUNCTION("""COMPUTED_VALUE"""),"TAVAUSDT")</f>
        <v>#NAME?</v>
      </c>
      <c r="C660" s="100" t="e">
        <f ca="1">IFERROR(__xludf.DUMMYFUNCTION("""COMPUTED_VALUE"""),"0.01344")</f>
        <v>#NAME?</v>
      </c>
      <c r="D660" s="100" t="e">
        <f t="shared" ca="1" si="91"/>
        <v>#NAME?</v>
      </c>
      <c r="E660" s="100" t="e">
        <f t="shared" ca="1" si="89"/>
        <v>#NAME?</v>
      </c>
      <c r="F660" s="100" t="e">
        <f ca="1">IFERROR(__xludf.DUMMYFUNCTION("""COMPUTED_VALUE"""),20161)</f>
        <v>#NAME?</v>
      </c>
      <c r="G660" s="100" t="e">
        <f ca="1">IFERROR(__xludf.DUMMYFUNCTION("""COMPUTED_VALUE"""),2880)</f>
        <v>#NAME?</v>
      </c>
      <c r="H660" s="100" t="e">
        <f t="shared" ca="1" si="88"/>
        <v>#NAME?</v>
      </c>
      <c r="I660" s="100" t="e">
        <f ca="1">IFERROR(__xludf.DUMMYFUNCTION("""COMPUTED_VALUE"""),5806464)</f>
        <v>#NAME?</v>
      </c>
      <c r="J660" s="100" t="e">
        <f ca="1">IFERROR(__xludf.DUMMYFUNCTION("""COMPUTED_VALUE"""),"2.0500000000000003")</f>
        <v>#NAME?</v>
      </c>
      <c r="K660" s="100" t="e">
        <f ca="1">IFERROR(__xludf.DUMMYFUNCTION("""COMPUTED_VALUE"""),"14.03.2025 11:00:02")</f>
        <v>#NAME?</v>
      </c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</row>
    <row r="661" spans="1:26">
      <c r="A661" s="100" t="e">
        <f ca="1">IFERROR(__xludf.DUMMYFUNCTION("""COMPUTED_VALUE"""),5497412)</f>
        <v>#NAME?</v>
      </c>
      <c r="B661" s="100" t="e">
        <f ca="1">IFERROR(__xludf.DUMMYFUNCTION("""COMPUTED_VALUE"""),"IPUSDT")</f>
        <v>#NAME?</v>
      </c>
      <c r="C661" s="100" t="e">
        <f ca="1">IFERROR(__xludf.DUMMYFUNCTION("""COMPUTED_VALUE"""),"5.829")</f>
        <v>#NAME?</v>
      </c>
      <c r="D661" s="100" t="e">
        <f t="shared" ca="1" si="91"/>
        <v>#NAME?</v>
      </c>
      <c r="E661" s="100" t="e">
        <f t="shared" ca="1" si="89"/>
        <v>#NAME?</v>
      </c>
      <c r="F661" s="100" t="e">
        <f ca="1">IFERROR(__xludf.DUMMYFUNCTION("""COMPUTED_VALUE"""),20161)</f>
        <v>#NAME?</v>
      </c>
      <c r="G661" s="100" t="e">
        <f ca="1">IFERROR(__xludf.DUMMYFUNCTION("""COMPUTED_VALUE"""),2880)</f>
        <v>#NAME?</v>
      </c>
      <c r="H661" s="100" t="e">
        <f t="shared" ca="1" si="88"/>
        <v>#NAME?</v>
      </c>
      <c r="I661" s="100" t="e">
        <f ca="1">IFERROR(__xludf.DUMMYFUNCTION("""COMPUTED_VALUE"""),5806464)</f>
        <v>#NAME?</v>
      </c>
      <c r="J661" s="100" t="e">
        <f ca="1">IFERROR(__xludf.DUMMYFUNCTION("""COMPUTED_VALUE"""),"-1.7500000000000002")</f>
        <v>#NAME?</v>
      </c>
      <c r="K661" s="100" t="e">
        <f ca="1">IFERROR(__xludf.DUMMYFUNCTION("""COMPUTED_VALUE"""),"14.03.2025 11:00:02")</f>
        <v>#NAME?</v>
      </c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</row>
    <row r="662" spans="1:26">
      <c r="A662" s="100" t="e">
        <f ca="1">IFERROR(__xludf.DUMMYFUNCTION("""COMPUTED_VALUE"""),1522050)</f>
        <v>#NAME?</v>
      </c>
      <c r="B662" s="100" t="e">
        <f ca="1">IFERROR(__xludf.DUMMYFUNCTION("""COMPUTED_VALUE"""),"LISUSDT")</f>
        <v>#NAME?</v>
      </c>
      <c r="C662" s="100" t="e">
        <f ca="1">IFERROR(__xludf.DUMMYFUNCTION("""COMPUTED_VALUE"""),"0.0004412")</f>
        <v>#NAME?</v>
      </c>
      <c r="D662" s="100" t="e">
        <f t="shared" ca="1" si="91"/>
        <v>#NAME?</v>
      </c>
      <c r="E662" s="100" t="e">
        <f t="shared" ca="1" si="89"/>
        <v>#NAME?</v>
      </c>
      <c r="F662" s="100" t="e">
        <f ca="1">IFERROR(__xludf.DUMMYFUNCTION("""COMPUTED_VALUE"""),20140)</f>
        <v>#NAME?</v>
      </c>
      <c r="G662" s="100" t="e">
        <f ca="1">IFERROR(__xludf.DUMMYFUNCTION("""COMPUTED_VALUE"""),2877)</f>
        <v>#NAME?</v>
      </c>
      <c r="H662" s="100" t="e">
        <f t="shared" ref="H662:H669" ca="1" si="92">IFERROR(__xludf.DUMMYFUNCTION("""COMPUTED_VALUE"""),661)</f>
        <v>#NAME?</v>
      </c>
      <c r="I662" s="100" t="e">
        <f ca="1">IFERROR(__xludf.DUMMYFUNCTION("""COMPUTED_VALUE"""),5800417)</f>
        <v>#NAME?</v>
      </c>
      <c r="J662" s="100" t="e">
        <f ca="1">IFERROR(__xludf.DUMMYFUNCTION("""COMPUTED_VALUE"""),"0.06999999999999999")</f>
        <v>#NAME?</v>
      </c>
      <c r="K662" s="100" t="e">
        <f ca="1">IFERROR(__xludf.DUMMYFUNCTION("""COMPUTED_VALUE"""),"21.02.2025 11:05:02")</f>
        <v>#NAME?</v>
      </c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</row>
    <row r="663" spans="1:26">
      <c r="A663" s="100" t="e">
        <f ca="1">IFERROR(__xludf.DUMMYFUNCTION("""COMPUTED_VALUE"""),1522051)</f>
        <v>#NAME?</v>
      </c>
      <c r="B663" s="100" t="e">
        <f ca="1">IFERROR(__xludf.DUMMYFUNCTION("""COMPUTED_VALUE"""),"LDOUSDT")</f>
        <v>#NAME?</v>
      </c>
      <c r="C663" s="100" t="e">
        <f ca="1">IFERROR(__xludf.DUMMYFUNCTION("""COMPUTED_VALUE"""),"1.8116")</f>
        <v>#NAME?</v>
      </c>
      <c r="D663" s="100" t="e">
        <f t="shared" ca="1" si="91"/>
        <v>#NAME?</v>
      </c>
      <c r="E663" s="100" t="e">
        <f t="shared" ca="1" si="89"/>
        <v>#NAME?</v>
      </c>
      <c r="F663" s="100" t="e">
        <f ca="1">IFERROR(__xludf.DUMMYFUNCTION("""COMPUTED_VALUE"""),20140)</f>
        <v>#NAME?</v>
      </c>
      <c r="G663" s="100" t="e">
        <f ca="1">IFERROR(__xludf.DUMMYFUNCTION("""COMPUTED_VALUE"""),2877)</f>
        <v>#NAME?</v>
      </c>
      <c r="H663" s="100" t="e">
        <f t="shared" ca="1" si="92"/>
        <v>#NAME?</v>
      </c>
      <c r="I663" s="100" t="e">
        <f ca="1">IFERROR(__xludf.DUMMYFUNCTION("""COMPUTED_VALUE"""),5800417)</f>
        <v>#NAME?</v>
      </c>
      <c r="J663" s="100" t="e">
        <f ca="1">IFERROR(__xludf.DUMMYFUNCTION("""COMPUTED_VALUE"""),"3.82")</f>
        <v>#NAME?</v>
      </c>
      <c r="K663" s="100" t="e">
        <f ca="1">IFERROR(__xludf.DUMMYFUNCTION("""COMPUTED_VALUE"""),"21.02.2025 11:05:02")</f>
        <v>#NAME?</v>
      </c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</row>
    <row r="664" spans="1:26">
      <c r="A664" s="100" t="e">
        <f ca="1">IFERROR(__xludf.DUMMYFUNCTION("""COMPUTED_VALUE"""),1522052)</f>
        <v>#NAME?</v>
      </c>
      <c r="B664" s="100" t="e">
        <f ca="1">IFERROR(__xludf.DUMMYFUNCTION("""COMPUTED_VALUE"""),"SUNUSDT")</f>
        <v>#NAME?</v>
      </c>
      <c r="C664" s="100" t="e">
        <f ca="1">IFERROR(__xludf.DUMMYFUNCTION("""COMPUTED_VALUE"""),"0.019164")</f>
        <v>#NAME?</v>
      </c>
      <c r="D664" s="100" t="e">
        <f t="shared" ca="1" si="91"/>
        <v>#NAME?</v>
      </c>
      <c r="E664" s="100" t="e">
        <f t="shared" ca="1" si="89"/>
        <v>#NAME?</v>
      </c>
      <c r="F664" s="100" t="e">
        <f ca="1">IFERROR(__xludf.DUMMYFUNCTION("""COMPUTED_VALUE"""),20140)</f>
        <v>#NAME?</v>
      </c>
      <c r="G664" s="100" t="e">
        <f ca="1">IFERROR(__xludf.DUMMYFUNCTION("""COMPUTED_VALUE"""),2877)</f>
        <v>#NAME?</v>
      </c>
      <c r="H664" s="100" t="e">
        <f t="shared" ca="1" si="92"/>
        <v>#NAME?</v>
      </c>
      <c r="I664" s="100" t="e">
        <f ca="1">IFERROR(__xludf.DUMMYFUNCTION("""COMPUTED_VALUE"""),5800417)</f>
        <v>#NAME?</v>
      </c>
      <c r="J664" s="100" t="e">
        <f ca="1">IFERROR(__xludf.DUMMYFUNCTION("""COMPUTED_VALUE"""),"3.84")</f>
        <v>#NAME?</v>
      </c>
      <c r="K664" s="100" t="e">
        <f ca="1">IFERROR(__xludf.DUMMYFUNCTION("""COMPUTED_VALUE"""),"21.02.2025 11:05:02")</f>
        <v>#NAME?</v>
      </c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</row>
    <row r="665" spans="1:26">
      <c r="A665" s="100" t="e">
        <f ca="1">IFERROR(__xludf.DUMMYFUNCTION("""COMPUTED_VALUE"""),948553)</f>
        <v>#NAME?</v>
      </c>
      <c r="B665" s="100" t="e">
        <f ca="1">IFERROR(__xludf.DUMMYFUNCTION("""COMPUTED_VALUE"""),"RENDERUSDT")</f>
        <v>#NAME?</v>
      </c>
      <c r="C665" s="100" t="e">
        <f ca="1">IFERROR(__xludf.DUMMYFUNCTION("""COMPUTED_VALUE"""),"4.149")</f>
        <v>#NAME?</v>
      </c>
      <c r="D665" s="100" t="e">
        <f t="shared" ca="1" si="91"/>
        <v>#NAME?</v>
      </c>
      <c r="E665" s="100" t="e">
        <f t="shared" ca="1" si="89"/>
        <v>#NAME?</v>
      </c>
      <c r="F665" s="100" t="e">
        <f ca="1">IFERROR(__xludf.DUMMYFUNCTION("""COMPUTED_VALUE"""),20137)</f>
        <v>#NAME?</v>
      </c>
      <c r="G665" s="100" t="e">
        <f ca="1">IFERROR(__xludf.DUMMYFUNCTION("""COMPUTED_VALUE"""),2876)</f>
        <v>#NAME?</v>
      </c>
      <c r="H665" s="100" t="e">
        <f t="shared" ca="1" si="92"/>
        <v>#NAME?</v>
      </c>
      <c r="I665" s="100" t="e">
        <f ca="1">IFERROR(__xludf.DUMMYFUNCTION("""COMPUTED_VALUE"""),5799552)</f>
        <v>#NAME?</v>
      </c>
      <c r="J665" s="100" t="e">
        <f ca="1">IFERROR(__xludf.DUMMYFUNCTION("""COMPUTED_VALUE"""),"-5.75")</f>
        <v>#NAME?</v>
      </c>
      <c r="K665" s="100" t="e">
        <f ca="1">IFERROR(__xludf.DUMMYFUNCTION("""COMPUTED_VALUE"""),"18.02.2025 11:00:01")</f>
        <v>#NAME?</v>
      </c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</row>
    <row r="666" spans="1:26">
      <c r="A666" s="100" t="e">
        <f ca="1">IFERROR(__xludf.DUMMYFUNCTION("""COMPUTED_VALUE"""),948554)</f>
        <v>#NAME?</v>
      </c>
      <c r="B666" s="100" t="e">
        <f ca="1">IFERROR(__xludf.DUMMYFUNCTION("""COMPUTED_VALUE"""),"PUMLXUSDT")</f>
        <v>#NAME?</v>
      </c>
      <c r="C666" s="100" t="e">
        <f ca="1">IFERROR(__xludf.DUMMYFUNCTION("""COMPUTED_VALUE"""),"0.001523")</f>
        <v>#NAME?</v>
      </c>
      <c r="D666" s="100" t="e">
        <f t="shared" ca="1" si="91"/>
        <v>#NAME?</v>
      </c>
      <c r="E666" s="100" t="e">
        <f t="shared" ca="1" si="89"/>
        <v>#NAME?</v>
      </c>
      <c r="F666" s="100" t="e">
        <f ca="1">IFERROR(__xludf.DUMMYFUNCTION("""COMPUTED_VALUE"""),20137)</f>
        <v>#NAME?</v>
      </c>
      <c r="G666" s="100" t="e">
        <f ca="1">IFERROR(__xludf.DUMMYFUNCTION("""COMPUTED_VALUE"""),2876)</f>
        <v>#NAME?</v>
      </c>
      <c r="H666" s="100" t="e">
        <f t="shared" ca="1" si="92"/>
        <v>#NAME?</v>
      </c>
      <c r="I666" s="100" t="e">
        <f ca="1">IFERROR(__xludf.DUMMYFUNCTION("""COMPUTED_VALUE"""),5799552)</f>
        <v>#NAME?</v>
      </c>
      <c r="J666" s="100" t="e">
        <f ca="1">IFERROR(__xludf.DUMMYFUNCTION("""COMPUTED_VALUE"""),"0.0")</f>
        <v>#NAME?</v>
      </c>
      <c r="K666" s="100" t="e">
        <f ca="1">IFERROR(__xludf.DUMMYFUNCTION("""COMPUTED_VALUE"""),"18.02.2025 11:00:01")</f>
        <v>#NAME?</v>
      </c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</row>
    <row r="667" spans="1:26">
      <c r="A667" s="100" t="e">
        <f ca="1">IFERROR(__xludf.DUMMYFUNCTION("""COMPUTED_VALUE"""),948555)</f>
        <v>#NAME?</v>
      </c>
      <c r="B667" s="100" t="e">
        <f ca="1">IFERROR(__xludf.DUMMYFUNCTION("""COMPUTED_VALUE"""),"BBUSDT")</f>
        <v>#NAME?</v>
      </c>
      <c r="C667" s="100" t="e">
        <f ca="1">IFERROR(__xludf.DUMMYFUNCTION("""COMPUTED_VALUE"""),"0.1549")</f>
        <v>#NAME?</v>
      </c>
      <c r="D667" s="100" t="e">
        <f t="shared" ca="1" si="91"/>
        <v>#NAME?</v>
      </c>
      <c r="E667" s="100" t="e">
        <f t="shared" ca="1" si="89"/>
        <v>#NAME?</v>
      </c>
      <c r="F667" s="100" t="e">
        <f ca="1">IFERROR(__xludf.DUMMYFUNCTION("""COMPUTED_VALUE"""),20137)</f>
        <v>#NAME?</v>
      </c>
      <c r="G667" s="100" t="e">
        <f ca="1">IFERROR(__xludf.DUMMYFUNCTION("""COMPUTED_VALUE"""),2876)</f>
        <v>#NAME?</v>
      </c>
      <c r="H667" s="100" t="e">
        <f t="shared" ca="1" si="92"/>
        <v>#NAME?</v>
      </c>
      <c r="I667" s="100" t="e">
        <f ca="1">IFERROR(__xludf.DUMMYFUNCTION("""COMPUTED_VALUE"""),5799552)</f>
        <v>#NAME?</v>
      </c>
      <c r="J667" s="100" t="e">
        <f ca="1">IFERROR(__xludf.DUMMYFUNCTION("""COMPUTED_VALUE"""),"-7.3")</f>
        <v>#NAME?</v>
      </c>
      <c r="K667" s="100" t="e">
        <f ca="1">IFERROR(__xludf.DUMMYFUNCTION("""COMPUTED_VALUE"""),"18.02.2025 11:00:01")</f>
        <v>#NAME?</v>
      </c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</row>
    <row r="668" spans="1:26">
      <c r="A668" s="100" t="e">
        <f ca="1">IFERROR(__xludf.DUMMYFUNCTION("""COMPUTED_VALUE"""),948556)</f>
        <v>#NAME?</v>
      </c>
      <c r="B668" s="100" t="e">
        <f ca="1">IFERROR(__xludf.DUMMYFUNCTION("""COMPUTED_VALUE"""),"GSWIFTUSDT")</f>
        <v>#NAME?</v>
      </c>
      <c r="C668" s="100" t="e">
        <f ca="1">IFERROR(__xludf.DUMMYFUNCTION("""COMPUTED_VALUE"""),"0.03116")</f>
        <v>#NAME?</v>
      </c>
      <c r="D668" s="100" t="e">
        <f t="shared" ca="1" si="91"/>
        <v>#NAME?</v>
      </c>
      <c r="E668" s="100" t="e">
        <f t="shared" ca="1" si="89"/>
        <v>#NAME?</v>
      </c>
      <c r="F668" s="100" t="e">
        <f ca="1">IFERROR(__xludf.DUMMYFUNCTION("""COMPUTED_VALUE"""),20137)</f>
        <v>#NAME?</v>
      </c>
      <c r="G668" s="100" t="e">
        <f ca="1">IFERROR(__xludf.DUMMYFUNCTION("""COMPUTED_VALUE"""),2876)</f>
        <v>#NAME?</v>
      </c>
      <c r="H668" s="100" t="e">
        <f t="shared" ca="1" si="92"/>
        <v>#NAME?</v>
      </c>
      <c r="I668" s="100" t="e">
        <f ca="1">IFERROR(__xludf.DUMMYFUNCTION("""COMPUTED_VALUE"""),5799552)</f>
        <v>#NAME?</v>
      </c>
      <c r="J668" s="100" t="e">
        <f ca="1">IFERROR(__xludf.DUMMYFUNCTION("""COMPUTED_VALUE"""),"-5.83")</f>
        <v>#NAME?</v>
      </c>
      <c r="K668" s="100" t="e">
        <f ca="1">IFERROR(__xludf.DUMMYFUNCTION("""COMPUTED_VALUE"""),"18.02.2025 11:00:01")</f>
        <v>#NAME?</v>
      </c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</row>
    <row r="669" spans="1:26">
      <c r="A669" s="100" t="e">
        <f ca="1">IFERROR(__xludf.DUMMYFUNCTION("""COMPUTED_VALUE"""),948557)</f>
        <v>#NAME?</v>
      </c>
      <c r="B669" s="100" t="e">
        <f ca="1">IFERROR(__xludf.DUMMYFUNCTION("""COMPUTED_VALUE"""),"METHETH")</f>
        <v>#NAME?</v>
      </c>
      <c r="C669" s="100" t="e">
        <f ca="1">IFERROR(__xludf.DUMMYFUNCTION("""COMPUTED_VALUE"""),"1.0566")</f>
        <v>#NAME?</v>
      </c>
      <c r="D669" s="100" t="e">
        <f t="shared" ca="1" si="91"/>
        <v>#NAME?</v>
      </c>
      <c r="E669" s="100" t="e">
        <f t="shared" ca="1" si="89"/>
        <v>#NAME?</v>
      </c>
      <c r="F669" s="100" t="e">
        <f ca="1">IFERROR(__xludf.DUMMYFUNCTION("""COMPUTED_VALUE"""),20137)</f>
        <v>#NAME?</v>
      </c>
      <c r="G669" s="100" t="e">
        <f ca="1">IFERROR(__xludf.DUMMYFUNCTION("""COMPUTED_VALUE"""),2876)</f>
        <v>#NAME?</v>
      </c>
      <c r="H669" s="100" t="e">
        <f t="shared" ca="1" si="92"/>
        <v>#NAME?</v>
      </c>
      <c r="I669" s="100" t="e">
        <f ca="1">IFERROR(__xludf.DUMMYFUNCTION("""COMPUTED_VALUE"""),5799552)</f>
        <v>#NAME?</v>
      </c>
      <c r="J669" s="100" t="e">
        <f ca="1">IFERROR(__xludf.DUMMYFUNCTION("""COMPUTED_VALUE"""),"0.04")</f>
        <v>#NAME?</v>
      </c>
      <c r="K669" s="100" t="e">
        <f ca="1">IFERROR(__xludf.DUMMYFUNCTION("""COMPUTED_VALUE"""),"18.02.2025 11:00:01")</f>
        <v>#NAME?</v>
      </c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</row>
    <row r="670" spans="1:26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</row>
    <row r="671" spans="1:26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</row>
    <row r="672" spans="1:26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</row>
    <row r="673" spans="1:26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</row>
    <row r="674" spans="1:26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</row>
    <row r="675" spans="1:26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</row>
    <row r="676" spans="1:26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</row>
    <row r="677" spans="1:26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</row>
    <row r="678" spans="1:26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</row>
    <row r="679" spans="1:26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</row>
    <row r="680" spans="1:26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</row>
    <row r="681" spans="1:26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</row>
    <row r="682" spans="1:26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</row>
    <row r="683" spans="1:26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</row>
    <row r="684" spans="1:26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</row>
    <row r="685" spans="1:26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</row>
    <row r="686" spans="1:26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</row>
    <row r="687" spans="1:26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</row>
    <row r="688" spans="1:26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</row>
    <row r="689" spans="1:26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</row>
    <row r="690" spans="1:26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</row>
    <row r="691" spans="1:26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</row>
    <row r="692" spans="1:26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</row>
    <row r="693" spans="1:26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</row>
    <row r="694" spans="1:26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</row>
    <row r="695" spans="1:26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</row>
    <row r="696" spans="1:26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</row>
    <row r="697" spans="1:26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</row>
    <row r="698" spans="1:26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</row>
    <row r="699" spans="1:26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</row>
    <row r="700" spans="1:26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</row>
    <row r="701" spans="1:26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</row>
    <row r="702" spans="1:26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</row>
    <row r="703" spans="1:26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</row>
    <row r="704" spans="1:26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</row>
    <row r="705" spans="1:26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</row>
    <row r="706" spans="1:26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</row>
    <row r="707" spans="1:26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</row>
    <row r="708" spans="1:26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</row>
    <row r="709" spans="1:26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</row>
    <row r="710" spans="1:26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</row>
    <row r="711" spans="1:26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</row>
    <row r="712" spans="1:26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</row>
    <row r="713" spans="1:26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</row>
    <row r="714" spans="1:26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</row>
    <row r="715" spans="1:26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</row>
    <row r="716" spans="1:26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</row>
    <row r="717" spans="1:26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</row>
    <row r="718" spans="1:26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</row>
    <row r="719" spans="1:26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</row>
    <row r="720" spans="1:26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</row>
    <row r="721" spans="1:26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</row>
    <row r="722" spans="1:26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</row>
    <row r="723" spans="1:26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</row>
    <row r="724" spans="1:26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</row>
    <row r="725" spans="1:26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</row>
    <row r="726" spans="1:26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</row>
    <row r="727" spans="1:26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</row>
    <row r="728" spans="1:26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</row>
    <row r="729" spans="1:26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</row>
    <row r="730" spans="1:26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</row>
    <row r="731" spans="1:26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</row>
    <row r="732" spans="1:26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</row>
    <row r="733" spans="1:26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</row>
    <row r="734" spans="1:26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</row>
    <row r="735" spans="1:26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</row>
    <row r="736" spans="1:26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</row>
    <row r="737" spans="1:26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</row>
    <row r="738" spans="1:26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</row>
    <row r="739" spans="1:26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</row>
    <row r="740" spans="1:26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</row>
    <row r="741" spans="1:26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</row>
    <row r="742" spans="1:26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</row>
    <row r="743" spans="1:26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</row>
    <row r="744" spans="1:26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</row>
    <row r="745" spans="1:26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</row>
    <row r="746" spans="1:26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</row>
    <row r="747" spans="1:26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</row>
    <row r="748" spans="1:26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</row>
    <row r="749" spans="1:26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</row>
    <row r="750" spans="1:26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</row>
    <row r="751" spans="1:26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</row>
    <row r="752" spans="1:26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</row>
    <row r="753" spans="1:26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</row>
    <row r="754" spans="1:26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</row>
    <row r="755" spans="1:26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</row>
    <row r="756" spans="1:26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</row>
    <row r="757" spans="1:26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</row>
    <row r="758" spans="1:26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</row>
    <row r="759" spans="1:26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</row>
    <row r="760" spans="1:26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</row>
    <row r="761" spans="1:26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</row>
    <row r="762" spans="1:26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</row>
    <row r="763" spans="1:26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</row>
    <row r="764" spans="1:26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</row>
    <row r="765" spans="1:26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</row>
    <row r="766" spans="1:26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</row>
    <row r="767" spans="1:26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</row>
    <row r="768" spans="1:26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</row>
    <row r="769" spans="1:26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</row>
    <row r="770" spans="1:26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</row>
    <row r="771" spans="1:26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</row>
    <row r="772" spans="1:26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</row>
    <row r="773" spans="1:26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</row>
    <row r="774" spans="1:26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</row>
    <row r="775" spans="1:26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</row>
    <row r="776" spans="1:26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</row>
    <row r="777" spans="1:26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</row>
    <row r="778" spans="1:26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</row>
    <row r="779" spans="1:26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</row>
    <row r="780" spans="1:26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</row>
    <row r="781" spans="1:26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</row>
    <row r="782" spans="1:26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</row>
    <row r="783" spans="1:26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</row>
    <row r="784" spans="1:26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</row>
    <row r="785" spans="1:26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</row>
    <row r="786" spans="1:26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</row>
    <row r="787" spans="1:26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</row>
    <row r="788" spans="1:26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</row>
    <row r="789" spans="1:26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</row>
    <row r="790" spans="1:26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</row>
    <row r="791" spans="1:26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</row>
    <row r="792" spans="1:26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</row>
    <row r="793" spans="1:26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</row>
    <row r="794" spans="1:26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</row>
    <row r="795" spans="1:26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</row>
    <row r="796" spans="1:26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</row>
    <row r="797" spans="1:26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</row>
    <row r="798" spans="1:26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</row>
    <row r="799" spans="1:26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</row>
    <row r="800" spans="1:26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</row>
    <row r="801" spans="1:26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</row>
    <row r="802" spans="1:26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</row>
    <row r="803" spans="1:26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</row>
    <row r="804" spans="1:26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</row>
    <row r="805" spans="1:26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</row>
    <row r="806" spans="1:26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</row>
    <row r="807" spans="1:26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</row>
    <row r="808" spans="1:26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</row>
    <row r="809" spans="1:26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</row>
    <row r="810" spans="1:26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</row>
    <row r="811" spans="1:26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</row>
    <row r="812" spans="1:26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</row>
    <row r="813" spans="1:26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</row>
    <row r="814" spans="1:26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</row>
    <row r="815" spans="1:26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</row>
    <row r="816" spans="1:26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</row>
    <row r="817" spans="1:26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</row>
    <row r="818" spans="1:26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</row>
    <row r="819" spans="1:26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</row>
    <row r="820" spans="1:26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</row>
    <row r="821" spans="1:26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</row>
    <row r="822" spans="1:26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</row>
    <row r="823" spans="1:26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</row>
    <row r="824" spans="1:26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</row>
    <row r="825" spans="1:26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</row>
    <row r="826" spans="1:26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</row>
    <row r="827" spans="1:26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</row>
    <row r="828" spans="1:26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</row>
    <row r="829" spans="1:26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</row>
    <row r="830" spans="1:26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</row>
    <row r="831" spans="1:26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</row>
    <row r="832" spans="1:26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</row>
    <row r="833" spans="1:26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</row>
    <row r="834" spans="1:26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</row>
    <row r="835" spans="1:26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</row>
    <row r="836" spans="1:26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</row>
    <row r="837" spans="1:26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</row>
    <row r="838" spans="1:26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</row>
    <row r="839" spans="1:26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</row>
    <row r="840" spans="1:26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</row>
    <row r="841" spans="1:26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</row>
    <row r="842" spans="1:26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</row>
    <row r="843" spans="1:26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</row>
    <row r="844" spans="1:26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</row>
    <row r="845" spans="1:26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</row>
    <row r="846" spans="1:26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</row>
    <row r="847" spans="1:26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</row>
    <row r="848" spans="1:26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</row>
    <row r="849" spans="1:26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</row>
    <row r="850" spans="1:26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</row>
    <row r="851" spans="1:26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</row>
    <row r="852" spans="1:26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</row>
    <row r="853" spans="1:26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</row>
    <row r="854" spans="1:26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</row>
    <row r="855" spans="1:26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</row>
    <row r="856" spans="1:26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</row>
    <row r="857" spans="1:26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</row>
    <row r="858" spans="1:26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</row>
    <row r="859" spans="1:26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</row>
    <row r="860" spans="1:26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</row>
    <row r="861" spans="1:26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</row>
    <row r="862" spans="1:26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</row>
    <row r="863" spans="1:26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</row>
    <row r="864" spans="1:26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</row>
    <row r="865" spans="1:26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</row>
    <row r="866" spans="1:26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</row>
    <row r="867" spans="1:26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</row>
    <row r="868" spans="1:26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</row>
    <row r="869" spans="1:26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</row>
    <row r="870" spans="1:26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</row>
    <row r="871" spans="1:26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</row>
    <row r="872" spans="1:26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</row>
    <row r="873" spans="1:26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</row>
    <row r="874" spans="1:26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</row>
    <row r="875" spans="1:26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</row>
    <row r="876" spans="1:26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</row>
    <row r="877" spans="1:26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</row>
    <row r="878" spans="1:26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</row>
    <row r="879" spans="1:26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</row>
    <row r="880" spans="1:26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</row>
    <row r="881" spans="1:26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</row>
    <row r="882" spans="1:26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</row>
    <row r="883" spans="1:26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</row>
    <row r="884" spans="1:26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</row>
    <row r="885" spans="1:26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</row>
    <row r="886" spans="1:26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</row>
    <row r="887" spans="1:26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</row>
    <row r="888" spans="1:26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</row>
    <row r="889" spans="1:26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</row>
    <row r="890" spans="1:26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</row>
    <row r="891" spans="1:26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</row>
    <row r="892" spans="1:26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</row>
    <row r="893" spans="1:26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</row>
    <row r="894" spans="1:26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</row>
    <row r="895" spans="1:26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</row>
    <row r="896" spans="1:26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</row>
    <row r="897" spans="1:26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</row>
    <row r="898" spans="1:26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</row>
    <row r="899" spans="1:26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</row>
    <row r="900" spans="1:26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</row>
    <row r="901" spans="1:26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</row>
    <row r="902" spans="1:26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</row>
    <row r="903" spans="1:26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</row>
    <row r="904" spans="1:26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</row>
    <row r="905" spans="1:26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</row>
    <row r="906" spans="1:26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</row>
    <row r="907" spans="1:26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</row>
    <row r="908" spans="1:26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</row>
    <row r="909" spans="1:26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</row>
    <row r="910" spans="1:26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</row>
    <row r="911" spans="1:26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</row>
    <row r="912" spans="1:26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</row>
    <row r="913" spans="1:26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</row>
    <row r="914" spans="1:26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</row>
    <row r="915" spans="1:26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</row>
    <row r="916" spans="1:26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</row>
    <row r="917" spans="1:26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</row>
    <row r="918" spans="1:26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</row>
    <row r="919" spans="1:26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</row>
    <row r="920" spans="1:26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</row>
    <row r="921" spans="1:26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</row>
    <row r="922" spans="1:26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</row>
    <row r="923" spans="1:26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</row>
    <row r="924" spans="1:26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</row>
    <row r="925" spans="1:26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</row>
    <row r="926" spans="1:26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</row>
    <row r="927" spans="1:26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</row>
    <row r="928" spans="1:26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</row>
    <row r="929" spans="1:26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</row>
    <row r="930" spans="1:26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</row>
    <row r="931" spans="1:26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</row>
    <row r="932" spans="1:26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</row>
    <row r="933" spans="1:26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</row>
    <row r="934" spans="1:26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</row>
    <row r="935" spans="1:26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</row>
    <row r="936" spans="1:26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</row>
    <row r="937" spans="1:26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</row>
    <row r="938" spans="1:26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</row>
    <row r="939" spans="1:26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</row>
    <row r="940" spans="1:26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</row>
    <row r="941" spans="1:26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</row>
    <row r="942" spans="1:26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</row>
    <row r="943" spans="1:26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</row>
    <row r="944" spans="1:26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</row>
    <row r="945" spans="1:26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</row>
    <row r="946" spans="1:26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</row>
    <row r="947" spans="1:26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</row>
    <row r="948" spans="1:26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</row>
    <row r="949" spans="1:26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</row>
    <row r="950" spans="1:26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</row>
    <row r="951" spans="1:26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</row>
    <row r="952" spans="1:26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</row>
    <row r="953" spans="1:26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</row>
    <row r="954" spans="1:26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</row>
    <row r="955" spans="1:26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</row>
    <row r="956" spans="1:26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</row>
    <row r="957" spans="1:26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</row>
    <row r="958" spans="1:26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</row>
    <row r="959" spans="1:26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</row>
    <row r="960" spans="1:26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</row>
    <row r="961" spans="1:26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</row>
    <row r="962" spans="1:26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</row>
    <row r="963" spans="1:26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</row>
    <row r="964" spans="1:26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</row>
    <row r="965" spans="1:26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</row>
    <row r="966" spans="1:26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</row>
    <row r="967" spans="1:26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</row>
    <row r="968" spans="1:26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</row>
    <row r="969" spans="1:26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</row>
    <row r="970" spans="1:26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</row>
    <row r="971" spans="1:26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</row>
    <row r="972" spans="1:26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</row>
    <row r="973" spans="1:26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</row>
    <row r="974" spans="1:26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</row>
    <row r="975" spans="1:26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</row>
    <row r="976" spans="1:26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</row>
    <row r="977" spans="1:26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</row>
    <row r="978" spans="1:26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</row>
    <row r="979" spans="1:26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</row>
    <row r="980" spans="1:26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</row>
    <row r="981" spans="1:26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</row>
    <row r="982" spans="1:26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</row>
    <row r="983" spans="1:26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</row>
    <row r="984" spans="1:26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</row>
    <row r="985" spans="1:26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</row>
    <row r="986" spans="1:26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</row>
    <row r="987" spans="1:26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</row>
    <row r="988" spans="1:26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</row>
    <row r="989" spans="1:26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</row>
    <row r="990" spans="1:26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</row>
    <row r="991" spans="1:26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</row>
    <row r="992" spans="1:26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</row>
    <row r="993" spans="1:26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  <c r="Z993" s="100"/>
    </row>
    <row r="994" spans="1:26">
      <c r="A994" s="100"/>
      <c r="B994" s="100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  <c r="Z994" s="100"/>
    </row>
    <row r="995" spans="1:26">
      <c r="A995" s="100"/>
      <c r="B995" s="100"/>
      <c r="C995" s="100"/>
      <c r="D995" s="100"/>
      <c r="E995" s="100"/>
      <c r="F995" s="100"/>
      <c r="G995" s="100"/>
      <c r="H995" s="100"/>
      <c r="I995" s="100"/>
      <c r="J995" s="100"/>
      <c r="K995" s="100"/>
      <c r="L995" s="100"/>
      <c r="M995" s="100"/>
      <c r="N995" s="100"/>
      <c r="O995" s="100"/>
      <c r="P995" s="100"/>
      <c r="Q995" s="100"/>
      <c r="R995" s="100"/>
      <c r="S995" s="100"/>
      <c r="T995" s="100"/>
      <c r="U995" s="100"/>
      <c r="V995" s="100"/>
      <c r="W995" s="100"/>
      <c r="X995" s="100"/>
      <c r="Y995" s="100"/>
      <c r="Z995" s="100"/>
    </row>
    <row r="996" spans="1:26">
      <c r="A996" s="100"/>
      <c r="B996" s="100"/>
      <c r="C996" s="100"/>
      <c r="D996" s="100"/>
      <c r="E996" s="100"/>
      <c r="F996" s="100"/>
      <c r="G996" s="100"/>
      <c r="H996" s="100"/>
      <c r="I996" s="100"/>
      <c r="J996" s="100"/>
      <c r="K996" s="100"/>
      <c r="L996" s="100"/>
      <c r="M996" s="100"/>
      <c r="N996" s="100"/>
      <c r="O996" s="100"/>
      <c r="P996" s="100"/>
      <c r="Q996" s="100"/>
      <c r="R996" s="100"/>
      <c r="S996" s="100"/>
      <c r="T996" s="100"/>
      <c r="U996" s="100"/>
      <c r="V996" s="100"/>
      <c r="W996" s="100"/>
      <c r="X996" s="100"/>
      <c r="Y996" s="100"/>
      <c r="Z996" s="100"/>
    </row>
    <row r="997" spans="1:26">
      <c r="A997" s="100"/>
      <c r="B997" s="100"/>
      <c r="C997" s="100"/>
      <c r="D997" s="100"/>
      <c r="E997" s="100"/>
      <c r="F997" s="100"/>
      <c r="G997" s="100"/>
      <c r="H997" s="100"/>
      <c r="I997" s="100"/>
      <c r="J997" s="100"/>
      <c r="K997" s="100"/>
      <c r="L997" s="100"/>
      <c r="M997" s="100"/>
      <c r="N997" s="100"/>
      <c r="O997" s="100"/>
      <c r="P997" s="100"/>
      <c r="Q997" s="100"/>
      <c r="R997" s="100"/>
      <c r="S997" s="100"/>
      <c r="T997" s="100"/>
      <c r="U997" s="100"/>
      <c r="V997" s="100"/>
      <c r="W997" s="100"/>
      <c r="X997" s="100"/>
      <c r="Y997" s="100"/>
      <c r="Z997" s="100"/>
    </row>
    <row r="998" spans="1:26">
      <c r="A998" s="100"/>
      <c r="B998" s="100"/>
      <c r="C998" s="100"/>
      <c r="D998" s="100"/>
      <c r="E998" s="100"/>
      <c r="F998" s="100"/>
      <c r="G998" s="100"/>
      <c r="H998" s="100"/>
      <c r="I998" s="100"/>
      <c r="J998" s="100"/>
      <c r="K998" s="100"/>
      <c r="L998" s="100"/>
      <c r="M998" s="100"/>
      <c r="N998" s="100"/>
      <c r="O998" s="100"/>
      <c r="P998" s="100"/>
      <c r="Q998" s="100"/>
      <c r="R998" s="100"/>
      <c r="S998" s="100"/>
      <c r="T998" s="100"/>
      <c r="U998" s="100"/>
      <c r="V998" s="100"/>
      <c r="W998" s="100"/>
      <c r="X998" s="100"/>
      <c r="Y998" s="100"/>
      <c r="Z998" s="100"/>
    </row>
    <row r="999" spans="1:26">
      <c r="A999" s="100"/>
      <c r="B999" s="100"/>
      <c r="C999" s="100"/>
      <c r="D999" s="100"/>
      <c r="E999" s="100"/>
      <c r="F999" s="100"/>
      <c r="G999" s="100"/>
      <c r="H999" s="100"/>
      <c r="I999" s="100"/>
      <c r="J999" s="100"/>
      <c r="K999" s="100"/>
      <c r="L999" s="100"/>
      <c r="M999" s="100"/>
      <c r="N999" s="100"/>
      <c r="O999" s="100"/>
      <c r="P999" s="100"/>
      <c r="Q999" s="100"/>
      <c r="R999" s="100"/>
      <c r="S999" s="100"/>
      <c r="T999" s="100"/>
      <c r="U999" s="100"/>
      <c r="V999" s="100"/>
      <c r="W999" s="100"/>
      <c r="X999" s="100"/>
      <c r="Y999" s="100"/>
      <c r="Z999" s="100"/>
    </row>
    <row r="1000" spans="1:26">
      <c r="A1000" s="100"/>
      <c r="B1000" s="100"/>
      <c r="C1000" s="100"/>
      <c r="D1000" s="100"/>
      <c r="E1000" s="100"/>
      <c r="F1000" s="100"/>
      <c r="G1000" s="100"/>
      <c r="H1000" s="100"/>
      <c r="I1000" s="100"/>
      <c r="J1000" s="100"/>
      <c r="K1000" s="100"/>
      <c r="L1000" s="100"/>
      <c r="M1000" s="100"/>
      <c r="N1000" s="100"/>
      <c r="O1000" s="100"/>
      <c r="P1000" s="100"/>
      <c r="Q1000" s="100"/>
      <c r="R1000" s="100"/>
      <c r="S1000" s="100"/>
      <c r="T1000" s="100"/>
      <c r="U1000" s="100"/>
      <c r="V1000" s="100"/>
      <c r="W1000" s="100"/>
      <c r="X1000" s="100"/>
      <c r="Y1000" s="100"/>
      <c r="Z1000" s="100"/>
    </row>
    <row r="1001" spans="1:26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</row>
    <row r="1002" spans="1:26">
      <c r="A1002" s="100"/>
      <c r="B1002" s="100"/>
      <c r="C1002" s="100"/>
      <c r="D1002" s="100"/>
      <c r="E1002" s="100"/>
      <c r="F1002" s="100"/>
      <c r="G1002" s="100"/>
      <c r="H1002" s="100"/>
      <c r="I1002" s="100"/>
      <c r="J1002" s="100"/>
      <c r="K1002" s="100"/>
      <c r="L1002" s="100"/>
      <c r="M1002" s="100"/>
      <c r="N1002" s="100"/>
      <c r="O1002" s="100"/>
      <c r="P1002" s="100"/>
      <c r="Q1002" s="100"/>
      <c r="R1002" s="100"/>
      <c r="S1002" s="100"/>
      <c r="T1002" s="100"/>
      <c r="U1002" s="100"/>
      <c r="V1002" s="100"/>
      <c r="W1002" s="100"/>
      <c r="X1002" s="100"/>
      <c r="Y1002" s="100"/>
      <c r="Z1002" s="100"/>
    </row>
    <row r="1003" spans="1:26">
      <c r="A1003" s="100"/>
      <c r="B1003" s="100"/>
      <c r="C1003" s="100"/>
      <c r="D1003" s="100"/>
      <c r="E1003" s="100"/>
      <c r="F1003" s="100"/>
      <c r="G1003" s="100"/>
      <c r="H1003" s="100"/>
      <c r="I1003" s="100"/>
      <c r="J1003" s="100"/>
      <c r="K1003" s="100"/>
      <c r="L1003" s="100"/>
      <c r="M1003" s="100"/>
      <c r="N1003" s="100"/>
      <c r="O1003" s="100"/>
      <c r="P1003" s="100"/>
      <c r="Q1003" s="100"/>
      <c r="R1003" s="100"/>
      <c r="S1003" s="100"/>
      <c r="T1003" s="100"/>
      <c r="U1003" s="100"/>
      <c r="V1003" s="100"/>
      <c r="W1003" s="100"/>
      <c r="X1003" s="100"/>
      <c r="Y1003" s="100"/>
      <c r="Z1003" s="100"/>
    </row>
    <row r="1004" spans="1:26">
      <c r="A1004" s="100"/>
      <c r="B1004" s="100"/>
      <c r="C1004" s="100"/>
      <c r="D1004" s="100"/>
      <c r="E1004" s="100"/>
      <c r="F1004" s="100"/>
      <c r="G1004" s="100"/>
      <c r="H1004" s="100"/>
      <c r="I1004" s="100"/>
      <c r="J1004" s="100"/>
      <c r="K1004" s="100"/>
      <c r="L1004" s="100"/>
      <c r="M1004" s="100"/>
      <c r="N1004" s="100"/>
      <c r="O1004" s="100"/>
      <c r="P1004" s="100"/>
      <c r="Q1004" s="100"/>
      <c r="R1004" s="100"/>
      <c r="S1004" s="100"/>
      <c r="T1004" s="100"/>
      <c r="U1004" s="100"/>
      <c r="V1004" s="100"/>
      <c r="W1004" s="100"/>
      <c r="X1004" s="100"/>
      <c r="Y1004" s="100"/>
      <c r="Z1004" s="100"/>
    </row>
    <row r="1005" spans="1:26">
      <c r="A1005" s="100"/>
      <c r="B1005" s="100"/>
      <c r="C1005" s="1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  <c r="O1005" s="100"/>
      <c r="P1005" s="100"/>
      <c r="Q1005" s="100"/>
      <c r="R1005" s="100"/>
      <c r="S1005" s="100"/>
      <c r="T1005" s="100"/>
      <c r="U1005" s="100"/>
      <c r="V1005" s="100"/>
      <c r="W1005" s="100"/>
      <c r="X1005" s="100"/>
      <c r="Y1005" s="100"/>
      <c r="Z1005" s="100"/>
    </row>
    <row r="1006" spans="1:26">
      <c r="A1006" s="100"/>
      <c r="B1006" s="100"/>
      <c r="C1006" s="100"/>
      <c r="D1006" s="100"/>
      <c r="E1006" s="100"/>
      <c r="F1006" s="100"/>
      <c r="G1006" s="100"/>
      <c r="H1006" s="100"/>
      <c r="I1006" s="100"/>
      <c r="J1006" s="100"/>
      <c r="K1006" s="100"/>
      <c r="L1006" s="100"/>
      <c r="M1006" s="100"/>
      <c r="N1006" s="100"/>
      <c r="O1006" s="100"/>
      <c r="P1006" s="100"/>
      <c r="Q1006" s="100"/>
      <c r="R1006" s="100"/>
      <c r="S1006" s="100"/>
      <c r="T1006" s="100"/>
      <c r="U1006" s="100"/>
      <c r="V1006" s="100"/>
      <c r="W1006" s="100"/>
      <c r="X1006" s="100"/>
      <c r="Y1006" s="100"/>
      <c r="Z1006" s="100"/>
    </row>
    <row r="1007" spans="1:26">
      <c r="A1007" s="100"/>
      <c r="B1007" s="100"/>
      <c r="C1007" s="100"/>
      <c r="D1007" s="100"/>
      <c r="E1007" s="100"/>
      <c r="F1007" s="100"/>
      <c r="G1007" s="100"/>
      <c r="H1007" s="100"/>
      <c r="I1007" s="100"/>
      <c r="J1007" s="100"/>
      <c r="K1007" s="100"/>
      <c r="L1007" s="100"/>
      <c r="M1007" s="100"/>
      <c r="N1007" s="100"/>
      <c r="O1007" s="100"/>
      <c r="P1007" s="100"/>
      <c r="Q1007" s="100"/>
      <c r="R1007" s="100"/>
      <c r="S1007" s="100"/>
      <c r="T1007" s="100"/>
      <c r="U1007" s="100"/>
      <c r="V1007" s="100"/>
      <c r="W1007" s="100"/>
      <c r="X1007" s="100"/>
      <c r="Y1007" s="100"/>
      <c r="Z1007" s="100"/>
    </row>
    <row r="1008" spans="1:26">
      <c r="A1008" s="100"/>
      <c r="B1008" s="100"/>
      <c r="C1008" s="100"/>
      <c r="D1008" s="100"/>
      <c r="E1008" s="100"/>
      <c r="F1008" s="100"/>
      <c r="G1008" s="100"/>
      <c r="H1008" s="100"/>
      <c r="I1008" s="100"/>
      <c r="J1008" s="100"/>
      <c r="K1008" s="100"/>
      <c r="L1008" s="100"/>
      <c r="M1008" s="100"/>
      <c r="N1008" s="100"/>
      <c r="O1008" s="100"/>
      <c r="P1008" s="100"/>
      <c r="Q1008" s="100"/>
      <c r="R1008" s="100"/>
      <c r="S1008" s="100"/>
      <c r="T1008" s="100"/>
      <c r="U1008" s="100"/>
      <c r="V1008" s="100"/>
      <c r="W1008" s="100"/>
      <c r="X1008" s="100"/>
      <c r="Y1008" s="100"/>
      <c r="Z1008" s="100"/>
    </row>
    <row r="1009" spans="1:26">
      <c r="A1009" s="100"/>
      <c r="B1009" s="100"/>
      <c r="C1009" s="100"/>
      <c r="D1009" s="100"/>
      <c r="E1009" s="100"/>
      <c r="F1009" s="100"/>
      <c r="G1009" s="100"/>
      <c r="H1009" s="100"/>
      <c r="I1009" s="100"/>
      <c r="J1009" s="100"/>
      <c r="K1009" s="100"/>
      <c r="L1009" s="100"/>
      <c r="M1009" s="100"/>
      <c r="N1009" s="100"/>
      <c r="O1009" s="100"/>
      <c r="P1009" s="100"/>
      <c r="Q1009" s="100"/>
      <c r="R1009" s="100"/>
      <c r="S1009" s="100"/>
      <c r="T1009" s="100"/>
      <c r="U1009" s="100"/>
      <c r="V1009" s="100"/>
      <c r="W1009" s="100"/>
      <c r="X1009" s="100"/>
      <c r="Y1009" s="100"/>
      <c r="Z1009" s="100"/>
    </row>
    <row r="1010" spans="1:26">
      <c r="A1010" s="100"/>
      <c r="B1010" s="100"/>
      <c r="C1010" s="100"/>
      <c r="D1010" s="100"/>
      <c r="E1010" s="100"/>
      <c r="F1010" s="100"/>
      <c r="G1010" s="100"/>
      <c r="H1010" s="100"/>
      <c r="I1010" s="100"/>
      <c r="J1010" s="100"/>
      <c r="K1010" s="100"/>
      <c r="L1010" s="100"/>
      <c r="M1010" s="100"/>
      <c r="N1010" s="100"/>
      <c r="O1010" s="100"/>
      <c r="P1010" s="100"/>
      <c r="Q1010" s="100"/>
      <c r="R1010" s="100"/>
      <c r="S1010" s="100"/>
      <c r="T1010" s="100"/>
      <c r="U1010" s="100"/>
      <c r="V1010" s="100"/>
      <c r="W1010" s="100"/>
      <c r="X1010" s="100"/>
      <c r="Y1010" s="100"/>
      <c r="Z1010" s="100"/>
    </row>
    <row r="1011" spans="1:26">
      <c r="A1011" s="100"/>
      <c r="B1011" s="100"/>
      <c r="C1011" s="100"/>
      <c r="D1011" s="100"/>
      <c r="E1011" s="100"/>
      <c r="F1011" s="100"/>
      <c r="G1011" s="100"/>
      <c r="H1011" s="100"/>
      <c r="I1011" s="100"/>
      <c r="J1011" s="100"/>
      <c r="K1011" s="100"/>
      <c r="L1011" s="100"/>
      <c r="M1011" s="100"/>
      <c r="N1011" s="100"/>
      <c r="O1011" s="100"/>
      <c r="P1011" s="100"/>
      <c r="Q1011" s="100"/>
      <c r="R1011" s="100"/>
      <c r="S1011" s="100"/>
      <c r="T1011" s="100"/>
      <c r="U1011" s="100"/>
      <c r="V1011" s="100"/>
      <c r="W1011" s="100"/>
      <c r="X1011" s="100"/>
      <c r="Y1011" s="100"/>
      <c r="Z1011" s="100"/>
    </row>
    <row r="1012" spans="1:26">
      <c r="A1012" s="100"/>
      <c r="B1012" s="100"/>
      <c r="C1012" s="100"/>
      <c r="D1012" s="100"/>
      <c r="E1012" s="100"/>
      <c r="F1012" s="100"/>
      <c r="G1012" s="100"/>
      <c r="H1012" s="100"/>
      <c r="I1012" s="100"/>
      <c r="J1012" s="100"/>
      <c r="K1012" s="100"/>
      <c r="L1012" s="100"/>
      <c r="M1012" s="100"/>
      <c r="N1012" s="100"/>
      <c r="O1012" s="100"/>
      <c r="P1012" s="100"/>
      <c r="Q1012" s="100"/>
      <c r="R1012" s="100"/>
      <c r="S1012" s="100"/>
      <c r="T1012" s="100"/>
      <c r="U1012" s="100"/>
      <c r="V1012" s="100"/>
      <c r="W1012" s="100"/>
      <c r="X1012" s="100"/>
      <c r="Y1012" s="100"/>
      <c r="Z1012" s="100"/>
    </row>
    <row r="1013" spans="1:26">
      <c r="A1013" s="100"/>
      <c r="B1013" s="100"/>
      <c r="C1013" s="100"/>
      <c r="D1013" s="100"/>
      <c r="E1013" s="100"/>
      <c r="F1013" s="100"/>
      <c r="G1013" s="100"/>
      <c r="H1013" s="100"/>
      <c r="I1013" s="100"/>
      <c r="J1013" s="100"/>
      <c r="K1013" s="100"/>
      <c r="L1013" s="100"/>
      <c r="M1013" s="100"/>
      <c r="N1013" s="100"/>
      <c r="O1013" s="100"/>
      <c r="P1013" s="100"/>
      <c r="Q1013" s="100"/>
      <c r="R1013" s="100"/>
      <c r="S1013" s="100"/>
      <c r="T1013" s="100"/>
      <c r="U1013" s="100"/>
      <c r="V1013" s="100"/>
      <c r="W1013" s="100"/>
      <c r="X1013" s="100"/>
      <c r="Y1013" s="100"/>
      <c r="Z1013" s="100"/>
    </row>
    <row r="1014" spans="1:26">
      <c r="A1014" s="100"/>
      <c r="B1014" s="100"/>
      <c r="C1014" s="100"/>
      <c r="D1014" s="100"/>
      <c r="E1014" s="100"/>
      <c r="F1014" s="100"/>
      <c r="G1014" s="100"/>
      <c r="H1014" s="100"/>
      <c r="I1014" s="100"/>
      <c r="J1014" s="100"/>
      <c r="K1014" s="100"/>
      <c r="L1014" s="100"/>
      <c r="M1014" s="100"/>
      <c r="N1014" s="100"/>
      <c r="O1014" s="100"/>
      <c r="P1014" s="100"/>
      <c r="Q1014" s="100"/>
      <c r="R1014" s="100"/>
      <c r="S1014" s="100"/>
      <c r="T1014" s="100"/>
      <c r="U1014" s="100"/>
      <c r="V1014" s="100"/>
      <c r="W1014" s="100"/>
      <c r="X1014" s="100"/>
      <c r="Y1014" s="100"/>
      <c r="Z1014" s="100"/>
    </row>
    <row r="1015" spans="1:26">
      <c r="A1015" s="100"/>
      <c r="B1015" s="100"/>
      <c r="C1015" s="100"/>
      <c r="D1015" s="100"/>
      <c r="E1015" s="100"/>
      <c r="F1015" s="100"/>
      <c r="G1015" s="100"/>
      <c r="H1015" s="100"/>
      <c r="I1015" s="100"/>
      <c r="J1015" s="100"/>
      <c r="K1015" s="100"/>
      <c r="L1015" s="100"/>
      <c r="M1015" s="100"/>
      <c r="N1015" s="100"/>
      <c r="O1015" s="100"/>
      <c r="P1015" s="100"/>
      <c r="Q1015" s="100"/>
      <c r="R1015" s="100"/>
      <c r="S1015" s="100"/>
      <c r="T1015" s="100"/>
      <c r="U1015" s="100"/>
      <c r="V1015" s="100"/>
      <c r="W1015" s="100"/>
      <c r="X1015" s="100"/>
      <c r="Y1015" s="100"/>
      <c r="Z1015" s="100"/>
    </row>
    <row r="1016" spans="1:26">
      <c r="A1016" s="100"/>
      <c r="B1016" s="100"/>
      <c r="C1016" s="100"/>
      <c r="D1016" s="100"/>
      <c r="E1016" s="100"/>
      <c r="F1016" s="100"/>
      <c r="G1016" s="100"/>
      <c r="H1016" s="100"/>
      <c r="I1016" s="100"/>
      <c r="J1016" s="100"/>
      <c r="K1016" s="100"/>
      <c r="L1016" s="100"/>
      <c r="M1016" s="100"/>
      <c r="N1016" s="100"/>
      <c r="O1016" s="100"/>
      <c r="P1016" s="100"/>
      <c r="Q1016" s="100"/>
      <c r="R1016" s="100"/>
      <c r="S1016" s="100"/>
      <c r="T1016" s="100"/>
      <c r="U1016" s="100"/>
      <c r="V1016" s="100"/>
      <c r="W1016" s="100"/>
      <c r="X1016" s="100"/>
      <c r="Y1016" s="100"/>
      <c r="Z1016" s="100"/>
    </row>
    <row r="1017" spans="1:26">
      <c r="A1017" s="100"/>
      <c r="B1017" s="100"/>
      <c r="C1017" s="100"/>
      <c r="D1017" s="100"/>
      <c r="E1017" s="100"/>
      <c r="F1017" s="100"/>
      <c r="G1017" s="100"/>
      <c r="H1017" s="100"/>
      <c r="I1017" s="100"/>
      <c r="J1017" s="100"/>
      <c r="K1017" s="100"/>
      <c r="L1017" s="100"/>
      <c r="M1017" s="100"/>
      <c r="N1017" s="100"/>
      <c r="O1017" s="100"/>
      <c r="P1017" s="100"/>
      <c r="Q1017" s="100"/>
      <c r="R1017" s="100"/>
      <c r="S1017" s="100"/>
      <c r="T1017" s="100"/>
      <c r="U1017" s="100"/>
      <c r="V1017" s="100"/>
      <c r="W1017" s="100"/>
      <c r="X1017" s="100"/>
      <c r="Y1017" s="100"/>
      <c r="Z1017" s="100"/>
    </row>
    <row r="1018" spans="1:26">
      <c r="A1018" s="100"/>
      <c r="B1018" s="100"/>
      <c r="C1018" s="100"/>
      <c r="D1018" s="100"/>
      <c r="E1018" s="100"/>
      <c r="F1018" s="100"/>
      <c r="G1018" s="100"/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00"/>
      <c r="Z1018" s="100"/>
    </row>
    <row r="1019" spans="1:26">
      <c r="A1019" s="100"/>
      <c r="B1019" s="100"/>
      <c r="C1019" s="100"/>
      <c r="D1019" s="100"/>
      <c r="E1019" s="100"/>
      <c r="F1019" s="100"/>
      <c r="G1019" s="100"/>
      <c r="H1019" s="100"/>
      <c r="I1019" s="100"/>
      <c r="J1019" s="100"/>
      <c r="K1019" s="100"/>
      <c r="L1019" s="100"/>
      <c r="M1019" s="100"/>
      <c r="N1019" s="100"/>
      <c r="O1019" s="100"/>
      <c r="P1019" s="100"/>
      <c r="Q1019" s="100"/>
      <c r="R1019" s="100"/>
      <c r="S1019" s="100"/>
      <c r="T1019" s="100"/>
      <c r="U1019" s="100"/>
      <c r="V1019" s="100"/>
      <c r="W1019" s="100"/>
      <c r="X1019" s="100"/>
      <c r="Y1019" s="100"/>
      <c r="Z1019" s="100"/>
    </row>
    <row r="1020" spans="1:26">
      <c r="A1020" s="100"/>
      <c r="B1020" s="100"/>
      <c r="C1020" s="100"/>
      <c r="D1020" s="100"/>
      <c r="E1020" s="100"/>
      <c r="F1020" s="100"/>
      <c r="G1020" s="100"/>
      <c r="H1020" s="100"/>
      <c r="I1020" s="100"/>
      <c r="J1020" s="100"/>
      <c r="K1020" s="100"/>
      <c r="L1020" s="100"/>
      <c r="M1020" s="100"/>
      <c r="N1020" s="100"/>
      <c r="O1020" s="100"/>
      <c r="P1020" s="100"/>
      <c r="Q1020" s="100"/>
      <c r="R1020" s="100"/>
      <c r="S1020" s="100"/>
      <c r="T1020" s="100"/>
      <c r="U1020" s="100"/>
      <c r="V1020" s="100"/>
      <c r="W1020" s="100"/>
      <c r="X1020" s="100"/>
      <c r="Y1020" s="100"/>
      <c r="Z1020" s="100"/>
    </row>
    <row r="1021" spans="1:26">
      <c r="A1021" s="100"/>
      <c r="B1021" s="100"/>
      <c r="C1021" s="100"/>
      <c r="D1021" s="100"/>
      <c r="E1021" s="100"/>
      <c r="F1021" s="100"/>
      <c r="G1021" s="100"/>
      <c r="H1021" s="100"/>
      <c r="I1021" s="100"/>
      <c r="J1021" s="100"/>
      <c r="K1021" s="100"/>
      <c r="L1021" s="100"/>
      <c r="M1021" s="100"/>
      <c r="N1021" s="100"/>
      <c r="O1021" s="100"/>
      <c r="P1021" s="100"/>
      <c r="Q1021" s="100"/>
      <c r="R1021" s="100"/>
      <c r="S1021" s="100"/>
      <c r="T1021" s="100"/>
      <c r="U1021" s="100"/>
      <c r="V1021" s="100"/>
      <c r="W1021" s="100"/>
      <c r="X1021" s="100"/>
      <c r="Y1021" s="100"/>
      <c r="Z1021" s="100"/>
    </row>
    <row r="1022" spans="1:26">
      <c r="A1022" s="100"/>
      <c r="B1022" s="100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100"/>
      <c r="T1022" s="100"/>
      <c r="U1022" s="100"/>
      <c r="V1022" s="100"/>
      <c r="W1022" s="100"/>
      <c r="X1022" s="100"/>
      <c r="Y1022" s="100"/>
      <c r="Z1022" s="100"/>
    </row>
    <row r="1023" spans="1:26">
      <c r="A1023" s="100"/>
      <c r="B1023" s="10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100"/>
      <c r="T1023" s="100"/>
      <c r="U1023" s="100"/>
      <c r="V1023" s="100"/>
      <c r="W1023" s="100"/>
      <c r="X1023" s="100"/>
      <c r="Y1023" s="100"/>
      <c r="Z1023" s="100"/>
    </row>
    <row r="1024" spans="1:26">
      <c r="A1024" s="100"/>
      <c r="B1024" s="10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100"/>
      <c r="T1024" s="100"/>
      <c r="U1024" s="100"/>
      <c r="V1024" s="100"/>
      <c r="W1024" s="100"/>
      <c r="X1024" s="100"/>
      <c r="Y1024" s="100"/>
      <c r="Z1024" s="100"/>
    </row>
    <row r="1025" spans="1:26">
      <c r="A1025" s="100"/>
      <c r="B1025" s="10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100"/>
      <c r="T1025" s="100"/>
      <c r="U1025" s="100"/>
      <c r="V1025" s="100"/>
      <c r="W1025" s="100"/>
      <c r="X1025" s="100"/>
      <c r="Y1025" s="100"/>
      <c r="Z1025" s="100"/>
    </row>
    <row r="1026" spans="1:26">
      <c r="A1026" s="100"/>
      <c r="B1026" s="10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100"/>
      <c r="T1026" s="100"/>
      <c r="U1026" s="100"/>
      <c r="V1026" s="100"/>
      <c r="W1026" s="100"/>
      <c r="X1026" s="100"/>
      <c r="Y1026" s="100"/>
      <c r="Z1026" s="100"/>
    </row>
    <row r="1027" spans="1:26">
      <c r="A1027" s="100"/>
      <c r="B1027" s="100"/>
      <c r="C1027" s="100"/>
      <c r="D1027" s="100"/>
      <c r="E1027" s="100"/>
      <c r="F1027" s="100"/>
      <c r="G1027" s="100"/>
      <c r="H1027" s="100"/>
      <c r="I1027" s="100"/>
      <c r="J1027" s="100"/>
      <c r="K1027" s="100"/>
      <c r="L1027" s="100"/>
      <c r="M1027" s="100"/>
      <c r="N1027" s="100"/>
      <c r="O1027" s="100"/>
      <c r="P1027" s="100"/>
      <c r="Q1027" s="100"/>
      <c r="R1027" s="100"/>
      <c r="S1027" s="100"/>
      <c r="T1027" s="100"/>
      <c r="U1027" s="100"/>
      <c r="V1027" s="100"/>
      <c r="W1027" s="100"/>
      <c r="X1027" s="100"/>
      <c r="Y1027" s="100"/>
      <c r="Z1027" s="100"/>
    </row>
    <row r="1028" spans="1:26">
      <c r="A1028" s="100"/>
      <c r="B1028" s="100"/>
      <c r="C1028" s="100"/>
      <c r="D1028" s="100"/>
      <c r="E1028" s="100"/>
      <c r="F1028" s="100"/>
      <c r="G1028" s="100"/>
      <c r="H1028" s="100"/>
      <c r="I1028" s="100"/>
      <c r="J1028" s="100"/>
      <c r="K1028" s="100"/>
      <c r="L1028" s="100"/>
      <c r="M1028" s="100"/>
      <c r="N1028" s="100"/>
      <c r="O1028" s="100"/>
      <c r="P1028" s="100"/>
      <c r="Q1028" s="100"/>
      <c r="R1028" s="100"/>
      <c r="S1028" s="100"/>
      <c r="T1028" s="100"/>
      <c r="U1028" s="100"/>
      <c r="V1028" s="100"/>
      <c r="W1028" s="100"/>
      <c r="X1028" s="100"/>
      <c r="Y1028" s="100"/>
      <c r="Z1028" s="100"/>
    </row>
    <row r="1029" spans="1:26">
      <c r="A1029" s="100"/>
      <c r="B1029" s="100"/>
      <c r="C1029" s="100"/>
      <c r="D1029" s="100"/>
      <c r="E1029" s="100"/>
      <c r="F1029" s="100"/>
      <c r="G1029" s="100"/>
      <c r="H1029" s="100"/>
      <c r="I1029" s="100"/>
      <c r="J1029" s="100"/>
      <c r="K1029" s="100"/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/>
      <c r="Y1029" s="100"/>
      <c r="Z1029" s="100"/>
    </row>
    <row r="1030" spans="1:26">
      <c r="A1030" s="100"/>
      <c r="B1030" s="100"/>
      <c r="C1030" s="100"/>
      <c r="D1030" s="100"/>
      <c r="E1030" s="100"/>
      <c r="F1030" s="100"/>
      <c r="G1030" s="100"/>
      <c r="H1030" s="100"/>
      <c r="I1030" s="100"/>
      <c r="J1030" s="100"/>
      <c r="K1030" s="100"/>
      <c r="L1030" s="100"/>
      <c r="M1030" s="100"/>
      <c r="N1030" s="100"/>
      <c r="O1030" s="100"/>
      <c r="P1030" s="100"/>
      <c r="Q1030" s="100"/>
      <c r="R1030" s="100"/>
      <c r="S1030" s="100"/>
      <c r="T1030" s="100"/>
      <c r="U1030" s="100"/>
      <c r="V1030" s="100"/>
      <c r="W1030" s="100"/>
      <c r="X1030" s="100"/>
      <c r="Y1030" s="100"/>
      <c r="Z1030" s="100"/>
    </row>
    <row r="1031" spans="1:26">
      <c r="A1031" s="100"/>
      <c r="B1031" s="100"/>
      <c r="C1031" s="100"/>
      <c r="D1031" s="100"/>
      <c r="E1031" s="100"/>
      <c r="F1031" s="100"/>
      <c r="G1031" s="100"/>
      <c r="H1031" s="100"/>
      <c r="I1031" s="100"/>
      <c r="J1031" s="100"/>
      <c r="K1031" s="100"/>
      <c r="L1031" s="100"/>
      <c r="M1031" s="100"/>
      <c r="N1031" s="100"/>
      <c r="O1031" s="100"/>
      <c r="P1031" s="100"/>
      <c r="Q1031" s="100"/>
      <c r="R1031" s="100"/>
      <c r="S1031" s="100"/>
      <c r="T1031" s="100"/>
      <c r="U1031" s="100"/>
      <c r="V1031" s="100"/>
      <c r="W1031" s="100"/>
      <c r="X1031" s="100"/>
      <c r="Y1031" s="100"/>
      <c r="Z1031" s="100"/>
    </row>
    <row r="1032" spans="1:26">
      <c r="A1032" s="100"/>
      <c r="B1032" s="100"/>
      <c r="C1032" s="100"/>
      <c r="D1032" s="100"/>
      <c r="E1032" s="100"/>
      <c r="F1032" s="100"/>
      <c r="G1032" s="100"/>
      <c r="H1032" s="100"/>
      <c r="I1032" s="100"/>
      <c r="J1032" s="100"/>
      <c r="K1032" s="100"/>
      <c r="L1032" s="100"/>
      <c r="M1032" s="100"/>
      <c r="N1032" s="100"/>
      <c r="O1032" s="100"/>
      <c r="P1032" s="100"/>
      <c r="Q1032" s="100"/>
      <c r="R1032" s="100"/>
      <c r="S1032" s="100"/>
      <c r="T1032" s="100"/>
      <c r="U1032" s="100"/>
      <c r="V1032" s="100"/>
      <c r="W1032" s="100"/>
      <c r="X1032" s="100"/>
      <c r="Y1032" s="100"/>
      <c r="Z1032" s="100"/>
    </row>
    <row r="1033" spans="1:26">
      <c r="A1033" s="100"/>
      <c r="B1033" s="100"/>
      <c r="C1033" s="100"/>
      <c r="D1033" s="100"/>
      <c r="E1033" s="100"/>
      <c r="F1033" s="100"/>
      <c r="G1033" s="100"/>
      <c r="H1033" s="100"/>
      <c r="I1033" s="100"/>
      <c r="J1033" s="100"/>
      <c r="K1033" s="100"/>
      <c r="L1033" s="100"/>
      <c r="M1033" s="100"/>
      <c r="N1033" s="100"/>
      <c r="O1033" s="100"/>
      <c r="P1033" s="100"/>
      <c r="Q1033" s="100"/>
      <c r="R1033" s="100"/>
      <c r="S1033" s="100"/>
      <c r="T1033" s="100"/>
      <c r="U1033" s="100"/>
      <c r="V1033" s="100"/>
      <c r="W1033" s="100"/>
      <c r="X1033" s="100"/>
      <c r="Y1033" s="100"/>
      <c r="Z1033" s="100"/>
    </row>
    <row r="1034" spans="1:26">
      <c r="A1034" s="100"/>
      <c r="B1034" s="100"/>
      <c r="C1034" s="100"/>
      <c r="D1034" s="100"/>
      <c r="E1034" s="100"/>
      <c r="F1034" s="100"/>
      <c r="G1034" s="100"/>
      <c r="H1034" s="100"/>
      <c r="I1034" s="100"/>
      <c r="J1034" s="100"/>
      <c r="K1034" s="100"/>
      <c r="L1034" s="100"/>
      <c r="M1034" s="100"/>
      <c r="N1034" s="100"/>
      <c r="O1034" s="100"/>
      <c r="P1034" s="100"/>
      <c r="Q1034" s="100"/>
      <c r="R1034" s="100"/>
      <c r="S1034" s="100"/>
      <c r="T1034" s="100"/>
      <c r="U1034" s="100"/>
      <c r="V1034" s="100"/>
      <c r="W1034" s="100"/>
      <c r="X1034" s="100"/>
      <c r="Y1034" s="100"/>
      <c r="Z1034" s="100"/>
    </row>
    <row r="1035" spans="1:26">
      <c r="A1035" s="100"/>
      <c r="B1035" s="100"/>
      <c r="C1035" s="100"/>
      <c r="D1035" s="100"/>
      <c r="E1035" s="100"/>
      <c r="F1035" s="100"/>
      <c r="G1035" s="100"/>
      <c r="H1035" s="100"/>
      <c r="I1035" s="100"/>
      <c r="J1035" s="100"/>
      <c r="K1035" s="100"/>
      <c r="L1035" s="100"/>
      <c r="M1035" s="100"/>
      <c r="N1035" s="100"/>
      <c r="O1035" s="100"/>
      <c r="P1035" s="100"/>
      <c r="Q1035" s="100"/>
      <c r="R1035" s="100"/>
      <c r="S1035" s="100"/>
      <c r="T1035" s="100"/>
      <c r="U1035" s="100"/>
      <c r="V1035" s="100"/>
      <c r="W1035" s="100"/>
      <c r="X1035" s="100"/>
      <c r="Y1035" s="100"/>
      <c r="Z1035" s="100"/>
    </row>
    <row r="1036" spans="1:26">
      <c r="A1036" s="100"/>
      <c r="B1036" s="100"/>
      <c r="C1036" s="100"/>
      <c r="D1036" s="100"/>
      <c r="E1036" s="100"/>
      <c r="F1036" s="100"/>
      <c r="G1036" s="100"/>
      <c r="H1036" s="100"/>
      <c r="I1036" s="100"/>
      <c r="J1036" s="100"/>
      <c r="K1036" s="100"/>
      <c r="L1036" s="100"/>
      <c r="M1036" s="100"/>
      <c r="N1036" s="100"/>
      <c r="O1036" s="100"/>
      <c r="P1036" s="100"/>
      <c r="Q1036" s="100"/>
      <c r="R1036" s="100"/>
      <c r="S1036" s="100"/>
      <c r="T1036" s="100"/>
      <c r="U1036" s="100"/>
      <c r="V1036" s="100"/>
      <c r="W1036" s="100"/>
      <c r="X1036" s="100"/>
      <c r="Y1036" s="100"/>
      <c r="Z1036" s="100"/>
    </row>
    <row r="1037" spans="1:26">
      <c r="A1037" s="100"/>
      <c r="B1037" s="100"/>
      <c r="C1037" s="100"/>
      <c r="D1037" s="100"/>
      <c r="E1037" s="100"/>
      <c r="F1037" s="100"/>
      <c r="G1037" s="100"/>
      <c r="H1037" s="100"/>
      <c r="I1037" s="100"/>
      <c r="J1037" s="100"/>
      <c r="K1037" s="100"/>
      <c r="L1037" s="100"/>
      <c r="M1037" s="100"/>
      <c r="N1037" s="100"/>
      <c r="O1037" s="100"/>
      <c r="P1037" s="100"/>
      <c r="Q1037" s="100"/>
      <c r="R1037" s="100"/>
      <c r="S1037" s="100"/>
      <c r="T1037" s="100"/>
      <c r="U1037" s="100"/>
      <c r="V1037" s="100"/>
      <c r="W1037" s="100"/>
      <c r="X1037" s="100"/>
      <c r="Y1037" s="100"/>
      <c r="Z1037" s="100"/>
    </row>
    <row r="1038" spans="1:26">
      <c r="A1038" s="100"/>
      <c r="B1038" s="100"/>
      <c r="C1038" s="100"/>
      <c r="D1038" s="100"/>
      <c r="E1038" s="100"/>
      <c r="F1038" s="100"/>
      <c r="G1038" s="100"/>
      <c r="H1038" s="100"/>
      <c r="I1038" s="100"/>
      <c r="J1038" s="100"/>
      <c r="K1038" s="100"/>
      <c r="L1038" s="100"/>
      <c r="M1038" s="100"/>
      <c r="N1038" s="100"/>
      <c r="O1038" s="100"/>
      <c r="P1038" s="100"/>
      <c r="Q1038" s="100"/>
      <c r="R1038" s="100"/>
      <c r="S1038" s="100"/>
      <c r="T1038" s="100"/>
      <c r="U1038" s="100"/>
      <c r="V1038" s="100"/>
      <c r="W1038" s="100"/>
      <c r="X1038" s="100"/>
      <c r="Y1038" s="100"/>
      <c r="Z1038" s="100"/>
    </row>
    <row r="1039" spans="1:26">
      <c r="A1039" s="100"/>
      <c r="B1039" s="100"/>
      <c r="C1039" s="100"/>
      <c r="D1039" s="100"/>
      <c r="E1039" s="100"/>
      <c r="F1039" s="100"/>
      <c r="G1039" s="100"/>
      <c r="H1039" s="100"/>
      <c r="I1039" s="100"/>
      <c r="J1039" s="100"/>
      <c r="K1039" s="100"/>
      <c r="L1039" s="100"/>
      <c r="M1039" s="100"/>
      <c r="N1039" s="100"/>
      <c r="O1039" s="100"/>
      <c r="P1039" s="100"/>
      <c r="Q1039" s="100"/>
      <c r="R1039" s="100"/>
      <c r="S1039" s="100"/>
      <c r="T1039" s="100"/>
      <c r="U1039" s="100"/>
      <c r="V1039" s="100"/>
      <c r="W1039" s="100"/>
      <c r="X1039" s="100"/>
      <c r="Y1039" s="100"/>
      <c r="Z1039" s="100"/>
    </row>
    <row r="1040" spans="1:26">
      <c r="A1040" s="100"/>
      <c r="B1040" s="100"/>
      <c r="C1040" s="100"/>
      <c r="D1040" s="100"/>
      <c r="E1040" s="100"/>
      <c r="F1040" s="100"/>
      <c r="G1040" s="100"/>
      <c r="H1040" s="100"/>
      <c r="I1040" s="100"/>
      <c r="J1040" s="100"/>
      <c r="K1040" s="100"/>
      <c r="L1040" s="100"/>
      <c r="M1040" s="100"/>
      <c r="N1040" s="100"/>
      <c r="O1040" s="100"/>
      <c r="P1040" s="100"/>
      <c r="Q1040" s="100"/>
      <c r="R1040" s="100"/>
      <c r="S1040" s="100"/>
      <c r="T1040" s="100"/>
      <c r="U1040" s="100"/>
      <c r="V1040" s="100"/>
      <c r="W1040" s="100"/>
      <c r="X1040" s="100"/>
      <c r="Y1040" s="100"/>
      <c r="Z1040" s="100"/>
    </row>
    <row r="1041" spans="1:26">
      <c r="A1041" s="100"/>
      <c r="B1041" s="100"/>
      <c r="C1041" s="100"/>
      <c r="D1041" s="100"/>
      <c r="E1041" s="100"/>
      <c r="F1041" s="100"/>
      <c r="G1041" s="100"/>
      <c r="H1041" s="100"/>
      <c r="I1041" s="100"/>
      <c r="J1041" s="100"/>
      <c r="K1041" s="100"/>
      <c r="L1041" s="100"/>
      <c r="M1041" s="100"/>
      <c r="N1041" s="100"/>
      <c r="O1041" s="100"/>
      <c r="P1041" s="100"/>
      <c r="Q1041" s="100"/>
      <c r="R1041" s="100"/>
      <c r="S1041" s="100"/>
      <c r="T1041" s="100"/>
      <c r="U1041" s="100"/>
      <c r="V1041" s="100"/>
      <c r="W1041" s="100"/>
      <c r="X1041" s="100"/>
      <c r="Y1041" s="100"/>
      <c r="Z1041" s="100"/>
    </row>
    <row r="1042" spans="1:26">
      <c r="A1042" s="100"/>
      <c r="B1042" s="100"/>
      <c r="C1042" s="100"/>
      <c r="D1042" s="100"/>
      <c r="E1042" s="100"/>
      <c r="F1042" s="100"/>
      <c r="G1042" s="100"/>
      <c r="H1042" s="100"/>
      <c r="I1042" s="100"/>
      <c r="J1042" s="100"/>
      <c r="K1042" s="100"/>
      <c r="L1042" s="100"/>
      <c r="M1042" s="100"/>
      <c r="N1042" s="100"/>
      <c r="O1042" s="100"/>
      <c r="P1042" s="100"/>
      <c r="Q1042" s="100"/>
      <c r="R1042" s="100"/>
      <c r="S1042" s="100"/>
      <c r="T1042" s="100"/>
      <c r="U1042" s="100"/>
      <c r="V1042" s="100"/>
      <c r="W1042" s="100"/>
      <c r="X1042" s="100"/>
      <c r="Y1042" s="100"/>
      <c r="Z1042" s="100"/>
    </row>
    <row r="1043" spans="1:26">
      <c r="A1043" s="100"/>
      <c r="B1043" s="100"/>
      <c r="C1043" s="100"/>
      <c r="D1043" s="100"/>
      <c r="E1043" s="100"/>
      <c r="F1043" s="100"/>
      <c r="G1043" s="100"/>
      <c r="H1043" s="100"/>
      <c r="I1043" s="100"/>
      <c r="J1043" s="100"/>
      <c r="K1043" s="100"/>
      <c r="L1043" s="100"/>
      <c r="M1043" s="100"/>
      <c r="N1043" s="100"/>
      <c r="O1043" s="100"/>
      <c r="P1043" s="100"/>
      <c r="Q1043" s="100"/>
      <c r="R1043" s="100"/>
      <c r="S1043" s="100"/>
      <c r="T1043" s="100"/>
      <c r="U1043" s="100"/>
      <c r="V1043" s="100"/>
      <c r="W1043" s="100"/>
      <c r="X1043" s="100"/>
      <c r="Y1043" s="100"/>
      <c r="Z1043" s="100"/>
    </row>
    <row r="1044" spans="1:26">
      <c r="A1044" s="100"/>
      <c r="B1044" s="100"/>
      <c r="C1044" s="1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  <c r="O1044" s="100"/>
      <c r="P1044" s="100"/>
      <c r="Q1044" s="100"/>
      <c r="R1044" s="100"/>
      <c r="S1044" s="100"/>
      <c r="T1044" s="100"/>
      <c r="U1044" s="100"/>
      <c r="V1044" s="100"/>
      <c r="W1044" s="100"/>
      <c r="X1044" s="100"/>
      <c r="Y1044" s="100"/>
      <c r="Z1044" s="100"/>
    </row>
    <row r="1045" spans="1:26">
      <c r="A1045" s="100"/>
      <c r="B1045" s="100"/>
      <c r="C1045" s="100"/>
      <c r="D1045" s="100"/>
      <c r="E1045" s="100"/>
      <c r="F1045" s="100"/>
      <c r="G1045" s="100"/>
      <c r="H1045" s="100"/>
      <c r="I1045" s="100"/>
      <c r="J1045" s="100"/>
      <c r="K1045" s="100"/>
      <c r="L1045" s="100"/>
      <c r="M1045" s="100"/>
      <c r="N1045" s="100"/>
      <c r="O1045" s="100"/>
      <c r="P1045" s="100"/>
      <c r="Q1045" s="100"/>
      <c r="R1045" s="100"/>
      <c r="S1045" s="100"/>
      <c r="T1045" s="100"/>
      <c r="U1045" s="100"/>
      <c r="V1045" s="100"/>
      <c r="W1045" s="100"/>
      <c r="X1045" s="100"/>
      <c r="Y1045" s="100"/>
      <c r="Z1045" s="100"/>
    </row>
    <row r="1046" spans="1:26">
      <c r="A1046" s="100"/>
      <c r="B1046" s="100"/>
      <c r="C1046" s="100"/>
      <c r="D1046" s="100"/>
      <c r="E1046" s="100"/>
      <c r="F1046" s="100"/>
      <c r="G1046" s="100"/>
      <c r="H1046" s="100"/>
      <c r="I1046" s="100"/>
      <c r="J1046" s="100"/>
      <c r="K1046" s="100"/>
      <c r="L1046" s="100"/>
      <c r="M1046" s="100"/>
      <c r="N1046" s="100"/>
      <c r="O1046" s="100"/>
      <c r="P1046" s="100"/>
      <c r="Q1046" s="100"/>
      <c r="R1046" s="100"/>
      <c r="S1046" s="100"/>
      <c r="T1046" s="100"/>
      <c r="U1046" s="100"/>
      <c r="V1046" s="100"/>
      <c r="W1046" s="100"/>
      <c r="X1046" s="100"/>
      <c r="Y1046" s="100"/>
      <c r="Z1046" s="100"/>
    </row>
    <row r="1047" spans="1:26">
      <c r="A1047" s="100"/>
      <c r="B1047" s="100"/>
      <c r="C1047" s="100"/>
      <c r="D1047" s="100"/>
      <c r="E1047" s="100"/>
      <c r="F1047" s="100"/>
      <c r="G1047" s="100"/>
      <c r="H1047" s="100"/>
      <c r="I1047" s="100"/>
      <c r="J1047" s="100"/>
      <c r="K1047" s="100"/>
      <c r="L1047" s="100"/>
      <c r="M1047" s="100"/>
      <c r="N1047" s="100"/>
      <c r="O1047" s="100"/>
      <c r="P1047" s="100"/>
      <c r="Q1047" s="100"/>
      <c r="R1047" s="100"/>
      <c r="S1047" s="100"/>
      <c r="T1047" s="100"/>
      <c r="U1047" s="100"/>
      <c r="V1047" s="100"/>
      <c r="W1047" s="100"/>
      <c r="X1047" s="100"/>
      <c r="Y1047" s="100"/>
      <c r="Z1047" s="100"/>
    </row>
    <row r="1048" spans="1:26">
      <c r="A1048" s="100"/>
      <c r="B1048" s="100"/>
      <c r="C1048" s="100"/>
      <c r="D1048" s="100"/>
      <c r="E1048" s="100"/>
      <c r="F1048" s="100"/>
      <c r="G1048" s="100"/>
      <c r="H1048" s="100"/>
      <c r="I1048" s="100"/>
      <c r="J1048" s="100"/>
      <c r="K1048" s="100"/>
      <c r="L1048" s="100"/>
      <c r="M1048" s="100"/>
      <c r="N1048" s="100"/>
      <c r="O1048" s="100"/>
      <c r="P1048" s="100"/>
      <c r="Q1048" s="100"/>
      <c r="R1048" s="100"/>
      <c r="S1048" s="100"/>
      <c r="T1048" s="100"/>
      <c r="U1048" s="100"/>
      <c r="V1048" s="100"/>
      <c r="W1048" s="100"/>
      <c r="X1048" s="100"/>
      <c r="Y1048" s="100"/>
      <c r="Z1048" s="100"/>
    </row>
    <row r="1049" spans="1:26">
      <c r="A1049" s="100"/>
      <c r="B1049" s="100"/>
      <c r="C1049" s="100"/>
      <c r="D1049" s="100"/>
      <c r="E1049" s="100"/>
      <c r="F1049" s="100"/>
      <c r="G1049" s="100"/>
      <c r="H1049" s="100"/>
      <c r="I1049" s="100"/>
      <c r="J1049" s="100"/>
      <c r="K1049" s="100"/>
      <c r="L1049" s="100"/>
      <c r="M1049" s="100"/>
      <c r="N1049" s="100"/>
      <c r="O1049" s="100"/>
      <c r="P1049" s="100"/>
      <c r="Q1049" s="100"/>
      <c r="R1049" s="100"/>
      <c r="S1049" s="100"/>
      <c r="T1049" s="100"/>
      <c r="U1049" s="100"/>
      <c r="V1049" s="100"/>
      <c r="W1049" s="100"/>
      <c r="X1049" s="100"/>
      <c r="Y1049" s="100"/>
      <c r="Z1049" s="100"/>
    </row>
    <row r="1050" spans="1:26">
      <c r="A1050" s="100"/>
      <c r="B1050" s="100"/>
      <c r="C1050" s="100"/>
      <c r="D1050" s="100"/>
      <c r="E1050" s="100"/>
      <c r="F1050" s="100"/>
      <c r="G1050" s="100"/>
      <c r="H1050" s="100"/>
      <c r="I1050" s="100"/>
      <c r="J1050" s="100"/>
      <c r="K1050" s="100"/>
      <c r="L1050" s="100"/>
      <c r="M1050" s="100"/>
      <c r="N1050" s="100"/>
      <c r="O1050" s="100"/>
      <c r="P1050" s="100"/>
      <c r="Q1050" s="100"/>
      <c r="R1050" s="100"/>
      <c r="S1050" s="100"/>
      <c r="T1050" s="100"/>
      <c r="U1050" s="100"/>
      <c r="V1050" s="100"/>
      <c r="W1050" s="100"/>
      <c r="X1050" s="100"/>
      <c r="Y1050" s="100"/>
      <c r="Z1050" s="100"/>
    </row>
    <row r="1051" spans="1:26">
      <c r="A1051" s="100"/>
      <c r="B1051" s="100"/>
      <c r="C1051" s="100"/>
      <c r="D1051" s="100"/>
      <c r="E1051" s="100"/>
      <c r="F1051" s="100"/>
      <c r="G1051" s="100"/>
      <c r="H1051" s="100"/>
      <c r="I1051" s="100"/>
      <c r="J1051" s="100"/>
      <c r="K1051" s="100"/>
      <c r="L1051" s="100"/>
      <c r="M1051" s="100"/>
      <c r="N1051" s="100"/>
      <c r="O1051" s="100"/>
      <c r="P1051" s="100"/>
      <c r="Q1051" s="100"/>
      <c r="R1051" s="100"/>
      <c r="S1051" s="100"/>
      <c r="T1051" s="100"/>
      <c r="U1051" s="100"/>
      <c r="V1051" s="100"/>
      <c r="W1051" s="100"/>
      <c r="X1051" s="100"/>
      <c r="Y1051" s="100"/>
      <c r="Z1051" s="100"/>
    </row>
    <row r="1052" spans="1:26">
      <c r="A1052" s="100"/>
      <c r="B1052" s="100"/>
      <c r="C1052" s="100"/>
      <c r="D1052" s="100"/>
      <c r="E1052" s="100"/>
      <c r="F1052" s="100"/>
      <c r="G1052" s="100"/>
      <c r="H1052" s="100"/>
      <c r="I1052" s="100"/>
      <c r="J1052" s="100"/>
      <c r="K1052" s="100"/>
      <c r="L1052" s="100"/>
      <c r="M1052" s="100"/>
      <c r="N1052" s="100"/>
      <c r="O1052" s="100"/>
      <c r="P1052" s="100"/>
      <c r="Q1052" s="100"/>
      <c r="R1052" s="100"/>
      <c r="S1052" s="100"/>
      <c r="T1052" s="100"/>
      <c r="U1052" s="100"/>
      <c r="V1052" s="100"/>
      <c r="W1052" s="100"/>
      <c r="X1052" s="100"/>
      <c r="Y1052" s="100"/>
      <c r="Z1052" s="100"/>
    </row>
    <row r="1053" spans="1:26">
      <c r="A1053" s="100"/>
      <c r="B1053" s="100"/>
      <c r="C1053" s="100"/>
      <c r="D1053" s="100"/>
      <c r="E1053" s="100"/>
      <c r="F1053" s="100"/>
      <c r="G1053" s="100"/>
      <c r="H1053" s="100"/>
      <c r="I1053" s="100"/>
      <c r="J1053" s="100"/>
      <c r="K1053" s="100"/>
      <c r="L1053" s="100"/>
      <c r="M1053" s="100"/>
      <c r="N1053" s="100"/>
      <c r="O1053" s="100"/>
      <c r="P1053" s="100"/>
      <c r="Q1053" s="100"/>
      <c r="R1053" s="100"/>
      <c r="S1053" s="100"/>
      <c r="T1053" s="100"/>
      <c r="U1053" s="100"/>
      <c r="V1053" s="100"/>
      <c r="W1053" s="100"/>
      <c r="X1053" s="100"/>
      <c r="Y1053" s="100"/>
      <c r="Z1053" s="100"/>
    </row>
    <row r="1054" spans="1:26">
      <c r="A1054" s="100"/>
      <c r="B1054" s="100"/>
      <c r="C1054" s="100"/>
      <c r="D1054" s="100"/>
      <c r="E1054" s="100"/>
      <c r="F1054" s="100"/>
      <c r="G1054" s="100"/>
      <c r="H1054" s="100"/>
      <c r="I1054" s="100"/>
      <c r="J1054" s="100"/>
      <c r="K1054" s="100"/>
      <c r="L1054" s="100"/>
      <c r="M1054" s="100"/>
      <c r="N1054" s="100"/>
      <c r="O1054" s="100"/>
      <c r="P1054" s="100"/>
      <c r="Q1054" s="100"/>
      <c r="R1054" s="100"/>
      <c r="S1054" s="100"/>
      <c r="T1054" s="100"/>
      <c r="U1054" s="100"/>
      <c r="V1054" s="100"/>
      <c r="W1054" s="100"/>
      <c r="X1054" s="100"/>
      <c r="Y1054" s="100"/>
      <c r="Z1054" s="100"/>
    </row>
    <row r="1055" spans="1:26">
      <c r="A1055" s="100"/>
      <c r="B1055" s="100"/>
      <c r="C1055" s="1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  <c r="O1055" s="100"/>
      <c r="P1055" s="100"/>
      <c r="Q1055" s="100"/>
      <c r="R1055" s="100"/>
      <c r="S1055" s="100"/>
      <c r="T1055" s="100"/>
      <c r="U1055" s="100"/>
      <c r="V1055" s="100"/>
      <c r="W1055" s="100"/>
      <c r="X1055" s="100"/>
      <c r="Y1055" s="100"/>
      <c r="Z1055" s="100"/>
    </row>
    <row r="1056" spans="1:26">
      <c r="A1056" s="100"/>
      <c r="B1056" s="100"/>
      <c r="C1056" s="100"/>
      <c r="D1056" s="100"/>
      <c r="E1056" s="100"/>
      <c r="F1056" s="100"/>
      <c r="G1056" s="100"/>
      <c r="H1056" s="100"/>
      <c r="I1056" s="100"/>
      <c r="J1056" s="100"/>
      <c r="K1056" s="100"/>
      <c r="L1056" s="100"/>
      <c r="M1056" s="100"/>
      <c r="N1056" s="100"/>
      <c r="O1056" s="100"/>
      <c r="P1056" s="100"/>
      <c r="Q1056" s="100"/>
      <c r="R1056" s="100"/>
      <c r="S1056" s="100"/>
      <c r="T1056" s="100"/>
      <c r="U1056" s="100"/>
      <c r="V1056" s="100"/>
      <c r="W1056" s="100"/>
      <c r="X1056" s="100"/>
      <c r="Y1056" s="100"/>
      <c r="Z1056" s="100"/>
    </row>
    <row r="1057" spans="1:26">
      <c r="A1057" s="100"/>
      <c r="B1057" s="100"/>
      <c r="C1057" s="100"/>
      <c r="D1057" s="100"/>
      <c r="E1057" s="100"/>
      <c r="F1057" s="100"/>
      <c r="G1057" s="100"/>
      <c r="H1057" s="100"/>
      <c r="I1057" s="100"/>
      <c r="J1057" s="100"/>
      <c r="K1057" s="100"/>
      <c r="L1057" s="100"/>
      <c r="M1057" s="100"/>
      <c r="N1057" s="100"/>
      <c r="O1057" s="100"/>
      <c r="P1057" s="100"/>
      <c r="Q1057" s="100"/>
      <c r="R1057" s="100"/>
      <c r="S1057" s="100"/>
      <c r="T1057" s="100"/>
      <c r="U1057" s="100"/>
      <c r="V1057" s="100"/>
      <c r="W1057" s="100"/>
      <c r="X1057" s="100"/>
      <c r="Y1057" s="100"/>
      <c r="Z1057" s="100"/>
    </row>
    <row r="1058" spans="1:26">
      <c r="A1058" s="100"/>
      <c r="B1058" s="100"/>
      <c r="C1058" s="100"/>
      <c r="D1058" s="100"/>
      <c r="E1058" s="100"/>
      <c r="F1058" s="100"/>
      <c r="G1058" s="100"/>
      <c r="H1058" s="100"/>
      <c r="I1058" s="100"/>
      <c r="J1058" s="100"/>
      <c r="K1058" s="100"/>
      <c r="L1058" s="100"/>
      <c r="M1058" s="100"/>
      <c r="N1058" s="100"/>
      <c r="O1058" s="100"/>
      <c r="P1058" s="100"/>
      <c r="Q1058" s="100"/>
      <c r="R1058" s="100"/>
      <c r="S1058" s="100"/>
      <c r="T1058" s="100"/>
      <c r="U1058" s="100"/>
      <c r="V1058" s="100"/>
      <c r="W1058" s="100"/>
      <c r="X1058" s="100"/>
      <c r="Y1058" s="100"/>
      <c r="Z1058" s="100"/>
    </row>
    <row r="1059" spans="1:26">
      <c r="A1059" s="100"/>
      <c r="B1059" s="100"/>
      <c r="C1059" s="100"/>
      <c r="D1059" s="100"/>
      <c r="E1059" s="100"/>
      <c r="F1059" s="100"/>
      <c r="G1059" s="100"/>
      <c r="H1059" s="100"/>
      <c r="I1059" s="100"/>
      <c r="J1059" s="100"/>
      <c r="K1059" s="100"/>
      <c r="L1059" s="100"/>
      <c r="M1059" s="100"/>
      <c r="N1059" s="100"/>
      <c r="O1059" s="100"/>
      <c r="P1059" s="100"/>
      <c r="Q1059" s="100"/>
      <c r="R1059" s="100"/>
      <c r="S1059" s="100"/>
      <c r="T1059" s="100"/>
      <c r="U1059" s="100"/>
      <c r="V1059" s="100"/>
      <c r="W1059" s="100"/>
      <c r="X1059" s="100"/>
      <c r="Y1059" s="100"/>
      <c r="Z1059" s="100"/>
    </row>
    <row r="1060" spans="1:26">
      <c r="A1060" s="100"/>
      <c r="B1060" s="100"/>
      <c r="C1060" s="1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  <c r="O1060" s="100"/>
      <c r="P1060" s="100"/>
      <c r="Q1060" s="100"/>
      <c r="R1060" s="100"/>
      <c r="S1060" s="100"/>
      <c r="T1060" s="100"/>
      <c r="U1060" s="100"/>
      <c r="V1060" s="100"/>
      <c r="W1060" s="100"/>
      <c r="X1060" s="100"/>
      <c r="Y1060" s="100"/>
      <c r="Z1060" s="100"/>
    </row>
    <row r="1061" spans="1:26">
      <c r="A1061" s="100"/>
      <c r="B1061" s="100"/>
      <c r="C1061" s="100"/>
      <c r="D1061" s="100"/>
      <c r="E1061" s="100"/>
      <c r="F1061" s="100"/>
      <c r="G1061" s="100"/>
      <c r="H1061" s="100"/>
      <c r="I1061" s="100"/>
      <c r="J1061" s="100"/>
      <c r="K1061" s="100"/>
      <c r="L1061" s="100"/>
      <c r="M1061" s="100"/>
      <c r="N1061" s="100"/>
      <c r="O1061" s="100"/>
      <c r="P1061" s="100"/>
      <c r="Q1061" s="100"/>
      <c r="R1061" s="100"/>
      <c r="S1061" s="100"/>
      <c r="T1061" s="100"/>
      <c r="U1061" s="100"/>
      <c r="V1061" s="100"/>
      <c r="W1061" s="100"/>
      <c r="X1061" s="100"/>
      <c r="Y1061" s="100"/>
      <c r="Z1061" s="100"/>
    </row>
    <row r="1062" spans="1:26">
      <c r="A1062" s="100"/>
      <c r="B1062" s="100"/>
      <c r="C1062" s="100"/>
      <c r="D1062" s="100"/>
      <c r="E1062" s="100"/>
      <c r="F1062" s="100"/>
      <c r="G1062" s="100"/>
      <c r="H1062" s="100"/>
      <c r="I1062" s="100"/>
      <c r="J1062" s="100"/>
      <c r="K1062" s="100"/>
      <c r="L1062" s="100"/>
      <c r="M1062" s="100"/>
      <c r="N1062" s="100"/>
      <c r="O1062" s="100"/>
      <c r="P1062" s="100"/>
      <c r="Q1062" s="100"/>
      <c r="R1062" s="100"/>
      <c r="S1062" s="100"/>
      <c r="T1062" s="100"/>
      <c r="U1062" s="100"/>
      <c r="V1062" s="100"/>
      <c r="W1062" s="100"/>
      <c r="X1062" s="100"/>
      <c r="Y1062" s="100"/>
      <c r="Z1062" s="100"/>
    </row>
    <row r="1063" spans="1:26">
      <c r="A1063" s="100"/>
      <c r="B1063" s="100"/>
      <c r="C1063" s="100"/>
      <c r="D1063" s="100"/>
      <c r="E1063" s="100"/>
      <c r="F1063" s="100"/>
      <c r="G1063" s="100"/>
      <c r="H1063" s="100"/>
      <c r="I1063" s="100"/>
      <c r="J1063" s="100"/>
      <c r="K1063" s="100"/>
      <c r="L1063" s="100"/>
      <c r="M1063" s="100"/>
      <c r="N1063" s="100"/>
      <c r="O1063" s="100"/>
      <c r="P1063" s="100"/>
      <c r="Q1063" s="100"/>
      <c r="R1063" s="100"/>
      <c r="S1063" s="100"/>
      <c r="T1063" s="100"/>
      <c r="U1063" s="100"/>
      <c r="V1063" s="100"/>
      <c r="W1063" s="100"/>
      <c r="X1063" s="100"/>
      <c r="Y1063" s="100"/>
      <c r="Z1063" s="100"/>
    </row>
    <row r="1064" spans="1:26">
      <c r="A1064" s="100"/>
      <c r="B1064" s="100"/>
      <c r="C1064" s="100"/>
      <c r="D1064" s="100"/>
      <c r="E1064" s="100"/>
      <c r="F1064" s="100"/>
      <c r="G1064" s="100"/>
      <c r="H1064" s="100"/>
      <c r="I1064" s="100"/>
      <c r="J1064" s="100"/>
      <c r="K1064" s="100"/>
      <c r="L1064" s="100"/>
      <c r="M1064" s="100"/>
      <c r="N1064" s="100"/>
      <c r="O1064" s="100"/>
      <c r="P1064" s="100"/>
      <c r="Q1064" s="100"/>
      <c r="R1064" s="100"/>
      <c r="S1064" s="100"/>
      <c r="T1064" s="100"/>
      <c r="U1064" s="100"/>
      <c r="V1064" s="100"/>
      <c r="W1064" s="100"/>
      <c r="X1064" s="100"/>
      <c r="Y1064" s="100"/>
      <c r="Z1064" s="100"/>
    </row>
    <row r="1065" spans="1:26">
      <c r="A1065" s="100"/>
      <c r="B1065" s="100"/>
      <c r="C1065" s="100"/>
      <c r="D1065" s="100"/>
      <c r="E1065" s="100"/>
      <c r="F1065" s="100"/>
      <c r="G1065" s="100"/>
      <c r="H1065" s="100"/>
      <c r="I1065" s="100"/>
      <c r="J1065" s="100"/>
      <c r="K1065" s="100"/>
      <c r="L1065" s="100"/>
      <c r="M1065" s="100"/>
      <c r="N1065" s="100"/>
      <c r="O1065" s="100"/>
      <c r="P1065" s="100"/>
      <c r="Q1065" s="100"/>
      <c r="R1065" s="100"/>
      <c r="S1065" s="100"/>
      <c r="T1065" s="100"/>
      <c r="U1065" s="100"/>
      <c r="V1065" s="100"/>
      <c r="W1065" s="100"/>
      <c r="X1065" s="100"/>
      <c r="Y1065" s="100"/>
      <c r="Z1065" s="100"/>
    </row>
    <row r="1066" spans="1:26">
      <c r="A1066" s="100"/>
      <c r="B1066" s="100"/>
      <c r="C1066" s="1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  <c r="O1066" s="100"/>
      <c r="P1066" s="100"/>
      <c r="Q1066" s="100"/>
      <c r="R1066" s="100"/>
      <c r="S1066" s="100"/>
      <c r="T1066" s="100"/>
      <c r="U1066" s="100"/>
      <c r="V1066" s="100"/>
      <c r="W1066" s="100"/>
      <c r="X1066" s="100"/>
      <c r="Y1066" s="100"/>
      <c r="Z1066" s="100"/>
    </row>
    <row r="1067" spans="1:26">
      <c r="A1067" s="100"/>
      <c r="B1067" s="100"/>
      <c r="C1067" s="100"/>
      <c r="D1067" s="100"/>
      <c r="E1067" s="100"/>
      <c r="F1067" s="100"/>
      <c r="G1067" s="100"/>
      <c r="H1067" s="100"/>
      <c r="I1067" s="100"/>
      <c r="J1067" s="100"/>
      <c r="K1067" s="100"/>
      <c r="L1067" s="100"/>
      <c r="M1067" s="100"/>
      <c r="N1067" s="100"/>
      <c r="O1067" s="100"/>
      <c r="P1067" s="100"/>
      <c r="Q1067" s="100"/>
      <c r="R1067" s="100"/>
      <c r="S1067" s="100"/>
      <c r="T1067" s="100"/>
      <c r="U1067" s="100"/>
      <c r="V1067" s="100"/>
      <c r="W1067" s="100"/>
      <c r="X1067" s="100"/>
      <c r="Y1067" s="100"/>
      <c r="Z1067" s="100"/>
    </row>
    <row r="1068" spans="1:26">
      <c r="A1068" s="100"/>
      <c r="B1068" s="100"/>
      <c r="C1068" s="100"/>
      <c r="D1068" s="100"/>
      <c r="E1068" s="100"/>
      <c r="F1068" s="100"/>
      <c r="G1068" s="100"/>
      <c r="H1068" s="100"/>
      <c r="I1068" s="100"/>
      <c r="J1068" s="100"/>
      <c r="K1068" s="100"/>
      <c r="L1068" s="100"/>
      <c r="M1068" s="100"/>
      <c r="N1068" s="100"/>
      <c r="O1068" s="100"/>
      <c r="P1068" s="100"/>
      <c r="Q1068" s="100"/>
      <c r="R1068" s="100"/>
      <c r="S1068" s="100"/>
      <c r="T1068" s="100"/>
      <c r="U1068" s="100"/>
      <c r="V1068" s="100"/>
      <c r="W1068" s="100"/>
      <c r="X1068" s="100"/>
      <c r="Y1068" s="100"/>
      <c r="Z1068" s="100"/>
    </row>
    <row r="1069" spans="1:26">
      <c r="A1069" s="100"/>
      <c r="B1069" s="100"/>
      <c r="C1069" s="1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  <c r="O1069" s="100"/>
      <c r="P1069" s="100"/>
      <c r="Q1069" s="100"/>
      <c r="R1069" s="100"/>
      <c r="S1069" s="100"/>
      <c r="T1069" s="100"/>
      <c r="U1069" s="100"/>
      <c r="V1069" s="100"/>
      <c r="W1069" s="100"/>
      <c r="X1069" s="100"/>
      <c r="Y1069" s="100"/>
      <c r="Z1069" s="100"/>
    </row>
    <row r="1070" spans="1:26">
      <c r="A1070" s="100"/>
      <c r="B1070" s="100"/>
      <c r="C1070" s="100"/>
      <c r="D1070" s="100"/>
      <c r="E1070" s="100"/>
      <c r="F1070" s="100"/>
      <c r="G1070" s="100"/>
      <c r="H1070" s="100"/>
      <c r="I1070" s="100"/>
      <c r="J1070" s="100"/>
      <c r="K1070" s="100"/>
      <c r="L1070" s="100"/>
      <c r="M1070" s="100"/>
      <c r="N1070" s="100"/>
      <c r="O1070" s="100"/>
      <c r="P1070" s="100"/>
      <c r="Q1070" s="100"/>
      <c r="R1070" s="100"/>
      <c r="S1070" s="100"/>
      <c r="T1070" s="100"/>
      <c r="U1070" s="100"/>
      <c r="V1070" s="100"/>
      <c r="W1070" s="100"/>
      <c r="X1070" s="100"/>
      <c r="Y1070" s="100"/>
      <c r="Z1070" s="100"/>
    </row>
    <row r="1071" spans="1:26">
      <c r="A1071" s="100"/>
      <c r="B1071" s="100"/>
      <c r="C1071" s="100"/>
      <c r="D1071" s="100"/>
      <c r="E1071" s="100"/>
      <c r="F1071" s="100"/>
      <c r="G1071" s="100"/>
      <c r="H1071" s="100"/>
      <c r="I1071" s="100"/>
      <c r="J1071" s="100"/>
      <c r="K1071" s="100"/>
      <c r="L1071" s="100"/>
      <c r="M1071" s="100"/>
      <c r="N1071" s="100"/>
      <c r="O1071" s="100"/>
      <c r="P1071" s="100"/>
      <c r="Q1071" s="100"/>
      <c r="R1071" s="100"/>
      <c r="S1071" s="100"/>
      <c r="T1071" s="100"/>
      <c r="U1071" s="100"/>
      <c r="V1071" s="100"/>
      <c r="W1071" s="100"/>
      <c r="X1071" s="100"/>
      <c r="Y1071" s="100"/>
      <c r="Z1071" s="100"/>
    </row>
    <row r="1072" spans="1:26">
      <c r="A1072" s="100"/>
      <c r="B1072" s="100"/>
      <c r="C1072" s="100"/>
      <c r="D1072" s="100"/>
      <c r="E1072" s="100"/>
      <c r="F1072" s="100"/>
      <c r="G1072" s="100"/>
      <c r="H1072" s="100"/>
      <c r="I1072" s="100"/>
      <c r="J1072" s="100"/>
      <c r="K1072" s="100"/>
      <c r="L1072" s="100"/>
      <c r="M1072" s="100"/>
      <c r="N1072" s="100"/>
      <c r="O1072" s="100"/>
      <c r="P1072" s="100"/>
      <c r="Q1072" s="100"/>
      <c r="R1072" s="100"/>
      <c r="S1072" s="100"/>
      <c r="T1072" s="100"/>
      <c r="U1072" s="100"/>
      <c r="V1072" s="100"/>
      <c r="W1072" s="100"/>
      <c r="X1072" s="100"/>
      <c r="Y1072" s="100"/>
      <c r="Z1072" s="100"/>
    </row>
    <row r="1073" spans="1:26">
      <c r="A1073" s="100"/>
      <c r="B1073" s="100"/>
      <c r="C1073" s="100"/>
      <c r="D1073" s="100"/>
      <c r="E1073" s="100"/>
      <c r="F1073" s="100"/>
      <c r="G1073" s="100"/>
      <c r="H1073" s="100"/>
      <c r="I1073" s="100"/>
      <c r="J1073" s="100"/>
      <c r="K1073" s="100"/>
      <c r="L1073" s="100"/>
      <c r="M1073" s="100"/>
      <c r="N1073" s="100"/>
      <c r="O1073" s="100"/>
      <c r="P1073" s="100"/>
      <c r="Q1073" s="100"/>
      <c r="R1073" s="100"/>
      <c r="S1073" s="100"/>
      <c r="T1073" s="100"/>
      <c r="U1073" s="100"/>
      <c r="V1073" s="100"/>
      <c r="W1073" s="100"/>
      <c r="X1073" s="100"/>
      <c r="Y1073" s="100"/>
      <c r="Z1073" s="100"/>
    </row>
    <row r="1074" spans="1:26">
      <c r="A1074" s="100"/>
      <c r="B1074" s="100"/>
      <c r="C1074" s="100"/>
      <c r="D1074" s="100"/>
      <c r="E1074" s="100"/>
      <c r="F1074" s="100"/>
      <c r="G1074" s="100"/>
      <c r="H1074" s="100"/>
      <c r="I1074" s="100"/>
      <c r="J1074" s="100"/>
      <c r="K1074" s="100"/>
      <c r="L1074" s="100"/>
      <c r="M1074" s="100"/>
      <c r="N1074" s="100"/>
      <c r="O1074" s="100"/>
      <c r="P1074" s="100"/>
      <c r="Q1074" s="100"/>
      <c r="R1074" s="100"/>
      <c r="S1074" s="100"/>
      <c r="T1074" s="100"/>
      <c r="U1074" s="100"/>
      <c r="V1074" s="100"/>
      <c r="W1074" s="100"/>
      <c r="X1074" s="100"/>
      <c r="Y1074" s="100"/>
      <c r="Z1074" s="100"/>
    </row>
    <row r="1075" spans="1:26">
      <c r="A1075" s="100"/>
      <c r="B1075" s="100"/>
      <c r="C1075" s="1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  <c r="O1075" s="100"/>
      <c r="P1075" s="100"/>
      <c r="Q1075" s="100"/>
      <c r="R1075" s="100"/>
      <c r="S1075" s="100"/>
      <c r="T1075" s="100"/>
      <c r="U1075" s="100"/>
      <c r="V1075" s="100"/>
      <c r="W1075" s="100"/>
      <c r="X1075" s="100"/>
      <c r="Y1075" s="100"/>
      <c r="Z1075" s="100"/>
    </row>
    <row r="1076" spans="1:26">
      <c r="A1076" s="100"/>
      <c r="B1076" s="100"/>
      <c r="C1076" s="100"/>
      <c r="D1076" s="100"/>
      <c r="E1076" s="100"/>
      <c r="F1076" s="100"/>
      <c r="G1076" s="100"/>
      <c r="H1076" s="100"/>
      <c r="I1076" s="100"/>
      <c r="J1076" s="100"/>
      <c r="K1076" s="100"/>
      <c r="L1076" s="100"/>
      <c r="M1076" s="100"/>
      <c r="N1076" s="100"/>
      <c r="O1076" s="100"/>
      <c r="P1076" s="100"/>
      <c r="Q1076" s="100"/>
      <c r="R1076" s="100"/>
      <c r="S1076" s="100"/>
      <c r="T1076" s="100"/>
      <c r="U1076" s="100"/>
      <c r="V1076" s="100"/>
      <c r="W1076" s="100"/>
      <c r="X1076" s="100"/>
      <c r="Y1076" s="100"/>
      <c r="Z1076" s="100"/>
    </row>
    <row r="1077" spans="1:26">
      <c r="A1077" s="100"/>
      <c r="B1077" s="100"/>
      <c r="C1077" s="100"/>
      <c r="D1077" s="100"/>
      <c r="E1077" s="100"/>
      <c r="F1077" s="100"/>
      <c r="G1077" s="100"/>
      <c r="H1077" s="100"/>
      <c r="I1077" s="100"/>
      <c r="J1077" s="100"/>
      <c r="K1077" s="100"/>
      <c r="L1077" s="100"/>
      <c r="M1077" s="100"/>
      <c r="N1077" s="100"/>
      <c r="O1077" s="100"/>
      <c r="P1077" s="100"/>
      <c r="Q1077" s="100"/>
      <c r="R1077" s="100"/>
      <c r="S1077" s="100"/>
      <c r="T1077" s="100"/>
      <c r="U1077" s="100"/>
      <c r="V1077" s="100"/>
      <c r="W1077" s="100"/>
      <c r="X1077" s="100"/>
      <c r="Y1077" s="100"/>
      <c r="Z1077" s="100"/>
    </row>
    <row r="1078" spans="1:26">
      <c r="A1078" s="100"/>
      <c r="B1078" s="100"/>
      <c r="C1078" s="100"/>
      <c r="D1078" s="100"/>
      <c r="E1078" s="100"/>
      <c r="F1078" s="100"/>
      <c r="G1078" s="100"/>
      <c r="H1078" s="100"/>
      <c r="I1078" s="100"/>
      <c r="J1078" s="100"/>
      <c r="K1078" s="100"/>
      <c r="L1078" s="100"/>
      <c r="M1078" s="100"/>
      <c r="N1078" s="100"/>
      <c r="O1078" s="100"/>
      <c r="P1078" s="100"/>
      <c r="Q1078" s="100"/>
      <c r="R1078" s="100"/>
      <c r="S1078" s="100"/>
      <c r="T1078" s="100"/>
      <c r="U1078" s="100"/>
      <c r="V1078" s="100"/>
      <c r="W1078" s="100"/>
      <c r="X1078" s="100"/>
      <c r="Y1078" s="100"/>
      <c r="Z1078" s="100"/>
    </row>
    <row r="1079" spans="1:26">
      <c r="A1079" s="100"/>
      <c r="B1079" s="100"/>
      <c r="C1079" s="100"/>
      <c r="D1079" s="100"/>
      <c r="E1079" s="100"/>
      <c r="F1079" s="100"/>
      <c r="G1079" s="100"/>
      <c r="H1079" s="100"/>
      <c r="I1079" s="100"/>
      <c r="J1079" s="100"/>
      <c r="K1079" s="100"/>
      <c r="L1079" s="100"/>
      <c r="M1079" s="100"/>
      <c r="N1079" s="100"/>
      <c r="O1079" s="100"/>
      <c r="P1079" s="100"/>
      <c r="Q1079" s="100"/>
      <c r="R1079" s="100"/>
      <c r="S1079" s="100"/>
      <c r="T1079" s="100"/>
      <c r="U1079" s="100"/>
      <c r="V1079" s="100"/>
      <c r="W1079" s="100"/>
      <c r="X1079" s="100"/>
      <c r="Y1079" s="100"/>
      <c r="Z1079" s="100"/>
    </row>
    <row r="1080" spans="1:26">
      <c r="A1080" s="100"/>
      <c r="B1080" s="100"/>
      <c r="C1080" s="100"/>
      <c r="D1080" s="100"/>
      <c r="E1080" s="100"/>
      <c r="F1080" s="100"/>
      <c r="G1080" s="100"/>
      <c r="H1080" s="100"/>
      <c r="I1080" s="100"/>
      <c r="J1080" s="100"/>
      <c r="K1080" s="100"/>
      <c r="L1080" s="100"/>
      <c r="M1080" s="100"/>
      <c r="N1080" s="100"/>
      <c r="O1080" s="100"/>
      <c r="P1080" s="100"/>
      <c r="Q1080" s="100"/>
      <c r="R1080" s="100"/>
      <c r="S1080" s="100"/>
      <c r="T1080" s="100"/>
      <c r="U1080" s="100"/>
      <c r="V1080" s="100"/>
      <c r="W1080" s="100"/>
      <c r="X1080" s="100"/>
      <c r="Y1080" s="100"/>
      <c r="Z1080" s="100"/>
    </row>
    <row r="1081" spans="1:26">
      <c r="A1081" s="100"/>
      <c r="B1081" s="100"/>
      <c r="C1081" s="100"/>
      <c r="D1081" s="100"/>
      <c r="E1081" s="100"/>
      <c r="F1081" s="100"/>
      <c r="G1081" s="100"/>
      <c r="H1081" s="100"/>
      <c r="I1081" s="100"/>
      <c r="J1081" s="100"/>
      <c r="K1081" s="100"/>
      <c r="L1081" s="100"/>
      <c r="M1081" s="100"/>
      <c r="N1081" s="100"/>
      <c r="O1081" s="100"/>
      <c r="P1081" s="100"/>
      <c r="Q1081" s="100"/>
      <c r="R1081" s="100"/>
      <c r="S1081" s="100"/>
      <c r="T1081" s="100"/>
      <c r="U1081" s="100"/>
      <c r="V1081" s="100"/>
      <c r="W1081" s="100"/>
      <c r="X1081" s="100"/>
      <c r="Y1081" s="100"/>
      <c r="Z1081" s="100"/>
    </row>
    <row r="1082" spans="1:26">
      <c r="A1082" s="100"/>
      <c r="B1082" s="100"/>
      <c r="C1082" s="100"/>
      <c r="D1082" s="100"/>
      <c r="E1082" s="100"/>
      <c r="F1082" s="100"/>
      <c r="G1082" s="100"/>
      <c r="H1082" s="100"/>
      <c r="I1082" s="100"/>
      <c r="J1082" s="100"/>
      <c r="K1082" s="100"/>
      <c r="L1082" s="100"/>
      <c r="M1082" s="100"/>
      <c r="N1082" s="100"/>
      <c r="O1082" s="100"/>
      <c r="P1082" s="100"/>
      <c r="Q1082" s="100"/>
      <c r="R1082" s="100"/>
      <c r="S1082" s="100"/>
      <c r="T1082" s="100"/>
      <c r="U1082" s="100"/>
      <c r="V1082" s="100"/>
      <c r="W1082" s="100"/>
      <c r="X1082" s="100"/>
      <c r="Y1082" s="100"/>
      <c r="Z1082" s="100"/>
    </row>
    <row r="1083" spans="1:26">
      <c r="A1083" s="100"/>
      <c r="B1083" s="100"/>
      <c r="C1083" s="100"/>
      <c r="D1083" s="100"/>
      <c r="E1083" s="100"/>
      <c r="F1083" s="100"/>
      <c r="G1083" s="100"/>
      <c r="H1083" s="100"/>
      <c r="I1083" s="100"/>
      <c r="J1083" s="100"/>
      <c r="K1083" s="100"/>
      <c r="L1083" s="100"/>
      <c r="M1083" s="100"/>
      <c r="N1083" s="100"/>
      <c r="O1083" s="100"/>
      <c r="P1083" s="100"/>
      <c r="Q1083" s="100"/>
      <c r="R1083" s="100"/>
      <c r="S1083" s="100"/>
      <c r="T1083" s="100"/>
      <c r="U1083" s="100"/>
      <c r="V1083" s="100"/>
      <c r="W1083" s="100"/>
      <c r="X1083" s="100"/>
      <c r="Y1083" s="100"/>
      <c r="Z1083" s="100"/>
    </row>
    <row r="1084" spans="1:26">
      <c r="A1084" s="100"/>
      <c r="B1084" s="100"/>
      <c r="C1084" s="1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  <c r="O1084" s="100"/>
      <c r="P1084" s="100"/>
      <c r="Q1084" s="100"/>
      <c r="R1084" s="100"/>
      <c r="S1084" s="100"/>
      <c r="T1084" s="100"/>
      <c r="U1084" s="100"/>
      <c r="V1084" s="100"/>
      <c r="W1084" s="100"/>
      <c r="X1084" s="100"/>
      <c r="Y1084" s="100"/>
      <c r="Z1084" s="100"/>
    </row>
    <row r="1085" spans="1:26">
      <c r="A1085" s="100"/>
      <c r="B1085" s="100"/>
      <c r="C1085" s="100"/>
      <c r="D1085" s="100"/>
      <c r="E1085" s="100"/>
      <c r="F1085" s="100"/>
      <c r="G1085" s="100"/>
      <c r="H1085" s="100"/>
      <c r="I1085" s="100"/>
      <c r="J1085" s="100"/>
      <c r="K1085" s="100"/>
      <c r="L1085" s="100"/>
      <c r="M1085" s="100"/>
      <c r="N1085" s="100"/>
      <c r="O1085" s="100"/>
      <c r="P1085" s="100"/>
      <c r="Q1085" s="100"/>
      <c r="R1085" s="100"/>
      <c r="S1085" s="100"/>
      <c r="T1085" s="100"/>
      <c r="U1085" s="100"/>
      <c r="V1085" s="100"/>
      <c r="W1085" s="100"/>
      <c r="X1085" s="100"/>
      <c r="Y1085" s="100"/>
      <c r="Z1085" s="100"/>
    </row>
    <row r="1086" spans="1:26">
      <c r="A1086" s="100"/>
      <c r="B1086" s="100"/>
      <c r="C1086" s="100"/>
      <c r="D1086" s="100"/>
      <c r="E1086" s="100"/>
      <c r="F1086" s="100"/>
      <c r="G1086" s="100"/>
      <c r="H1086" s="100"/>
      <c r="I1086" s="100"/>
      <c r="J1086" s="100"/>
      <c r="K1086" s="100"/>
      <c r="L1086" s="100"/>
      <c r="M1086" s="100"/>
      <c r="N1086" s="100"/>
      <c r="O1086" s="100"/>
      <c r="P1086" s="100"/>
      <c r="Q1086" s="100"/>
      <c r="R1086" s="100"/>
      <c r="S1086" s="100"/>
      <c r="T1086" s="100"/>
      <c r="U1086" s="100"/>
      <c r="V1086" s="100"/>
      <c r="W1086" s="100"/>
      <c r="X1086" s="100"/>
      <c r="Y1086" s="100"/>
      <c r="Z1086" s="100"/>
    </row>
    <row r="1087" spans="1:26">
      <c r="A1087" s="100"/>
      <c r="B1087" s="100"/>
      <c r="C1087" s="100"/>
      <c r="D1087" s="100"/>
      <c r="E1087" s="100"/>
      <c r="F1087" s="100"/>
      <c r="G1087" s="100"/>
      <c r="H1087" s="100"/>
      <c r="I1087" s="100"/>
      <c r="J1087" s="100"/>
      <c r="K1087" s="100"/>
      <c r="L1087" s="100"/>
      <c r="M1087" s="100"/>
      <c r="N1087" s="100"/>
      <c r="O1087" s="100"/>
      <c r="P1087" s="100"/>
      <c r="Q1087" s="100"/>
      <c r="R1087" s="100"/>
      <c r="S1087" s="100"/>
      <c r="T1087" s="100"/>
      <c r="U1087" s="100"/>
      <c r="V1087" s="100"/>
      <c r="W1087" s="100"/>
      <c r="X1087" s="100"/>
      <c r="Y1087" s="100"/>
      <c r="Z1087" s="100"/>
    </row>
    <row r="1088" spans="1:26">
      <c r="A1088" s="100"/>
      <c r="B1088" s="100"/>
      <c r="C1088" s="100"/>
      <c r="D1088" s="100"/>
      <c r="E1088" s="100"/>
      <c r="F1088" s="100"/>
      <c r="G1088" s="100"/>
      <c r="H1088" s="100"/>
      <c r="I1088" s="100"/>
      <c r="J1088" s="100"/>
      <c r="K1088" s="100"/>
      <c r="L1088" s="100"/>
      <c r="M1088" s="100"/>
      <c r="N1088" s="100"/>
      <c r="O1088" s="100"/>
      <c r="P1088" s="100"/>
      <c r="Q1088" s="100"/>
      <c r="R1088" s="100"/>
      <c r="S1088" s="100"/>
      <c r="T1088" s="100"/>
      <c r="U1088" s="100"/>
      <c r="V1088" s="100"/>
      <c r="W1088" s="100"/>
      <c r="X1088" s="100"/>
      <c r="Y1088" s="100"/>
      <c r="Z1088" s="100"/>
    </row>
    <row r="1089" spans="1:26">
      <c r="A1089" s="100"/>
      <c r="B1089" s="100"/>
      <c r="C1089" s="100"/>
      <c r="D1089" s="100"/>
      <c r="E1089" s="100"/>
      <c r="F1089" s="100"/>
      <c r="G1089" s="100"/>
      <c r="H1089" s="100"/>
      <c r="I1089" s="100"/>
      <c r="J1089" s="100"/>
      <c r="K1089" s="100"/>
      <c r="L1089" s="100"/>
      <c r="M1089" s="100"/>
      <c r="N1089" s="100"/>
      <c r="O1089" s="100"/>
      <c r="P1089" s="100"/>
      <c r="Q1089" s="100"/>
      <c r="R1089" s="100"/>
      <c r="S1089" s="100"/>
      <c r="T1089" s="100"/>
      <c r="U1089" s="100"/>
      <c r="V1089" s="100"/>
      <c r="W1089" s="100"/>
      <c r="X1089" s="100"/>
      <c r="Y1089" s="100"/>
      <c r="Z1089" s="100"/>
    </row>
    <row r="1090" spans="1:26">
      <c r="A1090" s="100"/>
      <c r="B1090" s="100"/>
      <c r="C1090" s="1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  <c r="O1090" s="100"/>
      <c r="P1090" s="100"/>
      <c r="Q1090" s="100"/>
      <c r="R1090" s="100"/>
      <c r="S1090" s="100"/>
      <c r="T1090" s="100"/>
      <c r="U1090" s="100"/>
      <c r="V1090" s="100"/>
      <c r="W1090" s="100"/>
      <c r="X1090" s="100"/>
      <c r="Y1090" s="100"/>
      <c r="Z1090" s="100"/>
    </row>
    <row r="1091" spans="1:26">
      <c r="A1091" s="100"/>
      <c r="B1091" s="100"/>
      <c r="C1091" s="100"/>
      <c r="D1091" s="100"/>
      <c r="E1091" s="100"/>
      <c r="F1091" s="100"/>
      <c r="G1091" s="100"/>
      <c r="H1091" s="100"/>
      <c r="I1091" s="100"/>
      <c r="J1091" s="100"/>
      <c r="K1091" s="100"/>
      <c r="L1091" s="100"/>
      <c r="M1091" s="100"/>
      <c r="N1091" s="100"/>
      <c r="O1091" s="100"/>
      <c r="P1091" s="100"/>
      <c r="Q1091" s="100"/>
      <c r="R1091" s="100"/>
      <c r="S1091" s="100"/>
      <c r="T1091" s="100"/>
      <c r="U1091" s="100"/>
      <c r="V1091" s="100"/>
      <c r="W1091" s="100"/>
      <c r="X1091" s="100"/>
      <c r="Y1091" s="100"/>
      <c r="Z1091" s="100"/>
    </row>
    <row r="1092" spans="1:26">
      <c r="A1092" s="100"/>
      <c r="B1092" s="100"/>
      <c r="C1092" s="100"/>
      <c r="D1092" s="100"/>
      <c r="E1092" s="100"/>
      <c r="F1092" s="100"/>
      <c r="G1092" s="100"/>
      <c r="H1092" s="100"/>
      <c r="I1092" s="100"/>
      <c r="J1092" s="100"/>
      <c r="K1092" s="100"/>
      <c r="L1092" s="100"/>
      <c r="M1092" s="100"/>
      <c r="N1092" s="100"/>
      <c r="O1092" s="100"/>
      <c r="P1092" s="100"/>
      <c r="Q1092" s="100"/>
      <c r="R1092" s="100"/>
      <c r="S1092" s="100"/>
      <c r="T1092" s="100"/>
      <c r="U1092" s="100"/>
      <c r="V1092" s="100"/>
      <c r="W1092" s="100"/>
      <c r="X1092" s="100"/>
      <c r="Y1092" s="100"/>
      <c r="Z1092" s="100"/>
    </row>
    <row r="1093" spans="1:26">
      <c r="A1093" s="100"/>
      <c r="B1093" s="100"/>
      <c r="C1093" s="1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  <c r="O1093" s="100"/>
      <c r="P1093" s="100"/>
      <c r="Q1093" s="100"/>
      <c r="R1093" s="100"/>
      <c r="S1093" s="100"/>
      <c r="T1093" s="100"/>
      <c r="U1093" s="100"/>
      <c r="V1093" s="100"/>
      <c r="W1093" s="100"/>
      <c r="X1093" s="100"/>
      <c r="Y1093" s="100"/>
      <c r="Z1093" s="100"/>
    </row>
    <row r="1094" spans="1:26">
      <c r="A1094" s="100"/>
      <c r="B1094" s="100"/>
      <c r="C1094" s="100"/>
      <c r="D1094" s="100"/>
      <c r="E1094" s="100"/>
      <c r="F1094" s="100"/>
      <c r="G1094" s="100"/>
      <c r="H1094" s="100"/>
      <c r="I1094" s="100"/>
      <c r="J1094" s="100"/>
      <c r="K1094" s="100"/>
      <c r="L1094" s="100"/>
      <c r="M1094" s="100"/>
      <c r="N1094" s="100"/>
      <c r="O1094" s="100"/>
      <c r="P1094" s="100"/>
      <c r="Q1094" s="100"/>
      <c r="R1094" s="100"/>
      <c r="S1094" s="100"/>
      <c r="T1094" s="100"/>
      <c r="U1094" s="100"/>
      <c r="V1094" s="100"/>
      <c r="W1094" s="100"/>
      <c r="X1094" s="100"/>
      <c r="Y1094" s="100"/>
      <c r="Z1094" s="100"/>
    </row>
    <row r="1095" spans="1:26">
      <c r="A1095" s="100"/>
      <c r="B1095" s="100"/>
      <c r="C1095" s="100"/>
      <c r="D1095" s="100"/>
      <c r="E1095" s="100"/>
      <c r="F1095" s="100"/>
      <c r="G1095" s="100"/>
      <c r="H1095" s="100"/>
      <c r="I1095" s="100"/>
      <c r="J1095" s="100"/>
      <c r="K1095" s="100"/>
      <c r="L1095" s="100"/>
      <c r="M1095" s="100"/>
      <c r="N1095" s="100"/>
      <c r="O1095" s="100"/>
      <c r="P1095" s="100"/>
      <c r="Q1095" s="100"/>
      <c r="R1095" s="100"/>
      <c r="S1095" s="100"/>
      <c r="T1095" s="100"/>
      <c r="U1095" s="100"/>
      <c r="V1095" s="100"/>
      <c r="W1095" s="100"/>
      <c r="X1095" s="100"/>
      <c r="Y1095" s="100"/>
      <c r="Z1095" s="100"/>
    </row>
    <row r="1096" spans="1:26">
      <c r="A1096" s="100"/>
      <c r="B1096" s="100"/>
      <c r="C1096" s="100"/>
      <c r="D1096" s="100"/>
      <c r="E1096" s="100"/>
      <c r="F1096" s="100"/>
      <c r="G1096" s="100"/>
      <c r="H1096" s="100"/>
      <c r="I1096" s="100"/>
      <c r="J1096" s="100"/>
      <c r="K1096" s="100"/>
      <c r="L1096" s="100"/>
      <c r="M1096" s="100"/>
      <c r="N1096" s="100"/>
      <c r="O1096" s="100"/>
      <c r="P1096" s="100"/>
      <c r="Q1096" s="100"/>
      <c r="R1096" s="100"/>
      <c r="S1096" s="100"/>
      <c r="T1096" s="100"/>
      <c r="U1096" s="100"/>
      <c r="V1096" s="100"/>
      <c r="W1096" s="100"/>
      <c r="X1096" s="100"/>
      <c r="Y1096" s="100"/>
      <c r="Z1096" s="100"/>
    </row>
    <row r="1097" spans="1:26">
      <c r="A1097" s="100"/>
      <c r="B1097" s="100"/>
      <c r="C1097" s="100"/>
      <c r="D1097" s="100"/>
      <c r="E1097" s="100"/>
      <c r="F1097" s="100"/>
      <c r="G1097" s="100"/>
      <c r="H1097" s="100"/>
      <c r="I1097" s="100"/>
      <c r="J1097" s="100"/>
      <c r="K1097" s="100"/>
      <c r="L1097" s="100"/>
      <c r="M1097" s="100"/>
      <c r="N1097" s="100"/>
      <c r="O1097" s="100"/>
      <c r="P1097" s="100"/>
      <c r="Q1097" s="100"/>
      <c r="R1097" s="100"/>
      <c r="S1097" s="100"/>
      <c r="T1097" s="100"/>
      <c r="U1097" s="100"/>
      <c r="V1097" s="100"/>
      <c r="W1097" s="100"/>
      <c r="X1097" s="100"/>
      <c r="Y1097" s="100"/>
      <c r="Z1097" s="100"/>
    </row>
    <row r="1098" spans="1:26">
      <c r="A1098" s="100"/>
      <c r="B1098" s="100"/>
      <c r="C1098" s="100"/>
      <c r="D1098" s="100"/>
      <c r="E1098" s="100"/>
      <c r="F1098" s="100"/>
      <c r="G1098" s="100"/>
      <c r="H1098" s="100"/>
      <c r="I1098" s="100"/>
      <c r="J1098" s="100"/>
      <c r="K1098" s="100"/>
      <c r="L1098" s="100"/>
      <c r="M1098" s="100"/>
      <c r="N1098" s="100"/>
      <c r="O1098" s="100"/>
      <c r="P1098" s="100"/>
      <c r="Q1098" s="100"/>
      <c r="R1098" s="100"/>
      <c r="S1098" s="100"/>
      <c r="T1098" s="100"/>
      <c r="U1098" s="100"/>
      <c r="V1098" s="100"/>
      <c r="W1098" s="100"/>
      <c r="X1098" s="100"/>
      <c r="Y1098" s="100"/>
      <c r="Z1098" s="100"/>
    </row>
    <row r="1099" spans="1:26">
      <c r="A1099" s="100"/>
      <c r="B1099" s="100"/>
      <c r="C1099" s="100"/>
      <c r="D1099" s="100"/>
      <c r="E1099" s="100"/>
      <c r="F1099" s="100"/>
      <c r="G1099" s="100"/>
      <c r="H1099" s="100"/>
      <c r="I1099" s="100"/>
      <c r="J1099" s="100"/>
      <c r="K1099" s="100"/>
      <c r="L1099" s="100"/>
      <c r="M1099" s="100"/>
      <c r="N1099" s="100"/>
      <c r="O1099" s="100"/>
      <c r="P1099" s="100"/>
      <c r="Q1099" s="100"/>
      <c r="R1099" s="100"/>
      <c r="S1099" s="100"/>
      <c r="T1099" s="100"/>
      <c r="U1099" s="100"/>
      <c r="V1099" s="100"/>
      <c r="W1099" s="100"/>
      <c r="X1099" s="100"/>
      <c r="Y1099" s="100"/>
      <c r="Z1099" s="100"/>
    </row>
    <row r="1100" spans="1:26">
      <c r="A1100" s="100"/>
      <c r="B1100" s="100"/>
      <c r="C1100" s="100"/>
      <c r="D1100" s="100"/>
      <c r="E1100" s="100"/>
      <c r="F1100" s="100"/>
      <c r="G1100" s="100"/>
      <c r="H1100" s="100"/>
      <c r="I1100" s="100"/>
      <c r="J1100" s="100"/>
      <c r="K1100" s="100"/>
      <c r="L1100" s="100"/>
      <c r="M1100" s="100"/>
      <c r="N1100" s="100"/>
      <c r="O1100" s="100"/>
      <c r="P1100" s="100"/>
      <c r="Q1100" s="100"/>
      <c r="R1100" s="100"/>
      <c r="S1100" s="100"/>
      <c r="T1100" s="100"/>
      <c r="U1100" s="100"/>
      <c r="V1100" s="100"/>
      <c r="W1100" s="100"/>
      <c r="X1100" s="100"/>
      <c r="Y1100" s="100"/>
      <c r="Z1100" s="100"/>
    </row>
    <row r="1101" spans="1:26">
      <c r="A1101" s="100"/>
      <c r="B1101" s="100"/>
      <c r="C1101" s="100"/>
      <c r="D1101" s="100"/>
      <c r="E1101" s="100"/>
      <c r="F1101" s="100"/>
      <c r="G1101" s="100"/>
      <c r="H1101" s="100"/>
      <c r="I1101" s="100"/>
      <c r="J1101" s="100"/>
      <c r="K1101" s="100"/>
      <c r="L1101" s="100"/>
      <c r="M1101" s="100"/>
      <c r="N1101" s="100"/>
      <c r="O1101" s="100"/>
      <c r="P1101" s="100"/>
      <c r="Q1101" s="100"/>
      <c r="R1101" s="100"/>
      <c r="S1101" s="100"/>
      <c r="T1101" s="100"/>
      <c r="U1101" s="100"/>
      <c r="V1101" s="100"/>
      <c r="W1101" s="100"/>
      <c r="X1101" s="100"/>
      <c r="Y1101" s="100"/>
      <c r="Z1101" s="100"/>
    </row>
    <row r="1102" spans="1:26">
      <c r="A1102" s="100"/>
      <c r="B1102" s="100"/>
      <c r="C1102" s="100"/>
      <c r="D1102" s="100"/>
      <c r="E1102" s="100"/>
      <c r="F1102" s="100"/>
      <c r="G1102" s="100"/>
      <c r="H1102" s="100"/>
      <c r="I1102" s="100"/>
      <c r="J1102" s="100"/>
      <c r="K1102" s="100"/>
      <c r="L1102" s="100"/>
      <c r="M1102" s="100"/>
      <c r="N1102" s="100"/>
      <c r="O1102" s="100"/>
      <c r="P1102" s="100"/>
      <c r="Q1102" s="100"/>
      <c r="R1102" s="100"/>
      <c r="S1102" s="100"/>
      <c r="T1102" s="100"/>
      <c r="U1102" s="100"/>
      <c r="V1102" s="100"/>
      <c r="W1102" s="100"/>
      <c r="X1102" s="100"/>
      <c r="Y1102" s="100"/>
      <c r="Z1102" s="100"/>
    </row>
    <row r="1103" spans="1:26">
      <c r="A1103" s="100"/>
      <c r="B1103" s="100"/>
      <c r="C1103" s="100"/>
      <c r="D1103" s="100"/>
      <c r="E1103" s="100"/>
      <c r="F1103" s="100"/>
      <c r="G1103" s="100"/>
      <c r="H1103" s="100"/>
      <c r="I1103" s="100"/>
      <c r="J1103" s="100"/>
      <c r="K1103" s="100"/>
      <c r="L1103" s="100"/>
      <c r="M1103" s="100"/>
      <c r="N1103" s="100"/>
      <c r="O1103" s="100"/>
      <c r="P1103" s="100"/>
      <c r="Q1103" s="100"/>
      <c r="R1103" s="100"/>
      <c r="S1103" s="100"/>
      <c r="T1103" s="100"/>
      <c r="U1103" s="100"/>
      <c r="V1103" s="100"/>
      <c r="W1103" s="100"/>
      <c r="X1103" s="100"/>
      <c r="Y1103" s="100"/>
      <c r="Z1103" s="100"/>
    </row>
    <row r="1104" spans="1:26">
      <c r="A1104" s="100"/>
      <c r="B1104" s="100"/>
      <c r="C1104" s="100"/>
      <c r="D1104" s="100"/>
      <c r="E1104" s="100"/>
      <c r="F1104" s="100"/>
      <c r="G1104" s="100"/>
      <c r="H1104" s="100"/>
      <c r="I1104" s="100"/>
      <c r="J1104" s="100"/>
      <c r="K1104" s="100"/>
      <c r="L1104" s="100"/>
      <c r="M1104" s="100"/>
      <c r="N1104" s="100"/>
      <c r="O1104" s="100"/>
      <c r="P1104" s="100"/>
      <c r="Q1104" s="100"/>
      <c r="R1104" s="100"/>
      <c r="S1104" s="100"/>
      <c r="T1104" s="100"/>
      <c r="U1104" s="100"/>
      <c r="V1104" s="100"/>
      <c r="W1104" s="100"/>
      <c r="X1104" s="100"/>
      <c r="Y1104" s="100"/>
      <c r="Z1104" s="100"/>
    </row>
    <row r="1105" spans="1:26">
      <c r="A1105" s="100"/>
      <c r="B1105" s="100"/>
      <c r="C1105" s="100"/>
      <c r="D1105" s="100"/>
      <c r="E1105" s="100"/>
      <c r="F1105" s="100"/>
      <c r="G1105" s="100"/>
      <c r="H1105" s="100"/>
      <c r="I1105" s="100"/>
      <c r="J1105" s="100"/>
      <c r="K1105" s="100"/>
      <c r="L1105" s="100"/>
      <c r="M1105" s="100"/>
      <c r="N1105" s="100"/>
      <c r="O1105" s="100"/>
      <c r="P1105" s="100"/>
      <c r="Q1105" s="100"/>
      <c r="R1105" s="100"/>
      <c r="S1105" s="100"/>
      <c r="T1105" s="100"/>
      <c r="U1105" s="100"/>
      <c r="V1105" s="100"/>
      <c r="W1105" s="100"/>
      <c r="X1105" s="100"/>
      <c r="Y1105" s="100"/>
      <c r="Z1105" s="100"/>
    </row>
    <row r="1106" spans="1:26">
      <c r="A1106" s="100"/>
      <c r="B1106" s="100"/>
      <c r="C1106" s="1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  <c r="O1106" s="100"/>
      <c r="P1106" s="100"/>
      <c r="Q1106" s="100"/>
      <c r="R1106" s="100"/>
      <c r="S1106" s="100"/>
      <c r="T1106" s="100"/>
      <c r="U1106" s="100"/>
      <c r="V1106" s="100"/>
      <c r="W1106" s="100"/>
      <c r="X1106" s="100"/>
      <c r="Y1106" s="100"/>
      <c r="Z1106" s="100"/>
    </row>
    <row r="1107" spans="1:26">
      <c r="A1107" s="100"/>
      <c r="B1107" s="100"/>
      <c r="C1107" s="100"/>
      <c r="D1107" s="100"/>
      <c r="E1107" s="100"/>
      <c r="F1107" s="100"/>
      <c r="G1107" s="100"/>
      <c r="H1107" s="100"/>
      <c r="I1107" s="100"/>
      <c r="J1107" s="100"/>
      <c r="K1107" s="100"/>
      <c r="L1107" s="100"/>
      <c r="M1107" s="100"/>
      <c r="N1107" s="100"/>
      <c r="O1107" s="100"/>
      <c r="P1107" s="100"/>
      <c r="Q1107" s="100"/>
      <c r="R1107" s="100"/>
      <c r="S1107" s="100"/>
      <c r="T1107" s="100"/>
      <c r="U1107" s="100"/>
      <c r="V1107" s="100"/>
      <c r="W1107" s="100"/>
      <c r="X1107" s="100"/>
      <c r="Y1107" s="100"/>
      <c r="Z1107" s="100"/>
    </row>
    <row r="1108" spans="1:26">
      <c r="A1108" s="100"/>
      <c r="B1108" s="100"/>
      <c r="C1108" s="100"/>
      <c r="D1108" s="100"/>
      <c r="E1108" s="100"/>
      <c r="F1108" s="100"/>
      <c r="G1108" s="100"/>
      <c r="H1108" s="100"/>
      <c r="I1108" s="100"/>
      <c r="J1108" s="100"/>
      <c r="K1108" s="100"/>
      <c r="L1108" s="100"/>
      <c r="M1108" s="100"/>
      <c r="N1108" s="100"/>
      <c r="O1108" s="100"/>
      <c r="P1108" s="100"/>
      <c r="Q1108" s="100"/>
      <c r="R1108" s="100"/>
      <c r="S1108" s="100"/>
      <c r="T1108" s="100"/>
      <c r="U1108" s="100"/>
      <c r="V1108" s="100"/>
      <c r="W1108" s="100"/>
      <c r="X1108" s="100"/>
      <c r="Y1108" s="100"/>
      <c r="Z1108" s="100"/>
    </row>
    <row r="1109" spans="1:26">
      <c r="A1109" s="100"/>
      <c r="B1109" s="100"/>
      <c r="C1109" s="100"/>
      <c r="D1109" s="100"/>
      <c r="E1109" s="100"/>
      <c r="F1109" s="100"/>
      <c r="G1109" s="100"/>
      <c r="H1109" s="100"/>
      <c r="I1109" s="100"/>
      <c r="J1109" s="100"/>
      <c r="K1109" s="100"/>
      <c r="L1109" s="100"/>
      <c r="M1109" s="100"/>
      <c r="N1109" s="100"/>
      <c r="O1109" s="100"/>
      <c r="P1109" s="100"/>
      <c r="Q1109" s="100"/>
      <c r="R1109" s="100"/>
      <c r="S1109" s="100"/>
      <c r="T1109" s="100"/>
      <c r="U1109" s="100"/>
      <c r="V1109" s="100"/>
      <c r="W1109" s="100"/>
      <c r="X1109" s="100"/>
      <c r="Y1109" s="100"/>
      <c r="Z1109" s="100"/>
    </row>
    <row r="1110" spans="1:26">
      <c r="A1110" s="100"/>
      <c r="B1110" s="100"/>
      <c r="C1110" s="100"/>
      <c r="D1110" s="100"/>
      <c r="E1110" s="100"/>
      <c r="F1110" s="100"/>
      <c r="G1110" s="100"/>
      <c r="H1110" s="100"/>
      <c r="I1110" s="100"/>
      <c r="J1110" s="100"/>
      <c r="K1110" s="100"/>
      <c r="L1110" s="100"/>
      <c r="M1110" s="100"/>
      <c r="N1110" s="100"/>
      <c r="O1110" s="100"/>
      <c r="P1110" s="100"/>
      <c r="Q1110" s="100"/>
      <c r="R1110" s="100"/>
      <c r="S1110" s="100"/>
      <c r="T1110" s="100"/>
      <c r="U1110" s="100"/>
      <c r="V1110" s="100"/>
      <c r="W1110" s="100"/>
      <c r="X1110" s="100"/>
      <c r="Y1110" s="100"/>
      <c r="Z1110" s="100"/>
    </row>
    <row r="1111" spans="1:26">
      <c r="A1111" s="100"/>
      <c r="B1111" s="100"/>
      <c r="C1111" s="100"/>
      <c r="D1111" s="100"/>
      <c r="E1111" s="100"/>
      <c r="F1111" s="100"/>
      <c r="G1111" s="100"/>
      <c r="H1111" s="100"/>
      <c r="I1111" s="100"/>
      <c r="J1111" s="100"/>
      <c r="K1111" s="100"/>
      <c r="L1111" s="100"/>
      <c r="M1111" s="100"/>
      <c r="N1111" s="100"/>
      <c r="O1111" s="100"/>
      <c r="P1111" s="100"/>
      <c r="Q1111" s="100"/>
      <c r="R1111" s="100"/>
      <c r="S1111" s="100"/>
      <c r="T1111" s="100"/>
      <c r="U1111" s="100"/>
      <c r="V1111" s="100"/>
      <c r="W1111" s="100"/>
      <c r="X1111" s="100"/>
      <c r="Y1111" s="100"/>
      <c r="Z1111" s="100"/>
    </row>
    <row r="1112" spans="1:26">
      <c r="A1112" s="100"/>
      <c r="B1112" s="100"/>
      <c r="C1112" s="100"/>
      <c r="D1112" s="100"/>
      <c r="E1112" s="100"/>
      <c r="F1112" s="100"/>
      <c r="G1112" s="100"/>
      <c r="H1112" s="100"/>
      <c r="I1112" s="100"/>
      <c r="J1112" s="100"/>
      <c r="K1112" s="100"/>
      <c r="L1112" s="100"/>
      <c r="M1112" s="100"/>
      <c r="N1112" s="100"/>
      <c r="O1112" s="100"/>
      <c r="P1112" s="100"/>
      <c r="Q1112" s="100"/>
      <c r="R1112" s="100"/>
      <c r="S1112" s="100"/>
      <c r="T1112" s="100"/>
      <c r="U1112" s="100"/>
      <c r="V1112" s="100"/>
      <c r="W1112" s="100"/>
      <c r="X1112" s="100"/>
      <c r="Y1112" s="100"/>
      <c r="Z1112" s="100"/>
    </row>
    <row r="1113" spans="1:26">
      <c r="A1113" s="100"/>
      <c r="B1113" s="100"/>
      <c r="C1113" s="100"/>
      <c r="D1113" s="100"/>
      <c r="E1113" s="100"/>
      <c r="F1113" s="100"/>
      <c r="G1113" s="100"/>
      <c r="H1113" s="100"/>
      <c r="I1113" s="100"/>
      <c r="J1113" s="100"/>
      <c r="K1113" s="100"/>
      <c r="L1113" s="100"/>
      <c r="M1113" s="100"/>
      <c r="N1113" s="100"/>
      <c r="O1113" s="100"/>
      <c r="P1113" s="100"/>
      <c r="Q1113" s="100"/>
      <c r="R1113" s="100"/>
      <c r="S1113" s="100"/>
      <c r="T1113" s="100"/>
      <c r="U1113" s="100"/>
      <c r="V1113" s="100"/>
      <c r="W1113" s="100"/>
      <c r="X1113" s="100"/>
      <c r="Y1113" s="100"/>
      <c r="Z1113" s="100"/>
    </row>
    <row r="1114" spans="1:26">
      <c r="A1114" s="100"/>
      <c r="B1114" s="100"/>
      <c r="C1114" s="100"/>
      <c r="D1114" s="100"/>
      <c r="E1114" s="100"/>
      <c r="F1114" s="100"/>
      <c r="G1114" s="100"/>
      <c r="H1114" s="100"/>
      <c r="I1114" s="100"/>
      <c r="J1114" s="100"/>
      <c r="K1114" s="100"/>
      <c r="L1114" s="100"/>
      <c r="M1114" s="100"/>
      <c r="N1114" s="100"/>
      <c r="O1114" s="100"/>
      <c r="P1114" s="100"/>
      <c r="Q1114" s="100"/>
      <c r="R1114" s="100"/>
      <c r="S1114" s="100"/>
      <c r="T1114" s="100"/>
      <c r="U1114" s="100"/>
      <c r="V1114" s="100"/>
      <c r="W1114" s="100"/>
      <c r="X1114" s="100"/>
      <c r="Y1114" s="100"/>
      <c r="Z1114" s="100"/>
    </row>
    <row r="1115" spans="1:26">
      <c r="A1115" s="100"/>
      <c r="B1115" s="100"/>
      <c r="C1115" s="100"/>
      <c r="D1115" s="100"/>
      <c r="E1115" s="100"/>
      <c r="F1115" s="100"/>
      <c r="G1115" s="100"/>
      <c r="H1115" s="100"/>
      <c r="I1115" s="100"/>
      <c r="J1115" s="100"/>
      <c r="K1115" s="100"/>
      <c r="L1115" s="100"/>
      <c r="M1115" s="100"/>
      <c r="N1115" s="100"/>
      <c r="O1115" s="100"/>
      <c r="P1115" s="100"/>
      <c r="Q1115" s="100"/>
      <c r="R1115" s="100"/>
      <c r="S1115" s="100"/>
      <c r="T1115" s="100"/>
      <c r="U1115" s="100"/>
      <c r="V1115" s="100"/>
      <c r="W1115" s="100"/>
      <c r="X1115" s="100"/>
      <c r="Y1115" s="100"/>
      <c r="Z1115" s="100"/>
    </row>
    <row r="1116" spans="1:26">
      <c r="A1116" s="100"/>
      <c r="B1116" s="100"/>
      <c r="C1116" s="100"/>
      <c r="D1116" s="100"/>
      <c r="E1116" s="100"/>
      <c r="F1116" s="100"/>
      <c r="G1116" s="100"/>
      <c r="H1116" s="100"/>
      <c r="I1116" s="100"/>
      <c r="J1116" s="100"/>
      <c r="K1116" s="100"/>
      <c r="L1116" s="100"/>
      <c r="M1116" s="100"/>
      <c r="N1116" s="100"/>
      <c r="O1116" s="100"/>
      <c r="P1116" s="100"/>
      <c r="Q1116" s="100"/>
      <c r="R1116" s="100"/>
      <c r="S1116" s="100"/>
      <c r="T1116" s="100"/>
      <c r="U1116" s="100"/>
      <c r="V1116" s="100"/>
      <c r="W1116" s="100"/>
      <c r="X1116" s="100"/>
      <c r="Y1116" s="100"/>
      <c r="Z1116" s="100"/>
    </row>
    <row r="1117" spans="1:26">
      <c r="A1117" s="100"/>
      <c r="B1117" s="100"/>
      <c r="C1117" s="100"/>
      <c r="D1117" s="100"/>
      <c r="E1117" s="100"/>
      <c r="F1117" s="100"/>
      <c r="G1117" s="100"/>
      <c r="H1117" s="100"/>
      <c r="I1117" s="100"/>
      <c r="J1117" s="100"/>
      <c r="K1117" s="100"/>
      <c r="L1117" s="100"/>
      <c r="M1117" s="100"/>
      <c r="N1117" s="100"/>
      <c r="O1117" s="100"/>
      <c r="P1117" s="100"/>
      <c r="Q1117" s="100"/>
      <c r="R1117" s="100"/>
      <c r="S1117" s="100"/>
      <c r="T1117" s="100"/>
      <c r="U1117" s="100"/>
      <c r="V1117" s="100"/>
      <c r="W1117" s="100"/>
      <c r="X1117" s="100"/>
      <c r="Y1117" s="100"/>
      <c r="Z1117" s="100"/>
    </row>
    <row r="1118" spans="1:26">
      <c r="A1118" s="100"/>
      <c r="B1118" s="100"/>
      <c r="C1118" s="100"/>
      <c r="D1118" s="100"/>
      <c r="E1118" s="100"/>
      <c r="F1118" s="100"/>
      <c r="G1118" s="100"/>
      <c r="H1118" s="100"/>
      <c r="I1118" s="100"/>
      <c r="J1118" s="100"/>
      <c r="K1118" s="100"/>
      <c r="L1118" s="100"/>
      <c r="M1118" s="100"/>
      <c r="N1118" s="100"/>
      <c r="O1118" s="100"/>
      <c r="P1118" s="100"/>
      <c r="Q1118" s="100"/>
      <c r="R1118" s="100"/>
      <c r="S1118" s="100"/>
      <c r="T1118" s="100"/>
      <c r="U1118" s="100"/>
      <c r="V1118" s="100"/>
      <c r="W1118" s="100"/>
      <c r="X1118" s="100"/>
      <c r="Y1118" s="100"/>
      <c r="Z1118" s="100"/>
    </row>
    <row r="1119" spans="1:26">
      <c r="A1119" s="100"/>
      <c r="B1119" s="100"/>
      <c r="C1119" s="100"/>
      <c r="D1119" s="100"/>
      <c r="E1119" s="100"/>
      <c r="F1119" s="100"/>
      <c r="G1119" s="100"/>
      <c r="H1119" s="100"/>
      <c r="I1119" s="100"/>
      <c r="J1119" s="100"/>
      <c r="K1119" s="100"/>
      <c r="L1119" s="100"/>
      <c r="M1119" s="100"/>
      <c r="N1119" s="100"/>
      <c r="O1119" s="100"/>
      <c r="P1119" s="100"/>
      <c r="Q1119" s="100"/>
      <c r="R1119" s="100"/>
      <c r="S1119" s="100"/>
      <c r="T1119" s="100"/>
      <c r="U1119" s="100"/>
      <c r="V1119" s="100"/>
      <c r="W1119" s="100"/>
      <c r="X1119" s="100"/>
      <c r="Y1119" s="100"/>
      <c r="Z1119" s="100"/>
    </row>
    <row r="1120" spans="1:26">
      <c r="A1120" s="100"/>
      <c r="B1120" s="100"/>
      <c r="C1120" s="100"/>
      <c r="D1120" s="100"/>
      <c r="E1120" s="100"/>
      <c r="F1120" s="100"/>
      <c r="G1120" s="100"/>
      <c r="H1120" s="100"/>
      <c r="I1120" s="100"/>
      <c r="J1120" s="100"/>
      <c r="K1120" s="100"/>
      <c r="L1120" s="100"/>
      <c r="M1120" s="100"/>
      <c r="N1120" s="100"/>
      <c r="O1120" s="100"/>
      <c r="P1120" s="100"/>
      <c r="Q1120" s="100"/>
      <c r="R1120" s="100"/>
      <c r="S1120" s="100"/>
      <c r="T1120" s="100"/>
      <c r="U1120" s="100"/>
      <c r="V1120" s="100"/>
      <c r="W1120" s="100"/>
      <c r="X1120" s="100"/>
      <c r="Y1120" s="100"/>
      <c r="Z1120" s="100"/>
    </row>
    <row r="1121" spans="1:26">
      <c r="A1121" s="100"/>
      <c r="B1121" s="100"/>
      <c r="C1121" s="100"/>
      <c r="D1121" s="100"/>
      <c r="E1121" s="100"/>
      <c r="F1121" s="100"/>
      <c r="G1121" s="100"/>
      <c r="H1121" s="100"/>
      <c r="I1121" s="100"/>
      <c r="J1121" s="100"/>
      <c r="K1121" s="100"/>
      <c r="L1121" s="100"/>
      <c r="M1121" s="100"/>
      <c r="N1121" s="100"/>
      <c r="O1121" s="100"/>
      <c r="P1121" s="100"/>
      <c r="Q1121" s="100"/>
      <c r="R1121" s="100"/>
      <c r="S1121" s="100"/>
      <c r="T1121" s="100"/>
      <c r="U1121" s="100"/>
      <c r="V1121" s="100"/>
      <c r="W1121" s="100"/>
      <c r="X1121" s="100"/>
      <c r="Y1121" s="100"/>
      <c r="Z1121" s="100"/>
    </row>
    <row r="1122" spans="1:26">
      <c r="A1122" s="100"/>
      <c r="B1122" s="100"/>
      <c r="C1122" s="100"/>
      <c r="D1122" s="100"/>
      <c r="E1122" s="100"/>
      <c r="F1122" s="100"/>
      <c r="G1122" s="100"/>
      <c r="H1122" s="100"/>
      <c r="I1122" s="100"/>
      <c r="J1122" s="100"/>
      <c r="K1122" s="100"/>
      <c r="L1122" s="100"/>
      <c r="M1122" s="100"/>
      <c r="N1122" s="100"/>
      <c r="O1122" s="100"/>
      <c r="P1122" s="100"/>
      <c r="Q1122" s="100"/>
      <c r="R1122" s="100"/>
      <c r="S1122" s="100"/>
      <c r="T1122" s="100"/>
      <c r="U1122" s="100"/>
      <c r="V1122" s="100"/>
      <c r="W1122" s="100"/>
      <c r="X1122" s="100"/>
      <c r="Y1122" s="100"/>
      <c r="Z1122" s="100"/>
    </row>
    <row r="1123" spans="1:26">
      <c r="A1123" s="100"/>
      <c r="B1123" s="100"/>
      <c r="C1123" s="1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  <c r="O1123" s="100"/>
      <c r="P1123" s="100"/>
      <c r="Q1123" s="100"/>
      <c r="R1123" s="100"/>
      <c r="S1123" s="100"/>
      <c r="T1123" s="100"/>
      <c r="U1123" s="100"/>
      <c r="V1123" s="100"/>
      <c r="W1123" s="100"/>
      <c r="X1123" s="100"/>
      <c r="Y1123" s="100"/>
      <c r="Z1123" s="100"/>
    </row>
    <row r="1124" spans="1:26">
      <c r="A1124" s="100"/>
      <c r="B1124" s="100"/>
      <c r="C1124" s="100"/>
      <c r="D1124" s="100"/>
      <c r="E1124" s="100"/>
      <c r="F1124" s="100"/>
      <c r="G1124" s="100"/>
      <c r="H1124" s="100"/>
      <c r="I1124" s="100"/>
      <c r="J1124" s="100"/>
      <c r="K1124" s="100"/>
      <c r="L1124" s="100"/>
      <c r="M1124" s="100"/>
      <c r="N1124" s="100"/>
      <c r="O1124" s="100"/>
      <c r="P1124" s="100"/>
      <c r="Q1124" s="100"/>
      <c r="R1124" s="100"/>
      <c r="S1124" s="100"/>
      <c r="T1124" s="100"/>
      <c r="U1124" s="100"/>
      <c r="V1124" s="100"/>
      <c r="W1124" s="100"/>
      <c r="X1124" s="100"/>
      <c r="Y1124" s="100"/>
      <c r="Z1124" s="100"/>
    </row>
    <row r="1125" spans="1:26">
      <c r="A1125" s="100"/>
      <c r="B1125" s="100"/>
      <c r="C1125" s="100"/>
      <c r="D1125" s="100"/>
      <c r="E1125" s="100"/>
      <c r="F1125" s="100"/>
      <c r="G1125" s="100"/>
      <c r="H1125" s="100"/>
      <c r="I1125" s="100"/>
      <c r="J1125" s="100"/>
      <c r="K1125" s="100"/>
      <c r="L1125" s="100"/>
      <c r="M1125" s="100"/>
      <c r="N1125" s="100"/>
      <c r="O1125" s="100"/>
      <c r="P1125" s="100"/>
      <c r="Q1125" s="100"/>
      <c r="R1125" s="100"/>
      <c r="S1125" s="100"/>
      <c r="T1125" s="100"/>
      <c r="U1125" s="100"/>
      <c r="V1125" s="100"/>
      <c r="W1125" s="100"/>
      <c r="X1125" s="100"/>
      <c r="Y1125" s="100"/>
      <c r="Z1125" s="100"/>
    </row>
    <row r="1126" spans="1:26">
      <c r="A1126" s="100"/>
      <c r="B1126" s="100"/>
      <c r="C1126" s="100"/>
      <c r="D1126" s="100"/>
      <c r="E1126" s="100"/>
      <c r="F1126" s="100"/>
      <c r="G1126" s="100"/>
      <c r="H1126" s="100"/>
      <c r="I1126" s="100"/>
      <c r="J1126" s="100"/>
      <c r="K1126" s="100"/>
      <c r="L1126" s="100"/>
      <c r="M1126" s="100"/>
      <c r="N1126" s="100"/>
      <c r="O1126" s="100"/>
      <c r="P1126" s="100"/>
      <c r="Q1126" s="100"/>
      <c r="R1126" s="100"/>
      <c r="S1126" s="100"/>
      <c r="T1126" s="100"/>
      <c r="U1126" s="100"/>
      <c r="V1126" s="100"/>
      <c r="W1126" s="100"/>
      <c r="X1126" s="100"/>
      <c r="Y1126" s="100"/>
      <c r="Z1126" s="100"/>
    </row>
    <row r="1127" spans="1:26">
      <c r="A1127" s="100"/>
      <c r="B1127" s="100"/>
      <c r="C1127" s="100"/>
      <c r="D1127" s="100"/>
      <c r="E1127" s="100"/>
      <c r="F1127" s="100"/>
      <c r="G1127" s="100"/>
      <c r="H1127" s="100"/>
      <c r="I1127" s="100"/>
      <c r="J1127" s="100"/>
      <c r="K1127" s="100"/>
      <c r="L1127" s="100"/>
      <c r="M1127" s="100"/>
      <c r="N1127" s="100"/>
      <c r="O1127" s="100"/>
      <c r="P1127" s="100"/>
      <c r="Q1127" s="100"/>
      <c r="R1127" s="100"/>
      <c r="S1127" s="100"/>
      <c r="T1127" s="100"/>
      <c r="U1127" s="100"/>
      <c r="V1127" s="100"/>
      <c r="W1127" s="100"/>
      <c r="X1127" s="100"/>
      <c r="Y1127" s="100"/>
      <c r="Z1127" s="100"/>
    </row>
    <row r="1128" spans="1:26">
      <c r="A1128" s="100"/>
      <c r="B1128" s="100"/>
      <c r="C1128" s="100"/>
      <c r="D1128" s="100"/>
      <c r="E1128" s="100"/>
      <c r="F1128" s="100"/>
      <c r="G1128" s="100"/>
      <c r="H1128" s="100"/>
      <c r="I1128" s="100"/>
      <c r="J1128" s="100"/>
      <c r="K1128" s="100"/>
      <c r="L1128" s="100"/>
      <c r="M1128" s="100"/>
      <c r="N1128" s="100"/>
      <c r="O1128" s="100"/>
      <c r="P1128" s="100"/>
      <c r="Q1128" s="100"/>
      <c r="R1128" s="100"/>
      <c r="S1128" s="100"/>
      <c r="T1128" s="100"/>
      <c r="U1128" s="100"/>
      <c r="V1128" s="100"/>
      <c r="W1128" s="100"/>
      <c r="X1128" s="100"/>
      <c r="Y1128" s="100"/>
      <c r="Z1128" s="100"/>
    </row>
    <row r="1129" spans="1:26">
      <c r="A1129" s="100"/>
      <c r="B1129" s="100"/>
      <c r="C1129" s="100"/>
      <c r="D1129" s="100"/>
      <c r="E1129" s="100"/>
      <c r="F1129" s="100"/>
      <c r="G1129" s="100"/>
      <c r="H1129" s="100"/>
      <c r="I1129" s="100"/>
      <c r="J1129" s="100"/>
      <c r="K1129" s="100"/>
      <c r="L1129" s="100"/>
      <c r="M1129" s="100"/>
      <c r="N1129" s="100"/>
      <c r="O1129" s="100"/>
      <c r="P1129" s="100"/>
      <c r="Q1129" s="100"/>
      <c r="R1129" s="100"/>
      <c r="S1129" s="100"/>
      <c r="T1129" s="100"/>
      <c r="U1129" s="100"/>
      <c r="V1129" s="100"/>
      <c r="W1129" s="100"/>
      <c r="X1129" s="100"/>
      <c r="Y1129" s="100"/>
      <c r="Z1129" s="100"/>
    </row>
    <row r="1130" spans="1:26">
      <c r="A1130" s="100"/>
      <c r="B1130" s="100"/>
      <c r="C1130" s="100"/>
      <c r="D1130" s="100"/>
      <c r="E1130" s="100"/>
      <c r="F1130" s="100"/>
      <c r="G1130" s="100"/>
      <c r="H1130" s="100"/>
      <c r="I1130" s="100"/>
      <c r="J1130" s="100"/>
      <c r="K1130" s="100"/>
      <c r="L1130" s="100"/>
      <c r="M1130" s="100"/>
      <c r="N1130" s="100"/>
      <c r="O1130" s="100"/>
      <c r="P1130" s="100"/>
      <c r="Q1130" s="100"/>
      <c r="R1130" s="100"/>
      <c r="S1130" s="100"/>
      <c r="T1130" s="100"/>
      <c r="U1130" s="100"/>
      <c r="V1130" s="100"/>
      <c r="W1130" s="100"/>
      <c r="X1130" s="100"/>
      <c r="Y1130" s="100"/>
      <c r="Z1130" s="100"/>
    </row>
    <row r="1131" spans="1:26">
      <c r="A1131" s="100"/>
      <c r="B1131" s="100"/>
      <c r="C1131" s="100"/>
      <c r="D1131" s="100"/>
      <c r="E1131" s="100"/>
      <c r="F1131" s="100"/>
      <c r="G1131" s="100"/>
      <c r="H1131" s="100"/>
      <c r="I1131" s="100"/>
      <c r="J1131" s="100"/>
      <c r="K1131" s="100"/>
      <c r="L1131" s="100"/>
      <c r="M1131" s="100"/>
      <c r="N1131" s="100"/>
      <c r="O1131" s="100"/>
      <c r="P1131" s="100"/>
      <c r="Q1131" s="100"/>
      <c r="R1131" s="100"/>
      <c r="S1131" s="100"/>
      <c r="T1131" s="100"/>
      <c r="U1131" s="100"/>
      <c r="V1131" s="100"/>
      <c r="W1131" s="100"/>
      <c r="X1131" s="100"/>
      <c r="Y1131" s="100"/>
      <c r="Z1131" s="100"/>
    </row>
    <row r="1132" spans="1:26">
      <c r="A1132" s="100"/>
      <c r="B1132" s="100"/>
      <c r="C1132" s="100"/>
      <c r="D1132" s="100"/>
      <c r="E1132" s="100"/>
      <c r="F1132" s="100"/>
      <c r="G1132" s="100"/>
      <c r="H1132" s="100"/>
      <c r="I1132" s="100"/>
      <c r="J1132" s="100"/>
      <c r="K1132" s="100"/>
      <c r="L1132" s="100"/>
      <c r="M1132" s="100"/>
      <c r="N1132" s="100"/>
      <c r="O1132" s="100"/>
      <c r="P1132" s="100"/>
      <c r="Q1132" s="100"/>
      <c r="R1132" s="100"/>
      <c r="S1132" s="100"/>
      <c r="T1132" s="100"/>
      <c r="U1132" s="100"/>
      <c r="V1132" s="100"/>
      <c r="W1132" s="100"/>
      <c r="X1132" s="100"/>
      <c r="Y1132" s="100"/>
      <c r="Z1132" s="100"/>
    </row>
    <row r="1133" spans="1:26">
      <c r="A1133" s="100"/>
      <c r="B1133" s="100"/>
      <c r="C1133" s="1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  <c r="O1133" s="100"/>
      <c r="P1133" s="100"/>
      <c r="Q1133" s="100"/>
      <c r="R1133" s="100"/>
      <c r="S1133" s="100"/>
      <c r="T1133" s="100"/>
      <c r="U1133" s="100"/>
      <c r="V1133" s="100"/>
      <c r="W1133" s="100"/>
      <c r="X1133" s="100"/>
      <c r="Y1133" s="100"/>
      <c r="Z1133" s="100"/>
    </row>
    <row r="1134" spans="1:26">
      <c r="A1134" s="100"/>
      <c r="B1134" s="100"/>
      <c r="C1134" s="100"/>
      <c r="D1134" s="100"/>
      <c r="E1134" s="100"/>
      <c r="F1134" s="100"/>
      <c r="G1134" s="100"/>
      <c r="H1134" s="100"/>
      <c r="I1134" s="100"/>
      <c r="J1134" s="100"/>
      <c r="K1134" s="100"/>
      <c r="L1134" s="100"/>
      <c r="M1134" s="100"/>
      <c r="N1134" s="100"/>
      <c r="O1134" s="100"/>
      <c r="P1134" s="100"/>
      <c r="Q1134" s="100"/>
      <c r="R1134" s="100"/>
      <c r="S1134" s="100"/>
      <c r="T1134" s="100"/>
      <c r="U1134" s="100"/>
      <c r="V1134" s="100"/>
      <c r="W1134" s="100"/>
      <c r="X1134" s="100"/>
      <c r="Y1134" s="100"/>
      <c r="Z1134" s="100"/>
    </row>
    <row r="1135" spans="1:26">
      <c r="A1135" s="100"/>
      <c r="B1135" s="100"/>
      <c r="C1135" s="100"/>
      <c r="D1135" s="100"/>
      <c r="E1135" s="100"/>
      <c r="F1135" s="100"/>
      <c r="G1135" s="100"/>
      <c r="H1135" s="100"/>
      <c r="I1135" s="100"/>
      <c r="J1135" s="100"/>
      <c r="K1135" s="100"/>
      <c r="L1135" s="100"/>
      <c r="M1135" s="100"/>
      <c r="N1135" s="100"/>
      <c r="O1135" s="100"/>
      <c r="P1135" s="100"/>
      <c r="Q1135" s="100"/>
      <c r="R1135" s="100"/>
      <c r="S1135" s="100"/>
      <c r="T1135" s="100"/>
      <c r="U1135" s="100"/>
      <c r="V1135" s="100"/>
      <c r="W1135" s="100"/>
      <c r="X1135" s="100"/>
      <c r="Y1135" s="100"/>
      <c r="Z1135" s="100"/>
    </row>
    <row r="1136" spans="1:26">
      <c r="A1136" s="100"/>
      <c r="B1136" s="100"/>
      <c r="C1136" s="100"/>
      <c r="D1136" s="100"/>
      <c r="E1136" s="100"/>
      <c r="F1136" s="100"/>
      <c r="G1136" s="100"/>
      <c r="H1136" s="100"/>
      <c r="I1136" s="100"/>
      <c r="J1136" s="100"/>
      <c r="K1136" s="100"/>
      <c r="L1136" s="100"/>
      <c r="M1136" s="100"/>
      <c r="N1136" s="100"/>
      <c r="O1136" s="100"/>
      <c r="P1136" s="100"/>
      <c r="Q1136" s="100"/>
      <c r="R1136" s="100"/>
      <c r="S1136" s="100"/>
      <c r="T1136" s="100"/>
      <c r="U1136" s="100"/>
      <c r="V1136" s="100"/>
      <c r="W1136" s="100"/>
      <c r="X1136" s="100"/>
      <c r="Y1136" s="100"/>
      <c r="Z1136" s="100"/>
    </row>
    <row r="1137" spans="1:26">
      <c r="A1137" s="100"/>
      <c r="B1137" s="100"/>
      <c r="C1137" s="1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  <c r="O1137" s="100"/>
      <c r="P1137" s="100"/>
      <c r="Q1137" s="100"/>
      <c r="R1137" s="100"/>
      <c r="S1137" s="100"/>
      <c r="T1137" s="100"/>
      <c r="U1137" s="100"/>
      <c r="V1137" s="100"/>
      <c r="W1137" s="100"/>
      <c r="X1137" s="100"/>
      <c r="Y1137" s="100"/>
      <c r="Z1137" s="100"/>
    </row>
    <row r="1138" spans="1:26">
      <c r="A1138" s="100"/>
      <c r="B1138" s="100"/>
      <c r="C1138" s="100"/>
      <c r="D1138" s="100"/>
      <c r="E1138" s="100"/>
      <c r="F1138" s="100"/>
      <c r="G1138" s="100"/>
      <c r="H1138" s="100"/>
      <c r="I1138" s="100"/>
      <c r="J1138" s="100"/>
      <c r="K1138" s="100"/>
      <c r="L1138" s="100"/>
      <c r="M1138" s="100"/>
      <c r="N1138" s="100"/>
      <c r="O1138" s="100"/>
      <c r="P1138" s="100"/>
      <c r="Q1138" s="100"/>
      <c r="R1138" s="100"/>
      <c r="S1138" s="100"/>
      <c r="T1138" s="100"/>
      <c r="U1138" s="100"/>
      <c r="V1138" s="100"/>
      <c r="W1138" s="100"/>
      <c r="X1138" s="100"/>
      <c r="Y1138" s="100"/>
      <c r="Z1138" s="100"/>
    </row>
    <row r="1139" spans="1:26">
      <c r="A1139" s="100"/>
      <c r="B1139" s="100"/>
      <c r="C1139" s="100"/>
      <c r="D1139" s="100"/>
      <c r="E1139" s="100"/>
      <c r="F1139" s="100"/>
      <c r="G1139" s="100"/>
      <c r="H1139" s="100"/>
      <c r="I1139" s="100"/>
      <c r="J1139" s="100"/>
      <c r="K1139" s="100"/>
      <c r="L1139" s="100"/>
      <c r="M1139" s="100"/>
      <c r="N1139" s="100"/>
      <c r="O1139" s="100"/>
      <c r="P1139" s="100"/>
      <c r="Q1139" s="100"/>
      <c r="R1139" s="100"/>
      <c r="S1139" s="100"/>
      <c r="T1139" s="100"/>
      <c r="U1139" s="100"/>
      <c r="V1139" s="100"/>
      <c r="W1139" s="100"/>
      <c r="X1139" s="100"/>
      <c r="Y1139" s="100"/>
      <c r="Z1139" s="100"/>
    </row>
    <row r="1140" spans="1:26">
      <c r="A1140" s="100"/>
      <c r="B1140" s="100"/>
      <c r="C1140" s="100"/>
      <c r="D1140" s="100"/>
      <c r="E1140" s="100"/>
      <c r="F1140" s="100"/>
      <c r="G1140" s="100"/>
      <c r="H1140" s="100"/>
      <c r="I1140" s="100"/>
      <c r="J1140" s="100"/>
      <c r="K1140" s="100"/>
      <c r="L1140" s="100"/>
      <c r="M1140" s="100"/>
      <c r="N1140" s="100"/>
      <c r="O1140" s="100"/>
      <c r="P1140" s="100"/>
      <c r="Q1140" s="100"/>
      <c r="R1140" s="100"/>
      <c r="S1140" s="100"/>
      <c r="T1140" s="100"/>
      <c r="U1140" s="100"/>
      <c r="V1140" s="100"/>
      <c r="W1140" s="100"/>
      <c r="X1140" s="100"/>
      <c r="Y1140" s="100"/>
      <c r="Z1140" s="100"/>
    </row>
    <row r="1141" spans="1:26">
      <c r="A1141" s="100"/>
      <c r="B1141" s="100"/>
      <c r="C1141" s="100"/>
      <c r="D1141" s="100"/>
      <c r="E1141" s="100"/>
      <c r="F1141" s="100"/>
      <c r="G1141" s="100"/>
      <c r="H1141" s="100"/>
      <c r="I1141" s="100"/>
      <c r="J1141" s="100"/>
      <c r="K1141" s="100"/>
      <c r="L1141" s="100"/>
      <c r="M1141" s="100"/>
      <c r="N1141" s="100"/>
      <c r="O1141" s="100"/>
      <c r="P1141" s="100"/>
      <c r="Q1141" s="100"/>
      <c r="R1141" s="100"/>
      <c r="S1141" s="100"/>
      <c r="T1141" s="100"/>
      <c r="U1141" s="100"/>
      <c r="V1141" s="100"/>
      <c r="W1141" s="100"/>
      <c r="X1141" s="100"/>
      <c r="Y1141" s="100"/>
      <c r="Z1141" s="100"/>
    </row>
    <row r="1142" spans="1:26">
      <c r="A1142" s="100"/>
      <c r="B1142" s="100"/>
      <c r="C1142" s="100"/>
      <c r="D1142" s="100"/>
      <c r="E1142" s="100"/>
      <c r="F1142" s="100"/>
      <c r="G1142" s="100"/>
      <c r="H1142" s="100"/>
      <c r="I1142" s="100"/>
      <c r="J1142" s="100"/>
      <c r="K1142" s="100"/>
      <c r="L1142" s="100"/>
      <c r="M1142" s="100"/>
      <c r="N1142" s="100"/>
      <c r="O1142" s="100"/>
      <c r="P1142" s="100"/>
      <c r="Q1142" s="100"/>
      <c r="R1142" s="100"/>
      <c r="S1142" s="100"/>
      <c r="T1142" s="100"/>
      <c r="U1142" s="100"/>
      <c r="V1142" s="100"/>
      <c r="W1142" s="100"/>
      <c r="X1142" s="100"/>
      <c r="Y1142" s="100"/>
      <c r="Z1142" s="100"/>
    </row>
    <row r="1143" spans="1:26">
      <c r="A1143" s="100"/>
      <c r="B1143" s="100"/>
      <c r="C1143" s="100"/>
      <c r="D1143" s="100"/>
      <c r="E1143" s="100"/>
      <c r="F1143" s="100"/>
      <c r="G1143" s="100"/>
      <c r="H1143" s="100"/>
      <c r="I1143" s="100"/>
      <c r="J1143" s="100"/>
      <c r="K1143" s="100"/>
      <c r="L1143" s="100"/>
      <c r="M1143" s="100"/>
      <c r="N1143" s="100"/>
      <c r="O1143" s="100"/>
      <c r="P1143" s="100"/>
      <c r="Q1143" s="100"/>
      <c r="R1143" s="100"/>
      <c r="S1143" s="100"/>
      <c r="T1143" s="100"/>
      <c r="U1143" s="100"/>
      <c r="V1143" s="100"/>
      <c r="W1143" s="100"/>
      <c r="X1143" s="100"/>
      <c r="Y1143" s="100"/>
      <c r="Z1143" s="100"/>
    </row>
    <row r="1144" spans="1:26">
      <c r="A1144" s="100"/>
      <c r="B1144" s="100"/>
      <c r="C1144" s="100"/>
      <c r="D1144" s="100"/>
      <c r="E1144" s="100"/>
      <c r="F1144" s="100"/>
      <c r="G1144" s="100"/>
      <c r="H1144" s="100"/>
      <c r="I1144" s="100"/>
      <c r="J1144" s="100"/>
      <c r="K1144" s="100"/>
      <c r="L1144" s="100"/>
      <c r="M1144" s="100"/>
      <c r="N1144" s="100"/>
      <c r="O1144" s="100"/>
      <c r="P1144" s="100"/>
      <c r="Q1144" s="100"/>
      <c r="R1144" s="100"/>
      <c r="S1144" s="100"/>
      <c r="T1144" s="100"/>
      <c r="U1144" s="100"/>
      <c r="V1144" s="100"/>
      <c r="W1144" s="100"/>
      <c r="X1144" s="100"/>
      <c r="Y1144" s="100"/>
      <c r="Z1144" s="100"/>
    </row>
    <row r="1145" spans="1:26">
      <c r="A1145" s="100"/>
      <c r="B1145" s="100"/>
      <c r="C1145" s="100"/>
      <c r="D1145" s="100"/>
      <c r="E1145" s="100"/>
      <c r="F1145" s="100"/>
      <c r="G1145" s="100"/>
      <c r="H1145" s="100"/>
      <c r="I1145" s="100"/>
      <c r="J1145" s="100"/>
      <c r="K1145" s="100"/>
      <c r="L1145" s="100"/>
      <c r="M1145" s="100"/>
      <c r="N1145" s="100"/>
      <c r="O1145" s="100"/>
      <c r="P1145" s="100"/>
      <c r="Q1145" s="100"/>
      <c r="R1145" s="100"/>
      <c r="S1145" s="100"/>
      <c r="T1145" s="100"/>
      <c r="U1145" s="100"/>
      <c r="V1145" s="100"/>
      <c r="W1145" s="100"/>
      <c r="X1145" s="100"/>
      <c r="Y1145" s="100"/>
      <c r="Z1145" s="100"/>
    </row>
    <row r="1146" spans="1:26">
      <c r="A1146" s="100"/>
      <c r="B1146" s="100"/>
      <c r="C1146" s="100"/>
      <c r="D1146" s="100"/>
      <c r="E1146" s="100"/>
      <c r="F1146" s="100"/>
      <c r="G1146" s="100"/>
      <c r="H1146" s="100"/>
      <c r="I1146" s="100"/>
      <c r="J1146" s="100"/>
      <c r="K1146" s="100"/>
      <c r="L1146" s="100"/>
      <c r="M1146" s="100"/>
      <c r="N1146" s="100"/>
      <c r="O1146" s="100"/>
      <c r="P1146" s="100"/>
      <c r="Q1146" s="100"/>
      <c r="R1146" s="100"/>
      <c r="S1146" s="100"/>
      <c r="T1146" s="100"/>
      <c r="U1146" s="100"/>
      <c r="V1146" s="100"/>
      <c r="W1146" s="100"/>
      <c r="X1146" s="100"/>
      <c r="Y1146" s="100"/>
      <c r="Z1146" s="100"/>
    </row>
    <row r="1147" spans="1:26">
      <c r="A1147" s="100"/>
      <c r="B1147" s="100"/>
      <c r="C1147" s="1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  <c r="O1147" s="100"/>
      <c r="P1147" s="100"/>
      <c r="Q1147" s="100"/>
      <c r="R1147" s="100"/>
      <c r="S1147" s="100"/>
      <c r="T1147" s="100"/>
      <c r="U1147" s="100"/>
      <c r="V1147" s="100"/>
      <c r="W1147" s="100"/>
      <c r="X1147" s="100"/>
      <c r="Y1147" s="100"/>
      <c r="Z1147" s="100"/>
    </row>
    <row r="1148" spans="1:26">
      <c r="A1148" s="100"/>
      <c r="B1148" s="100"/>
      <c r="C1148" s="100"/>
      <c r="D1148" s="100"/>
      <c r="E1148" s="100"/>
      <c r="F1148" s="100"/>
      <c r="G1148" s="100"/>
      <c r="H1148" s="100"/>
      <c r="I1148" s="100"/>
      <c r="J1148" s="100"/>
      <c r="K1148" s="100"/>
      <c r="L1148" s="100"/>
      <c r="M1148" s="100"/>
      <c r="N1148" s="100"/>
      <c r="O1148" s="100"/>
      <c r="P1148" s="100"/>
      <c r="Q1148" s="100"/>
      <c r="R1148" s="100"/>
      <c r="S1148" s="100"/>
      <c r="T1148" s="100"/>
      <c r="U1148" s="100"/>
      <c r="V1148" s="100"/>
      <c r="W1148" s="100"/>
      <c r="X1148" s="100"/>
      <c r="Y1148" s="100"/>
      <c r="Z1148" s="100"/>
    </row>
    <row r="1149" spans="1:26">
      <c r="A1149" s="100"/>
      <c r="B1149" s="100"/>
      <c r="C1149" s="100"/>
      <c r="D1149" s="100"/>
      <c r="E1149" s="100"/>
      <c r="F1149" s="100"/>
      <c r="G1149" s="100"/>
      <c r="H1149" s="100"/>
      <c r="I1149" s="100"/>
      <c r="J1149" s="100"/>
      <c r="K1149" s="100"/>
      <c r="L1149" s="100"/>
      <c r="M1149" s="100"/>
      <c r="N1149" s="100"/>
      <c r="O1149" s="100"/>
      <c r="P1149" s="100"/>
      <c r="Q1149" s="100"/>
      <c r="R1149" s="100"/>
      <c r="S1149" s="100"/>
      <c r="T1149" s="100"/>
      <c r="U1149" s="100"/>
      <c r="V1149" s="100"/>
      <c r="W1149" s="100"/>
      <c r="X1149" s="100"/>
      <c r="Y1149" s="100"/>
      <c r="Z1149" s="100"/>
    </row>
    <row r="1150" spans="1:26">
      <c r="A1150" s="100"/>
      <c r="B1150" s="100"/>
      <c r="C1150" s="100"/>
      <c r="D1150" s="100"/>
      <c r="E1150" s="100"/>
      <c r="F1150" s="100"/>
      <c r="G1150" s="100"/>
      <c r="H1150" s="100"/>
      <c r="I1150" s="100"/>
      <c r="J1150" s="100"/>
      <c r="K1150" s="100"/>
      <c r="L1150" s="100"/>
      <c r="M1150" s="100"/>
      <c r="N1150" s="100"/>
      <c r="O1150" s="100"/>
      <c r="P1150" s="100"/>
      <c r="Q1150" s="100"/>
      <c r="R1150" s="100"/>
      <c r="S1150" s="100"/>
      <c r="T1150" s="100"/>
      <c r="U1150" s="100"/>
      <c r="V1150" s="100"/>
      <c r="W1150" s="100"/>
      <c r="X1150" s="100"/>
      <c r="Y1150" s="100"/>
      <c r="Z1150" s="100"/>
    </row>
    <row r="1151" spans="1:26">
      <c r="A1151" s="100"/>
      <c r="B1151" s="100"/>
      <c r="C1151" s="100"/>
      <c r="D1151" s="100"/>
      <c r="E1151" s="100"/>
      <c r="F1151" s="100"/>
      <c r="G1151" s="100"/>
      <c r="H1151" s="100"/>
      <c r="I1151" s="100"/>
      <c r="J1151" s="100"/>
      <c r="K1151" s="100"/>
      <c r="L1151" s="100"/>
      <c r="M1151" s="100"/>
      <c r="N1151" s="100"/>
      <c r="O1151" s="100"/>
      <c r="P1151" s="100"/>
      <c r="Q1151" s="100"/>
      <c r="R1151" s="100"/>
      <c r="S1151" s="100"/>
      <c r="T1151" s="100"/>
      <c r="U1151" s="100"/>
      <c r="V1151" s="100"/>
      <c r="W1151" s="100"/>
      <c r="X1151" s="100"/>
      <c r="Y1151" s="100"/>
      <c r="Z1151" s="100"/>
    </row>
    <row r="1152" spans="1:26">
      <c r="A1152" s="100"/>
      <c r="B1152" s="100"/>
      <c r="C1152" s="100"/>
      <c r="D1152" s="100"/>
      <c r="E1152" s="100"/>
      <c r="F1152" s="100"/>
      <c r="G1152" s="100"/>
      <c r="H1152" s="100"/>
      <c r="I1152" s="100"/>
      <c r="J1152" s="100"/>
      <c r="K1152" s="100"/>
      <c r="L1152" s="100"/>
      <c r="M1152" s="100"/>
      <c r="N1152" s="100"/>
      <c r="O1152" s="100"/>
      <c r="P1152" s="100"/>
      <c r="Q1152" s="100"/>
      <c r="R1152" s="100"/>
      <c r="S1152" s="100"/>
      <c r="T1152" s="100"/>
      <c r="U1152" s="100"/>
      <c r="V1152" s="100"/>
      <c r="W1152" s="100"/>
      <c r="X1152" s="100"/>
      <c r="Y1152" s="100"/>
      <c r="Z1152" s="100"/>
    </row>
    <row r="1153" spans="1:26">
      <c r="A1153" s="100"/>
      <c r="B1153" s="100"/>
      <c r="C1153" s="100"/>
      <c r="D1153" s="100"/>
      <c r="E1153" s="100"/>
      <c r="F1153" s="100"/>
      <c r="G1153" s="100"/>
      <c r="H1153" s="100"/>
      <c r="I1153" s="100"/>
      <c r="J1153" s="100"/>
      <c r="K1153" s="100"/>
      <c r="L1153" s="100"/>
      <c r="M1153" s="100"/>
      <c r="N1153" s="100"/>
      <c r="O1153" s="100"/>
      <c r="P1153" s="100"/>
      <c r="Q1153" s="100"/>
      <c r="R1153" s="100"/>
      <c r="S1153" s="100"/>
      <c r="T1153" s="100"/>
      <c r="U1153" s="100"/>
      <c r="V1153" s="100"/>
      <c r="W1153" s="100"/>
      <c r="X1153" s="100"/>
      <c r="Y1153" s="100"/>
      <c r="Z1153" s="100"/>
    </row>
    <row r="1154" spans="1:26">
      <c r="A1154" s="100"/>
      <c r="B1154" s="100"/>
      <c r="C1154" s="100"/>
      <c r="D1154" s="100"/>
      <c r="E1154" s="100"/>
      <c r="F1154" s="100"/>
      <c r="G1154" s="100"/>
      <c r="H1154" s="100"/>
      <c r="I1154" s="100"/>
      <c r="J1154" s="100"/>
      <c r="K1154" s="100"/>
      <c r="L1154" s="100"/>
      <c r="M1154" s="100"/>
      <c r="N1154" s="100"/>
      <c r="O1154" s="100"/>
      <c r="P1154" s="100"/>
      <c r="Q1154" s="100"/>
      <c r="R1154" s="100"/>
      <c r="S1154" s="100"/>
      <c r="T1154" s="100"/>
      <c r="U1154" s="100"/>
      <c r="V1154" s="100"/>
      <c r="W1154" s="100"/>
      <c r="X1154" s="100"/>
      <c r="Y1154" s="100"/>
      <c r="Z1154" s="100"/>
    </row>
    <row r="1155" spans="1:26">
      <c r="A1155" s="100"/>
      <c r="B1155" s="100"/>
      <c r="C1155" s="100"/>
      <c r="D1155" s="100"/>
      <c r="E1155" s="100"/>
      <c r="F1155" s="100"/>
      <c r="G1155" s="100"/>
      <c r="H1155" s="100"/>
      <c r="I1155" s="100"/>
      <c r="J1155" s="100"/>
      <c r="K1155" s="100"/>
      <c r="L1155" s="100"/>
      <c r="M1155" s="100"/>
      <c r="N1155" s="100"/>
      <c r="O1155" s="100"/>
      <c r="P1155" s="100"/>
      <c r="Q1155" s="100"/>
      <c r="R1155" s="100"/>
      <c r="S1155" s="100"/>
      <c r="T1155" s="100"/>
      <c r="U1155" s="100"/>
      <c r="V1155" s="100"/>
      <c r="W1155" s="100"/>
      <c r="X1155" s="100"/>
      <c r="Y1155" s="100"/>
      <c r="Z1155" s="100"/>
    </row>
    <row r="1156" spans="1:26">
      <c r="A1156" s="100"/>
      <c r="B1156" s="100"/>
      <c r="C1156" s="100"/>
      <c r="D1156" s="100"/>
      <c r="E1156" s="100"/>
      <c r="F1156" s="100"/>
      <c r="G1156" s="100"/>
      <c r="H1156" s="100"/>
      <c r="I1156" s="100"/>
      <c r="J1156" s="100"/>
      <c r="K1156" s="100"/>
      <c r="L1156" s="100"/>
      <c r="M1156" s="100"/>
      <c r="N1156" s="100"/>
      <c r="O1156" s="100"/>
      <c r="P1156" s="100"/>
      <c r="Q1156" s="100"/>
      <c r="R1156" s="100"/>
      <c r="S1156" s="100"/>
      <c r="T1156" s="100"/>
      <c r="U1156" s="100"/>
      <c r="V1156" s="100"/>
      <c r="W1156" s="100"/>
      <c r="X1156" s="100"/>
      <c r="Y1156" s="100"/>
      <c r="Z1156" s="100"/>
    </row>
    <row r="1157" spans="1:26">
      <c r="A1157" s="100"/>
      <c r="B1157" s="100"/>
      <c r="C1157" s="100"/>
      <c r="D1157" s="100"/>
      <c r="E1157" s="100"/>
      <c r="F1157" s="100"/>
      <c r="G1157" s="100"/>
      <c r="H1157" s="100"/>
      <c r="I1157" s="100"/>
      <c r="J1157" s="100"/>
      <c r="K1157" s="100"/>
      <c r="L1157" s="100"/>
      <c r="M1157" s="100"/>
      <c r="N1157" s="100"/>
      <c r="O1157" s="100"/>
      <c r="P1157" s="100"/>
      <c r="Q1157" s="100"/>
      <c r="R1157" s="100"/>
      <c r="S1157" s="100"/>
      <c r="T1157" s="100"/>
      <c r="U1157" s="100"/>
      <c r="V1157" s="100"/>
      <c r="W1157" s="100"/>
      <c r="X1157" s="100"/>
      <c r="Y1157" s="100"/>
      <c r="Z1157" s="100"/>
    </row>
    <row r="1158" spans="1:26">
      <c r="A1158" s="100"/>
      <c r="B1158" s="100"/>
      <c r="C1158" s="100"/>
      <c r="D1158" s="100"/>
      <c r="E1158" s="100"/>
      <c r="F1158" s="100"/>
      <c r="G1158" s="100"/>
      <c r="H1158" s="100"/>
      <c r="I1158" s="100"/>
      <c r="J1158" s="100"/>
      <c r="K1158" s="100"/>
      <c r="L1158" s="100"/>
      <c r="M1158" s="100"/>
      <c r="N1158" s="100"/>
      <c r="O1158" s="100"/>
      <c r="P1158" s="100"/>
      <c r="Q1158" s="100"/>
      <c r="R1158" s="100"/>
      <c r="S1158" s="100"/>
      <c r="T1158" s="100"/>
      <c r="U1158" s="100"/>
      <c r="V1158" s="100"/>
      <c r="W1158" s="100"/>
      <c r="X1158" s="100"/>
      <c r="Y1158" s="100"/>
      <c r="Z1158" s="100"/>
    </row>
    <row r="1159" spans="1:26">
      <c r="A1159" s="100"/>
      <c r="B1159" s="100"/>
      <c r="C1159" s="100"/>
      <c r="D1159" s="100"/>
      <c r="E1159" s="100"/>
      <c r="F1159" s="100"/>
      <c r="G1159" s="100"/>
      <c r="H1159" s="100"/>
      <c r="I1159" s="100"/>
      <c r="J1159" s="100"/>
      <c r="K1159" s="100"/>
      <c r="L1159" s="100"/>
      <c r="M1159" s="100"/>
      <c r="N1159" s="100"/>
      <c r="O1159" s="100"/>
      <c r="P1159" s="100"/>
      <c r="Q1159" s="100"/>
      <c r="R1159" s="100"/>
      <c r="S1159" s="100"/>
      <c r="T1159" s="100"/>
      <c r="U1159" s="100"/>
      <c r="V1159" s="100"/>
      <c r="W1159" s="100"/>
      <c r="X1159" s="100"/>
      <c r="Y1159" s="100"/>
      <c r="Z1159" s="100"/>
    </row>
    <row r="1160" spans="1:26">
      <c r="A1160" s="100"/>
      <c r="B1160" s="100"/>
      <c r="C1160" s="100"/>
      <c r="D1160" s="100"/>
      <c r="E1160" s="100"/>
      <c r="F1160" s="100"/>
      <c r="G1160" s="100"/>
      <c r="H1160" s="100"/>
      <c r="I1160" s="100"/>
      <c r="J1160" s="100"/>
      <c r="K1160" s="100"/>
      <c r="L1160" s="100"/>
      <c r="M1160" s="100"/>
      <c r="N1160" s="100"/>
      <c r="O1160" s="100"/>
      <c r="P1160" s="100"/>
      <c r="Q1160" s="100"/>
      <c r="R1160" s="100"/>
      <c r="S1160" s="100"/>
      <c r="T1160" s="100"/>
      <c r="U1160" s="100"/>
      <c r="V1160" s="100"/>
      <c r="W1160" s="100"/>
      <c r="X1160" s="100"/>
      <c r="Y1160" s="100"/>
      <c r="Z1160" s="100"/>
    </row>
    <row r="1161" spans="1:26">
      <c r="A1161" s="100"/>
      <c r="B1161" s="100"/>
      <c r="C1161" s="100"/>
      <c r="D1161" s="100"/>
      <c r="E1161" s="100"/>
      <c r="F1161" s="100"/>
      <c r="G1161" s="100"/>
      <c r="H1161" s="100"/>
      <c r="I1161" s="100"/>
      <c r="J1161" s="100"/>
      <c r="K1161" s="100"/>
      <c r="L1161" s="100"/>
      <c r="M1161" s="100"/>
      <c r="N1161" s="100"/>
      <c r="O1161" s="100"/>
      <c r="P1161" s="100"/>
      <c r="Q1161" s="100"/>
      <c r="R1161" s="100"/>
      <c r="S1161" s="100"/>
      <c r="T1161" s="100"/>
      <c r="U1161" s="100"/>
      <c r="V1161" s="100"/>
      <c r="W1161" s="100"/>
      <c r="X1161" s="100"/>
      <c r="Y1161" s="100"/>
      <c r="Z1161" s="100"/>
    </row>
    <row r="1162" spans="1:26">
      <c r="A1162" s="100"/>
      <c r="B1162" s="100"/>
      <c r="C1162" s="100"/>
      <c r="D1162" s="100"/>
      <c r="E1162" s="100"/>
      <c r="F1162" s="100"/>
      <c r="G1162" s="100"/>
      <c r="H1162" s="100"/>
      <c r="I1162" s="100"/>
      <c r="J1162" s="100"/>
      <c r="K1162" s="100"/>
      <c r="L1162" s="100"/>
      <c r="M1162" s="100"/>
      <c r="N1162" s="100"/>
      <c r="O1162" s="100"/>
      <c r="P1162" s="100"/>
      <c r="Q1162" s="100"/>
      <c r="R1162" s="100"/>
      <c r="S1162" s="100"/>
      <c r="T1162" s="100"/>
      <c r="U1162" s="100"/>
      <c r="V1162" s="100"/>
      <c r="W1162" s="100"/>
      <c r="X1162" s="100"/>
      <c r="Y1162" s="100"/>
      <c r="Z1162" s="100"/>
    </row>
    <row r="1163" spans="1:26">
      <c r="A1163" s="100"/>
      <c r="B1163" s="100"/>
      <c r="C1163" s="100"/>
      <c r="D1163" s="100"/>
      <c r="E1163" s="100"/>
      <c r="F1163" s="100"/>
      <c r="G1163" s="100"/>
      <c r="H1163" s="100"/>
      <c r="I1163" s="100"/>
      <c r="J1163" s="100"/>
      <c r="K1163" s="100"/>
      <c r="L1163" s="100"/>
      <c r="M1163" s="100"/>
      <c r="N1163" s="100"/>
      <c r="O1163" s="100"/>
      <c r="P1163" s="100"/>
      <c r="Q1163" s="100"/>
      <c r="R1163" s="100"/>
      <c r="S1163" s="100"/>
      <c r="T1163" s="100"/>
      <c r="U1163" s="100"/>
      <c r="V1163" s="100"/>
      <c r="W1163" s="100"/>
      <c r="X1163" s="100"/>
      <c r="Y1163" s="100"/>
      <c r="Z1163" s="100"/>
    </row>
    <row r="1164" spans="1:26">
      <c r="A1164" s="100"/>
      <c r="B1164" s="100"/>
      <c r="C1164" s="1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  <c r="O1164" s="100"/>
      <c r="P1164" s="100"/>
      <c r="Q1164" s="100"/>
      <c r="R1164" s="100"/>
      <c r="S1164" s="100"/>
      <c r="T1164" s="100"/>
      <c r="U1164" s="100"/>
      <c r="V1164" s="100"/>
      <c r="W1164" s="100"/>
      <c r="X1164" s="100"/>
      <c r="Y1164" s="100"/>
      <c r="Z1164" s="100"/>
    </row>
    <row r="1165" spans="1:26">
      <c r="A1165" s="100"/>
      <c r="B1165" s="100"/>
      <c r="C1165" s="1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100"/>
      <c r="P1165" s="100"/>
      <c r="Q1165" s="100"/>
      <c r="R1165" s="100"/>
      <c r="S1165" s="100"/>
      <c r="T1165" s="100"/>
      <c r="U1165" s="100"/>
      <c r="V1165" s="100"/>
      <c r="W1165" s="100"/>
      <c r="X1165" s="100"/>
      <c r="Y1165" s="100"/>
      <c r="Z1165" s="100"/>
    </row>
    <row r="1166" spans="1:26">
      <c r="A1166" s="100"/>
      <c r="B1166" s="100"/>
      <c r="C1166" s="100"/>
      <c r="D1166" s="100"/>
      <c r="E1166" s="100"/>
      <c r="F1166" s="100"/>
      <c r="G1166" s="100"/>
      <c r="H1166" s="100"/>
      <c r="I1166" s="100"/>
      <c r="J1166" s="100"/>
      <c r="K1166" s="100"/>
      <c r="L1166" s="100"/>
      <c r="M1166" s="100"/>
      <c r="N1166" s="100"/>
      <c r="O1166" s="100"/>
      <c r="P1166" s="100"/>
      <c r="Q1166" s="100"/>
      <c r="R1166" s="100"/>
      <c r="S1166" s="100"/>
      <c r="T1166" s="100"/>
      <c r="U1166" s="100"/>
      <c r="V1166" s="100"/>
      <c r="W1166" s="100"/>
      <c r="X1166" s="100"/>
      <c r="Y1166" s="100"/>
      <c r="Z1166" s="100"/>
    </row>
    <row r="1167" spans="1:26">
      <c r="A1167" s="100"/>
      <c r="B1167" s="100"/>
      <c r="C1167" s="100"/>
      <c r="D1167" s="100"/>
      <c r="E1167" s="100"/>
      <c r="F1167" s="100"/>
      <c r="G1167" s="100"/>
      <c r="H1167" s="100"/>
      <c r="I1167" s="100"/>
      <c r="J1167" s="100"/>
      <c r="K1167" s="100"/>
      <c r="L1167" s="100"/>
      <c r="M1167" s="100"/>
      <c r="N1167" s="100"/>
      <c r="O1167" s="100"/>
      <c r="P1167" s="100"/>
      <c r="Q1167" s="100"/>
      <c r="R1167" s="100"/>
      <c r="S1167" s="100"/>
      <c r="T1167" s="100"/>
      <c r="U1167" s="100"/>
      <c r="V1167" s="100"/>
      <c r="W1167" s="100"/>
      <c r="X1167" s="100"/>
      <c r="Y1167" s="100"/>
      <c r="Z1167" s="100"/>
    </row>
    <row r="1168" spans="1:26">
      <c r="A1168" s="100"/>
      <c r="B1168" s="100"/>
      <c r="C1168" s="100"/>
      <c r="D1168" s="100"/>
      <c r="E1168" s="100"/>
      <c r="F1168" s="100"/>
      <c r="G1168" s="100"/>
      <c r="H1168" s="100"/>
      <c r="I1168" s="100"/>
      <c r="J1168" s="100"/>
      <c r="K1168" s="100"/>
      <c r="L1168" s="100"/>
      <c r="M1168" s="100"/>
      <c r="N1168" s="100"/>
      <c r="O1168" s="100"/>
      <c r="P1168" s="100"/>
      <c r="Q1168" s="100"/>
      <c r="R1168" s="100"/>
      <c r="S1168" s="100"/>
      <c r="T1168" s="100"/>
      <c r="U1168" s="100"/>
      <c r="V1168" s="100"/>
      <c r="W1168" s="100"/>
      <c r="X1168" s="100"/>
      <c r="Y1168" s="100"/>
      <c r="Z1168" s="100"/>
    </row>
    <row r="1169" spans="1:26">
      <c r="A1169" s="100"/>
      <c r="B1169" s="100"/>
      <c r="C1169" s="100"/>
      <c r="D1169" s="100"/>
      <c r="E1169" s="100"/>
      <c r="F1169" s="100"/>
      <c r="G1169" s="100"/>
      <c r="H1169" s="100"/>
      <c r="I1169" s="100"/>
      <c r="J1169" s="100"/>
      <c r="K1169" s="100"/>
      <c r="L1169" s="100"/>
      <c r="M1169" s="100"/>
      <c r="N1169" s="100"/>
      <c r="O1169" s="100"/>
      <c r="P1169" s="100"/>
      <c r="Q1169" s="100"/>
      <c r="R1169" s="100"/>
      <c r="S1169" s="100"/>
      <c r="T1169" s="100"/>
      <c r="U1169" s="100"/>
      <c r="V1169" s="100"/>
      <c r="W1169" s="100"/>
      <c r="X1169" s="100"/>
      <c r="Y1169" s="100"/>
      <c r="Z1169" s="100"/>
    </row>
    <row r="1170" spans="1:26">
      <c r="A1170" s="100"/>
      <c r="B1170" s="100"/>
      <c r="C1170" s="100"/>
      <c r="D1170" s="100"/>
      <c r="E1170" s="100"/>
      <c r="F1170" s="100"/>
      <c r="G1170" s="100"/>
      <c r="H1170" s="100"/>
      <c r="I1170" s="100"/>
      <c r="J1170" s="100"/>
      <c r="K1170" s="100"/>
      <c r="L1170" s="100"/>
      <c r="M1170" s="100"/>
      <c r="N1170" s="100"/>
      <c r="O1170" s="100"/>
      <c r="P1170" s="100"/>
      <c r="Q1170" s="100"/>
      <c r="R1170" s="100"/>
      <c r="S1170" s="100"/>
      <c r="T1170" s="100"/>
      <c r="U1170" s="100"/>
      <c r="V1170" s="100"/>
      <c r="W1170" s="100"/>
      <c r="X1170" s="100"/>
      <c r="Y1170" s="100"/>
      <c r="Z1170" s="100"/>
    </row>
    <row r="1171" spans="1:26">
      <c r="A1171" s="100"/>
      <c r="B1171" s="100"/>
      <c r="C1171" s="100"/>
      <c r="D1171" s="100"/>
      <c r="E1171" s="100"/>
      <c r="F1171" s="100"/>
      <c r="G1171" s="100"/>
      <c r="H1171" s="100"/>
      <c r="I1171" s="100"/>
      <c r="J1171" s="100"/>
      <c r="K1171" s="100"/>
      <c r="L1171" s="100"/>
      <c r="M1171" s="100"/>
      <c r="N1171" s="100"/>
      <c r="O1171" s="100"/>
      <c r="P1171" s="100"/>
      <c r="Q1171" s="100"/>
      <c r="R1171" s="100"/>
      <c r="S1171" s="100"/>
      <c r="T1171" s="100"/>
      <c r="U1171" s="100"/>
      <c r="V1171" s="100"/>
      <c r="W1171" s="100"/>
      <c r="X1171" s="100"/>
      <c r="Y1171" s="100"/>
      <c r="Z1171" s="100"/>
    </row>
    <row r="1172" spans="1:26">
      <c r="A1172" s="100"/>
      <c r="B1172" s="100"/>
      <c r="C1172" s="100"/>
      <c r="D1172" s="100"/>
      <c r="E1172" s="100"/>
      <c r="F1172" s="100"/>
      <c r="G1172" s="100"/>
      <c r="H1172" s="100"/>
      <c r="I1172" s="100"/>
      <c r="J1172" s="100"/>
      <c r="K1172" s="100"/>
      <c r="L1172" s="100"/>
      <c r="M1172" s="100"/>
      <c r="N1172" s="100"/>
      <c r="O1172" s="100"/>
      <c r="P1172" s="100"/>
      <c r="Q1172" s="100"/>
      <c r="R1172" s="100"/>
      <c r="S1172" s="100"/>
      <c r="T1172" s="100"/>
      <c r="U1172" s="100"/>
      <c r="V1172" s="100"/>
      <c r="W1172" s="100"/>
      <c r="X1172" s="100"/>
      <c r="Y1172" s="100"/>
      <c r="Z1172" s="100"/>
    </row>
    <row r="1173" spans="1:26">
      <c r="A1173" s="100"/>
      <c r="B1173" s="100"/>
      <c r="C1173" s="100"/>
      <c r="D1173" s="100"/>
      <c r="E1173" s="100"/>
      <c r="F1173" s="100"/>
      <c r="G1173" s="100"/>
      <c r="H1173" s="100"/>
      <c r="I1173" s="100"/>
      <c r="J1173" s="100"/>
      <c r="K1173" s="100"/>
      <c r="L1173" s="100"/>
      <c r="M1173" s="100"/>
      <c r="N1173" s="100"/>
      <c r="O1173" s="100"/>
      <c r="P1173" s="100"/>
      <c r="Q1173" s="100"/>
      <c r="R1173" s="100"/>
      <c r="S1173" s="100"/>
      <c r="T1173" s="100"/>
      <c r="U1173" s="100"/>
      <c r="V1173" s="100"/>
      <c r="W1173" s="100"/>
      <c r="X1173" s="100"/>
      <c r="Y1173" s="100"/>
      <c r="Z1173" s="100"/>
    </row>
    <row r="1174" spans="1:26">
      <c r="A1174" s="100"/>
      <c r="B1174" s="100"/>
      <c r="C1174" s="100"/>
      <c r="D1174" s="100"/>
      <c r="E1174" s="100"/>
      <c r="F1174" s="100"/>
      <c r="G1174" s="100"/>
      <c r="H1174" s="100"/>
      <c r="I1174" s="100"/>
      <c r="J1174" s="100"/>
      <c r="K1174" s="100"/>
      <c r="L1174" s="100"/>
      <c r="M1174" s="100"/>
      <c r="N1174" s="100"/>
      <c r="O1174" s="100"/>
      <c r="P1174" s="100"/>
      <c r="Q1174" s="100"/>
      <c r="R1174" s="100"/>
      <c r="S1174" s="100"/>
      <c r="T1174" s="100"/>
      <c r="U1174" s="100"/>
      <c r="V1174" s="100"/>
      <c r="W1174" s="100"/>
      <c r="X1174" s="100"/>
      <c r="Y1174" s="100"/>
      <c r="Z1174" s="100"/>
    </row>
    <row r="1175" spans="1:26">
      <c r="A1175" s="100"/>
      <c r="B1175" s="100"/>
      <c r="C1175" s="100"/>
      <c r="D1175" s="100"/>
      <c r="E1175" s="100"/>
      <c r="F1175" s="100"/>
      <c r="G1175" s="100"/>
      <c r="H1175" s="100"/>
      <c r="I1175" s="100"/>
      <c r="J1175" s="100"/>
      <c r="K1175" s="100"/>
      <c r="L1175" s="100"/>
      <c r="M1175" s="100"/>
      <c r="N1175" s="100"/>
      <c r="O1175" s="100"/>
      <c r="P1175" s="100"/>
      <c r="Q1175" s="100"/>
      <c r="R1175" s="100"/>
      <c r="S1175" s="100"/>
      <c r="T1175" s="100"/>
      <c r="U1175" s="100"/>
      <c r="V1175" s="100"/>
      <c r="W1175" s="100"/>
      <c r="X1175" s="100"/>
      <c r="Y1175" s="100"/>
      <c r="Z1175" s="100"/>
    </row>
    <row r="1176" spans="1:26">
      <c r="A1176" s="100"/>
      <c r="B1176" s="100"/>
      <c r="C1176" s="100"/>
      <c r="D1176" s="100"/>
      <c r="E1176" s="100"/>
      <c r="F1176" s="100"/>
      <c r="G1176" s="100"/>
      <c r="H1176" s="100"/>
      <c r="I1176" s="100"/>
      <c r="J1176" s="100"/>
      <c r="K1176" s="100"/>
      <c r="L1176" s="100"/>
      <c r="M1176" s="100"/>
      <c r="N1176" s="100"/>
      <c r="O1176" s="100"/>
      <c r="P1176" s="100"/>
      <c r="Q1176" s="100"/>
      <c r="R1176" s="100"/>
      <c r="S1176" s="100"/>
      <c r="T1176" s="100"/>
      <c r="U1176" s="100"/>
      <c r="V1176" s="100"/>
      <c r="W1176" s="100"/>
      <c r="X1176" s="100"/>
      <c r="Y1176" s="100"/>
      <c r="Z1176" s="100"/>
    </row>
    <row r="1177" spans="1:26">
      <c r="A1177" s="100"/>
      <c r="B1177" s="100"/>
      <c r="C1177" s="100"/>
      <c r="D1177" s="100"/>
      <c r="E1177" s="100"/>
      <c r="F1177" s="100"/>
      <c r="G1177" s="100"/>
      <c r="H1177" s="100"/>
      <c r="I1177" s="100"/>
      <c r="J1177" s="100"/>
      <c r="K1177" s="100"/>
      <c r="L1177" s="100"/>
      <c r="M1177" s="100"/>
      <c r="N1177" s="100"/>
      <c r="O1177" s="100"/>
      <c r="P1177" s="100"/>
      <c r="Q1177" s="100"/>
      <c r="R1177" s="100"/>
      <c r="S1177" s="100"/>
      <c r="T1177" s="100"/>
      <c r="U1177" s="100"/>
      <c r="V1177" s="100"/>
      <c r="W1177" s="100"/>
      <c r="X1177" s="100"/>
      <c r="Y1177" s="100"/>
      <c r="Z1177" s="100"/>
    </row>
    <row r="1178" spans="1:26">
      <c r="A1178" s="100"/>
      <c r="B1178" s="100"/>
      <c r="C1178" s="100"/>
      <c r="D1178" s="100"/>
      <c r="E1178" s="100"/>
      <c r="F1178" s="100"/>
      <c r="G1178" s="100"/>
      <c r="H1178" s="100"/>
      <c r="I1178" s="100"/>
      <c r="J1178" s="100"/>
      <c r="K1178" s="100"/>
      <c r="L1178" s="100"/>
      <c r="M1178" s="100"/>
      <c r="N1178" s="100"/>
      <c r="O1178" s="100"/>
      <c r="P1178" s="100"/>
      <c r="Q1178" s="100"/>
      <c r="R1178" s="100"/>
      <c r="S1178" s="100"/>
      <c r="T1178" s="100"/>
      <c r="U1178" s="100"/>
      <c r="V1178" s="100"/>
      <c r="W1178" s="100"/>
      <c r="X1178" s="100"/>
      <c r="Y1178" s="100"/>
      <c r="Z1178" s="100"/>
    </row>
    <row r="1179" spans="1:26">
      <c r="A1179" s="100"/>
      <c r="B1179" s="100"/>
      <c r="C1179" s="1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  <c r="O1179" s="100"/>
      <c r="P1179" s="100"/>
      <c r="Q1179" s="100"/>
      <c r="R1179" s="100"/>
      <c r="S1179" s="100"/>
      <c r="T1179" s="100"/>
      <c r="U1179" s="100"/>
      <c r="V1179" s="100"/>
      <c r="W1179" s="100"/>
      <c r="X1179" s="100"/>
      <c r="Y1179" s="100"/>
      <c r="Z1179" s="100"/>
    </row>
    <row r="1180" spans="1:26">
      <c r="A1180" s="100"/>
      <c r="B1180" s="100"/>
      <c r="C1180" s="100"/>
      <c r="D1180" s="100"/>
      <c r="E1180" s="100"/>
      <c r="F1180" s="100"/>
      <c r="G1180" s="100"/>
      <c r="H1180" s="100"/>
      <c r="I1180" s="100"/>
      <c r="J1180" s="100"/>
      <c r="K1180" s="100"/>
      <c r="L1180" s="100"/>
      <c r="M1180" s="100"/>
      <c r="N1180" s="100"/>
      <c r="O1180" s="100"/>
      <c r="P1180" s="100"/>
      <c r="Q1180" s="100"/>
      <c r="R1180" s="100"/>
      <c r="S1180" s="100"/>
      <c r="T1180" s="100"/>
      <c r="U1180" s="100"/>
      <c r="V1180" s="100"/>
      <c r="W1180" s="100"/>
      <c r="X1180" s="100"/>
      <c r="Y1180" s="100"/>
      <c r="Z1180" s="100"/>
    </row>
    <row r="1181" spans="1:26">
      <c r="A1181" s="100"/>
      <c r="B1181" s="100"/>
      <c r="C1181" s="100"/>
      <c r="D1181" s="100"/>
      <c r="E1181" s="100"/>
      <c r="F1181" s="100"/>
      <c r="G1181" s="100"/>
      <c r="H1181" s="100"/>
      <c r="I1181" s="100"/>
      <c r="J1181" s="100"/>
      <c r="K1181" s="100"/>
      <c r="L1181" s="100"/>
      <c r="M1181" s="100"/>
      <c r="N1181" s="100"/>
      <c r="O1181" s="100"/>
      <c r="P1181" s="100"/>
      <c r="Q1181" s="100"/>
      <c r="R1181" s="100"/>
      <c r="S1181" s="100"/>
      <c r="T1181" s="100"/>
      <c r="U1181" s="100"/>
      <c r="V1181" s="100"/>
      <c r="W1181" s="100"/>
      <c r="X1181" s="100"/>
      <c r="Y1181" s="100"/>
      <c r="Z1181" s="100"/>
    </row>
    <row r="1182" spans="1:26">
      <c r="A1182" s="100"/>
      <c r="B1182" s="100"/>
      <c r="C1182" s="100"/>
      <c r="D1182" s="100"/>
      <c r="E1182" s="100"/>
      <c r="F1182" s="100"/>
      <c r="G1182" s="100"/>
      <c r="H1182" s="100"/>
      <c r="I1182" s="100"/>
      <c r="J1182" s="100"/>
      <c r="K1182" s="100"/>
      <c r="L1182" s="100"/>
      <c r="M1182" s="100"/>
      <c r="N1182" s="100"/>
      <c r="O1182" s="100"/>
      <c r="P1182" s="100"/>
      <c r="Q1182" s="100"/>
      <c r="R1182" s="100"/>
      <c r="S1182" s="100"/>
      <c r="T1182" s="100"/>
      <c r="U1182" s="100"/>
      <c r="V1182" s="100"/>
      <c r="W1182" s="100"/>
      <c r="X1182" s="100"/>
      <c r="Y1182" s="100"/>
      <c r="Z1182" s="100"/>
    </row>
    <row r="1183" spans="1:26">
      <c r="A1183" s="100"/>
      <c r="B1183" s="100"/>
      <c r="C1183" s="100"/>
      <c r="D1183" s="100"/>
      <c r="E1183" s="100"/>
      <c r="F1183" s="100"/>
      <c r="G1183" s="100"/>
      <c r="H1183" s="100"/>
      <c r="I1183" s="100"/>
      <c r="J1183" s="100"/>
      <c r="K1183" s="100"/>
      <c r="L1183" s="100"/>
      <c r="M1183" s="100"/>
      <c r="N1183" s="100"/>
      <c r="O1183" s="100"/>
      <c r="P1183" s="100"/>
      <c r="Q1183" s="100"/>
      <c r="R1183" s="100"/>
      <c r="S1183" s="100"/>
      <c r="T1183" s="100"/>
      <c r="U1183" s="100"/>
      <c r="V1183" s="100"/>
      <c r="W1183" s="100"/>
      <c r="X1183" s="100"/>
      <c r="Y1183" s="100"/>
      <c r="Z1183" s="100"/>
    </row>
    <row r="1184" spans="1:26">
      <c r="A1184" s="100"/>
      <c r="B1184" s="100"/>
      <c r="C1184" s="100"/>
      <c r="D1184" s="100"/>
      <c r="E1184" s="100"/>
      <c r="F1184" s="100"/>
      <c r="G1184" s="100"/>
      <c r="H1184" s="100"/>
      <c r="I1184" s="100"/>
      <c r="J1184" s="100"/>
      <c r="K1184" s="100"/>
      <c r="L1184" s="100"/>
      <c r="M1184" s="100"/>
      <c r="N1184" s="100"/>
      <c r="O1184" s="100"/>
      <c r="P1184" s="100"/>
      <c r="Q1184" s="100"/>
      <c r="R1184" s="100"/>
      <c r="S1184" s="100"/>
      <c r="T1184" s="100"/>
      <c r="U1184" s="100"/>
      <c r="V1184" s="100"/>
      <c r="W1184" s="100"/>
      <c r="X1184" s="100"/>
      <c r="Y1184" s="100"/>
      <c r="Z1184" s="100"/>
    </row>
    <row r="1185" spans="1:26">
      <c r="A1185" s="100"/>
      <c r="B1185" s="100"/>
      <c r="C1185" s="100"/>
      <c r="D1185" s="100"/>
      <c r="E1185" s="100"/>
      <c r="F1185" s="100"/>
      <c r="G1185" s="100"/>
      <c r="H1185" s="100"/>
      <c r="I1185" s="100"/>
      <c r="J1185" s="100"/>
      <c r="K1185" s="100"/>
      <c r="L1185" s="100"/>
      <c r="M1185" s="100"/>
      <c r="N1185" s="100"/>
      <c r="O1185" s="100"/>
      <c r="P1185" s="100"/>
      <c r="Q1185" s="100"/>
      <c r="R1185" s="100"/>
      <c r="S1185" s="100"/>
      <c r="T1185" s="100"/>
      <c r="U1185" s="100"/>
      <c r="V1185" s="100"/>
      <c r="W1185" s="100"/>
      <c r="X1185" s="100"/>
      <c r="Y1185" s="100"/>
      <c r="Z1185" s="100"/>
    </row>
    <row r="1186" spans="1:26">
      <c r="A1186" s="100"/>
      <c r="B1186" s="100"/>
      <c r="C1186" s="100"/>
      <c r="D1186" s="100"/>
      <c r="E1186" s="100"/>
      <c r="F1186" s="100"/>
      <c r="G1186" s="100"/>
      <c r="H1186" s="100"/>
      <c r="I1186" s="100"/>
      <c r="J1186" s="100"/>
      <c r="K1186" s="100"/>
      <c r="L1186" s="100"/>
      <c r="M1186" s="100"/>
      <c r="N1186" s="100"/>
      <c r="O1186" s="100"/>
      <c r="P1186" s="100"/>
      <c r="Q1186" s="100"/>
      <c r="R1186" s="100"/>
      <c r="S1186" s="100"/>
      <c r="T1186" s="100"/>
      <c r="U1186" s="100"/>
      <c r="V1186" s="100"/>
      <c r="W1186" s="100"/>
      <c r="X1186" s="100"/>
      <c r="Y1186" s="100"/>
      <c r="Z1186" s="100"/>
    </row>
    <row r="1187" spans="1:26">
      <c r="A1187" s="100"/>
      <c r="B1187" s="100"/>
      <c r="C1187" s="100"/>
      <c r="D1187" s="100"/>
      <c r="E1187" s="100"/>
      <c r="F1187" s="100"/>
      <c r="G1187" s="100"/>
      <c r="H1187" s="100"/>
      <c r="I1187" s="100"/>
      <c r="J1187" s="100"/>
      <c r="K1187" s="100"/>
      <c r="L1187" s="100"/>
      <c r="M1187" s="100"/>
      <c r="N1187" s="100"/>
      <c r="O1187" s="100"/>
      <c r="P1187" s="100"/>
      <c r="Q1187" s="100"/>
      <c r="R1187" s="100"/>
      <c r="S1187" s="100"/>
      <c r="T1187" s="100"/>
      <c r="U1187" s="100"/>
      <c r="V1187" s="100"/>
      <c r="W1187" s="100"/>
      <c r="X1187" s="100"/>
      <c r="Y1187" s="100"/>
      <c r="Z1187" s="100"/>
    </row>
    <row r="1188" spans="1:26">
      <c r="A1188" s="100"/>
      <c r="B1188" s="100"/>
      <c r="C1188" s="100"/>
      <c r="D1188" s="100"/>
      <c r="E1188" s="100"/>
      <c r="F1188" s="100"/>
      <c r="G1188" s="100"/>
      <c r="H1188" s="100"/>
      <c r="I1188" s="100"/>
      <c r="J1188" s="100"/>
      <c r="K1188" s="100"/>
      <c r="L1188" s="100"/>
      <c r="M1188" s="100"/>
      <c r="N1188" s="100"/>
      <c r="O1188" s="100"/>
      <c r="P1188" s="100"/>
      <c r="Q1188" s="100"/>
      <c r="R1188" s="100"/>
      <c r="S1188" s="100"/>
      <c r="T1188" s="100"/>
      <c r="U1188" s="100"/>
      <c r="V1188" s="100"/>
      <c r="W1188" s="100"/>
      <c r="X1188" s="100"/>
      <c r="Y1188" s="100"/>
      <c r="Z1188" s="100"/>
    </row>
    <row r="1189" spans="1:26">
      <c r="A1189" s="100"/>
      <c r="B1189" s="100"/>
      <c r="C1189" s="100"/>
      <c r="D1189" s="100"/>
      <c r="E1189" s="100"/>
      <c r="F1189" s="100"/>
      <c r="G1189" s="100"/>
      <c r="H1189" s="100"/>
      <c r="I1189" s="100"/>
      <c r="J1189" s="100"/>
      <c r="K1189" s="100"/>
      <c r="L1189" s="100"/>
      <c r="M1189" s="100"/>
      <c r="N1189" s="100"/>
      <c r="O1189" s="100"/>
      <c r="P1189" s="100"/>
      <c r="Q1189" s="100"/>
      <c r="R1189" s="100"/>
      <c r="S1189" s="100"/>
      <c r="T1189" s="100"/>
      <c r="U1189" s="100"/>
      <c r="V1189" s="100"/>
      <c r="W1189" s="100"/>
      <c r="X1189" s="100"/>
      <c r="Y1189" s="100"/>
      <c r="Z1189" s="100"/>
    </row>
    <row r="1190" spans="1:26">
      <c r="A1190" s="100"/>
      <c r="B1190" s="100"/>
      <c r="C1190" s="100"/>
      <c r="D1190" s="100"/>
      <c r="E1190" s="100"/>
      <c r="F1190" s="100"/>
      <c r="G1190" s="100"/>
      <c r="H1190" s="100"/>
      <c r="I1190" s="100"/>
      <c r="J1190" s="100"/>
      <c r="K1190" s="100"/>
      <c r="L1190" s="100"/>
      <c r="M1190" s="100"/>
      <c r="N1190" s="100"/>
      <c r="O1190" s="100"/>
      <c r="P1190" s="100"/>
      <c r="Q1190" s="100"/>
      <c r="R1190" s="100"/>
      <c r="S1190" s="100"/>
      <c r="T1190" s="100"/>
      <c r="U1190" s="100"/>
      <c r="V1190" s="100"/>
      <c r="W1190" s="100"/>
      <c r="X1190" s="100"/>
      <c r="Y1190" s="100"/>
      <c r="Z1190" s="100"/>
    </row>
    <row r="1191" spans="1:26">
      <c r="A1191" s="100"/>
      <c r="B1191" s="100"/>
      <c r="C1191" s="100"/>
      <c r="D1191" s="100"/>
      <c r="E1191" s="100"/>
      <c r="F1191" s="100"/>
      <c r="G1191" s="100"/>
      <c r="H1191" s="100"/>
      <c r="I1191" s="100"/>
      <c r="J1191" s="100"/>
      <c r="K1191" s="100"/>
      <c r="L1191" s="100"/>
      <c r="M1191" s="100"/>
      <c r="N1191" s="100"/>
      <c r="O1191" s="100"/>
      <c r="P1191" s="100"/>
      <c r="Q1191" s="100"/>
      <c r="R1191" s="100"/>
      <c r="S1191" s="100"/>
      <c r="T1191" s="100"/>
      <c r="U1191" s="100"/>
      <c r="V1191" s="100"/>
      <c r="W1191" s="100"/>
      <c r="X1191" s="100"/>
      <c r="Y1191" s="100"/>
      <c r="Z1191" s="100"/>
    </row>
    <row r="1192" spans="1:26">
      <c r="A1192" s="100"/>
      <c r="B1192" s="100"/>
      <c r="C1192" s="100"/>
      <c r="D1192" s="100"/>
      <c r="E1192" s="100"/>
      <c r="F1192" s="100"/>
      <c r="G1192" s="100"/>
      <c r="H1192" s="100"/>
      <c r="I1192" s="100"/>
      <c r="J1192" s="100"/>
      <c r="K1192" s="100"/>
      <c r="L1192" s="100"/>
      <c r="M1192" s="100"/>
      <c r="N1192" s="100"/>
      <c r="O1192" s="100"/>
      <c r="P1192" s="100"/>
      <c r="Q1192" s="100"/>
      <c r="R1192" s="100"/>
      <c r="S1192" s="100"/>
      <c r="T1192" s="100"/>
      <c r="U1192" s="100"/>
      <c r="V1192" s="100"/>
      <c r="W1192" s="100"/>
      <c r="X1192" s="100"/>
      <c r="Y1192" s="100"/>
      <c r="Z1192" s="100"/>
    </row>
    <row r="1193" spans="1:26">
      <c r="A1193" s="100"/>
      <c r="B1193" s="100"/>
      <c r="C1193" s="100"/>
      <c r="D1193" s="100"/>
      <c r="E1193" s="100"/>
      <c r="F1193" s="100"/>
      <c r="G1193" s="100"/>
      <c r="H1193" s="100"/>
      <c r="I1193" s="100"/>
      <c r="J1193" s="100"/>
      <c r="K1193" s="100"/>
      <c r="L1193" s="100"/>
      <c r="M1193" s="100"/>
      <c r="N1193" s="100"/>
      <c r="O1193" s="100"/>
      <c r="P1193" s="100"/>
      <c r="Q1193" s="100"/>
      <c r="R1193" s="100"/>
      <c r="S1193" s="100"/>
      <c r="T1193" s="100"/>
      <c r="U1193" s="100"/>
      <c r="V1193" s="100"/>
      <c r="W1193" s="100"/>
      <c r="X1193" s="100"/>
      <c r="Y1193" s="100"/>
      <c r="Z1193" s="100"/>
    </row>
    <row r="1194" spans="1:26">
      <c r="A1194" s="100"/>
      <c r="B1194" s="100"/>
      <c r="C1194" s="100"/>
      <c r="D1194" s="100"/>
      <c r="E1194" s="100"/>
      <c r="F1194" s="100"/>
      <c r="G1194" s="100"/>
      <c r="H1194" s="100"/>
      <c r="I1194" s="100"/>
      <c r="J1194" s="100"/>
      <c r="K1194" s="100"/>
      <c r="L1194" s="100"/>
      <c r="M1194" s="100"/>
      <c r="N1194" s="100"/>
      <c r="O1194" s="100"/>
      <c r="P1194" s="100"/>
      <c r="Q1194" s="100"/>
      <c r="R1194" s="100"/>
      <c r="S1194" s="100"/>
      <c r="T1194" s="100"/>
      <c r="U1194" s="100"/>
      <c r="V1194" s="100"/>
      <c r="W1194" s="100"/>
      <c r="X1194" s="100"/>
      <c r="Y1194" s="100"/>
      <c r="Z1194" s="100"/>
    </row>
    <row r="1195" spans="1:26">
      <c r="A1195" s="100"/>
      <c r="B1195" s="100"/>
      <c r="C1195" s="100"/>
      <c r="D1195" s="100"/>
      <c r="E1195" s="100"/>
      <c r="F1195" s="100"/>
      <c r="G1195" s="100"/>
      <c r="H1195" s="100"/>
      <c r="I1195" s="100"/>
      <c r="J1195" s="100"/>
      <c r="K1195" s="100"/>
      <c r="L1195" s="100"/>
      <c r="M1195" s="100"/>
      <c r="N1195" s="100"/>
      <c r="O1195" s="100"/>
      <c r="P1195" s="100"/>
      <c r="Q1195" s="100"/>
      <c r="R1195" s="100"/>
      <c r="S1195" s="100"/>
      <c r="T1195" s="100"/>
      <c r="U1195" s="100"/>
      <c r="V1195" s="100"/>
      <c r="W1195" s="100"/>
      <c r="X1195" s="100"/>
      <c r="Y1195" s="100"/>
      <c r="Z1195" s="100"/>
    </row>
    <row r="1196" spans="1:26">
      <c r="A1196" s="100"/>
      <c r="B1196" s="100"/>
      <c r="C1196" s="1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  <c r="O1196" s="100"/>
      <c r="P1196" s="100"/>
      <c r="Q1196" s="100"/>
      <c r="R1196" s="100"/>
      <c r="S1196" s="100"/>
      <c r="T1196" s="100"/>
      <c r="U1196" s="100"/>
      <c r="V1196" s="100"/>
      <c r="W1196" s="100"/>
      <c r="X1196" s="100"/>
      <c r="Y1196" s="100"/>
      <c r="Z1196" s="100"/>
    </row>
    <row r="1197" spans="1:26">
      <c r="A1197" s="100"/>
      <c r="B1197" s="100"/>
      <c r="C1197" s="1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  <c r="O1197" s="100"/>
      <c r="P1197" s="100"/>
      <c r="Q1197" s="100"/>
      <c r="R1197" s="100"/>
      <c r="S1197" s="100"/>
      <c r="T1197" s="100"/>
      <c r="U1197" s="100"/>
      <c r="V1197" s="100"/>
      <c r="W1197" s="100"/>
      <c r="X1197" s="100"/>
      <c r="Y1197" s="100"/>
      <c r="Z1197" s="100"/>
    </row>
    <row r="1198" spans="1:26">
      <c r="A1198" s="100"/>
      <c r="B1198" s="100"/>
      <c r="C1198" s="100"/>
      <c r="D1198" s="100"/>
      <c r="E1198" s="100"/>
      <c r="F1198" s="100"/>
      <c r="G1198" s="100"/>
      <c r="H1198" s="100"/>
      <c r="I1198" s="100"/>
      <c r="J1198" s="100"/>
      <c r="K1198" s="100"/>
      <c r="L1198" s="100"/>
      <c r="M1198" s="100"/>
      <c r="N1198" s="100"/>
      <c r="O1198" s="100"/>
      <c r="P1198" s="100"/>
      <c r="Q1198" s="100"/>
      <c r="R1198" s="100"/>
      <c r="S1198" s="100"/>
      <c r="T1198" s="100"/>
      <c r="U1198" s="100"/>
      <c r="V1198" s="100"/>
      <c r="W1198" s="100"/>
      <c r="X1198" s="100"/>
      <c r="Y1198" s="100"/>
      <c r="Z1198" s="100"/>
    </row>
    <row r="1199" spans="1:26">
      <c r="A1199" s="100"/>
      <c r="B1199" s="100"/>
      <c r="C1199" s="100"/>
      <c r="D1199" s="100"/>
      <c r="E1199" s="100"/>
      <c r="F1199" s="100"/>
      <c r="G1199" s="100"/>
      <c r="H1199" s="100"/>
      <c r="I1199" s="100"/>
      <c r="J1199" s="100"/>
      <c r="K1199" s="100"/>
      <c r="L1199" s="100"/>
      <c r="M1199" s="100"/>
      <c r="N1199" s="100"/>
      <c r="O1199" s="100"/>
      <c r="P1199" s="100"/>
      <c r="Q1199" s="100"/>
      <c r="R1199" s="100"/>
      <c r="S1199" s="100"/>
      <c r="T1199" s="100"/>
      <c r="U1199" s="100"/>
      <c r="V1199" s="100"/>
      <c r="W1199" s="100"/>
      <c r="X1199" s="100"/>
      <c r="Y1199" s="100"/>
      <c r="Z1199" s="100"/>
    </row>
    <row r="1200" spans="1:26">
      <c r="A1200" s="100"/>
      <c r="B1200" s="100"/>
      <c r="C1200" s="100"/>
      <c r="D1200" s="100"/>
      <c r="E1200" s="100"/>
      <c r="F1200" s="100"/>
      <c r="G1200" s="100"/>
      <c r="H1200" s="100"/>
      <c r="I1200" s="100"/>
      <c r="J1200" s="100"/>
      <c r="K1200" s="100"/>
      <c r="L1200" s="100"/>
      <c r="M1200" s="100"/>
      <c r="N1200" s="100"/>
      <c r="O1200" s="100"/>
      <c r="P1200" s="100"/>
      <c r="Q1200" s="100"/>
      <c r="R1200" s="100"/>
      <c r="S1200" s="100"/>
      <c r="T1200" s="100"/>
      <c r="U1200" s="100"/>
      <c r="V1200" s="100"/>
      <c r="W1200" s="100"/>
      <c r="X1200" s="100"/>
      <c r="Y1200" s="100"/>
      <c r="Z1200" s="100"/>
    </row>
    <row r="1201" spans="1:26">
      <c r="A1201" s="100"/>
      <c r="B1201" s="100"/>
      <c r="C1201" s="100"/>
      <c r="D1201" s="100"/>
      <c r="E1201" s="100"/>
      <c r="F1201" s="100"/>
      <c r="G1201" s="100"/>
      <c r="H1201" s="100"/>
      <c r="I1201" s="100"/>
      <c r="J1201" s="100"/>
      <c r="K1201" s="100"/>
      <c r="L1201" s="100"/>
      <c r="M1201" s="100"/>
      <c r="N1201" s="100"/>
      <c r="O1201" s="100"/>
      <c r="P1201" s="100"/>
      <c r="Q1201" s="100"/>
      <c r="R1201" s="100"/>
      <c r="S1201" s="100"/>
      <c r="T1201" s="100"/>
      <c r="U1201" s="100"/>
      <c r="V1201" s="100"/>
      <c r="W1201" s="100"/>
      <c r="X1201" s="100"/>
      <c r="Y1201" s="100"/>
      <c r="Z1201" s="100"/>
    </row>
    <row r="1202" spans="1:26">
      <c r="A1202" s="100"/>
      <c r="B1202" s="100"/>
      <c r="C1202" s="100"/>
      <c r="D1202" s="100"/>
      <c r="E1202" s="100"/>
      <c r="F1202" s="100"/>
      <c r="G1202" s="100"/>
      <c r="H1202" s="100"/>
      <c r="I1202" s="100"/>
      <c r="J1202" s="100"/>
      <c r="K1202" s="100"/>
      <c r="L1202" s="100"/>
      <c r="M1202" s="100"/>
      <c r="N1202" s="100"/>
      <c r="O1202" s="100"/>
      <c r="P1202" s="100"/>
      <c r="Q1202" s="100"/>
      <c r="R1202" s="100"/>
      <c r="S1202" s="100"/>
      <c r="T1202" s="100"/>
      <c r="U1202" s="100"/>
      <c r="V1202" s="100"/>
      <c r="W1202" s="100"/>
      <c r="X1202" s="100"/>
      <c r="Y1202" s="100"/>
      <c r="Z1202" s="100"/>
    </row>
    <row r="1203" spans="1:26">
      <c r="A1203" s="100"/>
      <c r="B1203" s="100"/>
      <c r="C1203" s="100"/>
      <c r="D1203" s="100"/>
      <c r="E1203" s="100"/>
      <c r="F1203" s="100"/>
      <c r="G1203" s="100"/>
      <c r="H1203" s="100"/>
      <c r="I1203" s="100"/>
      <c r="J1203" s="100"/>
      <c r="K1203" s="100"/>
      <c r="L1203" s="100"/>
      <c r="M1203" s="100"/>
      <c r="N1203" s="100"/>
      <c r="O1203" s="100"/>
      <c r="P1203" s="100"/>
      <c r="Q1203" s="100"/>
      <c r="R1203" s="100"/>
      <c r="S1203" s="100"/>
      <c r="T1203" s="100"/>
      <c r="U1203" s="100"/>
      <c r="V1203" s="100"/>
      <c r="W1203" s="100"/>
      <c r="X1203" s="100"/>
      <c r="Y1203" s="100"/>
      <c r="Z1203" s="100"/>
    </row>
    <row r="1204" spans="1:26">
      <c r="A1204" s="100"/>
      <c r="B1204" s="100"/>
      <c r="C1204" s="100"/>
      <c r="D1204" s="100"/>
      <c r="E1204" s="100"/>
      <c r="F1204" s="100"/>
      <c r="G1204" s="100"/>
      <c r="H1204" s="100"/>
      <c r="I1204" s="100"/>
      <c r="J1204" s="100"/>
      <c r="K1204" s="100"/>
      <c r="L1204" s="100"/>
      <c r="M1204" s="100"/>
      <c r="N1204" s="100"/>
      <c r="O1204" s="100"/>
      <c r="P1204" s="100"/>
      <c r="Q1204" s="100"/>
      <c r="R1204" s="100"/>
      <c r="S1204" s="100"/>
      <c r="T1204" s="100"/>
      <c r="U1204" s="100"/>
      <c r="V1204" s="100"/>
      <c r="W1204" s="100"/>
      <c r="X1204" s="100"/>
      <c r="Y1204" s="100"/>
      <c r="Z1204" s="100"/>
    </row>
    <row r="1205" spans="1:26">
      <c r="A1205" s="100"/>
      <c r="B1205" s="100"/>
      <c r="C1205" s="100"/>
      <c r="D1205" s="100"/>
      <c r="E1205" s="100"/>
      <c r="F1205" s="100"/>
      <c r="G1205" s="100"/>
      <c r="H1205" s="100"/>
      <c r="I1205" s="100"/>
      <c r="J1205" s="100"/>
      <c r="K1205" s="100"/>
      <c r="L1205" s="100"/>
      <c r="M1205" s="100"/>
      <c r="N1205" s="100"/>
      <c r="O1205" s="100"/>
      <c r="P1205" s="100"/>
      <c r="Q1205" s="100"/>
      <c r="R1205" s="100"/>
      <c r="S1205" s="100"/>
      <c r="T1205" s="100"/>
      <c r="U1205" s="100"/>
      <c r="V1205" s="100"/>
      <c r="W1205" s="100"/>
      <c r="X1205" s="100"/>
      <c r="Y1205" s="100"/>
      <c r="Z1205" s="100"/>
    </row>
    <row r="1206" spans="1:26">
      <c r="A1206" s="100"/>
      <c r="B1206" s="100"/>
      <c r="C1206" s="100"/>
      <c r="D1206" s="100"/>
      <c r="E1206" s="100"/>
      <c r="F1206" s="100"/>
      <c r="G1206" s="100"/>
      <c r="H1206" s="100"/>
      <c r="I1206" s="100"/>
      <c r="J1206" s="100"/>
      <c r="K1206" s="100"/>
      <c r="L1206" s="100"/>
      <c r="M1206" s="100"/>
      <c r="N1206" s="100"/>
      <c r="O1206" s="100"/>
      <c r="P1206" s="100"/>
      <c r="Q1206" s="100"/>
      <c r="R1206" s="100"/>
      <c r="S1206" s="100"/>
      <c r="T1206" s="100"/>
      <c r="U1206" s="100"/>
      <c r="V1206" s="100"/>
      <c r="W1206" s="100"/>
      <c r="X1206" s="100"/>
      <c r="Y1206" s="100"/>
      <c r="Z1206" s="100"/>
    </row>
    <row r="1207" spans="1:26">
      <c r="A1207" s="100"/>
      <c r="B1207" s="100"/>
      <c r="C1207" s="100"/>
      <c r="D1207" s="100"/>
      <c r="E1207" s="100"/>
      <c r="F1207" s="100"/>
      <c r="G1207" s="100"/>
      <c r="H1207" s="100"/>
      <c r="I1207" s="100"/>
      <c r="J1207" s="100"/>
      <c r="K1207" s="100"/>
      <c r="L1207" s="100"/>
      <c r="M1207" s="100"/>
      <c r="N1207" s="100"/>
      <c r="O1207" s="100"/>
      <c r="P1207" s="100"/>
      <c r="Q1207" s="100"/>
      <c r="R1207" s="100"/>
      <c r="S1207" s="100"/>
      <c r="T1207" s="100"/>
      <c r="U1207" s="100"/>
      <c r="V1207" s="100"/>
      <c r="W1207" s="100"/>
      <c r="X1207" s="100"/>
      <c r="Y1207" s="100"/>
      <c r="Z1207" s="100"/>
    </row>
    <row r="1208" spans="1:26">
      <c r="A1208" s="100"/>
      <c r="B1208" s="100"/>
      <c r="C1208" s="100"/>
      <c r="D1208" s="100"/>
      <c r="E1208" s="100"/>
      <c r="F1208" s="100"/>
      <c r="G1208" s="100"/>
      <c r="H1208" s="100"/>
      <c r="I1208" s="100"/>
      <c r="J1208" s="100"/>
      <c r="K1208" s="100"/>
      <c r="L1208" s="100"/>
      <c r="M1208" s="100"/>
      <c r="N1208" s="100"/>
      <c r="O1208" s="100"/>
      <c r="P1208" s="100"/>
      <c r="Q1208" s="100"/>
      <c r="R1208" s="100"/>
      <c r="S1208" s="100"/>
      <c r="T1208" s="100"/>
      <c r="U1208" s="100"/>
      <c r="V1208" s="100"/>
      <c r="W1208" s="100"/>
      <c r="X1208" s="100"/>
      <c r="Y1208" s="100"/>
      <c r="Z1208" s="100"/>
    </row>
    <row r="1209" spans="1:26">
      <c r="A1209" s="100"/>
      <c r="B1209" s="100"/>
      <c r="C1209" s="100"/>
      <c r="D1209" s="100"/>
      <c r="E1209" s="100"/>
      <c r="F1209" s="100"/>
      <c r="G1209" s="100"/>
      <c r="H1209" s="100"/>
      <c r="I1209" s="100"/>
      <c r="J1209" s="100"/>
      <c r="K1209" s="100"/>
      <c r="L1209" s="100"/>
      <c r="M1209" s="100"/>
      <c r="N1209" s="100"/>
      <c r="O1209" s="100"/>
      <c r="P1209" s="100"/>
      <c r="Q1209" s="100"/>
      <c r="R1209" s="100"/>
      <c r="S1209" s="100"/>
      <c r="T1209" s="100"/>
      <c r="U1209" s="100"/>
      <c r="V1209" s="100"/>
      <c r="W1209" s="100"/>
      <c r="X1209" s="100"/>
      <c r="Y1209" s="100"/>
      <c r="Z1209" s="100"/>
    </row>
    <row r="1210" spans="1:26">
      <c r="A1210" s="100"/>
      <c r="B1210" s="100"/>
      <c r="C1210" s="100"/>
      <c r="D1210" s="100"/>
      <c r="E1210" s="100"/>
      <c r="F1210" s="100"/>
      <c r="G1210" s="100"/>
      <c r="H1210" s="100"/>
      <c r="I1210" s="100"/>
      <c r="J1210" s="100"/>
      <c r="K1210" s="100"/>
      <c r="L1210" s="100"/>
      <c r="M1210" s="100"/>
      <c r="N1210" s="100"/>
      <c r="O1210" s="100"/>
      <c r="P1210" s="100"/>
      <c r="Q1210" s="100"/>
      <c r="R1210" s="100"/>
      <c r="S1210" s="100"/>
      <c r="T1210" s="100"/>
      <c r="U1210" s="100"/>
      <c r="V1210" s="100"/>
      <c r="W1210" s="100"/>
      <c r="X1210" s="100"/>
      <c r="Y1210" s="100"/>
      <c r="Z1210" s="100"/>
    </row>
    <row r="1211" spans="1:26">
      <c r="A1211" s="100"/>
      <c r="B1211" s="100"/>
      <c r="C1211" s="100"/>
      <c r="D1211" s="100"/>
      <c r="E1211" s="100"/>
      <c r="F1211" s="100"/>
      <c r="G1211" s="100"/>
      <c r="H1211" s="100"/>
      <c r="I1211" s="100"/>
      <c r="J1211" s="100"/>
      <c r="K1211" s="100"/>
      <c r="L1211" s="100"/>
      <c r="M1211" s="100"/>
      <c r="N1211" s="100"/>
      <c r="O1211" s="100"/>
      <c r="P1211" s="100"/>
      <c r="Q1211" s="100"/>
      <c r="R1211" s="100"/>
      <c r="S1211" s="100"/>
      <c r="T1211" s="100"/>
      <c r="U1211" s="100"/>
      <c r="V1211" s="100"/>
      <c r="W1211" s="100"/>
      <c r="X1211" s="100"/>
      <c r="Y1211" s="100"/>
      <c r="Z1211" s="100"/>
    </row>
    <row r="1212" spans="1:26">
      <c r="A1212" s="100"/>
      <c r="B1212" s="100"/>
      <c r="C1212" s="100"/>
      <c r="D1212" s="100"/>
      <c r="E1212" s="100"/>
      <c r="F1212" s="100"/>
      <c r="G1212" s="100"/>
      <c r="H1212" s="100"/>
      <c r="I1212" s="100"/>
      <c r="J1212" s="100"/>
      <c r="K1212" s="100"/>
      <c r="L1212" s="100"/>
      <c r="M1212" s="100"/>
      <c r="N1212" s="100"/>
      <c r="O1212" s="100"/>
      <c r="P1212" s="100"/>
      <c r="Q1212" s="100"/>
      <c r="R1212" s="100"/>
      <c r="S1212" s="100"/>
      <c r="T1212" s="100"/>
      <c r="U1212" s="100"/>
      <c r="V1212" s="100"/>
      <c r="W1212" s="100"/>
      <c r="X1212" s="100"/>
      <c r="Y1212" s="100"/>
      <c r="Z1212" s="100"/>
    </row>
    <row r="1213" spans="1:26">
      <c r="A1213" s="100"/>
      <c r="B1213" s="100"/>
      <c r="C1213" s="100"/>
      <c r="D1213" s="100"/>
      <c r="E1213" s="100"/>
      <c r="F1213" s="100"/>
      <c r="G1213" s="100"/>
      <c r="H1213" s="100"/>
      <c r="I1213" s="100"/>
      <c r="J1213" s="100"/>
      <c r="K1213" s="100"/>
      <c r="L1213" s="100"/>
      <c r="M1213" s="100"/>
      <c r="N1213" s="100"/>
      <c r="O1213" s="100"/>
      <c r="P1213" s="100"/>
      <c r="Q1213" s="100"/>
      <c r="R1213" s="100"/>
      <c r="S1213" s="100"/>
      <c r="T1213" s="100"/>
      <c r="U1213" s="100"/>
      <c r="V1213" s="100"/>
      <c r="W1213" s="100"/>
      <c r="X1213" s="100"/>
      <c r="Y1213" s="100"/>
      <c r="Z1213" s="100"/>
    </row>
    <row r="1214" spans="1:26">
      <c r="A1214" s="100"/>
      <c r="B1214" s="100"/>
      <c r="C1214" s="100"/>
      <c r="D1214" s="100"/>
      <c r="E1214" s="100"/>
      <c r="F1214" s="100"/>
      <c r="G1214" s="100"/>
      <c r="H1214" s="100"/>
      <c r="I1214" s="100"/>
      <c r="J1214" s="100"/>
      <c r="K1214" s="100"/>
      <c r="L1214" s="100"/>
      <c r="M1214" s="100"/>
      <c r="N1214" s="100"/>
      <c r="O1214" s="100"/>
      <c r="P1214" s="100"/>
      <c r="Q1214" s="100"/>
      <c r="R1214" s="100"/>
      <c r="S1214" s="100"/>
      <c r="T1214" s="100"/>
      <c r="U1214" s="100"/>
      <c r="V1214" s="100"/>
      <c r="W1214" s="100"/>
      <c r="X1214" s="100"/>
      <c r="Y1214" s="100"/>
      <c r="Z1214" s="100"/>
    </row>
    <row r="1215" spans="1:26">
      <c r="A1215" s="100"/>
      <c r="B1215" s="100"/>
      <c r="C1215" s="100"/>
      <c r="D1215" s="100"/>
      <c r="E1215" s="100"/>
      <c r="F1215" s="100"/>
      <c r="G1215" s="100"/>
      <c r="H1215" s="100"/>
      <c r="I1215" s="100"/>
      <c r="J1215" s="100"/>
      <c r="K1215" s="100"/>
      <c r="L1215" s="100"/>
      <c r="M1215" s="100"/>
      <c r="N1215" s="100"/>
      <c r="O1215" s="100"/>
      <c r="P1215" s="100"/>
      <c r="Q1215" s="100"/>
      <c r="R1215" s="100"/>
      <c r="S1215" s="100"/>
      <c r="T1215" s="100"/>
      <c r="U1215" s="100"/>
      <c r="V1215" s="100"/>
      <c r="W1215" s="100"/>
      <c r="X1215" s="100"/>
      <c r="Y1215" s="100"/>
      <c r="Z1215" s="100"/>
    </row>
    <row r="1216" spans="1:26">
      <c r="A1216" s="100"/>
      <c r="B1216" s="100"/>
      <c r="C1216" s="100"/>
      <c r="D1216" s="100"/>
      <c r="E1216" s="100"/>
      <c r="F1216" s="100"/>
      <c r="G1216" s="100"/>
      <c r="H1216" s="100"/>
      <c r="I1216" s="100"/>
      <c r="J1216" s="100"/>
      <c r="K1216" s="100"/>
      <c r="L1216" s="100"/>
      <c r="M1216" s="100"/>
      <c r="N1216" s="100"/>
      <c r="O1216" s="100"/>
      <c r="P1216" s="100"/>
      <c r="Q1216" s="100"/>
      <c r="R1216" s="100"/>
      <c r="S1216" s="100"/>
      <c r="T1216" s="100"/>
      <c r="U1216" s="100"/>
      <c r="V1216" s="100"/>
      <c r="W1216" s="100"/>
      <c r="X1216" s="100"/>
      <c r="Y1216" s="100"/>
      <c r="Z1216" s="100"/>
    </row>
    <row r="1217" spans="1:26">
      <c r="A1217" s="100"/>
      <c r="B1217" s="100"/>
      <c r="C1217" s="1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  <c r="O1217" s="100"/>
      <c r="P1217" s="100"/>
      <c r="Q1217" s="100"/>
      <c r="R1217" s="100"/>
      <c r="S1217" s="100"/>
      <c r="T1217" s="100"/>
      <c r="U1217" s="100"/>
      <c r="V1217" s="100"/>
      <c r="W1217" s="100"/>
      <c r="X1217" s="100"/>
      <c r="Y1217" s="100"/>
      <c r="Z1217" s="100"/>
    </row>
    <row r="1218" spans="1:26">
      <c r="A1218" s="100"/>
      <c r="B1218" s="100"/>
      <c r="C1218" s="100"/>
      <c r="D1218" s="100"/>
      <c r="E1218" s="100"/>
      <c r="F1218" s="100"/>
      <c r="G1218" s="100"/>
      <c r="H1218" s="100"/>
      <c r="I1218" s="100"/>
      <c r="J1218" s="100"/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</row>
    <row r="1219" spans="1:26">
      <c r="A1219" s="100"/>
      <c r="B1219" s="100"/>
      <c r="C1219" s="100"/>
      <c r="D1219" s="100"/>
      <c r="E1219" s="100"/>
      <c r="F1219" s="100"/>
      <c r="G1219" s="100"/>
      <c r="H1219" s="100"/>
      <c r="I1219" s="100"/>
      <c r="J1219" s="100"/>
      <c r="K1219" s="100"/>
      <c r="L1219" s="100"/>
      <c r="M1219" s="100"/>
      <c r="N1219" s="100"/>
      <c r="O1219" s="100"/>
      <c r="P1219" s="100"/>
      <c r="Q1219" s="100"/>
      <c r="R1219" s="100"/>
      <c r="S1219" s="100"/>
      <c r="T1219" s="100"/>
      <c r="U1219" s="100"/>
      <c r="V1219" s="100"/>
      <c r="W1219" s="100"/>
      <c r="X1219" s="100"/>
      <c r="Y1219" s="100"/>
      <c r="Z1219" s="100"/>
    </row>
    <row r="1220" spans="1:26">
      <c r="A1220" s="100"/>
      <c r="B1220" s="100"/>
      <c r="C1220" s="100"/>
      <c r="D1220" s="100"/>
      <c r="E1220" s="100"/>
      <c r="F1220" s="100"/>
      <c r="G1220" s="100"/>
      <c r="H1220" s="100"/>
      <c r="I1220" s="100"/>
      <c r="J1220" s="100"/>
      <c r="K1220" s="100"/>
      <c r="L1220" s="100"/>
      <c r="M1220" s="100"/>
      <c r="N1220" s="100"/>
      <c r="O1220" s="100"/>
      <c r="P1220" s="100"/>
      <c r="Q1220" s="100"/>
      <c r="R1220" s="100"/>
      <c r="S1220" s="100"/>
      <c r="T1220" s="100"/>
      <c r="U1220" s="100"/>
      <c r="V1220" s="100"/>
      <c r="W1220" s="100"/>
      <c r="X1220" s="100"/>
      <c r="Y1220" s="100"/>
      <c r="Z1220" s="100"/>
    </row>
    <row r="1221" spans="1:26">
      <c r="A1221" s="100"/>
      <c r="B1221" s="100"/>
      <c r="C1221" s="100"/>
      <c r="D1221" s="100"/>
      <c r="E1221" s="100"/>
      <c r="F1221" s="100"/>
      <c r="G1221" s="100"/>
      <c r="H1221" s="100"/>
      <c r="I1221" s="100"/>
      <c r="J1221" s="100"/>
      <c r="K1221" s="100"/>
      <c r="L1221" s="100"/>
      <c r="M1221" s="100"/>
      <c r="N1221" s="100"/>
      <c r="O1221" s="100"/>
      <c r="P1221" s="100"/>
      <c r="Q1221" s="100"/>
      <c r="R1221" s="100"/>
      <c r="S1221" s="100"/>
      <c r="T1221" s="100"/>
      <c r="U1221" s="100"/>
      <c r="V1221" s="100"/>
      <c r="W1221" s="100"/>
      <c r="X1221" s="100"/>
      <c r="Y1221" s="100"/>
      <c r="Z1221" s="100"/>
    </row>
    <row r="1222" spans="1:26">
      <c r="A1222" s="100"/>
      <c r="B1222" s="100"/>
      <c r="C1222" s="100"/>
      <c r="D1222" s="100"/>
      <c r="E1222" s="100"/>
      <c r="F1222" s="100"/>
      <c r="G1222" s="100"/>
      <c r="H1222" s="100"/>
      <c r="I1222" s="100"/>
      <c r="J1222" s="100"/>
      <c r="K1222" s="100"/>
      <c r="L1222" s="100"/>
      <c r="M1222" s="100"/>
      <c r="N1222" s="100"/>
      <c r="O1222" s="100"/>
      <c r="P1222" s="100"/>
      <c r="Q1222" s="100"/>
      <c r="R1222" s="100"/>
      <c r="S1222" s="100"/>
      <c r="T1222" s="100"/>
      <c r="U1222" s="100"/>
      <c r="V1222" s="100"/>
      <c r="W1222" s="100"/>
      <c r="X1222" s="100"/>
      <c r="Y1222" s="100"/>
      <c r="Z1222" s="100"/>
    </row>
    <row r="1223" spans="1:26">
      <c r="A1223" s="100"/>
      <c r="B1223" s="100"/>
      <c r="C1223" s="100"/>
      <c r="D1223" s="100"/>
      <c r="E1223" s="100"/>
      <c r="F1223" s="100"/>
      <c r="G1223" s="100"/>
      <c r="H1223" s="100"/>
      <c r="I1223" s="100"/>
      <c r="J1223" s="100"/>
      <c r="K1223" s="100"/>
      <c r="L1223" s="100"/>
      <c r="M1223" s="100"/>
      <c r="N1223" s="100"/>
      <c r="O1223" s="100"/>
      <c r="P1223" s="100"/>
      <c r="Q1223" s="100"/>
      <c r="R1223" s="100"/>
      <c r="S1223" s="100"/>
      <c r="T1223" s="100"/>
      <c r="U1223" s="100"/>
      <c r="V1223" s="100"/>
      <c r="W1223" s="100"/>
      <c r="X1223" s="100"/>
      <c r="Y1223" s="100"/>
      <c r="Z1223" s="100"/>
    </row>
    <row r="1224" spans="1:26">
      <c r="A1224" s="100"/>
      <c r="B1224" s="100"/>
      <c r="C1224" s="100"/>
      <c r="D1224" s="100"/>
      <c r="E1224" s="100"/>
      <c r="F1224" s="100"/>
      <c r="G1224" s="100"/>
      <c r="H1224" s="100"/>
      <c r="I1224" s="100"/>
      <c r="J1224" s="100"/>
      <c r="K1224" s="100"/>
      <c r="L1224" s="100"/>
      <c r="M1224" s="100"/>
      <c r="N1224" s="100"/>
      <c r="O1224" s="100"/>
      <c r="P1224" s="100"/>
      <c r="Q1224" s="100"/>
      <c r="R1224" s="100"/>
      <c r="S1224" s="100"/>
      <c r="T1224" s="100"/>
      <c r="U1224" s="100"/>
      <c r="V1224" s="100"/>
      <c r="W1224" s="100"/>
      <c r="X1224" s="100"/>
      <c r="Y1224" s="100"/>
      <c r="Z1224" s="100"/>
    </row>
    <row r="1225" spans="1:26">
      <c r="A1225" s="100"/>
      <c r="B1225" s="100"/>
      <c r="C1225" s="100"/>
      <c r="D1225" s="100"/>
      <c r="E1225" s="100"/>
      <c r="F1225" s="100"/>
      <c r="G1225" s="100"/>
      <c r="H1225" s="100"/>
      <c r="I1225" s="100"/>
      <c r="J1225" s="100"/>
      <c r="K1225" s="100"/>
      <c r="L1225" s="100"/>
      <c r="M1225" s="100"/>
      <c r="N1225" s="100"/>
      <c r="O1225" s="100"/>
      <c r="P1225" s="100"/>
      <c r="Q1225" s="100"/>
      <c r="R1225" s="100"/>
      <c r="S1225" s="100"/>
      <c r="T1225" s="100"/>
      <c r="U1225" s="100"/>
      <c r="V1225" s="100"/>
      <c r="W1225" s="100"/>
      <c r="X1225" s="100"/>
      <c r="Y1225" s="100"/>
      <c r="Z1225" s="100"/>
    </row>
    <row r="1226" spans="1:26">
      <c r="A1226" s="100"/>
      <c r="B1226" s="100"/>
      <c r="C1226" s="100"/>
      <c r="D1226" s="100"/>
      <c r="E1226" s="100"/>
      <c r="F1226" s="100"/>
      <c r="G1226" s="100"/>
      <c r="H1226" s="100"/>
      <c r="I1226" s="100"/>
      <c r="J1226" s="100"/>
      <c r="K1226" s="100"/>
      <c r="L1226" s="100"/>
      <c r="M1226" s="100"/>
      <c r="N1226" s="100"/>
      <c r="O1226" s="100"/>
      <c r="P1226" s="100"/>
      <c r="Q1226" s="100"/>
      <c r="R1226" s="100"/>
      <c r="S1226" s="100"/>
      <c r="T1226" s="100"/>
      <c r="U1226" s="100"/>
      <c r="V1226" s="100"/>
      <c r="W1226" s="100"/>
      <c r="X1226" s="100"/>
      <c r="Y1226" s="100"/>
      <c r="Z1226" s="100"/>
    </row>
    <row r="1227" spans="1:26">
      <c r="A1227" s="100"/>
      <c r="B1227" s="100"/>
      <c r="C1227" s="100"/>
      <c r="D1227" s="100"/>
      <c r="E1227" s="100"/>
      <c r="F1227" s="100"/>
      <c r="G1227" s="100"/>
      <c r="H1227" s="100"/>
      <c r="I1227" s="100"/>
      <c r="J1227" s="100"/>
      <c r="K1227" s="100"/>
      <c r="L1227" s="100"/>
      <c r="M1227" s="100"/>
      <c r="N1227" s="100"/>
      <c r="O1227" s="100"/>
      <c r="P1227" s="100"/>
      <c r="Q1227" s="100"/>
      <c r="R1227" s="100"/>
      <c r="S1227" s="100"/>
      <c r="T1227" s="100"/>
      <c r="U1227" s="100"/>
      <c r="V1227" s="100"/>
      <c r="W1227" s="100"/>
      <c r="X1227" s="100"/>
      <c r="Y1227" s="100"/>
      <c r="Z1227" s="100"/>
    </row>
    <row r="1228" spans="1:26">
      <c r="A1228" s="100"/>
      <c r="B1228" s="100"/>
      <c r="C1228" s="100"/>
      <c r="D1228" s="100"/>
      <c r="E1228" s="100"/>
      <c r="F1228" s="100"/>
      <c r="G1228" s="100"/>
      <c r="H1228" s="100"/>
      <c r="I1228" s="100"/>
      <c r="J1228" s="100"/>
      <c r="K1228" s="100"/>
      <c r="L1228" s="100"/>
      <c r="M1228" s="100"/>
      <c r="N1228" s="100"/>
      <c r="O1228" s="100"/>
      <c r="P1228" s="100"/>
      <c r="Q1228" s="100"/>
      <c r="R1228" s="100"/>
      <c r="S1228" s="100"/>
      <c r="T1228" s="100"/>
      <c r="U1228" s="100"/>
      <c r="V1228" s="100"/>
      <c r="W1228" s="100"/>
      <c r="X1228" s="100"/>
      <c r="Y1228" s="100"/>
      <c r="Z1228" s="100"/>
    </row>
    <row r="1229" spans="1:26">
      <c r="A1229" s="100"/>
      <c r="B1229" s="100"/>
      <c r="C1229" s="100"/>
      <c r="D1229" s="100"/>
      <c r="E1229" s="100"/>
      <c r="F1229" s="100"/>
      <c r="G1229" s="100"/>
      <c r="H1229" s="100"/>
      <c r="I1229" s="100"/>
      <c r="J1229" s="100"/>
      <c r="K1229" s="100"/>
      <c r="L1229" s="100"/>
      <c r="M1229" s="100"/>
      <c r="N1229" s="100"/>
      <c r="O1229" s="100"/>
      <c r="P1229" s="100"/>
      <c r="Q1229" s="100"/>
      <c r="R1229" s="100"/>
      <c r="S1229" s="100"/>
      <c r="T1229" s="100"/>
      <c r="U1229" s="100"/>
      <c r="V1229" s="100"/>
      <c r="W1229" s="100"/>
      <c r="X1229" s="100"/>
      <c r="Y1229" s="100"/>
      <c r="Z1229" s="100"/>
    </row>
    <row r="1230" spans="1:26">
      <c r="A1230" s="100"/>
      <c r="B1230" s="100"/>
      <c r="C1230" s="100"/>
      <c r="D1230" s="100"/>
      <c r="E1230" s="100"/>
      <c r="F1230" s="100"/>
      <c r="G1230" s="100"/>
      <c r="H1230" s="100"/>
      <c r="I1230" s="100"/>
      <c r="J1230" s="100"/>
      <c r="K1230" s="100"/>
      <c r="L1230" s="100"/>
      <c r="M1230" s="100"/>
      <c r="N1230" s="100"/>
      <c r="O1230" s="100"/>
      <c r="P1230" s="100"/>
      <c r="Q1230" s="100"/>
      <c r="R1230" s="100"/>
      <c r="S1230" s="100"/>
      <c r="T1230" s="100"/>
      <c r="U1230" s="100"/>
      <c r="V1230" s="100"/>
      <c r="W1230" s="100"/>
      <c r="X1230" s="100"/>
      <c r="Y1230" s="100"/>
      <c r="Z1230" s="100"/>
    </row>
    <row r="1231" spans="1:26">
      <c r="A1231" s="100"/>
      <c r="B1231" s="100"/>
      <c r="C1231" s="100"/>
      <c r="D1231" s="100"/>
      <c r="E1231" s="100"/>
      <c r="F1231" s="100"/>
      <c r="G1231" s="100"/>
      <c r="H1231" s="100"/>
      <c r="I1231" s="100"/>
      <c r="J1231" s="100"/>
      <c r="K1231" s="100"/>
      <c r="L1231" s="100"/>
      <c r="M1231" s="100"/>
      <c r="N1231" s="100"/>
      <c r="O1231" s="100"/>
      <c r="P1231" s="100"/>
      <c r="Q1231" s="100"/>
      <c r="R1231" s="100"/>
      <c r="S1231" s="100"/>
      <c r="T1231" s="100"/>
      <c r="U1231" s="100"/>
      <c r="V1231" s="100"/>
      <c r="W1231" s="100"/>
      <c r="X1231" s="100"/>
      <c r="Y1231" s="100"/>
      <c r="Z1231" s="100"/>
    </row>
    <row r="1232" spans="1:26">
      <c r="A1232" s="100"/>
      <c r="B1232" s="100"/>
      <c r="C1232" s="1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  <c r="O1232" s="100"/>
      <c r="P1232" s="100"/>
      <c r="Q1232" s="100"/>
      <c r="R1232" s="100"/>
      <c r="S1232" s="100"/>
      <c r="T1232" s="100"/>
      <c r="U1232" s="100"/>
      <c r="V1232" s="100"/>
      <c r="W1232" s="100"/>
      <c r="X1232" s="100"/>
      <c r="Y1232" s="100"/>
      <c r="Z1232" s="100"/>
    </row>
    <row r="1233" spans="1:26">
      <c r="A1233" s="100"/>
      <c r="B1233" s="100"/>
      <c r="C1233" s="100"/>
      <c r="D1233" s="100"/>
      <c r="E1233" s="100"/>
      <c r="F1233" s="100"/>
      <c r="G1233" s="100"/>
      <c r="H1233" s="100"/>
      <c r="I1233" s="100"/>
      <c r="J1233" s="100"/>
      <c r="K1233" s="100"/>
      <c r="L1233" s="100"/>
      <c r="M1233" s="100"/>
      <c r="N1233" s="100"/>
      <c r="O1233" s="100"/>
      <c r="P1233" s="100"/>
      <c r="Q1233" s="100"/>
      <c r="R1233" s="100"/>
      <c r="S1233" s="100"/>
      <c r="T1233" s="100"/>
      <c r="U1233" s="100"/>
      <c r="V1233" s="100"/>
      <c r="W1233" s="100"/>
      <c r="X1233" s="100"/>
      <c r="Y1233" s="100"/>
      <c r="Z1233" s="100"/>
    </row>
    <row r="1234" spans="1:26">
      <c r="A1234" s="100"/>
      <c r="B1234" s="100"/>
      <c r="C1234" s="100"/>
      <c r="D1234" s="100"/>
      <c r="E1234" s="100"/>
      <c r="F1234" s="100"/>
      <c r="G1234" s="100"/>
      <c r="H1234" s="100"/>
      <c r="I1234" s="100"/>
      <c r="J1234" s="100"/>
      <c r="K1234" s="100"/>
      <c r="L1234" s="100"/>
      <c r="M1234" s="100"/>
      <c r="N1234" s="100"/>
      <c r="O1234" s="100"/>
      <c r="P1234" s="100"/>
      <c r="Q1234" s="100"/>
      <c r="R1234" s="100"/>
      <c r="S1234" s="100"/>
      <c r="T1234" s="100"/>
      <c r="U1234" s="100"/>
      <c r="V1234" s="100"/>
      <c r="W1234" s="100"/>
      <c r="X1234" s="100"/>
      <c r="Y1234" s="100"/>
      <c r="Z1234" s="100"/>
    </row>
    <row r="1235" spans="1:26">
      <c r="A1235" s="100"/>
      <c r="B1235" s="100"/>
      <c r="C1235" s="100"/>
      <c r="D1235" s="100"/>
      <c r="E1235" s="100"/>
      <c r="F1235" s="100"/>
      <c r="G1235" s="100"/>
      <c r="H1235" s="100"/>
      <c r="I1235" s="100"/>
      <c r="J1235" s="100"/>
      <c r="K1235" s="100"/>
      <c r="L1235" s="100"/>
      <c r="M1235" s="100"/>
      <c r="N1235" s="100"/>
      <c r="O1235" s="100"/>
      <c r="P1235" s="100"/>
      <c r="Q1235" s="100"/>
      <c r="R1235" s="100"/>
      <c r="S1235" s="100"/>
      <c r="T1235" s="100"/>
      <c r="U1235" s="100"/>
      <c r="V1235" s="100"/>
      <c r="W1235" s="100"/>
      <c r="X1235" s="100"/>
      <c r="Y1235" s="100"/>
      <c r="Z1235" s="100"/>
    </row>
    <row r="1236" spans="1:26">
      <c r="A1236" s="100"/>
      <c r="B1236" s="100"/>
      <c r="C1236" s="100"/>
      <c r="D1236" s="100"/>
      <c r="E1236" s="100"/>
      <c r="F1236" s="100"/>
      <c r="G1236" s="100"/>
      <c r="H1236" s="100"/>
      <c r="I1236" s="100"/>
      <c r="J1236" s="100"/>
      <c r="K1236" s="100"/>
      <c r="L1236" s="100"/>
      <c r="M1236" s="100"/>
      <c r="N1236" s="100"/>
      <c r="O1236" s="100"/>
      <c r="P1236" s="100"/>
      <c r="Q1236" s="100"/>
      <c r="R1236" s="100"/>
      <c r="S1236" s="100"/>
      <c r="T1236" s="100"/>
      <c r="U1236" s="100"/>
      <c r="V1236" s="100"/>
      <c r="W1236" s="100"/>
      <c r="X1236" s="100"/>
      <c r="Y1236" s="100"/>
      <c r="Z1236" s="100"/>
    </row>
    <row r="1237" spans="1:26">
      <c r="A1237" s="100"/>
      <c r="B1237" s="100"/>
      <c r="C1237" s="100"/>
      <c r="D1237" s="100"/>
      <c r="E1237" s="100"/>
      <c r="F1237" s="100"/>
      <c r="G1237" s="100"/>
      <c r="H1237" s="100"/>
      <c r="I1237" s="100"/>
      <c r="J1237" s="100"/>
      <c r="K1237" s="100"/>
      <c r="L1237" s="100"/>
      <c r="M1237" s="100"/>
      <c r="N1237" s="100"/>
      <c r="O1237" s="100"/>
      <c r="P1237" s="100"/>
      <c r="Q1237" s="100"/>
      <c r="R1237" s="100"/>
      <c r="S1237" s="100"/>
      <c r="T1237" s="100"/>
      <c r="U1237" s="100"/>
      <c r="V1237" s="100"/>
      <c r="W1237" s="100"/>
      <c r="X1237" s="100"/>
      <c r="Y1237" s="100"/>
      <c r="Z1237" s="100"/>
    </row>
    <row r="1238" spans="1:26">
      <c r="A1238" s="100"/>
      <c r="B1238" s="100"/>
      <c r="C1238" s="100"/>
      <c r="D1238" s="100"/>
      <c r="E1238" s="100"/>
      <c r="F1238" s="100"/>
      <c r="G1238" s="100"/>
      <c r="H1238" s="100"/>
      <c r="I1238" s="100"/>
      <c r="J1238" s="100"/>
      <c r="K1238" s="100"/>
      <c r="L1238" s="100"/>
      <c r="M1238" s="100"/>
      <c r="N1238" s="100"/>
      <c r="O1238" s="100"/>
      <c r="P1238" s="100"/>
      <c r="Q1238" s="100"/>
      <c r="R1238" s="100"/>
      <c r="S1238" s="100"/>
      <c r="T1238" s="100"/>
      <c r="U1238" s="100"/>
      <c r="V1238" s="100"/>
      <c r="W1238" s="100"/>
      <c r="X1238" s="100"/>
      <c r="Y1238" s="100"/>
      <c r="Z1238" s="100"/>
    </row>
    <row r="1239" spans="1:26">
      <c r="A1239" s="100"/>
      <c r="B1239" s="100"/>
      <c r="C1239" s="100"/>
      <c r="D1239" s="100"/>
      <c r="E1239" s="100"/>
      <c r="F1239" s="100"/>
      <c r="G1239" s="100"/>
      <c r="H1239" s="100"/>
      <c r="I1239" s="100"/>
      <c r="J1239" s="100"/>
      <c r="K1239" s="100"/>
      <c r="L1239" s="100"/>
      <c r="M1239" s="100"/>
      <c r="N1239" s="100"/>
      <c r="O1239" s="100"/>
      <c r="P1239" s="100"/>
      <c r="Q1239" s="100"/>
      <c r="R1239" s="100"/>
      <c r="S1239" s="100"/>
      <c r="T1239" s="100"/>
      <c r="U1239" s="100"/>
      <c r="V1239" s="100"/>
      <c r="W1239" s="100"/>
      <c r="X1239" s="100"/>
      <c r="Y1239" s="100"/>
      <c r="Z1239" s="100"/>
    </row>
    <row r="1240" spans="1:26">
      <c r="A1240" s="100"/>
      <c r="B1240" s="100"/>
      <c r="C1240" s="100"/>
      <c r="D1240" s="100"/>
      <c r="E1240" s="100"/>
      <c r="F1240" s="100"/>
      <c r="G1240" s="100"/>
      <c r="H1240" s="100"/>
      <c r="I1240" s="100"/>
      <c r="J1240" s="100"/>
      <c r="K1240" s="100"/>
      <c r="L1240" s="100"/>
      <c r="M1240" s="100"/>
      <c r="N1240" s="100"/>
      <c r="O1240" s="100"/>
      <c r="P1240" s="100"/>
      <c r="Q1240" s="100"/>
      <c r="R1240" s="100"/>
      <c r="S1240" s="100"/>
      <c r="T1240" s="100"/>
      <c r="U1240" s="100"/>
      <c r="V1240" s="100"/>
      <c r="W1240" s="100"/>
      <c r="X1240" s="100"/>
      <c r="Y1240" s="100"/>
      <c r="Z1240" s="100"/>
    </row>
    <row r="1241" spans="1:26">
      <c r="A1241" s="100"/>
      <c r="B1241" s="100"/>
      <c r="C1241" s="100"/>
      <c r="D1241" s="100"/>
      <c r="E1241" s="100"/>
      <c r="F1241" s="100"/>
      <c r="G1241" s="100"/>
      <c r="H1241" s="100"/>
      <c r="I1241" s="100"/>
      <c r="J1241" s="100"/>
      <c r="K1241" s="100"/>
      <c r="L1241" s="100"/>
      <c r="M1241" s="100"/>
      <c r="N1241" s="100"/>
      <c r="O1241" s="100"/>
      <c r="P1241" s="100"/>
      <c r="Q1241" s="100"/>
      <c r="R1241" s="100"/>
      <c r="S1241" s="100"/>
      <c r="T1241" s="100"/>
      <c r="U1241" s="100"/>
      <c r="V1241" s="100"/>
      <c r="W1241" s="100"/>
      <c r="X1241" s="100"/>
      <c r="Y1241" s="100"/>
      <c r="Z1241" s="100"/>
    </row>
    <row r="1242" spans="1:26">
      <c r="A1242" s="100"/>
      <c r="B1242" s="100"/>
      <c r="C1242" s="100"/>
      <c r="D1242" s="100"/>
      <c r="E1242" s="100"/>
      <c r="F1242" s="100"/>
      <c r="G1242" s="100"/>
      <c r="H1242" s="100"/>
      <c r="I1242" s="100"/>
      <c r="J1242" s="100"/>
      <c r="K1242" s="100"/>
      <c r="L1242" s="100"/>
      <c r="M1242" s="100"/>
      <c r="N1242" s="100"/>
      <c r="O1242" s="100"/>
      <c r="P1242" s="100"/>
      <c r="Q1242" s="100"/>
      <c r="R1242" s="100"/>
      <c r="S1242" s="100"/>
      <c r="T1242" s="100"/>
      <c r="U1242" s="100"/>
      <c r="V1242" s="100"/>
      <c r="W1242" s="100"/>
      <c r="X1242" s="100"/>
      <c r="Y1242" s="100"/>
      <c r="Z1242" s="100"/>
    </row>
    <row r="1243" spans="1:26">
      <c r="A1243" s="100"/>
      <c r="B1243" s="100"/>
      <c r="C1243" s="100"/>
      <c r="D1243" s="100"/>
      <c r="E1243" s="100"/>
      <c r="F1243" s="100"/>
      <c r="G1243" s="100"/>
      <c r="H1243" s="100"/>
      <c r="I1243" s="100"/>
      <c r="J1243" s="100"/>
      <c r="K1243" s="100"/>
      <c r="L1243" s="100"/>
      <c r="M1243" s="100"/>
      <c r="N1243" s="100"/>
      <c r="O1243" s="100"/>
      <c r="P1243" s="100"/>
      <c r="Q1243" s="100"/>
      <c r="R1243" s="100"/>
      <c r="S1243" s="100"/>
      <c r="T1243" s="100"/>
      <c r="U1243" s="100"/>
      <c r="V1243" s="100"/>
      <c r="W1243" s="100"/>
      <c r="X1243" s="100"/>
      <c r="Y1243" s="100"/>
      <c r="Z1243" s="100"/>
    </row>
    <row r="1244" spans="1:26">
      <c r="A1244" s="100"/>
      <c r="B1244" s="100"/>
      <c r="C1244" s="100"/>
      <c r="D1244" s="100"/>
      <c r="E1244" s="100"/>
      <c r="F1244" s="100"/>
      <c r="G1244" s="100"/>
      <c r="H1244" s="100"/>
      <c r="I1244" s="100"/>
      <c r="J1244" s="100"/>
      <c r="K1244" s="100"/>
      <c r="L1244" s="100"/>
      <c r="M1244" s="100"/>
      <c r="N1244" s="100"/>
      <c r="O1244" s="100"/>
      <c r="P1244" s="100"/>
      <c r="Q1244" s="100"/>
      <c r="R1244" s="100"/>
      <c r="S1244" s="100"/>
      <c r="T1244" s="100"/>
      <c r="U1244" s="100"/>
      <c r="V1244" s="100"/>
      <c r="W1244" s="100"/>
      <c r="X1244" s="100"/>
      <c r="Y1244" s="100"/>
      <c r="Z1244" s="100"/>
    </row>
    <row r="1245" spans="1:26">
      <c r="A1245" s="100"/>
      <c r="B1245" s="100"/>
      <c r="C1245" s="100"/>
      <c r="D1245" s="100"/>
      <c r="E1245" s="100"/>
      <c r="F1245" s="100"/>
      <c r="G1245" s="100"/>
      <c r="H1245" s="100"/>
      <c r="I1245" s="100"/>
      <c r="J1245" s="100"/>
      <c r="K1245" s="100"/>
      <c r="L1245" s="100"/>
      <c r="M1245" s="100"/>
      <c r="N1245" s="100"/>
      <c r="O1245" s="100"/>
      <c r="P1245" s="100"/>
      <c r="Q1245" s="100"/>
      <c r="R1245" s="100"/>
      <c r="S1245" s="100"/>
      <c r="T1245" s="100"/>
      <c r="U1245" s="100"/>
      <c r="V1245" s="100"/>
      <c r="W1245" s="100"/>
      <c r="X1245" s="100"/>
      <c r="Y1245" s="100"/>
      <c r="Z1245" s="100"/>
    </row>
    <row r="1246" spans="1:26">
      <c r="A1246" s="100"/>
      <c r="B1246" s="100"/>
      <c r="C1246" s="100"/>
      <c r="D1246" s="100"/>
      <c r="E1246" s="100"/>
      <c r="F1246" s="100"/>
      <c r="G1246" s="100"/>
      <c r="H1246" s="100"/>
      <c r="I1246" s="100"/>
      <c r="J1246" s="100"/>
      <c r="K1246" s="100"/>
      <c r="L1246" s="100"/>
      <c r="M1246" s="100"/>
      <c r="N1246" s="100"/>
      <c r="O1246" s="100"/>
      <c r="P1246" s="100"/>
      <c r="Q1246" s="100"/>
      <c r="R1246" s="100"/>
      <c r="S1246" s="100"/>
      <c r="T1246" s="100"/>
      <c r="U1246" s="100"/>
      <c r="V1246" s="100"/>
      <c r="W1246" s="100"/>
      <c r="X1246" s="100"/>
      <c r="Y1246" s="100"/>
      <c r="Z1246" s="100"/>
    </row>
    <row r="1247" spans="1:26">
      <c r="A1247" s="100"/>
      <c r="B1247" s="100"/>
      <c r="C1247" s="1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  <c r="O1247" s="100"/>
      <c r="P1247" s="100"/>
      <c r="Q1247" s="100"/>
      <c r="R1247" s="100"/>
      <c r="S1247" s="100"/>
      <c r="T1247" s="100"/>
      <c r="U1247" s="100"/>
      <c r="V1247" s="100"/>
      <c r="W1247" s="100"/>
      <c r="X1247" s="100"/>
      <c r="Y1247" s="100"/>
      <c r="Z1247" s="100"/>
    </row>
    <row r="1248" spans="1:26">
      <c r="A1248" s="100"/>
      <c r="B1248" s="100"/>
      <c r="C1248" s="100"/>
      <c r="D1248" s="100"/>
      <c r="E1248" s="100"/>
      <c r="F1248" s="100"/>
      <c r="G1248" s="100"/>
      <c r="H1248" s="100"/>
      <c r="I1248" s="100"/>
      <c r="J1248" s="100"/>
      <c r="K1248" s="100"/>
      <c r="L1248" s="100"/>
      <c r="M1248" s="100"/>
      <c r="N1248" s="100"/>
      <c r="O1248" s="100"/>
      <c r="P1248" s="100"/>
      <c r="Q1248" s="100"/>
      <c r="R1248" s="100"/>
      <c r="S1248" s="100"/>
      <c r="T1248" s="100"/>
      <c r="U1248" s="100"/>
      <c r="V1248" s="100"/>
      <c r="W1248" s="100"/>
      <c r="X1248" s="100"/>
      <c r="Y1248" s="100"/>
      <c r="Z1248" s="100"/>
    </row>
    <row r="1249" spans="1:26">
      <c r="A1249" s="100"/>
      <c r="B1249" s="100"/>
      <c r="C1249" s="100"/>
      <c r="D1249" s="100"/>
      <c r="E1249" s="100"/>
      <c r="F1249" s="100"/>
      <c r="G1249" s="100"/>
      <c r="H1249" s="100"/>
      <c r="I1249" s="100"/>
      <c r="J1249" s="100"/>
      <c r="K1249" s="100"/>
      <c r="L1249" s="100"/>
      <c r="M1249" s="100"/>
      <c r="N1249" s="100"/>
      <c r="O1249" s="100"/>
      <c r="P1249" s="100"/>
      <c r="Q1249" s="100"/>
      <c r="R1249" s="100"/>
      <c r="S1249" s="100"/>
      <c r="T1249" s="100"/>
      <c r="U1249" s="100"/>
      <c r="V1249" s="100"/>
      <c r="W1249" s="100"/>
      <c r="X1249" s="100"/>
      <c r="Y1249" s="100"/>
      <c r="Z1249" s="100"/>
    </row>
    <row r="1250" spans="1:26">
      <c r="A1250" s="100"/>
      <c r="B1250" s="100"/>
      <c r="C1250" s="100"/>
      <c r="D1250" s="100"/>
      <c r="E1250" s="100"/>
      <c r="F1250" s="100"/>
      <c r="G1250" s="100"/>
      <c r="H1250" s="100"/>
      <c r="I1250" s="100"/>
      <c r="J1250" s="100"/>
      <c r="K1250" s="100"/>
      <c r="L1250" s="100"/>
      <c r="M1250" s="100"/>
      <c r="N1250" s="100"/>
      <c r="O1250" s="100"/>
      <c r="P1250" s="100"/>
      <c r="Q1250" s="100"/>
      <c r="R1250" s="100"/>
      <c r="S1250" s="100"/>
      <c r="T1250" s="100"/>
      <c r="U1250" s="100"/>
      <c r="V1250" s="100"/>
      <c r="W1250" s="100"/>
      <c r="X1250" s="100"/>
      <c r="Y1250" s="100"/>
      <c r="Z1250" s="100"/>
    </row>
    <row r="1251" spans="1:26">
      <c r="A1251" s="100"/>
      <c r="B1251" s="100"/>
      <c r="C1251" s="1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  <c r="O1251" s="100"/>
      <c r="P1251" s="100"/>
      <c r="Q1251" s="100"/>
      <c r="R1251" s="100"/>
      <c r="S1251" s="100"/>
      <c r="T1251" s="100"/>
      <c r="U1251" s="100"/>
      <c r="V1251" s="100"/>
      <c r="W1251" s="100"/>
      <c r="X1251" s="100"/>
      <c r="Y1251" s="100"/>
      <c r="Z1251" s="100"/>
    </row>
    <row r="1252" spans="1:26">
      <c r="A1252" s="100"/>
      <c r="B1252" s="100"/>
      <c r="C1252" s="100"/>
      <c r="D1252" s="100"/>
      <c r="E1252" s="100"/>
      <c r="F1252" s="100"/>
      <c r="G1252" s="100"/>
      <c r="H1252" s="100"/>
      <c r="I1252" s="100"/>
      <c r="J1252" s="100"/>
      <c r="K1252" s="100"/>
      <c r="L1252" s="100"/>
      <c r="M1252" s="100"/>
      <c r="N1252" s="100"/>
      <c r="O1252" s="100"/>
      <c r="P1252" s="100"/>
      <c r="Q1252" s="100"/>
      <c r="R1252" s="100"/>
      <c r="S1252" s="100"/>
      <c r="T1252" s="100"/>
      <c r="U1252" s="100"/>
      <c r="V1252" s="100"/>
      <c r="W1252" s="100"/>
      <c r="X1252" s="100"/>
      <c r="Y1252" s="100"/>
      <c r="Z1252" s="100"/>
    </row>
    <row r="1253" spans="1:26">
      <c r="A1253" s="100"/>
      <c r="B1253" s="100"/>
      <c r="C1253" s="100"/>
      <c r="D1253" s="100"/>
      <c r="E1253" s="100"/>
      <c r="F1253" s="100"/>
      <c r="G1253" s="100"/>
      <c r="H1253" s="100"/>
      <c r="I1253" s="100"/>
      <c r="J1253" s="100"/>
      <c r="K1253" s="100"/>
      <c r="L1253" s="100"/>
      <c r="M1253" s="100"/>
      <c r="N1253" s="100"/>
      <c r="O1253" s="100"/>
      <c r="P1253" s="100"/>
      <c r="Q1253" s="100"/>
      <c r="R1253" s="100"/>
      <c r="S1253" s="100"/>
      <c r="T1253" s="100"/>
      <c r="U1253" s="100"/>
      <c r="V1253" s="100"/>
      <c r="W1253" s="100"/>
      <c r="X1253" s="100"/>
      <c r="Y1253" s="100"/>
      <c r="Z1253" s="100"/>
    </row>
    <row r="1254" spans="1:26">
      <c r="A1254" s="100"/>
      <c r="B1254" s="100"/>
      <c r="C1254" s="100"/>
      <c r="D1254" s="100"/>
      <c r="E1254" s="100"/>
      <c r="F1254" s="100"/>
      <c r="G1254" s="100"/>
      <c r="H1254" s="100"/>
      <c r="I1254" s="100"/>
      <c r="J1254" s="100"/>
      <c r="K1254" s="100"/>
      <c r="L1254" s="100"/>
      <c r="M1254" s="100"/>
      <c r="N1254" s="100"/>
      <c r="O1254" s="100"/>
      <c r="P1254" s="100"/>
      <c r="Q1254" s="100"/>
      <c r="R1254" s="100"/>
      <c r="S1254" s="100"/>
      <c r="T1254" s="100"/>
      <c r="U1254" s="100"/>
      <c r="V1254" s="100"/>
      <c r="W1254" s="100"/>
      <c r="X1254" s="100"/>
      <c r="Y1254" s="100"/>
      <c r="Z1254" s="100"/>
    </row>
    <row r="1255" spans="1:26">
      <c r="A1255" s="100"/>
      <c r="B1255" s="100"/>
      <c r="C1255" s="100"/>
      <c r="D1255" s="100"/>
      <c r="E1255" s="100"/>
      <c r="F1255" s="100"/>
      <c r="G1255" s="100"/>
      <c r="H1255" s="100"/>
      <c r="I1255" s="100"/>
      <c r="J1255" s="100"/>
      <c r="K1255" s="100"/>
      <c r="L1255" s="100"/>
      <c r="M1255" s="100"/>
      <c r="N1255" s="100"/>
      <c r="O1255" s="100"/>
      <c r="P1255" s="100"/>
      <c r="Q1255" s="100"/>
      <c r="R1255" s="100"/>
      <c r="S1255" s="100"/>
      <c r="T1255" s="100"/>
      <c r="U1255" s="100"/>
      <c r="V1255" s="100"/>
      <c r="W1255" s="100"/>
      <c r="X1255" s="100"/>
      <c r="Y1255" s="100"/>
      <c r="Z1255" s="100"/>
    </row>
    <row r="1256" spans="1:26">
      <c r="A1256" s="100"/>
      <c r="B1256" s="100"/>
      <c r="C1256" s="100"/>
      <c r="D1256" s="100"/>
      <c r="E1256" s="100"/>
      <c r="F1256" s="100"/>
      <c r="G1256" s="100"/>
      <c r="H1256" s="100"/>
      <c r="I1256" s="100"/>
      <c r="J1256" s="100"/>
      <c r="K1256" s="100"/>
      <c r="L1256" s="100"/>
      <c r="M1256" s="100"/>
      <c r="N1256" s="100"/>
      <c r="O1256" s="100"/>
      <c r="P1256" s="100"/>
      <c r="Q1256" s="100"/>
      <c r="R1256" s="100"/>
      <c r="S1256" s="100"/>
      <c r="T1256" s="100"/>
      <c r="U1256" s="100"/>
      <c r="V1256" s="100"/>
      <c r="W1256" s="100"/>
      <c r="X1256" s="100"/>
      <c r="Y1256" s="100"/>
      <c r="Z1256" s="100"/>
    </row>
    <row r="1257" spans="1:26">
      <c r="A1257" s="100"/>
      <c r="B1257" s="100"/>
      <c r="C1257" s="100"/>
      <c r="D1257" s="100"/>
      <c r="E1257" s="100"/>
      <c r="F1257" s="100"/>
      <c r="G1257" s="100"/>
      <c r="H1257" s="100"/>
      <c r="I1257" s="100"/>
      <c r="J1257" s="100"/>
      <c r="K1257" s="100"/>
      <c r="L1257" s="100"/>
      <c r="M1257" s="100"/>
      <c r="N1257" s="100"/>
      <c r="O1257" s="100"/>
      <c r="P1257" s="100"/>
      <c r="Q1257" s="100"/>
      <c r="R1257" s="100"/>
      <c r="S1257" s="100"/>
      <c r="T1257" s="100"/>
      <c r="U1257" s="100"/>
      <c r="V1257" s="100"/>
      <c r="W1257" s="100"/>
      <c r="X1257" s="100"/>
      <c r="Y1257" s="100"/>
      <c r="Z1257" s="100"/>
    </row>
    <row r="1258" spans="1:26">
      <c r="A1258" s="100"/>
      <c r="B1258" s="100"/>
      <c r="C1258" s="100"/>
      <c r="D1258" s="100"/>
      <c r="E1258" s="100"/>
      <c r="F1258" s="100"/>
      <c r="G1258" s="100"/>
      <c r="H1258" s="100"/>
      <c r="I1258" s="100"/>
      <c r="J1258" s="100"/>
      <c r="K1258" s="100"/>
      <c r="L1258" s="100"/>
      <c r="M1258" s="100"/>
      <c r="N1258" s="100"/>
      <c r="O1258" s="100"/>
      <c r="P1258" s="100"/>
      <c r="Q1258" s="100"/>
      <c r="R1258" s="100"/>
      <c r="S1258" s="100"/>
      <c r="T1258" s="100"/>
      <c r="U1258" s="100"/>
      <c r="V1258" s="100"/>
      <c r="W1258" s="100"/>
      <c r="X1258" s="100"/>
      <c r="Y1258" s="100"/>
      <c r="Z1258" s="100"/>
    </row>
    <row r="1259" spans="1:26">
      <c r="A1259" s="100"/>
      <c r="B1259" s="100"/>
      <c r="C1259" s="100"/>
      <c r="D1259" s="100"/>
      <c r="E1259" s="100"/>
      <c r="F1259" s="100"/>
      <c r="G1259" s="100"/>
      <c r="H1259" s="100"/>
      <c r="I1259" s="100"/>
      <c r="J1259" s="100"/>
      <c r="K1259" s="100"/>
      <c r="L1259" s="100"/>
      <c r="M1259" s="100"/>
      <c r="N1259" s="100"/>
      <c r="O1259" s="100"/>
      <c r="P1259" s="100"/>
      <c r="Q1259" s="100"/>
      <c r="R1259" s="100"/>
      <c r="S1259" s="100"/>
      <c r="T1259" s="100"/>
      <c r="U1259" s="100"/>
      <c r="V1259" s="100"/>
      <c r="W1259" s="100"/>
      <c r="X1259" s="100"/>
      <c r="Y1259" s="100"/>
      <c r="Z1259" s="100"/>
    </row>
    <row r="1260" spans="1:26">
      <c r="A1260" s="100"/>
      <c r="B1260" s="100"/>
      <c r="C1260" s="100"/>
      <c r="D1260" s="100"/>
      <c r="E1260" s="100"/>
      <c r="F1260" s="100"/>
      <c r="G1260" s="100"/>
      <c r="H1260" s="100"/>
      <c r="I1260" s="100"/>
      <c r="J1260" s="100"/>
      <c r="K1260" s="100"/>
      <c r="L1260" s="100"/>
      <c r="M1260" s="100"/>
      <c r="N1260" s="100"/>
      <c r="O1260" s="100"/>
      <c r="P1260" s="100"/>
      <c r="Q1260" s="100"/>
      <c r="R1260" s="100"/>
      <c r="S1260" s="100"/>
      <c r="T1260" s="100"/>
      <c r="U1260" s="100"/>
      <c r="V1260" s="100"/>
      <c r="W1260" s="100"/>
      <c r="X1260" s="100"/>
      <c r="Y1260" s="100"/>
      <c r="Z1260" s="100"/>
    </row>
    <row r="1261" spans="1:26">
      <c r="A1261" s="100"/>
      <c r="B1261" s="100"/>
      <c r="C1261" s="100"/>
      <c r="D1261" s="100"/>
      <c r="E1261" s="100"/>
      <c r="F1261" s="100"/>
      <c r="G1261" s="100"/>
      <c r="H1261" s="100"/>
      <c r="I1261" s="100"/>
      <c r="J1261" s="100"/>
      <c r="K1261" s="100"/>
      <c r="L1261" s="100"/>
      <c r="M1261" s="100"/>
      <c r="N1261" s="100"/>
      <c r="O1261" s="100"/>
      <c r="P1261" s="100"/>
      <c r="Q1261" s="100"/>
      <c r="R1261" s="100"/>
      <c r="S1261" s="100"/>
      <c r="T1261" s="100"/>
      <c r="U1261" s="100"/>
      <c r="V1261" s="100"/>
      <c r="W1261" s="100"/>
      <c r="X1261" s="100"/>
      <c r="Y1261" s="100"/>
      <c r="Z1261" s="100"/>
    </row>
    <row r="1262" spans="1:26">
      <c r="A1262" s="100"/>
      <c r="B1262" s="100"/>
      <c r="C1262" s="100"/>
      <c r="D1262" s="100"/>
      <c r="E1262" s="100"/>
      <c r="F1262" s="100"/>
      <c r="G1262" s="100"/>
      <c r="H1262" s="100"/>
      <c r="I1262" s="100"/>
      <c r="J1262" s="100"/>
      <c r="K1262" s="100"/>
      <c r="L1262" s="100"/>
      <c r="M1262" s="100"/>
      <c r="N1262" s="100"/>
      <c r="O1262" s="100"/>
      <c r="P1262" s="100"/>
      <c r="Q1262" s="100"/>
      <c r="R1262" s="100"/>
      <c r="S1262" s="100"/>
      <c r="T1262" s="100"/>
      <c r="U1262" s="100"/>
      <c r="V1262" s="100"/>
      <c r="W1262" s="100"/>
      <c r="X1262" s="100"/>
      <c r="Y1262" s="100"/>
      <c r="Z1262" s="100"/>
    </row>
    <row r="1263" spans="1:26">
      <c r="A1263" s="100"/>
      <c r="B1263" s="100"/>
      <c r="C1263" s="1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  <c r="O1263" s="100"/>
      <c r="P1263" s="100"/>
      <c r="Q1263" s="100"/>
      <c r="R1263" s="100"/>
      <c r="S1263" s="100"/>
      <c r="T1263" s="100"/>
      <c r="U1263" s="100"/>
      <c r="V1263" s="100"/>
      <c r="W1263" s="100"/>
      <c r="X1263" s="100"/>
      <c r="Y1263" s="100"/>
      <c r="Z1263" s="100"/>
    </row>
    <row r="1264" spans="1:26">
      <c r="A1264" s="100"/>
      <c r="B1264" s="100"/>
      <c r="C1264" s="100"/>
      <c r="D1264" s="100"/>
      <c r="E1264" s="100"/>
      <c r="F1264" s="100"/>
      <c r="G1264" s="100"/>
      <c r="H1264" s="100"/>
      <c r="I1264" s="100"/>
      <c r="J1264" s="100"/>
      <c r="K1264" s="100"/>
      <c r="L1264" s="100"/>
      <c r="M1264" s="100"/>
      <c r="N1264" s="100"/>
      <c r="O1264" s="100"/>
      <c r="P1264" s="100"/>
      <c r="Q1264" s="100"/>
      <c r="R1264" s="100"/>
      <c r="S1264" s="100"/>
      <c r="T1264" s="100"/>
      <c r="U1264" s="100"/>
      <c r="V1264" s="100"/>
      <c r="W1264" s="100"/>
      <c r="X1264" s="100"/>
      <c r="Y1264" s="100"/>
      <c r="Z1264" s="100"/>
    </row>
    <row r="1265" spans="1:26">
      <c r="A1265" s="100"/>
      <c r="B1265" s="100"/>
      <c r="C1265" s="100"/>
      <c r="D1265" s="100"/>
      <c r="E1265" s="100"/>
      <c r="F1265" s="100"/>
      <c r="G1265" s="100"/>
      <c r="H1265" s="100"/>
      <c r="I1265" s="100"/>
      <c r="J1265" s="100"/>
      <c r="K1265" s="100"/>
      <c r="L1265" s="100"/>
      <c r="M1265" s="100"/>
      <c r="N1265" s="100"/>
      <c r="O1265" s="100"/>
      <c r="P1265" s="100"/>
      <c r="Q1265" s="100"/>
      <c r="R1265" s="100"/>
      <c r="S1265" s="100"/>
      <c r="T1265" s="100"/>
      <c r="U1265" s="100"/>
      <c r="V1265" s="100"/>
      <c r="W1265" s="100"/>
      <c r="X1265" s="100"/>
      <c r="Y1265" s="100"/>
      <c r="Z1265" s="100"/>
    </row>
    <row r="1266" spans="1:26">
      <c r="A1266" s="100"/>
      <c r="B1266" s="100"/>
      <c r="C1266" s="100"/>
      <c r="D1266" s="100"/>
      <c r="E1266" s="100"/>
      <c r="F1266" s="100"/>
      <c r="G1266" s="100"/>
      <c r="H1266" s="100"/>
      <c r="I1266" s="100"/>
      <c r="J1266" s="100"/>
      <c r="K1266" s="100"/>
      <c r="L1266" s="100"/>
      <c r="M1266" s="100"/>
      <c r="N1266" s="100"/>
      <c r="O1266" s="100"/>
      <c r="P1266" s="100"/>
      <c r="Q1266" s="100"/>
      <c r="R1266" s="100"/>
      <c r="S1266" s="100"/>
      <c r="T1266" s="100"/>
      <c r="U1266" s="100"/>
      <c r="V1266" s="100"/>
      <c r="W1266" s="100"/>
      <c r="X1266" s="100"/>
      <c r="Y1266" s="100"/>
      <c r="Z1266" s="100"/>
    </row>
    <row r="1267" spans="1:26">
      <c r="A1267" s="100"/>
      <c r="B1267" s="100"/>
      <c r="C1267" s="100"/>
      <c r="D1267" s="100"/>
      <c r="E1267" s="100"/>
      <c r="F1267" s="100"/>
      <c r="G1267" s="100"/>
      <c r="H1267" s="100"/>
      <c r="I1267" s="100"/>
      <c r="J1267" s="100"/>
      <c r="K1267" s="100"/>
      <c r="L1267" s="100"/>
      <c r="M1267" s="100"/>
      <c r="N1267" s="100"/>
      <c r="O1267" s="100"/>
      <c r="P1267" s="100"/>
      <c r="Q1267" s="100"/>
      <c r="R1267" s="100"/>
      <c r="S1267" s="100"/>
      <c r="T1267" s="100"/>
      <c r="U1267" s="100"/>
      <c r="V1267" s="100"/>
      <c r="W1267" s="100"/>
      <c r="X1267" s="100"/>
      <c r="Y1267" s="100"/>
      <c r="Z1267" s="100"/>
    </row>
    <row r="1268" spans="1:26">
      <c r="A1268" s="100"/>
      <c r="B1268" s="100"/>
      <c r="C1268" s="100"/>
      <c r="D1268" s="100"/>
      <c r="E1268" s="100"/>
      <c r="F1268" s="100"/>
      <c r="G1268" s="100"/>
      <c r="H1268" s="100"/>
      <c r="I1268" s="100"/>
      <c r="J1268" s="100"/>
      <c r="K1268" s="100"/>
      <c r="L1268" s="100"/>
      <c r="M1268" s="100"/>
      <c r="N1268" s="100"/>
      <c r="O1268" s="100"/>
      <c r="P1268" s="100"/>
      <c r="Q1268" s="100"/>
      <c r="R1268" s="100"/>
      <c r="S1268" s="100"/>
      <c r="T1268" s="100"/>
      <c r="U1268" s="100"/>
      <c r="V1268" s="100"/>
      <c r="W1268" s="100"/>
      <c r="X1268" s="100"/>
      <c r="Y1268" s="100"/>
      <c r="Z1268" s="100"/>
    </row>
    <row r="1269" spans="1:26">
      <c r="A1269" s="100"/>
      <c r="B1269" s="100"/>
      <c r="C1269" s="100"/>
      <c r="D1269" s="100"/>
      <c r="E1269" s="100"/>
      <c r="F1269" s="100"/>
      <c r="G1269" s="100"/>
      <c r="H1269" s="100"/>
      <c r="I1269" s="100"/>
      <c r="J1269" s="100"/>
      <c r="K1269" s="100"/>
      <c r="L1269" s="100"/>
      <c r="M1269" s="100"/>
      <c r="N1269" s="100"/>
      <c r="O1269" s="100"/>
      <c r="P1269" s="100"/>
      <c r="Q1269" s="100"/>
      <c r="R1269" s="100"/>
      <c r="S1269" s="100"/>
      <c r="T1269" s="100"/>
      <c r="U1269" s="100"/>
      <c r="V1269" s="100"/>
      <c r="W1269" s="100"/>
      <c r="X1269" s="100"/>
      <c r="Y1269" s="100"/>
      <c r="Z1269" s="100"/>
    </row>
    <row r="1270" spans="1:26">
      <c r="A1270" s="100"/>
      <c r="B1270" s="100"/>
      <c r="C1270" s="100"/>
      <c r="D1270" s="100"/>
      <c r="E1270" s="100"/>
      <c r="F1270" s="100"/>
      <c r="G1270" s="100"/>
      <c r="H1270" s="100"/>
      <c r="I1270" s="100"/>
      <c r="J1270" s="100"/>
      <c r="K1270" s="100"/>
      <c r="L1270" s="100"/>
      <c r="M1270" s="100"/>
      <c r="N1270" s="100"/>
      <c r="O1270" s="100"/>
      <c r="P1270" s="100"/>
      <c r="Q1270" s="100"/>
      <c r="R1270" s="100"/>
      <c r="S1270" s="100"/>
      <c r="T1270" s="100"/>
      <c r="U1270" s="100"/>
      <c r="V1270" s="100"/>
      <c r="W1270" s="100"/>
      <c r="X1270" s="100"/>
      <c r="Y1270" s="100"/>
      <c r="Z1270" s="100"/>
    </row>
    <row r="1271" spans="1:26">
      <c r="A1271" s="100"/>
      <c r="B1271" s="100"/>
      <c r="C1271" s="100"/>
      <c r="D1271" s="100"/>
      <c r="E1271" s="100"/>
      <c r="F1271" s="100"/>
      <c r="G1271" s="100"/>
      <c r="H1271" s="100"/>
      <c r="I1271" s="100"/>
      <c r="J1271" s="100"/>
      <c r="K1271" s="100"/>
      <c r="L1271" s="100"/>
      <c r="M1271" s="100"/>
      <c r="N1271" s="100"/>
      <c r="O1271" s="100"/>
      <c r="P1271" s="100"/>
      <c r="Q1271" s="100"/>
      <c r="R1271" s="100"/>
      <c r="S1271" s="100"/>
      <c r="T1271" s="100"/>
      <c r="U1271" s="100"/>
      <c r="V1271" s="100"/>
      <c r="W1271" s="100"/>
      <c r="X1271" s="100"/>
      <c r="Y1271" s="100"/>
      <c r="Z1271" s="100"/>
    </row>
    <row r="1272" spans="1:26">
      <c r="A1272" s="100"/>
      <c r="B1272" s="100"/>
      <c r="C1272" s="100"/>
      <c r="D1272" s="100"/>
      <c r="E1272" s="100"/>
      <c r="F1272" s="100"/>
      <c r="G1272" s="100"/>
      <c r="H1272" s="100"/>
      <c r="I1272" s="100"/>
      <c r="J1272" s="100"/>
      <c r="K1272" s="100"/>
      <c r="L1272" s="100"/>
      <c r="M1272" s="100"/>
      <c r="N1272" s="100"/>
      <c r="O1272" s="100"/>
      <c r="P1272" s="100"/>
      <c r="Q1272" s="100"/>
      <c r="R1272" s="100"/>
      <c r="S1272" s="100"/>
      <c r="T1272" s="100"/>
      <c r="U1272" s="100"/>
      <c r="V1272" s="100"/>
      <c r="W1272" s="100"/>
      <c r="X1272" s="100"/>
      <c r="Y1272" s="100"/>
      <c r="Z1272" s="100"/>
    </row>
    <row r="1273" spans="1:26">
      <c r="A1273" s="100"/>
      <c r="B1273" s="100"/>
      <c r="C1273" s="100"/>
      <c r="D1273" s="100"/>
      <c r="E1273" s="100"/>
      <c r="F1273" s="100"/>
      <c r="G1273" s="100"/>
      <c r="H1273" s="100"/>
      <c r="I1273" s="100"/>
      <c r="J1273" s="100"/>
      <c r="K1273" s="100"/>
      <c r="L1273" s="100"/>
      <c r="M1273" s="100"/>
      <c r="N1273" s="100"/>
      <c r="O1273" s="100"/>
      <c r="P1273" s="100"/>
      <c r="Q1273" s="100"/>
      <c r="R1273" s="100"/>
      <c r="S1273" s="100"/>
      <c r="T1273" s="100"/>
      <c r="U1273" s="100"/>
      <c r="V1273" s="100"/>
      <c r="W1273" s="100"/>
      <c r="X1273" s="100"/>
      <c r="Y1273" s="100"/>
      <c r="Z1273" s="100"/>
    </row>
    <row r="1274" spans="1:26">
      <c r="A1274" s="100"/>
      <c r="B1274" s="100"/>
      <c r="C1274" s="100"/>
      <c r="D1274" s="100"/>
      <c r="E1274" s="100"/>
      <c r="F1274" s="100"/>
      <c r="G1274" s="100"/>
      <c r="H1274" s="100"/>
      <c r="I1274" s="100"/>
      <c r="J1274" s="100"/>
      <c r="K1274" s="100"/>
      <c r="L1274" s="100"/>
      <c r="M1274" s="100"/>
      <c r="N1274" s="100"/>
      <c r="O1274" s="100"/>
      <c r="P1274" s="100"/>
      <c r="Q1274" s="100"/>
      <c r="R1274" s="100"/>
      <c r="S1274" s="100"/>
      <c r="T1274" s="100"/>
      <c r="U1274" s="100"/>
      <c r="V1274" s="100"/>
      <c r="W1274" s="100"/>
      <c r="X1274" s="100"/>
      <c r="Y1274" s="100"/>
      <c r="Z1274" s="100"/>
    </row>
    <row r="1275" spans="1:26">
      <c r="A1275" s="100"/>
      <c r="B1275" s="100"/>
      <c r="C1275" s="100"/>
      <c r="D1275" s="100"/>
      <c r="E1275" s="100"/>
      <c r="F1275" s="100"/>
      <c r="G1275" s="100"/>
      <c r="H1275" s="100"/>
      <c r="I1275" s="100"/>
      <c r="J1275" s="100"/>
      <c r="K1275" s="100"/>
      <c r="L1275" s="100"/>
      <c r="M1275" s="100"/>
      <c r="N1275" s="100"/>
      <c r="O1275" s="100"/>
      <c r="P1275" s="100"/>
      <c r="Q1275" s="100"/>
      <c r="R1275" s="100"/>
      <c r="S1275" s="100"/>
      <c r="T1275" s="100"/>
      <c r="U1275" s="100"/>
      <c r="V1275" s="100"/>
      <c r="W1275" s="100"/>
      <c r="X1275" s="100"/>
      <c r="Y1275" s="100"/>
      <c r="Z1275" s="100"/>
    </row>
    <row r="1276" spans="1:26">
      <c r="A1276" s="100"/>
      <c r="B1276" s="100"/>
      <c r="C1276" s="100"/>
      <c r="D1276" s="100"/>
      <c r="E1276" s="100"/>
      <c r="F1276" s="100"/>
      <c r="G1276" s="100"/>
      <c r="H1276" s="100"/>
      <c r="I1276" s="100"/>
      <c r="J1276" s="100"/>
      <c r="K1276" s="100"/>
      <c r="L1276" s="100"/>
      <c r="M1276" s="100"/>
      <c r="N1276" s="100"/>
      <c r="O1276" s="100"/>
      <c r="P1276" s="100"/>
      <c r="Q1276" s="100"/>
      <c r="R1276" s="100"/>
      <c r="S1276" s="100"/>
      <c r="T1276" s="100"/>
      <c r="U1276" s="100"/>
      <c r="V1276" s="100"/>
      <c r="W1276" s="100"/>
      <c r="X1276" s="100"/>
      <c r="Y1276" s="100"/>
      <c r="Z1276" s="100"/>
    </row>
    <row r="1277" spans="1:26">
      <c r="A1277" s="100"/>
      <c r="B1277" s="100"/>
      <c r="C1277" s="100"/>
      <c r="D1277" s="100"/>
      <c r="E1277" s="100"/>
      <c r="F1277" s="100"/>
      <c r="G1277" s="100"/>
      <c r="H1277" s="100"/>
      <c r="I1277" s="100"/>
      <c r="J1277" s="100"/>
      <c r="K1277" s="100"/>
      <c r="L1277" s="100"/>
      <c r="M1277" s="100"/>
      <c r="N1277" s="100"/>
      <c r="O1277" s="100"/>
      <c r="P1277" s="100"/>
      <c r="Q1277" s="100"/>
      <c r="R1277" s="100"/>
      <c r="S1277" s="100"/>
      <c r="T1277" s="100"/>
      <c r="U1277" s="100"/>
      <c r="V1277" s="100"/>
      <c r="W1277" s="100"/>
      <c r="X1277" s="100"/>
      <c r="Y1277" s="100"/>
      <c r="Z1277" s="100"/>
    </row>
    <row r="1278" spans="1:26">
      <c r="A1278" s="100"/>
      <c r="B1278" s="100"/>
      <c r="C1278" s="100"/>
      <c r="D1278" s="100"/>
      <c r="E1278" s="100"/>
      <c r="F1278" s="100"/>
      <c r="G1278" s="100"/>
      <c r="H1278" s="100"/>
      <c r="I1278" s="100"/>
      <c r="J1278" s="100"/>
      <c r="K1278" s="100"/>
      <c r="L1278" s="100"/>
      <c r="M1278" s="100"/>
      <c r="N1278" s="100"/>
      <c r="O1278" s="100"/>
      <c r="P1278" s="100"/>
      <c r="Q1278" s="100"/>
      <c r="R1278" s="100"/>
      <c r="S1278" s="100"/>
      <c r="T1278" s="100"/>
      <c r="U1278" s="100"/>
      <c r="V1278" s="100"/>
      <c r="W1278" s="100"/>
      <c r="X1278" s="100"/>
      <c r="Y1278" s="100"/>
      <c r="Z1278" s="100"/>
    </row>
    <row r="1279" spans="1:26">
      <c r="A1279" s="100"/>
      <c r="B1279" s="100"/>
      <c r="C1279" s="1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  <c r="O1279" s="100"/>
      <c r="P1279" s="100"/>
      <c r="Q1279" s="100"/>
      <c r="R1279" s="100"/>
      <c r="S1279" s="100"/>
      <c r="T1279" s="100"/>
      <c r="U1279" s="100"/>
      <c r="V1279" s="100"/>
      <c r="W1279" s="100"/>
      <c r="X1279" s="100"/>
      <c r="Y1279" s="100"/>
      <c r="Z1279" s="100"/>
    </row>
    <row r="1280" spans="1:26">
      <c r="A1280" s="100"/>
      <c r="B1280" s="100"/>
      <c r="C1280" s="100"/>
      <c r="D1280" s="100"/>
      <c r="E1280" s="100"/>
      <c r="F1280" s="100"/>
      <c r="G1280" s="100"/>
      <c r="H1280" s="100"/>
      <c r="I1280" s="100"/>
      <c r="J1280" s="100"/>
      <c r="K1280" s="100"/>
      <c r="L1280" s="100"/>
      <c r="M1280" s="100"/>
      <c r="N1280" s="100"/>
      <c r="O1280" s="100"/>
      <c r="P1280" s="100"/>
      <c r="Q1280" s="100"/>
      <c r="R1280" s="100"/>
      <c r="S1280" s="100"/>
      <c r="T1280" s="100"/>
      <c r="U1280" s="100"/>
      <c r="V1280" s="100"/>
      <c r="W1280" s="100"/>
      <c r="X1280" s="100"/>
      <c r="Y1280" s="100"/>
      <c r="Z1280" s="100"/>
    </row>
    <row r="1281" spans="1:26">
      <c r="A1281" s="100"/>
      <c r="B1281" s="100"/>
      <c r="C1281" s="100"/>
      <c r="D1281" s="100"/>
      <c r="E1281" s="100"/>
      <c r="F1281" s="100"/>
      <c r="G1281" s="100"/>
      <c r="H1281" s="100"/>
      <c r="I1281" s="100"/>
      <c r="J1281" s="100"/>
      <c r="K1281" s="100"/>
      <c r="L1281" s="100"/>
      <c r="M1281" s="100"/>
      <c r="N1281" s="100"/>
      <c r="O1281" s="100"/>
      <c r="P1281" s="100"/>
      <c r="Q1281" s="100"/>
      <c r="R1281" s="100"/>
      <c r="S1281" s="100"/>
      <c r="T1281" s="100"/>
      <c r="U1281" s="100"/>
      <c r="V1281" s="100"/>
      <c r="W1281" s="100"/>
      <c r="X1281" s="100"/>
      <c r="Y1281" s="100"/>
      <c r="Z1281" s="100"/>
    </row>
    <row r="1282" spans="1:26">
      <c r="A1282" s="100"/>
      <c r="B1282" s="100"/>
      <c r="C1282" s="100"/>
      <c r="D1282" s="100"/>
      <c r="E1282" s="100"/>
      <c r="F1282" s="100"/>
      <c r="G1282" s="100"/>
      <c r="H1282" s="100"/>
      <c r="I1282" s="100"/>
      <c r="J1282" s="100"/>
      <c r="K1282" s="100"/>
      <c r="L1282" s="100"/>
      <c r="M1282" s="100"/>
      <c r="N1282" s="100"/>
      <c r="O1282" s="100"/>
      <c r="P1282" s="100"/>
      <c r="Q1282" s="100"/>
      <c r="R1282" s="100"/>
      <c r="S1282" s="100"/>
      <c r="T1282" s="100"/>
      <c r="U1282" s="100"/>
      <c r="V1282" s="100"/>
      <c r="W1282" s="100"/>
      <c r="X1282" s="100"/>
      <c r="Y1282" s="100"/>
      <c r="Z1282" s="100"/>
    </row>
    <row r="1283" spans="1:26">
      <c r="A1283" s="100"/>
      <c r="B1283" s="100"/>
      <c r="C1283" s="100"/>
      <c r="D1283" s="100"/>
      <c r="E1283" s="100"/>
      <c r="F1283" s="100"/>
      <c r="G1283" s="100"/>
      <c r="H1283" s="100"/>
      <c r="I1283" s="100"/>
      <c r="J1283" s="100"/>
      <c r="K1283" s="100"/>
      <c r="L1283" s="100"/>
      <c r="M1283" s="100"/>
      <c r="N1283" s="100"/>
      <c r="O1283" s="100"/>
      <c r="P1283" s="100"/>
      <c r="Q1283" s="100"/>
      <c r="R1283" s="100"/>
      <c r="S1283" s="100"/>
      <c r="T1283" s="100"/>
      <c r="U1283" s="100"/>
      <c r="V1283" s="100"/>
      <c r="W1283" s="100"/>
      <c r="X1283" s="100"/>
      <c r="Y1283" s="100"/>
      <c r="Z1283" s="100"/>
    </row>
    <row r="1284" spans="1:26">
      <c r="A1284" s="100"/>
      <c r="B1284" s="100"/>
      <c r="C1284" s="100"/>
      <c r="D1284" s="100"/>
      <c r="E1284" s="100"/>
      <c r="F1284" s="100"/>
      <c r="G1284" s="100"/>
      <c r="H1284" s="100"/>
      <c r="I1284" s="100"/>
      <c r="J1284" s="100"/>
      <c r="K1284" s="100"/>
      <c r="L1284" s="100"/>
      <c r="M1284" s="100"/>
      <c r="N1284" s="100"/>
      <c r="O1284" s="100"/>
      <c r="P1284" s="100"/>
      <c r="Q1284" s="100"/>
      <c r="R1284" s="100"/>
      <c r="S1284" s="100"/>
      <c r="T1284" s="100"/>
      <c r="U1284" s="100"/>
      <c r="V1284" s="100"/>
      <c r="W1284" s="100"/>
      <c r="X1284" s="100"/>
      <c r="Y1284" s="100"/>
      <c r="Z1284" s="100"/>
    </row>
    <row r="1285" spans="1:26">
      <c r="A1285" s="100"/>
      <c r="B1285" s="100"/>
      <c r="C1285" s="100"/>
      <c r="D1285" s="100"/>
      <c r="E1285" s="100"/>
      <c r="F1285" s="100"/>
      <c r="G1285" s="100"/>
      <c r="H1285" s="100"/>
      <c r="I1285" s="100"/>
      <c r="J1285" s="100"/>
      <c r="K1285" s="100"/>
      <c r="L1285" s="100"/>
      <c r="M1285" s="100"/>
      <c r="N1285" s="100"/>
      <c r="O1285" s="100"/>
      <c r="P1285" s="100"/>
      <c r="Q1285" s="100"/>
      <c r="R1285" s="100"/>
      <c r="S1285" s="100"/>
      <c r="T1285" s="100"/>
      <c r="U1285" s="100"/>
      <c r="V1285" s="100"/>
      <c r="W1285" s="100"/>
      <c r="X1285" s="100"/>
      <c r="Y1285" s="100"/>
      <c r="Z1285" s="100"/>
    </row>
    <row r="1286" spans="1:26">
      <c r="A1286" s="100"/>
      <c r="B1286" s="100"/>
      <c r="C1286" s="100"/>
      <c r="D1286" s="100"/>
      <c r="E1286" s="100"/>
      <c r="F1286" s="100"/>
      <c r="G1286" s="100"/>
      <c r="H1286" s="100"/>
      <c r="I1286" s="100"/>
      <c r="J1286" s="100"/>
      <c r="K1286" s="100"/>
      <c r="L1286" s="100"/>
      <c r="M1286" s="100"/>
      <c r="N1286" s="100"/>
      <c r="O1286" s="100"/>
      <c r="P1286" s="100"/>
      <c r="Q1286" s="100"/>
      <c r="R1286" s="100"/>
      <c r="S1286" s="100"/>
      <c r="T1286" s="100"/>
      <c r="U1286" s="100"/>
      <c r="V1286" s="100"/>
      <c r="W1286" s="100"/>
      <c r="X1286" s="100"/>
      <c r="Y1286" s="100"/>
      <c r="Z1286" s="100"/>
    </row>
    <row r="1287" spans="1:26">
      <c r="A1287" s="100"/>
      <c r="B1287" s="100"/>
      <c r="C1287" s="1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  <c r="O1287" s="100"/>
      <c r="P1287" s="100"/>
      <c r="Q1287" s="100"/>
      <c r="R1287" s="100"/>
      <c r="S1287" s="100"/>
      <c r="T1287" s="100"/>
      <c r="U1287" s="100"/>
      <c r="V1287" s="100"/>
      <c r="W1287" s="100"/>
      <c r="X1287" s="100"/>
      <c r="Y1287" s="100"/>
      <c r="Z1287" s="100"/>
    </row>
    <row r="1288" spans="1:26">
      <c r="A1288" s="100"/>
      <c r="B1288" s="100"/>
      <c r="C1288" s="100"/>
      <c r="D1288" s="100"/>
      <c r="E1288" s="100"/>
      <c r="F1288" s="100"/>
      <c r="G1288" s="100"/>
      <c r="H1288" s="100"/>
      <c r="I1288" s="100"/>
      <c r="J1288" s="100"/>
      <c r="K1288" s="100"/>
      <c r="L1288" s="100"/>
      <c r="M1288" s="100"/>
      <c r="N1288" s="100"/>
      <c r="O1288" s="100"/>
      <c r="P1288" s="100"/>
      <c r="Q1288" s="100"/>
      <c r="R1288" s="100"/>
      <c r="S1288" s="100"/>
      <c r="T1288" s="100"/>
      <c r="U1288" s="100"/>
      <c r="V1288" s="100"/>
      <c r="W1288" s="100"/>
      <c r="X1288" s="100"/>
      <c r="Y1288" s="100"/>
      <c r="Z1288" s="100"/>
    </row>
    <row r="1289" spans="1:26">
      <c r="A1289" s="100"/>
      <c r="B1289" s="100"/>
      <c r="C1289" s="100"/>
      <c r="D1289" s="100"/>
      <c r="E1289" s="100"/>
      <c r="F1289" s="100"/>
      <c r="G1289" s="100"/>
      <c r="H1289" s="100"/>
      <c r="I1289" s="100"/>
      <c r="J1289" s="100"/>
      <c r="K1289" s="100"/>
      <c r="L1289" s="100"/>
      <c r="M1289" s="100"/>
      <c r="N1289" s="100"/>
      <c r="O1289" s="100"/>
      <c r="P1289" s="100"/>
      <c r="Q1289" s="100"/>
      <c r="R1289" s="100"/>
      <c r="S1289" s="100"/>
      <c r="T1289" s="100"/>
      <c r="U1289" s="100"/>
      <c r="V1289" s="100"/>
      <c r="W1289" s="100"/>
      <c r="X1289" s="100"/>
      <c r="Y1289" s="100"/>
      <c r="Z1289" s="100"/>
    </row>
    <row r="1290" spans="1:26">
      <c r="A1290" s="100"/>
      <c r="B1290" s="100"/>
      <c r="C1290" s="100"/>
      <c r="D1290" s="100"/>
      <c r="E1290" s="100"/>
      <c r="F1290" s="100"/>
      <c r="G1290" s="100"/>
      <c r="H1290" s="100"/>
      <c r="I1290" s="100"/>
      <c r="J1290" s="100"/>
      <c r="K1290" s="100"/>
      <c r="L1290" s="100"/>
      <c r="M1290" s="100"/>
      <c r="N1290" s="100"/>
      <c r="O1290" s="100"/>
      <c r="P1290" s="100"/>
      <c r="Q1290" s="100"/>
      <c r="R1290" s="100"/>
      <c r="S1290" s="100"/>
      <c r="T1290" s="100"/>
      <c r="U1290" s="100"/>
      <c r="V1290" s="100"/>
      <c r="W1290" s="100"/>
      <c r="X1290" s="100"/>
      <c r="Y1290" s="100"/>
      <c r="Z1290" s="100"/>
    </row>
    <row r="1291" spans="1:26">
      <c r="A1291" s="100"/>
      <c r="B1291" s="100"/>
      <c r="C1291" s="100"/>
      <c r="D1291" s="100"/>
      <c r="E1291" s="100"/>
      <c r="F1291" s="100"/>
      <c r="G1291" s="100"/>
      <c r="H1291" s="100"/>
      <c r="I1291" s="100"/>
      <c r="J1291" s="100"/>
      <c r="K1291" s="100"/>
      <c r="L1291" s="100"/>
      <c r="M1291" s="100"/>
      <c r="N1291" s="100"/>
      <c r="O1291" s="100"/>
      <c r="P1291" s="100"/>
      <c r="Q1291" s="100"/>
      <c r="R1291" s="100"/>
      <c r="S1291" s="100"/>
      <c r="T1291" s="100"/>
      <c r="U1291" s="100"/>
      <c r="V1291" s="100"/>
      <c r="W1291" s="100"/>
      <c r="X1291" s="100"/>
      <c r="Y1291" s="100"/>
      <c r="Z1291" s="100"/>
    </row>
    <row r="1292" spans="1:26">
      <c r="A1292" s="100"/>
      <c r="B1292" s="100"/>
      <c r="C1292" s="100"/>
      <c r="D1292" s="100"/>
      <c r="E1292" s="100"/>
      <c r="F1292" s="100"/>
      <c r="G1292" s="100"/>
      <c r="H1292" s="100"/>
      <c r="I1292" s="100"/>
      <c r="J1292" s="100"/>
      <c r="K1292" s="100"/>
      <c r="L1292" s="100"/>
      <c r="M1292" s="100"/>
      <c r="N1292" s="100"/>
      <c r="O1292" s="100"/>
      <c r="P1292" s="100"/>
      <c r="Q1292" s="100"/>
      <c r="R1292" s="100"/>
      <c r="S1292" s="100"/>
      <c r="T1292" s="100"/>
      <c r="U1292" s="100"/>
      <c r="V1292" s="100"/>
      <c r="W1292" s="100"/>
      <c r="X1292" s="100"/>
      <c r="Y1292" s="100"/>
      <c r="Z1292" s="100"/>
    </row>
    <row r="1293" spans="1:26">
      <c r="A1293" s="100"/>
      <c r="B1293" s="100"/>
      <c r="C1293" s="100"/>
      <c r="D1293" s="100"/>
      <c r="E1293" s="100"/>
      <c r="F1293" s="100"/>
      <c r="G1293" s="100"/>
      <c r="H1293" s="100"/>
      <c r="I1293" s="100"/>
      <c r="J1293" s="100"/>
      <c r="K1293" s="100"/>
      <c r="L1293" s="100"/>
      <c r="M1293" s="100"/>
      <c r="N1293" s="100"/>
      <c r="O1293" s="100"/>
      <c r="P1293" s="100"/>
      <c r="Q1293" s="100"/>
      <c r="R1293" s="100"/>
      <c r="S1293" s="100"/>
      <c r="T1293" s="100"/>
      <c r="U1293" s="100"/>
      <c r="V1293" s="100"/>
      <c r="W1293" s="100"/>
      <c r="X1293" s="100"/>
      <c r="Y1293" s="100"/>
      <c r="Z1293" s="100"/>
    </row>
    <row r="1294" spans="1:26">
      <c r="A1294" s="100"/>
      <c r="B1294" s="100"/>
      <c r="C1294" s="100"/>
      <c r="D1294" s="100"/>
      <c r="E1294" s="100"/>
      <c r="F1294" s="100"/>
      <c r="G1294" s="100"/>
      <c r="H1294" s="100"/>
      <c r="I1294" s="100"/>
      <c r="J1294" s="100"/>
      <c r="K1294" s="100"/>
      <c r="L1294" s="100"/>
      <c r="M1294" s="100"/>
      <c r="N1294" s="100"/>
      <c r="O1294" s="100"/>
      <c r="P1294" s="100"/>
      <c r="Q1294" s="100"/>
      <c r="R1294" s="100"/>
      <c r="S1294" s="100"/>
      <c r="T1294" s="100"/>
      <c r="U1294" s="100"/>
      <c r="V1294" s="100"/>
      <c r="W1294" s="100"/>
      <c r="X1294" s="100"/>
      <c r="Y1294" s="100"/>
      <c r="Z1294" s="100"/>
    </row>
    <row r="1295" spans="1:26">
      <c r="A1295" s="100"/>
      <c r="B1295" s="100"/>
      <c r="C1295" s="100"/>
      <c r="D1295" s="100"/>
      <c r="E1295" s="100"/>
      <c r="F1295" s="100"/>
      <c r="G1295" s="100"/>
      <c r="H1295" s="100"/>
      <c r="I1295" s="100"/>
      <c r="J1295" s="100"/>
      <c r="K1295" s="100"/>
      <c r="L1295" s="100"/>
      <c r="M1295" s="100"/>
      <c r="N1295" s="100"/>
      <c r="O1295" s="100"/>
      <c r="P1295" s="100"/>
      <c r="Q1295" s="100"/>
      <c r="R1295" s="100"/>
      <c r="S1295" s="100"/>
      <c r="T1295" s="100"/>
      <c r="U1295" s="100"/>
      <c r="V1295" s="100"/>
      <c r="W1295" s="100"/>
      <c r="X1295" s="100"/>
      <c r="Y1295" s="100"/>
      <c r="Z1295" s="100"/>
    </row>
    <row r="1296" spans="1:26">
      <c r="A1296" s="100"/>
      <c r="B1296" s="100"/>
      <c r="C1296" s="100"/>
      <c r="D1296" s="100"/>
      <c r="E1296" s="100"/>
      <c r="F1296" s="100"/>
      <c r="G1296" s="100"/>
      <c r="H1296" s="100"/>
      <c r="I1296" s="100"/>
      <c r="J1296" s="100"/>
      <c r="K1296" s="100"/>
      <c r="L1296" s="100"/>
      <c r="M1296" s="100"/>
      <c r="N1296" s="100"/>
      <c r="O1296" s="100"/>
      <c r="P1296" s="100"/>
      <c r="Q1296" s="100"/>
      <c r="R1296" s="100"/>
      <c r="S1296" s="100"/>
      <c r="T1296" s="100"/>
      <c r="U1296" s="100"/>
      <c r="V1296" s="100"/>
      <c r="W1296" s="100"/>
      <c r="X1296" s="100"/>
      <c r="Y1296" s="100"/>
      <c r="Z1296" s="100"/>
    </row>
    <row r="1297" spans="1:26">
      <c r="A1297" s="100"/>
      <c r="B1297" s="100"/>
      <c r="C1297" s="100"/>
      <c r="D1297" s="100"/>
      <c r="E1297" s="100"/>
      <c r="F1297" s="100"/>
      <c r="G1297" s="100"/>
      <c r="H1297" s="100"/>
      <c r="I1297" s="100"/>
      <c r="J1297" s="100"/>
      <c r="K1297" s="100"/>
      <c r="L1297" s="100"/>
      <c r="M1297" s="100"/>
      <c r="N1297" s="100"/>
      <c r="O1297" s="100"/>
      <c r="P1297" s="100"/>
      <c r="Q1297" s="100"/>
      <c r="R1297" s="100"/>
      <c r="S1297" s="100"/>
      <c r="T1297" s="100"/>
      <c r="U1297" s="100"/>
      <c r="V1297" s="100"/>
      <c r="W1297" s="100"/>
      <c r="X1297" s="100"/>
      <c r="Y1297" s="100"/>
      <c r="Z1297" s="100"/>
    </row>
    <row r="1298" spans="1:26">
      <c r="A1298" s="100"/>
      <c r="B1298" s="100"/>
      <c r="C1298" s="100"/>
      <c r="D1298" s="100"/>
      <c r="E1298" s="100"/>
      <c r="F1298" s="100"/>
      <c r="G1298" s="100"/>
      <c r="H1298" s="100"/>
      <c r="I1298" s="100"/>
      <c r="J1298" s="100"/>
      <c r="K1298" s="100"/>
      <c r="L1298" s="100"/>
      <c r="M1298" s="100"/>
      <c r="N1298" s="100"/>
      <c r="O1298" s="100"/>
      <c r="P1298" s="100"/>
      <c r="Q1298" s="100"/>
      <c r="R1298" s="100"/>
      <c r="S1298" s="100"/>
      <c r="T1298" s="100"/>
      <c r="U1298" s="100"/>
      <c r="V1298" s="100"/>
      <c r="W1298" s="100"/>
      <c r="X1298" s="100"/>
      <c r="Y1298" s="100"/>
      <c r="Z1298" s="100"/>
    </row>
    <row r="1299" spans="1:26">
      <c r="A1299" s="100"/>
      <c r="B1299" s="100"/>
      <c r="C1299" s="100"/>
      <c r="D1299" s="100"/>
      <c r="E1299" s="100"/>
      <c r="F1299" s="100"/>
      <c r="G1299" s="100"/>
      <c r="H1299" s="100"/>
      <c r="I1299" s="100"/>
      <c r="J1299" s="100"/>
      <c r="K1299" s="100"/>
      <c r="L1299" s="100"/>
      <c r="M1299" s="100"/>
      <c r="N1299" s="100"/>
      <c r="O1299" s="100"/>
      <c r="P1299" s="100"/>
      <c r="Q1299" s="100"/>
      <c r="R1299" s="100"/>
      <c r="S1299" s="100"/>
      <c r="T1299" s="100"/>
      <c r="U1299" s="100"/>
      <c r="V1299" s="100"/>
      <c r="W1299" s="100"/>
      <c r="X1299" s="100"/>
      <c r="Y1299" s="100"/>
      <c r="Z1299" s="100"/>
    </row>
    <row r="1300" spans="1:26">
      <c r="A1300" s="100"/>
      <c r="B1300" s="100"/>
      <c r="C1300" s="100"/>
      <c r="D1300" s="100"/>
      <c r="E1300" s="100"/>
      <c r="F1300" s="100"/>
      <c r="G1300" s="100"/>
      <c r="H1300" s="100"/>
      <c r="I1300" s="100"/>
      <c r="J1300" s="100"/>
      <c r="K1300" s="100"/>
      <c r="L1300" s="100"/>
      <c r="M1300" s="100"/>
      <c r="N1300" s="100"/>
      <c r="O1300" s="100"/>
      <c r="P1300" s="100"/>
      <c r="Q1300" s="100"/>
      <c r="R1300" s="100"/>
      <c r="S1300" s="100"/>
      <c r="T1300" s="100"/>
      <c r="U1300" s="100"/>
      <c r="V1300" s="100"/>
      <c r="W1300" s="100"/>
      <c r="X1300" s="100"/>
      <c r="Y1300" s="100"/>
      <c r="Z1300" s="100"/>
    </row>
    <row r="1301" spans="1:26">
      <c r="A1301" s="100"/>
      <c r="B1301" s="100"/>
      <c r="C1301" s="100"/>
      <c r="D1301" s="100"/>
      <c r="E1301" s="100"/>
      <c r="F1301" s="100"/>
      <c r="G1301" s="100"/>
      <c r="H1301" s="100"/>
      <c r="I1301" s="100"/>
      <c r="J1301" s="100"/>
      <c r="K1301" s="100"/>
      <c r="L1301" s="100"/>
      <c r="M1301" s="100"/>
      <c r="N1301" s="100"/>
      <c r="O1301" s="100"/>
      <c r="P1301" s="100"/>
      <c r="Q1301" s="100"/>
      <c r="R1301" s="100"/>
      <c r="S1301" s="100"/>
      <c r="T1301" s="100"/>
      <c r="U1301" s="100"/>
      <c r="V1301" s="100"/>
      <c r="W1301" s="100"/>
      <c r="X1301" s="100"/>
      <c r="Y1301" s="100"/>
      <c r="Z1301" s="100"/>
    </row>
    <row r="1302" spans="1:26">
      <c r="A1302" s="100"/>
      <c r="B1302" s="100"/>
      <c r="C1302" s="100"/>
      <c r="D1302" s="100"/>
      <c r="E1302" s="100"/>
      <c r="F1302" s="100"/>
      <c r="G1302" s="100"/>
      <c r="H1302" s="100"/>
      <c r="I1302" s="100"/>
      <c r="J1302" s="100"/>
      <c r="K1302" s="100"/>
      <c r="L1302" s="100"/>
      <c r="M1302" s="100"/>
      <c r="N1302" s="100"/>
      <c r="O1302" s="100"/>
      <c r="P1302" s="100"/>
      <c r="Q1302" s="100"/>
      <c r="R1302" s="100"/>
      <c r="S1302" s="100"/>
      <c r="T1302" s="100"/>
      <c r="U1302" s="100"/>
      <c r="V1302" s="100"/>
      <c r="W1302" s="100"/>
      <c r="X1302" s="100"/>
      <c r="Y1302" s="100"/>
      <c r="Z1302" s="100"/>
    </row>
    <row r="1303" spans="1:26">
      <c r="A1303" s="100"/>
      <c r="B1303" s="100"/>
      <c r="C1303" s="100"/>
      <c r="D1303" s="100"/>
      <c r="E1303" s="100"/>
      <c r="F1303" s="100"/>
      <c r="G1303" s="100"/>
      <c r="H1303" s="100"/>
      <c r="I1303" s="100"/>
      <c r="J1303" s="100"/>
      <c r="K1303" s="100"/>
      <c r="L1303" s="100"/>
      <c r="M1303" s="100"/>
      <c r="N1303" s="100"/>
      <c r="O1303" s="100"/>
      <c r="P1303" s="100"/>
      <c r="Q1303" s="100"/>
      <c r="R1303" s="100"/>
      <c r="S1303" s="100"/>
      <c r="T1303" s="100"/>
      <c r="U1303" s="100"/>
      <c r="V1303" s="100"/>
      <c r="W1303" s="100"/>
      <c r="X1303" s="100"/>
      <c r="Y1303" s="100"/>
      <c r="Z1303" s="100"/>
    </row>
    <row r="1304" spans="1:26">
      <c r="A1304" s="100"/>
      <c r="B1304" s="100"/>
      <c r="C1304" s="100"/>
      <c r="D1304" s="100"/>
      <c r="E1304" s="100"/>
      <c r="F1304" s="100"/>
      <c r="G1304" s="100"/>
      <c r="H1304" s="100"/>
      <c r="I1304" s="100"/>
      <c r="J1304" s="100"/>
      <c r="K1304" s="100"/>
      <c r="L1304" s="100"/>
      <c r="M1304" s="100"/>
      <c r="N1304" s="100"/>
      <c r="O1304" s="100"/>
      <c r="P1304" s="100"/>
      <c r="Q1304" s="100"/>
      <c r="R1304" s="100"/>
      <c r="S1304" s="100"/>
      <c r="T1304" s="100"/>
      <c r="U1304" s="100"/>
      <c r="V1304" s="100"/>
      <c r="W1304" s="100"/>
      <c r="X1304" s="100"/>
      <c r="Y1304" s="100"/>
      <c r="Z1304" s="100"/>
    </row>
    <row r="1305" spans="1:26">
      <c r="A1305" s="100"/>
      <c r="B1305" s="100"/>
      <c r="C1305" s="100"/>
      <c r="D1305" s="100"/>
      <c r="E1305" s="100"/>
      <c r="F1305" s="100"/>
      <c r="G1305" s="100"/>
      <c r="H1305" s="100"/>
      <c r="I1305" s="100"/>
      <c r="J1305" s="100"/>
      <c r="K1305" s="100"/>
      <c r="L1305" s="100"/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</row>
    <row r="1306" spans="1:26">
      <c r="A1306" s="100"/>
      <c r="B1306" s="100"/>
      <c r="C1306" s="100"/>
      <c r="D1306" s="100"/>
      <c r="E1306" s="100"/>
      <c r="F1306" s="100"/>
      <c r="G1306" s="100"/>
      <c r="H1306" s="100"/>
      <c r="I1306" s="100"/>
      <c r="J1306" s="100"/>
      <c r="K1306" s="100"/>
      <c r="L1306" s="100"/>
      <c r="M1306" s="100"/>
      <c r="N1306" s="100"/>
      <c r="O1306" s="100"/>
      <c r="P1306" s="100"/>
      <c r="Q1306" s="100"/>
      <c r="R1306" s="100"/>
      <c r="S1306" s="100"/>
      <c r="T1306" s="100"/>
      <c r="U1306" s="100"/>
      <c r="V1306" s="100"/>
      <c r="W1306" s="100"/>
      <c r="X1306" s="100"/>
      <c r="Y1306" s="100"/>
      <c r="Z1306" s="100"/>
    </row>
    <row r="1307" spans="1:26">
      <c r="A1307" s="100"/>
      <c r="B1307" s="100"/>
      <c r="C1307" s="100"/>
      <c r="D1307" s="100"/>
      <c r="E1307" s="100"/>
      <c r="F1307" s="100"/>
      <c r="G1307" s="100"/>
      <c r="H1307" s="100"/>
      <c r="I1307" s="100"/>
      <c r="J1307" s="100"/>
      <c r="K1307" s="100"/>
      <c r="L1307" s="100"/>
      <c r="M1307" s="100"/>
      <c r="N1307" s="100"/>
      <c r="O1307" s="100"/>
      <c r="P1307" s="100"/>
      <c r="Q1307" s="100"/>
      <c r="R1307" s="100"/>
      <c r="S1307" s="100"/>
      <c r="T1307" s="100"/>
      <c r="U1307" s="100"/>
      <c r="V1307" s="100"/>
      <c r="W1307" s="100"/>
      <c r="X1307" s="100"/>
      <c r="Y1307" s="100"/>
      <c r="Z1307" s="100"/>
    </row>
    <row r="1308" spans="1:26">
      <c r="A1308" s="100"/>
      <c r="B1308" s="100"/>
      <c r="C1308" s="100"/>
      <c r="D1308" s="100"/>
      <c r="E1308" s="100"/>
      <c r="F1308" s="100"/>
      <c r="G1308" s="100"/>
      <c r="H1308" s="100"/>
      <c r="I1308" s="100"/>
      <c r="J1308" s="100"/>
      <c r="K1308" s="100"/>
      <c r="L1308" s="100"/>
      <c r="M1308" s="100"/>
      <c r="N1308" s="100"/>
      <c r="O1308" s="100"/>
      <c r="P1308" s="100"/>
      <c r="Q1308" s="100"/>
      <c r="R1308" s="100"/>
      <c r="S1308" s="100"/>
      <c r="T1308" s="100"/>
      <c r="U1308" s="100"/>
      <c r="V1308" s="100"/>
      <c r="W1308" s="100"/>
      <c r="X1308" s="100"/>
      <c r="Y1308" s="100"/>
      <c r="Z1308" s="100"/>
    </row>
    <row r="1309" spans="1:26">
      <c r="A1309" s="100"/>
      <c r="B1309" s="100"/>
      <c r="C1309" s="100"/>
      <c r="D1309" s="100"/>
      <c r="E1309" s="100"/>
      <c r="F1309" s="100"/>
      <c r="G1309" s="100"/>
      <c r="H1309" s="100"/>
      <c r="I1309" s="100"/>
      <c r="J1309" s="100"/>
      <c r="K1309" s="100"/>
      <c r="L1309" s="100"/>
      <c r="M1309" s="100"/>
      <c r="N1309" s="100"/>
      <c r="O1309" s="100"/>
      <c r="P1309" s="100"/>
      <c r="Q1309" s="100"/>
      <c r="R1309" s="100"/>
      <c r="S1309" s="100"/>
      <c r="T1309" s="100"/>
      <c r="U1309" s="100"/>
      <c r="V1309" s="100"/>
      <c r="W1309" s="100"/>
      <c r="X1309" s="100"/>
      <c r="Y1309" s="100"/>
      <c r="Z1309" s="100"/>
    </row>
    <row r="1310" spans="1:26">
      <c r="A1310" s="100"/>
      <c r="B1310" s="100"/>
      <c r="C1310" s="100"/>
      <c r="D1310" s="100"/>
      <c r="E1310" s="100"/>
      <c r="F1310" s="100"/>
      <c r="G1310" s="100"/>
      <c r="H1310" s="100"/>
      <c r="I1310" s="100"/>
      <c r="J1310" s="100"/>
      <c r="K1310" s="100"/>
      <c r="L1310" s="100"/>
      <c r="M1310" s="100"/>
      <c r="N1310" s="100"/>
      <c r="O1310" s="100"/>
      <c r="P1310" s="100"/>
      <c r="Q1310" s="100"/>
      <c r="R1310" s="100"/>
      <c r="S1310" s="100"/>
      <c r="T1310" s="100"/>
      <c r="U1310" s="100"/>
      <c r="V1310" s="100"/>
      <c r="W1310" s="100"/>
      <c r="X1310" s="100"/>
      <c r="Y1310" s="100"/>
      <c r="Z1310" s="100"/>
    </row>
    <row r="1311" spans="1:26">
      <c r="A1311" s="100"/>
      <c r="B1311" s="100"/>
      <c r="C1311" s="100"/>
      <c r="D1311" s="100"/>
      <c r="E1311" s="100"/>
      <c r="F1311" s="100"/>
      <c r="G1311" s="100"/>
      <c r="H1311" s="100"/>
      <c r="I1311" s="100"/>
      <c r="J1311" s="100"/>
      <c r="K1311" s="100"/>
      <c r="L1311" s="100"/>
      <c r="M1311" s="100"/>
      <c r="N1311" s="100"/>
      <c r="O1311" s="100"/>
      <c r="P1311" s="100"/>
      <c r="Q1311" s="100"/>
      <c r="R1311" s="100"/>
      <c r="S1311" s="100"/>
      <c r="T1311" s="100"/>
      <c r="U1311" s="100"/>
      <c r="V1311" s="100"/>
      <c r="W1311" s="100"/>
      <c r="X1311" s="100"/>
      <c r="Y1311" s="100"/>
      <c r="Z1311" s="100"/>
    </row>
    <row r="1312" spans="1:26">
      <c r="A1312" s="100"/>
      <c r="B1312" s="100"/>
      <c r="C1312" s="100"/>
      <c r="D1312" s="100"/>
      <c r="E1312" s="100"/>
      <c r="F1312" s="100"/>
      <c r="G1312" s="100"/>
      <c r="H1312" s="100"/>
      <c r="I1312" s="100"/>
      <c r="J1312" s="100"/>
      <c r="K1312" s="100"/>
      <c r="L1312" s="100"/>
      <c r="M1312" s="100"/>
      <c r="N1312" s="100"/>
      <c r="O1312" s="100"/>
      <c r="P1312" s="100"/>
      <c r="Q1312" s="100"/>
      <c r="R1312" s="100"/>
      <c r="S1312" s="100"/>
      <c r="T1312" s="100"/>
      <c r="U1312" s="100"/>
      <c r="V1312" s="100"/>
      <c r="W1312" s="100"/>
      <c r="X1312" s="100"/>
      <c r="Y1312" s="100"/>
      <c r="Z1312" s="100"/>
    </row>
    <row r="1313" spans="1:26">
      <c r="A1313" s="100"/>
      <c r="B1313" s="100"/>
      <c r="C1313" s="100"/>
      <c r="D1313" s="100"/>
      <c r="E1313" s="100"/>
      <c r="F1313" s="100"/>
      <c r="G1313" s="100"/>
      <c r="H1313" s="100"/>
      <c r="I1313" s="100"/>
      <c r="J1313" s="100"/>
      <c r="K1313" s="100"/>
      <c r="L1313" s="100"/>
      <c r="M1313" s="100"/>
      <c r="N1313" s="100"/>
      <c r="O1313" s="100"/>
      <c r="P1313" s="100"/>
      <c r="Q1313" s="100"/>
      <c r="R1313" s="100"/>
      <c r="S1313" s="100"/>
      <c r="T1313" s="100"/>
      <c r="U1313" s="100"/>
      <c r="V1313" s="100"/>
      <c r="W1313" s="100"/>
      <c r="X1313" s="100"/>
      <c r="Y1313" s="100"/>
      <c r="Z1313" s="100"/>
    </row>
    <row r="1314" spans="1:26">
      <c r="A1314" s="100"/>
      <c r="B1314" s="100"/>
      <c r="C1314" s="100"/>
      <c r="D1314" s="100"/>
      <c r="E1314" s="100"/>
      <c r="F1314" s="100"/>
      <c r="G1314" s="100"/>
      <c r="H1314" s="100"/>
      <c r="I1314" s="100"/>
      <c r="J1314" s="100"/>
      <c r="K1314" s="100"/>
      <c r="L1314" s="100"/>
      <c r="M1314" s="100"/>
      <c r="N1314" s="100"/>
      <c r="O1314" s="100"/>
      <c r="P1314" s="100"/>
      <c r="Q1314" s="100"/>
      <c r="R1314" s="100"/>
      <c r="S1314" s="100"/>
      <c r="T1314" s="100"/>
      <c r="U1314" s="100"/>
      <c r="V1314" s="100"/>
      <c r="W1314" s="100"/>
      <c r="X1314" s="100"/>
      <c r="Y1314" s="100"/>
      <c r="Z1314" s="100"/>
    </row>
    <row r="1315" spans="1:26">
      <c r="A1315" s="100"/>
      <c r="B1315" s="100"/>
      <c r="C1315" s="100"/>
      <c r="D1315" s="100"/>
      <c r="E1315" s="100"/>
      <c r="F1315" s="100"/>
      <c r="G1315" s="100"/>
      <c r="H1315" s="100"/>
      <c r="I1315" s="100"/>
      <c r="J1315" s="100"/>
      <c r="K1315" s="100"/>
      <c r="L1315" s="100"/>
      <c r="M1315" s="100"/>
      <c r="N1315" s="100"/>
      <c r="O1315" s="100"/>
      <c r="P1315" s="100"/>
      <c r="Q1315" s="100"/>
      <c r="R1315" s="100"/>
      <c r="S1315" s="100"/>
      <c r="T1315" s="100"/>
      <c r="U1315" s="100"/>
      <c r="V1315" s="100"/>
      <c r="W1315" s="100"/>
      <c r="X1315" s="100"/>
      <c r="Y1315" s="100"/>
      <c r="Z1315" s="100"/>
    </row>
    <row r="1316" spans="1:26">
      <c r="A1316" s="100"/>
      <c r="B1316" s="100"/>
      <c r="C1316" s="100"/>
      <c r="D1316" s="100"/>
      <c r="E1316" s="100"/>
      <c r="F1316" s="100"/>
      <c r="G1316" s="100"/>
      <c r="H1316" s="100"/>
      <c r="I1316" s="100"/>
      <c r="J1316" s="100"/>
      <c r="K1316" s="100"/>
      <c r="L1316" s="100"/>
      <c r="M1316" s="100"/>
      <c r="N1316" s="100"/>
      <c r="O1316" s="100"/>
      <c r="P1316" s="100"/>
      <c r="Q1316" s="100"/>
      <c r="R1316" s="100"/>
      <c r="S1316" s="100"/>
      <c r="T1316" s="100"/>
      <c r="U1316" s="100"/>
      <c r="V1316" s="100"/>
      <c r="W1316" s="100"/>
      <c r="X1316" s="100"/>
      <c r="Y1316" s="100"/>
      <c r="Z1316" s="100"/>
    </row>
    <row r="1317" spans="1:26">
      <c r="A1317" s="100"/>
      <c r="B1317" s="100"/>
      <c r="C1317" s="100"/>
      <c r="D1317" s="100"/>
      <c r="E1317" s="100"/>
      <c r="F1317" s="100"/>
      <c r="G1317" s="100"/>
      <c r="H1317" s="100"/>
      <c r="I1317" s="100"/>
      <c r="J1317" s="100"/>
      <c r="K1317" s="100"/>
      <c r="L1317" s="100"/>
      <c r="M1317" s="100"/>
      <c r="N1317" s="100"/>
      <c r="O1317" s="100"/>
      <c r="P1317" s="100"/>
      <c r="Q1317" s="100"/>
      <c r="R1317" s="100"/>
      <c r="S1317" s="100"/>
      <c r="T1317" s="100"/>
      <c r="U1317" s="100"/>
      <c r="V1317" s="100"/>
      <c r="W1317" s="100"/>
      <c r="X1317" s="100"/>
      <c r="Y1317" s="100"/>
      <c r="Z1317" s="100"/>
    </row>
    <row r="1318" spans="1:26">
      <c r="A1318" s="100"/>
      <c r="B1318" s="100"/>
      <c r="C1318" s="100"/>
      <c r="D1318" s="100"/>
      <c r="E1318" s="100"/>
      <c r="F1318" s="100"/>
      <c r="G1318" s="100"/>
      <c r="H1318" s="100"/>
      <c r="I1318" s="100"/>
      <c r="J1318" s="100"/>
      <c r="K1318" s="100"/>
      <c r="L1318" s="100"/>
      <c r="M1318" s="100"/>
      <c r="N1318" s="100"/>
      <c r="O1318" s="100"/>
      <c r="P1318" s="100"/>
      <c r="Q1318" s="100"/>
      <c r="R1318" s="100"/>
      <c r="S1318" s="100"/>
      <c r="T1318" s="100"/>
      <c r="U1318" s="100"/>
      <c r="V1318" s="100"/>
      <c r="W1318" s="100"/>
      <c r="X1318" s="100"/>
      <c r="Y1318" s="100"/>
      <c r="Z1318" s="100"/>
    </row>
    <row r="1319" spans="1:26">
      <c r="A1319" s="100"/>
      <c r="B1319" s="100"/>
      <c r="C1319" s="100"/>
      <c r="D1319" s="100"/>
      <c r="E1319" s="100"/>
      <c r="F1319" s="100"/>
      <c r="G1319" s="100"/>
      <c r="H1319" s="100"/>
      <c r="I1319" s="100"/>
      <c r="J1319" s="100"/>
      <c r="K1319" s="100"/>
      <c r="L1319" s="100"/>
      <c r="M1319" s="100"/>
      <c r="N1319" s="100"/>
      <c r="O1319" s="100"/>
      <c r="P1319" s="100"/>
      <c r="Q1319" s="100"/>
      <c r="R1319" s="100"/>
      <c r="S1319" s="100"/>
      <c r="T1319" s="100"/>
      <c r="U1319" s="100"/>
      <c r="V1319" s="100"/>
      <c r="W1319" s="100"/>
      <c r="X1319" s="100"/>
      <c r="Y1319" s="100"/>
      <c r="Z1319" s="100"/>
    </row>
    <row r="1320" spans="1:26">
      <c r="A1320" s="100"/>
      <c r="B1320" s="100"/>
      <c r="C1320" s="100"/>
      <c r="D1320" s="100"/>
      <c r="E1320" s="100"/>
      <c r="F1320" s="100"/>
      <c r="G1320" s="100"/>
      <c r="H1320" s="100"/>
      <c r="I1320" s="100"/>
      <c r="J1320" s="100"/>
      <c r="K1320" s="100"/>
      <c r="L1320" s="100"/>
      <c r="M1320" s="100"/>
      <c r="N1320" s="100"/>
      <c r="O1320" s="100"/>
      <c r="P1320" s="100"/>
      <c r="Q1320" s="100"/>
      <c r="R1320" s="100"/>
      <c r="S1320" s="100"/>
      <c r="T1320" s="100"/>
      <c r="U1320" s="100"/>
      <c r="V1320" s="100"/>
      <c r="W1320" s="100"/>
      <c r="X1320" s="100"/>
      <c r="Y1320" s="100"/>
      <c r="Z1320" s="100"/>
    </row>
    <row r="1321" spans="1:26">
      <c r="A1321" s="100"/>
      <c r="B1321" s="100"/>
      <c r="C1321" s="100"/>
      <c r="D1321" s="100"/>
      <c r="E1321" s="100"/>
      <c r="F1321" s="100"/>
      <c r="G1321" s="100"/>
      <c r="H1321" s="100"/>
      <c r="I1321" s="100"/>
      <c r="J1321" s="100"/>
      <c r="K1321" s="100"/>
      <c r="L1321" s="100"/>
      <c r="M1321" s="100"/>
      <c r="N1321" s="100"/>
      <c r="O1321" s="100"/>
      <c r="P1321" s="100"/>
      <c r="Q1321" s="100"/>
      <c r="R1321" s="100"/>
      <c r="S1321" s="100"/>
      <c r="T1321" s="100"/>
      <c r="U1321" s="100"/>
      <c r="V1321" s="100"/>
      <c r="W1321" s="100"/>
      <c r="X1321" s="100"/>
      <c r="Y1321" s="100"/>
      <c r="Z1321" s="100"/>
    </row>
    <row r="1322" spans="1:26">
      <c r="A1322" s="100"/>
      <c r="B1322" s="100"/>
      <c r="C1322" s="100"/>
      <c r="D1322" s="100"/>
      <c r="E1322" s="100"/>
      <c r="F1322" s="100"/>
      <c r="G1322" s="100"/>
      <c r="H1322" s="100"/>
      <c r="I1322" s="100"/>
      <c r="J1322" s="100"/>
      <c r="K1322" s="100"/>
      <c r="L1322" s="100"/>
      <c r="M1322" s="100"/>
      <c r="N1322" s="100"/>
      <c r="O1322" s="100"/>
      <c r="P1322" s="100"/>
      <c r="Q1322" s="100"/>
      <c r="R1322" s="100"/>
      <c r="S1322" s="100"/>
      <c r="T1322" s="100"/>
      <c r="U1322" s="100"/>
      <c r="V1322" s="100"/>
      <c r="W1322" s="100"/>
      <c r="X1322" s="100"/>
      <c r="Y1322" s="100"/>
      <c r="Z1322" s="100"/>
    </row>
    <row r="1323" spans="1:26">
      <c r="A1323" s="100"/>
      <c r="B1323" s="100"/>
      <c r="C1323" s="100"/>
      <c r="D1323" s="100"/>
      <c r="E1323" s="100"/>
      <c r="F1323" s="100"/>
      <c r="G1323" s="100"/>
      <c r="H1323" s="100"/>
      <c r="I1323" s="100"/>
      <c r="J1323" s="100"/>
      <c r="K1323" s="100"/>
      <c r="L1323" s="100"/>
      <c r="M1323" s="100"/>
      <c r="N1323" s="100"/>
      <c r="O1323" s="100"/>
      <c r="P1323" s="100"/>
      <c r="Q1323" s="100"/>
      <c r="R1323" s="100"/>
      <c r="S1323" s="100"/>
      <c r="T1323" s="100"/>
      <c r="U1323" s="100"/>
      <c r="V1323" s="100"/>
      <c r="W1323" s="100"/>
      <c r="X1323" s="100"/>
      <c r="Y1323" s="100"/>
      <c r="Z1323" s="100"/>
    </row>
    <row r="1324" spans="1:26">
      <c r="A1324" s="100"/>
      <c r="B1324" s="100"/>
      <c r="C1324" s="100"/>
      <c r="D1324" s="100"/>
      <c r="E1324" s="100"/>
      <c r="F1324" s="100"/>
      <c r="G1324" s="100"/>
      <c r="H1324" s="100"/>
      <c r="I1324" s="100"/>
      <c r="J1324" s="100"/>
      <c r="K1324" s="100"/>
      <c r="L1324" s="100"/>
      <c r="M1324" s="100"/>
      <c r="N1324" s="100"/>
      <c r="O1324" s="100"/>
      <c r="P1324" s="100"/>
      <c r="Q1324" s="100"/>
      <c r="R1324" s="100"/>
      <c r="S1324" s="100"/>
      <c r="T1324" s="100"/>
      <c r="U1324" s="100"/>
      <c r="V1324" s="100"/>
      <c r="W1324" s="100"/>
      <c r="X1324" s="100"/>
      <c r="Y1324" s="100"/>
      <c r="Z1324" s="100"/>
    </row>
    <row r="1325" spans="1:26">
      <c r="A1325" s="100"/>
      <c r="B1325" s="100"/>
      <c r="C1325" s="100"/>
      <c r="D1325" s="100"/>
      <c r="E1325" s="100"/>
      <c r="F1325" s="100"/>
      <c r="G1325" s="100"/>
      <c r="H1325" s="100"/>
      <c r="I1325" s="100"/>
      <c r="J1325" s="100"/>
      <c r="K1325" s="100"/>
      <c r="L1325" s="100"/>
      <c r="M1325" s="100"/>
      <c r="N1325" s="100"/>
      <c r="O1325" s="100"/>
      <c r="P1325" s="100"/>
      <c r="Q1325" s="100"/>
      <c r="R1325" s="100"/>
      <c r="S1325" s="100"/>
      <c r="T1325" s="100"/>
      <c r="U1325" s="100"/>
      <c r="V1325" s="100"/>
      <c r="W1325" s="100"/>
      <c r="X1325" s="100"/>
      <c r="Y1325" s="100"/>
      <c r="Z1325" s="100"/>
    </row>
    <row r="1326" spans="1:26">
      <c r="A1326" s="100"/>
      <c r="B1326" s="100"/>
      <c r="C1326" s="100"/>
      <c r="D1326" s="100"/>
      <c r="E1326" s="100"/>
      <c r="F1326" s="100"/>
      <c r="G1326" s="100"/>
      <c r="H1326" s="100"/>
      <c r="I1326" s="100"/>
      <c r="J1326" s="100"/>
      <c r="K1326" s="100"/>
      <c r="L1326" s="100"/>
      <c r="M1326" s="100"/>
      <c r="N1326" s="100"/>
      <c r="O1326" s="100"/>
      <c r="P1326" s="100"/>
      <c r="Q1326" s="100"/>
      <c r="R1326" s="100"/>
      <c r="S1326" s="100"/>
      <c r="T1326" s="100"/>
      <c r="U1326" s="100"/>
      <c r="V1326" s="100"/>
      <c r="W1326" s="100"/>
      <c r="X1326" s="100"/>
      <c r="Y1326" s="100"/>
      <c r="Z1326" s="100"/>
    </row>
    <row r="1327" spans="1:26">
      <c r="A1327" s="100"/>
      <c r="B1327" s="100"/>
      <c r="C1327" s="100"/>
      <c r="D1327" s="100"/>
      <c r="E1327" s="100"/>
      <c r="F1327" s="100"/>
      <c r="G1327" s="100"/>
      <c r="H1327" s="100"/>
      <c r="I1327" s="100"/>
      <c r="J1327" s="100"/>
      <c r="K1327" s="100"/>
      <c r="L1327" s="100"/>
      <c r="M1327" s="100"/>
      <c r="N1327" s="100"/>
      <c r="O1327" s="100"/>
      <c r="P1327" s="100"/>
      <c r="Q1327" s="100"/>
      <c r="R1327" s="100"/>
      <c r="S1327" s="100"/>
      <c r="T1327" s="100"/>
      <c r="U1327" s="100"/>
      <c r="V1327" s="100"/>
      <c r="W1327" s="100"/>
      <c r="X1327" s="100"/>
      <c r="Y1327" s="100"/>
      <c r="Z1327" s="100"/>
    </row>
    <row r="1328" spans="1:26">
      <c r="A1328" s="100"/>
      <c r="B1328" s="100"/>
      <c r="C1328" s="100"/>
      <c r="D1328" s="100"/>
      <c r="E1328" s="100"/>
      <c r="F1328" s="100"/>
      <c r="G1328" s="100"/>
      <c r="H1328" s="100"/>
      <c r="I1328" s="100"/>
      <c r="J1328" s="100"/>
      <c r="K1328" s="100"/>
      <c r="L1328" s="100"/>
      <c r="M1328" s="100"/>
      <c r="N1328" s="100"/>
      <c r="O1328" s="100"/>
      <c r="P1328" s="100"/>
      <c r="Q1328" s="100"/>
      <c r="R1328" s="100"/>
      <c r="S1328" s="100"/>
      <c r="T1328" s="100"/>
      <c r="U1328" s="100"/>
      <c r="V1328" s="100"/>
      <c r="W1328" s="100"/>
      <c r="X1328" s="100"/>
      <c r="Y1328" s="100"/>
      <c r="Z1328" s="100"/>
    </row>
    <row r="1329" spans="1:26">
      <c r="A1329" s="100"/>
      <c r="B1329" s="100"/>
      <c r="C1329" s="100"/>
      <c r="D1329" s="100"/>
      <c r="E1329" s="100"/>
      <c r="F1329" s="100"/>
      <c r="G1329" s="100"/>
      <c r="H1329" s="100"/>
      <c r="I1329" s="100"/>
      <c r="J1329" s="100"/>
      <c r="K1329" s="100"/>
      <c r="L1329" s="100"/>
      <c r="M1329" s="100"/>
      <c r="N1329" s="100"/>
      <c r="O1329" s="100"/>
      <c r="P1329" s="100"/>
      <c r="Q1329" s="100"/>
      <c r="R1329" s="100"/>
      <c r="S1329" s="100"/>
      <c r="T1329" s="100"/>
      <c r="U1329" s="100"/>
      <c r="V1329" s="100"/>
      <c r="W1329" s="100"/>
      <c r="X1329" s="100"/>
      <c r="Y1329" s="100"/>
      <c r="Z1329" s="100"/>
    </row>
    <row r="1330" spans="1:26">
      <c r="A1330" s="100"/>
      <c r="B1330" s="100"/>
      <c r="C1330" s="100"/>
      <c r="D1330" s="100"/>
      <c r="E1330" s="100"/>
      <c r="F1330" s="100"/>
      <c r="G1330" s="100"/>
      <c r="H1330" s="100"/>
      <c r="I1330" s="100"/>
      <c r="J1330" s="100"/>
      <c r="K1330" s="100"/>
      <c r="L1330" s="100"/>
      <c r="M1330" s="100"/>
      <c r="N1330" s="100"/>
      <c r="O1330" s="100"/>
      <c r="P1330" s="100"/>
      <c r="Q1330" s="100"/>
      <c r="R1330" s="100"/>
      <c r="S1330" s="100"/>
      <c r="T1330" s="100"/>
      <c r="U1330" s="100"/>
      <c r="V1330" s="100"/>
      <c r="W1330" s="100"/>
      <c r="X1330" s="100"/>
      <c r="Y1330" s="100"/>
      <c r="Z1330" s="100"/>
    </row>
    <row r="1331" spans="1:26">
      <c r="A1331" s="100"/>
      <c r="B1331" s="100"/>
      <c r="C1331" s="100"/>
      <c r="D1331" s="100"/>
      <c r="E1331" s="100"/>
      <c r="F1331" s="100"/>
      <c r="G1331" s="100"/>
      <c r="H1331" s="100"/>
      <c r="I1331" s="100"/>
      <c r="J1331" s="100"/>
      <c r="K1331" s="100"/>
      <c r="L1331" s="100"/>
      <c r="M1331" s="100"/>
      <c r="N1331" s="100"/>
      <c r="O1331" s="100"/>
      <c r="P1331" s="100"/>
      <c r="Q1331" s="100"/>
      <c r="R1331" s="100"/>
      <c r="S1331" s="100"/>
      <c r="T1331" s="100"/>
      <c r="U1331" s="100"/>
      <c r="V1331" s="100"/>
      <c r="W1331" s="100"/>
      <c r="X1331" s="100"/>
      <c r="Y1331" s="100"/>
      <c r="Z1331" s="100"/>
    </row>
    <row r="1332" spans="1:26">
      <c r="A1332" s="100"/>
      <c r="B1332" s="100"/>
      <c r="C1332" s="100"/>
      <c r="D1332" s="100"/>
      <c r="E1332" s="100"/>
      <c r="F1332" s="100"/>
      <c r="G1332" s="100"/>
      <c r="H1332" s="100"/>
      <c r="I1332" s="100"/>
      <c r="J1332" s="100"/>
      <c r="K1332" s="100"/>
      <c r="L1332" s="100"/>
      <c r="M1332" s="100"/>
      <c r="N1332" s="100"/>
      <c r="O1332" s="100"/>
      <c r="P1332" s="100"/>
      <c r="Q1332" s="100"/>
      <c r="R1332" s="100"/>
      <c r="S1332" s="100"/>
      <c r="T1332" s="100"/>
      <c r="U1332" s="100"/>
      <c r="V1332" s="100"/>
      <c r="W1332" s="100"/>
      <c r="X1332" s="100"/>
      <c r="Y1332" s="100"/>
      <c r="Z1332" s="100"/>
    </row>
    <row r="1333" spans="1:26">
      <c r="A1333" s="100"/>
      <c r="B1333" s="100"/>
      <c r="C1333" s="100"/>
      <c r="D1333" s="100"/>
      <c r="E1333" s="100"/>
      <c r="F1333" s="100"/>
      <c r="G1333" s="100"/>
      <c r="H1333" s="100"/>
      <c r="I1333" s="100"/>
      <c r="J1333" s="100"/>
      <c r="K1333" s="100"/>
      <c r="L1333" s="100"/>
      <c r="M1333" s="100"/>
      <c r="N1333" s="100"/>
      <c r="O1333" s="100"/>
      <c r="P1333" s="100"/>
      <c r="Q1333" s="100"/>
      <c r="R1333" s="100"/>
      <c r="S1333" s="100"/>
      <c r="T1333" s="100"/>
      <c r="U1333" s="100"/>
      <c r="V1333" s="100"/>
      <c r="W1333" s="100"/>
      <c r="X1333" s="100"/>
      <c r="Y1333" s="100"/>
      <c r="Z1333" s="100"/>
    </row>
    <row r="1334" spans="1:26">
      <c r="A1334" s="100"/>
      <c r="B1334" s="100"/>
      <c r="C1334" s="100"/>
      <c r="D1334" s="100"/>
      <c r="E1334" s="100"/>
      <c r="F1334" s="100"/>
      <c r="G1334" s="100"/>
      <c r="H1334" s="100"/>
      <c r="I1334" s="100"/>
      <c r="J1334" s="100"/>
      <c r="K1334" s="100"/>
      <c r="L1334" s="100"/>
      <c r="M1334" s="100"/>
      <c r="N1334" s="100"/>
      <c r="O1334" s="100"/>
      <c r="P1334" s="100"/>
      <c r="Q1334" s="100"/>
      <c r="R1334" s="100"/>
      <c r="S1334" s="100"/>
      <c r="T1334" s="100"/>
      <c r="U1334" s="100"/>
      <c r="V1334" s="100"/>
      <c r="W1334" s="100"/>
      <c r="X1334" s="100"/>
      <c r="Y1334" s="100"/>
      <c r="Z1334" s="100"/>
    </row>
    <row r="1335" spans="1:26">
      <c r="A1335" s="100"/>
      <c r="B1335" s="100"/>
      <c r="C1335" s="100"/>
      <c r="D1335" s="100"/>
      <c r="E1335" s="100"/>
      <c r="F1335" s="100"/>
      <c r="G1335" s="100"/>
      <c r="H1335" s="100"/>
      <c r="I1335" s="100"/>
      <c r="J1335" s="100"/>
      <c r="K1335" s="100"/>
      <c r="L1335" s="100"/>
      <c r="M1335" s="100"/>
      <c r="N1335" s="100"/>
      <c r="O1335" s="100"/>
      <c r="P1335" s="100"/>
      <c r="Q1335" s="100"/>
      <c r="R1335" s="100"/>
      <c r="S1335" s="100"/>
      <c r="T1335" s="100"/>
      <c r="U1335" s="100"/>
      <c r="V1335" s="100"/>
      <c r="W1335" s="100"/>
      <c r="X1335" s="100"/>
      <c r="Y1335" s="100"/>
      <c r="Z1335" s="100"/>
    </row>
    <row r="1336" spans="1:26">
      <c r="A1336" s="100"/>
      <c r="B1336" s="100"/>
      <c r="C1336" s="100"/>
      <c r="D1336" s="100"/>
      <c r="E1336" s="100"/>
      <c r="F1336" s="100"/>
      <c r="G1336" s="100"/>
      <c r="H1336" s="100"/>
      <c r="I1336" s="100"/>
      <c r="J1336" s="100"/>
      <c r="K1336" s="100"/>
      <c r="L1336" s="100"/>
      <c r="M1336" s="100"/>
      <c r="N1336" s="100"/>
      <c r="O1336" s="100"/>
      <c r="P1336" s="100"/>
      <c r="Q1336" s="100"/>
      <c r="R1336" s="100"/>
      <c r="S1336" s="100"/>
      <c r="T1336" s="100"/>
      <c r="U1336" s="100"/>
      <c r="V1336" s="100"/>
      <c r="W1336" s="100"/>
      <c r="X1336" s="100"/>
      <c r="Y1336" s="100"/>
      <c r="Z1336" s="100"/>
    </row>
    <row r="1337" spans="1:26">
      <c r="A1337" s="100"/>
      <c r="B1337" s="100"/>
      <c r="C1337" s="100"/>
      <c r="D1337" s="100"/>
      <c r="E1337" s="100"/>
      <c r="F1337" s="100"/>
      <c r="G1337" s="100"/>
      <c r="H1337" s="100"/>
      <c r="I1337" s="100"/>
      <c r="J1337" s="100"/>
      <c r="K1337" s="100"/>
      <c r="L1337" s="100"/>
      <c r="M1337" s="100"/>
      <c r="N1337" s="100"/>
      <c r="O1337" s="100"/>
      <c r="P1337" s="100"/>
      <c r="Q1337" s="100"/>
      <c r="R1337" s="100"/>
      <c r="S1337" s="100"/>
      <c r="T1337" s="100"/>
      <c r="U1337" s="100"/>
      <c r="V1337" s="100"/>
      <c r="W1337" s="100"/>
      <c r="X1337" s="100"/>
      <c r="Y1337" s="100"/>
      <c r="Z1337" s="100"/>
    </row>
    <row r="1338" spans="1:26">
      <c r="A1338" s="100"/>
      <c r="B1338" s="100"/>
      <c r="C1338" s="100"/>
      <c r="D1338" s="100"/>
      <c r="E1338" s="100"/>
      <c r="F1338" s="100"/>
      <c r="G1338" s="100"/>
      <c r="H1338" s="100"/>
      <c r="I1338" s="100"/>
      <c r="J1338" s="100"/>
      <c r="K1338" s="100"/>
      <c r="L1338" s="100"/>
      <c r="M1338" s="100"/>
      <c r="N1338" s="100"/>
      <c r="O1338" s="100"/>
      <c r="P1338" s="100"/>
      <c r="Q1338" s="100"/>
      <c r="R1338" s="100"/>
      <c r="S1338" s="100"/>
      <c r="T1338" s="100"/>
      <c r="U1338" s="100"/>
      <c r="V1338" s="100"/>
      <c r="W1338" s="100"/>
      <c r="X1338" s="100"/>
      <c r="Y1338" s="100"/>
      <c r="Z1338" s="100"/>
    </row>
    <row r="1339" spans="1:26">
      <c r="A1339" s="100"/>
      <c r="B1339" s="100"/>
      <c r="C1339" s="100"/>
      <c r="D1339" s="100"/>
      <c r="E1339" s="100"/>
      <c r="F1339" s="100"/>
      <c r="G1339" s="100"/>
      <c r="H1339" s="100"/>
      <c r="I1339" s="100"/>
      <c r="J1339" s="100"/>
      <c r="K1339" s="100"/>
      <c r="L1339" s="100"/>
      <c r="M1339" s="100"/>
      <c r="N1339" s="100"/>
      <c r="O1339" s="100"/>
      <c r="P1339" s="100"/>
      <c r="Q1339" s="100"/>
      <c r="R1339" s="100"/>
      <c r="S1339" s="100"/>
      <c r="T1339" s="100"/>
      <c r="U1339" s="100"/>
      <c r="V1339" s="100"/>
      <c r="W1339" s="100"/>
      <c r="X1339" s="100"/>
      <c r="Y1339" s="100"/>
      <c r="Z1339" s="100"/>
    </row>
    <row r="1340" spans="1:26">
      <c r="A1340" s="100"/>
      <c r="B1340" s="100"/>
      <c r="C1340" s="100"/>
      <c r="D1340" s="100"/>
      <c r="E1340" s="100"/>
      <c r="F1340" s="100"/>
      <c r="G1340" s="100"/>
      <c r="H1340" s="100"/>
      <c r="I1340" s="100"/>
      <c r="J1340" s="100"/>
      <c r="K1340" s="100"/>
      <c r="L1340" s="100"/>
      <c r="M1340" s="100"/>
      <c r="N1340" s="100"/>
      <c r="O1340" s="100"/>
      <c r="P1340" s="100"/>
      <c r="Q1340" s="100"/>
      <c r="R1340" s="100"/>
      <c r="S1340" s="100"/>
      <c r="T1340" s="100"/>
      <c r="U1340" s="100"/>
      <c r="V1340" s="100"/>
      <c r="W1340" s="100"/>
      <c r="X1340" s="100"/>
      <c r="Y1340" s="100"/>
      <c r="Z1340" s="100"/>
    </row>
    <row r="1341" spans="1:26">
      <c r="A1341" s="100"/>
      <c r="B1341" s="100"/>
      <c r="C1341" s="100"/>
      <c r="D1341" s="100"/>
      <c r="E1341" s="100"/>
      <c r="F1341" s="100"/>
      <c r="G1341" s="100"/>
      <c r="H1341" s="100"/>
      <c r="I1341" s="100"/>
      <c r="J1341" s="100"/>
      <c r="K1341" s="100"/>
      <c r="L1341" s="100"/>
      <c r="M1341" s="100"/>
      <c r="N1341" s="100"/>
      <c r="O1341" s="100"/>
      <c r="P1341" s="100"/>
      <c r="Q1341" s="100"/>
      <c r="R1341" s="100"/>
      <c r="S1341" s="100"/>
      <c r="T1341" s="100"/>
      <c r="U1341" s="100"/>
      <c r="V1341" s="100"/>
      <c r="W1341" s="100"/>
      <c r="X1341" s="100"/>
      <c r="Y1341" s="100"/>
      <c r="Z1341" s="100"/>
    </row>
    <row r="1342" spans="1:26">
      <c r="A1342" s="100"/>
      <c r="B1342" s="100"/>
      <c r="C1342" s="100"/>
      <c r="D1342" s="100"/>
      <c r="E1342" s="100"/>
      <c r="F1342" s="100"/>
      <c r="G1342" s="100"/>
      <c r="H1342" s="100"/>
      <c r="I1342" s="100"/>
      <c r="J1342" s="100"/>
      <c r="K1342" s="100"/>
      <c r="L1342" s="100"/>
      <c r="M1342" s="100"/>
      <c r="N1342" s="100"/>
      <c r="O1342" s="100"/>
      <c r="P1342" s="100"/>
      <c r="Q1342" s="100"/>
      <c r="R1342" s="100"/>
      <c r="S1342" s="100"/>
      <c r="T1342" s="100"/>
      <c r="U1342" s="100"/>
      <c r="V1342" s="100"/>
      <c r="W1342" s="100"/>
      <c r="X1342" s="100"/>
      <c r="Y1342" s="100"/>
      <c r="Z1342" s="100"/>
    </row>
    <row r="1343" spans="1:26">
      <c r="A1343" s="100"/>
      <c r="B1343" s="100"/>
      <c r="C1343" s="100"/>
      <c r="D1343" s="100"/>
      <c r="E1343" s="100"/>
      <c r="F1343" s="100"/>
      <c r="G1343" s="100"/>
      <c r="H1343" s="100"/>
      <c r="I1343" s="100"/>
      <c r="J1343" s="100"/>
      <c r="K1343" s="100"/>
      <c r="L1343" s="100"/>
      <c r="M1343" s="100"/>
      <c r="N1343" s="100"/>
      <c r="O1343" s="100"/>
      <c r="P1343" s="100"/>
      <c r="Q1343" s="100"/>
      <c r="R1343" s="100"/>
      <c r="S1343" s="100"/>
      <c r="T1343" s="100"/>
      <c r="U1343" s="100"/>
      <c r="V1343" s="100"/>
      <c r="W1343" s="100"/>
      <c r="X1343" s="100"/>
      <c r="Y1343" s="100"/>
      <c r="Z1343" s="100"/>
    </row>
    <row r="1344" spans="1:26">
      <c r="A1344" s="100"/>
      <c r="B1344" s="100"/>
      <c r="C1344" s="100"/>
      <c r="D1344" s="100"/>
      <c r="E1344" s="100"/>
      <c r="F1344" s="100"/>
      <c r="G1344" s="100"/>
      <c r="H1344" s="100"/>
      <c r="I1344" s="100"/>
      <c r="J1344" s="100"/>
      <c r="K1344" s="100"/>
      <c r="L1344" s="100"/>
      <c r="M1344" s="100"/>
      <c r="N1344" s="100"/>
      <c r="O1344" s="100"/>
      <c r="P1344" s="100"/>
      <c r="Q1344" s="100"/>
      <c r="R1344" s="100"/>
      <c r="S1344" s="100"/>
      <c r="T1344" s="100"/>
      <c r="U1344" s="100"/>
      <c r="V1344" s="100"/>
      <c r="W1344" s="100"/>
      <c r="X1344" s="100"/>
      <c r="Y1344" s="100"/>
      <c r="Z1344" s="100"/>
    </row>
    <row r="1345" spans="1:26">
      <c r="A1345" s="100"/>
      <c r="B1345" s="100"/>
      <c r="C1345" s="100"/>
      <c r="D1345" s="100"/>
      <c r="E1345" s="100"/>
      <c r="F1345" s="100"/>
      <c r="G1345" s="100"/>
      <c r="H1345" s="100"/>
      <c r="I1345" s="100"/>
      <c r="J1345" s="100"/>
      <c r="K1345" s="100"/>
      <c r="L1345" s="100"/>
      <c r="M1345" s="100"/>
      <c r="N1345" s="100"/>
      <c r="O1345" s="100"/>
      <c r="P1345" s="100"/>
      <c r="Q1345" s="100"/>
      <c r="R1345" s="100"/>
      <c r="S1345" s="100"/>
      <c r="T1345" s="100"/>
      <c r="U1345" s="100"/>
      <c r="V1345" s="100"/>
      <c r="W1345" s="100"/>
      <c r="X1345" s="100"/>
      <c r="Y1345" s="100"/>
      <c r="Z1345" s="100"/>
    </row>
    <row r="1346" spans="1:26">
      <c r="A1346" s="100"/>
      <c r="B1346" s="100"/>
      <c r="C1346" s="100"/>
      <c r="D1346" s="100"/>
      <c r="E1346" s="100"/>
      <c r="F1346" s="100"/>
      <c r="G1346" s="100"/>
      <c r="H1346" s="100"/>
      <c r="I1346" s="100"/>
      <c r="J1346" s="100"/>
      <c r="K1346" s="100"/>
      <c r="L1346" s="100"/>
      <c r="M1346" s="100"/>
      <c r="N1346" s="100"/>
      <c r="O1346" s="100"/>
      <c r="P1346" s="100"/>
      <c r="Q1346" s="100"/>
      <c r="R1346" s="100"/>
      <c r="S1346" s="100"/>
      <c r="T1346" s="100"/>
      <c r="U1346" s="100"/>
      <c r="V1346" s="100"/>
      <c r="W1346" s="100"/>
      <c r="X1346" s="100"/>
      <c r="Y1346" s="100"/>
      <c r="Z1346" s="100"/>
    </row>
    <row r="1347" spans="1:26">
      <c r="A1347" s="100"/>
      <c r="B1347" s="100"/>
      <c r="C1347" s="100"/>
      <c r="D1347" s="100"/>
      <c r="E1347" s="100"/>
      <c r="F1347" s="100"/>
      <c r="G1347" s="100"/>
      <c r="H1347" s="100"/>
      <c r="I1347" s="100"/>
      <c r="J1347" s="100"/>
      <c r="K1347" s="100"/>
      <c r="L1347" s="100"/>
      <c r="M1347" s="100"/>
      <c r="N1347" s="100"/>
      <c r="O1347" s="100"/>
      <c r="P1347" s="100"/>
      <c r="Q1347" s="100"/>
      <c r="R1347" s="100"/>
      <c r="S1347" s="100"/>
      <c r="T1347" s="100"/>
      <c r="U1347" s="100"/>
      <c r="V1347" s="100"/>
      <c r="W1347" s="100"/>
      <c r="X1347" s="100"/>
      <c r="Y1347" s="100"/>
      <c r="Z1347" s="100"/>
    </row>
    <row r="1348" spans="1:26">
      <c r="A1348" s="100"/>
      <c r="B1348" s="100"/>
      <c r="C1348" s="100"/>
      <c r="D1348" s="100"/>
      <c r="E1348" s="100"/>
      <c r="F1348" s="100"/>
      <c r="G1348" s="100"/>
      <c r="H1348" s="100"/>
      <c r="I1348" s="100"/>
      <c r="J1348" s="100"/>
      <c r="K1348" s="100"/>
      <c r="L1348" s="100"/>
      <c r="M1348" s="100"/>
      <c r="N1348" s="100"/>
      <c r="O1348" s="100"/>
      <c r="P1348" s="100"/>
      <c r="Q1348" s="100"/>
      <c r="R1348" s="100"/>
      <c r="S1348" s="100"/>
      <c r="T1348" s="100"/>
      <c r="U1348" s="100"/>
      <c r="V1348" s="100"/>
      <c r="W1348" s="100"/>
      <c r="X1348" s="100"/>
      <c r="Y1348" s="100"/>
      <c r="Z1348" s="100"/>
    </row>
    <row r="1349" spans="1:26">
      <c r="A1349" s="100"/>
      <c r="B1349" s="100"/>
      <c r="C1349" s="100"/>
      <c r="D1349" s="100"/>
      <c r="E1349" s="100"/>
      <c r="F1349" s="100"/>
      <c r="G1349" s="100"/>
      <c r="H1349" s="100"/>
      <c r="I1349" s="100"/>
      <c r="J1349" s="100"/>
      <c r="K1349" s="100"/>
      <c r="L1349" s="100"/>
      <c r="M1349" s="100"/>
      <c r="N1349" s="100"/>
      <c r="O1349" s="100"/>
      <c r="P1349" s="100"/>
      <c r="Q1349" s="100"/>
      <c r="R1349" s="100"/>
      <c r="S1349" s="100"/>
      <c r="T1349" s="100"/>
      <c r="U1349" s="100"/>
      <c r="V1349" s="100"/>
      <c r="W1349" s="100"/>
      <c r="X1349" s="100"/>
      <c r="Y1349" s="100"/>
      <c r="Z1349" s="100"/>
    </row>
    <row r="1350" spans="1:26">
      <c r="A1350" s="100"/>
      <c r="B1350" s="100"/>
      <c r="C1350" s="100"/>
      <c r="D1350" s="100"/>
      <c r="E1350" s="100"/>
      <c r="F1350" s="100"/>
      <c r="G1350" s="100"/>
      <c r="H1350" s="100"/>
      <c r="I1350" s="100"/>
      <c r="J1350" s="100"/>
      <c r="K1350" s="100"/>
      <c r="L1350" s="100"/>
      <c r="M1350" s="100"/>
      <c r="N1350" s="100"/>
      <c r="O1350" s="100"/>
      <c r="P1350" s="100"/>
      <c r="Q1350" s="100"/>
      <c r="R1350" s="100"/>
      <c r="S1350" s="100"/>
      <c r="T1350" s="100"/>
      <c r="U1350" s="100"/>
      <c r="V1350" s="100"/>
      <c r="W1350" s="100"/>
      <c r="X1350" s="100"/>
      <c r="Y1350" s="100"/>
      <c r="Z1350" s="100"/>
    </row>
    <row r="1351" spans="1:26">
      <c r="A1351" s="100"/>
      <c r="B1351" s="100"/>
      <c r="C1351" s="100"/>
      <c r="D1351" s="100"/>
      <c r="E1351" s="100"/>
      <c r="F1351" s="100"/>
      <c r="G1351" s="100"/>
      <c r="H1351" s="100"/>
      <c r="I1351" s="100"/>
      <c r="J1351" s="100"/>
      <c r="K1351" s="100"/>
      <c r="L1351" s="100"/>
      <c r="M1351" s="100"/>
      <c r="N1351" s="100"/>
      <c r="O1351" s="100"/>
      <c r="P1351" s="100"/>
      <c r="Q1351" s="100"/>
      <c r="R1351" s="100"/>
      <c r="S1351" s="100"/>
      <c r="T1351" s="100"/>
      <c r="U1351" s="100"/>
      <c r="V1351" s="100"/>
      <c r="W1351" s="100"/>
      <c r="X1351" s="100"/>
      <c r="Y1351" s="100"/>
      <c r="Z1351" s="100"/>
    </row>
    <row r="1352" spans="1:26">
      <c r="A1352" s="100"/>
      <c r="B1352" s="100"/>
      <c r="C1352" s="100"/>
      <c r="D1352" s="100"/>
      <c r="E1352" s="100"/>
      <c r="F1352" s="100"/>
      <c r="G1352" s="100"/>
      <c r="H1352" s="100"/>
      <c r="I1352" s="100"/>
      <c r="J1352" s="100"/>
      <c r="K1352" s="100"/>
      <c r="L1352" s="100"/>
      <c r="M1352" s="100"/>
      <c r="N1352" s="100"/>
      <c r="O1352" s="100"/>
      <c r="P1352" s="100"/>
      <c r="Q1352" s="100"/>
      <c r="R1352" s="100"/>
      <c r="S1352" s="100"/>
      <c r="T1352" s="100"/>
      <c r="U1352" s="100"/>
      <c r="V1352" s="100"/>
      <c r="W1352" s="100"/>
      <c r="X1352" s="100"/>
      <c r="Y1352" s="100"/>
      <c r="Z1352" s="100"/>
    </row>
    <row r="1353" spans="1:26">
      <c r="A1353" s="100"/>
      <c r="B1353" s="100"/>
      <c r="C1353" s="100"/>
      <c r="D1353" s="100"/>
      <c r="E1353" s="100"/>
      <c r="F1353" s="100"/>
      <c r="G1353" s="100"/>
      <c r="H1353" s="100"/>
      <c r="I1353" s="100"/>
      <c r="J1353" s="100"/>
      <c r="K1353" s="100"/>
      <c r="L1353" s="100"/>
      <c r="M1353" s="100"/>
      <c r="N1353" s="100"/>
      <c r="O1353" s="100"/>
      <c r="P1353" s="100"/>
      <c r="Q1353" s="100"/>
      <c r="R1353" s="100"/>
      <c r="S1353" s="100"/>
      <c r="T1353" s="100"/>
      <c r="U1353" s="100"/>
      <c r="V1353" s="100"/>
      <c r="W1353" s="100"/>
      <c r="X1353" s="100"/>
      <c r="Y1353" s="100"/>
      <c r="Z1353" s="100"/>
    </row>
    <row r="1354" spans="1:26">
      <c r="A1354" s="100"/>
      <c r="B1354" s="100"/>
      <c r="C1354" s="100"/>
      <c r="D1354" s="100"/>
      <c r="E1354" s="100"/>
      <c r="F1354" s="100"/>
      <c r="G1354" s="100"/>
      <c r="H1354" s="100"/>
      <c r="I1354" s="100"/>
      <c r="J1354" s="100"/>
      <c r="K1354" s="100"/>
      <c r="L1354" s="100"/>
      <c r="M1354" s="100"/>
      <c r="N1354" s="100"/>
      <c r="O1354" s="100"/>
      <c r="P1354" s="100"/>
      <c r="Q1354" s="100"/>
      <c r="R1354" s="100"/>
      <c r="S1354" s="100"/>
      <c r="T1354" s="100"/>
      <c r="U1354" s="100"/>
      <c r="V1354" s="100"/>
      <c r="W1354" s="100"/>
      <c r="X1354" s="100"/>
      <c r="Y1354" s="100"/>
      <c r="Z1354" s="100"/>
    </row>
    <row r="1355" spans="1:26">
      <c r="A1355" s="100"/>
      <c r="B1355" s="100"/>
      <c r="C1355" s="100"/>
      <c r="D1355" s="100"/>
      <c r="E1355" s="100"/>
      <c r="F1355" s="100"/>
      <c r="G1355" s="100"/>
      <c r="H1355" s="100"/>
      <c r="I1355" s="100"/>
      <c r="J1355" s="100"/>
      <c r="K1355" s="100"/>
      <c r="L1355" s="100"/>
      <c r="M1355" s="100"/>
      <c r="N1355" s="100"/>
      <c r="O1355" s="100"/>
      <c r="P1355" s="100"/>
      <c r="Q1355" s="100"/>
      <c r="R1355" s="100"/>
      <c r="S1355" s="100"/>
      <c r="T1355" s="100"/>
      <c r="U1355" s="100"/>
      <c r="V1355" s="100"/>
      <c r="W1355" s="100"/>
      <c r="X1355" s="100"/>
      <c r="Y1355" s="100"/>
      <c r="Z1355" s="100"/>
    </row>
    <row r="1356" spans="1:26">
      <c r="A1356" s="100"/>
      <c r="B1356" s="100"/>
      <c r="C1356" s="100"/>
      <c r="D1356" s="100"/>
      <c r="E1356" s="100"/>
      <c r="F1356" s="100"/>
      <c r="G1356" s="100"/>
      <c r="H1356" s="100"/>
      <c r="I1356" s="100"/>
      <c r="J1356" s="100"/>
      <c r="K1356" s="100"/>
      <c r="L1356" s="100"/>
      <c r="M1356" s="100"/>
      <c r="N1356" s="100"/>
      <c r="O1356" s="100"/>
      <c r="P1356" s="100"/>
      <c r="Q1356" s="100"/>
      <c r="R1356" s="100"/>
      <c r="S1356" s="100"/>
      <c r="T1356" s="100"/>
      <c r="U1356" s="100"/>
      <c r="V1356" s="100"/>
      <c r="W1356" s="100"/>
      <c r="X1356" s="100"/>
      <c r="Y1356" s="100"/>
      <c r="Z1356" s="100"/>
    </row>
    <row r="1357" spans="1:26">
      <c r="A1357" s="100"/>
      <c r="B1357" s="100"/>
      <c r="C1357" s="100"/>
      <c r="D1357" s="100"/>
      <c r="E1357" s="100"/>
      <c r="F1357" s="100"/>
      <c r="G1357" s="100"/>
      <c r="H1357" s="100"/>
      <c r="I1357" s="100"/>
      <c r="J1357" s="100"/>
      <c r="K1357" s="100"/>
      <c r="L1357" s="100"/>
      <c r="M1357" s="100"/>
      <c r="N1357" s="100"/>
      <c r="O1357" s="100"/>
      <c r="P1357" s="100"/>
      <c r="Q1357" s="100"/>
      <c r="R1357" s="100"/>
      <c r="S1357" s="100"/>
      <c r="T1357" s="100"/>
      <c r="U1357" s="100"/>
      <c r="V1357" s="100"/>
      <c r="W1357" s="100"/>
      <c r="X1357" s="100"/>
      <c r="Y1357" s="100"/>
      <c r="Z1357" s="100"/>
    </row>
    <row r="1358" spans="1:26">
      <c r="A1358" s="100"/>
      <c r="B1358" s="100"/>
      <c r="C1358" s="100"/>
      <c r="D1358" s="100"/>
      <c r="E1358" s="100"/>
      <c r="F1358" s="100"/>
      <c r="G1358" s="100"/>
      <c r="H1358" s="100"/>
      <c r="I1358" s="100"/>
      <c r="J1358" s="100"/>
      <c r="K1358" s="100"/>
      <c r="L1358" s="100"/>
      <c r="M1358" s="100"/>
      <c r="N1358" s="100"/>
      <c r="O1358" s="100"/>
      <c r="P1358" s="100"/>
      <c r="Q1358" s="100"/>
      <c r="R1358" s="100"/>
      <c r="S1358" s="100"/>
      <c r="T1358" s="100"/>
      <c r="U1358" s="100"/>
      <c r="V1358" s="100"/>
      <c r="W1358" s="100"/>
      <c r="X1358" s="100"/>
      <c r="Y1358" s="100"/>
      <c r="Z1358" s="100"/>
    </row>
    <row r="1359" spans="1:26">
      <c r="A1359" s="100"/>
      <c r="B1359" s="100"/>
      <c r="C1359" s="100"/>
      <c r="D1359" s="100"/>
      <c r="E1359" s="100"/>
      <c r="F1359" s="100"/>
      <c r="G1359" s="100"/>
      <c r="H1359" s="100"/>
      <c r="I1359" s="100"/>
      <c r="J1359" s="100"/>
      <c r="K1359" s="100"/>
      <c r="L1359" s="100"/>
      <c r="M1359" s="100"/>
      <c r="N1359" s="100"/>
      <c r="O1359" s="100"/>
      <c r="P1359" s="100"/>
      <c r="Q1359" s="100"/>
      <c r="R1359" s="100"/>
      <c r="S1359" s="100"/>
      <c r="T1359" s="100"/>
      <c r="U1359" s="100"/>
      <c r="V1359" s="100"/>
      <c r="W1359" s="100"/>
      <c r="X1359" s="100"/>
      <c r="Y1359" s="100"/>
      <c r="Z1359" s="100"/>
    </row>
    <row r="1360" spans="1:26">
      <c r="A1360" s="100"/>
      <c r="B1360" s="100"/>
      <c r="C1360" s="100"/>
      <c r="D1360" s="100"/>
      <c r="E1360" s="100"/>
      <c r="F1360" s="100"/>
      <c r="G1360" s="100"/>
      <c r="H1360" s="100"/>
      <c r="I1360" s="100"/>
      <c r="J1360" s="100"/>
      <c r="K1360" s="100"/>
      <c r="L1360" s="100"/>
      <c r="M1360" s="100"/>
      <c r="N1360" s="100"/>
      <c r="O1360" s="100"/>
      <c r="P1360" s="100"/>
      <c r="Q1360" s="100"/>
      <c r="R1360" s="100"/>
      <c r="S1360" s="100"/>
      <c r="T1360" s="100"/>
      <c r="U1360" s="100"/>
      <c r="V1360" s="100"/>
      <c r="W1360" s="100"/>
      <c r="X1360" s="100"/>
      <c r="Y1360" s="100"/>
      <c r="Z1360" s="100"/>
    </row>
    <row r="1361" spans="1:26">
      <c r="A1361" s="100"/>
      <c r="B1361" s="100"/>
      <c r="C1361" s="100"/>
      <c r="D1361" s="100"/>
      <c r="E1361" s="100"/>
      <c r="F1361" s="100"/>
      <c r="G1361" s="100"/>
      <c r="H1361" s="100"/>
      <c r="I1361" s="100"/>
      <c r="J1361" s="100"/>
      <c r="K1361" s="100"/>
      <c r="L1361" s="100"/>
      <c r="M1361" s="100"/>
      <c r="N1361" s="100"/>
      <c r="O1361" s="100"/>
      <c r="P1361" s="100"/>
      <c r="Q1361" s="100"/>
      <c r="R1361" s="100"/>
      <c r="S1361" s="100"/>
      <c r="T1361" s="100"/>
      <c r="U1361" s="100"/>
      <c r="V1361" s="100"/>
      <c r="W1361" s="100"/>
      <c r="X1361" s="100"/>
      <c r="Y1361" s="100"/>
      <c r="Z1361" s="100"/>
    </row>
    <row r="1362" spans="1:26">
      <c r="A1362" s="100"/>
      <c r="B1362" s="100"/>
      <c r="C1362" s="100"/>
      <c r="D1362" s="100"/>
      <c r="E1362" s="100"/>
      <c r="F1362" s="100"/>
      <c r="G1362" s="100"/>
      <c r="H1362" s="100"/>
      <c r="I1362" s="100"/>
      <c r="J1362" s="100"/>
      <c r="K1362" s="100"/>
      <c r="L1362" s="100"/>
      <c r="M1362" s="100"/>
      <c r="N1362" s="100"/>
      <c r="O1362" s="100"/>
      <c r="P1362" s="100"/>
      <c r="Q1362" s="100"/>
      <c r="R1362" s="100"/>
      <c r="S1362" s="100"/>
      <c r="T1362" s="100"/>
      <c r="U1362" s="100"/>
      <c r="V1362" s="100"/>
      <c r="W1362" s="100"/>
      <c r="X1362" s="100"/>
      <c r="Y1362" s="100"/>
      <c r="Z1362" s="100"/>
    </row>
    <row r="1363" spans="1:26">
      <c r="A1363" s="100"/>
      <c r="B1363" s="100"/>
      <c r="C1363" s="100"/>
      <c r="D1363" s="100"/>
      <c r="E1363" s="100"/>
      <c r="F1363" s="100"/>
      <c r="G1363" s="100"/>
      <c r="H1363" s="100"/>
      <c r="I1363" s="100"/>
      <c r="J1363" s="100"/>
      <c r="K1363" s="100"/>
      <c r="L1363" s="100"/>
      <c r="M1363" s="100"/>
      <c r="N1363" s="100"/>
      <c r="O1363" s="100"/>
      <c r="P1363" s="100"/>
      <c r="Q1363" s="100"/>
      <c r="R1363" s="100"/>
      <c r="S1363" s="100"/>
      <c r="T1363" s="100"/>
      <c r="U1363" s="100"/>
      <c r="V1363" s="100"/>
      <c r="W1363" s="100"/>
      <c r="X1363" s="100"/>
      <c r="Y1363" s="100"/>
      <c r="Z1363" s="100"/>
    </row>
    <row r="1364" spans="1:26">
      <c r="A1364" s="100"/>
      <c r="B1364" s="100"/>
      <c r="C1364" s="100"/>
      <c r="D1364" s="100"/>
      <c r="E1364" s="100"/>
      <c r="F1364" s="100"/>
      <c r="G1364" s="100"/>
      <c r="H1364" s="100"/>
      <c r="I1364" s="100"/>
      <c r="J1364" s="100"/>
      <c r="K1364" s="100"/>
      <c r="L1364" s="100"/>
      <c r="M1364" s="100"/>
      <c r="N1364" s="100"/>
      <c r="O1364" s="100"/>
      <c r="P1364" s="100"/>
      <c r="Q1364" s="100"/>
      <c r="R1364" s="100"/>
      <c r="S1364" s="100"/>
      <c r="T1364" s="100"/>
      <c r="U1364" s="100"/>
      <c r="V1364" s="100"/>
      <c r="W1364" s="100"/>
      <c r="X1364" s="100"/>
      <c r="Y1364" s="100"/>
      <c r="Z1364" s="100"/>
    </row>
    <row r="1365" spans="1:26">
      <c r="A1365" s="100"/>
      <c r="B1365" s="100"/>
      <c r="C1365" s="100"/>
      <c r="D1365" s="100"/>
      <c r="E1365" s="100"/>
      <c r="F1365" s="100"/>
      <c r="G1365" s="100"/>
      <c r="H1365" s="100"/>
      <c r="I1365" s="100"/>
      <c r="J1365" s="100"/>
      <c r="K1365" s="100"/>
      <c r="L1365" s="100"/>
      <c r="M1365" s="100"/>
      <c r="N1365" s="100"/>
      <c r="O1365" s="100"/>
      <c r="P1365" s="100"/>
      <c r="Q1365" s="100"/>
      <c r="R1365" s="100"/>
      <c r="S1365" s="100"/>
      <c r="T1365" s="100"/>
      <c r="U1365" s="100"/>
      <c r="V1365" s="100"/>
      <c r="W1365" s="100"/>
      <c r="X1365" s="100"/>
      <c r="Y1365" s="100"/>
      <c r="Z1365" s="100"/>
    </row>
    <row r="1366" spans="1:26">
      <c r="A1366" s="100"/>
      <c r="B1366" s="100"/>
      <c r="C1366" s="100"/>
      <c r="D1366" s="100"/>
      <c r="E1366" s="100"/>
      <c r="F1366" s="100"/>
      <c r="G1366" s="100"/>
      <c r="H1366" s="100"/>
      <c r="I1366" s="100"/>
      <c r="J1366" s="100"/>
      <c r="K1366" s="100"/>
      <c r="L1366" s="100"/>
      <c r="M1366" s="100"/>
      <c r="N1366" s="100"/>
      <c r="O1366" s="100"/>
      <c r="P1366" s="100"/>
      <c r="Q1366" s="100"/>
      <c r="R1366" s="100"/>
      <c r="S1366" s="100"/>
      <c r="T1366" s="100"/>
      <c r="U1366" s="100"/>
      <c r="V1366" s="100"/>
      <c r="W1366" s="100"/>
      <c r="X1366" s="100"/>
      <c r="Y1366" s="100"/>
      <c r="Z1366" s="100"/>
    </row>
    <row r="1367" spans="1:26">
      <c r="A1367" s="100"/>
      <c r="B1367" s="100"/>
      <c r="C1367" s="100"/>
      <c r="D1367" s="100"/>
      <c r="E1367" s="100"/>
      <c r="F1367" s="100"/>
      <c r="G1367" s="100"/>
      <c r="H1367" s="100"/>
      <c r="I1367" s="100"/>
      <c r="J1367" s="100"/>
      <c r="K1367" s="100"/>
      <c r="L1367" s="100"/>
      <c r="M1367" s="100"/>
      <c r="N1367" s="100"/>
      <c r="O1367" s="100"/>
      <c r="P1367" s="100"/>
      <c r="Q1367" s="100"/>
      <c r="R1367" s="100"/>
      <c r="S1367" s="100"/>
      <c r="T1367" s="100"/>
      <c r="U1367" s="100"/>
      <c r="V1367" s="100"/>
      <c r="W1367" s="100"/>
      <c r="X1367" s="100"/>
      <c r="Y1367" s="100"/>
      <c r="Z1367" s="100"/>
    </row>
    <row r="1368" spans="1:26">
      <c r="A1368" s="100"/>
      <c r="B1368" s="100"/>
      <c r="C1368" s="100"/>
      <c r="D1368" s="100"/>
      <c r="E1368" s="100"/>
      <c r="F1368" s="100"/>
      <c r="G1368" s="100"/>
      <c r="H1368" s="100"/>
      <c r="I1368" s="100"/>
      <c r="J1368" s="100"/>
      <c r="K1368" s="100"/>
      <c r="L1368" s="100"/>
      <c r="M1368" s="100"/>
      <c r="N1368" s="100"/>
      <c r="O1368" s="100"/>
      <c r="P1368" s="100"/>
      <c r="Q1368" s="100"/>
      <c r="R1368" s="100"/>
      <c r="S1368" s="100"/>
      <c r="T1368" s="100"/>
      <c r="U1368" s="100"/>
      <c r="V1368" s="100"/>
      <c r="W1368" s="100"/>
      <c r="X1368" s="100"/>
      <c r="Y1368" s="100"/>
      <c r="Z1368" s="100"/>
    </row>
    <row r="1369" spans="1:26">
      <c r="A1369" s="100"/>
      <c r="B1369" s="100"/>
      <c r="C1369" s="100"/>
      <c r="D1369" s="100"/>
      <c r="E1369" s="100"/>
      <c r="F1369" s="100"/>
      <c r="G1369" s="100"/>
      <c r="H1369" s="100"/>
      <c r="I1369" s="100"/>
      <c r="J1369" s="100"/>
      <c r="K1369" s="100"/>
      <c r="L1369" s="100"/>
      <c r="M1369" s="100"/>
      <c r="N1369" s="100"/>
      <c r="O1369" s="100"/>
      <c r="P1369" s="100"/>
      <c r="Q1369" s="100"/>
      <c r="R1369" s="100"/>
      <c r="S1369" s="100"/>
      <c r="T1369" s="100"/>
      <c r="U1369" s="100"/>
      <c r="V1369" s="100"/>
      <c r="W1369" s="100"/>
      <c r="X1369" s="100"/>
      <c r="Y1369" s="100"/>
      <c r="Z1369" s="100"/>
    </row>
    <row r="1370" spans="1:26">
      <c r="A1370" s="100"/>
      <c r="B1370" s="100"/>
      <c r="C1370" s="100"/>
      <c r="D1370" s="100"/>
      <c r="E1370" s="100"/>
      <c r="F1370" s="100"/>
      <c r="G1370" s="100"/>
      <c r="H1370" s="100"/>
      <c r="I1370" s="100"/>
      <c r="J1370" s="100"/>
      <c r="K1370" s="100"/>
      <c r="L1370" s="100"/>
      <c r="M1370" s="100"/>
      <c r="N1370" s="100"/>
      <c r="O1370" s="100"/>
      <c r="P1370" s="100"/>
      <c r="Q1370" s="100"/>
      <c r="R1370" s="100"/>
      <c r="S1370" s="100"/>
      <c r="T1370" s="100"/>
      <c r="U1370" s="100"/>
      <c r="V1370" s="100"/>
      <c r="W1370" s="100"/>
      <c r="X1370" s="100"/>
      <c r="Y1370" s="100"/>
      <c r="Z1370" s="100"/>
    </row>
    <row r="1371" spans="1:26">
      <c r="A1371" s="100"/>
      <c r="B1371" s="100"/>
      <c r="C1371" s="100"/>
      <c r="D1371" s="100"/>
      <c r="E1371" s="100"/>
      <c r="F1371" s="100"/>
      <c r="G1371" s="100"/>
      <c r="H1371" s="100"/>
      <c r="I1371" s="100"/>
      <c r="J1371" s="100"/>
      <c r="K1371" s="100"/>
      <c r="L1371" s="100"/>
      <c r="M1371" s="100"/>
      <c r="N1371" s="100"/>
      <c r="O1371" s="100"/>
      <c r="P1371" s="100"/>
      <c r="Q1371" s="100"/>
      <c r="R1371" s="100"/>
      <c r="S1371" s="100"/>
      <c r="T1371" s="100"/>
      <c r="U1371" s="100"/>
      <c r="V1371" s="100"/>
      <c r="W1371" s="100"/>
      <c r="X1371" s="100"/>
      <c r="Y1371" s="100"/>
      <c r="Z1371" s="100"/>
    </row>
    <row r="1372" spans="1:26">
      <c r="A1372" s="100"/>
      <c r="B1372" s="100"/>
      <c r="C1372" s="100"/>
      <c r="D1372" s="100"/>
      <c r="E1372" s="100"/>
      <c r="F1372" s="100"/>
      <c r="G1372" s="100"/>
      <c r="H1372" s="100"/>
      <c r="I1372" s="100"/>
      <c r="J1372" s="100"/>
      <c r="K1372" s="100"/>
      <c r="L1372" s="100"/>
      <c r="M1372" s="100"/>
      <c r="N1372" s="100"/>
      <c r="O1372" s="100"/>
      <c r="P1372" s="100"/>
      <c r="Q1372" s="100"/>
      <c r="R1372" s="100"/>
      <c r="S1372" s="100"/>
      <c r="T1372" s="100"/>
      <c r="U1372" s="100"/>
      <c r="V1372" s="100"/>
      <c r="W1372" s="100"/>
      <c r="X1372" s="100"/>
      <c r="Y1372" s="100"/>
      <c r="Z1372" s="100"/>
    </row>
    <row r="1373" spans="1:26">
      <c r="A1373" s="100"/>
      <c r="B1373" s="100"/>
      <c r="C1373" s="100"/>
      <c r="D1373" s="100"/>
      <c r="E1373" s="100"/>
      <c r="F1373" s="100"/>
      <c r="G1373" s="100"/>
      <c r="H1373" s="100"/>
      <c r="I1373" s="100"/>
      <c r="J1373" s="100"/>
      <c r="K1373" s="100"/>
      <c r="L1373" s="100"/>
      <c r="M1373" s="100"/>
      <c r="N1373" s="100"/>
      <c r="O1373" s="100"/>
      <c r="P1373" s="100"/>
      <c r="Q1373" s="100"/>
      <c r="R1373" s="100"/>
      <c r="S1373" s="100"/>
      <c r="T1373" s="100"/>
      <c r="U1373" s="100"/>
      <c r="V1373" s="100"/>
      <c r="W1373" s="100"/>
      <c r="X1373" s="100"/>
      <c r="Y1373" s="100"/>
      <c r="Z1373" s="100"/>
    </row>
    <row r="1374" spans="1:26">
      <c r="A1374" s="100"/>
      <c r="B1374" s="100"/>
      <c r="C1374" s="100"/>
      <c r="D1374" s="100"/>
      <c r="E1374" s="100"/>
      <c r="F1374" s="100"/>
      <c r="G1374" s="100"/>
      <c r="H1374" s="100"/>
      <c r="I1374" s="100"/>
      <c r="J1374" s="100"/>
      <c r="K1374" s="100"/>
      <c r="L1374" s="100"/>
      <c r="M1374" s="100"/>
      <c r="N1374" s="100"/>
      <c r="O1374" s="100"/>
      <c r="P1374" s="100"/>
      <c r="Q1374" s="100"/>
      <c r="R1374" s="100"/>
      <c r="S1374" s="100"/>
      <c r="T1374" s="100"/>
      <c r="U1374" s="100"/>
      <c r="V1374" s="100"/>
      <c r="W1374" s="100"/>
      <c r="X1374" s="100"/>
      <c r="Y1374" s="100"/>
      <c r="Z1374" s="100"/>
    </row>
    <row r="1375" spans="1:26">
      <c r="A1375" s="100"/>
      <c r="B1375" s="100"/>
      <c r="C1375" s="100"/>
      <c r="D1375" s="100"/>
      <c r="E1375" s="100"/>
      <c r="F1375" s="100"/>
      <c r="G1375" s="100"/>
      <c r="H1375" s="100"/>
      <c r="I1375" s="100"/>
      <c r="J1375" s="100"/>
      <c r="K1375" s="100"/>
      <c r="L1375" s="100"/>
      <c r="M1375" s="100"/>
      <c r="N1375" s="100"/>
      <c r="O1375" s="100"/>
      <c r="P1375" s="100"/>
      <c r="Q1375" s="100"/>
      <c r="R1375" s="100"/>
      <c r="S1375" s="100"/>
      <c r="T1375" s="100"/>
      <c r="U1375" s="100"/>
      <c r="V1375" s="100"/>
      <c r="W1375" s="100"/>
      <c r="X1375" s="100"/>
      <c r="Y1375" s="100"/>
      <c r="Z1375" s="100"/>
    </row>
    <row r="1376" spans="1:26">
      <c r="A1376" s="100"/>
      <c r="B1376" s="100"/>
      <c r="C1376" s="100"/>
      <c r="D1376" s="100"/>
      <c r="E1376" s="100"/>
      <c r="F1376" s="100"/>
      <c r="G1376" s="100"/>
      <c r="H1376" s="100"/>
      <c r="I1376" s="100"/>
      <c r="J1376" s="100"/>
      <c r="K1376" s="100"/>
      <c r="L1376" s="100"/>
      <c r="M1376" s="100"/>
      <c r="N1376" s="100"/>
      <c r="O1376" s="100"/>
      <c r="P1376" s="100"/>
      <c r="Q1376" s="100"/>
      <c r="R1376" s="100"/>
      <c r="S1376" s="100"/>
      <c r="T1376" s="100"/>
      <c r="U1376" s="100"/>
      <c r="V1376" s="100"/>
      <c r="W1376" s="100"/>
      <c r="X1376" s="100"/>
      <c r="Y1376" s="100"/>
      <c r="Z1376" s="100"/>
    </row>
    <row r="1377" spans="1:26">
      <c r="A1377" s="100"/>
      <c r="B1377" s="100"/>
      <c r="C1377" s="100"/>
      <c r="D1377" s="100"/>
      <c r="E1377" s="100"/>
      <c r="F1377" s="100"/>
      <c r="G1377" s="100"/>
      <c r="H1377" s="100"/>
      <c r="I1377" s="100"/>
      <c r="J1377" s="100"/>
      <c r="K1377" s="100"/>
      <c r="L1377" s="100"/>
      <c r="M1377" s="100"/>
      <c r="N1377" s="100"/>
      <c r="O1377" s="100"/>
      <c r="P1377" s="100"/>
      <c r="Q1377" s="100"/>
      <c r="R1377" s="100"/>
      <c r="S1377" s="100"/>
      <c r="T1377" s="100"/>
      <c r="U1377" s="100"/>
      <c r="V1377" s="100"/>
      <c r="W1377" s="100"/>
      <c r="X1377" s="100"/>
      <c r="Y1377" s="100"/>
      <c r="Z1377" s="100"/>
    </row>
    <row r="1378" spans="1:26">
      <c r="A1378" s="100"/>
      <c r="B1378" s="100"/>
      <c r="C1378" s="100"/>
      <c r="D1378" s="100"/>
      <c r="E1378" s="100"/>
      <c r="F1378" s="100"/>
      <c r="G1378" s="100"/>
      <c r="H1378" s="100"/>
      <c r="I1378" s="100"/>
      <c r="J1378" s="100"/>
      <c r="K1378" s="100"/>
      <c r="L1378" s="100"/>
      <c r="M1378" s="100"/>
      <c r="N1378" s="100"/>
      <c r="O1378" s="100"/>
      <c r="P1378" s="100"/>
      <c r="Q1378" s="100"/>
      <c r="R1378" s="100"/>
      <c r="S1378" s="100"/>
      <c r="T1378" s="100"/>
      <c r="U1378" s="100"/>
      <c r="V1378" s="100"/>
      <c r="W1378" s="100"/>
      <c r="X1378" s="100"/>
      <c r="Y1378" s="100"/>
      <c r="Z1378" s="100"/>
    </row>
    <row r="1379" spans="1:26">
      <c r="A1379" s="100"/>
      <c r="B1379" s="100"/>
      <c r="C1379" s="100"/>
      <c r="D1379" s="100"/>
      <c r="E1379" s="100"/>
      <c r="F1379" s="100"/>
      <c r="G1379" s="100"/>
      <c r="H1379" s="100"/>
      <c r="I1379" s="100"/>
      <c r="J1379" s="100"/>
      <c r="K1379" s="100"/>
      <c r="L1379" s="100"/>
      <c r="M1379" s="100"/>
      <c r="N1379" s="100"/>
      <c r="O1379" s="100"/>
      <c r="P1379" s="100"/>
      <c r="Q1379" s="100"/>
      <c r="R1379" s="100"/>
      <c r="S1379" s="100"/>
      <c r="T1379" s="100"/>
      <c r="U1379" s="100"/>
      <c r="V1379" s="100"/>
      <c r="W1379" s="100"/>
      <c r="X1379" s="100"/>
      <c r="Y1379" s="100"/>
      <c r="Z1379" s="100"/>
    </row>
    <row r="1380" spans="1:26">
      <c r="A1380" s="100"/>
      <c r="B1380" s="100"/>
      <c r="C1380" s="100"/>
      <c r="D1380" s="100"/>
      <c r="E1380" s="100"/>
      <c r="F1380" s="100"/>
      <c r="G1380" s="100"/>
      <c r="H1380" s="100"/>
      <c r="I1380" s="100"/>
      <c r="J1380" s="100"/>
      <c r="K1380" s="100"/>
      <c r="L1380" s="100"/>
      <c r="M1380" s="100"/>
      <c r="N1380" s="100"/>
      <c r="O1380" s="100"/>
      <c r="P1380" s="100"/>
      <c r="Q1380" s="100"/>
      <c r="R1380" s="100"/>
      <c r="S1380" s="100"/>
      <c r="T1380" s="100"/>
      <c r="U1380" s="100"/>
      <c r="V1380" s="100"/>
      <c r="W1380" s="100"/>
      <c r="X1380" s="100"/>
      <c r="Y1380" s="100"/>
      <c r="Z1380" s="100"/>
    </row>
    <row r="1381" spans="1:26">
      <c r="A1381" s="100"/>
      <c r="B1381" s="100"/>
      <c r="C1381" s="100"/>
      <c r="D1381" s="100"/>
      <c r="E1381" s="100"/>
      <c r="F1381" s="100"/>
      <c r="G1381" s="100"/>
      <c r="H1381" s="100"/>
      <c r="I1381" s="100"/>
      <c r="J1381" s="100"/>
      <c r="K1381" s="100"/>
      <c r="L1381" s="100"/>
      <c r="M1381" s="100"/>
      <c r="N1381" s="100"/>
      <c r="O1381" s="100"/>
      <c r="P1381" s="100"/>
      <c r="Q1381" s="100"/>
      <c r="R1381" s="100"/>
      <c r="S1381" s="100"/>
      <c r="T1381" s="100"/>
      <c r="U1381" s="100"/>
      <c r="V1381" s="100"/>
      <c r="W1381" s="100"/>
      <c r="X1381" s="100"/>
      <c r="Y1381" s="100"/>
      <c r="Z1381" s="100"/>
    </row>
    <row r="1382" spans="1:26">
      <c r="A1382" s="100"/>
      <c r="B1382" s="100"/>
      <c r="C1382" s="100"/>
      <c r="D1382" s="100"/>
      <c r="E1382" s="100"/>
      <c r="F1382" s="100"/>
      <c r="G1382" s="100"/>
      <c r="H1382" s="100"/>
      <c r="I1382" s="100"/>
      <c r="J1382" s="100"/>
      <c r="K1382" s="100"/>
      <c r="L1382" s="100"/>
      <c r="M1382" s="100"/>
      <c r="N1382" s="100"/>
      <c r="O1382" s="100"/>
      <c r="P1382" s="100"/>
      <c r="Q1382" s="100"/>
      <c r="R1382" s="100"/>
      <c r="S1382" s="100"/>
      <c r="T1382" s="100"/>
      <c r="U1382" s="100"/>
      <c r="V1382" s="100"/>
      <c r="W1382" s="100"/>
      <c r="X1382" s="100"/>
      <c r="Y1382" s="100"/>
      <c r="Z1382" s="100"/>
    </row>
    <row r="1383" spans="1:26">
      <c r="A1383" s="100"/>
      <c r="B1383" s="100"/>
      <c r="C1383" s="100"/>
      <c r="D1383" s="100"/>
      <c r="E1383" s="100"/>
      <c r="F1383" s="100"/>
      <c r="G1383" s="100"/>
      <c r="H1383" s="100"/>
      <c r="I1383" s="100"/>
      <c r="J1383" s="100"/>
      <c r="K1383" s="100"/>
      <c r="L1383" s="100"/>
      <c r="M1383" s="100"/>
      <c r="N1383" s="100"/>
      <c r="O1383" s="100"/>
      <c r="P1383" s="100"/>
      <c r="Q1383" s="100"/>
      <c r="R1383" s="100"/>
      <c r="S1383" s="100"/>
      <c r="T1383" s="100"/>
      <c r="U1383" s="100"/>
      <c r="V1383" s="100"/>
      <c r="W1383" s="100"/>
      <c r="X1383" s="100"/>
      <c r="Y1383" s="100"/>
      <c r="Z1383" s="100"/>
    </row>
    <row r="1384" spans="1:26">
      <c r="A1384" s="100"/>
      <c r="B1384" s="100"/>
      <c r="C1384" s="100"/>
      <c r="D1384" s="100"/>
      <c r="E1384" s="100"/>
      <c r="F1384" s="100"/>
      <c r="G1384" s="100"/>
      <c r="H1384" s="100"/>
      <c r="I1384" s="100"/>
      <c r="J1384" s="100"/>
      <c r="K1384" s="100"/>
      <c r="L1384" s="100"/>
      <c r="M1384" s="100"/>
      <c r="N1384" s="100"/>
      <c r="O1384" s="100"/>
      <c r="P1384" s="100"/>
      <c r="Q1384" s="100"/>
      <c r="R1384" s="100"/>
      <c r="S1384" s="100"/>
      <c r="T1384" s="100"/>
      <c r="U1384" s="100"/>
      <c r="V1384" s="100"/>
      <c r="W1384" s="100"/>
      <c r="X1384" s="100"/>
      <c r="Y1384" s="100"/>
      <c r="Z1384" s="100"/>
    </row>
    <row r="1385" spans="1:26">
      <c r="A1385" s="100"/>
      <c r="B1385" s="100"/>
      <c r="C1385" s="100"/>
      <c r="D1385" s="100"/>
      <c r="E1385" s="100"/>
      <c r="F1385" s="100"/>
      <c r="G1385" s="100"/>
      <c r="H1385" s="100"/>
      <c r="I1385" s="100"/>
      <c r="J1385" s="100"/>
      <c r="K1385" s="100"/>
      <c r="L1385" s="100"/>
      <c r="M1385" s="100"/>
      <c r="N1385" s="100"/>
      <c r="O1385" s="100"/>
      <c r="P1385" s="100"/>
      <c r="Q1385" s="100"/>
      <c r="R1385" s="100"/>
      <c r="S1385" s="100"/>
      <c r="T1385" s="100"/>
      <c r="U1385" s="100"/>
      <c r="V1385" s="100"/>
      <c r="W1385" s="100"/>
      <c r="X1385" s="100"/>
      <c r="Y1385" s="100"/>
      <c r="Z1385" s="100"/>
    </row>
    <row r="1386" spans="1:26">
      <c r="A1386" s="100"/>
      <c r="B1386" s="100"/>
      <c r="C1386" s="100"/>
      <c r="D1386" s="100"/>
      <c r="E1386" s="100"/>
      <c r="F1386" s="100"/>
      <c r="G1386" s="100"/>
      <c r="H1386" s="100"/>
      <c r="I1386" s="100"/>
      <c r="J1386" s="100"/>
      <c r="K1386" s="100"/>
      <c r="L1386" s="100"/>
      <c r="M1386" s="100"/>
      <c r="N1386" s="100"/>
      <c r="O1386" s="100"/>
      <c r="P1386" s="100"/>
      <c r="Q1386" s="100"/>
      <c r="R1386" s="100"/>
      <c r="S1386" s="100"/>
      <c r="T1386" s="100"/>
      <c r="U1386" s="100"/>
      <c r="V1386" s="100"/>
      <c r="W1386" s="100"/>
      <c r="X1386" s="100"/>
      <c r="Y1386" s="100"/>
      <c r="Z1386" s="100"/>
    </row>
    <row r="1387" spans="1:26">
      <c r="A1387" s="100"/>
      <c r="B1387" s="100"/>
      <c r="C1387" s="100"/>
      <c r="D1387" s="100"/>
      <c r="E1387" s="100"/>
      <c r="F1387" s="100"/>
      <c r="G1387" s="100"/>
      <c r="H1387" s="100"/>
      <c r="I1387" s="100"/>
      <c r="J1387" s="100"/>
      <c r="K1387" s="100"/>
      <c r="L1387" s="100"/>
      <c r="M1387" s="100"/>
      <c r="N1387" s="100"/>
      <c r="O1387" s="100"/>
      <c r="P1387" s="100"/>
      <c r="Q1387" s="100"/>
      <c r="R1387" s="100"/>
      <c r="S1387" s="100"/>
      <c r="T1387" s="100"/>
      <c r="U1387" s="100"/>
      <c r="V1387" s="100"/>
      <c r="W1387" s="100"/>
      <c r="X1387" s="100"/>
      <c r="Y1387" s="100"/>
      <c r="Z1387" s="100"/>
    </row>
    <row r="1388" spans="1:26">
      <c r="A1388" s="100"/>
      <c r="B1388" s="100"/>
      <c r="C1388" s="100"/>
      <c r="D1388" s="100"/>
      <c r="E1388" s="100"/>
      <c r="F1388" s="100"/>
      <c r="G1388" s="100"/>
      <c r="H1388" s="100"/>
      <c r="I1388" s="100"/>
      <c r="J1388" s="100"/>
      <c r="K1388" s="100"/>
      <c r="L1388" s="100"/>
      <c r="M1388" s="100"/>
      <c r="N1388" s="100"/>
      <c r="O1388" s="100"/>
      <c r="P1388" s="100"/>
      <c r="Q1388" s="100"/>
      <c r="R1388" s="100"/>
      <c r="S1388" s="100"/>
      <c r="T1388" s="100"/>
      <c r="U1388" s="100"/>
      <c r="V1388" s="100"/>
      <c r="W1388" s="100"/>
      <c r="X1388" s="100"/>
      <c r="Y1388" s="100"/>
      <c r="Z1388" s="100"/>
    </row>
    <row r="1389" spans="1:26">
      <c r="A1389" s="100"/>
      <c r="B1389" s="100"/>
      <c r="C1389" s="100"/>
      <c r="D1389" s="100"/>
      <c r="E1389" s="100"/>
      <c r="F1389" s="100"/>
      <c r="G1389" s="100"/>
      <c r="H1389" s="100"/>
      <c r="I1389" s="100"/>
      <c r="J1389" s="100"/>
      <c r="K1389" s="100"/>
      <c r="L1389" s="100"/>
      <c r="M1389" s="100"/>
      <c r="N1389" s="100"/>
      <c r="O1389" s="100"/>
      <c r="P1389" s="100"/>
      <c r="Q1389" s="100"/>
      <c r="R1389" s="100"/>
      <c r="S1389" s="100"/>
      <c r="T1389" s="100"/>
      <c r="U1389" s="100"/>
      <c r="V1389" s="100"/>
      <c r="W1389" s="100"/>
      <c r="X1389" s="100"/>
      <c r="Y1389" s="100"/>
      <c r="Z1389" s="100"/>
    </row>
    <row r="1390" spans="1:26">
      <c r="A1390" s="100"/>
      <c r="B1390" s="100"/>
      <c r="C1390" s="100"/>
      <c r="D1390" s="100"/>
      <c r="E1390" s="100"/>
      <c r="F1390" s="100"/>
      <c r="G1390" s="100"/>
      <c r="H1390" s="100"/>
      <c r="I1390" s="100"/>
      <c r="J1390" s="100"/>
      <c r="K1390" s="100"/>
      <c r="L1390" s="100"/>
      <c r="M1390" s="100"/>
      <c r="N1390" s="100"/>
      <c r="O1390" s="100"/>
      <c r="P1390" s="100"/>
      <c r="Q1390" s="100"/>
      <c r="R1390" s="100"/>
      <c r="S1390" s="100"/>
      <c r="T1390" s="100"/>
      <c r="U1390" s="100"/>
      <c r="V1390" s="100"/>
      <c r="W1390" s="100"/>
      <c r="X1390" s="100"/>
      <c r="Y1390" s="100"/>
      <c r="Z1390" s="100"/>
    </row>
    <row r="1391" spans="1:26">
      <c r="A1391" s="100"/>
      <c r="B1391" s="100"/>
      <c r="C1391" s="100"/>
      <c r="D1391" s="100"/>
      <c r="E1391" s="100"/>
      <c r="F1391" s="100"/>
      <c r="G1391" s="100"/>
      <c r="H1391" s="100"/>
      <c r="I1391" s="100"/>
      <c r="J1391" s="100"/>
      <c r="K1391" s="100"/>
      <c r="L1391" s="100"/>
      <c r="M1391" s="100"/>
      <c r="N1391" s="100"/>
      <c r="O1391" s="100"/>
      <c r="P1391" s="100"/>
      <c r="Q1391" s="100"/>
      <c r="R1391" s="100"/>
      <c r="S1391" s="100"/>
      <c r="T1391" s="100"/>
      <c r="U1391" s="100"/>
      <c r="V1391" s="100"/>
      <c r="W1391" s="100"/>
      <c r="X1391" s="100"/>
      <c r="Y1391" s="100"/>
      <c r="Z1391" s="100"/>
    </row>
    <row r="1392" spans="1:26">
      <c r="A1392" s="100"/>
      <c r="B1392" s="100"/>
      <c r="C1392" s="100"/>
      <c r="D1392" s="100"/>
      <c r="E1392" s="100"/>
      <c r="F1392" s="100"/>
      <c r="G1392" s="100"/>
      <c r="H1392" s="100"/>
      <c r="I1392" s="100"/>
      <c r="J1392" s="100"/>
      <c r="K1392" s="100"/>
      <c r="L1392" s="100"/>
      <c r="M1392" s="100"/>
      <c r="N1392" s="100"/>
      <c r="O1392" s="100"/>
      <c r="P1392" s="100"/>
      <c r="Q1392" s="100"/>
      <c r="R1392" s="100"/>
      <c r="S1392" s="100"/>
      <c r="T1392" s="100"/>
      <c r="U1392" s="100"/>
      <c r="V1392" s="100"/>
      <c r="W1392" s="100"/>
      <c r="X1392" s="100"/>
      <c r="Y1392" s="100"/>
      <c r="Z1392" s="100"/>
    </row>
    <row r="1393" spans="1:26">
      <c r="A1393" s="100"/>
      <c r="B1393" s="100"/>
      <c r="C1393" s="100"/>
      <c r="D1393" s="100"/>
      <c r="E1393" s="100"/>
      <c r="F1393" s="100"/>
      <c r="G1393" s="100"/>
      <c r="H1393" s="100"/>
      <c r="I1393" s="100"/>
      <c r="J1393" s="100"/>
      <c r="K1393" s="100"/>
      <c r="L1393" s="100"/>
      <c r="M1393" s="100"/>
      <c r="N1393" s="100"/>
      <c r="O1393" s="100"/>
      <c r="P1393" s="100"/>
      <c r="Q1393" s="100"/>
      <c r="R1393" s="100"/>
      <c r="S1393" s="100"/>
      <c r="T1393" s="100"/>
      <c r="U1393" s="100"/>
      <c r="V1393" s="100"/>
      <c r="W1393" s="100"/>
      <c r="X1393" s="100"/>
      <c r="Y1393" s="100"/>
      <c r="Z1393" s="100"/>
    </row>
    <row r="1394" spans="1:26">
      <c r="A1394" s="100"/>
      <c r="B1394" s="100"/>
      <c r="C1394" s="100"/>
      <c r="D1394" s="100"/>
      <c r="E1394" s="100"/>
      <c r="F1394" s="100"/>
      <c r="G1394" s="100"/>
      <c r="H1394" s="100"/>
      <c r="I1394" s="100"/>
      <c r="J1394" s="100"/>
      <c r="K1394" s="100"/>
      <c r="L1394" s="100"/>
      <c r="M1394" s="100"/>
      <c r="N1394" s="100"/>
      <c r="O1394" s="100"/>
      <c r="P1394" s="100"/>
      <c r="Q1394" s="100"/>
      <c r="R1394" s="100"/>
      <c r="S1394" s="100"/>
      <c r="T1394" s="100"/>
      <c r="U1394" s="100"/>
      <c r="V1394" s="100"/>
      <c r="W1394" s="100"/>
      <c r="X1394" s="100"/>
      <c r="Y1394" s="100"/>
      <c r="Z1394" s="100"/>
    </row>
    <row r="1395" spans="1:26">
      <c r="A1395" s="100"/>
      <c r="B1395" s="100"/>
      <c r="C1395" s="100"/>
      <c r="D1395" s="100"/>
      <c r="E1395" s="100"/>
      <c r="F1395" s="100"/>
      <c r="G1395" s="100"/>
      <c r="H1395" s="100"/>
      <c r="I1395" s="100"/>
      <c r="J1395" s="100"/>
      <c r="K1395" s="100"/>
      <c r="L1395" s="100"/>
      <c r="M1395" s="100"/>
      <c r="N1395" s="100"/>
      <c r="O1395" s="100"/>
      <c r="P1395" s="100"/>
      <c r="Q1395" s="100"/>
      <c r="R1395" s="100"/>
      <c r="S1395" s="100"/>
      <c r="T1395" s="100"/>
      <c r="U1395" s="100"/>
      <c r="V1395" s="100"/>
      <c r="W1395" s="100"/>
      <c r="X1395" s="100"/>
      <c r="Y1395" s="100"/>
      <c r="Z1395" s="100"/>
    </row>
    <row r="1396" spans="1:26">
      <c r="A1396" s="100"/>
      <c r="B1396" s="100"/>
      <c r="C1396" s="100"/>
      <c r="D1396" s="100"/>
      <c r="E1396" s="100"/>
      <c r="F1396" s="100"/>
      <c r="G1396" s="100"/>
      <c r="H1396" s="100"/>
      <c r="I1396" s="100"/>
      <c r="J1396" s="100"/>
      <c r="K1396" s="100"/>
      <c r="L1396" s="100"/>
      <c r="M1396" s="100"/>
      <c r="N1396" s="100"/>
      <c r="O1396" s="100"/>
      <c r="P1396" s="100"/>
      <c r="Q1396" s="100"/>
      <c r="R1396" s="100"/>
      <c r="S1396" s="100"/>
      <c r="T1396" s="100"/>
      <c r="U1396" s="100"/>
      <c r="V1396" s="100"/>
      <c r="W1396" s="100"/>
      <c r="X1396" s="100"/>
      <c r="Y1396" s="100"/>
      <c r="Z1396" s="100"/>
    </row>
    <row r="1397" spans="1:26">
      <c r="A1397" s="100"/>
      <c r="B1397" s="100"/>
      <c r="C1397" s="100"/>
      <c r="D1397" s="100"/>
      <c r="E1397" s="100"/>
      <c r="F1397" s="100"/>
      <c r="G1397" s="100"/>
      <c r="H1397" s="100"/>
      <c r="I1397" s="100"/>
      <c r="J1397" s="100"/>
      <c r="K1397" s="100"/>
      <c r="L1397" s="100"/>
      <c r="M1397" s="100"/>
      <c r="N1397" s="100"/>
      <c r="O1397" s="100"/>
      <c r="P1397" s="100"/>
      <c r="Q1397" s="100"/>
      <c r="R1397" s="100"/>
      <c r="S1397" s="100"/>
      <c r="T1397" s="100"/>
      <c r="U1397" s="100"/>
      <c r="V1397" s="100"/>
      <c r="W1397" s="100"/>
      <c r="X1397" s="100"/>
      <c r="Y1397" s="100"/>
      <c r="Z1397" s="100"/>
    </row>
    <row r="1398" spans="1:26">
      <c r="A1398" s="100"/>
      <c r="B1398" s="100"/>
      <c r="C1398" s="100"/>
      <c r="D1398" s="100"/>
      <c r="E1398" s="100"/>
      <c r="F1398" s="100"/>
      <c r="G1398" s="100"/>
      <c r="H1398" s="100"/>
      <c r="I1398" s="100"/>
      <c r="J1398" s="100"/>
      <c r="K1398" s="100"/>
      <c r="L1398" s="100"/>
      <c r="M1398" s="100"/>
      <c r="N1398" s="100"/>
      <c r="O1398" s="100"/>
      <c r="P1398" s="100"/>
      <c r="Q1398" s="100"/>
      <c r="R1398" s="100"/>
      <c r="S1398" s="100"/>
      <c r="T1398" s="100"/>
      <c r="U1398" s="100"/>
      <c r="V1398" s="100"/>
      <c r="W1398" s="100"/>
      <c r="X1398" s="100"/>
      <c r="Y1398" s="100"/>
      <c r="Z1398" s="100"/>
    </row>
    <row r="1399" spans="1:26">
      <c r="A1399" s="100"/>
      <c r="B1399" s="100"/>
      <c r="C1399" s="100"/>
      <c r="D1399" s="100"/>
      <c r="E1399" s="100"/>
      <c r="F1399" s="100"/>
      <c r="G1399" s="100"/>
      <c r="H1399" s="100"/>
      <c r="I1399" s="100"/>
      <c r="J1399" s="100"/>
      <c r="K1399" s="100"/>
      <c r="L1399" s="100"/>
      <c r="M1399" s="100"/>
      <c r="N1399" s="100"/>
      <c r="O1399" s="100"/>
      <c r="P1399" s="100"/>
      <c r="Q1399" s="100"/>
      <c r="R1399" s="100"/>
      <c r="S1399" s="100"/>
      <c r="T1399" s="100"/>
      <c r="U1399" s="100"/>
      <c r="V1399" s="100"/>
      <c r="W1399" s="100"/>
      <c r="X1399" s="100"/>
      <c r="Y1399" s="100"/>
      <c r="Z1399" s="100"/>
    </row>
    <row r="1400" spans="1:26">
      <c r="A1400" s="100"/>
      <c r="B1400" s="100"/>
      <c r="C1400" s="100"/>
      <c r="D1400" s="100"/>
      <c r="E1400" s="100"/>
      <c r="F1400" s="100"/>
      <c r="G1400" s="100"/>
      <c r="H1400" s="100"/>
      <c r="I1400" s="100"/>
      <c r="J1400" s="100"/>
      <c r="K1400" s="100"/>
      <c r="L1400" s="100"/>
      <c r="M1400" s="100"/>
      <c r="N1400" s="100"/>
      <c r="O1400" s="100"/>
      <c r="P1400" s="100"/>
      <c r="Q1400" s="100"/>
      <c r="R1400" s="100"/>
      <c r="S1400" s="100"/>
      <c r="T1400" s="100"/>
      <c r="U1400" s="100"/>
      <c r="V1400" s="100"/>
      <c r="W1400" s="100"/>
      <c r="X1400" s="100"/>
      <c r="Y1400" s="100"/>
      <c r="Z1400" s="100"/>
    </row>
    <row r="1401" spans="1:26">
      <c r="A1401" s="100"/>
      <c r="B1401" s="100"/>
      <c r="C1401" s="100"/>
      <c r="D1401" s="100"/>
      <c r="E1401" s="100"/>
      <c r="F1401" s="100"/>
      <c r="G1401" s="100"/>
      <c r="H1401" s="100"/>
      <c r="I1401" s="100"/>
      <c r="J1401" s="100"/>
      <c r="K1401" s="100"/>
      <c r="L1401" s="100"/>
      <c r="M1401" s="100"/>
      <c r="N1401" s="100"/>
      <c r="O1401" s="100"/>
      <c r="P1401" s="100"/>
      <c r="Q1401" s="100"/>
      <c r="R1401" s="100"/>
      <c r="S1401" s="100"/>
      <c r="T1401" s="100"/>
      <c r="U1401" s="100"/>
      <c r="V1401" s="100"/>
      <c r="W1401" s="100"/>
      <c r="X1401" s="100"/>
      <c r="Y1401" s="100"/>
      <c r="Z1401" s="100"/>
    </row>
    <row r="1402" spans="1:26">
      <c r="A1402" s="100"/>
      <c r="B1402" s="100"/>
      <c r="C1402" s="100"/>
      <c r="D1402" s="100"/>
      <c r="E1402" s="100"/>
      <c r="F1402" s="100"/>
      <c r="G1402" s="100"/>
      <c r="H1402" s="100"/>
      <c r="I1402" s="100"/>
      <c r="J1402" s="100"/>
      <c r="K1402" s="100"/>
      <c r="L1402" s="100"/>
      <c r="M1402" s="100"/>
      <c r="N1402" s="100"/>
      <c r="O1402" s="100"/>
      <c r="P1402" s="100"/>
      <c r="Q1402" s="100"/>
      <c r="R1402" s="100"/>
      <c r="S1402" s="100"/>
      <c r="T1402" s="100"/>
      <c r="U1402" s="100"/>
      <c r="V1402" s="100"/>
      <c r="W1402" s="100"/>
      <c r="X1402" s="100"/>
      <c r="Y1402" s="100"/>
      <c r="Z1402" s="100"/>
    </row>
    <row r="1403" spans="1:26">
      <c r="A1403" s="100"/>
      <c r="B1403" s="100"/>
      <c r="C1403" s="100"/>
      <c r="D1403" s="100"/>
      <c r="E1403" s="100"/>
      <c r="F1403" s="100"/>
      <c r="G1403" s="100"/>
      <c r="H1403" s="100"/>
      <c r="I1403" s="100"/>
      <c r="J1403" s="100"/>
      <c r="K1403" s="100"/>
      <c r="L1403" s="100"/>
      <c r="M1403" s="100"/>
      <c r="N1403" s="100"/>
      <c r="O1403" s="100"/>
      <c r="P1403" s="100"/>
      <c r="Q1403" s="100"/>
      <c r="R1403" s="100"/>
      <c r="S1403" s="100"/>
      <c r="T1403" s="100"/>
      <c r="U1403" s="100"/>
      <c r="V1403" s="100"/>
      <c r="W1403" s="100"/>
      <c r="X1403" s="100"/>
      <c r="Y1403" s="100"/>
      <c r="Z1403" s="100"/>
    </row>
    <row r="1404" spans="1:26">
      <c r="A1404" s="100"/>
      <c r="B1404" s="100"/>
      <c r="C1404" s="100"/>
      <c r="D1404" s="100"/>
      <c r="E1404" s="100"/>
      <c r="F1404" s="100"/>
      <c r="G1404" s="100"/>
      <c r="H1404" s="100"/>
      <c r="I1404" s="100"/>
      <c r="J1404" s="100"/>
      <c r="K1404" s="100"/>
      <c r="L1404" s="100"/>
      <c r="M1404" s="100"/>
      <c r="N1404" s="100"/>
      <c r="O1404" s="100"/>
      <c r="P1404" s="100"/>
      <c r="Q1404" s="100"/>
      <c r="R1404" s="100"/>
      <c r="S1404" s="100"/>
      <c r="T1404" s="100"/>
      <c r="U1404" s="100"/>
      <c r="V1404" s="100"/>
      <c r="W1404" s="100"/>
      <c r="X1404" s="100"/>
      <c r="Y1404" s="100"/>
      <c r="Z1404" s="100"/>
    </row>
    <row r="1405" spans="1:26">
      <c r="A1405" s="100"/>
      <c r="B1405" s="100"/>
      <c r="C1405" s="100"/>
      <c r="D1405" s="100"/>
      <c r="E1405" s="100"/>
      <c r="F1405" s="100"/>
      <c r="G1405" s="100"/>
      <c r="H1405" s="100"/>
      <c r="I1405" s="100"/>
      <c r="J1405" s="100"/>
      <c r="K1405" s="100"/>
      <c r="L1405" s="100"/>
      <c r="M1405" s="100"/>
      <c r="N1405" s="100"/>
      <c r="O1405" s="100"/>
      <c r="P1405" s="100"/>
      <c r="Q1405" s="100"/>
      <c r="R1405" s="100"/>
      <c r="S1405" s="100"/>
      <c r="T1405" s="100"/>
      <c r="U1405" s="100"/>
      <c r="V1405" s="100"/>
      <c r="W1405" s="100"/>
      <c r="X1405" s="100"/>
      <c r="Y1405" s="100"/>
      <c r="Z1405" s="100"/>
    </row>
    <row r="1406" spans="1:26">
      <c r="A1406" s="100"/>
      <c r="B1406" s="100"/>
      <c r="C1406" s="100"/>
      <c r="D1406" s="100"/>
      <c r="E1406" s="100"/>
      <c r="F1406" s="100"/>
      <c r="G1406" s="100"/>
      <c r="H1406" s="100"/>
      <c r="I1406" s="100"/>
      <c r="J1406" s="100"/>
      <c r="K1406" s="100"/>
      <c r="L1406" s="100"/>
      <c r="M1406" s="100"/>
      <c r="N1406" s="100"/>
      <c r="O1406" s="100"/>
      <c r="P1406" s="100"/>
      <c r="Q1406" s="100"/>
      <c r="R1406" s="100"/>
      <c r="S1406" s="100"/>
      <c r="T1406" s="100"/>
      <c r="U1406" s="100"/>
      <c r="V1406" s="100"/>
      <c r="W1406" s="100"/>
      <c r="X1406" s="100"/>
      <c r="Y1406" s="100"/>
      <c r="Z1406" s="100"/>
    </row>
    <row r="1407" spans="1:26">
      <c r="A1407" s="100"/>
      <c r="B1407" s="100"/>
      <c r="C1407" s="100"/>
      <c r="D1407" s="100"/>
      <c r="E1407" s="100"/>
      <c r="F1407" s="100"/>
      <c r="G1407" s="100"/>
      <c r="H1407" s="100"/>
      <c r="I1407" s="100"/>
      <c r="J1407" s="100"/>
      <c r="K1407" s="100"/>
      <c r="L1407" s="100"/>
      <c r="M1407" s="100"/>
      <c r="N1407" s="100"/>
      <c r="O1407" s="100"/>
      <c r="P1407" s="100"/>
      <c r="Q1407" s="100"/>
      <c r="R1407" s="100"/>
      <c r="S1407" s="100"/>
      <c r="T1407" s="100"/>
      <c r="U1407" s="100"/>
      <c r="V1407" s="100"/>
      <c r="W1407" s="100"/>
      <c r="X1407" s="100"/>
      <c r="Y1407" s="100"/>
      <c r="Z1407" s="100"/>
    </row>
    <row r="1408" spans="1:26">
      <c r="A1408" s="100"/>
      <c r="B1408" s="100"/>
      <c r="C1408" s="100"/>
      <c r="D1408" s="100"/>
      <c r="E1408" s="100"/>
      <c r="F1408" s="100"/>
      <c r="G1408" s="100"/>
      <c r="H1408" s="100"/>
      <c r="I1408" s="100"/>
      <c r="J1408" s="100"/>
      <c r="K1408" s="100"/>
      <c r="L1408" s="100"/>
      <c r="M1408" s="100"/>
      <c r="N1408" s="100"/>
      <c r="O1408" s="100"/>
      <c r="P1408" s="100"/>
      <c r="Q1408" s="100"/>
      <c r="R1408" s="100"/>
      <c r="S1408" s="100"/>
      <c r="T1408" s="100"/>
      <c r="U1408" s="100"/>
      <c r="V1408" s="100"/>
      <c r="W1408" s="100"/>
      <c r="X1408" s="100"/>
      <c r="Y1408" s="100"/>
      <c r="Z1408" s="100"/>
    </row>
    <row r="1409" spans="1:26">
      <c r="A1409" s="100"/>
      <c r="B1409" s="100"/>
      <c r="C1409" s="100"/>
      <c r="D1409" s="100"/>
      <c r="E1409" s="100"/>
      <c r="F1409" s="100"/>
      <c r="G1409" s="100"/>
      <c r="H1409" s="100"/>
      <c r="I1409" s="100"/>
      <c r="J1409" s="100"/>
      <c r="K1409" s="100"/>
      <c r="L1409" s="100"/>
      <c r="M1409" s="100"/>
      <c r="N1409" s="100"/>
      <c r="O1409" s="100"/>
      <c r="P1409" s="100"/>
      <c r="Q1409" s="100"/>
      <c r="R1409" s="100"/>
      <c r="S1409" s="100"/>
      <c r="T1409" s="100"/>
      <c r="U1409" s="100"/>
      <c r="V1409" s="100"/>
      <c r="W1409" s="100"/>
      <c r="X1409" s="100"/>
      <c r="Y1409" s="100"/>
      <c r="Z1409" s="100"/>
    </row>
    <row r="1410" spans="1:26">
      <c r="A1410" s="100"/>
      <c r="B1410" s="100"/>
      <c r="C1410" s="100"/>
      <c r="D1410" s="100"/>
      <c r="E1410" s="100"/>
      <c r="F1410" s="100"/>
      <c r="G1410" s="100"/>
      <c r="H1410" s="100"/>
      <c r="I1410" s="100"/>
      <c r="J1410" s="100"/>
      <c r="K1410" s="100"/>
      <c r="L1410" s="100"/>
      <c r="M1410" s="100"/>
      <c r="N1410" s="100"/>
      <c r="O1410" s="100"/>
      <c r="P1410" s="100"/>
      <c r="Q1410" s="100"/>
      <c r="R1410" s="100"/>
      <c r="S1410" s="100"/>
      <c r="T1410" s="100"/>
      <c r="U1410" s="100"/>
      <c r="V1410" s="100"/>
      <c r="W1410" s="100"/>
      <c r="X1410" s="100"/>
      <c r="Y1410" s="100"/>
      <c r="Z1410" s="100"/>
    </row>
    <row r="1411" spans="1:26">
      <c r="A1411" s="100"/>
      <c r="B1411" s="100"/>
      <c r="C1411" s="100"/>
      <c r="D1411" s="100"/>
      <c r="E1411" s="100"/>
      <c r="F1411" s="100"/>
      <c r="G1411" s="100"/>
      <c r="H1411" s="100"/>
      <c r="I1411" s="100"/>
      <c r="J1411" s="100"/>
      <c r="K1411" s="100"/>
      <c r="L1411" s="100"/>
      <c r="M1411" s="100"/>
      <c r="N1411" s="100"/>
      <c r="O1411" s="100"/>
      <c r="P1411" s="100"/>
      <c r="Q1411" s="100"/>
      <c r="R1411" s="100"/>
      <c r="S1411" s="100"/>
      <c r="T1411" s="100"/>
      <c r="U1411" s="100"/>
      <c r="V1411" s="100"/>
      <c r="W1411" s="100"/>
      <c r="X1411" s="100"/>
      <c r="Y1411" s="100"/>
      <c r="Z1411" s="100"/>
    </row>
    <row r="1412" spans="1:26">
      <c r="A1412" s="100"/>
      <c r="B1412" s="100"/>
      <c r="C1412" s="100"/>
      <c r="D1412" s="100"/>
      <c r="E1412" s="100"/>
      <c r="F1412" s="100"/>
      <c r="G1412" s="100"/>
      <c r="H1412" s="100"/>
      <c r="I1412" s="100"/>
      <c r="J1412" s="100"/>
      <c r="K1412" s="100"/>
      <c r="L1412" s="100"/>
      <c r="M1412" s="100"/>
      <c r="N1412" s="100"/>
      <c r="O1412" s="100"/>
      <c r="P1412" s="100"/>
      <c r="Q1412" s="100"/>
      <c r="R1412" s="100"/>
      <c r="S1412" s="100"/>
      <c r="T1412" s="100"/>
      <c r="U1412" s="100"/>
      <c r="V1412" s="100"/>
      <c r="W1412" s="100"/>
      <c r="X1412" s="100"/>
      <c r="Y1412" s="100"/>
      <c r="Z1412" s="100"/>
    </row>
    <row r="1413" spans="1:26">
      <c r="A1413" s="100"/>
      <c r="B1413" s="100"/>
      <c r="C1413" s="100"/>
      <c r="D1413" s="100"/>
      <c r="E1413" s="100"/>
      <c r="F1413" s="100"/>
      <c r="G1413" s="100"/>
      <c r="H1413" s="100"/>
      <c r="I1413" s="100"/>
      <c r="J1413" s="100"/>
      <c r="K1413" s="100"/>
      <c r="L1413" s="100"/>
      <c r="M1413" s="100"/>
      <c r="N1413" s="100"/>
      <c r="O1413" s="100"/>
      <c r="P1413" s="100"/>
      <c r="Q1413" s="100"/>
      <c r="R1413" s="100"/>
      <c r="S1413" s="100"/>
      <c r="T1413" s="100"/>
      <c r="U1413" s="100"/>
      <c r="V1413" s="100"/>
      <c r="W1413" s="100"/>
      <c r="X1413" s="100"/>
      <c r="Y1413" s="100"/>
      <c r="Z1413" s="100"/>
    </row>
    <row r="1414" spans="1:26">
      <c r="A1414" s="100"/>
      <c r="B1414" s="100"/>
      <c r="C1414" s="100"/>
      <c r="D1414" s="100"/>
      <c r="E1414" s="100"/>
      <c r="F1414" s="100"/>
      <c r="G1414" s="100"/>
      <c r="H1414" s="100"/>
      <c r="I1414" s="100"/>
      <c r="J1414" s="100"/>
      <c r="K1414" s="100"/>
      <c r="L1414" s="100"/>
      <c r="M1414" s="100"/>
      <c r="N1414" s="100"/>
      <c r="O1414" s="100"/>
      <c r="P1414" s="100"/>
      <c r="Q1414" s="100"/>
      <c r="R1414" s="100"/>
      <c r="S1414" s="100"/>
      <c r="T1414" s="100"/>
      <c r="U1414" s="100"/>
      <c r="V1414" s="100"/>
      <c r="W1414" s="100"/>
      <c r="X1414" s="100"/>
      <c r="Y1414" s="100"/>
      <c r="Z1414" s="100"/>
    </row>
    <row r="1415" spans="1:26">
      <c r="A1415" s="100"/>
      <c r="B1415" s="100"/>
      <c r="C1415" s="100"/>
      <c r="D1415" s="100"/>
      <c r="E1415" s="100"/>
      <c r="F1415" s="100"/>
      <c r="G1415" s="100"/>
      <c r="H1415" s="100"/>
      <c r="I1415" s="100"/>
      <c r="J1415" s="100"/>
      <c r="K1415" s="100"/>
      <c r="L1415" s="100"/>
      <c r="M1415" s="100"/>
      <c r="N1415" s="100"/>
      <c r="O1415" s="100"/>
      <c r="P1415" s="100"/>
      <c r="Q1415" s="100"/>
      <c r="R1415" s="100"/>
      <c r="S1415" s="100"/>
      <c r="T1415" s="100"/>
      <c r="U1415" s="100"/>
      <c r="V1415" s="100"/>
      <c r="W1415" s="100"/>
      <c r="X1415" s="100"/>
      <c r="Y1415" s="100"/>
      <c r="Z1415" s="100"/>
    </row>
    <row r="1416" spans="1:26">
      <c r="A1416" s="100"/>
      <c r="B1416" s="100"/>
      <c r="C1416" s="100"/>
      <c r="D1416" s="100"/>
      <c r="E1416" s="100"/>
      <c r="F1416" s="100"/>
      <c r="G1416" s="100"/>
      <c r="H1416" s="100"/>
      <c r="I1416" s="100"/>
      <c r="J1416" s="100"/>
      <c r="K1416" s="100"/>
      <c r="L1416" s="100"/>
      <c r="M1416" s="100"/>
      <c r="N1416" s="100"/>
      <c r="O1416" s="100"/>
      <c r="P1416" s="100"/>
      <c r="Q1416" s="100"/>
      <c r="R1416" s="100"/>
      <c r="S1416" s="100"/>
      <c r="T1416" s="100"/>
      <c r="U1416" s="100"/>
      <c r="V1416" s="100"/>
      <c r="W1416" s="100"/>
      <c r="X1416" s="100"/>
      <c r="Y1416" s="100"/>
      <c r="Z1416" s="100"/>
    </row>
    <row r="1417" spans="1:26">
      <c r="A1417" s="100"/>
      <c r="B1417" s="100"/>
      <c r="C1417" s="100"/>
      <c r="D1417" s="100"/>
      <c r="E1417" s="100"/>
      <c r="F1417" s="100"/>
      <c r="G1417" s="100"/>
      <c r="H1417" s="100"/>
      <c r="I1417" s="100"/>
      <c r="J1417" s="100"/>
      <c r="K1417" s="100"/>
      <c r="L1417" s="100"/>
      <c r="M1417" s="100"/>
      <c r="N1417" s="100"/>
      <c r="O1417" s="100"/>
      <c r="P1417" s="100"/>
      <c r="Q1417" s="100"/>
      <c r="R1417" s="100"/>
      <c r="S1417" s="100"/>
      <c r="T1417" s="100"/>
      <c r="U1417" s="100"/>
      <c r="V1417" s="100"/>
      <c r="W1417" s="100"/>
      <c r="X1417" s="100"/>
      <c r="Y1417" s="100"/>
      <c r="Z1417" s="100"/>
    </row>
    <row r="1418" spans="1:26">
      <c r="A1418" s="100"/>
      <c r="B1418" s="100"/>
      <c r="C1418" s="100"/>
      <c r="D1418" s="100"/>
      <c r="E1418" s="100"/>
      <c r="F1418" s="100"/>
      <c r="G1418" s="100"/>
      <c r="H1418" s="100"/>
      <c r="I1418" s="100"/>
      <c r="J1418" s="100"/>
      <c r="K1418" s="100"/>
      <c r="L1418" s="100"/>
      <c r="M1418" s="100"/>
      <c r="N1418" s="100"/>
      <c r="O1418" s="100"/>
      <c r="P1418" s="100"/>
      <c r="Q1418" s="100"/>
      <c r="R1418" s="100"/>
      <c r="S1418" s="100"/>
      <c r="T1418" s="100"/>
      <c r="U1418" s="100"/>
      <c r="V1418" s="100"/>
      <c r="W1418" s="100"/>
      <c r="X1418" s="100"/>
      <c r="Y1418" s="100"/>
      <c r="Z1418" s="100"/>
    </row>
    <row r="1419" spans="1:26">
      <c r="A1419" s="100"/>
      <c r="B1419" s="100"/>
      <c r="C1419" s="100"/>
      <c r="D1419" s="100"/>
      <c r="E1419" s="100"/>
      <c r="F1419" s="100"/>
      <c r="G1419" s="100"/>
      <c r="H1419" s="100"/>
      <c r="I1419" s="100"/>
      <c r="J1419" s="100"/>
      <c r="K1419" s="100"/>
      <c r="L1419" s="100"/>
      <c r="M1419" s="100"/>
      <c r="N1419" s="100"/>
      <c r="O1419" s="100"/>
      <c r="P1419" s="100"/>
      <c r="Q1419" s="100"/>
      <c r="R1419" s="100"/>
      <c r="S1419" s="100"/>
      <c r="T1419" s="100"/>
      <c r="U1419" s="100"/>
      <c r="V1419" s="100"/>
      <c r="W1419" s="100"/>
      <c r="X1419" s="100"/>
      <c r="Y1419" s="100"/>
      <c r="Z1419" s="100"/>
    </row>
    <row r="1420" spans="1:26">
      <c r="A1420" s="100"/>
      <c r="B1420" s="100"/>
      <c r="C1420" s="100"/>
      <c r="D1420" s="100"/>
      <c r="E1420" s="100"/>
      <c r="F1420" s="100"/>
      <c r="G1420" s="100"/>
      <c r="H1420" s="100"/>
      <c r="I1420" s="100"/>
      <c r="J1420" s="100"/>
      <c r="K1420" s="100"/>
      <c r="L1420" s="100"/>
      <c r="M1420" s="100"/>
      <c r="N1420" s="100"/>
      <c r="O1420" s="100"/>
      <c r="P1420" s="100"/>
      <c r="Q1420" s="100"/>
      <c r="R1420" s="100"/>
      <c r="S1420" s="100"/>
      <c r="T1420" s="100"/>
      <c r="U1420" s="100"/>
      <c r="V1420" s="100"/>
      <c r="W1420" s="100"/>
      <c r="X1420" s="100"/>
      <c r="Y1420" s="100"/>
      <c r="Z1420" s="100"/>
    </row>
    <row r="1421" spans="1:26">
      <c r="A1421" s="100"/>
      <c r="B1421" s="100"/>
      <c r="C1421" s="100"/>
      <c r="D1421" s="100"/>
      <c r="E1421" s="100"/>
      <c r="F1421" s="100"/>
      <c r="G1421" s="100"/>
      <c r="H1421" s="100"/>
      <c r="I1421" s="100"/>
      <c r="J1421" s="100"/>
      <c r="K1421" s="100"/>
      <c r="L1421" s="100"/>
      <c r="M1421" s="100"/>
      <c r="N1421" s="100"/>
      <c r="O1421" s="100"/>
      <c r="P1421" s="100"/>
      <c r="Q1421" s="100"/>
      <c r="R1421" s="100"/>
      <c r="S1421" s="100"/>
      <c r="T1421" s="100"/>
      <c r="U1421" s="100"/>
      <c r="V1421" s="100"/>
      <c r="W1421" s="100"/>
      <c r="X1421" s="100"/>
      <c r="Y1421" s="100"/>
      <c r="Z1421" s="100"/>
    </row>
    <row r="1422" spans="1:26">
      <c r="A1422" s="100"/>
      <c r="B1422" s="100"/>
      <c r="C1422" s="100"/>
      <c r="D1422" s="100"/>
      <c r="E1422" s="100"/>
      <c r="F1422" s="100"/>
      <c r="G1422" s="100"/>
      <c r="H1422" s="100"/>
      <c r="I1422" s="100"/>
      <c r="J1422" s="100"/>
      <c r="K1422" s="100"/>
      <c r="L1422" s="100"/>
      <c r="M1422" s="100"/>
      <c r="N1422" s="100"/>
      <c r="O1422" s="100"/>
      <c r="P1422" s="100"/>
      <c r="Q1422" s="100"/>
      <c r="R1422" s="100"/>
      <c r="S1422" s="100"/>
      <c r="T1422" s="100"/>
      <c r="U1422" s="100"/>
      <c r="V1422" s="100"/>
      <c r="W1422" s="100"/>
      <c r="X1422" s="100"/>
      <c r="Y1422" s="100"/>
      <c r="Z1422" s="100"/>
    </row>
    <row r="1423" spans="1:26">
      <c r="A1423" s="100"/>
      <c r="B1423" s="100"/>
      <c r="C1423" s="100"/>
      <c r="D1423" s="100"/>
      <c r="E1423" s="100"/>
      <c r="F1423" s="100"/>
      <c r="G1423" s="100"/>
      <c r="H1423" s="100"/>
      <c r="I1423" s="100"/>
      <c r="J1423" s="100"/>
      <c r="K1423" s="100"/>
      <c r="L1423" s="100"/>
      <c r="M1423" s="100"/>
      <c r="N1423" s="100"/>
      <c r="O1423" s="100"/>
      <c r="P1423" s="100"/>
      <c r="Q1423" s="100"/>
      <c r="R1423" s="100"/>
      <c r="S1423" s="100"/>
      <c r="T1423" s="100"/>
      <c r="U1423" s="100"/>
      <c r="V1423" s="100"/>
      <c r="W1423" s="100"/>
      <c r="X1423" s="100"/>
      <c r="Y1423" s="100"/>
      <c r="Z1423" s="100"/>
    </row>
    <row r="1424" spans="1:26">
      <c r="A1424" s="100"/>
      <c r="B1424" s="100"/>
      <c r="C1424" s="100"/>
      <c r="D1424" s="100"/>
      <c r="E1424" s="100"/>
      <c r="F1424" s="100"/>
      <c r="G1424" s="100"/>
      <c r="H1424" s="100"/>
      <c r="I1424" s="100"/>
      <c r="J1424" s="100"/>
      <c r="K1424" s="100"/>
      <c r="L1424" s="100"/>
      <c r="M1424" s="100"/>
      <c r="N1424" s="100"/>
      <c r="O1424" s="100"/>
      <c r="P1424" s="100"/>
      <c r="Q1424" s="100"/>
      <c r="R1424" s="100"/>
      <c r="S1424" s="100"/>
      <c r="T1424" s="100"/>
      <c r="U1424" s="100"/>
      <c r="V1424" s="100"/>
      <c r="W1424" s="100"/>
      <c r="X1424" s="100"/>
      <c r="Y1424" s="100"/>
      <c r="Z1424" s="100"/>
    </row>
    <row r="1425" spans="1:26">
      <c r="A1425" s="100"/>
      <c r="B1425" s="100"/>
      <c r="C1425" s="100"/>
      <c r="D1425" s="100"/>
      <c r="E1425" s="100"/>
      <c r="F1425" s="100"/>
      <c r="G1425" s="100"/>
      <c r="H1425" s="100"/>
      <c r="I1425" s="100"/>
      <c r="J1425" s="100"/>
      <c r="K1425" s="100"/>
      <c r="L1425" s="100"/>
      <c r="M1425" s="100"/>
      <c r="N1425" s="100"/>
      <c r="O1425" s="100"/>
      <c r="P1425" s="100"/>
      <c r="Q1425" s="100"/>
      <c r="R1425" s="100"/>
      <c r="S1425" s="100"/>
      <c r="T1425" s="100"/>
      <c r="U1425" s="100"/>
      <c r="V1425" s="100"/>
      <c r="W1425" s="100"/>
      <c r="X1425" s="100"/>
      <c r="Y1425" s="100"/>
      <c r="Z1425" s="100"/>
    </row>
    <row r="1426" spans="1:26">
      <c r="A1426" s="100"/>
      <c r="B1426" s="100"/>
      <c r="C1426" s="100"/>
      <c r="D1426" s="100"/>
      <c r="E1426" s="100"/>
      <c r="F1426" s="100"/>
      <c r="G1426" s="100"/>
      <c r="H1426" s="100"/>
      <c r="I1426" s="100"/>
      <c r="J1426" s="100"/>
      <c r="K1426" s="100"/>
      <c r="L1426" s="100"/>
      <c r="M1426" s="100"/>
      <c r="N1426" s="100"/>
      <c r="O1426" s="100"/>
      <c r="P1426" s="100"/>
      <c r="Q1426" s="100"/>
      <c r="R1426" s="100"/>
      <c r="S1426" s="100"/>
      <c r="T1426" s="100"/>
      <c r="U1426" s="100"/>
      <c r="V1426" s="100"/>
      <c r="W1426" s="100"/>
      <c r="X1426" s="100"/>
      <c r="Y1426" s="100"/>
      <c r="Z1426" s="100"/>
    </row>
    <row r="1427" spans="1:26">
      <c r="A1427" s="100"/>
      <c r="B1427" s="100"/>
      <c r="C1427" s="100"/>
      <c r="D1427" s="100"/>
      <c r="E1427" s="100"/>
      <c r="F1427" s="100"/>
      <c r="G1427" s="100"/>
      <c r="H1427" s="100"/>
      <c r="I1427" s="100"/>
      <c r="J1427" s="100"/>
      <c r="K1427" s="100"/>
      <c r="L1427" s="100"/>
      <c r="M1427" s="100"/>
      <c r="N1427" s="100"/>
      <c r="O1427" s="100"/>
      <c r="P1427" s="100"/>
      <c r="Q1427" s="100"/>
      <c r="R1427" s="100"/>
      <c r="S1427" s="100"/>
      <c r="T1427" s="100"/>
      <c r="U1427" s="100"/>
      <c r="V1427" s="100"/>
      <c r="W1427" s="100"/>
      <c r="X1427" s="100"/>
      <c r="Y1427" s="100"/>
      <c r="Z1427" s="100"/>
    </row>
    <row r="1428" spans="1:26">
      <c r="A1428" s="100"/>
      <c r="B1428" s="100"/>
      <c r="C1428" s="100"/>
      <c r="D1428" s="100"/>
      <c r="E1428" s="100"/>
      <c r="F1428" s="100"/>
      <c r="G1428" s="100"/>
      <c r="H1428" s="100"/>
      <c r="I1428" s="100"/>
      <c r="J1428" s="100"/>
      <c r="K1428" s="100"/>
      <c r="L1428" s="100"/>
      <c r="M1428" s="100"/>
      <c r="N1428" s="100"/>
      <c r="O1428" s="100"/>
      <c r="P1428" s="100"/>
      <c r="Q1428" s="100"/>
      <c r="R1428" s="100"/>
      <c r="S1428" s="100"/>
      <c r="T1428" s="100"/>
      <c r="U1428" s="100"/>
      <c r="V1428" s="100"/>
      <c r="W1428" s="100"/>
      <c r="X1428" s="100"/>
      <c r="Y1428" s="100"/>
      <c r="Z1428" s="100"/>
    </row>
    <row r="1429" spans="1:26">
      <c r="A1429" s="100"/>
      <c r="B1429" s="100"/>
      <c r="C1429" s="100"/>
      <c r="D1429" s="100"/>
      <c r="E1429" s="100"/>
      <c r="F1429" s="100"/>
      <c r="G1429" s="100"/>
      <c r="H1429" s="100"/>
      <c r="I1429" s="100"/>
      <c r="J1429" s="100"/>
      <c r="K1429" s="100"/>
      <c r="L1429" s="100"/>
      <c r="M1429" s="100"/>
      <c r="N1429" s="100"/>
      <c r="O1429" s="100"/>
      <c r="P1429" s="100"/>
      <c r="Q1429" s="100"/>
      <c r="R1429" s="100"/>
      <c r="S1429" s="100"/>
      <c r="T1429" s="100"/>
      <c r="U1429" s="100"/>
      <c r="V1429" s="100"/>
      <c r="W1429" s="100"/>
      <c r="X1429" s="100"/>
      <c r="Y1429" s="100"/>
      <c r="Z1429" s="100"/>
    </row>
    <row r="1430" spans="1:26">
      <c r="A1430" s="100"/>
      <c r="B1430" s="100"/>
      <c r="C1430" s="100"/>
      <c r="D1430" s="100"/>
      <c r="E1430" s="100"/>
      <c r="F1430" s="100"/>
      <c r="G1430" s="100"/>
      <c r="H1430" s="100"/>
      <c r="I1430" s="100"/>
      <c r="J1430" s="100"/>
      <c r="K1430" s="100"/>
      <c r="L1430" s="100"/>
      <c r="M1430" s="100"/>
      <c r="N1430" s="100"/>
      <c r="O1430" s="100"/>
      <c r="P1430" s="100"/>
      <c r="Q1430" s="100"/>
      <c r="R1430" s="100"/>
      <c r="S1430" s="100"/>
      <c r="T1430" s="100"/>
      <c r="U1430" s="100"/>
      <c r="V1430" s="100"/>
      <c r="W1430" s="100"/>
      <c r="X1430" s="100"/>
      <c r="Y1430" s="100"/>
      <c r="Z1430" s="100"/>
    </row>
    <row r="1431" spans="1:26">
      <c r="A1431" s="100"/>
      <c r="B1431" s="100"/>
      <c r="C1431" s="100"/>
      <c r="D1431" s="100"/>
      <c r="E1431" s="100"/>
      <c r="F1431" s="100"/>
      <c r="G1431" s="100"/>
      <c r="H1431" s="100"/>
      <c r="I1431" s="100"/>
      <c r="J1431" s="100"/>
      <c r="K1431" s="100"/>
      <c r="L1431" s="100"/>
      <c r="M1431" s="100"/>
      <c r="N1431" s="100"/>
      <c r="O1431" s="100"/>
      <c r="P1431" s="100"/>
      <c r="Q1431" s="100"/>
      <c r="R1431" s="100"/>
      <c r="S1431" s="100"/>
      <c r="T1431" s="100"/>
      <c r="U1431" s="100"/>
      <c r="V1431" s="100"/>
      <c r="W1431" s="100"/>
      <c r="X1431" s="100"/>
      <c r="Y1431" s="100"/>
      <c r="Z1431" s="100"/>
    </row>
    <row r="1432" spans="1:26">
      <c r="A1432" s="100"/>
      <c r="B1432" s="100"/>
      <c r="C1432" s="100"/>
      <c r="D1432" s="100"/>
      <c r="E1432" s="100"/>
      <c r="F1432" s="100"/>
      <c r="G1432" s="100"/>
      <c r="H1432" s="100"/>
      <c r="I1432" s="100"/>
      <c r="J1432" s="100"/>
      <c r="K1432" s="100"/>
      <c r="L1432" s="100"/>
      <c r="M1432" s="100"/>
      <c r="N1432" s="100"/>
      <c r="O1432" s="100"/>
      <c r="P1432" s="100"/>
      <c r="Q1432" s="100"/>
      <c r="R1432" s="100"/>
      <c r="S1432" s="100"/>
      <c r="T1432" s="100"/>
      <c r="U1432" s="100"/>
      <c r="V1432" s="100"/>
      <c r="W1432" s="100"/>
      <c r="X1432" s="100"/>
      <c r="Y1432" s="100"/>
      <c r="Z1432" s="100"/>
    </row>
    <row r="1433" spans="1:26">
      <c r="A1433" s="100"/>
      <c r="B1433" s="100"/>
      <c r="C1433" s="100"/>
      <c r="D1433" s="100"/>
      <c r="E1433" s="100"/>
      <c r="F1433" s="100"/>
      <c r="G1433" s="100"/>
      <c r="H1433" s="100"/>
      <c r="I1433" s="100"/>
      <c r="J1433" s="100"/>
      <c r="K1433" s="100"/>
      <c r="L1433" s="100"/>
      <c r="M1433" s="100"/>
      <c r="N1433" s="100"/>
      <c r="O1433" s="100"/>
      <c r="P1433" s="100"/>
      <c r="Q1433" s="100"/>
      <c r="R1433" s="100"/>
      <c r="S1433" s="100"/>
      <c r="T1433" s="100"/>
      <c r="U1433" s="100"/>
      <c r="V1433" s="100"/>
      <c r="W1433" s="100"/>
      <c r="X1433" s="100"/>
      <c r="Y1433" s="100"/>
      <c r="Z1433" s="100"/>
    </row>
    <row r="1434" spans="1:26">
      <c r="A1434" s="100"/>
      <c r="B1434" s="100"/>
      <c r="C1434" s="100"/>
      <c r="D1434" s="100"/>
      <c r="E1434" s="100"/>
      <c r="F1434" s="100"/>
      <c r="G1434" s="100"/>
      <c r="H1434" s="100"/>
      <c r="I1434" s="100"/>
      <c r="J1434" s="100"/>
      <c r="K1434" s="100"/>
      <c r="L1434" s="100"/>
      <c r="M1434" s="100"/>
      <c r="N1434" s="100"/>
      <c r="O1434" s="100"/>
      <c r="P1434" s="100"/>
      <c r="Q1434" s="100"/>
      <c r="R1434" s="100"/>
      <c r="S1434" s="100"/>
      <c r="T1434" s="100"/>
      <c r="U1434" s="100"/>
      <c r="V1434" s="100"/>
      <c r="W1434" s="100"/>
      <c r="X1434" s="100"/>
      <c r="Y1434" s="100"/>
      <c r="Z1434" s="100"/>
    </row>
    <row r="1435" spans="1:26">
      <c r="A1435" s="100"/>
      <c r="B1435" s="100"/>
      <c r="C1435" s="100"/>
      <c r="D1435" s="100"/>
      <c r="E1435" s="100"/>
      <c r="F1435" s="100"/>
      <c r="G1435" s="100"/>
      <c r="H1435" s="100"/>
      <c r="I1435" s="100"/>
      <c r="J1435" s="100"/>
      <c r="K1435" s="100"/>
      <c r="L1435" s="100"/>
      <c r="M1435" s="100"/>
      <c r="N1435" s="100"/>
      <c r="O1435" s="100"/>
      <c r="P1435" s="100"/>
      <c r="Q1435" s="100"/>
      <c r="R1435" s="100"/>
      <c r="S1435" s="100"/>
      <c r="T1435" s="100"/>
      <c r="U1435" s="100"/>
      <c r="V1435" s="100"/>
      <c r="W1435" s="100"/>
      <c r="X1435" s="100"/>
      <c r="Y1435" s="100"/>
      <c r="Z1435" s="100"/>
    </row>
    <row r="1436" spans="1:26">
      <c r="A1436" s="100"/>
      <c r="B1436" s="100"/>
      <c r="C1436" s="100"/>
      <c r="D1436" s="100"/>
      <c r="E1436" s="100"/>
      <c r="F1436" s="100"/>
      <c r="G1436" s="100"/>
      <c r="H1436" s="100"/>
      <c r="I1436" s="100"/>
      <c r="J1436" s="100"/>
      <c r="K1436" s="100"/>
      <c r="L1436" s="100"/>
      <c r="M1436" s="100"/>
      <c r="N1436" s="100"/>
      <c r="O1436" s="100"/>
      <c r="P1436" s="100"/>
      <c r="Q1436" s="100"/>
      <c r="R1436" s="100"/>
      <c r="S1436" s="100"/>
      <c r="T1436" s="100"/>
      <c r="U1436" s="100"/>
      <c r="V1436" s="100"/>
      <c r="W1436" s="100"/>
      <c r="X1436" s="100"/>
      <c r="Y1436" s="100"/>
      <c r="Z1436" s="100"/>
    </row>
    <row r="1437" spans="1:26">
      <c r="A1437" s="100"/>
      <c r="B1437" s="100"/>
      <c r="C1437" s="100"/>
      <c r="D1437" s="100"/>
      <c r="E1437" s="100"/>
      <c r="F1437" s="100"/>
      <c r="G1437" s="100"/>
      <c r="H1437" s="100"/>
      <c r="I1437" s="100"/>
      <c r="J1437" s="100"/>
      <c r="K1437" s="100"/>
      <c r="L1437" s="100"/>
      <c r="M1437" s="100"/>
      <c r="N1437" s="100"/>
      <c r="O1437" s="100"/>
      <c r="P1437" s="100"/>
      <c r="Q1437" s="100"/>
      <c r="R1437" s="100"/>
      <c r="S1437" s="100"/>
      <c r="T1437" s="100"/>
      <c r="U1437" s="100"/>
      <c r="V1437" s="100"/>
      <c r="W1437" s="100"/>
      <c r="X1437" s="100"/>
      <c r="Y1437" s="100"/>
      <c r="Z1437" s="100"/>
    </row>
    <row r="1438" spans="1:26">
      <c r="A1438" s="100"/>
      <c r="B1438" s="100"/>
      <c r="C1438" s="100"/>
      <c r="D1438" s="100"/>
      <c r="E1438" s="100"/>
      <c r="F1438" s="100"/>
      <c r="G1438" s="100"/>
      <c r="H1438" s="100"/>
      <c r="I1438" s="100"/>
      <c r="J1438" s="100"/>
      <c r="K1438" s="100"/>
      <c r="L1438" s="100"/>
      <c r="M1438" s="100"/>
      <c r="N1438" s="100"/>
      <c r="O1438" s="100"/>
      <c r="P1438" s="100"/>
      <c r="Q1438" s="100"/>
      <c r="R1438" s="100"/>
      <c r="S1438" s="100"/>
      <c r="T1438" s="100"/>
      <c r="U1438" s="100"/>
      <c r="V1438" s="100"/>
      <c r="W1438" s="100"/>
      <c r="X1438" s="100"/>
      <c r="Y1438" s="100"/>
      <c r="Z1438" s="100"/>
    </row>
    <row r="1439" spans="1:26">
      <c r="A1439" s="100"/>
      <c r="B1439" s="100"/>
      <c r="C1439" s="100"/>
      <c r="D1439" s="100"/>
      <c r="E1439" s="100"/>
      <c r="F1439" s="100"/>
      <c r="G1439" s="100"/>
      <c r="H1439" s="100"/>
      <c r="I1439" s="100"/>
      <c r="J1439" s="100"/>
      <c r="K1439" s="100"/>
      <c r="L1439" s="100"/>
      <c r="M1439" s="100"/>
      <c r="N1439" s="100"/>
      <c r="O1439" s="100"/>
      <c r="P1439" s="100"/>
      <c r="Q1439" s="100"/>
      <c r="R1439" s="100"/>
      <c r="S1439" s="100"/>
      <c r="T1439" s="100"/>
      <c r="U1439" s="100"/>
      <c r="V1439" s="100"/>
      <c r="W1439" s="100"/>
      <c r="X1439" s="100"/>
      <c r="Y1439" s="100"/>
      <c r="Z1439" s="100"/>
    </row>
    <row r="1440" spans="1:26">
      <c r="A1440" s="100"/>
      <c r="B1440" s="100"/>
      <c r="C1440" s="100"/>
      <c r="D1440" s="100"/>
      <c r="E1440" s="100"/>
      <c r="F1440" s="100"/>
      <c r="G1440" s="100"/>
      <c r="H1440" s="100"/>
      <c r="I1440" s="100"/>
      <c r="J1440" s="100"/>
      <c r="K1440" s="100"/>
      <c r="L1440" s="100"/>
      <c r="M1440" s="100"/>
      <c r="N1440" s="100"/>
      <c r="O1440" s="100"/>
      <c r="P1440" s="100"/>
      <c r="Q1440" s="100"/>
      <c r="R1440" s="100"/>
      <c r="S1440" s="100"/>
      <c r="T1440" s="100"/>
      <c r="U1440" s="100"/>
      <c r="V1440" s="100"/>
      <c r="W1440" s="100"/>
      <c r="X1440" s="100"/>
      <c r="Y1440" s="100"/>
      <c r="Z1440" s="100"/>
    </row>
    <row r="1441" spans="1:26">
      <c r="A1441" s="100"/>
      <c r="B1441" s="100"/>
      <c r="C1441" s="100"/>
      <c r="D1441" s="100"/>
      <c r="E1441" s="100"/>
      <c r="F1441" s="100"/>
      <c r="G1441" s="100"/>
      <c r="H1441" s="100"/>
      <c r="I1441" s="100"/>
      <c r="J1441" s="100"/>
      <c r="K1441" s="100"/>
      <c r="L1441" s="100"/>
      <c r="M1441" s="100"/>
      <c r="N1441" s="100"/>
      <c r="O1441" s="100"/>
      <c r="P1441" s="100"/>
      <c r="Q1441" s="100"/>
      <c r="R1441" s="100"/>
      <c r="S1441" s="100"/>
      <c r="T1441" s="100"/>
      <c r="U1441" s="100"/>
      <c r="V1441" s="100"/>
      <c r="W1441" s="100"/>
      <c r="X1441" s="100"/>
      <c r="Y1441" s="100"/>
      <c r="Z1441" s="100"/>
    </row>
    <row r="1442" spans="1:26">
      <c r="A1442" s="100"/>
      <c r="B1442" s="100"/>
      <c r="C1442" s="100"/>
      <c r="D1442" s="100"/>
      <c r="E1442" s="100"/>
      <c r="F1442" s="100"/>
      <c r="G1442" s="100"/>
      <c r="H1442" s="100"/>
      <c r="I1442" s="100"/>
      <c r="J1442" s="100"/>
      <c r="K1442" s="100"/>
      <c r="L1442" s="100"/>
      <c r="M1442" s="100"/>
      <c r="N1442" s="100"/>
      <c r="O1442" s="100"/>
      <c r="P1442" s="100"/>
      <c r="Q1442" s="100"/>
      <c r="R1442" s="100"/>
      <c r="S1442" s="100"/>
      <c r="T1442" s="100"/>
      <c r="U1442" s="100"/>
      <c r="V1442" s="100"/>
      <c r="W1442" s="100"/>
      <c r="X1442" s="100"/>
      <c r="Y1442" s="100"/>
      <c r="Z1442" s="100"/>
    </row>
    <row r="1443" spans="1:26">
      <c r="A1443" s="100"/>
      <c r="B1443" s="100"/>
      <c r="C1443" s="100"/>
      <c r="D1443" s="100"/>
      <c r="E1443" s="100"/>
      <c r="F1443" s="100"/>
      <c r="G1443" s="100"/>
      <c r="H1443" s="100"/>
      <c r="I1443" s="100"/>
      <c r="J1443" s="100"/>
      <c r="K1443" s="100"/>
      <c r="L1443" s="100"/>
      <c r="M1443" s="100"/>
      <c r="N1443" s="100"/>
      <c r="O1443" s="100"/>
      <c r="P1443" s="100"/>
      <c r="Q1443" s="100"/>
      <c r="R1443" s="100"/>
      <c r="S1443" s="100"/>
      <c r="T1443" s="100"/>
      <c r="U1443" s="100"/>
      <c r="V1443" s="100"/>
      <c r="W1443" s="100"/>
      <c r="X1443" s="100"/>
      <c r="Y1443" s="100"/>
      <c r="Z1443" s="100"/>
    </row>
    <row r="1444" spans="1:26">
      <c r="A1444" s="100"/>
      <c r="B1444" s="100"/>
      <c r="C1444" s="100"/>
      <c r="D1444" s="100"/>
      <c r="E1444" s="100"/>
      <c r="F1444" s="100"/>
      <c r="G1444" s="100"/>
      <c r="H1444" s="100"/>
      <c r="I1444" s="100"/>
      <c r="J1444" s="100"/>
      <c r="K1444" s="100"/>
      <c r="L1444" s="100"/>
      <c r="M1444" s="100"/>
      <c r="N1444" s="100"/>
      <c r="O1444" s="100"/>
      <c r="P1444" s="100"/>
      <c r="Q1444" s="100"/>
      <c r="R1444" s="100"/>
      <c r="S1444" s="100"/>
      <c r="T1444" s="100"/>
      <c r="U1444" s="100"/>
      <c r="V1444" s="100"/>
      <c r="W1444" s="100"/>
      <c r="X1444" s="100"/>
      <c r="Y1444" s="100"/>
      <c r="Z1444" s="100"/>
    </row>
    <row r="1445" spans="1:26">
      <c r="A1445" s="100"/>
      <c r="B1445" s="100"/>
      <c r="C1445" s="100"/>
      <c r="D1445" s="100"/>
      <c r="E1445" s="100"/>
      <c r="F1445" s="100"/>
      <c r="G1445" s="100"/>
      <c r="H1445" s="100"/>
      <c r="I1445" s="100"/>
      <c r="J1445" s="100"/>
      <c r="K1445" s="100"/>
      <c r="L1445" s="100"/>
      <c r="M1445" s="100"/>
      <c r="N1445" s="100"/>
      <c r="O1445" s="100"/>
      <c r="P1445" s="100"/>
      <c r="Q1445" s="100"/>
      <c r="R1445" s="100"/>
      <c r="S1445" s="100"/>
      <c r="T1445" s="100"/>
      <c r="U1445" s="100"/>
      <c r="V1445" s="100"/>
      <c r="W1445" s="100"/>
      <c r="X1445" s="100"/>
      <c r="Y1445" s="100"/>
      <c r="Z1445" s="100"/>
    </row>
    <row r="1446" spans="1:26">
      <c r="A1446" s="100"/>
      <c r="B1446" s="100"/>
      <c r="C1446" s="100"/>
      <c r="D1446" s="100"/>
      <c r="E1446" s="100"/>
      <c r="F1446" s="100"/>
      <c r="G1446" s="100"/>
      <c r="H1446" s="100"/>
      <c r="I1446" s="100"/>
      <c r="J1446" s="100"/>
      <c r="K1446" s="100"/>
      <c r="L1446" s="100"/>
      <c r="M1446" s="100"/>
      <c r="N1446" s="100"/>
      <c r="O1446" s="100"/>
      <c r="P1446" s="100"/>
      <c r="Q1446" s="100"/>
      <c r="R1446" s="100"/>
      <c r="S1446" s="100"/>
      <c r="T1446" s="100"/>
      <c r="U1446" s="100"/>
      <c r="V1446" s="100"/>
      <c r="W1446" s="100"/>
      <c r="X1446" s="100"/>
      <c r="Y1446" s="100"/>
      <c r="Z1446" s="100"/>
    </row>
    <row r="1447" spans="1:26">
      <c r="A1447" s="100"/>
      <c r="B1447" s="100"/>
      <c r="C1447" s="100"/>
      <c r="D1447" s="100"/>
      <c r="E1447" s="100"/>
      <c r="F1447" s="100"/>
      <c r="G1447" s="100"/>
      <c r="H1447" s="100"/>
      <c r="I1447" s="100"/>
      <c r="J1447" s="100"/>
      <c r="K1447" s="100"/>
      <c r="L1447" s="100"/>
      <c r="M1447" s="100"/>
      <c r="N1447" s="100"/>
      <c r="O1447" s="100"/>
      <c r="P1447" s="100"/>
      <c r="Q1447" s="100"/>
      <c r="R1447" s="100"/>
      <c r="S1447" s="100"/>
      <c r="T1447" s="100"/>
      <c r="U1447" s="100"/>
      <c r="V1447" s="100"/>
      <c r="W1447" s="100"/>
      <c r="X1447" s="100"/>
      <c r="Y1447" s="100"/>
      <c r="Z1447" s="100"/>
    </row>
    <row r="1448" spans="1:26">
      <c r="A1448" s="100"/>
      <c r="B1448" s="100"/>
      <c r="C1448" s="100"/>
      <c r="D1448" s="100"/>
      <c r="E1448" s="100"/>
      <c r="F1448" s="100"/>
      <c r="G1448" s="100"/>
      <c r="H1448" s="100"/>
      <c r="I1448" s="100"/>
      <c r="J1448" s="100"/>
      <c r="K1448" s="100"/>
      <c r="L1448" s="100"/>
      <c r="M1448" s="100"/>
      <c r="N1448" s="100"/>
      <c r="O1448" s="100"/>
      <c r="P1448" s="100"/>
      <c r="Q1448" s="100"/>
      <c r="R1448" s="100"/>
      <c r="S1448" s="100"/>
      <c r="T1448" s="100"/>
      <c r="U1448" s="100"/>
      <c r="V1448" s="100"/>
      <c r="W1448" s="100"/>
      <c r="X1448" s="100"/>
      <c r="Y1448" s="100"/>
      <c r="Z1448" s="100"/>
    </row>
    <row r="1449" spans="1:26">
      <c r="A1449" s="100"/>
      <c r="B1449" s="100"/>
      <c r="C1449" s="100"/>
      <c r="D1449" s="100"/>
      <c r="E1449" s="100"/>
      <c r="F1449" s="100"/>
      <c r="G1449" s="100"/>
      <c r="H1449" s="100"/>
      <c r="I1449" s="100"/>
      <c r="J1449" s="100"/>
      <c r="K1449" s="100"/>
      <c r="L1449" s="100"/>
      <c r="M1449" s="100"/>
      <c r="N1449" s="100"/>
      <c r="O1449" s="100"/>
      <c r="P1449" s="100"/>
      <c r="Q1449" s="100"/>
      <c r="R1449" s="100"/>
      <c r="S1449" s="100"/>
      <c r="T1449" s="100"/>
      <c r="U1449" s="100"/>
      <c r="V1449" s="100"/>
      <c r="W1449" s="100"/>
      <c r="X1449" s="100"/>
      <c r="Y1449" s="100"/>
      <c r="Z1449" s="100"/>
    </row>
    <row r="1450" spans="1:26">
      <c r="A1450" s="100"/>
      <c r="B1450" s="100"/>
      <c r="C1450" s="100"/>
      <c r="D1450" s="100"/>
      <c r="E1450" s="100"/>
      <c r="F1450" s="100"/>
      <c r="G1450" s="100"/>
      <c r="H1450" s="100"/>
      <c r="I1450" s="100"/>
      <c r="J1450" s="100"/>
      <c r="K1450" s="100"/>
      <c r="L1450" s="100"/>
      <c r="M1450" s="100"/>
      <c r="N1450" s="100"/>
      <c r="O1450" s="100"/>
      <c r="P1450" s="100"/>
      <c r="Q1450" s="100"/>
      <c r="R1450" s="100"/>
      <c r="S1450" s="100"/>
      <c r="T1450" s="100"/>
      <c r="U1450" s="100"/>
      <c r="V1450" s="100"/>
      <c r="W1450" s="100"/>
      <c r="X1450" s="100"/>
      <c r="Y1450" s="100"/>
      <c r="Z1450" s="100"/>
    </row>
    <row r="1451" spans="1:26">
      <c r="A1451" s="100"/>
      <c r="B1451" s="100"/>
      <c r="C1451" s="100"/>
      <c r="D1451" s="100"/>
      <c r="E1451" s="100"/>
      <c r="F1451" s="100"/>
      <c r="G1451" s="100"/>
      <c r="H1451" s="100"/>
      <c r="I1451" s="100"/>
      <c r="J1451" s="100"/>
      <c r="K1451" s="100"/>
      <c r="L1451" s="100"/>
      <c r="M1451" s="100"/>
      <c r="N1451" s="100"/>
      <c r="O1451" s="100"/>
      <c r="P1451" s="100"/>
      <c r="Q1451" s="100"/>
      <c r="R1451" s="100"/>
      <c r="S1451" s="100"/>
      <c r="T1451" s="100"/>
      <c r="U1451" s="100"/>
      <c r="V1451" s="100"/>
      <c r="W1451" s="100"/>
      <c r="X1451" s="100"/>
      <c r="Y1451" s="100"/>
      <c r="Z1451" s="100"/>
    </row>
    <row r="1452" spans="1:26">
      <c r="A1452" s="100"/>
      <c r="B1452" s="100"/>
      <c r="C1452" s="100"/>
      <c r="D1452" s="100"/>
      <c r="E1452" s="100"/>
      <c r="F1452" s="100"/>
      <c r="G1452" s="100"/>
      <c r="H1452" s="100"/>
      <c r="I1452" s="100"/>
      <c r="J1452" s="100"/>
      <c r="K1452" s="100"/>
      <c r="L1452" s="100"/>
      <c r="M1452" s="100"/>
      <c r="N1452" s="100"/>
      <c r="O1452" s="100"/>
      <c r="P1452" s="100"/>
      <c r="Q1452" s="100"/>
      <c r="R1452" s="100"/>
      <c r="S1452" s="100"/>
      <c r="T1452" s="100"/>
      <c r="U1452" s="100"/>
      <c r="V1452" s="100"/>
      <c r="W1452" s="100"/>
      <c r="X1452" s="100"/>
      <c r="Y1452" s="100"/>
      <c r="Z1452" s="100"/>
    </row>
    <row r="1453" spans="1:26">
      <c r="A1453" s="100"/>
      <c r="B1453" s="100"/>
      <c r="C1453" s="100"/>
      <c r="D1453" s="100"/>
      <c r="E1453" s="100"/>
      <c r="F1453" s="100"/>
      <c r="G1453" s="100"/>
      <c r="H1453" s="100"/>
      <c r="I1453" s="100"/>
      <c r="J1453" s="100"/>
      <c r="K1453" s="100"/>
      <c r="L1453" s="100"/>
      <c r="M1453" s="100"/>
      <c r="N1453" s="100"/>
      <c r="O1453" s="100"/>
      <c r="P1453" s="100"/>
      <c r="Q1453" s="100"/>
      <c r="R1453" s="100"/>
      <c r="S1453" s="100"/>
      <c r="T1453" s="100"/>
      <c r="U1453" s="100"/>
      <c r="V1453" s="100"/>
      <c r="W1453" s="100"/>
      <c r="X1453" s="100"/>
      <c r="Y1453" s="100"/>
      <c r="Z1453" s="100"/>
    </row>
    <row r="1454" spans="1:26">
      <c r="A1454" s="100"/>
      <c r="B1454" s="100"/>
      <c r="C1454" s="100"/>
      <c r="D1454" s="100"/>
      <c r="E1454" s="100"/>
      <c r="F1454" s="100"/>
      <c r="G1454" s="100"/>
      <c r="H1454" s="100"/>
      <c r="I1454" s="100"/>
      <c r="J1454" s="100"/>
      <c r="K1454" s="100"/>
      <c r="L1454" s="100"/>
      <c r="M1454" s="100"/>
      <c r="N1454" s="100"/>
      <c r="O1454" s="100"/>
      <c r="P1454" s="100"/>
      <c r="Q1454" s="100"/>
      <c r="R1454" s="100"/>
      <c r="S1454" s="100"/>
      <c r="T1454" s="100"/>
      <c r="U1454" s="100"/>
      <c r="V1454" s="100"/>
      <c r="W1454" s="100"/>
      <c r="X1454" s="100"/>
      <c r="Y1454" s="100"/>
      <c r="Z1454" s="100"/>
    </row>
    <row r="1455" spans="1:26">
      <c r="A1455" s="100"/>
      <c r="B1455" s="100"/>
      <c r="C1455" s="100"/>
      <c r="D1455" s="100"/>
      <c r="E1455" s="100"/>
      <c r="F1455" s="100"/>
      <c r="G1455" s="100"/>
      <c r="H1455" s="100"/>
      <c r="I1455" s="100"/>
      <c r="J1455" s="100"/>
      <c r="K1455" s="100"/>
      <c r="L1455" s="100"/>
      <c r="M1455" s="100"/>
      <c r="N1455" s="100"/>
      <c r="O1455" s="100"/>
      <c r="P1455" s="100"/>
      <c r="Q1455" s="100"/>
      <c r="R1455" s="100"/>
      <c r="S1455" s="100"/>
      <c r="T1455" s="100"/>
      <c r="U1455" s="100"/>
      <c r="V1455" s="100"/>
      <c r="W1455" s="100"/>
      <c r="X1455" s="100"/>
      <c r="Y1455" s="100"/>
      <c r="Z1455" s="100"/>
    </row>
    <row r="1456" spans="1:26">
      <c r="A1456" s="100"/>
      <c r="B1456" s="100"/>
      <c r="C1456" s="100"/>
      <c r="D1456" s="100"/>
      <c r="E1456" s="100"/>
      <c r="F1456" s="100"/>
      <c r="G1456" s="100"/>
      <c r="H1456" s="100"/>
      <c r="I1456" s="100"/>
      <c r="J1456" s="100"/>
      <c r="K1456" s="100"/>
      <c r="L1456" s="100"/>
      <c r="M1456" s="100"/>
      <c r="N1456" s="100"/>
      <c r="O1456" s="100"/>
      <c r="P1456" s="100"/>
      <c r="Q1456" s="100"/>
      <c r="R1456" s="100"/>
      <c r="S1456" s="100"/>
      <c r="T1456" s="100"/>
      <c r="U1456" s="100"/>
      <c r="V1456" s="100"/>
      <c r="W1456" s="100"/>
      <c r="X1456" s="100"/>
      <c r="Y1456" s="100"/>
      <c r="Z1456" s="100"/>
    </row>
    <row r="1457" spans="1:26">
      <c r="A1457" s="100"/>
      <c r="B1457" s="100"/>
      <c r="C1457" s="100"/>
      <c r="D1457" s="100"/>
      <c r="E1457" s="100"/>
      <c r="F1457" s="100"/>
      <c r="G1457" s="100"/>
      <c r="H1457" s="100"/>
      <c r="I1457" s="100"/>
      <c r="J1457" s="100"/>
      <c r="K1457" s="100"/>
      <c r="L1457" s="100"/>
      <c r="M1457" s="100"/>
      <c r="N1457" s="100"/>
      <c r="O1457" s="100"/>
      <c r="P1457" s="100"/>
      <c r="Q1457" s="100"/>
      <c r="R1457" s="100"/>
      <c r="S1457" s="100"/>
      <c r="T1457" s="100"/>
      <c r="U1457" s="100"/>
      <c r="V1457" s="100"/>
      <c r="W1457" s="100"/>
      <c r="X1457" s="100"/>
      <c r="Y1457" s="100"/>
      <c r="Z1457" s="100"/>
    </row>
    <row r="1458" spans="1:26">
      <c r="A1458" s="100"/>
      <c r="B1458" s="100"/>
      <c r="C1458" s="100"/>
      <c r="D1458" s="100"/>
      <c r="E1458" s="100"/>
      <c r="F1458" s="100"/>
      <c r="G1458" s="100"/>
      <c r="H1458" s="100"/>
      <c r="I1458" s="100"/>
      <c r="J1458" s="100"/>
      <c r="K1458" s="100"/>
      <c r="L1458" s="100"/>
      <c r="M1458" s="100"/>
      <c r="N1458" s="100"/>
      <c r="O1458" s="100"/>
      <c r="P1458" s="100"/>
      <c r="Q1458" s="100"/>
      <c r="R1458" s="100"/>
      <c r="S1458" s="100"/>
      <c r="T1458" s="100"/>
      <c r="U1458" s="100"/>
      <c r="V1458" s="100"/>
      <c r="W1458" s="100"/>
      <c r="X1458" s="100"/>
      <c r="Y1458" s="100"/>
      <c r="Z1458" s="100"/>
    </row>
    <row r="1459" spans="1:26">
      <c r="A1459" s="100"/>
      <c r="B1459" s="100"/>
      <c r="C1459" s="100"/>
      <c r="D1459" s="100"/>
      <c r="E1459" s="100"/>
      <c r="F1459" s="100"/>
      <c r="G1459" s="100"/>
      <c r="H1459" s="100"/>
      <c r="I1459" s="100"/>
      <c r="J1459" s="100"/>
      <c r="K1459" s="100"/>
      <c r="L1459" s="100"/>
      <c r="M1459" s="100"/>
      <c r="N1459" s="100"/>
      <c r="O1459" s="100"/>
      <c r="P1459" s="100"/>
      <c r="Q1459" s="100"/>
      <c r="R1459" s="100"/>
      <c r="S1459" s="100"/>
      <c r="T1459" s="100"/>
      <c r="U1459" s="100"/>
      <c r="V1459" s="100"/>
      <c r="W1459" s="100"/>
      <c r="X1459" s="100"/>
      <c r="Y1459" s="100"/>
      <c r="Z1459" s="100"/>
    </row>
    <row r="1460" spans="1:26">
      <c r="A1460" s="100"/>
      <c r="B1460" s="100"/>
      <c r="C1460" s="100"/>
      <c r="D1460" s="100"/>
      <c r="E1460" s="100"/>
      <c r="F1460" s="100"/>
      <c r="G1460" s="100"/>
      <c r="H1460" s="100"/>
      <c r="I1460" s="100"/>
      <c r="J1460" s="100"/>
      <c r="K1460" s="100"/>
      <c r="L1460" s="100"/>
      <c r="M1460" s="100"/>
      <c r="N1460" s="100"/>
      <c r="O1460" s="100"/>
      <c r="P1460" s="100"/>
      <c r="Q1460" s="100"/>
      <c r="R1460" s="100"/>
      <c r="S1460" s="100"/>
      <c r="T1460" s="100"/>
      <c r="U1460" s="100"/>
      <c r="V1460" s="100"/>
      <c r="W1460" s="100"/>
      <c r="X1460" s="100"/>
      <c r="Y1460" s="100"/>
      <c r="Z1460" s="100"/>
    </row>
    <row r="1461" spans="1:26">
      <c r="A1461" s="100"/>
      <c r="B1461" s="100"/>
      <c r="C1461" s="100"/>
      <c r="D1461" s="100"/>
      <c r="E1461" s="100"/>
      <c r="F1461" s="100"/>
      <c r="G1461" s="100"/>
      <c r="H1461" s="100"/>
      <c r="I1461" s="100"/>
      <c r="J1461" s="100"/>
      <c r="K1461" s="100"/>
      <c r="L1461" s="100"/>
      <c r="M1461" s="100"/>
      <c r="N1461" s="100"/>
      <c r="O1461" s="100"/>
      <c r="P1461" s="100"/>
      <c r="Q1461" s="100"/>
      <c r="R1461" s="100"/>
      <c r="S1461" s="100"/>
      <c r="T1461" s="100"/>
      <c r="U1461" s="100"/>
      <c r="V1461" s="100"/>
      <c r="W1461" s="100"/>
      <c r="X1461" s="100"/>
      <c r="Y1461" s="100"/>
      <c r="Z1461" s="100"/>
    </row>
    <row r="1462" spans="1:26">
      <c r="A1462" s="100"/>
      <c r="B1462" s="100"/>
      <c r="C1462" s="100"/>
      <c r="D1462" s="100"/>
      <c r="E1462" s="100"/>
      <c r="F1462" s="100"/>
      <c r="G1462" s="100"/>
      <c r="H1462" s="100"/>
      <c r="I1462" s="100"/>
      <c r="J1462" s="100"/>
      <c r="K1462" s="100"/>
      <c r="L1462" s="100"/>
      <c r="M1462" s="100"/>
      <c r="N1462" s="100"/>
      <c r="O1462" s="100"/>
      <c r="P1462" s="100"/>
      <c r="Q1462" s="100"/>
      <c r="R1462" s="100"/>
      <c r="S1462" s="100"/>
      <c r="T1462" s="100"/>
      <c r="U1462" s="100"/>
      <c r="V1462" s="100"/>
      <c r="W1462" s="100"/>
      <c r="X1462" s="100"/>
      <c r="Y1462" s="100"/>
      <c r="Z1462" s="100"/>
    </row>
    <row r="1463" spans="1:26">
      <c r="A1463" s="100"/>
      <c r="B1463" s="100"/>
      <c r="C1463" s="100"/>
      <c r="D1463" s="100"/>
      <c r="E1463" s="100"/>
      <c r="F1463" s="100"/>
      <c r="G1463" s="100"/>
      <c r="H1463" s="100"/>
      <c r="I1463" s="100"/>
      <c r="J1463" s="100"/>
      <c r="K1463" s="100"/>
      <c r="L1463" s="100"/>
      <c r="M1463" s="100"/>
      <c r="N1463" s="100"/>
      <c r="O1463" s="100"/>
      <c r="P1463" s="100"/>
      <c r="Q1463" s="100"/>
      <c r="R1463" s="100"/>
      <c r="S1463" s="100"/>
      <c r="T1463" s="100"/>
      <c r="U1463" s="100"/>
      <c r="V1463" s="100"/>
      <c r="W1463" s="100"/>
      <c r="X1463" s="100"/>
      <c r="Y1463" s="100"/>
      <c r="Z1463" s="100"/>
    </row>
    <row r="1464" spans="1:26">
      <c r="A1464" s="100"/>
      <c r="B1464" s="100"/>
      <c r="C1464" s="100"/>
      <c r="D1464" s="100"/>
      <c r="E1464" s="100"/>
      <c r="F1464" s="100"/>
      <c r="G1464" s="100"/>
      <c r="H1464" s="100"/>
      <c r="I1464" s="100"/>
      <c r="J1464" s="100"/>
      <c r="K1464" s="100"/>
      <c r="L1464" s="100"/>
      <c r="M1464" s="100"/>
      <c r="N1464" s="100"/>
      <c r="O1464" s="100"/>
      <c r="P1464" s="100"/>
      <c r="Q1464" s="100"/>
      <c r="R1464" s="100"/>
      <c r="S1464" s="100"/>
      <c r="T1464" s="100"/>
      <c r="U1464" s="100"/>
      <c r="V1464" s="100"/>
      <c r="W1464" s="100"/>
      <c r="X1464" s="100"/>
      <c r="Y1464" s="100"/>
      <c r="Z1464" s="100"/>
    </row>
    <row r="1465" spans="1:26">
      <c r="A1465" s="100"/>
      <c r="B1465" s="100"/>
      <c r="C1465" s="100"/>
      <c r="D1465" s="100"/>
      <c r="E1465" s="100"/>
      <c r="F1465" s="100"/>
      <c r="G1465" s="100"/>
      <c r="H1465" s="100"/>
      <c r="I1465" s="100"/>
      <c r="J1465" s="100"/>
      <c r="K1465" s="100"/>
      <c r="L1465" s="100"/>
      <c r="M1465" s="100"/>
      <c r="N1465" s="100"/>
      <c r="O1465" s="100"/>
      <c r="P1465" s="100"/>
      <c r="Q1465" s="100"/>
      <c r="R1465" s="100"/>
      <c r="S1465" s="100"/>
      <c r="T1465" s="100"/>
      <c r="U1465" s="100"/>
      <c r="V1465" s="100"/>
      <c r="W1465" s="100"/>
      <c r="X1465" s="100"/>
      <c r="Y1465" s="100"/>
      <c r="Z1465" s="100"/>
    </row>
    <row r="1466" spans="1:26">
      <c r="A1466" s="100"/>
      <c r="B1466" s="100"/>
      <c r="C1466" s="100"/>
      <c r="D1466" s="100"/>
      <c r="E1466" s="100"/>
      <c r="F1466" s="100"/>
      <c r="G1466" s="100"/>
      <c r="H1466" s="100"/>
      <c r="I1466" s="100"/>
      <c r="J1466" s="100"/>
      <c r="K1466" s="100"/>
      <c r="L1466" s="100"/>
      <c r="M1466" s="100"/>
      <c r="N1466" s="100"/>
      <c r="O1466" s="100"/>
      <c r="P1466" s="100"/>
      <c r="Q1466" s="100"/>
      <c r="R1466" s="100"/>
      <c r="S1466" s="100"/>
      <c r="T1466" s="100"/>
      <c r="U1466" s="100"/>
      <c r="V1466" s="100"/>
      <c r="W1466" s="100"/>
      <c r="X1466" s="100"/>
      <c r="Y1466" s="100"/>
      <c r="Z1466" s="100"/>
    </row>
    <row r="1467" spans="1:26">
      <c r="A1467" s="100"/>
      <c r="B1467" s="100"/>
      <c r="C1467" s="100"/>
      <c r="D1467" s="100"/>
      <c r="E1467" s="100"/>
      <c r="F1467" s="100"/>
      <c r="G1467" s="100"/>
      <c r="H1467" s="100"/>
      <c r="I1467" s="100"/>
      <c r="J1467" s="100"/>
      <c r="K1467" s="100"/>
      <c r="L1467" s="100"/>
      <c r="M1467" s="100"/>
      <c r="N1467" s="100"/>
      <c r="O1467" s="100"/>
      <c r="P1467" s="100"/>
      <c r="Q1467" s="100"/>
      <c r="R1467" s="100"/>
      <c r="S1467" s="100"/>
      <c r="T1467" s="100"/>
      <c r="U1467" s="100"/>
      <c r="V1467" s="100"/>
      <c r="W1467" s="100"/>
      <c r="X1467" s="100"/>
      <c r="Y1467" s="100"/>
      <c r="Z1467" s="100"/>
    </row>
    <row r="1468" spans="1:26">
      <c r="A1468" s="100"/>
      <c r="B1468" s="100"/>
      <c r="C1468" s="100"/>
      <c r="D1468" s="100"/>
      <c r="E1468" s="100"/>
      <c r="F1468" s="100"/>
      <c r="G1468" s="100"/>
      <c r="H1468" s="100"/>
      <c r="I1468" s="100"/>
      <c r="J1468" s="100"/>
      <c r="K1468" s="100"/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</row>
    <row r="1469" spans="1:26">
      <c r="A1469" s="100"/>
      <c r="B1469" s="100"/>
      <c r="C1469" s="100"/>
      <c r="D1469" s="100"/>
      <c r="E1469" s="100"/>
      <c r="F1469" s="100"/>
      <c r="G1469" s="100"/>
      <c r="H1469" s="100"/>
      <c r="I1469" s="100"/>
      <c r="J1469" s="100"/>
      <c r="K1469" s="100"/>
      <c r="L1469" s="100"/>
      <c r="M1469" s="100"/>
      <c r="N1469" s="100"/>
      <c r="O1469" s="100"/>
      <c r="P1469" s="100"/>
      <c r="Q1469" s="100"/>
      <c r="R1469" s="100"/>
      <c r="S1469" s="100"/>
      <c r="T1469" s="100"/>
      <c r="U1469" s="100"/>
      <c r="V1469" s="100"/>
      <c r="W1469" s="100"/>
      <c r="X1469" s="100"/>
      <c r="Y1469" s="100"/>
      <c r="Z1469" s="100"/>
    </row>
    <row r="1470" spans="1:26">
      <c r="A1470" s="100"/>
      <c r="B1470" s="100"/>
      <c r="C1470" s="100"/>
      <c r="D1470" s="100"/>
      <c r="E1470" s="100"/>
      <c r="F1470" s="100"/>
      <c r="G1470" s="100"/>
      <c r="H1470" s="100"/>
      <c r="I1470" s="100"/>
      <c r="J1470" s="100"/>
      <c r="K1470" s="100"/>
      <c r="L1470" s="100"/>
      <c r="M1470" s="100"/>
      <c r="N1470" s="100"/>
      <c r="O1470" s="100"/>
      <c r="P1470" s="100"/>
      <c r="Q1470" s="100"/>
      <c r="R1470" s="100"/>
      <c r="S1470" s="100"/>
      <c r="T1470" s="100"/>
      <c r="U1470" s="100"/>
      <c r="V1470" s="100"/>
      <c r="W1470" s="100"/>
      <c r="X1470" s="100"/>
      <c r="Y1470" s="100"/>
      <c r="Z1470" s="100"/>
    </row>
    <row r="1471" spans="1:26">
      <c r="A1471" s="100"/>
      <c r="B1471" s="100"/>
      <c r="C1471" s="100"/>
      <c r="D1471" s="100"/>
      <c r="E1471" s="100"/>
      <c r="F1471" s="100"/>
      <c r="G1471" s="100"/>
      <c r="H1471" s="100"/>
      <c r="I1471" s="100"/>
      <c r="J1471" s="100"/>
      <c r="K1471" s="100"/>
      <c r="L1471" s="100"/>
      <c r="M1471" s="100"/>
      <c r="N1471" s="100"/>
      <c r="O1471" s="100"/>
      <c r="P1471" s="100"/>
      <c r="Q1471" s="100"/>
      <c r="R1471" s="100"/>
      <c r="S1471" s="100"/>
      <c r="T1471" s="100"/>
      <c r="U1471" s="100"/>
      <c r="V1471" s="100"/>
      <c r="W1471" s="100"/>
      <c r="X1471" s="100"/>
      <c r="Y1471" s="100"/>
      <c r="Z1471" s="100"/>
    </row>
    <row r="1472" spans="1:26">
      <c r="A1472" s="100"/>
      <c r="B1472" s="100"/>
      <c r="C1472" s="100"/>
      <c r="D1472" s="100"/>
      <c r="E1472" s="100"/>
      <c r="F1472" s="100"/>
      <c r="G1472" s="100"/>
      <c r="H1472" s="100"/>
      <c r="I1472" s="100"/>
      <c r="J1472" s="100"/>
      <c r="K1472" s="100"/>
      <c r="L1472" s="100"/>
      <c r="M1472" s="100"/>
      <c r="N1472" s="100"/>
      <c r="O1472" s="100"/>
      <c r="P1472" s="100"/>
      <c r="Q1472" s="100"/>
      <c r="R1472" s="100"/>
      <c r="S1472" s="100"/>
      <c r="T1472" s="100"/>
      <c r="U1472" s="100"/>
      <c r="V1472" s="100"/>
      <c r="W1472" s="100"/>
      <c r="X1472" s="100"/>
      <c r="Y1472" s="100"/>
      <c r="Z1472" s="100"/>
    </row>
    <row r="1473" spans="1:26">
      <c r="A1473" s="100"/>
      <c r="B1473" s="100"/>
      <c r="C1473" s="100"/>
      <c r="D1473" s="100"/>
      <c r="E1473" s="100"/>
      <c r="F1473" s="100"/>
      <c r="G1473" s="100"/>
      <c r="H1473" s="100"/>
      <c r="I1473" s="100"/>
      <c r="J1473" s="100"/>
      <c r="K1473" s="100"/>
      <c r="L1473" s="100"/>
      <c r="M1473" s="100"/>
      <c r="N1473" s="100"/>
      <c r="O1473" s="100"/>
      <c r="P1473" s="100"/>
      <c r="Q1473" s="100"/>
      <c r="R1473" s="100"/>
      <c r="S1473" s="100"/>
      <c r="T1473" s="100"/>
      <c r="U1473" s="100"/>
      <c r="V1473" s="100"/>
      <c r="W1473" s="100"/>
      <c r="X1473" s="100"/>
      <c r="Y1473" s="100"/>
      <c r="Z1473" s="100"/>
    </row>
    <row r="1474" spans="1:26">
      <c r="A1474" s="100"/>
      <c r="B1474" s="100"/>
      <c r="C1474" s="100"/>
      <c r="D1474" s="100"/>
      <c r="E1474" s="100"/>
      <c r="F1474" s="100"/>
      <c r="G1474" s="100"/>
      <c r="H1474" s="100"/>
      <c r="I1474" s="100"/>
      <c r="J1474" s="100"/>
      <c r="K1474" s="100"/>
      <c r="L1474" s="100"/>
      <c r="M1474" s="100"/>
      <c r="N1474" s="100"/>
      <c r="O1474" s="100"/>
      <c r="P1474" s="100"/>
      <c r="Q1474" s="100"/>
      <c r="R1474" s="100"/>
      <c r="S1474" s="100"/>
      <c r="T1474" s="100"/>
      <c r="U1474" s="100"/>
      <c r="V1474" s="100"/>
      <c r="W1474" s="100"/>
      <c r="X1474" s="100"/>
      <c r="Y1474" s="100"/>
      <c r="Z1474" s="100"/>
    </row>
    <row r="1475" spans="1:26">
      <c r="A1475" s="100"/>
      <c r="B1475" s="100"/>
      <c r="C1475" s="100"/>
      <c r="D1475" s="100"/>
      <c r="E1475" s="100"/>
      <c r="F1475" s="100"/>
      <c r="G1475" s="100"/>
      <c r="H1475" s="100"/>
      <c r="I1475" s="100"/>
      <c r="J1475" s="100"/>
      <c r="K1475" s="100"/>
      <c r="L1475" s="100"/>
      <c r="M1475" s="100"/>
      <c r="N1475" s="100"/>
      <c r="O1475" s="100"/>
      <c r="P1475" s="100"/>
      <c r="Q1475" s="100"/>
      <c r="R1475" s="100"/>
      <c r="S1475" s="100"/>
      <c r="T1475" s="100"/>
      <c r="U1475" s="100"/>
      <c r="V1475" s="100"/>
      <c r="W1475" s="100"/>
      <c r="X1475" s="100"/>
      <c r="Y1475" s="100"/>
      <c r="Z1475" s="100"/>
    </row>
    <row r="1476" spans="1:26">
      <c r="A1476" s="100"/>
      <c r="B1476" s="100"/>
      <c r="C1476" s="100"/>
      <c r="D1476" s="100"/>
      <c r="E1476" s="100"/>
      <c r="F1476" s="100"/>
      <c r="G1476" s="100"/>
      <c r="H1476" s="100"/>
      <c r="I1476" s="100"/>
      <c r="J1476" s="100"/>
      <c r="K1476" s="100"/>
      <c r="L1476" s="100"/>
      <c r="M1476" s="100"/>
      <c r="N1476" s="100"/>
      <c r="O1476" s="100"/>
      <c r="P1476" s="100"/>
      <c r="Q1476" s="100"/>
      <c r="R1476" s="100"/>
      <c r="S1476" s="100"/>
      <c r="T1476" s="100"/>
      <c r="U1476" s="100"/>
      <c r="V1476" s="100"/>
      <c r="W1476" s="100"/>
      <c r="X1476" s="100"/>
      <c r="Y1476" s="100"/>
      <c r="Z1476" s="100"/>
    </row>
    <row r="1477" spans="1:26">
      <c r="A1477" s="100"/>
      <c r="B1477" s="100"/>
      <c r="C1477" s="100"/>
      <c r="D1477" s="100"/>
      <c r="E1477" s="100"/>
      <c r="F1477" s="100"/>
      <c r="G1477" s="100"/>
      <c r="H1477" s="100"/>
      <c r="I1477" s="100"/>
      <c r="J1477" s="100"/>
      <c r="K1477" s="100"/>
      <c r="L1477" s="100"/>
      <c r="M1477" s="100"/>
      <c r="N1477" s="100"/>
      <c r="O1477" s="100"/>
      <c r="P1477" s="100"/>
      <c r="Q1477" s="100"/>
      <c r="R1477" s="100"/>
      <c r="S1477" s="100"/>
      <c r="T1477" s="100"/>
      <c r="U1477" s="100"/>
      <c r="V1477" s="100"/>
      <c r="W1477" s="100"/>
      <c r="X1477" s="100"/>
      <c r="Y1477" s="100"/>
      <c r="Z1477" s="100"/>
    </row>
    <row r="1478" spans="1:26">
      <c r="A1478" s="100"/>
      <c r="B1478" s="100"/>
      <c r="C1478" s="100"/>
      <c r="D1478" s="100"/>
      <c r="E1478" s="100"/>
      <c r="F1478" s="100"/>
      <c r="G1478" s="100"/>
      <c r="H1478" s="100"/>
      <c r="I1478" s="100"/>
      <c r="J1478" s="100"/>
      <c r="K1478" s="100"/>
      <c r="L1478" s="100"/>
      <c r="M1478" s="100"/>
      <c r="N1478" s="100"/>
      <c r="O1478" s="100"/>
      <c r="P1478" s="100"/>
      <c r="Q1478" s="100"/>
      <c r="R1478" s="100"/>
      <c r="S1478" s="100"/>
      <c r="T1478" s="100"/>
      <c r="U1478" s="100"/>
      <c r="V1478" s="100"/>
      <c r="W1478" s="100"/>
      <c r="X1478" s="100"/>
      <c r="Y1478" s="100"/>
      <c r="Z1478" s="100"/>
    </row>
    <row r="1479" spans="1:26">
      <c r="A1479" s="100"/>
      <c r="B1479" s="100"/>
      <c r="C1479" s="100"/>
      <c r="D1479" s="100"/>
      <c r="E1479" s="100"/>
      <c r="F1479" s="100"/>
      <c r="G1479" s="100"/>
      <c r="H1479" s="100"/>
      <c r="I1479" s="100"/>
      <c r="J1479" s="100"/>
      <c r="K1479" s="100"/>
      <c r="L1479" s="100"/>
      <c r="M1479" s="100"/>
      <c r="N1479" s="100"/>
      <c r="O1479" s="100"/>
      <c r="P1479" s="100"/>
      <c r="Q1479" s="100"/>
      <c r="R1479" s="100"/>
      <c r="S1479" s="100"/>
      <c r="T1479" s="100"/>
      <c r="U1479" s="100"/>
      <c r="V1479" s="100"/>
      <c r="W1479" s="100"/>
      <c r="X1479" s="100"/>
      <c r="Y1479" s="100"/>
      <c r="Z1479" s="100"/>
    </row>
    <row r="1480" spans="1:26">
      <c r="A1480" s="100"/>
      <c r="B1480" s="100"/>
      <c r="C1480" s="100"/>
      <c r="D1480" s="100"/>
      <c r="E1480" s="100"/>
      <c r="F1480" s="100"/>
      <c r="G1480" s="100"/>
      <c r="H1480" s="100"/>
      <c r="I1480" s="100"/>
      <c r="J1480" s="100"/>
      <c r="K1480" s="100"/>
      <c r="L1480" s="100"/>
      <c r="M1480" s="100"/>
      <c r="N1480" s="100"/>
      <c r="O1480" s="100"/>
      <c r="P1480" s="100"/>
      <c r="Q1480" s="100"/>
      <c r="R1480" s="100"/>
      <c r="S1480" s="100"/>
      <c r="T1480" s="100"/>
      <c r="U1480" s="100"/>
      <c r="V1480" s="100"/>
      <c r="W1480" s="100"/>
      <c r="X1480" s="100"/>
      <c r="Y1480" s="100"/>
      <c r="Z1480" s="100"/>
    </row>
    <row r="1481" spans="1:26">
      <c r="A1481" s="100"/>
      <c r="B1481" s="100"/>
      <c r="C1481" s="100"/>
      <c r="D1481" s="100"/>
      <c r="E1481" s="100"/>
      <c r="F1481" s="100"/>
      <c r="G1481" s="100"/>
      <c r="H1481" s="100"/>
      <c r="I1481" s="100"/>
      <c r="J1481" s="100"/>
      <c r="K1481" s="100"/>
      <c r="L1481" s="100"/>
      <c r="M1481" s="100"/>
      <c r="N1481" s="100"/>
      <c r="O1481" s="100"/>
      <c r="P1481" s="100"/>
      <c r="Q1481" s="100"/>
      <c r="R1481" s="100"/>
      <c r="S1481" s="100"/>
      <c r="T1481" s="100"/>
      <c r="U1481" s="100"/>
      <c r="V1481" s="100"/>
      <c r="W1481" s="100"/>
      <c r="X1481" s="100"/>
      <c r="Y1481" s="100"/>
      <c r="Z1481" s="100"/>
    </row>
    <row r="1482" spans="1:26">
      <c r="A1482" s="100"/>
      <c r="B1482" s="100"/>
      <c r="C1482" s="100"/>
      <c r="D1482" s="100"/>
      <c r="E1482" s="100"/>
      <c r="F1482" s="100"/>
      <c r="G1482" s="100"/>
      <c r="H1482" s="100"/>
      <c r="I1482" s="100"/>
      <c r="J1482" s="100"/>
      <c r="K1482" s="100"/>
      <c r="L1482" s="100"/>
      <c r="M1482" s="100"/>
      <c r="N1482" s="100"/>
      <c r="O1482" s="100"/>
      <c r="P1482" s="100"/>
      <c r="Q1482" s="100"/>
      <c r="R1482" s="100"/>
      <c r="S1482" s="100"/>
      <c r="T1482" s="100"/>
      <c r="U1482" s="100"/>
      <c r="V1482" s="100"/>
      <c r="W1482" s="100"/>
      <c r="X1482" s="100"/>
      <c r="Y1482" s="100"/>
      <c r="Z1482" s="100"/>
    </row>
    <row r="1483" spans="1:26">
      <c r="A1483" s="100"/>
      <c r="B1483" s="100"/>
      <c r="C1483" s="100"/>
      <c r="D1483" s="100"/>
      <c r="E1483" s="100"/>
      <c r="F1483" s="100"/>
      <c r="G1483" s="100"/>
      <c r="H1483" s="100"/>
      <c r="I1483" s="100"/>
      <c r="J1483" s="100"/>
      <c r="K1483" s="100"/>
      <c r="L1483" s="100"/>
      <c r="M1483" s="100"/>
      <c r="N1483" s="100"/>
      <c r="O1483" s="100"/>
      <c r="P1483" s="100"/>
      <c r="Q1483" s="100"/>
      <c r="R1483" s="100"/>
      <c r="S1483" s="100"/>
      <c r="T1483" s="100"/>
      <c r="U1483" s="100"/>
      <c r="V1483" s="100"/>
      <c r="W1483" s="100"/>
      <c r="X1483" s="100"/>
      <c r="Y1483" s="100"/>
      <c r="Z1483" s="100"/>
    </row>
    <row r="1484" spans="1:26">
      <c r="A1484" s="100"/>
      <c r="B1484" s="100"/>
      <c r="C1484" s="100"/>
      <c r="D1484" s="100"/>
      <c r="E1484" s="100"/>
      <c r="F1484" s="100"/>
      <c r="G1484" s="100"/>
      <c r="H1484" s="100"/>
      <c r="I1484" s="100"/>
      <c r="J1484" s="100"/>
      <c r="K1484" s="100"/>
      <c r="L1484" s="100"/>
      <c r="M1484" s="100"/>
      <c r="N1484" s="100"/>
      <c r="O1484" s="100"/>
      <c r="P1484" s="100"/>
      <c r="Q1484" s="100"/>
      <c r="R1484" s="100"/>
      <c r="S1484" s="100"/>
      <c r="T1484" s="100"/>
      <c r="U1484" s="100"/>
      <c r="V1484" s="100"/>
      <c r="W1484" s="100"/>
      <c r="X1484" s="100"/>
      <c r="Y1484" s="100"/>
      <c r="Z1484" s="100"/>
    </row>
    <row r="1485" spans="1:26">
      <c r="A1485" s="100"/>
      <c r="B1485" s="100"/>
      <c r="C1485" s="100"/>
      <c r="D1485" s="100"/>
      <c r="E1485" s="100"/>
      <c r="F1485" s="100"/>
      <c r="G1485" s="100"/>
      <c r="H1485" s="100"/>
      <c r="I1485" s="100"/>
      <c r="J1485" s="100"/>
      <c r="K1485" s="100"/>
      <c r="L1485" s="100"/>
      <c r="M1485" s="100"/>
      <c r="N1485" s="100"/>
      <c r="O1485" s="100"/>
      <c r="P1485" s="100"/>
      <c r="Q1485" s="100"/>
      <c r="R1485" s="100"/>
      <c r="S1485" s="100"/>
      <c r="T1485" s="100"/>
      <c r="U1485" s="100"/>
      <c r="V1485" s="100"/>
      <c r="W1485" s="100"/>
      <c r="X1485" s="100"/>
      <c r="Y1485" s="100"/>
      <c r="Z1485" s="100"/>
    </row>
    <row r="1486" spans="1:26">
      <c r="A1486" s="100"/>
      <c r="B1486" s="100"/>
      <c r="C1486" s="100"/>
      <c r="D1486" s="100"/>
      <c r="E1486" s="100"/>
      <c r="F1486" s="100"/>
      <c r="G1486" s="100"/>
      <c r="H1486" s="100"/>
      <c r="I1486" s="100"/>
      <c r="J1486" s="100"/>
      <c r="K1486" s="100"/>
      <c r="L1486" s="100"/>
      <c r="M1486" s="100"/>
      <c r="N1486" s="100"/>
      <c r="O1486" s="100"/>
      <c r="P1486" s="100"/>
      <c r="Q1486" s="100"/>
      <c r="R1486" s="100"/>
      <c r="S1486" s="100"/>
      <c r="T1486" s="100"/>
      <c r="U1486" s="100"/>
      <c r="V1486" s="100"/>
      <c r="W1486" s="100"/>
      <c r="X1486" s="100"/>
      <c r="Y1486" s="100"/>
      <c r="Z1486" s="100"/>
    </row>
    <row r="1487" spans="1:26">
      <c r="A1487" s="100"/>
      <c r="B1487" s="100"/>
      <c r="C1487" s="100"/>
      <c r="D1487" s="100"/>
      <c r="E1487" s="100"/>
      <c r="F1487" s="100"/>
      <c r="G1487" s="100"/>
      <c r="H1487" s="100"/>
      <c r="I1487" s="100"/>
      <c r="J1487" s="100"/>
      <c r="K1487" s="100"/>
      <c r="L1487" s="100"/>
      <c r="M1487" s="100"/>
      <c r="N1487" s="100"/>
      <c r="O1487" s="100"/>
      <c r="P1487" s="100"/>
      <c r="Q1487" s="100"/>
      <c r="R1487" s="100"/>
      <c r="S1487" s="100"/>
      <c r="T1487" s="100"/>
      <c r="U1487" s="100"/>
      <c r="V1487" s="100"/>
      <c r="W1487" s="100"/>
      <c r="X1487" s="100"/>
      <c r="Y1487" s="100"/>
      <c r="Z1487" s="100"/>
    </row>
    <row r="1488" spans="1:26">
      <c r="A1488" s="100"/>
      <c r="B1488" s="100"/>
      <c r="C1488" s="100"/>
      <c r="D1488" s="100"/>
      <c r="E1488" s="100"/>
      <c r="F1488" s="100"/>
      <c r="G1488" s="100"/>
      <c r="H1488" s="100"/>
      <c r="I1488" s="100"/>
      <c r="J1488" s="100"/>
      <c r="K1488" s="100"/>
      <c r="L1488" s="100"/>
      <c r="M1488" s="100"/>
      <c r="N1488" s="100"/>
      <c r="O1488" s="100"/>
      <c r="P1488" s="100"/>
      <c r="Q1488" s="100"/>
      <c r="R1488" s="100"/>
      <c r="S1488" s="100"/>
      <c r="T1488" s="100"/>
      <c r="U1488" s="100"/>
      <c r="V1488" s="100"/>
      <c r="W1488" s="100"/>
      <c r="X1488" s="100"/>
      <c r="Y1488" s="100"/>
      <c r="Z1488" s="100"/>
    </row>
    <row r="1489" spans="1:26">
      <c r="A1489" s="100"/>
      <c r="B1489" s="100"/>
      <c r="C1489" s="100"/>
      <c r="D1489" s="100"/>
      <c r="E1489" s="100"/>
      <c r="F1489" s="100"/>
      <c r="G1489" s="100"/>
      <c r="H1489" s="100"/>
      <c r="I1489" s="100"/>
      <c r="J1489" s="100"/>
      <c r="K1489" s="100"/>
      <c r="L1489" s="100"/>
      <c r="M1489" s="100"/>
      <c r="N1489" s="100"/>
      <c r="O1489" s="100"/>
      <c r="P1489" s="100"/>
      <c r="Q1489" s="100"/>
      <c r="R1489" s="100"/>
      <c r="S1489" s="100"/>
      <c r="T1489" s="100"/>
      <c r="U1489" s="100"/>
      <c r="V1489" s="100"/>
      <c r="W1489" s="100"/>
      <c r="X1489" s="100"/>
      <c r="Y1489" s="100"/>
      <c r="Z1489" s="100"/>
    </row>
    <row r="1490" spans="1:26">
      <c r="A1490" s="100"/>
      <c r="B1490" s="100"/>
      <c r="C1490" s="100"/>
      <c r="D1490" s="100"/>
      <c r="E1490" s="100"/>
      <c r="F1490" s="100"/>
      <c r="G1490" s="100"/>
      <c r="H1490" s="100"/>
      <c r="I1490" s="100"/>
      <c r="J1490" s="100"/>
      <c r="K1490" s="100"/>
      <c r="L1490" s="100"/>
      <c r="M1490" s="100"/>
      <c r="N1490" s="100"/>
      <c r="O1490" s="100"/>
      <c r="P1490" s="100"/>
      <c r="Q1490" s="100"/>
      <c r="R1490" s="100"/>
      <c r="S1490" s="100"/>
      <c r="T1490" s="100"/>
      <c r="U1490" s="100"/>
      <c r="V1490" s="100"/>
      <c r="W1490" s="100"/>
      <c r="X1490" s="100"/>
      <c r="Y1490" s="100"/>
      <c r="Z1490" s="100"/>
    </row>
    <row r="1491" spans="1:26">
      <c r="A1491" s="100"/>
      <c r="B1491" s="100"/>
      <c r="C1491" s="100"/>
      <c r="D1491" s="100"/>
      <c r="E1491" s="100"/>
      <c r="F1491" s="100"/>
      <c r="G1491" s="100"/>
      <c r="H1491" s="100"/>
      <c r="I1491" s="100"/>
      <c r="J1491" s="100"/>
      <c r="K1491" s="100"/>
      <c r="L1491" s="100"/>
      <c r="M1491" s="100"/>
      <c r="N1491" s="100"/>
      <c r="O1491" s="100"/>
      <c r="P1491" s="100"/>
      <c r="Q1491" s="100"/>
      <c r="R1491" s="100"/>
      <c r="S1491" s="100"/>
      <c r="T1491" s="100"/>
      <c r="U1491" s="100"/>
      <c r="V1491" s="100"/>
      <c r="W1491" s="100"/>
      <c r="X1491" s="100"/>
      <c r="Y1491" s="100"/>
      <c r="Z1491" s="100"/>
    </row>
    <row r="1492" spans="1:26">
      <c r="A1492" s="100"/>
      <c r="B1492" s="100"/>
      <c r="C1492" s="100"/>
      <c r="D1492" s="100"/>
      <c r="E1492" s="100"/>
      <c r="F1492" s="100"/>
      <c r="G1492" s="100"/>
      <c r="H1492" s="100"/>
      <c r="I1492" s="100"/>
      <c r="J1492" s="100"/>
      <c r="K1492" s="100"/>
      <c r="L1492" s="100"/>
      <c r="M1492" s="100"/>
      <c r="N1492" s="100"/>
      <c r="O1492" s="100"/>
      <c r="P1492" s="100"/>
      <c r="Q1492" s="100"/>
      <c r="R1492" s="100"/>
      <c r="S1492" s="100"/>
      <c r="T1492" s="100"/>
      <c r="U1492" s="100"/>
      <c r="V1492" s="100"/>
      <c r="W1492" s="100"/>
      <c r="X1492" s="100"/>
      <c r="Y1492" s="100"/>
      <c r="Z1492" s="100"/>
    </row>
    <row r="1493" spans="1:26">
      <c r="A1493" s="100"/>
      <c r="B1493" s="100"/>
      <c r="C1493" s="100"/>
      <c r="D1493" s="100"/>
      <c r="E1493" s="100"/>
      <c r="F1493" s="100"/>
      <c r="G1493" s="100"/>
      <c r="H1493" s="100"/>
      <c r="I1493" s="100"/>
      <c r="J1493" s="100"/>
      <c r="K1493" s="100"/>
      <c r="L1493" s="100"/>
      <c r="M1493" s="100"/>
      <c r="N1493" s="100"/>
      <c r="O1493" s="100"/>
      <c r="P1493" s="100"/>
      <c r="Q1493" s="100"/>
      <c r="R1493" s="100"/>
      <c r="S1493" s="100"/>
      <c r="T1493" s="100"/>
      <c r="U1493" s="100"/>
      <c r="V1493" s="100"/>
      <c r="W1493" s="100"/>
      <c r="X1493" s="100"/>
      <c r="Y1493" s="100"/>
      <c r="Z1493" s="100"/>
    </row>
    <row r="1494" spans="1:26">
      <c r="A1494" s="100"/>
      <c r="B1494" s="100"/>
      <c r="C1494" s="100"/>
      <c r="D1494" s="100"/>
      <c r="E1494" s="100"/>
      <c r="F1494" s="100"/>
      <c r="G1494" s="100"/>
      <c r="H1494" s="100"/>
      <c r="I1494" s="100"/>
      <c r="J1494" s="100"/>
      <c r="K1494" s="100"/>
      <c r="L1494" s="100"/>
      <c r="M1494" s="100"/>
      <c r="N1494" s="100"/>
      <c r="O1494" s="100"/>
      <c r="P1494" s="100"/>
      <c r="Q1494" s="100"/>
      <c r="R1494" s="100"/>
      <c r="S1494" s="100"/>
      <c r="T1494" s="100"/>
      <c r="U1494" s="100"/>
      <c r="V1494" s="100"/>
      <c r="W1494" s="100"/>
      <c r="X1494" s="100"/>
      <c r="Y1494" s="100"/>
      <c r="Z1494" s="100"/>
    </row>
    <row r="1495" spans="1:26">
      <c r="A1495" s="100"/>
      <c r="B1495" s="100"/>
      <c r="C1495" s="100"/>
      <c r="D1495" s="100"/>
      <c r="E1495" s="100"/>
      <c r="F1495" s="100"/>
      <c r="G1495" s="100"/>
      <c r="H1495" s="100"/>
      <c r="I1495" s="100"/>
      <c r="J1495" s="100"/>
      <c r="K1495" s="100"/>
      <c r="L1495" s="100"/>
      <c r="M1495" s="100"/>
      <c r="N1495" s="100"/>
      <c r="O1495" s="100"/>
      <c r="P1495" s="100"/>
      <c r="Q1495" s="100"/>
      <c r="R1495" s="100"/>
      <c r="S1495" s="100"/>
      <c r="T1495" s="100"/>
      <c r="U1495" s="100"/>
      <c r="V1495" s="100"/>
      <c r="W1495" s="100"/>
      <c r="X1495" s="100"/>
      <c r="Y1495" s="100"/>
      <c r="Z1495" s="100"/>
    </row>
    <row r="1496" spans="1:26">
      <c r="A1496" s="100"/>
      <c r="B1496" s="100"/>
      <c r="C1496" s="100"/>
      <c r="D1496" s="100"/>
      <c r="E1496" s="100"/>
      <c r="F1496" s="100"/>
      <c r="G1496" s="100"/>
      <c r="H1496" s="100"/>
      <c r="I1496" s="100"/>
      <c r="J1496" s="100"/>
      <c r="K1496" s="100"/>
      <c r="L1496" s="100"/>
      <c r="M1496" s="100"/>
      <c r="N1496" s="100"/>
      <c r="O1496" s="100"/>
      <c r="P1496" s="100"/>
      <c r="Q1496" s="100"/>
      <c r="R1496" s="100"/>
      <c r="S1496" s="100"/>
      <c r="T1496" s="100"/>
      <c r="U1496" s="100"/>
      <c r="V1496" s="100"/>
      <c r="W1496" s="100"/>
      <c r="X1496" s="100"/>
      <c r="Y1496" s="100"/>
      <c r="Z1496" s="100"/>
    </row>
    <row r="1497" spans="1:26">
      <c r="A1497" s="100"/>
      <c r="B1497" s="100"/>
      <c r="C1497" s="100"/>
      <c r="D1497" s="100"/>
      <c r="E1497" s="100"/>
      <c r="F1497" s="100"/>
      <c r="G1497" s="100"/>
      <c r="H1497" s="100"/>
      <c r="I1497" s="100"/>
      <c r="J1497" s="100"/>
      <c r="K1497" s="100"/>
      <c r="L1497" s="100"/>
      <c r="M1497" s="100"/>
      <c r="N1497" s="100"/>
      <c r="O1497" s="100"/>
      <c r="P1497" s="100"/>
      <c r="Q1497" s="100"/>
      <c r="R1497" s="100"/>
      <c r="S1497" s="100"/>
      <c r="T1497" s="100"/>
      <c r="U1497" s="100"/>
      <c r="V1497" s="100"/>
      <c r="W1497" s="100"/>
      <c r="X1497" s="100"/>
      <c r="Y1497" s="100"/>
      <c r="Z1497" s="100"/>
    </row>
    <row r="1498" spans="1:26">
      <c r="A1498" s="100"/>
      <c r="B1498" s="100"/>
      <c r="C1498" s="100"/>
      <c r="D1498" s="100"/>
      <c r="E1498" s="100"/>
      <c r="F1498" s="100"/>
      <c r="G1498" s="100"/>
      <c r="H1498" s="100"/>
      <c r="I1498" s="100"/>
      <c r="J1498" s="100"/>
      <c r="K1498" s="100"/>
      <c r="L1498" s="100"/>
      <c r="M1498" s="100"/>
      <c r="N1498" s="100"/>
      <c r="O1498" s="100"/>
      <c r="P1498" s="100"/>
      <c r="Q1498" s="100"/>
      <c r="R1498" s="100"/>
      <c r="S1498" s="100"/>
      <c r="T1498" s="100"/>
      <c r="U1498" s="100"/>
      <c r="V1498" s="100"/>
      <c r="W1498" s="100"/>
      <c r="X1498" s="100"/>
      <c r="Y1498" s="100"/>
      <c r="Z1498" s="100"/>
    </row>
    <row r="1499" spans="1:26">
      <c r="A1499" s="100"/>
      <c r="B1499" s="100"/>
      <c r="C1499" s="100"/>
      <c r="D1499" s="100"/>
      <c r="E1499" s="100"/>
      <c r="F1499" s="100"/>
      <c r="G1499" s="100"/>
      <c r="H1499" s="100"/>
      <c r="I1499" s="100"/>
      <c r="J1499" s="100"/>
      <c r="K1499" s="100"/>
      <c r="L1499" s="100"/>
      <c r="M1499" s="100"/>
      <c r="N1499" s="100"/>
      <c r="O1499" s="100"/>
      <c r="P1499" s="100"/>
      <c r="Q1499" s="100"/>
      <c r="R1499" s="100"/>
      <c r="S1499" s="100"/>
      <c r="T1499" s="100"/>
      <c r="U1499" s="100"/>
      <c r="V1499" s="100"/>
      <c r="W1499" s="100"/>
      <c r="X1499" s="100"/>
      <c r="Y1499" s="100"/>
      <c r="Z1499" s="100"/>
    </row>
    <row r="1500" spans="1:26">
      <c r="A1500" s="100"/>
      <c r="B1500" s="100"/>
      <c r="C1500" s="100"/>
      <c r="D1500" s="100"/>
      <c r="E1500" s="100"/>
      <c r="F1500" s="100"/>
      <c r="G1500" s="100"/>
      <c r="H1500" s="100"/>
      <c r="I1500" s="100"/>
      <c r="J1500" s="100"/>
      <c r="K1500" s="100"/>
      <c r="L1500" s="100"/>
      <c r="M1500" s="100"/>
      <c r="N1500" s="100"/>
      <c r="O1500" s="100"/>
      <c r="P1500" s="100"/>
      <c r="Q1500" s="100"/>
      <c r="R1500" s="100"/>
      <c r="S1500" s="100"/>
      <c r="T1500" s="100"/>
      <c r="U1500" s="100"/>
      <c r="V1500" s="100"/>
      <c r="W1500" s="100"/>
      <c r="X1500" s="100"/>
      <c r="Y1500" s="100"/>
      <c r="Z1500" s="100"/>
    </row>
    <row r="1501" spans="1:26">
      <c r="A1501" s="100"/>
      <c r="B1501" s="100"/>
      <c r="C1501" s="100"/>
      <c r="D1501" s="100"/>
      <c r="E1501" s="100"/>
      <c r="F1501" s="100"/>
      <c r="G1501" s="100"/>
      <c r="H1501" s="100"/>
      <c r="I1501" s="100"/>
      <c r="J1501" s="100"/>
      <c r="K1501" s="100"/>
      <c r="L1501" s="100"/>
      <c r="M1501" s="100"/>
      <c r="N1501" s="100"/>
      <c r="O1501" s="100"/>
      <c r="P1501" s="100"/>
      <c r="Q1501" s="100"/>
      <c r="R1501" s="100"/>
      <c r="S1501" s="100"/>
      <c r="T1501" s="100"/>
      <c r="U1501" s="100"/>
      <c r="V1501" s="100"/>
      <c r="W1501" s="100"/>
      <c r="X1501" s="100"/>
      <c r="Y1501" s="100"/>
      <c r="Z1501" s="100"/>
    </row>
    <row r="1502" spans="1:26">
      <c r="A1502" s="100"/>
      <c r="B1502" s="100"/>
      <c r="C1502" s="100"/>
      <c r="D1502" s="100"/>
      <c r="E1502" s="100"/>
      <c r="F1502" s="100"/>
      <c r="G1502" s="100"/>
      <c r="H1502" s="100"/>
      <c r="I1502" s="100"/>
      <c r="J1502" s="100"/>
      <c r="K1502" s="100"/>
      <c r="L1502" s="100"/>
      <c r="M1502" s="100"/>
      <c r="N1502" s="100"/>
      <c r="O1502" s="100"/>
      <c r="P1502" s="100"/>
      <c r="Q1502" s="100"/>
      <c r="R1502" s="100"/>
      <c r="S1502" s="100"/>
      <c r="T1502" s="100"/>
      <c r="U1502" s="100"/>
      <c r="V1502" s="100"/>
      <c r="W1502" s="100"/>
      <c r="X1502" s="100"/>
      <c r="Y1502" s="100"/>
      <c r="Z1502" s="100"/>
    </row>
    <row r="1503" spans="1:26">
      <c r="A1503" s="100"/>
      <c r="B1503" s="100"/>
      <c r="C1503" s="100"/>
      <c r="D1503" s="100"/>
      <c r="E1503" s="100"/>
      <c r="F1503" s="100"/>
      <c r="G1503" s="100"/>
      <c r="H1503" s="100"/>
      <c r="I1503" s="100"/>
      <c r="J1503" s="100"/>
      <c r="K1503" s="100"/>
      <c r="L1503" s="100"/>
      <c r="M1503" s="100"/>
      <c r="N1503" s="100"/>
      <c r="O1503" s="100"/>
      <c r="P1503" s="100"/>
      <c r="Q1503" s="100"/>
      <c r="R1503" s="100"/>
      <c r="S1503" s="100"/>
      <c r="T1503" s="100"/>
      <c r="U1503" s="100"/>
      <c r="V1503" s="100"/>
      <c r="W1503" s="100"/>
      <c r="X1503" s="100"/>
      <c r="Y1503" s="100"/>
      <c r="Z1503" s="100"/>
    </row>
    <row r="1504" spans="1:26">
      <c r="A1504" s="100"/>
      <c r="B1504" s="100"/>
      <c r="C1504" s="100"/>
      <c r="D1504" s="100"/>
      <c r="E1504" s="100"/>
      <c r="F1504" s="100"/>
      <c r="G1504" s="100"/>
      <c r="H1504" s="100"/>
      <c r="I1504" s="100"/>
      <c r="J1504" s="100"/>
      <c r="K1504" s="100"/>
      <c r="L1504" s="100"/>
      <c r="M1504" s="100"/>
      <c r="N1504" s="100"/>
      <c r="O1504" s="100"/>
      <c r="P1504" s="100"/>
      <c r="Q1504" s="100"/>
      <c r="R1504" s="100"/>
      <c r="S1504" s="100"/>
      <c r="T1504" s="100"/>
      <c r="U1504" s="100"/>
      <c r="V1504" s="100"/>
      <c r="W1504" s="100"/>
      <c r="X1504" s="100"/>
      <c r="Y1504" s="100"/>
      <c r="Z1504" s="100"/>
    </row>
    <row r="1505" spans="1:26">
      <c r="A1505" s="100"/>
      <c r="B1505" s="100"/>
      <c r="C1505" s="100"/>
      <c r="D1505" s="100"/>
      <c r="E1505" s="100"/>
      <c r="F1505" s="100"/>
      <c r="G1505" s="100"/>
      <c r="H1505" s="100"/>
      <c r="I1505" s="100"/>
      <c r="J1505" s="100"/>
      <c r="K1505" s="100"/>
      <c r="L1505" s="100"/>
      <c r="M1505" s="100"/>
      <c r="N1505" s="100"/>
      <c r="O1505" s="100"/>
      <c r="P1505" s="100"/>
      <c r="Q1505" s="100"/>
      <c r="R1505" s="100"/>
      <c r="S1505" s="100"/>
      <c r="T1505" s="100"/>
      <c r="U1505" s="100"/>
      <c r="V1505" s="100"/>
      <c r="W1505" s="100"/>
      <c r="X1505" s="100"/>
      <c r="Y1505" s="100"/>
      <c r="Z1505" s="100"/>
    </row>
    <row r="1506" spans="1:26">
      <c r="A1506" s="100"/>
      <c r="B1506" s="100"/>
      <c r="C1506" s="100"/>
      <c r="D1506" s="100"/>
      <c r="E1506" s="100"/>
      <c r="F1506" s="100"/>
      <c r="G1506" s="100"/>
      <c r="H1506" s="100"/>
      <c r="I1506" s="100"/>
      <c r="J1506" s="100"/>
      <c r="K1506" s="100"/>
      <c r="L1506" s="100"/>
      <c r="M1506" s="100"/>
      <c r="N1506" s="100"/>
      <c r="O1506" s="100"/>
      <c r="P1506" s="100"/>
      <c r="Q1506" s="100"/>
      <c r="R1506" s="100"/>
      <c r="S1506" s="100"/>
      <c r="T1506" s="100"/>
      <c r="U1506" s="100"/>
      <c r="V1506" s="100"/>
      <c r="W1506" s="100"/>
      <c r="X1506" s="100"/>
      <c r="Y1506" s="100"/>
      <c r="Z1506" s="100"/>
    </row>
    <row r="1507" spans="1:26">
      <c r="A1507" s="100"/>
      <c r="B1507" s="100"/>
      <c r="C1507" s="100"/>
      <c r="D1507" s="100"/>
      <c r="E1507" s="100"/>
      <c r="F1507" s="100"/>
      <c r="G1507" s="100"/>
      <c r="H1507" s="100"/>
      <c r="I1507" s="100"/>
      <c r="J1507" s="100"/>
      <c r="K1507" s="100"/>
      <c r="L1507" s="100"/>
      <c r="M1507" s="100"/>
      <c r="N1507" s="100"/>
      <c r="O1507" s="100"/>
      <c r="P1507" s="100"/>
      <c r="Q1507" s="100"/>
      <c r="R1507" s="100"/>
      <c r="S1507" s="100"/>
      <c r="T1507" s="100"/>
      <c r="U1507" s="100"/>
      <c r="V1507" s="100"/>
      <c r="W1507" s="100"/>
      <c r="X1507" s="100"/>
      <c r="Y1507" s="100"/>
      <c r="Z1507" s="100"/>
    </row>
    <row r="1508" spans="1:26">
      <c r="A1508" s="100"/>
      <c r="B1508" s="100"/>
      <c r="C1508" s="100"/>
      <c r="D1508" s="100"/>
      <c r="E1508" s="100"/>
      <c r="F1508" s="100"/>
      <c r="G1508" s="100"/>
      <c r="H1508" s="100"/>
      <c r="I1508" s="100"/>
      <c r="J1508" s="100"/>
      <c r="K1508" s="100"/>
      <c r="L1508" s="100"/>
      <c r="M1508" s="100"/>
      <c r="N1508" s="100"/>
      <c r="O1508" s="100"/>
      <c r="P1508" s="100"/>
      <c r="Q1508" s="100"/>
      <c r="R1508" s="100"/>
      <c r="S1508" s="100"/>
      <c r="T1508" s="100"/>
      <c r="U1508" s="100"/>
      <c r="V1508" s="100"/>
      <c r="W1508" s="100"/>
      <c r="X1508" s="100"/>
      <c r="Y1508" s="100"/>
      <c r="Z1508" s="100"/>
    </row>
    <row r="1509" spans="1:26">
      <c r="A1509" s="100"/>
      <c r="B1509" s="100"/>
      <c r="C1509" s="100"/>
      <c r="D1509" s="100"/>
      <c r="E1509" s="100"/>
      <c r="F1509" s="100"/>
      <c r="G1509" s="100"/>
      <c r="H1509" s="100"/>
      <c r="I1509" s="100"/>
      <c r="J1509" s="100"/>
      <c r="K1509" s="100"/>
      <c r="L1509" s="100"/>
      <c r="M1509" s="100"/>
      <c r="N1509" s="100"/>
      <c r="O1509" s="100"/>
      <c r="P1509" s="100"/>
      <c r="Q1509" s="100"/>
      <c r="R1509" s="100"/>
      <c r="S1509" s="100"/>
      <c r="T1509" s="100"/>
      <c r="U1509" s="100"/>
      <c r="V1509" s="100"/>
      <c r="W1509" s="100"/>
      <c r="X1509" s="100"/>
      <c r="Y1509" s="100"/>
      <c r="Z1509" s="100"/>
    </row>
    <row r="1510" spans="1:26">
      <c r="A1510" s="100"/>
      <c r="B1510" s="100"/>
      <c r="C1510" s="100"/>
      <c r="D1510" s="100"/>
      <c r="E1510" s="100"/>
      <c r="F1510" s="100"/>
      <c r="G1510" s="100"/>
      <c r="H1510" s="100"/>
      <c r="I1510" s="100"/>
      <c r="J1510" s="100"/>
      <c r="K1510" s="100"/>
      <c r="L1510" s="100"/>
      <c r="M1510" s="100"/>
      <c r="N1510" s="100"/>
      <c r="O1510" s="100"/>
      <c r="P1510" s="100"/>
      <c r="Q1510" s="100"/>
      <c r="R1510" s="100"/>
      <c r="S1510" s="100"/>
      <c r="T1510" s="100"/>
      <c r="U1510" s="100"/>
      <c r="V1510" s="100"/>
      <c r="W1510" s="100"/>
      <c r="X1510" s="100"/>
      <c r="Y1510" s="100"/>
      <c r="Z1510" s="100"/>
    </row>
    <row r="1511" spans="1:26">
      <c r="A1511" s="100"/>
      <c r="B1511" s="100"/>
      <c r="C1511" s="100"/>
      <c r="D1511" s="100"/>
      <c r="E1511" s="100"/>
      <c r="F1511" s="100"/>
      <c r="G1511" s="100"/>
      <c r="H1511" s="100"/>
      <c r="I1511" s="100"/>
      <c r="J1511" s="100"/>
      <c r="K1511" s="100"/>
      <c r="L1511" s="100"/>
      <c r="M1511" s="100"/>
      <c r="N1511" s="100"/>
      <c r="O1511" s="100"/>
      <c r="P1511" s="100"/>
      <c r="Q1511" s="100"/>
      <c r="R1511" s="100"/>
      <c r="S1511" s="100"/>
      <c r="T1511" s="100"/>
      <c r="U1511" s="100"/>
      <c r="V1511" s="100"/>
      <c r="W1511" s="100"/>
      <c r="X1511" s="100"/>
      <c r="Y1511" s="100"/>
      <c r="Z1511" s="100"/>
    </row>
    <row r="1512" spans="1:26">
      <c r="A1512" s="100"/>
      <c r="B1512" s="100"/>
      <c r="C1512" s="100"/>
      <c r="D1512" s="100"/>
      <c r="E1512" s="100"/>
      <c r="F1512" s="100"/>
      <c r="G1512" s="100"/>
      <c r="H1512" s="100"/>
      <c r="I1512" s="100"/>
      <c r="J1512" s="100"/>
      <c r="K1512" s="100"/>
      <c r="L1512" s="100"/>
      <c r="M1512" s="100"/>
      <c r="N1512" s="100"/>
      <c r="O1512" s="100"/>
      <c r="P1512" s="100"/>
      <c r="Q1512" s="100"/>
      <c r="R1512" s="100"/>
      <c r="S1512" s="100"/>
      <c r="T1512" s="100"/>
      <c r="U1512" s="100"/>
      <c r="V1512" s="100"/>
      <c r="W1512" s="100"/>
      <c r="X1512" s="100"/>
      <c r="Y1512" s="100"/>
      <c r="Z1512" s="100"/>
    </row>
    <row r="1513" spans="1:26">
      <c r="A1513" s="100"/>
      <c r="B1513" s="100"/>
      <c r="C1513" s="100"/>
      <c r="D1513" s="100"/>
      <c r="E1513" s="100"/>
      <c r="F1513" s="100"/>
      <c r="G1513" s="100"/>
      <c r="H1513" s="100"/>
      <c r="I1513" s="100"/>
      <c r="J1513" s="100"/>
      <c r="K1513" s="100"/>
      <c r="L1513" s="100"/>
      <c r="M1513" s="100"/>
      <c r="N1513" s="100"/>
      <c r="O1513" s="100"/>
      <c r="P1513" s="100"/>
      <c r="Q1513" s="100"/>
      <c r="R1513" s="100"/>
      <c r="S1513" s="100"/>
      <c r="T1513" s="100"/>
      <c r="U1513" s="100"/>
      <c r="V1513" s="100"/>
      <c r="W1513" s="100"/>
      <c r="X1513" s="100"/>
      <c r="Y1513" s="100"/>
      <c r="Z1513" s="100"/>
    </row>
    <row r="1514" spans="1:26">
      <c r="A1514" s="100"/>
      <c r="B1514" s="100"/>
      <c r="C1514" s="100"/>
      <c r="D1514" s="100"/>
      <c r="E1514" s="100"/>
      <c r="F1514" s="100"/>
      <c r="G1514" s="100"/>
      <c r="H1514" s="100"/>
      <c r="I1514" s="100"/>
      <c r="J1514" s="100"/>
      <c r="K1514" s="100"/>
      <c r="L1514" s="100"/>
      <c r="M1514" s="100"/>
      <c r="N1514" s="100"/>
      <c r="O1514" s="100"/>
      <c r="P1514" s="100"/>
      <c r="Q1514" s="100"/>
      <c r="R1514" s="100"/>
      <c r="S1514" s="100"/>
      <c r="T1514" s="100"/>
      <c r="U1514" s="100"/>
      <c r="V1514" s="100"/>
      <c r="W1514" s="100"/>
      <c r="X1514" s="100"/>
      <c r="Y1514" s="100"/>
      <c r="Z1514" s="100"/>
    </row>
    <row r="1515" spans="1:26">
      <c r="A1515" s="100"/>
      <c r="B1515" s="100"/>
      <c r="C1515" s="100"/>
      <c r="D1515" s="100"/>
      <c r="E1515" s="100"/>
      <c r="F1515" s="100"/>
      <c r="G1515" s="100"/>
      <c r="H1515" s="100"/>
      <c r="I1515" s="100"/>
      <c r="J1515" s="100"/>
      <c r="K1515" s="100"/>
      <c r="L1515" s="100"/>
      <c r="M1515" s="100"/>
      <c r="N1515" s="100"/>
      <c r="O1515" s="100"/>
      <c r="P1515" s="100"/>
      <c r="Q1515" s="100"/>
      <c r="R1515" s="100"/>
      <c r="S1515" s="100"/>
      <c r="T1515" s="100"/>
      <c r="U1515" s="100"/>
      <c r="V1515" s="100"/>
      <c r="W1515" s="100"/>
      <c r="X1515" s="100"/>
      <c r="Y1515" s="100"/>
      <c r="Z1515" s="100"/>
    </row>
    <row r="1516" spans="1:26">
      <c r="A1516" s="100"/>
      <c r="B1516" s="100"/>
      <c r="C1516" s="100"/>
      <c r="D1516" s="100"/>
      <c r="E1516" s="100"/>
      <c r="F1516" s="100"/>
      <c r="G1516" s="100"/>
      <c r="H1516" s="100"/>
      <c r="I1516" s="100"/>
      <c r="J1516" s="100"/>
      <c r="K1516" s="100"/>
      <c r="L1516" s="100"/>
      <c r="M1516" s="100"/>
      <c r="N1516" s="100"/>
      <c r="O1516" s="100"/>
      <c r="P1516" s="100"/>
      <c r="Q1516" s="100"/>
      <c r="R1516" s="100"/>
      <c r="S1516" s="100"/>
      <c r="T1516" s="100"/>
      <c r="U1516" s="100"/>
      <c r="V1516" s="100"/>
      <c r="W1516" s="100"/>
      <c r="X1516" s="100"/>
      <c r="Y1516" s="100"/>
      <c r="Z1516" s="100"/>
    </row>
    <row r="1517" spans="1:26">
      <c r="A1517" s="100"/>
      <c r="B1517" s="100"/>
      <c r="C1517" s="100"/>
      <c r="D1517" s="100"/>
      <c r="E1517" s="100"/>
      <c r="F1517" s="100"/>
      <c r="G1517" s="100"/>
      <c r="H1517" s="100"/>
      <c r="I1517" s="100"/>
      <c r="J1517" s="100"/>
      <c r="K1517" s="100"/>
      <c r="L1517" s="100"/>
      <c r="M1517" s="100"/>
      <c r="N1517" s="100"/>
      <c r="O1517" s="100"/>
      <c r="P1517" s="100"/>
      <c r="Q1517" s="100"/>
      <c r="R1517" s="100"/>
      <c r="S1517" s="100"/>
      <c r="T1517" s="100"/>
      <c r="U1517" s="100"/>
      <c r="V1517" s="100"/>
      <c r="W1517" s="100"/>
      <c r="X1517" s="100"/>
      <c r="Y1517" s="100"/>
      <c r="Z1517" s="100"/>
    </row>
    <row r="1518" spans="1:26">
      <c r="A1518" s="100"/>
      <c r="B1518" s="100"/>
      <c r="C1518" s="100"/>
      <c r="D1518" s="100"/>
      <c r="E1518" s="100"/>
      <c r="F1518" s="100"/>
      <c r="G1518" s="100"/>
      <c r="H1518" s="100"/>
      <c r="I1518" s="100"/>
      <c r="J1518" s="100"/>
      <c r="K1518" s="100"/>
      <c r="L1518" s="100"/>
      <c r="M1518" s="100"/>
      <c r="N1518" s="100"/>
      <c r="O1518" s="100"/>
      <c r="P1518" s="100"/>
      <c r="Q1518" s="100"/>
      <c r="R1518" s="100"/>
      <c r="S1518" s="100"/>
      <c r="T1518" s="100"/>
      <c r="U1518" s="100"/>
      <c r="V1518" s="100"/>
      <c r="W1518" s="100"/>
      <c r="X1518" s="100"/>
      <c r="Y1518" s="100"/>
      <c r="Z1518" s="100"/>
    </row>
    <row r="1519" spans="1:26">
      <c r="A1519" s="100"/>
      <c r="B1519" s="100"/>
      <c r="C1519" s="100"/>
      <c r="D1519" s="100"/>
      <c r="E1519" s="100"/>
      <c r="F1519" s="100"/>
      <c r="G1519" s="100"/>
      <c r="H1519" s="100"/>
      <c r="I1519" s="100"/>
      <c r="J1519" s="100"/>
      <c r="K1519" s="100"/>
      <c r="L1519" s="100"/>
      <c r="M1519" s="100"/>
      <c r="N1519" s="100"/>
      <c r="O1519" s="100"/>
      <c r="P1519" s="100"/>
      <c r="Q1519" s="100"/>
      <c r="R1519" s="100"/>
      <c r="S1519" s="100"/>
      <c r="T1519" s="100"/>
      <c r="U1519" s="100"/>
      <c r="V1519" s="100"/>
      <c r="W1519" s="100"/>
      <c r="X1519" s="100"/>
      <c r="Y1519" s="100"/>
      <c r="Z1519" s="100"/>
    </row>
    <row r="1520" spans="1:26">
      <c r="A1520" s="100"/>
      <c r="B1520" s="100"/>
      <c r="C1520" s="100"/>
      <c r="D1520" s="100"/>
      <c r="E1520" s="100"/>
      <c r="F1520" s="100"/>
      <c r="G1520" s="100"/>
      <c r="H1520" s="100"/>
      <c r="I1520" s="100"/>
      <c r="J1520" s="100"/>
      <c r="K1520" s="100"/>
      <c r="L1520" s="100"/>
      <c r="M1520" s="100"/>
      <c r="N1520" s="100"/>
      <c r="O1520" s="100"/>
      <c r="P1520" s="100"/>
      <c r="Q1520" s="100"/>
      <c r="R1520" s="100"/>
      <c r="S1520" s="100"/>
      <c r="T1520" s="100"/>
      <c r="U1520" s="100"/>
      <c r="V1520" s="100"/>
      <c r="W1520" s="100"/>
      <c r="X1520" s="100"/>
      <c r="Y1520" s="100"/>
      <c r="Z1520" s="100"/>
    </row>
    <row r="1521" spans="1:26">
      <c r="A1521" s="100"/>
      <c r="B1521" s="100"/>
      <c r="C1521" s="100"/>
      <c r="D1521" s="100"/>
      <c r="E1521" s="100"/>
      <c r="F1521" s="100"/>
      <c r="G1521" s="100"/>
      <c r="H1521" s="100"/>
      <c r="I1521" s="100"/>
      <c r="J1521" s="100"/>
      <c r="K1521" s="100"/>
      <c r="L1521" s="100"/>
      <c r="M1521" s="100"/>
      <c r="N1521" s="100"/>
      <c r="O1521" s="100"/>
      <c r="P1521" s="100"/>
      <c r="Q1521" s="100"/>
      <c r="R1521" s="100"/>
      <c r="S1521" s="100"/>
      <c r="T1521" s="100"/>
      <c r="U1521" s="100"/>
      <c r="V1521" s="100"/>
      <c r="W1521" s="100"/>
      <c r="X1521" s="100"/>
      <c r="Y1521" s="100"/>
      <c r="Z1521" s="100"/>
    </row>
    <row r="1522" spans="1:26">
      <c r="A1522" s="100"/>
      <c r="B1522" s="100"/>
      <c r="C1522" s="100"/>
      <c r="D1522" s="100"/>
      <c r="E1522" s="100"/>
      <c r="F1522" s="100"/>
      <c r="G1522" s="100"/>
      <c r="H1522" s="100"/>
      <c r="I1522" s="100"/>
      <c r="J1522" s="100"/>
      <c r="K1522" s="100"/>
      <c r="L1522" s="100"/>
      <c r="M1522" s="100"/>
      <c r="N1522" s="100"/>
      <c r="O1522" s="100"/>
      <c r="P1522" s="100"/>
      <c r="Q1522" s="100"/>
      <c r="R1522" s="100"/>
      <c r="S1522" s="100"/>
      <c r="T1522" s="100"/>
      <c r="U1522" s="100"/>
      <c r="V1522" s="100"/>
      <c r="W1522" s="100"/>
      <c r="X1522" s="100"/>
      <c r="Y1522" s="100"/>
      <c r="Z1522" s="100"/>
    </row>
    <row r="1523" spans="1:26">
      <c r="A1523" s="100"/>
      <c r="B1523" s="100"/>
      <c r="C1523" s="100"/>
      <c r="D1523" s="100"/>
      <c r="E1523" s="100"/>
      <c r="F1523" s="100"/>
      <c r="G1523" s="100"/>
      <c r="H1523" s="100"/>
      <c r="I1523" s="100"/>
      <c r="J1523" s="100"/>
      <c r="K1523" s="100"/>
      <c r="L1523" s="100"/>
      <c r="M1523" s="100"/>
      <c r="N1523" s="100"/>
      <c r="O1523" s="100"/>
      <c r="P1523" s="100"/>
      <c r="Q1523" s="100"/>
      <c r="R1523" s="100"/>
      <c r="S1523" s="100"/>
      <c r="T1523" s="100"/>
      <c r="U1523" s="100"/>
      <c r="V1523" s="100"/>
      <c r="W1523" s="100"/>
      <c r="X1523" s="100"/>
      <c r="Y1523" s="100"/>
      <c r="Z1523" s="100"/>
    </row>
    <row r="1524" spans="1:26">
      <c r="A1524" s="100"/>
      <c r="B1524" s="100"/>
      <c r="C1524" s="100"/>
      <c r="D1524" s="100"/>
      <c r="E1524" s="100"/>
      <c r="F1524" s="100"/>
      <c r="G1524" s="100"/>
      <c r="H1524" s="100"/>
      <c r="I1524" s="100"/>
      <c r="J1524" s="100"/>
      <c r="K1524" s="100"/>
      <c r="L1524" s="100"/>
      <c r="M1524" s="100"/>
      <c r="N1524" s="100"/>
      <c r="O1524" s="100"/>
      <c r="P1524" s="100"/>
      <c r="Q1524" s="100"/>
      <c r="R1524" s="100"/>
      <c r="S1524" s="100"/>
      <c r="T1524" s="100"/>
      <c r="U1524" s="100"/>
      <c r="V1524" s="100"/>
      <c r="W1524" s="100"/>
      <c r="X1524" s="100"/>
      <c r="Y1524" s="100"/>
      <c r="Z1524" s="100"/>
    </row>
    <row r="1525" spans="1:26">
      <c r="A1525" s="100"/>
      <c r="B1525" s="100"/>
      <c r="C1525" s="100"/>
      <c r="D1525" s="100"/>
      <c r="E1525" s="100"/>
      <c r="F1525" s="100"/>
      <c r="G1525" s="100"/>
      <c r="H1525" s="100"/>
      <c r="I1525" s="100"/>
      <c r="J1525" s="100"/>
      <c r="K1525" s="100"/>
      <c r="L1525" s="100"/>
      <c r="M1525" s="100"/>
      <c r="N1525" s="100"/>
      <c r="O1525" s="100"/>
      <c r="P1525" s="100"/>
      <c r="Q1525" s="100"/>
      <c r="R1525" s="100"/>
      <c r="S1525" s="100"/>
      <c r="T1525" s="100"/>
      <c r="U1525" s="100"/>
      <c r="V1525" s="100"/>
      <c r="W1525" s="100"/>
      <c r="X1525" s="100"/>
      <c r="Y1525" s="100"/>
      <c r="Z1525" s="100"/>
    </row>
    <row r="1526" spans="1:26">
      <c r="A1526" s="100"/>
      <c r="B1526" s="100"/>
      <c r="C1526" s="100"/>
      <c r="D1526" s="100"/>
      <c r="E1526" s="100"/>
      <c r="F1526" s="100"/>
      <c r="G1526" s="100"/>
      <c r="H1526" s="100"/>
      <c r="I1526" s="100"/>
      <c r="J1526" s="100"/>
      <c r="K1526" s="100"/>
      <c r="L1526" s="100"/>
      <c r="M1526" s="100"/>
      <c r="N1526" s="100"/>
      <c r="O1526" s="100"/>
      <c r="P1526" s="100"/>
      <c r="Q1526" s="100"/>
      <c r="R1526" s="100"/>
      <c r="S1526" s="100"/>
      <c r="T1526" s="100"/>
      <c r="U1526" s="100"/>
      <c r="V1526" s="100"/>
      <c r="W1526" s="100"/>
      <c r="X1526" s="100"/>
      <c r="Y1526" s="100"/>
      <c r="Z1526" s="100"/>
    </row>
    <row r="1527" spans="1:26">
      <c r="A1527" s="100"/>
      <c r="B1527" s="100"/>
      <c r="C1527" s="100"/>
      <c r="D1527" s="100"/>
      <c r="E1527" s="100"/>
      <c r="F1527" s="100"/>
      <c r="G1527" s="100"/>
      <c r="H1527" s="100"/>
      <c r="I1527" s="100"/>
      <c r="J1527" s="100"/>
      <c r="K1527" s="100"/>
      <c r="L1527" s="100"/>
      <c r="M1527" s="100"/>
      <c r="N1527" s="100"/>
      <c r="O1527" s="100"/>
      <c r="P1527" s="100"/>
      <c r="Q1527" s="100"/>
      <c r="R1527" s="100"/>
      <c r="S1527" s="100"/>
      <c r="T1527" s="100"/>
      <c r="U1527" s="100"/>
      <c r="V1527" s="100"/>
      <c r="W1527" s="100"/>
      <c r="X1527" s="100"/>
      <c r="Y1527" s="100"/>
      <c r="Z1527" s="100"/>
    </row>
    <row r="1528" spans="1:26">
      <c r="A1528" s="100"/>
      <c r="B1528" s="100"/>
      <c r="C1528" s="100"/>
      <c r="D1528" s="100"/>
      <c r="E1528" s="100"/>
      <c r="F1528" s="100"/>
      <c r="G1528" s="100"/>
      <c r="H1528" s="100"/>
      <c r="I1528" s="100"/>
      <c r="J1528" s="100"/>
      <c r="K1528" s="100"/>
      <c r="L1528" s="100"/>
      <c r="M1528" s="100"/>
      <c r="N1528" s="100"/>
      <c r="O1528" s="100"/>
      <c r="P1528" s="100"/>
      <c r="Q1528" s="100"/>
      <c r="R1528" s="100"/>
      <c r="S1528" s="100"/>
      <c r="T1528" s="100"/>
      <c r="U1528" s="100"/>
      <c r="V1528" s="100"/>
      <c r="W1528" s="100"/>
      <c r="X1528" s="100"/>
      <c r="Y1528" s="100"/>
      <c r="Z1528" s="100"/>
    </row>
    <row r="1529" spans="1:26">
      <c r="A1529" s="100"/>
      <c r="B1529" s="100"/>
      <c r="C1529" s="100"/>
      <c r="D1529" s="100"/>
      <c r="E1529" s="100"/>
      <c r="F1529" s="100"/>
      <c r="G1529" s="100"/>
      <c r="H1529" s="100"/>
      <c r="I1529" s="100"/>
      <c r="J1529" s="100"/>
      <c r="K1529" s="100"/>
      <c r="L1529" s="100"/>
      <c r="M1529" s="100"/>
      <c r="N1529" s="100"/>
      <c r="O1529" s="100"/>
      <c r="P1529" s="100"/>
      <c r="Q1529" s="100"/>
      <c r="R1529" s="100"/>
      <c r="S1529" s="100"/>
      <c r="T1529" s="100"/>
      <c r="U1529" s="100"/>
      <c r="V1529" s="100"/>
      <c r="W1529" s="100"/>
      <c r="X1529" s="100"/>
      <c r="Y1529" s="100"/>
      <c r="Z1529" s="100"/>
    </row>
    <row r="1530" spans="1:26">
      <c r="A1530" s="100"/>
      <c r="B1530" s="100"/>
      <c r="C1530" s="100"/>
      <c r="D1530" s="100"/>
      <c r="E1530" s="100"/>
      <c r="F1530" s="100"/>
      <c r="G1530" s="100"/>
      <c r="H1530" s="100"/>
      <c r="I1530" s="100"/>
      <c r="J1530" s="100"/>
      <c r="K1530" s="100"/>
      <c r="L1530" s="100"/>
      <c r="M1530" s="100"/>
      <c r="N1530" s="100"/>
      <c r="O1530" s="100"/>
      <c r="P1530" s="100"/>
      <c r="Q1530" s="100"/>
      <c r="R1530" s="100"/>
      <c r="S1530" s="100"/>
      <c r="T1530" s="100"/>
      <c r="U1530" s="100"/>
      <c r="V1530" s="100"/>
      <c r="W1530" s="100"/>
      <c r="X1530" s="100"/>
      <c r="Y1530" s="100"/>
      <c r="Z1530" s="100"/>
    </row>
    <row r="1531" spans="1:26">
      <c r="A1531" s="100"/>
      <c r="B1531" s="100"/>
      <c r="C1531" s="100"/>
      <c r="D1531" s="100"/>
      <c r="E1531" s="100"/>
      <c r="F1531" s="100"/>
      <c r="G1531" s="100"/>
      <c r="H1531" s="100"/>
      <c r="I1531" s="100"/>
      <c r="J1531" s="100"/>
      <c r="K1531" s="100"/>
      <c r="L1531" s="100"/>
      <c r="M1531" s="100"/>
      <c r="N1531" s="100"/>
      <c r="O1531" s="100"/>
      <c r="P1531" s="100"/>
      <c r="Q1531" s="100"/>
      <c r="R1531" s="100"/>
      <c r="S1531" s="100"/>
      <c r="T1531" s="100"/>
      <c r="U1531" s="100"/>
      <c r="V1531" s="100"/>
      <c r="W1531" s="100"/>
      <c r="X1531" s="100"/>
      <c r="Y1531" s="100"/>
      <c r="Z1531" s="100"/>
    </row>
    <row r="1532" spans="1:26">
      <c r="A1532" s="100"/>
      <c r="B1532" s="100"/>
      <c r="C1532" s="100"/>
      <c r="D1532" s="100"/>
      <c r="E1532" s="100"/>
      <c r="F1532" s="100"/>
      <c r="G1532" s="100"/>
      <c r="H1532" s="100"/>
      <c r="I1532" s="100"/>
      <c r="J1532" s="100"/>
      <c r="K1532" s="100"/>
      <c r="L1532" s="100"/>
      <c r="M1532" s="100"/>
      <c r="N1532" s="100"/>
      <c r="O1532" s="100"/>
      <c r="P1532" s="100"/>
      <c r="Q1532" s="100"/>
      <c r="R1532" s="100"/>
      <c r="S1532" s="100"/>
      <c r="T1532" s="100"/>
      <c r="U1532" s="100"/>
      <c r="V1532" s="100"/>
      <c r="W1532" s="100"/>
      <c r="X1532" s="100"/>
      <c r="Y1532" s="100"/>
      <c r="Z1532" s="100"/>
    </row>
    <row r="1533" spans="1:26">
      <c r="A1533" s="100"/>
      <c r="B1533" s="100"/>
      <c r="C1533" s="100"/>
      <c r="D1533" s="100"/>
      <c r="E1533" s="100"/>
      <c r="F1533" s="100"/>
      <c r="G1533" s="100"/>
      <c r="H1533" s="100"/>
      <c r="I1533" s="100"/>
      <c r="J1533" s="100"/>
      <c r="K1533" s="100"/>
      <c r="L1533" s="100"/>
      <c r="M1533" s="100"/>
      <c r="N1533" s="100"/>
      <c r="O1533" s="100"/>
      <c r="P1533" s="100"/>
      <c r="Q1533" s="100"/>
      <c r="R1533" s="100"/>
      <c r="S1533" s="100"/>
      <c r="T1533" s="100"/>
      <c r="U1533" s="100"/>
      <c r="V1533" s="100"/>
      <c r="W1533" s="100"/>
      <c r="X1533" s="100"/>
      <c r="Y1533" s="100"/>
      <c r="Z1533" s="100"/>
    </row>
    <row r="1534" spans="1:26">
      <c r="A1534" s="100"/>
      <c r="B1534" s="100"/>
      <c r="C1534" s="100"/>
      <c r="D1534" s="100"/>
      <c r="E1534" s="100"/>
      <c r="F1534" s="100"/>
      <c r="G1534" s="100"/>
      <c r="H1534" s="100"/>
      <c r="I1534" s="100"/>
      <c r="J1534" s="100"/>
      <c r="K1534" s="100"/>
      <c r="L1534" s="100"/>
      <c r="M1534" s="100"/>
      <c r="N1534" s="100"/>
      <c r="O1534" s="100"/>
      <c r="P1534" s="100"/>
      <c r="Q1534" s="100"/>
      <c r="R1534" s="100"/>
      <c r="S1534" s="100"/>
      <c r="T1534" s="100"/>
      <c r="U1534" s="100"/>
      <c r="V1534" s="100"/>
      <c r="W1534" s="100"/>
      <c r="X1534" s="100"/>
      <c r="Y1534" s="100"/>
      <c r="Z1534" s="100"/>
    </row>
    <row r="1535" spans="1:26">
      <c r="A1535" s="100"/>
      <c r="B1535" s="100"/>
      <c r="C1535" s="100"/>
      <c r="D1535" s="100"/>
      <c r="E1535" s="100"/>
      <c r="F1535" s="100"/>
      <c r="G1535" s="100"/>
      <c r="H1535" s="100"/>
      <c r="I1535" s="100"/>
      <c r="J1535" s="100"/>
      <c r="K1535" s="100"/>
      <c r="L1535" s="100"/>
      <c r="M1535" s="100"/>
      <c r="N1535" s="100"/>
      <c r="O1535" s="100"/>
      <c r="P1535" s="100"/>
      <c r="Q1535" s="100"/>
      <c r="R1535" s="100"/>
      <c r="S1535" s="100"/>
      <c r="T1535" s="100"/>
      <c r="U1535" s="100"/>
      <c r="V1535" s="100"/>
      <c r="W1535" s="100"/>
      <c r="X1535" s="100"/>
      <c r="Y1535" s="100"/>
      <c r="Z1535" s="100"/>
    </row>
    <row r="1536" spans="1:26">
      <c r="A1536" s="100"/>
      <c r="B1536" s="100"/>
      <c r="C1536" s="100"/>
      <c r="D1536" s="100"/>
      <c r="E1536" s="100"/>
      <c r="F1536" s="100"/>
      <c r="G1536" s="100"/>
      <c r="H1536" s="100"/>
      <c r="I1536" s="100"/>
      <c r="J1536" s="100"/>
      <c r="K1536" s="100"/>
      <c r="L1536" s="100"/>
      <c r="M1536" s="100"/>
      <c r="N1536" s="100"/>
      <c r="O1536" s="100"/>
      <c r="P1536" s="100"/>
      <c r="Q1536" s="100"/>
      <c r="R1536" s="100"/>
      <c r="S1536" s="100"/>
      <c r="T1536" s="100"/>
      <c r="U1536" s="100"/>
      <c r="V1536" s="100"/>
      <c r="W1536" s="100"/>
      <c r="X1536" s="100"/>
      <c r="Y1536" s="100"/>
      <c r="Z1536" s="100"/>
    </row>
    <row r="1537" spans="1:26">
      <c r="A1537" s="100"/>
      <c r="B1537" s="100"/>
      <c r="C1537" s="100"/>
      <c r="D1537" s="100"/>
      <c r="E1537" s="100"/>
      <c r="F1537" s="100"/>
      <c r="G1537" s="100"/>
      <c r="H1537" s="100"/>
      <c r="I1537" s="100"/>
      <c r="J1537" s="100"/>
      <c r="K1537" s="100"/>
      <c r="L1537" s="100"/>
      <c r="M1537" s="100"/>
      <c r="N1537" s="100"/>
      <c r="O1537" s="100"/>
      <c r="P1537" s="100"/>
      <c r="Q1537" s="100"/>
      <c r="R1537" s="100"/>
      <c r="S1537" s="100"/>
      <c r="T1537" s="100"/>
      <c r="U1537" s="100"/>
      <c r="V1537" s="100"/>
      <c r="W1537" s="100"/>
      <c r="X1537" s="100"/>
      <c r="Y1537" s="100"/>
      <c r="Z1537" s="100"/>
    </row>
    <row r="1538" spans="1:26">
      <c r="A1538" s="100"/>
      <c r="B1538" s="100"/>
      <c r="C1538" s="100"/>
      <c r="D1538" s="100"/>
      <c r="E1538" s="100"/>
      <c r="F1538" s="100"/>
      <c r="G1538" s="100"/>
      <c r="H1538" s="100"/>
      <c r="I1538" s="100"/>
      <c r="J1538" s="100"/>
      <c r="K1538" s="100"/>
      <c r="L1538" s="100"/>
      <c r="M1538" s="100"/>
      <c r="N1538" s="100"/>
      <c r="O1538" s="100"/>
      <c r="P1538" s="100"/>
      <c r="Q1538" s="100"/>
      <c r="R1538" s="100"/>
      <c r="S1538" s="100"/>
      <c r="T1538" s="100"/>
      <c r="U1538" s="100"/>
      <c r="V1538" s="100"/>
      <c r="W1538" s="100"/>
      <c r="X1538" s="100"/>
      <c r="Y1538" s="100"/>
      <c r="Z1538" s="100"/>
    </row>
    <row r="1539" spans="1:26">
      <c r="A1539" s="100"/>
      <c r="B1539" s="100"/>
      <c r="C1539" s="100"/>
      <c r="D1539" s="100"/>
      <c r="E1539" s="100"/>
      <c r="F1539" s="100"/>
      <c r="G1539" s="100"/>
      <c r="H1539" s="100"/>
      <c r="I1539" s="100"/>
      <c r="J1539" s="100"/>
      <c r="K1539" s="100"/>
      <c r="L1539" s="100"/>
      <c r="M1539" s="100"/>
      <c r="N1539" s="100"/>
      <c r="O1539" s="100"/>
      <c r="P1539" s="100"/>
      <c r="Q1539" s="100"/>
      <c r="R1539" s="100"/>
      <c r="S1539" s="100"/>
      <c r="T1539" s="100"/>
      <c r="U1539" s="100"/>
      <c r="V1539" s="100"/>
      <c r="W1539" s="100"/>
      <c r="X1539" s="100"/>
      <c r="Y1539" s="100"/>
      <c r="Z1539" s="100"/>
    </row>
    <row r="1540" spans="1:26">
      <c r="A1540" s="100"/>
      <c r="B1540" s="100"/>
      <c r="C1540" s="100"/>
      <c r="D1540" s="100"/>
      <c r="E1540" s="100"/>
      <c r="F1540" s="100"/>
      <c r="G1540" s="100"/>
      <c r="H1540" s="100"/>
      <c r="I1540" s="100"/>
      <c r="J1540" s="100"/>
      <c r="K1540" s="100"/>
      <c r="L1540" s="100"/>
      <c r="M1540" s="100"/>
      <c r="N1540" s="100"/>
      <c r="O1540" s="100"/>
      <c r="P1540" s="100"/>
      <c r="Q1540" s="100"/>
      <c r="R1540" s="100"/>
      <c r="S1540" s="100"/>
      <c r="T1540" s="100"/>
      <c r="U1540" s="100"/>
      <c r="V1540" s="100"/>
      <c r="W1540" s="100"/>
      <c r="X1540" s="100"/>
      <c r="Y1540" s="100"/>
      <c r="Z1540" s="100"/>
    </row>
    <row r="1541" spans="1:26">
      <c r="A1541" s="100"/>
      <c r="B1541" s="100"/>
      <c r="C1541" s="100"/>
      <c r="D1541" s="100"/>
      <c r="E1541" s="100"/>
      <c r="F1541" s="100"/>
      <c r="G1541" s="100"/>
      <c r="H1541" s="100"/>
      <c r="I1541" s="100"/>
      <c r="J1541" s="100"/>
      <c r="K1541" s="100"/>
      <c r="L1541" s="100"/>
      <c r="M1541" s="100"/>
      <c r="N1541" s="100"/>
      <c r="O1541" s="100"/>
      <c r="P1541" s="100"/>
      <c r="Q1541" s="100"/>
      <c r="R1541" s="100"/>
      <c r="S1541" s="100"/>
      <c r="T1541" s="100"/>
      <c r="U1541" s="100"/>
      <c r="V1541" s="100"/>
      <c r="W1541" s="100"/>
      <c r="X1541" s="100"/>
      <c r="Y1541" s="100"/>
      <c r="Z1541" s="100"/>
    </row>
    <row r="1542" spans="1:26">
      <c r="A1542" s="100"/>
      <c r="B1542" s="100"/>
      <c r="C1542" s="100"/>
      <c r="D1542" s="100"/>
      <c r="E1542" s="100"/>
      <c r="F1542" s="100"/>
      <c r="G1542" s="100"/>
      <c r="H1542" s="100"/>
      <c r="I1542" s="100"/>
      <c r="J1542" s="100"/>
      <c r="K1542" s="100"/>
      <c r="L1542" s="100"/>
      <c r="M1542" s="100"/>
      <c r="N1542" s="100"/>
      <c r="O1542" s="100"/>
      <c r="P1542" s="100"/>
      <c r="Q1542" s="100"/>
      <c r="R1542" s="100"/>
      <c r="S1542" s="100"/>
      <c r="T1542" s="100"/>
      <c r="U1542" s="100"/>
      <c r="V1542" s="100"/>
      <c r="W1542" s="100"/>
      <c r="X1542" s="100"/>
      <c r="Y1542" s="100"/>
      <c r="Z1542" s="100"/>
    </row>
    <row r="1543" spans="1:26">
      <c r="A1543" s="100"/>
      <c r="B1543" s="100"/>
      <c r="C1543" s="100"/>
      <c r="D1543" s="100"/>
      <c r="E1543" s="100"/>
      <c r="F1543" s="100"/>
      <c r="G1543" s="100"/>
      <c r="H1543" s="100"/>
      <c r="I1543" s="100"/>
      <c r="J1543" s="100"/>
      <c r="K1543" s="100"/>
      <c r="L1543" s="100"/>
      <c r="M1543" s="100"/>
      <c r="N1543" s="100"/>
      <c r="O1543" s="100"/>
      <c r="P1543" s="100"/>
      <c r="Q1543" s="100"/>
      <c r="R1543" s="100"/>
      <c r="S1543" s="100"/>
      <c r="T1543" s="100"/>
      <c r="U1543" s="100"/>
      <c r="V1543" s="100"/>
      <c r="W1543" s="100"/>
      <c r="X1543" s="100"/>
      <c r="Y1543" s="100"/>
      <c r="Z1543" s="100"/>
    </row>
    <row r="1544" spans="1:26">
      <c r="A1544" s="100"/>
      <c r="B1544" s="100"/>
      <c r="C1544" s="100"/>
      <c r="D1544" s="100"/>
      <c r="E1544" s="100"/>
      <c r="F1544" s="100"/>
      <c r="G1544" s="100"/>
      <c r="H1544" s="100"/>
      <c r="I1544" s="100"/>
      <c r="J1544" s="100"/>
      <c r="K1544" s="100"/>
      <c r="L1544" s="100"/>
      <c r="M1544" s="100"/>
      <c r="N1544" s="100"/>
      <c r="O1544" s="100"/>
      <c r="P1544" s="100"/>
      <c r="Q1544" s="100"/>
      <c r="R1544" s="100"/>
      <c r="S1544" s="100"/>
      <c r="T1544" s="100"/>
      <c r="U1544" s="100"/>
      <c r="V1544" s="100"/>
      <c r="W1544" s="100"/>
      <c r="X1544" s="100"/>
      <c r="Y1544" s="100"/>
      <c r="Z1544" s="100"/>
    </row>
    <row r="1545" spans="1:26">
      <c r="A1545" s="100"/>
      <c r="B1545" s="100"/>
      <c r="C1545" s="100"/>
      <c r="D1545" s="100"/>
      <c r="E1545" s="100"/>
      <c r="F1545" s="100"/>
      <c r="G1545" s="100"/>
      <c r="H1545" s="100"/>
      <c r="I1545" s="100"/>
      <c r="J1545" s="100"/>
      <c r="K1545" s="100"/>
      <c r="L1545" s="100"/>
      <c r="M1545" s="100"/>
      <c r="N1545" s="100"/>
      <c r="O1545" s="100"/>
      <c r="P1545" s="100"/>
      <c r="Q1545" s="100"/>
      <c r="R1545" s="100"/>
      <c r="S1545" s="100"/>
      <c r="T1545" s="100"/>
      <c r="U1545" s="100"/>
      <c r="V1545" s="100"/>
      <c r="W1545" s="100"/>
      <c r="X1545" s="100"/>
      <c r="Y1545" s="100"/>
      <c r="Z1545" s="100"/>
    </row>
    <row r="1546" spans="1:26">
      <c r="A1546" s="100"/>
      <c r="B1546" s="100"/>
      <c r="C1546" s="100"/>
      <c r="D1546" s="100"/>
      <c r="E1546" s="100"/>
      <c r="F1546" s="100"/>
      <c r="G1546" s="100"/>
      <c r="H1546" s="100"/>
      <c r="I1546" s="100"/>
      <c r="J1546" s="100"/>
      <c r="K1546" s="100"/>
      <c r="L1546" s="100"/>
      <c r="M1546" s="100"/>
      <c r="N1546" s="100"/>
      <c r="O1546" s="100"/>
      <c r="P1546" s="100"/>
      <c r="Q1546" s="100"/>
      <c r="R1546" s="100"/>
      <c r="S1546" s="100"/>
      <c r="T1546" s="100"/>
      <c r="U1546" s="100"/>
      <c r="V1546" s="100"/>
      <c r="W1546" s="100"/>
      <c r="X1546" s="100"/>
      <c r="Y1546" s="100"/>
      <c r="Z1546" s="100"/>
    </row>
    <row r="1547" spans="1:26">
      <c r="A1547" s="100"/>
      <c r="B1547" s="100"/>
      <c r="C1547" s="100"/>
      <c r="D1547" s="100"/>
      <c r="E1547" s="100"/>
      <c r="F1547" s="100"/>
      <c r="G1547" s="100"/>
      <c r="H1547" s="100"/>
      <c r="I1547" s="100"/>
      <c r="J1547" s="100"/>
      <c r="K1547" s="100"/>
      <c r="L1547" s="100"/>
      <c r="M1547" s="100"/>
      <c r="N1547" s="100"/>
      <c r="O1547" s="100"/>
      <c r="P1547" s="100"/>
      <c r="Q1547" s="100"/>
      <c r="R1547" s="100"/>
      <c r="S1547" s="100"/>
      <c r="T1547" s="100"/>
      <c r="U1547" s="100"/>
      <c r="V1547" s="100"/>
      <c r="W1547" s="100"/>
      <c r="X1547" s="100"/>
      <c r="Y1547" s="100"/>
      <c r="Z1547" s="100"/>
    </row>
    <row r="1548" spans="1:26">
      <c r="A1548" s="100"/>
      <c r="B1548" s="100"/>
      <c r="C1548" s="100"/>
      <c r="D1548" s="100"/>
      <c r="E1548" s="100"/>
      <c r="F1548" s="100"/>
      <c r="G1548" s="100"/>
      <c r="H1548" s="100"/>
      <c r="I1548" s="100"/>
      <c r="J1548" s="100"/>
      <c r="K1548" s="100"/>
      <c r="L1548" s="100"/>
      <c r="M1548" s="100"/>
      <c r="N1548" s="100"/>
      <c r="O1548" s="100"/>
      <c r="P1548" s="100"/>
      <c r="Q1548" s="100"/>
      <c r="R1548" s="100"/>
      <c r="S1548" s="100"/>
      <c r="T1548" s="100"/>
      <c r="U1548" s="100"/>
      <c r="V1548" s="100"/>
      <c r="W1548" s="100"/>
      <c r="X1548" s="100"/>
      <c r="Y1548" s="100"/>
      <c r="Z1548" s="100"/>
    </row>
    <row r="1549" spans="1:26">
      <c r="A1549" s="100"/>
      <c r="B1549" s="100"/>
      <c r="C1549" s="100"/>
      <c r="D1549" s="100"/>
      <c r="E1549" s="100"/>
      <c r="F1549" s="100"/>
      <c r="G1549" s="100"/>
      <c r="H1549" s="100"/>
      <c r="I1549" s="100"/>
      <c r="J1549" s="100"/>
      <c r="K1549" s="100"/>
      <c r="L1549" s="100"/>
      <c r="M1549" s="100"/>
      <c r="N1549" s="100"/>
      <c r="O1549" s="100"/>
      <c r="P1549" s="100"/>
      <c r="Q1549" s="100"/>
      <c r="R1549" s="100"/>
      <c r="S1549" s="100"/>
      <c r="T1549" s="100"/>
      <c r="U1549" s="100"/>
      <c r="V1549" s="100"/>
      <c r="W1549" s="100"/>
      <c r="X1549" s="100"/>
      <c r="Y1549" s="100"/>
      <c r="Z1549" s="100"/>
    </row>
    <row r="1550" spans="1:26">
      <c r="A1550" s="100"/>
      <c r="B1550" s="100"/>
      <c r="C1550" s="100"/>
      <c r="D1550" s="100"/>
      <c r="E1550" s="100"/>
      <c r="F1550" s="100"/>
      <c r="G1550" s="100"/>
      <c r="H1550" s="100"/>
      <c r="I1550" s="100"/>
      <c r="J1550" s="100"/>
      <c r="K1550" s="100"/>
      <c r="L1550" s="100"/>
      <c r="M1550" s="100"/>
      <c r="N1550" s="100"/>
      <c r="O1550" s="100"/>
      <c r="P1550" s="100"/>
      <c r="Q1550" s="100"/>
      <c r="R1550" s="100"/>
      <c r="S1550" s="100"/>
      <c r="T1550" s="100"/>
      <c r="U1550" s="100"/>
      <c r="V1550" s="100"/>
      <c r="W1550" s="100"/>
      <c r="X1550" s="100"/>
      <c r="Y1550" s="100"/>
      <c r="Z1550" s="100"/>
    </row>
    <row r="1551" spans="1:26">
      <c r="A1551" s="100"/>
      <c r="B1551" s="100"/>
      <c r="C1551" s="100"/>
      <c r="D1551" s="100"/>
      <c r="E1551" s="100"/>
      <c r="F1551" s="100"/>
      <c r="G1551" s="100"/>
      <c r="H1551" s="100"/>
      <c r="I1551" s="100"/>
      <c r="J1551" s="100"/>
      <c r="K1551" s="100"/>
      <c r="L1551" s="100"/>
      <c r="M1551" s="100"/>
      <c r="N1551" s="100"/>
      <c r="O1551" s="100"/>
      <c r="P1551" s="100"/>
      <c r="Q1551" s="100"/>
      <c r="R1551" s="100"/>
      <c r="S1551" s="100"/>
      <c r="T1551" s="100"/>
      <c r="U1551" s="100"/>
      <c r="V1551" s="100"/>
      <c r="W1551" s="100"/>
      <c r="X1551" s="100"/>
      <c r="Y1551" s="100"/>
      <c r="Z1551" s="100"/>
    </row>
    <row r="1552" spans="1:26">
      <c r="A1552" s="100"/>
      <c r="B1552" s="100"/>
      <c r="C1552" s="100"/>
      <c r="D1552" s="100"/>
      <c r="E1552" s="100"/>
      <c r="F1552" s="100"/>
      <c r="G1552" s="100"/>
      <c r="H1552" s="100"/>
      <c r="I1552" s="100"/>
      <c r="J1552" s="100"/>
      <c r="K1552" s="100"/>
      <c r="L1552" s="100"/>
      <c r="M1552" s="100"/>
      <c r="N1552" s="100"/>
      <c r="O1552" s="100"/>
      <c r="P1552" s="100"/>
      <c r="Q1552" s="100"/>
      <c r="R1552" s="100"/>
      <c r="S1552" s="100"/>
      <c r="T1552" s="100"/>
      <c r="U1552" s="100"/>
      <c r="V1552" s="100"/>
      <c r="W1552" s="100"/>
      <c r="X1552" s="100"/>
      <c r="Y1552" s="100"/>
      <c r="Z1552" s="100"/>
    </row>
    <row r="1553" spans="1:26">
      <c r="A1553" s="100"/>
      <c r="B1553" s="100"/>
      <c r="C1553" s="100"/>
      <c r="D1553" s="100"/>
      <c r="E1553" s="100"/>
      <c r="F1553" s="100"/>
      <c r="G1553" s="100"/>
      <c r="H1553" s="100"/>
      <c r="I1553" s="100"/>
      <c r="J1553" s="100"/>
      <c r="K1553" s="100"/>
      <c r="L1553" s="100"/>
      <c r="M1553" s="100"/>
      <c r="N1553" s="100"/>
      <c r="O1553" s="100"/>
      <c r="P1553" s="100"/>
      <c r="Q1553" s="100"/>
      <c r="R1553" s="100"/>
      <c r="S1553" s="100"/>
      <c r="T1553" s="100"/>
      <c r="U1553" s="100"/>
      <c r="V1553" s="100"/>
      <c r="W1553" s="100"/>
      <c r="X1553" s="100"/>
      <c r="Y1553" s="100"/>
      <c r="Z1553" s="100"/>
    </row>
    <row r="1554" spans="1:26">
      <c r="A1554" s="100"/>
      <c r="B1554" s="100"/>
      <c r="C1554" s="100"/>
      <c r="D1554" s="100"/>
      <c r="E1554" s="100"/>
      <c r="F1554" s="100"/>
      <c r="G1554" s="100"/>
      <c r="H1554" s="100"/>
      <c r="I1554" s="100"/>
      <c r="J1554" s="100"/>
      <c r="K1554" s="100"/>
      <c r="L1554" s="100"/>
      <c r="M1554" s="100"/>
      <c r="N1554" s="100"/>
      <c r="O1554" s="100"/>
      <c r="P1554" s="100"/>
      <c r="Q1554" s="100"/>
      <c r="R1554" s="100"/>
      <c r="S1554" s="100"/>
      <c r="T1554" s="100"/>
      <c r="U1554" s="100"/>
      <c r="V1554" s="100"/>
      <c r="W1554" s="100"/>
      <c r="X1554" s="100"/>
      <c r="Y1554" s="100"/>
      <c r="Z1554" s="100"/>
    </row>
    <row r="1555" spans="1:26">
      <c r="A1555" s="100"/>
      <c r="B1555" s="100"/>
      <c r="C1555" s="100"/>
      <c r="D1555" s="100"/>
      <c r="E1555" s="100"/>
      <c r="F1555" s="100"/>
      <c r="G1555" s="100"/>
      <c r="H1555" s="100"/>
      <c r="I1555" s="100"/>
      <c r="J1555" s="100"/>
      <c r="K1555" s="100"/>
      <c r="L1555" s="100"/>
      <c r="M1555" s="100"/>
      <c r="N1555" s="100"/>
      <c r="O1555" s="100"/>
      <c r="P1555" s="100"/>
      <c r="Q1555" s="100"/>
      <c r="R1555" s="100"/>
      <c r="S1555" s="100"/>
      <c r="T1555" s="100"/>
      <c r="U1555" s="100"/>
      <c r="V1555" s="100"/>
      <c r="W1555" s="100"/>
      <c r="X1555" s="100"/>
      <c r="Y1555" s="100"/>
      <c r="Z1555" s="100"/>
    </row>
    <row r="1556" spans="1:26">
      <c r="A1556" s="100"/>
      <c r="B1556" s="100"/>
      <c r="C1556" s="100"/>
      <c r="D1556" s="100"/>
      <c r="E1556" s="100"/>
      <c r="F1556" s="100"/>
      <c r="G1556" s="100"/>
      <c r="H1556" s="100"/>
      <c r="I1556" s="100"/>
      <c r="J1556" s="100"/>
      <c r="K1556" s="100"/>
      <c r="L1556" s="100"/>
      <c r="M1556" s="100"/>
      <c r="N1556" s="100"/>
      <c r="O1556" s="100"/>
      <c r="P1556" s="100"/>
      <c r="Q1556" s="100"/>
      <c r="R1556" s="100"/>
      <c r="S1556" s="100"/>
      <c r="T1556" s="100"/>
      <c r="U1556" s="100"/>
      <c r="V1556" s="100"/>
      <c r="W1556" s="100"/>
      <c r="X1556" s="100"/>
      <c r="Y1556" s="100"/>
      <c r="Z1556" s="100"/>
    </row>
    <row r="1557" spans="1:26">
      <c r="A1557" s="100"/>
      <c r="B1557" s="100"/>
      <c r="C1557" s="100"/>
      <c r="D1557" s="100"/>
      <c r="E1557" s="100"/>
      <c r="F1557" s="100"/>
      <c r="G1557" s="100"/>
      <c r="H1557" s="100"/>
      <c r="I1557" s="100"/>
      <c r="J1557" s="100"/>
      <c r="K1557" s="100"/>
      <c r="L1557" s="100"/>
      <c r="M1557" s="100"/>
      <c r="N1557" s="100"/>
      <c r="O1557" s="100"/>
      <c r="P1557" s="100"/>
      <c r="Q1557" s="100"/>
      <c r="R1557" s="100"/>
      <c r="S1557" s="100"/>
      <c r="T1557" s="100"/>
      <c r="U1557" s="100"/>
      <c r="V1557" s="100"/>
      <c r="W1557" s="100"/>
      <c r="X1557" s="100"/>
      <c r="Y1557" s="100"/>
      <c r="Z1557" s="100"/>
    </row>
    <row r="1558" spans="1:26">
      <c r="A1558" s="100"/>
      <c r="B1558" s="100"/>
      <c r="C1558" s="100"/>
      <c r="D1558" s="100"/>
      <c r="E1558" s="100"/>
      <c r="F1558" s="100"/>
      <c r="G1558" s="100"/>
      <c r="H1558" s="100"/>
      <c r="I1558" s="100"/>
      <c r="J1558" s="100"/>
      <c r="K1558" s="100"/>
      <c r="L1558" s="100"/>
      <c r="M1558" s="100"/>
      <c r="N1558" s="100"/>
      <c r="O1558" s="100"/>
      <c r="P1558" s="100"/>
      <c r="Q1558" s="100"/>
      <c r="R1558" s="100"/>
      <c r="S1558" s="100"/>
      <c r="T1558" s="100"/>
      <c r="U1558" s="100"/>
      <c r="V1558" s="100"/>
      <c r="W1558" s="100"/>
      <c r="X1558" s="100"/>
      <c r="Y1558" s="100"/>
      <c r="Z1558" s="100"/>
    </row>
    <row r="1559" spans="1:26">
      <c r="A1559" s="100"/>
      <c r="B1559" s="100"/>
      <c r="C1559" s="100"/>
      <c r="D1559" s="100"/>
      <c r="E1559" s="100"/>
      <c r="F1559" s="100"/>
      <c r="G1559" s="100"/>
      <c r="H1559" s="100"/>
      <c r="I1559" s="100"/>
      <c r="J1559" s="100"/>
      <c r="K1559" s="100"/>
      <c r="L1559" s="100"/>
      <c r="M1559" s="100"/>
      <c r="N1559" s="100"/>
      <c r="O1559" s="100"/>
      <c r="P1559" s="100"/>
      <c r="Q1559" s="100"/>
      <c r="R1559" s="100"/>
      <c r="S1559" s="100"/>
      <c r="T1559" s="100"/>
      <c r="U1559" s="100"/>
      <c r="V1559" s="100"/>
      <c r="W1559" s="100"/>
      <c r="X1559" s="100"/>
      <c r="Y1559" s="100"/>
      <c r="Z1559" s="100"/>
    </row>
    <row r="1560" spans="1:26">
      <c r="A1560" s="100"/>
      <c r="B1560" s="100"/>
      <c r="C1560" s="100"/>
      <c r="D1560" s="100"/>
      <c r="E1560" s="100"/>
      <c r="F1560" s="100"/>
      <c r="G1560" s="100"/>
      <c r="H1560" s="100"/>
      <c r="I1560" s="100"/>
      <c r="J1560" s="100"/>
      <c r="K1560" s="100"/>
      <c r="L1560" s="100"/>
      <c r="M1560" s="100"/>
      <c r="N1560" s="100"/>
      <c r="O1560" s="100"/>
      <c r="P1560" s="100"/>
      <c r="Q1560" s="100"/>
      <c r="R1560" s="100"/>
      <c r="S1560" s="100"/>
      <c r="T1560" s="100"/>
      <c r="U1560" s="100"/>
      <c r="V1560" s="100"/>
      <c r="W1560" s="100"/>
      <c r="X1560" s="100"/>
      <c r="Y1560" s="100"/>
      <c r="Z1560" s="100"/>
    </row>
    <row r="1561" spans="1:26">
      <c r="A1561" s="100"/>
      <c r="B1561" s="100"/>
      <c r="C1561" s="100"/>
      <c r="D1561" s="100"/>
      <c r="E1561" s="100"/>
      <c r="F1561" s="100"/>
      <c r="G1561" s="100"/>
      <c r="H1561" s="100"/>
      <c r="I1561" s="100"/>
      <c r="J1561" s="100"/>
      <c r="K1561" s="100"/>
      <c r="L1561" s="100"/>
      <c r="M1561" s="100"/>
      <c r="N1561" s="100"/>
      <c r="O1561" s="100"/>
      <c r="P1561" s="100"/>
      <c r="Q1561" s="100"/>
      <c r="R1561" s="100"/>
      <c r="S1561" s="100"/>
      <c r="T1561" s="100"/>
      <c r="U1561" s="100"/>
      <c r="V1561" s="100"/>
      <c r="W1561" s="100"/>
      <c r="X1561" s="100"/>
      <c r="Y1561" s="100"/>
      <c r="Z1561" s="100"/>
    </row>
    <row r="1562" spans="1:26">
      <c r="A1562" s="100"/>
      <c r="B1562" s="100"/>
      <c r="C1562" s="100"/>
      <c r="D1562" s="100"/>
      <c r="E1562" s="100"/>
      <c r="F1562" s="100"/>
      <c r="G1562" s="100"/>
      <c r="H1562" s="100"/>
      <c r="I1562" s="100"/>
      <c r="J1562" s="100"/>
      <c r="K1562" s="100"/>
      <c r="L1562" s="100"/>
      <c r="M1562" s="100"/>
      <c r="N1562" s="100"/>
      <c r="O1562" s="100"/>
      <c r="P1562" s="100"/>
      <c r="Q1562" s="100"/>
      <c r="R1562" s="100"/>
      <c r="S1562" s="100"/>
      <c r="T1562" s="100"/>
      <c r="U1562" s="100"/>
      <c r="V1562" s="100"/>
      <c r="W1562" s="100"/>
      <c r="X1562" s="100"/>
      <c r="Y1562" s="100"/>
      <c r="Z1562" s="100"/>
    </row>
    <row r="1563" spans="1:26">
      <c r="A1563" s="100"/>
      <c r="B1563" s="100"/>
      <c r="C1563" s="100"/>
      <c r="D1563" s="100"/>
      <c r="E1563" s="100"/>
      <c r="F1563" s="100"/>
      <c r="G1563" s="100"/>
      <c r="H1563" s="100"/>
      <c r="I1563" s="100"/>
      <c r="J1563" s="100"/>
      <c r="K1563" s="100"/>
      <c r="L1563" s="100"/>
      <c r="M1563" s="100"/>
      <c r="N1563" s="100"/>
      <c r="O1563" s="100"/>
      <c r="P1563" s="100"/>
      <c r="Q1563" s="100"/>
      <c r="R1563" s="100"/>
      <c r="S1563" s="100"/>
      <c r="T1563" s="100"/>
      <c r="U1563" s="100"/>
      <c r="V1563" s="100"/>
      <c r="W1563" s="100"/>
      <c r="X1563" s="100"/>
      <c r="Y1563" s="100"/>
      <c r="Z1563" s="100"/>
    </row>
    <row r="1564" spans="1:26">
      <c r="A1564" s="100"/>
      <c r="B1564" s="100"/>
      <c r="C1564" s="100"/>
      <c r="D1564" s="100"/>
      <c r="E1564" s="100"/>
      <c r="F1564" s="100"/>
      <c r="G1564" s="100"/>
      <c r="H1564" s="100"/>
      <c r="I1564" s="100"/>
      <c r="J1564" s="100"/>
      <c r="K1564" s="100"/>
      <c r="L1564" s="100"/>
      <c r="M1564" s="100"/>
      <c r="N1564" s="100"/>
      <c r="O1564" s="100"/>
      <c r="P1564" s="100"/>
      <c r="Q1564" s="100"/>
      <c r="R1564" s="100"/>
      <c r="S1564" s="100"/>
      <c r="T1564" s="100"/>
      <c r="U1564" s="100"/>
      <c r="V1564" s="100"/>
      <c r="W1564" s="100"/>
      <c r="X1564" s="100"/>
      <c r="Y1564" s="100"/>
      <c r="Z1564" s="100"/>
    </row>
    <row r="1565" spans="1:26">
      <c r="A1565" s="100"/>
      <c r="B1565" s="100"/>
      <c r="C1565" s="100"/>
      <c r="D1565" s="100"/>
      <c r="E1565" s="100"/>
      <c r="F1565" s="100"/>
      <c r="G1565" s="100"/>
      <c r="H1565" s="100"/>
      <c r="I1565" s="100"/>
      <c r="J1565" s="100"/>
      <c r="K1565" s="100"/>
      <c r="L1565" s="100"/>
      <c r="M1565" s="100"/>
      <c r="N1565" s="100"/>
      <c r="O1565" s="100"/>
      <c r="P1565" s="100"/>
      <c r="Q1565" s="100"/>
      <c r="R1565" s="100"/>
      <c r="S1565" s="100"/>
      <c r="T1565" s="100"/>
      <c r="U1565" s="100"/>
      <c r="V1565" s="100"/>
      <c r="W1565" s="100"/>
      <c r="X1565" s="100"/>
      <c r="Y1565" s="100"/>
      <c r="Z1565" s="100"/>
    </row>
    <row r="1566" spans="1:26">
      <c r="A1566" s="100"/>
      <c r="B1566" s="100"/>
      <c r="C1566" s="100"/>
      <c r="D1566" s="100"/>
      <c r="E1566" s="100"/>
      <c r="F1566" s="100"/>
      <c r="G1566" s="100"/>
      <c r="H1566" s="100"/>
      <c r="I1566" s="100"/>
      <c r="J1566" s="100"/>
      <c r="K1566" s="100"/>
      <c r="L1566" s="100"/>
      <c r="M1566" s="100"/>
      <c r="N1566" s="100"/>
      <c r="O1566" s="100"/>
      <c r="P1566" s="100"/>
      <c r="Q1566" s="100"/>
      <c r="R1566" s="100"/>
      <c r="S1566" s="100"/>
      <c r="T1566" s="100"/>
      <c r="U1566" s="100"/>
      <c r="V1566" s="100"/>
      <c r="W1566" s="100"/>
      <c r="X1566" s="100"/>
      <c r="Y1566" s="100"/>
      <c r="Z1566" s="100"/>
    </row>
    <row r="1567" spans="1:26">
      <c r="A1567" s="100"/>
      <c r="B1567" s="100"/>
      <c r="C1567" s="100"/>
      <c r="D1567" s="100"/>
      <c r="E1567" s="100"/>
      <c r="F1567" s="100"/>
      <c r="G1567" s="100"/>
      <c r="H1567" s="100"/>
      <c r="I1567" s="100"/>
      <c r="J1567" s="100"/>
      <c r="K1567" s="100"/>
      <c r="L1567" s="100"/>
      <c r="M1567" s="100"/>
      <c r="N1567" s="100"/>
      <c r="O1567" s="100"/>
      <c r="P1567" s="100"/>
      <c r="Q1567" s="100"/>
      <c r="R1567" s="100"/>
      <c r="S1567" s="100"/>
      <c r="T1567" s="100"/>
      <c r="U1567" s="100"/>
      <c r="V1567" s="100"/>
      <c r="W1567" s="100"/>
      <c r="X1567" s="100"/>
      <c r="Y1567" s="100"/>
      <c r="Z1567" s="100"/>
    </row>
    <row r="1568" spans="1:26">
      <c r="A1568" s="100"/>
      <c r="B1568" s="100"/>
      <c r="C1568" s="100"/>
      <c r="D1568" s="100"/>
      <c r="E1568" s="100"/>
      <c r="F1568" s="100"/>
      <c r="G1568" s="100"/>
      <c r="H1568" s="100"/>
      <c r="I1568" s="100"/>
      <c r="J1568" s="100"/>
      <c r="K1568" s="100"/>
      <c r="L1568" s="100"/>
      <c r="M1568" s="100"/>
      <c r="N1568" s="100"/>
      <c r="O1568" s="100"/>
      <c r="P1568" s="100"/>
      <c r="Q1568" s="100"/>
      <c r="R1568" s="100"/>
      <c r="S1568" s="100"/>
      <c r="T1568" s="100"/>
      <c r="U1568" s="100"/>
      <c r="V1568" s="100"/>
      <c r="W1568" s="100"/>
      <c r="X1568" s="100"/>
      <c r="Y1568" s="100"/>
      <c r="Z1568" s="100"/>
    </row>
    <row r="1569" spans="1:26">
      <c r="A1569" s="100"/>
      <c r="B1569" s="100"/>
      <c r="C1569" s="100"/>
      <c r="D1569" s="100"/>
      <c r="E1569" s="100"/>
      <c r="F1569" s="100"/>
      <c r="G1569" s="100"/>
      <c r="H1569" s="100"/>
      <c r="I1569" s="100"/>
      <c r="J1569" s="100"/>
      <c r="K1569" s="100"/>
      <c r="L1569" s="100"/>
      <c r="M1569" s="100"/>
      <c r="N1569" s="100"/>
      <c r="O1569" s="100"/>
      <c r="P1569" s="100"/>
      <c r="Q1569" s="100"/>
      <c r="R1569" s="100"/>
      <c r="S1569" s="100"/>
      <c r="T1569" s="100"/>
      <c r="U1569" s="100"/>
      <c r="V1569" s="100"/>
      <c r="W1569" s="100"/>
      <c r="X1569" s="100"/>
      <c r="Y1569" s="100"/>
      <c r="Z1569" s="100"/>
    </row>
    <row r="1570" spans="1:26">
      <c r="A1570" s="100"/>
      <c r="B1570" s="100"/>
      <c r="C1570" s="100"/>
      <c r="D1570" s="100"/>
      <c r="E1570" s="100"/>
      <c r="F1570" s="100"/>
      <c r="G1570" s="100"/>
      <c r="H1570" s="100"/>
      <c r="I1570" s="100"/>
      <c r="J1570" s="100"/>
      <c r="K1570" s="100"/>
      <c r="L1570" s="100"/>
      <c r="M1570" s="100"/>
      <c r="N1570" s="100"/>
      <c r="O1570" s="100"/>
      <c r="P1570" s="100"/>
      <c r="Q1570" s="100"/>
      <c r="R1570" s="100"/>
      <c r="S1570" s="100"/>
      <c r="T1570" s="100"/>
      <c r="U1570" s="100"/>
      <c r="V1570" s="100"/>
      <c r="W1570" s="100"/>
      <c r="X1570" s="100"/>
      <c r="Y1570" s="100"/>
      <c r="Z1570" s="100"/>
    </row>
    <row r="1571" spans="1:26">
      <c r="A1571" s="100"/>
      <c r="B1571" s="100"/>
      <c r="C1571" s="100"/>
      <c r="D1571" s="100"/>
      <c r="E1571" s="100"/>
      <c r="F1571" s="100"/>
      <c r="G1571" s="100"/>
      <c r="H1571" s="100"/>
      <c r="I1571" s="100"/>
      <c r="J1571" s="100"/>
      <c r="K1571" s="100"/>
      <c r="L1571" s="100"/>
      <c r="M1571" s="100"/>
      <c r="N1571" s="100"/>
      <c r="O1571" s="100"/>
      <c r="P1571" s="100"/>
      <c r="Q1571" s="100"/>
      <c r="R1571" s="100"/>
      <c r="S1571" s="100"/>
      <c r="T1571" s="100"/>
      <c r="U1571" s="100"/>
      <c r="V1571" s="100"/>
      <c r="W1571" s="100"/>
      <c r="X1571" s="100"/>
      <c r="Y1571" s="100"/>
      <c r="Z1571" s="100"/>
    </row>
    <row r="1572" spans="1:26">
      <c r="A1572" s="100"/>
      <c r="B1572" s="100"/>
      <c r="C1572" s="100"/>
      <c r="D1572" s="100"/>
      <c r="E1572" s="100"/>
      <c r="F1572" s="100"/>
      <c r="G1572" s="100"/>
      <c r="H1572" s="100"/>
      <c r="I1572" s="100"/>
      <c r="J1572" s="100"/>
      <c r="K1572" s="100"/>
      <c r="L1572" s="100"/>
      <c r="M1572" s="100"/>
      <c r="N1572" s="100"/>
      <c r="O1572" s="100"/>
      <c r="P1572" s="100"/>
      <c r="Q1572" s="100"/>
      <c r="R1572" s="100"/>
      <c r="S1572" s="100"/>
      <c r="T1572" s="100"/>
      <c r="U1572" s="100"/>
      <c r="V1572" s="100"/>
      <c r="W1572" s="100"/>
      <c r="X1572" s="100"/>
      <c r="Y1572" s="100"/>
      <c r="Z1572" s="100"/>
    </row>
    <row r="1573" spans="1:26">
      <c r="A1573" s="100"/>
      <c r="B1573" s="100"/>
      <c r="C1573" s="100"/>
      <c r="D1573" s="100"/>
      <c r="E1573" s="100"/>
      <c r="F1573" s="100"/>
      <c r="G1573" s="100"/>
      <c r="H1573" s="100"/>
      <c r="I1573" s="100"/>
      <c r="J1573" s="100"/>
      <c r="K1573" s="100"/>
      <c r="L1573" s="100"/>
      <c r="M1573" s="100"/>
      <c r="N1573" s="100"/>
      <c r="O1573" s="100"/>
      <c r="P1573" s="100"/>
      <c r="Q1573" s="100"/>
      <c r="R1573" s="100"/>
      <c r="S1573" s="100"/>
      <c r="T1573" s="100"/>
      <c r="U1573" s="100"/>
      <c r="V1573" s="100"/>
      <c r="W1573" s="100"/>
      <c r="X1573" s="100"/>
      <c r="Y1573" s="100"/>
      <c r="Z1573" s="100"/>
    </row>
    <row r="1574" spans="1:26">
      <c r="A1574" s="100"/>
      <c r="B1574" s="100"/>
      <c r="C1574" s="100"/>
      <c r="D1574" s="100"/>
      <c r="E1574" s="100"/>
      <c r="F1574" s="100"/>
      <c r="G1574" s="100"/>
      <c r="H1574" s="100"/>
      <c r="I1574" s="100"/>
      <c r="J1574" s="100"/>
      <c r="K1574" s="100"/>
      <c r="L1574" s="100"/>
      <c r="M1574" s="100"/>
      <c r="N1574" s="100"/>
      <c r="O1574" s="100"/>
      <c r="P1574" s="100"/>
      <c r="Q1574" s="100"/>
      <c r="R1574" s="100"/>
      <c r="S1574" s="100"/>
      <c r="T1574" s="100"/>
      <c r="U1574" s="100"/>
      <c r="V1574" s="100"/>
      <c r="W1574" s="100"/>
      <c r="X1574" s="100"/>
      <c r="Y1574" s="100"/>
      <c r="Z1574" s="100"/>
    </row>
    <row r="1575" spans="1:26">
      <c r="A1575" s="100"/>
      <c r="B1575" s="100"/>
      <c r="C1575" s="100"/>
      <c r="D1575" s="100"/>
      <c r="E1575" s="100"/>
      <c r="F1575" s="100"/>
      <c r="G1575" s="100"/>
      <c r="H1575" s="100"/>
      <c r="I1575" s="100"/>
      <c r="J1575" s="100"/>
      <c r="K1575" s="100"/>
      <c r="L1575" s="100"/>
      <c r="M1575" s="100"/>
      <c r="N1575" s="100"/>
      <c r="O1575" s="100"/>
      <c r="P1575" s="100"/>
      <c r="Q1575" s="100"/>
      <c r="R1575" s="100"/>
      <c r="S1575" s="100"/>
      <c r="T1575" s="100"/>
      <c r="U1575" s="100"/>
      <c r="V1575" s="100"/>
      <c r="W1575" s="100"/>
      <c r="X1575" s="100"/>
      <c r="Y1575" s="100"/>
      <c r="Z1575" s="100"/>
    </row>
    <row r="1576" spans="1:26">
      <c r="A1576" s="100"/>
      <c r="B1576" s="100"/>
      <c r="C1576" s="100"/>
      <c r="D1576" s="100"/>
      <c r="E1576" s="100"/>
      <c r="F1576" s="100"/>
      <c r="G1576" s="100"/>
      <c r="H1576" s="100"/>
      <c r="I1576" s="100"/>
      <c r="J1576" s="100"/>
      <c r="K1576" s="100"/>
      <c r="L1576" s="100"/>
      <c r="M1576" s="100"/>
      <c r="N1576" s="100"/>
      <c r="O1576" s="100"/>
      <c r="P1576" s="100"/>
      <c r="Q1576" s="100"/>
      <c r="R1576" s="100"/>
      <c r="S1576" s="100"/>
      <c r="T1576" s="100"/>
      <c r="U1576" s="100"/>
      <c r="V1576" s="100"/>
      <c r="W1576" s="100"/>
      <c r="X1576" s="100"/>
      <c r="Y1576" s="100"/>
      <c r="Z1576" s="100"/>
    </row>
    <row r="1577" spans="1:26">
      <c r="A1577" s="100"/>
      <c r="B1577" s="100"/>
      <c r="C1577" s="100"/>
      <c r="D1577" s="100"/>
      <c r="E1577" s="100"/>
      <c r="F1577" s="100"/>
      <c r="G1577" s="100"/>
      <c r="H1577" s="100"/>
      <c r="I1577" s="100"/>
      <c r="J1577" s="100"/>
      <c r="K1577" s="100"/>
      <c r="L1577" s="100"/>
      <c r="M1577" s="100"/>
      <c r="N1577" s="100"/>
      <c r="O1577" s="100"/>
      <c r="P1577" s="100"/>
      <c r="Q1577" s="100"/>
      <c r="R1577" s="100"/>
      <c r="S1577" s="100"/>
      <c r="T1577" s="100"/>
      <c r="U1577" s="100"/>
      <c r="V1577" s="100"/>
      <c r="W1577" s="100"/>
      <c r="X1577" s="100"/>
      <c r="Y1577" s="100"/>
      <c r="Z1577" s="100"/>
    </row>
    <row r="1578" spans="1:26">
      <c r="A1578" s="100"/>
      <c r="B1578" s="100"/>
      <c r="C1578" s="100"/>
      <c r="D1578" s="100"/>
      <c r="E1578" s="100"/>
      <c r="F1578" s="100"/>
      <c r="G1578" s="100"/>
      <c r="H1578" s="100"/>
      <c r="I1578" s="100"/>
      <c r="J1578" s="100"/>
      <c r="K1578" s="100"/>
      <c r="L1578" s="100"/>
      <c r="M1578" s="100"/>
      <c r="N1578" s="100"/>
      <c r="O1578" s="100"/>
      <c r="P1578" s="100"/>
      <c r="Q1578" s="100"/>
      <c r="R1578" s="100"/>
      <c r="S1578" s="100"/>
      <c r="T1578" s="100"/>
      <c r="U1578" s="100"/>
      <c r="V1578" s="100"/>
      <c r="W1578" s="100"/>
      <c r="X1578" s="100"/>
      <c r="Y1578" s="100"/>
      <c r="Z1578" s="100"/>
    </row>
    <row r="1579" spans="1:26">
      <c r="A1579" s="100"/>
      <c r="B1579" s="100"/>
      <c r="C1579" s="100"/>
      <c r="D1579" s="100"/>
      <c r="E1579" s="100"/>
      <c r="F1579" s="100"/>
      <c r="G1579" s="100"/>
      <c r="H1579" s="100"/>
      <c r="I1579" s="100"/>
      <c r="J1579" s="100"/>
      <c r="K1579" s="100"/>
      <c r="L1579" s="100"/>
      <c r="M1579" s="100"/>
      <c r="N1579" s="100"/>
      <c r="O1579" s="100"/>
      <c r="P1579" s="100"/>
      <c r="Q1579" s="100"/>
      <c r="R1579" s="100"/>
      <c r="S1579" s="100"/>
      <c r="T1579" s="100"/>
      <c r="U1579" s="100"/>
      <c r="V1579" s="100"/>
      <c r="W1579" s="100"/>
      <c r="X1579" s="100"/>
      <c r="Y1579" s="100"/>
      <c r="Z1579" s="100"/>
    </row>
    <row r="1580" spans="1:26">
      <c r="A1580" s="100"/>
      <c r="B1580" s="100"/>
      <c r="C1580" s="100"/>
      <c r="D1580" s="100"/>
      <c r="E1580" s="100"/>
      <c r="F1580" s="100"/>
      <c r="G1580" s="100"/>
      <c r="H1580" s="100"/>
      <c r="I1580" s="100"/>
      <c r="J1580" s="100"/>
      <c r="K1580" s="100"/>
      <c r="L1580" s="100"/>
      <c r="M1580" s="100"/>
      <c r="N1580" s="100"/>
      <c r="O1580" s="100"/>
      <c r="P1580" s="100"/>
      <c r="Q1580" s="100"/>
      <c r="R1580" s="100"/>
      <c r="S1580" s="100"/>
      <c r="T1580" s="100"/>
      <c r="U1580" s="100"/>
      <c r="V1580" s="100"/>
      <c r="W1580" s="100"/>
      <c r="X1580" s="100"/>
      <c r="Y1580" s="100"/>
      <c r="Z1580" s="100"/>
    </row>
    <row r="1581" spans="1:26">
      <c r="A1581" s="100"/>
      <c r="B1581" s="100"/>
      <c r="C1581" s="100"/>
      <c r="D1581" s="100"/>
      <c r="E1581" s="100"/>
      <c r="F1581" s="100"/>
      <c r="G1581" s="100"/>
      <c r="H1581" s="100"/>
      <c r="I1581" s="100"/>
      <c r="J1581" s="100"/>
      <c r="K1581" s="100"/>
      <c r="L1581" s="100"/>
      <c r="M1581" s="100"/>
      <c r="N1581" s="100"/>
      <c r="O1581" s="100"/>
      <c r="P1581" s="100"/>
      <c r="Q1581" s="100"/>
      <c r="R1581" s="100"/>
      <c r="S1581" s="100"/>
      <c r="T1581" s="100"/>
      <c r="U1581" s="100"/>
      <c r="V1581" s="100"/>
      <c r="W1581" s="100"/>
      <c r="X1581" s="100"/>
      <c r="Y1581" s="100"/>
      <c r="Z1581" s="100"/>
    </row>
    <row r="1582" spans="1:26">
      <c r="A1582" s="100"/>
      <c r="B1582" s="100"/>
      <c r="C1582" s="100"/>
      <c r="D1582" s="100"/>
      <c r="E1582" s="100"/>
      <c r="F1582" s="100"/>
      <c r="G1582" s="100"/>
      <c r="H1582" s="100"/>
      <c r="I1582" s="100"/>
      <c r="J1582" s="100"/>
      <c r="K1582" s="100"/>
      <c r="L1582" s="100"/>
      <c r="M1582" s="100"/>
      <c r="N1582" s="100"/>
      <c r="O1582" s="100"/>
      <c r="P1582" s="100"/>
      <c r="Q1582" s="100"/>
      <c r="R1582" s="100"/>
      <c r="S1582" s="100"/>
      <c r="T1582" s="100"/>
      <c r="U1582" s="100"/>
      <c r="V1582" s="100"/>
      <c r="W1582" s="100"/>
      <c r="X1582" s="100"/>
      <c r="Y1582" s="100"/>
      <c r="Z1582" s="100"/>
    </row>
    <row r="1583" spans="1:26">
      <c r="A1583" s="100"/>
      <c r="B1583" s="100"/>
      <c r="C1583" s="100"/>
      <c r="D1583" s="100"/>
      <c r="E1583" s="100"/>
      <c r="F1583" s="100"/>
      <c r="G1583" s="100"/>
      <c r="H1583" s="100"/>
      <c r="I1583" s="100"/>
      <c r="J1583" s="100"/>
      <c r="K1583" s="100"/>
      <c r="L1583" s="100"/>
      <c r="M1583" s="100"/>
      <c r="N1583" s="100"/>
      <c r="O1583" s="100"/>
      <c r="P1583" s="100"/>
      <c r="Q1583" s="100"/>
      <c r="R1583" s="100"/>
      <c r="S1583" s="100"/>
      <c r="T1583" s="100"/>
      <c r="U1583" s="100"/>
      <c r="V1583" s="100"/>
      <c r="W1583" s="100"/>
      <c r="X1583" s="100"/>
      <c r="Y1583" s="100"/>
      <c r="Z1583" s="100"/>
    </row>
    <row r="1584" spans="1:26">
      <c r="A1584" s="100"/>
      <c r="B1584" s="100"/>
      <c r="C1584" s="100"/>
      <c r="D1584" s="100"/>
      <c r="E1584" s="100"/>
      <c r="F1584" s="100"/>
      <c r="G1584" s="100"/>
      <c r="H1584" s="100"/>
      <c r="I1584" s="100"/>
      <c r="J1584" s="100"/>
      <c r="K1584" s="100"/>
      <c r="L1584" s="100"/>
      <c r="M1584" s="100"/>
      <c r="N1584" s="100"/>
      <c r="O1584" s="100"/>
      <c r="P1584" s="100"/>
      <c r="Q1584" s="100"/>
      <c r="R1584" s="100"/>
      <c r="S1584" s="100"/>
      <c r="T1584" s="100"/>
      <c r="U1584" s="100"/>
      <c r="V1584" s="100"/>
      <c r="W1584" s="100"/>
      <c r="X1584" s="100"/>
      <c r="Y1584" s="100"/>
      <c r="Z1584" s="100"/>
    </row>
    <row r="1585" spans="1:26">
      <c r="A1585" s="100"/>
      <c r="B1585" s="100"/>
      <c r="C1585" s="100"/>
      <c r="D1585" s="100"/>
      <c r="E1585" s="100"/>
      <c r="F1585" s="100"/>
      <c r="G1585" s="100"/>
      <c r="H1585" s="100"/>
      <c r="I1585" s="100"/>
      <c r="J1585" s="100"/>
      <c r="K1585" s="100"/>
      <c r="L1585" s="100"/>
      <c r="M1585" s="100"/>
      <c r="N1585" s="100"/>
      <c r="O1585" s="100"/>
      <c r="P1585" s="100"/>
      <c r="Q1585" s="100"/>
      <c r="R1585" s="100"/>
      <c r="S1585" s="100"/>
      <c r="T1585" s="100"/>
      <c r="U1585" s="100"/>
      <c r="V1585" s="100"/>
      <c r="W1585" s="100"/>
      <c r="X1585" s="100"/>
      <c r="Y1585" s="100"/>
      <c r="Z1585" s="100"/>
    </row>
    <row r="1586" spans="1:26">
      <c r="A1586" s="100"/>
      <c r="B1586" s="100"/>
      <c r="C1586" s="100"/>
      <c r="D1586" s="100"/>
      <c r="E1586" s="100"/>
      <c r="F1586" s="100"/>
      <c r="G1586" s="100"/>
      <c r="H1586" s="100"/>
      <c r="I1586" s="100"/>
      <c r="J1586" s="100"/>
      <c r="K1586" s="100"/>
      <c r="L1586" s="100"/>
      <c r="M1586" s="100"/>
      <c r="N1586" s="100"/>
      <c r="O1586" s="100"/>
      <c r="P1586" s="100"/>
      <c r="Q1586" s="100"/>
      <c r="R1586" s="100"/>
      <c r="S1586" s="100"/>
      <c r="T1586" s="100"/>
      <c r="U1586" s="100"/>
      <c r="V1586" s="100"/>
      <c r="W1586" s="100"/>
      <c r="X1586" s="100"/>
      <c r="Y1586" s="100"/>
      <c r="Z1586" s="100"/>
    </row>
    <row r="1587" spans="1:26">
      <c r="A1587" s="100"/>
      <c r="B1587" s="100"/>
      <c r="C1587" s="100"/>
      <c r="D1587" s="100"/>
      <c r="E1587" s="100"/>
      <c r="F1587" s="100"/>
      <c r="G1587" s="100"/>
      <c r="H1587" s="100"/>
      <c r="I1587" s="100"/>
      <c r="J1587" s="100"/>
      <c r="K1587" s="100"/>
      <c r="L1587" s="100"/>
      <c r="M1587" s="100"/>
      <c r="N1587" s="100"/>
      <c r="O1587" s="100"/>
      <c r="P1587" s="100"/>
      <c r="Q1587" s="100"/>
      <c r="R1587" s="100"/>
      <c r="S1587" s="100"/>
      <c r="T1587" s="100"/>
      <c r="U1587" s="100"/>
      <c r="V1587" s="100"/>
      <c r="W1587" s="100"/>
      <c r="X1587" s="100"/>
      <c r="Y1587" s="100"/>
      <c r="Z1587" s="100"/>
    </row>
    <row r="1588" spans="1:26">
      <c r="A1588" s="100"/>
      <c r="B1588" s="100"/>
      <c r="C1588" s="100"/>
      <c r="D1588" s="100"/>
      <c r="E1588" s="100"/>
      <c r="F1588" s="100"/>
      <c r="G1588" s="100"/>
      <c r="H1588" s="100"/>
      <c r="I1588" s="100"/>
      <c r="J1588" s="100"/>
      <c r="K1588" s="100"/>
      <c r="L1588" s="100"/>
      <c r="M1588" s="100"/>
      <c r="N1588" s="100"/>
      <c r="O1588" s="100"/>
      <c r="P1588" s="100"/>
      <c r="Q1588" s="100"/>
      <c r="R1588" s="100"/>
      <c r="S1588" s="100"/>
      <c r="T1588" s="100"/>
      <c r="U1588" s="100"/>
      <c r="V1588" s="100"/>
      <c r="W1588" s="100"/>
      <c r="X1588" s="100"/>
      <c r="Y1588" s="100"/>
      <c r="Z1588" s="100"/>
    </row>
    <row r="1589" spans="1:26">
      <c r="A1589" s="100"/>
      <c r="B1589" s="100"/>
      <c r="C1589" s="100"/>
      <c r="D1589" s="100"/>
      <c r="E1589" s="100"/>
      <c r="F1589" s="100"/>
      <c r="G1589" s="100"/>
      <c r="H1589" s="100"/>
      <c r="I1589" s="100"/>
      <c r="J1589" s="100"/>
      <c r="K1589" s="100"/>
      <c r="L1589" s="100"/>
      <c r="M1589" s="100"/>
      <c r="N1589" s="100"/>
      <c r="O1589" s="100"/>
      <c r="P1589" s="100"/>
      <c r="Q1589" s="100"/>
      <c r="R1589" s="100"/>
      <c r="S1589" s="100"/>
      <c r="T1589" s="100"/>
      <c r="U1589" s="100"/>
      <c r="V1589" s="100"/>
      <c r="W1589" s="100"/>
      <c r="X1589" s="100"/>
      <c r="Y1589" s="100"/>
      <c r="Z1589" s="100"/>
    </row>
    <row r="1590" spans="1:26">
      <c r="A1590" s="100"/>
      <c r="B1590" s="100"/>
      <c r="C1590" s="100"/>
      <c r="D1590" s="100"/>
      <c r="E1590" s="100"/>
      <c r="F1590" s="100"/>
      <c r="G1590" s="100"/>
      <c r="H1590" s="100"/>
      <c r="I1590" s="100"/>
      <c r="J1590" s="100"/>
      <c r="K1590" s="100"/>
      <c r="L1590" s="100"/>
      <c r="M1590" s="100"/>
      <c r="N1590" s="100"/>
      <c r="O1590" s="100"/>
      <c r="P1590" s="100"/>
      <c r="Q1590" s="100"/>
      <c r="R1590" s="100"/>
      <c r="S1590" s="100"/>
      <c r="T1590" s="100"/>
      <c r="U1590" s="100"/>
      <c r="V1590" s="100"/>
      <c r="W1590" s="100"/>
      <c r="X1590" s="100"/>
      <c r="Y1590" s="100"/>
      <c r="Z1590" s="100"/>
    </row>
    <row r="1591" spans="1:26">
      <c r="A1591" s="100"/>
      <c r="B1591" s="100"/>
      <c r="C1591" s="100"/>
      <c r="D1591" s="100"/>
      <c r="E1591" s="100"/>
      <c r="F1591" s="100"/>
      <c r="G1591" s="100"/>
      <c r="H1591" s="100"/>
      <c r="I1591" s="100"/>
      <c r="J1591" s="100"/>
      <c r="K1591" s="100"/>
      <c r="L1591" s="100"/>
      <c r="M1591" s="100"/>
      <c r="N1591" s="100"/>
      <c r="O1591" s="100"/>
      <c r="P1591" s="100"/>
      <c r="Q1591" s="100"/>
      <c r="R1591" s="100"/>
      <c r="S1591" s="100"/>
      <c r="T1591" s="100"/>
      <c r="U1591" s="100"/>
      <c r="V1591" s="100"/>
      <c r="W1591" s="100"/>
      <c r="X1591" s="100"/>
      <c r="Y1591" s="100"/>
      <c r="Z1591" s="100"/>
    </row>
    <row r="1592" spans="1:26">
      <c r="A1592" s="100"/>
      <c r="B1592" s="100"/>
      <c r="C1592" s="100"/>
      <c r="D1592" s="100"/>
      <c r="E1592" s="100"/>
      <c r="F1592" s="100"/>
      <c r="G1592" s="100"/>
      <c r="H1592" s="100"/>
      <c r="I1592" s="100"/>
      <c r="J1592" s="100"/>
      <c r="K1592" s="100"/>
      <c r="L1592" s="100"/>
      <c r="M1592" s="100"/>
      <c r="N1592" s="100"/>
      <c r="O1592" s="100"/>
      <c r="P1592" s="100"/>
      <c r="Q1592" s="100"/>
      <c r="R1592" s="100"/>
      <c r="S1592" s="100"/>
      <c r="T1592" s="100"/>
      <c r="U1592" s="100"/>
      <c r="V1592" s="100"/>
      <c r="W1592" s="100"/>
      <c r="X1592" s="100"/>
      <c r="Y1592" s="100"/>
      <c r="Z1592" s="100"/>
    </row>
    <row r="1593" spans="1:26">
      <c r="A1593" s="100"/>
      <c r="B1593" s="100"/>
      <c r="C1593" s="100"/>
      <c r="D1593" s="100"/>
      <c r="E1593" s="100"/>
      <c r="F1593" s="100"/>
      <c r="G1593" s="100"/>
      <c r="H1593" s="100"/>
      <c r="I1593" s="100"/>
      <c r="J1593" s="100"/>
      <c r="K1593" s="100"/>
      <c r="L1593" s="100"/>
      <c r="M1593" s="100"/>
      <c r="N1593" s="100"/>
      <c r="O1593" s="100"/>
      <c r="P1593" s="100"/>
      <c r="Q1593" s="100"/>
      <c r="R1593" s="100"/>
      <c r="S1593" s="100"/>
      <c r="T1593" s="100"/>
      <c r="U1593" s="100"/>
      <c r="V1593" s="100"/>
      <c r="W1593" s="100"/>
      <c r="X1593" s="100"/>
      <c r="Y1593" s="100"/>
      <c r="Z1593" s="100"/>
    </row>
    <row r="1594" spans="1:26">
      <c r="A1594" s="100"/>
      <c r="B1594" s="100"/>
      <c r="C1594" s="100"/>
      <c r="D1594" s="100"/>
      <c r="E1594" s="100"/>
      <c r="F1594" s="100"/>
      <c r="G1594" s="100"/>
      <c r="H1594" s="100"/>
      <c r="I1594" s="100"/>
      <c r="J1594" s="100"/>
      <c r="K1594" s="100"/>
      <c r="L1594" s="100"/>
      <c r="M1594" s="100"/>
      <c r="N1594" s="100"/>
      <c r="O1594" s="100"/>
      <c r="P1594" s="100"/>
      <c r="Q1594" s="100"/>
      <c r="R1594" s="100"/>
      <c r="S1594" s="100"/>
      <c r="T1594" s="100"/>
      <c r="U1594" s="100"/>
      <c r="V1594" s="100"/>
      <c r="W1594" s="100"/>
      <c r="X1594" s="100"/>
      <c r="Y1594" s="100"/>
      <c r="Z1594" s="100"/>
    </row>
    <row r="1595" spans="1:26">
      <c r="A1595" s="100"/>
      <c r="B1595" s="100"/>
      <c r="C1595" s="100"/>
      <c r="D1595" s="100"/>
      <c r="E1595" s="100"/>
      <c r="F1595" s="100"/>
      <c r="G1595" s="100"/>
      <c r="H1595" s="100"/>
      <c r="I1595" s="100"/>
      <c r="J1595" s="100"/>
      <c r="K1595" s="100"/>
      <c r="L1595" s="100"/>
      <c r="M1595" s="100"/>
      <c r="N1595" s="100"/>
      <c r="O1595" s="100"/>
      <c r="P1595" s="100"/>
      <c r="Q1595" s="100"/>
      <c r="R1595" s="100"/>
      <c r="S1595" s="100"/>
      <c r="T1595" s="100"/>
      <c r="U1595" s="100"/>
      <c r="V1595" s="100"/>
      <c r="W1595" s="100"/>
      <c r="X1595" s="100"/>
      <c r="Y1595" s="100"/>
      <c r="Z1595" s="100"/>
    </row>
    <row r="1596" spans="1:26">
      <c r="A1596" s="100"/>
      <c r="B1596" s="100"/>
      <c r="C1596" s="100"/>
      <c r="D1596" s="100"/>
      <c r="E1596" s="100"/>
      <c r="F1596" s="100"/>
      <c r="G1596" s="100"/>
      <c r="H1596" s="100"/>
      <c r="I1596" s="100"/>
      <c r="J1596" s="100"/>
      <c r="K1596" s="100"/>
      <c r="L1596" s="100"/>
      <c r="M1596" s="100"/>
      <c r="N1596" s="100"/>
      <c r="O1596" s="100"/>
      <c r="P1596" s="100"/>
      <c r="Q1596" s="100"/>
      <c r="R1596" s="100"/>
      <c r="S1596" s="100"/>
      <c r="T1596" s="100"/>
      <c r="U1596" s="100"/>
      <c r="V1596" s="100"/>
      <c r="W1596" s="100"/>
      <c r="X1596" s="100"/>
      <c r="Y1596" s="100"/>
      <c r="Z1596" s="100"/>
    </row>
    <row r="1597" spans="1:26">
      <c r="A1597" s="100"/>
      <c r="B1597" s="100"/>
      <c r="C1597" s="100"/>
      <c r="D1597" s="100"/>
      <c r="E1597" s="100"/>
      <c r="F1597" s="100"/>
      <c r="G1597" s="100"/>
      <c r="H1597" s="100"/>
      <c r="I1597" s="100"/>
      <c r="J1597" s="100"/>
      <c r="K1597" s="100"/>
      <c r="L1597" s="100"/>
      <c r="M1597" s="100"/>
      <c r="N1597" s="100"/>
      <c r="O1597" s="100"/>
      <c r="P1597" s="100"/>
      <c r="Q1597" s="100"/>
      <c r="R1597" s="100"/>
      <c r="S1597" s="100"/>
      <c r="T1597" s="100"/>
      <c r="U1597" s="100"/>
      <c r="V1597" s="100"/>
      <c r="W1597" s="100"/>
      <c r="X1597" s="100"/>
      <c r="Y1597" s="100"/>
      <c r="Z1597" s="100"/>
    </row>
    <row r="1598" spans="1:26">
      <c r="A1598" s="100"/>
      <c r="B1598" s="100"/>
      <c r="C1598" s="100"/>
      <c r="D1598" s="100"/>
      <c r="E1598" s="100"/>
      <c r="F1598" s="100"/>
      <c r="G1598" s="100"/>
      <c r="H1598" s="100"/>
      <c r="I1598" s="100"/>
      <c r="J1598" s="100"/>
      <c r="K1598" s="100"/>
      <c r="L1598" s="100"/>
      <c r="M1598" s="100"/>
      <c r="N1598" s="100"/>
      <c r="O1598" s="100"/>
      <c r="P1598" s="100"/>
      <c r="Q1598" s="100"/>
      <c r="R1598" s="100"/>
      <c r="S1598" s="100"/>
      <c r="T1598" s="100"/>
      <c r="U1598" s="100"/>
      <c r="V1598" s="100"/>
      <c r="W1598" s="100"/>
      <c r="X1598" s="100"/>
      <c r="Y1598" s="100"/>
      <c r="Z1598" s="100"/>
    </row>
    <row r="1599" spans="1:26">
      <c r="A1599" s="100"/>
      <c r="B1599" s="100"/>
      <c r="C1599" s="100"/>
      <c r="D1599" s="100"/>
      <c r="E1599" s="100"/>
      <c r="F1599" s="100"/>
      <c r="G1599" s="100"/>
      <c r="H1599" s="100"/>
      <c r="I1599" s="100"/>
      <c r="J1599" s="100"/>
      <c r="K1599" s="100"/>
      <c r="L1599" s="100"/>
      <c r="M1599" s="100"/>
      <c r="N1599" s="100"/>
      <c r="O1599" s="100"/>
      <c r="P1599" s="100"/>
      <c r="Q1599" s="100"/>
      <c r="R1599" s="100"/>
      <c r="S1599" s="100"/>
      <c r="T1599" s="100"/>
      <c r="U1599" s="100"/>
      <c r="V1599" s="100"/>
      <c r="W1599" s="100"/>
      <c r="X1599" s="100"/>
      <c r="Y1599" s="100"/>
      <c r="Z1599" s="100"/>
    </row>
    <row r="1600" spans="1:26">
      <c r="A1600" s="100"/>
      <c r="B1600" s="100"/>
      <c r="C1600" s="100"/>
      <c r="D1600" s="100"/>
      <c r="E1600" s="100"/>
      <c r="F1600" s="100"/>
      <c r="G1600" s="100"/>
      <c r="H1600" s="100"/>
      <c r="I1600" s="100"/>
      <c r="J1600" s="100"/>
      <c r="K1600" s="100"/>
      <c r="L1600" s="100"/>
      <c r="M1600" s="100"/>
      <c r="N1600" s="100"/>
      <c r="O1600" s="100"/>
      <c r="P1600" s="100"/>
      <c r="Q1600" s="100"/>
      <c r="R1600" s="100"/>
      <c r="S1600" s="100"/>
      <c r="T1600" s="100"/>
      <c r="U1600" s="100"/>
      <c r="V1600" s="100"/>
      <c r="W1600" s="100"/>
      <c r="X1600" s="100"/>
      <c r="Y1600" s="100"/>
      <c r="Z1600" s="100"/>
    </row>
    <row r="1601" spans="1:26">
      <c r="A1601" s="100"/>
      <c r="B1601" s="100"/>
      <c r="C1601" s="100"/>
      <c r="D1601" s="100"/>
      <c r="E1601" s="100"/>
      <c r="F1601" s="100"/>
      <c r="G1601" s="100"/>
      <c r="H1601" s="100"/>
      <c r="I1601" s="100"/>
      <c r="J1601" s="100"/>
      <c r="K1601" s="100"/>
      <c r="L1601" s="100"/>
      <c r="M1601" s="100"/>
      <c r="N1601" s="100"/>
      <c r="O1601" s="100"/>
      <c r="P1601" s="100"/>
      <c r="Q1601" s="100"/>
      <c r="R1601" s="100"/>
      <c r="S1601" s="100"/>
      <c r="T1601" s="100"/>
      <c r="U1601" s="100"/>
      <c r="V1601" s="100"/>
      <c r="W1601" s="100"/>
      <c r="X1601" s="100"/>
      <c r="Y1601" s="100"/>
      <c r="Z1601" s="100"/>
    </row>
    <row r="1602" spans="1:26">
      <c r="A1602" s="100"/>
      <c r="B1602" s="100"/>
      <c r="C1602" s="100"/>
      <c r="D1602" s="100"/>
      <c r="E1602" s="100"/>
      <c r="F1602" s="100"/>
      <c r="G1602" s="100"/>
      <c r="H1602" s="100"/>
      <c r="I1602" s="100"/>
      <c r="J1602" s="100"/>
      <c r="K1602" s="100"/>
      <c r="L1602" s="100"/>
      <c r="M1602" s="100"/>
      <c r="N1602" s="100"/>
      <c r="O1602" s="100"/>
      <c r="P1602" s="100"/>
      <c r="Q1602" s="100"/>
      <c r="R1602" s="100"/>
      <c r="S1602" s="100"/>
      <c r="T1602" s="100"/>
      <c r="U1602" s="100"/>
      <c r="V1602" s="100"/>
      <c r="W1602" s="100"/>
      <c r="X1602" s="100"/>
      <c r="Y1602" s="100"/>
      <c r="Z1602" s="100"/>
    </row>
    <row r="1603" spans="1:26">
      <c r="A1603" s="100"/>
      <c r="B1603" s="100"/>
      <c r="C1603" s="100"/>
      <c r="D1603" s="100"/>
      <c r="E1603" s="100"/>
      <c r="F1603" s="100"/>
      <c r="G1603" s="100"/>
      <c r="H1603" s="100"/>
      <c r="I1603" s="100"/>
      <c r="J1603" s="100"/>
      <c r="K1603" s="100"/>
      <c r="L1603" s="100"/>
      <c r="M1603" s="100"/>
      <c r="N1603" s="100"/>
      <c r="O1603" s="100"/>
      <c r="P1603" s="100"/>
      <c r="Q1603" s="100"/>
      <c r="R1603" s="100"/>
      <c r="S1603" s="100"/>
      <c r="T1603" s="100"/>
      <c r="U1603" s="100"/>
      <c r="V1603" s="100"/>
      <c r="W1603" s="100"/>
      <c r="X1603" s="100"/>
      <c r="Y1603" s="100"/>
      <c r="Z1603" s="100"/>
    </row>
    <row r="1604" spans="1:26">
      <c r="A1604" s="100"/>
      <c r="B1604" s="100"/>
      <c r="C1604" s="100"/>
      <c r="D1604" s="100"/>
      <c r="E1604" s="100"/>
      <c r="F1604" s="100"/>
      <c r="G1604" s="100"/>
      <c r="H1604" s="100"/>
      <c r="I1604" s="100"/>
      <c r="J1604" s="100"/>
      <c r="K1604" s="100"/>
      <c r="L1604" s="100"/>
      <c r="M1604" s="100"/>
      <c r="N1604" s="100"/>
      <c r="O1604" s="100"/>
      <c r="P1604" s="100"/>
      <c r="Q1604" s="100"/>
      <c r="R1604" s="100"/>
      <c r="S1604" s="100"/>
      <c r="T1604" s="100"/>
      <c r="U1604" s="100"/>
      <c r="V1604" s="100"/>
      <c r="W1604" s="100"/>
      <c r="X1604" s="100"/>
      <c r="Y1604" s="100"/>
      <c r="Z1604" s="100"/>
    </row>
    <row r="1605" spans="1:26">
      <c r="A1605" s="100"/>
      <c r="B1605" s="100"/>
      <c r="C1605" s="100"/>
      <c r="D1605" s="100"/>
      <c r="E1605" s="100"/>
      <c r="F1605" s="100"/>
      <c r="G1605" s="100"/>
      <c r="H1605" s="100"/>
      <c r="I1605" s="100"/>
      <c r="J1605" s="100"/>
      <c r="K1605" s="100"/>
      <c r="L1605" s="100"/>
      <c r="M1605" s="100"/>
      <c r="N1605" s="100"/>
      <c r="O1605" s="100"/>
      <c r="P1605" s="100"/>
      <c r="Q1605" s="100"/>
      <c r="R1605" s="100"/>
      <c r="S1605" s="100"/>
      <c r="T1605" s="100"/>
      <c r="U1605" s="100"/>
      <c r="V1605" s="100"/>
      <c r="W1605" s="100"/>
      <c r="X1605" s="100"/>
      <c r="Y1605" s="100"/>
      <c r="Z1605" s="100"/>
    </row>
    <row r="1606" spans="1:26">
      <c r="A1606" s="100"/>
      <c r="B1606" s="100"/>
      <c r="C1606" s="100"/>
      <c r="D1606" s="100"/>
      <c r="E1606" s="100"/>
      <c r="F1606" s="100"/>
      <c r="G1606" s="100"/>
      <c r="H1606" s="100"/>
      <c r="I1606" s="100"/>
      <c r="J1606" s="100"/>
      <c r="K1606" s="100"/>
      <c r="L1606" s="100"/>
      <c r="M1606" s="100"/>
      <c r="N1606" s="100"/>
      <c r="O1606" s="100"/>
      <c r="P1606" s="100"/>
      <c r="Q1606" s="100"/>
      <c r="R1606" s="100"/>
      <c r="S1606" s="100"/>
      <c r="T1606" s="100"/>
      <c r="U1606" s="100"/>
      <c r="V1606" s="100"/>
      <c r="W1606" s="100"/>
      <c r="X1606" s="100"/>
      <c r="Y1606" s="100"/>
      <c r="Z1606" s="100"/>
    </row>
    <row r="1607" spans="1:26">
      <c r="A1607" s="100"/>
      <c r="B1607" s="100"/>
      <c r="C1607" s="100"/>
      <c r="D1607" s="100"/>
      <c r="E1607" s="100"/>
      <c r="F1607" s="100"/>
      <c r="G1607" s="100"/>
      <c r="H1607" s="100"/>
      <c r="I1607" s="100"/>
      <c r="J1607" s="100"/>
      <c r="K1607" s="100"/>
      <c r="L1607" s="100"/>
      <c r="M1607" s="100"/>
      <c r="N1607" s="100"/>
      <c r="O1607" s="100"/>
      <c r="P1607" s="100"/>
      <c r="Q1607" s="100"/>
      <c r="R1607" s="100"/>
      <c r="S1607" s="100"/>
      <c r="T1607" s="100"/>
      <c r="U1607" s="100"/>
      <c r="V1607" s="100"/>
      <c r="W1607" s="100"/>
      <c r="X1607" s="100"/>
      <c r="Y1607" s="100"/>
      <c r="Z1607" s="100"/>
    </row>
    <row r="1608" spans="1:26">
      <c r="A1608" s="100"/>
      <c r="B1608" s="100"/>
      <c r="C1608" s="100"/>
      <c r="D1608" s="100"/>
      <c r="E1608" s="100"/>
      <c r="F1608" s="100"/>
      <c r="G1608" s="100"/>
      <c r="H1608" s="100"/>
      <c r="I1608" s="100"/>
      <c r="J1608" s="100"/>
      <c r="K1608" s="100"/>
      <c r="L1608" s="100"/>
      <c r="M1608" s="100"/>
      <c r="N1608" s="100"/>
      <c r="O1608" s="100"/>
      <c r="P1608" s="100"/>
      <c r="Q1608" s="100"/>
      <c r="R1608" s="100"/>
      <c r="S1608" s="100"/>
      <c r="T1608" s="100"/>
      <c r="U1608" s="100"/>
      <c r="V1608" s="100"/>
      <c r="W1608" s="100"/>
      <c r="X1608" s="100"/>
      <c r="Y1608" s="100"/>
      <c r="Z1608" s="100"/>
    </row>
    <row r="1609" spans="1:26">
      <c r="A1609" s="100"/>
      <c r="B1609" s="100"/>
      <c r="C1609" s="100"/>
      <c r="D1609" s="100"/>
      <c r="E1609" s="100"/>
      <c r="F1609" s="100"/>
      <c r="G1609" s="100"/>
      <c r="H1609" s="100"/>
      <c r="I1609" s="100"/>
      <c r="J1609" s="100"/>
      <c r="K1609" s="100"/>
      <c r="L1609" s="100"/>
      <c r="M1609" s="100"/>
      <c r="N1609" s="100"/>
      <c r="O1609" s="100"/>
      <c r="P1609" s="100"/>
      <c r="Q1609" s="100"/>
      <c r="R1609" s="100"/>
      <c r="S1609" s="100"/>
      <c r="T1609" s="100"/>
      <c r="U1609" s="100"/>
      <c r="V1609" s="100"/>
      <c r="W1609" s="100"/>
      <c r="X1609" s="100"/>
      <c r="Y1609" s="100"/>
      <c r="Z1609" s="100"/>
    </row>
    <row r="1610" spans="1:26">
      <c r="A1610" s="100"/>
      <c r="B1610" s="100"/>
      <c r="C1610" s="100"/>
      <c r="D1610" s="100"/>
      <c r="E1610" s="100"/>
      <c r="F1610" s="100"/>
      <c r="G1610" s="100"/>
      <c r="H1610" s="100"/>
      <c r="I1610" s="100"/>
      <c r="J1610" s="100"/>
      <c r="K1610" s="100"/>
      <c r="L1610" s="100"/>
      <c r="M1610" s="100"/>
      <c r="N1610" s="100"/>
      <c r="O1610" s="100"/>
      <c r="P1610" s="100"/>
      <c r="Q1610" s="100"/>
      <c r="R1610" s="100"/>
      <c r="S1610" s="100"/>
      <c r="T1610" s="100"/>
      <c r="U1610" s="100"/>
      <c r="V1610" s="100"/>
      <c r="W1610" s="100"/>
      <c r="X1610" s="100"/>
      <c r="Y1610" s="100"/>
      <c r="Z1610" s="100"/>
    </row>
    <row r="1611" spans="1:26">
      <c r="A1611" s="100"/>
      <c r="B1611" s="100"/>
      <c r="C1611" s="100"/>
      <c r="D1611" s="100"/>
      <c r="E1611" s="100"/>
      <c r="F1611" s="100"/>
      <c r="G1611" s="100"/>
      <c r="H1611" s="100"/>
      <c r="I1611" s="100"/>
      <c r="J1611" s="100"/>
      <c r="K1611" s="100"/>
      <c r="L1611" s="100"/>
      <c r="M1611" s="100"/>
      <c r="N1611" s="100"/>
      <c r="O1611" s="100"/>
      <c r="P1611" s="100"/>
      <c r="Q1611" s="100"/>
      <c r="R1611" s="100"/>
      <c r="S1611" s="100"/>
      <c r="T1611" s="100"/>
      <c r="U1611" s="100"/>
      <c r="V1611" s="100"/>
      <c r="W1611" s="100"/>
      <c r="X1611" s="100"/>
      <c r="Y1611" s="100"/>
      <c r="Z1611" s="100"/>
    </row>
    <row r="1612" spans="1:26">
      <c r="A1612" s="100"/>
      <c r="B1612" s="100"/>
      <c r="C1612" s="100"/>
      <c r="D1612" s="100"/>
      <c r="E1612" s="100"/>
      <c r="F1612" s="100"/>
      <c r="G1612" s="100"/>
      <c r="H1612" s="100"/>
      <c r="I1612" s="100"/>
      <c r="J1612" s="100"/>
      <c r="K1612" s="100"/>
      <c r="L1612" s="100"/>
      <c r="M1612" s="100"/>
      <c r="N1612" s="100"/>
      <c r="O1612" s="100"/>
      <c r="P1612" s="100"/>
      <c r="Q1612" s="100"/>
      <c r="R1612" s="100"/>
      <c r="S1612" s="100"/>
      <c r="T1612" s="100"/>
      <c r="U1612" s="100"/>
      <c r="V1612" s="100"/>
      <c r="W1612" s="100"/>
      <c r="X1612" s="100"/>
      <c r="Y1612" s="100"/>
      <c r="Z1612" s="100"/>
    </row>
    <row r="1613" spans="1:26">
      <c r="A1613" s="100"/>
      <c r="B1613" s="100"/>
      <c r="C1613" s="100"/>
      <c r="D1613" s="100"/>
      <c r="E1613" s="100"/>
      <c r="F1613" s="100"/>
      <c r="G1613" s="100"/>
      <c r="H1613" s="100"/>
      <c r="I1613" s="100"/>
      <c r="J1613" s="100"/>
      <c r="K1613" s="100"/>
      <c r="L1613" s="100"/>
      <c r="M1613" s="100"/>
      <c r="N1613" s="100"/>
      <c r="O1613" s="100"/>
      <c r="P1613" s="100"/>
      <c r="Q1613" s="100"/>
      <c r="R1613" s="100"/>
      <c r="S1613" s="100"/>
      <c r="T1613" s="100"/>
      <c r="U1613" s="100"/>
      <c r="V1613" s="100"/>
      <c r="W1613" s="100"/>
      <c r="X1613" s="100"/>
      <c r="Y1613" s="100"/>
      <c r="Z1613" s="100"/>
    </row>
    <row r="1614" spans="1:26">
      <c r="A1614" s="100"/>
      <c r="B1614" s="100"/>
      <c r="C1614" s="100"/>
      <c r="D1614" s="100"/>
      <c r="E1614" s="100"/>
      <c r="F1614" s="100"/>
      <c r="G1614" s="100"/>
      <c r="H1614" s="100"/>
      <c r="I1614" s="100"/>
      <c r="J1614" s="100"/>
      <c r="K1614" s="100"/>
      <c r="L1614" s="100"/>
      <c r="M1614" s="100"/>
      <c r="N1614" s="100"/>
      <c r="O1614" s="100"/>
      <c r="P1614" s="100"/>
      <c r="Q1614" s="100"/>
      <c r="R1614" s="100"/>
      <c r="S1614" s="100"/>
      <c r="T1614" s="100"/>
      <c r="U1614" s="100"/>
      <c r="V1614" s="100"/>
      <c r="W1614" s="100"/>
      <c r="X1614" s="100"/>
      <c r="Y1614" s="100"/>
      <c r="Z1614" s="100"/>
    </row>
    <row r="1615" spans="1:26">
      <c r="A1615" s="100"/>
      <c r="B1615" s="100"/>
      <c r="C1615" s="100"/>
      <c r="D1615" s="100"/>
      <c r="E1615" s="100"/>
      <c r="F1615" s="100"/>
      <c r="G1615" s="100"/>
      <c r="H1615" s="100"/>
      <c r="I1615" s="100"/>
      <c r="J1615" s="100"/>
      <c r="K1615" s="100"/>
      <c r="L1615" s="100"/>
      <c r="M1615" s="100"/>
      <c r="N1615" s="100"/>
      <c r="O1615" s="100"/>
      <c r="P1615" s="100"/>
      <c r="Q1615" s="100"/>
      <c r="R1615" s="100"/>
      <c r="S1615" s="100"/>
      <c r="T1615" s="100"/>
      <c r="U1615" s="100"/>
      <c r="V1615" s="100"/>
      <c r="W1615" s="100"/>
      <c r="X1615" s="100"/>
      <c r="Y1615" s="100"/>
      <c r="Z1615" s="100"/>
    </row>
    <row r="1616" spans="1:26">
      <c r="A1616" s="100"/>
      <c r="B1616" s="100"/>
      <c r="C1616" s="100"/>
      <c r="D1616" s="100"/>
      <c r="E1616" s="100"/>
      <c r="F1616" s="100"/>
      <c r="G1616" s="100"/>
      <c r="H1616" s="100"/>
      <c r="I1616" s="100"/>
      <c r="J1616" s="100"/>
      <c r="K1616" s="100"/>
      <c r="L1616" s="100"/>
      <c r="M1616" s="100"/>
      <c r="N1616" s="100"/>
      <c r="O1616" s="100"/>
      <c r="P1616" s="100"/>
      <c r="Q1616" s="100"/>
      <c r="R1616" s="100"/>
      <c r="S1616" s="100"/>
      <c r="T1616" s="100"/>
      <c r="U1616" s="100"/>
      <c r="V1616" s="100"/>
      <c r="W1616" s="100"/>
      <c r="X1616" s="100"/>
      <c r="Y1616" s="100"/>
      <c r="Z1616" s="100"/>
    </row>
    <row r="1617" spans="1:26">
      <c r="A1617" s="100"/>
      <c r="B1617" s="100"/>
      <c r="C1617" s="100"/>
      <c r="D1617" s="100"/>
      <c r="E1617" s="100"/>
      <c r="F1617" s="100"/>
      <c r="G1617" s="100"/>
      <c r="H1617" s="100"/>
      <c r="I1617" s="100"/>
      <c r="J1617" s="100"/>
      <c r="K1617" s="100"/>
      <c r="L1617" s="100"/>
      <c r="M1617" s="100"/>
      <c r="N1617" s="100"/>
      <c r="O1617" s="100"/>
      <c r="P1617" s="100"/>
      <c r="Q1617" s="100"/>
      <c r="R1617" s="100"/>
      <c r="S1617" s="100"/>
      <c r="T1617" s="100"/>
      <c r="U1617" s="100"/>
      <c r="V1617" s="100"/>
      <c r="W1617" s="100"/>
      <c r="X1617" s="100"/>
      <c r="Y1617" s="100"/>
      <c r="Z1617" s="100"/>
    </row>
    <row r="1618" spans="1:26">
      <c r="A1618" s="100"/>
      <c r="B1618" s="100"/>
      <c r="C1618" s="100"/>
      <c r="D1618" s="100"/>
      <c r="E1618" s="100"/>
      <c r="F1618" s="100"/>
      <c r="G1618" s="100"/>
      <c r="H1618" s="100"/>
      <c r="I1618" s="100"/>
      <c r="J1618" s="100"/>
      <c r="K1618" s="100"/>
      <c r="L1618" s="100"/>
      <c r="M1618" s="100"/>
      <c r="N1618" s="100"/>
      <c r="O1618" s="100"/>
      <c r="P1618" s="100"/>
      <c r="Q1618" s="100"/>
      <c r="R1618" s="100"/>
      <c r="S1618" s="100"/>
      <c r="T1618" s="100"/>
      <c r="U1618" s="100"/>
      <c r="V1618" s="100"/>
      <c r="W1618" s="100"/>
      <c r="X1618" s="100"/>
      <c r="Y1618" s="100"/>
      <c r="Z1618" s="100"/>
    </row>
    <row r="1619" spans="1:26">
      <c r="A1619" s="100"/>
      <c r="B1619" s="100"/>
      <c r="C1619" s="100"/>
      <c r="D1619" s="100"/>
      <c r="E1619" s="100"/>
      <c r="F1619" s="100"/>
      <c r="G1619" s="100"/>
      <c r="H1619" s="100"/>
      <c r="I1619" s="100"/>
      <c r="J1619" s="100"/>
      <c r="K1619" s="100"/>
      <c r="L1619" s="100"/>
      <c r="M1619" s="100"/>
      <c r="N1619" s="100"/>
      <c r="O1619" s="100"/>
      <c r="P1619" s="100"/>
      <c r="Q1619" s="100"/>
      <c r="R1619" s="100"/>
      <c r="S1619" s="100"/>
      <c r="T1619" s="100"/>
      <c r="U1619" s="100"/>
      <c r="V1619" s="100"/>
      <c r="W1619" s="100"/>
      <c r="X1619" s="100"/>
      <c r="Y1619" s="100"/>
      <c r="Z1619" s="100"/>
    </row>
    <row r="1620" spans="1:26">
      <c r="A1620" s="100"/>
      <c r="B1620" s="100"/>
      <c r="C1620" s="100"/>
      <c r="D1620" s="100"/>
      <c r="E1620" s="100"/>
      <c r="F1620" s="100"/>
      <c r="G1620" s="100"/>
      <c r="H1620" s="100"/>
      <c r="I1620" s="100"/>
      <c r="J1620" s="100"/>
      <c r="K1620" s="100"/>
      <c r="L1620" s="100"/>
      <c r="M1620" s="100"/>
      <c r="N1620" s="100"/>
      <c r="O1620" s="100"/>
      <c r="P1620" s="100"/>
      <c r="Q1620" s="100"/>
      <c r="R1620" s="100"/>
      <c r="S1620" s="100"/>
      <c r="T1620" s="100"/>
      <c r="U1620" s="100"/>
      <c r="V1620" s="100"/>
      <c r="W1620" s="100"/>
      <c r="X1620" s="100"/>
      <c r="Y1620" s="100"/>
      <c r="Z1620" s="100"/>
    </row>
    <row r="1621" spans="1:26">
      <c r="A1621" s="100"/>
      <c r="B1621" s="100"/>
      <c r="C1621" s="100"/>
      <c r="D1621" s="100"/>
      <c r="E1621" s="100"/>
      <c r="F1621" s="100"/>
      <c r="G1621" s="100"/>
      <c r="H1621" s="100"/>
      <c r="I1621" s="100"/>
      <c r="J1621" s="100"/>
      <c r="K1621" s="100"/>
      <c r="L1621" s="100"/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</row>
    <row r="1622" spans="1:26">
      <c r="A1622" s="100"/>
      <c r="B1622" s="100"/>
      <c r="C1622" s="100"/>
      <c r="D1622" s="100"/>
      <c r="E1622" s="100"/>
      <c r="F1622" s="100"/>
      <c r="G1622" s="100"/>
      <c r="H1622" s="100"/>
      <c r="I1622" s="100"/>
      <c r="J1622" s="100"/>
      <c r="K1622" s="100"/>
      <c r="L1622" s="100"/>
      <c r="M1622" s="100"/>
      <c r="N1622" s="100"/>
      <c r="O1622" s="100"/>
      <c r="P1622" s="100"/>
      <c r="Q1622" s="100"/>
      <c r="R1622" s="100"/>
      <c r="S1622" s="100"/>
      <c r="T1622" s="100"/>
      <c r="U1622" s="100"/>
      <c r="V1622" s="100"/>
      <c r="W1622" s="100"/>
      <c r="X1622" s="100"/>
      <c r="Y1622" s="100"/>
      <c r="Z1622" s="100"/>
    </row>
    <row r="1623" spans="1:26">
      <c r="A1623" s="100"/>
      <c r="B1623" s="100"/>
      <c r="C1623" s="100"/>
      <c r="D1623" s="100"/>
      <c r="E1623" s="100"/>
      <c r="F1623" s="100"/>
      <c r="G1623" s="100"/>
      <c r="H1623" s="100"/>
      <c r="I1623" s="100"/>
      <c r="J1623" s="100"/>
      <c r="K1623" s="100"/>
      <c r="L1623" s="100"/>
      <c r="M1623" s="100"/>
      <c r="N1623" s="100"/>
      <c r="O1623" s="100"/>
      <c r="P1623" s="100"/>
      <c r="Q1623" s="100"/>
      <c r="R1623" s="100"/>
      <c r="S1623" s="100"/>
      <c r="T1623" s="100"/>
      <c r="U1623" s="100"/>
      <c r="V1623" s="100"/>
      <c r="W1623" s="100"/>
      <c r="X1623" s="100"/>
      <c r="Y1623" s="100"/>
      <c r="Z1623" s="100"/>
    </row>
    <row r="1624" spans="1:26">
      <c r="A1624" s="100"/>
      <c r="B1624" s="100"/>
      <c r="C1624" s="100"/>
      <c r="D1624" s="100"/>
      <c r="E1624" s="100"/>
      <c r="F1624" s="100"/>
      <c r="G1624" s="100"/>
      <c r="H1624" s="100"/>
      <c r="I1624" s="100"/>
      <c r="J1624" s="100"/>
      <c r="K1624" s="100"/>
      <c r="L1624" s="100"/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</row>
    <row r="1625" spans="1:26">
      <c r="A1625" s="100"/>
      <c r="B1625" s="100"/>
      <c r="C1625" s="100"/>
      <c r="D1625" s="100"/>
      <c r="E1625" s="100"/>
      <c r="F1625" s="100"/>
      <c r="G1625" s="100"/>
      <c r="H1625" s="100"/>
      <c r="I1625" s="100"/>
      <c r="J1625" s="100"/>
      <c r="K1625" s="100"/>
      <c r="L1625" s="100"/>
      <c r="M1625" s="100"/>
      <c r="N1625" s="100"/>
      <c r="O1625" s="100"/>
      <c r="P1625" s="100"/>
      <c r="Q1625" s="100"/>
      <c r="R1625" s="100"/>
      <c r="S1625" s="100"/>
      <c r="T1625" s="100"/>
      <c r="U1625" s="100"/>
      <c r="V1625" s="100"/>
      <c r="W1625" s="100"/>
      <c r="X1625" s="100"/>
      <c r="Y1625" s="100"/>
      <c r="Z1625" s="100"/>
    </row>
    <row r="1626" spans="1:26">
      <c r="A1626" s="100"/>
      <c r="B1626" s="100"/>
      <c r="C1626" s="100"/>
      <c r="D1626" s="100"/>
      <c r="E1626" s="100"/>
      <c r="F1626" s="100"/>
      <c r="G1626" s="100"/>
      <c r="H1626" s="100"/>
      <c r="I1626" s="100"/>
      <c r="J1626" s="100"/>
      <c r="K1626" s="100"/>
      <c r="L1626" s="100"/>
      <c r="M1626" s="100"/>
      <c r="N1626" s="100"/>
      <c r="O1626" s="100"/>
      <c r="P1626" s="100"/>
      <c r="Q1626" s="100"/>
      <c r="R1626" s="100"/>
      <c r="S1626" s="100"/>
      <c r="T1626" s="100"/>
      <c r="U1626" s="100"/>
      <c r="V1626" s="100"/>
      <c r="W1626" s="100"/>
      <c r="X1626" s="100"/>
      <c r="Y1626" s="100"/>
      <c r="Z1626" s="100"/>
    </row>
    <row r="1627" spans="1:26">
      <c r="A1627" s="100"/>
      <c r="B1627" s="100"/>
      <c r="C1627" s="100"/>
      <c r="D1627" s="100"/>
      <c r="E1627" s="100"/>
      <c r="F1627" s="100"/>
      <c r="G1627" s="100"/>
      <c r="H1627" s="100"/>
      <c r="I1627" s="100"/>
      <c r="J1627" s="100"/>
      <c r="K1627" s="100"/>
      <c r="L1627" s="100"/>
      <c r="M1627" s="100"/>
      <c r="N1627" s="100"/>
      <c r="O1627" s="100"/>
      <c r="P1627" s="100"/>
      <c r="Q1627" s="100"/>
      <c r="R1627" s="100"/>
      <c r="S1627" s="100"/>
      <c r="T1627" s="100"/>
      <c r="U1627" s="100"/>
      <c r="V1627" s="100"/>
      <c r="W1627" s="100"/>
      <c r="X1627" s="100"/>
      <c r="Y1627" s="100"/>
      <c r="Z1627" s="100"/>
    </row>
    <row r="1628" spans="1:26">
      <c r="A1628" s="100"/>
      <c r="B1628" s="100"/>
      <c r="C1628" s="100"/>
      <c r="D1628" s="100"/>
      <c r="E1628" s="100"/>
      <c r="F1628" s="100"/>
      <c r="G1628" s="100"/>
      <c r="H1628" s="100"/>
      <c r="I1628" s="100"/>
      <c r="J1628" s="100"/>
      <c r="K1628" s="100"/>
      <c r="L1628" s="100"/>
      <c r="M1628" s="100"/>
      <c r="N1628" s="100"/>
      <c r="O1628" s="100"/>
      <c r="P1628" s="100"/>
      <c r="Q1628" s="100"/>
      <c r="R1628" s="100"/>
      <c r="S1628" s="100"/>
      <c r="T1628" s="100"/>
      <c r="U1628" s="100"/>
      <c r="V1628" s="100"/>
      <c r="W1628" s="100"/>
      <c r="X1628" s="100"/>
      <c r="Y1628" s="100"/>
      <c r="Z1628" s="100"/>
    </row>
    <row r="1629" spans="1:26">
      <c r="A1629" s="100"/>
      <c r="B1629" s="100"/>
      <c r="C1629" s="100"/>
      <c r="D1629" s="100"/>
      <c r="E1629" s="100"/>
      <c r="F1629" s="100"/>
      <c r="G1629" s="100"/>
      <c r="H1629" s="100"/>
      <c r="I1629" s="100"/>
      <c r="J1629" s="100"/>
      <c r="K1629" s="100"/>
      <c r="L1629" s="100"/>
      <c r="M1629" s="100"/>
      <c r="N1629" s="100"/>
      <c r="O1629" s="100"/>
      <c r="P1629" s="100"/>
      <c r="Q1629" s="100"/>
      <c r="R1629" s="100"/>
      <c r="S1629" s="100"/>
      <c r="T1629" s="100"/>
      <c r="U1629" s="100"/>
      <c r="V1629" s="100"/>
      <c r="W1629" s="100"/>
      <c r="X1629" s="100"/>
      <c r="Y1629" s="100"/>
      <c r="Z1629" s="100"/>
    </row>
    <row r="1630" spans="1:26">
      <c r="A1630" s="100"/>
      <c r="B1630" s="100"/>
      <c r="C1630" s="100"/>
      <c r="D1630" s="100"/>
      <c r="E1630" s="100"/>
      <c r="F1630" s="100"/>
      <c r="G1630" s="100"/>
      <c r="H1630" s="100"/>
      <c r="I1630" s="100"/>
      <c r="J1630" s="100"/>
      <c r="K1630" s="100"/>
      <c r="L1630" s="100"/>
      <c r="M1630" s="100"/>
      <c r="N1630" s="100"/>
      <c r="O1630" s="100"/>
      <c r="P1630" s="100"/>
      <c r="Q1630" s="100"/>
      <c r="R1630" s="100"/>
      <c r="S1630" s="100"/>
      <c r="T1630" s="100"/>
      <c r="U1630" s="100"/>
      <c r="V1630" s="100"/>
      <c r="W1630" s="100"/>
      <c r="X1630" s="100"/>
      <c r="Y1630" s="100"/>
      <c r="Z1630" s="100"/>
    </row>
    <row r="1631" spans="1:26">
      <c r="A1631" s="100"/>
      <c r="B1631" s="100"/>
      <c r="C1631" s="100"/>
      <c r="D1631" s="100"/>
      <c r="E1631" s="100"/>
      <c r="F1631" s="100"/>
      <c r="G1631" s="100"/>
      <c r="H1631" s="100"/>
      <c r="I1631" s="100"/>
      <c r="J1631" s="100"/>
      <c r="K1631" s="100"/>
      <c r="L1631" s="100"/>
      <c r="M1631" s="100"/>
      <c r="N1631" s="100"/>
      <c r="O1631" s="100"/>
      <c r="P1631" s="100"/>
      <c r="Q1631" s="100"/>
      <c r="R1631" s="100"/>
      <c r="S1631" s="100"/>
      <c r="T1631" s="100"/>
      <c r="U1631" s="100"/>
      <c r="V1631" s="100"/>
      <c r="W1631" s="100"/>
      <c r="X1631" s="100"/>
      <c r="Y1631" s="100"/>
      <c r="Z1631" s="100"/>
    </row>
    <row r="1632" spans="1:26">
      <c r="A1632" s="100"/>
      <c r="B1632" s="100"/>
      <c r="C1632" s="100"/>
      <c r="D1632" s="100"/>
      <c r="E1632" s="100"/>
      <c r="F1632" s="100"/>
      <c r="G1632" s="100"/>
      <c r="H1632" s="100"/>
      <c r="I1632" s="100"/>
      <c r="J1632" s="100"/>
      <c r="K1632" s="100"/>
      <c r="L1632" s="100"/>
      <c r="M1632" s="100"/>
      <c r="N1632" s="100"/>
      <c r="O1632" s="100"/>
      <c r="P1632" s="100"/>
      <c r="Q1632" s="100"/>
      <c r="R1632" s="100"/>
      <c r="S1632" s="100"/>
      <c r="T1632" s="100"/>
      <c r="U1632" s="100"/>
      <c r="V1632" s="100"/>
      <c r="W1632" s="100"/>
      <c r="X1632" s="100"/>
      <c r="Y1632" s="100"/>
      <c r="Z1632" s="100"/>
    </row>
    <row r="1633" spans="1:26">
      <c r="A1633" s="100"/>
      <c r="B1633" s="100"/>
      <c r="C1633" s="100"/>
      <c r="D1633" s="100"/>
      <c r="E1633" s="100"/>
      <c r="F1633" s="100"/>
      <c r="G1633" s="100"/>
      <c r="H1633" s="100"/>
      <c r="I1633" s="100"/>
      <c r="J1633" s="100"/>
      <c r="K1633" s="100"/>
      <c r="L1633" s="100"/>
      <c r="M1633" s="100"/>
      <c r="N1633" s="100"/>
      <c r="O1633" s="100"/>
      <c r="P1633" s="100"/>
      <c r="Q1633" s="100"/>
      <c r="R1633" s="100"/>
      <c r="S1633" s="100"/>
      <c r="T1633" s="100"/>
      <c r="U1633" s="100"/>
      <c r="V1633" s="100"/>
      <c r="W1633" s="100"/>
      <c r="X1633" s="100"/>
      <c r="Y1633" s="100"/>
      <c r="Z1633" s="100"/>
    </row>
    <row r="1634" spans="1:26">
      <c r="A1634" s="100"/>
      <c r="B1634" s="100"/>
      <c r="C1634" s="100"/>
      <c r="D1634" s="100"/>
      <c r="E1634" s="100"/>
      <c r="F1634" s="100"/>
      <c r="G1634" s="100"/>
      <c r="H1634" s="100"/>
      <c r="I1634" s="100"/>
      <c r="J1634" s="100"/>
      <c r="K1634" s="100"/>
      <c r="L1634" s="100"/>
      <c r="M1634" s="100"/>
      <c r="N1634" s="100"/>
      <c r="O1634" s="100"/>
      <c r="P1634" s="100"/>
      <c r="Q1634" s="100"/>
      <c r="R1634" s="100"/>
      <c r="S1634" s="100"/>
      <c r="T1634" s="100"/>
      <c r="U1634" s="100"/>
      <c r="V1634" s="100"/>
      <c r="W1634" s="100"/>
      <c r="X1634" s="100"/>
      <c r="Y1634" s="100"/>
      <c r="Z1634" s="100"/>
    </row>
    <row r="1635" spans="1:26">
      <c r="A1635" s="100"/>
      <c r="B1635" s="100"/>
      <c r="C1635" s="100"/>
      <c r="D1635" s="100"/>
      <c r="E1635" s="100"/>
      <c r="F1635" s="100"/>
      <c r="G1635" s="100"/>
      <c r="H1635" s="100"/>
      <c r="I1635" s="100"/>
      <c r="J1635" s="100"/>
      <c r="K1635" s="100"/>
      <c r="L1635" s="100"/>
      <c r="M1635" s="100"/>
      <c r="N1635" s="100"/>
      <c r="O1635" s="100"/>
      <c r="P1635" s="100"/>
      <c r="Q1635" s="100"/>
      <c r="R1635" s="100"/>
      <c r="S1635" s="100"/>
      <c r="T1635" s="100"/>
      <c r="U1635" s="100"/>
      <c r="V1635" s="100"/>
      <c r="W1635" s="100"/>
      <c r="X1635" s="100"/>
      <c r="Y1635" s="100"/>
      <c r="Z1635" s="100"/>
    </row>
    <row r="1636" spans="1:26">
      <c r="A1636" s="100"/>
      <c r="B1636" s="100"/>
      <c r="C1636" s="100"/>
      <c r="D1636" s="100"/>
      <c r="E1636" s="100"/>
      <c r="F1636" s="100"/>
      <c r="G1636" s="100"/>
      <c r="H1636" s="100"/>
      <c r="I1636" s="100"/>
      <c r="J1636" s="100"/>
      <c r="K1636" s="100"/>
      <c r="L1636" s="100"/>
      <c r="M1636" s="100"/>
      <c r="N1636" s="100"/>
      <c r="O1636" s="100"/>
      <c r="P1636" s="100"/>
      <c r="Q1636" s="100"/>
      <c r="R1636" s="100"/>
      <c r="S1636" s="100"/>
      <c r="T1636" s="100"/>
      <c r="U1636" s="100"/>
      <c r="V1636" s="100"/>
      <c r="W1636" s="100"/>
      <c r="X1636" s="100"/>
      <c r="Y1636" s="100"/>
      <c r="Z1636" s="100"/>
    </row>
    <row r="1637" spans="1:26">
      <c r="A1637" s="100"/>
      <c r="B1637" s="100"/>
      <c r="C1637" s="100"/>
      <c r="D1637" s="100"/>
      <c r="E1637" s="100"/>
      <c r="F1637" s="100"/>
      <c r="G1637" s="100"/>
      <c r="H1637" s="100"/>
      <c r="I1637" s="100"/>
      <c r="J1637" s="100"/>
      <c r="K1637" s="100"/>
      <c r="L1637" s="100"/>
      <c r="M1637" s="100"/>
      <c r="N1637" s="100"/>
      <c r="O1637" s="100"/>
      <c r="P1637" s="100"/>
      <c r="Q1637" s="100"/>
      <c r="R1637" s="100"/>
      <c r="S1637" s="100"/>
      <c r="T1637" s="100"/>
      <c r="U1637" s="100"/>
      <c r="V1637" s="100"/>
      <c r="W1637" s="100"/>
      <c r="X1637" s="100"/>
      <c r="Y1637" s="100"/>
      <c r="Z1637" s="100"/>
    </row>
    <row r="1638" spans="1:26">
      <c r="A1638" s="100"/>
      <c r="B1638" s="100"/>
      <c r="C1638" s="100"/>
      <c r="D1638" s="100"/>
      <c r="E1638" s="100"/>
      <c r="F1638" s="100"/>
      <c r="G1638" s="100"/>
      <c r="H1638" s="100"/>
      <c r="I1638" s="100"/>
      <c r="J1638" s="100"/>
      <c r="K1638" s="100"/>
      <c r="L1638" s="100"/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</row>
    <row r="1639" spans="1:26">
      <c r="A1639" s="100"/>
      <c r="B1639" s="100"/>
      <c r="C1639" s="100"/>
      <c r="D1639" s="100"/>
      <c r="E1639" s="100"/>
      <c r="F1639" s="100"/>
      <c r="G1639" s="100"/>
      <c r="H1639" s="100"/>
      <c r="I1639" s="100"/>
      <c r="J1639" s="100"/>
      <c r="K1639" s="100"/>
      <c r="L1639" s="100"/>
      <c r="M1639" s="100"/>
      <c r="N1639" s="100"/>
      <c r="O1639" s="100"/>
      <c r="P1639" s="100"/>
      <c r="Q1639" s="100"/>
      <c r="R1639" s="100"/>
      <c r="S1639" s="100"/>
      <c r="T1639" s="100"/>
      <c r="U1639" s="100"/>
      <c r="V1639" s="100"/>
      <c r="W1639" s="100"/>
      <c r="X1639" s="100"/>
      <c r="Y1639" s="100"/>
      <c r="Z1639" s="100"/>
    </row>
    <row r="1640" spans="1:26">
      <c r="A1640" s="100"/>
      <c r="B1640" s="100"/>
      <c r="C1640" s="100"/>
      <c r="D1640" s="100"/>
      <c r="E1640" s="100"/>
      <c r="F1640" s="100"/>
      <c r="G1640" s="100"/>
      <c r="H1640" s="100"/>
      <c r="I1640" s="100"/>
      <c r="J1640" s="100"/>
      <c r="K1640" s="100"/>
      <c r="L1640" s="100"/>
      <c r="M1640" s="100"/>
      <c r="N1640" s="100"/>
      <c r="O1640" s="100"/>
      <c r="P1640" s="100"/>
      <c r="Q1640" s="100"/>
      <c r="R1640" s="100"/>
      <c r="S1640" s="100"/>
      <c r="T1640" s="100"/>
      <c r="U1640" s="100"/>
      <c r="V1640" s="100"/>
      <c r="W1640" s="100"/>
      <c r="X1640" s="100"/>
      <c r="Y1640" s="100"/>
      <c r="Z1640" s="100"/>
    </row>
    <row r="1641" spans="1:26">
      <c r="A1641" s="100"/>
      <c r="B1641" s="100"/>
      <c r="C1641" s="100"/>
      <c r="D1641" s="100"/>
      <c r="E1641" s="100"/>
      <c r="F1641" s="100"/>
      <c r="G1641" s="100"/>
      <c r="H1641" s="100"/>
      <c r="I1641" s="100"/>
      <c r="J1641" s="100"/>
      <c r="K1641" s="100"/>
      <c r="L1641" s="100"/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</row>
    <row r="1642" spans="1:26">
      <c r="A1642" s="100"/>
      <c r="B1642" s="100"/>
      <c r="C1642" s="100"/>
      <c r="D1642" s="100"/>
      <c r="E1642" s="100"/>
      <c r="F1642" s="100"/>
      <c r="G1642" s="100"/>
      <c r="H1642" s="100"/>
      <c r="I1642" s="100"/>
      <c r="J1642" s="100"/>
      <c r="K1642" s="100"/>
      <c r="L1642" s="100"/>
      <c r="M1642" s="100"/>
      <c r="N1642" s="100"/>
      <c r="O1642" s="100"/>
      <c r="P1642" s="100"/>
      <c r="Q1642" s="100"/>
      <c r="R1642" s="100"/>
      <c r="S1642" s="100"/>
      <c r="T1642" s="100"/>
      <c r="U1642" s="100"/>
      <c r="V1642" s="100"/>
      <c r="W1642" s="100"/>
      <c r="X1642" s="100"/>
      <c r="Y1642" s="100"/>
      <c r="Z1642" s="100"/>
    </row>
    <row r="1643" spans="1:26">
      <c r="A1643" s="100"/>
      <c r="B1643" s="100"/>
      <c r="C1643" s="100"/>
      <c r="D1643" s="100"/>
      <c r="E1643" s="100"/>
      <c r="F1643" s="100"/>
      <c r="G1643" s="100"/>
      <c r="H1643" s="100"/>
      <c r="I1643" s="100"/>
      <c r="J1643" s="100"/>
      <c r="K1643" s="100"/>
      <c r="L1643" s="100"/>
      <c r="M1643" s="100"/>
      <c r="N1643" s="100"/>
      <c r="O1643" s="100"/>
      <c r="P1643" s="100"/>
      <c r="Q1643" s="100"/>
      <c r="R1643" s="100"/>
      <c r="S1643" s="100"/>
      <c r="T1643" s="100"/>
      <c r="U1643" s="100"/>
      <c r="V1643" s="100"/>
      <c r="W1643" s="100"/>
      <c r="X1643" s="100"/>
      <c r="Y1643" s="100"/>
      <c r="Z1643" s="100"/>
    </row>
    <row r="1644" spans="1:26">
      <c r="A1644" s="100"/>
      <c r="B1644" s="100"/>
      <c r="C1644" s="100"/>
      <c r="D1644" s="100"/>
      <c r="E1644" s="100"/>
      <c r="F1644" s="100"/>
      <c r="G1644" s="100"/>
      <c r="H1644" s="100"/>
      <c r="I1644" s="100"/>
      <c r="J1644" s="100"/>
      <c r="K1644" s="100"/>
      <c r="L1644" s="100"/>
      <c r="M1644" s="100"/>
      <c r="N1644" s="100"/>
      <c r="O1644" s="100"/>
      <c r="P1644" s="100"/>
      <c r="Q1644" s="100"/>
      <c r="R1644" s="100"/>
      <c r="S1644" s="100"/>
      <c r="T1644" s="100"/>
      <c r="U1644" s="100"/>
      <c r="V1644" s="100"/>
      <c r="W1644" s="100"/>
      <c r="X1644" s="100"/>
      <c r="Y1644" s="100"/>
      <c r="Z1644" s="100"/>
    </row>
    <row r="1645" spans="1:26">
      <c r="A1645" s="100"/>
      <c r="B1645" s="100"/>
      <c r="C1645" s="100"/>
      <c r="D1645" s="100"/>
      <c r="E1645" s="100"/>
      <c r="F1645" s="100"/>
      <c r="G1645" s="100"/>
      <c r="H1645" s="100"/>
      <c r="I1645" s="100"/>
      <c r="J1645" s="100"/>
      <c r="K1645" s="100"/>
      <c r="L1645" s="100"/>
      <c r="M1645" s="100"/>
      <c r="N1645" s="100"/>
      <c r="O1645" s="100"/>
      <c r="P1645" s="100"/>
      <c r="Q1645" s="100"/>
      <c r="R1645" s="100"/>
      <c r="S1645" s="100"/>
      <c r="T1645" s="100"/>
      <c r="U1645" s="100"/>
      <c r="V1645" s="100"/>
      <c r="W1645" s="100"/>
      <c r="X1645" s="100"/>
      <c r="Y1645" s="100"/>
      <c r="Z1645" s="100"/>
    </row>
    <row r="1646" spans="1:26">
      <c r="A1646" s="100"/>
      <c r="B1646" s="100"/>
      <c r="C1646" s="100"/>
      <c r="D1646" s="100"/>
      <c r="E1646" s="100"/>
      <c r="F1646" s="100"/>
      <c r="G1646" s="100"/>
      <c r="H1646" s="100"/>
      <c r="I1646" s="100"/>
      <c r="J1646" s="100"/>
      <c r="K1646" s="100"/>
      <c r="L1646" s="100"/>
      <c r="M1646" s="100"/>
      <c r="N1646" s="100"/>
      <c r="O1646" s="100"/>
      <c r="P1646" s="100"/>
      <c r="Q1646" s="100"/>
      <c r="R1646" s="100"/>
      <c r="S1646" s="100"/>
      <c r="T1646" s="100"/>
      <c r="U1646" s="100"/>
      <c r="V1646" s="100"/>
      <c r="W1646" s="100"/>
      <c r="X1646" s="100"/>
      <c r="Y1646" s="100"/>
      <c r="Z1646" s="100"/>
    </row>
    <row r="1647" spans="1:26">
      <c r="A1647" s="100"/>
      <c r="B1647" s="100"/>
      <c r="C1647" s="100"/>
      <c r="D1647" s="100"/>
      <c r="E1647" s="100"/>
      <c r="F1647" s="100"/>
      <c r="G1647" s="100"/>
      <c r="H1647" s="100"/>
      <c r="I1647" s="100"/>
      <c r="J1647" s="100"/>
      <c r="K1647" s="100"/>
      <c r="L1647" s="100"/>
      <c r="M1647" s="100"/>
      <c r="N1647" s="100"/>
      <c r="O1647" s="100"/>
      <c r="P1647" s="100"/>
      <c r="Q1647" s="100"/>
      <c r="R1647" s="100"/>
      <c r="S1647" s="100"/>
      <c r="T1647" s="100"/>
      <c r="U1647" s="100"/>
      <c r="V1647" s="100"/>
      <c r="W1647" s="100"/>
      <c r="X1647" s="100"/>
      <c r="Y1647" s="100"/>
      <c r="Z1647" s="100"/>
    </row>
    <row r="1648" spans="1:26">
      <c r="A1648" s="100"/>
      <c r="B1648" s="100"/>
      <c r="C1648" s="100"/>
      <c r="D1648" s="100"/>
      <c r="E1648" s="100"/>
      <c r="F1648" s="100"/>
      <c r="G1648" s="100"/>
      <c r="H1648" s="100"/>
      <c r="I1648" s="100"/>
      <c r="J1648" s="100"/>
      <c r="K1648" s="100"/>
      <c r="L1648" s="100"/>
      <c r="M1648" s="100"/>
      <c r="N1648" s="100"/>
      <c r="O1648" s="100"/>
      <c r="P1648" s="100"/>
      <c r="Q1648" s="100"/>
      <c r="R1648" s="100"/>
      <c r="S1648" s="100"/>
      <c r="T1648" s="100"/>
      <c r="U1648" s="100"/>
      <c r="V1648" s="100"/>
      <c r="W1648" s="100"/>
      <c r="X1648" s="100"/>
      <c r="Y1648" s="100"/>
      <c r="Z1648" s="100"/>
    </row>
    <row r="1649" spans="1:26">
      <c r="A1649" s="100"/>
      <c r="B1649" s="100"/>
      <c r="C1649" s="100"/>
      <c r="D1649" s="100"/>
      <c r="E1649" s="100"/>
      <c r="F1649" s="100"/>
      <c r="G1649" s="100"/>
      <c r="H1649" s="100"/>
      <c r="I1649" s="100"/>
      <c r="J1649" s="100"/>
      <c r="K1649" s="100"/>
      <c r="L1649" s="100"/>
      <c r="M1649" s="100"/>
      <c r="N1649" s="100"/>
      <c r="O1649" s="100"/>
      <c r="P1649" s="100"/>
      <c r="Q1649" s="100"/>
      <c r="R1649" s="100"/>
      <c r="S1649" s="100"/>
      <c r="T1649" s="100"/>
      <c r="U1649" s="100"/>
      <c r="V1649" s="100"/>
      <c r="W1649" s="100"/>
      <c r="X1649" s="100"/>
      <c r="Y1649" s="100"/>
      <c r="Z1649" s="100"/>
    </row>
    <row r="1650" spans="1:26">
      <c r="A1650" s="100"/>
      <c r="B1650" s="100"/>
      <c r="C1650" s="100"/>
      <c r="D1650" s="100"/>
      <c r="E1650" s="100"/>
      <c r="F1650" s="100"/>
      <c r="G1650" s="100"/>
      <c r="H1650" s="100"/>
      <c r="I1650" s="100"/>
      <c r="J1650" s="100"/>
      <c r="K1650" s="100"/>
      <c r="L1650" s="100"/>
      <c r="M1650" s="100"/>
      <c r="N1650" s="100"/>
      <c r="O1650" s="100"/>
      <c r="P1650" s="100"/>
      <c r="Q1650" s="100"/>
      <c r="R1650" s="100"/>
      <c r="S1650" s="100"/>
      <c r="T1650" s="100"/>
      <c r="U1650" s="100"/>
      <c r="V1650" s="100"/>
      <c r="W1650" s="100"/>
      <c r="X1650" s="100"/>
      <c r="Y1650" s="100"/>
      <c r="Z1650" s="100"/>
    </row>
    <row r="1651" spans="1:26">
      <c r="A1651" s="100"/>
      <c r="B1651" s="100"/>
      <c r="C1651" s="100"/>
      <c r="D1651" s="100"/>
      <c r="E1651" s="100"/>
      <c r="F1651" s="100"/>
      <c r="G1651" s="100"/>
      <c r="H1651" s="100"/>
      <c r="I1651" s="100"/>
      <c r="J1651" s="100"/>
      <c r="K1651" s="100"/>
      <c r="L1651" s="100"/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</row>
    <row r="1652" spans="1:26">
      <c r="A1652" s="100"/>
      <c r="B1652" s="100"/>
      <c r="C1652" s="100"/>
      <c r="D1652" s="100"/>
      <c r="E1652" s="100"/>
      <c r="F1652" s="100"/>
      <c r="G1652" s="100"/>
      <c r="H1652" s="100"/>
      <c r="I1652" s="100"/>
      <c r="J1652" s="100"/>
      <c r="K1652" s="100"/>
      <c r="L1652" s="100"/>
      <c r="M1652" s="100"/>
      <c r="N1652" s="100"/>
      <c r="O1652" s="100"/>
      <c r="P1652" s="100"/>
      <c r="Q1652" s="100"/>
      <c r="R1652" s="100"/>
      <c r="S1652" s="100"/>
      <c r="T1652" s="100"/>
      <c r="U1652" s="100"/>
      <c r="V1652" s="100"/>
      <c r="W1652" s="100"/>
      <c r="X1652" s="100"/>
      <c r="Y1652" s="100"/>
      <c r="Z1652" s="100"/>
    </row>
    <row r="1653" spans="1:26">
      <c r="A1653" s="100"/>
      <c r="B1653" s="100"/>
      <c r="C1653" s="100"/>
      <c r="D1653" s="100"/>
      <c r="E1653" s="100"/>
      <c r="F1653" s="100"/>
      <c r="G1653" s="100"/>
      <c r="H1653" s="100"/>
      <c r="I1653" s="100"/>
      <c r="J1653" s="100"/>
      <c r="K1653" s="100"/>
      <c r="L1653" s="100"/>
      <c r="M1653" s="100"/>
      <c r="N1653" s="100"/>
      <c r="O1653" s="100"/>
      <c r="P1653" s="100"/>
      <c r="Q1653" s="100"/>
      <c r="R1653" s="100"/>
      <c r="S1653" s="100"/>
      <c r="T1653" s="100"/>
      <c r="U1653" s="100"/>
      <c r="V1653" s="100"/>
      <c r="W1653" s="100"/>
      <c r="X1653" s="100"/>
      <c r="Y1653" s="100"/>
      <c r="Z1653" s="100"/>
    </row>
    <row r="1654" spans="1:26">
      <c r="A1654" s="100"/>
      <c r="B1654" s="100"/>
      <c r="C1654" s="100"/>
      <c r="D1654" s="100"/>
      <c r="E1654" s="100"/>
      <c r="F1654" s="100"/>
      <c r="G1654" s="100"/>
      <c r="H1654" s="100"/>
      <c r="I1654" s="100"/>
      <c r="J1654" s="100"/>
      <c r="K1654" s="100"/>
      <c r="L1654" s="100"/>
      <c r="M1654" s="100"/>
      <c r="N1654" s="100"/>
      <c r="O1654" s="100"/>
      <c r="P1654" s="100"/>
      <c r="Q1654" s="100"/>
      <c r="R1654" s="100"/>
      <c r="S1654" s="100"/>
      <c r="T1654" s="100"/>
      <c r="U1654" s="100"/>
      <c r="V1654" s="100"/>
      <c r="W1654" s="100"/>
      <c r="X1654" s="100"/>
      <c r="Y1654" s="100"/>
      <c r="Z1654" s="100"/>
    </row>
    <row r="1655" spans="1:26">
      <c r="A1655" s="100"/>
      <c r="B1655" s="100"/>
      <c r="C1655" s="100"/>
      <c r="D1655" s="100"/>
      <c r="E1655" s="100"/>
      <c r="F1655" s="100"/>
      <c r="G1655" s="100"/>
      <c r="H1655" s="100"/>
      <c r="I1655" s="100"/>
      <c r="J1655" s="100"/>
      <c r="K1655" s="100"/>
      <c r="L1655" s="100"/>
      <c r="M1655" s="100"/>
      <c r="N1655" s="100"/>
      <c r="O1655" s="100"/>
      <c r="P1655" s="100"/>
      <c r="Q1655" s="100"/>
      <c r="R1655" s="100"/>
      <c r="S1655" s="100"/>
      <c r="T1655" s="100"/>
      <c r="U1655" s="100"/>
      <c r="V1655" s="100"/>
      <c r="W1655" s="100"/>
      <c r="X1655" s="100"/>
      <c r="Y1655" s="100"/>
      <c r="Z1655" s="100"/>
    </row>
    <row r="1656" spans="1:26">
      <c r="A1656" s="100"/>
      <c r="B1656" s="100"/>
      <c r="C1656" s="100"/>
      <c r="D1656" s="100"/>
      <c r="E1656" s="100"/>
      <c r="F1656" s="100"/>
      <c r="G1656" s="100"/>
      <c r="H1656" s="100"/>
      <c r="I1656" s="100"/>
      <c r="J1656" s="100"/>
      <c r="K1656" s="100"/>
      <c r="L1656" s="100"/>
      <c r="M1656" s="100"/>
      <c r="N1656" s="100"/>
      <c r="O1656" s="100"/>
      <c r="P1656" s="100"/>
      <c r="Q1656" s="100"/>
      <c r="R1656" s="100"/>
      <c r="S1656" s="100"/>
      <c r="T1656" s="100"/>
      <c r="U1656" s="100"/>
      <c r="V1656" s="100"/>
      <c r="W1656" s="100"/>
      <c r="X1656" s="100"/>
      <c r="Y1656" s="100"/>
      <c r="Z1656" s="100"/>
    </row>
    <row r="1657" spans="1:26">
      <c r="A1657" s="100"/>
      <c r="B1657" s="100"/>
      <c r="C1657" s="100"/>
      <c r="D1657" s="100"/>
      <c r="E1657" s="100"/>
      <c r="F1657" s="100"/>
      <c r="G1657" s="100"/>
      <c r="H1657" s="100"/>
      <c r="I1657" s="100"/>
      <c r="J1657" s="100"/>
      <c r="K1657" s="100"/>
      <c r="L1657" s="100"/>
      <c r="M1657" s="100"/>
      <c r="N1657" s="100"/>
      <c r="O1657" s="100"/>
      <c r="P1657" s="100"/>
      <c r="Q1657" s="100"/>
      <c r="R1657" s="100"/>
      <c r="S1657" s="100"/>
      <c r="T1657" s="100"/>
      <c r="U1657" s="100"/>
      <c r="V1657" s="100"/>
      <c r="W1657" s="100"/>
      <c r="X1657" s="100"/>
      <c r="Y1657" s="100"/>
      <c r="Z1657" s="100"/>
    </row>
    <row r="1658" spans="1:26">
      <c r="A1658" s="100"/>
      <c r="B1658" s="100"/>
      <c r="C1658" s="100"/>
      <c r="D1658" s="100"/>
      <c r="E1658" s="100"/>
      <c r="F1658" s="100"/>
      <c r="G1658" s="100"/>
      <c r="H1658" s="100"/>
      <c r="I1658" s="100"/>
      <c r="J1658" s="100"/>
      <c r="K1658" s="100"/>
      <c r="L1658" s="100"/>
      <c r="M1658" s="100"/>
      <c r="N1658" s="100"/>
      <c r="O1658" s="100"/>
      <c r="P1658" s="100"/>
      <c r="Q1658" s="100"/>
      <c r="R1658" s="100"/>
      <c r="S1658" s="100"/>
      <c r="T1658" s="100"/>
      <c r="U1658" s="100"/>
      <c r="V1658" s="100"/>
      <c r="W1658" s="100"/>
      <c r="X1658" s="100"/>
      <c r="Y1658" s="100"/>
      <c r="Z1658" s="100"/>
    </row>
    <row r="1659" spans="1:26">
      <c r="A1659" s="100"/>
      <c r="B1659" s="100"/>
      <c r="C1659" s="100"/>
      <c r="D1659" s="100"/>
      <c r="E1659" s="100"/>
      <c r="F1659" s="100"/>
      <c r="G1659" s="100"/>
      <c r="H1659" s="100"/>
      <c r="I1659" s="100"/>
      <c r="J1659" s="100"/>
      <c r="K1659" s="100"/>
      <c r="L1659" s="100"/>
      <c r="M1659" s="100"/>
      <c r="N1659" s="100"/>
      <c r="O1659" s="100"/>
      <c r="P1659" s="100"/>
      <c r="Q1659" s="100"/>
      <c r="R1659" s="100"/>
      <c r="S1659" s="100"/>
      <c r="T1659" s="100"/>
      <c r="U1659" s="100"/>
      <c r="V1659" s="100"/>
      <c r="W1659" s="100"/>
      <c r="X1659" s="100"/>
      <c r="Y1659" s="100"/>
      <c r="Z1659" s="100"/>
    </row>
    <row r="1660" spans="1:26">
      <c r="A1660" s="100"/>
      <c r="B1660" s="100"/>
      <c r="C1660" s="100"/>
      <c r="D1660" s="100"/>
      <c r="E1660" s="100"/>
      <c r="F1660" s="100"/>
      <c r="G1660" s="100"/>
      <c r="H1660" s="100"/>
      <c r="I1660" s="100"/>
      <c r="J1660" s="100"/>
      <c r="K1660" s="100"/>
      <c r="L1660" s="100"/>
      <c r="M1660" s="100"/>
      <c r="N1660" s="100"/>
      <c r="O1660" s="100"/>
      <c r="P1660" s="100"/>
      <c r="Q1660" s="100"/>
      <c r="R1660" s="100"/>
      <c r="S1660" s="100"/>
      <c r="T1660" s="100"/>
      <c r="U1660" s="100"/>
      <c r="V1660" s="100"/>
      <c r="W1660" s="100"/>
      <c r="X1660" s="100"/>
      <c r="Y1660" s="100"/>
      <c r="Z1660" s="100"/>
    </row>
    <row r="1661" spans="1:26">
      <c r="A1661" s="100"/>
      <c r="B1661" s="100"/>
      <c r="C1661" s="100"/>
      <c r="D1661" s="100"/>
      <c r="E1661" s="100"/>
      <c r="F1661" s="100"/>
      <c r="G1661" s="100"/>
      <c r="H1661" s="100"/>
      <c r="I1661" s="100"/>
      <c r="J1661" s="100"/>
      <c r="K1661" s="100"/>
      <c r="L1661" s="100"/>
      <c r="M1661" s="100"/>
      <c r="N1661" s="100"/>
      <c r="O1661" s="100"/>
      <c r="P1661" s="100"/>
      <c r="Q1661" s="100"/>
      <c r="R1661" s="100"/>
      <c r="S1661" s="100"/>
      <c r="T1661" s="100"/>
      <c r="U1661" s="100"/>
      <c r="V1661" s="100"/>
      <c r="W1661" s="100"/>
      <c r="X1661" s="100"/>
      <c r="Y1661" s="100"/>
      <c r="Z1661" s="100"/>
    </row>
    <row r="1662" spans="1:26">
      <c r="A1662" s="100"/>
      <c r="B1662" s="100"/>
      <c r="C1662" s="100"/>
      <c r="D1662" s="100"/>
      <c r="E1662" s="100"/>
      <c r="F1662" s="100"/>
      <c r="G1662" s="100"/>
      <c r="H1662" s="100"/>
      <c r="I1662" s="100"/>
      <c r="J1662" s="100"/>
      <c r="K1662" s="100"/>
      <c r="L1662" s="100"/>
      <c r="M1662" s="100"/>
      <c r="N1662" s="100"/>
      <c r="O1662" s="100"/>
      <c r="P1662" s="100"/>
      <c r="Q1662" s="100"/>
      <c r="R1662" s="100"/>
      <c r="S1662" s="100"/>
      <c r="T1662" s="100"/>
      <c r="U1662" s="100"/>
      <c r="V1662" s="100"/>
      <c r="W1662" s="100"/>
      <c r="X1662" s="100"/>
      <c r="Y1662" s="100"/>
      <c r="Z1662" s="100"/>
    </row>
    <row r="1663" spans="1:26">
      <c r="A1663" s="100"/>
      <c r="B1663" s="100"/>
      <c r="C1663" s="100"/>
      <c r="D1663" s="100"/>
      <c r="E1663" s="100"/>
      <c r="F1663" s="100"/>
      <c r="G1663" s="100"/>
      <c r="H1663" s="100"/>
      <c r="I1663" s="100"/>
      <c r="J1663" s="100"/>
      <c r="K1663" s="100"/>
      <c r="L1663" s="100"/>
      <c r="M1663" s="100"/>
      <c r="N1663" s="100"/>
      <c r="O1663" s="100"/>
      <c r="P1663" s="100"/>
      <c r="Q1663" s="100"/>
      <c r="R1663" s="100"/>
      <c r="S1663" s="100"/>
      <c r="T1663" s="100"/>
      <c r="U1663" s="100"/>
      <c r="V1663" s="100"/>
      <c r="W1663" s="100"/>
      <c r="X1663" s="100"/>
      <c r="Y1663" s="100"/>
      <c r="Z1663" s="100"/>
    </row>
    <row r="1664" spans="1:26">
      <c r="A1664" s="100"/>
      <c r="B1664" s="100"/>
      <c r="C1664" s="100"/>
      <c r="D1664" s="100"/>
      <c r="E1664" s="100"/>
      <c r="F1664" s="100"/>
      <c r="G1664" s="100"/>
      <c r="H1664" s="100"/>
      <c r="I1664" s="100"/>
      <c r="J1664" s="100"/>
      <c r="K1664" s="100"/>
      <c r="L1664" s="100"/>
      <c r="M1664" s="100"/>
      <c r="N1664" s="100"/>
      <c r="O1664" s="100"/>
      <c r="P1664" s="100"/>
      <c r="Q1664" s="100"/>
      <c r="R1664" s="100"/>
      <c r="S1664" s="100"/>
      <c r="T1664" s="100"/>
      <c r="U1664" s="100"/>
      <c r="V1664" s="100"/>
      <c r="W1664" s="100"/>
      <c r="X1664" s="100"/>
      <c r="Y1664" s="100"/>
      <c r="Z1664" s="100"/>
    </row>
    <row r="1665" spans="1:26">
      <c r="A1665" s="100"/>
      <c r="B1665" s="100"/>
      <c r="C1665" s="100"/>
      <c r="D1665" s="100"/>
      <c r="E1665" s="100"/>
      <c r="F1665" s="100"/>
      <c r="G1665" s="100"/>
      <c r="H1665" s="100"/>
      <c r="I1665" s="100"/>
      <c r="J1665" s="100"/>
      <c r="K1665" s="100"/>
      <c r="L1665" s="100"/>
      <c r="M1665" s="100"/>
      <c r="N1665" s="100"/>
      <c r="O1665" s="100"/>
      <c r="P1665" s="100"/>
      <c r="Q1665" s="100"/>
      <c r="R1665" s="100"/>
      <c r="S1665" s="100"/>
      <c r="T1665" s="100"/>
      <c r="U1665" s="100"/>
      <c r="V1665" s="100"/>
      <c r="W1665" s="100"/>
      <c r="X1665" s="100"/>
      <c r="Y1665" s="100"/>
      <c r="Z1665" s="100"/>
    </row>
    <row r="1666" spans="1:26">
      <c r="A1666" s="100"/>
      <c r="B1666" s="100"/>
      <c r="C1666" s="100"/>
      <c r="D1666" s="100"/>
      <c r="E1666" s="100"/>
      <c r="F1666" s="100"/>
      <c r="G1666" s="100"/>
      <c r="H1666" s="100"/>
      <c r="I1666" s="100"/>
      <c r="J1666" s="100"/>
      <c r="K1666" s="100"/>
      <c r="L1666" s="100"/>
      <c r="M1666" s="100"/>
      <c r="N1666" s="100"/>
      <c r="O1666" s="100"/>
      <c r="P1666" s="100"/>
      <c r="Q1666" s="100"/>
      <c r="R1666" s="100"/>
      <c r="S1666" s="100"/>
      <c r="T1666" s="100"/>
      <c r="U1666" s="100"/>
      <c r="V1666" s="100"/>
      <c r="W1666" s="100"/>
      <c r="X1666" s="100"/>
      <c r="Y1666" s="100"/>
      <c r="Z1666" s="100"/>
    </row>
    <row r="1667" spans="1:26">
      <c r="A1667" s="100"/>
      <c r="B1667" s="100"/>
      <c r="C1667" s="100"/>
      <c r="D1667" s="100"/>
      <c r="E1667" s="100"/>
      <c r="F1667" s="100"/>
      <c r="G1667" s="100"/>
      <c r="H1667" s="100"/>
      <c r="I1667" s="100"/>
      <c r="J1667" s="100"/>
      <c r="K1667" s="100"/>
      <c r="L1667" s="100"/>
      <c r="M1667" s="100"/>
      <c r="N1667" s="100"/>
      <c r="O1667" s="100"/>
      <c r="P1667" s="100"/>
      <c r="Q1667" s="100"/>
      <c r="R1667" s="100"/>
      <c r="S1667" s="100"/>
      <c r="T1667" s="100"/>
      <c r="U1667" s="100"/>
      <c r="V1667" s="100"/>
      <c r="W1667" s="100"/>
      <c r="X1667" s="100"/>
      <c r="Y1667" s="100"/>
      <c r="Z1667" s="100"/>
    </row>
    <row r="1668" spans="1:26">
      <c r="A1668" s="100"/>
      <c r="B1668" s="100"/>
      <c r="C1668" s="100"/>
      <c r="D1668" s="100"/>
      <c r="E1668" s="100"/>
      <c r="F1668" s="100"/>
      <c r="G1668" s="100"/>
      <c r="H1668" s="100"/>
      <c r="I1668" s="100"/>
      <c r="J1668" s="100"/>
      <c r="K1668" s="100"/>
      <c r="L1668" s="100"/>
      <c r="M1668" s="100"/>
      <c r="N1668" s="100"/>
      <c r="O1668" s="100"/>
      <c r="P1668" s="100"/>
      <c r="Q1668" s="100"/>
      <c r="R1668" s="100"/>
      <c r="S1668" s="100"/>
      <c r="T1668" s="100"/>
      <c r="U1668" s="100"/>
      <c r="V1668" s="100"/>
      <c r="W1668" s="100"/>
      <c r="X1668" s="100"/>
      <c r="Y1668" s="100"/>
      <c r="Z1668" s="100"/>
    </row>
    <row r="1669" spans="1:26">
      <c r="A1669" s="100"/>
      <c r="B1669" s="100"/>
      <c r="C1669" s="100"/>
      <c r="D1669" s="100"/>
      <c r="E1669" s="100"/>
      <c r="F1669" s="100"/>
      <c r="G1669" s="100"/>
      <c r="H1669" s="100"/>
      <c r="I1669" s="100"/>
      <c r="J1669" s="100"/>
      <c r="K1669" s="100"/>
      <c r="L1669" s="100"/>
      <c r="M1669" s="100"/>
      <c r="N1669" s="100"/>
      <c r="O1669" s="100"/>
      <c r="P1669" s="100"/>
      <c r="Q1669" s="100"/>
      <c r="R1669" s="100"/>
      <c r="S1669" s="100"/>
      <c r="T1669" s="100"/>
      <c r="U1669" s="100"/>
      <c r="V1669" s="100"/>
      <c r="W1669" s="100"/>
      <c r="X1669" s="100"/>
      <c r="Y1669" s="100"/>
      <c r="Z1669" s="100"/>
    </row>
    <row r="1670" spans="1:26">
      <c r="A1670" s="100"/>
      <c r="B1670" s="100"/>
      <c r="C1670" s="100"/>
      <c r="D1670" s="100"/>
      <c r="E1670" s="100"/>
      <c r="F1670" s="100"/>
      <c r="G1670" s="100"/>
      <c r="H1670" s="100"/>
      <c r="I1670" s="100"/>
      <c r="J1670" s="100"/>
      <c r="K1670" s="100"/>
      <c r="L1670" s="100"/>
      <c r="M1670" s="100"/>
      <c r="N1670" s="100"/>
      <c r="O1670" s="100"/>
      <c r="P1670" s="100"/>
      <c r="Q1670" s="100"/>
      <c r="R1670" s="100"/>
      <c r="S1670" s="100"/>
      <c r="T1670" s="100"/>
      <c r="U1670" s="100"/>
      <c r="V1670" s="100"/>
      <c r="W1670" s="100"/>
      <c r="X1670" s="100"/>
      <c r="Y1670" s="100"/>
      <c r="Z1670" s="100"/>
    </row>
    <row r="1671" spans="1:26">
      <c r="A1671" s="100"/>
      <c r="B1671" s="100"/>
      <c r="C1671" s="100"/>
      <c r="D1671" s="100"/>
      <c r="E1671" s="100"/>
      <c r="F1671" s="100"/>
      <c r="G1671" s="100"/>
      <c r="H1671" s="100"/>
      <c r="I1671" s="100"/>
      <c r="J1671" s="100"/>
      <c r="K1671" s="100"/>
      <c r="L1671" s="100"/>
      <c r="M1671" s="100"/>
      <c r="N1671" s="100"/>
      <c r="O1671" s="100"/>
      <c r="P1671" s="100"/>
      <c r="Q1671" s="100"/>
      <c r="R1671" s="100"/>
      <c r="S1671" s="100"/>
      <c r="T1671" s="100"/>
      <c r="U1671" s="100"/>
      <c r="V1671" s="100"/>
      <c r="W1671" s="100"/>
      <c r="X1671" s="100"/>
      <c r="Y1671" s="100"/>
      <c r="Z1671" s="100"/>
    </row>
    <row r="1672" spans="1:26">
      <c r="A1672" s="100"/>
      <c r="B1672" s="100"/>
      <c r="C1672" s="100"/>
      <c r="D1672" s="100"/>
      <c r="E1672" s="100"/>
      <c r="F1672" s="100"/>
      <c r="G1672" s="100"/>
      <c r="H1672" s="100"/>
      <c r="I1672" s="100"/>
      <c r="J1672" s="100"/>
      <c r="K1672" s="100"/>
      <c r="L1672" s="100"/>
      <c r="M1672" s="100"/>
      <c r="N1672" s="100"/>
      <c r="O1672" s="100"/>
      <c r="P1672" s="100"/>
      <c r="Q1672" s="100"/>
      <c r="R1672" s="100"/>
      <c r="S1672" s="100"/>
      <c r="T1672" s="100"/>
      <c r="U1672" s="100"/>
      <c r="V1672" s="100"/>
      <c r="W1672" s="100"/>
      <c r="X1672" s="100"/>
      <c r="Y1672" s="100"/>
      <c r="Z1672" s="100"/>
    </row>
    <row r="1673" spans="1:26">
      <c r="A1673" s="100"/>
      <c r="B1673" s="100"/>
      <c r="C1673" s="100"/>
      <c r="D1673" s="100"/>
      <c r="E1673" s="100"/>
      <c r="F1673" s="100"/>
      <c r="G1673" s="100"/>
      <c r="H1673" s="100"/>
      <c r="I1673" s="100"/>
      <c r="J1673" s="100"/>
      <c r="K1673" s="100"/>
      <c r="L1673" s="100"/>
      <c r="M1673" s="100"/>
      <c r="N1673" s="100"/>
      <c r="O1673" s="100"/>
      <c r="P1673" s="100"/>
      <c r="Q1673" s="100"/>
      <c r="R1673" s="100"/>
      <c r="S1673" s="100"/>
      <c r="T1673" s="100"/>
      <c r="U1673" s="100"/>
      <c r="V1673" s="100"/>
      <c r="W1673" s="100"/>
      <c r="X1673" s="100"/>
      <c r="Y1673" s="100"/>
      <c r="Z1673" s="100"/>
    </row>
    <row r="1674" spans="1:26">
      <c r="A1674" s="100"/>
      <c r="B1674" s="100"/>
      <c r="C1674" s="100"/>
      <c r="D1674" s="100"/>
      <c r="E1674" s="100"/>
      <c r="F1674" s="100"/>
      <c r="G1674" s="100"/>
      <c r="H1674" s="100"/>
      <c r="I1674" s="100"/>
      <c r="J1674" s="100"/>
      <c r="K1674" s="100"/>
      <c r="L1674" s="100"/>
      <c r="M1674" s="100"/>
      <c r="N1674" s="100"/>
      <c r="O1674" s="100"/>
      <c r="P1674" s="100"/>
      <c r="Q1674" s="100"/>
      <c r="R1674" s="100"/>
      <c r="S1674" s="100"/>
      <c r="T1674" s="100"/>
      <c r="U1674" s="100"/>
      <c r="V1674" s="100"/>
      <c r="W1674" s="100"/>
      <c r="X1674" s="100"/>
      <c r="Y1674" s="100"/>
      <c r="Z1674" s="100"/>
    </row>
    <row r="1675" spans="1:26">
      <c r="A1675" s="100"/>
      <c r="B1675" s="100"/>
      <c r="C1675" s="100"/>
      <c r="D1675" s="100"/>
      <c r="E1675" s="100"/>
      <c r="F1675" s="100"/>
      <c r="G1675" s="100"/>
      <c r="H1675" s="100"/>
      <c r="I1675" s="100"/>
      <c r="J1675" s="100"/>
      <c r="K1675" s="100"/>
      <c r="L1675" s="100"/>
      <c r="M1675" s="100"/>
      <c r="N1675" s="100"/>
      <c r="O1675" s="100"/>
      <c r="P1675" s="100"/>
      <c r="Q1675" s="100"/>
      <c r="R1675" s="100"/>
      <c r="S1675" s="100"/>
      <c r="T1675" s="100"/>
      <c r="U1675" s="100"/>
      <c r="V1675" s="100"/>
      <c r="W1675" s="100"/>
      <c r="X1675" s="100"/>
      <c r="Y1675" s="100"/>
      <c r="Z1675" s="100"/>
    </row>
    <row r="1676" spans="1:26">
      <c r="A1676" s="100"/>
      <c r="B1676" s="100"/>
      <c r="C1676" s="100"/>
      <c r="D1676" s="100"/>
      <c r="E1676" s="100"/>
      <c r="F1676" s="100"/>
      <c r="G1676" s="100"/>
      <c r="H1676" s="100"/>
      <c r="I1676" s="100"/>
      <c r="J1676" s="100"/>
      <c r="K1676" s="100"/>
      <c r="L1676" s="100"/>
      <c r="M1676" s="100"/>
      <c r="N1676" s="100"/>
      <c r="O1676" s="100"/>
      <c r="P1676" s="100"/>
      <c r="Q1676" s="100"/>
      <c r="R1676" s="100"/>
      <c r="S1676" s="100"/>
      <c r="T1676" s="100"/>
      <c r="U1676" s="100"/>
      <c r="V1676" s="100"/>
      <c r="W1676" s="100"/>
      <c r="X1676" s="100"/>
      <c r="Y1676" s="100"/>
      <c r="Z1676" s="100"/>
    </row>
    <row r="1677" spans="1:26">
      <c r="A1677" s="100"/>
      <c r="B1677" s="100"/>
      <c r="C1677" s="100"/>
      <c r="D1677" s="100"/>
      <c r="E1677" s="100"/>
      <c r="F1677" s="100"/>
      <c r="G1677" s="100"/>
      <c r="H1677" s="100"/>
      <c r="I1677" s="100"/>
      <c r="J1677" s="100"/>
      <c r="K1677" s="100"/>
      <c r="L1677" s="100"/>
      <c r="M1677" s="100"/>
      <c r="N1677" s="100"/>
      <c r="O1677" s="100"/>
      <c r="P1677" s="100"/>
      <c r="Q1677" s="100"/>
      <c r="R1677" s="100"/>
      <c r="S1677" s="100"/>
      <c r="T1677" s="100"/>
      <c r="U1677" s="100"/>
      <c r="V1677" s="100"/>
      <c r="W1677" s="100"/>
      <c r="X1677" s="100"/>
      <c r="Y1677" s="100"/>
      <c r="Z1677" s="100"/>
    </row>
    <row r="1678" spans="1:26">
      <c r="A1678" s="100"/>
      <c r="B1678" s="100"/>
      <c r="C1678" s="100"/>
      <c r="D1678" s="100"/>
      <c r="E1678" s="100"/>
      <c r="F1678" s="100"/>
      <c r="G1678" s="100"/>
      <c r="H1678" s="100"/>
      <c r="I1678" s="100"/>
      <c r="J1678" s="100"/>
      <c r="K1678" s="100"/>
      <c r="L1678" s="100"/>
      <c r="M1678" s="100"/>
      <c r="N1678" s="100"/>
      <c r="O1678" s="100"/>
      <c r="P1678" s="100"/>
      <c r="Q1678" s="100"/>
      <c r="R1678" s="100"/>
      <c r="S1678" s="100"/>
      <c r="T1678" s="100"/>
      <c r="U1678" s="100"/>
      <c r="V1678" s="100"/>
      <c r="W1678" s="100"/>
      <c r="X1678" s="100"/>
      <c r="Y1678" s="100"/>
      <c r="Z1678" s="100"/>
    </row>
    <row r="1679" spans="1:26">
      <c r="A1679" s="100"/>
      <c r="B1679" s="100"/>
      <c r="C1679" s="100"/>
      <c r="D1679" s="100"/>
      <c r="E1679" s="100"/>
      <c r="F1679" s="100"/>
      <c r="G1679" s="100"/>
      <c r="H1679" s="100"/>
      <c r="I1679" s="100"/>
      <c r="J1679" s="100"/>
      <c r="K1679" s="100"/>
      <c r="L1679" s="100"/>
      <c r="M1679" s="100"/>
      <c r="N1679" s="100"/>
      <c r="O1679" s="100"/>
      <c r="P1679" s="100"/>
      <c r="Q1679" s="100"/>
      <c r="R1679" s="100"/>
      <c r="S1679" s="100"/>
      <c r="T1679" s="100"/>
      <c r="U1679" s="100"/>
      <c r="V1679" s="100"/>
      <c r="W1679" s="100"/>
      <c r="X1679" s="100"/>
      <c r="Y1679" s="100"/>
      <c r="Z1679" s="100"/>
    </row>
    <row r="1680" spans="1:26">
      <c r="A1680" s="100"/>
      <c r="B1680" s="100"/>
      <c r="C1680" s="100"/>
      <c r="D1680" s="100"/>
      <c r="E1680" s="100"/>
      <c r="F1680" s="100"/>
      <c r="G1680" s="100"/>
      <c r="H1680" s="100"/>
      <c r="I1680" s="100"/>
      <c r="J1680" s="100"/>
      <c r="K1680" s="100"/>
      <c r="L1680" s="100"/>
      <c r="M1680" s="100"/>
      <c r="N1680" s="100"/>
      <c r="O1680" s="100"/>
      <c r="P1680" s="100"/>
      <c r="Q1680" s="100"/>
      <c r="R1680" s="100"/>
      <c r="S1680" s="100"/>
      <c r="T1680" s="100"/>
      <c r="U1680" s="100"/>
      <c r="V1680" s="100"/>
      <c r="W1680" s="100"/>
      <c r="X1680" s="100"/>
      <c r="Y1680" s="100"/>
      <c r="Z1680" s="100"/>
    </row>
    <row r="1681" spans="1:26">
      <c r="A1681" s="100"/>
      <c r="B1681" s="100"/>
      <c r="C1681" s="100"/>
      <c r="D1681" s="100"/>
      <c r="E1681" s="100"/>
      <c r="F1681" s="100"/>
      <c r="G1681" s="100"/>
      <c r="H1681" s="100"/>
      <c r="I1681" s="100"/>
      <c r="J1681" s="100"/>
      <c r="K1681" s="100"/>
      <c r="L1681" s="100"/>
      <c r="M1681" s="100"/>
      <c r="N1681" s="100"/>
      <c r="O1681" s="100"/>
      <c r="P1681" s="100"/>
      <c r="Q1681" s="100"/>
      <c r="R1681" s="100"/>
      <c r="S1681" s="100"/>
      <c r="T1681" s="100"/>
      <c r="U1681" s="100"/>
      <c r="V1681" s="100"/>
      <c r="W1681" s="100"/>
      <c r="X1681" s="100"/>
      <c r="Y1681" s="100"/>
      <c r="Z1681" s="100"/>
    </row>
    <row r="1682" spans="1:26">
      <c r="A1682" s="100"/>
      <c r="B1682" s="100"/>
      <c r="C1682" s="100"/>
      <c r="D1682" s="100"/>
      <c r="E1682" s="100"/>
      <c r="F1682" s="100"/>
      <c r="G1682" s="100"/>
      <c r="H1682" s="100"/>
      <c r="I1682" s="100"/>
      <c r="J1682" s="100"/>
      <c r="K1682" s="100"/>
      <c r="L1682" s="100"/>
      <c r="M1682" s="100"/>
      <c r="N1682" s="100"/>
      <c r="O1682" s="100"/>
      <c r="P1682" s="100"/>
      <c r="Q1682" s="100"/>
      <c r="R1682" s="100"/>
      <c r="S1682" s="100"/>
      <c r="T1682" s="100"/>
      <c r="U1682" s="100"/>
      <c r="V1682" s="100"/>
      <c r="W1682" s="100"/>
      <c r="X1682" s="100"/>
      <c r="Y1682" s="100"/>
      <c r="Z1682" s="100"/>
    </row>
    <row r="1683" spans="1:26">
      <c r="A1683" s="100"/>
      <c r="B1683" s="100"/>
      <c r="C1683" s="100"/>
      <c r="D1683" s="100"/>
      <c r="E1683" s="100"/>
      <c r="F1683" s="100"/>
      <c r="G1683" s="100"/>
      <c r="H1683" s="100"/>
      <c r="I1683" s="100"/>
      <c r="J1683" s="100"/>
      <c r="K1683" s="100"/>
      <c r="L1683" s="100"/>
      <c r="M1683" s="100"/>
      <c r="N1683" s="100"/>
      <c r="O1683" s="100"/>
      <c r="P1683" s="100"/>
      <c r="Q1683" s="100"/>
      <c r="R1683" s="100"/>
      <c r="S1683" s="100"/>
      <c r="T1683" s="100"/>
      <c r="U1683" s="100"/>
      <c r="V1683" s="100"/>
      <c r="W1683" s="100"/>
      <c r="X1683" s="100"/>
      <c r="Y1683" s="100"/>
      <c r="Z1683" s="100"/>
    </row>
    <row r="1684" spans="1:26">
      <c r="A1684" s="100"/>
      <c r="B1684" s="100"/>
      <c r="C1684" s="100"/>
      <c r="D1684" s="100"/>
      <c r="E1684" s="100"/>
      <c r="F1684" s="100"/>
      <c r="G1684" s="100"/>
      <c r="H1684" s="100"/>
      <c r="I1684" s="100"/>
      <c r="J1684" s="100"/>
      <c r="K1684" s="100"/>
      <c r="L1684" s="100"/>
      <c r="M1684" s="100"/>
      <c r="N1684" s="100"/>
      <c r="O1684" s="100"/>
      <c r="P1684" s="100"/>
      <c r="Q1684" s="100"/>
      <c r="R1684" s="100"/>
      <c r="S1684" s="100"/>
      <c r="T1684" s="100"/>
      <c r="U1684" s="100"/>
      <c r="V1684" s="100"/>
      <c r="W1684" s="100"/>
      <c r="X1684" s="100"/>
      <c r="Y1684" s="100"/>
      <c r="Z1684" s="100"/>
    </row>
    <row r="1685" spans="1:26">
      <c r="A1685" s="100"/>
      <c r="B1685" s="100"/>
      <c r="C1685" s="100"/>
      <c r="D1685" s="100"/>
      <c r="E1685" s="100"/>
      <c r="F1685" s="100"/>
      <c r="G1685" s="100"/>
      <c r="H1685" s="100"/>
      <c r="I1685" s="100"/>
      <c r="J1685" s="100"/>
      <c r="K1685" s="100"/>
      <c r="L1685" s="100"/>
      <c r="M1685" s="100"/>
      <c r="N1685" s="100"/>
      <c r="O1685" s="100"/>
      <c r="P1685" s="100"/>
      <c r="Q1685" s="100"/>
      <c r="R1685" s="100"/>
      <c r="S1685" s="100"/>
      <c r="T1685" s="100"/>
      <c r="U1685" s="100"/>
      <c r="V1685" s="100"/>
      <c r="W1685" s="100"/>
      <c r="X1685" s="100"/>
      <c r="Y1685" s="100"/>
      <c r="Z1685" s="100"/>
    </row>
    <row r="1686" spans="1:26">
      <c r="A1686" s="100"/>
      <c r="B1686" s="100"/>
      <c r="C1686" s="100"/>
      <c r="D1686" s="100"/>
      <c r="E1686" s="100"/>
      <c r="F1686" s="100"/>
      <c r="G1686" s="100"/>
      <c r="H1686" s="100"/>
      <c r="I1686" s="100"/>
      <c r="J1686" s="100"/>
      <c r="K1686" s="100"/>
      <c r="L1686" s="100"/>
      <c r="M1686" s="100"/>
      <c r="N1686" s="100"/>
      <c r="O1686" s="100"/>
      <c r="P1686" s="100"/>
      <c r="Q1686" s="100"/>
      <c r="R1686" s="100"/>
      <c r="S1686" s="100"/>
      <c r="T1686" s="100"/>
      <c r="U1686" s="100"/>
      <c r="V1686" s="100"/>
      <c r="W1686" s="100"/>
      <c r="X1686" s="100"/>
      <c r="Y1686" s="100"/>
      <c r="Z1686" s="100"/>
    </row>
    <row r="1687" spans="1:26">
      <c r="A1687" s="100"/>
      <c r="B1687" s="100"/>
      <c r="C1687" s="100"/>
      <c r="D1687" s="100"/>
      <c r="E1687" s="100"/>
      <c r="F1687" s="100"/>
      <c r="G1687" s="100"/>
      <c r="H1687" s="100"/>
      <c r="I1687" s="100"/>
      <c r="J1687" s="100"/>
      <c r="K1687" s="100"/>
      <c r="L1687" s="100"/>
      <c r="M1687" s="100"/>
      <c r="N1687" s="100"/>
      <c r="O1687" s="100"/>
      <c r="P1687" s="100"/>
      <c r="Q1687" s="100"/>
      <c r="R1687" s="100"/>
      <c r="S1687" s="100"/>
      <c r="T1687" s="100"/>
      <c r="U1687" s="100"/>
      <c r="V1687" s="100"/>
      <c r="W1687" s="100"/>
      <c r="X1687" s="100"/>
      <c r="Y1687" s="100"/>
      <c r="Z1687" s="100"/>
    </row>
    <row r="1688" spans="1:26">
      <c r="A1688" s="100"/>
      <c r="B1688" s="100"/>
      <c r="C1688" s="100"/>
      <c r="D1688" s="100"/>
      <c r="E1688" s="100"/>
      <c r="F1688" s="100"/>
      <c r="G1688" s="100"/>
      <c r="H1688" s="100"/>
      <c r="I1688" s="100"/>
      <c r="J1688" s="100"/>
      <c r="K1688" s="100"/>
      <c r="L1688" s="100"/>
      <c r="M1688" s="100"/>
      <c r="N1688" s="100"/>
      <c r="O1688" s="100"/>
      <c r="P1688" s="100"/>
      <c r="Q1688" s="100"/>
      <c r="R1688" s="100"/>
      <c r="S1688" s="100"/>
      <c r="T1688" s="100"/>
      <c r="U1688" s="100"/>
      <c r="V1688" s="100"/>
      <c r="W1688" s="100"/>
      <c r="X1688" s="100"/>
      <c r="Y1688" s="100"/>
      <c r="Z1688" s="100"/>
    </row>
    <row r="1689" spans="1:26">
      <c r="A1689" s="100"/>
      <c r="B1689" s="100"/>
      <c r="C1689" s="100"/>
      <c r="D1689" s="100"/>
      <c r="E1689" s="100"/>
      <c r="F1689" s="100"/>
      <c r="G1689" s="100"/>
      <c r="H1689" s="100"/>
      <c r="I1689" s="100"/>
      <c r="J1689" s="100"/>
      <c r="K1689" s="100"/>
      <c r="L1689" s="100"/>
      <c r="M1689" s="100"/>
      <c r="N1689" s="100"/>
      <c r="O1689" s="100"/>
      <c r="P1689" s="100"/>
      <c r="Q1689" s="100"/>
      <c r="R1689" s="100"/>
      <c r="S1689" s="100"/>
      <c r="T1689" s="100"/>
      <c r="U1689" s="100"/>
      <c r="V1689" s="100"/>
      <c r="W1689" s="100"/>
      <c r="X1689" s="100"/>
      <c r="Y1689" s="100"/>
      <c r="Z1689" s="100"/>
    </row>
    <row r="1690" spans="1:26">
      <c r="A1690" s="100"/>
      <c r="B1690" s="100"/>
      <c r="C1690" s="100"/>
      <c r="D1690" s="100"/>
      <c r="E1690" s="100"/>
      <c r="F1690" s="100"/>
      <c r="G1690" s="100"/>
      <c r="H1690" s="100"/>
      <c r="I1690" s="100"/>
      <c r="J1690" s="100"/>
      <c r="K1690" s="100"/>
      <c r="L1690" s="100"/>
      <c r="M1690" s="100"/>
      <c r="N1690" s="100"/>
      <c r="O1690" s="100"/>
      <c r="P1690" s="100"/>
      <c r="Q1690" s="100"/>
      <c r="R1690" s="100"/>
      <c r="S1690" s="100"/>
      <c r="T1690" s="100"/>
      <c r="U1690" s="100"/>
      <c r="V1690" s="100"/>
      <c r="W1690" s="100"/>
      <c r="X1690" s="100"/>
      <c r="Y1690" s="100"/>
      <c r="Z1690" s="100"/>
    </row>
    <row r="1691" spans="1:26">
      <c r="A1691" s="100"/>
      <c r="B1691" s="100"/>
      <c r="C1691" s="100"/>
      <c r="D1691" s="100"/>
      <c r="E1691" s="100"/>
      <c r="F1691" s="100"/>
      <c r="G1691" s="100"/>
      <c r="H1691" s="100"/>
      <c r="I1691" s="100"/>
      <c r="J1691" s="100"/>
      <c r="K1691" s="100"/>
      <c r="L1691" s="100"/>
      <c r="M1691" s="100"/>
      <c r="N1691" s="100"/>
      <c r="O1691" s="100"/>
      <c r="P1691" s="100"/>
      <c r="Q1691" s="100"/>
      <c r="R1691" s="100"/>
      <c r="S1691" s="100"/>
      <c r="T1691" s="100"/>
      <c r="U1691" s="100"/>
      <c r="V1691" s="100"/>
      <c r="W1691" s="100"/>
      <c r="X1691" s="100"/>
      <c r="Y1691" s="100"/>
      <c r="Z1691" s="100"/>
    </row>
    <row r="1692" spans="1:26">
      <c r="A1692" s="100"/>
      <c r="B1692" s="100"/>
      <c r="C1692" s="100"/>
      <c r="D1692" s="100"/>
      <c r="E1692" s="100"/>
      <c r="F1692" s="100"/>
      <c r="G1692" s="100"/>
      <c r="H1692" s="100"/>
      <c r="I1692" s="100"/>
      <c r="J1692" s="100"/>
      <c r="K1692" s="100"/>
      <c r="L1692" s="100"/>
      <c r="M1692" s="100"/>
      <c r="N1692" s="100"/>
      <c r="O1692" s="100"/>
      <c r="P1692" s="100"/>
      <c r="Q1692" s="100"/>
      <c r="R1692" s="100"/>
      <c r="S1692" s="100"/>
      <c r="T1692" s="100"/>
      <c r="U1692" s="100"/>
      <c r="V1692" s="100"/>
      <c r="W1692" s="100"/>
      <c r="X1692" s="100"/>
      <c r="Y1692" s="100"/>
      <c r="Z1692" s="100"/>
    </row>
    <row r="1693" spans="1:26">
      <c r="A1693" s="100"/>
      <c r="B1693" s="100"/>
      <c r="C1693" s="100"/>
      <c r="D1693" s="100"/>
      <c r="E1693" s="100"/>
      <c r="F1693" s="100"/>
      <c r="G1693" s="100"/>
      <c r="H1693" s="100"/>
      <c r="I1693" s="100"/>
      <c r="J1693" s="100"/>
      <c r="K1693" s="100"/>
      <c r="L1693" s="100"/>
      <c r="M1693" s="100"/>
      <c r="N1693" s="100"/>
      <c r="O1693" s="100"/>
      <c r="P1693" s="100"/>
      <c r="Q1693" s="100"/>
      <c r="R1693" s="100"/>
      <c r="S1693" s="100"/>
      <c r="T1693" s="100"/>
      <c r="U1693" s="100"/>
      <c r="V1693" s="100"/>
      <c r="W1693" s="100"/>
      <c r="X1693" s="100"/>
      <c r="Y1693" s="100"/>
      <c r="Z1693" s="100"/>
    </row>
    <row r="1694" spans="1:26">
      <c r="A1694" s="100"/>
      <c r="B1694" s="100"/>
      <c r="C1694" s="100"/>
      <c r="D1694" s="100"/>
      <c r="E1694" s="100"/>
      <c r="F1694" s="100"/>
      <c r="G1694" s="100"/>
      <c r="H1694" s="100"/>
      <c r="I1694" s="100"/>
      <c r="J1694" s="100"/>
      <c r="K1694" s="100"/>
      <c r="L1694" s="100"/>
      <c r="M1694" s="100"/>
      <c r="N1694" s="100"/>
      <c r="O1694" s="100"/>
      <c r="P1694" s="100"/>
      <c r="Q1694" s="100"/>
      <c r="R1694" s="100"/>
      <c r="S1694" s="100"/>
      <c r="T1694" s="100"/>
      <c r="U1694" s="100"/>
      <c r="V1694" s="100"/>
      <c r="W1694" s="100"/>
      <c r="X1694" s="100"/>
      <c r="Y1694" s="100"/>
      <c r="Z1694" s="100"/>
    </row>
    <row r="1695" spans="1:26">
      <c r="A1695" s="100"/>
      <c r="B1695" s="100"/>
      <c r="C1695" s="100"/>
      <c r="D1695" s="100"/>
      <c r="E1695" s="100"/>
      <c r="F1695" s="100"/>
      <c r="G1695" s="100"/>
      <c r="H1695" s="100"/>
      <c r="I1695" s="100"/>
      <c r="J1695" s="100"/>
      <c r="K1695" s="100"/>
      <c r="L1695" s="100"/>
      <c r="M1695" s="100"/>
      <c r="N1695" s="100"/>
      <c r="O1695" s="100"/>
      <c r="P1695" s="100"/>
      <c r="Q1695" s="100"/>
      <c r="R1695" s="100"/>
      <c r="S1695" s="100"/>
      <c r="T1695" s="100"/>
      <c r="U1695" s="100"/>
      <c r="V1695" s="100"/>
      <c r="W1695" s="100"/>
      <c r="X1695" s="100"/>
      <c r="Y1695" s="100"/>
      <c r="Z1695" s="100"/>
    </row>
    <row r="1696" spans="1:26">
      <c r="A1696" s="100"/>
      <c r="B1696" s="100"/>
      <c r="C1696" s="100"/>
      <c r="D1696" s="100"/>
      <c r="E1696" s="100"/>
      <c r="F1696" s="100"/>
      <c r="G1696" s="100"/>
      <c r="H1696" s="100"/>
      <c r="I1696" s="100"/>
      <c r="J1696" s="100"/>
      <c r="K1696" s="100"/>
      <c r="L1696" s="100"/>
      <c r="M1696" s="100"/>
      <c r="N1696" s="100"/>
      <c r="O1696" s="100"/>
      <c r="P1696" s="100"/>
      <c r="Q1696" s="100"/>
      <c r="R1696" s="100"/>
      <c r="S1696" s="100"/>
      <c r="T1696" s="100"/>
      <c r="U1696" s="100"/>
      <c r="V1696" s="100"/>
      <c r="W1696" s="100"/>
      <c r="X1696" s="100"/>
      <c r="Y1696" s="100"/>
      <c r="Z1696" s="100"/>
    </row>
    <row r="1697" spans="1:26">
      <c r="A1697" s="100"/>
      <c r="B1697" s="100"/>
      <c r="C1697" s="100"/>
      <c r="D1697" s="100"/>
      <c r="E1697" s="100"/>
      <c r="F1697" s="100"/>
      <c r="G1697" s="100"/>
      <c r="H1697" s="100"/>
      <c r="I1697" s="100"/>
      <c r="J1697" s="100"/>
      <c r="K1697" s="100"/>
      <c r="L1697" s="100"/>
      <c r="M1697" s="100"/>
      <c r="N1697" s="100"/>
      <c r="O1697" s="100"/>
      <c r="P1697" s="100"/>
      <c r="Q1697" s="100"/>
      <c r="R1697" s="100"/>
      <c r="S1697" s="100"/>
      <c r="T1697" s="100"/>
      <c r="U1697" s="100"/>
      <c r="V1697" s="100"/>
      <c r="W1697" s="100"/>
      <c r="X1697" s="100"/>
      <c r="Y1697" s="100"/>
      <c r="Z1697" s="100"/>
    </row>
    <row r="1698" spans="1:26">
      <c r="A1698" s="100"/>
      <c r="B1698" s="100"/>
      <c r="C1698" s="100"/>
      <c r="D1698" s="100"/>
      <c r="E1698" s="100"/>
      <c r="F1698" s="100"/>
      <c r="G1698" s="100"/>
      <c r="H1698" s="100"/>
      <c r="I1698" s="100"/>
      <c r="J1698" s="100"/>
      <c r="K1698" s="100"/>
      <c r="L1698" s="100"/>
      <c r="M1698" s="100"/>
      <c r="N1698" s="100"/>
      <c r="O1698" s="100"/>
      <c r="P1698" s="100"/>
      <c r="Q1698" s="100"/>
      <c r="R1698" s="100"/>
      <c r="S1698" s="100"/>
      <c r="T1698" s="100"/>
      <c r="U1698" s="100"/>
      <c r="V1698" s="100"/>
      <c r="W1698" s="100"/>
      <c r="X1698" s="100"/>
      <c r="Y1698" s="100"/>
      <c r="Z1698" s="100"/>
    </row>
    <row r="1699" spans="1:26">
      <c r="A1699" s="100"/>
      <c r="B1699" s="100"/>
      <c r="C1699" s="100"/>
      <c r="D1699" s="100"/>
      <c r="E1699" s="100"/>
      <c r="F1699" s="100"/>
      <c r="G1699" s="100"/>
      <c r="H1699" s="100"/>
      <c r="I1699" s="100"/>
      <c r="J1699" s="100"/>
      <c r="K1699" s="100"/>
      <c r="L1699" s="100"/>
      <c r="M1699" s="100"/>
      <c r="N1699" s="100"/>
      <c r="O1699" s="100"/>
      <c r="P1699" s="100"/>
      <c r="Q1699" s="100"/>
      <c r="R1699" s="100"/>
      <c r="S1699" s="100"/>
      <c r="T1699" s="100"/>
      <c r="U1699" s="100"/>
      <c r="V1699" s="100"/>
      <c r="W1699" s="100"/>
      <c r="X1699" s="100"/>
      <c r="Y1699" s="100"/>
      <c r="Z1699" s="100"/>
    </row>
    <row r="1700" spans="1:26">
      <c r="A1700" s="100"/>
      <c r="B1700" s="100"/>
      <c r="C1700" s="100"/>
      <c r="D1700" s="100"/>
      <c r="E1700" s="100"/>
      <c r="F1700" s="100"/>
      <c r="G1700" s="100"/>
      <c r="H1700" s="100"/>
      <c r="I1700" s="100"/>
      <c r="J1700" s="100"/>
      <c r="K1700" s="100"/>
      <c r="L1700" s="100"/>
      <c r="M1700" s="100"/>
      <c r="N1700" s="100"/>
      <c r="O1700" s="100"/>
      <c r="P1700" s="100"/>
      <c r="Q1700" s="100"/>
      <c r="R1700" s="100"/>
      <c r="S1700" s="100"/>
      <c r="T1700" s="100"/>
      <c r="U1700" s="100"/>
      <c r="V1700" s="100"/>
      <c r="W1700" s="100"/>
      <c r="X1700" s="100"/>
      <c r="Y1700" s="100"/>
      <c r="Z1700" s="100"/>
    </row>
    <row r="1701" spans="1:26">
      <c r="A1701" s="100"/>
      <c r="B1701" s="100"/>
      <c r="C1701" s="100"/>
      <c r="D1701" s="100"/>
      <c r="E1701" s="100"/>
      <c r="F1701" s="100"/>
      <c r="G1701" s="100"/>
      <c r="H1701" s="100"/>
      <c r="I1701" s="100"/>
      <c r="J1701" s="100"/>
      <c r="K1701" s="100"/>
      <c r="L1701" s="100"/>
      <c r="M1701" s="100"/>
      <c r="N1701" s="100"/>
      <c r="O1701" s="100"/>
      <c r="P1701" s="100"/>
      <c r="Q1701" s="100"/>
      <c r="R1701" s="100"/>
      <c r="S1701" s="100"/>
      <c r="T1701" s="100"/>
      <c r="U1701" s="100"/>
      <c r="V1701" s="100"/>
      <c r="W1701" s="100"/>
      <c r="X1701" s="100"/>
      <c r="Y1701" s="100"/>
      <c r="Z1701" s="100"/>
    </row>
    <row r="1702" spans="1:26">
      <c r="A1702" s="100"/>
      <c r="B1702" s="100"/>
      <c r="C1702" s="100"/>
      <c r="D1702" s="100"/>
      <c r="E1702" s="100"/>
      <c r="F1702" s="100"/>
      <c r="G1702" s="100"/>
      <c r="H1702" s="100"/>
      <c r="I1702" s="100"/>
      <c r="J1702" s="100"/>
      <c r="K1702" s="100"/>
      <c r="L1702" s="100"/>
      <c r="M1702" s="100"/>
      <c r="N1702" s="100"/>
      <c r="O1702" s="100"/>
      <c r="P1702" s="100"/>
      <c r="Q1702" s="100"/>
      <c r="R1702" s="100"/>
      <c r="S1702" s="100"/>
      <c r="T1702" s="100"/>
      <c r="U1702" s="100"/>
      <c r="V1702" s="100"/>
      <c r="W1702" s="100"/>
      <c r="X1702" s="100"/>
      <c r="Y1702" s="100"/>
      <c r="Z1702" s="100"/>
    </row>
    <row r="1703" spans="1:26">
      <c r="A1703" s="100"/>
      <c r="B1703" s="100"/>
      <c r="C1703" s="100"/>
      <c r="D1703" s="100"/>
      <c r="E1703" s="100"/>
      <c r="F1703" s="100"/>
      <c r="G1703" s="100"/>
      <c r="H1703" s="100"/>
      <c r="I1703" s="100"/>
      <c r="J1703" s="100"/>
      <c r="K1703" s="100"/>
      <c r="L1703" s="100"/>
      <c r="M1703" s="100"/>
      <c r="N1703" s="100"/>
      <c r="O1703" s="100"/>
      <c r="P1703" s="100"/>
      <c r="Q1703" s="100"/>
      <c r="R1703" s="100"/>
      <c r="S1703" s="100"/>
      <c r="T1703" s="100"/>
      <c r="U1703" s="100"/>
      <c r="V1703" s="100"/>
      <c r="W1703" s="100"/>
      <c r="X1703" s="100"/>
      <c r="Y1703" s="100"/>
      <c r="Z1703" s="100"/>
    </row>
    <row r="1704" spans="1:26">
      <c r="A1704" s="100"/>
      <c r="B1704" s="100"/>
      <c r="C1704" s="100"/>
      <c r="D1704" s="100"/>
      <c r="E1704" s="100"/>
      <c r="F1704" s="100"/>
      <c r="G1704" s="100"/>
      <c r="H1704" s="100"/>
      <c r="I1704" s="100"/>
      <c r="J1704" s="100"/>
      <c r="K1704" s="100"/>
      <c r="L1704" s="100"/>
      <c r="M1704" s="100"/>
      <c r="N1704" s="100"/>
      <c r="O1704" s="100"/>
      <c r="P1704" s="100"/>
      <c r="Q1704" s="100"/>
      <c r="R1704" s="100"/>
      <c r="S1704" s="100"/>
      <c r="T1704" s="100"/>
      <c r="U1704" s="100"/>
      <c r="V1704" s="100"/>
      <c r="W1704" s="100"/>
      <c r="X1704" s="100"/>
      <c r="Y1704" s="100"/>
      <c r="Z1704" s="100"/>
    </row>
    <row r="1705" spans="1:26">
      <c r="A1705" s="100"/>
      <c r="B1705" s="100"/>
      <c r="C1705" s="100"/>
      <c r="D1705" s="100"/>
      <c r="E1705" s="100"/>
      <c r="F1705" s="100"/>
      <c r="G1705" s="100"/>
      <c r="H1705" s="100"/>
      <c r="I1705" s="100"/>
      <c r="J1705" s="100"/>
      <c r="K1705" s="100"/>
      <c r="L1705" s="100"/>
      <c r="M1705" s="100"/>
      <c r="N1705" s="100"/>
      <c r="O1705" s="100"/>
      <c r="P1705" s="100"/>
      <c r="Q1705" s="100"/>
      <c r="R1705" s="100"/>
      <c r="S1705" s="100"/>
      <c r="T1705" s="100"/>
      <c r="U1705" s="100"/>
      <c r="V1705" s="100"/>
      <c r="W1705" s="100"/>
      <c r="X1705" s="100"/>
      <c r="Y1705" s="100"/>
      <c r="Z1705" s="100"/>
    </row>
    <row r="1706" spans="1:26">
      <c r="A1706" s="100"/>
      <c r="B1706" s="100"/>
      <c r="C1706" s="100"/>
      <c r="D1706" s="100"/>
      <c r="E1706" s="100"/>
      <c r="F1706" s="100"/>
      <c r="G1706" s="100"/>
      <c r="H1706" s="100"/>
      <c r="I1706" s="100"/>
      <c r="J1706" s="100"/>
      <c r="K1706" s="100"/>
      <c r="L1706" s="100"/>
      <c r="M1706" s="100"/>
      <c r="N1706" s="100"/>
      <c r="O1706" s="100"/>
      <c r="P1706" s="100"/>
      <c r="Q1706" s="100"/>
      <c r="R1706" s="100"/>
      <c r="S1706" s="100"/>
      <c r="T1706" s="100"/>
      <c r="U1706" s="100"/>
      <c r="V1706" s="100"/>
      <c r="W1706" s="100"/>
      <c r="X1706" s="100"/>
      <c r="Y1706" s="100"/>
      <c r="Z1706" s="100"/>
    </row>
    <row r="1707" spans="1:26">
      <c r="A1707" s="100"/>
      <c r="B1707" s="100"/>
      <c r="C1707" s="100"/>
      <c r="D1707" s="100"/>
      <c r="E1707" s="100"/>
      <c r="F1707" s="100"/>
      <c r="G1707" s="100"/>
      <c r="H1707" s="100"/>
      <c r="I1707" s="100"/>
      <c r="J1707" s="100"/>
      <c r="K1707" s="100"/>
      <c r="L1707" s="100"/>
      <c r="M1707" s="100"/>
      <c r="N1707" s="100"/>
      <c r="O1707" s="100"/>
      <c r="P1707" s="100"/>
      <c r="Q1707" s="100"/>
      <c r="R1707" s="100"/>
      <c r="S1707" s="100"/>
      <c r="T1707" s="100"/>
      <c r="U1707" s="100"/>
      <c r="V1707" s="100"/>
      <c r="W1707" s="100"/>
      <c r="X1707" s="100"/>
      <c r="Y1707" s="100"/>
      <c r="Z1707" s="100"/>
    </row>
    <row r="1708" spans="1:26">
      <c r="A1708" s="100"/>
      <c r="B1708" s="100"/>
      <c r="C1708" s="100"/>
      <c r="D1708" s="100"/>
      <c r="E1708" s="100"/>
      <c r="F1708" s="100"/>
      <c r="G1708" s="100"/>
      <c r="H1708" s="100"/>
      <c r="I1708" s="100"/>
      <c r="J1708" s="100"/>
      <c r="K1708" s="100"/>
      <c r="L1708" s="100"/>
      <c r="M1708" s="100"/>
      <c r="N1708" s="100"/>
      <c r="O1708" s="100"/>
      <c r="P1708" s="100"/>
      <c r="Q1708" s="100"/>
      <c r="R1708" s="100"/>
      <c r="S1708" s="100"/>
      <c r="T1708" s="100"/>
      <c r="U1708" s="100"/>
      <c r="V1708" s="100"/>
      <c r="W1708" s="100"/>
      <c r="X1708" s="100"/>
      <c r="Y1708" s="100"/>
      <c r="Z1708" s="100"/>
    </row>
    <row r="1709" spans="1:26">
      <c r="A1709" s="100"/>
      <c r="B1709" s="100"/>
      <c r="C1709" s="100"/>
      <c r="D1709" s="100"/>
      <c r="E1709" s="100"/>
      <c r="F1709" s="100"/>
      <c r="G1709" s="100"/>
      <c r="H1709" s="100"/>
      <c r="I1709" s="100"/>
      <c r="J1709" s="100"/>
      <c r="K1709" s="100"/>
      <c r="L1709" s="100"/>
      <c r="M1709" s="100"/>
      <c r="N1709" s="100"/>
      <c r="O1709" s="100"/>
      <c r="P1709" s="100"/>
      <c r="Q1709" s="100"/>
      <c r="R1709" s="100"/>
      <c r="S1709" s="100"/>
      <c r="T1709" s="100"/>
      <c r="U1709" s="100"/>
      <c r="V1709" s="100"/>
      <c r="W1709" s="100"/>
      <c r="X1709" s="100"/>
      <c r="Y1709" s="100"/>
      <c r="Z1709" s="100"/>
    </row>
    <row r="1710" spans="1:26">
      <c r="A1710" s="100"/>
      <c r="B1710" s="100"/>
      <c r="C1710" s="100"/>
      <c r="D1710" s="100"/>
      <c r="E1710" s="100"/>
      <c r="F1710" s="100"/>
      <c r="G1710" s="100"/>
      <c r="H1710" s="100"/>
      <c r="I1710" s="100"/>
      <c r="J1710" s="100"/>
      <c r="K1710" s="100"/>
      <c r="L1710" s="100"/>
      <c r="M1710" s="100"/>
      <c r="N1710" s="100"/>
      <c r="O1710" s="100"/>
      <c r="P1710" s="100"/>
      <c r="Q1710" s="100"/>
      <c r="R1710" s="100"/>
      <c r="S1710" s="100"/>
      <c r="T1710" s="100"/>
      <c r="U1710" s="100"/>
      <c r="V1710" s="100"/>
      <c r="W1710" s="100"/>
      <c r="X1710" s="100"/>
      <c r="Y1710" s="100"/>
      <c r="Z1710" s="100"/>
    </row>
    <row r="1711" spans="1:26">
      <c r="A1711" s="100"/>
      <c r="B1711" s="100"/>
      <c r="C1711" s="100"/>
      <c r="D1711" s="100"/>
      <c r="E1711" s="100"/>
      <c r="F1711" s="100"/>
      <c r="G1711" s="100"/>
      <c r="H1711" s="100"/>
      <c r="I1711" s="100"/>
      <c r="J1711" s="100"/>
      <c r="K1711" s="100"/>
      <c r="L1711" s="100"/>
      <c r="M1711" s="100"/>
      <c r="N1711" s="100"/>
      <c r="O1711" s="100"/>
      <c r="P1711" s="100"/>
      <c r="Q1711" s="100"/>
      <c r="R1711" s="100"/>
      <c r="S1711" s="100"/>
      <c r="T1711" s="100"/>
      <c r="U1711" s="100"/>
      <c r="V1711" s="100"/>
      <c r="W1711" s="100"/>
      <c r="X1711" s="100"/>
      <c r="Y1711" s="100"/>
      <c r="Z1711" s="100"/>
    </row>
    <row r="1712" spans="1:26">
      <c r="A1712" s="100"/>
      <c r="B1712" s="100"/>
      <c r="C1712" s="100"/>
      <c r="D1712" s="100"/>
      <c r="E1712" s="100"/>
      <c r="F1712" s="100"/>
      <c r="G1712" s="100"/>
      <c r="H1712" s="100"/>
      <c r="I1712" s="100"/>
      <c r="J1712" s="100"/>
      <c r="K1712" s="100"/>
      <c r="L1712" s="100"/>
      <c r="M1712" s="100"/>
      <c r="N1712" s="100"/>
      <c r="O1712" s="100"/>
      <c r="P1712" s="100"/>
      <c r="Q1712" s="100"/>
      <c r="R1712" s="100"/>
      <c r="S1712" s="100"/>
      <c r="T1712" s="100"/>
      <c r="U1712" s="100"/>
      <c r="V1712" s="100"/>
      <c r="W1712" s="100"/>
      <c r="X1712" s="100"/>
      <c r="Y1712" s="100"/>
      <c r="Z1712" s="100"/>
    </row>
    <row r="1713" spans="1:26">
      <c r="A1713" s="100"/>
      <c r="B1713" s="100"/>
      <c r="C1713" s="100"/>
      <c r="D1713" s="100"/>
      <c r="E1713" s="100"/>
      <c r="F1713" s="100"/>
      <c r="G1713" s="100"/>
      <c r="H1713" s="100"/>
      <c r="I1713" s="100"/>
      <c r="J1713" s="100"/>
      <c r="K1713" s="100"/>
      <c r="L1713" s="100"/>
      <c r="M1713" s="100"/>
      <c r="N1713" s="100"/>
      <c r="O1713" s="100"/>
      <c r="P1713" s="100"/>
      <c r="Q1713" s="100"/>
      <c r="R1713" s="100"/>
      <c r="S1713" s="100"/>
      <c r="T1713" s="100"/>
      <c r="U1713" s="100"/>
      <c r="V1713" s="100"/>
      <c r="W1713" s="100"/>
      <c r="X1713" s="100"/>
      <c r="Y1713" s="100"/>
      <c r="Z1713" s="100"/>
    </row>
    <row r="1714" spans="1:26">
      <c r="A1714" s="100"/>
      <c r="B1714" s="100"/>
      <c r="C1714" s="100"/>
      <c r="D1714" s="100"/>
      <c r="E1714" s="100"/>
      <c r="F1714" s="100"/>
      <c r="G1714" s="100"/>
      <c r="H1714" s="100"/>
      <c r="I1714" s="100"/>
      <c r="J1714" s="100"/>
      <c r="K1714" s="100"/>
      <c r="L1714" s="100"/>
      <c r="M1714" s="100"/>
      <c r="N1714" s="100"/>
      <c r="O1714" s="100"/>
      <c r="P1714" s="100"/>
      <c r="Q1714" s="100"/>
      <c r="R1714" s="100"/>
      <c r="S1714" s="100"/>
      <c r="T1714" s="100"/>
      <c r="U1714" s="100"/>
      <c r="V1714" s="100"/>
      <c r="W1714" s="100"/>
      <c r="X1714" s="100"/>
      <c r="Y1714" s="100"/>
      <c r="Z1714" s="100"/>
    </row>
    <row r="1715" spans="1:26">
      <c r="A1715" s="100"/>
      <c r="B1715" s="100"/>
      <c r="C1715" s="100"/>
      <c r="D1715" s="100"/>
      <c r="E1715" s="100"/>
      <c r="F1715" s="100"/>
      <c r="G1715" s="100"/>
      <c r="H1715" s="100"/>
      <c r="I1715" s="100"/>
      <c r="J1715" s="100"/>
      <c r="K1715" s="100"/>
      <c r="L1715" s="100"/>
      <c r="M1715" s="100"/>
      <c r="N1715" s="100"/>
      <c r="O1715" s="100"/>
      <c r="P1715" s="100"/>
      <c r="Q1715" s="100"/>
      <c r="R1715" s="100"/>
      <c r="S1715" s="100"/>
      <c r="T1715" s="100"/>
      <c r="U1715" s="100"/>
      <c r="V1715" s="100"/>
      <c r="W1715" s="100"/>
      <c r="X1715" s="100"/>
      <c r="Y1715" s="100"/>
      <c r="Z1715" s="100"/>
    </row>
    <row r="1716" spans="1:26">
      <c r="A1716" s="100"/>
      <c r="B1716" s="100"/>
      <c r="C1716" s="100"/>
      <c r="D1716" s="100"/>
      <c r="E1716" s="100"/>
      <c r="F1716" s="100"/>
      <c r="G1716" s="100"/>
      <c r="H1716" s="100"/>
      <c r="I1716" s="100"/>
      <c r="J1716" s="100"/>
      <c r="K1716" s="100"/>
      <c r="L1716" s="100"/>
      <c r="M1716" s="100"/>
      <c r="N1716" s="100"/>
      <c r="O1716" s="100"/>
      <c r="P1716" s="100"/>
      <c r="Q1716" s="100"/>
      <c r="R1716" s="100"/>
      <c r="S1716" s="100"/>
      <c r="T1716" s="100"/>
      <c r="U1716" s="100"/>
      <c r="V1716" s="100"/>
      <c r="W1716" s="100"/>
      <c r="X1716" s="100"/>
      <c r="Y1716" s="100"/>
      <c r="Z1716" s="100"/>
    </row>
    <row r="1717" spans="1:26">
      <c r="A1717" s="100"/>
      <c r="B1717" s="100"/>
      <c r="C1717" s="100"/>
      <c r="D1717" s="100"/>
      <c r="E1717" s="100"/>
      <c r="F1717" s="100"/>
      <c r="G1717" s="100"/>
      <c r="H1717" s="100"/>
      <c r="I1717" s="100"/>
      <c r="J1717" s="100"/>
      <c r="K1717" s="100"/>
      <c r="L1717" s="100"/>
      <c r="M1717" s="100"/>
      <c r="N1717" s="100"/>
      <c r="O1717" s="100"/>
      <c r="P1717" s="100"/>
      <c r="Q1717" s="100"/>
      <c r="R1717" s="100"/>
      <c r="S1717" s="100"/>
      <c r="T1717" s="100"/>
      <c r="U1717" s="100"/>
      <c r="V1717" s="100"/>
      <c r="W1717" s="100"/>
      <c r="X1717" s="100"/>
      <c r="Y1717" s="100"/>
      <c r="Z1717" s="100"/>
    </row>
    <row r="1718" spans="1:26">
      <c r="A1718" s="100"/>
      <c r="B1718" s="100"/>
      <c r="C1718" s="100"/>
      <c r="D1718" s="100"/>
      <c r="E1718" s="100"/>
      <c r="F1718" s="100"/>
      <c r="G1718" s="100"/>
      <c r="H1718" s="100"/>
      <c r="I1718" s="100"/>
      <c r="J1718" s="100"/>
      <c r="K1718" s="100"/>
      <c r="L1718" s="100"/>
      <c r="M1718" s="100"/>
      <c r="N1718" s="100"/>
      <c r="O1718" s="100"/>
      <c r="P1718" s="100"/>
      <c r="Q1718" s="100"/>
      <c r="R1718" s="100"/>
      <c r="S1718" s="100"/>
      <c r="T1718" s="100"/>
      <c r="U1718" s="100"/>
      <c r="V1718" s="100"/>
      <c r="W1718" s="100"/>
      <c r="X1718" s="100"/>
      <c r="Y1718" s="100"/>
      <c r="Z1718" s="100"/>
    </row>
    <row r="1719" spans="1:26">
      <c r="A1719" s="100"/>
      <c r="B1719" s="100"/>
      <c r="C1719" s="100"/>
      <c r="D1719" s="100"/>
      <c r="E1719" s="100"/>
      <c r="F1719" s="100"/>
      <c r="G1719" s="100"/>
      <c r="H1719" s="100"/>
      <c r="I1719" s="100"/>
      <c r="J1719" s="100"/>
      <c r="K1719" s="100"/>
      <c r="L1719" s="100"/>
      <c r="M1719" s="100"/>
      <c r="N1719" s="100"/>
      <c r="O1719" s="100"/>
      <c r="P1719" s="100"/>
      <c r="Q1719" s="100"/>
      <c r="R1719" s="100"/>
      <c r="S1719" s="100"/>
      <c r="T1719" s="100"/>
      <c r="U1719" s="100"/>
      <c r="V1719" s="100"/>
      <c r="W1719" s="100"/>
      <c r="X1719" s="100"/>
      <c r="Y1719" s="100"/>
      <c r="Z1719" s="100"/>
    </row>
    <row r="1720" spans="1:26">
      <c r="A1720" s="100"/>
      <c r="B1720" s="100"/>
      <c r="C1720" s="100"/>
      <c r="D1720" s="100"/>
      <c r="E1720" s="100"/>
      <c r="F1720" s="100"/>
      <c r="G1720" s="100"/>
      <c r="H1720" s="100"/>
      <c r="I1720" s="100"/>
      <c r="J1720" s="100"/>
      <c r="K1720" s="100"/>
      <c r="L1720" s="100"/>
      <c r="M1720" s="100"/>
      <c r="N1720" s="100"/>
      <c r="O1720" s="100"/>
      <c r="P1720" s="100"/>
      <c r="Q1720" s="100"/>
      <c r="R1720" s="100"/>
      <c r="S1720" s="100"/>
      <c r="T1720" s="100"/>
      <c r="U1720" s="100"/>
      <c r="V1720" s="100"/>
      <c r="W1720" s="100"/>
      <c r="X1720" s="100"/>
      <c r="Y1720" s="100"/>
      <c r="Z1720" s="100"/>
    </row>
    <row r="1721" spans="1:26">
      <c r="A1721" s="100"/>
      <c r="B1721" s="100"/>
      <c r="C1721" s="100"/>
      <c r="D1721" s="100"/>
      <c r="E1721" s="100"/>
      <c r="F1721" s="100"/>
      <c r="G1721" s="100"/>
      <c r="H1721" s="100"/>
      <c r="I1721" s="100"/>
      <c r="J1721" s="100"/>
      <c r="K1721" s="100"/>
      <c r="L1721" s="100"/>
      <c r="M1721" s="100"/>
      <c r="N1721" s="100"/>
      <c r="O1721" s="100"/>
      <c r="P1721" s="100"/>
      <c r="Q1721" s="100"/>
      <c r="R1721" s="100"/>
      <c r="S1721" s="100"/>
      <c r="T1721" s="100"/>
      <c r="U1721" s="100"/>
      <c r="V1721" s="100"/>
      <c r="W1721" s="100"/>
      <c r="X1721" s="100"/>
      <c r="Y1721" s="100"/>
      <c r="Z1721" s="100"/>
    </row>
    <row r="1722" spans="1:26">
      <c r="A1722" s="100"/>
      <c r="B1722" s="100"/>
      <c r="C1722" s="100"/>
      <c r="D1722" s="100"/>
      <c r="E1722" s="100"/>
      <c r="F1722" s="100"/>
      <c r="G1722" s="100"/>
      <c r="H1722" s="100"/>
      <c r="I1722" s="100"/>
      <c r="J1722" s="100"/>
      <c r="K1722" s="100"/>
      <c r="L1722" s="100"/>
      <c r="M1722" s="100"/>
      <c r="N1722" s="100"/>
      <c r="O1722" s="100"/>
      <c r="P1722" s="100"/>
      <c r="Q1722" s="100"/>
      <c r="R1722" s="100"/>
      <c r="S1722" s="100"/>
      <c r="T1722" s="100"/>
      <c r="U1722" s="100"/>
      <c r="V1722" s="100"/>
      <c r="W1722" s="100"/>
      <c r="X1722" s="100"/>
      <c r="Y1722" s="100"/>
      <c r="Z1722" s="100"/>
    </row>
    <row r="1723" spans="1:26">
      <c r="A1723" s="100"/>
      <c r="B1723" s="100"/>
      <c r="C1723" s="100"/>
      <c r="D1723" s="100"/>
      <c r="E1723" s="100"/>
      <c r="F1723" s="100"/>
      <c r="G1723" s="100"/>
      <c r="H1723" s="100"/>
      <c r="I1723" s="100"/>
      <c r="J1723" s="100"/>
      <c r="K1723" s="100"/>
      <c r="L1723" s="100"/>
      <c r="M1723" s="100"/>
      <c r="N1723" s="100"/>
      <c r="O1723" s="100"/>
      <c r="P1723" s="100"/>
      <c r="Q1723" s="100"/>
      <c r="R1723" s="100"/>
      <c r="S1723" s="100"/>
      <c r="T1723" s="100"/>
      <c r="U1723" s="100"/>
      <c r="V1723" s="100"/>
      <c r="W1723" s="100"/>
      <c r="X1723" s="100"/>
      <c r="Y1723" s="100"/>
      <c r="Z1723" s="100"/>
    </row>
    <row r="1724" spans="1:26">
      <c r="A1724" s="100"/>
      <c r="B1724" s="100"/>
      <c r="C1724" s="100"/>
      <c r="D1724" s="100"/>
      <c r="E1724" s="100"/>
      <c r="F1724" s="100"/>
      <c r="G1724" s="100"/>
      <c r="H1724" s="100"/>
      <c r="I1724" s="100"/>
      <c r="J1724" s="100"/>
      <c r="K1724" s="100"/>
      <c r="L1724" s="100"/>
      <c r="M1724" s="100"/>
      <c r="N1724" s="100"/>
      <c r="O1724" s="100"/>
      <c r="P1724" s="100"/>
      <c r="Q1724" s="100"/>
      <c r="R1724" s="100"/>
      <c r="S1724" s="100"/>
      <c r="T1724" s="100"/>
      <c r="U1724" s="100"/>
      <c r="V1724" s="100"/>
      <c r="W1724" s="100"/>
      <c r="X1724" s="100"/>
      <c r="Y1724" s="100"/>
      <c r="Z1724" s="100"/>
    </row>
    <row r="1725" spans="1:26">
      <c r="A1725" s="100"/>
      <c r="B1725" s="100"/>
      <c r="C1725" s="100"/>
      <c r="D1725" s="100"/>
      <c r="E1725" s="100"/>
      <c r="F1725" s="100"/>
      <c r="G1725" s="100"/>
      <c r="H1725" s="100"/>
      <c r="I1725" s="100"/>
      <c r="J1725" s="100"/>
      <c r="K1725" s="100"/>
      <c r="L1725" s="100"/>
      <c r="M1725" s="100"/>
      <c r="N1725" s="100"/>
      <c r="O1725" s="100"/>
      <c r="P1725" s="100"/>
      <c r="Q1725" s="100"/>
      <c r="R1725" s="100"/>
      <c r="S1725" s="100"/>
      <c r="T1725" s="100"/>
      <c r="U1725" s="100"/>
      <c r="V1725" s="100"/>
      <c r="W1725" s="100"/>
      <c r="X1725" s="100"/>
      <c r="Y1725" s="100"/>
      <c r="Z1725" s="100"/>
    </row>
    <row r="1726" spans="1:26">
      <c r="A1726" s="100"/>
      <c r="B1726" s="100"/>
      <c r="C1726" s="100"/>
      <c r="D1726" s="100"/>
      <c r="E1726" s="100"/>
      <c r="F1726" s="100"/>
      <c r="G1726" s="100"/>
      <c r="H1726" s="100"/>
      <c r="I1726" s="100"/>
      <c r="J1726" s="100"/>
      <c r="K1726" s="100"/>
      <c r="L1726" s="100"/>
      <c r="M1726" s="100"/>
      <c r="N1726" s="100"/>
      <c r="O1726" s="100"/>
      <c r="P1726" s="100"/>
      <c r="Q1726" s="100"/>
      <c r="R1726" s="100"/>
      <c r="S1726" s="100"/>
      <c r="T1726" s="100"/>
      <c r="U1726" s="100"/>
      <c r="V1726" s="100"/>
      <c r="W1726" s="100"/>
      <c r="X1726" s="100"/>
      <c r="Y1726" s="100"/>
      <c r="Z1726" s="100"/>
    </row>
    <row r="1727" spans="1:26">
      <c r="A1727" s="100"/>
      <c r="B1727" s="100"/>
      <c r="C1727" s="100"/>
      <c r="D1727" s="100"/>
      <c r="E1727" s="100"/>
      <c r="F1727" s="100"/>
      <c r="G1727" s="100"/>
      <c r="H1727" s="100"/>
      <c r="I1727" s="100"/>
      <c r="J1727" s="100"/>
      <c r="K1727" s="100"/>
      <c r="L1727" s="100"/>
      <c r="M1727" s="100"/>
      <c r="N1727" s="100"/>
      <c r="O1727" s="100"/>
      <c r="P1727" s="100"/>
      <c r="Q1727" s="100"/>
      <c r="R1727" s="100"/>
      <c r="S1727" s="100"/>
      <c r="T1727" s="100"/>
      <c r="U1727" s="100"/>
      <c r="V1727" s="100"/>
      <c r="W1727" s="100"/>
      <c r="X1727" s="100"/>
      <c r="Y1727" s="100"/>
      <c r="Z1727" s="100"/>
    </row>
    <row r="1728" spans="1:26">
      <c r="A1728" s="100"/>
      <c r="B1728" s="100"/>
      <c r="C1728" s="100"/>
      <c r="D1728" s="100"/>
      <c r="E1728" s="100"/>
      <c r="F1728" s="100"/>
      <c r="G1728" s="100"/>
      <c r="H1728" s="100"/>
      <c r="I1728" s="100"/>
      <c r="J1728" s="100"/>
      <c r="K1728" s="100"/>
      <c r="L1728" s="100"/>
      <c r="M1728" s="100"/>
      <c r="N1728" s="100"/>
      <c r="O1728" s="100"/>
      <c r="P1728" s="100"/>
      <c r="Q1728" s="100"/>
      <c r="R1728" s="100"/>
      <c r="S1728" s="100"/>
      <c r="T1728" s="100"/>
      <c r="U1728" s="100"/>
      <c r="V1728" s="100"/>
      <c r="W1728" s="100"/>
      <c r="X1728" s="100"/>
      <c r="Y1728" s="100"/>
      <c r="Z1728" s="100"/>
    </row>
    <row r="1729" spans="1:26">
      <c r="A1729" s="100"/>
      <c r="B1729" s="100"/>
      <c r="C1729" s="100"/>
      <c r="D1729" s="100"/>
      <c r="E1729" s="100"/>
      <c r="F1729" s="100"/>
      <c r="G1729" s="100"/>
      <c r="H1729" s="100"/>
      <c r="I1729" s="100"/>
      <c r="J1729" s="100"/>
      <c r="K1729" s="100"/>
      <c r="L1729" s="100"/>
      <c r="M1729" s="100"/>
      <c r="N1729" s="100"/>
      <c r="O1729" s="100"/>
      <c r="P1729" s="100"/>
      <c r="Q1729" s="100"/>
      <c r="R1729" s="100"/>
      <c r="S1729" s="100"/>
      <c r="T1729" s="100"/>
      <c r="U1729" s="100"/>
      <c r="V1729" s="100"/>
      <c r="W1729" s="100"/>
      <c r="X1729" s="100"/>
      <c r="Y1729" s="100"/>
      <c r="Z1729" s="100"/>
    </row>
    <row r="1730" spans="1:26">
      <c r="A1730" s="100"/>
      <c r="B1730" s="100"/>
      <c r="C1730" s="100"/>
      <c r="D1730" s="100"/>
      <c r="E1730" s="100"/>
      <c r="F1730" s="100"/>
      <c r="G1730" s="100"/>
      <c r="H1730" s="100"/>
      <c r="I1730" s="100"/>
      <c r="J1730" s="100"/>
      <c r="K1730" s="100"/>
      <c r="L1730" s="100"/>
      <c r="M1730" s="100"/>
      <c r="N1730" s="100"/>
      <c r="O1730" s="100"/>
      <c r="P1730" s="100"/>
      <c r="Q1730" s="100"/>
      <c r="R1730" s="100"/>
      <c r="S1730" s="100"/>
      <c r="T1730" s="100"/>
      <c r="U1730" s="100"/>
      <c r="V1730" s="100"/>
      <c r="W1730" s="100"/>
      <c r="X1730" s="100"/>
      <c r="Y1730" s="100"/>
      <c r="Z1730" s="100"/>
    </row>
    <row r="1731" spans="1:26">
      <c r="A1731" s="100"/>
      <c r="B1731" s="100"/>
      <c r="C1731" s="100"/>
      <c r="D1731" s="100"/>
      <c r="E1731" s="100"/>
      <c r="F1731" s="100"/>
      <c r="G1731" s="100"/>
      <c r="H1731" s="100"/>
      <c r="I1731" s="100"/>
      <c r="J1731" s="100"/>
      <c r="K1731" s="100"/>
      <c r="L1731" s="100"/>
      <c r="M1731" s="100"/>
      <c r="N1731" s="100"/>
      <c r="O1731" s="100"/>
      <c r="P1731" s="100"/>
      <c r="Q1731" s="100"/>
      <c r="R1731" s="100"/>
      <c r="S1731" s="100"/>
      <c r="T1731" s="100"/>
      <c r="U1731" s="100"/>
      <c r="V1731" s="100"/>
      <c r="W1731" s="100"/>
      <c r="X1731" s="100"/>
      <c r="Y1731" s="100"/>
      <c r="Z1731" s="100"/>
    </row>
    <row r="1732" spans="1:26">
      <c r="A1732" s="100"/>
      <c r="B1732" s="100"/>
      <c r="C1732" s="100"/>
      <c r="D1732" s="100"/>
      <c r="E1732" s="100"/>
      <c r="F1732" s="100"/>
      <c r="G1732" s="100"/>
      <c r="H1732" s="100"/>
      <c r="I1732" s="100"/>
      <c r="J1732" s="100"/>
      <c r="K1732" s="100"/>
      <c r="L1732" s="100"/>
      <c r="M1732" s="100"/>
      <c r="N1732" s="100"/>
      <c r="O1732" s="100"/>
      <c r="P1732" s="100"/>
      <c r="Q1732" s="100"/>
      <c r="R1732" s="100"/>
      <c r="S1732" s="100"/>
      <c r="T1732" s="100"/>
      <c r="U1732" s="100"/>
      <c r="V1732" s="100"/>
      <c r="W1732" s="100"/>
      <c r="X1732" s="100"/>
      <c r="Y1732" s="100"/>
      <c r="Z1732" s="100"/>
    </row>
    <row r="1733" spans="1:26">
      <c r="A1733" s="100"/>
      <c r="B1733" s="100"/>
      <c r="C1733" s="100"/>
      <c r="D1733" s="100"/>
      <c r="E1733" s="100"/>
      <c r="F1733" s="100"/>
      <c r="G1733" s="100"/>
      <c r="H1733" s="100"/>
      <c r="I1733" s="100"/>
      <c r="J1733" s="100"/>
      <c r="K1733" s="100"/>
      <c r="L1733" s="100"/>
      <c r="M1733" s="100"/>
      <c r="N1733" s="100"/>
      <c r="O1733" s="100"/>
      <c r="P1733" s="100"/>
      <c r="Q1733" s="100"/>
      <c r="R1733" s="100"/>
      <c r="S1733" s="100"/>
      <c r="T1733" s="100"/>
      <c r="U1733" s="100"/>
      <c r="V1733" s="100"/>
      <c r="W1733" s="100"/>
      <c r="X1733" s="100"/>
      <c r="Y1733" s="100"/>
      <c r="Z1733" s="100"/>
    </row>
    <row r="1734" spans="1:26">
      <c r="A1734" s="100"/>
      <c r="B1734" s="100"/>
      <c r="C1734" s="100"/>
      <c r="D1734" s="100"/>
      <c r="E1734" s="100"/>
      <c r="F1734" s="100"/>
      <c r="G1734" s="100"/>
      <c r="H1734" s="100"/>
      <c r="I1734" s="100"/>
      <c r="J1734" s="100"/>
      <c r="K1734" s="100"/>
      <c r="L1734" s="100"/>
      <c r="M1734" s="100"/>
      <c r="N1734" s="100"/>
      <c r="O1734" s="100"/>
      <c r="P1734" s="100"/>
      <c r="Q1734" s="100"/>
      <c r="R1734" s="100"/>
      <c r="S1734" s="100"/>
      <c r="T1734" s="100"/>
      <c r="U1734" s="100"/>
      <c r="V1734" s="100"/>
      <c r="W1734" s="100"/>
      <c r="X1734" s="100"/>
      <c r="Y1734" s="100"/>
      <c r="Z1734" s="100"/>
    </row>
    <row r="1735" spans="1:26">
      <c r="A1735" s="100"/>
      <c r="B1735" s="100"/>
      <c r="C1735" s="100"/>
      <c r="D1735" s="100"/>
      <c r="E1735" s="100"/>
      <c r="F1735" s="100"/>
      <c r="G1735" s="100"/>
      <c r="H1735" s="100"/>
      <c r="I1735" s="100"/>
      <c r="J1735" s="100"/>
      <c r="K1735" s="100"/>
      <c r="L1735" s="100"/>
      <c r="M1735" s="100"/>
      <c r="N1735" s="100"/>
      <c r="O1735" s="100"/>
      <c r="P1735" s="100"/>
      <c r="Q1735" s="100"/>
      <c r="R1735" s="100"/>
      <c r="S1735" s="100"/>
      <c r="T1735" s="100"/>
      <c r="U1735" s="100"/>
      <c r="V1735" s="100"/>
      <c r="W1735" s="100"/>
      <c r="X1735" s="100"/>
      <c r="Y1735" s="100"/>
      <c r="Z1735" s="100"/>
    </row>
    <row r="1736" spans="1:26">
      <c r="A1736" s="100"/>
      <c r="B1736" s="100"/>
      <c r="C1736" s="100"/>
      <c r="D1736" s="100"/>
      <c r="E1736" s="100"/>
      <c r="F1736" s="100"/>
      <c r="G1736" s="100"/>
      <c r="H1736" s="100"/>
      <c r="I1736" s="100"/>
      <c r="J1736" s="100"/>
      <c r="K1736" s="100"/>
      <c r="L1736" s="100"/>
      <c r="M1736" s="100"/>
      <c r="N1736" s="100"/>
      <c r="O1736" s="100"/>
      <c r="P1736" s="100"/>
      <c r="Q1736" s="100"/>
      <c r="R1736" s="100"/>
      <c r="S1736" s="100"/>
      <c r="T1736" s="100"/>
      <c r="U1736" s="100"/>
      <c r="V1736" s="100"/>
      <c r="W1736" s="100"/>
      <c r="X1736" s="100"/>
      <c r="Y1736" s="100"/>
      <c r="Z1736" s="100"/>
    </row>
    <row r="1737" spans="1:26">
      <c r="A1737" s="100"/>
      <c r="B1737" s="100"/>
      <c r="C1737" s="100"/>
      <c r="D1737" s="100"/>
      <c r="E1737" s="100"/>
      <c r="F1737" s="100"/>
      <c r="G1737" s="100"/>
      <c r="H1737" s="100"/>
      <c r="I1737" s="100"/>
      <c r="J1737" s="100"/>
      <c r="K1737" s="100"/>
      <c r="L1737" s="100"/>
      <c r="M1737" s="100"/>
      <c r="N1737" s="100"/>
      <c r="O1737" s="100"/>
      <c r="P1737" s="100"/>
      <c r="Q1737" s="100"/>
      <c r="R1737" s="100"/>
      <c r="S1737" s="100"/>
      <c r="T1737" s="100"/>
      <c r="U1737" s="100"/>
      <c r="V1737" s="100"/>
      <c r="W1737" s="100"/>
      <c r="X1737" s="100"/>
      <c r="Y1737" s="100"/>
      <c r="Z1737" s="100"/>
    </row>
    <row r="1738" spans="1:26">
      <c r="A1738" s="100"/>
      <c r="B1738" s="100"/>
      <c r="C1738" s="100"/>
      <c r="D1738" s="100"/>
      <c r="E1738" s="100"/>
      <c r="F1738" s="100"/>
      <c r="G1738" s="100"/>
      <c r="H1738" s="100"/>
      <c r="I1738" s="100"/>
      <c r="J1738" s="100"/>
      <c r="K1738" s="100"/>
      <c r="L1738" s="100"/>
      <c r="M1738" s="100"/>
      <c r="N1738" s="100"/>
      <c r="O1738" s="100"/>
      <c r="P1738" s="100"/>
      <c r="Q1738" s="100"/>
      <c r="R1738" s="100"/>
      <c r="S1738" s="100"/>
      <c r="T1738" s="100"/>
      <c r="U1738" s="100"/>
      <c r="V1738" s="100"/>
      <c r="W1738" s="100"/>
      <c r="X1738" s="100"/>
      <c r="Y1738" s="100"/>
      <c r="Z1738" s="100"/>
    </row>
    <row r="1739" spans="1:26">
      <c r="A1739" s="100"/>
      <c r="B1739" s="100"/>
      <c r="C1739" s="100"/>
      <c r="D1739" s="100"/>
      <c r="E1739" s="100"/>
      <c r="F1739" s="100"/>
      <c r="G1739" s="100"/>
      <c r="H1739" s="100"/>
      <c r="I1739" s="100"/>
      <c r="J1739" s="100"/>
      <c r="K1739" s="100"/>
      <c r="L1739" s="100"/>
      <c r="M1739" s="100"/>
      <c r="N1739" s="100"/>
      <c r="O1739" s="100"/>
      <c r="P1739" s="100"/>
      <c r="Q1739" s="100"/>
      <c r="R1739" s="100"/>
      <c r="S1739" s="100"/>
      <c r="T1739" s="100"/>
      <c r="U1739" s="100"/>
      <c r="V1739" s="100"/>
      <c r="W1739" s="100"/>
      <c r="X1739" s="100"/>
      <c r="Y1739" s="100"/>
      <c r="Z1739" s="100"/>
    </row>
    <row r="1740" spans="1:26">
      <c r="A1740" s="100"/>
      <c r="B1740" s="100"/>
      <c r="C1740" s="100"/>
      <c r="D1740" s="100"/>
      <c r="E1740" s="100"/>
      <c r="F1740" s="100"/>
      <c r="G1740" s="100"/>
      <c r="H1740" s="100"/>
      <c r="I1740" s="100"/>
      <c r="J1740" s="100"/>
      <c r="K1740" s="100"/>
      <c r="L1740" s="100"/>
      <c r="M1740" s="100"/>
      <c r="N1740" s="100"/>
      <c r="O1740" s="100"/>
      <c r="P1740" s="100"/>
      <c r="Q1740" s="100"/>
      <c r="R1740" s="100"/>
      <c r="S1740" s="100"/>
      <c r="T1740" s="100"/>
      <c r="U1740" s="100"/>
      <c r="V1740" s="100"/>
      <c r="W1740" s="100"/>
      <c r="X1740" s="100"/>
      <c r="Y1740" s="100"/>
      <c r="Z1740" s="100"/>
    </row>
    <row r="1741" spans="1:26">
      <c r="A1741" s="100"/>
      <c r="B1741" s="100"/>
      <c r="C1741" s="100"/>
      <c r="D1741" s="100"/>
      <c r="E1741" s="100"/>
      <c r="F1741" s="100"/>
      <c r="G1741" s="100"/>
      <c r="H1741" s="100"/>
      <c r="I1741" s="100"/>
      <c r="J1741" s="100"/>
      <c r="K1741" s="100"/>
      <c r="L1741" s="100"/>
      <c r="M1741" s="100"/>
      <c r="N1741" s="100"/>
      <c r="O1741" s="100"/>
      <c r="P1741" s="100"/>
      <c r="Q1741" s="100"/>
      <c r="R1741" s="100"/>
      <c r="S1741" s="100"/>
      <c r="T1741" s="100"/>
      <c r="U1741" s="100"/>
      <c r="V1741" s="100"/>
      <c r="W1741" s="100"/>
      <c r="X1741" s="100"/>
      <c r="Y1741" s="100"/>
      <c r="Z1741" s="100"/>
    </row>
    <row r="1742" spans="1:26">
      <c r="A1742" s="100"/>
      <c r="B1742" s="100"/>
      <c r="C1742" s="100"/>
      <c r="D1742" s="100"/>
      <c r="E1742" s="100"/>
      <c r="F1742" s="100"/>
      <c r="G1742" s="100"/>
      <c r="H1742" s="100"/>
      <c r="I1742" s="100"/>
      <c r="J1742" s="100"/>
      <c r="K1742" s="100"/>
      <c r="L1742" s="100"/>
      <c r="M1742" s="100"/>
      <c r="N1742" s="100"/>
      <c r="O1742" s="100"/>
      <c r="P1742" s="100"/>
      <c r="Q1742" s="100"/>
      <c r="R1742" s="100"/>
      <c r="S1742" s="100"/>
      <c r="T1742" s="100"/>
      <c r="U1742" s="100"/>
      <c r="V1742" s="100"/>
      <c r="W1742" s="100"/>
      <c r="X1742" s="100"/>
      <c r="Y1742" s="100"/>
      <c r="Z1742" s="100"/>
    </row>
    <row r="1743" spans="1:26">
      <c r="A1743" s="100"/>
      <c r="B1743" s="100"/>
      <c r="C1743" s="100"/>
      <c r="D1743" s="100"/>
      <c r="E1743" s="100"/>
      <c r="F1743" s="100"/>
      <c r="G1743" s="100"/>
      <c r="H1743" s="100"/>
      <c r="I1743" s="100"/>
      <c r="J1743" s="100"/>
      <c r="K1743" s="100"/>
      <c r="L1743" s="100"/>
      <c r="M1743" s="100"/>
      <c r="N1743" s="100"/>
      <c r="O1743" s="100"/>
      <c r="P1743" s="100"/>
      <c r="Q1743" s="100"/>
      <c r="R1743" s="100"/>
      <c r="S1743" s="100"/>
      <c r="T1743" s="100"/>
      <c r="U1743" s="100"/>
      <c r="V1743" s="100"/>
      <c r="W1743" s="100"/>
      <c r="X1743" s="100"/>
      <c r="Y1743" s="100"/>
      <c r="Z1743" s="100"/>
    </row>
    <row r="1744" spans="1:26">
      <c r="A1744" s="100"/>
      <c r="B1744" s="100"/>
      <c r="C1744" s="100"/>
      <c r="D1744" s="100"/>
      <c r="E1744" s="100"/>
      <c r="F1744" s="100"/>
      <c r="G1744" s="100"/>
      <c r="H1744" s="100"/>
      <c r="I1744" s="100"/>
      <c r="J1744" s="100"/>
      <c r="K1744" s="100"/>
      <c r="L1744" s="100"/>
      <c r="M1744" s="100"/>
      <c r="N1744" s="100"/>
      <c r="O1744" s="100"/>
      <c r="P1744" s="100"/>
      <c r="Q1744" s="100"/>
      <c r="R1744" s="100"/>
      <c r="S1744" s="100"/>
      <c r="T1744" s="100"/>
      <c r="U1744" s="100"/>
      <c r="V1744" s="100"/>
      <c r="W1744" s="100"/>
      <c r="X1744" s="100"/>
      <c r="Y1744" s="100"/>
      <c r="Z1744" s="100"/>
    </row>
    <row r="1745" spans="1:26">
      <c r="A1745" s="100"/>
      <c r="B1745" s="100"/>
      <c r="C1745" s="100"/>
      <c r="D1745" s="100"/>
      <c r="E1745" s="100"/>
      <c r="F1745" s="100"/>
      <c r="G1745" s="100"/>
      <c r="H1745" s="100"/>
      <c r="I1745" s="100"/>
      <c r="J1745" s="100"/>
      <c r="K1745" s="100"/>
      <c r="L1745" s="100"/>
      <c r="M1745" s="100"/>
      <c r="N1745" s="100"/>
      <c r="O1745" s="100"/>
      <c r="P1745" s="100"/>
      <c r="Q1745" s="100"/>
      <c r="R1745" s="100"/>
      <c r="S1745" s="100"/>
      <c r="T1745" s="100"/>
      <c r="U1745" s="100"/>
      <c r="V1745" s="100"/>
      <c r="W1745" s="100"/>
      <c r="X1745" s="100"/>
      <c r="Y1745" s="100"/>
      <c r="Z1745" s="100"/>
    </row>
    <row r="1746" spans="1:26">
      <c r="A1746" s="100"/>
      <c r="B1746" s="100"/>
      <c r="C1746" s="100"/>
      <c r="D1746" s="100"/>
      <c r="E1746" s="100"/>
      <c r="F1746" s="100"/>
      <c r="G1746" s="100"/>
      <c r="H1746" s="100"/>
      <c r="I1746" s="100"/>
      <c r="J1746" s="100"/>
      <c r="K1746" s="100"/>
      <c r="L1746" s="100"/>
      <c r="M1746" s="100"/>
      <c r="N1746" s="100"/>
      <c r="O1746" s="100"/>
      <c r="P1746" s="100"/>
      <c r="Q1746" s="100"/>
      <c r="R1746" s="100"/>
      <c r="S1746" s="100"/>
      <c r="T1746" s="100"/>
      <c r="U1746" s="100"/>
      <c r="V1746" s="100"/>
      <c r="W1746" s="100"/>
      <c r="X1746" s="100"/>
      <c r="Y1746" s="100"/>
      <c r="Z1746" s="100"/>
    </row>
    <row r="1747" spans="1:26">
      <c r="A1747" s="100"/>
      <c r="B1747" s="100"/>
      <c r="C1747" s="100"/>
      <c r="D1747" s="100"/>
      <c r="E1747" s="100"/>
      <c r="F1747" s="100"/>
      <c r="G1747" s="100"/>
      <c r="H1747" s="100"/>
      <c r="I1747" s="100"/>
      <c r="J1747" s="100"/>
      <c r="K1747" s="100"/>
      <c r="L1747" s="100"/>
      <c r="M1747" s="100"/>
      <c r="N1747" s="100"/>
      <c r="O1747" s="100"/>
      <c r="P1747" s="100"/>
      <c r="Q1747" s="100"/>
      <c r="R1747" s="100"/>
      <c r="S1747" s="100"/>
      <c r="T1747" s="100"/>
      <c r="U1747" s="100"/>
      <c r="V1747" s="100"/>
      <c r="W1747" s="100"/>
      <c r="X1747" s="100"/>
      <c r="Y1747" s="100"/>
      <c r="Z1747" s="100"/>
    </row>
    <row r="1748" spans="1:26">
      <c r="A1748" s="100"/>
      <c r="B1748" s="100"/>
      <c r="C1748" s="100"/>
      <c r="D1748" s="100"/>
      <c r="E1748" s="100"/>
      <c r="F1748" s="100"/>
      <c r="G1748" s="100"/>
      <c r="H1748" s="100"/>
      <c r="I1748" s="100"/>
      <c r="J1748" s="100"/>
      <c r="K1748" s="100"/>
      <c r="L1748" s="100"/>
      <c r="M1748" s="100"/>
      <c r="N1748" s="100"/>
      <c r="O1748" s="100"/>
      <c r="P1748" s="100"/>
      <c r="Q1748" s="100"/>
      <c r="R1748" s="100"/>
      <c r="S1748" s="100"/>
      <c r="T1748" s="100"/>
      <c r="U1748" s="100"/>
      <c r="V1748" s="100"/>
      <c r="W1748" s="100"/>
      <c r="X1748" s="100"/>
      <c r="Y1748" s="100"/>
      <c r="Z1748" s="100"/>
    </row>
    <row r="1749" spans="1:26">
      <c r="A1749" s="100"/>
      <c r="B1749" s="100"/>
      <c r="C1749" s="100"/>
      <c r="D1749" s="100"/>
      <c r="E1749" s="100"/>
      <c r="F1749" s="100"/>
      <c r="G1749" s="100"/>
      <c r="H1749" s="100"/>
      <c r="I1749" s="100"/>
      <c r="J1749" s="100"/>
      <c r="K1749" s="100"/>
      <c r="L1749" s="100"/>
      <c r="M1749" s="100"/>
      <c r="N1749" s="100"/>
      <c r="O1749" s="100"/>
      <c r="P1749" s="100"/>
      <c r="Q1749" s="100"/>
      <c r="R1749" s="100"/>
      <c r="S1749" s="100"/>
      <c r="T1749" s="100"/>
      <c r="U1749" s="100"/>
      <c r="V1749" s="100"/>
      <c r="W1749" s="100"/>
      <c r="X1749" s="100"/>
      <c r="Y1749" s="100"/>
      <c r="Z1749" s="100"/>
    </row>
    <row r="1750" spans="1:26">
      <c r="A1750" s="100"/>
      <c r="B1750" s="100"/>
      <c r="C1750" s="100"/>
      <c r="D1750" s="100"/>
      <c r="E1750" s="100"/>
      <c r="F1750" s="100"/>
      <c r="G1750" s="100"/>
      <c r="H1750" s="100"/>
      <c r="I1750" s="100"/>
      <c r="J1750" s="100"/>
      <c r="K1750" s="100"/>
      <c r="L1750" s="100"/>
      <c r="M1750" s="100"/>
      <c r="N1750" s="100"/>
      <c r="O1750" s="100"/>
      <c r="P1750" s="100"/>
      <c r="Q1750" s="100"/>
      <c r="R1750" s="100"/>
      <c r="S1750" s="100"/>
      <c r="T1750" s="100"/>
      <c r="U1750" s="100"/>
      <c r="V1750" s="100"/>
      <c r="W1750" s="100"/>
      <c r="X1750" s="100"/>
      <c r="Y1750" s="100"/>
      <c r="Z1750" s="100"/>
    </row>
    <row r="1751" spans="1:26">
      <c r="A1751" s="100"/>
      <c r="B1751" s="100"/>
      <c r="C1751" s="100"/>
      <c r="D1751" s="100"/>
      <c r="E1751" s="100"/>
      <c r="F1751" s="100"/>
      <c r="G1751" s="100"/>
      <c r="H1751" s="100"/>
      <c r="I1751" s="100"/>
      <c r="J1751" s="100"/>
      <c r="K1751" s="100"/>
      <c r="L1751" s="100"/>
      <c r="M1751" s="100"/>
      <c r="N1751" s="100"/>
      <c r="O1751" s="100"/>
      <c r="P1751" s="100"/>
      <c r="Q1751" s="100"/>
      <c r="R1751" s="100"/>
      <c r="S1751" s="100"/>
      <c r="T1751" s="100"/>
      <c r="U1751" s="100"/>
      <c r="V1751" s="100"/>
      <c r="W1751" s="100"/>
      <c r="X1751" s="100"/>
      <c r="Y1751" s="100"/>
      <c r="Z1751" s="100"/>
    </row>
    <row r="1752" spans="1:26">
      <c r="A1752" s="100"/>
      <c r="B1752" s="100"/>
      <c r="C1752" s="100"/>
      <c r="D1752" s="100"/>
      <c r="E1752" s="100"/>
      <c r="F1752" s="100"/>
      <c r="G1752" s="100"/>
      <c r="H1752" s="100"/>
      <c r="I1752" s="100"/>
      <c r="J1752" s="100"/>
      <c r="K1752" s="100"/>
      <c r="L1752" s="100"/>
      <c r="M1752" s="100"/>
      <c r="N1752" s="100"/>
      <c r="O1752" s="100"/>
      <c r="P1752" s="100"/>
      <c r="Q1752" s="100"/>
      <c r="R1752" s="100"/>
      <c r="S1752" s="100"/>
      <c r="T1752" s="100"/>
      <c r="U1752" s="100"/>
      <c r="V1752" s="100"/>
      <c r="W1752" s="100"/>
      <c r="X1752" s="100"/>
      <c r="Y1752" s="100"/>
      <c r="Z1752" s="100"/>
    </row>
    <row r="1753" spans="1:26">
      <c r="A1753" s="100"/>
      <c r="B1753" s="100"/>
      <c r="C1753" s="100"/>
      <c r="D1753" s="100"/>
      <c r="E1753" s="100"/>
      <c r="F1753" s="100"/>
      <c r="G1753" s="100"/>
      <c r="H1753" s="100"/>
      <c r="I1753" s="100"/>
      <c r="J1753" s="100"/>
      <c r="K1753" s="100"/>
      <c r="L1753" s="100"/>
      <c r="M1753" s="100"/>
      <c r="N1753" s="100"/>
      <c r="O1753" s="100"/>
      <c r="P1753" s="100"/>
      <c r="Q1753" s="100"/>
      <c r="R1753" s="100"/>
      <c r="S1753" s="100"/>
      <c r="T1753" s="100"/>
      <c r="U1753" s="100"/>
      <c r="V1753" s="100"/>
      <c r="W1753" s="100"/>
      <c r="X1753" s="100"/>
      <c r="Y1753" s="100"/>
      <c r="Z1753" s="100"/>
    </row>
    <row r="1754" spans="1:26">
      <c r="A1754" s="100"/>
      <c r="B1754" s="100"/>
      <c r="C1754" s="100"/>
      <c r="D1754" s="100"/>
      <c r="E1754" s="100"/>
      <c r="F1754" s="100"/>
      <c r="G1754" s="100"/>
      <c r="H1754" s="100"/>
      <c r="I1754" s="100"/>
      <c r="J1754" s="100"/>
      <c r="K1754" s="100"/>
      <c r="L1754" s="100"/>
      <c r="M1754" s="100"/>
      <c r="N1754" s="100"/>
      <c r="O1754" s="100"/>
      <c r="P1754" s="100"/>
      <c r="Q1754" s="100"/>
      <c r="R1754" s="100"/>
      <c r="S1754" s="100"/>
      <c r="T1754" s="100"/>
      <c r="U1754" s="100"/>
      <c r="V1754" s="100"/>
      <c r="W1754" s="100"/>
      <c r="X1754" s="100"/>
      <c r="Y1754" s="100"/>
      <c r="Z1754" s="100"/>
    </row>
    <row r="1755" spans="1:26">
      <c r="A1755" s="100"/>
      <c r="B1755" s="100"/>
      <c r="C1755" s="100"/>
      <c r="D1755" s="100"/>
      <c r="E1755" s="100"/>
      <c r="F1755" s="100"/>
      <c r="G1755" s="100"/>
      <c r="H1755" s="100"/>
      <c r="I1755" s="100"/>
      <c r="J1755" s="100"/>
      <c r="K1755" s="100"/>
      <c r="L1755" s="100"/>
      <c r="M1755" s="100"/>
      <c r="N1755" s="100"/>
      <c r="O1755" s="100"/>
      <c r="P1755" s="100"/>
      <c r="Q1755" s="100"/>
      <c r="R1755" s="100"/>
      <c r="S1755" s="100"/>
      <c r="T1755" s="100"/>
      <c r="U1755" s="100"/>
      <c r="V1755" s="100"/>
      <c r="W1755" s="100"/>
      <c r="X1755" s="100"/>
      <c r="Y1755" s="100"/>
      <c r="Z1755" s="100"/>
    </row>
    <row r="1756" spans="1:26">
      <c r="A1756" s="100"/>
      <c r="B1756" s="100"/>
      <c r="C1756" s="100"/>
      <c r="D1756" s="100"/>
      <c r="E1756" s="100"/>
      <c r="F1756" s="100"/>
      <c r="G1756" s="100"/>
      <c r="H1756" s="100"/>
      <c r="I1756" s="100"/>
      <c r="J1756" s="100"/>
      <c r="K1756" s="100"/>
      <c r="L1756" s="100"/>
      <c r="M1756" s="100"/>
      <c r="N1756" s="100"/>
      <c r="O1756" s="100"/>
      <c r="P1756" s="100"/>
      <c r="Q1756" s="100"/>
      <c r="R1756" s="100"/>
      <c r="S1756" s="100"/>
      <c r="T1756" s="100"/>
      <c r="U1756" s="100"/>
      <c r="V1756" s="100"/>
      <c r="W1756" s="100"/>
      <c r="X1756" s="100"/>
      <c r="Y1756" s="100"/>
      <c r="Z1756" s="100"/>
    </row>
    <row r="1757" spans="1:26">
      <c r="A1757" s="100"/>
      <c r="B1757" s="100"/>
      <c r="C1757" s="100"/>
      <c r="D1757" s="100"/>
      <c r="E1757" s="100"/>
      <c r="F1757" s="100"/>
      <c r="G1757" s="100"/>
      <c r="H1757" s="100"/>
      <c r="I1757" s="100"/>
      <c r="J1757" s="100"/>
      <c r="K1757" s="100"/>
      <c r="L1757" s="100"/>
      <c r="M1757" s="100"/>
      <c r="N1757" s="100"/>
      <c r="O1757" s="100"/>
      <c r="P1757" s="100"/>
      <c r="Q1757" s="100"/>
      <c r="R1757" s="100"/>
      <c r="S1757" s="100"/>
      <c r="T1757" s="100"/>
      <c r="U1757" s="100"/>
      <c r="V1757" s="100"/>
      <c r="W1757" s="100"/>
      <c r="X1757" s="100"/>
      <c r="Y1757" s="100"/>
      <c r="Z1757" s="100"/>
    </row>
    <row r="1758" spans="1:26">
      <c r="A1758" s="100"/>
      <c r="B1758" s="100"/>
      <c r="C1758" s="100"/>
      <c r="D1758" s="100"/>
      <c r="E1758" s="100"/>
      <c r="F1758" s="100"/>
      <c r="G1758" s="100"/>
      <c r="H1758" s="100"/>
      <c r="I1758" s="100"/>
      <c r="J1758" s="100"/>
      <c r="K1758" s="100"/>
      <c r="L1758" s="100"/>
      <c r="M1758" s="100"/>
      <c r="N1758" s="100"/>
      <c r="O1758" s="100"/>
      <c r="P1758" s="100"/>
      <c r="Q1758" s="100"/>
      <c r="R1758" s="100"/>
      <c r="S1758" s="100"/>
      <c r="T1758" s="100"/>
      <c r="U1758" s="100"/>
      <c r="V1758" s="100"/>
      <c r="W1758" s="100"/>
      <c r="X1758" s="100"/>
      <c r="Y1758" s="100"/>
      <c r="Z1758" s="100"/>
    </row>
    <row r="1759" spans="1:26">
      <c r="A1759" s="100"/>
      <c r="B1759" s="100"/>
      <c r="C1759" s="100"/>
      <c r="D1759" s="100"/>
      <c r="E1759" s="100"/>
      <c r="F1759" s="100"/>
      <c r="G1759" s="100"/>
      <c r="H1759" s="100"/>
      <c r="I1759" s="100"/>
      <c r="J1759" s="100"/>
      <c r="K1759" s="100"/>
      <c r="L1759" s="100"/>
      <c r="M1759" s="100"/>
      <c r="N1759" s="100"/>
      <c r="O1759" s="100"/>
      <c r="P1759" s="100"/>
      <c r="Q1759" s="100"/>
      <c r="R1759" s="100"/>
      <c r="S1759" s="100"/>
      <c r="T1759" s="100"/>
      <c r="U1759" s="100"/>
      <c r="V1759" s="100"/>
      <c r="W1759" s="100"/>
      <c r="X1759" s="100"/>
      <c r="Y1759" s="100"/>
      <c r="Z1759" s="100"/>
    </row>
    <row r="1760" spans="1:26">
      <c r="A1760" s="100"/>
      <c r="B1760" s="100"/>
      <c r="C1760" s="100"/>
      <c r="D1760" s="100"/>
      <c r="E1760" s="100"/>
      <c r="F1760" s="100"/>
      <c r="G1760" s="100"/>
      <c r="H1760" s="100"/>
      <c r="I1760" s="100"/>
      <c r="J1760" s="100"/>
      <c r="K1760" s="100"/>
      <c r="L1760" s="100"/>
      <c r="M1760" s="100"/>
      <c r="N1760" s="100"/>
      <c r="O1760" s="100"/>
      <c r="P1760" s="100"/>
      <c r="Q1760" s="100"/>
      <c r="R1760" s="100"/>
      <c r="S1760" s="100"/>
      <c r="T1760" s="100"/>
      <c r="U1760" s="100"/>
      <c r="V1760" s="100"/>
      <c r="W1760" s="100"/>
      <c r="X1760" s="100"/>
      <c r="Y1760" s="100"/>
      <c r="Z1760" s="100"/>
    </row>
    <row r="1761" spans="1:26">
      <c r="A1761" s="100"/>
      <c r="B1761" s="100"/>
      <c r="C1761" s="100"/>
      <c r="D1761" s="100"/>
      <c r="E1761" s="100"/>
      <c r="F1761" s="100"/>
      <c r="G1761" s="100"/>
      <c r="H1761" s="100"/>
      <c r="I1761" s="100"/>
      <c r="J1761" s="100"/>
      <c r="K1761" s="100"/>
      <c r="L1761" s="100"/>
      <c r="M1761" s="100"/>
      <c r="N1761" s="100"/>
      <c r="O1761" s="100"/>
      <c r="P1761" s="100"/>
      <c r="Q1761" s="100"/>
      <c r="R1761" s="100"/>
      <c r="S1761" s="100"/>
      <c r="T1761" s="100"/>
      <c r="U1761" s="100"/>
      <c r="V1761" s="100"/>
      <c r="W1761" s="100"/>
      <c r="X1761" s="100"/>
      <c r="Y1761" s="100"/>
      <c r="Z1761" s="100"/>
    </row>
    <row r="1762" spans="1:26">
      <c r="A1762" s="100"/>
      <c r="B1762" s="100"/>
      <c r="C1762" s="100"/>
      <c r="D1762" s="100"/>
      <c r="E1762" s="100"/>
      <c r="F1762" s="100"/>
      <c r="G1762" s="100"/>
      <c r="H1762" s="100"/>
      <c r="I1762" s="100"/>
      <c r="J1762" s="100"/>
      <c r="K1762" s="100"/>
      <c r="L1762" s="100"/>
      <c r="M1762" s="100"/>
      <c r="N1762" s="100"/>
      <c r="O1762" s="100"/>
      <c r="P1762" s="100"/>
      <c r="Q1762" s="100"/>
      <c r="R1762" s="100"/>
      <c r="S1762" s="100"/>
      <c r="T1762" s="100"/>
      <c r="U1762" s="100"/>
      <c r="V1762" s="100"/>
      <c r="W1762" s="100"/>
      <c r="X1762" s="100"/>
      <c r="Y1762" s="100"/>
      <c r="Z1762" s="100"/>
    </row>
    <row r="1763" spans="1:26">
      <c r="A1763" s="100"/>
      <c r="B1763" s="100"/>
      <c r="C1763" s="100"/>
      <c r="D1763" s="100"/>
      <c r="E1763" s="100"/>
      <c r="F1763" s="100"/>
      <c r="G1763" s="100"/>
      <c r="H1763" s="100"/>
      <c r="I1763" s="100"/>
      <c r="J1763" s="100"/>
      <c r="K1763" s="100"/>
      <c r="L1763" s="100"/>
      <c r="M1763" s="100"/>
      <c r="N1763" s="100"/>
      <c r="O1763" s="100"/>
      <c r="P1763" s="100"/>
      <c r="Q1763" s="100"/>
      <c r="R1763" s="100"/>
      <c r="S1763" s="100"/>
      <c r="T1763" s="100"/>
      <c r="U1763" s="100"/>
      <c r="V1763" s="100"/>
      <c r="W1763" s="100"/>
      <c r="X1763" s="100"/>
      <c r="Y1763" s="100"/>
      <c r="Z1763" s="100"/>
    </row>
    <row r="1764" spans="1:26">
      <c r="A1764" s="100"/>
      <c r="B1764" s="100"/>
      <c r="C1764" s="100"/>
      <c r="D1764" s="100"/>
      <c r="E1764" s="100"/>
      <c r="F1764" s="100"/>
      <c r="G1764" s="100"/>
      <c r="H1764" s="100"/>
      <c r="I1764" s="100"/>
      <c r="J1764" s="100"/>
      <c r="K1764" s="100"/>
      <c r="L1764" s="100"/>
      <c r="M1764" s="100"/>
      <c r="N1764" s="100"/>
      <c r="O1764" s="100"/>
      <c r="P1764" s="100"/>
      <c r="Q1764" s="100"/>
      <c r="R1764" s="100"/>
      <c r="S1764" s="100"/>
      <c r="T1764" s="100"/>
      <c r="U1764" s="100"/>
      <c r="V1764" s="100"/>
      <c r="W1764" s="100"/>
      <c r="X1764" s="100"/>
      <c r="Y1764" s="100"/>
      <c r="Z1764" s="100"/>
    </row>
    <row r="1765" spans="1:26">
      <c r="A1765" s="100"/>
      <c r="B1765" s="100"/>
      <c r="C1765" s="100"/>
      <c r="D1765" s="100"/>
      <c r="E1765" s="100"/>
      <c r="F1765" s="100"/>
      <c r="G1765" s="100"/>
      <c r="H1765" s="100"/>
      <c r="I1765" s="100"/>
      <c r="J1765" s="100"/>
      <c r="K1765" s="100"/>
      <c r="L1765" s="100"/>
      <c r="M1765" s="100"/>
      <c r="N1765" s="100"/>
      <c r="O1765" s="100"/>
      <c r="P1765" s="100"/>
      <c r="Q1765" s="100"/>
      <c r="R1765" s="100"/>
      <c r="S1765" s="100"/>
      <c r="T1765" s="100"/>
      <c r="U1765" s="100"/>
      <c r="V1765" s="100"/>
      <c r="W1765" s="100"/>
      <c r="X1765" s="100"/>
      <c r="Y1765" s="100"/>
      <c r="Z1765" s="100"/>
    </row>
    <row r="1766" spans="1:26">
      <c r="A1766" s="100"/>
      <c r="B1766" s="100"/>
      <c r="C1766" s="100"/>
      <c r="D1766" s="100"/>
      <c r="E1766" s="100"/>
      <c r="F1766" s="100"/>
      <c r="G1766" s="100"/>
      <c r="H1766" s="100"/>
      <c r="I1766" s="100"/>
      <c r="J1766" s="100"/>
      <c r="K1766" s="100"/>
      <c r="L1766" s="100"/>
      <c r="M1766" s="100"/>
      <c r="N1766" s="100"/>
      <c r="O1766" s="100"/>
      <c r="P1766" s="100"/>
      <c r="Q1766" s="100"/>
      <c r="R1766" s="100"/>
      <c r="S1766" s="100"/>
      <c r="T1766" s="100"/>
      <c r="U1766" s="100"/>
      <c r="V1766" s="100"/>
      <c r="W1766" s="100"/>
      <c r="X1766" s="100"/>
      <c r="Y1766" s="100"/>
      <c r="Z1766" s="100"/>
    </row>
    <row r="1767" spans="1:26">
      <c r="A1767" s="100"/>
      <c r="B1767" s="100"/>
      <c r="C1767" s="100"/>
      <c r="D1767" s="100"/>
      <c r="E1767" s="100"/>
      <c r="F1767" s="100"/>
      <c r="G1767" s="100"/>
      <c r="H1767" s="100"/>
      <c r="I1767" s="100"/>
      <c r="J1767" s="100"/>
      <c r="K1767" s="100"/>
      <c r="L1767" s="100"/>
      <c r="M1767" s="100"/>
      <c r="N1767" s="100"/>
      <c r="O1767" s="100"/>
      <c r="P1767" s="100"/>
      <c r="Q1767" s="100"/>
      <c r="R1767" s="100"/>
      <c r="S1767" s="100"/>
      <c r="T1767" s="100"/>
      <c r="U1767" s="100"/>
      <c r="V1767" s="100"/>
      <c r="W1767" s="100"/>
      <c r="X1767" s="100"/>
      <c r="Y1767" s="100"/>
      <c r="Z1767" s="100"/>
    </row>
    <row r="1768" spans="1:26">
      <c r="A1768" s="100"/>
      <c r="B1768" s="100"/>
      <c r="C1768" s="100"/>
      <c r="D1768" s="100"/>
      <c r="E1768" s="100"/>
      <c r="F1768" s="100"/>
      <c r="G1768" s="100"/>
      <c r="H1768" s="100"/>
      <c r="I1768" s="100"/>
      <c r="J1768" s="100"/>
      <c r="K1768" s="100"/>
      <c r="L1768" s="100"/>
      <c r="M1768" s="100"/>
      <c r="N1768" s="100"/>
      <c r="O1768" s="100"/>
      <c r="P1768" s="100"/>
      <c r="Q1768" s="100"/>
      <c r="R1768" s="100"/>
      <c r="S1768" s="100"/>
      <c r="T1768" s="100"/>
      <c r="U1768" s="100"/>
      <c r="V1768" s="100"/>
      <c r="W1768" s="100"/>
      <c r="X1768" s="100"/>
      <c r="Y1768" s="100"/>
      <c r="Z1768" s="100"/>
    </row>
    <row r="1769" spans="1:26">
      <c r="A1769" s="100"/>
      <c r="B1769" s="100"/>
      <c r="C1769" s="100"/>
      <c r="D1769" s="100"/>
      <c r="E1769" s="100"/>
      <c r="F1769" s="100"/>
      <c r="G1769" s="100"/>
      <c r="H1769" s="100"/>
      <c r="I1769" s="100"/>
      <c r="J1769" s="100"/>
      <c r="K1769" s="100"/>
      <c r="L1769" s="100"/>
      <c r="M1769" s="100"/>
      <c r="N1769" s="100"/>
      <c r="O1769" s="100"/>
      <c r="P1769" s="100"/>
      <c r="Q1769" s="100"/>
      <c r="R1769" s="100"/>
      <c r="S1769" s="100"/>
      <c r="T1769" s="100"/>
      <c r="U1769" s="100"/>
      <c r="V1769" s="100"/>
      <c r="W1769" s="100"/>
      <c r="X1769" s="100"/>
      <c r="Y1769" s="100"/>
      <c r="Z1769" s="100"/>
    </row>
    <row r="1770" spans="1:26">
      <c r="A1770" s="100"/>
      <c r="B1770" s="100"/>
      <c r="C1770" s="100"/>
      <c r="D1770" s="100"/>
      <c r="E1770" s="100"/>
      <c r="F1770" s="100"/>
      <c r="G1770" s="100"/>
      <c r="H1770" s="100"/>
      <c r="I1770" s="100"/>
      <c r="J1770" s="100"/>
      <c r="K1770" s="100"/>
      <c r="L1770" s="100"/>
      <c r="M1770" s="100"/>
      <c r="N1770" s="100"/>
      <c r="O1770" s="100"/>
      <c r="P1770" s="100"/>
      <c r="Q1770" s="100"/>
      <c r="R1770" s="100"/>
      <c r="S1770" s="100"/>
      <c r="T1770" s="100"/>
      <c r="U1770" s="100"/>
      <c r="V1770" s="100"/>
      <c r="W1770" s="100"/>
      <c r="X1770" s="100"/>
      <c r="Y1770" s="100"/>
      <c r="Z1770" s="100"/>
    </row>
    <row r="1771" spans="1:26">
      <c r="A1771" s="100"/>
      <c r="B1771" s="100"/>
      <c r="C1771" s="100"/>
      <c r="D1771" s="100"/>
      <c r="E1771" s="100"/>
      <c r="F1771" s="100"/>
      <c r="G1771" s="100"/>
      <c r="H1771" s="100"/>
      <c r="I1771" s="100"/>
      <c r="J1771" s="100"/>
      <c r="K1771" s="100"/>
      <c r="L1771" s="100"/>
      <c r="M1771" s="100"/>
      <c r="N1771" s="100"/>
      <c r="O1771" s="100"/>
      <c r="P1771" s="100"/>
      <c r="Q1771" s="100"/>
      <c r="R1771" s="100"/>
      <c r="S1771" s="100"/>
      <c r="T1771" s="100"/>
      <c r="U1771" s="100"/>
      <c r="V1771" s="100"/>
      <c r="W1771" s="100"/>
      <c r="X1771" s="100"/>
      <c r="Y1771" s="100"/>
      <c r="Z1771" s="100"/>
    </row>
    <row r="1772" spans="1:26">
      <c r="A1772" s="100"/>
      <c r="B1772" s="100"/>
      <c r="C1772" s="100"/>
      <c r="D1772" s="100"/>
      <c r="E1772" s="100"/>
      <c r="F1772" s="100"/>
      <c r="G1772" s="100"/>
      <c r="H1772" s="100"/>
      <c r="I1772" s="100"/>
      <c r="J1772" s="100"/>
      <c r="K1772" s="100"/>
      <c r="L1772" s="100"/>
      <c r="M1772" s="100"/>
      <c r="N1772" s="100"/>
      <c r="O1772" s="100"/>
      <c r="P1772" s="100"/>
      <c r="Q1772" s="100"/>
      <c r="R1772" s="100"/>
      <c r="S1772" s="100"/>
      <c r="T1772" s="100"/>
      <c r="U1772" s="100"/>
      <c r="V1772" s="100"/>
      <c r="W1772" s="100"/>
      <c r="X1772" s="100"/>
      <c r="Y1772" s="100"/>
      <c r="Z1772" s="100"/>
    </row>
    <row r="1773" spans="1:26">
      <c r="A1773" s="100"/>
      <c r="B1773" s="100"/>
      <c r="C1773" s="100"/>
      <c r="D1773" s="100"/>
      <c r="E1773" s="100"/>
      <c r="F1773" s="100"/>
      <c r="G1773" s="100"/>
      <c r="H1773" s="100"/>
      <c r="I1773" s="100"/>
      <c r="J1773" s="100"/>
      <c r="K1773" s="100"/>
      <c r="L1773" s="100"/>
      <c r="M1773" s="100"/>
      <c r="N1773" s="100"/>
      <c r="O1773" s="100"/>
      <c r="P1773" s="100"/>
      <c r="Q1773" s="100"/>
      <c r="R1773" s="100"/>
      <c r="S1773" s="100"/>
      <c r="T1773" s="100"/>
      <c r="U1773" s="100"/>
      <c r="V1773" s="100"/>
      <c r="W1773" s="100"/>
      <c r="X1773" s="100"/>
      <c r="Y1773" s="100"/>
      <c r="Z1773" s="100"/>
    </row>
    <row r="1774" spans="1:26">
      <c r="A1774" s="100"/>
      <c r="B1774" s="100"/>
      <c r="C1774" s="100"/>
      <c r="D1774" s="100"/>
      <c r="E1774" s="100"/>
      <c r="F1774" s="100"/>
      <c r="G1774" s="100"/>
      <c r="H1774" s="100"/>
      <c r="I1774" s="100"/>
      <c r="J1774" s="100"/>
      <c r="K1774" s="100"/>
      <c r="L1774" s="100"/>
      <c r="M1774" s="100"/>
      <c r="N1774" s="100"/>
      <c r="O1774" s="100"/>
      <c r="P1774" s="100"/>
      <c r="Q1774" s="100"/>
      <c r="R1774" s="100"/>
      <c r="S1774" s="100"/>
      <c r="T1774" s="100"/>
      <c r="U1774" s="100"/>
      <c r="V1774" s="100"/>
      <c r="W1774" s="100"/>
      <c r="X1774" s="100"/>
      <c r="Y1774" s="100"/>
      <c r="Z1774" s="100"/>
    </row>
    <row r="1775" spans="1:26">
      <c r="A1775" s="100"/>
      <c r="B1775" s="100"/>
      <c r="C1775" s="100"/>
      <c r="D1775" s="100"/>
      <c r="E1775" s="100"/>
      <c r="F1775" s="100"/>
      <c r="G1775" s="100"/>
      <c r="H1775" s="100"/>
      <c r="I1775" s="100"/>
      <c r="J1775" s="100"/>
      <c r="K1775" s="100"/>
      <c r="L1775" s="100"/>
      <c r="M1775" s="100"/>
      <c r="N1775" s="100"/>
      <c r="O1775" s="100"/>
      <c r="P1775" s="100"/>
      <c r="Q1775" s="100"/>
      <c r="R1775" s="100"/>
      <c r="S1775" s="100"/>
      <c r="T1775" s="100"/>
      <c r="U1775" s="100"/>
      <c r="V1775" s="100"/>
      <c r="W1775" s="100"/>
      <c r="X1775" s="100"/>
      <c r="Y1775" s="100"/>
      <c r="Z1775" s="100"/>
    </row>
    <row r="1776" spans="1:26">
      <c r="A1776" s="100"/>
      <c r="B1776" s="100"/>
      <c r="C1776" s="100"/>
      <c r="D1776" s="100"/>
      <c r="E1776" s="100"/>
      <c r="F1776" s="100"/>
      <c r="G1776" s="100"/>
      <c r="H1776" s="100"/>
      <c r="I1776" s="100"/>
      <c r="J1776" s="100"/>
      <c r="K1776" s="100"/>
      <c r="L1776" s="100"/>
      <c r="M1776" s="100"/>
      <c r="N1776" s="100"/>
      <c r="O1776" s="100"/>
      <c r="P1776" s="100"/>
      <c r="Q1776" s="100"/>
      <c r="R1776" s="100"/>
      <c r="S1776" s="100"/>
      <c r="T1776" s="100"/>
      <c r="U1776" s="100"/>
      <c r="V1776" s="100"/>
      <c r="W1776" s="100"/>
      <c r="X1776" s="100"/>
      <c r="Y1776" s="100"/>
      <c r="Z1776" s="100"/>
    </row>
    <row r="1777" spans="1:26">
      <c r="A1777" s="100"/>
      <c r="B1777" s="100"/>
      <c r="C1777" s="100"/>
      <c r="D1777" s="100"/>
      <c r="E1777" s="100"/>
      <c r="F1777" s="100"/>
      <c r="G1777" s="100"/>
      <c r="H1777" s="100"/>
      <c r="I1777" s="100"/>
      <c r="J1777" s="100"/>
      <c r="K1777" s="100"/>
      <c r="L1777" s="100"/>
      <c r="M1777" s="100"/>
      <c r="N1777" s="100"/>
      <c r="O1777" s="100"/>
      <c r="P1777" s="100"/>
      <c r="Q1777" s="100"/>
      <c r="R1777" s="100"/>
      <c r="S1777" s="100"/>
      <c r="T1777" s="100"/>
      <c r="U1777" s="100"/>
      <c r="V1777" s="100"/>
      <c r="W1777" s="100"/>
      <c r="X1777" s="100"/>
      <c r="Y1777" s="100"/>
      <c r="Z1777" s="100"/>
    </row>
    <row r="1778" spans="1:26">
      <c r="A1778" s="100"/>
      <c r="B1778" s="100"/>
      <c r="C1778" s="100"/>
      <c r="D1778" s="100"/>
      <c r="E1778" s="100"/>
      <c r="F1778" s="100"/>
      <c r="G1778" s="100"/>
      <c r="H1778" s="100"/>
      <c r="I1778" s="100"/>
      <c r="J1778" s="100"/>
      <c r="K1778" s="100"/>
      <c r="L1778" s="100"/>
      <c r="M1778" s="100"/>
      <c r="N1778" s="100"/>
      <c r="O1778" s="100"/>
      <c r="P1778" s="100"/>
      <c r="Q1778" s="100"/>
      <c r="R1778" s="100"/>
      <c r="S1778" s="100"/>
      <c r="T1778" s="100"/>
      <c r="U1778" s="100"/>
      <c r="V1778" s="100"/>
      <c r="W1778" s="100"/>
      <c r="X1778" s="100"/>
      <c r="Y1778" s="100"/>
      <c r="Z1778" s="100"/>
    </row>
    <row r="1779" spans="1:26">
      <c r="A1779" s="100"/>
      <c r="B1779" s="100"/>
      <c r="C1779" s="100"/>
      <c r="D1779" s="100"/>
      <c r="E1779" s="100"/>
      <c r="F1779" s="100"/>
      <c r="G1779" s="100"/>
      <c r="H1779" s="100"/>
      <c r="I1779" s="100"/>
      <c r="J1779" s="100"/>
      <c r="K1779" s="100"/>
      <c r="L1779" s="100"/>
      <c r="M1779" s="100"/>
      <c r="N1779" s="100"/>
      <c r="O1779" s="100"/>
      <c r="P1779" s="100"/>
      <c r="Q1779" s="100"/>
      <c r="R1779" s="100"/>
      <c r="S1779" s="100"/>
      <c r="T1779" s="100"/>
      <c r="U1779" s="100"/>
      <c r="V1779" s="100"/>
      <c r="W1779" s="100"/>
      <c r="X1779" s="100"/>
      <c r="Y1779" s="100"/>
      <c r="Z1779" s="100"/>
    </row>
    <row r="1780" spans="1:26">
      <c r="A1780" s="100"/>
      <c r="B1780" s="100"/>
      <c r="C1780" s="100"/>
      <c r="D1780" s="100"/>
      <c r="E1780" s="100"/>
      <c r="F1780" s="100"/>
      <c r="G1780" s="100"/>
      <c r="H1780" s="100"/>
      <c r="I1780" s="100"/>
      <c r="J1780" s="100"/>
      <c r="K1780" s="100"/>
      <c r="L1780" s="100"/>
      <c r="M1780" s="100"/>
      <c r="N1780" s="100"/>
      <c r="O1780" s="100"/>
      <c r="P1780" s="100"/>
      <c r="Q1780" s="100"/>
      <c r="R1780" s="100"/>
      <c r="S1780" s="100"/>
      <c r="T1780" s="100"/>
      <c r="U1780" s="100"/>
      <c r="V1780" s="100"/>
      <c r="W1780" s="100"/>
      <c r="X1780" s="100"/>
      <c r="Y1780" s="100"/>
      <c r="Z1780" s="100"/>
    </row>
    <row r="1781" spans="1:26">
      <c r="A1781" s="100"/>
      <c r="B1781" s="100"/>
      <c r="C1781" s="100"/>
      <c r="D1781" s="100"/>
      <c r="E1781" s="100"/>
      <c r="F1781" s="100"/>
      <c r="G1781" s="100"/>
      <c r="H1781" s="100"/>
      <c r="I1781" s="100"/>
      <c r="J1781" s="100"/>
      <c r="K1781" s="100"/>
      <c r="L1781" s="100"/>
      <c r="M1781" s="100"/>
      <c r="N1781" s="100"/>
      <c r="O1781" s="100"/>
      <c r="P1781" s="100"/>
      <c r="Q1781" s="100"/>
      <c r="R1781" s="100"/>
      <c r="S1781" s="100"/>
      <c r="T1781" s="100"/>
      <c r="U1781" s="100"/>
      <c r="V1781" s="100"/>
      <c r="W1781" s="100"/>
      <c r="X1781" s="100"/>
      <c r="Y1781" s="100"/>
      <c r="Z1781" s="100"/>
    </row>
    <row r="1782" spans="1:26">
      <c r="A1782" s="100"/>
      <c r="B1782" s="100"/>
      <c r="C1782" s="100"/>
      <c r="D1782" s="100"/>
      <c r="E1782" s="100"/>
      <c r="F1782" s="100"/>
      <c r="G1782" s="100"/>
      <c r="H1782" s="100"/>
      <c r="I1782" s="100"/>
      <c r="J1782" s="100"/>
      <c r="K1782" s="100"/>
      <c r="L1782" s="100"/>
      <c r="M1782" s="100"/>
      <c r="N1782" s="100"/>
      <c r="O1782" s="100"/>
      <c r="P1782" s="100"/>
      <c r="Q1782" s="100"/>
      <c r="R1782" s="100"/>
      <c r="S1782" s="100"/>
      <c r="T1782" s="100"/>
      <c r="U1782" s="100"/>
      <c r="V1782" s="100"/>
      <c r="W1782" s="100"/>
      <c r="X1782" s="100"/>
      <c r="Y1782" s="100"/>
      <c r="Z1782" s="100"/>
    </row>
    <row r="1783" spans="1:26">
      <c r="A1783" s="100"/>
      <c r="B1783" s="100"/>
      <c r="C1783" s="100"/>
      <c r="D1783" s="100"/>
      <c r="E1783" s="100"/>
      <c r="F1783" s="100"/>
      <c r="G1783" s="100"/>
      <c r="H1783" s="100"/>
      <c r="I1783" s="100"/>
      <c r="J1783" s="100"/>
      <c r="K1783" s="100"/>
      <c r="L1783" s="100"/>
      <c r="M1783" s="100"/>
      <c r="N1783" s="100"/>
      <c r="O1783" s="100"/>
      <c r="P1783" s="100"/>
      <c r="Q1783" s="100"/>
      <c r="R1783" s="100"/>
      <c r="S1783" s="100"/>
      <c r="T1783" s="100"/>
      <c r="U1783" s="100"/>
      <c r="V1783" s="100"/>
      <c r="W1783" s="100"/>
      <c r="X1783" s="100"/>
      <c r="Y1783" s="100"/>
      <c r="Z1783" s="100"/>
    </row>
    <row r="1784" spans="1:26">
      <c r="A1784" s="100"/>
      <c r="B1784" s="100"/>
      <c r="C1784" s="100"/>
      <c r="D1784" s="100"/>
      <c r="E1784" s="100"/>
      <c r="F1784" s="100"/>
      <c r="G1784" s="100"/>
      <c r="H1784" s="100"/>
      <c r="I1784" s="100"/>
      <c r="J1784" s="100"/>
      <c r="K1784" s="100"/>
      <c r="L1784" s="100"/>
      <c r="M1784" s="100"/>
      <c r="N1784" s="100"/>
      <c r="O1784" s="100"/>
      <c r="P1784" s="100"/>
      <c r="Q1784" s="100"/>
      <c r="R1784" s="100"/>
      <c r="S1784" s="100"/>
      <c r="T1784" s="100"/>
      <c r="U1784" s="100"/>
      <c r="V1784" s="100"/>
      <c r="W1784" s="100"/>
      <c r="X1784" s="100"/>
      <c r="Y1784" s="100"/>
      <c r="Z1784" s="100"/>
    </row>
    <row r="1785" spans="1:26">
      <c r="A1785" s="100"/>
      <c r="B1785" s="100"/>
      <c r="C1785" s="100"/>
      <c r="D1785" s="100"/>
      <c r="E1785" s="100"/>
      <c r="F1785" s="100"/>
      <c r="G1785" s="100"/>
      <c r="H1785" s="100"/>
      <c r="I1785" s="100"/>
      <c r="J1785" s="100"/>
      <c r="K1785" s="100"/>
      <c r="L1785" s="100"/>
      <c r="M1785" s="100"/>
      <c r="N1785" s="100"/>
      <c r="O1785" s="100"/>
      <c r="P1785" s="100"/>
      <c r="Q1785" s="100"/>
      <c r="R1785" s="100"/>
      <c r="S1785" s="100"/>
      <c r="T1785" s="100"/>
      <c r="U1785" s="100"/>
      <c r="V1785" s="100"/>
      <c r="W1785" s="100"/>
      <c r="X1785" s="100"/>
      <c r="Y1785" s="100"/>
      <c r="Z1785" s="100"/>
    </row>
    <row r="1786" spans="1:26">
      <c r="A1786" s="100"/>
      <c r="B1786" s="100"/>
      <c r="C1786" s="100"/>
      <c r="D1786" s="100"/>
      <c r="E1786" s="100"/>
      <c r="F1786" s="100"/>
      <c r="G1786" s="100"/>
      <c r="H1786" s="100"/>
      <c r="I1786" s="100"/>
      <c r="J1786" s="100"/>
      <c r="K1786" s="100"/>
      <c r="L1786" s="100"/>
      <c r="M1786" s="100"/>
      <c r="N1786" s="100"/>
      <c r="O1786" s="100"/>
      <c r="P1786" s="100"/>
      <c r="Q1786" s="100"/>
      <c r="R1786" s="100"/>
      <c r="S1786" s="100"/>
      <c r="T1786" s="100"/>
      <c r="U1786" s="100"/>
      <c r="V1786" s="100"/>
      <c r="W1786" s="100"/>
      <c r="X1786" s="100"/>
      <c r="Y1786" s="100"/>
      <c r="Z1786" s="100"/>
    </row>
    <row r="1787" spans="1:26">
      <c r="A1787" s="100"/>
      <c r="B1787" s="100"/>
      <c r="C1787" s="100"/>
      <c r="D1787" s="100"/>
      <c r="E1787" s="100"/>
      <c r="F1787" s="100"/>
      <c r="G1787" s="100"/>
      <c r="H1787" s="100"/>
      <c r="I1787" s="100"/>
      <c r="J1787" s="100"/>
      <c r="K1787" s="100"/>
      <c r="L1787" s="100"/>
      <c r="M1787" s="100"/>
      <c r="N1787" s="100"/>
      <c r="O1787" s="100"/>
      <c r="P1787" s="100"/>
      <c r="Q1787" s="100"/>
      <c r="R1787" s="100"/>
      <c r="S1787" s="100"/>
      <c r="T1787" s="100"/>
      <c r="U1787" s="100"/>
      <c r="V1787" s="100"/>
      <c r="W1787" s="100"/>
      <c r="X1787" s="100"/>
      <c r="Y1787" s="100"/>
      <c r="Z1787" s="100"/>
    </row>
    <row r="1788" spans="1:26">
      <c r="A1788" s="100"/>
      <c r="B1788" s="100"/>
      <c r="C1788" s="100"/>
      <c r="D1788" s="100"/>
      <c r="E1788" s="100"/>
      <c r="F1788" s="100"/>
      <c r="G1788" s="100"/>
      <c r="H1788" s="100"/>
      <c r="I1788" s="100"/>
      <c r="J1788" s="100"/>
      <c r="K1788" s="100"/>
      <c r="L1788" s="100"/>
      <c r="M1788" s="100"/>
      <c r="N1788" s="100"/>
      <c r="O1788" s="100"/>
      <c r="P1788" s="100"/>
      <c r="Q1788" s="100"/>
      <c r="R1788" s="100"/>
      <c r="S1788" s="100"/>
      <c r="T1788" s="100"/>
      <c r="U1788" s="100"/>
      <c r="V1788" s="100"/>
      <c r="W1788" s="100"/>
      <c r="X1788" s="100"/>
      <c r="Y1788" s="100"/>
      <c r="Z1788" s="100"/>
    </row>
    <row r="1789" spans="1:26">
      <c r="A1789" s="100"/>
      <c r="B1789" s="100"/>
      <c r="C1789" s="100"/>
      <c r="D1789" s="100"/>
      <c r="E1789" s="100"/>
      <c r="F1789" s="100"/>
      <c r="G1789" s="100"/>
      <c r="H1789" s="100"/>
      <c r="I1789" s="100"/>
      <c r="J1789" s="100"/>
      <c r="K1789" s="100"/>
      <c r="L1789" s="100"/>
      <c r="M1789" s="100"/>
      <c r="N1789" s="100"/>
      <c r="O1789" s="100"/>
      <c r="P1789" s="100"/>
      <c r="Q1789" s="100"/>
      <c r="R1789" s="100"/>
      <c r="S1789" s="100"/>
      <c r="T1789" s="100"/>
      <c r="U1789" s="100"/>
      <c r="V1789" s="100"/>
      <c r="W1789" s="100"/>
      <c r="X1789" s="100"/>
      <c r="Y1789" s="100"/>
      <c r="Z1789" s="100"/>
    </row>
    <row r="1790" spans="1:26">
      <c r="A1790" s="100"/>
      <c r="B1790" s="100"/>
      <c r="C1790" s="100"/>
      <c r="D1790" s="100"/>
      <c r="E1790" s="100"/>
      <c r="F1790" s="100"/>
      <c r="G1790" s="100"/>
      <c r="H1790" s="100"/>
      <c r="I1790" s="100"/>
      <c r="J1790" s="100"/>
      <c r="K1790" s="100"/>
      <c r="L1790" s="100"/>
      <c r="M1790" s="100"/>
      <c r="N1790" s="100"/>
      <c r="O1790" s="100"/>
      <c r="P1790" s="100"/>
      <c r="Q1790" s="100"/>
      <c r="R1790" s="100"/>
      <c r="S1790" s="100"/>
      <c r="T1790" s="100"/>
      <c r="U1790" s="100"/>
      <c r="V1790" s="100"/>
      <c r="W1790" s="100"/>
      <c r="X1790" s="100"/>
      <c r="Y1790" s="100"/>
      <c r="Z1790" s="100"/>
    </row>
    <row r="1791" spans="1:26">
      <c r="A1791" s="100"/>
      <c r="B1791" s="100"/>
      <c r="C1791" s="100"/>
      <c r="D1791" s="100"/>
      <c r="E1791" s="100"/>
      <c r="F1791" s="100"/>
      <c r="G1791" s="100"/>
      <c r="H1791" s="100"/>
      <c r="I1791" s="100"/>
      <c r="J1791" s="100"/>
      <c r="K1791" s="100"/>
      <c r="L1791" s="100"/>
      <c r="M1791" s="100"/>
      <c r="N1791" s="100"/>
      <c r="O1791" s="100"/>
      <c r="P1791" s="100"/>
      <c r="Q1791" s="100"/>
      <c r="R1791" s="100"/>
      <c r="S1791" s="100"/>
      <c r="T1791" s="100"/>
      <c r="U1791" s="100"/>
      <c r="V1791" s="100"/>
      <c r="W1791" s="100"/>
      <c r="X1791" s="100"/>
      <c r="Y1791" s="100"/>
      <c r="Z1791" s="100"/>
    </row>
    <row r="1792" spans="1:26">
      <c r="A1792" s="100"/>
      <c r="B1792" s="100"/>
      <c r="C1792" s="100"/>
      <c r="D1792" s="100"/>
      <c r="E1792" s="100"/>
      <c r="F1792" s="100"/>
      <c r="G1792" s="100"/>
      <c r="H1792" s="100"/>
      <c r="I1792" s="100"/>
      <c r="J1792" s="100"/>
      <c r="K1792" s="100"/>
      <c r="L1792" s="100"/>
      <c r="M1792" s="100"/>
      <c r="N1792" s="100"/>
      <c r="O1792" s="100"/>
      <c r="P1792" s="100"/>
      <c r="Q1792" s="100"/>
      <c r="R1792" s="100"/>
      <c r="S1792" s="100"/>
      <c r="T1792" s="100"/>
      <c r="U1792" s="100"/>
      <c r="V1792" s="100"/>
      <c r="W1792" s="100"/>
      <c r="X1792" s="100"/>
      <c r="Y1792" s="100"/>
      <c r="Z1792" s="100"/>
    </row>
    <row r="1793" spans="1:26">
      <c r="A1793" s="100"/>
      <c r="B1793" s="100"/>
      <c r="C1793" s="100"/>
      <c r="D1793" s="100"/>
      <c r="E1793" s="100"/>
      <c r="F1793" s="100"/>
      <c r="G1793" s="100"/>
      <c r="H1793" s="100"/>
      <c r="I1793" s="100"/>
      <c r="J1793" s="100"/>
      <c r="K1793" s="100"/>
      <c r="L1793" s="100"/>
      <c r="M1793" s="100"/>
      <c r="N1793" s="100"/>
      <c r="O1793" s="100"/>
      <c r="P1793" s="100"/>
      <c r="Q1793" s="100"/>
      <c r="R1793" s="100"/>
      <c r="S1793" s="100"/>
      <c r="T1793" s="100"/>
      <c r="U1793" s="100"/>
      <c r="V1793" s="100"/>
      <c r="W1793" s="100"/>
      <c r="X1793" s="100"/>
      <c r="Y1793" s="100"/>
      <c r="Z1793" s="100"/>
    </row>
    <row r="1794" spans="1:26">
      <c r="A1794" s="100"/>
      <c r="B1794" s="100"/>
      <c r="C1794" s="100"/>
      <c r="D1794" s="100"/>
      <c r="E1794" s="100"/>
      <c r="F1794" s="100"/>
      <c r="G1794" s="100"/>
      <c r="H1794" s="100"/>
      <c r="I1794" s="100"/>
      <c r="J1794" s="100"/>
      <c r="K1794" s="100"/>
      <c r="L1794" s="100"/>
      <c r="M1794" s="100"/>
      <c r="N1794" s="100"/>
      <c r="O1794" s="100"/>
      <c r="P1794" s="100"/>
      <c r="Q1794" s="100"/>
      <c r="R1794" s="100"/>
      <c r="S1794" s="100"/>
      <c r="T1794" s="100"/>
      <c r="U1794" s="100"/>
      <c r="V1794" s="100"/>
      <c r="W1794" s="100"/>
      <c r="X1794" s="100"/>
      <c r="Y1794" s="100"/>
      <c r="Z1794" s="100"/>
    </row>
    <row r="1795" spans="1:26">
      <c r="A1795" s="100"/>
      <c r="B1795" s="100"/>
      <c r="C1795" s="100"/>
      <c r="D1795" s="100"/>
      <c r="E1795" s="100"/>
      <c r="F1795" s="100"/>
      <c r="G1795" s="100"/>
      <c r="H1795" s="100"/>
      <c r="I1795" s="100"/>
      <c r="J1795" s="100"/>
      <c r="K1795" s="100"/>
      <c r="L1795" s="100"/>
      <c r="M1795" s="100"/>
      <c r="N1795" s="100"/>
      <c r="O1795" s="100"/>
      <c r="P1795" s="100"/>
      <c r="Q1795" s="100"/>
      <c r="R1795" s="100"/>
      <c r="S1795" s="100"/>
      <c r="T1795" s="100"/>
      <c r="U1795" s="100"/>
      <c r="V1795" s="100"/>
      <c r="W1795" s="100"/>
      <c r="X1795" s="100"/>
      <c r="Y1795" s="100"/>
      <c r="Z1795" s="100"/>
    </row>
    <row r="1796" spans="1:26">
      <c r="A1796" s="100"/>
      <c r="B1796" s="100"/>
      <c r="C1796" s="100"/>
      <c r="D1796" s="100"/>
      <c r="E1796" s="100"/>
      <c r="F1796" s="100"/>
      <c r="G1796" s="100"/>
      <c r="H1796" s="100"/>
      <c r="I1796" s="100"/>
      <c r="J1796" s="100"/>
      <c r="K1796" s="100"/>
      <c r="L1796" s="100"/>
      <c r="M1796" s="100"/>
      <c r="N1796" s="100"/>
      <c r="O1796" s="100"/>
      <c r="P1796" s="100"/>
      <c r="Q1796" s="100"/>
      <c r="R1796" s="100"/>
      <c r="S1796" s="100"/>
      <c r="T1796" s="100"/>
      <c r="U1796" s="100"/>
      <c r="V1796" s="100"/>
      <c r="W1796" s="100"/>
      <c r="X1796" s="100"/>
      <c r="Y1796" s="100"/>
      <c r="Z1796" s="100"/>
    </row>
    <row r="1797" spans="1:26">
      <c r="A1797" s="100"/>
      <c r="B1797" s="100"/>
      <c r="C1797" s="100"/>
      <c r="D1797" s="100"/>
      <c r="E1797" s="100"/>
      <c r="F1797" s="100"/>
      <c r="G1797" s="100"/>
      <c r="H1797" s="100"/>
      <c r="I1797" s="100"/>
      <c r="J1797" s="100"/>
      <c r="K1797" s="100"/>
      <c r="L1797" s="100"/>
      <c r="M1797" s="100"/>
      <c r="N1797" s="100"/>
      <c r="O1797" s="100"/>
      <c r="P1797" s="100"/>
      <c r="Q1797" s="100"/>
      <c r="R1797" s="100"/>
      <c r="S1797" s="100"/>
      <c r="T1797" s="100"/>
      <c r="U1797" s="100"/>
      <c r="V1797" s="100"/>
      <c r="W1797" s="100"/>
      <c r="X1797" s="100"/>
      <c r="Y1797" s="100"/>
      <c r="Z1797" s="100"/>
    </row>
    <row r="1798" spans="1:26">
      <c r="A1798" s="100"/>
      <c r="B1798" s="100"/>
      <c r="C1798" s="100"/>
      <c r="D1798" s="100"/>
      <c r="E1798" s="100"/>
      <c r="F1798" s="100"/>
      <c r="G1798" s="100"/>
      <c r="H1798" s="100"/>
      <c r="I1798" s="100"/>
      <c r="J1798" s="100"/>
      <c r="K1798" s="100"/>
      <c r="L1798" s="100"/>
      <c r="M1798" s="100"/>
      <c r="N1798" s="100"/>
      <c r="O1798" s="100"/>
      <c r="P1798" s="100"/>
      <c r="Q1798" s="100"/>
      <c r="R1798" s="100"/>
      <c r="S1798" s="100"/>
      <c r="T1798" s="100"/>
      <c r="U1798" s="100"/>
      <c r="V1798" s="100"/>
      <c r="W1798" s="100"/>
      <c r="X1798" s="100"/>
      <c r="Y1798" s="100"/>
      <c r="Z1798" s="100"/>
    </row>
    <row r="1799" spans="1:26">
      <c r="A1799" s="100"/>
      <c r="B1799" s="100"/>
      <c r="C1799" s="100"/>
      <c r="D1799" s="100"/>
      <c r="E1799" s="100"/>
      <c r="F1799" s="100"/>
      <c r="G1799" s="100"/>
      <c r="H1799" s="100"/>
      <c r="I1799" s="100"/>
      <c r="J1799" s="100"/>
      <c r="K1799" s="100"/>
      <c r="L1799" s="100"/>
      <c r="M1799" s="100"/>
      <c r="N1799" s="100"/>
      <c r="O1799" s="100"/>
      <c r="P1799" s="100"/>
      <c r="Q1799" s="100"/>
      <c r="R1799" s="100"/>
      <c r="S1799" s="100"/>
      <c r="T1799" s="100"/>
      <c r="U1799" s="100"/>
      <c r="V1799" s="100"/>
      <c r="W1799" s="100"/>
      <c r="X1799" s="100"/>
      <c r="Y1799" s="100"/>
      <c r="Z1799" s="100"/>
    </row>
    <row r="1800" spans="1:26">
      <c r="A1800" s="100"/>
      <c r="B1800" s="100"/>
      <c r="C1800" s="100"/>
      <c r="D1800" s="100"/>
      <c r="E1800" s="100"/>
      <c r="F1800" s="100"/>
      <c r="G1800" s="100"/>
      <c r="H1800" s="100"/>
      <c r="I1800" s="100"/>
      <c r="J1800" s="100"/>
      <c r="K1800" s="100"/>
      <c r="L1800" s="100"/>
      <c r="M1800" s="100"/>
      <c r="N1800" s="100"/>
      <c r="O1800" s="100"/>
      <c r="P1800" s="100"/>
      <c r="Q1800" s="100"/>
      <c r="R1800" s="100"/>
      <c r="S1800" s="100"/>
      <c r="T1800" s="100"/>
      <c r="U1800" s="100"/>
      <c r="V1800" s="100"/>
      <c r="W1800" s="100"/>
      <c r="X1800" s="100"/>
      <c r="Y1800" s="100"/>
      <c r="Z1800" s="100"/>
    </row>
    <row r="1801" spans="1:26">
      <c r="A1801" s="100"/>
      <c r="B1801" s="100"/>
      <c r="C1801" s="100"/>
      <c r="D1801" s="100"/>
      <c r="E1801" s="100"/>
      <c r="F1801" s="100"/>
      <c r="G1801" s="100"/>
      <c r="H1801" s="100"/>
      <c r="I1801" s="100"/>
      <c r="J1801" s="100"/>
      <c r="K1801" s="100"/>
      <c r="L1801" s="100"/>
      <c r="M1801" s="100"/>
      <c r="N1801" s="100"/>
      <c r="O1801" s="100"/>
      <c r="P1801" s="100"/>
      <c r="Q1801" s="100"/>
      <c r="R1801" s="100"/>
      <c r="S1801" s="100"/>
      <c r="T1801" s="100"/>
      <c r="U1801" s="100"/>
      <c r="V1801" s="100"/>
      <c r="W1801" s="100"/>
      <c r="X1801" s="100"/>
      <c r="Y1801" s="100"/>
      <c r="Z1801" s="100"/>
    </row>
    <row r="1802" spans="1:26">
      <c r="A1802" s="100"/>
      <c r="B1802" s="100"/>
      <c r="C1802" s="100"/>
      <c r="D1802" s="100"/>
      <c r="E1802" s="100"/>
      <c r="F1802" s="100"/>
      <c r="G1802" s="100"/>
      <c r="H1802" s="100"/>
      <c r="I1802" s="100"/>
      <c r="J1802" s="100"/>
      <c r="K1802" s="100"/>
      <c r="L1802" s="100"/>
      <c r="M1802" s="100"/>
      <c r="N1802" s="100"/>
      <c r="O1802" s="100"/>
      <c r="P1802" s="100"/>
      <c r="Q1802" s="100"/>
      <c r="R1802" s="100"/>
      <c r="S1802" s="100"/>
      <c r="T1802" s="100"/>
      <c r="U1802" s="100"/>
      <c r="V1802" s="100"/>
      <c r="W1802" s="100"/>
      <c r="X1802" s="100"/>
      <c r="Y1802" s="100"/>
      <c r="Z1802" s="100"/>
    </row>
    <row r="1803" spans="1:26">
      <c r="A1803" s="100"/>
      <c r="B1803" s="100"/>
      <c r="C1803" s="100"/>
      <c r="D1803" s="100"/>
      <c r="E1803" s="100"/>
      <c r="F1803" s="100"/>
      <c r="G1803" s="100"/>
      <c r="H1803" s="100"/>
      <c r="I1803" s="100"/>
      <c r="J1803" s="100"/>
      <c r="K1803" s="100"/>
      <c r="L1803" s="100"/>
      <c r="M1803" s="100"/>
      <c r="N1803" s="100"/>
      <c r="O1803" s="100"/>
      <c r="P1803" s="100"/>
      <c r="Q1803" s="100"/>
      <c r="R1803" s="100"/>
      <c r="S1803" s="100"/>
      <c r="T1803" s="100"/>
      <c r="U1803" s="100"/>
      <c r="V1803" s="100"/>
      <c r="W1803" s="100"/>
      <c r="X1803" s="100"/>
      <c r="Y1803" s="100"/>
      <c r="Z1803" s="100"/>
    </row>
    <row r="1804" spans="1:26">
      <c r="A1804" s="100"/>
      <c r="B1804" s="100"/>
      <c r="C1804" s="100"/>
      <c r="D1804" s="100"/>
      <c r="E1804" s="100"/>
      <c r="F1804" s="100"/>
      <c r="G1804" s="100"/>
      <c r="H1804" s="100"/>
      <c r="I1804" s="100"/>
      <c r="J1804" s="100"/>
      <c r="K1804" s="100"/>
      <c r="L1804" s="100"/>
      <c r="M1804" s="100"/>
      <c r="N1804" s="100"/>
      <c r="O1804" s="100"/>
      <c r="P1804" s="100"/>
      <c r="Q1804" s="100"/>
      <c r="R1804" s="100"/>
      <c r="S1804" s="100"/>
      <c r="T1804" s="100"/>
      <c r="U1804" s="100"/>
      <c r="V1804" s="100"/>
      <c r="W1804" s="100"/>
      <c r="X1804" s="100"/>
      <c r="Y1804" s="100"/>
      <c r="Z1804" s="100"/>
    </row>
    <row r="1805" spans="1:26">
      <c r="A1805" s="100"/>
      <c r="B1805" s="100"/>
      <c r="C1805" s="100"/>
      <c r="D1805" s="100"/>
      <c r="E1805" s="100"/>
      <c r="F1805" s="100"/>
      <c r="G1805" s="100"/>
      <c r="H1805" s="100"/>
      <c r="I1805" s="100"/>
      <c r="J1805" s="100"/>
      <c r="K1805" s="100"/>
      <c r="L1805" s="100"/>
      <c r="M1805" s="100"/>
      <c r="N1805" s="100"/>
      <c r="O1805" s="100"/>
      <c r="P1805" s="100"/>
      <c r="Q1805" s="100"/>
      <c r="R1805" s="100"/>
      <c r="S1805" s="100"/>
      <c r="T1805" s="100"/>
      <c r="U1805" s="100"/>
      <c r="V1805" s="100"/>
      <c r="W1805" s="100"/>
      <c r="X1805" s="100"/>
      <c r="Y1805" s="100"/>
      <c r="Z1805" s="100"/>
    </row>
    <row r="1806" spans="1:26">
      <c r="A1806" s="100"/>
      <c r="B1806" s="100"/>
      <c r="C1806" s="100"/>
      <c r="D1806" s="100"/>
      <c r="E1806" s="100"/>
      <c r="F1806" s="100"/>
      <c r="G1806" s="100"/>
      <c r="H1806" s="100"/>
      <c r="I1806" s="100"/>
      <c r="J1806" s="100"/>
      <c r="K1806" s="100"/>
      <c r="L1806" s="100"/>
      <c r="M1806" s="100"/>
      <c r="N1806" s="100"/>
      <c r="O1806" s="100"/>
      <c r="P1806" s="100"/>
      <c r="Q1806" s="100"/>
      <c r="R1806" s="100"/>
      <c r="S1806" s="100"/>
      <c r="T1806" s="100"/>
      <c r="U1806" s="100"/>
      <c r="V1806" s="100"/>
      <c r="W1806" s="100"/>
      <c r="X1806" s="100"/>
      <c r="Y1806" s="100"/>
      <c r="Z1806" s="100"/>
    </row>
    <row r="1807" spans="1:26">
      <c r="A1807" s="100"/>
      <c r="B1807" s="100"/>
      <c r="C1807" s="100"/>
      <c r="D1807" s="100"/>
      <c r="E1807" s="100"/>
      <c r="F1807" s="100"/>
      <c r="G1807" s="100"/>
      <c r="H1807" s="100"/>
      <c r="I1807" s="100"/>
      <c r="J1807" s="100"/>
      <c r="K1807" s="100"/>
      <c r="L1807" s="100"/>
      <c r="M1807" s="100"/>
      <c r="N1807" s="100"/>
      <c r="O1807" s="100"/>
      <c r="P1807" s="100"/>
      <c r="Q1807" s="100"/>
      <c r="R1807" s="100"/>
      <c r="S1807" s="100"/>
      <c r="T1807" s="100"/>
      <c r="U1807" s="100"/>
      <c r="V1807" s="100"/>
      <c r="W1807" s="100"/>
      <c r="X1807" s="100"/>
      <c r="Y1807" s="100"/>
      <c r="Z1807" s="100"/>
    </row>
    <row r="1808" spans="1:26">
      <c r="A1808" s="100"/>
      <c r="B1808" s="100"/>
      <c r="C1808" s="100"/>
      <c r="D1808" s="100"/>
      <c r="E1808" s="100"/>
      <c r="F1808" s="100"/>
      <c r="G1808" s="100"/>
      <c r="H1808" s="100"/>
      <c r="I1808" s="100"/>
      <c r="J1808" s="100"/>
      <c r="K1808" s="100"/>
      <c r="L1808" s="100"/>
      <c r="M1808" s="100"/>
      <c r="N1808" s="100"/>
      <c r="O1808" s="100"/>
      <c r="P1808" s="100"/>
      <c r="Q1808" s="100"/>
      <c r="R1808" s="100"/>
      <c r="S1808" s="100"/>
      <c r="T1808" s="100"/>
      <c r="U1808" s="100"/>
      <c r="V1808" s="100"/>
      <c r="W1808" s="100"/>
      <c r="X1808" s="100"/>
      <c r="Y1808" s="100"/>
      <c r="Z1808" s="100"/>
    </row>
    <row r="1809" spans="1:26">
      <c r="A1809" s="100"/>
      <c r="B1809" s="100"/>
      <c r="C1809" s="100"/>
      <c r="D1809" s="100"/>
      <c r="E1809" s="100"/>
      <c r="F1809" s="100"/>
      <c r="G1809" s="100"/>
      <c r="H1809" s="100"/>
      <c r="I1809" s="100"/>
      <c r="J1809" s="100"/>
      <c r="K1809" s="100"/>
      <c r="L1809" s="100"/>
      <c r="M1809" s="100"/>
      <c r="N1809" s="100"/>
      <c r="O1809" s="100"/>
      <c r="P1809" s="100"/>
      <c r="Q1809" s="100"/>
      <c r="R1809" s="100"/>
      <c r="S1809" s="100"/>
      <c r="T1809" s="100"/>
      <c r="U1809" s="100"/>
      <c r="V1809" s="100"/>
      <c r="W1809" s="100"/>
      <c r="X1809" s="100"/>
      <c r="Y1809" s="100"/>
      <c r="Z1809" s="100"/>
    </row>
    <row r="1810" spans="1:26">
      <c r="A1810" s="100"/>
      <c r="B1810" s="100"/>
      <c r="C1810" s="100"/>
      <c r="D1810" s="100"/>
      <c r="E1810" s="100"/>
      <c r="F1810" s="100"/>
      <c r="G1810" s="100"/>
      <c r="H1810" s="100"/>
      <c r="I1810" s="100"/>
      <c r="J1810" s="100"/>
      <c r="K1810" s="100"/>
      <c r="L1810" s="100"/>
      <c r="M1810" s="100"/>
      <c r="N1810" s="100"/>
      <c r="O1810" s="100"/>
      <c r="P1810" s="100"/>
      <c r="Q1810" s="100"/>
      <c r="R1810" s="100"/>
      <c r="S1810" s="100"/>
      <c r="T1810" s="100"/>
      <c r="U1810" s="100"/>
      <c r="V1810" s="100"/>
      <c r="W1810" s="100"/>
      <c r="X1810" s="100"/>
      <c r="Y1810" s="100"/>
      <c r="Z1810" s="100"/>
    </row>
    <row r="1811" spans="1:26">
      <c r="A1811" s="100"/>
      <c r="B1811" s="100"/>
      <c r="C1811" s="100"/>
      <c r="D1811" s="100"/>
      <c r="E1811" s="100"/>
      <c r="F1811" s="100"/>
      <c r="G1811" s="100"/>
      <c r="H1811" s="100"/>
      <c r="I1811" s="100"/>
      <c r="J1811" s="100"/>
      <c r="K1811" s="100"/>
      <c r="L1811" s="100"/>
      <c r="M1811" s="100"/>
      <c r="N1811" s="100"/>
      <c r="O1811" s="100"/>
      <c r="P1811" s="100"/>
      <c r="Q1811" s="100"/>
      <c r="R1811" s="100"/>
      <c r="S1811" s="100"/>
      <c r="T1811" s="100"/>
      <c r="U1811" s="100"/>
      <c r="V1811" s="100"/>
      <c r="W1811" s="100"/>
      <c r="X1811" s="100"/>
      <c r="Y1811" s="100"/>
      <c r="Z1811" s="100"/>
    </row>
    <row r="1812" spans="1:26">
      <c r="A1812" s="100"/>
      <c r="B1812" s="100"/>
      <c r="C1812" s="100"/>
      <c r="D1812" s="100"/>
      <c r="E1812" s="100"/>
      <c r="F1812" s="100"/>
      <c r="G1812" s="100"/>
      <c r="H1812" s="100"/>
      <c r="I1812" s="100"/>
      <c r="J1812" s="100"/>
      <c r="K1812" s="100"/>
      <c r="L1812" s="100"/>
      <c r="M1812" s="100"/>
      <c r="N1812" s="100"/>
      <c r="O1812" s="100"/>
      <c r="P1812" s="100"/>
      <c r="Q1812" s="100"/>
      <c r="R1812" s="100"/>
      <c r="S1812" s="100"/>
      <c r="T1812" s="100"/>
      <c r="U1812" s="100"/>
      <c r="V1812" s="100"/>
      <c r="W1812" s="100"/>
      <c r="X1812" s="100"/>
      <c r="Y1812" s="100"/>
      <c r="Z1812" s="100"/>
    </row>
    <row r="1813" spans="1:26">
      <c r="A1813" s="100"/>
      <c r="B1813" s="100"/>
      <c r="C1813" s="100"/>
      <c r="D1813" s="100"/>
      <c r="E1813" s="100"/>
      <c r="F1813" s="100"/>
      <c r="G1813" s="100"/>
      <c r="H1813" s="100"/>
      <c r="I1813" s="100"/>
      <c r="J1813" s="100"/>
      <c r="K1813" s="100"/>
      <c r="L1813" s="100"/>
      <c r="M1813" s="100"/>
      <c r="N1813" s="100"/>
      <c r="O1813" s="100"/>
      <c r="P1813" s="100"/>
      <c r="Q1813" s="100"/>
      <c r="R1813" s="100"/>
      <c r="S1813" s="100"/>
      <c r="T1813" s="100"/>
      <c r="U1813" s="100"/>
      <c r="V1813" s="100"/>
      <c r="W1813" s="100"/>
      <c r="X1813" s="100"/>
      <c r="Y1813" s="100"/>
      <c r="Z1813" s="100"/>
    </row>
    <row r="1814" spans="1:26">
      <c r="A1814" s="100"/>
      <c r="B1814" s="100"/>
      <c r="C1814" s="100"/>
      <c r="D1814" s="100"/>
      <c r="E1814" s="100"/>
      <c r="F1814" s="100"/>
      <c r="G1814" s="100"/>
      <c r="H1814" s="100"/>
      <c r="I1814" s="100"/>
      <c r="J1814" s="100"/>
      <c r="K1814" s="100"/>
      <c r="L1814" s="100"/>
      <c r="M1814" s="100"/>
      <c r="N1814" s="100"/>
      <c r="O1814" s="100"/>
      <c r="P1814" s="100"/>
      <c r="Q1814" s="100"/>
      <c r="R1814" s="100"/>
      <c r="S1814" s="100"/>
      <c r="T1814" s="100"/>
      <c r="U1814" s="100"/>
      <c r="V1814" s="100"/>
      <c r="W1814" s="100"/>
      <c r="X1814" s="100"/>
      <c r="Y1814" s="100"/>
      <c r="Z1814" s="100"/>
    </row>
    <row r="1815" spans="1:26">
      <c r="A1815" s="100"/>
      <c r="B1815" s="100"/>
      <c r="C1815" s="100"/>
      <c r="D1815" s="100"/>
      <c r="E1815" s="100"/>
      <c r="F1815" s="100"/>
      <c r="G1815" s="100"/>
      <c r="H1815" s="100"/>
      <c r="I1815" s="100"/>
      <c r="J1815" s="100"/>
      <c r="K1815" s="100"/>
      <c r="L1815" s="100"/>
      <c r="M1815" s="100"/>
      <c r="N1815" s="100"/>
      <c r="O1815" s="100"/>
      <c r="P1815" s="100"/>
      <c r="Q1815" s="100"/>
      <c r="R1815" s="100"/>
      <c r="S1815" s="100"/>
      <c r="T1815" s="100"/>
      <c r="U1815" s="100"/>
      <c r="V1815" s="100"/>
      <c r="W1815" s="100"/>
      <c r="X1815" s="100"/>
      <c r="Y1815" s="100"/>
      <c r="Z1815" s="100"/>
    </row>
    <row r="1816" spans="1:26">
      <c r="A1816" s="100"/>
      <c r="B1816" s="100"/>
      <c r="C1816" s="100"/>
      <c r="D1816" s="100"/>
      <c r="E1816" s="100"/>
      <c r="F1816" s="100"/>
      <c r="G1816" s="100"/>
      <c r="H1816" s="100"/>
      <c r="I1816" s="100"/>
      <c r="J1816" s="100"/>
      <c r="K1816" s="100"/>
      <c r="L1816" s="100"/>
      <c r="M1816" s="100"/>
      <c r="N1816" s="100"/>
      <c r="O1816" s="100"/>
      <c r="P1816" s="100"/>
      <c r="Q1816" s="100"/>
      <c r="R1816" s="100"/>
      <c r="S1816" s="100"/>
      <c r="T1816" s="100"/>
      <c r="U1816" s="100"/>
      <c r="V1816" s="100"/>
      <c r="W1816" s="100"/>
      <c r="X1816" s="100"/>
      <c r="Y1816" s="100"/>
      <c r="Z1816" s="100"/>
    </row>
    <row r="1817" spans="1:26">
      <c r="A1817" s="100"/>
      <c r="B1817" s="100"/>
      <c r="C1817" s="100"/>
      <c r="D1817" s="100"/>
      <c r="E1817" s="100"/>
      <c r="F1817" s="100"/>
      <c r="G1817" s="100"/>
      <c r="H1817" s="100"/>
      <c r="I1817" s="100"/>
      <c r="J1817" s="100"/>
      <c r="K1817" s="100"/>
      <c r="L1817" s="100"/>
      <c r="M1817" s="100"/>
      <c r="N1817" s="100"/>
      <c r="O1817" s="100"/>
      <c r="P1817" s="100"/>
      <c r="Q1817" s="100"/>
      <c r="R1817" s="100"/>
      <c r="S1817" s="100"/>
      <c r="T1817" s="100"/>
      <c r="U1817" s="100"/>
      <c r="V1817" s="100"/>
      <c r="W1817" s="100"/>
      <c r="X1817" s="100"/>
      <c r="Y1817" s="100"/>
      <c r="Z1817" s="100"/>
    </row>
    <row r="1818" spans="1:26">
      <c r="A1818" s="100"/>
      <c r="B1818" s="100"/>
      <c r="C1818" s="100"/>
      <c r="D1818" s="100"/>
      <c r="E1818" s="100"/>
      <c r="F1818" s="100"/>
      <c r="G1818" s="100"/>
      <c r="H1818" s="100"/>
      <c r="I1818" s="100"/>
      <c r="J1818" s="100"/>
      <c r="K1818" s="100"/>
      <c r="L1818" s="100"/>
      <c r="M1818" s="100"/>
      <c r="N1818" s="100"/>
      <c r="O1818" s="100"/>
      <c r="P1818" s="100"/>
      <c r="Q1818" s="100"/>
      <c r="R1818" s="100"/>
      <c r="S1818" s="100"/>
      <c r="T1818" s="100"/>
      <c r="U1818" s="100"/>
      <c r="V1818" s="100"/>
      <c r="W1818" s="100"/>
      <c r="X1818" s="100"/>
      <c r="Y1818" s="100"/>
      <c r="Z1818" s="100"/>
    </row>
    <row r="1819" spans="1:26">
      <c r="A1819" s="100"/>
      <c r="B1819" s="100"/>
      <c r="C1819" s="100"/>
      <c r="D1819" s="100"/>
      <c r="E1819" s="100"/>
      <c r="F1819" s="100"/>
      <c r="G1819" s="100"/>
      <c r="H1819" s="100"/>
      <c r="I1819" s="100"/>
      <c r="J1819" s="100"/>
      <c r="K1819" s="100"/>
      <c r="L1819" s="100"/>
      <c r="M1819" s="100"/>
      <c r="N1819" s="100"/>
      <c r="O1819" s="100"/>
      <c r="P1819" s="100"/>
      <c r="Q1819" s="100"/>
      <c r="R1819" s="100"/>
      <c r="S1819" s="100"/>
      <c r="T1819" s="100"/>
      <c r="U1819" s="100"/>
      <c r="V1819" s="100"/>
      <c r="W1819" s="100"/>
      <c r="X1819" s="100"/>
      <c r="Y1819" s="100"/>
      <c r="Z1819" s="100"/>
    </row>
    <row r="1820" spans="1:26">
      <c r="A1820" s="100"/>
      <c r="B1820" s="100"/>
      <c r="C1820" s="100"/>
      <c r="D1820" s="100"/>
      <c r="E1820" s="100"/>
      <c r="F1820" s="100"/>
      <c r="G1820" s="100"/>
      <c r="H1820" s="100"/>
      <c r="I1820" s="100"/>
      <c r="J1820" s="100"/>
      <c r="K1820" s="100"/>
      <c r="L1820" s="100"/>
      <c r="M1820" s="100"/>
      <c r="N1820" s="100"/>
      <c r="O1820" s="100"/>
      <c r="P1820" s="100"/>
      <c r="Q1820" s="100"/>
      <c r="R1820" s="100"/>
      <c r="S1820" s="100"/>
      <c r="T1820" s="100"/>
      <c r="U1820" s="100"/>
      <c r="V1820" s="100"/>
      <c r="W1820" s="100"/>
      <c r="X1820" s="100"/>
      <c r="Y1820" s="100"/>
      <c r="Z1820" s="100"/>
    </row>
    <row r="1821" spans="1:26">
      <c r="A1821" s="100"/>
      <c r="B1821" s="100"/>
      <c r="C1821" s="100"/>
      <c r="D1821" s="100"/>
      <c r="E1821" s="100"/>
      <c r="F1821" s="100"/>
      <c r="G1821" s="100"/>
      <c r="H1821" s="100"/>
      <c r="I1821" s="100"/>
      <c r="J1821" s="100"/>
      <c r="K1821" s="100"/>
      <c r="L1821" s="100"/>
      <c r="M1821" s="100"/>
      <c r="N1821" s="100"/>
      <c r="O1821" s="100"/>
      <c r="P1821" s="100"/>
      <c r="Q1821" s="100"/>
      <c r="R1821" s="100"/>
      <c r="S1821" s="100"/>
      <c r="T1821" s="100"/>
      <c r="U1821" s="100"/>
      <c r="V1821" s="100"/>
      <c r="W1821" s="100"/>
      <c r="X1821" s="100"/>
      <c r="Y1821" s="100"/>
      <c r="Z1821" s="100"/>
    </row>
    <row r="1822" spans="1:26">
      <c r="A1822" s="100"/>
      <c r="B1822" s="100"/>
      <c r="C1822" s="100"/>
      <c r="D1822" s="100"/>
      <c r="E1822" s="100"/>
      <c r="F1822" s="100"/>
      <c r="G1822" s="100"/>
      <c r="H1822" s="100"/>
      <c r="I1822" s="100"/>
      <c r="J1822" s="100"/>
      <c r="K1822" s="100"/>
      <c r="L1822" s="100"/>
      <c r="M1822" s="100"/>
      <c r="N1822" s="100"/>
      <c r="O1822" s="100"/>
      <c r="P1822" s="100"/>
      <c r="Q1822" s="100"/>
      <c r="R1822" s="100"/>
      <c r="S1822" s="100"/>
      <c r="T1822" s="100"/>
      <c r="U1822" s="100"/>
      <c r="V1822" s="100"/>
      <c r="W1822" s="100"/>
      <c r="X1822" s="100"/>
      <c r="Y1822" s="100"/>
      <c r="Z1822" s="100"/>
    </row>
    <row r="1823" spans="1:26">
      <c r="A1823" s="100"/>
      <c r="B1823" s="100"/>
      <c r="C1823" s="100"/>
      <c r="D1823" s="100"/>
      <c r="E1823" s="100"/>
      <c r="F1823" s="100"/>
      <c r="G1823" s="100"/>
      <c r="H1823" s="100"/>
      <c r="I1823" s="100"/>
      <c r="J1823" s="100"/>
      <c r="K1823" s="100"/>
      <c r="L1823" s="100"/>
      <c r="M1823" s="100"/>
      <c r="N1823" s="100"/>
      <c r="O1823" s="100"/>
      <c r="P1823" s="100"/>
      <c r="Q1823" s="100"/>
      <c r="R1823" s="100"/>
      <c r="S1823" s="100"/>
      <c r="T1823" s="100"/>
      <c r="U1823" s="100"/>
      <c r="V1823" s="100"/>
      <c r="W1823" s="100"/>
      <c r="X1823" s="100"/>
      <c r="Y1823" s="100"/>
      <c r="Z1823" s="100"/>
    </row>
    <row r="1824" spans="1:26">
      <c r="A1824" s="100"/>
      <c r="B1824" s="100"/>
      <c r="C1824" s="100"/>
      <c r="D1824" s="100"/>
      <c r="E1824" s="100"/>
      <c r="F1824" s="100"/>
      <c r="G1824" s="100"/>
      <c r="H1824" s="100"/>
      <c r="I1824" s="100"/>
      <c r="J1824" s="100"/>
      <c r="K1824" s="100"/>
      <c r="L1824" s="100"/>
      <c r="M1824" s="100"/>
      <c r="N1824" s="100"/>
      <c r="O1824" s="100"/>
      <c r="P1824" s="100"/>
      <c r="Q1824" s="100"/>
      <c r="R1824" s="100"/>
      <c r="S1824" s="100"/>
      <c r="T1824" s="100"/>
      <c r="U1824" s="100"/>
      <c r="V1824" s="100"/>
      <c r="W1824" s="100"/>
      <c r="X1824" s="100"/>
      <c r="Y1824" s="100"/>
      <c r="Z1824" s="100"/>
    </row>
    <row r="1825" spans="1:26">
      <c r="A1825" s="100"/>
      <c r="B1825" s="100"/>
      <c r="C1825" s="100"/>
      <c r="D1825" s="100"/>
      <c r="E1825" s="100"/>
      <c r="F1825" s="100"/>
      <c r="G1825" s="100"/>
      <c r="H1825" s="100"/>
      <c r="I1825" s="100"/>
      <c r="J1825" s="100"/>
      <c r="K1825" s="100"/>
      <c r="L1825" s="100"/>
      <c r="M1825" s="100"/>
      <c r="N1825" s="100"/>
      <c r="O1825" s="100"/>
      <c r="P1825" s="100"/>
      <c r="Q1825" s="100"/>
      <c r="R1825" s="100"/>
      <c r="S1825" s="100"/>
      <c r="T1825" s="100"/>
      <c r="U1825" s="100"/>
      <c r="V1825" s="100"/>
      <c r="W1825" s="100"/>
      <c r="X1825" s="100"/>
      <c r="Y1825" s="100"/>
      <c r="Z1825" s="100"/>
    </row>
    <row r="1826" spans="1:26">
      <c r="A1826" s="100"/>
      <c r="B1826" s="100"/>
      <c r="C1826" s="100"/>
      <c r="D1826" s="100"/>
      <c r="E1826" s="100"/>
      <c r="F1826" s="100"/>
      <c r="G1826" s="100"/>
      <c r="H1826" s="100"/>
      <c r="I1826" s="100"/>
      <c r="J1826" s="100"/>
      <c r="K1826" s="100"/>
      <c r="L1826" s="100"/>
      <c r="M1826" s="100"/>
      <c r="N1826" s="100"/>
      <c r="O1826" s="100"/>
      <c r="P1826" s="100"/>
      <c r="Q1826" s="100"/>
      <c r="R1826" s="100"/>
      <c r="S1826" s="100"/>
      <c r="T1826" s="100"/>
      <c r="U1826" s="100"/>
      <c r="V1826" s="100"/>
      <c r="W1826" s="100"/>
      <c r="X1826" s="100"/>
      <c r="Y1826" s="100"/>
      <c r="Z1826" s="100"/>
    </row>
    <row r="1827" spans="1:26">
      <c r="A1827" s="100"/>
      <c r="B1827" s="100"/>
      <c r="C1827" s="100"/>
      <c r="D1827" s="100"/>
      <c r="E1827" s="100"/>
      <c r="F1827" s="100"/>
      <c r="G1827" s="100"/>
      <c r="H1827" s="100"/>
      <c r="I1827" s="100"/>
      <c r="J1827" s="100"/>
      <c r="K1827" s="100"/>
      <c r="L1827" s="100"/>
      <c r="M1827" s="100"/>
      <c r="N1827" s="100"/>
      <c r="O1827" s="100"/>
      <c r="P1827" s="100"/>
      <c r="Q1827" s="100"/>
      <c r="R1827" s="100"/>
      <c r="S1827" s="100"/>
      <c r="T1827" s="100"/>
      <c r="U1827" s="100"/>
      <c r="V1827" s="100"/>
      <c r="W1827" s="100"/>
      <c r="X1827" s="100"/>
      <c r="Y1827" s="100"/>
      <c r="Z1827" s="100"/>
    </row>
    <row r="1828" spans="1:26">
      <c r="A1828" s="100"/>
      <c r="B1828" s="100"/>
      <c r="C1828" s="100"/>
      <c r="D1828" s="100"/>
      <c r="E1828" s="100"/>
      <c r="F1828" s="100"/>
      <c r="G1828" s="100"/>
      <c r="H1828" s="100"/>
      <c r="I1828" s="100"/>
      <c r="J1828" s="100"/>
      <c r="K1828" s="100"/>
      <c r="L1828" s="100"/>
      <c r="M1828" s="100"/>
      <c r="N1828" s="100"/>
      <c r="O1828" s="100"/>
      <c r="P1828" s="100"/>
      <c r="Q1828" s="100"/>
      <c r="R1828" s="100"/>
      <c r="S1828" s="100"/>
      <c r="T1828" s="100"/>
      <c r="U1828" s="100"/>
      <c r="V1828" s="100"/>
      <c r="W1828" s="100"/>
      <c r="X1828" s="100"/>
      <c r="Y1828" s="100"/>
      <c r="Z1828" s="100"/>
    </row>
    <row r="1829" spans="1:26">
      <c r="A1829" s="100"/>
      <c r="B1829" s="100"/>
      <c r="C1829" s="100"/>
      <c r="D1829" s="100"/>
      <c r="E1829" s="100"/>
      <c r="F1829" s="100"/>
      <c r="G1829" s="100"/>
      <c r="H1829" s="100"/>
      <c r="I1829" s="100"/>
      <c r="J1829" s="100"/>
      <c r="K1829" s="100"/>
      <c r="L1829" s="100"/>
      <c r="M1829" s="100"/>
      <c r="N1829" s="100"/>
      <c r="O1829" s="100"/>
      <c r="P1829" s="100"/>
      <c r="Q1829" s="100"/>
      <c r="R1829" s="100"/>
      <c r="S1829" s="100"/>
      <c r="T1829" s="100"/>
      <c r="U1829" s="100"/>
      <c r="V1829" s="100"/>
      <c r="W1829" s="100"/>
      <c r="X1829" s="100"/>
      <c r="Y1829" s="100"/>
      <c r="Z1829" s="100"/>
    </row>
    <row r="1830" spans="1:26">
      <c r="A1830" s="100"/>
      <c r="B1830" s="100"/>
      <c r="C1830" s="100"/>
      <c r="D1830" s="100"/>
      <c r="E1830" s="100"/>
      <c r="F1830" s="100"/>
      <c r="G1830" s="100"/>
      <c r="H1830" s="100"/>
      <c r="I1830" s="100"/>
      <c r="J1830" s="100"/>
      <c r="K1830" s="100"/>
      <c r="L1830" s="100"/>
      <c r="M1830" s="100"/>
      <c r="N1830" s="100"/>
      <c r="O1830" s="100"/>
      <c r="P1830" s="100"/>
      <c r="Q1830" s="100"/>
      <c r="R1830" s="100"/>
      <c r="S1830" s="100"/>
      <c r="T1830" s="100"/>
      <c r="U1830" s="100"/>
      <c r="V1830" s="100"/>
      <c r="W1830" s="100"/>
      <c r="X1830" s="100"/>
      <c r="Y1830" s="100"/>
      <c r="Z1830" s="100"/>
    </row>
    <row r="1831" spans="1:26">
      <c r="A1831" s="100"/>
      <c r="B1831" s="100"/>
      <c r="C1831" s="100"/>
      <c r="D1831" s="100"/>
      <c r="E1831" s="100"/>
      <c r="F1831" s="100"/>
      <c r="G1831" s="100"/>
      <c r="H1831" s="100"/>
      <c r="I1831" s="100"/>
      <c r="J1831" s="100"/>
      <c r="K1831" s="100"/>
      <c r="L1831" s="100"/>
      <c r="M1831" s="100"/>
      <c r="N1831" s="100"/>
      <c r="O1831" s="100"/>
      <c r="P1831" s="100"/>
      <c r="Q1831" s="100"/>
      <c r="R1831" s="100"/>
      <c r="S1831" s="100"/>
      <c r="T1831" s="100"/>
      <c r="U1831" s="100"/>
      <c r="V1831" s="100"/>
      <c r="W1831" s="100"/>
      <c r="X1831" s="100"/>
      <c r="Y1831" s="100"/>
      <c r="Z1831" s="100"/>
    </row>
    <row r="1832" spans="1:26">
      <c r="A1832" s="100"/>
      <c r="B1832" s="100"/>
      <c r="C1832" s="100"/>
      <c r="D1832" s="100"/>
      <c r="E1832" s="100"/>
      <c r="F1832" s="100"/>
      <c r="G1832" s="100"/>
      <c r="H1832" s="100"/>
      <c r="I1832" s="100"/>
      <c r="J1832" s="100"/>
      <c r="K1832" s="100"/>
      <c r="L1832" s="100"/>
      <c r="M1832" s="100"/>
      <c r="N1832" s="100"/>
      <c r="O1832" s="100"/>
      <c r="P1832" s="100"/>
      <c r="Q1832" s="100"/>
      <c r="R1832" s="100"/>
      <c r="S1832" s="100"/>
      <c r="T1832" s="100"/>
      <c r="U1832" s="100"/>
      <c r="V1832" s="100"/>
      <c r="W1832" s="100"/>
      <c r="X1832" s="100"/>
      <c r="Y1832" s="100"/>
      <c r="Z1832" s="100"/>
    </row>
    <row r="1833" spans="1:26">
      <c r="A1833" s="100"/>
      <c r="B1833" s="100"/>
      <c r="C1833" s="100"/>
      <c r="D1833" s="100"/>
      <c r="E1833" s="100"/>
      <c r="F1833" s="100"/>
      <c r="G1833" s="100"/>
      <c r="H1833" s="100"/>
      <c r="I1833" s="100"/>
      <c r="J1833" s="100"/>
      <c r="K1833" s="100"/>
      <c r="L1833" s="100"/>
      <c r="M1833" s="100"/>
      <c r="N1833" s="100"/>
      <c r="O1833" s="100"/>
      <c r="P1833" s="100"/>
      <c r="Q1833" s="100"/>
      <c r="R1833" s="100"/>
      <c r="S1833" s="100"/>
      <c r="T1833" s="100"/>
      <c r="U1833" s="100"/>
      <c r="V1833" s="100"/>
      <c r="W1833" s="100"/>
      <c r="X1833" s="100"/>
      <c r="Y1833" s="100"/>
      <c r="Z1833" s="100"/>
    </row>
    <row r="1834" spans="1:26">
      <c r="A1834" s="100"/>
      <c r="B1834" s="100"/>
      <c r="C1834" s="100"/>
      <c r="D1834" s="100"/>
      <c r="E1834" s="100"/>
      <c r="F1834" s="100"/>
      <c r="G1834" s="100"/>
      <c r="H1834" s="100"/>
      <c r="I1834" s="100"/>
      <c r="J1834" s="100"/>
      <c r="K1834" s="100"/>
      <c r="L1834" s="100"/>
      <c r="M1834" s="100"/>
      <c r="N1834" s="100"/>
      <c r="O1834" s="100"/>
      <c r="P1834" s="100"/>
      <c r="Q1834" s="100"/>
      <c r="R1834" s="100"/>
      <c r="S1834" s="100"/>
      <c r="T1834" s="100"/>
      <c r="U1834" s="100"/>
      <c r="V1834" s="100"/>
      <c r="W1834" s="100"/>
      <c r="X1834" s="100"/>
      <c r="Y1834" s="100"/>
      <c r="Z1834" s="100"/>
    </row>
    <row r="1835" spans="1:26">
      <c r="A1835" s="100"/>
      <c r="B1835" s="100"/>
      <c r="C1835" s="100"/>
      <c r="D1835" s="100"/>
      <c r="E1835" s="100"/>
      <c r="F1835" s="100"/>
      <c r="G1835" s="100"/>
      <c r="H1835" s="100"/>
      <c r="I1835" s="100"/>
      <c r="J1835" s="100"/>
      <c r="K1835" s="100"/>
      <c r="L1835" s="100"/>
      <c r="M1835" s="100"/>
      <c r="N1835" s="100"/>
      <c r="O1835" s="100"/>
      <c r="P1835" s="100"/>
      <c r="Q1835" s="100"/>
      <c r="R1835" s="100"/>
      <c r="S1835" s="100"/>
      <c r="T1835" s="100"/>
      <c r="U1835" s="100"/>
      <c r="V1835" s="100"/>
      <c r="W1835" s="100"/>
      <c r="X1835" s="100"/>
      <c r="Y1835" s="100"/>
      <c r="Z1835" s="100"/>
    </row>
    <row r="1836" spans="1:26">
      <c r="A1836" s="100"/>
      <c r="B1836" s="100"/>
      <c r="C1836" s="100"/>
      <c r="D1836" s="100"/>
      <c r="E1836" s="100"/>
      <c r="F1836" s="100"/>
      <c r="G1836" s="100"/>
      <c r="H1836" s="100"/>
      <c r="I1836" s="100"/>
      <c r="J1836" s="100"/>
      <c r="K1836" s="100"/>
      <c r="L1836" s="100"/>
      <c r="M1836" s="100"/>
      <c r="N1836" s="100"/>
      <c r="O1836" s="100"/>
      <c r="P1836" s="100"/>
      <c r="Q1836" s="100"/>
      <c r="R1836" s="100"/>
      <c r="S1836" s="100"/>
      <c r="T1836" s="100"/>
      <c r="U1836" s="100"/>
      <c r="V1836" s="100"/>
      <c r="W1836" s="100"/>
      <c r="X1836" s="100"/>
      <c r="Y1836" s="100"/>
      <c r="Z1836" s="100"/>
    </row>
    <row r="1837" spans="1:26">
      <c r="A1837" s="100"/>
      <c r="B1837" s="100"/>
      <c r="C1837" s="100"/>
      <c r="D1837" s="100"/>
      <c r="E1837" s="100"/>
      <c r="F1837" s="100"/>
      <c r="G1837" s="100"/>
      <c r="H1837" s="100"/>
      <c r="I1837" s="100"/>
      <c r="J1837" s="100"/>
      <c r="K1837" s="100"/>
      <c r="L1837" s="100"/>
      <c r="M1837" s="100"/>
      <c r="N1837" s="100"/>
      <c r="O1837" s="100"/>
      <c r="P1837" s="100"/>
      <c r="Q1837" s="100"/>
      <c r="R1837" s="100"/>
      <c r="S1837" s="100"/>
      <c r="T1837" s="100"/>
      <c r="U1837" s="100"/>
      <c r="V1837" s="100"/>
      <c r="W1837" s="100"/>
      <c r="X1837" s="100"/>
      <c r="Y1837" s="100"/>
      <c r="Z1837" s="100"/>
    </row>
    <row r="1838" spans="1:26">
      <c r="A1838" s="100"/>
      <c r="B1838" s="100"/>
      <c r="C1838" s="100"/>
      <c r="D1838" s="100"/>
      <c r="E1838" s="100"/>
      <c r="F1838" s="100"/>
      <c r="G1838" s="100"/>
      <c r="H1838" s="100"/>
      <c r="I1838" s="100"/>
      <c r="J1838" s="100"/>
      <c r="K1838" s="100"/>
      <c r="L1838" s="100"/>
      <c r="M1838" s="100"/>
      <c r="N1838" s="100"/>
      <c r="O1838" s="100"/>
      <c r="P1838" s="100"/>
      <c r="Q1838" s="100"/>
      <c r="R1838" s="100"/>
      <c r="S1838" s="100"/>
      <c r="T1838" s="100"/>
      <c r="U1838" s="100"/>
      <c r="V1838" s="100"/>
      <c r="W1838" s="100"/>
      <c r="X1838" s="100"/>
      <c r="Y1838" s="100"/>
      <c r="Z1838" s="100"/>
    </row>
    <row r="1839" spans="1:26">
      <c r="A1839" s="100"/>
      <c r="B1839" s="100"/>
      <c r="C1839" s="100"/>
      <c r="D1839" s="100"/>
      <c r="E1839" s="100"/>
      <c r="F1839" s="100"/>
      <c r="G1839" s="100"/>
      <c r="H1839" s="100"/>
      <c r="I1839" s="100"/>
      <c r="J1839" s="100"/>
      <c r="K1839" s="100"/>
      <c r="L1839" s="100"/>
      <c r="M1839" s="100"/>
      <c r="N1839" s="100"/>
      <c r="O1839" s="100"/>
      <c r="P1839" s="100"/>
      <c r="Q1839" s="100"/>
      <c r="R1839" s="100"/>
      <c r="S1839" s="100"/>
      <c r="T1839" s="100"/>
      <c r="U1839" s="100"/>
      <c r="V1839" s="100"/>
      <c r="W1839" s="100"/>
      <c r="X1839" s="100"/>
      <c r="Y1839" s="100"/>
      <c r="Z1839" s="100"/>
    </row>
    <row r="1840" spans="1:26">
      <c r="A1840" s="100"/>
      <c r="B1840" s="100"/>
      <c r="C1840" s="100"/>
      <c r="D1840" s="100"/>
      <c r="E1840" s="100"/>
      <c r="F1840" s="100"/>
      <c r="G1840" s="100"/>
      <c r="H1840" s="100"/>
      <c r="I1840" s="100"/>
      <c r="J1840" s="100"/>
      <c r="K1840" s="100"/>
      <c r="L1840" s="100"/>
      <c r="M1840" s="100"/>
      <c r="N1840" s="100"/>
      <c r="O1840" s="100"/>
      <c r="P1840" s="100"/>
      <c r="Q1840" s="100"/>
      <c r="R1840" s="100"/>
      <c r="S1840" s="100"/>
      <c r="T1840" s="100"/>
      <c r="U1840" s="100"/>
      <c r="V1840" s="100"/>
      <c r="W1840" s="100"/>
      <c r="X1840" s="100"/>
      <c r="Y1840" s="100"/>
      <c r="Z1840" s="100"/>
    </row>
    <row r="1841" spans="1:26">
      <c r="A1841" s="100"/>
      <c r="B1841" s="100"/>
      <c r="C1841" s="100"/>
      <c r="D1841" s="100"/>
      <c r="E1841" s="100"/>
      <c r="F1841" s="100"/>
      <c r="G1841" s="100"/>
      <c r="H1841" s="100"/>
      <c r="I1841" s="100"/>
      <c r="J1841" s="100"/>
      <c r="K1841" s="100"/>
      <c r="L1841" s="100"/>
      <c r="M1841" s="100"/>
      <c r="N1841" s="100"/>
      <c r="O1841" s="100"/>
      <c r="P1841" s="100"/>
      <c r="Q1841" s="100"/>
      <c r="R1841" s="100"/>
      <c r="S1841" s="100"/>
      <c r="T1841" s="100"/>
      <c r="U1841" s="100"/>
      <c r="V1841" s="100"/>
      <c r="W1841" s="100"/>
      <c r="X1841" s="100"/>
      <c r="Y1841" s="100"/>
      <c r="Z1841" s="100"/>
    </row>
    <row r="1842" spans="1:26">
      <c r="A1842" s="100"/>
      <c r="B1842" s="100"/>
      <c r="C1842" s="100"/>
      <c r="D1842" s="100"/>
      <c r="E1842" s="100"/>
      <c r="F1842" s="100"/>
      <c r="G1842" s="100"/>
      <c r="H1842" s="100"/>
      <c r="I1842" s="100"/>
      <c r="J1842" s="100"/>
      <c r="K1842" s="100"/>
      <c r="L1842" s="100"/>
      <c r="M1842" s="100"/>
      <c r="N1842" s="100"/>
      <c r="O1842" s="100"/>
      <c r="P1842" s="100"/>
      <c r="Q1842" s="100"/>
      <c r="R1842" s="100"/>
      <c r="S1842" s="100"/>
      <c r="T1842" s="100"/>
      <c r="U1842" s="100"/>
      <c r="V1842" s="100"/>
      <c r="W1842" s="100"/>
      <c r="X1842" s="100"/>
      <c r="Y1842" s="100"/>
      <c r="Z1842" s="100"/>
    </row>
    <row r="1843" spans="1:26">
      <c r="A1843" s="100"/>
      <c r="B1843" s="100"/>
      <c r="C1843" s="100"/>
      <c r="D1843" s="100"/>
      <c r="E1843" s="100"/>
      <c r="F1843" s="100"/>
      <c r="G1843" s="100"/>
      <c r="H1843" s="100"/>
      <c r="I1843" s="100"/>
      <c r="J1843" s="100"/>
      <c r="K1843" s="100"/>
      <c r="L1843" s="100"/>
      <c r="M1843" s="100"/>
      <c r="N1843" s="100"/>
      <c r="O1843" s="100"/>
      <c r="P1843" s="100"/>
      <c r="Q1843" s="100"/>
      <c r="R1843" s="100"/>
      <c r="S1843" s="100"/>
      <c r="T1843" s="100"/>
      <c r="U1843" s="100"/>
      <c r="V1843" s="100"/>
      <c r="W1843" s="100"/>
      <c r="X1843" s="100"/>
      <c r="Y1843" s="100"/>
      <c r="Z1843" s="100"/>
    </row>
    <row r="1844" spans="1:26">
      <c r="A1844" s="100"/>
      <c r="B1844" s="100"/>
      <c r="C1844" s="100"/>
      <c r="D1844" s="100"/>
      <c r="E1844" s="100"/>
      <c r="F1844" s="100"/>
      <c r="G1844" s="100"/>
      <c r="H1844" s="100"/>
      <c r="I1844" s="100"/>
      <c r="J1844" s="100"/>
      <c r="K1844" s="100"/>
      <c r="L1844" s="100"/>
      <c r="M1844" s="100"/>
      <c r="N1844" s="100"/>
      <c r="O1844" s="100"/>
      <c r="P1844" s="100"/>
      <c r="Q1844" s="100"/>
      <c r="R1844" s="100"/>
      <c r="S1844" s="100"/>
      <c r="T1844" s="100"/>
      <c r="U1844" s="100"/>
      <c r="V1844" s="100"/>
      <c r="W1844" s="100"/>
      <c r="X1844" s="100"/>
      <c r="Y1844" s="100"/>
      <c r="Z1844" s="100"/>
    </row>
    <row r="1845" spans="1:26">
      <c r="A1845" s="100"/>
      <c r="B1845" s="100"/>
      <c r="C1845" s="100"/>
      <c r="D1845" s="100"/>
      <c r="E1845" s="100"/>
      <c r="F1845" s="100"/>
      <c r="G1845" s="100"/>
      <c r="H1845" s="100"/>
      <c r="I1845" s="100"/>
      <c r="J1845" s="100"/>
      <c r="K1845" s="100"/>
      <c r="L1845" s="100"/>
      <c r="M1845" s="100"/>
      <c r="N1845" s="100"/>
      <c r="O1845" s="100"/>
      <c r="P1845" s="100"/>
      <c r="Q1845" s="100"/>
      <c r="R1845" s="100"/>
      <c r="S1845" s="100"/>
      <c r="T1845" s="100"/>
      <c r="U1845" s="100"/>
      <c r="V1845" s="100"/>
      <c r="W1845" s="100"/>
      <c r="X1845" s="100"/>
      <c r="Y1845" s="100"/>
      <c r="Z1845" s="100"/>
    </row>
    <row r="1846" spans="1:26">
      <c r="A1846" s="100"/>
      <c r="B1846" s="100"/>
      <c r="C1846" s="100"/>
      <c r="D1846" s="100"/>
      <c r="E1846" s="100"/>
      <c r="F1846" s="100"/>
      <c r="G1846" s="100"/>
      <c r="H1846" s="100"/>
      <c r="I1846" s="100"/>
      <c r="J1846" s="100"/>
      <c r="K1846" s="100"/>
      <c r="L1846" s="100"/>
      <c r="M1846" s="100"/>
      <c r="N1846" s="100"/>
      <c r="O1846" s="100"/>
      <c r="P1846" s="100"/>
      <c r="Q1846" s="100"/>
      <c r="R1846" s="100"/>
      <c r="S1846" s="100"/>
      <c r="T1846" s="100"/>
      <c r="U1846" s="100"/>
      <c r="V1846" s="100"/>
      <c r="W1846" s="100"/>
      <c r="X1846" s="100"/>
      <c r="Y1846" s="100"/>
      <c r="Z1846" s="100"/>
    </row>
    <row r="1847" spans="1:26">
      <c r="A1847" s="100"/>
      <c r="B1847" s="100"/>
      <c r="C1847" s="100"/>
      <c r="D1847" s="100"/>
      <c r="E1847" s="100"/>
      <c r="F1847" s="100"/>
      <c r="G1847" s="100"/>
      <c r="H1847" s="100"/>
      <c r="I1847" s="100"/>
      <c r="J1847" s="100"/>
      <c r="K1847" s="100"/>
      <c r="L1847" s="100"/>
      <c r="M1847" s="100"/>
      <c r="N1847" s="100"/>
      <c r="O1847" s="100"/>
      <c r="P1847" s="100"/>
      <c r="Q1847" s="100"/>
      <c r="R1847" s="100"/>
      <c r="S1847" s="100"/>
      <c r="T1847" s="100"/>
      <c r="U1847" s="100"/>
      <c r="V1847" s="100"/>
      <c r="W1847" s="100"/>
      <c r="X1847" s="100"/>
      <c r="Y1847" s="100"/>
      <c r="Z1847" s="100"/>
    </row>
    <row r="1848" spans="1:26">
      <c r="A1848" s="100"/>
      <c r="B1848" s="100"/>
      <c r="C1848" s="100"/>
      <c r="D1848" s="100"/>
      <c r="E1848" s="100"/>
      <c r="F1848" s="100"/>
      <c r="G1848" s="100"/>
      <c r="H1848" s="100"/>
      <c r="I1848" s="100"/>
      <c r="J1848" s="100"/>
      <c r="K1848" s="100"/>
      <c r="L1848" s="100"/>
      <c r="M1848" s="100"/>
      <c r="N1848" s="100"/>
      <c r="O1848" s="100"/>
      <c r="P1848" s="100"/>
      <c r="Q1848" s="100"/>
      <c r="R1848" s="100"/>
      <c r="S1848" s="100"/>
      <c r="T1848" s="100"/>
      <c r="U1848" s="100"/>
      <c r="V1848" s="100"/>
      <c r="W1848" s="100"/>
      <c r="X1848" s="100"/>
      <c r="Y1848" s="100"/>
      <c r="Z1848" s="100"/>
    </row>
    <row r="1849" spans="1:26">
      <c r="A1849" s="100"/>
      <c r="B1849" s="100"/>
      <c r="C1849" s="100"/>
      <c r="D1849" s="100"/>
      <c r="E1849" s="100"/>
      <c r="F1849" s="100"/>
      <c r="G1849" s="100"/>
      <c r="H1849" s="100"/>
      <c r="I1849" s="100"/>
      <c r="J1849" s="100"/>
      <c r="K1849" s="100"/>
      <c r="L1849" s="100"/>
      <c r="M1849" s="100"/>
      <c r="N1849" s="100"/>
      <c r="O1849" s="100"/>
      <c r="P1849" s="100"/>
      <c r="Q1849" s="100"/>
      <c r="R1849" s="100"/>
      <c r="S1849" s="100"/>
      <c r="T1849" s="100"/>
      <c r="U1849" s="100"/>
      <c r="V1849" s="100"/>
      <c r="W1849" s="100"/>
      <c r="X1849" s="100"/>
      <c r="Y1849" s="100"/>
      <c r="Z1849" s="100"/>
    </row>
    <row r="1850" spans="1:26">
      <c r="A1850" s="100"/>
      <c r="B1850" s="100"/>
      <c r="C1850" s="100"/>
      <c r="D1850" s="100"/>
      <c r="E1850" s="100"/>
      <c r="F1850" s="100"/>
      <c r="G1850" s="100"/>
      <c r="H1850" s="100"/>
      <c r="I1850" s="100"/>
      <c r="J1850" s="100"/>
      <c r="K1850" s="100"/>
      <c r="L1850" s="100"/>
      <c r="M1850" s="100"/>
      <c r="N1850" s="100"/>
      <c r="O1850" s="100"/>
      <c r="P1850" s="100"/>
      <c r="Q1850" s="100"/>
      <c r="R1850" s="100"/>
      <c r="S1850" s="100"/>
      <c r="T1850" s="100"/>
      <c r="U1850" s="100"/>
      <c r="V1850" s="100"/>
      <c r="W1850" s="100"/>
      <c r="X1850" s="100"/>
      <c r="Y1850" s="100"/>
      <c r="Z1850" s="100"/>
    </row>
    <row r="1851" spans="1:26">
      <c r="A1851" s="100"/>
      <c r="B1851" s="100"/>
      <c r="C1851" s="100"/>
      <c r="D1851" s="100"/>
      <c r="E1851" s="100"/>
      <c r="F1851" s="100"/>
      <c r="G1851" s="100"/>
      <c r="H1851" s="100"/>
      <c r="I1851" s="100"/>
      <c r="J1851" s="100"/>
      <c r="K1851" s="100"/>
      <c r="L1851" s="100"/>
      <c r="M1851" s="100"/>
      <c r="N1851" s="100"/>
      <c r="O1851" s="100"/>
      <c r="P1851" s="100"/>
      <c r="Q1851" s="100"/>
      <c r="R1851" s="100"/>
      <c r="S1851" s="100"/>
      <c r="T1851" s="100"/>
      <c r="U1851" s="100"/>
      <c r="V1851" s="100"/>
      <c r="W1851" s="100"/>
      <c r="X1851" s="100"/>
      <c r="Y1851" s="100"/>
      <c r="Z1851" s="100"/>
    </row>
    <row r="1852" spans="1:26">
      <c r="A1852" s="100"/>
      <c r="B1852" s="100"/>
      <c r="C1852" s="100"/>
      <c r="D1852" s="100"/>
      <c r="E1852" s="100"/>
      <c r="F1852" s="100"/>
      <c r="G1852" s="100"/>
      <c r="H1852" s="100"/>
      <c r="I1852" s="100"/>
      <c r="J1852" s="100"/>
      <c r="K1852" s="100"/>
      <c r="L1852" s="100"/>
      <c r="M1852" s="100"/>
      <c r="N1852" s="100"/>
      <c r="O1852" s="100"/>
      <c r="P1852" s="100"/>
      <c r="Q1852" s="100"/>
      <c r="R1852" s="100"/>
      <c r="S1852" s="100"/>
      <c r="T1852" s="100"/>
      <c r="U1852" s="100"/>
      <c r="V1852" s="100"/>
      <c r="W1852" s="100"/>
      <c r="X1852" s="100"/>
      <c r="Y1852" s="100"/>
      <c r="Z1852" s="100"/>
    </row>
    <row r="1853" spans="1:26">
      <c r="A1853" s="100"/>
      <c r="B1853" s="100"/>
      <c r="C1853" s="100"/>
      <c r="D1853" s="100"/>
      <c r="E1853" s="100"/>
      <c r="F1853" s="100"/>
      <c r="G1853" s="100"/>
      <c r="H1853" s="100"/>
      <c r="I1853" s="100"/>
      <c r="J1853" s="100"/>
      <c r="K1853" s="100"/>
      <c r="L1853" s="100"/>
      <c r="M1853" s="100"/>
      <c r="N1853" s="100"/>
      <c r="O1853" s="100"/>
      <c r="P1853" s="100"/>
      <c r="Q1853" s="100"/>
      <c r="R1853" s="100"/>
      <c r="S1853" s="100"/>
      <c r="T1853" s="100"/>
      <c r="U1853" s="100"/>
      <c r="V1853" s="100"/>
      <c r="W1853" s="100"/>
      <c r="X1853" s="100"/>
      <c r="Y1853" s="100"/>
      <c r="Z1853" s="100"/>
    </row>
    <row r="1854" spans="1:26">
      <c r="A1854" s="100"/>
      <c r="B1854" s="100"/>
      <c r="C1854" s="100"/>
      <c r="D1854" s="100"/>
      <c r="E1854" s="100"/>
      <c r="F1854" s="100"/>
      <c r="G1854" s="100"/>
      <c r="H1854" s="100"/>
      <c r="I1854" s="100"/>
      <c r="J1854" s="100"/>
      <c r="K1854" s="100"/>
      <c r="L1854" s="100"/>
      <c r="M1854" s="100"/>
      <c r="N1854" s="100"/>
      <c r="O1854" s="100"/>
      <c r="P1854" s="100"/>
      <c r="Q1854" s="100"/>
      <c r="R1854" s="100"/>
      <c r="S1854" s="100"/>
      <c r="T1854" s="100"/>
      <c r="U1854" s="100"/>
      <c r="V1854" s="100"/>
      <c r="W1854" s="100"/>
      <c r="X1854" s="100"/>
      <c r="Y1854" s="100"/>
      <c r="Z1854" s="100"/>
    </row>
    <row r="1855" spans="1:26">
      <c r="A1855" s="100"/>
      <c r="B1855" s="100"/>
      <c r="C1855" s="100"/>
      <c r="D1855" s="100"/>
      <c r="E1855" s="100"/>
      <c r="F1855" s="100"/>
      <c r="G1855" s="100"/>
      <c r="H1855" s="100"/>
      <c r="I1855" s="100"/>
      <c r="J1855" s="100"/>
      <c r="K1855" s="100"/>
      <c r="L1855" s="100"/>
      <c r="M1855" s="100"/>
      <c r="N1855" s="100"/>
      <c r="O1855" s="100"/>
      <c r="P1855" s="100"/>
      <c r="Q1855" s="100"/>
      <c r="R1855" s="100"/>
      <c r="S1855" s="100"/>
      <c r="T1855" s="100"/>
      <c r="U1855" s="100"/>
      <c r="V1855" s="100"/>
      <c r="W1855" s="100"/>
      <c r="X1855" s="100"/>
      <c r="Y1855" s="100"/>
      <c r="Z1855" s="100"/>
    </row>
    <row r="1856" spans="1:26">
      <c r="A1856" s="100"/>
      <c r="B1856" s="100"/>
      <c r="C1856" s="100"/>
      <c r="D1856" s="100"/>
      <c r="E1856" s="100"/>
      <c r="F1856" s="100"/>
      <c r="G1856" s="100"/>
      <c r="H1856" s="100"/>
      <c r="I1856" s="100"/>
      <c r="J1856" s="100"/>
      <c r="K1856" s="100"/>
      <c r="L1856" s="100"/>
      <c r="M1856" s="100"/>
      <c r="N1856" s="100"/>
      <c r="O1856" s="100"/>
      <c r="P1856" s="100"/>
      <c r="Q1856" s="100"/>
      <c r="R1856" s="100"/>
      <c r="S1856" s="100"/>
      <c r="T1856" s="100"/>
      <c r="U1856" s="100"/>
      <c r="V1856" s="100"/>
      <c r="W1856" s="100"/>
      <c r="X1856" s="100"/>
      <c r="Y1856" s="100"/>
      <c r="Z1856" s="100"/>
    </row>
    <row r="1857" spans="1:26">
      <c r="A1857" s="100"/>
      <c r="B1857" s="100"/>
      <c r="C1857" s="100"/>
      <c r="D1857" s="100"/>
      <c r="E1857" s="100"/>
      <c r="F1857" s="100"/>
      <c r="G1857" s="100"/>
      <c r="H1857" s="100"/>
      <c r="I1857" s="100"/>
      <c r="J1857" s="100"/>
      <c r="K1857" s="100"/>
      <c r="L1857" s="100"/>
      <c r="M1857" s="100"/>
      <c r="N1857" s="100"/>
      <c r="O1857" s="100"/>
      <c r="P1857" s="100"/>
      <c r="Q1857" s="100"/>
      <c r="R1857" s="100"/>
      <c r="S1857" s="100"/>
      <c r="T1857" s="100"/>
      <c r="U1857" s="100"/>
      <c r="V1857" s="100"/>
      <c r="W1857" s="100"/>
      <c r="X1857" s="100"/>
      <c r="Y1857" s="100"/>
      <c r="Z1857" s="100"/>
    </row>
    <row r="1858" spans="1:26">
      <c r="A1858" s="100"/>
      <c r="B1858" s="100"/>
      <c r="C1858" s="100"/>
      <c r="D1858" s="100"/>
      <c r="E1858" s="100"/>
      <c r="F1858" s="100"/>
      <c r="G1858" s="100"/>
      <c r="H1858" s="100"/>
      <c r="I1858" s="100"/>
      <c r="J1858" s="100"/>
      <c r="K1858" s="100"/>
      <c r="L1858" s="100"/>
      <c r="M1858" s="100"/>
      <c r="N1858" s="100"/>
      <c r="O1858" s="100"/>
      <c r="P1858" s="100"/>
      <c r="Q1858" s="100"/>
      <c r="R1858" s="100"/>
      <c r="S1858" s="100"/>
      <c r="T1858" s="100"/>
      <c r="U1858" s="100"/>
      <c r="V1858" s="100"/>
      <c r="W1858" s="100"/>
      <c r="X1858" s="100"/>
      <c r="Y1858" s="100"/>
      <c r="Z1858" s="100"/>
    </row>
    <row r="1859" spans="1:26">
      <c r="A1859" s="100"/>
      <c r="B1859" s="100"/>
      <c r="C1859" s="100"/>
      <c r="D1859" s="100"/>
      <c r="E1859" s="100"/>
      <c r="F1859" s="100"/>
      <c r="G1859" s="100"/>
      <c r="H1859" s="100"/>
      <c r="I1859" s="100"/>
      <c r="J1859" s="100"/>
      <c r="K1859" s="100"/>
      <c r="L1859" s="100"/>
      <c r="M1859" s="100"/>
      <c r="N1859" s="100"/>
      <c r="O1859" s="100"/>
      <c r="P1859" s="100"/>
      <c r="Q1859" s="100"/>
      <c r="R1859" s="100"/>
      <c r="S1859" s="100"/>
      <c r="T1859" s="100"/>
      <c r="U1859" s="100"/>
      <c r="V1859" s="100"/>
      <c r="W1859" s="100"/>
      <c r="X1859" s="100"/>
      <c r="Y1859" s="100"/>
      <c r="Z1859" s="100"/>
    </row>
    <row r="1860" spans="1:26">
      <c r="A1860" s="100"/>
      <c r="B1860" s="100"/>
      <c r="C1860" s="100"/>
      <c r="D1860" s="100"/>
      <c r="E1860" s="100"/>
      <c r="F1860" s="100"/>
      <c r="G1860" s="100"/>
      <c r="H1860" s="100"/>
      <c r="I1860" s="100"/>
      <c r="J1860" s="100"/>
      <c r="K1860" s="100"/>
      <c r="L1860" s="100"/>
      <c r="M1860" s="100"/>
      <c r="N1860" s="100"/>
      <c r="O1860" s="100"/>
      <c r="P1860" s="100"/>
      <c r="Q1860" s="100"/>
      <c r="R1860" s="100"/>
      <c r="S1860" s="100"/>
      <c r="T1860" s="100"/>
      <c r="U1860" s="100"/>
      <c r="V1860" s="100"/>
      <c r="W1860" s="100"/>
      <c r="X1860" s="100"/>
      <c r="Y1860" s="100"/>
      <c r="Z1860" s="100"/>
    </row>
    <row r="1861" spans="1:26">
      <c r="A1861" s="100"/>
      <c r="B1861" s="100"/>
      <c r="C1861" s="100"/>
      <c r="D1861" s="100"/>
      <c r="E1861" s="100"/>
      <c r="F1861" s="100"/>
      <c r="G1861" s="100"/>
      <c r="H1861" s="100"/>
      <c r="I1861" s="100"/>
      <c r="J1861" s="100"/>
      <c r="K1861" s="100"/>
      <c r="L1861" s="100"/>
      <c r="M1861" s="100"/>
      <c r="N1861" s="100"/>
      <c r="O1861" s="100"/>
      <c r="P1861" s="100"/>
      <c r="Q1861" s="100"/>
      <c r="R1861" s="100"/>
      <c r="S1861" s="100"/>
      <c r="T1861" s="100"/>
      <c r="U1861" s="100"/>
      <c r="V1861" s="100"/>
      <c r="W1861" s="100"/>
      <c r="X1861" s="100"/>
      <c r="Y1861" s="100"/>
      <c r="Z1861" s="100"/>
    </row>
    <row r="1862" spans="1:26">
      <c r="A1862" s="100"/>
      <c r="B1862" s="100"/>
      <c r="C1862" s="100"/>
      <c r="D1862" s="100"/>
      <c r="E1862" s="100"/>
      <c r="F1862" s="100"/>
      <c r="G1862" s="100"/>
      <c r="H1862" s="100"/>
      <c r="I1862" s="100"/>
      <c r="J1862" s="100"/>
      <c r="K1862" s="100"/>
      <c r="L1862" s="100"/>
      <c r="M1862" s="100"/>
      <c r="N1862" s="100"/>
      <c r="O1862" s="100"/>
      <c r="P1862" s="100"/>
      <c r="Q1862" s="100"/>
      <c r="R1862" s="100"/>
      <c r="S1862" s="100"/>
      <c r="T1862" s="100"/>
      <c r="U1862" s="100"/>
      <c r="V1862" s="100"/>
      <c r="W1862" s="100"/>
      <c r="X1862" s="100"/>
      <c r="Y1862" s="100"/>
      <c r="Z1862" s="100"/>
    </row>
    <row r="1863" spans="1:26">
      <c r="A1863" s="100"/>
      <c r="B1863" s="100"/>
      <c r="C1863" s="100"/>
      <c r="D1863" s="100"/>
      <c r="E1863" s="100"/>
      <c r="F1863" s="100"/>
      <c r="G1863" s="100"/>
      <c r="H1863" s="100"/>
      <c r="I1863" s="100"/>
      <c r="J1863" s="100"/>
      <c r="K1863" s="100"/>
      <c r="L1863" s="100"/>
      <c r="M1863" s="100"/>
      <c r="N1863" s="100"/>
      <c r="O1863" s="100"/>
      <c r="P1863" s="100"/>
      <c r="Q1863" s="100"/>
      <c r="R1863" s="100"/>
      <c r="S1863" s="100"/>
      <c r="T1863" s="100"/>
      <c r="U1863" s="100"/>
      <c r="V1863" s="100"/>
      <c r="W1863" s="100"/>
      <c r="X1863" s="100"/>
      <c r="Y1863" s="100"/>
      <c r="Z1863" s="100"/>
    </row>
    <row r="1864" spans="1:26">
      <c r="A1864" s="100"/>
      <c r="B1864" s="100"/>
      <c r="C1864" s="100"/>
      <c r="D1864" s="100"/>
      <c r="E1864" s="100"/>
      <c r="F1864" s="100"/>
      <c r="G1864" s="100"/>
      <c r="H1864" s="100"/>
      <c r="I1864" s="100"/>
      <c r="J1864" s="100"/>
      <c r="K1864" s="100"/>
      <c r="L1864" s="100"/>
      <c r="M1864" s="100"/>
      <c r="N1864" s="100"/>
      <c r="O1864" s="100"/>
      <c r="P1864" s="100"/>
      <c r="Q1864" s="100"/>
      <c r="R1864" s="100"/>
      <c r="S1864" s="100"/>
      <c r="T1864" s="100"/>
      <c r="U1864" s="100"/>
      <c r="V1864" s="100"/>
      <c r="W1864" s="100"/>
      <c r="X1864" s="100"/>
      <c r="Y1864" s="100"/>
      <c r="Z1864" s="100"/>
    </row>
    <row r="1865" spans="1:26">
      <c r="A1865" s="100"/>
      <c r="B1865" s="100"/>
      <c r="C1865" s="100"/>
      <c r="D1865" s="100"/>
      <c r="E1865" s="100"/>
      <c r="F1865" s="100"/>
      <c r="G1865" s="100"/>
      <c r="H1865" s="100"/>
      <c r="I1865" s="100"/>
      <c r="J1865" s="100"/>
      <c r="K1865" s="100"/>
      <c r="L1865" s="100"/>
      <c r="M1865" s="100"/>
      <c r="N1865" s="100"/>
      <c r="O1865" s="100"/>
      <c r="P1865" s="100"/>
      <c r="Q1865" s="100"/>
      <c r="R1865" s="100"/>
      <c r="S1865" s="100"/>
      <c r="T1865" s="100"/>
      <c r="U1865" s="100"/>
      <c r="V1865" s="100"/>
      <c r="W1865" s="100"/>
      <c r="X1865" s="100"/>
      <c r="Y1865" s="100"/>
      <c r="Z1865" s="100"/>
    </row>
    <row r="1866" spans="1:26">
      <c r="A1866" s="100"/>
      <c r="B1866" s="100"/>
      <c r="C1866" s="100"/>
      <c r="D1866" s="100"/>
      <c r="E1866" s="100"/>
      <c r="F1866" s="100"/>
      <c r="G1866" s="100"/>
      <c r="H1866" s="100"/>
      <c r="I1866" s="100"/>
      <c r="J1866" s="100"/>
      <c r="K1866" s="100"/>
      <c r="L1866" s="100"/>
      <c r="M1866" s="100"/>
      <c r="N1866" s="100"/>
      <c r="O1866" s="100"/>
      <c r="P1866" s="100"/>
      <c r="Q1866" s="100"/>
      <c r="R1866" s="100"/>
      <c r="S1866" s="100"/>
      <c r="T1866" s="100"/>
      <c r="U1866" s="100"/>
      <c r="V1866" s="100"/>
      <c r="W1866" s="100"/>
      <c r="X1866" s="100"/>
      <c r="Y1866" s="100"/>
      <c r="Z1866" s="100"/>
    </row>
    <row r="1867" spans="1:26">
      <c r="A1867" s="100"/>
      <c r="B1867" s="100"/>
      <c r="C1867" s="100"/>
      <c r="D1867" s="100"/>
      <c r="E1867" s="100"/>
      <c r="F1867" s="100"/>
      <c r="G1867" s="100"/>
      <c r="H1867" s="100"/>
      <c r="I1867" s="100"/>
      <c r="J1867" s="100"/>
      <c r="K1867" s="100"/>
      <c r="L1867" s="100"/>
      <c r="M1867" s="100"/>
      <c r="N1867" s="100"/>
      <c r="O1867" s="100"/>
      <c r="P1867" s="100"/>
      <c r="Q1867" s="100"/>
      <c r="R1867" s="100"/>
      <c r="S1867" s="100"/>
      <c r="T1867" s="100"/>
      <c r="U1867" s="100"/>
      <c r="V1867" s="100"/>
      <c r="W1867" s="100"/>
      <c r="X1867" s="100"/>
      <c r="Y1867" s="100"/>
      <c r="Z1867" s="100"/>
    </row>
    <row r="1868" spans="1:26">
      <c r="A1868" s="100"/>
      <c r="B1868" s="100"/>
      <c r="C1868" s="100"/>
      <c r="D1868" s="100"/>
      <c r="E1868" s="100"/>
      <c r="F1868" s="100"/>
      <c r="G1868" s="100"/>
      <c r="H1868" s="100"/>
      <c r="I1868" s="100"/>
      <c r="J1868" s="100"/>
      <c r="K1868" s="100"/>
      <c r="L1868" s="100"/>
      <c r="M1868" s="100"/>
      <c r="N1868" s="100"/>
      <c r="O1868" s="100"/>
      <c r="P1868" s="100"/>
      <c r="Q1868" s="100"/>
      <c r="R1868" s="100"/>
      <c r="S1868" s="100"/>
      <c r="T1868" s="100"/>
      <c r="U1868" s="100"/>
      <c r="V1868" s="100"/>
      <c r="W1868" s="100"/>
      <c r="X1868" s="100"/>
      <c r="Y1868" s="100"/>
      <c r="Z1868" s="100"/>
    </row>
    <row r="1869" spans="1:26">
      <c r="A1869" s="100"/>
      <c r="B1869" s="100"/>
      <c r="C1869" s="100"/>
      <c r="D1869" s="100"/>
      <c r="E1869" s="100"/>
      <c r="F1869" s="100"/>
      <c r="G1869" s="100"/>
      <c r="H1869" s="100"/>
      <c r="I1869" s="100"/>
      <c r="J1869" s="100"/>
      <c r="K1869" s="100"/>
      <c r="L1869" s="100"/>
      <c r="M1869" s="100"/>
      <c r="N1869" s="100"/>
      <c r="O1869" s="100"/>
      <c r="P1869" s="100"/>
      <c r="Q1869" s="100"/>
      <c r="R1869" s="100"/>
      <c r="S1869" s="100"/>
      <c r="T1869" s="100"/>
      <c r="U1869" s="100"/>
      <c r="V1869" s="100"/>
      <c r="W1869" s="100"/>
      <c r="X1869" s="100"/>
      <c r="Y1869" s="100"/>
      <c r="Z1869" s="100"/>
    </row>
    <row r="1870" spans="1:26">
      <c r="A1870" s="100"/>
      <c r="B1870" s="100"/>
      <c r="C1870" s="100"/>
      <c r="D1870" s="100"/>
      <c r="E1870" s="100"/>
      <c r="F1870" s="100"/>
      <c r="G1870" s="100"/>
      <c r="H1870" s="100"/>
      <c r="I1870" s="100"/>
      <c r="J1870" s="100"/>
      <c r="K1870" s="100"/>
      <c r="L1870" s="100"/>
      <c r="M1870" s="100"/>
      <c r="N1870" s="100"/>
      <c r="O1870" s="100"/>
      <c r="P1870" s="100"/>
      <c r="Q1870" s="100"/>
      <c r="R1870" s="100"/>
      <c r="S1870" s="100"/>
      <c r="T1870" s="100"/>
      <c r="U1870" s="100"/>
      <c r="V1870" s="100"/>
      <c r="W1870" s="100"/>
      <c r="X1870" s="100"/>
      <c r="Y1870" s="100"/>
      <c r="Z1870" s="100"/>
    </row>
    <row r="1871" spans="1:26">
      <c r="A1871" s="100"/>
      <c r="B1871" s="100"/>
      <c r="C1871" s="100"/>
      <c r="D1871" s="100"/>
      <c r="E1871" s="100"/>
      <c r="F1871" s="100"/>
      <c r="G1871" s="100"/>
      <c r="H1871" s="100"/>
      <c r="I1871" s="100"/>
      <c r="J1871" s="100"/>
      <c r="K1871" s="100"/>
      <c r="L1871" s="100"/>
      <c r="M1871" s="100"/>
      <c r="N1871" s="100"/>
      <c r="O1871" s="100"/>
      <c r="P1871" s="100"/>
      <c r="Q1871" s="100"/>
      <c r="R1871" s="100"/>
      <c r="S1871" s="100"/>
      <c r="T1871" s="100"/>
      <c r="U1871" s="100"/>
      <c r="V1871" s="100"/>
      <c r="W1871" s="100"/>
      <c r="X1871" s="100"/>
      <c r="Y1871" s="100"/>
      <c r="Z1871" s="100"/>
    </row>
    <row r="1872" spans="1:26">
      <c r="A1872" s="100"/>
      <c r="B1872" s="100"/>
      <c r="C1872" s="100"/>
      <c r="D1872" s="100"/>
      <c r="E1872" s="100"/>
      <c r="F1872" s="100"/>
      <c r="G1872" s="100"/>
      <c r="H1872" s="100"/>
      <c r="I1872" s="100"/>
      <c r="J1872" s="100"/>
      <c r="K1872" s="100"/>
      <c r="L1872" s="100"/>
      <c r="M1872" s="100"/>
      <c r="N1872" s="100"/>
      <c r="O1872" s="100"/>
      <c r="P1872" s="100"/>
      <c r="Q1872" s="100"/>
      <c r="R1872" s="100"/>
      <c r="S1872" s="100"/>
      <c r="T1872" s="100"/>
      <c r="U1872" s="100"/>
      <c r="V1872" s="100"/>
      <c r="W1872" s="100"/>
      <c r="X1872" s="100"/>
      <c r="Y1872" s="100"/>
      <c r="Z1872" s="100"/>
    </row>
    <row r="1873" spans="1:26">
      <c r="A1873" s="100"/>
      <c r="B1873" s="100"/>
      <c r="C1873" s="100"/>
      <c r="D1873" s="100"/>
      <c r="E1873" s="100"/>
      <c r="F1873" s="100"/>
      <c r="G1873" s="100"/>
      <c r="H1873" s="100"/>
      <c r="I1873" s="100"/>
      <c r="J1873" s="100"/>
      <c r="K1873" s="100"/>
      <c r="L1873" s="100"/>
      <c r="M1873" s="100"/>
      <c r="N1873" s="100"/>
      <c r="O1873" s="100"/>
      <c r="P1873" s="100"/>
      <c r="Q1873" s="100"/>
      <c r="R1873" s="100"/>
      <c r="S1873" s="100"/>
      <c r="T1873" s="100"/>
      <c r="U1873" s="100"/>
      <c r="V1873" s="100"/>
      <c r="W1873" s="100"/>
      <c r="X1873" s="100"/>
      <c r="Y1873" s="100"/>
      <c r="Z1873" s="100"/>
    </row>
    <row r="1874" spans="1:26">
      <c r="A1874" s="100"/>
      <c r="B1874" s="100"/>
      <c r="C1874" s="100"/>
      <c r="D1874" s="100"/>
      <c r="E1874" s="100"/>
      <c r="F1874" s="100"/>
      <c r="G1874" s="100"/>
      <c r="H1874" s="100"/>
      <c r="I1874" s="100"/>
      <c r="J1874" s="100"/>
      <c r="K1874" s="100"/>
      <c r="L1874" s="100"/>
      <c r="M1874" s="100"/>
      <c r="N1874" s="100"/>
      <c r="O1874" s="100"/>
      <c r="P1874" s="100"/>
      <c r="Q1874" s="100"/>
      <c r="R1874" s="100"/>
      <c r="S1874" s="100"/>
      <c r="T1874" s="100"/>
      <c r="U1874" s="100"/>
      <c r="V1874" s="100"/>
      <c r="W1874" s="100"/>
      <c r="X1874" s="100"/>
      <c r="Y1874" s="100"/>
      <c r="Z1874" s="100"/>
    </row>
    <row r="1875" spans="1:26">
      <c r="A1875" s="100"/>
      <c r="B1875" s="100"/>
      <c r="C1875" s="100"/>
      <c r="D1875" s="100"/>
      <c r="E1875" s="100"/>
      <c r="F1875" s="100"/>
      <c r="G1875" s="100"/>
      <c r="H1875" s="100"/>
      <c r="I1875" s="100"/>
      <c r="J1875" s="100"/>
      <c r="K1875" s="100"/>
      <c r="L1875" s="100"/>
      <c r="M1875" s="100"/>
      <c r="N1875" s="100"/>
      <c r="O1875" s="100"/>
      <c r="P1875" s="100"/>
      <c r="Q1875" s="100"/>
      <c r="R1875" s="100"/>
      <c r="S1875" s="100"/>
      <c r="T1875" s="100"/>
      <c r="U1875" s="100"/>
      <c r="V1875" s="100"/>
      <c r="W1875" s="100"/>
      <c r="X1875" s="100"/>
      <c r="Y1875" s="100"/>
      <c r="Z1875" s="100"/>
    </row>
    <row r="1876" spans="1:26">
      <c r="A1876" s="100"/>
      <c r="B1876" s="100"/>
      <c r="C1876" s="100"/>
      <c r="D1876" s="100"/>
      <c r="E1876" s="100"/>
      <c r="F1876" s="100"/>
      <c r="G1876" s="100"/>
      <c r="H1876" s="100"/>
      <c r="I1876" s="100"/>
      <c r="J1876" s="100"/>
      <c r="K1876" s="100"/>
      <c r="L1876" s="100"/>
      <c r="M1876" s="100"/>
      <c r="N1876" s="100"/>
      <c r="O1876" s="100"/>
      <c r="P1876" s="100"/>
      <c r="Q1876" s="100"/>
      <c r="R1876" s="100"/>
      <c r="S1876" s="100"/>
      <c r="T1876" s="100"/>
      <c r="U1876" s="100"/>
      <c r="V1876" s="100"/>
      <c r="W1876" s="100"/>
      <c r="X1876" s="100"/>
      <c r="Y1876" s="100"/>
      <c r="Z1876" s="100"/>
    </row>
    <row r="1877" spans="1:26">
      <c r="A1877" s="100"/>
      <c r="B1877" s="100"/>
      <c r="C1877" s="100"/>
      <c r="D1877" s="100"/>
      <c r="E1877" s="100"/>
      <c r="F1877" s="100"/>
      <c r="G1877" s="100"/>
      <c r="H1877" s="100"/>
      <c r="I1877" s="100"/>
      <c r="J1877" s="100"/>
      <c r="K1877" s="100"/>
      <c r="L1877" s="100"/>
      <c r="M1877" s="100"/>
      <c r="N1877" s="100"/>
      <c r="O1877" s="100"/>
      <c r="P1877" s="100"/>
      <c r="Q1877" s="100"/>
      <c r="R1877" s="100"/>
      <c r="S1877" s="100"/>
      <c r="T1877" s="100"/>
      <c r="U1877" s="100"/>
      <c r="V1877" s="100"/>
      <c r="W1877" s="100"/>
      <c r="X1877" s="100"/>
      <c r="Y1877" s="100"/>
      <c r="Z1877" s="100"/>
    </row>
    <row r="1878" spans="1:26">
      <c r="A1878" s="100"/>
      <c r="B1878" s="100"/>
      <c r="C1878" s="100"/>
      <c r="D1878" s="100"/>
      <c r="E1878" s="100"/>
      <c r="F1878" s="100"/>
      <c r="G1878" s="100"/>
      <c r="H1878" s="100"/>
      <c r="I1878" s="100"/>
      <c r="J1878" s="100"/>
      <c r="K1878" s="100"/>
      <c r="L1878" s="100"/>
      <c r="M1878" s="100"/>
      <c r="N1878" s="100"/>
      <c r="O1878" s="100"/>
      <c r="P1878" s="100"/>
      <c r="Q1878" s="100"/>
      <c r="R1878" s="100"/>
      <c r="S1878" s="100"/>
      <c r="T1878" s="100"/>
      <c r="U1878" s="100"/>
      <c r="V1878" s="100"/>
      <c r="W1878" s="100"/>
      <c r="X1878" s="100"/>
      <c r="Y1878" s="100"/>
      <c r="Z1878" s="100"/>
    </row>
    <row r="1879" spans="1:26">
      <c r="A1879" s="100"/>
      <c r="B1879" s="100"/>
      <c r="C1879" s="100"/>
      <c r="D1879" s="100"/>
      <c r="E1879" s="100"/>
      <c r="F1879" s="100"/>
      <c r="G1879" s="100"/>
      <c r="H1879" s="100"/>
      <c r="I1879" s="100"/>
      <c r="J1879" s="100"/>
      <c r="K1879" s="100"/>
      <c r="L1879" s="100"/>
      <c r="M1879" s="100"/>
      <c r="N1879" s="100"/>
      <c r="O1879" s="100"/>
      <c r="P1879" s="100"/>
      <c r="Q1879" s="100"/>
      <c r="R1879" s="100"/>
      <c r="S1879" s="100"/>
      <c r="T1879" s="100"/>
      <c r="U1879" s="100"/>
      <c r="V1879" s="100"/>
      <c r="W1879" s="100"/>
      <c r="X1879" s="100"/>
      <c r="Y1879" s="100"/>
      <c r="Z1879" s="100"/>
    </row>
    <row r="1880" spans="1:26">
      <c r="A1880" s="100"/>
      <c r="B1880" s="100"/>
      <c r="C1880" s="100"/>
      <c r="D1880" s="100"/>
      <c r="E1880" s="100"/>
      <c r="F1880" s="100"/>
      <c r="G1880" s="100"/>
      <c r="H1880" s="100"/>
      <c r="I1880" s="100"/>
      <c r="J1880" s="100"/>
      <c r="K1880" s="100"/>
      <c r="L1880" s="100"/>
      <c r="M1880" s="100"/>
      <c r="N1880" s="100"/>
      <c r="O1880" s="100"/>
      <c r="P1880" s="100"/>
      <c r="Q1880" s="100"/>
      <c r="R1880" s="100"/>
      <c r="S1880" s="100"/>
      <c r="T1880" s="100"/>
      <c r="U1880" s="100"/>
      <c r="V1880" s="100"/>
      <c r="W1880" s="100"/>
      <c r="X1880" s="100"/>
      <c r="Y1880" s="100"/>
      <c r="Z1880" s="100"/>
    </row>
    <row r="1881" spans="1:26">
      <c r="A1881" s="100"/>
      <c r="B1881" s="100"/>
      <c r="C1881" s="100"/>
      <c r="D1881" s="100"/>
      <c r="E1881" s="100"/>
      <c r="F1881" s="100"/>
      <c r="G1881" s="100"/>
      <c r="H1881" s="100"/>
      <c r="I1881" s="100"/>
      <c r="J1881" s="100"/>
      <c r="K1881" s="100"/>
      <c r="L1881" s="100"/>
      <c r="M1881" s="100"/>
      <c r="N1881" s="100"/>
      <c r="O1881" s="100"/>
      <c r="P1881" s="100"/>
      <c r="Q1881" s="100"/>
      <c r="R1881" s="100"/>
      <c r="S1881" s="100"/>
      <c r="T1881" s="100"/>
      <c r="U1881" s="100"/>
      <c r="V1881" s="100"/>
      <c r="W1881" s="100"/>
      <c r="X1881" s="100"/>
      <c r="Y1881" s="100"/>
      <c r="Z1881" s="100"/>
    </row>
    <row r="1882" spans="1:26">
      <c r="A1882" s="100"/>
      <c r="B1882" s="100"/>
      <c r="C1882" s="100"/>
      <c r="D1882" s="100"/>
      <c r="E1882" s="100"/>
      <c r="F1882" s="100"/>
      <c r="G1882" s="100"/>
      <c r="H1882" s="100"/>
      <c r="I1882" s="100"/>
      <c r="J1882" s="100"/>
      <c r="K1882" s="100"/>
      <c r="L1882" s="100"/>
      <c r="M1882" s="100"/>
      <c r="N1882" s="100"/>
      <c r="O1882" s="100"/>
      <c r="P1882" s="100"/>
      <c r="Q1882" s="100"/>
      <c r="R1882" s="100"/>
      <c r="S1882" s="100"/>
      <c r="T1882" s="100"/>
      <c r="U1882" s="100"/>
      <c r="V1882" s="100"/>
      <c r="W1882" s="100"/>
      <c r="X1882" s="100"/>
      <c r="Y1882" s="100"/>
      <c r="Z1882" s="100"/>
    </row>
    <row r="1883" spans="1:26">
      <c r="A1883" s="100"/>
      <c r="B1883" s="100"/>
      <c r="C1883" s="100"/>
      <c r="D1883" s="100"/>
      <c r="E1883" s="100"/>
      <c r="F1883" s="100"/>
      <c r="G1883" s="100"/>
      <c r="H1883" s="100"/>
      <c r="I1883" s="100"/>
      <c r="J1883" s="100"/>
      <c r="K1883" s="100"/>
      <c r="L1883" s="100"/>
      <c r="M1883" s="100"/>
      <c r="N1883" s="100"/>
      <c r="O1883" s="100"/>
      <c r="P1883" s="100"/>
      <c r="Q1883" s="100"/>
      <c r="R1883" s="100"/>
      <c r="S1883" s="100"/>
      <c r="T1883" s="100"/>
      <c r="U1883" s="100"/>
      <c r="V1883" s="100"/>
      <c r="W1883" s="100"/>
      <c r="X1883" s="100"/>
      <c r="Y1883" s="100"/>
      <c r="Z1883" s="100"/>
    </row>
    <row r="1884" spans="1:26">
      <c r="A1884" s="100"/>
      <c r="B1884" s="100"/>
      <c r="C1884" s="100"/>
      <c r="D1884" s="100"/>
      <c r="E1884" s="100"/>
      <c r="F1884" s="100"/>
      <c r="G1884" s="100"/>
      <c r="H1884" s="100"/>
      <c r="I1884" s="100"/>
      <c r="J1884" s="100"/>
      <c r="K1884" s="100"/>
      <c r="L1884" s="100"/>
      <c r="M1884" s="100"/>
      <c r="N1884" s="100"/>
      <c r="O1884" s="100"/>
      <c r="P1884" s="100"/>
      <c r="Q1884" s="100"/>
      <c r="R1884" s="100"/>
      <c r="S1884" s="100"/>
      <c r="T1884" s="100"/>
      <c r="U1884" s="100"/>
      <c r="V1884" s="100"/>
      <c r="W1884" s="100"/>
      <c r="X1884" s="100"/>
      <c r="Y1884" s="100"/>
      <c r="Z1884" s="100"/>
    </row>
    <row r="1885" spans="1:26">
      <c r="A1885" s="100"/>
      <c r="B1885" s="100"/>
      <c r="C1885" s="100"/>
      <c r="D1885" s="100"/>
      <c r="E1885" s="100"/>
      <c r="F1885" s="100"/>
      <c r="G1885" s="100"/>
      <c r="H1885" s="100"/>
      <c r="I1885" s="100"/>
      <c r="J1885" s="100"/>
      <c r="K1885" s="100"/>
      <c r="L1885" s="100"/>
      <c r="M1885" s="100"/>
      <c r="N1885" s="100"/>
      <c r="O1885" s="100"/>
      <c r="P1885" s="100"/>
      <c r="Q1885" s="100"/>
      <c r="R1885" s="100"/>
      <c r="S1885" s="100"/>
      <c r="T1885" s="100"/>
      <c r="U1885" s="100"/>
      <c r="V1885" s="100"/>
      <c r="W1885" s="100"/>
      <c r="X1885" s="100"/>
      <c r="Y1885" s="100"/>
      <c r="Z1885" s="100"/>
    </row>
    <row r="1886" spans="1:26">
      <c r="A1886" s="100"/>
      <c r="B1886" s="100"/>
      <c r="C1886" s="100"/>
      <c r="D1886" s="100"/>
      <c r="E1886" s="100"/>
      <c r="F1886" s="100"/>
      <c r="G1886" s="100"/>
      <c r="H1886" s="100"/>
      <c r="I1886" s="100"/>
      <c r="J1886" s="100"/>
      <c r="K1886" s="100"/>
      <c r="L1886" s="100"/>
      <c r="M1886" s="100"/>
      <c r="N1886" s="100"/>
      <c r="O1886" s="100"/>
      <c r="P1886" s="100"/>
      <c r="Q1886" s="100"/>
      <c r="R1886" s="100"/>
      <c r="S1886" s="100"/>
      <c r="T1886" s="100"/>
      <c r="U1886" s="100"/>
      <c r="V1886" s="100"/>
      <c r="W1886" s="100"/>
      <c r="X1886" s="100"/>
      <c r="Y1886" s="100"/>
      <c r="Z1886" s="100"/>
    </row>
    <row r="1887" spans="1:26">
      <c r="A1887" s="100"/>
      <c r="B1887" s="100"/>
      <c r="C1887" s="100"/>
      <c r="D1887" s="100"/>
      <c r="E1887" s="100"/>
      <c r="F1887" s="100"/>
      <c r="G1887" s="100"/>
      <c r="H1887" s="100"/>
      <c r="I1887" s="100"/>
      <c r="J1887" s="100"/>
      <c r="K1887" s="100"/>
      <c r="L1887" s="100"/>
      <c r="M1887" s="100"/>
      <c r="N1887" s="100"/>
      <c r="O1887" s="100"/>
      <c r="P1887" s="100"/>
      <c r="Q1887" s="100"/>
      <c r="R1887" s="100"/>
      <c r="S1887" s="100"/>
      <c r="T1887" s="100"/>
      <c r="U1887" s="100"/>
      <c r="V1887" s="100"/>
      <c r="W1887" s="100"/>
      <c r="X1887" s="100"/>
      <c r="Y1887" s="100"/>
      <c r="Z1887" s="100"/>
    </row>
    <row r="1888" spans="1:26">
      <c r="A1888" s="100"/>
      <c r="B1888" s="100"/>
      <c r="C1888" s="100"/>
      <c r="D1888" s="100"/>
      <c r="E1888" s="100"/>
      <c r="F1888" s="100"/>
      <c r="G1888" s="100"/>
      <c r="H1888" s="100"/>
      <c r="I1888" s="100"/>
      <c r="J1888" s="100"/>
      <c r="K1888" s="100"/>
      <c r="L1888" s="100"/>
      <c r="M1888" s="100"/>
      <c r="N1888" s="100"/>
      <c r="O1888" s="100"/>
      <c r="P1888" s="100"/>
      <c r="Q1888" s="100"/>
      <c r="R1888" s="100"/>
      <c r="S1888" s="100"/>
      <c r="T1888" s="100"/>
      <c r="U1888" s="100"/>
      <c r="V1888" s="100"/>
      <c r="W1888" s="100"/>
      <c r="X1888" s="100"/>
      <c r="Y1888" s="100"/>
      <c r="Z1888" s="100"/>
    </row>
    <row r="1889" spans="1:26">
      <c r="A1889" s="100"/>
      <c r="B1889" s="100"/>
      <c r="C1889" s="100"/>
      <c r="D1889" s="100"/>
      <c r="E1889" s="100"/>
      <c r="F1889" s="100"/>
      <c r="G1889" s="100"/>
      <c r="H1889" s="100"/>
      <c r="I1889" s="100"/>
      <c r="J1889" s="100"/>
      <c r="K1889" s="100"/>
      <c r="L1889" s="100"/>
      <c r="M1889" s="100"/>
      <c r="N1889" s="100"/>
      <c r="O1889" s="100"/>
      <c r="P1889" s="100"/>
      <c r="Q1889" s="100"/>
      <c r="R1889" s="100"/>
      <c r="S1889" s="100"/>
      <c r="T1889" s="100"/>
      <c r="U1889" s="100"/>
      <c r="V1889" s="100"/>
      <c r="W1889" s="100"/>
      <c r="X1889" s="100"/>
      <c r="Y1889" s="100"/>
      <c r="Z1889" s="100"/>
    </row>
    <row r="1890" spans="1:26">
      <c r="A1890" s="100"/>
      <c r="B1890" s="100"/>
      <c r="C1890" s="100"/>
      <c r="D1890" s="100"/>
      <c r="E1890" s="100"/>
      <c r="F1890" s="100"/>
      <c r="G1890" s="100"/>
      <c r="H1890" s="100"/>
      <c r="I1890" s="100"/>
      <c r="J1890" s="100"/>
      <c r="K1890" s="100"/>
      <c r="L1890" s="100"/>
      <c r="M1890" s="100"/>
      <c r="N1890" s="100"/>
      <c r="O1890" s="100"/>
      <c r="P1890" s="100"/>
      <c r="Q1890" s="100"/>
      <c r="R1890" s="100"/>
      <c r="S1890" s="100"/>
      <c r="T1890" s="100"/>
      <c r="U1890" s="100"/>
      <c r="V1890" s="100"/>
      <c r="W1890" s="100"/>
      <c r="X1890" s="100"/>
      <c r="Y1890" s="100"/>
      <c r="Z1890" s="100"/>
    </row>
    <row r="1891" spans="1:26">
      <c r="A1891" s="100"/>
      <c r="B1891" s="100"/>
      <c r="C1891" s="100"/>
      <c r="D1891" s="100"/>
      <c r="E1891" s="100"/>
      <c r="F1891" s="100"/>
      <c r="G1891" s="100"/>
      <c r="H1891" s="100"/>
      <c r="I1891" s="100"/>
      <c r="J1891" s="100"/>
      <c r="K1891" s="100"/>
      <c r="L1891" s="100"/>
      <c r="M1891" s="100"/>
      <c r="N1891" s="100"/>
      <c r="O1891" s="100"/>
      <c r="P1891" s="100"/>
      <c r="Q1891" s="100"/>
      <c r="R1891" s="100"/>
      <c r="S1891" s="100"/>
      <c r="T1891" s="100"/>
      <c r="U1891" s="100"/>
      <c r="V1891" s="100"/>
      <c r="W1891" s="100"/>
      <c r="X1891" s="100"/>
      <c r="Y1891" s="100"/>
      <c r="Z1891" s="100"/>
    </row>
    <row r="1892" spans="1:26">
      <c r="A1892" s="100"/>
      <c r="B1892" s="100"/>
      <c r="C1892" s="100"/>
      <c r="D1892" s="100"/>
      <c r="E1892" s="100"/>
      <c r="F1892" s="100"/>
      <c r="G1892" s="100"/>
      <c r="H1892" s="100"/>
      <c r="I1892" s="100"/>
      <c r="J1892" s="100"/>
      <c r="K1892" s="100"/>
      <c r="L1892" s="100"/>
      <c r="M1892" s="100"/>
      <c r="N1892" s="100"/>
      <c r="O1892" s="100"/>
      <c r="P1892" s="100"/>
      <c r="Q1892" s="100"/>
      <c r="R1892" s="100"/>
      <c r="S1892" s="100"/>
      <c r="T1892" s="100"/>
      <c r="U1892" s="100"/>
      <c r="V1892" s="100"/>
      <c r="W1892" s="100"/>
      <c r="X1892" s="100"/>
      <c r="Y1892" s="100"/>
      <c r="Z1892" s="100"/>
    </row>
    <row r="1893" spans="1:26">
      <c r="A1893" s="100"/>
      <c r="B1893" s="100"/>
      <c r="C1893" s="100"/>
      <c r="D1893" s="100"/>
      <c r="E1893" s="100"/>
      <c r="F1893" s="100"/>
      <c r="G1893" s="100"/>
      <c r="H1893" s="100"/>
      <c r="I1893" s="100"/>
      <c r="J1893" s="100"/>
      <c r="K1893" s="100"/>
      <c r="L1893" s="100"/>
      <c r="M1893" s="100"/>
      <c r="N1893" s="100"/>
      <c r="O1893" s="100"/>
      <c r="P1893" s="100"/>
      <c r="Q1893" s="100"/>
      <c r="R1893" s="100"/>
      <c r="S1893" s="100"/>
      <c r="T1893" s="100"/>
      <c r="U1893" s="100"/>
      <c r="V1893" s="100"/>
      <c r="W1893" s="100"/>
      <c r="X1893" s="100"/>
      <c r="Y1893" s="100"/>
      <c r="Z1893" s="100"/>
    </row>
    <row r="1894" spans="1:26">
      <c r="A1894" s="100"/>
      <c r="B1894" s="100"/>
      <c r="C1894" s="100"/>
      <c r="D1894" s="100"/>
      <c r="E1894" s="100"/>
      <c r="F1894" s="100"/>
      <c r="G1894" s="100"/>
      <c r="H1894" s="100"/>
      <c r="I1894" s="100"/>
      <c r="J1894" s="100"/>
      <c r="K1894" s="100"/>
      <c r="L1894" s="100"/>
      <c r="M1894" s="100"/>
      <c r="N1894" s="100"/>
      <c r="O1894" s="100"/>
      <c r="P1894" s="100"/>
      <c r="Q1894" s="100"/>
      <c r="R1894" s="100"/>
      <c r="S1894" s="100"/>
      <c r="T1894" s="100"/>
      <c r="U1894" s="100"/>
      <c r="V1894" s="100"/>
      <c r="W1894" s="100"/>
      <c r="X1894" s="100"/>
      <c r="Y1894" s="100"/>
      <c r="Z1894" s="100"/>
    </row>
    <row r="1895" spans="1:26">
      <c r="A1895" s="100"/>
      <c r="B1895" s="100"/>
      <c r="C1895" s="100"/>
      <c r="D1895" s="100"/>
      <c r="E1895" s="100"/>
      <c r="F1895" s="100"/>
      <c r="G1895" s="100"/>
      <c r="H1895" s="100"/>
      <c r="I1895" s="100"/>
      <c r="J1895" s="100"/>
      <c r="K1895" s="100"/>
      <c r="L1895" s="100"/>
      <c r="M1895" s="100"/>
      <c r="N1895" s="100"/>
      <c r="O1895" s="100"/>
      <c r="P1895" s="100"/>
      <c r="Q1895" s="100"/>
      <c r="R1895" s="100"/>
      <c r="S1895" s="100"/>
      <c r="T1895" s="100"/>
      <c r="U1895" s="100"/>
      <c r="V1895" s="100"/>
      <c r="W1895" s="100"/>
      <c r="X1895" s="100"/>
      <c r="Y1895" s="100"/>
      <c r="Z1895" s="100"/>
    </row>
    <row r="1896" spans="1:26">
      <c r="A1896" s="100"/>
      <c r="B1896" s="100"/>
      <c r="C1896" s="100"/>
      <c r="D1896" s="100"/>
      <c r="E1896" s="100"/>
      <c r="F1896" s="100"/>
      <c r="G1896" s="100"/>
      <c r="H1896" s="100"/>
      <c r="I1896" s="100"/>
      <c r="J1896" s="100"/>
      <c r="K1896" s="100"/>
      <c r="L1896" s="100"/>
      <c r="M1896" s="100"/>
      <c r="N1896" s="100"/>
      <c r="O1896" s="100"/>
      <c r="P1896" s="100"/>
      <c r="Q1896" s="100"/>
      <c r="R1896" s="100"/>
      <c r="S1896" s="100"/>
      <c r="T1896" s="100"/>
      <c r="U1896" s="100"/>
      <c r="V1896" s="100"/>
      <c r="W1896" s="100"/>
      <c r="X1896" s="100"/>
      <c r="Y1896" s="100"/>
      <c r="Z1896" s="100"/>
    </row>
    <row r="1897" spans="1:26">
      <c r="A1897" s="100"/>
      <c r="B1897" s="100"/>
      <c r="C1897" s="100"/>
      <c r="D1897" s="100"/>
      <c r="E1897" s="100"/>
      <c r="F1897" s="100"/>
      <c r="G1897" s="100"/>
      <c r="H1897" s="100"/>
      <c r="I1897" s="100"/>
      <c r="J1897" s="100"/>
      <c r="K1897" s="100"/>
      <c r="L1897" s="100"/>
      <c r="M1897" s="100"/>
      <c r="N1897" s="100"/>
      <c r="O1897" s="100"/>
      <c r="P1897" s="100"/>
      <c r="Q1897" s="100"/>
      <c r="R1897" s="100"/>
      <c r="S1897" s="100"/>
      <c r="T1897" s="100"/>
      <c r="U1897" s="100"/>
      <c r="V1897" s="100"/>
      <c r="W1897" s="100"/>
      <c r="X1897" s="100"/>
      <c r="Y1897" s="100"/>
      <c r="Z1897" s="100"/>
    </row>
    <row r="1898" spans="1:26">
      <c r="A1898" s="100"/>
      <c r="B1898" s="100"/>
      <c r="C1898" s="100"/>
      <c r="D1898" s="100"/>
      <c r="E1898" s="100"/>
      <c r="F1898" s="100"/>
      <c r="G1898" s="100"/>
      <c r="H1898" s="100"/>
      <c r="I1898" s="100"/>
      <c r="J1898" s="100"/>
      <c r="K1898" s="100"/>
      <c r="L1898" s="100"/>
      <c r="M1898" s="100"/>
      <c r="N1898" s="100"/>
      <c r="O1898" s="100"/>
      <c r="P1898" s="100"/>
      <c r="Q1898" s="100"/>
      <c r="R1898" s="100"/>
      <c r="S1898" s="100"/>
      <c r="T1898" s="100"/>
      <c r="U1898" s="100"/>
      <c r="V1898" s="100"/>
      <c r="W1898" s="100"/>
      <c r="X1898" s="100"/>
      <c r="Y1898" s="100"/>
      <c r="Z1898" s="100"/>
    </row>
    <row r="1899" spans="1:26">
      <c r="A1899" s="100"/>
      <c r="B1899" s="100"/>
      <c r="C1899" s="100"/>
      <c r="D1899" s="100"/>
      <c r="E1899" s="100"/>
      <c r="F1899" s="100"/>
      <c r="G1899" s="100"/>
      <c r="H1899" s="100"/>
      <c r="I1899" s="100"/>
      <c r="J1899" s="100"/>
      <c r="K1899" s="100"/>
      <c r="L1899" s="100"/>
      <c r="M1899" s="100"/>
      <c r="N1899" s="100"/>
      <c r="O1899" s="100"/>
      <c r="P1899" s="100"/>
      <c r="Q1899" s="100"/>
      <c r="R1899" s="100"/>
      <c r="S1899" s="100"/>
      <c r="T1899" s="100"/>
      <c r="U1899" s="100"/>
      <c r="V1899" s="100"/>
      <c r="W1899" s="100"/>
      <c r="X1899" s="100"/>
      <c r="Y1899" s="100"/>
      <c r="Z1899" s="100"/>
    </row>
    <row r="1900" spans="1:26">
      <c r="A1900" s="100"/>
      <c r="B1900" s="100"/>
      <c r="C1900" s="100"/>
      <c r="D1900" s="100"/>
      <c r="E1900" s="100"/>
      <c r="F1900" s="100"/>
      <c r="G1900" s="100"/>
      <c r="H1900" s="100"/>
      <c r="I1900" s="100"/>
      <c r="J1900" s="100"/>
      <c r="K1900" s="100"/>
      <c r="L1900" s="100"/>
      <c r="M1900" s="100"/>
      <c r="N1900" s="100"/>
      <c r="O1900" s="100"/>
      <c r="P1900" s="100"/>
      <c r="Q1900" s="100"/>
      <c r="R1900" s="100"/>
      <c r="S1900" s="100"/>
      <c r="T1900" s="100"/>
      <c r="U1900" s="100"/>
      <c r="V1900" s="100"/>
      <c r="W1900" s="100"/>
      <c r="X1900" s="100"/>
      <c r="Y1900" s="100"/>
      <c r="Z1900" s="100"/>
    </row>
    <row r="1901" spans="1:26">
      <c r="A1901" s="100"/>
      <c r="B1901" s="100"/>
      <c r="C1901" s="100"/>
      <c r="D1901" s="100"/>
      <c r="E1901" s="100"/>
      <c r="F1901" s="100"/>
      <c r="G1901" s="100"/>
      <c r="H1901" s="100"/>
      <c r="I1901" s="100"/>
      <c r="J1901" s="100"/>
      <c r="K1901" s="100"/>
      <c r="L1901" s="100"/>
      <c r="M1901" s="100"/>
      <c r="N1901" s="100"/>
      <c r="O1901" s="100"/>
      <c r="P1901" s="100"/>
      <c r="Q1901" s="100"/>
      <c r="R1901" s="100"/>
      <c r="S1901" s="100"/>
      <c r="T1901" s="100"/>
      <c r="U1901" s="100"/>
      <c r="V1901" s="100"/>
      <c r="W1901" s="100"/>
      <c r="X1901" s="100"/>
      <c r="Y1901" s="100"/>
      <c r="Z1901" s="100"/>
    </row>
    <row r="1902" spans="1:26">
      <c r="A1902" s="100"/>
      <c r="B1902" s="100"/>
      <c r="C1902" s="100"/>
      <c r="D1902" s="100"/>
      <c r="E1902" s="100"/>
      <c r="F1902" s="100"/>
      <c r="G1902" s="100"/>
      <c r="H1902" s="100"/>
      <c r="I1902" s="100"/>
      <c r="J1902" s="100"/>
      <c r="K1902" s="100"/>
      <c r="L1902" s="100"/>
      <c r="M1902" s="100"/>
      <c r="N1902" s="100"/>
      <c r="O1902" s="100"/>
      <c r="P1902" s="100"/>
      <c r="Q1902" s="100"/>
      <c r="R1902" s="100"/>
      <c r="S1902" s="100"/>
      <c r="T1902" s="100"/>
      <c r="U1902" s="100"/>
      <c r="V1902" s="100"/>
      <c r="W1902" s="100"/>
      <c r="X1902" s="100"/>
      <c r="Y1902" s="100"/>
      <c r="Z1902" s="100"/>
    </row>
    <row r="1903" spans="1:26">
      <c r="A1903" s="100"/>
      <c r="B1903" s="100"/>
      <c r="C1903" s="100"/>
      <c r="D1903" s="100"/>
      <c r="E1903" s="100"/>
      <c r="F1903" s="100"/>
      <c r="G1903" s="100"/>
      <c r="H1903" s="100"/>
      <c r="I1903" s="100"/>
      <c r="J1903" s="100"/>
      <c r="K1903" s="100"/>
      <c r="L1903" s="100"/>
      <c r="M1903" s="100"/>
      <c r="N1903" s="100"/>
      <c r="O1903" s="100"/>
      <c r="P1903" s="100"/>
      <c r="Q1903" s="100"/>
      <c r="R1903" s="100"/>
      <c r="S1903" s="100"/>
      <c r="T1903" s="100"/>
      <c r="U1903" s="100"/>
      <c r="V1903" s="100"/>
      <c r="W1903" s="100"/>
      <c r="X1903" s="100"/>
      <c r="Y1903" s="100"/>
      <c r="Z1903" s="100"/>
    </row>
    <row r="1904" spans="1:26">
      <c r="A1904" s="100"/>
      <c r="B1904" s="100"/>
      <c r="C1904" s="100"/>
      <c r="D1904" s="100"/>
      <c r="E1904" s="100"/>
      <c r="F1904" s="100"/>
      <c r="G1904" s="100"/>
      <c r="H1904" s="100"/>
      <c r="I1904" s="100"/>
      <c r="J1904" s="100"/>
      <c r="K1904" s="100"/>
      <c r="L1904" s="100"/>
      <c r="M1904" s="100"/>
      <c r="N1904" s="100"/>
      <c r="O1904" s="100"/>
      <c r="P1904" s="100"/>
      <c r="Q1904" s="100"/>
      <c r="R1904" s="100"/>
      <c r="S1904" s="100"/>
      <c r="T1904" s="100"/>
      <c r="U1904" s="100"/>
      <c r="V1904" s="100"/>
      <c r="W1904" s="100"/>
      <c r="X1904" s="100"/>
      <c r="Y1904" s="100"/>
      <c r="Z1904" s="100"/>
    </row>
    <row r="1905" spans="1:26">
      <c r="A1905" s="100"/>
      <c r="B1905" s="100"/>
      <c r="C1905" s="100"/>
      <c r="D1905" s="100"/>
      <c r="E1905" s="100"/>
      <c r="F1905" s="100"/>
      <c r="G1905" s="100"/>
      <c r="H1905" s="100"/>
      <c r="I1905" s="100"/>
      <c r="J1905" s="100"/>
      <c r="K1905" s="100"/>
      <c r="L1905" s="100"/>
      <c r="M1905" s="100"/>
      <c r="N1905" s="100"/>
      <c r="O1905" s="100"/>
      <c r="P1905" s="100"/>
      <c r="Q1905" s="100"/>
      <c r="R1905" s="100"/>
      <c r="S1905" s="100"/>
      <c r="T1905" s="100"/>
      <c r="U1905" s="100"/>
      <c r="V1905" s="100"/>
      <c r="W1905" s="100"/>
      <c r="X1905" s="100"/>
      <c r="Y1905" s="100"/>
      <c r="Z1905" s="100"/>
    </row>
    <row r="1906" spans="1:26">
      <c r="A1906" s="100"/>
      <c r="B1906" s="100"/>
      <c r="C1906" s="100"/>
      <c r="D1906" s="100"/>
      <c r="E1906" s="100"/>
      <c r="F1906" s="100"/>
      <c r="G1906" s="100"/>
      <c r="H1906" s="100"/>
      <c r="I1906" s="100"/>
      <c r="J1906" s="100"/>
      <c r="K1906" s="100"/>
      <c r="L1906" s="100"/>
      <c r="M1906" s="100"/>
      <c r="N1906" s="100"/>
      <c r="O1906" s="100"/>
      <c r="P1906" s="100"/>
      <c r="Q1906" s="100"/>
      <c r="R1906" s="100"/>
      <c r="S1906" s="100"/>
      <c r="T1906" s="100"/>
      <c r="U1906" s="100"/>
      <c r="V1906" s="100"/>
      <c r="W1906" s="100"/>
      <c r="X1906" s="100"/>
      <c r="Y1906" s="100"/>
      <c r="Z1906" s="100"/>
    </row>
    <row r="1907" spans="1:26">
      <c r="A1907" s="100"/>
      <c r="B1907" s="100"/>
      <c r="C1907" s="100"/>
      <c r="D1907" s="100"/>
      <c r="E1907" s="100"/>
      <c r="F1907" s="100"/>
      <c r="G1907" s="100"/>
      <c r="H1907" s="100"/>
      <c r="I1907" s="100"/>
      <c r="J1907" s="100"/>
      <c r="K1907" s="100"/>
      <c r="L1907" s="100"/>
      <c r="M1907" s="100"/>
      <c r="N1907" s="100"/>
      <c r="O1907" s="100"/>
      <c r="P1907" s="100"/>
      <c r="Q1907" s="100"/>
      <c r="R1907" s="100"/>
      <c r="S1907" s="100"/>
      <c r="T1907" s="100"/>
      <c r="U1907" s="100"/>
      <c r="V1907" s="100"/>
      <c r="W1907" s="100"/>
      <c r="X1907" s="100"/>
      <c r="Y1907" s="100"/>
      <c r="Z1907" s="100"/>
    </row>
    <row r="1908" spans="1:26">
      <c r="A1908" s="100"/>
      <c r="B1908" s="100"/>
      <c r="C1908" s="100"/>
      <c r="D1908" s="100"/>
      <c r="E1908" s="100"/>
      <c r="F1908" s="100"/>
      <c r="G1908" s="100"/>
      <c r="H1908" s="100"/>
      <c r="I1908" s="100"/>
      <c r="J1908" s="100"/>
      <c r="K1908" s="100"/>
      <c r="L1908" s="100"/>
      <c r="M1908" s="100"/>
      <c r="N1908" s="100"/>
      <c r="O1908" s="100"/>
      <c r="P1908" s="100"/>
      <c r="Q1908" s="100"/>
      <c r="R1908" s="100"/>
      <c r="S1908" s="100"/>
      <c r="T1908" s="100"/>
      <c r="U1908" s="100"/>
      <c r="V1908" s="100"/>
      <c r="W1908" s="100"/>
      <c r="X1908" s="100"/>
      <c r="Y1908" s="100"/>
      <c r="Z1908" s="100"/>
    </row>
    <row r="1909" spans="1:26">
      <c r="A1909" s="100"/>
      <c r="B1909" s="100"/>
      <c r="C1909" s="100"/>
      <c r="D1909" s="100"/>
      <c r="E1909" s="100"/>
      <c r="F1909" s="100"/>
      <c r="G1909" s="100"/>
      <c r="H1909" s="100"/>
      <c r="I1909" s="100"/>
      <c r="J1909" s="100"/>
      <c r="K1909" s="100"/>
      <c r="L1909" s="100"/>
      <c r="M1909" s="100"/>
      <c r="N1909" s="100"/>
      <c r="O1909" s="100"/>
      <c r="P1909" s="100"/>
      <c r="Q1909" s="100"/>
      <c r="R1909" s="100"/>
      <c r="S1909" s="100"/>
      <c r="T1909" s="100"/>
      <c r="U1909" s="100"/>
      <c r="V1909" s="100"/>
      <c r="W1909" s="100"/>
      <c r="X1909" s="100"/>
      <c r="Y1909" s="100"/>
      <c r="Z1909" s="100"/>
    </row>
    <row r="1910" spans="1:26">
      <c r="A1910" s="100"/>
      <c r="B1910" s="100"/>
      <c r="C1910" s="100"/>
      <c r="D1910" s="100"/>
      <c r="E1910" s="100"/>
      <c r="F1910" s="100"/>
      <c r="G1910" s="100"/>
      <c r="H1910" s="100"/>
      <c r="I1910" s="100"/>
      <c r="J1910" s="100"/>
      <c r="K1910" s="100"/>
      <c r="L1910" s="100"/>
      <c r="M1910" s="100"/>
      <c r="N1910" s="100"/>
      <c r="O1910" s="100"/>
      <c r="P1910" s="100"/>
      <c r="Q1910" s="100"/>
      <c r="R1910" s="100"/>
      <c r="S1910" s="100"/>
      <c r="T1910" s="100"/>
      <c r="U1910" s="100"/>
      <c r="V1910" s="100"/>
      <c r="W1910" s="100"/>
      <c r="X1910" s="100"/>
      <c r="Y1910" s="100"/>
      <c r="Z1910" s="100"/>
    </row>
    <row r="1911" spans="1:26">
      <c r="A1911" s="100"/>
      <c r="B1911" s="100"/>
      <c r="C1911" s="100"/>
      <c r="D1911" s="100"/>
      <c r="E1911" s="100"/>
      <c r="F1911" s="100"/>
      <c r="G1911" s="100"/>
      <c r="H1911" s="100"/>
      <c r="I1911" s="100"/>
      <c r="J1911" s="100"/>
      <c r="K1911" s="100"/>
      <c r="L1911" s="100"/>
      <c r="M1911" s="100"/>
      <c r="N1911" s="100"/>
      <c r="O1911" s="100"/>
      <c r="P1911" s="100"/>
      <c r="Q1911" s="100"/>
      <c r="R1911" s="100"/>
      <c r="S1911" s="100"/>
      <c r="T1911" s="100"/>
      <c r="U1911" s="100"/>
      <c r="V1911" s="100"/>
      <c r="W1911" s="100"/>
      <c r="X1911" s="100"/>
      <c r="Y1911" s="100"/>
      <c r="Z1911" s="100"/>
    </row>
    <row r="1912" spans="1:26">
      <c r="A1912" s="100"/>
      <c r="B1912" s="100"/>
      <c r="C1912" s="100"/>
      <c r="D1912" s="100"/>
      <c r="E1912" s="100"/>
      <c r="F1912" s="100"/>
      <c r="G1912" s="100"/>
      <c r="H1912" s="100"/>
      <c r="I1912" s="100"/>
      <c r="J1912" s="100"/>
      <c r="K1912" s="100"/>
      <c r="L1912" s="100"/>
      <c r="M1912" s="100"/>
      <c r="N1912" s="100"/>
      <c r="O1912" s="100"/>
      <c r="P1912" s="100"/>
      <c r="Q1912" s="100"/>
      <c r="R1912" s="100"/>
      <c r="S1912" s="100"/>
      <c r="T1912" s="100"/>
      <c r="U1912" s="100"/>
      <c r="V1912" s="100"/>
      <c r="W1912" s="100"/>
      <c r="X1912" s="100"/>
      <c r="Y1912" s="100"/>
      <c r="Z1912" s="100"/>
    </row>
    <row r="1913" spans="1:26">
      <c r="A1913" s="100"/>
      <c r="B1913" s="100"/>
      <c r="C1913" s="100"/>
      <c r="D1913" s="100"/>
      <c r="E1913" s="100"/>
      <c r="F1913" s="100"/>
      <c r="G1913" s="100"/>
      <c r="H1913" s="100"/>
      <c r="I1913" s="100"/>
      <c r="J1913" s="100"/>
      <c r="K1913" s="100"/>
      <c r="L1913" s="100"/>
      <c r="M1913" s="100"/>
      <c r="N1913" s="100"/>
      <c r="O1913" s="100"/>
      <c r="P1913" s="100"/>
      <c r="Q1913" s="100"/>
      <c r="R1913" s="100"/>
      <c r="S1913" s="100"/>
      <c r="T1913" s="100"/>
      <c r="U1913" s="100"/>
      <c r="V1913" s="100"/>
      <c r="W1913" s="100"/>
      <c r="X1913" s="100"/>
      <c r="Y1913" s="100"/>
      <c r="Z1913" s="100"/>
    </row>
    <row r="1914" spans="1:26">
      <c r="A1914" s="100"/>
      <c r="B1914" s="100"/>
      <c r="C1914" s="100"/>
      <c r="D1914" s="100"/>
      <c r="E1914" s="100"/>
      <c r="F1914" s="100"/>
      <c r="G1914" s="100"/>
      <c r="H1914" s="100"/>
      <c r="I1914" s="100"/>
      <c r="J1914" s="100"/>
      <c r="K1914" s="100"/>
      <c r="L1914" s="100"/>
      <c r="M1914" s="100"/>
      <c r="N1914" s="100"/>
      <c r="O1914" s="100"/>
      <c r="P1914" s="100"/>
      <c r="Q1914" s="100"/>
      <c r="R1914" s="100"/>
      <c r="S1914" s="100"/>
      <c r="T1914" s="100"/>
      <c r="U1914" s="100"/>
      <c r="V1914" s="100"/>
      <c r="W1914" s="100"/>
      <c r="X1914" s="100"/>
      <c r="Y1914" s="100"/>
      <c r="Z1914" s="100"/>
    </row>
    <row r="1915" spans="1:26">
      <c r="A1915" s="100"/>
      <c r="B1915" s="100"/>
      <c r="C1915" s="100"/>
      <c r="D1915" s="100"/>
      <c r="E1915" s="100"/>
      <c r="F1915" s="100"/>
      <c r="G1915" s="100"/>
      <c r="H1915" s="100"/>
      <c r="I1915" s="100"/>
      <c r="J1915" s="100"/>
      <c r="K1915" s="100"/>
      <c r="L1915" s="100"/>
      <c r="M1915" s="100"/>
      <c r="N1915" s="100"/>
      <c r="O1915" s="100"/>
      <c r="P1915" s="100"/>
      <c r="Q1915" s="100"/>
      <c r="R1915" s="100"/>
      <c r="S1915" s="100"/>
      <c r="T1915" s="100"/>
      <c r="U1915" s="100"/>
      <c r="V1915" s="100"/>
      <c r="W1915" s="100"/>
      <c r="X1915" s="100"/>
      <c r="Y1915" s="100"/>
      <c r="Z1915" s="100"/>
    </row>
    <row r="1916" spans="1:26">
      <c r="A1916" s="100"/>
      <c r="B1916" s="100"/>
      <c r="C1916" s="100"/>
      <c r="D1916" s="100"/>
      <c r="E1916" s="100"/>
      <c r="F1916" s="100"/>
      <c r="G1916" s="100"/>
      <c r="H1916" s="100"/>
      <c r="I1916" s="100"/>
      <c r="J1916" s="100"/>
      <c r="K1916" s="100"/>
      <c r="L1916" s="100"/>
      <c r="M1916" s="100"/>
      <c r="N1916" s="100"/>
      <c r="O1916" s="100"/>
      <c r="P1916" s="100"/>
      <c r="Q1916" s="100"/>
      <c r="R1916" s="100"/>
      <c r="S1916" s="100"/>
      <c r="T1916" s="100"/>
      <c r="U1916" s="100"/>
      <c r="V1916" s="100"/>
      <c r="W1916" s="100"/>
      <c r="X1916" s="100"/>
      <c r="Y1916" s="100"/>
      <c r="Z1916" s="100"/>
    </row>
    <row r="1917" spans="1:26">
      <c r="A1917" s="100"/>
      <c r="B1917" s="100"/>
      <c r="C1917" s="100"/>
      <c r="D1917" s="100"/>
      <c r="E1917" s="100"/>
      <c r="F1917" s="100"/>
      <c r="G1917" s="100"/>
      <c r="H1917" s="100"/>
      <c r="I1917" s="100"/>
      <c r="J1917" s="100"/>
      <c r="K1917" s="100"/>
      <c r="L1917" s="100"/>
      <c r="M1917" s="100"/>
      <c r="N1917" s="100"/>
      <c r="O1917" s="100"/>
      <c r="P1917" s="100"/>
      <c r="Q1917" s="100"/>
      <c r="R1917" s="100"/>
      <c r="S1917" s="100"/>
      <c r="T1917" s="100"/>
      <c r="U1917" s="100"/>
      <c r="V1917" s="100"/>
      <c r="W1917" s="100"/>
      <c r="X1917" s="100"/>
      <c r="Y1917" s="100"/>
      <c r="Z1917" s="100"/>
    </row>
    <row r="1918" spans="1:26">
      <c r="A1918" s="100"/>
      <c r="B1918" s="100"/>
      <c r="C1918" s="100"/>
      <c r="D1918" s="100"/>
      <c r="E1918" s="100"/>
      <c r="F1918" s="100"/>
      <c r="G1918" s="100"/>
      <c r="H1918" s="100"/>
      <c r="I1918" s="100"/>
      <c r="J1918" s="100"/>
      <c r="K1918" s="100"/>
      <c r="L1918" s="100"/>
      <c r="M1918" s="100"/>
      <c r="N1918" s="100"/>
      <c r="O1918" s="100"/>
      <c r="P1918" s="100"/>
      <c r="Q1918" s="100"/>
      <c r="R1918" s="100"/>
      <c r="S1918" s="100"/>
      <c r="T1918" s="100"/>
      <c r="U1918" s="100"/>
      <c r="V1918" s="100"/>
      <c r="W1918" s="100"/>
      <c r="X1918" s="100"/>
      <c r="Y1918" s="100"/>
      <c r="Z1918" s="100"/>
    </row>
    <row r="1919" spans="1:26">
      <c r="A1919" s="100"/>
      <c r="B1919" s="100"/>
      <c r="C1919" s="100"/>
      <c r="D1919" s="100"/>
      <c r="E1919" s="100"/>
      <c r="F1919" s="100"/>
      <c r="G1919" s="100"/>
      <c r="H1919" s="100"/>
      <c r="I1919" s="100"/>
      <c r="J1919" s="100"/>
      <c r="K1919" s="100"/>
      <c r="L1919" s="100"/>
      <c r="M1919" s="100"/>
      <c r="N1919" s="100"/>
      <c r="O1919" s="100"/>
      <c r="P1919" s="100"/>
      <c r="Q1919" s="100"/>
      <c r="R1919" s="100"/>
      <c r="S1919" s="100"/>
      <c r="T1919" s="100"/>
      <c r="U1919" s="100"/>
      <c r="V1919" s="100"/>
      <c r="W1919" s="100"/>
      <c r="X1919" s="100"/>
      <c r="Y1919" s="100"/>
      <c r="Z1919" s="100"/>
    </row>
    <row r="1920" spans="1:26">
      <c r="A1920" s="100"/>
      <c r="B1920" s="100"/>
      <c r="C1920" s="100"/>
      <c r="D1920" s="100"/>
      <c r="E1920" s="100"/>
      <c r="F1920" s="100"/>
      <c r="G1920" s="100"/>
      <c r="H1920" s="100"/>
      <c r="I1920" s="100"/>
      <c r="J1920" s="100"/>
      <c r="K1920" s="100"/>
      <c r="L1920" s="100"/>
      <c r="M1920" s="100"/>
      <c r="N1920" s="100"/>
      <c r="O1920" s="100"/>
      <c r="P1920" s="100"/>
      <c r="Q1920" s="100"/>
      <c r="R1920" s="100"/>
      <c r="S1920" s="100"/>
      <c r="T1920" s="100"/>
      <c r="U1920" s="100"/>
      <c r="V1920" s="100"/>
      <c r="W1920" s="100"/>
      <c r="X1920" s="100"/>
      <c r="Y1920" s="100"/>
      <c r="Z1920" s="100"/>
    </row>
    <row r="1921" spans="1:26">
      <c r="A1921" s="100"/>
      <c r="B1921" s="100"/>
      <c r="C1921" s="100"/>
      <c r="D1921" s="100"/>
      <c r="E1921" s="100"/>
      <c r="F1921" s="100"/>
      <c r="G1921" s="100"/>
      <c r="H1921" s="100"/>
      <c r="I1921" s="100"/>
      <c r="J1921" s="100"/>
      <c r="K1921" s="100"/>
      <c r="L1921" s="100"/>
      <c r="M1921" s="100"/>
      <c r="N1921" s="100"/>
      <c r="O1921" s="100"/>
      <c r="P1921" s="100"/>
      <c r="Q1921" s="100"/>
      <c r="R1921" s="100"/>
      <c r="S1921" s="100"/>
      <c r="T1921" s="100"/>
      <c r="U1921" s="100"/>
      <c r="V1921" s="100"/>
      <c r="W1921" s="100"/>
      <c r="X1921" s="100"/>
      <c r="Y1921" s="100"/>
      <c r="Z1921" s="100"/>
    </row>
    <row r="1922" spans="1:26">
      <c r="A1922" s="100"/>
      <c r="B1922" s="100"/>
      <c r="C1922" s="100"/>
      <c r="D1922" s="100"/>
      <c r="E1922" s="100"/>
      <c r="F1922" s="100"/>
      <c r="G1922" s="100"/>
      <c r="H1922" s="100"/>
      <c r="I1922" s="100"/>
      <c r="J1922" s="100"/>
      <c r="K1922" s="100"/>
      <c r="L1922" s="100"/>
      <c r="M1922" s="100"/>
      <c r="N1922" s="100"/>
      <c r="O1922" s="100"/>
      <c r="P1922" s="100"/>
      <c r="Q1922" s="100"/>
      <c r="R1922" s="100"/>
      <c r="S1922" s="100"/>
      <c r="T1922" s="100"/>
      <c r="U1922" s="100"/>
      <c r="V1922" s="100"/>
      <c r="W1922" s="100"/>
      <c r="X1922" s="100"/>
      <c r="Y1922" s="100"/>
      <c r="Z1922" s="100"/>
    </row>
    <row r="1923" spans="1:26">
      <c r="A1923" s="100"/>
      <c r="B1923" s="100"/>
      <c r="C1923" s="100"/>
      <c r="D1923" s="100"/>
      <c r="E1923" s="100"/>
      <c r="F1923" s="100"/>
      <c r="G1923" s="100"/>
      <c r="H1923" s="100"/>
      <c r="I1923" s="100"/>
      <c r="J1923" s="100"/>
      <c r="K1923" s="100"/>
      <c r="L1923" s="100"/>
      <c r="M1923" s="100"/>
      <c r="N1923" s="100"/>
      <c r="O1923" s="100"/>
      <c r="P1923" s="100"/>
      <c r="Q1923" s="100"/>
      <c r="R1923" s="100"/>
      <c r="S1923" s="100"/>
      <c r="T1923" s="100"/>
      <c r="U1923" s="100"/>
      <c r="V1923" s="100"/>
      <c r="W1923" s="100"/>
      <c r="X1923" s="100"/>
      <c r="Y1923" s="100"/>
      <c r="Z1923" s="100"/>
    </row>
    <row r="1924" spans="1:26">
      <c r="A1924" s="100"/>
      <c r="B1924" s="100"/>
      <c r="C1924" s="100"/>
      <c r="D1924" s="100"/>
      <c r="E1924" s="100"/>
      <c r="F1924" s="100"/>
      <c r="G1924" s="100"/>
      <c r="H1924" s="100"/>
      <c r="I1924" s="100"/>
      <c r="J1924" s="100"/>
      <c r="K1924" s="100"/>
      <c r="L1924" s="100"/>
      <c r="M1924" s="100"/>
      <c r="N1924" s="100"/>
      <c r="O1924" s="100"/>
      <c r="P1924" s="100"/>
      <c r="Q1924" s="100"/>
      <c r="R1924" s="100"/>
      <c r="S1924" s="100"/>
      <c r="T1924" s="100"/>
      <c r="U1924" s="100"/>
      <c r="V1924" s="100"/>
      <c r="W1924" s="100"/>
      <c r="X1924" s="100"/>
      <c r="Y1924" s="100"/>
      <c r="Z1924" s="100"/>
    </row>
    <row r="1925" spans="1:26">
      <c r="A1925" s="100"/>
      <c r="B1925" s="100"/>
      <c r="C1925" s="100"/>
      <c r="D1925" s="100"/>
      <c r="E1925" s="100"/>
      <c r="F1925" s="100"/>
      <c r="G1925" s="100"/>
      <c r="H1925" s="100"/>
      <c r="I1925" s="100"/>
      <c r="J1925" s="100"/>
      <c r="K1925" s="100"/>
      <c r="L1925" s="100"/>
      <c r="M1925" s="100"/>
      <c r="N1925" s="100"/>
      <c r="O1925" s="100"/>
      <c r="P1925" s="100"/>
      <c r="Q1925" s="100"/>
      <c r="R1925" s="100"/>
      <c r="S1925" s="100"/>
      <c r="T1925" s="100"/>
      <c r="U1925" s="100"/>
      <c r="V1925" s="100"/>
      <c r="W1925" s="100"/>
      <c r="X1925" s="100"/>
      <c r="Y1925" s="100"/>
      <c r="Z1925" s="100"/>
    </row>
    <row r="1926" spans="1:26">
      <c r="A1926" s="100"/>
      <c r="B1926" s="100"/>
      <c r="C1926" s="100"/>
      <c r="D1926" s="100"/>
      <c r="E1926" s="100"/>
      <c r="F1926" s="100"/>
      <c r="G1926" s="100"/>
      <c r="H1926" s="100"/>
      <c r="I1926" s="100"/>
      <c r="J1926" s="100"/>
      <c r="K1926" s="100"/>
      <c r="L1926" s="100"/>
      <c r="M1926" s="100"/>
      <c r="N1926" s="100"/>
      <c r="O1926" s="100"/>
      <c r="P1926" s="100"/>
      <c r="Q1926" s="100"/>
      <c r="R1926" s="100"/>
      <c r="S1926" s="100"/>
      <c r="T1926" s="100"/>
      <c r="U1926" s="100"/>
      <c r="V1926" s="100"/>
      <c r="W1926" s="100"/>
      <c r="X1926" s="100"/>
      <c r="Y1926" s="100"/>
      <c r="Z1926" s="100"/>
    </row>
    <row r="1927" spans="1:26">
      <c r="A1927" s="100"/>
      <c r="B1927" s="100"/>
      <c r="C1927" s="100"/>
      <c r="D1927" s="100"/>
      <c r="E1927" s="100"/>
      <c r="F1927" s="100"/>
      <c r="G1927" s="100"/>
      <c r="H1927" s="100"/>
      <c r="I1927" s="100"/>
      <c r="J1927" s="100"/>
      <c r="K1927" s="100"/>
      <c r="L1927" s="100"/>
      <c r="M1927" s="100"/>
      <c r="N1927" s="100"/>
      <c r="O1927" s="100"/>
      <c r="P1927" s="100"/>
      <c r="Q1927" s="100"/>
      <c r="R1927" s="100"/>
      <c r="S1927" s="100"/>
      <c r="T1927" s="100"/>
      <c r="U1927" s="100"/>
      <c r="V1927" s="100"/>
      <c r="W1927" s="100"/>
      <c r="X1927" s="100"/>
      <c r="Y1927" s="100"/>
      <c r="Z1927" s="100"/>
    </row>
    <row r="1928" spans="1:26">
      <c r="A1928" s="100"/>
      <c r="B1928" s="100"/>
      <c r="C1928" s="100"/>
      <c r="D1928" s="100"/>
      <c r="E1928" s="100"/>
      <c r="F1928" s="100"/>
      <c r="G1928" s="100"/>
      <c r="H1928" s="100"/>
      <c r="I1928" s="100"/>
      <c r="J1928" s="100"/>
      <c r="K1928" s="100"/>
      <c r="L1928" s="100"/>
      <c r="M1928" s="100"/>
      <c r="N1928" s="100"/>
      <c r="O1928" s="100"/>
      <c r="P1928" s="100"/>
      <c r="Q1928" s="100"/>
      <c r="R1928" s="100"/>
      <c r="S1928" s="100"/>
      <c r="T1928" s="100"/>
      <c r="U1928" s="100"/>
      <c r="V1928" s="100"/>
      <c r="W1928" s="100"/>
      <c r="X1928" s="100"/>
      <c r="Y1928" s="100"/>
      <c r="Z1928" s="100"/>
    </row>
    <row r="1929" spans="1:26">
      <c r="A1929" s="100"/>
      <c r="B1929" s="100"/>
      <c r="C1929" s="100"/>
      <c r="D1929" s="100"/>
      <c r="E1929" s="100"/>
      <c r="F1929" s="100"/>
      <c r="G1929" s="100"/>
      <c r="H1929" s="100"/>
      <c r="I1929" s="100"/>
      <c r="J1929" s="100"/>
      <c r="K1929" s="100"/>
      <c r="L1929" s="100"/>
      <c r="M1929" s="100"/>
      <c r="N1929" s="100"/>
      <c r="O1929" s="100"/>
      <c r="P1929" s="100"/>
      <c r="Q1929" s="100"/>
      <c r="R1929" s="100"/>
      <c r="S1929" s="100"/>
      <c r="T1929" s="100"/>
      <c r="U1929" s="100"/>
      <c r="V1929" s="100"/>
      <c r="W1929" s="100"/>
      <c r="X1929" s="100"/>
      <c r="Y1929" s="100"/>
      <c r="Z1929" s="100"/>
    </row>
    <row r="1930" spans="1:26">
      <c r="A1930" s="100"/>
      <c r="B1930" s="100"/>
      <c r="C1930" s="100"/>
      <c r="D1930" s="100"/>
      <c r="E1930" s="100"/>
      <c r="F1930" s="100"/>
      <c r="G1930" s="100"/>
      <c r="H1930" s="100"/>
      <c r="I1930" s="100"/>
      <c r="J1930" s="100"/>
      <c r="K1930" s="100"/>
      <c r="L1930" s="100"/>
      <c r="M1930" s="100"/>
      <c r="N1930" s="100"/>
      <c r="O1930" s="100"/>
      <c r="P1930" s="100"/>
      <c r="Q1930" s="100"/>
      <c r="R1930" s="100"/>
      <c r="S1930" s="100"/>
      <c r="T1930" s="100"/>
      <c r="U1930" s="100"/>
      <c r="V1930" s="100"/>
      <c r="W1930" s="100"/>
      <c r="X1930" s="100"/>
      <c r="Y1930" s="100"/>
      <c r="Z1930" s="100"/>
    </row>
    <row r="1931" spans="1:26">
      <c r="A1931" s="100"/>
      <c r="B1931" s="100"/>
      <c r="C1931" s="100"/>
      <c r="D1931" s="100"/>
      <c r="E1931" s="100"/>
      <c r="F1931" s="100"/>
      <c r="G1931" s="100"/>
      <c r="H1931" s="100"/>
      <c r="I1931" s="100"/>
      <c r="J1931" s="100"/>
      <c r="K1931" s="100"/>
      <c r="L1931" s="100"/>
      <c r="M1931" s="100"/>
      <c r="N1931" s="100"/>
      <c r="O1931" s="100"/>
      <c r="P1931" s="100"/>
      <c r="Q1931" s="100"/>
      <c r="R1931" s="100"/>
      <c r="S1931" s="100"/>
      <c r="T1931" s="100"/>
      <c r="U1931" s="100"/>
      <c r="V1931" s="100"/>
      <c r="W1931" s="100"/>
      <c r="X1931" s="100"/>
      <c r="Y1931" s="100"/>
      <c r="Z1931" s="100"/>
    </row>
    <row r="1932" spans="1:26">
      <c r="A1932" s="100"/>
      <c r="B1932" s="100"/>
      <c r="C1932" s="100"/>
      <c r="D1932" s="100"/>
      <c r="E1932" s="100"/>
      <c r="F1932" s="100"/>
      <c r="G1932" s="100"/>
      <c r="H1932" s="100"/>
      <c r="I1932" s="100"/>
      <c r="J1932" s="100"/>
      <c r="K1932" s="100"/>
      <c r="L1932" s="100"/>
      <c r="M1932" s="100"/>
      <c r="N1932" s="100"/>
      <c r="O1932" s="100"/>
      <c r="P1932" s="100"/>
      <c r="Q1932" s="100"/>
      <c r="R1932" s="100"/>
      <c r="S1932" s="100"/>
      <c r="T1932" s="100"/>
      <c r="U1932" s="100"/>
      <c r="V1932" s="100"/>
      <c r="W1932" s="100"/>
      <c r="X1932" s="100"/>
      <c r="Y1932" s="100"/>
      <c r="Z1932" s="100"/>
    </row>
    <row r="1933" spans="1:26">
      <c r="A1933" s="100"/>
      <c r="B1933" s="100"/>
      <c r="C1933" s="100"/>
      <c r="D1933" s="100"/>
      <c r="E1933" s="100"/>
      <c r="F1933" s="100"/>
      <c r="G1933" s="100"/>
      <c r="H1933" s="100"/>
      <c r="I1933" s="100"/>
      <c r="J1933" s="100"/>
      <c r="K1933" s="100"/>
      <c r="L1933" s="100"/>
      <c r="M1933" s="100"/>
      <c r="N1933" s="100"/>
      <c r="O1933" s="100"/>
      <c r="P1933" s="100"/>
      <c r="Q1933" s="100"/>
      <c r="R1933" s="100"/>
      <c r="S1933" s="100"/>
      <c r="T1933" s="100"/>
      <c r="U1933" s="100"/>
      <c r="V1933" s="100"/>
      <c r="W1933" s="100"/>
      <c r="X1933" s="100"/>
      <c r="Y1933" s="100"/>
      <c r="Z1933" s="100"/>
    </row>
    <row r="1934" spans="1:26">
      <c r="A1934" s="100"/>
      <c r="B1934" s="100"/>
      <c r="C1934" s="100"/>
      <c r="D1934" s="100"/>
      <c r="E1934" s="100"/>
      <c r="F1934" s="100"/>
      <c r="G1934" s="100"/>
      <c r="H1934" s="100"/>
      <c r="I1934" s="100"/>
      <c r="J1934" s="100"/>
      <c r="K1934" s="100"/>
      <c r="L1934" s="100"/>
      <c r="M1934" s="100"/>
      <c r="N1934" s="100"/>
      <c r="O1934" s="100"/>
      <c r="P1934" s="100"/>
      <c r="Q1934" s="100"/>
      <c r="R1934" s="100"/>
      <c r="S1934" s="100"/>
      <c r="T1934" s="100"/>
      <c r="U1934" s="100"/>
      <c r="V1934" s="100"/>
      <c r="W1934" s="100"/>
      <c r="X1934" s="100"/>
      <c r="Y1934" s="100"/>
      <c r="Z1934" s="100"/>
    </row>
    <row r="1935" spans="1:26">
      <c r="A1935" s="100"/>
      <c r="B1935" s="100"/>
      <c r="C1935" s="100"/>
      <c r="D1935" s="100"/>
      <c r="E1935" s="100"/>
      <c r="F1935" s="100"/>
      <c r="G1935" s="100"/>
      <c r="H1935" s="100"/>
      <c r="I1935" s="100"/>
      <c r="J1935" s="100"/>
      <c r="K1935" s="100"/>
      <c r="L1935" s="100"/>
      <c r="M1935" s="100"/>
      <c r="N1935" s="100"/>
      <c r="O1935" s="100"/>
      <c r="P1935" s="100"/>
      <c r="Q1935" s="100"/>
      <c r="R1935" s="100"/>
      <c r="S1935" s="100"/>
      <c r="T1935" s="100"/>
      <c r="U1935" s="100"/>
      <c r="V1935" s="100"/>
      <c r="W1935" s="100"/>
      <c r="X1935" s="100"/>
      <c r="Y1935" s="100"/>
      <c r="Z1935" s="100"/>
    </row>
    <row r="1936" spans="1:26">
      <c r="A1936" s="100"/>
      <c r="B1936" s="100"/>
      <c r="C1936" s="100"/>
      <c r="D1936" s="100"/>
      <c r="E1936" s="100"/>
      <c r="F1936" s="100"/>
      <c r="G1936" s="100"/>
      <c r="H1936" s="100"/>
      <c r="I1936" s="100"/>
      <c r="J1936" s="100"/>
      <c r="K1936" s="100"/>
      <c r="L1936" s="100"/>
      <c r="M1936" s="100"/>
      <c r="N1936" s="100"/>
      <c r="O1936" s="100"/>
      <c r="P1936" s="100"/>
      <c r="Q1936" s="100"/>
      <c r="R1936" s="100"/>
      <c r="S1936" s="100"/>
      <c r="T1936" s="100"/>
      <c r="U1936" s="100"/>
      <c r="V1936" s="100"/>
      <c r="W1936" s="100"/>
      <c r="X1936" s="100"/>
      <c r="Y1936" s="100"/>
      <c r="Z1936" s="100"/>
    </row>
    <row r="1937" spans="1:26">
      <c r="A1937" s="100"/>
      <c r="B1937" s="100"/>
      <c r="C1937" s="100"/>
      <c r="D1937" s="100"/>
      <c r="E1937" s="100"/>
      <c r="F1937" s="100"/>
      <c r="G1937" s="100"/>
      <c r="H1937" s="100"/>
      <c r="I1937" s="100"/>
      <c r="J1937" s="100"/>
      <c r="K1937" s="100"/>
      <c r="L1937" s="100"/>
      <c r="M1937" s="100"/>
      <c r="N1937" s="100"/>
      <c r="O1937" s="100"/>
      <c r="P1937" s="100"/>
      <c r="Q1937" s="100"/>
      <c r="R1937" s="100"/>
      <c r="S1937" s="100"/>
      <c r="T1937" s="100"/>
      <c r="U1937" s="100"/>
      <c r="V1937" s="100"/>
      <c r="W1937" s="100"/>
      <c r="X1937" s="100"/>
      <c r="Y1937" s="100"/>
      <c r="Z1937" s="100"/>
    </row>
    <row r="1938" spans="1:26">
      <c r="A1938" s="100"/>
      <c r="B1938" s="100"/>
      <c r="C1938" s="100"/>
      <c r="D1938" s="100"/>
      <c r="E1938" s="100"/>
      <c r="F1938" s="100"/>
      <c r="G1938" s="100"/>
      <c r="H1938" s="100"/>
      <c r="I1938" s="100"/>
      <c r="J1938" s="100"/>
      <c r="K1938" s="100"/>
      <c r="L1938" s="100"/>
      <c r="M1938" s="100"/>
      <c r="N1938" s="100"/>
      <c r="O1938" s="100"/>
      <c r="P1938" s="100"/>
      <c r="Q1938" s="100"/>
      <c r="R1938" s="100"/>
      <c r="S1938" s="100"/>
      <c r="T1938" s="100"/>
      <c r="U1938" s="100"/>
      <c r="V1938" s="100"/>
      <c r="W1938" s="100"/>
      <c r="X1938" s="100"/>
      <c r="Y1938" s="100"/>
      <c r="Z1938" s="100"/>
    </row>
    <row r="1939" spans="1:26">
      <c r="A1939" s="100"/>
      <c r="B1939" s="100"/>
      <c r="C1939" s="100"/>
      <c r="D1939" s="100"/>
      <c r="E1939" s="100"/>
      <c r="F1939" s="100"/>
      <c r="G1939" s="100"/>
      <c r="H1939" s="100"/>
      <c r="I1939" s="100"/>
      <c r="J1939" s="100"/>
      <c r="K1939" s="100"/>
      <c r="L1939" s="100"/>
      <c r="M1939" s="100"/>
      <c r="N1939" s="100"/>
      <c r="O1939" s="100"/>
      <c r="P1939" s="100"/>
      <c r="Q1939" s="100"/>
      <c r="R1939" s="100"/>
      <c r="S1939" s="100"/>
      <c r="T1939" s="100"/>
      <c r="U1939" s="100"/>
      <c r="V1939" s="100"/>
      <c r="W1939" s="100"/>
      <c r="X1939" s="100"/>
      <c r="Y1939" s="100"/>
      <c r="Z1939" s="100"/>
    </row>
    <row r="1940" spans="1:26">
      <c r="A1940" s="100"/>
      <c r="B1940" s="100"/>
      <c r="C1940" s="100"/>
      <c r="D1940" s="100"/>
      <c r="E1940" s="100"/>
      <c r="F1940" s="100"/>
      <c r="G1940" s="100"/>
      <c r="H1940" s="100"/>
      <c r="I1940" s="100"/>
      <c r="J1940" s="100"/>
      <c r="K1940" s="100"/>
      <c r="L1940" s="100"/>
      <c r="M1940" s="100"/>
      <c r="N1940" s="100"/>
      <c r="O1940" s="100"/>
      <c r="P1940" s="100"/>
      <c r="Q1940" s="100"/>
      <c r="R1940" s="100"/>
      <c r="S1940" s="100"/>
      <c r="T1940" s="100"/>
      <c r="U1940" s="100"/>
      <c r="V1940" s="100"/>
      <c r="W1940" s="100"/>
      <c r="X1940" s="100"/>
      <c r="Y1940" s="100"/>
      <c r="Z1940" s="100"/>
    </row>
    <row r="1941" spans="1:26">
      <c r="A1941" s="100"/>
      <c r="B1941" s="100"/>
      <c r="C1941" s="100"/>
      <c r="D1941" s="100"/>
      <c r="E1941" s="100"/>
      <c r="F1941" s="100"/>
      <c r="G1941" s="100"/>
      <c r="H1941" s="100"/>
      <c r="I1941" s="100"/>
      <c r="J1941" s="100"/>
      <c r="K1941" s="100"/>
      <c r="L1941" s="100"/>
      <c r="M1941" s="100"/>
      <c r="N1941" s="100"/>
      <c r="O1941" s="100"/>
      <c r="P1941" s="100"/>
      <c r="Q1941" s="100"/>
      <c r="R1941" s="100"/>
      <c r="S1941" s="100"/>
      <c r="T1941" s="100"/>
      <c r="U1941" s="100"/>
      <c r="V1941" s="100"/>
      <c r="W1941" s="100"/>
      <c r="X1941" s="100"/>
      <c r="Y1941" s="100"/>
      <c r="Z1941" s="100"/>
    </row>
    <row r="1942" spans="1:26">
      <c r="A1942" s="100"/>
      <c r="B1942" s="100"/>
      <c r="C1942" s="100"/>
      <c r="D1942" s="100"/>
      <c r="E1942" s="100"/>
      <c r="F1942" s="100"/>
      <c r="G1942" s="100"/>
      <c r="H1942" s="100"/>
      <c r="I1942" s="100"/>
      <c r="J1942" s="100"/>
      <c r="K1942" s="100"/>
      <c r="L1942" s="100"/>
      <c r="M1942" s="100"/>
      <c r="N1942" s="100"/>
      <c r="O1942" s="100"/>
      <c r="P1942" s="100"/>
      <c r="Q1942" s="100"/>
      <c r="R1942" s="100"/>
      <c r="S1942" s="100"/>
      <c r="T1942" s="100"/>
      <c r="U1942" s="100"/>
      <c r="V1942" s="100"/>
      <c r="W1942" s="100"/>
      <c r="X1942" s="100"/>
      <c r="Y1942" s="100"/>
      <c r="Z1942" s="100"/>
    </row>
    <row r="1943" spans="1:26">
      <c r="A1943" s="100"/>
      <c r="B1943" s="100"/>
      <c r="C1943" s="100"/>
      <c r="D1943" s="100"/>
      <c r="E1943" s="100"/>
      <c r="F1943" s="100"/>
      <c r="G1943" s="100"/>
      <c r="H1943" s="100"/>
      <c r="I1943" s="100"/>
      <c r="J1943" s="100"/>
      <c r="K1943" s="100"/>
      <c r="L1943" s="100"/>
      <c r="M1943" s="100"/>
      <c r="N1943" s="100"/>
      <c r="O1943" s="100"/>
      <c r="P1943" s="100"/>
      <c r="Q1943" s="100"/>
      <c r="R1943" s="100"/>
      <c r="S1943" s="100"/>
      <c r="T1943" s="100"/>
      <c r="U1943" s="100"/>
      <c r="V1943" s="100"/>
      <c r="W1943" s="100"/>
      <c r="X1943" s="100"/>
      <c r="Y1943" s="100"/>
      <c r="Z1943" s="100"/>
    </row>
    <row r="1944" spans="1:26">
      <c r="A1944" s="100"/>
      <c r="B1944" s="100"/>
      <c r="C1944" s="100"/>
      <c r="D1944" s="100"/>
      <c r="E1944" s="100"/>
      <c r="F1944" s="100"/>
      <c r="G1944" s="100"/>
      <c r="H1944" s="100"/>
      <c r="I1944" s="100"/>
      <c r="J1944" s="100"/>
      <c r="K1944" s="100"/>
      <c r="L1944" s="100"/>
      <c r="M1944" s="100"/>
      <c r="N1944" s="100"/>
      <c r="O1944" s="100"/>
      <c r="P1944" s="100"/>
      <c r="Q1944" s="100"/>
      <c r="R1944" s="100"/>
      <c r="S1944" s="100"/>
      <c r="T1944" s="100"/>
      <c r="U1944" s="100"/>
      <c r="V1944" s="100"/>
      <c r="W1944" s="100"/>
      <c r="X1944" s="100"/>
      <c r="Y1944" s="100"/>
      <c r="Z1944" s="100"/>
    </row>
    <row r="1945" spans="1:26">
      <c r="A1945" s="100"/>
      <c r="B1945" s="100"/>
      <c r="C1945" s="100"/>
      <c r="D1945" s="100"/>
      <c r="E1945" s="100"/>
      <c r="F1945" s="100"/>
      <c r="G1945" s="100"/>
      <c r="H1945" s="100"/>
      <c r="I1945" s="100"/>
      <c r="J1945" s="100"/>
      <c r="K1945" s="100"/>
      <c r="L1945" s="100"/>
      <c r="M1945" s="100"/>
      <c r="N1945" s="100"/>
      <c r="O1945" s="100"/>
      <c r="P1945" s="100"/>
      <c r="Q1945" s="100"/>
      <c r="R1945" s="100"/>
      <c r="S1945" s="100"/>
      <c r="T1945" s="100"/>
      <c r="U1945" s="100"/>
      <c r="V1945" s="100"/>
      <c r="W1945" s="100"/>
      <c r="X1945" s="100"/>
      <c r="Y1945" s="100"/>
      <c r="Z1945" s="100"/>
    </row>
    <row r="1946" spans="1:26">
      <c r="A1946" s="100"/>
      <c r="B1946" s="100"/>
      <c r="C1946" s="100"/>
      <c r="D1946" s="100"/>
      <c r="E1946" s="100"/>
      <c r="F1946" s="100"/>
      <c r="G1946" s="100"/>
      <c r="H1946" s="100"/>
      <c r="I1946" s="100"/>
      <c r="J1946" s="100"/>
      <c r="K1946" s="100"/>
      <c r="L1946" s="100"/>
      <c r="M1946" s="100"/>
      <c r="N1946" s="100"/>
      <c r="O1946" s="100"/>
      <c r="P1946" s="100"/>
      <c r="Q1946" s="100"/>
      <c r="R1946" s="100"/>
      <c r="S1946" s="100"/>
      <c r="T1946" s="100"/>
      <c r="U1946" s="100"/>
      <c r="V1946" s="100"/>
      <c r="W1946" s="100"/>
      <c r="X1946" s="100"/>
      <c r="Y1946" s="100"/>
      <c r="Z1946" s="100"/>
    </row>
    <row r="1947" spans="1:26">
      <c r="A1947" s="100"/>
      <c r="B1947" s="100"/>
      <c r="C1947" s="100"/>
      <c r="D1947" s="100"/>
      <c r="E1947" s="100"/>
      <c r="F1947" s="100"/>
      <c r="G1947" s="100"/>
      <c r="H1947" s="100"/>
      <c r="I1947" s="100"/>
      <c r="J1947" s="100"/>
      <c r="K1947" s="100"/>
      <c r="L1947" s="100"/>
      <c r="M1947" s="100"/>
      <c r="N1947" s="100"/>
      <c r="O1947" s="100"/>
      <c r="P1947" s="100"/>
      <c r="Q1947" s="100"/>
      <c r="R1947" s="100"/>
      <c r="S1947" s="100"/>
      <c r="T1947" s="100"/>
      <c r="U1947" s="100"/>
      <c r="V1947" s="100"/>
      <c r="W1947" s="100"/>
      <c r="X1947" s="100"/>
      <c r="Y1947" s="100"/>
      <c r="Z1947" s="100"/>
    </row>
    <row r="1948" spans="1:26">
      <c r="A1948" s="100"/>
      <c r="B1948" s="100"/>
      <c r="C1948" s="100"/>
      <c r="D1948" s="100"/>
      <c r="E1948" s="100"/>
      <c r="F1948" s="100"/>
      <c r="G1948" s="100"/>
      <c r="H1948" s="100"/>
      <c r="I1948" s="100"/>
      <c r="J1948" s="100"/>
      <c r="K1948" s="100"/>
      <c r="L1948" s="100"/>
      <c r="M1948" s="100"/>
      <c r="N1948" s="100"/>
      <c r="O1948" s="100"/>
      <c r="P1948" s="100"/>
      <c r="Q1948" s="100"/>
      <c r="R1948" s="100"/>
      <c r="S1948" s="100"/>
      <c r="T1948" s="100"/>
      <c r="U1948" s="100"/>
      <c r="V1948" s="100"/>
      <c r="W1948" s="100"/>
      <c r="X1948" s="100"/>
      <c r="Y1948" s="100"/>
      <c r="Z1948" s="100"/>
    </row>
    <row r="1949" spans="1:26">
      <c r="A1949" s="100"/>
      <c r="B1949" s="100"/>
      <c r="C1949" s="100"/>
      <c r="D1949" s="100"/>
      <c r="E1949" s="100"/>
      <c r="F1949" s="100"/>
      <c r="G1949" s="100"/>
      <c r="H1949" s="100"/>
      <c r="I1949" s="100"/>
      <c r="J1949" s="100"/>
      <c r="K1949" s="100"/>
      <c r="L1949" s="100"/>
      <c r="M1949" s="100"/>
      <c r="N1949" s="100"/>
      <c r="O1949" s="100"/>
      <c r="P1949" s="100"/>
      <c r="Q1949" s="100"/>
      <c r="R1949" s="100"/>
      <c r="S1949" s="100"/>
      <c r="T1949" s="100"/>
      <c r="U1949" s="100"/>
      <c r="V1949" s="100"/>
      <c r="W1949" s="100"/>
      <c r="X1949" s="100"/>
      <c r="Y1949" s="100"/>
      <c r="Z1949" s="100"/>
    </row>
    <row r="1950" spans="1:26">
      <c r="A1950" s="100"/>
      <c r="B1950" s="100"/>
      <c r="C1950" s="100"/>
      <c r="D1950" s="100"/>
      <c r="E1950" s="100"/>
      <c r="F1950" s="100"/>
      <c r="G1950" s="100"/>
      <c r="H1950" s="100"/>
      <c r="I1950" s="100"/>
      <c r="J1950" s="100"/>
      <c r="K1950" s="100"/>
      <c r="L1950" s="100"/>
      <c r="M1950" s="100"/>
      <c r="N1950" s="100"/>
      <c r="O1950" s="100"/>
      <c r="P1950" s="100"/>
      <c r="Q1950" s="100"/>
      <c r="R1950" s="100"/>
      <c r="S1950" s="100"/>
      <c r="T1950" s="100"/>
      <c r="U1950" s="100"/>
      <c r="V1950" s="100"/>
      <c r="W1950" s="100"/>
      <c r="X1950" s="100"/>
      <c r="Y1950" s="100"/>
      <c r="Z1950" s="100"/>
    </row>
    <row r="1951" spans="1:26">
      <c r="A1951" s="100"/>
      <c r="B1951" s="100"/>
      <c r="C1951" s="100"/>
      <c r="D1951" s="100"/>
      <c r="E1951" s="100"/>
      <c r="F1951" s="100"/>
      <c r="G1951" s="100"/>
      <c r="H1951" s="100"/>
      <c r="I1951" s="100"/>
      <c r="J1951" s="100"/>
      <c r="K1951" s="100"/>
      <c r="L1951" s="100"/>
      <c r="M1951" s="100"/>
      <c r="N1951" s="100"/>
      <c r="O1951" s="100"/>
      <c r="P1951" s="100"/>
      <c r="Q1951" s="100"/>
      <c r="R1951" s="100"/>
      <c r="S1951" s="100"/>
      <c r="T1951" s="100"/>
      <c r="U1951" s="100"/>
      <c r="V1951" s="100"/>
      <c r="W1951" s="100"/>
      <c r="X1951" s="100"/>
      <c r="Y1951" s="100"/>
      <c r="Z1951" s="100"/>
    </row>
    <row r="1952" spans="1:26">
      <c r="A1952" s="100"/>
      <c r="B1952" s="100"/>
      <c r="C1952" s="100"/>
      <c r="D1952" s="100"/>
      <c r="E1952" s="100"/>
      <c r="F1952" s="100"/>
      <c r="G1952" s="100"/>
      <c r="H1952" s="100"/>
      <c r="I1952" s="100"/>
      <c r="J1952" s="100"/>
      <c r="K1952" s="100"/>
      <c r="L1952" s="100"/>
      <c r="M1952" s="100"/>
      <c r="N1952" s="100"/>
      <c r="O1952" s="100"/>
      <c r="P1952" s="100"/>
      <c r="Q1952" s="100"/>
      <c r="R1952" s="100"/>
      <c r="S1952" s="100"/>
      <c r="T1952" s="100"/>
      <c r="U1952" s="100"/>
      <c r="V1952" s="100"/>
      <c r="W1952" s="100"/>
      <c r="X1952" s="100"/>
      <c r="Y1952" s="100"/>
      <c r="Z1952" s="100"/>
    </row>
    <row r="1953" spans="1:26">
      <c r="A1953" s="100"/>
      <c r="B1953" s="100"/>
      <c r="C1953" s="100"/>
      <c r="D1953" s="100"/>
      <c r="E1953" s="100"/>
      <c r="F1953" s="100"/>
      <c r="G1953" s="100"/>
      <c r="H1953" s="100"/>
      <c r="I1953" s="100"/>
      <c r="J1953" s="100"/>
      <c r="K1953" s="100"/>
      <c r="L1953" s="100"/>
      <c r="M1953" s="100"/>
      <c r="N1953" s="100"/>
      <c r="O1953" s="100"/>
      <c r="P1953" s="100"/>
      <c r="Q1953" s="100"/>
      <c r="R1953" s="100"/>
      <c r="S1953" s="100"/>
      <c r="T1953" s="100"/>
      <c r="U1953" s="100"/>
      <c r="V1953" s="100"/>
      <c r="W1953" s="100"/>
      <c r="X1953" s="100"/>
      <c r="Y1953" s="100"/>
      <c r="Z1953" s="100"/>
    </row>
    <row r="1954" spans="1:26">
      <c r="A1954" s="100"/>
      <c r="B1954" s="100"/>
      <c r="C1954" s="100"/>
      <c r="D1954" s="100"/>
      <c r="E1954" s="100"/>
      <c r="F1954" s="100"/>
      <c r="G1954" s="100"/>
      <c r="H1954" s="100"/>
      <c r="I1954" s="100"/>
      <c r="J1954" s="100"/>
      <c r="K1954" s="100"/>
      <c r="L1954" s="100"/>
      <c r="M1954" s="100"/>
      <c r="N1954" s="100"/>
      <c r="O1954" s="100"/>
      <c r="P1954" s="100"/>
      <c r="Q1954" s="100"/>
      <c r="R1954" s="100"/>
      <c r="S1954" s="100"/>
      <c r="T1954" s="100"/>
      <c r="U1954" s="100"/>
      <c r="V1954" s="100"/>
      <c r="W1954" s="100"/>
      <c r="X1954" s="100"/>
      <c r="Y1954" s="100"/>
      <c r="Z1954" s="100"/>
    </row>
    <row r="1955" spans="1:26">
      <c r="A1955" s="100"/>
      <c r="B1955" s="100"/>
      <c r="C1955" s="100"/>
      <c r="D1955" s="100"/>
      <c r="E1955" s="100"/>
      <c r="F1955" s="100"/>
      <c r="G1955" s="100"/>
      <c r="H1955" s="100"/>
      <c r="I1955" s="100"/>
      <c r="J1955" s="100"/>
      <c r="K1955" s="100"/>
      <c r="L1955" s="100"/>
      <c r="M1955" s="100"/>
      <c r="N1955" s="100"/>
      <c r="O1955" s="100"/>
      <c r="P1955" s="100"/>
      <c r="Q1955" s="100"/>
      <c r="R1955" s="100"/>
      <c r="S1955" s="100"/>
      <c r="T1955" s="100"/>
      <c r="U1955" s="100"/>
      <c r="V1955" s="100"/>
      <c r="W1955" s="100"/>
      <c r="X1955" s="100"/>
      <c r="Y1955" s="100"/>
      <c r="Z1955" s="100"/>
    </row>
    <row r="1956" spans="1:26">
      <c r="A1956" s="100"/>
      <c r="B1956" s="100"/>
      <c r="C1956" s="100"/>
      <c r="D1956" s="100"/>
      <c r="E1956" s="100"/>
      <c r="F1956" s="100"/>
      <c r="G1956" s="100"/>
      <c r="H1956" s="100"/>
      <c r="I1956" s="100"/>
      <c r="J1956" s="100"/>
      <c r="K1956" s="100"/>
      <c r="L1956" s="100"/>
      <c r="M1956" s="100"/>
      <c r="N1956" s="100"/>
      <c r="O1956" s="100"/>
      <c r="P1956" s="100"/>
      <c r="Q1956" s="100"/>
      <c r="R1956" s="100"/>
      <c r="S1956" s="100"/>
      <c r="T1956" s="100"/>
      <c r="U1956" s="100"/>
      <c r="V1956" s="100"/>
      <c r="W1956" s="100"/>
      <c r="X1956" s="100"/>
      <c r="Y1956" s="100"/>
      <c r="Z1956" s="100"/>
    </row>
    <row r="1957" spans="1:26">
      <c r="A1957" s="100"/>
      <c r="B1957" s="100"/>
      <c r="C1957" s="100"/>
      <c r="D1957" s="100"/>
      <c r="E1957" s="100"/>
      <c r="F1957" s="100"/>
      <c r="G1957" s="100"/>
      <c r="H1957" s="100"/>
      <c r="I1957" s="100"/>
      <c r="J1957" s="100"/>
      <c r="K1957" s="100"/>
      <c r="L1957" s="100"/>
      <c r="M1957" s="100"/>
      <c r="N1957" s="100"/>
      <c r="O1957" s="100"/>
      <c r="P1957" s="100"/>
      <c r="Q1957" s="100"/>
      <c r="R1957" s="100"/>
      <c r="S1957" s="100"/>
      <c r="T1957" s="100"/>
      <c r="U1957" s="100"/>
      <c r="V1957" s="100"/>
      <c r="W1957" s="100"/>
      <c r="X1957" s="100"/>
      <c r="Y1957" s="100"/>
      <c r="Z1957" s="100"/>
    </row>
    <row r="1958" spans="1:26">
      <c r="A1958" s="100"/>
      <c r="B1958" s="100"/>
      <c r="C1958" s="100"/>
      <c r="D1958" s="100"/>
      <c r="E1958" s="100"/>
      <c r="F1958" s="100"/>
      <c r="G1958" s="100"/>
      <c r="H1958" s="100"/>
      <c r="I1958" s="100"/>
      <c r="J1958" s="100"/>
      <c r="K1958" s="100"/>
      <c r="L1958" s="100"/>
      <c r="M1958" s="100"/>
      <c r="N1958" s="100"/>
      <c r="O1958" s="100"/>
      <c r="P1958" s="100"/>
      <c r="Q1958" s="100"/>
      <c r="R1958" s="100"/>
      <c r="S1958" s="100"/>
      <c r="T1958" s="100"/>
      <c r="U1958" s="100"/>
      <c r="V1958" s="100"/>
      <c r="W1958" s="100"/>
      <c r="X1958" s="100"/>
      <c r="Y1958" s="100"/>
      <c r="Z1958" s="100"/>
    </row>
    <row r="1959" spans="1:26">
      <c r="A1959" s="100"/>
      <c r="B1959" s="100"/>
      <c r="C1959" s="100"/>
      <c r="D1959" s="100"/>
      <c r="E1959" s="100"/>
      <c r="F1959" s="100"/>
      <c r="G1959" s="100"/>
      <c r="H1959" s="100"/>
      <c r="I1959" s="100"/>
      <c r="J1959" s="100"/>
      <c r="K1959" s="100"/>
      <c r="L1959" s="100"/>
      <c r="M1959" s="100"/>
      <c r="N1959" s="100"/>
      <c r="O1959" s="100"/>
      <c r="P1959" s="100"/>
      <c r="Q1959" s="100"/>
      <c r="R1959" s="100"/>
      <c r="S1959" s="100"/>
      <c r="T1959" s="100"/>
      <c r="U1959" s="100"/>
      <c r="V1959" s="100"/>
      <c r="W1959" s="100"/>
      <c r="X1959" s="100"/>
      <c r="Y1959" s="100"/>
      <c r="Z1959" s="100"/>
    </row>
    <row r="1960" spans="1:26">
      <c r="A1960" s="100"/>
      <c r="B1960" s="100"/>
      <c r="C1960" s="100"/>
      <c r="D1960" s="100"/>
      <c r="E1960" s="100"/>
      <c r="F1960" s="100"/>
      <c r="G1960" s="100"/>
      <c r="H1960" s="100"/>
      <c r="I1960" s="100"/>
      <c r="J1960" s="100"/>
      <c r="K1960" s="100"/>
      <c r="L1960" s="100"/>
      <c r="M1960" s="100"/>
      <c r="N1960" s="100"/>
      <c r="O1960" s="100"/>
      <c r="P1960" s="100"/>
      <c r="Q1960" s="100"/>
      <c r="R1960" s="100"/>
      <c r="S1960" s="100"/>
      <c r="T1960" s="100"/>
      <c r="U1960" s="100"/>
      <c r="V1960" s="100"/>
      <c r="W1960" s="100"/>
      <c r="X1960" s="100"/>
      <c r="Y1960" s="100"/>
      <c r="Z1960" s="100"/>
    </row>
    <row r="1961" spans="1:26">
      <c r="A1961" s="100"/>
      <c r="B1961" s="100"/>
      <c r="C1961" s="100"/>
      <c r="D1961" s="100"/>
      <c r="E1961" s="100"/>
      <c r="F1961" s="100"/>
      <c r="G1961" s="100"/>
      <c r="H1961" s="100"/>
      <c r="I1961" s="100"/>
      <c r="J1961" s="100"/>
      <c r="K1961" s="100"/>
      <c r="L1961" s="100"/>
      <c r="M1961" s="100"/>
      <c r="N1961" s="100"/>
      <c r="O1961" s="100"/>
      <c r="P1961" s="100"/>
      <c r="Q1961" s="100"/>
      <c r="R1961" s="100"/>
      <c r="S1961" s="100"/>
      <c r="T1961" s="100"/>
      <c r="U1961" s="100"/>
      <c r="V1961" s="100"/>
      <c r="W1961" s="100"/>
      <c r="X1961" s="100"/>
      <c r="Y1961" s="100"/>
      <c r="Z1961" s="100"/>
    </row>
    <row r="1962" spans="1:26">
      <c r="A1962" s="100"/>
      <c r="B1962" s="100"/>
      <c r="C1962" s="100"/>
      <c r="D1962" s="100"/>
      <c r="E1962" s="100"/>
      <c r="F1962" s="100"/>
      <c r="G1962" s="100"/>
      <c r="H1962" s="100"/>
      <c r="I1962" s="100"/>
      <c r="J1962" s="100"/>
      <c r="K1962" s="100"/>
      <c r="L1962" s="100"/>
      <c r="M1962" s="100"/>
      <c r="N1962" s="100"/>
      <c r="O1962" s="100"/>
      <c r="P1962" s="100"/>
      <c r="Q1962" s="100"/>
      <c r="R1962" s="100"/>
      <c r="S1962" s="100"/>
      <c r="T1962" s="100"/>
      <c r="U1962" s="100"/>
      <c r="V1962" s="100"/>
      <c r="W1962" s="100"/>
      <c r="X1962" s="100"/>
      <c r="Y1962" s="100"/>
      <c r="Z1962" s="100"/>
    </row>
    <row r="1963" spans="1:26">
      <c r="A1963" s="100"/>
      <c r="B1963" s="100"/>
      <c r="C1963" s="100"/>
      <c r="D1963" s="100"/>
      <c r="E1963" s="100"/>
      <c r="F1963" s="100"/>
      <c r="G1963" s="100"/>
      <c r="H1963" s="100"/>
      <c r="I1963" s="100"/>
      <c r="J1963" s="100"/>
      <c r="K1963" s="100"/>
      <c r="L1963" s="100"/>
      <c r="M1963" s="100"/>
      <c r="N1963" s="100"/>
      <c r="O1963" s="100"/>
      <c r="P1963" s="100"/>
      <c r="Q1963" s="100"/>
      <c r="R1963" s="100"/>
      <c r="S1963" s="100"/>
      <c r="T1963" s="100"/>
      <c r="U1963" s="100"/>
      <c r="V1963" s="100"/>
      <c r="W1963" s="100"/>
      <c r="X1963" s="100"/>
      <c r="Y1963" s="100"/>
      <c r="Z1963" s="100"/>
    </row>
    <row r="1964" spans="1:26">
      <c r="A1964" s="100"/>
      <c r="B1964" s="100"/>
      <c r="C1964" s="100"/>
      <c r="D1964" s="100"/>
      <c r="E1964" s="100"/>
      <c r="F1964" s="100"/>
      <c r="G1964" s="100"/>
      <c r="H1964" s="100"/>
      <c r="I1964" s="100"/>
      <c r="J1964" s="100"/>
      <c r="K1964" s="100"/>
      <c r="L1964" s="100"/>
      <c r="M1964" s="100"/>
      <c r="N1964" s="100"/>
      <c r="O1964" s="100"/>
      <c r="P1964" s="100"/>
      <c r="Q1964" s="100"/>
      <c r="R1964" s="100"/>
      <c r="S1964" s="100"/>
      <c r="T1964" s="100"/>
      <c r="U1964" s="100"/>
      <c r="V1964" s="100"/>
      <c r="W1964" s="100"/>
      <c r="X1964" s="100"/>
      <c r="Y1964" s="100"/>
      <c r="Z1964" s="100"/>
    </row>
    <row r="1965" spans="1:26">
      <c r="A1965" s="100"/>
      <c r="B1965" s="100"/>
      <c r="C1965" s="100"/>
      <c r="D1965" s="100"/>
      <c r="E1965" s="100"/>
      <c r="F1965" s="100"/>
      <c r="G1965" s="100"/>
      <c r="H1965" s="100"/>
      <c r="I1965" s="100"/>
      <c r="J1965" s="100"/>
      <c r="K1965" s="100"/>
      <c r="L1965" s="100"/>
      <c r="M1965" s="100"/>
      <c r="N1965" s="100"/>
      <c r="O1965" s="100"/>
      <c r="P1965" s="100"/>
      <c r="Q1965" s="100"/>
      <c r="R1965" s="100"/>
      <c r="S1965" s="100"/>
      <c r="T1965" s="100"/>
      <c r="U1965" s="100"/>
      <c r="V1965" s="100"/>
      <c r="W1965" s="100"/>
      <c r="X1965" s="100"/>
      <c r="Y1965" s="100"/>
      <c r="Z1965" s="100"/>
    </row>
    <row r="1966" spans="1:26">
      <c r="A1966" s="100"/>
      <c r="B1966" s="100"/>
      <c r="C1966" s="100"/>
      <c r="D1966" s="100"/>
      <c r="E1966" s="100"/>
      <c r="F1966" s="100"/>
      <c r="G1966" s="100"/>
      <c r="H1966" s="100"/>
      <c r="I1966" s="100"/>
      <c r="J1966" s="100"/>
      <c r="K1966" s="100"/>
      <c r="L1966" s="100"/>
      <c r="M1966" s="100"/>
      <c r="N1966" s="100"/>
      <c r="O1966" s="100"/>
      <c r="P1966" s="100"/>
      <c r="Q1966" s="100"/>
      <c r="R1966" s="100"/>
      <c r="S1966" s="100"/>
      <c r="T1966" s="100"/>
      <c r="U1966" s="100"/>
      <c r="V1966" s="100"/>
      <c r="W1966" s="100"/>
      <c r="X1966" s="100"/>
      <c r="Y1966" s="100"/>
      <c r="Z1966" s="100"/>
    </row>
    <row r="1967" spans="1:26">
      <c r="A1967" s="100"/>
      <c r="B1967" s="100"/>
      <c r="C1967" s="100"/>
      <c r="D1967" s="100"/>
      <c r="E1967" s="100"/>
      <c r="F1967" s="100"/>
      <c r="G1967" s="100"/>
      <c r="H1967" s="100"/>
      <c r="I1967" s="100"/>
      <c r="J1967" s="100"/>
      <c r="K1967" s="100"/>
      <c r="L1967" s="100"/>
      <c r="M1967" s="100"/>
      <c r="N1967" s="100"/>
      <c r="O1967" s="100"/>
      <c r="P1967" s="100"/>
      <c r="Q1967" s="100"/>
      <c r="R1967" s="100"/>
      <c r="S1967" s="100"/>
      <c r="T1967" s="100"/>
      <c r="U1967" s="100"/>
      <c r="V1967" s="100"/>
      <c r="W1967" s="100"/>
      <c r="X1967" s="100"/>
      <c r="Y1967" s="100"/>
      <c r="Z1967" s="100"/>
    </row>
    <row r="1968" spans="1:26">
      <c r="A1968" s="100"/>
      <c r="B1968" s="100"/>
      <c r="C1968" s="100"/>
      <c r="D1968" s="100"/>
      <c r="E1968" s="100"/>
      <c r="F1968" s="100"/>
      <c r="G1968" s="100"/>
      <c r="H1968" s="100"/>
      <c r="I1968" s="100"/>
      <c r="J1968" s="100"/>
      <c r="K1968" s="100"/>
      <c r="L1968" s="100"/>
      <c r="M1968" s="100"/>
      <c r="N1968" s="100"/>
      <c r="O1968" s="100"/>
      <c r="P1968" s="100"/>
      <c r="Q1968" s="100"/>
      <c r="R1968" s="100"/>
      <c r="S1968" s="100"/>
      <c r="T1968" s="100"/>
      <c r="U1968" s="100"/>
      <c r="V1968" s="100"/>
      <c r="W1968" s="100"/>
      <c r="X1968" s="100"/>
      <c r="Y1968" s="100"/>
      <c r="Z1968" s="100"/>
    </row>
    <row r="1969" spans="1:26">
      <c r="A1969" s="100"/>
      <c r="B1969" s="100"/>
      <c r="C1969" s="100"/>
      <c r="D1969" s="100"/>
      <c r="E1969" s="100"/>
      <c r="F1969" s="100"/>
      <c r="G1969" s="100"/>
      <c r="H1969" s="100"/>
      <c r="I1969" s="100"/>
      <c r="J1969" s="100"/>
      <c r="K1969" s="100"/>
      <c r="L1969" s="100"/>
      <c r="M1969" s="100"/>
      <c r="N1969" s="100"/>
      <c r="O1969" s="100"/>
      <c r="P1969" s="100"/>
      <c r="Q1969" s="100"/>
      <c r="R1969" s="100"/>
      <c r="S1969" s="100"/>
      <c r="T1969" s="100"/>
      <c r="U1969" s="100"/>
      <c r="V1969" s="100"/>
      <c r="W1969" s="100"/>
      <c r="X1969" s="100"/>
      <c r="Y1969" s="100"/>
      <c r="Z1969" s="100"/>
    </row>
    <row r="1970" spans="1:26">
      <c r="A1970" s="100"/>
      <c r="B1970" s="100"/>
      <c r="C1970" s="100"/>
      <c r="D1970" s="100"/>
      <c r="E1970" s="100"/>
      <c r="F1970" s="100"/>
      <c r="G1970" s="100"/>
      <c r="H1970" s="100"/>
      <c r="I1970" s="100"/>
      <c r="J1970" s="100"/>
      <c r="K1970" s="100"/>
      <c r="L1970" s="100"/>
      <c r="M1970" s="100"/>
      <c r="N1970" s="100"/>
      <c r="O1970" s="100"/>
      <c r="P1970" s="100"/>
      <c r="Q1970" s="100"/>
      <c r="R1970" s="100"/>
      <c r="S1970" s="100"/>
      <c r="T1970" s="100"/>
      <c r="U1970" s="100"/>
      <c r="V1970" s="100"/>
      <c r="W1970" s="100"/>
      <c r="X1970" s="100"/>
      <c r="Y1970" s="100"/>
      <c r="Z1970" s="100"/>
    </row>
    <row r="1971" spans="1:26">
      <c r="A1971" s="100"/>
      <c r="B1971" s="100"/>
      <c r="C1971" s="100"/>
      <c r="D1971" s="100"/>
      <c r="E1971" s="100"/>
      <c r="F1971" s="100"/>
      <c r="G1971" s="100"/>
      <c r="H1971" s="100"/>
      <c r="I1971" s="100"/>
      <c r="J1971" s="100"/>
      <c r="K1971" s="100"/>
      <c r="L1971" s="100"/>
      <c r="M1971" s="100"/>
      <c r="N1971" s="100"/>
      <c r="O1971" s="100"/>
      <c r="P1971" s="100"/>
      <c r="Q1971" s="100"/>
      <c r="R1971" s="100"/>
      <c r="S1971" s="100"/>
      <c r="T1971" s="100"/>
      <c r="U1971" s="100"/>
      <c r="V1971" s="100"/>
      <c r="W1971" s="100"/>
      <c r="X1971" s="100"/>
      <c r="Y1971" s="100"/>
      <c r="Z1971" s="100"/>
    </row>
    <row r="1972" spans="1:26">
      <c r="A1972" s="100"/>
      <c r="B1972" s="100"/>
      <c r="C1972" s="100"/>
      <c r="D1972" s="100"/>
      <c r="E1972" s="100"/>
      <c r="F1972" s="100"/>
      <c r="G1972" s="100"/>
      <c r="H1972" s="100"/>
      <c r="I1972" s="100"/>
      <c r="J1972" s="100"/>
      <c r="K1972" s="100"/>
      <c r="L1972" s="100"/>
      <c r="M1972" s="100"/>
      <c r="N1972" s="100"/>
      <c r="O1972" s="100"/>
      <c r="P1972" s="100"/>
      <c r="Q1972" s="100"/>
      <c r="R1972" s="100"/>
      <c r="S1972" s="100"/>
      <c r="T1972" s="100"/>
      <c r="U1972" s="100"/>
      <c r="V1972" s="100"/>
      <c r="W1972" s="100"/>
      <c r="X1972" s="100"/>
      <c r="Y1972" s="100"/>
      <c r="Z1972" s="100"/>
    </row>
    <row r="1973" spans="1:26">
      <c r="A1973" s="100"/>
      <c r="B1973" s="100"/>
      <c r="C1973" s="100"/>
      <c r="D1973" s="100"/>
      <c r="E1973" s="100"/>
      <c r="F1973" s="100"/>
      <c r="G1973" s="100"/>
      <c r="H1973" s="100"/>
      <c r="I1973" s="100"/>
      <c r="J1973" s="100"/>
      <c r="K1973" s="100"/>
      <c r="L1973" s="100"/>
      <c r="M1973" s="100"/>
      <c r="N1973" s="100"/>
      <c r="O1973" s="100"/>
      <c r="P1973" s="100"/>
      <c r="Q1973" s="100"/>
      <c r="R1973" s="100"/>
      <c r="S1973" s="100"/>
      <c r="T1973" s="100"/>
      <c r="U1973" s="100"/>
      <c r="V1973" s="100"/>
      <c r="W1973" s="100"/>
      <c r="X1973" s="100"/>
      <c r="Y1973" s="100"/>
      <c r="Z1973" s="100"/>
    </row>
    <row r="1974" spans="1:26">
      <c r="A1974" s="100"/>
      <c r="B1974" s="100"/>
      <c r="C1974" s="100"/>
      <c r="D1974" s="100"/>
      <c r="E1974" s="100"/>
      <c r="F1974" s="100"/>
      <c r="G1974" s="100"/>
      <c r="H1974" s="100"/>
      <c r="I1974" s="100"/>
      <c r="J1974" s="100"/>
      <c r="K1974" s="100"/>
      <c r="L1974" s="100"/>
      <c r="M1974" s="100"/>
      <c r="N1974" s="100"/>
      <c r="O1974" s="100"/>
      <c r="P1974" s="100"/>
      <c r="Q1974" s="100"/>
      <c r="R1974" s="100"/>
      <c r="S1974" s="100"/>
      <c r="T1974" s="100"/>
      <c r="U1974" s="100"/>
      <c r="V1974" s="100"/>
      <c r="W1974" s="100"/>
      <c r="X1974" s="100"/>
      <c r="Y1974" s="100"/>
      <c r="Z1974" s="100"/>
    </row>
    <row r="1975" spans="1:26">
      <c r="A1975" s="100"/>
      <c r="B1975" s="100"/>
      <c r="C1975" s="100"/>
      <c r="D1975" s="100"/>
      <c r="E1975" s="100"/>
      <c r="F1975" s="100"/>
      <c r="G1975" s="100"/>
      <c r="H1975" s="100"/>
      <c r="I1975" s="100"/>
      <c r="J1975" s="100"/>
      <c r="K1975" s="100"/>
      <c r="L1975" s="100"/>
      <c r="M1975" s="100"/>
      <c r="N1975" s="100"/>
      <c r="O1975" s="100"/>
      <c r="P1975" s="100"/>
      <c r="Q1975" s="100"/>
      <c r="R1975" s="100"/>
      <c r="S1975" s="100"/>
      <c r="T1975" s="100"/>
      <c r="U1975" s="100"/>
      <c r="V1975" s="100"/>
      <c r="W1975" s="100"/>
      <c r="X1975" s="100"/>
      <c r="Y1975" s="100"/>
      <c r="Z1975" s="100"/>
    </row>
    <row r="1976" spans="1:26">
      <c r="A1976" s="100"/>
      <c r="B1976" s="100"/>
      <c r="C1976" s="100"/>
      <c r="D1976" s="100"/>
      <c r="E1976" s="100"/>
      <c r="F1976" s="100"/>
      <c r="G1976" s="100"/>
      <c r="H1976" s="100"/>
      <c r="I1976" s="100"/>
      <c r="J1976" s="100"/>
      <c r="K1976" s="100"/>
      <c r="L1976" s="100"/>
      <c r="M1976" s="100"/>
      <c r="N1976" s="100"/>
      <c r="O1976" s="100"/>
      <c r="P1976" s="100"/>
      <c r="Q1976" s="100"/>
      <c r="R1976" s="100"/>
      <c r="S1976" s="100"/>
      <c r="T1976" s="100"/>
      <c r="U1976" s="100"/>
      <c r="V1976" s="100"/>
      <c r="W1976" s="100"/>
      <c r="X1976" s="100"/>
      <c r="Y1976" s="100"/>
      <c r="Z1976" s="100"/>
    </row>
    <row r="1977" spans="1:26">
      <c r="A1977" s="100"/>
      <c r="B1977" s="100"/>
      <c r="C1977" s="100"/>
      <c r="D1977" s="100"/>
      <c r="E1977" s="100"/>
      <c r="F1977" s="100"/>
      <c r="G1977" s="100"/>
      <c r="H1977" s="100"/>
      <c r="I1977" s="100"/>
      <c r="J1977" s="100"/>
      <c r="K1977" s="100"/>
      <c r="L1977" s="100"/>
      <c r="M1977" s="100"/>
      <c r="N1977" s="100"/>
      <c r="O1977" s="100"/>
      <c r="P1977" s="100"/>
      <c r="Q1977" s="100"/>
      <c r="R1977" s="100"/>
      <c r="S1977" s="100"/>
      <c r="T1977" s="100"/>
      <c r="U1977" s="100"/>
      <c r="V1977" s="100"/>
      <c r="W1977" s="100"/>
      <c r="X1977" s="100"/>
      <c r="Y1977" s="100"/>
      <c r="Z1977" s="100"/>
    </row>
    <row r="1978" spans="1:26">
      <c r="A1978" s="100"/>
      <c r="B1978" s="100"/>
      <c r="C1978" s="100"/>
      <c r="D1978" s="100"/>
      <c r="E1978" s="100"/>
      <c r="F1978" s="100"/>
      <c r="G1978" s="100"/>
      <c r="H1978" s="100"/>
      <c r="I1978" s="100"/>
      <c r="J1978" s="100"/>
      <c r="K1978" s="100"/>
      <c r="L1978" s="100"/>
      <c r="M1978" s="100"/>
      <c r="N1978" s="100"/>
      <c r="O1978" s="100"/>
      <c r="P1978" s="100"/>
      <c r="Q1978" s="100"/>
      <c r="R1978" s="100"/>
      <c r="S1978" s="100"/>
      <c r="T1978" s="100"/>
      <c r="U1978" s="100"/>
      <c r="V1978" s="100"/>
      <c r="W1978" s="100"/>
      <c r="X1978" s="100"/>
      <c r="Y1978" s="100"/>
      <c r="Z1978" s="100"/>
    </row>
    <row r="1979" spans="1:26">
      <c r="A1979" s="100"/>
      <c r="B1979" s="100"/>
      <c r="C1979" s="100"/>
      <c r="D1979" s="100"/>
      <c r="E1979" s="100"/>
      <c r="F1979" s="100"/>
      <c r="G1979" s="100"/>
      <c r="H1979" s="100"/>
      <c r="I1979" s="100"/>
      <c r="J1979" s="100"/>
      <c r="K1979" s="100"/>
      <c r="L1979" s="100"/>
      <c r="M1979" s="100"/>
      <c r="N1979" s="100"/>
      <c r="O1979" s="100"/>
      <c r="P1979" s="100"/>
      <c r="Q1979" s="100"/>
      <c r="R1979" s="100"/>
      <c r="S1979" s="100"/>
      <c r="T1979" s="100"/>
      <c r="U1979" s="100"/>
      <c r="V1979" s="100"/>
      <c r="W1979" s="100"/>
      <c r="X1979" s="100"/>
      <c r="Y1979" s="100"/>
      <c r="Z1979" s="100"/>
    </row>
    <row r="1980" spans="1:26">
      <c r="A1980" s="100"/>
      <c r="B1980" s="100"/>
      <c r="C1980" s="100"/>
      <c r="D1980" s="100"/>
      <c r="E1980" s="100"/>
      <c r="F1980" s="100"/>
      <c r="G1980" s="100"/>
      <c r="H1980" s="100"/>
      <c r="I1980" s="100"/>
      <c r="J1980" s="100"/>
      <c r="K1980" s="100"/>
      <c r="L1980" s="100"/>
      <c r="M1980" s="100"/>
      <c r="N1980" s="100"/>
      <c r="O1980" s="100"/>
      <c r="P1980" s="100"/>
      <c r="Q1980" s="100"/>
      <c r="R1980" s="100"/>
      <c r="S1980" s="100"/>
      <c r="T1980" s="100"/>
      <c r="U1980" s="100"/>
      <c r="V1980" s="100"/>
      <c r="W1980" s="100"/>
      <c r="X1980" s="100"/>
      <c r="Y1980" s="100"/>
      <c r="Z1980" s="100"/>
    </row>
    <row r="1981" spans="1:26">
      <c r="A1981" s="100"/>
      <c r="B1981" s="100"/>
      <c r="C1981" s="100"/>
      <c r="D1981" s="100"/>
      <c r="E1981" s="100"/>
      <c r="F1981" s="100"/>
      <c r="G1981" s="100"/>
      <c r="H1981" s="100"/>
      <c r="I1981" s="100"/>
      <c r="J1981" s="100"/>
      <c r="K1981" s="100"/>
      <c r="L1981" s="100"/>
      <c r="M1981" s="100"/>
      <c r="N1981" s="100"/>
      <c r="O1981" s="100"/>
      <c r="P1981" s="100"/>
      <c r="Q1981" s="100"/>
      <c r="R1981" s="100"/>
      <c r="S1981" s="100"/>
      <c r="T1981" s="100"/>
      <c r="U1981" s="100"/>
      <c r="V1981" s="100"/>
      <c r="W1981" s="100"/>
      <c r="X1981" s="100"/>
      <c r="Y1981" s="100"/>
      <c r="Z1981" s="100"/>
    </row>
    <row r="1982" spans="1:26">
      <c r="A1982" s="100"/>
      <c r="B1982" s="100"/>
      <c r="C1982" s="100"/>
      <c r="D1982" s="100"/>
      <c r="E1982" s="100"/>
      <c r="F1982" s="100"/>
      <c r="G1982" s="100"/>
      <c r="H1982" s="100"/>
      <c r="I1982" s="100"/>
      <c r="J1982" s="100"/>
      <c r="K1982" s="100"/>
      <c r="L1982" s="100"/>
      <c r="M1982" s="100"/>
      <c r="N1982" s="100"/>
      <c r="O1982" s="100"/>
      <c r="P1982" s="100"/>
      <c r="Q1982" s="100"/>
      <c r="R1982" s="100"/>
      <c r="S1982" s="100"/>
      <c r="T1982" s="100"/>
      <c r="U1982" s="100"/>
      <c r="V1982" s="100"/>
      <c r="W1982" s="100"/>
      <c r="X1982" s="100"/>
      <c r="Y1982" s="100"/>
      <c r="Z1982" s="100"/>
    </row>
    <row r="1983" spans="1:26">
      <c r="A1983" s="100"/>
      <c r="B1983" s="100"/>
      <c r="C1983" s="100"/>
      <c r="D1983" s="100"/>
      <c r="E1983" s="100"/>
      <c r="F1983" s="100"/>
      <c r="G1983" s="100"/>
      <c r="H1983" s="100"/>
      <c r="I1983" s="100"/>
      <c r="J1983" s="100"/>
      <c r="K1983" s="100"/>
      <c r="L1983" s="100"/>
      <c r="M1983" s="100"/>
      <c r="N1983" s="100"/>
      <c r="O1983" s="100"/>
      <c r="P1983" s="100"/>
      <c r="Q1983" s="100"/>
      <c r="R1983" s="100"/>
      <c r="S1983" s="100"/>
      <c r="T1983" s="100"/>
      <c r="U1983" s="100"/>
      <c r="V1983" s="100"/>
      <c r="W1983" s="100"/>
      <c r="X1983" s="100"/>
      <c r="Y1983" s="100"/>
      <c r="Z1983" s="100"/>
    </row>
    <row r="1984" spans="1:26">
      <c r="A1984" s="100"/>
      <c r="B1984" s="100"/>
      <c r="C1984" s="100"/>
      <c r="D1984" s="100"/>
      <c r="E1984" s="100"/>
      <c r="F1984" s="100"/>
      <c r="G1984" s="100"/>
      <c r="H1984" s="100"/>
      <c r="I1984" s="100"/>
      <c r="J1984" s="100"/>
      <c r="K1984" s="100"/>
      <c r="L1984" s="100"/>
      <c r="M1984" s="100"/>
      <c r="N1984" s="100"/>
      <c r="O1984" s="100"/>
      <c r="P1984" s="100"/>
      <c r="Q1984" s="100"/>
      <c r="R1984" s="100"/>
      <c r="S1984" s="100"/>
      <c r="T1984" s="100"/>
      <c r="U1984" s="100"/>
      <c r="V1984" s="100"/>
      <c r="W1984" s="100"/>
      <c r="X1984" s="100"/>
      <c r="Y1984" s="100"/>
      <c r="Z1984" s="100"/>
    </row>
    <row r="1985" spans="1:26">
      <c r="A1985" s="100"/>
      <c r="B1985" s="100"/>
      <c r="C1985" s="100"/>
      <c r="D1985" s="100"/>
      <c r="E1985" s="100"/>
      <c r="F1985" s="100"/>
      <c r="G1985" s="100"/>
      <c r="H1985" s="100"/>
      <c r="I1985" s="100"/>
      <c r="J1985" s="100"/>
      <c r="K1985" s="100"/>
      <c r="L1985" s="100"/>
      <c r="M1985" s="100"/>
      <c r="N1985" s="100"/>
      <c r="O1985" s="100"/>
      <c r="P1985" s="100"/>
      <c r="Q1985" s="100"/>
      <c r="R1985" s="100"/>
      <c r="S1985" s="100"/>
      <c r="T1985" s="100"/>
      <c r="U1985" s="100"/>
      <c r="V1985" s="100"/>
      <c r="W1985" s="100"/>
      <c r="X1985" s="100"/>
      <c r="Y1985" s="100"/>
      <c r="Z1985" s="100"/>
    </row>
    <row r="1986" spans="1:26">
      <c r="A1986" s="100"/>
      <c r="B1986" s="100"/>
      <c r="C1986" s="100"/>
      <c r="D1986" s="100"/>
      <c r="E1986" s="100"/>
      <c r="F1986" s="100"/>
      <c r="G1986" s="100"/>
      <c r="H1986" s="100"/>
      <c r="I1986" s="100"/>
      <c r="J1986" s="100"/>
      <c r="K1986" s="100"/>
      <c r="L1986" s="100"/>
      <c r="M1986" s="100"/>
      <c r="N1986" s="100"/>
      <c r="O1986" s="100"/>
      <c r="P1986" s="100"/>
      <c r="Q1986" s="100"/>
      <c r="R1986" s="100"/>
      <c r="S1986" s="100"/>
      <c r="T1986" s="100"/>
      <c r="U1986" s="100"/>
      <c r="V1986" s="100"/>
      <c r="W1986" s="100"/>
      <c r="X1986" s="100"/>
      <c r="Y1986" s="100"/>
      <c r="Z1986" s="100"/>
    </row>
    <row r="1987" spans="1:26">
      <c r="A1987" s="100"/>
      <c r="B1987" s="100"/>
      <c r="C1987" s="100"/>
      <c r="D1987" s="100"/>
      <c r="E1987" s="100"/>
      <c r="F1987" s="100"/>
      <c r="G1987" s="100"/>
      <c r="H1987" s="100"/>
      <c r="I1987" s="100"/>
      <c r="J1987" s="100"/>
      <c r="K1987" s="100"/>
      <c r="L1987" s="100"/>
      <c r="M1987" s="100"/>
      <c r="N1987" s="100"/>
      <c r="O1987" s="100"/>
      <c r="P1987" s="100"/>
      <c r="Q1987" s="100"/>
      <c r="R1987" s="100"/>
      <c r="S1987" s="100"/>
      <c r="T1987" s="100"/>
      <c r="U1987" s="100"/>
      <c r="V1987" s="100"/>
      <c r="W1987" s="100"/>
      <c r="X1987" s="100"/>
      <c r="Y1987" s="100"/>
      <c r="Z1987" s="100"/>
    </row>
    <row r="1988" spans="1:26">
      <c r="A1988" s="100"/>
      <c r="B1988" s="100"/>
      <c r="C1988" s="100"/>
      <c r="D1988" s="100"/>
      <c r="E1988" s="100"/>
      <c r="F1988" s="100"/>
      <c r="G1988" s="100"/>
      <c r="H1988" s="100"/>
      <c r="I1988" s="100"/>
      <c r="J1988" s="100"/>
      <c r="K1988" s="100"/>
      <c r="L1988" s="100"/>
      <c r="M1988" s="100"/>
      <c r="N1988" s="100"/>
      <c r="O1988" s="100"/>
      <c r="P1988" s="100"/>
      <c r="Q1988" s="100"/>
      <c r="R1988" s="100"/>
      <c r="S1988" s="100"/>
      <c r="T1988" s="100"/>
      <c r="U1988" s="100"/>
      <c r="V1988" s="100"/>
      <c r="W1988" s="100"/>
      <c r="X1988" s="100"/>
      <c r="Y1988" s="100"/>
      <c r="Z1988" s="100"/>
    </row>
    <row r="1989" spans="1:26">
      <c r="A1989" s="100"/>
      <c r="B1989" s="100"/>
      <c r="C1989" s="100"/>
      <c r="D1989" s="100"/>
      <c r="E1989" s="100"/>
      <c r="F1989" s="100"/>
      <c r="G1989" s="100"/>
      <c r="H1989" s="100"/>
      <c r="I1989" s="100"/>
      <c r="J1989" s="100"/>
      <c r="K1989" s="100"/>
      <c r="L1989" s="100"/>
      <c r="M1989" s="100"/>
      <c r="N1989" s="100"/>
      <c r="O1989" s="100"/>
      <c r="P1989" s="100"/>
      <c r="Q1989" s="100"/>
      <c r="R1989" s="100"/>
      <c r="S1989" s="100"/>
      <c r="T1989" s="100"/>
      <c r="U1989" s="100"/>
      <c r="V1989" s="100"/>
      <c r="W1989" s="100"/>
      <c r="X1989" s="100"/>
      <c r="Y1989" s="100"/>
      <c r="Z1989" s="100"/>
    </row>
    <row r="1990" spans="1:26">
      <c r="A1990" s="100"/>
      <c r="B1990" s="100"/>
      <c r="C1990" s="100"/>
      <c r="D1990" s="100"/>
      <c r="E1990" s="100"/>
      <c r="F1990" s="100"/>
      <c r="G1990" s="100"/>
      <c r="H1990" s="100"/>
      <c r="I1990" s="100"/>
      <c r="J1990" s="100"/>
      <c r="K1990" s="100"/>
      <c r="L1990" s="100"/>
      <c r="M1990" s="100"/>
      <c r="N1990" s="100"/>
      <c r="O1990" s="100"/>
      <c r="P1990" s="100"/>
      <c r="Q1990" s="100"/>
      <c r="R1990" s="100"/>
      <c r="S1990" s="100"/>
      <c r="T1990" s="100"/>
      <c r="U1990" s="100"/>
      <c r="V1990" s="100"/>
      <c r="W1990" s="100"/>
      <c r="X1990" s="100"/>
      <c r="Y1990" s="100"/>
      <c r="Z1990" s="100"/>
    </row>
    <row r="1991" spans="1:26">
      <c r="A1991" s="100"/>
      <c r="B1991" s="100"/>
      <c r="C1991" s="100"/>
      <c r="D1991" s="100"/>
      <c r="E1991" s="100"/>
      <c r="F1991" s="100"/>
      <c r="G1991" s="100"/>
      <c r="H1991" s="100"/>
      <c r="I1991" s="100"/>
      <c r="J1991" s="100"/>
      <c r="K1991" s="100"/>
      <c r="L1991" s="100"/>
      <c r="M1991" s="100"/>
      <c r="N1991" s="100"/>
      <c r="O1991" s="100"/>
      <c r="P1991" s="100"/>
      <c r="Q1991" s="100"/>
      <c r="R1991" s="100"/>
      <c r="S1991" s="100"/>
      <c r="T1991" s="100"/>
      <c r="U1991" s="100"/>
      <c r="V1991" s="100"/>
      <c r="W1991" s="100"/>
      <c r="X1991" s="100"/>
      <c r="Y1991" s="100"/>
      <c r="Z1991" s="100"/>
    </row>
    <row r="1992" spans="1:26">
      <c r="A1992" s="100"/>
      <c r="B1992" s="100"/>
      <c r="C1992" s="100"/>
      <c r="D1992" s="100"/>
      <c r="E1992" s="100"/>
      <c r="F1992" s="100"/>
      <c r="G1992" s="100"/>
      <c r="H1992" s="100"/>
      <c r="I1992" s="100"/>
      <c r="J1992" s="100"/>
      <c r="K1992" s="100"/>
      <c r="L1992" s="100"/>
      <c r="M1992" s="100"/>
      <c r="N1992" s="100"/>
      <c r="O1992" s="100"/>
      <c r="P1992" s="100"/>
      <c r="Q1992" s="100"/>
      <c r="R1992" s="100"/>
      <c r="S1992" s="100"/>
      <c r="T1992" s="100"/>
      <c r="U1992" s="100"/>
      <c r="V1992" s="100"/>
      <c r="W1992" s="100"/>
      <c r="X1992" s="100"/>
      <c r="Y1992" s="100"/>
      <c r="Z1992" s="100"/>
    </row>
    <row r="1993" spans="1:26">
      <c r="A1993" s="100"/>
      <c r="B1993" s="100"/>
      <c r="C1993" s="100"/>
      <c r="D1993" s="100"/>
      <c r="E1993" s="100"/>
      <c r="F1993" s="100"/>
      <c r="G1993" s="100"/>
      <c r="H1993" s="100"/>
      <c r="I1993" s="100"/>
      <c r="J1993" s="100"/>
      <c r="K1993" s="100"/>
      <c r="L1993" s="100"/>
      <c r="M1993" s="100"/>
      <c r="N1993" s="100"/>
      <c r="O1993" s="100"/>
      <c r="P1993" s="100"/>
      <c r="Q1993" s="100"/>
      <c r="R1993" s="100"/>
      <c r="S1993" s="100"/>
      <c r="T1993" s="100"/>
      <c r="U1993" s="100"/>
      <c r="V1993" s="100"/>
      <c r="W1993" s="100"/>
      <c r="X1993" s="100"/>
      <c r="Y1993" s="100"/>
      <c r="Z1993" s="100"/>
    </row>
    <row r="1994" spans="1:26">
      <c r="A1994" s="100"/>
      <c r="B1994" s="100"/>
      <c r="C1994" s="100"/>
      <c r="D1994" s="100"/>
      <c r="E1994" s="100"/>
      <c r="F1994" s="100"/>
      <c r="G1994" s="100"/>
      <c r="H1994" s="100"/>
      <c r="I1994" s="100"/>
      <c r="J1994" s="100"/>
      <c r="K1994" s="100"/>
      <c r="L1994" s="100"/>
      <c r="M1994" s="100"/>
      <c r="N1994" s="100"/>
      <c r="O1994" s="100"/>
      <c r="P1994" s="100"/>
      <c r="Q1994" s="100"/>
      <c r="R1994" s="100"/>
      <c r="S1994" s="100"/>
      <c r="T1994" s="100"/>
      <c r="U1994" s="100"/>
      <c r="V1994" s="100"/>
      <c r="W1994" s="100"/>
      <c r="X1994" s="100"/>
      <c r="Y1994" s="100"/>
      <c r="Z1994" s="100"/>
    </row>
    <row r="1995" spans="1:26">
      <c r="A1995" s="100"/>
      <c r="B1995" s="100"/>
      <c r="C1995" s="100"/>
      <c r="D1995" s="100"/>
      <c r="E1995" s="100"/>
      <c r="F1995" s="100"/>
      <c r="G1995" s="100"/>
      <c r="H1995" s="100"/>
      <c r="I1995" s="100"/>
      <c r="J1995" s="100"/>
      <c r="K1995" s="100"/>
      <c r="L1995" s="100"/>
      <c r="M1995" s="100"/>
      <c r="N1995" s="100"/>
      <c r="O1995" s="100"/>
      <c r="P1995" s="100"/>
      <c r="Q1995" s="100"/>
      <c r="R1995" s="100"/>
      <c r="S1995" s="100"/>
      <c r="T1995" s="100"/>
      <c r="U1995" s="100"/>
      <c r="V1995" s="100"/>
      <c r="W1995" s="100"/>
      <c r="X1995" s="100"/>
      <c r="Y1995" s="100"/>
      <c r="Z1995" s="100"/>
    </row>
    <row r="1996" spans="1:26">
      <c r="A1996" s="100"/>
      <c r="B1996" s="100"/>
      <c r="C1996" s="100"/>
      <c r="D1996" s="100"/>
      <c r="E1996" s="100"/>
      <c r="F1996" s="100"/>
      <c r="G1996" s="100"/>
      <c r="H1996" s="100"/>
      <c r="I1996" s="100"/>
      <c r="J1996" s="100"/>
      <c r="K1996" s="100"/>
      <c r="L1996" s="100"/>
      <c r="M1996" s="100"/>
      <c r="N1996" s="100"/>
      <c r="O1996" s="100"/>
      <c r="P1996" s="100"/>
      <c r="Q1996" s="100"/>
      <c r="R1996" s="100"/>
      <c r="S1996" s="100"/>
      <c r="T1996" s="100"/>
      <c r="U1996" s="100"/>
      <c r="V1996" s="100"/>
      <c r="W1996" s="100"/>
      <c r="X1996" s="100"/>
      <c r="Y1996" s="100"/>
      <c r="Z1996" s="100"/>
    </row>
    <row r="1997" spans="1:26">
      <c r="A1997" s="100"/>
      <c r="B1997" s="100"/>
      <c r="C1997" s="100"/>
      <c r="D1997" s="100"/>
      <c r="E1997" s="100"/>
      <c r="F1997" s="100"/>
      <c r="G1997" s="100"/>
      <c r="H1997" s="100"/>
      <c r="I1997" s="100"/>
      <c r="J1997" s="100"/>
      <c r="K1997" s="100"/>
      <c r="L1997" s="100"/>
      <c r="M1997" s="100"/>
      <c r="N1997" s="100"/>
      <c r="O1997" s="100"/>
      <c r="P1997" s="100"/>
      <c r="Q1997" s="100"/>
      <c r="R1997" s="100"/>
      <c r="S1997" s="100"/>
      <c r="T1997" s="100"/>
      <c r="U1997" s="100"/>
      <c r="V1997" s="100"/>
      <c r="W1997" s="100"/>
      <c r="X1997" s="100"/>
      <c r="Y1997" s="100"/>
      <c r="Z1997" s="100"/>
    </row>
    <row r="1998" spans="1:26">
      <c r="A1998" s="100"/>
      <c r="B1998" s="100"/>
      <c r="C1998" s="100"/>
      <c r="D1998" s="100"/>
      <c r="E1998" s="100"/>
      <c r="F1998" s="100"/>
      <c r="G1998" s="100"/>
      <c r="H1998" s="100"/>
      <c r="I1998" s="100"/>
      <c r="J1998" s="100"/>
      <c r="K1998" s="100"/>
      <c r="L1998" s="100"/>
      <c r="M1998" s="100"/>
      <c r="N1998" s="100"/>
      <c r="O1998" s="100"/>
      <c r="P1998" s="100"/>
      <c r="Q1998" s="100"/>
      <c r="R1998" s="100"/>
      <c r="S1998" s="100"/>
      <c r="T1998" s="100"/>
      <c r="U1998" s="100"/>
      <c r="V1998" s="100"/>
      <c r="W1998" s="100"/>
      <c r="X1998" s="100"/>
      <c r="Y1998" s="100"/>
      <c r="Z1998" s="100"/>
    </row>
    <row r="1999" spans="1:26">
      <c r="A1999" s="100"/>
      <c r="B1999" s="100"/>
      <c r="C1999" s="100"/>
      <c r="D1999" s="100"/>
      <c r="E1999" s="100"/>
      <c r="F1999" s="100"/>
      <c r="G1999" s="100"/>
      <c r="H1999" s="100"/>
      <c r="I1999" s="100"/>
      <c r="J1999" s="100"/>
      <c r="K1999" s="100"/>
      <c r="L1999" s="100"/>
      <c r="M1999" s="100"/>
      <c r="N1999" s="100"/>
      <c r="O1999" s="100"/>
      <c r="P1999" s="100"/>
      <c r="Q1999" s="100"/>
      <c r="R1999" s="100"/>
      <c r="S1999" s="100"/>
      <c r="T1999" s="100"/>
      <c r="U1999" s="100"/>
      <c r="V1999" s="100"/>
      <c r="W1999" s="100"/>
      <c r="X1999" s="100"/>
      <c r="Y1999" s="100"/>
      <c r="Z1999" s="100"/>
    </row>
    <row r="2000" spans="1:26">
      <c r="A2000" s="100"/>
      <c r="B2000" s="100"/>
      <c r="C2000" s="100"/>
      <c r="D2000" s="100"/>
      <c r="E2000" s="100"/>
      <c r="F2000" s="100"/>
      <c r="G2000" s="100"/>
      <c r="H2000" s="100"/>
      <c r="I2000" s="100"/>
      <c r="J2000" s="100"/>
      <c r="K2000" s="100"/>
      <c r="L2000" s="100"/>
      <c r="M2000" s="100"/>
      <c r="N2000" s="100"/>
      <c r="O2000" s="100"/>
      <c r="P2000" s="100"/>
      <c r="Q2000" s="100"/>
      <c r="R2000" s="100"/>
      <c r="S2000" s="100"/>
      <c r="T2000" s="100"/>
      <c r="U2000" s="100"/>
      <c r="V2000" s="100"/>
      <c r="W2000" s="100"/>
      <c r="X2000" s="100"/>
      <c r="Y2000" s="100"/>
      <c r="Z2000" s="100"/>
    </row>
    <row r="2001" spans="1:26">
      <c r="A2001" s="100"/>
      <c r="B2001" s="100"/>
      <c r="C2001" s="100"/>
      <c r="D2001" s="100"/>
      <c r="E2001" s="100"/>
      <c r="F2001" s="100"/>
      <c r="G2001" s="100"/>
      <c r="H2001" s="100"/>
      <c r="I2001" s="100"/>
      <c r="J2001" s="100"/>
      <c r="K2001" s="100"/>
      <c r="L2001" s="100"/>
      <c r="M2001" s="100"/>
      <c r="N2001" s="100"/>
      <c r="O2001" s="100"/>
      <c r="P2001" s="100"/>
      <c r="Q2001" s="100"/>
      <c r="R2001" s="100"/>
      <c r="S2001" s="100"/>
      <c r="T2001" s="100"/>
      <c r="U2001" s="100"/>
      <c r="V2001" s="100"/>
      <c r="W2001" s="100"/>
      <c r="X2001" s="100"/>
      <c r="Y2001" s="100"/>
      <c r="Z2001" s="100"/>
    </row>
    <row r="2002" spans="1:26">
      <c r="A2002" s="100"/>
      <c r="B2002" s="100"/>
      <c r="C2002" s="100"/>
      <c r="D2002" s="100"/>
      <c r="E2002" s="100"/>
      <c r="F2002" s="100"/>
      <c r="G2002" s="100"/>
      <c r="H2002" s="100"/>
      <c r="I2002" s="100"/>
      <c r="J2002" s="100"/>
      <c r="K2002" s="100"/>
      <c r="L2002" s="100"/>
      <c r="M2002" s="100"/>
      <c r="N2002" s="100"/>
      <c r="O2002" s="100"/>
      <c r="P2002" s="100"/>
      <c r="Q2002" s="100"/>
      <c r="R2002" s="100"/>
      <c r="S2002" s="100"/>
      <c r="T2002" s="100"/>
      <c r="U2002" s="100"/>
      <c r="V2002" s="100"/>
      <c r="W2002" s="100"/>
      <c r="X2002" s="100"/>
      <c r="Y2002" s="100"/>
      <c r="Z2002" s="100"/>
    </row>
    <row r="2003" spans="1:26">
      <c r="A2003" s="100"/>
      <c r="B2003" s="100"/>
      <c r="C2003" s="100"/>
      <c r="D2003" s="100"/>
      <c r="E2003" s="100"/>
      <c r="F2003" s="100"/>
      <c r="G2003" s="100"/>
      <c r="H2003" s="100"/>
      <c r="I2003" s="100"/>
      <c r="J2003" s="100"/>
      <c r="K2003" s="100"/>
      <c r="L2003" s="100"/>
      <c r="M2003" s="100"/>
      <c r="N2003" s="100"/>
      <c r="O2003" s="100"/>
      <c r="P2003" s="100"/>
      <c r="Q2003" s="100"/>
      <c r="R2003" s="100"/>
      <c r="S2003" s="100"/>
      <c r="T2003" s="100"/>
      <c r="U2003" s="100"/>
      <c r="V2003" s="100"/>
      <c r="W2003" s="100"/>
      <c r="X2003" s="100"/>
      <c r="Y2003" s="100"/>
      <c r="Z2003" s="100"/>
    </row>
    <row r="2004" spans="1:26">
      <c r="A2004" s="100"/>
      <c r="B2004" s="100"/>
      <c r="C2004" s="100"/>
      <c r="D2004" s="100"/>
      <c r="E2004" s="100"/>
      <c r="F2004" s="100"/>
      <c r="G2004" s="100"/>
      <c r="H2004" s="100"/>
      <c r="I2004" s="100"/>
      <c r="J2004" s="100"/>
      <c r="K2004" s="100"/>
      <c r="L2004" s="100"/>
      <c r="M2004" s="100"/>
      <c r="N2004" s="100"/>
      <c r="O2004" s="100"/>
      <c r="P2004" s="100"/>
      <c r="Q2004" s="100"/>
      <c r="R2004" s="100"/>
      <c r="S2004" s="100"/>
      <c r="T2004" s="100"/>
      <c r="U2004" s="100"/>
      <c r="V2004" s="100"/>
      <c r="W2004" s="100"/>
      <c r="X2004" s="100"/>
      <c r="Y2004" s="100"/>
      <c r="Z2004" s="100"/>
    </row>
    <row r="2005" spans="1:26">
      <c r="A2005" s="100"/>
      <c r="B2005" s="100"/>
      <c r="C2005" s="100"/>
      <c r="D2005" s="100"/>
      <c r="E2005" s="100"/>
      <c r="F2005" s="100"/>
      <c r="G2005" s="100"/>
      <c r="H2005" s="100"/>
      <c r="I2005" s="100"/>
      <c r="J2005" s="100"/>
      <c r="K2005" s="100"/>
      <c r="L2005" s="100"/>
      <c r="M2005" s="100"/>
      <c r="N2005" s="100"/>
      <c r="O2005" s="100"/>
      <c r="P2005" s="100"/>
      <c r="Q2005" s="100"/>
      <c r="R2005" s="100"/>
      <c r="S2005" s="100"/>
      <c r="T2005" s="100"/>
      <c r="U2005" s="100"/>
      <c r="V2005" s="100"/>
      <c r="W2005" s="100"/>
      <c r="X2005" s="100"/>
      <c r="Y2005" s="100"/>
      <c r="Z2005" s="100"/>
    </row>
    <row r="2006" spans="1:26">
      <c r="A2006" s="100"/>
      <c r="B2006" s="100"/>
      <c r="C2006" s="100"/>
      <c r="D2006" s="100"/>
      <c r="E2006" s="100"/>
      <c r="F2006" s="100"/>
      <c r="G2006" s="100"/>
      <c r="H2006" s="100"/>
      <c r="I2006" s="100"/>
      <c r="J2006" s="100"/>
      <c r="K2006" s="100"/>
      <c r="L2006" s="100"/>
      <c r="M2006" s="100"/>
      <c r="N2006" s="100"/>
      <c r="O2006" s="100"/>
      <c r="P2006" s="100"/>
      <c r="Q2006" s="100"/>
      <c r="R2006" s="100"/>
      <c r="S2006" s="100"/>
      <c r="T2006" s="100"/>
      <c r="U2006" s="100"/>
      <c r="V2006" s="100"/>
      <c r="W2006" s="100"/>
      <c r="X2006" s="100"/>
      <c r="Y2006" s="100"/>
      <c r="Z2006" s="100"/>
    </row>
    <row r="2007" spans="1:26">
      <c r="A2007" s="100"/>
      <c r="B2007" s="100"/>
      <c r="C2007" s="100"/>
      <c r="D2007" s="100"/>
      <c r="E2007" s="100"/>
      <c r="F2007" s="100"/>
      <c r="G2007" s="100"/>
      <c r="H2007" s="100"/>
      <c r="I2007" s="100"/>
      <c r="J2007" s="100"/>
      <c r="K2007" s="100"/>
      <c r="L2007" s="100"/>
      <c r="M2007" s="100"/>
      <c r="N2007" s="100"/>
      <c r="O2007" s="100"/>
      <c r="P2007" s="100"/>
      <c r="Q2007" s="100"/>
      <c r="R2007" s="100"/>
      <c r="S2007" s="100"/>
      <c r="T2007" s="100"/>
      <c r="U2007" s="100"/>
      <c r="V2007" s="100"/>
      <c r="W2007" s="100"/>
      <c r="X2007" s="100"/>
      <c r="Y2007" s="100"/>
      <c r="Z2007" s="100"/>
    </row>
    <row r="2008" spans="1:26">
      <c r="A2008" s="100"/>
      <c r="B2008" s="100"/>
      <c r="C2008" s="100"/>
      <c r="D2008" s="100"/>
      <c r="E2008" s="100"/>
      <c r="F2008" s="100"/>
      <c r="G2008" s="100"/>
      <c r="H2008" s="100"/>
      <c r="I2008" s="100"/>
      <c r="J2008" s="100"/>
      <c r="K2008" s="100"/>
      <c r="L2008" s="100"/>
      <c r="M2008" s="100"/>
      <c r="N2008" s="100"/>
      <c r="O2008" s="100"/>
      <c r="P2008" s="100"/>
      <c r="Q2008" s="100"/>
      <c r="R2008" s="100"/>
      <c r="S2008" s="100"/>
      <c r="T2008" s="100"/>
      <c r="U2008" s="100"/>
      <c r="V2008" s="100"/>
      <c r="W2008" s="100"/>
      <c r="X2008" s="100"/>
      <c r="Y2008" s="100"/>
      <c r="Z2008" s="100"/>
    </row>
    <row r="2009" spans="1:26">
      <c r="A2009" s="100"/>
      <c r="B2009" s="100"/>
      <c r="C2009" s="100"/>
      <c r="D2009" s="100"/>
      <c r="E2009" s="100"/>
      <c r="F2009" s="100"/>
      <c r="G2009" s="100"/>
      <c r="H2009" s="100"/>
      <c r="I2009" s="100"/>
      <c r="J2009" s="100"/>
      <c r="K2009" s="100"/>
      <c r="L2009" s="100"/>
      <c r="M2009" s="100"/>
      <c r="N2009" s="100"/>
      <c r="O2009" s="100"/>
      <c r="P2009" s="100"/>
      <c r="Q2009" s="100"/>
      <c r="R2009" s="100"/>
      <c r="S2009" s="100"/>
      <c r="T2009" s="100"/>
      <c r="U2009" s="100"/>
      <c r="V2009" s="100"/>
      <c r="W2009" s="100"/>
      <c r="X2009" s="100"/>
      <c r="Y2009" s="100"/>
      <c r="Z2009" s="100"/>
    </row>
    <row r="2010" spans="1:26">
      <c r="A2010" s="100"/>
      <c r="B2010" s="100"/>
      <c r="C2010" s="100"/>
      <c r="D2010" s="100"/>
      <c r="E2010" s="100"/>
      <c r="F2010" s="100"/>
      <c r="G2010" s="100"/>
      <c r="H2010" s="100"/>
      <c r="I2010" s="100"/>
      <c r="J2010" s="100"/>
      <c r="K2010" s="100"/>
      <c r="L2010" s="100"/>
      <c r="M2010" s="100"/>
      <c r="N2010" s="100"/>
      <c r="O2010" s="100"/>
      <c r="P2010" s="100"/>
      <c r="Q2010" s="100"/>
      <c r="R2010" s="100"/>
      <c r="S2010" s="100"/>
      <c r="T2010" s="100"/>
      <c r="U2010" s="100"/>
      <c r="V2010" s="100"/>
      <c r="W2010" s="100"/>
      <c r="X2010" s="100"/>
      <c r="Y2010" s="100"/>
      <c r="Z2010" s="100"/>
    </row>
    <row r="2011" spans="1:26">
      <c r="A2011" s="100"/>
      <c r="B2011" s="100"/>
      <c r="C2011" s="100"/>
      <c r="D2011" s="100"/>
      <c r="E2011" s="100"/>
      <c r="F2011" s="100"/>
      <c r="G2011" s="100"/>
      <c r="H2011" s="100"/>
      <c r="I2011" s="100"/>
      <c r="J2011" s="100"/>
      <c r="K2011" s="100"/>
      <c r="L2011" s="100"/>
      <c r="M2011" s="100"/>
      <c r="N2011" s="100"/>
      <c r="O2011" s="100"/>
      <c r="P2011" s="100"/>
      <c r="Q2011" s="100"/>
      <c r="R2011" s="100"/>
      <c r="S2011" s="100"/>
      <c r="T2011" s="100"/>
      <c r="U2011" s="100"/>
      <c r="V2011" s="100"/>
      <c r="W2011" s="100"/>
      <c r="X2011" s="100"/>
      <c r="Y2011" s="100"/>
      <c r="Z2011" s="100"/>
    </row>
    <row r="2012" spans="1:26">
      <c r="A2012" s="100"/>
      <c r="B2012" s="100"/>
      <c r="C2012" s="100"/>
      <c r="D2012" s="100"/>
      <c r="E2012" s="100"/>
      <c r="F2012" s="100"/>
      <c r="G2012" s="100"/>
      <c r="H2012" s="100"/>
      <c r="I2012" s="100"/>
      <c r="J2012" s="100"/>
      <c r="K2012" s="100"/>
      <c r="L2012" s="100"/>
      <c r="M2012" s="100"/>
      <c r="N2012" s="100"/>
      <c r="O2012" s="100"/>
      <c r="P2012" s="100"/>
      <c r="Q2012" s="100"/>
      <c r="R2012" s="100"/>
      <c r="S2012" s="100"/>
      <c r="T2012" s="100"/>
      <c r="U2012" s="100"/>
      <c r="V2012" s="100"/>
      <c r="W2012" s="100"/>
      <c r="X2012" s="100"/>
      <c r="Y2012" s="100"/>
      <c r="Z2012" s="100"/>
    </row>
    <row r="2013" spans="1:26">
      <c r="A2013" s="100"/>
      <c r="B2013" s="100"/>
      <c r="C2013" s="100"/>
      <c r="D2013" s="100"/>
      <c r="E2013" s="100"/>
      <c r="F2013" s="100"/>
      <c r="G2013" s="100"/>
      <c r="H2013" s="100"/>
      <c r="I2013" s="100"/>
      <c r="J2013" s="100"/>
      <c r="K2013" s="100"/>
      <c r="L2013" s="100"/>
      <c r="M2013" s="100"/>
      <c r="N2013" s="100"/>
      <c r="O2013" s="100"/>
      <c r="P2013" s="100"/>
      <c r="Q2013" s="100"/>
      <c r="R2013" s="100"/>
      <c r="S2013" s="100"/>
      <c r="T2013" s="100"/>
      <c r="U2013" s="100"/>
      <c r="V2013" s="100"/>
      <c r="W2013" s="100"/>
      <c r="X2013" s="100"/>
      <c r="Y2013" s="100"/>
      <c r="Z2013" s="100"/>
    </row>
    <row r="2014" spans="1:26">
      <c r="A2014" s="100"/>
      <c r="B2014" s="100"/>
      <c r="C2014" s="100"/>
      <c r="D2014" s="100"/>
      <c r="E2014" s="100"/>
      <c r="F2014" s="100"/>
      <c r="G2014" s="100"/>
      <c r="H2014" s="100"/>
      <c r="I2014" s="100"/>
      <c r="J2014" s="100"/>
      <c r="K2014" s="100"/>
      <c r="L2014" s="100"/>
      <c r="M2014" s="100"/>
      <c r="N2014" s="100"/>
      <c r="O2014" s="100"/>
      <c r="P2014" s="100"/>
      <c r="Q2014" s="100"/>
      <c r="R2014" s="100"/>
      <c r="S2014" s="100"/>
      <c r="T2014" s="100"/>
      <c r="U2014" s="100"/>
      <c r="V2014" s="100"/>
      <c r="W2014" s="100"/>
      <c r="X2014" s="100"/>
      <c r="Y2014" s="100"/>
      <c r="Z2014" s="100"/>
    </row>
    <row r="2015" spans="1:26">
      <c r="A2015" s="100"/>
      <c r="B2015" s="100"/>
      <c r="C2015" s="100"/>
      <c r="D2015" s="100"/>
      <c r="E2015" s="100"/>
      <c r="F2015" s="100"/>
      <c r="G2015" s="100"/>
      <c r="H2015" s="100"/>
      <c r="I2015" s="100"/>
      <c r="J2015" s="100"/>
      <c r="K2015" s="100"/>
      <c r="L2015" s="100"/>
      <c r="M2015" s="100"/>
      <c r="N2015" s="100"/>
      <c r="O2015" s="100"/>
      <c r="P2015" s="100"/>
      <c r="Q2015" s="100"/>
      <c r="R2015" s="100"/>
      <c r="S2015" s="100"/>
      <c r="T2015" s="100"/>
      <c r="U2015" s="100"/>
      <c r="V2015" s="100"/>
      <c r="W2015" s="100"/>
      <c r="X2015" s="100"/>
      <c r="Y2015" s="100"/>
      <c r="Z2015" s="100"/>
    </row>
    <row r="2016" spans="1:26">
      <c r="A2016" s="100"/>
      <c r="B2016" s="100"/>
      <c r="C2016" s="100"/>
      <c r="D2016" s="100"/>
      <c r="E2016" s="100"/>
      <c r="F2016" s="100"/>
      <c r="G2016" s="100"/>
      <c r="H2016" s="100"/>
      <c r="I2016" s="100"/>
      <c r="J2016" s="100"/>
      <c r="K2016" s="100"/>
      <c r="L2016" s="100"/>
      <c r="M2016" s="100"/>
      <c r="N2016" s="100"/>
      <c r="O2016" s="100"/>
      <c r="P2016" s="100"/>
      <c r="Q2016" s="100"/>
      <c r="R2016" s="100"/>
      <c r="S2016" s="100"/>
      <c r="T2016" s="100"/>
      <c r="U2016" s="100"/>
      <c r="V2016" s="100"/>
      <c r="W2016" s="100"/>
      <c r="X2016" s="100"/>
      <c r="Y2016" s="100"/>
      <c r="Z2016" s="100"/>
    </row>
    <row r="2017" spans="1:26">
      <c r="A2017" s="100"/>
      <c r="B2017" s="100"/>
      <c r="C2017" s="100"/>
      <c r="D2017" s="100"/>
      <c r="E2017" s="100"/>
      <c r="F2017" s="100"/>
      <c r="G2017" s="100"/>
      <c r="H2017" s="100"/>
      <c r="I2017" s="100"/>
      <c r="J2017" s="100"/>
      <c r="K2017" s="100"/>
      <c r="L2017" s="100"/>
      <c r="M2017" s="100"/>
      <c r="N2017" s="100"/>
      <c r="O2017" s="100"/>
      <c r="P2017" s="100"/>
      <c r="Q2017" s="100"/>
      <c r="R2017" s="100"/>
      <c r="S2017" s="100"/>
      <c r="T2017" s="100"/>
      <c r="U2017" s="100"/>
      <c r="V2017" s="100"/>
      <c r="W2017" s="100"/>
      <c r="X2017" s="100"/>
      <c r="Y2017" s="100"/>
      <c r="Z2017" s="100"/>
    </row>
    <row r="2018" spans="1:26">
      <c r="A2018" s="100"/>
      <c r="B2018" s="100"/>
      <c r="C2018" s="100"/>
      <c r="D2018" s="100"/>
      <c r="E2018" s="100"/>
      <c r="F2018" s="100"/>
      <c r="G2018" s="100"/>
      <c r="H2018" s="100"/>
      <c r="I2018" s="100"/>
      <c r="J2018" s="100"/>
      <c r="K2018" s="100"/>
      <c r="L2018" s="100"/>
      <c r="M2018" s="100"/>
      <c r="N2018" s="100"/>
      <c r="O2018" s="100"/>
      <c r="P2018" s="100"/>
      <c r="Q2018" s="100"/>
      <c r="R2018" s="100"/>
      <c r="S2018" s="100"/>
      <c r="T2018" s="100"/>
      <c r="U2018" s="100"/>
      <c r="V2018" s="100"/>
      <c r="W2018" s="100"/>
      <c r="X2018" s="100"/>
      <c r="Y2018" s="100"/>
      <c r="Z2018" s="100"/>
    </row>
    <row r="2019" spans="1:26">
      <c r="A2019" s="100"/>
      <c r="B2019" s="100"/>
      <c r="C2019" s="100"/>
      <c r="D2019" s="100"/>
      <c r="E2019" s="100"/>
      <c r="F2019" s="100"/>
      <c r="G2019" s="100"/>
      <c r="H2019" s="100"/>
      <c r="I2019" s="100"/>
      <c r="J2019" s="100"/>
      <c r="K2019" s="100"/>
      <c r="L2019" s="100"/>
      <c r="M2019" s="100"/>
      <c r="N2019" s="100"/>
      <c r="O2019" s="100"/>
      <c r="P2019" s="100"/>
      <c r="Q2019" s="100"/>
      <c r="R2019" s="100"/>
      <c r="S2019" s="100"/>
      <c r="T2019" s="100"/>
      <c r="U2019" s="100"/>
      <c r="V2019" s="100"/>
      <c r="W2019" s="100"/>
      <c r="X2019" s="100"/>
      <c r="Y2019" s="100"/>
      <c r="Z2019" s="100"/>
    </row>
    <row r="2020" spans="1:26">
      <c r="A2020" s="100"/>
      <c r="B2020" s="100"/>
      <c r="C2020" s="100"/>
      <c r="D2020" s="100"/>
      <c r="E2020" s="100"/>
      <c r="F2020" s="100"/>
      <c r="G2020" s="100"/>
      <c r="H2020" s="100"/>
      <c r="I2020" s="100"/>
      <c r="J2020" s="100"/>
      <c r="K2020" s="100"/>
      <c r="L2020" s="100"/>
      <c r="M2020" s="100"/>
      <c r="N2020" s="100"/>
      <c r="O2020" s="100"/>
      <c r="P2020" s="100"/>
      <c r="Q2020" s="100"/>
      <c r="R2020" s="100"/>
      <c r="S2020" s="100"/>
      <c r="T2020" s="100"/>
      <c r="U2020" s="100"/>
      <c r="V2020" s="100"/>
      <c r="W2020" s="100"/>
      <c r="X2020" s="100"/>
      <c r="Y2020" s="100"/>
      <c r="Z2020" s="100"/>
    </row>
    <row r="2021" spans="1:26">
      <c r="A2021" s="100"/>
      <c r="B2021" s="100"/>
      <c r="C2021" s="100"/>
      <c r="D2021" s="100"/>
      <c r="E2021" s="100"/>
      <c r="F2021" s="100"/>
      <c r="G2021" s="100"/>
      <c r="H2021" s="100"/>
      <c r="I2021" s="100"/>
      <c r="J2021" s="100"/>
      <c r="K2021" s="100"/>
      <c r="L2021" s="100"/>
      <c r="M2021" s="100"/>
      <c r="N2021" s="100"/>
      <c r="O2021" s="100"/>
      <c r="P2021" s="100"/>
      <c r="Q2021" s="100"/>
      <c r="R2021" s="100"/>
      <c r="S2021" s="100"/>
      <c r="T2021" s="100"/>
      <c r="U2021" s="100"/>
      <c r="V2021" s="100"/>
      <c r="W2021" s="100"/>
      <c r="X2021" s="100"/>
      <c r="Y2021" s="100"/>
      <c r="Z2021" s="100"/>
    </row>
    <row r="2022" spans="1:26">
      <c r="A2022" s="100"/>
      <c r="B2022" s="100"/>
      <c r="C2022" s="100"/>
      <c r="D2022" s="100"/>
      <c r="E2022" s="100"/>
      <c r="F2022" s="100"/>
      <c r="G2022" s="100"/>
      <c r="H2022" s="100"/>
      <c r="I2022" s="100"/>
      <c r="J2022" s="100"/>
      <c r="K2022" s="100"/>
      <c r="L2022" s="100"/>
      <c r="M2022" s="100"/>
      <c r="N2022" s="100"/>
      <c r="O2022" s="100"/>
      <c r="P2022" s="100"/>
      <c r="Q2022" s="100"/>
      <c r="R2022" s="100"/>
      <c r="S2022" s="100"/>
      <c r="T2022" s="100"/>
      <c r="U2022" s="100"/>
      <c r="V2022" s="100"/>
      <c r="W2022" s="100"/>
      <c r="X2022" s="100"/>
      <c r="Y2022" s="100"/>
      <c r="Z2022" s="100"/>
    </row>
    <row r="2023" spans="1:26">
      <c r="A2023" s="100"/>
      <c r="B2023" s="100"/>
      <c r="C2023" s="100"/>
      <c r="D2023" s="100"/>
      <c r="E2023" s="100"/>
      <c r="F2023" s="100"/>
      <c r="G2023" s="100"/>
      <c r="H2023" s="100"/>
      <c r="I2023" s="100"/>
      <c r="J2023" s="100"/>
      <c r="K2023" s="100"/>
      <c r="L2023" s="100"/>
      <c r="M2023" s="100"/>
      <c r="N2023" s="100"/>
      <c r="O2023" s="100"/>
      <c r="P2023" s="100"/>
      <c r="Q2023" s="100"/>
      <c r="R2023" s="100"/>
      <c r="S2023" s="100"/>
      <c r="T2023" s="100"/>
      <c r="U2023" s="100"/>
      <c r="V2023" s="100"/>
      <c r="W2023" s="100"/>
      <c r="X2023" s="100"/>
      <c r="Y2023" s="100"/>
      <c r="Z2023" s="100"/>
    </row>
    <row r="2024" spans="1:26">
      <c r="A2024" s="100"/>
      <c r="B2024" s="100"/>
      <c r="C2024" s="100"/>
      <c r="D2024" s="100"/>
      <c r="E2024" s="100"/>
      <c r="F2024" s="100"/>
      <c r="G2024" s="100"/>
      <c r="H2024" s="100"/>
      <c r="I2024" s="100"/>
      <c r="J2024" s="100"/>
      <c r="K2024" s="100"/>
      <c r="L2024" s="100"/>
      <c r="M2024" s="100"/>
      <c r="N2024" s="100"/>
      <c r="O2024" s="100"/>
      <c r="P2024" s="100"/>
      <c r="Q2024" s="100"/>
      <c r="R2024" s="100"/>
      <c r="S2024" s="100"/>
      <c r="T2024" s="100"/>
      <c r="U2024" s="100"/>
      <c r="V2024" s="100"/>
      <c r="W2024" s="100"/>
      <c r="X2024" s="100"/>
      <c r="Y2024" s="100"/>
      <c r="Z2024" s="100"/>
    </row>
    <row r="2025" spans="1:26">
      <c r="A2025" s="100"/>
      <c r="B2025" s="100"/>
      <c r="C2025" s="100"/>
      <c r="D2025" s="100"/>
      <c r="E2025" s="100"/>
      <c r="F2025" s="100"/>
      <c r="G2025" s="100"/>
      <c r="H2025" s="100"/>
      <c r="I2025" s="100"/>
      <c r="J2025" s="100"/>
      <c r="K2025" s="100"/>
      <c r="L2025" s="100"/>
      <c r="M2025" s="100"/>
      <c r="N2025" s="100"/>
      <c r="O2025" s="100"/>
      <c r="P2025" s="100"/>
      <c r="Q2025" s="100"/>
      <c r="R2025" s="100"/>
      <c r="S2025" s="100"/>
      <c r="T2025" s="100"/>
      <c r="U2025" s="100"/>
      <c r="V2025" s="100"/>
      <c r="W2025" s="100"/>
      <c r="X2025" s="100"/>
      <c r="Y2025" s="100"/>
      <c r="Z2025" s="100"/>
    </row>
    <row r="2026" spans="1:26">
      <c r="A2026" s="100"/>
      <c r="B2026" s="100"/>
      <c r="C2026" s="100"/>
      <c r="D2026" s="100"/>
      <c r="E2026" s="100"/>
      <c r="F2026" s="100"/>
      <c r="G2026" s="100"/>
      <c r="H2026" s="100"/>
      <c r="I2026" s="100"/>
      <c r="J2026" s="100"/>
      <c r="K2026" s="100"/>
      <c r="L2026" s="100"/>
      <c r="M2026" s="100"/>
      <c r="N2026" s="100"/>
      <c r="O2026" s="100"/>
      <c r="P2026" s="100"/>
      <c r="Q2026" s="100"/>
      <c r="R2026" s="100"/>
      <c r="S2026" s="100"/>
      <c r="T2026" s="100"/>
      <c r="U2026" s="100"/>
      <c r="V2026" s="100"/>
      <c r="W2026" s="100"/>
      <c r="X2026" s="100"/>
      <c r="Y2026" s="100"/>
      <c r="Z2026" s="100"/>
    </row>
    <row r="2027" spans="1:26">
      <c r="A2027" s="100"/>
      <c r="B2027" s="100"/>
      <c r="C2027" s="100"/>
      <c r="D2027" s="100"/>
      <c r="E2027" s="100"/>
      <c r="F2027" s="100"/>
      <c r="G2027" s="100"/>
      <c r="H2027" s="100"/>
      <c r="I2027" s="100"/>
      <c r="J2027" s="100"/>
      <c r="K2027" s="100"/>
      <c r="L2027" s="100"/>
      <c r="M2027" s="100"/>
      <c r="N2027" s="100"/>
      <c r="O2027" s="100"/>
      <c r="P2027" s="100"/>
      <c r="Q2027" s="100"/>
      <c r="R2027" s="100"/>
      <c r="S2027" s="100"/>
      <c r="T2027" s="100"/>
      <c r="U2027" s="100"/>
      <c r="V2027" s="100"/>
      <c r="W2027" s="100"/>
      <c r="X2027" s="100"/>
      <c r="Y2027" s="100"/>
      <c r="Z2027" s="100"/>
    </row>
    <row r="2028" spans="1:26">
      <c r="A2028" s="100"/>
      <c r="B2028" s="100"/>
      <c r="C2028" s="100"/>
      <c r="D2028" s="100"/>
      <c r="E2028" s="100"/>
      <c r="F2028" s="100"/>
      <c r="G2028" s="100"/>
      <c r="H2028" s="100"/>
      <c r="I2028" s="100"/>
      <c r="J2028" s="100"/>
      <c r="K2028" s="100"/>
      <c r="L2028" s="100"/>
      <c r="M2028" s="100"/>
      <c r="N2028" s="100"/>
      <c r="O2028" s="100"/>
      <c r="P2028" s="100"/>
      <c r="Q2028" s="100"/>
      <c r="R2028" s="100"/>
      <c r="S2028" s="100"/>
      <c r="T2028" s="100"/>
      <c r="U2028" s="100"/>
      <c r="V2028" s="100"/>
      <c r="W2028" s="100"/>
      <c r="X2028" s="100"/>
      <c r="Y2028" s="100"/>
      <c r="Z2028" s="100"/>
    </row>
    <row r="2029" spans="1:26">
      <c r="A2029" s="100"/>
      <c r="B2029" s="100"/>
      <c r="C2029" s="100"/>
      <c r="D2029" s="100"/>
      <c r="E2029" s="100"/>
      <c r="F2029" s="100"/>
      <c r="G2029" s="100"/>
      <c r="H2029" s="100"/>
      <c r="I2029" s="100"/>
      <c r="J2029" s="100"/>
      <c r="K2029" s="100"/>
      <c r="L2029" s="100"/>
      <c r="M2029" s="100"/>
      <c r="N2029" s="100"/>
      <c r="O2029" s="100"/>
      <c r="P2029" s="100"/>
      <c r="Q2029" s="100"/>
      <c r="R2029" s="100"/>
      <c r="S2029" s="100"/>
      <c r="T2029" s="100"/>
      <c r="U2029" s="100"/>
      <c r="V2029" s="100"/>
      <c r="W2029" s="100"/>
      <c r="X2029" s="100"/>
      <c r="Y2029" s="100"/>
      <c r="Z2029" s="100"/>
    </row>
    <row r="2030" spans="1:26">
      <c r="A2030" s="100"/>
      <c r="B2030" s="100"/>
      <c r="C2030" s="100"/>
      <c r="D2030" s="100"/>
      <c r="E2030" s="100"/>
      <c r="F2030" s="100"/>
      <c r="G2030" s="100"/>
      <c r="H2030" s="100"/>
      <c r="I2030" s="100"/>
      <c r="J2030" s="100"/>
      <c r="K2030" s="100"/>
      <c r="L2030" s="100"/>
      <c r="M2030" s="100"/>
      <c r="N2030" s="100"/>
      <c r="O2030" s="100"/>
      <c r="P2030" s="100"/>
      <c r="Q2030" s="100"/>
      <c r="R2030" s="100"/>
      <c r="S2030" s="100"/>
      <c r="T2030" s="100"/>
      <c r="U2030" s="100"/>
      <c r="V2030" s="100"/>
      <c r="W2030" s="100"/>
      <c r="X2030" s="100"/>
      <c r="Y2030" s="100"/>
      <c r="Z2030" s="100"/>
    </row>
    <row r="2031" spans="1:26">
      <c r="A2031" s="100"/>
      <c r="B2031" s="100"/>
      <c r="C2031" s="100"/>
      <c r="D2031" s="100"/>
      <c r="E2031" s="100"/>
      <c r="F2031" s="100"/>
      <c r="G2031" s="100"/>
      <c r="H2031" s="100"/>
      <c r="I2031" s="100"/>
      <c r="J2031" s="100"/>
      <c r="K2031" s="100"/>
      <c r="L2031" s="100"/>
      <c r="M2031" s="100"/>
      <c r="N2031" s="100"/>
      <c r="O2031" s="100"/>
      <c r="P2031" s="100"/>
      <c r="Q2031" s="100"/>
      <c r="R2031" s="100"/>
      <c r="S2031" s="100"/>
      <c r="T2031" s="100"/>
      <c r="U2031" s="100"/>
      <c r="V2031" s="100"/>
      <c r="W2031" s="100"/>
      <c r="X2031" s="100"/>
      <c r="Y2031" s="100"/>
      <c r="Z2031" s="100"/>
    </row>
    <row r="2032" spans="1:26">
      <c r="A2032" s="100"/>
      <c r="B2032" s="100"/>
      <c r="C2032" s="100"/>
      <c r="D2032" s="100"/>
      <c r="E2032" s="100"/>
      <c r="F2032" s="100"/>
      <c r="G2032" s="100"/>
      <c r="H2032" s="100"/>
      <c r="I2032" s="100"/>
      <c r="J2032" s="100"/>
      <c r="K2032" s="100"/>
      <c r="L2032" s="100"/>
      <c r="M2032" s="100"/>
      <c r="N2032" s="100"/>
      <c r="O2032" s="100"/>
      <c r="P2032" s="100"/>
      <c r="Q2032" s="100"/>
      <c r="R2032" s="100"/>
      <c r="S2032" s="100"/>
      <c r="T2032" s="100"/>
      <c r="U2032" s="100"/>
      <c r="V2032" s="100"/>
      <c r="W2032" s="100"/>
      <c r="X2032" s="100"/>
      <c r="Y2032" s="100"/>
      <c r="Z2032" s="100"/>
    </row>
    <row r="2033" spans="1:26">
      <c r="A2033" s="100"/>
      <c r="B2033" s="100"/>
      <c r="C2033" s="100"/>
      <c r="D2033" s="100"/>
      <c r="E2033" s="100"/>
      <c r="F2033" s="100"/>
      <c r="G2033" s="100"/>
      <c r="H2033" s="100"/>
      <c r="I2033" s="100"/>
      <c r="J2033" s="100"/>
      <c r="K2033" s="100"/>
      <c r="L2033" s="100"/>
      <c r="M2033" s="100"/>
      <c r="N2033" s="100"/>
      <c r="O2033" s="100"/>
      <c r="P2033" s="100"/>
      <c r="Q2033" s="100"/>
      <c r="R2033" s="100"/>
      <c r="S2033" s="100"/>
      <c r="T2033" s="100"/>
      <c r="U2033" s="100"/>
      <c r="V2033" s="100"/>
      <c r="W2033" s="100"/>
      <c r="X2033" s="100"/>
      <c r="Y2033" s="100"/>
      <c r="Z2033" s="100"/>
    </row>
    <row r="2034" spans="1:26">
      <c r="A2034" s="100"/>
      <c r="B2034" s="100"/>
      <c r="C2034" s="100"/>
      <c r="D2034" s="100"/>
      <c r="E2034" s="100"/>
      <c r="F2034" s="100"/>
      <c r="G2034" s="100"/>
      <c r="H2034" s="100"/>
      <c r="I2034" s="100"/>
      <c r="J2034" s="100"/>
      <c r="K2034" s="100"/>
      <c r="L2034" s="100"/>
      <c r="M2034" s="100"/>
      <c r="N2034" s="100"/>
      <c r="O2034" s="100"/>
      <c r="P2034" s="100"/>
      <c r="Q2034" s="100"/>
      <c r="R2034" s="100"/>
      <c r="S2034" s="100"/>
      <c r="T2034" s="100"/>
      <c r="U2034" s="100"/>
      <c r="V2034" s="100"/>
      <c r="W2034" s="100"/>
      <c r="X2034" s="100"/>
      <c r="Y2034" s="100"/>
      <c r="Z2034" s="100"/>
    </row>
    <row r="2035" spans="1:26">
      <c r="A2035" s="100"/>
      <c r="B2035" s="100"/>
      <c r="C2035" s="100"/>
      <c r="D2035" s="100"/>
      <c r="E2035" s="100"/>
      <c r="F2035" s="100"/>
      <c r="G2035" s="100"/>
      <c r="H2035" s="100"/>
      <c r="I2035" s="100"/>
      <c r="J2035" s="100"/>
      <c r="K2035" s="100"/>
      <c r="L2035" s="100"/>
      <c r="M2035" s="100"/>
      <c r="N2035" s="100"/>
      <c r="O2035" s="100"/>
      <c r="P2035" s="100"/>
      <c r="Q2035" s="100"/>
      <c r="R2035" s="100"/>
      <c r="S2035" s="100"/>
      <c r="T2035" s="100"/>
      <c r="U2035" s="100"/>
      <c r="V2035" s="100"/>
      <c r="W2035" s="100"/>
      <c r="X2035" s="100"/>
      <c r="Y2035" s="100"/>
      <c r="Z2035" s="100"/>
    </row>
    <row r="2036" spans="1:26">
      <c r="A2036" s="100"/>
      <c r="B2036" s="100"/>
      <c r="C2036" s="100"/>
      <c r="D2036" s="100"/>
      <c r="E2036" s="100"/>
      <c r="F2036" s="100"/>
      <c r="G2036" s="100"/>
      <c r="H2036" s="100"/>
      <c r="I2036" s="100"/>
      <c r="J2036" s="100"/>
      <c r="K2036" s="100"/>
      <c r="L2036" s="100"/>
      <c r="M2036" s="100"/>
      <c r="N2036" s="100"/>
      <c r="O2036" s="100"/>
      <c r="P2036" s="100"/>
      <c r="Q2036" s="100"/>
      <c r="R2036" s="100"/>
      <c r="S2036" s="100"/>
      <c r="T2036" s="100"/>
      <c r="U2036" s="100"/>
      <c r="V2036" s="100"/>
      <c r="W2036" s="100"/>
      <c r="X2036" s="100"/>
      <c r="Y2036" s="100"/>
      <c r="Z2036" s="100"/>
    </row>
    <row r="2037" spans="1:26">
      <c r="A2037" s="100"/>
      <c r="B2037" s="100"/>
      <c r="C2037" s="100"/>
      <c r="D2037" s="100"/>
      <c r="E2037" s="100"/>
      <c r="F2037" s="100"/>
      <c r="G2037" s="100"/>
      <c r="H2037" s="100"/>
      <c r="I2037" s="100"/>
      <c r="J2037" s="100"/>
      <c r="K2037" s="100"/>
      <c r="L2037" s="100"/>
      <c r="M2037" s="100"/>
      <c r="N2037" s="100"/>
      <c r="O2037" s="100"/>
      <c r="P2037" s="100"/>
      <c r="Q2037" s="100"/>
      <c r="R2037" s="100"/>
      <c r="S2037" s="100"/>
      <c r="T2037" s="100"/>
      <c r="U2037" s="100"/>
      <c r="V2037" s="100"/>
      <c r="W2037" s="100"/>
      <c r="X2037" s="100"/>
      <c r="Y2037" s="100"/>
      <c r="Z2037" s="100"/>
    </row>
    <row r="2038" spans="1:26">
      <c r="A2038" s="100"/>
      <c r="B2038" s="100"/>
      <c r="C2038" s="100"/>
      <c r="D2038" s="100"/>
      <c r="E2038" s="100"/>
      <c r="F2038" s="100"/>
      <c r="G2038" s="100"/>
      <c r="H2038" s="100"/>
      <c r="I2038" s="100"/>
      <c r="J2038" s="100"/>
      <c r="K2038" s="100"/>
      <c r="L2038" s="100"/>
      <c r="M2038" s="100"/>
      <c r="N2038" s="100"/>
      <c r="O2038" s="100"/>
      <c r="P2038" s="100"/>
      <c r="Q2038" s="100"/>
      <c r="R2038" s="100"/>
      <c r="S2038" s="100"/>
      <c r="T2038" s="100"/>
      <c r="U2038" s="100"/>
      <c r="V2038" s="100"/>
      <c r="W2038" s="100"/>
      <c r="X2038" s="100"/>
      <c r="Y2038" s="100"/>
      <c r="Z2038" s="100"/>
    </row>
    <row r="2039" spans="1:26">
      <c r="A2039" s="100"/>
      <c r="B2039" s="100"/>
      <c r="C2039" s="100"/>
      <c r="D2039" s="100"/>
      <c r="E2039" s="100"/>
      <c r="F2039" s="100"/>
      <c r="G2039" s="100"/>
      <c r="H2039" s="100"/>
      <c r="I2039" s="100"/>
      <c r="J2039" s="100"/>
      <c r="K2039" s="100"/>
      <c r="L2039" s="100"/>
      <c r="M2039" s="100"/>
      <c r="N2039" s="100"/>
      <c r="O2039" s="100"/>
      <c r="P2039" s="100"/>
      <c r="Q2039" s="100"/>
      <c r="R2039" s="100"/>
      <c r="S2039" s="100"/>
      <c r="T2039" s="100"/>
      <c r="U2039" s="100"/>
      <c r="V2039" s="100"/>
      <c r="W2039" s="100"/>
      <c r="X2039" s="100"/>
      <c r="Y2039" s="100"/>
      <c r="Z2039" s="100"/>
    </row>
    <row r="2040" spans="1:26">
      <c r="A2040" s="100"/>
      <c r="B2040" s="100"/>
      <c r="C2040" s="100"/>
      <c r="D2040" s="100"/>
      <c r="E2040" s="100"/>
      <c r="F2040" s="100"/>
      <c r="G2040" s="100"/>
      <c r="H2040" s="100"/>
      <c r="I2040" s="100"/>
      <c r="J2040" s="100"/>
      <c r="K2040" s="100"/>
      <c r="L2040" s="100"/>
      <c r="M2040" s="100"/>
      <c r="N2040" s="100"/>
      <c r="O2040" s="100"/>
      <c r="P2040" s="100"/>
      <c r="Q2040" s="100"/>
      <c r="R2040" s="100"/>
      <c r="S2040" s="100"/>
      <c r="T2040" s="100"/>
      <c r="U2040" s="100"/>
      <c r="V2040" s="100"/>
      <c r="W2040" s="100"/>
      <c r="X2040" s="100"/>
      <c r="Y2040" s="100"/>
      <c r="Z2040" s="100"/>
    </row>
    <row r="2041" spans="1:26">
      <c r="A2041" s="100"/>
      <c r="B2041" s="100"/>
      <c r="C2041" s="100"/>
      <c r="D2041" s="100"/>
      <c r="E2041" s="100"/>
      <c r="F2041" s="100"/>
      <c r="G2041" s="100"/>
      <c r="H2041" s="100"/>
      <c r="I2041" s="100"/>
      <c r="J2041" s="100"/>
      <c r="K2041" s="100"/>
      <c r="L2041" s="100"/>
      <c r="M2041" s="100"/>
      <c r="N2041" s="100"/>
      <c r="O2041" s="100"/>
      <c r="P2041" s="100"/>
      <c r="Q2041" s="100"/>
      <c r="R2041" s="100"/>
      <c r="S2041" s="100"/>
      <c r="T2041" s="100"/>
      <c r="U2041" s="100"/>
      <c r="V2041" s="100"/>
      <c r="W2041" s="100"/>
      <c r="X2041" s="100"/>
      <c r="Y2041" s="100"/>
      <c r="Z2041" s="100"/>
    </row>
    <row r="2042" spans="1:26">
      <c r="A2042" s="100"/>
      <c r="B2042" s="100"/>
      <c r="C2042" s="100"/>
      <c r="D2042" s="100"/>
      <c r="E2042" s="100"/>
      <c r="F2042" s="100"/>
      <c r="G2042" s="100"/>
      <c r="H2042" s="100"/>
      <c r="I2042" s="100"/>
      <c r="J2042" s="100"/>
      <c r="K2042" s="100"/>
      <c r="L2042" s="100"/>
      <c r="M2042" s="100"/>
      <c r="N2042" s="100"/>
      <c r="O2042" s="100"/>
      <c r="P2042" s="100"/>
      <c r="Q2042" s="100"/>
      <c r="R2042" s="100"/>
      <c r="S2042" s="100"/>
      <c r="T2042" s="100"/>
      <c r="U2042" s="100"/>
      <c r="V2042" s="100"/>
      <c r="W2042" s="100"/>
      <c r="X2042" s="100"/>
      <c r="Y2042" s="100"/>
      <c r="Z2042" s="100"/>
    </row>
    <row r="2043" spans="1:26">
      <c r="A2043" s="100"/>
      <c r="B2043" s="100"/>
      <c r="C2043" s="100"/>
      <c r="D2043" s="100"/>
      <c r="E2043" s="100"/>
      <c r="F2043" s="100"/>
      <c r="G2043" s="100"/>
      <c r="H2043" s="100"/>
      <c r="I2043" s="100"/>
      <c r="J2043" s="100"/>
      <c r="K2043" s="100"/>
      <c r="L2043" s="100"/>
      <c r="M2043" s="100"/>
      <c r="N2043" s="100"/>
      <c r="O2043" s="100"/>
      <c r="P2043" s="100"/>
      <c r="Q2043" s="100"/>
      <c r="R2043" s="100"/>
      <c r="S2043" s="100"/>
      <c r="T2043" s="100"/>
      <c r="U2043" s="100"/>
      <c r="V2043" s="100"/>
      <c r="W2043" s="100"/>
      <c r="X2043" s="100"/>
      <c r="Y2043" s="100"/>
      <c r="Z2043" s="100"/>
    </row>
    <row r="2044" spans="1:26">
      <c r="A2044" s="100"/>
      <c r="B2044" s="100"/>
      <c r="C2044" s="100"/>
      <c r="D2044" s="100"/>
      <c r="E2044" s="100"/>
      <c r="F2044" s="100"/>
      <c r="G2044" s="100"/>
      <c r="H2044" s="100"/>
      <c r="I2044" s="100"/>
      <c r="J2044" s="100"/>
      <c r="K2044" s="100"/>
      <c r="L2044" s="100"/>
      <c r="M2044" s="100"/>
      <c r="N2044" s="100"/>
      <c r="O2044" s="100"/>
      <c r="P2044" s="100"/>
      <c r="Q2044" s="100"/>
      <c r="R2044" s="100"/>
      <c r="S2044" s="100"/>
      <c r="T2044" s="100"/>
      <c r="U2044" s="100"/>
      <c r="V2044" s="100"/>
      <c r="W2044" s="100"/>
      <c r="X2044" s="100"/>
      <c r="Y2044" s="100"/>
      <c r="Z2044" s="100"/>
    </row>
    <row r="2045" spans="1:26">
      <c r="A2045" s="100"/>
      <c r="B2045" s="100"/>
      <c r="C2045" s="100"/>
      <c r="D2045" s="100"/>
      <c r="E2045" s="100"/>
      <c r="F2045" s="100"/>
      <c r="G2045" s="100"/>
      <c r="H2045" s="100"/>
      <c r="I2045" s="100"/>
      <c r="J2045" s="100"/>
      <c r="K2045" s="100"/>
      <c r="L2045" s="100"/>
      <c r="M2045" s="100"/>
      <c r="N2045" s="100"/>
      <c r="O2045" s="100"/>
      <c r="P2045" s="100"/>
      <c r="Q2045" s="100"/>
      <c r="R2045" s="100"/>
      <c r="S2045" s="100"/>
      <c r="T2045" s="100"/>
      <c r="U2045" s="100"/>
      <c r="V2045" s="100"/>
      <c r="W2045" s="100"/>
      <c r="X2045" s="100"/>
      <c r="Y2045" s="100"/>
      <c r="Z2045" s="100"/>
    </row>
    <row r="2046" spans="1:26">
      <c r="A2046" s="100"/>
      <c r="B2046" s="100"/>
      <c r="C2046" s="100"/>
      <c r="D2046" s="100"/>
      <c r="E2046" s="100"/>
      <c r="F2046" s="100"/>
      <c r="G2046" s="100"/>
      <c r="H2046" s="100"/>
      <c r="I2046" s="100"/>
      <c r="J2046" s="100"/>
      <c r="K2046" s="100"/>
      <c r="L2046" s="100"/>
      <c r="M2046" s="100"/>
      <c r="N2046" s="100"/>
      <c r="O2046" s="100"/>
      <c r="P2046" s="100"/>
      <c r="Q2046" s="100"/>
      <c r="R2046" s="100"/>
      <c r="S2046" s="100"/>
      <c r="T2046" s="100"/>
      <c r="U2046" s="100"/>
      <c r="V2046" s="100"/>
      <c r="W2046" s="100"/>
      <c r="X2046" s="100"/>
      <c r="Y2046" s="100"/>
      <c r="Z2046" s="100"/>
    </row>
    <row r="2047" spans="1:26">
      <c r="A2047" s="100"/>
      <c r="B2047" s="100"/>
      <c r="C2047" s="100"/>
      <c r="D2047" s="100"/>
      <c r="E2047" s="100"/>
      <c r="F2047" s="100"/>
      <c r="G2047" s="100"/>
      <c r="H2047" s="100"/>
      <c r="I2047" s="100"/>
      <c r="J2047" s="100"/>
      <c r="K2047" s="100"/>
      <c r="L2047" s="100"/>
      <c r="M2047" s="100"/>
      <c r="N2047" s="100"/>
      <c r="O2047" s="100"/>
      <c r="P2047" s="100"/>
      <c r="Q2047" s="100"/>
      <c r="R2047" s="100"/>
      <c r="S2047" s="100"/>
      <c r="T2047" s="100"/>
      <c r="U2047" s="100"/>
      <c r="V2047" s="100"/>
      <c r="W2047" s="100"/>
      <c r="X2047" s="100"/>
      <c r="Y2047" s="100"/>
      <c r="Z2047" s="100"/>
    </row>
    <row r="2048" spans="1:26">
      <c r="A2048" s="100"/>
      <c r="B2048" s="100"/>
      <c r="C2048" s="100"/>
      <c r="D2048" s="100"/>
      <c r="E2048" s="100"/>
      <c r="F2048" s="100"/>
      <c r="G2048" s="100"/>
      <c r="H2048" s="100"/>
      <c r="I2048" s="100"/>
      <c r="J2048" s="100"/>
      <c r="K2048" s="100"/>
      <c r="L2048" s="100"/>
      <c r="M2048" s="100"/>
      <c r="N2048" s="100"/>
      <c r="O2048" s="100"/>
      <c r="P2048" s="100"/>
      <c r="Q2048" s="100"/>
      <c r="R2048" s="100"/>
      <c r="S2048" s="100"/>
      <c r="T2048" s="100"/>
      <c r="U2048" s="100"/>
      <c r="V2048" s="100"/>
      <c r="W2048" s="100"/>
      <c r="X2048" s="100"/>
      <c r="Y2048" s="100"/>
      <c r="Z2048" s="100"/>
    </row>
    <row r="2049" spans="1:26">
      <c r="A2049" s="100"/>
      <c r="B2049" s="100"/>
      <c r="C2049" s="100"/>
      <c r="D2049" s="100"/>
      <c r="E2049" s="100"/>
      <c r="F2049" s="100"/>
      <c r="G2049" s="100"/>
      <c r="H2049" s="100"/>
      <c r="I2049" s="100"/>
      <c r="J2049" s="100"/>
      <c r="K2049" s="100"/>
      <c r="L2049" s="100"/>
      <c r="M2049" s="100"/>
      <c r="N2049" s="100"/>
      <c r="O2049" s="100"/>
      <c r="P2049" s="100"/>
      <c r="Q2049" s="100"/>
      <c r="R2049" s="100"/>
      <c r="S2049" s="100"/>
      <c r="T2049" s="100"/>
      <c r="U2049" s="100"/>
      <c r="V2049" s="100"/>
      <c r="W2049" s="100"/>
      <c r="X2049" s="100"/>
      <c r="Y2049" s="100"/>
      <c r="Z2049" s="100"/>
    </row>
    <row r="2050" spans="1:26">
      <c r="A2050" s="100"/>
      <c r="B2050" s="100"/>
      <c r="C2050" s="100"/>
      <c r="D2050" s="100"/>
      <c r="E2050" s="100"/>
      <c r="F2050" s="100"/>
      <c r="G2050" s="100"/>
      <c r="H2050" s="100"/>
      <c r="I2050" s="100"/>
      <c r="J2050" s="100"/>
      <c r="K2050" s="100"/>
      <c r="L2050" s="100"/>
      <c r="M2050" s="100"/>
      <c r="N2050" s="100"/>
      <c r="O2050" s="100"/>
      <c r="P2050" s="100"/>
      <c r="Q2050" s="100"/>
      <c r="R2050" s="100"/>
      <c r="S2050" s="100"/>
      <c r="T2050" s="100"/>
      <c r="U2050" s="100"/>
      <c r="V2050" s="100"/>
      <c r="W2050" s="100"/>
      <c r="X2050" s="100"/>
      <c r="Y2050" s="100"/>
      <c r="Z2050" s="100"/>
    </row>
    <row r="2051" spans="1:26">
      <c r="A2051" s="100"/>
      <c r="B2051" s="100"/>
      <c r="C2051" s="100"/>
      <c r="D2051" s="100"/>
      <c r="E2051" s="100"/>
      <c r="F2051" s="100"/>
      <c r="G2051" s="100"/>
      <c r="H2051" s="100"/>
      <c r="I2051" s="100"/>
      <c r="J2051" s="100"/>
      <c r="K2051" s="100"/>
      <c r="L2051" s="100"/>
      <c r="M2051" s="100"/>
      <c r="N2051" s="100"/>
      <c r="O2051" s="100"/>
      <c r="P2051" s="100"/>
      <c r="Q2051" s="100"/>
      <c r="R2051" s="100"/>
      <c r="S2051" s="100"/>
      <c r="T2051" s="100"/>
      <c r="U2051" s="100"/>
      <c r="V2051" s="100"/>
      <c r="W2051" s="100"/>
      <c r="X2051" s="100"/>
      <c r="Y2051" s="100"/>
      <c r="Z2051" s="100"/>
    </row>
    <row r="2052" spans="1:26">
      <c r="A2052" s="100"/>
      <c r="B2052" s="100"/>
      <c r="C2052" s="100"/>
      <c r="D2052" s="100"/>
      <c r="E2052" s="100"/>
      <c r="F2052" s="100"/>
      <c r="G2052" s="100"/>
      <c r="H2052" s="100"/>
      <c r="I2052" s="100"/>
      <c r="J2052" s="100"/>
      <c r="K2052" s="100"/>
      <c r="L2052" s="100"/>
      <c r="M2052" s="100"/>
      <c r="N2052" s="100"/>
      <c r="O2052" s="100"/>
      <c r="P2052" s="100"/>
      <c r="Q2052" s="100"/>
      <c r="R2052" s="100"/>
      <c r="S2052" s="100"/>
      <c r="T2052" s="100"/>
      <c r="U2052" s="100"/>
      <c r="V2052" s="100"/>
      <c r="W2052" s="100"/>
      <c r="X2052" s="100"/>
      <c r="Y2052" s="100"/>
      <c r="Z2052" s="100"/>
    </row>
    <row r="2053" spans="1:26">
      <c r="A2053" s="100"/>
      <c r="B2053" s="100"/>
      <c r="C2053" s="100"/>
      <c r="D2053" s="100"/>
      <c r="E2053" s="100"/>
      <c r="F2053" s="100"/>
      <c r="G2053" s="100"/>
      <c r="H2053" s="100"/>
      <c r="I2053" s="100"/>
      <c r="J2053" s="100"/>
      <c r="K2053" s="100"/>
      <c r="L2053" s="100"/>
      <c r="M2053" s="100"/>
      <c r="N2053" s="100"/>
      <c r="O2053" s="100"/>
      <c r="P2053" s="100"/>
      <c r="Q2053" s="100"/>
      <c r="R2053" s="100"/>
      <c r="S2053" s="100"/>
      <c r="T2053" s="100"/>
      <c r="U2053" s="100"/>
      <c r="V2053" s="100"/>
      <c r="W2053" s="100"/>
      <c r="X2053" s="100"/>
      <c r="Y2053" s="100"/>
      <c r="Z2053" s="100"/>
    </row>
    <row r="2054" spans="1:26">
      <c r="A2054" s="100"/>
      <c r="B2054" s="100"/>
      <c r="C2054" s="100"/>
      <c r="D2054" s="100"/>
      <c r="E2054" s="100"/>
      <c r="F2054" s="100"/>
      <c r="G2054" s="100"/>
      <c r="H2054" s="100"/>
      <c r="I2054" s="100"/>
      <c r="J2054" s="100"/>
      <c r="K2054" s="100"/>
      <c r="L2054" s="100"/>
      <c r="M2054" s="100"/>
      <c r="N2054" s="100"/>
      <c r="O2054" s="100"/>
      <c r="P2054" s="100"/>
      <c r="Q2054" s="100"/>
      <c r="R2054" s="100"/>
      <c r="S2054" s="100"/>
      <c r="T2054" s="100"/>
      <c r="U2054" s="100"/>
      <c r="V2054" s="100"/>
      <c r="W2054" s="100"/>
      <c r="X2054" s="100"/>
      <c r="Y2054" s="100"/>
      <c r="Z2054" s="100"/>
    </row>
    <row r="2055" spans="1:26">
      <c r="A2055" s="100"/>
      <c r="B2055" s="100"/>
      <c r="C2055" s="100"/>
      <c r="D2055" s="100"/>
      <c r="E2055" s="100"/>
      <c r="F2055" s="100"/>
      <c r="G2055" s="100"/>
      <c r="H2055" s="100"/>
      <c r="I2055" s="100"/>
      <c r="J2055" s="100"/>
      <c r="K2055" s="100"/>
      <c r="L2055" s="100"/>
      <c r="M2055" s="100"/>
      <c r="N2055" s="100"/>
      <c r="O2055" s="100"/>
      <c r="P2055" s="100"/>
      <c r="Q2055" s="100"/>
      <c r="R2055" s="100"/>
      <c r="S2055" s="100"/>
      <c r="T2055" s="100"/>
      <c r="U2055" s="100"/>
      <c r="V2055" s="100"/>
      <c r="W2055" s="100"/>
      <c r="X2055" s="100"/>
      <c r="Y2055" s="100"/>
      <c r="Z2055" s="100"/>
    </row>
    <row r="2056" spans="1:26">
      <c r="A2056" s="100"/>
      <c r="B2056" s="100"/>
      <c r="C2056" s="100"/>
      <c r="D2056" s="100"/>
      <c r="E2056" s="100"/>
      <c r="F2056" s="100"/>
      <c r="G2056" s="100"/>
      <c r="H2056" s="100"/>
      <c r="I2056" s="100"/>
      <c r="J2056" s="100"/>
      <c r="K2056" s="100"/>
      <c r="L2056" s="100"/>
      <c r="M2056" s="100"/>
      <c r="N2056" s="100"/>
      <c r="O2056" s="100"/>
      <c r="P2056" s="100"/>
      <c r="Q2056" s="100"/>
      <c r="R2056" s="100"/>
      <c r="S2056" s="100"/>
      <c r="T2056" s="100"/>
      <c r="U2056" s="100"/>
      <c r="V2056" s="100"/>
      <c r="W2056" s="100"/>
      <c r="X2056" s="100"/>
      <c r="Y2056" s="100"/>
      <c r="Z2056" s="100"/>
    </row>
    <row r="2057" spans="1:26">
      <c r="A2057" s="100"/>
      <c r="B2057" s="100"/>
      <c r="C2057" s="100"/>
      <c r="D2057" s="100"/>
      <c r="E2057" s="100"/>
      <c r="F2057" s="100"/>
      <c r="G2057" s="100"/>
      <c r="H2057" s="100"/>
      <c r="I2057" s="100"/>
      <c r="J2057" s="100"/>
      <c r="K2057" s="100"/>
      <c r="L2057" s="100"/>
      <c r="M2057" s="100"/>
      <c r="N2057" s="100"/>
      <c r="O2057" s="100"/>
      <c r="P2057" s="100"/>
      <c r="Q2057" s="100"/>
      <c r="R2057" s="100"/>
      <c r="S2057" s="100"/>
      <c r="T2057" s="100"/>
      <c r="U2057" s="100"/>
      <c r="V2057" s="100"/>
      <c r="W2057" s="100"/>
      <c r="X2057" s="100"/>
      <c r="Y2057" s="100"/>
      <c r="Z2057" s="100"/>
    </row>
    <row r="2058" spans="1:26">
      <c r="A2058" s="100"/>
      <c r="B2058" s="100"/>
      <c r="C2058" s="100"/>
      <c r="D2058" s="100"/>
      <c r="E2058" s="100"/>
      <c r="F2058" s="100"/>
      <c r="G2058" s="100"/>
      <c r="H2058" s="100"/>
      <c r="I2058" s="100"/>
      <c r="J2058" s="100"/>
      <c r="K2058" s="100"/>
      <c r="L2058" s="100"/>
      <c r="M2058" s="100"/>
      <c r="N2058" s="100"/>
      <c r="O2058" s="100"/>
      <c r="P2058" s="100"/>
      <c r="Q2058" s="100"/>
      <c r="R2058" s="100"/>
      <c r="S2058" s="100"/>
      <c r="T2058" s="100"/>
      <c r="U2058" s="100"/>
      <c r="V2058" s="100"/>
      <c r="W2058" s="100"/>
      <c r="X2058" s="100"/>
      <c r="Y2058" s="100"/>
      <c r="Z2058" s="100"/>
    </row>
    <row r="2059" spans="1:26">
      <c r="A2059" s="100"/>
      <c r="B2059" s="100"/>
      <c r="C2059" s="100"/>
      <c r="D2059" s="100"/>
      <c r="E2059" s="100"/>
      <c r="F2059" s="100"/>
      <c r="G2059" s="100"/>
      <c r="H2059" s="100"/>
      <c r="I2059" s="100"/>
      <c r="J2059" s="100"/>
      <c r="K2059" s="100"/>
      <c r="L2059" s="100"/>
      <c r="M2059" s="100"/>
      <c r="N2059" s="100"/>
      <c r="O2059" s="100"/>
      <c r="P2059" s="100"/>
      <c r="Q2059" s="100"/>
      <c r="R2059" s="100"/>
      <c r="S2059" s="100"/>
      <c r="T2059" s="100"/>
      <c r="U2059" s="100"/>
      <c r="V2059" s="100"/>
      <c r="W2059" s="100"/>
      <c r="X2059" s="100"/>
      <c r="Y2059" s="100"/>
      <c r="Z2059" s="100"/>
    </row>
    <row r="2060" spans="1:26">
      <c r="A2060" s="100"/>
      <c r="B2060" s="100"/>
      <c r="C2060" s="100"/>
      <c r="D2060" s="100"/>
      <c r="E2060" s="100"/>
      <c r="F2060" s="100"/>
      <c r="G2060" s="100"/>
      <c r="H2060" s="100"/>
      <c r="I2060" s="100"/>
      <c r="J2060" s="100"/>
      <c r="K2060" s="100"/>
      <c r="L2060" s="100"/>
      <c r="M2060" s="100"/>
      <c r="N2060" s="100"/>
      <c r="O2060" s="100"/>
      <c r="P2060" s="100"/>
      <c r="Q2060" s="100"/>
      <c r="R2060" s="100"/>
      <c r="S2060" s="100"/>
      <c r="T2060" s="100"/>
      <c r="U2060" s="100"/>
      <c r="V2060" s="100"/>
      <c r="W2060" s="100"/>
      <c r="X2060" s="100"/>
      <c r="Y2060" s="100"/>
      <c r="Z2060" s="100"/>
    </row>
    <row r="2061" spans="1:26">
      <c r="A2061" s="100"/>
      <c r="B2061" s="100"/>
      <c r="C2061" s="100"/>
      <c r="D2061" s="100"/>
      <c r="E2061" s="100"/>
      <c r="F2061" s="100"/>
      <c r="G2061" s="100"/>
      <c r="H2061" s="100"/>
      <c r="I2061" s="100"/>
      <c r="J2061" s="100"/>
      <c r="K2061" s="100"/>
      <c r="L2061" s="100"/>
      <c r="M2061" s="100"/>
      <c r="N2061" s="100"/>
      <c r="O2061" s="100"/>
      <c r="P2061" s="100"/>
      <c r="Q2061" s="100"/>
      <c r="R2061" s="100"/>
      <c r="S2061" s="100"/>
      <c r="T2061" s="100"/>
      <c r="U2061" s="100"/>
      <c r="V2061" s="100"/>
      <c r="W2061" s="100"/>
      <c r="X2061" s="100"/>
      <c r="Y2061" s="100"/>
      <c r="Z2061" s="100"/>
    </row>
    <row r="2062" spans="1:26">
      <c r="A2062" s="100"/>
      <c r="B2062" s="100"/>
      <c r="C2062" s="100"/>
      <c r="D2062" s="100"/>
      <c r="E2062" s="100"/>
      <c r="F2062" s="100"/>
      <c r="G2062" s="100"/>
      <c r="H2062" s="100"/>
      <c r="I2062" s="100"/>
      <c r="J2062" s="100"/>
      <c r="K2062" s="100"/>
      <c r="L2062" s="100"/>
      <c r="M2062" s="100"/>
      <c r="N2062" s="100"/>
      <c r="O2062" s="100"/>
      <c r="P2062" s="100"/>
      <c r="Q2062" s="100"/>
      <c r="R2062" s="100"/>
      <c r="S2062" s="100"/>
      <c r="T2062" s="100"/>
      <c r="U2062" s="100"/>
      <c r="V2062" s="100"/>
      <c r="W2062" s="100"/>
      <c r="X2062" s="100"/>
      <c r="Y2062" s="100"/>
      <c r="Z2062" s="100"/>
    </row>
    <row r="2063" spans="1:26">
      <c r="A2063" s="100"/>
      <c r="B2063" s="100"/>
      <c r="C2063" s="100"/>
      <c r="D2063" s="100"/>
      <c r="E2063" s="100"/>
      <c r="F2063" s="100"/>
      <c r="G2063" s="100"/>
      <c r="H2063" s="100"/>
      <c r="I2063" s="100"/>
      <c r="J2063" s="100"/>
      <c r="K2063" s="100"/>
      <c r="L2063" s="100"/>
      <c r="M2063" s="100"/>
      <c r="N2063" s="100"/>
      <c r="O2063" s="100"/>
      <c r="P2063" s="100"/>
      <c r="Q2063" s="100"/>
      <c r="R2063" s="100"/>
      <c r="S2063" s="100"/>
      <c r="T2063" s="100"/>
      <c r="U2063" s="100"/>
      <c r="V2063" s="100"/>
      <c r="W2063" s="100"/>
      <c r="X2063" s="100"/>
      <c r="Y2063" s="100"/>
      <c r="Z2063" s="100"/>
    </row>
    <row r="2064" spans="1:26">
      <c r="A2064" s="100"/>
      <c r="B2064" s="100"/>
      <c r="C2064" s="100"/>
      <c r="D2064" s="100"/>
      <c r="E2064" s="100"/>
      <c r="F2064" s="100"/>
      <c r="G2064" s="100"/>
      <c r="H2064" s="100"/>
      <c r="I2064" s="100"/>
      <c r="J2064" s="100"/>
      <c r="K2064" s="100"/>
      <c r="L2064" s="100"/>
      <c r="M2064" s="100"/>
      <c r="N2064" s="100"/>
      <c r="O2064" s="100"/>
      <c r="P2064" s="100"/>
      <c r="Q2064" s="100"/>
      <c r="R2064" s="100"/>
      <c r="S2064" s="100"/>
      <c r="T2064" s="100"/>
      <c r="U2064" s="100"/>
      <c r="V2064" s="100"/>
      <c r="W2064" s="100"/>
      <c r="X2064" s="100"/>
      <c r="Y2064" s="100"/>
      <c r="Z2064" s="100"/>
    </row>
    <row r="2065" spans="1:26">
      <c r="A2065" s="100"/>
      <c r="B2065" s="100"/>
      <c r="C2065" s="100"/>
      <c r="D2065" s="100"/>
      <c r="E2065" s="100"/>
      <c r="F2065" s="100"/>
      <c r="G2065" s="100"/>
      <c r="H2065" s="100"/>
      <c r="I2065" s="100"/>
      <c r="J2065" s="100"/>
      <c r="K2065" s="100"/>
      <c r="L2065" s="100"/>
      <c r="M2065" s="100"/>
      <c r="N2065" s="100"/>
      <c r="O2065" s="100"/>
      <c r="P2065" s="100"/>
      <c r="Q2065" s="100"/>
      <c r="R2065" s="100"/>
      <c r="S2065" s="100"/>
      <c r="T2065" s="100"/>
      <c r="U2065" s="100"/>
      <c r="V2065" s="100"/>
      <c r="W2065" s="100"/>
      <c r="X2065" s="100"/>
      <c r="Y2065" s="100"/>
      <c r="Z2065" s="100"/>
    </row>
    <row r="2066" spans="1:26">
      <c r="A2066" s="100"/>
      <c r="B2066" s="100"/>
      <c r="C2066" s="100"/>
      <c r="D2066" s="100"/>
      <c r="E2066" s="100"/>
      <c r="F2066" s="100"/>
      <c r="G2066" s="100"/>
      <c r="H2066" s="100"/>
      <c r="I2066" s="100"/>
      <c r="J2066" s="100"/>
      <c r="K2066" s="100"/>
      <c r="L2066" s="100"/>
      <c r="M2066" s="100"/>
      <c r="N2066" s="100"/>
      <c r="O2066" s="100"/>
      <c r="P2066" s="100"/>
      <c r="Q2066" s="100"/>
      <c r="R2066" s="100"/>
      <c r="S2066" s="100"/>
      <c r="T2066" s="100"/>
      <c r="U2066" s="100"/>
      <c r="V2066" s="100"/>
      <c r="W2066" s="100"/>
      <c r="X2066" s="100"/>
      <c r="Y2066" s="100"/>
      <c r="Z2066" s="100"/>
    </row>
    <row r="2067" spans="1:26">
      <c r="A2067" s="100"/>
      <c r="B2067" s="100"/>
      <c r="C2067" s="100"/>
      <c r="D2067" s="100"/>
      <c r="E2067" s="100"/>
      <c r="F2067" s="100"/>
      <c r="G2067" s="100"/>
      <c r="H2067" s="100"/>
      <c r="I2067" s="100"/>
      <c r="J2067" s="100"/>
      <c r="K2067" s="100"/>
      <c r="L2067" s="100"/>
      <c r="M2067" s="100"/>
      <c r="N2067" s="100"/>
      <c r="O2067" s="100"/>
      <c r="P2067" s="100"/>
      <c r="Q2067" s="100"/>
      <c r="R2067" s="100"/>
      <c r="S2067" s="100"/>
      <c r="T2067" s="100"/>
      <c r="U2067" s="100"/>
      <c r="V2067" s="100"/>
      <c r="W2067" s="100"/>
      <c r="X2067" s="100"/>
      <c r="Y2067" s="100"/>
      <c r="Z2067" s="100"/>
    </row>
    <row r="2068" spans="1:26">
      <c r="A2068" s="100"/>
      <c r="B2068" s="100"/>
      <c r="C2068" s="100"/>
      <c r="D2068" s="100"/>
      <c r="E2068" s="100"/>
      <c r="F2068" s="100"/>
      <c r="G2068" s="100"/>
      <c r="H2068" s="100"/>
      <c r="I2068" s="100"/>
      <c r="J2068" s="100"/>
      <c r="K2068" s="100"/>
      <c r="L2068" s="100"/>
      <c r="M2068" s="100"/>
      <c r="N2068" s="100"/>
      <c r="O2068" s="100"/>
      <c r="P2068" s="100"/>
      <c r="Q2068" s="100"/>
      <c r="R2068" s="100"/>
      <c r="S2068" s="100"/>
      <c r="T2068" s="100"/>
      <c r="U2068" s="100"/>
      <c r="V2068" s="100"/>
      <c r="W2068" s="100"/>
      <c r="X2068" s="100"/>
      <c r="Y2068" s="100"/>
      <c r="Z2068" s="100"/>
    </row>
    <row r="2069" spans="1:26">
      <c r="A2069" s="100"/>
      <c r="B2069" s="100"/>
      <c r="C2069" s="100"/>
      <c r="D2069" s="100"/>
      <c r="E2069" s="100"/>
      <c r="F2069" s="100"/>
      <c r="G2069" s="100"/>
      <c r="H2069" s="100"/>
      <c r="I2069" s="100"/>
      <c r="J2069" s="100"/>
      <c r="K2069" s="100"/>
      <c r="L2069" s="100"/>
      <c r="M2069" s="100"/>
      <c r="N2069" s="100"/>
      <c r="O2069" s="100"/>
      <c r="P2069" s="100"/>
      <c r="Q2069" s="100"/>
      <c r="R2069" s="100"/>
      <c r="S2069" s="100"/>
      <c r="T2069" s="100"/>
      <c r="U2069" s="100"/>
      <c r="V2069" s="100"/>
      <c r="W2069" s="100"/>
      <c r="X2069" s="100"/>
      <c r="Y2069" s="100"/>
      <c r="Z2069" s="100"/>
    </row>
    <row r="2070" spans="1:26">
      <c r="A2070" s="100"/>
      <c r="B2070" s="100"/>
      <c r="C2070" s="100"/>
      <c r="D2070" s="100"/>
      <c r="E2070" s="100"/>
      <c r="F2070" s="100"/>
      <c r="G2070" s="100"/>
      <c r="H2070" s="100"/>
      <c r="I2070" s="100"/>
      <c r="J2070" s="100"/>
      <c r="K2070" s="100"/>
      <c r="L2070" s="100"/>
      <c r="M2070" s="100"/>
      <c r="N2070" s="100"/>
      <c r="O2070" s="100"/>
      <c r="P2070" s="100"/>
      <c r="Q2070" s="100"/>
      <c r="R2070" s="100"/>
      <c r="S2070" s="100"/>
      <c r="T2070" s="100"/>
      <c r="U2070" s="100"/>
      <c r="V2070" s="100"/>
      <c r="W2070" s="100"/>
      <c r="X2070" s="100"/>
      <c r="Y2070" s="100"/>
      <c r="Z2070" s="100"/>
    </row>
    <row r="2071" spans="1:26">
      <c r="A2071" s="100"/>
      <c r="B2071" s="100"/>
      <c r="C2071" s="100"/>
      <c r="D2071" s="100"/>
      <c r="E2071" s="100"/>
      <c r="F2071" s="100"/>
      <c r="G2071" s="100"/>
      <c r="H2071" s="100"/>
      <c r="I2071" s="100"/>
      <c r="J2071" s="100"/>
      <c r="K2071" s="100"/>
      <c r="L2071" s="100"/>
      <c r="M2071" s="100"/>
      <c r="N2071" s="100"/>
      <c r="O2071" s="100"/>
      <c r="P2071" s="100"/>
      <c r="Q2071" s="100"/>
      <c r="R2071" s="100"/>
      <c r="S2071" s="100"/>
      <c r="T2071" s="100"/>
      <c r="U2071" s="100"/>
      <c r="V2071" s="100"/>
      <c r="W2071" s="100"/>
      <c r="X2071" s="100"/>
      <c r="Y2071" s="100"/>
      <c r="Z2071" s="100"/>
    </row>
    <row r="2072" spans="1:26">
      <c r="A2072" s="100"/>
      <c r="B2072" s="100"/>
      <c r="C2072" s="100"/>
      <c r="D2072" s="100"/>
      <c r="E2072" s="100"/>
      <c r="F2072" s="100"/>
      <c r="G2072" s="100"/>
      <c r="H2072" s="100"/>
      <c r="I2072" s="100"/>
      <c r="J2072" s="100"/>
      <c r="K2072" s="100"/>
      <c r="L2072" s="100"/>
      <c r="M2072" s="100"/>
      <c r="N2072" s="100"/>
      <c r="O2072" s="100"/>
      <c r="P2072" s="100"/>
      <c r="Q2072" s="100"/>
      <c r="R2072" s="100"/>
      <c r="S2072" s="100"/>
      <c r="T2072" s="100"/>
      <c r="U2072" s="100"/>
      <c r="V2072" s="100"/>
      <c r="W2072" s="100"/>
      <c r="X2072" s="100"/>
      <c r="Y2072" s="100"/>
      <c r="Z2072" s="100"/>
    </row>
    <row r="2073" spans="1:26">
      <c r="A2073" s="100"/>
      <c r="B2073" s="100"/>
      <c r="C2073" s="100"/>
      <c r="D2073" s="100"/>
      <c r="E2073" s="100"/>
      <c r="F2073" s="100"/>
      <c r="G2073" s="100"/>
      <c r="H2073" s="100"/>
      <c r="I2073" s="100"/>
      <c r="J2073" s="100"/>
      <c r="K2073" s="100"/>
      <c r="L2073" s="100"/>
      <c r="M2073" s="100"/>
      <c r="N2073" s="100"/>
      <c r="O2073" s="100"/>
      <c r="P2073" s="100"/>
      <c r="Q2073" s="100"/>
      <c r="R2073" s="100"/>
      <c r="S2073" s="100"/>
      <c r="T2073" s="100"/>
      <c r="U2073" s="100"/>
      <c r="V2073" s="100"/>
      <c r="W2073" s="100"/>
      <c r="X2073" s="100"/>
      <c r="Y2073" s="100"/>
      <c r="Z2073" s="100"/>
    </row>
    <row r="2074" spans="1:26">
      <c r="A2074" s="100"/>
      <c r="B2074" s="100"/>
      <c r="C2074" s="100"/>
      <c r="D2074" s="100"/>
      <c r="E2074" s="100"/>
      <c r="F2074" s="100"/>
      <c r="G2074" s="100"/>
      <c r="H2074" s="100"/>
      <c r="I2074" s="100"/>
      <c r="J2074" s="100"/>
      <c r="K2074" s="100"/>
      <c r="L2074" s="100"/>
      <c r="M2074" s="100"/>
      <c r="N2074" s="100"/>
      <c r="O2074" s="100"/>
      <c r="P2074" s="100"/>
      <c r="Q2074" s="100"/>
      <c r="R2074" s="100"/>
      <c r="S2074" s="100"/>
      <c r="T2074" s="100"/>
      <c r="U2074" s="100"/>
      <c r="V2074" s="100"/>
      <c r="W2074" s="100"/>
      <c r="X2074" s="100"/>
      <c r="Y2074" s="100"/>
      <c r="Z2074" s="100"/>
    </row>
    <row r="2075" spans="1:26">
      <c r="A2075" s="100"/>
      <c r="B2075" s="100"/>
      <c r="C2075" s="100"/>
      <c r="D2075" s="100"/>
      <c r="E2075" s="100"/>
      <c r="F2075" s="100"/>
      <c r="G2075" s="100"/>
      <c r="H2075" s="100"/>
      <c r="I2075" s="100"/>
      <c r="J2075" s="100"/>
      <c r="K2075" s="100"/>
      <c r="L2075" s="100"/>
      <c r="M2075" s="100"/>
      <c r="N2075" s="100"/>
      <c r="O2075" s="100"/>
      <c r="P2075" s="100"/>
      <c r="Q2075" s="100"/>
      <c r="R2075" s="100"/>
      <c r="S2075" s="100"/>
      <c r="T2075" s="100"/>
      <c r="U2075" s="100"/>
      <c r="V2075" s="100"/>
      <c r="W2075" s="100"/>
      <c r="X2075" s="100"/>
      <c r="Y2075" s="100"/>
      <c r="Z2075" s="100"/>
    </row>
    <row r="2076" spans="1:26">
      <c r="A2076" s="100"/>
      <c r="B2076" s="100"/>
      <c r="C2076" s="100"/>
      <c r="D2076" s="100"/>
      <c r="E2076" s="100"/>
      <c r="F2076" s="100"/>
      <c r="G2076" s="100"/>
      <c r="H2076" s="100"/>
      <c r="I2076" s="100"/>
      <c r="J2076" s="100"/>
      <c r="K2076" s="100"/>
      <c r="L2076" s="100"/>
      <c r="M2076" s="100"/>
      <c r="N2076" s="100"/>
      <c r="O2076" s="100"/>
      <c r="P2076" s="100"/>
      <c r="Q2076" s="100"/>
      <c r="R2076" s="100"/>
      <c r="S2076" s="100"/>
      <c r="T2076" s="100"/>
      <c r="U2076" s="100"/>
      <c r="V2076" s="100"/>
      <c r="W2076" s="100"/>
      <c r="X2076" s="100"/>
      <c r="Y2076" s="100"/>
      <c r="Z2076" s="100"/>
    </row>
    <row r="2077" spans="1:26">
      <c r="A2077" s="100"/>
      <c r="B2077" s="100"/>
      <c r="C2077" s="100"/>
      <c r="D2077" s="100"/>
      <c r="E2077" s="100"/>
      <c r="F2077" s="100"/>
      <c r="G2077" s="100"/>
      <c r="H2077" s="100"/>
      <c r="I2077" s="100"/>
      <c r="J2077" s="100"/>
      <c r="K2077" s="100"/>
      <c r="L2077" s="100"/>
      <c r="M2077" s="100"/>
      <c r="N2077" s="100"/>
      <c r="O2077" s="100"/>
      <c r="P2077" s="100"/>
      <c r="Q2077" s="100"/>
      <c r="R2077" s="100"/>
      <c r="S2077" s="100"/>
      <c r="T2077" s="100"/>
      <c r="U2077" s="100"/>
      <c r="V2077" s="100"/>
      <c r="W2077" s="100"/>
      <c r="X2077" s="100"/>
      <c r="Y2077" s="100"/>
      <c r="Z2077" s="100"/>
    </row>
    <row r="2078" spans="1:26">
      <c r="A2078" s="100"/>
      <c r="B2078" s="100"/>
      <c r="C2078" s="100"/>
      <c r="D2078" s="100"/>
      <c r="E2078" s="100"/>
      <c r="F2078" s="100"/>
      <c r="G2078" s="100"/>
      <c r="H2078" s="100"/>
      <c r="I2078" s="100"/>
      <c r="J2078" s="100"/>
      <c r="K2078" s="100"/>
      <c r="L2078" s="100"/>
      <c r="M2078" s="100"/>
      <c r="N2078" s="100"/>
      <c r="O2078" s="100"/>
      <c r="P2078" s="100"/>
      <c r="Q2078" s="100"/>
      <c r="R2078" s="100"/>
      <c r="S2078" s="100"/>
      <c r="T2078" s="100"/>
      <c r="U2078" s="100"/>
      <c r="V2078" s="100"/>
      <c r="W2078" s="100"/>
      <c r="X2078" s="100"/>
      <c r="Y2078" s="100"/>
      <c r="Z2078" s="100"/>
    </row>
    <row r="2079" spans="1:26">
      <c r="A2079" s="100"/>
      <c r="B2079" s="100"/>
      <c r="C2079" s="100"/>
      <c r="D2079" s="100"/>
      <c r="E2079" s="100"/>
      <c r="F2079" s="100"/>
      <c r="G2079" s="100"/>
      <c r="H2079" s="100"/>
      <c r="I2079" s="100"/>
      <c r="J2079" s="100"/>
      <c r="K2079" s="100"/>
      <c r="L2079" s="100"/>
      <c r="M2079" s="100"/>
      <c r="N2079" s="100"/>
      <c r="O2079" s="100"/>
      <c r="P2079" s="100"/>
      <c r="Q2079" s="100"/>
      <c r="R2079" s="100"/>
      <c r="S2079" s="100"/>
      <c r="T2079" s="100"/>
      <c r="U2079" s="100"/>
      <c r="V2079" s="100"/>
      <c r="W2079" s="100"/>
      <c r="X2079" s="100"/>
      <c r="Y2079" s="100"/>
      <c r="Z2079" s="100"/>
    </row>
    <row r="2080" spans="1:26">
      <c r="A2080" s="100"/>
      <c r="B2080" s="100"/>
      <c r="C2080" s="100"/>
      <c r="D2080" s="100"/>
      <c r="E2080" s="100"/>
      <c r="F2080" s="100"/>
      <c r="G2080" s="100"/>
      <c r="H2080" s="100"/>
      <c r="I2080" s="100"/>
      <c r="J2080" s="100"/>
      <c r="K2080" s="100"/>
      <c r="L2080" s="100"/>
      <c r="M2080" s="100"/>
      <c r="N2080" s="100"/>
      <c r="O2080" s="100"/>
      <c r="P2080" s="100"/>
      <c r="Q2080" s="100"/>
      <c r="R2080" s="100"/>
      <c r="S2080" s="100"/>
      <c r="T2080" s="100"/>
      <c r="U2080" s="100"/>
      <c r="V2080" s="100"/>
      <c r="W2080" s="100"/>
      <c r="X2080" s="100"/>
      <c r="Y2080" s="100"/>
      <c r="Z2080" s="100"/>
    </row>
    <row r="2081" spans="1:26">
      <c r="A2081" s="100"/>
      <c r="B2081" s="100"/>
      <c r="C2081" s="100"/>
      <c r="D2081" s="100"/>
      <c r="E2081" s="100"/>
      <c r="F2081" s="100"/>
      <c r="G2081" s="100"/>
      <c r="H2081" s="100"/>
      <c r="I2081" s="100"/>
      <c r="J2081" s="100"/>
      <c r="K2081" s="100"/>
      <c r="L2081" s="100"/>
      <c r="M2081" s="100"/>
      <c r="N2081" s="100"/>
      <c r="O2081" s="100"/>
      <c r="P2081" s="100"/>
      <c r="Q2081" s="100"/>
      <c r="R2081" s="100"/>
      <c r="S2081" s="100"/>
      <c r="T2081" s="100"/>
      <c r="U2081" s="100"/>
      <c r="V2081" s="100"/>
      <c r="W2081" s="100"/>
      <c r="X2081" s="100"/>
      <c r="Y2081" s="100"/>
      <c r="Z2081" s="100"/>
    </row>
    <row r="2082" spans="1:26">
      <c r="A2082" s="100"/>
      <c r="B2082" s="100"/>
      <c r="C2082" s="100"/>
      <c r="D2082" s="100"/>
      <c r="E2082" s="100"/>
      <c r="F2082" s="100"/>
      <c r="G2082" s="100"/>
      <c r="H2082" s="100"/>
      <c r="I2082" s="100"/>
      <c r="J2082" s="100"/>
      <c r="K2082" s="100"/>
      <c r="L2082" s="100"/>
      <c r="M2082" s="100"/>
      <c r="N2082" s="100"/>
      <c r="O2082" s="100"/>
      <c r="P2082" s="100"/>
      <c r="Q2082" s="100"/>
      <c r="R2082" s="100"/>
      <c r="S2082" s="100"/>
      <c r="T2082" s="100"/>
      <c r="U2082" s="100"/>
      <c r="V2082" s="100"/>
      <c r="W2082" s="100"/>
      <c r="X2082" s="100"/>
      <c r="Y2082" s="100"/>
      <c r="Z2082" s="100"/>
    </row>
    <row r="2083" spans="1:26">
      <c r="A2083" s="100"/>
      <c r="B2083" s="100"/>
      <c r="C2083" s="100"/>
      <c r="D2083" s="100"/>
      <c r="E2083" s="100"/>
      <c r="F2083" s="100"/>
      <c r="G2083" s="100"/>
      <c r="H2083" s="100"/>
      <c r="I2083" s="100"/>
      <c r="J2083" s="100"/>
      <c r="K2083" s="100"/>
      <c r="L2083" s="100"/>
      <c r="M2083" s="100"/>
      <c r="N2083" s="100"/>
      <c r="O2083" s="100"/>
      <c r="P2083" s="100"/>
      <c r="Q2083" s="100"/>
      <c r="R2083" s="100"/>
      <c r="S2083" s="100"/>
      <c r="T2083" s="100"/>
      <c r="U2083" s="100"/>
      <c r="V2083" s="100"/>
      <c r="W2083" s="100"/>
      <c r="X2083" s="100"/>
      <c r="Y2083" s="100"/>
      <c r="Z2083" s="100"/>
    </row>
    <row r="2084" spans="1:26">
      <c r="A2084" s="100"/>
      <c r="B2084" s="100"/>
      <c r="C2084" s="100"/>
      <c r="D2084" s="100"/>
      <c r="E2084" s="100"/>
      <c r="F2084" s="100"/>
      <c r="G2084" s="100"/>
      <c r="H2084" s="100"/>
      <c r="I2084" s="100"/>
      <c r="J2084" s="100"/>
      <c r="K2084" s="100"/>
      <c r="L2084" s="100"/>
      <c r="M2084" s="100"/>
      <c r="N2084" s="100"/>
      <c r="O2084" s="100"/>
      <c r="P2084" s="100"/>
      <c r="Q2084" s="100"/>
      <c r="R2084" s="100"/>
      <c r="S2084" s="100"/>
      <c r="T2084" s="100"/>
      <c r="U2084" s="100"/>
      <c r="V2084" s="100"/>
      <c r="W2084" s="100"/>
      <c r="X2084" s="100"/>
      <c r="Y2084" s="100"/>
      <c r="Z2084" s="100"/>
    </row>
    <row r="2085" spans="1:26">
      <c r="A2085" s="100"/>
      <c r="B2085" s="100"/>
      <c r="C2085" s="100"/>
      <c r="D2085" s="100"/>
      <c r="E2085" s="100"/>
      <c r="F2085" s="100"/>
      <c r="G2085" s="100"/>
      <c r="H2085" s="100"/>
      <c r="I2085" s="100"/>
      <c r="J2085" s="100"/>
      <c r="K2085" s="100"/>
      <c r="L2085" s="100"/>
      <c r="M2085" s="100"/>
      <c r="N2085" s="100"/>
      <c r="O2085" s="100"/>
      <c r="P2085" s="100"/>
      <c r="Q2085" s="100"/>
      <c r="R2085" s="100"/>
      <c r="S2085" s="100"/>
      <c r="T2085" s="100"/>
      <c r="U2085" s="100"/>
      <c r="V2085" s="100"/>
      <c r="W2085" s="100"/>
      <c r="X2085" s="100"/>
      <c r="Y2085" s="100"/>
      <c r="Z2085" s="100"/>
    </row>
    <row r="2086" spans="1:26">
      <c r="A2086" s="100"/>
      <c r="B2086" s="100"/>
      <c r="C2086" s="100"/>
      <c r="D2086" s="100"/>
      <c r="E2086" s="100"/>
      <c r="F2086" s="100"/>
      <c r="G2086" s="100"/>
      <c r="H2086" s="100"/>
      <c r="I2086" s="100"/>
      <c r="J2086" s="100"/>
      <c r="K2086" s="100"/>
      <c r="L2086" s="100"/>
      <c r="M2086" s="100"/>
      <c r="N2086" s="100"/>
      <c r="O2086" s="100"/>
      <c r="P2086" s="100"/>
      <c r="Q2086" s="100"/>
      <c r="R2086" s="100"/>
      <c r="S2086" s="100"/>
      <c r="T2086" s="100"/>
      <c r="U2086" s="100"/>
      <c r="V2086" s="100"/>
      <c r="W2086" s="100"/>
      <c r="X2086" s="100"/>
      <c r="Y2086" s="100"/>
      <c r="Z2086" s="100"/>
    </row>
    <row r="2087" spans="1:26">
      <c r="A2087" s="100"/>
      <c r="B2087" s="100"/>
      <c r="C2087" s="100"/>
      <c r="D2087" s="100"/>
      <c r="E2087" s="100"/>
      <c r="F2087" s="100"/>
      <c r="G2087" s="100"/>
      <c r="H2087" s="100"/>
      <c r="I2087" s="100"/>
      <c r="J2087" s="100"/>
      <c r="K2087" s="100"/>
      <c r="L2087" s="100"/>
      <c r="M2087" s="100"/>
      <c r="N2087" s="100"/>
      <c r="O2087" s="100"/>
      <c r="P2087" s="100"/>
      <c r="Q2087" s="100"/>
      <c r="R2087" s="100"/>
      <c r="S2087" s="100"/>
      <c r="T2087" s="100"/>
      <c r="U2087" s="100"/>
      <c r="V2087" s="100"/>
      <c r="W2087" s="100"/>
      <c r="X2087" s="100"/>
      <c r="Y2087" s="100"/>
      <c r="Z2087" s="100"/>
    </row>
    <row r="2088" spans="1:26">
      <c r="A2088" s="100"/>
      <c r="B2088" s="100"/>
      <c r="C2088" s="100"/>
      <c r="D2088" s="100"/>
      <c r="E2088" s="100"/>
      <c r="F2088" s="100"/>
      <c r="G2088" s="100"/>
      <c r="H2088" s="100"/>
      <c r="I2088" s="100"/>
      <c r="J2088" s="100"/>
      <c r="K2088" s="100"/>
      <c r="L2088" s="100"/>
      <c r="M2088" s="100"/>
      <c r="N2088" s="100"/>
      <c r="O2088" s="100"/>
      <c r="P2088" s="100"/>
      <c r="Q2088" s="100"/>
      <c r="R2088" s="100"/>
      <c r="S2088" s="100"/>
      <c r="T2088" s="100"/>
      <c r="U2088" s="100"/>
      <c r="V2088" s="100"/>
      <c r="W2088" s="100"/>
      <c r="X2088" s="100"/>
      <c r="Y2088" s="100"/>
      <c r="Z2088" s="100"/>
    </row>
    <row r="2089" spans="1:26">
      <c r="A2089" s="100"/>
      <c r="B2089" s="100"/>
      <c r="C2089" s="100"/>
      <c r="D2089" s="100"/>
      <c r="E2089" s="100"/>
      <c r="F2089" s="100"/>
      <c r="G2089" s="100"/>
      <c r="H2089" s="100"/>
      <c r="I2089" s="100"/>
      <c r="J2089" s="100"/>
      <c r="K2089" s="100"/>
      <c r="L2089" s="100"/>
      <c r="M2089" s="100"/>
      <c r="N2089" s="100"/>
      <c r="O2089" s="100"/>
      <c r="P2089" s="100"/>
      <c r="Q2089" s="100"/>
      <c r="R2089" s="100"/>
      <c r="S2089" s="100"/>
      <c r="T2089" s="100"/>
      <c r="U2089" s="100"/>
      <c r="V2089" s="100"/>
      <c r="W2089" s="100"/>
      <c r="X2089" s="100"/>
      <c r="Y2089" s="100"/>
      <c r="Z2089" s="100"/>
    </row>
    <row r="2090" spans="1:26">
      <c r="A2090" s="100"/>
      <c r="B2090" s="100"/>
      <c r="C2090" s="100"/>
      <c r="D2090" s="100"/>
      <c r="E2090" s="100"/>
      <c r="F2090" s="100"/>
      <c r="G2090" s="100"/>
      <c r="H2090" s="100"/>
      <c r="I2090" s="100"/>
      <c r="J2090" s="100"/>
      <c r="K2090" s="100"/>
      <c r="L2090" s="100"/>
      <c r="M2090" s="100"/>
      <c r="N2090" s="100"/>
      <c r="O2090" s="100"/>
      <c r="P2090" s="100"/>
      <c r="Q2090" s="100"/>
      <c r="R2090" s="100"/>
      <c r="S2090" s="100"/>
      <c r="T2090" s="100"/>
      <c r="U2090" s="100"/>
      <c r="V2090" s="100"/>
      <c r="W2090" s="100"/>
      <c r="X2090" s="100"/>
      <c r="Y2090" s="100"/>
      <c r="Z2090" s="100"/>
    </row>
    <row r="2091" spans="1:26">
      <c r="A2091" s="100"/>
      <c r="B2091" s="100"/>
      <c r="C2091" s="100"/>
      <c r="D2091" s="100"/>
      <c r="E2091" s="100"/>
      <c r="F2091" s="100"/>
      <c r="G2091" s="100"/>
      <c r="H2091" s="100"/>
      <c r="I2091" s="100"/>
      <c r="J2091" s="100"/>
      <c r="K2091" s="100"/>
      <c r="L2091" s="100"/>
      <c r="M2091" s="100"/>
      <c r="N2091" s="100"/>
      <c r="O2091" s="100"/>
      <c r="P2091" s="100"/>
      <c r="Q2091" s="100"/>
      <c r="R2091" s="100"/>
      <c r="S2091" s="100"/>
      <c r="T2091" s="100"/>
      <c r="U2091" s="100"/>
      <c r="V2091" s="100"/>
      <c r="W2091" s="100"/>
      <c r="X2091" s="100"/>
      <c r="Y2091" s="100"/>
      <c r="Z2091" s="100"/>
    </row>
    <row r="2092" spans="1:26">
      <c r="A2092" s="100"/>
      <c r="B2092" s="100"/>
      <c r="C2092" s="100"/>
      <c r="D2092" s="100"/>
      <c r="E2092" s="100"/>
      <c r="F2092" s="100"/>
      <c r="G2092" s="100"/>
      <c r="H2092" s="100"/>
      <c r="I2092" s="100"/>
      <c r="J2092" s="100"/>
      <c r="K2092" s="100"/>
      <c r="L2092" s="100"/>
      <c r="M2092" s="100"/>
      <c r="N2092" s="100"/>
      <c r="O2092" s="100"/>
      <c r="P2092" s="100"/>
      <c r="Q2092" s="100"/>
      <c r="R2092" s="100"/>
      <c r="S2092" s="100"/>
      <c r="T2092" s="100"/>
      <c r="U2092" s="100"/>
      <c r="V2092" s="100"/>
      <c r="W2092" s="100"/>
      <c r="X2092" s="100"/>
      <c r="Y2092" s="100"/>
      <c r="Z2092" s="100"/>
    </row>
    <row r="2093" spans="1:26">
      <c r="A2093" s="100"/>
      <c r="B2093" s="100"/>
      <c r="C2093" s="100"/>
      <c r="D2093" s="100"/>
      <c r="E2093" s="100"/>
      <c r="F2093" s="100"/>
      <c r="G2093" s="100"/>
      <c r="H2093" s="100"/>
      <c r="I2093" s="100"/>
      <c r="J2093" s="100"/>
      <c r="K2093" s="100"/>
      <c r="L2093" s="100"/>
      <c r="M2093" s="100"/>
      <c r="N2093" s="100"/>
      <c r="O2093" s="100"/>
      <c r="P2093" s="100"/>
      <c r="Q2093" s="100"/>
      <c r="R2093" s="100"/>
      <c r="S2093" s="100"/>
      <c r="T2093" s="100"/>
      <c r="U2093" s="100"/>
      <c r="V2093" s="100"/>
      <c r="W2093" s="100"/>
      <c r="X2093" s="100"/>
      <c r="Y2093" s="100"/>
      <c r="Z2093" s="100"/>
    </row>
    <row r="2094" spans="1:26">
      <c r="A2094" s="100"/>
      <c r="B2094" s="100"/>
      <c r="C2094" s="100"/>
      <c r="D2094" s="100"/>
      <c r="E2094" s="100"/>
      <c r="F2094" s="100"/>
      <c r="G2094" s="100"/>
      <c r="H2094" s="100"/>
      <c r="I2094" s="100"/>
      <c r="J2094" s="100"/>
      <c r="K2094" s="100"/>
      <c r="L2094" s="100"/>
      <c r="M2094" s="100"/>
      <c r="N2094" s="100"/>
      <c r="O2094" s="100"/>
      <c r="P2094" s="100"/>
      <c r="Q2094" s="100"/>
      <c r="R2094" s="100"/>
      <c r="S2094" s="100"/>
      <c r="T2094" s="100"/>
      <c r="U2094" s="100"/>
      <c r="V2094" s="100"/>
      <c r="W2094" s="100"/>
      <c r="X2094" s="100"/>
      <c r="Y2094" s="100"/>
      <c r="Z2094" s="100"/>
    </row>
    <row r="2095" spans="1:26">
      <c r="A2095" s="100"/>
      <c r="B2095" s="100"/>
      <c r="C2095" s="100"/>
      <c r="D2095" s="100"/>
      <c r="E2095" s="100"/>
      <c r="F2095" s="100"/>
      <c r="G2095" s="100"/>
      <c r="H2095" s="100"/>
      <c r="I2095" s="100"/>
      <c r="J2095" s="100"/>
      <c r="K2095" s="100"/>
      <c r="L2095" s="100"/>
      <c r="M2095" s="100"/>
      <c r="N2095" s="100"/>
      <c r="O2095" s="100"/>
      <c r="P2095" s="100"/>
      <c r="Q2095" s="100"/>
      <c r="R2095" s="100"/>
      <c r="S2095" s="100"/>
      <c r="T2095" s="100"/>
      <c r="U2095" s="100"/>
      <c r="V2095" s="100"/>
      <c r="W2095" s="100"/>
      <c r="X2095" s="100"/>
      <c r="Y2095" s="100"/>
      <c r="Z2095" s="100"/>
    </row>
    <row r="2096" spans="1:26">
      <c r="A2096" s="100"/>
      <c r="B2096" s="100"/>
      <c r="C2096" s="100"/>
      <c r="D2096" s="100"/>
      <c r="E2096" s="100"/>
      <c r="F2096" s="100"/>
      <c r="G2096" s="100"/>
      <c r="H2096" s="100"/>
      <c r="I2096" s="100"/>
      <c r="J2096" s="100"/>
      <c r="K2096" s="100"/>
      <c r="L2096" s="100"/>
      <c r="M2096" s="100"/>
      <c r="N2096" s="100"/>
      <c r="O2096" s="100"/>
      <c r="P2096" s="100"/>
      <c r="Q2096" s="100"/>
      <c r="R2096" s="100"/>
      <c r="S2096" s="100"/>
      <c r="T2096" s="100"/>
      <c r="U2096" s="100"/>
      <c r="V2096" s="100"/>
      <c r="W2096" s="100"/>
      <c r="X2096" s="100"/>
      <c r="Y2096" s="100"/>
      <c r="Z2096" s="100"/>
    </row>
    <row r="2097" spans="1:26">
      <c r="A2097" s="100"/>
      <c r="B2097" s="100"/>
      <c r="C2097" s="100"/>
      <c r="D2097" s="100"/>
      <c r="E2097" s="100"/>
      <c r="F2097" s="100"/>
      <c r="G2097" s="100"/>
      <c r="H2097" s="100"/>
      <c r="I2097" s="100"/>
      <c r="J2097" s="100"/>
      <c r="K2097" s="100"/>
      <c r="L2097" s="100"/>
      <c r="M2097" s="100"/>
      <c r="N2097" s="100"/>
      <c r="O2097" s="100"/>
      <c r="P2097" s="100"/>
      <c r="Q2097" s="100"/>
      <c r="R2097" s="100"/>
      <c r="S2097" s="100"/>
      <c r="T2097" s="100"/>
      <c r="U2097" s="100"/>
      <c r="V2097" s="100"/>
      <c r="W2097" s="100"/>
      <c r="X2097" s="100"/>
      <c r="Y2097" s="100"/>
      <c r="Z2097" s="100"/>
    </row>
    <row r="2098" spans="1:26">
      <c r="A2098" s="100"/>
      <c r="B2098" s="100"/>
      <c r="C2098" s="100"/>
      <c r="D2098" s="100"/>
      <c r="E2098" s="100"/>
      <c r="F2098" s="100"/>
      <c r="G2098" s="100"/>
      <c r="H2098" s="100"/>
      <c r="I2098" s="100"/>
      <c r="J2098" s="100"/>
      <c r="K2098" s="100"/>
      <c r="L2098" s="100"/>
      <c r="M2098" s="100"/>
      <c r="N2098" s="100"/>
      <c r="O2098" s="100"/>
      <c r="P2098" s="100"/>
      <c r="Q2098" s="100"/>
      <c r="R2098" s="100"/>
      <c r="S2098" s="100"/>
      <c r="T2098" s="100"/>
      <c r="U2098" s="100"/>
      <c r="V2098" s="100"/>
      <c r="W2098" s="100"/>
      <c r="X2098" s="100"/>
      <c r="Y2098" s="100"/>
      <c r="Z2098" s="100"/>
    </row>
    <row r="2099" spans="1:26">
      <c r="A2099" s="100"/>
      <c r="B2099" s="100"/>
      <c r="C2099" s="100"/>
      <c r="D2099" s="100"/>
      <c r="E2099" s="100"/>
      <c r="F2099" s="100"/>
      <c r="G2099" s="100"/>
      <c r="H2099" s="100"/>
      <c r="I2099" s="100"/>
      <c r="J2099" s="100"/>
      <c r="K2099" s="100"/>
      <c r="L2099" s="100"/>
      <c r="M2099" s="100"/>
      <c r="N2099" s="100"/>
      <c r="O2099" s="100"/>
      <c r="P2099" s="100"/>
      <c r="Q2099" s="100"/>
      <c r="R2099" s="100"/>
      <c r="S2099" s="100"/>
      <c r="T2099" s="100"/>
      <c r="U2099" s="100"/>
      <c r="V2099" s="100"/>
      <c r="W2099" s="100"/>
      <c r="X2099" s="100"/>
      <c r="Y2099" s="100"/>
      <c r="Z2099" s="100"/>
    </row>
    <row r="2100" spans="1:26">
      <c r="A2100" s="100"/>
      <c r="B2100" s="100"/>
      <c r="C2100" s="100"/>
      <c r="D2100" s="100"/>
      <c r="E2100" s="100"/>
      <c r="F2100" s="100"/>
      <c r="G2100" s="100"/>
      <c r="H2100" s="100"/>
      <c r="I2100" s="100"/>
      <c r="J2100" s="100"/>
      <c r="K2100" s="100"/>
      <c r="L2100" s="100"/>
      <c r="M2100" s="100"/>
      <c r="N2100" s="100"/>
      <c r="O2100" s="100"/>
      <c r="P2100" s="100"/>
      <c r="Q2100" s="100"/>
      <c r="R2100" s="100"/>
      <c r="S2100" s="100"/>
      <c r="T2100" s="100"/>
      <c r="U2100" s="100"/>
      <c r="V2100" s="100"/>
      <c r="W2100" s="100"/>
      <c r="X2100" s="100"/>
      <c r="Y2100" s="100"/>
      <c r="Z2100" s="100"/>
    </row>
    <row r="2101" spans="1:26">
      <c r="A2101" s="100"/>
      <c r="B2101" s="100"/>
      <c r="C2101" s="100"/>
      <c r="D2101" s="100"/>
      <c r="E2101" s="100"/>
      <c r="F2101" s="100"/>
      <c r="G2101" s="100"/>
      <c r="H2101" s="100"/>
      <c r="I2101" s="100"/>
      <c r="J2101" s="100"/>
      <c r="K2101" s="100"/>
      <c r="L2101" s="100"/>
      <c r="M2101" s="100"/>
      <c r="N2101" s="100"/>
      <c r="O2101" s="100"/>
      <c r="P2101" s="100"/>
      <c r="Q2101" s="100"/>
      <c r="R2101" s="100"/>
      <c r="S2101" s="100"/>
      <c r="T2101" s="100"/>
      <c r="U2101" s="100"/>
      <c r="V2101" s="100"/>
      <c r="W2101" s="100"/>
      <c r="X2101" s="100"/>
      <c r="Y2101" s="100"/>
      <c r="Z2101" s="100"/>
    </row>
    <row r="2102" spans="1:26">
      <c r="A2102" s="100"/>
      <c r="B2102" s="100"/>
      <c r="C2102" s="100"/>
      <c r="D2102" s="100"/>
      <c r="E2102" s="100"/>
      <c r="F2102" s="100"/>
      <c r="G2102" s="100"/>
      <c r="H2102" s="100"/>
      <c r="I2102" s="100"/>
      <c r="J2102" s="100"/>
      <c r="K2102" s="100"/>
      <c r="L2102" s="100"/>
      <c r="M2102" s="100"/>
      <c r="N2102" s="100"/>
      <c r="O2102" s="100"/>
      <c r="P2102" s="100"/>
      <c r="Q2102" s="100"/>
      <c r="R2102" s="100"/>
      <c r="S2102" s="100"/>
      <c r="T2102" s="100"/>
      <c r="U2102" s="100"/>
      <c r="V2102" s="100"/>
      <c r="W2102" s="100"/>
      <c r="X2102" s="100"/>
      <c r="Y2102" s="100"/>
      <c r="Z2102" s="100"/>
    </row>
    <row r="2103" spans="1:26">
      <c r="A2103" s="100"/>
      <c r="B2103" s="100"/>
      <c r="C2103" s="100"/>
      <c r="D2103" s="100"/>
      <c r="E2103" s="100"/>
      <c r="F2103" s="100"/>
      <c r="G2103" s="100"/>
      <c r="H2103" s="100"/>
      <c r="I2103" s="100"/>
      <c r="J2103" s="100"/>
      <c r="K2103" s="100"/>
      <c r="L2103" s="100"/>
      <c r="M2103" s="100"/>
      <c r="N2103" s="100"/>
      <c r="O2103" s="100"/>
      <c r="P2103" s="100"/>
      <c r="Q2103" s="100"/>
      <c r="R2103" s="100"/>
      <c r="S2103" s="100"/>
      <c r="T2103" s="100"/>
      <c r="U2103" s="100"/>
      <c r="V2103" s="100"/>
      <c r="W2103" s="100"/>
      <c r="X2103" s="100"/>
      <c r="Y2103" s="100"/>
      <c r="Z2103" s="100"/>
    </row>
    <row r="2104" spans="1:26">
      <c r="A2104" s="100"/>
      <c r="B2104" s="100"/>
      <c r="C2104" s="100"/>
      <c r="D2104" s="100"/>
      <c r="E2104" s="100"/>
      <c r="F2104" s="100"/>
      <c r="G2104" s="100"/>
      <c r="H2104" s="100"/>
      <c r="I2104" s="100"/>
      <c r="J2104" s="100"/>
      <c r="K2104" s="100"/>
      <c r="L2104" s="100"/>
      <c r="M2104" s="100"/>
      <c r="N2104" s="100"/>
      <c r="O2104" s="100"/>
      <c r="P2104" s="100"/>
      <c r="Q2104" s="100"/>
      <c r="R2104" s="100"/>
      <c r="S2104" s="100"/>
      <c r="T2104" s="100"/>
      <c r="U2104" s="100"/>
      <c r="V2104" s="100"/>
      <c r="W2104" s="100"/>
      <c r="X2104" s="100"/>
      <c r="Y2104" s="100"/>
      <c r="Z2104" s="100"/>
    </row>
    <row r="2105" spans="1:26">
      <c r="A2105" s="100"/>
      <c r="B2105" s="100"/>
      <c r="C2105" s="100"/>
      <c r="D2105" s="100"/>
      <c r="E2105" s="100"/>
      <c r="F2105" s="100"/>
      <c r="G2105" s="100"/>
      <c r="H2105" s="100"/>
      <c r="I2105" s="100"/>
      <c r="J2105" s="100"/>
      <c r="K2105" s="100"/>
      <c r="L2105" s="100"/>
      <c r="M2105" s="100"/>
      <c r="N2105" s="100"/>
      <c r="O2105" s="100"/>
      <c r="P2105" s="100"/>
      <c r="Q2105" s="100"/>
      <c r="R2105" s="100"/>
      <c r="S2105" s="100"/>
      <c r="T2105" s="100"/>
      <c r="U2105" s="100"/>
      <c r="V2105" s="100"/>
      <c r="W2105" s="100"/>
      <c r="X2105" s="100"/>
      <c r="Y2105" s="100"/>
      <c r="Z2105" s="100"/>
    </row>
    <row r="2106" spans="1:26">
      <c r="A2106" s="100"/>
      <c r="B2106" s="100"/>
      <c r="C2106" s="100"/>
      <c r="D2106" s="100"/>
      <c r="E2106" s="100"/>
      <c r="F2106" s="100"/>
      <c r="G2106" s="100"/>
      <c r="H2106" s="100"/>
      <c r="I2106" s="100"/>
      <c r="J2106" s="100"/>
      <c r="K2106" s="100"/>
      <c r="L2106" s="100"/>
      <c r="M2106" s="100"/>
      <c r="N2106" s="100"/>
      <c r="O2106" s="100"/>
      <c r="P2106" s="100"/>
      <c r="Q2106" s="100"/>
      <c r="R2106" s="100"/>
      <c r="S2106" s="100"/>
      <c r="T2106" s="100"/>
      <c r="U2106" s="100"/>
      <c r="V2106" s="100"/>
      <c r="W2106" s="100"/>
      <c r="X2106" s="100"/>
      <c r="Y2106" s="100"/>
      <c r="Z2106" s="100"/>
    </row>
    <row r="2107" spans="1:26">
      <c r="A2107" s="100"/>
      <c r="B2107" s="100"/>
      <c r="C2107" s="100"/>
      <c r="D2107" s="100"/>
      <c r="E2107" s="100"/>
      <c r="F2107" s="100"/>
      <c r="G2107" s="100"/>
      <c r="H2107" s="100"/>
      <c r="I2107" s="100"/>
      <c r="J2107" s="100"/>
      <c r="K2107" s="100"/>
      <c r="L2107" s="100"/>
      <c r="M2107" s="100"/>
      <c r="N2107" s="100"/>
      <c r="O2107" s="100"/>
      <c r="P2107" s="100"/>
      <c r="Q2107" s="100"/>
      <c r="R2107" s="100"/>
      <c r="S2107" s="100"/>
      <c r="T2107" s="100"/>
      <c r="U2107" s="100"/>
      <c r="V2107" s="100"/>
      <c r="W2107" s="100"/>
      <c r="X2107" s="100"/>
      <c r="Y2107" s="100"/>
      <c r="Z2107" s="100"/>
    </row>
    <row r="2108" spans="1:26">
      <c r="A2108" s="100"/>
      <c r="B2108" s="100"/>
      <c r="C2108" s="100"/>
      <c r="D2108" s="100"/>
      <c r="E2108" s="100"/>
      <c r="F2108" s="100"/>
      <c r="G2108" s="100"/>
      <c r="H2108" s="100"/>
      <c r="I2108" s="100"/>
      <c r="J2108" s="100"/>
      <c r="K2108" s="100"/>
      <c r="L2108" s="100"/>
      <c r="M2108" s="100"/>
      <c r="N2108" s="100"/>
      <c r="O2108" s="100"/>
      <c r="P2108" s="100"/>
      <c r="Q2108" s="100"/>
      <c r="R2108" s="100"/>
      <c r="S2108" s="100"/>
      <c r="T2108" s="100"/>
      <c r="U2108" s="100"/>
      <c r="V2108" s="100"/>
      <c r="W2108" s="100"/>
      <c r="X2108" s="100"/>
      <c r="Y2108" s="100"/>
      <c r="Z2108" s="100"/>
    </row>
    <row r="2109" spans="1:26">
      <c r="A2109" s="100"/>
      <c r="B2109" s="100"/>
      <c r="C2109" s="100"/>
      <c r="D2109" s="100"/>
      <c r="E2109" s="100"/>
      <c r="F2109" s="100"/>
      <c r="G2109" s="100"/>
      <c r="H2109" s="100"/>
      <c r="I2109" s="100"/>
      <c r="J2109" s="100"/>
      <c r="K2109" s="100"/>
      <c r="L2109" s="100"/>
      <c r="M2109" s="100"/>
      <c r="N2109" s="100"/>
      <c r="O2109" s="100"/>
      <c r="P2109" s="100"/>
      <c r="Q2109" s="100"/>
      <c r="R2109" s="100"/>
      <c r="S2109" s="100"/>
      <c r="T2109" s="100"/>
      <c r="U2109" s="100"/>
      <c r="V2109" s="100"/>
      <c r="W2109" s="100"/>
      <c r="X2109" s="100"/>
      <c r="Y2109" s="100"/>
      <c r="Z2109" s="100"/>
    </row>
    <row r="2110" spans="1:26">
      <c r="A2110" s="100"/>
      <c r="B2110" s="100"/>
      <c r="C2110" s="100"/>
      <c r="D2110" s="100"/>
      <c r="E2110" s="100"/>
      <c r="F2110" s="100"/>
      <c r="G2110" s="100"/>
      <c r="H2110" s="100"/>
      <c r="I2110" s="100"/>
      <c r="J2110" s="100"/>
      <c r="K2110" s="100"/>
      <c r="L2110" s="100"/>
      <c r="M2110" s="100"/>
      <c r="N2110" s="100"/>
      <c r="O2110" s="100"/>
      <c r="P2110" s="100"/>
      <c r="Q2110" s="100"/>
      <c r="R2110" s="100"/>
      <c r="S2110" s="100"/>
      <c r="T2110" s="100"/>
      <c r="U2110" s="100"/>
      <c r="V2110" s="100"/>
      <c r="W2110" s="100"/>
      <c r="X2110" s="100"/>
      <c r="Y2110" s="100"/>
      <c r="Z2110" s="100"/>
    </row>
    <row r="2111" spans="1:26">
      <c r="A2111" s="100"/>
      <c r="B2111" s="100"/>
      <c r="C2111" s="100"/>
      <c r="D2111" s="100"/>
      <c r="E2111" s="100"/>
      <c r="F2111" s="100"/>
      <c r="G2111" s="100"/>
      <c r="H2111" s="100"/>
      <c r="I2111" s="100"/>
      <c r="J2111" s="100"/>
      <c r="K2111" s="100"/>
      <c r="L2111" s="100"/>
      <c r="M2111" s="100"/>
      <c r="N2111" s="100"/>
      <c r="O2111" s="100"/>
      <c r="P2111" s="100"/>
      <c r="Q2111" s="100"/>
      <c r="R2111" s="100"/>
      <c r="S2111" s="100"/>
      <c r="T2111" s="100"/>
      <c r="U2111" s="100"/>
      <c r="V2111" s="100"/>
      <c r="W2111" s="100"/>
      <c r="X2111" s="100"/>
      <c r="Y2111" s="100"/>
      <c r="Z2111" s="100"/>
    </row>
    <row r="2112" spans="1:26">
      <c r="A2112" s="100"/>
      <c r="B2112" s="100"/>
      <c r="C2112" s="100"/>
      <c r="D2112" s="100"/>
      <c r="E2112" s="100"/>
      <c r="F2112" s="100"/>
      <c r="G2112" s="100"/>
      <c r="H2112" s="100"/>
      <c r="I2112" s="100"/>
      <c r="J2112" s="100"/>
      <c r="K2112" s="100"/>
      <c r="L2112" s="100"/>
      <c r="M2112" s="100"/>
      <c r="N2112" s="100"/>
      <c r="O2112" s="100"/>
      <c r="P2112" s="100"/>
      <c r="Q2112" s="100"/>
      <c r="R2112" s="100"/>
      <c r="S2112" s="100"/>
      <c r="T2112" s="100"/>
      <c r="U2112" s="100"/>
      <c r="V2112" s="100"/>
      <c r="W2112" s="100"/>
      <c r="X2112" s="100"/>
      <c r="Y2112" s="100"/>
      <c r="Z2112" s="100"/>
    </row>
    <row r="2113" spans="1:26">
      <c r="A2113" s="100"/>
      <c r="B2113" s="100"/>
      <c r="C2113" s="100"/>
      <c r="D2113" s="100"/>
      <c r="E2113" s="100"/>
      <c r="F2113" s="100"/>
      <c r="G2113" s="100"/>
      <c r="H2113" s="100"/>
      <c r="I2113" s="100"/>
      <c r="J2113" s="100"/>
      <c r="K2113" s="100"/>
      <c r="L2113" s="100"/>
      <c r="M2113" s="100"/>
      <c r="N2113" s="100"/>
      <c r="O2113" s="100"/>
      <c r="P2113" s="100"/>
      <c r="Q2113" s="100"/>
      <c r="R2113" s="100"/>
      <c r="S2113" s="100"/>
      <c r="T2113" s="100"/>
      <c r="U2113" s="100"/>
      <c r="V2113" s="100"/>
      <c r="W2113" s="100"/>
      <c r="X2113" s="100"/>
      <c r="Y2113" s="100"/>
      <c r="Z2113" s="100"/>
    </row>
    <row r="2114" spans="1:26">
      <c r="A2114" s="100"/>
      <c r="B2114" s="100"/>
      <c r="C2114" s="100"/>
      <c r="D2114" s="100"/>
      <c r="E2114" s="100"/>
      <c r="F2114" s="100"/>
      <c r="G2114" s="100"/>
      <c r="H2114" s="100"/>
      <c r="I2114" s="100"/>
      <c r="J2114" s="100"/>
      <c r="K2114" s="100"/>
      <c r="L2114" s="100"/>
      <c r="M2114" s="100"/>
      <c r="N2114" s="100"/>
      <c r="O2114" s="100"/>
      <c r="P2114" s="100"/>
      <c r="Q2114" s="100"/>
      <c r="R2114" s="100"/>
      <c r="S2114" s="100"/>
      <c r="T2114" s="100"/>
      <c r="U2114" s="100"/>
      <c r="V2114" s="100"/>
      <c r="W2114" s="100"/>
      <c r="X2114" s="100"/>
      <c r="Y2114" s="100"/>
      <c r="Z2114" s="100"/>
    </row>
    <row r="2115" spans="1:26">
      <c r="A2115" s="100"/>
      <c r="B2115" s="100"/>
      <c r="C2115" s="100"/>
      <c r="D2115" s="100"/>
      <c r="E2115" s="100"/>
      <c r="F2115" s="100"/>
      <c r="G2115" s="100"/>
      <c r="H2115" s="100"/>
      <c r="I2115" s="100"/>
      <c r="J2115" s="100"/>
      <c r="K2115" s="100"/>
      <c r="L2115" s="100"/>
      <c r="M2115" s="100"/>
      <c r="N2115" s="100"/>
      <c r="O2115" s="100"/>
      <c r="P2115" s="100"/>
      <c r="Q2115" s="100"/>
      <c r="R2115" s="100"/>
      <c r="S2115" s="100"/>
      <c r="T2115" s="100"/>
      <c r="U2115" s="100"/>
      <c r="V2115" s="100"/>
      <c r="W2115" s="100"/>
      <c r="X2115" s="100"/>
      <c r="Y2115" s="100"/>
      <c r="Z2115" s="100"/>
    </row>
    <row r="2116" spans="1:26">
      <c r="A2116" s="100"/>
      <c r="B2116" s="100"/>
      <c r="C2116" s="100"/>
      <c r="D2116" s="100"/>
      <c r="E2116" s="100"/>
      <c r="F2116" s="100"/>
      <c r="G2116" s="100"/>
      <c r="H2116" s="100"/>
      <c r="I2116" s="100"/>
      <c r="J2116" s="100"/>
      <c r="K2116" s="100"/>
      <c r="L2116" s="100"/>
      <c r="M2116" s="100"/>
      <c r="N2116" s="100"/>
      <c r="O2116" s="100"/>
      <c r="P2116" s="100"/>
      <c r="Q2116" s="100"/>
      <c r="R2116" s="100"/>
      <c r="S2116" s="100"/>
      <c r="T2116" s="100"/>
      <c r="U2116" s="100"/>
      <c r="V2116" s="100"/>
      <c r="W2116" s="100"/>
      <c r="X2116" s="100"/>
      <c r="Y2116" s="100"/>
      <c r="Z2116" s="100"/>
    </row>
    <row r="2117" spans="1:26">
      <c r="A2117" s="100"/>
      <c r="B2117" s="100"/>
      <c r="C2117" s="100"/>
      <c r="D2117" s="100"/>
      <c r="E2117" s="100"/>
      <c r="F2117" s="100"/>
      <c r="G2117" s="100"/>
      <c r="H2117" s="100"/>
      <c r="I2117" s="100"/>
      <c r="J2117" s="100"/>
      <c r="K2117" s="100"/>
      <c r="L2117" s="100"/>
      <c r="M2117" s="100"/>
      <c r="N2117" s="100"/>
      <c r="O2117" s="100"/>
      <c r="P2117" s="100"/>
      <c r="Q2117" s="100"/>
      <c r="R2117" s="100"/>
      <c r="S2117" s="100"/>
      <c r="T2117" s="100"/>
      <c r="U2117" s="100"/>
      <c r="V2117" s="100"/>
      <c r="W2117" s="100"/>
      <c r="X2117" s="100"/>
      <c r="Y2117" s="100"/>
      <c r="Z2117" s="100"/>
    </row>
    <row r="2118" spans="1:26">
      <c r="A2118" s="100"/>
      <c r="B2118" s="100"/>
      <c r="C2118" s="100"/>
      <c r="D2118" s="100"/>
      <c r="E2118" s="100"/>
      <c r="F2118" s="100"/>
      <c r="G2118" s="100"/>
      <c r="H2118" s="100"/>
      <c r="I2118" s="100"/>
      <c r="J2118" s="100"/>
      <c r="K2118" s="100"/>
      <c r="L2118" s="100"/>
      <c r="M2118" s="100"/>
      <c r="N2118" s="100"/>
      <c r="O2118" s="100"/>
      <c r="P2118" s="100"/>
      <c r="Q2118" s="100"/>
      <c r="R2118" s="100"/>
      <c r="S2118" s="100"/>
      <c r="T2118" s="100"/>
      <c r="U2118" s="100"/>
      <c r="V2118" s="100"/>
      <c r="W2118" s="100"/>
      <c r="X2118" s="100"/>
      <c r="Y2118" s="100"/>
      <c r="Z2118" s="100"/>
    </row>
    <row r="2119" spans="1:26">
      <c r="A2119" s="100"/>
      <c r="B2119" s="100"/>
      <c r="C2119" s="100"/>
      <c r="D2119" s="100"/>
      <c r="E2119" s="100"/>
      <c r="F2119" s="100"/>
      <c r="G2119" s="100"/>
      <c r="H2119" s="100"/>
      <c r="I2119" s="100"/>
      <c r="J2119" s="100"/>
      <c r="K2119" s="100"/>
      <c r="L2119" s="100"/>
      <c r="M2119" s="100"/>
      <c r="N2119" s="100"/>
      <c r="O2119" s="100"/>
      <c r="P2119" s="100"/>
      <c r="Q2119" s="100"/>
      <c r="R2119" s="100"/>
      <c r="S2119" s="100"/>
      <c r="T2119" s="100"/>
      <c r="U2119" s="100"/>
      <c r="V2119" s="100"/>
      <c r="W2119" s="100"/>
      <c r="X2119" s="100"/>
      <c r="Y2119" s="100"/>
      <c r="Z2119" s="100"/>
    </row>
    <row r="2120" spans="1:26">
      <c r="A2120" s="100"/>
      <c r="B2120" s="100"/>
      <c r="C2120" s="100"/>
      <c r="D2120" s="100"/>
      <c r="E2120" s="100"/>
      <c r="F2120" s="100"/>
      <c r="G2120" s="100"/>
      <c r="H2120" s="100"/>
      <c r="I2120" s="100"/>
      <c r="J2120" s="100"/>
      <c r="K2120" s="100"/>
      <c r="L2120" s="100"/>
      <c r="M2120" s="100"/>
      <c r="N2120" s="100"/>
      <c r="O2120" s="100"/>
      <c r="P2120" s="100"/>
      <c r="Q2120" s="100"/>
      <c r="R2120" s="100"/>
      <c r="S2120" s="100"/>
      <c r="T2120" s="100"/>
      <c r="U2120" s="100"/>
      <c r="V2120" s="100"/>
      <c r="W2120" s="100"/>
      <c r="X2120" s="100"/>
      <c r="Y2120" s="100"/>
      <c r="Z2120" s="100"/>
    </row>
    <row r="2121" spans="1:26">
      <c r="A2121" s="100"/>
      <c r="B2121" s="100"/>
      <c r="C2121" s="100"/>
      <c r="D2121" s="100"/>
      <c r="E2121" s="100"/>
      <c r="F2121" s="100"/>
      <c r="G2121" s="100"/>
      <c r="H2121" s="100"/>
      <c r="I2121" s="100"/>
      <c r="J2121" s="100"/>
      <c r="K2121" s="100"/>
      <c r="L2121" s="100"/>
      <c r="M2121" s="100"/>
      <c r="N2121" s="100"/>
      <c r="O2121" s="100"/>
      <c r="P2121" s="100"/>
      <c r="Q2121" s="100"/>
      <c r="R2121" s="100"/>
      <c r="S2121" s="100"/>
      <c r="T2121" s="100"/>
      <c r="U2121" s="100"/>
      <c r="V2121" s="100"/>
      <c r="W2121" s="100"/>
      <c r="X2121" s="100"/>
      <c r="Y2121" s="100"/>
      <c r="Z2121" s="100"/>
    </row>
    <row r="2122" spans="1:26">
      <c r="A2122" s="100"/>
      <c r="B2122" s="100"/>
      <c r="C2122" s="100"/>
      <c r="D2122" s="100"/>
      <c r="E2122" s="100"/>
      <c r="F2122" s="100"/>
      <c r="G2122" s="100"/>
      <c r="H2122" s="100"/>
      <c r="I2122" s="100"/>
      <c r="J2122" s="100"/>
      <c r="K2122" s="100"/>
      <c r="L2122" s="100"/>
      <c r="M2122" s="100"/>
      <c r="N2122" s="100"/>
      <c r="O2122" s="100"/>
      <c r="P2122" s="100"/>
      <c r="Q2122" s="100"/>
      <c r="R2122" s="100"/>
      <c r="S2122" s="100"/>
      <c r="T2122" s="100"/>
      <c r="U2122" s="100"/>
      <c r="V2122" s="100"/>
      <c r="W2122" s="100"/>
      <c r="X2122" s="100"/>
      <c r="Y2122" s="100"/>
      <c r="Z2122" s="100"/>
    </row>
    <row r="2123" spans="1:26">
      <c r="A2123" s="100"/>
      <c r="B2123" s="100"/>
      <c r="C2123" s="100"/>
      <c r="D2123" s="100"/>
      <c r="E2123" s="100"/>
      <c r="F2123" s="100"/>
      <c r="G2123" s="100"/>
      <c r="H2123" s="100"/>
      <c r="I2123" s="100"/>
      <c r="J2123" s="100"/>
      <c r="K2123" s="100"/>
      <c r="L2123" s="100"/>
      <c r="M2123" s="100"/>
      <c r="N2123" s="100"/>
      <c r="O2123" s="100"/>
      <c r="P2123" s="100"/>
      <c r="Q2123" s="100"/>
      <c r="R2123" s="100"/>
      <c r="S2123" s="100"/>
      <c r="T2123" s="100"/>
      <c r="U2123" s="100"/>
      <c r="V2123" s="100"/>
      <c r="W2123" s="100"/>
      <c r="X2123" s="100"/>
      <c r="Y2123" s="100"/>
      <c r="Z2123" s="100"/>
    </row>
    <row r="2124" spans="1:26">
      <c r="A2124" s="100"/>
      <c r="B2124" s="100"/>
      <c r="C2124" s="100"/>
      <c r="D2124" s="100"/>
      <c r="E2124" s="100"/>
      <c r="F2124" s="100"/>
      <c r="G2124" s="100"/>
      <c r="H2124" s="100"/>
      <c r="I2124" s="100"/>
      <c r="J2124" s="100"/>
      <c r="K2124" s="100"/>
      <c r="L2124" s="100"/>
      <c r="M2124" s="100"/>
      <c r="N2124" s="100"/>
      <c r="O2124" s="100"/>
      <c r="P2124" s="100"/>
      <c r="Q2124" s="100"/>
      <c r="R2124" s="100"/>
      <c r="S2124" s="100"/>
      <c r="T2124" s="100"/>
      <c r="U2124" s="100"/>
      <c r="V2124" s="100"/>
      <c r="W2124" s="100"/>
      <c r="X2124" s="100"/>
      <c r="Y2124" s="100"/>
      <c r="Z2124" s="100"/>
    </row>
    <row r="2125" spans="1:26">
      <c r="A2125" s="100"/>
      <c r="B2125" s="100"/>
      <c r="C2125" s="100"/>
      <c r="D2125" s="100"/>
      <c r="E2125" s="100"/>
      <c r="F2125" s="100"/>
      <c r="G2125" s="100"/>
      <c r="H2125" s="100"/>
      <c r="I2125" s="100"/>
      <c r="J2125" s="100"/>
      <c r="K2125" s="100"/>
      <c r="L2125" s="100"/>
      <c r="M2125" s="100"/>
      <c r="N2125" s="100"/>
      <c r="O2125" s="100"/>
      <c r="P2125" s="100"/>
      <c r="Q2125" s="100"/>
      <c r="R2125" s="100"/>
      <c r="S2125" s="100"/>
      <c r="T2125" s="100"/>
      <c r="U2125" s="100"/>
      <c r="V2125" s="100"/>
      <c r="W2125" s="100"/>
      <c r="X2125" s="100"/>
      <c r="Y2125" s="100"/>
      <c r="Z2125" s="100"/>
    </row>
    <row r="2126" spans="1:26">
      <c r="A2126" s="100"/>
      <c r="B2126" s="100"/>
      <c r="C2126" s="100"/>
      <c r="D2126" s="100"/>
      <c r="E2126" s="100"/>
      <c r="F2126" s="100"/>
      <c r="G2126" s="100"/>
      <c r="H2126" s="100"/>
      <c r="I2126" s="100"/>
      <c r="J2126" s="100"/>
      <c r="K2126" s="100"/>
      <c r="L2126" s="100"/>
      <c r="M2126" s="100"/>
      <c r="N2126" s="100"/>
      <c r="O2126" s="100"/>
      <c r="P2126" s="100"/>
      <c r="Q2126" s="100"/>
      <c r="R2126" s="100"/>
      <c r="S2126" s="100"/>
      <c r="T2126" s="100"/>
      <c r="U2126" s="100"/>
      <c r="V2126" s="100"/>
      <c r="W2126" s="100"/>
      <c r="X2126" s="100"/>
      <c r="Y2126" s="100"/>
      <c r="Z2126" s="100"/>
    </row>
    <row r="2127" spans="1:26">
      <c r="A2127" s="100"/>
      <c r="B2127" s="100"/>
      <c r="C2127" s="100"/>
      <c r="D2127" s="100"/>
      <c r="E2127" s="100"/>
      <c r="F2127" s="100"/>
      <c r="G2127" s="100"/>
      <c r="H2127" s="100"/>
      <c r="I2127" s="100"/>
      <c r="J2127" s="100"/>
      <c r="K2127" s="100"/>
      <c r="L2127" s="100"/>
      <c r="M2127" s="100"/>
      <c r="N2127" s="100"/>
      <c r="O2127" s="100"/>
      <c r="P2127" s="100"/>
      <c r="Q2127" s="100"/>
      <c r="R2127" s="100"/>
      <c r="S2127" s="100"/>
      <c r="T2127" s="100"/>
      <c r="U2127" s="100"/>
      <c r="V2127" s="100"/>
      <c r="W2127" s="100"/>
      <c r="X2127" s="100"/>
      <c r="Y2127" s="100"/>
      <c r="Z2127" s="100"/>
    </row>
    <row r="2128" spans="1:26">
      <c r="A2128" s="100"/>
      <c r="B2128" s="100"/>
      <c r="C2128" s="100"/>
      <c r="D2128" s="100"/>
      <c r="E2128" s="100"/>
      <c r="F2128" s="100"/>
      <c r="G2128" s="100"/>
      <c r="H2128" s="100"/>
      <c r="I2128" s="100"/>
      <c r="J2128" s="100"/>
      <c r="K2128" s="100"/>
      <c r="L2128" s="100"/>
      <c r="M2128" s="100"/>
      <c r="N2128" s="100"/>
      <c r="O2128" s="100"/>
      <c r="P2128" s="100"/>
      <c r="Q2128" s="100"/>
      <c r="R2128" s="100"/>
      <c r="S2128" s="100"/>
      <c r="T2128" s="100"/>
      <c r="U2128" s="100"/>
      <c r="V2128" s="100"/>
      <c r="W2128" s="100"/>
      <c r="X2128" s="100"/>
      <c r="Y2128" s="100"/>
      <c r="Z2128" s="100"/>
    </row>
    <row r="2129" spans="1:26">
      <c r="A2129" s="100"/>
      <c r="B2129" s="100"/>
      <c r="C2129" s="100"/>
      <c r="D2129" s="100"/>
      <c r="E2129" s="100"/>
      <c r="F2129" s="100"/>
      <c r="G2129" s="100"/>
      <c r="H2129" s="100"/>
      <c r="I2129" s="100"/>
      <c r="J2129" s="100"/>
      <c r="K2129" s="100"/>
      <c r="L2129" s="100"/>
      <c r="M2129" s="100"/>
      <c r="N2129" s="100"/>
      <c r="O2129" s="100"/>
      <c r="P2129" s="100"/>
      <c r="Q2129" s="100"/>
      <c r="R2129" s="100"/>
      <c r="S2129" s="100"/>
      <c r="T2129" s="100"/>
      <c r="U2129" s="100"/>
      <c r="V2129" s="100"/>
      <c r="W2129" s="100"/>
      <c r="X2129" s="100"/>
      <c r="Y2129" s="100"/>
      <c r="Z2129" s="100"/>
    </row>
    <row r="2130" spans="1:26">
      <c r="A2130" s="100"/>
      <c r="B2130" s="100"/>
      <c r="C2130" s="100"/>
      <c r="D2130" s="100"/>
      <c r="E2130" s="100"/>
      <c r="F2130" s="100"/>
      <c r="G2130" s="100"/>
      <c r="H2130" s="100"/>
      <c r="I2130" s="100"/>
      <c r="J2130" s="100"/>
      <c r="K2130" s="100"/>
      <c r="L2130" s="100"/>
      <c r="M2130" s="100"/>
      <c r="N2130" s="100"/>
      <c r="O2130" s="100"/>
      <c r="P2130" s="100"/>
      <c r="Q2130" s="100"/>
      <c r="R2130" s="100"/>
      <c r="S2130" s="100"/>
      <c r="T2130" s="100"/>
      <c r="U2130" s="100"/>
      <c r="V2130" s="100"/>
      <c r="W2130" s="100"/>
      <c r="X2130" s="100"/>
      <c r="Y2130" s="100"/>
      <c r="Z2130" s="100"/>
    </row>
    <row r="2131" spans="1:26">
      <c r="A2131" s="100"/>
      <c r="B2131" s="100"/>
      <c r="C2131" s="100"/>
      <c r="D2131" s="100"/>
      <c r="E2131" s="100"/>
      <c r="F2131" s="100"/>
      <c r="G2131" s="100"/>
      <c r="H2131" s="100"/>
      <c r="I2131" s="100"/>
      <c r="J2131" s="100"/>
      <c r="K2131" s="100"/>
      <c r="L2131" s="100"/>
      <c r="M2131" s="100"/>
      <c r="N2131" s="100"/>
      <c r="O2131" s="100"/>
      <c r="P2131" s="100"/>
      <c r="Q2131" s="100"/>
      <c r="R2131" s="100"/>
      <c r="S2131" s="100"/>
      <c r="T2131" s="100"/>
      <c r="U2131" s="100"/>
      <c r="V2131" s="100"/>
      <c r="W2131" s="100"/>
      <c r="X2131" s="100"/>
      <c r="Y2131" s="100"/>
      <c r="Z2131" s="100"/>
    </row>
    <row r="2132" spans="1:26">
      <c r="A2132" s="100"/>
      <c r="B2132" s="100"/>
      <c r="C2132" s="100"/>
      <c r="D2132" s="100"/>
      <c r="E2132" s="100"/>
      <c r="F2132" s="100"/>
      <c r="G2132" s="100"/>
      <c r="H2132" s="100"/>
      <c r="I2132" s="100"/>
      <c r="J2132" s="100"/>
      <c r="K2132" s="100"/>
      <c r="L2132" s="100"/>
      <c r="M2132" s="100"/>
      <c r="N2132" s="100"/>
      <c r="O2132" s="100"/>
      <c r="P2132" s="100"/>
      <c r="Q2132" s="100"/>
      <c r="R2132" s="100"/>
      <c r="S2132" s="100"/>
      <c r="T2132" s="100"/>
      <c r="U2132" s="100"/>
      <c r="V2132" s="100"/>
      <c r="W2132" s="100"/>
      <c r="X2132" s="100"/>
      <c r="Y2132" s="100"/>
      <c r="Z2132" s="100"/>
    </row>
    <row r="2133" spans="1:26">
      <c r="A2133" s="100"/>
      <c r="B2133" s="100"/>
      <c r="C2133" s="100"/>
      <c r="D2133" s="100"/>
      <c r="E2133" s="100"/>
      <c r="F2133" s="100"/>
      <c r="G2133" s="100"/>
      <c r="H2133" s="100"/>
      <c r="I2133" s="100"/>
      <c r="J2133" s="100"/>
      <c r="K2133" s="100"/>
      <c r="L2133" s="100"/>
      <c r="M2133" s="100"/>
      <c r="N2133" s="100"/>
      <c r="O2133" s="100"/>
      <c r="P2133" s="100"/>
      <c r="Q2133" s="100"/>
      <c r="R2133" s="100"/>
      <c r="S2133" s="100"/>
      <c r="T2133" s="100"/>
      <c r="U2133" s="100"/>
      <c r="V2133" s="100"/>
      <c r="W2133" s="100"/>
      <c r="X2133" s="100"/>
      <c r="Y2133" s="100"/>
      <c r="Z2133" s="100"/>
    </row>
    <row r="2134" spans="1:26">
      <c r="A2134" s="100"/>
      <c r="B2134" s="100"/>
      <c r="C2134" s="100"/>
      <c r="D2134" s="100"/>
      <c r="E2134" s="100"/>
      <c r="F2134" s="100"/>
      <c r="G2134" s="100"/>
      <c r="H2134" s="100"/>
      <c r="I2134" s="100"/>
      <c r="J2134" s="100"/>
      <c r="K2134" s="100"/>
      <c r="L2134" s="100"/>
      <c r="M2134" s="100"/>
      <c r="N2134" s="100"/>
      <c r="O2134" s="100"/>
      <c r="P2134" s="100"/>
      <c r="Q2134" s="100"/>
      <c r="R2134" s="100"/>
      <c r="S2134" s="100"/>
      <c r="T2134" s="100"/>
      <c r="U2134" s="100"/>
      <c r="V2134" s="100"/>
      <c r="W2134" s="100"/>
      <c r="X2134" s="100"/>
      <c r="Y2134" s="100"/>
      <c r="Z2134" s="100"/>
    </row>
    <row r="2135" spans="1:26">
      <c r="A2135" s="100"/>
      <c r="B2135" s="100"/>
      <c r="C2135" s="100"/>
      <c r="D2135" s="100"/>
      <c r="E2135" s="100"/>
      <c r="F2135" s="100"/>
      <c r="G2135" s="100"/>
      <c r="H2135" s="100"/>
      <c r="I2135" s="100"/>
      <c r="J2135" s="100"/>
      <c r="K2135" s="100"/>
      <c r="L2135" s="100"/>
      <c r="M2135" s="100"/>
      <c r="N2135" s="100"/>
      <c r="O2135" s="100"/>
      <c r="P2135" s="100"/>
      <c r="Q2135" s="100"/>
      <c r="R2135" s="100"/>
      <c r="S2135" s="100"/>
      <c r="T2135" s="100"/>
      <c r="U2135" s="100"/>
      <c r="V2135" s="100"/>
      <c r="W2135" s="100"/>
      <c r="X2135" s="100"/>
      <c r="Y2135" s="100"/>
      <c r="Z2135" s="100"/>
    </row>
    <row r="2136" spans="1:26">
      <c r="A2136" s="100"/>
      <c r="B2136" s="100"/>
      <c r="C2136" s="100"/>
      <c r="D2136" s="100"/>
      <c r="E2136" s="100"/>
      <c r="F2136" s="100"/>
      <c r="G2136" s="100"/>
      <c r="H2136" s="100"/>
      <c r="I2136" s="100"/>
      <c r="J2136" s="100"/>
      <c r="K2136" s="100"/>
      <c r="L2136" s="100"/>
      <c r="M2136" s="100"/>
      <c r="N2136" s="100"/>
      <c r="O2136" s="100"/>
      <c r="P2136" s="100"/>
      <c r="Q2136" s="100"/>
      <c r="R2136" s="100"/>
      <c r="S2136" s="100"/>
      <c r="T2136" s="100"/>
      <c r="U2136" s="100"/>
      <c r="V2136" s="100"/>
      <c r="W2136" s="100"/>
      <c r="X2136" s="100"/>
      <c r="Y2136" s="100"/>
      <c r="Z2136" s="100"/>
    </row>
    <row r="2137" spans="1:26">
      <c r="A2137" s="100"/>
      <c r="B2137" s="100"/>
      <c r="C2137" s="100"/>
      <c r="D2137" s="100"/>
      <c r="E2137" s="100"/>
      <c r="F2137" s="100"/>
      <c r="G2137" s="100"/>
      <c r="H2137" s="100"/>
      <c r="I2137" s="100"/>
      <c r="J2137" s="100"/>
      <c r="K2137" s="100"/>
      <c r="L2137" s="100"/>
      <c r="M2137" s="100"/>
      <c r="N2137" s="100"/>
      <c r="O2137" s="100"/>
      <c r="P2137" s="100"/>
      <c r="Q2137" s="100"/>
      <c r="R2137" s="100"/>
      <c r="S2137" s="100"/>
      <c r="T2137" s="100"/>
      <c r="U2137" s="100"/>
      <c r="V2137" s="100"/>
      <c r="W2137" s="100"/>
      <c r="X2137" s="100"/>
      <c r="Y2137" s="100"/>
      <c r="Z2137" s="100"/>
    </row>
    <row r="2138" spans="1:26">
      <c r="A2138" s="100"/>
      <c r="B2138" s="100"/>
      <c r="C2138" s="100"/>
      <c r="D2138" s="100"/>
      <c r="E2138" s="100"/>
      <c r="F2138" s="100"/>
      <c r="G2138" s="100"/>
      <c r="H2138" s="100"/>
      <c r="I2138" s="100"/>
      <c r="J2138" s="100"/>
      <c r="K2138" s="100"/>
      <c r="L2138" s="100"/>
      <c r="M2138" s="100"/>
      <c r="N2138" s="100"/>
      <c r="O2138" s="100"/>
      <c r="P2138" s="100"/>
      <c r="Q2138" s="100"/>
      <c r="R2138" s="100"/>
      <c r="S2138" s="100"/>
      <c r="T2138" s="100"/>
      <c r="U2138" s="100"/>
      <c r="V2138" s="100"/>
      <c r="W2138" s="100"/>
      <c r="X2138" s="100"/>
      <c r="Y2138" s="100"/>
      <c r="Z2138" s="100"/>
    </row>
    <row r="2139" spans="1:26">
      <c r="A2139" s="100"/>
      <c r="B2139" s="100"/>
      <c r="C2139" s="100"/>
      <c r="D2139" s="100"/>
      <c r="E2139" s="100"/>
      <c r="F2139" s="100"/>
      <c r="G2139" s="100"/>
      <c r="H2139" s="100"/>
      <c r="I2139" s="100"/>
      <c r="J2139" s="100"/>
      <c r="K2139" s="100"/>
      <c r="L2139" s="100"/>
      <c r="M2139" s="100"/>
      <c r="N2139" s="100"/>
      <c r="O2139" s="100"/>
      <c r="P2139" s="100"/>
      <c r="Q2139" s="100"/>
      <c r="R2139" s="100"/>
      <c r="S2139" s="100"/>
      <c r="T2139" s="100"/>
      <c r="U2139" s="100"/>
      <c r="V2139" s="100"/>
      <c r="W2139" s="100"/>
      <c r="X2139" s="100"/>
      <c r="Y2139" s="100"/>
      <c r="Z2139" s="100"/>
    </row>
    <row r="2140" spans="1:26">
      <c r="A2140" s="100"/>
      <c r="B2140" s="100"/>
      <c r="C2140" s="100"/>
      <c r="D2140" s="100"/>
      <c r="E2140" s="100"/>
      <c r="F2140" s="100"/>
      <c r="G2140" s="100"/>
      <c r="H2140" s="100"/>
      <c r="I2140" s="100"/>
      <c r="J2140" s="100"/>
      <c r="K2140" s="100"/>
      <c r="L2140" s="100"/>
      <c r="M2140" s="100"/>
      <c r="N2140" s="100"/>
      <c r="O2140" s="100"/>
      <c r="P2140" s="100"/>
      <c r="Q2140" s="100"/>
      <c r="R2140" s="100"/>
      <c r="S2140" s="100"/>
      <c r="T2140" s="100"/>
      <c r="U2140" s="100"/>
      <c r="V2140" s="100"/>
      <c r="W2140" s="100"/>
      <c r="X2140" s="100"/>
      <c r="Y2140" s="100"/>
      <c r="Z2140" s="100"/>
    </row>
    <row r="2141" spans="1:26">
      <c r="A2141" s="100"/>
      <c r="B2141" s="100"/>
      <c r="C2141" s="100"/>
      <c r="D2141" s="100"/>
      <c r="E2141" s="100"/>
      <c r="F2141" s="100"/>
      <c r="G2141" s="100"/>
      <c r="H2141" s="100"/>
      <c r="I2141" s="100"/>
      <c r="J2141" s="100"/>
      <c r="K2141" s="100"/>
      <c r="L2141" s="100"/>
      <c r="M2141" s="100"/>
      <c r="N2141" s="100"/>
      <c r="O2141" s="100"/>
      <c r="P2141" s="100"/>
      <c r="Q2141" s="100"/>
      <c r="R2141" s="100"/>
      <c r="S2141" s="100"/>
      <c r="T2141" s="100"/>
      <c r="U2141" s="100"/>
      <c r="V2141" s="100"/>
      <c r="W2141" s="100"/>
      <c r="X2141" s="100"/>
      <c r="Y2141" s="100"/>
      <c r="Z2141" s="100"/>
    </row>
    <row r="2142" spans="1:26">
      <c r="A2142" s="100"/>
      <c r="B2142" s="100"/>
      <c r="C2142" s="100"/>
      <c r="D2142" s="100"/>
      <c r="E2142" s="100"/>
      <c r="F2142" s="100"/>
      <c r="G2142" s="100"/>
      <c r="H2142" s="100"/>
      <c r="I2142" s="100"/>
      <c r="J2142" s="100"/>
      <c r="K2142" s="100"/>
      <c r="L2142" s="100"/>
      <c r="M2142" s="100"/>
      <c r="N2142" s="100"/>
      <c r="O2142" s="100"/>
      <c r="P2142" s="100"/>
      <c r="Q2142" s="100"/>
      <c r="R2142" s="100"/>
      <c r="S2142" s="100"/>
      <c r="T2142" s="100"/>
      <c r="U2142" s="100"/>
      <c r="V2142" s="100"/>
      <c r="W2142" s="100"/>
      <c r="X2142" s="100"/>
      <c r="Y2142" s="100"/>
      <c r="Z2142" s="100"/>
    </row>
    <row r="2143" spans="1:26">
      <c r="A2143" s="100"/>
      <c r="B2143" s="100"/>
      <c r="C2143" s="100"/>
      <c r="D2143" s="100"/>
      <c r="E2143" s="100"/>
      <c r="F2143" s="100"/>
      <c r="G2143" s="100"/>
      <c r="H2143" s="100"/>
      <c r="I2143" s="100"/>
      <c r="J2143" s="100"/>
      <c r="K2143" s="100"/>
      <c r="L2143" s="100"/>
      <c r="M2143" s="100"/>
      <c r="N2143" s="100"/>
      <c r="O2143" s="100"/>
      <c r="P2143" s="100"/>
      <c r="Q2143" s="100"/>
      <c r="R2143" s="100"/>
      <c r="S2143" s="100"/>
      <c r="T2143" s="100"/>
      <c r="U2143" s="100"/>
      <c r="V2143" s="100"/>
      <c r="W2143" s="100"/>
      <c r="X2143" s="100"/>
      <c r="Y2143" s="100"/>
      <c r="Z2143" s="100"/>
    </row>
    <row r="2144" spans="1:26">
      <c r="A2144" s="100"/>
      <c r="B2144" s="100"/>
      <c r="C2144" s="100"/>
      <c r="D2144" s="100"/>
      <c r="E2144" s="100"/>
      <c r="F2144" s="100"/>
      <c r="G2144" s="100"/>
      <c r="H2144" s="100"/>
      <c r="I2144" s="100"/>
      <c r="J2144" s="100"/>
      <c r="K2144" s="100"/>
      <c r="L2144" s="100"/>
      <c r="M2144" s="100"/>
      <c r="N2144" s="100"/>
      <c r="O2144" s="100"/>
      <c r="P2144" s="100"/>
      <c r="Q2144" s="100"/>
      <c r="R2144" s="100"/>
      <c r="S2144" s="100"/>
      <c r="T2144" s="100"/>
      <c r="U2144" s="100"/>
      <c r="V2144" s="100"/>
      <c r="W2144" s="100"/>
      <c r="X2144" s="100"/>
      <c r="Y2144" s="100"/>
      <c r="Z2144" s="100"/>
    </row>
    <row r="2145" spans="1:26">
      <c r="A2145" s="100"/>
      <c r="B2145" s="100"/>
      <c r="C2145" s="100"/>
      <c r="D2145" s="100"/>
      <c r="E2145" s="100"/>
      <c r="F2145" s="100"/>
      <c r="G2145" s="100"/>
      <c r="H2145" s="100"/>
      <c r="I2145" s="100"/>
      <c r="J2145" s="100"/>
      <c r="K2145" s="100"/>
      <c r="L2145" s="100"/>
      <c r="M2145" s="100"/>
      <c r="N2145" s="100"/>
      <c r="O2145" s="100"/>
      <c r="P2145" s="100"/>
      <c r="Q2145" s="100"/>
      <c r="R2145" s="100"/>
      <c r="S2145" s="100"/>
      <c r="T2145" s="100"/>
      <c r="U2145" s="100"/>
      <c r="V2145" s="100"/>
      <c r="W2145" s="100"/>
      <c r="X2145" s="100"/>
      <c r="Y2145" s="100"/>
      <c r="Z2145" s="100"/>
    </row>
    <row r="2146" spans="1:26">
      <c r="A2146" s="100"/>
      <c r="B2146" s="100"/>
      <c r="C2146" s="100"/>
      <c r="D2146" s="100"/>
      <c r="E2146" s="100"/>
      <c r="F2146" s="100"/>
      <c r="G2146" s="100"/>
      <c r="H2146" s="100"/>
      <c r="I2146" s="100"/>
      <c r="J2146" s="100"/>
      <c r="K2146" s="100"/>
      <c r="L2146" s="100"/>
      <c r="M2146" s="100"/>
      <c r="N2146" s="100"/>
      <c r="O2146" s="100"/>
      <c r="P2146" s="100"/>
      <c r="Q2146" s="100"/>
      <c r="R2146" s="100"/>
      <c r="S2146" s="100"/>
      <c r="T2146" s="100"/>
      <c r="U2146" s="100"/>
      <c r="V2146" s="100"/>
      <c r="W2146" s="100"/>
      <c r="X2146" s="100"/>
      <c r="Y2146" s="100"/>
      <c r="Z2146" s="100"/>
    </row>
    <row r="2147" spans="1:26">
      <c r="A2147" s="100"/>
      <c r="B2147" s="100"/>
      <c r="C2147" s="100"/>
      <c r="D2147" s="100"/>
      <c r="E2147" s="100"/>
      <c r="F2147" s="100"/>
      <c r="G2147" s="100"/>
      <c r="H2147" s="100"/>
      <c r="I2147" s="100"/>
      <c r="J2147" s="100"/>
      <c r="K2147" s="100"/>
      <c r="L2147" s="100"/>
      <c r="M2147" s="100"/>
      <c r="N2147" s="100"/>
      <c r="O2147" s="100"/>
      <c r="P2147" s="100"/>
      <c r="Q2147" s="100"/>
      <c r="R2147" s="100"/>
      <c r="S2147" s="100"/>
      <c r="T2147" s="100"/>
      <c r="U2147" s="100"/>
      <c r="V2147" s="100"/>
      <c r="W2147" s="100"/>
      <c r="X2147" s="100"/>
      <c r="Y2147" s="100"/>
      <c r="Z2147" s="100"/>
    </row>
    <row r="2148" spans="1:26">
      <c r="A2148" s="100"/>
      <c r="B2148" s="100"/>
      <c r="C2148" s="100"/>
      <c r="D2148" s="100"/>
      <c r="E2148" s="100"/>
      <c r="F2148" s="100"/>
      <c r="G2148" s="100"/>
      <c r="H2148" s="100"/>
      <c r="I2148" s="100"/>
      <c r="J2148" s="100"/>
      <c r="K2148" s="100"/>
      <c r="L2148" s="100"/>
      <c r="M2148" s="100"/>
      <c r="N2148" s="100"/>
      <c r="O2148" s="100"/>
      <c r="P2148" s="100"/>
      <c r="Q2148" s="100"/>
      <c r="R2148" s="100"/>
      <c r="S2148" s="100"/>
      <c r="T2148" s="100"/>
      <c r="U2148" s="100"/>
      <c r="V2148" s="100"/>
      <c r="W2148" s="100"/>
      <c r="X2148" s="100"/>
      <c r="Y2148" s="100"/>
      <c r="Z2148" s="100"/>
    </row>
    <row r="2149" spans="1:26">
      <c r="A2149" s="100"/>
      <c r="B2149" s="100"/>
      <c r="C2149" s="100"/>
      <c r="D2149" s="100"/>
      <c r="E2149" s="100"/>
      <c r="F2149" s="100"/>
      <c r="G2149" s="100"/>
      <c r="H2149" s="100"/>
      <c r="I2149" s="100"/>
      <c r="J2149" s="100"/>
      <c r="K2149" s="100"/>
      <c r="L2149" s="100"/>
      <c r="M2149" s="100"/>
      <c r="N2149" s="100"/>
      <c r="O2149" s="100"/>
      <c r="P2149" s="100"/>
      <c r="Q2149" s="100"/>
      <c r="R2149" s="100"/>
      <c r="S2149" s="100"/>
      <c r="T2149" s="100"/>
      <c r="U2149" s="100"/>
      <c r="V2149" s="100"/>
      <c r="W2149" s="100"/>
      <c r="X2149" s="100"/>
      <c r="Y2149" s="100"/>
      <c r="Z2149" s="100"/>
    </row>
    <row r="2150" spans="1:26">
      <c r="A2150" s="100"/>
      <c r="B2150" s="100"/>
      <c r="C2150" s="100"/>
      <c r="D2150" s="100"/>
      <c r="E2150" s="100"/>
      <c r="F2150" s="100"/>
      <c r="G2150" s="100"/>
      <c r="H2150" s="100"/>
      <c r="I2150" s="100"/>
      <c r="J2150" s="100"/>
      <c r="K2150" s="100"/>
      <c r="L2150" s="100"/>
      <c r="M2150" s="100"/>
      <c r="N2150" s="100"/>
      <c r="O2150" s="100"/>
      <c r="P2150" s="100"/>
      <c r="Q2150" s="100"/>
      <c r="R2150" s="100"/>
      <c r="S2150" s="100"/>
      <c r="T2150" s="100"/>
      <c r="U2150" s="100"/>
      <c r="V2150" s="100"/>
      <c r="W2150" s="100"/>
      <c r="X2150" s="100"/>
      <c r="Y2150" s="100"/>
      <c r="Z2150" s="100"/>
    </row>
    <row r="2151" spans="1:26">
      <c r="A2151" s="100"/>
      <c r="B2151" s="100"/>
      <c r="C2151" s="100"/>
      <c r="D2151" s="100"/>
      <c r="E2151" s="100"/>
      <c r="F2151" s="100"/>
      <c r="G2151" s="100"/>
      <c r="H2151" s="100"/>
      <c r="I2151" s="100"/>
      <c r="J2151" s="100"/>
      <c r="K2151" s="100"/>
      <c r="L2151" s="100"/>
      <c r="M2151" s="100"/>
      <c r="N2151" s="100"/>
      <c r="O2151" s="100"/>
      <c r="P2151" s="100"/>
      <c r="Q2151" s="100"/>
      <c r="R2151" s="100"/>
      <c r="S2151" s="100"/>
      <c r="T2151" s="100"/>
      <c r="U2151" s="100"/>
      <c r="V2151" s="100"/>
      <c r="W2151" s="100"/>
      <c r="X2151" s="100"/>
      <c r="Y2151" s="100"/>
      <c r="Z2151" s="100"/>
    </row>
    <row r="2152" spans="1:26">
      <c r="A2152" s="100"/>
      <c r="B2152" s="100"/>
      <c r="C2152" s="100"/>
      <c r="D2152" s="100"/>
      <c r="E2152" s="100"/>
      <c r="F2152" s="100"/>
      <c r="G2152" s="100"/>
      <c r="H2152" s="100"/>
      <c r="I2152" s="100"/>
      <c r="J2152" s="100"/>
      <c r="K2152" s="100"/>
      <c r="L2152" s="100"/>
      <c r="M2152" s="100"/>
      <c r="N2152" s="100"/>
      <c r="O2152" s="100"/>
      <c r="P2152" s="100"/>
      <c r="Q2152" s="100"/>
      <c r="R2152" s="100"/>
      <c r="S2152" s="100"/>
      <c r="T2152" s="100"/>
      <c r="U2152" s="100"/>
      <c r="V2152" s="100"/>
      <c r="W2152" s="100"/>
      <c r="X2152" s="100"/>
      <c r="Y2152" s="100"/>
      <c r="Z2152" s="100"/>
    </row>
    <row r="2153" spans="1:26">
      <c r="A2153" s="100"/>
      <c r="B2153" s="100"/>
      <c r="C2153" s="100"/>
      <c r="D2153" s="100"/>
      <c r="E2153" s="100"/>
      <c r="F2153" s="100"/>
      <c r="G2153" s="100"/>
      <c r="H2153" s="100"/>
      <c r="I2153" s="100"/>
      <c r="J2153" s="100"/>
      <c r="K2153" s="100"/>
      <c r="L2153" s="100"/>
      <c r="M2153" s="100"/>
      <c r="N2153" s="100"/>
      <c r="O2153" s="100"/>
      <c r="P2153" s="100"/>
      <c r="Q2153" s="100"/>
      <c r="R2153" s="100"/>
      <c r="S2153" s="100"/>
      <c r="T2153" s="100"/>
      <c r="U2153" s="100"/>
      <c r="V2153" s="100"/>
      <c r="W2153" s="100"/>
      <c r="X2153" s="100"/>
      <c r="Y2153" s="100"/>
      <c r="Z2153" s="100"/>
    </row>
    <row r="2154" spans="1:26">
      <c r="A2154" s="100"/>
      <c r="B2154" s="100"/>
      <c r="C2154" s="100"/>
      <c r="D2154" s="100"/>
      <c r="E2154" s="100"/>
      <c r="F2154" s="100"/>
      <c r="G2154" s="100"/>
      <c r="H2154" s="100"/>
      <c r="I2154" s="100"/>
      <c r="J2154" s="100"/>
      <c r="K2154" s="100"/>
      <c r="L2154" s="100"/>
      <c r="M2154" s="100"/>
      <c r="N2154" s="100"/>
      <c r="O2154" s="100"/>
      <c r="P2154" s="100"/>
      <c r="Q2154" s="100"/>
      <c r="R2154" s="100"/>
      <c r="S2154" s="100"/>
      <c r="T2154" s="100"/>
      <c r="U2154" s="100"/>
      <c r="V2154" s="100"/>
      <c r="W2154" s="100"/>
      <c r="X2154" s="100"/>
      <c r="Y2154" s="100"/>
      <c r="Z2154" s="100"/>
    </row>
    <row r="2155" spans="1:26">
      <c r="A2155" s="100"/>
      <c r="B2155" s="100"/>
      <c r="C2155" s="100"/>
      <c r="D2155" s="100"/>
      <c r="E2155" s="100"/>
      <c r="F2155" s="100"/>
      <c r="G2155" s="100"/>
      <c r="H2155" s="100"/>
      <c r="I2155" s="100"/>
      <c r="J2155" s="100"/>
      <c r="K2155" s="100"/>
      <c r="L2155" s="100"/>
      <c r="M2155" s="100"/>
      <c r="N2155" s="100"/>
      <c r="O2155" s="100"/>
      <c r="P2155" s="100"/>
      <c r="Q2155" s="100"/>
      <c r="R2155" s="100"/>
      <c r="S2155" s="100"/>
      <c r="T2155" s="100"/>
      <c r="U2155" s="100"/>
      <c r="V2155" s="100"/>
      <c r="W2155" s="100"/>
      <c r="X2155" s="100"/>
      <c r="Y2155" s="100"/>
      <c r="Z2155" s="100"/>
    </row>
    <row r="2156" spans="1:26">
      <c r="A2156" s="100"/>
      <c r="B2156" s="100"/>
      <c r="C2156" s="100"/>
      <c r="D2156" s="100"/>
      <c r="E2156" s="100"/>
      <c r="F2156" s="100"/>
      <c r="G2156" s="100"/>
      <c r="H2156" s="100"/>
      <c r="I2156" s="100"/>
      <c r="J2156" s="100"/>
      <c r="K2156" s="100"/>
      <c r="L2156" s="100"/>
      <c r="M2156" s="100"/>
      <c r="N2156" s="100"/>
      <c r="O2156" s="100"/>
      <c r="P2156" s="100"/>
      <c r="Q2156" s="100"/>
      <c r="R2156" s="100"/>
      <c r="S2156" s="100"/>
      <c r="T2156" s="100"/>
      <c r="U2156" s="100"/>
      <c r="V2156" s="100"/>
      <c r="W2156" s="100"/>
      <c r="X2156" s="100"/>
      <c r="Y2156" s="100"/>
      <c r="Z2156" s="100"/>
    </row>
    <row r="2157" spans="1:26">
      <c r="A2157" s="100"/>
      <c r="B2157" s="100"/>
      <c r="C2157" s="100"/>
      <c r="D2157" s="100"/>
      <c r="E2157" s="100"/>
      <c r="F2157" s="100"/>
      <c r="G2157" s="100"/>
      <c r="H2157" s="100"/>
      <c r="I2157" s="100"/>
      <c r="J2157" s="100"/>
      <c r="K2157" s="100"/>
      <c r="L2157" s="100"/>
      <c r="M2157" s="100"/>
      <c r="N2157" s="100"/>
      <c r="O2157" s="100"/>
      <c r="P2157" s="100"/>
      <c r="Q2157" s="100"/>
      <c r="R2157" s="100"/>
      <c r="S2157" s="100"/>
      <c r="T2157" s="100"/>
      <c r="U2157" s="100"/>
      <c r="V2157" s="100"/>
      <c r="W2157" s="100"/>
      <c r="X2157" s="100"/>
      <c r="Y2157" s="100"/>
      <c r="Z2157" s="100"/>
    </row>
    <row r="2158" spans="1:26">
      <c r="A2158" s="100"/>
      <c r="B2158" s="100"/>
      <c r="C2158" s="100"/>
      <c r="D2158" s="100"/>
      <c r="E2158" s="100"/>
      <c r="F2158" s="100"/>
      <c r="G2158" s="100"/>
      <c r="H2158" s="100"/>
      <c r="I2158" s="100"/>
      <c r="J2158" s="100"/>
      <c r="K2158" s="100"/>
      <c r="L2158" s="100"/>
      <c r="M2158" s="100"/>
      <c r="N2158" s="100"/>
      <c r="O2158" s="100"/>
      <c r="P2158" s="100"/>
      <c r="Q2158" s="100"/>
      <c r="R2158" s="100"/>
      <c r="S2158" s="100"/>
      <c r="T2158" s="100"/>
      <c r="U2158" s="100"/>
      <c r="V2158" s="100"/>
      <c r="W2158" s="100"/>
      <c r="X2158" s="100"/>
      <c r="Y2158" s="100"/>
      <c r="Z2158" s="100"/>
    </row>
    <row r="2159" spans="1:26">
      <c r="A2159" s="100"/>
      <c r="B2159" s="100"/>
      <c r="C2159" s="100"/>
      <c r="D2159" s="100"/>
      <c r="E2159" s="100"/>
      <c r="F2159" s="100"/>
      <c r="G2159" s="100"/>
      <c r="H2159" s="100"/>
      <c r="I2159" s="100"/>
      <c r="J2159" s="100"/>
      <c r="K2159" s="100"/>
      <c r="L2159" s="100"/>
      <c r="M2159" s="100"/>
      <c r="N2159" s="100"/>
      <c r="O2159" s="100"/>
      <c r="P2159" s="100"/>
      <c r="Q2159" s="100"/>
      <c r="R2159" s="100"/>
      <c r="S2159" s="100"/>
      <c r="T2159" s="100"/>
      <c r="U2159" s="100"/>
      <c r="V2159" s="100"/>
      <c r="W2159" s="100"/>
      <c r="X2159" s="100"/>
      <c r="Y2159" s="100"/>
      <c r="Z2159" s="100"/>
    </row>
    <row r="2160" spans="1:26">
      <c r="A2160" s="100"/>
      <c r="B2160" s="100"/>
      <c r="C2160" s="100"/>
      <c r="D2160" s="100"/>
      <c r="E2160" s="100"/>
      <c r="F2160" s="100"/>
      <c r="G2160" s="100"/>
      <c r="H2160" s="100"/>
      <c r="I2160" s="100"/>
      <c r="J2160" s="100"/>
      <c r="K2160" s="100"/>
      <c r="L2160" s="100"/>
      <c r="M2160" s="100"/>
      <c r="N2160" s="100"/>
      <c r="O2160" s="100"/>
      <c r="P2160" s="100"/>
      <c r="Q2160" s="100"/>
      <c r="R2160" s="100"/>
      <c r="S2160" s="100"/>
      <c r="T2160" s="100"/>
      <c r="U2160" s="100"/>
      <c r="V2160" s="100"/>
      <c r="W2160" s="100"/>
      <c r="X2160" s="100"/>
      <c r="Y2160" s="100"/>
      <c r="Z2160" s="100"/>
    </row>
    <row r="2161" spans="1:26">
      <c r="A2161" s="100"/>
      <c r="B2161" s="100"/>
      <c r="C2161" s="100"/>
      <c r="D2161" s="100"/>
      <c r="E2161" s="100"/>
      <c r="F2161" s="100"/>
      <c r="G2161" s="100"/>
      <c r="H2161" s="100"/>
      <c r="I2161" s="100"/>
      <c r="J2161" s="100"/>
      <c r="K2161" s="100"/>
      <c r="L2161" s="100"/>
      <c r="M2161" s="100"/>
      <c r="N2161" s="100"/>
      <c r="O2161" s="100"/>
      <c r="P2161" s="100"/>
      <c r="Q2161" s="100"/>
      <c r="R2161" s="100"/>
      <c r="S2161" s="100"/>
      <c r="T2161" s="100"/>
      <c r="U2161" s="100"/>
      <c r="V2161" s="100"/>
      <c r="W2161" s="100"/>
      <c r="X2161" s="100"/>
      <c r="Y2161" s="100"/>
      <c r="Z2161" s="100"/>
    </row>
    <row r="2162" spans="1:26">
      <c r="A2162" s="100"/>
      <c r="B2162" s="100"/>
      <c r="C2162" s="100"/>
      <c r="D2162" s="100"/>
      <c r="E2162" s="100"/>
      <c r="F2162" s="100"/>
      <c r="G2162" s="100"/>
      <c r="H2162" s="100"/>
      <c r="I2162" s="100"/>
      <c r="J2162" s="100"/>
      <c r="K2162" s="100"/>
      <c r="L2162" s="100"/>
      <c r="M2162" s="100"/>
      <c r="N2162" s="100"/>
      <c r="O2162" s="100"/>
      <c r="P2162" s="100"/>
      <c r="Q2162" s="100"/>
      <c r="R2162" s="100"/>
      <c r="S2162" s="100"/>
      <c r="T2162" s="100"/>
      <c r="U2162" s="100"/>
      <c r="V2162" s="100"/>
      <c r="W2162" s="100"/>
      <c r="X2162" s="100"/>
      <c r="Y2162" s="100"/>
      <c r="Z2162" s="100"/>
    </row>
    <row r="2163" spans="1:26">
      <c r="A2163" s="100"/>
      <c r="B2163" s="100"/>
      <c r="C2163" s="100"/>
      <c r="D2163" s="100"/>
      <c r="E2163" s="100"/>
      <c r="F2163" s="100"/>
      <c r="G2163" s="100"/>
      <c r="H2163" s="100"/>
      <c r="I2163" s="100"/>
      <c r="J2163" s="100"/>
      <c r="K2163" s="100"/>
      <c r="L2163" s="100"/>
      <c r="M2163" s="100"/>
      <c r="N2163" s="100"/>
      <c r="O2163" s="100"/>
      <c r="P2163" s="100"/>
      <c r="Q2163" s="100"/>
      <c r="R2163" s="100"/>
      <c r="S2163" s="100"/>
      <c r="T2163" s="100"/>
      <c r="U2163" s="100"/>
      <c r="V2163" s="100"/>
      <c r="W2163" s="100"/>
      <c r="X2163" s="100"/>
      <c r="Y2163" s="100"/>
      <c r="Z2163" s="100"/>
    </row>
    <row r="2164" spans="1:26">
      <c r="A2164" s="100"/>
      <c r="B2164" s="100"/>
      <c r="C2164" s="100"/>
      <c r="D2164" s="100"/>
      <c r="E2164" s="100"/>
      <c r="F2164" s="100"/>
      <c r="G2164" s="100"/>
      <c r="H2164" s="100"/>
      <c r="I2164" s="100"/>
      <c r="J2164" s="100"/>
      <c r="K2164" s="100"/>
      <c r="L2164" s="100"/>
      <c r="M2164" s="100"/>
      <c r="N2164" s="100"/>
      <c r="O2164" s="100"/>
      <c r="P2164" s="100"/>
      <c r="Q2164" s="100"/>
      <c r="R2164" s="100"/>
      <c r="S2164" s="100"/>
      <c r="T2164" s="100"/>
      <c r="U2164" s="100"/>
      <c r="V2164" s="100"/>
      <c r="W2164" s="100"/>
      <c r="X2164" s="100"/>
      <c r="Y2164" s="100"/>
      <c r="Z2164" s="100"/>
    </row>
    <row r="2165" spans="1:26">
      <c r="A2165" s="100"/>
      <c r="B2165" s="100"/>
      <c r="C2165" s="100"/>
      <c r="D2165" s="100"/>
      <c r="E2165" s="100"/>
      <c r="F2165" s="100"/>
      <c r="G2165" s="100"/>
      <c r="H2165" s="100"/>
      <c r="I2165" s="100"/>
      <c r="J2165" s="100"/>
      <c r="K2165" s="100"/>
      <c r="L2165" s="100"/>
      <c r="M2165" s="100"/>
      <c r="N2165" s="100"/>
      <c r="O2165" s="100"/>
      <c r="P2165" s="100"/>
      <c r="Q2165" s="100"/>
      <c r="R2165" s="100"/>
      <c r="S2165" s="100"/>
      <c r="T2165" s="100"/>
      <c r="U2165" s="100"/>
      <c r="V2165" s="100"/>
      <c r="W2165" s="100"/>
      <c r="X2165" s="100"/>
      <c r="Y2165" s="100"/>
      <c r="Z2165" s="100"/>
    </row>
    <row r="2166" spans="1:26">
      <c r="A2166" s="100"/>
      <c r="B2166" s="100"/>
      <c r="C2166" s="100"/>
      <c r="D2166" s="100"/>
      <c r="E2166" s="100"/>
      <c r="F2166" s="100"/>
      <c r="G2166" s="100"/>
      <c r="H2166" s="100"/>
      <c r="I2166" s="100"/>
      <c r="J2166" s="100"/>
      <c r="K2166" s="100"/>
      <c r="L2166" s="100"/>
      <c r="M2166" s="100"/>
      <c r="N2166" s="100"/>
      <c r="O2166" s="100"/>
      <c r="P2166" s="100"/>
      <c r="Q2166" s="100"/>
      <c r="R2166" s="100"/>
      <c r="S2166" s="100"/>
      <c r="T2166" s="100"/>
      <c r="U2166" s="100"/>
      <c r="V2166" s="100"/>
      <c r="W2166" s="100"/>
      <c r="X2166" s="100"/>
      <c r="Y2166" s="100"/>
      <c r="Z2166" s="100"/>
    </row>
    <row r="2167" spans="1:26">
      <c r="A2167" s="100"/>
      <c r="B2167" s="100"/>
      <c r="C2167" s="100"/>
      <c r="D2167" s="100"/>
      <c r="E2167" s="100"/>
      <c r="F2167" s="100"/>
      <c r="G2167" s="100"/>
      <c r="H2167" s="100"/>
      <c r="I2167" s="100"/>
      <c r="J2167" s="100"/>
      <c r="K2167" s="100"/>
      <c r="L2167" s="100"/>
      <c r="M2167" s="100"/>
      <c r="N2167" s="100"/>
      <c r="O2167" s="100"/>
      <c r="P2167" s="100"/>
      <c r="Q2167" s="100"/>
      <c r="R2167" s="100"/>
      <c r="S2167" s="100"/>
      <c r="T2167" s="100"/>
      <c r="U2167" s="100"/>
      <c r="V2167" s="100"/>
      <c r="W2167" s="100"/>
      <c r="X2167" s="100"/>
      <c r="Y2167" s="100"/>
      <c r="Z2167" s="100"/>
    </row>
    <row r="2168" spans="1:26">
      <c r="A2168" s="100"/>
      <c r="B2168" s="100"/>
      <c r="C2168" s="100"/>
      <c r="D2168" s="100"/>
      <c r="E2168" s="100"/>
      <c r="F2168" s="100"/>
      <c r="G2168" s="100"/>
      <c r="H2168" s="100"/>
      <c r="I2168" s="100"/>
      <c r="J2168" s="100"/>
      <c r="K2168" s="100"/>
      <c r="L2168" s="100"/>
      <c r="M2168" s="100"/>
      <c r="N2168" s="100"/>
      <c r="O2168" s="100"/>
      <c r="P2168" s="100"/>
      <c r="Q2168" s="100"/>
      <c r="R2168" s="100"/>
      <c r="S2168" s="100"/>
      <c r="T2168" s="100"/>
      <c r="U2168" s="100"/>
      <c r="V2168" s="100"/>
      <c r="W2168" s="100"/>
      <c r="X2168" s="100"/>
      <c r="Y2168" s="100"/>
      <c r="Z2168" s="100"/>
    </row>
    <row r="2169" spans="1:26">
      <c r="A2169" s="100"/>
      <c r="B2169" s="100"/>
      <c r="C2169" s="100"/>
      <c r="D2169" s="100"/>
      <c r="E2169" s="100"/>
      <c r="F2169" s="100"/>
      <c r="G2169" s="100"/>
      <c r="H2169" s="100"/>
      <c r="I2169" s="100"/>
      <c r="J2169" s="100"/>
      <c r="K2169" s="100"/>
      <c r="L2169" s="100"/>
      <c r="M2169" s="100"/>
      <c r="N2169" s="100"/>
      <c r="O2169" s="100"/>
      <c r="P2169" s="100"/>
      <c r="Q2169" s="100"/>
      <c r="R2169" s="100"/>
      <c r="S2169" s="100"/>
      <c r="T2169" s="100"/>
      <c r="U2169" s="100"/>
      <c r="V2169" s="100"/>
      <c r="W2169" s="100"/>
      <c r="X2169" s="100"/>
      <c r="Y2169" s="100"/>
      <c r="Z2169" s="100"/>
    </row>
    <row r="2170" spans="1:26">
      <c r="A2170" s="100"/>
      <c r="B2170" s="100"/>
      <c r="C2170" s="100"/>
      <c r="D2170" s="100"/>
      <c r="E2170" s="100"/>
      <c r="F2170" s="100"/>
      <c r="G2170" s="100"/>
      <c r="H2170" s="100"/>
      <c r="I2170" s="100"/>
      <c r="J2170" s="100"/>
      <c r="K2170" s="100"/>
      <c r="L2170" s="100"/>
      <c r="M2170" s="100"/>
      <c r="N2170" s="100"/>
      <c r="O2170" s="100"/>
      <c r="P2170" s="100"/>
      <c r="Q2170" s="100"/>
      <c r="R2170" s="100"/>
      <c r="S2170" s="100"/>
      <c r="T2170" s="100"/>
      <c r="U2170" s="100"/>
      <c r="V2170" s="100"/>
      <c r="W2170" s="100"/>
      <c r="X2170" s="100"/>
      <c r="Y2170" s="100"/>
      <c r="Z2170" s="100"/>
    </row>
    <row r="2171" spans="1:26">
      <c r="A2171" s="100"/>
      <c r="B2171" s="100"/>
      <c r="C2171" s="100"/>
      <c r="D2171" s="100"/>
      <c r="E2171" s="100"/>
      <c r="F2171" s="100"/>
      <c r="G2171" s="100"/>
      <c r="H2171" s="100"/>
      <c r="I2171" s="100"/>
      <c r="J2171" s="100"/>
      <c r="K2171" s="100"/>
      <c r="L2171" s="100"/>
      <c r="M2171" s="100"/>
      <c r="N2171" s="100"/>
      <c r="O2171" s="100"/>
      <c r="P2171" s="100"/>
      <c r="Q2171" s="100"/>
      <c r="R2171" s="100"/>
      <c r="S2171" s="100"/>
      <c r="T2171" s="100"/>
      <c r="U2171" s="100"/>
      <c r="V2171" s="100"/>
      <c r="W2171" s="100"/>
      <c r="X2171" s="100"/>
      <c r="Y2171" s="100"/>
      <c r="Z2171" s="100"/>
    </row>
    <row r="2172" spans="1:26">
      <c r="A2172" s="100"/>
      <c r="B2172" s="100"/>
      <c r="C2172" s="100"/>
      <c r="D2172" s="100"/>
      <c r="E2172" s="100"/>
      <c r="F2172" s="100"/>
      <c r="G2172" s="100"/>
      <c r="H2172" s="100"/>
      <c r="I2172" s="100"/>
      <c r="J2172" s="100"/>
      <c r="K2172" s="100"/>
      <c r="L2172" s="100"/>
      <c r="M2172" s="100"/>
      <c r="N2172" s="100"/>
      <c r="O2172" s="100"/>
      <c r="P2172" s="100"/>
      <c r="Q2172" s="100"/>
      <c r="R2172" s="100"/>
      <c r="S2172" s="100"/>
      <c r="T2172" s="100"/>
      <c r="U2172" s="100"/>
      <c r="V2172" s="100"/>
      <c r="W2172" s="100"/>
      <c r="X2172" s="100"/>
      <c r="Y2172" s="100"/>
      <c r="Z2172" s="100"/>
    </row>
    <row r="2173" spans="1:26">
      <c r="A2173" s="100"/>
      <c r="B2173" s="100"/>
      <c r="C2173" s="100"/>
      <c r="D2173" s="100"/>
      <c r="E2173" s="100"/>
      <c r="F2173" s="100"/>
      <c r="G2173" s="100"/>
      <c r="H2173" s="100"/>
      <c r="I2173" s="100"/>
      <c r="J2173" s="100"/>
      <c r="K2173" s="100"/>
      <c r="L2173" s="100"/>
      <c r="M2173" s="100"/>
      <c r="N2173" s="100"/>
      <c r="O2173" s="100"/>
      <c r="P2173" s="100"/>
      <c r="Q2173" s="100"/>
      <c r="R2173" s="100"/>
      <c r="S2173" s="100"/>
      <c r="T2173" s="100"/>
      <c r="U2173" s="100"/>
      <c r="V2173" s="100"/>
      <c r="W2173" s="100"/>
      <c r="X2173" s="100"/>
      <c r="Y2173" s="100"/>
      <c r="Z2173" s="100"/>
    </row>
    <row r="2174" spans="1:26">
      <c r="A2174" s="100"/>
      <c r="B2174" s="100"/>
      <c r="C2174" s="100"/>
      <c r="D2174" s="100"/>
      <c r="E2174" s="100"/>
      <c r="F2174" s="100"/>
      <c r="G2174" s="100"/>
      <c r="H2174" s="100"/>
      <c r="I2174" s="100"/>
      <c r="J2174" s="100"/>
      <c r="K2174" s="100"/>
      <c r="L2174" s="100"/>
      <c r="M2174" s="100"/>
      <c r="N2174" s="100"/>
      <c r="O2174" s="100"/>
      <c r="P2174" s="100"/>
      <c r="Q2174" s="100"/>
      <c r="R2174" s="100"/>
      <c r="S2174" s="100"/>
      <c r="T2174" s="100"/>
      <c r="U2174" s="100"/>
      <c r="V2174" s="100"/>
      <c r="W2174" s="100"/>
      <c r="X2174" s="100"/>
      <c r="Y2174" s="100"/>
      <c r="Z2174" s="100"/>
    </row>
    <row r="2175" spans="1:26">
      <c r="A2175" s="100"/>
      <c r="B2175" s="100"/>
      <c r="C2175" s="100"/>
      <c r="D2175" s="100"/>
      <c r="E2175" s="100"/>
      <c r="F2175" s="100"/>
      <c r="G2175" s="100"/>
      <c r="H2175" s="100"/>
      <c r="I2175" s="100"/>
      <c r="J2175" s="100"/>
      <c r="K2175" s="100"/>
      <c r="L2175" s="100"/>
      <c r="M2175" s="100"/>
      <c r="N2175" s="100"/>
      <c r="O2175" s="100"/>
      <c r="P2175" s="100"/>
      <c r="Q2175" s="100"/>
      <c r="R2175" s="100"/>
      <c r="S2175" s="100"/>
      <c r="T2175" s="100"/>
      <c r="U2175" s="100"/>
      <c r="V2175" s="100"/>
      <c r="W2175" s="100"/>
      <c r="X2175" s="100"/>
      <c r="Y2175" s="100"/>
      <c r="Z2175" s="100"/>
    </row>
    <row r="2176" spans="1:26">
      <c r="A2176" s="100"/>
      <c r="B2176" s="100"/>
      <c r="C2176" s="100"/>
      <c r="D2176" s="100"/>
      <c r="E2176" s="100"/>
      <c r="F2176" s="100"/>
      <c r="G2176" s="100"/>
      <c r="H2176" s="100"/>
      <c r="I2176" s="100"/>
      <c r="J2176" s="100"/>
      <c r="K2176" s="100"/>
      <c r="L2176" s="100"/>
      <c r="M2176" s="100"/>
      <c r="N2176" s="100"/>
      <c r="O2176" s="100"/>
      <c r="P2176" s="100"/>
      <c r="Q2176" s="100"/>
      <c r="R2176" s="100"/>
      <c r="S2176" s="100"/>
      <c r="T2176" s="100"/>
      <c r="U2176" s="100"/>
      <c r="V2176" s="100"/>
      <c r="W2176" s="100"/>
      <c r="X2176" s="100"/>
      <c r="Y2176" s="100"/>
      <c r="Z2176" s="100"/>
    </row>
    <row r="2177" spans="1:26">
      <c r="A2177" s="100"/>
      <c r="B2177" s="100"/>
      <c r="C2177" s="100"/>
      <c r="D2177" s="100"/>
      <c r="E2177" s="100"/>
      <c r="F2177" s="100"/>
      <c r="G2177" s="100"/>
      <c r="H2177" s="100"/>
      <c r="I2177" s="100"/>
      <c r="J2177" s="100"/>
      <c r="K2177" s="100"/>
      <c r="L2177" s="100"/>
      <c r="M2177" s="100"/>
      <c r="N2177" s="100"/>
      <c r="O2177" s="100"/>
      <c r="P2177" s="100"/>
      <c r="Q2177" s="100"/>
      <c r="R2177" s="100"/>
      <c r="S2177" s="100"/>
      <c r="T2177" s="100"/>
      <c r="U2177" s="100"/>
      <c r="V2177" s="100"/>
      <c r="W2177" s="100"/>
      <c r="X2177" s="100"/>
      <c r="Y2177" s="100"/>
      <c r="Z2177" s="100"/>
    </row>
    <row r="2178" spans="1:26">
      <c r="A2178" s="100"/>
      <c r="B2178" s="100"/>
      <c r="C2178" s="100"/>
      <c r="D2178" s="100"/>
      <c r="E2178" s="100"/>
      <c r="F2178" s="100"/>
      <c r="G2178" s="100"/>
      <c r="H2178" s="100"/>
      <c r="I2178" s="100"/>
      <c r="J2178" s="100"/>
      <c r="K2178" s="100"/>
      <c r="L2178" s="100"/>
      <c r="M2178" s="100"/>
      <c r="N2178" s="100"/>
      <c r="O2178" s="100"/>
      <c r="P2178" s="100"/>
      <c r="Q2178" s="100"/>
      <c r="R2178" s="100"/>
      <c r="S2178" s="100"/>
      <c r="T2178" s="100"/>
      <c r="U2178" s="100"/>
      <c r="V2178" s="100"/>
      <c r="W2178" s="100"/>
      <c r="X2178" s="100"/>
      <c r="Y2178" s="100"/>
      <c r="Z2178" s="100"/>
    </row>
    <row r="2179" spans="1:26">
      <c r="A2179" s="100"/>
      <c r="B2179" s="100"/>
      <c r="C2179" s="100"/>
      <c r="D2179" s="100"/>
      <c r="E2179" s="100"/>
      <c r="F2179" s="100"/>
      <c r="G2179" s="100"/>
      <c r="H2179" s="100"/>
      <c r="I2179" s="100"/>
      <c r="J2179" s="100"/>
      <c r="K2179" s="100"/>
      <c r="L2179" s="100"/>
      <c r="M2179" s="100"/>
      <c r="N2179" s="100"/>
      <c r="O2179" s="100"/>
      <c r="P2179" s="100"/>
      <c r="Q2179" s="100"/>
      <c r="R2179" s="100"/>
      <c r="S2179" s="100"/>
      <c r="T2179" s="100"/>
      <c r="U2179" s="100"/>
      <c r="V2179" s="100"/>
      <c r="W2179" s="100"/>
      <c r="X2179" s="100"/>
      <c r="Y2179" s="100"/>
      <c r="Z2179" s="100"/>
    </row>
    <row r="2180" spans="1:26">
      <c r="A2180" s="100"/>
      <c r="B2180" s="100"/>
      <c r="C2180" s="100"/>
      <c r="D2180" s="100"/>
      <c r="E2180" s="100"/>
      <c r="F2180" s="100"/>
      <c r="G2180" s="100"/>
      <c r="H2180" s="100"/>
      <c r="I2180" s="100"/>
      <c r="J2180" s="100"/>
      <c r="K2180" s="100"/>
      <c r="L2180" s="100"/>
      <c r="M2180" s="100"/>
      <c r="N2180" s="100"/>
      <c r="O2180" s="100"/>
      <c r="P2180" s="100"/>
      <c r="Q2180" s="100"/>
      <c r="R2180" s="100"/>
      <c r="S2180" s="100"/>
      <c r="T2180" s="100"/>
      <c r="U2180" s="100"/>
      <c r="V2180" s="100"/>
      <c r="W2180" s="100"/>
      <c r="X2180" s="100"/>
      <c r="Y2180" s="100"/>
      <c r="Z2180" s="100"/>
    </row>
    <row r="2181" spans="1:26">
      <c r="A2181" s="100"/>
      <c r="B2181" s="100"/>
      <c r="C2181" s="100"/>
      <c r="D2181" s="100"/>
      <c r="E2181" s="100"/>
      <c r="F2181" s="100"/>
      <c r="G2181" s="100"/>
      <c r="H2181" s="100"/>
      <c r="I2181" s="100"/>
      <c r="J2181" s="100"/>
      <c r="K2181" s="100"/>
      <c r="L2181" s="100"/>
      <c r="M2181" s="100"/>
      <c r="N2181" s="100"/>
      <c r="O2181" s="100"/>
      <c r="P2181" s="100"/>
      <c r="Q2181" s="100"/>
      <c r="R2181" s="100"/>
      <c r="S2181" s="100"/>
      <c r="T2181" s="100"/>
      <c r="U2181" s="100"/>
      <c r="V2181" s="100"/>
      <c r="W2181" s="100"/>
      <c r="X2181" s="100"/>
      <c r="Y2181" s="100"/>
      <c r="Z2181" s="100"/>
    </row>
    <row r="2182" spans="1:26">
      <c r="A2182" s="100"/>
      <c r="B2182" s="100"/>
      <c r="C2182" s="100"/>
      <c r="D2182" s="100"/>
      <c r="E2182" s="100"/>
      <c r="F2182" s="100"/>
      <c r="G2182" s="100"/>
      <c r="H2182" s="100"/>
      <c r="I2182" s="100"/>
      <c r="J2182" s="100"/>
      <c r="K2182" s="100"/>
      <c r="L2182" s="100"/>
      <c r="M2182" s="100"/>
      <c r="N2182" s="100"/>
      <c r="O2182" s="100"/>
      <c r="P2182" s="100"/>
      <c r="Q2182" s="100"/>
      <c r="R2182" s="100"/>
      <c r="S2182" s="100"/>
      <c r="T2182" s="100"/>
      <c r="U2182" s="100"/>
      <c r="V2182" s="100"/>
      <c r="W2182" s="100"/>
      <c r="X2182" s="100"/>
      <c r="Y2182" s="100"/>
      <c r="Z2182" s="100"/>
    </row>
    <row r="2183" spans="1:26">
      <c r="A2183" s="100"/>
      <c r="B2183" s="100"/>
      <c r="C2183" s="100"/>
      <c r="D2183" s="100"/>
      <c r="E2183" s="100"/>
      <c r="F2183" s="100"/>
      <c r="G2183" s="100"/>
      <c r="H2183" s="100"/>
      <c r="I2183" s="100"/>
      <c r="J2183" s="100"/>
      <c r="K2183" s="100"/>
      <c r="L2183" s="100"/>
      <c r="M2183" s="100"/>
      <c r="N2183" s="100"/>
      <c r="O2183" s="100"/>
      <c r="P2183" s="100"/>
      <c r="Q2183" s="100"/>
      <c r="R2183" s="100"/>
      <c r="S2183" s="100"/>
      <c r="T2183" s="100"/>
      <c r="U2183" s="100"/>
      <c r="V2183" s="100"/>
      <c r="W2183" s="100"/>
      <c r="X2183" s="100"/>
      <c r="Y2183" s="100"/>
      <c r="Z2183" s="100"/>
    </row>
    <row r="2184" spans="1:26">
      <c r="A2184" s="100"/>
      <c r="B2184" s="100"/>
      <c r="C2184" s="100"/>
      <c r="D2184" s="100"/>
      <c r="E2184" s="100"/>
      <c r="F2184" s="100"/>
      <c r="G2184" s="100"/>
      <c r="H2184" s="100"/>
      <c r="I2184" s="100"/>
      <c r="J2184" s="100"/>
      <c r="K2184" s="100"/>
      <c r="L2184" s="100"/>
      <c r="M2184" s="100"/>
      <c r="N2184" s="100"/>
      <c r="O2184" s="100"/>
      <c r="P2184" s="100"/>
      <c r="Q2184" s="100"/>
      <c r="R2184" s="100"/>
      <c r="S2184" s="100"/>
      <c r="T2184" s="100"/>
      <c r="U2184" s="100"/>
      <c r="V2184" s="100"/>
      <c r="W2184" s="100"/>
      <c r="X2184" s="100"/>
      <c r="Y2184" s="100"/>
      <c r="Z2184" s="100"/>
    </row>
    <row r="2185" spans="1:26">
      <c r="A2185" s="100"/>
      <c r="B2185" s="100"/>
      <c r="C2185" s="100"/>
      <c r="D2185" s="100"/>
      <c r="E2185" s="100"/>
      <c r="F2185" s="100"/>
      <c r="G2185" s="100"/>
      <c r="H2185" s="100"/>
      <c r="I2185" s="100"/>
      <c r="J2185" s="100"/>
      <c r="K2185" s="100"/>
      <c r="L2185" s="100"/>
      <c r="M2185" s="100"/>
      <c r="N2185" s="100"/>
      <c r="O2185" s="100"/>
      <c r="P2185" s="100"/>
      <c r="Q2185" s="100"/>
      <c r="R2185" s="100"/>
      <c r="S2185" s="100"/>
      <c r="T2185" s="100"/>
      <c r="U2185" s="100"/>
      <c r="V2185" s="100"/>
      <c r="W2185" s="100"/>
      <c r="X2185" s="100"/>
      <c r="Y2185" s="100"/>
      <c r="Z2185" s="100"/>
    </row>
    <row r="2186" spans="1:26">
      <c r="A2186" s="100"/>
      <c r="B2186" s="100"/>
      <c r="C2186" s="100"/>
      <c r="D2186" s="100"/>
      <c r="E2186" s="100"/>
      <c r="F2186" s="100"/>
      <c r="G2186" s="100"/>
      <c r="H2186" s="100"/>
      <c r="I2186" s="100"/>
      <c r="J2186" s="100"/>
      <c r="K2186" s="100"/>
      <c r="L2186" s="100"/>
      <c r="M2186" s="100"/>
      <c r="N2186" s="100"/>
      <c r="O2186" s="100"/>
      <c r="P2186" s="100"/>
      <c r="Q2186" s="100"/>
      <c r="R2186" s="100"/>
      <c r="S2186" s="100"/>
      <c r="T2186" s="100"/>
      <c r="U2186" s="100"/>
      <c r="V2186" s="100"/>
      <c r="W2186" s="100"/>
      <c r="X2186" s="100"/>
      <c r="Y2186" s="100"/>
      <c r="Z2186" s="100"/>
    </row>
    <row r="2187" spans="1:26">
      <c r="A2187" s="100"/>
      <c r="B2187" s="100"/>
      <c r="C2187" s="100"/>
      <c r="D2187" s="100"/>
      <c r="E2187" s="100"/>
      <c r="F2187" s="100"/>
      <c r="G2187" s="100"/>
      <c r="H2187" s="100"/>
      <c r="I2187" s="100"/>
      <c r="J2187" s="100"/>
      <c r="K2187" s="100"/>
      <c r="L2187" s="100"/>
      <c r="M2187" s="100"/>
      <c r="N2187" s="100"/>
      <c r="O2187" s="100"/>
      <c r="P2187" s="100"/>
      <c r="Q2187" s="100"/>
      <c r="R2187" s="100"/>
      <c r="S2187" s="100"/>
      <c r="T2187" s="100"/>
      <c r="U2187" s="100"/>
      <c r="V2187" s="100"/>
      <c r="W2187" s="100"/>
      <c r="X2187" s="100"/>
      <c r="Y2187" s="100"/>
      <c r="Z2187" s="100"/>
    </row>
    <row r="2188" spans="1:26">
      <c r="A2188" s="100"/>
      <c r="B2188" s="100"/>
      <c r="C2188" s="100"/>
      <c r="D2188" s="100"/>
      <c r="E2188" s="100"/>
      <c r="F2188" s="100"/>
      <c r="G2188" s="100"/>
      <c r="H2188" s="100"/>
      <c r="I2188" s="100"/>
      <c r="J2188" s="100"/>
      <c r="K2188" s="100"/>
      <c r="L2188" s="100"/>
      <c r="M2188" s="100"/>
      <c r="N2188" s="100"/>
      <c r="O2188" s="100"/>
      <c r="P2188" s="100"/>
      <c r="Q2188" s="100"/>
      <c r="R2188" s="100"/>
      <c r="S2188" s="100"/>
      <c r="T2188" s="100"/>
      <c r="U2188" s="100"/>
      <c r="V2188" s="100"/>
      <c r="W2188" s="100"/>
      <c r="X2188" s="100"/>
      <c r="Y2188" s="100"/>
      <c r="Z2188" s="100"/>
    </row>
    <row r="2189" spans="1:26">
      <c r="A2189" s="100"/>
      <c r="B2189" s="100"/>
      <c r="C2189" s="100"/>
      <c r="D2189" s="100"/>
      <c r="E2189" s="100"/>
      <c r="F2189" s="100"/>
      <c r="G2189" s="100"/>
      <c r="H2189" s="100"/>
      <c r="I2189" s="100"/>
      <c r="J2189" s="100"/>
      <c r="K2189" s="100"/>
      <c r="L2189" s="100"/>
      <c r="M2189" s="100"/>
      <c r="N2189" s="100"/>
      <c r="O2189" s="100"/>
      <c r="P2189" s="100"/>
      <c r="Q2189" s="100"/>
      <c r="R2189" s="100"/>
      <c r="S2189" s="100"/>
      <c r="T2189" s="100"/>
      <c r="U2189" s="100"/>
      <c r="V2189" s="100"/>
      <c r="W2189" s="100"/>
      <c r="X2189" s="100"/>
      <c r="Y2189" s="100"/>
      <c r="Z2189" s="100"/>
    </row>
    <row r="2190" spans="1:26">
      <c r="A2190" s="100"/>
      <c r="B2190" s="100"/>
      <c r="C2190" s="100"/>
      <c r="D2190" s="100"/>
      <c r="E2190" s="100"/>
      <c r="F2190" s="100"/>
      <c r="G2190" s="100"/>
      <c r="H2190" s="100"/>
      <c r="I2190" s="100"/>
      <c r="J2190" s="100"/>
      <c r="K2190" s="100"/>
      <c r="L2190" s="100"/>
      <c r="M2190" s="100"/>
      <c r="N2190" s="100"/>
      <c r="O2190" s="100"/>
      <c r="P2190" s="100"/>
      <c r="Q2190" s="100"/>
      <c r="R2190" s="100"/>
      <c r="S2190" s="100"/>
      <c r="T2190" s="100"/>
      <c r="U2190" s="100"/>
      <c r="V2190" s="100"/>
      <c r="W2190" s="100"/>
      <c r="X2190" s="100"/>
      <c r="Y2190" s="100"/>
      <c r="Z2190" s="100"/>
    </row>
    <row r="2191" spans="1:26">
      <c r="A2191" s="100"/>
      <c r="B2191" s="100"/>
      <c r="C2191" s="100"/>
      <c r="D2191" s="100"/>
      <c r="E2191" s="100"/>
      <c r="F2191" s="100"/>
      <c r="G2191" s="100"/>
      <c r="H2191" s="100"/>
      <c r="I2191" s="100"/>
      <c r="J2191" s="100"/>
      <c r="K2191" s="100"/>
      <c r="L2191" s="100"/>
      <c r="M2191" s="100"/>
      <c r="N2191" s="100"/>
      <c r="O2191" s="100"/>
      <c r="P2191" s="100"/>
      <c r="Q2191" s="100"/>
      <c r="R2191" s="100"/>
      <c r="S2191" s="100"/>
      <c r="T2191" s="100"/>
      <c r="U2191" s="100"/>
      <c r="V2191" s="100"/>
      <c r="W2191" s="100"/>
      <c r="X2191" s="100"/>
      <c r="Y2191" s="100"/>
      <c r="Z2191" s="100"/>
    </row>
    <row r="2192" spans="1:26">
      <c r="A2192" s="100"/>
      <c r="B2192" s="100"/>
      <c r="C2192" s="100"/>
      <c r="D2192" s="100"/>
      <c r="E2192" s="100"/>
      <c r="F2192" s="100"/>
      <c r="G2192" s="100"/>
      <c r="H2192" s="100"/>
      <c r="I2192" s="100"/>
      <c r="J2192" s="100"/>
      <c r="K2192" s="100"/>
      <c r="L2192" s="100"/>
      <c r="M2192" s="100"/>
      <c r="N2192" s="100"/>
      <c r="O2192" s="100"/>
      <c r="P2192" s="100"/>
      <c r="Q2192" s="100"/>
      <c r="R2192" s="100"/>
      <c r="S2192" s="100"/>
      <c r="T2192" s="100"/>
      <c r="U2192" s="100"/>
      <c r="V2192" s="100"/>
      <c r="W2192" s="100"/>
      <c r="X2192" s="100"/>
      <c r="Y2192" s="100"/>
      <c r="Z2192" s="100"/>
    </row>
    <row r="2193" spans="1:26">
      <c r="A2193" s="100"/>
      <c r="B2193" s="100"/>
      <c r="C2193" s="100"/>
      <c r="D2193" s="100"/>
      <c r="E2193" s="100"/>
      <c r="F2193" s="100"/>
      <c r="G2193" s="100"/>
      <c r="H2193" s="100"/>
      <c r="I2193" s="100"/>
      <c r="J2193" s="100"/>
      <c r="K2193" s="100"/>
      <c r="L2193" s="100"/>
      <c r="M2193" s="100"/>
      <c r="N2193" s="100"/>
      <c r="O2193" s="100"/>
      <c r="P2193" s="100"/>
      <c r="Q2193" s="100"/>
      <c r="R2193" s="100"/>
      <c r="S2193" s="100"/>
      <c r="T2193" s="100"/>
      <c r="U2193" s="100"/>
      <c r="V2193" s="100"/>
      <c r="W2193" s="100"/>
      <c r="X2193" s="100"/>
      <c r="Y2193" s="100"/>
      <c r="Z2193" s="100"/>
    </row>
    <row r="2194" spans="1:26">
      <c r="A2194" s="100"/>
      <c r="B2194" s="100"/>
      <c r="C2194" s="100"/>
      <c r="D2194" s="100"/>
      <c r="E2194" s="100"/>
      <c r="F2194" s="100"/>
      <c r="G2194" s="100"/>
      <c r="H2194" s="100"/>
      <c r="I2194" s="100"/>
      <c r="J2194" s="100"/>
      <c r="K2194" s="100"/>
      <c r="L2194" s="100"/>
      <c r="M2194" s="100"/>
      <c r="N2194" s="100"/>
      <c r="O2194" s="100"/>
      <c r="P2194" s="100"/>
      <c r="Q2194" s="100"/>
      <c r="R2194" s="100"/>
      <c r="S2194" s="100"/>
      <c r="T2194" s="100"/>
      <c r="U2194" s="100"/>
      <c r="V2194" s="100"/>
      <c r="W2194" s="100"/>
      <c r="X2194" s="100"/>
      <c r="Y2194" s="100"/>
      <c r="Z2194" s="100"/>
    </row>
    <row r="2195" spans="1:26">
      <c r="A2195" s="100"/>
      <c r="B2195" s="100"/>
      <c r="C2195" s="100"/>
      <c r="D2195" s="100"/>
      <c r="E2195" s="100"/>
      <c r="F2195" s="100"/>
      <c r="G2195" s="100"/>
      <c r="H2195" s="100"/>
      <c r="I2195" s="100"/>
      <c r="J2195" s="100"/>
      <c r="K2195" s="100"/>
      <c r="L2195" s="100"/>
      <c r="M2195" s="100"/>
      <c r="N2195" s="100"/>
      <c r="O2195" s="100"/>
      <c r="P2195" s="100"/>
      <c r="Q2195" s="100"/>
      <c r="R2195" s="100"/>
      <c r="S2195" s="100"/>
      <c r="T2195" s="100"/>
      <c r="U2195" s="100"/>
      <c r="V2195" s="100"/>
      <c r="W2195" s="100"/>
      <c r="X2195" s="100"/>
      <c r="Y2195" s="100"/>
      <c r="Z2195" s="100"/>
    </row>
    <row r="2196" spans="1:26">
      <c r="A2196" s="100"/>
      <c r="B2196" s="100"/>
      <c r="C2196" s="100"/>
      <c r="D2196" s="100"/>
      <c r="E2196" s="100"/>
      <c r="F2196" s="100"/>
      <c r="G2196" s="100"/>
      <c r="H2196" s="100"/>
      <c r="I2196" s="100"/>
      <c r="J2196" s="100"/>
      <c r="K2196" s="100"/>
      <c r="L2196" s="100"/>
      <c r="M2196" s="100"/>
      <c r="N2196" s="100"/>
      <c r="O2196" s="100"/>
      <c r="P2196" s="100"/>
      <c r="Q2196" s="100"/>
      <c r="R2196" s="100"/>
      <c r="S2196" s="100"/>
      <c r="T2196" s="100"/>
      <c r="U2196" s="100"/>
      <c r="V2196" s="100"/>
      <c r="W2196" s="100"/>
      <c r="X2196" s="100"/>
      <c r="Y2196" s="100"/>
      <c r="Z2196" s="100"/>
    </row>
    <row r="2197" spans="1:26">
      <c r="A2197" s="100"/>
      <c r="B2197" s="100"/>
      <c r="C2197" s="100"/>
      <c r="D2197" s="100"/>
      <c r="E2197" s="100"/>
      <c r="F2197" s="100"/>
      <c r="G2197" s="100"/>
      <c r="H2197" s="100"/>
      <c r="I2197" s="100"/>
      <c r="J2197" s="100"/>
      <c r="K2197" s="100"/>
      <c r="L2197" s="100"/>
      <c r="M2197" s="100"/>
      <c r="N2197" s="100"/>
      <c r="O2197" s="100"/>
      <c r="P2197" s="100"/>
      <c r="Q2197" s="100"/>
      <c r="R2197" s="100"/>
      <c r="S2197" s="100"/>
      <c r="T2197" s="100"/>
      <c r="U2197" s="100"/>
      <c r="V2197" s="100"/>
      <c r="W2197" s="100"/>
      <c r="X2197" s="100"/>
      <c r="Y2197" s="100"/>
      <c r="Z2197" s="100"/>
    </row>
    <row r="2198" spans="1:26">
      <c r="A2198" s="100"/>
      <c r="B2198" s="100"/>
      <c r="C2198" s="100"/>
      <c r="D2198" s="100"/>
      <c r="E2198" s="100"/>
      <c r="F2198" s="100"/>
      <c r="G2198" s="100"/>
      <c r="H2198" s="100"/>
      <c r="I2198" s="100"/>
      <c r="J2198" s="100"/>
      <c r="K2198" s="100"/>
      <c r="L2198" s="100"/>
      <c r="M2198" s="100"/>
      <c r="N2198" s="100"/>
      <c r="O2198" s="100"/>
      <c r="P2198" s="100"/>
      <c r="Q2198" s="100"/>
      <c r="R2198" s="100"/>
      <c r="S2198" s="100"/>
      <c r="T2198" s="100"/>
      <c r="U2198" s="100"/>
      <c r="V2198" s="100"/>
      <c r="W2198" s="100"/>
      <c r="X2198" s="100"/>
      <c r="Y2198" s="100"/>
      <c r="Z2198" s="100"/>
    </row>
    <row r="2199" spans="1:26">
      <c r="A2199" s="100"/>
      <c r="B2199" s="100"/>
      <c r="C2199" s="100"/>
      <c r="D2199" s="100"/>
      <c r="E2199" s="100"/>
      <c r="F2199" s="100"/>
      <c r="G2199" s="100"/>
      <c r="H2199" s="100"/>
      <c r="I2199" s="100"/>
      <c r="J2199" s="100"/>
      <c r="K2199" s="100"/>
      <c r="L2199" s="100"/>
      <c r="M2199" s="100"/>
      <c r="N2199" s="100"/>
      <c r="O2199" s="100"/>
      <c r="P2199" s="100"/>
      <c r="Q2199" s="100"/>
      <c r="R2199" s="100"/>
      <c r="S2199" s="100"/>
      <c r="T2199" s="100"/>
      <c r="U2199" s="100"/>
      <c r="V2199" s="100"/>
      <c r="W2199" s="100"/>
      <c r="X2199" s="100"/>
      <c r="Y2199" s="100"/>
      <c r="Z2199" s="100"/>
    </row>
    <row r="2200" spans="1:26">
      <c r="A2200" s="100"/>
      <c r="B2200" s="100"/>
      <c r="C2200" s="100"/>
      <c r="D2200" s="100"/>
      <c r="E2200" s="100"/>
      <c r="F2200" s="100"/>
      <c r="G2200" s="100"/>
      <c r="H2200" s="100"/>
      <c r="I2200" s="100"/>
      <c r="J2200" s="100"/>
      <c r="K2200" s="100"/>
      <c r="L2200" s="100"/>
      <c r="M2200" s="100"/>
      <c r="N2200" s="100"/>
      <c r="O2200" s="100"/>
      <c r="P2200" s="100"/>
      <c r="Q2200" s="100"/>
      <c r="R2200" s="100"/>
      <c r="S2200" s="100"/>
      <c r="T2200" s="100"/>
      <c r="U2200" s="100"/>
      <c r="V2200" s="100"/>
      <c r="W2200" s="100"/>
      <c r="X2200" s="100"/>
      <c r="Y2200" s="100"/>
      <c r="Z2200" s="100"/>
    </row>
    <row r="2201" spans="1:26">
      <c r="A2201" s="100"/>
      <c r="B2201" s="100"/>
      <c r="C2201" s="100"/>
      <c r="D2201" s="100"/>
      <c r="E2201" s="100"/>
      <c r="F2201" s="100"/>
      <c r="G2201" s="100"/>
      <c r="H2201" s="100"/>
      <c r="I2201" s="100"/>
      <c r="J2201" s="100"/>
      <c r="K2201" s="100"/>
      <c r="L2201" s="100"/>
      <c r="M2201" s="100"/>
      <c r="N2201" s="100"/>
      <c r="O2201" s="100"/>
      <c r="P2201" s="100"/>
      <c r="Q2201" s="100"/>
      <c r="R2201" s="100"/>
      <c r="S2201" s="100"/>
      <c r="T2201" s="100"/>
      <c r="U2201" s="100"/>
      <c r="V2201" s="100"/>
      <c r="W2201" s="100"/>
      <c r="X2201" s="100"/>
      <c r="Y2201" s="100"/>
      <c r="Z2201" s="100"/>
    </row>
    <row r="2202" spans="1:26">
      <c r="A2202" s="100"/>
      <c r="B2202" s="100"/>
      <c r="C2202" s="100"/>
      <c r="D2202" s="100"/>
      <c r="E2202" s="100"/>
      <c r="F2202" s="100"/>
      <c r="G2202" s="100"/>
      <c r="H2202" s="100"/>
      <c r="I2202" s="100"/>
      <c r="J2202" s="100"/>
      <c r="K2202" s="100"/>
      <c r="L2202" s="100"/>
      <c r="M2202" s="100"/>
      <c r="N2202" s="100"/>
      <c r="O2202" s="100"/>
      <c r="P2202" s="100"/>
      <c r="Q2202" s="100"/>
      <c r="R2202" s="100"/>
      <c r="S2202" s="100"/>
      <c r="T2202" s="100"/>
      <c r="U2202" s="100"/>
      <c r="V2202" s="100"/>
      <c r="W2202" s="100"/>
      <c r="X2202" s="100"/>
      <c r="Y2202" s="100"/>
      <c r="Z2202" s="100"/>
    </row>
    <row r="2203" spans="1:26">
      <c r="A2203" s="100"/>
      <c r="B2203" s="100"/>
      <c r="C2203" s="100"/>
      <c r="D2203" s="100"/>
      <c r="E2203" s="100"/>
      <c r="F2203" s="100"/>
      <c r="G2203" s="100"/>
      <c r="H2203" s="100"/>
      <c r="I2203" s="100"/>
      <c r="J2203" s="100"/>
      <c r="K2203" s="100"/>
      <c r="L2203" s="100"/>
      <c r="M2203" s="100"/>
      <c r="N2203" s="100"/>
      <c r="O2203" s="100"/>
      <c r="P2203" s="100"/>
      <c r="Q2203" s="100"/>
      <c r="R2203" s="100"/>
      <c r="S2203" s="100"/>
      <c r="T2203" s="100"/>
      <c r="U2203" s="100"/>
      <c r="V2203" s="100"/>
      <c r="W2203" s="100"/>
      <c r="X2203" s="100"/>
      <c r="Y2203" s="100"/>
      <c r="Z2203" s="100"/>
    </row>
    <row r="2204" spans="1:26">
      <c r="A2204" s="100"/>
      <c r="B2204" s="100"/>
      <c r="C2204" s="100"/>
      <c r="D2204" s="100"/>
      <c r="E2204" s="100"/>
      <c r="F2204" s="100"/>
      <c r="G2204" s="100"/>
      <c r="H2204" s="100"/>
      <c r="I2204" s="100"/>
      <c r="J2204" s="100"/>
      <c r="K2204" s="100"/>
      <c r="L2204" s="100"/>
      <c r="M2204" s="100"/>
      <c r="N2204" s="100"/>
      <c r="O2204" s="100"/>
      <c r="P2204" s="100"/>
      <c r="Q2204" s="100"/>
      <c r="R2204" s="100"/>
      <c r="S2204" s="100"/>
      <c r="T2204" s="100"/>
      <c r="U2204" s="100"/>
      <c r="V2204" s="100"/>
      <c r="W2204" s="100"/>
      <c r="X2204" s="100"/>
      <c r="Y2204" s="100"/>
      <c r="Z2204" s="100"/>
    </row>
    <row r="2205" spans="1:26">
      <c r="A2205" s="100"/>
      <c r="B2205" s="100"/>
      <c r="C2205" s="100"/>
      <c r="D2205" s="100"/>
      <c r="E2205" s="100"/>
      <c r="F2205" s="100"/>
      <c r="G2205" s="100"/>
      <c r="H2205" s="100"/>
      <c r="I2205" s="100"/>
      <c r="J2205" s="100"/>
      <c r="K2205" s="100"/>
      <c r="L2205" s="100"/>
      <c r="M2205" s="100"/>
      <c r="N2205" s="100"/>
      <c r="O2205" s="100"/>
      <c r="P2205" s="100"/>
      <c r="Q2205" s="100"/>
      <c r="R2205" s="100"/>
      <c r="S2205" s="100"/>
      <c r="T2205" s="100"/>
      <c r="U2205" s="100"/>
      <c r="V2205" s="100"/>
      <c r="W2205" s="100"/>
      <c r="X2205" s="100"/>
      <c r="Y2205" s="100"/>
      <c r="Z2205" s="100"/>
    </row>
    <row r="2206" spans="1:26">
      <c r="A2206" s="100"/>
      <c r="B2206" s="100"/>
      <c r="C2206" s="100"/>
      <c r="D2206" s="100"/>
      <c r="E2206" s="100"/>
      <c r="F2206" s="100"/>
      <c r="G2206" s="100"/>
      <c r="H2206" s="100"/>
      <c r="I2206" s="100"/>
      <c r="J2206" s="100"/>
      <c r="K2206" s="100"/>
      <c r="L2206" s="100"/>
      <c r="M2206" s="100"/>
      <c r="N2206" s="100"/>
      <c r="O2206" s="100"/>
      <c r="P2206" s="100"/>
      <c r="Q2206" s="100"/>
      <c r="R2206" s="100"/>
      <c r="S2206" s="100"/>
      <c r="T2206" s="100"/>
      <c r="U2206" s="100"/>
      <c r="V2206" s="100"/>
      <c r="W2206" s="100"/>
      <c r="X2206" s="100"/>
      <c r="Y2206" s="100"/>
      <c r="Z2206" s="100"/>
    </row>
    <row r="2207" spans="1:26">
      <c r="A2207" s="100"/>
      <c r="B2207" s="100"/>
      <c r="C2207" s="100"/>
      <c r="D2207" s="100"/>
      <c r="E2207" s="100"/>
      <c r="F2207" s="100"/>
      <c r="G2207" s="100"/>
      <c r="H2207" s="100"/>
      <c r="I2207" s="100"/>
      <c r="J2207" s="100"/>
      <c r="K2207" s="100"/>
      <c r="L2207" s="100"/>
      <c r="M2207" s="100"/>
      <c r="N2207" s="100"/>
      <c r="O2207" s="100"/>
      <c r="P2207" s="100"/>
      <c r="Q2207" s="100"/>
      <c r="R2207" s="100"/>
      <c r="S2207" s="100"/>
      <c r="T2207" s="100"/>
      <c r="U2207" s="100"/>
      <c r="V2207" s="100"/>
      <c r="W2207" s="100"/>
      <c r="X2207" s="100"/>
      <c r="Y2207" s="100"/>
      <c r="Z2207" s="100"/>
    </row>
    <row r="2208" spans="1:26">
      <c r="A2208" s="100"/>
      <c r="B2208" s="100"/>
      <c r="C2208" s="100"/>
      <c r="D2208" s="100"/>
      <c r="E2208" s="100"/>
      <c r="F2208" s="100"/>
      <c r="G2208" s="100"/>
      <c r="H2208" s="100"/>
      <c r="I2208" s="100"/>
      <c r="J2208" s="100"/>
      <c r="K2208" s="100"/>
      <c r="L2208" s="100"/>
      <c r="M2208" s="100"/>
      <c r="N2208" s="100"/>
      <c r="O2208" s="100"/>
      <c r="P2208" s="100"/>
      <c r="Q2208" s="100"/>
      <c r="R2208" s="100"/>
      <c r="S2208" s="100"/>
      <c r="T2208" s="100"/>
      <c r="U2208" s="100"/>
      <c r="V2208" s="100"/>
      <c r="W2208" s="100"/>
      <c r="X2208" s="100"/>
      <c r="Y2208" s="100"/>
      <c r="Z2208" s="100"/>
    </row>
    <row r="2209" spans="1:26">
      <c r="A2209" s="100"/>
      <c r="B2209" s="100"/>
      <c r="C2209" s="100"/>
      <c r="D2209" s="100"/>
      <c r="E2209" s="100"/>
      <c r="F2209" s="100"/>
      <c r="G2209" s="100"/>
      <c r="H2209" s="100"/>
      <c r="I2209" s="100"/>
      <c r="J2209" s="100"/>
      <c r="K2209" s="100"/>
      <c r="L2209" s="100"/>
      <c r="M2209" s="100"/>
      <c r="N2209" s="100"/>
      <c r="O2209" s="100"/>
      <c r="P2209" s="100"/>
      <c r="Q2209" s="100"/>
      <c r="R2209" s="100"/>
      <c r="S2209" s="100"/>
      <c r="T2209" s="100"/>
      <c r="U2209" s="100"/>
      <c r="V2209" s="100"/>
      <c r="W2209" s="100"/>
      <c r="X2209" s="100"/>
      <c r="Y2209" s="100"/>
      <c r="Z2209" s="100"/>
    </row>
    <row r="2210" spans="1:26">
      <c r="A2210" s="100"/>
      <c r="B2210" s="100"/>
      <c r="C2210" s="100"/>
      <c r="D2210" s="100"/>
      <c r="E2210" s="100"/>
      <c r="F2210" s="100"/>
      <c r="G2210" s="100"/>
      <c r="H2210" s="100"/>
      <c r="I2210" s="100"/>
      <c r="J2210" s="100"/>
      <c r="K2210" s="100"/>
      <c r="L2210" s="100"/>
      <c r="M2210" s="100"/>
      <c r="N2210" s="100"/>
      <c r="O2210" s="100"/>
      <c r="P2210" s="100"/>
      <c r="Q2210" s="100"/>
      <c r="R2210" s="100"/>
      <c r="S2210" s="100"/>
      <c r="T2210" s="100"/>
      <c r="U2210" s="100"/>
      <c r="V2210" s="100"/>
      <c r="W2210" s="100"/>
      <c r="X2210" s="100"/>
      <c r="Y2210" s="100"/>
      <c r="Z2210" s="100"/>
    </row>
    <row r="2211" spans="1:26">
      <c r="A2211" s="100"/>
      <c r="B2211" s="100"/>
      <c r="C2211" s="100"/>
      <c r="D2211" s="100"/>
      <c r="E2211" s="100"/>
      <c r="F2211" s="100"/>
      <c r="G2211" s="100"/>
      <c r="H2211" s="100"/>
      <c r="I2211" s="100"/>
      <c r="J2211" s="100"/>
      <c r="K2211" s="100"/>
      <c r="L2211" s="100"/>
      <c r="M2211" s="100"/>
      <c r="N2211" s="100"/>
      <c r="O2211" s="100"/>
      <c r="P2211" s="100"/>
      <c r="Q2211" s="100"/>
      <c r="R2211" s="100"/>
      <c r="S2211" s="100"/>
      <c r="T2211" s="100"/>
      <c r="U2211" s="100"/>
      <c r="V2211" s="100"/>
      <c r="W2211" s="100"/>
      <c r="X2211" s="100"/>
      <c r="Y2211" s="100"/>
      <c r="Z2211" s="100"/>
    </row>
    <row r="2212" spans="1:26">
      <c r="A2212" s="100"/>
      <c r="B2212" s="100"/>
      <c r="C2212" s="100"/>
      <c r="D2212" s="100"/>
      <c r="E2212" s="100"/>
      <c r="F2212" s="100"/>
      <c r="G2212" s="100"/>
      <c r="H2212" s="100"/>
      <c r="I2212" s="100"/>
      <c r="J2212" s="100"/>
      <c r="K2212" s="100"/>
      <c r="L2212" s="100"/>
      <c r="M2212" s="100"/>
      <c r="N2212" s="100"/>
      <c r="O2212" s="100"/>
      <c r="P2212" s="100"/>
      <c r="Q2212" s="100"/>
      <c r="R2212" s="100"/>
      <c r="S2212" s="100"/>
      <c r="T2212" s="100"/>
      <c r="U2212" s="100"/>
      <c r="V2212" s="100"/>
      <c r="W2212" s="100"/>
      <c r="X2212" s="100"/>
      <c r="Y2212" s="100"/>
      <c r="Z2212" s="100"/>
    </row>
    <row r="2213" spans="1:26">
      <c r="A2213" s="100"/>
      <c r="B2213" s="100"/>
      <c r="C2213" s="100"/>
      <c r="D2213" s="100"/>
      <c r="E2213" s="100"/>
      <c r="F2213" s="100"/>
      <c r="G2213" s="100"/>
      <c r="H2213" s="100"/>
      <c r="I2213" s="100"/>
      <c r="J2213" s="100"/>
      <c r="K2213" s="100"/>
      <c r="L2213" s="100"/>
      <c r="M2213" s="100"/>
      <c r="N2213" s="100"/>
      <c r="O2213" s="100"/>
      <c r="P2213" s="100"/>
      <c r="Q2213" s="100"/>
      <c r="R2213" s="100"/>
      <c r="S2213" s="100"/>
      <c r="T2213" s="100"/>
      <c r="U2213" s="100"/>
      <c r="V2213" s="100"/>
      <c r="W2213" s="100"/>
      <c r="X2213" s="100"/>
      <c r="Y2213" s="100"/>
      <c r="Z2213" s="100"/>
    </row>
    <row r="2214" spans="1:26">
      <c r="A2214" s="100"/>
      <c r="B2214" s="100"/>
      <c r="C2214" s="100"/>
      <c r="D2214" s="100"/>
      <c r="E2214" s="100"/>
      <c r="F2214" s="100"/>
      <c r="G2214" s="100"/>
      <c r="H2214" s="100"/>
      <c r="I2214" s="100"/>
      <c r="J2214" s="100"/>
      <c r="K2214" s="100"/>
      <c r="L2214" s="100"/>
      <c r="M2214" s="100"/>
      <c r="N2214" s="100"/>
      <c r="O2214" s="100"/>
      <c r="P2214" s="100"/>
      <c r="Q2214" s="100"/>
      <c r="R2214" s="100"/>
      <c r="S2214" s="100"/>
      <c r="T2214" s="100"/>
      <c r="U2214" s="100"/>
      <c r="V2214" s="100"/>
      <c r="W2214" s="100"/>
      <c r="X2214" s="100"/>
      <c r="Y2214" s="100"/>
      <c r="Z2214" s="100"/>
    </row>
    <row r="2215" spans="1:26">
      <c r="A2215" s="100"/>
      <c r="B2215" s="100"/>
      <c r="C2215" s="100"/>
      <c r="D2215" s="100"/>
      <c r="E2215" s="100"/>
      <c r="F2215" s="100"/>
      <c r="G2215" s="100"/>
      <c r="H2215" s="100"/>
      <c r="I2215" s="100"/>
      <c r="J2215" s="100"/>
      <c r="K2215" s="100"/>
      <c r="L2215" s="100"/>
      <c r="M2215" s="100"/>
      <c r="N2215" s="100"/>
      <c r="O2215" s="100"/>
      <c r="P2215" s="100"/>
      <c r="Q2215" s="100"/>
      <c r="R2215" s="100"/>
      <c r="S2215" s="100"/>
      <c r="T2215" s="100"/>
      <c r="U2215" s="100"/>
      <c r="V2215" s="100"/>
      <c r="W2215" s="100"/>
      <c r="X2215" s="100"/>
      <c r="Y2215" s="100"/>
      <c r="Z2215" s="100"/>
    </row>
    <row r="2216" spans="1:26">
      <c r="A2216" s="100"/>
      <c r="B2216" s="100"/>
      <c r="C2216" s="100"/>
      <c r="D2216" s="100"/>
      <c r="E2216" s="100"/>
      <c r="F2216" s="100"/>
      <c r="G2216" s="100"/>
      <c r="H2216" s="100"/>
      <c r="I2216" s="100"/>
      <c r="J2216" s="100"/>
      <c r="K2216" s="100"/>
      <c r="L2216" s="100"/>
      <c r="M2216" s="100"/>
      <c r="N2216" s="100"/>
      <c r="O2216" s="100"/>
      <c r="P2216" s="100"/>
      <c r="Q2216" s="100"/>
      <c r="R2216" s="100"/>
      <c r="S2216" s="100"/>
      <c r="T2216" s="100"/>
      <c r="U2216" s="100"/>
      <c r="V2216" s="100"/>
      <c r="W2216" s="100"/>
      <c r="X2216" s="100"/>
      <c r="Y2216" s="100"/>
      <c r="Z2216" s="100"/>
    </row>
    <row r="2217" spans="1:26">
      <c r="A2217" s="100"/>
      <c r="B2217" s="100"/>
      <c r="C2217" s="100"/>
      <c r="D2217" s="100"/>
      <c r="E2217" s="100"/>
      <c r="F2217" s="100"/>
      <c r="G2217" s="100"/>
      <c r="H2217" s="100"/>
      <c r="I2217" s="100"/>
      <c r="J2217" s="100"/>
      <c r="K2217" s="100"/>
      <c r="L2217" s="100"/>
      <c r="M2217" s="100"/>
      <c r="N2217" s="100"/>
      <c r="O2217" s="100"/>
      <c r="P2217" s="100"/>
      <c r="Q2217" s="100"/>
      <c r="R2217" s="100"/>
      <c r="S2217" s="100"/>
      <c r="T2217" s="100"/>
      <c r="U2217" s="100"/>
      <c r="V2217" s="100"/>
      <c r="W2217" s="100"/>
      <c r="X2217" s="100"/>
      <c r="Y2217" s="100"/>
      <c r="Z2217" s="100"/>
    </row>
    <row r="2218" spans="1:26">
      <c r="A2218" s="100"/>
      <c r="B2218" s="100"/>
      <c r="C2218" s="100"/>
      <c r="D2218" s="100"/>
      <c r="E2218" s="100"/>
      <c r="F2218" s="100"/>
      <c r="G2218" s="100"/>
      <c r="H2218" s="100"/>
      <c r="I2218" s="100"/>
      <c r="J2218" s="100"/>
      <c r="K2218" s="100"/>
      <c r="L2218" s="100"/>
      <c r="M2218" s="100"/>
      <c r="N2218" s="100"/>
      <c r="O2218" s="100"/>
      <c r="P2218" s="100"/>
      <c r="Q2218" s="100"/>
      <c r="R2218" s="100"/>
      <c r="S2218" s="100"/>
      <c r="T2218" s="100"/>
      <c r="U2218" s="100"/>
      <c r="V2218" s="100"/>
      <c r="W2218" s="100"/>
      <c r="X2218" s="100"/>
      <c r="Y2218" s="100"/>
      <c r="Z2218" s="100"/>
    </row>
    <row r="2219" spans="1:26">
      <c r="A2219" s="100"/>
      <c r="B2219" s="100"/>
      <c r="C2219" s="100"/>
      <c r="D2219" s="100"/>
      <c r="E2219" s="100"/>
      <c r="F2219" s="100"/>
      <c r="G2219" s="100"/>
      <c r="H2219" s="100"/>
      <c r="I2219" s="100"/>
      <c r="J2219" s="100"/>
      <c r="K2219" s="100"/>
      <c r="L2219" s="100"/>
      <c r="M2219" s="100"/>
      <c r="N2219" s="100"/>
      <c r="O2219" s="100"/>
      <c r="P2219" s="100"/>
      <c r="Q2219" s="100"/>
      <c r="R2219" s="100"/>
      <c r="S2219" s="100"/>
      <c r="T2219" s="100"/>
      <c r="U2219" s="100"/>
      <c r="V2219" s="100"/>
      <c r="W2219" s="100"/>
      <c r="X2219" s="100"/>
      <c r="Y2219" s="100"/>
      <c r="Z2219" s="100"/>
    </row>
    <row r="2220" spans="1:26">
      <c r="A2220" s="100"/>
      <c r="B2220" s="100"/>
      <c r="C2220" s="100"/>
      <c r="D2220" s="100"/>
      <c r="E2220" s="100"/>
      <c r="F2220" s="100"/>
      <c r="G2220" s="100"/>
      <c r="H2220" s="100"/>
      <c r="I2220" s="100"/>
      <c r="J2220" s="100"/>
      <c r="K2220" s="100"/>
      <c r="L2220" s="100"/>
      <c r="M2220" s="100"/>
      <c r="N2220" s="100"/>
      <c r="O2220" s="100"/>
      <c r="P2220" s="100"/>
      <c r="Q2220" s="100"/>
      <c r="R2220" s="100"/>
      <c r="S2220" s="100"/>
      <c r="T2220" s="100"/>
      <c r="U2220" s="100"/>
      <c r="V2220" s="100"/>
      <c r="W2220" s="100"/>
      <c r="X2220" s="100"/>
      <c r="Y2220" s="100"/>
      <c r="Z2220" s="100"/>
    </row>
    <row r="2221" spans="1:26">
      <c r="A2221" s="100"/>
      <c r="B2221" s="100"/>
      <c r="C2221" s="100"/>
      <c r="D2221" s="100"/>
      <c r="E2221" s="100"/>
      <c r="F2221" s="100"/>
      <c r="G2221" s="100"/>
      <c r="H2221" s="100"/>
      <c r="I2221" s="100"/>
      <c r="J2221" s="100"/>
      <c r="K2221" s="100"/>
      <c r="L2221" s="100"/>
      <c r="M2221" s="100"/>
      <c r="N2221" s="100"/>
      <c r="O2221" s="100"/>
      <c r="P2221" s="100"/>
      <c r="Q2221" s="100"/>
      <c r="R2221" s="100"/>
      <c r="S2221" s="100"/>
      <c r="T2221" s="100"/>
      <c r="U2221" s="100"/>
      <c r="V2221" s="100"/>
      <c r="W2221" s="100"/>
      <c r="X2221" s="100"/>
      <c r="Y2221" s="100"/>
      <c r="Z2221" s="100"/>
    </row>
    <row r="2222" spans="1:26">
      <c r="A2222" s="100"/>
      <c r="B2222" s="100"/>
      <c r="C2222" s="100"/>
      <c r="D2222" s="100"/>
      <c r="E2222" s="100"/>
      <c r="F2222" s="100"/>
      <c r="G2222" s="100"/>
      <c r="H2222" s="100"/>
      <c r="I2222" s="100"/>
      <c r="J2222" s="100"/>
      <c r="K2222" s="100"/>
      <c r="L2222" s="100"/>
      <c r="M2222" s="100"/>
      <c r="N2222" s="100"/>
      <c r="O2222" s="100"/>
      <c r="P2222" s="100"/>
      <c r="Q2222" s="100"/>
      <c r="R2222" s="100"/>
      <c r="S2222" s="100"/>
      <c r="T2222" s="100"/>
      <c r="U2222" s="100"/>
      <c r="V2222" s="100"/>
      <c r="W2222" s="100"/>
      <c r="X2222" s="100"/>
      <c r="Y2222" s="100"/>
      <c r="Z2222" s="100"/>
    </row>
    <row r="2223" spans="1:26">
      <c r="A2223" s="100"/>
      <c r="B2223" s="100"/>
      <c r="C2223" s="100"/>
      <c r="D2223" s="100"/>
      <c r="E2223" s="100"/>
      <c r="F2223" s="100"/>
      <c r="G2223" s="100"/>
      <c r="H2223" s="100"/>
      <c r="I2223" s="100"/>
      <c r="J2223" s="100"/>
      <c r="K2223" s="100"/>
      <c r="L2223" s="100"/>
      <c r="M2223" s="100"/>
      <c r="N2223" s="100"/>
      <c r="O2223" s="100"/>
      <c r="P2223" s="100"/>
      <c r="Q2223" s="100"/>
      <c r="R2223" s="100"/>
      <c r="S2223" s="100"/>
      <c r="T2223" s="100"/>
      <c r="U2223" s="100"/>
      <c r="V2223" s="100"/>
      <c r="W2223" s="100"/>
      <c r="X2223" s="100"/>
      <c r="Y2223" s="100"/>
      <c r="Z2223" s="100"/>
    </row>
    <row r="2224" spans="1:26">
      <c r="A2224" s="100"/>
      <c r="B2224" s="100"/>
      <c r="C2224" s="100"/>
      <c r="D2224" s="100"/>
      <c r="E2224" s="100"/>
      <c r="F2224" s="100"/>
      <c r="G2224" s="100"/>
      <c r="H2224" s="100"/>
      <c r="I2224" s="100"/>
      <c r="J2224" s="100"/>
      <c r="K2224" s="100"/>
      <c r="L2224" s="100"/>
      <c r="M2224" s="100"/>
      <c r="N2224" s="100"/>
      <c r="O2224" s="100"/>
      <c r="P2224" s="100"/>
      <c r="Q2224" s="100"/>
      <c r="R2224" s="100"/>
      <c r="S2224" s="100"/>
      <c r="T2224" s="100"/>
      <c r="U2224" s="100"/>
      <c r="V2224" s="100"/>
      <c r="W2224" s="100"/>
      <c r="X2224" s="100"/>
      <c r="Y2224" s="100"/>
      <c r="Z2224" s="100"/>
    </row>
    <row r="2225" spans="1:26">
      <c r="A2225" s="100"/>
      <c r="B2225" s="100"/>
      <c r="C2225" s="100"/>
      <c r="D2225" s="100"/>
      <c r="E2225" s="100"/>
      <c r="F2225" s="100"/>
      <c r="G2225" s="100"/>
      <c r="H2225" s="100"/>
      <c r="I2225" s="100"/>
      <c r="J2225" s="100"/>
      <c r="K2225" s="100"/>
      <c r="L2225" s="100"/>
      <c r="M2225" s="100"/>
      <c r="N2225" s="100"/>
      <c r="O2225" s="100"/>
      <c r="P2225" s="100"/>
      <c r="Q2225" s="100"/>
      <c r="R2225" s="100"/>
      <c r="S2225" s="100"/>
      <c r="T2225" s="100"/>
      <c r="U2225" s="100"/>
      <c r="V2225" s="100"/>
      <c r="W2225" s="100"/>
      <c r="X2225" s="100"/>
      <c r="Y2225" s="100"/>
      <c r="Z2225" s="100"/>
    </row>
    <row r="2226" spans="1:26">
      <c r="A2226" s="100"/>
      <c r="B2226" s="100"/>
      <c r="C2226" s="100"/>
      <c r="D2226" s="100"/>
      <c r="E2226" s="100"/>
      <c r="F2226" s="100"/>
      <c r="G2226" s="100"/>
      <c r="H2226" s="100"/>
      <c r="I2226" s="100"/>
      <c r="J2226" s="100"/>
      <c r="K2226" s="100"/>
      <c r="L2226" s="100"/>
      <c r="M2226" s="100"/>
      <c r="N2226" s="100"/>
      <c r="O2226" s="100"/>
      <c r="P2226" s="100"/>
      <c r="Q2226" s="100"/>
      <c r="R2226" s="100"/>
      <c r="S2226" s="100"/>
      <c r="T2226" s="100"/>
      <c r="U2226" s="100"/>
      <c r="V2226" s="100"/>
      <c r="W2226" s="100"/>
      <c r="X2226" s="100"/>
      <c r="Y2226" s="100"/>
      <c r="Z2226" s="100"/>
    </row>
    <row r="2227" spans="1:26">
      <c r="A2227" s="100"/>
      <c r="B2227" s="100"/>
      <c r="C2227" s="100"/>
      <c r="D2227" s="100"/>
      <c r="E2227" s="100"/>
      <c r="F2227" s="100"/>
      <c r="G2227" s="100"/>
      <c r="H2227" s="100"/>
      <c r="I2227" s="100"/>
      <c r="J2227" s="100"/>
      <c r="K2227" s="100"/>
      <c r="L2227" s="100"/>
      <c r="M2227" s="100"/>
      <c r="N2227" s="100"/>
      <c r="O2227" s="100"/>
      <c r="P2227" s="100"/>
      <c r="Q2227" s="100"/>
      <c r="R2227" s="100"/>
      <c r="S2227" s="100"/>
      <c r="T2227" s="100"/>
      <c r="U2227" s="100"/>
      <c r="V2227" s="100"/>
      <c r="W2227" s="100"/>
      <c r="X2227" s="100"/>
      <c r="Y2227" s="100"/>
      <c r="Z2227" s="100"/>
    </row>
    <row r="2228" spans="1:26">
      <c r="A2228" s="100"/>
      <c r="B2228" s="100"/>
      <c r="C2228" s="100"/>
      <c r="D2228" s="100"/>
      <c r="E2228" s="100"/>
      <c r="F2228" s="100"/>
      <c r="G2228" s="100"/>
      <c r="H2228" s="100"/>
      <c r="I2228" s="100"/>
      <c r="J2228" s="100"/>
      <c r="K2228" s="100"/>
      <c r="L2228" s="100"/>
      <c r="M2228" s="100"/>
      <c r="N2228" s="100"/>
      <c r="O2228" s="100"/>
      <c r="P2228" s="100"/>
      <c r="Q2228" s="100"/>
      <c r="R2228" s="100"/>
      <c r="S2228" s="100"/>
      <c r="T2228" s="100"/>
      <c r="U2228" s="100"/>
      <c r="V2228" s="100"/>
      <c r="W2228" s="100"/>
      <c r="X2228" s="100"/>
      <c r="Y2228" s="100"/>
      <c r="Z2228" s="100"/>
    </row>
    <row r="2229" spans="1:26">
      <c r="A2229" s="100"/>
      <c r="B2229" s="100"/>
      <c r="C2229" s="100"/>
      <c r="D2229" s="100"/>
      <c r="E2229" s="100"/>
      <c r="F2229" s="100"/>
      <c r="G2229" s="100"/>
      <c r="H2229" s="100"/>
      <c r="I2229" s="100"/>
      <c r="J2229" s="100"/>
      <c r="K2229" s="100"/>
      <c r="L2229" s="100"/>
      <c r="M2229" s="100"/>
      <c r="N2229" s="100"/>
      <c r="O2229" s="100"/>
      <c r="P2229" s="100"/>
      <c r="Q2229" s="100"/>
      <c r="R2229" s="100"/>
      <c r="S2229" s="100"/>
      <c r="T2229" s="100"/>
      <c r="U2229" s="100"/>
      <c r="V2229" s="100"/>
      <c r="W2229" s="100"/>
      <c r="X2229" s="100"/>
      <c r="Y2229" s="100"/>
      <c r="Z2229" s="100"/>
    </row>
    <row r="2230" spans="1:26">
      <c r="A2230" s="100"/>
      <c r="B2230" s="100"/>
      <c r="C2230" s="100"/>
      <c r="D2230" s="100"/>
      <c r="E2230" s="100"/>
      <c r="F2230" s="100"/>
      <c r="G2230" s="100"/>
      <c r="H2230" s="100"/>
      <c r="I2230" s="100"/>
      <c r="J2230" s="100"/>
      <c r="K2230" s="100"/>
      <c r="L2230" s="100"/>
      <c r="M2230" s="100"/>
      <c r="N2230" s="100"/>
      <c r="O2230" s="100"/>
      <c r="P2230" s="100"/>
      <c r="Q2230" s="100"/>
      <c r="R2230" s="100"/>
      <c r="S2230" s="100"/>
      <c r="T2230" s="100"/>
      <c r="U2230" s="100"/>
      <c r="V2230" s="100"/>
      <c r="W2230" s="100"/>
      <c r="X2230" s="100"/>
      <c r="Y2230" s="100"/>
      <c r="Z2230" s="100"/>
    </row>
    <row r="2231" spans="1:26">
      <c r="A2231" s="100"/>
      <c r="B2231" s="100"/>
      <c r="C2231" s="100"/>
      <c r="D2231" s="100"/>
      <c r="E2231" s="100"/>
      <c r="F2231" s="100"/>
      <c r="G2231" s="100"/>
      <c r="H2231" s="100"/>
      <c r="I2231" s="100"/>
      <c r="J2231" s="100"/>
      <c r="K2231" s="100"/>
      <c r="L2231" s="100"/>
      <c r="M2231" s="100"/>
      <c r="N2231" s="100"/>
      <c r="O2231" s="100"/>
      <c r="P2231" s="100"/>
      <c r="Q2231" s="100"/>
      <c r="R2231" s="100"/>
      <c r="S2231" s="100"/>
      <c r="T2231" s="100"/>
      <c r="U2231" s="100"/>
      <c r="V2231" s="100"/>
      <c r="W2231" s="100"/>
      <c r="X2231" s="100"/>
      <c r="Y2231" s="100"/>
      <c r="Z2231" s="100"/>
    </row>
    <row r="2232" spans="1:26">
      <c r="A2232" s="100"/>
      <c r="B2232" s="100"/>
      <c r="C2232" s="100"/>
      <c r="D2232" s="100"/>
      <c r="E2232" s="100"/>
      <c r="F2232" s="100"/>
      <c r="G2232" s="100"/>
      <c r="H2232" s="100"/>
      <c r="I2232" s="100"/>
      <c r="J2232" s="100"/>
      <c r="K2232" s="100"/>
      <c r="L2232" s="100"/>
      <c r="M2232" s="100"/>
      <c r="N2232" s="100"/>
      <c r="O2232" s="100"/>
      <c r="P2232" s="100"/>
      <c r="Q2232" s="100"/>
      <c r="R2232" s="100"/>
      <c r="S2232" s="100"/>
      <c r="T2232" s="100"/>
      <c r="U2232" s="100"/>
      <c r="V2232" s="100"/>
      <c r="W2232" s="100"/>
      <c r="X2232" s="100"/>
      <c r="Y2232" s="100"/>
      <c r="Z2232" s="100"/>
    </row>
    <row r="2233" spans="1:26">
      <c r="A2233" s="100"/>
      <c r="B2233" s="100"/>
      <c r="C2233" s="100"/>
      <c r="D2233" s="100"/>
      <c r="E2233" s="100"/>
      <c r="F2233" s="100"/>
      <c r="G2233" s="100"/>
      <c r="H2233" s="100"/>
      <c r="I2233" s="100"/>
      <c r="J2233" s="100"/>
      <c r="K2233" s="100"/>
      <c r="L2233" s="100"/>
      <c r="M2233" s="100"/>
      <c r="N2233" s="100"/>
      <c r="O2233" s="100"/>
      <c r="P2233" s="100"/>
      <c r="Q2233" s="100"/>
      <c r="R2233" s="100"/>
      <c r="S2233" s="100"/>
      <c r="T2233" s="100"/>
      <c r="U2233" s="100"/>
      <c r="V2233" s="100"/>
      <c r="W2233" s="100"/>
      <c r="X2233" s="100"/>
      <c r="Y2233" s="100"/>
      <c r="Z2233" s="100"/>
    </row>
    <row r="2234" spans="1:26">
      <c r="A2234" s="100"/>
      <c r="B2234" s="100"/>
      <c r="C2234" s="100"/>
      <c r="D2234" s="100"/>
      <c r="E2234" s="100"/>
      <c r="F2234" s="100"/>
      <c r="G2234" s="100"/>
      <c r="H2234" s="100"/>
      <c r="I2234" s="100"/>
      <c r="J2234" s="100"/>
      <c r="K2234" s="100"/>
      <c r="L2234" s="100"/>
      <c r="M2234" s="100"/>
      <c r="N2234" s="100"/>
      <c r="O2234" s="100"/>
      <c r="P2234" s="100"/>
      <c r="Q2234" s="100"/>
      <c r="R2234" s="100"/>
      <c r="S2234" s="100"/>
      <c r="T2234" s="100"/>
      <c r="U2234" s="100"/>
      <c r="V2234" s="100"/>
      <c r="W2234" s="100"/>
      <c r="X2234" s="100"/>
      <c r="Y2234" s="100"/>
      <c r="Z2234" s="100"/>
    </row>
    <row r="2235" spans="1:26">
      <c r="A2235" s="100"/>
      <c r="B2235" s="100"/>
      <c r="C2235" s="100"/>
      <c r="D2235" s="100"/>
      <c r="E2235" s="100"/>
      <c r="F2235" s="100"/>
      <c r="G2235" s="100"/>
      <c r="H2235" s="100"/>
      <c r="I2235" s="100"/>
      <c r="J2235" s="100"/>
      <c r="K2235" s="100"/>
      <c r="L2235" s="100"/>
      <c r="M2235" s="100"/>
      <c r="N2235" s="100"/>
      <c r="O2235" s="100"/>
      <c r="P2235" s="100"/>
      <c r="Q2235" s="100"/>
      <c r="R2235" s="100"/>
      <c r="S2235" s="100"/>
      <c r="T2235" s="100"/>
      <c r="U2235" s="100"/>
      <c r="V2235" s="100"/>
      <c r="W2235" s="100"/>
      <c r="X2235" s="100"/>
      <c r="Y2235" s="100"/>
      <c r="Z2235" s="100"/>
    </row>
    <row r="2236" spans="1:26">
      <c r="A2236" s="100"/>
      <c r="B2236" s="100"/>
      <c r="C2236" s="100"/>
      <c r="D2236" s="100"/>
      <c r="E2236" s="100"/>
      <c r="F2236" s="100"/>
      <c r="G2236" s="100"/>
      <c r="H2236" s="100"/>
      <c r="I2236" s="100"/>
      <c r="J2236" s="100"/>
      <c r="K2236" s="100"/>
      <c r="L2236" s="100"/>
      <c r="M2236" s="100"/>
      <c r="N2236" s="100"/>
      <c r="O2236" s="100"/>
      <c r="P2236" s="100"/>
      <c r="Q2236" s="100"/>
      <c r="R2236" s="100"/>
      <c r="S2236" s="100"/>
      <c r="T2236" s="100"/>
      <c r="U2236" s="100"/>
      <c r="V2236" s="100"/>
      <c r="W2236" s="100"/>
      <c r="X2236" s="100"/>
      <c r="Y2236" s="100"/>
      <c r="Z2236" s="100"/>
    </row>
    <row r="2237" spans="1:26">
      <c r="A2237" s="100"/>
      <c r="B2237" s="100"/>
      <c r="C2237" s="100"/>
      <c r="D2237" s="100"/>
      <c r="E2237" s="100"/>
      <c r="F2237" s="100"/>
      <c r="G2237" s="100"/>
      <c r="H2237" s="100"/>
      <c r="I2237" s="100"/>
      <c r="J2237" s="100"/>
      <c r="K2237" s="100"/>
      <c r="L2237" s="100"/>
      <c r="M2237" s="100"/>
      <c r="N2237" s="100"/>
      <c r="O2237" s="100"/>
      <c r="P2237" s="100"/>
      <c r="Q2237" s="100"/>
      <c r="R2237" s="100"/>
      <c r="S2237" s="100"/>
      <c r="T2237" s="100"/>
      <c r="U2237" s="100"/>
      <c r="V2237" s="100"/>
      <c r="W2237" s="100"/>
      <c r="X2237" s="100"/>
      <c r="Y2237" s="100"/>
      <c r="Z2237" s="100"/>
    </row>
    <row r="2238" spans="1:26">
      <c r="A2238" s="100"/>
      <c r="B2238" s="100"/>
      <c r="C2238" s="100"/>
      <c r="D2238" s="100"/>
      <c r="E2238" s="100"/>
      <c r="F2238" s="100"/>
      <c r="G2238" s="100"/>
      <c r="H2238" s="100"/>
      <c r="I2238" s="100"/>
      <c r="J2238" s="100"/>
      <c r="K2238" s="100"/>
      <c r="L2238" s="100"/>
      <c r="M2238" s="100"/>
      <c r="N2238" s="100"/>
      <c r="O2238" s="100"/>
      <c r="P2238" s="100"/>
      <c r="Q2238" s="100"/>
      <c r="R2238" s="100"/>
      <c r="S2238" s="100"/>
      <c r="T2238" s="100"/>
      <c r="U2238" s="100"/>
      <c r="V2238" s="100"/>
      <c r="W2238" s="100"/>
      <c r="X2238" s="100"/>
      <c r="Y2238" s="100"/>
      <c r="Z2238" s="100"/>
    </row>
    <row r="2239" spans="1:26">
      <c r="A2239" s="100"/>
      <c r="B2239" s="100"/>
      <c r="C2239" s="100"/>
      <c r="D2239" s="100"/>
      <c r="E2239" s="100"/>
      <c r="F2239" s="100"/>
      <c r="G2239" s="100"/>
      <c r="H2239" s="100"/>
      <c r="I2239" s="100"/>
      <c r="J2239" s="100"/>
      <c r="K2239" s="100"/>
      <c r="L2239" s="100"/>
      <c r="M2239" s="100"/>
      <c r="N2239" s="100"/>
      <c r="O2239" s="100"/>
      <c r="P2239" s="100"/>
      <c r="Q2239" s="100"/>
      <c r="R2239" s="100"/>
      <c r="S2239" s="100"/>
      <c r="T2239" s="100"/>
      <c r="U2239" s="100"/>
      <c r="V2239" s="100"/>
      <c r="W2239" s="100"/>
      <c r="X2239" s="100"/>
      <c r="Y2239" s="100"/>
      <c r="Z2239" s="100"/>
    </row>
    <row r="2240" spans="1:26">
      <c r="A2240" s="100"/>
      <c r="B2240" s="100"/>
      <c r="C2240" s="100"/>
      <c r="D2240" s="100"/>
      <c r="E2240" s="100"/>
      <c r="F2240" s="100"/>
      <c r="G2240" s="100"/>
      <c r="H2240" s="100"/>
      <c r="I2240" s="100"/>
      <c r="J2240" s="100"/>
      <c r="K2240" s="100"/>
      <c r="L2240" s="100"/>
      <c r="M2240" s="100"/>
      <c r="N2240" s="100"/>
      <c r="O2240" s="100"/>
      <c r="P2240" s="100"/>
      <c r="Q2240" s="100"/>
      <c r="R2240" s="100"/>
      <c r="S2240" s="100"/>
      <c r="T2240" s="100"/>
      <c r="U2240" s="100"/>
      <c r="V2240" s="100"/>
      <c r="W2240" s="100"/>
      <c r="X2240" s="100"/>
      <c r="Y2240" s="100"/>
      <c r="Z2240" s="100"/>
    </row>
    <row r="2241" spans="1:26">
      <c r="A2241" s="100"/>
      <c r="B2241" s="100"/>
      <c r="C2241" s="100"/>
      <c r="D2241" s="100"/>
      <c r="E2241" s="100"/>
      <c r="F2241" s="100"/>
      <c r="G2241" s="100"/>
      <c r="H2241" s="100"/>
      <c r="I2241" s="100"/>
      <c r="J2241" s="100"/>
      <c r="K2241" s="100"/>
      <c r="L2241" s="100"/>
      <c r="M2241" s="100"/>
      <c r="N2241" s="100"/>
      <c r="O2241" s="100"/>
      <c r="P2241" s="100"/>
      <c r="Q2241" s="100"/>
      <c r="R2241" s="100"/>
      <c r="S2241" s="100"/>
      <c r="T2241" s="100"/>
      <c r="U2241" s="100"/>
      <c r="V2241" s="100"/>
      <c r="W2241" s="100"/>
      <c r="X2241" s="100"/>
      <c r="Y2241" s="100"/>
      <c r="Z2241" s="100"/>
    </row>
    <row r="2242" spans="1:26">
      <c r="A2242" s="100"/>
      <c r="B2242" s="100"/>
      <c r="C2242" s="100"/>
      <c r="D2242" s="100"/>
      <c r="E2242" s="100"/>
      <c r="F2242" s="100"/>
      <c r="G2242" s="100"/>
      <c r="H2242" s="100"/>
      <c r="I2242" s="100"/>
      <c r="J2242" s="100"/>
      <c r="K2242" s="100"/>
      <c r="L2242" s="100"/>
      <c r="M2242" s="100"/>
      <c r="N2242" s="100"/>
      <c r="O2242" s="100"/>
      <c r="P2242" s="100"/>
      <c r="Q2242" s="100"/>
      <c r="R2242" s="100"/>
      <c r="S2242" s="100"/>
      <c r="T2242" s="100"/>
      <c r="U2242" s="100"/>
      <c r="V2242" s="100"/>
      <c r="W2242" s="100"/>
      <c r="X2242" s="100"/>
      <c r="Y2242" s="100"/>
      <c r="Z2242" s="100"/>
    </row>
    <row r="2243" spans="1:26">
      <c r="A2243" s="100"/>
      <c r="B2243" s="100"/>
      <c r="C2243" s="100"/>
      <c r="D2243" s="100"/>
      <c r="E2243" s="100"/>
      <c r="F2243" s="100"/>
      <c r="G2243" s="100"/>
      <c r="H2243" s="100"/>
      <c r="I2243" s="100"/>
      <c r="J2243" s="100"/>
      <c r="K2243" s="100"/>
      <c r="L2243" s="100"/>
      <c r="M2243" s="100"/>
      <c r="N2243" s="100"/>
      <c r="O2243" s="100"/>
      <c r="P2243" s="100"/>
      <c r="Q2243" s="100"/>
      <c r="R2243" s="100"/>
      <c r="S2243" s="100"/>
      <c r="T2243" s="100"/>
      <c r="U2243" s="100"/>
      <c r="V2243" s="100"/>
      <c r="W2243" s="100"/>
      <c r="X2243" s="100"/>
      <c r="Y2243" s="100"/>
      <c r="Z2243" s="100"/>
    </row>
    <row r="2244" spans="1:26">
      <c r="A2244" s="100"/>
      <c r="B2244" s="100"/>
      <c r="C2244" s="100"/>
      <c r="D2244" s="100"/>
      <c r="E2244" s="100"/>
      <c r="F2244" s="100"/>
      <c r="G2244" s="100"/>
      <c r="H2244" s="100"/>
      <c r="I2244" s="100"/>
      <c r="J2244" s="100"/>
      <c r="K2244" s="100"/>
      <c r="L2244" s="100"/>
      <c r="M2244" s="100"/>
      <c r="N2244" s="100"/>
      <c r="O2244" s="100"/>
      <c r="P2244" s="100"/>
      <c r="Q2244" s="100"/>
      <c r="R2244" s="100"/>
      <c r="S2244" s="100"/>
      <c r="T2244" s="100"/>
      <c r="U2244" s="100"/>
      <c r="V2244" s="100"/>
      <c r="W2244" s="100"/>
      <c r="X2244" s="100"/>
      <c r="Y2244" s="100"/>
      <c r="Z2244" s="100"/>
    </row>
    <row r="2245" spans="1:26">
      <c r="A2245" s="100"/>
      <c r="B2245" s="100"/>
      <c r="C2245" s="100"/>
      <c r="D2245" s="100"/>
      <c r="E2245" s="100"/>
      <c r="F2245" s="100"/>
      <c r="G2245" s="100"/>
      <c r="H2245" s="100"/>
      <c r="I2245" s="100"/>
      <c r="J2245" s="100"/>
      <c r="K2245" s="100"/>
      <c r="L2245" s="100"/>
      <c r="M2245" s="100"/>
      <c r="N2245" s="100"/>
      <c r="O2245" s="100"/>
      <c r="P2245" s="100"/>
      <c r="Q2245" s="100"/>
      <c r="R2245" s="100"/>
      <c r="S2245" s="100"/>
      <c r="T2245" s="100"/>
      <c r="U2245" s="100"/>
      <c r="V2245" s="100"/>
      <c r="W2245" s="100"/>
      <c r="X2245" s="100"/>
      <c r="Y2245" s="100"/>
      <c r="Z2245" s="100"/>
    </row>
    <row r="2246" spans="1:26">
      <c r="A2246" s="100"/>
      <c r="B2246" s="100"/>
      <c r="C2246" s="100"/>
      <c r="D2246" s="100"/>
      <c r="E2246" s="100"/>
      <c r="F2246" s="100"/>
      <c r="G2246" s="100"/>
      <c r="H2246" s="100"/>
      <c r="I2246" s="100"/>
      <c r="J2246" s="100"/>
      <c r="K2246" s="100"/>
      <c r="L2246" s="100"/>
      <c r="M2246" s="100"/>
      <c r="N2246" s="100"/>
      <c r="O2246" s="100"/>
      <c r="P2246" s="100"/>
      <c r="Q2246" s="100"/>
      <c r="R2246" s="100"/>
      <c r="S2246" s="100"/>
      <c r="T2246" s="100"/>
      <c r="U2246" s="100"/>
      <c r="V2246" s="100"/>
      <c r="W2246" s="100"/>
      <c r="X2246" s="100"/>
      <c r="Y2246" s="100"/>
      <c r="Z2246" s="100"/>
    </row>
    <row r="2247" spans="1:26">
      <c r="A2247" s="100"/>
      <c r="B2247" s="100"/>
      <c r="C2247" s="100"/>
      <c r="D2247" s="100"/>
      <c r="E2247" s="100"/>
      <c r="F2247" s="100"/>
      <c r="G2247" s="100"/>
      <c r="H2247" s="100"/>
      <c r="I2247" s="100"/>
      <c r="J2247" s="100"/>
      <c r="K2247" s="100"/>
      <c r="L2247" s="100"/>
      <c r="M2247" s="100"/>
      <c r="N2247" s="100"/>
      <c r="O2247" s="100"/>
      <c r="P2247" s="100"/>
      <c r="Q2247" s="100"/>
      <c r="R2247" s="100"/>
      <c r="S2247" s="100"/>
      <c r="T2247" s="100"/>
      <c r="U2247" s="100"/>
      <c r="V2247" s="100"/>
      <c r="W2247" s="100"/>
      <c r="X2247" s="100"/>
      <c r="Y2247" s="100"/>
      <c r="Z2247" s="100"/>
    </row>
    <row r="2248" spans="1:26">
      <c r="A2248" s="100"/>
      <c r="B2248" s="100"/>
      <c r="C2248" s="100"/>
      <c r="D2248" s="100"/>
      <c r="E2248" s="100"/>
      <c r="F2248" s="100"/>
      <c r="G2248" s="100"/>
      <c r="H2248" s="100"/>
      <c r="I2248" s="100"/>
      <c r="J2248" s="100"/>
      <c r="K2248" s="100"/>
      <c r="L2248" s="100"/>
      <c r="M2248" s="100"/>
      <c r="N2248" s="100"/>
      <c r="O2248" s="100"/>
      <c r="P2248" s="100"/>
      <c r="Q2248" s="100"/>
      <c r="R2248" s="100"/>
      <c r="S2248" s="100"/>
      <c r="T2248" s="100"/>
      <c r="U2248" s="100"/>
      <c r="V2248" s="100"/>
      <c r="W2248" s="100"/>
      <c r="X2248" s="100"/>
      <c r="Y2248" s="100"/>
      <c r="Z2248" s="100"/>
    </row>
    <row r="2249" spans="1:26">
      <c r="A2249" s="100"/>
      <c r="B2249" s="100"/>
      <c r="C2249" s="100"/>
      <c r="D2249" s="100"/>
      <c r="E2249" s="100"/>
      <c r="F2249" s="100"/>
      <c r="G2249" s="100"/>
      <c r="H2249" s="100"/>
      <c r="I2249" s="100"/>
      <c r="J2249" s="100"/>
      <c r="K2249" s="100"/>
      <c r="L2249" s="100"/>
      <c r="M2249" s="100"/>
      <c r="N2249" s="100"/>
      <c r="O2249" s="100"/>
      <c r="P2249" s="100"/>
      <c r="Q2249" s="100"/>
      <c r="R2249" s="100"/>
      <c r="S2249" s="100"/>
      <c r="T2249" s="100"/>
      <c r="U2249" s="100"/>
      <c r="V2249" s="100"/>
      <c r="W2249" s="100"/>
      <c r="X2249" s="100"/>
      <c r="Y2249" s="100"/>
      <c r="Z2249" s="100"/>
    </row>
    <row r="2250" spans="1:26">
      <c r="A2250" s="100"/>
      <c r="B2250" s="100"/>
      <c r="C2250" s="100"/>
      <c r="D2250" s="100"/>
      <c r="E2250" s="100"/>
      <c r="F2250" s="100"/>
      <c r="G2250" s="100"/>
      <c r="H2250" s="100"/>
      <c r="I2250" s="100"/>
      <c r="J2250" s="100"/>
      <c r="K2250" s="100"/>
      <c r="L2250" s="100"/>
      <c r="M2250" s="100"/>
      <c r="N2250" s="100"/>
      <c r="O2250" s="100"/>
      <c r="P2250" s="100"/>
      <c r="Q2250" s="100"/>
      <c r="R2250" s="100"/>
      <c r="S2250" s="100"/>
      <c r="T2250" s="100"/>
      <c r="U2250" s="100"/>
      <c r="V2250" s="100"/>
      <c r="W2250" s="100"/>
      <c r="X2250" s="100"/>
      <c r="Y2250" s="100"/>
      <c r="Z2250" s="100"/>
    </row>
    <row r="2251" spans="1:26">
      <c r="A2251" s="100"/>
      <c r="B2251" s="100"/>
      <c r="C2251" s="100"/>
      <c r="D2251" s="100"/>
      <c r="E2251" s="100"/>
      <c r="F2251" s="100"/>
      <c r="G2251" s="100"/>
      <c r="H2251" s="100"/>
      <c r="I2251" s="100"/>
      <c r="J2251" s="100"/>
      <c r="K2251" s="100"/>
      <c r="L2251" s="100"/>
      <c r="M2251" s="100"/>
      <c r="N2251" s="100"/>
      <c r="O2251" s="100"/>
      <c r="P2251" s="100"/>
      <c r="Q2251" s="100"/>
      <c r="R2251" s="100"/>
      <c r="S2251" s="100"/>
      <c r="T2251" s="100"/>
      <c r="U2251" s="100"/>
      <c r="V2251" s="100"/>
      <c r="W2251" s="100"/>
      <c r="X2251" s="100"/>
      <c r="Y2251" s="100"/>
      <c r="Z2251" s="100"/>
    </row>
    <row r="2252" spans="1:26">
      <c r="A2252" s="100"/>
      <c r="B2252" s="100"/>
      <c r="C2252" s="100"/>
      <c r="D2252" s="100"/>
      <c r="E2252" s="100"/>
      <c r="F2252" s="100"/>
      <c r="G2252" s="100"/>
      <c r="H2252" s="100"/>
      <c r="I2252" s="100"/>
      <c r="J2252" s="100"/>
      <c r="K2252" s="100"/>
      <c r="L2252" s="100"/>
      <c r="M2252" s="100"/>
      <c r="N2252" s="100"/>
      <c r="O2252" s="100"/>
      <c r="P2252" s="100"/>
      <c r="Q2252" s="100"/>
      <c r="R2252" s="100"/>
      <c r="S2252" s="100"/>
      <c r="T2252" s="100"/>
      <c r="U2252" s="100"/>
      <c r="V2252" s="100"/>
      <c r="W2252" s="100"/>
      <c r="X2252" s="100"/>
      <c r="Y2252" s="100"/>
      <c r="Z2252" s="100"/>
    </row>
    <row r="2253" spans="1:26">
      <c r="A2253" s="100"/>
      <c r="B2253" s="100"/>
      <c r="C2253" s="100"/>
      <c r="D2253" s="100"/>
      <c r="E2253" s="100"/>
      <c r="F2253" s="100"/>
      <c r="G2253" s="100"/>
      <c r="H2253" s="100"/>
      <c r="I2253" s="100"/>
      <c r="J2253" s="100"/>
      <c r="K2253" s="100"/>
      <c r="L2253" s="100"/>
      <c r="M2253" s="100"/>
      <c r="N2253" s="100"/>
      <c r="O2253" s="100"/>
      <c r="P2253" s="100"/>
      <c r="Q2253" s="100"/>
      <c r="R2253" s="100"/>
      <c r="S2253" s="100"/>
      <c r="T2253" s="100"/>
      <c r="U2253" s="100"/>
      <c r="V2253" s="100"/>
      <c r="W2253" s="100"/>
      <c r="X2253" s="100"/>
      <c r="Y2253" s="100"/>
      <c r="Z2253" s="100"/>
    </row>
    <row r="2254" spans="1:26">
      <c r="A2254" s="100"/>
      <c r="B2254" s="100"/>
      <c r="C2254" s="100"/>
      <c r="D2254" s="100"/>
      <c r="E2254" s="100"/>
      <c r="F2254" s="100"/>
      <c r="G2254" s="100"/>
      <c r="H2254" s="100"/>
      <c r="I2254" s="100"/>
      <c r="J2254" s="100"/>
      <c r="K2254" s="100"/>
      <c r="L2254" s="100"/>
      <c r="M2254" s="100"/>
      <c r="N2254" s="100"/>
      <c r="O2254" s="100"/>
      <c r="P2254" s="100"/>
      <c r="Q2254" s="100"/>
      <c r="R2254" s="100"/>
      <c r="S2254" s="100"/>
      <c r="T2254" s="100"/>
      <c r="U2254" s="100"/>
      <c r="V2254" s="100"/>
      <c r="W2254" s="100"/>
      <c r="X2254" s="100"/>
      <c r="Y2254" s="100"/>
      <c r="Z2254" s="100"/>
    </row>
    <row r="2255" spans="1:26">
      <c r="A2255" s="100"/>
      <c r="B2255" s="100"/>
      <c r="C2255" s="100"/>
      <c r="D2255" s="100"/>
      <c r="E2255" s="100"/>
      <c r="F2255" s="100"/>
      <c r="G2255" s="100"/>
      <c r="H2255" s="100"/>
      <c r="I2255" s="100"/>
      <c r="J2255" s="100"/>
      <c r="K2255" s="100"/>
      <c r="L2255" s="100"/>
      <c r="M2255" s="100"/>
      <c r="N2255" s="100"/>
      <c r="O2255" s="100"/>
      <c r="P2255" s="100"/>
      <c r="Q2255" s="100"/>
      <c r="R2255" s="100"/>
      <c r="S2255" s="100"/>
      <c r="T2255" s="100"/>
      <c r="U2255" s="100"/>
      <c r="V2255" s="100"/>
      <c r="W2255" s="100"/>
      <c r="X2255" s="100"/>
      <c r="Y2255" s="100"/>
      <c r="Z2255" s="100"/>
    </row>
    <row r="2256" spans="1:26">
      <c r="A2256" s="100"/>
      <c r="B2256" s="100"/>
      <c r="C2256" s="100"/>
      <c r="D2256" s="100"/>
      <c r="E2256" s="100"/>
      <c r="F2256" s="100"/>
      <c r="G2256" s="100"/>
      <c r="H2256" s="100"/>
      <c r="I2256" s="100"/>
      <c r="J2256" s="100"/>
      <c r="K2256" s="100"/>
      <c r="L2256" s="100"/>
      <c r="M2256" s="100"/>
      <c r="N2256" s="100"/>
      <c r="O2256" s="100"/>
      <c r="P2256" s="100"/>
      <c r="Q2256" s="100"/>
      <c r="R2256" s="100"/>
      <c r="S2256" s="100"/>
      <c r="T2256" s="100"/>
      <c r="U2256" s="100"/>
      <c r="V2256" s="100"/>
      <c r="W2256" s="100"/>
      <c r="X2256" s="100"/>
      <c r="Y2256" s="100"/>
      <c r="Z2256" s="100"/>
    </row>
    <row r="2257" spans="1:26">
      <c r="A2257" s="100"/>
      <c r="B2257" s="100"/>
      <c r="C2257" s="100"/>
      <c r="D2257" s="100"/>
      <c r="E2257" s="100"/>
      <c r="F2257" s="100"/>
      <c r="G2257" s="100"/>
      <c r="H2257" s="100"/>
      <c r="I2257" s="100"/>
      <c r="J2257" s="100"/>
      <c r="K2257" s="100"/>
      <c r="L2257" s="100"/>
      <c r="M2257" s="100"/>
      <c r="N2257" s="100"/>
      <c r="O2257" s="100"/>
      <c r="P2257" s="100"/>
      <c r="Q2257" s="100"/>
      <c r="R2257" s="100"/>
      <c r="S2257" s="100"/>
      <c r="T2257" s="100"/>
      <c r="U2257" s="100"/>
      <c r="V2257" s="100"/>
      <c r="W2257" s="100"/>
      <c r="X2257" s="100"/>
      <c r="Y2257" s="100"/>
      <c r="Z2257" s="100"/>
    </row>
    <row r="2258" spans="1:26">
      <c r="A2258" s="100"/>
      <c r="B2258" s="100"/>
      <c r="C2258" s="100"/>
      <c r="D2258" s="100"/>
      <c r="E2258" s="100"/>
      <c r="F2258" s="100"/>
      <c r="G2258" s="100"/>
      <c r="H2258" s="100"/>
      <c r="I2258" s="100"/>
      <c r="J2258" s="100"/>
      <c r="K2258" s="100"/>
      <c r="L2258" s="100"/>
      <c r="M2258" s="100"/>
      <c r="N2258" s="100"/>
      <c r="O2258" s="100"/>
      <c r="P2258" s="100"/>
      <c r="Q2258" s="100"/>
      <c r="R2258" s="100"/>
      <c r="S2258" s="100"/>
      <c r="T2258" s="100"/>
      <c r="U2258" s="100"/>
      <c r="V2258" s="100"/>
      <c r="W2258" s="100"/>
      <c r="X2258" s="100"/>
      <c r="Y2258" s="100"/>
      <c r="Z2258" s="100"/>
    </row>
    <row r="2259" spans="1:26">
      <c r="A2259" s="100"/>
      <c r="B2259" s="100"/>
      <c r="C2259" s="100"/>
      <c r="D2259" s="100"/>
      <c r="E2259" s="100"/>
      <c r="F2259" s="100"/>
      <c r="G2259" s="100"/>
      <c r="H2259" s="100"/>
      <c r="I2259" s="100"/>
      <c r="J2259" s="100"/>
      <c r="K2259" s="100"/>
      <c r="L2259" s="100"/>
      <c r="M2259" s="100"/>
      <c r="N2259" s="100"/>
      <c r="O2259" s="100"/>
      <c r="P2259" s="100"/>
      <c r="Q2259" s="100"/>
      <c r="R2259" s="100"/>
      <c r="S2259" s="100"/>
      <c r="T2259" s="100"/>
      <c r="U2259" s="100"/>
      <c r="V2259" s="100"/>
      <c r="W2259" s="100"/>
      <c r="X2259" s="100"/>
      <c r="Y2259" s="100"/>
      <c r="Z2259" s="100"/>
    </row>
    <row r="2260" spans="1:26">
      <c r="A2260" s="100"/>
      <c r="B2260" s="100"/>
      <c r="C2260" s="100"/>
      <c r="D2260" s="100"/>
      <c r="E2260" s="100"/>
      <c r="F2260" s="100"/>
      <c r="G2260" s="100"/>
      <c r="H2260" s="100"/>
      <c r="I2260" s="100"/>
      <c r="J2260" s="100"/>
      <c r="K2260" s="100"/>
      <c r="L2260" s="100"/>
      <c r="M2260" s="100"/>
      <c r="N2260" s="100"/>
      <c r="O2260" s="100"/>
      <c r="P2260" s="100"/>
      <c r="Q2260" s="100"/>
      <c r="R2260" s="100"/>
      <c r="S2260" s="100"/>
      <c r="T2260" s="100"/>
      <c r="U2260" s="100"/>
      <c r="V2260" s="100"/>
      <c r="W2260" s="100"/>
      <c r="X2260" s="100"/>
      <c r="Y2260" s="100"/>
      <c r="Z2260" s="100"/>
    </row>
    <row r="2261" spans="1:26">
      <c r="A2261" s="100"/>
      <c r="B2261" s="100"/>
      <c r="C2261" s="100"/>
      <c r="D2261" s="100"/>
      <c r="E2261" s="100"/>
      <c r="F2261" s="100"/>
      <c r="G2261" s="100"/>
      <c r="H2261" s="100"/>
      <c r="I2261" s="100"/>
      <c r="J2261" s="100"/>
      <c r="K2261" s="100"/>
      <c r="L2261" s="100"/>
      <c r="M2261" s="100"/>
      <c r="N2261" s="100"/>
      <c r="O2261" s="100"/>
      <c r="P2261" s="100"/>
      <c r="Q2261" s="100"/>
      <c r="R2261" s="100"/>
      <c r="S2261" s="100"/>
      <c r="T2261" s="100"/>
      <c r="U2261" s="100"/>
      <c r="V2261" s="100"/>
      <c r="W2261" s="100"/>
      <c r="X2261" s="100"/>
      <c r="Y2261" s="100"/>
      <c r="Z2261" s="100"/>
    </row>
    <row r="2262" spans="1:26">
      <c r="A2262" s="100"/>
      <c r="B2262" s="100"/>
      <c r="C2262" s="100"/>
      <c r="D2262" s="100"/>
      <c r="E2262" s="100"/>
      <c r="F2262" s="100"/>
      <c r="G2262" s="100"/>
      <c r="H2262" s="100"/>
      <c r="I2262" s="100"/>
      <c r="J2262" s="100"/>
      <c r="K2262" s="100"/>
      <c r="L2262" s="100"/>
      <c r="M2262" s="100"/>
      <c r="N2262" s="100"/>
      <c r="O2262" s="100"/>
      <c r="P2262" s="100"/>
      <c r="Q2262" s="100"/>
      <c r="R2262" s="100"/>
      <c r="S2262" s="100"/>
      <c r="T2262" s="100"/>
      <c r="U2262" s="100"/>
      <c r="V2262" s="100"/>
      <c r="W2262" s="100"/>
      <c r="X2262" s="100"/>
      <c r="Y2262" s="100"/>
      <c r="Z2262" s="100"/>
    </row>
    <row r="2263" spans="1:26">
      <c r="A2263" s="100"/>
      <c r="B2263" s="100"/>
      <c r="C2263" s="100"/>
      <c r="D2263" s="100"/>
      <c r="E2263" s="100"/>
      <c r="F2263" s="100"/>
      <c r="G2263" s="100"/>
      <c r="H2263" s="100"/>
      <c r="I2263" s="100"/>
      <c r="J2263" s="100"/>
      <c r="K2263" s="100"/>
      <c r="L2263" s="100"/>
      <c r="M2263" s="100"/>
      <c r="N2263" s="100"/>
      <c r="O2263" s="100"/>
      <c r="P2263" s="100"/>
      <c r="Q2263" s="100"/>
      <c r="R2263" s="100"/>
      <c r="S2263" s="100"/>
      <c r="T2263" s="100"/>
      <c r="U2263" s="100"/>
      <c r="V2263" s="100"/>
      <c r="W2263" s="100"/>
      <c r="X2263" s="100"/>
      <c r="Y2263" s="100"/>
      <c r="Z2263" s="100"/>
    </row>
    <row r="2264" spans="1:26">
      <c r="A2264" s="100"/>
      <c r="B2264" s="100"/>
      <c r="C2264" s="100"/>
      <c r="D2264" s="100"/>
      <c r="E2264" s="100"/>
      <c r="F2264" s="100"/>
      <c r="G2264" s="100"/>
      <c r="H2264" s="100"/>
      <c r="I2264" s="100"/>
      <c r="J2264" s="100"/>
      <c r="K2264" s="100"/>
      <c r="L2264" s="100"/>
      <c r="M2264" s="100"/>
      <c r="N2264" s="100"/>
      <c r="O2264" s="100"/>
      <c r="P2264" s="100"/>
      <c r="Q2264" s="100"/>
      <c r="R2264" s="100"/>
      <c r="S2264" s="100"/>
      <c r="T2264" s="100"/>
      <c r="U2264" s="100"/>
      <c r="V2264" s="100"/>
      <c r="W2264" s="100"/>
      <c r="X2264" s="100"/>
      <c r="Y2264" s="100"/>
      <c r="Z2264" s="100"/>
    </row>
    <row r="2265" spans="1:26">
      <c r="A2265" s="100"/>
      <c r="B2265" s="100"/>
      <c r="C2265" s="100"/>
      <c r="D2265" s="100"/>
      <c r="E2265" s="100"/>
      <c r="F2265" s="100"/>
      <c r="G2265" s="100"/>
      <c r="H2265" s="100"/>
      <c r="I2265" s="100"/>
      <c r="J2265" s="100"/>
      <c r="K2265" s="100"/>
      <c r="L2265" s="100"/>
      <c r="M2265" s="100"/>
      <c r="N2265" s="100"/>
      <c r="O2265" s="100"/>
      <c r="P2265" s="100"/>
      <c r="Q2265" s="100"/>
      <c r="R2265" s="100"/>
      <c r="S2265" s="100"/>
      <c r="T2265" s="100"/>
      <c r="U2265" s="100"/>
      <c r="V2265" s="100"/>
      <c r="W2265" s="100"/>
      <c r="X2265" s="100"/>
      <c r="Y2265" s="100"/>
      <c r="Z2265" s="100"/>
    </row>
    <row r="2266" spans="1:26">
      <c r="A2266" s="100"/>
      <c r="B2266" s="100"/>
      <c r="C2266" s="100"/>
      <c r="D2266" s="100"/>
      <c r="E2266" s="100"/>
      <c r="F2266" s="100"/>
      <c r="G2266" s="100"/>
      <c r="H2266" s="100"/>
      <c r="I2266" s="100"/>
      <c r="J2266" s="100"/>
      <c r="K2266" s="100"/>
      <c r="L2266" s="100"/>
      <c r="M2266" s="100"/>
      <c r="N2266" s="100"/>
      <c r="O2266" s="100"/>
      <c r="P2266" s="100"/>
      <c r="Q2266" s="100"/>
      <c r="R2266" s="100"/>
      <c r="S2266" s="100"/>
      <c r="T2266" s="100"/>
      <c r="U2266" s="100"/>
      <c r="V2266" s="100"/>
      <c r="W2266" s="100"/>
      <c r="X2266" s="100"/>
      <c r="Y2266" s="100"/>
      <c r="Z2266" s="100"/>
    </row>
    <row r="2267" spans="1:26">
      <c r="A2267" s="100"/>
      <c r="B2267" s="100"/>
      <c r="C2267" s="100"/>
      <c r="D2267" s="100"/>
      <c r="E2267" s="100"/>
      <c r="F2267" s="100"/>
      <c r="G2267" s="100"/>
      <c r="H2267" s="100"/>
      <c r="I2267" s="100"/>
      <c r="J2267" s="100"/>
      <c r="K2267" s="100"/>
      <c r="L2267" s="100"/>
      <c r="M2267" s="100"/>
      <c r="N2267" s="100"/>
      <c r="O2267" s="100"/>
      <c r="P2267" s="100"/>
      <c r="Q2267" s="100"/>
      <c r="R2267" s="100"/>
      <c r="S2267" s="100"/>
      <c r="T2267" s="100"/>
      <c r="U2267" s="100"/>
      <c r="V2267" s="100"/>
      <c r="W2267" s="100"/>
      <c r="X2267" s="100"/>
      <c r="Y2267" s="100"/>
      <c r="Z2267" s="100"/>
    </row>
    <row r="2268" spans="1:26">
      <c r="A2268" s="100"/>
      <c r="B2268" s="100"/>
      <c r="C2268" s="100"/>
      <c r="D2268" s="100"/>
      <c r="E2268" s="100"/>
      <c r="F2268" s="100"/>
      <c r="G2268" s="100"/>
      <c r="H2268" s="100"/>
      <c r="I2268" s="100"/>
      <c r="J2268" s="100"/>
      <c r="K2268" s="100"/>
      <c r="L2268" s="100"/>
      <c r="M2268" s="100"/>
      <c r="N2268" s="100"/>
      <c r="O2268" s="100"/>
      <c r="P2268" s="100"/>
      <c r="Q2268" s="100"/>
      <c r="R2268" s="100"/>
      <c r="S2268" s="100"/>
      <c r="T2268" s="100"/>
      <c r="U2268" s="100"/>
      <c r="V2268" s="100"/>
      <c r="W2268" s="100"/>
      <c r="X2268" s="100"/>
      <c r="Y2268" s="100"/>
      <c r="Z2268" s="100"/>
    </row>
    <row r="2269" spans="1:26">
      <c r="A2269" s="100"/>
      <c r="B2269" s="100"/>
      <c r="C2269" s="100"/>
      <c r="D2269" s="100"/>
      <c r="E2269" s="100"/>
      <c r="F2269" s="100"/>
      <c r="G2269" s="100"/>
      <c r="H2269" s="100"/>
      <c r="I2269" s="100"/>
      <c r="J2269" s="100"/>
      <c r="K2269" s="100"/>
      <c r="L2269" s="100"/>
      <c r="M2269" s="100"/>
      <c r="N2269" s="100"/>
      <c r="O2269" s="100"/>
      <c r="P2269" s="100"/>
      <c r="Q2269" s="100"/>
      <c r="R2269" s="100"/>
      <c r="S2269" s="100"/>
      <c r="T2269" s="100"/>
      <c r="U2269" s="100"/>
      <c r="V2269" s="100"/>
      <c r="W2269" s="100"/>
      <c r="X2269" s="100"/>
      <c r="Y2269" s="100"/>
      <c r="Z2269" s="100"/>
    </row>
    <row r="2270" spans="1:26">
      <c r="A2270" s="100"/>
      <c r="B2270" s="100"/>
      <c r="C2270" s="100"/>
      <c r="D2270" s="100"/>
      <c r="E2270" s="100"/>
      <c r="F2270" s="100"/>
      <c r="G2270" s="100"/>
      <c r="H2270" s="100"/>
      <c r="I2270" s="100"/>
      <c r="J2270" s="100"/>
      <c r="K2270" s="100"/>
      <c r="L2270" s="100"/>
      <c r="M2270" s="100"/>
      <c r="N2270" s="100"/>
      <c r="O2270" s="100"/>
      <c r="P2270" s="100"/>
      <c r="Q2270" s="100"/>
      <c r="R2270" s="100"/>
      <c r="S2270" s="100"/>
      <c r="T2270" s="100"/>
      <c r="U2270" s="100"/>
      <c r="V2270" s="100"/>
      <c r="W2270" s="100"/>
      <c r="X2270" s="100"/>
      <c r="Y2270" s="100"/>
      <c r="Z2270" s="100"/>
    </row>
    <row r="2271" spans="1:26">
      <c r="A2271" s="100"/>
      <c r="B2271" s="100"/>
      <c r="C2271" s="100"/>
      <c r="D2271" s="100"/>
      <c r="E2271" s="100"/>
      <c r="F2271" s="100"/>
      <c r="G2271" s="100"/>
      <c r="H2271" s="100"/>
      <c r="I2271" s="100"/>
      <c r="J2271" s="100"/>
      <c r="K2271" s="100"/>
      <c r="L2271" s="100"/>
      <c r="M2271" s="100"/>
      <c r="N2271" s="100"/>
      <c r="O2271" s="100"/>
      <c r="P2271" s="100"/>
      <c r="Q2271" s="100"/>
      <c r="R2271" s="100"/>
      <c r="S2271" s="100"/>
      <c r="T2271" s="100"/>
      <c r="U2271" s="100"/>
      <c r="V2271" s="100"/>
      <c r="W2271" s="100"/>
      <c r="X2271" s="100"/>
      <c r="Y2271" s="100"/>
      <c r="Z2271" s="100"/>
    </row>
    <row r="2272" spans="1:26">
      <c r="A2272" s="100"/>
      <c r="B2272" s="100"/>
      <c r="C2272" s="100"/>
      <c r="D2272" s="100"/>
      <c r="E2272" s="100"/>
      <c r="F2272" s="100"/>
      <c r="G2272" s="100"/>
      <c r="H2272" s="100"/>
      <c r="I2272" s="100"/>
      <c r="J2272" s="100"/>
      <c r="K2272" s="100"/>
      <c r="L2272" s="100"/>
      <c r="M2272" s="100"/>
      <c r="N2272" s="100"/>
      <c r="O2272" s="100"/>
      <c r="P2272" s="100"/>
      <c r="Q2272" s="100"/>
      <c r="R2272" s="100"/>
      <c r="S2272" s="100"/>
      <c r="T2272" s="100"/>
      <c r="U2272" s="100"/>
      <c r="V2272" s="100"/>
      <c r="W2272" s="100"/>
      <c r="X2272" s="100"/>
      <c r="Y2272" s="100"/>
      <c r="Z2272" s="100"/>
    </row>
    <row r="2273" spans="1:26">
      <c r="A2273" s="100"/>
      <c r="B2273" s="100"/>
      <c r="C2273" s="100"/>
      <c r="D2273" s="100"/>
      <c r="E2273" s="100"/>
      <c r="F2273" s="100"/>
      <c r="G2273" s="100"/>
      <c r="H2273" s="100"/>
      <c r="I2273" s="100"/>
      <c r="J2273" s="100"/>
      <c r="K2273" s="100"/>
      <c r="L2273" s="100"/>
      <c r="M2273" s="100"/>
      <c r="N2273" s="100"/>
      <c r="O2273" s="100"/>
      <c r="P2273" s="100"/>
      <c r="Q2273" s="100"/>
      <c r="R2273" s="100"/>
      <c r="S2273" s="100"/>
      <c r="T2273" s="100"/>
      <c r="U2273" s="100"/>
      <c r="V2273" s="100"/>
      <c r="W2273" s="100"/>
      <c r="X2273" s="100"/>
      <c r="Y2273" s="100"/>
      <c r="Z2273" s="100"/>
    </row>
    <row r="2274" spans="1:26">
      <c r="A2274" s="100"/>
      <c r="B2274" s="100"/>
      <c r="C2274" s="100"/>
      <c r="D2274" s="100"/>
      <c r="E2274" s="100"/>
      <c r="F2274" s="100"/>
      <c r="G2274" s="100"/>
      <c r="H2274" s="100"/>
      <c r="I2274" s="100"/>
      <c r="J2274" s="100"/>
      <c r="K2274" s="100"/>
      <c r="L2274" s="100"/>
      <c r="M2274" s="100"/>
      <c r="N2274" s="100"/>
      <c r="O2274" s="100"/>
      <c r="P2274" s="100"/>
      <c r="Q2274" s="100"/>
      <c r="R2274" s="100"/>
      <c r="S2274" s="100"/>
      <c r="T2274" s="100"/>
      <c r="U2274" s="100"/>
      <c r="V2274" s="100"/>
      <c r="W2274" s="100"/>
      <c r="X2274" s="100"/>
      <c r="Y2274" s="100"/>
      <c r="Z2274" s="100"/>
    </row>
    <row r="2275" spans="1:26">
      <c r="A2275" s="100"/>
      <c r="B2275" s="100"/>
      <c r="C2275" s="100"/>
      <c r="D2275" s="100"/>
      <c r="E2275" s="100"/>
      <c r="F2275" s="100"/>
      <c r="G2275" s="100"/>
      <c r="H2275" s="100"/>
      <c r="I2275" s="100"/>
      <c r="J2275" s="100"/>
      <c r="K2275" s="100"/>
      <c r="L2275" s="100"/>
      <c r="M2275" s="100"/>
      <c r="N2275" s="100"/>
      <c r="O2275" s="100"/>
      <c r="P2275" s="100"/>
      <c r="Q2275" s="100"/>
      <c r="R2275" s="100"/>
      <c r="S2275" s="100"/>
      <c r="T2275" s="100"/>
      <c r="U2275" s="100"/>
      <c r="V2275" s="100"/>
      <c r="W2275" s="100"/>
      <c r="X2275" s="100"/>
      <c r="Y2275" s="100"/>
      <c r="Z2275" s="100"/>
    </row>
    <row r="2276" spans="1:26">
      <c r="A2276" s="100"/>
      <c r="B2276" s="100"/>
      <c r="C2276" s="100"/>
      <c r="D2276" s="100"/>
      <c r="E2276" s="100"/>
      <c r="F2276" s="100"/>
      <c r="G2276" s="100"/>
      <c r="H2276" s="100"/>
      <c r="I2276" s="100"/>
      <c r="J2276" s="100"/>
      <c r="K2276" s="100"/>
      <c r="L2276" s="100"/>
      <c r="M2276" s="100"/>
      <c r="N2276" s="100"/>
      <c r="O2276" s="100"/>
      <c r="P2276" s="100"/>
      <c r="Q2276" s="100"/>
      <c r="R2276" s="100"/>
      <c r="S2276" s="100"/>
      <c r="T2276" s="100"/>
      <c r="U2276" s="100"/>
      <c r="V2276" s="100"/>
      <c r="W2276" s="100"/>
      <c r="X2276" s="100"/>
      <c r="Y2276" s="100"/>
      <c r="Z2276" s="100"/>
    </row>
    <row r="2277" spans="1:26">
      <c r="A2277" s="100"/>
      <c r="B2277" s="100"/>
      <c r="C2277" s="100"/>
      <c r="D2277" s="100"/>
      <c r="E2277" s="100"/>
      <c r="F2277" s="100"/>
      <c r="G2277" s="100"/>
      <c r="H2277" s="100"/>
      <c r="I2277" s="100"/>
      <c r="J2277" s="100"/>
      <c r="K2277" s="100"/>
      <c r="L2277" s="100"/>
      <c r="M2277" s="100"/>
      <c r="N2277" s="100"/>
      <c r="O2277" s="100"/>
      <c r="P2277" s="100"/>
      <c r="Q2277" s="100"/>
      <c r="R2277" s="100"/>
      <c r="S2277" s="100"/>
      <c r="T2277" s="100"/>
      <c r="U2277" s="100"/>
      <c r="V2277" s="100"/>
      <c r="W2277" s="100"/>
      <c r="X2277" s="100"/>
      <c r="Y2277" s="100"/>
      <c r="Z2277" s="100"/>
    </row>
    <row r="2278" spans="1:26">
      <c r="A2278" s="100"/>
      <c r="B2278" s="100"/>
      <c r="C2278" s="100"/>
      <c r="D2278" s="100"/>
      <c r="E2278" s="100"/>
      <c r="F2278" s="100"/>
      <c r="G2278" s="100"/>
      <c r="H2278" s="100"/>
      <c r="I2278" s="100"/>
      <c r="J2278" s="100"/>
      <c r="K2278" s="100"/>
      <c r="L2278" s="100"/>
      <c r="M2278" s="100"/>
      <c r="N2278" s="100"/>
      <c r="O2278" s="100"/>
      <c r="P2278" s="100"/>
      <c r="Q2278" s="100"/>
      <c r="R2278" s="100"/>
      <c r="S2278" s="100"/>
      <c r="T2278" s="100"/>
      <c r="U2278" s="100"/>
      <c r="V2278" s="100"/>
      <c r="W2278" s="100"/>
      <c r="X2278" s="100"/>
      <c r="Y2278" s="100"/>
      <c r="Z2278" s="100"/>
    </row>
    <row r="2279" spans="1:26">
      <c r="A2279" s="100"/>
      <c r="B2279" s="100"/>
      <c r="C2279" s="100"/>
      <c r="D2279" s="100"/>
      <c r="E2279" s="100"/>
      <c r="F2279" s="100"/>
      <c r="G2279" s="100"/>
      <c r="H2279" s="100"/>
      <c r="I2279" s="100"/>
      <c r="J2279" s="100"/>
      <c r="K2279" s="100"/>
      <c r="L2279" s="100"/>
      <c r="M2279" s="100"/>
      <c r="N2279" s="100"/>
      <c r="O2279" s="100"/>
      <c r="P2279" s="100"/>
      <c r="Q2279" s="100"/>
      <c r="R2279" s="100"/>
      <c r="S2279" s="100"/>
      <c r="T2279" s="100"/>
      <c r="U2279" s="100"/>
      <c r="V2279" s="100"/>
      <c r="W2279" s="100"/>
      <c r="X2279" s="100"/>
      <c r="Y2279" s="100"/>
      <c r="Z2279" s="100"/>
    </row>
    <row r="2280" spans="1:26">
      <c r="A2280" s="100"/>
      <c r="B2280" s="100"/>
      <c r="C2280" s="100"/>
      <c r="D2280" s="100"/>
      <c r="E2280" s="100"/>
      <c r="F2280" s="100"/>
      <c r="G2280" s="100"/>
      <c r="H2280" s="100"/>
      <c r="I2280" s="100"/>
      <c r="J2280" s="100"/>
      <c r="K2280" s="100"/>
      <c r="L2280" s="100"/>
      <c r="M2280" s="100"/>
      <c r="N2280" s="100"/>
      <c r="O2280" s="100"/>
      <c r="P2280" s="100"/>
      <c r="Q2280" s="100"/>
      <c r="R2280" s="100"/>
      <c r="S2280" s="100"/>
      <c r="T2280" s="100"/>
      <c r="U2280" s="100"/>
      <c r="V2280" s="100"/>
      <c r="W2280" s="100"/>
      <c r="X2280" s="100"/>
      <c r="Y2280" s="100"/>
      <c r="Z2280" s="100"/>
    </row>
    <row r="2281" spans="1:26">
      <c r="A2281" s="100"/>
      <c r="B2281" s="100"/>
      <c r="C2281" s="100"/>
      <c r="D2281" s="100"/>
      <c r="E2281" s="100"/>
      <c r="F2281" s="100"/>
      <c r="G2281" s="100"/>
      <c r="H2281" s="100"/>
      <c r="I2281" s="100"/>
      <c r="J2281" s="100"/>
      <c r="K2281" s="100"/>
      <c r="L2281" s="100"/>
      <c r="M2281" s="100"/>
      <c r="N2281" s="100"/>
      <c r="O2281" s="100"/>
      <c r="P2281" s="100"/>
      <c r="Q2281" s="100"/>
      <c r="R2281" s="100"/>
      <c r="S2281" s="100"/>
      <c r="T2281" s="100"/>
      <c r="U2281" s="100"/>
      <c r="V2281" s="100"/>
      <c r="W2281" s="100"/>
      <c r="X2281" s="100"/>
      <c r="Y2281" s="100"/>
      <c r="Z2281" s="100"/>
    </row>
    <row r="2282" spans="1:26">
      <c r="A2282" s="100"/>
      <c r="B2282" s="100"/>
      <c r="C2282" s="100"/>
      <c r="D2282" s="100"/>
      <c r="E2282" s="100"/>
      <c r="F2282" s="100"/>
      <c r="G2282" s="100"/>
      <c r="H2282" s="100"/>
      <c r="I2282" s="100"/>
      <c r="J2282" s="100"/>
      <c r="K2282" s="100"/>
      <c r="L2282" s="100"/>
      <c r="M2282" s="100"/>
      <c r="N2282" s="100"/>
      <c r="O2282" s="100"/>
      <c r="P2282" s="100"/>
      <c r="Q2282" s="100"/>
      <c r="R2282" s="100"/>
      <c r="S2282" s="100"/>
      <c r="T2282" s="100"/>
      <c r="U2282" s="100"/>
      <c r="V2282" s="100"/>
      <c r="W2282" s="100"/>
      <c r="X2282" s="100"/>
      <c r="Y2282" s="100"/>
      <c r="Z2282" s="100"/>
    </row>
    <row r="2283" spans="1:26">
      <c r="A2283" s="100"/>
      <c r="B2283" s="100"/>
      <c r="C2283" s="100"/>
      <c r="D2283" s="100"/>
      <c r="E2283" s="100"/>
      <c r="F2283" s="100"/>
      <c r="G2283" s="100"/>
      <c r="H2283" s="100"/>
      <c r="I2283" s="100"/>
      <c r="J2283" s="100"/>
      <c r="K2283" s="100"/>
      <c r="L2283" s="100"/>
      <c r="M2283" s="100"/>
      <c r="N2283" s="100"/>
      <c r="O2283" s="100"/>
      <c r="P2283" s="100"/>
      <c r="Q2283" s="100"/>
      <c r="R2283" s="100"/>
      <c r="S2283" s="100"/>
      <c r="T2283" s="100"/>
      <c r="U2283" s="100"/>
      <c r="V2283" s="100"/>
      <c r="W2283" s="100"/>
      <c r="X2283" s="100"/>
      <c r="Y2283" s="100"/>
      <c r="Z2283" s="100"/>
    </row>
    <row r="2284" spans="1:26">
      <c r="A2284" s="100"/>
      <c r="B2284" s="100"/>
      <c r="C2284" s="100"/>
      <c r="D2284" s="100"/>
      <c r="E2284" s="100"/>
      <c r="F2284" s="100"/>
      <c r="G2284" s="100"/>
      <c r="H2284" s="100"/>
      <c r="I2284" s="100"/>
      <c r="J2284" s="100"/>
      <c r="K2284" s="100"/>
      <c r="L2284" s="100"/>
      <c r="M2284" s="100"/>
      <c r="N2284" s="100"/>
      <c r="O2284" s="100"/>
      <c r="P2284" s="100"/>
      <c r="Q2284" s="100"/>
      <c r="R2284" s="100"/>
      <c r="S2284" s="100"/>
      <c r="T2284" s="100"/>
      <c r="U2284" s="100"/>
      <c r="V2284" s="100"/>
      <c r="W2284" s="100"/>
      <c r="X2284" s="100"/>
      <c r="Y2284" s="100"/>
      <c r="Z2284" s="100"/>
    </row>
    <row r="2285" spans="1:26">
      <c r="A2285" s="100"/>
      <c r="B2285" s="100"/>
      <c r="C2285" s="100"/>
      <c r="D2285" s="100"/>
      <c r="E2285" s="100"/>
      <c r="F2285" s="100"/>
      <c r="G2285" s="100"/>
      <c r="H2285" s="100"/>
      <c r="I2285" s="100"/>
      <c r="J2285" s="100"/>
      <c r="K2285" s="100"/>
      <c r="L2285" s="100"/>
      <c r="M2285" s="100"/>
      <c r="N2285" s="100"/>
      <c r="O2285" s="100"/>
      <c r="P2285" s="100"/>
      <c r="Q2285" s="100"/>
      <c r="R2285" s="100"/>
      <c r="S2285" s="100"/>
      <c r="T2285" s="100"/>
      <c r="U2285" s="100"/>
      <c r="V2285" s="100"/>
      <c r="W2285" s="100"/>
      <c r="X2285" s="100"/>
      <c r="Y2285" s="100"/>
      <c r="Z2285" s="100"/>
    </row>
    <row r="2286" spans="1:26">
      <c r="A2286" s="100"/>
      <c r="B2286" s="100"/>
      <c r="C2286" s="100"/>
      <c r="D2286" s="100"/>
      <c r="E2286" s="100"/>
      <c r="F2286" s="100"/>
      <c r="G2286" s="100"/>
      <c r="H2286" s="100"/>
      <c r="I2286" s="100"/>
      <c r="J2286" s="100"/>
      <c r="K2286" s="100"/>
      <c r="L2286" s="100"/>
      <c r="M2286" s="100"/>
      <c r="N2286" s="100"/>
      <c r="O2286" s="100"/>
      <c r="P2286" s="100"/>
      <c r="Q2286" s="100"/>
      <c r="R2286" s="100"/>
      <c r="S2286" s="100"/>
      <c r="T2286" s="100"/>
      <c r="U2286" s="100"/>
      <c r="V2286" s="100"/>
      <c r="W2286" s="100"/>
      <c r="X2286" s="100"/>
      <c r="Y2286" s="100"/>
      <c r="Z2286" s="100"/>
    </row>
    <row r="2287" spans="1:26">
      <c r="A2287" s="100"/>
      <c r="B2287" s="100"/>
      <c r="C2287" s="100"/>
      <c r="D2287" s="100"/>
      <c r="E2287" s="100"/>
      <c r="F2287" s="100"/>
      <c r="G2287" s="100"/>
      <c r="H2287" s="100"/>
      <c r="I2287" s="100"/>
      <c r="J2287" s="100"/>
      <c r="K2287" s="100"/>
      <c r="L2287" s="100"/>
      <c r="M2287" s="100"/>
      <c r="N2287" s="100"/>
      <c r="O2287" s="100"/>
      <c r="P2287" s="100"/>
      <c r="Q2287" s="100"/>
      <c r="R2287" s="100"/>
      <c r="S2287" s="100"/>
      <c r="T2287" s="100"/>
      <c r="U2287" s="100"/>
      <c r="V2287" s="100"/>
      <c r="W2287" s="100"/>
      <c r="X2287" s="100"/>
      <c r="Y2287" s="100"/>
      <c r="Z2287" s="100"/>
    </row>
    <row r="2288" spans="1:26">
      <c r="A2288" s="100"/>
      <c r="B2288" s="100"/>
      <c r="C2288" s="100"/>
      <c r="D2288" s="100"/>
      <c r="E2288" s="100"/>
      <c r="F2288" s="100"/>
      <c r="G2288" s="100"/>
      <c r="H2288" s="100"/>
      <c r="I2288" s="100"/>
      <c r="J2288" s="100"/>
      <c r="K2288" s="100"/>
      <c r="L2288" s="100"/>
      <c r="M2288" s="100"/>
      <c r="N2288" s="100"/>
      <c r="O2288" s="100"/>
      <c r="P2288" s="100"/>
      <c r="Q2288" s="100"/>
      <c r="R2288" s="100"/>
      <c r="S2288" s="100"/>
      <c r="T2288" s="100"/>
      <c r="U2288" s="100"/>
      <c r="V2288" s="100"/>
      <c r="W2288" s="100"/>
      <c r="X2288" s="100"/>
      <c r="Y2288" s="100"/>
      <c r="Z2288" s="100"/>
    </row>
    <row r="2289" spans="1:26">
      <c r="A2289" s="100"/>
      <c r="B2289" s="100"/>
      <c r="C2289" s="100"/>
      <c r="D2289" s="100"/>
      <c r="E2289" s="100"/>
      <c r="F2289" s="100"/>
      <c r="G2289" s="100"/>
      <c r="H2289" s="100"/>
      <c r="I2289" s="100"/>
      <c r="J2289" s="100"/>
      <c r="K2289" s="100"/>
      <c r="L2289" s="100"/>
      <c r="M2289" s="100"/>
      <c r="N2289" s="100"/>
      <c r="O2289" s="100"/>
      <c r="P2289" s="100"/>
      <c r="Q2289" s="100"/>
      <c r="R2289" s="100"/>
      <c r="S2289" s="100"/>
      <c r="T2289" s="100"/>
      <c r="U2289" s="100"/>
      <c r="V2289" s="100"/>
      <c r="W2289" s="100"/>
      <c r="X2289" s="100"/>
      <c r="Y2289" s="100"/>
      <c r="Z2289" s="100"/>
    </row>
    <row r="2290" spans="1:26">
      <c r="A2290" s="100"/>
      <c r="B2290" s="100"/>
      <c r="C2290" s="100"/>
      <c r="D2290" s="100"/>
      <c r="E2290" s="100"/>
      <c r="F2290" s="100"/>
      <c r="G2290" s="100"/>
      <c r="H2290" s="100"/>
      <c r="I2290" s="100"/>
      <c r="J2290" s="100"/>
      <c r="K2290" s="100"/>
      <c r="L2290" s="100"/>
      <c r="M2290" s="100"/>
      <c r="N2290" s="100"/>
      <c r="O2290" s="100"/>
      <c r="P2290" s="100"/>
      <c r="Q2290" s="100"/>
      <c r="R2290" s="100"/>
      <c r="S2290" s="100"/>
      <c r="T2290" s="100"/>
      <c r="U2290" s="100"/>
      <c r="V2290" s="100"/>
      <c r="W2290" s="100"/>
      <c r="X2290" s="100"/>
      <c r="Y2290" s="100"/>
      <c r="Z2290" s="100"/>
    </row>
    <row r="2291" spans="1:26">
      <c r="A2291" s="100"/>
      <c r="B2291" s="100"/>
      <c r="C2291" s="100"/>
      <c r="D2291" s="100"/>
      <c r="E2291" s="100"/>
      <c r="F2291" s="100"/>
      <c r="G2291" s="100"/>
      <c r="H2291" s="100"/>
      <c r="I2291" s="100"/>
      <c r="J2291" s="100"/>
      <c r="K2291" s="100"/>
      <c r="L2291" s="100"/>
      <c r="M2291" s="100"/>
      <c r="N2291" s="100"/>
      <c r="O2291" s="100"/>
      <c r="P2291" s="100"/>
      <c r="Q2291" s="100"/>
      <c r="R2291" s="100"/>
      <c r="S2291" s="100"/>
      <c r="T2291" s="100"/>
      <c r="U2291" s="100"/>
      <c r="V2291" s="100"/>
      <c r="W2291" s="100"/>
      <c r="X2291" s="100"/>
      <c r="Y2291" s="100"/>
      <c r="Z2291" s="100"/>
    </row>
    <row r="2292" spans="1:26">
      <c r="A2292" s="100"/>
      <c r="B2292" s="100"/>
      <c r="C2292" s="100"/>
      <c r="D2292" s="100"/>
      <c r="E2292" s="100"/>
      <c r="F2292" s="100"/>
      <c r="G2292" s="100"/>
      <c r="H2292" s="100"/>
      <c r="I2292" s="100"/>
      <c r="J2292" s="100"/>
      <c r="K2292" s="100"/>
      <c r="L2292" s="100"/>
      <c r="M2292" s="100"/>
      <c r="N2292" s="100"/>
      <c r="O2292" s="100"/>
      <c r="P2292" s="100"/>
      <c r="Q2292" s="100"/>
      <c r="R2292" s="100"/>
      <c r="S2292" s="100"/>
      <c r="T2292" s="100"/>
      <c r="U2292" s="100"/>
      <c r="V2292" s="100"/>
      <c r="W2292" s="100"/>
      <c r="X2292" s="100"/>
      <c r="Y2292" s="100"/>
      <c r="Z2292" s="100"/>
    </row>
    <row r="2293" spans="1:26">
      <c r="A2293" s="100"/>
      <c r="B2293" s="100"/>
      <c r="C2293" s="100"/>
      <c r="D2293" s="100"/>
      <c r="E2293" s="100"/>
      <c r="F2293" s="100"/>
      <c r="G2293" s="100"/>
      <c r="H2293" s="100"/>
      <c r="I2293" s="100"/>
      <c r="J2293" s="100"/>
      <c r="K2293" s="100"/>
      <c r="L2293" s="100"/>
      <c r="M2293" s="100"/>
      <c r="N2293" s="100"/>
      <c r="O2293" s="100"/>
      <c r="P2293" s="100"/>
      <c r="Q2293" s="100"/>
      <c r="R2293" s="100"/>
      <c r="S2293" s="100"/>
      <c r="T2293" s="100"/>
      <c r="U2293" s="100"/>
      <c r="V2293" s="100"/>
      <c r="W2293" s="100"/>
      <c r="X2293" s="100"/>
      <c r="Y2293" s="100"/>
      <c r="Z2293" s="100"/>
    </row>
    <row r="2294" spans="1:26">
      <c r="A2294" s="100"/>
      <c r="B2294" s="100"/>
      <c r="C2294" s="100"/>
      <c r="D2294" s="100"/>
      <c r="E2294" s="100"/>
      <c r="F2294" s="100"/>
      <c r="G2294" s="100"/>
      <c r="H2294" s="100"/>
      <c r="I2294" s="100"/>
      <c r="J2294" s="100"/>
      <c r="K2294" s="100"/>
      <c r="L2294" s="100"/>
      <c r="M2294" s="100"/>
      <c r="N2294" s="100"/>
      <c r="O2294" s="100"/>
      <c r="P2294" s="100"/>
      <c r="Q2294" s="100"/>
      <c r="R2294" s="100"/>
      <c r="S2294" s="100"/>
      <c r="T2294" s="100"/>
      <c r="U2294" s="100"/>
      <c r="V2294" s="100"/>
      <c r="W2294" s="100"/>
      <c r="X2294" s="100"/>
      <c r="Y2294" s="100"/>
      <c r="Z2294" s="100"/>
    </row>
    <row r="2295" spans="1:26">
      <c r="A2295" s="100"/>
      <c r="B2295" s="100"/>
      <c r="C2295" s="100"/>
      <c r="D2295" s="100"/>
      <c r="E2295" s="100"/>
      <c r="F2295" s="100"/>
      <c r="G2295" s="100"/>
      <c r="H2295" s="100"/>
      <c r="I2295" s="100"/>
      <c r="J2295" s="100"/>
      <c r="K2295" s="100"/>
      <c r="L2295" s="100"/>
      <c r="M2295" s="100"/>
      <c r="N2295" s="100"/>
      <c r="O2295" s="100"/>
      <c r="P2295" s="100"/>
      <c r="Q2295" s="100"/>
      <c r="R2295" s="100"/>
      <c r="S2295" s="100"/>
      <c r="T2295" s="100"/>
      <c r="U2295" s="100"/>
      <c r="V2295" s="100"/>
      <c r="W2295" s="100"/>
      <c r="X2295" s="100"/>
      <c r="Y2295" s="100"/>
      <c r="Z2295" s="100"/>
    </row>
    <row r="2296" spans="1:26">
      <c r="A2296" s="100"/>
      <c r="B2296" s="100"/>
      <c r="C2296" s="100"/>
      <c r="D2296" s="100"/>
      <c r="E2296" s="100"/>
      <c r="F2296" s="100"/>
      <c r="G2296" s="100"/>
      <c r="H2296" s="100"/>
      <c r="I2296" s="100"/>
      <c r="J2296" s="100"/>
      <c r="K2296" s="100"/>
      <c r="L2296" s="100"/>
      <c r="M2296" s="100"/>
      <c r="N2296" s="100"/>
      <c r="O2296" s="100"/>
      <c r="P2296" s="100"/>
      <c r="Q2296" s="100"/>
      <c r="R2296" s="100"/>
      <c r="S2296" s="100"/>
      <c r="T2296" s="100"/>
      <c r="U2296" s="100"/>
      <c r="V2296" s="100"/>
      <c r="W2296" s="100"/>
      <c r="X2296" s="100"/>
      <c r="Y2296" s="100"/>
      <c r="Z2296" s="100"/>
    </row>
    <row r="2297" spans="1:26">
      <c r="A2297" s="100"/>
      <c r="B2297" s="100"/>
      <c r="C2297" s="100"/>
      <c r="D2297" s="100"/>
      <c r="E2297" s="100"/>
      <c r="F2297" s="100"/>
      <c r="G2297" s="100"/>
      <c r="H2297" s="100"/>
      <c r="I2297" s="100"/>
      <c r="J2297" s="100"/>
      <c r="K2297" s="100"/>
      <c r="L2297" s="100"/>
      <c r="M2297" s="100"/>
      <c r="N2297" s="100"/>
      <c r="O2297" s="100"/>
      <c r="P2297" s="100"/>
      <c r="Q2297" s="100"/>
      <c r="R2297" s="100"/>
      <c r="S2297" s="100"/>
      <c r="T2297" s="100"/>
      <c r="U2297" s="100"/>
      <c r="V2297" s="100"/>
      <c r="W2297" s="100"/>
      <c r="X2297" s="100"/>
      <c r="Y2297" s="100"/>
      <c r="Z2297" s="100"/>
    </row>
    <row r="2298" spans="1:26">
      <c r="A2298" s="100"/>
      <c r="B2298" s="100"/>
      <c r="C2298" s="100"/>
      <c r="D2298" s="100"/>
      <c r="E2298" s="100"/>
      <c r="F2298" s="100"/>
      <c r="G2298" s="100"/>
      <c r="H2298" s="100"/>
      <c r="I2298" s="100"/>
      <c r="J2298" s="100"/>
      <c r="K2298" s="100"/>
      <c r="L2298" s="100"/>
      <c r="M2298" s="100"/>
      <c r="N2298" s="100"/>
      <c r="O2298" s="100"/>
      <c r="P2298" s="100"/>
      <c r="Q2298" s="100"/>
      <c r="R2298" s="100"/>
      <c r="S2298" s="100"/>
      <c r="T2298" s="100"/>
      <c r="U2298" s="100"/>
      <c r="V2298" s="100"/>
      <c r="W2298" s="100"/>
      <c r="X2298" s="100"/>
      <c r="Y2298" s="100"/>
      <c r="Z2298" s="100"/>
    </row>
    <row r="2299" spans="1:26">
      <c r="A2299" s="100"/>
      <c r="B2299" s="100"/>
      <c r="C2299" s="100"/>
      <c r="D2299" s="100"/>
      <c r="E2299" s="100"/>
      <c r="F2299" s="100"/>
      <c r="G2299" s="100"/>
      <c r="H2299" s="100"/>
      <c r="I2299" s="100"/>
      <c r="J2299" s="100"/>
      <c r="K2299" s="100"/>
      <c r="L2299" s="100"/>
      <c r="M2299" s="100"/>
      <c r="N2299" s="100"/>
      <c r="O2299" s="100"/>
      <c r="P2299" s="100"/>
      <c r="Q2299" s="100"/>
      <c r="R2299" s="100"/>
      <c r="S2299" s="100"/>
      <c r="T2299" s="100"/>
      <c r="U2299" s="100"/>
      <c r="V2299" s="100"/>
      <c r="W2299" s="100"/>
      <c r="X2299" s="100"/>
      <c r="Y2299" s="100"/>
      <c r="Z2299" s="100"/>
    </row>
    <row r="2300" spans="1:26">
      <c r="A2300" s="100"/>
      <c r="B2300" s="100"/>
      <c r="C2300" s="100"/>
      <c r="D2300" s="100"/>
      <c r="E2300" s="100"/>
      <c r="F2300" s="100"/>
      <c r="G2300" s="100"/>
      <c r="H2300" s="100"/>
      <c r="I2300" s="100"/>
      <c r="J2300" s="100"/>
      <c r="K2300" s="100"/>
      <c r="L2300" s="100"/>
      <c r="M2300" s="100"/>
      <c r="N2300" s="100"/>
      <c r="O2300" s="100"/>
      <c r="P2300" s="100"/>
      <c r="Q2300" s="100"/>
      <c r="R2300" s="100"/>
      <c r="S2300" s="100"/>
      <c r="T2300" s="100"/>
      <c r="U2300" s="100"/>
      <c r="V2300" s="100"/>
      <c r="W2300" s="100"/>
      <c r="X2300" s="100"/>
      <c r="Y2300" s="100"/>
      <c r="Z2300" s="100"/>
    </row>
    <row r="2301" spans="1:26">
      <c r="A2301" s="100"/>
      <c r="B2301" s="100"/>
      <c r="C2301" s="100"/>
      <c r="D2301" s="100"/>
      <c r="E2301" s="100"/>
      <c r="F2301" s="100"/>
      <c r="G2301" s="100"/>
      <c r="H2301" s="100"/>
      <c r="I2301" s="100"/>
      <c r="J2301" s="100"/>
      <c r="K2301" s="100"/>
      <c r="L2301" s="100"/>
      <c r="M2301" s="100"/>
      <c r="N2301" s="100"/>
      <c r="O2301" s="100"/>
      <c r="P2301" s="100"/>
      <c r="Q2301" s="100"/>
      <c r="R2301" s="100"/>
      <c r="S2301" s="100"/>
      <c r="T2301" s="100"/>
      <c r="U2301" s="100"/>
      <c r="V2301" s="100"/>
      <c r="W2301" s="100"/>
      <c r="X2301" s="100"/>
      <c r="Y2301" s="100"/>
      <c r="Z2301" s="100"/>
    </row>
    <row r="2302" spans="1:26">
      <c r="A2302" s="100"/>
      <c r="B2302" s="100"/>
      <c r="C2302" s="100"/>
      <c r="D2302" s="100"/>
      <c r="E2302" s="100"/>
      <c r="F2302" s="100"/>
      <c r="G2302" s="100"/>
      <c r="H2302" s="100"/>
      <c r="I2302" s="100"/>
      <c r="J2302" s="100"/>
      <c r="K2302" s="100"/>
      <c r="L2302" s="100"/>
      <c r="M2302" s="100"/>
      <c r="N2302" s="100"/>
      <c r="O2302" s="100"/>
      <c r="P2302" s="100"/>
      <c r="Q2302" s="100"/>
      <c r="R2302" s="100"/>
      <c r="S2302" s="100"/>
      <c r="T2302" s="100"/>
      <c r="U2302" s="100"/>
      <c r="V2302" s="100"/>
      <c r="W2302" s="100"/>
      <c r="X2302" s="100"/>
      <c r="Y2302" s="100"/>
      <c r="Z2302" s="100"/>
    </row>
    <row r="2303" spans="1:26">
      <c r="A2303" s="100"/>
      <c r="B2303" s="100"/>
      <c r="C2303" s="100"/>
      <c r="D2303" s="100"/>
      <c r="E2303" s="100"/>
      <c r="F2303" s="100"/>
      <c r="G2303" s="100"/>
      <c r="H2303" s="100"/>
      <c r="I2303" s="100"/>
      <c r="J2303" s="100"/>
      <c r="K2303" s="100"/>
      <c r="L2303" s="100"/>
      <c r="M2303" s="100"/>
      <c r="N2303" s="100"/>
      <c r="O2303" s="100"/>
      <c r="P2303" s="100"/>
      <c r="Q2303" s="100"/>
      <c r="R2303" s="100"/>
      <c r="S2303" s="100"/>
      <c r="T2303" s="100"/>
      <c r="U2303" s="100"/>
      <c r="V2303" s="100"/>
      <c r="W2303" s="100"/>
      <c r="X2303" s="100"/>
      <c r="Y2303" s="100"/>
      <c r="Z2303" s="100"/>
    </row>
    <row r="2304" spans="1:26">
      <c r="A2304" s="100"/>
      <c r="B2304" s="100"/>
      <c r="C2304" s="100"/>
      <c r="D2304" s="100"/>
      <c r="E2304" s="100"/>
      <c r="F2304" s="100"/>
      <c r="G2304" s="100"/>
      <c r="H2304" s="100"/>
      <c r="I2304" s="100"/>
      <c r="J2304" s="100"/>
      <c r="K2304" s="100"/>
      <c r="L2304" s="100"/>
      <c r="M2304" s="100"/>
      <c r="N2304" s="100"/>
      <c r="O2304" s="100"/>
      <c r="P2304" s="100"/>
      <c r="Q2304" s="100"/>
      <c r="R2304" s="100"/>
      <c r="S2304" s="100"/>
      <c r="T2304" s="100"/>
      <c r="U2304" s="100"/>
      <c r="V2304" s="100"/>
      <c r="W2304" s="100"/>
      <c r="X2304" s="100"/>
      <c r="Y2304" s="100"/>
      <c r="Z2304" s="100"/>
    </row>
    <row r="2305" spans="1:26">
      <c r="A2305" s="100"/>
      <c r="B2305" s="100"/>
      <c r="C2305" s="100"/>
      <c r="D2305" s="100"/>
      <c r="E2305" s="100"/>
      <c r="F2305" s="100"/>
      <c r="G2305" s="100"/>
      <c r="H2305" s="100"/>
      <c r="I2305" s="100"/>
      <c r="J2305" s="100"/>
      <c r="K2305" s="100"/>
      <c r="L2305" s="100"/>
      <c r="M2305" s="100"/>
      <c r="N2305" s="100"/>
      <c r="O2305" s="100"/>
      <c r="P2305" s="100"/>
      <c r="Q2305" s="100"/>
      <c r="R2305" s="100"/>
      <c r="S2305" s="100"/>
      <c r="T2305" s="100"/>
      <c r="U2305" s="100"/>
      <c r="V2305" s="100"/>
      <c r="W2305" s="100"/>
      <c r="X2305" s="100"/>
      <c r="Y2305" s="100"/>
      <c r="Z2305" s="100"/>
    </row>
    <row r="2306" spans="1:26">
      <c r="A2306" s="100"/>
      <c r="B2306" s="100"/>
      <c r="C2306" s="100"/>
      <c r="D2306" s="100"/>
      <c r="E2306" s="100"/>
      <c r="F2306" s="100"/>
      <c r="G2306" s="100"/>
      <c r="H2306" s="100"/>
      <c r="I2306" s="100"/>
      <c r="J2306" s="100"/>
      <c r="K2306" s="100"/>
      <c r="L2306" s="100"/>
      <c r="M2306" s="100"/>
      <c r="N2306" s="100"/>
      <c r="O2306" s="100"/>
      <c r="P2306" s="100"/>
      <c r="Q2306" s="100"/>
      <c r="R2306" s="100"/>
      <c r="S2306" s="100"/>
      <c r="T2306" s="100"/>
      <c r="U2306" s="100"/>
      <c r="V2306" s="100"/>
      <c r="W2306" s="100"/>
      <c r="X2306" s="100"/>
      <c r="Y2306" s="100"/>
      <c r="Z2306" s="100"/>
    </row>
    <row r="2307" spans="1:26">
      <c r="A2307" s="100"/>
      <c r="B2307" s="100"/>
      <c r="C2307" s="100"/>
      <c r="D2307" s="100"/>
      <c r="E2307" s="100"/>
      <c r="F2307" s="100"/>
      <c r="G2307" s="100"/>
      <c r="H2307" s="100"/>
      <c r="I2307" s="100"/>
      <c r="J2307" s="100"/>
      <c r="K2307" s="100"/>
      <c r="L2307" s="100"/>
      <c r="M2307" s="100"/>
      <c r="N2307" s="100"/>
      <c r="O2307" s="100"/>
      <c r="P2307" s="100"/>
      <c r="Q2307" s="100"/>
      <c r="R2307" s="100"/>
      <c r="S2307" s="100"/>
      <c r="T2307" s="100"/>
      <c r="U2307" s="100"/>
      <c r="V2307" s="100"/>
      <c r="W2307" s="100"/>
      <c r="X2307" s="100"/>
      <c r="Y2307" s="100"/>
      <c r="Z2307" s="100"/>
    </row>
    <row r="2308" spans="1:26">
      <c r="A2308" s="100"/>
      <c r="B2308" s="100"/>
      <c r="C2308" s="100"/>
      <c r="D2308" s="100"/>
      <c r="E2308" s="100"/>
      <c r="F2308" s="100"/>
      <c r="G2308" s="100"/>
      <c r="H2308" s="100"/>
      <c r="I2308" s="100"/>
      <c r="J2308" s="100"/>
      <c r="K2308" s="100"/>
      <c r="L2308" s="100"/>
      <c r="M2308" s="100"/>
      <c r="N2308" s="100"/>
      <c r="O2308" s="100"/>
      <c r="P2308" s="100"/>
      <c r="Q2308" s="100"/>
      <c r="R2308" s="100"/>
      <c r="S2308" s="100"/>
      <c r="T2308" s="100"/>
      <c r="U2308" s="100"/>
      <c r="V2308" s="100"/>
      <c r="W2308" s="100"/>
      <c r="X2308" s="100"/>
      <c r="Y2308" s="100"/>
      <c r="Z2308" s="100"/>
    </row>
    <row r="2309" spans="1:26">
      <c r="A2309" s="100"/>
      <c r="B2309" s="100"/>
      <c r="C2309" s="100"/>
      <c r="D2309" s="100"/>
      <c r="E2309" s="100"/>
      <c r="F2309" s="100"/>
      <c r="G2309" s="100"/>
      <c r="H2309" s="100"/>
      <c r="I2309" s="100"/>
      <c r="J2309" s="100"/>
      <c r="K2309" s="100"/>
      <c r="L2309" s="100"/>
      <c r="M2309" s="100"/>
      <c r="N2309" s="100"/>
      <c r="O2309" s="100"/>
      <c r="P2309" s="100"/>
      <c r="Q2309" s="100"/>
      <c r="R2309" s="100"/>
      <c r="S2309" s="100"/>
      <c r="T2309" s="100"/>
      <c r="U2309" s="100"/>
      <c r="V2309" s="100"/>
      <c r="W2309" s="100"/>
      <c r="X2309" s="100"/>
      <c r="Y2309" s="100"/>
      <c r="Z2309" s="100"/>
    </row>
    <row r="2310" spans="1:26">
      <c r="A2310" s="100"/>
      <c r="B2310" s="100"/>
      <c r="C2310" s="100"/>
      <c r="D2310" s="100"/>
      <c r="E2310" s="100"/>
      <c r="F2310" s="100"/>
      <c r="G2310" s="100"/>
      <c r="H2310" s="100"/>
      <c r="I2310" s="100"/>
      <c r="J2310" s="100"/>
      <c r="K2310" s="100"/>
      <c r="L2310" s="100"/>
      <c r="M2310" s="100"/>
      <c r="N2310" s="100"/>
      <c r="O2310" s="100"/>
      <c r="P2310" s="100"/>
      <c r="Q2310" s="100"/>
      <c r="R2310" s="100"/>
      <c r="S2310" s="100"/>
      <c r="T2310" s="100"/>
      <c r="U2310" s="100"/>
      <c r="V2310" s="100"/>
      <c r="W2310" s="100"/>
      <c r="X2310" s="100"/>
      <c r="Y2310" s="100"/>
      <c r="Z2310" s="100"/>
    </row>
    <row r="2311" spans="1:26">
      <c r="A2311" s="100"/>
      <c r="B2311" s="100"/>
      <c r="C2311" s="100"/>
      <c r="D2311" s="100"/>
      <c r="E2311" s="100"/>
      <c r="F2311" s="100"/>
      <c r="G2311" s="100"/>
      <c r="H2311" s="100"/>
      <c r="I2311" s="100"/>
      <c r="J2311" s="100"/>
      <c r="K2311" s="100"/>
      <c r="L2311" s="100"/>
      <c r="M2311" s="100"/>
      <c r="N2311" s="100"/>
      <c r="O2311" s="100"/>
      <c r="P2311" s="100"/>
      <c r="Q2311" s="100"/>
      <c r="R2311" s="100"/>
      <c r="S2311" s="100"/>
      <c r="T2311" s="100"/>
      <c r="U2311" s="100"/>
      <c r="V2311" s="100"/>
      <c r="W2311" s="100"/>
      <c r="X2311" s="100"/>
      <c r="Y2311" s="100"/>
      <c r="Z2311" s="100"/>
    </row>
    <row r="2312" spans="1:26">
      <c r="A2312" s="100"/>
      <c r="B2312" s="100"/>
      <c r="C2312" s="100"/>
      <c r="D2312" s="100"/>
      <c r="E2312" s="100"/>
      <c r="F2312" s="100"/>
      <c r="G2312" s="100"/>
      <c r="H2312" s="100"/>
      <c r="I2312" s="100"/>
      <c r="J2312" s="100"/>
      <c r="K2312" s="100"/>
      <c r="L2312" s="100"/>
      <c r="M2312" s="100"/>
      <c r="N2312" s="100"/>
      <c r="O2312" s="100"/>
      <c r="P2312" s="100"/>
      <c r="Q2312" s="100"/>
      <c r="R2312" s="100"/>
      <c r="S2312" s="100"/>
      <c r="T2312" s="100"/>
      <c r="U2312" s="100"/>
      <c r="V2312" s="100"/>
      <c r="W2312" s="100"/>
      <c r="X2312" s="100"/>
      <c r="Y2312" s="100"/>
      <c r="Z2312" s="100"/>
    </row>
    <row r="2313" spans="1:26">
      <c r="A2313" s="100"/>
      <c r="B2313" s="100"/>
      <c r="C2313" s="100"/>
      <c r="D2313" s="100"/>
      <c r="E2313" s="100"/>
      <c r="F2313" s="100"/>
      <c r="G2313" s="100"/>
      <c r="H2313" s="100"/>
      <c r="I2313" s="100"/>
      <c r="J2313" s="100"/>
      <c r="K2313" s="100"/>
      <c r="L2313" s="100"/>
      <c r="M2313" s="100"/>
      <c r="N2313" s="100"/>
      <c r="O2313" s="100"/>
      <c r="P2313" s="100"/>
      <c r="Q2313" s="100"/>
      <c r="R2313" s="100"/>
      <c r="S2313" s="100"/>
      <c r="T2313" s="100"/>
      <c r="U2313" s="100"/>
      <c r="V2313" s="100"/>
      <c r="W2313" s="100"/>
      <c r="X2313" s="100"/>
      <c r="Y2313" s="100"/>
      <c r="Z2313" s="100"/>
    </row>
    <row r="2314" spans="1:26">
      <c r="A2314" s="100"/>
      <c r="B2314" s="100"/>
      <c r="C2314" s="100"/>
      <c r="D2314" s="100"/>
      <c r="E2314" s="100"/>
      <c r="F2314" s="100"/>
      <c r="G2314" s="100"/>
      <c r="H2314" s="100"/>
      <c r="I2314" s="100"/>
      <c r="J2314" s="100"/>
      <c r="K2314" s="100"/>
      <c r="L2314" s="100"/>
      <c r="M2314" s="100"/>
      <c r="N2314" s="100"/>
      <c r="O2314" s="100"/>
      <c r="P2314" s="100"/>
      <c r="Q2314" s="100"/>
      <c r="R2314" s="100"/>
      <c r="S2314" s="100"/>
      <c r="T2314" s="100"/>
      <c r="U2314" s="100"/>
      <c r="V2314" s="100"/>
      <c r="W2314" s="100"/>
      <c r="X2314" s="100"/>
      <c r="Y2314" s="100"/>
      <c r="Z2314" s="100"/>
    </row>
    <row r="2315" spans="1:26">
      <c r="A2315" s="100"/>
      <c r="B2315" s="100"/>
      <c r="C2315" s="100"/>
      <c r="D2315" s="100"/>
      <c r="E2315" s="100"/>
      <c r="F2315" s="100"/>
      <c r="G2315" s="100"/>
      <c r="H2315" s="100"/>
      <c r="I2315" s="100"/>
      <c r="J2315" s="100"/>
      <c r="K2315" s="100"/>
      <c r="L2315" s="100"/>
      <c r="M2315" s="100"/>
      <c r="N2315" s="100"/>
      <c r="O2315" s="100"/>
      <c r="P2315" s="100"/>
      <c r="Q2315" s="100"/>
      <c r="R2315" s="100"/>
      <c r="S2315" s="100"/>
      <c r="T2315" s="100"/>
      <c r="U2315" s="100"/>
      <c r="V2315" s="100"/>
      <c r="W2315" s="100"/>
      <c r="X2315" s="100"/>
      <c r="Y2315" s="100"/>
      <c r="Z2315" s="100"/>
    </row>
    <row r="2316" spans="1:26">
      <c r="A2316" s="100"/>
      <c r="B2316" s="100"/>
      <c r="C2316" s="100"/>
      <c r="D2316" s="100"/>
      <c r="E2316" s="100"/>
      <c r="F2316" s="100"/>
      <c r="G2316" s="100"/>
      <c r="H2316" s="100"/>
      <c r="I2316" s="100"/>
      <c r="J2316" s="100"/>
      <c r="K2316" s="100"/>
      <c r="L2316" s="100"/>
      <c r="M2316" s="100"/>
      <c r="N2316" s="100"/>
      <c r="O2316" s="100"/>
      <c r="P2316" s="100"/>
      <c r="Q2316" s="100"/>
      <c r="R2316" s="100"/>
      <c r="S2316" s="100"/>
      <c r="T2316" s="100"/>
      <c r="U2316" s="100"/>
      <c r="V2316" s="100"/>
      <c r="W2316" s="100"/>
      <c r="X2316" s="100"/>
      <c r="Y2316" s="100"/>
      <c r="Z2316" s="100"/>
    </row>
    <row r="2317" spans="1:26">
      <c r="A2317" s="100"/>
      <c r="B2317" s="100"/>
      <c r="C2317" s="100"/>
      <c r="D2317" s="100"/>
      <c r="E2317" s="100"/>
      <c r="F2317" s="100"/>
      <c r="G2317" s="100"/>
      <c r="H2317" s="100"/>
      <c r="I2317" s="100"/>
      <c r="J2317" s="100"/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</row>
    <row r="2318" spans="1:26">
      <c r="A2318" s="100"/>
      <c r="B2318" s="100"/>
      <c r="C2318" s="100"/>
      <c r="D2318" s="100"/>
      <c r="E2318" s="100"/>
      <c r="F2318" s="100"/>
      <c r="G2318" s="100"/>
      <c r="H2318" s="100"/>
      <c r="I2318" s="100"/>
      <c r="J2318" s="100"/>
      <c r="K2318" s="100"/>
      <c r="L2318" s="100"/>
      <c r="M2318" s="100"/>
      <c r="N2318" s="100"/>
      <c r="O2318" s="100"/>
      <c r="P2318" s="100"/>
      <c r="Q2318" s="100"/>
      <c r="R2318" s="100"/>
      <c r="S2318" s="100"/>
      <c r="T2318" s="100"/>
      <c r="U2318" s="100"/>
      <c r="V2318" s="100"/>
      <c r="W2318" s="100"/>
      <c r="X2318" s="100"/>
      <c r="Y2318" s="100"/>
      <c r="Z2318" s="100"/>
    </row>
    <row r="2319" spans="1:26">
      <c r="A2319" s="100"/>
      <c r="B2319" s="100"/>
      <c r="C2319" s="100"/>
      <c r="D2319" s="100"/>
      <c r="E2319" s="100"/>
      <c r="F2319" s="100"/>
      <c r="G2319" s="100"/>
      <c r="H2319" s="100"/>
      <c r="I2319" s="100"/>
      <c r="J2319" s="100"/>
      <c r="K2319" s="100"/>
      <c r="L2319" s="100"/>
      <c r="M2319" s="100"/>
      <c r="N2319" s="100"/>
      <c r="O2319" s="100"/>
      <c r="P2319" s="100"/>
      <c r="Q2319" s="100"/>
      <c r="R2319" s="100"/>
      <c r="S2319" s="100"/>
      <c r="T2319" s="100"/>
      <c r="U2319" s="100"/>
      <c r="V2319" s="100"/>
      <c r="W2319" s="100"/>
      <c r="X2319" s="100"/>
      <c r="Y2319" s="100"/>
      <c r="Z2319" s="100"/>
    </row>
    <row r="2320" spans="1:26">
      <c r="A2320" s="100"/>
      <c r="B2320" s="100"/>
      <c r="C2320" s="100"/>
      <c r="D2320" s="100"/>
      <c r="E2320" s="100"/>
      <c r="F2320" s="100"/>
      <c r="G2320" s="100"/>
      <c r="H2320" s="100"/>
      <c r="I2320" s="100"/>
      <c r="J2320" s="100"/>
      <c r="K2320" s="100"/>
      <c r="L2320" s="100"/>
      <c r="M2320" s="100"/>
      <c r="N2320" s="100"/>
      <c r="O2320" s="100"/>
      <c r="P2320" s="100"/>
      <c r="Q2320" s="100"/>
      <c r="R2320" s="100"/>
      <c r="S2320" s="100"/>
      <c r="T2320" s="100"/>
      <c r="U2320" s="100"/>
      <c r="V2320" s="100"/>
      <c r="W2320" s="100"/>
      <c r="X2320" s="100"/>
      <c r="Y2320" s="100"/>
      <c r="Z2320" s="100"/>
    </row>
    <row r="2321" spans="1:26">
      <c r="A2321" s="100"/>
      <c r="B2321" s="100"/>
      <c r="C2321" s="100"/>
      <c r="D2321" s="100"/>
      <c r="E2321" s="100"/>
      <c r="F2321" s="100"/>
      <c r="G2321" s="100"/>
      <c r="H2321" s="100"/>
      <c r="I2321" s="100"/>
      <c r="J2321" s="100"/>
      <c r="K2321" s="100"/>
      <c r="L2321" s="100"/>
      <c r="M2321" s="100"/>
      <c r="N2321" s="100"/>
      <c r="O2321" s="100"/>
      <c r="P2321" s="100"/>
      <c r="Q2321" s="100"/>
      <c r="R2321" s="100"/>
      <c r="S2321" s="100"/>
      <c r="T2321" s="100"/>
      <c r="U2321" s="100"/>
      <c r="V2321" s="100"/>
      <c r="W2321" s="100"/>
      <c r="X2321" s="100"/>
      <c r="Y2321" s="100"/>
      <c r="Z2321" s="100"/>
    </row>
    <row r="2322" spans="1:26">
      <c r="A2322" s="100"/>
      <c r="B2322" s="100"/>
      <c r="C2322" s="100"/>
      <c r="D2322" s="100"/>
      <c r="E2322" s="100"/>
      <c r="F2322" s="100"/>
      <c r="G2322" s="100"/>
      <c r="H2322" s="100"/>
      <c r="I2322" s="100"/>
      <c r="J2322" s="100"/>
      <c r="K2322" s="100"/>
      <c r="L2322" s="100"/>
      <c r="M2322" s="100"/>
      <c r="N2322" s="100"/>
      <c r="O2322" s="100"/>
      <c r="P2322" s="100"/>
      <c r="Q2322" s="100"/>
      <c r="R2322" s="100"/>
      <c r="S2322" s="100"/>
      <c r="T2322" s="100"/>
      <c r="U2322" s="100"/>
      <c r="V2322" s="100"/>
      <c r="W2322" s="100"/>
      <c r="X2322" s="100"/>
      <c r="Y2322" s="100"/>
      <c r="Z2322" s="100"/>
    </row>
    <row r="2323" spans="1:26">
      <c r="A2323" s="100"/>
      <c r="B2323" s="100"/>
      <c r="C2323" s="100"/>
      <c r="D2323" s="100"/>
      <c r="E2323" s="100"/>
      <c r="F2323" s="100"/>
      <c r="G2323" s="100"/>
      <c r="H2323" s="100"/>
      <c r="I2323" s="100"/>
      <c r="J2323" s="100"/>
      <c r="K2323" s="100"/>
      <c r="L2323" s="100"/>
      <c r="M2323" s="100"/>
      <c r="N2323" s="100"/>
      <c r="O2323" s="100"/>
      <c r="P2323" s="100"/>
      <c r="Q2323" s="100"/>
      <c r="R2323" s="100"/>
      <c r="S2323" s="100"/>
      <c r="T2323" s="100"/>
      <c r="U2323" s="100"/>
      <c r="V2323" s="100"/>
      <c r="W2323" s="100"/>
      <c r="X2323" s="100"/>
      <c r="Y2323" s="100"/>
      <c r="Z2323" s="100"/>
    </row>
    <row r="2324" spans="1:26">
      <c r="A2324" s="100"/>
      <c r="B2324" s="100"/>
      <c r="C2324" s="100"/>
      <c r="D2324" s="100"/>
      <c r="E2324" s="100"/>
      <c r="F2324" s="100"/>
      <c r="G2324" s="100"/>
      <c r="H2324" s="100"/>
      <c r="I2324" s="100"/>
      <c r="J2324" s="100"/>
      <c r="K2324" s="100"/>
      <c r="L2324" s="100"/>
      <c r="M2324" s="100"/>
      <c r="N2324" s="100"/>
      <c r="O2324" s="100"/>
      <c r="P2324" s="100"/>
      <c r="Q2324" s="100"/>
      <c r="R2324" s="100"/>
      <c r="S2324" s="100"/>
      <c r="T2324" s="100"/>
      <c r="U2324" s="100"/>
      <c r="V2324" s="100"/>
      <c r="W2324" s="100"/>
      <c r="X2324" s="100"/>
      <c r="Y2324" s="100"/>
      <c r="Z2324" s="100"/>
    </row>
    <row r="2325" spans="1:26">
      <c r="A2325" s="100"/>
      <c r="B2325" s="100"/>
      <c r="C2325" s="100"/>
      <c r="D2325" s="100"/>
      <c r="E2325" s="100"/>
      <c r="F2325" s="100"/>
      <c r="G2325" s="100"/>
      <c r="H2325" s="100"/>
      <c r="I2325" s="100"/>
      <c r="J2325" s="100"/>
      <c r="K2325" s="100"/>
      <c r="L2325" s="100"/>
      <c r="M2325" s="100"/>
      <c r="N2325" s="100"/>
      <c r="O2325" s="100"/>
      <c r="P2325" s="100"/>
      <c r="Q2325" s="100"/>
      <c r="R2325" s="100"/>
      <c r="S2325" s="100"/>
      <c r="T2325" s="100"/>
      <c r="U2325" s="100"/>
      <c r="V2325" s="100"/>
      <c r="W2325" s="100"/>
      <c r="X2325" s="100"/>
      <c r="Y2325" s="100"/>
      <c r="Z2325" s="100"/>
    </row>
    <row r="2326" spans="1:26">
      <c r="A2326" s="100"/>
      <c r="B2326" s="100"/>
      <c r="C2326" s="100"/>
      <c r="D2326" s="100"/>
      <c r="E2326" s="100"/>
      <c r="F2326" s="100"/>
      <c r="G2326" s="100"/>
      <c r="H2326" s="100"/>
      <c r="I2326" s="100"/>
      <c r="J2326" s="100"/>
      <c r="K2326" s="100"/>
      <c r="L2326" s="100"/>
      <c r="M2326" s="100"/>
      <c r="N2326" s="100"/>
      <c r="O2326" s="100"/>
      <c r="P2326" s="100"/>
      <c r="Q2326" s="100"/>
      <c r="R2326" s="100"/>
      <c r="S2326" s="100"/>
      <c r="T2326" s="100"/>
      <c r="U2326" s="100"/>
      <c r="V2326" s="100"/>
      <c r="W2326" s="100"/>
      <c r="X2326" s="100"/>
      <c r="Y2326" s="100"/>
      <c r="Z2326" s="100"/>
    </row>
    <row r="2327" spans="1:26">
      <c r="A2327" s="100"/>
      <c r="B2327" s="100"/>
      <c r="C2327" s="100"/>
      <c r="D2327" s="100"/>
      <c r="E2327" s="100"/>
      <c r="F2327" s="100"/>
      <c r="G2327" s="100"/>
      <c r="H2327" s="100"/>
      <c r="I2327" s="100"/>
      <c r="J2327" s="100"/>
      <c r="K2327" s="100"/>
      <c r="L2327" s="100"/>
      <c r="M2327" s="100"/>
      <c r="N2327" s="100"/>
      <c r="O2327" s="100"/>
      <c r="P2327" s="100"/>
      <c r="Q2327" s="100"/>
      <c r="R2327" s="100"/>
      <c r="S2327" s="100"/>
      <c r="T2327" s="100"/>
      <c r="U2327" s="100"/>
      <c r="V2327" s="100"/>
      <c r="W2327" s="100"/>
      <c r="X2327" s="100"/>
      <c r="Y2327" s="100"/>
      <c r="Z2327" s="100"/>
    </row>
    <row r="2328" spans="1:26">
      <c r="A2328" s="100"/>
      <c r="B2328" s="100"/>
      <c r="C2328" s="100"/>
      <c r="D2328" s="100"/>
      <c r="E2328" s="100"/>
      <c r="F2328" s="100"/>
      <c r="G2328" s="100"/>
      <c r="H2328" s="100"/>
      <c r="I2328" s="100"/>
      <c r="J2328" s="100"/>
      <c r="K2328" s="100"/>
      <c r="L2328" s="100"/>
      <c r="M2328" s="100"/>
      <c r="N2328" s="100"/>
      <c r="O2328" s="100"/>
      <c r="P2328" s="100"/>
      <c r="Q2328" s="100"/>
      <c r="R2328" s="100"/>
      <c r="S2328" s="100"/>
      <c r="T2328" s="100"/>
      <c r="U2328" s="100"/>
      <c r="V2328" s="100"/>
      <c r="W2328" s="100"/>
      <c r="X2328" s="100"/>
      <c r="Y2328" s="100"/>
      <c r="Z2328" s="100"/>
    </row>
    <row r="2329" spans="1:26">
      <c r="A2329" s="100"/>
      <c r="B2329" s="100"/>
      <c r="C2329" s="100"/>
      <c r="D2329" s="100"/>
      <c r="E2329" s="100"/>
      <c r="F2329" s="100"/>
      <c r="G2329" s="100"/>
      <c r="H2329" s="100"/>
      <c r="I2329" s="100"/>
      <c r="J2329" s="100"/>
      <c r="K2329" s="100"/>
      <c r="L2329" s="100"/>
      <c r="M2329" s="100"/>
      <c r="N2329" s="100"/>
      <c r="O2329" s="100"/>
      <c r="P2329" s="100"/>
      <c r="Q2329" s="100"/>
      <c r="R2329" s="100"/>
      <c r="S2329" s="100"/>
      <c r="T2329" s="100"/>
      <c r="U2329" s="100"/>
      <c r="V2329" s="100"/>
      <c r="W2329" s="100"/>
      <c r="X2329" s="100"/>
      <c r="Y2329" s="100"/>
      <c r="Z2329" s="100"/>
    </row>
    <row r="2330" spans="1:26">
      <c r="A2330" s="100"/>
      <c r="B2330" s="100"/>
      <c r="C2330" s="100"/>
      <c r="D2330" s="100"/>
      <c r="E2330" s="100"/>
      <c r="F2330" s="100"/>
      <c r="G2330" s="100"/>
      <c r="H2330" s="100"/>
      <c r="I2330" s="100"/>
      <c r="J2330" s="100"/>
      <c r="K2330" s="100"/>
      <c r="L2330" s="100"/>
      <c r="M2330" s="100"/>
      <c r="N2330" s="100"/>
      <c r="O2330" s="100"/>
      <c r="P2330" s="100"/>
      <c r="Q2330" s="100"/>
      <c r="R2330" s="100"/>
      <c r="S2330" s="100"/>
      <c r="T2330" s="100"/>
      <c r="U2330" s="100"/>
      <c r="V2330" s="100"/>
      <c r="W2330" s="100"/>
      <c r="X2330" s="100"/>
      <c r="Y2330" s="100"/>
      <c r="Z2330" s="100"/>
    </row>
    <row r="2331" spans="1:26">
      <c r="A2331" s="100"/>
      <c r="B2331" s="100"/>
      <c r="C2331" s="100"/>
      <c r="D2331" s="100"/>
      <c r="E2331" s="100"/>
      <c r="F2331" s="100"/>
      <c r="G2331" s="100"/>
      <c r="H2331" s="100"/>
      <c r="I2331" s="100"/>
      <c r="J2331" s="100"/>
      <c r="K2331" s="100"/>
      <c r="L2331" s="100"/>
      <c r="M2331" s="100"/>
      <c r="N2331" s="100"/>
      <c r="O2331" s="100"/>
      <c r="P2331" s="100"/>
      <c r="Q2331" s="100"/>
      <c r="R2331" s="100"/>
      <c r="S2331" s="100"/>
      <c r="T2331" s="100"/>
      <c r="U2331" s="100"/>
      <c r="V2331" s="100"/>
      <c r="W2331" s="100"/>
      <c r="X2331" s="100"/>
      <c r="Y2331" s="100"/>
      <c r="Z2331" s="100"/>
    </row>
    <row r="2332" spans="1:26">
      <c r="A2332" s="100"/>
      <c r="B2332" s="100"/>
      <c r="C2332" s="100"/>
      <c r="D2332" s="100"/>
      <c r="E2332" s="100"/>
      <c r="F2332" s="100"/>
      <c r="G2332" s="100"/>
      <c r="H2332" s="100"/>
      <c r="I2332" s="100"/>
      <c r="J2332" s="100"/>
      <c r="K2332" s="100"/>
      <c r="L2332" s="100"/>
      <c r="M2332" s="100"/>
      <c r="N2332" s="100"/>
      <c r="O2332" s="100"/>
      <c r="P2332" s="100"/>
      <c r="Q2332" s="100"/>
      <c r="R2332" s="100"/>
      <c r="S2332" s="100"/>
      <c r="T2332" s="100"/>
      <c r="U2332" s="100"/>
      <c r="V2332" s="100"/>
      <c r="W2332" s="100"/>
      <c r="X2332" s="100"/>
      <c r="Y2332" s="100"/>
      <c r="Z2332" s="100"/>
    </row>
    <row r="2333" spans="1:26">
      <c r="A2333" s="100"/>
      <c r="B2333" s="100"/>
      <c r="C2333" s="100"/>
      <c r="D2333" s="100"/>
      <c r="E2333" s="100"/>
      <c r="F2333" s="100"/>
      <c r="G2333" s="100"/>
      <c r="H2333" s="100"/>
      <c r="I2333" s="100"/>
      <c r="J2333" s="100"/>
      <c r="K2333" s="100"/>
      <c r="L2333" s="100"/>
      <c r="M2333" s="100"/>
      <c r="N2333" s="100"/>
      <c r="O2333" s="100"/>
      <c r="P2333" s="100"/>
      <c r="Q2333" s="100"/>
      <c r="R2333" s="100"/>
      <c r="S2333" s="100"/>
      <c r="T2333" s="100"/>
      <c r="U2333" s="100"/>
      <c r="V2333" s="100"/>
      <c r="W2333" s="100"/>
      <c r="X2333" s="100"/>
      <c r="Y2333" s="100"/>
      <c r="Z2333" s="100"/>
    </row>
    <row r="2334" spans="1:26">
      <c r="A2334" s="100"/>
      <c r="B2334" s="100"/>
      <c r="C2334" s="100"/>
      <c r="D2334" s="100"/>
      <c r="E2334" s="100"/>
      <c r="F2334" s="100"/>
      <c r="G2334" s="100"/>
      <c r="H2334" s="100"/>
      <c r="I2334" s="100"/>
      <c r="J2334" s="100"/>
      <c r="K2334" s="100"/>
      <c r="L2334" s="100"/>
      <c r="M2334" s="100"/>
      <c r="N2334" s="100"/>
      <c r="O2334" s="100"/>
      <c r="P2334" s="100"/>
      <c r="Q2334" s="100"/>
      <c r="R2334" s="100"/>
      <c r="S2334" s="100"/>
      <c r="T2334" s="100"/>
      <c r="U2334" s="100"/>
      <c r="V2334" s="100"/>
      <c r="W2334" s="100"/>
      <c r="X2334" s="100"/>
      <c r="Y2334" s="100"/>
      <c r="Z2334" s="100"/>
    </row>
    <row r="2335" spans="1:26">
      <c r="A2335" s="100"/>
      <c r="B2335" s="100"/>
      <c r="C2335" s="100"/>
      <c r="D2335" s="100"/>
      <c r="E2335" s="100"/>
      <c r="F2335" s="100"/>
      <c r="G2335" s="100"/>
      <c r="H2335" s="100"/>
      <c r="I2335" s="100"/>
      <c r="J2335" s="100"/>
      <c r="K2335" s="100"/>
      <c r="L2335" s="100"/>
      <c r="M2335" s="100"/>
      <c r="N2335" s="100"/>
      <c r="O2335" s="100"/>
      <c r="P2335" s="100"/>
      <c r="Q2335" s="100"/>
      <c r="R2335" s="100"/>
      <c r="S2335" s="100"/>
      <c r="T2335" s="100"/>
      <c r="U2335" s="100"/>
      <c r="V2335" s="100"/>
      <c r="W2335" s="100"/>
      <c r="X2335" s="100"/>
      <c r="Y2335" s="100"/>
      <c r="Z2335" s="100"/>
    </row>
    <row r="2336" spans="1:26">
      <c r="A2336" s="100"/>
      <c r="B2336" s="100"/>
      <c r="C2336" s="100"/>
      <c r="D2336" s="100"/>
      <c r="E2336" s="100"/>
      <c r="F2336" s="100"/>
      <c r="G2336" s="100"/>
      <c r="H2336" s="100"/>
      <c r="I2336" s="100"/>
      <c r="J2336" s="100"/>
      <c r="K2336" s="100"/>
      <c r="L2336" s="100"/>
      <c r="M2336" s="100"/>
      <c r="N2336" s="100"/>
      <c r="O2336" s="100"/>
      <c r="P2336" s="100"/>
      <c r="Q2336" s="100"/>
      <c r="R2336" s="100"/>
      <c r="S2336" s="100"/>
      <c r="T2336" s="100"/>
      <c r="U2336" s="100"/>
      <c r="V2336" s="100"/>
      <c r="W2336" s="100"/>
      <c r="X2336" s="100"/>
      <c r="Y2336" s="100"/>
      <c r="Z2336" s="100"/>
    </row>
    <row r="2337" spans="1:26">
      <c r="A2337" s="100"/>
      <c r="B2337" s="100"/>
      <c r="C2337" s="100"/>
      <c r="D2337" s="100"/>
      <c r="E2337" s="100"/>
      <c r="F2337" s="100"/>
      <c r="G2337" s="100"/>
      <c r="H2337" s="100"/>
      <c r="I2337" s="100"/>
      <c r="J2337" s="100"/>
      <c r="K2337" s="100"/>
      <c r="L2337" s="100"/>
      <c r="M2337" s="100"/>
      <c r="N2337" s="100"/>
      <c r="O2337" s="100"/>
      <c r="P2337" s="100"/>
      <c r="Q2337" s="100"/>
      <c r="R2337" s="100"/>
      <c r="S2337" s="100"/>
      <c r="T2337" s="100"/>
      <c r="U2337" s="100"/>
      <c r="V2337" s="100"/>
      <c r="W2337" s="100"/>
      <c r="X2337" s="100"/>
      <c r="Y2337" s="100"/>
      <c r="Z2337" s="100"/>
    </row>
    <row r="2338" spans="1:26">
      <c r="A2338" s="100"/>
      <c r="B2338" s="100"/>
      <c r="C2338" s="100"/>
      <c r="D2338" s="100"/>
      <c r="E2338" s="100"/>
      <c r="F2338" s="100"/>
      <c r="G2338" s="100"/>
      <c r="H2338" s="100"/>
      <c r="I2338" s="100"/>
      <c r="J2338" s="100"/>
      <c r="K2338" s="100"/>
      <c r="L2338" s="100"/>
      <c r="M2338" s="100"/>
      <c r="N2338" s="100"/>
      <c r="O2338" s="100"/>
      <c r="P2338" s="100"/>
      <c r="Q2338" s="100"/>
      <c r="R2338" s="100"/>
      <c r="S2338" s="100"/>
      <c r="T2338" s="100"/>
      <c r="U2338" s="100"/>
      <c r="V2338" s="100"/>
      <c r="W2338" s="100"/>
      <c r="X2338" s="100"/>
      <c r="Y2338" s="100"/>
      <c r="Z2338" s="100"/>
    </row>
    <row r="2339" spans="1:26">
      <c r="A2339" s="100"/>
      <c r="B2339" s="100"/>
      <c r="C2339" s="100"/>
      <c r="D2339" s="100"/>
      <c r="E2339" s="100"/>
      <c r="F2339" s="100"/>
      <c r="G2339" s="100"/>
      <c r="H2339" s="100"/>
      <c r="I2339" s="100"/>
      <c r="J2339" s="100"/>
      <c r="K2339" s="100"/>
      <c r="L2339" s="100"/>
      <c r="M2339" s="100"/>
      <c r="N2339" s="100"/>
      <c r="O2339" s="100"/>
      <c r="P2339" s="100"/>
      <c r="Q2339" s="100"/>
      <c r="R2339" s="100"/>
      <c r="S2339" s="100"/>
      <c r="T2339" s="100"/>
      <c r="U2339" s="100"/>
      <c r="V2339" s="100"/>
      <c r="W2339" s="100"/>
      <c r="X2339" s="100"/>
      <c r="Y2339" s="100"/>
      <c r="Z2339" s="100"/>
    </row>
    <row r="2340" spans="1:26">
      <c r="A2340" s="100"/>
      <c r="B2340" s="100"/>
      <c r="C2340" s="100"/>
      <c r="D2340" s="100"/>
      <c r="E2340" s="100"/>
      <c r="F2340" s="100"/>
      <c r="G2340" s="100"/>
      <c r="H2340" s="100"/>
      <c r="I2340" s="100"/>
      <c r="J2340" s="100"/>
      <c r="K2340" s="100"/>
      <c r="L2340" s="100"/>
      <c r="M2340" s="100"/>
      <c r="N2340" s="100"/>
      <c r="O2340" s="100"/>
      <c r="P2340" s="100"/>
      <c r="Q2340" s="100"/>
      <c r="R2340" s="100"/>
      <c r="S2340" s="100"/>
      <c r="T2340" s="100"/>
      <c r="U2340" s="100"/>
      <c r="V2340" s="100"/>
      <c r="W2340" s="100"/>
      <c r="X2340" s="100"/>
      <c r="Y2340" s="100"/>
      <c r="Z2340" s="100"/>
    </row>
    <row r="2341" spans="1:26">
      <c r="A2341" s="100"/>
      <c r="B2341" s="100"/>
      <c r="C2341" s="100"/>
      <c r="D2341" s="100"/>
      <c r="E2341" s="100"/>
      <c r="F2341" s="100"/>
      <c r="G2341" s="100"/>
      <c r="H2341" s="100"/>
      <c r="I2341" s="100"/>
      <c r="J2341" s="100"/>
      <c r="K2341" s="100"/>
      <c r="L2341" s="100"/>
      <c r="M2341" s="100"/>
      <c r="N2341" s="100"/>
      <c r="O2341" s="100"/>
      <c r="P2341" s="100"/>
      <c r="Q2341" s="100"/>
      <c r="R2341" s="100"/>
      <c r="S2341" s="100"/>
      <c r="T2341" s="100"/>
      <c r="U2341" s="100"/>
      <c r="V2341" s="100"/>
      <c r="W2341" s="100"/>
      <c r="X2341" s="100"/>
      <c r="Y2341" s="100"/>
      <c r="Z2341" s="100"/>
    </row>
    <row r="2342" spans="1:26">
      <c r="A2342" s="100"/>
      <c r="B2342" s="100"/>
      <c r="C2342" s="100"/>
      <c r="D2342" s="100"/>
      <c r="E2342" s="100"/>
      <c r="F2342" s="100"/>
      <c r="G2342" s="100"/>
      <c r="H2342" s="100"/>
      <c r="I2342" s="100"/>
      <c r="J2342" s="100"/>
      <c r="K2342" s="100"/>
      <c r="L2342" s="100"/>
      <c r="M2342" s="100"/>
      <c r="N2342" s="100"/>
      <c r="O2342" s="100"/>
      <c r="P2342" s="100"/>
      <c r="Q2342" s="100"/>
      <c r="R2342" s="100"/>
      <c r="S2342" s="100"/>
      <c r="T2342" s="100"/>
      <c r="U2342" s="100"/>
      <c r="V2342" s="100"/>
      <c r="W2342" s="100"/>
      <c r="X2342" s="100"/>
      <c r="Y2342" s="100"/>
      <c r="Z2342" s="100"/>
    </row>
    <row r="2343" spans="1:26">
      <c r="A2343" s="100"/>
      <c r="B2343" s="100"/>
      <c r="C2343" s="100"/>
      <c r="D2343" s="100"/>
      <c r="E2343" s="100"/>
      <c r="F2343" s="100"/>
      <c r="G2343" s="100"/>
      <c r="H2343" s="100"/>
      <c r="I2343" s="100"/>
      <c r="J2343" s="100"/>
      <c r="K2343" s="100"/>
      <c r="L2343" s="100"/>
      <c r="M2343" s="100"/>
      <c r="N2343" s="100"/>
      <c r="O2343" s="100"/>
      <c r="P2343" s="100"/>
      <c r="Q2343" s="100"/>
      <c r="R2343" s="100"/>
      <c r="S2343" s="100"/>
      <c r="T2343" s="100"/>
      <c r="U2343" s="100"/>
      <c r="V2343" s="100"/>
      <c r="W2343" s="100"/>
      <c r="X2343" s="100"/>
      <c r="Y2343" s="100"/>
      <c r="Z2343" s="100"/>
    </row>
    <row r="2344" spans="1:26">
      <c r="A2344" s="100"/>
      <c r="B2344" s="100"/>
      <c r="C2344" s="100"/>
      <c r="D2344" s="100"/>
      <c r="E2344" s="100"/>
      <c r="F2344" s="100"/>
      <c r="G2344" s="100"/>
      <c r="H2344" s="100"/>
      <c r="I2344" s="100"/>
      <c r="J2344" s="100"/>
      <c r="K2344" s="100"/>
      <c r="L2344" s="100"/>
      <c r="M2344" s="100"/>
      <c r="N2344" s="100"/>
      <c r="O2344" s="100"/>
      <c r="P2344" s="100"/>
      <c r="Q2344" s="100"/>
      <c r="R2344" s="100"/>
      <c r="S2344" s="100"/>
      <c r="T2344" s="100"/>
      <c r="U2344" s="100"/>
      <c r="V2344" s="100"/>
      <c r="W2344" s="100"/>
      <c r="X2344" s="100"/>
      <c r="Y2344" s="100"/>
      <c r="Z2344" s="100"/>
    </row>
    <row r="2345" spans="1:26">
      <c r="A2345" s="100"/>
      <c r="B2345" s="100"/>
      <c r="C2345" s="100"/>
      <c r="D2345" s="100"/>
      <c r="E2345" s="100"/>
      <c r="F2345" s="100"/>
      <c r="G2345" s="100"/>
      <c r="H2345" s="100"/>
      <c r="I2345" s="100"/>
      <c r="J2345" s="100"/>
      <c r="K2345" s="100"/>
      <c r="L2345" s="100"/>
      <c r="M2345" s="100"/>
      <c r="N2345" s="100"/>
      <c r="O2345" s="100"/>
      <c r="P2345" s="100"/>
      <c r="Q2345" s="100"/>
      <c r="R2345" s="100"/>
      <c r="S2345" s="100"/>
      <c r="T2345" s="100"/>
      <c r="U2345" s="100"/>
      <c r="V2345" s="100"/>
      <c r="W2345" s="100"/>
      <c r="X2345" s="100"/>
      <c r="Y2345" s="100"/>
      <c r="Z2345" s="100"/>
    </row>
    <row r="2346" spans="1:26">
      <c r="A2346" s="100"/>
      <c r="B2346" s="100"/>
      <c r="C2346" s="100"/>
      <c r="D2346" s="100"/>
      <c r="E2346" s="100"/>
      <c r="F2346" s="100"/>
      <c r="G2346" s="100"/>
      <c r="H2346" s="100"/>
      <c r="I2346" s="100"/>
      <c r="J2346" s="100"/>
      <c r="K2346" s="100"/>
      <c r="L2346" s="100"/>
      <c r="M2346" s="100"/>
      <c r="N2346" s="100"/>
      <c r="O2346" s="100"/>
      <c r="P2346" s="100"/>
      <c r="Q2346" s="100"/>
      <c r="R2346" s="100"/>
      <c r="S2346" s="100"/>
      <c r="T2346" s="100"/>
      <c r="U2346" s="100"/>
      <c r="V2346" s="100"/>
      <c r="W2346" s="100"/>
      <c r="X2346" s="100"/>
      <c r="Y2346" s="100"/>
      <c r="Z2346" s="100"/>
    </row>
    <row r="2347" spans="1:26">
      <c r="A2347" s="100"/>
      <c r="B2347" s="100"/>
      <c r="C2347" s="100"/>
      <c r="D2347" s="100"/>
      <c r="E2347" s="100"/>
      <c r="F2347" s="100"/>
      <c r="G2347" s="100"/>
      <c r="H2347" s="100"/>
      <c r="I2347" s="100"/>
      <c r="J2347" s="100"/>
      <c r="K2347" s="100"/>
      <c r="L2347" s="100"/>
      <c r="M2347" s="100"/>
      <c r="N2347" s="100"/>
      <c r="O2347" s="100"/>
      <c r="P2347" s="100"/>
      <c r="Q2347" s="100"/>
      <c r="R2347" s="100"/>
      <c r="S2347" s="100"/>
      <c r="T2347" s="100"/>
      <c r="U2347" s="100"/>
      <c r="V2347" s="100"/>
      <c r="W2347" s="100"/>
      <c r="X2347" s="100"/>
      <c r="Y2347" s="100"/>
      <c r="Z2347" s="100"/>
    </row>
    <row r="2348" spans="1:26">
      <c r="A2348" s="100"/>
      <c r="B2348" s="100"/>
      <c r="C2348" s="100"/>
      <c r="D2348" s="100"/>
      <c r="E2348" s="100"/>
      <c r="F2348" s="100"/>
      <c r="G2348" s="100"/>
      <c r="H2348" s="100"/>
      <c r="I2348" s="100"/>
      <c r="J2348" s="100"/>
      <c r="K2348" s="100"/>
      <c r="L2348" s="100"/>
      <c r="M2348" s="100"/>
      <c r="N2348" s="100"/>
      <c r="O2348" s="100"/>
      <c r="P2348" s="100"/>
      <c r="Q2348" s="100"/>
      <c r="R2348" s="100"/>
      <c r="S2348" s="100"/>
      <c r="T2348" s="100"/>
      <c r="U2348" s="100"/>
      <c r="V2348" s="100"/>
      <c r="W2348" s="100"/>
      <c r="X2348" s="100"/>
      <c r="Y2348" s="100"/>
      <c r="Z2348" s="100"/>
    </row>
    <row r="2349" spans="1:26">
      <c r="A2349" s="100"/>
      <c r="B2349" s="100"/>
      <c r="C2349" s="100"/>
      <c r="D2349" s="100"/>
      <c r="E2349" s="100"/>
      <c r="F2349" s="100"/>
      <c r="G2349" s="100"/>
      <c r="H2349" s="100"/>
      <c r="I2349" s="100"/>
      <c r="J2349" s="100"/>
      <c r="K2349" s="100"/>
      <c r="L2349" s="100"/>
      <c r="M2349" s="100"/>
      <c r="N2349" s="100"/>
      <c r="O2349" s="100"/>
      <c r="P2349" s="100"/>
      <c r="Q2349" s="100"/>
      <c r="R2349" s="100"/>
      <c r="S2349" s="100"/>
      <c r="T2349" s="100"/>
      <c r="U2349" s="100"/>
      <c r="V2349" s="100"/>
      <c r="W2349" s="100"/>
      <c r="X2349" s="100"/>
      <c r="Y2349" s="100"/>
      <c r="Z2349" s="100"/>
    </row>
    <row r="2350" spans="1:26">
      <c r="A2350" s="100"/>
      <c r="B2350" s="100"/>
      <c r="C2350" s="100"/>
      <c r="D2350" s="100"/>
      <c r="E2350" s="100"/>
      <c r="F2350" s="100"/>
      <c r="G2350" s="100"/>
      <c r="H2350" s="100"/>
      <c r="I2350" s="100"/>
      <c r="J2350" s="100"/>
      <c r="K2350" s="100"/>
      <c r="L2350" s="100"/>
      <c r="M2350" s="100"/>
      <c r="N2350" s="100"/>
      <c r="O2350" s="100"/>
      <c r="P2350" s="100"/>
      <c r="Q2350" s="100"/>
      <c r="R2350" s="100"/>
      <c r="S2350" s="100"/>
      <c r="T2350" s="100"/>
      <c r="U2350" s="100"/>
      <c r="V2350" s="100"/>
      <c r="W2350" s="100"/>
      <c r="X2350" s="100"/>
      <c r="Y2350" s="100"/>
      <c r="Z2350" s="100"/>
    </row>
    <row r="2351" spans="1:26">
      <c r="A2351" s="100"/>
      <c r="B2351" s="100"/>
      <c r="C2351" s="100"/>
      <c r="D2351" s="100"/>
      <c r="E2351" s="100"/>
      <c r="F2351" s="100"/>
      <c r="G2351" s="100"/>
      <c r="H2351" s="100"/>
      <c r="I2351" s="100"/>
      <c r="J2351" s="100"/>
      <c r="K2351" s="100"/>
      <c r="L2351" s="100"/>
      <c r="M2351" s="100"/>
      <c r="N2351" s="100"/>
      <c r="O2351" s="100"/>
      <c r="P2351" s="100"/>
      <c r="Q2351" s="100"/>
      <c r="R2351" s="100"/>
      <c r="S2351" s="100"/>
      <c r="T2351" s="100"/>
      <c r="U2351" s="100"/>
      <c r="V2351" s="100"/>
      <c r="W2351" s="100"/>
      <c r="X2351" s="100"/>
      <c r="Y2351" s="100"/>
      <c r="Z2351" s="100"/>
    </row>
    <row r="2352" spans="1:26">
      <c r="A2352" s="100"/>
      <c r="B2352" s="100"/>
      <c r="C2352" s="100"/>
      <c r="D2352" s="100"/>
      <c r="E2352" s="100"/>
      <c r="F2352" s="100"/>
      <c r="G2352" s="100"/>
      <c r="H2352" s="100"/>
      <c r="I2352" s="100"/>
      <c r="J2352" s="100"/>
      <c r="K2352" s="100"/>
      <c r="L2352" s="100"/>
      <c r="M2352" s="100"/>
      <c r="N2352" s="100"/>
      <c r="O2352" s="100"/>
      <c r="P2352" s="100"/>
      <c r="Q2352" s="100"/>
      <c r="R2352" s="100"/>
      <c r="S2352" s="100"/>
      <c r="T2352" s="100"/>
      <c r="U2352" s="100"/>
      <c r="V2352" s="100"/>
      <c r="W2352" s="100"/>
      <c r="X2352" s="100"/>
      <c r="Y2352" s="100"/>
      <c r="Z2352" s="100"/>
    </row>
    <row r="2353" spans="1:26">
      <c r="A2353" s="100"/>
      <c r="B2353" s="100"/>
      <c r="C2353" s="100"/>
      <c r="D2353" s="100"/>
      <c r="E2353" s="100"/>
      <c r="F2353" s="100"/>
      <c r="G2353" s="100"/>
      <c r="H2353" s="100"/>
      <c r="I2353" s="100"/>
      <c r="J2353" s="100"/>
      <c r="K2353" s="100"/>
      <c r="L2353" s="100"/>
      <c r="M2353" s="100"/>
      <c r="N2353" s="100"/>
      <c r="O2353" s="100"/>
      <c r="P2353" s="100"/>
      <c r="Q2353" s="100"/>
      <c r="R2353" s="100"/>
      <c r="S2353" s="100"/>
      <c r="T2353" s="100"/>
      <c r="U2353" s="100"/>
      <c r="V2353" s="100"/>
      <c r="W2353" s="100"/>
      <c r="X2353" s="100"/>
      <c r="Y2353" s="100"/>
      <c r="Z2353" s="100"/>
    </row>
    <row r="2354" spans="1:26">
      <c r="A2354" s="100"/>
      <c r="B2354" s="100"/>
      <c r="C2354" s="100"/>
      <c r="D2354" s="100"/>
      <c r="E2354" s="100"/>
      <c r="F2354" s="100"/>
      <c r="G2354" s="100"/>
      <c r="H2354" s="100"/>
      <c r="I2354" s="100"/>
      <c r="J2354" s="100"/>
      <c r="K2354" s="100"/>
      <c r="L2354" s="100"/>
      <c r="M2354" s="100"/>
      <c r="N2354" s="100"/>
      <c r="O2354" s="100"/>
      <c r="P2354" s="100"/>
      <c r="Q2354" s="100"/>
      <c r="R2354" s="100"/>
      <c r="S2354" s="100"/>
      <c r="T2354" s="100"/>
      <c r="U2354" s="100"/>
      <c r="V2354" s="100"/>
      <c r="W2354" s="100"/>
      <c r="X2354" s="100"/>
      <c r="Y2354" s="100"/>
      <c r="Z2354" s="100"/>
    </row>
    <row r="2355" spans="1:26">
      <c r="A2355" s="100"/>
      <c r="B2355" s="100"/>
      <c r="C2355" s="100"/>
      <c r="D2355" s="100"/>
      <c r="E2355" s="100"/>
      <c r="F2355" s="100"/>
      <c r="G2355" s="100"/>
      <c r="H2355" s="100"/>
      <c r="I2355" s="100"/>
      <c r="J2355" s="100"/>
      <c r="K2355" s="100"/>
      <c r="L2355" s="100"/>
      <c r="M2355" s="100"/>
      <c r="N2355" s="100"/>
      <c r="O2355" s="100"/>
      <c r="P2355" s="100"/>
      <c r="Q2355" s="100"/>
      <c r="R2355" s="100"/>
      <c r="S2355" s="100"/>
      <c r="T2355" s="100"/>
      <c r="U2355" s="100"/>
      <c r="V2355" s="100"/>
      <c r="W2355" s="100"/>
      <c r="X2355" s="100"/>
      <c r="Y2355" s="100"/>
      <c r="Z2355" s="100"/>
    </row>
    <row r="2356" spans="1:26">
      <c r="A2356" s="100"/>
      <c r="B2356" s="100"/>
      <c r="C2356" s="100"/>
      <c r="D2356" s="100"/>
      <c r="E2356" s="100"/>
      <c r="F2356" s="100"/>
      <c r="G2356" s="100"/>
      <c r="H2356" s="100"/>
      <c r="I2356" s="100"/>
      <c r="J2356" s="100"/>
      <c r="K2356" s="100"/>
      <c r="L2356" s="100"/>
      <c r="M2356" s="100"/>
      <c r="N2356" s="100"/>
      <c r="O2356" s="100"/>
      <c r="P2356" s="100"/>
      <c r="Q2356" s="100"/>
      <c r="R2356" s="100"/>
      <c r="S2356" s="100"/>
      <c r="T2356" s="100"/>
      <c r="U2356" s="100"/>
      <c r="V2356" s="100"/>
      <c r="W2356" s="100"/>
      <c r="X2356" s="100"/>
      <c r="Y2356" s="100"/>
      <c r="Z2356" s="100"/>
    </row>
    <row r="2357" spans="1:26">
      <c r="A2357" s="100"/>
      <c r="B2357" s="100"/>
      <c r="C2357" s="100"/>
      <c r="D2357" s="100"/>
      <c r="E2357" s="100"/>
      <c r="F2357" s="100"/>
      <c r="G2357" s="100"/>
      <c r="H2357" s="100"/>
      <c r="I2357" s="100"/>
      <c r="J2357" s="100"/>
      <c r="K2357" s="100"/>
      <c r="L2357" s="100"/>
      <c r="M2357" s="100"/>
      <c r="N2357" s="100"/>
      <c r="O2357" s="100"/>
      <c r="P2357" s="100"/>
      <c r="Q2357" s="100"/>
      <c r="R2357" s="100"/>
      <c r="S2357" s="100"/>
      <c r="T2357" s="100"/>
      <c r="U2357" s="100"/>
      <c r="V2357" s="100"/>
      <c r="W2357" s="100"/>
      <c r="X2357" s="100"/>
      <c r="Y2357" s="100"/>
      <c r="Z2357" s="100"/>
    </row>
    <row r="2358" spans="1:26">
      <c r="A2358" s="100"/>
      <c r="B2358" s="100"/>
      <c r="C2358" s="100"/>
      <c r="D2358" s="100"/>
      <c r="E2358" s="100"/>
      <c r="F2358" s="100"/>
      <c r="G2358" s="100"/>
      <c r="H2358" s="100"/>
      <c r="I2358" s="100"/>
      <c r="J2358" s="100"/>
      <c r="K2358" s="100"/>
      <c r="L2358" s="100"/>
      <c r="M2358" s="100"/>
      <c r="N2358" s="100"/>
      <c r="O2358" s="100"/>
      <c r="P2358" s="100"/>
      <c r="Q2358" s="100"/>
      <c r="R2358" s="100"/>
      <c r="S2358" s="100"/>
      <c r="T2358" s="100"/>
      <c r="U2358" s="100"/>
      <c r="V2358" s="100"/>
      <c r="W2358" s="100"/>
      <c r="X2358" s="100"/>
      <c r="Y2358" s="100"/>
      <c r="Z2358" s="100"/>
    </row>
    <row r="2359" spans="1:26">
      <c r="A2359" s="100"/>
      <c r="B2359" s="100"/>
      <c r="C2359" s="100"/>
      <c r="D2359" s="100"/>
      <c r="E2359" s="100"/>
      <c r="F2359" s="100"/>
      <c r="G2359" s="100"/>
      <c r="H2359" s="100"/>
      <c r="I2359" s="100"/>
      <c r="J2359" s="100"/>
      <c r="K2359" s="100"/>
      <c r="L2359" s="100"/>
      <c r="M2359" s="100"/>
      <c r="N2359" s="100"/>
      <c r="O2359" s="100"/>
      <c r="P2359" s="100"/>
      <c r="Q2359" s="100"/>
      <c r="R2359" s="100"/>
      <c r="S2359" s="100"/>
      <c r="T2359" s="100"/>
      <c r="U2359" s="100"/>
      <c r="V2359" s="100"/>
      <c r="W2359" s="100"/>
      <c r="X2359" s="100"/>
      <c r="Y2359" s="100"/>
      <c r="Z2359" s="100"/>
    </row>
    <row r="2360" spans="1:26">
      <c r="A2360" s="100"/>
      <c r="B2360" s="100"/>
      <c r="C2360" s="100"/>
      <c r="D2360" s="100"/>
      <c r="E2360" s="100"/>
      <c r="F2360" s="100"/>
      <c r="G2360" s="100"/>
      <c r="H2360" s="100"/>
      <c r="I2360" s="100"/>
      <c r="J2360" s="100"/>
      <c r="K2360" s="100"/>
      <c r="L2360" s="100"/>
      <c r="M2360" s="100"/>
      <c r="N2360" s="100"/>
      <c r="O2360" s="100"/>
      <c r="P2360" s="100"/>
      <c r="Q2360" s="100"/>
      <c r="R2360" s="100"/>
      <c r="S2360" s="100"/>
      <c r="T2360" s="100"/>
      <c r="U2360" s="100"/>
      <c r="V2360" s="100"/>
      <c r="W2360" s="100"/>
      <c r="X2360" s="100"/>
      <c r="Y2360" s="100"/>
      <c r="Z2360" s="100"/>
    </row>
    <row r="2361" spans="1:26">
      <c r="A2361" s="100"/>
      <c r="B2361" s="100"/>
      <c r="C2361" s="100"/>
      <c r="D2361" s="100"/>
      <c r="E2361" s="100"/>
      <c r="F2361" s="100"/>
      <c r="G2361" s="100"/>
      <c r="H2361" s="100"/>
      <c r="I2361" s="100"/>
      <c r="J2361" s="100"/>
      <c r="K2361" s="100"/>
      <c r="L2361" s="100"/>
      <c r="M2361" s="100"/>
      <c r="N2361" s="100"/>
      <c r="O2361" s="100"/>
      <c r="P2361" s="100"/>
      <c r="Q2361" s="100"/>
      <c r="R2361" s="100"/>
      <c r="S2361" s="100"/>
      <c r="T2361" s="100"/>
      <c r="U2361" s="100"/>
      <c r="V2361" s="100"/>
      <c r="W2361" s="100"/>
      <c r="X2361" s="100"/>
      <c r="Y2361" s="100"/>
      <c r="Z2361" s="100"/>
    </row>
    <row r="2362" spans="1:26">
      <c r="A2362" s="100"/>
      <c r="B2362" s="100"/>
      <c r="C2362" s="100"/>
      <c r="D2362" s="100"/>
      <c r="E2362" s="100"/>
      <c r="F2362" s="100"/>
      <c r="G2362" s="100"/>
      <c r="H2362" s="100"/>
      <c r="I2362" s="100"/>
      <c r="J2362" s="100"/>
      <c r="K2362" s="100"/>
      <c r="L2362" s="100"/>
      <c r="M2362" s="100"/>
      <c r="N2362" s="100"/>
      <c r="O2362" s="100"/>
      <c r="P2362" s="100"/>
      <c r="Q2362" s="100"/>
      <c r="R2362" s="100"/>
      <c r="S2362" s="100"/>
      <c r="T2362" s="100"/>
      <c r="U2362" s="100"/>
      <c r="V2362" s="100"/>
      <c r="W2362" s="100"/>
      <c r="X2362" s="100"/>
      <c r="Y2362" s="100"/>
      <c r="Z2362" s="100"/>
    </row>
    <row r="2363" spans="1:26">
      <c r="A2363" s="100"/>
      <c r="B2363" s="100"/>
      <c r="C2363" s="100"/>
      <c r="D2363" s="100"/>
      <c r="E2363" s="100"/>
      <c r="F2363" s="100"/>
      <c r="G2363" s="100"/>
      <c r="H2363" s="100"/>
      <c r="I2363" s="100"/>
      <c r="J2363" s="100"/>
      <c r="K2363" s="100"/>
      <c r="L2363" s="100"/>
      <c r="M2363" s="100"/>
      <c r="N2363" s="100"/>
      <c r="O2363" s="100"/>
      <c r="P2363" s="100"/>
      <c r="Q2363" s="100"/>
      <c r="R2363" s="100"/>
      <c r="S2363" s="100"/>
      <c r="T2363" s="100"/>
      <c r="U2363" s="100"/>
      <c r="V2363" s="100"/>
      <c r="W2363" s="100"/>
      <c r="X2363" s="100"/>
      <c r="Y2363" s="100"/>
      <c r="Z2363" s="100"/>
    </row>
    <row r="2364" spans="1:26">
      <c r="A2364" s="100"/>
      <c r="B2364" s="100"/>
      <c r="C2364" s="100"/>
      <c r="D2364" s="100"/>
      <c r="E2364" s="100"/>
      <c r="F2364" s="100"/>
      <c r="G2364" s="100"/>
      <c r="H2364" s="100"/>
      <c r="I2364" s="100"/>
      <c r="J2364" s="100"/>
      <c r="K2364" s="100"/>
      <c r="L2364" s="100"/>
      <c r="M2364" s="100"/>
      <c r="N2364" s="100"/>
      <c r="O2364" s="100"/>
      <c r="P2364" s="100"/>
      <c r="Q2364" s="100"/>
      <c r="R2364" s="100"/>
      <c r="S2364" s="100"/>
      <c r="T2364" s="100"/>
      <c r="U2364" s="100"/>
      <c r="V2364" s="100"/>
      <c r="W2364" s="100"/>
      <c r="X2364" s="100"/>
      <c r="Y2364" s="100"/>
      <c r="Z2364" s="100"/>
    </row>
    <row r="2365" spans="1:26">
      <c r="A2365" s="100"/>
      <c r="B2365" s="100"/>
      <c r="C2365" s="100"/>
      <c r="D2365" s="100"/>
      <c r="E2365" s="100"/>
      <c r="F2365" s="100"/>
      <c r="G2365" s="100"/>
      <c r="H2365" s="100"/>
      <c r="I2365" s="100"/>
      <c r="J2365" s="100"/>
      <c r="K2365" s="100"/>
      <c r="L2365" s="100"/>
      <c r="M2365" s="100"/>
      <c r="N2365" s="100"/>
      <c r="O2365" s="100"/>
      <c r="P2365" s="100"/>
      <c r="Q2365" s="100"/>
      <c r="R2365" s="100"/>
      <c r="S2365" s="100"/>
      <c r="T2365" s="100"/>
      <c r="U2365" s="100"/>
      <c r="V2365" s="100"/>
      <c r="W2365" s="100"/>
      <c r="X2365" s="100"/>
      <c r="Y2365" s="100"/>
      <c r="Z2365" s="100"/>
    </row>
    <row r="2366" spans="1:26">
      <c r="A2366" s="100"/>
      <c r="B2366" s="100"/>
      <c r="C2366" s="100"/>
      <c r="D2366" s="100"/>
      <c r="E2366" s="100"/>
      <c r="F2366" s="100"/>
      <c r="G2366" s="100"/>
      <c r="H2366" s="100"/>
      <c r="I2366" s="100"/>
      <c r="J2366" s="100"/>
      <c r="K2366" s="100"/>
      <c r="L2366" s="100"/>
      <c r="M2366" s="100"/>
      <c r="N2366" s="100"/>
      <c r="O2366" s="100"/>
      <c r="P2366" s="100"/>
      <c r="Q2366" s="100"/>
      <c r="R2366" s="100"/>
      <c r="S2366" s="100"/>
      <c r="T2366" s="100"/>
      <c r="U2366" s="100"/>
      <c r="V2366" s="100"/>
      <c r="W2366" s="100"/>
      <c r="X2366" s="100"/>
      <c r="Y2366" s="100"/>
      <c r="Z2366" s="100"/>
    </row>
    <row r="2367" spans="1:26">
      <c r="A2367" s="100"/>
      <c r="B2367" s="100"/>
      <c r="C2367" s="100"/>
      <c r="D2367" s="100"/>
      <c r="E2367" s="100"/>
      <c r="F2367" s="100"/>
      <c r="G2367" s="100"/>
      <c r="H2367" s="100"/>
      <c r="I2367" s="100"/>
      <c r="J2367" s="100"/>
      <c r="K2367" s="100"/>
      <c r="L2367" s="100"/>
      <c r="M2367" s="100"/>
      <c r="N2367" s="100"/>
      <c r="O2367" s="100"/>
      <c r="P2367" s="100"/>
      <c r="Q2367" s="100"/>
      <c r="R2367" s="100"/>
      <c r="S2367" s="100"/>
      <c r="T2367" s="100"/>
      <c r="U2367" s="100"/>
      <c r="V2367" s="100"/>
      <c r="W2367" s="100"/>
      <c r="X2367" s="100"/>
      <c r="Y2367" s="100"/>
      <c r="Z2367" s="100"/>
    </row>
    <row r="2368" spans="1:26">
      <c r="A2368" s="100"/>
      <c r="B2368" s="100"/>
      <c r="C2368" s="100"/>
      <c r="D2368" s="100"/>
      <c r="E2368" s="100"/>
      <c r="F2368" s="100"/>
      <c r="G2368" s="100"/>
      <c r="H2368" s="100"/>
      <c r="I2368" s="100"/>
      <c r="J2368" s="100"/>
      <c r="K2368" s="100"/>
      <c r="L2368" s="100"/>
      <c r="M2368" s="100"/>
      <c r="N2368" s="100"/>
      <c r="O2368" s="100"/>
      <c r="P2368" s="100"/>
      <c r="Q2368" s="100"/>
      <c r="R2368" s="100"/>
      <c r="S2368" s="100"/>
      <c r="T2368" s="100"/>
      <c r="U2368" s="100"/>
      <c r="V2368" s="100"/>
      <c r="W2368" s="100"/>
      <c r="X2368" s="100"/>
      <c r="Y2368" s="100"/>
      <c r="Z2368" s="100"/>
    </row>
    <row r="2369" spans="1:26">
      <c r="A2369" s="100"/>
      <c r="B2369" s="100"/>
      <c r="C2369" s="100"/>
      <c r="D2369" s="100"/>
      <c r="E2369" s="100"/>
      <c r="F2369" s="100"/>
      <c r="G2369" s="100"/>
      <c r="H2369" s="100"/>
      <c r="I2369" s="100"/>
      <c r="J2369" s="100"/>
      <c r="K2369" s="100"/>
      <c r="L2369" s="100"/>
      <c r="M2369" s="100"/>
      <c r="N2369" s="100"/>
      <c r="O2369" s="100"/>
      <c r="P2369" s="100"/>
      <c r="Q2369" s="100"/>
      <c r="R2369" s="100"/>
      <c r="S2369" s="100"/>
      <c r="T2369" s="100"/>
      <c r="U2369" s="100"/>
      <c r="V2369" s="100"/>
      <c r="W2369" s="100"/>
      <c r="X2369" s="100"/>
      <c r="Y2369" s="100"/>
      <c r="Z2369" s="100"/>
    </row>
    <row r="2370" spans="1:26">
      <c r="A2370" s="100"/>
      <c r="B2370" s="100"/>
      <c r="C2370" s="100"/>
      <c r="D2370" s="100"/>
      <c r="E2370" s="100"/>
      <c r="F2370" s="100"/>
      <c r="G2370" s="100"/>
      <c r="H2370" s="100"/>
      <c r="I2370" s="100"/>
      <c r="J2370" s="100"/>
      <c r="K2370" s="100"/>
      <c r="L2370" s="100"/>
      <c r="M2370" s="100"/>
      <c r="N2370" s="100"/>
      <c r="O2370" s="100"/>
      <c r="P2370" s="100"/>
      <c r="Q2370" s="100"/>
      <c r="R2370" s="100"/>
      <c r="S2370" s="100"/>
      <c r="T2370" s="100"/>
      <c r="U2370" s="100"/>
      <c r="V2370" s="100"/>
      <c r="W2370" s="100"/>
      <c r="X2370" s="100"/>
      <c r="Y2370" s="100"/>
      <c r="Z2370" s="100"/>
    </row>
    <row r="2371" spans="1:26">
      <c r="A2371" s="100"/>
      <c r="B2371" s="100"/>
      <c r="C2371" s="100"/>
      <c r="D2371" s="100"/>
      <c r="E2371" s="100"/>
      <c r="F2371" s="100"/>
      <c r="G2371" s="100"/>
      <c r="H2371" s="100"/>
      <c r="I2371" s="100"/>
      <c r="J2371" s="100"/>
      <c r="K2371" s="100"/>
      <c r="L2371" s="100"/>
      <c r="M2371" s="100"/>
      <c r="N2371" s="100"/>
      <c r="O2371" s="100"/>
      <c r="P2371" s="100"/>
      <c r="Q2371" s="100"/>
      <c r="R2371" s="100"/>
      <c r="S2371" s="100"/>
      <c r="T2371" s="100"/>
      <c r="U2371" s="100"/>
      <c r="V2371" s="100"/>
      <c r="W2371" s="100"/>
      <c r="X2371" s="100"/>
      <c r="Y2371" s="100"/>
      <c r="Z2371" s="100"/>
    </row>
    <row r="2372" spans="1:26">
      <c r="A2372" s="100"/>
      <c r="B2372" s="100"/>
      <c r="C2372" s="100"/>
      <c r="D2372" s="100"/>
      <c r="E2372" s="100"/>
      <c r="F2372" s="100"/>
      <c r="G2372" s="100"/>
      <c r="H2372" s="100"/>
      <c r="I2372" s="100"/>
      <c r="J2372" s="100"/>
      <c r="K2372" s="100"/>
      <c r="L2372" s="100"/>
      <c r="M2372" s="100"/>
      <c r="N2372" s="100"/>
      <c r="O2372" s="100"/>
      <c r="P2372" s="100"/>
      <c r="Q2372" s="100"/>
      <c r="R2372" s="100"/>
      <c r="S2372" s="100"/>
      <c r="T2372" s="100"/>
      <c r="U2372" s="100"/>
      <c r="V2372" s="100"/>
      <c r="W2372" s="100"/>
      <c r="X2372" s="100"/>
      <c r="Y2372" s="100"/>
      <c r="Z2372" s="100"/>
    </row>
    <row r="2373" spans="1:26">
      <c r="A2373" s="100"/>
      <c r="B2373" s="100"/>
      <c r="C2373" s="100"/>
      <c r="D2373" s="100"/>
      <c r="E2373" s="100"/>
      <c r="F2373" s="100"/>
      <c r="G2373" s="100"/>
      <c r="H2373" s="100"/>
      <c r="I2373" s="100"/>
      <c r="J2373" s="100"/>
      <c r="K2373" s="100"/>
      <c r="L2373" s="100"/>
      <c r="M2373" s="100"/>
      <c r="N2373" s="100"/>
      <c r="O2373" s="100"/>
      <c r="P2373" s="100"/>
      <c r="Q2373" s="100"/>
      <c r="R2373" s="100"/>
      <c r="S2373" s="100"/>
      <c r="T2373" s="100"/>
      <c r="U2373" s="100"/>
      <c r="V2373" s="100"/>
      <c r="W2373" s="100"/>
      <c r="X2373" s="100"/>
      <c r="Y2373" s="100"/>
      <c r="Z2373" s="100"/>
    </row>
    <row r="2374" spans="1:26">
      <c r="A2374" s="100"/>
      <c r="B2374" s="100"/>
      <c r="C2374" s="100"/>
      <c r="D2374" s="100"/>
      <c r="E2374" s="100"/>
      <c r="F2374" s="100"/>
      <c r="G2374" s="100"/>
      <c r="H2374" s="100"/>
      <c r="I2374" s="100"/>
      <c r="J2374" s="100"/>
      <c r="K2374" s="100"/>
      <c r="L2374" s="100"/>
      <c r="M2374" s="100"/>
      <c r="N2374" s="100"/>
      <c r="O2374" s="100"/>
      <c r="P2374" s="100"/>
      <c r="Q2374" s="100"/>
      <c r="R2374" s="100"/>
      <c r="S2374" s="100"/>
      <c r="T2374" s="100"/>
      <c r="U2374" s="100"/>
      <c r="V2374" s="100"/>
      <c r="W2374" s="100"/>
      <c r="X2374" s="100"/>
      <c r="Y2374" s="100"/>
      <c r="Z2374" s="100"/>
    </row>
    <row r="2375" spans="1:26">
      <c r="A2375" s="100"/>
      <c r="B2375" s="100"/>
      <c r="C2375" s="100"/>
      <c r="D2375" s="100"/>
      <c r="E2375" s="100"/>
      <c r="F2375" s="100"/>
      <c r="G2375" s="100"/>
      <c r="H2375" s="100"/>
      <c r="I2375" s="100"/>
      <c r="J2375" s="100"/>
      <c r="K2375" s="100"/>
      <c r="L2375" s="100"/>
      <c r="M2375" s="100"/>
      <c r="N2375" s="100"/>
      <c r="O2375" s="100"/>
      <c r="P2375" s="100"/>
      <c r="Q2375" s="100"/>
      <c r="R2375" s="100"/>
      <c r="S2375" s="100"/>
      <c r="T2375" s="100"/>
      <c r="U2375" s="100"/>
      <c r="V2375" s="100"/>
      <c r="W2375" s="100"/>
      <c r="X2375" s="100"/>
      <c r="Y2375" s="100"/>
      <c r="Z2375" s="100"/>
    </row>
    <row r="2376" spans="1:26">
      <c r="A2376" s="100"/>
      <c r="B2376" s="100"/>
      <c r="C2376" s="100"/>
      <c r="D2376" s="100"/>
      <c r="E2376" s="100"/>
      <c r="F2376" s="100"/>
      <c r="G2376" s="100"/>
      <c r="H2376" s="100"/>
      <c r="I2376" s="100"/>
      <c r="J2376" s="100"/>
      <c r="K2376" s="100"/>
      <c r="L2376" s="100"/>
      <c r="M2376" s="100"/>
      <c r="N2376" s="100"/>
      <c r="O2376" s="100"/>
      <c r="P2376" s="100"/>
      <c r="Q2376" s="100"/>
      <c r="R2376" s="100"/>
      <c r="S2376" s="100"/>
      <c r="T2376" s="100"/>
      <c r="U2376" s="100"/>
      <c r="V2376" s="100"/>
      <c r="W2376" s="100"/>
      <c r="X2376" s="100"/>
      <c r="Y2376" s="100"/>
      <c r="Z2376" s="100"/>
    </row>
    <row r="2377" spans="1:26">
      <c r="A2377" s="100"/>
      <c r="B2377" s="100"/>
      <c r="C2377" s="100"/>
      <c r="D2377" s="100"/>
      <c r="E2377" s="100"/>
      <c r="F2377" s="100"/>
      <c r="G2377" s="100"/>
      <c r="H2377" s="100"/>
      <c r="I2377" s="100"/>
      <c r="J2377" s="100"/>
      <c r="K2377" s="100"/>
      <c r="L2377" s="100"/>
      <c r="M2377" s="100"/>
      <c r="N2377" s="100"/>
      <c r="O2377" s="100"/>
      <c r="P2377" s="100"/>
      <c r="Q2377" s="100"/>
      <c r="R2377" s="100"/>
      <c r="S2377" s="100"/>
      <c r="T2377" s="100"/>
      <c r="U2377" s="100"/>
      <c r="V2377" s="100"/>
      <c r="W2377" s="100"/>
      <c r="X2377" s="100"/>
      <c r="Y2377" s="100"/>
      <c r="Z2377" s="100"/>
    </row>
    <row r="2378" spans="1:26">
      <c r="A2378" s="100"/>
      <c r="B2378" s="100"/>
      <c r="C2378" s="100"/>
      <c r="D2378" s="100"/>
      <c r="E2378" s="100"/>
      <c r="F2378" s="100"/>
      <c r="G2378" s="100"/>
      <c r="H2378" s="100"/>
      <c r="I2378" s="100"/>
      <c r="J2378" s="100"/>
      <c r="K2378" s="100"/>
      <c r="L2378" s="100"/>
      <c r="M2378" s="100"/>
      <c r="N2378" s="100"/>
      <c r="O2378" s="100"/>
      <c r="P2378" s="100"/>
      <c r="Q2378" s="100"/>
      <c r="R2378" s="100"/>
      <c r="S2378" s="100"/>
      <c r="T2378" s="100"/>
      <c r="U2378" s="100"/>
      <c r="V2378" s="100"/>
      <c r="W2378" s="100"/>
      <c r="X2378" s="100"/>
      <c r="Y2378" s="100"/>
      <c r="Z2378" s="100"/>
    </row>
    <row r="2379" spans="1:26">
      <c r="A2379" s="100"/>
      <c r="B2379" s="100"/>
      <c r="C2379" s="100"/>
      <c r="D2379" s="100"/>
      <c r="E2379" s="100"/>
      <c r="F2379" s="100"/>
      <c r="G2379" s="100"/>
      <c r="H2379" s="100"/>
      <c r="I2379" s="100"/>
      <c r="J2379" s="100"/>
      <c r="K2379" s="100"/>
      <c r="L2379" s="100"/>
      <c r="M2379" s="100"/>
      <c r="N2379" s="100"/>
      <c r="O2379" s="100"/>
      <c r="P2379" s="100"/>
      <c r="Q2379" s="100"/>
      <c r="R2379" s="100"/>
      <c r="S2379" s="100"/>
      <c r="T2379" s="100"/>
      <c r="U2379" s="100"/>
      <c r="V2379" s="100"/>
      <c r="W2379" s="100"/>
      <c r="X2379" s="100"/>
      <c r="Y2379" s="100"/>
      <c r="Z2379" s="100"/>
    </row>
    <row r="2380" spans="1:26">
      <c r="A2380" s="100"/>
      <c r="B2380" s="100"/>
      <c r="C2380" s="100"/>
      <c r="D2380" s="100"/>
      <c r="E2380" s="100"/>
      <c r="F2380" s="100"/>
      <c r="G2380" s="100"/>
      <c r="H2380" s="100"/>
      <c r="I2380" s="100"/>
      <c r="J2380" s="100"/>
      <c r="K2380" s="100"/>
      <c r="L2380" s="100"/>
      <c r="M2380" s="100"/>
      <c r="N2380" s="100"/>
      <c r="O2380" s="100"/>
      <c r="P2380" s="100"/>
      <c r="Q2380" s="100"/>
      <c r="R2380" s="100"/>
      <c r="S2380" s="100"/>
      <c r="T2380" s="100"/>
      <c r="U2380" s="100"/>
      <c r="V2380" s="100"/>
      <c r="W2380" s="100"/>
      <c r="X2380" s="100"/>
      <c r="Y2380" s="100"/>
      <c r="Z2380" s="100"/>
    </row>
    <row r="2381" spans="1:26">
      <c r="A2381" s="100"/>
      <c r="B2381" s="100"/>
      <c r="C2381" s="100"/>
      <c r="D2381" s="100"/>
      <c r="E2381" s="100"/>
      <c r="F2381" s="100"/>
      <c r="G2381" s="100"/>
      <c r="H2381" s="100"/>
      <c r="I2381" s="100"/>
      <c r="J2381" s="100"/>
      <c r="K2381" s="100"/>
      <c r="L2381" s="100"/>
      <c r="M2381" s="100"/>
      <c r="N2381" s="100"/>
      <c r="O2381" s="100"/>
      <c r="P2381" s="100"/>
      <c r="Q2381" s="100"/>
      <c r="R2381" s="100"/>
      <c r="S2381" s="100"/>
      <c r="T2381" s="100"/>
      <c r="U2381" s="100"/>
      <c r="V2381" s="100"/>
      <c r="W2381" s="100"/>
      <c r="X2381" s="100"/>
      <c r="Y2381" s="100"/>
      <c r="Z2381" s="100"/>
    </row>
    <row r="2382" spans="1:26">
      <c r="A2382" s="100"/>
      <c r="B2382" s="100"/>
      <c r="C2382" s="100"/>
      <c r="D2382" s="100"/>
      <c r="E2382" s="100"/>
      <c r="F2382" s="100"/>
      <c r="G2382" s="100"/>
      <c r="H2382" s="100"/>
      <c r="I2382" s="100"/>
      <c r="J2382" s="100"/>
      <c r="K2382" s="100"/>
      <c r="L2382" s="100"/>
      <c r="M2382" s="100"/>
      <c r="N2382" s="100"/>
      <c r="O2382" s="100"/>
      <c r="P2382" s="100"/>
      <c r="Q2382" s="100"/>
      <c r="R2382" s="100"/>
      <c r="S2382" s="100"/>
      <c r="T2382" s="100"/>
      <c r="U2382" s="100"/>
      <c r="V2382" s="100"/>
      <c r="W2382" s="100"/>
      <c r="X2382" s="100"/>
      <c r="Y2382" s="100"/>
      <c r="Z2382" s="100"/>
    </row>
    <row r="2383" spans="1:26">
      <c r="A2383" s="100"/>
      <c r="B2383" s="100"/>
      <c r="C2383" s="100"/>
      <c r="D2383" s="100"/>
      <c r="E2383" s="100"/>
      <c r="F2383" s="100"/>
      <c r="G2383" s="100"/>
      <c r="H2383" s="100"/>
      <c r="I2383" s="100"/>
      <c r="J2383" s="100"/>
      <c r="K2383" s="100"/>
      <c r="L2383" s="100"/>
      <c r="M2383" s="100"/>
      <c r="N2383" s="100"/>
      <c r="O2383" s="100"/>
      <c r="P2383" s="100"/>
      <c r="Q2383" s="100"/>
      <c r="R2383" s="100"/>
      <c r="S2383" s="100"/>
      <c r="T2383" s="100"/>
      <c r="U2383" s="100"/>
      <c r="V2383" s="100"/>
      <c r="W2383" s="100"/>
      <c r="X2383" s="100"/>
      <c r="Y2383" s="100"/>
      <c r="Z2383" s="100"/>
    </row>
    <row r="2384" spans="1:26">
      <c r="A2384" s="100"/>
      <c r="B2384" s="100"/>
      <c r="C2384" s="100"/>
      <c r="D2384" s="100"/>
      <c r="E2384" s="100"/>
      <c r="F2384" s="100"/>
      <c r="G2384" s="100"/>
      <c r="H2384" s="100"/>
      <c r="I2384" s="100"/>
      <c r="J2384" s="100"/>
      <c r="K2384" s="100"/>
      <c r="L2384" s="100"/>
      <c r="M2384" s="100"/>
      <c r="N2384" s="100"/>
      <c r="O2384" s="100"/>
      <c r="P2384" s="100"/>
      <c r="Q2384" s="100"/>
      <c r="R2384" s="100"/>
      <c r="S2384" s="100"/>
      <c r="T2384" s="100"/>
      <c r="U2384" s="100"/>
      <c r="V2384" s="100"/>
      <c r="W2384" s="100"/>
      <c r="X2384" s="100"/>
      <c r="Y2384" s="100"/>
      <c r="Z2384" s="100"/>
    </row>
    <row r="2385" spans="1:26">
      <c r="A2385" s="100"/>
      <c r="B2385" s="100"/>
      <c r="C2385" s="100"/>
      <c r="D2385" s="100"/>
      <c r="E2385" s="100"/>
      <c r="F2385" s="100"/>
      <c r="G2385" s="100"/>
      <c r="H2385" s="100"/>
      <c r="I2385" s="100"/>
      <c r="J2385" s="100"/>
      <c r="K2385" s="100"/>
      <c r="L2385" s="100"/>
      <c r="M2385" s="100"/>
      <c r="N2385" s="100"/>
      <c r="O2385" s="100"/>
      <c r="P2385" s="100"/>
      <c r="Q2385" s="100"/>
      <c r="R2385" s="100"/>
      <c r="S2385" s="100"/>
      <c r="T2385" s="100"/>
      <c r="U2385" s="100"/>
      <c r="V2385" s="100"/>
      <c r="W2385" s="100"/>
      <c r="X2385" s="100"/>
      <c r="Y2385" s="100"/>
      <c r="Z2385" s="100"/>
    </row>
    <row r="2386" spans="1:26">
      <c r="A2386" s="100"/>
      <c r="B2386" s="100"/>
      <c r="C2386" s="100"/>
      <c r="D2386" s="100"/>
      <c r="E2386" s="100"/>
      <c r="F2386" s="100"/>
      <c r="G2386" s="100"/>
      <c r="H2386" s="100"/>
      <c r="I2386" s="100"/>
      <c r="J2386" s="100"/>
      <c r="K2386" s="100"/>
      <c r="L2386" s="100"/>
      <c r="M2386" s="100"/>
      <c r="N2386" s="100"/>
      <c r="O2386" s="100"/>
      <c r="P2386" s="100"/>
      <c r="Q2386" s="100"/>
      <c r="R2386" s="100"/>
      <c r="S2386" s="100"/>
      <c r="T2386" s="100"/>
      <c r="U2386" s="100"/>
      <c r="V2386" s="100"/>
      <c r="W2386" s="100"/>
      <c r="X2386" s="100"/>
      <c r="Y2386" s="100"/>
      <c r="Z2386" s="100"/>
    </row>
    <row r="2387" spans="1:26">
      <c r="A2387" s="100"/>
      <c r="B2387" s="100"/>
      <c r="C2387" s="100"/>
      <c r="D2387" s="100"/>
      <c r="E2387" s="100"/>
      <c r="F2387" s="100"/>
      <c r="G2387" s="100"/>
      <c r="H2387" s="100"/>
      <c r="I2387" s="100"/>
      <c r="J2387" s="100"/>
      <c r="K2387" s="100"/>
      <c r="L2387" s="100"/>
      <c r="M2387" s="100"/>
      <c r="N2387" s="100"/>
      <c r="O2387" s="100"/>
      <c r="P2387" s="100"/>
      <c r="Q2387" s="100"/>
      <c r="R2387" s="100"/>
      <c r="S2387" s="100"/>
      <c r="T2387" s="100"/>
      <c r="U2387" s="100"/>
      <c r="V2387" s="100"/>
      <c r="W2387" s="100"/>
      <c r="X2387" s="100"/>
      <c r="Y2387" s="100"/>
      <c r="Z2387" s="100"/>
    </row>
    <row r="2388" spans="1:26">
      <c r="A2388" s="100"/>
      <c r="B2388" s="100"/>
      <c r="C2388" s="100"/>
      <c r="D2388" s="100"/>
      <c r="E2388" s="100"/>
      <c r="F2388" s="100"/>
      <c r="G2388" s="100"/>
      <c r="H2388" s="100"/>
      <c r="I2388" s="100"/>
      <c r="J2388" s="100"/>
      <c r="K2388" s="100"/>
      <c r="L2388" s="100"/>
      <c r="M2388" s="100"/>
      <c r="N2388" s="100"/>
      <c r="O2388" s="100"/>
      <c r="P2388" s="100"/>
      <c r="Q2388" s="100"/>
      <c r="R2388" s="100"/>
      <c r="S2388" s="100"/>
      <c r="T2388" s="100"/>
      <c r="U2388" s="100"/>
      <c r="V2388" s="100"/>
      <c r="W2388" s="100"/>
      <c r="X2388" s="100"/>
      <c r="Y2388" s="100"/>
      <c r="Z2388" s="100"/>
    </row>
    <row r="2389" spans="1:26">
      <c r="A2389" s="100"/>
      <c r="B2389" s="100"/>
      <c r="C2389" s="100"/>
      <c r="D2389" s="100"/>
      <c r="E2389" s="100"/>
      <c r="F2389" s="100"/>
      <c r="G2389" s="100"/>
      <c r="H2389" s="100"/>
      <c r="I2389" s="100"/>
      <c r="J2389" s="100"/>
      <c r="K2389" s="100"/>
      <c r="L2389" s="100"/>
      <c r="M2389" s="100"/>
      <c r="N2389" s="100"/>
      <c r="O2389" s="100"/>
      <c r="P2389" s="100"/>
      <c r="Q2389" s="100"/>
      <c r="R2389" s="100"/>
      <c r="S2389" s="100"/>
      <c r="T2389" s="100"/>
      <c r="U2389" s="100"/>
      <c r="V2389" s="100"/>
      <c r="W2389" s="100"/>
      <c r="X2389" s="100"/>
      <c r="Y2389" s="100"/>
      <c r="Z2389" s="100"/>
    </row>
    <row r="2390" spans="1:26">
      <c r="A2390" s="100"/>
      <c r="B2390" s="100"/>
      <c r="C2390" s="100"/>
      <c r="D2390" s="100"/>
      <c r="E2390" s="100"/>
      <c r="F2390" s="100"/>
      <c r="G2390" s="100"/>
      <c r="H2390" s="100"/>
      <c r="I2390" s="100"/>
      <c r="J2390" s="100"/>
      <c r="K2390" s="100"/>
      <c r="L2390" s="100"/>
      <c r="M2390" s="100"/>
      <c r="N2390" s="100"/>
      <c r="O2390" s="100"/>
      <c r="P2390" s="100"/>
      <c r="Q2390" s="100"/>
      <c r="R2390" s="100"/>
      <c r="S2390" s="100"/>
      <c r="T2390" s="100"/>
      <c r="U2390" s="100"/>
      <c r="V2390" s="100"/>
      <c r="W2390" s="100"/>
      <c r="X2390" s="100"/>
      <c r="Y2390" s="100"/>
      <c r="Z2390" s="100"/>
    </row>
    <row r="2391" spans="1:26">
      <c r="A2391" s="100"/>
      <c r="B2391" s="100"/>
      <c r="C2391" s="100"/>
      <c r="D2391" s="100"/>
      <c r="E2391" s="100"/>
      <c r="F2391" s="100"/>
      <c r="G2391" s="100"/>
      <c r="H2391" s="100"/>
      <c r="I2391" s="100"/>
      <c r="J2391" s="100"/>
      <c r="K2391" s="100"/>
      <c r="L2391" s="100"/>
      <c r="M2391" s="100"/>
      <c r="N2391" s="100"/>
      <c r="O2391" s="100"/>
      <c r="P2391" s="100"/>
      <c r="Q2391" s="100"/>
      <c r="R2391" s="100"/>
      <c r="S2391" s="100"/>
      <c r="T2391" s="100"/>
      <c r="U2391" s="100"/>
      <c r="V2391" s="100"/>
      <c r="W2391" s="100"/>
      <c r="X2391" s="100"/>
      <c r="Y2391" s="100"/>
      <c r="Z2391" s="100"/>
    </row>
    <row r="2392" spans="1:26">
      <c r="A2392" s="100"/>
      <c r="B2392" s="100"/>
      <c r="C2392" s="100"/>
      <c r="D2392" s="100"/>
      <c r="E2392" s="100"/>
      <c r="F2392" s="100"/>
      <c r="G2392" s="100"/>
      <c r="H2392" s="100"/>
      <c r="I2392" s="100"/>
      <c r="J2392" s="100"/>
      <c r="K2392" s="100"/>
      <c r="L2392" s="100"/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</row>
    <row r="2393" spans="1:26">
      <c r="A2393" s="100"/>
      <c r="B2393" s="100"/>
      <c r="C2393" s="100"/>
      <c r="D2393" s="100"/>
      <c r="E2393" s="100"/>
      <c r="F2393" s="100"/>
      <c r="G2393" s="100"/>
      <c r="H2393" s="100"/>
      <c r="I2393" s="100"/>
      <c r="J2393" s="100"/>
      <c r="K2393" s="100"/>
      <c r="L2393" s="100"/>
      <c r="M2393" s="100"/>
      <c r="N2393" s="100"/>
      <c r="O2393" s="100"/>
      <c r="P2393" s="100"/>
      <c r="Q2393" s="100"/>
      <c r="R2393" s="100"/>
      <c r="S2393" s="100"/>
      <c r="T2393" s="100"/>
      <c r="U2393" s="100"/>
      <c r="V2393" s="100"/>
      <c r="W2393" s="100"/>
      <c r="X2393" s="100"/>
      <c r="Y2393" s="100"/>
      <c r="Z2393" s="100"/>
    </row>
    <row r="2394" spans="1:26">
      <c r="A2394" s="100"/>
      <c r="B2394" s="100"/>
      <c r="C2394" s="100"/>
      <c r="D2394" s="100"/>
      <c r="E2394" s="100"/>
      <c r="F2394" s="100"/>
      <c r="G2394" s="100"/>
      <c r="H2394" s="100"/>
      <c r="I2394" s="100"/>
      <c r="J2394" s="100"/>
      <c r="K2394" s="100"/>
      <c r="L2394" s="100"/>
      <c r="M2394" s="100"/>
      <c r="N2394" s="100"/>
      <c r="O2394" s="100"/>
      <c r="P2394" s="100"/>
      <c r="Q2394" s="100"/>
      <c r="R2394" s="100"/>
      <c r="S2394" s="100"/>
      <c r="T2394" s="100"/>
      <c r="U2394" s="100"/>
      <c r="V2394" s="100"/>
      <c r="W2394" s="100"/>
      <c r="X2394" s="100"/>
      <c r="Y2394" s="100"/>
      <c r="Z2394" s="100"/>
    </row>
    <row r="2395" spans="1:26">
      <c r="A2395" s="100"/>
      <c r="B2395" s="100"/>
      <c r="C2395" s="100"/>
      <c r="D2395" s="100"/>
      <c r="E2395" s="100"/>
      <c r="F2395" s="100"/>
      <c r="G2395" s="100"/>
      <c r="H2395" s="100"/>
      <c r="I2395" s="100"/>
      <c r="J2395" s="100"/>
      <c r="K2395" s="100"/>
      <c r="L2395" s="100"/>
      <c r="M2395" s="100"/>
      <c r="N2395" s="100"/>
      <c r="O2395" s="100"/>
      <c r="P2395" s="100"/>
      <c r="Q2395" s="100"/>
      <c r="R2395" s="100"/>
      <c r="S2395" s="100"/>
      <c r="T2395" s="100"/>
      <c r="U2395" s="100"/>
      <c r="V2395" s="100"/>
      <c r="W2395" s="100"/>
      <c r="X2395" s="100"/>
      <c r="Y2395" s="100"/>
      <c r="Z2395" s="100"/>
    </row>
    <row r="2396" spans="1:26">
      <c r="A2396" s="100"/>
      <c r="B2396" s="100"/>
      <c r="C2396" s="100"/>
      <c r="D2396" s="100"/>
      <c r="E2396" s="100"/>
      <c r="F2396" s="100"/>
      <c r="G2396" s="100"/>
      <c r="H2396" s="100"/>
      <c r="I2396" s="100"/>
      <c r="J2396" s="100"/>
      <c r="K2396" s="100"/>
      <c r="L2396" s="100"/>
      <c r="M2396" s="100"/>
      <c r="N2396" s="100"/>
      <c r="O2396" s="100"/>
      <c r="P2396" s="100"/>
      <c r="Q2396" s="100"/>
      <c r="R2396" s="100"/>
      <c r="S2396" s="100"/>
      <c r="T2396" s="100"/>
      <c r="U2396" s="100"/>
      <c r="V2396" s="100"/>
      <c r="W2396" s="100"/>
      <c r="X2396" s="100"/>
      <c r="Y2396" s="100"/>
      <c r="Z2396" s="100"/>
    </row>
    <row r="2397" spans="1:26">
      <c r="A2397" s="100"/>
      <c r="B2397" s="100"/>
      <c r="C2397" s="100"/>
      <c r="D2397" s="100"/>
      <c r="E2397" s="100"/>
      <c r="F2397" s="100"/>
      <c r="G2397" s="100"/>
      <c r="H2397" s="100"/>
      <c r="I2397" s="100"/>
      <c r="J2397" s="100"/>
      <c r="K2397" s="100"/>
      <c r="L2397" s="100"/>
      <c r="M2397" s="100"/>
      <c r="N2397" s="100"/>
      <c r="O2397" s="100"/>
      <c r="P2397" s="100"/>
      <c r="Q2397" s="100"/>
      <c r="R2397" s="100"/>
      <c r="S2397" s="100"/>
      <c r="T2397" s="100"/>
      <c r="U2397" s="100"/>
      <c r="V2397" s="100"/>
      <c r="W2397" s="100"/>
      <c r="X2397" s="100"/>
      <c r="Y2397" s="100"/>
      <c r="Z2397" s="100"/>
    </row>
    <row r="2398" spans="1:26">
      <c r="A2398" s="100"/>
      <c r="B2398" s="100"/>
      <c r="C2398" s="100"/>
      <c r="D2398" s="100"/>
      <c r="E2398" s="100"/>
      <c r="F2398" s="100"/>
      <c r="G2398" s="100"/>
      <c r="H2398" s="100"/>
      <c r="I2398" s="100"/>
      <c r="J2398" s="100"/>
      <c r="K2398" s="100"/>
      <c r="L2398" s="100"/>
      <c r="M2398" s="100"/>
      <c r="N2398" s="100"/>
      <c r="O2398" s="100"/>
      <c r="P2398" s="100"/>
      <c r="Q2398" s="100"/>
      <c r="R2398" s="100"/>
      <c r="S2398" s="100"/>
      <c r="T2398" s="100"/>
      <c r="U2398" s="100"/>
      <c r="V2398" s="100"/>
      <c r="W2398" s="100"/>
      <c r="X2398" s="100"/>
      <c r="Y2398" s="100"/>
      <c r="Z2398" s="100"/>
    </row>
    <row r="2399" spans="1:26">
      <c r="A2399" s="100"/>
      <c r="B2399" s="100"/>
      <c r="C2399" s="100"/>
      <c r="D2399" s="100"/>
      <c r="E2399" s="100"/>
      <c r="F2399" s="100"/>
      <c r="G2399" s="100"/>
      <c r="H2399" s="100"/>
      <c r="I2399" s="100"/>
      <c r="J2399" s="100"/>
      <c r="K2399" s="100"/>
      <c r="L2399" s="100"/>
      <c r="M2399" s="100"/>
      <c r="N2399" s="100"/>
      <c r="O2399" s="100"/>
      <c r="P2399" s="100"/>
      <c r="Q2399" s="100"/>
      <c r="R2399" s="100"/>
      <c r="S2399" s="100"/>
      <c r="T2399" s="100"/>
      <c r="U2399" s="100"/>
      <c r="V2399" s="100"/>
      <c r="W2399" s="100"/>
      <c r="X2399" s="100"/>
      <c r="Y2399" s="100"/>
      <c r="Z2399" s="100"/>
    </row>
    <row r="2400" spans="1:26">
      <c r="A2400" s="100"/>
      <c r="B2400" s="100"/>
      <c r="C2400" s="100"/>
      <c r="D2400" s="100"/>
      <c r="E2400" s="100"/>
      <c r="F2400" s="100"/>
      <c r="G2400" s="100"/>
      <c r="H2400" s="100"/>
      <c r="I2400" s="100"/>
      <c r="J2400" s="100"/>
      <c r="K2400" s="100"/>
      <c r="L2400" s="100"/>
      <c r="M2400" s="100"/>
      <c r="N2400" s="100"/>
      <c r="O2400" s="100"/>
      <c r="P2400" s="100"/>
      <c r="Q2400" s="100"/>
      <c r="R2400" s="100"/>
      <c r="S2400" s="100"/>
      <c r="T2400" s="100"/>
      <c r="U2400" s="100"/>
      <c r="V2400" s="100"/>
      <c r="W2400" s="100"/>
      <c r="X2400" s="100"/>
      <c r="Y2400" s="100"/>
      <c r="Z2400" s="100"/>
    </row>
    <row r="2401" spans="1:26">
      <c r="A2401" s="100"/>
      <c r="B2401" s="100"/>
      <c r="C2401" s="100"/>
      <c r="D2401" s="100"/>
      <c r="E2401" s="100"/>
      <c r="F2401" s="100"/>
      <c r="G2401" s="100"/>
      <c r="H2401" s="100"/>
      <c r="I2401" s="100"/>
      <c r="J2401" s="100"/>
      <c r="K2401" s="100"/>
      <c r="L2401" s="100"/>
      <c r="M2401" s="100"/>
      <c r="N2401" s="100"/>
      <c r="O2401" s="100"/>
      <c r="P2401" s="100"/>
      <c r="Q2401" s="100"/>
      <c r="R2401" s="100"/>
      <c r="S2401" s="100"/>
      <c r="T2401" s="100"/>
      <c r="U2401" s="100"/>
      <c r="V2401" s="100"/>
      <c r="W2401" s="100"/>
      <c r="X2401" s="100"/>
      <c r="Y2401" s="100"/>
      <c r="Z2401" s="100"/>
    </row>
    <row r="2402" spans="1:26">
      <c r="A2402" s="100"/>
      <c r="B2402" s="100"/>
      <c r="C2402" s="100"/>
      <c r="D2402" s="100"/>
      <c r="E2402" s="100"/>
      <c r="F2402" s="100"/>
      <c r="G2402" s="100"/>
      <c r="H2402" s="100"/>
      <c r="I2402" s="100"/>
      <c r="J2402" s="100"/>
      <c r="K2402" s="100"/>
      <c r="L2402" s="100"/>
      <c r="M2402" s="100"/>
      <c r="N2402" s="100"/>
      <c r="O2402" s="100"/>
      <c r="P2402" s="100"/>
      <c r="Q2402" s="100"/>
      <c r="R2402" s="100"/>
      <c r="S2402" s="100"/>
      <c r="T2402" s="100"/>
      <c r="U2402" s="100"/>
      <c r="V2402" s="100"/>
      <c r="W2402" s="100"/>
      <c r="X2402" s="100"/>
      <c r="Y2402" s="100"/>
      <c r="Z2402" s="100"/>
    </row>
    <row r="2403" spans="1:26">
      <c r="A2403" s="100"/>
      <c r="B2403" s="100"/>
      <c r="C2403" s="100"/>
      <c r="D2403" s="100"/>
      <c r="E2403" s="100"/>
      <c r="F2403" s="100"/>
      <c r="G2403" s="100"/>
      <c r="H2403" s="100"/>
      <c r="I2403" s="100"/>
      <c r="J2403" s="100"/>
      <c r="K2403" s="100"/>
      <c r="L2403" s="100"/>
      <c r="M2403" s="100"/>
      <c r="N2403" s="100"/>
      <c r="O2403" s="100"/>
      <c r="P2403" s="100"/>
      <c r="Q2403" s="100"/>
      <c r="R2403" s="100"/>
      <c r="S2403" s="100"/>
      <c r="T2403" s="100"/>
      <c r="U2403" s="100"/>
      <c r="V2403" s="100"/>
      <c r="W2403" s="100"/>
      <c r="X2403" s="100"/>
      <c r="Y2403" s="100"/>
      <c r="Z2403" s="100"/>
    </row>
    <row r="2404" spans="1:26">
      <c r="A2404" s="100"/>
      <c r="B2404" s="100"/>
      <c r="C2404" s="100"/>
      <c r="D2404" s="100"/>
      <c r="E2404" s="100"/>
      <c r="F2404" s="100"/>
      <c r="G2404" s="100"/>
      <c r="H2404" s="100"/>
      <c r="I2404" s="100"/>
      <c r="J2404" s="100"/>
      <c r="K2404" s="100"/>
      <c r="L2404" s="100"/>
      <c r="M2404" s="100"/>
      <c r="N2404" s="100"/>
      <c r="O2404" s="100"/>
      <c r="P2404" s="100"/>
      <c r="Q2404" s="100"/>
      <c r="R2404" s="100"/>
      <c r="S2404" s="100"/>
      <c r="T2404" s="100"/>
      <c r="U2404" s="100"/>
      <c r="V2404" s="100"/>
      <c r="W2404" s="100"/>
      <c r="X2404" s="100"/>
      <c r="Y2404" s="100"/>
      <c r="Z2404" s="100"/>
    </row>
    <row r="2405" spans="1:26">
      <c r="A2405" s="100"/>
      <c r="B2405" s="100"/>
      <c r="C2405" s="100"/>
      <c r="D2405" s="100"/>
      <c r="E2405" s="100"/>
      <c r="F2405" s="100"/>
      <c r="G2405" s="100"/>
      <c r="H2405" s="100"/>
      <c r="I2405" s="100"/>
      <c r="J2405" s="100"/>
      <c r="K2405" s="100"/>
      <c r="L2405" s="100"/>
      <c r="M2405" s="100"/>
      <c r="N2405" s="100"/>
      <c r="O2405" s="100"/>
      <c r="P2405" s="100"/>
      <c r="Q2405" s="100"/>
      <c r="R2405" s="100"/>
      <c r="S2405" s="100"/>
      <c r="T2405" s="100"/>
      <c r="U2405" s="100"/>
      <c r="V2405" s="100"/>
      <c r="W2405" s="100"/>
      <c r="X2405" s="100"/>
      <c r="Y2405" s="100"/>
      <c r="Z2405" s="100"/>
    </row>
    <row r="2406" spans="1:26">
      <c r="A2406" s="100"/>
      <c r="B2406" s="100"/>
      <c r="C2406" s="100"/>
      <c r="D2406" s="100"/>
      <c r="E2406" s="100"/>
      <c r="F2406" s="100"/>
      <c r="G2406" s="100"/>
      <c r="H2406" s="100"/>
      <c r="I2406" s="100"/>
      <c r="J2406" s="100"/>
      <c r="K2406" s="100"/>
      <c r="L2406" s="100"/>
      <c r="M2406" s="100"/>
      <c r="N2406" s="100"/>
      <c r="O2406" s="100"/>
      <c r="P2406" s="100"/>
      <c r="Q2406" s="100"/>
      <c r="R2406" s="100"/>
      <c r="S2406" s="100"/>
      <c r="T2406" s="100"/>
      <c r="U2406" s="100"/>
      <c r="V2406" s="100"/>
      <c r="W2406" s="100"/>
      <c r="X2406" s="100"/>
      <c r="Y2406" s="100"/>
      <c r="Z2406" s="100"/>
    </row>
    <row r="2407" spans="1:26">
      <c r="A2407" s="100"/>
      <c r="B2407" s="100"/>
      <c r="C2407" s="100"/>
      <c r="D2407" s="100"/>
      <c r="E2407" s="100"/>
      <c r="F2407" s="100"/>
      <c r="G2407" s="100"/>
      <c r="H2407" s="100"/>
      <c r="I2407" s="100"/>
      <c r="J2407" s="100"/>
      <c r="K2407" s="100"/>
      <c r="L2407" s="100"/>
      <c r="M2407" s="100"/>
      <c r="N2407" s="100"/>
      <c r="O2407" s="100"/>
      <c r="P2407" s="100"/>
      <c r="Q2407" s="100"/>
      <c r="R2407" s="100"/>
      <c r="S2407" s="100"/>
      <c r="T2407" s="100"/>
      <c r="U2407" s="100"/>
      <c r="V2407" s="100"/>
      <c r="W2407" s="100"/>
      <c r="X2407" s="100"/>
      <c r="Y2407" s="100"/>
      <c r="Z2407" s="100"/>
    </row>
    <row r="2408" spans="1:26">
      <c r="A2408" s="100"/>
      <c r="B2408" s="100"/>
      <c r="C2408" s="100"/>
      <c r="D2408" s="100"/>
      <c r="E2408" s="100"/>
      <c r="F2408" s="100"/>
      <c r="G2408" s="100"/>
      <c r="H2408" s="100"/>
      <c r="I2408" s="100"/>
      <c r="J2408" s="100"/>
      <c r="K2408" s="100"/>
      <c r="L2408" s="100"/>
      <c r="M2408" s="100"/>
      <c r="N2408" s="100"/>
      <c r="O2408" s="100"/>
      <c r="P2408" s="100"/>
      <c r="Q2408" s="100"/>
      <c r="R2408" s="100"/>
      <c r="S2408" s="100"/>
      <c r="T2408" s="100"/>
      <c r="U2408" s="100"/>
      <c r="V2408" s="100"/>
      <c r="W2408" s="100"/>
      <c r="X2408" s="100"/>
      <c r="Y2408" s="100"/>
      <c r="Z2408" s="100"/>
    </row>
    <row r="2409" spans="1:26">
      <c r="A2409" s="100"/>
      <c r="B2409" s="100"/>
      <c r="C2409" s="100"/>
      <c r="D2409" s="100"/>
      <c r="E2409" s="100"/>
      <c r="F2409" s="100"/>
      <c r="G2409" s="100"/>
      <c r="H2409" s="100"/>
      <c r="I2409" s="100"/>
      <c r="J2409" s="100"/>
      <c r="K2409" s="100"/>
      <c r="L2409" s="100"/>
      <c r="M2409" s="100"/>
      <c r="N2409" s="100"/>
      <c r="O2409" s="100"/>
      <c r="P2409" s="100"/>
      <c r="Q2409" s="100"/>
      <c r="R2409" s="100"/>
      <c r="S2409" s="100"/>
      <c r="T2409" s="100"/>
      <c r="U2409" s="100"/>
      <c r="V2409" s="100"/>
      <c r="W2409" s="100"/>
      <c r="X2409" s="100"/>
      <c r="Y2409" s="100"/>
      <c r="Z2409" s="100"/>
    </row>
    <row r="2410" spans="1:26">
      <c r="A2410" s="100"/>
      <c r="B2410" s="100"/>
      <c r="C2410" s="100"/>
      <c r="D2410" s="100"/>
      <c r="E2410" s="100"/>
      <c r="F2410" s="100"/>
      <c r="G2410" s="100"/>
      <c r="H2410" s="100"/>
      <c r="I2410" s="100"/>
      <c r="J2410" s="100"/>
      <c r="K2410" s="100"/>
      <c r="L2410" s="100"/>
      <c r="M2410" s="100"/>
      <c r="N2410" s="100"/>
      <c r="O2410" s="100"/>
      <c r="P2410" s="100"/>
      <c r="Q2410" s="100"/>
      <c r="R2410" s="100"/>
      <c r="S2410" s="100"/>
      <c r="T2410" s="100"/>
      <c r="U2410" s="100"/>
      <c r="V2410" s="100"/>
      <c r="W2410" s="100"/>
      <c r="X2410" s="100"/>
      <c r="Y2410" s="100"/>
      <c r="Z2410" s="100"/>
    </row>
    <row r="2411" spans="1:26">
      <c r="A2411" s="100"/>
      <c r="B2411" s="100"/>
      <c r="C2411" s="100"/>
      <c r="D2411" s="100"/>
      <c r="E2411" s="100"/>
      <c r="F2411" s="100"/>
      <c r="G2411" s="100"/>
      <c r="H2411" s="100"/>
      <c r="I2411" s="100"/>
      <c r="J2411" s="100"/>
      <c r="K2411" s="100"/>
      <c r="L2411" s="100"/>
      <c r="M2411" s="100"/>
      <c r="N2411" s="100"/>
      <c r="O2411" s="100"/>
      <c r="P2411" s="100"/>
      <c r="Q2411" s="100"/>
      <c r="R2411" s="100"/>
      <c r="S2411" s="100"/>
      <c r="T2411" s="100"/>
      <c r="U2411" s="100"/>
      <c r="V2411" s="100"/>
      <c r="W2411" s="100"/>
      <c r="X2411" s="100"/>
      <c r="Y2411" s="100"/>
      <c r="Z2411" s="100"/>
    </row>
    <row r="2412" spans="1:26">
      <c r="A2412" s="100"/>
      <c r="B2412" s="100"/>
      <c r="C2412" s="100"/>
      <c r="D2412" s="100"/>
      <c r="E2412" s="100"/>
      <c r="F2412" s="100"/>
      <c r="G2412" s="100"/>
      <c r="H2412" s="100"/>
      <c r="I2412" s="100"/>
      <c r="J2412" s="100"/>
      <c r="K2412" s="100"/>
      <c r="L2412" s="100"/>
      <c r="M2412" s="100"/>
      <c r="N2412" s="100"/>
      <c r="O2412" s="100"/>
      <c r="P2412" s="100"/>
      <c r="Q2412" s="100"/>
      <c r="R2412" s="100"/>
      <c r="S2412" s="100"/>
      <c r="T2412" s="100"/>
      <c r="U2412" s="100"/>
      <c r="V2412" s="100"/>
      <c r="W2412" s="100"/>
      <c r="X2412" s="100"/>
      <c r="Y2412" s="100"/>
      <c r="Z2412" s="100"/>
    </row>
    <row r="2413" spans="1:26">
      <c r="A2413" s="100"/>
      <c r="B2413" s="100"/>
      <c r="C2413" s="100"/>
      <c r="D2413" s="100"/>
      <c r="E2413" s="100"/>
      <c r="F2413" s="100"/>
      <c r="G2413" s="100"/>
      <c r="H2413" s="100"/>
      <c r="I2413" s="100"/>
      <c r="J2413" s="100"/>
      <c r="K2413" s="100"/>
      <c r="L2413" s="100"/>
      <c r="M2413" s="100"/>
      <c r="N2413" s="100"/>
      <c r="O2413" s="100"/>
      <c r="P2413" s="100"/>
      <c r="Q2413" s="100"/>
      <c r="R2413" s="100"/>
      <c r="S2413" s="100"/>
      <c r="T2413" s="100"/>
      <c r="U2413" s="100"/>
      <c r="V2413" s="100"/>
      <c r="W2413" s="100"/>
      <c r="X2413" s="100"/>
      <c r="Y2413" s="100"/>
      <c r="Z2413" s="100"/>
    </row>
    <row r="2414" spans="1:26">
      <c r="A2414" s="100"/>
      <c r="B2414" s="100"/>
      <c r="C2414" s="100"/>
      <c r="D2414" s="100"/>
      <c r="E2414" s="100"/>
      <c r="F2414" s="100"/>
      <c r="G2414" s="100"/>
      <c r="H2414" s="100"/>
      <c r="I2414" s="100"/>
      <c r="J2414" s="100"/>
      <c r="K2414" s="100"/>
      <c r="L2414" s="100"/>
      <c r="M2414" s="100"/>
      <c r="N2414" s="100"/>
      <c r="O2414" s="100"/>
      <c r="P2414" s="100"/>
      <c r="Q2414" s="100"/>
      <c r="R2414" s="100"/>
      <c r="S2414" s="100"/>
      <c r="T2414" s="100"/>
      <c r="U2414" s="100"/>
      <c r="V2414" s="100"/>
      <c r="W2414" s="100"/>
      <c r="X2414" s="100"/>
      <c r="Y2414" s="100"/>
      <c r="Z2414" s="100"/>
    </row>
    <row r="2415" spans="1:26">
      <c r="A2415" s="100"/>
      <c r="B2415" s="100"/>
      <c r="C2415" s="100"/>
      <c r="D2415" s="100"/>
      <c r="E2415" s="100"/>
      <c r="F2415" s="100"/>
      <c r="G2415" s="100"/>
      <c r="H2415" s="100"/>
      <c r="I2415" s="100"/>
      <c r="J2415" s="100"/>
      <c r="K2415" s="100"/>
      <c r="L2415" s="100"/>
      <c r="M2415" s="100"/>
      <c r="N2415" s="100"/>
      <c r="O2415" s="100"/>
      <c r="P2415" s="100"/>
      <c r="Q2415" s="100"/>
      <c r="R2415" s="100"/>
      <c r="S2415" s="100"/>
      <c r="T2415" s="100"/>
      <c r="U2415" s="100"/>
      <c r="V2415" s="100"/>
      <c r="W2415" s="100"/>
      <c r="X2415" s="100"/>
      <c r="Y2415" s="100"/>
      <c r="Z2415" s="100"/>
    </row>
    <row r="2416" spans="1:26">
      <c r="A2416" s="100"/>
      <c r="B2416" s="100"/>
      <c r="C2416" s="100"/>
      <c r="D2416" s="100"/>
      <c r="E2416" s="100"/>
      <c r="F2416" s="100"/>
      <c r="G2416" s="100"/>
      <c r="H2416" s="100"/>
      <c r="I2416" s="100"/>
      <c r="J2416" s="100"/>
      <c r="K2416" s="100"/>
      <c r="L2416" s="100"/>
      <c r="M2416" s="100"/>
      <c r="N2416" s="100"/>
      <c r="O2416" s="100"/>
      <c r="P2416" s="100"/>
      <c r="Q2416" s="100"/>
      <c r="R2416" s="100"/>
      <c r="S2416" s="100"/>
      <c r="T2416" s="100"/>
      <c r="U2416" s="100"/>
      <c r="V2416" s="100"/>
      <c r="W2416" s="100"/>
      <c r="X2416" s="100"/>
      <c r="Y2416" s="100"/>
      <c r="Z2416" s="100"/>
    </row>
    <row r="2417" spans="1:26">
      <c r="A2417" s="100"/>
      <c r="B2417" s="100"/>
      <c r="C2417" s="100"/>
      <c r="D2417" s="100"/>
      <c r="E2417" s="100"/>
      <c r="F2417" s="100"/>
      <c r="G2417" s="100"/>
      <c r="H2417" s="100"/>
      <c r="I2417" s="100"/>
      <c r="J2417" s="100"/>
      <c r="K2417" s="100"/>
      <c r="L2417" s="100"/>
      <c r="M2417" s="100"/>
      <c r="N2417" s="100"/>
      <c r="O2417" s="100"/>
      <c r="P2417" s="100"/>
      <c r="Q2417" s="100"/>
      <c r="R2417" s="100"/>
      <c r="S2417" s="100"/>
      <c r="T2417" s="100"/>
      <c r="U2417" s="100"/>
      <c r="V2417" s="100"/>
      <c r="W2417" s="100"/>
      <c r="X2417" s="100"/>
      <c r="Y2417" s="100"/>
      <c r="Z2417" s="100"/>
    </row>
    <row r="2418" spans="1:26">
      <c r="A2418" s="100"/>
      <c r="B2418" s="100"/>
      <c r="C2418" s="100"/>
      <c r="D2418" s="100"/>
      <c r="E2418" s="100"/>
      <c r="F2418" s="100"/>
      <c r="G2418" s="100"/>
      <c r="H2418" s="100"/>
      <c r="I2418" s="100"/>
      <c r="J2418" s="100"/>
      <c r="K2418" s="100"/>
      <c r="L2418" s="100"/>
      <c r="M2418" s="100"/>
      <c r="N2418" s="100"/>
      <c r="O2418" s="100"/>
      <c r="P2418" s="100"/>
      <c r="Q2418" s="100"/>
      <c r="R2418" s="100"/>
      <c r="S2418" s="100"/>
      <c r="T2418" s="100"/>
      <c r="U2418" s="100"/>
      <c r="V2418" s="100"/>
      <c r="W2418" s="100"/>
      <c r="X2418" s="100"/>
      <c r="Y2418" s="100"/>
      <c r="Z2418" s="100"/>
    </row>
    <row r="2419" spans="1:26">
      <c r="A2419" s="100"/>
      <c r="B2419" s="100"/>
      <c r="C2419" s="100"/>
      <c r="D2419" s="100"/>
      <c r="E2419" s="100"/>
      <c r="F2419" s="100"/>
      <c r="G2419" s="100"/>
      <c r="H2419" s="100"/>
      <c r="I2419" s="100"/>
      <c r="J2419" s="100"/>
      <c r="K2419" s="100"/>
      <c r="L2419" s="100"/>
      <c r="M2419" s="100"/>
      <c r="N2419" s="100"/>
      <c r="O2419" s="100"/>
      <c r="P2419" s="100"/>
      <c r="Q2419" s="100"/>
      <c r="R2419" s="100"/>
      <c r="S2419" s="100"/>
      <c r="T2419" s="100"/>
      <c r="U2419" s="100"/>
      <c r="V2419" s="100"/>
      <c r="W2419" s="100"/>
      <c r="X2419" s="100"/>
      <c r="Y2419" s="100"/>
      <c r="Z2419" s="100"/>
    </row>
    <row r="2420" spans="1:26">
      <c r="A2420" s="100"/>
      <c r="B2420" s="100"/>
      <c r="C2420" s="100"/>
      <c r="D2420" s="100"/>
      <c r="E2420" s="100"/>
      <c r="F2420" s="100"/>
      <c r="G2420" s="100"/>
      <c r="H2420" s="100"/>
      <c r="I2420" s="100"/>
      <c r="J2420" s="100"/>
      <c r="K2420" s="100"/>
      <c r="L2420" s="100"/>
      <c r="M2420" s="100"/>
      <c r="N2420" s="100"/>
      <c r="O2420" s="100"/>
      <c r="P2420" s="100"/>
      <c r="Q2420" s="100"/>
      <c r="R2420" s="100"/>
      <c r="S2420" s="100"/>
      <c r="T2420" s="100"/>
      <c r="U2420" s="100"/>
      <c r="V2420" s="100"/>
      <c r="W2420" s="100"/>
      <c r="X2420" s="100"/>
      <c r="Y2420" s="100"/>
      <c r="Z2420" s="100"/>
    </row>
    <row r="2421" spans="1:26">
      <c r="A2421" s="100"/>
      <c r="B2421" s="100"/>
      <c r="C2421" s="100"/>
      <c r="D2421" s="100"/>
      <c r="E2421" s="100"/>
      <c r="F2421" s="100"/>
      <c r="G2421" s="100"/>
      <c r="H2421" s="100"/>
      <c r="I2421" s="100"/>
      <c r="J2421" s="100"/>
      <c r="K2421" s="100"/>
      <c r="L2421" s="100"/>
      <c r="M2421" s="100"/>
      <c r="N2421" s="100"/>
      <c r="O2421" s="100"/>
      <c r="P2421" s="100"/>
      <c r="Q2421" s="100"/>
      <c r="R2421" s="100"/>
      <c r="S2421" s="100"/>
      <c r="T2421" s="100"/>
      <c r="U2421" s="100"/>
      <c r="V2421" s="100"/>
      <c r="W2421" s="100"/>
      <c r="X2421" s="100"/>
      <c r="Y2421" s="100"/>
      <c r="Z2421" s="100"/>
    </row>
    <row r="2422" spans="1:26">
      <c r="A2422" s="100"/>
      <c r="B2422" s="100"/>
      <c r="C2422" s="100"/>
      <c r="D2422" s="100"/>
      <c r="E2422" s="100"/>
      <c r="F2422" s="100"/>
      <c r="G2422" s="100"/>
      <c r="H2422" s="100"/>
      <c r="I2422" s="100"/>
      <c r="J2422" s="100"/>
      <c r="K2422" s="100"/>
      <c r="L2422" s="100"/>
      <c r="M2422" s="100"/>
      <c r="N2422" s="100"/>
      <c r="O2422" s="100"/>
      <c r="P2422" s="100"/>
      <c r="Q2422" s="100"/>
      <c r="R2422" s="100"/>
      <c r="S2422" s="100"/>
      <c r="T2422" s="100"/>
      <c r="U2422" s="100"/>
      <c r="V2422" s="100"/>
      <c r="W2422" s="100"/>
      <c r="X2422" s="100"/>
      <c r="Y2422" s="100"/>
      <c r="Z2422" s="100"/>
    </row>
    <row r="2423" spans="1:26">
      <c r="A2423" s="100"/>
      <c r="B2423" s="100"/>
      <c r="C2423" s="100"/>
      <c r="D2423" s="100"/>
      <c r="E2423" s="100"/>
      <c r="F2423" s="100"/>
      <c r="G2423" s="100"/>
      <c r="H2423" s="100"/>
      <c r="I2423" s="100"/>
      <c r="J2423" s="100"/>
      <c r="K2423" s="100"/>
      <c r="L2423" s="100"/>
      <c r="M2423" s="100"/>
      <c r="N2423" s="100"/>
      <c r="O2423" s="100"/>
      <c r="P2423" s="100"/>
      <c r="Q2423" s="100"/>
      <c r="R2423" s="100"/>
      <c r="S2423" s="100"/>
      <c r="T2423" s="100"/>
      <c r="U2423" s="100"/>
      <c r="V2423" s="100"/>
      <c r="W2423" s="100"/>
      <c r="X2423" s="100"/>
      <c r="Y2423" s="100"/>
      <c r="Z2423" s="100"/>
    </row>
    <row r="2424" spans="1:26">
      <c r="A2424" s="100"/>
      <c r="B2424" s="100"/>
      <c r="C2424" s="100"/>
      <c r="D2424" s="100"/>
      <c r="E2424" s="100"/>
      <c r="F2424" s="100"/>
      <c r="G2424" s="100"/>
      <c r="H2424" s="100"/>
      <c r="I2424" s="100"/>
      <c r="J2424" s="100"/>
      <c r="K2424" s="100"/>
      <c r="L2424" s="100"/>
      <c r="M2424" s="100"/>
      <c r="N2424" s="100"/>
      <c r="O2424" s="100"/>
      <c r="P2424" s="100"/>
      <c r="Q2424" s="100"/>
      <c r="R2424" s="100"/>
      <c r="S2424" s="100"/>
      <c r="T2424" s="100"/>
      <c r="U2424" s="100"/>
      <c r="V2424" s="100"/>
      <c r="W2424" s="100"/>
      <c r="X2424" s="100"/>
      <c r="Y2424" s="100"/>
      <c r="Z2424" s="100"/>
    </row>
    <row r="2425" spans="1:26">
      <c r="A2425" s="100"/>
      <c r="B2425" s="100"/>
      <c r="C2425" s="100"/>
      <c r="D2425" s="100"/>
      <c r="E2425" s="100"/>
      <c r="F2425" s="100"/>
      <c r="G2425" s="100"/>
      <c r="H2425" s="100"/>
      <c r="I2425" s="100"/>
      <c r="J2425" s="100"/>
      <c r="K2425" s="100"/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</row>
    <row r="2426" spans="1:26">
      <c r="A2426" s="100"/>
      <c r="B2426" s="100"/>
      <c r="C2426" s="100"/>
      <c r="D2426" s="100"/>
      <c r="E2426" s="100"/>
      <c r="F2426" s="100"/>
      <c r="G2426" s="100"/>
      <c r="H2426" s="100"/>
      <c r="I2426" s="100"/>
      <c r="J2426" s="100"/>
      <c r="K2426" s="100"/>
      <c r="L2426" s="100"/>
      <c r="M2426" s="100"/>
      <c r="N2426" s="100"/>
      <c r="O2426" s="100"/>
      <c r="P2426" s="100"/>
      <c r="Q2426" s="100"/>
      <c r="R2426" s="100"/>
      <c r="S2426" s="100"/>
      <c r="T2426" s="100"/>
      <c r="U2426" s="100"/>
      <c r="V2426" s="100"/>
      <c r="W2426" s="100"/>
      <c r="X2426" s="100"/>
      <c r="Y2426" s="100"/>
      <c r="Z2426" s="100"/>
    </row>
    <row r="2427" spans="1:26">
      <c r="A2427" s="100"/>
      <c r="B2427" s="100"/>
      <c r="C2427" s="100"/>
      <c r="D2427" s="100"/>
      <c r="E2427" s="100"/>
      <c r="F2427" s="100"/>
      <c r="G2427" s="100"/>
      <c r="H2427" s="100"/>
      <c r="I2427" s="100"/>
      <c r="J2427" s="100"/>
      <c r="K2427" s="100"/>
      <c r="L2427" s="100"/>
      <c r="M2427" s="100"/>
      <c r="N2427" s="100"/>
      <c r="O2427" s="100"/>
      <c r="P2427" s="100"/>
      <c r="Q2427" s="100"/>
      <c r="R2427" s="100"/>
      <c r="S2427" s="100"/>
      <c r="T2427" s="100"/>
      <c r="U2427" s="100"/>
      <c r="V2427" s="100"/>
      <c r="W2427" s="100"/>
      <c r="X2427" s="100"/>
      <c r="Y2427" s="100"/>
      <c r="Z2427" s="100"/>
    </row>
    <row r="2428" spans="1:26">
      <c r="A2428" s="100"/>
      <c r="B2428" s="100"/>
      <c r="C2428" s="100"/>
      <c r="D2428" s="100"/>
      <c r="E2428" s="100"/>
      <c r="F2428" s="100"/>
      <c r="G2428" s="100"/>
      <c r="H2428" s="100"/>
      <c r="I2428" s="100"/>
      <c r="J2428" s="100"/>
      <c r="K2428" s="100"/>
      <c r="L2428" s="100"/>
      <c r="M2428" s="100"/>
      <c r="N2428" s="100"/>
      <c r="O2428" s="100"/>
      <c r="P2428" s="100"/>
      <c r="Q2428" s="100"/>
      <c r="R2428" s="100"/>
      <c r="S2428" s="100"/>
      <c r="T2428" s="100"/>
      <c r="U2428" s="100"/>
      <c r="V2428" s="100"/>
      <c r="W2428" s="100"/>
      <c r="X2428" s="100"/>
      <c r="Y2428" s="100"/>
      <c r="Z2428" s="100"/>
    </row>
    <row r="2429" spans="1:26">
      <c r="A2429" s="100"/>
      <c r="B2429" s="100"/>
      <c r="C2429" s="100"/>
      <c r="D2429" s="100"/>
      <c r="E2429" s="100"/>
      <c r="F2429" s="100"/>
      <c r="G2429" s="100"/>
      <c r="H2429" s="100"/>
      <c r="I2429" s="100"/>
      <c r="J2429" s="100"/>
      <c r="K2429" s="100"/>
      <c r="L2429" s="100"/>
      <c r="M2429" s="100"/>
      <c r="N2429" s="100"/>
      <c r="O2429" s="100"/>
      <c r="P2429" s="100"/>
      <c r="Q2429" s="100"/>
      <c r="R2429" s="100"/>
      <c r="S2429" s="100"/>
      <c r="T2429" s="100"/>
      <c r="U2429" s="100"/>
      <c r="V2429" s="100"/>
      <c r="W2429" s="100"/>
      <c r="X2429" s="100"/>
      <c r="Y2429" s="100"/>
      <c r="Z2429" s="100"/>
    </row>
    <row r="2430" spans="1:26">
      <c r="A2430" s="100"/>
      <c r="B2430" s="100"/>
      <c r="C2430" s="100"/>
      <c r="D2430" s="100"/>
      <c r="E2430" s="100"/>
      <c r="F2430" s="100"/>
      <c r="G2430" s="100"/>
      <c r="H2430" s="100"/>
      <c r="I2430" s="100"/>
      <c r="J2430" s="100"/>
      <c r="K2430" s="100"/>
      <c r="L2430" s="100"/>
      <c r="M2430" s="100"/>
      <c r="N2430" s="100"/>
      <c r="O2430" s="100"/>
      <c r="P2430" s="100"/>
      <c r="Q2430" s="100"/>
      <c r="R2430" s="100"/>
      <c r="S2430" s="100"/>
      <c r="T2430" s="100"/>
      <c r="U2430" s="100"/>
      <c r="V2430" s="100"/>
      <c r="W2430" s="100"/>
      <c r="X2430" s="100"/>
      <c r="Y2430" s="100"/>
      <c r="Z2430" s="100"/>
    </row>
    <row r="2431" spans="1:26">
      <c r="A2431" s="100"/>
      <c r="B2431" s="100"/>
      <c r="C2431" s="100"/>
      <c r="D2431" s="100"/>
      <c r="E2431" s="100"/>
      <c r="F2431" s="100"/>
      <c r="G2431" s="100"/>
      <c r="H2431" s="100"/>
      <c r="I2431" s="100"/>
      <c r="J2431" s="100"/>
      <c r="K2431" s="100"/>
      <c r="L2431" s="100"/>
      <c r="M2431" s="100"/>
      <c r="N2431" s="100"/>
      <c r="O2431" s="100"/>
      <c r="P2431" s="100"/>
      <c r="Q2431" s="100"/>
      <c r="R2431" s="100"/>
      <c r="S2431" s="100"/>
      <c r="T2431" s="100"/>
      <c r="U2431" s="100"/>
      <c r="V2431" s="100"/>
      <c r="W2431" s="100"/>
      <c r="X2431" s="100"/>
      <c r="Y2431" s="100"/>
      <c r="Z2431" s="100"/>
    </row>
    <row r="2432" spans="1:26">
      <c r="A2432" s="100"/>
      <c r="B2432" s="100"/>
      <c r="C2432" s="100"/>
      <c r="D2432" s="100"/>
      <c r="E2432" s="100"/>
      <c r="F2432" s="100"/>
      <c r="G2432" s="100"/>
      <c r="H2432" s="100"/>
      <c r="I2432" s="100"/>
      <c r="J2432" s="100"/>
      <c r="K2432" s="100"/>
      <c r="L2432" s="100"/>
      <c r="M2432" s="100"/>
      <c r="N2432" s="100"/>
      <c r="O2432" s="100"/>
      <c r="P2432" s="100"/>
      <c r="Q2432" s="100"/>
      <c r="R2432" s="100"/>
      <c r="S2432" s="100"/>
      <c r="T2432" s="100"/>
      <c r="U2432" s="100"/>
      <c r="V2432" s="100"/>
      <c r="W2432" s="100"/>
      <c r="X2432" s="100"/>
      <c r="Y2432" s="100"/>
      <c r="Z2432" s="100"/>
    </row>
    <row r="2433" spans="1:26">
      <c r="A2433" s="100"/>
      <c r="B2433" s="100"/>
      <c r="C2433" s="100"/>
      <c r="D2433" s="100"/>
      <c r="E2433" s="100"/>
      <c r="F2433" s="100"/>
      <c r="G2433" s="100"/>
      <c r="H2433" s="100"/>
      <c r="I2433" s="100"/>
      <c r="J2433" s="100"/>
      <c r="K2433" s="100"/>
      <c r="L2433" s="100"/>
      <c r="M2433" s="100"/>
      <c r="N2433" s="100"/>
      <c r="O2433" s="100"/>
      <c r="P2433" s="100"/>
      <c r="Q2433" s="100"/>
      <c r="R2433" s="100"/>
      <c r="S2433" s="100"/>
      <c r="T2433" s="100"/>
      <c r="U2433" s="100"/>
      <c r="V2433" s="100"/>
      <c r="W2433" s="100"/>
      <c r="X2433" s="100"/>
      <c r="Y2433" s="100"/>
      <c r="Z2433" s="100"/>
    </row>
    <row r="2434" spans="1:26">
      <c r="A2434" s="100"/>
      <c r="B2434" s="100"/>
      <c r="C2434" s="100"/>
      <c r="D2434" s="100"/>
      <c r="E2434" s="100"/>
      <c r="F2434" s="100"/>
      <c r="G2434" s="100"/>
      <c r="H2434" s="100"/>
      <c r="I2434" s="100"/>
      <c r="J2434" s="100"/>
      <c r="K2434" s="100"/>
      <c r="L2434" s="100"/>
      <c r="M2434" s="100"/>
      <c r="N2434" s="100"/>
      <c r="O2434" s="100"/>
      <c r="P2434" s="100"/>
      <c r="Q2434" s="100"/>
      <c r="R2434" s="100"/>
      <c r="S2434" s="100"/>
      <c r="T2434" s="100"/>
      <c r="U2434" s="100"/>
      <c r="V2434" s="100"/>
      <c r="W2434" s="100"/>
      <c r="X2434" s="100"/>
      <c r="Y2434" s="100"/>
      <c r="Z2434" s="100"/>
    </row>
    <row r="2435" spans="1:26">
      <c r="A2435" s="100"/>
      <c r="B2435" s="100"/>
      <c r="C2435" s="100"/>
      <c r="D2435" s="100"/>
      <c r="E2435" s="100"/>
      <c r="F2435" s="100"/>
      <c r="G2435" s="100"/>
      <c r="H2435" s="100"/>
      <c r="I2435" s="100"/>
      <c r="J2435" s="100"/>
      <c r="K2435" s="100"/>
      <c r="L2435" s="100"/>
      <c r="M2435" s="100"/>
      <c r="N2435" s="100"/>
      <c r="O2435" s="100"/>
      <c r="P2435" s="100"/>
      <c r="Q2435" s="100"/>
      <c r="R2435" s="100"/>
      <c r="S2435" s="100"/>
      <c r="T2435" s="100"/>
      <c r="U2435" s="100"/>
      <c r="V2435" s="100"/>
      <c r="W2435" s="100"/>
      <c r="X2435" s="100"/>
      <c r="Y2435" s="100"/>
      <c r="Z2435" s="100"/>
    </row>
    <row r="2436" spans="1:26">
      <c r="A2436" s="100"/>
      <c r="B2436" s="100"/>
      <c r="C2436" s="100"/>
      <c r="D2436" s="100"/>
      <c r="E2436" s="100"/>
      <c r="F2436" s="100"/>
      <c r="G2436" s="100"/>
      <c r="H2436" s="100"/>
      <c r="I2436" s="100"/>
      <c r="J2436" s="100"/>
      <c r="K2436" s="100"/>
      <c r="L2436" s="100"/>
      <c r="M2436" s="100"/>
      <c r="N2436" s="100"/>
      <c r="O2436" s="100"/>
      <c r="P2436" s="100"/>
      <c r="Q2436" s="100"/>
      <c r="R2436" s="100"/>
      <c r="S2436" s="100"/>
      <c r="T2436" s="100"/>
      <c r="U2436" s="100"/>
      <c r="V2436" s="100"/>
      <c r="W2436" s="100"/>
      <c r="X2436" s="100"/>
      <c r="Y2436" s="100"/>
      <c r="Z2436" s="100"/>
    </row>
    <row r="2437" spans="1:26">
      <c r="A2437" s="100"/>
      <c r="B2437" s="100"/>
      <c r="C2437" s="100"/>
      <c r="D2437" s="100"/>
      <c r="E2437" s="100"/>
      <c r="F2437" s="100"/>
      <c r="G2437" s="100"/>
      <c r="H2437" s="100"/>
      <c r="I2437" s="100"/>
      <c r="J2437" s="100"/>
      <c r="K2437" s="100"/>
      <c r="L2437" s="100"/>
      <c r="M2437" s="100"/>
      <c r="N2437" s="100"/>
      <c r="O2437" s="100"/>
      <c r="P2437" s="100"/>
      <c r="Q2437" s="100"/>
      <c r="R2437" s="100"/>
      <c r="S2437" s="100"/>
      <c r="T2437" s="100"/>
      <c r="U2437" s="100"/>
      <c r="V2437" s="100"/>
      <c r="W2437" s="100"/>
      <c r="X2437" s="100"/>
      <c r="Y2437" s="100"/>
      <c r="Z2437" s="100"/>
    </row>
    <row r="2438" spans="1:26">
      <c r="A2438" s="100"/>
      <c r="B2438" s="100"/>
      <c r="C2438" s="100"/>
      <c r="D2438" s="100"/>
      <c r="E2438" s="100"/>
      <c r="F2438" s="100"/>
      <c r="G2438" s="100"/>
      <c r="H2438" s="100"/>
      <c r="I2438" s="100"/>
      <c r="J2438" s="100"/>
      <c r="K2438" s="100"/>
      <c r="L2438" s="100"/>
      <c r="M2438" s="100"/>
      <c r="N2438" s="100"/>
      <c r="O2438" s="100"/>
      <c r="P2438" s="100"/>
      <c r="Q2438" s="100"/>
      <c r="R2438" s="100"/>
      <c r="S2438" s="100"/>
      <c r="T2438" s="100"/>
      <c r="U2438" s="100"/>
      <c r="V2438" s="100"/>
      <c r="W2438" s="100"/>
      <c r="X2438" s="100"/>
      <c r="Y2438" s="100"/>
      <c r="Z2438" s="100"/>
    </row>
    <row r="2439" spans="1:26">
      <c r="A2439" s="100"/>
      <c r="B2439" s="100"/>
      <c r="C2439" s="100"/>
      <c r="D2439" s="100"/>
      <c r="E2439" s="100"/>
      <c r="F2439" s="100"/>
      <c r="G2439" s="100"/>
      <c r="H2439" s="100"/>
      <c r="I2439" s="100"/>
      <c r="J2439" s="100"/>
      <c r="K2439" s="100"/>
      <c r="L2439" s="100"/>
      <c r="M2439" s="100"/>
      <c r="N2439" s="100"/>
      <c r="O2439" s="100"/>
      <c r="P2439" s="100"/>
      <c r="Q2439" s="100"/>
      <c r="R2439" s="100"/>
      <c r="S2439" s="100"/>
      <c r="T2439" s="100"/>
      <c r="U2439" s="100"/>
      <c r="V2439" s="100"/>
      <c r="W2439" s="100"/>
      <c r="X2439" s="100"/>
      <c r="Y2439" s="100"/>
      <c r="Z2439" s="100"/>
    </row>
    <row r="2440" spans="1:26">
      <c r="A2440" s="100"/>
      <c r="B2440" s="100"/>
      <c r="C2440" s="100"/>
      <c r="D2440" s="100"/>
      <c r="E2440" s="100"/>
      <c r="F2440" s="100"/>
      <c r="G2440" s="100"/>
      <c r="H2440" s="100"/>
      <c r="I2440" s="100"/>
      <c r="J2440" s="100"/>
      <c r="K2440" s="100"/>
      <c r="L2440" s="100"/>
      <c r="M2440" s="100"/>
      <c r="N2440" s="100"/>
      <c r="O2440" s="100"/>
      <c r="P2440" s="100"/>
      <c r="Q2440" s="100"/>
      <c r="R2440" s="100"/>
      <c r="S2440" s="100"/>
      <c r="T2440" s="100"/>
      <c r="U2440" s="100"/>
      <c r="V2440" s="100"/>
      <c r="W2440" s="100"/>
      <c r="X2440" s="100"/>
      <c r="Y2440" s="100"/>
      <c r="Z2440" s="100"/>
    </row>
    <row r="2441" spans="1:26">
      <c r="A2441" s="100"/>
      <c r="B2441" s="100"/>
      <c r="C2441" s="100"/>
      <c r="D2441" s="100"/>
      <c r="E2441" s="100"/>
      <c r="F2441" s="100"/>
      <c r="G2441" s="100"/>
      <c r="H2441" s="100"/>
      <c r="I2441" s="100"/>
      <c r="J2441" s="100"/>
      <c r="K2441" s="100"/>
      <c r="L2441" s="100"/>
      <c r="M2441" s="100"/>
      <c r="N2441" s="100"/>
      <c r="O2441" s="100"/>
      <c r="P2441" s="100"/>
      <c r="Q2441" s="100"/>
      <c r="R2441" s="100"/>
      <c r="S2441" s="100"/>
      <c r="T2441" s="100"/>
      <c r="U2441" s="100"/>
      <c r="V2441" s="100"/>
      <c r="W2441" s="100"/>
      <c r="X2441" s="100"/>
      <c r="Y2441" s="100"/>
      <c r="Z2441" s="100"/>
    </row>
    <row r="2442" spans="1:26">
      <c r="A2442" s="100"/>
      <c r="B2442" s="100"/>
      <c r="C2442" s="100"/>
      <c r="D2442" s="100"/>
      <c r="E2442" s="100"/>
      <c r="F2442" s="100"/>
      <c r="G2442" s="100"/>
      <c r="H2442" s="100"/>
      <c r="I2442" s="100"/>
      <c r="J2442" s="100"/>
      <c r="K2442" s="100"/>
      <c r="L2442" s="100"/>
      <c r="M2442" s="100"/>
      <c r="N2442" s="100"/>
      <c r="O2442" s="100"/>
      <c r="P2442" s="100"/>
      <c r="Q2442" s="100"/>
      <c r="R2442" s="100"/>
      <c r="S2442" s="100"/>
      <c r="T2442" s="100"/>
      <c r="U2442" s="100"/>
      <c r="V2442" s="100"/>
      <c r="W2442" s="100"/>
      <c r="X2442" s="100"/>
      <c r="Y2442" s="100"/>
      <c r="Z2442" s="100"/>
    </row>
    <row r="2443" spans="1:26">
      <c r="A2443" s="100"/>
      <c r="B2443" s="100"/>
      <c r="C2443" s="100"/>
      <c r="D2443" s="100"/>
      <c r="E2443" s="100"/>
      <c r="F2443" s="100"/>
      <c r="G2443" s="100"/>
      <c r="H2443" s="100"/>
      <c r="I2443" s="100"/>
      <c r="J2443" s="100"/>
      <c r="K2443" s="100"/>
      <c r="L2443" s="100"/>
      <c r="M2443" s="100"/>
      <c r="N2443" s="100"/>
      <c r="O2443" s="100"/>
      <c r="P2443" s="100"/>
      <c r="Q2443" s="100"/>
      <c r="R2443" s="100"/>
      <c r="S2443" s="100"/>
      <c r="T2443" s="100"/>
      <c r="U2443" s="100"/>
      <c r="V2443" s="100"/>
      <c r="W2443" s="100"/>
      <c r="X2443" s="100"/>
      <c r="Y2443" s="100"/>
      <c r="Z2443" s="100"/>
    </row>
    <row r="2444" spans="1:26">
      <c r="A2444" s="100"/>
      <c r="B2444" s="100"/>
      <c r="C2444" s="100"/>
      <c r="D2444" s="100"/>
      <c r="E2444" s="100"/>
      <c r="F2444" s="100"/>
      <c r="G2444" s="100"/>
      <c r="H2444" s="100"/>
      <c r="I2444" s="100"/>
      <c r="J2444" s="100"/>
      <c r="K2444" s="100"/>
      <c r="L2444" s="100"/>
      <c r="M2444" s="100"/>
      <c r="N2444" s="100"/>
      <c r="O2444" s="100"/>
      <c r="P2444" s="100"/>
      <c r="Q2444" s="100"/>
      <c r="R2444" s="100"/>
      <c r="S2444" s="100"/>
      <c r="T2444" s="100"/>
      <c r="U2444" s="100"/>
      <c r="V2444" s="100"/>
      <c r="W2444" s="100"/>
      <c r="X2444" s="100"/>
      <c r="Y2444" s="100"/>
      <c r="Z2444" s="100"/>
    </row>
    <row r="2445" spans="1:26">
      <c r="A2445" s="100"/>
      <c r="B2445" s="100"/>
      <c r="C2445" s="100"/>
      <c r="D2445" s="100"/>
      <c r="E2445" s="100"/>
      <c r="F2445" s="100"/>
      <c r="G2445" s="100"/>
      <c r="H2445" s="100"/>
      <c r="I2445" s="100"/>
      <c r="J2445" s="100"/>
      <c r="K2445" s="100"/>
      <c r="L2445" s="100"/>
      <c r="M2445" s="100"/>
      <c r="N2445" s="100"/>
      <c r="O2445" s="100"/>
      <c r="P2445" s="100"/>
      <c r="Q2445" s="100"/>
      <c r="R2445" s="100"/>
      <c r="S2445" s="100"/>
      <c r="T2445" s="100"/>
      <c r="U2445" s="100"/>
      <c r="V2445" s="100"/>
      <c r="W2445" s="100"/>
      <c r="X2445" s="100"/>
      <c r="Y2445" s="100"/>
      <c r="Z2445" s="100"/>
    </row>
    <row r="2446" spans="1:26">
      <c r="A2446" s="100"/>
      <c r="B2446" s="100"/>
      <c r="C2446" s="100"/>
      <c r="D2446" s="100"/>
      <c r="E2446" s="100"/>
      <c r="F2446" s="100"/>
      <c r="G2446" s="100"/>
      <c r="H2446" s="100"/>
      <c r="I2446" s="100"/>
      <c r="J2446" s="100"/>
      <c r="K2446" s="100"/>
      <c r="L2446" s="100"/>
      <c r="M2446" s="100"/>
      <c r="N2446" s="100"/>
      <c r="O2446" s="100"/>
      <c r="P2446" s="100"/>
      <c r="Q2446" s="100"/>
      <c r="R2446" s="100"/>
      <c r="S2446" s="100"/>
      <c r="T2446" s="100"/>
      <c r="U2446" s="100"/>
      <c r="V2446" s="100"/>
      <c r="W2446" s="100"/>
      <c r="X2446" s="100"/>
      <c r="Y2446" s="100"/>
      <c r="Z2446" s="100"/>
    </row>
    <row r="2447" spans="1:26">
      <c r="A2447" s="100"/>
      <c r="B2447" s="100"/>
      <c r="C2447" s="100"/>
      <c r="D2447" s="100"/>
      <c r="E2447" s="100"/>
      <c r="F2447" s="100"/>
      <c r="G2447" s="100"/>
      <c r="H2447" s="100"/>
      <c r="I2447" s="100"/>
      <c r="J2447" s="100"/>
      <c r="K2447" s="100"/>
      <c r="L2447" s="100"/>
      <c r="M2447" s="100"/>
      <c r="N2447" s="100"/>
      <c r="O2447" s="100"/>
      <c r="P2447" s="100"/>
      <c r="Q2447" s="100"/>
      <c r="R2447" s="100"/>
      <c r="S2447" s="100"/>
      <c r="T2447" s="100"/>
      <c r="U2447" s="100"/>
      <c r="V2447" s="100"/>
      <c r="W2447" s="100"/>
      <c r="X2447" s="100"/>
      <c r="Y2447" s="100"/>
      <c r="Z2447" s="100"/>
    </row>
    <row r="2448" spans="1:26">
      <c r="A2448" s="100"/>
      <c r="B2448" s="100"/>
      <c r="C2448" s="100"/>
      <c r="D2448" s="100"/>
      <c r="E2448" s="100"/>
      <c r="F2448" s="100"/>
      <c r="G2448" s="100"/>
      <c r="H2448" s="100"/>
      <c r="I2448" s="100"/>
      <c r="J2448" s="100"/>
      <c r="K2448" s="100"/>
      <c r="L2448" s="100"/>
      <c r="M2448" s="100"/>
      <c r="N2448" s="100"/>
      <c r="O2448" s="100"/>
      <c r="P2448" s="100"/>
      <c r="Q2448" s="100"/>
      <c r="R2448" s="100"/>
      <c r="S2448" s="100"/>
      <c r="T2448" s="100"/>
      <c r="U2448" s="100"/>
      <c r="V2448" s="100"/>
      <c r="W2448" s="100"/>
      <c r="X2448" s="100"/>
      <c r="Y2448" s="100"/>
      <c r="Z2448" s="100"/>
    </row>
    <row r="2449" spans="1:26">
      <c r="A2449" s="100"/>
      <c r="B2449" s="100"/>
      <c r="C2449" s="100"/>
      <c r="D2449" s="100"/>
      <c r="E2449" s="100"/>
      <c r="F2449" s="100"/>
      <c r="G2449" s="100"/>
      <c r="H2449" s="100"/>
      <c r="I2449" s="100"/>
      <c r="J2449" s="100"/>
      <c r="K2449" s="100"/>
      <c r="L2449" s="100"/>
      <c r="M2449" s="100"/>
      <c r="N2449" s="100"/>
      <c r="O2449" s="100"/>
      <c r="P2449" s="100"/>
      <c r="Q2449" s="100"/>
      <c r="R2449" s="100"/>
      <c r="S2449" s="100"/>
      <c r="T2449" s="100"/>
      <c r="U2449" s="100"/>
      <c r="V2449" s="100"/>
      <c r="W2449" s="100"/>
      <c r="X2449" s="100"/>
      <c r="Y2449" s="100"/>
      <c r="Z2449" s="100"/>
    </row>
    <row r="2450" spans="1:26">
      <c r="A2450" s="100"/>
      <c r="B2450" s="100"/>
      <c r="C2450" s="100"/>
      <c r="D2450" s="100"/>
      <c r="E2450" s="100"/>
      <c r="F2450" s="100"/>
      <c r="G2450" s="100"/>
      <c r="H2450" s="100"/>
      <c r="I2450" s="100"/>
      <c r="J2450" s="100"/>
      <c r="K2450" s="100"/>
      <c r="L2450" s="100"/>
      <c r="M2450" s="100"/>
      <c r="N2450" s="100"/>
      <c r="O2450" s="100"/>
      <c r="P2450" s="100"/>
      <c r="Q2450" s="100"/>
      <c r="R2450" s="100"/>
      <c r="S2450" s="100"/>
      <c r="T2450" s="100"/>
      <c r="U2450" s="100"/>
      <c r="V2450" s="100"/>
      <c r="W2450" s="100"/>
      <c r="X2450" s="100"/>
      <c r="Y2450" s="100"/>
      <c r="Z2450" s="100"/>
    </row>
    <row r="2451" spans="1:26">
      <c r="A2451" s="100"/>
      <c r="B2451" s="100"/>
      <c r="C2451" s="100"/>
      <c r="D2451" s="100"/>
      <c r="E2451" s="100"/>
      <c r="F2451" s="100"/>
      <c r="G2451" s="100"/>
      <c r="H2451" s="100"/>
      <c r="I2451" s="100"/>
      <c r="J2451" s="100"/>
      <c r="K2451" s="100"/>
      <c r="L2451" s="100"/>
      <c r="M2451" s="100"/>
      <c r="N2451" s="100"/>
      <c r="O2451" s="100"/>
      <c r="P2451" s="100"/>
      <c r="Q2451" s="100"/>
      <c r="R2451" s="100"/>
      <c r="S2451" s="100"/>
      <c r="T2451" s="100"/>
      <c r="U2451" s="100"/>
      <c r="V2451" s="100"/>
      <c r="W2451" s="100"/>
      <c r="X2451" s="100"/>
      <c r="Y2451" s="100"/>
      <c r="Z2451" s="100"/>
    </row>
    <row r="2452" spans="1:26">
      <c r="A2452" s="100"/>
      <c r="B2452" s="100"/>
      <c r="C2452" s="100"/>
      <c r="D2452" s="100"/>
      <c r="E2452" s="100"/>
      <c r="F2452" s="100"/>
      <c r="G2452" s="100"/>
      <c r="H2452" s="100"/>
      <c r="I2452" s="100"/>
      <c r="J2452" s="100"/>
      <c r="K2452" s="100"/>
      <c r="L2452" s="100"/>
      <c r="M2452" s="100"/>
      <c r="N2452" s="100"/>
      <c r="O2452" s="100"/>
      <c r="P2452" s="100"/>
      <c r="Q2452" s="100"/>
      <c r="R2452" s="100"/>
      <c r="S2452" s="100"/>
      <c r="T2452" s="100"/>
      <c r="U2452" s="100"/>
      <c r="V2452" s="100"/>
      <c r="W2452" s="100"/>
      <c r="X2452" s="100"/>
      <c r="Y2452" s="100"/>
      <c r="Z2452" s="100"/>
    </row>
    <row r="2453" spans="1:26">
      <c r="A2453" s="100"/>
      <c r="B2453" s="100"/>
      <c r="C2453" s="100"/>
      <c r="D2453" s="100"/>
      <c r="E2453" s="100"/>
      <c r="F2453" s="100"/>
      <c r="G2453" s="100"/>
      <c r="H2453" s="100"/>
      <c r="I2453" s="100"/>
      <c r="J2453" s="100"/>
      <c r="K2453" s="100"/>
      <c r="L2453" s="100"/>
      <c r="M2453" s="100"/>
      <c r="N2453" s="100"/>
      <c r="O2453" s="100"/>
      <c r="P2453" s="100"/>
      <c r="Q2453" s="100"/>
      <c r="R2453" s="100"/>
      <c r="S2453" s="100"/>
      <c r="T2453" s="100"/>
      <c r="U2453" s="100"/>
      <c r="V2453" s="100"/>
      <c r="W2453" s="100"/>
      <c r="X2453" s="100"/>
      <c r="Y2453" s="100"/>
      <c r="Z2453" s="100"/>
    </row>
    <row r="2454" spans="1:26">
      <c r="A2454" s="100"/>
      <c r="B2454" s="100"/>
      <c r="C2454" s="100"/>
      <c r="D2454" s="100"/>
      <c r="E2454" s="100"/>
      <c r="F2454" s="100"/>
      <c r="G2454" s="100"/>
      <c r="H2454" s="100"/>
      <c r="I2454" s="100"/>
      <c r="J2454" s="100"/>
      <c r="K2454" s="100"/>
      <c r="L2454" s="100"/>
      <c r="M2454" s="100"/>
      <c r="N2454" s="100"/>
      <c r="O2454" s="100"/>
      <c r="P2454" s="100"/>
      <c r="Q2454" s="100"/>
      <c r="R2454" s="100"/>
      <c r="S2454" s="100"/>
      <c r="T2454" s="100"/>
      <c r="U2454" s="100"/>
      <c r="V2454" s="100"/>
      <c r="W2454" s="100"/>
      <c r="X2454" s="100"/>
      <c r="Y2454" s="100"/>
      <c r="Z2454" s="100"/>
    </row>
    <row r="2455" spans="1:26">
      <c r="A2455" s="100"/>
      <c r="B2455" s="100"/>
      <c r="C2455" s="100"/>
      <c r="D2455" s="100"/>
      <c r="E2455" s="100"/>
      <c r="F2455" s="100"/>
      <c r="G2455" s="100"/>
      <c r="H2455" s="100"/>
      <c r="I2455" s="100"/>
      <c r="J2455" s="100"/>
      <c r="K2455" s="100"/>
      <c r="L2455" s="100"/>
      <c r="M2455" s="100"/>
      <c r="N2455" s="100"/>
      <c r="O2455" s="100"/>
      <c r="P2455" s="100"/>
      <c r="Q2455" s="100"/>
      <c r="R2455" s="100"/>
      <c r="S2455" s="100"/>
      <c r="T2455" s="100"/>
      <c r="U2455" s="100"/>
      <c r="V2455" s="100"/>
      <c r="W2455" s="100"/>
      <c r="X2455" s="100"/>
      <c r="Y2455" s="100"/>
      <c r="Z2455" s="100"/>
    </row>
    <row r="2456" spans="1:26">
      <c r="A2456" s="100"/>
      <c r="B2456" s="100"/>
      <c r="C2456" s="100"/>
      <c r="D2456" s="100"/>
      <c r="E2456" s="100"/>
      <c r="F2456" s="100"/>
      <c r="G2456" s="100"/>
      <c r="H2456" s="100"/>
      <c r="I2456" s="100"/>
      <c r="J2456" s="100"/>
      <c r="K2456" s="100"/>
      <c r="L2456" s="100"/>
      <c r="M2456" s="100"/>
      <c r="N2456" s="100"/>
      <c r="O2456" s="100"/>
      <c r="P2456" s="100"/>
      <c r="Q2456" s="100"/>
      <c r="R2456" s="100"/>
      <c r="S2456" s="100"/>
      <c r="T2456" s="100"/>
      <c r="U2456" s="100"/>
      <c r="V2456" s="100"/>
      <c r="W2456" s="100"/>
      <c r="X2456" s="100"/>
      <c r="Y2456" s="100"/>
      <c r="Z2456" s="100"/>
    </row>
    <row r="2457" spans="1:26">
      <c r="A2457" s="100"/>
      <c r="B2457" s="100"/>
      <c r="C2457" s="100"/>
      <c r="D2457" s="100"/>
      <c r="E2457" s="100"/>
      <c r="F2457" s="100"/>
      <c r="G2457" s="100"/>
      <c r="H2457" s="100"/>
      <c r="I2457" s="100"/>
      <c r="J2457" s="100"/>
      <c r="K2457" s="100"/>
      <c r="L2457" s="100"/>
      <c r="M2457" s="100"/>
      <c r="N2457" s="100"/>
      <c r="O2457" s="100"/>
      <c r="P2457" s="100"/>
      <c r="Q2457" s="100"/>
      <c r="R2457" s="100"/>
      <c r="S2457" s="100"/>
      <c r="T2457" s="100"/>
      <c r="U2457" s="100"/>
      <c r="V2457" s="100"/>
      <c r="W2457" s="100"/>
      <c r="X2457" s="100"/>
      <c r="Y2457" s="100"/>
      <c r="Z2457" s="100"/>
    </row>
    <row r="2458" spans="1:26">
      <c r="A2458" s="100"/>
      <c r="B2458" s="100"/>
      <c r="C2458" s="100"/>
      <c r="D2458" s="100"/>
      <c r="E2458" s="100"/>
      <c r="F2458" s="100"/>
      <c r="G2458" s="100"/>
      <c r="H2458" s="100"/>
      <c r="I2458" s="100"/>
      <c r="J2458" s="100"/>
      <c r="K2458" s="100"/>
      <c r="L2458" s="100"/>
      <c r="M2458" s="100"/>
      <c r="N2458" s="100"/>
      <c r="O2458" s="100"/>
      <c r="P2458" s="100"/>
      <c r="Q2458" s="100"/>
      <c r="R2458" s="100"/>
      <c r="S2458" s="100"/>
      <c r="T2458" s="100"/>
      <c r="U2458" s="100"/>
      <c r="V2458" s="100"/>
      <c r="W2458" s="100"/>
      <c r="X2458" s="100"/>
      <c r="Y2458" s="100"/>
      <c r="Z2458" s="100"/>
    </row>
    <row r="2459" spans="1:26">
      <c r="A2459" s="100"/>
      <c r="B2459" s="100"/>
      <c r="C2459" s="100"/>
      <c r="D2459" s="100"/>
      <c r="E2459" s="100"/>
      <c r="F2459" s="100"/>
      <c r="G2459" s="100"/>
      <c r="H2459" s="100"/>
      <c r="I2459" s="100"/>
      <c r="J2459" s="100"/>
      <c r="K2459" s="100"/>
      <c r="L2459" s="100"/>
      <c r="M2459" s="100"/>
      <c r="N2459" s="100"/>
      <c r="O2459" s="100"/>
      <c r="P2459" s="100"/>
      <c r="Q2459" s="100"/>
      <c r="R2459" s="100"/>
      <c r="S2459" s="100"/>
      <c r="T2459" s="100"/>
      <c r="U2459" s="100"/>
      <c r="V2459" s="100"/>
      <c r="W2459" s="100"/>
      <c r="X2459" s="100"/>
      <c r="Y2459" s="100"/>
      <c r="Z2459" s="100"/>
    </row>
    <row r="2460" spans="1:26">
      <c r="A2460" s="100"/>
      <c r="B2460" s="100"/>
      <c r="C2460" s="100"/>
      <c r="D2460" s="100"/>
      <c r="E2460" s="100"/>
      <c r="F2460" s="100"/>
      <c r="G2460" s="100"/>
      <c r="H2460" s="100"/>
      <c r="I2460" s="100"/>
      <c r="J2460" s="100"/>
      <c r="K2460" s="100"/>
      <c r="L2460" s="100"/>
      <c r="M2460" s="100"/>
      <c r="N2460" s="100"/>
      <c r="O2460" s="100"/>
      <c r="P2460" s="100"/>
      <c r="Q2460" s="100"/>
      <c r="R2460" s="100"/>
      <c r="S2460" s="100"/>
      <c r="T2460" s="100"/>
      <c r="U2460" s="100"/>
      <c r="V2460" s="100"/>
      <c r="W2460" s="100"/>
      <c r="X2460" s="100"/>
      <c r="Y2460" s="100"/>
      <c r="Z2460" s="100"/>
    </row>
    <row r="2461" spans="1:26">
      <c r="A2461" s="100"/>
      <c r="B2461" s="100"/>
      <c r="C2461" s="100"/>
      <c r="D2461" s="100"/>
      <c r="E2461" s="100"/>
      <c r="F2461" s="100"/>
      <c r="G2461" s="100"/>
      <c r="H2461" s="100"/>
      <c r="I2461" s="100"/>
      <c r="J2461" s="100"/>
      <c r="K2461" s="100"/>
      <c r="L2461" s="100"/>
      <c r="M2461" s="100"/>
      <c r="N2461" s="100"/>
      <c r="O2461" s="100"/>
      <c r="P2461" s="100"/>
      <c r="Q2461" s="100"/>
      <c r="R2461" s="100"/>
      <c r="S2461" s="100"/>
      <c r="T2461" s="100"/>
      <c r="U2461" s="100"/>
      <c r="V2461" s="100"/>
      <c r="W2461" s="100"/>
      <c r="X2461" s="100"/>
      <c r="Y2461" s="100"/>
      <c r="Z2461" s="100"/>
    </row>
    <row r="2462" spans="1:26">
      <c r="A2462" s="100"/>
      <c r="B2462" s="100"/>
      <c r="C2462" s="100"/>
      <c r="D2462" s="100"/>
      <c r="E2462" s="100"/>
      <c r="F2462" s="100"/>
      <c r="G2462" s="100"/>
      <c r="H2462" s="100"/>
      <c r="I2462" s="100"/>
      <c r="J2462" s="100"/>
      <c r="K2462" s="100"/>
      <c r="L2462" s="100"/>
      <c r="M2462" s="100"/>
      <c r="N2462" s="100"/>
      <c r="O2462" s="100"/>
      <c r="P2462" s="100"/>
      <c r="Q2462" s="100"/>
      <c r="R2462" s="100"/>
      <c r="S2462" s="100"/>
      <c r="T2462" s="100"/>
      <c r="U2462" s="100"/>
      <c r="V2462" s="100"/>
      <c r="W2462" s="100"/>
      <c r="X2462" s="100"/>
      <c r="Y2462" s="100"/>
      <c r="Z2462" s="100"/>
    </row>
    <row r="2463" spans="1:26">
      <c r="A2463" s="100"/>
      <c r="B2463" s="100"/>
      <c r="C2463" s="100"/>
      <c r="D2463" s="100"/>
      <c r="E2463" s="100"/>
      <c r="F2463" s="100"/>
      <c r="G2463" s="100"/>
      <c r="H2463" s="100"/>
      <c r="I2463" s="100"/>
      <c r="J2463" s="100"/>
      <c r="K2463" s="100"/>
      <c r="L2463" s="100"/>
      <c r="M2463" s="100"/>
      <c r="N2463" s="100"/>
      <c r="O2463" s="100"/>
      <c r="P2463" s="100"/>
      <c r="Q2463" s="100"/>
      <c r="R2463" s="100"/>
      <c r="S2463" s="100"/>
      <c r="T2463" s="100"/>
      <c r="U2463" s="100"/>
      <c r="V2463" s="100"/>
      <c r="W2463" s="100"/>
      <c r="X2463" s="100"/>
      <c r="Y2463" s="100"/>
      <c r="Z2463" s="100"/>
    </row>
    <row r="2464" spans="1:26">
      <c r="A2464" s="100"/>
      <c r="B2464" s="100"/>
      <c r="C2464" s="100"/>
      <c r="D2464" s="100"/>
      <c r="E2464" s="100"/>
      <c r="F2464" s="100"/>
      <c r="G2464" s="100"/>
      <c r="H2464" s="100"/>
      <c r="I2464" s="100"/>
      <c r="J2464" s="100"/>
      <c r="K2464" s="100"/>
      <c r="L2464" s="100"/>
      <c r="M2464" s="100"/>
      <c r="N2464" s="100"/>
      <c r="O2464" s="100"/>
      <c r="P2464" s="100"/>
      <c r="Q2464" s="100"/>
      <c r="R2464" s="100"/>
      <c r="S2464" s="100"/>
      <c r="T2464" s="100"/>
      <c r="U2464" s="100"/>
      <c r="V2464" s="100"/>
      <c r="W2464" s="100"/>
      <c r="X2464" s="100"/>
      <c r="Y2464" s="100"/>
      <c r="Z2464" s="100"/>
    </row>
    <row r="2465" spans="1:26">
      <c r="A2465" s="100"/>
      <c r="B2465" s="100"/>
      <c r="C2465" s="100"/>
      <c r="D2465" s="100"/>
      <c r="E2465" s="100"/>
      <c r="F2465" s="100"/>
      <c r="G2465" s="100"/>
      <c r="H2465" s="100"/>
      <c r="I2465" s="100"/>
      <c r="J2465" s="100"/>
      <c r="K2465" s="100"/>
      <c r="L2465" s="100"/>
      <c r="M2465" s="100"/>
      <c r="N2465" s="100"/>
      <c r="O2465" s="100"/>
      <c r="P2465" s="100"/>
      <c r="Q2465" s="100"/>
      <c r="R2465" s="100"/>
      <c r="S2465" s="100"/>
      <c r="T2465" s="100"/>
      <c r="U2465" s="100"/>
      <c r="V2465" s="100"/>
      <c r="W2465" s="100"/>
      <c r="X2465" s="100"/>
      <c r="Y2465" s="100"/>
      <c r="Z2465" s="100"/>
    </row>
    <row r="2466" spans="1:26">
      <c r="A2466" s="100"/>
      <c r="B2466" s="100"/>
      <c r="C2466" s="100"/>
      <c r="D2466" s="100"/>
      <c r="E2466" s="100"/>
      <c r="F2466" s="100"/>
      <c r="G2466" s="100"/>
      <c r="H2466" s="100"/>
      <c r="I2466" s="100"/>
      <c r="J2466" s="100"/>
      <c r="K2466" s="100"/>
      <c r="L2466" s="100"/>
      <c r="M2466" s="100"/>
      <c r="N2466" s="100"/>
      <c r="O2466" s="100"/>
      <c r="P2466" s="100"/>
      <c r="Q2466" s="100"/>
      <c r="R2466" s="100"/>
      <c r="S2466" s="100"/>
      <c r="T2466" s="100"/>
      <c r="U2466" s="100"/>
      <c r="V2466" s="100"/>
      <c r="W2466" s="100"/>
      <c r="X2466" s="100"/>
      <c r="Y2466" s="100"/>
      <c r="Z2466" s="100"/>
    </row>
    <row r="2467" spans="1:26">
      <c r="A2467" s="100"/>
      <c r="B2467" s="100"/>
      <c r="C2467" s="100"/>
      <c r="D2467" s="100"/>
      <c r="E2467" s="100"/>
      <c r="F2467" s="100"/>
      <c r="G2467" s="100"/>
      <c r="H2467" s="100"/>
      <c r="I2467" s="100"/>
      <c r="J2467" s="100"/>
      <c r="K2467" s="100"/>
      <c r="L2467" s="100"/>
      <c r="M2467" s="100"/>
      <c r="N2467" s="100"/>
      <c r="O2467" s="100"/>
      <c r="P2467" s="100"/>
      <c r="Q2467" s="100"/>
      <c r="R2467" s="100"/>
      <c r="S2467" s="100"/>
      <c r="T2467" s="100"/>
      <c r="U2467" s="100"/>
      <c r="V2467" s="100"/>
      <c r="W2467" s="100"/>
      <c r="X2467" s="100"/>
      <c r="Y2467" s="100"/>
      <c r="Z2467" s="100"/>
    </row>
    <row r="2468" spans="1:26">
      <c r="A2468" s="100"/>
      <c r="B2468" s="100"/>
      <c r="C2468" s="100"/>
      <c r="D2468" s="100"/>
      <c r="E2468" s="100"/>
      <c r="F2468" s="100"/>
      <c r="G2468" s="100"/>
      <c r="H2468" s="100"/>
      <c r="I2468" s="100"/>
      <c r="J2468" s="100"/>
      <c r="K2468" s="100"/>
      <c r="L2468" s="100"/>
      <c r="M2468" s="100"/>
      <c r="N2468" s="100"/>
      <c r="O2468" s="100"/>
      <c r="P2468" s="100"/>
      <c r="Q2468" s="100"/>
      <c r="R2468" s="100"/>
      <c r="S2468" s="100"/>
      <c r="T2468" s="100"/>
      <c r="U2468" s="100"/>
      <c r="V2468" s="100"/>
      <c r="W2468" s="100"/>
      <c r="X2468" s="100"/>
      <c r="Y2468" s="100"/>
      <c r="Z2468" s="100"/>
    </row>
    <row r="2469" spans="1:26">
      <c r="A2469" s="100"/>
      <c r="B2469" s="100"/>
      <c r="C2469" s="100"/>
      <c r="D2469" s="100"/>
      <c r="E2469" s="100"/>
      <c r="F2469" s="100"/>
      <c r="G2469" s="100"/>
      <c r="H2469" s="100"/>
      <c r="I2469" s="100"/>
      <c r="J2469" s="100"/>
      <c r="K2469" s="100"/>
      <c r="L2469" s="100"/>
      <c r="M2469" s="100"/>
      <c r="N2469" s="100"/>
      <c r="O2469" s="100"/>
      <c r="P2469" s="100"/>
      <c r="Q2469" s="100"/>
      <c r="R2469" s="100"/>
      <c r="S2469" s="100"/>
      <c r="T2469" s="100"/>
      <c r="U2469" s="100"/>
      <c r="V2469" s="100"/>
      <c r="W2469" s="100"/>
      <c r="X2469" s="100"/>
      <c r="Y2469" s="100"/>
      <c r="Z2469" s="100"/>
    </row>
    <row r="2470" spans="1:26">
      <c r="A2470" s="100"/>
      <c r="B2470" s="100"/>
      <c r="C2470" s="100"/>
      <c r="D2470" s="100"/>
      <c r="E2470" s="100"/>
      <c r="F2470" s="100"/>
      <c r="G2470" s="100"/>
      <c r="H2470" s="100"/>
      <c r="I2470" s="100"/>
      <c r="J2470" s="100"/>
      <c r="K2470" s="100"/>
      <c r="L2470" s="100"/>
      <c r="M2470" s="100"/>
      <c r="N2470" s="100"/>
      <c r="O2470" s="100"/>
      <c r="P2470" s="100"/>
      <c r="Q2470" s="100"/>
      <c r="R2470" s="100"/>
      <c r="S2470" s="100"/>
      <c r="T2470" s="100"/>
      <c r="U2470" s="100"/>
      <c r="V2470" s="100"/>
      <c r="W2470" s="100"/>
      <c r="X2470" s="100"/>
      <c r="Y2470" s="100"/>
      <c r="Z2470" s="100"/>
    </row>
    <row r="2471" spans="1:26">
      <c r="A2471" s="100"/>
      <c r="B2471" s="100"/>
      <c r="C2471" s="100"/>
      <c r="D2471" s="100"/>
      <c r="E2471" s="100"/>
      <c r="F2471" s="100"/>
      <c r="G2471" s="100"/>
      <c r="H2471" s="100"/>
      <c r="I2471" s="100"/>
      <c r="J2471" s="100"/>
      <c r="K2471" s="100"/>
      <c r="L2471" s="100"/>
      <c r="M2471" s="100"/>
      <c r="N2471" s="100"/>
      <c r="O2471" s="100"/>
      <c r="P2471" s="100"/>
      <c r="Q2471" s="100"/>
      <c r="R2471" s="100"/>
      <c r="S2471" s="100"/>
      <c r="T2471" s="100"/>
      <c r="U2471" s="100"/>
      <c r="V2471" s="100"/>
      <c r="W2471" s="100"/>
      <c r="X2471" s="100"/>
      <c r="Y2471" s="100"/>
      <c r="Z2471" s="100"/>
    </row>
    <row r="2472" spans="1:26">
      <c r="A2472" s="100"/>
      <c r="B2472" s="100"/>
      <c r="C2472" s="100"/>
      <c r="D2472" s="100"/>
      <c r="E2472" s="100"/>
      <c r="F2472" s="100"/>
      <c r="G2472" s="100"/>
      <c r="H2472" s="100"/>
      <c r="I2472" s="100"/>
      <c r="J2472" s="100"/>
      <c r="K2472" s="100"/>
      <c r="L2472" s="100"/>
      <c r="M2472" s="100"/>
      <c r="N2472" s="100"/>
      <c r="O2472" s="100"/>
      <c r="P2472" s="100"/>
      <c r="Q2472" s="100"/>
      <c r="R2472" s="100"/>
      <c r="S2472" s="100"/>
      <c r="T2472" s="100"/>
      <c r="U2472" s="100"/>
      <c r="V2472" s="100"/>
      <c r="W2472" s="100"/>
      <c r="X2472" s="100"/>
      <c r="Y2472" s="100"/>
      <c r="Z2472" s="100"/>
    </row>
    <row r="2473" spans="1:26">
      <c r="A2473" s="100"/>
      <c r="B2473" s="100"/>
      <c r="C2473" s="100"/>
      <c r="D2473" s="100"/>
      <c r="E2473" s="100"/>
      <c r="F2473" s="100"/>
      <c r="G2473" s="100"/>
      <c r="H2473" s="100"/>
      <c r="I2473" s="100"/>
      <c r="J2473" s="100"/>
      <c r="K2473" s="100"/>
      <c r="L2473" s="100"/>
      <c r="M2473" s="100"/>
      <c r="N2473" s="100"/>
      <c r="O2473" s="100"/>
      <c r="P2473" s="100"/>
      <c r="Q2473" s="100"/>
      <c r="R2473" s="100"/>
      <c r="S2473" s="100"/>
      <c r="T2473" s="100"/>
      <c r="U2473" s="100"/>
      <c r="V2473" s="100"/>
      <c r="W2473" s="100"/>
      <c r="X2473" s="100"/>
      <c r="Y2473" s="100"/>
      <c r="Z2473" s="100"/>
    </row>
    <row r="2474" spans="1:26">
      <c r="A2474" s="100"/>
      <c r="B2474" s="100"/>
      <c r="C2474" s="100"/>
      <c r="D2474" s="100"/>
      <c r="E2474" s="100"/>
      <c r="F2474" s="100"/>
      <c r="G2474" s="100"/>
      <c r="H2474" s="100"/>
      <c r="I2474" s="100"/>
      <c r="J2474" s="100"/>
      <c r="K2474" s="100"/>
      <c r="L2474" s="100"/>
      <c r="M2474" s="100"/>
      <c r="N2474" s="100"/>
      <c r="O2474" s="100"/>
      <c r="P2474" s="100"/>
      <c r="Q2474" s="100"/>
      <c r="R2474" s="100"/>
      <c r="S2474" s="100"/>
      <c r="T2474" s="100"/>
      <c r="U2474" s="100"/>
      <c r="V2474" s="100"/>
      <c r="W2474" s="100"/>
      <c r="X2474" s="100"/>
      <c r="Y2474" s="100"/>
      <c r="Z2474" s="100"/>
    </row>
    <row r="2475" spans="1:26">
      <c r="A2475" s="100"/>
      <c r="B2475" s="100"/>
      <c r="C2475" s="100"/>
      <c r="D2475" s="100"/>
      <c r="E2475" s="100"/>
      <c r="F2475" s="100"/>
      <c r="G2475" s="100"/>
      <c r="H2475" s="100"/>
      <c r="I2475" s="100"/>
      <c r="J2475" s="100"/>
      <c r="K2475" s="100"/>
      <c r="L2475" s="100"/>
      <c r="M2475" s="100"/>
      <c r="N2475" s="100"/>
      <c r="O2475" s="100"/>
      <c r="P2475" s="100"/>
      <c r="Q2475" s="100"/>
      <c r="R2475" s="100"/>
      <c r="S2475" s="100"/>
      <c r="T2475" s="100"/>
      <c r="U2475" s="100"/>
      <c r="V2475" s="100"/>
      <c r="W2475" s="100"/>
      <c r="X2475" s="100"/>
      <c r="Y2475" s="100"/>
      <c r="Z2475" s="100"/>
    </row>
    <row r="2476" spans="1:26">
      <c r="A2476" s="100"/>
      <c r="B2476" s="100"/>
      <c r="C2476" s="100"/>
      <c r="D2476" s="100"/>
      <c r="E2476" s="100"/>
      <c r="F2476" s="100"/>
      <c r="G2476" s="100"/>
      <c r="H2476" s="100"/>
      <c r="I2476" s="100"/>
      <c r="J2476" s="100"/>
      <c r="K2476" s="100"/>
      <c r="L2476" s="100"/>
      <c r="M2476" s="100"/>
      <c r="N2476" s="100"/>
      <c r="O2476" s="100"/>
      <c r="P2476" s="100"/>
      <c r="Q2476" s="100"/>
      <c r="R2476" s="100"/>
      <c r="S2476" s="100"/>
      <c r="T2476" s="100"/>
      <c r="U2476" s="100"/>
      <c r="V2476" s="100"/>
      <c r="W2476" s="100"/>
      <c r="X2476" s="100"/>
      <c r="Y2476" s="100"/>
      <c r="Z2476" s="100"/>
    </row>
    <row r="2477" spans="1:26">
      <c r="A2477" s="100"/>
      <c r="B2477" s="100"/>
      <c r="C2477" s="100"/>
      <c r="D2477" s="100"/>
      <c r="E2477" s="100"/>
      <c r="F2477" s="100"/>
      <c r="G2477" s="100"/>
      <c r="H2477" s="100"/>
      <c r="I2477" s="100"/>
      <c r="J2477" s="100"/>
      <c r="K2477" s="100"/>
      <c r="L2477" s="100"/>
      <c r="M2477" s="100"/>
      <c r="N2477" s="100"/>
      <c r="O2477" s="100"/>
      <c r="P2477" s="100"/>
      <c r="Q2477" s="100"/>
      <c r="R2477" s="100"/>
      <c r="S2477" s="100"/>
      <c r="T2477" s="100"/>
      <c r="U2477" s="100"/>
      <c r="V2477" s="100"/>
      <c r="W2477" s="100"/>
      <c r="X2477" s="100"/>
      <c r="Y2477" s="100"/>
      <c r="Z2477" s="100"/>
    </row>
    <row r="2478" spans="1:26">
      <c r="A2478" s="100"/>
      <c r="B2478" s="100"/>
      <c r="C2478" s="100"/>
      <c r="D2478" s="100"/>
      <c r="E2478" s="100"/>
      <c r="F2478" s="100"/>
      <c r="G2478" s="100"/>
      <c r="H2478" s="100"/>
      <c r="I2478" s="100"/>
      <c r="J2478" s="100"/>
      <c r="K2478" s="100"/>
      <c r="L2478" s="100"/>
      <c r="M2478" s="100"/>
      <c r="N2478" s="100"/>
      <c r="O2478" s="100"/>
      <c r="P2478" s="100"/>
      <c r="Q2478" s="100"/>
      <c r="R2478" s="100"/>
      <c r="S2478" s="100"/>
      <c r="T2478" s="100"/>
      <c r="U2478" s="100"/>
      <c r="V2478" s="100"/>
      <c r="W2478" s="100"/>
      <c r="X2478" s="100"/>
      <c r="Y2478" s="100"/>
      <c r="Z2478" s="100"/>
    </row>
    <row r="2479" spans="1:26">
      <c r="A2479" s="100"/>
      <c r="B2479" s="100"/>
      <c r="C2479" s="100"/>
      <c r="D2479" s="100"/>
      <c r="E2479" s="100"/>
      <c r="F2479" s="100"/>
      <c r="G2479" s="100"/>
      <c r="H2479" s="100"/>
      <c r="I2479" s="100"/>
      <c r="J2479" s="100"/>
      <c r="K2479" s="100"/>
      <c r="L2479" s="100"/>
      <c r="M2479" s="100"/>
      <c r="N2479" s="100"/>
      <c r="O2479" s="100"/>
      <c r="P2479" s="100"/>
      <c r="Q2479" s="100"/>
      <c r="R2479" s="100"/>
      <c r="S2479" s="100"/>
      <c r="T2479" s="100"/>
      <c r="U2479" s="100"/>
      <c r="V2479" s="100"/>
      <c r="W2479" s="100"/>
      <c r="X2479" s="100"/>
      <c r="Y2479" s="100"/>
      <c r="Z2479" s="100"/>
    </row>
    <row r="2480" spans="1:26">
      <c r="A2480" s="100"/>
      <c r="B2480" s="100"/>
      <c r="C2480" s="100"/>
      <c r="D2480" s="100"/>
      <c r="E2480" s="100"/>
      <c r="F2480" s="100"/>
      <c r="G2480" s="100"/>
      <c r="H2480" s="100"/>
      <c r="I2480" s="100"/>
      <c r="J2480" s="100"/>
      <c r="K2480" s="100"/>
      <c r="L2480" s="100"/>
      <c r="M2480" s="100"/>
      <c r="N2480" s="100"/>
      <c r="O2480" s="100"/>
      <c r="P2480" s="100"/>
      <c r="Q2480" s="100"/>
      <c r="R2480" s="100"/>
      <c r="S2480" s="100"/>
      <c r="T2480" s="100"/>
      <c r="U2480" s="100"/>
      <c r="V2480" s="100"/>
      <c r="W2480" s="100"/>
      <c r="X2480" s="100"/>
      <c r="Y2480" s="100"/>
      <c r="Z2480" s="100"/>
    </row>
    <row r="2481" spans="1:26">
      <c r="A2481" s="100"/>
      <c r="B2481" s="100"/>
      <c r="C2481" s="100"/>
      <c r="D2481" s="100"/>
      <c r="E2481" s="100"/>
      <c r="F2481" s="100"/>
      <c r="G2481" s="100"/>
      <c r="H2481" s="100"/>
      <c r="I2481" s="100"/>
      <c r="J2481" s="100"/>
      <c r="K2481" s="100"/>
      <c r="L2481" s="100"/>
      <c r="M2481" s="100"/>
      <c r="N2481" s="100"/>
      <c r="O2481" s="100"/>
      <c r="P2481" s="100"/>
      <c r="Q2481" s="100"/>
      <c r="R2481" s="100"/>
      <c r="S2481" s="100"/>
      <c r="T2481" s="100"/>
      <c r="U2481" s="100"/>
      <c r="V2481" s="100"/>
      <c r="W2481" s="100"/>
      <c r="X2481" s="100"/>
      <c r="Y2481" s="100"/>
      <c r="Z2481" s="100"/>
    </row>
    <row r="2482" spans="1:26">
      <c r="A2482" s="100"/>
      <c r="B2482" s="100"/>
      <c r="C2482" s="100"/>
      <c r="D2482" s="100"/>
      <c r="E2482" s="100"/>
      <c r="F2482" s="100"/>
      <c r="G2482" s="100"/>
      <c r="H2482" s="100"/>
      <c r="I2482" s="100"/>
      <c r="J2482" s="100"/>
      <c r="K2482" s="100"/>
      <c r="L2482" s="100"/>
      <c r="M2482" s="100"/>
      <c r="N2482" s="100"/>
      <c r="O2482" s="100"/>
      <c r="P2482" s="100"/>
      <c r="Q2482" s="100"/>
      <c r="R2482" s="100"/>
      <c r="S2482" s="100"/>
      <c r="T2482" s="100"/>
      <c r="U2482" s="100"/>
      <c r="V2482" s="100"/>
      <c r="W2482" s="100"/>
      <c r="X2482" s="100"/>
      <c r="Y2482" s="100"/>
      <c r="Z2482" s="100"/>
    </row>
    <row r="2483" spans="1:26">
      <c r="A2483" s="100"/>
      <c r="B2483" s="100"/>
      <c r="C2483" s="100"/>
      <c r="D2483" s="100"/>
      <c r="E2483" s="100"/>
      <c r="F2483" s="100"/>
      <c r="G2483" s="100"/>
      <c r="H2483" s="100"/>
      <c r="I2483" s="100"/>
      <c r="J2483" s="100"/>
      <c r="K2483" s="100"/>
      <c r="L2483" s="100"/>
      <c r="M2483" s="100"/>
      <c r="N2483" s="100"/>
      <c r="O2483" s="100"/>
      <c r="P2483" s="100"/>
      <c r="Q2483" s="100"/>
      <c r="R2483" s="100"/>
      <c r="S2483" s="100"/>
      <c r="T2483" s="100"/>
      <c r="U2483" s="100"/>
      <c r="V2483" s="100"/>
      <c r="W2483" s="100"/>
      <c r="X2483" s="100"/>
      <c r="Y2483" s="100"/>
      <c r="Z2483" s="100"/>
    </row>
    <row r="2484" spans="1:26">
      <c r="A2484" s="100"/>
      <c r="B2484" s="100"/>
      <c r="C2484" s="100"/>
      <c r="D2484" s="100"/>
      <c r="E2484" s="100"/>
      <c r="F2484" s="100"/>
      <c r="G2484" s="100"/>
      <c r="H2484" s="100"/>
      <c r="I2484" s="100"/>
      <c r="J2484" s="100"/>
      <c r="K2484" s="100"/>
      <c r="L2484" s="100"/>
      <c r="M2484" s="100"/>
      <c r="N2484" s="100"/>
      <c r="O2484" s="100"/>
      <c r="P2484" s="100"/>
      <c r="Q2484" s="100"/>
      <c r="R2484" s="100"/>
      <c r="S2484" s="100"/>
      <c r="T2484" s="100"/>
      <c r="U2484" s="100"/>
      <c r="V2484" s="100"/>
      <c r="W2484" s="100"/>
      <c r="X2484" s="100"/>
      <c r="Y2484" s="100"/>
      <c r="Z2484" s="100"/>
    </row>
    <row r="2485" spans="1:26">
      <c r="A2485" s="100"/>
      <c r="B2485" s="100"/>
      <c r="C2485" s="100"/>
      <c r="D2485" s="100"/>
      <c r="E2485" s="100"/>
      <c r="F2485" s="100"/>
      <c r="G2485" s="100"/>
      <c r="H2485" s="100"/>
      <c r="I2485" s="100"/>
      <c r="J2485" s="100"/>
      <c r="K2485" s="100"/>
      <c r="L2485" s="100"/>
      <c r="M2485" s="100"/>
      <c r="N2485" s="100"/>
      <c r="O2485" s="100"/>
      <c r="P2485" s="100"/>
      <c r="Q2485" s="100"/>
      <c r="R2485" s="100"/>
      <c r="S2485" s="100"/>
      <c r="T2485" s="100"/>
      <c r="U2485" s="100"/>
      <c r="V2485" s="100"/>
      <c r="W2485" s="100"/>
      <c r="X2485" s="100"/>
      <c r="Y2485" s="100"/>
      <c r="Z2485" s="100"/>
    </row>
    <row r="2486" spans="1:26">
      <c r="A2486" s="100"/>
      <c r="B2486" s="100"/>
      <c r="C2486" s="100"/>
      <c r="D2486" s="100"/>
      <c r="E2486" s="100"/>
      <c r="F2486" s="100"/>
      <c r="G2486" s="100"/>
      <c r="H2486" s="100"/>
      <c r="I2486" s="100"/>
      <c r="J2486" s="100"/>
      <c r="K2486" s="100"/>
      <c r="L2486" s="100"/>
      <c r="M2486" s="100"/>
      <c r="N2486" s="100"/>
      <c r="O2486" s="100"/>
      <c r="P2486" s="100"/>
      <c r="Q2486" s="100"/>
      <c r="R2486" s="100"/>
      <c r="S2486" s="100"/>
      <c r="T2486" s="100"/>
      <c r="U2486" s="100"/>
      <c r="V2486" s="100"/>
      <c r="W2486" s="100"/>
      <c r="X2486" s="100"/>
      <c r="Y2486" s="100"/>
      <c r="Z2486" s="100"/>
    </row>
    <row r="2487" spans="1:26">
      <c r="A2487" s="100"/>
      <c r="B2487" s="100"/>
      <c r="C2487" s="100"/>
      <c r="D2487" s="100"/>
      <c r="E2487" s="100"/>
      <c r="F2487" s="100"/>
      <c r="G2487" s="100"/>
      <c r="H2487" s="100"/>
      <c r="I2487" s="100"/>
      <c r="J2487" s="100"/>
      <c r="K2487" s="100"/>
      <c r="L2487" s="100"/>
      <c r="M2487" s="100"/>
      <c r="N2487" s="100"/>
      <c r="O2487" s="100"/>
      <c r="P2487" s="100"/>
      <c r="Q2487" s="100"/>
      <c r="R2487" s="100"/>
      <c r="S2487" s="100"/>
      <c r="T2487" s="100"/>
      <c r="U2487" s="100"/>
      <c r="V2487" s="100"/>
      <c r="W2487" s="100"/>
      <c r="X2487" s="100"/>
      <c r="Y2487" s="100"/>
      <c r="Z2487" s="100"/>
    </row>
    <row r="2488" spans="1:26">
      <c r="A2488" s="100"/>
      <c r="B2488" s="100"/>
      <c r="C2488" s="100"/>
      <c r="D2488" s="100"/>
      <c r="E2488" s="100"/>
      <c r="F2488" s="100"/>
      <c r="G2488" s="100"/>
      <c r="H2488" s="100"/>
      <c r="I2488" s="100"/>
      <c r="J2488" s="100"/>
      <c r="K2488" s="100"/>
      <c r="L2488" s="100"/>
      <c r="M2488" s="100"/>
      <c r="N2488" s="100"/>
      <c r="O2488" s="100"/>
      <c r="P2488" s="100"/>
      <c r="Q2488" s="100"/>
      <c r="R2488" s="100"/>
      <c r="S2488" s="100"/>
      <c r="T2488" s="100"/>
      <c r="U2488" s="100"/>
      <c r="V2488" s="100"/>
      <c r="W2488" s="100"/>
      <c r="X2488" s="100"/>
      <c r="Y2488" s="100"/>
      <c r="Z2488" s="100"/>
    </row>
    <row r="2489" spans="1:26">
      <c r="A2489" s="100"/>
      <c r="B2489" s="100"/>
      <c r="C2489" s="100"/>
      <c r="D2489" s="100"/>
      <c r="E2489" s="100"/>
      <c r="F2489" s="100"/>
      <c r="G2489" s="100"/>
      <c r="H2489" s="100"/>
      <c r="I2489" s="100"/>
      <c r="J2489" s="100"/>
      <c r="K2489" s="100"/>
      <c r="L2489" s="100"/>
      <c r="M2489" s="100"/>
      <c r="N2489" s="100"/>
      <c r="O2489" s="100"/>
      <c r="P2489" s="100"/>
      <c r="Q2489" s="100"/>
      <c r="R2489" s="100"/>
      <c r="S2489" s="100"/>
      <c r="T2489" s="100"/>
      <c r="U2489" s="100"/>
      <c r="V2489" s="100"/>
      <c r="W2489" s="100"/>
      <c r="X2489" s="100"/>
      <c r="Y2489" s="100"/>
      <c r="Z2489" s="100"/>
    </row>
    <row r="2490" spans="1:26">
      <c r="A2490" s="100"/>
      <c r="B2490" s="100"/>
      <c r="C2490" s="100"/>
      <c r="D2490" s="100"/>
      <c r="E2490" s="100"/>
      <c r="F2490" s="100"/>
      <c r="G2490" s="100"/>
      <c r="H2490" s="100"/>
      <c r="I2490" s="100"/>
      <c r="J2490" s="100"/>
      <c r="K2490" s="100"/>
      <c r="L2490" s="100"/>
      <c r="M2490" s="100"/>
      <c r="N2490" s="100"/>
      <c r="O2490" s="100"/>
      <c r="P2490" s="100"/>
      <c r="Q2490" s="100"/>
      <c r="R2490" s="100"/>
      <c r="S2490" s="100"/>
      <c r="T2490" s="100"/>
      <c r="U2490" s="100"/>
      <c r="V2490" s="100"/>
      <c r="W2490" s="100"/>
      <c r="X2490" s="100"/>
      <c r="Y2490" s="100"/>
      <c r="Z2490" s="100"/>
    </row>
    <row r="2491" spans="1:26">
      <c r="A2491" s="100"/>
      <c r="B2491" s="100"/>
      <c r="C2491" s="100"/>
      <c r="D2491" s="100"/>
      <c r="E2491" s="100"/>
      <c r="F2491" s="100"/>
      <c r="G2491" s="100"/>
      <c r="H2491" s="100"/>
      <c r="I2491" s="100"/>
      <c r="J2491" s="100"/>
      <c r="K2491" s="100"/>
      <c r="L2491" s="100"/>
      <c r="M2491" s="100"/>
      <c r="N2491" s="100"/>
      <c r="O2491" s="100"/>
      <c r="P2491" s="100"/>
      <c r="Q2491" s="100"/>
      <c r="R2491" s="100"/>
      <c r="S2491" s="100"/>
      <c r="T2491" s="100"/>
      <c r="U2491" s="100"/>
      <c r="V2491" s="100"/>
      <c r="W2491" s="100"/>
      <c r="X2491" s="100"/>
      <c r="Y2491" s="100"/>
      <c r="Z2491" s="100"/>
    </row>
    <row r="2492" spans="1:26">
      <c r="A2492" s="100"/>
      <c r="B2492" s="100"/>
      <c r="C2492" s="100"/>
      <c r="D2492" s="100"/>
      <c r="E2492" s="100"/>
      <c r="F2492" s="100"/>
      <c r="G2492" s="100"/>
      <c r="H2492" s="100"/>
      <c r="I2492" s="100"/>
      <c r="J2492" s="100"/>
      <c r="K2492" s="100"/>
      <c r="L2492" s="100"/>
      <c r="M2492" s="100"/>
      <c r="N2492" s="100"/>
      <c r="O2492" s="100"/>
      <c r="P2492" s="100"/>
      <c r="Q2492" s="100"/>
      <c r="R2492" s="100"/>
      <c r="S2492" s="100"/>
      <c r="T2492" s="100"/>
      <c r="U2492" s="100"/>
      <c r="V2492" s="100"/>
      <c r="W2492" s="100"/>
      <c r="X2492" s="100"/>
      <c r="Y2492" s="100"/>
      <c r="Z2492" s="100"/>
    </row>
    <row r="2493" spans="1:26">
      <c r="A2493" s="100"/>
      <c r="B2493" s="100"/>
      <c r="C2493" s="100"/>
      <c r="D2493" s="100"/>
      <c r="E2493" s="100"/>
      <c r="F2493" s="100"/>
      <c r="G2493" s="100"/>
      <c r="H2493" s="100"/>
      <c r="I2493" s="100"/>
      <c r="J2493" s="100"/>
      <c r="K2493" s="100"/>
      <c r="L2493" s="100"/>
      <c r="M2493" s="100"/>
      <c r="N2493" s="100"/>
      <c r="O2493" s="100"/>
      <c r="P2493" s="100"/>
      <c r="Q2493" s="100"/>
      <c r="R2493" s="100"/>
      <c r="S2493" s="100"/>
      <c r="T2493" s="100"/>
      <c r="U2493" s="100"/>
      <c r="V2493" s="100"/>
      <c r="W2493" s="100"/>
      <c r="X2493" s="100"/>
      <c r="Y2493" s="100"/>
      <c r="Z2493" s="100"/>
    </row>
    <row r="2494" spans="1:26">
      <c r="A2494" s="100"/>
      <c r="B2494" s="100"/>
      <c r="C2494" s="100"/>
      <c r="D2494" s="100"/>
      <c r="E2494" s="100"/>
      <c r="F2494" s="100"/>
      <c r="G2494" s="100"/>
      <c r="H2494" s="100"/>
      <c r="I2494" s="100"/>
      <c r="J2494" s="100"/>
      <c r="K2494" s="100"/>
      <c r="L2494" s="100"/>
      <c r="M2494" s="100"/>
      <c r="N2494" s="100"/>
      <c r="O2494" s="100"/>
      <c r="P2494" s="100"/>
      <c r="Q2494" s="100"/>
      <c r="R2494" s="100"/>
      <c r="S2494" s="100"/>
      <c r="T2494" s="100"/>
      <c r="U2494" s="100"/>
      <c r="V2494" s="100"/>
      <c r="W2494" s="100"/>
      <c r="X2494" s="100"/>
      <c r="Y2494" s="100"/>
      <c r="Z2494" s="100"/>
    </row>
    <row r="2495" spans="1:26">
      <c r="A2495" s="100"/>
      <c r="B2495" s="100"/>
      <c r="C2495" s="100"/>
      <c r="D2495" s="100"/>
      <c r="E2495" s="100"/>
      <c r="F2495" s="100"/>
      <c r="G2495" s="100"/>
      <c r="H2495" s="100"/>
      <c r="I2495" s="100"/>
      <c r="J2495" s="100"/>
      <c r="K2495" s="100"/>
      <c r="L2495" s="100"/>
      <c r="M2495" s="100"/>
      <c r="N2495" s="100"/>
      <c r="O2495" s="100"/>
      <c r="P2495" s="100"/>
      <c r="Q2495" s="100"/>
      <c r="R2495" s="100"/>
      <c r="S2495" s="100"/>
      <c r="T2495" s="100"/>
      <c r="U2495" s="100"/>
      <c r="V2495" s="100"/>
      <c r="W2495" s="100"/>
      <c r="X2495" s="100"/>
      <c r="Y2495" s="100"/>
      <c r="Z2495" s="100"/>
    </row>
    <row r="2496" spans="1:26">
      <c r="A2496" s="100"/>
      <c r="B2496" s="100"/>
      <c r="C2496" s="100"/>
      <c r="D2496" s="100"/>
      <c r="E2496" s="100"/>
      <c r="F2496" s="100"/>
      <c r="G2496" s="100"/>
      <c r="H2496" s="100"/>
      <c r="I2496" s="100"/>
      <c r="J2496" s="100"/>
      <c r="K2496" s="100"/>
      <c r="L2496" s="100"/>
      <c r="M2496" s="100"/>
      <c r="N2496" s="100"/>
      <c r="O2496" s="100"/>
      <c r="P2496" s="100"/>
      <c r="Q2496" s="100"/>
      <c r="R2496" s="100"/>
      <c r="S2496" s="100"/>
      <c r="T2496" s="100"/>
      <c r="U2496" s="100"/>
      <c r="V2496" s="100"/>
      <c r="W2496" s="100"/>
      <c r="X2496" s="100"/>
      <c r="Y2496" s="100"/>
      <c r="Z2496" s="100"/>
    </row>
    <row r="2497" spans="1:26">
      <c r="A2497" s="100"/>
      <c r="B2497" s="100"/>
      <c r="C2497" s="100"/>
      <c r="D2497" s="100"/>
      <c r="E2497" s="100"/>
      <c r="F2497" s="100"/>
      <c r="G2497" s="100"/>
      <c r="H2497" s="100"/>
      <c r="I2497" s="100"/>
      <c r="J2497" s="100"/>
      <c r="K2497" s="100"/>
      <c r="L2497" s="100"/>
      <c r="M2497" s="100"/>
      <c r="N2497" s="100"/>
      <c r="O2497" s="100"/>
      <c r="P2497" s="100"/>
      <c r="Q2497" s="100"/>
      <c r="R2497" s="100"/>
      <c r="S2497" s="100"/>
      <c r="T2497" s="100"/>
      <c r="U2497" s="100"/>
      <c r="V2497" s="100"/>
      <c r="W2497" s="100"/>
      <c r="X2497" s="100"/>
      <c r="Y2497" s="100"/>
      <c r="Z2497" s="100"/>
    </row>
    <row r="2498" spans="1:26">
      <c r="A2498" s="100"/>
      <c r="B2498" s="100"/>
      <c r="C2498" s="100"/>
      <c r="D2498" s="100"/>
      <c r="E2498" s="100"/>
      <c r="F2498" s="100"/>
      <c r="G2498" s="100"/>
      <c r="H2498" s="100"/>
      <c r="I2498" s="100"/>
      <c r="J2498" s="100"/>
      <c r="K2498" s="100"/>
      <c r="L2498" s="100"/>
      <c r="M2498" s="100"/>
      <c r="N2498" s="100"/>
      <c r="O2498" s="100"/>
      <c r="P2498" s="100"/>
      <c r="Q2498" s="100"/>
      <c r="R2498" s="100"/>
      <c r="S2498" s="100"/>
      <c r="T2498" s="100"/>
      <c r="U2498" s="100"/>
      <c r="V2498" s="100"/>
      <c r="W2498" s="100"/>
      <c r="X2498" s="100"/>
      <c r="Y2498" s="100"/>
      <c r="Z2498" s="100"/>
    </row>
    <row r="2499" spans="1:26">
      <c r="A2499" s="100"/>
      <c r="B2499" s="100"/>
      <c r="C2499" s="100"/>
      <c r="D2499" s="100"/>
      <c r="E2499" s="100"/>
      <c r="F2499" s="100"/>
      <c r="G2499" s="100"/>
      <c r="H2499" s="100"/>
      <c r="I2499" s="100"/>
      <c r="J2499" s="100"/>
      <c r="K2499" s="100"/>
      <c r="L2499" s="100"/>
      <c r="M2499" s="100"/>
      <c r="N2499" s="100"/>
      <c r="O2499" s="100"/>
      <c r="P2499" s="100"/>
      <c r="Q2499" s="100"/>
      <c r="R2499" s="100"/>
      <c r="S2499" s="100"/>
      <c r="T2499" s="100"/>
      <c r="U2499" s="100"/>
      <c r="V2499" s="100"/>
      <c r="W2499" s="100"/>
      <c r="X2499" s="100"/>
      <c r="Y2499" s="100"/>
      <c r="Z2499" s="100"/>
    </row>
    <row r="2500" spans="1:26">
      <c r="A2500" s="100"/>
      <c r="B2500" s="100"/>
      <c r="C2500" s="100"/>
      <c r="D2500" s="100"/>
      <c r="E2500" s="100"/>
      <c r="F2500" s="100"/>
      <c r="G2500" s="100"/>
      <c r="H2500" s="100"/>
      <c r="I2500" s="100"/>
      <c r="J2500" s="100"/>
      <c r="K2500" s="100"/>
      <c r="L2500" s="100"/>
      <c r="M2500" s="100"/>
      <c r="N2500" s="100"/>
      <c r="O2500" s="100"/>
      <c r="P2500" s="100"/>
      <c r="Q2500" s="100"/>
      <c r="R2500" s="100"/>
      <c r="S2500" s="100"/>
      <c r="T2500" s="100"/>
      <c r="U2500" s="100"/>
      <c r="V2500" s="100"/>
      <c r="W2500" s="100"/>
      <c r="X2500" s="100"/>
      <c r="Y2500" s="100"/>
      <c r="Z2500" s="100"/>
    </row>
    <row r="2501" spans="1:26">
      <c r="A2501" s="100"/>
      <c r="B2501" s="100"/>
      <c r="C2501" s="100"/>
      <c r="D2501" s="100"/>
      <c r="E2501" s="100"/>
      <c r="F2501" s="100"/>
      <c r="G2501" s="100"/>
      <c r="H2501" s="100"/>
      <c r="I2501" s="100"/>
      <c r="J2501" s="100"/>
      <c r="K2501" s="100"/>
      <c r="L2501" s="100"/>
      <c r="M2501" s="100"/>
      <c r="N2501" s="100"/>
      <c r="O2501" s="100"/>
      <c r="P2501" s="100"/>
      <c r="Q2501" s="100"/>
      <c r="R2501" s="100"/>
      <c r="S2501" s="100"/>
      <c r="T2501" s="100"/>
      <c r="U2501" s="100"/>
      <c r="V2501" s="100"/>
      <c r="W2501" s="100"/>
      <c r="X2501" s="100"/>
      <c r="Y2501" s="100"/>
      <c r="Z2501" s="100"/>
    </row>
    <row r="2502" spans="1:26">
      <c r="A2502" s="100"/>
      <c r="B2502" s="100"/>
      <c r="C2502" s="100"/>
      <c r="D2502" s="100"/>
      <c r="E2502" s="100"/>
      <c r="F2502" s="100"/>
      <c r="G2502" s="100"/>
      <c r="H2502" s="100"/>
      <c r="I2502" s="100"/>
      <c r="J2502" s="100"/>
      <c r="K2502" s="100"/>
      <c r="L2502" s="100"/>
      <c r="M2502" s="100"/>
      <c r="N2502" s="100"/>
      <c r="O2502" s="100"/>
      <c r="P2502" s="100"/>
      <c r="Q2502" s="100"/>
      <c r="R2502" s="100"/>
      <c r="S2502" s="100"/>
      <c r="T2502" s="100"/>
      <c r="U2502" s="100"/>
      <c r="V2502" s="100"/>
      <c r="W2502" s="100"/>
      <c r="X2502" s="100"/>
      <c r="Y2502" s="100"/>
      <c r="Z2502" s="100"/>
    </row>
    <row r="2503" spans="1:26">
      <c r="A2503" s="100"/>
      <c r="B2503" s="100"/>
      <c r="C2503" s="100"/>
      <c r="D2503" s="100"/>
      <c r="E2503" s="100"/>
      <c r="F2503" s="100"/>
      <c r="G2503" s="100"/>
      <c r="H2503" s="100"/>
      <c r="I2503" s="100"/>
      <c r="J2503" s="100"/>
      <c r="K2503" s="100"/>
      <c r="L2503" s="100"/>
      <c r="M2503" s="100"/>
      <c r="N2503" s="100"/>
      <c r="O2503" s="100"/>
      <c r="P2503" s="100"/>
      <c r="Q2503" s="100"/>
      <c r="R2503" s="100"/>
      <c r="S2503" s="100"/>
      <c r="T2503" s="100"/>
      <c r="U2503" s="100"/>
      <c r="V2503" s="100"/>
      <c r="W2503" s="100"/>
      <c r="X2503" s="100"/>
      <c r="Y2503" s="100"/>
      <c r="Z2503" s="100"/>
    </row>
    <row r="2504" spans="1:26">
      <c r="A2504" s="100"/>
      <c r="B2504" s="100"/>
      <c r="C2504" s="100"/>
      <c r="D2504" s="100"/>
      <c r="E2504" s="100"/>
      <c r="F2504" s="100"/>
      <c r="G2504" s="100"/>
      <c r="H2504" s="100"/>
      <c r="I2504" s="100"/>
      <c r="J2504" s="100"/>
      <c r="K2504" s="100"/>
      <c r="L2504" s="100"/>
      <c r="M2504" s="100"/>
      <c r="N2504" s="100"/>
      <c r="O2504" s="100"/>
      <c r="P2504" s="100"/>
      <c r="Q2504" s="100"/>
      <c r="R2504" s="100"/>
      <c r="S2504" s="100"/>
      <c r="T2504" s="100"/>
      <c r="U2504" s="100"/>
      <c r="V2504" s="100"/>
      <c r="W2504" s="100"/>
      <c r="X2504" s="100"/>
      <c r="Y2504" s="100"/>
      <c r="Z2504" s="100"/>
    </row>
    <row r="2505" spans="1:26">
      <c r="A2505" s="100"/>
      <c r="B2505" s="100"/>
      <c r="C2505" s="100"/>
      <c r="D2505" s="100"/>
      <c r="E2505" s="100"/>
      <c r="F2505" s="100"/>
      <c r="G2505" s="100"/>
      <c r="H2505" s="100"/>
      <c r="I2505" s="100"/>
      <c r="J2505" s="100"/>
      <c r="K2505" s="100"/>
      <c r="L2505" s="100"/>
      <c r="M2505" s="100"/>
      <c r="N2505" s="100"/>
      <c r="O2505" s="100"/>
      <c r="P2505" s="100"/>
      <c r="Q2505" s="100"/>
      <c r="R2505" s="100"/>
      <c r="S2505" s="100"/>
      <c r="T2505" s="100"/>
      <c r="U2505" s="100"/>
      <c r="V2505" s="100"/>
      <c r="W2505" s="100"/>
      <c r="X2505" s="100"/>
      <c r="Y2505" s="100"/>
      <c r="Z2505" s="100"/>
    </row>
    <row r="2506" spans="1:26">
      <c r="A2506" s="100"/>
      <c r="B2506" s="100"/>
      <c r="C2506" s="100"/>
      <c r="D2506" s="100"/>
      <c r="E2506" s="100"/>
      <c r="F2506" s="100"/>
      <c r="G2506" s="100"/>
      <c r="H2506" s="100"/>
      <c r="I2506" s="100"/>
      <c r="J2506" s="100"/>
      <c r="K2506" s="100"/>
      <c r="L2506" s="100"/>
      <c r="M2506" s="100"/>
      <c r="N2506" s="100"/>
      <c r="O2506" s="100"/>
      <c r="P2506" s="100"/>
      <c r="Q2506" s="100"/>
      <c r="R2506" s="100"/>
      <c r="S2506" s="100"/>
      <c r="T2506" s="100"/>
      <c r="U2506" s="100"/>
      <c r="V2506" s="100"/>
      <c r="W2506" s="100"/>
      <c r="X2506" s="100"/>
      <c r="Y2506" s="100"/>
      <c r="Z2506" s="100"/>
    </row>
    <row r="2507" spans="1:26">
      <c r="A2507" s="100"/>
      <c r="B2507" s="100"/>
      <c r="C2507" s="100"/>
      <c r="D2507" s="100"/>
      <c r="E2507" s="100"/>
      <c r="F2507" s="100"/>
      <c r="G2507" s="100"/>
      <c r="H2507" s="100"/>
      <c r="I2507" s="100"/>
      <c r="J2507" s="100"/>
      <c r="K2507" s="100"/>
      <c r="L2507" s="100"/>
      <c r="M2507" s="100"/>
      <c r="N2507" s="100"/>
      <c r="O2507" s="100"/>
      <c r="P2507" s="100"/>
      <c r="Q2507" s="100"/>
      <c r="R2507" s="100"/>
      <c r="S2507" s="100"/>
      <c r="T2507" s="100"/>
      <c r="U2507" s="100"/>
      <c r="V2507" s="100"/>
      <c r="W2507" s="100"/>
      <c r="X2507" s="100"/>
      <c r="Y2507" s="100"/>
      <c r="Z2507" s="100"/>
    </row>
    <row r="2508" spans="1:26">
      <c r="A2508" s="100"/>
      <c r="B2508" s="100"/>
      <c r="C2508" s="100"/>
      <c r="D2508" s="100"/>
      <c r="E2508" s="100"/>
      <c r="F2508" s="100"/>
      <c r="G2508" s="100"/>
      <c r="H2508" s="100"/>
      <c r="I2508" s="100"/>
      <c r="J2508" s="100"/>
      <c r="K2508" s="100"/>
      <c r="L2508" s="100"/>
      <c r="M2508" s="100"/>
      <c r="N2508" s="100"/>
      <c r="O2508" s="100"/>
      <c r="P2508" s="100"/>
      <c r="Q2508" s="100"/>
      <c r="R2508" s="100"/>
      <c r="S2508" s="100"/>
      <c r="T2508" s="100"/>
      <c r="U2508" s="100"/>
      <c r="V2508" s="100"/>
      <c r="W2508" s="100"/>
      <c r="X2508" s="100"/>
      <c r="Y2508" s="100"/>
      <c r="Z2508" s="100"/>
    </row>
    <row r="2509" spans="1:26">
      <c r="A2509" s="100"/>
      <c r="B2509" s="100"/>
      <c r="C2509" s="100"/>
      <c r="D2509" s="100"/>
      <c r="E2509" s="100"/>
      <c r="F2509" s="100"/>
      <c r="G2509" s="100"/>
      <c r="H2509" s="100"/>
      <c r="I2509" s="100"/>
      <c r="J2509" s="100"/>
      <c r="K2509" s="100"/>
      <c r="L2509" s="100"/>
      <c r="M2509" s="100"/>
      <c r="N2509" s="100"/>
      <c r="O2509" s="100"/>
      <c r="P2509" s="100"/>
      <c r="Q2509" s="100"/>
      <c r="R2509" s="100"/>
      <c r="S2509" s="100"/>
      <c r="T2509" s="100"/>
      <c r="U2509" s="100"/>
      <c r="V2509" s="100"/>
      <c r="W2509" s="100"/>
      <c r="X2509" s="100"/>
      <c r="Y2509" s="100"/>
      <c r="Z2509" s="100"/>
    </row>
    <row r="2510" spans="1:26">
      <c r="A2510" s="100"/>
      <c r="B2510" s="100"/>
      <c r="C2510" s="100"/>
      <c r="D2510" s="100"/>
      <c r="E2510" s="100"/>
      <c r="F2510" s="100"/>
      <c r="G2510" s="100"/>
      <c r="H2510" s="100"/>
      <c r="I2510" s="100"/>
      <c r="J2510" s="100"/>
      <c r="K2510" s="100"/>
      <c r="L2510" s="100"/>
      <c r="M2510" s="100"/>
      <c r="N2510" s="100"/>
      <c r="O2510" s="100"/>
      <c r="P2510" s="100"/>
      <c r="Q2510" s="100"/>
      <c r="R2510" s="100"/>
      <c r="S2510" s="100"/>
      <c r="T2510" s="100"/>
      <c r="U2510" s="100"/>
      <c r="V2510" s="100"/>
      <c r="W2510" s="100"/>
      <c r="X2510" s="100"/>
      <c r="Y2510" s="100"/>
      <c r="Z2510" s="100"/>
    </row>
    <row r="2511" spans="1:26">
      <c r="A2511" s="100"/>
      <c r="B2511" s="100"/>
      <c r="C2511" s="100"/>
      <c r="D2511" s="100"/>
      <c r="E2511" s="100"/>
      <c r="F2511" s="100"/>
      <c r="G2511" s="100"/>
      <c r="H2511" s="100"/>
      <c r="I2511" s="100"/>
      <c r="J2511" s="100"/>
      <c r="K2511" s="100"/>
      <c r="L2511" s="100"/>
      <c r="M2511" s="100"/>
      <c r="N2511" s="100"/>
      <c r="O2511" s="100"/>
      <c r="P2511" s="100"/>
      <c r="Q2511" s="100"/>
      <c r="R2511" s="100"/>
      <c r="S2511" s="100"/>
      <c r="T2511" s="100"/>
      <c r="U2511" s="100"/>
      <c r="V2511" s="100"/>
      <c r="W2511" s="100"/>
      <c r="X2511" s="100"/>
      <c r="Y2511" s="100"/>
      <c r="Z2511" s="100"/>
    </row>
    <row r="2512" spans="1:26">
      <c r="A2512" s="100"/>
      <c r="B2512" s="100"/>
      <c r="C2512" s="100"/>
      <c r="D2512" s="100"/>
      <c r="E2512" s="100"/>
      <c r="F2512" s="100"/>
      <c r="G2512" s="100"/>
      <c r="H2512" s="100"/>
      <c r="I2512" s="100"/>
      <c r="J2512" s="100"/>
      <c r="K2512" s="100"/>
      <c r="L2512" s="100"/>
      <c r="M2512" s="100"/>
      <c r="N2512" s="100"/>
      <c r="O2512" s="100"/>
      <c r="P2512" s="100"/>
      <c r="Q2512" s="100"/>
      <c r="R2512" s="100"/>
      <c r="S2512" s="100"/>
      <c r="T2512" s="100"/>
      <c r="U2512" s="100"/>
      <c r="V2512" s="100"/>
      <c r="W2512" s="100"/>
      <c r="X2512" s="100"/>
      <c r="Y2512" s="100"/>
      <c r="Z2512" s="100"/>
    </row>
    <row r="2513" spans="1:26">
      <c r="A2513" s="100"/>
      <c r="B2513" s="100"/>
      <c r="C2513" s="100"/>
      <c r="D2513" s="100"/>
      <c r="E2513" s="100"/>
      <c r="F2513" s="100"/>
      <c r="G2513" s="100"/>
      <c r="H2513" s="100"/>
      <c r="I2513" s="100"/>
      <c r="J2513" s="100"/>
      <c r="K2513" s="100"/>
      <c r="L2513" s="100"/>
      <c r="M2513" s="100"/>
      <c r="N2513" s="100"/>
      <c r="O2513" s="100"/>
      <c r="P2513" s="100"/>
      <c r="Q2513" s="100"/>
      <c r="R2513" s="100"/>
      <c r="S2513" s="100"/>
      <c r="T2513" s="100"/>
      <c r="U2513" s="100"/>
      <c r="V2513" s="100"/>
      <c r="W2513" s="100"/>
      <c r="X2513" s="100"/>
      <c r="Y2513" s="100"/>
      <c r="Z2513" s="100"/>
    </row>
    <row r="2514" spans="1:26">
      <c r="A2514" s="100"/>
      <c r="B2514" s="100"/>
      <c r="C2514" s="100"/>
      <c r="D2514" s="100"/>
      <c r="E2514" s="100"/>
      <c r="F2514" s="100"/>
      <c r="G2514" s="100"/>
      <c r="H2514" s="100"/>
      <c r="I2514" s="100"/>
      <c r="J2514" s="100"/>
      <c r="K2514" s="100"/>
      <c r="L2514" s="100"/>
      <c r="M2514" s="100"/>
      <c r="N2514" s="100"/>
      <c r="O2514" s="100"/>
      <c r="P2514" s="100"/>
      <c r="Q2514" s="100"/>
      <c r="R2514" s="100"/>
      <c r="S2514" s="100"/>
      <c r="T2514" s="100"/>
      <c r="U2514" s="100"/>
      <c r="V2514" s="100"/>
      <c r="W2514" s="100"/>
      <c r="X2514" s="100"/>
      <c r="Y2514" s="100"/>
      <c r="Z2514" s="100"/>
    </row>
    <row r="2515" spans="1:26">
      <c r="A2515" s="100"/>
      <c r="B2515" s="100"/>
      <c r="C2515" s="100"/>
      <c r="D2515" s="100"/>
      <c r="E2515" s="100"/>
      <c r="F2515" s="100"/>
      <c r="G2515" s="100"/>
      <c r="H2515" s="100"/>
      <c r="I2515" s="100"/>
      <c r="J2515" s="100"/>
      <c r="K2515" s="100"/>
      <c r="L2515" s="100"/>
      <c r="M2515" s="100"/>
      <c r="N2515" s="100"/>
      <c r="O2515" s="100"/>
      <c r="P2515" s="100"/>
      <c r="Q2515" s="100"/>
      <c r="R2515" s="100"/>
      <c r="S2515" s="100"/>
      <c r="T2515" s="100"/>
      <c r="U2515" s="100"/>
      <c r="V2515" s="100"/>
      <c r="W2515" s="100"/>
      <c r="X2515" s="100"/>
      <c r="Y2515" s="100"/>
      <c r="Z2515" s="100"/>
    </row>
    <row r="2516" spans="1:26">
      <c r="A2516" s="100"/>
      <c r="B2516" s="100"/>
      <c r="C2516" s="100"/>
      <c r="D2516" s="100"/>
      <c r="E2516" s="100"/>
      <c r="F2516" s="100"/>
      <c r="G2516" s="100"/>
      <c r="H2516" s="100"/>
      <c r="I2516" s="100"/>
      <c r="J2516" s="100"/>
      <c r="K2516" s="100"/>
      <c r="L2516" s="100"/>
      <c r="M2516" s="100"/>
      <c r="N2516" s="100"/>
      <c r="O2516" s="100"/>
      <c r="P2516" s="100"/>
      <c r="Q2516" s="100"/>
      <c r="R2516" s="100"/>
      <c r="S2516" s="100"/>
      <c r="T2516" s="100"/>
      <c r="U2516" s="100"/>
      <c r="V2516" s="100"/>
      <c r="W2516" s="100"/>
      <c r="X2516" s="100"/>
      <c r="Y2516" s="100"/>
      <c r="Z2516" s="100"/>
    </row>
    <row r="2517" spans="1:26">
      <c r="A2517" s="100"/>
      <c r="B2517" s="100"/>
      <c r="C2517" s="100"/>
      <c r="D2517" s="100"/>
      <c r="E2517" s="100"/>
      <c r="F2517" s="100"/>
      <c r="G2517" s="100"/>
      <c r="H2517" s="100"/>
      <c r="I2517" s="100"/>
      <c r="J2517" s="100"/>
      <c r="K2517" s="100"/>
      <c r="L2517" s="100"/>
      <c r="M2517" s="100"/>
      <c r="N2517" s="100"/>
      <c r="O2517" s="100"/>
      <c r="P2517" s="100"/>
      <c r="Q2517" s="100"/>
      <c r="R2517" s="100"/>
      <c r="S2517" s="100"/>
      <c r="T2517" s="100"/>
      <c r="U2517" s="100"/>
      <c r="V2517" s="100"/>
      <c r="W2517" s="100"/>
      <c r="X2517" s="100"/>
      <c r="Y2517" s="100"/>
      <c r="Z2517" s="100"/>
    </row>
    <row r="2518" spans="1:26">
      <c r="A2518" s="100"/>
      <c r="B2518" s="100"/>
      <c r="C2518" s="100"/>
      <c r="D2518" s="100"/>
      <c r="E2518" s="100"/>
      <c r="F2518" s="100"/>
      <c r="G2518" s="100"/>
      <c r="H2518" s="100"/>
      <c r="I2518" s="100"/>
      <c r="J2518" s="100"/>
      <c r="K2518" s="100"/>
      <c r="L2518" s="100"/>
      <c r="M2518" s="100"/>
      <c r="N2518" s="100"/>
      <c r="O2518" s="100"/>
      <c r="P2518" s="100"/>
      <c r="Q2518" s="100"/>
      <c r="R2518" s="100"/>
      <c r="S2518" s="100"/>
      <c r="T2518" s="100"/>
      <c r="U2518" s="100"/>
      <c r="V2518" s="100"/>
      <c r="W2518" s="100"/>
      <c r="X2518" s="100"/>
      <c r="Y2518" s="100"/>
      <c r="Z2518" s="100"/>
    </row>
    <row r="2519" spans="1:26">
      <c r="A2519" s="100"/>
      <c r="B2519" s="100"/>
      <c r="C2519" s="100"/>
      <c r="D2519" s="100"/>
      <c r="E2519" s="100"/>
      <c r="F2519" s="100"/>
      <c r="G2519" s="100"/>
      <c r="H2519" s="100"/>
      <c r="I2519" s="100"/>
      <c r="J2519" s="100"/>
      <c r="K2519" s="100"/>
      <c r="L2519" s="100"/>
      <c r="M2519" s="100"/>
      <c r="N2519" s="100"/>
      <c r="O2519" s="100"/>
      <c r="P2519" s="100"/>
      <c r="Q2519" s="100"/>
      <c r="R2519" s="100"/>
      <c r="S2519" s="100"/>
      <c r="T2519" s="100"/>
      <c r="U2519" s="100"/>
      <c r="V2519" s="100"/>
      <c r="W2519" s="100"/>
      <c r="X2519" s="100"/>
      <c r="Y2519" s="100"/>
      <c r="Z2519" s="100"/>
    </row>
    <row r="2520" spans="1:26">
      <c r="A2520" s="100"/>
      <c r="B2520" s="100"/>
      <c r="C2520" s="100"/>
      <c r="D2520" s="100"/>
      <c r="E2520" s="100"/>
      <c r="F2520" s="100"/>
      <c r="G2520" s="100"/>
      <c r="H2520" s="100"/>
      <c r="I2520" s="100"/>
      <c r="J2520" s="100"/>
      <c r="K2520" s="100"/>
      <c r="L2520" s="100"/>
      <c r="M2520" s="100"/>
      <c r="N2520" s="100"/>
      <c r="O2520" s="100"/>
      <c r="P2520" s="100"/>
      <c r="Q2520" s="100"/>
      <c r="R2520" s="100"/>
      <c r="S2520" s="100"/>
      <c r="T2520" s="100"/>
      <c r="U2520" s="100"/>
      <c r="V2520" s="100"/>
      <c r="W2520" s="100"/>
      <c r="X2520" s="100"/>
      <c r="Y2520" s="100"/>
      <c r="Z2520" s="100"/>
    </row>
    <row r="2521" spans="1:26">
      <c r="A2521" s="100"/>
      <c r="B2521" s="100"/>
      <c r="C2521" s="100"/>
      <c r="D2521" s="100"/>
      <c r="E2521" s="100"/>
      <c r="F2521" s="100"/>
      <c r="G2521" s="100"/>
      <c r="H2521" s="100"/>
      <c r="I2521" s="100"/>
      <c r="J2521" s="100"/>
      <c r="K2521" s="100"/>
      <c r="L2521" s="100"/>
      <c r="M2521" s="100"/>
      <c r="N2521" s="100"/>
      <c r="O2521" s="100"/>
      <c r="P2521" s="100"/>
      <c r="Q2521" s="100"/>
      <c r="R2521" s="100"/>
      <c r="S2521" s="100"/>
      <c r="T2521" s="100"/>
      <c r="U2521" s="100"/>
      <c r="V2521" s="100"/>
      <c r="W2521" s="100"/>
      <c r="X2521" s="100"/>
      <c r="Y2521" s="100"/>
      <c r="Z2521" s="100"/>
    </row>
    <row r="2522" spans="1:26">
      <c r="A2522" s="100"/>
      <c r="B2522" s="100"/>
      <c r="C2522" s="100"/>
      <c r="D2522" s="100"/>
      <c r="E2522" s="100"/>
      <c r="F2522" s="100"/>
      <c r="G2522" s="100"/>
      <c r="H2522" s="100"/>
      <c r="I2522" s="100"/>
      <c r="J2522" s="100"/>
      <c r="K2522" s="100"/>
      <c r="L2522" s="100"/>
      <c r="M2522" s="100"/>
      <c r="N2522" s="100"/>
      <c r="O2522" s="100"/>
      <c r="P2522" s="100"/>
      <c r="Q2522" s="100"/>
      <c r="R2522" s="100"/>
      <c r="S2522" s="100"/>
      <c r="T2522" s="100"/>
      <c r="U2522" s="100"/>
      <c r="V2522" s="100"/>
      <c r="W2522" s="100"/>
      <c r="X2522" s="100"/>
      <c r="Y2522" s="100"/>
      <c r="Z2522" s="100"/>
    </row>
    <row r="2523" spans="1:26">
      <c r="A2523" s="100"/>
      <c r="B2523" s="100"/>
      <c r="C2523" s="100"/>
      <c r="D2523" s="100"/>
      <c r="E2523" s="100"/>
      <c r="F2523" s="100"/>
      <c r="G2523" s="100"/>
      <c r="H2523" s="100"/>
      <c r="I2523" s="100"/>
      <c r="J2523" s="100"/>
      <c r="K2523" s="100"/>
      <c r="L2523" s="100"/>
      <c r="M2523" s="100"/>
      <c r="N2523" s="100"/>
      <c r="O2523" s="100"/>
      <c r="P2523" s="100"/>
      <c r="Q2523" s="100"/>
      <c r="R2523" s="100"/>
      <c r="S2523" s="100"/>
      <c r="T2523" s="100"/>
      <c r="U2523" s="100"/>
      <c r="V2523" s="100"/>
      <c r="W2523" s="100"/>
      <c r="X2523" s="100"/>
      <c r="Y2523" s="100"/>
      <c r="Z2523" s="100"/>
    </row>
    <row r="2524" spans="1:26">
      <c r="A2524" s="100"/>
      <c r="B2524" s="100"/>
      <c r="C2524" s="100"/>
      <c r="D2524" s="100"/>
      <c r="E2524" s="100"/>
      <c r="F2524" s="100"/>
      <c r="G2524" s="100"/>
      <c r="H2524" s="100"/>
      <c r="I2524" s="100"/>
      <c r="J2524" s="100"/>
      <c r="K2524" s="100"/>
      <c r="L2524" s="100"/>
      <c r="M2524" s="100"/>
      <c r="N2524" s="100"/>
      <c r="O2524" s="100"/>
      <c r="P2524" s="100"/>
      <c r="Q2524" s="100"/>
      <c r="R2524" s="100"/>
      <c r="S2524" s="100"/>
      <c r="T2524" s="100"/>
      <c r="U2524" s="100"/>
      <c r="V2524" s="100"/>
      <c r="W2524" s="100"/>
      <c r="X2524" s="100"/>
      <c r="Y2524" s="100"/>
      <c r="Z2524" s="100"/>
    </row>
    <row r="2525" spans="1:26">
      <c r="A2525" s="100"/>
      <c r="B2525" s="100"/>
      <c r="C2525" s="100"/>
      <c r="D2525" s="100"/>
      <c r="E2525" s="100"/>
      <c r="F2525" s="100"/>
      <c r="G2525" s="100"/>
      <c r="H2525" s="100"/>
      <c r="I2525" s="100"/>
      <c r="J2525" s="100"/>
      <c r="K2525" s="100"/>
      <c r="L2525" s="100"/>
      <c r="M2525" s="100"/>
      <c r="N2525" s="100"/>
      <c r="O2525" s="100"/>
      <c r="P2525" s="100"/>
      <c r="Q2525" s="100"/>
      <c r="R2525" s="100"/>
      <c r="S2525" s="100"/>
      <c r="T2525" s="100"/>
      <c r="U2525" s="100"/>
      <c r="V2525" s="100"/>
      <c r="W2525" s="100"/>
      <c r="X2525" s="100"/>
      <c r="Y2525" s="100"/>
      <c r="Z2525" s="100"/>
    </row>
    <row r="2526" spans="1:26">
      <c r="A2526" s="100"/>
      <c r="B2526" s="100"/>
      <c r="C2526" s="100"/>
      <c r="D2526" s="100"/>
      <c r="E2526" s="100"/>
      <c r="F2526" s="100"/>
      <c r="G2526" s="100"/>
      <c r="H2526" s="100"/>
      <c r="I2526" s="100"/>
      <c r="J2526" s="100"/>
      <c r="K2526" s="100"/>
      <c r="L2526" s="100"/>
      <c r="M2526" s="100"/>
      <c r="N2526" s="100"/>
      <c r="O2526" s="100"/>
      <c r="P2526" s="100"/>
      <c r="Q2526" s="100"/>
      <c r="R2526" s="100"/>
      <c r="S2526" s="100"/>
      <c r="T2526" s="100"/>
      <c r="U2526" s="100"/>
      <c r="V2526" s="100"/>
      <c r="W2526" s="100"/>
      <c r="X2526" s="100"/>
      <c r="Y2526" s="100"/>
      <c r="Z2526" s="100"/>
    </row>
    <row r="2527" spans="1:26">
      <c r="A2527" s="100"/>
      <c r="B2527" s="100"/>
      <c r="C2527" s="100"/>
      <c r="D2527" s="100"/>
      <c r="E2527" s="100"/>
      <c r="F2527" s="100"/>
      <c r="G2527" s="100"/>
      <c r="H2527" s="100"/>
      <c r="I2527" s="100"/>
      <c r="J2527" s="100"/>
      <c r="K2527" s="100"/>
      <c r="L2527" s="100"/>
      <c r="M2527" s="100"/>
      <c r="N2527" s="100"/>
      <c r="O2527" s="100"/>
      <c r="P2527" s="100"/>
      <c r="Q2527" s="100"/>
      <c r="R2527" s="100"/>
      <c r="S2527" s="100"/>
      <c r="T2527" s="100"/>
      <c r="U2527" s="100"/>
      <c r="V2527" s="100"/>
      <c r="W2527" s="100"/>
      <c r="X2527" s="100"/>
      <c r="Y2527" s="100"/>
      <c r="Z2527" s="100"/>
    </row>
    <row r="2528" spans="1:26">
      <c r="A2528" s="100"/>
      <c r="B2528" s="100"/>
      <c r="C2528" s="100"/>
      <c r="D2528" s="100"/>
      <c r="E2528" s="100"/>
      <c r="F2528" s="100"/>
      <c r="G2528" s="100"/>
      <c r="H2528" s="100"/>
      <c r="I2528" s="100"/>
      <c r="J2528" s="100"/>
      <c r="K2528" s="100"/>
      <c r="L2528" s="100"/>
      <c r="M2528" s="100"/>
      <c r="N2528" s="100"/>
      <c r="O2528" s="100"/>
      <c r="P2528" s="100"/>
      <c r="Q2528" s="100"/>
      <c r="R2528" s="100"/>
      <c r="S2528" s="100"/>
      <c r="T2528" s="100"/>
      <c r="U2528" s="100"/>
      <c r="V2528" s="100"/>
      <c r="W2528" s="100"/>
      <c r="X2528" s="100"/>
      <c r="Y2528" s="100"/>
      <c r="Z2528" s="100"/>
    </row>
    <row r="2529" spans="1:26">
      <c r="A2529" s="100"/>
      <c r="B2529" s="100"/>
      <c r="C2529" s="100"/>
      <c r="D2529" s="100"/>
      <c r="E2529" s="100"/>
      <c r="F2529" s="100"/>
      <c r="G2529" s="100"/>
      <c r="H2529" s="100"/>
      <c r="I2529" s="100"/>
      <c r="J2529" s="100"/>
      <c r="K2529" s="100"/>
      <c r="L2529" s="100"/>
      <c r="M2529" s="100"/>
      <c r="N2529" s="100"/>
      <c r="O2529" s="100"/>
      <c r="P2529" s="100"/>
      <c r="Q2529" s="100"/>
      <c r="R2529" s="100"/>
      <c r="S2529" s="100"/>
      <c r="T2529" s="100"/>
      <c r="U2529" s="100"/>
      <c r="V2529" s="100"/>
      <c r="W2529" s="100"/>
      <c r="X2529" s="100"/>
      <c r="Y2529" s="100"/>
      <c r="Z2529" s="100"/>
    </row>
    <row r="2530" spans="1:26">
      <c r="A2530" s="100"/>
      <c r="B2530" s="100"/>
      <c r="C2530" s="100"/>
      <c r="D2530" s="100"/>
      <c r="E2530" s="100"/>
      <c r="F2530" s="100"/>
      <c r="G2530" s="100"/>
      <c r="H2530" s="100"/>
      <c r="I2530" s="100"/>
      <c r="J2530" s="100"/>
      <c r="K2530" s="100"/>
      <c r="L2530" s="100"/>
      <c r="M2530" s="100"/>
      <c r="N2530" s="100"/>
      <c r="O2530" s="100"/>
      <c r="P2530" s="100"/>
      <c r="Q2530" s="100"/>
      <c r="R2530" s="100"/>
      <c r="S2530" s="100"/>
      <c r="T2530" s="100"/>
      <c r="U2530" s="100"/>
      <c r="V2530" s="100"/>
      <c r="W2530" s="100"/>
      <c r="X2530" s="100"/>
      <c r="Y2530" s="100"/>
      <c r="Z2530" s="100"/>
    </row>
    <row r="2531" spans="1:26">
      <c r="A2531" s="100"/>
      <c r="B2531" s="100"/>
      <c r="C2531" s="100"/>
      <c r="D2531" s="100"/>
      <c r="E2531" s="100"/>
      <c r="F2531" s="100"/>
      <c r="G2531" s="100"/>
      <c r="H2531" s="100"/>
      <c r="I2531" s="100"/>
      <c r="J2531" s="100"/>
      <c r="K2531" s="100"/>
      <c r="L2531" s="100"/>
      <c r="M2531" s="100"/>
      <c r="N2531" s="100"/>
      <c r="O2531" s="100"/>
      <c r="P2531" s="100"/>
      <c r="Q2531" s="100"/>
      <c r="R2531" s="100"/>
      <c r="S2531" s="100"/>
      <c r="T2531" s="100"/>
      <c r="U2531" s="100"/>
      <c r="V2531" s="100"/>
      <c r="W2531" s="100"/>
      <c r="X2531" s="100"/>
      <c r="Y2531" s="100"/>
      <c r="Z2531" s="100"/>
    </row>
    <row r="2532" spans="1:26">
      <c r="A2532" s="100"/>
      <c r="B2532" s="100"/>
      <c r="C2532" s="100"/>
      <c r="D2532" s="100"/>
      <c r="E2532" s="100"/>
      <c r="F2532" s="100"/>
      <c r="G2532" s="100"/>
      <c r="H2532" s="100"/>
      <c r="I2532" s="100"/>
      <c r="J2532" s="100"/>
      <c r="K2532" s="100"/>
      <c r="L2532" s="100"/>
      <c r="M2532" s="100"/>
      <c r="N2532" s="100"/>
      <c r="O2532" s="100"/>
      <c r="P2532" s="100"/>
      <c r="Q2532" s="100"/>
      <c r="R2532" s="100"/>
      <c r="S2532" s="100"/>
      <c r="T2532" s="100"/>
      <c r="U2532" s="100"/>
      <c r="V2532" s="100"/>
      <c r="W2532" s="100"/>
      <c r="X2532" s="100"/>
      <c r="Y2532" s="100"/>
      <c r="Z2532" s="100"/>
    </row>
    <row r="2533" spans="1:26">
      <c r="A2533" s="100"/>
      <c r="B2533" s="100"/>
      <c r="C2533" s="100"/>
      <c r="D2533" s="100"/>
      <c r="E2533" s="100"/>
      <c r="F2533" s="100"/>
      <c r="G2533" s="100"/>
      <c r="H2533" s="100"/>
      <c r="I2533" s="100"/>
      <c r="J2533" s="100"/>
      <c r="K2533" s="100"/>
      <c r="L2533" s="100"/>
      <c r="M2533" s="100"/>
      <c r="N2533" s="100"/>
      <c r="O2533" s="100"/>
      <c r="P2533" s="100"/>
      <c r="Q2533" s="100"/>
      <c r="R2533" s="100"/>
      <c r="S2533" s="100"/>
      <c r="T2533" s="100"/>
      <c r="U2533" s="100"/>
      <c r="V2533" s="100"/>
      <c r="W2533" s="100"/>
      <c r="X2533" s="100"/>
      <c r="Y2533" s="100"/>
      <c r="Z2533" s="100"/>
    </row>
    <row r="2534" spans="1:26">
      <c r="A2534" s="100"/>
      <c r="B2534" s="100"/>
      <c r="C2534" s="100"/>
      <c r="D2534" s="100"/>
      <c r="E2534" s="100"/>
      <c r="F2534" s="100"/>
      <c r="G2534" s="100"/>
      <c r="H2534" s="100"/>
      <c r="I2534" s="100"/>
      <c r="J2534" s="100"/>
      <c r="K2534" s="100"/>
      <c r="L2534" s="100"/>
      <c r="M2534" s="100"/>
      <c r="N2534" s="100"/>
      <c r="O2534" s="100"/>
      <c r="P2534" s="100"/>
      <c r="Q2534" s="100"/>
      <c r="R2534" s="100"/>
      <c r="S2534" s="100"/>
      <c r="T2534" s="100"/>
      <c r="U2534" s="100"/>
      <c r="V2534" s="100"/>
      <c r="W2534" s="100"/>
      <c r="X2534" s="100"/>
      <c r="Y2534" s="100"/>
      <c r="Z2534" s="100"/>
    </row>
    <row r="2535" spans="1:26">
      <c r="A2535" s="100"/>
      <c r="B2535" s="100"/>
      <c r="C2535" s="100"/>
      <c r="D2535" s="100"/>
      <c r="E2535" s="100"/>
      <c r="F2535" s="100"/>
      <c r="G2535" s="100"/>
      <c r="H2535" s="100"/>
      <c r="I2535" s="100"/>
      <c r="J2535" s="100"/>
      <c r="K2535" s="100"/>
      <c r="L2535" s="100"/>
      <c r="M2535" s="100"/>
      <c r="N2535" s="100"/>
      <c r="O2535" s="100"/>
      <c r="P2535" s="100"/>
      <c r="Q2535" s="100"/>
      <c r="R2535" s="100"/>
      <c r="S2535" s="100"/>
      <c r="T2535" s="100"/>
      <c r="U2535" s="100"/>
      <c r="V2535" s="100"/>
      <c r="W2535" s="100"/>
      <c r="X2535" s="100"/>
      <c r="Y2535" s="100"/>
      <c r="Z2535" s="100"/>
    </row>
    <row r="2536" spans="1:26">
      <c r="A2536" s="100"/>
      <c r="B2536" s="100"/>
      <c r="C2536" s="100"/>
      <c r="D2536" s="100"/>
      <c r="E2536" s="100"/>
      <c r="F2536" s="100"/>
      <c r="G2536" s="100"/>
      <c r="H2536" s="100"/>
      <c r="I2536" s="100"/>
      <c r="J2536" s="100"/>
      <c r="K2536" s="100"/>
      <c r="L2536" s="100"/>
      <c r="M2536" s="100"/>
      <c r="N2536" s="100"/>
      <c r="O2536" s="100"/>
      <c r="P2536" s="100"/>
      <c r="Q2536" s="100"/>
      <c r="R2536" s="100"/>
      <c r="S2536" s="100"/>
      <c r="T2536" s="100"/>
      <c r="U2536" s="100"/>
      <c r="V2536" s="100"/>
      <c r="W2536" s="100"/>
      <c r="X2536" s="100"/>
      <c r="Y2536" s="100"/>
      <c r="Z2536" s="100"/>
    </row>
    <row r="2537" spans="1:26">
      <c r="A2537" s="100"/>
      <c r="B2537" s="100"/>
      <c r="C2537" s="100"/>
      <c r="D2537" s="100"/>
      <c r="E2537" s="100"/>
      <c r="F2537" s="100"/>
      <c r="G2537" s="100"/>
      <c r="H2537" s="100"/>
      <c r="I2537" s="100"/>
      <c r="J2537" s="100"/>
      <c r="K2537" s="100"/>
      <c r="L2537" s="100"/>
      <c r="M2537" s="100"/>
      <c r="N2537" s="100"/>
      <c r="O2537" s="100"/>
      <c r="P2537" s="100"/>
      <c r="Q2537" s="100"/>
      <c r="R2537" s="100"/>
      <c r="S2537" s="100"/>
      <c r="T2537" s="100"/>
      <c r="U2537" s="100"/>
      <c r="V2537" s="100"/>
      <c r="W2537" s="100"/>
      <c r="X2537" s="100"/>
      <c r="Y2537" s="100"/>
      <c r="Z2537" s="100"/>
    </row>
    <row r="2538" spans="1:26">
      <c r="A2538" s="100"/>
      <c r="B2538" s="100"/>
      <c r="C2538" s="100"/>
      <c r="D2538" s="100"/>
      <c r="E2538" s="100"/>
      <c r="F2538" s="100"/>
      <c r="G2538" s="100"/>
      <c r="H2538" s="100"/>
      <c r="I2538" s="100"/>
      <c r="J2538" s="100"/>
      <c r="K2538" s="100"/>
      <c r="L2538" s="100"/>
      <c r="M2538" s="100"/>
      <c r="N2538" s="100"/>
      <c r="O2538" s="100"/>
      <c r="P2538" s="100"/>
      <c r="Q2538" s="100"/>
      <c r="R2538" s="100"/>
      <c r="S2538" s="100"/>
      <c r="T2538" s="100"/>
      <c r="U2538" s="100"/>
      <c r="V2538" s="100"/>
      <c r="W2538" s="100"/>
      <c r="X2538" s="100"/>
      <c r="Y2538" s="100"/>
      <c r="Z2538" s="100"/>
    </row>
    <row r="2539" spans="1:26">
      <c r="A2539" s="100"/>
      <c r="B2539" s="100"/>
      <c r="C2539" s="100"/>
      <c r="D2539" s="100"/>
      <c r="E2539" s="100"/>
      <c r="F2539" s="100"/>
      <c r="G2539" s="100"/>
      <c r="H2539" s="100"/>
      <c r="I2539" s="100"/>
      <c r="J2539" s="100"/>
      <c r="K2539" s="100"/>
      <c r="L2539" s="100"/>
      <c r="M2539" s="100"/>
      <c r="N2539" s="100"/>
      <c r="O2539" s="100"/>
      <c r="P2539" s="100"/>
      <c r="Q2539" s="100"/>
      <c r="R2539" s="100"/>
      <c r="S2539" s="100"/>
      <c r="T2539" s="100"/>
      <c r="U2539" s="100"/>
      <c r="V2539" s="100"/>
      <c r="W2539" s="100"/>
      <c r="X2539" s="100"/>
      <c r="Y2539" s="100"/>
      <c r="Z2539" s="100"/>
    </row>
    <row r="2540" spans="1:26">
      <c r="A2540" s="100"/>
      <c r="B2540" s="100"/>
      <c r="C2540" s="100"/>
      <c r="D2540" s="100"/>
      <c r="E2540" s="100"/>
      <c r="F2540" s="100"/>
      <c r="G2540" s="100"/>
      <c r="H2540" s="100"/>
      <c r="I2540" s="100"/>
      <c r="J2540" s="100"/>
      <c r="K2540" s="100"/>
      <c r="L2540" s="100"/>
      <c r="M2540" s="100"/>
      <c r="N2540" s="100"/>
      <c r="O2540" s="100"/>
      <c r="P2540" s="100"/>
      <c r="Q2540" s="100"/>
      <c r="R2540" s="100"/>
      <c r="S2540" s="100"/>
      <c r="T2540" s="100"/>
      <c r="U2540" s="100"/>
      <c r="V2540" s="100"/>
      <c r="W2540" s="100"/>
      <c r="X2540" s="100"/>
      <c r="Y2540" s="100"/>
      <c r="Z2540" s="100"/>
    </row>
    <row r="2541" spans="1:26">
      <c r="A2541" s="100"/>
      <c r="B2541" s="100"/>
      <c r="C2541" s="100"/>
      <c r="D2541" s="100"/>
      <c r="E2541" s="100"/>
      <c r="F2541" s="100"/>
      <c r="G2541" s="100"/>
      <c r="H2541" s="100"/>
      <c r="I2541" s="100"/>
      <c r="J2541" s="100"/>
      <c r="K2541" s="100"/>
      <c r="L2541" s="100"/>
      <c r="M2541" s="100"/>
      <c r="N2541" s="100"/>
      <c r="O2541" s="100"/>
      <c r="P2541" s="100"/>
      <c r="Q2541" s="100"/>
      <c r="R2541" s="100"/>
      <c r="S2541" s="100"/>
      <c r="T2541" s="100"/>
      <c r="U2541" s="100"/>
      <c r="V2541" s="100"/>
      <c r="W2541" s="100"/>
      <c r="X2541" s="100"/>
      <c r="Y2541" s="100"/>
      <c r="Z2541" s="100"/>
    </row>
    <row r="2542" spans="1:26">
      <c r="A2542" s="100"/>
      <c r="B2542" s="100"/>
      <c r="C2542" s="100"/>
      <c r="D2542" s="100"/>
      <c r="E2542" s="100"/>
      <c r="F2542" s="100"/>
      <c r="G2542" s="100"/>
      <c r="H2542" s="100"/>
      <c r="I2542" s="100"/>
      <c r="J2542" s="100"/>
      <c r="K2542" s="100"/>
      <c r="L2542" s="100"/>
      <c r="M2542" s="100"/>
      <c r="N2542" s="100"/>
      <c r="O2542" s="100"/>
      <c r="P2542" s="100"/>
      <c r="Q2542" s="100"/>
      <c r="R2542" s="100"/>
      <c r="S2542" s="100"/>
      <c r="T2542" s="100"/>
      <c r="U2542" s="100"/>
      <c r="V2542" s="100"/>
      <c r="W2542" s="100"/>
      <c r="X2542" s="100"/>
      <c r="Y2542" s="100"/>
      <c r="Z2542" s="100"/>
    </row>
    <row r="2543" spans="1:26">
      <c r="A2543" s="100"/>
      <c r="B2543" s="100"/>
      <c r="C2543" s="100"/>
      <c r="D2543" s="100"/>
      <c r="E2543" s="100"/>
      <c r="F2543" s="100"/>
      <c r="G2543" s="100"/>
      <c r="H2543" s="100"/>
      <c r="I2543" s="100"/>
      <c r="J2543" s="100"/>
      <c r="K2543" s="100"/>
      <c r="L2543" s="100"/>
      <c r="M2543" s="100"/>
      <c r="N2543" s="100"/>
      <c r="O2543" s="100"/>
      <c r="P2543" s="100"/>
      <c r="Q2543" s="100"/>
      <c r="R2543" s="100"/>
      <c r="S2543" s="100"/>
      <c r="T2543" s="100"/>
      <c r="U2543" s="100"/>
      <c r="V2543" s="100"/>
      <c r="W2543" s="100"/>
      <c r="X2543" s="100"/>
      <c r="Y2543" s="100"/>
      <c r="Z2543" s="100"/>
    </row>
    <row r="2544" spans="1:26">
      <c r="A2544" s="100"/>
      <c r="B2544" s="100"/>
      <c r="C2544" s="100"/>
      <c r="D2544" s="100"/>
      <c r="E2544" s="100"/>
      <c r="F2544" s="100"/>
      <c r="G2544" s="100"/>
      <c r="H2544" s="100"/>
      <c r="I2544" s="100"/>
      <c r="J2544" s="100"/>
      <c r="K2544" s="100"/>
      <c r="L2544" s="100"/>
      <c r="M2544" s="100"/>
      <c r="N2544" s="100"/>
      <c r="O2544" s="100"/>
      <c r="P2544" s="100"/>
      <c r="Q2544" s="100"/>
      <c r="R2544" s="100"/>
      <c r="S2544" s="100"/>
      <c r="T2544" s="100"/>
      <c r="U2544" s="100"/>
      <c r="V2544" s="100"/>
      <c r="W2544" s="100"/>
      <c r="X2544" s="100"/>
      <c r="Y2544" s="100"/>
      <c r="Z2544" s="100"/>
    </row>
    <row r="2545" spans="1:26">
      <c r="A2545" s="100"/>
      <c r="B2545" s="100"/>
      <c r="C2545" s="100"/>
      <c r="D2545" s="100"/>
      <c r="E2545" s="100"/>
      <c r="F2545" s="100"/>
      <c r="G2545" s="100"/>
      <c r="H2545" s="100"/>
      <c r="I2545" s="100"/>
      <c r="J2545" s="100"/>
      <c r="K2545" s="100"/>
      <c r="L2545" s="100"/>
      <c r="M2545" s="100"/>
      <c r="N2545" s="100"/>
      <c r="O2545" s="100"/>
      <c r="P2545" s="100"/>
      <c r="Q2545" s="100"/>
      <c r="R2545" s="100"/>
      <c r="S2545" s="100"/>
      <c r="T2545" s="100"/>
      <c r="U2545" s="100"/>
      <c r="V2545" s="100"/>
      <c r="W2545" s="100"/>
      <c r="X2545" s="100"/>
      <c r="Y2545" s="100"/>
      <c r="Z2545" s="100"/>
    </row>
    <row r="2546" spans="1:26">
      <c r="A2546" s="100"/>
      <c r="B2546" s="100"/>
      <c r="C2546" s="100"/>
      <c r="D2546" s="100"/>
      <c r="E2546" s="100"/>
      <c r="F2546" s="100"/>
      <c r="G2546" s="100"/>
      <c r="H2546" s="100"/>
      <c r="I2546" s="100"/>
      <c r="J2546" s="100"/>
      <c r="K2546" s="100"/>
      <c r="L2546" s="100"/>
      <c r="M2546" s="100"/>
      <c r="N2546" s="100"/>
      <c r="O2546" s="100"/>
      <c r="P2546" s="100"/>
      <c r="Q2546" s="100"/>
      <c r="R2546" s="100"/>
      <c r="S2546" s="100"/>
      <c r="T2546" s="100"/>
      <c r="U2546" s="100"/>
      <c r="V2546" s="100"/>
      <c r="W2546" s="100"/>
      <c r="X2546" s="100"/>
      <c r="Y2546" s="100"/>
      <c r="Z2546" s="100"/>
    </row>
    <row r="2547" spans="1:26">
      <c r="A2547" s="100"/>
      <c r="B2547" s="100"/>
      <c r="C2547" s="100"/>
      <c r="D2547" s="100"/>
      <c r="E2547" s="100"/>
      <c r="F2547" s="100"/>
      <c r="G2547" s="100"/>
      <c r="H2547" s="100"/>
      <c r="I2547" s="100"/>
      <c r="J2547" s="100"/>
      <c r="K2547" s="100"/>
      <c r="L2547" s="100"/>
      <c r="M2547" s="100"/>
      <c r="N2547" s="100"/>
      <c r="O2547" s="100"/>
      <c r="P2547" s="100"/>
      <c r="Q2547" s="100"/>
      <c r="R2547" s="100"/>
      <c r="S2547" s="100"/>
      <c r="T2547" s="100"/>
      <c r="U2547" s="100"/>
      <c r="V2547" s="100"/>
      <c r="W2547" s="100"/>
      <c r="X2547" s="100"/>
      <c r="Y2547" s="100"/>
      <c r="Z2547" s="100"/>
    </row>
    <row r="2548" spans="1:26">
      <c r="A2548" s="100"/>
      <c r="B2548" s="100"/>
      <c r="C2548" s="100"/>
      <c r="D2548" s="100"/>
      <c r="E2548" s="100"/>
      <c r="F2548" s="100"/>
      <c r="G2548" s="100"/>
      <c r="H2548" s="100"/>
      <c r="I2548" s="100"/>
      <c r="J2548" s="100"/>
      <c r="K2548" s="100"/>
      <c r="L2548" s="100"/>
      <c r="M2548" s="100"/>
      <c r="N2548" s="100"/>
      <c r="O2548" s="100"/>
      <c r="P2548" s="100"/>
      <c r="Q2548" s="100"/>
      <c r="R2548" s="100"/>
      <c r="S2548" s="100"/>
      <c r="T2548" s="100"/>
      <c r="U2548" s="100"/>
      <c r="V2548" s="100"/>
      <c r="W2548" s="100"/>
      <c r="X2548" s="100"/>
      <c r="Y2548" s="100"/>
      <c r="Z2548" s="100"/>
    </row>
    <row r="2549" spans="1:26">
      <c r="A2549" s="100"/>
      <c r="B2549" s="100"/>
      <c r="C2549" s="100"/>
      <c r="D2549" s="100"/>
      <c r="E2549" s="100"/>
      <c r="F2549" s="100"/>
      <c r="G2549" s="100"/>
      <c r="H2549" s="100"/>
      <c r="I2549" s="100"/>
      <c r="J2549" s="100"/>
      <c r="K2549" s="100"/>
      <c r="L2549" s="100"/>
      <c r="M2549" s="100"/>
      <c r="N2549" s="100"/>
      <c r="O2549" s="100"/>
      <c r="P2549" s="100"/>
      <c r="Q2549" s="100"/>
      <c r="R2549" s="100"/>
      <c r="S2549" s="100"/>
      <c r="T2549" s="100"/>
      <c r="U2549" s="100"/>
      <c r="V2549" s="100"/>
      <c r="W2549" s="100"/>
      <c r="X2549" s="100"/>
      <c r="Y2549" s="100"/>
      <c r="Z2549" s="100"/>
    </row>
    <row r="2550" spans="1:26">
      <c r="A2550" s="100"/>
      <c r="B2550" s="100"/>
      <c r="C2550" s="100"/>
      <c r="D2550" s="100"/>
      <c r="E2550" s="100"/>
      <c r="F2550" s="100"/>
      <c r="G2550" s="100"/>
      <c r="H2550" s="100"/>
      <c r="I2550" s="100"/>
      <c r="J2550" s="100"/>
      <c r="K2550" s="100"/>
      <c r="L2550" s="100"/>
      <c r="M2550" s="100"/>
      <c r="N2550" s="100"/>
      <c r="O2550" s="100"/>
      <c r="P2550" s="100"/>
      <c r="Q2550" s="100"/>
      <c r="R2550" s="100"/>
      <c r="S2550" s="100"/>
      <c r="T2550" s="100"/>
      <c r="U2550" s="100"/>
      <c r="V2550" s="100"/>
      <c r="W2550" s="100"/>
      <c r="X2550" s="100"/>
      <c r="Y2550" s="100"/>
      <c r="Z2550" s="100"/>
    </row>
    <row r="2551" spans="1:26">
      <c r="A2551" s="100"/>
      <c r="B2551" s="100"/>
      <c r="C2551" s="100"/>
      <c r="D2551" s="100"/>
      <c r="E2551" s="100"/>
      <c r="F2551" s="100"/>
      <c r="G2551" s="100"/>
      <c r="H2551" s="100"/>
      <c r="I2551" s="100"/>
      <c r="J2551" s="100"/>
      <c r="K2551" s="100"/>
      <c r="L2551" s="100"/>
      <c r="M2551" s="100"/>
      <c r="N2551" s="100"/>
      <c r="O2551" s="100"/>
      <c r="P2551" s="100"/>
      <c r="Q2551" s="100"/>
      <c r="R2551" s="100"/>
      <c r="S2551" s="100"/>
      <c r="T2551" s="100"/>
      <c r="U2551" s="100"/>
      <c r="V2551" s="100"/>
      <c r="W2551" s="100"/>
      <c r="X2551" s="100"/>
      <c r="Y2551" s="100"/>
      <c r="Z2551" s="100"/>
    </row>
    <row r="2552" spans="1:26">
      <c r="A2552" s="100"/>
      <c r="B2552" s="100"/>
      <c r="C2552" s="100"/>
      <c r="D2552" s="100"/>
      <c r="E2552" s="100"/>
      <c r="F2552" s="100"/>
      <c r="G2552" s="100"/>
      <c r="H2552" s="100"/>
      <c r="I2552" s="100"/>
      <c r="J2552" s="100"/>
      <c r="K2552" s="100"/>
      <c r="L2552" s="100"/>
      <c r="M2552" s="100"/>
      <c r="N2552" s="100"/>
      <c r="O2552" s="100"/>
      <c r="P2552" s="100"/>
      <c r="Q2552" s="100"/>
      <c r="R2552" s="100"/>
      <c r="S2552" s="100"/>
      <c r="T2552" s="100"/>
      <c r="U2552" s="100"/>
      <c r="V2552" s="100"/>
      <c r="W2552" s="100"/>
      <c r="X2552" s="100"/>
      <c r="Y2552" s="100"/>
      <c r="Z2552" s="100"/>
    </row>
    <row r="2553" spans="1:26">
      <c r="A2553" s="100"/>
      <c r="B2553" s="100"/>
      <c r="C2553" s="100"/>
      <c r="D2553" s="100"/>
      <c r="E2553" s="100"/>
      <c r="F2553" s="100"/>
      <c r="G2553" s="100"/>
      <c r="H2553" s="100"/>
      <c r="I2553" s="100"/>
      <c r="J2553" s="100"/>
      <c r="K2553" s="100"/>
      <c r="L2553" s="100"/>
      <c r="M2553" s="100"/>
      <c r="N2553" s="100"/>
      <c r="O2553" s="100"/>
      <c r="P2553" s="100"/>
      <c r="Q2553" s="100"/>
      <c r="R2553" s="100"/>
      <c r="S2553" s="100"/>
      <c r="T2553" s="100"/>
      <c r="U2553" s="100"/>
      <c r="V2553" s="100"/>
      <c r="W2553" s="100"/>
      <c r="X2553" s="100"/>
      <c r="Y2553" s="100"/>
      <c r="Z2553" s="100"/>
    </row>
    <row r="2554" spans="1:26">
      <c r="A2554" s="100"/>
      <c r="B2554" s="100"/>
      <c r="C2554" s="100"/>
      <c r="D2554" s="100"/>
      <c r="E2554" s="100"/>
      <c r="F2554" s="100"/>
      <c r="G2554" s="100"/>
      <c r="H2554" s="100"/>
      <c r="I2554" s="100"/>
      <c r="J2554" s="100"/>
      <c r="K2554" s="100"/>
      <c r="L2554" s="100"/>
      <c r="M2554" s="100"/>
      <c r="N2554" s="100"/>
      <c r="O2554" s="100"/>
      <c r="P2554" s="100"/>
      <c r="Q2554" s="100"/>
      <c r="R2554" s="100"/>
      <c r="S2554" s="100"/>
      <c r="T2554" s="100"/>
      <c r="U2554" s="100"/>
      <c r="V2554" s="100"/>
      <c r="W2554" s="100"/>
      <c r="X2554" s="100"/>
      <c r="Y2554" s="100"/>
      <c r="Z2554" s="100"/>
    </row>
    <row r="2555" spans="1:26">
      <c r="A2555" s="100"/>
      <c r="B2555" s="100"/>
      <c r="C2555" s="100"/>
      <c r="D2555" s="100"/>
      <c r="E2555" s="100"/>
      <c r="F2555" s="100"/>
      <c r="G2555" s="100"/>
      <c r="H2555" s="100"/>
      <c r="I2555" s="100"/>
      <c r="J2555" s="100"/>
      <c r="K2555" s="100"/>
      <c r="L2555" s="100"/>
      <c r="M2555" s="100"/>
      <c r="N2555" s="100"/>
      <c r="O2555" s="100"/>
      <c r="P2555" s="100"/>
      <c r="Q2555" s="100"/>
      <c r="R2555" s="100"/>
      <c r="S2555" s="100"/>
      <c r="T2555" s="100"/>
      <c r="U2555" s="100"/>
      <c r="V2555" s="100"/>
      <c r="W2555" s="100"/>
      <c r="X2555" s="100"/>
      <c r="Y2555" s="100"/>
      <c r="Z2555" s="100"/>
    </row>
    <row r="2556" spans="1:26">
      <c r="A2556" s="100"/>
      <c r="B2556" s="100"/>
      <c r="C2556" s="100"/>
      <c r="D2556" s="100"/>
      <c r="E2556" s="100"/>
      <c r="F2556" s="100"/>
      <c r="G2556" s="100"/>
      <c r="H2556" s="100"/>
      <c r="I2556" s="100"/>
      <c r="J2556" s="100"/>
      <c r="K2556" s="100"/>
      <c r="L2556" s="100"/>
      <c r="M2556" s="100"/>
      <c r="N2556" s="100"/>
      <c r="O2556" s="100"/>
      <c r="P2556" s="100"/>
      <c r="Q2556" s="100"/>
      <c r="R2556" s="100"/>
      <c r="S2556" s="100"/>
      <c r="T2556" s="100"/>
      <c r="U2556" s="100"/>
      <c r="V2556" s="100"/>
      <c r="W2556" s="100"/>
      <c r="X2556" s="100"/>
      <c r="Y2556" s="100"/>
      <c r="Z2556" s="100"/>
    </row>
    <row r="2557" spans="1:26">
      <c r="A2557" s="100"/>
      <c r="B2557" s="100"/>
      <c r="C2557" s="100"/>
      <c r="D2557" s="100"/>
      <c r="E2557" s="100"/>
      <c r="F2557" s="100"/>
      <c r="G2557" s="100"/>
      <c r="H2557" s="100"/>
      <c r="I2557" s="100"/>
      <c r="J2557" s="100"/>
      <c r="K2557" s="100"/>
      <c r="L2557" s="100"/>
      <c r="M2557" s="100"/>
      <c r="N2557" s="100"/>
      <c r="O2557" s="100"/>
      <c r="P2557" s="100"/>
      <c r="Q2557" s="100"/>
      <c r="R2557" s="100"/>
      <c r="S2557" s="100"/>
      <c r="T2557" s="100"/>
      <c r="U2557" s="100"/>
      <c r="V2557" s="100"/>
      <c r="W2557" s="100"/>
      <c r="X2557" s="100"/>
      <c r="Y2557" s="100"/>
      <c r="Z2557" s="100"/>
    </row>
    <row r="2558" spans="1:26">
      <c r="A2558" s="100"/>
      <c r="B2558" s="100"/>
      <c r="C2558" s="100"/>
      <c r="D2558" s="100"/>
      <c r="E2558" s="100"/>
      <c r="F2558" s="100"/>
      <c r="G2558" s="100"/>
      <c r="H2558" s="100"/>
      <c r="I2558" s="100"/>
      <c r="J2558" s="100"/>
      <c r="K2558" s="100"/>
      <c r="L2558" s="100"/>
      <c r="M2558" s="100"/>
      <c r="N2558" s="100"/>
      <c r="O2558" s="100"/>
      <c r="P2558" s="100"/>
      <c r="Q2558" s="100"/>
      <c r="R2558" s="100"/>
      <c r="S2558" s="100"/>
      <c r="T2558" s="100"/>
      <c r="U2558" s="100"/>
      <c r="V2558" s="100"/>
      <c r="W2558" s="100"/>
      <c r="X2558" s="100"/>
      <c r="Y2558" s="100"/>
      <c r="Z2558" s="100"/>
    </row>
    <row r="2559" spans="1:26">
      <c r="A2559" s="100"/>
      <c r="B2559" s="100"/>
      <c r="C2559" s="100"/>
      <c r="D2559" s="100"/>
      <c r="E2559" s="100"/>
      <c r="F2559" s="100"/>
      <c r="G2559" s="100"/>
      <c r="H2559" s="100"/>
      <c r="I2559" s="100"/>
      <c r="J2559" s="100"/>
      <c r="K2559" s="100"/>
      <c r="L2559" s="100"/>
      <c r="M2559" s="100"/>
      <c r="N2559" s="100"/>
      <c r="O2559" s="100"/>
      <c r="P2559" s="100"/>
      <c r="Q2559" s="100"/>
      <c r="R2559" s="100"/>
      <c r="S2559" s="100"/>
      <c r="T2559" s="100"/>
      <c r="U2559" s="100"/>
      <c r="V2559" s="100"/>
      <c r="W2559" s="100"/>
      <c r="X2559" s="100"/>
      <c r="Y2559" s="100"/>
      <c r="Z2559" s="100"/>
    </row>
    <row r="2560" spans="1:26">
      <c r="A2560" s="100"/>
      <c r="B2560" s="100"/>
      <c r="C2560" s="100"/>
      <c r="D2560" s="100"/>
      <c r="E2560" s="100"/>
      <c r="F2560" s="100"/>
      <c r="G2560" s="100"/>
      <c r="H2560" s="100"/>
      <c r="I2560" s="100"/>
      <c r="J2560" s="100"/>
      <c r="K2560" s="100"/>
      <c r="L2560" s="100"/>
      <c r="M2560" s="100"/>
      <c r="N2560" s="100"/>
      <c r="O2560" s="100"/>
      <c r="P2560" s="100"/>
      <c r="Q2560" s="100"/>
      <c r="R2560" s="100"/>
      <c r="S2560" s="100"/>
      <c r="T2560" s="100"/>
      <c r="U2560" s="100"/>
      <c r="V2560" s="100"/>
      <c r="W2560" s="100"/>
      <c r="X2560" s="100"/>
      <c r="Y2560" s="100"/>
      <c r="Z2560" s="100"/>
    </row>
    <row r="2561" spans="1:26">
      <c r="A2561" s="100"/>
      <c r="B2561" s="100"/>
      <c r="C2561" s="100"/>
      <c r="D2561" s="100"/>
      <c r="E2561" s="100"/>
      <c r="F2561" s="100"/>
      <c r="G2561" s="100"/>
      <c r="H2561" s="100"/>
      <c r="I2561" s="100"/>
      <c r="J2561" s="100"/>
      <c r="K2561" s="100"/>
      <c r="L2561" s="100"/>
      <c r="M2561" s="100"/>
      <c r="N2561" s="100"/>
      <c r="O2561" s="100"/>
      <c r="P2561" s="100"/>
      <c r="Q2561" s="100"/>
      <c r="R2561" s="100"/>
      <c r="S2561" s="100"/>
      <c r="T2561" s="100"/>
      <c r="U2561" s="100"/>
      <c r="V2561" s="100"/>
      <c r="W2561" s="100"/>
      <c r="X2561" s="100"/>
      <c r="Y2561" s="100"/>
      <c r="Z2561" s="100"/>
    </row>
    <row r="2562" spans="1:26">
      <c r="A2562" s="100"/>
      <c r="B2562" s="100"/>
      <c r="C2562" s="100"/>
      <c r="D2562" s="100"/>
      <c r="E2562" s="100"/>
      <c r="F2562" s="100"/>
      <c r="G2562" s="100"/>
      <c r="H2562" s="100"/>
      <c r="I2562" s="100"/>
      <c r="J2562" s="100"/>
      <c r="K2562" s="100"/>
      <c r="L2562" s="100"/>
      <c r="M2562" s="100"/>
      <c r="N2562" s="100"/>
      <c r="O2562" s="100"/>
      <c r="P2562" s="100"/>
      <c r="Q2562" s="100"/>
      <c r="R2562" s="100"/>
      <c r="S2562" s="100"/>
      <c r="T2562" s="100"/>
      <c r="U2562" s="100"/>
      <c r="V2562" s="100"/>
      <c r="W2562" s="100"/>
      <c r="X2562" s="100"/>
      <c r="Y2562" s="100"/>
      <c r="Z2562" s="100"/>
    </row>
    <row r="2563" spans="1:26">
      <c r="A2563" s="100"/>
      <c r="B2563" s="100"/>
      <c r="C2563" s="100"/>
      <c r="D2563" s="100"/>
      <c r="E2563" s="100"/>
      <c r="F2563" s="100"/>
      <c r="G2563" s="100"/>
      <c r="H2563" s="100"/>
      <c r="I2563" s="100"/>
      <c r="J2563" s="100"/>
      <c r="K2563" s="100"/>
      <c r="L2563" s="100"/>
      <c r="M2563" s="100"/>
      <c r="N2563" s="100"/>
      <c r="O2563" s="100"/>
      <c r="P2563" s="100"/>
      <c r="Q2563" s="100"/>
      <c r="R2563" s="100"/>
      <c r="S2563" s="100"/>
      <c r="T2563" s="100"/>
      <c r="U2563" s="100"/>
      <c r="V2563" s="100"/>
      <c r="W2563" s="100"/>
      <c r="X2563" s="100"/>
      <c r="Y2563" s="100"/>
      <c r="Z2563" s="100"/>
    </row>
    <row r="2564" spans="1:26">
      <c r="A2564" s="100"/>
      <c r="B2564" s="100"/>
      <c r="C2564" s="100"/>
      <c r="D2564" s="100"/>
      <c r="E2564" s="100"/>
      <c r="F2564" s="100"/>
      <c r="G2564" s="100"/>
      <c r="H2564" s="100"/>
      <c r="I2564" s="100"/>
      <c r="J2564" s="100"/>
      <c r="K2564" s="100"/>
      <c r="L2564" s="100"/>
      <c r="M2564" s="100"/>
      <c r="N2564" s="100"/>
      <c r="O2564" s="100"/>
      <c r="P2564" s="100"/>
      <c r="Q2564" s="100"/>
      <c r="R2564" s="100"/>
      <c r="S2564" s="100"/>
      <c r="T2564" s="100"/>
      <c r="U2564" s="100"/>
      <c r="V2564" s="100"/>
      <c r="W2564" s="100"/>
      <c r="X2564" s="100"/>
      <c r="Y2564" s="100"/>
      <c r="Z2564" s="100"/>
    </row>
    <row r="2565" spans="1:26">
      <c r="A2565" s="100"/>
      <c r="B2565" s="100"/>
      <c r="C2565" s="100"/>
      <c r="D2565" s="100"/>
      <c r="E2565" s="100"/>
      <c r="F2565" s="100"/>
      <c r="G2565" s="100"/>
      <c r="H2565" s="100"/>
      <c r="I2565" s="100"/>
      <c r="J2565" s="100"/>
      <c r="K2565" s="100"/>
      <c r="L2565" s="100"/>
      <c r="M2565" s="100"/>
      <c r="N2565" s="100"/>
      <c r="O2565" s="100"/>
      <c r="P2565" s="100"/>
      <c r="Q2565" s="100"/>
      <c r="R2565" s="100"/>
      <c r="S2565" s="100"/>
      <c r="T2565" s="100"/>
      <c r="U2565" s="100"/>
      <c r="V2565" s="100"/>
      <c r="W2565" s="100"/>
      <c r="X2565" s="100"/>
      <c r="Y2565" s="100"/>
      <c r="Z2565" s="100"/>
    </row>
    <row r="2566" spans="1:26">
      <c r="A2566" s="100"/>
      <c r="B2566" s="100"/>
      <c r="C2566" s="100"/>
      <c r="D2566" s="100"/>
      <c r="E2566" s="100"/>
      <c r="F2566" s="100"/>
      <c r="G2566" s="100"/>
      <c r="H2566" s="100"/>
      <c r="I2566" s="100"/>
      <c r="J2566" s="100"/>
      <c r="K2566" s="100"/>
      <c r="L2566" s="100"/>
      <c r="M2566" s="100"/>
      <c r="N2566" s="100"/>
      <c r="O2566" s="100"/>
      <c r="P2566" s="100"/>
      <c r="Q2566" s="100"/>
      <c r="R2566" s="100"/>
      <c r="S2566" s="100"/>
      <c r="T2566" s="100"/>
      <c r="U2566" s="100"/>
      <c r="V2566" s="100"/>
      <c r="W2566" s="100"/>
      <c r="X2566" s="100"/>
      <c r="Y2566" s="100"/>
      <c r="Z2566" s="100"/>
    </row>
    <row r="2567" spans="1:26">
      <c r="A2567" s="100"/>
      <c r="B2567" s="100"/>
      <c r="C2567" s="100"/>
      <c r="D2567" s="100"/>
      <c r="E2567" s="100"/>
      <c r="F2567" s="100"/>
      <c r="G2567" s="100"/>
      <c r="H2567" s="100"/>
      <c r="I2567" s="100"/>
      <c r="J2567" s="100"/>
      <c r="K2567" s="100"/>
      <c r="L2567" s="100"/>
      <c r="M2567" s="100"/>
      <c r="N2567" s="100"/>
      <c r="O2567" s="100"/>
      <c r="P2567" s="100"/>
      <c r="Q2567" s="100"/>
      <c r="R2567" s="100"/>
      <c r="S2567" s="100"/>
      <c r="T2567" s="100"/>
      <c r="U2567" s="100"/>
      <c r="V2567" s="100"/>
      <c r="W2567" s="100"/>
      <c r="X2567" s="100"/>
      <c r="Y2567" s="100"/>
      <c r="Z2567" s="100"/>
    </row>
    <row r="2568" spans="1:26">
      <c r="A2568" s="100"/>
      <c r="B2568" s="100"/>
      <c r="C2568" s="100"/>
      <c r="D2568" s="100"/>
      <c r="E2568" s="100"/>
      <c r="F2568" s="100"/>
      <c r="G2568" s="100"/>
      <c r="H2568" s="100"/>
      <c r="I2568" s="100"/>
      <c r="J2568" s="100"/>
      <c r="K2568" s="100"/>
      <c r="L2568" s="100"/>
      <c r="M2568" s="100"/>
      <c r="N2568" s="100"/>
      <c r="O2568" s="100"/>
      <c r="P2568" s="100"/>
      <c r="Q2568" s="100"/>
      <c r="R2568" s="100"/>
      <c r="S2568" s="100"/>
      <c r="T2568" s="100"/>
      <c r="U2568" s="100"/>
      <c r="V2568" s="100"/>
      <c r="W2568" s="100"/>
      <c r="X2568" s="100"/>
      <c r="Y2568" s="100"/>
      <c r="Z2568" s="100"/>
    </row>
    <row r="2569" spans="1:26">
      <c r="A2569" s="100"/>
      <c r="B2569" s="100"/>
      <c r="C2569" s="100"/>
      <c r="D2569" s="100"/>
      <c r="E2569" s="100"/>
      <c r="F2569" s="100"/>
      <c r="G2569" s="100"/>
      <c r="H2569" s="100"/>
      <c r="I2569" s="100"/>
      <c r="J2569" s="100"/>
      <c r="K2569" s="100"/>
      <c r="L2569" s="100"/>
      <c r="M2569" s="100"/>
      <c r="N2569" s="100"/>
      <c r="O2569" s="100"/>
      <c r="P2569" s="100"/>
      <c r="Q2569" s="100"/>
      <c r="R2569" s="100"/>
      <c r="S2569" s="100"/>
      <c r="T2569" s="100"/>
      <c r="U2569" s="100"/>
      <c r="V2569" s="100"/>
      <c r="W2569" s="100"/>
      <c r="X2569" s="100"/>
      <c r="Y2569" s="100"/>
      <c r="Z2569" s="100"/>
    </row>
    <row r="2570" spans="1:26">
      <c r="A2570" s="100"/>
      <c r="B2570" s="100"/>
      <c r="C2570" s="100"/>
      <c r="D2570" s="100"/>
      <c r="E2570" s="100"/>
      <c r="F2570" s="100"/>
      <c r="G2570" s="100"/>
      <c r="H2570" s="100"/>
      <c r="I2570" s="100"/>
      <c r="J2570" s="100"/>
      <c r="K2570" s="100"/>
      <c r="L2570" s="100"/>
      <c r="M2570" s="100"/>
      <c r="N2570" s="100"/>
      <c r="O2570" s="100"/>
      <c r="P2570" s="100"/>
      <c r="Q2570" s="100"/>
      <c r="R2570" s="100"/>
      <c r="S2570" s="100"/>
      <c r="T2570" s="100"/>
      <c r="U2570" s="100"/>
      <c r="V2570" s="100"/>
      <c r="W2570" s="100"/>
      <c r="X2570" s="100"/>
      <c r="Y2570" s="100"/>
      <c r="Z2570" s="100"/>
    </row>
    <row r="2571" spans="1:26">
      <c r="A2571" s="100"/>
      <c r="B2571" s="100"/>
      <c r="C2571" s="100"/>
      <c r="D2571" s="100"/>
      <c r="E2571" s="100"/>
      <c r="F2571" s="100"/>
      <c r="G2571" s="100"/>
      <c r="H2571" s="100"/>
      <c r="I2571" s="100"/>
      <c r="J2571" s="100"/>
      <c r="K2571" s="100"/>
      <c r="L2571" s="100"/>
      <c r="M2571" s="100"/>
      <c r="N2571" s="100"/>
      <c r="O2571" s="100"/>
      <c r="P2571" s="100"/>
      <c r="Q2571" s="100"/>
      <c r="R2571" s="100"/>
      <c r="S2571" s="100"/>
      <c r="T2571" s="100"/>
      <c r="U2571" s="100"/>
      <c r="V2571" s="100"/>
      <c r="W2571" s="100"/>
      <c r="X2571" s="100"/>
      <c r="Y2571" s="100"/>
      <c r="Z2571" s="100"/>
    </row>
    <row r="2572" spans="1:26">
      <c r="A2572" s="100"/>
      <c r="B2572" s="100"/>
      <c r="C2572" s="100"/>
      <c r="D2572" s="100"/>
      <c r="E2572" s="100"/>
      <c r="F2572" s="100"/>
      <c r="G2572" s="100"/>
      <c r="H2572" s="100"/>
      <c r="I2572" s="100"/>
      <c r="J2572" s="100"/>
      <c r="K2572" s="100"/>
      <c r="L2572" s="100"/>
      <c r="M2572" s="100"/>
      <c r="N2572" s="100"/>
      <c r="O2572" s="100"/>
      <c r="P2572" s="100"/>
      <c r="Q2572" s="100"/>
      <c r="R2572" s="100"/>
      <c r="S2572" s="100"/>
      <c r="T2572" s="100"/>
      <c r="U2572" s="100"/>
      <c r="V2572" s="100"/>
      <c r="W2572" s="100"/>
      <c r="X2572" s="100"/>
      <c r="Y2572" s="100"/>
      <c r="Z2572" s="100"/>
    </row>
    <row r="2573" spans="1:26">
      <c r="A2573" s="100"/>
      <c r="B2573" s="100"/>
      <c r="C2573" s="100"/>
      <c r="D2573" s="100"/>
      <c r="E2573" s="100"/>
      <c r="F2573" s="100"/>
      <c r="G2573" s="100"/>
      <c r="H2573" s="100"/>
      <c r="I2573" s="100"/>
      <c r="J2573" s="100"/>
      <c r="K2573" s="100"/>
      <c r="L2573" s="100"/>
      <c r="M2573" s="100"/>
      <c r="N2573" s="100"/>
      <c r="O2573" s="100"/>
      <c r="P2573" s="100"/>
      <c r="Q2573" s="100"/>
      <c r="R2573" s="100"/>
      <c r="S2573" s="100"/>
      <c r="T2573" s="100"/>
      <c r="U2573" s="100"/>
      <c r="V2573" s="100"/>
      <c r="W2573" s="100"/>
      <c r="X2573" s="100"/>
      <c r="Y2573" s="100"/>
      <c r="Z2573" s="100"/>
    </row>
    <row r="2574" spans="1:26">
      <c r="A2574" s="100"/>
      <c r="B2574" s="100"/>
      <c r="C2574" s="100"/>
      <c r="D2574" s="100"/>
      <c r="E2574" s="100"/>
      <c r="F2574" s="100"/>
      <c r="G2574" s="100"/>
      <c r="H2574" s="100"/>
      <c r="I2574" s="100"/>
      <c r="J2574" s="100"/>
      <c r="K2574" s="100"/>
      <c r="L2574" s="100"/>
      <c r="M2574" s="100"/>
      <c r="N2574" s="100"/>
      <c r="O2574" s="100"/>
      <c r="P2574" s="100"/>
      <c r="Q2574" s="100"/>
      <c r="R2574" s="100"/>
      <c r="S2574" s="100"/>
      <c r="T2574" s="100"/>
      <c r="U2574" s="100"/>
      <c r="V2574" s="100"/>
      <c r="W2574" s="100"/>
      <c r="X2574" s="100"/>
      <c r="Y2574" s="100"/>
      <c r="Z2574" s="100"/>
    </row>
    <row r="2575" spans="1:26">
      <c r="A2575" s="100"/>
      <c r="B2575" s="100"/>
      <c r="C2575" s="100"/>
      <c r="D2575" s="100"/>
      <c r="E2575" s="100"/>
      <c r="F2575" s="100"/>
      <c r="G2575" s="100"/>
      <c r="H2575" s="100"/>
      <c r="I2575" s="100"/>
      <c r="J2575" s="100"/>
      <c r="K2575" s="100"/>
      <c r="L2575" s="100"/>
      <c r="M2575" s="100"/>
      <c r="N2575" s="100"/>
      <c r="O2575" s="100"/>
      <c r="P2575" s="100"/>
      <c r="Q2575" s="100"/>
      <c r="R2575" s="100"/>
      <c r="S2575" s="100"/>
      <c r="T2575" s="100"/>
      <c r="U2575" s="100"/>
      <c r="V2575" s="100"/>
      <c r="W2575" s="100"/>
      <c r="X2575" s="100"/>
      <c r="Y2575" s="100"/>
      <c r="Z2575" s="100"/>
    </row>
    <row r="2576" spans="1:26">
      <c r="A2576" s="100"/>
      <c r="B2576" s="100"/>
      <c r="C2576" s="100"/>
      <c r="D2576" s="100"/>
      <c r="E2576" s="100"/>
      <c r="F2576" s="100"/>
      <c r="G2576" s="100"/>
      <c r="H2576" s="100"/>
      <c r="I2576" s="100"/>
      <c r="J2576" s="100"/>
      <c r="K2576" s="100"/>
      <c r="L2576" s="100"/>
      <c r="M2576" s="100"/>
      <c r="N2576" s="100"/>
      <c r="O2576" s="100"/>
      <c r="P2576" s="100"/>
      <c r="Q2576" s="100"/>
      <c r="R2576" s="100"/>
      <c r="S2576" s="100"/>
      <c r="T2576" s="100"/>
      <c r="U2576" s="100"/>
      <c r="V2576" s="100"/>
      <c r="W2576" s="100"/>
      <c r="X2576" s="100"/>
      <c r="Y2576" s="100"/>
      <c r="Z2576" s="100"/>
    </row>
    <row r="2577" spans="1:26">
      <c r="A2577" s="100"/>
      <c r="B2577" s="100"/>
      <c r="C2577" s="100"/>
      <c r="D2577" s="100"/>
      <c r="E2577" s="100"/>
      <c r="F2577" s="100"/>
      <c r="G2577" s="100"/>
      <c r="H2577" s="100"/>
      <c r="I2577" s="100"/>
      <c r="J2577" s="100"/>
      <c r="K2577" s="100"/>
      <c r="L2577" s="100"/>
      <c r="M2577" s="100"/>
      <c r="N2577" s="100"/>
      <c r="O2577" s="100"/>
      <c r="P2577" s="100"/>
      <c r="Q2577" s="100"/>
      <c r="R2577" s="100"/>
      <c r="S2577" s="100"/>
      <c r="T2577" s="100"/>
      <c r="U2577" s="100"/>
      <c r="V2577" s="100"/>
      <c r="W2577" s="100"/>
      <c r="X2577" s="100"/>
      <c r="Y2577" s="100"/>
      <c r="Z2577" s="100"/>
    </row>
    <row r="2578" spans="1:26">
      <c r="A2578" s="100"/>
      <c r="B2578" s="100"/>
      <c r="C2578" s="100"/>
      <c r="D2578" s="100"/>
      <c r="E2578" s="100"/>
      <c r="F2578" s="100"/>
      <c r="G2578" s="100"/>
      <c r="H2578" s="100"/>
      <c r="I2578" s="100"/>
      <c r="J2578" s="100"/>
      <c r="K2578" s="100"/>
      <c r="L2578" s="100"/>
      <c r="M2578" s="100"/>
      <c r="N2578" s="100"/>
      <c r="O2578" s="100"/>
      <c r="P2578" s="100"/>
      <c r="Q2578" s="100"/>
      <c r="R2578" s="100"/>
      <c r="S2578" s="100"/>
      <c r="T2578" s="100"/>
      <c r="U2578" s="100"/>
      <c r="V2578" s="100"/>
      <c r="W2578" s="100"/>
      <c r="X2578" s="100"/>
      <c r="Y2578" s="100"/>
      <c r="Z2578" s="100"/>
    </row>
    <row r="2579" spans="1:26">
      <c r="A2579" s="100"/>
      <c r="B2579" s="100"/>
      <c r="C2579" s="100"/>
      <c r="D2579" s="100"/>
      <c r="E2579" s="100"/>
      <c r="F2579" s="100"/>
      <c r="G2579" s="100"/>
      <c r="H2579" s="100"/>
      <c r="I2579" s="100"/>
      <c r="J2579" s="100"/>
      <c r="K2579" s="100"/>
      <c r="L2579" s="100"/>
      <c r="M2579" s="100"/>
      <c r="N2579" s="100"/>
      <c r="O2579" s="100"/>
      <c r="P2579" s="100"/>
      <c r="Q2579" s="100"/>
      <c r="R2579" s="100"/>
      <c r="S2579" s="100"/>
      <c r="T2579" s="100"/>
      <c r="U2579" s="100"/>
      <c r="V2579" s="100"/>
      <c r="W2579" s="100"/>
      <c r="X2579" s="100"/>
      <c r="Y2579" s="100"/>
      <c r="Z2579" s="100"/>
    </row>
    <row r="2580" spans="1:26">
      <c r="A2580" s="100"/>
      <c r="B2580" s="100"/>
      <c r="C2580" s="100"/>
      <c r="D2580" s="100"/>
      <c r="E2580" s="100"/>
      <c r="F2580" s="100"/>
      <c r="G2580" s="100"/>
      <c r="H2580" s="100"/>
      <c r="I2580" s="100"/>
      <c r="J2580" s="100"/>
      <c r="K2580" s="100"/>
      <c r="L2580" s="100"/>
      <c r="M2580" s="100"/>
      <c r="N2580" s="100"/>
      <c r="O2580" s="100"/>
      <c r="P2580" s="100"/>
      <c r="Q2580" s="100"/>
      <c r="R2580" s="100"/>
      <c r="S2580" s="100"/>
      <c r="T2580" s="100"/>
      <c r="U2580" s="100"/>
      <c r="V2580" s="100"/>
      <c r="W2580" s="100"/>
      <c r="X2580" s="100"/>
      <c r="Y2580" s="100"/>
      <c r="Z2580" s="100"/>
    </row>
    <row r="2581" spans="1:26">
      <c r="A2581" s="100"/>
      <c r="B2581" s="100"/>
      <c r="C2581" s="100"/>
      <c r="D2581" s="100"/>
      <c r="E2581" s="100"/>
      <c r="F2581" s="100"/>
      <c r="G2581" s="100"/>
      <c r="H2581" s="100"/>
      <c r="I2581" s="100"/>
      <c r="J2581" s="100"/>
      <c r="K2581" s="100"/>
      <c r="L2581" s="100"/>
      <c r="M2581" s="100"/>
      <c r="N2581" s="100"/>
      <c r="O2581" s="100"/>
      <c r="P2581" s="100"/>
      <c r="Q2581" s="100"/>
      <c r="R2581" s="100"/>
      <c r="S2581" s="100"/>
      <c r="T2581" s="100"/>
      <c r="U2581" s="100"/>
      <c r="V2581" s="100"/>
      <c r="W2581" s="100"/>
      <c r="X2581" s="100"/>
      <c r="Y2581" s="100"/>
      <c r="Z2581" s="100"/>
    </row>
    <row r="2582" spans="1:26">
      <c r="A2582" s="100"/>
      <c r="B2582" s="100"/>
      <c r="C2582" s="100"/>
      <c r="D2582" s="100"/>
      <c r="E2582" s="100"/>
      <c r="F2582" s="100"/>
      <c r="G2582" s="100"/>
      <c r="H2582" s="100"/>
      <c r="I2582" s="100"/>
      <c r="J2582" s="100"/>
      <c r="K2582" s="100"/>
      <c r="L2582" s="100"/>
      <c r="M2582" s="100"/>
      <c r="N2582" s="100"/>
      <c r="O2582" s="100"/>
      <c r="P2582" s="100"/>
      <c r="Q2582" s="100"/>
      <c r="R2582" s="100"/>
      <c r="S2582" s="100"/>
      <c r="T2582" s="100"/>
      <c r="U2582" s="100"/>
      <c r="V2582" s="100"/>
      <c r="W2582" s="100"/>
      <c r="X2582" s="100"/>
      <c r="Y2582" s="100"/>
      <c r="Z2582" s="100"/>
    </row>
    <row r="2583" spans="1:26">
      <c r="A2583" s="100"/>
      <c r="B2583" s="100"/>
      <c r="C2583" s="100"/>
      <c r="D2583" s="100"/>
      <c r="E2583" s="100"/>
      <c r="F2583" s="100"/>
      <c r="G2583" s="100"/>
      <c r="H2583" s="100"/>
      <c r="I2583" s="100"/>
      <c r="J2583" s="100"/>
      <c r="K2583" s="100"/>
      <c r="L2583" s="100"/>
      <c r="M2583" s="100"/>
      <c r="N2583" s="100"/>
      <c r="O2583" s="100"/>
      <c r="P2583" s="100"/>
      <c r="Q2583" s="100"/>
      <c r="R2583" s="100"/>
      <c r="S2583" s="100"/>
      <c r="T2583" s="100"/>
      <c r="U2583" s="100"/>
      <c r="V2583" s="100"/>
      <c r="W2583" s="100"/>
      <c r="X2583" s="100"/>
      <c r="Y2583" s="100"/>
      <c r="Z2583" s="100"/>
    </row>
    <row r="2584" spans="1:26">
      <c r="A2584" s="100"/>
      <c r="B2584" s="100"/>
      <c r="C2584" s="100"/>
      <c r="D2584" s="100"/>
      <c r="E2584" s="100"/>
      <c r="F2584" s="100"/>
      <c r="G2584" s="100"/>
      <c r="H2584" s="100"/>
      <c r="I2584" s="100"/>
      <c r="J2584" s="100"/>
      <c r="K2584" s="100"/>
      <c r="L2584" s="100"/>
      <c r="M2584" s="100"/>
      <c r="N2584" s="100"/>
      <c r="O2584" s="100"/>
      <c r="P2584" s="100"/>
      <c r="Q2584" s="100"/>
      <c r="R2584" s="100"/>
      <c r="S2584" s="100"/>
      <c r="T2584" s="100"/>
      <c r="U2584" s="100"/>
      <c r="V2584" s="100"/>
      <c r="W2584" s="100"/>
      <c r="X2584" s="100"/>
      <c r="Y2584" s="100"/>
      <c r="Z2584" s="100"/>
    </row>
    <row r="2585" spans="1:26">
      <c r="A2585" s="100"/>
      <c r="B2585" s="100"/>
      <c r="C2585" s="100"/>
      <c r="D2585" s="100"/>
      <c r="E2585" s="100"/>
      <c r="F2585" s="100"/>
      <c r="G2585" s="100"/>
      <c r="H2585" s="100"/>
      <c r="I2585" s="100"/>
      <c r="J2585" s="100"/>
      <c r="K2585" s="100"/>
      <c r="L2585" s="100"/>
      <c r="M2585" s="100"/>
      <c r="N2585" s="100"/>
      <c r="O2585" s="100"/>
      <c r="P2585" s="100"/>
      <c r="Q2585" s="100"/>
      <c r="R2585" s="100"/>
      <c r="S2585" s="100"/>
      <c r="T2585" s="100"/>
      <c r="U2585" s="100"/>
      <c r="V2585" s="100"/>
      <c r="W2585" s="100"/>
      <c r="X2585" s="100"/>
      <c r="Y2585" s="100"/>
      <c r="Z2585" s="100"/>
    </row>
    <row r="2586" spans="1:26">
      <c r="A2586" s="100"/>
      <c r="B2586" s="100"/>
      <c r="C2586" s="100"/>
      <c r="D2586" s="100"/>
      <c r="E2586" s="100"/>
      <c r="F2586" s="100"/>
      <c r="G2586" s="100"/>
      <c r="H2586" s="100"/>
      <c r="I2586" s="100"/>
      <c r="J2586" s="100"/>
      <c r="K2586" s="100"/>
      <c r="L2586" s="100"/>
      <c r="M2586" s="100"/>
      <c r="N2586" s="100"/>
      <c r="O2586" s="100"/>
      <c r="P2586" s="100"/>
      <c r="Q2586" s="100"/>
      <c r="R2586" s="100"/>
      <c r="S2586" s="100"/>
      <c r="T2586" s="100"/>
      <c r="U2586" s="100"/>
      <c r="V2586" s="100"/>
      <c r="W2586" s="100"/>
      <c r="X2586" s="100"/>
      <c r="Y2586" s="100"/>
      <c r="Z2586" s="100"/>
    </row>
    <row r="2587" spans="1:26">
      <c r="A2587" s="100"/>
      <c r="B2587" s="100"/>
      <c r="C2587" s="100"/>
      <c r="D2587" s="100"/>
      <c r="E2587" s="100"/>
      <c r="F2587" s="100"/>
      <c r="G2587" s="100"/>
      <c r="H2587" s="100"/>
      <c r="I2587" s="100"/>
      <c r="J2587" s="100"/>
      <c r="K2587" s="100"/>
      <c r="L2587" s="100"/>
      <c r="M2587" s="100"/>
      <c r="N2587" s="100"/>
      <c r="O2587" s="100"/>
      <c r="P2587" s="100"/>
      <c r="Q2587" s="100"/>
      <c r="R2587" s="100"/>
      <c r="S2587" s="100"/>
      <c r="T2587" s="100"/>
      <c r="U2587" s="100"/>
      <c r="V2587" s="100"/>
      <c r="W2587" s="100"/>
      <c r="X2587" s="100"/>
      <c r="Y2587" s="100"/>
      <c r="Z2587" s="100"/>
    </row>
    <row r="2588" spans="1:26">
      <c r="A2588" s="100"/>
      <c r="B2588" s="100"/>
      <c r="C2588" s="100"/>
      <c r="D2588" s="100"/>
      <c r="E2588" s="100"/>
      <c r="F2588" s="100"/>
      <c r="G2588" s="100"/>
      <c r="H2588" s="100"/>
      <c r="I2588" s="100"/>
      <c r="J2588" s="100"/>
      <c r="K2588" s="100"/>
      <c r="L2588" s="100"/>
      <c r="M2588" s="100"/>
      <c r="N2588" s="100"/>
      <c r="O2588" s="100"/>
      <c r="P2588" s="100"/>
      <c r="Q2588" s="100"/>
      <c r="R2588" s="100"/>
      <c r="S2588" s="100"/>
      <c r="T2588" s="100"/>
      <c r="U2588" s="100"/>
      <c r="V2588" s="100"/>
      <c r="W2588" s="100"/>
      <c r="X2588" s="100"/>
      <c r="Y2588" s="100"/>
      <c r="Z2588" s="100"/>
    </row>
    <row r="2589" spans="1:26">
      <c r="A2589" s="100"/>
      <c r="B2589" s="100"/>
      <c r="C2589" s="100"/>
      <c r="D2589" s="100"/>
      <c r="E2589" s="100"/>
      <c r="F2589" s="100"/>
      <c r="G2589" s="100"/>
      <c r="H2589" s="100"/>
      <c r="I2589" s="100"/>
      <c r="J2589" s="100"/>
      <c r="K2589" s="100"/>
      <c r="L2589" s="100"/>
      <c r="M2589" s="100"/>
      <c r="N2589" s="100"/>
      <c r="O2589" s="100"/>
      <c r="P2589" s="100"/>
      <c r="Q2589" s="100"/>
      <c r="R2589" s="100"/>
      <c r="S2589" s="100"/>
      <c r="T2589" s="100"/>
      <c r="U2589" s="100"/>
      <c r="V2589" s="100"/>
      <c r="W2589" s="100"/>
      <c r="X2589" s="100"/>
      <c r="Y2589" s="100"/>
      <c r="Z2589" s="100"/>
    </row>
    <row r="2590" spans="1:26">
      <c r="A2590" s="100"/>
      <c r="B2590" s="100"/>
      <c r="C2590" s="100"/>
      <c r="D2590" s="100"/>
      <c r="E2590" s="100"/>
      <c r="F2590" s="100"/>
      <c r="G2590" s="100"/>
      <c r="H2590" s="100"/>
      <c r="I2590" s="100"/>
      <c r="J2590" s="100"/>
      <c r="K2590" s="100"/>
      <c r="L2590" s="100"/>
      <c r="M2590" s="100"/>
      <c r="N2590" s="100"/>
      <c r="O2590" s="100"/>
      <c r="P2590" s="100"/>
      <c r="Q2590" s="100"/>
      <c r="R2590" s="100"/>
      <c r="S2590" s="100"/>
      <c r="T2590" s="100"/>
      <c r="U2590" s="100"/>
      <c r="V2590" s="100"/>
      <c r="W2590" s="100"/>
      <c r="X2590" s="100"/>
      <c r="Y2590" s="100"/>
      <c r="Z2590" s="100"/>
    </row>
    <row r="2591" spans="1:26">
      <c r="A2591" s="100"/>
      <c r="B2591" s="100"/>
      <c r="C2591" s="100"/>
      <c r="D2591" s="100"/>
      <c r="E2591" s="100"/>
      <c r="F2591" s="100"/>
      <c r="G2591" s="100"/>
      <c r="H2591" s="100"/>
      <c r="I2591" s="100"/>
      <c r="J2591" s="100"/>
      <c r="K2591" s="100"/>
      <c r="L2591" s="100"/>
      <c r="M2591" s="100"/>
      <c r="N2591" s="100"/>
      <c r="O2591" s="100"/>
      <c r="P2591" s="100"/>
      <c r="Q2591" s="100"/>
      <c r="R2591" s="100"/>
      <c r="S2591" s="100"/>
      <c r="T2591" s="100"/>
      <c r="U2591" s="100"/>
      <c r="V2591" s="100"/>
      <c r="W2591" s="100"/>
      <c r="X2591" s="100"/>
      <c r="Y2591" s="100"/>
      <c r="Z2591" s="100"/>
    </row>
    <row r="2592" spans="1:26">
      <c r="A2592" s="100"/>
      <c r="B2592" s="100"/>
      <c r="C2592" s="100"/>
      <c r="D2592" s="100"/>
      <c r="E2592" s="100"/>
      <c r="F2592" s="100"/>
      <c r="G2592" s="100"/>
      <c r="H2592" s="100"/>
      <c r="I2592" s="100"/>
      <c r="J2592" s="100"/>
      <c r="K2592" s="100"/>
      <c r="L2592" s="100"/>
      <c r="M2592" s="100"/>
      <c r="N2592" s="100"/>
      <c r="O2592" s="100"/>
      <c r="P2592" s="100"/>
      <c r="Q2592" s="100"/>
      <c r="R2592" s="100"/>
      <c r="S2592" s="100"/>
      <c r="T2592" s="100"/>
      <c r="U2592" s="100"/>
      <c r="V2592" s="100"/>
      <c r="W2592" s="100"/>
      <c r="X2592" s="100"/>
      <c r="Y2592" s="100"/>
      <c r="Z2592" s="100"/>
    </row>
    <row r="2593" spans="1:26">
      <c r="A2593" s="100"/>
      <c r="B2593" s="100"/>
      <c r="C2593" s="100"/>
      <c r="D2593" s="100"/>
      <c r="E2593" s="100"/>
      <c r="F2593" s="100"/>
      <c r="G2593" s="100"/>
      <c r="H2593" s="100"/>
      <c r="I2593" s="100"/>
      <c r="J2593" s="100"/>
      <c r="K2593" s="100"/>
      <c r="L2593" s="100"/>
      <c r="M2593" s="100"/>
      <c r="N2593" s="100"/>
      <c r="O2593" s="100"/>
      <c r="P2593" s="100"/>
      <c r="Q2593" s="100"/>
      <c r="R2593" s="100"/>
      <c r="S2593" s="100"/>
      <c r="T2593" s="100"/>
      <c r="U2593" s="100"/>
      <c r="V2593" s="100"/>
      <c r="W2593" s="100"/>
      <c r="X2593" s="100"/>
      <c r="Y2593" s="100"/>
      <c r="Z2593" s="100"/>
    </row>
    <row r="2594" spans="1:26">
      <c r="A2594" s="100"/>
      <c r="B2594" s="100"/>
      <c r="C2594" s="100"/>
      <c r="D2594" s="100"/>
      <c r="E2594" s="100"/>
      <c r="F2594" s="100"/>
      <c r="G2594" s="100"/>
      <c r="H2594" s="100"/>
      <c r="I2594" s="100"/>
      <c r="J2594" s="100"/>
      <c r="K2594" s="100"/>
      <c r="L2594" s="100"/>
      <c r="M2594" s="100"/>
      <c r="N2594" s="100"/>
      <c r="O2594" s="100"/>
      <c r="P2594" s="100"/>
      <c r="Q2594" s="100"/>
      <c r="R2594" s="100"/>
      <c r="S2594" s="100"/>
      <c r="T2594" s="100"/>
      <c r="U2594" s="100"/>
      <c r="V2594" s="100"/>
      <c r="W2594" s="100"/>
      <c r="X2594" s="100"/>
      <c r="Y2594" s="100"/>
      <c r="Z2594" s="100"/>
    </row>
    <row r="2595" spans="1:26">
      <c r="A2595" s="100"/>
      <c r="B2595" s="100"/>
      <c r="C2595" s="100"/>
      <c r="D2595" s="100"/>
      <c r="E2595" s="100"/>
      <c r="F2595" s="100"/>
      <c r="G2595" s="100"/>
      <c r="H2595" s="100"/>
      <c r="I2595" s="100"/>
      <c r="J2595" s="100"/>
      <c r="K2595" s="100"/>
      <c r="L2595" s="100"/>
      <c r="M2595" s="100"/>
      <c r="N2595" s="100"/>
      <c r="O2595" s="100"/>
      <c r="P2595" s="100"/>
      <c r="Q2595" s="100"/>
      <c r="R2595" s="100"/>
      <c r="S2595" s="100"/>
      <c r="T2595" s="100"/>
      <c r="U2595" s="100"/>
      <c r="V2595" s="100"/>
      <c r="W2595" s="100"/>
      <c r="X2595" s="100"/>
      <c r="Y2595" s="100"/>
      <c r="Z2595" s="100"/>
    </row>
    <row r="2596" spans="1:26">
      <c r="A2596" s="100"/>
      <c r="B2596" s="100"/>
      <c r="C2596" s="100"/>
      <c r="D2596" s="100"/>
      <c r="E2596" s="100"/>
      <c r="F2596" s="100"/>
      <c r="G2596" s="100"/>
      <c r="H2596" s="100"/>
      <c r="I2596" s="100"/>
      <c r="J2596" s="100"/>
      <c r="K2596" s="100"/>
      <c r="L2596" s="100"/>
      <c r="M2596" s="100"/>
      <c r="N2596" s="100"/>
      <c r="O2596" s="100"/>
      <c r="P2596" s="100"/>
      <c r="Q2596" s="100"/>
      <c r="R2596" s="100"/>
      <c r="S2596" s="100"/>
      <c r="T2596" s="100"/>
      <c r="U2596" s="100"/>
      <c r="V2596" s="100"/>
      <c r="W2596" s="100"/>
      <c r="X2596" s="100"/>
      <c r="Y2596" s="100"/>
      <c r="Z2596" s="100"/>
    </row>
    <row r="2597" spans="1:26">
      <c r="A2597" s="100"/>
      <c r="B2597" s="100"/>
      <c r="C2597" s="100"/>
      <c r="D2597" s="100"/>
      <c r="E2597" s="100"/>
      <c r="F2597" s="100"/>
      <c r="G2597" s="100"/>
      <c r="H2597" s="100"/>
      <c r="I2597" s="100"/>
      <c r="J2597" s="100"/>
      <c r="K2597" s="100"/>
      <c r="L2597" s="100"/>
      <c r="M2597" s="100"/>
      <c r="N2597" s="100"/>
      <c r="O2597" s="100"/>
      <c r="P2597" s="100"/>
      <c r="Q2597" s="100"/>
      <c r="R2597" s="100"/>
      <c r="S2597" s="100"/>
      <c r="T2597" s="100"/>
      <c r="U2597" s="100"/>
      <c r="V2597" s="100"/>
      <c r="W2597" s="100"/>
      <c r="X2597" s="100"/>
      <c r="Y2597" s="100"/>
      <c r="Z2597" s="100"/>
    </row>
    <row r="2598" spans="1:26">
      <c r="A2598" s="100"/>
      <c r="B2598" s="100"/>
      <c r="C2598" s="100"/>
      <c r="D2598" s="100"/>
      <c r="E2598" s="100"/>
      <c r="F2598" s="100"/>
      <c r="G2598" s="100"/>
      <c r="H2598" s="100"/>
      <c r="I2598" s="100"/>
      <c r="J2598" s="100"/>
      <c r="K2598" s="100"/>
      <c r="L2598" s="100"/>
      <c r="M2598" s="100"/>
      <c r="N2598" s="100"/>
      <c r="O2598" s="100"/>
      <c r="P2598" s="100"/>
      <c r="Q2598" s="100"/>
      <c r="R2598" s="100"/>
      <c r="S2598" s="100"/>
      <c r="T2598" s="100"/>
      <c r="U2598" s="100"/>
      <c r="V2598" s="100"/>
      <c r="W2598" s="100"/>
      <c r="X2598" s="100"/>
      <c r="Y2598" s="100"/>
      <c r="Z2598" s="100"/>
    </row>
    <row r="2599" spans="1:26">
      <c r="A2599" s="100"/>
      <c r="B2599" s="100"/>
      <c r="C2599" s="100"/>
      <c r="D2599" s="100"/>
      <c r="E2599" s="100"/>
      <c r="F2599" s="100"/>
      <c r="G2599" s="100"/>
      <c r="H2599" s="100"/>
      <c r="I2599" s="100"/>
      <c r="J2599" s="100"/>
      <c r="K2599" s="100"/>
      <c r="L2599" s="100"/>
      <c r="M2599" s="100"/>
      <c r="N2599" s="100"/>
      <c r="O2599" s="100"/>
      <c r="P2599" s="100"/>
      <c r="Q2599" s="100"/>
      <c r="R2599" s="100"/>
      <c r="S2599" s="100"/>
      <c r="T2599" s="100"/>
      <c r="U2599" s="100"/>
      <c r="V2599" s="100"/>
      <c r="W2599" s="100"/>
      <c r="X2599" s="100"/>
      <c r="Y2599" s="100"/>
      <c r="Z2599" s="100"/>
    </row>
    <row r="2600" spans="1:26">
      <c r="A2600" s="100"/>
      <c r="B2600" s="100"/>
      <c r="C2600" s="100"/>
      <c r="D2600" s="100"/>
      <c r="E2600" s="100"/>
      <c r="F2600" s="100"/>
      <c r="G2600" s="100"/>
      <c r="H2600" s="100"/>
      <c r="I2600" s="100"/>
      <c r="J2600" s="100"/>
      <c r="K2600" s="100"/>
      <c r="L2600" s="100"/>
      <c r="M2600" s="100"/>
      <c r="N2600" s="100"/>
      <c r="O2600" s="100"/>
      <c r="P2600" s="100"/>
      <c r="Q2600" s="100"/>
      <c r="R2600" s="100"/>
      <c r="S2600" s="100"/>
      <c r="T2600" s="100"/>
      <c r="U2600" s="100"/>
      <c r="V2600" s="100"/>
      <c r="W2600" s="100"/>
      <c r="X2600" s="100"/>
      <c r="Y2600" s="100"/>
      <c r="Z2600" s="100"/>
    </row>
    <row r="2601" spans="1:26">
      <c r="A2601" s="100"/>
      <c r="B2601" s="100"/>
      <c r="C2601" s="100"/>
      <c r="D2601" s="100"/>
      <c r="E2601" s="100"/>
      <c r="F2601" s="100"/>
      <c r="G2601" s="100"/>
      <c r="H2601" s="100"/>
      <c r="I2601" s="100"/>
      <c r="J2601" s="100"/>
      <c r="K2601" s="100"/>
      <c r="L2601" s="100"/>
      <c r="M2601" s="100"/>
      <c r="N2601" s="100"/>
      <c r="O2601" s="100"/>
      <c r="P2601" s="100"/>
      <c r="Q2601" s="100"/>
      <c r="R2601" s="100"/>
      <c r="S2601" s="100"/>
      <c r="T2601" s="100"/>
      <c r="U2601" s="100"/>
      <c r="V2601" s="100"/>
      <c r="W2601" s="100"/>
      <c r="X2601" s="100"/>
      <c r="Y2601" s="100"/>
      <c r="Z2601" s="100"/>
    </row>
    <row r="2602" spans="1:26">
      <c r="A2602" s="100"/>
      <c r="B2602" s="100"/>
      <c r="C2602" s="100"/>
      <c r="D2602" s="100"/>
      <c r="E2602" s="100"/>
      <c r="F2602" s="100"/>
      <c r="G2602" s="100"/>
      <c r="H2602" s="100"/>
      <c r="I2602" s="100"/>
      <c r="J2602" s="100"/>
      <c r="K2602" s="100"/>
      <c r="L2602" s="100"/>
      <c r="M2602" s="100"/>
      <c r="N2602" s="100"/>
      <c r="O2602" s="100"/>
      <c r="P2602" s="100"/>
      <c r="Q2602" s="100"/>
      <c r="R2602" s="100"/>
      <c r="S2602" s="100"/>
      <c r="T2602" s="100"/>
      <c r="U2602" s="100"/>
      <c r="V2602" s="100"/>
      <c r="W2602" s="100"/>
      <c r="X2602" s="100"/>
      <c r="Y2602" s="100"/>
      <c r="Z2602" s="100"/>
    </row>
    <row r="2603" spans="1:26">
      <c r="A2603" s="100"/>
      <c r="B2603" s="100"/>
      <c r="C2603" s="100"/>
      <c r="D2603" s="100"/>
      <c r="E2603" s="100"/>
      <c r="F2603" s="100"/>
      <c r="G2603" s="100"/>
      <c r="H2603" s="100"/>
      <c r="I2603" s="100"/>
      <c r="J2603" s="100"/>
      <c r="K2603" s="100"/>
      <c r="L2603" s="100"/>
      <c r="M2603" s="100"/>
      <c r="N2603" s="100"/>
      <c r="O2603" s="100"/>
      <c r="P2603" s="100"/>
      <c r="Q2603" s="100"/>
      <c r="R2603" s="100"/>
      <c r="S2603" s="100"/>
      <c r="T2603" s="100"/>
      <c r="U2603" s="100"/>
      <c r="V2603" s="100"/>
      <c r="W2603" s="100"/>
      <c r="X2603" s="100"/>
      <c r="Y2603" s="100"/>
      <c r="Z2603" s="100"/>
    </row>
    <row r="2604" spans="1:26">
      <c r="A2604" s="100"/>
      <c r="B2604" s="100"/>
      <c r="C2604" s="100"/>
      <c r="D2604" s="100"/>
      <c r="E2604" s="100"/>
      <c r="F2604" s="100"/>
      <c r="G2604" s="100"/>
      <c r="H2604" s="100"/>
      <c r="I2604" s="100"/>
      <c r="J2604" s="100"/>
      <c r="K2604" s="100"/>
      <c r="L2604" s="100"/>
      <c r="M2604" s="100"/>
      <c r="N2604" s="100"/>
      <c r="O2604" s="100"/>
      <c r="P2604" s="100"/>
      <c r="Q2604" s="100"/>
      <c r="R2604" s="100"/>
      <c r="S2604" s="100"/>
      <c r="T2604" s="100"/>
      <c r="U2604" s="100"/>
      <c r="V2604" s="100"/>
      <c r="W2604" s="100"/>
      <c r="X2604" s="100"/>
      <c r="Y2604" s="100"/>
      <c r="Z2604" s="100"/>
    </row>
    <row r="2605" spans="1:26">
      <c r="A2605" s="100"/>
      <c r="B2605" s="100"/>
      <c r="C2605" s="100"/>
      <c r="D2605" s="100"/>
      <c r="E2605" s="100"/>
      <c r="F2605" s="100"/>
      <c r="G2605" s="100"/>
      <c r="H2605" s="100"/>
      <c r="I2605" s="100"/>
      <c r="J2605" s="100"/>
      <c r="K2605" s="100"/>
      <c r="L2605" s="100"/>
      <c r="M2605" s="100"/>
      <c r="N2605" s="100"/>
      <c r="O2605" s="100"/>
      <c r="P2605" s="100"/>
      <c r="Q2605" s="100"/>
      <c r="R2605" s="100"/>
      <c r="S2605" s="100"/>
      <c r="T2605" s="100"/>
      <c r="U2605" s="100"/>
      <c r="V2605" s="100"/>
      <c r="W2605" s="100"/>
      <c r="X2605" s="100"/>
      <c r="Y2605" s="100"/>
      <c r="Z2605" s="100"/>
    </row>
    <row r="2606" spans="1:26">
      <c r="A2606" s="100"/>
      <c r="B2606" s="100"/>
      <c r="C2606" s="100"/>
      <c r="D2606" s="100"/>
      <c r="E2606" s="100"/>
      <c r="F2606" s="100"/>
      <c r="G2606" s="100"/>
      <c r="H2606" s="100"/>
      <c r="I2606" s="100"/>
      <c r="J2606" s="100"/>
      <c r="K2606" s="100"/>
      <c r="L2606" s="100"/>
      <c r="M2606" s="100"/>
      <c r="N2606" s="100"/>
      <c r="O2606" s="100"/>
      <c r="P2606" s="100"/>
      <c r="Q2606" s="100"/>
      <c r="R2606" s="100"/>
      <c r="S2606" s="100"/>
      <c r="T2606" s="100"/>
      <c r="U2606" s="100"/>
      <c r="V2606" s="100"/>
      <c r="W2606" s="100"/>
      <c r="X2606" s="100"/>
      <c r="Y2606" s="100"/>
      <c r="Z2606" s="100"/>
    </row>
    <row r="2607" spans="1:26">
      <c r="A2607" s="100"/>
      <c r="B2607" s="100"/>
      <c r="C2607" s="100"/>
      <c r="D2607" s="100"/>
      <c r="E2607" s="100"/>
      <c r="F2607" s="100"/>
      <c r="G2607" s="100"/>
      <c r="H2607" s="100"/>
      <c r="I2607" s="100"/>
      <c r="J2607" s="100"/>
      <c r="K2607" s="100"/>
      <c r="L2607" s="100"/>
      <c r="M2607" s="100"/>
      <c r="N2607" s="100"/>
      <c r="O2607" s="100"/>
      <c r="P2607" s="100"/>
      <c r="Q2607" s="100"/>
      <c r="R2607" s="100"/>
      <c r="S2607" s="100"/>
      <c r="T2607" s="100"/>
      <c r="U2607" s="100"/>
      <c r="V2607" s="100"/>
      <c r="W2607" s="100"/>
      <c r="X2607" s="100"/>
      <c r="Y2607" s="100"/>
      <c r="Z2607" s="100"/>
    </row>
    <row r="2608" spans="1:26">
      <c r="A2608" s="100"/>
      <c r="B2608" s="100"/>
      <c r="C2608" s="100"/>
      <c r="D2608" s="100"/>
      <c r="E2608" s="100"/>
      <c r="F2608" s="100"/>
      <c r="G2608" s="100"/>
      <c r="H2608" s="100"/>
      <c r="I2608" s="100"/>
      <c r="J2608" s="100"/>
      <c r="K2608" s="100"/>
      <c r="L2608" s="100"/>
      <c r="M2608" s="100"/>
      <c r="N2608" s="100"/>
      <c r="O2608" s="100"/>
      <c r="P2608" s="100"/>
      <c r="Q2608" s="100"/>
      <c r="R2608" s="100"/>
      <c r="S2608" s="100"/>
      <c r="T2608" s="100"/>
      <c r="U2608" s="100"/>
      <c r="V2608" s="100"/>
      <c r="W2608" s="100"/>
      <c r="X2608" s="100"/>
      <c r="Y2608" s="100"/>
      <c r="Z2608" s="100"/>
    </row>
    <row r="2609" spans="1:26">
      <c r="A2609" s="100"/>
      <c r="B2609" s="100"/>
      <c r="C2609" s="100"/>
      <c r="D2609" s="100"/>
      <c r="E2609" s="100"/>
      <c r="F2609" s="100"/>
      <c r="G2609" s="100"/>
      <c r="H2609" s="100"/>
      <c r="I2609" s="100"/>
      <c r="J2609" s="100"/>
      <c r="K2609" s="100"/>
      <c r="L2609" s="100"/>
      <c r="M2609" s="100"/>
      <c r="N2609" s="100"/>
      <c r="O2609" s="100"/>
      <c r="P2609" s="100"/>
      <c r="Q2609" s="100"/>
      <c r="R2609" s="100"/>
      <c r="S2609" s="100"/>
      <c r="T2609" s="100"/>
      <c r="U2609" s="100"/>
      <c r="V2609" s="100"/>
      <c r="W2609" s="100"/>
      <c r="X2609" s="100"/>
      <c r="Y2609" s="100"/>
      <c r="Z2609" s="100"/>
    </row>
    <row r="2610" spans="1:26">
      <c r="A2610" s="100"/>
      <c r="B2610" s="100"/>
      <c r="C2610" s="100"/>
      <c r="D2610" s="100"/>
      <c r="E2610" s="100"/>
      <c r="F2610" s="100"/>
      <c r="G2610" s="100"/>
      <c r="H2610" s="100"/>
      <c r="I2610" s="100"/>
      <c r="J2610" s="100"/>
      <c r="K2610" s="100"/>
      <c r="L2610" s="100"/>
      <c r="M2610" s="100"/>
      <c r="N2610" s="100"/>
      <c r="O2610" s="100"/>
      <c r="P2610" s="100"/>
      <c r="Q2610" s="100"/>
      <c r="R2610" s="100"/>
      <c r="S2610" s="100"/>
      <c r="T2610" s="100"/>
      <c r="U2610" s="100"/>
      <c r="V2610" s="100"/>
      <c r="W2610" s="100"/>
      <c r="X2610" s="100"/>
      <c r="Y2610" s="100"/>
      <c r="Z2610" s="100"/>
    </row>
    <row r="2611" spans="1:26">
      <c r="A2611" s="100"/>
      <c r="B2611" s="100"/>
      <c r="C2611" s="100"/>
      <c r="D2611" s="100"/>
      <c r="E2611" s="100"/>
      <c r="F2611" s="100"/>
      <c r="G2611" s="100"/>
      <c r="H2611" s="100"/>
      <c r="I2611" s="100"/>
      <c r="J2611" s="100"/>
      <c r="K2611" s="100"/>
      <c r="L2611" s="100"/>
      <c r="M2611" s="100"/>
      <c r="N2611" s="100"/>
      <c r="O2611" s="100"/>
      <c r="P2611" s="100"/>
      <c r="Q2611" s="100"/>
      <c r="R2611" s="100"/>
      <c r="S2611" s="100"/>
      <c r="T2611" s="100"/>
      <c r="U2611" s="100"/>
      <c r="V2611" s="100"/>
      <c r="W2611" s="100"/>
      <c r="X2611" s="100"/>
      <c r="Y2611" s="100"/>
      <c r="Z2611" s="100"/>
    </row>
    <row r="2612" spans="1:26">
      <c r="A2612" s="100"/>
      <c r="B2612" s="100"/>
      <c r="C2612" s="100"/>
      <c r="D2612" s="100"/>
      <c r="E2612" s="100"/>
      <c r="F2612" s="100"/>
      <c r="G2612" s="100"/>
      <c r="H2612" s="100"/>
      <c r="I2612" s="100"/>
      <c r="J2612" s="100"/>
      <c r="K2612" s="100"/>
      <c r="L2612" s="100"/>
      <c r="M2612" s="100"/>
      <c r="N2612" s="100"/>
      <c r="O2612" s="100"/>
      <c r="P2612" s="100"/>
      <c r="Q2612" s="100"/>
      <c r="R2612" s="100"/>
      <c r="S2612" s="100"/>
      <c r="T2612" s="100"/>
      <c r="U2612" s="100"/>
      <c r="V2612" s="100"/>
      <c r="W2612" s="100"/>
      <c r="X2612" s="100"/>
      <c r="Y2612" s="100"/>
      <c r="Z2612" s="100"/>
    </row>
    <row r="2613" spans="1:26">
      <c r="A2613" s="100"/>
      <c r="B2613" s="100"/>
      <c r="C2613" s="100"/>
      <c r="D2613" s="100"/>
      <c r="E2613" s="100"/>
      <c r="F2613" s="100"/>
      <c r="G2613" s="100"/>
      <c r="H2613" s="100"/>
      <c r="I2613" s="100"/>
      <c r="J2613" s="100"/>
      <c r="K2613" s="100"/>
      <c r="L2613" s="100"/>
      <c r="M2613" s="100"/>
      <c r="N2613" s="100"/>
      <c r="O2613" s="100"/>
      <c r="P2613" s="100"/>
      <c r="Q2613" s="100"/>
      <c r="R2613" s="100"/>
      <c r="S2613" s="100"/>
      <c r="T2613" s="100"/>
      <c r="U2613" s="100"/>
      <c r="V2613" s="100"/>
      <c r="W2613" s="100"/>
      <c r="X2613" s="100"/>
      <c r="Y2613" s="100"/>
      <c r="Z2613" s="100"/>
    </row>
    <row r="2614" spans="1:26">
      <c r="A2614" s="100"/>
      <c r="B2614" s="100"/>
      <c r="C2614" s="100"/>
      <c r="D2614" s="100"/>
      <c r="E2614" s="100"/>
      <c r="F2614" s="100"/>
      <c r="G2614" s="100"/>
      <c r="H2614" s="100"/>
      <c r="I2614" s="100"/>
      <c r="J2614" s="100"/>
      <c r="K2614" s="100"/>
      <c r="L2614" s="100"/>
      <c r="M2614" s="100"/>
      <c r="N2614" s="100"/>
      <c r="O2614" s="100"/>
      <c r="P2614" s="100"/>
      <c r="Q2614" s="100"/>
      <c r="R2614" s="100"/>
      <c r="S2614" s="100"/>
      <c r="T2614" s="100"/>
      <c r="U2614" s="100"/>
      <c r="V2614" s="100"/>
      <c r="W2614" s="100"/>
      <c r="X2614" s="100"/>
      <c r="Y2614" s="100"/>
      <c r="Z2614" s="100"/>
    </row>
    <row r="2615" spans="1:26">
      <c r="A2615" s="100"/>
      <c r="B2615" s="100"/>
      <c r="C2615" s="100"/>
      <c r="D2615" s="100"/>
      <c r="E2615" s="100"/>
      <c r="F2615" s="100"/>
      <c r="G2615" s="100"/>
      <c r="H2615" s="100"/>
      <c r="I2615" s="100"/>
      <c r="J2615" s="100"/>
      <c r="K2615" s="100"/>
      <c r="L2615" s="100"/>
      <c r="M2615" s="100"/>
      <c r="N2615" s="100"/>
      <c r="O2615" s="100"/>
      <c r="P2615" s="100"/>
      <c r="Q2615" s="100"/>
      <c r="R2615" s="100"/>
      <c r="S2615" s="100"/>
      <c r="T2615" s="100"/>
      <c r="U2615" s="100"/>
      <c r="V2615" s="100"/>
      <c r="W2615" s="100"/>
      <c r="X2615" s="100"/>
      <c r="Y2615" s="100"/>
      <c r="Z2615" s="100"/>
    </row>
    <row r="2616" spans="1:26">
      <c r="A2616" s="100"/>
      <c r="B2616" s="100"/>
      <c r="C2616" s="100"/>
      <c r="D2616" s="100"/>
      <c r="E2616" s="100"/>
      <c r="F2616" s="100"/>
      <c r="G2616" s="100"/>
      <c r="H2616" s="100"/>
      <c r="I2616" s="100"/>
      <c r="J2616" s="100"/>
      <c r="K2616" s="100"/>
      <c r="L2616" s="100"/>
      <c r="M2616" s="100"/>
      <c r="N2616" s="100"/>
      <c r="O2616" s="100"/>
      <c r="P2616" s="100"/>
      <c r="Q2616" s="100"/>
      <c r="R2616" s="100"/>
      <c r="S2616" s="100"/>
      <c r="T2616" s="100"/>
      <c r="U2616" s="100"/>
      <c r="V2616" s="100"/>
      <c r="W2616" s="100"/>
      <c r="X2616" s="100"/>
      <c r="Y2616" s="100"/>
      <c r="Z2616" s="100"/>
    </row>
    <row r="2617" spans="1:26">
      <c r="A2617" s="100"/>
      <c r="B2617" s="100"/>
      <c r="C2617" s="100"/>
      <c r="D2617" s="100"/>
      <c r="E2617" s="100"/>
      <c r="F2617" s="100"/>
      <c r="G2617" s="100"/>
      <c r="H2617" s="100"/>
      <c r="I2617" s="100"/>
      <c r="J2617" s="100"/>
      <c r="K2617" s="100"/>
      <c r="L2617" s="100"/>
      <c r="M2617" s="100"/>
      <c r="N2617" s="100"/>
      <c r="O2617" s="100"/>
      <c r="P2617" s="100"/>
      <c r="Q2617" s="100"/>
      <c r="R2617" s="100"/>
      <c r="S2617" s="100"/>
      <c r="T2617" s="100"/>
      <c r="U2617" s="100"/>
      <c r="V2617" s="100"/>
      <c r="W2617" s="100"/>
      <c r="X2617" s="100"/>
      <c r="Y2617" s="100"/>
      <c r="Z2617" s="100"/>
    </row>
    <row r="2618" spans="1:26">
      <c r="A2618" s="100"/>
      <c r="B2618" s="100"/>
      <c r="C2618" s="100"/>
      <c r="D2618" s="100"/>
      <c r="E2618" s="100"/>
      <c r="F2618" s="100"/>
      <c r="G2618" s="100"/>
      <c r="H2618" s="100"/>
      <c r="I2618" s="100"/>
      <c r="J2618" s="100"/>
      <c r="K2618" s="100"/>
      <c r="L2618" s="100"/>
      <c r="M2618" s="100"/>
      <c r="N2618" s="100"/>
      <c r="O2618" s="100"/>
      <c r="P2618" s="100"/>
      <c r="Q2618" s="100"/>
      <c r="R2618" s="100"/>
      <c r="S2618" s="100"/>
      <c r="T2618" s="100"/>
      <c r="U2618" s="100"/>
      <c r="V2618" s="100"/>
      <c r="W2618" s="100"/>
      <c r="X2618" s="100"/>
      <c r="Y2618" s="100"/>
      <c r="Z2618" s="100"/>
    </row>
    <row r="2619" spans="1:26">
      <c r="A2619" s="100"/>
      <c r="B2619" s="100"/>
      <c r="C2619" s="100"/>
      <c r="D2619" s="100"/>
      <c r="E2619" s="100"/>
      <c r="F2619" s="100"/>
      <c r="G2619" s="100"/>
      <c r="H2619" s="100"/>
      <c r="I2619" s="100"/>
      <c r="J2619" s="100"/>
      <c r="K2619" s="100"/>
      <c r="L2619" s="100"/>
      <c r="M2619" s="100"/>
      <c r="N2619" s="100"/>
      <c r="O2619" s="100"/>
      <c r="P2619" s="100"/>
      <c r="Q2619" s="100"/>
      <c r="R2619" s="100"/>
      <c r="S2619" s="100"/>
      <c r="T2619" s="100"/>
      <c r="U2619" s="100"/>
      <c r="V2619" s="100"/>
      <c r="W2619" s="100"/>
      <c r="X2619" s="100"/>
      <c r="Y2619" s="100"/>
      <c r="Z2619" s="100"/>
    </row>
    <row r="2620" spans="1:26">
      <c r="A2620" s="100"/>
      <c r="B2620" s="100"/>
      <c r="C2620" s="100"/>
      <c r="D2620" s="100"/>
      <c r="E2620" s="100"/>
      <c r="F2620" s="100"/>
      <c r="G2620" s="100"/>
      <c r="H2620" s="100"/>
      <c r="I2620" s="100"/>
      <c r="J2620" s="100"/>
      <c r="K2620" s="100"/>
      <c r="L2620" s="100"/>
      <c r="M2620" s="100"/>
      <c r="N2620" s="100"/>
      <c r="O2620" s="100"/>
      <c r="P2620" s="100"/>
      <c r="Q2620" s="100"/>
      <c r="R2620" s="100"/>
      <c r="S2620" s="100"/>
      <c r="T2620" s="100"/>
      <c r="U2620" s="100"/>
      <c r="V2620" s="100"/>
      <c r="W2620" s="100"/>
      <c r="X2620" s="100"/>
      <c r="Y2620" s="100"/>
      <c r="Z2620" s="100"/>
    </row>
    <row r="2621" spans="1:26">
      <c r="A2621" s="100"/>
      <c r="B2621" s="100"/>
      <c r="C2621" s="100"/>
      <c r="D2621" s="100"/>
      <c r="E2621" s="100"/>
      <c r="F2621" s="100"/>
      <c r="G2621" s="100"/>
      <c r="H2621" s="100"/>
      <c r="I2621" s="100"/>
      <c r="J2621" s="100"/>
      <c r="K2621" s="100"/>
      <c r="L2621" s="100"/>
      <c r="M2621" s="100"/>
      <c r="N2621" s="100"/>
      <c r="O2621" s="100"/>
      <c r="P2621" s="100"/>
      <c r="Q2621" s="100"/>
      <c r="R2621" s="100"/>
      <c r="S2621" s="100"/>
      <c r="T2621" s="100"/>
      <c r="U2621" s="100"/>
      <c r="V2621" s="100"/>
      <c r="W2621" s="100"/>
      <c r="X2621" s="100"/>
      <c r="Y2621" s="100"/>
      <c r="Z2621" s="100"/>
    </row>
    <row r="2622" spans="1:26">
      <c r="A2622" s="100"/>
      <c r="B2622" s="100"/>
      <c r="C2622" s="100"/>
      <c r="D2622" s="100"/>
      <c r="E2622" s="100"/>
      <c r="F2622" s="100"/>
      <c r="G2622" s="100"/>
      <c r="H2622" s="100"/>
      <c r="I2622" s="100"/>
      <c r="J2622" s="100"/>
      <c r="K2622" s="100"/>
      <c r="L2622" s="100"/>
      <c r="M2622" s="100"/>
      <c r="N2622" s="100"/>
      <c r="O2622" s="100"/>
      <c r="P2622" s="100"/>
      <c r="Q2622" s="100"/>
      <c r="R2622" s="100"/>
      <c r="S2622" s="100"/>
      <c r="T2622" s="100"/>
      <c r="U2622" s="100"/>
      <c r="V2622" s="100"/>
      <c r="W2622" s="100"/>
      <c r="X2622" s="100"/>
      <c r="Y2622" s="100"/>
      <c r="Z2622" s="100"/>
    </row>
    <row r="2623" spans="1:26">
      <c r="A2623" s="100"/>
      <c r="B2623" s="100"/>
      <c r="C2623" s="100"/>
      <c r="D2623" s="100"/>
      <c r="E2623" s="100"/>
      <c r="F2623" s="100"/>
      <c r="G2623" s="100"/>
      <c r="H2623" s="100"/>
      <c r="I2623" s="100"/>
      <c r="J2623" s="100"/>
      <c r="K2623" s="100"/>
      <c r="L2623" s="100"/>
      <c r="M2623" s="100"/>
      <c r="N2623" s="100"/>
      <c r="O2623" s="100"/>
      <c r="P2623" s="100"/>
      <c r="Q2623" s="100"/>
      <c r="R2623" s="100"/>
      <c r="S2623" s="100"/>
      <c r="T2623" s="100"/>
      <c r="U2623" s="100"/>
      <c r="V2623" s="100"/>
      <c r="W2623" s="100"/>
      <c r="X2623" s="100"/>
      <c r="Y2623" s="100"/>
      <c r="Z2623" s="100"/>
    </row>
    <row r="2624" spans="1:26">
      <c r="A2624" s="100"/>
      <c r="B2624" s="100"/>
      <c r="C2624" s="100"/>
      <c r="D2624" s="100"/>
      <c r="E2624" s="100"/>
      <c r="F2624" s="100"/>
      <c r="G2624" s="100"/>
      <c r="H2624" s="100"/>
      <c r="I2624" s="100"/>
      <c r="J2624" s="100"/>
      <c r="K2624" s="100"/>
      <c r="L2624" s="100"/>
      <c r="M2624" s="100"/>
      <c r="N2624" s="100"/>
      <c r="O2624" s="100"/>
      <c r="P2624" s="100"/>
      <c r="Q2624" s="100"/>
      <c r="R2624" s="100"/>
      <c r="S2624" s="100"/>
      <c r="T2624" s="100"/>
      <c r="U2624" s="100"/>
      <c r="V2624" s="100"/>
      <c r="W2624" s="100"/>
      <c r="X2624" s="100"/>
      <c r="Y2624" s="100"/>
      <c r="Z2624" s="100"/>
    </row>
    <row r="2625" spans="1:26">
      <c r="A2625" s="100"/>
      <c r="B2625" s="100"/>
      <c r="C2625" s="100"/>
      <c r="D2625" s="100"/>
      <c r="E2625" s="100"/>
      <c r="F2625" s="100"/>
      <c r="G2625" s="100"/>
      <c r="H2625" s="100"/>
      <c r="I2625" s="100"/>
      <c r="J2625" s="100"/>
      <c r="K2625" s="100"/>
      <c r="L2625" s="100"/>
      <c r="M2625" s="100"/>
      <c r="N2625" s="100"/>
      <c r="O2625" s="100"/>
      <c r="P2625" s="100"/>
      <c r="Q2625" s="100"/>
      <c r="R2625" s="100"/>
      <c r="S2625" s="100"/>
      <c r="T2625" s="100"/>
      <c r="U2625" s="100"/>
      <c r="V2625" s="100"/>
      <c r="W2625" s="100"/>
      <c r="X2625" s="100"/>
      <c r="Y2625" s="100"/>
      <c r="Z2625" s="100"/>
    </row>
    <row r="2626" spans="1:26">
      <c r="A2626" s="100"/>
      <c r="B2626" s="100"/>
      <c r="C2626" s="100"/>
      <c r="D2626" s="100"/>
      <c r="E2626" s="100"/>
      <c r="F2626" s="100"/>
      <c r="G2626" s="100"/>
      <c r="H2626" s="100"/>
      <c r="I2626" s="100"/>
      <c r="J2626" s="100"/>
      <c r="K2626" s="100"/>
      <c r="L2626" s="100"/>
      <c r="M2626" s="100"/>
      <c r="N2626" s="100"/>
      <c r="O2626" s="100"/>
      <c r="P2626" s="100"/>
      <c r="Q2626" s="100"/>
      <c r="R2626" s="100"/>
      <c r="S2626" s="100"/>
      <c r="T2626" s="100"/>
      <c r="U2626" s="100"/>
      <c r="V2626" s="100"/>
      <c r="W2626" s="100"/>
      <c r="X2626" s="100"/>
      <c r="Y2626" s="100"/>
      <c r="Z2626" s="100"/>
    </row>
    <row r="2627" spans="1:26">
      <c r="A2627" s="100"/>
      <c r="B2627" s="100"/>
      <c r="C2627" s="100"/>
      <c r="D2627" s="100"/>
      <c r="E2627" s="100"/>
      <c r="F2627" s="100"/>
      <c r="G2627" s="100"/>
      <c r="H2627" s="100"/>
      <c r="I2627" s="100"/>
      <c r="J2627" s="100"/>
      <c r="K2627" s="100"/>
      <c r="L2627" s="100"/>
      <c r="M2627" s="100"/>
      <c r="N2627" s="100"/>
      <c r="O2627" s="100"/>
      <c r="P2627" s="100"/>
      <c r="Q2627" s="100"/>
      <c r="R2627" s="100"/>
      <c r="S2627" s="100"/>
      <c r="T2627" s="100"/>
      <c r="U2627" s="100"/>
      <c r="V2627" s="100"/>
      <c r="W2627" s="100"/>
      <c r="X2627" s="100"/>
      <c r="Y2627" s="100"/>
      <c r="Z2627" s="100"/>
    </row>
    <row r="2628" spans="1:26">
      <c r="A2628" s="100"/>
      <c r="B2628" s="100"/>
      <c r="C2628" s="100"/>
      <c r="D2628" s="100"/>
      <c r="E2628" s="100"/>
      <c r="F2628" s="100"/>
      <c r="G2628" s="100"/>
      <c r="H2628" s="100"/>
      <c r="I2628" s="100"/>
      <c r="J2628" s="100"/>
      <c r="K2628" s="100"/>
      <c r="L2628" s="100"/>
      <c r="M2628" s="100"/>
      <c r="N2628" s="100"/>
      <c r="O2628" s="100"/>
      <c r="P2628" s="100"/>
      <c r="Q2628" s="100"/>
      <c r="R2628" s="100"/>
      <c r="S2628" s="100"/>
      <c r="T2628" s="100"/>
      <c r="U2628" s="100"/>
      <c r="V2628" s="100"/>
      <c r="W2628" s="100"/>
      <c r="X2628" s="100"/>
      <c r="Y2628" s="100"/>
      <c r="Z2628" s="100"/>
    </row>
    <row r="2629" spans="1:26">
      <c r="A2629" s="100"/>
      <c r="B2629" s="100"/>
      <c r="C2629" s="100"/>
      <c r="D2629" s="100"/>
      <c r="E2629" s="100"/>
      <c r="F2629" s="100"/>
      <c r="G2629" s="100"/>
      <c r="H2629" s="100"/>
      <c r="I2629" s="100"/>
      <c r="J2629" s="100"/>
      <c r="K2629" s="100"/>
      <c r="L2629" s="100"/>
      <c r="M2629" s="100"/>
      <c r="N2629" s="100"/>
      <c r="O2629" s="100"/>
      <c r="P2629" s="100"/>
      <c r="Q2629" s="100"/>
      <c r="R2629" s="100"/>
      <c r="S2629" s="100"/>
      <c r="T2629" s="100"/>
      <c r="U2629" s="100"/>
      <c r="V2629" s="100"/>
      <c r="W2629" s="100"/>
      <c r="X2629" s="100"/>
      <c r="Y2629" s="100"/>
      <c r="Z2629" s="100"/>
    </row>
    <row r="2630" spans="1:26">
      <c r="A2630" s="100"/>
      <c r="B2630" s="100"/>
      <c r="C2630" s="100"/>
      <c r="D2630" s="100"/>
      <c r="E2630" s="100"/>
      <c r="F2630" s="100"/>
      <c r="G2630" s="100"/>
      <c r="H2630" s="100"/>
      <c r="I2630" s="100"/>
      <c r="J2630" s="100"/>
      <c r="K2630" s="100"/>
      <c r="L2630" s="100"/>
      <c r="M2630" s="100"/>
      <c r="N2630" s="100"/>
      <c r="O2630" s="100"/>
      <c r="P2630" s="100"/>
      <c r="Q2630" s="100"/>
      <c r="R2630" s="100"/>
      <c r="S2630" s="100"/>
      <c r="T2630" s="100"/>
      <c r="U2630" s="100"/>
      <c r="V2630" s="100"/>
      <c r="W2630" s="100"/>
      <c r="X2630" s="100"/>
      <c r="Y2630" s="100"/>
      <c r="Z2630" s="100"/>
    </row>
    <row r="2631" spans="1:26">
      <c r="A2631" s="100"/>
      <c r="B2631" s="100"/>
      <c r="C2631" s="100"/>
      <c r="D2631" s="100"/>
      <c r="E2631" s="100"/>
      <c r="F2631" s="100"/>
      <c r="G2631" s="100"/>
      <c r="H2631" s="100"/>
      <c r="I2631" s="100"/>
      <c r="J2631" s="100"/>
      <c r="K2631" s="100"/>
      <c r="L2631" s="100"/>
      <c r="M2631" s="100"/>
      <c r="N2631" s="100"/>
      <c r="O2631" s="100"/>
      <c r="P2631" s="100"/>
      <c r="Q2631" s="100"/>
      <c r="R2631" s="100"/>
      <c r="S2631" s="100"/>
      <c r="T2631" s="100"/>
      <c r="U2631" s="100"/>
      <c r="V2631" s="100"/>
      <c r="W2631" s="100"/>
      <c r="X2631" s="100"/>
      <c r="Y2631" s="100"/>
      <c r="Z2631" s="100"/>
    </row>
    <row r="2632" spans="1:26">
      <c r="A2632" s="100"/>
      <c r="B2632" s="100"/>
      <c r="C2632" s="100"/>
      <c r="D2632" s="100"/>
      <c r="E2632" s="100"/>
      <c r="F2632" s="100"/>
      <c r="G2632" s="100"/>
      <c r="H2632" s="100"/>
      <c r="I2632" s="100"/>
      <c r="J2632" s="100"/>
      <c r="K2632" s="100"/>
      <c r="L2632" s="100"/>
      <c r="M2632" s="100"/>
      <c r="N2632" s="100"/>
      <c r="O2632" s="100"/>
      <c r="P2632" s="100"/>
      <c r="Q2632" s="100"/>
      <c r="R2632" s="100"/>
      <c r="S2632" s="100"/>
      <c r="T2632" s="100"/>
      <c r="U2632" s="100"/>
      <c r="V2632" s="100"/>
      <c r="W2632" s="100"/>
      <c r="X2632" s="100"/>
      <c r="Y2632" s="100"/>
      <c r="Z2632" s="100"/>
    </row>
    <row r="2633" spans="1:26">
      <c r="A2633" s="100"/>
      <c r="B2633" s="100"/>
      <c r="C2633" s="100"/>
      <c r="D2633" s="100"/>
      <c r="E2633" s="100"/>
      <c r="F2633" s="100"/>
      <c r="G2633" s="100"/>
      <c r="H2633" s="100"/>
      <c r="I2633" s="100"/>
      <c r="J2633" s="100"/>
      <c r="K2633" s="100"/>
      <c r="L2633" s="100"/>
      <c r="M2633" s="100"/>
      <c r="N2633" s="100"/>
      <c r="O2633" s="100"/>
      <c r="P2633" s="100"/>
      <c r="Q2633" s="100"/>
      <c r="R2633" s="100"/>
      <c r="S2633" s="100"/>
      <c r="T2633" s="100"/>
      <c r="U2633" s="100"/>
      <c r="V2633" s="100"/>
      <c r="W2633" s="100"/>
      <c r="X2633" s="100"/>
      <c r="Y2633" s="100"/>
      <c r="Z2633" s="100"/>
    </row>
    <row r="2634" spans="1:26">
      <c r="A2634" s="100"/>
      <c r="B2634" s="100"/>
      <c r="C2634" s="100"/>
      <c r="D2634" s="100"/>
      <c r="E2634" s="100"/>
      <c r="F2634" s="100"/>
      <c r="G2634" s="100"/>
      <c r="H2634" s="100"/>
      <c r="I2634" s="100"/>
      <c r="J2634" s="100"/>
      <c r="K2634" s="100"/>
      <c r="L2634" s="100"/>
      <c r="M2634" s="100"/>
      <c r="N2634" s="100"/>
      <c r="O2634" s="100"/>
      <c r="P2634" s="100"/>
      <c r="Q2634" s="100"/>
      <c r="R2634" s="100"/>
      <c r="S2634" s="100"/>
      <c r="T2634" s="100"/>
      <c r="U2634" s="100"/>
      <c r="V2634" s="100"/>
      <c r="W2634" s="100"/>
      <c r="X2634" s="100"/>
      <c r="Y2634" s="100"/>
      <c r="Z2634" s="100"/>
    </row>
    <row r="2635" spans="1:26">
      <c r="A2635" s="100"/>
      <c r="B2635" s="100"/>
      <c r="C2635" s="100"/>
      <c r="D2635" s="100"/>
      <c r="E2635" s="100"/>
      <c r="F2635" s="100"/>
      <c r="G2635" s="100"/>
      <c r="H2635" s="100"/>
      <c r="I2635" s="100"/>
      <c r="J2635" s="100"/>
      <c r="K2635" s="100"/>
      <c r="L2635" s="100"/>
      <c r="M2635" s="100"/>
      <c r="N2635" s="100"/>
      <c r="O2635" s="100"/>
      <c r="P2635" s="100"/>
      <c r="Q2635" s="100"/>
      <c r="R2635" s="100"/>
      <c r="S2635" s="100"/>
      <c r="T2635" s="100"/>
      <c r="U2635" s="100"/>
      <c r="V2635" s="100"/>
      <c r="W2635" s="100"/>
      <c r="X2635" s="100"/>
      <c r="Y2635" s="100"/>
      <c r="Z2635" s="100"/>
    </row>
    <row r="2636" spans="1:26">
      <c r="A2636" s="100"/>
      <c r="B2636" s="100"/>
      <c r="C2636" s="100"/>
      <c r="D2636" s="100"/>
      <c r="E2636" s="100"/>
      <c r="F2636" s="100"/>
      <c r="G2636" s="100"/>
      <c r="H2636" s="100"/>
      <c r="I2636" s="100"/>
      <c r="J2636" s="100"/>
      <c r="K2636" s="100"/>
      <c r="L2636" s="100"/>
      <c r="M2636" s="100"/>
      <c r="N2636" s="100"/>
      <c r="O2636" s="100"/>
      <c r="P2636" s="100"/>
      <c r="Q2636" s="100"/>
      <c r="R2636" s="100"/>
      <c r="S2636" s="100"/>
      <c r="T2636" s="100"/>
      <c r="U2636" s="100"/>
      <c r="V2636" s="100"/>
      <c r="W2636" s="100"/>
      <c r="X2636" s="100"/>
      <c r="Y2636" s="100"/>
      <c r="Z2636" s="100"/>
    </row>
    <row r="2637" spans="1:26">
      <c r="A2637" s="100"/>
      <c r="B2637" s="100"/>
      <c r="C2637" s="100"/>
      <c r="D2637" s="100"/>
      <c r="E2637" s="100"/>
      <c r="F2637" s="100"/>
      <c r="G2637" s="100"/>
      <c r="H2637" s="100"/>
      <c r="I2637" s="100"/>
      <c r="J2637" s="100"/>
      <c r="K2637" s="100"/>
      <c r="L2637" s="100"/>
      <c r="M2637" s="100"/>
      <c r="N2637" s="100"/>
      <c r="O2637" s="100"/>
      <c r="P2637" s="100"/>
      <c r="Q2637" s="100"/>
      <c r="R2637" s="100"/>
      <c r="S2637" s="100"/>
      <c r="T2637" s="100"/>
      <c r="U2637" s="100"/>
      <c r="V2637" s="100"/>
      <c r="W2637" s="100"/>
      <c r="X2637" s="100"/>
      <c r="Y2637" s="100"/>
      <c r="Z2637" s="100"/>
    </row>
    <row r="2638" spans="1:26">
      <c r="A2638" s="100"/>
      <c r="B2638" s="100"/>
      <c r="C2638" s="100"/>
      <c r="D2638" s="100"/>
      <c r="E2638" s="100"/>
      <c r="F2638" s="100"/>
      <c r="G2638" s="100"/>
      <c r="H2638" s="100"/>
      <c r="I2638" s="100"/>
      <c r="J2638" s="100"/>
      <c r="K2638" s="100"/>
      <c r="L2638" s="100"/>
      <c r="M2638" s="100"/>
      <c r="N2638" s="100"/>
      <c r="O2638" s="100"/>
      <c r="P2638" s="100"/>
      <c r="Q2638" s="100"/>
      <c r="R2638" s="100"/>
      <c r="S2638" s="100"/>
      <c r="T2638" s="100"/>
      <c r="U2638" s="100"/>
      <c r="V2638" s="100"/>
      <c r="W2638" s="100"/>
      <c r="X2638" s="100"/>
      <c r="Y2638" s="100"/>
      <c r="Z2638" s="100"/>
    </row>
    <row r="2639" spans="1:26">
      <c r="A2639" s="100"/>
      <c r="B2639" s="100"/>
      <c r="C2639" s="100"/>
      <c r="D2639" s="100"/>
      <c r="E2639" s="100"/>
      <c r="F2639" s="100"/>
      <c r="G2639" s="100"/>
      <c r="H2639" s="100"/>
      <c r="I2639" s="100"/>
      <c r="J2639" s="100"/>
      <c r="K2639" s="100"/>
      <c r="L2639" s="100"/>
      <c r="M2639" s="100"/>
      <c r="N2639" s="100"/>
      <c r="O2639" s="100"/>
      <c r="P2639" s="100"/>
      <c r="Q2639" s="100"/>
      <c r="R2639" s="100"/>
      <c r="S2639" s="100"/>
      <c r="T2639" s="100"/>
      <c r="U2639" s="100"/>
      <c r="V2639" s="100"/>
      <c r="W2639" s="100"/>
      <c r="X2639" s="100"/>
      <c r="Y2639" s="100"/>
      <c r="Z2639" s="100"/>
    </row>
    <row r="2640" spans="1:26">
      <c r="A2640" s="100"/>
      <c r="B2640" s="100"/>
      <c r="C2640" s="100"/>
      <c r="D2640" s="100"/>
      <c r="E2640" s="100"/>
      <c r="F2640" s="100"/>
      <c r="G2640" s="100"/>
      <c r="H2640" s="100"/>
      <c r="I2640" s="100"/>
      <c r="J2640" s="100"/>
      <c r="K2640" s="100"/>
      <c r="L2640" s="100"/>
      <c r="M2640" s="100"/>
      <c r="N2640" s="100"/>
      <c r="O2640" s="100"/>
      <c r="P2640" s="100"/>
      <c r="Q2640" s="100"/>
      <c r="R2640" s="100"/>
      <c r="S2640" s="100"/>
      <c r="T2640" s="100"/>
      <c r="U2640" s="100"/>
      <c r="V2640" s="100"/>
      <c r="W2640" s="100"/>
      <c r="X2640" s="100"/>
      <c r="Y2640" s="100"/>
      <c r="Z2640" s="100"/>
    </row>
    <row r="2641" spans="1:26">
      <c r="A2641" s="100"/>
      <c r="B2641" s="100"/>
      <c r="C2641" s="100"/>
      <c r="D2641" s="100"/>
      <c r="E2641" s="100"/>
      <c r="F2641" s="100"/>
      <c r="G2641" s="100"/>
      <c r="H2641" s="100"/>
      <c r="I2641" s="100"/>
      <c r="J2641" s="100"/>
      <c r="K2641" s="100"/>
      <c r="L2641" s="100"/>
      <c r="M2641" s="100"/>
      <c r="N2641" s="100"/>
      <c r="O2641" s="100"/>
      <c r="P2641" s="100"/>
      <c r="Q2641" s="100"/>
      <c r="R2641" s="100"/>
      <c r="S2641" s="100"/>
      <c r="T2641" s="100"/>
      <c r="U2641" s="100"/>
      <c r="V2641" s="100"/>
      <c r="W2641" s="100"/>
      <c r="X2641" s="100"/>
      <c r="Y2641" s="100"/>
      <c r="Z2641" s="100"/>
    </row>
    <row r="2642" spans="1:26">
      <c r="A2642" s="100"/>
      <c r="B2642" s="100"/>
      <c r="C2642" s="100"/>
      <c r="D2642" s="100"/>
      <c r="E2642" s="100"/>
      <c r="F2642" s="100"/>
      <c r="G2642" s="100"/>
      <c r="H2642" s="100"/>
      <c r="I2642" s="100"/>
      <c r="J2642" s="100"/>
      <c r="K2642" s="100"/>
      <c r="L2642" s="100"/>
      <c r="M2642" s="100"/>
      <c r="N2642" s="100"/>
      <c r="O2642" s="100"/>
      <c r="P2642" s="100"/>
      <c r="Q2642" s="100"/>
      <c r="R2642" s="100"/>
      <c r="S2642" s="100"/>
      <c r="T2642" s="100"/>
      <c r="U2642" s="100"/>
      <c r="V2642" s="100"/>
      <c r="W2642" s="100"/>
      <c r="X2642" s="100"/>
      <c r="Y2642" s="100"/>
      <c r="Z2642" s="100"/>
    </row>
    <row r="2643" spans="1:26">
      <c r="A2643" s="100"/>
      <c r="B2643" s="100"/>
      <c r="C2643" s="100"/>
      <c r="D2643" s="100"/>
      <c r="E2643" s="100"/>
      <c r="F2643" s="100"/>
      <c r="G2643" s="100"/>
      <c r="H2643" s="100"/>
      <c r="I2643" s="100"/>
      <c r="J2643" s="100"/>
      <c r="K2643" s="100"/>
      <c r="L2643" s="100"/>
      <c r="M2643" s="100"/>
      <c r="N2643" s="100"/>
      <c r="O2643" s="100"/>
      <c r="P2643" s="100"/>
      <c r="Q2643" s="100"/>
      <c r="R2643" s="100"/>
      <c r="S2643" s="100"/>
      <c r="T2643" s="100"/>
      <c r="U2643" s="100"/>
      <c r="V2643" s="100"/>
      <c r="W2643" s="100"/>
      <c r="X2643" s="100"/>
      <c r="Y2643" s="100"/>
      <c r="Z2643" s="100"/>
    </row>
    <row r="2644" spans="1:26">
      <c r="A2644" s="100"/>
      <c r="B2644" s="100"/>
      <c r="C2644" s="100"/>
      <c r="D2644" s="100"/>
      <c r="E2644" s="100"/>
      <c r="F2644" s="100"/>
      <c r="G2644" s="100"/>
      <c r="H2644" s="100"/>
      <c r="I2644" s="100"/>
      <c r="J2644" s="100"/>
      <c r="K2644" s="100"/>
      <c r="L2644" s="100"/>
      <c r="M2644" s="100"/>
      <c r="N2644" s="100"/>
      <c r="O2644" s="100"/>
      <c r="P2644" s="100"/>
      <c r="Q2644" s="100"/>
      <c r="R2644" s="100"/>
      <c r="S2644" s="100"/>
      <c r="T2644" s="100"/>
      <c r="U2644" s="100"/>
      <c r="V2644" s="100"/>
      <c r="W2644" s="100"/>
      <c r="X2644" s="100"/>
      <c r="Y2644" s="100"/>
      <c r="Z2644" s="100"/>
    </row>
    <row r="2645" spans="1:26">
      <c r="A2645" s="100"/>
      <c r="B2645" s="100"/>
      <c r="C2645" s="100"/>
      <c r="D2645" s="100"/>
      <c r="E2645" s="100"/>
      <c r="F2645" s="100"/>
      <c r="G2645" s="100"/>
      <c r="H2645" s="100"/>
      <c r="I2645" s="100"/>
      <c r="J2645" s="100"/>
      <c r="K2645" s="100"/>
      <c r="L2645" s="100"/>
      <c r="M2645" s="100"/>
      <c r="N2645" s="100"/>
      <c r="O2645" s="100"/>
      <c r="P2645" s="100"/>
      <c r="Q2645" s="100"/>
      <c r="R2645" s="100"/>
      <c r="S2645" s="100"/>
      <c r="T2645" s="100"/>
      <c r="U2645" s="100"/>
      <c r="V2645" s="100"/>
      <c r="W2645" s="100"/>
      <c r="X2645" s="100"/>
      <c r="Y2645" s="100"/>
      <c r="Z2645" s="100"/>
    </row>
    <row r="2646" spans="1:26">
      <c r="A2646" s="100"/>
      <c r="B2646" s="100"/>
      <c r="C2646" s="100"/>
      <c r="D2646" s="100"/>
      <c r="E2646" s="100"/>
      <c r="F2646" s="100"/>
      <c r="G2646" s="100"/>
      <c r="H2646" s="100"/>
      <c r="I2646" s="100"/>
      <c r="J2646" s="100"/>
      <c r="K2646" s="100"/>
      <c r="L2646" s="100"/>
      <c r="M2646" s="100"/>
      <c r="N2646" s="100"/>
      <c r="O2646" s="100"/>
      <c r="P2646" s="100"/>
      <c r="Q2646" s="100"/>
      <c r="R2646" s="100"/>
      <c r="S2646" s="100"/>
      <c r="T2646" s="100"/>
      <c r="U2646" s="100"/>
      <c r="V2646" s="100"/>
      <c r="W2646" s="100"/>
      <c r="X2646" s="100"/>
      <c r="Y2646" s="100"/>
      <c r="Z2646" s="100"/>
    </row>
    <row r="2647" spans="1:26">
      <c r="A2647" s="100"/>
      <c r="B2647" s="100"/>
      <c r="C2647" s="100"/>
      <c r="D2647" s="100"/>
      <c r="E2647" s="100"/>
      <c r="F2647" s="100"/>
      <c r="G2647" s="100"/>
      <c r="H2647" s="100"/>
      <c r="I2647" s="100"/>
      <c r="J2647" s="100"/>
      <c r="K2647" s="100"/>
      <c r="L2647" s="100"/>
      <c r="M2647" s="100"/>
      <c r="N2647" s="100"/>
      <c r="O2647" s="100"/>
      <c r="P2647" s="100"/>
      <c r="Q2647" s="100"/>
      <c r="R2647" s="100"/>
      <c r="S2647" s="100"/>
      <c r="T2647" s="100"/>
      <c r="U2647" s="100"/>
      <c r="V2647" s="100"/>
      <c r="W2647" s="100"/>
      <c r="X2647" s="100"/>
      <c r="Y2647" s="100"/>
      <c r="Z2647" s="100"/>
    </row>
    <row r="2648" spans="1:26">
      <c r="A2648" s="100"/>
      <c r="B2648" s="100"/>
      <c r="C2648" s="100"/>
      <c r="D2648" s="100"/>
      <c r="E2648" s="100"/>
      <c r="F2648" s="100"/>
      <c r="G2648" s="100"/>
      <c r="H2648" s="100"/>
      <c r="I2648" s="100"/>
      <c r="J2648" s="100"/>
      <c r="K2648" s="100"/>
      <c r="L2648" s="100"/>
      <c r="M2648" s="100"/>
      <c r="N2648" s="100"/>
      <c r="O2648" s="100"/>
      <c r="P2648" s="100"/>
      <c r="Q2648" s="100"/>
      <c r="R2648" s="100"/>
      <c r="S2648" s="100"/>
      <c r="T2648" s="100"/>
      <c r="U2648" s="100"/>
      <c r="V2648" s="100"/>
      <c r="W2648" s="100"/>
      <c r="X2648" s="100"/>
      <c r="Y2648" s="100"/>
      <c r="Z2648" s="100"/>
    </row>
    <row r="2649" spans="1:26">
      <c r="A2649" s="100"/>
      <c r="B2649" s="100"/>
      <c r="C2649" s="100"/>
      <c r="D2649" s="100"/>
      <c r="E2649" s="100"/>
      <c r="F2649" s="100"/>
      <c r="G2649" s="100"/>
      <c r="H2649" s="100"/>
      <c r="I2649" s="100"/>
      <c r="J2649" s="100"/>
      <c r="K2649" s="100"/>
      <c r="L2649" s="100"/>
      <c r="M2649" s="100"/>
      <c r="N2649" s="100"/>
      <c r="O2649" s="100"/>
      <c r="P2649" s="100"/>
      <c r="Q2649" s="100"/>
      <c r="R2649" s="100"/>
      <c r="S2649" s="100"/>
      <c r="T2649" s="100"/>
      <c r="U2649" s="100"/>
      <c r="V2649" s="100"/>
      <c r="W2649" s="100"/>
      <c r="X2649" s="100"/>
      <c r="Y2649" s="100"/>
      <c r="Z2649" s="100"/>
    </row>
    <row r="2650" spans="1:26">
      <c r="A2650" s="100"/>
      <c r="B2650" s="100"/>
      <c r="C2650" s="100"/>
      <c r="D2650" s="100"/>
      <c r="E2650" s="100"/>
      <c r="F2650" s="100"/>
      <c r="G2650" s="100"/>
      <c r="H2650" s="100"/>
      <c r="I2650" s="100"/>
      <c r="J2650" s="100"/>
      <c r="K2650" s="100"/>
      <c r="L2650" s="100"/>
      <c r="M2650" s="100"/>
      <c r="N2650" s="100"/>
      <c r="O2650" s="100"/>
      <c r="P2650" s="100"/>
      <c r="Q2650" s="100"/>
      <c r="R2650" s="100"/>
      <c r="S2650" s="100"/>
      <c r="T2650" s="100"/>
      <c r="U2650" s="100"/>
      <c r="V2650" s="100"/>
      <c r="W2650" s="100"/>
      <c r="X2650" s="100"/>
      <c r="Y2650" s="100"/>
      <c r="Z2650" s="100"/>
    </row>
    <row r="2651" spans="1:26">
      <c r="A2651" s="100"/>
      <c r="B2651" s="100"/>
      <c r="C2651" s="100"/>
      <c r="D2651" s="100"/>
      <c r="E2651" s="100"/>
      <c r="F2651" s="100"/>
      <c r="G2651" s="100"/>
      <c r="H2651" s="100"/>
      <c r="I2651" s="100"/>
      <c r="J2651" s="100"/>
      <c r="K2651" s="100"/>
      <c r="L2651" s="100"/>
      <c r="M2651" s="100"/>
      <c r="N2651" s="100"/>
      <c r="O2651" s="100"/>
      <c r="P2651" s="100"/>
      <c r="Q2651" s="100"/>
      <c r="R2651" s="100"/>
      <c r="S2651" s="100"/>
      <c r="T2651" s="100"/>
      <c r="U2651" s="100"/>
      <c r="V2651" s="100"/>
      <c r="W2651" s="100"/>
      <c r="X2651" s="100"/>
      <c r="Y2651" s="100"/>
      <c r="Z2651" s="100"/>
    </row>
    <row r="2652" spans="1:26">
      <c r="A2652" s="100"/>
      <c r="B2652" s="100"/>
      <c r="C2652" s="100"/>
      <c r="D2652" s="100"/>
      <c r="E2652" s="100"/>
      <c r="F2652" s="100"/>
      <c r="G2652" s="100"/>
      <c r="H2652" s="100"/>
      <c r="I2652" s="100"/>
      <c r="J2652" s="100"/>
      <c r="K2652" s="100"/>
      <c r="L2652" s="100"/>
      <c r="M2652" s="100"/>
      <c r="N2652" s="100"/>
      <c r="O2652" s="100"/>
      <c r="P2652" s="100"/>
      <c r="Q2652" s="100"/>
      <c r="R2652" s="100"/>
      <c r="S2652" s="100"/>
      <c r="T2652" s="100"/>
      <c r="U2652" s="100"/>
      <c r="V2652" s="100"/>
      <c r="W2652" s="100"/>
      <c r="X2652" s="100"/>
      <c r="Y2652" s="100"/>
      <c r="Z2652" s="100"/>
    </row>
    <row r="2653" spans="1:26">
      <c r="A2653" s="100"/>
      <c r="B2653" s="100"/>
      <c r="C2653" s="100"/>
      <c r="D2653" s="100"/>
      <c r="E2653" s="100"/>
      <c r="F2653" s="100"/>
      <c r="G2653" s="100"/>
      <c r="H2653" s="100"/>
      <c r="I2653" s="100"/>
      <c r="J2653" s="100"/>
      <c r="K2653" s="100"/>
      <c r="L2653" s="100"/>
      <c r="M2653" s="100"/>
      <c r="N2653" s="100"/>
      <c r="O2653" s="100"/>
      <c r="P2653" s="100"/>
      <c r="Q2653" s="100"/>
      <c r="R2653" s="100"/>
      <c r="S2653" s="100"/>
      <c r="T2653" s="100"/>
      <c r="U2653" s="100"/>
      <c r="V2653" s="100"/>
      <c r="W2653" s="100"/>
      <c r="X2653" s="100"/>
      <c r="Y2653" s="100"/>
      <c r="Z2653" s="100"/>
    </row>
    <row r="2654" spans="1:26">
      <c r="A2654" s="100"/>
      <c r="B2654" s="100"/>
      <c r="C2654" s="100"/>
      <c r="D2654" s="100"/>
      <c r="E2654" s="100"/>
      <c r="F2654" s="100"/>
      <c r="G2654" s="100"/>
      <c r="H2654" s="100"/>
      <c r="I2654" s="100"/>
      <c r="J2654" s="100"/>
      <c r="K2654" s="100"/>
      <c r="L2654" s="100"/>
      <c r="M2654" s="100"/>
      <c r="N2654" s="100"/>
      <c r="O2654" s="100"/>
      <c r="P2654" s="100"/>
      <c r="Q2654" s="100"/>
      <c r="R2654" s="100"/>
      <c r="S2654" s="100"/>
      <c r="T2654" s="100"/>
      <c r="U2654" s="100"/>
      <c r="V2654" s="100"/>
      <c r="W2654" s="100"/>
      <c r="X2654" s="100"/>
      <c r="Y2654" s="100"/>
      <c r="Z2654" s="100"/>
    </row>
    <row r="2655" spans="1:26">
      <c r="A2655" s="100"/>
      <c r="B2655" s="100"/>
      <c r="C2655" s="100"/>
      <c r="D2655" s="100"/>
      <c r="E2655" s="100"/>
      <c r="F2655" s="100"/>
      <c r="G2655" s="100"/>
      <c r="H2655" s="100"/>
      <c r="I2655" s="100"/>
      <c r="J2655" s="100"/>
      <c r="K2655" s="100"/>
      <c r="L2655" s="100"/>
      <c r="M2655" s="100"/>
      <c r="N2655" s="100"/>
      <c r="O2655" s="100"/>
      <c r="P2655" s="100"/>
      <c r="Q2655" s="100"/>
      <c r="R2655" s="100"/>
      <c r="S2655" s="100"/>
      <c r="T2655" s="100"/>
      <c r="U2655" s="100"/>
      <c r="V2655" s="100"/>
      <c r="W2655" s="100"/>
      <c r="X2655" s="100"/>
      <c r="Y2655" s="100"/>
      <c r="Z2655" s="100"/>
    </row>
    <row r="2656" spans="1:26">
      <c r="A2656" s="100"/>
      <c r="B2656" s="100"/>
      <c r="C2656" s="100"/>
      <c r="D2656" s="100"/>
      <c r="E2656" s="100"/>
      <c r="F2656" s="100"/>
      <c r="G2656" s="100"/>
      <c r="H2656" s="100"/>
      <c r="I2656" s="100"/>
      <c r="J2656" s="100"/>
      <c r="K2656" s="100"/>
      <c r="L2656" s="100"/>
      <c r="M2656" s="100"/>
      <c r="N2656" s="100"/>
      <c r="O2656" s="100"/>
      <c r="P2656" s="100"/>
      <c r="Q2656" s="100"/>
      <c r="R2656" s="100"/>
      <c r="S2656" s="100"/>
      <c r="T2656" s="100"/>
      <c r="U2656" s="100"/>
      <c r="V2656" s="100"/>
      <c r="W2656" s="100"/>
      <c r="X2656" s="100"/>
      <c r="Y2656" s="100"/>
      <c r="Z2656" s="100"/>
    </row>
    <row r="2657" spans="1:26">
      <c r="A2657" s="100"/>
      <c r="B2657" s="100"/>
      <c r="C2657" s="100"/>
      <c r="D2657" s="100"/>
      <c r="E2657" s="100"/>
      <c r="F2657" s="100"/>
      <c r="G2657" s="100"/>
      <c r="H2657" s="100"/>
      <c r="I2657" s="100"/>
      <c r="J2657" s="100"/>
      <c r="K2657" s="100"/>
      <c r="L2657" s="100"/>
      <c r="M2657" s="100"/>
      <c r="N2657" s="100"/>
      <c r="O2657" s="100"/>
      <c r="P2657" s="100"/>
      <c r="Q2657" s="100"/>
      <c r="R2657" s="100"/>
      <c r="S2657" s="100"/>
      <c r="T2657" s="100"/>
      <c r="U2657" s="100"/>
      <c r="V2657" s="100"/>
      <c r="W2657" s="100"/>
      <c r="X2657" s="100"/>
      <c r="Y2657" s="100"/>
      <c r="Z2657" s="100"/>
    </row>
    <row r="2658" spans="1:26">
      <c r="A2658" s="100"/>
      <c r="B2658" s="100"/>
      <c r="C2658" s="100"/>
      <c r="D2658" s="100"/>
      <c r="E2658" s="100"/>
      <c r="F2658" s="100"/>
      <c r="G2658" s="100"/>
      <c r="H2658" s="100"/>
      <c r="I2658" s="100"/>
      <c r="J2658" s="100"/>
      <c r="K2658" s="100"/>
      <c r="L2658" s="100"/>
      <c r="M2658" s="100"/>
      <c r="N2658" s="100"/>
      <c r="O2658" s="100"/>
      <c r="P2658" s="100"/>
      <c r="Q2658" s="100"/>
      <c r="R2658" s="100"/>
      <c r="S2658" s="100"/>
      <c r="T2658" s="100"/>
      <c r="U2658" s="100"/>
      <c r="V2658" s="100"/>
      <c r="W2658" s="100"/>
      <c r="X2658" s="100"/>
      <c r="Y2658" s="100"/>
      <c r="Z2658" s="100"/>
    </row>
    <row r="2659" spans="1:26">
      <c r="A2659" s="100"/>
      <c r="B2659" s="100"/>
      <c r="C2659" s="100"/>
      <c r="D2659" s="100"/>
      <c r="E2659" s="100"/>
      <c r="F2659" s="100"/>
      <c r="G2659" s="100"/>
      <c r="H2659" s="100"/>
      <c r="I2659" s="100"/>
      <c r="J2659" s="100"/>
      <c r="K2659" s="100"/>
      <c r="L2659" s="100"/>
      <c r="M2659" s="100"/>
      <c r="N2659" s="100"/>
      <c r="O2659" s="100"/>
      <c r="P2659" s="100"/>
      <c r="Q2659" s="100"/>
      <c r="R2659" s="100"/>
      <c r="S2659" s="100"/>
      <c r="T2659" s="100"/>
      <c r="U2659" s="100"/>
      <c r="V2659" s="100"/>
      <c r="W2659" s="100"/>
      <c r="X2659" s="100"/>
      <c r="Y2659" s="100"/>
      <c r="Z2659" s="100"/>
    </row>
    <row r="2660" spans="1:26">
      <c r="A2660" s="100"/>
      <c r="B2660" s="100"/>
      <c r="C2660" s="100"/>
      <c r="D2660" s="100"/>
      <c r="E2660" s="100"/>
      <c r="F2660" s="100"/>
      <c r="G2660" s="100"/>
      <c r="H2660" s="100"/>
      <c r="I2660" s="100"/>
      <c r="J2660" s="100"/>
      <c r="K2660" s="100"/>
      <c r="L2660" s="100"/>
      <c r="M2660" s="100"/>
      <c r="N2660" s="100"/>
      <c r="O2660" s="100"/>
      <c r="P2660" s="100"/>
      <c r="Q2660" s="100"/>
      <c r="R2660" s="100"/>
      <c r="S2660" s="100"/>
      <c r="T2660" s="100"/>
      <c r="U2660" s="100"/>
      <c r="V2660" s="100"/>
      <c r="W2660" s="100"/>
      <c r="X2660" s="100"/>
      <c r="Y2660" s="100"/>
      <c r="Z2660" s="100"/>
    </row>
    <row r="2661" spans="1:26">
      <c r="A2661" s="100"/>
      <c r="B2661" s="100"/>
      <c r="C2661" s="100"/>
      <c r="D2661" s="100"/>
      <c r="E2661" s="100"/>
      <c r="F2661" s="100"/>
      <c r="G2661" s="100"/>
      <c r="H2661" s="100"/>
      <c r="I2661" s="100"/>
      <c r="J2661" s="100"/>
      <c r="K2661" s="100"/>
      <c r="L2661" s="100"/>
      <c r="M2661" s="100"/>
      <c r="N2661" s="100"/>
      <c r="O2661" s="100"/>
      <c r="P2661" s="100"/>
      <c r="Q2661" s="100"/>
      <c r="R2661" s="100"/>
      <c r="S2661" s="100"/>
      <c r="T2661" s="100"/>
      <c r="U2661" s="100"/>
      <c r="V2661" s="100"/>
      <c r="W2661" s="100"/>
      <c r="X2661" s="100"/>
      <c r="Y2661" s="100"/>
      <c r="Z2661" s="100"/>
    </row>
    <row r="2662" spans="1:26">
      <c r="A2662" s="100"/>
      <c r="B2662" s="100"/>
      <c r="C2662" s="100"/>
      <c r="D2662" s="100"/>
      <c r="E2662" s="100"/>
      <c r="F2662" s="100"/>
      <c r="G2662" s="100"/>
      <c r="H2662" s="100"/>
      <c r="I2662" s="100"/>
      <c r="J2662" s="100"/>
      <c r="K2662" s="100"/>
      <c r="L2662" s="100"/>
      <c r="M2662" s="100"/>
      <c r="N2662" s="100"/>
      <c r="O2662" s="100"/>
      <c r="P2662" s="100"/>
      <c r="Q2662" s="100"/>
      <c r="R2662" s="100"/>
      <c r="S2662" s="100"/>
      <c r="T2662" s="100"/>
      <c r="U2662" s="100"/>
      <c r="V2662" s="100"/>
      <c r="W2662" s="100"/>
      <c r="X2662" s="100"/>
      <c r="Y2662" s="100"/>
      <c r="Z2662" s="100"/>
    </row>
    <row r="2663" spans="1:26">
      <c r="A2663" s="100"/>
      <c r="B2663" s="100"/>
      <c r="C2663" s="100"/>
      <c r="D2663" s="100"/>
      <c r="E2663" s="100"/>
      <c r="F2663" s="100"/>
      <c r="G2663" s="100"/>
      <c r="H2663" s="100"/>
      <c r="I2663" s="100"/>
      <c r="J2663" s="100"/>
      <c r="K2663" s="100"/>
      <c r="L2663" s="100"/>
      <c r="M2663" s="100"/>
      <c r="N2663" s="100"/>
      <c r="O2663" s="100"/>
      <c r="P2663" s="100"/>
      <c r="Q2663" s="100"/>
      <c r="R2663" s="100"/>
      <c r="S2663" s="100"/>
      <c r="T2663" s="100"/>
      <c r="U2663" s="100"/>
      <c r="V2663" s="100"/>
      <c r="W2663" s="100"/>
      <c r="X2663" s="100"/>
      <c r="Y2663" s="100"/>
      <c r="Z2663" s="100"/>
    </row>
    <row r="2664" spans="1:26">
      <c r="A2664" s="100"/>
      <c r="B2664" s="100"/>
      <c r="C2664" s="100"/>
      <c r="D2664" s="100"/>
      <c r="E2664" s="100"/>
      <c r="F2664" s="100"/>
      <c r="G2664" s="100"/>
      <c r="H2664" s="100"/>
      <c r="I2664" s="100"/>
      <c r="J2664" s="100"/>
      <c r="K2664" s="100"/>
      <c r="L2664" s="100"/>
      <c r="M2664" s="100"/>
      <c r="N2664" s="100"/>
      <c r="O2664" s="100"/>
      <c r="P2664" s="100"/>
      <c r="Q2664" s="100"/>
      <c r="R2664" s="100"/>
      <c r="S2664" s="100"/>
      <c r="T2664" s="100"/>
      <c r="U2664" s="100"/>
      <c r="V2664" s="100"/>
      <c r="W2664" s="100"/>
      <c r="X2664" s="100"/>
      <c r="Y2664" s="100"/>
      <c r="Z2664" s="100"/>
    </row>
    <row r="2665" spans="1:26">
      <c r="A2665" s="100"/>
      <c r="B2665" s="100"/>
      <c r="C2665" s="100"/>
      <c r="D2665" s="100"/>
      <c r="E2665" s="100"/>
      <c r="F2665" s="100"/>
      <c r="G2665" s="100"/>
      <c r="H2665" s="100"/>
      <c r="I2665" s="100"/>
      <c r="J2665" s="100"/>
      <c r="K2665" s="100"/>
      <c r="L2665" s="100"/>
      <c r="M2665" s="100"/>
      <c r="N2665" s="100"/>
      <c r="O2665" s="100"/>
      <c r="P2665" s="100"/>
      <c r="Q2665" s="100"/>
      <c r="R2665" s="100"/>
      <c r="S2665" s="100"/>
      <c r="T2665" s="100"/>
      <c r="U2665" s="100"/>
      <c r="V2665" s="100"/>
      <c r="W2665" s="100"/>
      <c r="X2665" s="100"/>
      <c r="Y2665" s="100"/>
      <c r="Z2665" s="100"/>
    </row>
    <row r="2666" spans="1:26">
      <c r="A2666" s="100"/>
      <c r="B2666" s="100"/>
      <c r="C2666" s="100"/>
      <c r="D2666" s="100"/>
      <c r="E2666" s="100"/>
      <c r="F2666" s="100"/>
      <c r="G2666" s="100"/>
      <c r="H2666" s="100"/>
      <c r="I2666" s="100"/>
      <c r="J2666" s="100"/>
      <c r="K2666" s="100"/>
      <c r="L2666" s="100"/>
      <c r="M2666" s="100"/>
      <c r="N2666" s="100"/>
      <c r="O2666" s="100"/>
      <c r="P2666" s="100"/>
      <c r="Q2666" s="100"/>
      <c r="R2666" s="100"/>
      <c r="S2666" s="100"/>
      <c r="T2666" s="100"/>
      <c r="U2666" s="100"/>
      <c r="V2666" s="100"/>
      <c r="W2666" s="100"/>
      <c r="X2666" s="100"/>
      <c r="Y2666" s="100"/>
      <c r="Z2666" s="100"/>
    </row>
    <row r="2667" spans="1:26">
      <c r="A2667" s="100"/>
      <c r="B2667" s="100"/>
      <c r="C2667" s="100"/>
      <c r="D2667" s="100"/>
      <c r="E2667" s="100"/>
      <c r="F2667" s="100"/>
      <c r="G2667" s="100"/>
      <c r="H2667" s="100"/>
      <c r="I2667" s="100"/>
      <c r="J2667" s="100"/>
      <c r="K2667" s="100"/>
      <c r="L2667" s="100"/>
      <c r="M2667" s="100"/>
      <c r="N2667" s="100"/>
      <c r="O2667" s="100"/>
      <c r="P2667" s="100"/>
      <c r="Q2667" s="100"/>
      <c r="R2667" s="100"/>
      <c r="S2667" s="100"/>
      <c r="T2667" s="100"/>
      <c r="U2667" s="100"/>
      <c r="V2667" s="100"/>
      <c r="W2667" s="100"/>
      <c r="X2667" s="100"/>
      <c r="Y2667" s="100"/>
      <c r="Z2667" s="100"/>
    </row>
    <row r="2668" spans="1:26">
      <c r="A2668" s="100"/>
      <c r="B2668" s="100"/>
      <c r="C2668" s="100"/>
      <c r="D2668" s="100"/>
      <c r="E2668" s="100"/>
      <c r="F2668" s="100"/>
      <c r="G2668" s="100"/>
      <c r="H2668" s="100"/>
      <c r="I2668" s="100"/>
      <c r="J2668" s="100"/>
      <c r="K2668" s="100"/>
      <c r="L2668" s="100"/>
      <c r="M2668" s="100"/>
      <c r="N2668" s="100"/>
      <c r="O2668" s="100"/>
      <c r="P2668" s="100"/>
      <c r="Q2668" s="100"/>
      <c r="R2668" s="100"/>
      <c r="S2668" s="100"/>
      <c r="T2668" s="100"/>
      <c r="U2668" s="100"/>
      <c r="V2668" s="100"/>
      <c r="W2668" s="100"/>
      <c r="X2668" s="100"/>
      <c r="Y2668" s="100"/>
      <c r="Z2668" s="100"/>
    </row>
    <row r="2669" spans="1:26">
      <c r="A2669" s="100"/>
      <c r="B2669" s="100"/>
      <c r="C2669" s="100"/>
      <c r="D2669" s="100"/>
      <c r="E2669" s="100"/>
      <c r="F2669" s="100"/>
      <c r="G2669" s="100"/>
      <c r="H2669" s="100"/>
      <c r="I2669" s="100"/>
      <c r="J2669" s="100"/>
      <c r="K2669" s="100"/>
      <c r="L2669" s="100"/>
      <c r="M2669" s="100"/>
      <c r="N2669" s="100"/>
      <c r="O2669" s="100"/>
      <c r="P2669" s="100"/>
      <c r="Q2669" s="100"/>
      <c r="R2669" s="100"/>
      <c r="S2669" s="100"/>
      <c r="T2669" s="100"/>
      <c r="U2669" s="100"/>
      <c r="V2669" s="100"/>
      <c r="W2669" s="100"/>
      <c r="X2669" s="100"/>
      <c r="Y2669" s="100"/>
      <c r="Z2669" s="100"/>
    </row>
    <row r="2670" spans="1:26">
      <c r="A2670" s="100"/>
      <c r="B2670" s="100"/>
      <c r="C2670" s="100"/>
      <c r="D2670" s="100"/>
      <c r="E2670" s="100"/>
      <c r="F2670" s="100"/>
      <c r="G2670" s="100"/>
      <c r="H2670" s="100"/>
      <c r="I2670" s="100"/>
      <c r="J2670" s="100"/>
      <c r="K2670" s="100"/>
      <c r="L2670" s="100"/>
      <c r="M2670" s="100"/>
      <c r="N2670" s="100"/>
      <c r="O2670" s="100"/>
      <c r="P2670" s="100"/>
      <c r="Q2670" s="100"/>
      <c r="R2670" s="100"/>
      <c r="S2670" s="100"/>
      <c r="T2670" s="100"/>
      <c r="U2670" s="100"/>
      <c r="V2670" s="100"/>
      <c r="W2670" s="100"/>
      <c r="X2670" s="100"/>
      <c r="Y2670" s="100"/>
      <c r="Z2670" s="100"/>
    </row>
    <row r="2671" spans="1:26">
      <c r="A2671" s="100"/>
      <c r="B2671" s="100"/>
      <c r="C2671" s="100"/>
      <c r="D2671" s="100"/>
      <c r="E2671" s="100"/>
      <c r="F2671" s="100"/>
      <c r="G2671" s="100"/>
      <c r="H2671" s="100"/>
      <c r="I2671" s="100"/>
      <c r="J2671" s="100"/>
      <c r="K2671" s="100"/>
      <c r="L2671" s="100"/>
      <c r="M2671" s="100"/>
      <c r="N2671" s="100"/>
      <c r="O2671" s="100"/>
      <c r="P2671" s="100"/>
      <c r="Q2671" s="100"/>
      <c r="R2671" s="100"/>
      <c r="S2671" s="100"/>
      <c r="T2671" s="100"/>
      <c r="U2671" s="100"/>
      <c r="V2671" s="100"/>
      <c r="W2671" s="100"/>
      <c r="X2671" s="100"/>
      <c r="Y2671" s="100"/>
      <c r="Z2671" s="100"/>
    </row>
    <row r="2672" spans="1:26">
      <c r="A2672" s="100"/>
      <c r="B2672" s="100"/>
      <c r="C2672" s="100"/>
      <c r="D2672" s="100"/>
      <c r="E2672" s="100"/>
      <c r="F2672" s="100"/>
      <c r="G2672" s="100"/>
      <c r="H2672" s="100"/>
      <c r="I2672" s="100"/>
      <c r="J2672" s="100"/>
      <c r="K2672" s="100"/>
      <c r="L2672" s="100"/>
      <c r="M2672" s="100"/>
      <c r="N2672" s="100"/>
      <c r="O2672" s="100"/>
      <c r="P2672" s="100"/>
      <c r="Q2672" s="100"/>
      <c r="R2672" s="100"/>
      <c r="S2672" s="100"/>
      <c r="T2672" s="100"/>
      <c r="U2672" s="100"/>
      <c r="V2672" s="100"/>
      <c r="W2672" s="100"/>
      <c r="X2672" s="100"/>
      <c r="Y2672" s="100"/>
      <c r="Z2672" s="100"/>
    </row>
    <row r="2673" spans="1:26">
      <c r="A2673" s="100"/>
      <c r="B2673" s="100"/>
      <c r="C2673" s="100"/>
      <c r="D2673" s="100"/>
      <c r="E2673" s="100"/>
      <c r="F2673" s="100"/>
      <c r="G2673" s="100"/>
      <c r="H2673" s="100"/>
      <c r="I2673" s="100"/>
      <c r="J2673" s="100"/>
      <c r="K2673" s="100"/>
      <c r="L2673" s="100"/>
      <c r="M2673" s="100"/>
      <c r="N2673" s="100"/>
      <c r="O2673" s="100"/>
      <c r="P2673" s="100"/>
      <c r="Q2673" s="100"/>
      <c r="R2673" s="100"/>
      <c r="S2673" s="100"/>
      <c r="T2673" s="100"/>
      <c r="U2673" s="100"/>
      <c r="V2673" s="100"/>
      <c r="W2673" s="100"/>
      <c r="X2673" s="100"/>
      <c r="Y2673" s="100"/>
      <c r="Z2673" s="100"/>
    </row>
    <row r="2674" spans="1:26">
      <c r="A2674" s="100"/>
      <c r="B2674" s="100"/>
      <c r="C2674" s="100"/>
      <c r="D2674" s="100"/>
      <c r="E2674" s="100"/>
      <c r="F2674" s="100"/>
      <c r="G2674" s="100"/>
      <c r="H2674" s="100"/>
      <c r="I2674" s="100"/>
      <c r="J2674" s="100"/>
      <c r="K2674" s="100"/>
      <c r="L2674" s="100"/>
      <c r="M2674" s="100"/>
      <c r="N2674" s="100"/>
      <c r="O2674" s="100"/>
      <c r="P2674" s="100"/>
      <c r="Q2674" s="100"/>
      <c r="R2674" s="100"/>
      <c r="S2674" s="100"/>
      <c r="T2674" s="100"/>
      <c r="U2674" s="100"/>
      <c r="V2674" s="100"/>
      <c r="W2674" s="100"/>
      <c r="X2674" s="100"/>
      <c r="Y2674" s="100"/>
      <c r="Z2674" s="100"/>
    </row>
    <row r="2675" spans="1:26">
      <c r="A2675" s="100"/>
      <c r="B2675" s="100"/>
      <c r="C2675" s="100"/>
      <c r="D2675" s="100"/>
      <c r="E2675" s="100"/>
      <c r="F2675" s="100"/>
      <c r="G2675" s="100"/>
      <c r="H2675" s="100"/>
      <c r="I2675" s="100"/>
      <c r="J2675" s="100"/>
      <c r="K2675" s="100"/>
      <c r="L2675" s="100"/>
      <c r="M2675" s="100"/>
      <c r="N2675" s="100"/>
      <c r="O2675" s="100"/>
      <c r="P2675" s="100"/>
      <c r="Q2675" s="100"/>
      <c r="R2675" s="100"/>
      <c r="S2675" s="100"/>
      <c r="T2675" s="100"/>
      <c r="U2675" s="100"/>
      <c r="V2675" s="100"/>
      <c r="W2675" s="100"/>
      <c r="X2675" s="100"/>
      <c r="Y2675" s="100"/>
      <c r="Z2675" s="100"/>
    </row>
    <row r="2676" spans="1:26">
      <c r="A2676" s="100"/>
      <c r="B2676" s="100"/>
      <c r="C2676" s="100"/>
      <c r="D2676" s="100"/>
      <c r="E2676" s="100"/>
      <c r="F2676" s="100"/>
      <c r="G2676" s="100"/>
      <c r="H2676" s="100"/>
      <c r="I2676" s="100"/>
      <c r="J2676" s="100"/>
      <c r="K2676" s="100"/>
      <c r="L2676" s="100"/>
      <c r="M2676" s="100"/>
      <c r="N2676" s="100"/>
      <c r="O2676" s="100"/>
      <c r="P2676" s="100"/>
      <c r="Q2676" s="100"/>
      <c r="R2676" s="100"/>
      <c r="S2676" s="100"/>
      <c r="T2676" s="100"/>
      <c r="U2676" s="100"/>
      <c r="V2676" s="100"/>
      <c r="W2676" s="100"/>
      <c r="X2676" s="100"/>
      <c r="Y2676" s="100"/>
      <c r="Z2676" s="100"/>
    </row>
    <row r="2677" spans="1:26">
      <c r="A2677" s="100"/>
      <c r="B2677" s="100"/>
      <c r="C2677" s="100"/>
      <c r="D2677" s="100"/>
      <c r="E2677" s="100"/>
      <c r="F2677" s="100"/>
      <c r="G2677" s="100"/>
      <c r="H2677" s="100"/>
      <c r="I2677" s="100"/>
      <c r="J2677" s="100"/>
      <c r="K2677" s="100"/>
      <c r="L2677" s="100"/>
      <c r="M2677" s="100"/>
      <c r="N2677" s="100"/>
      <c r="O2677" s="100"/>
      <c r="P2677" s="100"/>
      <c r="Q2677" s="100"/>
      <c r="R2677" s="100"/>
      <c r="S2677" s="100"/>
      <c r="T2677" s="100"/>
      <c r="U2677" s="100"/>
      <c r="V2677" s="100"/>
      <c r="W2677" s="100"/>
      <c r="X2677" s="100"/>
      <c r="Y2677" s="100"/>
      <c r="Z2677" s="100"/>
    </row>
    <row r="2678" spans="1:26">
      <c r="A2678" s="100"/>
      <c r="B2678" s="100"/>
      <c r="C2678" s="100"/>
      <c r="D2678" s="100"/>
      <c r="E2678" s="100"/>
      <c r="F2678" s="100"/>
      <c r="G2678" s="100"/>
      <c r="H2678" s="100"/>
      <c r="I2678" s="100"/>
      <c r="J2678" s="100"/>
      <c r="K2678" s="100"/>
      <c r="L2678" s="100"/>
      <c r="M2678" s="100"/>
      <c r="N2678" s="100"/>
      <c r="O2678" s="100"/>
      <c r="P2678" s="100"/>
      <c r="Q2678" s="100"/>
      <c r="R2678" s="100"/>
      <c r="S2678" s="100"/>
      <c r="T2678" s="100"/>
      <c r="U2678" s="100"/>
      <c r="V2678" s="100"/>
      <c r="W2678" s="100"/>
      <c r="X2678" s="100"/>
      <c r="Y2678" s="100"/>
      <c r="Z2678" s="100"/>
    </row>
    <row r="2679" spans="1:26">
      <c r="A2679" s="100"/>
      <c r="B2679" s="100"/>
      <c r="C2679" s="100"/>
      <c r="D2679" s="100"/>
      <c r="E2679" s="100"/>
      <c r="F2679" s="100"/>
      <c r="G2679" s="100"/>
      <c r="H2679" s="100"/>
      <c r="I2679" s="100"/>
      <c r="J2679" s="100"/>
      <c r="K2679" s="100"/>
      <c r="L2679" s="100"/>
      <c r="M2679" s="100"/>
      <c r="N2679" s="100"/>
      <c r="O2679" s="100"/>
      <c r="P2679" s="100"/>
      <c r="Q2679" s="100"/>
      <c r="R2679" s="100"/>
      <c r="S2679" s="100"/>
      <c r="T2679" s="100"/>
      <c r="U2679" s="100"/>
      <c r="V2679" s="100"/>
      <c r="W2679" s="100"/>
      <c r="X2679" s="100"/>
      <c r="Y2679" s="100"/>
      <c r="Z2679" s="100"/>
    </row>
    <row r="2680" spans="1:26">
      <c r="A2680" s="100"/>
      <c r="B2680" s="100"/>
      <c r="C2680" s="100"/>
      <c r="D2680" s="100"/>
      <c r="E2680" s="100"/>
      <c r="F2680" s="100"/>
      <c r="G2680" s="100"/>
      <c r="H2680" s="100"/>
      <c r="I2680" s="100"/>
      <c r="J2680" s="100"/>
      <c r="K2680" s="100"/>
      <c r="L2680" s="100"/>
      <c r="M2680" s="100"/>
      <c r="N2680" s="100"/>
      <c r="O2680" s="100"/>
      <c r="P2680" s="100"/>
      <c r="Q2680" s="100"/>
      <c r="R2680" s="100"/>
      <c r="S2680" s="100"/>
      <c r="T2680" s="100"/>
      <c r="U2680" s="100"/>
      <c r="V2680" s="100"/>
      <c r="W2680" s="100"/>
      <c r="X2680" s="100"/>
      <c r="Y2680" s="100"/>
      <c r="Z2680" s="100"/>
    </row>
    <row r="2681" spans="1:26">
      <c r="A2681" s="100"/>
      <c r="B2681" s="100"/>
      <c r="C2681" s="100"/>
      <c r="D2681" s="100"/>
      <c r="E2681" s="100"/>
      <c r="F2681" s="100"/>
      <c r="G2681" s="100"/>
      <c r="H2681" s="100"/>
      <c r="I2681" s="100"/>
      <c r="J2681" s="100"/>
      <c r="K2681" s="100"/>
      <c r="L2681" s="100"/>
      <c r="M2681" s="100"/>
      <c r="N2681" s="100"/>
      <c r="O2681" s="100"/>
      <c r="P2681" s="100"/>
      <c r="Q2681" s="100"/>
      <c r="R2681" s="100"/>
      <c r="S2681" s="100"/>
      <c r="T2681" s="100"/>
      <c r="U2681" s="100"/>
      <c r="V2681" s="100"/>
      <c r="W2681" s="100"/>
      <c r="X2681" s="100"/>
      <c r="Y2681" s="100"/>
      <c r="Z2681" s="100"/>
    </row>
    <row r="2682" spans="1:26">
      <c r="A2682" s="100"/>
      <c r="B2682" s="100"/>
      <c r="C2682" s="100"/>
      <c r="D2682" s="100"/>
      <c r="E2682" s="100"/>
      <c r="F2682" s="100"/>
      <c r="G2682" s="100"/>
      <c r="H2682" s="100"/>
      <c r="I2682" s="100"/>
      <c r="J2682" s="100"/>
      <c r="K2682" s="100"/>
      <c r="L2682" s="100"/>
      <c r="M2682" s="100"/>
      <c r="N2682" s="100"/>
      <c r="O2682" s="100"/>
      <c r="P2682" s="100"/>
      <c r="Q2682" s="100"/>
      <c r="R2682" s="100"/>
      <c r="S2682" s="100"/>
      <c r="T2682" s="100"/>
      <c r="U2682" s="100"/>
      <c r="V2682" s="100"/>
      <c r="W2682" s="100"/>
      <c r="X2682" s="100"/>
      <c r="Y2682" s="100"/>
      <c r="Z2682" s="100"/>
    </row>
    <row r="2683" spans="1:26">
      <c r="A2683" s="100"/>
      <c r="B2683" s="100"/>
      <c r="C2683" s="100"/>
      <c r="D2683" s="100"/>
      <c r="E2683" s="100"/>
      <c r="F2683" s="100"/>
      <c r="G2683" s="100"/>
      <c r="H2683" s="100"/>
      <c r="I2683" s="100"/>
      <c r="J2683" s="100"/>
      <c r="K2683" s="100"/>
      <c r="L2683" s="100"/>
      <c r="M2683" s="100"/>
      <c r="N2683" s="100"/>
      <c r="O2683" s="100"/>
      <c r="P2683" s="100"/>
      <c r="Q2683" s="100"/>
      <c r="R2683" s="100"/>
      <c r="S2683" s="100"/>
      <c r="T2683" s="100"/>
      <c r="U2683" s="100"/>
      <c r="V2683" s="100"/>
      <c r="W2683" s="100"/>
      <c r="X2683" s="100"/>
      <c r="Y2683" s="100"/>
      <c r="Z2683" s="100"/>
    </row>
    <row r="2684" spans="1:26">
      <c r="A2684" s="100"/>
      <c r="B2684" s="100"/>
      <c r="C2684" s="100"/>
      <c r="D2684" s="100"/>
      <c r="E2684" s="100"/>
      <c r="F2684" s="100"/>
      <c r="G2684" s="100"/>
      <c r="H2684" s="100"/>
      <c r="I2684" s="100"/>
      <c r="J2684" s="100"/>
      <c r="K2684" s="100"/>
      <c r="L2684" s="100"/>
      <c r="M2684" s="100"/>
      <c r="N2684" s="100"/>
      <c r="O2684" s="100"/>
      <c r="P2684" s="100"/>
      <c r="Q2684" s="100"/>
      <c r="R2684" s="100"/>
      <c r="S2684" s="100"/>
      <c r="T2684" s="100"/>
      <c r="U2684" s="100"/>
      <c r="V2684" s="100"/>
      <c r="W2684" s="100"/>
      <c r="X2684" s="100"/>
      <c r="Y2684" s="100"/>
      <c r="Z2684" s="100"/>
    </row>
    <row r="2685" spans="1:26">
      <c r="A2685" s="100"/>
      <c r="B2685" s="100"/>
      <c r="C2685" s="100"/>
      <c r="D2685" s="100"/>
      <c r="E2685" s="100"/>
      <c r="F2685" s="100"/>
      <c r="G2685" s="100"/>
      <c r="H2685" s="100"/>
      <c r="I2685" s="100"/>
      <c r="J2685" s="100"/>
      <c r="K2685" s="100"/>
      <c r="L2685" s="100"/>
      <c r="M2685" s="100"/>
      <c r="N2685" s="100"/>
      <c r="O2685" s="100"/>
      <c r="P2685" s="100"/>
      <c r="Q2685" s="100"/>
      <c r="R2685" s="100"/>
      <c r="S2685" s="100"/>
      <c r="T2685" s="100"/>
      <c r="U2685" s="100"/>
      <c r="V2685" s="100"/>
      <c r="W2685" s="100"/>
      <c r="X2685" s="100"/>
      <c r="Y2685" s="100"/>
      <c r="Z2685" s="100"/>
    </row>
    <row r="2686" spans="1:26">
      <c r="A2686" s="100"/>
      <c r="B2686" s="100"/>
      <c r="C2686" s="100"/>
      <c r="D2686" s="100"/>
      <c r="E2686" s="100"/>
      <c r="F2686" s="100"/>
      <c r="G2686" s="100"/>
      <c r="H2686" s="100"/>
      <c r="I2686" s="100"/>
      <c r="J2686" s="100"/>
      <c r="K2686" s="100"/>
      <c r="L2686" s="100"/>
      <c r="M2686" s="100"/>
      <c r="N2686" s="100"/>
      <c r="O2686" s="100"/>
      <c r="P2686" s="100"/>
      <c r="Q2686" s="100"/>
      <c r="R2686" s="100"/>
      <c r="S2686" s="100"/>
      <c r="T2686" s="100"/>
      <c r="U2686" s="100"/>
      <c r="V2686" s="100"/>
      <c r="W2686" s="100"/>
      <c r="X2686" s="100"/>
      <c r="Y2686" s="100"/>
      <c r="Z2686" s="100"/>
    </row>
    <row r="2687" spans="1:26">
      <c r="A2687" s="100"/>
      <c r="B2687" s="100"/>
      <c r="C2687" s="100"/>
      <c r="D2687" s="100"/>
      <c r="E2687" s="100"/>
      <c r="F2687" s="100"/>
      <c r="G2687" s="100"/>
      <c r="H2687" s="100"/>
      <c r="I2687" s="100"/>
      <c r="J2687" s="100"/>
      <c r="K2687" s="100"/>
      <c r="L2687" s="100"/>
      <c r="M2687" s="100"/>
      <c r="N2687" s="100"/>
      <c r="O2687" s="100"/>
      <c r="P2687" s="100"/>
      <c r="Q2687" s="100"/>
      <c r="R2687" s="100"/>
      <c r="S2687" s="100"/>
      <c r="T2687" s="100"/>
      <c r="U2687" s="100"/>
      <c r="V2687" s="100"/>
      <c r="W2687" s="100"/>
      <c r="X2687" s="100"/>
      <c r="Y2687" s="100"/>
      <c r="Z2687" s="100"/>
    </row>
    <row r="2688" spans="1:26">
      <c r="A2688" s="100"/>
      <c r="B2688" s="100"/>
      <c r="C2688" s="100"/>
      <c r="D2688" s="100"/>
      <c r="E2688" s="100"/>
      <c r="F2688" s="100"/>
      <c r="G2688" s="100"/>
      <c r="H2688" s="100"/>
      <c r="I2688" s="100"/>
      <c r="J2688" s="100"/>
      <c r="K2688" s="100"/>
      <c r="L2688" s="100"/>
      <c r="M2688" s="100"/>
      <c r="N2688" s="100"/>
      <c r="O2688" s="100"/>
      <c r="P2688" s="100"/>
      <c r="Q2688" s="100"/>
      <c r="R2688" s="100"/>
      <c r="S2688" s="100"/>
      <c r="T2688" s="100"/>
      <c r="U2688" s="100"/>
      <c r="V2688" s="100"/>
      <c r="W2688" s="100"/>
      <c r="X2688" s="100"/>
      <c r="Y2688" s="100"/>
      <c r="Z2688" s="100"/>
    </row>
    <row r="2689" spans="1:26">
      <c r="A2689" s="100"/>
      <c r="B2689" s="100"/>
      <c r="C2689" s="100"/>
      <c r="D2689" s="100"/>
      <c r="E2689" s="100"/>
      <c r="F2689" s="100"/>
      <c r="G2689" s="100"/>
      <c r="H2689" s="100"/>
      <c r="I2689" s="100"/>
      <c r="J2689" s="100"/>
      <c r="K2689" s="100"/>
      <c r="L2689" s="100"/>
      <c r="M2689" s="100"/>
      <c r="N2689" s="100"/>
      <c r="O2689" s="100"/>
      <c r="P2689" s="100"/>
      <c r="Q2689" s="100"/>
      <c r="R2689" s="100"/>
      <c r="S2689" s="100"/>
      <c r="T2689" s="100"/>
      <c r="U2689" s="100"/>
      <c r="V2689" s="100"/>
      <c r="W2689" s="100"/>
      <c r="X2689" s="100"/>
      <c r="Y2689" s="100"/>
      <c r="Z2689" s="100"/>
    </row>
    <row r="2690" spans="1:26">
      <c r="A2690" s="100"/>
      <c r="B2690" s="100"/>
      <c r="C2690" s="100"/>
      <c r="D2690" s="100"/>
      <c r="E2690" s="100"/>
      <c r="F2690" s="100"/>
      <c r="G2690" s="100"/>
      <c r="H2690" s="100"/>
      <c r="I2690" s="100"/>
      <c r="J2690" s="100"/>
      <c r="K2690" s="100"/>
      <c r="L2690" s="100"/>
      <c r="M2690" s="100"/>
      <c r="N2690" s="100"/>
      <c r="O2690" s="100"/>
      <c r="P2690" s="100"/>
      <c r="Q2690" s="100"/>
      <c r="R2690" s="100"/>
      <c r="S2690" s="100"/>
      <c r="T2690" s="100"/>
      <c r="U2690" s="100"/>
      <c r="V2690" s="100"/>
      <c r="W2690" s="100"/>
      <c r="X2690" s="100"/>
      <c r="Y2690" s="100"/>
      <c r="Z2690" s="100"/>
    </row>
    <row r="2691" spans="1:26">
      <c r="A2691" s="100"/>
      <c r="B2691" s="100"/>
      <c r="C2691" s="100"/>
      <c r="D2691" s="100"/>
      <c r="E2691" s="100"/>
      <c r="F2691" s="100"/>
      <c r="G2691" s="100"/>
      <c r="H2691" s="100"/>
      <c r="I2691" s="100"/>
      <c r="J2691" s="100"/>
      <c r="K2691" s="100"/>
      <c r="L2691" s="100"/>
      <c r="M2691" s="100"/>
      <c r="N2691" s="100"/>
      <c r="O2691" s="100"/>
      <c r="P2691" s="100"/>
      <c r="Q2691" s="100"/>
      <c r="R2691" s="100"/>
      <c r="S2691" s="100"/>
      <c r="T2691" s="100"/>
      <c r="U2691" s="100"/>
      <c r="V2691" s="100"/>
      <c r="W2691" s="100"/>
      <c r="X2691" s="100"/>
      <c r="Y2691" s="100"/>
      <c r="Z2691" s="100"/>
    </row>
    <row r="2692" spans="1:26">
      <c r="A2692" s="100"/>
      <c r="B2692" s="100"/>
      <c r="C2692" s="100"/>
      <c r="D2692" s="100"/>
      <c r="E2692" s="100"/>
      <c r="F2692" s="100"/>
      <c r="G2692" s="100"/>
      <c r="H2692" s="100"/>
      <c r="I2692" s="100"/>
      <c r="J2692" s="100"/>
      <c r="K2692" s="100"/>
      <c r="L2692" s="100"/>
      <c r="M2692" s="100"/>
      <c r="N2692" s="100"/>
      <c r="O2692" s="100"/>
      <c r="P2692" s="100"/>
      <c r="Q2692" s="100"/>
      <c r="R2692" s="100"/>
      <c r="S2692" s="100"/>
      <c r="T2692" s="100"/>
      <c r="U2692" s="100"/>
      <c r="V2692" s="100"/>
      <c r="W2692" s="100"/>
      <c r="X2692" s="100"/>
      <c r="Y2692" s="100"/>
      <c r="Z2692" s="100"/>
    </row>
    <row r="2693" spans="1:26">
      <c r="A2693" s="100"/>
      <c r="B2693" s="100"/>
      <c r="C2693" s="100"/>
      <c r="D2693" s="100"/>
      <c r="E2693" s="100"/>
      <c r="F2693" s="100"/>
      <c r="G2693" s="100"/>
      <c r="H2693" s="100"/>
      <c r="I2693" s="100"/>
      <c r="J2693" s="100"/>
      <c r="K2693" s="100"/>
      <c r="L2693" s="100"/>
      <c r="M2693" s="100"/>
      <c r="N2693" s="100"/>
      <c r="O2693" s="100"/>
      <c r="P2693" s="100"/>
      <c r="Q2693" s="100"/>
      <c r="R2693" s="100"/>
      <c r="S2693" s="100"/>
      <c r="T2693" s="100"/>
      <c r="U2693" s="100"/>
      <c r="V2693" s="100"/>
      <c r="W2693" s="100"/>
      <c r="X2693" s="100"/>
      <c r="Y2693" s="100"/>
      <c r="Z2693" s="100"/>
    </row>
    <row r="2694" spans="1:26">
      <c r="A2694" s="100"/>
      <c r="B2694" s="100"/>
      <c r="C2694" s="100"/>
      <c r="D2694" s="100"/>
      <c r="E2694" s="100"/>
      <c r="F2694" s="100"/>
      <c r="G2694" s="100"/>
      <c r="H2694" s="100"/>
      <c r="I2694" s="100"/>
      <c r="J2694" s="100"/>
      <c r="K2694" s="100"/>
      <c r="L2694" s="100"/>
      <c r="M2694" s="100"/>
      <c r="N2694" s="100"/>
      <c r="O2694" s="100"/>
      <c r="P2694" s="100"/>
      <c r="Q2694" s="100"/>
      <c r="R2694" s="100"/>
      <c r="S2694" s="100"/>
      <c r="T2694" s="100"/>
      <c r="U2694" s="100"/>
      <c r="V2694" s="100"/>
      <c r="W2694" s="100"/>
      <c r="X2694" s="100"/>
      <c r="Y2694" s="100"/>
      <c r="Z2694" s="100"/>
    </row>
    <row r="2695" spans="1:26">
      <c r="A2695" s="100"/>
      <c r="B2695" s="100"/>
      <c r="C2695" s="100"/>
      <c r="D2695" s="100"/>
      <c r="E2695" s="100"/>
      <c r="F2695" s="100"/>
      <c r="G2695" s="100"/>
      <c r="H2695" s="100"/>
      <c r="I2695" s="100"/>
      <c r="J2695" s="100"/>
      <c r="K2695" s="100"/>
      <c r="L2695" s="100"/>
      <c r="M2695" s="100"/>
      <c r="N2695" s="100"/>
      <c r="O2695" s="100"/>
      <c r="P2695" s="100"/>
      <c r="Q2695" s="100"/>
      <c r="R2695" s="100"/>
      <c r="S2695" s="100"/>
      <c r="T2695" s="100"/>
      <c r="U2695" s="100"/>
      <c r="V2695" s="100"/>
      <c r="W2695" s="100"/>
      <c r="X2695" s="100"/>
      <c r="Y2695" s="100"/>
      <c r="Z2695" s="100"/>
    </row>
    <row r="2696" spans="1:26">
      <c r="A2696" s="100"/>
      <c r="B2696" s="100"/>
      <c r="C2696" s="100"/>
      <c r="D2696" s="100"/>
      <c r="E2696" s="100"/>
      <c r="F2696" s="100"/>
      <c r="G2696" s="100"/>
      <c r="H2696" s="100"/>
      <c r="I2696" s="100"/>
      <c r="J2696" s="100"/>
      <c r="K2696" s="100"/>
      <c r="L2696" s="100"/>
      <c r="M2696" s="100"/>
      <c r="N2696" s="100"/>
      <c r="O2696" s="100"/>
      <c r="P2696" s="100"/>
      <c r="Q2696" s="100"/>
      <c r="R2696" s="100"/>
      <c r="S2696" s="100"/>
      <c r="T2696" s="100"/>
      <c r="U2696" s="100"/>
      <c r="V2696" s="100"/>
      <c r="W2696" s="100"/>
      <c r="X2696" s="100"/>
      <c r="Y2696" s="100"/>
      <c r="Z2696" s="100"/>
    </row>
    <row r="2697" spans="1:26">
      <c r="A2697" s="100"/>
      <c r="B2697" s="100"/>
      <c r="C2697" s="100"/>
      <c r="D2697" s="100"/>
      <c r="E2697" s="100"/>
      <c r="F2697" s="100"/>
      <c r="G2697" s="100"/>
      <c r="H2697" s="100"/>
      <c r="I2697" s="100"/>
      <c r="J2697" s="100"/>
      <c r="K2697" s="100"/>
      <c r="L2697" s="100"/>
      <c r="M2697" s="100"/>
      <c r="N2697" s="100"/>
      <c r="O2697" s="100"/>
      <c r="P2697" s="100"/>
      <c r="Q2697" s="100"/>
      <c r="R2697" s="100"/>
      <c r="S2697" s="100"/>
      <c r="T2697" s="100"/>
      <c r="U2697" s="100"/>
      <c r="V2697" s="100"/>
      <c r="W2697" s="100"/>
      <c r="X2697" s="100"/>
      <c r="Y2697" s="100"/>
      <c r="Z2697" s="100"/>
    </row>
    <row r="2698" spans="1:26">
      <c r="A2698" s="100"/>
      <c r="B2698" s="100"/>
      <c r="C2698" s="100"/>
      <c r="D2698" s="100"/>
      <c r="E2698" s="100"/>
      <c r="F2698" s="100"/>
      <c r="G2698" s="100"/>
      <c r="H2698" s="100"/>
      <c r="I2698" s="100"/>
      <c r="J2698" s="100"/>
      <c r="K2698" s="100"/>
      <c r="L2698" s="100"/>
      <c r="M2698" s="100"/>
      <c r="N2698" s="100"/>
      <c r="O2698" s="100"/>
      <c r="P2698" s="100"/>
      <c r="Q2698" s="100"/>
      <c r="R2698" s="100"/>
      <c r="S2698" s="100"/>
      <c r="T2698" s="100"/>
      <c r="U2698" s="100"/>
      <c r="V2698" s="100"/>
      <c r="W2698" s="100"/>
      <c r="X2698" s="100"/>
      <c r="Y2698" s="100"/>
      <c r="Z2698" s="100"/>
    </row>
    <row r="2699" spans="1:26">
      <c r="A2699" s="100"/>
      <c r="B2699" s="100"/>
      <c r="C2699" s="100"/>
      <c r="D2699" s="100"/>
      <c r="E2699" s="100"/>
      <c r="F2699" s="100"/>
      <c r="G2699" s="100"/>
      <c r="H2699" s="100"/>
      <c r="I2699" s="100"/>
      <c r="J2699" s="100"/>
      <c r="K2699" s="100"/>
      <c r="L2699" s="100"/>
      <c r="M2699" s="100"/>
      <c r="N2699" s="100"/>
      <c r="O2699" s="100"/>
      <c r="P2699" s="100"/>
      <c r="Q2699" s="100"/>
      <c r="R2699" s="100"/>
      <c r="S2699" s="100"/>
      <c r="T2699" s="100"/>
      <c r="U2699" s="100"/>
      <c r="V2699" s="100"/>
      <c r="W2699" s="100"/>
      <c r="X2699" s="100"/>
      <c r="Y2699" s="100"/>
      <c r="Z2699" s="100"/>
    </row>
    <row r="2700" spans="1:26">
      <c r="A2700" s="100"/>
      <c r="B2700" s="100"/>
      <c r="C2700" s="100"/>
      <c r="D2700" s="100"/>
      <c r="E2700" s="100"/>
      <c r="F2700" s="100"/>
      <c r="G2700" s="100"/>
      <c r="H2700" s="100"/>
      <c r="I2700" s="100"/>
      <c r="J2700" s="100"/>
      <c r="K2700" s="100"/>
      <c r="L2700" s="100"/>
      <c r="M2700" s="100"/>
      <c r="N2700" s="100"/>
      <c r="O2700" s="100"/>
      <c r="P2700" s="100"/>
      <c r="Q2700" s="100"/>
      <c r="R2700" s="100"/>
      <c r="S2700" s="100"/>
      <c r="T2700" s="100"/>
      <c r="U2700" s="100"/>
      <c r="V2700" s="100"/>
      <c r="W2700" s="100"/>
      <c r="X2700" s="100"/>
      <c r="Y2700" s="100"/>
      <c r="Z2700" s="100"/>
    </row>
    <row r="2701" spans="1:26">
      <c r="A2701" s="100"/>
      <c r="B2701" s="100"/>
      <c r="C2701" s="100"/>
      <c r="D2701" s="100"/>
      <c r="E2701" s="100"/>
      <c r="F2701" s="100"/>
      <c r="G2701" s="100"/>
      <c r="H2701" s="100"/>
      <c r="I2701" s="100"/>
      <c r="J2701" s="100"/>
      <c r="K2701" s="100"/>
      <c r="L2701" s="100"/>
      <c r="M2701" s="100"/>
      <c r="N2701" s="100"/>
      <c r="O2701" s="100"/>
      <c r="P2701" s="100"/>
      <c r="Q2701" s="100"/>
      <c r="R2701" s="100"/>
      <c r="S2701" s="100"/>
      <c r="T2701" s="100"/>
      <c r="U2701" s="100"/>
      <c r="V2701" s="100"/>
      <c r="W2701" s="100"/>
      <c r="X2701" s="100"/>
      <c r="Y2701" s="100"/>
      <c r="Z2701" s="100"/>
    </row>
    <row r="2702" spans="1:26">
      <c r="A2702" s="100"/>
      <c r="B2702" s="100"/>
      <c r="C2702" s="100"/>
      <c r="D2702" s="100"/>
      <c r="E2702" s="100"/>
      <c r="F2702" s="100"/>
      <c r="G2702" s="100"/>
      <c r="H2702" s="100"/>
      <c r="I2702" s="100"/>
      <c r="J2702" s="100"/>
      <c r="K2702" s="100"/>
      <c r="L2702" s="100"/>
      <c r="M2702" s="100"/>
      <c r="N2702" s="100"/>
      <c r="O2702" s="100"/>
      <c r="P2702" s="100"/>
      <c r="Q2702" s="100"/>
      <c r="R2702" s="100"/>
      <c r="S2702" s="100"/>
      <c r="T2702" s="100"/>
      <c r="U2702" s="100"/>
      <c r="V2702" s="100"/>
      <c r="W2702" s="100"/>
      <c r="X2702" s="100"/>
      <c r="Y2702" s="100"/>
      <c r="Z2702" s="100"/>
    </row>
    <row r="2703" spans="1:26">
      <c r="A2703" s="100"/>
      <c r="B2703" s="100"/>
      <c r="C2703" s="100"/>
      <c r="D2703" s="100"/>
      <c r="E2703" s="100"/>
      <c r="F2703" s="100"/>
      <c r="G2703" s="100"/>
      <c r="H2703" s="100"/>
      <c r="I2703" s="100"/>
      <c r="J2703" s="100"/>
      <c r="K2703" s="100"/>
      <c r="L2703" s="100"/>
      <c r="M2703" s="100"/>
      <c r="N2703" s="100"/>
      <c r="O2703" s="100"/>
      <c r="P2703" s="100"/>
      <c r="Q2703" s="100"/>
      <c r="R2703" s="100"/>
      <c r="S2703" s="100"/>
      <c r="T2703" s="100"/>
      <c r="U2703" s="100"/>
      <c r="V2703" s="100"/>
      <c r="W2703" s="100"/>
      <c r="X2703" s="100"/>
      <c r="Y2703" s="100"/>
      <c r="Z2703" s="100"/>
    </row>
    <row r="2704" spans="1:26">
      <c r="A2704" s="100"/>
      <c r="B2704" s="100"/>
      <c r="C2704" s="100"/>
      <c r="D2704" s="100"/>
      <c r="E2704" s="100"/>
      <c r="F2704" s="100"/>
      <c r="G2704" s="100"/>
      <c r="H2704" s="100"/>
      <c r="I2704" s="100"/>
      <c r="J2704" s="100"/>
      <c r="K2704" s="100"/>
      <c r="L2704" s="100"/>
      <c r="M2704" s="100"/>
      <c r="N2704" s="100"/>
      <c r="O2704" s="100"/>
      <c r="P2704" s="100"/>
      <c r="Q2704" s="100"/>
      <c r="R2704" s="100"/>
      <c r="S2704" s="100"/>
      <c r="T2704" s="100"/>
      <c r="U2704" s="100"/>
      <c r="V2704" s="100"/>
      <c r="W2704" s="100"/>
      <c r="X2704" s="100"/>
      <c r="Y2704" s="100"/>
      <c r="Z2704" s="100"/>
    </row>
    <row r="2705" spans="1:26">
      <c r="A2705" s="100"/>
      <c r="B2705" s="100"/>
      <c r="C2705" s="100"/>
      <c r="D2705" s="100"/>
      <c r="E2705" s="100"/>
      <c r="F2705" s="100"/>
      <c r="G2705" s="100"/>
      <c r="H2705" s="100"/>
      <c r="I2705" s="100"/>
      <c r="J2705" s="100"/>
      <c r="K2705" s="100"/>
      <c r="L2705" s="100"/>
      <c r="M2705" s="100"/>
      <c r="N2705" s="100"/>
      <c r="O2705" s="100"/>
      <c r="P2705" s="100"/>
      <c r="Q2705" s="100"/>
      <c r="R2705" s="100"/>
      <c r="S2705" s="100"/>
      <c r="T2705" s="100"/>
      <c r="U2705" s="100"/>
      <c r="V2705" s="100"/>
      <c r="W2705" s="100"/>
      <c r="X2705" s="100"/>
      <c r="Y2705" s="100"/>
      <c r="Z2705" s="100"/>
    </row>
    <row r="2706" spans="1:26">
      <c r="A2706" s="100"/>
      <c r="B2706" s="100"/>
      <c r="C2706" s="100"/>
      <c r="D2706" s="100"/>
      <c r="E2706" s="100"/>
      <c r="F2706" s="100"/>
      <c r="G2706" s="100"/>
      <c r="H2706" s="100"/>
      <c r="I2706" s="100"/>
      <c r="J2706" s="100"/>
      <c r="K2706" s="100"/>
      <c r="L2706" s="100"/>
      <c r="M2706" s="100"/>
      <c r="N2706" s="100"/>
      <c r="O2706" s="100"/>
      <c r="P2706" s="100"/>
      <c r="Q2706" s="100"/>
      <c r="R2706" s="100"/>
      <c r="S2706" s="100"/>
      <c r="T2706" s="100"/>
      <c r="U2706" s="100"/>
      <c r="V2706" s="100"/>
      <c r="W2706" s="100"/>
      <c r="X2706" s="100"/>
      <c r="Y2706" s="100"/>
      <c r="Z2706" s="100"/>
    </row>
    <row r="2707" spans="1:26">
      <c r="A2707" s="100"/>
      <c r="B2707" s="100"/>
      <c r="C2707" s="100"/>
      <c r="D2707" s="100"/>
      <c r="E2707" s="100"/>
      <c r="F2707" s="100"/>
      <c r="G2707" s="100"/>
      <c r="H2707" s="100"/>
      <c r="I2707" s="100"/>
      <c r="J2707" s="100"/>
      <c r="K2707" s="100"/>
      <c r="L2707" s="100"/>
      <c r="M2707" s="100"/>
      <c r="N2707" s="100"/>
      <c r="O2707" s="100"/>
      <c r="P2707" s="100"/>
      <c r="Q2707" s="100"/>
      <c r="R2707" s="100"/>
      <c r="S2707" s="100"/>
      <c r="T2707" s="100"/>
      <c r="U2707" s="100"/>
      <c r="V2707" s="100"/>
      <c r="W2707" s="100"/>
      <c r="X2707" s="100"/>
      <c r="Y2707" s="100"/>
      <c r="Z2707" s="100"/>
    </row>
    <row r="2708" spans="1:26">
      <c r="A2708" s="100"/>
      <c r="B2708" s="100"/>
      <c r="C2708" s="100"/>
      <c r="D2708" s="100"/>
      <c r="E2708" s="100"/>
      <c r="F2708" s="100"/>
      <c r="G2708" s="100"/>
      <c r="H2708" s="100"/>
      <c r="I2708" s="100"/>
      <c r="J2708" s="100"/>
      <c r="K2708" s="100"/>
      <c r="L2708" s="100"/>
      <c r="M2708" s="100"/>
      <c r="N2708" s="100"/>
      <c r="O2708" s="100"/>
      <c r="P2708" s="100"/>
      <c r="Q2708" s="100"/>
      <c r="R2708" s="100"/>
      <c r="S2708" s="100"/>
      <c r="T2708" s="100"/>
      <c r="U2708" s="100"/>
      <c r="V2708" s="100"/>
      <c r="W2708" s="100"/>
      <c r="X2708" s="100"/>
      <c r="Y2708" s="100"/>
      <c r="Z2708" s="100"/>
    </row>
    <row r="2709" spans="1:26">
      <c r="A2709" s="100"/>
      <c r="B2709" s="100"/>
      <c r="C2709" s="100"/>
      <c r="D2709" s="100"/>
      <c r="E2709" s="100"/>
      <c r="F2709" s="100"/>
      <c r="G2709" s="100"/>
      <c r="H2709" s="100"/>
      <c r="I2709" s="100"/>
      <c r="J2709" s="100"/>
      <c r="K2709" s="100"/>
      <c r="L2709" s="100"/>
      <c r="M2709" s="100"/>
      <c r="N2709" s="100"/>
      <c r="O2709" s="100"/>
      <c r="P2709" s="100"/>
      <c r="Q2709" s="100"/>
      <c r="R2709" s="100"/>
      <c r="S2709" s="100"/>
      <c r="T2709" s="100"/>
      <c r="U2709" s="100"/>
      <c r="V2709" s="100"/>
      <c r="W2709" s="100"/>
      <c r="X2709" s="100"/>
      <c r="Y2709" s="100"/>
      <c r="Z2709" s="100"/>
    </row>
    <row r="2710" spans="1:26">
      <c r="A2710" s="100"/>
      <c r="B2710" s="100"/>
      <c r="C2710" s="100"/>
      <c r="D2710" s="100"/>
      <c r="E2710" s="100"/>
      <c r="F2710" s="100"/>
      <c r="G2710" s="100"/>
      <c r="H2710" s="100"/>
      <c r="I2710" s="100"/>
      <c r="J2710" s="100"/>
      <c r="K2710" s="100"/>
      <c r="L2710" s="100"/>
      <c r="M2710" s="100"/>
      <c r="N2710" s="100"/>
      <c r="O2710" s="100"/>
      <c r="P2710" s="100"/>
      <c r="Q2710" s="100"/>
      <c r="R2710" s="100"/>
      <c r="S2710" s="100"/>
      <c r="T2710" s="100"/>
      <c r="U2710" s="100"/>
      <c r="V2710" s="100"/>
      <c r="W2710" s="100"/>
      <c r="X2710" s="100"/>
      <c r="Y2710" s="100"/>
      <c r="Z2710" s="100"/>
    </row>
    <row r="2711" spans="1:26">
      <c r="A2711" s="100"/>
      <c r="B2711" s="100"/>
      <c r="C2711" s="100"/>
      <c r="D2711" s="100"/>
      <c r="E2711" s="100"/>
      <c r="F2711" s="100"/>
      <c r="G2711" s="100"/>
      <c r="H2711" s="100"/>
      <c r="I2711" s="100"/>
      <c r="J2711" s="100"/>
      <c r="K2711" s="100"/>
      <c r="L2711" s="100"/>
      <c r="M2711" s="100"/>
      <c r="N2711" s="100"/>
      <c r="O2711" s="100"/>
      <c r="P2711" s="100"/>
      <c r="Q2711" s="100"/>
      <c r="R2711" s="100"/>
      <c r="S2711" s="100"/>
      <c r="T2711" s="100"/>
      <c r="U2711" s="100"/>
      <c r="V2711" s="100"/>
      <c r="W2711" s="100"/>
      <c r="X2711" s="100"/>
      <c r="Y2711" s="100"/>
      <c r="Z2711" s="100"/>
    </row>
    <row r="2712" spans="1:26">
      <c r="A2712" s="100"/>
      <c r="B2712" s="100"/>
      <c r="C2712" s="100"/>
      <c r="D2712" s="100"/>
      <c r="E2712" s="100"/>
      <c r="F2712" s="100"/>
      <c r="G2712" s="100"/>
      <c r="H2712" s="100"/>
      <c r="I2712" s="100"/>
      <c r="J2712" s="100"/>
      <c r="K2712" s="100"/>
      <c r="L2712" s="100"/>
      <c r="M2712" s="100"/>
      <c r="N2712" s="100"/>
      <c r="O2712" s="100"/>
      <c r="P2712" s="100"/>
      <c r="Q2712" s="100"/>
      <c r="R2712" s="100"/>
      <c r="S2712" s="100"/>
      <c r="T2712" s="100"/>
      <c r="U2712" s="100"/>
      <c r="V2712" s="100"/>
      <c r="W2712" s="100"/>
      <c r="X2712" s="100"/>
      <c r="Y2712" s="100"/>
      <c r="Z2712" s="100"/>
    </row>
    <row r="2713" spans="1:26">
      <c r="A2713" s="100"/>
      <c r="B2713" s="100"/>
      <c r="C2713" s="100"/>
      <c r="D2713" s="100"/>
      <c r="E2713" s="100"/>
      <c r="F2713" s="100"/>
      <c r="G2713" s="100"/>
      <c r="H2713" s="100"/>
      <c r="I2713" s="100"/>
      <c r="J2713" s="100"/>
      <c r="K2713" s="100"/>
      <c r="L2713" s="100"/>
      <c r="M2713" s="100"/>
      <c r="N2713" s="100"/>
      <c r="O2713" s="100"/>
      <c r="P2713" s="100"/>
      <c r="Q2713" s="100"/>
      <c r="R2713" s="100"/>
      <c r="S2713" s="100"/>
      <c r="T2713" s="100"/>
      <c r="U2713" s="100"/>
      <c r="V2713" s="100"/>
      <c r="W2713" s="100"/>
      <c r="X2713" s="100"/>
      <c r="Y2713" s="100"/>
      <c r="Z2713" s="100"/>
    </row>
    <row r="2714" spans="1:26">
      <c r="A2714" s="100"/>
      <c r="B2714" s="100"/>
      <c r="C2714" s="100"/>
      <c r="D2714" s="100"/>
      <c r="E2714" s="100"/>
      <c r="F2714" s="100"/>
      <c r="G2714" s="100"/>
      <c r="H2714" s="100"/>
      <c r="I2714" s="100"/>
      <c r="J2714" s="100"/>
      <c r="K2714" s="100"/>
      <c r="L2714" s="100"/>
      <c r="M2714" s="100"/>
      <c r="N2714" s="100"/>
      <c r="O2714" s="100"/>
      <c r="P2714" s="100"/>
      <c r="Q2714" s="100"/>
      <c r="R2714" s="100"/>
      <c r="S2714" s="100"/>
      <c r="T2714" s="100"/>
      <c r="U2714" s="100"/>
      <c r="V2714" s="100"/>
      <c r="W2714" s="100"/>
      <c r="X2714" s="100"/>
      <c r="Y2714" s="100"/>
      <c r="Z2714" s="100"/>
    </row>
    <row r="2715" spans="1:26">
      <c r="A2715" s="100"/>
      <c r="B2715" s="100"/>
      <c r="C2715" s="100"/>
      <c r="D2715" s="100"/>
      <c r="E2715" s="100"/>
      <c r="F2715" s="100"/>
      <c r="G2715" s="100"/>
      <c r="H2715" s="100"/>
      <c r="I2715" s="100"/>
      <c r="J2715" s="100"/>
      <c r="K2715" s="100"/>
      <c r="L2715" s="100"/>
      <c r="M2715" s="100"/>
      <c r="N2715" s="100"/>
      <c r="O2715" s="100"/>
      <c r="P2715" s="100"/>
      <c r="Q2715" s="100"/>
      <c r="R2715" s="100"/>
      <c r="S2715" s="100"/>
      <c r="T2715" s="100"/>
      <c r="U2715" s="100"/>
      <c r="V2715" s="100"/>
      <c r="W2715" s="100"/>
      <c r="X2715" s="100"/>
      <c r="Y2715" s="100"/>
      <c r="Z2715" s="100"/>
    </row>
    <row r="2716" spans="1:26">
      <c r="A2716" s="100"/>
      <c r="B2716" s="100"/>
      <c r="C2716" s="100"/>
      <c r="D2716" s="100"/>
      <c r="E2716" s="100"/>
      <c r="F2716" s="100"/>
      <c r="G2716" s="100"/>
      <c r="H2716" s="100"/>
      <c r="I2716" s="100"/>
      <c r="J2716" s="100"/>
      <c r="K2716" s="100"/>
      <c r="L2716" s="100"/>
      <c r="M2716" s="100"/>
      <c r="N2716" s="100"/>
      <c r="O2716" s="100"/>
      <c r="P2716" s="100"/>
      <c r="Q2716" s="100"/>
      <c r="R2716" s="100"/>
      <c r="S2716" s="100"/>
      <c r="T2716" s="100"/>
      <c r="U2716" s="100"/>
      <c r="V2716" s="100"/>
      <c r="W2716" s="100"/>
      <c r="X2716" s="100"/>
      <c r="Y2716" s="100"/>
      <c r="Z2716" s="100"/>
    </row>
    <row r="2717" spans="1:26">
      <c r="A2717" s="100"/>
      <c r="B2717" s="100"/>
      <c r="C2717" s="100"/>
      <c r="D2717" s="100"/>
      <c r="E2717" s="100"/>
      <c r="F2717" s="100"/>
      <c r="G2717" s="100"/>
      <c r="H2717" s="100"/>
      <c r="I2717" s="100"/>
      <c r="J2717" s="100"/>
      <c r="K2717" s="100"/>
      <c r="L2717" s="100"/>
      <c r="M2717" s="100"/>
      <c r="N2717" s="100"/>
      <c r="O2717" s="100"/>
      <c r="P2717" s="100"/>
      <c r="Q2717" s="100"/>
      <c r="R2717" s="100"/>
      <c r="S2717" s="100"/>
      <c r="T2717" s="100"/>
      <c r="U2717" s="100"/>
      <c r="V2717" s="100"/>
      <c r="W2717" s="100"/>
      <c r="X2717" s="100"/>
      <c r="Y2717" s="100"/>
      <c r="Z2717" s="100"/>
    </row>
    <row r="2718" spans="1:26">
      <c r="A2718" s="100"/>
      <c r="B2718" s="100"/>
      <c r="C2718" s="100"/>
      <c r="D2718" s="100"/>
      <c r="E2718" s="100"/>
      <c r="F2718" s="100"/>
      <c r="G2718" s="100"/>
      <c r="H2718" s="100"/>
      <c r="I2718" s="100"/>
      <c r="J2718" s="100"/>
      <c r="K2718" s="100"/>
      <c r="L2718" s="100"/>
      <c r="M2718" s="100"/>
      <c r="N2718" s="100"/>
      <c r="O2718" s="100"/>
      <c r="P2718" s="100"/>
      <c r="Q2718" s="100"/>
      <c r="R2718" s="100"/>
      <c r="S2718" s="100"/>
      <c r="T2718" s="100"/>
      <c r="U2718" s="100"/>
      <c r="V2718" s="100"/>
      <c r="W2718" s="100"/>
      <c r="X2718" s="100"/>
      <c r="Y2718" s="100"/>
      <c r="Z2718" s="100"/>
    </row>
    <row r="2719" spans="1:26">
      <c r="A2719" s="100"/>
      <c r="B2719" s="100"/>
      <c r="C2719" s="100"/>
      <c r="D2719" s="100"/>
      <c r="E2719" s="100"/>
      <c r="F2719" s="100"/>
      <c r="G2719" s="100"/>
      <c r="H2719" s="100"/>
      <c r="I2719" s="100"/>
      <c r="J2719" s="100"/>
      <c r="K2719" s="100"/>
      <c r="L2719" s="100"/>
      <c r="M2719" s="100"/>
      <c r="N2719" s="100"/>
      <c r="O2719" s="100"/>
      <c r="P2719" s="100"/>
      <c r="Q2719" s="100"/>
      <c r="R2719" s="100"/>
      <c r="S2719" s="100"/>
      <c r="T2719" s="100"/>
      <c r="U2719" s="100"/>
      <c r="V2719" s="100"/>
      <c r="W2719" s="100"/>
      <c r="X2719" s="100"/>
      <c r="Y2719" s="100"/>
      <c r="Z2719" s="100"/>
    </row>
    <row r="2720" spans="1:26">
      <c r="A2720" s="100"/>
      <c r="B2720" s="100"/>
      <c r="C2720" s="100"/>
      <c r="D2720" s="100"/>
      <c r="E2720" s="100"/>
      <c r="F2720" s="100"/>
      <c r="G2720" s="100"/>
      <c r="H2720" s="100"/>
      <c r="I2720" s="100"/>
      <c r="J2720" s="100"/>
      <c r="K2720" s="100"/>
      <c r="L2720" s="100"/>
      <c r="M2720" s="100"/>
      <c r="N2720" s="100"/>
      <c r="O2720" s="100"/>
      <c r="P2720" s="100"/>
      <c r="Q2720" s="100"/>
      <c r="R2720" s="100"/>
      <c r="S2720" s="100"/>
      <c r="T2720" s="100"/>
      <c r="U2720" s="100"/>
      <c r="V2720" s="100"/>
      <c r="W2720" s="100"/>
      <c r="X2720" s="100"/>
      <c r="Y2720" s="100"/>
      <c r="Z2720" s="100"/>
    </row>
    <row r="2721" spans="1:26">
      <c r="A2721" s="100"/>
      <c r="B2721" s="100"/>
      <c r="C2721" s="100"/>
      <c r="D2721" s="100"/>
      <c r="E2721" s="100"/>
      <c r="F2721" s="100"/>
      <c r="G2721" s="100"/>
      <c r="H2721" s="100"/>
      <c r="I2721" s="100"/>
      <c r="J2721" s="100"/>
      <c r="K2721" s="100"/>
      <c r="L2721" s="100"/>
      <c r="M2721" s="100"/>
      <c r="N2721" s="100"/>
      <c r="O2721" s="100"/>
      <c r="P2721" s="100"/>
      <c r="Q2721" s="100"/>
      <c r="R2721" s="100"/>
      <c r="S2721" s="100"/>
      <c r="T2721" s="100"/>
      <c r="U2721" s="100"/>
      <c r="V2721" s="100"/>
      <c r="W2721" s="100"/>
      <c r="X2721" s="100"/>
      <c r="Y2721" s="100"/>
      <c r="Z2721" s="100"/>
    </row>
    <row r="2722" spans="1:26">
      <c r="A2722" s="100"/>
      <c r="B2722" s="100"/>
      <c r="C2722" s="100"/>
      <c r="D2722" s="100"/>
      <c r="E2722" s="100"/>
      <c r="F2722" s="100"/>
      <c r="G2722" s="100"/>
      <c r="H2722" s="100"/>
      <c r="I2722" s="100"/>
      <c r="J2722" s="100"/>
      <c r="K2722" s="100"/>
      <c r="L2722" s="100"/>
      <c r="M2722" s="100"/>
      <c r="N2722" s="100"/>
      <c r="O2722" s="100"/>
      <c r="P2722" s="100"/>
      <c r="Q2722" s="100"/>
      <c r="R2722" s="100"/>
      <c r="S2722" s="100"/>
      <c r="T2722" s="100"/>
      <c r="U2722" s="100"/>
      <c r="V2722" s="100"/>
      <c r="W2722" s="100"/>
      <c r="X2722" s="100"/>
      <c r="Y2722" s="100"/>
      <c r="Z2722" s="100"/>
    </row>
    <row r="2723" spans="1:26">
      <c r="A2723" s="100"/>
      <c r="B2723" s="100"/>
      <c r="C2723" s="100"/>
      <c r="D2723" s="100"/>
      <c r="E2723" s="100"/>
      <c r="F2723" s="100"/>
      <c r="G2723" s="100"/>
      <c r="H2723" s="100"/>
      <c r="I2723" s="100"/>
      <c r="J2723" s="100"/>
      <c r="K2723" s="100"/>
      <c r="L2723" s="100"/>
      <c r="M2723" s="100"/>
      <c r="N2723" s="100"/>
      <c r="O2723" s="100"/>
      <c r="P2723" s="100"/>
      <c r="Q2723" s="100"/>
      <c r="R2723" s="100"/>
      <c r="S2723" s="100"/>
      <c r="T2723" s="100"/>
      <c r="U2723" s="100"/>
      <c r="V2723" s="100"/>
      <c r="W2723" s="100"/>
      <c r="X2723" s="100"/>
      <c r="Y2723" s="100"/>
      <c r="Z2723" s="100"/>
    </row>
    <row r="2724" spans="1:26">
      <c r="A2724" s="100"/>
      <c r="B2724" s="100"/>
      <c r="C2724" s="100"/>
      <c r="D2724" s="100"/>
      <c r="E2724" s="100"/>
      <c r="F2724" s="100"/>
      <c r="G2724" s="100"/>
      <c r="H2724" s="100"/>
      <c r="I2724" s="100"/>
      <c r="J2724" s="100"/>
      <c r="K2724" s="100"/>
      <c r="L2724" s="100"/>
      <c r="M2724" s="100"/>
      <c r="N2724" s="100"/>
      <c r="O2724" s="100"/>
      <c r="P2724" s="100"/>
      <c r="Q2724" s="100"/>
      <c r="R2724" s="100"/>
      <c r="S2724" s="100"/>
      <c r="T2724" s="100"/>
      <c r="U2724" s="100"/>
      <c r="V2724" s="100"/>
      <c r="W2724" s="100"/>
      <c r="X2724" s="100"/>
      <c r="Y2724" s="100"/>
      <c r="Z2724" s="100"/>
    </row>
    <row r="2725" spans="1:26">
      <c r="A2725" s="100"/>
      <c r="B2725" s="100"/>
      <c r="C2725" s="100"/>
      <c r="D2725" s="100"/>
      <c r="E2725" s="100"/>
      <c r="F2725" s="100"/>
      <c r="G2725" s="100"/>
      <c r="H2725" s="100"/>
      <c r="I2725" s="100"/>
      <c r="J2725" s="100"/>
      <c r="K2725" s="100"/>
      <c r="L2725" s="100"/>
      <c r="M2725" s="100"/>
      <c r="N2725" s="100"/>
      <c r="O2725" s="100"/>
      <c r="P2725" s="100"/>
      <c r="Q2725" s="100"/>
      <c r="R2725" s="100"/>
      <c r="S2725" s="100"/>
      <c r="T2725" s="100"/>
      <c r="U2725" s="100"/>
      <c r="V2725" s="100"/>
      <c r="W2725" s="100"/>
      <c r="X2725" s="100"/>
      <c r="Y2725" s="100"/>
      <c r="Z2725" s="100"/>
    </row>
    <row r="2726" spans="1:26">
      <c r="A2726" s="100"/>
      <c r="B2726" s="100"/>
      <c r="C2726" s="100"/>
      <c r="D2726" s="100"/>
      <c r="E2726" s="100"/>
      <c r="F2726" s="100"/>
      <c r="G2726" s="100"/>
      <c r="H2726" s="100"/>
      <c r="I2726" s="100"/>
      <c r="J2726" s="100"/>
      <c r="K2726" s="100"/>
      <c r="L2726" s="100"/>
      <c r="M2726" s="100"/>
      <c r="N2726" s="100"/>
      <c r="O2726" s="100"/>
      <c r="P2726" s="100"/>
      <c r="Q2726" s="100"/>
      <c r="R2726" s="100"/>
      <c r="S2726" s="100"/>
      <c r="T2726" s="100"/>
      <c r="U2726" s="100"/>
      <c r="V2726" s="100"/>
      <c r="W2726" s="100"/>
      <c r="X2726" s="100"/>
      <c r="Y2726" s="100"/>
      <c r="Z2726" s="100"/>
    </row>
    <row r="2727" spans="1:26">
      <c r="A2727" s="100"/>
      <c r="B2727" s="100"/>
      <c r="C2727" s="100"/>
      <c r="D2727" s="100"/>
      <c r="E2727" s="100"/>
      <c r="F2727" s="100"/>
      <c r="G2727" s="100"/>
      <c r="H2727" s="100"/>
      <c r="I2727" s="100"/>
      <c r="J2727" s="100"/>
      <c r="K2727" s="100"/>
      <c r="L2727" s="100"/>
      <c r="M2727" s="100"/>
      <c r="N2727" s="100"/>
      <c r="O2727" s="100"/>
      <c r="P2727" s="100"/>
      <c r="Q2727" s="100"/>
      <c r="R2727" s="100"/>
      <c r="S2727" s="100"/>
      <c r="T2727" s="100"/>
      <c r="U2727" s="100"/>
      <c r="V2727" s="100"/>
      <c r="W2727" s="100"/>
      <c r="X2727" s="100"/>
      <c r="Y2727" s="100"/>
      <c r="Z2727" s="100"/>
    </row>
    <row r="2728" spans="1:26">
      <c r="A2728" s="100"/>
      <c r="B2728" s="100"/>
      <c r="C2728" s="100"/>
      <c r="D2728" s="100"/>
      <c r="E2728" s="100"/>
      <c r="F2728" s="100"/>
      <c r="G2728" s="100"/>
      <c r="H2728" s="100"/>
      <c r="I2728" s="100"/>
      <c r="J2728" s="100"/>
      <c r="K2728" s="100"/>
      <c r="L2728" s="100"/>
      <c r="M2728" s="100"/>
      <c r="N2728" s="100"/>
      <c r="O2728" s="100"/>
      <c r="P2728" s="100"/>
      <c r="Q2728" s="100"/>
      <c r="R2728" s="100"/>
      <c r="S2728" s="100"/>
      <c r="T2728" s="100"/>
      <c r="U2728" s="100"/>
      <c r="V2728" s="100"/>
      <c r="W2728" s="100"/>
      <c r="X2728" s="100"/>
      <c r="Y2728" s="100"/>
      <c r="Z2728" s="100"/>
    </row>
    <row r="2729" spans="1:26">
      <c r="A2729" s="100"/>
      <c r="B2729" s="100"/>
      <c r="C2729" s="100"/>
      <c r="D2729" s="100"/>
      <c r="E2729" s="100"/>
      <c r="F2729" s="100"/>
      <c r="G2729" s="100"/>
      <c r="H2729" s="100"/>
      <c r="I2729" s="100"/>
      <c r="J2729" s="100"/>
      <c r="K2729" s="100"/>
      <c r="L2729" s="100"/>
      <c r="M2729" s="100"/>
      <c r="N2729" s="100"/>
      <c r="O2729" s="100"/>
      <c r="P2729" s="100"/>
      <c r="Q2729" s="100"/>
      <c r="R2729" s="100"/>
      <c r="S2729" s="100"/>
      <c r="T2729" s="100"/>
      <c r="U2729" s="100"/>
      <c r="V2729" s="100"/>
      <c r="W2729" s="100"/>
      <c r="X2729" s="100"/>
      <c r="Y2729" s="100"/>
      <c r="Z2729" s="100"/>
    </row>
    <row r="2730" spans="1:26">
      <c r="A2730" s="100"/>
      <c r="B2730" s="100"/>
      <c r="C2730" s="100"/>
      <c r="D2730" s="100"/>
      <c r="E2730" s="100"/>
      <c r="F2730" s="100"/>
      <c r="G2730" s="100"/>
      <c r="H2730" s="100"/>
      <c r="I2730" s="100"/>
      <c r="J2730" s="100"/>
      <c r="K2730" s="100"/>
      <c r="L2730" s="100"/>
      <c r="M2730" s="100"/>
      <c r="N2730" s="100"/>
      <c r="O2730" s="100"/>
      <c r="P2730" s="100"/>
      <c r="Q2730" s="100"/>
      <c r="R2730" s="100"/>
      <c r="S2730" s="100"/>
      <c r="T2730" s="100"/>
      <c r="U2730" s="100"/>
      <c r="V2730" s="100"/>
      <c r="W2730" s="100"/>
      <c r="X2730" s="100"/>
      <c r="Y2730" s="100"/>
      <c r="Z2730" s="100"/>
    </row>
    <row r="2731" spans="1:26">
      <c r="A2731" s="100"/>
      <c r="B2731" s="100"/>
      <c r="C2731" s="100"/>
      <c r="D2731" s="100"/>
      <c r="E2731" s="100"/>
      <c r="F2731" s="100"/>
      <c r="G2731" s="100"/>
      <c r="H2731" s="100"/>
      <c r="I2731" s="100"/>
      <c r="J2731" s="100"/>
      <c r="K2731" s="100"/>
      <c r="L2731" s="100"/>
      <c r="M2731" s="100"/>
      <c r="N2731" s="100"/>
      <c r="O2731" s="100"/>
      <c r="P2731" s="100"/>
      <c r="Q2731" s="100"/>
      <c r="R2731" s="100"/>
      <c r="S2731" s="100"/>
      <c r="T2731" s="100"/>
      <c r="U2731" s="100"/>
      <c r="V2731" s="100"/>
      <c r="W2731" s="100"/>
      <c r="X2731" s="100"/>
      <c r="Y2731" s="100"/>
      <c r="Z2731" s="100"/>
    </row>
    <row r="2732" spans="1:26">
      <c r="A2732" s="100"/>
      <c r="B2732" s="100"/>
      <c r="C2732" s="100"/>
      <c r="D2732" s="100"/>
      <c r="E2732" s="100"/>
      <c r="F2732" s="100"/>
      <c r="G2732" s="100"/>
      <c r="H2732" s="100"/>
      <c r="I2732" s="100"/>
      <c r="J2732" s="100"/>
      <c r="K2732" s="100"/>
      <c r="L2732" s="100"/>
      <c r="M2732" s="100"/>
      <c r="N2732" s="100"/>
      <c r="O2732" s="100"/>
      <c r="P2732" s="100"/>
      <c r="Q2732" s="100"/>
      <c r="R2732" s="100"/>
      <c r="S2732" s="100"/>
      <c r="T2732" s="100"/>
      <c r="U2732" s="100"/>
      <c r="V2732" s="100"/>
      <c r="W2732" s="100"/>
      <c r="X2732" s="100"/>
      <c r="Y2732" s="100"/>
      <c r="Z2732" s="100"/>
    </row>
    <row r="2733" spans="1:26">
      <c r="A2733" s="100"/>
      <c r="B2733" s="100"/>
      <c r="C2733" s="100"/>
      <c r="D2733" s="100"/>
      <c r="E2733" s="100"/>
      <c r="F2733" s="100"/>
      <c r="G2733" s="100"/>
      <c r="H2733" s="100"/>
      <c r="I2733" s="100"/>
      <c r="J2733" s="100"/>
      <c r="K2733" s="100"/>
      <c r="L2733" s="100"/>
      <c r="M2733" s="100"/>
      <c r="N2733" s="100"/>
      <c r="O2733" s="100"/>
      <c r="P2733" s="100"/>
      <c r="Q2733" s="100"/>
      <c r="R2733" s="100"/>
      <c r="S2733" s="100"/>
      <c r="T2733" s="100"/>
      <c r="U2733" s="100"/>
      <c r="V2733" s="100"/>
      <c r="W2733" s="100"/>
      <c r="X2733" s="100"/>
      <c r="Y2733" s="100"/>
      <c r="Z2733" s="100"/>
    </row>
    <row r="2734" spans="1:26">
      <c r="A2734" s="100"/>
      <c r="B2734" s="100"/>
      <c r="C2734" s="100"/>
      <c r="D2734" s="100"/>
      <c r="E2734" s="100"/>
      <c r="F2734" s="100"/>
      <c r="G2734" s="100"/>
      <c r="H2734" s="100"/>
      <c r="I2734" s="100"/>
      <c r="J2734" s="100"/>
      <c r="K2734" s="100"/>
      <c r="L2734" s="100"/>
      <c r="M2734" s="100"/>
      <c r="N2734" s="100"/>
      <c r="O2734" s="100"/>
      <c r="P2734" s="100"/>
      <c r="Q2734" s="100"/>
      <c r="R2734" s="100"/>
      <c r="S2734" s="100"/>
      <c r="T2734" s="100"/>
      <c r="U2734" s="100"/>
      <c r="V2734" s="100"/>
      <c r="W2734" s="100"/>
      <c r="X2734" s="100"/>
      <c r="Y2734" s="100"/>
      <c r="Z2734" s="100"/>
    </row>
    <row r="2735" spans="1:26">
      <c r="A2735" s="100"/>
      <c r="B2735" s="100"/>
      <c r="C2735" s="100"/>
      <c r="D2735" s="100"/>
      <c r="E2735" s="100"/>
      <c r="F2735" s="100"/>
      <c r="G2735" s="100"/>
      <c r="H2735" s="100"/>
      <c r="I2735" s="100"/>
      <c r="J2735" s="100"/>
      <c r="K2735" s="100"/>
      <c r="L2735" s="100"/>
      <c r="M2735" s="100"/>
      <c r="N2735" s="100"/>
      <c r="O2735" s="100"/>
      <c r="P2735" s="100"/>
      <c r="Q2735" s="100"/>
      <c r="R2735" s="100"/>
      <c r="S2735" s="100"/>
      <c r="T2735" s="100"/>
      <c r="U2735" s="100"/>
      <c r="V2735" s="100"/>
      <c r="W2735" s="100"/>
      <c r="X2735" s="100"/>
      <c r="Y2735" s="100"/>
      <c r="Z2735" s="100"/>
    </row>
    <row r="2736" spans="1:26">
      <c r="A2736" s="100"/>
      <c r="B2736" s="100"/>
      <c r="C2736" s="100"/>
      <c r="D2736" s="100"/>
      <c r="E2736" s="100"/>
      <c r="F2736" s="100"/>
      <c r="G2736" s="100"/>
      <c r="H2736" s="100"/>
      <c r="I2736" s="100"/>
      <c r="J2736" s="100"/>
      <c r="K2736" s="100"/>
      <c r="L2736" s="100"/>
      <c r="M2736" s="100"/>
      <c r="N2736" s="100"/>
      <c r="O2736" s="100"/>
      <c r="P2736" s="100"/>
      <c r="Q2736" s="100"/>
      <c r="R2736" s="100"/>
      <c r="S2736" s="100"/>
      <c r="T2736" s="100"/>
      <c r="U2736" s="100"/>
      <c r="V2736" s="100"/>
      <c r="W2736" s="100"/>
      <c r="X2736" s="100"/>
      <c r="Y2736" s="100"/>
      <c r="Z2736" s="100"/>
    </row>
    <row r="2737" spans="1:26">
      <c r="A2737" s="100"/>
      <c r="B2737" s="100"/>
      <c r="C2737" s="100"/>
      <c r="D2737" s="100"/>
      <c r="E2737" s="100"/>
      <c r="F2737" s="100"/>
      <c r="G2737" s="100"/>
      <c r="H2737" s="100"/>
      <c r="I2737" s="100"/>
      <c r="J2737" s="100"/>
      <c r="K2737" s="100"/>
      <c r="L2737" s="100"/>
      <c r="M2737" s="100"/>
      <c r="N2737" s="100"/>
      <c r="O2737" s="100"/>
      <c r="P2737" s="100"/>
      <c r="Q2737" s="100"/>
      <c r="R2737" s="100"/>
      <c r="S2737" s="100"/>
      <c r="T2737" s="100"/>
      <c r="U2737" s="100"/>
      <c r="V2737" s="100"/>
      <c r="W2737" s="100"/>
      <c r="X2737" s="100"/>
      <c r="Y2737" s="100"/>
      <c r="Z2737" s="100"/>
    </row>
    <row r="2738" spans="1:26">
      <c r="A2738" s="100"/>
      <c r="B2738" s="100"/>
      <c r="C2738" s="100"/>
      <c r="D2738" s="100"/>
      <c r="E2738" s="100"/>
      <c r="F2738" s="100"/>
      <c r="G2738" s="100"/>
      <c r="H2738" s="100"/>
      <c r="I2738" s="100"/>
      <c r="J2738" s="100"/>
      <c r="K2738" s="100"/>
      <c r="L2738" s="100"/>
      <c r="M2738" s="100"/>
      <c r="N2738" s="100"/>
      <c r="O2738" s="100"/>
      <c r="P2738" s="100"/>
      <c r="Q2738" s="100"/>
      <c r="R2738" s="100"/>
      <c r="S2738" s="100"/>
      <c r="T2738" s="100"/>
      <c r="U2738" s="100"/>
      <c r="V2738" s="100"/>
      <c r="W2738" s="100"/>
      <c r="X2738" s="100"/>
      <c r="Y2738" s="100"/>
      <c r="Z2738" s="100"/>
    </row>
    <row r="2739" spans="1:26">
      <c r="A2739" s="100"/>
      <c r="B2739" s="100"/>
      <c r="C2739" s="100"/>
      <c r="D2739" s="100"/>
      <c r="E2739" s="100"/>
      <c r="F2739" s="100"/>
      <c r="G2739" s="100"/>
      <c r="H2739" s="100"/>
      <c r="I2739" s="100"/>
      <c r="J2739" s="100"/>
      <c r="K2739" s="100"/>
      <c r="L2739" s="100"/>
      <c r="M2739" s="100"/>
      <c r="N2739" s="100"/>
      <c r="O2739" s="100"/>
      <c r="P2739" s="100"/>
      <c r="Q2739" s="100"/>
      <c r="R2739" s="100"/>
      <c r="S2739" s="100"/>
      <c r="T2739" s="100"/>
      <c r="U2739" s="100"/>
      <c r="V2739" s="100"/>
      <c r="W2739" s="100"/>
      <c r="X2739" s="100"/>
      <c r="Y2739" s="100"/>
      <c r="Z2739" s="100"/>
    </row>
    <row r="2740" spans="1:26">
      <c r="A2740" s="100"/>
      <c r="B2740" s="100"/>
      <c r="C2740" s="100"/>
      <c r="D2740" s="100"/>
      <c r="E2740" s="100"/>
      <c r="F2740" s="100"/>
      <c r="G2740" s="100"/>
      <c r="H2740" s="100"/>
      <c r="I2740" s="100"/>
      <c r="J2740" s="100"/>
      <c r="K2740" s="100"/>
      <c r="L2740" s="100"/>
      <c r="M2740" s="100"/>
      <c r="N2740" s="100"/>
      <c r="O2740" s="100"/>
      <c r="P2740" s="100"/>
      <c r="Q2740" s="100"/>
      <c r="R2740" s="100"/>
      <c r="S2740" s="100"/>
      <c r="T2740" s="100"/>
      <c r="U2740" s="100"/>
      <c r="V2740" s="100"/>
      <c r="W2740" s="100"/>
      <c r="X2740" s="100"/>
      <c r="Y2740" s="100"/>
      <c r="Z2740" s="100"/>
    </row>
    <row r="2741" spans="1:26">
      <c r="A2741" s="100"/>
      <c r="B2741" s="100"/>
      <c r="C2741" s="100"/>
      <c r="D2741" s="100"/>
      <c r="E2741" s="100"/>
      <c r="F2741" s="100"/>
      <c r="G2741" s="100"/>
      <c r="H2741" s="100"/>
      <c r="I2741" s="100"/>
      <c r="J2741" s="100"/>
      <c r="K2741" s="100"/>
      <c r="L2741" s="100"/>
      <c r="M2741" s="100"/>
      <c r="N2741" s="100"/>
      <c r="O2741" s="100"/>
      <c r="P2741" s="100"/>
      <c r="Q2741" s="100"/>
      <c r="R2741" s="100"/>
      <c r="S2741" s="100"/>
      <c r="T2741" s="100"/>
      <c r="U2741" s="100"/>
      <c r="V2741" s="100"/>
      <c r="W2741" s="100"/>
      <c r="X2741" s="100"/>
      <c r="Y2741" s="100"/>
      <c r="Z2741" s="100"/>
    </row>
    <row r="2742" spans="1:26">
      <c r="A2742" s="100"/>
      <c r="B2742" s="100"/>
      <c r="C2742" s="100"/>
      <c r="D2742" s="100"/>
      <c r="E2742" s="100"/>
      <c r="F2742" s="100"/>
      <c r="G2742" s="100"/>
      <c r="H2742" s="100"/>
      <c r="I2742" s="100"/>
      <c r="J2742" s="100"/>
      <c r="K2742" s="100"/>
      <c r="L2742" s="100"/>
      <c r="M2742" s="100"/>
      <c r="N2742" s="100"/>
      <c r="O2742" s="100"/>
      <c r="P2742" s="100"/>
      <c r="Q2742" s="100"/>
      <c r="R2742" s="100"/>
      <c r="S2742" s="100"/>
      <c r="T2742" s="100"/>
      <c r="U2742" s="100"/>
      <c r="V2742" s="100"/>
      <c r="W2742" s="100"/>
      <c r="X2742" s="100"/>
      <c r="Y2742" s="100"/>
      <c r="Z2742" s="100"/>
    </row>
    <row r="2743" spans="1:26">
      <c r="A2743" s="100"/>
      <c r="B2743" s="100"/>
      <c r="C2743" s="100"/>
      <c r="D2743" s="100"/>
      <c r="E2743" s="100"/>
      <c r="F2743" s="100"/>
      <c r="G2743" s="100"/>
      <c r="H2743" s="100"/>
      <c r="I2743" s="100"/>
      <c r="J2743" s="100"/>
      <c r="K2743" s="100"/>
      <c r="L2743" s="100"/>
      <c r="M2743" s="100"/>
      <c r="N2743" s="100"/>
      <c r="O2743" s="100"/>
      <c r="P2743" s="100"/>
      <c r="Q2743" s="100"/>
      <c r="R2743" s="100"/>
      <c r="S2743" s="100"/>
      <c r="T2743" s="100"/>
      <c r="U2743" s="100"/>
      <c r="V2743" s="100"/>
      <c r="W2743" s="100"/>
      <c r="X2743" s="100"/>
      <c r="Y2743" s="100"/>
      <c r="Z2743" s="100"/>
    </row>
    <row r="2744" spans="1:26">
      <c r="A2744" s="100"/>
      <c r="B2744" s="100"/>
      <c r="C2744" s="100"/>
      <c r="D2744" s="100"/>
      <c r="E2744" s="100"/>
      <c r="F2744" s="100"/>
      <c r="G2744" s="100"/>
      <c r="H2744" s="100"/>
      <c r="I2744" s="100"/>
      <c r="J2744" s="100"/>
      <c r="K2744" s="100"/>
      <c r="L2744" s="100"/>
      <c r="M2744" s="100"/>
      <c r="N2744" s="100"/>
      <c r="O2744" s="100"/>
      <c r="P2744" s="100"/>
      <c r="Q2744" s="100"/>
      <c r="R2744" s="100"/>
      <c r="S2744" s="100"/>
      <c r="T2744" s="100"/>
      <c r="U2744" s="100"/>
      <c r="V2744" s="100"/>
      <c r="W2744" s="100"/>
      <c r="X2744" s="100"/>
      <c r="Y2744" s="100"/>
      <c r="Z2744" s="100"/>
    </row>
    <row r="2745" spans="1:26">
      <c r="A2745" s="100"/>
      <c r="B2745" s="100"/>
      <c r="C2745" s="100"/>
      <c r="D2745" s="100"/>
      <c r="E2745" s="100"/>
      <c r="F2745" s="100"/>
      <c r="G2745" s="100"/>
      <c r="H2745" s="100"/>
      <c r="I2745" s="100"/>
      <c r="J2745" s="100"/>
      <c r="K2745" s="100"/>
      <c r="L2745" s="100"/>
      <c r="M2745" s="100"/>
      <c r="N2745" s="100"/>
      <c r="O2745" s="100"/>
      <c r="P2745" s="100"/>
      <c r="Q2745" s="100"/>
      <c r="R2745" s="100"/>
      <c r="S2745" s="100"/>
      <c r="T2745" s="100"/>
      <c r="U2745" s="100"/>
      <c r="V2745" s="100"/>
      <c r="W2745" s="100"/>
      <c r="X2745" s="100"/>
      <c r="Y2745" s="100"/>
      <c r="Z2745" s="100"/>
    </row>
    <row r="2746" spans="1:26">
      <c r="A2746" s="100"/>
      <c r="B2746" s="100"/>
      <c r="C2746" s="100"/>
      <c r="D2746" s="100"/>
      <c r="E2746" s="100"/>
      <c r="F2746" s="100"/>
      <c r="G2746" s="100"/>
      <c r="H2746" s="100"/>
      <c r="I2746" s="100"/>
      <c r="J2746" s="100"/>
      <c r="K2746" s="100"/>
      <c r="L2746" s="100"/>
      <c r="M2746" s="100"/>
      <c r="N2746" s="100"/>
      <c r="O2746" s="100"/>
      <c r="P2746" s="100"/>
      <c r="Q2746" s="100"/>
      <c r="R2746" s="100"/>
      <c r="S2746" s="100"/>
      <c r="T2746" s="100"/>
      <c r="U2746" s="100"/>
      <c r="V2746" s="100"/>
      <c r="W2746" s="100"/>
      <c r="X2746" s="100"/>
      <c r="Y2746" s="100"/>
      <c r="Z2746" s="100"/>
    </row>
    <row r="2747" spans="1:26">
      <c r="A2747" s="100"/>
      <c r="B2747" s="100"/>
      <c r="C2747" s="100"/>
      <c r="D2747" s="100"/>
      <c r="E2747" s="100"/>
      <c r="F2747" s="100"/>
      <c r="G2747" s="100"/>
      <c r="H2747" s="100"/>
      <c r="I2747" s="100"/>
      <c r="J2747" s="100"/>
      <c r="K2747" s="100"/>
      <c r="L2747" s="100"/>
      <c r="M2747" s="100"/>
      <c r="N2747" s="100"/>
      <c r="O2747" s="100"/>
      <c r="P2747" s="100"/>
      <c r="Q2747" s="100"/>
      <c r="R2747" s="100"/>
      <c r="S2747" s="100"/>
      <c r="T2747" s="100"/>
      <c r="U2747" s="100"/>
      <c r="V2747" s="100"/>
      <c r="W2747" s="100"/>
      <c r="X2747" s="100"/>
      <c r="Y2747" s="100"/>
      <c r="Z2747" s="100"/>
    </row>
    <row r="2748" spans="1:26">
      <c r="A2748" s="100"/>
      <c r="B2748" s="100"/>
      <c r="C2748" s="100"/>
      <c r="D2748" s="100"/>
      <c r="E2748" s="100"/>
      <c r="F2748" s="100"/>
      <c r="G2748" s="100"/>
      <c r="H2748" s="100"/>
      <c r="I2748" s="100"/>
      <c r="J2748" s="100"/>
      <c r="K2748" s="100"/>
      <c r="L2748" s="100"/>
      <c r="M2748" s="100"/>
      <c r="N2748" s="100"/>
      <c r="O2748" s="100"/>
      <c r="P2748" s="100"/>
      <c r="Q2748" s="100"/>
      <c r="R2748" s="100"/>
      <c r="S2748" s="100"/>
      <c r="T2748" s="100"/>
      <c r="U2748" s="100"/>
      <c r="V2748" s="100"/>
      <c r="W2748" s="100"/>
      <c r="X2748" s="100"/>
      <c r="Y2748" s="100"/>
      <c r="Z2748" s="100"/>
    </row>
    <row r="2749" spans="1:26">
      <c r="A2749" s="100"/>
      <c r="B2749" s="100"/>
      <c r="C2749" s="100"/>
      <c r="D2749" s="100"/>
      <c r="E2749" s="100"/>
      <c r="F2749" s="100"/>
      <c r="G2749" s="100"/>
      <c r="H2749" s="100"/>
      <c r="I2749" s="100"/>
      <c r="J2749" s="100"/>
      <c r="K2749" s="100"/>
      <c r="L2749" s="100"/>
      <c r="M2749" s="100"/>
      <c r="N2749" s="100"/>
      <c r="O2749" s="100"/>
      <c r="P2749" s="100"/>
      <c r="Q2749" s="100"/>
      <c r="R2749" s="100"/>
      <c r="S2749" s="100"/>
      <c r="T2749" s="100"/>
      <c r="U2749" s="100"/>
      <c r="V2749" s="100"/>
      <c r="W2749" s="100"/>
      <c r="X2749" s="100"/>
      <c r="Y2749" s="100"/>
      <c r="Z2749" s="100"/>
    </row>
    <row r="2750" spans="1:26">
      <c r="A2750" s="100"/>
      <c r="B2750" s="100"/>
      <c r="C2750" s="100"/>
      <c r="D2750" s="100"/>
      <c r="E2750" s="100"/>
      <c r="F2750" s="100"/>
      <c r="G2750" s="100"/>
      <c r="H2750" s="100"/>
      <c r="I2750" s="100"/>
      <c r="J2750" s="100"/>
      <c r="K2750" s="100"/>
      <c r="L2750" s="100"/>
      <c r="M2750" s="100"/>
      <c r="N2750" s="100"/>
      <c r="O2750" s="100"/>
      <c r="P2750" s="100"/>
      <c r="Q2750" s="100"/>
      <c r="R2750" s="100"/>
      <c r="S2750" s="100"/>
      <c r="T2750" s="100"/>
      <c r="U2750" s="100"/>
      <c r="V2750" s="100"/>
      <c r="W2750" s="100"/>
      <c r="X2750" s="100"/>
      <c r="Y2750" s="100"/>
      <c r="Z2750" s="100"/>
    </row>
    <row r="2751" spans="1:26">
      <c r="A2751" s="100"/>
      <c r="B2751" s="100"/>
      <c r="C2751" s="100"/>
      <c r="D2751" s="100"/>
      <c r="E2751" s="100"/>
      <c r="F2751" s="100"/>
      <c r="G2751" s="100"/>
      <c r="H2751" s="100"/>
      <c r="I2751" s="100"/>
      <c r="J2751" s="100"/>
      <c r="K2751" s="100"/>
      <c r="L2751" s="100"/>
      <c r="M2751" s="100"/>
      <c r="N2751" s="100"/>
      <c r="O2751" s="100"/>
      <c r="P2751" s="100"/>
      <c r="Q2751" s="100"/>
      <c r="R2751" s="100"/>
      <c r="S2751" s="100"/>
      <c r="T2751" s="100"/>
      <c r="U2751" s="100"/>
      <c r="V2751" s="100"/>
      <c r="W2751" s="100"/>
      <c r="X2751" s="100"/>
      <c r="Y2751" s="100"/>
      <c r="Z2751" s="100"/>
    </row>
    <row r="2752" spans="1:26">
      <c r="A2752" s="100"/>
      <c r="B2752" s="100"/>
      <c r="C2752" s="100"/>
      <c r="D2752" s="100"/>
      <c r="E2752" s="100"/>
      <c r="F2752" s="100"/>
      <c r="G2752" s="100"/>
      <c r="H2752" s="100"/>
      <c r="I2752" s="100"/>
      <c r="J2752" s="100"/>
      <c r="K2752" s="100"/>
      <c r="L2752" s="100"/>
      <c r="M2752" s="100"/>
      <c r="N2752" s="100"/>
      <c r="O2752" s="100"/>
      <c r="P2752" s="100"/>
      <c r="Q2752" s="100"/>
      <c r="R2752" s="100"/>
      <c r="S2752" s="100"/>
      <c r="T2752" s="100"/>
      <c r="U2752" s="100"/>
      <c r="V2752" s="100"/>
      <c r="W2752" s="100"/>
      <c r="X2752" s="100"/>
      <c r="Y2752" s="100"/>
      <c r="Z2752" s="100"/>
    </row>
    <row r="2753" spans="1:26">
      <c r="A2753" s="100"/>
      <c r="B2753" s="100"/>
      <c r="C2753" s="100"/>
      <c r="D2753" s="100"/>
      <c r="E2753" s="100"/>
      <c r="F2753" s="100"/>
      <c r="G2753" s="100"/>
      <c r="H2753" s="100"/>
      <c r="I2753" s="100"/>
      <c r="J2753" s="100"/>
      <c r="K2753" s="100"/>
      <c r="L2753" s="100"/>
      <c r="M2753" s="100"/>
      <c r="N2753" s="100"/>
      <c r="O2753" s="100"/>
      <c r="P2753" s="100"/>
      <c r="Q2753" s="100"/>
      <c r="R2753" s="100"/>
      <c r="S2753" s="100"/>
      <c r="T2753" s="100"/>
      <c r="U2753" s="100"/>
      <c r="V2753" s="100"/>
      <c r="W2753" s="100"/>
      <c r="X2753" s="100"/>
      <c r="Y2753" s="100"/>
      <c r="Z2753" s="100"/>
    </row>
    <row r="2754" spans="1:26">
      <c r="A2754" s="100"/>
      <c r="B2754" s="100"/>
      <c r="C2754" s="100"/>
      <c r="D2754" s="100"/>
      <c r="E2754" s="100"/>
      <c r="F2754" s="100"/>
      <c r="G2754" s="100"/>
      <c r="H2754" s="100"/>
      <c r="I2754" s="100"/>
      <c r="J2754" s="100"/>
      <c r="K2754" s="100"/>
      <c r="L2754" s="100"/>
      <c r="M2754" s="100"/>
      <c r="N2754" s="100"/>
      <c r="O2754" s="100"/>
      <c r="P2754" s="100"/>
      <c r="Q2754" s="100"/>
      <c r="R2754" s="100"/>
      <c r="S2754" s="100"/>
      <c r="T2754" s="100"/>
      <c r="U2754" s="100"/>
      <c r="V2754" s="100"/>
      <c r="W2754" s="100"/>
      <c r="X2754" s="100"/>
      <c r="Y2754" s="100"/>
      <c r="Z2754" s="100"/>
    </row>
    <row r="2755" spans="1:26">
      <c r="A2755" s="100"/>
      <c r="B2755" s="100"/>
      <c r="C2755" s="100"/>
      <c r="D2755" s="100"/>
      <c r="E2755" s="100"/>
      <c r="F2755" s="100"/>
      <c r="G2755" s="100"/>
      <c r="H2755" s="100"/>
      <c r="I2755" s="100"/>
      <c r="J2755" s="100"/>
      <c r="K2755" s="100"/>
      <c r="L2755" s="100"/>
      <c r="M2755" s="100"/>
      <c r="N2755" s="100"/>
      <c r="O2755" s="100"/>
      <c r="P2755" s="100"/>
      <c r="Q2755" s="100"/>
      <c r="R2755" s="100"/>
      <c r="S2755" s="100"/>
      <c r="T2755" s="100"/>
      <c r="U2755" s="100"/>
      <c r="V2755" s="100"/>
      <c r="W2755" s="100"/>
      <c r="X2755" s="100"/>
      <c r="Y2755" s="100"/>
      <c r="Z2755" s="100"/>
    </row>
    <row r="2756" spans="1:26">
      <c r="A2756" s="100"/>
      <c r="B2756" s="100"/>
      <c r="C2756" s="100"/>
      <c r="D2756" s="100"/>
      <c r="E2756" s="100"/>
      <c r="F2756" s="100"/>
      <c r="G2756" s="100"/>
      <c r="H2756" s="100"/>
      <c r="I2756" s="100"/>
      <c r="J2756" s="100"/>
      <c r="K2756" s="100"/>
      <c r="L2756" s="100"/>
      <c r="M2756" s="100"/>
      <c r="N2756" s="100"/>
      <c r="O2756" s="100"/>
      <c r="P2756" s="100"/>
      <c r="Q2756" s="100"/>
      <c r="R2756" s="100"/>
      <c r="S2756" s="100"/>
      <c r="T2756" s="100"/>
      <c r="U2756" s="100"/>
      <c r="V2756" s="100"/>
      <c r="W2756" s="100"/>
      <c r="X2756" s="100"/>
      <c r="Y2756" s="100"/>
      <c r="Z2756" s="100"/>
    </row>
    <row r="2757" spans="1:26">
      <c r="A2757" s="100"/>
      <c r="B2757" s="100"/>
      <c r="C2757" s="100"/>
      <c r="D2757" s="100"/>
      <c r="E2757" s="100"/>
      <c r="F2757" s="100"/>
      <c r="G2757" s="100"/>
      <c r="H2757" s="100"/>
      <c r="I2757" s="100"/>
      <c r="J2757" s="100"/>
      <c r="K2757" s="100"/>
      <c r="L2757" s="100"/>
      <c r="M2757" s="100"/>
      <c r="N2757" s="100"/>
      <c r="O2757" s="100"/>
      <c r="P2757" s="100"/>
      <c r="Q2757" s="100"/>
      <c r="R2757" s="100"/>
      <c r="S2757" s="100"/>
      <c r="T2757" s="100"/>
      <c r="U2757" s="100"/>
      <c r="V2757" s="100"/>
      <c r="W2757" s="100"/>
      <c r="X2757" s="100"/>
      <c r="Y2757" s="100"/>
      <c r="Z2757" s="100"/>
    </row>
    <row r="2758" spans="1:26">
      <c r="A2758" s="100"/>
      <c r="B2758" s="100"/>
      <c r="C2758" s="100"/>
      <c r="D2758" s="100"/>
      <c r="E2758" s="100"/>
      <c r="F2758" s="100"/>
      <c r="G2758" s="100"/>
      <c r="H2758" s="100"/>
      <c r="I2758" s="100"/>
      <c r="J2758" s="100"/>
      <c r="K2758" s="100"/>
      <c r="L2758" s="100"/>
      <c r="M2758" s="100"/>
      <c r="N2758" s="100"/>
      <c r="O2758" s="100"/>
      <c r="P2758" s="100"/>
      <c r="Q2758" s="100"/>
      <c r="R2758" s="100"/>
      <c r="S2758" s="100"/>
      <c r="T2758" s="100"/>
      <c r="U2758" s="100"/>
      <c r="V2758" s="100"/>
      <c r="W2758" s="100"/>
      <c r="X2758" s="100"/>
      <c r="Y2758" s="100"/>
      <c r="Z2758" s="100"/>
    </row>
    <row r="2759" spans="1:26">
      <c r="A2759" s="100"/>
      <c r="B2759" s="100"/>
      <c r="C2759" s="100"/>
      <c r="D2759" s="100"/>
      <c r="E2759" s="100"/>
      <c r="F2759" s="100"/>
      <c r="G2759" s="100"/>
      <c r="H2759" s="100"/>
      <c r="I2759" s="100"/>
      <c r="J2759" s="100"/>
      <c r="K2759" s="100"/>
      <c r="L2759" s="100"/>
      <c r="M2759" s="100"/>
      <c r="N2759" s="100"/>
      <c r="O2759" s="100"/>
      <c r="P2759" s="100"/>
      <c r="Q2759" s="100"/>
      <c r="R2759" s="100"/>
      <c r="S2759" s="100"/>
      <c r="T2759" s="100"/>
      <c r="U2759" s="100"/>
      <c r="V2759" s="100"/>
      <c r="W2759" s="100"/>
      <c r="X2759" s="100"/>
      <c r="Y2759" s="100"/>
      <c r="Z2759" s="100"/>
    </row>
    <row r="2760" spans="1:26">
      <c r="A2760" s="100"/>
      <c r="B2760" s="100"/>
      <c r="C2760" s="100"/>
      <c r="D2760" s="100"/>
      <c r="E2760" s="100"/>
      <c r="F2760" s="100"/>
      <c r="G2760" s="100"/>
      <c r="H2760" s="100"/>
      <c r="I2760" s="100"/>
      <c r="J2760" s="100"/>
      <c r="K2760" s="100"/>
      <c r="L2760" s="100"/>
      <c r="M2760" s="100"/>
      <c r="N2760" s="100"/>
      <c r="O2760" s="100"/>
      <c r="P2760" s="100"/>
      <c r="Q2760" s="100"/>
      <c r="R2760" s="100"/>
      <c r="S2760" s="100"/>
      <c r="T2760" s="100"/>
      <c r="U2760" s="100"/>
      <c r="V2760" s="100"/>
      <c r="W2760" s="100"/>
      <c r="X2760" s="100"/>
      <c r="Y2760" s="100"/>
      <c r="Z2760" s="100"/>
    </row>
    <row r="2761" spans="1:26">
      <c r="A2761" s="100"/>
      <c r="B2761" s="100"/>
      <c r="C2761" s="100"/>
      <c r="D2761" s="100"/>
      <c r="E2761" s="100"/>
      <c r="F2761" s="100"/>
      <c r="G2761" s="100"/>
      <c r="H2761" s="100"/>
      <c r="I2761" s="100"/>
      <c r="J2761" s="100"/>
      <c r="K2761" s="100"/>
      <c r="L2761" s="100"/>
      <c r="M2761" s="100"/>
      <c r="N2761" s="100"/>
      <c r="O2761" s="100"/>
      <c r="P2761" s="100"/>
      <c r="Q2761" s="100"/>
      <c r="R2761" s="100"/>
      <c r="S2761" s="100"/>
      <c r="T2761" s="100"/>
      <c r="U2761" s="100"/>
      <c r="V2761" s="100"/>
      <c r="W2761" s="100"/>
      <c r="X2761" s="100"/>
      <c r="Y2761" s="100"/>
      <c r="Z2761" s="100"/>
    </row>
    <row r="2762" spans="1:26">
      <c r="A2762" s="100"/>
      <c r="B2762" s="100"/>
      <c r="C2762" s="100"/>
      <c r="D2762" s="100"/>
      <c r="E2762" s="100"/>
      <c r="F2762" s="100"/>
      <c r="G2762" s="100"/>
      <c r="H2762" s="100"/>
      <c r="I2762" s="100"/>
      <c r="J2762" s="100"/>
      <c r="K2762" s="100"/>
      <c r="L2762" s="100"/>
      <c r="M2762" s="100"/>
      <c r="N2762" s="100"/>
      <c r="O2762" s="100"/>
      <c r="P2762" s="100"/>
      <c r="Q2762" s="100"/>
      <c r="R2762" s="100"/>
      <c r="S2762" s="100"/>
      <c r="T2762" s="100"/>
      <c r="U2762" s="100"/>
      <c r="V2762" s="100"/>
      <c r="W2762" s="100"/>
      <c r="X2762" s="100"/>
      <c r="Y2762" s="100"/>
      <c r="Z2762" s="100"/>
    </row>
    <row r="2763" spans="1:26">
      <c r="A2763" s="100"/>
      <c r="B2763" s="100"/>
      <c r="C2763" s="100"/>
      <c r="D2763" s="100"/>
      <c r="E2763" s="100"/>
      <c r="F2763" s="100"/>
      <c r="G2763" s="100"/>
      <c r="H2763" s="100"/>
      <c r="I2763" s="100"/>
      <c r="J2763" s="100"/>
      <c r="K2763" s="100"/>
      <c r="L2763" s="100"/>
      <c r="M2763" s="100"/>
      <c r="N2763" s="100"/>
      <c r="O2763" s="100"/>
      <c r="P2763" s="100"/>
      <c r="Q2763" s="100"/>
      <c r="R2763" s="100"/>
      <c r="S2763" s="100"/>
      <c r="T2763" s="100"/>
      <c r="U2763" s="100"/>
      <c r="V2763" s="100"/>
      <c r="W2763" s="100"/>
      <c r="X2763" s="100"/>
      <c r="Y2763" s="100"/>
      <c r="Z2763" s="100"/>
    </row>
    <row r="2764" spans="1:26">
      <c r="A2764" s="100"/>
      <c r="B2764" s="100"/>
      <c r="C2764" s="100"/>
      <c r="D2764" s="100"/>
      <c r="E2764" s="100"/>
      <c r="F2764" s="100"/>
      <c r="G2764" s="100"/>
      <c r="H2764" s="100"/>
      <c r="I2764" s="100"/>
      <c r="J2764" s="100"/>
      <c r="K2764" s="100"/>
      <c r="L2764" s="100"/>
      <c r="M2764" s="100"/>
      <c r="N2764" s="100"/>
      <c r="O2764" s="100"/>
      <c r="P2764" s="100"/>
      <c r="Q2764" s="100"/>
      <c r="R2764" s="100"/>
      <c r="S2764" s="100"/>
      <c r="T2764" s="100"/>
      <c r="U2764" s="100"/>
      <c r="V2764" s="100"/>
      <c r="W2764" s="100"/>
      <c r="X2764" s="100"/>
      <c r="Y2764" s="100"/>
      <c r="Z2764" s="100"/>
    </row>
    <row r="2765" spans="1:26">
      <c r="A2765" s="100"/>
      <c r="B2765" s="100"/>
      <c r="C2765" s="100"/>
      <c r="D2765" s="100"/>
      <c r="E2765" s="100"/>
      <c r="F2765" s="100"/>
      <c r="G2765" s="100"/>
      <c r="H2765" s="100"/>
      <c r="I2765" s="100"/>
      <c r="J2765" s="100"/>
      <c r="K2765" s="100"/>
      <c r="L2765" s="100"/>
      <c r="M2765" s="100"/>
      <c r="N2765" s="100"/>
      <c r="O2765" s="100"/>
      <c r="P2765" s="100"/>
      <c r="Q2765" s="100"/>
      <c r="R2765" s="100"/>
      <c r="S2765" s="100"/>
      <c r="T2765" s="100"/>
      <c r="U2765" s="100"/>
      <c r="V2765" s="100"/>
      <c r="W2765" s="100"/>
      <c r="X2765" s="100"/>
      <c r="Y2765" s="100"/>
      <c r="Z2765" s="100"/>
    </row>
    <row r="2766" spans="1:26">
      <c r="A2766" s="100"/>
      <c r="B2766" s="100"/>
      <c r="C2766" s="100"/>
      <c r="D2766" s="100"/>
      <c r="E2766" s="100"/>
      <c r="F2766" s="100"/>
      <c r="G2766" s="100"/>
      <c r="H2766" s="100"/>
      <c r="I2766" s="100"/>
      <c r="J2766" s="100"/>
      <c r="K2766" s="100"/>
      <c r="L2766" s="100"/>
      <c r="M2766" s="100"/>
      <c r="N2766" s="100"/>
      <c r="O2766" s="100"/>
      <c r="P2766" s="100"/>
      <c r="Q2766" s="100"/>
      <c r="R2766" s="100"/>
      <c r="S2766" s="100"/>
      <c r="T2766" s="100"/>
      <c r="U2766" s="100"/>
      <c r="V2766" s="100"/>
      <c r="W2766" s="100"/>
      <c r="X2766" s="100"/>
      <c r="Y2766" s="100"/>
      <c r="Z2766" s="100"/>
    </row>
    <row r="2767" spans="1:26">
      <c r="A2767" s="100"/>
      <c r="B2767" s="100"/>
      <c r="C2767" s="100"/>
      <c r="D2767" s="100"/>
      <c r="E2767" s="100"/>
      <c r="F2767" s="100"/>
      <c r="G2767" s="100"/>
      <c r="H2767" s="100"/>
      <c r="I2767" s="100"/>
      <c r="J2767" s="100"/>
      <c r="K2767" s="100"/>
      <c r="L2767" s="100"/>
      <c r="M2767" s="100"/>
      <c r="N2767" s="100"/>
      <c r="O2767" s="100"/>
      <c r="P2767" s="100"/>
      <c r="Q2767" s="100"/>
      <c r="R2767" s="100"/>
      <c r="S2767" s="100"/>
      <c r="T2767" s="100"/>
      <c r="U2767" s="100"/>
      <c r="V2767" s="100"/>
      <c r="W2767" s="100"/>
      <c r="X2767" s="100"/>
      <c r="Y2767" s="100"/>
      <c r="Z2767" s="100"/>
    </row>
    <row r="2768" spans="1:26">
      <c r="A2768" s="100"/>
      <c r="B2768" s="100"/>
      <c r="C2768" s="100"/>
      <c r="D2768" s="100"/>
      <c r="E2768" s="100"/>
      <c r="F2768" s="100"/>
      <c r="G2768" s="100"/>
      <c r="H2768" s="100"/>
      <c r="I2768" s="100"/>
      <c r="J2768" s="100"/>
      <c r="K2768" s="100"/>
      <c r="L2768" s="100"/>
      <c r="M2768" s="100"/>
      <c r="N2768" s="100"/>
      <c r="O2768" s="100"/>
      <c r="P2768" s="100"/>
      <c r="Q2768" s="100"/>
      <c r="R2768" s="100"/>
      <c r="S2768" s="100"/>
      <c r="T2768" s="100"/>
      <c r="U2768" s="100"/>
      <c r="V2768" s="100"/>
      <c r="W2768" s="100"/>
      <c r="X2768" s="100"/>
      <c r="Y2768" s="100"/>
      <c r="Z2768" s="100"/>
    </row>
    <row r="2769" spans="1:26">
      <c r="A2769" s="100"/>
      <c r="B2769" s="100"/>
      <c r="C2769" s="100"/>
      <c r="D2769" s="100"/>
      <c r="E2769" s="100"/>
      <c r="F2769" s="100"/>
      <c r="G2769" s="100"/>
      <c r="H2769" s="100"/>
      <c r="I2769" s="100"/>
      <c r="J2769" s="100"/>
      <c r="K2769" s="100"/>
      <c r="L2769" s="100"/>
      <c r="M2769" s="100"/>
      <c r="N2769" s="100"/>
      <c r="O2769" s="100"/>
      <c r="P2769" s="100"/>
      <c r="Q2769" s="100"/>
      <c r="R2769" s="100"/>
      <c r="S2769" s="100"/>
      <c r="T2769" s="100"/>
      <c r="U2769" s="100"/>
      <c r="V2769" s="100"/>
      <c r="W2769" s="100"/>
      <c r="X2769" s="100"/>
      <c r="Y2769" s="100"/>
      <c r="Z2769" s="100"/>
    </row>
    <row r="2770" spans="1:26">
      <c r="A2770" s="100"/>
      <c r="B2770" s="100"/>
      <c r="C2770" s="100"/>
      <c r="D2770" s="100"/>
      <c r="E2770" s="100"/>
      <c r="F2770" s="100"/>
      <c r="G2770" s="100"/>
      <c r="H2770" s="100"/>
      <c r="I2770" s="100"/>
      <c r="J2770" s="100"/>
      <c r="K2770" s="100"/>
      <c r="L2770" s="100"/>
      <c r="M2770" s="100"/>
      <c r="N2770" s="100"/>
      <c r="O2770" s="100"/>
      <c r="P2770" s="100"/>
      <c r="Q2770" s="100"/>
      <c r="R2770" s="100"/>
      <c r="S2770" s="100"/>
      <c r="T2770" s="100"/>
      <c r="U2770" s="100"/>
      <c r="V2770" s="100"/>
      <c r="W2770" s="100"/>
      <c r="X2770" s="100"/>
      <c r="Y2770" s="100"/>
      <c r="Z2770" s="100"/>
    </row>
    <row r="2771" spans="1:26">
      <c r="A2771" s="100"/>
      <c r="B2771" s="100"/>
      <c r="C2771" s="100"/>
      <c r="D2771" s="100"/>
      <c r="E2771" s="100"/>
      <c r="F2771" s="100"/>
      <c r="G2771" s="100"/>
      <c r="H2771" s="100"/>
      <c r="I2771" s="100"/>
      <c r="J2771" s="100"/>
      <c r="K2771" s="100"/>
      <c r="L2771" s="100"/>
      <c r="M2771" s="100"/>
      <c r="N2771" s="100"/>
      <c r="O2771" s="100"/>
      <c r="P2771" s="100"/>
      <c r="Q2771" s="100"/>
      <c r="R2771" s="100"/>
      <c r="S2771" s="100"/>
      <c r="T2771" s="100"/>
      <c r="U2771" s="100"/>
      <c r="V2771" s="100"/>
      <c r="W2771" s="100"/>
      <c r="X2771" s="100"/>
      <c r="Y2771" s="100"/>
      <c r="Z2771" s="100"/>
    </row>
    <row r="2772" spans="1:26">
      <c r="A2772" s="100"/>
      <c r="B2772" s="100"/>
      <c r="C2772" s="100"/>
      <c r="D2772" s="100"/>
      <c r="E2772" s="100"/>
      <c r="F2772" s="100"/>
      <c r="G2772" s="100"/>
      <c r="H2772" s="100"/>
      <c r="I2772" s="100"/>
      <c r="J2772" s="100"/>
      <c r="K2772" s="100"/>
      <c r="L2772" s="100"/>
      <c r="M2772" s="100"/>
      <c r="N2772" s="100"/>
      <c r="O2772" s="100"/>
      <c r="P2772" s="100"/>
      <c r="Q2772" s="100"/>
      <c r="R2772" s="100"/>
      <c r="S2772" s="100"/>
      <c r="T2772" s="100"/>
      <c r="U2772" s="100"/>
      <c r="V2772" s="100"/>
      <c r="W2772" s="100"/>
      <c r="X2772" s="100"/>
      <c r="Y2772" s="100"/>
      <c r="Z2772" s="100"/>
    </row>
    <row r="2773" spans="1:26">
      <c r="A2773" s="100"/>
      <c r="B2773" s="100"/>
      <c r="C2773" s="100"/>
      <c r="D2773" s="100"/>
      <c r="E2773" s="100"/>
      <c r="F2773" s="100"/>
      <c r="G2773" s="100"/>
      <c r="H2773" s="100"/>
      <c r="I2773" s="100"/>
      <c r="J2773" s="100"/>
      <c r="K2773" s="100"/>
      <c r="L2773" s="100"/>
      <c r="M2773" s="100"/>
      <c r="N2773" s="100"/>
      <c r="O2773" s="100"/>
      <c r="P2773" s="100"/>
      <c r="Q2773" s="100"/>
      <c r="R2773" s="100"/>
      <c r="S2773" s="100"/>
      <c r="T2773" s="100"/>
      <c r="U2773" s="100"/>
      <c r="V2773" s="100"/>
      <c r="W2773" s="100"/>
      <c r="X2773" s="100"/>
      <c r="Y2773" s="100"/>
      <c r="Z2773" s="100"/>
    </row>
    <row r="2774" spans="1:26">
      <c r="A2774" s="100"/>
      <c r="B2774" s="100"/>
      <c r="C2774" s="100"/>
      <c r="D2774" s="100"/>
      <c r="E2774" s="100"/>
      <c r="F2774" s="100"/>
      <c r="G2774" s="100"/>
      <c r="H2774" s="100"/>
      <c r="I2774" s="100"/>
      <c r="J2774" s="100"/>
      <c r="K2774" s="100"/>
      <c r="L2774" s="100"/>
      <c r="M2774" s="100"/>
      <c r="N2774" s="100"/>
      <c r="O2774" s="100"/>
      <c r="P2774" s="100"/>
      <c r="Q2774" s="100"/>
      <c r="R2774" s="100"/>
      <c r="S2774" s="100"/>
      <c r="T2774" s="100"/>
      <c r="U2774" s="100"/>
      <c r="V2774" s="100"/>
      <c r="W2774" s="100"/>
      <c r="X2774" s="100"/>
      <c r="Y2774" s="100"/>
      <c r="Z2774" s="100"/>
    </row>
    <row r="2775" spans="1:26">
      <c r="A2775" s="100"/>
      <c r="B2775" s="100"/>
      <c r="C2775" s="100"/>
      <c r="D2775" s="100"/>
      <c r="E2775" s="100"/>
      <c r="F2775" s="100"/>
      <c r="G2775" s="100"/>
      <c r="H2775" s="100"/>
      <c r="I2775" s="100"/>
      <c r="J2775" s="100"/>
      <c r="K2775" s="100"/>
      <c r="L2775" s="100"/>
      <c r="M2775" s="100"/>
      <c r="N2775" s="100"/>
      <c r="O2775" s="100"/>
      <c r="P2775" s="100"/>
      <c r="Q2775" s="100"/>
      <c r="R2775" s="100"/>
      <c r="S2775" s="100"/>
      <c r="T2775" s="100"/>
      <c r="U2775" s="100"/>
      <c r="V2775" s="100"/>
      <c r="W2775" s="100"/>
      <c r="X2775" s="100"/>
      <c r="Y2775" s="100"/>
      <c r="Z2775" s="100"/>
    </row>
    <row r="2776" spans="1:26">
      <c r="A2776" s="100"/>
      <c r="B2776" s="100"/>
      <c r="C2776" s="100"/>
      <c r="D2776" s="100"/>
      <c r="E2776" s="100"/>
      <c r="F2776" s="100"/>
      <c r="G2776" s="100"/>
      <c r="H2776" s="100"/>
      <c r="I2776" s="100"/>
      <c r="J2776" s="100"/>
      <c r="K2776" s="100"/>
      <c r="L2776" s="100"/>
      <c r="M2776" s="100"/>
      <c r="N2776" s="100"/>
      <c r="O2776" s="100"/>
      <c r="P2776" s="100"/>
      <c r="Q2776" s="100"/>
      <c r="R2776" s="100"/>
      <c r="S2776" s="100"/>
      <c r="T2776" s="100"/>
      <c r="U2776" s="100"/>
      <c r="V2776" s="100"/>
      <c r="W2776" s="100"/>
      <c r="X2776" s="100"/>
      <c r="Y2776" s="100"/>
      <c r="Z2776" s="100"/>
    </row>
    <row r="2777" spans="1:26">
      <c r="A2777" s="100"/>
      <c r="B2777" s="100"/>
      <c r="C2777" s="100"/>
      <c r="D2777" s="100"/>
      <c r="E2777" s="100"/>
      <c r="F2777" s="100"/>
      <c r="G2777" s="100"/>
      <c r="H2777" s="100"/>
      <c r="I2777" s="100"/>
      <c r="J2777" s="100"/>
      <c r="K2777" s="100"/>
      <c r="L2777" s="100"/>
      <c r="M2777" s="100"/>
      <c r="N2777" s="100"/>
      <c r="O2777" s="100"/>
      <c r="P2777" s="100"/>
      <c r="Q2777" s="100"/>
      <c r="R2777" s="100"/>
      <c r="S2777" s="100"/>
      <c r="T2777" s="100"/>
      <c r="U2777" s="100"/>
      <c r="V2777" s="100"/>
      <c r="W2777" s="100"/>
      <c r="X2777" s="100"/>
      <c r="Y2777" s="100"/>
      <c r="Z2777" s="100"/>
    </row>
    <row r="2778" spans="1:26">
      <c r="A2778" s="100"/>
      <c r="B2778" s="100"/>
      <c r="C2778" s="100"/>
      <c r="D2778" s="100"/>
      <c r="E2778" s="100"/>
      <c r="F2778" s="100"/>
      <c r="G2778" s="100"/>
      <c r="H2778" s="100"/>
      <c r="I2778" s="100"/>
      <c r="J2778" s="100"/>
      <c r="K2778" s="100"/>
      <c r="L2778" s="100"/>
      <c r="M2778" s="100"/>
      <c r="N2778" s="100"/>
      <c r="O2778" s="100"/>
      <c r="P2778" s="100"/>
      <c r="Q2778" s="100"/>
      <c r="R2778" s="100"/>
      <c r="S2778" s="100"/>
      <c r="T2778" s="100"/>
      <c r="U2778" s="100"/>
      <c r="V2778" s="100"/>
      <c r="W2778" s="100"/>
      <c r="X2778" s="100"/>
      <c r="Y2778" s="100"/>
      <c r="Z2778" s="100"/>
    </row>
    <row r="2779" spans="1:26">
      <c r="A2779" s="100"/>
      <c r="B2779" s="100"/>
      <c r="C2779" s="100"/>
      <c r="D2779" s="100"/>
      <c r="E2779" s="100"/>
      <c r="F2779" s="100"/>
      <c r="G2779" s="100"/>
      <c r="H2779" s="100"/>
      <c r="I2779" s="100"/>
      <c r="J2779" s="100"/>
      <c r="K2779" s="100"/>
      <c r="L2779" s="100"/>
      <c r="M2779" s="100"/>
      <c r="N2779" s="100"/>
      <c r="O2779" s="100"/>
      <c r="P2779" s="100"/>
      <c r="Q2779" s="100"/>
      <c r="R2779" s="100"/>
      <c r="S2779" s="100"/>
      <c r="T2779" s="100"/>
      <c r="U2779" s="100"/>
      <c r="V2779" s="100"/>
      <c r="W2779" s="100"/>
      <c r="X2779" s="100"/>
      <c r="Y2779" s="100"/>
      <c r="Z2779" s="100"/>
    </row>
    <row r="2780" spans="1:26">
      <c r="A2780" s="100"/>
      <c r="B2780" s="100"/>
      <c r="C2780" s="100"/>
      <c r="D2780" s="100"/>
      <c r="E2780" s="100"/>
      <c r="F2780" s="100"/>
      <c r="G2780" s="100"/>
      <c r="H2780" s="100"/>
      <c r="I2780" s="100"/>
      <c r="J2780" s="100"/>
      <c r="K2780" s="100"/>
      <c r="L2780" s="100"/>
      <c r="M2780" s="100"/>
      <c r="N2780" s="100"/>
      <c r="O2780" s="100"/>
      <c r="P2780" s="100"/>
      <c r="Q2780" s="100"/>
      <c r="R2780" s="100"/>
      <c r="S2780" s="100"/>
      <c r="T2780" s="100"/>
      <c r="U2780" s="100"/>
      <c r="V2780" s="100"/>
      <c r="W2780" s="100"/>
      <c r="X2780" s="100"/>
      <c r="Y2780" s="100"/>
      <c r="Z2780" s="100"/>
    </row>
    <row r="2781" spans="1:26">
      <c r="A2781" s="100"/>
      <c r="B2781" s="100"/>
      <c r="C2781" s="100"/>
      <c r="D2781" s="100"/>
      <c r="E2781" s="100"/>
      <c r="F2781" s="100"/>
      <c r="G2781" s="100"/>
      <c r="H2781" s="100"/>
      <c r="I2781" s="100"/>
      <c r="J2781" s="100"/>
      <c r="K2781" s="100"/>
      <c r="L2781" s="100"/>
      <c r="M2781" s="100"/>
      <c r="N2781" s="100"/>
      <c r="O2781" s="100"/>
      <c r="P2781" s="100"/>
      <c r="Q2781" s="100"/>
      <c r="R2781" s="100"/>
      <c r="S2781" s="100"/>
      <c r="T2781" s="100"/>
      <c r="U2781" s="100"/>
      <c r="V2781" s="100"/>
      <c r="W2781" s="100"/>
      <c r="X2781" s="100"/>
      <c r="Y2781" s="100"/>
      <c r="Z2781" s="100"/>
    </row>
    <row r="2782" spans="1:26">
      <c r="A2782" s="100"/>
      <c r="B2782" s="100"/>
      <c r="C2782" s="100"/>
      <c r="D2782" s="100"/>
      <c r="E2782" s="100"/>
      <c r="F2782" s="100"/>
      <c r="G2782" s="100"/>
      <c r="H2782" s="100"/>
      <c r="I2782" s="100"/>
      <c r="J2782" s="100"/>
      <c r="K2782" s="100"/>
      <c r="L2782" s="100"/>
      <c r="M2782" s="100"/>
      <c r="N2782" s="100"/>
      <c r="O2782" s="100"/>
      <c r="P2782" s="100"/>
      <c r="Q2782" s="100"/>
      <c r="R2782" s="100"/>
      <c r="S2782" s="100"/>
      <c r="T2782" s="100"/>
      <c r="U2782" s="100"/>
      <c r="V2782" s="100"/>
      <c r="W2782" s="100"/>
      <c r="X2782" s="100"/>
      <c r="Y2782" s="100"/>
      <c r="Z2782" s="100"/>
    </row>
    <row r="2783" spans="1:26">
      <c r="A2783" s="100"/>
      <c r="B2783" s="100"/>
      <c r="C2783" s="100"/>
      <c r="D2783" s="100"/>
      <c r="E2783" s="100"/>
      <c r="F2783" s="100"/>
      <c r="G2783" s="100"/>
      <c r="H2783" s="100"/>
      <c r="I2783" s="100"/>
      <c r="J2783" s="100"/>
      <c r="K2783" s="100"/>
      <c r="L2783" s="100"/>
      <c r="M2783" s="100"/>
      <c r="N2783" s="100"/>
      <c r="O2783" s="100"/>
      <c r="P2783" s="100"/>
      <c r="Q2783" s="100"/>
      <c r="R2783" s="100"/>
      <c r="S2783" s="100"/>
      <c r="T2783" s="100"/>
      <c r="U2783" s="100"/>
      <c r="V2783" s="100"/>
      <c r="W2783" s="100"/>
      <c r="X2783" s="100"/>
      <c r="Y2783" s="100"/>
      <c r="Z2783" s="100"/>
    </row>
    <row r="2784" spans="1:26">
      <c r="A2784" s="100"/>
      <c r="B2784" s="100"/>
      <c r="C2784" s="100"/>
      <c r="D2784" s="100"/>
      <c r="E2784" s="100"/>
      <c r="F2784" s="100"/>
      <c r="G2784" s="100"/>
      <c r="H2784" s="100"/>
      <c r="I2784" s="100"/>
      <c r="J2784" s="100"/>
      <c r="K2784" s="100"/>
      <c r="L2784" s="100"/>
      <c r="M2784" s="100"/>
      <c r="N2784" s="100"/>
      <c r="O2784" s="100"/>
      <c r="P2784" s="100"/>
      <c r="Q2784" s="100"/>
      <c r="R2784" s="100"/>
      <c r="S2784" s="100"/>
      <c r="T2784" s="100"/>
      <c r="U2784" s="100"/>
      <c r="V2784" s="100"/>
      <c r="W2784" s="100"/>
      <c r="X2784" s="100"/>
      <c r="Y2784" s="100"/>
      <c r="Z2784" s="100"/>
    </row>
    <row r="2785" spans="1:26">
      <c r="A2785" s="100"/>
      <c r="B2785" s="100"/>
      <c r="C2785" s="100"/>
      <c r="D2785" s="100"/>
      <c r="E2785" s="100"/>
      <c r="F2785" s="100"/>
      <c r="G2785" s="100"/>
      <c r="H2785" s="100"/>
      <c r="I2785" s="100"/>
      <c r="J2785" s="100"/>
      <c r="K2785" s="100"/>
      <c r="L2785" s="100"/>
      <c r="M2785" s="100"/>
      <c r="N2785" s="100"/>
      <c r="O2785" s="100"/>
      <c r="P2785" s="100"/>
      <c r="Q2785" s="100"/>
      <c r="R2785" s="100"/>
      <c r="S2785" s="100"/>
      <c r="T2785" s="100"/>
      <c r="U2785" s="100"/>
      <c r="V2785" s="100"/>
      <c r="W2785" s="100"/>
      <c r="X2785" s="100"/>
      <c r="Y2785" s="100"/>
      <c r="Z2785" s="100"/>
    </row>
    <row r="2786" spans="1:26">
      <c r="A2786" s="100"/>
      <c r="B2786" s="100"/>
      <c r="C2786" s="100"/>
      <c r="D2786" s="100"/>
      <c r="E2786" s="100"/>
      <c r="F2786" s="100"/>
      <c r="G2786" s="100"/>
      <c r="H2786" s="100"/>
      <c r="I2786" s="100"/>
      <c r="J2786" s="100"/>
      <c r="K2786" s="100"/>
      <c r="L2786" s="100"/>
      <c r="M2786" s="100"/>
      <c r="N2786" s="100"/>
      <c r="O2786" s="100"/>
      <c r="P2786" s="100"/>
      <c r="Q2786" s="100"/>
      <c r="R2786" s="100"/>
      <c r="S2786" s="100"/>
      <c r="T2786" s="100"/>
      <c r="U2786" s="100"/>
      <c r="V2786" s="100"/>
      <c r="W2786" s="100"/>
      <c r="X2786" s="100"/>
      <c r="Y2786" s="100"/>
      <c r="Z2786" s="100"/>
    </row>
    <row r="2787" spans="1:26">
      <c r="A2787" s="100"/>
      <c r="B2787" s="100"/>
      <c r="C2787" s="100"/>
      <c r="D2787" s="100"/>
      <c r="E2787" s="100"/>
      <c r="F2787" s="100"/>
      <c r="G2787" s="100"/>
      <c r="H2787" s="100"/>
      <c r="I2787" s="100"/>
      <c r="J2787" s="100"/>
      <c r="K2787" s="100"/>
      <c r="L2787" s="100"/>
      <c r="M2787" s="100"/>
      <c r="N2787" s="100"/>
      <c r="O2787" s="100"/>
      <c r="P2787" s="100"/>
      <c r="Q2787" s="100"/>
      <c r="R2787" s="100"/>
      <c r="S2787" s="100"/>
      <c r="T2787" s="100"/>
      <c r="U2787" s="100"/>
      <c r="V2787" s="100"/>
      <c r="W2787" s="100"/>
      <c r="X2787" s="100"/>
      <c r="Y2787" s="100"/>
      <c r="Z2787" s="100"/>
    </row>
    <row r="2788" spans="1:26">
      <c r="A2788" s="100"/>
      <c r="B2788" s="100"/>
      <c r="C2788" s="100"/>
      <c r="D2788" s="100"/>
      <c r="E2788" s="100"/>
      <c r="F2788" s="100"/>
      <c r="G2788" s="100"/>
      <c r="H2788" s="100"/>
      <c r="I2788" s="100"/>
      <c r="J2788" s="100"/>
      <c r="K2788" s="100"/>
      <c r="L2788" s="100"/>
      <c r="M2788" s="100"/>
      <c r="N2788" s="100"/>
      <c r="O2788" s="100"/>
      <c r="P2788" s="100"/>
      <c r="Q2788" s="100"/>
      <c r="R2788" s="100"/>
      <c r="S2788" s="100"/>
      <c r="T2788" s="100"/>
      <c r="U2788" s="100"/>
      <c r="V2788" s="100"/>
      <c r="W2788" s="100"/>
      <c r="X2788" s="100"/>
      <c r="Y2788" s="100"/>
      <c r="Z2788" s="100"/>
    </row>
    <row r="2789" spans="1:26">
      <c r="A2789" s="100"/>
      <c r="B2789" s="100"/>
      <c r="C2789" s="100"/>
      <c r="D2789" s="100"/>
      <c r="E2789" s="100"/>
      <c r="F2789" s="100"/>
      <c r="G2789" s="100"/>
      <c r="H2789" s="100"/>
      <c r="I2789" s="100"/>
      <c r="J2789" s="100"/>
      <c r="K2789" s="100"/>
      <c r="L2789" s="100"/>
      <c r="M2789" s="100"/>
      <c r="N2789" s="100"/>
      <c r="O2789" s="100"/>
      <c r="P2789" s="100"/>
      <c r="Q2789" s="100"/>
      <c r="R2789" s="100"/>
      <c r="S2789" s="100"/>
      <c r="T2789" s="100"/>
      <c r="U2789" s="100"/>
      <c r="V2789" s="100"/>
      <c r="W2789" s="100"/>
      <c r="X2789" s="100"/>
      <c r="Y2789" s="100"/>
      <c r="Z2789" s="100"/>
    </row>
    <row r="2790" spans="1:26">
      <c r="A2790" s="100"/>
      <c r="B2790" s="100"/>
      <c r="C2790" s="100"/>
      <c r="D2790" s="100"/>
      <c r="E2790" s="100"/>
      <c r="F2790" s="100"/>
      <c r="G2790" s="100"/>
      <c r="H2790" s="100"/>
      <c r="I2790" s="100"/>
      <c r="J2790" s="100"/>
      <c r="K2790" s="100"/>
      <c r="L2790" s="100"/>
      <c r="M2790" s="100"/>
      <c r="N2790" s="100"/>
      <c r="O2790" s="100"/>
      <c r="P2790" s="100"/>
      <c r="Q2790" s="100"/>
      <c r="R2790" s="100"/>
      <c r="S2790" s="100"/>
      <c r="T2790" s="100"/>
      <c r="U2790" s="100"/>
      <c r="V2790" s="100"/>
      <c r="W2790" s="100"/>
      <c r="X2790" s="100"/>
      <c r="Y2790" s="100"/>
      <c r="Z2790" s="100"/>
    </row>
    <row r="2791" spans="1:26">
      <c r="A2791" s="100"/>
      <c r="B2791" s="100"/>
      <c r="C2791" s="100"/>
      <c r="D2791" s="100"/>
      <c r="E2791" s="100"/>
      <c r="F2791" s="100"/>
      <c r="G2791" s="100"/>
      <c r="H2791" s="100"/>
      <c r="I2791" s="100"/>
      <c r="J2791" s="100"/>
      <c r="K2791" s="100"/>
      <c r="L2791" s="100"/>
      <c r="M2791" s="100"/>
      <c r="N2791" s="100"/>
      <c r="O2791" s="100"/>
      <c r="P2791" s="100"/>
      <c r="Q2791" s="100"/>
      <c r="R2791" s="100"/>
      <c r="S2791" s="100"/>
      <c r="T2791" s="100"/>
      <c r="U2791" s="100"/>
      <c r="V2791" s="100"/>
      <c r="W2791" s="100"/>
      <c r="X2791" s="100"/>
      <c r="Y2791" s="100"/>
      <c r="Z2791" s="100"/>
    </row>
    <row r="2792" spans="1:26">
      <c r="A2792" s="100"/>
      <c r="B2792" s="100"/>
      <c r="C2792" s="100"/>
      <c r="D2792" s="100"/>
      <c r="E2792" s="100"/>
      <c r="F2792" s="100"/>
      <c r="G2792" s="100"/>
      <c r="H2792" s="100"/>
      <c r="I2792" s="100"/>
      <c r="J2792" s="100"/>
      <c r="K2792" s="100"/>
      <c r="L2792" s="100"/>
      <c r="M2792" s="100"/>
      <c r="N2792" s="100"/>
      <c r="O2792" s="100"/>
      <c r="P2792" s="100"/>
      <c r="Q2792" s="100"/>
      <c r="R2792" s="100"/>
      <c r="S2792" s="100"/>
      <c r="T2792" s="100"/>
      <c r="U2792" s="100"/>
      <c r="V2792" s="100"/>
      <c r="W2792" s="100"/>
      <c r="X2792" s="100"/>
      <c r="Y2792" s="100"/>
      <c r="Z2792" s="100"/>
    </row>
    <row r="2793" spans="1:26">
      <c r="A2793" s="100"/>
      <c r="B2793" s="100"/>
      <c r="C2793" s="100"/>
      <c r="D2793" s="100"/>
      <c r="E2793" s="100"/>
      <c r="F2793" s="100"/>
      <c r="G2793" s="100"/>
      <c r="H2793" s="100"/>
      <c r="I2793" s="100"/>
      <c r="J2793" s="100"/>
      <c r="K2793" s="100"/>
      <c r="L2793" s="100"/>
      <c r="M2793" s="100"/>
      <c r="N2793" s="100"/>
      <c r="O2793" s="100"/>
      <c r="P2793" s="100"/>
      <c r="Q2793" s="100"/>
      <c r="R2793" s="100"/>
      <c r="S2793" s="100"/>
      <c r="T2793" s="100"/>
      <c r="U2793" s="100"/>
      <c r="V2793" s="100"/>
      <c r="W2793" s="100"/>
      <c r="X2793" s="100"/>
      <c r="Y2793" s="100"/>
      <c r="Z2793" s="100"/>
    </row>
    <row r="2794" spans="1:26">
      <c r="A2794" s="100"/>
      <c r="B2794" s="100"/>
      <c r="C2794" s="100"/>
      <c r="D2794" s="100"/>
      <c r="E2794" s="100"/>
      <c r="F2794" s="100"/>
      <c r="G2794" s="100"/>
      <c r="H2794" s="100"/>
      <c r="I2794" s="100"/>
      <c r="J2794" s="100"/>
      <c r="K2794" s="100"/>
      <c r="L2794" s="100"/>
      <c r="M2794" s="100"/>
      <c r="N2794" s="100"/>
      <c r="O2794" s="100"/>
      <c r="P2794" s="100"/>
      <c r="Q2794" s="100"/>
      <c r="R2794" s="100"/>
      <c r="S2794" s="100"/>
      <c r="T2794" s="100"/>
      <c r="U2794" s="100"/>
      <c r="V2794" s="100"/>
      <c r="W2794" s="100"/>
      <c r="X2794" s="100"/>
      <c r="Y2794" s="100"/>
      <c r="Z2794" s="100"/>
    </row>
    <row r="2795" spans="1:26">
      <c r="A2795" s="100"/>
      <c r="B2795" s="100"/>
      <c r="C2795" s="100"/>
      <c r="D2795" s="100"/>
      <c r="E2795" s="100"/>
      <c r="F2795" s="100"/>
      <c r="G2795" s="100"/>
      <c r="H2795" s="100"/>
      <c r="I2795" s="100"/>
      <c r="J2795" s="100"/>
      <c r="K2795" s="100"/>
      <c r="L2795" s="100"/>
      <c r="M2795" s="100"/>
      <c r="N2795" s="100"/>
      <c r="O2795" s="100"/>
      <c r="P2795" s="100"/>
      <c r="Q2795" s="100"/>
      <c r="R2795" s="100"/>
      <c r="S2795" s="100"/>
      <c r="T2795" s="100"/>
      <c r="U2795" s="100"/>
      <c r="V2795" s="100"/>
      <c r="W2795" s="100"/>
      <c r="X2795" s="100"/>
      <c r="Y2795" s="100"/>
      <c r="Z2795" s="100"/>
    </row>
    <row r="2796" spans="1:26">
      <c r="A2796" s="100"/>
      <c r="B2796" s="100"/>
      <c r="C2796" s="100"/>
      <c r="D2796" s="100"/>
      <c r="E2796" s="100"/>
      <c r="F2796" s="100"/>
      <c r="G2796" s="100"/>
      <c r="H2796" s="100"/>
      <c r="I2796" s="100"/>
      <c r="J2796" s="100"/>
      <c r="K2796" s="100"/>
      <c r="L2796" s="100"/>
      <c r="M2796" s="100"/>
      <c r="N2796" s="100"/>
      <c r="O2796" s="100"/>
      <c r="P2796" s="100"/>
      <c r="Q2796" s="100"/>
      <c r="R2796" s="100"/>
      <c r="S2796" s="100"/>
      <c r="T2796" s="100"/>
      <c r="U2796" s="100"/>
      <c r="V2796" s="100"/>
      <c r="W2796" s="100"/>
      <c r="X2796" s="100"/>
      <c r="Y2796" s="100"/>
      <c r="Z2796" s="100"/>
    </row>
    <row r="2797" spans="1:26">
      <c r="A2797" s="100"/>
      <c r="B2797" s="100"/>
      <c r="C2797" s="100"/>
      <c r="D2797" s="100"/>
      <c r="E2797" s="100"/>
      <c r="F2797" s="100"/>
      <c r="G2797" s="100"/>
      <c r="H2797" s="100"/>
      <c r="I2797" s="100"/>
      <c r="J2797" s="100"/>
      <c r="K2797" s="100"/>
      <c r="L2797" s="100"/>
      <c r="M2797" s="100"/>
      <c r="N2797" s="100"/>
      <c r="O2797" s="100"/>
      <c r="P2797" s="100"/>
      <c r="Q2797" s="100"/>
      <c r="R2797" s="100"/>
      <c r="S2797" s="100"/>
      <c r="T2797" s="100"/>
      <c r="U2797" s="100"/>
      <c r="V2797" s="100"/>
      <c r="W2797" s="100"/>
      <c r="X2797" s="100"/>
      <c r="Y2797" s="100"/>
      <c r="Z2797" s="100"/>
    </row>
    <row r="2798" spans="1:26">
      <c r="A2798" s="100"/>
      <c r="B2798" s="100"/>
      <c r="C2798" s="100"/>
      <c r="D2798" s="100"/>
      <c r="E2798" s="100"/>
      <c r="F2798" s="100"/>
      <c r="G2798" s="100"/>
      <c r="H2798" s="100"/>
      <c r="I2798" s="100"/>
      <c r="J2798" s="100"/>
      <c r="K2798" s="100"/>
      <c r="L2798" s="100"/>
      <c r="M2798" s="100"/>
      <c r="N2798" s="100"/>
      <c r="O2798" s="100"/>
      <c r="P2798" s="100"/>
      <c r="Q2798" s="100"/>
      <c r="R2798" s="100"/>
      <c r="S2798" s="100"/>
      <c r="T2798" s="100"/>
      <c r="U2798" s="100"/>
      <c r="V2798" s="100"/>
      <c r="W2798" s="100"/>
      <c r="X2798" s="100"/>
      <c r="Y2798" s="100"/>
      <c r="Z2798" s="100"/>
    </row>
    <row r="2799" spans="1:26">
      <c r="A2799" s="100"/>
      <c r="B2799" s="100"/>
      <c r="C2799" s="100"/>
      <c r="D2799" s="100"/>
      <c r="E2799" s="100"/>
      <c r="F2799" s="100"/>
      <c r="G2799" s="100"/>
      <c r="H2799" s="100"/>
      <c r="I2799" s="100"/>
      <c r="J2799" s="100"/>
      <c r="K2799" s="100"/>
      <c r="L2799" s="100"/>
      <c r="M2799" s="100"/>
      <c r="N2799" s="100"/>
      <c r="O2799" s="100"/>
      <c r="P2799" s="100"/>
      <c r="Q2799" s="100"/>
      <c r="R2799" s="100"/>
      <c r="S2799" s="100"/>
      <c r="T2799" s="100"/>
      <c r="U2799" s="100"/>
      <c r="V2799" s="100"/>
      <c r="W2799" s="100"/>
      <c r="X2799" s="100"/>
      <c r="Y2799" s="100"/>
      <c r="Z2799" s="100"/>
    </row>
    <row r="2800" spans="1:26">
      <c r="A2800" s="100"/>
      <c r="B2800" s="100"/>
      <c r="C2800" s="100"/>
      <c r="D2800" s="100"/>
      <c r="E2800" s="100"/>
      <c r="F2800" s="100"/>
      <c r="G2800" s="100"/>
      <c r="H2800" s="100"/>
      <c r="I2800" s="100"/>
      <c r="J2800" s="100"/>
      <c r="K2800" s="100"/>
      <c r="L2800" s="100"/>
      <c r="M2800" s="100"/>
      <c r="N2800" s="100"/>
      <c r="O2800" s="100"/>
      <c r="P2800" s="100"/>
      <c r="Q2800" s="100"/>
      <c r="R2800" s="100"/>
      <c r="S2800" s="100"/>
      <c r="T2800" s="100"/>
      <c r="U2800" s="100"/>
      <c r="V2800" s="100"/>
      <c r="W2800" s="100"/>
      <c r="X2800" s="100"/>
      <c r="Y2800" s="100"/>
      <c r="Z2800" s="100"/>
    </row>
    <row r="2801" spans="1:26">
      <c r="A2801" s="100"/>
      <c r="B2801" s="100"/>
      <c r="C2801" s="100"/>
      <c r="D2801" s="100"/>
      <c r="E2801" s="100"/>
      <c r="F2801" s="100"/>
      <c r="G2801" s="100"/>
      <c r="H2801" s="100"/>
      <c r="I2801" s="100"/>
      <c r="J2801" s="100"/>
      <c r="K2801" s="100"/>
      <c r="L2801" s="100"/>
      <c r="M2801" s="100"/>
      <c r="N2801" s="100"/>
      <c r="O2801" s="100"/>
      <c r="P2801" s="100"/>
      <c r="Q2801" s="100"/>
      <c r="R2801" s="100"/>
      <c r="S2801" s="100"/>
      <c r="T2801" s="100"/>
      <c r="U2801" s="100"/>
      <c r="V2801" s="100"/>
      <c r="W2801" s="100"/>
      <c r="X2801" s="100"/>
      <c r="Y2801" s="100"/>
      <c r="Z2801" s="100"/>
    </row>
    <row r="2802" spans="1:26">
      <c r="A2802" s="100"/>
      <c r="B2802" s="100"/>
      <c r="C2802" s="100"/>
      <c r="D2802" s="100"/>
      <c r="E2802" s="100"/>
      <c r="F2802" s="100"/>
      <c r="G2802" s="100"/>
      <c r="H2802" s="100"/>
      <c r="I2802" s="100"/>
      <c r="J2802" s="100"/>
      <c r="K2802" s="100"/>
      <c r="L2802" s="100"/>
      <c r="M2802" s="100"/>
      <c r="N2802" s="100"/>
      <c r="O2802" s="100"/>
      <c r="P2802" s="100"/>
      <c r="Q2802" s="100"/>
      <c r="R2802" s="100"/>
      <c r="S2802" s="100"/>
      <c r="T2802" s="100"/>
      <c r="U2802" s="100"/>
      <c r="V2802" s="100"/>
      <c r="W2802" s="100"/>
      <c r="X2802" s="100"/>
      <c r="Y2802" s="100"/>
      <c r="Z2802" s="100"/>
    </row>
    <row r="2803" spans="1:26">
      <c r="A2803" s="100"/>
      <c r="B2803" s="100"/>
      <c r="C2803" s="100"/>
      <c r="D2803" s="100"/>
      <c r="E2803" s="100"/>
      <c r="F2803" s="100"/>
      <c r="G2803" s="100"/>
      <c r="H2803" s="100"/>
      <c r="I2803" s="100"/>
      <c r="J2803" s="100"/>
      <c r="K2803" s="100"/>
      <c r="L2803" s="100"/>
      <c r="M2803" s="100"/>
      <c r="N2803" s="100"/>
      <c r="O2803" s="100"/>
      <c r="P2803" s="100"/>
      <c r="Q2803" s="100"/>
      <c r="R2803" s="100"/>
      <c r="S2803" s="100"/>
      <c r="T2803" s="100"/>
      <c r="U2803" s="100"/>
      <c r="V2803" s="100"/>
      <c r="W2803" s="100"/>
      <c r="X2803" s="100"/>
      <c r="Y2803" s="100"/>
      <c r="Z2803" s="100"/>
    </row>
    <row r="2804" spans="1:26">
      <c r="A2804" s="100"/>
      <c r="B2804" s="100"/>
      <c r="C2804" s="100"/>
      <c r="D2804" s="100"/>
      <c r="E2804" s="100"/>
      <c r="F2804" s="100"/>
      <c r="G2804" s="100"/>
      <c r="H2804" s="100"/>
      <c r="I2804" s="100"/>
      <c r="J2804" s="100"/>
      <c r="K2804" s="100"/>
      <c r="L2804" s="100"/>
      <c r="M2804" s="100"/>
      <c r="N2804" s="100"/>
      <c r="O2804" s="100"/>
      <c r="P2804" s="100"/>
      <c r="Q2804" s="100"/>
      <c r="R2804" s="100"/>
      <c r="S2804" s="100"/>
      <c r="T2804" s="100"/>
      <c r="U2804" s="100"/>
      <c r="V2804" s="100"/>
      <c r="W2804" s="100"/>
      <c r="X2804" s="100"/>
      <c r="Y2804" s="100"/>
      <c r="Z2804" s="100"/>
    </row>
    <row r="2805" spans="1:26">
      <c r="A2805" s="100"/>
      <c r="B2805" s="100"/>
      <c r="C2805" s="100"/>
      <c r="D2805" s="100"/>
      <c r="E2805" s="100"/>
      <c r="F2805" s="100"/>
      <c r="G2805" s="100"/>
      <c r="H2805" s="100"/>
      <c r="I2805" s="100"/>
      <c r="J2805" s="100"/>
      <c r="K2805" s="100"/>
      <c r="L2805" s="100"/>
      <c r="M2805" s="100"/>
      <c r="N2805" s="100"/>
      <c r="O2805" s="100"/>
      <c r="P2805" s="100"/>
      <c r="Q2805" s="100"/>
      <c r="R2805" s="100"/>
      <c r="S2805" s="100"/>
      <c r="T2805" s="100"/>
      <c r="U2805" s="100"/>
      <c r="V2805" s="100"/>
      <c r="W2805" s="100"/>
      <c r="X2805" s="100"/>
      <c r="Y2805" s="100"/>
      <c r="Z2805" s="100"/>
    </row>
    <row r="2806" spans="1:26">
      <c r="A2806" s="100"/>
      <c r="B2806" s="100"/>
      <c r="C2806" s="100"/>
      <c r="D2806" s="100"/>
      <c r="E2806" s="100"/>
      <c r="F2806" s="100"/>
      <c r="G2806" s="100"/>
      <c r="H2806" s="100"/>
      <c r="I2806" s="100"/>
      <c r="J2806" s="100"/>
      <c r="K2806" s="100"/>
      <c r="L2806" s="100"/>
      <c r="M2806" s="100"/>
      <c r="N2806" s="100"/>
      <c r="O2806" s="100"/>
      <c r="P2806" s="100"/>
      <c r="Q2806" s="100"/>
      <c r="R2806" s="100"/>
      <c r="S2806" s="100"/>
      <c r="T2806" s="100"/>
      <c r="U2806" s="100"/>
      <c r="V2806" s="100"/>
      <c r="W2806" s="100"/>
      <c r="X2806" s="100"/>
      <c r="Y2806" s="100"/>
      <c r="Z2806" s="100"/>
    </row>
    <row r="2807" spans="1:26">
      <c r="A2807" s="100"/>
      <c r="B2807" s="100"/>
      <c r="C2807" s="100"/>
      <c r="D2807" s="100"/>
      <c r="E2807" s="100"/>
      <c r="F2807" s="100"/>
      <c r="G2807" s="100"/>
      <c r="H2807" s="100"/>
      <c r="I2807" s="100"/>
      <c r="J2807" s="100"/>
      <c r="K2807" s="100"/>
      <c r="L2807" s="100"/>
      <c r="M2807" s="100"/>
      <c r="N2807" s="100"/>
      <c r="O2807" s="100"/>
      <c r="P2807" s="100"/>
      <c r="Q2807" s="100"/>
      <c r="R2807" s="100"/>
      <c r="S2807" s="100"/>
      <c r="T2807" s="100"/>
      <c r="U2807" s="100"/>
      <c r="V2807" s="100"/>
      <c r="W2807" s="100"/>
      <c r="X2807" s="100"/>
      <c r="Y2807" s="100"/>
      <c r="Z2807" s="100"/>
    </row>
    <row r="2808" spans="1:26">
      <c r="A2808" s="100"/>
      <c r="B2808" s="100"/>
      <c r="C2808" s="100"/>
      <c r="D2808" s="100"/>
      <c r="E2808" s="100"/>
      <c r="F2808" s="100"/>
      <c r="G2808" s="100"/>
      <c r="H2808" s="100"/>
      <c r="I2808" s="100"/>
      <c r="J2808" s="100"/>
      <c r="K2808" s="100"/>
      <c r="L2808" s="100"/>
      <c r="M2808" s="100"/>
      <c r="N2808" s="100"/>
      <c r="O2808" s="100"/>
      <c r="P2808" s="100"/>
      <c r="Q2808" s="100"/>
      <c r="R2808" s="100"/>
      <c r="S2808" s="100"/>
      <c r="T2808" s="100"/>
      <c r="U2808" s="100"/>
      <c r="V2808" s="100"/>
      <c r="W2808" s="100"/>
      <c r="X2808" s="100"/>
      <c r="Y2808" s="100"/>
      <c r="Z2808" s="100"/>
    </row>
    <row r="2809" spans="1:26">
      <c r="A2809" s="100"/>
      <c r="B2809" s="100"/>
      <c r="C2809" s="100"/>
      <c r="D2809" s="100"/>
      <c r="E2809" s="100"/>
      <c r="F2809" s="100"/>
      <c r="G2809" s="100"/>
      <c r="H2809" s="100"/>
      <c r="I2809" s="100"/>
      <c r="J2809" s="100"/>
      <c r="K2809" s="100"/>
      <c r="L2809" s="100"/>
      <c r="M2809" s="100"/>
      <c r="N2809" s="100"/>
      <c r="O2809" s="100"/>
      <c r="P2809" s="100"/>
      <c r="Q2809" s="100"/>
      <c r="R2809" s="100"/>
      <c r="S2809" s="100"/>
      <c r="T2809" s="100"/>
      <c r="U2809" s="100"/>
      <c r="V2809" s="100"/>
      <c r="W2809" s="100"/>
      <c r="X2809" s="100"/>
      <c r="Y2809" s="100"/>
      <c r="Z2809" s="100"/>
    </row>
    <row r="2810" spans="1:26">
      <c r="A2810" s="100"/>
      <c r="B2810" s="100"/>
      <c r="C2810" s="100"/>
      <c r="D2810" s="100"/>
      <c r="E2810" s="100"/>
      <c r="F2810" s="100"/>
      <c r="G2810" s="100"/>
      <c r="H2810" s="100"/>
      <c r="I2810" s="100"/>
      <c r="J2810" s="100"/>
      <c r="K2810" s="100"/>
      <c r="L2810" s="100"/>
      <c r="M2810" s="100"/>
      <c r="N2810" s="100"/>
      <c r="O2810" s="100"/>
      <c r="P2810" s="100"/>
      <c r="Q2810" s="100"/>
      <c r="R2810" s="100"/>
      <c r="S2810" s="100"/>
      <c r="T2810" s="100"/>
      <c r="U2810" s="100"/>
      <c r="V2810" s="100"/>
      <c r="W2810" s="100"/>
      <c r="X2810" s="100"/>
      <c r="Y2810" s="100"/>
      <c r="Z2810" s="100"/>
    </row>
    <row r="2811" spans="1:26">
      <c r="A2811" s="100"/>
      <c r="B2811" s="100"/>
      <c r="C2811" s="100"/>
      <c r="D2811" s="100"/>
      <c r="E2811" s="100"/>
      <c r="F2811" s="100"/>
      <c r="G2811" s="100"/>
      <c r="H2811" s="100"/>
      <c r="I2811" s="100"/>
      <c r="J2811" s="100"/>
      <c r="K2811" s="100"/>
      <c r="L2811" s="100"/>
      <c r="M2811" s="100"/>
      <c r="N2811" s="100"/>
      <c r="O2811" s="100"/>
      <c r="P2811" s="100"/>
      <c r="Q2811" s="100"/>
      <c r="R2811" s="100"/>
      <c r="S2811" s="100"/>
      <c r="T2811" s="100"/>
      <c r="U2811" s="100"/>
      <c r="V2811" s="100"/>
      <c r="W2811" s="100"/>
      <c r="X2811" s="100"/>
      <c r="Y2811" s="100"/>
      <c r="Z2811" s="100"/>
    </row>
    <row r="2812" spans="1:26">
      <c r="A2812" s="100"/>
      <c r="B2812" s="100"/>
      <c r="C2812" s="100"/>
      <c r="D2812" s="100"/>
      <c r="E2812" s="100"/>
      <c r="F2812" s="100"/>
      <c r="G2812" s="100"/>
      <c r="H2812" s="100"/>
      <c r="I2812" s="100"/>
      <c r="J2812" s="100"/>
      <c r="K2812" s="100"/>
      <c r="L2812" s="100"/>
      <c r="M2812" s="100"/>
      <c r="N2812" s="100"/>
      <c r="O2812" s="100"/>
      <c r="P2812" s="100"/>
      <c r="Q2812" s="100"/>
      <c r="R2812" s="100"/>
      <c r="S2812" s="100"/>
      <c r="T2812" s="100"/>
      <c r="U2812" s="100"/>
      <c r="V2812" s="100"/>
      <c r="W2812" s="100"/>
      <c r="X2812" s="100"/>
      <c r="Y2812" s="100"/>
      <c r="Z2812" s="100"/>
    </row>
    <row r="2813" spans="1:26">
      <c r="A2813" s="100"/>
      <c r="B2813" s="100"/>
      <c r="C2813" s="100"/>
      <c r="D2813" s="100"/>
      <c r="E2813" s="100"/>
      <c r="F2813" s="100"/>
      <c r="G2813" s="100"/>
      <c r="H2813" s="100"/>
      <c r="I2813" s="100"/>
      <c r="J2813" s="100"/>
      <c r="K2813" s="100"/>
      <c r="L2813" s="100"/>
      <c r="M2813" s="100"/>
      <c r="N2813" s="100"/>
      <c r="O2813" s="100"/>
      <c r="P2813" s="100"/>
      <c r="Q2813" s="100"/>
      <c r="R2813" s="100"/>
      <c r="S2813" s="100"/>
      <c r="T2813" s="100"/>
      <c r="U2813" s="100"/>
      <c r="V2813" s="100"/>
      <c r="W2813" s="100"/>
      <c r="X2813" s="100"/>
      <c r="Y2813" s="100"/>
      <c r="Z2813" s="100"/>
    </row>
    <row r="2814" spans="1:26">
      <c r="A2814" s="100"/>
      <c r="B2814" s="100"/>
      <c r="C2814" s="100"/>
      <c r="D2814" s="100"/>
      <c r="E2814" s="100"/>
      <c r="F2814" s="100"/>
      <c r="G2814" s="100"/>
      <c r="H2814" s="100"/>
      <c r="I2814" s="100"/>
      <c r="J2814" s="100"/>
      <c r="K2814" s="100"/>
      <c r="L2814" s="100"/>
      <c r="M2814" s="100"/>
      <c r="N2814" s="100"/>
      <c r="O2814" s="100"/>
      <c r="P2814" s="100"/>
      <c r="Q2814" s="100"/>
      <c r="R2814" s="100"/>
      <c r="S2814" s="100"/>
      <c r="T2814" s="100"/>
      <c r="U2814" s="100"/>
      <c r="V2814" s="100"/>
      <c r="W2814" s="100"/>
      <c r="X2814" s="100"/>
      <c r="Y2814" s="100"/>
      <c r="Z2814" s="100"/>
    </row>
    <row r="2815" spans="1:26">
      <c r="A2815" s="100"/>
      <c r="B2815" s="100"/>
      <c r="C2815" s="100"/>
      <c r="D2815" s="100"/>
      <c r="E2815" s="100"/>
      <c r="F2815" s="100"/>
      <c r="G2815" s="100"/>
      <c r="H2815" s="100"/>
      <c r="I2815" s="100"/>
      <c r="J2815" s="100"/>
      <c r="K2815" s="100"/>
      <c r="L2815" s="100"/>
      <c r="M2815" s="100"/>
      <c r="N2815" s="100"/>
      <c r="O2815" s="100"/>
      <c r="P2815" s="100"/>
      <c r="Q2815" s="100"/>
      <c r="R2815" s="100"/>
      <c r="S2815" s="100"/>
      <c r="T2815" s="100"/>
      <c r="U2815" s="100"/>
      <c r="V2815" s="100"/>
      <c r="W2815" s="100"/>
      <c r="X2815" s="100"/>
      <c r="Y2815" s="100"/>
      <c r="Z2815" s="100"/>
    </row>
    <row r="2816" spans="1:26">
      <c r="A2816" s="100"/>
      <c r="B2816" s="100"/>
      <c r="C2816" s="100"/>
      <c r="D2816" s="100"/>
      <c r="E2816" s="100"/>
      <c r="F2816" s="100"/>
      <c r="G2816" s="100"/>
      <c r="H2816" s="100"/>
      <c r="I2816" s="100"/>
      <c r="J2816" s="100"/>
      <c r="K2816" s="100"/>
      <c r="L2816" s="100"/>
      <c r="M2816" s="100"/>
      <c r="N2816" s="100"/>
      <c r="O2816" s="100"/>
      <c r="P2816" s="100"/>
      <c r="Q2816" s="100"/>
      <c r="R2816" s="100"/>
      <c r="S2816" s="100"/>
      <c r="T2816" s="100"/>
      <c r="U2816" s="100"/>
      <c r="V2816" s="100"/>
      <c r="W2816" s="100"/>
      <c r="X2816" s="100"/>
      <c r="Y2816" s="100"/>
      <c r="Z2816" s="100"/>
    </row>
    <row r="2817" spans="1:26">
      <c r="A2817" s="100"/>
      <c r="B2817" s="100"/>
      <c r="C2817" s="100"/>
      <c r="D2817" s="100"/>
      <c r="E2817" s="100"/>
      <c r="F2817" s="100"/>
      <c r="G2817" s="100"/>
      <c r="H2817" s="100"/>
      <c r="I2817" s="100"/>
      <c r="J2817" s="100"/>
      <c r="K2817" s="100"/>
      <c r="L2817" s="100"/>
      <c r="M2817" s="100"/>
      <c r="N2817" s="100"/>
      <c r="O2817" s="100"/>
      <c r="P2817" s="100"/>
      <c r="Q2817" s="100"/>
      <c r="R2817" s="100"/>
      <c r="S2817" s="100"/>
      <c r="T2817" s="100"/>
      <c r="U2817" s="100"/>
      <c r="V2817" s="100"/>
      <c r="W2817" s="100"/>
      <c r="X2817" s="100"/>
      <c r="Y2817" s="100"/>
      <c r="Z2817" s="100"/>
    </row>
    <row r="2818" spans="1:26">
      <c r="A2818" s="100"/>
      <c r="B2818" s="100"/>
      <c r="C2818" s="100"/>
      <c r="D2818" s="100"/>
      <c r="E2818" s="100"/>
      <c r="F2818" s="100"/>
      <c r="G2818" s="100"/>
      <c r="H2818" s="100"/>
      <c r="I2818" s="100"/>
      <c r="J2818" s="100"/>
      <c r="K2818" s="100"/>
      <c r="L2818" s="100"/>
      <c r="M2818" s="100"/>
      <c r="N2818" s="100"/>
      <c r="O2818" s="100"/>
      <c r="P2818" s="100"/>
      <c r="Q2818" s="100"/>
      <c r="R2818" s="100"/>
      <c r="S2818" s="100"/>
      <c r="T2818" s="100"/>
      <c r="U2818" s="100"/>
      <c r="V2818" s="100"/>
      <c r="W2818" s="100"/>
      <c r="X2818" s="100"/>
      <c r="Y2818" s="100"/>
      <c r="Z2818" s="100"/>
    </row>
    <row r="2819" spans="1:26">
      <c r="A2819" s="100"/>
      <c r="B2819" s="100"/>
      <c r="C2819" s="100"/>
      <c r="D2819" s="100"/>
      <c r="E2819" s="100"/>
      <c r="F2819" s="100"/>
      <c r="G2819" s="100"/>
      <c r="H2819" s="100"/>
      <c r="I2819" s="100"/>
      <c r="J2819" s="100"/>
      <c r="K2819" s="100"/>
      <c r="L2819" s="100"/>
      <c r="M2819" s="100"/>
      <c r="N2819" s="100"/>
      <c r="O2819" s="100"/>
      <c r="P2819" s="100"/>
      <c r="Q2819" s="100"/>
      <c r="R2819" s="100"/>
      <c r="S2819" s="100"/>
      <c r="T2819" s="100"/>
      <c r="U2819" s="100"/>
      <c r="V2819" s="100"/>
      <c r="W2819" s="100"/>
      <c r="X2819" s="100"/>
      <c r="Y2819" s="100"/>
      <c r="Z2819" s="100"/>
    </row>
    <row r="2820" spans="1:26">
      <c r="A2820" s="100"/>
      <c r="B2820" s="100"/>
      <c r="C2820" s="100"/>
      <c r="D2820" s="100"/>
      <c r="E2820" s="100"/>
      <c r="F2820" s="100"/>
      <c r="G2820" s="100"/>
      <c r="H2820" s="100"/>
      <c r="I2820" s="100"/>
      <c r="J2820" s="100"/>
      <c r="K2820" s="100"/>
      <c r="L2820" s="100"/>
      <c r="M2820" s="100"/>
      <c r="N2820" s="100"/>
      <c r="O2820" s="100"/>
      <c r="P2820" s="100"/>
      <c r="Q2820" s="100"/>
      <c r="R2820" s="100"/>
      <c r="S2820" s="100"/>
      <c r="T2820" s="100"/>
      <c r="U2820" s="100"/>
      <c r="V2820" s="100"/>
      <c r="W2820" s="100"/>
      <c r="X2820" s="100"/>
      <c r="Y2820" s="100"/>
      <c r="Z2820" s="100"/>
    </row>
    <row r="2821" spans="1:26">
      <c r="A2821" s="100"/>
      <c r="B2821" s="100"/>
      <c r="C2821" s="100"/>
      <c r="D2821" s="100"/>
      <c r="E2821" s="100"/>
      <c r="F2821" s="100"/>
      <c r="G2821" s="100"/>
      <c r="H2821" s="100"/>
      <c r="I2821" s="100"/>
      <c r="J2821" s="100"/>
      <c r="K2821" s="100"/>
      <c r="L2821" s="100"/>
      <c r="M2821" s="100"/>
      <c r="N2821" s="100"/>
      <c r="O2821" s="100"/>
      <c r="P2821" s="100"/>
      <c r="Q2821" s="100"/>
      <c r="R2821" s="100"/>
      <c r="S2821" s="100"/>
      <c r="T2821" s="100"/>
      <c r="U2821" s="100"/>
      <c r="V2821" s="100"/>
      <c r="W2821" s="100"/>
      <c r="X2821" s="100"/>
      <c r="Y2821" s="100"/>
      <c r="Z2821" s="100"/>
    </row>
    <row r="2822" spans="1:26">
      <c r="A2822" s="100"/>
      <c r="B2822" s="100"/>
      <c r="C2822" s="100"/>
      <c r="D2822" s="100"/>
      <c r="E2822" s="100"/>
      <c r="F2822" s="100"/>
      <c r="G2822" s="100"/>
      <c r="H2822" s="100"/>
      <c r="I2822" s="100"/>
      <c r="J2822" s="100"/>
      <c r="K2822" s="100"/>
      <c r="L2822" s="100"/>
      <c r="M2822" s="100"/>
      <c r="N2822" s="100"/>
      <c r="O2822" s="100"/>
      <c r="P2822" s="100"/>
      <c r="Q2822" s="100"/>
      <c r="R2822" s="100"/>
      <c r="S2822" s="100"/>
      <c r="T2822" s="100"/>
      <c r="U2822" s="100"/>
      <c r="V2822" s="100"/>
      <c r="W2822" s="100"/>
      <c r="X2822" s="100"/>
      <c r="Y2822" s="100"/>
      <c r="Z2822" s="100"/>
    </row>
    <row r="2823" spans="1:26">
      <c r="A2823" s="100"/>
      <c r="B2823" s="100"/>
      <c r="C2823" s="100"/>
      <c r="D2823" s="100"/>
      <c r="E2823" s="100"/>
      <c r="F2823" s="100"/>
      <c r="G2823" s="100"/>
      <c r="H2823" s="100"/>
      <c r="I2823" s="100"/>
      <c r="J2823" s="100"/>
      <c r="K2823" s="100"/>
      <c r="L2823" s="100"/>
      <c r="M2823" s="100"/>
      <c r="N2823" s="100"/>
      <c r="O2823" s="100"/>
      <c r="P2823" s="100"/>
      <c r="Q2823" s="100"/>
      <c r="R2823" s="100"/>
      <c r="S2823" s="100"/>
      <c r="T2823" s="100"/>
      <c r="U2823" s="100"/>
      <c r="V2823" s="100"/>
      <c r="W2823" s="100"/>
      <c r="X2823" s="100"/>
      <c r="Y2823" s="100"/>
      <c r="Z2823" s="100"/>
    </row>
    <row r="2824" spans="1:26">
      <c r="A2824" s="100"/>
      <c r="B2824" s="100"/>
      <c r="C2824" s="100"/>
      <c r="D2824" s="100"/>
      <c r="E2824" s="100"/>
      <c r="F2824" s="100"/>
      <c r="G2824" s="100"/>
      <c r="H2824" s="100"/>
      <c r="I2824" s="100"/>
      <c r="J2824" s="100"/>
      <c r="K2824" s="100"/>
      <c r="L2824" s="100"/>
      <c r="M2824" s="100"/>
      <c r="N2824" s="100"/>
      <c r="O2824" s="100"/>
      <c r="P2824" s="100"/>
      <c r="Q2824" s="100"/>
      <c r="R2824" s="100"/>
      <c r="S2824" s="100"/>
      <c r="T2824" s="100"/>
      <c r="U2824" s="100"/>
      <c r="V2824" s="100"/>
      <c r="W2824" s="100"/>
      <c r="X2824" s="100"/>
      <c r="Y2824" s="100"/>
      <c r="Z2824" s="100"/>
    </row>
    <row r="2825" spans="1:26">
      <c r="A2825" s="100"/>
      <c r="B2825" s="100"/>
      <c r="C2825" s="100"/>
      <c r="D2825" s="100"/>
      <c r="E2825" s="100"/>
      <c r="F2825" s="100"/>
      <c r="G2825" s="100"/>
      <c r="H2825" s="100"/>
      <c r="I2825" s="100"/>
      <c r="J2825" s="100"/>
      <c r="K2825" s="100"/>
      <c r="L2825" s="100"/>
      <c r="M2825" s="100"/>
      <c r="N2825" s="100"/>
      <c r="O2825" s="100"/>
      <c r="P2825" s="100"/>
      <c r="Q2825" s="100"/>
      <c r="R2825" s="100"/>
      <c r="S2825" s="100"/>
      <c r="T2825" s="100"/>
      <c r="U2825" s="100"/>
      <c r="V2825" s="100"/>
      <c r="W2825" s="100"/>
      <c r="X2825" s="100"/>
      <c r="Y2825" s="100"/>
      <c r="Z2825" s="100"/>
    </row>
    <row r="2826" spans="1:26">
      <c r="A2826" s="100"/>
      <c r="B2826" s="100"/>
      <c r="C2826" s="100"/>
      <c r="D2826" s="100"/>
      <c r="E2826" s="100"/>
      <c r="F2826" s="100"/>
      <c r="G2826" s="100"/>
      <c r="H2826" s="100"/>
      <c r="I2826" s="100"/>
      <c r="J2826" s="100"/>
      <c r="K2826" s="100"/>
      <c r="L2826" s="100"/>
      <c r="M2826" s="100"/>
      <c r="N2826" s="100"/>
      <c r="O2826" s="100"/>
      <c r="P2826" s="100"/>
      <c r="Q2826" s="100"/>
      <c r="R2826" s="100"/>
      <c r="S2826" s="100"/>
      <c r="T2826" s="100"/>
      <c r="U2826" s="100"/>
      <c r="V2826" s="100"/>
      <c r="W2826" s="100"/>
      <c r="X2826" s="100"/>
      <c r="Y2826" s="100"/>
      <c r="Z2826" s="100"/>
    </row>
    <row r="2827" spans="1:26">
      <c r="A2827" s="100"/>
      <c r="B2827" s="100"/>
      <c r="C2827" s="100"/>
      <c r="D2827" s="100"/>
      <c r="E2827" s="100"/>
      <c r="F2827" s="100"/>
      <c r="G2827" s="100"/>
      <c r="H2827" s="100"/>
      <c r="I2827" s="100"/>
      <c r="J2827" s="100"/>
      <c r="K2827" s="100"/>
      <c r="L2827" s="100"/>
      <c r="M2827" s="100"/>
      <c r="N2827" s="100"/>
      <c r="O2827" s="100"/>
      <c r="P2827" s="100"/>
      <c r="Q2827" s="100"/>
      <c r="R2827" s="100"/>
      <c r="S2827" s="100"/>
      <c r="T2827" s="100"/>
      <c r="U2827" s="100"/>
      <c r="V2827" s="100"/>
      <c r="W2827" s="100"/>
      <c r="X2827" s="100"/>
      <c r="Y2827" s="100"/>
      <c r="Z2827" s="100"/>
    </row>
    <row r="2828" spans="1:26">
      <c r="A2828" s="100"/>
      <c r="B2828" s="100"/>
      <c r="C2828" s="100"/>
      <c r="D2828" s="100"/>
      <c r="E2828" s="100"/>
      <c r="F2828" s="100"/>
      <c r="G2828" s="100"/>
      <c r="H2828" s="100"/>
      <c r="I2828" s="100"/>
      <c r="J2828" s="100"/>
      <c r="K2828" s="100"/>
      <c r="L2828" s="100"/>
      <c r="M2828" s="100"/>
      <c r="N2828" s="100"/>
      <c r="O2828" s="100"/>
      <c r="P2828" s="100"/>
      <c r="Q2828" s="100"/>
      <c r="R2828" s="100"/>
      <c r="S2828" s="100"/>
      <c r="T2828" s="100"/>
      <c r="U2828" s="100"/>
      <c r="V2828" s="100"/>
      <c r="W2828" s="100"/>
      <c r="X2828" s="100"/>
      <c r="Y2828" s="100"/>
      <c r="Z2828" s="100"/>
    </row>
    <row r="2829" spans="1:26">
      <c r="A2829" s="100"/>
      <c r="B2829" s="100"/>
      <c r="C2829" s="100"/>
      <c r="D2829" s="100"/>
      <c r="E2829" s="100"/>
      <c r="F2829" s="100"/>
      <c r="G2829" s="100"/>
      <c r="H2829" s="100"/>
      <c r="I2829" s="100"/>
      <c r="J2829" s="100"/>
      <c r="K2829" s="100"/>
      <c r="L2829" s="100"/>
      <c r="M2829" s="100"/>
      <c r="N2829" s="100"/>
      <c r="O2829" s="100"/>
      <c r="P2829" s="100"/>
      <c r="Q2829" s="100"/>
      <c r="R2829" s="100"/>
      <c r="S2829" s="100"/>
      <c r="T2829" s="100"/>
      <c r="U2829" s="100"/>
      <c r="V2829" s="100"/>
      <c r="W2829" s="100"/>
      <c r="X2829" s="100"/>
      <c r="Y2829" s="100"/>
      <c r="Z2829" s="100"/>
    </row>
    <row r="2830" spans="1:26">
      <c r="A2830" s="100"/>
      <c r="B2830" s="100"/>
      <c r="C2830" s="100"/>
      <c r="D2830" s="100"/>
      <c r="E2830" s="100"/>
      <c r="F2830" s="100"/>
      <c r="G2830" s="100"/>
      <c r="H2830" s="100"/>
      <c r="I2830" s="100"/>
      <c r="J2830" s="100"/>
      <c r="K2830" s="100"/>
      <c r="L2830" s="100"/>
      <c r="M2830" s="100"/>
      <c r="N2830" s="100"/>
      <c r="O2830" s="100"/>
      <c r="P2830" s="100"/>
      <c r="Q2830" s="100"/>
      <c r="R2830" s="100"/>
      <c r="S2830" s="100"/>
      <c r="T2830" s="100"/>
      <c r="U2830" s="100"/>
      <c r="V2830" s="100"/>
      <c r="W2830" s="100"/>
      <c r="X2830" s="100"/>
      <c r="Y2830" s="100"/>
      <c r="Z2830" s="100"/>
    </row>
    <row r="2831" spans="1:26">
      <c r="A2831" s="100"/>
      <c r="B2831" s="100"/>
      <c r="C2831" s="100"/>
      <c r="D2831" s="100"/>
      <c r="E2831" s="100"/>
      <c r="F2831" s="100"/>
      <c r="G2831" s="100"/>
      <c r="H2831" s="100"/>
      <c r="I2831" s="100"/>
      <c r="J2831" s="100"/>
      <c r="K2831" s="100"/>
      <c r="L2831" s="100"/>
      <c r="M2831" s="100"/>
      <c r="N2831" s="100"/>
      <c r="O2831" s="100"/>
      <c r="P2831" s="100"/>
      <c r="Q2831" s="100"/>
      <c r="R2831" s="100"/>
      <c r="S2831" s="100"/>
      <c r="T2831" s="100"/>
      <c r="U2831" s="100"/>
      <c r="V2831" s="100"/>
      <c r="W2831" s="100"/>
      <c r="X2831" s="100"/>
      <c r="Y2831" s="100"/>
      <c r="Z2831" s="100"/>
    </row>
    <row r="2832" spans="1:26">
      <c r="A2832" s="100"/>
      <c r="B2832" s="100"/>
      <c r="C2832" s="100"/>
      <c r="D2832" s="100"/>
      <c r="E2832" s="100"/>
      <c r="F2832" s="100"/>
      <c r="G2832" s="100"/>
      <c r="H2832" s="100"/>
      <c r="I2832" s="100"/>
      <c r="J2832" s="100"/>
      <c r="K2832" s="100"/>
      <c r="L2832" s="100"/>
      <c r="M2832" s="100"/>
      <c r="N2832" s="100"/>
      <c r="O2832" s="100"/>
      <c r="P2832" s="100"/>
      <c r="Q2832" s="100"/>
      <c r="R2832" s="100"/>
      <c r="S2832" s="100"/>
      <c r="T2832" s="100"/>
      <c r="U2832" s="100"/>
      <c r="V2832" s="100"/>
      <c r="W2832" s="100"/>
      <c r="X2832" s="100"/>
      <c r="Y2832" s="100"/>
      <c r="Z2832" s="100"/>
    </row>
    <row r="2833" spans="1:26">
      <c r="A2833" s="100"/>
      <c r="B2833" s="100"/>
      <c r="C2833" s="100"/>
      <c r="D2833" s="100"/>
      <c r="E2833" s="100"/>
      <c r="F2833" s="100"/>
      <c r="G2833" s="100"/>
      <c r="H2833" s="100"/>
      <c r="I2833" s="100"/>
      <c r="J2833" s="100"/>
      <c r="K2833" s="100"/>
      <c r="L2833" s="100"/>
      <c r="M2833" s="100"/>
      <c r="N2833" s="100"/>
      <c r="O2833" s="100"/>
      <c r="P2833" s="100"/>
      <c r="Q2833" s="100"/>
      <c r="R2833" s="100"/>
      <c r="S2833" s="100"/>
      <c r="T2833" s="100"/>
      <c r="U2833" s="100"/>
      <c r="V2833" s="100"/>
      <c r="W2833" s="100"/>
      <c r="X2833" s="100"/>
      <c r="Y2833" s="100"/>
      <c r="Z2833" s="100"/>
    </row>
    <row r="2834" spans="1:26">
      <c r="A2834" s="100"/>
      <c r="B2834" s="100"/>
      <c r="C2834" s="100"/>
      <c r="D2834" s="100"/>
      <c r="E2834" s="100"/>
      <c r="F2834" s="100"/>
      <c r="G2834" s="100"/>
      <c r="H2834" s="100"/>
      <c r="I2834" s="100"/>
      <c r="J2834" s="100"/>
      <c r="K2834" s="100"/>
      <c r="L2834" s="100"/>
      <c r="M2834" s="100"/>
      <c r="N2834" s="100"/>
      <c r="O2834" s="100"/>
      <c r="P2834" s="100"/>
      <c r="Q2834" s="100"/>
      <c r="R2834" s="100"/>
      <c r="S2834" s="100"/>
      <c r="T2834" s="100"/>
      <c r="U2834" s="100"/>
      <c r="V2834" s="100"/>
      <c r="W2834" s="100"/>
      <c r="X2834" s="100"/>
      <c r="Y2834" s="100"/>
      <c r="Z2834" s="100"/>
    </row>
    <row r="2835" spans="1:26">
      <c r="A2835" s="100"/>
      <c r="B2835" s="100"/>
      <c r="C2835" s="100"/>
      <c r="D2835" s="100"/>
      <c r="E2835" s="100"/>
      <c r="F2835" s="100"/>
      <c r="G2835" s="100"/>
      <c r="H2835" s="100"/>
      <c r="I2835" s="100"/>
      <c r="J2835" s="100"/>
      <c r="K2835" s="100"/>
      <c r="L2835" s="100"/>
      <c r="M2835" s="100"/>
      <c r="N2835" s="100"/>
      <c r="O2835" s="100"/>
      <c r="P2835" s="100"/>
      <c r="Q2835" s="100"/>
      <c r="R2835" s="100"/>
      <c r="S2835" s="100"/>
      <c r="T2835" s="100"/>
      <c r="U2835" s="100"/>
      <c r="V2835" s="100"/>
      <c r="W2835" s="100"/>
      <c r="X2835" s="100"/>
      <c r="Y2835" s="100"/>
      <c r="Z2835" s="100"/>
    </row>
    <row r="2836" spans="1:26">
      <c r="A2836" s="100"/>
      <c r="B2836" s="100"/>
      <c r="C2836" s="100"/>
      <c r="D2836" s="100"/>
      <c r="E2836" s="100"/>
      <c r="F2836" s="100"/>
      <c r="G2836" s="100"/>
      <c r="H2836" s="100"/>
      <c r="I2836" s="100"/>
      <c r="J2836" s="100"/>
      <c r="K2836" s="100"/>
      <c r="L2836" s="100"/>
      <c r="M2836" s="100"/>
      <c r="N2836" s="100"/>
      <c r="O2836" s="100"/>
      <c r="P2836" s="100"/>
      <c r="Q2836" s="100"/>
      <c r="R2836" s="100"/>
      <c r="S2836" s="100"/>
      <c r="T2836" s="100"/>
      <c r="U2836" s="100"/>
      <c r="V2836" s="100"/>
      <c r="W2836" s="100"/>
      <c r="X2836" s="100"/>
      <c r="Y2836" s="100"/>
      <c r="Z2836" s="100"/>
    </row>
    <row r="2837" spans="1:26">
      <c r="A2837" s="100"/>
      <c r="B2837" s="100"/>
      <c r="C2837" s="100"/>
      <c r="D2837" s="100"/>
      <c r="E2837" s="100"/>
      <c r="F2837" s="100"/>
      <c r="G2837" s="100"/>
      <c r="H2837" s="100"/>
      <c r="I2837" s="100"/>
      <c r="J2837" s="100"/>
      <c r="K2837" s="100"/>
      <c r="L2837" s="100"/>
      <c r="M2837" s="100"/>
      <c r="N2837" s="100"/>
      <c r="O2837" s="100"/>
      <c r="P2837" s="100"/>
      <c r="Q2837" s="100"/>
      <c r="R2837" s="100"/>
      <c r="S2837" s="100"/>
      <c r="T2837" s="100"/>
      <c r="U2837" s="100"/>
      <c r="V2837" s="100"/>
      <c r="W2837" s="100"/>
      <c r="X2837" s="100"/>
      <c r="Y2837" s="100"/>
      <c r="Z2837" s="100"/>
    </row>
    <row r="2838" spans="1:26">
      <c r="A2838" s="100"/>
      <c r="B2838" s="100"/>
      <c r="C2838" s="100"/>
      <c r="D2838" s="100"/>
      <c r="E2838" s="100"/>
      <c r="F2838" s="100"/>
      <c r="G2838" s="100"/>
      <c r="H2838" s="100"/>
      <c r="I2838" s="100"/>
      <c r="J2838" s="100"/>
      <c r="K2838" s="100"/>
      <c r="L2838" s="100"/>
      <c r="M2838" s="100"/>
      <c r="N2838" s="100"/>
      <c r="O2838" s="100"/>
      <c r="P2838" s="100"/>
      <c r="Q2838" s="100"/>
      <c r="R2838" s="100"/>
      <c r="S2838" s="100"/>
      <c r="T2838" s="100"/>
      <c r="U2838" s="100"/>
      <c r="V2838" s="100"/>
      <c r="W2838" s="100"/>
      <c r="X2838" s="100"/>
      <c r="Y2838" s="100"/>
      <c r="Z2838" s="100"/>
    </row>
    <row r="2839" spans="1:26">
      <c r="A2839" s="100"/>
      <c r="B2839" s="100"/>
      <c r="C2839" s="100"/>
      <c r="D2839" s="100"/>
      <c r="E2839" s="100"/>
      <c r="F2839" s="100"/>
      <c r="G2839" s="100"/>
      <c r="H2839" s="100"/>
      <c r="I2839" s="100"/>
      <c r="J2839" s="100"/>
      <c r="K2839" s="100"/>
      <c r="L2839" s="100"/>
      <c r="M2839" s="100"/>
      <c r="N2839" s="100"/>
      <c r="O2839" s="100"/>
      <c r="P2839" s="100"/>
      <c r="Q2839" s="100"/>
      <c r="R2839" s="100"/>
      <c r="S2839" s="100"/>
      <c r="T2839" s="100"/>
      <c r="U2839" s="100"/>
      <c r="V2839" s="100"/>
      <c r="W2839" s="100"/>
      <c r="X2839" s="100"/>
      <c r="Y2839" s="100"/>
      <c r="Z2839" s="100"/>
    </row>
    <row r="2840" spans="1:26">
      <c r="A2840" s="100"/>
      <c r="B2840" s="100"/>
      <c r="C2840" s="100"/>
      <c r="D2840" s="100"/>
      <c r="E2840" s="100"/>
      <c r="F2840" s="100"/>
      <c r="G2840" s="100"/>
      <c r="H2840" s="100"/>
      <c r="I2840" s="100"/>
      <c r="J2840" s="100"/>
      <c r="K2840" s="100"/>
      <c r="L2840" s="100"/>
      <c r="M2840" s="100"/>
      <c r="N2840" s="100"/>
      <c r="O2840" s="100"/>
      <c r="P2840" s="100"/>
      <c r="Q2840" s="100"/>
      <c r="R2840" s="100"/>
      <c r="S2840" s="100"/>
      <c r="T2840" s="100"/>
      <c r="U2840" s="100"/>
      <c r="V2840" s="100"/>
      <c r="W2840" s="100"/>
      <c r="X2840" s="100"/>
      <c r="Y2840" s="100"/>
      <c r="Z2840" s="100"/>
    </row>
    <row r="2841" spans="1:26">
      <c r="A2841" s="100"/>
      <c r="B2841" s="100"/>
      <c r="C2841" s="100"/>
      <c r="D2841" s="100"/>
      <c r="E2841" s="100"/>
      <c r="F2841" s="100"/>
      <c r="G2841" s="100"/>
      <c r="H2841" s="100"/>
      <c r="I2841" s="100"/>
      <c r="J2841" s="100"/>
      <c r="K2841" s="100"/>
      <c r="L2841" s="100"/>
      <c r="M2841" s="100"/>
      <c r="N2841" s="100"/>
      <c r="O2841" s="100"/>
      <c r="P2841" s="100"/>
      <c r="Q2841" s="100"/>
      <c r="R2841" s="100"/>
      <c r="S2841" s="100"/>
      <c r="T2841" s="100"/>
      <c r="U2841" s="100"/>
      <c r="V2841" s="100"/>
      <c r="W2841" s="100"/>
      <c r="X2841" s="100"/>
      <c r="Y2841" s="100"/>
      <c r="Z2841" s="100"/>
    </row>
    <row r="2842" spans="1:26">
      <c r="A2842" s="100"/>
      <c r="B2842" s="100"/>
      <c r="C2842" s="100"/>
      <c r="D2842" s="100"/>
      <c r="E2842" s="100"/>
      <c r="F2842" s="100"/>
      <c r="G2842" s="100"/>
      <c r="H2842" s="100"/>
      <c r="I2842" s="100"/>
      <c r="J2842" s="100"/>
      <c r="K2842" s="100"/>
      <c r="L2842" s="100"/>
      <c r="M2842" s="100"/>
      <c r="N2842" s="100"/>
      <c r="O2842" s="100"/>
      <c r="P2842" s="100"/>
      <c r="Q2842" s="100"/>
      <c r="R2842" s="100"/>
      <c r="S2842" s="100"/>
      <c r="T2842" s="100"/>
      <c r="U2842" s="100"/>
      <c r="V2842" s="100"/>
      <c r="W2842" s="100"/>
      <c r="X2842" s="100"/>
      <c r="Y2842" s="100"/>
      <c r="Z2842" s="100"/>
    </row>
    <row r="2843" spans="1:26">
      <c r="A2843" s="100"/>
      <c r="B2843" s="100"/>
      <c r="C2843" s="100"/>
      <c r="D2843" s="100"/>
      <c r="E2843" s="100"/>
      <c r="F2843" s="100"/>
      <c r="G2843" s="100"/>
      <c r="H2843" s="100"/>
      <c r="I2843" s="100"/>
      <c r="J2843" s="100"/>
      <c r="K2843" s="100"/>
      <c r="L2843" s="100"/>
      <c r="M2843" s="100"/>
      <c r="N2843" s="100"/>
      <c r="O2843" s="100"/>
      <c r="P2843" s="100"/>
      <c r="Q2843" s="100"/>
      <c r="R2843" s="100"/>
      <c r="S2843" s="100"/>
      <c r="T2843" s="100"/>
      <c r="U2843" s="100"/>
      <c r="V2843" s="100"/>
      <c r="W2843" s="100"/>
      <c r="X2843" s="100"/>
      <c r="Y2843" s="100"/>
      <c r="Z2843" s="100"/>
    </row>
    <row r="2844" spans="1:26">
      <c r="A2844" s="100"/>
      <c r="B2844" s="100"/>
      <c r="C2844" s="100"/>
      <c r="D2844" s="100"/>
      <c r="E2844" s="100"/>
      <c r="F2844" s="100"/>
      <c r="G2844" s="100"/>
      <c r="H2844" s="100"/>
      <c r="I2844" s="100"/>
      <c r="J2844" s="100"/>
      <c r="K2844" s="100"/>
      <c r="L2844" s="100"/>
      <c r="M2844" s="100"/>
      <c r="N2844" s="100"/>
      <c r="O2844" s="100"/>
      <c r="P2844" s="100"/>
      <c r="Q2844" s="100"/>
      <c r="R2844" s="100"/>
      <c r="S2844" s="100"/>
      <c r="T2844" s="100"/>
      <c r="U2844" s="100"/>
      <c r="V2844" s="100"/>
      <c r="W2844" s="100"/>
      <c r="X2844" s="100"/>
      <c r="Y2844" s="100"/>
      <c r="Z2844" s="100"/>
    </row>
    <row r="2845" spans="1:26">
      <c r="A2845" s="100"/>
      <c r="B2845" s="100"/>
      <c r="C2845" s="100"/>
      <c r="D2845" s="100"/>
      <c r="E2845" s="100"/>
      <c r="F2845" s="100"/>
      <c r="G2845" s="100"/>
      <c r="H2845" s="100"/>
      <c r="I2845" s="100"/>
      <c r="J2845" s="100"/>
      <c r="K2845" s="100"/>
      <c r="L2845" s="100"/>
      <c r="M2845" s="100"/>
      <c r="N2845" s="100"/>
      <c r="O2845" s="100"/>
      <c r="P2845" s="100"/>
      <c r="Q2845" s="100"/>
      <c r="R2845" s="100"/>
      <c r="S2845" s="100"/>
      <c r="T2845" s="100"/>
      <c r="U2845" s="100"/>
      <c r="V2845" s="100"/>
      <c r="W2845" s="100"/>
      <c r="X2845" s="100"/>
      <c r="Y2845" s="100"/>
      <c r="Z2845" s="100"/>
    </row>
    <row r="2846" spans="1:26">
      <c r="A2846" s="100"/>
      <c r="B2846" s="100"/>
      <c r="C2846" s="100"/>
      <c r="D2846" s="100"/>
      <c r="E2846" s="100"/>
      <c r="F2846" s="100"/>
      <c r="G2846" s="100"/>
      <c r="H2846" s="100"/>
      <c r="I2846" s="100"/>
      <c r="J2846" s="100"/>
      <c r="K2846" s="100"/>
      <c r="L2846" s="100"/>
      <c r="M2846" s="100"/>
      <c r="N2846" s="100"/>
      <c r="O2846" s="100"/>
      <c r="P2846" s="100"/>
      <c r="Q2846" s="100"/>
      <c r="R2846" s="100"/>
      <c r="S2846" s="100"/>
      <c r="T2846" s="100"/>
      <c r="U2846" s="100"/>
      <c r="V2846" s="100"/>
      <c r="W2846" s="100"/>
      <c r="X2846" s="100"/>
      <c r="Y2846" s="100"/>
      <c r="Z2846" s="100"/>
    </row>
    <row r="2847" spans="1:26">
      <c r="A2847" s="100"/>
      <c r="B2847" s="100"/>
      <c r="C2847" s="100"/>
      <c r="D2847" s="100"/>
      <c r="E2847" s="100"/>
      <c r="F2847" s="100"/>
      <c r="G2847" s="100"/>
      <c r="H2847" s="100"/>
      <c r="I2847" s="100"/>
      <c r="J2847" s="100"/>
      <c r="K2847" s="100"/>
      <c r="L2847" s="100"/>
      <c r="M2847" s="100"/>
      <c r="N2847" s="100"/>
      <c r="O2847" s="100"/>
      <c r="P2847" s="100"/>
      <c r="Q2847" s="100"/>
      <c r="R2847" s="100"/>
      <c r="S2847" s="100"/>
      <c r="T2847" s="100"/>
      <c r="U2847" s="100"/>
      <c r="V2847" s="100"/>
      <c r="W2847" s="100"/>
      <c r="X2847" s="100"/>
      <c r="Y2847" s="100"/>
      <c r="Z2847" s="100"/>
    </row>
    <row r="2848" spans="1:26">
      <c r="A2848" s="100"/>
      <c r="B2848" s="100"/>
      <c r="C2848" s="100"/>
      <c r="D2848" s="100"/>
      <c r="E2848" s="100"/>
      <c r="F2848" s="100"/>
      <c r="G2848" s="100"/>
      <c r="H2848" s="100"/>
      <c r="I2848" s="100"/>
      <c r="J2848" s="100"/>
      <c r="K2848" s="100"/>
      <c r="L2848" s="100"/>
      <c r="M2848" s="100"/>
      <c r="N2848" s="100"/>
      <c r="O2848" s="100"/>
      <c r="P2848" s="100"/>
      <c r="Q2848" s="100"/>
      <c r="R2848" s="100"/>
      <c r="S2848" s="100"/>
      <c r="T2848" s="100"/>
      <c r="U2848" s="100"/>
      <c r="V2848" s="100"/>
      <c r="W2848" s="100"/>
      <c r="X2848" s="100"/>
      <c r="Y2848" s="100"/>
      <c r="Z2848" s="100"/>
    </row>
    <row r="2849" spans="1:26">
      <c r="A2849" s="100"/>
      <c r="B2849" s="100"/>
      <c r="C2849" s="100"/>
      <c r="D2849" s="100"/>
      <c r="E2849" s="100"/>
      <c r="F2849" s="100"/>
      <c r="G2849" s="100"/>
      <c r="H2849" s="100"/>
      <c r="I2849" s="100"/>
      <c r="J2849" s="100"/>
      <c r="K2849" s="100"/>
      <c r="L2849" s="100"/>
      <c r="M2849" s="100"/>
      <c r="N2849" s="100"/>
      <c r="O2849" s="100"/>
      <c r="P2849" s="100"/>
      <c r="Q2849" s="100"/>
      <c r="R2849" s="100"/>
      <c r="S2849" s="100"/>
      <c r="T2849" s="100"/>
      <c r="U2849" s="100"/>
      <c r="V2849" s="100"/>
      <c r="W2849" s="100"/>
      <c r="X2849" s="100"/>
      <c r="Y2849" s="100"/>
      <c r="Z2849" s="100"/>
    </row>
    <row r="2850" spans="1:26">
      <c r="A2850" s="100"/>
      <c r="B2850" s="100"/>
      <c r="C2850" s="100"/>
      <c r="D2850" s="100"/>
      <c r="E2850" s="100"/>
      <c r="F2850" s="100"/>
      <c r="G2850" s="100"/>
      <c r="H2850" s="100"/>
      <c r="I2850" s="100"/>
      <c r="J2850" s="100"/>
      <c r="K2850" s="100"/>
      <c r="L2850" s="100"/>
      <c r="M2850" s="100"/>
      <c r="N2850" s="100"/>
      <c r="O2850" s="100"/>
      <c r="P2850" s="100"/>
      <c r="Q2850" s="100"/>
      <c r="R2850" s="100"/>
      <c r="S2850" s="100"/>
      <c r="T2850" s="100"/>
      <c r="U2850" s="100"/>
      <c r="V2850" s="100"/>
      <c r="W2850" s="100"/>
      <c r="X2850" s="100"/>
      <c r="Y2850" s="100"/>
      <c r="Z2850" s="100"/>
    </row>
    <row r="2851" spans="1:26">
      <c r="A2851" s="100"/>
      <c r="B2851" s="100"/>
      <c r="C2851" s="100"/>
      <c r="D2851" s="100"/>
      <c r="E2851" s="100"/>
      <c r="F2851" s="100"/>
      <c r="G2851" s="100"/>
      <c r="H2851" s="100"/>
      <c r="I2851" s="100"/>
      <c r="J2851" s="100"/>
      <c r="K2851" s="100"/>
      <c r="L2851" s="100"/>
      <c r="M2851" s="100"/>
      <c r="N2851" s="100"/>
      <c r="O2851" s="100"/>
      <c r="P2851" s="100"/>
      <c r="Q2851" s="100"/>
      <c r="R2851" s="100"/>
      <c r="S2851" s="100"/>
      <c r="T2851" s="100"/>
      <c r="U2851" s="100"/>
      <c r="V2851" s="100"/>
      <c r="W2851" s="100"/>
      <c r="X2851" s="100"/>
      <c r="Y2851" s="100"/>
      <c r="Z2851" s="100"/>
    </row>
    <row r="2852" spans="1:26">
      <c r="A2852" s="100"/>
      <c r="B2852" s="100"/>
      <c r="C2852" s="100"/>
      <c r="D2852" s="100"/>
      <c r="E2852" s="100"/>
      <c r="F2852" s="100"/>
      <c r="G2852" s="100"/>
      <c r="H2852" s="100"/>
      <c r="I2852" s="100"/>
      <c r="J2852" s="100"/>
      <c r="K2852" s="100"/>
      <c r="L2852" s="100"/>
      <c r="M2852" s="100"/>
      <c r="N2852" s="100"/>
      <c r="O2852" s="100"/>
      <c r="P2852" s="100"/>
      <c r="Q2852" s="100"/>
      <c r="R2852" s="100"/>
      <c r="S2852" s="100"/>
      <c r="T2852" s="100"/>
      <c r="U2852" s="100"/>
      <c r="V2852" s="100"/>
      <c r="W2852" s="100"/>
      <c r="X2852" s="100"/>
      <c r="Y2852" s="100"/>
      <c r="Z2852" s="100"/>
    </row>
    <row r="2853" spans="1:26">
      <c r="A2853" s="100"/>
      <c r="B2853" s="100"/>
      <c r="C2853" s="100"/>
      <c r="D2853" s="100"/>
      <c r="E2853" s="100"/>
      <c r="F2853" s="100"/>
      <c r="G2853" s="100"/>
      <c r="H2853" s="100"/>
      <c r="I2853" s="100"/>
      <c r="J2853" s="100"/>
      <c r="K2853" s="100"/>
      <c r="L2853" s="100"/>
      <c r="M2853" s="100"/>
      <c r="N2853" s="100"/>
      <c r="O2853" s="100"/>
      <c r="P2853" s="100"/>
      <c r="Q2853" s="100"/>
      <c r="R2853" s="100"/>
      <c r="S2853" s="100"/>
      <c r="T2853" s="100"/>
      <c r="U2853" s="100"/>
      <c r="V2853" s="100"/>
      <c r="W2853" s="100"/>
      <c r="X2853" s="100"/>
      <c r="Y2853" s="100"/>
      <c r="Z2853" s="100"/>
    </row>
    <row r="2854" spans="1:26">
      <c r="A2854" s="100"/>
      <c r="B2854" s="100"/>
      <c r="C2854" s="100"/>
      <c r="D2854" s="100"/>
      <c r="E2854" s="100"/>
      <c r="F2854" s="100"/>
      <c r="G2854" s="100"/>
      <c r="H2854" s="100"/>
      <c r="I2854" s="100"/>
      <c r="J2854" s="100"/>
      <c r="K2854" s="100"/>
      <c r="L2854" s="100"/>
      <c r="M2854" s="100"/>
      <c r="N2854" s="100"/>
      <c r="O2854" s="100"/>
      <c r="P2854" s="100"/>
      <c r="Q2854" s="100"/>
      <c r="R2854" s="100"/>
      <c r="S2854" s="100"/>
      <c r="T2854" s="100"/>
      <c r="U2854" s="100"/>
      <c r="V2854" s="100"/>
      <c r="W2854" s="100"/>
      <c r="X2854" s="100"/>
      <c r="Y2854" s="100"/>
      <c r="Z2854" s="100"/>
    </row>
    <row r="2855" spans="1:26">
      <c r="A2855" s="100"/>
      <c r="B2855" s="100"/>
      <c r="C2855" s="100"/>
      <c r="D2855" s="100"/>
      <c r="E2855" s="100"/>
      <c r="F2855" s="100"/>
      <c r="G2855" s="100"/>
      <c r="H2855" s="100"/>
      <c r="I2855" s="100"/>
      <c r="J2855" s="100"/>
      <c r="K2855" s="100"/>
      <c r="L2855" s="100"/>
      <c r="M2855" s="100"/>
      <c r="N2855" s="100"/>
      <c r="O2855" s="100"/>
      <c r="P2855" s="100"/>
      <c r="Q2855" s="100"/>
      <c r="R2855" s="100"/>
      <c r="S2855" s="100"/>
      <c r="T2855" s="100"/>
      <c r="U2855" s="100"/>
      <c r="V2855" s="100"/>
      <c r="W2855" s="100"/>
      <c r="X2855" s="100"/>
      <c r="Y2855" s="100"/>
      <c r="Z2855" s="100"/>
    </row>
    <row r="2856" spans="1:26">
      <c r="A2856" s="100"/>
      <c r="B2856" s="100"/>
      <c r="C2856" s="100"/>
      <c r="D2856" s="100"/>
      <c r="E2856" s="100"/>
      <c r="F2856" s="100"/>
      <c r="G2856" s="100"/>
      <c r="H2856" s="100"/>
      <c r="I2856" s="100"/>
      <c r="J2856" s="100"/>
      <c r="K2856" s="100"/>
      <c r="L2856" s="100"/>
      <c r="M2856" s="100"/>
      <c r="N2856" s="100"/>
      <c r="O2856" s="100"/>
      <c r="P2856" s="100"/>
      <c r="Q2856" s="100"/>
      <c r="R2856" s="100"/>
      <c r="S2856" s="100"/>
      <c r="T2856" s="100"/>
      <c r="U2856" s="100"/>
      <c r="V2856" s="100"/>
      <c r="W2856" s="100"/>
      <c r="X2856" s="100"/>
      <c r="Y2856" s="100"/>
      <c r="Z2856" s="100"/>
    </row>
    <row r="2857" spans="1:26">
      <c r="A2857" s="100"/>
      <c r="B2857" s="100"/>
      <c r="C2857" s="100"/>
      <c r="D2857" s="100"/>
      <c r="E2857" s="100"/>
      <c r="F2857" s="100"/>
      <c r="G2857" s="100"/>
      <c r="H2857" s="100"/>
      <c r="I2857" s="100"/>
      <c r="J2857" s="100"/>
      <c r="K2857" s="100"/>
      <c r="L2857" s="100"/>
      <c r="M2857" s="100"/>
      <c r="N2857" s="100"/>
      <c r="O2857" s="100"/>
      <c r="P2857" s="100"/>
      <c r="Q2857" s="100"/>
      <c r="R2857" s="100"/>
      <c r="S2857" s="100"/>
      <c r="T2857" s="100"/>
      <c r="U2857" s="100"/>
      <c r="V2857" s="100"/>
      <c r="W2857" s="100"/>
      <c r="X2857" s="100"/>
      <c r="Y2857" s="100"/>
      <c r="Z2857" s="100"/>
    </row>
    <row r="2858" spans="1:26">
      <c r="A2858" s="100"/>
      <c r="B2858" s="100"/>
      <c r="C2858" s="100"/>
      <c r="D2858" s="100"/>
      <c r="E2858" s="100"/>
      <c r="F2858" s="100"/>
      <c r="G2858" s="100"/>
      <c r="H2858" s="100"/>
      <c r="I2858" s="100"/>
      <c r="J2858" s="100"/>
      <c r="K2858" s="100"/>
      <c r="L2858" s="100"/>
      <c r="M2858" s="100"/>
      <c r="N2858" s="100"/>
      <c r="O2858" s="100"/>
      <c r="P2858" s="100"/>
      <c r="Q2858" s="100"/>
      <c r="R2858" s="100"/>
      <c r="S2858" s="100"/>
      <c r="T2858" s="100"/>
      <c r="U2858" s="100"/>
      <c r="V2858" s="100"/>
      <c r="W2858" s="100"/>
      <c r="X2858" s="100"/>
      <c r="Y2858" s="100"/>
      <c r="Z2858" s="100"/>
    </row>
    <row r="2859" spans="1:26">
      <c r="A2859" s="100"/>
      <c r="B2859" s="100"/>
      <c r="C2859" s="100"/>
      <c r="D2859" s="100"/>
      <c r="E2859" s="100"/>
      <c r="F2859" s="100"/>
      <c r="G2859" s="100"/>
      <c r="H2859" s="100"/>
      <c r="I2859" s="100"/>
      <c r="J2859" s="100"/>
      <c r="K2859" s="100"/>
      <c r="L2859" s="100"/>
      <c r="M2859" s="100"/>
      <c r="N2859" s="100"/>
      <c r="O2859" s="100"/>
      <c r="P2859" s="100"/>
      <c r="Q2859" s="100"/>
      <c r="R2859" s="100"/>
      <c r="S2859" s="100"/>
      <c r="T2859" s="100"/>
      <c r="U2859" s="100"/>
      <c r="V2859" s="100"/>
      <c r="W2859" s="100"/>
      <c r="X2859" s="100"/>
      <c r="Y2859" s="100"/>
      <c r="Z2859" s="100"/>
    </row>
    <row r="2860" spans="1:26">
      <c r="A2860" s="100"/>
      <c r="B2860" s="100"/>
      <c r="C2860" s="100"/>
      <c r="D2860" s="100"/>
      <c r="E2860" s="100"/>
      <c r="F2860" s="100"/>
      <c r="G2860" s="100"/>
      <c r="H2860" s="100"/>
      <c r="I2860" s="100"/>
      <c r="J2860" s="100"/>
      <c r="K2860" s="100"/>
      <c r="L2860" s="100"/>
      <c r="M2860" s="100"/>
      <c r="N2860" s="100"/>
      <c r="O2860" s="100"/>
      <c r="P2860" s="100"/>
      <c r="Q2860" s="100"/>
      <c r="R2860" s="100"/>
      <c r="S2860" s="100"/>
      <c r="T2860" s="100"/>
      <c r="U2860" s="100"/>
      <c r="V2860" s="100"/>
      <c r="W2860" s="100"/>
      <c r="X2860" s="100"/>
      <c r="Y2860" s="100"/>
      <c r="Z2860" s="100"/>
    </row>
    <row r="2861" spans="1:26">
      <c r="A2861" s="100"/>
      <c r="B2861" s="100"/>
      <c r="C2861" s="100"/>
      <c r="D2861" s="100"/>
      <c r="E2861" s="100"/>
      <c r="F2861" s="100"/>
      <c r="G2861" s="100"/>
      <c r="H2861" s="100"/>
      <c r="I2861" s="100"/>
      <c r="J2861" s="100"/>
      <c r="K2861" s="100"/>
      <c r="L2861" s="100"/>
      <c r="M2861" s="100"/>
      <c r="N2861" s="100"/>
      <c r="O2861" s="100"/>
      <c r="P2861" s="100"/>
      <c r="Q2861" s="100"/>
      <c r="R2861" s="100"/>
      <c r="S2861" s="100"/>
      <c r="T2861" s="100"/>
      <c r="U2861" s="100"/>
      <c r="V2861" s="100"/>
      <c r="W2861" s="100"/>
      <c r="X2861" s="100"/>
      <c r="Y2861" s="100"/>
      <c r="Z2861" s="100"/>
    </row>
    <row r="2862" spans="1:26">
      <c r="A2862" s="100"/>
      <c r="B2862" s="100"/>
      <c r="C2862" s="100"/>
      <c r="D2862" s="100"/>
      <c r="E2862" s="100"/>
      <c r="F2862" s="100"/>
      <c r="G2862" s="100"/>
      <c r="H2862" s="100"/>
      <c r="I2862" s="100"/>
      <c r="J2862" s="100"/>
      <c r="K2862" s="100"/>
      <c r="L2862" s="100"/>
      <c r="M2862" s="100"/>
      <c r="N2862" s="100"/>
      <c r="O2862" s="100"/>
      <c r="P2862" s="100"/>
      <c r="Q2862" s="100"/>
      <c r="R2862" s="100"/>
      <c r="S2862" s="100"/>
      <c r="T2862" s="100"/>
      <c r="U2862" s="100"/>
      <c r="V2862" s="100"/>
      <c r="W2862" s="100"/>
      <c r="X2862" s="100"/>
      <c r="Y2862" s="100"/>
      <c r="Z2862" s="100"/>
    </row>
    <row r="2863" spans="1:26">
      <c r="A2863" s="100"/>
      <c r="B2863" s="100"/>
      <c r="C2863" s="100"/>
      <c r="D2863" s="100"/>
      <c r="E2863" s="100"/>
      <c r="F2863" s="100"/>
      <c r="G2863" s="100"/>
      <c r="H2863" s="100"/>
      <c r="I2863" s="100"/>
      <c r="J2863" s="100"/>
      <c r="K2863" s="100"/>
      <c r="L2863" s="100"/>
      <c r="M2863" s="100"/>
      <c r="N2863" s="100"/>
      <c r="O2863" s="100"/>
      <c r="P2863" s="100"/>
      <c r="Q2863" s="100"/>
      <c r="R2863" s="100"/>
      <c r="S2863" s="100"/>
      <c r="T2863" s="100"/>
      <c r="U2863" s="100"/>
      <c r="V2863" s="100"/>
      <c r="W2863" s="100"/>
      <c r="X2863" s="100"/>
      <c r="Y2863" s="100"/>
      <c r="Z2863" s="100"/>
    </row>
    <row r="2864" spans="1:26">
      <c r="A2864" s="100"/>
      <c r="B2864" s="100"/>
      <c r="C2864" s="100"/>
      <c r="D2864" s="100"/>
      <c r="E2864" s="100"/>
      <c r="F2864" s="100"/>
      <c r="G2864" s="100"/>
      <c r="H2864" s="100"/>
      <c r="I2864" s="100"/>
      <c r="J2864" s="100"/>
      <c r="K2864" s="100"/>
      <c r="L2864" s="100"/>
      <c r="M2864" s="100"/>
      <c r="N2864" s="100"/>
      <c r="O2864" s="100"/>
      <c r="P2864" s="100"/>
      <c r="Q2864" s="100"/>
      <c r="R2864" s="100"/>
      <c r="S2864" s="100"/>
      <c r="T2864" s="100"/>
      <c r="U2864" s="100"/>
      <c r="V2864" s="100"/>
      <c r="W2864" s="100"/>
      <c r="X2864" s="100"/>
      <c r="Y2864" s="100"/>
      <c r="Z2864" s="100"/>
    </row>
    <row r="2865" spans="1:26">
      <c r="A2865" s="100"/>
      <c r="B2865" s="100"/>
      <c r="C2865" s="100"/>
      <c r="D2865" s="100"/>
      <c r="E2865" s="100"/>
      <c r="F2865" s="100"/>
      <c r="G2865" s="100"/>
      <c r="H2865" s="100"/>
      <c r="I2865" s="100"/>
      <c r="J2865" s="100"/>
      <c r="K2865" s="100"/>
      <c r="L2865" s="100"/>
      <c r="M2865" s="100"/>
      <c r="N2865" s="100"/>
      <c r="O2865" s="100"/>
      <c r="P2865" s="100"/>
      <c r="Q2865" s="100"/>
      <c r="R2865" s="100"/>
      <c r="S2865" s="100"/>
      <c r="T2865" s="100"/>
      <c r="U2865" s="100"/>
      <c r="V2865" s="100"/>
      <c r="W2865" s="100"/>
      <c r="X2865" s="100"/>
      <c r="Y2865" s="100"/>
      <c r="Z2865" s="100"/>
    </row>
    <row r="2866" spans="1:26">
      <c r="A2866" s="100"/>
      <c r="B2866" s="100"/>
      <c r="C2866" s="100"/>
      <c r="D2866" s="100"/>
      <c r="E2866" s="100"/>
      <c r="F2866" s="100"/>
      <c r="G2866" s="100"/>
      <c r="H2866" s="100"/>
      <c r="I2866" s="100"/>
      <c r="J2866" s="100"/>
      <c r="K2866" s="100"/>
      <c r="L2866" s="100"/>
      <c r="M2866" s="100"/>
      <c r="N2866" s="100"/>
      <c r="O2866" s="100"/>
      <c r="P2866" s="100"/>
      <c r="Q2866" s="100"/>
      <c r="R2866" s="100"/>
      <c r="S2866" s="100"/>
      <c r="T2866" s="100"/>
      <c r="U2866" s="100"/>
      <c r="V2866" s="100"/>
      <c r="W2866" s="100"/>
      <c r="X2866" s="100"/>
      <c r="Y2866" s="100"/>
      <c r="Z2866" s="100"/>
    </row>
    <row r="2867" spans="1:26">
      <c r="A2867" s="100"/>
      <c r="B2867" s="100"/>
      <c r="C2867" s="100"/>
      <c r="D2867" s="100"/>
      <c r="E2867" s="100"/>
      <c r="F2867" s="100"/>
      <c r="G2867" s="100"/>
      <c r="H2867" s="100"/>
      <c r="I2867" s="100"/>
      <c r="J2867" s="100"/>
      <c r="K2867" s="100"/>
      <c r="L2867" s="100"/>
      <c r="M2867" s="100"/>
      <c r="N2867" s="100"/>
      <c r="O2867" s="100"/>
      <c r="P2867" s="100"/>
      <c r="Q2867" s="100"/>
      <c r="R2867" s="100"/>
      <c r="S2867" s="100"/>
      <c r="T2867" s="100"/>
      <c r="U2867" s="100"/>
      <c r="V2867" s="100"/>
      <c r="W2867" s="100"/>
      <c r="X2867" s="100"/>
      <c r="Y2867" s="100"/>
      <c r="Z2867" s="100"/>
    </row>
    <row r="2868" spans="1:26">
      <c r="A2868" s="100"/>
      <c r="B2868" s="100"/>
      <c r="C2868" s="100"/>
      <c r="D2868" s="100"/>
      <c r="E2868" s="100"/>
      <c r="F2868" s="100"/>
      <c r="G2868" s="100"/>
      <c r="H2868" s="100"/>
      <c r="I2868" s="100"/>
      <c r="J2868" s="100"/>
      <c r="K2868" s="100"/>
      <c r="L2868" s="100"/>
      <c r="M2868" s="100"/>
      <c r="N2868" s="100"/>
      <c r="O2868" s="100"/>
      <c r="P2868" s="100"/>
      <c r="Q2868" s="100"/>
      <c r="R2868" s="100"/>
      <c r="S2868" s="100"/>
      <c r="T2868" s="100"/>
      <c r="U2868" s="100"/>
      <c r="V2868" s="100"/>
      <c r="W2868" s="100"/>
      <c r="X2868" s="100"/>
      <c r="Y2868" s="100"/>
      <c r="Z2868" s="100"/>
    </row>
    <row r="2869" spans="1:26">
      <c r="A2869" s="100"/>
      <c r="B2869" s="100"/>
      <c r="C2869" s="100"/>
      <c r="D2869" s="100"/>
      <c r="E2869" s="100"/>
      <c r="F2869" s="100"/>
      <c r="G2869" s="100"/>
      <c r="H2869" s="100"/>
      <c r="I2869" s="100"/>
      <c r="J2869" s="100"/>
      <c r="K2869" s="100"/>
      <c r="L2869" s="100"/>
      <c r="M2869" s="100"/>
      <c r="N2869" s="100"/>
      <c r="O2869" s="100"/>
      <c r="P2869" s="100"/>
      <c r="Q2869" s="100"/>
      <c r="R2869" s="100"/>
      <c r="S2869" s="100"/>
      <c r="T2869" s="100"/>
      <c r="U2869" s="100"/>
      <c r="V2869" s="100"/>
      <c r="W2869" s="100"/>
      <c r="X2869" s="100"/>
      <c r="Y2869" s="100"/>
      <c r="Z2869" s="100"/>
    </row>
    <row r="2870" spans="1:26">
      <c r="A2870" s="100"/>
      <c r="B2870" s="100"/>
      <c r="C2870" s="100"/>
      <c r="D2870" s="100"/>
      <c r="E2870" s="100"/>
      <c r="F2870" s="100"/>
      <c r="G2870" s="100"/>
      <c r="H2870" s="100"/>
      <c r="I2870" s="100"/>
      <c r="J2870" s="100"/>
      <c r="K2870" s="100"/>
      <c r="L2870" s="100"/>
      <c r="M2870" s="100"/>
      <c r="N2870" s="100"/>
      <c r="O2870" s="100"/>
      <c r="P2870" s="100"/>
      <c r="Q2870" s="100"/>
      <c r="R2870" s="100"/>
      <c r="S2870" s="100"/>
      <c r="T2870" s="100"/>
      <c r="U2870" s="100"/>
      <c r="V2870" s="100"/>
      <c r="W2870" s="100"/>
      <c r="X2870" s="100"/>
      <c r="Y2870" s="100"/>
      <c r="Z2870" s="100"/>
    </row>
    <row r="2871" spans="1:26">
      <c r="A2871" s="100"/>
      <c r="B2871" s="100"/>
      <c r="C2871" s="100"/>
      <c r="D2871" s="100"/>
      <c r="E2871" s="100"/>
      <c r="F2871" s="100"/>
      <c r="G2871" s="100"/>
      <c r="H2871" s="100"/>
      <c r="I2871" s="100"/>
      <c r="J2871" s="100"/>
      <c r="K2871" s="100"/>
      <c r="L2871" s="100"/>
      <c r="M2871" s="100"/>
      <c r="N2871" s="100"/>
      <c r="O2871" s="100"/>
      <c r="P2871" s="100"/>
      <c r="Q2871" s="100"/>
      <c r="R2871" s="100"/>
      <c r="S2871" s="100"/>
      <c r="T2871" s="100"/>
      <c r="U2871" s="100"/>
      <c r="V2871" s="100"/>
      <c r="W2871" s="100"/>
      <c r="X2871" s="100"/>
      <c r="Y2871" s="100"/>
      <c r="Z2871" s="100"/>
    </row>
    <row r="2872" spans="1:26">
      <c r="A2872" s="100"/>
      <c r="B2872" s="100"/>
      <c r="C2872" s="100"/>
      <c r="D2872" s="100"/>
      <c r="E2872" s="100"/>
      <c r="F2872" s="100"/>
      <c r="G2872" s="100"/>
      <c r="H2872" s="100"/>
      <c r="I2872" s="100"/>
      <c r="J2872" s="100"/>
      <c r="K2872" s="100"/>
      <c r="L2872" s="100"/>
      <c r="M2872" s="100"/>
      <c r="N2872" s="100"/>
      <c r="O2872" s="100"/>
      <c r="P2872" s="100"/>
      <c r="Q2872" s="100"/>
      <c r="R2872" s="100"/>
      <c r="S2872" s="100"/>
      <c r="T2872" s="100"/>
      <c r="U2872" s="100"/>
      <c r="V2872" s="100"/>
      <c r="W2872" s="100"/>
      <c r="X2872" s="100"/>
      <c r="Y2872" s="100"/>
      <c r="Z2872" s="100"/>
    </row>
    <row r="2873" spans="1:26">
      <c r="A2873" s="100"/>
      <c r="B2873" s="100"/>
      <c r="C2873" s="100"/>
      <c r="D2873" s="100"/>
      <c r="E2873" s="100"/>
      <c r="F2873" s="100"/>
      <c r="G2873" s="100"/>
      <c r="H2873" s="100"/>
      <c r="I2873" s="100"/>
      <c r="J2873" s="100"/>
      <c r="K2873" s="100"/>
      <c r="L2873" s="100"/>
      <c r="M2873" s="100"/>
      <c r="N2873" s="100"/>
      <c r="O2873" s="100"/>
      <c r="P2873" s="100"/>
      <c r="Q2873" s="100"/>
      <c r="R2873" s="100"/>
      <c r="S2873" s="100"/>
      <c r="T2873" s="100"/>
      <c r="U2873" s="100"/>
      <c r="V2873" s="100"/>
      <c r="W2873" s="100"/>
      <c r="X2873" s="100"/>
      <c r="Y2873" s="100"/>
      <c r="Z2873" s="100"/>
    </row>
    <row r="2874" spans="1:26">
      <c r="A2874" s="100"/>
      <c r="B2874" s="100"/>
      <c r="C2874" s="100"/>
      <c r="D2874" s="100"/>
      <c r="E2874" s="100"/>
      <c r="F2874" s="100"/>
      <c r="G2874" s="100"/>
      <c r="H2874" s="100"/>
      <c r="I2874" s="100"/>
      <c r="J2874" s="100"/>
      <c r="K2874" s="100"/>
      <c r="L2874" s="100"/>
      <c r="M2874" s="100"/>
      <c r="N2874" s="100"/>
      <c r="O2874" s="100"/>
      <c r="P2874" s="100"/>
      <c r="Q2874" s="100"/>
      <c r="R2874" s="100"/>
      <c r="S2874" s="100"/>
      <c r="T2874" s="100"/>
      <c r="U2874" s="100"/>
      <c r="V2874" s="100"/>
      <c r="W2874" s="100"/>
      <c r="X2874" s="100"/>
      <c r="Y2874" s="100"/>
      <c r="Z2874" s="100"/>
    </row>
    <row r="2875" spans="1:26">
      <c r="A2875" s="100"/>
      <c r="B2875" s="100"/>
      <c r="C2875" s="100"/>
      <c r="D2875" s="100"/>
      <c r="E2875" s="100"/>
      <c r="F2875" s="100"/>
      <c r="G2875" s="100"/>
      <c r="H2875" s="100"/>
      <c r="I2875" s="100"/>
      <c r="J2875" s="100"/>
      <c r="K2875" s="100"/>
      <c r="L2875" s="100"/>
      <c r="M2875" s="100"/>
      <c r="N2875" s="100"/>
      <c r="O2875" s="100"/>
      <c r="P2875" s="100"/>
      <c r="Q2875" s="100"/>
      <c r="R2875" s="100"/>
      <c r="S2875" s="100"/>
      <c r="T2875" s="100"/>
      <c r="U2875" s="100"/>
      <c r="V2875" s="100"/>
      <c r="W2875" s="100"/>
      <c r="X2875" s="100"/>
      <c r="Y2875" s="100"/>
      <c r="Z2875" s="100"/>
    </row>
    <row r="2876" spans="1:26">
      <c r="A2876" s="100"/>
      <c r="B2876" s="100"/>
      <c r="C2876" s="100"/>
      <c r="D2876" s="100"/>
      <c r="E2876" s="100"/>
      <c r="F2876" s="100"/>
      <c r="G2876" s="100"/>
      <c r="H2876" s="100"/>
      <c r="I2876" s="100"/>
      <c r="J2876" s="100"/>
      <c r="K2876" s="100"/>
      <c r="L2876" s="100"/>
      <c r="M2876" s="100"/>
      <c r="N2876" s="100"/>
      <c r="O2876" s="100"/>
      <c r="P2876" s="100"/>
      <c r="Q2876" s="100"/>
      <c r="R2876" s="100"/>
      <c r="S2876" s="100"/>
      <c r="T2876" s="100"/>
      <c r="U2876" s="100"/>
      <c r="V2876" s="100"/>
      <c r="W2876" s="100"/>
      <c r="X2876" s="100"/>
      <c r="Y2876" s="100"/>
      <c r="Z2876" s="100"/>
    </row>
    <row r="2877" spans="1:26">
      <c r="A2877" s="100"/>
      <c r="B2877" s="100"/>
      <c r="C2877" s="100"/>
      <c r="D2877" s="100"/>
      <c r="E2877" s="100"/>
      <c r="F2877" s="100"/>
      <c r="G2877" s="100"/>
      <c r="H2877" s="100"/>
      <c r="I2877" s="100"/>
      <c r="J2877" s="100"/>
      <c r="K2877" s="100"/>
      <c r="L2877" s="100"/>
      <c r="M2877" s="100"/>
      <c r="N2877" s="100"/>
      <c r="O2877" s="100"/>
      <c r="P2877" s="100"/>
      <c r="Q2877" s="100"/>
      <c r="R2877" s="100"/>
      <c r="S2877" s="100"/>
      <c r="T2877" s="100"/>
      <c r="U2877" s="100"/>
      <c r="V2877" s="100"/>
      <c r="W2877" s="100"/>
      <c r="X2877" s="100"/>
      <c r="Y2877" s="100"/>
      <c r="Z2877" s="100"/>
    </row>
    <row r="2878" spans="1:26">
      <c r="A2878" s="100"/>
      <c r="B2878" s="100"/>
      <c r="C2878" s="100"/>
      <c r="D2878" s="100"/>
      <c r="E2878" s="100"/>
      <c r="F2878" s="100"/>
      <c r="G2878" s="100"/>
      <c r="H2878" s="100"/>
      <c r="I2878" s="100"/>
      <c r="J2878" s="100"/>
      <c r="K2878" s="100"/>
      <c r="L2878" s="100"/>
      <c r="M2878" s="100"/>
      <c r="N2878" s="100"/>
      <c r="O2878" s="100"/>
      <c r="P2878" s="100"/>
      <c r="Q2878" s="100"/>
      <c r="R2878" s="100"/>
      <c r="S2878" s="100"/>
      <c r="T2878" s="100"/>
      <c r="U2878" s="100"/>
      <c r="V2878" s="100"/>
      <c r="W2878" s="100"/>
      <c r="X2878" s="100"/>
      <c r="Y2878" s="100"/>
      <c r="Z2878" s="100"/>
    </row>
    <row r="2879" spans="1:26">
      <c r="A2879" s="100"/>
      <c r="B2879" s="100"/>
      <c r="C2879" s="100"/>
      <c r="D2879" s="100"/>
      <c r="E2879" s="100"/>
      <c r="F2879" s="100"/>
      <c r="G2879" s="100"/>
      <c r="H2879" s="100"/>
      <c r="I2879" s="100"/>
      <c r="J2879" s="100"/>
      <c r="K2879" s="100"/>
      <c r="L2879" s="100"/>
      <c r="M2879" s="100"/>
      <c r="N2879" s="100"/>
      <c r="O2879" s="100"/>
      <c r="P2879" s="100"/>
      <c r="Q2879" s="100"/>
      <c r="R2879" s="100"/>
      <c r="S2879" s="100"/>
      <c r="T2879" s="100"/>
      <c r="U2879" s="100"/>
      <c r="V2879" s="100"/>
      <c r="W2879" s="100"/>
      <c r="X2879" s="100"/>
      <c r="Y2879" s="100"/>
      <c r="Z2879" s="100"/>
    </row>
    <row r="2880" spans="1:26">
      <c r="A2880" s="100"/>
      <c r="B2880" s="100"/>
      <c r="C2880" s="100"/>
      <c r="D2880" s="100"/>
      <c r="E2880" s="100"/>
      <c r="F2880" s="100"/>
      <c r="G2880" s="100"/>
      <c r="H2880" s="100"/>
      <c r="I2880" s="100"/>
      <c r="J2880" s="100"/>
      <c r="K2880" s="100"/>
      <c r="L2880" s="100"/>
      <c r="M2880" s="100"/>
      <c r="N2880" s="100"/>
      <c r="O2880" s="100"/>
      <c r="P2880" s="100"/>
      <c r="Q2880" s="100"/>
      <c r="R2880" s="100"/>
      <c r="S2880" s="100"/>
      <c r="T2880" s="100"/>
      <c r="U2880" s="100"/>
      <c r="V2880" s="100"/>
      <c r="W2880" s="100"/>
      <c r="X2880" s="100"/>
      <c r="Y2880" s="100"/>
      <c r="Z2880" s="100"/>
    </row>
    <row r="2881" spans="1:26">
      <c r="A2881" s="100"/>
      <c r="B2881" s="100"/>
      <c r="C2881" s="100"/>
      <c r="D2881" s="100"/>
      <c r="E2881" s="100"/>
      <c r="F2881" s="100"/>
      <c r="G2881" s="100"/>
      <c r="H2881" s="100"/>
      <c r="I2881" s="100"/>
      <c r="J2881" s="100"/>
      <c r="K2881" s="100"/>
      <c r="L2881" s="100"/>
      <c r="M2881" s="100"/>
      <c r="N2881" s="100"/>
      <c r="O2881" s="100"/>
      <c r="P2881" s="100"/>
      <c r="Q2881" s="100"/>
      <c r="R2881" s="100"/>
      <c r="S2881" s="100"/>
      <c r="T2881" s="100"/>
      <c r="U2881" s="100"/>
      <c r="V2881" s="100"/>
      <c r="W2881" s="100"/>
      <c r="X2881" s="100"/>
      <c r="Y2881" s="100"/>
      <c r="Z2881" s="100"/>
    </row>
    <row r="2882" spans="1:26">
      <c r="A2882" s="100"/>
      <c r="B2882" s="100"/>
      <c r="C2882" s="100"/>
      <c r="D2882" s="100"/>
      <c r="E2882" s="100"/>
      <c r="F2882" s="100"/>
      <c r="G2882" s="100"/>
      <c r="H2882" s="100"/>
      <c r="I2882" s="100"/>
      <c r="J2882" s="100"/>
      <c r="K2882" s="100"/>
      <c r="L2882" s="100"/>
      <c r="M2882" s="100"/>
      <c r="N2882" s="100"/>
      <c r="O2882" s="100"/>
      <c r="P2882" s="100"/>
      <c r="Q2882" s="100"/>
      <c r="R2882" s="100"/>
      <c r="S2882" s="100"/>
      <c r="T2882" s="100"/>
      <c r="U2882" s="100"/>
      <c r="V2882" s="100"/>
      <c r="W2882" s="100"/>
      <c r="X2882" s="100"/>
      <c r="Y2882" s="100"/>
      <c r="Z2882" s="100"/>
    </row>
    <row r="2883" spans="1:26">
      <c r="A2883" s="100"/>
      <c r="B2883" s="100"/>
      <c r="C2883" s="100"/>
      <c r="D2883" s="100"/>
      <c r="E2883" s="100"/>
      <c r="F2883" s="100"/>
      <c r="G2883" s="100"/>
      <c r="H2883" s="100"/>
      <c r="I2883" s="100"/>
      <c r="J2883" s="100"/>
      <c r="K2883" s="100"/>
      <c r="L2883" s="100"/>
      <c r="M2883" s="100"/>
      <c r="N2883" s="100"/>
      <c r="O2883" s="100"/>
      <c r="P2883" s="100"/>
      <c r="Q2883" s="100"/>
      <c r="R2883" s="100"/>
      <c r="S2883" s="100"/>
      <c r="T2883" s="100"/>
      <c r="U2883" s="100"/>
      <c r="V2883" s="100"/>
      <c r="W2883" s="100"/>
      <c r="X2883" s="100"/>
      <c r="Y2883" s="100"/>
      <c r="Z2883" s="100"/>
    </row>
    <row r="2884" spans="1:26">
      <c r="A2884" s="100"/>
      <c r="B2884" s="100"/>
      <c r="C2884" s="100"/>
      <c r="D2884" s="100"/>
      <c r="E2884" s="100"/>
      <c r="F2884" s="100"/>
      <c r="G2884" s="100"/>
      <c r="H2884" s="100"/>
      <c r="I2884" s="100"/>
      <c r="J2884" s="100"/>
      <c r="K2884" s="100"/>
      <c r="L2884" s="100"/>
      <c r="M2884" s="100"/>
      <c r="N2884" s="100"/>
      <c r="O2884" s="100"/>
      <c r="P2884" s="100"/>
      <c r="Q2884" s="100"/>
      <c r="R2884" s="100"/>
      <c r="S2884" s="100"/>
      <c r="T2884" s="100"/>
      <c r="U2884" s="100"/>
      <c r="V2884" s="100"/>
      <c r="W2884" s="100"/>
      <c r="X2884" s="100"/>
      <c r="Y2884" s="100"/>
      <c r="Z2884" s="100"/>
    </row>
    <row r="2885" spans="1:26">
      <c r="A2885" s="100"/>
      <c r="B2885" s="100"/>
      <c r="C2885" s="100"/>
      <c r="D2885" s="100"/>
      <c r="E2885" s="100"/>
      <c r="F2885" s="100"/>
      <c r="G2885" s="100"/>
      <c r="H2885" s="100"/>
      <c r="I2885" s="100"/>
      <c r="J2885" s="100"/>
      <c r="K2885" s="100"/>
      <c r="L2885" s="100"/>
      <c r="M2885" s="100"/>
      <c r="N2885" s="100"/>
      <c r="O2885" s="100"/>
      <c r="P2885" s="100"/>
      <c r="Q2885" s="100"/>
      <c r="R2885" s="100"/>
      <c r="S2885" s="100"/>
      <c r="T2885" s="100"/>
      <c r="U2885" s="100"/>
      <c r="V2885" s="100"/>
      <c r="W2885" s="100"/>
      <c r="X2885" s="100"/>
      <c r="Y2885" s="100"/>
      <c r="Z2885" s="100"/>
    </row>
    <row r="2886" spans="1:26">
      <c r="A2886" s="100"/>
      <c r="B2886" s="100"/>
      <c r="C2886" s="100"/>
      <c r="D2886" s="100"/>
      <c r="E2886" s="100"/>
      <c r="F2886" s="100"/>
      <c r="G2886" s="100"/>
      <c r="H2886" s="100"/>
      <c r="I2886" s="100"/>
      <c r="J2886" s="100"/>
      <c r="K2886" s="100"/>
      <c r="L2886" s="100"/>
      <c r="M2886" s="100"/>
      <c r="N2886" s="100"/>
      <c r="O2886" s="100"/>
      <c r="P2886" s="100"/>
      <c r="Q2886" s="100"/>
      <c r="R2886" s="100"/>
      <c r="S2886" s="100"/>
      <c r="T2886" s="100"/>
      <c r="U2886" s="100"/>
      <c r="V2886" s="100"/>
      <c r="W2886" s="100"/>
      <c r="X2886" s="100"/>
      <c r="Y2886" s="100"/>
      <c r="Z2886" s="100"/>
    </row>
    <row r="2887" spans="1:26">
      <c r="A2887" s="100"/>
      <c r="B2887" s="100"/>
      <c r="C2887" s="100"/>
      <c r="D2887" s="100"/>
      <c r="E2887" s="100"/>
      <c r="F2887" s="100"/>
      <c r="G2887" s="100"/>
      <c r="H2887" s="100"/>
      <c r="I2887" s="100"/>
      <c r="J2887" s="100"/>
      <c r="K2887" s="100"/>
      <c r="L2887" s="100"/>
      <c r="M2887" s="100"/>
      <c r="N2887" s="100"/>
      <c r="O2887" s="100"/>
      <c r="P2887" s="100"/>
      <c r="Q2887" s="100"/>
      <c r="R2887" s="100"/>
      <c r="S2887" s="100"/>
      <c r="T2887" s="100"/>
      <c r="U2887" s="100"/>
      <c r="V2887" s="100"/>
      <c r="W2887" s="100"/>
      <c r="X2887" s="100"/>
      <c r="Y2887" s="100"/>
      <c r="Z2887" s="100"/>
    </row>
    <row r="2888" spans="1:26">
      <c r="A2888" s="100"/>
      <c r="B2888" s="100"/>
      <c r="C2888" s="100"/>
      <c r="D2888" s="100"/>
      <c r="E2888" s="100"/>
      <c r="F2888" s="100"/>
      <c r="G2888" s="100"/>
      <c r="H2888" s="100"/>
      <c r="I2888" s="100"/>
      <c r="J2888" s="100"/>
      <c r="K2888" s="100"/>
      <c r="L2888" s="100"/>
      <c r="M2888" s="100"/>
      <c r="N2888" s="100"/>
      <c r="O2888" s="100"/>
      <c r="P2888" s="100"/>
      <c r="Q2888" s="100"/>
      <c r="R2888" s="100"/>
      <c r="S2888" s="100"/>
      <c r="T2888" s="100"/>
      <c r="U2888" s="100"/>
      <c r="V2888" s="100"/>
      <c r="W2888" s="100"/>
      <c r="X2888" s="100"/>
      <c r="Y2888" s="100"/>
      <c r="Z2888" s="100"/>
    </row>
    <row r="2889" spans="1:26">
      <c r="A2889" s="100"/>
      <c r="B2889" s="100"/>
      <c r="C2889" s="100"/>
      <c r="D2889" s="100"/>
      <c r="E2889" s="100"/>
      <c r="F2889" s="100"/>
      <c r="G2889" s="100"/>
      <c r="H2889" s="100"/>
      <c r="I2889" s="100"/>
      <c r="J2889" s="100"/>
      <c r="K2889" s="100"/>
      <c r="L2889" s="100"/>
      <c r="M2889" s="100"/>
      <c r="N2889" s="100"/>
      <c r="O2889" s="100"/>
      <c r="P2889" s="100"/>
      <c r="Q2889" s="100"/>
      <c r="R2889" s="100"/>
      <c r="S2889" s="100"/>
      <c r="T2889" s="100"/>
      <c r="U2889" s="100"/>
      <c r="V2889" s="100"/>
      <c r="W2889" s="100"/>
      <c r="X2889" s="100"/>
      <c r="Y2889" s="100"/>
      <c r="Z2889" s="100"/>
    </row>
    <row r="2890" spans="1:26">
      <c r="A2890" s="100"/>
      <c r="B2890" s="100"/>
      <c r="C2890" s="100"/>
      <c r="D2890" s="100"/>
      <c r="E2890" s="100"/>
      <c r="F2890" s="100"/>
      <c r="G2890" s="100"/>
      <c r="H2890" s="100"/>
      <c r="I2890" s="100"/>
      <c r="J2890" s="100"/>
      <c r="K2890" s="100"/>
      <c r="L2890" s="100"/>
      <c r="M2890" s="100"/>
      <c r="N2890" s="100"/>
      <c r="O2890" s="100"/>
      <c r="P2890" s="100"/>
      <c r="Q2890" s="100"/>
      <c r="R2890" s="100"/>
      <c r="S2890" s="100"/>
      <c r="T2890" s="100"/>
      <c r="U2890" s="100"/>
      <c r="V2890" s="100"/>
      <c r="W2890" s="100"/>
      <c r="X2890" s="100"/>
      <c r="Y2890" s="100"/>
      <c r="Z2890" s="100"/>
    </row>
    <row r="2891" spans="1:26">
      <c r="A2891" s="100"/>
      <c r="B2891" s="100"/>
      <c r="C2891" s="100"/>
      <c r="D2891" s="100"/>
      <c r="E2891" s="100"/>
      <c r="F2891" s="100"/>
      <c r="G2891" s="100"/>
      <c r="H2891" s="100"/>
      <c r="I2891" s="100"/>
      <c r="J2891" s="100"/>
      <c r="K2891" s="100"/>
      <c r="L2891" s="100"/>
      <c r="M2891" s="100"/>
      <c r="N2891" s="100"/>
      <c r="O2891" s="100"/>
      <c r="P2891" s="100"/>
      <c r="Q2891" s="100"/>
      <c r="R2891" s="100"/>
      <c r="S2891" s="100"/>
      <c r="T2891" s="100"/>
      <c r="U2891" s="100"/>
      <c r="V2891" s="100"/>
      <c r="W2891" s="100"/>
      <c r="X2891" s="100"/>
      <c r="Y2891" s="100"/>
      <c r="Z2891" s="100"/>
    </row>
    <row r="2892" spans="1:26">
      <c r="A2892" s="100"/>
      <c r="B2892" s="100"/>
      <c r="C2892" s="100"/>
      <c r="D2892" s="100"/>
      <c r="E2892" s="100"/>
      <c r="F2892" s="100"/>
      <c r="G2892" s="100"/>
      <c r="H2892" s="100"/>
      <c r="I2892" s="100"/>
      <c r="J2892" s="100"/>
      <c r="K2892" s="100"/>
      <c r="L2892" s="100"/>
      <c r="M2892" s="100"/>
      <c r="N2892" s="100"/>
      <c r="O2892" s="100"/>
      <c r="P2892" s="100"/>
      <c r="Q2892" s="100"/>
      <c r="R2892" s="100"/>
      <c r="S2892" s="100"/>
      <c r="T2892" s="100"/>
      <c r="U2892" s="100"/>
      <c r="V2892" s="100"/>
      <c r="W2892" s="100"/>
      <c r="X2892" s="100"/>
      <c r="Y2892" s="100"/>
      <c r="Z2892" s="100"/>
    </row>
    <row r="2893" spans="1:26">
      <c r="A2893" s="100"/>
      <c r="B2893" s="100"/>
      <c r="C2893" s="100"/>
      <c r="D2893" s="100"/>
      <c r="E2893" s="100"/>
      <c r="F2893" s="100"/>
      <c r="G2893" s="100"/>
      <c r="H2893" s="100"/>
      <c r="I2893" s="100"/>
      <c r="J2893" s="100"/>
      <c r="K2893" s="100"/>
      <c r="L2893" s="100"/>
      <c r="M2893" s="100"/>
      <c r="N2893" s="100"/>
      <c r="O2893" s="100"/>
      <c r="P2893" s="100"/>
      <c r="Q2893" s="100"/>
      <c r="R2893" s="100"/>
      <c r="S2893" s="100"/>
      <c r="T2893" s="100"/>
      <c r="U2893" s="100"/>
      <c r="V2893" s="100"/>
      <c r="W2893" s="100"/>
      <c r="X2893" s="100"/>
      <c r="Y2893" s="100"/>
      <c r="Z2893" s="100"/>
    </row>
    <row r="2894" spans="1:26">
      <c r="A2894" s="100"/>
      <c r="B2894" s="100"/>
      <c r="C2894" s="100"/>
      <c r="D2894" s="100"/>
      <c r="E2894" s="100"/>
      <c r="F2894" s="100"/>
      <c r="G2894" s="100"/>
      <c r="H2894" s="100"/>
      <c r="I2894" s="100"/>
      <c r="J2894" s="100"/>
      <c r="K2894" s="100"/>
      <c r="L2894" s="100"/>
      <c r="M2894" s="100"/>
      <c r="N2894" s="100"/>
      <c r="O2894" s="100"/>
      <c r="P2894" s="100"/>
      <c r="Q2894" s="100"/>
      <c r="R2894" s="100"/>
      <c r="S2894" s="100"/>
      <c r="T2894" s="100"/>
      <c r="U2894" s="100"/>
      <c r="V2894" s="100"/>
      <c r="W2894" s="100"/>
      <c r="X2894" s="100"/>
      <c r="Y2894" s="100"/>
      <c r="Z2894" s="100"/>
    </row>
    <row r="2895" spans="1:26">
      <c r="A2895" s="100"/>
      <c r="B2895" s="100"/>
      <c r="C2895" s="100"/>
      <c r="D2895" s="100"/>
      <c r="E2895" s="100"/>
      <c r="F2895" s="100"/>
      <c r="G2895" s="100"/>
      <c r="H2895" s="100"/>
      <c r="I2895" s="100"/>
      <c r="J2895" s="100"/>
      <c r="K2895" s="100"/>
      <c r="L2895" s="100"/>
      <c r="M2895" s="100"/>
      <c r="N2895" s="100"/>
      <c r="O2895" s="100"/>
      <c r="P2895" s="100"/>
      <c r="Q2895" s="100"/>
      <c r="R2895" s="100"/>
      <c r="S2895" s="100"/>
      <c r="T2895" s="100"/>
      <c r="U2895" s="100"/>
      <c r="V2895" s="100"/>
      <c r="W2895" s="100"/>
      <c r="X2895" s="100"/>
      <c r="Y2895" s="100"/>
      <c r="Z2895" s="100"/>
    </row>
    <row r="2896" spans="1:26">
      <c r="A2896" s="100"/>
      <c r="B2896" s="100"/>
      <c r="C2896" s="100"/>
      <c r="D2896" s="100"/>
      <c r="E2896" s="100"/>
      <c r="F2896" s="100"/>
      <c r="G2896" s="100"/>
      <c r="H2896" s="100"/>
      <c r="I2896" s="100"/>
      <c r="J2896" s="100"/>
      <c r="K2896" s="100"/>
      <c r="L2896" s="100"/>
      <c r="M2896" s="100"/>
      <c r="N2896" s="100"/>
      <c r="O2896" s="100"/>
      <c r="P2896" s="100"/>
      <c r="Q2896" s="100"/>
      <c r="R2896" s="100"/>
      <c r="S2896" s="100"/>
      <c r="T2896" s="100"/>
      <c r="U2896" s="100"/>
      <c r="V2896" s="100"/>
      <c r="W2896" s="100"/>
      <c r="X2896" s="100"/>
      <c r="Y2896" s="100"/>
      <c r="Z2896" s="100"/>
    </row>
    <row r="2897" spans="1:26">
      <c r="A2897" s="100"/>
      <c r="B2897" s="100"/>
      <c r="C2897" s="100"/>
      <c r="D2897" s="100"/>
      <c r="E2897" s="100"/>
      <c r="F2897" s="100"/>
      <c r="G2897" s="100"/>
      <c r="H2897" s="100"/>
      <c r="I2897" s="100"/>
      <c r="J2897" s="100"/>
      <c r="K2897" s="100"/>
      <c r="L2897" s="100"/>
      <c r="M2897" s="100"/>
      <c r="N2897" s="100"/>
      <c r="O2897" s="100"/>
      <c r="P2897" s="100"/>
      <c r="Q2897" s="100"/>
      <c r="R2897" s="100"/>
      <c r="S2897" s="100"/>
      <c r="T2897" s="100"/>
      <c r="U2897" s="100"/>
      <c r="V2897" s="100"/>
      <c r="W2897" s="100"/>
      <c r="X2897" s="100"/>
      <c r="Y2897" s="100"/>
      <c r="Z2897" s="100"/>
    </row>
    <row r="2898" spans="1:26">
      <c r="A2898" s="100"/>
      <c r="B2898" s="100"/>
      <c r="C2898" s="100"/>
      <c r="D2898" s="100"/>
      <c r="E2898" s="100"/>
      <c r="F2898" s="100"/>
      <c r="G2898" s="100"/>
      <c r="H2898" s="100"/>
      <c r="I2898" s="100"/>
      <c r="J2898" s="100"/>
      <c r="K2898" s="100"/>
      <c r="L2898" s="100"/>
      <c r="M2898" s="100"/>
      <c r="N2898" s="100"/>
      <c r="O2898" s="100"/>
      <c r="P2898" s="100"/>
      <c r="Q2898" s="100"/>
      <c r="R2898" s="100"/>
      <c r="S2898" s="100"/>
      <c r="T2898" s="100"/>
      <c r="U2898" s="100"/>
      <c r="V2898" s="100"/>
      <c r="W2898" s="100"/>
      <c r="X2898" s="100"/>
      <c r="Y2898" s="100"/>
      <c r="Z2898" s="100"/>
    </row>
    <row r="2899" spans="1:26">
      <c r="A2899" s="100"/>
      <c r="B2899" s="100"/>
      <c r="C2899" s="100"/>
      <c r="D2899" s="100"/>
      <c r="E2899" s="100"/>
      <c r="F2899" s="100"/>
      <c r="G2899" s="100"/>
      <c r="H2899" s="100"/>
      <c r="I2899" s="100"/>
      <c r="J2899" s="100"/>
      <c r="K2899" s="100"/>
      <c r="L2899" s="100"/>
      <c r="M2899" s="100"/>
      <c r="N2899" s="100"/>
      <c r="O2899" s="100"/>
      <c r="P2899" s="100"/>
      <c r="Q2899" s="100"/>
      <c r="R2899" s="100"/>
      <c r="S2899" s="100"/>
      <c r="T2899" s="100"/>
      <c r="U2899" s="100"/>
      <c r="V2899" s="100"/>
      <c r="W2899" s="100"/>
      <c r="X2899" s="100"/>
      <c r="Y2899" s="100"/>
      <c r="Z2899" s="100"/>
    </row>
    <row r="2900" spans="1:26">
      <c r="A2900" s="100"/>
      <c r="B2900" s="100"/>
      <c r="C2900" s="100"/>
      <c r="D2900" s="100"/>
      <c r="E2900" s="100"/>
      <c r="F2900" s="100"/>
      <c r="G2900" s="100"/>
      <c r="H2900" s="100"/>
      <c r="I2900" s="100"/>
      <c r="J2900" s="100"/>
      <c r="K2900" s="100"/>
      <c r="L2900" s="100"/>
      <c r="M2900" s="100"/>
      <c r="N2900" s="100"/>
      <c r="O2900" s="100"/>
      <c r="P2900" s="100"/>
      <c r="Q2900" s="100"/>
      <c r="R2900" s="100"/>
      <c r="S2900" s="100"/>
      <c r="T2900" s="100"/>
      <c r="U2900" s="100"/>
      <c r="V2900" s="100"/>
      <c r="W2900" s="100"/>
      <c r="X2900" s="100"/>
      <c r="Y2900" s="100"/>
      <c r="Z2900" s="100"/>
    </row>
    <row r="2901" spans="1:26">
      <c r="A2901" s="100"/>
      <c r="B2901" s="100"/>
      <c r="C2901" s="100"/>
      <c r="D2901" s="100"/>
      <c r="E2901" s="100"/>
      <c r="F2901" s="100"/>
      <c r="G2901" s="100"/>
      <c r="H2901" s="100"/>
      <c r="I2901" s="100"/>
      <c r="J2901" s="100"/>
      <c r="K2901" s="100"/>
      <c r="L2901" s="100"/>
      <c r="M2901" s="100"/>
      <c r="N2901" s="100"/>
      <c r="O2901" s="100"/>
      <c r="P2901" s="100"/>
      <c r="Q2901" s="100"/>
      <c r="R2901" s="100"/>
      <c r="S2901" s="100"/>
      <c r="T2901" s="100"/>
      <c r="U2901" s="100"/>
      <c r="V2901" s="100"/>
      <c r="W2901" s="100"/>
      <c r="X2901" s="100"/>
      <c r="Y2901" s="100"/>
      <c r="Z2901" s="100"/>
    </row>
    <row r="2902" spans="1:26">
      <c r="A2902" s="100"/>
      <c r="B2902" s="100"/>
      <c r="C2902" s="100"/>
      <c r="D2902" s="100"/>
      <c r="E2902" s="100"/>
      <c r="F2902" s="100"/>
      <c r="G2902" s="100"/>
      <c r="H2902" s="100"/>
      <c r="I2902" s="100"/>
      <c r="J2902" s="100"/>
      <c r="K2902" s="100"/>
      <c r="L2902" s="100"/>
      <c r="M2902" s="100"/>
      <c r="N2902" s="100"/>
      <c r="O2902" s="100"/>
      <c r="P2902" s="100"/>
      <c r="Q2902" s="100"/>
      <c r="R2902" s="100"/>
      <c r="S2902" s="100"/>
      <c r="T2902" s="100"/>
      <c r="U2902" s="100"/>
      <c r="V2902" s="100"/>
      <c r="W2902" s="100"/>
      <c r="X2902" s="100"/>
      <c r="Y2902" s="100"/>
      <c r="Z2902" s="100"/>
    </row>
    <row r="2903" spans="1:26">
      <c r="A2903" s="100"/>
      <c r="B2903" s="100"/>
      <c r="C2903" s="100"/>
      <c r="D2903" s="100"/>
      <c r="E2903" s="100"/>
      <c r="F2903" s="100"/>
      <c r="G2903" s="100"/>
      <c r="H2903" s="100"/>
      <c r="I2903" s="100"/>
      <c r="J2903" s="100"/>
      <c r="K2903" s="100"/>
      <c r="L2903" s="100"/>
      <c r="M2903" s="100"/>
      <c r="N2903" s="100"/>
      <c r="O2903" s="100"/>
      <c r="P2903" s="100"/>
      <c r="Q2903" s="100"/>
      <c r="R2903" s="100"/>
      <c r="S2903" s="100"/>
      <c r="T2903" s="100"/>
      <c r="U2903" s="100"/>
      <c r="V2903" s="100"/>
      <c r="W2903" s="100"/>
      <c r="X2903" s="100"/>
      <c r="Y2903" s="100"/>
      <c r="Z2903" s="100"/>
    </row>
    <row r="2904" spans="1:26">
      <c r="A2904" s="100"/>
      <c r="B2904" s="100"/>
      <c r="C2904" s="100"/>
      <c r="D2904" s="100"/>
      <c r="E2904" s="100"/>
      <c r="F2904" s="100"/>
      <c r="G2904" s="100"/>
      <c r="H2904" s="100"/>
      <c r="I2904" s="100"/>
      <c r="J2904" s="100"/>
      <c r="K2904" s="100"/>
      <c r="L2904" s="100"/>
      <c r="M2904" s="100"/>
      <c r="N2904" s="100"/>
      <c r="O2904" s="100"/>
      <c r="P2904" s="100"/>
      <c r="Q2904" s="100"/>
      <c r="R2904" s="100"/>
      <c r="S2904" s="100"/>
      <c r="T2904" s="100"/>
      <c r="U2904" s="100"/>
      <c r="V2904" s="100"/>
      <c r="W2904" s="100"/>
      <c r="X2904" s="100"/>
      <c r="Y2904" s="100"/>
      <c r="Z2904" s="100"/>
    </row>
    <row r="2905" spans="1:26">
      <c r="A2905" s="100"/>
      <c r="B2905" s="100"/>
      <c r="C2905" s="100"/>
      <c r="D2905" s="100"/>
      <c r="E2905" s="100"/>
      <c r="F2905" s="100"/>
      <c r="G2905" s="100"/>
      <c r="H2905" s="100"/>
      <c r="I2905" s="100"/>
      <c r="J2905" s="100"/>
      <c r="K2905" s="100"/>
      <c r="L2905" s="100"/>
      <c r="M2905" s="100"/>
      <c r="N2905" s="100"/>
      <c r="O2905" s="100"/>
      <c r="P2905" s="100"/>
      <c r="Q2905" s="100"/>
      <c r="R2905" s="100"/>
      <c r="S2905" s="100"/>
      <c r="T2905" s="100"/>
      <c r="U2905" s="100"/>
      <c r="V2905" s="100"/>
      <c r="W2905" s="100"/>
      <c r="X2905" s="100"/>
      <c r="Y2905" s="100"/>
      <c r="Z2905" s="100"/>
    </row>
    <row r="2906" spans="1:26">
      <c r="A2906" s="100"/>
      <c r="B2906" s="100"/>
      <c r="C2906" s="100"/>
      <c r="D2906" s="100"/>
      <c r="E2906" s="100"/>
      <c r="F2906" s="100"/>
      <c r="G2906" s="100"/>
      <c r="H2906" s="100"/>
      <c r="I2906" s="100"/>
      <c r="J2906" s="100"/>
      <c r="K2906" s="100"/>
      <c r="L2906" s="100"/>
      <c r="M2906" s="100"/>
      <c r="N2906" s="100"/>
      <c r="O2906" s="100"/>
      <c r="P2906" s="100"/>
      <c r="Q2906" s="100"/>
      <c r="R2906" s="100"/>
      <c r="S2906" s="100"/>
      <c r="T2906" s="100"/>
      <c r="U2906" s="100"/>
      <c r="V2906" s="100"/>
      <c r="W2906" s="100"/>
      <c r="X2906" s="100"/>
      <c r="Y2906" s="100"/>
      <c r="Z2906" s="100"/>
    </row>
    <row r="2907" spans="1:26">
      <c r="A2907" s="100"/>
      <c r="B2907" s="100"/>
      <c r="C2907" s="100"/>
      <c r="D2907" s="100"/>
      <c r="E2907" s="100"/>
      <c r="F2907" s="100"/>
      <c r="G2907" s="100"/>
      <c r="H2907" s="100"/>
      <c r="I2907" s="100"/>
      <c r="J2907" s="100"/>
      <c r="K2907" s="100"/>
      <c r="L2907" s="100"/>
      <c r="M2907" s="100"/>
      <c r="N2907" s="100"/>
      <c r="O2907" s="100"/>
      <c r="P2907" s="100"/>
      <c r="Q2907" s="100"/>
      <c r="R2907" s="100"/>
      <c r="S2907" s="100"/>
      <c r="T2907" s="100"/>
      <c r="U2907" s="100"/>
      <c r="V2907" s="100"/>
      <c r="W2907" s="100"/>
      <c r="X2907" s="100"/>
      <c r="Y2907" s="100"/>
      <c r="Z2907" s="100"/>
    </row>
    <row r="2908" spans="1:26">
      <c r="A2908" s="100"/>
      <c r="B2908" s="100"/>
      <c r="C2908" s="100"/>
      <c r="D2908" s="100"/>
      <c r="E2908" s="100"/>
      <c r="F2908" s="100"/>
      <c r="G2908" s="100"/>
      <c r="H2908" s="100"/>
      <c r="I2908" s="100"/>
      <c r="J2908" s="100"/>
      <c r="K2908" s="100"/>
      <c r="L2908" s="100"/>
      <c r="M2908" s="100"/>
      <c r="N2908" s="100"/>
      <c r="O2908" s="100"/>
      <c r="P2908" s="100"/>
      <c r="Q2908" s="100"/>
      <c r="R2908" s="100"/>
      <c r="S2908" s="100"/>
      <c r="T2908" s="100"/>
      <c r="U2908" s="100"/>
      <c r="V2908" s="100"/>
      <c r="W2908" s="100"/>
      <c r="X2908" s="100"/>
      <c r="Y2908" s="100"/>
      <c r="Z2908" s="100"/>
    </row>
    <row r="2909" spans="1:26">
      <c r="A2909" s="100"/>
      <c r="B2909" s="100"/>
      <c r="C2909" s="100"/>
      <c r="D2909" s="100"/>
      <c r="E2909" s="100"/>
      <c r="F2909" s="100"/>
      <c r="G2909" s="100"/>
      <c r="H2909" s="100"/>
      <c r="I2909" s="100"/>
      <c r="J2909" s="100"/>
      <c r="K2909" s="100"/>
      <c r="L2909" s="100"/>
      <c r="M2909" s="100"/>
      <c r="N2909" s="100"/>
      <c r="O2909" s="100"/>
      <c r="P2909" s="100"/>
      <c r="Q2909" s="100"/>
      <c r="R2909" s="100"/>
      <c r="S2909" s="100"/>
      <c r="T2909" s="100"/>
      <c r="U2909" s="100"/>
      <c r="V2909" s="100"/>
      <c r="W2909" s="100"/>
      <c r="X2909" s="100"/>
      <c r="Y2909" s="100"/>
      <c r="Z2909" s="100"/>
    </row>
    <row r="2910" spans="1:26">
      <c r="A2910" s="100"/>
      <c r="B2910" s="100"/>
      <c r="C2910" s="100"/>
      <c r="D2910" s="100"/>
      <c r="E2910" s="100"/>
      <c r="F2910" s="100"/>
      <c r="G2910" s="100"/>
      <c r="H2910" s="100"/>
      <c r="I2910" s="100"/>
      <c r="J2910" s="100"/>
      <c r="K2910" s="100"/>
      <c r="L2910" s="100"/>
      <c r="M2910" s="100"/>
      <c r="N2910" s="100"/>
      <c r="O2910" s="100"/>
      <c r="P2910" s="100"/>
      <c r="Q2910" s="100"/>
      <c r="R2910" s="100"/>
      <c r="S2910" s="100"/>
      <c r="T2910" s="100"/>
      <c r="U2910" s="100"/>
      <c r="V2910" s="100"/>
      <c r="W2910" s="100"/>
      <c r="X2910" s="100"/>
      <c r="Y2910" s="100"/>
      <c r="Z2910" s="100"/>
    </row>
    <row r="2911" spans="1:26">
      <c r="A2911" s="100"/>
      <c r="B2911" s="100"/>
      <c r="C2911" s="100"/>
      <c r="D2911" s="100"/>
      <c r="E2911" s="100"/>
      <c r="F2911" s="100"/>
      <c r="G2911" s="100"/>
      <c r="H2911" s="100"/>
      <c r="I2911" s="100"/>
      <c r="J2911" s="100"/>
      <c r="K2911" s="100"/>
      <c r="L2911" s="100"/>
      <c r="M2911" s="100"/>
      <c r="N2911" s="100"/>
      <c r="O2911" s="100"/>
      <c r="P2911" s="100"/>
      <c r="Q2911" s="100"/>
      <c r="R2911" s="100"/>
      <c r="S2911" s="100"/>
      <c r="T2911" s="100"/>
      <c r="U2911" s="100"/>
      <c r="V2911" s="100"/>
      <c r="W2911" s="100"/>
      <c r="X2911" s="100"/>
      <c r="Y2911" s="100"/>
      <c r="Z2911" s="100"/>
    </row>
    <row r="2912" spans="1:26">
      <c r="A2912" s="100"/>
      <c r="B2912" s="100"/>
      <c r="C2912" s="100"/>
      <c r="D2912" s="100"/>
      <c r="E2912" s="100"/>
      <c r="F2912" s="100"/>
      <c r="G2912" s="100"/>
      <c r="H2912" s="100"/>
      <c r="I2912" s="100"/>
      <c r="J2912" s="100"/>
      <c r="K2912" s="100"/>
      <c r="L2912" s="100"/>
      <c r="M2912" s="100"/>
      <c r="N2912" s="100"/>
      <c r="O2912" s="100"/>
      <c r="P2912" s="100"/>
      <c r="Q2912" s="100"/>
      <c r="R2912" s="100"/>
      <c r="S2912" s="100"/>
      <c r="T2912" s="100"/>
      <c r="U2912" s="100"/>
      <c r="V2912" s="100"/>
      <c r="W2912" s="100"/>
      <c r="X2912" s="100"/>
      <c r="Y2912" s="100"/>
      <c r="Z2912" s="100"/>
    </row>
    <row r="2913" spans="1:26">
      <c r="A2913" s="100"/>
      <c r="B2913" s="100"/>
      <c r="C2913" s="100"/>
      <c r="D2913" s="100"/>
      <c r="E2913" s="100"/>
      <c r="F2913" s="100"/>
      <c r="G2913" s="100"/>
      <c r="H2913" s="100"/>
      <c r="I2913" s="100"/>
      <c r="J2913" s="100"/>
      <c r="K2913" s="100"/>
      <c r="L2913" s="100"/>
      <c r="M2913" s="100"/>
      <c r="N2913" s="100"/>
      <c r="O2913" s="100"/>
      <c r="P2913" s="100"/>
      <c r="Q2913" s="100"/>
      <c r="R2913" s="100"/>
      <c r="S2913" s="100"/>
      <c r="T2913" s="100"/>
      <c r="U2913" s="100"/>
      <c r="V2913" s="100"/>
      <c r="W2913" s="100"/>
      <c r="X2913" s="100"/>
      <c r="Y2913" s="100"/>
      <c r="Z2913" s="100"/>
    </row>
    <row r="2914" spans="1:26">
      <c r="A2914" s="100"/>
      <c r="B2914" s="100"/>
      <c r="C2914" s="100"/>
      <c r="D2914" s="100"/>
      <c r="E2914" s="100"/>
      <c r="F2914" s="100"/>
      <c r="G2914" s="100"/>
      <c r="H2914" s="100"/>
      <c r="I2914" s="100"/>
      <c r="J2914" s="100"/>
      <c r="K2914" s="100"/>
      <c r="L2914" s="100"/>
      <c r="M2914" s="100"/>
      <c r="N2914" s="100"/>
      <c r="O2914" s="100"/>
      <c r="P2914" s="100"/>
      <c r="Q2914" s="100"/>
      <c r="R2914" s="100"/>
      <c r="S2914" s="100"/>
      <c r="T2914" s="100"/>
      <c r="U2914" s="100"/>
      <c r="V2914" s="100"/>
      <c r="W2914" s="100"/>
      <c r="X2914" s="100"/>
      <c r="Y2914" s="100"/>
      <c r="Z2914" s="100"/>
    </row>
    <row r="2915" spans="1:26">
      <c r="A2915" s="100"/>
      <c r="B2915" s="100"/>
      <c r="C2915" s="100"/>
      <c r="D2915" s="100"/>
      <c r="E2915" s="100"/>
      <c r="F2915" s="100"/>
      <c r="G2915" s="100"/>
      <c r="H2915" s="100"/>
      <c r="I2915" s="100"/>
      <c r="J2915" s="100"/>
      <c r="K2915" s="100"/>
      <c r="L2915" s="100"/>
      <c r="M2915" s="100"/>
      <c r="N2915" s="100"/>
      <c r="O2915" s="100"/>
      <c r="P2915" s="100"/>
      <c r="Q2915" s="100"/>
      <c r="R2915" s="100"/>
      <c r="S2915" s="100"/>
      <c r="T2915" s="100"/>
      <c r="U2915" s="100"/>
      <c r="V2915" s="100"/>
      <c r="W2915" s="100"/>
      <c r="X2915" s="100"/>
      <c r="Y2915" s="100"/>
      <c r="Z2915" s="100"/>
    </row>
    <row r="2916" spans="1:26">
      <c r="A2916" s="100"/>
      <c r="B2916" s="100"/>
      <c r="C2916" s="100"/>
      <c r="D2916" s="100"/>
      <c r="E2916" s="100"/>
      <c r="F2916" s="100"/>
      <c r="G2916" s="100"/>
      <c r="H2916" s="100"/>
      <c r="I2916" s="100"/>
      <c r="J2916" s="100"/>
      <c r="K2916" s="100"/>
      <c r="L2916" s="100"/>
      <c r="M2916" s="100"/>
      <c r="N2916" s="100"/>
      <c r="O2916" s="100"/>
      <c r="P2916" s="100"/>
      <c r="Q2916" s="100"/>
      <c r="R2916" s="100"/>
      <c r="S2916" s="100"/>
      <c r="T2916" s="100"/>
      <c r="U2916" s="100"/>
      <c r="V2916" s="100"/>
      <c r="W2916" s="100"/>
      <c r="X2916" s="100"/>
      <c r="Y2916" s="100"/>
      <c r="Z2916" s="100"/>
    </row>
    <row r="2917" spans="1:26">
      <c r="A2917" s="100"/>
      <c r="B2917" s="100"/>
      <c r="C2917" s="100"/>
      <c r="D2917" s="100"/>
      <c r="E2917" s="100"/>
      <c r="F2917" s="100"/>
      <c r="G2917" s="100"/>
      <c r="H2917" s="100"/>
      <c r="I2917" s="100"/>
      <c r="J2917" s="100"/>
      <c r="K2917" s="100"/>
      <c r="L2917" s="100"/>
      <c r="M2917" s="100"/>
      <c r="N2917" s="100"/>
      <c r="O2917" s="100"/>
      <c r="P2917" s="100"/>
      <c r="Q2917" s="100"/>
      <c r="R2917" s="100"/>
      <c r="S2917" s="100"/>
      <c r="T2917" s="100"/>
      <c r="U2917" s="100"/>
      <c r="V2917" s="100"/>
      <c r="W2917" s="100"/>
      <c r="X2917" s="100"/>
      <c r="Y2917" s="100"/>
      <c r="Z2917" s="100"/>
    </row>
    <row r="2918" spans="1:26">
      <c r="A2918" s="100"/>
      <c r="B2918" s="100"/>
      <c r="C2918" s="100"/>
      <c r="D2918" s="100"/>
      <c r="E2918" s="100"/>
      <c r="F2918" s="100"/>
      <c r="G2918" s="100"/>
      <c r="H2918" s="100"/>
      <c r="I2918" s="100"/>
      <c r="J2918" s="100"/>
      <c r="K2918" s="100"/>
      <c r="L2918" s="100"/>
      <c r="M2918" s="100"/>
      <c r="N2918" s="100"/>
      <c r="O2918" s="100"/>
      <c r="P2918" s="100"/>
      <c r="Q2918" s="100"/>
      <c r="R2918" s="100"/>
      <c r="S2918" s="100"/>
      <c r="T2918" s="100"/>
      <c r="U2918" s="100"/>
      <c r="V2918" s="100"/>
      <c r="W2918" s="100"/>
      <c r="X2918" s="100"/>
      <c r="Y2918" s="100"/>
      <c r="Z2918" s="100"/>
    </row>
    <row r="2919" spans="1:26">
      <c r="A2919" s="100"/>
      <c r="B2919" s="100"/>
      <c r="C2919" s="100"/>
      <c r="D2919" s="100"/>
      <c r="E2919" s="100"/>
      <c r="F2919" s="100"/>
      <c r="G2919" s="100"/>
      <c r="H2919" s="100"/>
      <c r="I2919" s="100"/>
      <c r="J2919" s="100"/>
      <c r="K2919" s="100"/>
      <c r="L2919" s="100"/>
      <c r="M2919" s="100"/>
      <c r="N2919" s="100"/>
      <c r="O2919" s="100"/>
      <c r="P2919" s="100"/>
      <c r="Q2919" s="100"/>
      <c r="R2919" s="100"/>
      <c r="S2919" s="100"/>
      <c r="T2919" s="100"/>
      <c r="U2919" s="100"/>
      <c r="V2919" s="100"/>
      <c r="W2919" s="100"/>
      <c r="X2919" s="100"/>
      <c r="Y2919" s="100"/>
      <c r="Z2919" s="100"/>
    </row>
    <row r="2920" spans="1:26">
      <c r="A2920" s="100"/>
      <c r="B2920" s="100"/>
      <c r="C2920" s="100"/>
      <c r="D2920" s="100"/>
      <c r="E2920" s="100"/>
      <c r="F2920" s="100"/>
      <c r="G2920" s="100"/>
      <c r="H2920" s="100"/>
      <c r="I2920" s="100"/>
      <c r="J2920" s="100"/>
      <c r="K2920" s="100"/>
      <c r="L2920" s="100"/>
      <c r="M2920" s="100"/>
      <c r="N2920" s="100"/>
      <c r="O2920" s="100"/>
      <c r="P2920" s="100"/>
      <c r="Q2920" s="100"/>
      <c r="R2920" s="100"/>
      <c r="S2920" s="100"/>
      <c r="T2920" s="100"/>
      <c r="U2920" s="100"/>
      <c r="V2920" s="100"/>
      <c r="W2920" s="100"/>
      <c r="X2920" s="100"/>
      <c r="Y2920" s="100"/>
      <c r="Z2920" s="100"/>
    </row>
    <row r="2921" spans="1:26">
      <c r="A2921" s="100"/>
      <c r="B2921" s="100"/>
      <c r="C2921" s="100"/>
      <c r="D2921" s="100"/>
      <c r="E2921" s="100"/>
      <c r="F2921" s="100"/>
      <c r="G2921" s="100"/>
      <c r="H2921" s="100"/>
      <c r="I2921" s="100"/>
      <c r="J2921" s="100"/>
      <c r="K2921" s="100"/>
      <c r="L2921" s="100"/>
      <c r="M2921" s="100"/>
      <c r="N2921" s="100"/>
      <c r="O2921" s="100"/>
      <c r="P2921" s="100"/>
      <c r="Q2921" s="100"/>
      <c r="R2921" s="100"/>
      <c r="S2921" s="100"/>
      <c r="T2921" s="100"/>
      <c r="U2921" s="100"/>
      <c r="V2921" s="100"/>
      <c r="W2921" s="100"/>
      <c r="X2921" s="100"/>
      <c r="Y2921" s="100"/>
      <c r="Z2921" s="100"/>
    </row>
    <row r="2922" spans="1:26">
      <c r="A2922" s="100"/>
      <c r="B2922" s="100"/>
      <c r="C2922" s="100"/>
      <c r="D2922" s="100"/>
      <c r="E2922" s="100"/>
      <c r="F2922" s="100"/>
      <c r="G2922" s="100"/>
      <c r="H2922" s="100"/>
      <c r="I2922" s="100"/>
      <c r="J2922" s="100"/>
      <c r="K2922" s="100"/>
      <c r="L2922" s="100"/>
      <c r="M2922" s="100"/>
      <c r="N2922" s="100"/>
      <c r="O2922" s="100"/>
      <c r="P2922" s="100"/>
      <c r="Q2922" s="100"/>
      <c r="R2922" s="100"/>
      <c r="S2922" s="100"/>
      <c r="T2922" s="100"/>
      <c r="U2922" s="100"/>
      <c r="V2922" s="100"/>
      <c r="W2922" s="100"/>
      <c r="X2922" s="100"/>
      <c r="Y2922" s="100"/>
      <c r="Z2922" s="100"/>
    </row>
    <row r="2923" spans="1:26">
      <c r="A2923" s="100"/>
      <c r="B2923" s="100"/>
      <c r="C2923" s="100"/>
      <c r="D2923" s="100"/>
      <c r="E2923" s="100"/>
      <c r="F2923" s="100"/>
      <c r="G2923" s="100"/>
      <c r="H2923" s="100"/>
      <c r="I2923" s="100"/>
      <c r="J2923" s="100"/>
      <c r="K2923" s="100"/>
      <c r="L2923" s="100"/>
      <c r="M2923" s="100"/>
      <c r="N2923" s="100"/>
      <c r="O2923" s="100"/>
      <c r="P2923" s="100"/>
      <c r="Q2923" s="100"/>
      <c r="R2923" s="100"/>
      <c r="S2923" s="100"/>
      <c r="T2923" s="100"/>
      <c r="U2923" s="100"/>
      <c r="V2923" s="100"/>
      <c r="W2923" s="100"/>
      <c r="X2923" s="100"/>
      <c r="Y2923" s="100"/>
      <c r="Z2923" s="100"/>
    </row>
    <row r="2924" spans="1:26">
      <c r="A2924" s="100"/>
      <c r="B2924" s="100"/>
      <c r="C2924" s="100"/>
      <c r="D2924" s="100"/>
      <c r="E2924" s="100"/>
      <c r="F2924" s="100"/>
      <c r="G2924" s="100"/>
      <c r="H2924" s="100"/>
      <c r="I2924" s="100"/>
      <c r="J2924" s="100"/>
      <c r="K2924" s="100"/>
      <c r="L2924" s="100"/>
      <c r="M2924" s="100"/>
      <c r="N2924" s="100"/>
      <c r="O2924" s="100"/>
      <c r="P2924" s="100"/>
      <c r="Q2924" s="100"/>
      <c r="R2924" s="100"/>
      <c r="S2924" s="100"/>
      <c r="T2924" s="100"/>
      <c r="U2924" s="100"/>
      <c r="V2924" s="100"/>
      <c r="W2924" s="100"/>
      <c r="X2924" s="100"/>
      <c r="Y2924" s="100"/>
      <c r="Z2924" s="100"/>
    </row>
    <row r="2925" spans="1:26">
      <c r="A2925" s="100"/>
      <c r="B2925" s="100"/>
      <c r="C2925" s="100"/>
      <c r="D2925" s="100"/>
      <c r="E2925" s="100"/>
      <c r="F2925" s="100"/>
      <c r="G2925" s="100"/>
      <c r="H2925" s="100"/>
      <c r="I2925" s="100"/>
      <c r="J2925" s="100"/>
      <c r="K2925" s="100"/>
      <c r="L2925" s="100"/>
      <c r="M2925" s="100"/>
      <c r="N2925" s="100"/>
      <c r="O2925" s="100"/>
      <c r="P2925" s="100"/>
      <c r="Q2925" s="100"/>
      <c r="R2925" s="100"/>
      <c r="S2925" s="100"/>
      <c r="T2925" s="100"/>
      <c r="U2925" s="100"/>
      <c r="V2925" s="100"/>
      <c r="W2925" s="100"/>
      <c r="X2925" s="100"/>
      <c r="Y2925" s="100"/>
      <c r="Z2925" s="100"/>
    </row>
    <row r="2926" spans="1:26">
      <c r="A2926" s="100"/>
      <c r="B2926" s="100"/>
      <c r="C2926" s="100"/>
      <c r="D2926" s="100"/>
      <c r="E2926" s="100"/>
      <c r="F2926" s="100"/>
      <c r="G2926" s="100"/>
      <c r="H2926" s="100"/>
      <c r="I2926" s="100"/>
      <c r="J2926" s="100"/>
      <c r="K2926" s="100"/>
      <c r="L2926" s="100"/>
      <c r="M2926" s="100"/>
      <c r="N2926" s="100"/>
      <c r="O2926" s="100"/>
      <c r="P2926" s="100"/>
      <c r="Q2926" s="100"/>
      <c r="R2926" s="100"/>
      <c r="S2926" s="100"/>
      <c r="T2926" s="100"/>
      <c r="U2926" s="100"/>
      <c r="V2926" s="100"/>
      <c r="W2926" s="100"/>
      <c r="X2926" s="100"/>
      <c r="Y2926" s="100"/>
      <c r="Z2926" s="100"/>
    </row>
    <row r="2927" spans="1:26">
      <c r="A2927" s="100"/>
      <c r="B2927" s="100"/>
      <c r="C2927" s="100"/>
      <c r="D2927" s="100"/>
      <c r="E2927" s="100"/>
      <c r="F2927" s="100"/>
      <c r="G2927" s="100"/>
      <c r="H2927" s="100"/>
      <c r="I2927" s="100"/>
      <c r="J2927" s="100"/>
      <c r="K2927" s="100"/>
      <c r="L2927" s="100"/>
      <c r="M2927" s="100"/>
      <c r="N2927" s="100"/>
      <c r="O2927" s="100"/>
      <c r="P2927" s="100"/>
      <c r="Q2927" s="100"/>
      <c r="R2927" s="100"/>
      <c r="S2927" s="100"/>
      <c r="T2927" s="100"/>
      <c r="U2927" s="100"/>
      <c r="V2927" s="100"/>
      <c r="W2927" s="100"/>
      <c r="X2927" s="100"/>
      <c r="Y2927" s="100"/>
      <c r="Z2927" s="100"/>
    </row>
    <row r="2928" spans="1:26">
      <c r="A2928" s="100"/>
      <c r="B2928" s="100"/>
      <c r="C2928" s="100"/>
      <c r="D2928" s="100"/>
      <c r="E2928" s="100"/>
      <c r="F2928" s="100"/>
      <c r="G2928" s="100"/>
      <c r="H2928" s="100"/>
      <c r="I2928" s="100"/>
      <c r="J2928" s="100"/>
      <c r="K2928" s="100"/>
      <c r="L2928" s="100"/>
      <c r="M2928" s="100"/>
      <c r="N2928" s="100"/>
      <c r="O2928" s="100"/>
      <c r="P2928" s="100"/>
      <c r="Q2928" s="100"/>
      <c r="R2928" s="100"/>
      <c r="S2928" s="100"/>
      <c r="T2928" s="100"/>
      <c r="U2928" s="100"/>
      <c r="V2928" s="100"/>
      <c r="W2928" s="100"/>
      <c r="X2928" s="100"/>
      <c r="Y2928" s="100"/>
      <c r="Z2928" s="100"/>
    </row>
    <row r="2929" spans="1:26">
      <c r="A2929" s="100"/>
      <c r="B2929" s="100"/>
      <c r="C2929" s="100"/>
      <c r="D2929" s="100"/>
      <c r="E2929" s="100"/>
      <c r="F2929" s="100"/>
      <c r="G2929" s="100"/>
      <c r="H2929" s="100"/>
      <c r="I2929" s="100"/>
      <c r="J2929" s="100"/>
      <c r="K2929" s="100"/>
      <c r="L2929" s="100"/>
      <c r="M2929" s="100"/>
      <c r="N2929" s="100"/>
      <c r="O2929" s="100"/>
      <c r="P2929" s="100"/>
      <c r="Q2929" s="100"/>
      <c r="R2929" s="100"/>
      <c r="S2929" s="100"/>
      <c r="T2929" s="100"/>
      <c r="U2929" s="100"/>
      <c r="V2929" s="100"/>
      <c r="W2929" s="100"/>
      <c r="X2929" s="100"/>
      <c r="Y2929" s="100"/>
      <c r="Z2929" s="100"/>
    </row>
    <row r="2930" spans="1:26">
      <c r="A2930" s="100"/>
      <c r="B2930" s="100"/>
      <c r="C2930" s="100"/>
      <c r="D2930" s="100"/>
      <c r="E2930" s="100"/>
      <c r="F2930" s="100"/>
      <c r="G2930" s="100"/>
      <c r="H2930" s="100"/>
      <c r="I2930" s="100"/>
      <c r="J2930" s="100"/>
      <c r="K2930" s="100"/>
      <c r="L2930" s="100"/>
      <c r="M2930" s="100"/>
      <c r="N2930" s="100"/>
      <c r="O2930" s="100"/>
      <c r="P2930" s="100"/>
      <c r="Q2930" s="100"/>
      <c r="R2930" s="100"/>
      <c r="S2930" s="100"/>
      <c r="T2930" s="100"/>
      <c r="U2930" s="100"/>
      <c r="V2930" s="100"/>
      <c r="W2930" s="100"/>
      <c r="X2930" s="100"/>
      <c r="Y2930" s="100"/>
      <c r="Z2930" s="100"/>
    </row>
    <row r="2931" spans="1:26">
      <c r="A2931" s="100"/>
      <c r="B2931" s="100"/>
      <c r="C2931" s="100"/>
      <c r="D2931" s="100"/>
      <c r="E2931" s="100"/>
      <c r="F2931" s="100"/>
      <c r="G2931" s="100"/>
      <c r="H2931" s="100"/>
      <c r="I2931" s="100"/>
      <c r="J2931" s="100"/>
      <c r="K2931" s="100"/>
      <c r="L2931" s="100"/>
      <c r="M2931" s="100"/>
      <c r="N2931" s="100"/>
      <c r="O2931" s="100"/>
      <c r="P2931" s="100"/>
      <c r="Q2931" s="100"/>
      <c r="R2931" s="100"/>
      <c r="S2931" s="100"/>
      <c r="T2931" s="100"/>
      <c r="U2931" s="100"/>
      <c r="V2931" s="100"/>
      <c r="W2931" s="100"/>
      <c r="X2931" s="100"/>
      <c r="Y2931" s="100"/>
      <c r="Z2931" s="100"/>
    </row>
    <row r="2932" spans="1:26">
      <c r="A2932" s="100"/>
      <c r="B2932" s="100"/>
      <c r="C2932" s="100"/>
      <c r="D2932" s="100"/>
      <c r="E2932" s="100"/>
      <c r="F2932" s="100"/>
      <c r="G2932" s="100"/>
      <c r="H2932" s="100"/>
      <c r="I2932" s="100"/>
      <c r="J2932" s="100"/>
      <c r="K2932" s="100"/>
      <c r="L2932" s="100"/>
      <c r="M2932" s="100"/>
      <c r="N2932" s="100"/>
      <c r="O2932" s="100"/>
      <c r="P2932" s="100"/>
      <c r="Q2932" s="100"/>
      <c r="R2932" s="100"/>
      <c r="S2932" s="100"/>
      <c r="T2932" s="100"/>
      <c r="U2932" s="100"/>
      <c r="V2932" s="100"/>
      <c r="W2932" s="100"/>
      <c r="X2932" s="100"/>
      <c r="Y2932" s="100"/>
      <c r="Z2932" s="100"/>
    </row>
    <row r="2933" spans="1:26">
      <c r="A2933" s="100"/>
      <c r="B2933" s="100"/>
      <c r="C2933" s="100"/>
      <c r="D2933" s="100"/>
      <c r="E2933" s="100"/>
      <c r="F2933" s="100"/>
      <c r="G2933" s="100"/>
      <c r="H2933" s="100"/>
      <c r="I2933" s="100"/>
      <c r="J2933" s="100"/>
      <c r="K2933" s="100"/>
      <c r="L2933" s="100"/>
      <c r="M2933" s="100"/>
      <c r="N2933" s="100"/>
      <c r="O2933" s="100"/>
      <c r="P2933" s="100"/>
      <c r="Q2933" s="100"/>
      <c r="R2933" s="100"/>
      <c r="S2933" s="100"/>
      <c r="T2933" s="100"/>
      <c r="U2933" s="100"/>
      <c r="V2933" s="100"/>
      <c r="W2933" s="100"/>
      <c r="X2933" s="100"/>
      <c r="Y2933" s="100"/>
      <c r="Z2933" s="100"/>
    </row>
    <row r="2934" spans="1:26">
      <c r="A2934" s="100"/>
      <c r="B2934" s="100"/>
      <c r="C2934" s="100"/>
      <c r="D2934" s="100"/>
      <c r="E2934" s="100"/>
      <c r="F2934" s="100"/>
      <c r="G2934" s="100"/>
      <c r="H2934" s="100"/>
      <c r="I2934" s="100"/>
      <c r="J2934" s="100"/>
      <c r="K2934" s="100"/>
      <c r="L2934" s="100"/>
      <c r="M2934" s="100"/>
      <c r="N2934" s="100"/>
      <c r="O2934" s="100"/>
      <c r="P2934" s="100"/>
      <c r="Q2934" s="100"/>
      <c r="R2934" s="100"/>
      <c r="S2934" s="100"/>
      <c r="T2934" s="100"/>
      <c r="U2934" s="100"/>
      <c r="V2934" s="100"/>
      <c r="W2934" s="100"/>
      <c r="X2934" s="100"/>
      <c r="Y2934" s="100"/>
      <c r="Z2934" s="100"/>
    </row>
    <row r="2935" spans="1:26">
      <c r="A2935" s="100"/>
      <c r="B2935" s="100"/>
      <c r="C2935" s="100"/>
      <c r="D2935" s="100"/>
      <c r="E2935" s="100"/>
      <c r="F2935" s="100"/>
      <c r="G2935" s="100"/>
      <c r="H2935" s="100"/>
      <c r="I2935" s="100"/>
      <c r="J2935" s="100"/>
      <c r="K2935" s="100"/>
      <c r="L2935" s="100"/>
      <c r="M2935" s="100"/>
      <c r="N2935" s="100"/>
      <c r="O2935" s="100"/>
      <c r="P2935" s="100"/>
      <c r="Q2935" s="100"/>
      <c r="R2935" s="100"/>
      <c r="S2935" s="100"/>
      <c r="T2935" s="100"/>
      <c r="U2935" s="100"/>
      <c r="V2935" s="100"/>
      <c r="W2935" s="100"/>
      <c r="X2935" s="100"/>
      <c r="Y2935" s="100"/>
      <c r="Z2935" s="100"/>
    </row>
    <row r="2936" spans="1:26">
      <c r="A2936" s="100"/>
      <c r="B2936" s="100"/>
      <c r="C2936" s="100"/>
      <c r="D2936" s="100"/>
      <c r="E2936" s="100"/>
      <c r="F2936" s="100"/>
      <c r="G2936" s="100"/>
      <c r="H2936" s="100"/>
      <c r="I2936" s="100"/>
      <c r="J2936" s="100"/>
      <c r="K2936" s="100"/>
      <c r="L2936" s="100"/>
      <c r="M2936" s="100"/>
      <c r="N2936" s="100"/>
      <c r="O2936" s="100"/>
      <c r="P2936" s="100"/>
      <c r="Q2936" s="100"/>
      <c r="R2936" s="100"/>
      <c r="S2936" s="100"/>
      <c r="T2936" s="100"/>
      <c r="U2936" s="100"/>
      <c r="V2936" s="100"/>
      <c r="W2936" s="100"/>
      <c r="X2936" s="100"/>
      <c r="Y2936" s="100"/>
      <c r="Z2936" s="100"/>
    </row>
    <row r="2937" spans="1:26">
      <c r="A2937" s="100"/>
      <c r="B2937" s="100"/>
      <c r="C2937" s="100"/>
      <c r="D2937" s="100"/>
      <c r="E2937" s="100"/>
      <c r="F2937" s="100"/>
      <c r="G2937" s="100"/>
      <c r="H2937" s="100"/>
      <c r="I2937" s="100"/>
      <c r="J2937" s="100"/>
      <c r="K2937" s="100"/>
      <c r="L2937" s="100"/>
      <c r="M2937" s="100"/>
      <c r="N2937" s="100"/>
      <c r="O2937" s="100"/>
      <c r="P2937" s="100"/>
      <c r="Q2937" s="100"/>
      <c r="R2937" s="100"/>
      <c r="S2937" s="100"/>
      <c r="T2937" s="100"/>
      <c r="U2937" s="100"/>
      <c r="V2937" s="100"/>
      <c r="W2937" s="100"/>
      <c r="X2937" s="100"/>
      <c r="Y2937" s="100"/>
      <c r="Z2937" s="100"/>
    </row>
    <row r="2938" spans="1:26">
      <c r="A2938" s="100"/>
      <c r="B2938" s="100"/>
      <c r="C2938" s="100"/>
      <c r="D2938" s="100"/>
      <c r="E2938" s="100"/>
      <c r="F2938" s="100"/>
      <c r="G2938" s="100"/>
      <c r="H2938" s="100"/>
      <c r="I2938" s="100"/>
      <c r="J2938" s="100"/>
      <c r="K2938" s="100"/>
      <c r="L2938" s="100"/>
      <c r="M2938" s="100"/>
      <c r="N2938" s="100"/>
      <c r="O2938" s="100"/>
      <c r="P2938" s="100"/>
      <c r="Q2938" s="100"/>
      <c r="R2938" s="100"/>
      <c r="S2938" s="100"/>
      <c r="T2938" s="100"/>
      <c r="U2938" s="100"/>
      <c r="V2938" s="100"/>
      <c r="W2938" s="100"/>
      <c r="X2938" s="100"/>
      <c r="Y2938" s="100"/>
      <c r="Z2938" s="100"/>
    </row>
    <row r="2939" spans="1:26">
      <c r="A2939" s="100"/>
      <c r="B2939" s="100"/>
      <c r="C2939" s="100"/>
      <c r="D2939" s="100"/>
      <c r="E2939" s="100"/>
      <c r="F2939" s="100"/>
      <c r="G2939" s="100"/>
      <c r="H2939" s="100"/>
      <c r="I2939" s="100"/>
      <c r="J2939" s="100"/>
      <c r="K2939" s="100"/>
      <c r="L2939" s="100"/>
      <c r="M2939" s="100"/>
      <c r="N2939" s="100"/>
      <c r="O2939" s="100"/>
      <c r="P2939" s="100"/>
      <c r="Q2939" s="100"/>
      <c r="R2939" s="100"/>
      <c r="S2939" s="100"/>
      <c r="T2939" s="100"/>
      <c r="U2939" s="100"/>
      <c r="V2939" s="100"/>
      <c r="W2939" s="100"/>
      <c r="X2939" s="100"/>
      <c r="Y2939" s="100"/>
      <c r="Z2939" s="100"/>
    </row>
    <row r="2940" spans="1:26">
      <c r="A2940" s="100"/>
      <c r="B2940" s="100"/>
      <c r="C2940" s="100"/>
      <c r="D2940" s="100"/>
      <c r="E2940" s="100"/>
      <c r="F2940" s="100"/>
      <c r="G2940" s="100"/>
      <c r="H2940" s="100"/>
      <c r="I2940" s="100"/>
      <c r="J2940" s="100"/>
      <c r="K2940" s="100"/>
      <c r="L2940" s="100"/>
      <c r="M2940" s="100"/>
      <c r="N2940" s="100"/>
      <c r="O2940" s="100"/>
      <c r="P2940" s="100"/>
      <c r="Q2940" s="100"/>
      <c r="R2940" s="100"/>
      <c r="S2940" s="100"/>
      <c r="T2940" s="100"/>
      <c r="U2940" s="100"/>
      <c r="V2940" s="100"/>
      <c r="W2940" s="100"/>
      <c r="X2940" s="100"/>
      <c r="Y2940" s="100"/>
      <c r="Z2940" s="100"/>
    </row>
    <row r="2941" spans="1:26">
      <c r="A2941" s="100"/>
      <c r="B2941" s="100"/>
      <c r="C2941" s="100"/>
      <c r="D2941" s="100"/>
      <c r="E2941" s="100"/>
      <c r="F2941" s="100"/>
      <c r="G2941" s="100"/>
      <c r="H2941" s="100"/>
      <c r="I2941" s="100"/>
      <c r="J2941" s="100"/>
      <c r="K2941" s="100"/>
      <c r="L2941" s="100"/>
      <c r="M2941" s="100"/>
      <c r="N2941" s="100"/>
      <c r="O2941" s="100"/>
      <c r="P2941" s="100"/>
      <c r="Q2941" s="100"/>
      <c r="R2941" s="100"/>
      <c r="S2941" s="100"/>
      <c r="T2941" s="100"/>
      <c r="U2941" s="100"/>
      <c r="V2941" s="100"/>
      <c r="W2941" s="100"/>
      <c r="X2941" s="100"/>
      <c r="Y2941" s="100"/>
      <c r="Z2941" s="100"/>
    </row>
    <row r="2942" spans="1:26">
      <c r="A2942" s="100"/>
      <c r="B2942" s="100"/>
      <c r="C2942" s="100"/>
      <c r="D2942" s="100"/>
      <c r="E2942" s="100"/>
      <c r="F2942" s="100"/>
      <c r="G2942" s="100"/>
      <c r="H2942" s="100"/>
      <c r="I2942" s="100"/>
      <c r="J2942" s="100"/>
      <c r="K2942" s="100"/>
      <c r="L2942" s="100"/>
      <c r="M2942" s="100"/>
      <c r="N2942" s="100"/>
      <c r="O2942" s="100"/>
      <c r="P2942" s="100"/>
      <c r="Q2942" s="100"/>
      <c r="R2942" s="100"/>
      <c r="S2942" s="100"/>
      <c r="T2942" s="100"/>
      <c r="U2942" s="100"/>
      <c r="V2942" s="100"/>
      <c r="W2942" s="100"/>
      <c r="X2942" s="100"/>
      <c r="Y2942" s="100"/>
      <c r="Z2942" s="100"/>
    </row>
    <row r="2943" spans="1:26">
      <c r="A2943" s="100"/>
      <c r="B2943" s="100"/>
      <c r="C2943" s="100"/>
      <c r="D2943" s="100"/>
      <c r="E2943" s="100"/>
      <c r="F2943" s="100"/>
      <c r="G2943" s="100"/>
      <c r="H2943" s="100"/>
      <c r="I2943" s="100"/>
      <c r="J2943" s="100"/>
      <c r="K2943" s="100"/>
      <c r="L2943" s="100"/>
      <c r="M2943" s="100"/>
      <c r="N2943" s="100"/>
      <c r="O2943" s="100"/>
      <c r="P2943" s="100"/>
      <c r="Q2943" s="100"/>
      <c r="R2943" s="100"/>
      <c r="S2943" s="100"/>
      <c r="T2943" s="100"/>
      <c r="U2943" s="100"/>
      <c r="V2943" s="100"/>
      <c r="W2943" s="100"/>
      <c r="X2943" s="100"/>
      <c r="Y2943" s="100"/>
      <c r="Z2943" s="100"/>
    </row>
    <row r="2944" spans="1:26">
      <c r="A2944" s="100"/>
      <c r="B2944" s="100"/>
      <c r="C2944" s="100"/>
      <c r="D2944" s="100"/>
      <c r="E2944" s="100"/>
      <c r="F2944" s="100"/>
      <c r="G2944" s="100"/>
      <c r="H2944" s="100"/>
      <c r="I2944" s="100"/>
      <c r="J2944" s="100"/>
      <c r="K2944" s="100"/>
      <c r="L2944" s="100"/>
      <c r="M2944" s="100"/>
      <c r="N2944" s="100"/>
      <c r="O2944" s="100"/>
      <c r="P2944" s="100"/>
      <c r="Q2944" s="100"/>
      <c r="R2944" s="100"/>
      <c r="S2944" s="100"/>
      <c r="T2944" s="100"/>
      <c r="U2944" s="100"/>
      <c r="V2944" s="100"/>
      <c r="W2944" s="100"/>
      <c r="X2944" s="100"/>
      <c r="Y2944" s="100"/>
      <c r="Z2944" s="100"/>
    </row>
    <row r="2945" spans="1:26">
      <c r="A2945" s="100"/>
      <c r="B2945" s="100"/>
      <c r="C2945" s="100"/>
      <c r="D2945" s="100"/>
      <c r="E2945" s="100"/>
      <c r="F2945" s="100"/>
      <c r="G2945" s="100"/>
      <c r="H2945" s="100"/>
      <c r="I2945" s="100"/>
      <c r="J2945" s="100"/>
      <c r="K2945" s="100"/>
      <c r="L2945" s="100"/>
      <c r="M2945" s="100"/>
      <c r="N2945" s="100"/>
      <c r="O2945" s="100"/>
      <c r="P2945" s="100"/>
      <c r="Q2945" s="100"/>
      <c r="R2945" s="100"/>
      <c r="S2945" s="100"/>
      <c r="T2945" s="100"/>
      <c r="U2945" s="100"/>
      <c r="V2945" s="100"/>
      <c r="W2945" s="100"/>
      <c r="X2945" s="100"/>
      <c r="Y2945" s="100"/>
      <c r="Z2945" s="100"/>
    </row>
    <row r="2946" spans="1:26">
      <c r="A2946" s="100"/>
      <c r="B2946" s="100"/>
      <c r="C2946" s="100"/>
      <c r="D2946" s="100"/>
      <c r="E2946" s="100"/>
      <c r="F2946" s="100"/>
      <c r="G2946" s="100"/>
      <c r="H2946" s="100"/>
      <c r="I2946" s="100"/>
      <c r="J2946" s="100"/>
      <c r="K2946" s="100"/>
      <c r="L2946" s="100"/>
      <c r="M2946" s="100"/>
      <c r="N2946" s="100"/>
      <c r="O2946" s="100"/>
      <c r="P2946" s="100"/>
      <c r="Q2946" s="100"/>
      <c r="R2946" s="100"/>
      <c r="S2946" s="100"/>
      <c r="T2946" s="100"/>
      <c r="U2946" s="100"/>
      <c r="V2946" s="100"/>
      <c r="W2946" s="100"/>
      <c r="X2946" s="100"/>
      <c r="Y2946" s="100"/>
      <c r="Z2946" s="100"/>
    </row>
    <row r="2947" spans="1:26">
      <c r="A2947" s="100"/>
      <c r="B2947" s="100"/>
      <c r="C2947" s="100"/>
      <c r="D2947" s="100"/>
      <c r="E2947" s="100"/>
      <c r="F2947" s="100"/>
      <c r="G2947" s="100"/>
      <c r="H2947" s="100"/>
      <c r="I2947" s="100"/>
      <c r="J2947" s="100"/>
      <c r="K2947" s="100"/>
      <c r="L2947" s="100"/>
      <c r="M2947" s="100"/>
      <c r="N2947" s="100"/>
      <c r="O2947" s="100"/>
      <c r="P2947" s="100"/>
      <c r="Q2947" s="100"/>
      <c r="R2947" s="100"/>
      <c r="S2947" s="100"/>
      <c r="T2947" s="100"/>
      <c r="U2947" s="100"/>
      <c r="V2947" s="100"/>
      <c r="W2947" s="100"/>
      <c r="X2947" s="100"/>
      <c r="Y2947" s="100"/>
      <c r="Z2947" s="100"/>
    </row>
    <row r="2948" spans="1:26">
      <c r="A2948" s="100"/>
      <c r="B2948" s="100"/>
      <c r="C2948" s="100"/>
      <c r="D2948" s="100"/>
      <c r="E2948" s="100"/>
      <c r="F2948" s="100"/>
      <c r="G2948" s="100"/>
      <c r="H2948" s="100"/>
      <c r="I2948" s="100"/>
      <c r="J2948" s="100"/>
      <c r="K2948" s="100"/>
      <c r="L2948" s="100"/>
      <c r="M2948" s="100"/>
      <c r="N2948" s="100"/>
      <c r="O2948" s="100"/>
      <c r="P2948" s="100"/>
      <c r="Q2948" s="100"/>
      <c r="R2948" s="100"/>
      <c r="S2948" s="100"/>
      <c r="T2948" s="100"/>
      <c r="U2948" s="100"/>
      <c r="V2948" s="100"/>
      <c r="W2948" s="100"/>
      <c r="X2948" s="100"/>
      <c r="Y2948" s="100"/>
      <c r="Z2948" s="100"/>
    </row>
    <row r="2949" spans="1:26">
      <c r="A2949" s="100"/>
      <c r="B2949" s="100"/>
      <c r="C2949" s="100"/>
      <c r="D2949" s="100"/>
      <c r="E2949" s="100"/>
      <c r="F2949" s="100"/>
      <c r="G2949" s="100"/>
      <c r="H2949" s="100"/>
      <c r="I2949" s="100"/>
      <c r="J2949" s="100"/>
      <c r="K2949" s="100"/>
      <c r="L2949" s="100"/>
      <c r="M2949" s="100"/>
      <c r="N2949" s="100"/>
      <c r="O2949" s="100"/>
      <c r="P2949" s="100"/>
      <c r="Q2949" s="100"/>
      <c r="R2949" s="100"/>
      <c r="S2949" s="100"/>
      <c r="T2949" s="100"/>
      <c r="U2949" s="100"/>
      <c r="V2949" s="100"/>
      <c r="W2949" s="100"/>
      <c r="X2949" s="100"/>
      <c r="Y2949" s="100"/>
      <c r="Z2949" s="100"/>
    </row>
    <row r="2950" spans="1:26">
      <c r="A2950" s="100"/>
      <c r="B2950" s="100"/>
      <c r="C2950" s="100"/>
      <c r="D2950" s="100"/>
      <c r="E2950" s="100"/>
      <c r="F2950" s="100"/>
      <c r="G2950" s="100"/>
      <c r="H2950" s="100"/>
      <c r="I2950" s="100"/>
      <c r="J2950" s="100"/>
      <c r="K2950" s="100"/>
      <c r="L2950" s="100"/>
      <c r="M2950" s="100"/>
      <c r="N2950" s="100"/>
      <c r="O2950" s="100"/>
      <c r="P2950" s="100"/>
      <c r="Q2950" s="100"/>
      <c r="R2950" s="100"/>
      <c r="S2950" s="100"/>
      <c r="T2950" s="100"/>
      <c r="U2950" s="100"/>
      <c r="V2950" s="100"/>
      <c r="W2950" s="100"/>
      <c r="X2950" s="100"/>
      <c r="Y2950" s="100"/>
      <c r="Z2950" s="100"/>
    </row>
    <row r="2951" spans="1:26">
      <c r="A2951" s="100"/>
      <c r="B2951" s="100"/>
      <c r="C2951" s="100"/>
      <c r="D2951" s="100"/>
      <c r="E2951" s="100"/>
      <c r="F2951" s="100"/>
      <c r="G2951" s="100"/>
      <c r="H2951" s="100"/>
      <c r="I2951" s="100"/>
      <c r="J2951" s="100"/>
      <c r="K2951" s="100"/>
      <c r="L2951" s="100"/>
      <c r="M2951" s="100"/>
      <c r="N2951" s="100"/>
      <c r="O2951" s="100"/>
      <c r="P2951" s="100"/>
      <c r="Q2951" s="100"/>
      <c r="R2951" s="100"/>
      <c r="S2951" s="100"/>
      <c r="T2951" s="100"/>
      <c r="U2951" s="100"/>
      <c r="V2951" s="100"/>
      <c r="W2951" s="100"/>
      <c r="X2951" s="100"/>
      <c r="Y2951" s="100"/>
      <c r="Z2951" s="100"/>
    </row>
    <row r="2952" spans="1:26">
      <c r="A2952" s="100"/>
      <c r="B2952" s="100"/>
      <c r="C2952" s="100"/>
      <c r="D2952" s="100"/>
      <c r="E2952" s="100"/>
      <c r="F2952" s="100"/>
      <c r="G2952" s="100"/>
      <c r="H2952" s="100"/>
      <c r="I2952" s="100"/>
      <c r="J2952" s="100"/>
      <c r="K2952" s="100"/>
      <c r="L2952" s="100"/>
      <c r="M2952" s="100"/>
      <c r="N2952" s="100"/>
      <c r="O2952" s="100"/>
      <c r="P2952" s="100"/>
      <c r="Q2952" s="100"/>
      <c r="R2952" s="100"/>
      <c r="S2952" s="100"/>
      <c r="T2952" s="100"/>
      <c r="U2952" s="100"/>
      <c r="V2952" s="100"/>
      <c r="W2952" s="100"/>
      <c r="X2952" s="100"/>
      <c r="Y2952" s="100"/>
      <c r="Z2952" s="100"/>
    </row>
    <row r="2953" spans="1:26">
      <c r="A2953" s="100"/>
      <c r="B2953" s="100"/>
      <c r="C2953" s="100"/>
      <c r="D2953" s="100"/>
      <c r="E2953" s="100"/>
      <c r="F2953" s="100"/>
      <c r="G2953" s="100"/>
      <c r="H2953" s="100"/>
      <c r="I2953" s="100"/>
      <c r="J2953" s="100"/>
      <c r="K2953" s="100"/>
      <c r="L2953" s="100"/>
      <c r="M2953" s="100"/>
      <c r="N2953" s="100"/>
      <c r="O2953" s="100"/>
      <c r="P2953" s="100"/>
      <c r="Q2953" s="100"/>
      <c r="R2953" s="100"/>
      <c r="S2953" s="100"/>
      <c r="T2953" s="100"/>
      <c r="U2953" s="100"/>
      <c r="V2953" s="100"/>
      <c r="W2953" s="100"/>
      <c r="X2953" s="100"/>
      <c r="Y2953" s="100"/>
      <c r="Z2953" s="100"/>
    </row>
    <row r="2954" spans="1:26">
      <c r="A2954" s="100"/>
      <c r="B2954" s="100"/>
      <c r="C2954" s="100"/>
      <c r="D2954" s="100"/>
      <c r="E2954" s="100"/>
      <c r="F2954" s="100"/>
      <c r="G2954" s="100"/>
      <c r="H2954" s="100"/>
      <c r="I2954" s="100"/>
      <c r="J2954" s="100"/>
      <c r="K2954" s="100"/>
      <c r="L2954" s="100"/>
      <c r="M2954" s="100"/>
      <c r="N2954" s="100"/>
      <c r="O2954" s="100"/>
      <c r="P2954" s="100"/>
      <c r="Q2954" s="100"/>
      <c r="R2954" s="100"/>
      <c r="S2954" s="100"/>
      <c r="T2954" s="100"/>
      <c r="U2954" s="100"/>
      <c r="V2954" s="100"/>
      <c r="W2954" s="100"/>
      <c r="X2954" s="100"/>
      <c r="Y2954" s="100"/>
      <c r="Z2954" s="100"/>
    </row>
    <row r="2955" spans="1:26">
      <c r="A2955" s="100"/>
      <c r="B2955" s="100"/>
      <c r="C2955" s="100"/>
      <c r="D2955" s="100"/>
      <c r="E2955" s="100"/>
      <c r="F2955" s="100"/>
      <c r="G2955" s="100"/>
      <c r="H2955" s="100"/>
      <c r="I2955" s="100"/>
      <c r="J2955" s="100"/>
      <c r="K2955" s="100"/>
      <c r="L2955" s="100"/>
      <c r="M2955" s="100"/>
      <c r="N2955" s="100"/>
      <c r="O2955" s="100"/>
      <c r="P2955" s="100"/>
      <c r="Q2955" s="100"/>
      <c r="R2955" s="100"/>
      <c r="S2955" s="100"/>
      <c r="T2955" s="100"/>
      <c r="U2955" s="100"/>
      <c r="V2955" s="100"/>
      <c r="W2955" s="100"/>
      <c r="X2955" s="100"/>
      <c r="Y2955" s="100"/>
      <c r="Z2955" s="100"/>
    </row>
    <row r="2956" spans="1:26">
      <c r="A2956" s="100"/>
      <c r="B2956" s="100"/>
      <c r="C2956" s="100"/>
      <c r="D2956" s="100"/>
      <c r="E2956" s="100"/>
      <c r="F2956" s="100"/>
      <c r="G2956" s="100"/>
      <c r="H2956" s="100"/>
      <c r="I2956" s="100"/>
      <c r="J2956" s="100"/>
      <c r="K2956" s="100"/>
      <c r="L2956" s="100"/>
      <c r="M2956" s="100"/>
      <c r="N2956" s="100"/>
      <c r="O2956" s="100"/>
      <c r="P2956" s="100"/>
      <c r="Q2956" s="100"/>
      <c r="R2956" s="100"/>
      <c r="S2956" s="100"/>
      <c r="T2956" s="100"/>
      <c r="U2956" s="100"/>
      <c r="V2956" s="100"/>
      <c r="W2956" s="100"/>
      <c r="X2956" s="100"/>
      <c r="Y2956" s="100"/>
      <c r="Z2956" s="100"/>
    </row>
    <row r="2957" spans="1:26">
      <c r="A2957" s="100"/>
      <c r="B2957" s="100"/>
      <c r="C2957" s="100"/>
      <c r="D2957" s="100"/>
      <c r="E2957" s="100"/>
      <c r="F2957" s="100"/>
      <c r="G2957" s="100"/>
      <c r="H2957" s="100"/>
      <c r="I2957" s="100"/>
      <c r="J2957" s="100"/>
      <c r="K2957" s="100"/>
      <c r="L2957" s="100"/>
      <c r="M2957" s="100"/>
      <c r="N2957" s="100"/>
      <c r="O2957" s="100"/>
      <c r="P2957" s="100"/>
      <c r="Q2957" s="100"/>
      <c r="R2957" s="100"/>
      <c r="S2957" s="100"/>
      <c r="T2957" s="100"/>
      <c r="U2957" s="100"/>
      <c r="V2957" s="100"/>
      <c r="W2957" s="100"/>
      <c r="X2957" s="100"/>
      <c r="Y2957" s="100"/>
      <c r="Z2957" s="100"/>
    </row>
    <row r="2958" spans="1:26">
      <c r="A2958" s="100"/>
      <c r="B2958" s="100"/>
      <c r="C2958" s="100"/>
      <c r="D2958" s="100"/>
      <c r="E2958" s="100"/>
      <c r="F2958" s="100"/>
      <c r="G2958" s="100"/>
      <c r="H2958" s="100"/>
      <c r="I2958" s="100"/>
      <c r="J2958" s="100"/>
      <c r="K2958" s="100"/>
      <c r="L2958" s="100"/>
      <c r="M2958" s="100"/>
      <c r="N2958" s="100"/>
      <c r="O2958" s="100"/>
      <c r="P2958" s="100"/>
      <c r="Q2958" s="100"/>
      <c r="R2958" s="100"/>
      <c r="S2958" s="100"/>
      <c r="T2958" s="100"/>
      <c r="U2958" s="100"/>
      <c r="V2958" s="100"/>
      <c r="W2958" s="100"/>
      <c r="X2958" s="100"/>
      <c r="Y2958" s="100"/>
      <c r="Z2958" s="100"/>
    </row>
    <row r="2959" spans="1:26">
      <c r="A2959" s="100"/>
      <c r="B2959" s="100"/>
      <c r="C2959" s="100"/>
      <c r="D2959" s="100"/>
      <c r="E2959" s="100"/>
      <c r="F2959" s="100"/>
      <c r="G2959" s="100"/>
      <c r="H2959" s="100"/>
      <c r="I2959" s="100"/>
      <c r="J2959" s="100"/>
      <c r="K2959" s="100"/>
      <c r="L2959" s="100"/>
      <c r="M2959" s="100"/>
      <c r="N2959" s="100"/>
      <c r="O2959" s="100"/>
      <c r="P2959" s="100"/>
      <c r="Q2959" s="100"/>
      <c r="R2959" s="100"/>
      <c r="S2959" s="100"/>
      <c r="T2959" s="100"/>
      <c r="U2959" s="100"/>
      <c r="V2959" s="100"/>
      <c r="W2959" s="100"/>
      <c r="X2959" s="100"/>
      <c r="Y2959" s="100"/>
      <c r="Z2959" s="100"/>
    </row>
    <row r="2960" spans="1:26">
      <c r="A2960" s="100"/>
      <c r="B2960" s="100"/>
      <c r="C2960" s="100"/>
      <c r="D2960" s="100"/>
      <c r="E2960" s="100"/>
      <c r="F2960" s="100"/>
      <c r="G2960" s="100"/>
      <c r="H2960" s="100"/>
      <c r="I2960" s="100"/>
      <c r="J2960" s="100"/>
      <c r="K2960" s="100"/>
      <c r="L2960" s="100"/>
      <c r="M2960" s="100"/>
      <c r="N2960" s="100"/>
      <c r="O2960" s="100"/>
      <c r="P2960" s="100"/>
      <c r="Q2960" s="100"/>
      <c r="R2960" s="100"/>
      <c r="S2960" s="100"/>
      <c r="T2960" s="100"/>
      <c r="U2960" s="100"/>
      <c r="V2960" s="100"/>
      <c r="W2960" s="100"/>
      <c r="X2960" s="100"/>
      <c r="Y2960" s="100"/>
      <c r="Z2960" s="100"/>
    </row>
    <row r="2961" spans="1:26">
      <c r="A2961" s="100"/>
      <c r="B2961" s="100"/>
      <c r="C2961" s="100"/>
      <c r="D2961" s="100"/>
      <c r="E2961" s="100"/>
      <c r="F2961" s="100"/>
      <c r="G2961" s="100"/>
      <c r="H2961" s="100"/>
      <c r="I2961" s="100"/>
      <c r="J2961" s="100"/>
      <c r="K2961" s="100"/>
      <c r="L2961" s="100"/>
      <c r="M2961" s="100"/>
      <c r="N2961" s="100"/>
      <c r="O2961" s="100"/>
      <c r="P2961" s="100"/>
      <c r="Q2961" s="100"/>
      <c r="R2961" s="100"/>
      <c r="S2961" s="100"/>
      <c r="T2961" s="100"/>
      <c r="U2961" s="100"/>
      <c r="V2961" s="100"/>
      <c r="W2961" s="100"/>
      <c r="X2961" s="100"/>
      <c r="Y2961" s="100"/>
      <c r="Z2961" s="100"/>
    </row>
    <row r="2962" spans="1:26">
      <c r="A2962" s="100"/>
      <c r="B2962" s="100"/>
      <c r="C2962" s="100"/>
      <c r="D2962" s="100"/>
      <c r="E2962" s="100"/>
      <c r="F2962" s="100"/>
      <c r="G2962" s="100"/>
      <c r="H2962" s="100"/>
      <c r="I2962" s="100"/>
      <c r="J2962" s="100"/>
      <c r="K2962" s="100"/>
      <c r="L2962" s="100"/>
      <c r="M2962" s="100"/>
      <c r="N2962" s="100"/>
      <c r="O2962" s="100"/>
      <c r="P2962" s="100"/>
      <c r="Q2962" s="100"/>
      <c r="R2962" s="100"/>
      <c r="S2962" s="100"/>
      <c r="T2962" s="100"/>
      <c r="U2962" s="100"/>
      <c r="V2962" s="100"/>
      <c r="W2962" s="100"/>
      <c r="X2962" s="100"/>
      <c r="Y2962" s="100"/>
      <c r="Z2962" s="100"/>
    </row>
    <row r="2963" spans="1:26">
      <c r="A2963" s="100"/>
      <c r="B2963" s="100"/>
      <c r="C2963" s="100"/>
      <c r="D2963" s="100"/>
      <c r="E2963" s="100"/>
      <c r="F2963" s="100"/>
      <c r="G2963" s="100"/>
      <c r="H2963" s="100"/>
      <c r="I2963" s="100"/>
      <c r="J2963" s="100"/>
      <c r="K2963" s="100"/>
      <c r="L2963" s="100"/>
      <c r="M2963" s="100"/>
      <c r="N2963" s="100"/>
      <c r="O2963" s="100"/>
      <c r="P2963" s="100"/>
      <c r="Q2963" s="100"/>
      <c r="R2963" s="100"/>
      <c r="S2963" s="100"/>
      <c r="T2963" s="100"/>
      <c r="U2963" s="100"/>
      <c r="V2963" s="100"/>
      <c r="W2963" s="100"/>
      <c r="X2963" s="100"/>
      <c r="Y2963" s="100"/>
      <c r="Z2963" s="100"/>
    </row>
    <row r="2964" spans="1:26">
      <c r="A2964" s="100"/>
      <c r="B2964" s="100"/>
      <c r="C2964" s="100"/>
      <c r="D2964" s="100"/>
      <c r="E2964" s="100"/>
      <c r="F2964" s="100"/>
      <c r="G2964" s="100"/>
      <c r="H2964" s="100"/>
      <c r="I2964" s="100"/>
      <c r="J2964" s="100"/>
      <c r="K2964" s="100"/>
      <c r="L2964" s="100"/>
      <c r="M2964" s="100"/>
      <c r="N2964" s="100"/>
      <c r="O2964" s="100"/>
      <c r="P2964" s="100"/>
      <c r="Q2964" s="100"/>
      <c r="R2964" s="100"/>
      <c r="S2964" s="100"/>
      <c r="T2964" s="100"/>
      <c r="U2964" s="100"/>
      <c r="V2964" s="100"/>
      <c r="W2964" s="100"/>
      <c r="X2964" s="100"/>
      <c r="Y2964" s="100"/>
      <c r="Z2964" s="100"/>
    </row>
    <row r="2965" spans="1:26">
      <c r="A2965" s="100"/>
      <c r="B2965" s="100"/>
      <c r="C2965" s="100"/>
      <c r="D2965" s="100"/>
      <c r="E2965" s="100"/>
      <c r="F2965" s="100"/>
      <c r="G2965" s="100"/>
      <c r="H2965" s="100"/>
      <c r="I2965" s="100"/>
      <c r="J2965" s="100"/>
      <c r="K2965" s="100"/>
      <c r="L2965" s="100"/>
      <c r="M2965" s="100"/>
      <c r="N2965" s="100"/>
      <c r="O2965" s="100"/>
      <c r="P2965" s="100"/>
      <c r="Q2965" s="100"/>
      <c r="R2965" s="100"/>
      <c r="S2965" s="100"/>
      <c r="T2965" s="100"/>
      <c r="U2965" s="100"/>
      <c r="V2965" s="100"/>
      <c r="W2965" s="100"/>
      <c r="X2965" s="100"/>
      <c r="Y2965" s="100"/>
      <c r="Z2965" s="100"/>
    </row>
    <row r="2966" spans="1:26">
      <c r="A2966" s="100"/>
      <c r="B2966" s="100"/>
      <c r="C2966" s="100"/>
      <c r="D2966" s="100"/>
      <c r="E2966" s="100"/>
      <c r="F2966" s="100"/>
      <c r="G2966" s="100"/>
      <c r="H2966" s="100"/>
      <c r="I2966" s="100"/>
      <c r="J2966" s="100"/>
      <c r="K2966" s="100"/>
      <c r="L2966" s="100"/>
      <c r="M2966" s="100"/>
      <c r="N2966" s="100"/>
      <c r="O2966" s="100"/>
      <c r="P2966" s="100"/>
      <c r="Q2966" s="100"/>
      <c r="R2966" s="100"/>
      <c r="S2966" s="100"/>
      <c r="T2966" s="100"/>
      <c r="U2966" s="100"/>
      <c r="V2966" s="100"/>
      <c r="W2966" s="100"/>
      <c r="X2966" s="100"/>
      <c r="Y2966" s="100"/>
      <c r="Z2966" s="100"/>
    </row>
    <row r="2967" spans="1:26">
      <c r="A2967" s="100"/>
      <c r="B2967" s="100"/>
      <c r="C2967" s="100"/>
      <c r="D2967" s="100"/>
      <c r="E2967" s="100"/>
      <c r="F2967" s="100"/>
      <c r="G2967" s="100"/>
      <c r="H2967" s="100"/>
      <c r="I2967" s="100"/>
      <c r="J2967" s="100"/>
      <c r="K2967" s="100"/>
      <c r="L2967" s="100"/>
      <c r="M2967" s="100"/>
      <c r="N2967" s="100"/>
      <c r="O2967" s="100"/>
      <c r="P2967" s="100"/>
      <c r="Q2967" s="100"/>
      <c r="R2967" s="100"/>
      <c r="S2967" s="100"/>
      <c r="T2967" s="100"/>
      <c r="U2967" s="100"/>
      <c r="V2967" s="100"/>
      <c r="W2967" s="100"/>
      <c r="X2967" s="100"/>
      <c r="Y2967" s="100"/>
      <c r="Z2967" s="100"/>
    </row>
    <row r="2968" spans="1:26">
      <c r="A2968" s="100"/>
      <c r="B2968" s="100"/>
      <c r="C2968" s="100"/>
      <c r="D2968" s="100"/>
      <c r="E2968" s="100"/>
      <c r="F2968" s="100"/>
      <c r="G2968" s="100"/>
      <c r="H2968" s="100"/>
      <c r="I2968" s="100"/>
      <c r="J2968" s="100"/>
      <c r="K2968" s="100"/>
      <c r="L2968" s="100"/>
      <c r="M2968" s="100"/>
      <c r="N2968" s="100"/>
      <c r="O2968" s="100"/>
      <c r="P2968" s="100"/>
      <c r="Q2968" s="100"/>
      <c r="R2968" s="100"/>
      <c r="S2968" s="100"/>
      <c r="T2968" s="100"/>
      <c r="U2968" s="100"/>
      <c r="V2968" s="100"/>
      <c r="W2968" s="100"/>
      <c r="X2968" s="100"/>
      <c r="Y2968" s="100"/>
      <c r="Z2968" s="100"/>
    </row>
    <row r="2969" spans="1:26">
      <c r="A2969" s="100"/>
      <c r="B2969" s="100"/>
      <c r="C2969" s="100"/>
      <c r="D2969" s="100"/>
      <c r="E2969" s="100"/>
      <c r="F2969" s="100"/>
      <c r="G2969" s="100"/>
      <c r="H2969" s="100"/>
      <c r="I2969" s="100"/>
      <c r="J2969" s="100"/>
      <c r="K2969" s="100"/>
      <c r="L2969" s="100"/>
      <c r="M2969" s="100"/>
      <c r="N2969" s="100"/>
      <c r="O2969" s="100"/>
      <c r="P2969" s="100"/>
      <c r="Q2969" s="100"/>
      <c r="R2969" s="100"/>
      <c r="S2969" s="100"/>
      <c r="T2969" s="100"/>
      <c r="U2969" s="100"/>
      <c r="V2969" s="100"/>
      <c r="W2969" s="100"/>
      <c r="X2969" s="100"/>
      <c r="Y2969" s="100"/>
      <c r="Z2969" s="100"/>
    </row>
    <row r="2970" spans="1:26">
      <c r="A2970" s="100"/>
      <c r="B2970" s="100"/>
      <c r="C2970" s="100"/>
      <c r="D2970" s="100"/>
      <c r="E2970" s="100"/>
      <c r="F2970" s="100"/>
      <c r="G2970" s="100"/>
      <c r="H2970" s="100"/>
      <c r="I2970" s="100"/>
      <c r="J2970" s="100"/>
      <c r="K2970" s="100"/>
      <c r="L2970" s="100"/>
      <c r="M2970" s="100"/>
      <c r="N2970" s="100"/>
      <c r="O2970" s="100"/>
      <c r="P2970" s="100"/>
      <c r="Q2970" s="100"/>
      <c r="R2970" s="100"/>
      <c r="S2970" s="100"/>
      <c r="T2970" s="100"/>
      <c r="U2970" s="100"/>
      <c r="V2970" s="100"/>
      <c r="W2970" s="100"/>
      <c r="X2970" s="100"/>
      <c r="Y2970" s="100"/>
      <c r="Z2970" s="100"/>
    </row>
    <row r="2971" spans="1:26">
      <c r="A2971" s="100"/>
      <c r="B2971" s="100"/>
      <c r="C2971" s="100"/>
      <c r="D2971" s="100"/>
      <c r="E2971" s="100"/>
      <c r="F2971" s="100"/>
      <c r="G2971" s="100"/>
      <c r="H2971" s="100"/>
      <c r="I2971" s="100"/>
      <c r="J2971" s="100"/>
      <c r="K2971" s="100"/>
      <c r="L2971" s="100"/>
      <c r="M2971" s="100"/>
      <c r="N2971" s="100"/>
      <c r="O2971" s="100"/>
      <c r="P2971" s="100"/>
      <c r="Q2971" s="100"/>
      <c r="R2971" s="100"/>
      <c r="S2971" s="100"/>
      <c r="T2971" s="100"/>
      <c r="U2971" s="100"/>
      <c r="V2971" s="100"/>
      <c r="W2971" s="100"/>
      <c r="X2971" s="100"/>
      <c r="Y2971" s="100"/>
      <c r="Z2971" s="100"/>
    </row>
    <row r="2972" spans="1:26">
      <c r="A2972" s="100"/>
      <c r="B2972" s="100"/>
      <c r="C2972" s="100"/>
      <c r="D2972" s="100"/>
      <c r="E2972" s="100"/>
      <c r="F2972" s="100"/>
      <c r="G2972" s="100"/>
      <c r="H2972" s="100"/>
      <c r="I2972" s="100"/>
      <c r="J2972" s="100"/>
      <c r="K2972" s="100"/>
      <c r="L2972" s="100"/>
      <c r="M2972" s="100"/>
      <c r="N2972" s="100"/>
      <c r="O2972" s="100"/>
      <c r="P2972" s="100"/>
      <c r="Q2972" s="100"/>
      <c r="R2972" s="100"/>
      <c r="S2972" s="100"/>
      <c r="T2972" s="100"/>
      <c r="U2972" s="100"/>
      <c r="V2972" s="100"/>
      <c r="W2972" s="100"/>
      <c r="X2972" s="100"/>
      <c r="Y2972" s="100"/>
      <c r="Z2972" s="100"/>
    </row>
    <row r="2973" spans="1:26">
      <c r="A2973" s="100"/>
      <c r="B2973" s="100"/>
      <c r="C2973" s="100"/>
      <c r="D2973" s="100"/>
      <c r="E2973" s="100"/>
      <c r="F2973" s="100"/>
      <c r="G2973" s="100"/>
      <c r="H2973" s="100"/>
      <c r="I2973" s="100"/>
      <c r="J2973" s="100"/>
      <c r="K2973" s="100"/>
      <c r="L2973" s="100"/>
      <c r="M2973" s="100"/>
      <c r="N2973" s="100"/>
      <c r="O2973" s="100"/>
      <c r="P2973" s="100"/>
      <c r="Q2973" s="100"/>
      <c r="R2973" s="100"/>
      <c r="S2973" s="100"/>
      <c r="T2973" s="100"/>
      <c r="U2973" s="100"/>
      <c r="V2973" s="100"/>
      <c r="W2973" s="100"/>
      <c r="X2973" s="100"/>
      <c r="Y2973" s="100"/>
      <c r="Z2973" s="100"/>
    </row>
    <row r="2974" spans="1:26">
      <c r="A2974" s="100"/>
      <c r="B2974" s="100"/>
      <c r="C2974" s="100"/>
      <c r="D2974" s="100"/>
      <c r="E2974" s="100"/>
      <c r="F2974" s="100"/>
      <c r="G2974" s="100"/>
      <c r="H2974" s="100"/>
      <c r="I2974" s="100"/>
      <c r="J2974" s="100"/>
      <c r="K2974" s="100"/>
      <c r="L2974" s="100"/>
      <c r="M2974" s="100"/>
      <c r="N2974" s="100"/>
      <c r="O2974" s="100"/>
      <c r="P2974" s="100"/>
      <c r="Q2974" s="100"/>
      <c r="R2974" s="100"/>
      <c r="S2974" s="100"/>
      <c r="T2974" s="100"/>
      <c r="U2974" s="100"/>
      <c r="V2974" s="100"/>
      <c r="W2974" s="100"/>
      <c r="X2974" s="100"/>
      <c r="Y2974" s="100"/>
      <c r="Z2974" s="100"/>
    </row>
    <row r="2975" spans="1:26">
      <c r="A2975" s="100"/>
      <c r="B2975" s="100"/>
      <c r="C2975" s="100"/>
      <c r="D2975" s="100"/>
      <c r="E2975" s="100"/>
      <c r="F2975" s="100"/>
      <c r="G2975" s="100"/>
      <c r="H2975" s="100"/>
      <c r="I2975" s="100"/>
      <c r="J2975" s="100"/>
      <c r="K2975" s="100"/>
      <c r="L2975" s="100"/>
      <c r="M2975" s="100"/>
      <c r="N2975" s="100"/>
      <c r="O2975" s="100"/>
      <c r="P2975" s="100"/>
      <c r="Q2975" s="100"/>
      <c r="R2975" s="100"/>
      <c r="S2975" s="100"/>
      <c r="T2975" s="100"/>
      <c r="U2975" s="100"/>
      <c r="V2975" s="100"/>
      <c r="W2975" s="100"/>
      <c r="X2975" s="100"/>
      <c r="Y2975" s="100"/>
      <c r="Z2975" s="100"/>
    </row>
    <row r="2976" spans="1:26">
      <c r="A2976" s="100"/>
      <c r="B2976" s="100"/>
      <c r="C2976" s="100"/>
      <c r="D2976" s="100"/>
      <c r="E2976" s="100"/>
      <c r="F2976" s="100"/>
      <c r="G2976" s="100"/>
      <c r="H2976" s="100"/>
      <c r="I2976" s="100"/>
      <c r="J2976" s="100"/>
      <c r="K2976" s="100"/>
      <c r="L2976" s="100"/>
      <c r="M2976" s="100"/>
      <c r="N2976" s="100"/>
      <c r="O2976" s="100"/>
      <c r="P2976" s="100"/>
      <c r="Q2976" s="100"/>
      <c r="R2976" s="100"/>
      <c r="S2976" s="100"/>
      <c r="T2976" s="100"/>
      <c r="U2976" s="100"/>
      <c r="V2976" s="100"/>
      <c r="W2976" s="100"/>
      <c r="X2976" s="100"/>
      <c r="Y2976" s="100"/>
      <c r="Z2976" s="100"/>
    </row>
    <row r="2977" spans="1:26">
      <c r="A2977" s="100"/>
      <c r="B2977" s="100"/>
      <c r="C2977" s="100"/>
      <c r="D2977" s="100"/>
      <c r="E2977" s="100"/>
      <c r="F2977" s="100"/>
      <c r="G2977" s="100"/>
      <c r="H2977" s="100"/>
      <c r="I2977" s="100"/>
      <c r="J2977" s="100"/>
      <c r="K2977" s="100"/>
      <c r="L2977" s="100"/>
      <c r="M2977" s="100"/>
      <c r="N2977" s="100"/>
      <c r="O2977" s="100"/>
      <c r="P2977" s="100"/>
      <c r="Q2977" s="100"/>
      <c r="R2977" s="100"/>
      <c r="S2977" s="100"/>
      <c r="T2977" s="100"/>
      <c r="U2977" s="100"/>
      <c r="V2977" s="100"/>
      <c r="W2977" s="100"/>
      <c r="X2977" s="100"/>
      <c r="Y2977" s="100"/>
      <c r="Z2977" s="100"/>
    </row>
    <row r="2978" spans="1:26">
      <c r="A2978" s="100"/>
      <c r="B2978" s="100"/>
      <c r="C2978" s="100"/>
      <c r="D2978" s="100"/>
      <c r="E2978" s="100"/>
      <c r="F2978" s="100"/>
      <c r="G2978" s="100"/>
      <c r="H2978" s="100"/>
      <c r="I2978" s="100"/>
      <c r="J2978" s="100"/>
      <c r="K2978" s="100"/>
      <c r="L2978" s="100"/>
      <c r="M2978" s="100"/>
      <c r="N2978" s="100"/>
      <c r="O2978" s="100"/>
      <c r="P2978" s="100"/>
      <c r="Q2978" s="100"/>
      <c r="R2978" s="100"/>
      <c r="S2978" s="100"/>
      <c r="T2978" s="100"/>
      <c r="U2978" s="100"/>
      <c r="V2978" s="100"/>
      <c r="W2978" s="100"/>
      <c r="X2978" s="100"/>
      <c r="Y2978" s="100"/>
      <c r="Z2978" s="100"/>
    </row>
    <row r="2979" spans="1:26">
      <c r="A2979" s="100"/>
      <c r="B2979" s="100"/>
      <c r="C2979" s="100"/>
      <c r="D2979" s="100"/>
      <c r="E2979" s="100"/>
      <c r="F2979" s="100"/>
      <c r="G2979" s="100"/>
      <c r="H2979" s="100"/>
      <c r="I2979" s="100"/>
      <c r="J2979" s="100"/>
      <c r="K2979" s="100"/>
      <c r="L2979" s="100"/>
      <c r="M2979" s="100"/>
      <c r="N2979" s="100"/>
      <c r="O2979" s="100"/>
      <c r="P2979" s="100"/>
      <c r="Q2979" s="100"/>
      <c r="R2979" s="100"/>
      <c r="S2979" s="100"/>
      <c r="T2979" s="100"/>
      <c r="U2979" s="100"/>
      <c r="V2979" s="100"/>
      <c r="W2979" s="100"/>
      <c r="X2979" s="100"/>
      <c r="Y2979" s="100"/>
      <c r="Z2979" s="100"/>
    </row>
    <row r="2980" spans="1:26">
      <c r="A2980" s="100"/>
      <c r="B2980" s="100"/>
      <c r="C2980" s="100"/>
      <c r="D2980" s="100"/>
      <c r="E2980" s="100"/>
      <c r="F2980" s="100"/>
      <c r="G2980" s="100"/>
      <c r="H2980" s="100"/>
      <c r="I2980" s="100"/>
      <c r="J2980" s="100"/>
      <c r="K2980" s="100"/>
      <c r="L2980" s="100"/>
      <c r="M2980" s="100"/>
      <c r="N2980" s="100"/>
      <c r="O2980" s="100"/>
      <c r="P2980" s="100"/>
      <c r="Q2980" s="100"/>
      <c r="R2980" s="100"/>
      <c r="S2980" s="100"/>
      <c r="T2980" s="100"/>
      <c r="U2980" s="100"/>
      <c r="V2980" s="100"/>
      <c r="W2980" s="100"/>
      <c r="X2980" s="100"/>
      <c r="Y2980" s="100"/>
      <c r="Z2980" s="100"/>
    </row>
    <row r="2981" spans="1:26">
      <c r="A2981" s="100"/>
      <c r="B2981" s="100"/>
      <c r="C2981" s="100"/>
      <c r="D2981" s="100"/>
      <c r="E2981" s="100"/>
      <c r="F2981" s="100"/>
      <c r="G2981" s="100"/>
      <c r="H2981" s="100"/>
      <c r="I2981" s="100"/>
      <c r="J2981" s="100"/>
      <c r="K2981" s="100"/>
      <c r="L2981" s="100"/>
      <c r="M2981" s="100"/>
      <c r="N2981" s="100"/>
      <c r="O2981" s="100"/>
      <c r="P2981" s="100"/>
      <c r="Q2981" s="100"/>
      <c r="R2981" s="100"/>
      <c r="S2981" s="100"/>
      <c r="T2981" s="100"/>
      <c r="U2981" s="100"/>
      <c r="V2981" s="100"/>
      <c r="W2981" s="100"/>
      <c r="X2981" s="100"/>
      <c r="Y2981" s="100"/>
      <c r="Z2981" s="100"/>
    </row>
    <row r="2982" spans="1:26">
      <c r="A2982" s="100"/>
      <c r="B2982" s="100"/>
      <c r="C2982" s="100"/>
      <c r="D2982" s="100"/>
      <c r="E2982" s="100"/>
      <c r="F2982" s="100"/>
      <c r="G2982" s="100"/>
      <c r="H2982" s="100"/>
      <c r="I2982" s="100"/>
      <c r="J2982" s="100"/>
      <c r="K2982" s="100"/>
      <c r="L2982" s="100"/>
      <c r="M2982" s="100"/>
      <c r="N2982" s="100"/>
      <c r="O2982" s="100"/>
      <c r="P2982" s="100"/>
      <c r="Q2982" s="100"/>
      <c r="R2982" s="100"/>
      <c r="S2982" s="100"/>
      <c r="T2982" s="100"/>
      <c r="U2982" s="100"/>
      <c r="V2982" s="100"/>
      <c r="W2982" s="100"/>
      <c r="X2982" s="100"/>
      <c r="Y2982" s="100"/>
      <c r="Z2982" s="100"/>
    </row>
    <row r="2983" spans="1:26">
      <c r="A2983" s="100"/>
      <c r="B2983" s="100"/>
      <c r="C2983" s="100"/>
      <c r="D2983" s="100"/>
      <c r="E2983" s="100"/>
      <c r="F2983" s="100"/>
      <c r="G2983" s="100"/>
      <c r="H2983" s="100"/>
      <c r="I2983" s="100"/>
      <c r="J2983" s="100"/>
      <c r="K2983" s="100"/>
      <c r="L2983" s="100"/>
      <c r="M2983" s="100"/>
      <c r="N2983" s="100"/>
      <c r="O2983" s="100"/>
      <c r="P2983" s="100"/>
      <c r="Q2983" s="100"/>
      <c r="R2983" s="100"/>
      <c r="S2983" s="100"/>
      <c r="T2983" s="100"/>
      <c r="U2983" s="100"/>
      <c r="V2983" s="100"/>
      <c r="W2983" s="100"/>
      <c r="X2983" s="100"/>
      <c r="Y2983" s="100"/>
      <c r="Z2983" s="100"/>
    </row>
    <row r="2984" spans="1:26">
      <c r="A2984" s="100"/>
      <c r="B2984" s="100"/>
      <c r="C2984" s="100"/>
      <c r="D2984" s="100"/>
      <c r="E2984" s="100"/>
      <c r="F2984" s="100"/>
      <c r="G2984" s="100"/>
      <c r="H2984" s="100"/>
      <c r="I2984" s="100"/>
      <c r="J2984" s="100"/>
      <c r="K2984" s="100"/>
      <c r="L2984" s="100"/>
      <c r="M2984" s="100"/>
      <c r="N2984" s="100"/>
      <c r="O2984" s="100"/>
      <c r="P2984" s="100"/>
      <c r="Q2984" s="100"/>
      <c r="R2984" s="100"/>
      <c r="S2984" s="100"/>
      <c r="T2984" s="100"/>
      <c r="U2984" s="100"/>
      <c r="V2984" s="100"/>
      <c r="W2984" s="100"/>
      <c r="X2984" s="100"/>
      <c r="Y2984" s="100"/>
      <c r="Z2984" s="100"/>
    </row>
    <row r="2985" spans="1:26">
      <c r="A2985" s="100"/>
      <c r="B2985" s="100"/>
      <c r="C2985" s="100"/>
      <c r="D2985" s="100"/>
      <c r="E2985" s="100"/>
      <c r="F2985" s="100"/>
      <c r="G2985" s="100"/>
      <c r="H2985" s="100"/>
      <c r="I2985" s="100"/>
      <c r="J2985" s="100"/>
      <c r="K2985" s="100"/>
      <c r="L2985" s="100"/>
      <c r="M2985" s="100"/>
      <c r="N2985" s="100"/>
      <c r="O2985" s="100"/>
      <c r="P2985" s="100"/>
      <c r="Q2985" s="100"/>
      <c r="R2985" s="100"/>
      <c r="S2985" s="100"/>
      <c r="T2985" s="100"/>
      <c r="U2985" s="100"/>
      <c r="V2985" s="100"/>
      <c r="W2985" s="100"/>
      <c r="X2985" s="100"/>
      <c r="Y2985" s="100"/>
      <c r="Z2985" s="100"/>
    </row>
    <row r="2986" spans="1:26">
      <c r="A2986" s="100"/>
      <c r="B2986" s="100"/>
      <c r="C2986" s="100"/>
      <c r="D2986" s="100"/>
      <c r="E2986" s="100"/>
      <c r="F2986" s="100"/>
      <c r="G2986" s="100"/>
      <c r="H2986" s="100"/>
      <c r="I2986" s="100"/>
      <c r="J2986" s="100"/>
      <c r="K2986" s="100"/>
      <c r="L2986" s="100"/>
      <c r="M2986" s="100"/>
      <c r="N2986" s="100"/>
      <c r="O2986" s="100"/>
      <c r="P2986" s="100"/>
      <c r="Q2986" s="100"/>
      <c r="R2986" s="100"/>
      <c r="S2986" s="100"/>
      <c r="T2986" s="100"/>
      <c r="U2986" s="100"/>
      <c r="V2986" s="100"/>
      <c r="W2986" s="100"/>
      <c r="X2986" s="100"/>
      <c r="Y2986" s="100"/>
      <c r="Z2986" s="100"/>
    </row>
    <row r="2987" spans="1:26">
      <c r="A2987" s="100"/>
      <c r="B2987" s="100"/>
      <c r="C2987" s="100"/>
      <c r="D2987" s="100"/>
      <c r="E2987" s="100"/>
      <c r="F2987" s="100"/>
      <c r="G2987" s="100"/>
      <c r="H2987" s="100"/>
      <c r="I2987" s="100"/>
      <c r="J2987" s="100"/>
      <c r="K2987" s="100"/>
      <c r="L2987" s="100"/>
      <c r="M2987" s="100"/>
      <c r="N2987" s="100"/>
      <c r="O2987" s="100"/>
      <c r="P2987" s="100"/>
      <c r="Q2987" s="100"/>
      <c r="R2987" s="100"/>
      <c r="S2987" s="100"/>
      <c r="T2987" s="100"/>
      <c r="U2987" s="100"/>
      <c r="V2987" s="100"/>
      <c r="W2987" s="100"/>
      <c r="X2987" s="100"/>
      <c r="Y2987" s="100"/>
      <c r="Z2987" s="100"/>
    </row>
    <row r="2988" spans="1:26">
      <c r="A2988" s="100"/>
      <c r="B2988" s="100"/>
      <c r="C2988" s="100"/>
      <c r="D2988" s="100"/>
      <c r="E2988" s="100"/>
      <c r="F2988" s="100"/>
      <c r="G2988" s="100"/>
      <c r="H2988" s="100"/>
      <c r="I2988" s="100"/>
      <c r="J2988" s="100"/>
      <c r="K2988" s="100"/>
      <c r="L2988" s="100"/>
      <c r="M2988" s="100"/>
      <c r="N2988" s="100"/>
      <c r="O2988" s="100"/>
      <c r="P2988" s="100"/>
      <c r="Q2988" s="100"/>
      <c r="R2988" s="100"/>
      <c r="S2988" s="100"/>
      <c r="T2988" s="100"/>
      <c r="U2988" s="100"/>
      <c r="V2988" s="100"/>
      <c r="W2988" s="100"/>
      <c r="X2988" s="100"/>
      <c r="Y2988" s="100"/>
      <c r="Z2988" s="100"/>
    </row>
    <row r="2989" spans="1:26">
      <c r="A2989" s="100"/>
      <c r="B2989" s="100"/>
      <c r="C2989" s="100"/>
      <c r="D2989" s="100"/>
      <c r="E2989" s="100"/>
      <c r="F2989" s="100"/>
      <c r="G2989" s="100"/>
      <c r="H2989" s="100"/>
      <c r="I2989" s="100"/>
      <c r="J2989" s="100"/>
      <c r="K2989" s="100"/>
      <c r="L2989" s="100"/>
      <c r="M2989" s="100"/>
      <c r="N2989" s="100"/>
      <c r="O2989" s="100"/>
      <c r="P2989" s="100"/>
      <c r="Q2989" s="100"/>
      <c r="R2989" s="100"/>
      <c r="S2989" s="100"/>
      <c r="T2989" s="100"/>
      <c r="U2989" s="100"/>
      <c r="V2989" s="100"/>
      <c r="W2989" s="100"/>
      <c r="X2989" s="100"/>
      <c r="Y2989" s="100"/>
      <c r="Z2989" s="100"/>
    </row>
    <row r="2990" spans="1:26">
      <c r="A2990" s="100"/>
      <c r="B2990" s="100"/>
      <c r="C2990" s="100"/>
      <c r="D2990" s="100"/>
      <c r="E2990" s="100"/>
      <c r="F2990" s="100"/>
      <c r="G2990" s="100"/>
      <c r="H2990" s="100"/>
      <c r="I2990" s="100"/>
      <c r="J2990" s="100"/>
      <c r="K2990" s="100"/>
      <c r="L2990" s="100"/>
      <c r="M2990" s="100"/>
      <c r="N2990" s="100"/>
      <c r="O2990" s="100"/>
      <c r="P2990" s="100"/>
      <c r="Q2990" s="100"/>
      <c r="R2990" s="100"/>
      <c r="S2990" s="100"/>
      <c r="T2990" s="100"/>
      <c r="U2990" s="100"/>
      <c r="V2990" s="100"/>
      <c r="W2990" s="100"/>
      <c r="X2990" s="100"/>
      <c r="Y2990" s="100"/>
      <c r="Z2990" s="100"/>
    </row>
    <row r="2991" spans="1:26">
      <c r="A2991" s="100"/>
      <c r="B2991" s="100"/>
      <c r="C2991" s="100"/>
      <c r="D2991" s="100"/>
      <c r="E2991" s="100"/>
      <c r="F2991" s="100"/>
      <c r="G2991" s="100"/>
      <c r="H2991" s="100"/>
      <c r="I2991" s="100"/>
      <c r="J2991" s="100"/>
      <c r="K2991" s="100"/>
      <c r="L2991" s="100"/>
      <c r="M2991" s="100"/>
      <c r="N2991" s="100"/>
      <c r="O2991" s="100"/>
      <c r="P2991" s="100"/>
      <c r="Q2991" s="100"/>
      <c r="R2991" s="100"/>
      <c r="S2991" s="100"/>
      <c r="T2991" s="100"/>
      <c r="U2991" s="100"/>
      <c r="V2991" s="100"/>
      <c r="W2991" s="100"/>
      <c r="X2991" s="100"/>
      <c r="Y2991" s="100"/>
      <c r="Z2991" s="100"/>
    </row>
    <row r="2992" spans="1:26">
      <c r="A2992" s="100"/>
      <c r="B2992" s="100"/>
      <c r="C2992" s="100"/>
      <c r="D2992" s="100"/>
      <c r="E2992" s="100"/>
      <c r="F2992" s="100"/>
      <c r="G2992" s="100"/>
      <c r="H2992" s="100"/>
      <c r="I2992" s="100"/>
      <c r="J2992" s="100"/>
      <c r="K2992" s="100"/>
      <c r="L2992" s="100"/>
      <c r="M2992" s="100"/>
      <c r="N2992" s="100"/>
      <c r="O2992" s="100"/>
      <c r="P2992" s="100"/>
      <c r="Q2992" s="100"/>
      <c r="R2992" s="100"/>
      <c r="S2992" s="100"/>
      <c r="T2992" s="100"/>
      <c r="U2992" s="100"/>
      <c r="V2992" s="100"/>
      <c r="W2992" s="100"/>
      <c r="X2992" s="100"/>
      <c r="Y2992" s="100"/>
      <c r="Z2992" s="100"/>
    </row>
    <row r="2993" spans="1:26">
      <c r="A2993" s="100"/>
      <c r="B2993" s="100"/>
      <c r="C2993" s="100"/>
      <c r="D2993" s="100"/>
      <c r="E2993" s="100"/>
      <c r="F2993" s="100"/>
      <c r="G2993" s="100"/>
      <c r="H2993" s="100"/>
      <c r="I2993" s="100"/>
      <c r="J2993" s="100"/>
      <c r="K2993" s="100"/>
      <c r="L2993" s="100"/>
      <c r="M2993" s="100"/>
      <c r="N2993" s="100"/>
      <c r="O2993" s="100"/>
      <c r="P2993" s="100"/>
      <c r="Q2993" s="100"/>
      <c r="R2993" s="100"/>
      <c r="S2993" s="100"/>
      <c r="T2993" s="100"/>
      <c r="U2993" s="100"/>
      <c r="V2993" s="100"/>
      <c r="W2993" s="100"/>
      <c r="X2993" s="100"/>
      <c r="Y2993" s="100"/>
      <c r="Z2993" s="100"/>
    </row>
    <row r="2994" spans="1:26">
      <c r="A2994" s="100"/>
      <c r="B2994" s="100"/>
      <c r="C2994" s="100"/>
      <c r="D2994" s="100"/>
      <c r="E2994" s="100"/>
      <c r="F2994" s="100"/>
      <c r="G2994" s="100"/>
      <c r="H2994" s="100"/>
      <c r="I2994" s="100"/>
      <c r="J2994" s="100"/>
      <c r="K2994" s="100"/>
      <c r="L2994" s="100"/>
      <c r="M2994" s="100"/>
      <c r="N2994" s="100"/>
      <c r="O2994" s="100"/>
      <c r="P2994" s="100"/>
      <c r="Q2994" s="100"/>
      <c r="R2994" s="100"/>
      <c r="S2994" s="100"/>
      <c r="T2994" s="100"/>
      <c r="U2994" s="100"/>
      <c r="V2994" s="100"/>
      <c r="W2994" s="100"/>
      <c r="X2994" s="100"/>
      <c r="Y2994" s="100"/>
      <c r="Z2994" s="100"/>
    </row>
    <row r="2995" spans="1:26">
      <c r="A2995" s="100"/>
      <c r="B2995" s="100"/>
      <c r="C2995" s="100"/>
      <c r="D2995" s="100"/>
      <c r="E2995" s="100"/>
      <c r="F2995" s="100"/>
      <c r="G2995" s="100"/>
      <c r="H2995" s="100"/>
      <c r="I2995" s="100"/>
      <c r="J2995" s="100"/>
      <c r="K2995" s="100"/>
      <c r="L2995" s="100"/>
      <c r="M2995" s="100"/>
      <c r="N2995" s="100"/>
      <c r="O2995" s="100"/>
      <c r="P2995" s="100"/>
      <c r="Q2995" s="100"/>
      <c r="R2995" s="100"/>
      <c r="S2995" s="100"/>
      <c r="T2995" s="100"/>
      <c r="U2995" s="100"/>
      <c r="V2995" s="100"/>
      <c r="W2995" s="100"/>
      <c r="X2995" s="100"/>
      <c r="Y2995" s="100"/>
      <c r="Z2995" s="100"/>
    </row>
    <row r="2996" spans="1:26">
      <c r="A2996" s="100"/>
      <c r="B2996" s="100"/>
      <c r="C2996" s="100"/>
      <c r="D2996" s="100"/>
      <c r="E2996" s="100"/>
      <c r="F2996" s="100"/>
      <c r="G2996" s="100"/>
      <c r="H2996" s="100"/>
      <c r="I2996" s="100"/>
      <c r="J2996" s="100"/>
      <c r="K2996" s="100"/>
      <c r="L2996" s="100"/>
      <c r="M2996" s="100"/>
      <c r="N2996" s="100"/>
      <c r="O2996" s="100"/>
      <c r="P2996" s="100"/>
      <c r="Q2996" s="100"/>
      <c r="R2996" s="100"/>
      <c r="S2996" s="100"/>
      <c r="T2996" s="100"/>
      <c r="U2996" s="100"/>
      <c r="V2996" s="100"/>
      <c r="W2996" s="100"/>
      <c r="X2996" s="100"/>
      <c r="Y2996" s="100"/>
      <c r="Z2996" s="100"/>
    </row>
    <row r="2997" spans="1:26">
      <c r="A2997" s="100"/>
      <c r="B2997" s="100"/>
      <c r="C2997" s="100"/>
      <c r="D2997" s="100"/>
      <c r="E2997" s="100"/>
      <c r="F2997" s="100"/>
      <c r="G2997" s="100"/>
      <c r="H2997" s="100"/>
      <c r="I2997" s="100"/>
      <c r="J2997" s="100"/>
      <c r="K2997" s="100"/>
      <c r="L2997" s="100"/>
      <c r="M2997" s="100"/>
      <c r="N2997" s="100"/>
      <c r="O2997" s="100"/>
      <c r="P2997" s="100"/>
      <c r="Q2997" s="100"/>
      <c r="R2997" s="100"/>
      <c r="S2997" s="100"/>
      <c r="T2997" s="100"/>
      <c r="U2997" s="100"/>
      <c r="V2997" s="100"/>
      <c r="W2997" s="100"/>
      <c r="X2997" s="100"/>
      <c r="Y2997" s="100"/>
      <c r="Z2997" s="100"/>
    </row>
    <row r="2998" spans="1:26">
      <c r="A2998" s="100"/>
      <c r="B2998" s="100"/>
      <c r="C2998" s="100"/>
      <c r="D2998" s="100"/>
      <c r="E2998" s="100"/>
      <c r="F2998" s="100"/>
      <c r="G2998" s="100"/>
      <c r="H2998" s="100"/>
      <c r="I2998" s="100"/>
      <c r="J2998" s="100"/>
      <c r="K2998" s="100"/>
      <c r="L2998" s="100"/>
      <c r="M2998" s="100"/>
      <c r="N2998" s="100"/>
      <c r="O2998" s="100"/>
      <c r="P2998" s="100"/>
      <c r="Q2998" s="100"/>
      <c r="R2998" s="100"/>
      <c r="S2998" s="100"/>
      <c r="T2998" s="100"/>
      <c r="U2998" s="100"/>
      <c r="V2998" s="100"/>
      <c r="W2998" s="100"/>
      <c r="X2998" s="100"/>
      <c r="Y2998" s="100"/>
      <c r="Z2998" s="100"/>
    </row>
    <row r="2999" spans="1:26">
      <c r="A2999" s="100"/>
      <c r="B2999" s="100"/>
      <c r="C2999" s="100"/>
      <c r="D2999" s="100"/>
      <c r="E2999" s="100"/>
      <c r="F2999" s="100"/>
      <c r="G2999" s="100"/>
      <c r="H2999" s="100"/>
      <c r="I2999" s="100"/>
      <c r="J2999" s="100"/>
      <c r="K2999" s="100"/>
      <c r="L2999" s="100"/>
      <c r="M2999" s="100"/>
      <c r="N2999" s="100"/>
      <c r="O2999" s="100"/>
      <c r="P2999" s="100"/>
      <c r="Q2999" s="100"/>
      <c r="R2999" s="100"/>
      <c r="S2999" s="100"/>
      <c r="T2999" s="100"/>
      <c r="U2999" s="100"/>
      <c r="V2999" s="100"/>
      <c r="W2999" s="100"/>
      <c r="X2999" s="100"/>
      <c r="Y2999" s="100"/>
      <c r="Z2999" s="100"/>
    </row>
    <row r="3000" spans="1:26">
      <c r="A3000" s="100"/>
      <c r="B3000" s="100"/>
      <c r="C3000" s="100"/>
      <c r="D3000" s="100"/>
      <c r="E3000" s="100"/>
      <c r="F3000" s="100"/>
      <c r="G3000" s="100"/>
      <c r="H3000" s="100"/>
      <c r="I3000" s="100"/>
      <c r="J3000" s="100"/>
      <c r="K3000" s="100"/>
      <c r="L3000" s="100"/>
      <c r="M3000" s="100"/>
      <c r="N3000" s="100"/>
      <c r="O3000" s="100"/>
      <c r="P3000" s="100"/>
      <c r="Q3000" s="100"/>
      <c r="R3000" s="100"/>
      <c r="S3000" s="100"/>
      <c r="T3000" s="100"/>
      <c r="U3000" s="100"/>
      <c r="V3000" s="100"/>
      <c r="W3000" s="100"/>
      <c r="X3000" s="100"/>
      <c r="Y3000" s="100"/>
      <c r="Z3000" s="100"/>
    </row>
    <row r="3001" spans="1:26">
      <c r="A3001" s="100"/>
      <c r="B3001" s="100"/>
      <c r="C3001" s="100"/>
      <c r="D3001" s="100"/>
      <c r="E3001" s="100"/>
      <c r="F3001" s="100"/>
      <c r="G3001" s="100"/>
      <c r="H3001" s="100"/>
      <c r="I3001" s="100"/>
      <c r="J3001" s="100"/>
      <c r="K3001" s="100"/>
      <c r="L3001" s="100"/>
      <c r="M3001" s="100"/>
      <c r="N3001" s="100"/>
      <c r="O3001" s="100"/>
      <c r="P3001" s="100"/>
      <c r="Q3001" s="100"/>
      <c r="R3001" s="100"/>
      <c r="S3001" s="100"/>
      <c r="T3001" s="100"/>
      <c r="U3001" s="100"/>
      <c r="V3001" s="100"/>
      <c r="W3001" s="100"/>
      <c r="X3001" s="100"/>
      <c r="Y3001" s="100"/>
      <c r="Z3001" s="100"/>
    </row>
    <row r="3002" spans="1:26">
      <c r="A3002" s="100"/>
      <c r="B3002" s="100"/>
      <c r="C3002" s="100"/>
      <c r="D3002" s="100"/>
      <c r="E3002" s="100"/>
      <c r="F3002" s="100"/>
      <c r="G3002" s="100"/>
      <c r="H3002" s="100"/>
      <c r="I3002" s="100"/>
      <c r="J3002" s="100"/>
      <c r="K3002" s="100"/>
      <c r="L3002" s="100"/>
      <c r="M3002" s="100"/>
      <c r="N3002" s="100"/>
      <c r="O3002" s="100"/>
      <c r="P3002" s="100"/>
      <c r="Q3002" s="100"/>
      <c r="R3002" s="100"/>
      <c r="S3002" s="100"/>
      <c r="T3002" s="100"/>
      <c r="U3002" s="100"/>
      <c r="V3002" s="100"/>
      <c r="W3002" s="100"/>
      <c r="X3002" s="100"/>
      <c r="Y3002" s="100"/>
      <c r="Z3002" s="100"/>
    </row>
    <row r="3003" spans="1:26">
      <c r="A3003" s="100"/>
      <c r="B3003" s="100"/>
      <c r="C3003" s="100"/>
      <c r="D3003" s="100"/>
      <c r="E3003" s="100"/>
      <c r="F3003" s="100"/>
      <c r="G3003" s="100"/>
      <c r="H3003" s="100"/>
      <c r="I3003" s="100"/>
      <c r="J3003" s="100"/>
      <c r="K3003" s="100"/>
      <c r="L3003" s="100"/>
      <c r="M3003" s="100"/>
      <c r="N3003" s="100"/>
      <c r="O3003" s="100"/>
      <c r="P3003" s="100"/>
      <c r="Q3003" s="100"/>
      <c r="R3003" s="100"/>
      <c r="S3003" s="100"/>
      <c r="T3003" s="100"/>
      <c r="U3003" s="100"/>
      <c r="V3003" s="100"/>
      <c r="W3003" s="100"/>
      <c r="X3003" s="100"/>
      <c r="Y3003" s="100"/>
      <c r="Z3003" s="100"/>
    </row>
    <row r="3004" spans="1:26">
      <c r="A3004" s="100"/>
      <c r="B3004" s="100"/>
      <c r="C3004" s="100"/>
      <c r="D3004" s="100"/>
      <c r="E3004" s="100"/>
      <c r="F3004" s="100"/>
      <c r="G3004" s="100"/>
      <c r="H3004" s="100"/>
      <c r="I3004" s="100"/>
      <c r="J3004" s="100"/>
      <c r="K3004" s="100"/>
      <c r="L3004" s="100"/>
      <c r="M3004" s="100"/>
      <c r="N3004" s="100"/>
      <c r="O3004" s="100"/>
      <c r="P3004" s="100"/>
      <c r="Q3004" s="100"/>
      <c r="R3004" s="100"/>
      <c r="S3004" s="100"/>
      <c r="T3004" s="100"/>
      <c r="U3004" s="100"/>
      <c r="V3004" s="100"/>
      <c r="W3004" s="100"/>
      <c r="X3004" s="100"/>
      <c r="Y3004" s="100"/>
      <c r="Z3004" s="100"/>
    </row>
    <row r="3005" spans="1:26">
      <c r="A3005" s="100"/>
      <c r="B3005" s="100"/>
      <c r="C3005" s="100"/>
      <c r="D3005" s="100"/>
      <c r="E3005" s="100"/>
      <c r="F3005" s="100"/>
      <c r="G3005" s="100"/>
      <c r="H3005" s="100"/>
      <c r="I3005" s="100"/>
      <c r="J3005" s="100"/>
      <c r="K3005" s="100"/>
      <c r="L3005" s="100"/>
      <c r="M3005" s="100"/>
      <c r="N3005" s="100"/>
      <c r="O3005" s="100"/>
      <c r="P3005" s="100"/>
      <c r="Q3005" s="100"/>
      <c r="R3005" s="100"/>
      <c r="S3005" s="100"/>
      <c r="T3005" s="100"/>
      <c r="U3005" s="100"/>
      <c r="V3005" s="100"/>
      <c r="W3005" s="100"/>
      <c r="X3005" s="100"/>
      <c r="Y3005" s="100"/>
      <c r="Z3005" s="100"/>
    </row>
    <row r="3006" spans="1:26">
      <c r="A3006" s="100"/>
      <c r="B3006" s="100"/>
      <c r="C3006" s="100"/>
      <c r="D3006" s="100"/>
      <c r="E3006" s="100"/>
      <c r="F3006" s="100"/>
      <c r="G3006" s="100"/>
      <c r="H3006" s="100"/>
      <c r="I3006" s="100"/>
      <c r="J3006" s="100"/>
      <c r="K3006" s="100"/>
      <c r="L3006" s="100"/>
      <c r="M3006" s="100"/>
      <c r="N3006" s="100"/>
      <c r="O3006" s="100"/>
      <c r="P3006" s="100"/>
      <c r="Q3006" s="100"/>
      <c r="R3006" s="100"/>
      <c r="S3006" s="100"/>
      <c r="T3006" s="100"/>
      <c r="U3006" s="100"/>
      <c r="V3006" s="100"/>
      <c r="W3006" s="100"/>
      <c r="X3006" s="100"/>
      <c r="Y3006" s="100"/>
      <c r="Z3006" s="100"/>
    </row>
    <row r="3007" spans="1:26">
      <c r="A3007" s="100"/>
      <c r="B3007" s="100"/>
      <c r="C3007" s="100"/>
      <c r="D3007" s="100"/>
      <c r="E3007" s="100"/>
      <c r="F3007" s="100"/>
      <c r="G3007" s="100"/>
      <c r="H3007" s="100"/>
      <c r="I3007" s="100"/>
      <c r="J3007" s="100"/>
      <c r="K3007" s="100"/>
      <c r="L3007" s="100"/>
      <c r="M3007" s="100"/>
      <c r="N3007" s="100"/>
      <c r="O3007" s="100"/>
      <c r="P3007" s="100"/>
      <c r="Q3007" s="100"/>
      <c r="R3007" s="100"/>
      <c r="S3007" s="100"/>
      <c r="T3007" s="100"/>
      <c r="U3007" s="100"/>
      <c r="V3007" s="100"/>
      <c r="W3007" s="100"/>
      <c r="X3007" s="100"/>
      <c r="Y3007" s="100"/>
      <c r="Z3007" s="100"/>
    </row>
    <row r="3008" spans="1:26">
      <c r="A3008" s="100"/>
      <c r="B3008" s="100"/>
      <c r="C3008" s="100"/>
      <c r="D3008" s="100"/>
      <c r="E3008" s="100"/>
      <c r="F3008" s="100"/>
      <c r="G3008" s="100"/>
      <c r="H3008" s="100"/>
      <c r="I3008" s="100"/>
      <c r="J3008" s="100"/>
      <c r="K3008" s="100"/>
      <c r="L3008" s="100"/>
      <c r="M3008" s="100"/>
      <c r="N3008" s="100"/>
      <c r="O3008" s="100"/>
      <c r="P3008" s="100"/>
      <c r="Q3008" s="100"/>
      <c r="R3008" s="100"/>
      <c r="S3008" s="100"/>
      <c r="T3008" s="100"/>
      <c r="U3008" s="100"/>
      <c r="V3008" s="100"/>
      <c r="W3008" s="100"/>
      <c r="X3008" s="100"/>
      <c r="Y3008" s="100"/>
      <c r="Z3008" s="100"/>
    </row>
    <row r="3009" spans="1:26">
      <c r="A3009" s="100"/>
      <c r="B3009" s="100"/>
      <c r="C3009" s="100"/>
      <c r="D3009" s="100"/>
      <c r="E3009" s="100"/>
      <c r="F3009" s="100"/>
      <c r="G3009" s="100"/>
      <c r="H3009" s="100"/>
      <c r="I3009" s="100"/>
      <c r="J3009" s="100"/>
      <c r="K3009" s="100"/>
      <c r="L3009" s="100"/>
      <c r="M3009" s="100"/>
      <c r="N3009" s="100"/>
      <c r="O3009" s="100"/>
      <c r="P3009" s="100"/>
      <c r="Q3009" s="100"/>
      <c r="R3009" s="100"/>
      <c r="S3009" s="100"/>
      <c r="T3009" s="100"/>
      <c r="U3009" s="100"/>
      <c r="V3009" s="100"/>
      <c r="W3009" s="100"/>
      <c r="X3009" s="100"/>
      <c r="Y3009" s="100"/>
      <c r="Z3009" s="100"/>
    </row>
    <row r="3010" spans="1:26">
      <c r="A3010" s="100"/>
      <c r="B3010" s="100"/>
      <c r="C3010" s="100"/>
      <c r="D3010" s="100"/>
      <c r="E3010" s="100"/>
      <c r="F3010" s="100"/>
      <c r="G3010" s="100"/>
      <c r="H3010" s="100"/>
      <c r="I3010" s="100"/>
      <c r="J3010" s="100"/>
      <c r="K3010" s="100"/>
      <c r="L3010" s="100"/>
      <c r="M3010" s="100"/>
      <c r="N3010" s="100"/>
      <c r="O3010" s="100"/>
      <c r="P3010" s="100"/>
      <c r="Q3010" s="100"/>
      <c r="R3010" s="100"/>
      <c r="S3010" s="100"/>
      <c r="T3010" s="100"/>
      <c r="U3010" s="100"/>
      <c r="V3010" s="100"/>
      <c r="W3010" s="100"/>
      <c r="X3010" s="100"/>
      <c r="Y3010" s="100"/>
      <c r="Z3010" s="100"/>
    </row>
    <row r="3011" spans="1:26">
      <c r="A3011" s="100"/>
      <c r="B3011" s="100"/>
      <c r="C3011" s="100"/>
      <c r="D3011" s="100"/>
      <c r="E3011" s="100"/>
      <c r="F3011" s="100"/>
      <c r="G3011" s="100"/>
      <c r="H3011" s="100"/>
      <c r="I3011" s="100"/>
      <c r="J3011" s="100"/>
      <c r="K3011" s="100"/>
      <c r="L3011" s="100"/>
      <c r="M3011" s="100"/>
      <c r="N3011" s="100"/>
      <c r="O3011" s="100"/>
      <c r="P3011" s="100"/>
      <c r="Q3011" s="100"/>
      <c r="R3011" s="100"/>
      <c r="S3011" s="100"/>
      <c r="T3011" s="100"/>
      <c r="U3011" s="100"/>
      <c r="V3011" s="100"/>
      <c r="W3011" s="100"/>
      <c r="X3011" s="100"/>
      <c r="Y3011" s="100"/>
      <c r="Z3011" s="100"/>
    </row>
    <row r="3012" spans="1:26">
      <c r="A3012" s="100"/>
      <c r="B3012" s="100"/>
      <c r="C3012" s="100"/>
      <c r="D3012" s="100"/>
      <c r="E3012" s="100"/>
      <c r="F3012" s="100"/>
      <c r="G3012" s="100"/>
      <c r="H3012" s="100"/>
      <c r="I3012" s="100"/>
      <c r="J3012" s="100"/>
      <c r="K3012" s="100"/>
      <c r="L3012" s="100"/>
      <c r="M3012" s="100"/>
      <c r="N3012" s="100"/>
      <c r="O3012" s="100"/>
      <c r="P3012" s="100"/>
      <c r="Q3012" s="100"/>
      <c r="R3012" s="100"/>
      <c r="S3012" s="100"/>
      <c r="T3012" s="100"/>
      <c r="U3012" s="100"/>
      <c r="V3012" s="100"/>
      <c r="W3012" s="100"/>
      <c r="X3012" s="100"/>
      <c r="Y3012" s="100"/>
      <c r="Z3012" s="100"/>
    </row>
    <row r="3013" spans="1:26">
      <c r="A3013" s="100"/>
      <c r="B3013" s="100"/>
      <c r="C3013" s="100"/>
      <c r="D3013" s="100"/>
      <c r="E3013" s="100"/>
      <c r="F3013" s="100"/>
      <c r="G3013" s="100"/>
      <c r="H3013" s="100"/>
      <c r="I3013" s="100"/>
      <c r="J3013" s="100"/>
      <c r="K3013" s="100"/>
      <c r="L3013" s="100"/>
      <c r="M3013" s="100"/>
      <c r="N3013" s="100"/>
      <c r="O3013" s="100"/>
      <c r="P3013" s="100"/>
      <c r="Q3013" s="100"/>
      <c r="R3013" s="100"/>
      <c r="S3013" s="100"/>
      <c r="T3013" s="100"/>
      <c r="U3013" s="100"/>
      <c r="V3013" s="100"/>
      <c r="W3013" s="100"/>
      <c r="X3013" s="100"/>
      <c r="Y3013" s="100"/>
      <c r="Z3013" s="100"/>
    </row>
  </sheetData>
  <phoneticPr fontId="0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EA9999"/>
    <outlinePr summaryBelow="0" summaryRight="0"/>
  </sheetPr>
  <dimension ref="A1:C12428"/>
  <sheetViews>
    <sheetView workbookViewId="0"/>
  </sheetViews>
  <sheetFormatPr defaultColWidth="14.42578125" defaultRowHeight="15" customHeight="1"/>
  <cols>
    <col min="1" max="1" width="26.85546875" customWidth="1"/>
    <col min="2" max="2" width="21.85546875" customWidth="1"/>
    <col min="3" max="3" width="16" customWidth="1"/>
  </cols>
  <sheetData>
    <row r="1" spans="1:3">
      <c r="A1" s="129" t="s">
        <v>15740</v>
      </c>
      <c r="B1" s="129" t="s">
        <v>15741</v>
      </c>
      <c r="C1" s="130" t="s">
        <v>15742</v>
      </c>
    </row>
    <row r="2" spans="1:3">
      <c r="A2" s="131" t="s">
        <v>15743</v>
      </c>
      <c r="B2" s="132">
        <v>0.80716818852577787</v>
      </c>
      <c r="C2" s="133"/>
    </row>
    <row r="3" spans="1:3">
      <c r="A3" s="131" t="s">
        <v>15744</v>
      </c>
      <c r="B3" s="132">
        <v>1.2851154160506315</v>
      </c>
      <c r="C3" s="133"/>
    </row>
    <row r="4" spans="1:3">
      <c r="A4" s="131" t="s">
        <v>15745</v>
      </c>
      <c r="B4" s="132">
        <v>7.8404868673905195E-3</v>
      </c>
      <c r="C4" s="133"/>
    </row>
    <row r="5" spans="1:3">
      <c r="A5" s="131" t="s">
        <v>15746</v>
      </c>
      <c r="B5" s="132">
        <v>2.0789875997956904E-2</v>
      </c>
      <c r="C5" s="133"/>
    </row>
    <row r="6" spans="1:3">
      <c r="A6" s="131" t="s">
        <v>15747</v>
      </c>
      <c r="B6" s="132">
        <v>0.15551801120609737</v>
      </c>
      <c r="C6" s="133"/>
    </row>
    <row r="7" spans="1:3">
      <c r="A7" s="131" t="s">
        <v>15748</v>
      </c>
      <c r="B7" s="132">
        <v>0.32137838092571991</v>
      </c>
      <c r="C7" s="133"/>
    </row>
    <row r="8" spans="1:3">
      <c r="A8" s="131" t="s">
        <v>15749</v>
      </c>
      <c r="B8" s="132">
        <v>0.45173261233177142</v>
      </c>
      <c r="C8" s="133"/>
    </row>
    <row r="9" spans="1:3">
      <c r="A9" s="131" t="s">
        <v>15750</v>
      </c>
      <c r="B9" s="132">
        <v>1.3673999068737579</v>
      </c>
      <c r="C9" s="133"/>
    </row>
    <row r="10" spans="1:3">
      <c r="A10" s="131" t="s">
        <v>15751</v>
      </c>
      <c r="B10" s="132">
        <v>0.23374827498406867</v>
      </c>
      <c r="C10" s="133"/>
    </row>
    <row r="11" spans="1:3">
      <c r="A11" s="131" t="s">
        <v>15752</v>
      </c>
      <c r="B11" s="132">
        <v>1.1640217594670141</v>
      </c>
      <c r="C11" s="133"/>
    </row>
    <row r="12" spans="1:3">
      <c r="A12" s="131" t="s">
        <v>15753</v>
      </c>
      <c r="B12" s="132">
        <v>7.0298275139143494E-5</v>
      </c>
      <c r="C12" s="133"/>
    </row>
    <row r="13" spans="1:3">
      <c r="A13" s="131" t="s">
        <v>15754</v>
      </c>
      <c r="B13" s="132">
        <v>1.3350504949617579</v>
      </c>
      <c r="C13" s="133"/>
    </row>
    <row r="14" spans="1:3">
      <c r="A14" s="131" t="s">
        <v>15755</v>
      </c>
      <c r="B14" s="132">
        <v>0.17737735681840244</v>
      </c>
      <c r="C14" s="133"/>
    </row>
    <row r="15" spans="1:3">
      <c r="A15" s="131" t="s">
        <v>15756</v>
      </c>
      <c r="B15" s="132">
        <v>1.3274043545458523E-2</v>
      </c>
      <c r="C15" s="133"/>
    </row>
    <row r="16" spans="1:3">
      <c r="A16" s="131" t="s">
        <v>15757</v>
      </c>
      <c r="B16" s="132">
        <v>0.16227791036763684</v>
      </c>
      <c r="C16" s="133"/>
    </row>
    <row r="17" spans="1:3">
      <c r="A17" s="131" t="s">
        <v>15758</v>
      </c>
      <c r="B17" s="132">
        <v>0.87404886736262832</v>
      </c>
      <c r="C17" s="133"/>
    </row>
    <row r="18" spans="1:3">
      <c r="A18" s="131" t="s">
        <v>15759</v>
      </c>
      <c r="B18" s="132">
        <v>3.3167122842188618E-2</v>
      </c>
      <c r="C18" s="133"/>
    </row>
    <row r="19" spans="1:3">
      <c r="A19" s="131" t="s">
        <v>15760</v>
      </c>
      <c r="B19" s="132">
        <v>1.0920613395267444</v>
      </c>
      <c r="C19" s="133"/>
    </row>
    <row r="20" spans="1:3">
      <c r="A20" s="131" t="s">
        <v>15761</v>
      </c>
      <c r="B20" s="132">
        <v>1.1559006447093183</v>
      </c>
      <c r="C20" s="133"/>
    </row>
    <row r="21" spans="1:3">
      <c r="A21" s="131" t="s">
        <v>15762</v>
      </c>
      <c r="B21" s="132">
        <v>0.24624268153040929</v>
      </c>
      <c r="C21" s="133"/>
    </row>
    <row r="22" spans="1:3">
      <c r="A22" s="131" t="s">
        <v>15763</v>
      </c>
      <c r="B22" s="132">
        <v>0.59154154879350873</v>
      </c>
      <c r="C22" s="133"/>
    </row>
    <row r="23" spans="1:3">
      <c r="A23" s="131" t="s">
        <v>15764</v>
      </c>
      <c r="B23" s="132">
        <v>1.0470878354901014</v>
      </c>
      <c r="C23" s="133"/>
    </row>
    <row r="24" spans="1:3">
      <c r="A24" s="131" t="s">
        <v>15765</v>
      </c>
      <c r="B24" s="132">
        <v>0.15616229850196173</v>
      </c>
      <c r="C24" s="133"/>
    </row>
    <row r="25" spans="1:3">
      <c r="A25" s="131" t="s">
        <v>15766</v>
      </c>
      <c r="B25" s="132">
        <v>1.184510939519992</v>
      </c>
      <c r="C25" s="133"/>
    </row>
    <row r="26" spans="1:3">
      <c r="A26" s="131" t="s">
        <v>15767</v>
      </c>
      <c r="B26" s="132">
        <v>0.70749754319709379</v>
      </c>
      <c r="C26" s="133"/>
    </row>
    <row r="27" spans="1:3">
      <c r="A27" s="131" t="s">
        <v>15768</v>
      </c>
      <c r="B27" s="132">
        <v>0.35786334664733205</v>
      </c>
      <c r="C27" s="133"/>
    </row>
    <row r="28" spans="1:3">
      <c r="A28" s="131" t="s">
        <v>15769</v>
      </c>
      <c r="B28" s="132">
        <v>1</v>
      </c>
      <c r="C28" s="133"/>
    </row>
    <row r="29" spans="1:3">
      <c r="A29" s="131" t="s">
        <v>15770</v>
      </c>
      <c r="B29" s="132">
        <v>4.996570700707989E-2</v>
      </c>
      <c r="C29" s="133"/>
    </row>
    <row r="30" spans="1:3">
      <c r="A30" s="131" t="s">
        <v>15771</v>
      </c>
      <c r="B30" s="132">
        <v>0.74030157709713418</v>
      </c>
      <c r="C30" s="133"/>
    </row>
    <row r="31" spans="1:3">
      <c r="A31" s="131" t="s">
        <v>15772</v>
      </c>
      <c r="B31" s="132">
        <v>0.74989976971652772</v>
      </c>
      <c r="C31" s="133"/>
    </row>
    <row r="32" spans="1:3">
      <c r="A32" s="131" t="s">
        <v>15773</v>
      </c>
      <c r="B32" s="132">
        <v>0.30890184498262435</v>
      </c>
      <c r="C32" s="133"/>
    </row>
    <row r="33" spans="1:3">
      <c r="A33" s="131" t="s">
        <v>15774</v>
      </c>
      <c r="B33" s="132">
        <v>0.84855028324726434</v>
      </c>
      <c r="C33" s="133"/>
    </row>
    <row r="34" spans="1:3">
      <c r="A34" s="131" t="s">
        <v>15775</v>
      </c>
      <c r="B34" s="132">
        <v>0.25080219395298398</v>
      </c>
      <c r="C34" s="133"/>
    </row>
    <row r="35" spans="1:3">
      <c r="A35" s="131" t="s">
        <v>15776</v>
      </c>
      <c r="B35" s="132">
        <v>61752</v>
      </c>
      <c r="C35" s="133"/>
    </row>
    <row r="36" spans="1:3">
      <c r="A36" s="131" t="s">
        <v>15777</v>
      </c>
      <c r="B36" s="132">
        <v>4363.9099788762678</v>
      </c>
      <c r="C36" s="133"/>
    </row>
    <row r="37" spans="1:3">
      <c r="A37" s="131" t="s">
        <v>15778</v>
      </c>
      <c r="B37" s="132">
        <v>1.0965319669386273</v>
      </c>
      <c r="C37" s="133"/>
    </row>
    <row r="38" spans="1:3">
      <c r="A38" s="131" t="s">
        <v>15779</v>
      </c>
      <c r="B38" s="132">
        <v>269.66000000000003</v>
      </c>
      <c r="C38" s="133"/>
    </row>
    <row r="39" spans="1:3">
      <c r="A39" s="131" t="s">
        <v>15780</v>
      </c>
      <c r="B39" s="132">
        <v>1.0005333333333333</v>
      </c>
      <c r="C39" s="133"/>
    </row>
    <row r="40" spans="1:3">
      <c r="A40" s="131" t="s">
        <v>15781</v>
      </c>
      <c r="B40" s="132">
        <v>557.75</v>
      </c>
      <c r="C40" s="133"/>
    </row>
    <row r="41" spans="1:3">
      <c r="A41" s="131" t="s">
        <v>15782</v>
      </c>
      <c r="B41" s="132">
        <v>6.2044739663845627</v>
      </c>
      <c r="C41" s="133"/>
    </row>
    <row r="42" spans="1:3">
      <c r="A42" s="131" t="s">
        <v>15783</v>
      </c>
      <c r="B42" s="132">
        <v>541.77</v>
      </c>
      <c r="C42" s="133"/>
    </row>
    <row r="43" spans="1:3">
      <c r="A43" s="131" t="s">
        <v>15784</v>
      </c>
      <c r="B43" s="132">
        <v>2513.84</v>
      </c>
      <c r="C43" s="133"/>
    </row>
    <row r="44" spans="1:3">
      <c r="A44" s="131" t="s">
        <v>15785</v>
      </c>
      <c r="B44" s="132">
        <v>25.16</v>
      </c>
      <c r="C44" s="133"/>
    </row>
    <row r="45" spans="1:3">
      <c r="A45" s="131" t="s">
        <v>15786</v>
      </c>
      <c r="B45" s="132">
        <v>0.12292972130275</v>
      </c>
      <c r="C45" s="133"/>
    </row>
    <row r="46" spans="1:3">
      <c r="A46" s="131" t="s">
        <v>15787</v>
      </c>
      <c r="B46" s="132">
        <v>70.380602019161998</v>
      </c>
      <c r="C46" s="133"/>
    </row>
    <row r="47" spans="1:3">
      <c r="A47" s="131" t="s">
        <v>15788</v>
      </c>
      <c r="B47" s="132">
        <v>1.4183154862917999</v>
      </c>
      <c r="C47" s="133"/>
    </row>
    <row r="48" spans="1:3">
      <c r="A48" s="131" t="s">
        <v>15789</v>
      </c>
      <c r="B48" s="132">
        <v>8.6471584141648728E-3</v>
      </c>
      <c r="C48" s="133"/>
    </row>
    <row r="49" spans="1:3">
      <c r="A49" s="131" t="s">
        <v>15790</v>
      </c>
      <c r="B49" s="132">
        <v>1.0039236280163</v>
      </c>
      <c r="C49" s="133"/>
    </row>
    <row r="50" spans="1:3">
      <c r="A50" s="131" t="s">
        <v>15791</v>
      </c>
      <c r="B50" s="132">
        <v>8.8746210453310381E-2</v>
      </c>
      <c r="C50" s="133"/>
    </row>
    <row r="51" spans="1:3">
      <c r="A51" s="131" t="s">
        <v>15792</v>
      </c>
      <c r="B51" s="132">
        <v>4354.0644360012002</v>
      </c>
      <c r="C51" s="133"/>
    </row>
    <row r="52" spans="1:3">
      <c r="A52" s="131" t="s">
        <v>15793</v>
      </c>
      <c r="B52" s="132">
        <v>10.340706283342879</v>
      </c>
      <c r="C52" s="133"/>
    </row>
    <row r="53" spans="1:3">
      <c r="A53" s="131" t="s">
        <v>15794</v>
      </c>
      <c r="B53" s="132">
        <v>1.0003014369162999</v>
      </c>
      <c r="C53" s="133"/>
    </row>
    <row r="54" spans="1:3">
      <c r="A54" s="131" t="s">
        <v>15795</v>
      </c>
      <c r="B54" s="132">
        <v>36.662403597892201</v>
      </c>
      <c r="C54" s="133"/>
    </row>
    <row r="55" spans="1:3">
      <c r="A55" s="131" t="s">
        <v>15796</v>
      </c>
      <c r="B55" s="132">
        <v>0.65088837807221234</v>
      </c>
      <c r="C55" s="133"/>
    </row>
    <row r="56" spans="1:3">
      <c r="A56" s="131" t="s">
        <v>15797</v>
      </c>
      <c r="B56" s="132">
        <v>0.1713344738674267</v>
      </c>
      <c r="C56" s="133"/>
    </row>
    <row r="57" spans="1:3">
      <c r="A57" s="131" t="s">
        <v>15798</v>
      </c>
      <c r="B57" s="132">
        <v>12.98</v>
      </c>
      <c r="C57" s="133"/>
    </row>
    <row r="58" spans="1:3">
      <c r="A58" s="131" t="s">
        <v>15799</v>
      </c>
      <c r="B58" s="132">
        <v>243.50175635588141</v>
      </c>
      <c r="C58" s="133"/>
    </row>
    <row r="59" spans="1:3">
      <c r="A59" s="131" t="s">
        <v>15800</v>
      </c>
      <c r="B59" s="132">
        <v>26.779273329062967</v>
      </c>
      <c r="C59" s="133"/>
    </row>
    <row r="60" spans="1:3">
      <c r="A60" s="131" t="s">
        <v>15801</v>
      </c>
      <c r="B60" s="132">
        <v>0.61263645312149895</v>
      </c>
      <c r="C60" s="133"/>
    </row>
    <row r="61" spans="1:3">
      <c r="A61" s="131" t="s">
        <v>15802</v>
      </c>
      <c r="B61" s="132">
        <v>21.081111427180939</v>
      </c>
      <c r="C61" s="133"/>
    </row>
    <row r="62" spans="1:3">
      <c r="A62" s="131" t="s">
        <v>15803</v>
      </c>
      <c r="B62" s="132">
        <v>12.042573142627557</v>
      </c>
      <c r="C62" s="133"/>
    </row>
    <row r="63" spans="1:3">
      <c r="A63" s="131" t="s">
        <v>15804</v>
      </c>
      <c r="B63" s="132">
        <v>4.0976298623718321E-4</v>
      </c>
      <c r="C63" s="133"/>
    </row>
    <row r="64" spans="1:3">
      <c r="A64" s="131" t="s">
        <v>15805</v>
      </c>
      <c r="B64" s="132">
        <v>605.88</v>
      </c>
      <c r="C64" s="133"/>
    </row>
    <row r="65" spans="1:3">
      <c r="A65" s="131" t="s">
        <v>15806</v>
      </c>
      <c r="B65" s="132">
        <v>1.363230297745085</v>
      </c>
      <c r="C65" s="133"/>
    </row>
    <row r="66" spans="1:3">
      <c r="A66" s="131" t="s">
        <v>15807</v>
      </c>
      <c r="B66" s="132">
        <v>4.6500000000000004</v>
      </c>
      <c r="C66" s="133"/>
    </row>
    <row r="67" spans="1:3">
      <c r="A67" s="131" t="s">
        <v>15808</v>
      </c>
      <c r="B67" s="132">
        <v>585.64816155229005</v>
      </c>
      <c r="C67" s="133"/>
    </row>
    <row r="68" spans="1:3">
      <c r="A68" s="131" t="s">
        <v>15809</v>
      </c>
      <c r="B68" s="132">
        <v>1.9546836611003118</v>
      </c>
      <c r="C68" s="133"/>
    </row>
    <row r="69" spans="1:3">
      <c r="A69" s="131" t="s">
        <v>15810</v>
      </c>
      <c r="B69" s="132">
        <v>196.94</v>
      </c>
      <c r="C69" s="133"/>
    </row>
    <row r="70" spans="1:3">
      <c r="A70" s="131" t="s">
        <v>15811</v>
      </c>
      <c r="B70" s="132">
        <v>0.1968300010052722</v>
      </c>
      <c r="C70" s="133"/>
    </row>
    <row r="71" spans="1:3">
      <c r="A71" s="131" t="s">
        <v>15812</v>
      </c>
      <c r="B71" s="132">
        <v>45.7</v>
      </c>
      <c r="C71" s="133"/>
    </row>
    <row r="72" spans="1:3">
      <c r="A72" s="131" t="s">
        <v>15813</v>
      </c>
      <c r="B72" s="132">
        <v>0.36594168099606578</v>
      </c>
      <c r="C72" s="133"/>
    </row>
    <row r="73" spans="1:3">
      <c r="A73" s="131" t="s">
        <v>15814</v>
      </c>
      <c r="B73" s="132">
        <v>192.20045765897001</v>
      </c>
      <c r="C73" s="133"/>
    </row>
    <row r="74" spans="1:3">
      <c r="A74" s="131" t="s">
        <v>15815</v>
      </c>
      <c r="B74" s="132">
        <v>63.994693847813998</v>
      </c>
      <c r="C74" s="133"/>
    </row>
    <row r="75" spans="1:3">
      <c r="A75" s="131" t="s">
        <v>15816</v>
      </c>
      <c r="B75" s="132">
        <v>53.828231222760003</v>
      </c>
      <c r="C75" s="133"/>
    </row>
    <row r="76" spans="1:3">
      <c r="A76" s="131" t="s">
        <v>15817</v>
      </c>
      <c r="B76" s="132">
        <v>16.940000000000001</v>
      </c>
      <c r="C76" s="133"/>
    </row>
    <row r="77" spans="1:3">
      <c r="A77" s="131" t="s">
        <v>15818</v>
      </c>
      <c r="B77" s="132">
        <v>3.4955007033150807</v>
      </c>
      <c r="C77" s="133"/>
    </row>
    <row r="78" spans="1:3">
      <c r="A78" s="131" t="s">
        <v>15819</v>
      </c>
      <c r="B78" s="132">
        <v>177.86567990610072</v>
      </c>
      <c r="C78" s="133"/>
    </row>
    <row r="79" spans="1:3">
      <c r="A79" s="131" t="s">
        <v>15820</v>
      </c>
      <c r="B79" s="132">
        <v>2.4949062164124999E-2</v>
      </c>
      <c r="C79" s="133"/>
    </row>
    <row r="80" spans="1:3">
      <c r="A80" s="131" t="s">
        <v>15821</v>
      </c>
      <c r="B80" s="132">
        <v>0.13502197072418212</v>
      </c>
      <c r="C80" s="133"/>
    </row>
    <row r="81" spans="1:3">
      <c r="A81" s="131" t="s">
        <v>15822</v>
      </c>
      <c r="B81" s="132">
        <v>2.15004671302538E-2</v>
      </c>
      <c r="C81" s="133"/>
    </row>
    <row r="82" spans="1:3">
      <c r="A82" s="131" t="s">
        <v>15823</v>
      </c>
      <c r="B82" s="132">
        <v>0.4360435815</v>
      </c>
      <c r="C82" s="133"/>
    </row>
    <row r="83" spans="1:3">
      <c r="A83" s="131" t="s">
        <v>15824</v>
      </c>
      <c r="B83" s="132">
        <v>3.9707868142523073E-4</v>
      </c>
      <c r="C83" s="133"/>
    </row>
    <row r="84" spans="1:3">
      <c r="A84" s="131" t="s">
        <v>15825</v>
      </c>
      <c r="B84" s="132">
        <v>0.616056830068752</v>
      </c>
      <c r="C84" s="133"/>
    </row>
    <row r="85" spans="1:3">
      <c r="A85" s="131" t="s">
        <v>15826</v>
      </c>
      <c r="B85" s="132">
        <v>8.2101922425823837</v>
      </c>
      <c r="C85" s="133"/>
    </row>
    <row r="86" spans="1:3">
      <c r="A86" s="131" t="s">
        <v>15827</v>
      </c>
      <c r="B86" s="132">
        <v>5.4205562368630299E-2</v>
      </c>
      <c r="C86" s="133"/>
    </row>
    <row r="87" spans="1:3">
      <c r="A87" s="131" t="s">
        <v>15828</v>
      </c>
      <c r="B87" s="132">
        <v>0.27277840197991138</v>
      </c>
      <c r="C87" s="133"/>
    </row>
    <row r="88" spans="1:3">
      <c r="A88" s="131" t="s">
        <v>15829</v>
      </c>
      <c r="B88" s="132">
        <v>26.391494434912001</v>
      </c>
      <c r="C88" s="133"/>
    </row>
    <row r="89" spans="1:3">
      <c r="A89" s="131" t="s">
        <v>15830</v>
      </c>
      <c r="B89" s="132">
        <v>1.6493709244968999E-2</v>
      </c>
      <c r="C89" s="133"/>
    </row>
    <row r="90" spans="1:3">
      <c r="A90" s="131" t="s">
        <v>15831</v>
      </c>
      <c r="B90" s="132">
        <v>5.1665893803355002E-3</v>
      </c>
      <c r="C90" s="133"/>
    </row>
    <row r="91" spans="1:3">
      <c r="A91" s="131" t="s">
        <v>15832</v>
      </c>
      <c r="B91" s="132">
        <v>112.2855705694233</v>
      </c>
      <c r="C91" s="133"/>
    </row>
    <row r="92" spans="1:3">
      <c r="A92" s="131" t="s">
        <v>15833</v>
      </c>
      <c r="B92" s="132">
        <v>1.0556286173070966</v>
      </c>
      <c r="C92" s="133"/>
    </row>
    <row r="93" spans="1:3">
      <c r="A93" s="131" t="s">
        <v>15834</v>
      </c>
      <c r="B93" s="132">
        <v>5.8481531431594999E-2</v>
      </c>
      <c r="C93" s="133"/>
    </row>
    <row r="94" spans="1:3">
      <c r="A94" s="131" t="s">
        <v>15835</v>
      </c>
      <c r="B94" s="132">
        <v>1.849811195258396</v>
      </c>
      <c r="C94" s="133"/>
    </row>
    <row r="95" spans="1:3">
      <c r="A95" s="131" t="s">
        <v>15836</v>
      </c>
      <c r="B95" s="132">
        <v>53.056390585857002</v>
      </c>
      <c r="C95" s="133"/>
    </row>
    <row r="96" spans="1:3">
      <c r="A96" s="131" t="s">
        <v>15837</v>
      </c>
      <c r="B96" s="132">
        <v>0.80451756198046498</v>
      </c>
      <c r="C96" s="133"/>
    </row>
    <row r="97" spans="1:3">
      <c r="A97" s="131" t="s">
        <v>15838</v>
      </c>
      <c r="B97" s="132">
        <v>0.64313882193352667</v>
      </c>
      <c r="C97" s="133"/>
    </row>
    <row r="98" spans="1:3">
      <c r="A98" s="131" t="s">
        <v>15839</v>
      </c>
      <c r="B98" s="132">
        <v>0.14802107148385379</v>
      </c>
      <c r="C98" s="133"/>
    </row>
    <row r="99" spans="1:3">
      <c r="A99" s="131" t="s">
        <v>15840</v>
      </c>
      <c r="B99" s="132">
        <v>2.2910472922581166E-3</v>
      </c>
      <c r="C99" s="133"/>
    </row>
    <row r="100" spans="1:3">
      <c r="A100" s="131" t="s">
        <v>15841</v>
      </c>
      <c r="B100" s="132">
        <v>1.6243113222529451</v>
      </c>
      <c r="C100" s="133"/>
    </row>
    <row r="101" spans="1:3">
      <c r="A101" s="131" t="s">
        <v>15842</v>
      </c>
      <c r="B101" s="132">
        <v>7.3632924719019999E-2</v>
      </c>
      <c r="C101" s="133"/>
    </row>
    <row r="102" spans="1:3">
      <c r="A102" s="131" t="s">
        <v>15843</v>
      </c>
      <c r="B102" s="132">
        <v>0.63925779355292001</v>
      </c>
      <c r="C102" s="133"/>
    </row>
    <row r="103" spans="1:3">
      <c r="A103" s="131" t="s">
        <v>15844</v>
      </c>
      <c r="B103" s="132">
        <v>8.5960815607274993E-5</v>
      </c>
      <c r="C103" s="133"/>
    </row>
    <row r="104" spans="1:3">
      <c r="A104" s="131" t="s">
        <v>15845</v>
      </c>
      <c r="B104" s="132">
        <v>0.32440938623471999</v>
      </c>
      <c r="C104" s="133"/>
    </row>
    <row r="105" spans="1:3">
      <c r="A105" s="131" t="s">
        <v>15846</v>
      </c>
      <c r="B105" s="132">
        <v>1.5387379487979622</v>
      </c>
      <c r="C105" s="133"/>
    </row>
    <row r="106" spans="1:3">
      <c r="A106" s="131" t="s">
        <v>15847</v>
      </c>
      <c r="B106" s="132">
        <v>1.4368215963505073</v>
      </c>
      <c r="C106" s="133"/>
    </row>
    <row r="107" spans="1:3">
      <c r="A107" s="131" t="s">
        <v>15848</v>
      </c>
      <c r="B107" s="132">
        <v>0.43051590087134001</v>
      </c>
      <c r="C107" s="133"/>
    </row>
    <row r="108" spans="1:3">
      <c r="A108" s="131" t="s">
        <v>15849</v>
      </c>
      <c r="B108" s="132">
        <v>1.9706890750968101E-2</v>
      </c>
      <c r="C108" s="133"/>
    </row>
    <row r="109" spans="1:3">
      <c r="A109" s="131" t="s">
        <v>15850</v>
      </c>
      <c r="B109" s="132">
        <v>5.4832053201379002E-2</v>
      </c>
      <c r="C109" s="133"/>
    </row>
    <row r="110" spans="1:3">
      <c r="A110" s="131" t="s">
        <v>15851</v>
      </c>
      <c r="B110" s="132">
        <v>0.65243807549668997</v>
      </c>
      <c r="C110" s="133"/>
    </row>
    <row r="111" spans="1:3">
      <c r="A111" s="131" t="s">
        <v>15852</v>
      </c>
      <c r="B111" s="132">
        <v>8.3539820492819459</v>
      </c>
      <c r="C111" s="133"/>
    </row>
    <row r="112" spans="1:3">
      <c r="A112" s="131" t="s">
        <v>15853</v>
      </c>
      <c r="B112" s="132">
        <v>0.18680615051736491</v>
      </c>
      <c r="C112" s="133"/>
    </row>
    <row r="113" spans="1:3">
      <c r="A113" s="131" t="s">
        <v>15854</v>
      </c>
      <c r="B113" s="132">
        <v>1.5158971743174769</v>
      </c>
      <c r="C113" s="133"/>
    </row>
    <row r="114" spans="1:3">
      <c r="A114" s="131" t="s">
        <v>15855</v>
      </c>
      <c r="B114" s="132">
        <v>5.0537388413906068E-3</v>
      </c>
      <c r="C114" s="133"/>
    </row>
    <row r="115" spans="1:3">
      <c r="A115" s="131" t="s">
        <v>15856</v>
      </c>
      <c r="B115" s="132">
        <v>1.1067212566920242E-3</v>
      </c>
      <c r="C115" s="133"/>
    </row>
    <row r="116" spans="1:3">
      <c r="A116" s="131" t="s">
        <v>15857</v>
      </c>
      <c r="B116" s="132">
        <v>1.7899899800000001</v>
      </c>
      <c r="C116" s="133"/>
    </row>
    <row r="117" spans="1:3">
      <c r="A117" s="131" t="s">
        <v>15858</v>
      </c>
      <c r="B117" s="132">
        <v>0.54368786143069858</v>
      </c>
      <c r="C117" s="133"/>
    </row>
    <row r="118" spans="1:3">
      <c r="A118" s="131" t="s">
        <v>15859</v>
      </c>
      <c r="B118" s="132">
        <v>8.2705915046830999E-3</v>
      </c>
      <c r="C118" s="133"/>
    </row>
    <row r="119" spans="1:3">
      <c r="A119" s="131" t="s">
        <v>15860</v>
      </c>
      <c r="B119" s="132">
        <v>0.41987085858537815</v>
      </c>
      <c r="C119" s="133"/>
    </row>
    <row r="120" spans="1:3">
      <c r="A120" s="131" t="s">
        <v>15861</v>
      </c>
      <c r="B120" s="132">
        <v>0.73838135183516995</v>
      </c>
      <c r="C120" s="133"/>
    </row>
    <row r="121" spans="1:3">
      <c r="A121" s="131" t="s">
        <v>15862</v>
      </c>
      <c r="B121" s="132">
        <v>0.95137417539221592</v>
      </c>
      <c r="C121" s="133"/>
    </row>
    <row r="122" spans="1:3">
      <c r="A122" s="131" t="s">
        <v>15863</v>
      </c>
      <c r="B122" s="132">
        <v>0.14585419846166681</v>
      </c>
      <c r="C122" s="133"/>
    </row>
    <row r="123" spans="1:3">
      <c r="A123" s="131" t="s">
        <v>15864</v>
      </c>
      <c r="B123" s="132">
        <v>1.2357641408210648E-3</v>
      </c>
      <c r="C123" s="133"/>
    </row>
    <row r="124" spans="1:3">
      <c r="A124" s="131" t="s">
        <v>15865</v>
      </c>
      <c r="B124" s="132">
        <v>0.21361874785109</v>
      </c>
      <c r="C124" s="133"/>
    </row>
    <row r="125" spans="1:3">
      <c r="A125" s="131" t="s">
        <v>15866</v>
      </c>
      <c r="B125" s="132">
        <v>20.5</v>
      </c>
      <c r="C125" s="133"/>
    </row>
    <row r="126" spans="1:3">
      <c r="A126" s="131" t="s">
        <v>15867</v>
      </c>
      <c r="B126" s="132">
        <v>1.1862524055303001E-4</v>
      </c>
      <c r="C126" s="133"/>
    </row>
    <row r="127" spans="1:3">
      <c r="A127" s="131" t="s">
        <v>15868</v>
      </c>
      <c r="B127" s="132">
        <v>0.92598008017564593</v>
      </c>
      <c r="C127" s="133"/>
    </row>
    <row r="128" spans="1:3">
      <c r="A128" s="131" t="s">
        <v>15869</v>
      </c>
      <c r="B128" s="132">
        <v>88.27</v>
      </c>
      <c r="C128" s="133"/>
    </row>
    <row r="129" spans="1:3">
      <c r="A129" s="131" t="s">
        <v>15870</v>
      </c>
      <c r="B129" s="132">
        <v>7.6774141722309999E-4</v>
      </c>
      <c r="C129" s="133"/>
    </row>
    <row r="130" spans="1:3">
      <c r="A130" s="131" t="s">
        <v>15871</v>
      </c>
      <c r="B130" s="132">
        <v>5.4358802902743565E-2</v>
      </c>
      <c r="C130" s="133"/>
    </row>
    <row r="131" spans="1:3">
      <c r="A131" s="131" t="s">
        <v>15872</v>
      </c>
      <c r="B131" s="132">
        <v>1.6062641715552474E-2</v>
      </c>
      <c r="C131" s="133"/>
    </row>
    <row r="132" spans="1:3">
      <c r="A132" s="131" t="s">
        <v>15873</v>
      </c>
      <c r="B132" s="132">
        <v>4.6234667380331544E-2</v>
      </c>
      <c r="C132" s="133"/>
    </row>
    <row r="133" spans="1:3">
      <c r="A133" s="131" t="s">
        <v>15874</v>
      </c>
      <c r="B133" s="132">
        <v>0.23908619385158134</v>
      </c>
      <c r="C133" s="133"/>
    </row>
    <row r="134" spans="1:3">
      <c r="A134" s="131" t="s">
        <v>15875</v>
      </c>
      <c r="B134" s="132">
        <v>0.33720160500002072</v>
      </c>
      <c r="C134" s="133"/>
    </row>
    <row r="135" spans="1:3">
      <c r="A135" s="131" t="s">
        <v>15876</v>
      </c>
      <c r="B135" s="132">
        <v>4.9157208874779998E-5</v>
      </c>
      <c r="C135" s="133"/>
    </row>
    <row r="136" spans="1:3">
      <c r="A136" s="131" t="s">
        <v>15877</v>
      </c>
      <c r="B136" s="132">
        <v>0.13404486871978744</v>
      </c>
      <c r="C136" s="133"/>
    </row>
    <row r="137" spans="1:3">
      <c r="A137" s="131" t="s">
        <v>15878</v>
      </c>
      <c r="B137" s="132">
        <v>2.0603200629534673E-2</v>
      </c>
      <c r="C137" s="133"/>
    </row>
    <row r="138" spans="1:3">
      <c r="A138" s="131" t="s">
        <v>15879</v>
      </c>
      <c r="B138" s="132">
        <v>2.276980817785185E-2</v>
      </c>
      <c r="C138" s="133"/>
    </row>
    <row r="139" spans="1:3">
      <c r="A139" s="131" t="s">
        <v>15880</v>
      </c>
      <c r="B139" s="132">
        <v>1.2939639980413852E-2</v>
      </c>
      <c r="C139" s="133"/>
    </row>
    <row r="140" spans="1:3">
      <c r="A140" s="131" t="s">
        <v>15881</v>
      </c>
      <c r="B140" s="132">
        <v>0.56519266624018005</v>
      </c>
      <c r="C140" s="133"/>
    </row>
    <row r="141" spans="1:3">
      <c r="A141" s="131" t="s">
        <v>15882</v>
      </c>
      <c r="B141" s="132">
        <v>6.3438039999999998E-3</v>
      </c>
      <c r="C141" s="133"/>
    </row>
    <row r="142" spans="1:3">
      <c r="A142" s="131" t="s">
        <v>15883</v>
      </c>
      <c r="B142" s="132">
        <v>1.2348805252238742E-3</v>
      </c>
      <c r="C142" s="133"/>
    </row>
    <row r="143" spans="1:3">
      <c r="A143" s="131" t="s">
        <v>15884</v>
      </c>
      <c r="B143" s="132">
        <v>3.4846969852404003E-3</v>
      </c>
      <c r="C143" s="133"/>
    </row>
    <row r="144" spans="1:3">
      <c r="A144" s="131" t="s">
        <v>15885</v>
      </c>
      <c r="B144" s="132">
        <v>0.44061245519733083</v>
      </c>
      <c r="C144" s="133"/>
    </row>
    <row r="145" spans="1:3">
      <c r="A145" s="131" t="s">
        <v>15886</v>
      </c>
      <c r="B145" s="132">
        <v>1.7493416717651351</v>
      </c>
      <c r="C145" s="133"/>
    </row>
    <row r="146" spans="1:3">
      <c r="A146" s="131" t="s">
        <v>15887</v>
      </c>
      <c r="B146" s="132">
        <v>1.0047877097875011</v>
      </c>
      <c r="C146" s="133"/>
    </row>
    <row r="147" spans="1:3">
      <c r="A147" s="131" t="s">
        <v>15888</v>
      </c>
      <c r="B147" s="132">
        <v>3.1754659411485745E-4</v>
      </c>
      <c r="C147" s="133"/>
    </row>
    <row r="148" spans="1:3">
      <c r="A148" s="131" t="s">
        <v>15889</v>
      </c>
      <c r="B148" s="132">
        <v>15.92</v>
      </c>
      <c r="C148" s="133"/>
    </row>
    <row r="149" spans="1:3">
      <c r="A149" s="131" t="s">
        <v>15890</v>
      </c>
      <c r="B149" s="132">
        <v>4.367658736404465E-5</v>
      </c>
      <c r="C149" s="133"/>
    </row>
    <row r="150" spans="1:3">
      <c r="A150" s="131" t="s">
        <v>15891</v>
      </c>
      <c r="B150" s="132">
        <v>2.0205491025336E-2</v>
      </c>
      <c r="C150" s="133"/>
    </row>
    <row r="151" spans="1:3">
      <c r="A151" s="131" t="s">
        <v>15892</v>
      </c>
      <c r="B151" s="132">
        <v>6.1154110614096577E-2</v>
      </c>
      <c r="C151" s="133"/>
    </row>
    <row r="152" spans="1:3">
      <c r="A152" s="131" t="s">
        <v>15893</v>
      </c>
      <c r="B152" s="132">
        <v>7.2225674214338495E-2</v>
      </c>
      <c r="C152" s="133"/>
    </row>
    <row r="153" spans="1:3">
      <c r="A153" s="131" t="s">
        <v>15894</v>
      </c>
      <c r="B153" s="132">
        <v>2.2040911181204E-2</v>
      </c>
      <c r="C153" s="133"/>
    </row>
    <row r="154" spans="1:3">
      <c r="A154" s="131" t="s">
        <v>15895</v>
      </c>
      <c r="B154" s="132">
        <v>3.4</v>
      </c>
      <c r="C154" s="133"/>
    </row>
    <row r="155" spans="1:3">
      <c r="A155" s="131" t="s">
        <v>15896</v>
      </c>
      <c r="B155" s="132">
        <v>8.433670736849308E-3</v>
      </c>
      <c r="C155" s="133"/>
    </row>
    <row r="156" spans="1:3">
      <c r="A156" s="131" t="s">
        <v>15897</v>
      </c>
      <c r="B156" s="132">
        <v>1.7299626102351601E-2</v>
      </c>
      <c r="C156" s="133"/>
    </row>
    <row r="157" spans="1:3">
      <c r="A157" s="131" t="s">
        <v>15898</v>
      </c>
      <c r="B157" s="132">
        <v>0.18827173872637001</v>
      </c>
      <c r="C157" s="133"/>
    </row>
    <row r="158" spans="1:3">
      <c r="A158" s="131" t="s">
        <v>15899</v>
      </c>
      <c r="B158" s="132">
        <v>0.90969458099300671</v>
      </c>
      <c r="C158" s="133"/>
    </row>
    <row r="159" spans="1:3">
      <c r="A159" s="131" t="s">
        <v>15900</v>
      </c>
      <c r="B159" s="132">
        <v>4.6183622403340299E-2</v>
      </c>
      <c r="C159" s="133"/>
    </row>
    <row r="160" spans="1:3">
      <c r="A160" s="131" t="s">
        <v>15901</v>
      </c>
      <c r="B160" s="132">
        <v>5.2172713010632996E-6</v>
      </c>
      <c r="C160" s="133"/>
    </row>
    <row r="161" spans="1:3">
      <c r="A161" s="131" t="s">
        <v>15902</v>
      </c>
      <c r="B161" s="132">
        <v>2.7752938814461232</v>
      </c>
      <c r="C161" s="133"/>
    </row>
    <row r="162" spans="1:3">
      <c r="A162" s="131" t="s">
        <v>15903</v>
      </c>
      <c r="B162" s="132">
        <v>2.7144767514615E-2</v>
      </c>
      <c r="C162" s="133"/>
    </row>
    <row r="163" spans="1:3">
      <c r="A163" s="131" t="s">
        <v>15904</v>
      </c>
      <c r="B163" s="132">
        <v>5.9930847568861002E-2</v>
      </c>
      <c r="C163" s="133"/>
    </row>
    <row r="164" spans="1:3">
      <c r="A164" s="131" t="s">
        <v>15905</v>
      </c>
      <c r="B164" s="132">
        <v>3.3222309753198E-3</v>
      </c>
      <c r="C164" s="133"/>
    </row>
    <row r="165" spans="1:3">
      <c r="A165" s="131" t="s">
        <v>15906</v>
      </c>
      <c r="B165" s="132">
        <v>8.8059891574561421E-3</v>
      </c>
      <c r="C165" s="133"/>
    </row>
    <row r="166" spans="1:3">
      <c r="A166" s="131" t="s">
        <v>15907</v>
      </c>
      <c r="B166" s="132">
        <v>5.0289342928555008E-3</v>
      </c>
      <c r="C166" s="133"/>
    </row>
    <row r="167" spans="1:3">
      <c r="A167" s="131" t="s">
        <v>15908</v>
      </c>
      <c r="B167" s="132">
        <v>5.6085230577426148E-2</v>
      </c>
      <c r="C167" s="133"/>
    </row>
    <row r="168" spans="1:3">
      <c r="A168" s="131" t="s">
        <v>15909</v>
      </c>
      <c r="B168" s="132">
        <v>2.6685629116090002E-4</v>
      </c>
      <c r="C168" s="133"/>
    </row>
    <row r="169" spans="1:3">
      <c r="A169" s="131" t="s">
        <v>11577</v>
      </c>
      <c r="B169" s="132">
        <v>4.6800022151751933E-4</v>
      </c>
      <c r="C169" s="133"/>
    </row>
    <row r="170" spans="1:3">
      <c r="A170" s="131" t="s">
        <v>11578</v>
      </c>
      <c r="B170" s="132">
        <v>3.4013</v>
      </c>
      <c r="C170" s="133"/>
    </row>
    <row r="171" spans="1:3">
      <c r="A171" s="131" t="s">
        <v>11579</v>
      </c>
      <c r="B171" s="132">
        <v>1.2314037174709501E-4</v>
      </c>
      <c r="C171" s="133"/>
    </row>
    <row r="172" spans="1:3">
      <c r="A172" s="131" t="s">
        <v>11580</v>
      </c>
      <c r="B172" s="132">
        <v>5.5605941043273099E-2</v>
      </c>
      <c r="C172" s="133"/>
    </row>
    <row r="173" spans="1:3">
      <c r="A173" s="131" t="s">
        <v>11581</v>
      </c>
      <c r="B173" s="132">
        <v>0.2692644629124511</v>
      </c>
      <c r="C173" s="133"/>
    </row>
    <row r="174" spans="1:3">
      <c r="A174" s="131" t="s">
        <v>11582</v>
      </c>
      <c r="B174" s="132">
        <v>2.5709617786498967E-5</v>
      </c>
      <c r="C174" s="133"/>
    </row>
    <row r="175" spans="1:3">
      <c r="A175" s="131" t="s">
        <v>11583</v>
      </c>
      <c r="B175" s="132">
        <v>0.7345730206709491</v>
      </c>
      <c r="C175" s="133"/>
    </row>
    <row r="176" spans="1:3">
      <c r="A176" s="131" t="s">
        <v>11584</v>
      </c>
      <c r="B176" s="132">
        <v>3.3535095177714499E-4</v>
      </c>
      <c r="C176" s="133"/>
    </row>
    <row r="177" spans="1:3">
      <c r="A177" s="131" t="s">
        <v>11585</v>
      </c>
      <c r="B177" s="132">
        <v>4.1182470770724598E-4</v>
      </c>
      <c r="C177" s="133"/>
    </row>
    <row r="178" spans="1:3">
      <c r="A178" s="131" t="s">
        <v>11586</v>
      </c>
      <c r="B178" s="132">
        <v>6.7949011793440647E-3</v>
      </c>
      <c r="C178" s="133"/>
    </row>
    <row r="179" spans="1:3">
      <c r="A179" s="131" t="s">
        <v>11587</v>
      </c>
      <c r="B179" s="132">
        <v>1.2413752487990546</v>
      </c>
      <c r="C179" s="133"/>
    </row>
    <row r="180" spans="1:3">
      <c r="A180" s="131" t="s">
        <v>11588</v>
      </c>
      <c r="B180" s="132">
        <v>0.10781794356307001</v>
      </c>
      <c r="C180" s="133"/>
    </row>
    <row r="181" spans="1:3">
      <c r="A181" s="131" t="s">
        <v>11589</v>
      </c>
      <c r="B181" s="132">
        <v>2.53315953641578E-2</v>
      </c>
      <c r="C181" s="133"/>
    </row>
    <row r="182" spans="1:3">
      <c r="A182" s="131" t="s">
        <v>11590</v>
      </c>
      <c r="B182" s="132">
        <v>2.4007716222759689E-3</v>
      </c>
      <c r="C182" s="133"/>
    </row>
    <row r="183" spans="1:3">
      <c r="A183" s="131" t="s">
        <v>11591</v>
      </c>
      <c r="B183" s="132">
        <v>5.83858754498187E-2</v>
      </c>
      <c r="C183" s="133"/>
    </row>
    <row r="184" spans="1:3">
      <c r="A184" s="131" t="s">
        <v>11592</v>
      </c>
      <c r="B184" s="132">
        <v>5.2918210555957954E-2</v>
      </c>
      <c r="C184" s="133"/>
    </row>
    <row r="185" spans="1:3">
      <c r="A185" s="131" t="s">
        <v>11593</v>
      </c>
      <c r="B185" s="132">
        <v>7.0261195727122452</v>
      </c>
      <c r="C185" s="133"/>
    </row>
    <row r="186" spans="1:3">
      <c r="A186" s="131" t="s">
        <v>11594</v>
      </c>
      <c r="B186" s="132">
        <v>1.42098587</v>
      </c>
      <c r="C186" s="133"/>
    </row>
    <row r="187" spans="1:3">
      <c r="A187" s="131" t="s">
        <v>11595</v>
      </c>
      <c r="B187" s="132">
        <v>7.3722521774470806E-3</v>
      </c>
      <c r="C187" s="133"/>
    </row>
    <row r="188" spans="1:3">
      <c r="A188" s="131" t="s">
        <v>11596</v>
      </c>
      <c r="B188" s="132">
        <v>2.8988245472485623E-2</v>
      </c>
      <c r="C188" s="133"/>
    </row>
    <row r="189" spans="1:3">
      <c r="A189" s="131" t="s">
        <v>11597</v>
      </c>
      <c r="B189" s="132">
        <v>5.200120306252643E-3</v>
      </c>
      <c r="C189" s="133"/>
    </row>
    <row r="190" spans="1:3">
      <c r="A190" s="131" t="s">
        <v>11598</v>
      </c>
      <c r="B190" s="132">
        <v>3.0385123297342002E-3</v>
      </c>
      <c r="C190" s="133"/>
    </row>
    <row r="191" spans="1:3">
      <c r="A191" s="131" t="s">
        <v>11599</v>
      </c>
      <c r="B191" s="132">
        <v>6.359634704902932E-2</v>
      </c>
      <c r="C191" s="133"/>
    </row>
    <row r="192" spans="1:3">
      <c r="A192" s="131" t="s">
        <v>11600</v>
      </c>
      <c r="B192" s="132">
        <v>0.18560980027107432</v>
      </c>
      <c r="C192" s="133"/>
    </row>
    <row r="193" spans="1:3">
      <c r="A193" s="131" t="s">
        <v>11601</v>
      </c>
      <c r="B193" s="132">
        <v>41.614444412883998</v>
      </c>
      <c r="C193" s="133"/>
    </row>
    <row r="194" spans="1:3">
      <c r="A194" s="131" t="s">
        <v>11602</v>
      </c>
      <c r="B194" s="132">
        <v>1.0516956233333351E-4</v>
      </c>
      <c r="C194" s="133"/>
    </row>
    <row r="195" spans="1:3">
      <c r="A195" s="131" t="s">
        <v>11603</v>
      </c>
      <c r="B195" s="132">
        <v>6.1771828903127858E-4</v>
      </c>
      <c r="C195" s="133"/>
    </row>
    <row r="196" spans="1:3">
      <c r="A196" s="131" t="s">
        <v>11604</v>
      </c>
      <c r="B196" s="132">
        <v>1.6401042662155178E-3</v>
      </c>
      <c r="C196" s="133"/>
    </row>
    <row r="197" spans="1:3">
      <c r="A197" s="131" t="s">
        <v>11605</v>
      </c>
      <c r="B197" s="132">
        <v>1.2322620132382257E-2</v>
      </c>
      <c r="C197" s="133"/>
    </row>
    <row r="198" spans="1:3">
      <c r="A198" s="131" t="s">
        <v>11606</v>
      </c>
      <c r="B198" s="132">
        <v>9.5295352069298303E-2</v>
      </c>
      <c r="C198" s="133"/>
    </row>
    <row r="199" spans="1:3">
      <c r="A199" s="131" t="s">
        <v>11607</v>
      </c>
      <c r="B199" s="132">
        <v>6.3007265481190414E-2</v>
      </c>
      <c r="C199" s="133"/>
    </row>
    <row r="200" spans="1:3">
      <c r="A200" s="131" t="s">
        <v>11608</v>
      </c>
      <c r="B200" s="132">
        <v>0.29213826516348096</v>
      </c>
      <c r="C200" s="133"/>
    </row>
    <row r="201" spans="1:3">
      <c r="A201" s="131" t="s">
        <v>11609</v>
      </c>
      <c r="B201" s="132">
        <v>6.7949011793440647E-3</v>
      </c>
      <c r="C201" s="133"/>
    </row>
    <row r="202" spans="1:3">
      <c r="A202" s="131" t="s">
        <v>11610</v>
      </c>
      <c r="B202" s="132">
        <v>7.288705998227793E-2</v>
      </c>
      <c r="C202" s="133"/>
    </row>
    <row r="203" spans="1:3">
      <c r="A203" s="131" t="s">
        <v>11611</v>
      </c>
      <c r="B203" s="132">
        <v>1.6137996927462001E-5</v>
      </c>
      <c r="C203" s="133"/>
    </row>
    <row r="204" spans="1:3">
      <c r="A204" s="131" t="s">
        <v>11612</v>
      </c>
      <c r="B204" s="132">
        <v>2.8001000000000002E-4</v>
      </c>
      <c r="C204" s="133"/>
    </row>
    <row r="205" spans="1:3">
      <c r="A205" s="131" t="s">
        <v>11613</v>
      </c>
      <c r="B205" s="132">
        <v>0.29700956501099002</v>
      </c>
      <c r="C205" s="133"/>
    </row>
    <row r="206" spans="1:3">
      <c r="A206" s="131" t="s">
        <v>11614</v>
      </c>
      <c r="B206" s="132">
        <v>6.7975826316865997E-3</v>
      </c>
      <c r="C206" s="133"/>
    </row>
    <row r="207" spans="1:3">
      <c r="A207" s="131" t="s">
        <v>11615</v>
      </c>
      <c r="B207" s="132">
        <v>2.5956620635104151E-3</v>
      </c>
      <c r="C207" s="133"/>
    </row>
    <row r="208" spans="1:3">
      <c r="A208" s="131" t="s">
        <v>11616</v>
      </c>
      <c r="B208" s="132">
        <v>9.1496358536295006E-5</v>
      </c>
      <c r="C208" s="133"/>
    </row>
    <row r="209" spans="1:3">
      <c r="A209" s="131" t="s">
        <v>11617</v>
      </c>
      <c r="B209" s="132">
        <v>3.0890350079829106E-2</v>
      </c>
      <c r="C209" s="133"/>
    </row>
    <row r="210" spans="1:3">
      <c r="A210" s="131" t="s">
        <v>11618</v>
      </c>
      <c r="B210" s="132">
        <v>0.1488701076565381</v>
      </c>
      <c r="C210" s="133"/>
    </row>
    <row r="211" spans="1:3">
      <c r="A211" s="131" t="s">
        <v>11619</v>
      </c>
      <c r="B211" s="132">
        <v>1.9893746555526559E-3</v>
      </c>
      <c r="C211" s="133"/>
    </row>
    <row r="212" spans="1:3">
      <c r="A212" s="131" t="s">
        <v>11620</v>
      </c>
      <c r="B212" s="132">
        <v>5.8312289515501737E-3</v>
      </c>
      <c r="C212" s="133"/>
    </row>
    <row r="213" spans="1:3">
      <c r="A213" s="131" t="s">
        <v>11621</v>
      </c>
      <c r="B213" s="132">
        <v>0.22917733529812445</v>
      </c>
      <c r="C213" s="133"/>
    </row>
    <row r="214" spans="1:3">
      <c r="A214" s="131" t="s">
        <v>11622</v>
      </c>
      <c r="B214" s="132">
        <v>4.7197639002092999E-2</v>
      </c>
      <c r="C214" s="133"/>
    </row>
    <row r="215" spans="1:3">
      <c r="A215" s="131" t="s">
        <v>11623</v>
      </c>
      <c r="B215" s="132">
        <v>4.532109887804836E-4</v>
      </c>
      <c r="C215" s="133"/>
    </row>
    <row r="216" spans="1:3">
      <c r="A216" s="131" t="s">
        <v>11624</v>
      </c>
      <c r="B216" s="132">
        <v>1.3754567036355499E-3</v>
      </c>
      <c r="C216" s="133"/>
    </row>
    <row r="217" spans="1:3">
      <c r="A217" s="131" t="s">
        <v>11625</v>
      </c>
      <c r="B217" s="132">
        <v>0.12970771325268768</v>
      </c>
      <c r="C217" s="133"/>
    </row>
    <row r="218" spans="1:3">
      <c r="A218" s="131" t="s">
        <v>11626</v>
      </c>
      <c r="B218" s="132">
        <v>2.2795793781906E-2</v>
      </c>
      <c r="C218" s="133"/>
    </row>
    <row r="219" spans="1:3">
      <c r="A219" s="131" t="s">
        <v>11627</v>
      </c>
      <c r="B219" s="132">
        <v>0.23936123979341306</v>
      </c>
      <c r="C219" s="133"/>
    </row>
    <row r="220" spans="1:3">
      <c r="A220" s="131" t="s">
        <v>11628</v>
      </c>
      <c r="B220" s="132">
        <v>2.8469085745595505E-3</v>
      </c>
      <c r="C220" s="133"/>
    </row>
    <row r="221" spans="1:3">
      <c r="A221" s="131" t="s">
        <v>11629</v>
      </c>
      <c r="B221" s="132">
        <v>2.4389922685735047E-3</v>
      </c>
      <c r="C221" s="133"/>
    </row>
    <row r="222" spans="1:3">
      <c r="A222" s="131" t="s">
        <v>11630</v>
      </c>
      <c r="B222" s="132">
        <v>7.0514857769012451E-2</v>
      </c>
      <c r="C222" s="133"/>
    </row>
    <row r="223" spans="1:3">
      <c r="A223" s="131" t="s">
        <v>11631</v>
      </c>
      <c r="B223" s="132">
        <v>1.6625345506947364E-3</v>
      </c>
      <c r="C223" s="133"/>
    </row>
    <row r="224" spans="1:3">
      <c r="A224" s="131" t="s">
        <v>11632</v>
      </c>
      <c r="B224" s="132">
        <v>7.9867104384306692E-2</v>
      </c>
      <c r="C224" s="133"/>
    </row>
    <row r="225" spans="1:3">
      <c r="A225" s="131" t="s">
        <v>11633</v>
      </c>
      <c r="B225" s="132">
        <v>2.5769548956304789E-3</v>
      </c>
      <c r="C225" s="133"/>
    </row>
    <row r="226" spans="1:3">
      <c r="A226" s="131" t="s">
        <v>11634</v>
      </c>
      <c r="B226" s="132">
        <v>2.9701490420848131E-3</v>
      </c>
      <c r="C226" s="133"/>
    </row>
    <row r="227" spans="1:3">
      <c r="A227" s="131" t="s">
        <v>11635</v>
      </c>
      <c r="B227" s="132">
        <v>1.2725260903115999E-3</v>
      </c>
      <c r="C227" s="133"/>
    </row>
    <row r="228" spans="1:3">
      <c r="A228" s="131" t="s">
        <v>11636</v>
      </c>
      <c r="B228" s="132">
        <v>5.7297535722089003E-2</v>
      </c>
      <c r="C228" s="133"/>
    </row>
    <row r="229" spans="1:3">
      <c r="A229" s="131" t="s">
        <v>11637</v>
      </c>
      <c r="B229" s="132">
        <v>0.49764792541656877</v>
      </c>
      <c r="C229" s="133"/>
    </row>
    <row r="230" spans="1:3">
      <c r="A230" s="131" t="s">
        <v>11638</v>
      </c>
      <c r="B230" s="132">
        <v>7.6339005506952436E-3</v>
      </c>
      <c r="C230" s="133"/>
    </row>
    <row r="231" spans="1:3">
      <c r="A231" s="131" t="s">
        <v>11639</v>
      </c>
      <c r="B231" s="132">
        <v>12.141542482244001</v>
      </c>
      <c r="C231" s="133"/>
    </row>
    <row r="232" spans="1:3">
      <c r="A232" s="131" t="s">
        <v>11640</v>
      </c>
      <c r="B232" s="132">
        <v>3.3685907707865073E-2</v>
      </c>
      <c r="C232" s="133"/>
    </row>
    <row r="233" spans="1:3">
      <c r="A233" s="131" t="s">
        <v>11641</v>
      </c>
      <c r="B233" s="132">
        <v>0.28339016537936002</v>
      </c>
      <c r="C233" s="133"/>
    </row>
    <row r="234" spans="1:3">
      <c r="A234" s="131" t="s">
        <v>11642</v>
      </c>
      <c r="B234" s="132">
        <v>1.4786460831507E-2</v>
      </c>
      <c r="C234" s="133"/>
    </row>
    <row r="235" spans="1:3">
      <c r="A235" s="131" t="s">
        <v>11643</v>
      </c>
      <c r="B235" s="132">
        <v>1.0465344367541375E-2</v>
      </c>
      <c r="C235" s="133"/>
    </row>
    <row r="236" spans="1:3">
      <c r="A236" s="131" t="s">
        <v>11644</v>
      </c>
      <c r="B236" s="132">
        <v>7.2892408309498001E-3</v>
      </c>
      <c r="C236" s="133"/>
    </row>
    <row r="237" spans="1:3">
      <c r="A237" s="131" t="s">
        <v>11645</v>
      </c>
      <c r="B237" s="132">
        <v>0.145674096870169</v>
      </c>
      <c r="C237" s="133"/>
    </row>
    <row r="238" spans="1:3">
      <c r="A238" s="131" t="s">
        <v>11646</v>
      </c>
      <c r="B238" s="132">
        <v>6.140449754169925E-2</v>
      </c>
      <c r="C238" s="133"/>
    </row>
    <row r="239" spans="1:3">
      <c r="A239" s="131" t="s">
        <v>11647</v>
      </c>
      <c r="B239" s="132">
        <v>6.9926915277906607E-4</v>
      </c>
      <c r="C239" s="133"/>
    </row>
    <row r="240" spans="1:3">
      <c r="A240" s="131" t="s">
        <v>11648</v>
      </c>
      <c r="B240" s="132">
        <v>2.9188542895543002E-4</v>
      </c>
      <c r="C240" s="133"/>
    </row>
    <row r="241" spans="1:3">
      <c r="A241" s="131" t="s">
        <v>11649</v>
      </c>
      <c r="B241" s="132">
        <v>3.1341727451392998E-5</v>
      </c>
      <c r="C241" s="133"/>
    </row>
    <row r="242" spans="1:3">
      <c r="A242" s="131" t="s">
        <v>11650</v>
      </c>
      <c r="B242" s="132">
        <v>0.1916649717384237</v>
      </c>
      <c r="C242" s="133"/>
    </row>
    <row r="243" spans="1:3">
      <c r="A243" s="131" t="s">
        <v>11651</v>
      </c>
      <c r="B243" s="132">
        <v>4.3244651393037356E-3</v>
      </c>
      <c r="C243" s="133"/>
    </row>
    <row r="244" spans="1:3">
      <c r="A244" s="131" t="s">
        <v>11652</v>
      </c>
      <c r="B244" s="132">
        <v>9.9921819735072394E-3</v>
      </c>
      <c r="C244" s="133"/>
    </row>
    <row r="245" spans="1:3">
      <c r="A245" s="131" t="s">
        <v>11653</v>
      </c>
      <c r="B245" s="132">
        <v>1.0658939124907909E-5</v>
      </c>
      <c r="C245" s="133"/>
    </row>
    <row r="246" spans="1:3">
      <c r="A246" s="131" t="s">
        <v>11654</v>
      </c>
      <c r="B246" s="132">
        <v>6.061347613893843E-4</v>
      </c>
      <c r="C246" s="133"/>
    </row>
    <row r="247" spans="1:3">
      <c r="A247" s="131" t="s">
        <v>11655</v>
      </c>
      <c r="B247" s="132">
        <v>0.11118929202563013</v>
      </c>
      <c r="C247" s="133"/>
    </row>
    <row r="248" spans="1:3">
      <c r="A248" s="131" t="s">
        <v>11656</v>
      </c>
      <c r="B248" s="132">
        <v>9.4909999999999998E-5</v>
      </c>
      <c r="C248" s="133"/>
    </row>
    <row r="249" spans="1:3">
      <c r="A249" s="131" t="s">
        <v>11657</v>
      </c>
      <c r="B249" s="132">
        <v>4.3912648238079253E-3</v>
      </c>
      <c r="C249" s="133"/>
    </row>
    <row r="250" spans="1:3">
      <c r="A250" s="131" t="s">
        <v>11658</v>
      </c>
      <c r="B250" s="132">
        <v>1.8754337482567876E-3</v>
      </c>
      <c r="C250" s="133"/>
    </row>
    <row r="251" spans="1:3">
      <c r="A251" s="131" t="s">
        <v>11659</v>
      </c>
      <c r="B251" s="132">
        <v>1.2354365780625572E-3</v>
      </c>
      <c r="C251" s="133"/>
    </row>
    <row r="252" spans="1:3">
      <c r="A252" s="131" t="s">
        <v>11660</v>
      </c>
      <c r="B252" s="132">
        <v>3.0202454742749362E-2</v>
      </c>
      <c r="C252" s="133"/>
    </row>
    <row r="253" spans="1:3">
      <c r="A253" s="131" t="s">
        <v>11661</v>
      </c>
      <c r="B253" s="132">
        <v>1.3856582612089201E-6</v>
      </c>
      <c r="C253" s="133"/>
    </row>
    <row r="254" spans="1:3">
      <c r="A254" s="131" t="s">
        <v>11662</v>
      </c>
      <c r="B254" s="132">
        <v>3.4757919196397993E-2</v>
      </c>
      <c r="C254" s="133"/>
    </row>
    <row r="255" spans="1:3">
      <c r="A255" s="131" t="s">
        <v>11663</v>
      </c>
      <c r="B255" s="132">
        <v>0.38466528360723939</v>
      </c>
      <c r="C255" s="133"/>
    </row>
    <row r="256" spans="1:3">
      <c r="A256" s="131" t="s">
        <v>11664</v>
      </c>
      <c r="B256" s="132">
        <v>2.9440689068290504E-2</v>
      </c>
      <c r="C256" s="133"/>
    </row>
    <row r="257" spans="1:3">
      <c r="A257" s="131" t="s">
        <v>11665</v>
      </c>
      <c r="B257" s="132">
        <v>2.4664129192446111E-2</v>
      </c>
      <c r="C257" s="133"/>
    </row>
    <row r="258" spans="1:3">
      <c r="A258" s="131" t="s">
        <v>11666</v>
      </c>
      <c r="B258" s="132">
        <v>3.9014499997534149E-5</v>
      </c>
      <c r="C258" s="133"/>
    </row>
    <row r="259" spans="1:3">
      <c r="A259" s="131" t="s">
        <v>11667</v>
      </c>
      <c r="B259" s="132">
        <v>0.14435533305847001</v>
      </c>
      <c r="C259" s="133"/>
    </row>
    <row r="260" spans="1:3">
      <c r="A260" s="131" t="s">
        <v>11668</v>
      </c>
      <c r="B260" s="132">
        <v>0.51759121834367616</v>
      </c>
      <c r="C260" s="133"/>
    </row>
    <row r="261" spans="1:3">
      <c r="A261" s="131" t="s">
        <v>11669</v>
      </c>
      <c r="B261" s="132">
        <v>5.127812549424E-4</v>
      </c>
      <c r="C261" s="133"/>
    </row>
    <row r="262" spans="1:3">
      <c r="A262" s="131" t="s">
        <v>11670</v>
      </c>
      <c r="B262" s="132">
        <v>5.3371338749817303E-2</v>
      </c>
      <c r="C262" s="133"/>
    </row>
    <row r="263" spans="1:3">
      <c r="A263" s="131" t="s">
        <v>11671</v>
      </c>
      <c r="B263" s="132">
        <v>4.3737703297809544E-2</v>
      </c>
      <c r="C263" s="133"/>
    </row>
    <row r="264" spans="1:3">
      <c r="A264" s="131" t="s">
        <v>11672</v>
      </c>
      <c r="B264" s="132">
        <v>1.2338208236773785E-3</v>
      </c>
      <c r="C264" s="133"/>
    </row>
    <row r="265" spans="1:3">
      <c r="A265" s="131" t="s">
        <v>11673</v>
      </c>
      <c r="B265" s="132">
        <v>6.1691041183869924E-4</v>
      </c>
      <c r="C265" s="133"/>
    </row>
    <row r="266" spans="1:3">
      <c r="A266" s="131" t="s">
        <v>11674</v>
      </c>
      <c r="B266" s="132">
        <v>5.939165866666667E-3</v>
      </c>
      <c r="C266" s="133"/>
    </row>
    <row r="267" spans="1:3">
      <c r="A267" s="131" t="s">
        <v>11675</v>
      </c>
      <c r="B267" s="132">
        <v>4.8013948879432335E-4</v>
      </c>
      <c r="C267" s="133"/>
    </row>
    <row r="268" spans="1:3">
      <c r="A268" s="131" t="s">
        <v>11676</v>
      </c>
      <c r="B268" s="132">
        <v>1.6847483747952279E-5</v>
      </c>
      <c r="C268" s="133"/>
    </row>
    <row r="269" spans="1:3">
      <c r="A269" s="131" t="s">
        <v>11677</v>
      </c>
      <c r="B269" s="132">
        <v>0.12386180637747343</v>
      </c>
      <c r="C269" s="133"/>
    </row>
    <row r="270" spans="1:3">
      <c r="A270" s="131" t="s">
        <v>11678</v>
      </c>
      <c r="B270" s="132">
        <v>0.34651980974693353</v>
      </c>
      <c r="C270" s="133"/>
    </row>
    <row r="271" spans="1:3">
      <c r="A271" s="131" t="s">
        <v>11679</v>
      </c>
      <c r="B271" s="132">
        <v>9.1877871139623788E-3</v>
      </c>
      <c r="C271" s="133"/>
    </row>
    <row r="272" spans="1:3">
      <c r="A272" s="131" t="s">
        <v>11680</v>
      </c>
      <c r="B272" s="132">
        <v>8.0093329503996002E-3</v>
      </c>
      <c r="C272" s="133"/>
    </row>
    <row r="273" spans="1:3">
      <c r="A273" s="131" t="s">
        <v>11681</v>
      </c>
      <c r="B273" s="132">
        <v>5.6019973690528697E-2</v>
      </c>
      <c r="C273" s="133"/>
    </row>
    <row r="274" spans="1:3">
      <c r="A274" s="131" t="s">
        <v>11682</v>
      </c>
      <c r="B274" s="132">
        <v>7.6244584784029533E-3</v>
      </c>
      <c r="C274" s="133"/>
    </row>
    <row r="275" spans="1:3">
      <c r="A275" s="131" t="s">
        <v>11683</v>
      </c>
      <c r="B275" s="132">
        <v>2.6930925767900999E-3</v>
      </c>
      <c r="C275" s="133"/>
    </row>
    <row r="276" spans="1:3">
      <c r="A276" s="131" t="s">
        <v>11684</v>
      </c>
      <c r="B276" s="132">
        <v>2.2717561632670701E-2</v>
      </c>
      <c r="C276" s="133"/>
    </row>
    <row r="277" spans="1:3">
      <c r="A277" s="131" t="s">
        <v>11685</v>
      </c>
      <c r="B277" s="132">
        <v>3.0141160823838123E-3</v>
      </c>
      <c r="C277" s="133"/>
    </row>
    <row r="278" spans="1:3">
      <c r="A278" s="131" t="s">
        <v>11686</v>
      </c>
      <c r="B278" s="132">
        <v>3.9266267278299997E-5</v>
      </c>
      <c r="C278" s="133"/>
    </row>
    <row r="279" spans="1:3">
      <c r="A279" s="131" t="s">
        <v>11687</v>
      </c>
      <c r="B279" s="132">
        <v>9.2657743354691326E-3</v>
      </c>
      <c r="C279" s="133"/>
    </row>
    <row r="280" spans="1:3">
      <c r="A280" s="131" t="s">
        <v>11688</v>
      </c>
      <c r="B280" s="132">
        <v>8.6480560464378999E-3</v>
      </c>
      <c r="C280" s="133"/>
    </row>
    <row r="281" spans="1:3">
      <c r="A281" s="131" t="s">
        <v>11689</v>
      </c>
      <c r="B281" s="132">
        <v>3.1209251330653496E-3</v>
      </c>
      <c r="C281" s="133"/>
    </row>
    <row r="282" spans="1:3">
      <c r="A282" s="131" t="s">
        <v>11690</v>
      </c>
      <c r="B282" s="132">
        <v>3.1088676559639549E-4</v>
      </c>
      <c r="C282" s="133"/>
    </row>
    <row r="283" spans="1:3">
      <c r="A283" s="131" t="s">
        <v>11691</v>
      </c>
      <c r="B283" s="132">
        <v>6.1610253464612001E-4</v>
      </c>
      <c r="C283" s="133"/>
    </row>
    <row r="284" spans="1:3">
      <c r="A284" s="131" t="s">
        <v>11692</v>
      </c>
      <c r="B284" s="132">
        <v>1.6967535902815651E-2</v>
      </c>
      <c r="C284" s="133"/>
    </row>
    <row r="285" spans="1:3">
      <c r="A285" s="131" t="s">
        <v>11693</v>
      </c>
      <c r="B285" s="132">
        <v>4.2687218629089054E-3</v>
      </c>
      <c r="C285" s="133"/>
    </row>
    <row r="286" spans="1:3">
      <c r="A286" s="131" t="s">
        <v>11694</v>
      </c>
      <c r="B286" s="132">
        <v>3.4366211427641E-6</v>
      </c>
      <c r="C286" s="133"/>
    </row>
    <row r="287" spans="1:3">
      <c r="A287" s="131" t="s">
        <v>11695</v>
      </c>
      <c r="B287" s="132">
        <v>6.1610253464612001E-4</v>
      </c>
      <c r="C287" s="133"/>
    </row>
    <row r="288" spans="1:3">
      <c r="A288" s="131" t="s">
        <v>11696</v>
      </c>
      <c r="B288" s="132">
        <v>111334.92818573823</v>
      </c>
      <c r="C288" s="133"/>
    </row>
    <row r="289" spans="1:3">
      <c r="A289" s="131" t="s">
        <v>11697</v>
      </c>
      <c r="B289" s="132">
        <v>7.0809881594684501E-2</v>
      </c>
      <c r="C289" s="133"/>
    </row>
    <row r="290" spans="1:3">
      <c r="A290" s="131" t="s">
        <v>11698</v>
      </c>
      <c r="B290" s="132">
        <v>1.9361551005540728E-3</v>
      </c>
      <c r="C290" s="133"/>
    </row>
    <row r="291" spans="1:3">
      <c r="A291" s="131" t="s">
        <v>11699</v>
      </c>
      <c r="B291" s="132">
        <v>6.1610253464612001E-4</v>
      </c>
      <c r="C291" s="133"/>
    </row>
    <row r="292" spans="1:3">
      <c r="A292" s="131" t="s">
        <v>11700</v>
      </c>
      <c r="B292" s="132">
        <v>5.5594646012815062E-4</v>
      </c>
      <c r="C292" s="133"/>
    </row>
    <row r="293" spans="1:3">
      <c r="A293" s="131" t="s">
        <v>11701</v>
      </c>
      <c r="B293" s="132">
        <v>2.4068094244231442E-2</v>
      </c>
      <c r="C293" s="133"/>
    </row>
    <row r="294" spans="1:3">
      <c r="A294" s="131" t="s">
        <v>11702</v>
      </c>
      <c r="B294" s="132">
        <v>7.2338688676674492E-3</v>
      </c>
      <c r="C294" s="133"/>
    </row>
    <row r="295" spans="1:3">
      <c r="A295" s="131" t="s">
        <v>11703</v>
      </c>
      <c r="B295" s="132">
        <v>2.0821126717406044</v>
      </c>
      <c r="C295" s="133"/>
    </row>
    <row r="296" spans="1:3">
      <c r="A296" s="131" t="s">
        <v>11704</v>
      </c>
      <c r="B296" s="132">
        <v>1.8695137028594381E-3</v>
      </c>
      <c r="C296" s="133"/>
    </row>
    <row r="297" spans="1:3">
      <c r="A297" s="131" t="s">
        <v>11705</v>
      </c>
      <c r="B297" s="132">
        <v>1.5008499999999922E-5</v>
      </c>
      <c r="C297" s="133"/>
    </row>
    <row r="298" spans="1:3">
      <c r="A298" s="131" t="s">
        <v>11706</v>
      </c>
      <c r="B298" s="132">
        <v>3.2874209697241674E-3</v>
      </c>
      <c r="C298" s="133"/>
    </row>
    <row r="299" spans="1:3">
      <c r="A299" s="131" t="s">
        <v>11707</v>
      </c>
      <c r="B299" s="132">
        <v>8.7695114470325887E-3</v>
      </c>
      <c r="C299" s="133"/>
    </row>
    <row r="300" spans="1:3">
      <c r="A300" s="131" t="s">
        <v>11708</v>
      </c>
      <c r="B300" s="132">
        <v>1.11958739616559E-4</v>
      </c>
      <c r="C300" s="133"/>
    </row>
    <row r="301" spans="1:3">
      <c r="A301" s="131" t="s">
        <v>11709</v>
      </c>
      <c r="B301" s="132">
        <v>2.4356514874258666E-3</v>
      </c>
      <c r="C301" s="133"/>
    </row>
    <row r="302" spans="1:3">
      <c r="A302" s="131" t="s">
        <v>11710</v>
      </c>
      <c r="B302" s="132">
        <v>4.7785803166547502E-6</v>
      </c>
      <c r="C302" s="133"/>
    </row>
    <row r="303" spans="1:3">
      <c r="A303" s="131" t="s">
        <v>11711</v>
      </c>
      <c r="B303" s="132">
        <v>8.4459984306743574E-5</v>
      </c>
      <c r="C303" s="133"/>
    </row>
    <row r="304" spans="1:3">
      <c r="A304" s="131" t="s">
        <v>11712</v>
      </c>
      <c r="B304" s="132">
        <v>1.0005666666666666E-8</v>
      </c>
      <c r="C304" s="133"/>
    </row>
    <row r="305" spans="1:3">
      <c r="A305" s="131" t="s">
        <v>11713</v>
      </c>
      <c r="B305" s="132">
        <v>8.4613036467414413E-5</v>
      </c>
      <c r="C305" s="133"/>
    </row>
    <row r="306" spans="1:3">
      <c r="A306" s="131" t="s">
        <v>11714</v>
      </c>
      <c r="B306" s="132">
        <v>1.4235995935062777E-2</v>
      </c>
      <c r="C306" s="133"/>
    </row>
    <row r="307" spans="1:3">
      <c r="A307" s="131" t="s">
        <v>11715</v>
      </c>
      <c r="B307" s="132">
        <v>3.0087541143150704</v>
      </c>
      <c r="C307" s="133"/>
    </row>
    <row r="308" spans="1:3">
      <c r="A308" s="131" t="s">
        <v>11716</v>
      </c>
      <c r="B308" s="132">
        <v>4.6967445737761032E-5</v>
      </c>
      <c r="C308" s="133"/>
    </row>
    <row r="309" spans="1:3">
      <c r="A309" s="131" t="s">
        <v>11717</v>
      </c>
      <c r="B309" s="132">
        <v>6.5709356223720003E-4</v>
      </c>
      <c r="C309" s="133"/>
    </row>
    <row r="310" spans="1:3">
      <c r="A310" s="131" t="s">
        <v>11718</v>
      </c>
      <c r="B310" s="132">
        <v>3.5183289824053643E-3</v>
      </c>
      <c r="C310" s="133"/>
    </row>
    <row r="311" spans="1:3">
      <c r="A311" s="131" t="s">
        <v>11719</v>
      </c>
      <c r="B311" s="132">
        <v>2.904455807961781</v>
      </c>
      <c r="C311" s="133"/>
    </row>
    <row r="312" spans="1:3">
      <c r="A312" s="131" t="s">
        <v>11720</v>
      </c>
      <c r="B312" s="132">
        <v>1.9708933738303E-2</v>
      </c>
      <c r="C312" s="133"/>
    </row>
    <row r="313" spans="1:3">
      <c r="A313" s="131" t="s">
        <v>11721</v>
      </c>
      <c r="B313" s="132">
        <v>5.3708991988545352E-5</v>
      </c>
      <c r="C313" s="133"/>
    </row>
    <row r="314" spans="1:3">
      <c r="A314" s="131" t="s">
        <v>11722</v>
      </c>
      <c r="B314" s="132">
        <v>6.3690321114298382E-5</v>
      </c>
      <c r="C314" s="133"/>
    </row>
    <row r="315" spans="1:3">
      <c r="A315" s="131" t="s">
        <v>11723</v>
      </c>
      <c r="B315" s="132">
        <v>0.6179989210232445</v>
      </c>
      <c r="C315" s="133"/>
    </row>
    <row r="316" spans="1:3">
      <c r="A316" s="131" t="s">
        <v>11724</v>
      </c>
      <c r="B316" s="132">
        <v>1.5889457476613234E-2</v>
      </c>
      <c r="C316" s="133"/>
    </row>
    <row r="317" spans="1:3">
      <c r="A317" s="131" t="s">
        <v>11725</v>
      </c>
      <c r="B317" s="132">
        <v>2.9306812045167642E-2</v>
      </c>
      <c r="C317" s="133"/>
    </row>
    <row r="318" spans="1:3">
      <c r="A318" s="131" t="s">
        <v>11726</v>
      </c>
      <c r="B318" s="132">
        <v>2.4566883672134002E-3</v>
      </c>
      <c r="C318" s="133"/>
    </row>
    <row r="319" spans="1:3">
      <c r="A319" s="131" t="s">
        <v>11727</v>
      </c>
      <c r="B319" s="132">
        <v>5.3406599909067154E-4</v>
      </c>
      <c r="C319" s="133"/>
    </row>
    <row r="320" spans="1:3">
      <c r="A320" s="131" t="s">
        <v>11728</v>
      </c>
      <c r="B320" s="132">
        <v>2.4676416473548074E-3</v>
      </c>
      <c r="C320" s="133"/>
    </row>
    <row r="321" spans="1:3">
      <c r="A321" s="131" t="s">
        <v>11729</v>
      </c>
      <c r="B321" s="132">
        <v>3.9192810951318149E-3</v>
      </c>
      <c r="C321" s="133"/>
    </row>
    <row r="322" spans="1:3">
      <c r="A322" s="131" t="s">
        <v>11730</v>
      </c>
      <c r="B322" s="132">
        <v>5.7795691287882953E-5</v>
      </c>
      <c r="C322" s="133"/>
    </row>
    <row r="323" spans="1:3">
      <c r="A323" s="131" t="s">
        <v>11731</v>
      </c>
      <c r="B323" s="132">
        <v>2.0806206144610766E-4</v>
      </c>
      <c r="C323" s="133"/>
    </row>
    <row r="324" spans="1:3">
      <c r="A324" s="131" t="s">
        <v>11732</v>
      </c>
      <c r="B324" s="132">
        <v>5.5813127814814002E-3</v>
      </c>
      <c r="C324" s="133"/>
    </row>
    <row r="325" spans="1:3">
      <c r="A325" s="131" t="s">
        <v>11733</v>
      </c>
      <c r="B325" s="132">
        <v>1.1141627110241348E-2</v>
      </c>
      <c r="C325" s="133"/>
    </row>
    <row r="326" spans="1:3">
      <c r="A326" s="131" t="s">
        <v>11734</v>
      </c>
      <c r="B326" s="132">
        <v>1.103491937713175E-2</v>
      </c>
      <c r="C326" s="133"/>
    </row>
    <row r="327" spans="1:3">
      <c r="A327" s="131" t="s">
        <v>11735</v>
      </c>
      <c r="B327" s="132">
        <v>2.1849475850048934E-2</v>
      </c>
      <c r="C327" s="133"/>
    </row>
    <row r="328" spans="1:3">
      <c r="A328" s="131" t="s">
        <v>11736</v>
      </c>
      <c r="B328" s="132">
        <v>1.5834652565393999E-4</v>
      </c>
      <c r="C328" s="133"/>
    </row>
    <row r="329" spans="1:3">
      <c r="A329" s="131" t="s">
        <v>11737</v>
      </c>
      <c r="B329" s="132">
        <v>5.0874145278753998E-3</v>
      </c>
      <c r="C329" s="133"/>
    </row>
    <row r="330" spans="1:3">
      <c r="A330" s="131" t="s">
        <v>11738</v>
      </c>
      <c r="B330" s="132">
        <v>2.8521844610546E-2</v>
      </c>
      <c r="C330" s="133"/>
    </row>
    <row r="331" spans="1:3">
      <c r="A331" s="131" t="s">
        <v>11739</v>
      </c>
      <c r="B331" s="132">
        <v>5.5449228118151003E-3</v>
      </c>
      <c r="C331" s="133"/>
    </row>
    <row r="332" spans="1:3">
      <c r="A332" s="131" t="s">
        <v>11740</v>
      </c>
      <c r="B332" s="132">
        <v>6.7771278811072999E-3</v>
      </c>
      <c r="C332" s="133"/>
    </row>
    <row r="333" spans="1:3">
      <c r="A333" s="131" t="s">
        <v>11741</v>
      </c>
      <c r="B333" s="132">
        <v>2.2218693309863664E-3</v>
      </c>
      <c r="C333" s="133"/>
    </row>
    <row r="334" spans="1:3">
      <c r="A334" s="131" t="s">
        <v>11742</v>
      </c>
      <c r="B334" s="132">
        <v>6.8978979252278805E-3</v>
      </c>
      <c r="C334" s="133"/>
    </row>
    <row r="335" spans="1:3">
      <c r="A335" s="131" t="s">
        <v>11743</v>
      </c>
      <c r="B335" s="132">
        <v>7.4132636999999996E-3</v>
      </c>
      <c r="C335" s="133"/>
    </row>
    <row r="336" spans="1:3">
      <c r="A336" s="131" t="s">
        <v>11744</v>
      </c>
      <c r="B336" s="132">
        <v>1.3774177657110999E-3</v>
      </c>
      <c r="C336" s="133"/>
    </row>
    <row r="337" spans="1:3">
      <c r="A337" s="131" t="s">
        <v>11745</v>
      </c>
      <c r="B337" s="132">
        <v>2.1344355615555435E-3</v>
      </c>
      <c r="C337" s="133"/>
    </row>
    <row r="338" spans="1:3">
      <c r="A338" s="131" t="s">
        <v>11746</v>
      </c>
      <c r="B338" s="132">
        <v>0.37104159788877422</v>
      </c>
      <c r="C338" s="133"/>
    </row>
    <row r="339" spans="1:3">
      <c r="A339" s="131" t="s">
        <v>11747</v>
      </c>
      <c r="B339" s="132">
        <v>1.1289349429571001</v>
      </c>
      <c r="C339" s="133"/>
    </row>
    <row r="340" spans="1:3">
      <c r="A340" s="131" t="s">
        <v>11748</v>
      </c>
      <c r="B340" s="132">
        <v>4.3188254485459148E-5</v>
      </c>
      <c r="C340" s="133"/>
    </row>
    <row r="341" spans="1:3">
      <c r="A341" s="131" t="s">
        <v>11749</v>
      </c>
      <c r="B341" s="132">
        <v>1.2853384818133E-2</v>
      </c>
      <c r="C341" s="133"/>
    </row>
    <row r="342" spans="1:3">
      <c r="A342" s="131" t="s">
        <v>11750</v>
      </c>
      <c r="B342" s="132">
        <v>1.3513407263808E-3</v>
      </c>
      <c r="C342" s="133"/>
    </row>
    <row r="343" spans="1:3">
      <c r="A343" s="131" t="s">
        <v>11751</v>
      </c>
      <c r="B343" s="132">
        <v>3.7291757554538804E-3</v>
      </c>
      <c r="C343" s="133"/>
    </row>
    <row r="344" spans="1:3">
      <c r="A344" s="131" t="s">
        <v>11752</v>
      </c>
      <c r="B344" s="132">
        <v>1.2613640000000001E-2</v>
      </c>
      <c r="C344" s="133"/>
    </row>
    <row r="345" spans="1:3">
      <c r="A345" s="131" t="s">
        <v>11753</v>
      </c>
      <c r="B345" s="132">
        <v>5.8690067368099056E-4</v>
      </c>
      <c r="C345" s="133"/>
    </row>
    <row r="346" spans="1:3">
      <c r="A346" s="131" t="s">
        <v>11754</v>
      </c>
      <c r="B346" s="132">
        <v>0.26248486542746607</v>
      </c>
      <c r="C346" s="133"/>
    </row>
    <row r="347" spans="1:3">
      <c r="A347" s="131" t="s">
        <v>11755</v>
      </c>
      <c r="B347" s="132">
        <v>8.3899816010062939E-2</v>
      </c>
      <c r="C347" s="133"/>
    </row>
    <row r="348" spans="1:3">
      <c r="A348" s="131" t="s">
        <v>11756</v>
      </c>
      <c r="B348" s="132">
        <v>1.0018565694435971E-2</v>
      </c>
      <c r="C348" s="133"/>
    </row>
    <row r="349" spans="1:3">
      <c r="A349" s="131" t="s">
        <v>11757</v>
      </c>
      <c r="B349" s="132">
        <v>1.1172992834399999E-4</v>
      </c>
      <c r="C349" s="133"/>
    </row>
    <row r="350" spans="1:3">
      <c r="A350" s="131" t="s">
        <v>11758</v>
      </c>
      <c r="B350" s="132">
        <v>3.8638623926869856E-2</v>
      </c>
      <c r="C350" s="133"/>
    </row>
    <row r="351" spans="1:3">
      <c r="A351" s="131" t="s">
        <v>11759</v>
      </c>
      <c r="B351" s="132">
        <v>4.9743832206157454E-2</v>
      </c>
      <c r="C351" s="133"/>
    </row>
    <row r="352" spans="1:3">
      <c r="A352" s="131" t="s">
        <v>11760</v>
      </c>
      <c r="B352" s="132">
        <v>2.4348384871740042E-2</v>
      </c>
      <c r="C352" s="133"/>
    </row>
    <row r="353" spans="1:3">
      <c r="A353" s="131" t="s">
        <v>11761</v>
      </c>
      <c r="B353" s="132">
        <v>1.1082015660127001E-2</v>
      </c>
      <c r="C353" s="133"/>
    </row>
    <row r="354" spans="1:3">
      <c r="A354" s="131" t="s">
        <v>11762</v>
      </c>
      <c r="B354" s="132">
        <v>2.3925802318800003E-4</v>
      </c>
      <c r="C354" s="133"/>
    </row>
    <row r="355" spans="1:3">
      <c r="A355" s="131" t="s">
        <v>11763</v>
      </c>
      <c r="B355" s="132">
        <v>1.5076991996578974E-3</v>
      </c>
      <c r="C355" s="133"/>
    </row>
    <row r="356" spans="1:3">
      <c r="A356" s="131" t="s">
        <v>11764</v>
      </c>
      <c r="B356" s="132">
        <v>1.850731235516127E-3</v>
      </c>
      <c r="C356" s="133"/>
    </row>
    <row r="357" spans="1:3">
      <c r="A357" s="131" t="s">
        <v>11765</v>
      </c>
      <c r="B357" s="132">
        <v>2.9334275622482257E-2</v>
      </c>
      <c r="C357" s="133"/>
    </row>
    <row r="358" spans="1:3">
      <c r="A358" s="131" t="s">
        <v>11766</v>
      </c>
      <c r="B358" s="132">
        <v>7.6358977691508151E-2</v>
      </c>
      <c r="C358" s="133"/>
    </row>
    <row r="359" spans="1:3">
      <c r="A359" s="131" t="s">
        <v>11767</v>
      </c>
      <c r="B359" s="132">
        <v>1.9217702270434966E-3</v>
      </c>
      <c r="C359" s="133"/>
    </row>
    <row r="360" spans="1:3">
      <c r="A360" s="131" t="s">
        <v>11768</v>
      </c>
      <c r="B360" s="132">
        <v>6.7468839165289003E-4</v>
      </c>
      <c r="C360" s="133"/>
    </row>
    <row r="361" spans="1:3">
      <c r="A361" s="131" t="s">
        <v>11769</v>
      </c>
      <c r="B361" s="132">
        <v>1.2340694360254323E-3</v>
      </c>
      <c r="C361" s="133"/>
    </row>
    <row r="362" spans="1:3">
      <c r="A362" s="131" t="s">
        <v>11770</v>
      </c>
      <c r="B362" s="132">
        <v>1.2116242980007869E-2</v>
      </c>
      <c r="C362" s="133"/>
    </row>
    <row r="363" spans="1:3">
      <c r="A363" s="131" t="s">
        <v>11771</v>
      </c>
      <c r="B363" s="132">
        <v>5.3145461829184851E-2</v>
      </c>
      <c r="C363" s="133"/>
    </row>
    <row r="364" spans="1:3">
      <c r="A364" s="131" t="s">
        <v>11772</v>
      </c>
      <c r="B364" s="132">
        <v>1.1733396745074779E-5</v>
      </c>
      <c r="C364" s="133"/>
    </row>
    <row r="365" spans="1:3">
      <c r="A365" s="131" t="s">
        <v>11773</v>
      </c>
      <c r="B365" s="132">
        <v>5.5594646012815064E-3</v>
      </c>
      <c r="C365" s="133"/>
    </row>
    <row r="366" spans="1:3">
      <c r="A366" s="131" t="s">
        <v>11774</v>
      </c>
      <c r="B366" s="132">
        <v>2.4494520030633226E-3</v>
      </c>
      <c r="C366" s="133"/>
    </row>
    <row r="367" spans="1:3">
      <c r="A367" s="131" t="s">
        <v>11775</v>
      </c>
      <c r="B367" s="132">
        <v>5.4692816418577435E-3</v>
      </c>
      <c r="C367" s="133"/>
    </row>
    <row r="368" spans="1:3">
      <c r="A368" s="131" t="s">
        <v>11776</v>
      </c>
      <c r="B368" s="132">
        <v>5.5355617036190001E-4</v>
      </c>
      <c r="C368" s="133"/>
    </row>
    <row r="369" spans="1:3">
      <c r="A369" s="131" t="s">
        <v>11777</v>
      </c>
      <c r="B369" s="132">
        <v>1.2973388708405407E-4</v>
      </c>
      <c r="C369" s="133"/>
    </row>
    <row r="370" spans="1:3">
      <c r="A370" s="131" t="s">
        <v>11778</v>
      </c>
      <c r="B370" s="132">
        <v>0.33601088000000001</v>
      </c>
      <c r="C370" s="133"/>
    </row>
    <row r="371" spans="1:3">
      <c r="A371" s="131" t="s">
        <v>11779</v>
      </c>
      <c r="B371" s="132">
        <v>4.4649487380510004E-3</v>
      </c>
      <c r="C371" s="133"/>
    </row>
    <row r="372" spans="1:3">
      <c r="A372" s="131" t="s">
        <v>11780</v>
      </c>
      <c r="B372" s="132">
        <v>0.24876833541654528</v>
      </c>
      <c r="C372" s="133"/>
    </row>
    <row r="373" spans="1:3">
      <c r="A373" s="131" t="s">
        <v>11781</v>
      </c>
      <c r="B373" s="132">
        <v>2.9481808142699998E-4</v>
      </c>
      <c r="C373" s="133"/>
    </row>
    <row r="374" spans="1:3">
      <c r="A374" s="131" t="s">
        <v>11782</v>
      </c>
      <c r="B374" s="132">
        <v>1.5002000145614147E-4</v>
      </c>
      <c r="C374" s="133"/>
    </row>
    <row r="375" spans="1:3">
      <c r="A375" s="131" t="s">
        <v>11783</v>
      </c>
      <c r="B375" s="132">
        <v>7.2769107797250585E-2</v>
      </c>
      <c r="C375" s="133"/>
    </row>
    <row r="376" spans="1:3">
      <c r="A376" s="131" t="s">
        <v>11784</v>
      </c>
      <c r="B376" s="132">
        <v>2.8402252080149109E-3</v>
      </c>
      <c r="C376" s="133"/>
    </row>
    <row r="377" spans="1:3">
      <c r="A377" s="131" t="s">
        <v>11785</v>
      </c>
      <c r="B377" s="132">
        <v>1.1842229145573417E-3</v>
      </c>
      <c r="C377" s="133"/>
    </row>
    <row r="378" spans="1:3">
      <c r="A378" s="131" t="s">
        <v>11786</v>
      </c>
      <c r="B378" s="132">
        <v>1.9793315706742999E-3</v>
      </c>
      <c r="C378" s="133"/>
    </row>
    <row r="379" spans="1:3">
      <c r="A379" s="131" t="s">
        <v>8037</v>
      </c>
      <c r="B379" s="132">
        <v>1.8261758698363909E-4</v>
      </c>
      <c r="C379" s="133"/>
    </row>
    <row r="380" spans="1:3">
      <c r="A380" s="131" t="s">
        <v>8038</v>
      </c>
      <c r="B380" s="132">
        <v>8.5724002459650669E-3</v>
      </c>
      <c r="C380" s="133"/>
    </row>
    <row r="381" spans="1:3">
      <c r="A381" s="131" t="s">
        <v>8039</v>
      </c>
      <c r="B381" s="132">
        <v>2.0065593475014336E-4</v>
      </c>
      <c r="C381" s="133"/>
    </row>
    <row r="382" spans="1:3">
      <c r="A382" s="131" t="s">
        <v>8040</v>
      </c>
      <c r="B382" s="132">
        <v>3.6875218193778373E-3</v>
      </c>
      <c r="C382" s="133"/>
    </row>
    <row r="383" spans="1:3">
      <c r="A383" s="131" t="s">
        <v>8041</v>
      </c>
      <c r="B383" s="132">
        <v>9.7284537189034816E-3</v>
      </c>
      <c r="C383" s="133"/>
    </row>
    <row r="384" spans="1:3">
      <c r="A384" s="131" t="s">
        <v>8042</v>
      </c>
      <c r="B384" s="132">
        <v>1.0006368498523335E-3</v>
      </c>
      <c r="C384" s="133"/>
    </row>
    <row r="385" spans="1:3">
      <c r="A385" s="131" t="s">
        <v>8043</v>
      </c>
      <c r="B385" s="132">
        <v>0.39320658419567278</v>
      </c>
      <c r="C385" s="133"/>
    </row>
    <row r="386" spans="1:3">
      <c r="A386" s="131" t="s">
        <v>8044</v>
      </c>
      <c r="B386" s="132">
        <v>1.7220948033060726E-4</v>
      </c>
      <c r="C386" s="133"/>
    </row>
    <row r="387" spans="1:3">
      <c r="A387" s="131" t="s">
        <v>8045</v>
      </c>
      <c r="B387" s="132">
        <v>8.7604830486250368E-2</v>
      </c>
      <c r="C387" s="133"/>
    </row>
    <row r="388" spans="1:3">
      <c r="A388" s="131" t="s">
        <v>8046</v>
      </c>
      <c r="B388" s="132">
        <v>1.9033949867537009E-2</v>
      </c>
      <c r="C388" s="133"/>
    </row>
    <row r="389" spans="1:3">
      <c r="A389" s="131" t="s">
        <v>8047</v>
      </c>
      <c r="B389" s="132">
        <v>2.005980205854831E-4</v>
      </c>
      <c r="C389" s="133"/>
    </row>
    <row r="390" spans="1:3">
      <c r="A390" s="131" t="s">
        <v>8048</v>
      </c>
      <c r="B390" s="132">
        <v>1.15507981336714E-2</v>
      </c>
      <c r="C390" s="133"/>
    </row>
    <row r="391" spans="1:3">
      <c r="A391" s="131" t="s">
        <v>8049</v>
      </c>
      <c r="B391" s="132">
        <v>1.3192904695734E-3</v>
      </c>
      <c r="C391" s="133"/>
    </row>
    <row r="392" spans="1:3">
      <c r="A392" s="131" t="s">
        <v>8050</v>
      </c>
      <c r="B392" s="132">
        <v>3.9399854166212047E-6</v>
      </c>
      <c r="C392" s="133"/>
    </row>
    <row r="393" spans="1:3">
      <c r="A393" s="131" t="s">
        <v>8051</v>
      </c>
      <c r="B393" s="132">
        <v>2.9650486305714285E-3</v>
      </c>
      <c r="C393" s="133"/>
    </row>
    <row r="394" spans="1:3">
      <c r="A394" s="131" t="s">
        <v>8052</v>
      </c>
      <c r="B394" s="132">
        <v>9.0900678902018067E-3</v>
      </c>
      <c r="C394" s="133"/>
    </row>
    <row r="395" spans="1:3">
      <c r="A395" s="131" t="s">
        <v>8053</v>
      </c>
      <c r="B395" s="132">
        <v>1.0360175634061999E-3</v>
      </c>
      <c r="C395" s="133"/>
    </row>
    <row r="396" spans="1:3">
      <c r="A396" s="131" t="s">
        <v>8054</v>
      </c>
      <c r="B396" s="132">
        <v>1.2338208236773784E-2</v>
      </c>
      <c r="C396" s="133"/>
    </row>
    <row r="397" spans="1:3">
      <c r="A397" s="131" t="s">
        <v>8055</v>
      </c>
      <c r="B397" s="132">
        <v>3.0575309241973831E-6</v>
      </c>
      <c r="C397" s="133"/>
    </row>
    <row r="398" spans="1:3">
      <c r="A398" s="131" t="s">
        <v>8056</v>
      </c>
      <c r="B398" s="132">
        <v>3.9354181006826302E-3</v>
      </c>
      <c r="C398" s="133"/>
    </row>
    <row r="399" spans="1:3">
      <c r="A399" s="131" t="s">
        <v>8057</v>
      </c>
      <c r="B399" s="132">
        <v>4.4745437046431</v>
      </c>
      <c r="C399" s="133"/>
    </row>
    <row r="400" spans="1:3">
      <c r="A400" s="131" t="s">
        <v>8058</v>
      </c>
      <c r="B400" s="132">
        <v>2.5612714128661399E-2</v>
      </c>
      <c r="C400" s="133"/>
    </row>
    <row r="401" spans="1:3">
      <c r="A401" s="131" t="s">
        <v>8059</v>
      </c>
      <c r="B401" s="132">
        <v>1.1197215874724998E-5</v>
      </c>
      <c r="C401" s="133"/>
    </row>
    <row r="402" spans="1:3">
      <c r="A402" s="131" t="s">
        <v>8060</v>
      </c>
      <c r="B402" s="132">
        <v>9.5624838760241667E-4</v>
      </c>
      <c r="C402" s="133"/>
    </row>
    <row r="403" spans="1:3">
      <c r="A403" s="131" t="s">
        <v>8061</v>
      </c>
      <c r="B403" s="132">
        <v>26936.845553744999</v>
      </c>
      <c r="C403" s="133"/>
    </row>
    <row r="404" spans="1:3">
      <c r="A404" s="131" t="s">
        <v>8062</v>
      </c>
      <c r="B404" s="132">
        <v>1.8423698424716519E-4</v>
      </c>
      <c r="C404" s="133"/>
    </row>
    <row r="405" spans="1:3">
      <c r="A405" s="131" t="s">
        <v>8063</v>
      </c>
      <c r="B405" s="132">
        <v>1.65167E-3</v>
      </c>
      <c r="C405" s="133"/>
    </row>
    <row r="406" spans="1:3">
      <c r="A406" s="131" t="s">
        <v>8064</v>
      </c>
      <c r="B406" s="132">
        <v>1.2955118648612873E-2</v>
      </c>
      <c r="C406" s="133"/>
    </row>
    <row r="407" spans="1:3">
      <c r="A407" s="131" t="s">
        <v>8065</v>
      </c>
      <c r="B407" s="132">
        <v>9.1240000000000001E-5</v>
      </c>
      <c r="C407" s="133"/>
    </row>
    <row r="408" spans="1:3">
      <c r="A408" s="131" t="s">
        <v>8066</v>
      </c>
      <c r="B408" s="132">
        <v>4.7407885151133514E-4</v>
      </c>
      <c r="C408" s="133"/>
    </row>
    <row r="409" spans="1:3">
      <c r="A409" s="131" t="s">
        <v>8067</v>
      </c>
      <c r="B409" s="132">
        <v>3.4758967269459814E-4</v>
      </c>
      <c r="C409" s="133"/>
    </row>
    <row r="410" spans="1:3">
      <c r="A410" s="131" t="s">
        <v>8068</v>
      </c>
      <c r="B410" s="132">
        <v>0.1520179150150224</v>
      </c>
      <c r="C410" s="133"/>
    </row>
    <row r="411" spans="1:3">
      <c r="A411" s="131" t="s">
        <v>8069</v>
      </c>
      <c r="B411" s="132">
        <v>2.3496920331877998E-2</v>
      </c>
      <c r="C411" s="133"/>
    </row>
    <row r="412" spans="1:3">
      <c r="A412" s="131" t="s">
        <v>8070</v>
      </c>
      <c r="B412" s="132">
        <v>2.1816014782902898E-4</v>
      </c>
      <c r="C412" s="133"/>
    </row>
    <row r="413" spans="1:3">
      <c r="A413" s="131" t="s">
        <v>8071</v>
      </c>
      <c r="B413" s="132">
        <v>6.2079593457708117E-2</v>
      </c>
      <c r="C413" s="133"/>
    </row>
    <row r="414" spans="1:3">
      <c r="A414" s="131" t="s">
        <v>8072</v>
      </c>
      <c r="B414" s="132">
        <v>8.2209481497340006E-4</v>
      </c>
      <c r="C414" s="133"/>
    </row>
    <row r="415" spans="1:3">
      <c r="A415" s="131" t="s">
        <v>8073</v>
      </c>
      <c r="B415" s="132">
        <v>2.8459138923464654E-2</v>
      </c>
      <c r="C415" s="133"/>
    </row>
    <row r="416" spans="1:3">
      <c r="A416" s="131" t="s">
        <v>8074</v>
      </c>
      <c r="B416" s="132">
        <v>7.6194045006154143E-3</v>
      </c>
      <c r="C416" s="133"/>
    </row>
    <row r="417" spans="1:3">
      <c r="A417" s="131" t="s">
        <v>8075</v>
      </c>
      <c r="B417" s="132">
        <v>3.5029000719077885E-4</v>
      </c>
      <c r="C417" s="133"/>
    </row>
    <row r="418" spans="1:3">
      <c r="A418" s="131" t="s">
        <v>8076</v>
      </c>
      <c r="B418" s="132">
        <v>1.2006498097461E-2</v>
      </c>
      <c r="C418" s="133"/>
    </row>
    <row r="419" spans="1:3">
      <c r="A419" s="131" t="s">
        <v>8077</v>
      </c>
      <c r="B419" s="132">
        <v>2.6627108846236914E-2</v>
      </c>
      <c r="C419" s="133"/>
    </row>
    <row r="420" spans="1:3">
      <c r="A420" s="131" t="s">
        <v>8078</v>
      </c>
      <c r="B420" s="132">
        <v>5.9315893678848E-7</v>
      </c>
      <c r="C420" s="133"/>
    </row>
    <row r="421" spans="1:3">
      <c r="A421" s="131" t="s">
        <v>8079</v>
      </c>
      <c r="B421" s="132">
        <v>2.0080125485431564E-2</v>
      </c>
      <c r="C421" s="133"/>
    </row>
    <row r="422" spans="1:3">
      <c r="A422" s="131" t="s">
        <v>8080</v>
      </c>
      <c r="B422" s="132">
        <v>1.2066345789464999E-3</v>
      </c>
      <c r="C422" s="133"/>
    </row>
    <row r="423" spans="1:3">
      <c r="A423" s="131" t="s">
        <v>8081</v>
      </c>
      <c r="B423" s="132">
        <v>4.3647030963651998E-4</v>
      </c>
      <c r="C423" s="133"/>
    </row>
    <row r="424" spans="1:3">
      <c r="A424" s="131" t="s">
        <v>8082</v>
      </c>
      <c r="B424" s="132">
        <v>1.075622E-2</v>
      </c>
      <c r="C424" s="133"/>
    </row>
    <row r="425" spans="1:3">
      <c r="A425" s="131" t="s">
        <v>8083</v>
      </c>
      <c r="B425" s="132">
        <v>0.31887575463450829</v>
      </c>
      <c r="C425" s="133"/>
    </row>
    <row r="426" spans="1:3">
      <c r="A426" s="131" t="s">
        <v>8084</v>
      </c>
      <c r="B426" s="132">
        <v>2.0680641742663999E-2</v>
      </c>
      <c r="C426" s="133"/>
    </row>
    <row r="427" spans="1:3">
      <c r="A427" s="131" t="s">
        <v>8085</v>
      </c>
      <c r="B427" s="132">
        <v>9.2415380196918008E-3</v>
      </c>
      <c r="C427" s="133"/>
    </row>
    <row r="428" spans="1:3">
      <c r="A428" s="131" t="s">
        <v>8086</v>
      </c>
      <c r="B428" s="132">
        <v>3.4346911490851E-6</v>
      </c>
      <c r="C428" s="133"/>
    </row>
    <row r="429" spans="1:3">
      <c r="A429" s="131" t="s">
        <v>8087</v>
      </c>
      <c r="B429" s="132">
        <v>3.6989229177621E-2</v>
      </c>
      <c r="C429" s="133"/>
    </row>
    <row r="430" spans="1:3">
      <c r="A430" s="131" t="s">
        <v>8088</v>
      </c>
      <c r="B430" s="132">
        <v>2.1278600000000002E-2</v>
      </c>
      <c r="C430" s="133"/>
    </row>
    <row r="431" spans="1:3">
      <c r="A431" s="131" t="s">
        <v>8089</v>
      </c>
      <c r="B431" s="132">
        <v>7.0483999999999998E-4</v>
      </c>
      <c r="C431" s="133"/>
    </row>
    <row r="432" spans="1:3">
      <c r="A432" s="131" t="s">
        <v>8090</v>
      </c>
      <c r="B432" s="132">
        <v>2.1397000000000001E-4</v>
      </c>
      <c r="C432" s="133"/>
    </row>
    <row r="433" spans="1:3">
      <c r="A433" s="131" t="s">
        <v>8091</v>
      </c>
      <c r="B433" s="132">
        <v>3.412935373815E-3</v>
      </c>
      <c r="C433" s="133"/>
    </row>
    <row r="434" spans="1:3">
      <c r="A434" s="131" t="s">
        <v>8092</v>
      </c>
      <c r="B434" s="132">
        <v>4.2679927478566004E-3</v>
      </c>
      <c r="C434" s="133"/>
    </row>
    <row r="435" spans="1:3">
      <c r="A435" s="131" t="s">
        <v>8093</v>
      </c>
      <c r="B435" s="132">
        <v>1.2580223460000001E-3</v>
      </c>
      <c r="C435" s="133"/>
    </row>
    <row r="436" spans="1:3">
      <c r="A436" s="131" t="s">
        <v>8094</v>
      </c>
      <c r="B436" s="132">
        <v>9.632439001017779E-6</v>
      </c>
      <c r="C436" s="133"/>
    </row>
    <row r="437" spans="1:3">
      <c r="A437" s="131" t="s">
        <v>8095</v>
      </c>
      <c r="B437" s="132">
        <v>2.0723461555074998E-2</v>
      </c>
      <c r="C437" s="133"/>
    </row>
    <row r="438" spans="1:3">
      <c r="A438" s="131" t="s">
        <v>8096</v>
      </c>
      <c r="B438" s="132">
        <v>9.9759999999999994E-5</v>
      </c>
      <c r="C438" s="133"/>
    </row>
    <row r="439" spans="1:3">
      <c r="A439" s="131" t="s">
        <v>8097</v>
      </c>
      <c r="B439" s="132">
        <v>3.713004472824093E-3</v>
      </c>
      <c r="C439" s="133"/>
    </row>
    <row r="440" spans="1:3">
      <c r="A440" s="131" t="s">
        <v>8098</v>
      </c>
      <c r="B440" s="132">
        <v>9.9130497421381003E-4</v>
      </c>
      <c r="C440" s="133"/>
    </row>
    <row r="441" spans="1:3">
      <c r="A441" s="131" t="s">
        <v>8099</v>
      </c>
      <c r="B441" s="132">
        <v>2.5819993644254002E-3</v>
      </c>
      <c r="C441" s="133"/>
    </row>
    <row r="442" spans="1:3">
      <c r="A442" s="131" t="s">
        <v>8100</v>
      </c>
      <c r="B442" s="132">
        <v>2.0527634578469583E-4</v>
      </c>
      <c r="C442" s="133"/>
    </row>
    <row r="443" spans="1:3">
      <c r="A443" s="131" t="s">
        <v>8101</v>
      </c>
      <c r="B443" s="132">
        <v>8.5591053062540699E-4</v>
      </c>
      <c r="C443" s="133"/>
    </row>
    <row r="444" spans="1:3">
      <c r="A444" s="131" t="s">
        <v>8102</v>
      </c>
      <c r="B444" s="132">
        <v>5.779825684020084E-4</v>
      </c>
      <c r="C444" s="133"/>
    </row>
    <row r="445" spans="1:3">
      <c r="A445" s="131" t="s">
        <v>8103</v>
      </c>
      <c r="B445" s="132">
        <v>2.178657054901123E-2</v>
      </c>
      <c r="C445" s="133"/>
    </row>
    <row r="446" spans="1:3">
      <c r="A446" s="131" t="s">
        <v>8104</v>
      </c>
      <c r="B446" s="132">
        <v>3.8814459682705998E-2</v>
      </c>
      <c r="C446" s="133"/>
    </row>
    <row r="447" spans="1:3">
      <c r="A447" s="131" t="s">
        <v>8105</v>
      </c>
      <c r="B447" s="132">
        <v>2.6938188737502E-3</v>
      </c>
      <c r="C447" s="133"/>
    </row>
    <row r="448" spans="1:3">
      <c r="A448" s="131" t="s">
        <v>8106</v>
      </c>
      <c r="B448" s="132">
        <v>8.1227405309929122E-4</v>
      </c>
      <c r="C448" s="133"/>
    </row>
    <row r="449" spans="1:3">
      <c r="A449" s="131" t="s">
        <v>8107</v>
      </c>
      <c r="B449" s="132">
        <v>2.722049625301971E-3</v>
      </c>
      <c r="C449" s="133"/>
    </row>
    <row r="450" spans="1:3">
      <c r="A450" s="131" t="s">
        <v>8108</v>
      </c>
      <c r="B450" s="132">
        <v>1.649298398976E-4</v>
      </c>
      <c r="C450" s="133"/>
    </row>
    <row r="451" spans="1:3">
      <c r="A451" s="131" t="s">
        <v>8109</v>
      </c>
      <c r="B451" s="132">
        <v>3.19739587528701E-3</v>
      </c>
      <c r="C451" s="133"/>
    </row>
    <row r="452" spans="1:3">
      <c r="A452" s="131" t="s">
        <v>8110</v>
      </c>
      <c r="B452" s="132">
        <v>2.0344084305020199E-4</v>
      </c>
      <c r="C452" s="133"/>
    </row>
    <row r="453" spans="1:3">
      <c r="A453" s="131" t="s">
        <v>8111</v>
      </c>
      <c r="B453" s="132">
        <v>2.7367557850523002E-4</v>
      </c>
      <c r="C453" s="133"/>
    </row>
    <row r="454" spans="1:3">
      <c r="A454" s="131" t="s">
        <v>8112</v>
      </c>
      <c r="B454" s="132">
        <v>2.7974579999999997E-4</v>
      </c>
      <c r="C454" s="133"/>
    </row>
    <row r="455" spans="1:3">
      <c r="A455" s="131" t="s">
        <v>8113</v>
      </c>
      <c r="B455" s="132">
        <v>1.0710335988354707E-2</v>
      </c>
      <c r="C455" s="133"/>
    </row>
    <row r="456" spans="1:3">
      <c r="A456" s="131" t="s">
        <v>8114</v>
      </c>
      <c r="B456" s="132">
        <v>2.61</v>
      </c>
      <c r="C456" s="133"/>
    </row>
    <row r="457" spans="1:3">
      <c r="A457" s="131" t="s">
        <v>8115</v>
      </c>
      <c r="B457" s="132">
        <v>9.1749998318846337E-6</v>
      </c>
      <c r="C457" s="133"/>
    </row>
    <row r="458" spans="1:3">
      <c r="A458" s="131" t="s">
        <v>8116</v>
      </c>
      <c r="B458" s="132">
        <v>3.0428924013166001E-4</v>
      </c>
      <c r="C458" s="133"/>
    </row>
    <row r="459" spans="1:3">
      <c r="A459" s="131" t="s">
        <v>8117</v>
      </c>
      <c r="B459" s="132">
        <v>8.672290132381022E-4</v>
      </c>
      <c r="C459" s="133"/>
    </row>
    <row r="460" spans="1:3">
      <c r="A460" s="131" t="s">
        <v>8118</v>
      </c>
      <c r="B460" s="132">
        <v>1.59232032E-2</v>
      </c>
      <c r="C460" s="133"/>
    </row>
    <row r="461" spans="1:3">
      <c r="A461" s="131" t="s">
        <v>8119</v>
      </c>
      <c r="B461" s="132">
        <v>4.6388000000000001E-4</v>
      </c>
      <c r="C461" s="133"/>
    </row>
    <row r="462" spans="1:3">
      <c r="A462" s="131" t="s">
        <v>8120</v>
      </c>
      <c r="B462" s="132">
        <v>8.8720997155178338E-5</v>
      </c>
      <c r="C462" s="133"/>
    </row>
    <row r="463" spans="1:3">
      <c r="A463" s="131" t="s">
        <v>8121</v>
      </c>
      <c r="B463" s="132">
        <v>1.0556435043596E-6</v>
      </c>
      <c r="C463" s="133"/>
    </row>
    <row r="464" spans="1:3">
      <c r="A464" s="131" t="s">
        <v>8122</v>
      </c>
      <c r="B464" s="132">
        <v>8.4009392580687299E-4</v>
      </c>
      <c r="C464" s="133"/>
    </row>
    <row r="465" spans="1:3">
      <c r="A465" s="131" t="s">
        <v>8123</v>
      </c>
      <c r="B465" s="132">
        <v>0.15525725063327059</v>
      </c>
      <c r="C465" s="133"/>
    </row>
    <row r="466" spans="1:3">
      <c r="A466" s="131" t="s">
        <v>8124</v>
      </c>
      <c r="B466" s="132">
        <v>0.8949269531897921</v>
      </c>
      <c r="C466" s="133"/>
    </row>
    <row r="467" spans="1:3">
      <c r="A467" s="131" t="s">
        <v>8125</v>
      </c>
      <c r="B467" s="132">
        <v>1.9515598065124713</v>
      </c>
      <c r="C467" s="133"/>
    </row>
    <row r="468" spans="1:3">
      <c r="A468" s="131" t="s">
        <v>8126</v>
      </c>
      <c r="B468" s="132">
        <v>1.7002503706079E-3</v>
      </c>
      <c r="C468" s="133"/>
    </row>
    <row r="469" spans="1:3">
      <c r="A469" s="131" t="s">
        <v>8127</v>
      </c>
      <c r="B469" s="132">
        <v>9.5271593416921992E-3</v>
      </c>
      <c r="C469" s="133"/>
    </row>
    <row r="470" spans="1:3">
      <c r="A470" s="131" t="s">
        <v>8128</v>
      </c>
      <c r="B470" s="132">
        <v>1.0640015983243964</v>
      </c>
      <c r="C470" s="133"/>
    </row>
    <row r="471" spans="1:3">
      <c r="A471" s="131" t="s">
        <v>8129</v>
      </c>
      <c r="B471" s="132">
        <v>5.9999000000000001E-4</v>
      </c>
      <c r="C471" s="133"/>
    </row>
    <row r="472" spans="1:3">
      <c r="A472" s="131" t="s">
        <v>8130</v>
      </c>
      <c r="B472" s="132">
        <v>0.269956365813524</v>
      </c>
      <c r="C472" s="133"/>
    </row>
    <row r="473" spans="1:3">
      <c r="A473" s="131" t="s">
        <v>8131</v>
      </c>
      <c r="B473" s="132">
        <v>4.8314113934739998E-3</v>
      </c>
      <c r="C473" s="133"/>
    </row>
    <row r="474" spans="1:3">
      <c r="A474" s="131" t="s">
        <v>8132</v>
      </c>
      <c r="B474" s="132">
        <v>0.13141928029408614</v>
      </c>
      <c r="C474" s="133"/>
    </row>
    <row r="475" spans="1:3">
      <c r="A475" s="131" t="s">
        <v>8133</v>
      </c>
      <c r="B475" s="132">
        <v>18.593541847776585</v>
      </c>
      <c r="C475" s="133"/>
    </row>
    <row r="476" spans="1:3">
      <c r="A476" s="131" t="s">
        <v>8134</v>
      </c>
      <c r="B476" s="132">
        <v>0.41425639225117</v>
      </c>
      <c r="C476" s="133"/>
    </row>
    <row r="477" spans="1:3">
      <c r="A477" s="131" t="s">
        <v>8135</v>
      </c>
      <c r="B477" s="132">
        <v>6.9423667421073003E-3</v>
      </c>
      <c r="C477" s="133"/>
    </row>
    <row r="478" spans="1:3">
      <c r="A478" s="131" t="s">
        <v>8136</v>
      </c>
      <c r="B478" s="132">
        <v>7.0119515301560003E-4</v>
      </c>
      <c r="C478" s="133"/>
    </row>
    <row r="479" spans="1:3">
      <c r="A479" s="131" t="s">
        <v>8137</v>
      </c>
      <c r="B479" s="132">
        <v>4.9043219738561419E-2</v>
      </c>
      <c r="C479" s="133"/>
    </row>
    <row r="480" spans="1:3">
      <c r="A480" s="131" t="s">
        <v>8138</v>
      </c>
      <c r="B480" s="132">
        <v>64.706863540289277</v>
      </c>
      <c r="C480" s="133"/>
    </row>
    <row r="481" spans="1:3">
      <c r="A481" s="131" t="s">
        <v>8139</v>
      </c>
      <c r="B481" s="132">
        <v>2.4782247852233577E-5</v>
      </c>
      <c r="C481" s="133"/>
    </row>
    <row r="482" spans="1:3">
      <c r="A482" s="131" t="s">
        <v>8140</v>
      </c>
      <c r="B482" s="132">
        <v>1.4503450520080266E-2</v>
      </c>
      <c r="C482" s="133"/>
    </row>
    <row r="483" spans="1:3">
      <c r="A483" s="131" t="s">
        <v>8141</v>
      </c>
      <c r="B483" s="132">
        <v>1.944089881198765</v>
      </c>
      <c r="C483" s="133"/>
    </row>
    <row r="484" spans="1:3">
      <c r="A484" s="131" t="s">
        <v>8142</v>
      </c>
      <c r="B484" s="132">
        <v>1.6943964740442528E-4</v>
      </c>
      <c r="C484" s="133"/>
    </row>
    <row r="485" spans="1:3">
      <c r="A485" s="131" t="s">
        <v>8143</v>
      </c>
      <c r="B485" s="132">
        <v>4.0584743582276501E-3</v>
      </c>
      <c r="C485" s="133"/>
    </row>
    <row r="486" spans="1:3">
      <c r="A486" s="131" t="s">
        <v>8144</v>
      </c>
      <c r="B486" s="132">
        <v>2.2312353633035666E-2</v>
      </c>
      <c r="C486" s="133"/>
    </row>
    <row r="487" spans="1:3">
      <c r="A487" s="131" t="s">
        <v>8145</v>
      </c>
      <c r="B487" s="132">
        <v>4.2861639163637496E-3</v>
      </c>
      <c r="C487" s="133"/>
    </row>
    <row r="488" spans="1:3">
      <c r="A488" s="131" t="s">
        <v>8146</v>
      </c>
      <c r="B488" s="132">
        <v>2.908047379132952</v>
      </c>
      <c r="C488" s="133"/>
    </row>
    <row r="489" spans="1:3">
      <c r="A489" s="131" t="s">
        <v>8147</v>
      </c>
      <c r="B489" s="132">
        <v>3.079173925180929E-4</v>
      </c>
      <c r="C489" s="133"/>
    </row>
    <row r="490" spans="1:3">
      <c r="A490" s="131" t="s">
        <v>8148</v>
      </c>
      <c r="B490" s="132">
        <v>8.3916653604216296E-3</v>
      </c>
      <c r="C490" s="133"/>
    </row>
    <row r="491" spans="1:3">
      <c r="A491" s="131" t="s">
        <v>8149</v>
      </c>
      <c r="B491" s="132">
        <v>3.9838230211848999E-2</v>
      </c>
      <c r="C491" s="133"/>
    </row>
    <row r="492" spans="1:3">
      <c r="A492" s="131" t="s">
        <v>8150</v>
      </c>
      <c r="B492" s="132">
        <v>1.8000000068241206E-7</v>
      </c>
      <c r="C492" s="133"/>
    </row>
    <row r="493" spans="1:3">
      <c r="A493" s="131" t="s">
        <v>8151</v>
      </c>
      <c r="B493" s="132">
        <v>2.80898459419726E-3</v>
      </c>
      <c r="C493" s="133"/>
    </row>
    <row r="494" spans="1:3">
      <c r="A494" s="131" t="s">
        <v>8152</v>
      </c>
      <c r="B494" s="132">
        <v>2.6212099343463002E-3</v>
      </c>
      <c r="C494" s="133"/>
    </row>
    <row r="495" spans="1:3">
      <c r="A495" s="131" t="s">
        <v>8153</v>
      </c>
      <c r="B495" s="132">
        <v>6.4264573498834044E-4</v>
      </c>
      <c r="C495" s="133"/>
    </row>
    <row r="496" spans="1:3">
      <c r="A496" s="131" t="s">
        <v>8154</v>
      </c>
      <c r="B496" s="132">
        <v>2.8368921598510495E-5</v>
      </c>
      <c r="C496" s="133"/>
    </row>
    <row r="497" spans="1:3">
      <c r="A497" s="131" t="s">
        <v>8155</v>
      </c>
      <c r="B497" s="132">
        <v>4.8658233268910004E-3</v>
      </c>
      <c r="C497" s="133"/>
    </row>
    <row r="498" spans="1:3">
      <c r="A498" s="131" t="s">
        <v>8156</v>
      </c>
      <c r="B498" s="132">
        <v>7.6693106259027883E-3</v>
      </c>
      <c r="C498" s="133"/>
    </row>
    <row r="499" spans="1:3">
      <c r="A499" s="131" t="s">
        <v>8157</v>
      </c>
      <c r="B499" s="132">
        <v>1.192468348E-6</v>
      </c>
      <c r="C499" s="133"/>
    </row>
    <row r="500" spans="1:3">
      <c r="A500" s="131" t="s">
        <v>8158</v>
      </c>
      <c r="B500" s="132">
        <v>2.0291876548292E-3</v>
      </c>
      <c r="C500" s="133"/>
    </row>
    <row r="501" spans="1:3">
      <c r="A501" s="131" t="s">
        <v>8159</v>
      </c>
      <c r="B501" s="132">
        <v>5.2868188681179004E-6</v>
      </c>
      <c r="C501" s="133"/>
    </row>
    <row r="502" spans="1:3">
      <c r="A502" s="131" t="s">
        <v>8160</v>
      </c>
      <c r="B502" s="132">
        <v>6.6087754473823521E-6</v>
      </c>
      <c r="C502" s="133"/>
    </row>
    <row r="503" spans="1:3">
      <c r="A503" s="131" t="s">
        <v>8161</v>
      </c>
      <c r="B503" s="132">
        <v>7.3932304157534002E-3</v>
      </c>
      <c r="C503" s="133"/>
    </row>
    <row r="504" spans="1:3">
      <c r="A504" s="131" t="s">
        <v>8162</v>
      </c>
      <c r="B504" s="132">
        <v>1.209195000834354E-3</v>
      </c>
      <c r="C504" s="133"/>
    </row>
    <row r="505" spans="1:3">
      <c r="A505" s="131" t="s">
        <v>8163</v>
      </c>
      <c r="B505" s="132">
        <v>5.7524570675918964E-4</v>
      </c>
      <c r="C505" s="133"/>
    </row>
    <row r="506" spans="1:3">
      <c r="A506" s="131" t="s">
        <v>8164</v>
      </c>
      <c r="B506" s="132">
        <v>1.05993740943E-4</v>
      </c>
      <c r="C506" s="133"/>
    </row>
    <row r="507" spans="1:3">
      <c r="A507" s="131" t="s">
        <v>8165</v>
      </c>
      <c r="B507" s="132">
        <v>1.3022718821080071E-2</v>
      </c>
      <c r="C507" s="133"/>
    </row>
    <row r="508" spans="1:3">
      <c r="A508" s="131" t="s">
        <v>8166</v>
      </c>
      <c r="B508" s="132">
        <v>2.6862253949760663E-4</v>
      </c>
      <c r="C508" s="133"/>
    </row>
    <row r="509" spans="1:3">
      <c r="A509" s="131" t="s">
        <v>8167</v>
      </c>
      <c r="B509" s="132">
        <v>5.3630336021578001E-5</v>
      </c>
      <c r="C509" s="133"/>
    </row>
    <row r="510" spans="1:3">
      <c r="A510" s="131" t="s">
        <v>8168</v>
      </c>
      <c r="B510" s="132">
        <v>2.1424088295695439E-6</v>
      </c>
      <c r="C510" s="133"/>
    </row>
    <row r="511" spans="1:3">
      <c r="A511" s="131" t="s">
        <v>8169</v>
      </c>
      <c r="B511" s="132">
        <v>0.13866219199529359</v>
      </c>
      <c r="C511" s="133"/>
    </row>
    <row r="512" spans="1:3">
      <c r="A512" s="131" t="s">
        <v>8170</v>
      </c>
      <c r="B512" s="132">
        <v>3.0731766465356908E-3</v>
      </c>
      <c r="C512" s="133"/>
    </row>
    <row r="513" spans="1:3">
      <c r="A513" s="131" t="s">
        <v>8171</v>
      </c>
      <c r="B513" s="132">
        <v>2.2043177018095998</v>
      </c>
      <c r="C513" s="133"/>
    </row>
    <row r="514" spans="1:3">
      <c r="A514" s="131" t="s">
        <v>8172</v>
      </c>
      <c r="B514" s="132">
        <v>4.3867795041127973E-4</v>
      </c>
      <c r="C514" s="133"/>
    </row>
    <row r="515" spans="1:3">
      <c r="A515" s="131" t="s">
        <v>8173</v>
      </c>
      <c r="B515" s="132">
        <v>2.1823515481826001E-2</v>
      </c>
      <c r="C515" s="133"/>
    </row>
    <row r="516" spans="1:3">
      <c r="A516" s="131" t="s">
        <v>8174</v>
      </c>
      <c r="B516" s="132">
        <v>4.0166696619391174E-5</v>
      </c>
      <c r="C516" s="133"/>
    </row>
    <row r="517" spans="1:3">
      <c r="A517" s="131" t="s">
        <v>8175</v>
      </c>
      <c r="B517" s="132">
        <v>2.8430079108046E-3</v>
      </c>
      <c r="C517" s="133"/>
    </row>
    <row r="518" spans="1:3">
      <c r="A518" s="131" t="s">
        <v>8176</v>
      </c>
      <c r="B518" s="132">
        <v>6.6089918887221663E-7</v>
      </c>
      <c r="C518" s="133"/>
    </row>
    <row r="519" spans="1:3">
      <c r="A519" s="131" t="s">
        <v>8177</v>
      </c>
      <c r="B519" s="132">
        <v>4.1285053190699998E-4</v>
      </c>
      <c r="C519" s="133"/>
    </row>
    <row r="520" spans="1:3">
      <c r="A520" s="131" t="s">
        <v>8178</v>
      </c>
      <c r="B520" s="132">
        <v>3.9909510000000004E-3</v>
      </c>
      <c r="C520" s="133"/>
    </row>
    <row r="521" spans="1:3">
      <c r="A521" s="131" t="s">
        <v>8179</v>
      </c>
      <c r="B521" s="132">
        <v>1.4174756862381E-2</v>
      </c>
      <c r="C521" s="133"/>
    </row>
    <row r="522" spans="1:3">
      <c r="A522" s="131" t="s">
        <v>8180</v>
      </c>
      <c r="B522" s="132">
        <v>3.5059757650779001E-3</v>
      </c>
      <c r="C522" s="133"/>
    </row>
    <row r="523" spans="1:3">
      <c r="A523" s="131" t="s">
        <v>8181</v>
      </c>
      <c r="B523" s="132">
        <v>0.28769389087821035</v>
      </c>
      <c r="C523" s="133"/>
    </row>
    <row r="524" spans="1:3">
      <c r="A524" s="131" t="s">
        <v>8182</v>
      </c>
      <c r="B524" s="132">
        <v>1.7952897684636528E-3</v>
      </c>
      <c r="C524" s="133"/>
    </row>
    <row r="525" spans="1:3">
      <c r="A525" s="131" t="s">
        <v>8183</v>
      </c>
      <c r="B525" s="132">
        <v>4.6782606877218996E-2</v>
      </c>
      <c r="C525" s="133"/>
    </row>
    <row r="526" spans="1:3">
      <c r="A526" s="131" t="s">
        <v>8184</v>
      </c>
      <c r="B526" s="132">
        <v>7.7804540000000005E-2</v>
      </c>
      <c r="C526" s="133"/>
    </row>
    <row r="527" spans="1:3">
      <c r="A527" s="131" t="s">
        <v>8185</v>
      </c>
      <c r="B527" s="132">
        <v>0.77926256466849375</v>
      </c>
      <c r="C527" s="133"/>
    </row>
    <row r="528" spans="1:3">
      <c r="A528" s="131" t="s">
        <v>8186</v>
      </c>
      <c r="B528" s="132">
        <v>2.9400452267588001E-4</v>
      </c>
      <c r="C528" s="133"/>
    </row>
    <row r="529" spans="1:3">
      <c r="A529" s="131" t="s">
        <v>8187</v>
      </c>
      <c r="B529" s="132">
        <v>5.5864970212454014E-3</v>
      </c>
      <c r="C529" s="133"/>
    </row>
    <row r="530" spans="1:3">
      <c r="A530" s="131" t="s">
        <v>8188</v>
      </c>
      <c r="B530" s="132">
        <v>1.817902550111E-4</v>
      </c>
      <c r="C530" s="133"/>
    </row>
    <row r="531" spans="1:3">
      <c r="A531" s="131" t="s">
        <v>8189</v>
      </c>
      <c r="B531" s="132">
        <v>0.41443537442835859</v>
      </c>
      <c r="C531" s="133"/>
    </row>
    <row r="532" spans="1:3">
      <c r="A532" s="131" t="s">
        <v>8190</v>
      </c>
      <c r="B532" s="132">
        <v>1.6635351350906471E-5</v>
      </c>
      <c r="C532" s="133"/>
    </row>
    <row r="533" spans="1:3">
      <c r="A533" s="131" t="s">
        <v>8191</v>
      </c>
      <c r="B533" s="132">
        <v>4.7426295074918003E-2</v>
      </c>
      <c r="C533" s="133"/>
    </row>
    <row r="534" spans="1:3">
      <c r="A534" s="131" t="s">
        <v>8192</v>
      </c>
      <c r="B534" s="132">
        <v>1.0252566879478999E-2</v>
      </c>
      <c r="C534" s="133"/>
    </row>
    <row r="535" spans="1:3">
      <c r="A535" s="131" t="s">
        <v>8193</v>
      </c>
      <c r="B535" s="132">
        <v>6.8884011781776E-2</v>
      </c>
      <c r="C535" s="133"/>
    </row>
    <row r="536" spans="1:3">
      <c r="A536" s="131" t="s">
        <v>8194</v>
      </c>
      <c r="B536" s="132">
        <v>5.491322589095478E-3</v>
      </c>
      <c r="C536" s="133"/>
    </row>
    <row r="537" spans="1:3">
      <c r="A537" s="131" t="s">
        <v>8195</v>
      </c>
      <c r="B537" s="132">
        <v>2.9478096901069999E-2</v>
      </c>
      <c r="C537" s="133"/>
    </row>
    <row r="538" spans="1:3">
      <c r="A538" s="131" t="s">
        <v>8196</v>
      </c>
      <c r="B538" s="132">
        <v>9.960691508427899E-4</v>
      </c>
      <c r="C538" s="133"/>
    </row>
    <row r="539" spans="1:3">
      <c r="A539" s="131" t="s">
        <v>8197</v>
      </c>
      <c r="B539" s="132">
        <v>1.83618E-3</v>
      </c>
      <c r="C539" s="133"/>
    </row>
    <row r="540" spans="1:3">
      <c r="A540" s="131" t="s">
        <v>8198</v>
      </c>
      <c r="B540" s="132">
        <v>2.7489498385833028E-4</v>
      </c>
      <c r="C540" s="133"/>
    </row>
    <row r="541" spans="1:3">
      <c r="A541" s="131" t="s">
        <v>8199</v>
      </c>
      <c r="B541" s="132">
        <v>3.8586356385711001E-3</v>
      </c>
      <c r="C541" s="133"/>
    </row>
    <row r="542" spans="1:3">
      <c r="A542" s="131" t="s">
        <v>8200</v>
      </c>
      <c r="B542" s="132">
        <v>0.10198549709420281</v>
      </c>
      <c r="C542" s="133"/>
    </row>
    <row r="543" spans="1:3">
      <c r="A543" s="131" t="s">
        <v>8201</v>
      </c>
      <c r="B543" s="132">
        <v>2.4003040702581999</v>
      </c>
      <c r="C543" s="133"/>
    </row>
    <row r="544" spans="1:3">
      <c r="A544" s="131" t="s">
        <v>8202</v>
      </c>
      <c r="B544" s="132">
        <v>14.973233418649107</v>
      </c>
      <c r="C544" s="133"/>
    </row>
    <row r="545" spans="1:3">
      <c r="A545" s="131" t="s">
        <v>8203</v>
      </c>
      <c r="B545" s="132">
        <v>1.1458674261530217</v>
      </c>
      <c r="C545" s="133"/>
    </row>
    <row r="546" spans="1:3">
      <c r="A546" s="131" t="s">
        <v>8204</v>
      </c>
      <c r="B546" s="132">
        <v>0.33856878165715482</v>
      </c>
      <c r="C546" s="133"/>
    </row>
    <row r="547" spans="1:3">
      <c r="A547" s="131" t="s">
        <v>8205</v>
      </c>
      <c r="B547" s="132">
        <v>9.2262232122902896E-2</v>
      </c>
      <c r="C547" s="133"/>
    </row>
    <row r="548" spans="1:3">
      <c r="A548" s="131" t="s">
        <v>8206</v>
      </c>
      <c r="B548" s="132">
        <v>1.3304911970406614</v>
      </c>
      <c r="C548" s="133"/>
    </row>
    <row r="549" spans="1:3">
      <c r="A549" s="131" t="s">
        <v>8207</v>
      </c>
      <c r="B549" s="132">
        <v>29.925222604044951</v>
      </c>
      <c r="C549" s="133"/>
    </row>
    <row r="550" spans="1:3">
      <c r="A550" s="131" t="s">
        <v>8208</v>
      </c>
      <c r="B550" s="132">
        <v>2.667526765507099E-5</v>
      </c>
      <c r="C550" s="133"/>
    </row>
    <row r="551" spans="1:3">
      <c r="A551" s="131" t="s">
        <v>8209</v>
      </c>
      <c r="B551" s="132">
        <v>0.15001839590227681</v>
      </c>
      <c r="C551" s="133"/>
    </row>
    <row r="552" spans="1:3">
      <c r="A552" s="131" t="s">
        <v>8210</v>
      </c>
      <c r="B552" s="132">
        <v>2.0251789520281002E-2</v>
      </c>
      <c r="C552" s="133"/>
    </row>
    <row r="553" spans="1:3">
      <c r="A553" s="131" t="s">
        <v>8211</v>
      </c>
      <c r="B553" s="132">
        <v>0.20975051796780864</v>
      </c>
      <c r="C553" s="133"/>
    </row>
    <row r="554" spans="1:3">
      <c r="A554" s="131" t="s">
        <v>8212</v>
      </c>
      <c r="B554" s="132">
        <v>1.0520059107199244</v>
      </c>
      <c r="C554" s="133"/>
    </row>
    <row r="555" spans="1:3">
      <c r="A555" s="131" t="s">
        <v>8213</v>
      </c>
      <c r="B555" s="132">
        <v>9.2373891930158852E-2</v>
      </c>
      <c r="C555" s="133"/>
    </row>
    <row r="556" spans="1:3">
      <c r="A556" s="131" t="s">
        <v>8214</v>
      </c>
      <c r="B556" s="132">
        <v>0.48737342204978734</v>
      </c>
      <c r="C556" s="133"/>
    </row>
    <row r="557" spans="1:3">
      <c r="A557" s="131" t="s">
        <v>8215</v>
      </c>
      <c r="B557" s="132">
        <v>0.98193581633672922</v>
      </c>
      <c r="C557" s="133"/>
    </row>
    <row r="558" spans="1:3">
      <c r="A558" s="131" t="s">
        <v>8216</v>
      </c>
      <c r="B558" s="132">
        <v>8.86</v>
      </c>
      <c r="C558" s="133"/>
    </row>
    <row r="559" spans="1:3">
      <c r="A559" s="131" t="s">
        <v>8217</v>
      </c>
      <c r="B559" s="132">
        <v>0.1153383461212459</v>
      </c>
      <c r="C559" s="133"/>
    </row>
    <row r="560" spans="1:3">
      <c r="A560" s="131" t="s">
        <v>8218</v>
      </c>
      <c r="B560" s="132">
        <v>4.1236788634147299</v>
      </c>
      <c r="C560" s="133"/>
    </row>
    <row r="561" spans="1:3">
      <c r="A561" s="131" t="s">
        <v>8219</v>
      </c>
      <c r="B561" s="132">
        <v>1.0632275722802891</v>
      </c>
      <c r="C561" s="133"/>
    </row>
    <row r="562" spans="1:3">
      <c r="A562" s="131" t="s">
        <v>8220</v>
      </c>
      <c r="B562" s="132">
        <v>2.0612655932726023</v>
      </c>
      <c r="C562" s="133"/>
    </row>
    <row r="563" spans="1:3">
      <c r="A563" s="131" t="s">
        <v>8221</v>
      </c>
      <c r="B563" s="132">
        <v>7.6736959399059E-3</v>
      </c>
      <c r="C563" s="133"/>
    </row>
    <row r="564" spans="1:3">
      <c r="A564" s="131" t="s">
        <v>8222</v>
      </c>
      <c r="B564" s="132">
        <v>0.12183516667882341</v>
      </c>
      <c r="C564" s="133"/>
    </row>
    <row r="565" spans="1:3">
      <c r="A565" s="131" t="s">
        <v>8223</v>
      </c>
      <c r="B565" s="132">
        <v>0.36923756594475188</v>
      </c>
      <c r="C565" s="133"/>
    </row>
    <row r="566" spans="1:3">
      <c r="A566" s="131" t="s">
        <v>8224</v>
      </c>
      <c r="B566" s="132">
        <v>0.21572659596822069</v>
      </c>
      <c r="C566" s="133"/>
    </row>
    <row r="567" spans="1:3">
      <c r="A567" s="131" t="s">
        <v>8225</v>
      </c>
      <c r="B567" s="132">
        <v>8.6044109090840424E-5</v>
      </c>
      <c r="C567" s="133"/>
    </row>
    <row r="568" spans="1:3">
      <c r="A568" s="131" t="s">
        <v>8226</v>
      </c>
      <c r="B568" s="132">
        <v>0.1831598624961383</v>
      </c>
      <c r="C568" s="133"/>
    </row>
    <row r="569" spans="1:3">
      <c r="A569" s="131" t="s">
        <v>8227</v>
      </c>
      <c r="B569" s="132">
        <v>825.62</v>
      </c>
      <c r="C569" s="133"/>
    </row>
    <row r="570" spans="1:3">
      <c r="A570" s="131" t="s">
        <v>8228</v>
      </c>
      <c r="B570" s="132">
        <v>0.61191387113221885</v>
      </c>
      <c r="C570" s="133"/>
    </row>
    <row r="571" spans="1:3">
      <c r="A571" s="131" t="s">
        <v>8229</v>
      </c>
      <c r="B571" s="132">
        <v>5.1658776433814002E-2</v>
      </c>
      <c r="C571" s="133"/>
    </row>
    <row r="572" spans="1:3">
      <c r="A572" s="131" t="s">
        <v>8230</v>
      </c>
      <c r="B572" s="132">
        <v>3.4010115779639998E-3</v>
      </c>
      <c r="C572" s="133"/>
    </row>
    <row r="573" spans="1:3">
      <c r="A573" s="131" t="s">
        <v>8231</v>
      </c>
      <c r="B573" s="132">
        <v>0.55906928902497155</v>
      </c>
      <c r="C573" s="133"/>
    </row>
    <row r="574" spans="1:3">
      <c r="A574" s="131" t="s">
        <v>8232</v>
      </c>
      <c r="B574" s="132">
        <v>5.7884068563136992E-2</v>
      </c>
      <c r="C574" s="133"/>
    </row>
    <row r="575" spans="1:3">
      <c r="A575" s="131" t="s">
        <v>8233</v>
      </c>
      <c r="B575" s="132">
        <v>0.4153136508132505</v>
      </c>
      <c r="C575" s="133"/>
    </row>
    <row r="576" spans="1:3">
      <c r="A576" s="131" t="s">
        <v>8234</v>
      </c>
      <c r="B576" s="132">
        <v>31.18</v>
      </c>
      <c r="C576" s="133"/>
    </row>
    <row r="577" spans="1:3">
      <c r="A577" s="131" t="s">
        <v>8235</v>
      </c>
      <c r="B577" s="132">
        <v>4.327772812278214</v>
      </c>
      <c r="C577" s="133"/>
    </row>
    <row r="578" spans="1:3">
      <c r="A578" s="131" t="s">
        <v>8236</v>
      </c>
      <c r="B578" s="132">
        <v>1.6643432768897484E-2</v>
      </c>
      <c r="C578" s="133"/>
    </row>
    <row r="579" spans="1:3">
      <c r="A579" s="131" t="s">
        <v>8237</v>
      </c>
      <c r="B579" s="132">
        <v>0.47895214871740582</v>
      </c>
      <c r="C579" s="133"/>
    </row>
    <row r="580" spans="1:3">
      <c r="A580" s="131" t="s">
        <v>8238</v>
      </c>
      <c r="B580" s="132">
        <v>5.89212800181542E-2</v>
      </c>
      <c r="C580" s="133"/>
    </row>
    <row r="581" spans="1:3">
      <c r="A581" s="131" t="s">
        <v>8239</v>
      </c>
      <c r="B581" s="132">
        <v>459.44654235243087</v>
      </c>
      <c r="C581" s="133"/>
    </row>
    <row r="582" spans="1:3">
      <c r="A582" s="131" t="s">
        <v>8240</v>
      </c>
      <c r="B582" s="132">
        <v>2.4928975406994999E-2</v>
      </c>
      <c r="C582" s="133"/>
    </row>
    <row r="583" spans="1:3">
      <c r="A583" s="131" t="s">
        <v>8241</v>
      </c>
      <c r="B583" s="132">
        <v>1.1132591736347621E-4</v>
      </c>
      <c r="C583" s="133"/>
    </row>
    <row r="584" spans="1:3">
      <c r="A584" s="131" t="s">
        <v>8242</v>
      </c>
      <c r="B584" s="132">
        <v>0.65278397525416998</v>
      </c>
      <c r="C584" s="133"/>
    </row>
    <row r="585" spans="1:3">
      <c r="A585" s="131" t="s">
        <v>8243</v>
      </c>
      <c r="B585" s="132">
        <v>6.0862062552828459E-4</v>
      </c>
      <c r="C585" s="133"/>
    </row>
    <row r="586" spans="1:3">
      <c r="A586" s="131" t="s">
        <v>8244</v>
      </c>
      <c r="B586" s="132">
        <v>1.2013014482575935E-3</v>
      </c>
      <c r="C586" s="133"/>
    </row>
    <row r="587" spans="1:3">
      <c r="A587" s="131" t="s">
        <v>8245</v>
      </c>
      <c r="B587" s="132">
        <v>3.0706428558610995E-2</v>
      </c>
      <c r="C587" s="133"/>
    </row>
    <row r="588" spans="1:3">
      <c r="A588" s="131" t="s">
        <v>8246</v>
      </c>
      <c r="B588" s="132">
        <v>2.5347748922767998E-3</v>
      </c>
      <c r="C588" s="133"/>
    </row>
    <row r="589" spans="1:3">
      <c r="A589" s="131" t="s">
        <v>8247</v>
      </c>
      <c r="B589" s="132">
        <v>0.51209530485441568</v>
      </c>
      <c r="C589" s="133"/>
    </row>
    <row r="590" spans="1:3">
      <c r="A590" s="131" t="s">
        <v>8248</v>
      </c>
      <c r="B590" s="132">
        <v>1.9685473978167292</v>
      </c>
      <c r="C590" s="133"/>
    </row>
    <row r="591" spans="1:3">
      <c r="A591" s="131" t="s">
        <v>8249</v>
      </c>
      <c r="B591" s="132">
        <v>3.2642192507747998</v>
      </c>
      <c r="C591" s="133"/>
    </row>
    <row r="592" spans="1:3">
      <c r="A592" s="131" t="s">
        <v>8250</v>
      </c>
      <c r="B592" s="132">
        <v>2.94</v>
      </c>
      <c r="C592" s="133"/>
    </row>
    <row r="593" spans="1:3">
      <c r="A593" s="131" t="s">
        <v>8251</v>
      </c>
      <c r="B593" s="132">
        <v>2.2678734300324001E-2</v>
      </c>
      <c r="C593" s="133"/>
    </row>
    <row r="594" spans="1:3">
      <c r="A594" s="131" t="s">
        <v>8252</v>
      </c>
      <c r="B594" s="132">
        <v>4.5746207803500001</v>
      </c>
      <c r="C594" s="133"/>
    </row>
    <row r="595" spans="1:3">
      <c r="A595" s="131" t="s">
        <v>8253</v>
      </c>
      <c r="B595" s="132">
        <v>5.3366237012466261E-2</v>
      </c>
      <c r="C595" s="133"/>
    </row>
    <row r="596" spans="1:3">
      <c r="A596" s="131" t="s">
        <v>8254</v>
      </c>
      <c r="B596" s="132">
        <v>9.6272236227407156E-3</v>
      </c>
      <c r="C596" s="133"/>
    </row>
    <row r="597" spans="1:3">
      <c r="A597" s="131" t="s">
        <v>8255</v>
      </c>
      <c r="B597" s="132">
        <v>1.1238143107352204E-2</v>
      </c>
      <c r="C597" s="133"/>
    </row>
    <row r="598" spans="1:3">
      <c r="A598" s="131" t="s">
        <v>8256</v>
      </c>
      <c r="B598" s="132">
        <v>8.7968002974086072</v>
      </c>
      <c r="C598" s="133"/>
    </row>
    <row r="599" spans="1:3">
      <c r="A599" s="131" t="s">
        <v>8257</v>
      </c>
      <c r="B599" s="132">
        <v>6.3938473672141005E-2</v>
      </c>
      <c r="C599" s="133"/>
    </row>
    <row r="600" spans="1:3">
      <c r="A600" s="131" t="s">
        <v>8258</v>
      </c>
      <c r="B600" s="132">
        <v>1.49041168647448E-2</v>
      </c>
      <c r="C600" s="133"/>
    </row>
    <row r="601" spans="1:3">
      <c r="A601" s="131" t="s">
        <v>8259</v>
      </c>
      <c r="B601" s="132">
        <v>0.32580309646002747</v>
      </c>
      <c r="C601" s="133"/>
    </row>
    <row r="602" spans="1:3">
      <c r="A602" s="131" t="s">
        <v>8260</v>
      </c>
      <c r="B602" s="132">
        <v>6.0740354873078505E-3</v>
      </c>
      <c r="C602" s="133"/>
    </row>
    <row r="603" spans="1:3">
      <c r="A603" s="131" t="s">
        <v>8261</v>
      </c>
      <c r="B603" s="132">
        <v>1.5832712978426072E-2</v>
      </c>
      <c r="C603" s="133"/>
    </row>
    <row r="604" spans="1:3">
      <c r="A604" s="131" t="s">
        <v>8262</v>
      </c>
      <c r="B604" s="132">
        <v>7.5943644447021966E-2</v>
      </c>
      <c r="C604" s="133"/>
    </row>
    <row r="605" spans="1:3">
      <c r="A605" s="131" t="s">
        <v>8263</v>
      </c>
      <c r="B605" s="132">
        <v>5.9165642092288999E-3</v>
      </c>
      <c r="C605" s="133"/>
    </row>
    <row r="606" spans="1:3">
      <c r="A606" s="131" t="s">
        <v>8264</v>
      </c>
      <c r="B606" s="132">
        <v>1.823494174099E-2</v>
      </c>
      <c r="C606" s="133"/>
    </row>
    <row r="607" spans="1:3">
      <c r="A607" s="131" t="s">
        <v>8265</v>
      </c>
      <c r="B607" s="132">
        <v>2.65599E-3</v>
      </c>
      <c r="C607" s="133"/>
    </row>
    <row r="608" spans="1:3">
      <c r="A608" s="131" t="s">
        <v>8266</v>
      </c>
      <c r="B608" s="132">
        <v>2.3533556939126999E-2</v>
      </c>
      <c r="C608" s="133"/>
    </row>
    <row r="609" spans="1:3">
      <c r="A609" s="131" t="s">
        <v>8267</v>
      </c>
      <c r="B609" s="132">
        <v>2.8380765452366E-4</v>
      </c>
      <c r="C609" s="133"/>
    </row>
    <row r="610" spans="1:3">
      <c r="A610" s="131" t="s">
        <v>8268</v>
      </c>
      <c r="B610" s="132">
        <v>1.000849374565E-4</v>
      </c>
      <c r="C610" s="133"/>
    </row>
    <row r="611" spans="1:3">
      <c r="A611" s="131" t="s">
        <v>8269</v>
      </c>
      <c r="B611" s="132">
        <v>0.20969875247147299</v>
      </c>
      <c r="C611" s="133"/>
    </row>
    <row r="612" spans="1:3">
      <c r="A612" s="131" t="s">
        <v>8270</v>
      </c>
      <c r="B612" s="132">
        <v>3.24</v>
      </c>
      <c r="C612" s="133"/>
    </row>
    <row r="613" spans="1:3">
      <c r="A613" s="131" t="s">
        <v>8271</v>
      </c>
      <c r="B613" s="132">
        <v>0.38474070715558295</v>
      </c>
      <c r="C613" s="133"/>
    </row>
    <row r="614" spans="1:3">
      <c r="A614" s="131" t="s">
        <v>8272</v>
      </c>
      <c r="B614" s="132">
        <v>0.25146242227346849</v>
      </c>
      <c r="C614" s="133"/>
    </row>
    <row r="615" spans="1:3">
      <c r="A615" s="131" t="s">
        <v>8273</v>
      </c>
      <c r="B615" s="132">
        <v>0.55759004530378975</v>
      </c>
      <c r="C615" s="133"/>
    </row>
    <row r="616" spans="1:3">
      <c r="A616" s="131" t="s">
        <v>8274</v>
      </c>
      <c r="B616" s="132">
        <v>4.8149670846821984</v>
      </c>
      <c r="C616" s="133"/>
    </row>
    <row r="617" spans="1:3">
      <c r="A617" s="131" t="s">
        <v>8275</v>
      </c>
      <c r="B617" s="132">
        <v>0.85945084760791524</v>
      </c>
      <c r="C617" s="133"/>
    </row>
    <row r="618" spans="1:3">
      <c r="A618" s="131" t="s">
        <v>8276</v>
      </c>
      <c r="B618" s="132">
        <v>0.22118149404919304</v>
      </c>
      <c r="C618" s="133"/>
    </row>
    <row r="619" spans="1:3">
      <c r="A619" s="131" t="s">
        <v>8277</v>
      </c>
      <c r="B619" s="132">
        <v>0.13909325475059317</v>
      </c>
      <c r="C619" s="133"/>
    </row>
    <row r="620" spans="1:3">
      <c r="A620" s="131" t="s">
        <v>8278</v>
      </c>
      <c r="B620" s="132">
        <v>9.5650248091386003E-2</v>
      </c>
      <c r="C620" s="133"/>
    </row>
    <row r="621" spans="1:3">
      <c r="A621" s="131" t="s">
        <v>8279</v>
      </c>
      <c r="B621" s="132">
        <v>8.3007949735300606E-3</v>
      </c>
      <c r="C621" s="133"/>
    </row>
    <row r="622" spans="1:3">
      <c r="A622" s="131" t="s">
        <v>8280</v>
      </c>
      <c r="B622" s="132">
        <v>5.9954594451889245E-6</v>
      </c>
      <c r="C622" s="133"/>
    </row>
    <row r="623" spans="1:3">
      <c r="A623" s="131" t="s">
        <v>8281</v>
      </c>
      <c r="B623" s="132">
        <v>3.6429263400771197E-2</v>
      </c>
      <c r="C623" s="133"/>
    </row>
    <row r="624" spans="1:3">
      <c r="A624" s="131" t="s">
        <v>8282</v>
      </c>
      <c r="B624" s="132">
        <v>8.2819239232545289E-4</v>
      </c>
      <c r="C624" s="133"/>
    </row>
    <row r="625" spans="1:3">
      <c r="A625" s="131" t="s">
        <v>8283</v>
      </c>
      <c r="B625" s="132">
        <v>0.16742999575325099</v>
      </c>
      <c r="C625" s="133"/>
    </row>
    <row r="626" spans="1:3">
      <c r="A626" s="131" t="s">
        <v>8284</v>
      </c>
      <c r="B626" s="132">
        <v>2.4535657573378236E-2</v>
      </c>
      <c r="C626" s="133"/>
    </row>
    <row r="627" spans="1:3">
      <c r="A627" s="131" t="s">
        <v>8285</v>
      </c>
      <c r="B627" s="132">
        <v>0.63528323135869003</v>
      </c>
      <c r="C627" s="133"/>
    </row>
    <row r="628" spans="1:3">
      <c r="A628" s="131" t="s">
        <v>8286</v>
      </c>
      <c r="B628" s="132">
        <v>0.26533398432890998</v>
      </c>
      <c r="C628" s="133"/>
    </row>
    <row r="629" spans="1:3">
      <c r="A629" s="131" t="s">
        <v>8287</v>
      </c>
      <c r="B629" s="132">
        <v>3.1382025039657299E-2</v>
      </c>
      <c r="C629" s="133"/>
    </row>
    <row r="630" spans="1:3">
      <c r="A630" s="131" t="s">
        <v>8288</v>
      </c>
      <c r="B630" s="132">
        <v>4.1932759512695497E-2</v>
      </c>
      <c r="C630" s="133"/>
    </row>
    <row r="631" spans="1:3">
      <c r="A631" s="131" t="s">
        <v>8289</v>
      </c>
      <c r="B631" s="132">
        <v>3.3574580886534609E-2</v>
      </c>
      <c r="C631" s="133"/>
    </row>
    <row r="632" spans="1:3">
      <c r="A632" s="131" t="s">
        <v>8290</v>
      </c>
      <c r="B632" s="132">
        <v>1.5482379296675E-2</v>
      </c>
      <c r="C632" s="133"/>
    </row>
    <row r="633" spans="1:3">
      <c r="A633" s="131" t="s">
        <v>8291</v>
      </c>
      <c r="B633" s="132">
        <v>1.0995583825352564</v>
      </c>
      <c r="C633" s="133"/>
    </row>
    <row r="634" spans="1:3">
      <c r="A634" s="131" t="s">
        <v>8292</v>
      </c>
      <c r="B634" s="132">
        <v>1.3378907422855E-2</v>
      </c>
      <c r="C634" s="133"/>
    </row>
    <row r="635" spans="1:3">
      <c r="A635" s="131" t="s">
        <v>8293</v>
      </c>
      <c r="B635" s="132">
        <v>0.19932487052441272</v>
      </c>
      <c r="C635" s="133"/>
    </row>
    <row r="636" spans="1:3">
      <c r="A636" s="131" t="s">
        <v>8294</v>
      </c>
      <c r="B636" s="132">
        <v>3.47</v>
      </c>
      <c r="C636" s="133"/>
    </row>
    <row r="637" spans="1:3">
      <c r="A637" s="131" t="s">
        <v>8295</v>
      </c>
      <c r="B637" s="132">
        <v>2.831422854390663</v>
      </c>
      <c r="C637" s="133"/>
    </row>
    <row r="638" spans="1:3">
      <c r="A638" s="131" t="s">
        <v>8296</v>
      </c>
      <c r="B638" s="132">
        <v>0.15367455930212998</v>
      </c>
      <c r="C638" s="133"/>
    </row>
    <row r="639" spans="1:3">
      <c r="A639" s="131" t="s">
        <v>8297</v>
      </c>
      <c r="B639" s="132">
        <v>5.2039776858695201E-2</v>
      </c>
      <c r="C639" s="133"/>
    </row>
    <row r="640" spans="1:3">
      <c r="A640" s="131" t="s">
        <v>8298</v>
      </c>
      <c r="B640" s="132">
        <v>0.64081229059110001</v>
      </c>
      <c r="C640" s="133"/>
    </row>
    <row r="641" spans="1:3">
      <c r="A641" s="131" t="s">
        <v>8299</v>
      </c>
      <c r="B641" s="132">
        <v>0.14331064305525662</v>
      </c>
      <c r="C641" s="133"/>
    </row>
    <row r="642" spans="1:3">
      <c r="A642" s="131" t="s">
        <v>8300</v>
      </c>
      <c r="B642" s="132">
        <v>8.8210171673666574E-3</v>
      </c>
      <c r="C642" s="133"/>
    </row>
    <row r="643" spans="1:3">
      <c r="A643" s="131" t="s">
        <v>8301</v>
      </c>
      <c r="B643" s="132">
        <v>1.2466221293936451E-2</v>
      </c>
      <c r="C643" s="133"/>
    </row>
    <row r="644" spans="1:3">
      <c r="A644" s="131" t="s">
        <v>8302</v>
      </c>
      <c r="B644" s="132">
        <v>6.8348155786440504E-2</v>
      </c>
      <c r="C644" s="133"/>
    </row>
    <row r="645" spans="1:3">
      <c r="A645" s="131" t="s">
        <v>8303</v>
      </c>
      <c r="B645" s="132">
        <v>3.8542090041863736E-2</v>
      </c>
      <c r="C645" s="133"/>
    </row>
    <row r="646" spans="1:3">
      <c r="A646" s="131" t="s">
        <v>8304</v>
      </c>
      <c r="B646" s="132">
        <v>4.8960380938839997E-3</v>
      </c>
      <c r="C646" s="133"/>
    </row>
    <row r="647" spans="1:3">
      <c r="A647" s="131" t="s">
        <v>8305</v>
      </c>
      <c r="B647" s="132">
        <v>0.49500963091850281</v>
      </c>
      <c r="C647" s="133"/>
    </row>
    <row r="648" spans="1:3">
      <c r="A648" s="131" t="s">
        <v>8306</v>
      </c>
      <c r="B648" s="132">
        <v>1.233997016934176E-3</v>
      </c>
      <c r="C648" s="133"/>
    </row>
    <row r="649" spans="1:3">
      <c r="A649" s="131" t="s">
        <v>8307</v>
      </c>
      <c r="B649" s="132">
        <v>5.0127458473904998E-2</v>
      </c>
      <c r="C649" s="133"/>
    </row>
    <row r="650" spans="1:3">
      <c r="A650" s="131" t="s">
        <v>8308</v>
      </c>
      <c r="B650" s="132">
        <v>6.5884742527129686E-4</v>
      </c>
      <c r="C650" s="133"/>
    </row>
    <row r="651" spans="1:3">
      <c r="A651" s="131" t="s">
        <v>8309</v>
      </c>
      <c r="B651" s="132">
        <v>0.24947667865720871</v>
      </c>
      <c r="C651" s="133"/>
    </row>
    <row r="652" spans="1:3">
      <c r="A652" s="131" t="s">
        <v>8310</v>
      </c>
      <c r="B652" s="132">
        <v>6.5609359027590005E-4</v>
      </c>
      <c r="C652" s="133"/>
    </row>
    <row r="653" spans="1:3">
      <c r="A653" s="131" t="s">
        <v>8311</v>
      </c>
      <c r="B653" s="132">
        <v>0.27830851339413137</v>
      </c>
      <c r="C653" s="133"/>
    </row>
    <row r="654" spans="1:3">
      <c r="A654" s="131" t="s">
        <v>8312</v>
      </c>
      <c r="B654" s="132">
        <v>9.1501807863865448E-5</v>
      </c>
      <c r="C654" s="133"/>
    </row>
    <row r="655" spans="1:3">
      <c r="A655" s="131" t="s">
        <v>8313</v>
      </c>
      <c r="B655" s="132">
        <v>5.3670034984939997E-4</v>
      </c>
      <c r="C655" s="133"/>
    </row>
    <row r="656" spans="1:3">
      <c r="A656" s="131" t="s">
        <v>8314</v>
      </c>
      <c r="B656" s="132">
        <v>4.2631976580692411E-5</v>
      </c>
      <c r="C656" s="133"/>
    </row>
    <row r="657" spans="1:3">
      <c r="A657" s="131" t="s">
        <v>8315</v>
      </c>
      <c r="B657" s="132">
        <v>9.7781138359528258E-4</v>
      </c>
      <c r="C657" s="133"/>
    </row>
    <row r="658" spans="1:3">
      <c r="A658" s="131" t="s">
        <v>8316</v>
      </c>
      <c r="B658" s="132">
        <v>2.1308714966055568E-2</v>
      </c>
      <c r="C658" s="133"/>
    </row>
    <row r="659" spans="1:3">
      <c r="A659" s="131" t="s">
        <v>8317</v>
      </c>
      <c r="B659" s="132">
        <v>1.2126573504530064E-4</v>
      </c>
      <c r="C659" s="133"/>
    </row>
    <row r="660" spans="1:3">
      <c r="A660" s="131" t="s">
        <v>8318</v>
      </c>
      <c r="B660" s="132">
        <v>3.0985165948815199E-2</v>
      </c>
      <c r="C660" s="133"/>
    </row>
    <row r="661" spans="1:3">
      <c r="A661" s="131" t="s">
        <v>8319</v>
      </c>
      <c r="B661" s="132">
        <v>1.2964731589493505E-2</v>
      </c>
      <c r="C661" s="133"/>
    </row>
    <row r="662" spans="1:3">
      <c r="A662" s="131" t="s">
        <v>8320</v>
      </c>
      <c r="B662" s="132">
        <v>5.370885906774242E-2</v>
      </c>
      <c r="C662" s="133"/>
    </row>
    <row r="663" spans="1:3">
      <c r="A663" s="131" t="s">
        <v>8321</v>
      </c>
      <c r="B663" s="132">
        <v>0.14114422411769301</v>
      </c>
      <c r="C663" s="133"/>
    </row>
    <row r="664" spans="1:3">
      <c r="A664" s="131" t="s">
        <v>8322</v>
      </c>
      <c r="B664" s="132">
        <v>8.9873146875086036E-3</v>
      </c>
      <c r="C664" s="133"/>
    </row>
    <row r="665" spans="1:3">
      <c r="A665" s="131" t="s">
        <v>8323</v>
      </c>
      <c r="B665" s="132">
        <v>6.2565600000000004E-3</v>
      </c>
      <c r="C665" s="133"/>
    </row>
    <row r="666" spans="1:3">
      <c r="A666" s="131" t="s">
        <v>8324</v>
      </c>
      <c r="B666" s="132">
        <v>0.14228915647327531</v>
      </c>
      <c r="C666" s="133"/>
    </row>
    <row r="667" spans="1:3">
      <c r="A667" s="131" t="s">
        <v>8325</v>
      </c>
      <c r="B667" s="132">
        <v>1.9360034453436831E-2</v>
      </c>
      <c r="C667" s="133"/>
    </row>
    <row r="668" spans="1:3">
      <c r="A668" s="131" t="s">
        <v>8326</v>
      </c>
      <c r="B668" s="132">
        <v>0.15956891487544106</v>
      </c>
      <c r="C668" s="133"/>
    </row>
    <row r="669" spans="1:3">
      <c r="A669" s="131" t="s">
        <v>8327</v>
      </c>
      <c r="B669" s="132">
        <v>4.2831671286349994E-3</v>
      </c>
      <c r="C669" s="133"/>
    </row>
    <row r="670" spans="1:3">
      <c r="A670" s="131" t="s">
        <v>8328</v>
      </c>
      <c r="B670" s="132">
        <v>9.4072722179339998E-4</v>
      </c>
      <c r="C670" s="133"/>
    </row>
    <row r="671" spans="1:3">
      <c r="A671" s="131" t="s">
        <v>8329</v>
      </c>
      <c r="B671" s="132">
        <v>4.4985066609074999E-3</v>
      </c>
      <c r="C671" s="133"/>
    </row>
    <row r="672" spans="1:3">
      <c r="A672" s="131" t="s">
        <v>8330</v>
      </c>
      <c r="B672" s="132">
        <v>2.4432248429369997E-4</v>
      </c>
      <c r="C672" s="133"/>
    </row>
    <row r="673" spans="1:3">
      <c r="A673" s="131" t="s">
        <v>8331</v>
      </c>
      <c r="B673" s="132">
        <v>2.0966246169083053E-3</v>
      </c>
      <c r="C673" s="133"/>
    </row>
    <row r="674" spans="1:3">
      <c r="A674" s="131" t="s">
        <v>8332</v>
      </c>
      <c r="B674" s="132">
        <v>44.37</v>
      </c>
      <c r="C674" s="133"/>
    </row>
    <row r="675" spans="1:3">
      <c r="A675" s="131" t="s">
        <v>8333</v>
      </c>
      <c r="B675" s="132">
        <v>2.8676296595466999E-2</v>
      </c>
      <c r="C675" s="133"/>
    </row>
    <row r="676" spans="1:3">
      <c r="A676" s="131" t="s">
        <v>8334</v>
      </c>
      <c r="B676" s="132">
        <v>0.74132700239089866</v>
      </c>
      <c r="C676" s="133"/>
    </row>
    <row r="677" spans="1:3">
      <c r="A677" s="131" t="s">
        <v>8335</v>
      </c>
      <c r="B677" s="132">
        <v>1.8447297273243151</v>
      </c>
      <c r="C677" s="133"/>
    </row>
    <row r="678" spans="1:3">
      <c r="A678" s="131" t="s">
        <v>8336</v>
      </c>
      <c r="B678" s="132">
        <v>1.3242164680756E-3</v>
      </c>
      <c r="C678" s="133"/>
    </row>
    <row r="679" spans="1:3">
      <c r="A679" s="131" t="s">
        <v>8337</v>
      </c>
      <c r="B679" s="132">
        <v>3.4951209084074001E-3</v>
      </c>
      <c r="C679" s="133"/>
    </row>
    <row r="680" spans="1:3">
      <c r="A680" s="131" t="s">
        <v>8338</v>
      </c>
      <c r="B680" s="132">
        <v>4.3161195893431495E-2</v>
      </c>
      <c r="C680" s="133"/>
    </row>
    <row r="681" spans="1:3">
      <c r="A681" s="131" t="s">
        <v>8339</v>
      </c>
      <c r="B681" s="132">
        <v>1.9442934671100902</v>
      </c>
      <c r="C681" s="133"/>
    </row>
    <row r="682" spans="1:3">
      <c r="A682" s="131" t="s">
        <v>8340</v>
      </c>
      <c r="B682" s="132">
        <v>1.7875715304008551E-2</v>
      </c>
      <c r="C682" s="133"/>
    </row>
    <row r="683" spans="1:3">
      <c r="A683" s="131" t="s">
        <v>8341</v>
      </c>
      <c r="B683" s="132">
        <v>8.4444164167328285E-3</v>
      </c>
      <c r="C683" s="133"/>
    </row>
    <row r="684" spans="1:3">
      <c r="A684" s="131" t="s">
        <v>8342</v>
      </c>
      <c r="B684" s="132">
        <v>3.5772044937296001E-2</v>
      </c>
      <c r="C684" s="133"/>
    </row>
    <row r="685" spans="1:3">
      <c r="A685" s="131" t="s">
        <v>8343</v>
      </c>
      <c r="B685" s="132">
        <v>0.2795142763514144</v>
      </c>
      <c r="C685" s="133"/>
    </row>
    <row r="686" spans="1:3">
      <c r="A686" s="131" t="s">
        <v>8344</v>
      </c>
      <c r="B686" s="132">
        <v>3.5029154156164546E-3</v>
      </c>
      <c r="C686" s="133"/>
    </row>
    <row r="687" spans="1:3">
      <c r="A687" s="131" t="s">
        <v>8345</v>
      </c>
      <c r="B687" s="132">
        <v>1.4701677475482677E-2</v>
      </c>
      <c r="C687" s="133"/>
    </row>
    <row r="688" spans="1:3">
      <c r="A688" s="131" t="s">
        <v>8346</v>
      </c>
      <c r="B688" s="132">
        <v>1.5186919418219617E-3</v>
      </c>
      <c r="C688" s="133"/>
    </row>
    <row r="689" spans="1:3">
      <c r="A689" s="131" t="s">
        <v>8347</v>
      </c>
      <c r="B689" s="132">
        <v>2.941437517233534E-2</v>
      </c>
      <c r="C689" s="133"/>
    </row>
    <row r="690" spans="1:3">
      <c r="A690" s="131" t="s">
        <v>8348</v>
      </c>
      <c r="B690" s="132">
        <v>2.5627050673121501E-2</v>
      </c>
      <c r="C690" s="133"/>
    </row>
    <row r="691" spans="1:3">
      <c r="A691" s="131" t="s">
        <v>8349</v>
      </c>
      <c r="B691" s="132">
        <v>4.6072020206339879E-3</v>
      </c>
      <c r="C691" s="133"/>
    </row>
    <row r="692" spans="1:3">
      <c r="A692" s="131" t="s">
        <v>12279</v>
      </c>
      <c r="B692" s="132">
        <v>2.5388302888139244E-2</v>
      </c>
      <c r="C692" s="133"/>
    </row>
    <row r="693" spans="1:3">
      <c r="A693" s="131" t="s">
        <v>12280</v>
      </c>
      <c r="B693" s="132">
        <v>2.5944207879387976E-2</v>
      </c>
      <c r="C693" s="133"/>
    </row>
    <row r="694" spans="1:3">
      <c r="A694" s="131" t="s">
        <v>12281</v>
      </c>
      <c r="B694" s="132">
        <v>1.2496876269800001E-2</v>
      </c>
      <c r="C694" s="133"/>
    </row>
    <row r="695" spans="1:3">
      <c r="A695" s="131" t="s">
        <v>12282</v>
      </c>
      <c r="B695" s="132">
        <v>6.7149483147589004</v>
      </c>
      <c r="C695" s="133"/>
    </row>
    <row r="696" spans="1:3">
      <c r="A696" s="131" t="s">
        <v>12283</v>
      </c>
      <c r="B696" s="132">
        <v>0.80739897489547729</v>
      </c>
      <c r="C696" s="133"/>
    </row>
    <row r="697" spans="1:3">
      <c r="A697" s="131" t="s">
        <v>12284</v>
      </c>
      <c r="B697" s="132">
        <v>0.49231821321387209</v>
      </c>
      <c r="C697" s="133"/>
    </row>
    <row r="698" spans="1:3">
      <c r="A698" s="131" t="s">
        <v>12285</v>
      </c>
      <c r="B698" s="132">
        <v>2.9113358293665001E-2</v>
      </c>
      <c r="C698" s="133"/>
    </row>
    <row r="699" spans="1:3">
      <c r="A699" s="131" t="s">
        <v>12286</v>
      </c>
      <c r="B699" s="132">
        <v>0.1496196885489432</v>
      </c>
      <c r="C699" s="133"/>
    </row>
    <row r="700" spans="1:3">
      <c r="A700" s="131" t="s">
        <v>12287</v>
      </c>
      <c r="B700" s="132">
        <v>3.8938153093675787</v>
      </c>
      <c r="C700" s="133"/>
    </row>
    <row r="701" spans="1:3">
      <c r="A701" s="131" t="s">
        <v>12288</v>
      </c>
      <c r="B701" s="132">
        <v>5.7502841280107999</v>
      </c>
      <c r="C701" s="133"/>
    </row>
    <row r="702" spans="1:3">
      <c r="A702" s="131" t="s">
        <v>12289</v>
      </c>
      <c r="B702" s="132">
        <v>2.6233433217639997E-2</v>
      </c>
      <c r="C702" s="133"/>
    </row>
    <row r="703" spans="1:3">
      <c r="A703" s="131" t="s">
        <v>12290</v>
      </c>
      <c r="B703" s="132">
        <v>5.8684200884998375E-4</v>
      </c>
      <c r="C703" s="133"/>
    </row>
    <row r="704" spans="1:3">
      <c r="A704" s="131" t="s">
        <v>12291</v>
      </c>
      <c r="B704" s="132">
        <v>4.5013593945266672</v>
      </c>
      <c r="C704" s="133"/>
    </row>
    <row r="705" spans="1:3">
      <c r="A705" s="131" t="s">
        <v>12292</v>
      </c>
      <c r="B705" s="132">
        <v>5.0500023668296592</v>
      </c>
      <c r="C705" s="133"/>
    </row>
    <row r="706" spans="1:3">
      <c r="A706" s="131" t="s">
        <v>12293</v>
      </c>
      <c r="B706" s="132">
        <v>46.059762439174001</v>
      </c>
      <c r="C706" s="133"/>
    </row>
    <row r="707" spans="1:3">
      <c r="A707" s="131" t="s">
        <v>12294</v>
      </c>
      <c r="B707" s="132">
        <v>2.73</v>
      </c>
      <c r="C707" s="133"/>
    </row>
    <row r="708" spans="1:3">
      <c r="A708" s="131" t="s">
        <v>12295</v>
      </c>
      <c r="B708" s="132">
        <v>5.7663977639999996E-2</v>
      </c>
      <c r="C708" s="133"/>
    </row>
    <row r="709" spans="1:3">
      <c r="A709" s="131" t="s">
        <v>12296</v>
      </c>
      <c r="B709" s="132">
        <v>2.3810852007745902E-2</v>
      </c>
      <c r="C709" s="133"/>
    </row>
    <row r="710" spans="1:3">
      <c r="A710" s="131" t="s">
        <v>12297</v>
      </c>
      <c r="B710" s="132">
        <v>3.9288630442059019E-2</v>
      </c>
      <c r="C710" s="133"/>
    </row>
    <row r="711" spans="1:3">
      <c r="A711" s="131" t="s">
        <v>12298</v>
      </c>
      <c r="B711" s="132">
        <v>0.53290359473215898</v>
      </c>
      <c r="C711" s="133"/>
    </row>
    <row r="712" spans="1:3">
      <c r="A712" s="131" t="s">
        <v>12299</v>
      </c>
      <c r="B712" s="132">
        <v>1.0963896288367012E-3</v>
      </c>
      <c r="C712" s="133"/>
    </row>
    <row r="713" spans="1:3">
      <c r="A713" s="131" t="s">
        <v>12300</v>
      </c>
      <c r="B713" s="132">
        <v>3.084235119303E-3</v>
      </c>
      <c r="C713" s="133"/>
    </row>
    <row r="714" spans="1:3">
      <c r="A714" s="131" t="s">
        <v>12301</v>
      </c>
      <c r="B714" s="132">
        <v>3.8107171685706622</v>
      </c>
      <c r="C714" s="133"/>
    </row>
    <row r="715" spans="1:3">
      <c r="A715" s="131" t="s">
        <v>12302</v>
      </c>
      <c r="B715" s="132">
        <v>2.8806693436183001E-2</v>
      </c>
      <c r="C715" s="133"/>
    </row>
    <row r="716" spans="1:3">
      <c r="A716" s="131" t="s">
        <v>12303</v>
      </c>
      <c r="B716" s="132">
        <v>1.16362058546819E-2</v>
      </c>
      <c r="C716" s="133"/>
    </row>
    <row r="717" spans="1:3">
      <c r="A717" s="131" t="s">
        <v>12304</v>
      </c>
      <c r="B717" s="132">
        <v>7.8748072103163452E-2</v>
      </c>
      <c r="C717" s="133"/>
    </row>
    <row r="718" spans="1:3">
      <c r="A718" s="131" t="s">
        <v>12305</v>
      </c>
      <c r="B718" s="132">
        <v>0.1121960368272734</v>
      </c>
      <c r="C718" s="133"/>
    </row>
    <row r="719" spans="1:3">
      <c r="A719" s="131" t="s">
        <v>12306</v>
      </c>
      <c r="B719" s="132">
        <v>20.15008120462392</v>
      </c>
      <c r="C719" s="133"/>
    </row>
    <row r="720" spans="1:3">
      <c r="A720" s="131" t="s">
        <v>12307</v>
      </c>
      <c r="B720" s="132">
        <v>1.6193740000000002E-2</v>
      </c>
      <c r="C720" s="133"/>
    </row>
    <row r="721" spans="1:3">
      <c r="A721" s="131" t="s">
        <v>12308</v>
      </c>
      <c r="B721" s="132">
        <v>0.16364036358791589</v>
      </c>
      <c r="C721" s="133"/>
    </row>
    <row r="722" spans="1:3">
      <c r="A722" s="131" t="s">
        <v>12309</v>
      </c>
      <c r="B722" s="132">
        <v>0.85395034892254995</v>
      </c>
      <c r="C722" s="133"/>
    </row>
    <row r="723" spans="1:3">
      <c r="A723" s="131" t="s">
        <v>12310</v>
      </c>
      <c r="B723" s="132">
        <v>0.12339722743482956</v>
      </c>
      <c r="C723" s="133"/>
    </row>
    <row r="724" spans="1:3">
      <c r="A724" s="131" t="s">
        <v>12311</v>
      </c>
      <c r="B724" s="132">
        <v>0.44408801763457589</v>
      </c>
      <c r="C724" s="133"/>
    </row>
    <row r="725" spans="1:3">
      <c r="A725" s="131" t="s">
        <v>12312</v>
      </c>
      <c r="B725" s="132">
        <v>1.5316601921114112E-3</v>
      </c>
      <c r="C725" s="133"/>
    </row>
    <row r="726" spans="1:3">
      <c r="A726" s="131" t="s">
        <v>12313</v>
      </c>
      <c r="B726" s="132">
        <v>3.1580678058856199E-2</v>
      </c>
      <c r="C726" s="133"/>
    </row>
    <row r="727" spans="1:3">
      <c r="A727" s="131" t="s">
        <v>12314</v>
      </c>
      <c r="B727" s="132">
        <v>1.7804691112401499E-2</v>
      </c>
      <c r="C727" s="133"/>
    </row>
    <row r="728" spans="1:3">
      <c r="A728" s="131" t="s">
        <v>12315</v>
      </c>
      <c r="B728" s="132">
        <v>5.7989578712837594E-2</v>
      </c>
      <c r="C728" s="133"/>
    </row>
    <row r="729" spans="1:3">
      <c r="A729" s="131" t="s">
        <v>12316</v>
      </c>
      <c r="B729" s="132">
        <v>1.49459622</v>
      </c>
      <c r="C729" s="133"/>
    </row>
    <row r="730" spans="1:3">
      <c r="A730" s="131" t="s">
        <v>12317</v>
      </c>
      <c r="B730" s="132">
        <v>0.31785361448631544</v>
      </c>
      <c r="C730" s="133"/>
    </row>
    <row r="731" spans="1:3">
      <c r="A731" s="131" t="s">
        <v>12318</v>
      </c>
      <c r="B731" s="132">
        <v>1.09116979070425E-2</v>
      </c>
      <c r="C731" s="133"/>
    </row>
    <row r="732" spans="1:3">
      <c r="A732" s="131" t="s">
        <v>12319</v>
      </c>
      <c r="B732" s="132">
        <v>7.1322201984003186E-4</v>
      </c>
      <c r="C732" s="133"/>
    </row>
    <row r="733" spans="1:3">
      <c r="A733" s="131" t="s">
        <v>12320</v>
      </c>
      <c r="B733" s="132">
        <v>1.0013621788253999</v>
      </c>
      <c r="C733" s="133"/>
    </row>
    <row r="734" spans="1:3">
      <c r="A734" s="131" t="s">
        <v>12321</v>
      </c>
      <c r="B734" s="132">
        <v>8.0675184334461427</v>
      </c>
      <c r="C734" s="133"/>
    </row>
    <row r="735" spans="1:3">
      <c r="A735" s="131" t="s">
        <v>12322</v>
      </c>
      <c r="B735" s="132">
        <v>8.0709432038642004E-2</v>
      </c>
      <c r="C735" s="133"/>
    </row>
    <row r="736" spans="1:3">
      <c r="A736" s="131" t="s">
        <v>12323</v>
      </c>
      <c r="B736" s="132">
        <v>7.1023938763633166E-4</v>
      </c>
      <c r="C736" s="133"/>
    </row>
    <row r="737" spans="1:3">
      <c r="A737" s="131" t="s">
        <v>12324</v>
      </c>
      <c r="B737" s="132">
        <v>1.6601765399816752</v>
      </c>
      <c r="C737" s="133"/>
    </row>
    <row r="738" spans="1:3">
      <c r="A738" s="131" t="s">
        <v>12325</v>
      </c>
      <c r="B738" s="132">
        <v>0.16558213555108001</v>
      </c>
      <c r="C738" s="133"/>
    </row>
    <row r="739" spans="1:3">
      <c r="A739" s="131" t="s">
        <v>12326</v>
      </c>
      <c r="B739" s="132">
        <v>2.7724614059075E-2</v>
      </c>
      <c r="C739" s="133"/>
    </row>
    <row r="740" spans="1:3">
      <c r="A740" s="131" t="s">
        <v>12327</v>
      </c>
      <c r="B740" s="132">
        <v>8.1247524117999994E-5</v>
      </c>
      <c r="C740" s="133"/>
    </row>
    <row r="741" spans="1:3">
      <c r="A741" s="131" t="s">
        <v>12328</v>
      </c>
      <c r="B741" s="132">
        <v>0.32146694803336917</v>
      </c>
      <c r="C741" s="133"/>
    </row>
    <row r="742" spans="1:3">
      <c r="A742" s="131" t="s">
        <v>12329</v>
      </c>
      <c r="B742" s="132">
        <v>3.0323512781202941E-4</v>
      </c>
      <c r="C742" s="133"/>
    </row>
    <row r="743" spans="1:3">
      <c r="A743" s="131" t="s">
        <v>12330</v>
      </c>
      <c r="B743" s="132">
        <v>4.3839946561481961E-4</v>
      </c>
      <c r="C743" s="133"/>
    </row>
    <row r="744" spans="1:3">
      <c r="A744" s="131" t="s">
        <v>12331</v>
      </c>
      <c r="B744" s="132">
        <v>1039.159974950252</v>
      </c>
      <c r="C744" s="133"/>
    </row>
    <row r="745" spans="1:3">
      <c r="A745" s="131" t="s">
        <v>12332</v>
      </c>
      <c r="B745" s="132">
        <v>5.2008838575812524E-3</v>
      </c>
      <c r="C745" s="133"/>
    </row>
    <row r="746" spans="1:3">
      <c r="A746" s="131" t="s">
        <v>12333</v>
      </c>
      <c r="B746" s="132">
        <v>1.2338208236773785E-3</v>
      </c>
      <c r="C746" s="133"/>
    </row>
    <row r="747" spans="1:3">
      <c r="A747" s="131" t="s">
        <v>12334</v>
      </c>
      <c r="B747" s="132">
        <v>6.6633101496854391E-2</v>
      </c>
      <c r="C747" s="133"/>
    </row>
    <row r="748" spans="1:3">
      <c r="A748" s="131" t="s">
        <v>12335</v>
      </c>
      <c r="B748" s="132">
        <v>4.9394757797489565E-2</v>
      </c>
      <c r="C748" s="133"/>
    </row>
    <row r="749" spans="1:3">
      <c r="A749" s="131" t="s">
        <v>12336</v>
      </c>
      <c r="B749" s="132">
        <v>6.09808595016142E-2</v>
      </c>
      <c r="C749" s="133"/>
    </row>
    <row r="750" spans="1:3">
      <c r="A750" s="131" t="s">
        <v>12337</v>
      </c>
      <c r="B750" s="132">
        <v>1.7883718843264001E-3</v>
      </c>
      <c r="C750" s="133"/>
    </row>
    <row r="751" spans="1:3">
      <c r="A751" s="131" t="s">
        <v>12338</v>
      </c>
      <c r="B751" s="132">
        <v>4.3048975261868001E-3</v>
      </c>
      <c r="C751" s="133"/>
    </row>
    <row r="752" spans="1:3">
      <c r="A752" s="131" t="s">
        <v>12339</v>
      </c>
      <c r="B752" s="132">
        <v>1.858813350205929E-2</v>
      </c>
      <c r="C752" s="133"/>
    </row>
    <row r="753" spans="1:3">
      <c r="A753" s="131" t="s">
        <v>12340</v>
      </c>
      <c r="B753" s="132">
        <v>1.4751817790258001E-3</v>
      </c>
      <c r="C753" s="133"/>
    </row>
    <row r="754" spans="1:3">
      <c r="A754" s="131" t="s">
        <v>12341</v>
      </c>
      <c r="B754" s="132">
        <v>8.2055073030199997E-5</v>
      </c>
      <c r="C754" s="133"/>
    </row>
    <row r="755" spans="1:3">
      <c r="A755" s="131" t="s">
        <v>12342</v>
      </c>
      <c r="B755" s="132">
        <v>2.0233237191900632E-2</v>
      </c>
      <c r="C755" s="133"/>
    </row>
    <row r="756" spans="1:3">
      <c r="A756" s="131" t="s">
        <v>12343</v>
      </c>
      <c r="B756" s="132">
        <v>3.17726280685902E-2</v>
      </c>
      <c r="C756" s="133"/>
    </row>
    <row r="757" spans="1:3">
      <c r="A757" s="131" t="s">
        <v>12344</v>
      </c>
      <c r="B757" s="132">
        <v>4.7676044381222E-5</v>
      </c>
      <c r="C757" s="133"/>
    </row>
    <row r="758" spans="1:3">
      <c r="A758" s="131" t="s">
        <v>12345</v>
      </c>
      <c r="B758" s="132">
        <v>3.782924359978E-4</v>
      </c>
      <c r="C758" s="133"/>
    </row>
    <row r="759" spans="1:3">
      <c r="A759" s="131" t="s">
        <v>12346</v>
      </c>
      <c r="B759" s="132">
        <v>2.4544999178033322E-5</v>
      </c>
      <c r="C759" s="133"/>
    </row>
    <row r="760" spans="1:3">
      <c r="A760" s="131" t="s">
        <v>12347</v>
      </c>
      <c r="B760" s="132">
        <v>4.7243254328864594E-2</v>
      </c>
      <c r="C760" s="133"/>
    </row>
    <row r="761" spans="1:3">
      <c r="A761" s="131" t="s">
        <v>12348</v>
      </c>
      <c r="B761" s="132">
        <v>4.86023453482834E-2</v>
      </c>
      <c r="C761" s="133"/>
    </row>
    <row r="762" spans="1:3">
      <c r="A762" s="131" t="s">
        <v>12349</v>
      </c>
      <c r="B762" s="132">
        <v>1.7026973270704E-3</v>
      </c>
      <c r="C762" s="133"/>
    </row>
    <row r="763" spans="1:3">
      <c r="A763" s="131" t="s">
        <v>12350</v>
      </c>
      <c r="B763" s="132">
        <v>3.2609298608599097E-2</v>
      </c>
      <c r="C763" s="133"/>
    </row>
    <row r="764" spans="1:3">
      <c r="A764" s="131" t="s">
        <v>12351</v>
      </c>
      <c r="B764" s="132">
        <v>2.9008478565558998E-3</v>
      </c>
      <c r="C764" s="133"/>
    </row>
    <row r="765" spans="1:3">
      <c r="A765" s="131" t="s">
        <v>12352</v>
      </c>
      <c r="B765" s="132">
        <v>1.4617938682207001E-3</v>
      </c>
      <c r="C765" s="133"/>
    </row>
    <row r="766" spans="1:3">
      <c r="A766" s="131" t="s">
        <v>12353</v>
      </c>
      <c r="B766" s="132">
        <v>9.0755988701235338E-4</v>
      </c>
      <c r="C766" s="133"/>
    </row>
    <row r="767" spans="1:3">
      <c r="A767" s="131" t="s">
        <v>12354</v>
      </c>
      <c r="B767" s="132">
        <v>7.726536787418766</v>
      </c>
      <c r="C767" s="133"/>
    </row>
    <row r="768" spans="1:3">
      <c r="A768" s="131" t="s">
        <v>12355</v>
      </c>
      <c r="B768" s="132">
        <v>2.3066086503093001E-2</v>
      </c>
      <c r="C768" s="133"/>
    </row>
    <row r="769" spans="1:3">
      <c r="A769" s="131" t="s">
        <v>12356</v>
      </c>
      <c r="B769" s="132">
        <v>1.2311969858819792E-2</v>
      </c>
      <c r="C769" s="133"/>
    </row>
    <row r="770" spans="1:3">
      <c r="A770" s="131" t="s">
        <v>12357</v>
      </c>
      <c r="B770" s="132">
        <v>4.1802624209325001E-4</v>
      </c>
      <c r="C770" s="133"/>
    </row>
    <row r="771" spans="1:3">
      <c r="A771" s="131" t="s">
        <v>12358</v>
      </c>
      <c r="B771" s="132">
        <v>4.9663930000000002E-2</v>
      </c>
      <c r="C771" s="133"/>
    </row>
    <row r="772" spans="1:3">
      <c r="A772" s="131" t="s">
        <v>12359</v>
      </c>
      <c r="B772" s="132">
        <v>2.0605520199249001E-3</v>
      </c>
      <c r="C772" s="133"/>
    </row>
    <row r="773" spans="1:3">
      <c r="A773" s="131" t="s">
        <v>12360</v>
      </c>
      <c r="B773" s="132">
        <v>8.1251626574122496E-3</v>
      </c>
      <c r="C773" s="133"/>
    </row>
    <row r="774" spans="1:3">
      <c r="A774" s="131" t="s">
        <v>12361</v>
      </c>
      <c r="B774" s="132">
        <v>2.5260440403243E-2</v>
      </c>
      <c r="C774" s="133"/>
    </row>
    <row r="775" spans="1:3">
      <c r="A775" s="131" t="s">
        <v>12362</v>
      </c>
      <c r="B775" s="132">
        <v>1.1141958601434999E-3</v>
      </c>
      <c r="C775" s="133"/>
    </row>
    <row r="776" spans="1:3">
      <c r="A776" s="131" t="s">
        <v>12363</v>
      </c>
      <c r="B776" s="132">
        <v>1.1012185208748001E-3</v>
      </c>
      <c r="C776" s="133"/>
    </row>
    <row r="777" spans="1:3">
      <c r="A777" s="131" t="s">
        <v>12364</v>
      </c>
      <c r="B777" s="132">
        <v>1.5600821077485449E-2</v>
      </c>
      <c r="C777" s="133"/>
    </row>
    <row r="778" spans="1:3">
      <c r="A778" s="131" t="s">
        <v>12365</v>
      </c>
      <c r="B778" s="132">
        <v>7.630616239760378E-2</v>
      </c>
      <c r="C778" s="133"/>
    </row>
    <row r="779" spans="1:3">
      <c r="A779" s="131" t="s">
        <v>12366</v>
      </c>
      <c r="B779" s="132">
        <v>7.0604971499004E-3</v>
      </c>
      <c r="C779" s="133"/>
    </row>
    <row r="780" spans="1:3">
      <c r="A780" s="131" t="s">
        <v>12367</v>
      </c>
      <c r="B780" s="132">
        <v>4.4582222850232996E-3</v>
      </c>
      <c r="C780" s="133"/>
    </row>
    <row r="781" spans="1:3">
      <c r="A781" s="131" t="s">
        <v>12368</v>
      </c>
      <c r="B781" s="132">
        <v>0.21330944458292628</v>
      </c>
      <c r="C781" s="133"/>
    </row>
    <row r="782" spans="1:3">
      <c r="A782" s="131" t="s">
        <v>12369</v>
      </c>
      <c r="B782" s="132">
        <v>2.2966870649158001E-3</v>
      </c>
      <c r="C782" s="133"/>
    </row>
    <row r="783" spans="1:3">
      <c r="A783" s="131" t="s">
        <v>12370</v>
      </c>
      <c r="B783" s="132">
        <v>4.8692606806960003E-4</v>
      </c>
      <c r="C783" s="133"/>
    </row>
    <row r="784" spans="1:3">
      <c r="A784" s="131" t="s">
        <v>12371</v>
      </c>
      <c r="B784" s="132">
        <v>7.4259999999999997E-5</v>
      </c>
      <c r="C784" s="133"/>
    </row>
    <row r="785" spans="1:3">
      <c r="A785" s="131" t="s">
        <v>12372</v>
      </c>
      <c r="B785" s="132">
        <v>1.4675522219837001E-3</v>
      </c>
      <c r="C785" s="133"/>
    </row>
    <row r="786" spans="1:3">
      <c r="A786" s="131" t="s">
        <v>12373</v>
      </c>
      <c r="B786" s="132">
        <v>2.1661917422052945E-4</v>
      </c>
      <c r="C786" s="133"/>
    </row>
    <row r="787" spans="1:3">
      <c r="A787" s="131" t="s">
        <v>12374</v>
      </c>
      <c r="B787" s="132">
        <v>4.0098067544136001E-2</v>
      </c>
      <c r="C787" s="133"/>
    </row>
    <row r="788" spans="1:3">
      <c r="A788" s="131" t="s">
        <v>12375</v>
      </c>
      <c r="B788" s="132">
        <v>1.4237461818860564E-2</v>
      </c>
      <c r="C788" s="133"/>
    </row>
    <row r="789" spans="1:3">
      <c r="A789" s="131" t="s">
        <v>12376</v>
      </c>
      <c r="B789" s="132">
        <v>0.10143436286262637</v>
      </c>
      <c r="C789" s="133"/>
    </row>
    <row r="790" spans="1:3">
      <c r="A790" s="131" t="s">
        <v>12377</v>
      </c>
      <c r="B790" s="132">
        <v>3.4002183142113951E-2</v>
      </c>
      <c r="C790" s="133"/>
    </row>
    <row r="791" spans="1:3">
      <c r="A791" s="131" t="s">
        <v>12378</v>
      </c>
      <c r="B791" s="132">
        <v>1.0305836666666666E-3</v>
      </c>
      <c r="C791" s="133"/>
    </row>
    <row r="792" spans="1:3">
      <c r="A792" s="131" t="s">
        <v>12379</v>
      </c>
      <c r="B792" s="132">
        <v>0.3268866698642664</v>
      </c>
      <c r="C792" s="133"/>
    </row>
    <row r="793" spans="1:3">
      <c r="A793" s="131" t="s">
        <v>12380</v>
      </c>
      <c r="B793" s="132">
        <v>0.27822400713708284</v>
      </c>
      <c r="C793" s="133"/>
    </row>
    <row r="794" spans="1:3">
      <c r="A794" s="131" t="s">
        <v>12381</v>
      </c>
      <c r="B794" s="132">
        <v>7.2776497002619998E-4</v>
      </c>
      <c r="C794" s="133"/>
    </row>
    <row r="795" spans="1:3">
      <c r="A795" s="131" t="s">
        <v>12382</v>
      </c>
      <c r="B795" s="132">
        <v>3.5568809549905001</v>
      </c>
      <c r="C795" s="133"/>
    </row>
    <row r="796" spans="1:3">
      <c r="A796" s="131" t="s">
        <v>12383</v>
      </c>
      <c r="B796" s="132">
        <v>1.9172415170548001E-2</v>
      </c>
      <c r="C796" s="133"/>
    </row>
    <row r="797" spans="1:3">
      <c r="A797" s="131" t="s">
        <v>12384</v>
      </c>
      <c r="B797" s="132">
        <v>0.84332700910390002</v>
      </c>
      <c r="C797" s="133"/>
    </row>
    <row r="798" spans="1:3">
      <c r="A798" s="131" t="s">
        <v>12385</v>
      </c>
      <c r="B798" s="132">
        <v>1.199091889032785E-5</v>
      </c>
      <c r="C798" s="133"/>
    </row>
    <row r="799" spans="1:3">
      <c r="A799" s="131" t="s">
        <v>12386</v>
      </c>
      <c r="B799" s="132">
        <v>6.6148138783613895E-3</v>
      </c>
      <c r="C799" s="133"/>
    </row>
    <row r="800" spans="1:3">
      <c r="A800" s="131" t="s">
        <v>12387</v>
      </c>
      <c r="B800" s="132">
        <v>3.1695805959369369E-3</v>
      </c>
      <c r="C800" s="133"/>
    </row>
    <row r="801" spans="1:3">
      <c r="A801" s="131" t="s">
        <v>12388</v>
      </c>
      <c r="B801" s="132">
        <v>4.3802747881821133E-3</v>
      </c>
      <c r="C801" s="133"/>
    </row>
    <row r="802" spans="1:3">
      <c r="A802" s="131" t="s">
        <v>12389</v>
      </c>
      <c r="B802" s="132">
        <v>3.5572930000000003E-2</v>
      </c>
      <c r="C802" s="133"/>
    </row>
    <row r="803" spans="1:3">
      <c r="A803" s="131" t="s">
        <v>12390</v>
      </c>
      <c r="B803" s="132">
        <v>3.8794979473617805E-2</v>
      </c>
      <c r="C803" s="133"/>
    </row>
    <row r="804" spans="1:3">
      <c r="A804" s="131" t="s">
        <v>12391</v>
      </c>
      <c r="B804" s="132">
        <v>2.8269900000000001E-3</v>
      </c>
      <c r="C804" s="133"/>
    </row>
    <row r="805" spans="1:3">
      <c r="A805" s="131" t="s">
        <v>12392</v>
      </c>
      <c r="B805" s="132">
        <v>1.0804492284767E-4</v>
      </c>
      <c r="C805" s="133"/>
    </row>
    <row r="806" spans="1:3">
      <c r="A806" s="131" t="s">
        <v>12393</v>
      </c>
      <c r="B806" s="132">
        <v>0.15427242512214584</v>
      </c>
      <c r="C806" s="133"/>
    </row>
    <row r="807" spans="1:3">
      <c r="A807" s="131" t="s">
        <v>12394</v>
      </c>
      <c r="B807" s="132">
        <v>1.4040011447658107E-3</v>
      </c>
      <c r="C807" s="133"/>
    </row>
    <row r="808" spans="1:3">
      <c r="A808" s="131" t="s">
        <v>12395</v>
      </c>
      <c r="B808" s="132">
        <v>2.1130537306246243E-6</v>
      </c>
      <c r="C808" s="133"/>
    </row>
    <row r="809" spans="1:3">
      <c r="A809" s="131" t="s">
        <v>12396</v>
      </c>
      <c r="B809" s="132">
        <v>1.1666607333333332E-3</v>
      </c>
      <c r="C809" s="133"/>
    </row>
    <row r="810" spans="1:3">
      <c r="A810" s="131" t="s">
        <v>12397</v>
      </c>
      <c r="B810" s="132">
        <v>2.3601358717231001E-3</v>
      </c>
      <c r="C810" s="133"/>
    </row>
    <row r="811" spans="1:3">
      <c r="A811" s="131" t="s">
        <v>12398</v>
      </c>
      <c r="B811" s="132">
        <v>4.8348261292275648E-3</v>
      </c>
      <c r="C811" s="133"/>
    </row>
    <row r="812" spans="1:3">
      <c r="A812" s="131" t="s">
        <v>12399</v>
      </c>
      <c r="B812" s="132">
        <v>8.7981933591512064E-6</v>
      </c>
      <c r="C812" s="133"/>
    </row>
    <row r="813" spans="1:3">
      <c r="A813" s="131" t="s">
        <v>12400</v>
      </c>
      <c r="B813" s="132">
        <v>8.8936750302824996E-2</v>
      </c>
      <c r="C813" s="133"/>
    </row>
    <row r="814" spans="1:3">
      <c r="A814" s="131" t="s">
        <v>12401</v>
      </c>
      <c r="B814" s="132">
        <v>1.6349605076218113E-3</v>
      </c>
      <c r="C814" s="133"/>
    </row>
    <row r="815" spans="1:3">
      <c r="A815" s="131" t="s">
        <v>12402</v>
      </c>
      <c r="B815" s="132">
        <v>1.55093E-4</v>
      </c>
      <c r="C815" s="133"/>
    </row>
    <row r="816" spans="1:3">
      <c r="A816" s="131" t="s">
        <v>12403</v>
      </c>
      <c r="B816" s="132">
        <v>1.9525619135604758E-2</v>
      </c>
      <c r="C816" s="133"/>
    </row>
    <row r="817" spans="1:3">
      <c r="A817" s="131" t="s">
        <v>12404</v>
      </c>
      <c r="B817" s="132">
        <v>1.4810350177370001E-2</v>
      </c>
      <c r="C817" s="133"/>
    </row>
    <row r="818" spans="1:3">
      <c r="A818" s="131" t="s">
        <v>12405</v>
      </c>
      <c r="B818" s="132">
        <v>9.0102178261611005E-4</v>
      </c>
      <c r="C818" s="133"/>
    </row>
    <row r="819" spans="1:3">
      <c r="A819" s="131" t="s">
        <v>12406</v>
      </c>
      <c r="B819" s="132">
        <v>5.8544110646546309E-3</v>
      </c>
      <c r="C819" s="133"/>
    </row>
    <row r="820" spans="1:3">
      <c r="A820" s="131" t="s">
        <v>12407</v>
      </c>
      <c r="B820" s="132">
        <v>1.7932052331830084</v>
      </c>
      <c r="C820" s="133"/>
    </row>
    <row r="821" spans="1:3">
      <c r="A821" s="131" t="s">
        <v>12408</v>
      </c>
      <c r="B821" s="132">
        <v>5.6048360524525E-3</v>
      </c>
      <c r="C821" s="133"/>
    </row>
    <row r="822" spans="1:3">
      <c r="A822" s="131" t="s">
        <v>12409</v>
      </c>
      <c r="B822" s="132">
        <v>0.1703021045546749</v>
      </c>
      <c r="C822" s="133"/>
    </row>
    <row r="823" spans="1:3">
      <c r="A823" s="131" t="s">
        <v>12410</v>
      </c>
      <c r="B823" s="132">
        <v>3.0394263039737569E-2</v>
      </c>
      <c r="C823" s="133"/>
    </row>
    <row r="824" spans="1:3">
      <c r="A824" s="131" t="s">
        <v>12411</v>
      </c>
      <c r="B824" s="132">
        <v>4.3124774935915343E-3</v>
      </c>
      <c r="C824" s="133"/>
    </row>
    <row r="825" spans="1:3">
      <c r="A825" s="131" t="s">
        <v>12412</v>
      </c>
      <c r="B825" s="132">
        <v>1.4831205330417541E-3</v>
      </c>
      <c r="C825" s="133"/>
    </row>
    <row r="826" spans="1:3">
      <c r="A826" s="131" t="s">
        <v>12413</v>
      </c>
      <c r="B826" s="132">
        <v>0.53812705485875156</v>
      </c>
      <c r="C826" s="133"/>
    </row>
    <row r="827" spans="1:3">
      <c r="A827" s="131" t="s">
        <v>12414</v>
      </c>
      <c r="B827" s="132">
        <v>2.6045833780444496E-3</v>
      </c>
      <c r="C827" s="133"/>
    </row>
    <row r="828" spans="1:3">
      <c r="A828" s="131" t="s">
        <v>12415</v>
      </c>
      <c r="B828" s="132">
        <v>3.8100251125303684E-4</v>
      </c>
      <c r="C828" s="133"/>
    </row>
    <row r="829" spans="1:3">
      <c r="A829" s="131" t="s">
        <v>12416</v>
      </c>
      <c r="B829" s="132">
        <v>8.710161125684788E-4</v>
      </c>
      <c r="C829" s="133"/>
    </row>
    <row r="830" spans="1:3">
      <c r="A830" s="131" t="s">
        <v>12417</v>
      </c>
      <c r="B830" s="132">
        <v>5.31</v>
      </c>
      <c r="C830" s="133"/>
    </row>
    <row r="831" spans="1:3">
      <c r="A831" s="131" t="s">
        <v>12418</v>
      </c>
      <c r="B831" s="132">
        <v>2.3331126295212602E-2</v>
      </c>
      <c r="C831" s="133"/>
    </row>
    <row r="832" spans="1:3">
      <c r="A832" s="131" t="s">
        <v>12419</v>
      </c>
      <c r="B832" s="132">
        <v>3.9948826984056843E-2</v>
      </c>
      <c r="C832" s="133"/>
    </row>
    <row r="833" spans="1:3">
      <c r="A833" s="131" t="s">
        <v>12420</v>
      </c>
      <c r="B833" s="132">
        <v>1.1650331236208633</v>
      </c>
      <c r="C833" s="133"/>
    </row>
    <row r="834" spans="1:3">
      <c r="A834" s="131" t="s">
        <v>12421</v>
      </c>
      <c r="B834" s="132">
        <v>4.1263233930170003E-3</v>
      </c>
      <c r="C834" s="133"/>
    </row>
    <row r="835" spans="1:3">
      <c r="A835" s="131" t="s">
        <v>12422</v>
      </c>
      <c r="B835" s="132">
        <v>0.36193379252982466</v>
      </c>
      <c r="C835" s="133"/>
    </row>
    <row r="836" spans="1:3">
      <c r="A836" s="131" t="s">
        <v>12423</v>
      </c>
      <c r="B836" s="132">
        <v>1.4911698340154336E-2</v>
      </c>
      <c r="C836" s="133"/>
    </row>
    <row r="837" spans="1:3">
      <c r="A837" s="131" t="s">
        <v>12424</v>
      </c>
      <c r="B837" s="132">
        <v>3.7488444024785919E-4</v>
      </c>
      <c r="C837" s="133"/>
    </row>
    <row r="838" spans="1:3">
      <c r="A838" s="131" t="s">
        <v>12425</v>
      </c>
      <c r="B838" s="132">
        <v>3.4799450083866021E-2</v>
      </c>
      <c r="C838" s="133"/>
    </row>
    <row r="839" spans="1:3">
      <c r="A839" s="131" t="s">
        <v>12426</v>
      </c>
      <c r="B839" s="132">
        <v>4.6060339426139471E-4</v>
      </c>
      <c r="C839" s="133"/>
    </row>
    <row r="840" spans="1:3">
      <c r="A840" s="131" t="s">
        <v>12427</v>
      </c>
      <c r="B840" s="132">
        <v>0.1140212988759132</v>
      </c>
      <c r="C840" s="133"/>
    </row>
    <row r="841" spans="1:3">
      <c r="A841" s="131" t="s">
        <v>12428</v>
      </c>
      <c r="B841" s="132">
        <v>2.9673061696810499E-3</v>
      </c>
      <c r="C841" s="133"/>
    </row>
    <row r="842" spans="1:3">
      <c r="A842" s="131" t="s">
        <v>12429</v>
      </c>
      <c r="B842" s="132">
        <v>2.6276467702993E-3</v>
      </c>
      <c r="C842" s="133"/>
    </row>
    <row r="843" spans="1:3">
      <c r="A843" s="131" t="s">
        <v>12430</v>
      </c>
      <c r="B843" s="132">
        <v>7.2118039973231999E-3</v>
      </c>
      <c r="C843" s="133"/>
    </row>
    <row r="844" spans="1:3">
      <c r="A844" s="131" t="s">
        <v>12431</v>
      </c>
      <c r="B844" s="132">
        <v>5.4142020394278553E-2</v>
      </c>
      <c r="C844" s="133"/>
    </row>
    <row r="845" spans="1:3">
      <c r="A845" s="131" t="s">
        <v>12432</v>
      </c>
      <c r="B845" s="132">
        <v>7.1400097734372003E-2</v>
      </c>
      <c r="C845" s="133"/>
    </row>
    <row r="846" spans="1:3">
      <c r="A846" s="131" t="s">
        <v>12433</v>
      </c>
      <c r="B846" s="132">
        <v>9.5913025804830005E-4</v>
      </c>
      <c r="C846" s="133"/>
    </row>
    <row r="847" spans="1:3">
      <c r="A847" s="131" t="s">
        <v>12434</v>
      </c>
      <c r="B847" s="132">
        <v>4.5824798766114696E-3</v>
      </c>
      <c r="C847" s="133"/>
    </row>
    <row r="848" spans="1:3">
      <c r="A848" s="131" t="s">
        <v>12435</v>
      </c>
      <c r="B848" s="132">
        <v>3.4090084571552501E-3</v>
      </c>
      <c r="C848" s="133"/>
    </row>
    <row r="849" spans="1:3">
      <c r="A849" s="131" t="s">
        <v>12436</v>
      </c>
      <c r="B849" s="132">
        <v>4.6016308677013004E-3</v>
      </c>
      <c r="C849" s="133"/>
    </row>
    <row r="850" spans="1:3">
      <c r="A850" s="131" t="s">
        <v>13912</v>
      </c>
      <c r="B850" s="132">
        <v>9.871004986468999E-4</v>
      </c>
      <c r="C850" s="133"/>
    </row>
    <row r="851" spans="1:3">
      <c r="A851" s="131" t="s">
        <v>13913</v>
      </c>
      <c r="B851" s="132">
        <v>4.5655748829481002E-3</v>
      </c>
      <c r="C851" s="133"/>
    </row>
    <row r="852" spans="1:3">
      <c r="A852" s="131" t="s">
        <v>13914</v>
      </c>
      <c r="B852" s="132">
        <v>4.7822871439264234E-3</v>
      </c>
      <c r="C852" s="133"/>
    </row>
    <row r="853" spans="1:3">
      <c r="A853" s="131" t="s">
        <v>13915</v>
      </c>
      <c r="B853" s="132">
        <v>0.21922265476202901</v>
      </c>
      <c r="C853" s="133"/>
    </row>
    <row r="854" spans="1:3">
      <c r="A854" s="131" t="s">
        <v>13916</v>
      </c>
      <c r="B854" s="132">
        <v>9.2369595670196494E-3</v>
      </c>
      <c r="C854" s="133"/>
    </row>
    <row r="855" spans="1:3">
      <c r="A855" s="131" t="s">
        <v>13917</v>
      </c>
      <c r="B855" s="132">
        <v>3.9200121536850929E-3</v>
      </c>
      <c r="C855" s="133"/>
    </row>
    <row r="856" spans="1:3">
      <c r="A856" s="131" t="s">
        <v>13918</v>
      </c>
      <c r="B856" s="132">
        <v>9.4162405389986868E-4</v>
      </c>
      <c r="C856" s="133"/>
    </row>
    <row r="857" spans="1:3">
      <c r="A857" s="131" t="s">
        <v>13919</v>
      </c>
      <c r="B857" s="132">
        <v>9.0854245379981269E-3</v>
      </c>
      <c r="C857" s="133"/>
    </row>
    <row r="858" spans="1:3">
      <c r="A858" s="131" t="s">
        <v>13920</v>
      </c>
      <c r="B858" s="132">
        <v>10.480511137807996</v>
      </c>
      <c r="C858" s="133"/>
    </row>
    <row r="859" spans="1:3">
      <c r="A859" s="131" t="s">
        <v>13921</v>
      </c>
      <c r="B859" s="132">
        <v>4.4252305042222</v>
      </c>
      <c r="C859" s="133"/>
    </row>
    <row r="860" spans="1:3">
      <c r="A860" s="131" t="s">
        <v>13922</v>
      </c>
      <c r="B860" s="132">
        <v>0.27677962151322166</v>
      </c>
      <c r="C860" s="133"/>
    </row>
    <row r="861" spans="1:3">
      <c r="A861" s="131" t="s">
        <v>13923</v>
      </c>
      <c r="B861" s="132">
        <v>2.4834412918337918E-3</v>
      </c>
      <c r="C861" s="133"/>
    </row>
    <row r="862" spans="1:3">
      <c r="A862" s="131" t="s">
        <v>13924</v>
      </c>
      <c r="B862" s="132">
        <v>9.1458862033082053E-2</v>
      </c>
      <c r="C862" s="133"/>
    </row>
    <row r="863" spans="1:3">
      <c r="A863" s="131" t="s">
        <v>13925</v>
      </c>
      <c r="B863" s="132">
        <v>1.0750481935033001E-3</v>
      </c>
      <c r="C863" s="133"/>
    </row>
    <row r="864" spans="1:3">
      <c r="A864" s="131" t="s">
        <v>13926</v>
      </c>
      <c r="B864" s="132">
        <v>5.8616673217170004E-3</v>
      </c>
      <c r="C864" s="133"/>
    </row>
    <row r="865" spans="1:3">
      <c r="A865" s="131" t="s">
        <v>13927</v>
      </c>
      <c r="B865" s="132">
        <v>1.3392675017458422E-3</v>
      </c>
      <c r="C865" s="133"/>
    </row>
    <row r="866" spans="1:3">
      <c r="A866" s="131" t="s">
        <v>13928</v>
      </c>
      <c r="B866" s="132">
        <v>3.556455912644758E-3</v>
      </c>
      <c r="C866" s="133"/>
    </row>
    <row r="867" spans="1:3">
      <c r="A867" s="131" t="s">
        <v>13929</v>
      </c>
      <c r="B867" s="132">
        <v>5.0637447614963792E-3</v>
      </c>
      <c r="C867" s="133"/>
    </row>
    <row r="868" spans="1:3">
      <c r="A868" s="131" t="s">
        <v>13930</v>
      </c>
      <c r="B868" s="132">
        <v>0.62881467556681303</v>
      </c>
      <c r="C868" s="133"/>
    </row>
    <row r="869" spans="1:3">
      <c r="A869" s="131" t="s">
        <v>13931</v>
      </c>
      <c r="B869" s="132">
        <v>4.0240664034851001E-3</v>
      </c>
      <c r="C869" s="133"/>
    </row>
    <row r="870" spans="1:3">
      <c r="A870" s="131" t="s">
        <v>13932</v>
      </c>
      <c r="B870" s="132">
        <v>0.68955697273138028</v>
      </c>
      <c r="C870" s="133"/>
    </row>
    <row r="871" spans="1:3">
      <c r="A871" s="131" t="s">
        <v>13933</v>
      </c>
      <c r="B871" s="132">
        <v>1.2184401240859656E-3</v>
      </c>
      <c r="C871" s="133"/>
    </row>
    <row r="872" spans="1:3">
      <c r="A872" s="131" t="s">
        <v>13934</v>
      </c>
      <c r="B872" s="132">
        <v>3.6132514206096054E-2</v>
      </c>
      <c r="C872" s="133"/>
    </row>
    <row r="873" spans="1:3">
      <c r="A873" s="131" t="s">
        <v>13935</v>
      </c>
      <c r="B873" s="132">
        <v>2.1928328973653401E-2</v>
      </c>
      <c r="C873" s="133"/>
    </row>
    <row r="874" spans="1:3">
      <c r="A874" s="131" t="s">
        <v>13936</v>
      </c>
      <c r="B874" s="132">
        <v>2.4551982269805E-5</v>
      </c>
      <c r="C874" s="133"/>
    </row>
    <row r="875" spans="1:3">
      <c r="A875" s="131" t="s">
        <v>13937</v>
      </c>
      <c r="B875" s="132">
        <v>8.5811799999999994E-2</v>
      </c>
      <c r="C875" s="133"/>
    </row>
    <row r="876" spans="1:3">
      <c r="A876" s="131" t="s">
        <v>13938</v>
      </c>
      <c r="B876" s="132">
        <v>1.8643127099346996E-4</v>
      </c>
      <c r="C876" s="133"/>
    </row>
    <row r="877" spans="1:3">
      <c r="A877" s="131" t="s">
        <v>13939</v>
      </c>
      <c r="B877" s="132">
        <v>5.3395143352059449E-4</v>
      </c>
      <c r="C877" s="133"/>
    </row>
    <row r="878" spans="1:3">
      <c r="A878" s="131" t="s">
        <v>13940</v>
      </c>
      <c r="B878" s="132">
        <v>0.58015391866801724</v>
      </c>
      <c r="C878" s="133"/>
    </row>
    <row r="879" spans="1:3">
      <c r="A879" s="131" t="s">
        <v>13941</v>
      </c>
      <c r="B879" s="132">
        <v>2.1535892968294001E-3</v>
      </c>
      <c r="C879" s="133"/>
    </row>
    <row r="880" spans="1:3">
      <c r="A880" s="131" t="s">
        <v>13942</v>
      </c>
      <c r="B880" s="132">
        <v>1.4388485925469999E-4</v>
      </c>
      <c r="C880" s="133"/>
    </row>
    <row r="881" spans="1:3">
      <c r="A881" s="131" t="s">
        <v>13943</v>
      </c>
      <c r="B881" s="132">
        <v>2.8817464143575593E-2</v>
      </c>
      <c r="C881" s="133"/>
    </row>
    <row r="882" spans="1:3">
      <c r="A882" s="131" t="s">
        <v>13944</v>
      </c>
      <c r="B882" s="132">
        <v>2.50193410051439E-2</v>
      </c>
      <c r="C882" s="133"/>
    </row>
    <row r="883" spans="1:3">
      <c r="A883" s="131" t="s">
        <v>13945</v>
      </c>
      <c r="B883" s="132">
        <v>6.2060641534774028</v>
      </c>
      <c r="C883" s="133"/>
    </row>
    <row r="884" spans="1:3">
      <c r="A884" s="131" t="s">
        <v>13946</v>
      </c>
      <c r="B884" s="132">
        <v>1.32092650156684E-2</v>
      </c>
      <c r="C884" s="133"/>
    </row>
    <row r="885" spans="1:3">
      <c r="A885" s="131" t="s">
        <v>13947</v>
      </c>
      <c r="B885" s="132">
        <v>4.281359319786375E-2</v>
      </c>
      <c r="C885" s="133"/>
    </row>
    <row r="886" spans="1:3">
      <c r="A886" s="131" t="s">
        <v>13948</v>
      </c>
      <c r="B886" s="132">
        <v>2.4310879095839001E-3</v>
      </c>
      <c r="C886" s="133"/>
    </row>
    <row r="887" spans="1:3">
      <c r="A887" s="131" t="s">
        <v>13949</v>
      </c>
      <c r="B887" s="132">
        <v>3.9622946033999009E-4</v>
      </c>
      <c r="C887" s="133"/>
    </row>
    <row r="888" spans="1:3">
      <c r="A888" s="131" t="s">
        <v>13950</v>
      </c>
      <c r="B888" s="132">
        <v>1.7913746860329E-2</v>
      </c>
      <c r="C888" s="133"/>
    </row>
    <row r="889" spans="1:3">
      <c r="A889" s="131" t="s">
        <v>13951</v>
      </c>
      <c r="B889" s="132">
        <v>1.0080228323877867</v>
      </c>
      <c r="C889" s="133"/>
    </row>
    <row r="890" spans="1:3">
      <c r="A890" s="131" t="s">
        <v>13952</v>
      </c>
      <c r="B890" s="132">
        <v>1.8498305501569001E-2</v>
      </c>
      <c r="C890" s="133"/>
    </row>
    <row r="891" spans="1:3">
      <c r="A891" s="131" t="s">
        <v>13953</v>
      </c>
      <c r="B891" s="132">
        <v>0.22282943506167502</v>
      </c>
      <c r="C891" s="133"/>
    </row>
    <row r="892" spans="1:3">
      <c r="A892" s="131" t="s">
        <v>13954</v>
      </c>
      <c r="B892" s="132">
        <v>3.7494861925009726E-2</v>
      </c>
      <c r="C892" s="133"/>
    </row>
    <row r="893" spans="1:3">
      <c r="A893" s="131" t="s">
        <v>13955</v>
      </c>
      <c r="B893" s="132">
        <v>1.688301314792829E-2</v>
      </c>
      <c r="C893" s="133"/>
    </row>
    <row r="894" spans="1:3">
      <c r="A894" s="131" t="s">
        <v>13956</v>
      </c>
      <c r="B894" s="132">
        <v>0.19928980635990509</v>
      </c>
      <c r="C894" s="133"/>
    </row>
    <row r="895" spans="1:3">
      <c r="A895" s="131" t="s">
        <v>13957</v>
      </c>
      <c r="B895" s="132">
        <v>1.6501387603034775E-3</v>
      </c>
      <c r="C895" s="133"/>
    </row>
    <row r="896" spans="1:3">
      <c r="A896" s="131" t="s">
        <v>13958</v>
      </c>
      <c r="B896" s="132">
        <v>1.1212663257198247E-3</v>
      </c>
      <c r="C896" s="133"/>
    </row>
    <row r="897" spans="1:3">
      <c r="A897" s="131" t="s">
        <v>13959</v>
      </c>
      <c r="B897" s="132">
        <v>9.7466791048645973E-3</v>
      </c>
      <c r="C897" s="133"/>
    </row>
    <row r="898" spans="1:3">
      <c r="A898" s="131" t="s">
        <v>13960</v>
      </c>
      <c r="B898" s="132">
        <v>1.0122568554405471</v>
      </c>
      <c r="C898" s="133"/>
    </row>
    <row r="899" spans="1:3">
      <c r="A899" s="131" t="s">
        <v>13961</v>
      </c>
      <c r="B899" s="132">
        <v>4.108578730653561E-3</v>
      </c>
      <c r="C899" s="133"/>
    </row>
    <row r="900" spans="1:3">
      <c r="A900" s="131" t="s">
        <v>13962</v>
      </c>
      <c r="B900" s="132">
        <v>0.99992225353204534</v>
      </c>
      <c r="C900" s="133"/>
    </row>
    <row r="901" spans="1:3">
      <c r="A901" s="131" t="s">
        <v>13963</v>
      </c>
      <c r="B901" s="132">
        <v>5.6779574889921484E-4</v>
      </c>
      <c r="C901" s="133"/>
    </row>
    <row r="902" spans="1:3">
      <c r="A902" s="131" t="s">
        <v>13964</v>
      </c>
      <c r="B902" s="132">
        <v>7.9739186928793259E-4</v>
      </c>
      <c r="C902" s="133"/>
    </row>
    <row r="903" spans="1:3">
      <c r="A903" s="131" t="s">
        <v>13965</v>
      </c>
      <c r="B903" s="132">
        <v>5.8043627212229999E-4</v>
      </c>
      <c r="C903" s="133"/>
    </row>
    <row r="904" spans="1:3">
      <c r="A904" s="131" t="s">
        <v>13966</v>
      </c>
      <c r="B904" s="132">
        <v>1.9319198397780998E-2</v>
      </c>
      <c r="C904" s="133"/>
    </row>
    <row r="905" spans="1:3">
      <c r="A905" s="131" t="s">
        <v>13967</v>
      </c>
      <c r="B905" s="132">
        <v>4.0046664751998001E-2</v>
      </c>
      <c r="C905" s="133"/>
    </row>
    <row r="906" spans="1:3">
      <c r="A906" s="131" t="s">
        <v>13968</v>
      </c>
      <c r="B906" s="132">
        <v>3.4202572216253955E-3</v>
      </c>
      <c r="C906" s="133"/>
    </row>
    <row r="907" spans="1:3">
      <c r="A907" s="131" t="s">
        <v>13969</v>
      </c>
      <c r="B907" s="132">
        <v>0.10069521671851481</v>
      </c>
      <c r="C907" s="133"/>
    </row>
    <row r="908" spans="1:3">
      <c r="A908" s="131" t="s">
        <v>13970</v>
      </c>
      <c r="B908" s="132">
        <v>2.6569466564762125</v>
      </c>
      <c r="C908" s="133"/>
    </row>
    <row r="909" spans="1:3">
      <c r="A909" s="131" t="s">
        <v>13971</v>
      </c>
      <c r="B909" s="132">
        <v>2.2196634593341015E-2</v>
      </c>
      <c r="C909" s="133"/>
    </row>
    <row r="910" spans="1:3">
      <c r="A910" s="131" t="s">
        <v>13972</v>
      </c>
      <c r="B910" s="132">
        <v>3.4006259299999999E-4</v>
      </c>
      <c r="C910" s="133"/>
    </row>
    <row r="911" spans="1:3">
      <c r="A911" s="131" t="s">
        <v>13973</v>
      </c>
      <c r="B911" s="132">
        <v>1.6779374353192999E-3</v>
      </c>
      <c r="C911" s="133"/>
    </row>
    <row r="912" spans="1:3">
      <c r="A912" s="131" t="s">
        <v>13974</v>
      </c>
      <c r="B912" s="132">
        <v>7.0225574757894628E-4</v>
      </c>
      <c r="C912" s="133"/>
    </row>
    <row r="913" spans="1:3">
      <c r="A913" s="131" t="s">
        <v>13975</v>
      </c>
      <c r="B913" s="132">
        <v>1.5710614633476001</v>
      </c>
      <c r="C913" s="133"/>
    </row>
    <row r="914" spans="1:3">
      <c r="A914" s="131" t="s">
        <v>13976</v>
      </c>
      <c r="B914" s="132">
        <v>0.124753808083824</v>
      </c>
      <c r="C914" s="133"/>
    </row>
    <row r="915" spans="1:3">
      <c r="A915" s="131" t="s">
        <v>13977</v>
      </c>
      <c r="B915" s="132">
        <v>7.2150455044586795E-2</v>
      </c>
      <c r="C915" s="133"/>
    </row>
    <row r="916" spans="1:3">
      <c r="A916" s="131" t="s">
        <v>13978</v>
      </c>
      <c r="B916" s="132">
        <v>1.1457238549413E-3</v>
      </c>
      <c r="C916" s="133"/>
    </row>
    <row r="917" spans="1:3">
      <c r="A917" s="131" t="s">
        <v>13979</v>
      </c>
      <c r="B917" s="132">
        <v>0.46268280887902447</v>
      </c>
      <c r="C917" s="133"/>
    </row>
    <row r="918" spans="1:3">
      <c r="A918" s="131" t="s">
        <v>13980</v>
      </c>
      <c r="B918" s="132">
        <v>8.0082741985156997E-2</v>
      </c>
      <c r="C918" s="133"/>
    </row>
    <row r="919" spans="1:3">
      <c r="A919" s="131" t="s">
        <v>13981</v>
      </c>
      <c r="B919" s="132">
        <v>0.10681961786078287</v>
      </c>
      <c r="C919" s="133"/>
    </row>
    <row r="920" spans="1:3">
      <c r="A920" s="131" t="s">
        <v>13982</v>
      </c>
      <c r="B920" s="132">
        <v>4.9225645763755231E-5</v>
      </c>
      <c r="C920" s="133"/>
    </row>
    <row r="921" spans="1:3">
      <c r="A921" s="131" t="s">
        <v>13983</v>
      </c>
      <c r="B921" s="132">
        <v>4.0897449021821001E-3</v>
      </c>
      <c r="C921" s="133"/>
    </row>
    <row r="922" spans="1:3">
      <c r="A922" s="131" t="s">
        <v>13984</v>
      </c>
      <c r="B922" s="132">
        <v>1.6798259355838913E-4</v>
      </c>
      <c r="C922" s="133"/>
    </row>
    <row r="923" spans="1:3">
      <c r="A923" s="131" t="s">
        <v>13985</v>
      </c>
      <c r="B923" s="132">
        <v>0.12418660166331</v>
      </c>
      <c r="C923" s="133"/>
    </row>
    <row r="924" spans="1:3">
      <c r="A924" s="131" t="s">
        <v>13986</v>
      </c>
      <c r="B924" s="132">
        <v>2.9275157769329458E-3</v>
      </c>
      <c r="C924" s="133"/>
    </row>
    <row r="925" spans="1:3">
      <c r="A925" s="131" t="s">
        <v>13987</v>
      </c>
      <c r="B925" s="132">
        <v>7.0676331236254136E-2</v>
      </c>
      <c r="C925" s="133"/>
    </row>
    <row r="926" spans="1:3">
      <c r="A926" s="131" t="s">
        <v>13988</v>
      </c>
      <c r="B926" s="132">
        <v>3.5858570876625881E-4</v>
      </c>
      <c r="C926" s="133"/>
    </row>
    <row r="927" spans="1:3">
      <c r="A927" s="131" t="s">
        <v>13989</v>
      </c>
      <c r="B927" s="132">
        <v>1.3946053398952201E-2</v>
      </c>
      <c r="C927" s="133"/>
    </row>
    <row r="928" spans="1:3">
      <c r="A928" s="131" t="s">
        <v>13990</v>
      </c>
      <c r="B928" s="132">
        <v>0.9528775230392903</v>
      </c>
      <c r="C928" s="133"/>
    </row>
    <row r="929" spans="1:3">
      <c r="A929" s="131" t="s">
        <v>13991</v>
      </c>
      <c r="B929" s="132">
        <v>2.7573648835633471E-2</v>
      </c>
      <c r="C929" s="133"/>
    </row>
    <row r="930" spans="1:3">
      <c r="A930" s="131" t="s">
        <v>13992</v>
      </c>
      <c r="B930" s="132">
        <v>5.1507281677829302E-2</v>
      </c>
      <c r="C930" s="133"/>
    </row>
    <row r="931" spans="1:3">
      <c r="A931" s="131" t="s">
        <v>13993</v>
      </c>
      <c r="B931" s="132">
        <v>5.0532985266051001E-3</v>
      </c>
      <c r="C931" s="133"/>
    </row>
    <row r="932" spans="1:3">
      <c r="A932" s="131" t="s">
        <v>13994</v>
      </c>
      <c r="B932" s="132">
        <v>1.0832650098175E-4</v>
      </c>
      <c r="C932" s="133"/>
    </row>
    <row r="933" spans="1:3">
      <c r="A933" s="131" t="s">
        <v>13995</v>
      </c>
      <c r="B933" s="132">
        <v>1.1864190909343049E-6</v>
      </c>
      <c r="C933" s="133"/>
    </row>
    <row r="934" spans="1:3">
      <c r="A934" s="131" t="s">
        <v>13996</v>
      </c>
      <c r="B934" s="132">
        <v>3.7782749383009998E-4</v>
      </c>
      <c r="C934" s="133"/>
    </row>
    <row r="935" spans="1:3">
      <c r="A935" s="131" t="s">
        <v>13997</v>
      </c>
      <c r="B935" s="132">
        <v>6.4998955300000006E-8</v>
      </c>
      <c r="C935" s="133"/>
    </row>
    <row r="936" spans="1:3">
      <c r="A936" s="131" t="s">
        <v>13998</v>
      </c>
      <c r="B936" s="132">
        <v>1.4414349550171001E-2</v>
      </c>
      <c r="C936" s="133"/>
    </row>
    <row r="937" spans="1:3">
      <c r="A937" s="131" t="s">
        <v>13999</v>
      </c>
      <c r="B937" s="132">
        <v>1.7152924489183762E-4</v>
      </c>
      <c r="C937" s="133"/>
    </row>
    <row r="938" spans="1:3">
      <c r="A938" s="131" t="s">
        <v>14000</v>
      </c>
      <c r="B938" s="132">
        <v>1.2485280523976999E-3</v>
      </c>
      <c r="C938" s="133"/>
    </row>
    <row r="939" spans="1:3">
      <c r="A939" s="131" t="s">
        <v>14001</v>
      </c>
      <c r="B939" s="132">
        <v>1.0364979166984001E-3</v>
      </c>
      <c r="C939" s="133"/>
    </row>
    <row r="940" spans="1:3">
      <c r="A940" s="131" t="s">
        <v>14002</v>
      </c>
      <c r="B940" s="132">
        <v>6.8403635899943499E-2</v>
      </c>
      <c r="C940" s="133"/>
    </row>
    <row r="941" spans="1:3">
      <c r="A941" s="131" t="s">
        <v>14003</v>
      </c>
      <c r="B941" s="132">
        <v>1.1557783066773999E-3</v>
      </c>
      <c r="C941" s="133"/>
    </row>
    <row r="942" spans="1:3">
      <c r="A942" s="131" t="s">
        <v>14004</v>
      </c>
      <c r="B942" s="132">
        <v>2.6537393200891E-4</v>
      </c>
      <c r="C942" s="133"/>
    </row>
    <row r="943" spans="1:3">
      <c r="A943" s="131" t="s">
        <v>14005</v>
      </c>
      <c r="B943" s="132">
        <v>1.22755290728394E-2</v>
      </c>
      <c r="C943" s="133"/>
    </row>
    <row r="944" spans="1:3">
      <c r="A944" s="131" t="s">
        <v>14006</v>
      </c>
      <c r="B944" s="132">
        <v>1.9014161686677002E-2</v>
      </c>
      <c r="C944" s="133"/>
    </row>
    <row r="945" spans="1:3">
      <c r="A945" s="131" t="s">
        <v>14007</v>
      </c>
      <c r="B945" s="132">
        <v>4.7097198376161997E-2</v>
      </c>
      <c r="C945" s="133"/>
    </row>
    <row r="946" spans="1:3">
      <c r="A946" s="131" t="s">
        <v>14008</v>
      </c>
      <c r="B946" s="132">
        <v>5.8971984890870004E-6</v>
      </c>
      <c r="C946" s="133"/>
    </row>
    <row r="947" spans="1:3">
      <c r="A947" s="131" t="s">
        <v>14009</v>
      </c>
      <c r="B947" s="132">
        <v>1.9135494591647E-3</v>
      </c>
      <c r="C947" s="133"/>
    </row>
    <row r="948" spans="1:3">
      <c r="A948" s="131" t="s">
        <v>14010</v>
      </c>
      <c r="B948" s="132">
        <v>0.2222488265690663</v>
      </c>
      <c r="C948" s="133"/>
    </row>
    <row r="949" spans="1:3">
      <c r="A949" s="131" t="s">
        <v>14011</v>
      </c>
      <c r="B949" s="132">
        <v>7.297382963776898E-2</v>
      </c>
      <c r="C949" s="133"/>
    </row>
    <row r="950" spans="1:3">
      <c r="A950" s="131" t="s">
        <v>14012</v>
      </c>
      <c r="B950" s="132">
        <v>1.4691765087440232E-3</v>
      </c>
      <c r="C950" s="133"/>
    </row>
    <row r="951" spans="1:3">
      <c r="A951" s="131" t="s">
        <v>14013</v>
      </c>
      <c r="B951" s="132">
        <v>3.0968447584871356E-3</v>
      </c>
      <c r="C951" s="133"/>
    </row>
    <row r="952" spans="1:3">
      <c r="A952" s="131" t="s">
        <v>14014</v>
      </c>
      <c r="B952" s="132">
        <v>0.2143393798249256</v>
      </c>
      <c r="C952" s="133"/>
    </row>
    <row r="953" spans="1:3">
      <c r="A953" s="131" t="s">
        <v>14015</v>
      </c>
      <c r="B953" s="132">
        <v>7.2654001996852458E-5</v>
      </c>
      <c r="C953" s="133"/>
    </row>
    <row r="954" spans="1:3">
      <c r="A954" s="131" t="s">
        <v>14016</v>
      </c>
      <c r="B954" s="132">
        <v>4.1051759132039998E-4</v>
      </c>
      <c r="C954" s="133"/>
    </row>
    <row r="955" spans="1:3">
      <c r="A955" s="131" t="s">
        <v>14017</v>
      </c>
      <c r="B955" s="132">
        <v>1.5114134869241673</v>
      </c>
      <c r="C955" s="133"/>
    </row>
    <row r="956" spans="1:3">
      <c r="A956" s="131" t="s">
        <v>14018</v>
      </c>
      <c r="B956" s="132">
        <v>1.8515757055452826E-3</v>
      </c>
      <c r="C956" s="133"/>
    </row>
    <row r="957" spans="1:3">
      <c r="A957" s="131" t="s">
        <v>14019</v>
      </c>
      <c r="B957" s="132">
        <v>3.0908268513354071E-5</v>
      </c>
      <c r="C957" s="133"/>
    </row>
    <row r="958" spans="1:3">
      <c r="A958" s="131" t="s">
        <v>14020</v>
      </c>
      <c r="B958" s="132">
        <v>1.7083234240642054E-2</v>
      </c>
      <c r="C958" s="133"/>
    </row>
    <row r="959" spans="1:3">
      <c r="A959" s="131" t="s">
        <v>14021</v>
      </c>
      <c r="B959" s="132">
        <v>1.1400813100383777E-2</v>
      </c>
      <c r="C959" s="133"/>
    </row>
    <row r="960" spans="1:3">
      <c r="A960" s="131" t="s">
        <v>14022</v>
      </c>
      <c r="B960" s="132">
        <v>7.9085646518338729E-2</v>
      </c>
      <c r="C960" s="133"/>
    </row>
    <row r="961" spans="1:3">
      <c r="A961" s="131" t="s">
        <v>14023</v>
      </c>
      <c r="B961" s="132">
        <v>0.28383691798740651</v>
      </c>
      <c r="C961" s="133"/>
    </row>
    <row r="962" spans="1:3">
      <c r="A962" s="131" t="s">
        <v>14024</v>
      </c>
      <c r="B962" s="132">
        <v>17.823182163426001</v>
      </c>
      <c r="C962" s="133"/>
    </row>
    <row r="963" spans="1:3">
      <c r="A963" s="131" t="s">
        <v>14025</v>
      </c>
      <c r="B963" s="132">
        <v>3.1205664859240999E-2</v>
      </c>
      <c r="C963" s="133"/>
    </row>
    <row r="964" spans="1:3">
      <c r="A964" s="131" t="s">
        <v>14026</v>
      </c>
      <c r="B964" s="132">
        <v>6.1308461725419997E-4</v>
      </c>
      <c r="C964" s="133"/>
    </row>
    <row r="965" spans="1:3">
      <c r="A965" s="131" t="s">
        <v>14027</v>
      </c>
      <c r="B965" s="132">
        <v>3.3750098452033999E-3</v>
      </c>
      <c r="C965" s="133"/>
    </row>
    <row r="966" spans="1:3">
      <c r="A966" s="131" t="s">
        <v>14028</v>
      </c>
      <c r="B966" s="132">
        <v>7.305717231213932</v>
      </c>
      <c r="C966" s="133"/>
    </row>
    <row r="967" spans="1:3">
      <c r="A967" s="131" t="s">
        <v>14029</v>
      </c>
      <c r="B967" s="132">
        <v>5.791081115603447E-3</v>
      </c>
      <c r="C967" s="133"/>
    </row>
    <row r="968" spans="1:3">
      <c r="A968" s="131" t="s">
        <v>14030</v>
      </c>
      <c r="B968" s="132">
        <v>0.12311999999999999</v>
      </c>
      <c r="C968" s="133"/>
    </row>
    <row r="969" spans="1:3">
      <c r="A969" s="131" t="s">
        <v>14031</v>
      </c>
      <c r="B969" s="132">
        <v>1.5488952674336E-3</v>
      </c>
      <c r="C969" s="133"/>
    </row>
    <row r="970" spans="1:3">
      <c r="A970" s="131" t="s">
        <v>14032</v>
      </c>
      <c r="B970" s="132">
        <v>9.1931989572203054E-2</v>
      </c>
      <c r="C970" s="133"/>
    </row>
    <row r="971" spans="1:3">
      <c r="A971" s="131" t="s">
        <v>14033</v>
      </c>
      <c r="B971" s="132">
        <v>8.5498679672112193E-2</v>
      </c>
      <c r="C971" s="133"/>
    </row>
    <row r="972" spans="1:3">
      <c r="A972" s="131" t="s">
        <v>14034</v>
      </c>
      <c r="B972" s="132">
        <v>4.4417549652386354E-2</v>
      </c>
      <c r="C972" s="133"/>
    </row>
    <row r="973" spans="1:3">
      <c r="A973" s="131" t="s">
        <v>14035</v>
      </c>
      <c r="B973" s="132">
        <v>1.2226471491873694E-2</v>
      </c>
      <c r="C973" s="133"/>
    </row>
    <row r="974" spans="1:3">
      <c r="A974" s="131" t="s">
        <v>14036</v>
      </c>
      <c r="B974" s="132">
        <v>1.4984365674213999E-3</v>
      </c>
      <c r="C974" s="133"/>
    </row>
    <row r="975" spans="1:3">
      <c r="A975" s="131" t="s">
        <v>14037</v>
      </c>
      <c r="B975" s="132">
        <v>1.6973702527700999E-3</v>
      </c>
      <c r="C975" s="133"/>
    </row>
    <row r="976" spans="1:3">
      <c r="A976" s="131" t="s">
        <v>14038</v>
      </c>
      <c r="B976" s="132">
        <v>1.5268622136866325E-3</v>
      </c>
      <c r="C976" s="133"/>
    </row>
    <row r="977" spans="1:3">
      <c r="A977" s="131" t="s">
        <v>14039</v>
      </c>
      <c r="B977" s="132">
        <v>1.4035036563700701E-2</v>
      </c>
      <c r="C977" s="133"/>
    </row>
    <row r="978" spans="1:3">
      <c r="A978" s="131" t="s">
        <v>14040</v>
      </c>
      <c r="B978" s="132">
        <v>3.1349393872618703E-2</v>
      </c>
      <c r="C978" s="133"/>
    </row>
    <row r="979" spans="1:3">
      <c r="A979" s="131" t="s">
        <v>14041</v>
      </c>
      <c r="B979" s="132">
        <v>5.0067188511921995E-5</v>
      </c>
      <c r="C979" s="133"/>
    </row>
    <row r="980" spans="1:3">
      <c r="A980" s="131" t="s">
        <v>14042</v>
      </c>
      <c r="B980" s="132">
        <v>2.9299189685448166</v>
      </c>
      <c r="C980" s="133"/>
    </row>
    <row r="981" spans="1:3">
      <c r="A981" s="131" t="s">
        <v>14043</v>
      </c>
      <c r="B981" s="132">
        <v>9.6862200000000006E-3</v>
      </c>
      <c r="C981" s="133"/>
    </row>
    <row r="982" spans="1:3">
      <c r="A982" s="131" t="s">
        <v>14044</v>
      </c>
      <c r="B982" s="132">
        <v>2.480210942976345E-2</v>
      </c>
      <c r="C982" s="133"/>
    </row>
    <row r="983" spans="1:3">
      <c r="A983" s="131" t="s">
        <v>14045</v>
      </c>
      <c r="B983" s="132">
        <v>1.7506435343447268E-2</v>
      </c>
      <c r="C983" s="133"/>
    </row>
    <row r="984" spans="1:3">
      <c r="A984" s="131" t="s">
        <v>14046</v>
      </c>
      <c r="B984" s="132">
        <v>4.6290775801169004E-3</v>
      </c>
      <c r="C984" s="133"/>
    </row>
    <row r="985" spans="1:3">
      <c r="A985" s="131" t="s">
        <v>14047</v>
      </c>
      <c r="B985" s="132">
        <v>4.2846794389463696</v>
      </c>
      <c r="C985" s="133"/>
    </row>
    <row r="986" spans="1:3">
      <c r="A986" s="131" t="s">
        <v>14048</v>
      </c>
      <c r="B986" s="132">
        <v>4.928820277169E-3</v>
      </c>
      <c r="C986" s="133"/>
    </row>
    <row r="987" spans="1:3">
      <c r="A987" s="131" t="s">
        <v>14049</v>
      </c>
      <c r="B987" s="132">
        <v>1.0793085365015E-4</v>
      </c>
      <c r="C987" s="133"/>
    </row>
    <row r="988" spans="1:3">
      <c r="A988" s="131" t="s">
        <v>14050</v>
      </c>
      <c r="B988" s="132">
        <v>4.4694612456185803E-3</v>
      </c>
      <c r="C988" s="133"/>
    </row>
    <row r="989" spans="1:3">
      <c r="A989" s="131" t="s">
        <v>14051</v>
      </c>
      <c r="B989" s="132">
        <v>8.6324078126970502E-3</v>
      </c>
      <c r="C989" s="133"/>
    </row>
    <row r="990" spans="1:3">
      <c r="A990" s="131" t="s">
        <v>14052</v>
      </c>
      <c r="B990" s="132">
        <v>6.5124399300581601E-2</v>
      </c>
      <c r="C990" s="133"/>
    </row>
    <row r="991" spans="1:3">
      <c r="A991" s="131" t="s">
        <v>14053</v>
      </c>
      <c r="B991" s="132">
        <v>7.3548496395793098E-3</v>
      </c>
      <c r="C991" s="133"/>
    </row>
    <row r="992" spans="1:3">
      <c r="A992" s="131" t="s">
        <v>14054</v>
      </c>
      <c r="B992" s="132">
        <v>1.9401384366050909E-5</v>
      </c>
      <c r="C992" s="133"/>
    </row>
    <row r="993" spans="1:3">
      <c r="A993" s="131" t="s">
        <v>14055</v>
      </c>
      <c r="B993" s="132">
        <v>3.0805126732305998E-3</v>
      </c>
      <c r="C993" s="133"/>
    </row>
    <row r="994" spans="1:3">
      <c r="A994" s="131" t="s">
        <v>14056</v>
      </c>
      <c r="B994" s="132">
        <v>4.9374539862294506E-4</v>
      </c>
      <c r="C994" s="133"/>
    </row>
    <row r="995" spans="1:3">
      <c r="A995" s="131" t="s">
        <v>14057</v>
      </c>
      <c r="B995" s="132">
        <v>4.6938480098198001E-4</v>
      </c>
      <c r="C995" s="133"/>
    </row>
    <row r="996" spans="1:3">
      <c r="A996" s="131" t="s">
        <v>14058</v>
      </c>
      <c r="B996" s="132">
        <v>7.4655159260309998E-4</v>
      </c>
      <c r="C996" s="133"/>
    </row>
    <row r="997" spans="1:3">
      <c r="A997" s="131" t="s">
        <v>14059</v>
      </c>
      <c r="B997" s="132">
        <v>1.3364384525979451E-2</v>
      </c>
      <c r="C997" s="133"/>
    </row>
    <row r="998" spans="1:3">
      <c r="A998" s="131" t="s">
        <v>14060</v>
      </c>
      <c r="B998" s="132">
        <v>4.3109318521540371E-3</v>
      </c>
      <c r="C998" s="133"/>
    </row>
    <row r="999" spans="1:3">
      <c r="A999" s="131" t="s">
        <v>14061</v>
      </c>
      <c r="B999" s="132">
        <v>6.5136889999999996E-3</v>
      </c>
      <c r="C999" s="133"/>
    </row>
    <row r="1000" spans="1:3">
      <c r="A1000" s="131" t="s">
        <v>14062</v>
      </c>
      <c r="B1000" s="132">
        <v>6.6005642616200405E-3</v>
      </c>
      <c r="C1000" s="133"/>
    </row>
    <row r="1001" spans="1:3">
      <c r="A1001" s="131" t="s">
        <v>14063</v>
      </c>
      <c r="B1001" s="132">
        <v>1.2908465956743174E-3</v>
      </c>
      <c r="C1001" s="133"/>
    </row>
    <row r="1002" spans="1:3">
      <c r="A1002" s="131" t="s">
        <v>14064</v>
      </c>
      <c r="B1002" s="132">
        <v>1.9139525846942999E-3</v>
      </c>
      <c r="C1002" s="133"/>
    </row>
    <row r="1003" spans="1:3">
      <c r="A1003" s="131" t="s">
        <v>14065</v>
      </c>
      <c r="B1003" s="132">
        <v>6.6485190061402702E-2</v>
      </c>
      <c r="C1003" s="133"/>
    </row>
    <row r="1004" spans="1:3">
      <c r="A1004" s="131" t="s">
        <v>14066</v>
      </c>
      <c r="B1004" s="132">
        <v>1.4940715791249E-3</v>
      </c>
      <c r="C1004" s="133"/>
    </row>
    <row r="1005" spans="1:3">
      <c r="A1005" s="131" t="s">
        <v>14067</v>
      </c>
      <c r="B1005" s="132">
        <v>2.2874058080477001E-3</v>
      </c>
      <c r="C1005" s="133"/>
    </row>
    <row r="1006" spans="1:3">
      <c r="A1006" s="131" t="s">
        <v>14068</v>
      </c>
      <c r="B1006" s="132">
        <v>5933.946847887888</v>
      </c>
      <c r="C1006" s="133"/>
    </row>
    <row r="1007" spans="1:3">
      <c r="A1007" s="131" t="s">
        <v>14069</v>
      </c>
      <c r="B1007" s="132">
        <v>2.9890206041700001E-5</v>
      </c>
      <c r="C1007" s="133"/>
    </row>
    <row r="1008" spans="1:3">
      <c r="A1008" s="131" t="s">
        <v>14070</v>
      </c>
      <c r="B1008" s="132">
        <v>4.6764856687747774E-5</v>
      </c>
      <c r="C1008" s="133"/>
    </row>
    <row r="1009" spans="1:3">
      <c r="A1009" s="131" t="s">
        <v>14071</v>
      </c>
      <c r="B1009" s="132">
        <v>3.0137358430459928E-3</v>
      </c>
      <c r="C1009" s="133"/>
    </row>
    <row r="1010" spans="1:3">
      <c r="A1010" s="131" t="s">
        <v>14072</v>
      </c>
      <c r="B1010" s="132">
        <v>5.022724888255586E-4</v>
      </c>
      <c r="C1010" s="133"/>
    </row>
    <row r="1011" spans="1:3">
      <c r="A1011" s="131" t="s">
        <v>14073</v>
      </c>
      <c r="B1011" s="132">
        <v>3.4737938402126692E-4</v>
      </c>
      <c r="C1011" s="133"/>
    </row>
    <row r="1012" spans="1:3">
      <c r="A1012" s="131" t="s">
        <v>14074</v>
      </c>
      <c r="B1012" s="132">
        <v>50.95105838959244</v>
      </c>
      <c r="C1012" s="133"/>
    </row>
    <row r="1013" spans="1:3">
      <c r="A1013" s="131" t="s">
        <v>14075</v>
      </c>
      <c r="B1013" s="132">
        <v>3.4907170072092991E-4</v>
      </c>
      <c r="C1013" s="133"/>
    </row>
    <row r="1014" spans="1:3">
      <c r="A1014" s="131" t="s">
        <v>14076</v>
      </c>
      <c r="B1014" s="132">
        <v>5.1180157135289001E-3</v>
      </c>
      <c r="C1014" s="133"/>
    </row>
    <row r="1015" spans="1:3">
      <c r="A1015" s="131" t="s">
        <v>14077</v>
      </c>
      <c r="B1015" s="132">
        <v>8.1436085584163994E-5</v>
      </c>
      <c r="C1015" s="133"/>
    </row>
    <row r="1016" spans="1:3">
      <c r="A1016" s="131" t="s">
        <v>14078</v>
      </c>
      <c r="B1016" s="132">
        <v>5.5605941043272997E-3</v>
      </c>
      <c r="C1016" s="133"/>
    </row>
    <row r="1017" spans="1:3">
      <c r="A1017" s="131" t="s">
        <v>14079</v>
      </c>
      <c r="B1017" s="132">
        <v>2.4680113485281971E-2</v>
      </c>
      <c r="C1017" s="133"/>
    </row>
    <row r="1018" spans="1:3">
      <c r="A1018" s="131" t="s">
        <v>14080</v>
      </c>
      <c r="B1018" s="132">
        <v>0.66052760436518221</v>
      </c>
      <c r="C1018" s="133"/>
    </row>
    <row r="1019" spans="1:3">
      <c r="A1019" s="131" t="s">
        <v>14081</v>
      </c>
      <c r="B1019" s="132">
        <v>2.483732033266E-4</v>
      </c>
      <c r="C1019" s="133"/>
    </row>
    <row r="1020" spans="1:3">
      <c r="A1020" s="131" t="s">
        <v>14082</v>
      </c>
      <c r="B1020" s="132">
        <v>2.1173498700598065E-4</v>
      </c>
      <c r="C1020" s="133"/>
    </row>
    <row r="1021" spans="1:3">
      <c r="A1021" s="131" t="s">
        <v>14083</v>
      </c>
      <c r="B1021" s="132">
        <v>2.2423904508407002</v>
      </c>
      <c r="C1021" s="133"/>
    </row>
    <row r="1022" spans="1:3">
      <c r="A1022" s="131" t="s">
        <v>14084</v>
      </c>
      <c r="B1022" s="132">
        <v>1.2571960790218247E-2</v>
      </c>
      <c r="C1022" s="133"/>
    </row>
    <row r="1023" spans="1:3">
      <c r="A1023" s="131" t="s">
        <v>14085</v>
      </c>
      <c r="B1023" s="132">
        <v>3.0093020509474901E-2</v>
      </c>
      <c r="C1023" s="133"/>
    </row>
    <row r="1024" spans="1:3">
      <c r="A1024" s="131" t="s">
        <v>14086</v>
      </c>
      <c r="B1024" s="132">
        <v>3.3814066657821E-3</v>
      </c>
      <c r="C1024" s="133"/>
    </row>
    <row r="1025" spans="1:3">
      <c r="A1025" s="131" t="s">
        <v>14087</v>
      </c>
      <c r="B1025" s="132">
        <v>5.6676652439478998E-3</v>
      </c>
      <c r="C1025" s="133"/>
    </row>
    <row r="1026" spans="1:3">
      <c r="A1026" s="131" t="s">
        <v>14088</v>
      </c>
      <c r="B1026" s="132">
        <v>2.6311266935995E-3</v>
      </c>
      <c r="C1026" s="133"/>
    </row>
    <row r="1027" spans="1:3">
      <c r="A1027" s="131" t="s">
        <v>14089</v>
      </c>
      <c r="B1027" s="132">
        <v>3.4148030794592499</v>
      </c>
      <c r="C1027" s="133"/>
    </row>
    <row r="1028" spans="1:3">
      <c r="A1028" s="131" t="s">
        <v>14090</v>
      </c>
      <c r="B1028" s="132">
        <v>2.6583393999999998E-6</v>
      </c>
      <c r="C1028" s="133"/>
    </row>
    <row r="1029" spans="1:3">
      <c r="A1029" s="131" t="s">
        <v>14091</v>
      </c>
      <c r="B1029" s="132">
        <v>4.9317708526965499E-3</v>
      </c>
      <c r="C1029" s="133"/>
    </row>
    <row r="1030" spans="1:3">
      <c r="A1030" s="131" t="s">
        <v>14092</v>
      </c>
      <c r="B1030" s="132">
        <v>8.7408543076991599E-2</v>
      </c>
      <c r="C1030" s="133"/>
    </row>
    <row r="1031" spans="1:3">
      <c r="A1031" s="131" t="s">
        <v>14093</v>
      </c>
      <c r="B1031" s="132">
        <v>3.025682868880406E-3</v>
      </c>
      <c r="C1031" s="133"/>
    </row>
    <row r="1032" spans="1:3">
      <c r="A1032" s="131" t="s">
        <v>14094</v>
      </c>
      <c r="B1032" s="132">
        <v>7.1611413198998858E-2</v>
      </c>
      <c r="C1032" s="133"/>
    </row>
    <row r="1033" spans="1:3">
      <c r="A1033" s="131" t="s">
        <v>14095</v>
      </c>
      <c r="B1033" s="132">
        <v>0.19825240752739431</v>
      </c>
      <c r="C1033" s="133"/>
    </row>
    <row r="1034" spans="1:3">
      <c r="A1034" s="131" t="s">
        <v>14096</v>
      </c>
      <c r="B1034" s="132">
        <v>0.82478358424350851</v>
      </c>
      <c r="C1034" s="133"/>
    </row>
    <row r="1035" spans="1:3">
      <c r="A1035" s="131" t="s">
        <v>14097</v>
      </c>
      <c r="B1035" s="132">
        <v>2.8626686447852001</v>
      </c>
      <c r="C1035" s="133"/>
    </row>
    <row r="1036" spans="1:3">
      <c r="A1036" s="131" t="s">
        <v>14098</v>
      </c>
      <c r="B1036" s="132">
        <v>5.2056496071403004E-3</v>
      </c>
      <c r="C1036" s="133"/>
    </row>
    <row r="1037" spans="1:3">
      <c r="A1037" s="131" t="s">
        <v>14099</v>
      </c>
      <c r="B1037" s="132">
        <v>0.49183014966208832</v>
      </c>
      <c r="C1037" s="133"/>
    </row>
    <row r="1038" spans="1:3">
      <c r="A1038" s="131" t="s">
        <v>14100</v>
      </c>
      <c r="B1038" s="132">
        <v>5.2368501732506063E-4</v>
      </c>
      <c r="C1038" s="133"/>
    </row>
    <row r="1039" spans="1:3">
      <c r="A1039" s="131" t="s">
        <v>14101</v>
      </c>
      <c r="B1039" s="132">
        <v>3.5870554841864956E-3</v>
      </c>
      <c r="C1039" s="133"/>
    </row>
    <row r="1040" spans="1:3">
      <c r="A1040" s="131" t="s">
        <v>14102</v>
      </c>
      <c r="B1040" s="132">
        <v>1.7371401664008999E-2</v>
      </c>
      <c r="C1040" s="133"/>
    </row>
    <row r="1041" spans="1:3">
      <c r="A1041" s="131" t="s">
        <v>14103</v>
      </c>
      <c r="B1041" s="132">
        <v>4.3008584300670413E-4</v>
      </c>
      <c r="C1041" s="133"/>
    </row>
    <row r="1042" spans="1:3">
      <c r="A1042" s="131" t="s">
        <v>14104</v>
      </c>
      <c r="B1042" s="132">
        <v>7.9974809432617894E-2</v>
      </c>
      <c r="C1042" s="133"/>
    </row>
    <row r="1043" spans="1:3">
      <c r="A1043" s="131" t="s">
        <v>14105</v>
      </c>
      <c r="B1043" s="132">
        <v>0.13268601226443558</v>
      </c>
      <c r="C1043" s="133"/>
    </row>
    <row r="1044" spans="1:3">
      <c r="A1044" s="131" t="s">
        <v>14106</v>
      </c>
      <c r="B1044" s="132">
        <v>1.9375321735749E-3</v>
      </c>
      <c r="C1044" s="133"/>
    </row>
    <row r="1045" spans="1:3">
      <c r="A1045" s="131" t="s">
        <v>14107</v>
      </c>
      <c r="B1045" s="132">
        <v>1.3776402052454201E-2</v>
      </c>
      <c r="C1045" s="133"/>
    </row>
    <row r="1046" spans="1:3">
      <c r="A1046" s="131" t="s">
        <v>14108</v>
      </c>
      <c r="B1046" s="132">
        <v>3.8895787361016213E-4</v>
      </c>
      <c r="C1046" s="133"/>
    </row>
    <row r="1047" spans="1:3">
      <c r="A1047" s="131" t="s">
        <v>14109</v>
      </c>
      <c r="B1047" s="132">
        <v>2.8666127698553E-2</v>
      </c>
      <c r="C1047" s="133"/>
    </row>
    <row r="1048" spans="1:3">
      <c r="A1048" s="131" t="s">
        <v>14110</v>
      </c>
      <c r="B1048" s="132">
        <v>3.7462865359048254E-2</v>
      </c>
      <c r="C1048" s="133"/>
    </row>
    <row r="1049" spans="1:3">
      <c r="A1049" s="131" t="s">
        <v>14111</v>
      </c>
      <c r="B1049" s="132">
        <v>2.7188192967803317</v>
      </c>
      <c r="C1049" s="133"/>
    </row>
    <row r="1050" spans="1:3">
      <c r="A1050" s="131" t="s">
        <v>14112</v>
      </c>
      <c r="B1050" s="132">
        <v>0.62843521391028079</v>
      </c>
      <c r="C1050" s="133"/>
    </row>
    <row r="1051" spans="1:3">
      <c r="A1051" s="131" t="s">
        <v>14113</v>
      </c>
      <c r="B1051" s="132">
        <v>6.1354150563347802E-2</v>
      </c>
      <c r="C1051" s="133"/>
    </row>
    <row r="1052" spans="1:3">
      <c r="A1052" s="131" t="s">
        <v>14114</v>
      </c>
      <c r="B1052" s="132">
        <v>2.3490679977235501E-4</v>
      </c>
      <c r="C1052" s="133"/>
    </row>
    <row r="1053" spans="1:3">
      <c r="A1053" s="131" t="s">
        <v>14115</v>
      </c>
      <c r="B1053" s="132">
        <v>5.6730915466724346E-3</v>
      </c>
      <c r="C1053" s="133"/>
    </row>
    <row r="1054" spans="1:3">
      <c r="A1054" s="131" t="s">
        <v>14116</v>
      </c>
      <c r="B1054" s="132">
        <v>0.13961530355357946</v>
      </c>
      <c r="C1054" s="133"/>
    </row>
    <row r="1055" spans="1:3">
      <c r="A1055" s="131" t="s">
        <v>14117</v>
      </c>
      <c r="B1055" s="132">
        <v>1.3619879580933736E-3</v>
      </c>
      <c r="C1055" s="133"/>
    </row>
    <row r="1056" spans="1:3">
      <c r="A1056" s="131" t="s">
        <v>14118</v>
      </c>
      <c r="B1056" s="132">
        <v>0.47480405905055512</v>
      </c>
      <c r="C1056" s="133"/>
    </row>
    <row r="1057" spans="1:3">
      <c r="A1057" s="131" t="s">
        <v>14119</v>
      </c>
      <c r="B1057" s="132">
        <v>5.0679407060777233E-2</v>
      </c>
      <c r="C1057" s="133"/>
    </row>
    <row r="1058" spans="1:3">
      <c r="A1058" s="131" t="s">
        <v>14120</v>
      </c>
      <c r="B1058" s="132">
        <v>3.7419893340140918E-3</v>
      </c>
      <c r="C1058" s="133"/>
    </row>
    <row r="1059" spans="1:3">
      <c r="A1059" s="131" t="s">
        <v>14121</v>
      </c>
      <c r="B1059" s="132">
        <v>1.9794583392302501E-3</v>
      </c>
      <c r="C1059" s="133"/>
    </row>
    <row r="1060" spans="1:3">
      <c r="A1060" s="131" t="s">
        <v>14122</v>
      </c>
      <c r="B1060" s="132">
        <v>1.5253371575192E-2</v>
      </c>
      <c r="C1060" s="133"/>
    </row>
    <row r="1061" spans="1:3">
      <c r="A1061" s="131" t="s">
        <v>14123</v>
      </c>
      <c r="B1061" s="132">
        <v>0.91192998002282</v>
      </c>
      <c r="C1061" s="133"/>
    </row>
    <row r="1062" spans="1:3">
      <c r="A1062" s="131" t="s">
        <v>14124</v>
      </c>
      <c r="B1062" s="132">
        <v>4.852651107106E-4</v>
      </c>
      <c r="C1062" s="133"/>
    </row>
    <row r="1063" spans="1:3">
      <c r="A1063" s="131" t="s">
        <v>14125</v>
      </c>
      <c r="B1063" s="132">
        <v>2.28897043104955E-4</v>
      </c>
      <c r="C1063" s="133"/>
    </row>
    <row r="1064" spans="1:3">
      <c r="A1064" s="131" t="s">
        <v>14126</v>
      </c>
      <c r="B1064" s="132">
        <v>1.2044500977105952E-3</v>
      </c>
      <c r="C1064" s="133"/>
    </row>
    <row r="1065" spans="1:3">
      <c r="A1065" s="131" t="s">
        <v>14127</v>
      </c>
      <c r="B1065" s="132">
        <v>1.3772588003665E-3</v>
      </c>
      <c r="C1065" s="133"/>
    </row>
    <row r="1066" spans="1:3">
      <c r="A1066" s="131" t="s">
        <v>14128</v>
      </c>
      <c r="B1066" s="132">
        <v>5.1581217058969996E-4</v>
      </c>
      <c r="C1066" s="133"/>
    </row>
    <row r="1067" spans="1:3">
      <c r="A1067" s="131" t="s">
        <v>14129</v>
      </c>
      <c r="B1067" s="132">
        <v>6.9481278219163183E-5</v>
      </c>
      <c r="C1067" s="133"/>
    </row>
    <row r="1068" spans="1:3">
      <c r="A1068" s="131" t="s">
        <v>14130</v>
      </c>
      <c r="B1068" s="132">
        <v>8.4586471529524664E-4</v>
      </c>
      <c r="C1068" s="133"/>
    </row>
    <row r="1069" spans="1:3">
      <c r="A1069" s="131" t="s">
        <v>14131</v>
      </c>
      <c r="B1069" s="132">
        <v>3.0025264727179882E-2</v>
      </c>
      <c r="C1069" s="133"/>
    </row>
    <row r="1070" spans="1:3">
      <c r="A1070" s="131" t="s">
        <v>14132</v>
      </c>
      <c r="B1070" s="132">
        <v>2.6620302446221991E-4</v>
      </c>
      <c r="C1070" s="133"/>
    </row>
    <row r="1071" spans="1:3">
      <c r="A1071" s="131" t="s">
        <v>14133</v>
      </c>
      <c r="B1071" s="132">
        <v>1.0439011611527E-3</v>
      </c>
      <c r="C1071" s="133"/>
    </row>
    <row r="1072" spans="1:3">
      <c r="A1072" s="131" t="s">
        <v>14134</v>
      </c>
      <c r="B1072" s="132">
        <v>0.10941389705877437</v>
      </c>
      <c r="C1072" s="133"/>
    </row>
    <row r="1073" spans="1:3">
      <c r="A1073" s="131" t="s">
        <v>14135</v>
      </c>
      <c r="B1073" s="132">
        <v>1.6794017350160045E-4</v>
      </c>
      <c r="C1073" s="133"/>
    </row>
    <row r="1074" spans="1:3">
      <c r="A1074" s="131" t="s">
        <v>14136</v>
      </c>
      <c r="B1074" s="132">
        <v>5.1495761725389153E-2</v>
      </c>
      <c r="C1074" s="133"/>
    </row>
    <row r="1075" spans="1:3">
      <c r="A1075" s="131" t="s">
        <v>14137</v>
      </c>
      <c r="B1075" s="132">
        <v>3.8640170199999992E-6</v>
      </c>
      <c r="C1075" s="133"/>
    </row>
    <row r="1076" spans="1:3">
      <c r="A1076" s="131" t="s">
        <v>14138</v>
      </c>
      <c r="B1076" s="132">
        <v>3.7400378473962999E-2</v>
      </c>
      <c r="C1076" s="133"/>
    </row>
    <row r="1077" spans="1:3">
      <c r="A1077" s="131" t="s">
        <v>14139</v>
      </c>
      <c r="B1077" s="132">
        <v>1.0481395660114419E-4</v>
      </c>
      <c r="C1077" s="133"/>
    </row>
    <row r="1078" spans="1:3">
      <c r="A1078" s="131" t="s">
        <v>14140</v>
      </c>
      <c r="B1078" s="132">
        <v>3.0603140162375721E-4</v>
      </c>
      <c r="C1078" s="133"/>
    </row>
    <row r="1079" spans="1:3">
      <c r="A1079" s="131" t="s">
        <v>14141</v>
      </c>
      <c r="B1079" s="132">
        <v>3.0792455892563E-3</v>
      </c>
      <c r="C1079" s="133"/>
    </row>
    <row r="1080" spans="1:3">
      <c r="A1080" s="131" t="s">
        <v>14142</v>
      </c>
      <c r="B1080" s="132">
        <v>0.14862747555587907</v>
      </c>
      <c r="C1080" s="133"/>
    </row>
    <row r="1081" spans="1:3">
      <c r="A1081" s="131" t="s">
        <v>14143</v>
      </c>
      <c r="B1081" s="132">
        <v>0.25465701844724309</v>
      </c>
      <c r="C1081" s="133"/>
    </row>
    <row r="1082" spans="1:3">
      <c r="A1082" s="131" t="s">
        <v>14144</v>
      </c>
      <c r="B1082" s="132">
        <v>7.2208145200624999E-4</v>
      </c>
      <c r="C1082" s="133"/>
    </row>
    <row r="1083" spans="1:3">
      <c r="A1083" s="131" t="s">
        <v>14145</v>
      </c>
      <c r="B1083" s="132">
        <v>9.4233000000000001E-4</v>
      </c>
      <c r="C1083" s="133"/>
    </row>
    <row r="1084" spans="1:3">
      <c r="A1084" s="131" t="s">
        <v>14146</v>
      </c>
      <c r="B1084" s="132">
        <v>1.2154512859441999E-3</v>
      </c>
      <c r="C1084" s="133"/>
    </row>
    <row r="1085" spans="1:3">
      <c r="A1085" s="131" t="s">
        <v>14147</v>
      </c>
      <c r="B1085" s="132">
        <v>2.2245987226598108E-3</v>
      </c>
      <c r="C1085" s="133"/>
    </row>
    <row r="1086" spans="1:3">
      <c r="A1086" s="131" t="s">
        <v>14148</v>
      </c>
      <c r="B1086" s="132">
        <v>5.8</v>
      </c>
      <c r="C1086" s="133"/>
    </row>
    <row r="1087" spans="1:3">
      <c r="A1087" s="131" t="s">
        <v>14149</v>
      </c>
      <c r="B1087" s="132">
        <v>6.3365294250856005E-2</v>
      </c>
      <c r="C1087" s="133"/>
    </row>
    <row r="1088" spans="1:3">
      <c r="A1088" s="131" t="s">
        <v>14150</v>
      </c>
      <c r="B1088" s="132">
        <v>6.6070293833683997E-4</v>
      </c>
      <c r="C1088" s="133"/>
    </row>
    <row r="1089" spans="1:3">
      <c r="A1089" s="131" t="s">
        <v>14151</v>
      </c>
      <c r="B1089" s="132">
        <v>0.40805777551064998</v>
      </c>
      <c r="C1089" s="133"/>
    </row>
    <row r="1090" spans="1:3">
      <c r="A1090" s="131" t="s">
        <v>14152</v>
      </c>
      <c r="B1090" s="132">
        <v>1.9123972199485001E-3</v>
      </c>
      <c r="C1090" s="133"/>
    </row>
    <row r="1091" spans="1:3">
      <c r="A1091" s="131" t="s">
        <v>14153</v>
      </c>
      <c r="B1091" s="132">
        <v>4.3638948804900002E-5</v>
      </c>
      <c r="C1091" s="133"/>
    </row>
    <row r="1092" spans="1:3">
      <c r="A1092" s="131" t="s">
        <v>14154</v>
      </c>
      <c r="B1092" s="132">
        <v>6.2622202992125E-3</v>
      </c>
      <c r="C1092" s="133"/>
    </row>
    <row r="1093" spans="1:3">
      <c r="A1093" s="131" t="s">
        <v>14155</v>
      </c>
      <c r="B1093" s="132">
        <v>2.242843E-3</v>
      </c>
      <c r="C1093" s="133"/>
    </row>
    <row r="1094" spans="1:3">
      <c r="A1094" s="131" t="s">
        <v>14156</v>
      </c>
      <c r="B1094" s="132">
        <v>0.125583071768403</v>
      </c>
      <c r="C1094" s="133"/>
    </row>
    <row r="1095" spans="1:3">
      <c r="A1095" s="131" t="s">
        <v>14157</v>
      </c>
      <c r="B1095" s="132">
        <v>2.848999974958133E-5</v>
      </c>
      <c r="C1095" s="133"/>
    </row>
    <row r="1096" spans="1:3">
      <c r="A1096" s="131" t="s">
        <v>14158</v>
      </c>
      <c r="B1096" s="132">
        <v>1.8183085178756085E-3</v>
      </c>
      <c r="C1096" s="133"/>
    </row>
    <row r="1097" spans="1:3">
      <c r="A1097" s="131" t="s">
        <v>14159</v>
      </c>
      <c r="B1097" s="132">
        <v>2.2013776349106E-2</v>
      </c>
      <c r="C1097" s="133"/>
    </row>
    <row r="1098" spans="1:3">
      <c r="A1098" s="131" t="s">
        <v>14160</v>
      </c>
      <c r="B1098" s="132">
        <v>4.24524562E-3</v>
      </c>
      <c r="C1098" s="133"/>
    </row>
    <row r="1099" spans="1:3">
      <c r="A1099" s="131" t="s">
        <v>14161</v>
      </c>
      <c r="B1099" s="132">
        <v>5.5448561417946997E-2</v>
      </c>
      <c r="C1099" s="133"/>
    </row>
    <row r="1100" spans="1:3">
      <c r="A1100" s="131" t="s">
        <v>14162</v>
      </c>
      <c r="B1100" s="132">
        <v>1.6214226941439226E-3</v>
      </c>
      <c r="C1100" s="133"/>
    </row>
    <row r="1101" spans="1:3">
      <c r="A1101" s="131" t="s">
        <v>14163</v>
      </c>
      <c r="B1101" s="132">
        <v>1.6571422219738001E-2</v>
      </c>
      <c r="C1101" s="133"/>
    </row>
    <row r="1102" spans="1:3">
      <c r="A1102" s="131" t="s">
        <v>14164</v>
      </c>
      <c r="B1102" s="132">
        <v>1.3614738801744585E-2</v>
      </c>
      <c r="C1102" s="133"/>
    </row>
    <row r="1103" spans="1:3">
      <c r="A1103" s="131" t="s">
        <v>14165</v>
      </c>
      <c r="B1103" s="132">
        <v>1.446485529198055E-2</v>
      </c>
      <c r="C1103" s="133"/>
    </row>
    <row r="1104" spans="1:3">
      <c r="A1104" s="131" t="s">
        <v>14166</v>
      </c>
      <c r="B1104" s="132">
        <v>3.0894878891929997E-4</v>
      </c>
      <c r="C1104" s="133"/>
    </row>
    <row r="1105" spans="1:3">
      <c r="A1105" s="131" t="s">
        <v>14167</v>
      </c>
      <c r="B1105" s="132">
        <v>3.5434594652878518E-3</v>
      </c>
      <c r="C1105" s="133"/>
    </row>
    <row r="1106" spans="1:3">
      <c r="A1106" s="131" t="s">
        <v>14168</v>
      </c>
      <c r="B1106" s="132">
        <v>4.0924668728266538E-5</v>
      </c>
      <c r="C1106" s="133"/>
    </row>
    <row r="1107" spans="1:3">
      <c r="A1107" s="131" t="s">
        <v>14169</v>
      </c>
      <c r="B1107" s="132">
        <v>4.9406589677064003E-2</v>
      </c>
      <c r="C1107" s="133"/>
    </row>
    <row r="1108" spans="1:3">
      <c r="A1108" s="131" t="s">
        <v>14170</v>
      </c>
      <c r="B1108" s="132">
        <v>4.1716000000000001E-3</v>
      </c>
      <c r="C1108" s="133"/>
    </row>
    <row r="1109" spans="1:3">
      <c r="A1109" s="131" t="s">
        <v>14171</v>
      </c>
      <c r="B1109" s="132">
        <v>2.8318318113854345E-2</v>
      </c>
      <c r="C1109" s="133"/>
    </row>
    <row r="1110" spans="1:3">
      <c r="A1110" s="131" t="s">
        <v>14172</v>
      </c>
      <c r="B1110" s="132">
        <v>0.14289696439717958</v>
      </c>
      <c r="C1110" s="133"/>
    </row>
    <row r="1111" spans="1:3">
      <c r="A1111" s="131" t="s">
        <v>14173</v>
      </c>
      <c r="B1111" s="132">
        <v>0.12596817587251999</v>
      </c>
      <c r="C1111" s="133"/>
    </row>
    <row r="1112" spans="1:3">
      <c r="A1112" s="131" t="s">
        <v>14174</v>
      </c>
      <c r="B1112" s="132">
        <v>0.16002133333333332</v>
      </c>
      <c r="C1112" s="133"/>
    </row>
    <row r="1113" spans="1:3">
      <c r="A1113" s="131" t="s">
        <v>14175</v>
      </c>
      <c r="B1113" s="132">
        <v>5.8321390045717005E-4</v>
      </c>
      <c r="C1113" s="133"/>
    </row>
    <row r="1114" spans="1:3">
      <c r="A1114" s="131" t="s">
        <v>14176</v>
      </c>
      <c r="B1114" s="132">
        <v>2.4937463341014426E-5</v>
      </c>
      <c r="C1114" s="133"/>
    </row>
    <row r="1115" spans="1:3">
      <c r="A1115" s="131" t="s">
        <v>14177</v>
      </c>
      <c r="B1115" s="132">
        <v>1.9785486796902998E-3</v>
      </c>
      <c r="C1115" s="133"/>
    </row>
    <row r="1116" spans="1:3">
      <c r="A1116" s="131" t="s">
        <v>14178</v>
      </c>
      <c r="B1116" s="132">
        <v>8.606885654566667E-4</v>
      </c>
      <c r="C1116" s="133"/>
    </row>
    <row r="1117" spans="1:3">
      <c r="A1117" s="131" t="s">
        <v>14179</v>
      </c>
      <c r="B1117" s="132">
        <v>1.0044375574041506</v>
      </c>
      <c r="C1117" s="133"/>
    </row>
    <row r="1118" spans="1:3">
      <c r="A1118" s="131" t="s">
        <v>14180</v>
      </c>
      <c r="B1118" s="132">
        <v>1.8374890974022399E-2</v>
      </c>
      <c r="C1118" s="133"/>
    </row>
    <row r="1119" spans="1:3">
      <c r="A1119" s="131" t="s">
        <v>14181</v>
      </c>
      <c r="B1119" s="132">
        <v>4.5916593420944306E-2</v>
      </c>
      <c r="C1119" s="133"/>
    </row>
    <row r="1120" spans="1:3">
      <c r="A1120" s="131" t="s">
        <v>14182</v>
      </c>
      <c r="B1120" s="132">
        <v>0.36017181983674224</v>
      </c>
      <c r="C1120" s="133"/>
    </row>
    <row r="1121" spans="1:3">
      <c r="A1121" s="131" t="s">
        <v>14183</v>
      </c>
      <c r="B1121" s="132">
        <v>36.233066875498999</v>
      </c>
      <c r="C1121" s="133"/>
    </row>
    <row r="1122" spans="1:3">
      <c r="A1122" s="131" t="s">
        <v>14184</v>
      </c>
      <c r="B1122" s="132">
        <v>1.6249914984324142E-4</v>
      </c>
      <c r="C1122" s="133"/>
    </row>
    <row r="1123" spans="1:3">
      <c r="A1123" s="131" t="s">
        <v>14185</v>
      </c>
      <c r="B1123" s="132">
        <v>1.3729839895922978E-3</v>
      </c>
      <c r="C1123" s="133"/>
    </row>
    <row r="1124" spans="1:3">
      <c r="A1124" s="131" t="s">
        <v>14186</v>
      </c>
      <c r="B1124" s="132">
        <v>1.8107452291621999E-4</v>
      </c>
      <c r="C1124" s="133"/>
    </row>
    <row r="1125" spans="1:3">
      <c r="A1125" s="131" t="s">
        <v>14187</v>
      </c>
      <c r="B1125" s="132">
        <v>0.6633558189002986</v>
      </c>
      <c r="C1125" s="133"/>
    </row>
    <row r="1126" spans="1:3">
      <c r="A1126" s="131" t="s">
        <v>14188</v>
      </c>
      <c r="B1126" s="132">
        <v>5.3330225327186576E-5</v>
      </c>
      <c r="C1126" s="133"/>
    </row>
    <row r="1127" spans="1:3">
      <c r="A1127" s="131" t="s">
        <v>14189</v>
      </c>
      <c r="B1127" s="132">
        <v>3.402039999999999E-5</v>
      </c>
      <c r="C1127" s="133"/>
    </row>
    <row r="1128" spans="1:3">
      <c r="A1128" s="131" t="s">
        <v>14190</v>
      </c>
      <c r="B1128" s="132">
        <v>1.7693457760347</v>
      </c>
      <c r="C1128" s="133"/>
    </row>
    <row r="1129" spans="1:3">
      <c r="A1129" s="131" t="s">
        <v>14191</v>
      </c>
      <c r="B1129" s="132">
        <v>0.13806846516315935</v>
      </c>
      <c r="C1129" s="133"/>
    </row>
    <row r="1130" spans="1:3">
      <c r="A1130" s="131" t="s">
        <v>14192</v>
      </c>
      <c r="B1130" s="132">
        <v>4.1028159624220011E-4</v>
      </c>
      <c r="C1130" s="133"/>
    </row>
    <row r="1131" spans="1:3">
      <c r="A1131" s="131" t="s">
        <v>14193</v>
      </c>
      <c r="B1131" s="132">
        <v>2.7401554848706999E-2</v>
      </c>
      <c r="C1131" s="133"/>
    </row>
    <row r="1132" spans="1:3">
      <c r="A1132" s="131" t="s">
        <v>14194</v>
      </c>
      <c r="B1132" s="132">
        <v>9.3121041576804111E-5</v>
      </c>
      <c r="C1132" s="133"/>
    </row>
    <row r="1133" spans="1:3">
      <c r="A1133" s="131" t="s">
        <v>14195</v>
      </c>
      <c r="B1133" s="132">
        <v>4.300716666666667E-5</v>
      </c>
      <c r="C1133" s="133"/>
    </row>
    <row r="1134" spans="1:3">
      <c r="A1134" s="131" t="s">
        <v>14196</v>
      </c>
      <c r="B1134" s="132">
        <v>2.6631723074563053E-2</v>
      </c>
      <c r="C1134" s="133"/>
    </row>
    <row r="1135" spans="1:3">
      <c r="A1135" s="131" t="s">
        <v>14197</v>
      </c>
      <c r="B1135" s="132">
        <v>2.3470360703347812E-4</v>
      </c>
      <c r="C1135" s="133"/>
    </row>
    <row r="1136" spans="1:3">
      <c r="A1136" s="131" t="s">
        <v>14198</v>
      </c>
      <c r="B1136" s="132">
        <v>3.3134830462536502E-6</v>
      </c>
      <c r="C1136" s="133"/>
    </row>
    <row r="1137" spans="1:3">
      <c r="A1137" s="131" t="s">
        <v>14199</v>
      </c>
      <c r="B1137" s="132">
        <v>6.1148959587000004E-6</v>
      </c>
      <c r="C1137" s="133"/>
    </row>
    <row r="1138" spans="1:3">
      <c r="A1138" s="131" t="s">
        <v>14200</v>
      </c>
      <c r="B1138" s="132">
        <v>1.1359439995263425E-4</v>
      </c>
      <c r="C1138" s="133"/>
    </row>
    <row r="1139" spans="1:3">
      <c r="A1139" s="131" t="s">
        <v>14201</v>
      </c>
      <c r="B1139" s="132">
        <v>4.4924878523999161E-3</v>
      </c>
      <c r="C1139" s="133"/>
    </row>
    <row r="1140" spans="1:3">
      <c r="A1140" s="131" t="s">
        <v>14202</v>
      </c>
      <c r="B1140" s="132">
        <v>3.0357202581789999E-3</v>
      </c>
      <c r="C1140" s="133"/>
    </row>
    <row r="1141" spans="1:3">
      <c r="A1141" s="131" t="s">
        <v>14203</v>
      </c>
      <c r="B1141" s="132">
        <v>1.0957409660173718E-3</v>
      </c>
      <c r="C1141" s="133"/>
    </row>
    <row r="1142" spans="1:3">
      <c r="A1142" s="131" t="s">
        <v>14204</v>
      </c>
      <c r="B1142" s="132">
        <v>8.7780539010960494E-3</v>
      </c>
      <c r="C1142" s="133"/>
    </row>
    <row r="1143" spans="1:3">
      <c r="A1143" s="131" t="s">
        <v>14205</v>
      </c>
      <c r="B1143" s="132">
        <v>7.3273960000850805E-2</v>
      </c>
      <c r="C1143" s="133"/>
    </row>
    <row r="1144" spans="1:3">
      <c r="A1144" s="131" t="s">
        <v>14206</v>
      </c>
      <c r="B1144" s="132">
        <v>5.1468826389428001E-5</v>
      </c>
      <c r="C1144" s="133"/>
    </row>
    <row r="1145" spans="1:3">
      <c r="A1145" s="131" t="s">
        <v>14207</v>
      </c>
      <c r="B1145" s="132">
        <v>1.6237946244725097E-2</v>
      </c>
      <c r="C1145" s="133"/>
    </row>
    <row r="1146" spans="1:3">
      <c r="A1146" s="131" t="s">
        <v>14208</v>
      </c>
      <c r="B1146" s="132">
        <v>7.9602149962472435E-4</v>
      </c>
      <c r="C1146" s="133"/>
    </row>
    <row r="1147" spans="1:3">
      <c r="A1147" s="131" t="s">
        <v>14209</v>
      </c>
      <c r="B1147" s="132">
        <v>7.0794666252048093E-5</v>
      </c>
      <c r="C1147" s="133"/>
    </row>
    <row r="1148" spans="1:3">
      <c r="A1148" s="131" t="s">
        <v>14210</v>
      </c>
      <c r="B1148" s="132">
        <v>5.7297535722089E-4</v>
      </c>
      <c r="C1148" s="133"/>
    </row>
    <row r="1149" spans="1:3">
      <c r="A1149" s="131" t="s">
        <v>14211</v>
      </c>
      <c r="B1149" s="132">
        <v>2.4320923465160044E-2</v>
      </c>
      <c r="C1149" s="133"/>
    </row>
    <row r="1150" spans="1:3">
      <c r="A1150" s="131" t="s">
        <v>14212</v>
      </c>
      <c r="B1150" s="132">
        <v>3.5413304631458E-3</v>
      </c>
      <c r="C1150" s="133"/>
    </row>
    <row r="1151" spans="1:3">
      <c r="A1151" s="131" t="s">
        <v>14213</v>
      </c>
      <c r="B1151" s="132">
        <v>1.7451433391938301E-3</v>
      </c>
      <c r="C1151" s="133"/>
    </row>
    <row r="1152" spans="1:3">
      <c r="A1152" s="131" t="s">
        <v>14214</v>
      </c>
      <c r="B1152" s="132">
        <v>3.6966152078767001E-3</v>
      </c>
      <c r="C1152" s="133"/>
    </row>
    <row r="1153" spans="1:3">
      <c r="A1153" s="131" t="s">
        <v>14215</v>
      </c>
      <c r="B1153" s="132">
        <v>7.4235389107560001E-2</v>
      </c>
      <c r="C1153" s="133"/>
    </row>
    <row r="1154" spans="1:3">
      <c r="A1154" s="131" t="s">
        <v>14216</v>
      </c>
      <c r="B1154" s="132">
        <v>1.1427708063105175</v>
      </c>
      <c r="C1154" s="133"/>
    </row>
    <row r="1155" spans="1:3">
      <c r="A1155" s="131" t="s">
        <v>14217</v>
      </c>
      <c r="B1155" s="132">
        <v>3.1809925960193E-3</v>
      </c>
      <c r="C1155" s="133"/>
    </row>
    <row r="1156" spans="1:3">
      <c r="A1156" s="131" t="s">
        <v>14218</v>
      </c>
      <c r="B1156" s="132">
        <v>1.473774447452399E-4</v>
      </c>
      <c r="C1156" s="133"/>
    </row>
    <row r="1157" spans="1:3">
      <c r="A1157" s="131" t="s">
        <v>14219</v>
      </c>
      <c r="B1157" s="132">
        <v>7.0696162832598335E-4</v>
      </c>
      <c r="C1157" s="133"/>
    </row>
    <row r="1158" spans="1:3">
      <c r="A1158" s="131" t="s">
        <v>14220</v>
      </c>
      <c r="B1158" s="132">
        <v>5.3913066001451003E-4</v>
      </c>
      <c r="C1158" s="133"/>
    </row>
    <row r="1159" spans="1:3">
      <c r="A1159" s="131" t="s">
        <v>14221</v>
      </c>
      <c r="B1159" s="132">
        <v>1.04275970315813E-2</v>
      </c>
      <c r="C1159" s="133"/>
    </row>
    <row r="1160" spans="1:3">
      <c r="A1160" s="131" t="s">
        <v>14222</v>
      </c>
      <c r="B1160" s="132">
        <v>7.1756895816148143E-3</v>
      </c>
      <c r="C1160" s="133"/>
    </row>
    <row r="1161" spans="1:3">
      <c r="A1161" s="131" t="s">
        <v>14223</v>
      </c>
      <c r="B1161" s="132">
        <v>0.15016622965195731</v>
      </c>
      <c r="C1161" s="133"/>
    </row>
    <row r="1162" spans="1:3">
      <c r="A1162" s="131" t="s">
        <v>14224</v>
      </c>
      <c r="B1162" s="132">
        <v>1.67647467348132E-2</v>
      </c>
      <c r="C1162" s="133"/>
    </row>
    <row r="1163" spans="1:3">
      <c r="A1163" s="131" t="s">
        <v>14225</v>
      </c>
      <c r="B1163" s="132">
        <v>1.1741653778270001E-4</v>
      </c>
      <c r="C1163" s="133"/>
    </row>
    <row r="1164" spans="1:3">
      <c r="A1164" s="131" t="s">
        <v>14226</v>
      </c>
      <c r="B1164" s="132">
        <v>9.1282119802166238E-3</v>
      </c>
      <c r="C1164" s="133"/>
    </row>
    <row r="1165" spans="1:3">
      <c r="A1165" s="131" t="s">
        <v>14227</v>
      </c>
      <c r="B1165" s="132">
        <v>9.4981342554092407E-3</v>
      </c>
      <c r="C1165" s="133"/>
    </row>
    <row r="1166" spans="1:3">
      <c r="A1166" s="131" t="s">
        <v>14228</v>
      </c>
      <c r="B1166" s="132">
        <v>2.9104187202126002E-4</v>
      </c>
      <c r="C1166" s="133"/>
    </row>
    <row r="1167" spans="1:3">
      <c r="A1167" s="131" t="s">
        <v>14229</v>
      </c>
      <c r="B1167" s="132">
        <v>2.2622851496258002E-3</v>
      </c>
      <c r="C1167" s="133"/>
    </row>
    <row r="1168" spans="1:3">
      <c r="A1168" s="131" t="s">
        <v>14230</v>
      </c>
      <c r="B1168" s="132">
        <v>7.6541070048642232E-2</v>
      </c>
      <c r="C1168" s="133"/>
    </row>
    <row r="1169" spans="1:3">
      <c r="A1169" s="131" t="s">
        <v>14231</v>
      </c>
      <c r="B1169" s="132">
        <v>5.8983001508750021E-5</v>
      </c>
      <c r="C1169" s="133"/>
    </row>
    <row r="1170" spans="1:3">
      <c r="A1170" s="131" t="s">
        <v>14232</v>
      </c>
      <c r="B1170" s="132">
        <v>1.4512540074065328E-3</v>
      </c>
      <c r="C1170" s="133"/>
    </row>
    <row r="1171" spans="1:3">
      <c r="A1171" s="131" t="s">
        <v>14233</v>
      </c>
      <c r="B1171" s="132">
        <v>1.5081816330678858E-3</v>
      </c>
      <c r="C1171" s="133"/>
    </row>
    <row r="1172" spans="1:3">
      <c r="A1172" s="131" t="s">
        <v>14234</v>
      </c>
      <c r="B1172" s="132">
        <v>2.3586218031775999E-3</v>
      </c>
      <c r="C1172" s="133"/>
    </row>
    <row r="1173" spans="1:3">
      <c r="A1173" s="131" t="s">
        <v>14235</v>
      </c>
      <c r="B1173" s="132">
        <v>8.6367457657418253E-4</v>
      </c>
      <c r="C1173" s="133"/>
    </row>
    <row r="1174" spans="1:3">
      <c r="A1174" s="131" t="s">
        <v>14236</v>
      </c>
      <c r="B1174" s="132">
        <v>6.0876876139276965E-3</v>
      </c>
      <c r="C1174" s="133"/>
    </row>
    <row r="1175" spans="1:3">
      <c r="A1175" s="131" t="s">
        <v>14237</v>
      </c>
      <c r="B1175" s="132">
        <v>8.6053065627498919E-4</v>
      </c>
      <c r="C1175" s="133"/>
    </row>
    <row r="1176" spans="1:3">
      <c r="A1176" s="131" t="s">
        <v>14238</v>
      </c>
      <c r="B1176" s="132">
        <v>1.7496168826945744E-3</v>
      </c>
      <c r="C1176" s="133"/>
    </row>
    <row r="1177" spans="1:3">
      <c r="A1177" s="131" t="s">
        <v>14239</v>
      </c>
      <c r="B1177" s="132">
        <v>3.0530704798917502E-4</v>
      </c>
      <c r="C1177" s="133"/>
    </row>
    <row r="1178" spans="1:3">
      <c r="A1178" s="131" t="s">
        <v>14240</v>
      </c>
      <c r="B1178" s="132">
        <v>3.3314238136887359E-5</v>
      </c>
      <c r="C1178" s="133"/>
    </row>
    <row r="1179" spans="1:3">
      <c r="A1179" s="131" t="s">
        <v>14241</v>
      </c>
      <c r="B1179" s="132">
        <v>6.1335678037788867E-3</v>
      </c>
      <c r="C1179" s="133"/>
    </row>
    <row r="1180" spans="1:3">
      <c r="A1180" s="131" t="s">
        <v>14242</v>
      </c>
      <c r="B1180" s="132">
        <v>0.11021163427541385</v>
      </c>
      <c r="C1180" s="133"/>
    </row>
    <row r="1181" spans="1:3">
      <c r="A1181" s="131" t="s">
        <v>14243</v>
      </c>
      <c r="B1181" s="132">
        <v>4.6964500010236807E-3</v>
      </c>
      <c r="C1181" s="133"/>
    </row>
    <row r="1182" spans="1:3">
      <c r="A1182" s="131" t="s">
        <v>14244</v>
      </c>
      <c r="B1182" s="132">
        <v>1.6131824051692999E-3</v>
      </c>
      <c r="C1182" s="133"/>
    </row>
    <row r="1183" spans="1:3">
      <c r="A1183" s="131" t="s">
        <v>14245</v>
      </c>
      <c r="B1183" s="132">
        <v>1.2735056217542113E-3</v>
      </c>
      <c r="C1183" s="133"/>
    </row>
    <row r="1184" spans="1:3">
      <c r="A1184" s="131" t="s">
        <v>14246</v>
      </c>
      <c r="B1184" s="132">
        <v>7.0009250608333322E-7</v>
      </c>
      <c r="C1184" s="133"/>
    </row>
    <row r="1185" spans="1:3">
      <c r="A1185" s="131" t="s">
        <v>12761</v>
      </c>
      <c r="B1185" s="132">
        <v>5.8009666666666664E-7</v>
      </c>
      <c r="C1185" s="133"/>
    </row>
    <row r="1186" spans="1:3">
      <c r="A1186" s="131" t="s">
        <v>12762</v>
      </c>
      <c r="B1186" s="132">
        <v>6.7299799641954622E-2</v>
      </c>
      <c r="C1186" s="133"/>
    </row>
    <row r="1187" spans="1:3">
      <c r="A1187" s="131" t="s">
        <v>12763</v>
      </c>
      <c r="B1187" s="132">
        <v>6.3109991696326995E-4</v>
      </c>
      <c r="C1187" s="133"/>
    </row>
    <row r="1188" spans="1:3">
      <c r="A1188" s="131" t="s">
        <v>12764</v>
      </c>
      <c r="B1188" s="132">
        <v>7.0675000000000002E-4</v>
      </c>
      <c r="C1188" s="133"/>
    </row>
    <row r="1189" spans="1:3">
      <c r="A1189" s="131" t="s">
        <v>12765</v>
      </c>
      <c r="B1189" s="132">
        <v>8.9952725809303996E-3</v>
      </c>
      <c r="C1189" s="133"/>
    </row>
    <row r="1190" spans="1:3">
      <c r="A1190" s="131" t="s">
        <v>12766</v>
      </c>
      <c r="B1190" s="132">
        <v>6.1087764219774194E-4</v>
      </c>
      <c r="C1190" s="133"/>
    </row>
    <row r="1191" spans="1:3">
      <c r="A1191" s="131" t="s">
        <v>12767</v>
      </c>
      <c r="B1191" s="132">
        <v>6.4935479714826206E-3</v>
      </c>
      <c r="C1191" s="133"/>
    </row>
    <row r="1192" spans="1:3">
      <c r="A1192" s="131" t="s">
        <v>12768</v>
      </c>
      <c r="B1192" s="132">
        <v>3.0672006800508997E-4</v>
      </c>
      <c r="C1192" s="133"/>
    </row>
    <row r="1193" spans="1:3">
      <c r="A1193" s="131" t="s">
        <v>12769</v>
      </c>
      <c r="B1193" s="132">
        <v>3.0845520591934964E-3</v>
      </c>
      <c r="C1193" s="133"/>
    </row>
    <row r="1194" spans="1:3">
      <c r="A1194" s="131" t="s">
        <v>12770</v>
      </c>
      <c r="B1194" s="132">
        <v>1.1807627102042688E-3</v>
      </c>
      <c r="C1194" s="133"/>
    </row>
    <row r="1195" spans="1:3">
      <c r="A1195" s="131" t="s">
        <v>12771</v>
      </c>
      <c r="B1195" s="132">
        <v>5.4527888491411033E-2</v>
      </c>
      <c r="C1195" s="133"/>
    </row>
    <row r="1196" spans="1:3">
      <c r="A1196" s="131" t="s">
        <v>12772</v>
      </c>
      <c r="B1196" s="132">
        <v>9.5107260745689124E-3</v>
      </c>
      <c r="C1196" s="133"/>
    </row>
    <row r="1197" spans="1:3">
      <c r="A1197" s="131" t="s">
        <v>12773</v>
      </c>
      <c r="B1197" s="132">
        <v>2.2085246390140999E-4</v>
      </c>
      <c r="C1197" s="133"/>
    </row>
    <row r="1198" spans="1:3">
      <c r="A1198" s="131" t="s">
        <v>12774</v>
      </c>
      <c r="B1198" s="132">
        <v>2.1076534855115535E-2</v>
      </c>
      <c r="C1198" s="133"/>
    </row>
    <row r="1199" spans="1:3">
      <c r="A1199" s="131" t="s">
        <v>12775</v>
      </c>
      <c r="B1199" s="132">
        <v>5.8062883666666664E-3</v>
      </c>
      <c r="C1199" s="133"/>
    </row>
    <row r="1200" spans="1:3">
      <c r="A1200" s="131" t="s">
        <v>12776</v>
      </c>
      <c r="B1200" s="132">
        <v>5.4406922531511762E-2</v>
      </c>
      <c r="C1200" s="133"/>
    </row>
    <row r="1201" spans="1:3">
      <c r="A1201" s="131" t="s">
        <v>12777</v>
      </c>
      <c r="B1201" s="132">
        <v>7.0560825418750252E-5</v>
      </c>
      <c r="C1201" s="133"/>
    </row>
    <row r="1202" spans="1:3">
      <c r="A1202" s="131" t="s">
        <v>12778</v>
      </c>
      <c r="B1202" s="132">
        <v>3.3839862663145737E-5</v>
      </c>
      <c r="C1202" s="133"/>
    </row>
    <row r="1203" spans="1:3">
      <c r="A1203" s="131" t="s">
        <v>12779</v>
      </c>
      <c r="B1203" s="132">
        <v>1.0005415081217</v>
      </c>
      <c r="C1203" s="133"/>
    </row>
    <row r="1204" spans="1:3">
      <c r="A1204" s="131" t="s">
        <v>12780</v>
      </c>
      <c r="B1204" s="132">
        <v>1.2354365780625572E-3</v>
      </c>
      <c r="C1204" s="133"/>
    </row>
    <row r="1205" spans="1:3">
      <c r="A1205" s="131" t="s">
        <v>12781</v>
      </c>
      <c r="B1205" s="132">
        <v>6.1347739728224998E-5</v>
      </c>
      <c r="C1205" s="133"/>
    </row>
    <row r="1206" spans="1:3">
      <c r="A1206" s="131" t="s">
        <v>12782</v>
      </c>
      <c r="B1206" s="132">
        <v>6.2659759143813456E-5</v>
      </c>
      <c r="C1206" s="133"/>
    </row>
    <row r="1207" spans="1:3">
      <c r="A1207" s="131" t="s">
        <v>12783</v>
      </c>
      <c r="B1207" s="132">
        <v>1.3233100893812752E-3</v>
      </c>
      <c r="C1207" s="133"/>
    </row>
    <row r="1208" spans="1:3">
      <c r="A1208" s="131" t="s">
        <v>12784</v>
      </c>
      <c r="B1208" s="132">
        <v>2.2857907476107652E-3</v>
      </c>
      <c r="C1208" s="133"/>
    </row>
    <row r="1209" spans="1:3">
      <c r="A1209" s="131" t="s">
        <v>12785</v>
      </c>
      <c r="B1209" s="132">
        <v>1.3106624868042323E-2</v>
      </c>
      <c r="C1209" s="133"/>
    </row>
    <row r="1210" spans="1:3">
      <c r="A1210" s="131" t="s">
        <v>12786</v>
      </c>
      <c r="B1210" s="132">
        <v>2.4848525382003487E-5</v>
      </c>
      <c r="C1210" s="133"/>
    </row>
    <row r="1211" spans="1:3">
      <c r="A1211" s="131" t="s">
        <v>12787</v>
      </c>
      <c r="B1211" s="132">
        <v>1.0722841138309762E-5</v>
      </c>
      <c r="C1211" s="133"/>
    </row>
    <row r="1212" spans="1:3">
      <c r="A1212" s="131" t="s">
        <v>12788</v>
      </c>
      <c r="B1212" s="132">
        <v>4.8806980143811533E-6</v>
      </c>
      <c r="C1212" s="133"/>
    </row>
    <row r="1213" spans="1:3">
      <c r="A1213" s="131" t="s">
        <v>12789</v>
      </c>
      <c r="B1213" s="132">
        <v>1.1528244895486E-3</v>
      </c>
      <c r="C1213" s="133"/>
    </row>
    <row r="1214" spans="1:3">
      <c r="A1214" s="131" t="s">
        <v>12790</v>
      </c>
      <c r="B1214" s="132">
        <v>5.4557752515433928E-4</v>
      </c>
      <c r="C1214" s="133"/>
    </row>
    <row r="1215" spans="1:3">
      <c r="A1215" s="131" t="s">
        <v>12791</v>
      </c>
      <c r="B1215" s="132">
        <v>2.6120507385294166E-2</v>
      </c>
      <c r="C1215" s="133"/>
    </row>
    <row r="1216" spans="1:3">
      <c r="A1216" s="131" t="s">
        <v>12792</v>
      </c>
      <c r="B1216" s="132">
        <v>5.6669127235322996E-6</v>
      </c>
      <c r="C1216" s="133"/>
    </row>
    <row r="1217" spans="1:3">
      <c r="A1217" s="131" t="s">
        <v>12793</v>
      </c>
      <c r="B1217" s="132">
        <v>7.3100833287074367E-4</v>
      </c>
      <c r="C1217" s="133"/>
    </row>
    <row r="1218" spans="1:3">
      <c r="A1218" s="131" t="s">
        <v>12794</v>
      </c>
      <c r="B1218" s="132">
        <v>5.1042258421202999E-5</v>
      </c>
      <c r="C1218" s="133"/>
    </row>
    <row r="1219" spans="1:3">
      <c r="A1219" s="131" t="s">
        <v>12795</v>
      </c>
      <c r="B1219" s="132">
        <v>1.921E-3</v>
      </c>
      <c r="C1219" s="133"/>
    </row>
    <row r="1220" spans="1:3">
      <c r="A1220" s="131" t="s">
        <v>12796</v>
      </c>
      <c r="B1220" s="132">
        <v>3.0163258116052999E-5</v>
      </c>
      <c r="C1220" s="133"/>
    </row>
    <row r="1221" spans="1:3">
      <c r="A1221" s="131" t="s">
        <v>12797</v>
      </c>
      <c r="B1221" s="132">
        <v>7.6605677604675293E-2</v>
      </c>
      <c r="C1221" s="133"/>
    </row>
    <row r="1222" spans="1:3">
      <c r="A1222" s="131" t="s">
        <v>12798</v>
      </c>
      <c r="B1222" s="132">
        <v>273.40244298416269</v>
      </c>
      <c r="C1222" s="133"/>
    </row>
    <row r="1223" spans="1:3">
      <c r="A1223" s="131" t="s">
        <v>12799</v>
      </c>
      <c r="B1223" s="132">
        <v>30228.477289036498</v>
      </c>
      <c r="C1223" s="133"/>
    </row>
    <row r="1224" spans="1:3">
      <c r="A1224" s="131" t="s">
        <v>12800</v>
      </c>
      <c r="B1224" s="132">
        <v>3.023154279059E-4</v>
      </c>
      <c r="C1224" s="133"/>
    </row>
    <row r="1225" spans="1:3">
      <c r="A1225" s="131" t="s">
        <v>12801</v>
      </c>
      <c r="B1225" s="132">
        <v>4.349461435131338E-5</v>
      </c>
      <c r="C1225" s="133"/>
    </row>
    <row r="1226" spans="1:3">
      <c r="A1226" s="131" t="s">
        <v>12802</v>
      </c>
      <c r="B1226" s="132">
        <v>7.0169358863660005E-4</v>
      </c>
      <c r="C1226" s="133"/>
    </row>
    <row r="1227" spans="1:3">
      <c r="A1227" s="131" t="s">
        <v>12803</v>
      </c>
      <c r="B1227" s="132">
        <v>1.4422895633262211E-5</v>
      </c>
      <c r="C1227" s="133"/>
    </row>
    <row r="1228" spans="1:3">
      <c r="A1228" s="131" t="s">
        <v>12804</v>
      </c>
      <c r="B1228" s="132">
        <v>1.7190694067216E-2</v>
      </c>
      <c r="C1228" s="133"/>
    </row>
    <row r="1229" spans="1:3">
      <c r="A1229" s="131" t="s">
        <v>12805</v>
      </c>
      <c r="B1229" s="132">
        <v>2.4676416473548074E-3</v>
      </c>
      <c r="C1229" s="133"/>
    </row>
    <row r="1230" spans="1:3">
      <c r="A1230" s="131" t="s">
        <v>12806</v>
      </c>
      <c r="B1230" s="132">
        <v>1.2925569163431599E-2</v>
      </c>
      <c r="C1230" s="133"/>
    </row>
    <row r="1231" spans="1:3">
      <c r="A1231" s="131" t="s">
        <v>12807</v>
      </c>
      <c r="B1231" s="132">
        <v>5.1247773503722067E-2</v>
      </c>
      <c r="C1231" s="133"/>
    </row>
    <row r="1232" spans="1:3">
      <c r="A1232" s="131" t="s">
        <v>12808</v>
      </c>
      <c r="B1232" s="132">
        <v>9.518800760112677E-4</v>
      </c>
      <c r="C1232" s="133"/>
    </row>
    <row r="1233" spans="1:3">
      <c r="A1233" s="131" t="s">
        <v>12809</v>
      </c>
      <c r="B1233" s="132">
        <v>1.0940445241711019E-2</v>
      </c>
      <c r="C1233" s="133"/>
    </row>
    <row r="1234" spans="1:3">
      <c r="A1234" s="131" t="s">
        <v>12810</v>
      </c>
      <c r="B1234" s="132">
        <v>1.2546681475519E-3</v>
      </c>
      <c r="C1234" s="133"/>
    </row>
    <row r="1235" spans="1:3">
      <c r="A1235" s="131" t="s">
        <v>12811</v>
      </c>
      <c r="B1235" s="132">
        <v>2.8269900000000001E-3</v>
      </c>
      <c r="C1235" s="133"/>
    </row>
    <row r="1236" spans="1:3">
      <c r="A1236" s="131" t="s">
        <v>12812</v>
      </c>
      <c r="B1236" s="132">
        <v>3.0805126732305998E-3</v>
      </c>
      <c r="C1236" s="133"/>
    </row>
    <row r="1237" spans="1:3">
      <c r="A1237" s="131" t="s">
        <v>12813</v>
      </c>
      <c r="B1237" s="132">
        <v>2.0903083360740001E-4</v>
      </c>
      <c r="C1237" s="133"/>
    </row>
    <row r="1238" spans="1:3">
      <c r="A1238" s="131" t="s">
        <v>12814</v>
      </c>
      <c r="B1238" s="132">
        <v>6.5406938127808329E-4</v>
      </c>
      <c r="C1238" s="133"/>
    </row>
    <row r="1239" spans="1:3">
      <c r="A1239" s="131" t="s">
        <v>12815</v>
      </c>
      <c r="B1239" s="132">
        <v>5.5934104358768997E-3</v>
      </c>
      <c r="C1239" s="133"/>
    </row>
    <row r="1240" spans="1:3">
      <c r="A1240" s="131" t="s">
        <v>12816</v>
      </c>
      <c r="B1240" s="132">
        <v>0.23551368409094292</v>
      </c>
      <c r="C1240" s="133"/>
    </row>
    <row r="1241" spans="1:3">
      <c r="A1241" s="131" t="s">
        <v>12817</v>
      </c>
      <c r="B1241" s="132">
        <v>3.0164686016824851E-3</v>
      </c>
      <c r="C1241" s="133"/>
    </row>
    <row r="1242" spans="1:3">
      <c r="A1242" s="131" t="s">
        <v>12818</v>
      </c>
      <c r="B1242" s="132">
        <v>1.1075467675942001E-2</v>
      </c>
      <c r="C1242" s="133"/>
    </row>
    <row r="1243" spans="1:3">
      <c r="A1243" s="131" t="s">
        <v>12819</v>
      </c>
      <c r="B1243" s="132">
        <v>8.7277897609999997E-7</v>
      </c>
      <c r="C1243" s="133"/>
    </row>
    <row r="1244" spans="1:3">
      <c r="A1244" s="131" t="s">
        <v>12820</v>
      </c>
      <c r="B1244" s="132">
        <v>9.8254725838530004E-8</v>
      </c>
      <c r="C1244" s="133"/>
    </row>
    <row r="1245" spans="1:3">
      <c r="A1245" s="131" t="s">
        <v>12821</v>
      </c>
      <c r="B1245" s="132">
        <v>1.7553829345334088E-4</v>
      </c>
      <c r="C1245" s="133"/>
    </row>
    <row r="1246" spans="1:3">
      <c r="A1246" s="131" t="s">
        <v>12822</v>
      </c>
      <c r="B1246" s="132">
        <v>2.9788540020054001E-3</v>
      </c>
      <c r="C1246" s="133"/>
    </row>
    <row r="1247" spans="1:3">
      <c r="A1247" s="131" t="s">
        <v>12823</v>
      </c>
      <c r="B1247" s="132">
        <v>2.6705989385589924E-5</v>
      </c>
      <c r="C1247" s="133"/>
    </row>
    <row r="1248" spans="1:3">
      <c r="A1248" s="131" t="s">
        <v>12824</v>
      </c>
      <c r="B1248" s="132">
        <v>3.5241235860589999E-4</v>
      </c>
      <c r="C1248" s="133"/>
    </row>
    <row r="1249" spans="1:3">
      <c r="A1249" s="131" t="s">
        <v>12825</v>
      </c>
      <c r="B1249" s="132">
        <v>3.6122467685591668E-3</v>
      </c>
      <c r="C1249" s="133"/>
    </row>
    <row r="1250" spans="1:3">
      <c r="A1250" s="131" t="s">
        <v>12826</v>
      </c>
      <c r="B1250" s="132">
        <v>1.9010210993822664E-3</v>
      </c>
      <c r="C1250" s="133"/>
    </row>
    <row r="1251" spans="1:3">
      <c r="A1251" s="131" t="s">
        <v>12827</v>
      </c>
      <c r="B1251" s="132">
        <v>7.6042376737871E-6</v>
      </c>
      <c r="C1251" s="133"/>
    </row>
    <row r="1252" spans="1:3">
      <c r="A1252" s="131" t="s">
        <v>12828</v>
      </c>
      <c r="B1252" s="132">
        <v>5.5521937065483031E-4</v>
      </c>
      <c r="C1252" s="133"/>
    </row>
    <row r="1253" spans="1:3">
      <c r="A1253" s="131" t="s">
        <v>12829</v>
      </c>
      <c r="B1253" s="132">
        <v>6.3987944040235306E-2</v>
      </c>
      <c r="C1253" s="133"/>
    </row>
    <row r="1254" spans="1:3">
      <c r="A1254" s="131" t="s">
        <v>12830</v>
      </c>
      <c r="B1254" s="132">
        <v>5.9836279573216786E-3</v>
      </c>
      <c r="C1254" s="133"/>
    </row>
    <row r="1255" spans="1:3">
      <c r="A1255" s="131" t="s">
        <v>12831</v>
      </c>
      <c r="B1255" s="132">
        <v>8.058152100211155E-2</v>
      </c>
      <c r="C1255" s="133"/>
    </row>
    <row r="1256" spans="1:3">
      <c r="A1256" s="131" t="s">
        <v>12832</v>
      </c>
      <c r="B1256" s="132">
        <v>6.1064857113680136E-4</v>
      </c>
      <c r="C1256" s="133"/>
    </row>
    <row r="1257" spans="1:3">
      <c r="A1257" s="131" t="s">
        <v>12833</v>
      </c>
      <c r="B1257" s="132">
        <v>1.214556121611601</v>
      </c>
      <c r="C1257" s="133"/>
    </row>
    <row r="1258" spans="1:3">
      <c r="A1258" s="131" t="s">
        <v>12834</v>
      </c>
      <c r="B1258" s="132">
        <v>1.9870333358743806</v>
      </c>
      <c r="C1258" s="133"/>
    </row>
    <row r="1259" spans="1:3">
      <c r="A1259" s="131" t="s">
        <v>12835</v>
      </c>
      <c r="B1259" s="132">
        <v>1.736375018890552E-2</v>
      </c>
      <c r="C1259" s="133"/>
    </row>
    <row r="1260" spans="1:3">
      <c r="A1260" s="131" t="s">
        <v>12836</v>
      </c>
      <c r="B1260" s="132">
        <v>1.6573236361174001E-3</v>
      </c>
      <c r="C1260" s="133"/>
    </row>
    <row r="1261" spans="1:3">
      <c r="A1261" s="131" t="s">
        <v>12837</v>
      </c>
      <c r="B1261" s="132">
        <v>3.3141300000000002E-3</v>
      </c>
      <c r="C1261" s="133"/>
    </row>
    <row r="1262" spans="1:3">
      <c r="A1262" s="131" t="s">
        <v>12838</v>
      </c>
      <c r="B1262" s="132">
        <v>3.4911159043999999E-6</v>
      </c>
      <c r="C1262" s="133"/>
    </row>
    <row r="1263" spans="1:3">
      <c r="A1263" s="131" t="s">
        <v>12839</v>
      </c>
      <c r="B1263" s="132">
        <v>4.0795173939759999E-4</v>
      </c>
      <c r="C1263" s="133"/>
    </row>
    <row r="1264" spans="1:3">
      <c r="A1264" s="131" t="s">
        <v>12840</v>
      </c>
      <c r="B1264" s="132">
        <v>4.5</v>
      </c>
      <c r="C1264" s="133"/>
    </row>
    <row r="1265" spans="1:3">
      <c r="A1265" s="131" t="s">
        <v>12841</v>
      </c>
      <c r="B1265" s="132">
        <v>0.16992794166515218</v>
      </c>
      <c r="C1265" s="133"/>
    </row>
    <row r="1266" spans="1:3">
      <c r="A1266" s="131" t="s">
        <v>12842</v>
      </c>
      <c r="B1266" s="132">
        <v>1.5582E-2</v>
      </c>
      <c r="C1266" s="133"/>
    </row>
    <row r="1267" spans="1:3">
      <c r="A1267" s="131" t="s">
        <v>12843</v>
      </c>
      <c r="B1267" s="132">
        <v>1.328627655671645E-2</v>
      </c>
      <c r="C1267" s="133"/>
    </row>
    <row r="1268" spans="1:3">
      <c r="A1268" s="131" t="s">
        <v>12844</v>
      </c>
      <c r="B1268" s="132">
        <v>6.1691041183869925E-7</v>
      </c>
      <c r="C1268" s="133"/>
    </row>
    <row r="1269" spans="1:3">
      <c r="A1269" s="131" t="s">
        <v>12845</v>
      </c>
      <c r="B1269" s="132">
        <v>1.9269276786808696E-6</v>
      </c>
      <c r="C1269" s="133"/>
    </row>
    <row r="1270" spans="1:3">
      <c r="A1270" s="131" t="s">
        <v>12846</v>
      </c>
      <c r="B1270" s="132">
        <v>7.9820474573707594E-5</v>
      </c>
      <c r="C1270" s="133"/>
    </row>
    <row r="1271" spans="1:3">
      <c r="A1271" s="131" t="s">
        <v>12847</v>
      </c>
      <c r="B1271" s="132">
        <v>3.4653996014654727E-4</v>
      </c>
      <c r="C1271" s="133"/>
    </row>
    <row r="1272" spans="1:3">
      <c r="A1272" s="131" t="s">
        <v>12848</v>
      </c>
      <c r="B1272" s="132">
        <v>2.4865316149258747E-3</v>
      </c>
      <c r="C1272" s="133"/>
    </row>
    <row r="1273" spans="1:3">
      <c r="A1273" s="131" t="s">
        <v>12849</v>
      </c>
      <c r="B1273" s="132">
        <v>7.2071529523299996E-2</v>
      </c>
      <c r="C1273" s="133"/>
    </row>
    <row r="1274" spans="1:3">
      <c r="A1274" s="131" t="s">
        <v>12850</v>
      </c>
      <c r="B1274" s="132">
        <v>9.7375310015483999E-4</v>
      </c>
      <c r="C1274" s="133"/>
    </row>
    <row r="1275" spans="1:3">
      <c r="A1275" s="131" t="s">
        <v>12851</v>
      </c>
      <c r="B1275" s="132">
        <v>2.6391685597835807E-4</v>
      </c>
      <c r="C1275" s="133"/>
    </row>
    <row r="1276" spans="1:3">
      <c r="A1276" s="131" t="s">
        <v>12852</v>
      </c>
      <c r="B1276" s="132">
        <v>5.3220140999999995E-3</v>
      </c>
      <c r="C1276" s="133"/>
    </row>
    <row r="1277" spans="1:3">
      <c r="A1277" s="131" t="s">
        <v>12853</v>
      </c>
      <c r="B1277" s="132">
        <v>1.3462712987917083E-5</v>
      </c>
      <c r="C1277" s="133"/>
    </row>
    <row r="1278" spans="1:3">
      <c r="A1278" s="131" t="s">
        <v>12854</v>
      </c>
      <c r="B1278" s="132">
        <v>1.6924962568250451E-3</v>
      </c>
      <c r="C1278" s="133"/>
    </row>
    <row r="1279" spans="1:3">
      <c r="A1279" s="131" t="s">
        <v>12855</v>
      </c>
      <c r="B1279" s="132">
        <v>6.8511304962338222E-4</v>
      </c>
      <c r="C1279" s="133"/>
    </row>
    <row r="1280" spans="1:3">
      <c r="A1280" s="131" t="s">
        <v>12856</v>
      </c>
      <c r="B1280" s="132">
        <v>1.474008481716862E-5</v>
      </c>
      <c r="C1280" s="133"/>
    </row>
    <row r="1281" spans="1:3">
      <c r="A1281" s="131" t="s">
        <v>12857</v>
      </c>
      <c r="B1281" s="132">
        <v>2.3156688267386002E-3</v>
      </c>
      <c r="C1281" s="133"/>
    </row>
    <row r="1282" spans="1:3">
      <c r="A1282" s="131" t="s">
        <v>12858</v>
      </c>
      <c r="B1282" s="132">
        <v>2.0218070974932999E-3</v>
      </c>
      <c r="C1282" s="133"/>
    </row>
    <row r="1283" spans="1:3">
      <c r="A1283" s="131" t="s">
        <v>12859</v>
      </c>
      <c r="B1283" s="132">
        <v>1.0048009405552707E-4</v>
      </c>
      <c r="C1283" s="133"/>
    </row>
    <row r="1284" spans="1:3">
      <c r="A1284" s="131" t="s">
        <v>12860</v>
      </c>
      <c r="B1284" s="132">
        <v>5.5623799928365995E-4</v>
      </c>
      <c r="C1284" s="133"/>
    </row>
    <row r="1285" spans="1:3">
      <c r="A1285" s="131" t="s">
        <v>12861</v>
      </c>
      <c r="B1285" s="132">
        <v>2.0977910952009317E-3</v>
      </c>
      <c r="C1285" s="133"/>
    </row>
    <row r="1286" spans="1:3">
      <c r="A1286" s="131" t="s">
        <v>12862</v>
      </c>
      <c r="B1286" s="132">
        <v>4.9952953799999983E-6</v>
      </c>
      <c r="C1286" s="133"/>
    </row>
    <row r="1287" spans="1:3">
      <c r="A1287" s="131" t="s">
        <v>12863</v>
      </c>
      <c r="B1287" s="132">
        <v>1.4690270181745291E-3</v>
      </c>
      <c r="C1287" s="133"/>
    </row>
    <row r="1288" spans="1:3">
      <c r="A1288" s="131" t="s">
        <v>12864</v>
      </c>
      <c r="B1288" s="132">
        <v>6.1691041183869928E-3</v>
      </c>
      <c r="C1288" s="133"/>
    </row>
    <row r="1289" spans="1:3">
      <c r="A1289" s="131" t="s">
        <v>12865</v>
      </c>
      <c r="B1289" s="132">
        <v>8.2354432921903989E-3</v>
      </c>
      <c r="C1289" s="133"/>
    </row>
    <row r="1290" spans="1:3">
      <c r="A1290" s="131" t="s">
        <v>12866</v>
      </c>
      <c r="B1290" s="132">
        <v>2.2078025039168501</v>
      </c>
      <c r="C1290" s="133"/>
    </row>
    <row r="1291" spans="1:3">
      <c r="A1291" s="131" t="s">
        <v>12867</v>
      </c>
      <c r="B1291" s="132">
        <v>2.0049918606566375E-4</v>
      </c>
      <c r="C1291" s="133"/>
    </row>
    <row r="1292" spans="1:3">
      <c r="A1292" s="131" t="s">
        <v>12868</v>
      </c>
      <c r="B1292" s="132">
        <v>6.3731993561531669E-2</v>
      </c>
      <c r="C1292" s="133"/>
    </row>
    <row r="1293" spans="1:3">
      <c r="A1293" s="131" t="s">
        <v>12869</v>
      </c>
      <c r="B1293" s="132">
        <v>1.1869863187112983</v>
      </c>
      <c r="C1293" s="133"/>
    </row>
    <row r="1294" spans="1:3">
      <c r="A1294" s="131" t="s">
        <v>12870</v>
      </c>
      <c r="B1294" s="132">
        <v>1.4900842924258288E-3</v>
      </c>
      <c r="C1294" s="133"/>
    </row>
    <row r="1295" spans="1:3">
      <c r="A1295" s="131" t="s">
        <v>12871</v>
      </c>
      <c r="B1295" s="132">
        <v>5.3458295682681425E-3</v>
      </c>
      <c r="C1295" s="133"/>
    </row>
    <row r="1296" spans="1:3">
      <c r="A1296" s="131" t="s">
        <v>12872</v>
      </c>
      <c r="B1296" s="132">
        <v>6.9791733995812691E-4</v>
      </c>
      <c r="C1296" s="133"/>
    </row>
    <row r="1297" spans="1:3">
      <c r="A1297" s="131" t="s">
        <v>12873</v>
      </c>
      <c r="B1297" s="132">
        <v>3.1332500000000002E-3</v>
      </c>
      <c r="C1297" s="133"/>
    </row>
    <row r="1298" spans="1:3">
      <c r="A1298" s="131" t="s">
        <v>12874</v>
      </c>
      <c r="B1298" s="132">
        <v>6.16624139242168E-4</v>
      </c>
      <c r="C1298" s="133"/>
    </row>
    <row r="1299" spans="1:3">
      <c r="A1299" s="131" t="s">
        <v>12875</v>
      </c>
      <c r="B1299" s="132">
        <v>4.2566818416870107E-2</v>
      </c>
      <c r="C1299" s="133"/>
    </row>
    <row r="1300" spans="1:3">
      <c r="A1300" s="131" t="s">
        <v>12876</v>
      </c>
      <c r="B1300" s="132">
        <v>6.8259097076927005E-4</v>
      </c>
      <c r="C1300" s="133"/>
    </row>
    <row r="1301" spans="1:3">
      <c r="A1301" s="131" t="s">
        <v>12877</v>
      </c>
      <c r="B1301" s="132">
        <v>1.8098396007263E-3</v>
      </c>
      <c r="C1301" s="133"/>
    </row>
    <row r="1302" spans="1:3">
      <c r="A1302" s="131" t="s">
        <v>12878</v>
      </c>
      <c r="B1302" s="132">
        <v>3.0959330611262399E-3</v>
      </c>
      <c r="C1302" s="133"/>
    </row>
    <row r="1303" spans="1:3">
      <c r="A1303" s="131" t="s">
        <v>12879</v>
      </c>
      <c r="B1303" s="132">
        <v>5.9365326715361312E-4</v>
      </c>
      <c r="C1303" s="133"/>
    </row>
    <row r="1304" spans="1:3">
      <c r="A1304" s="131" t="s">
        <v>12880</v>
      </c>
      <c r="B1304" s="132">
        <v>9.1958808553174454E-3</v>
      </c>
      <c r="C1304" s="133"/>
    </row>
    <row r="1305" spans="1:3">
      <c r="A1305" s="131" t="s">
        <v>12881</v>
      </c>
      <c r="B1305" s="132">
        <v>8.0198353539031068E-4</v>
      </c>
      <c r="C1305" s="133"/>
    </row>
    <row r="1306" spans="1:3">
      <c r="A1306" s="131" t="s">
        <v>12882</v>
      </c>
      <c r="B1306" s="132">
        <v>8.855834656044146E-3</v>
      </c>
      <c r="C1306" s="133"/>
    </row>
    <row r="1307" spans="1:3">
      <c r="A1307" s="131" t="s">
        <v>12883</v>
      </c>
      <c r="B1307" s="132">
        <v>4.8929339999999983E-4</v>
      </c>
      <c r="C1307" s="133"/>
    </row>
    <row r="1308" spans="1:3">
      <c r="A1308" s="131" t="s">
        <v>12884</v>
      </c>
      <c r="B1308" s="132">
        <v>2.8377878944580152E-2</v>
      </c>
      <c r="C1308" s="133"/>
    </row>
    <row r="1309" spans="1:3">
      <c r="A1309" s="131" t="s">
        <v>8919</v>
      </c>
      <c r="B1309" s="132">
        <v>7.4164030110064311E-2</v>
      </c>
      <c r="C1309" s="133"/>
    </row>
    <row r="1310" spans="1:3">
      <c r="A1310" s="131" t="s">
        <v>8920</v>
      </c>
      <c r="B1310" s="132">
        <v>5.3423474300816988E-6</v>
      </c>
      <c r="C1310" s="133"/>
    </row>
    <row r="1311" spans="1:3">
      <c r="A1311" s="131" t="s">
        <v>8921</v>
      </c>
      <c r="B1311" s="132">
        <v>2.9503794930435003E-4</v>
      </c>
      <c r="C1311" s="133"/>
    </row>
    <row r="1312" spans="1:3">
      <c r="A1312" s="131" t="s">
        <v>8922</v>
      </c>
      <c r="B1312" s="132">
        <v>2.7945401477235429E-4</v>
      </c>
      <c r="C1312" s="133"/>
    </row>
    <row r="1313" spans="1:3">
      <c r="A1313" s="131" t="s">
        <v>8923</v>
      </c>
      <c r="B1313" s="132">
        <v>5.8861630594172702E-2</v>
      </c>
      <c r="C1313" s="133"/>
    </row>
    <row r="1314" spans="1:3">
      <c r="A1314" s="131" t="s">
        <v>8924</v>
      </c>
      <c r="B1314" s="132">
        <v>8.2215779548441992E-3</v>
      </c>
      <c r="C1314" s="133"/>
    </row>
    <row r="1315" spans="1:3">
      <c r="A1315" s="131" t="s">
        <v>8925</v>
      </c>
      <c r="B1315" s="132">
        <v>7.3308172722574994E-3</v>
      </c>
      <c r="C1315" s="133"/>
    </row>
    <row r="1316" spans="1:3">
      <c r="A1316" s="131" t="s">
        <v>8926</v>
      </c>
      <c r="B1316" s="132">
        <v>6.1495552196080026E-6</v>
      </c>
      <c r="C1316" s="133"/>
    </row>
    <row r="1317" spans="1:3">
      <c r="A1317" s="131" t="s">
        <v>8927</v>
      </c>
      <c r="B1317" s="132">
        <v>1.3819711864621186E-2</v>
      </c>
      <c r="C1317" s="133"/>
    </row>
    <row r="1318" spans="1:3">
      <c r="A1318" s="131" t="s">
        <v>8928</v>
      </c>
      <c r="B1318" s="132">
        <v>3.1892490986079001E-4</v>
      </c>
      <c r="C1318" s="133"/>
    </row>
    <row r="1319" spans="1:3">
      <c r="A1319" s="131" t="s">
        <v>8929</v>
      </c>
      <c r="B1319" s="132">
        <v>2.4218193108137847</v>
      </c>
      <c r="C1319" s="133"/>
    </row>
    <row r="1320" spans="1:3">
      <c r="A1320" s="131" t="s">
        <v>8930</v>
      </c>
      <c r="B1320" s="132">
        <v>8.6947213861100005E-5</v>
      </c>
      <c r="C1320" s="133"/>
    </row>
    <row r="1321" spans="1:3">
      <c r="A1321" s="131" t="s">
        <v>8931</v>
      </c>
      <c r="B1321" s="132">
        <v>6.1420205675611565E-4</v>
      </c>
      <c r="C1321" s="133"/>
    </row>
    <row r="1322" spans="1:3">
      <c r="A1322" s="131" t="s">
        <v>8932</v>
      </c>
      <c r="B1322" s="132">
        <v>8.4480278283471821E-2</v>
      </c>
      <c r="C1322" s="133"/>
    </row>
    <row r="1323" spans="1:3">
      <c r="A1323" s="131" t="s">
        <v>8933</v>
      </c>
      <c r="B1323" s="132">
        <v>0.138443016</v>
      </c>
      <c r="C1323" s="133"/>
    </row>
    <row r="1324" spans="1:3">
      <c r="A1324" s="131" t="s">
        <v>8934</v>
      </c>
      <c r="B1324" s="132">
        <v>2.0916030667695997E-5</v>
      </c>
      <c r="C1324" s="133"/>
    </row>
    <row r="1325" spans="1:3">
      <c r="A1325" s="131" t="s">
        <v>8935</v>
      </c>
      <c r="B1325" s="132">
        <v>2.03517732344155</v>
      </c>
      <c r="C1325" s="133"/>
    </row>
    <row r="1326" spans="1:3">
      <c r="A1326" s="131" t="s">
        <v>8936</v>
      </c>
      <c r="B1326" s="132">
        <v>4.5018496033333332E-6</v>
      </c>
      <c r="C1326" s="133"/>
    </row>
    <row r="1327" spans="1:3">
      <c r="A1327" s="131" t="s">
        <v>8937</v>
      </c>
      <c r="B1327" s="132">
        <v>24.794193305596501</v>
      </c>
      <c r="C1327" s="133"/>
    </row>
    <row r="1328" spans="1:3">
      <c r="A1328" s="131" t="s">
        <v>8938</v>
      </c>
      <c r="B1328" s="132">
        <v>1.4564550105337422E-3</v>
      </c>
      <c r="C1328" s="133"/>
    </row>
    <row r="1329" spans="1:3">
      <c r="A1329" s="131" t="s">
        <v>8939</v>
      </c>
      <c r="B1329" s="132">
        <v>0.27243057119032016</v>
      </c>
      <c r="C1329" s="133"/>
    </row>
    <row r="1330" spans="1:3">
      <c r="A1330" s="131" t="s">
        <v>8940</v>
      </c>
      <c r="B1330" s="132">
        <v>4.146821737101211E-3</v>
      </c>
      <c r="C1330" s="133"/>
    </row>
    <row r="1331" spans="1:3">
      <c r="A1331" s="131" t="s">
        <v>8941</v>
      </c>
      <c r="B1331" s="132">
        <v>0.99967044813595396</v>
      </c>
      <c r="C1331" s="133"/>
    </row>
    <row r="1332" spans="1:3">
      <c r="A1332" s="131" t="s">
        <v>8942</v>
      </c>
      <c r="B1332" s="132">
        <v>2.2601425124702998E-3</v>
      </c>
      <c r="C1332" s="133"/>
    </row>
    <row r="1333" spans="1:3">
      <c r="A1333" s="131" t="s">
        <v>8943</v>
      </c>
      <c r="B1333" s="132">
        <v>0.17736086538916679</v>
      </c>
      <c r="C1333" s="133"/>
    </row>
    <row r="1334" spans="1:3">
      <c r="A1334" s="131" t="s">
        <v>8944</v>
      </c>
      <c r="B1334" s="132">
        <v>3.3992390227709498E-6</v>
      </c>
      <c r="C1334" s="133"/>
    </row>
    <row r="1335" spans="1:3">
      <c r="A1335" s="131" t="s">
        <v>8945</v>
      </c>
      <c r="B1335" s="132">
        <v>4.9110100000000001</v>
      </c>
      <c r="C1335" s="133"/>
    </row>
    <row r="1336" spans="1:3">
      <c r="A1336" s="131" t="s">
        <v>8946</v>
      </c>
      <c r="B1336" s="132">
        <v>8.3118088228463331E-3</v>
      </c>
      <c r="C1336" s="133"/>
    </row>
    <row r="1337" spans="1:3">
      <c r="A1337" s="131" t="s">
        <v>8947</v>
      </c>
      <c r="B1337" s="132">
        <v>5.8077865701075461E-2</v>
      </c>
      <c r="C1337" s="133"/>
    </row>
    <row r="1338" spans="1:3">
      <c r="A1338" s="131" t="s">
        <v>8948</v>
      </c>
      <c r="B1338" s="132">
        <v>4.2026131302129073E-3</v>
      </c>
      <c r="C1338" s="133"/>
    </row>
    <row r="1339" spans="1:3">
      <c r="A1339" s="131" t="s">
        <v>8949</v>
      </c>
      <c r="B1339" s="132">
        <v>1.7295772518871001E-3</v>
      </c>
      <c r="C1339" s="133"/>
    </row>
    <row r="1340" spans="1:3">
      <c r="A1340" s="131" t="s">
        <v>8950</v>
      </c>
      <c r="B1340" s="132">
        <v>6.1691041183869924E-4</v>
      </c>
      <c r="C1340" s="133"/>
    </row>
    <row r="1341" spans="1:3">
      <c r="A1341" s="131" t="s">
        <v>8951</v>
      </c>
      <c r="B1341" s="132">
        <v>7.989427130264827E-3</v>
      </c>
      <c r="C1341" s="133"/>
    </row>
    <row r="1342" spans="1:3">
      <c r="A1342" s="131" t="s">
        <v>8952</v>
      </c>
      <c r="B1342" s="132">
        <v>5.9587262731306001E-5</v>
      </c>
      <c r="C1342" s="133"/>
    </row>
    <row r="1343" spans="1:3">
      <c r="A1343" s="131" t="s">
        <v>8953</v>
      </c>
      <c r="B1343" s="132">
        <v>1.9218907365698389E-3</v>
      </c>
      <c r="C1343" s="133"/>
    </row>
    <row r="1344" spans="1:3">
      <c r="A1344" s="131" t="s">
        <v>8954</v>
      </c>
      <c r="B1344" s="132">
        <v>3.8868887653698329E-3</v>
      </c>
      <c r="C1344" s="133"/>
    </row>
    <row r="1345" spans="1:3">
      <c r="A1345" s="131" t="s">
        <v>8955</v>
      </c>
      <c r="B1345" s="132">
        <v>6.9822318087849004E-3</v>
      </c>
      <c r="C1345" s="133"/>
    </row>
    <row r="1346" spans="1:3">
      <c r="A1346" s="131" t="s">
        <v>8956</v>
      </c>
      <c r="B1346" s="132">
        <v>2.1558467917723999E-2</v>
      </c>
      <c r="C1346" s="133"/>
    </row>
    <row r="1347" spans="1:3">
      <c r="A1347" s="131" t="s">
        <v>8957</v>
      </c>
      <c r="B1347" s="132">
        <v>3.0702124256355999E-6</v>
      </c>
      <c r="C1347" s="133"/>
    </row>
    <row r="1348" spans="1:3">
      <c r="A1348" s="131" t="s">
        <v>8958</v>
      </c>
      <c r="B1348" s="132">
        <v>1.1125234491639823E-3</v>
      </c>
      <c r="C1348" s="133"/>
    </row>
    <row r="1349" spans="1:3">
      <c r="A1349" s="131" t="s">
        <v>8959</v>
      </c>
      <c r="B1349" s="132">
        <v>4.1638535401992997E-6</v>
      </c>
      <c r="C1349" s="133"/>
    </row>
    <row r="1350" spans="1:3">
      <c r="A1350" s="131" t="s">
        <v>8960</v>
      </c>
      <c r="B1350" s="132">
        <v>1.2338208236773785E-3</v>
      </c>
      <c r="C1350" s="133"/>
    </row>
    <row r="1351" spans="1:3">
      <c r="A1351" s="131" t="s">
        <v>8961</v>
      </c>
      <c r="B1351" s="132">
        <v>4.9610019724430148E-4</v>
      </c>
      <c r="C1351" s="133"/>
    </row>
    <row r="1352" spans="1:3">
      <c r="A1352" s="131" t="s">
        <v>8962</v>
      </c>
      <c r="B1352" s="132">
        <v>1.4208164926811692E-3</v>
      </c>
      <c r="C1352" s="133"/>
    </row>
    <row r="1353" spans="1:3">
      <c r="A1353" s="131" t="s">
        <v>8963</v>
      </c>
      <c r="B1353" s="132">
        <v>0.99470556125887999</v>
      </c>
      <c r="C1353" s="133"/>
    </row>
    <row r="1354" spans="1:3">
      <c r="A1354" s="131" t="s">
        <v>8964</v>
      </c>
      <c r="B1354" s="132">
        <v>2.1063500573597949E-4</v>
      </c>
      <c r="C1354" s="133"/>
    </row>
    <row r="1355" spans="1:3">
      <c r="A1355" s="131" t="s">
        <v>8965</v>
      </c>
      <c r="B1355" s="132">
        <v>5.7771225765812929E-4</v>
      </c>
      <c r="C1355" s="133"/>
    </row>
    <row r="1356" spans="1:3">
      <c r="A1356" s="131" t="s">
        <v>8966</v>
      </c>
      <c r="B1356" s="132">
        <v>0.13492645508750001</v>
      </c>
      <c r="C1356" s="133"/>
    </row>
    <row r="1357" spans="1:3">
      <c r="A1357" s="131" t="s">
        <v>8967</v>
      </c>
      <c r="B1357" s="132">
        <v>2.0269729711104833E-6</v>
      </c>
      <c r="C1357" s="133"/>
    </row>
    <row r="1358" spans="1:3">
      <c r="A1358" s="131" t="s">
        <v>8968</v>
      </c>
      <c r="B1358" s="132">
        <v>3.5564201867191521E-3</v>
      </c>
      <c r="C1358" s="133"/>
    </row>
    <row r="1359" spans="1:3">
      <c r="A1359" s="131" t="s">
        <v>8969</v>
      </c>
      <c r="B1359" s="132">
        <v>7.4177997543428817E-4</v>
      </c>
      <c r="C1359" s="133"/>
    </row>
    <row r="1360" spans="1:3">
      <c r="A1360" s="131" t="s">
        <v>8970</v>
      </c>
      <c r="B1360" s="132">
        <v>9.8349873436113372E-3</v>
      </c>
      <c r="C1360" s="133"/>
    </row>
    <row r="1361" spans="1:3">
      <c r="A1361" s="131" t="s">
        <v>8971</v>
      </c>
      <c r="B1361" s="132">
        <v>1.814700044633355E-5</v>
      </c>
      <c r="C1361" s="133"/>
    </row>
    <row r="1362" spans="1:3">
      <c r="A1362" s="131" t="s">
        <v>8972</v>
      </c>
      <c r="B1362" s="132">
        <v>1.7458812385461001E-2</v>
      </c>
      <c r="C1362" s="133"/>
    </row>
    <row r="1363" spans="1:3">
      <c r="A1363" s="131" t="s">
        <v>8973</v>
      </c>
      <c r="B1363" s="132">
        <v>3.7840479837163E-6</v>
      </c>
      <c r="C1363" s="133"/>
    </row>
    <row r="1364" spans="1:3">
      <c r="A1364" s="131" t="s">
        <v>8974</v>
      </c>
      <c r="B1364" s="132">
        <v>3.6283382648170145E-6</v>
      </c>
      <c r="C1364" s="133"/>
    </row>
    <row r="1365" spans="1:3">
      <c r="A1365" s="131" t="s">
        <v>8975</v>
      </c>
      <c r="B1365" s="132">
        <v>1.7140280754417953E-2</v>
      </c>
      <c r="C1365" s="133"/>
    </row>
    <row r="1366" spans="1:3">
      <c r="A1366" s="131" t="s">
        <v>8976</v>
      </c>
      <c r="B1366" s="132">
        <v>3.6757913565081998E-2</v>
      </c>
      <c r="C1366" s="133"/>
    </row>
    <row r="1367" spans="1:3">
      <c r="A1367" s="131" t="s">
        <v>8977</v>
      </c>
      <c r="B1367" s="132">
        <v>4.8520311509222969E-3</v>
      </c>
      <c r="C1367" s="133"/>
    </row>
    <row r="1368" spans="1:3">
      <c r="A1368" s="131" t="s">
        <v>8978</v>
      </c>
      <c r="B1368" s="132">
        <v>3.2380098148236697E-2</v>
      </c>
      <c r="C1368" s="133"/>
    </row>
    <row r="1369" spans="1:3">
      <c r="A1369" s="131" t="s">
        <v>8979</v>
      </c>
      <c r="B1369" s="132">
        <v>0.11735358268599544</v>
      </c>
      <c r="C1369" s="133"/>
    </row>
    <row r="1370" spans="1:3">
      <c r="A1370" s="131" t="s">
        <v>8980</v>
      </c>
      <c r="B1370" s="132">
        <v>1.961009984370321E-4</v>
      </c>
      <c r="C1370" s="133"/>
    </row>
    <row r="1371" spans="1:3">
      <c r="A1371" s="131" t="s">
        <v>8981</v>
      </c>
      <c r="B1371" s="132">
        <v>3.9609583648389832E-2</v>
      </c>
      <c r="C1371" s="133"/>
    </row>
    <row r="1372" spans="1:3">
      <c r="A1372" s="131" t="s">
        <v>8982</v>
      </c>
      <c r="B1372" s="132">
        <v>0.12940417196307036</v>
      </c>
      <c r="C1372" s="133"/>
    </row>
    <row r="1373" spans="1:3">
      <c r="A1373" s="131" t="s">
        <v>8983</v>
      </c>
      <c r="B1373" s="132">
        <v>5.1609359279972003E-4</v>
      </c>
      <c r="C1373" s="133"/>
    </row>
    <row r="1374" spans="1:3">
      <c r="A1374" s="131" t="s">
        <v>8984</v>
      </c>
      <c r="B1374" s="132">
        <v>2.1819180037597598E-6</v>
      </c>
      <c r="C1374" s="133"/>
    </row>
    <row r="1375" spans="1:3">
      <c r="A1375" s="131" t="s">
        <v>8985</v>
      </c>
      <c r="B1375" s="132">
        <v>9.7486948130474718E-3</v>
      </c>
      <c r="C1375" s="133"/>
    </row>
    <row r="1376" spans="1:3">
      <c r="A1376" s="131" t="s">
        <v>8986</v>
      </c>
      <c r="B1376" s="132">
        <v>0.64597102473523005</v>
      </c>
      <c r="C1376" s="133"/>
    </row>
    <row r="1377" spans="1:3">
      <c r="A1377" s="131" t="s">
        <v>8987</v>
      </c>
      <c r="B1377" s="132">
        <v>0.14620263772118597</v>
      </c>
      <c r="C1377" s="133"/>
    </row>
    <row r="1378" spans="1:3">
      <c r="A1378" s="131" t="s">
        <v>8988</v>
      </c>
      <c r="B1378" s="132">
        <v>6.1610253464611997E-3</v>
      </c>
      <c r="C1378" s="133"/>
    </row>
    <row r="1379" spans="1:3">
      <c r="A1379" s="131" t="s">
        <v>8989</v>
      </c>
      <c r="B1379" s="132">
        <v>4.272635917231324E-6</v>
      </c>
      <c r="C1379" s="133"/>
    </row>
    <row r="1380" spans="1:3">
      <c r="A1380" s="131" t="s">
        <v>8990</v>
      </c>
      <c r="B1380" s="132">
        <v>5.1172081572244205E-2</v>
      </c>
      <c r="C1380" s="133"/>
    </row>
    <row r="1381" spans="1:3">
      <c r="A1381" s="131" t="s">
        <v>8991</v>
      </c>
      <c r="B1381" s="132">
        <v>7.0951804548242204E-3</v>
      </c>
      <c r="C1381" s="133"/>
    </row>
    <row r="1382" spans="1:3">
      <c r="A1382" s="131" t="s">
        <v>8992</v>
      </c>
      <c r="B1382" s="132">
        <v>1.8506692853369662E-3</v>
      </c>
      <c r="C1382" s="133"/>
    </row>
    <row r="1383" spans="1:3">
      <c r="A1383" s="131" t="s">
        <v>8993</v>
      </c>
      <c r="B1383" s="132">
        <v>1.000541508122E-8</v>
      </c>
      <c r="C1383" s="133"/>
    </row>
    <row r="1384" spans="1:3">
      <c r="A1384" s="131" t="s">
        <v>8994</v>
      </c>
      <c r="B1384" s="132">
        <v>3.0916732600960999E-2</v>
      </c>
      <c r="C1384" s="133"/>
    </row>
    <row r="1385" spans="1:3">
      <c r="A1385" s="131" t="s">
        <v>8995</v>
      </c>
      <c r="B1385" s="132">
        <v>3.9501999708591029E-5</v>
      </c>
      <c r="C1385" s="133"/>
    </row>
    <row r="1386" spans="1:3">
      <c r="A1386" s="131" t="s">
        <v>8996</v>
      </c>
      <c r="B1386" s="132">
        <v>3.7219852090245281E-4</v>
      </c>
      <c r="C1386" s="133"/>
    </row>
    <row r="1387" spans="1:3">
      <c r="A1387" s="131" t="s">
        <v>8997</v>
      </c>
      <c r="B1387" s="132">
        <v>3.3743262361405002E-4</v>
      </c>
      <c r="C1387" s="133"/>
    </row>
    <row r="1388" spans="1:3">
      <c r="A1388" s="131" t="s">
        <v>8998</v>
      </c>
      <c r="B1388" s="132">
        <v>0.13503308193610999</v>
      </c>
      <c r="C1388" s="133"/>
    </row>
    <row r="1389" spans="1:3">
      <c r="A1389" s="131" t="s">
        <v>8999</v>
      </c>
      <c r="B1389" s="132">
        <v>1.1122356382492867E-2</v>
      </c>
      <c r="C1389" s="133"/>
    </row>
    <row r="1390" spans="1:3">
      <c r="A1390" s="131" t="s">
        <v>9000</v>
      </c>
      <c r="B1390" s="132">
        <v>5.4430142354243836E-5</v>
      </c>
      <c r="C1390" s="133"/>
    </row>
    <row r="1391" spans="1:3">
      <c r="A1391" s="131" t="s">
        <v>9001</v>
      </c>
      <c r="B1391" s="132">
        <v>0.12206108527806658</v>
      </c>
      <c r="C1391" s="133"/>
    </row>
    <row r="1392" spans="1:3">
      <c r="A1392" s="131" t="s">
        <v>9002</v>
      </c>
      <c r="B1392" s="132">
        <v>1.9272747733417719E-6</v>
      </c>
      <c r="C1392" s="133"/>
    </row>
    <row r="1393" spans="1:3">
      <c r="A1393" s="131" t="s">
        <v>9003</v>
      </c>
      <c r="B1393" s="132">
        <v>7.3410877757877364E-4</v>
      </c>
      <c r="C1393" s="133"/>
    </row>
    <row r="1394" spans="1:3">
      <c r="A1394" s="131" t="s">
        <v>9004</v>
      </c>
      <c r="B1394" s="132">
        <v>1.501178976638105E-2</v>
      </c>
      <c r="C1394" s="133"/>
    </row>
    <row r="1395" spans="1:3">
      <c r="A1395" s="131" t="s">
        <v>9005</v>
      </c>
      <c r="B1395" s="132">
        <v>12.550194634494</v>
      </c>
      <c r="C1395" s="133"/>
    </row>
    <row r="1396" spans="1:3">
      <c r="A1396" s="131" t="s">
        <v>9006</v>
      </c>
      <c r="B1396" s="132">
        <v>1.0533935951619595E-2</v>
      </c>
      <c r="C1396" s="133"/>
    </row>
    <row r="1397" spans="1:3">
      <c r="A1397" s="131" t="s">
        <v>9007</v>
      </c>
      <c r="B1397" s="132">
        <v>3.9346142785904509E-2</v>
      </c>
      <c r="C1397" s="133"/>
    </row>
    <row r="1398" spans="1:3">
      <c r="A1398" s="131" t="s">
        <v>9008</v>
      </c>
      <c r="B1398" s="132">
        <v>0.46143110052577652</v>
      </c>
      <c r="C1398" s="133"/>
    </row>
    <row r="1399" spans="1:3">
      <c r="A1399" s="131" t="s">
        <v>9009</v>
      </c>
      <c r="B1399" s="132">
        <v>2.6103117180348951E-5</v>
      </c>
      <c r="C1399" s="133"/>
    </row>
    <row r="1400" spans="1:3">
      <c r="A1400" s="131" t="s">
        <v>9010</v>
      </c>
      <c r="B1400" s="132">
        <v>1.2338208236773785E-3</v>
      </c>
      <c r="C1400" s="133"/>
    </row>
    <row r="1401" spans="1:3">
      <c r="A1401" s="131" t="s">
        <v>9011</v>
      </c>
      <c r="B1401" s="132">
        <v>3.6430174322022169E-3</v>
      </c>
      <c r="C1401" s="133"/>
    </row>
    <row r="1402" spans="1:3">
      <c r="A1402" s="131" t="s">
        <v>9012</v>
      </c>
      <c r="B1402" s="132">
        <v>2.6564820146330998E-3</v>
      </c>
      <c r="C1402" s="133"/>
    </row>
    <row r="1403" spans="1:3">
      <c r="A1403" s="131" t="s">
        <v>9013</v>
      </c>
      <c r="B1403" s="132">
        <v>3.4068160000000266E-4</v>
      </c>
      <c r="C1403" s="133"/>
    </row>
    <row r="1404" spans="1:3">
      <c r="A1404" s="131" t="s">
        <v>9014</v>
      </c>
      <c r="B1404" s="132">
        <v>6.1691041183869931E-6</v>
      </c>
      <c r="C1404" s="133"/>
    </row>
    <row r="1405" spans="1:3">
      <c r="A1405" s="131" t="s">
        <v>9015</v>
      </c>
      <c r="B1405" s="132">
        <v>2.8178749918882644E-3</v>
      </c>
      <c r="C1405" s="133"/>
    </row>
    <row r="1406" spans="1:3">
      <c r="A1406" s="131" t="s">
        <v>9016</v>
      </c>
      <c r="B1406" s="132">
        <v>0.2845329759812818</v>
      </c>
      <c r="C1406" s="133"/>
    </row>
    <row r="1407" spans="1:3">
      <c r="A1407" s="131" t="s">
        <v>9017</v>
      </c>
      <c r="B1407" s="132">
        <v>3.0816678450148998E-5</v>
      </c>
      <c r="C1407" s="133"/>
    </row>
    <row r="1408" spans="1:3">
      <c r="A1408" s="131" t="s">
        <v>9018</v>
      </c>
      <c r="B1408" s="132">
        <v>1.7805249688054331E-3</v>
      </c>
      <c r="C1408" s="133"/>
    </row>
    <row r="1409" spans="1:3">
      <c r="A1409" s="131" t="s">
        <v>9019</v>
      </c>
      <c r="B1409" s="132">
        <v>1.0005360798311001E-3</v>
      </c>
      <c r="C1409" s="133"/>
    </row>
    <row r="1410" spans="1:3">
      <c r="A1410" s="131" t="s">
        <v>9020</v>
      </c>
      <c r="B1410" s="132">
        <v>0.10868110709949</v>
      </c>
      <c r="C1410" s="133"/>
    </row>
    <row r="1411" spans="1:3">
      <c r="A1411" s="131" t="s">
        <v>9021</v>
      </c>
      <c r="B1411" s="132">
        <v>9.8503982107701945E-3</v>
      </c>
      <c r="C1411" s="133"/>
    </row>
    <row r="1412" spans="1:3">
      <c r="A1412" s="131" t="s">
        <v>9022</v>
      </c>
      <c r="B1412" s="132">
        <v>2.4644101385845E-3</v>
      </c>
      <c r="C1412" s="133"/>
    </row>
    <row r="1413" spans="1:3">
      <c r="A1413" s="131" t="s">
        <v>9023</v>
      </c>
      <c r="B1413" s="132">
        <v>4.8067162482565871E-3</v>
      </c>
      <c r="C1413" s="133"/>
    </row>
    <row r="1414" spans="1:3">
      <c r="A1414" s="131" t="s">
        <v>9024</v>
      </c>
      <c r="B1414" s="132">
        <v>4.0190513070176001E-2</v>
      </c>
      <c r="C1414" s="133"/>
    </row>
    <row r="1415" spans="1:3">
      <c r="A1415" s="131" t="s">
        <v>9025</v>
      </c>
      <c r="B1415" s="132">
        <v>7.3603763164931469E-3</v>
      </c>
      <c r="C1415" s="133"/>
    </row>
    <row r="1416" spans="1:3">
      <c r="A1416" s="131" t="s">
        <v>9026</v>
      </c>
      <c r="B1416" s="132">
        <v>1.0002940159101994E-2</v>
      </c>
      <c r="C1416" s="133"/>
    </row>
    <row r="1417" spans="1:3">
      <c r="A1417" s="131" t="s">
        <v>9027</v>
      </c>
      <c r="B1417" s="132">
        <v>3.0007116660514501E-6</v>
      </c>
      <c r="C1417" s="133"/>
    </row>
    <row r="1418" spans="1:3">
      <c r="A1418" s="131" t="s">
        <v>9028</v>
      </c>
      <c r="B1418" s="132">
        <v>6.1691041183869924E-4</v>
      </c>
      <c r="C1418" s="133"/>
    </row>
    <row r="1419" spans="1:3">
      <c r="A1419" s="131" t="s">
        <v>9029</v>
      </c>
      <c r="B1419" s="132">
        <v>3.0316433761325159E-3</v>
      </c>
      <c r="C1419" s="133"/>
    </row>
    <row r="1420" spans="1:3">
      <c r="A1420" s="131" t="s">
        <v>9030</v>
      </c>
      <c r="B1420" s="132">
        <v>7.0867621355937005E-4</v>
      </c>
      <c r="C1420" s="133"/>
    </row>
    <row r="1421" spans="1:3">
      <c r="A1421" s="131" t="s">
        <v>9031</v>
      </c>
      <c r="B1421" s="132">
        <v>5.3785753915144385E-6</v>
      </c>
      <c r="C1421" s="133"/>
    </row>
    <row r="1422" spans="1:3">
      <c r="A1422" s="131" t="s">
        <v>9032</v>
      </c>
      <c r="B1422" s="132">
        <v>1.7595702297657167E-3</v>
      </c>
      <c r="C1422" s="133"/>
    </row>
    <row r="1423" spans="1:3">
      <c r="A1423" s="131" t="s">
        <v>9033</v>
      </c>
      <c r="B1423" s="132">
        <v>8.3611256951714424E-2</v>
      </c>
      <c r="C1423" s="133"/>
    </row>
    <row r="1424" spans="1:3">
      <c r="A1424" s="131" t="s">
        <v>9034</v>
      </c>
      <c r="B1424" s="132">
        <v>2.0801519476924997E-3</v>
      </c>
      <c r="C1424" s="133"/>
    </row>
    <row r="1425" spans="1:3">
      <c r="A1425" s="131" t="s">
        <v>9035</v>
      </c>
      <c r="B1425" s="132">
        <v>4.0716087181354402E-2</v>
      </c>
      <c r="C1425" s="133"/>
    </row>
    <row r="1426" spans="1:3">
      <c r="A1426" s="131" t="s">
        <v>9036</v>
      </c>
      <c r="B1426" s="132">
        <v>5.1764100000000002E-3</v>
      </c>
      <c r="C1426" s="133"/>
    </row>
    <row r="1427" spans="1:3">
      <c r="A1427" s="131" t="s">
        <v>9037</v>
      </c>
      <c r="B1427" s="132">
        <v>2.1351323677493999E-4</v>
      </c>
      <c r="C1427" s="133"/>
    </row>
    <row r="1428" spans="1:3">
      <c r="A1428" s="131" t="s">
        <v>9038</v>
      </c>
      <c r="B1428" s="132">
        <v>1.3568970769838876E-2</v>
      </c>
      <c r="C1428" s="133"/>
    </row>
    <row r="1429" spans="1:3">
      <c r="A1429" s="131" t="s">
        <v>9039</v>
      </c>
      <c r="B1429" s="132">
        <v>165.05336230895904</v>
      </c>
      <c r="C1429" s="133"/>
    </row>
    <row r="1430" spans="1:3">
      <c r="A1430" s="131" t="s">
        <v>9040</v>
      </c>
      <c r="B1430" s="132">
        <v>1.8667000404093415E-4</v>
      </c>
      <c r="C1430" s="133"/>
    </row>
    <row r="1431" spans="1:3">
      <c r="A1431" s="131" t="s">
        <v>9041</v>
      </c>
      <c r="B1431" s="132">
        <v>2.2197306212164911E-2</v>
      </c>
      <c r="C1431" s="133"/>
    </row>
    <row r="1432" spans="1:3">
      <c r="A1432" s="131" t="s">
        <v>9042</v>
      </c>
      <c r="B1432" s="132">
        <v>9.3594173722420359E-6</v>
      </c>
      <c r="C1432" s="133"/>
    </row>
    <row r="1433" spans="1:3">
      <c r="A1433" s="131" t="s">
        <v>9043</v>
      </c>
      <c r="B1433" s="132">
        <v>3.8048352948217134E-3</v>
      </c>
      <c r="C1433" s="133"/>
    </row>
    <row r="1434" spans="1:3">
      <c r="A1434" s="131" t="s">
        <v>9044</v>
      </c>
      <c r="B1434" s="132">
        <v>2.2690599999999998E-3</v>
      </c>
      <c r="C1434" s="133"/>
    </row>
    <row r="1435" spans="1:3">
      <c r="A1435" s="131" t="s">
        <v>9045</v>
      </c>
      <c r="B1435" s="132">
        <v>3.9619582488564999E-5</v>
      </c>
      <c r="C1435" s="133"/>
    </row>
    <row r="1436" spans="1:3">
      <c r="A1436" s="131" t="s">
        <v>9046</v>
      </c>
      <c r="B1436" s="132">
        <v>3.0513500520000176E-3</v>
      </c>
      <c r="C1436" s="133"/>
    </row>
    <row r="1437" spans="1:3">
      <c r="A1437" s="131" t="s">
        <v>9047</v>
      </c>
      <c r="B1437" s="132">
        <v>1.3123081450934469E-3</v>
      </c>
      <c r="C1437" s="133"/>
    </row>
    <row r="1438" spans="1:3">
      <c r="A1438" s="131" t="s">
        <v>9048</v>
      </c>
      <c r="B1438" s="132">
        <v>4.8467429689135998E-3</v>
      </c>
      <c r="C1438" s="133"/>
    </row>
    <row r="1439" spans="1:3">
      <c r="A1439" s="131" t="s">
        <v>9049</v>
      </c>
      <c r="B1439" s="132">
        <v>3.3470577018158552E-6</v>
      </c>
      <c r="C1439" s="133"/>
    </row>
    <row r="1440" spans="1:3">
      <c r="A1440" s="131" t="s">
        <v>9050</v>
      </c>
      <c r="B1440" s="132">
        <v>9.2536561775804886E-4</v>
      </c>
      <c r="C1440" s="133"/>
    </row>
    <row r="1441" spans="1:3">
      <c r="A1441" s="131" t="s">
        <v>9051</v>
      </c>
      <c r="B1441" s="132">
        <v>1.8483821865226</v>
      </c>
      <c r="C1441" s="133"/>
    </row>
    <row r="1442" spans="1:3">
      <c r="A1442" s="131" t="s">
        <v>9052</v>
      </c>
      <c r="B1442" s="132">
        <v>2.2001466666666666E-5</v>
      </c>
      <c r="C1442" s="133"/>
    </row>
    <row r="1443" spans="1:3">
      <c r="A1443" s="131" t="s">
        <v>9053</v>
      </c>
      <c r="B1443" s="132">
        <v>3.2484011271525003E-5</v>
      </c>
      <c r="C1443" s="133"/>
    </row>
    <row r="1444" spans="1:3">
      <c r="A1444" s="131" t="s">
        <v>9054</v>
      </c>
      <c r="B1444" s="132">
        <v>5.8984738503768293E-3</v>
      </c>
      <c r="C1444" s="133"/>
    </row>
    <row r="1445" spans="1:3">
      <c r="A1445" s="131" t="s">
        <v>9055</v>
      </c>
      <c r="B1445" s="132">
        <v>2.2952755357414425E-4</v>
      </c>
      <c r="C1445" s="133"/>
    </row>
    <row r="1446" spans="1:3">
      <c r="A1446" s="131" t="s">
        <v>9056</v>
      </c>
      <c r="B1446" s="132">
        <v>4.3647030963651998E-4</v>
      </c>
      <c r="C1446" s="133"/>
    </row>
    <row r="1447" spans="1:3">
      <c r="A1447" s="131" t="s">
        <v>9057</v>
      </c>
      <c r="B1447" s="132">
        <v>1.0167412114515921</v>
      </c>
      <c r="C1447" s="133"/>
    </row>
    <row r="1448" spans="1:3">
      <c r="A1448" s="131" t="s">
        <v>9058</v>
      </c>
      <c r="B1448" s="132">
        <v>4.8345987948595001E-3</v>
      </c>
      <c r="C1448" s="133"/>
    </row>
    <row r="1449" spans="1:3">
      <c r="A1449" s="131" t="s">
        <v>9059</v>
      </c>
      <c r="B1449" s="132">
        <v>6.1635155302943191E-6</v>
      </c>
      <c r="C1449" s="133"/>
    </row>
    <row r="1450" spans="1:3">
      <c r="A1450" s="131" t="s">
        <v>9060</v>
      </c>
      <c r="B1450" s="132">
        <v>4.2337208277018002E-3</v>
      </c>
      <c r="C1450" s="133"/>
    </row>
    <row r="1451" spans="1:3">
      <c r="A1451" s="131" t="s">
        <v>9061</v>
      </c>
      <c r="B1451" s="132">
        <v>0.1147453366019989</v>
      </c>
      <c r="C1451" s="133"/>
    </row>
    <row r="1452" spans="1:3">
      <c r="A1452" s="131" t="s">
        <v>9062</v>
      </c>
      <c r="B1452" s="132">
        <v>2.1591864414354212E-3</v>
      </c>
      <c r="C1452" s="133"/>
    </row>
    <row r="1453" spans="1:3">
      <c r="A1453" s="131" t="s">
        <v>9063</v>
      </c>
      <c r="B1453" s="132">
        <v>6.7117988851366668E-3</v>
      </c>
      <c r="C1453" s="133"/>
    </row>
    <row r="1454" spans="1:3">
      <c r="A1454" s="131" t="s">
        <v>9064</v>
      </c>
      <c r="B1454" s="132">
        <v>61167</v>
      </c>
      <c r="C1454" s="133"/>
    </row>
    <row r="1455" spans="1:3">
      <c r="A1455" s="131" t="s">
        <v>9065</v>
      </c>
      <c r="B1455" s="132">
        <v>5.2233974479839997E-2</v>
      </c>
      <c r="C1455" s="133"/>
    </row>
    <row r="1456" spans="1:3">
      <c r="A1456" s="131" t="s">
        <v>9066</v>
      </c>
      <c r="B1456" s="132">
        <v>1.5753695515211552E-2</v>
      </c>
      <c r="C1456" s="133"/>
    </row>
    <row r="1457" spans="1:3">
      <c r="A1457" s="131" t="s">
        <v>9067</v>
      </c>
      <c r="B1457" s="132">
        <v>6.2249250944001772E-4</v>
      </c>
      <c r="C1457" s="133"/>
    </row>
    <row r="1458" spans="1:3">
      <c r="A1458" s="131" t="s">
        <v>9068</v>
      </c>
      <c r="B1458" s="132">
        <v>1.7881099483929574E-4</v>
      </c>
      <c r="C1458" s="133"/>
    </row>
    <row r="1459" spans="1:3">
      <c r="A1459" s="131" t="s">
        <v>9069</v>
      </c>
      <c r="B1459" s="132">
        <v>8.7268232404033876E-5</v>
      </c>
      <c r="C1459" s="133"/>
    </row>
    <row r="1460" spans="1:3">
      <c r="A1460" s="131" t="s">
        <v>9070</v>
      </c>
      <c r="B1460" s="132">
        <v>1.4904992262620379E-4</v>
      </c>
      <c r="C1460" s="133"/>
    </row>
    <row r="1461" spans="1:3">
      <c r="A1461" s="131" t="s">
        <v>9071</v>
      </c>
      <c r="B1461" s="132">
        <v>2.55455890077612</v>
      </c>
      <c r="C1461" s="133"/>
    </row>
    <row r="1462" spans="1:3">
      <c r="A1462" s="131" t="s">
        <v>9072</v>
      </c>
      <c r="B1462" s="132">
        <v>5.8700308616021865E-2</v>
      </c>
      <c r="C1462" s="133"/>
    </row>
    <row r="1463" spans="1:3">
      <c r="A1463" s="131" t="s">
        <v>9073</v>
      </c>
      <c r="B1463" s="132">
        <v>2.70791E-3</v>
      </c>
      <c r="C1463" s="133"/>
    </row>
    <row r="1464" spans="1:3">
      <c r="A1464" s="131" t="s">
        <v>9074</v>
      </c>
      <c r="B1464" s="132">
        <v>5.7973265075853004E-3</v>
      </c>
      <c r="C1464" s="133"/>
    </row>
    <row r="1465" spans="1:3">
      <c r="A1465" s="131" t="s">
        <v>9075</v>
      </c>
      <c r="B1465" s="132">
        <v>1.2048420786651001E-3</v>
      </c>
      <c r="C1465" s="133"/>
    </row>
    <row r="1466" spans="1:3">
      <c r="A1466" s="131" t="s">
        <v>9076</v>
      </c>
      <c r="B1466" s="132">
        <v>0.22267831605521721</v>
      </c>
      <c r="C1466" s="133"/>
    </row>
    <row r="1467" spans="1:3">
      <c r="A1467" s="131" t="s">
        <v>9077</v>
      </c>
      <c r="B1467" s="132">
        <v>2.8816729960917001E-3</v>
      </c>
      <c r="C1467" s="133"/>
    </row>
    <row r="1468" spans="1:3">
      <c r="A1468" s="131" t="s">
        <v>9078</v>
      </c>
      <c r="B1468" s="132">
        <v>1.7453646480806575E-4</v>
      </c>
      <c r="C1468" s="133"/>
    </row>
    <row r="1469" spans="1:3">
      <c r="A1469" s="131" t="s">
        <v>9079</v>
      </c>
      <c r="B1469" s="132">
        <v>0.31808974124099826</v>
      </c>
      <c r="C1469" s="133"/>
    </row>
    <row r="1470" spans="1:3">
      <c r="A1470" s="131" t="s">
        <v>9080</v>
      </c>
      <c r="B1470" s="132">
        <v>1.4108993113040924E-2</v>
      </c>
      <c r="C1470" s="133"/>
    </row>
    <row r="1471" spans="1:3">
      <c r="A1471" s="131" t="s">
        <v>9081</v>
      </c>
      <c r="B1471" s="132">
        <v>6.2851893305296003E-2</v>
      </c>
      <c r="C1471" s="133"/>
    </row>
    <row r="1472" spans="1:3">
      <c r="A1472" s="131" t="s">
        <v>9082</v>
      </c>
      <c r="B1472" s="132">
        <v>4.855387229038273E-2</v>
      </c>
      <c r="C1472" s="133"/>
    </row>
    <row r="1473" spans="1:3">
      <c r="A1473" s="131" t="s">
        <v>9083</v>
      </c>
      <c r="B1473" s="132">
        <v>4.2068203979654522E-5</v>
      </c>
      <c r="C1473" s="133"/>
    </row>
    <row r="1474" spans="1:3">
      <c r="A1474" s="131" t="s">
        <v>9084</v>
      </c>
      <c r="B1474" s="132">
        <v>27.45</v>
      </c>
      <c r="C1474" s="133"/>
    </row>
    <row r="1475" spans="1:3">
      <c r="A1475" s="131" t="s">
        <v>9085</v>
      </c>
      <c r="B1475" s="132">
        <v>1.1718656573951403E-3</v>
      </c>
      <c r="C1475" s="133"/>
    </row>
    <row r="1476" spans="1:3">
      <c r="A1476" s="131" t="s">
        <v>9086</v>
      </c>
      <c r="B1476" s="132">
        <v>3.4000001392087142E-7</v>
      </c>
      <c r="C1476" s="133"/>
    </row>
    <row r="1477" spans="1:3">
      <c r="A1477" s="131" t="s">
        <v>9087</v>
      </c>
      <c r="B1477" s="132">
        <v>2.6196947984383998</v>
      </c>
      <c r="C1477" s="133"/>
    </row>
    <row r="1478" spans="1:3">
      <c r="A1478" s="131" t="s">
        <v>9088</v>
      </c>
      <c r="B1478" s="132">
        <v>5.3193393327835377E-6</v>
      </c>
      <c r="C1478" s="133"/>
    </row>
    <row r="1479" spans="1:3">
      <c r="A1479" s="131" t="s">
        <v>9089</v>
      </c>
      <c r="B1479" s="132">
        <v>0.67966097275420356</v>
      </c>
      <c r="C1479" s="133"/>
    </row>
    <row r="1480" spans="1:3">
      <c r="A1480" s="131" t="s">
        <v>9090</v>
      </c>
      <c r="B1480" s="132">
        <v>6.5464561174211205E-3</v>
      </c>
      <c r="C1480" s="133"/>
    </row>
    <row r="1481" spans="1:3">
      <c r="A1481" s="131" t="s">
        <v>9091</v>
      </c>
      <c r="B1481" s="132">
        <v>1.7733791940172266E-3</v>
      </c>
      <c r="C1481" s="133"/>
    </row>
    <row r="1482" spans="1:3">
      <c r="A1482" s="131" t="s">
        <v>9092</v>
      </c>
      <c r="B1482" s="132">
        <v>1.295611782348717E-4</v>
      </c>
      <c r="C1482" s="133"/>
    </row>
    <row r="1483" spans="1:3">
      <c r="A1483" s="131" t="s">
        <v>9093</v>
      </c>
      <c r="B1483" s="132">
        <v>6.4205555788084991E-3</v>
      </c>
      <c r="C1483" s="133"/>
    </row>
    <row r="1484" spans="1:3">
      <c r="A1484" s="131" t="s">
        <v>9094</v>
      </c>
      <c r="B1484" s="132">
        <v>9.9492743571253793E-5</v>
      </c>
      <c r="C1484" s="133"/>
    </row>
    <row r="1485" spans="1:3">
      <c r="A1485" s="131" t="s">
        <v>9095</v>
      </c>
      <c r="B1485" s="132">
        <v>1.1518934373615331E-2</v>
      </c>
      <c r="C1485" s="133"/>
    </row>
    <row r="1486" spans="1:3">
      <c r="A1486" s="131" t="s">
        <v>9096</v>
      </c>
      <c r="B1486" s="132">
        <v>1.3113123332297376E-2</v>
      </c>
      <c r="C1486" s="133"/>
    </row>
    <row r="1487" spans="1:3">
      <c r="A1487" s="131" t="s">
        <v>9097</v>
      </c>
      <c r="B1487" s="132">
        <v>4.9352832947096147E-3</v>
      </c>
      <c r="C1487" s="133"/>
    </row>
    <row r="1488" spans="1:3">
      <c r="A1488" s="131" t="s">
        <v>9098</v>
      </c>
      <c r="B1488" s="132">
        <v>1.8043065203992388E-4</v>
      </c>
      <c r="C1488" s="133"/>
    </row>
    <row r="1489" spans="1:3">
      <c r="A1489" s="131" t="s">
        <v>9099</v>
      </c>
      <c r="B1489" s="132">
        <v>4.7237030230462551E-3</v>
      </c>
      <c r="C1489" s="133"/>
    </row>
    <row r="1490" spans="1:3">
      <c r="A1490" s="131" t="s">
        <v>9100</v>
      </c>
      <c r="B1490" s="132">
        <v>4.0105305781354536E-3</v>
      </c>
      <c r="C1490" s="133"/>
    </row>
    <row r="1491" spans="1:3">
      <c r="A1491" s="131" t="s">
        <v>9101</v>
      </c>
      <c r="B1491" s="132">
        <v>1.3192377525699999E-2</v>
      </c>
      <c r="C1491" s="133"/>
    </row>
    <row r="1492" spans="1:3">
      <c r="A1492" s="131" t="s">
        <v>9102</v>
      </c>
      <c r="B1492" s="132">
        <v>4.0230298583053999E-3</v>
      </c>
      <c r="C1492" s="133"/>
    </row>
    <row r="1493" spans="1:3">
      <c r="A1493" s="131" t="s">
        <v>9103</v>
      </c>
      <c r="B1493" s="132">
        <v>0.81686011066179642</v>
      </c>
      <c r="C1493" s="133"/>
    </row>
    <row r="1494" spans="1:3">
      <c r="A1494" s="131" t="s">
        <v>9104</v>
      </c>
      <c r="B1494" s="132">
        <v>0.47022237</v>
      </c>
      <c r="C1494" s="133"/>
    </row>
    <row r="1495" spans="1:3">
      <c r="A1495" s="131" t="s">
        <v>9105</v>
      </c>
      <c r="B1495" s="132">
        <v>0.78514902905047002</v>
      </c>
      <c r="C1495" s="133"/>
    </row>
    <row r="1496" spans="1:3">
      <c r="A1496" s="131" t="s">
        <v>9106</v>
      </c>
      <c r="B1496" s="132">
        <v>1.4544013796779333E-5</v>
      </c>
      <c r="C1496" s="133"/>
    </row>
    <row r="1497" spans="1:3">
      <c r="A1497" s="131" t="s">
        <v>9107</v>
      </c>
      <c r="B1497" s="132">
        <v>3.0859451698357094E-5</v>
      </c>
      <c r="C1497" s="133"/>
    </row>
    <row r="1498" spans="1:3">
      <c r="A1498" s="131" t="s">
        <v>9108</v>
      </c>
      <c r="B1498" s="132">
        <v>5.4143820758291499</v>
      </c>
      <c r="C1498" s="133"/>
    </row>
    <row r="1499" spans="1:3">
      <c r="A1499" s="131" t="s">
        <v>9109</v>
      </c>
      <c r="B1499" s="132">
        <v>6.3784981972158001E-4</v>
      </c>
      <c r="C1499" s="133"/>
    </row>
    <row r="1500" spans="1:3">
      <c r="A1500" s="131" t="s">
        <v>9110</v>
      </c>
      <c r="B1500" s="132">
        <v>1.0967555697651956E-3</v>
      </c>
      <c r="C1500" s="133"/>
    </row>
    <row r="1501" spans="1:3">
      <c r="A1501" s="131" t="s">
        <v>9111</v>
      </c>
      <c r="B1501" s="132">
        <v>1.4430536709874777</v>
      </c>
      <c r="C1501" s="133"/>
    </row>
    <row r="1502" spans="1:3">
      <c r="A1502" s="131" t="s">
        <v>9112</v>
      </c>
      <c r="B1502" s="132">
        <v>1.0005385064972E-2</v>
      </c>
      <c r="C1502" s="133"/>
    </row>
    <row r="1503" spans="1:3">
      <c r="A1503" s="131" t="s">
        <v>9113</v>
      </c>
      <c r="B1503" s="132">
        <v>5.9020123862686003E-3</v>
      </c>
      <c r="C1503" s="133"/>
    </row>
    <row r="1504" spans="1:3">
      <c r="A1504" s="131" t="s">
        <v>9114</v>
      </c>
      <c r="B1504" s="132">
        <v>8.6816978621664139E-4</v>
      </c>
      <c r="C1504" s="133"/>
    </row>
    <row r="1505" spans="1:3">
      <c r="A1505" s="131" t="s">
        <v>9115</v>
      </c>
      <c r="B1505" s="132">
        <v>0.10740607055292099</v>
      </c>
      <c r="C1505" s="133"/>
    </row>
    <row r="1506" spans="1:3">
      <c r="A1506" s="131" t="s">
        <v>9116</v>
      </c>
      <c r="B1506" s="132">
        <v>0.40982589037568762</v>
      </c>
      <c r="C1506" s="133"/>
    </row>
    <row r="1507" spans="1:3">
      <c r="A1507" s="131" t="s">
        <v>9117</v>
      </c>
      <c r="B1507" s="132">
        <v>4.3647030963651998E-4</v>
      </c>
      <c r="C1507" s="133"/>
    </row>
    <row r="1508" spans="1:3">
      <c r="A1508" s="131" t="s">
        <v>9118</v>
      </c>
      <c r="B1508" s="132">
        <v>6.0876876139276967E-4</v>
      </c>
      <c r="C1508" s="133"/>
    </row>
    <row r="1509" spans="1:3">
      <c r="A1509" s="131" t="s">
        <v>9119</v>
      </c>
      <c r="B1509" s="132">
        <v>3.5800847986108999</v>
      </c>
      <c r="C1509" s="133"/>
    </row>
    <row r="1510" spans="1:3">
      <c r="A1510" s="131" t="s">
        <v>9120</v>
      </c>
      <c r="B1510" s="132">
        <v>1.850731235516127E-3</v>
      </c>
      <c r="C1510" s="133"/>
    </row>
    <row r="1511" spans="1:3">
      <c r="A1511" s="131" t="s">
        <v>9121</v>
      </c>
      <c r="B1511" s="132">
        <v>1.2310742778991052E-3</v>
      </c>
      <c r="C1511" s="133"/>
    </row>
    <row r="1512" spans="1:3">
      <c r="A1512" s="131" t="s">
        <v>9122</v>
      </c>
      <c r="B1512" s="132">
        <v>4.0412237329763999E-7</v>
      </c>
      <c r="C1512" s="133"/>
    </row>
    <row r="1513" spans="1:3">
      <c r="A1513" s="131" t="s">
        <v>9123</v>
      </c>
      <c r="B1513" s="132">
        <v>7.9997678024127002E-4</v>
      </c>
      <c r="C1513" s="133"/>
    </row>
    <row r="1514" spans="1:3">
      <c r="A1514" s="131" t="s">
        <v>9124</v>
      </c>
      <c r="B1514" s="132">
        <v>2.5774364648032001E-2</v>
      </c>
      <c r="C1514" s="133"/>
    </row>
    <row r="1515" spans="1:3">
      <c r="A1515" s="131" t="s">
        <v>9125</v>
      </c>
      <c r="B1515" s="132">
        <v>7.8406694148089456E-2</v>
      </c>
      <c r="C1515" s="133"/>
    </row>
    <row r="1516" spans="1:3">
      <c r="A1516" s="131" t="s">
        <v>9126</v>
      </c>
      <c r="B1516" s="132">
        <v>6.8293326528062652E-3</v>
      </c>
      <c r="C1516" s="133"/>
    </row>
    <row r="1517" spans="1:3">
      <c r="A1517" s="131" t="s">
        <v>9127</v>
      </c>
      <c r="B1517" s="132">
        <v>9.2653082562396006E-3</v>
      </c>
      <c r="C1517" s="133"/>
    </row>
    <row r="1518" spans="1:3">
      <c r="A1518" s="131" t="s">
        <v>9128</v>
      </c>
      <c r="B1518" s="132">
        <v>1.759854739273948E-3</v>
      </c>
      <c r="C1518" s="133"/>
    </row>
    <row r="1519" spans="1:3">
      <c r="A1519" s="131" t="s">
        <v>9129</v>
      </c>
      <c r="B1519" s="132">
        <v>21.963483638573294</v>
      </c>
      <c r="C1519" s="133"/>
    </row>
    <row r="1520" spans="1:3">
      <c r="A1520" s="131" t="s">
        <v>9130</v>
      </c>
      <c r="B1520" s="132">
        <v>1.646826239795E-2</v>
      </c>
      <c r="C1520" s="133"/>
    </row>
    <row r="1521" spans="1:3">
      <c r="A1521" s="131" t="s">
        <v>9131</v>
      </c>
      <c r="B1521" s="132">
        <v>6.3581211509696769E-4</v>
      </c>
      <c r="C1521" s="133"/>
    </row>
    <row r="1522" spans="1:3">
      <c r="A1522" s="131" t="s">
        <v>9132</v>
      </c>
      <c r="B1522" s="132">
        <v>4.7156999999999999E-4</v>
      </c>
      <c r="C1522" s="133"/>
    </row>
    <row r="1523" spans="1:3">
      <c r="A1523" s="131" t="s">
        <v>9133</v>
      </c>
      <c r="B1523" s="132">
        <v>0.26499519776013802</v>
      </c>
      <c r="C1523" s="133"/>
    </row>
    <row r="1524" spans="1:3">
      <c r="A1524" s="131" t="s">
        <v>9134</v>
      </c>
      <c r="B1524" s="132">
        <v>4.2374478936920996E-3</v>
      </c>
      <c r="C1524" s="133"/>
    </row>
    <row r="1525" spans="1:3">
      <c r="A1525" s="131" t="s">
        <v>9135</v>
      </c>
      <c r="B1525" s="132">
        <v>3.4237636665980999E-3</v>
      </c>
      <c r="C1525" s="133"/>
    </row>
    <row r="1526" spans="1:3">
      <c r="A1526" s="131" t="s">
        <v>9136</v>
      </c>
      <c r="B1526" s="132">
        <v>2.0611155067306999E-2</v>
      </c>
      <c r="C1526" s="133"/>
    </row>
    <row r="1527" spans="1:3">
      <c r="A1527" s="131" t="s">
        <v>9137</v>
      </c>
      <c r="B1527" s="132">
        <v>4.7325613334156997E-6</v>
      </c>
      <c r="C1527" s="133"/>
    </row>
    <row r="1528" spans="1:3">
      <c r="A1528" s="131" t="s">
        <v>9138</v>
      </c>
      <c r="B1528" s="132">
        <v>3.8372416185931998E-2</v>
      </c>
      <c r="C1528" s="133"/>
    </row>
    <row r="1529" spans="1:3">
      <c r="A1529" s="131" t="s">
        <v>9139</v>
      </c>
      <c r="B1529" s="132">
        <v>6.5331408305768996E-3</v>
      </c>
      <c r="C1529" s="133"/>
    </row>
    <row r="1530" spans="1:3">
      <c r="A1530" s="131" t="s">
        <v>9140</v>
      </c>
      <c r="B1530" s="132">
        <v>9.2415380196918008E-3</v>
      </c>
      <c r="C1530" s="133"/>
    </row>
    <row r="1531" spans="1:3">
      <c r="A1531" s="131" t="s">
        <v>9141</v>
      </c>
      <c r="B1531" s="132">
        <v>2.8202137171533002E-2</v>
      </c>
      <c r="C1531" s="133"/>
    </row>
    <row r="1532" spans="1:3">
      <c r="A1532" s="131" t="s">
        <v>9142</v>
      </c>
      <c r="B1532" s="132">
        <v>5.4403970246753003E-2</v>
      </c>
      <c r="C1532" s="133"/>
    </row>
    <row r="1533" spans="1:3">
      <c r="A1533" s="131" t="s">
        <v>9143</v>
      </c>
      <c r="B1533" s="132">
        <v>7.6534218453160555E-3</v>
      </c>
      <c r="C1533" s="133"/>
    </row>
    <row r="1534" spans="1:3">
      <c r="A1534" s="131" t="s">
        <v>9144</v>
      </c>
      <c r="B1534" s="132">
        <v>6.1733261177669002E-2</v>
      </c>
      <c r="C1534" s="133"/>
    </row>
    <row r="1535" spans="1:3">
      <c r="A1535" s="131" t="s">
        <v>9145</v>
      </c>
      <c r="B1535" s="132">
        <v>6.3985433888858156E-5</v>
      </c>
      <c r="C1535" s="133"/>
    </row>
    <row r="1536" spans="1:3">
      <c r="A1536" s="131" t="s">
        <v>9146</v>
      </c>
      <c r="B1536" s="132">
        <v>1.0979369213997E-2</v>
      </c>
      <c r="C1536" s="133"/>
    </row>
    <row r="1537" spans="1:3">
      <c r="A1537" s="131" t="s">
        <v>9147</v>
      </c>
      <c r="B1537" s="132">
        <v>7.0898182949231409E-3</v>
      </c>
      <c r="C1537" s="133"/>
    </row>
    <row r="1538" spans="1:3">
      <c r="A1538" s="131" t="s">
        <v>9148</v>
      </c>
      <c r="B1538" s="132">
        <v>9.517061613719506E-2</v>
      </c>
      <c r="C1538" s="133"/>
    </row>
    <row r="1539" spans="1:3">
      <c r="A1539" s="131" t="s">
        <v>9149</v>
      </c>
      <c r="B1539" s="132">
        <v>0.96173275194451002</v>
      </c>
      <c r="C1539" s="133"/>
    </row>
    <row r="1540" spans="1:3">
      <c r="A1540" s="131" t="s">
        <v>9150</v>
      </c>
      <c r="B1540" s="132">
        <v>3.8681121703642999E-4</v>
      </c>
      <c r="C1540" s="133"/>
    </row>
    <row r="1541" spans="1:3">
      <c r="A1541" s="131" t="s">
        <v>9151</v>
      </c>
      <c r="B1541" s="132">
        <v>7.1558728660864999E-5</v>
      </c>
      <c r="C1541" s="133"/>
    </row>
    <row r="1542" spans="1:3">
      <c r="A1542" s="131" t="s">
        <v>9152</v>
      </c>
      <c r="B1542" s="132">
        <v>3.994437496842E-4</v>
      </c>
      <c r="C1542" s="133"/>
    </row>
    <row r="1543" spans="1:3">
      <c r="A1543" s="131" t="s">
        <v>9153</v>
      </c>
      <c r="B1543" s="132">
        <v>3.0396999999999998E-4</v>
      </c>
      <c r="C1543" s="133"/>
    </row>
    <row r="1544" spans="1:3">
      <c r="A1544" s="131" t="s">
        <v>9154</v>
      </c>
      <c r="B1544" s="132">
        <v>2.4113050345732999E-4</v>
      </c>
      <c r="C1544" s="133"/>
    </row>
    <row r="1545" spans="1:3">
      <c r="A1545" s="131" t="s">
        <v>9155</v>
      </c>
      <c r="B1545" s="132">
        <v>1.1780000000000001E-5</v>
      </c>
      <c r="C1545" s="133"/>
    </row>
    <row r="1546" spans="1:3">
      <c r="A1546" s="131" t="s">
        <v>9156</v>
      </c>
      <c r="B1546" s="132">
        <v>4.9711183851660998E-2</v>
      </c>
      <c r="C1546" s="133"/>
    </row>
    <row r="1547" spans="1:3">
      <c r="A1547" s="131" t="s">
        <v>9157</v>
      </c>
      <c r="B1547" s="132">
        <v>3.1774896704095E-4</v>
      </c>
      <c r="C1547" s="133"/>
    </row>
    <row r="1548" spans="1:3">
      <c r="A1548" s="131" t="s">
        <v>9158</v>
      </c>
      <c r="B1548" s="132">
        <v>6.6587690076021168E-4</v>
      </c>
      <c r="C1548" s="133"/>
    </row>
    <row r="1549" spans="1:3">
      <c r="A1549" s="131" t="s">
        <v>9159</v>
      </c>
      <c r="B1549" s="132">
        <v>3.2885640393942595E-3</v>
      </c>
      <c r="C1549" s="133"/>
    </row>
    <row r="1550" spans="1:3">
      <c r="A1550" s="131" t="s">
        <v>9160</v>
      </c>
      <c r="B1550" s="132">
        <v>0.26986207853075589</v>
      </c>
      <c r="C1550" s="133"/>
    </row>
    <row r="1551" spans="1:3">
      <c r="A1551" s="131" t="s">
        <v>9161</v>
      </c>
      <c r="B1551" s="132">
        <v>4.620481132198569E-3</v>
      </c>
      <c r="C1551" s="133"/>
    </row>
    <row r="1552" spans="1:3">
      <c r="A1552" s="131" t="s">
        <v>9162</v>
      </c>
      <c r="B1552" s="132">
        <v>6.5537444544515001E-3</v>
      </c>
      <c r="C1552" s="133"/>
    </row>
    <row r="1553" spans="1:3">
      <c r="A1553" s="131" t="s">
        <v>9163</v>
      </c>
      <c r="B1553" s="132">
        <v>6.1199999999999999E-6</v>
      </c>
      <c r="C1553" s="133"/>
    </row>
    <row r="1554" spans="1:3">
      <c r="A1554" s="131" t="s">
        <v>9164</v>
      </c>
      <c r="B1554" s="132">
        <v>4.2809099331319998E-4</v>
      </c>
      <c r="C1554" s="133"/>
    </row>
    <row r="1555" spans="1:3">
      <c r="A1555" s="131" t="s">
        <v>9165</v>
      </c>
      <c r="B1555" s="132">
        <v>0.61610253464611997</v>
      </c>
      <c r="C1555" s="133"/>
    </row>
    <row r="1556" spans="1:3">
      <c r="A1556" s="131" t="s">
        <v>9166</v>
      </c>
      <c r="B1556" s="132">
        <v>1.2791870944438501E-3</v>
      </c>
      <c r="C1556" s="133"/>
    </row>
    <row r="1557" spans="1:3">
      <c r="A1557" s="131" t="s">
        <v>9167</v>
      </c>
      <c r="B1557" s="132">
        <v>1.9006286488279999E-4</v>
      </c>
      <c r="C1557" s="133"/>
    </row>
    <row r="1558" spans="1:3">
      <c r="A1558" s="131" t="s">
        <v>9168</v>
      </c>
      <c r="B1558" s="132">
        <v>1.6782166435748E-3</v>
      </c>
      <c r="C1558" s="133"/>
    </row>
    <row r="1559" spans="1:3">
      <c r="A1559" s="131" t="s">
        <v>9169</v>
      </c>
      <c r="B1559" s="132">
        <v>3.5078985274746999E-3</v>
      </c>
      <c r="C1559" s="133"/>
    </row>
    <row r="1560" spans="1:3">
      <c r="A1560" s="131" t="s">
        <v>9170</v>
      </c>
      <c r="B1560" s="132">
        <v>5.998190745909E-4</v>
      </c>
      <c r="C1560" s="133"/>
    </row>
    <row r="1561" spans="1:3">
      <c r="A1561" s="131" t="s">
        <v>9171</v>
      </c>
      <c r="B1561" s="132">
        <v>0.11553678861213421</v>
      </c>
      <c r="C1561" s="133"/>
    </row>
    <row r="1562" spans="1:3">
      <c r="A1562" s="131" t="s">
        <v>9172</v>
      </c>
      <c r="B1562" s="132">
        <v>2.7484543529756591E-3</v>
      </c>
      <c r="C1562" s="133"/>
    </row>
    <row r="1563" spans="1:3">
      <c r="A1563" s="131" t="s">
        <v>9173</v>
      </c>
      <c r="B1563" s="132">
        <v>4.1600179929995358</v>
      </c>
      <c r="C1563" s="133"/>
    </row>
    <row r="1564" spans="1:3">
      <c r="A1564" s="131" t="s">
        <v>9174</v>
      </c>
      <c r="B1564" s="132">
        <v>0.4557836587875137</v>
      </c>
      <c r="C1564" s="133"/>
    </row>
    <row r="1565" spans="1:3">
      <c r="A1565" s="131" t="s">
        <v>9175</v>
      </c>
      <c r="B1565" s="132">
        <v>3.7221000786092366E-3</v>
      </c>
      <c r="C1565" s="133"/>
    </row>
    <row r="1566" spans="1:3">
      <c r="A1566" s="131" t="s">
        <v>9176</v>
      </c>
      <c r="B1566" s="132">
        <v>4.6881000000000001E-4</v>
      </c>
      <c r="C1566" s="133"/>
    </row>
    <row r="1567" spans="1:3">
      <c r="A1567" s="131" t="s">
        <v>9177</v>
      </c>
      <c r="B1567" s="132">
        <v>0.13363844323651</v>
      </c>
      <c r="C1567" s="133"/>
    </row>
    <row r="1568" spans="1:3">
      <c r="A1568" s="131" t="s">
        <v>9178</v>
      </c>
      <c r="B1568" s="132">
        <v>7.5171090958821003E-4</v>
      </c>
      <c r="C1568" s="133"/>
    </row>
    <row r="1569" spans="1:3">
      <c r="A1569" s="131" t="s">
        <v>9179</v>
      </c>
      <c r="B1569" s="132">
        <v>0.17129270619043999</v>
      </c>
      <c r="C1569" s="133"/>
    </row>
    <row r="1570" spans="1:3">
      <c r="A1570" s="131" t="s">
        <v>9180</v>
      </c>
      <c r="B1570" s="132">
        <v>1.2338208236773785E-4</v>
      </c>
      <c r="C1570" s="133"/>
    </row>
    <row r="1571" spans="1:3">
      <c r="A1571" s="131" t="s">
        <v>9181</v>
      </c>
      <c r="B1571" s="132">
        <v>3.0096209748688998E-2</v>
      </c>
      <c r="C1571" s="133"/>
    </row>
    <row r="1572" spans="1:3">
      <c r="A1572" s="131" t="s">
        <v>9182</v>
      </c>
      <c r="B1572" s="132">
        <v>1.9582205999999999E-6</v>
      </c>
      <c r="C1572" s="133"/>
    </row>
    <row r="1573" spans="1:3">
      <c r="A1573" s="131" t="s">
        <v>9183</v>
      </c>
      <c r="B1573" s="132">
        <v>6.3412806247338995E-3</v>
      </c>
      <c r="C1573" s="133"/>
    </row>
    <row r="1574" spans="1:3">
      <c r="A1574" s="131" t="s">
        <v>9184</v>
      </c>
      <c r="B1574" s="132">
        <v>2.1510942045561E-3</v>
      </c>
      <c r="C1574" s="133"/>
    </row>
    <row r="1575" spans="1:3">
      <c r="A1575" s="131" t="s">
        <v>9185</v>
      </c>
      <c r="B1575" s="132">
        <v>4.9777392704276002E-2</v>
      </c>
      <c r="C1575" s="133"/>
    </row>
    <row r="1576" spans="1:3">
      <c r="A1576" s="131" t="s">
        <v>9186</v>
      </c>
      <c r="B1576" s="132">
        <v>1.9767530749137999E-3</v>
      </c>
      <c r="C1576" s="133"/>
    </row>
    <row r="1577" spans="1:3">
      <c r="A1577" s="131" t="s">
        <v>9187</v>
      </c>
      <c r="B1577" s="132">
        <v>8.1600335490177259E-3</v>
      </c>
      <c r="C1577" s="133"/>
    </row>
    <row r="1578" spans="1:3">
      <c r="A1578" s="131" t="s">
        <v>9188</v>
      </c>
      <c r="B1578" s="132">
        <v>0.70415366803140023</v>
      </c>
      <c r="C1578" s="133"/>
    </row>
    <row r="1579" spans="1:3">
      <c r="A1579" s="131" t="s">
        <v>9189</v>
      </c>
      <c r="B1579" s="132">
        <v>4.4372891553714003E-2</v>
      </c>
      <c r="C1579" s="133"/>
    </row>
    <row r="1580" spans="1:3">
      <c r="A1580" s="131" t="s">
        <v>9190</v>
      </c>
      <c r="B1580" s="132">
        <v>7.6660769363505373E-6</v>
      </c>
      <c r="C1580" s="133"/>
    </row>
    <row r="1581" spans="1:3">
      <c r="A1581" s="131" t="s">
        <v>9191</v>
      </c>
      <c r="B1581" s="132">
        <v>9.4912449432825647E-4</v>
      </c>
      <c r="C1581" s="133"/>
    </row>
    <row r="1582" spans="1:3">
      <c r="A1582" s="131" t="s">
        <v>9192</v>
      </c>
      <c r="B1582" s="132">
        <v>1.2833636798531001</v>
      </c>
      <c r="C1582" s="133"/>
    </row>
    <row r="1583" spans="1:3">
      <c r="A1583" s="131" t="s">
        <v>9193</v>
      </c>
      <c r="B1583" s="132">
        <v>3.0514145434405E-6</v>
      </c>
      <c r="C1583" s="133"/>
    </row>
    <row r="1584" spans="1:3">
      <c r="A1584" s="131" t="s">
        <v>9194</v>
      </c>
      <c r="B1584" s="132">
        <v>3.0765525583641998E-5</v>
      </c>
      <c r="C1584" s="133"/>
    </row>
    <row r="1585" spans="1:3">
      <c r="A1585" s="131" t="s">
        <v>9195</v>
      </c>
      <c r="B1585" s="132">
        <v>1.6564821807248001E-4</v>
      </c>
      <c r="C1585" s="133"/>
    </row>
    <row r="1586" spans="1:3">
      <c r="A1586" s="131" t="s">
        <v>9196</v>
      </c>
      <c r="B1586" s="132">
        <v>3.1990248148833501E-6</v>
      </c>
      <c r="C1586" s="133"/>
    </row>
    <row r="1587" spans="1:3">
      <c r="A1587" s="131" t="s">
        <v>9197</v>
      </c>
      <c r="B1587" s="132">
        <v>1.523701149208578E-5</v>
      </c>
      <c r="C1587" s="133"/>
    </row>
    <row r="1588" spans="1:3">
      <c r="A1588" s="131" t="s">
        <v>9198</v>
      </c>
      <c r="B1588" s="132">
        <v>7.3012920589479724E-2</v>
      </c>
      <c r="C1588" s="133"/>
    </row>
    <row r="1589" spans="1:3">
      <c r="A1589" s="131" t="s">
        <v>9199</v>
      </c>
      <c r="B1589" s="132">
        <v>2.5341874018173035E-6</v>
      </c>
      <c r="C1589" s="133"/>
    </row>
    <row r="1590" spans="1:3">
      <c r="A1590" s="131" t="s">
        <v>9200</v>
      </c>
      <c r="B1590" s="132">
        <v>7.0088933185434002E-4</v>
      </c>
      <c r="C1590" s="133"/>
    </row>
    <row r="1591" spans="1:3">
      <c r="A1591" s="131" t="s">
        <v>9201</v>
      </c>
      <c r="B1591" s="132">
        <v>4.4323988809792E-6</v>
      </c>
      <c r="C1591" s="133"/>
    </row>
    <row r="1592" spans="1:3">
      <c r="A1592" s="131" t="s">
        <v>9202</v>
      </c>
      <c r="B1592" s="132">
        <v>4.3604691001778337E-5</v>
      </c>
      <c r="C1592" s="133"/>
    </row>
    <row r="1593" spans="1:3">
      <c r="A1593" s="131" t="s">
        <v>9203</v>
      </c>
      <c r="B1593" s="132">
        <v>6.9914031330765858E-4</v>
      </c>
      <c r="C1593" s="133"/>
    </row>
    <row r="1594" spans="1:3">
      <c r="A1594" s="131" t="s">
        <v>9204</v>
      </c>
      <c r="B1594" s="132">
        <v>1.4257659675955166E-4</v>
      </c>
      <c r="C1594" s="133"/>
    </row>
    <row r="1595" spans="1:3">
      <c r="A1595" s="131" t="s">
        <v>9205</v>
      </c>
      <c r="B1595" s="132">
        <v>0.46202775351322001</v>
      </c>
      <c r="C1595" s="133"/>
    </row>
    <row r="1596" spans="1:3">
      <c r="A1596" s="131" t="s">
        <v>9206</v>
      </c>
      <c r="B1596" s="132">
        <v>6.1610253464612001E-4</v>
      </c>
      <c r="C1596" s="133"/>
    </row>
    <row r="1597" spans="1:3">
      <c r="A1597" s="131" t="s">
        <v>9207</v>
      </c>
      <c r="B1597" s="132">
        <v>4.796514285779473E-3</v>
      </c>
      <c r="C1597" s="133"/>
    </row>
    <row r="1598" spans="1:3">
      <c r="A1598" s="131" t="s">
        <v>9208</v>
      </c>
      <c r="B1598" s="132">
        <v>3.3885639405537002E-2</v>
      </c>
      <c r="C1598" s="133"/>
    </row>
    <row r="1599" spans="1:3">
      <c r="A1599" s="131" t="s">
        <v>9209</v>
      </c>
      <c r="B1599" s="132">
        <v>1.3048384305394012</v>
      </c>
      <c r="C1599" s="133"/>
    </row>
    <row r="1600" spans="1:3">
      <c r="A1600" s="131" t="s">
        <v>9210</v>
      </c>
      <c r="B1600" s="132">
        <v>1.2526179356779E-5</v>
      </c>
      <c r="C1600" s="133"/>
    </row>
    <row r="1601" spans="1:3">
      <c r="A1601" s="131" t="s">
        <v>9211</v>
      </c>
      <c r="B1601" s="132">
        <v>3.06551E-3</v>
      </c>
      <c r="C1601" s="133"/>
    </row>
    <row r="1602" spans="1:3">
      <c r="A1602" s="131" t="s">
        <v>9212</v>
      </c>
      <c r="B1602" s="132">
        <v>3.0805126732305999</v>
      </c>
      <c r="C1602" s="133"/>
    </row>
    <row r="1603" spans="1:3">
      <c r="A1603" s="131" t="s">
        <v>9213</v>
      </c>
      <c r="B1603" s="132">
        <v>1.1089845623629999E-2</v>
      </c>
      <c r="C1603" s="133"/>
    </row>
    <row r="1604" spans="1:3">
      <c r="A1604" s="131" t="s">
        <v>9214</v>
      </c>
      <c r="B1604" s="132">
        <v>1.2955118648612872E-3</v>
      </c>
      <c r="C1604" s="133"/>
    </row>
    <row r="1605" spans="1:3">
      <c r="A1605" s="131" t="s">
        <v>9215</v>
      </c>
      <c r="B1605" s="132">
        <v>3.74566E-3</v>
      </c>
      <c r="C1605" s="133"/>
    </row>
    <row r="1606" spans="1:3">
      <c r="A1606" s="131" t="s">
        <v>9216</v>
      </c>
      <c r="B1606" s="132">
        <v>2.6154981800918001E-6</v>
      </c>
      <c r="C1606" s="133"/>
    </row>
    <row r="1607" spans="1:3">
      <c r="A1607" s="131" t="s">
        <v>9217</v>
      </c>
      <c r="B1607" s="132">
        <v>7.6285363586011999E-3</v>
      </c>
      <c r="C1607" s="133"/>
    </row>
    <row r="1608" spans="1:3">
      <c r="A1608" s="131" t="s">
        <v>9218</v>
      </c>
      <c r="B1608" s="132">
        <v>6.1160978425610249E-4</v>
      </c>
      <c r="C1608" s="133"/>
    </row>
    <row r="1609" spans="1:3">
      <c r="A1609" s="131" t="s">
        <v>9219</v>
      </c>
      <c r="B1609" s="132">
        <v>2.6564838368513</v>
      </c>
      <c r="C1609" s="133"/>
    </row>
    <row r="1610" spans="1:3">
      <c r="A1610" s="131" t="s">
        <v>9220</v>
      </c>
      <c r="B1610" s="132">
        <v>3.1892490986079001E-4</v>
      </c>
      <c r="C1610" s="133"/>
    </row>
    <row r="1611" spans="1:3">
      <c r="A1611" s="131" t="s">
        <v>9221</v>
      </c>
      <c r="B1611" s="132">
        <v>1.0364750069966757E-2</v>
      </c>
      <c r="C1611" s="133"/>
    </row>
    <row r="1612" spans="1:3">
      <c r="A1612" s="131" t="s">
        <v>9222</v>
      </c>
      <c r="B1612" s="132">
        <v>1.7866973504737E-2</v>
      </c>
      <c r="C1612" s="133"/>
    </row>
    <row r="1613" spans="1:3">
      <c r="A1613" s="131" t="s">
        <v>9223</v>
      </c>
      <c r="B1613" s="132">
        <v>2.4676416473548074E-3</v>
      </c>
      <c r="C1613" s="133"/>
    </row>
    <row r="1614" spans="1:3">
      <c r="A1614" s="131" t="s">
        <v>9224</v>
      </c>
      <c r="B1614" s="132">
        <v>6.4975100071866003E-5</v>
      </c>
      <c r="C1614" s="133"/>
    </row>
    <row r="1615" spans="1:3">
      <c r="A1615" s="131" t="s">
        <v>9225</v>
      </c>
      <c r="B1615" s="132">
        <v>1.2999999999999999E-5</v>
      </c>
      <c r="C1615" s="133"/>
    </row>
    <row r="1616" spans="1:3">
      <c r="A1616" s="131" t="s">
        <v>9226</v>
      </c>
      <c r="B1616" s="132">
        <v>7.7148357858913998</v>
      </c>
      <c r="C1616" s="133"/>
    </row>
    <row r="1617" spans="1:3">
      <c r="A1617" s="131" t="s">
        <v>9227</v>
      </c>
      <c r="B1617" s="132">
        <v>3.1096999999999999E-4</v>
      </c>
      <c r="C1617" s="133"/>
    </row>
    <row r="1618" spans="1:3">
      <c r="A1618" s="131" t="s">
        <v>9228</v>
      </c>
      <c r="B1618" s="132">
        <v>0.73641414599030486</v>
      </c>
      <c r="C1618" s="133"/>
    </row>
    <row r="1619" spans="1:3">
      <c r="A1619" s="131" t="s">
        <v>9229</v>
      </c>
      <c r="B1619" s="132">
        <v>2.3558240000000001E-2</v>
      </c>
      <c r="C1619" s="133"/>
    </row>
    <row r="1620" spans="1:3">
      <c r="A1620" s="131" t="s">
        <v>9230</v>
      </c>
      <c r="B1620" s="132">
        <v>2.2320912007556308E-2</v>
      </c>
      <c r="C1620" s="133"/>
    </row>
    <row r="1621" spans="1:3">
      <c r="A1621" s="131" t="s">
        <v>9231</v>
      </c>
      <c r="B1621" s="132">
        <v>0.43122189166080599</v>
      </c>
      <c r="C1621" s="133"/>
    </row>
    <row r="1622" spans="1:3">
      <c r="A1622" s="131" t="s">
        <v>9232</v>
      </c>
      <c r="B1622" s="132">
        <v>1.2887371690637672E-2</v>
      </c>
      <c r="C1622" s="133"/>
    </row>
    <row r="1623" spans="1:3">
      <c r="A1623" s="131" t="s">
        <v>9233</v>
      </c>
      <c r="B1623" s="132">
        <v>1.2962908722273167E-2</v>
      </c>
      <c r="C1623" s="133"/>
    </row>
    <row r="1624" spans="1:3">
      <c r="A1624" s="131" t="s">
        <v>9234</v>
      </c>
      <c r="B1624" s="132">
        <v>2.4658224244747998E-3</v>
      </c>
      <c r="C1624" s="133"/>
    </row>
    <row r="1625" spans="1:3">
      <c r="A1625" s="131" t="s">
        <v>9235</v>
      </c>
      <c r="B1625" s="132">
        <v>7.8001319865131976E-3</v>
      </c>
      <c r="C1625" s="133"/>
    </row>
    <row r="1626" spans="1:3">
      <c r="A1626" s="131" t="s">
        <v>9236</v>
      </c>
      <c r="B1626" s="132">
        <v>1.7298951625723042</v>
      </c>
      <c r="C1626" s="133"/>
    </row>
    <row r="1627" spans="1:3">
      <c r="A1627" s="131" t="s">
        <v>9237</v>
      </c>
      <c r="B1627" s="132">
        <v>0.37342220978098001</v>
      </c>
      <c r="C1627" s="133"/>
    </row>
    <row r="1628" spans="1:3">
      <c r="A1628" s="131" t="s">
        <v>9238</v>
      </c>
      <c r="B1628" s="132">
        <v>3.0846694695392E-3</v>
      </c>
      <c r="C1628" s="133"/>
    </row>
    <row r="1629" spans="1:3">
      <c r="A1629" s="131" t="s">
        <v>9239</v>
      </c>
      <c r="B1629" s="132">
        <v>2.390392032769109E-4</v>
      </c>
      <c r="C1629" s="133"/>
    </row>
    <row r="1630" spans="1:3">
      <c r="A1630" s="131" t="s">
        <v>9240</v>
      </c>
      <c r="B1630" s="132">
        <v>4.3647030963652001E-6</v>
      </c>
      <c r="C1630" s="133"/>
    </row>
    <row r="1631" spans="1:3">
      <c r="A1631" s="131" t="s">
        <v>9241</v>
      </c>
      <c r="B1631" s="132">
        <v>1.7886370560241589E-3</v>
      </c>
      <c r="C1631" s="133"/>
    </row>
    <row r="1632" spans="1:3">
      <c r="A1632" s="131" t="s">
        <v>9242</v>
      </c>
      <c r="B1632" s="132">
        <v>61738</v>
      </c>
      <c r="C1632" s="133"/>
    </row>
    <row r="1633" spans="1:3">
      <c r="A1633" s="131" t="s">
        <v>9243</v>
      </c>
      <c r="B1633" s="132">
        <v>3.0316602660324001E-5</v>
      </c>
      <c r="C1633" s="133"/>
    </row>
    <row r="1634" spans="1:3">
      <c r="A1634" s="131" t="s">
        <v>9244</v>
      </c>
      <c r="B1634" s="132">
        <v>0.11931330804394823</v>
      </c>
      <c r="C1634" s="133"/>
    </row>
    <row r="1635" spans="1:3">
      <c r="A1635" s="131" t="s">
        <v>9245</v>
      </c>
      <c r="B1635" s="132">
        <v>0.99485332232756996</v>
      </c>
      <c r="C1635" s="133"/>
    </row>
    <row r="1636" spans="1:3">
      <c r="A1636" s="131" t="s">
        <v>9246</v>
      </c>
      <c r="B1636" s="132">
        <v>3.4933102523035999E-4</v>
      </c>
      <c r="C1636" s="133"/>
    </row>
    <row r="1637" spans="1:3">
      <c r="A1637" s="131" t="s">
        <v>9247</v>
      </c>
      <c r="B1637" s="132">
        <v>1.1379988975114348E-6</v>
      </c>
      <c r="C1637" s="133"/>
    </row>
    <row r="1638" spans="1:3">
      <c r="A1638" s="131" t="s">
        <v>9248</v>
      </c>
      <c r="B1638" s="132">
        <v>3.701462471032149E-3</v>
      </c>
      <c r="C1638" s="133"/>
    </row>
    <row r="1639" spans="1:3">
      <c r="A1639" s="131" t="s">
        <v>9249</v>
      </c>
      <c r="B1639" s="132">
        <v>9.5272097790098002E-6</v>
      </c>
      <c r="C1639" s="133"/>
    </row>
    <row r="1640" spans="1:3">
      <c r="A1640" s="131" t="s">
        <v>9250</v>
      </c>
      <c r="B1640" s="132">
        <v>6.1134855221403996E-3</v>
      </c>
      <c r="C1640" s="133"/>
    </row>
    <row r="1641" spans="1:3">
      <c r="A1641" s="131" t="s">
        <v>9251</v>
      </c>
      <c r="B1641" s="132">
        <v>0.68360626350476461</v>
      </c>
      <c r="C1641" s="133"/>
    </row>
    <row r="1642" spans="1:3">
      <c r="A1642" s="131" t="s">
        <v>9252</v>
      </c>
      <c r="B1642" s="132">
        <v>1.7614232214176878E-2</v>
      </c>
      <c r="C1642" s="133"/>
    </row>
    <row r="1643" spans="1:3">
      <c r="A1643" s="131" t="s">
        <v>9253</v>
      </c>
      <c r="B1643" s="132">
        <v>1.4329188503543E-6</v>
      </c>
      <c r="C1643" s="133"/>
    </row>
    <row r="1644" spans="1:3">
      <c r="A1644" s="131" t="s">
        <v>9254</v>
      </c>
      <c r="B1644" s="132">
        <v>1.5688855247646999E-3</v>
      </c>
      <c r="C1644" s="133"/>
    </row>
    <row r="1645" spans="1:3">
      <c r="A1645" s="131" t="s">
        <v>9255</v>
      </c>
      <c r="B1645" s="132">
        <v>7.2571352124214172E-2</v>
      </c>
      <c r="C1645" s="133"/>
    </row>
    <row r="1646" spans="1:3">
      <c r="A1646" s="131" t="s">
        <v>9256</v>
      </c>
      <c r="B1646" s="132">
        <v>2.9129133196384632E-2</v>
      </c>
      <c r="C1646" s="133"/>
    </row>
    <row r="1647" spans="1:3">
      <c r="A1647" s="131" t="s">
        <v>9257</v>
      </c>
      <c r="B1647" s="132">
        <v>2.9014703194021001E-4</v>
      </c>
      <c r="C1647" s="133"/>
    </row>
    <row r="1648" spans="1:3">
      <c r="A1648" s="131" t="s">
        <v>9258</v>
      </c>
      <c r="B1648" s="132">
        <v>2.7085218883279999E-2</v>
      </c>
      <c r="C1648" s="133"/>
    </row>
    <row r="1649" spans="1:3">
      <c r="A1649" s="131" t="s">
        <v>9259</v>
      </c>
      <c r="B1649" s="132">
        <v>5.550942587661267E-4</v>
      </c>
      <c r="C1649" s="133"/>
    </row>
    <row r="1650" spans="1:3">
      <c r="A1650" s="131" t="s">
        <v>9260</v>
      </c>
      <c r="B1650" s="132">
        <v>0.43222686004264715</v>
      </c>
      <c r="C1650" s="133"/>
    </row>
    <row r="1651" spans="1:3">
      <c r="A1651" s="131" t="s">
        <v>9261</v>
      </c>
      <c r="B1651" s="132">
        <v>1.9372297063456999E-4</v>
      </c>
      <c r="C1651" s="133"/>
    </row>
    <row r="1652" spans="1:3">
      <c r="A1652" s="131" t="s">
        <v>13390</v>
      </c>
      <c r="B1652" s="132">
        <v>1.2322050692921999E-3</v>
      </c>
      <c r="C1652" s="133"/>
    </row>
    <row r="1653" spans="1:3">
      <c r="A1653" s="131" t="s">
        <v>13391</v>
      </c>
      <c r="B1653" s="132">
        <v>8.8953860968931965E-3</v>
      </c>
      <c r="C1653" s="133"/>
    </row>
    <row r="1654" spans="1:3">
      <c r="A1654" s="131" t="s">
        <v>13392</v>
      </c>
      <c r="B1654" s="132">
        <v>1.7657643986221189E-2</v>
      </c>
      <c r="C1654" s="133"/>
    </row>
    <row r="1655" spans="1:3">
      <c r="A1655" s="131" t="s">
        <v>13393</v>
      </c>
      <c r="B1655" s="132">
        <v>5.8973950623698998E-3</v>
      </c>
      <c r="C1655" s="133"/>
    </row>
    <row r="1656" spans="1:3">
      <c r="A1656" s="131" t="s">
        <v>13394</v>
      </c>
      <c r="B1656" s="132">
        <v>0.12764087382357001</v>
      </c>
      <c r="C1656" s="133"/>
    </row>
    <row r="1657" spans="1:3">
      <c r="A1657" s="131" t="s">
        <v>13395</v>
      </c>
      <c r="B1657" s="132">
        <v>9.2557690098458991</v>
      </c>
      <c r="C1657" s="133"/>
    </row>
    <row r="1658" spans="1:3">
      <c r="A1658" s="131" t="s">
        <v>13396</v>
      </c>
      <c r="B1658" s="132">
        <v>6.7370017022967726E-5</v>
      </c>
      <c r="C1658" s="133"/>
    </row>
    <row r="1659" spans="1:3">
      <c r="A1659" s="131" t="s">
        <v>13397</v>
      </c>
      <c r="B1659" s="132">
        <v>1.6831439569827078E-2</v>
      </c>
      <c r="C1659" s="133"/>
    </row>
    <row r="1660" spans="1:3">
      <c r="A1660" s="131" t="s">
        <v>13398</v>
      </c>
      <c r="B1660" s="132">
        <v>4.4543358290801999E-4</v>
      </c>
      <c r="C1660" s="133"/>
    </row>
    <row r="1661" spans="1:3">
      <c r="A1661" s="131" t="s">
        <v>13399</v>
      </c>
      <c r="B1661" s="132">
        <v>3.235261368355248E-5</v>
      </c>
      <c r="C1661" s="133"/>
    </row>
    <row r="1662" spans="1:3">
      <c r="A1662" s="131" t="s">
        <v>13400</v>
      </c>
      <c r="B1662" s="132">
        <v>3.7426185351068959</v>
      </c>
      <c r="C1662" s="133"/>
    </row>
    <row r="1663" spans="1:3">
      <c r="A1663" s="131" t="s">
        <v>13401</v>
      </c>
      <c r="B1663" s="132">
        <v>1.1059850945333301E-2</v>
      </c>
      <c r="C1663" s="133"/>
    </row>
    <row r="1664" spans="1:3">
      <c r="A1664" s="131" t="s">
        <v>13402</v>
      </c>
      <c r="B1664" s="132">
        <v>5.5039246242398088E-2</v>
      </c>
      <c r="C1664" s="133"/>
    </row>
    <row r="1665" spans="1:3">
      <c r="A1665" s="131" t="s">
        <v>13403</v>
      </c>
      <c r="B1665" s="132">
        <v>8.014993224371858E-2</v>
      </c>
      <c r="C1665" s="133"/>
    </row>
    <row r="1666" spans="1:3">
      <c r="A1666" s="131" t="s">
        <v>13404</v>
      </c>
      <c r="B1666" s="132">
        <v>1.8459315350185E-4</v>
      </c>
      <c r="C1666" s="133"/>
    </row>
    <row r="1667" spans="1:3">
      <c r="A1667" s="131" t="s">
        <v>13405</v>
      </c>
      <c r="B1667" s="132">
        <v>1.8948300618471E-3</v>
      </c>
      <c r="C1667" s="133"/>
    </row>
    <row r="1668" spans="1:3">
      <c r="A1668" s="131" t="s">
        <v>13406</v>
      </c>
      <c r="B1668" s="132">
        <v>2.9891613238259998E-4</v>
      </c>
      <c r="C1668" s="133"/>
    </row>
    <row r="1669" spans="1:3">
      <c r="A1669" s="131" t="s">
        <v>13407</v>
      </c>
      <c r="B1669" s="132">
        <v>346.58</v>
      </c>
      <c r="C1669" s="133"/>
    </row>
    <row r="1670" spans="1:3">
      <c r="A1670" s="131" t="s">
        <v>13408</v>
      </c>
      <c r="B1670" s="132">
        <v>1.4170358296861E-2</v>
      </c>
      <c r="C1670" s="133"/>
    </row>
    <row r="1671" spans="1:3">
      <c r="A1671" s="131" t="s">
        <v>13409</v>
      </c>
      <c r="B1671" s="132">
        <v>1.8483076039384E-5</v>
      </c>
      <c r="C1671" s="133"/>
    </row>
    <row r="1672" spans="1:3">
      <c r="A1672" s="131" t="s">
        <v>13410</v>
      </c>
      <c r="B1672" s="132">
        <v>0.60291581243919945</v>
      </c>
      <c r="C1672" s="133"/>
    </row>
    <row r="1673" spans="1:3">
      <c r="A1673" s="131" t="s">
        <v>13411</v>
      </c>
      <c r="B1673" s="132">
        <v>1.850731235516127E-3</v>
      </c>
      <c r="C1673" s="133"/>
    </row>
    <row r="1674" spans="1:3">
      <c r="A1674" s="131" t="s">
        <v>13412</v>
      </c>
      <c r="B1674" s="132">
        <v>3.7797626950696231E-7</v>
      </c>
      <c r="C1674" s="133"/>
    </row>
    <row r="1675" spans="1:3">
      <c r="A1675" s="131" t="s">
        <v>13413</v>
      </c>
      <c r="B1675" s="132">
        <v>5.9177208375898998E-3</v>
      </c>
      <c r="C1675" s="133"/>
    </row>
    <row r="1676" spans="1:3">
      <c r="A1676" s="131" t="s">
        <v>13414</v>
      </c>
      <c r="B1676" s="132">
        <v>0.20861423162193179</v>
      </c>
      <c r="C1676" s="133"/>
    </row>
    <row r="1677" spans="1:3">
      <c r="A1677" s="131" t="s">
        <v>13415</v>
      </c>
      <c r="B1677" s="132">
        <v>0.22011297326002277</v>
      </c>
      <c r="C1677" s="133"/>
    </row>
    <row r="1678" spans="1:3">
      <c r="A1678" s="131" t="s">
        <v>13416</v>
      </c>
      <c r="B1678" s="132">
        <v>1.5665623648604E-3</v>
      </c>
      <c r="C1678" s="133"/>
    </row>
    <row r="1679" spans="1:3">
      <c r="A1679" s="131" t="s">
        <v>13417</v>
      </c>
      <c r="B1679" s="132">
        <v>2.0005147956119358E-2</v>
      </c>
      <c r="C1679" s="133"/>
    </row>
    <row r="1680" spans="1:3">
      <c r="A1680" s="131" t="s">
        <v>13418</v>
      </c>
      <c r="B1680" s="132">
        <v>3.9999998868722741E-9</v>
      </c>
      <c r="C1680" s="133"/>
    </row>
    <row r="1681" spans="1:3">
      <c r="A1681" s="131" t="s">
        <v>13419</v>
      </c>
      <c r="B1681" s="132">
        <v>5.9861307076365996E-3</v>
      </c>
      <c r="C1681" s="133"/>
    </row>
    <row r="1682" spans="1:3">
      <c r="A1682" s="131" t="s">
        <v>13420</v>
      </c>
      <c r="B1682" s="132">
        <v>4.0268932771893001E-2</v>
      </c>
      <c r="C1682" s="133"/>
    </row>
    <row r="1683" spans="1:3">
      <c r="A1683" s="131" t="s">
        <v>13421</v>
      </c>
      <c r="B1683" s="132">
        <v>0.29885156393995582</v>
      </c>
      <c r="C1683" s="133"/>
    </row>
    <row r="1684" spans="1:3">
      <c r="A1684" s="131" t="s">
        <v>13422</v>
      </c>
      <c r="B1684" s="132">
        <v>1.6745981526885014E-3</v>
      </c>
      <c r="C1684" s="133"/>
    </row>
    <row r="1685" spans="1:3">
      <c r="A1685" s="131" t="s">
        <v>13423</v>
      </c>
      <c r="B1685" s="132">
        <v>3.91</v>
      </c>
      <c r="C1685" s="133"/>
    </row>
    <row r="1686" spans="1:3">
      <c r="A1686" s="131" t="s">
        <v>13424</v>
      </c>
      <c r="B1686" s="132">
        <v>9.2304205541487768E-3</v>
      </c>
      <c r="C1686" s="133"/>
    </row>
    <row r="1687" spans="1:3">
      <c r="A1687" s="131" t="s">
        <v>13425</v>
      </c>
      <c r="B1687" s="132">
        <v>2.7113772635796E-3</v>
      </c>
      <c r="C1687" s="133"/>
    </row>
    <row r="1688" spans="1:3">
      <c r="A1688" s="131" t="s">
        <v>13426</v>
      </c>
      <c r="B1688" s="132">
        <v>3.0078229071056E-5</v>
      </c>
      <c r="C1688" s="133"/>
    </row>
    <row r="1689" spans="1:3">
      <c r="A1689" s="131" t="s">
        <v>13427</v>
      </c>
      <c r="B1689" s="132">
        <v>4.5115158558705001E-3</v>
      </c>
      <c r="C1689" s="133"/>
    </row>
    <row r="1690" spans="1:3">
      <c r="A1690" s="131" t="s">
        <v>13428</v>
      </c>
      <c r="B1690" s="132">
        <v>2.1268286901498901E-2</v>
      </c>
      <c r="C1690" s="133"/>
    </row>
    <row r="1691" spans="1:3">
      <c r="A1691" s="131" t="s">
        <v>13429</v>
      </c>
      <c r="B1691" s="132">
        <v>1.6060675514813435E-2</v>
      </c>
      <c r="C1691" s="133"/>
    </row>
    <row r="1692" spans="1:3">
      <c r="A1692" s="131" t="s">
        <v>13430</v>
      </c>
      <c r="B1692" s="132">
        <v>1.5301313048650998E-5</v>
      </c>
      <c r="C1692" s="133"/>
    </row>
    <row r="1693" spans="1:3">
      <c r="A1693" s="131" t="s">
        <v>13431</v>
      </c>
      <c r="B1693" s="132">
        <v>9.5295144832112329E-5</v>
      </c>
      <c r="C1693" s="133"/>
    </row>
    <row r="1694" spans="1:3">
      <c r="A1694" s="131" t="s">
        <v>13432</v>
      </c>
      <c r="B1694" s="132">
        <v>1.2338208236773785E-3</v>
      </c>
      <c r="C1694" s="133"/>
    </row>
    <row r="1695" spans="1:3">
      <c r="A1695" s="131" t="s">
        <v>13433</v>
      </c>
      <c r="B1695" s="132">
        <v>2.0605094694708424E-2</v>
      </c>
      <c r="C1695" s="133"/>
    </row>
    <row r="1696" spans="1:3">
      <c r="A1696" s="131" t="s">
        <v>13434</v>
      </c>
      <c r="B1696" s="132">
        <v>1.3750730561898001E-3</v>
      </c>
      <c r="C1696" s="133"/>
    </row>
    <row r="1697" spans="1:3">
      <c r="A1697" s="131" t="s">
        <v>13435</v>
      </c>
      <c r="B1697" s="132">
        <v>6.2009000000000001E-4</v>
      </c>
      <c r="C1697" s="133"/>
    </row>
    <row r="1698" spans="1:3">
      <c r="A1698" s="131" t="s">
        <v>13436</v>
      </c>
      <c r="B1698" s="132">
        <v>8.0198353539031068E-4</v>
      </c>
      <c r="C1698" s="133"/>
    </row>
    <row r="1699" spans="1:3">
      <c r="A1699" s="131" t="s">
        <v>13437</v>
      </c>
      <c r="B1699" s="132">
        <v>0.28953071000000002</v>
      </c>
      <c r="C1699" s="133"/>
    </row>
    <row r="1700" spans="1:3">
      <c r="A1700" s="131" t="s">
        <v>13438</v>
      </c>
      <c r="B1700" s="132">
        <v>6.0533714099394315E-4</v>
      </c>
      <c r="C1700" s="133"/>
    </row>
    <row r="1701" spans="1:3">
      <c r="A1701" s="131" t="s">
        <v>13439</v>
      </c>
      <c r="B1701" s="132">
        <v>1.8093821811779001E-2</v>
      </c>
      <c r="C1701" s="133"/>
    </row>
    <row r="1702" spans="1:3">
      <c r="A1702" s="131" t="s">
        <v>13440</v>
      </c>
      <c r="B1702" s="132">
        <v>1.6531940693759001E-5</v>
      </c>
      <c r="C1702" s="133"/>
    </row>
    <row r="1703" spans="1:3">
      <c r="A1703" s="131" t="s">
        <v>13441</v>
      </c>
      <c r="B1703" s="132">
        <v>0.3064510701894857</v>
      </c>
      <c r="C1703" s="133"/>
    </row>
    <row r="1704" spans="1:3">
      <c r="A1704" s="131" t="s">
        <v>13442</v>
      </c>
      <c r="B1704" s="132">
        <v>8.8824423477270006E-8</v>
      </c>
      <c r="C1704" s="133"/>
    </row>
    <row r="1705" spans="1:3">
      <c r="A1705" s="131" t="s">
        <v>13443</v>
      </c>
      <c r="B1705" s="132">
        <v>8.7262329550880568E-5</v>
      </c>
      <c r="C1705" s="133"/>
    </row>
    <row r="1706" spans="1:3">
      <c r="A1706" s="131" t="s">
        <v>13444</v>
      </c>
      <c r="B1706" s="132">
        <v>5.3656703227948997E-3</v>
      </c>
      <c r="C1706" s="133"/>
    </row>
    <row r="1707" spans="1:3">
      <c r="A1707" s="131" t="s">
        <v>13445</v>
      </c>
      <c r="B1707" s="132">
        <v>6.0673852818180003E-2</v>
      </c>
      <c r="C1707" s="133"/>
    </row>
    <row r="1708" spans="1:3">
      <c r="A1708" s="131" t="s">
        <v>13446</v>
      </c>
      <c r="B1708" s="132">
        <v>0.48758315609660002</v>
      </c>
      <c r="C1708" s="133"/>
    </row>
    <row r="1709" spans="1:3">
      <c r="A1709" s="131" t="s">
        <v>13447</v>
      </c>
      <c r="B1709" s="132">
        <v>3.0221798532822551E-2</v>
      </c>
      <c r="C1709" s="133"/>
    </row>
    <row r="1710" spans="1:3">
      <c r="A1710" s="131" t="s">
        <v>13448</v>
      </c>
      <c r="B1710" s="132">
        <v>2.0654012432946999E-4</v>
      </c>
      <c r="C1710" s="133"/>
    </row>
    <row r="1711" spans="1:3">
      <c r="A1711" s="131" t="s">
        <v>13449</v>
      </c>
      <c r="B1711" s="132">
        <v>3.0844827815002963E-3</v>
      </c>
      <c r="C1711" s="133"/>
    </row>
    <row r="1712" spans="1:3">
      <c r="A1712" s="131" t="s">
        <v>13450</v>
      </c>
      <c r="B1712" s="132">
        <v>6.1691041183869924E-4</v>
      </c>
      <c r="C1712" s="133"/>
    </row>
    <row r="1713" spans="1:3">
      <c r="A1713" s="131" t="s">
        <v>13451</v>
      </c>
      <c r="B1713" s="132">
        <v>1.6656581119644763E-2</v>
      </c>
      <c r="C1713" s="133"/>
    </row>
    <row r="1714" spans="1:3">
      <c r="A1714" s="131" t="s">
        <v>13452</v>
      </c>
      <c r="B1714" s="132">
        <v>4.0507814356890002E-8</v>
      </c>
      <c r="C1714" s="133"/>
    </row>
    <row r="1715" spans="1:3">
      <c r="A1715" s="131" t="s">
        <v>13453</v>
      </c>
      <c r="B1715" s="132">
        <v>2.3459218000000002E-3</v>
      </c>
      <c r="C1715" s="133"/>
    </row>
    <row r="1716" spans="1:3">
      <c r="A1716" s="131" t="s">
        <v>13454</v>
      </c>
      <c r="B1716" s="132">
        <v>4.0663917350296667E-2</v>
      </c>
      <c r="C1716" s="133"/>
    </row>
    <row r="1717" spans="1:3">
      <c r="A1717" s="131" t="s">
        <v>13455</v>
      </c>
      <c r="B1717" s="132">
        <v>0.12388782001407567</v>
      </c>
      <c r="C1717" s="133"/>
    </row>
    <row r="1718" spans="1:3">
      <c r="A1718" s="131" t="s">
        <v>13456</v>
      </c>
      <c r="B1718" s="132">
        <v>1.55484E-3</v>
      </c>
      <c r="C1718" s="133"/>
    </row>
    <row r="1719" spans="1:3">
      <c r="A1719" s="131" t="s">
        <v>13457</v>
      </c>
      <c r="B1719" s="132">
        <v>1.8961197021918848E-7</v>
      </c>
      <c r="C1719" s="133"/>
    </row>
    <row r="1720" spans="1:3">
      <c r="A1720" s="131" t="s">
        <v>13458</v>
      </c>
      <c r="B1720" s="132">
        <v>3.1892490986079001E-4</v>
      </c>
      <c r="C1720" s="133"/>
    </row>
    <row r="1721" spans="1:3">
      <c r="A1721" s="131" t="s">
        <v>13459</v>
      </c>
      <c r="B1721" s="132">
        <v>6.9839838633447504E-2</v>
      </c>
      <c r="C1721" s="133"/>
    </row>
    <row r="1722" spans="1:3">
      <c r="A1722" s="131" t="s">
        <v>13460</v>
      </c>
      <c r="B1722" s="132">
        <v>2.2999820000000001E-2</v>
      </c>
      <c r="C1722" s="133"/>
    </row>
    <row r="1723" spans="1:3">
      <c r="A1723" s="131" t="s">
        <v>13461</v>
      </c>
      <c r="B1723" s="132">
        <v>0.11227769495464135</v>
      </c>
      <c r="C1723" s="133"/>
    </row>
    <row r="1724" spans="1:3">
      <c r="A1724" s="131" t="s">
        <v>13462</v>
      </c>
      <c r="B1724" s="132">
        <v>8.1611323178394895E-5</v>
      </c>
      <c r="C1724" s="133"/>
    </row>
    <row r="1725" spans="1:3">
      <c r="A1725" s="131" t="s">
        <v>13463</v>
      </c>
      <c r="B1725" s="132">
        <v>7.0631381507051962E-4</v>
      </c>
      <c r="C1725" s="133"/>
    </row>
    <row r="1726" spans="1:3">
      <c r="A1726" s="131" t="s">
        <v>13464</v>
      </c>
      <c r="B1726" s="132">
        <v>9.5015526408573998E-4</v>
      </c>
      <c r="C1726" s="133"/>
    </row>
    <row r="1727" spans="1:3">
      <c r="A1727" s="131" t="s">
        <v>13465</v>
      </c>
      <c r="B1727" s="132">
        <v>0.34992965656474001</v>
      </c>
      <c r="C1727" s="133"/>
    </row>
    <row r="1728" spans="1:3">
      <c r="A1728" s="131" t="s">
        <v>13466</v>
      </c>
      <c r="B1728" s="132">
        <v>2.0159024873013E-3</v>
      </c>
      <c r="C1728" s="133"/>
    </row>
    <row r="1729" spans="1:3">
      <c r="A1729" s="131" t="s">
        <v>13467</v>
      </c>
      <c r="B1729" s="132">
        <v>1.1073247800505332E-5</v>
      </c>
      <c r="C1729" s="133"/>
    </row>
    <row r="1730" spans="1:3">
      <c r="A1730" s="131" t="s">
        <v>13468</v>
      </c>
      <c r="B1730" s="132">
        <v>3.701462471032149E-3</v>
      </c>
      <c r="C1730" s="133"/>
    </row>
    <row r="1731" spans="1:3">
      <c r="A1731" s="131" t="s">
        <v>13469</v>
      </c>
      <c r="B1731" s="132">
        <v>5.6065330652797E-6</v>
      </c>
      <c r="C1731" s="133"/>
    </row>
    <row r="1732" spans="1:3">
      <c r="A1732" s="131" t="s">
        <v>13470</v>
      </c>
      <c r="B1732" s="132">
        <v>6.1655845600722166E-5</v>
      </c>
      <c r="C1732" s="133"/>
    </row>
    <row r="1733" spans="1:3">
      <c r="A1733" s="131" t="s">
        <v>13471</v>
      </c>
      <c r="B1733" s="132">
        <v>0.10364957577852885</v>
      </c>
      <c r="C1733" s="133"/>
    </row>
    <row r="1734" spans="1:3">
      <c r="A1734" s="131" t="s">
        <v>13472</v>
      </c>
      <c r="B1734" s="132">
        <v>0.76256125250873996</v>
      </c>
      <c r="C1734" s="133"/>
    </row>
    <row r="1735" spans="1:3">
      <c r="A1735" s="131" t="s">
        <v>13473</v>
      </c>
      <c r="B1735" s="132">
        <v>0.16270904242992401</v>
      </c>
      <c r="C1735" s="133"/>
    </row>
    <row r="1736" spans="1:3">
      <c r="A1736" s="131" t="s">
        <v>13474</v>
      </c>
      <c r="B1736" s="132">
        <v>8.9511059658284E-5</v>
      </c>
      <c r="C1736" s="133"/>
    </row>
    <row r="1737" spans="1:3">
      <c r="A1737" s="131" t="s">
        <v>13475</v>
      </c>
      <c r="B1737" s="132">
        <v>4.35301E-3</v>
      </c>
      <c r="C1737" s="133"/>
    </row>
    <row r="1738" spans="1:3">
      <c r="A1738" s="131" t="s">
        <v>13476</v>
      </c>
      <c r="B1738" s="132">
        <v>2.5584243299999998</v>
      </c>
      <c r="C1738" s="133"/>
    </row>
    <row r="1739" spans="1:3">
      <c r="A1739" s="131" t="s">
        <v>13477</v>
      </c>
      <c r="B1739" s="132">
        <v>0.39985054498533001</v>
      </c>
      <c r="C1739" s="133"/>
    </row>
    <row r="1740" spans="1:3">
      <c r="A1740" s="131" t="s">
        <v>13478</v>
      </c>
      <c r="B1740" s="132">
        <v>0.47968645563031853</v>
      </c>
      <c r="C1740" s="133"/>
    </row>
    <row r="1741" spans="1:3">
      <c r="A1741" s="131" t="s">
        <v>13479</v>
      </c>
      <c r="B1741" s="132">
        <v>3.2224442621671782E-3</v>
      </c>
      <c r="C1741" s="133"/>
    </row>
    <row r="1742" spans="1:3">
      <c r="A1742" s="131" t="s">
        <v>13480</v>
      </c>
      <c r="B1742" s="132">
        <v>4.9352832947096147E-3</v>
      </c>
      <c r="C1742" s="133"/>
    </row>
    <row r="1743" spans="1:3">
      <c r="A1743" s="131" t="s">
        <v>13481</v>
      </c>
      <c r="B1743" s="132">
        <v>1.0007204032561079</v>
      </c>
      <c r="C1743" s="133"/>
    </row>
    <row r="1744" spans="1:3">
      <c r="A1744" s="131" t="s">
        <v>13482</v>
      </c>
      <c r="B1744" s="132">
        <v>2.5759441635082463E-2</v>
      </c>
      <c r="C1744" s="133"/>
    </row>
    <row r="1745" spans="1:3">
      <c r="A1745" s="131" t="s">
        <v>13483</v>
      </c>
      <c r="B1745" s="132">
        <v>7.8802613614775997E-5</v>
      </c>
      <c r="C1745" s="133"/>
    </row>
    <row r="1746" spans="1:3">
      <c r="A1746" s="131" t="s">
        <v>13484</v>
      </c>
      <c r="B1746" s="132">
        <v>8.9457108317922402E-5</v>
      </c>
      <c r="C1746" s="133"/>
    </row>
    <row r="1747" spans="1:3">
      <c r="A1747" s="131" t="s">
        <v>13485</v>
      </c>
      <c r="B1747" s="132">
        <v>9.2021329065870003E-2</v>
      </c>
      <c r="C1747" s="133"/>
    </row>
    <row r="1748" spans="1:3">
      <c r="A1748" s="131" t="s">
        <v>13486</v>
      </c>
      <c r="B1748" s="132">
        <v>1.2992829711567001E-2</v>
      </c>
      <c r="C1748" s="133"/>
    </row>
    <row r="1749" spans="1:3">
      <c r="A1749" s="131" t="s">
        <v>13487</v>
      </c>
      <c r="B1749" s="132">
        <v>8.9025027933199719E-4</v>
      </c>
      <c r="C1749" s="133"/>
    </row>
    <row r="1750" spans="1:3">
      <c r="A1750" s="131" t="s">
        <v>13488</v>
      </c>
      <c r="B1750" s="132">
        <v>9.1547513640613032E-2</v>
      </c>
      <c r="C1750" s="133"/>
    </row>
    <row r="1751" spans="1:3">
      <c r="A1751" s="131" t="s">
        <v>13489</v>
      </c>
      <c r="B1751" s="132">
        <v>7.5378381405264419E-3</v>
      </c>
      <c r="C1751" s="133"/>
    </row>
    <row r="1752" spans="1:3">
      <c r="A1752" s="131" t="s">
        <v>13490</v>
      </c>
      <c r="B1752" s="132">
        <v>1.3591347916358555E-3</v>
      </c>
      <c r="C1752" s="133"/>
    </row>
    <row r="1753" spans="1:3">
      <c r="A1753" s="131" t="s">
        <v>13491</v>
      </c>
      <c r="B1753" s="132">
        <v>2.2385064389937301E-2</v>
      </c>
      <c r="C1753" s="133"/>
    </row>
    <row r="1754" spans="1:3">
      <c r="A1754" s="131" t="s">
        <v>13492</v>
      </c>
      <c r="B1754" s="132">
        <v>1.2382830190395863E-4</v>
      </c>
      <c r="C1754" s="133"/>
    </row>
    <row r="1755" spans="1:3">
      <c r="A1755" s="131" t="s">
        <v>13493</v>
      </c>
      <c r="B1755" s="132">
        <v>2.5424311237199932E-4</v>
      </c>
      <c r="C1755" s="133"/>
    </row>
    <row r="1756" spans="1:3">
      <c r="A1756" s="131" t="s">
        <v>13494</v>
      </c>
      <c r="B1756" s="132">
        <v>3.0014621513650832E-4</v>
      </c>
      <c r="C1756" s="133"/>
    </row>
    <row r="1757" spans="1:3">
      <c r="A1757" s="131" t="s">
        <v>13495</v>
      </c>
      <c r="B1757" s="132">
        <v>1.295E-5</v>
      </c>
      <c r="C1757" s="133"/>
    </row>
    <row r="1758" spans="1:3">
      <c r="A1758" s="131" t="s">
        <v>13496</v>
      </c>
      <c r="B1758" s="132">
        <v>6.1610253464612001E-4</v>
      </c>
      <c r="C1758" s="133"/>
    </row>
    <row r="1759" spans="1:3">
      <c r="A1759" s="131" t="s">
        <v>13497</v>
      </c>
      <c r="B1759" s="132">
        <v>1.025624E-2</v>
      </c>
      <c r="C1759" s="133"/>
    </row>
    <row r="1760" spans="1:3">
      <c r="A1760" s="131" t="s">
        <v>13498</v>
      </c>
      <c r="B1760" s="132">
        <v>0.16632634455246431</v>
      </c>
      <c r="C1760" s="133"/>
    </row>
    <row r="1761" spans="1:3">
      <c r="A1761" s="131" t="s">
        <v>13499</v>
      </c>
      <c r="B1761" s="132">
        <v>1.295551854789934E-2</v>
      </c>
      <c r="C1761" s="133"/>
    </row>
    <row r="1762" spans="1:3">
      <c r="A1762" s="131" t="s">
        <v>13500</v>
      </c>
      <c r="B1762" s="132">
        <v>2.9265228658914566E-2</v>
      </c>
      <c r="C1762" s="133"/>
    </row>
    <row r="1763" spans="1:3">
      <c r="A1763" s="131" t="s">
        <v>13501</v>
      </c>
      <c r="B1763" s="132">
        <v>6.6198640000000003E-2</v>
      </c>
      <c r="C1763" s="133"/>
    </row>
    <row r="1764" spans="1:3">
      <c r="A1764" s="131" t="s">
        <v>13502</v>
      </c>
      <c r="B1764" s="132">
        <v>3.701462471032149E-3</v>
      </c>
      <c r="C1764" s="133"/>
    </row>
    <row r="1765" spans="1:3">
      <c r="A1765" s="131" t="s">
        <v>13503</v>
      </c>
      <c r="B1765" s="132">
        <v>2.0026343335978001E-2</v>
      </c>
      <c r="C1765" s="133"/>
    </row>
    <row r="1766" spans="1:3">
      <c r="A1766" s="131" t="s">
        <v>13504</v>
      </c>
      <c r="B1766" s="132">
        <v>1.1352999717928469E-4</v>
      </c>
      <c r="C1766" s="133"/>
    </row>
    <row r="1767" spans="1:3">
      <c r="A1767" s="131" t="s">
        <v>13505</v>
      </c>
      <c r="B1767" s="132">
        <v>3.0643228519495998E-3</v>
      </c>
      <c r="C1767" s="133"/>
    </row>
    <row r="1768" spans="1:3">
      <c r="A1768" s="131" t="s">
        <v>13506</v>
      </c>
      <c r="B1768" s="132">
        <v>2.74169646E-3</v>
      </c>
      <c r="C1768" s="133"/>
    </row>
    <row r="1769" spans="1:3">
      <c r="A1769" s="131" t="s">
        <v>13507</v>
      </c>
      <c r="B1769" s="132">
        <v>4.6903984449922498E-4</v>
      </c>
      <c r="C1769" s="133"/>
    </row>
    <row r="1770" spans="1:3">
      <c r="A1770" s="131" t="s">
        <v>13508</v>
      </c>
      <c r="B1770" s="132">
        <v>7.1161768829255539E-3</v>
      </c>
      <c r="C1770" s="133"/>
    </row>
    <row r="1771" spans="1:3">
      <c r="A1771" s="131" t="s">
        <v>13509</v>
      </c>
      <c r="B1771" s="132">
        <v>1.1901913474074374E-3</v>
      </c>
      <c r="C1771" s="133"/>
    </row>
    <row r="1772" spans="1:3">
      <c r="A1772" s="131" t="s">
        <v>13510</v>
      </c>
      <c r="B1772" s="132">
        <v>5.0988871879003002E-3</v>
      </c>
      <c r="C1772" s="133"/>
    </row>
    <row r="1773" spans="1:3">
      <c r="A1773" s="131" t="s">
        <v>13511</v>
      </c>
      <c r="B1773" s="132">
        <v>0.113214989400409</v>
      </c>
      <c r="C1773" s="133"/>
    </row>
    <row r="1774" spans="1:3">
      <c r="A1774" s="131" t="s">
        <v>13512</v>
      </c>
      <c r="B1774" s="132">
        <v>0.43639185224006682</v>
      </c>
      <c r="C1774" s="133"/>
    </row>
    <row r="1775" spans="1:3">
      <c r="A1775" s="131" t="s">
        <v>13513</v>
      </c>
      <c r="B1775" s="132">
        <v>1.778395E-2</v>
      </c>
      <c r="C1775" s="133"/>
    </row>
    <row r="1776" spans="1:3">
      <c r="A1776" s="131" t="s">
        <v>13514</v>
      </c>
      <c r="B1776" s="132">
        <v>1.8686386860352999E-3</v>
      </c>
      <c r="C1776" s="133"/>
    </row>
    <row r="1777" spans="1:3">
      <c r="A1777" s="131" t="s">
        <v>13515</v>
      </c>
      <c r="B1777" s="132">
        <v>8.94520097166112E-3</v>
      </c>
      <c r="C1777" s="133"/>
    </row>
    <row r="1778" spans="1:3">
      <c r="A1778" s="131" t="s">
        <v>13516</v>
      </c>
      <c r="B1778" s="132">
        <v>3.7010963576766852E-3</v>
      </c>
      <c r="C1778" s="133"/>
    </row>
    <row r="1779" spans="1:3">
      <c r="A1779" s="131" t="s">
        <v>13517</v>
      </c>
      <c r="B1779" s="132">
        <v>1.7708577942922498E-3</v>
      </c>
      <c r="C1779" s="133"/>
    </row>
    <row r="1780" spans="1:3">
      <c r="A1780" s="131" t="s">
        <v>13518</v>
      </c>
      <c r="B1780" s="132">
        <v>5.2865542019346502E-3</v>
      </c>
      <c r="C1780" s="133"/>
    </row>
    <row r="1781" spans="1:3">
      <c r="A1781" s="131" t="s">
        <v>13519</v>
      </c>
      <c r="B1781" s="132">
        <v>0.13263101291601742</v>
      </c>
      <c r="C1781" s="133"/>
    </row>
    <row r="1782" spans="1:3">
      <c r="A1782" s="131" t="s">
        <v>13520</v>
      </c>
      <c r="B1782" s="132">
        <v>1.9256173194214899E-2</v>
      </c>
      <c r="C1782" s="133"/>
    </row>
    <row r="1783" spans="1:3">
      <c r="A1783" s="131" t="s">
        <v>13521</v>
      </c>
      <c r="B1783" s="132">
        <v>1.1957205874180505</v>
      </c>
      <c r="C1783" s="133"/>
    </row>
    <row r="1784" spans="1:3">
      <c r="A1784" s="131" t="s">
        <v>13522</v>
      </c>
      <c r="B1784" s="132">
        <v>3.8198357148059E-3</v>
      </c>
      <c r="C1784" s="133"/>
    </row>
    <row r="1785" spans="1:3">
      <c r="A1785" s="131" t="s">
        <v>13523</v>
      </c>
      <c r="B1785" s="132">
        <v>2.1566391792940998</v>
      </c>
      <c r="C1785" s="133"/>
    </row>
    <row r="1786" spans="1:3">
      <c r="A1786" s="131" t="s">
        <v>13524</v>
      </c>
      <c r="B1786" s="132">
        <v>1.0428742928928151E-2</v>
      </c>
      <c r="C1786" s="133"/>
    </row>
    <row r="1787" spans="1:3">
      <c r="A1787" s="131" t="s">
        <v>13525</v>
      </c>
      <c r="B1787" s="132">
        <v>6.907714504137334E-3</v>
      </c>
      <c r="C1787" s="133"/>
    </row>
    <row r="1788" spans="1:3">
      <c r="A1788" s="131" t="s">
        <v>13526</v>
      </c>
      <c r="B1788" s="132">
        <v>8.7155970232005997E-2</v>
      </c>
      <c r="C1788" s="133"/>
    </row>
    <row r="1789" spans="1:3">
      <c r="A1789" s="131" t="s">
        <v>13527</v>
      </c>
      <c r="B1789" s="132">
        <v>5.9051959809343002E-3</v>
      </c>
      <c r="C1789" s="133"/>
    </row>
    <row r="1790" spans="1:3">
      <c r="A1790" s="131" t="s">
        <v>13528</v>
      </c>
      <c r="B1790" s="132">
        <v>1.3324922523287397</v>
      </c>
      <c r="C1790" s="133"/>
    </row>
    <row r="1791" spans="1:3">
      <c r="A1791" s="131" t="s">
        <v>13529</v>
      </c>
      <c r="B1791" s="132">
        <v>1.9859310440059001E-4</v>
      </c>
      <c r="C1791" s="133"/>
    </row>
    <row r="1792" spans="1:3">
      <c r="A1792" s="131" t="s">
        <v>13530</v>
      </c>
      <c r="B1792" s="132">
        <v>0.45397294964750512</v>
      </c>
      <c r="C1792" s="133"/>
    </row>
    <row r="1793" spans="1:3">
      <c r="A1793" s="131" t="s">
        <v>13531</v>
      </c>
      <c r="B1793" s="132">
        <v>6.6733821782243005E-2</v>
      </c>
      <c r="C1793" s="133"/>
    </row>
    <row r="1794" spans="1:3">
      <c r="A1794" s="131" t="s">
        <v>13532</v>
      </c>
      <c r="B1794" s="132">
        <v>3.0015742356747002E-3</v>
      </c>
      <c r="C1794" s="133"/>
    </row>
    <row r="1795" spans="1:3">
      <c r="A1795" s="131" t="s">
        <v>13533</v>
      </c>
      <c r="B1795" s="132">
        <v>5.7055008715134752E-4</v>
      </c>
      <c r="C1795" s="133"/>
    </row>
    <row r="1796" spans="1:3">
      <c r="A1796" s="131" t="s">
        <v>13534</v>
      </c>
      <c r="B1796" s="132">
        <v>5.1790425614682861E-2</v>
      </c>
      <c r="C1796" s="133"/>
    </row>
    <row r="1797" spans="1:3">
      <c r="A1797" s="131" t="s">
        <v>13535</v>
      </c>
      <c r="B1797" s="132">
        <v>2.1671729065916002E-3</v>
      </c>
      <c r="C1797" s="133"/>
    </row>
    <row r="1798" spans="1:3">
      <c r="A1798" s="131" t="s">
        <v>13536</v>
      </c>
      <c r="B1798" s="132">
        <v>0.15789347804903295</v>
      </c>
      <c r="C1798" s="133"/>
    </row>
    <row r="1799" spans="1:3">
      <c r="A1799" s="131" t="s">
        <v>13537</v>
      </c>
      <c r="B1799" s="132">
        <v>1.1082597576274158</v>
      </c>
      <c r="C1799" s="133"/>
    </row>
    <row r="1800" spans="1:3">
      <c r="A1800" s="131" t="s">
        <v>13538</v>
      </c>
      <c r="B1800" s="132">
        <v>1.9404147020644765E-3</v>
      </c>
      <c r="C1800" s="133"/>
    </row>
    <row r="1801" spans="1:3">
      <c r="A1801" s="131" t="s">
        <v>13539</v>
      </c>
      <c r="B1801" s="132">
        <v>3.9221566412440132E-3</v>
      </c>
      <c r="C1801" s="133"/>
    </row>
    <row r="1802" spans="1:3">
      <c r="A1802" s="131" t="s">
        <v>13540</v>
      </c>
      <c r="B1802" s="132">
        <v>1.4383262291245195E-2</v>
      </c>
      <c r="C1802" s="133"/>
    </row>
    <row r="1803" spans="1:3">
      <c r="A1803" s="131" t="s">
        <v>13541</v>
      </c>
      <c r="B1803" s="132">
        <v>0.13790460607307301</v>
      </c>
      <c r="C1803" s="133"/>
    </row>
    <row r="1804" spans="1:3">
      <c r="A1804" s="131" t="s">
        <v>13542</v>
      </c>
      <c r="B1804" s="132">
        <v>1.4072396040797186E-2</v>
      </c>
      <c r="C1804" s="133"/>
    </row>
    <row r="1805" spans="1:3">
      <c r="A1805" s="131" t="s">
        <v>13543</v>
      </c>
      <c r="B1805" s="132">
        <v>3.6538256719575966E-2</v>
      </c>
      <c r="C1805" s="133"/>
    </row>
    <row r="1806" spans="1:3">
      <c r="A1806" s="131" t="s">
        <v>13544</v>
      </c>
      <c r="B1806" s="132">
        <v>1.488940033596009E-4</v>
      </c>
      <c r="C1806" s="133"/>
    </row>
    <row r="1807" spans="1:3">
      <c r="A1807" s="131" t="s">
        <v>13545</v>
      </c>
      <c r="B1807" s="132">
        <v>0.2441514975139</v>
      </c>
      <c r="C1807" s="133"/>
    </row>
    <row r="1808" spans="1:3">
      <c r="A1808" s="131" t="s">
        <v>13546</v>
      </c>
      <c r="B1808" s="132">
        <v>1.1074099456891418E-3</v>
      </c>
      <c r="C1808" s="133"/>
    </row>
    <row r="1809" spans="1:3">
      <c r="A1809" s="131" t="s">
        <v>13547</v>
      </c>
      <c r="B1809" s="132">
        <v>2.1058000000000001E-4</v>
      </c>
      <c r="C1809" s="133"/>
    </row>
    <row r="1810" spans="1:3">
      <c r="A1810" s="131" t="s">
        <v>13548</v>
      </c>
      <c r="B1810" s="132">
        <v>6.7948169730403527E-3</v>
      </c>
      <c r="C1810" s="133"/>
    </row>
    <row r="1811" spans="1:3">
      <c r="A1811" s="131" t="s">
        <v>13549</v>
      </c>
      <c r="B1811" s="132">
        <v>1.3134354462994699E-2</v>
      </c>
      <c r="C1811" s="133"/>
    </row>
    <row r="1812" spans="1:3">
      <c r="A1812" s="131" t="s">
        <v>13550</v>
      </c>
      <c r="B1812" s="132">
        <v>2.0495533641776378E-2</v>
      </c>
      <c r="C1812" s="133"/>
    </row>
    <row r="1813" spans="1:3">
      <c r="A1813" s="131" t="s">
        <v>13551</v>
      </c>
      <c r="B1813" s="132">
        <v>1.7035903646182E-5</v>
      </c>
      <c r="C1813" s="133"/>
    </row>
    <row r="1814" spans="1:3">
      <c r="A1814" s="131" t="s">
        <v>13552</v>
      </c>
      <c r="B1814" s="132">
        <v>9.370235284683958E-3</v>
      </c>
      <c r="C1814" s="133"/>
    </row>
    <row r="1815" spans="1:3">
      <c r="A1815" s="131" t="s">
        <v>13553</v>
      </c>
      <c r="B1815" s="132">
        <v>1.2335427972580372E-3</v>
      </c>
      <c r="C1815" s="133"/>
    </row>
    <row r="1816" spans="1:3">
      <c r="A1816" s="131" t="s">
        <v>13554</v>
      </c>
      <c r="B1816" s="132">
        <v>3.0852926562159002</v>
      </c>
      <c r="C1816" s="133"/>
    </row>
    <row r="1817" spans="1:3">
      <c r="A1817" s="131" t="s">
        <v>13555</v>
      </c>
      <c r="B1817" s="132">
        <v>6.1934315368367002E-4</v>
      </c>
      <c r="C1817" s="133"/>
    </row>
    <row r="1818" spans="1:3">
      <c r="A1818" s="131" t="s">
        <v>13556</v>
      </c>
      <c r="B1818" s="132">
        <v>6.7725296260496004E-3</v>
      </c>
      <c r="C1818" s="133"/>
    </row>
    <row r="1819" spans="1:3">
      <c r="A1819" s="131" t="s">
        <v>13557</v>
      </c>
      <c r="B1819" s="132">
        <v>4.3183728828708747E-4</v>
      </c>
      <c r="C1819" s="133"/>
    </row>
    <row r="1820" spans="1:3">
      <c r="A1820" s="131" t="s">
        <v>13558</v>
      </c>
      <c r="B1820" s="132">
        <v>1.9500791401723477E-2</v>
      </c>
      <c r="C1820" s="133"/>
    </row>
    <row r="1821" spans="1:3">
      <c r="A1821" s="131" t="s">
        <v>13559</v>
      </c>
      <c r="B1821" s="132">
        <v>3.8640608686446908E-3</v>
      </c>
      <c r="C1821" s="133"/>
    </row>
    <row r="1822" spans="1:3">
      <c r="A1822" s="131" t="s">
        <v>13560</v>
      </c>
      <c r="B1822" s="132">
        <v>1.7418355820316E-4</v>
      </c>
      <c r="C1822" s="133"/>
    </row>
    <row r="1823" spans="1:3">
      <c r="A1823" s="131" t="s">
        <v>13561</v>
      </c>
      <c r="B1823" s="132">
        <v>1.2178556084440325E-3</v>
      </c>
      <c r="C1823" s="133"/>
    </row>
    <row r="1824" spans="1:3">
      <c r="A1824" s="131" t="s">
        <v>13562</v>
      </c>
      <c r="B1824" s="132">
        <v>6.1691041183869931E-6</v>
      </c>
      <c r="C1824" s="133"/>
    </row>
    <row r="1825" spans="1:3">
      <c r="A1825" s="131" t="s">
        <v>13563</v>
      </c>
      <c r="B1825" s="132">
        <v>3.8879987663044999</v>
      </c>
      <c r="C1825" s="133"/>
    </row>
    <row r="1826" spans="1:3">
      <c r="A1826" s="131" t="s">
        <v>13564</v>
      </c>
      <c r="B1826" s="132">
        <v>1.166810841477085E-2</v>
      </c>
      <c r="C1826" s="133"/>
    </row>
    <row r="1827" spans="1:3">
      <c r="A1827" s="131" t="s">
        <v>13565</v>
      </c>
      <c r="B1827" s="132">
        <v>3.3574439195608998</v>
      </c>
      <c r="C1827" s="133"/>
    </row>
    <row r="1828" spans="1:3">
      <c r="A1828" s="131" t="s">
        <v>13566</v>
      </c>
      <c r="B1828" s="132">
        <v>1.3253404185526136E-2</v>
      </c>
      <c r="C1828" s="133"/>
    </row>
    <row r="1829" spans="1:3">
      <c r="A1829" s="131" t="s">
        <v>13567</v>
      </c>
      <c r="B1829" s="132">
        <v>4.0059999264485668E-6</v>
      </c>
      <c r="C1829" s="133"/>
    </row>
    <row r="1830" spans="1:3">
      <c r="A1830" s="131" t="s">
        <v>13568</v>
      </c>
      <c r="B1830" s="132">
        <v>8.7294061927305005E-4</v>
      </c>
      <c r="C1830" s="133"/>
    </row>
    <row r="1831" spans="1:3">
      <c r="A1831" s="131" t="s">
        <v>13569</v>
      </c>
      <c r="B1831" s="132">
        <v>1.6217134223371046</v>
      </c>
      <c r="C1831" s="133"/>
    </row>
    <row r="1832" spans="1:3">
      <c r="A1832" s="131" t="s">
        <v>13570</v>
      </c>
      <c r="B1832" s="132">
        <v>0.35995326999999999</v>
      </c>
      <c r="C1832" s="133"/>
    </row>
    <row r="1833" spans="1:3">
      <c r="A1833" s="131" t="s">
        <v>13571</v>
      </c>
      <c r="B1833" s="132">
        <v>1.7615537257679768</v>
      </c>
      <c r="C1833" s="133"/>
    </row>
    <row r="1834" spans="1:3">
      <c r="A1834" s="131" t="s">
        <v>13572</v>
      </c>
      <c r="B1834" s="132">
        <v>8.0282761268438349E-3</v>
      </c>
      <c r="C1834" s="133"/>
    </row>
    <row r="1835" spans="1:3">
      <c r="A1835" s="131" t="s">
        <v>13573</v>
      </c>
      <c r="B1835" s="132">
        <v>4.2746952415364366E-2</v>
      </c>
      <c r="C1835" s="133"/>
    </row>
    <row r="1836" spans="1:3">
      <c r="A1836" s="131" t="s">
        <v>13574</v>
      </c>
      <c r="B1836" s="132">
        <v>1.2776915058714</v>
      </c>
      <c r="C1836" s="133"/>
    </row>
    <row r="1837" spans="1:3">
      <c r="A1837" s="131" t="s">
        <v>13575</v>
      </c>
      <c r="B1837" s="132">
        <v>8.4636650520377339E-3</v>
      </c>
      <c r="C1837" s="133"/>
    </row>
    <row r="1838" spans="1:3">
      <c r="A1838" s="131" t="s">
        <v>13576</v>
      </c>
      <c r="B1838" s="132">
        <v>1.0423455308578939</v>
      </c>
      <c r="C1838" s="133"/>
    </row>
    <row r="1839" spans="1:3">
      <c r="A1839" s="131" t="s">
        <v>13577</v>
      </c>
      <c r="B1839" s="132">
        <v>0.20729544903829172</v>
      </c>
      <c r="C1839" s="133"/>
    </row>
    <row r="1840" spans="1:3">
      <c r="A1840" s="131" t="s">
        <v>13578</v>
      </c>
      <c r="B1840" s="132">
        <v>1.8567210336842706E-3</v>
      </c>
      <c r="C1840" s="133"/>
    </row>
    <row r="1841" spans="1:3">
      <c r="A1841" s="131" t="s">
        <v>13579</v>
      </c>
      <c r="B1841" s="132">
        <v>0.31814886401140741</v>
      </c>
      <c r="C1841" s="133"/>
    </row>
    <row r="1842" spans="1:3">
      <c r="A1842" s="131" t="s">
        <v>13580</v>
      </c>
      <c r="B1842" s="132">
        <v>2.5422397044707E-6</v>
      </c>
      <c r="C1842" s="133"/>
    </row>
    <row r="1843" spans="1:3">
      <c r="A1843" s="131" t="s">
        <v>13581</v>
      </c>
      <c r="B1843" s="132">
        <v>6.1028290868809002E-4</v>
      </c>
      <c r="C1843" s="133"/>
    </row>
    <row r="1844" spans="1:3">
      <c r="A1844" s="131" t="s">
        <v>13582</v>
      </c>
      <c r="B1844" s="132">
        <v>1.1089845623630001E-3</v>
      </c>
      <c r="C1844" s="133"/>
    </row>
    <row r="1845" spans="1:3">
      <c r="A1845" s="131" t="s">
        <v>13583</v>
      </c>
      <c r="B1845" s="132">
        <v>0.28973326519810594</v>
      </c>
      <c r="C1845" s="133"/>
    </row>
    <row r="1846" spans="1:3">
      <c r="A1846" s="131" t="s">
        <v>13584</v>
      </c>
      <c r="B1846" s="132">
        <v>1.1651671537038</v>
      </c>
      <c r="C1846" s="133"/>
    </row>
    <row r="1847" spans="1:3">
      <c r="A1847" s="131" t="s">
        <v>13585</v>
      </c>
      <c r="B1847" s="132">
        <v>1.2128106009674001E-2</v>
      </c>
      <c r="C1847" s="133"/>
    </row>
    <row r="1848" spans="1:3">
      <c r="A1848" s="131" t="s">
        <v>13586</v>
      </c>
      <c r="B1848" s="132">
        <v>1.4110075369948001</v>
      </c>
      <c r="C1848" s="133"/>
    </row>
    <row r="1849" spans="1:3">
      <c r="A1849" s="131" t="s">
        <v>13587</v>
      </c>
      <c r="B1849" s="132">
        <v>0.92871882426638208</v>
      </c>
      <c r="C1849" s="133"/>
    </row>
    <row r="1850" spans="1:3">
      <c r="A1850" s="131" t="s">
        <v>13588</v>
      </c>
      <c r="B1850" s="132">
        <v>1.6653508012157072E-6</v>
      </c>
      <c r="C1850" s="133"/>
    </row>
    <row r="1851" spans="1:3">
      <c r="A1851" s="131" t="s">
        <v>13589</v>
      </c>
      <c r="B1851" s="132">
        <v>8.4146598749852992E-6</v>
      </c>
      <c r="C1851" s="133"/>
    </row>
    <row r="1852" spans="1:3">
      <c r="A1852" s="131" t="s">
        <v>13590</v>
      </c>
      <c r="B1852" s="132">
        <v>1.3090319280000001E-6</v>
      </c>
      <c r="C1852" s="133"/>
    </row>
    <row r="1853" spans="1:3">
      <c r="A1853" s="131" t="s">
        <v>13591</v>
      </c>
      <c r="B1853" s="132">
        <v>2.0562396001139E-3</v>
      </c>
      <c r="C1853" s="133"/>
    </row>
    <row r="1854" spans="1:3">
      <c r="A1854" s="131" t="s">
        <v>13592</v>
      </c>
      <c r="B1854" s="132">
        <v>1.0422164172287189E-3</v>
      </c>
      <c r="C1854" s="133"/>
    </row>
    <row r="1855" spans="1:3">
      <c r="A1855" s="131" t="s">
        <v>13593</v>
      </c>
      <c r="B1855" s="132">
        <v>7.7805588953197002E-3</v>
      </c>
      <c r="C1855" s="133"/>
    </row>
    <row r="1856" spans="1:3">
      <c r="A1856" s="131" t="s">
        <v>13594</v>
      </c>
      <c r="B1856" s="132">
        <v>1.388336582698145E-2</v>
      </c>
      <c r="C1856" s="133"/>
    </row>
    <row r="1857" spans="1:3">
      <c r="A1857" s="131" t="s">
        <v>13595</v>
      </c>
      <c r="B1857" s="132">
        <v>6.5283342123837211E-4</v>
      </c>
      <c r="C1857" s="133"/>
    </row>
    <row r="1858" spans="1:3">
      <c r="A1858" s="131" t="s">
        <v>13596</v>
      </c>
      <c r="B1858" s="132">
        <v>4.6457397868037838E-7</v>
      </c>
      <c r="C1858" s="133"/>
    </row>
    <row r="1859" spans="1:3">
      <c r="A1859" s="131" t="s">
        <v>13597</v>
      </c>
      <c r="B1859" s="132">
        <v>7.0675000000000002E-4</v>
      </c>
      <c r="C1859" s="133"/>
    </row>
    <row r="1860" spans="1:3">
      <c r="A1860" s="131" t="s">
        <v>13598</v>
      </c>
      <c r="B1860" s="132">
        <v>1.8114964708752762E-2</v>
      </c>
      <c r="C1860" s="133"/>
    </row>
    <row r="1861" spans="1:3">
      <c r="A1861" s="131" t="s">
        <v>13599</v>
      </c>
      <c r="B1861" s="132">
        <v>6.1691041183869929E-5</v>
      </c>
      <c r="C1861" s="133"/>
    </row>
    <row r="1862" spans="1:3">
      <c r="A1862" s="131" t="s">
        <v>13600</v>
      </c>
      <c r="B1862" s="132">
        <v>0.15236756871473001</v>
      </c>
      <c r="C1862" s="133"/>
    </row>
    <row r="1863" spans="1:3">
      <c r="A1863" s="131" t="s">
        <v>13601</v>
      </c>
      <c r="B1863" s="132">
        <v>4.2312169878274769E-4</v>
      </c>
      <c r="C1863" s="133"/>
    </row>
    <row r="1864" spans="1:3">
      <c r="A1864" s="131" t="s">
        <v>13602</v>
      </c>
      <c r="B1864" s="132">
        <v>10.979430103709999</v>
      </c>
      <c r="C1864" s="133"/>
    </row>
    <row r="1865" spans="1:3">
      <c r="A1865" s="131" t="s">
        <v>13603</v>
      </c>
      <c r="B1865" s="132">
        <v>4.9472300000000004E-3</v>
      </c>
      <c r="C1865" s="133"/>
    </row>
    <row r="1866" spans="1:3">
      <c r="A1866" s="131" t="s">
        <v>13604</v>
      </c>
      <c r="B1866" s="132">
        <v>2.4892151973939687E-3</v>
      </c>
      <c r="C1866" s="133"/>
    </row>
    <row r="1867" spans="1:3">
      <c r="A1867" s="131" t="s">
        <v>13605</v>
      </c>
      <c r="B1867" s="132">
        <v>1.1050000239265501E-6</v>
      </c>
      <c r="C1867" s="133"/>
    </row>
    <row r="1868" spans="1:3">
      <c r="A1868" s="131" t="s">
        <v>13606</v>
      </c>
      <c r="B1868" s="132">
        <v>2.7980496752180164E-3</v>
      </c>
      <c r="C1868" s="133"/>
    </row>
    <row r="1869" spans="1:3">
      <c r="A1869" s="131" t="s">
        <v>13607</v>
      </c>
      <c r="B1869" s="132">
        <v>2.9018718786044645E-2</v>
      </c>
      <c r="C1869" s="133"/>
    </row>
    <row r="1870" spans="1:3">
      <c r="A1870" s="131" t="s">
        <v>13608</v>
      </c>
      <c r="B1870" s="132">
        <v>1.9306383687373505</v>
      </c>
      <c r="C1870" s="133"/>
    </row>
    <row r="1871" spans="1:3">
      <c r="A1871" s="131" t="s">
        <v>13609</v>
      </c>
      <c r="B1871" s="132">
        <v>1.0564658108499461E-3</v>
      </c>
      <c r="C1871" s="133"/>
    </row>
    <row r="1872" spans="1:3">
      <c r="A1872" s="131" t="s">
        <v>13610</v>
      </c>
      <c r="B1872" s="132">
        <v>0.82252519825682624</v>
      </c>
      <c r="C1872" s="133"/>
    </row>
    <row r="1873" spans="1:3">
      <c r="A1873" s="131" t="s">
        <v>13611</v>
      </c>
      <c r="B1873" s="132">
        <v>0.50697970615429733</v>
      </c>
      <c r="C1873" s="133"/>
    </row>
    <row r="1874" spans="1:3">
      <c r="A1874" s="131" t="s">
        <v>13612</v>
      </c>
      <c r="B1874" s="132">
        <v>61.690126732305998</v>
      </c>
      <c r="C1874" s="133"/>
    </row>
    <row r="1875" spans="1:3">
      <c r="A1875" s="131" t="s">
        <v>13613</v>
      </c>
      <c r="B1875" s="132">
        <v>0.28118823754072553</v>
      </c>
      <c r="C1875" s="133"/>
    </row>
    <row r="1876" spans="1:3">
      <c r="A1876" s="131" t="s">
        <v>13614</v>
      </c>
      <c r="B1876" s="132">
        <v>1.6268040315221E-3</v>
      </c>
      <c r="C1876" s="133"/>
    </row>
    <row r="1877" spans="1:3">
      <c r="A1877" s="131" t="s">
        <v>13615</v>
      </c>
      <c r="B1877" s="132">
        <v>0.10178747777189</v>
      </c>
      <c r="C1877" s="133"/>
    </row>
    <row r="1878" spans="1:3">
      <c r="A1878" s="131" t="s">
        <v>13616</v>
      </c>
      <c r="B1878" s="132">
        <v>1.6761857683111E-4</v>
      </c>
      <c r="C1878" s="133"/>
    </row>
    <row r="1879" spans="1:3">
      <c r="A1879" s="131" t="s">
        <v>13617</v>
      </c>
      <c r="B1879" s="132">
        <v>1.0980720837332881E-2</v>
      </c>
      <c r="C1879" s="133"/>
    </row>
    <row r="1880" spans="1:3">
      <c r="A1880" s="131" t="s">
        <v>13618</v>
      </c>
      <c r="B1880" s="132">
        <v>1.8481918333241647</v>
      </c>
      <c r="C1880" s="133"/>
    </row>
    <row r="1881" spans="1:3">
      <c r="A1881" s="131" t="s">
        <v>13619</v>
      </c>
      <c r="B1881" s="132">
        <v>67.989694327047999</v>
      </c>
      <c r="C1881" s="133"/>
    </row>
    <row r="1882" spans="1:3">
      <c r="A1882" s="131" t="s">
        <v>13620</v>
      </c>
      <c r="B1882" s="132">
        <v>0.13172565321940999</v>
      </c>
      <c r="C1882" s="133"/>
    </row>
    <row r="1883" spans="1:3">
      <c r="A1883" s="131" t="s">
        <v>13621</v>
      </c>
      <c r="B1883" s="132">
        <v>2.7461033849856E-3</v>
      </c>
      <c r="C1883" s="133"/>
    </row>
    <row r="1884" spans="1:3">
      <c r="A1884" s="131" t="s">
        <v>13622</v>
      </c>
      <c r="B1884" s="132">
        <v>7.3515179306013088E-3</v>
      </c>
      <c r="C1884" s="133"/>
    </row>
    <row r="1885" spans="1:3">
      <c r="A1885" s="131" t="s">
        <v>13623</v>
      </c>
      <c r="B1885" s="132">
        <v>0.26607015899049002</v>
      </c>
      <c r="C1885" s="133"/>
    </row>
    <row r="1886" spans="1:3">
      <c r="A1886" s="131" t="s">
        <v>13624</v>
      </c>
      <c r="B1886" s="132">
        <v>1.2515750936518279E-2</v>
      </c>
      <c r="C1886" s="133"/>
    </row>
    <row r="1887" spans="1:3">
      <c r="A1887" s="131" t="s">
        <v>13625</v>
      </c>
      <c r="B1887" s="132">
        <v>1.2438071484571E-2</v>
      </c>
      <c r="C1887" s="133"/>
    </row>
    <row r="1888" spans="1:3">
      <c r="A1888" s="131" t="s">
        <v>13626</v>
      </c>
      <c r="B1888" s="132">
        <v>0.23052476347124001</v>
      </c>
      <c r="C1888" s="133"/>
    </row>
    <row r="1889" spans="1:3">
      <c r="A1889" s="131" t="s">
        <v>13627</v>
      </c>
      <c r="B1889" s="132">
        <v>2.0485795260107999E-2</v>
      </c>
      <c r="C1889" s="133"/>
    </row>
    <row r="1890" spans="1:3">
      <c r="A1890" s="131" t="s">
        <v>13628</v>
      </c>
      <c r="B1890" s="132">
        <v>2.0052152714037002E-3</v>
      </c>
      <c r="C1890" s="133"/>
    </row>
    <row r="1891" spans="1:3">
      <c r="A1891" s="131" t="s">
        <v>13629</v>
      </c>
      <c r="B1891" s="132">
        <v>4.5255883986521512E-4</v>
      </c>
      <c r="C1891" s="133"/>
    </row>
    <row r="1892" spans="1:3">
      <c r="A1892" s="131" t="s">
        <v>13630</v>
      </c>
      <c r="B1892" s="132">
        <v>61409</v>
      </c>
      <c r="C1892" s="133"/>
    </row>
    <row r="1893" spans="1:3">
      <c r="A1893" s="131" t="s">
        <v>13631</v>
      </c>
      <c r="B1893" s="132">
        <v>1416.35</v>
      </c>
      <c r="C1893" s="133"/>
    </row>
    <row r="1894" spans="1:3">
      <c r="A1894" s="131" t="s">
        <v>13632</v>
      </c>
      <c r="B1894" s="132">
        <v>1.087059819977529</v>
      </c>
      <c r="C1894" s="133"/>
    </row>
    <row r="1895" spans="1:3">
      <c r="A1895" s="131" t="s">
        <v>13633</v>
      </c>
      <c r="B1895" s="132">
        <v>1.1447383938558001E-2</v>
      </c>
      <c r="C1895" s="133"/>
    </row>
    <row r="1896" spans="1:3">
      <c r="A1896" s="131" t="s">
        <v>13634</v>
      </c>
      <c r="B1896" s="132">
        <v>3.0805126732305998E-3</v>
      </c>
      <c r="C1896" s="133"/>
    </row>
    <row r="1897" spans="1:3">
      <c r="A1897" s="131" t="s">
        <v>13635</v>
      </c>
      <c r="B1897" s="132">
        <v>6.2498463958200997E-3</v>
      </c>
      <c r="C1897" s="133"/>
    </row>
    <row r="1898" spans="1:3">
      <c r="A1898" s="131" t="s">
        <v>13636</v>
      </c>
      <c r="B1898" s="132">
        <v>18.904557743528294</v>
      </c>
      <c r="C1898" s="133"/>
    </row>
    <row r="1899" spans="1:3">
      <c r="A1899" s="131" t="s">
        <v>13637</v>
      </c>
      <c r="B1899" s="132">
        <v>3.5458952082183001E-3</v>
      </c>
      <c r="C1899" s="133"/>
    </row>
    <row r="1900" spans="1:3">
      <c r="A1900" s="131" t="s">
        <v>13638</v>
      </c>
      <c r="B1900" s="132">
        <v>0.10054230204750882</v>
      </c>
      <c r="C1900" s="133"/>
    </row>
    <row r="1901" spans="1:3">
      <c r="A1901" s="131" t="s">
        <v>13639</v>
      </c>
      <c r="B1901" s="132">
        <v>3.2239763604546003E-5</v>
      </c>
      <c r="C1901" s="133"/>
    </row>
    <row r="1902" spans="1:3">
      <c r="A1902" s="131" t="s">
        <v>13640</v>
      </c>
      <c r="B1902" s="132">
        <v>6.1652237664847715E-4</v>
      </c>
      <c r="C1902" s="133"/>
    </row>
    <row r="1903" spans="1:3">
      <c r="A1903" s="131" t="s">
        <v>13641</v>
      </c>
      <c r="B1903" s="132">
        <v>4.6140598715282977E-4</v>
      </c>
      <c r="C1903" s="133"/>
    </row>
    <row r="1904" spans="1:3">
      <c r="A1904" s="131" t="s">
        <v>13642</v>
      </c>
      <c r="B1904" s="132">
        <v>0.15250665998743551</v>
      </c>
      <c r="C1904" s="133"/>
    </row>
    <row r="1905" spans="1:3">
      <c r="A1905" s="131" t="s">
        <v>13643</v>
      </c>
      <c r="B1905" s="132">
        <v>0.65383095338662001</v>
      </c>
      <c r="C1905" s="133"/>
    </row>
    <row r="1906" spans="1:3">
      <c r="A1906" s="131" t="s">
        <v>13644</v>
      </c>
      <c r="B1906" s="132">
        <v>1.2307684451565482E-2</v>
      </c>
      <c r="C1906" s="133"/>
    </row>
    <row r="1907" spans="1:3">
      <c r="A1907" s="131" t="s">
        <v>13645</v>
      </c>
      <c r="B1907" s="132">
        <v>3.081599145295E-4</v>
      </c>
      <c r="C1907" s="133"/>
    </row>
    <row r="1908" spans="1:3">
      <c r="A1908" s="131" t="s">
        <v>13646</v>
      </c>
      <c r="B1908" s="132">
        <v>1.8139840000000001E-2</v>
      </c>
      <c r="C1908" s="133"/>
    </row>
    <row r="1909" spans="1:3">
      <c r="A1909" s="131" t="s">
        <v>13647</v>
      </c>
      <c r="B1909" s="132">
        <v>16.106839413541344</v>
      </c>
      <c r="C1909" s="133"/>
    </row>
    <row r="1910" spans="1:3">
      <c r="A1910" s="131" t="s">
        <v>13648</v>
      </c>
      <c r="B1910" s="132">
        <v>5.8529740791381001E-3</v>
      </c>
      <c r="C1910" s="133"/>
    </row>
    <row r="1911" spans="1:3">
      <c r="A1911" s="131" t="s">
        <v>13649</v>
      </c>
      <c r="B1911" s="132">
        <v>9.5164248558022753E-3</v>
      </c>
      <c r="C1911" s="133"/>
    </row>
    <row r="1912" spans="1:3">
      <c r="A1912" s="131" t="s">
        <v>13650</v>
      </c>
      <c r="B1912" s="132">
        <v>4.1054065486226261E-2</v>
      </c>
      <c r="C1912" s="133"/>
    </row>
    <row r="1913" spans="1:3">
      <c r="A1913" s="131" t="s">
        <v>13651</v>
      </c>
      <c r="B1913" s="132">
        <v>1.107821004921616E-2</v>
      </c>
      <c r="C1913" s="133"/>
    </row>
    <row r="1914" spans="1:3">
      <c r="A1914" s="131" t="s">
        <v>13652</v>
      </c>
      <c r="B1914" s="132">
        <v>1.2475E-4</v>
      </c>
      <c r="C1914" s="133"/>
    </row>
    <row r="1915" spans="1:3">
      <c r="A1915" s="131" t="s">
        <v>13653</v>
      </c>
      <c r="B1915" s="132">
        <v>1.0357973484745497E-2</v>
      </c>
      <c r="C1915" s="133"/>
    </row>
    <row r="1916" spans="1:3">
      <c r="A1916" s="131" t="s">
        <v>13654</v>
      </c>
      <c r="B1916" s="132">
        <v>1.3203289903201E-2</v>
      </c>
      <c r="C1916" s="133"/>
    </row>
    <row r="1917" spans="1:3">
      <c r="A1917" s="131" t="s">
        <v>13655</v>
      </c>
      <c r="B1917" s="132">
        <v>0.15821673362585476</v>
      </c>
      <c r="C1917" s="133"/>
    </row>
    <row r="1918" spans="1:3">
      <c r="A1918" s="131" t="s">
        <v>9511</v>
      </c>
      <c r="B1918" s="132">
        <v>4.7225226040470002E-4</v>
      </c>
      <c r="C1918" s="133"/>
    </row>
    <row r="1919" spans="1:3">
      <c r="A1919" s="131" t="s">
        <v>9512</v>
      </c>
      <c r="B1919" s="132">
        <v>1.9360587630344486E-3</v>
      </c>
      <c r="C1919" s="133"/>
    </row>
    <row r="1920" spans="1:3">
      <c r="A1920" s="131" t="s">
        <v>9513</v>
      </c>
      <c r="B1920" s="132">
        <v>0.2787927523981748</v>
      </c>
      <c r="C1920" s="133"/>
    </row>
    <row r="1921" spans="1:3">
      <c r="A1921" s="131" t="s">
        <v>9514</v>
      </c>
      <c r="B1921" s="132">
        <v>0.48177882</v>
      </c>
      <c r="C1921" s="133"/>
    </row>
    <row r="1922" spans="1:3">
      <c r="A1922" s="131" t="s">
        <v>9515</v>
      </c>
      <c r="B1922" s="132">
        <v>0.36990335492151005</v>
      </c>
      <c r="C1922" s="133"/>
    </row>
    <row r="1923" spans="1:3">
      <c r="A1923" s="131" t="s">
        <v>9516</v>
      </c>
      <c r="B1923" s="132">
        <v>6.0671382558492998E-3</v>
      </c>
      <c r="C1923" s="133"/>
    </row>
    <row r="1924" spans="1:3">
      <c r="A1924" s="131" t="s">
        <v>9517</v>
      </c>
      <c r="B1924" s="132">
        <v>0.58199333592710001</v>
      </c>
      <c r="C1924" s="133"/>
    </row>
    <row r="1925" spans="1:3">
      <c r="A1925" s="131" t="s">
        <v>9518</v>
      </c>
      <c r="B1925" s="132">
        <v>1.0005952317455047</v>
      </c>
      <c r="C1925" s="133"/>
    </row>
    <row r="1926" spans="1:3">
      <c r="A1926" s="131" t="s">
        <v>9519</v>
      </c>
      <c r="B1926" s="132">
        <v>1.0486788128551899E-2</v>
      </c>
      <c r="C1926" s="133"/>
    </row>
    <row r="1927" spans="1:3">
      <c r="A1927" s="131" t="s">
        <v>9520</v>
      </c>
      <c r="B1927" s="132">
        <v>2.6147153249753835E-4</v>
      </c>
      <c r="C1927" s="133"/>
    </row>
    <row r="1928" spans="1:3">
      <c r="A1928" s="131" t="s">
        <v>9521</v>
      </c>
      <c r="B1928" s="132">
        <v>59.008665503082142</v>
      </c>
      <c r="C1928" s="133"/>
    </row>
    <row r="1929" spans="1:3">
      <c r="A1929" s="131" t="s">
        <v>9522</v>
      </c>
      <c r="B1929" s="132">
        <v>4.9770944308047671</v>
      </c>
      <c r="C1929" s="133"/>
    </row>
    <row r="1930" spans="1:3">
      <c r="A1930" s="131" t="s">
        <v>9523</v>
      </c>
      <c r="B1930" s="132">
        <v>1.1981597333333368E-4</v>
      </c>
      <c r="C1930" s="133"/>
    </row>
    <row r="1931" spans="1:3">
      <c r="A1931" s="131" t="s">
        <v>9524</v>
      </c>
      <c r="B1931" s="132">
        <v>6.2825743991473245E-3</v>
      </c>
      <c r="C1931" s="133"/>
    </row>
    <row r="1932" spans="1:3">
      <c r="A1932" s="131" t="s">
        <v>9525</v>
      </c>
      <c r="B1932" s="132">
        <v>0.2358868592160768</v>
      </c>
      <c r="C1932" s="133"/>
    </row>
    <row r="1933" spans="1:3">
      <c r="A1933" s="131" t="s">
        <v>9526</v>
      </c>
      <c r="B1933" s="132">
        <v>7.3000002487333404E-8</v>
      </c>
      <c r="C1933" s="133"/>
    </row>
    <row r="1934" spans="1:3">
      <c r="A1934" s="131" t="s">
        <v>9527</v>
      </c>
      <c r="B1934" s="132">
        <v>0.5817394918622395</v>
      </c>
      <c r="C1934" s="133"/>
    </row>
    <row r="1935" spans="1:3">
      <c r="A1935" s="131" t="s">
        <v>9528</v>
      </c>
      <c r="B1935" s="132">
        <v>2.8916494792358503E-3</v>
      </c>
      <c r="C1935" s="133"/>
    </row>
    <row r="1936" spans="1:3">
      <c r="A1936" s="131" t="s">
        <v>9529</v>
      </c>
      <c r="B1936" s="132">
        <v>3.9667127341826819E-4</v>
      </c>
      <c r="C1936" s="133"/>
    </row>
    <row r="1937" spans="1:3">
      <c r="A1937" s="131" t="s">
        <v>9530</v>
      </c>
      <c r="B1937" s="132">
        <v>1.6396555999999996E-2</v>
      </c>
      <c r="C1937" s="133"/>
    </row>
    <row r="1938" spans="1:3">
      <c r="A1938" s="131" t="s">
        <v>9531</v>
      </c>
      <c r="B1938" s="132">
        <v>1.9538186084532001E-3</v>
      </c>
      <c r="C1938" s="133"/>
    </row>
    <row r="1939" spans="1:3">
      <c r="A1939" s="131" t="s">
        <v>9532</v>
      </c>
      <c r="B1939" s="132">
        <v>0.10187678733856399</v>
      </c>
      <c r="C1939" s="133"/>
    </row>
    <row r="1940" spans="1:3">
      <c r="A1940" s="131" t="s">
        <v>9533</v>
      </c>
      <c r="B1940" s="132">
        <v>4.6281921677291393E-3</v>
      </c>
      <c r="C1940" s="133"/>
    </row>
    <row r="1941" spans="1:3">
      <c r="A1941" s="131" t="s">
        <v>9534</v>
      </c>
      <c r="B1941" s="132">
        <v>1.6775817427224977E-3</v>
      </c>
      <c r="C1941" s="133"/>
    </row>
    <row r="1942" spans="1:3">
      <c r="A1942" s="131" t="s">
        <v>9535</v>
      </c>
      <c r="B1942" s="132">
        <v>0.14702644622578165</v>
      </c>
      <c r="C1942" s="133"/>
    </row>
    <row r="1943" spans="1:3">
      <c r="A1943" s="131" t="s">
        <v>9536</v>
      </c>
      <c r="B1943" s="132">
        <v>9.0051367865476989E-4</v>
      </c>
      <c r="C1943" s="133"/>
    </row>
    <row r="1944" spans="1:3">
      <c r="A1944" s="131" t="s">
        <v>9537</v>
      </c>
      <c r="B1944" s="132">
        <v>7.5198127967328436E-3</v>
      </c>
      <c r="C1944" s="133"/>
    </row>
    <row r="1945" spans="1:3">
      <c r="A1945" s="131" t="s">
        <v>9538</v>
      </c>
      <c r="B1945" s="132">
        <v>5.5547846442000996E-3</v>
      </c>
      <c r="C1945" s="133"/>
    </row>
    <row r="1946" spans="1:3">
      <c r="A1946" s="131" t="s">
        <v>9539</v>
      </c>
      <c r="B1946" s="132">
        <v>0.25092257973712473</v>
      </c>
      <c r="C1946" s="133"/>
    </row>
    <row r="1947" spans="1:3">
      <c r="A1947" s="131" t="s">
        <v>9540</v>
      </c>
      <c r="B1947" s="132">
        <v>0.35096140082136773</v>
      </c>
      <c r="C1947" s="133"/>
    </row>
    <row r="1948" spans="1:3">
      <c r="A1948" s="131" t="s">
        <v>9541</v>
      </c>
      <c r="B1948" s="132">
        <v>14.458781813840938</v>
      </c>
      <c r="C1948" s="133"/>
    </row>
    <row r="1949" spans="1:3">
      <c r="A1949" s="131" t="s">
        <v>9542</v>
      </c>
      <c r="B1949" s="132">
        <v>4.06029961232321E-2</v>
      </c>
      <c r="C1949" s="133"/>
    </row>
    <row r="1950" spans="1:3">
      <c r="A1950" s="131" t="s">
        <v>9543</v>
      </c>
      <c r="B1950" s="132">
        <v>4.7988000000000003E-2</v>
      </c>
      <c r="C1950" s="133"/>
    </row>
    <row r="1951" spans="1:3">
      <c r="A1951" s="131" t="s">
        <v>9544</v>
      </c>
      <c r="B1951" s="132">
        <v>3.4191456957451516E-2</v>
      </c>
      <c r="C1951" s="133"/>
    </row>
    <row r="1952" spans="1:3">
      <c r="A1952" s="131" t="s">
        <v>9545</v>
      </c>
      <c r="B1952" s="132">
        <v>0.83880263074160388</v>
      </c>
      <c r="C1952" s="133"/>
    </row>
    <row r="1953" spans="1:3">
      <c r="A1953" s="131" t="s">
        <v>9546</v>
      </c>
      <c r="B1953" s="132">
        <v>1.1376771677490556E-5</v>
      </c>
      <c r="C1953" s="133"/>
    </row>
    <row r="1954" spans="1:3">
      <c r="A1954" s="131" t="s">
        <v>9547</v>
      </c>
      <c r="B1954" s="132">
        <v>9.2460569800385003E-4</v>
      </c>
      <c r="C1954" s="133"/>
    </row>
    <row r="1955" spans="1:3">
      <c r="A1955" s="131" t="s">
        <v>9548</v>
      </c>
      <c r="B1955" s="132">
        <v>6.2109787155790004</v>
      </c>
      <c r="C1955" s="133"/>
    </row>
    <row r="1956" spans="1:3">
      <c r="A1956" s="131" t="s">
        <v>9549</v>
      </c>
      <c r="B1956" s="132">
        <v>5.8356320670712003E-2</v>
      </c>
      <c r="C1956" s="133"/>
    </row>
    <row r="1957" spans="1:3">
      <c r="A1957" s="131" t="s">
        <v>9550</v>
      </c>
      <c r="B1957" s="132">
        <v>2.4887440402055216</v>
      </c>
      <c r="C1957" s="133"/>
    </row>
    <row r="1958" spans="1:3">
      <c r="A1958" s="131" t="s">
        <v>9551</v>
      </c>
      <c r="B1958" s="132">
        <v>0.16538103000000001</v>
      </c>
      <c r="C1958" s="133"/>
    </row>
    <row r="1959" spans="1:3">
      <c r="A1959" s="131" t="s">
        <v>9552</v>
      </c>
      <c r="B1959" s="132">
        <v>6.9713335399369998E-4</v>
      </c>
      <c r="C1959" s="133"/>
    </row>
    <row r="1960" spans="1:3">
      <c r="A1960" s="131" t="s">
        <v>9553</v>
      </c>
      <c r="B1960" s="132">
        <v>4.3153355245289002E-4</v>
      </c>
      <c r="C1960" s="133"/>
    </row>
    <row r="1961" spans="1:3">
      <c r="A1961" s="131" t="s">
        <v>9554</v>
      </c>
      <c r="B1961" s="132">
        <v>7.3546652833334674E-4</v>
      </c>
      <c r="C1961" s="133"/>
    </row>
    <row r="1962" spans="1:3">
      <c r="A1962" s="131" t="s">
        <v>9555</v>
      </c>
      <c r="B1962" s="132">
        <v>0.37284950367474817</v>
      </c>
      <c r="C1962" s="133"/>
    </row>
    <row r="1963" spans="1:3">
      <c r="A1963" s="131" t="s">
        <v>9556</v>
      </c>
      <c r="B1963" s="132">
        <v>2.5313700155478999E-2</v>
      </c>
      <c r="C1963" s="133"/>
    </row>
    <row r="1964" spans="1:3">
      <c r="A1964" s="131" t="s">
        <v>9557</v>
      </c>
      <c r="B1964" s="132">
        <v>1.9924187784679546E-2</v>
      </c>
      <c r="C1964" s="133"/>
    </row>
    <row r="1965" spans="1:3">
      <c r="A1965" s="131" t="s">
        <v>9558</v>
      </c>
      <c r="B1965" s="132">
        <v>184.82952818877001</v>
      </c>
      <c r="C1965" s="133"/>
    </row>
    <row r="1966" spans="1:3">
      <c r="A1966" s="131" t="s">
        <v>9559</v>
      </c>
      <c r="B1966" s="132">
        <v>4.1373113211747817E-4</v>
      </c>
      <c r="C1966" s="133"/>
    </row>
    <row r="1967" spans="1:3">
      <c r="A1967" s="131" t="s">
        <v>9560</v>
      </c>
      <c r="B1967" s="132">
        <v>1.2024099999999999E-3</v>
      </c>
      <c r="C1967" s="133"/>
    </row>
    <row r="1968" spans="1:3">
      <c r="A1968" s="131" t="s">
        <v>9561</v>
      </c>
      <c r="B1968" s="132">
        <v>3353.1397233615999</v>
      </c>
      <c r="C1968" s="133"/>
    </row>
    <row r="1969" spans="1:3">
      <c r="A1969" s="131" t="s">
        <v>9562</v>
      </c>
      <c r="B1969" s="132">
        <v>1.6144205653333236E-3</v>
      </c>
      <c r="C1969" s="133"/>
    </row>
    <row r="1970" spans="1:3">
      <c r="A1970" s="131" t="s">
        <v>9563</v>
      </c>
      <c r="B1970" s="132">
        <v>1.5600147951265E-4</v>
      </c>
      <c r="C1970" s="133"/>
    </row>
    <row r="1971" spans="1:3">
      <c r="A1971" s="131" t="s">
        <v>9564</v>
      </c>
      <c r="B1971" s="132">
        <v>4.5369299814749403E-4</v>
      </c>
      <c r="C1971" s="133"/>
    </row>
    <row r="1972" spans="1:3">
      <c r="A1972" s="131" t="s">
        <v>9565</v>
      </c>
      <c r="B1972" s="132">
        <v>9.67</v>
      </c>
      <c r="C1972" s="133"/>
    </row>
    <row r="1973" spans="1:3">
      <c r="A1973" s="131" t="s">
        <v>9566</v>
      </c>
      <c r="B1973" s="132">
        <v>1.9155675015502999E-2</v>
      </c>
      <c r="C1973" s="133"/>
    </row>
    <row r="1974" spans="1:3">
      <c r="A1974" s="131" t="s">
        <v>9567</v>
      </c>
      <c r="B1974" s="132">
        <v>1.0005540873941833E-4</v>
      </c>
      <c r="C1974" s="133"/>
    </row>
    <row r="1975" spans="1:3">
      <c r="A1975" s="131" t="s">
        <v>9568</v>
      </c>
      <c r="B1975" s="132">
        <v>6.1691041183869924E-4</v>
      </c>
      <c r="C1975" s="133"/>
    </row>
    <row r="1976" spans="1:3">
      <c r="A1976" s="131" t="s">
        <v>9569</v>
      </c>
      <c r="B1976" s="132">
        <v>8.4109834366207989E-3</v>
      </c>
      <c r="C1976" s="133"/>
    </row>
    <row r="1977" spans="1:3">
      <c r="A1977" s="131" t="s">
        <v>9570</v>
      </c>
      <c r="B1977" s="132">
        <v>0.87187776186816368</v>
      </c>
      <c r="C1977" s="133"/>
    </row>
    <row r="1978" spans="1:3">
      <c r="A1978" s="131" t="s">
        <v>9571</v>
      </c>
      <c r="B1978" s="132">
        <v>7.6349000000000002E-4</v>
      </c>
      <c r="C1978" s="133"/>
    </row>
    <row r="1979" spans="1:3">
      <c r="A1979" s="131" t="s">
        <v>9572</v>
      </c>
      <c r="B1979" s="132">
        <v>1.3276390590585491E-2</v>
      </c>
      <c r="C1979" s="133"/>
    </row>
    <row r="1980" spans="1:3">
      <c r="A1980" s="131" t="s">
        <v>9573</v>
      </c>
      <c r="B1980" s="132">
        <v>3.3232551171298234E-3</v>
      </c>
      <c r="C1980" s="133"/>
    </row>
    <row r="1981" spans="1:3">
      <c r="A1981" s="131" t="s">
        <v>9574</v>
      </c>
      <c r="B1981" s="132">
        <v>0.66970893152313016</v>
      </c>
      <c r="C1981" s="133"/>
    </row>
    <row r="1982" spans="1:3">
      <c r="A1982" s="131" t="s">
        <v>9575</v>
      </c>
      <c r="B1982" s="132">
        <v>9.891226932388282E-2</v>
      </c>
      <c r="C1982" s="133"/>
    </row>
    <row r="1983" spans="1:3">
      <c r="A1983" s="131" t="s">
        <v>9576</v>
      </c>
      <c r="B1983" s="132">
        <v>0.39705063515411809</v>
      </c>
      <c r="C1983" s="133"/>
    </row>
    <row r="1984" spans="1:3">
      <c r="A1984" s="131" t="s">
        <v>9577</v>
      </c>
      <c r="B1984" s="132">
        <v>2.3524726029526002E-3</v>
      </c>
      <c r="C1984" s="133"/>
    </row>
    <row r="1985" spans="1:3">
      <c r="A1985" s="131" t="s">
        <v>9578</v>
      </c>
      <c r="B1985" s="132">
        <v>1.9317664675554999E-2</v>
      </c>
      <c r="C1985" s="133"/>
    </row>
    <row r="1986" spans="1:3">
      <c r="A1986" s="131" t="s">
        <v>9579</v>
      </c>
      <c r="B1986" s="132">
        <v>0.48970711686142998</v>
      </c>
      <c r="C1986" s="133"/>
    </row>
    <row r="1987" spans="1:3">
      <c r="A1987" s="131" t="s">
        <v>9580</v>
      </c>
      <c r="B1987" s="132">
        <v>4.3647030963651998E-4</v>
      </c>
      <c r="C1987" s="133"/>
    </row>
    <row r="1988" spans="1:3">
      <c r="A1988" s="131" t="s">
        <v>9581</v>
      </c>
      <c r="B1988" s="132">
        <v>4.2050565667725001E-4</v>
      </c>
      <c r="C1988" s="133"/>
    </row>
    <row r="1989" spans="1:3">
      <c r="A1989" s="131" t="s">
        <v>9582</v>
      </c>
      <c r="B1989" s="132">
        <v>0.3932240751788868</v>
      </c>
      <c r="C1989" s="133"/>
    </row>
    <row r="1990" spans="1:3">
      <c r="A1990" s="131" t="s">
        <v>9583</v>
      </c>
      <c r="B1990" s="132">
        <v>2.004906196426516</v>
      </c>
      <c r="C1990" s="133"/>
    </row>
    <row r="1991" spans="1:3">
      <c r="A1991" s="131" t="s">
        <v>9584</v>
      </c>
      <c r="B1991" s="132">
        <v>8.9947107725496717E-2</v>
      </c>
      <c r="C1991" s="133"/>
    </row>
    <row r="1992" spans="1:3">
      <c r="A1992" s="131" t="s">
        <v>9585</v>
      </c>
      <c r="B1992" s="132">
        <v>8.6956930875942418E-3</v>
      </c>
      <c r="C1992" s="133"/>
    </row>
    <row r="1993" spans="1:3">
      <c r="A1993" s="131" t="s">
        <v>9586</v>
      </c>
      <c r="B1993" s="132">
        <v>7.5793234620109986E-5</v>
      </c>
      <c r="C1993" s="133"/>
    </row>
    <row r="1994" spans="1:3">
      <c r="A1994" s="131" t="s">
        <v>9587</v>
      </c>
      <c r="B1994" s="132">
        <v>6.1691041183869924E-4</v>
      </c>
      <c r="C1994" s="133"/>
    </row>
    <row r="1995" spans="1:3">
      <c r="A1995" s="131" t="s">
        <v>9588</v>
      </c>
      <c r="B1995" s="132">
        <v>1.0913313776338076</v>
      </c>
      <c r="C1995" s="133"/>
    </row>
    <row r="1996" spans="1:3">
      <c r="A1996" s="131" t="s">
        <v>9589</v>
      </c>
      <c r="B1996" s="132">
        <v>3.1800076982305999E-4</v>
      </c>
      <c r="C1996" s="133"/>
    </row>
    <row r="1997" spans="1:3">
      <c r="A1997" s="131" t="s">
        <v>9590</v>
      </c>
      <c r="B1997" s="132">
        <v>1.0001713243215009</v>
      </c>
      <c r="C1997" s="133"/>
    </row>
    <row r="1998" spans="1:3">
      <c r="A1998" s="131" t="s">
        <v>9591</v>
      </c>
      <c r="B1998" s="132">
        <v>6.1062848923020214E-3</v>
      </c>
      <c r="C1998" s="133"/>
    </row>
    <row r="1999" spans="1:3">
      <c r="A1999" s="131" t="s">
        <v>9592</v>
      </c>
      <c r="B1999" s="132">
        <v>3.0003961088685728E-2</v>
      </c>
      <c r="C1999" s="133"/>
    </row>
    <row r="2000" spans="1:3">
      <c r="A2000" s="131" t="s">
        <v>9593</v>
      </c>
      <c r="B2000" s="132">
        <v>3.5218928378979997E-2</v>
      </c>
      <c r="C2000" s="133"/>
    </row>
    <row r="2001" spans="1:3">
      <c r="A2001" s="131" t="s">
        <v>9594</v>
      </c>
      <c r="B2001" s="132">
        <v>3.1008181797015002E-3</v>
      </c>
      <c r="C2001" s="133"/>
    </row>
    <row r="2002" spans="1:3">
      <c r="A2002" s="131" t="s">
        <v>9595</v>
      </c>
      <c r="B2002" s="132">
        <v>1797.45</v>
      </c>
      <c r="C2002" s="133"/>
    </row>
    <row r="2003" spans="1:3">
      <c r="A2003" s="131" t="s">
        <v>9596</v>
      </c>
      <c r="B2003" s="132">
        <v>0.10154913303978</v>
      </c>
      <c r="C2003" s="133"/>
    </row>
    <row r="2004" spans="1:3">
      <c r="A2004" s="131" t="s">
        <v>9597</v>
      </c>
      <c r="B2004" s="132">
        <v>5.3833532147109509E-3</v>
      </c>
      <c r="C2004" s="133"/>
    </row>
    <row r="2005" spans="1:3">
      <c r="A2005" s="131" t="s">
        <v>9598</v>
      </c>
      <c r="B2005" s="132">
        <v>5.7511848943417997E-5</v>
      </c>
      <c r="C2005" s="133"/>
    </row>
    <row r="2006" spans="1:3">
      <c r="A2006" s="131" t="s">
        <v>9599</v>
      </c>
      <c r="B2006" s="132">
        <v>2.1056774351893723E-2</v>
      </c>
      <c r="C2006" s="133"/>
    </row>
    <row r="2007" spans="1:3">
      <c r="A2007" s="131" t="s">
        <v>9600</v>
      </c>
      <c r="B2007" s="132">
        <v>1.7209313939693001E-2</v>
      </c>
      <c r="C2007" s="133"/>
    </row>
    <row r="2008" spans="1:3">
      <c r="A2008" s="131" t="s">
        <v>9601</v>
      </c>
      <c r="B2008" s="132">
        <v>6.0147858545429003E-5</v>
      </c>
      <c r="C2008" s="133"/>
    </row>
    <row r="2009" spans="1:3">
      <c r="A2009" s="131" t="s">
        <v>9602</v>
      </c>
      <c r="B2009" s="132">
        <v>0.2081660652358113</v>
      </c>
      <c r="C2009" s="133"/>
    </row>
    <row r="2010" spans="1:3">
      <c r="A2010" s="131" t="s">
        <v>9603</v>
      </c>
      <c r="B2010" s="132">
        <v>7.2328709851886996E-2</v>
      </c>
      <c r="C2010" s="133"/>
    </row>
    <row r="2011" spans="1:3">
      <c r="A2011" s="131" t="s">
        <v>9604</v>
      </c>
      <c r="B2011" s="132">
        <v>2.4050438364958998E-3</v>
      </c>
      <c r="C2011" s="133"/>
    </row>
    <row r="2012" spans="1:3">
      <c r="A2012" s="131" t="s">
        <v>9605</v>
      </c>
      <c r="B2012" s="132">
        <v>7.6743463333333326E-4</v>
      </c>
      <c r="C2012" s="133"/>
    </row>
    <row r="2013" spans="1:3">
      <c r="A2013" s="131" t="s">
        <v>9606</v>
      </c>
      <c r="B2013" s="132">
        <v>16.829999999999998</v>
      </c>
      <c r="C2013" s="133"/>
    </row>
    <row r="2014" spans="1:3">
      <c r="A2014" s="131" t="s">
        <v>9607</v>
      </c>
      <c r="B2014" s="132">
        <v>0.18489334009993377</v>
      </c>
      <c r="C2014" s="133"/>
    </row>
    <row r="2015" spans="1:3">
      <c r="A2015" s="131" t="s">
        <v>9608</v>
      </c>
      <c r="B2015" s="132">
        <v>0.99981855680142995</v>
      </c>
      <c r="C2015" s="133"/>
    </row>
    <row r="2016" spans="1:3">
      <c r="A2016" s="131" t="s">
        <v>9609</v>
      </c>
      <c r="B2016" s="132">
        <v>3.1061818550595999E-3</v>
      </c>
      <c r="C2016" s="133"/>
    </row>
    <row r="2017" spans="1:3">
      <c r="A2017" s="131" t="s">
        <v>9610</v>
      </c>
      <c r="B2017" s="132">
        <v>6.03</v>
      </c>
      <c r="C2017" s="133"/>
    </row>
    <row r="2018" spans="1:3">
      <c r="A2018" s="131" t="s">
        <v>9611</v>
      </c>
      <c r="B2018" s="132">
        <v>1.0554803550409888</v>
      </c>
      <c r="C2018" s="133"/>
    </row>
    <row r="2019" spans="1:3">
      <c r="A2019" s="131" t="s">
        <v>9612</v>
      </c>
      <c r="B2019" s="132">
        <v>2.7309081840897E-6</v>
      </c>
      <c r="C2019" s="133"/>
    </row>
    <row r="2020" spans="1:3">
      <c r="A2020" s="131" t="s">
        <v>9613</v>
      </c>
      <c r="B2020" s="132">
        <v>7.0684892912210341E-4</v>
      </c>
      <c r="C2020" s="133"/>
    </row>
    <row r="2021" spans="1:3">
      <c r="A2021" s="131" t="s">
        <v>9614</v>
      </c>
      <c r="B2021" s="132">
        <v>6.1691041183869924E-4</v>
      </c>
      <c r="C2021" s="133"/>
    </row>
    <row r="2022" spans="1:3">
      <c r="A2022" s="131" t="s">
        <v>9615</v>
      </c>
      <c r="B2022" s="132">
        <v>1.58424E-3</v>
      </c>
      <c r="C2022" s="133"/>
    </row>
    <row r="2023" spans="1:3">
      <c r="A2023" s="131" t="s">
        <v>9616</v>
      </c>
      <c r="B2023" s="132">
        <v>6.95</v>
      </c>
      <c r="C2023" s="133"/>
    </row>
    <row r="2024" spans="1:3">
      <c r="A2024" s="131" t="s">
        <v>9617</v>
      </c>
      <c r="B2024" s="132">
        <v>5.4367565390518999</v>
      </c>
      <c r="C2024" s="133"/>
    </row>
    <row r="2025" spans="1:3">
      <c r="A2025" s="131" t="s">
        <v>9618</v>
      </c>
      <c r="B2025" s="132">
        <v>40.39241902286183</v>
      </c>
      <c r="C2025" s="133"/>
    </row>
    <row r="2026" spans="1:3">
      <c r="A2026" s="131" t="s">
        <v>9619</v>
      </c>
      <c r="B2026" s="132">
        <v>9.2721999999999998E-4</v>
      </c>
      <c r="C2026" s="133"/>
    </row>
    <row r="2027" spans="1:3">
      <c r="A2027" s="131" t="s">
        <v>9620</v>
      </c>
      <c r="B2027" s="132">
        <v>1.5351997266238E-2</v>
      </c>
      <c r="C2027" s="133"/>
    </row>
    <row r="2028" spans="1:3">
      <c r="A2028" s="131" t="s">
        <v>9621</v>
      </c>
      <c r="B2028" s="132">
        <v>1.6049572318366901E-4</v>
      </c>
      <c r="C2028" s="133"/>
    </row>
    <row r="2029" spans="1:3">
      <c r="A2029" s="131" t="s">
        <v>9622</v>
      </c>
      <c r="B2029" s="132">
        <v>4.0975634642498001E-4</v>
      </c>
      <c r="C2029" s="133"/>
    </row>
    <row r="2030" spans="1:3">
      <c r="A2030" s="131" t="s">
        <v>9623</v>
      </c>
      <c r="B2030" s="132">
        <v>5.0749249247099184E-4</v>
      </c>
      <c r="C2030" s="133"/>
    </row>
    <row r="2031" spans="1:3">
      <c r="A2031" s="131" t="s">
        <v>9624</v>
      </c>
      <c r="B2031" s="132">
        <v>6.1691041183869924E-4</v>
      </c>
      <c r="C2031" s="133"/>
    </row>
    <row r="2032" spans="1:3">
      <c r="A2032" s="131" t="s">
        <v>9625</v>
      </c>
      <c r="B2032" s="132">
        <v>1.4786460831507E-2</v>
      </c>
      <c r="C2032" s="133"/>
    </row>
    <row r="2033" spans="1:3">
      <c r="A2033" s="131" t="s">
        <v>9626</v>
      </c>
      <c r="B2033" s="132">
        <v>6.1020333333332661E-3</v>
      </c>
      <c r="C2033" s="133"/>
    </row>
    <row r="2034" spans="1:3">
      <c r="A2034" s="131" t="s">
        <v>9627</v>
      </c>
      <c r="B2034" s="132">
        <v>2.6154981800917999E-2</v>
      </c>
      <c r="C2034" s="133"/>
    </row>
    <row r="2035" spans="1:3">
      <c r="A2035" s="131" t="s">
        <v>9628</v>
      </c>
      <c r="B2035" s="132">
        <v>2.9411382296555998E-2</v>
      </c>
      <c r="C2035" s="133"/>
    </row>
    <row r="2036" spans="1:3">
      <c r="A2036" s="131" t="s">
        <v>9629</v>
      </c>
      <c r="B2036" s="132">
        <v>6.1691041183869924E-4</v>
      </c>
      <c r="C2036" s="133"/>
    </row>
    <row r="2037" spans="1:3">
      <c r="A2037" s="131" t="s">
        <v>9630</v>
      </c>
      <c r="B2037" s="132">
        <v>4.3144687341895168E-4</v>
      </c>
      <c r="C2037" s="133"/>
    </row>
    <row r="2038" spans="1:3">
      <c r="A2038" s="131" t="s">
        <v>9631</v>
      </c>
      <c r="B2038" s="132">
        <v>1.9857622902675998E-2</v>
      </c>
      <c r="C2038" s="133"/>
    </row>
    <row r="2039" spans="1:3">
      <c r="A2039" s="131" t="s">
        <v>9632</v>
      </c>
      <c r="B2039" s="132">
        <v>4.3473613328250997E-2</v>
      </c>
      <c r="C2039" s="133"/>
    </row>
    <row r="2040" spans="1:3">
      <c r="A2040" s="131" t="s">
        <v>9633</v>
      </c>
      <c r="B2040" s="132">
        <v>6.1691041183869924E-4</v>
      </c>
      <c r="C2040" s="133"/>
    </row>
    <row r="2041" spans="1:3">
      <c r="A2041" s="131" t="s">
        <v>9634</v>
      </c>
      <c r="B2041" s="132">
        <v>9.3266606145620004E-2</v>
      </c>
      <c r="C2041" s="133"/>
    </row>
    <row r="2042" spans="1:3">
      <c r="A2042" s="131" t="s">
        <v>9635</v>
      </c>
      <c r="B2042" s="132">
        <v>4.0751301377778999E-3</v>
      </c>
      <c r="C2042" s="133"/>
    </row>
    <row r="2043" spans="1:3">
      <c r="A2043" s="131" t="s">
        <v>9636</v>
      </c>
      <c r="B2043" s="132">
        <v>3.2488763142630002E-4</v>
      </c>
      <c r="C2043" s="133"/>
    </row>
    <row r="2044" spans="1:3">
      <c r="A2044" s="131" t="s">
        <v>9637</v>
      </c>
      <c r="B2044" s="132">
        <v>3.1386002523753735E-5</v>
      </c>
      <c r="C2044" s="133"/>
    </row>
    <row r="2045" spans="1:3">
      <c r="A2045" s="131" t="s">
        <v>9638</v>
      </c>
      <c r="B2045" s="132">
        <v>4.0530999999999998E-4</v>
      </c>
      <c r="C2045" s="133"/>
    </row>
    <row r="2046" spans="1:3">
      <c r="A2046" s="131" t="s">
        <v>9639</v>
      </c>
      <c r="B2046" s="132">
        <v>1.8483076039383999E-3</v>
      </c>
      <c r="C2046" s="133"/>
    </row>
    <row r="2047" spans="1:3">
      <c r="A2047" s="131" t="s">
        <v>9640</v>
      </c>
      <c r="B2047" s="132">
        <v>9.1690705398344435E-4</v>
      </c>
      <c r="C2047" s="133"/>
    </row>
    <row r="2048" spans="1:3">
      <c r="A2048" s="131" t="s">
        <v>9641</v>
      </c>
      <c r="B2048" s="132">
        <v>0.21588428967188408</v>
      </c>
      <c r="C2048" s="133"/>
    </row>
    <row r="2049" spans="1:3">
      <c r="A2049" s="131" t="s">
        <v>9642</v>
      </c>
      <c r="B2049" s="132">
        <v>1.0005333333333334E-8</v>
      </c>
      <c r="C2049" s="133"/>
    </row>
    <row r="2050" spans="1:3">
      <c r="A2050" s="131" t="s">
        <v>9643</v>
      </c>
      <c r="B2050" s="132">
        <v>1.7986023302946634E-3</v>
      </c>
      <c r="C2050" s="133"/>
    </row>
    <row r="2051" spans="1:3">
      <c r="A2051" s="131" t="s">
        <v>9644</v>
      </c>
      <c r="B2051" s="132">
        <v>5.9974594394968778E-4</v>
      </c>
      <c r="C2051" s="133"/>
    </row>
    <row r="2052" spans="1:3">
      <c r="A2052" s="131" t="s">
        <v>9645</v>
      </c>
      <c r="B2052" s="132">
        <v>63.810586177472643</v>
      </c>
      <c r="C2052" s="133"/>
    </row>
    <row r="2053" spans="1:3">
      <c r="A2053" s="131" t="s">
        <v>9646</v>
      </c>
      <c r="B2053" s="132">
        <v>1.0460278698438E-3</v>
      </c>
      <c r="C2053" s="133"/>
    </row>
    <row r="2054" spans="1:3">
      <c r="A2054" s="131" t="s">
        <v>9647</v>
      </c>
      <c r="B2054" s="132">
        <v>0.22395692052962352</v>
      </c>
      <c r="C2054" s="133"/>
    </row>
    <row r="2055" spans="1:3">
      <c r="A2055" s="131" t="s">
        <v>9648</v>
      </c>
      <c r="B2055" s="132">
        <v>8.5518108680844307E-3</v>
      </c>
      <c r="C2055" s="133"/>
    </row>
    <row r="2056" spans="1:3">
      <c r="A2056" s="131" t="s">
        <v>9649</v>
      </c>
      <c r="B2056" s="132">
        <v>0.17157992595604654</v>
      </c>
      <c r="C2056" s="133"/>
    </row>
    <row r="2057" spans="1:3">
      <c r="A2057" s="131" t="s">
        <v>9650</v>
      </c>
      <c r="B2057" s="132">
        <v>8.8011644785912571E-3</v>
      </c>
      <c r="C2057" s="133"/>
    </row>
    <row r="2058" spans="1:3">
      <c r="A2058" s="131" t="s">
        <v>9651</v>
      </c>
      <c r="B2058" s="132">
        <v>6.1613740534652876E-3</v>
      </c>
      <c r="C2058" s="133"/>
    </row>
    <row r="2059" spans="1:3">
      <c r="A2059" s="131" t="s">
        <v>9652</v>
      </c>
      <c r="B2059" s="132">
        <v>2.6434064138726998</v>
      </c>
      <c r="C2059" s="133"/>
    </row>
    <row r="2060" spans="1:3">
      <c r="A2060" s="131" t="s">
        <v>9653</v>
      </c>
      <c r="B2060" s="132">
        <v>6.7036007188744168E-2</v>
      </c>
      <c r="C2060" s="133"/>
    </row>
    <row r="2061" spans="1:3">
      <c r="A2061" s="131" t="s">
        <v>9654</v>
      </c>
      <c r="B2061" s="132">
        <v>4.6872234452070907E-3</v>
      </c>
      <c r="C2061" s="133"/>
    </row>
    <row r="2062" spans="1:3">
      <c r="A2062" s="131" t="s">
        <v>9655</v>
      </c>
      <c r="B2062" s="132">
        <v>1.2338208236773785E-5</v>
      </c>
      <c r="C2062" s="133"/>
    </row>
    <row r="2063" spans="1:3">
      <c r="A2063" s="131" t="s">
        <v>9656</v>
      </c>
      <c r="B2063" s="132">
        <v>3.9841892128242948E-2</v>
      </c>
      <c r="C2063" s="133"/>
    </row>
    <row r="2064" spans="1:3">
      <c r="A2064" s="131" t="s">
        <v>9657</v>
      </c>
      <c r="B2064" s="132">
        <v>7.8507197516335993E-4</v>
      </c>
      <c r="C2064" s="133"/>
    </row>
    <row r="2065" spans="1:3">
      <c r="A2065" s="131" t="s">
        <v>9658</v>
      </c>
      <c r="B2065" s="132">
        <v>4.132126489418874E-2</v>
      </c>
      <c r="C2065" s="133"/>
    </row>
    <row r="2066" spans="1:3">
      <c r="A2066" s="131" t="s">
        <v>9659</v>
      </c>
      <c r="B2066" s="132">
        <v>0.11341256285601788</v>
      </c>
      <c r="C2066" s="133"/>
    </row>
    <row r="2067" spans="1:3">
      <c r="A2067" s="131" t="s">
        <v>9660</v>
      </c>
      <c r="B2067" s="132">
        <v>3.8792435220519002</v>
      </c>
      <c r="C2067" s="133"/>
    </row>
    <row r="2068" spans="1:3">
      <c r="A2068" s="131" t="s">
        <v>9661</v>
      </c>
      <c r="B2068" s="132">
        <v>6.97</v>
      </c>
      <c r="C2068" s="133"/>
    </row>
    <row r="2069" spans="1:3">
      <c r="A2069" s="131" t="s">
        <v>9662</v>
      </c>
      <c r="B2069" s="132">
        <v>7.4726624873491E-6</v>
      </c>
      <c r="C2069" s="133"/>
    </row>
    <row r="2070" spans="1:3">
      <c r="A2070" s="131" t="s">
        <v>9663</v>
      </c>
      <c r="B2070" s="132">
        <v>7.7392134722809994E-2</v>
      </c>
      <c r="C2070" s="133"/>
    </row>
    <row r="2071" spans="1:3">
      <c r="A2071" s="131" t="s">
        <v>9664</v>
      </c>
      <c r="B2071" s="132">
        <v>3.9232461416027001E-3</v>
      </c>
      <c r="C2071" s="133"/>
    </row>
    <row r="2072" spans="1:3">
      <c r="A2072" s="131" t="s">
        <v>9665</v>
      </c>
      <c r="B2072" s="132">
        <v>8.0198353539031077E-3</v>
      </c>
      <c r="C2072" s="133"/>
    </row>
    <row r="2073" spans="1:3">
      <c r="A2073" s="131" t="s">
        <v>9666</v>
      </c>
      <c r="B2073" s="132">
        <v>0.39705294370651245</v>
      </c>
      <c r="C2073" s="133"/>
    </row>
    <row r="2074" spans="1:3">
      <c r="A2074" s="131" t="s">
        <v>9667</v>
      </c>
      <c r="B2074" s="132">
        <v>1.7216802093268653E-2</v>
      </c>
      <c r="C2074" s="133"/>
    </row>
    <row r="2075" spans="1:3">
      <c r="A2075" s="131" t="s">
        <v>9668</v>
      </c>
      <c r="B2075" s="132">
        <v>6.7860145302256793E-3</v>
      </c>
      <c r="C2075" s="133"/>
    </row>
    <row r="2076" spans="1:3">
      <c r="A2076" s="131" t="s">
        <v>9669</v>
      </c>
      <c r="B2076" s="132">
        <v>0.34536726564469999</v>
      </c>
      <c r="C2076" s="133"/>
    </row>
    <row r="2077" spans="1:3">
      <c r="A2077" s="131" t="s">
        <v>9670</v>
      </c>
      <c r="B2077" s="132">
        <v>0.15335306393668924</v>
      </c>
      <c r="C2077" s="133"/>
    </row>
    <row r="2078" spans="1:3">
      <c r="A2078" s="131" t="s">
        <v>9671</v>
      </c>
      <c r="B2078" s="132">
        <v>3.0550171055185998E-6</v>
      </c>
      <c r="C2078" s="133"/>
    </row>
    <row r="2079" spans="1:3">
      <c r="A2079" s="131" t="s">
        <v>9672</v>
      </c>
      <c r="B2079" s="132">
        <v>4.3090321130278002E-4</v>
      </c>
      <c r="C2079" s="133"/>
    </row>
    <row r="2080" spans="1:3">
      <c r="A2080" s="131" t="s">
        <v>9673</v>
      </c>
      <c r="B2080" s="132">
        <v>1.9477728846564762E-2</v>
      </c>
      <c r="C2080" s="133"/>
    </row>
    <row r="2081" spans="1:3">
      <c r="A2081" s="131" t="s">
        <v>9674</v>
      </c>
      <c r="B2081" s="132">
        <v>4.2216155217508711E-2</v>
      </c>
      <c r="C2081" s="133"/>
    </row>
    <row r="2082" spans="1:3">
      <c r="A2082" s="131" t="s">
        <v>9675</v>
      </c>
      <c r="B2082" s="132">
        <v>0.32154926211203</v>
      </c>
      <c r="C2082" s="133"/>
    </row>
    <row r="2083" spans="1:3">
      <c r="A2083" s="131" t="s">
        <v>9676</v>
      </c>
      <c r="B2083" s="132">
        <v>0.30306201211776934</v>
      </c>
      <c r="C2083" s="133"/>
    </row>
    <row r="2084" spans="1:3">
      <c r="A2084" s="131" t="s">
        <v>9677</v>
      </c>
      <c r="B2084" s="132">
        <v>1.5490217262627E-3</v>
      </c>
      <c r="C2084" s="133"/>
    </row>
    <row r="2085" spans="1:3">
      <c r="A2085" s="131" t="s">
        <v>9678</v>
      </c>
      <c r="B2085" s="132">
        <v>2.1800686969693998E-2</v>
      </c>
      <c r="C2085" s="133"/>
    </row>
    <row r="2086" spans="1:3">
      <c r="A2086" s="131" t="s">
        <v>9679</v>
      </c>
      <c r="B2086" s="132">
        <v>3.1892490986079001E-4</v>
      </c>
      <c r="C2086" s="133"/>
    </row>
    <row r="2087" spans="1:3">
      <c r="A2087" s="131" t="s">
        <v>9680</v>
      </c>
      <c r="B2087" s="132">
        <v>6.1610253464612001E-4</v>
      </c>
      <c r="C2087" s="133"/>
    </row>
    <row r="2088" spans="1:3">
      <c r="A2088" s="131" t="s">
        <v>9681</v>
      </c>
      <c r="B2088" s="132">
        <v>1.1581E-4</v>
      </c>
      <c r="C2088" s="133"/>
    </row>
    <row r="2089" spans="1:3">
      <c r="A2089" s="131" t="s">
        <v>9682</v>
      </c>
      <c r="B2089" s="132">
        <v>7.3932599974697996E-4</v>
      </c>
      <c r="C2089" s="133"/>
    </row>
    <row r="2090" spans="1:3">
      <c r="A2090" s="131" t="s">
        <v>9683</v>
      </c>
      <c r="B2090" s="132">
        <v>5.9449966234064268E-2</v>
      </c>
      <c r="C2090" s="133"/>
    </row>
    <row r="2091" spans="1:3">
      <c r="A2091" s="131" t="s">
        <v>9684</v>
      </c>
      <c r="B2091" s="132">
        <v>6.8800649039348001E-5</v>
      </c>
      <c r="C2091" s="133"/>
    </row>
    <row r="2092" spans="1:3">
      <c r="A2092" s="131" t="s">
        <v>9685</v>
      </c>
      <c r="B2092" s="132">
        <v>1.8874003308459358E-5</v>
      </c>
      <c r="C2092" s="133"/>
    </row>
    <row r="2093" spans="1:3">
      <c r="A2093" s="131" t="s">
        <v>9686</v>
      </c>
      <c r="B2093" s="132">
        <v>5.3914403115341791E-2</v>
      </c>
      <c r="C2093" s="133"/>
    </row>
    <row r="2094" spans="1:3">
      <c r="A2094" s="131" t="s">
        <v>9687</v>
      </c>
      <c r="B2094" s="132">
        <v>1.8509392819399E-3</v>
      </c>
      <c r="C2094" s="133"/>
    </row>
    <row r="2095" spans="1:3">
      <c r="A2095" s="131" t="s">
        <v>9688</v>
      </c>
      <c r="B2095" s="132">
        <v>5.9439660298109991E-4</v>
      </c>
      <c r="C2095" s="133"/>
    </row>
    <row r="2096" spans="1:3">
      <c r="A2096" s="131" t="s">
        <v>9689</v>
      </c>
      <c r="B2096" s="132">
        <v>1.3094109289096001E-4</v>
      </c>
      <c r="C2096" s="133"/>
    </row>
    <row r="2097" spans="1:3">
      <c r="A2097" s="131" t="s">
        <v>9690</v>
      </c>
      <c r="B2097" s="132">
        <v>2.4187640015853353</v>
      </c>
      <c r="C2097" s="133"/>
    </row>
    <row r="2098" spans="1:3">
      <c r="A2098" s="131" t="s">
        <v>9691</v>
      </c>
      <c r="B2098" s="132">
        <v>6.2840816832726221</v>
      </c>
      <c r="C2098" s="133"/>
    </row>
    <row r="2099" spans="1:3">
      <c r="A2099" s="131" t="s">
        <v>9692</v>
      </c>
      <c r="B2099" s="132">
        <v>2.1838700269799559E-4</v>
      </c>
      <c r="C2099" s="133"/>
    </row>
    <row r="2100" spans="1:3">
      <c r="A2100" s="131" t="s">
        <v>9693</v>
      </c>
      <c r="B2100" s="132">
        <v>24358.644683195002</v>
      </c>
      <c r="C2100" s="133"/>
    </row>
    <row r="2101" spans="1:3">
      <c r="A2101" s="131" t="s">
        <v>9694</v>
      </c>
      <c r="B2101" s="132">
        <v>7.5586506366534998</v>
      </c>
      <c r="C2101" s="133"/>
    </row>
    <row r="2102" spans="1:3">
      <c r="A2102" s="131" t="s">
        <v>9695</v>
      </c>
      <c r="B2102" s="132">
        <v>3.1892490986079001E-4</v>
      </c>
      <c r="C2102" s="133"/>
    </row>
    <row r="2103" spans="1:3">
      <c r="A2103" s="131" t="s">
        <v>9696</v>
      </c>
      <c r="B2103" s="132">
        <v>0.58389982266805907</v>
      </c>
      <c r="C2103" s="133"/>
    </row>
    <row r="2104" spans="1:3">
      <c r="A2104" s="131" t="s">
        <v>9697</v>
      </c>
      <c r="B2104" s="132">
        <v>0.40403539360507962</v>
      </c>
      <c r="C2104" s="133"/>
    </row>
    <row r="2105" spans="1:3">
      <c r="A2105" s="131" t="s">
        <v>9698</v>
      </c>
      <c r="B2105" s="132">
        <v>0.26904118179980002</v>
      </c>
      <c r="C2105" s="133"/>
    </row>
    <row r="2106" spans="1:3">
      <c r="A2106" s="131" t="s">
        <v>9699</v>
      </c>
      <c r="B2106" s="132">
        <v>3.3599465381132981E-2</v>
      </c>
      <c r="C2106" s="133"/>
    </row>
    <row r="2107" spans="1:3">
      <c r="A2107" s="131" t="s">
        <v>9700</v>
      </c>
      <c r="B2107" s="132">
        <v>0.1096890420437171</v>
      </c>
      <c r="C2107" s="133"/>
    </row>
    <row r="2108" spans="1:3">
      <c r="A2108" s="131" t="s">
        <v>9701</v>
      </c>
      <c r="B2108" s="132">
        <v>9.0643200000000007E-3</v>
      </c>
      <c r="C2108" s="133"/>
    </row>
    <row r="2109" spans="1:3">
      <c r="A2109" s="131" t="s">
        <v>6658</v>
      </c>
      <c r="B2109" s="132">
        <v>2.1643517454342223E-3</v>
      </c>
      <c r="C2109" s="133"/>
    </row>
    <row r="2110" spans="1:3">
      <c r="A2110" s="131" t="s">
        <v>6659</v>
      </c>
      <c r="B2110" s="132">
        <v>7.9007339999999995E-2</v>
      </c>
      <c r="C2110" s="133"/>
    </row>
    <row r="2111" spans="1:3">
      <c r="A2111" s="131" t="s">
        <v>6660</v>
      </c>
      <c r="B2111" s="132">
        <v>0.26154981800917998</v>
      </c>
      <c r="C2111" s="133"/>
    </row>
    <row r="2112" spans="1:3">
      <c r="A2112" s="131" t="s">
        <v>6661</v>
      </c>
      <c r="B2112" s="132">
        <v>6.6755463324595005E-2</v>
      </c>
      <c r="C2112" s="133"/>
    </row>
    <row r="2113" spans="1:3">
      <c r="A2113" s="131" t="s">
        <v>6662</v>
      </c>
      <c r="B2113" s="132">
        <v>2.8116605435986999E-2</v>
      </c>
      <c r="C2113" s="133"/>
    </row>
    <row r="2114" spans="1:3">
      <c r="A2114" s="131" t="s">
        <v>6663</v>
      </c>
      <c r="B2114" s="132">
        <v>0.18943346062408001</v>
      </c>
      <c r="C2114" s="133"/>
    </row>
    <row r="2115" spans="1:3">
      <c r="A2115" s="131" t="s">
        <v>6664</v>
      </c>
      <c r="B2115" s="132">
        <v>1.9000000000000001E-7</v>
      </c>
      <c r="C2115" s="133"/>
    </row>
    <row r="2116" spans="1:3">
      <c r="A2116" s="131" t="s">
        <v>6665</v>
      </c>
      <c r="B2116" s="132">
        <v>3.35308E-3</v>
      </c>
      <c r="C2116" s="133"/>
    </row>
    <row r="2117" spans="1:3">
      <c r="A2117" s="131" t="s">
        <v>6666</v>
      </c>
      <c r="B2117" s="132">
        <v>8.4013500306666673E-3</v>
      </c>
      <c r="C2117" s="133"/>
    </row>
    <row r="2118" spans="1:3">
      <c r="A2118" s="131" t="s">
        <v>6667</v>
      </c>
      <c r="B2118" s="132">
        <v>5.0028333333333332E-6</v>
      </c>
      <c r="C2118" s="133"/>
    </row>
    <row r="2119" spans="1:3">
      <c r="A2119" s="131" t="s">
        <v>6668</v>
      </c>
      <c r="B2119" s="132">
        <v>3.2809855530991998E-3</v>
      </c>
      <c r="C2119" s="133"/>
    </row>
    <row r="2120" spans="1:3">
      <c r="A2120" s="131" t="s">
        <v>6669</v>
      </c>
      <c r="B2120" s="132">
        <v>6.5218270719495504</v>
      </c>
      <c r="C2120" s="133"/>
    </row>
    <row r="2121" spans="1:3">
      <c r="A2121" s="131" t="s">
        <v>6670</v>
      </c>
      <c r="B2121" s="132">
        <v>6.3300000000000004E-6</v>
      </c>
      <c r="C2121" s="133"/>
    </row>
    <row r="2122" spans="1:3">
      <c r="A2122" s="131" t="s">
        <v>6671</v>
      </c>
      <c r="B2122" s="132">
        <v>4.9153714999999995E-4</v>
      </c>
      <c r="C2122" s="133"/>
    </row>
    <row r="2123" spans="1:3">
      <c r="A2123" s="131" t="s">
        <v>6672</v>
      </c>
      <c r="B2123" s="132">
        <v>1.16445E-2</v>
      </c>
      <c r="C2123" s="133"/>
    </row>
    <row r="2124" spans="1:3">
      <c r="A2124" s="131" t="s">
        <v>6673</v>
      </c>
      <c r="B2124" s="132">
        <v>3.1671842136191E-4</v>
      </c>
      <c r="C2124" s="133"/>
    </row>
    <row r="2125" spans="1:3">
      <c r="A2125" s="131" t="s">
        <v>6674</v>
      </c>
      <c r="B2125" s="132">
        <v>10.55</v>
      </c>
      <c r="C2125" s="133"/>
    </row>
    <row r="2126" spans="1:3">
      <c r="A2126" s="131" t="s">
        <v>6675</v>
      </c>
      <c r="B2126" s="132">
        <v>0.11293743317103888</v>
      </c>
      <c r="C2126" s="133"/>
    </row>
    <row r="2127" spans="1:3">
      <c r="A2127" s="131" t="s">
        <v>6676</v>
      </c>
      <c r="B2127" s="132">
        <v>2.8176205219648001E-4</v>
      </c>
      <c r="C2127" s="133"/>
    </row>
    <row r="2128" spans="1:3">
      <c r="A2128" s="131" t="s">
        <v>6677</v>
      </c>
      <c r="B2128" s="132">
        <v>2.0600939419661762E-2</v>
      </c>
      <c r="C2128" s="133"/>
    </row>
    <row r="2129" spans="1:3">
      <c r="A2129" s="131" t="s">
        <v>6678</v>
      </c>
      <c r="B2129" s="132">
        <v>2.7991887955505336E-3</v>
      </c>
      <c r="C2129" s="133"/>
    </row>
    <row r="2130" spans="1:3">
      <c r="A2130" s="131" t="s">
        <v>6679</v>
      </c>
      <c r="B2130" s="132">
        <v>0.7981888258891765</v>
      </c>
      <c r="C2130" s="133"/>
    </row>
    <row r="2131" spans="1:3">
      <c r="A2131" s="131" t="s">
        <v>6680</v>
      </c>
      <c r="B2131" s="132">
        <v>11.94</v>
      </c>
      <c r="C2131" s="133"/>
    </row>
    <row r="2132" spans="1:3">
      <c r="A2132" s="131" t="s">
        <v>6681</v>
      </c>
      <c r="B2132" s="132">
        <v>2.1104124134613429E-4</v>
      </c>
      <c r="C2132" s="133"/>
    </row>
    <row r="2133" spans="1:3">
      <c r="A2133" s="131" t="s">
        <v>6682</v>
      </c>
      <c r="B2133" s="132">
        <v>1.2349699285127249E-3</v>
      </c>
      <c r="C2133" s="133"/>
    </row>
    <row r="2134" spans="1:3">
      <c r="A2134" s="134" t="s">
        <v>6683</v>
      </c>
      <c r="B2134" s="132">
        <v>9.567734E-2</v>
      </c>
      <c r="C2134" s="133"/>
    </row>
    <row r="2135" spans="1:3">
      <c r="A2135" s="131" t="s">
        <v>6684</v>
      </c>
      <c r="B2135" s="132">
        <v>1.6114740773121E-2</v>
      </c>
      <c r="C2135" s="133"/>
    </row>
    <row r="2136" spans="1:3">
      <c r="A2136" s="131" t="s">
        <v>6685</v>
      </c>
      <c r="B2136" s="132">
        <v>3.6844994909962471E-4</v>
      </c>
      <c r="C2136" s="133"/>
    </row>
    <row r="2137" spans="1:3">
      <c r="A2137" s="131" t="s">
        <v>6686</v>
      </c>
      <c r="B2137" s="132">
        <v>2.9421666262392267E-2</v>
      </c>
      <c r="C2137" s="133"/>
    </row>
    <row r="2138" spans="1:3">
      <c r="A2138" s="131" t="s">
        <v>6687</v>
      </c>
      <c r="B2138" s="132">
        <v>1.9437430386778267</v>
      </c>
      <c r="C2138" s="133"/>
    </row>
    <row r="2139" spans="1:3">
      <c r="A2139" s="131" t="s">
        <v>6688</v>
      </c>
      <c r="B2139" s="132">
        <v>2.0010830162434001E-5</v>
      </c>
      <c r="C2139" s="133"/>
    </row>
    <row r="2140" spans="1:3">
      <c r="A2140" s="131" t="s">
        <v>6689</v>
      </c>
      <c r="B2140" s="132">
        <v>1.8451790418095397</v>
      </c>
      <c r="C2140" s="133"/>
    </row>
    <row r="2141" spans="1:3">
      <c r="A2141" s="131" t="s">
        <v>6690</v>
      </c>
      <c r="B2141" s="132">
        <v>0.23483771451141766</v>
      </c>
      <c r="C2141" s="133"/>
    </row>
    <row r="2142" spans="1:3">
      <c r="A2142" s="131" t="s">
        <v>6691</v>
      </c>
      <c r="B2142" s="132">
        <v>12.506768851521</v>
      </c>
      <c r="C2142" s="133"/>
    </row>
    <row r="2143" spans="1:3">
      <c r="A2143" s="131" t="s">
        <v>6692</v>
      </c>
      <c r="B2143" s="132">
        <v>9.9693198784786188E-3</v>
      </c>
      <c r="C2143" s="133"/>
    </row>
    <row r="2144" spans="1:3">
      <c r="A2144" s="131" t="s">
        <v>6693</v>
      </c>
      <c r="B2144" s="132">
        <v>1.0665256786856E-2</v>
      </c>
      <c r="C2144" s="133"/>
    </row>
    <row r="2145" spans="1:3">
      <c r="A2145" s="131" t="s">
        <v>6694</v>
      </c>
      <c r="B2145" s="132">
        <v>0.10525233030663669</v>
      </c>
      <c r="C2145" s="133"/>
    </row>
    <row r="2146" spans="1:3">
      <c r="A2146" s="131" t="s">
        <v>6695</v>
      </c>
      <c r="B2146" s="132">
        <v>6.0095796894217499E-3</v>
      </c>
      <c r="C2146" s="133"/>
    </row>
    <row r="2147" spans="1:3">
      <c r="A2147" s="131" t="s">
        <v>6696</v>
      </c>
      <c r="B2147" s="132">
        <v>4.915420338511467E-2</v>
      </c>
      <c r="C2147" s="133"/>
    </row>
    <row r="2148" spans="1:3">
      <c r="A2148" s="131" t="s">
        <v>6697</v>
      </c>
      <c r="B2148" s="132">
        <v>1794.25</v>
      </c>
      <c r="C2148" s="133"/>
    </row>
    <row r="2149" spans="1:3">
      <c r="A2149" s="131" t="s">
        <v>6698</v>
      </c>
      <c r="B2149" s="132">
        <v>4612.2</v>
      </c>
      <c r="C2149" s="133"/>
    </row>
    <row r="2150" spans="1:3">
      <c r="A2150" s="131" t="s">
        <v>6699</v>
      </c>
      <c r="B2150" s="132">
        <v>23.963999999999999</v>
      </c>
      <c r="C2150" s="133"/>
    </row>
    <row r="2151" spans="1:3">
      <c r="A2151" s="131" t="s">
        <v>6700</v>
      </c>
      <c r="B2151" s="132">
        <v>83.38</v>
      </c>
      <c r="C2151" s="133"/>
    </row>
    <row r="2152" spans="1:3">
      <c r="A2152" s="131" t="s">
        <v>6701</v>
      </c>
      <c r="B2152" s="132">
        <v>15884.9</v>
      </c>
      <c r="C2152" s="133"/>
    </row>
    <row r="2153" spans="1:3">
      <c r="A2153" s="131" t="s">
        <v>6702</v>
      </c>
      <c r="B2153" s="132">
        <v>18343.404447872999</v>
      </c>
      <c r="C2153" s="133"/>
    </row>
    <row r="2154" spans="1:3">
      <c r="A2154" s="131" t="s">
        <v>6703</v>
      </c>
      <c r="B2154" s="132">
        <v>31499.835819938999</v>
      </c>
      <c r="C2154" s="133"/>
    </row>
    <row r="2155" spans="1:3">
      <c r="A2155" s="131" t="s">
        <v>6704</v>
      </c>
      <c r="B2155" s="132">
        <v>10581.620963059</v>
      </c>
      <c r="C2155" s="133"/>
    </row>
    <row r="2156" spans="1:3">
      <c r="A2156" s="131" t="s">
        <v>6705</v>
      </c>
      <c r="B2156" s="132">
        <v>35905</v>
      </c>
      <c r="C2156" s="133"/>
    </row>
    <row r="2157" spans="1:3">
      <c r="A2157" s="131" t="s">
        <v>6706</v>
      </c>
      <c r="B2157" s="132">
        <v>2037.02</v>
      </c>
      <c r="C2157" s="133"/>
    </row>
    <row r="2158" spans="1:3">
      <c r="A2158" s="131" t="s">
        <v>6707</v>
      </c>
      <c r="B2158" s="132">
        <v>1055.92</v>
      </c>
      <c r="C2158" s="133"/>
    </row>
    <row r="2159" spans="1:3">
      <c r="A2159" s="131" t="s">
        <v>6708</v>
      </c>
      <c r="B2159" s="132">
        <v>84.76</v>
      </c>
      <c r="C2159" s="133"/>
    </row>
    <row r="2160" spans="1:3">
      <c r="A2160" s="131" t="s">
        <v>6709</v>
      </c>
      <c r="B2160" s="132">
        <v>7986.6300707800001</v>
      </c>
      <c r="C2160" s="133"/>
    </row>
    <row r="2161" spans="1:3">
      <c r="A2161" s="131" t="s">
        <v>6710</v>
      </c>
      <c r="B2161" s="132">
        <v>15530</v>
      </c>
      <c r="C2161" s="133"/>
    </row>
    <row r="2162" spans="1:3">
      <c r="A2162" s="131" t="s">
        <v>6711</v>
      </c>
      <c r="B2162" s="132">
        <v>4960.6095446376003</v>
      </c>
      <c r="C2162" s="133"/>
    </row>
    <row r="2163" spans="1:3">
      <c r="A2163" s="131" t="s">
        <v>6712</v>
      </c>
      <c r="B2163" s="132">
        <v>940.93641514559999</v>
      </c>
      <c r="C2163" s="133"/>
    </row>
    <row r="2164" spans="1:3">
      <c r="A2164" s="131" t="s">
        <v>6713</v>
      </c>
      <c r="B2164" s="132">
        <v>1.3650125390312999</v>
      </c>
      <c r="C2164" s="133"/>
    </row>
    <row r="2165" spans="1:3">
      <c r="A2165" s="131" t="s">
        <v>6714</v>
      </c>
      <c r="B2165" s="132">
        <v>0.80672221097095997</v>
      </c>
      <c r="C2165" s="133"/>
    </row>
    <row r="2166" spans="1:3">
      <c r="A2166" s="131" t="s">
        <v>6715</v>
      </c>
      <c r="B2166" s="132">
        <v>1.1596045525119001</v>
      </c>
      <c r="C2166" s="133"/>
    </row>
    <row r="2167" spans="1:3">
      <c r="A2167" s="131" t="s">
        <v>6716</v>
      </c>
      <c r="B2167" s="132">
        <v>0.74689862153995001</v>
      </c>
      <c r="C2167" s="133"/>
    </row>
    <row r="2168" spans="1:3">
      <c r="A2168" s="131" t="s">
        <v>6717</v>
      </c>
      <c r="B2168" s="132">
        <v>0.71706132824225</v>
      </c>
      <c r="C2168" s="133"/>
    </row>
    <row r="2169" spans="1:3">
      <c r="A2169" s="131" t="s">
        <v>6718</v>
      </c>
      <c r="B2169" s="132">
        <v>1.097505056236</v>
      </c>
      <c r="C2169" s="133"/>
    </row>
    <row r="2170" spans="1:3">
      <c r="A2170" s="131" t="s">
        <v>6719</v>
      </c>
      <c r="B2170" s="132">
        <v>7.51</v>
      </c>
      <c r="C2170" s="133"/>
    </row>
    <row r="2171" spans="1:3">
      <c r="A2171" s="131" t="s">
        <v>6720</v>
      </c>
      <c r="B2171" s="132">
        <v>4.456346536158777E-2</v>
      </c>
      <c r="C2171" s="133"/>
    </row>
    <row r="2172" spans="1:3">
      <c r="A2172" s="131" t="s">
        <v>6721</v>
      </c>
      <c r="B2172" s="132">
        <v>1.1589932495031919E-2</v>
      </c>
      <c r="C2172" s="133"/>
    </row>
    <row r="2173" spans="1:3">
      <c r="A2173" s="131" t="s">
        <v>6722</v>
      </c>
      <c r="B2173" s="132">
        <v>5.7620224440992997E-2</v>
      </c>
      <c r="C2173" s="133"/>
    </row>
    <row r="2174" spans="1:3">
      <c r="A2174" s="131" t="s">
        <v>6723</v>
      </c>
      <c r="B2174" s="132">
        <v>2.1060986667428998E-5</v>
      </c>
      <c r="C2174" s="133"/>
    </row>
    <row r="2175" spans="1:3">
      <c r="A2175" s="131" t="s">
        <v>6724</v>
      </c>
      <c r="B2175" s="132">
        <v>4.7396999434567988E-4</v>
      </c>
      <c r="C2175" s="133"/>
    </row>
    <row r="2176" spans="1:3">
      <c r="A2176" s="131" t="s">
        <v>6725</v>
      </c>
      <c r="B2176" s="132">
        <v>1.9959999999999999E-5</v>
      </c>
      <c r="C2176" s="133"/>
    </row>
    <row r="2177" spans="1:3">
      <c r="A2177" s="131" t="s">
        <v>6726</v>
      </c>
      <c r="B2177" s="132">
        <v>0.11336190732367001</v>
      </c>
      <c r="C2177" s="133"/>
    </row>
    <row r="2178" spans="1:3">
      <c r="A2178" s="131" t="s">
        <v>6727</v>
      </c>
      <c r="B2178" s="132">
        <v>158.78681694721999</v>
      </c>
      <c r="C2178" s="133"/>
    </row>
    <row r="2179" spans="1:3">
      <c r="A2179" s="131" t="s">
        <v>6728</v>
      </c>
      <c r="B2179" s="132">
        <v>2.1495429782122</v>
      </c>
      <c r="C2179" s="133"/>
    </row>
    <row r="2180" spans="1:3">
      <c r="A2180" s="131" t="s">
        <v>6729</v>
      </c>
      <c r="B2180" s="132">
        <v>10.050000000000001</v>
      </c>
      <c r="C2180" s="133"/>
    </row>
    <row r="2181" spans="1:3">
      <c r="A2181" s="131" t="s">
        <v>6730</v>
      </c>
      <c r="B2181" s="132">
        <v>0.45241920689899873</v>
      </c>
      <c r="C2181" s="133"/>
    </row>
    <row r="2182" spans="1:3">
      <c r="A2182" s="131" t="s">
        <v>6731</v>
      </c>
      <c r="B2182" s="132">
        <v>1.4142171435601999E-2</v>
      </c>
      <c r="C2182" s="133"/>
    </row>
    <row r="2183" spans="1:3">
      <c r="A2183" s="131" t="s">
        <v>6732</v>
      </c>
      <c r="B2183" s="132">
        <v>0.99074798441968004</v>
      </c>
      <c r="C2183" s="133"/>
    </row>
    <row r="2184" spans="1:3">
      <c r="A2184" s="131" t="s">
        <v>6733</v>
      </c>
      <c r="B2184" s="132">
        <v>7.3607107231456995E-4</v>
      </c>
      <c r="C2184" s="133"/>
    </row>
    <row r="2185" spans="1:3">
      <c r="A2185" s="131" t="s">
        <v>6734</v>
      </c>
      <c r="B2185" s="132">
        <v>1.2338208236773785E-3</v>
      </c>
      <c r="C2185" s="133"/>
    </row>
    <row r="2186" spans="1:3">
      <c r="A2186" s="131" t="s">
        <v>6735</v>
      </c>
      <c r="B2186" s="132">
        <v>2.7412676228102398E-2</v>
      </c>
      <c r="C2186" s="133"/>
    </row>
    <row r="2187" spans="1:3">
      <c r="A2187" s="131" t="s">
        <v>6736</v>
      </c>
      <c r="B2187" s="132">
        <v>4.0179304405855439E-4</v>
      </c>
      <c r="C2187" s="133"/>
    </row>
    <row r="2188" spans="1:3">
      <c r="A2188" s="131" t="s">
        <v>6737</v>
      </c>
      <c r="B2188" s="132">
        <v>1.3094109289096001E-3</v>
      </c>
      <c r="C2188" s="133"/>
    </row>
    <row r="2189" spans="1:3">
      <c r="A2189" s="131" t="s">
        <v>6738</v>
      </c>
      <c r="B2189" s="132">
        <v>7.3106842658250006E-8</v>
      </c>
      <c r="C2189" s="133"/>
    </row>
    <row r="2190" spans="1:3">
      <c r="A2190" s="131" t="s">
        <v>6739</v>
      </c>
      <c r="B2190" s="132">
        <v>0.64184082050597002</v>
      </c>
      <c r="C2190" s="133"/>
    </row>
    <row r="2191" spans="1:3">
      <c r="A2191" s="131" t="s">
        <v>6740</v>
      </c>
      <c r="B2191" s="132">
        <v>0.1154501723636038</v>
      </c>
      <c r="C2191" s="133"/>
    </row>
    <row r="2192" spans="1:3">
      <c r="A2192" s="131" t="s">
        <v>6741</v>
      </c>
      <c r="B2192" s="132">
        <v>0.2669810238566</v>
      </c>
      <c r="C2192" s="133"/>
    </row>
    <row r="2193" spans="1:3">
      <c r="A2193" s="131" t="s">
        <v>6742</v>
      </c>
      <c r="B2193" s="132">
        <v>6.1610253464612001E-4</v>
      </c>
      <c r="C2193" s="133"/>
    </row>
    <row r="2194" spans="1:3">
      <c r="A2194" s="131" t="s">
        <v>6743</v>
      </c>
      <c r="B2194" s="132">
        <v>9.4172634839165034E-5</v>
      </c>
      <c r="C2194" s="133"/>
    </row>
    <row r="2195" spans="1:3">
      <c r="A2195" s="131" t="s">
        <v>6744</v>
      </c>
      <c r="B2195" s="132">
        <v>1.9058701433349E-3</v>
      </c>
      <c r="C2195" s="133"/>
    </row>
    <row r="2196" spans="1:3">
      <c r="A2196" s="131" t="s">
        <v>6745</v>
      </c>
      <c r="B2196" s="132">
        <v>7.5074087173743836E-2</v>
      </c>
      <c r="C2196" s="133"/>
    </row>
    <row r="2197" spans="1:3">
      <c r="A2197" s="131" t="s">
        <v>6746</v>
      </c>
      <c r="B2197" s="132">
        <v>57.527162088757002</v>
      </c>
      <c r="C2197" s="133"/>
    </row>
    <row r="2198" spans="1:3">
      <c r="A2198" s="131" t="s">
        <v>6747</v>
      </c>
      <c r="B2198" s="132">
        <v>3.0805126732305998E-3</v>
      </c>
      <c r="C2198" s="133"/>
    </row>
    <row r="2199" spans="1:3">
      <c r="A2199" s="131" t="s">
        <v>6748</v>
      </c>
      <c r="B2199" s="132">
        <v>0.31668284814819797</v>
      </c>
      <c r="C2199" s="133"/>
    </row>
    <row r="2200" spans="1:3">
      <c r="A2200" s="131" t="s">
        <v>6749</v>
      </c>
      <c r="B2200" s="132">
        <v>2.9158124023424999E-2</v>
      </c>
      <c r="C2200" s="133"/>
    </row>
    <row r="2201" spans="1:3">
      <c r="A2201" s="131" t="s">
        <v>6750</v>
      </c>
      <c r="B2201" s="132">
        <v>3.7165281410030666E-3</v>
      </c>
      <c r="C2201" s="133"/>
    </row>
    <row r="2202" spans="1:3">
      <c r="A2202" s="131" t="s">
        <v>6751</v>
      </c>
      <c r="B2202" s="132">
        <v>1.8083787217792</v>
      </c>
      <c r="C2202" s="133"/>
    </row>
    <row r="2203" spans="1:3">
      <c r="A2203" s="131" t="s">
        <v>6752</v>
      </c>
      <c r="B2203" s="132">
        <v>6.7771278811073002E-4</v>
      </c>
      <c r="C2203" s="133"/>
    </row>
    <row r="2204" spans="1:3">
      <c r="A2204" s="131" t="s">
        <v>6753</v>
      </c>
      <c r="B2204" s="132">
        <v>5.3666682165992997E-2</v>
      </c>
      <c r="C2204" s="133"/>
    </row>
    <row r="2205" spans="1:3">
      <c r="A2205" s="131" t="s">
        <v>6754</v>
      </c>
      <c r="B2205" s="132">
        <v>0.10358944319243135</v>
      </c>
      <c r="C2205" s="133"/>
    </row>
    <row r="2206" spans="1:3">
      <c r="A2206" s="131" t="s">
        <v>6755</v>
      </c>
      <c r="B2206" s="132">
        <v>360.95071751775833</v>
      </c>
      <c r="C2206" s="133"/>
    </row>
    <row r="2207" spans="1:3">
      <c r="A2207" s="131" t="s">
        <v>6756</v>
      </c>
      <c r="B2207" s="132">
        <v>3.7014624710321486E-4</v>
      </c>
      <c r="C2207" s="133"/>
    </row>
    <row r="2208" spans="1:3">
      <c r="A2208" s="131" t="s">
        <v>6757</v>
      </c>
      <c r="B2208" s="132">
        <v>3.9267359280652001</v>
      </c>
      <c r="C2208" s="133"/>
    </row>
    <row r="2209" spans="1:3">
      <c r="A2209" s="131" t="s">
        <v>6758</v>
      </c>
      <c r="B2209" s="132">
        <v>7.2178518185128E-3</v>
      </c>
      <c r="C2209" s="133"/>
    </row>
    <row r="2210" spans="1:3">
      <c r="A2210" s="131" t="s">
        <v>6759</v>
      </c>
      <c r="B2210" s="132">
        <v>0.81670088133541996</v>
      </c>
      <c r="C2210" s="133"/>
    </row>
    <row r="2211" spans="1:3">
      <c r="A2211" s="131" t="s">
        <v>6760</v>
      </c>
      <c r="B2211" s="132">
        <v>1801.2053634260501</v>
      </c>
      <c r="C2211" s="133"/>
    </row>
    <row r="2212" spans="1:3">
      <c r="A2212" s="131" t="s">
        <v>6761</v>
      </c>
      <c r="B2212" s="132">
        <v>7.3527280049598007E-2</v>
      </c>
      <c r="C2212" s="133"/>
    </row>
    <row r="2213" spans="1:3">
      <c r="A2213" s="131" t="s">
        <v>6762</v>
      </c>
      <c r="B2213" s="132">
        <v>0.19389782923345</v>
      </c>
      <c r="C2213" s="133"/>
    </row>
    <row r="2214" spans="1:3">
      <c r="A2214" s="131" t="s">
        <v>6763</v>
      </c>
      <c r="B2214" s="132">
        <v>0.5011229400484305</v>
      </c>
      <c r="C2214" s="133"/>
    </row>
    <row r="2215" spans="1:3">
      <c r="A2215" s="131" t="s">
        <v>6764</v>
      </c>
      <c r="B2215" s="132">
        <v>1.2383420860316999E-3</v>
      </c>
      <c r="C2215" s="133"/>
    </row>
    <row r="2216" spans="1:3">
      <c r="A2216" s="131" t="s">
        <v>6765</v>
      </c>
      <c r="B2216" s="132">
        <v>1.6130588204568001E-3</v>
      </c>
      <c r="C2216" s="133"/>
    </row>
    <row r="2217" spans="1:3">
      <c r="A2217" s="131" t="s">
        <v>6766</v>
      </c>
      <c r="B2217" s="132">
        <v>7.0295417699999998</v>
      </c>
      <c r="C2217" s="133"/>
    </row>
    <row r="2218" spans="1:3">
      <c r="A2218" s="131" t="s">
        <v>6767</v>
      </c>
      <c r="B2218" s="132">
        <v>1.8537131943908312</v>
      </c>
      <c r="C2218" s="133"/>
    </row>
    <row r="2219" spans="1:3">
      <c r="A2219" s="131" t="s">
        <v>6768</v>
      </c>
      <c r="B2219" s="132">
        <v>1.3099089424329E-4</v>
      </c>
      <c r="C2219" s="133"/>
    </row>
    <row r="2220" spans="1:3">
      <c r="A2220" s="131" t="s">
        <v>6769</v>
      </c>
      <c r="B2220" s="132">
        <v>8.5404017531012996E-2</v>
      </c>
      <c r="C2220" s="133"/>
    </row>
    <row r="2221" spans="1:3">
      <c r="A2221" s="131" t="s">
        <v>6770</v>
      </c>
      <c r="B2221" s="132">
        <v>0.21997141498768999</v>
      </c>
      <c r="C2221" s="133"/>
    </row>
    <row r="2222" spans="1:3">
      <c r="A2222" s="131" t="s">
        <v>6771</v>
      </c>
      <c r="B2222" s="132">
        <v>7.07601201145799E-4</v>
      </c>
      <c r="C2222" s="133"/>
    </row>
    <row r="2223" spans="1:3">
      <c r="A2223" s="131" t="s">
        <v>6772</v>
      </c>
      <c r="B2223" s="132">
        <v>0.98407091537567004</v>
      </c>
      <c r="C2223" s="133"/>
    </row>
    <row r="2224" spans="1:3">
      <c r="A2224" s="131" t="s">
        <v>6773</v>
      </c>
      <c r="B2224" s="132">
        <v>3.7748352185915999E-3</v>
      </c>
      <c r="C2224" s="133"/>
    </row>
    <row r="2225" spans="1:3">
      <c r="A2225" s="131" t="s">
        <v>6774</v>
      </c>
      <c r="B2225" s="132">
        <v>7.43</v>
      </c>
      <c r="C2225" s="133"/>
    </row>
    <row r="2226" spans="1:3">
      <c r="A2226" s="131" t="s">
        <v>6775</v>
      </c>
      <c r="B2226" s="132">
        <v>2.7108687942698904</v>
      </c>
      <c r="C2226" s="133"/>
    </row>
    <row r="2227" spans="1:3">
      <c r="A2227" s="131" t="s">
        <v>6776</v>
      </c>
      <c r="B2227" s="132">
        <v>9.7466289427890998E-2</v>
      </c>
      <c r="C2227" s="133"/>
    </row>
    <row r="2228" spans="1:3">
      <c r="A2228" s="131" t="s">
        <v>6777</v>
      </c>
      <c r="B2228" s="132">
        <v>4.7980093754865409E-3</v>
      </c>
      <c r="C2228" s="133"/>
    </row>
    <row r="2229" spans="1:3">
      <c r="A2229" s="131" t="s">
        <v>6778</v>
      </c>
      <c r="B2229" s="132">
        <v>443593.82494521001</v>
      </c>
      <c r="C2229" s="133"/>
    </row>
    <row r="2230" spans="1:3">
      <c r="A2230" s="131" t="s">
        <v>6779</v>
      </c>
      <c r="B2230" s="132">
        <v>0.42661249012993002</v>
      </c>
      <c r="C2230" s="133"/>
    </row>
    <row r="2231" spans="1:3">
      <c r="A2231" s="131" t="s">
        <v>6780</v>
      </c>
      <c r="B2231" s="132">
        <v>4.3604691001778337E-5</v>
      </c>
      <c r="C2231" s="133"/>
    </row>
    <row r="2232" spans="1:3">
      <c r="A2232" s="131" t="s">
        <v>6781</v>
      </c>
      <c r="B2232" s="132">
        <v>5.3603611298338003E-2</v>
      </c>
      <c r="C2232" s="133"/>
    </row>
    <row r="2233" spans="1:3">
      <c r="A2233" s="131" t="s">
        <v>6782</v>
      </c>
      <c r="B2233" s="132">
        <v>0.23358261080884965</v>
      </c>
      <c r="C2233" s="133"/>
    </row>
    <row r="2234" spans="1:3">
      <c r="A2234" s="131" t="s">
        <v>6783</v>
      </c>
      <c r="B2234" s="132">
        <v>1.0690320396581734</v>
      </c>
      <c r="C2234" s="133"/>
    </row>
    <row r="2235" spans="1:3">
      <c r="A2235" s="131" t="s">
        <v>6784</v>
      </c>
      <c r="B2235" s="132">
        <v>0.71110684909550448</v>
      </c>
      <c r="C2235" s="133"/>
    </row>
    <row r="2236" spans="1:3">
      <c r="A2236" s="131" t="s">
        <v>6785</v>
      </c>
      <c r="B2236" s="132">
        <v>0.2271367003476</v>
      </c>
      <c r="C2236" s="133"/>
    </row>
    <row r="2237" spans="1:3">
      <c r="A2237" s="131" t="s">
        <v>6786</v>
      </c>
      <c r="B2237" s="132">
        <v>5.6057191473611297E-3</v>
      </c>
      <c r="C2237" s="133"/>
    </row>
    <row r="2238" spans="1:3">
      <c r="A2238" s="131" t="s">
        <v>6787</v>
      </c>
      <c r="B2238" s="132">
        <v>6.0873012980737998E-3</v>
      </c>
      <c r="C2238" s="133"/>
    </row>
    <row r="2239" spans="1:3">
      <c r="A2239" s="131" t="s">
        <v>6788</v>
      </c>
      <c r="B2239" s="132">
        <v>1.0671202537621873</v>
      </c>
      <c r="C2239" s="133"/>
    </row>
    <row r="2240" spans="1:3">
      <c r="A2240" s="131" t="s">
        <v>6789</v>
      </c>
      <c r="B2240" s="132">
        <v>7.6562022908687323E-4</v>
      </c>
      <c r="C2240" s="133"/>
    </row>
    <row r="2241" spans="1:3">
      <c r="A2241" s="131" t="s">
        <v>6790</v>
      </c>
      <c r="B2241" s="132">
        <v>1.0006970051644</v>
      </c>
      <c r="C2241" s="133"/>
    </row>
    <row r="2242" spans="1:3">
      <c r="A2242" s="131" t="s">
        <v>6791</v>
      </c>
      <c r="B2242" s="132">
        <v>418.54641352303349</v>
      </c>
      <c r="C2242" s="133"/>
    </row>
    <row r="2243" spans="1:3">
      <c r="A2243" s="131" t="s">
        <v>6792</v>
      </c>
      <c r="B2243" s="132">
        <v>65.477456880299059</v>
      </c>
      <c r="C2243" s="133"/>
    </row>
    <row r="2244" spans="1:3">
      <c r="A2244" s="131" t="s">
        <v>6793</v>
      </c>
      <c r="B2244" s="132">
        <v>5.7956631895996001E-2</v>
      </c>
      <c r="C2244" s="133"/>
    </row>
    <row r="2245" spans="1:3">
      <c r="A2245" s="131" t="s">
        <v>6794</v>
      </c>
      <c r="B2245" s="132">
        <v>1.1315426452334E-2</v>
      </c>
      <c r="C2245" s="133"/>
    </row>
    <row r="2246" spans="1:3">
      <c r="A2246" s="131" t="s">
        <v>6795</v>
      </c>
      <c r="B2246" s="132">
        <v>1.3001363266666666E-2</v>
      </c>
      <c r="C2246" s="133"/>
    </row>
    <row r="2247" spans="1:3">
      <c r="A2247" s="131" t="s">
        <v>6796</v>
      </c>
      <c r="B2247" s="132">
        <v>1.9875306405918655E-2</v>
      </c>
      <c r="C2247" s="133"/>
    </row>
    <row r="2248" spans="1:3">
      <c r="A2248" s="131" t="s">
        <v>6797</v>
      </c>
      <c r="B2248" s="132">
        <v>6.1610253464611998E-5</v>
      </c>
      <c r="C2248" s="133"/>
    </row>
    <row r="2249" spans="1:3">
      <c r="A2249" s="131" t="s">
        <v>6798</v>
      </c>
      <c r="B2249" s="132">
        <v>6.7771278811073002E-4</v>
      </c>
      <c r="C2249" s="133"/>
    </row>
    <row r="2250" spans="1:3">
      <c r="A2250" s="131" t="s">
        <v>6799</v>
      </c>
      <c r="B2250" s="132">
        <v>1.5386978927438667E-2</v>
      </c>
      <c r="C2250" s="133"/>
    </row>
    <row r="2251" spans="1:3">
      <c r="A2251" s="131" t="s">
        <v>6800</v>
      </c>
      <c r="B2251" s="132">
        <v>0.18018152397121001</v>
      </c>
      <c r="C2251" s="133"/>
    </row>
    <row r="2252" spans="1:3">
      <c r="A2252" s="131" t="s">
        <v>6801</v>
      </c>
      <c r="B2252" s="132">
        <v>1.6448902393521001E-5</v>
      </c>
      <c r="C2252" s="133"/>
    </row>
    <row r="2253" spans="1:3">
      <c r="A2253" s="131" t="s">
        <v>6802</v>
      </c>
      <c r="B2253" s="132">
        <v>7.984266544286725E-2</v>
      </c>
      <c r="C2253" s="133"/>
    </row>
    <row r="2254" spans="1:3">
      <c r="A2254" s="131" t="s">
        <v>6803</v>
      </c>
      <c r="B2254" s="132">
        <v>2.0031841534104999E-4</v>
      </c>
      <c r="C2254" s="133"/>
    </row>
    <row r="2255" spans="1:3">
      <c r="A2255" s="131" t="s">
        <v>6804</v>
      </c>
      <c r="B2255" s="132">
        <v>2.4749999999999999E-5</v>
      </c>
      <c r="C2255" s="133"/>
    </row>
    <row r="2256" spans="1:3">
      <c r="A2256" s="131" t="s">
        <v>6805</v>
      </c>
      <c r="B2256" s="132">
        <v>34597</v>
      </c>
      <c r="C2256" s="133"/>
    </row>
    <row r="2257" spans="1:3">
      <c r="A2257" s="131" t="s">
        <v>6806</v>
      </c>
      <c r="B2257" s="132">
        <v>0.56497751407907004</v>
      </c>
      <c r="C2257" s="133"/>
    </row>
    <row r="2258" spans="1:3">
      <c r="A2258" s="131" t="s">
        <v>6807</v>
      </c>
      <c r="B2258" s="132">
        <v>1.5970688412607459E-2</v>
      </c>
      <c r="C2258" s="133"/>
    </row>
    <row r="2259" spans="1:3">
      <c r="A2259" s="131" t="s">
        <v>6808</v>
      </c>
      <c r="B2259" s="132">
        <v>4.3</v>
      </c>
      <c r="C2259" s="133"/>
    </row>
    <row r="2260" spans="1:3">
      <c r="A2260" s="131" t="s">
        <v>6809</v>
      </c>
      <c r="B2260" s="132">
        <v>2.1594005860878999E-4</v>
      </c>
      <c r="C2260" s="133"/>
    </row>
    <row r="2261" spans="1:3">
      <c r="A2261" s="131" t="s">
        <v>6810</v>
      </c>
      <c r="B2261" s="132">
        <v>8.7777766330521229E-2</v>
      </c>
      <c r="C2261" s="133"/>
    </row>
    <row r="2262" spans="1:3">
      <c r="A2262" s="131" t="s">
        <v>6811</v>
      </c>
      <c r="B2262" s="132">
        <v>1.4330543955482E-2</v>
      </c>
      <c r="C2262" s="133"/>
    </row>
    <row r="2263" spans="1:3">
      <c r="A2263" s="131" t="s">
        <v>6812</v>
      </c>
      <c r="B2263" s="132">
        <v>15.514170918523</v>
      </c>
      <c r="C2263" s="133"/>
    </row>
    <row r="2264" spans="1:3">
      <c r="A2264" s="131" t="s">
        <v>6813</v>
      </c>
      <c r="B2264" s="132">
        <v>203.81</v>
      </c>
      <c r="C2264" s="133"/>
    </row>
    <row r="2265" spans="1:3">
      <c r="A2265" s="131" t="s">
        <v>6814</v>
      </c>
      <c r="B2265" s="132">
        <v>2300.5123426404002</v>
      </c>
      <c r="C2265" s="133"/>
    </row>
    <row r="2266" spans="1:3">
      <c r="A2266" s="131" t="s">
        <v>6815</v>
      </c>
      <c r="B2266" s="132">
        <v>6.7030277795106002E-4</v>
      </c>
      <c r="C2266" s="133"/>
    </row>
    <row r="2267" spans="1:3">
      <c r="A2267" s="131" t="s">
        <v>6816</v>
      </c>
      <c r="B2267" s="132">
        <v>1.1468249999999999E-2</v>
      </c>
      <c r="C2267" s="133"/>
    </row>
    <row r="2268" spans="1:3">
      <c r="A2268" s="131" t="s">
        <v>6817</v>
      </c>
      <c r="B2268" s="132">
        <v>2.1793327909220436E-2</v>
      </c>
      <c r="C2268" s="133"/>
    </row>
    <row r="2269" spans="1:3">
      <c r="A2269" s="131" t="s">
        <v>6818</v>
      </c>
      <c r="B2269" s="132">
        <v>2.678941326544307E-5</v>
      </c>
      <c r="C2269" s="133"/>
    </row>
    <row r="2270" spans="1:3">
      <c r="A2270" s="131" t="s">
        <v>6819</v>
      </c>
      <c r="B2270" s="132">
        <v>7.6568399999999998E-3</v>
      </c>
      <c r="C2270" s="133"/>
    </row>
    <row r="2271" spans="1:3">
      <c r="A2271" s="131" t="s">
        <v>6820</v>
      </c>
      <c r="B2271" s="132">
        <v>1.3374279515E-4</v>
      </c>
      <c r="C2271" s="133"/>
    </row>
    <row r="2272" spans="1:3">
      <c r="A2272" s="131" t="s">
        <v>6821</v>
      </c>
      <c r="B2272" s="132">
        <v>1.4669059018318176</v>
      </c>
      <c r="C2272" s="133"/>
    </row>
    <row r="2273" spans="1:3">
      <c r="A2273" s="131" t="s">
        <v>6822</v>
      </c>
      <c r="B2273" s="132">
        <v>3929.82</v>
      </c>
      <c r="C2273" s="133"/>
    </row>
    <row r="2274" spans="1:3">
      <c r="A2274" s="131" t="s">
        <v>6823</v>
      </c>
      <c r="B2274" s="132">
        <v>49.645643743710323</v>
      </c>
      <c r="C2274" s="133"/>
    </row>
    <row r="2275" spans="1:3">
      <c r="A2275" s="131" t="s">
        <v>6824</v>
      </c>
      <c r="B2275" s="132">
        <v>24.944336220613</v>
      </c>
      <c r="C2275" s="133"/>
    </row>
    <row r="2276" spans="1:3">
      <c r="A2276" s="131" t="s">
        <v>6825</v>
      </c>
      <c r="B2276" s="132">
        <v>2.4473483796297824E-2</v>
      </c>
      <c r="C2276" s="133"/>
    </row>
    <row r="2277" spans="1:3">
      <c r="A2277" s="131" t="s">
        <v>6826</v>
      </c>
      <c r="B2277" s="132">
        <v>6.7771278811072999E-3</v>
      </c>
      <c r="C2277" s="133"/>
    </row>
    <row r="2278" spans="1:3">
      <c r="A2278" s="131" t="s">
        <v>6827</v>
      </c>
      <c r="B2278" s="132">
        <v>12.4524085389895</v>
      </c>
      <c r="C2278" s="133"/>
    </row>
    <row r="2279" spans="1:3">
      <c r="A2279" s="131" t="s">
        <v>6828</v>
      </c>
      <c r="B2279" s="132">
        <v>9.2899999999999991</v>
      </c>
      <c r="C2279" s="133"/>
    </row>
    <row r="2280" spans="1:3">
      <c r="A2280" s="131" t="s">
        <v>6829</v>
      </c>
      <c r="B2280" s="132">
        <v>13.131160211138001</v>
      </c>
      <c r="C2280" s="133"/>
    </row>
    <row r="2281" spans="1:3">
      <c r="A2281" s="131" t="s">
        <v>6830</v>
      </c>
      <c r="B2281" s="132">
        <v>6.0932230000892186E-2</v>
      </c>
      <c r="C2281" s="133"/>
    </row>
    <row r="2282" spans="1:3">
      <c r="A2282" s="131" t="s">
        <v>6831</v>
      </c>
      <c r="B2282" s="132">
        <v>4.1768591784727999E-2</v>
      </c>
      <c r="C2282" s="133"/>
    </row>
    <row r="2283" spans="1:3">
      <c r="A2283" s="131" t="s">
        <v>6832</v>
      </c>
      <c r="B2283" s="132">
        <v>6.6576823895131003</v>
      </c>
      <c r="C2283" s="133"/>
    </row>
    <row r="2284" spans="1:3">
      <c r="A2284" s="131" t="s">
        <v>6833</v>
      </c>
      <c r="B2284" s="132">
        <v>1.6012504875453</v>
      </c>
      <c r="C2284" s="133"/>
    </row>
    <row r="2285" spans="1:3">
      <c r="A2285" s="131" t="s">
        <v>6834</v>
      </c>
      <c r="B2285" s="132">
        <v>2.9941715176535618E-5</v>
      </c>
      <c r="C2285" s="133"/>
    </row>
    <row r="2286" spans="1:3">
      <c r="A2286" s="131" t="s">
        <v>6835</v>
      </c>
      <c r="B2286" s="132">
        <v>1.1095004783562E-2</v>
      </c>
      <c r="C2286" s="133"/>
    </row>
    <row r="2287" spans="1:3">
      <c r="A2287" s="131" t="s">
        <v>6836</v>
      </c>
      <c r="B2287" s="132">
        <v>2.0436979772642999E-2</v>
      </c>
      <c r="C2287" s="133"/>
    </row>
    <row r="2288" spans="1:3">
      <c r="A2288" s="131" t="s">
        <v>6837</v>
      </c>
      <c r="B2288" s="132">
        <v>0.24072425563378796</v>
      </c>
      <c r="C2288" s="133"/>
    </row>
    <row r="2289" spans="1:3">
      <c r="A2289" s="131" t="s">
        <v>6838</v>
      </c>
      <c r="B2289" s="132">
        <v>5.8160407987419818E-4</v>
      </c>
      <c r="C2289" s="133"/>
    </row>
    <row r="2290" spans="1:3">
      <c r="A2290" s="131" t="s">
        <v>6839</v>
      </c>
      <c r="B2290" s="132">
        <v>7.3352729267980995E-4</v>
      </c>
      <c r="C2290" s="133"/>
    </row>
    <row r="2291" spans="1:3">
      <c r="A2291" s="131" t="s">
        <v>6840</v>
      </c>
      <c r="B2291" s="132">
        <v>6.0019999999999995E-3</v>
      </c>
      <c r="C2291" s="133"/>
    </row>
    <row r="2292" spans="1:3">
      <c r="A2292" s="131" t="s">
        <v>6841</v>
      </c>
      <c r="B2292" s="132">
        <v>5.5446781185952308E-4</v>
      </c>
      <c r="C2292" s="133"/>
    </row>
    <row r="2293" spans="1:3">
      <c r="A2293" s="131" t="s">
        <v>6842</v>
      </c>
      <c r="B2293" s="132">
        <v>1.0005415081217001E-3</v>
      </c>
      <c r="C2293" s="133"/>
    </row>
    <row r="2294" spans="1:3">
      <c r="A2294" s="131" t="s">
        <v>6843</v>
      </c>
      <c r="B2294" s="132">
        <v>6.1691041183869928E-3</v>
      </c>
      <c r="C2294" s="133"/>
    </row>
    <row r="2295" spans="1:3">
      <c r="A2295" s="131" t="s">
        <v>6844</v>
      </c>
      <c r="B2295" s="132">
        <v>8.3842318131325211</v>
      </c>
      <c r="C2295" s="133"/>
    </row>
    <row r="2296" spans="1:3">
      <c r="A2296" s="131" t="s">
        <v>6845</v>
      </c>
      <c r="B2296" s="132">
        <v>3.9621443721620002E-4</v>
      </c>
      <c r="C2296" s="133"/>
    </row>
    <row r="2297" spans="1:3">
      <c r="A2297" s="131" t="s">
        <v>6846</v>
      </c>
      <c r="B2297" s="132">
        <v>25.280565562674067</v>
      </c>
      <c r="C2297" s="133"/>
    </row>
    <row r="2298" spans="1:3">
      <c r="A2298" s="131" t="s">
        <v>6847</v>
      </c>
      <c r="B2298" s="132">
        <v>6.1691041183869924E-4</v>
      </c>
      <c r="C2298" s="133"/>
    </row>
    <row r="2299" spans="1:3">
      <c r="A2299" s="131" t="s">
        <v>6848</v>
      </c>
      <c r="B2299" s="132">
        <v>2.7358386983501001E-2</v>
      </c>
      <c r="C2299" s="133"/>
    </row>
    <row r="2300" spans="1:3">
      <c r="A2300" s="131" t="s">
        <v>6849</v>
      </c>
      <c r="B2300" s="132">
        <v>1.0705794136902</v>
      </c>
      <c r="C2300" s="133"/>
    </row>
    <row r="2301" spans="1:3">
      <c r="A2301" s="131" t="s">
        <v>6850</v>
      </c>
      <c r="B2301" s="132">
        <v>0.1763836923452799</v>
      </c>
      <c r="C2301" s="133"/>
    </row>
    <row r="2302" spans="1:3">
      <c r="A2302" s="131" t="s">
        <v>6851</v>
      </c>
      <c r="B2302" s="132">
        <v>0.17503356075901669</v>
      </c>
      <c r="C2302" s="133"/>
    </row>
    <row r="2303" spans="1:3">
      <c r="A2303" s="131" t="s">
        <v>6852</v>
      </c>
      <c r="B2303" s="132">
        <v>271.05412580727864</v>
      </c>
      <c r="C2303" s="133"/>
    </row>
    <row r="2304" spans="1:3">
      <c r="A2304" s="131" t="s">
        <v>6853</v>
      </c>
      <c r="B2304" s="132">
        <v>9.5386323084303403E-4</v>
      </c>
      <c r="C2304" s="133"/>
    </row>
    <row r="2305" spans="1:3">
      <c r="A2305" s="131" t="s">
        <v>6854</v>
      </c>
      <c r="B2305" s="132">
        <v>0.35355790704036999</v>
      </c>
      <c r="C2305" s="133"/>
    </row>
    <row r="2306" spans="1:3">
      <c r="A2306" s="131" t="s">
        <v>6855</v>
      </c>
      <c r="B2306" s="132">
        <v>0.37077057018947407</v>
      </c>
      <c r="C2306" s="133"/>
    </row>
    <row r="2307" spans="1:3">
      <c r="A2307" s="131" t="s">
        <v>6856</v>
      </c>
      <c r="B2307" s="132">
        <v>37.895337116999997</v>
      </c>
      <c r="C2307" s="133"/>
    </row>
    <row r="2308" spans="1:3">
      <c r="A2308" s="131" t="s">
        <v>6857</v>
      </c>
      <c r="B2308" s="132">
        <v>2.6779885572</v>
      </c>
      <c r="C2308" s="133"/>
    </row>
    <row r="2309" spans="1:3">
      <c r="A2309" s="131" t="s">
        <v>6858</v>
      </c>
      <c r="B2309" s="132">
        <v>20.586073266</v>
      </c>
      <c r="C2309" s="133"/>
    </row>
    <row r="2310" spans="1:3">
      <c r="A2310" s="131" t="s">
        <v>6859</v>
      </c>
      <c r="B2310" s="132">
        <v>148.72822179043001</v>
      </c>
      <c r="C2310" s="133"/>
    </row>
    <row r="2311" spans="1:3">
      <c r="A2311" s="131" t="s">
        <v>6860</v>
      </c>
      <c r="B2311" s="132">
        <v>639.58000000000004</v>
      </c>
      <c r="C2311" s="133"/>
    </row>
    <row r="2312" spans="1:3">
      <c r="A2312" s="131" t="s">
        <v>6861</v>
      </c>
      <c r="B2312" s="132">
        <v>124.93</v>
      </c>
      <c r="C2312" s="133"/>
    </row>
    <row r="2313" spans="1:3">
      <c r="A2313" s="131" t="s">
        <v>6862</v>
      </c>
      <c r="B2313" s="132">
        <v>3312.2460926232998</v>
      </c>
      <c r="C2313" s="133"/>
    </row>
    <row r="2314" spans="1:3">
      <c r="A2314" s="131" t="s">
        <v>6863</v>
      </c>
      <c r="B2314" s="132">
        <v>79.17</v>
      </c>
      <c r="C2314" s="133"/>
    </row>
    <row r="2315" spans="1:3">
      <c r="A2315" s="131" t="s">
        <v>6864</v>
      </c>
      <c r="B2315" s="132">
        <v>213.57</v>
      </c>
      <c r="C2315" s="133"/>
    </row>
    <row r="2316" spans="1:3">
      <c r="A2316" s="131" t="s">
        <v>6865</v>
      </c>
      <c r="B2316" s="132">
        <v>166.17</v>
      </c>
      <c r="C2316" s="133"/>
    </row>
    <row r="2317" spans="1:3">
      <c r="A2317" s="131" t="s">
        <v>6866</v>
      </c>
      <c r="B2317" s="132">
        <v>108.14</v>
      </c>
      <c r="C2317" s="133"/>
    </row>
    <row r="2318" spans="1:3">
      <c r="A2318" s="131" t="s">
        <v>6867</v>
      </c>
      <c r="B2318" s="132">
        <v>81.819999999999993</v>
      </c>
      <c r="C2318" s="133"/>
    </row>
    <row r="2319" spans="1:3">
      <c r="A2319" s="131" t="s">
        <v>6868</v>
      </c>
      <c r="B2319" s="132">
        <v>276.54000000000002</v>
      </c>
      <c r="C2319" s="133"/>
    </row>
    <row r="2320" spans="1:3">
      <c r="A2320" s="131" t="s">
        <v>6869</v>
      </c>
      <c r="B2320" s="132">
        <v>6.2104062394251001</v>
      </c>
      <c r="C2320" s="133"/>
    </row>
    <row r="2321" spans="1:3">
      <c r="A2321" s="131" t="s">
        <v>6870</v>
      </c>
      <c r="B2321" s="132">
        <v>56.03</v>
      </c>
      <c r="C2321" s="133"/>
    </row>
    <row r="2322" spans="1:3">
      <c r="A2322" s="131" t="s">
        <v>6871</v>
      </c>
      <c r="B2322" s="132">
        <v>12.906537059193001</v>
      </c>
      <c r="C2322" s="133"/>
    </row>
    <row r="2323" spans="1:3">
      <c r="A2323" s="131" t="s">
        <v>6872</v>
      </c>
      <c r="B2323" s="132">
        <v>30.36</v>
      </c>
      <c r="C2323" s="133"/>
    </row>
    <row r="2324" spans="1:3">
      <c r="A2324" s="131" t="s">
        <v>6873</v>
      </c>
      <c r="B2324" s="132">
        <v>170.41</v>
      </c>
      <c r="C2324" s="133"/>
    </row>
    <row r="2325" spans="1:3">
      <c r="A2325" s="131" t="s">
        <v>6874</v>
      </c>
      <c r="B2325" s="132">
        <v>76.2</v>
      </c>
      <c r="C2325" s="133"/>
    </row>
    <row r="2326" spans="1:3">
      <c r="A2326" s="131" t="s">
        <v>6875</v>
      </c>
      <c r="B2326" s="132">
        <v>658.04</v>
      </c>
      <c r="C2326" s="133"/>
    </row>
    <row r="2327" spans="1:3">
      <c r="A2327" s="131" t="s">
        <v>6876</v>
      </c>
      <c r="B2327" s="132">
        <v>18.2</v>
      </c>
      <c r="C2327" s="133"/>
    </row>
    <row r="2328" spans="1:3">
      <c r="A2328" s="131" t="s">
        <v>6877</v>
      </c>
      <c r="B2328" s="132">
        <v>331.15970355149</v>
      </c>
      <c r="C2328" s="133"/>
    </row>
    <row r="2329" spans="1:3">
      <c r="A2329" s="131" t="s">
        <v>6878</v>
      </c>
      <c r="B2329" s="132">
        <v>96.23</v>
      </c>
      <c r="C2329" s="133"/>
    </row>
    <row r="2330" spans="1:3">
      <c r="A2330" s="131" t="s">
        <v>6879</v>
      </c>
      <c r="B2330" s="132">
        <v>105.29</v>
      </c>
      <c r="C2330" s="133"/>
    </row>
    <row r="2331" spans="1:3">
      <c r="A2331" s="131" t="s">
        <v>6880</v>
      </c>
      <c r="B2331" s="132">
        <v>199.55660636173999</v>
      </c>
      <c r="C2331" s="133"/>
    </row>
    <row r="2332" spans="1:3">
      <c r="A2332" s="131" t="s">
        <v>6881</v>
      </c>
      <c r="B2332" s="132">
        <v>8.74</v>
      </c>
      <c r="C2332" s="133"/>
    </row>
    <row r="2333" spans="1:3">
      <c r="A2333" s="131" t="s">
        <v>6882</v>
      </c>
      <c r="B2333" s="132">
        <v>49.64</v>
      </c>
      <c r="C2333" s="133"/>
    </row>
    <row r="2334" spans="1:3">
      <c r="A2334" s="131" t="s">
        <v>6883</v>
      </c>
      <c r="B2334" s="132">
        <v>161.76</v>
      </c>
      <c r="C2334" s="133"/>
    </row>
    <row r="2335" spans="1:3">
      <c r="A2335" s="131" t="s">
        <v>6884</v>
      </c>
      <c r="B2335" s="132">
        <v>156.69999999999999</v>
      </c>
      <c r="C2335" s="133"/>
    </row>
    <row r="2336" spans="1:3">
      <c r="A2336" s="131" t="s">
        <v>6885</v>
      </c>
      <c r="B2336" s="132">
        <v>56.05</v>
      </c>
      <c r="C2336" s="133"/>
    </row>
    <row r="2337" spans="1:3">
      <c r="A2337" s="131" t="s">
        <v>6886</v>
      </c>
      <c r="B2337" s="132">
        <v>63.02</v>
      </c>
      <c r="C2337" s="133"/>
    </row>
    <row r="2338" spans="1:3">
      <c r="A2338" s="131" t="s">
        <v>6887</v>
      </c>
      <c r="B2338" s="132">
        <v>6.7837593707349999</v>
      </c>
      <c r="C2338" s="133"/>
    </row>
    <row r="2339" spans="1:3">
      <c r="A2339" s="131" t="s">
        <v>6888</v>
      </c>
      <c r="B2339" s="132">
        <v>28.16</v>
      </c>
      <c r="C2339" s="133"/>
    </row>
    <row r="2340" spans="1:3">
      <c r="A2340" s="131" t="s">
        <v>6889</v>
      </c>
      <c r="B2340" s="132">
        <v>333.53</v>
      </c>
      <c r="C2340" s="133"/>
    </row>
    <row r="2341" spans="1:3">
      <c r="A2341" s="131" t="s">
        <v>6890</v>
      </c>
      <c r="B2341" s="132">
        <v>250.01</v>
      </c>
      <c r="C2341" s="133"/>
    </row>
    <row r="2342" spans="1:3">
      <c r="A2342" s="131" t="s">
        <v>6891</v>
      </c>
      <c r="B2342" s="132">
        <v>12.98</v>
      </c>
      <c r="C2342" s="133"/>
    </row>
    <row r="2343" spans="1:3">
      <c r="A2343" s="131" t="s">
        <v>6892</v>
      </c>
      <c r="B2343" s="132">
        <v>87.75</v>
      </c>
      <c r="C2343" s="133"/>
    </row>
    <row r="2344" spans="1:3">
      <c r="A2344" s="131" t="s">
        <v>6893</v>
      </c>
      <c r="B2344" s="132">
        <v>329.92</v>
      </c>
      <c r="C2344" s="133"/>
    </row>
    <row r="2345" spans="1:3">
      <c r="A2345" s="131" t="s">
        <v>6894</v>
      </c>
      <c r="B2345" s="132">
        <v>54.23</v>
      </c>
      <c r="C2345" s="133"/>
    </row>
    <row r="2346" spans="1:3">
      <c r="A2346" s="131" t="s">
        <v>6895</v>
      </c>
      <c r="B2346" s="132">
        <v>680.41</v>
      </c>
      <c r="C2346" s="133"/>
    </row>
    <row r="2347" spans="1:3">
      <c r="A2347" s="131" t="s">
        <v>6896</v>
      </c>
      <c r="B2347" s="132">
        <v>165.44</v>
      </c>
      <c r="C2347" s="133"/>
    </row>
    <row r="2348" spans="1:3">
      <c r="A2348" s="131" t="s">
        <v>6897</v>
      </c>
      <c r="B2348" s="132">
        <v>257.76</v>
      </c>
      <c r="C2348" s="133"/>
    </row>
    <row r="2349" spans="1:3">
      <c r="A2349" s="131" t="s">
        <v>6898</v>
      </c>
      <c r="B2349" s="132">
        <v>3.26</v>
      </c>
      <c r="C2349" s="133"/>
    </row>
    <row r="2350" spans="1:3">
      <c r="A2350" s="131" t="s">
        <v>6899</v>
      </c>
      <c r="B2350" s="132">
        <v>43.85</v>
      </c>
      <c r="C2350" s="133"/>
    </row>
    <row r="2351" spans="1:3">
      <c r="A2351" s="131" t="s">
        <v>6900</v>
      </c>
      <c r="B2351" s="132">
        <v>95.02</v>
      </c>
      <c r="C2351" s="133"/>
    </row>
    <row r="2352" spans="1:3">
      <c r="A2352" s="131" t="s">
        <v>6901</v>
      </c>
      <c r="B2352" s="132">
        <v>231.4</v>
      </c>
      <c r="C2352" s="133"/>
    </row>
    <row r="2353" spans="1:3">
      <c r="A2353" s="131" t="s">
        <v>6902</v>
      </c>
      <c r="B2353" s="132">
        <v>109.5</v>
      </c>
      <c r="C2353" s="133"/>
    </row>
    <row r="2354" spans="1:3">
      <c r="A2354" s="131" t="s">
        <v>6903</v>
      </c>
      <c r="B2354" s="132">
        <v>5.34</v>
      </c>
      <c r="C2354" s="133"/>
    </row>
    <row r="2355" spans="1:3">
      <c r="A2355" s="131" t="s">
        <v>6904</v>
      </c>
      <c r="B2355" s="132">
        <v>53.46</v>
      </c>
      <c r="C2355" s="133"/>
    </row>
    <row r="2356" spans="1:3">
      <c r="A2356" s="131" t="s">
        <v>6905</v>
      </c>
      <c r="B2356" s="132">
        <v>4.9809999999999999</v>
      </c>
      <c r="C2356" s="133"/>
    </row>
    <row r="2357" spans="1:3">
      <c r="A2357" s="131" t="s">
        <v>6906</v>
      </c>
      <c r="B2357" s="132">
        <v>1174.4385713404999</v>
      </c>
      <c r="C2357" s="133"/>
    </row>
    <row r="2358" spans="1:3">
      <c r="A2358" s="131" t="s">
        <v>6907</v>
      </c>
      <c r="B2358" s="132">
        <v>55.04</v>
      </c>
      <c r="C2358" s="133"/>
    </row>
    <row r="2359" spans="1:3">
      <c r="A2359" s="131" t="s">
        <v>6908</v>
      </c>
      <c r="B2359" s="132">
        <v>44.49</v>
      </c>
      <c r="C2359" s="133"/>
    </row>
    <row r="2360" spans="1:3">
      <c r="A2360" s="131" t="s">
        <v>6909</v>
      </c>
      <c r="B2360" s="132">
        <v>212.42</v>
      </c>
      <c r="C2360" s="133"/>
    </row>
    <row r="2361" spans="1:3">
      <c r="A2361" s="131" t="s">
        <v>6910</v>
      </c>
      <c r="B2361" s="132">
        <v>421.07</v>
      </c>
      <c r="C2361" s="133"/>
    </row>
    <row r="2362" spans="1:3">
      <c r="A2362" s="131" t="s">
        <v>6911</v>
      </c>
      <c r="B2362" s="132">
        <v>225.48752301528</v>
      </c>
      <c r="C2362" s="133"/>
    </row>
    <row r="2363" spans="1:3">
      <c r="A2363" s="131" t="s">
        <v>6912</v>
      </c>
      <c r="B2363" s="132">
        <v>47.91</v>
      </c>
      <c r="C2363" s="133"/>
    </row>
    <row r="2364" spans="1:3">
      <c r="A2364" s="131" t="s">
        <v>6913</v>
      </c>
      <c r="B2364" s="132">
        <v>231.11</v>
      </c>
      <c r="C2364" s="133"/>
    </row>
    <row r="2365" spans="1:3">
      <c r="A2365" s="131" t="s">
        <v>6914</v>
      </c>
      <c r="B2365" s="132">
        <v>51.13</v>
      </c>
      <c r="C2365" s="133"/>
    </row>
    <row r="2366" spans="1:3">
      <c r="A2366" s="131" t="s">
        <v>6915</v>
      </c>
      <c r="B2366" s="132">
        <v>45.17</v>
      </c>
      <c r="C2366" s="133"/>
    </row>
    <row r="2367" spans="1:3">
      <c r="A2367" s="131" t="s">
        <v>6916</v>
      </c>
      <c r="B2367" s="132">
        <v>25.51</v>
      </c>
      <c r="C2367" s="133"/>
    </row>
    <row r="2368" spans="1:3">
      <c r="A2368" s="131" t="s">
        <v>6917</v>
      </c>
      <c r="B2368" s="132">
        <v>5.3520000000000003</v>
      </c>
      <c r="C2368" s="133"/>
    </row>
    <row r="2369" spans="1:3">
      <c r="A2369" s="131" t="s">
        <v>6918</v>
      </c>
      <c r="B2369" s="132">
        <v>15.21</v>
      </c>
      <c r="C2369" s="133"/>
    </row>
    <row r="2370" spans="1:3">
      <c r="A2370" s="131" t="s">
        <v>6919</v>
      </c>
      <c r="B2370" s="132">
        <v>106.84770358</v>
      </c>
      <c r="C2370" s="133"/>
    </row>
    <row r="2371" spans="1:3">
      <c r="A2371" s="131" t="s">
        <v>6920</v>
      </c>
      <c r="B2371" s="132">
        <v>20.149000000000001</v>
      </c>
      <c r="C2371" s="133"/>
    </row>
    <row r="2372" spans="1:3">
      <c r="A2372" s="131" t="s">
        <v>6921</v>
      </c>
      <c r="B2372" s="132">
        <v>165.44</v>
      </c>
      <c r="C2372" s="133"/>
    </row>
    <row r="2373" spans="1:3">
      <c r="A2373" s="131" t="s">
        <v>6922</v>
      </c>
      <c r="B2373" s="132">
        <v>64.78</v>
      </c>
      <c r="C2373" s="133"/>
    </row>
    <row r="2374" spans="1:3">
      <c r="A2374" s="131" t="s">
        <v>6923</v>
      </c>
      <c r="B2374" s="132">
        <v>271.74</v>
      </c>
      <c r="C2374" s="133"/>
    </row>
    <row r="2375" spans="1:3">
      <c r="A2375" s="131" t="s">
        <v>6924</v>
      </c>
      <c r="B2375" s="132">
        <v>80.3</v>
      </c>
      <c r="C2375" s="133"/>
    </row>
    <row r="2376" spans="1:3">
      <c r="A2376" s="131" t="s">
        <v>6925</v>
      </c>
      <c r="B2376" s="132">
        <v>24.17</v>
      </c>
      <c r="C2376" s="133"/>
    </row>
    <row r="2377" spans="1:3">
      <c r="A2377" s="131" t="s">
        <v>6926</v>
      </c>
      <c r="B2377" s="132">
        <v>34.659999999999997</v>
      </c>
      <c r="C2377" s="133"/>
    </row>
    <row r="2378" spans="1:3">
      <c r="A2378" s="131" t="s">
        <v>6927</v>
      </c>
      <c r="B2378" s="132">
        <v>51.33</v>
      </c>
      <c r="C2378" s="133"/>
    </row>
    <row r="2379" spans="1:3">
      <c r="A2379" s="131" t="s">
        <v>10188</v>
      </c>
      <c r="B2379" s="132">
        <v>4.5</v>
      </c>
      <c r="C2379" s="133"/>
    </row>
    <row r="2380" spans="1:3">
      <c r="A2380" s="131" t="s">
        <v>10189</v>
      </c>
      <c r="B2380" s="132">
        <v>5.4</v>
      </c>
      <c r="C2380" s="133"/>
    </row>
    <row r="2381" spans="1:3">
      <c r="A2381" s="131" t="s">
        <v>10190</v>
      </c>
      <c r="B2381" s="132">
        <v>14.257490848408001</v>
      </c>
      <c r="C2381" s="133"/>
    </row>
    <row r="2382" spans="1:3">
      <c r="A2382" s="131" t="s">
        <v>10191</v>
      </c>
      <c r="B2382" s="132">
        <v>229.85</v>
      </c>
      <c r="C2382" s="133"/>
    </row>
    <row r="2383" spans="1:3">
      <c r="A2383" s="131" t="s">
        <v>10192</v>
      </c>
      <c r="B2383" s="132">
        <v>50.118646154387001</v>
      </c>
      <c r="C2383" s="133"/>
    </row>
    <row r="2384" spans="1:3">
      <c r="A2384" s="131" t="s">
        <v>10193</v>
      </c>
      <c r="B2384" s="132">
        <v>186.28</v>
      </c>
      <c r="C2384" s="133"/>
    </row>
    <row r="2385" spans="1:3">
      <c r="A2385" s="131" t="s">
        <v>10194</v>
      </c>
      <c r="B2385" s="132">
        <v>67.48</v>
      </c>
      <c r="C2385" s="133"/>
    </row>
    <row r="2386" spans="1:3">
      <c r="A2386" s="131" t="s">
        <v>10195</v>
      </c>
      <c r="B2386" s="132">
        <v>23.54</v>
      </c>
      <c r="C2386" s="133"/>
    </row>
    <row r="2387" spans="1:3">
      <c r="A2387" s="131" t="s">
        <v>10196</v>
      </c>
      <c r="B2387" s="132">
        <v>20.39</v>
      </c>
      <c r="C2387" s="133"/>
    </row>
    <row r="2388" spans="1:3">
      <c r="A2388" s="131" t="s">
        <v>10197</v>
      </c>
      <c r="B2388" s="132">
        <v>120.7</v>
      </c>
      <c r="C2388" s="133"/>
    </row>
    <row r="2389" spans="1:3">
      <c r="A2389" s="131" t="s">
        <v>10198</v>
      </c>
      <c r="B2389" s="132">
        <v>11.87</v>
      </c>
      <c r="C2389" s="133"/>
    </row>
    <row r="2390" spans="1:3">
      <c r="A2390" s="131" t="s">
        <v>10199</v>
      </c>
      <c r="B2390" s="132">
        <v>88.26</v>
      </c>
      <c r="C2390" s="133"/>
    </row>
    <row r="2391" spans="1:3">
      <c r="A2391" s="131" t="s">
        <v>10200</v>
      </c>
      <c r="B2391" s="132">
        <v>56.31</v>
      </c>
      <c r="C2391" s="133"/>
    </row>
    <row r="2392" spans="1:3">
      <c r="A2392" s="131" t="s">
        <v>10201</v>
      </c>
      <c r="B2392" s="132">
        <v>28.39</v>
      </c>
      <c r="C2392" s="133"/>
    </row>
    <row r="2393" spans="1:3">
      <c r="A2393" s="131" t="s">
        <v>10202</v>
      </c>
      <c r="B2393" s="132">
        <v>36.64</v>
      </c>
      <c r="C2393" s="133"/>
    </row>
    <row r="2394" spans="1:3">
      <c r="A2394" s="131" t="s">
        <v>10203</v>
      </c>
      <c r="B2394" s="132">
        <v>91.85</v>
      </c>
      <c r="C2394" s="133"/>
    </row>
    <row r="2395" spans="1:3">
      <c r="A2395" s="131" t="s">
        <v>10204</v>
      </c>
      <c r="B2395" s="132">
        <v>231.14</v>
      </c>
      <c r="C2395" s="133"/>
    </row>
    <row r="2396" spans="1:3">
      <c r="A2396" s="131" t="s">
        <v>10205</v>
      </c>
      <c r="B2396" s="132">
        <v>5.56</v>
      </c>
      <c r="C2396" s="133"/>
    </row>
    <row r="2397" spans="1:3">
      <c r="A2397" s="131" t="s">
        <v>10206</v>
      </c>
      <c r="B2397" s="132">
        <v>46.15</v>
      </c>
      <c r="C2397" s="133"/>
    </row>
    <row r="2398" spans="1:3">
      <c r="A2398" s="131" t="s">
        <v>10207</v>
      </c>
      <c r="B2398" s="132">
        <v>18.7</v>
      </c>
      <c r="C2398" s="133"/>
    </row>
    <row r="2399" spans="1:3">
      <c r="A2399" s="131" t="s">
        <v>10208</v>
      </c>
      <c r="B2399" s="132">
        <v>793.12003788277002</v>
      </c>
      <c r="C2399" s="133"/>
    </row>
    <row r="2400" spans="1:3">
      <c r="A2400" s="131" t="s">
        <v>10209</v>
      </c>
      <c r="B2400" s="132">
        <v>76.75</v>
      </c>
      <c r="C2400" s="133"/>
    </row>
    <row r="2401" spans="1:3">
      <c r="A2401" s="131" t="s">
        <v>10210</v>
      </c>
      <c r="B2401" s="132">
        <v>26.93</v>
      </c>
      <c r="C2401" s="133"/>
    </row>
    <row r="2402" spans="1:3">
      <c r="A2402" s="131" t="s">
        <v>10211</v>
      </c>
      <c r="B2402" s="132">
        <v>85.49</v>
      </c>
      <c r="C2402" s="133"/>
    </row>
    <row r="2403" spans="1:3">
      <c r="A2403" s="131" t="s">
        <v>10212</v>
      </c>
      <c r="B2403" s="132">
        <v>9.9030000000000005</v>
      </c>
      <c r="C2403" s="133"/>
    </row>
    <row r="2404" spans="1:3">
      <c r="A2404" s="131" t="s">
        <v>10213</v>
      </c>
      <c r="B2404" s="132">
        <v>94.54</v>
      </c>
      <c r="C2404" s="133"/>
    </row>
    <row r="2405" spans="1:3">
      <c r="A2405" s="131" t="s">
        <v>10214</v>
      </c>
      <c r="B2405" s="132">
        <v>15.16</v>
      </c>
      <c r="C2405" s="133"/>
    </row>
    <row r="2406" spans="1:3">
      <c r="A2406" s="131" t="s">
        <v>10215</v>
      </c>
      <c r="B2406" s="132">
        <v>134.22</v>
      </c>
      <c r="C2406" s="133"/>
    </row>
    <row r="2407" spans="1:3">
      <c r="A2407" s="131" t="s">
        <v>10216</v>
      </c>
      <c r="B2407" s="132">
        <v>14.01</v>
      </c>
      <c r="C2407" s="133"/>
    </row>
    <row r="2408" spans="1:3">
      <c r="A2408" s="131" t="s">
        <v>10217</v>
      </c>
      <c r="B2408" s="132">
        <v>36.620704432103999</v>
      </c>
      <c r="C2408" s="133"/>
    </row>
    <row r="2409" spans="1:3">
      <c r="A2409" s="131" t="s">
        <v>10218</v>
      </c>
      <c r="B2409" s="132">
        <v>317.19</v>
      </c>
      <c r="C2409" s="133"/>
    </row>
    <row r="2410" spans="1:3">
      <c r="A2410" s="131" t="s">
        <v>10219</v>
      </c>
      <c r="B2410" s="132">
        <v>42.15</v>
      </c>
      <c r="C2410" s="133"/>
    </row>
    <row r="2411" spans="1:3">
      <c r="A2411" s="131" t="s">
        <v>10220</v>
      </c>
      <c r="B2411" s="132">
        <v>20.71</v>
      </c>
      <c r="C2411" s="133"/>
    </row>
    <row r="2412" spans="1:3">
      <c r="A2412" s="131" t="s">
        <v>10221</v>
      </c>
      <c r="B2412" s="132">
        <v>7.9375592090126998</v>
      </c>
      <c r="C2412" s="133"/>
    </row>
    <row r="2413" spans="1:3">
      <c r="A2413" s="131" t="s">
        <v>10222</v>
      </c>
      <c r="B2413" s="132">
        <v>10.81</v>
      </c>
      <c r="C2413" s="133"/>
    </row>
    <row r="2414" spans="1:3">
      <c r="A2414" s="131" t="s">
        <v>10223</v>
      </c>
      <c r="B2414" s="132">
        <v>21.73</v>
      </c>
      <c r="C2414" s="133"/>
    </row>
    <row r="2415" spans="1:3">
      <c r="A2415" s="131" t="s">
        <v>10224</v>
      </c>
      <c r="B2415" s="132">
        <v>252.87</v>
      </c>
      <c r="C2415" s="133"/>
    </row>
    <row r="2416" spans="1:3">
      <c r="A2416" s="131" t="s">
        <v>10225</v>
      </c>
      <c r="B2416" s="132">
        <v>7.6589999999999998</v>
      </c>
      <c r="C2416" s="133"/>
    </row>
    <row r="2417" spans="1:3">
      <c r="A2417" s="131" t="s">
        <v>10226</v>
      </c>
      <c r="B2417" s="132">
        <v>39.08</v>
      </c>
      <c r="C2417" s="133"/>
    </row>
    <row r="2418" spans="1:3">
      <c r="A2418" s="131" t="s">
        <v>10227</v>
      </c>
      <c r="B2418" s="132">
        <v>258.89999999999998</v>
      </c>
      <c r="C2418" s="133"/>
    </row>
    <row r="2419" spans="1:3">
      <c r="A2419" s="131" t="s">
        <v>10228</v>
      </c>
      <c r="B2419" s="132">
        <v>9.16</v>
      </c>
      <c r="C2419" s="133"/>
    </row>
    <row r="2420" spans="1:3">
      <c r="A2420" s="131" t="s">
        <v>10229</v>
      </c>
      <c r="B2420" s="132">
        <v>257.3</v>
      </c>
      <c r="C2420" s="133"/>
    </row>
    <row r="2421" spans="1:3">
      <c r="A2421" s="131" t="s">
        <v>10230</v>
      </c>
      <c r="B2421" s="132">
        <v>10.68</v>
      </c>
      <c r="C2421" s="133"/>
    </row>
    <row r="2422" spans="1:3">
      <c r="A2422" s="131" t="s">
        <v>10231</v>
      </c>
      <c r="B2422" s="132">
        <v>32.619999999999997</v>
      </c>
      <c r="C2422" s="133"/>
    </row>
    <row r="2423" spans="1:3">
      <c r="A2423" s="131" t="s">
        <v>10232</v>
      </c>
      <c r="B2423" s="132">
        <v>168.07</v>
      </c>
      <c r="C2423" s="133"/>
    </row>
    <row r="2424" spans="1:3">
      <c r="A2424" s="131" t="s">
        <v>10233</v>
      </c>
      <c r="B2424" s="132">
        <v>21.87</v>
      </c>
      <c r="C2424" s="133"/>
    </row>
    <row r="2425" spans="1:3">
      <c r="A2425" s="131" t="s">
        <v>10234</v>
      </c>
      <c r="B2425" s="132">
        <v>292.02999999999997</v>
      </c>
      <c r="C2425" s="133"/>
    </row>
    <row r="2426" spans="1:3">
      <c r="A2426" s="131" t="s">
        <v>10235</v>
      </c>
      <c r="B2426" s="132">
        <v>2.0070000000000001</v>
      </c>
      <c r="C2426" s="133"/>
    </row>
    <row r="2427" spans="1:3">
      <c r="A2427" s="131" t="s">
        <v>10236</v>
      </c>
      <c r="B2427" s="132">
        <v>39.68</v>
      </c>
      <c r="C2427" s="133"/>
    </row>
    <row r="2428" spans="1:3">
      <c r="A2428" s="131" t="s">
        <v>10237</v>
      </c>
      <c r="B2428" s="132">
        <v>82.33</v>
      </c>
      <c r="C2428" s="133"/>
    </row>
    <row r="2429" spans="1:3">
      <c r="A2429" s="131" t="s">
        <v>10238</v>
      </c>
      <c r="B2429" s="132">
        <v>1.5402563366153E-2</v>
      </c>
      <c r="C2429" s="133"/>
    </row>
    <row r="2430" spans="1:3">
      <c r="A2430" s="131" t="s">
        <v>10239</v>
      </c>
      <c r="B2430" s="132">
        <v>0.86899117638187995</v>
      </c>
      <c r="C2430" s="133"/>
    </row>
    <row r="2431" spans="1:3">
      <c r="A2431" s="131" t="s">
        <v>10240</v>
      </c>
      <c r="B2431" s="132">
        <v>0.19057176318702199</v>
      </c>
      <c r="C2431" s="133"/>
    </row>
    <row r="2432" spans="1:3">
      <c r="A2432" s="131" t="s">
        <v>10241</v>
      </c>
      <c r="B2432" s="132">
        <v>9.9999968269149004</v>
      </c>
      <c r="C2432" s="133"/>
    </row>
    <row r="2433" spans="1:3">
      <c r="A2433" s="131" t="s">
        <v>10242</v>
      </c>
      <c r="B2433" s="132">
        <v>5.5272187633874759E-2</v>
      </c>
      <c r="C2433" s="133"/>
    </row>
    <row r="2434" spans="1:3">
      <c r="A2434" s="131" t="s">
        <v>10243</v>
      </c>
      <c r="B2434" s="132">
        <v>2.7815053925784001E-2</v>
      </c>
      <c r="C2434" s="133"/>
    </row>
    <row r="2435" spans="1:3">
      <c r="A2435" s="131" t="s">
        <v>10244</v>
      </c>
      <c r="B2435" s="132">
        <v>46.292396887713998</v>
      </c>
      <c r="C2435" s="133"/>
    </row>
    <row r="2436" spans="1:3">
      <c r="A2436" s="131" t="s">
        <v>10245</v>
      </c>
      <c r="B2436" s="132">
        <v>4.1064491129913998E-5</v>
      </c>
      <c r="C2436" s="133"/>
    </row>
    <row r="2437" spans="1:3">
      <c r="A2437" s="131" t="s">
        <v>10246</v>
      </c>
      <c r="B2437" s="132">
        <v>0.90877554000000005</v>
      </c>
      <c r="C2437" s="133"/>
    </row>
    <row r="2438" spans="1:3">
      <c r="A2438" s="131" t="s">
        <v>10247</v>
      </c>
      <c r="B2438" s="132">
        <v>0.20795955083857001</v>
      </c>
      <c r="C2438" s="133"/>
    </row>
    <row r="2439" spans="1:3">
      <c r="A2439" s="131" t="s">
        <v>10248</v>
      </c>
      <c r="B2439" s="132">
        <v>5.4090561876554404E-3</v>
      </c>
      <c r="C2439" s="133"/>
    </row>
    <row r="2440" spans="1:3">
      <c r="A2440" s="131" t="s">
        <v>10249</v>
      </c>
      <c r="B2440" s="132">
        <v>15.350601072603</v>
      </c>
      <c r="C2440" s="133"/>
    </row>
    <row r="2441" spans="1:3">
      <c r="A2441" s="131" t="s">
        <v>10250</v>
      </c>
      <c r="B2441" s="132">
        <v>0.40685667511731</v>
      </c>
      <c r="C2441" s="133"/>
    </row>
    <row r="2442" spans="1:3">
      <c r="A2442" s="131" t="s">
        <v>10251</v>
      </c>
      <c r="B2442" s="132">
        <v>9.2687767914652994</v>
      </c>
      <c r="C2442" s="133"/>
    </row>
    <row r="2443" spans="1:3">
      <c r="A2443" s="131" t="s">
        <v>10252</v>
      </c>
      <c r="B2443" s="132">
        <v>319.0888786949202</v>
      </c>
      <c r="C2443" s="133"/>
    </row>
    <row r="2444" spans="1:3">
      <c r="A2444" s="131" t="s">
        <v>10253</v>
      </c>
      <c r="B2444" s="132">
        <v>9501.83</v>
      </c>
      <c r="C2444" s="133"/>
    </row>
    <row r="2445" spans="1:3">
      <c r="A2445" s="131" t="s">
        <v>10254</v>
      </c>
      <c r="B2445" s="132">
        <v>12.516062069602</v>
      </c>
      <c r="C2445" s="133"/>
    </row>
    <row r="2446" spans="1:3">
      <c r="A2446" s="131" t="s">
        <v>10255</v>
      </c>
      <c r="B2446" s="132">
        <v>0.38758898524173002</v>
      </c>
      <c r="C2446" s="133"/>
    </row>
    <row r="2447" spans="1:3">
      <c r="A2447" s="131" t="s">
        <v>10256</v>
      </c>
      <c r="B2447" s="132">
        <v>1.6523200000000001E-3</v>
      </c>
      <c r="C2447" s="133"/>
    </row>
    <row r="2448" spans="1:3">
      <c r="A2448" s="131" t="s">
        <v>10257</v>
      </c>
      <c r="B2448" s="132">
        <v>0.50499965712820694</v>
      </c>
      <c r="C2448" s="133"/>
    </row>
    <row r="2449" spans="1:3">
      <c r="A2449" s="131" t="s">
        <v>10258</v>
      </c>
      <c r="B2449" s="132">
        <v>9.9640422148394923E-4</v>
      </c>
      <c r="C2449" s="133"/>
    </row>
    <row r="2450" spans="1:3">
      <c r="A2450" s="131" t="s">
        <v>10259</v>
      </c>
      <c r="B2450" s="132">
        <v>0.17618477515200001</v>
      </c>
      <c r="C2450" s="133"/>
    </row>
    <row r="2451" spans="1:3">
      <c r="A2451" s="131" t="s">
        <v>10260</v>
      </c>
      <c r="B2451" s="132">
        <v>1.5881059008453999</v>
      </c>
      <c r="C2451" s="133"/>
    </row>
    <row r="2452" spans="1:3">
      <c r="A2452" s="131" t="s">
        <v>10261</v>
      </c>
      <c r="B2452" s="132">
        <v>3.4839026349811001E-4</v>
      </c>
      <c r="C2452" s="133"/>
    </row>
    <row r="2453" spans="1:3">
      <c r="A2453" s="131" t="s">
        <v>10262</v>
      </c>
      <c r="B2453" s="132">
        <v>2.5966888839140202E-2</v>
      </c>
      <c r="C2453" s="133"/>
    </row>
    <row r="2454" spans="1:3">
      <c r="A2454" s="131" t="s">
        <v>10263</v>
      </c>
      <c r="B2454" s="132">
        <v>0.10857187042547101</v>
      </c>
      <c r="C2454" s="133"/>
    </row>
    <row r="2455" spans="1:3">
      <c r="A2455" s="131" t="s">
        <v>10264</v>
      </c>
      <c r="B2455" s="132">
        <v>2.9816511804346831E-4</v>
      </c>
      <c r="C2455" s="133"/>
    </row>
    <row r="2456" spans="1:3">
      <c r="A2456" s="131" t="s">
        <v>10265</v>
      </c>
      <c r="B2456" s="132">
        <v>1.5173215162981999</v>
      </c>
      <c r="C2456" s="133"/>
    </row>
    <row r="2457" spans="1:3">
      <c r="A2457" s="131" t="s">
        <v>10266</v>
      </c>
      <c r="B2457" s="132">
        <v>138.98355706282726</v>
      </c>
      <c r="C2457" s="133"/>
    </row>
    <row r="2458" spans="1:3">
      <c r="A2458" s="131" t="s">
        <v>10267</v>
      </c>
      <c r="B2458" s="132">
        <v>0.17153968677222586</v>
      </c>
      <c r="C2458" s="133"/>
    </row>
    <row r="2459" spans="1:3">
      <c r="A2459" s="131" t="s">
        <v>10268</v>
      </c>
      <c r="B2459" s="132">
        <v>3.2315435387985647E-2</v>
      </c>
      <c r="C2459" s="133"/>
    </row>
    <row r="2460" spans="1:3">
      <c r="A2460" s="131" t="s">
        <v>10269</v>
      </c>
      <c r="B2460" s="132">
        <v>0.18264580969006999</v>
      </c>
      <c r="C2460" s="133"/>
    </row>
    <row r="2461" spans="1:3">
      <c r="A2461" s="131" t="s">
        <v>10270</v>
      </c>
      <c r="B2461" s="132">
        <v>1.0493900000000001E-3</v>
      </c>
      <c r="C2461" s="133"/>
    </row>
    <row r="2462" spans="1:3">
      <c r="A2462" s="131" t="s">
        <v>10271</v>
      </c>
      <c r="B2462" s="132">
        <v>1.1417180080259</v>
      </c>
      <c r="C2462" s="133"/>
    </row>
    <row r="2463" spans="1:3">
      <c r="A2463" s="131" t="s">
        <v>10272</v>
      </c>
      <c r="B2463" s="132">
        <v>1.04145457</v>
      </c>
      <c r="C2463" s="133"/>
    </row>
    <row r="2464" spans="1:3">
      <c r="A2464" s="131" t="s">
        <v>10273</v>
      </c>
      <c r="B2464" s="132">
        <v>3.57</v>
      </c>
      <c r="C2464" s="133"/>
    </row>
    <row r="2465" spans="1:3">
      <c r="A2465" s="131" t="s">
        <v>10274</v>
      </c>
      <c r="B2465" s="132">
        <v>0.33809857446262997</v>
      </c>
      <c r="C2465" s="133"/>
    </row>
    <row r="2466" spans="1:3">
      <c r="A2466" s="131" t="s">
        <v>10275</v>
      </c>
      <c r="B2466" s="132">
        <v>0.11042744155968157</v>
      </c>
      <c r="C2466" s="133"/>
    </row>
    <row r="2467" spans="1:3">
      <c r="A2467" s="131" t="s">
        <v>10276</v>
      </c>
      <c r="B2467" s="132">
        <v>4.9196245326482001E-2</v>
      </c>
      <c r="C2467" s="133"/>
    </row>
    <row r="2468" spans="1:3">
      <c r="A2468" s="131" t="s">
        <v>10277</v>
      </c>
      <c r="B2468" s="132">
        <v>7.6920978132599998E-9</v>
      </c>
      <c r="C2468" s="133"/>
    </row>
    <row r="2469" spans="1:3">
      <c r="A2469" s="131" t="s">
        <v>10278</v>
      </c>
      <c r="B2469" s="132">
        <v>2.6888821052323E-2</v>
      </c>
      <c r="C2469" s="133"/>
    </row>
    <row r="2470" spans="1:3">
      <c r="A2470" s="131" t="s">
        <v>10279</v>
      </c>
      <c r="B2470" s="132">
        <v>439.20108317154001</v>
      </c>
      <c r="C2470" s="133"/>
    </row>
    <row r="2471" spans="1:3">
      <c r="A2471" s="131" t="s">
        <v>10280</v>
      </c>
      <c r="B2471" s="132">
        <v>13.694027077049501</v>
      </c>
      <c r="C2471" s="133"/>
    </row>
    <row r="2472" spans="1:3">
      <c r="A2472" s="131" t="s">
        <v>10281</v>
      </c>
      <c r="B2472" s="132">
        <v>1.51117629698</v>
      </c>
      <c r="C2472" s="133"/>
    </row>
    <row r="2473" spans="1:3">
      <c r="A2473" s="131" t="s">
        <v>10282</v>
      </c>
      <c r="B2473" s="132">
        <v>0.95617116318664996</v>
      </c>
      <c r="C2473" s="133"/>
    </row>
    <row r="2474" spans="1:3">
      <c r="A2474" s="131" t="s">
        <v>10283</v>
      </c>
      <c r="B2474" s="132">
        <v>54.413230543739999</v>
      </c>
      <c r="C2474" s="133"/>
    </row>
    <row r="2475" spans="1:3">
      <c r="A2475" s="131" t="s">
        <v>10284</v>
      </c>
      <c r="B2475" s="132">
        <v>7.3100272583807684E-4</v>
      </c>
      <c r="C2475" s="133"/>
    </row>
    <row r="2476" spans="1:3">
      <c r="A2476" s="131" t="s">
        <v>10285</v>
      </c>
      <c r="B2476" s="132">
        <v>1.5085770694813001E-2</v>
      </c>
      <c r="C2476" s="133"/>
    </row>
    <row r="2477" spans="1:3">
      <c r="A2477" s="131" t="s">
        <v>10286</v>
      </c>
      <c r="B2477" s="132">
        <v>6.1610253464611997E-3</v>
      </c>
      <c r="C2477" s="133"/>
    </row>
    <row r="2478" spans="1:3">
      <c r="A2478" s="131" t="s">
        <v>10287</v>
      </c>
      <c r="B2478" s="132">
        <v>3.6443298452140997E-2</v>
      </c>
      <c r="C2478" s="133"/>
    </row>
    <row r="2479" spans="1:3">
      <c r="A2479" s="131" t="s">
        <v>10288</v>
      </c>
      <c r="B2479" s="132">
        <v>6.0937744240029998E-2</v>
      </c>
      <c r="C2479" s="133"/>
    </row>
    <row r="2480" spans="1:3">
      <c r="A2480" s="131" t="s">
        <v>10289</v>
      </c>
      <c r="B2480" s="132">
        <v>0.32371463489273</v>
      </c>
      <c r="C2480" s="133"/>
    </row>
    <row r="2481" spans="1:3">
      <c r="A2481" s="131" t="s">
        <v>10290</v>
      </c>
      <c r="B2481" s="132">
        <v>0.50027075406085997</v>
      </c>
      <c r="C2481" s="133"/>
    </row>
    <row r="2482" spans="1:3">
      <c r="A2482" s="131" t="s">
        <v>10291</v>
      </c>
      <c r="B2482" s="132">
        <v>1.7852903200301666E-3</v>
      </c>
      <c r="C2482" s="133"/>
    </row>
    <row r="2483" spans="1:3">
      <c r="A2483" s="131" t="s">
        <v>10292</v>
      </c>
      <c r="B2483" s="132">
        <v>0.24211651965607001</v>
      </c>
      <c r="C2483" s="133"/>
    </row>
    <row r="2484" spans="1:3">
      <c r="A2484" s="131" t="s">
        <v>10293</v>
      </c>
      <c r="B2484" s="132">
        <v>3.7999999591420419E-8</v>
      </c>
      <c r="C2484" s="133"/>
    </row>
    <row r="2485" spans="1:3">
      <c r="A2485" s="131" t="s">
        <v>10294</v>
      </c>
      <c r="B2485" s="132">
        <v>14.808230415753499</v>
      </c>
      <c r="C2485" s="133"/>
    </row>
    <row r="2486" spans="1:3">
      <c r="A2486" s="131" t="s">
        <v>10295</v>
      </c>
      <c r="B2486" s="132">
        <v>0.6130621062351842</v>
      </c>
      <c r="C2486" s="133"/>
    </row>
    <row r="2487" spans="1:3">
      <c r="A2487" s="131" t="s">
        <v>10296</v>
      </c>
      <c r="B2487" s="132">
        <v>4.603484E-2</v>
      </c>
      <c r="C2487" s="133"/>
    </row>
    <row r="2488" spans="1:3">
      <c r="A2488" s="131" t="s">
        <v>10297</v>
      </c>
      <c r="B2488" s="132">
        <v>28.903741048515592</v>
      </c>
      <c r="C2488" s="133"/>
    </row>
    <row r="2489" spans="1:3">
      <c r="A2489" s="131" t="s">
        <v>10298</v>
      </c>
      <c r="B2489" s="132">
        <v>5.1978152436770002E-2</v>
      </c>
      <c r="C2489" s="133"/>
    </row>
    <row r="2490" spans="1:3">
      <c r="A2490" s="131" t="s">
        <v>10299</v>
      </c>
      <c r="B2490" s="132">
        <v>6.1610253464612001E-4</v>
      </c>
      <c r="C2490" s="133"/>
    </row>
    <row r="2491" spans="1:3">
      <c r="A2491" s="131" t="s">
        <v>10300</v>
      </c>
      <c r="B2491" s="132">
        <v>1.94153778</v>
      </c>
      <c r="C2491" s="133"/>
    </row>
    <row r="2492" spans="1:3">
      <c r="A2492" s="131" t="s">
        <v>10301</v>
      </c>
      <c r="B2492" s="132">
        <v>6.1610253464612001E-4</v>
      </c>
      <c r="C2492" s="133"/>
    </row>
    <row r="2493" spans="1:3">
      <c r="A2493" s="131" t="s">
        <v>10302</v>
      </c>
      <c r="B2493" s="132">
        <v>7.7000326655332005E-2</v>
      </c>
      <c r="C2493" s="133"/>
    </row>
    <row r="2494" spans="1:3">
      <c r="A2494" s="131" t="s">
        <v>10303</v>
      </c>
      <c r="B2494" s="132">
        <v>5.0094785807843606E-4</v>
      </c>
      <c r="C2494" s="133"/>
    </row>
    <row r="2495" spans="1:3">
      <c r="A2495" s="131" t="s">
        <v>10304</v>
      </c>
      <c r="B2495" s="132">
        <v>20.5605558733285</v>
      </c>
      <c r="C2495" s="133"/>
    </row>
    <row r="2496" spans="1:3">
      <c r="A2496" s="131" t="s">
        <v>10305</v>
      </c>
      <c r="B2496" s="132">
        <v>0.37015567018844786</v>
      </c>
      <c r="C2496" s="133"/>
    </row>
    <row r="2497" spans="1:3">
      <c r="A2497" s="131" t="s">
        <v>10306</v>
      </c>
      <c r="B2497" s="132">
        <v>2.4325713200000001</v>
      </c>
      <c r="C2497" s="133"/>
    </row>
    <row r="2498" spans="1:3">
      <c r="A2498" s="131" t="s">
        <v>10307</v>
      </c>
      <c r="B2498" s="132">
        <v>6.6844299999999999E-3</v>
      </c>
      <c r="C2498" s="133"/>
    </row>
    <row r="2499" spans="1:3">
      <c r="A2499" s="131" t="s">
        <v>10308</v>
      </c>
      <c r="B2499" s="132">
        <v>4.6421840923879999E-2</v>
      </c>
      <c r="C2499" s="133"/>
    </row>
    <row r="2500" spans="1:3">
      <c r="A2500" s="131" t="s">
        <v>10309</v>
      </c>
      <c r="B2500" s="132">
        <v>140.0541393415989</v>
      </c>
      <c r="C2500" s="133"/>
    </row>
    <row r="2501" spans="1:3">
      <c r="A2501" s="131" t="s">
        <v>10310</v>
      </c>
      <c r="B2501" s="132">
        <v>0.21489631686739999</v>
      </c>
      <c r="C2501" s="133"/>
    </row>
    <row r="2502" spans="1:3">
      <c r="A2502" s="131" t="s">
        <v>10311</v>
      </c>
      <c r="B2502" s="132">
        <v>6.7838143248195065E-2</v>
      </c>
      <c r="C2502" s="133"/>
    </row>
    <row r="2503" spans="1:3">
      <c r="A2503" s="131" t="s">
        <v>14508</v>
      </c>
      <c r="B2503" s="132">
        <v>1.0043622779745001</v>
      </c>
      <c r="C2503" s="133"/>
    </row>
    <row r="2504" spans="1:3">
      <c r="A2504" s="131" t="s">
        <v>14509</v>
      </c>
      <c r="B2504" s="132">
        <v>2.1429364589389035E-4</v>
      </c>
      <c r="C2504" s="133"/>
    </row>
    <row r="2505" spans="1:3">
      <c r="A2505" s="131" t="s">
        <v>14510</v>
      </c>
      <c r="B2505" s="132">
        <v>1.5507512079022999E-2</v>
      </c>
      <c r="C2505" s="133"/>
    </row>
    <row r="2506" spans="1:3">
      <c r="A2506" s="131" t="s">
        <v>14511</v>
      </c>
      <c r="B2506" s="132">
        <v>48.970499256626169</v>
      </c>
      <c r="C2506" s="133"/>
    </row>
    <row r="2507" spans="1:3">
      <c r="A2507" s="131" t="s">
        <v>14512</v>
      </c>
      <c r="B2507" s="132">
        <v>5.0650004119970997E-2</v>
      </c>
      <c r="C2507" s="133"/>
    </row>
    <row r="2508" spans="1:3">
      <c r="A2508" s="131" t="s">
        <v>14513</v>
      </c>
      <c r="B2508" s="132">
        <v>2.271703129212E-4</v>
      </c>
      <c r="C2508" s="133"/>
    </row>
    <row r="2509" spans="1:3">
      <c r="A2509" s="131" t="s">
        <v>14514</v>
      </c>
      <c r="B2509" s="132">
        <v>2.7997394262764785E-4</v>
      </c>
      <c r="C2509" s="133"/>
    </row>
    <row r="2510" spans="1:3">
      <c r="A2510" s="131" t="s">
        <v>14515</v>
      </c>
      <c r="B2510" s="132">
        <v>9.9653934208921999E-6</v>
      </c>
      <c r="C2510" s="133"/>
    </row>
    <row r="2511" spans="1:3">
      <c r="A2511" s="131" t="s">
        <v>14516</v>
      </c>
      <c r="B2511" s="132">
        <v>2.611989E-2</v>
      </c>
      <c r="C2511" s="133"/>
    </row>
    <row r="2512" spans="1:3">
      <c r="A2512" s="131" t="s">
        <v>14517</v>
      </c>
      <c r="B2512" s="132">
        <v>1.5350554054213359</v>
      </c>
      <c r="C2512" s="133"/>
    </row>
    <row r="2513" spans="1:3">
      <c r="A2513" s="131" t="s">
        <v>14518</v>
      </c>
      <c r="B2513" s="132">
        <v>2.0012199820484966E-4</v>
      </c>
      <c r="C2513" s="133"/>
    </row>
    <row r="2514" spans="1:3">
      <c r="A2514" s="131" t="s">
        <v>14519</v>
      </c>
      <c r="B2514" s="132">
        <v>2.8703241887471E-3</v>
      </c>
      <c r="C2514" s="133"/>
    </row>
    <row r="2515" spans="1:3">
      <c r="A2515" s="131" t="s">
        <v>14520</v>
      </c>
      <c r="B2515" s="132">
        <v>2.0102100017660001E-8</v>
      </c>
      <c r="C2515" s="133"/>
    </row>
    <row r="2516" spans="1:3">
      <c r="A2516" s="131" t="s">
        <v>14521</v>
      </c>
      <c r="B2516" s="132">
        <v>5.5184766131517002E-2</v>
      </c>
      <c r="C2516" s="133"/>
    </row>
    <row r="2517" spans="1:3">
      <c r="A2517" s="131" t="s">
        <v>14522</v>
      </c>
      <c r="B2517" s="132">
        <v>3.6966152078767001E-3</v>
      </c>
      <c r="C2517" s="133"/>
    </row>
    <row r="2518" spans="1:3">
      <c r="A2518" s="131" t="s">
        <v>14523</v>
      </c>
      <c r="B2518" s="132">
        <v>1.2730893427431819E-5</v>
      </c>
      <c r="C2518" s="133"/>
    </row>
    <row r="2519" spans="1:3">
      <c r="A2519" s="131" t="s">
        <v>14524</v>
      </c>
      <c r="B2519" s="132">
        <v>235.45904355478999</v>
      </c>
      <c r="C2519" s="133"/>
    </row>
    <row r="2520" spans="1:3">
      <c r="A2520" s="131" t="s">
        <v>14525</v>
      </c>
      <c r="B2520" s="132">
        <v>5.3032121435800002E-3</v>
      </c>
      <c r="C2520" s="133"/>
    </row>
    <row r="2521" spans="1:3">
      <c r="A2521" s="131" t="s">
        <v>14526</v>
      </c>
      <c r="B2521" s="132">
        <v>1.0026083616418999</v>
      </c>
      <c r="C2521" s="133"/>
    </row>
    <row r="2522" spans="1:3">
      <c r="A2522" s="131" t="s">
        <v>14527</v>
      </c>
      <c r="B2522" s="132">
        <v>6.1749999999999997E-5</v>
      </c>
      <c r="C2522" s="133"/>
    </row>
    <row r="2523" spans="1:3">
      <c r="A2523" s="131" t="s">
        <v>14528</v>
      </c>
      <c r="B2523" s="132">
        <v>2.6063973886639998E-4</v>
      </c>
      <c r="C2523" s="133"/>
    </row>
    <row r="2524" spans="1:3">
      <c r="A2524" s="131" t="s">
        <v>14529</v>
      </c>
      <c r="B2524" s="132">
        <v>3.5406840000000002E-2</v>
      </c>
      <c r="C2524" s="133"/>
    </row>
    <row r="2525" spans="1:3">
      <c r="A2525" s="131" t="s">
        <v>14530</v>
      </c>
      <c r="B2525" s="132">
        <v>2.3860087607700002E-3</v>
      </c>
      <c r="C2525" s="133"/>
    </row>
    <row r="2526" spans="1:3">
      <c r="A2526" s="131" t="s">
        <v>14531</v>
      </c>
      <c r="B2526" s="132">
        <v>76.930000000000007</v>
      </c>
      <c r="C2526" s="133"/>
    </row>
    <row r="2527" spans="1:3">
      <c r="A2527" s="131" t="s">
        <v>14532</v>
      </c>
      <c r="B2527" s="132">
        <v>0.13265731454563962</v>
      </c>
      <c r="C2527" s="133"/>
    </row>
    <row r="2528" spans="1:3">
      <c r="A2528" s="131" t="s">
        <v>14533</v>
      </c>
      <c r="B2528" s="132">
        <v>1.14486559</v>
      </c>
      <c r="C2528" s="133"/>
    </row>
    <row r="2529" spans="1:3">
      <c r="A2529" s="131" t="s">
        <v>14534</v>
      </c>
      <c r="B2529" s="132">
        <v>2.8495158260120534E-3</v>
      </c>
      <c r="C2529" s="133"/>
    </row>
    <row r="2530" spans="1:3">
      <c r="A2530" s="131" t="s">
        <v>14535</v>
      </c>
      <c r="B2530" s="132">
        <v>0.30843289794022377</v>
      </c>
      <c r="C2530" s="133"/>
    </row>
    <row r="2531" spans="1:3">
      <c r="A2531" s="131" t="s">
        <v>14536</v>
      </c>
      <c r="B2531" s="132">
        <v>0.74677812699860646</v>
      </c>
      <c r="C2531" s="133"/>
    </row>
    <row r="2532" spans="1:3">
      <c r="A2532" s="131" t="s">
        <v>14537</v>
      </c>
      <c r="B2532" s="132">
        <v>3.3609151614180002E-2</v>
      </c>
      <c r="C2532" s="133"/>
    </row>
    <row r="2533" spans="1:3">
      <c r="A2533" s="131" t="s">
        <v>14538</v>
      </c>
      <c r="B2533" s="132">
        <v>8723.5499999999993</v>
      </c>
      <c r="C2533" s="133"/>
    </row>
    <row r="2534" spans="1:3">
      <c r="A2534" s="131" t="s">
        <v>14539</v>
      </c>
      <c r="B2534" s="132">
        <v>1.3057835664989149E-3</v>
      </c>
      <c r="C2534" s="133"/>
    </row>
    <row r="2535" spans="1:3">
      <c r="A2535" s="131" t="s">
        <v>14540</v>
      </c>
      <c r="B2535" s="132">
        <v>2.5123080901900428E-2</v>
      </c>
      <c r="C2535" s="133"/>
    </row>
    <row r="2536" spans="1:3">
      <c r="A2536" s="131" t="s">
        <v>14541</v>
      </c>
      <c r="B2536" s="132">
        <v>4023.05</v>
      </c>
      <c r="C2536" s="133"/>
    </row>
    <row r="2537" spans="1:3">
      <c r="A2537" s="131" t="s">
        <v>14542</v>
      </c>
      <c r="B2537" s="132">
        <v>164.93</v>
      </c>
      <c r="C2537" s="133"/>
    </row>
    <row r="2538" spans="1:3">
      <c r="A2538" s="131" t="s">
        <v>14543</v>
      </c>
      <c r="B2538" s="132">
        <v>0.21265279371983786</v>
      </c>
      <c r="C2538" s="133"/>
    </row>
    <row r="2539" spans="1:3">
      <c r="A2539" s="131" t="s">
        <v>14544</v>
      </c>
      <c r="B2539" s="132">
        <v>4.3381713330745697E-2</v>
      </c>
      <c r="C2539" s="133"/>
    </row>
    <row r="2540" spans="1:3">
      <c r="A2540" s="131" t="s">
        <v>14545</v>
      </c>
      <c r="B2540" s="132">
        <v>1.925747991093671</v>
      </c>
      <c r="C2540" s="133"/>
    </row>
    <row r="2541" spans="1:3">
      <c r="A2541" s="131" t="s">
        <v>14546</v>
      </c>
      <c r="B2541" s="132">
        <v>35.770000000000003</v>
      </c>
      <c r="C2541" s="133"/>
    </row>
    <row r="2542" spans="1:3">
      <c r="A2542" s="131" t="s">
        <v>14547</v>
      </c>
      <c r="B2542" s="132">
        <v>1.682220901919627E-3</v>
      </c>
      <c r="C2542" s="133"/>
    </row>
    <row r="2543" spans="1:3">
      <c r="A2543" s="131" t="s">
        <v>14548</v>
      </c>
      <c r="B2543" s="132">
        <v>0.77061439099999995</v>
      </c>
      <c r="C2543" s="133"/>
    </row>
    <row r="2544" spans="1:3">
      <c r="A2544" s="131" t="s">
        <v>14549</v>
      </c>
      <c r="B2544" s="132">
        <v>3.3606115901492588</v>
      </c>
      <c r="C2544" s="133"/>
    </row>
    <row r="2545" spans="1:3">
      <c r="A2545" s="131" t="s">
        <v>14550</v>
      </c>
      <c r="B2545" s="132">
        <v>0.11066783615128201</v>
      </c>
      <c r="C2545" s="133"/>
    </row>
    <row r="2546" spans="1:3">
      <c r="A2546" s="131" t="s">
        <v>14551</v>
      </c>
      <c r="B2546" s="132">
        <v>2.172447962971303E-2</v>
      </c>
      <c r="C2546" s="133"/>
    </row>
    <row r="2547" spans="1:3">
      <c r="A2547" s="131" t="s">
        <v>14552</v>
      </c>
      <c r="B2547" s="132">
        <v>4.3099999999999996</v>
      </c>
      <c r="C2547" s="133"/>
    </row>
    <row r="2548" spans="1:3">
      <c r="A2548" s="131" t="s">
        <v>14553</v>
      </c>
      <c r="B2548" s="132">
        <v>3.6065584999999997E-2</v>
      </c>
      <c r="C2548" s="133"/>
    </row>
    <row r="2549" spans="1:3">
      <c r="A2549" s="131" t="s">
        <v>14554</v>
      </c>
      <c r="B2549" s="132">
        <v>1.0017159879690374</v>
      </c>
      <c r="C2549" s="133"/>
    </row>
    <row r="2550" spans="1:3">
      <c r="A2550" s="131" t="s">
        <v>14555</v>
      </c>
      <c r="B2550" s="132">
        <v>2.2319422283577001E-2</v>
      </c>
      <c r="C2550" s="133"/>
    </row>
    <row r="2551" spans="1:3">
      <c r="A2551" s="131" t="s">
        <v>14556</v>
      </c>
      <c r="B2551" s="132">
        <v>174.46</v>
      </c>
      <c r="C2551" s="133"/>
    </row>
    <row r="2552" spans="1:3">
      <c r="A2552" s="131" t="s">
        <v>14557</v>
      </c>
      <c r="B2552" s="132">
        <v>6.43</v>
      </c>
      <c r="C2552" s="133"/>
    </row>
    <row r="2553" spans="1:3">
      <c r="A2553" s="131" t="s">
        <v>14558</v>
      </c>
      <c r="B2553" s="132">
        <v>1.001220778</v>
      </c>
      <c r="C2553" s="133"/>
    </row>
    <row r="2554" spans="1:3">
      <c r="A2554" s="131" t="s">
        <v>14559</v>
      </c>
      <c r="B2554" s="132">
        <v>3.5413581441229338</v>
      </c>
      <c r="C2554" s="133"/>
    </row>
    <row r="2555" spans="1:3">
      <c r="A2555" s="131" t="s">
        <v>14560</v>
      </c>
      <c r="B2555" s="132">
        <v>1.0045473820198001</v>
      </c>
      <c r="C2555" s="133"/>
    </row>
    <row r="2556" spans="1:3">
      <c r="A2556" s="131" t="s">
        <v>14561</v>
      </c>
      <c r="B2556" s="132">
        <v>79.561280012949567</v>
      </c>
      <c r="C2556" s="133"/>
    </row>
    <row r="2557" spans="1:3">
      <c r="A2557" s="131" t="s">
        <v>14562</v>
      </c>
      <c r="B2557" s="132">
        <v>1247.53</v>
      </c>
      <c r="C2557" s="133"/>
    </row>
    <row r="2558" spans="1:3">
      <c r="A2558" s="131" t="s">
        <v>14563</v>
      </c>
      <c r="B2558" s="132">
        <v>2.1445510428375898E-2</v>
      </c>
      <c r="C2558" s="133"/>
    </row>
    <row r="2559" spans="1:3">
      <c r="A2559" s="131" t="s">
        <v>14564</v>
      </c>
      <c r="B2559" s="132">
        <v>1420.9097268125602</v>
      </c>
      <c r="C2559" s="133"/>
    </row>
    <row r="2560" spans="1:3">
      <c r="A2560" s="131" t="s">
        <v>14565</v>
      </c>
      <c r="B2560" s="132">
        <v>3.2196809244600777E-2</v>
      </c>
      <c r="C2560" s="133"/>
    </row>
    <row r="2561" spans="1:3">
      <c r="A2561" s="131" t="s">
        <v>14566</v>
      </c>
      <c r="B2561" s="132">
        <v>3.6687389016151428E-2</v>
      </c>
      <c r="C2561" s="133"/>
    </row>
    <row r="2562" spans="1:3">
      <c r="A2562" s="131" t="s">
        <v>14567</v>
      </c>
      <c r="B2562" s="132">
        <v>64.61</v>
      </c>
      <c r="C2562" s="133"/>
    </row>
    <row r="2563" spans="1:3">
      <c r="A2563" s="131" t="s">
        <v>14568</v>
      </c>
      <c r="B2563" s="132">
        <v>271.72000000000003</v>
      </c>
      <c r="C2563" s="133"/>
    </row>
    <row r="2564" spans="1:3">
      <c r="A2564" s="131" t="s">
        <v>14569</v>
      </c>
      <c r="B2564" s="132">
        <v>61702.763454257001</v>
      </c>
      <c r="C2564" s="133"/>
    </row>
    <row r="2565" spans="1:3">
      <c r="A2565" s="131" t="s">
        <v>14570</v>
      </c>
      <c r="B2565" s="132">
        <v>2.107469334215848E-3</v>
      </c>
      <c r="C2565" s="133"/>
    </row>
    <row r="2566" spans="1:3">
      <c r="A2566" s="131" t="s">
        <v>14571</v>
      </c>
      <c r="B2566" s="132">
        <v>2.1651332503483798</v>
      </c>
      <c r="C2566" s="133"/>
    </row>
    <row r="2567" spans="1:3">
      <c r="A2567" s="131" t="s">
        <v>14572</v>
      </c>
      <c r="B2567" s="132">
        <v>65.38</v>
      </c>
      <c r="C2567" s="133"/>
    </row>
    <row r="2568" spans="1:3">
      <c r="A2568" s="131" t="s">
        <v>14573</v>
      </c>
      <c r="B2568" s="132">
        <v>2.9405213971354247E-2</v>
      </c>
      <c r="C2568" s="133"/>
    </row>
    <row r="2569" spans="1:3">
      <c r="A2569" s="131" t="s">
        <v>14574</v>
      </c>
      <c r="B2569" s="132">
        <v>0.10380395263780723</v>
      </c>
      <c r="C2569" s="133"/>
    </row>
    <row r="2570" spans="1:3">
      <c r="A2570" s="131" t="s">
        <v>14575</v>
      </c>
      <c r="B2570" s="132">
        <v>4.58</v>
      </c>
      <c r="C2570" s="133"/>
    </row>
    <row r="2571" spans="1:3">
      <c r="A2571" s="131" t="s">
        <v>14576</v>
      </c>
      <c r="B2571" s="132">
        <v>2.7531587896469389E-3</v>
      </c>
      <c r="C2571" s="133"/>
    </row>
    <row r="2572" spans="1:3">
      <c r="A2572" s="131" t="s">
        <v>14577</v>
      </c>
      <c r="B2572" s="132">
        <v>0.27699731599999999</v>
      </c>
      <c r="C2572" s="133"/>
    </row>
    <row r="2573" spans="1:3">
      <c r="A2573" s="131" t="s">
        <v>14578</v>
      </c>
      <c r="B2573" s="132">
        <v>1.5573049826960084</v>
      </c>
      <c r="C2573" s="133"/>
    </row>
    <row r="2574" spans="1:3">
      <c r="A2574" s="131" t="s">
        <v>14579</v>
      </c>
      <c r="B2574" s="132">
        <v>43.12</v>
      </c>
      <c r="C2574" s="133"/>
    </row>
    <row r="2575" spans="1:3">
      <c r="A2575" s="131" t="s">
        <v>14580</v>
      </c>
      <c r="B2575" s="132">
        <v>166.84</v>
      </c>
      <c r="C2575" s="133"/>
    </row>
    <row r="2576" spans="1:3">
      <c r="A2576" s="131" t="s">
        <v>14581</v>
      </c>
      <c r="B2576" s="132">
        <v>0.96200436353683472</v>
      </c>
      <c r="C2576" s="133"/>
    </row>
    <row r="2577" spans="1:3">
      <c r="A2577" s="131" t="s">
        <v>14582</v>
      </c>
      <c r="B2577" s="132">
        <v>1.109041634113241</v>
      </c>
      <c r="C2577" s="133"/>
    </row>
    <row r="2578" spans="1:3">
      <c r="A2578" s="131" t="s">
        <v>14583</v>
      </c>
      <c r="B2578" s="132">
        <v>0.10361406335844144</v>
      </c>
      <c r="C2578" s="133"/>
    </row>
    <row r="2579" spans="1:3">
      <c r="A2579" s="131" t="s">
        <v>14584</v>
      </c>
      <c r="B2579" s="132">
        <v>9.4824907403220637E-2</v>
      </c>
      <c r="C2579" s="133"/>
    </row>
    <row r="2580" spans="1:3">
      <c r="A2580" s="131" t="s">
        <v>14585</v>
      </c>
      <c r="B2580" s="132">
        <v>0.29050291873166667</v>
      </c>
      <c r="C2580" s="133"/>
    </row>
    <row r="2581" spans="1:3">
      <c r="A2581" s="131" t="s">
        <v>14586</v>
      </c>
      <c r="B2581" s="132">
        <v>0.61107528827951474</v>
      </c>
      <c r="C2581" s="133"/>
    </row>
    <row r="2582" spans="1:3">
      <c r="A2582" s="131" t="s">
        <v>14587</v>
      </c>
      <c r="B2582" s="132">
        <v>0.69461915702640076</v>
      </c>
      <c r="C2582" s="133"/>
    </row>
    <row r="2583" spans="1:3">
      <c r="A2583" s="131" t="s">
        <v>14588</v>
      </c>
      <c r="B2583" s="132">
        <v>3.84</v>
      </c>
      <c r="C2583" s="133"/>
    </row>
    <row r="2584" spans="1:3">
      <c r="A2584" s="131" t="s">
        <v>14589</v>
      </c>
      <c r="B2584" s="132">
        <v>1.3996274741182778E-2</v>
      </c>
      <c r="C2584" s="133"/>
    </row>
    <row r="2585" spans="1:3">
      <c r="A2585" s="131" t="s">
        <v>14590</v>
      </c>
      <c r="B2585" s="132">
        <v>7.9105086028253627E-2</v>
      </c>
      <c r="C2585" s="133"/>
    </row>
    <row r="2586" spans="1:3">
      <c r="A2586" s="131" t="s">
        <v>14591</v>
      </c>
      <c r="B2586" s="132">
        <v>0.27852547984983167</v>
      </c>
      <c r="C2586" s="133"/>
    </row>
    <row r="2587" spans="1:3">
      <c r="A2587" s="131" t="s">
        <v>14592</v>
      </c>
      <c r="B2587" s="132">
        <v>0.91505479267111001</v>
      </c>
      <c r="C2587" s="133"/>
    </row>
    <row r="2588" spans="1:3">
      <c r="A2588" s="131" t="s">
        <v>14593</v>
      </c>
      <c r="B2588" s="132">
        <v>4.0076230000000001E-3</v>
      </c>
      <c r="C2588" s="133"/>
    </row>
    <row r="2589" spans="1:3">
      <c r="A2589" s="131" t="s">
        <v>14594</v>
      </c>
      <c r="B2589" s="132">
        <v>26.8</v>
      </c>
      <c r="C2589" s="133"/>
    </row>
    <row r="2590" spans="1:3">
      <c r="A2590" s="131" t="s">
        <v>14595</v>
      </c>
      <c r="B2590" s="132">
        <v>57.672578149583998</v>
      </c>
      <c r="C2590" s="133"/>
    </row>
    <row r="2591" spans="1:3">
      <c r="A2591" s="131" t="s">
        <v>14596</v>
      </c>
      <c r="B2591" s="132">
        <v>3.5910412669181824E-2</v>
      </c>
      <c r="C2591" s="133"/>
    </row>
    <row r="2592" spans="1:3">
      <c r="A2592" s="131" t="s">
        <v>14597</v>
      </c>
      <c r="B2592" s="132">
        <v>2.76</v>
      </c>
      <c r="C2592" s="133"/>
    </row>
    <row r="2593" spans="1:3">
      <c r="A2593" s="131" t="s">
        <v>14598</v>
      </c>
      <c r="B2593" s="132">
        <v>2.1489132004790901E-2</v>
      </c>
      <c r="C2593" s="133"/>
    </row>
    <row r="2594" spans="1:3">
      <c r="A2594" s="131" t="s">
        <v>14599</v>
      </c>
      <c r="B2594" s="132">
        <v>369.02</v>
      </c>
      <c r="C2594" s="133"/>
    </row>
    <row r="2595" spans="1:3">
      <c r="A2595" s="131" t="s">
        <v>14600</v>
      </c>
      <c r="B2595" s="132">
        <v>0.11860191149400547</v>
      </c>
      <c r="C2595" s="133"/>
    </row>
    <row r="2596" spans="1:3">
      <c r="A2596" s="131" t="s">
        <v>14601</v>
      </c>
      <c r="B2596" s="132">
        <v>959.66797820679005</v>
      </c>
      <c r="C2596" s="133"/>
    </row>
    <row r="2597" spans="1:3">
      <c r="A2597" s="131" t="s">
        <v>14602</v>
      </c>
      <c r="B2597" s="132">
        <v>4.9558303999999997E-2</v>
      </c>
      <c r="C2597" s="133"/>
    </row>
    <row r="2598" spans="1:3">
      <c r="A2598" s="131" t="s">
        <v>14603</v>
      </c>
      <c r="B2598" s="132">
        <v>1.3481511397734176</v>
      </c>
      <c r="C2598" s="133"/>
    </row>
    <row r="2599" spans="1:3">
      <c r="A2599" s="131" t="s">
        <v>14604</v>
      </c>
      <c r="B2599" s="132">
        <v>392.92280403465867</v>
      </c>
      <c r="C2599" s="133"/>
    </row>
    <row r="2600" spans="1:3">
      <c r="A2600" s="131" t="s">
        <v>14605</v>
      </c>
      <c r="B2600" s="132">
        <v>8.9986110106110573E-3</v>
      </c>
      <c r="C2600" s="133"/>
    </row>
    <row r="2601" spans="1:3">
      <c r="A2601" s="131" t="s">
        <v>14606</v>
      </c>
      <c r="B2601" s="132">
        <v>0.15364726065404091</v>
      </c>
      <c r="C2601" s="133"/>
    </row>
    <row r="2602" spans="1:3">
      <c r="A2602" s="131" t="s">
        <v>14607</v>
      </c>
      <c r="B2602" s="132">
        <v>7.1147096987135838E-2</v>
      </c>
      <c r="C2602" s="133"/>
    </row>
    <row r="2603" spans="1:3">
      <c r="A2603" s="131" t="s">
        <v>14608</v>
      </c>
      <c r="B2603" s="132">
        <v>4.6516055849006241E-2</v>
      </c>
      <c r="C2603" s="133"/>
    </row>
    <row r="2604" spans="1:3">
      <c r="A2604" s="131" t="s">
        <v>14609</v>
      </c>
      <c r="B2604" s="132">
        <v>1.045321173469947E-2</v>
      </c>
      <c r="C2604" s="133"/>
    </row>
    <row r="2605" spans="1:3">
      <c r="A2605" s="131" t="s">
        <v>14610</v>
      </c>
      <c r="B2605" s="132">
        <v>0.45221125544268614</v>
      </c>
      <c r="C2605" s="133"/>
    </row>
    <row r="2606" spans="1:3">
      <c r="A2606" s="131" t="s">
        <v>14611</v>
      </c>
      <c r="B2606" s="132">
        <v>0.6948250647604568</v>
      </c>
      <c r="C2606" s="133"/>
    </row>
    <row r="2607" spans="1:3">
      <c r="A2607" s="131" t="s">
        <v>14612</v>
      </c>
      <c r="B2607" s="132">
        <v>2504.3000000000002</v>
      </c>
      <c r="C2607" s="133"/>
    </row>
    <row r="2608" spans="1:3">
      <c r="A2608" s="131" t="s">
        <v>14613</v>
      </c>
      <c r="B2608" s="132">
        <v>0.4252165218374947</v>
      </c>
      <c r="C2608" s="133"/>
    </row>
    <row r="2609" spans="1:3">
      <c r="A2609" s="131" t="s">
        <v>14614</v>
      </c>
      <c r="B2609" s="132">
        <v>0.41325353536192538</v>
      </c>
      <c r="C2609" s="133"/>
    </row>
    <row r="2610" spans="1:3">
      <c r="A2610" s="131" t="s">
        <v>14615</v>
      </c>
      <c r="B2610" s="132">
        <v>4.9306718900240652E-2</v>
      </c>
      <c r="C2610" s="133"/>
    </row>
    <row r="2611" spans="1:3">
      <c r="A2611" s="131" t="s">
        <v>14616</v>
      </c>
      <c r="B2611" s="132">
        <v>1.1687165639728001E-2</v>
      </c>
      <c r="C2611" s="133"/>
    </row>
    <row r="2612" spans="1:3">
      <c r="A2612" s="131" t="s">
        <v>14617</v>
      </c>
      <c r="B2612" s="132">
        <v>2.0906966666666707E-2</v>
      </c>
      <c r="C2612" s="133"/>
    </row>
    <row r="2613" spans="1:3">
      <c r="A2613" s="131" t="s">
        <v>14618</v>
      </c>
      <c r="B2613" s="132">
        <v>8.4171841319185495E-2</v>
      </c>
      <c r="C2613" s="133"/>
    </row>
    <row r="2614" spans="1:3">
      <c r="A2614" s="131" t="s">
        <v>14619</v>
      </c>
      <c r="B2614" s="132">
        <v>0.36802347752183467</v>
      </c>
      <c r="C2614" s="133"/>
    </row>
    <row r="2615" spans="1:3">
      <c r="A2615" s="131" t="s">
        <v>14620</v>
      </c>
      <c r="B2615" s="132">
        <v>0.20398963629459282</v>
      </c>
      <c r="C2615" s="133"/>
    </row>
    <row r="2616" spans="1:3">
      <c r="A2616" s="131" t="s">
        <v>14621</v>
      </c>
      <c r="B2616" s="132">
        <v>3.2596573539758721E-2</v>
      </c>
      <c r="C2616" s="133"/>
    </row>
    <row r="2617" spans="1:3">
      <c r="A2617" s="131" t="s">
        <v>14622</v>
      </c>
      <c r="B2617" s="132">
        <v>2.7335376085953537E-2</v>
      </c>
      <c r="C2617" s="133"/>
    </row>
    <row r="2618" spans="1:3">
      <c r="A2618" s="131" t="s">
        <v>14623</v>
      </c>
      <c r="B2618" s="132">
        <v>6.8189584076781606E-2</v>
      </c>
      <c r="C2618" s="133"/>
    </row>
    <row r="2619" spans="1:3">
      <c r="A2619" s="131" t="s">
        <v>14624</v>
      </c>
      <c r="B2619" s="132">
        <v>1.1504600048065186</v>
      </c>
      <c r="C2619" s="133"/>
    </row>
    <row r="2620" spans="1:3">
      <c r="A2620" s="131" t="s">
        <v>14625</v>
      </c>
      <c r="B2620" s="132">
        <v>1.162866551947999</v>
      </c>
      <c r="C2620" s="133"/>
    </row>
    <row r="2621" spans="1:3">
      <c r="A2621" s="131" t="s">
        <v>14626</v>
      </c>
      <c r="B2621" s="132">
        <v>18.13</v>
      </c>
      <c r="C2621" s="133"/>
    </row>
    <row r="2622" spans="1:3">
      <c r="A2622" s="131" t="s">
        <v>14627</v>
      </c>
      <c r="B2622" s="132">
        <v>0.13263011808585765</v>
      </c>
      <c r="C2622" s="133"/>
    </row>
    <row r="2623" spans="1:3">
      <c r="A2623" s="131" t="s">
        <v>14628</v>
      </c>
      <c r="B2623" s="132">
        <v>0.79933793186000823</v>
      </c>
      <c r="C2623" s="133"/>
    </row>
    <row r="2624" spans="1:3">
      <c r="A2624" s="131" t="s">
        <v>14629</v>
      </c>
      <c r="B2624" s="132">
        <v>1.4646601348322001E-3</v>
      </c>
      <c r="C2624" s="133"/>
    </row>
    <row r="2625" spans="1:3">
      <c r="A2625" s="131" t="s">
        <v>14630</v>
      </c>
      <c r="B2625" s="132">
        <v>0.6844318642466567</v>
      </c>
      <c r="C2625" s="133"/>
    </row>
    <row r="2626" spans="1:3">
      <c r="A2626" s="131" t="s">
        <v>14631</v>
      </c>
      <c r="B2626" s="132">
        <v>3.8553947308929075</v>
      </c>
      <c r="C2626" s="133"/>
    </row>
    <row r="2627" spans="1:3">
      <c r="A2627" s="131" t="s">
        <v>14632</v>
      </c>
      <c r="B2627" s="132">
        <v>0.63898652771994935</v>
      </c>
      <c r="C2627" s="133"/>
    </row>
    <row r="2628" spans="1:3">
      <c r="A2628" s="131" t="s">
        <v>14633</v>
      </c>
      <c r="B2628" s="132">
        <v>10.66</v>
      </c>
      <c r="C2628" s="133"/>
    </row>
    <row r="2629" spans="1:3">
      <c r="A2629" s="131" t="s">
        <v>14634</v>
      </c>
      <c r="B2629" s="132">
        <v>8.8699999999999992</v>
      </c>
      <c r="C2629" s="133"/>
    </row>
    <row r="2630" spans="1:3">
      <c r="A2630" s="131" t="s">
        <v>14635</v>
      </c>
      <c r="B2630" s="132">
        <v>158.09</v>
      </c>
      <c r="C2630" s="133"/>
    </row>
    <row r="2631" spans="1:3">
      <c r="A2631" s="131" t="s">
        <v>14636</v>
      </c>
      <c r="B2631" s="132">
        <v>3.4928634431486E-2</v>
      </c>
      <c r="C2631" s="133"/>
    </row>
    <row r="2632" spans="1:3">
      <c r="A2632" s="131" t="s">
        <v>14637</v>
      </c>
      <c r="B2632" s="132">
        <v>4.98206882286686E-2</v>
      </c>
      <c r="C2632" s="133"/>
    </row>
    <row r="2633" spans="1:3">
      <c r="A2633" s="131" t="s">
        <v>14638</v>
      </c>
      <c r="B2633" s="132">
        <v>0.29154288507851739</v>
      </c>
      <c r="C2633" s="133"/>
    </row>
    <row r="2634" spans="1:3">
      <c r="A2634" s="131" t="s">
        <v>14639</v>
      </c>
      <c r="B2634" s="132">
        <v>1.1559852642607851</v>
      </c>
      <c r="C2634" s="133"/>
    </row>
    <row r="2635" spans="1:3">
      <c r="A2635" s="131" t="s">
        <v>14640</v>
      </c>
      <c r="B2635" s="132">
        <v>0.2897270842456397</v>
      </c>
      <c r="C2635" s="133"/>
    </row>
    <row r="2636" spans="1:3">
      <c r="A2636" s="131" t="s">
        <v>14641</v>
      </c>
      <c r="B2636" s="132">
        <v>247.5</v>
      </c>
      <c r="C2636" s="133"/>
    </row>
    <row r="2637" spans="1:3">
      <c r="A2637" s="131" t="s">
        <v>14642</v>
      </c>
      <c r="B2637" s="132">
        <v>1.8498266485009853</v>
      </c>
      <c r="C2637" s="133"/>
    </row>
    <row r="2638" spans="1:3">
      <c r="A2638" s="131" t="s">
        <v>14643</v>
      </c>
      <c r="B2638" s="132">
        <v>0.11325370689000971</v>
      </c>
      <c r="C2638" s="133"/>
    </row>
    <row r="2639" spans="1:3">
      <c r="A2639" s="131" t="s">
        <v>14644</v>
      </c>
      <c r="B2639" s="132">
        <v>0.14499420499999999</v>
      </c>
      <c r="C2639" s="133"/>
    </row>
    <row r="2640" spans="1:3">
      <c r="A2640" s="131" t="s">
        <v>14645</v>
      </c>
      <c r="B2640" s="132">
        <v>1.1652448479759279</v>
      </c>
      <c r="C2640" s="133"/>
    </row>
    <row r="2641" spans="1:3">
      <c r="A2641" s="131" t="s">
        <v>14646</v>
      </c>
      <c r="B2641" s="132">
        <v>18.010000000000002</v>
      </c>
      <c r="C2641" s="133"/>
    </row>
    <row r="2642" spans="1:3">
      <c r="A2642" s="131" t="s">
        <v>14647</v>
      </c>
      <c r="B2642" s="132">
        <v>1.0589627890824949</v>
      </c>
      <c r="C2642" s="133"/>
    </row>
    <row r="2643" spans="1:3">
      <c r="A2643" s="131" t="s">
        <v>14648</v>
      </c>
      <c r="B2643" s="132">
        <v>823.62</v>
      </c>
      <c r="C2643" s="133"/>
    </row>
    <row r="2644" spans="1:3">
      <c r="A2644" s="131" t="s">
        <v>14649</v>
      </c>
      <c r="B2644" s="132">
        <v>0.49658834396822282</v>
      </c>
      <c r="C2644" s="133"/>
    </row>
    <row r="2645" spans="1:3">
      <c r="A2645" s="131" t="s">
        <v>14650</v>
      </c>
      <c r="B2645" s="132">
        <v>4.6987379057789003</v>
      </c>
      <c r="C2645" s="133"/>
    </row>
    <row r="2646" spans="1:3">
      <c r="A2646" s="131" t="s">
        <v>14651</v>
      </c>
      <c r="B2646" s="132">
        <v>3.9198769233603027E-2</v>
      </c>
      <c r="C2646" s="133"/>
    </row>
    <row r="2647" spans="1:3">
      <c r="A2647" s="131" t="s">
        <v>14652</v>
      </c>
      <c r="B2647" s="132">
        <v>12.55</v>
      </c>
      <c r="C2647" s="133"/>
    </row>
    <row r="2648" spans="1:3">
      <c r="A2648" s="131" t="s">
        <v>14653</v>
      </c>
      <c r="B2648" s="132">
        <v>1.4232229379280656</v>
      </c>
      <c r="C2648" s="133"/>
    </row>
    <row r="2649" spans="1:3">
      <c r="A2649" s="131" t="s">
        <v>14654</v>
      </c>
      <c r="B2649" s="132">
        <v>13.222315611200344</v>
      </c>
      <c r="C2649" s="133"/>
    </row>
    <row r="2650" spans="1:3">
      <c r="A2650" s="131" t="s">
        <v>14655</v>
      </c>
      <c r="B2650" s="132">
        <v>0.12331408200000001</v>
      </c>
      <c r="C2650" s="133"/>
    </row>
    <row r="2651" spans="1:3">
      <c r="A2651" s="131" t="s">
        <v>14656</v>
      </c>
      <c r="B2651" s="132">
        <v>0.24704577219103371</v>
      </c>
      <c r="C2651" s="133"/>
    </row>
    <row r="2652" spans="1:3">
      <c r="A2652" s="131" t="s">
        <v>14657</v>
      </c>
      <c r="B2652" s="132">
        <v>24.92</v>
      </c>
      <c r="C2652" s="133"/>
    </row>
    <row r="2653" spans="1:3">
      <c r="A2653" s="131" t="s">
        <v>14658</v>
      </c>
      <c r="B2653" s="132">
        <v>0.19187502707787979</v>
      </c>
      <c r="C2653" s="133"/>
    </row>
    <row r="2654" spans="1:3">
      <c r="A2654" s="131" t="s">
        <v>14659</v>
      </c>
      <c r="B2654" s="132">
        <v>1.5360976721613999</v>
      </c>
      <c r="C2654" s="133"/>
    </row>
    <row r="2655" spans="1:3">
      <c r="A2655" s="131" t="s">
        <v>14660</v>
      </c>
      <c r="B2655" s="132">
        <v>1.1970894365431332E-2</v>
      </c>
      <c r="C2655" s="133"/>
    </row>
    <row r="2656" spans="1:3">
      <c r="A2656" s="131" t="s">
        <v>14661</v>
      </c>
      <c r="B2656" s="132">
        <v>0.22490352534228666</v>
      </c>
      <c r="C2656" s="133"/>
    </row>
    <row r="2657" spans="1:3">
      <c r="A2657" s="131" t="s">
        <v>14662</v>
      </c>
      <c r="B2657" s="132">
        <v>0.47092167732227963</v>
      </c>
      <c r="C2657" s="133"/>
    </row>
    <row r="2658" spans="1:3">
      <c r="A2658" s="131" t="s">
        <v>14663</v>
      </c>
      <c r="B2658" s="132">
        <v>5.2409175069733041E-2</v>
      </c>
      <c r="C2658" s="133"/>
    </row>
    <row r="2659" spans="1:3">
      <c r="A2659" s="131" t="s">
        <v>14664</v>
      </c>
      <c r="B2659" s="132">
        <v>0.67002139301333352</v>
      </c>
      <c r="C2659" s="133"/>
    </row>
    <row r="2660" spans="1:3">
      <c r="A2660" s="131" t="s">
        <v>14665</v>
      </c>
      <c r="B2660" s="132">
        <v>25.79</v>
      </c>
      <c r="C2660" s="133"/>
    </row>
    <row r="2661" spans="1:3">
      <c r="A2661" s="131" t="s">
        <v>14666</v>
      </c>
      <c r="B2661" s="132">
        <v>0.76595748543068498</v>
      </c>
      <c r="C2661" s="133"/>
    </row>
    <row r="2662" spans="1:3">
      <c r="A2662" s="131" t="s">
        <v>14667</v>
      </c>
      <c r="B2662" s="132">
        <v>0.15206871735780073</v>
      </c>
      <c r="C2662" s="133"/>
    </row>
    <row r="2663" spans="1:3">
      <c r="A2663" s="131" t="s">
        <v>14668</v>
      </c>
      <c r="B2663" s="132">
        <v>0.22813679999999995</v>
      </c>
      <c r="C2663" s="133"/>
    </row>
    <row r="2664" spans="1:3">
      <c r="A2664" s="131" t="s">
        <v>14669</v>
      </c>
      <c r="B2664" s="132">
        <v>0.13916107826346305</v>
      </c>
      <c r="C2664" s="133"/>
    </row>
    <row r="2665" spans="1:3">
      <c r="A2665" s="131" t="s">
        <v>14670</v>
      </c>
      <c r="B2665" s="132">
        <v>0.99799599932361194</v>
      </c>
      <c r="C2665" s="133"/>
    </row>
    <row r="2666" spans="1:3">
      <c r="A2666" s="131" t="s">
        <v>14671</v>
      </c>
      <c r="B2666" s="132">
        <v>0.56199874090937529</v>
      </c>
      <c r="C2666" s="133"/>
    </row>
    <row r="2667" spans="1:3">
      <c r="A2667" s="131" t="s">
        <v>14672</v>
      </c>
      <c r="B2667" s="132">
        <v>2.5501097541869999</v>
      </c>
      <c r="C2667" s="133"/>
    </row>
    <row r="2668" spans="1:3">
      <c r="A2668" s="131" t="s">
        <v>14673</v>
      </c>
      <c r="B2668" s="132">
        <v>2.7014546649732285</v>
      </c>
      <c r="C2668" s="133"/>
    </row>
    <row r="2669" spans="1:3">
      <c r="A2669" s="131" t="s">
        <v>14674</v>
      </c>
      <c r="B2669" s="132">
        <v>3.5311390673086647E-2</v>
      </c>
      <c r="C2669" s="133"/>
    </row>
    <row r="2670" spans="1:3">
      <c r="A2670" s="131" t="s">
        <v>14675</v>
      </c>
      <c r="B2670" s="132">
        <v>4.3598654538017628E-3</v>
      </c>
      <c r="C2670" s="133"/>
    </row>
    <row r="2671" spans="1:3">
      <c r="A2671" s="131" t="s">
        <v>14676</v>
      </c>
      <c r="B2671" s="132">
        <v>559.77522797391998</v>
      </c>
      <c r="C2671" s="133"/>
    </row>
    <row r="2672" spans="1:3">
      <c r="A2672" s="131" t="s">
        <v>14677</v>
      </c>
      <c r="B2672" s="132">
        <v>0.44933812000000001</v>
      </c>
      <c r="C2672" s="133"/>
    </row>
    <row r="2673" spans="1:3">
      <c r="A2673" s="131" t="s">
        <v>14678</v>
      </c>
      <c r="B2673" s="132">
        <v>3.8431555393004697E-2</v>
      </c>
      <c r="C2673" s="133"/>
    </row>
    <row r="2674" spans="1:3">
      <c r="A2674" s="131" t="s">
        <v>14679</v>
      </c>
      <c r="B2674" s="132">
        <v>3.74</v>
      </c>
      <c r="C2674" s="133"/>
    </row>
    <row r="2675" spans="1:3">
      <c r="A2675" s="131" t="s">
        <v>14680</v>
      </c>
      <c r="B2675" s="132">
        <v>2.0066678581767392</v>
      </c>
      <c r="C2675" s="133"/>
    </row>
    <row r="2676" spans="1:3">
      <c r="A2676" s="131" t="s">
        <v>14681</v>
      </c>
      <c r="B2676" s="132">
        <v>4.97</v>
      </c>
      <c r="C2676" s="133"/>
    </row>
    <row r="2677" spans="1:3">
      <c r="A2677" s="131" t="s">
        <v>14682</v>
      </c>
      <c r="B2677" s="132">
        <v>2.7947650707395595</v>
      </c>
      <c r="C2677" s="133"/>
    </row>
    <row r="2678" spans="1:3">
      <c r="A2678" s="131" t="s">
        <v>14683</v>
      </c>
      <c r="B2678" s="132">
        <v>8.1419464808855535E-2</v>
      </c>
      <c r="C2678" s="133"/>
    </row>
    <row r="2679" spans="1:3">
      <c r="A2679" s="131" t="s">
        <v>14684</v>
      </c>
      <c r="B2679" s="132">
        <v>0.23422770961162945</v>
      </c>
      <c r="C2679" s="133"/>
    </row>
    <row r="2680" spans="1:3">
      <c r="A2680" s="131" t="s">
        <v>14685</v>
      </c>
      <c r="B2680" s="132">
        <v>9.2109573162807035E-3</v>
      </c>
      <c r="C2680" s="133"/>
    </row>
    <row r="2681" spans="1:3">
      <c r="A2681" s="131" t="s">
        <v>14686</v>
      </c>
      <c r="B2681" s="132">
        <v>3.2974449085561408E-2</v>
      </c>
      <c r="C2681" s="133"/>
    </row>
    <row r="2682" spans="1:3">
      <c r="A2682" s="131" t="s">
        <v>14687</v>
      </c>
      <c r="B2682" s="132">
        <v>6.8260244288478003</v>
      </c>
      <c r="C2682" s="133"/>
    </row>
    <row r="2683" spans="1:3">
      <c r="A2683" s="131" t="s">
        <v>14688</v>
      </c>
      <c r="B2683" s="132">
        <v>0.3079529889076294</v>
      </c>
      <c r="C2683" s="133"/>
    </row>
    <row r="2684" spans="1:3">
      <c r="A2684" s="131" t="s">
        <v>14689</v>
      </c>
      <c r="B2684" s="132">
        <v>1.4633875595763999</v>
      </c>
      <c r="C2684" s="133"/>
    </row>
    <row r="2685" spans="1:3">
      <c r="A2685" s="131" t="s">
        <v>14690</v>
      </c>
      <c r="B2685" s="132">
        <v>3.8605146666667166E-4</v>
      </c>
      <c r="C2685" s="133"/>
    </row>
    <row r="2686" spans="1:3">
      <c r="A2686" s="131" t="s">
        <v>14691</v>
      </c>
      <c r="B2686" s="132">
        <v>1.6932999999999999E-5</v>
      </c>
      <c r="C2686" s="133"/>
    </row>
    <row r="2687" spans="1:3">
      <c r="A2687" s="131" t="s">
        <v>14692</v>
      </c>
      <c r="B2687" s="132">
        <v>7.44</v>
      </c>
      <c r="C2687" s="133"/>
    </row>
    <row r="2688" spans="1:3">
      <c r="A2688" s="131" t="s">
        <v>14693</v>
      </c>
      <c r="B2688" s="132">
        <v>0.92351503453410999</v>
      </c>
      <c r="C2688" s="133"/>
    </row>
    <row r="2689" spans="1:3">
      <c r="A2689" s="131" t="s">
        <v>14694</v>
      </c>
      <c r="B2689" s="132">
        <v>11.35</v>
      </c>
      <c r="C2689" s="133"/>
    </row>
    <row r="2690" spans="1:3">
      <c r="A2690" s="131" t="s">
        <v>14695</v>
      </c>
      <c r="B2690" s="132">
        <v>1.4384945522137722</v>
      </c>
      <c r="C2690" s="133"/>
    </row>
    <row r="2691" spans="1:3">
      <c r="A2691" s="131" t="s">
        <v>14696</v>
      </c>
      <c r="B2691" s="132">
        <v>0.24228244759332734</v>
      </c>
      <c r="C2691" s="133"/>
    </row>
    <row r="2692" spans="1:3">
      <c r="A2692" s="131" t="s">
        <v>14697</v>
      </c>
      <c r="B2692" s="132">
        <v>1.496499555456529E-3</v>
      </c>
      <c r="C2692" s="133"/>
    </row>
    <row r="2693" spans="1:3">
      <c r="A2693" s="131" t="s">
        <v>14698</v>
      </c>
      <c r="B2693" s="132">
        <v>0.27712172180191574</v>
      </c>
      <c r="C2693" s="133"/>
    </row>
    <row r="2694" spans="1:3">
      <c r="A2694" s="131" t="s">
        <v>14699</v>
      </c>
      <c r="B2694" s="132">
        <v>8.1905259675787712E-2</v>
      </c>
      <c r="C2694" s="133"/>
    </row>
    <row r="2695" spans="1:3">
      <c r="A2695" s="131" t="s">
        <v>14700</v>
      </c>
      <c r="B2695" s="132">
        <v>5.3513129241764545E-3</v>
      </c>
      <c r="C2695" s="133"/>
    </row>
    <row r="2696" spans="1:3">
      <c r="A2696" s="131" t="s">
        <v>14701</v>
      </c>
      <c r="B2696" s="132">
        <v>9.5934023022119314E-2</v>
      </c>
      <c r="C2696" s="133"/>
    </row>
    <row r="2697" spans="1:3">
      <c r="A2697" s="131" t="s">
        <v>14702</v>
      </c>
      <c r="B2697" s="132">
        <v>2.6745407095294031</v>
      </c>
      <c r="C2697" s="133"/>
    </row>
    <row r="2698" spans="1:3">
      <c r="A2698" s="131" t="s">
        <v>14703</v>
      </c>
      <c r="B2698" s="132">
        <v>2.9</v>
      </c>
      <c r="C2698" s="133"/>
    </row>
    <row r="2699" spans="1:3">
      <c r="A2699" s="131" t="s">
        <v>14704</v>
      </c>
      <c r="B2699" s="132">
        <v>4.797308642201302E-2</v>
      </c>
      <c r="C2699" s="133"/>
    </row>
    <row r="2700" spans="1:3">
      <c r="A2700" s="131" t="s">
        <v>14705</v>
      </c>
      <c r="B2700" s="132">
        <v>1.0378561680417661E-2</v>
      </c>
      <c r="C2700" s="133"/>
    </row>
    <row r="2701" spans="1:3">
      <c r="A2701" s="131" t="s">
        <v>14706</v>
      </c>
      <c r="B2701" s="132">
        <v>2.5335842702872265E-2</v>
      </c>
      <c r="C2701" s="133"/>
    </row>
    <row r="2702" spans="1:3">
      <c r="A2702" s="131" t="s">
        <v>14707</v>
      </c>
      <c r="B2702" s="132">
        <v>1.7013677915882064</v>
      </c>
      <c r="C2702" s="133"/>
    </row>
    <row r="2703" spans="1:3">
      <c r="A2703" s="131" t="s">
        <v>14708</v>
      </c>
      <c r="B2703" s="132">
        <v>1.87</v>
      </c>
      <c r="C2703" s="133"/>
    </row>
    <row r="2704" spans="1:3">
      <c r="A2704" s="131" t="s">
        <v>14709</v>
      </c>
      <c r="B2704" s="132">
        <v>0.15791241998950017</v>
      </c>
      <c r="C2704" s="133"/>
    </row>
    <row r="2705" spans="1:3">
      <c r="A2705" s="131" t="s">
        <v>14710</v>
      </c>
      <c r="B2705" s="132">
        <v>0.25386545242520564</v>
      </c>
      <c r="C2705" s="133"/>
    </row>
    <row r="2706" spans="1:3">
      <c r="A2706" s="131" t="s">
        <v>14711</v>
      </c>
      <c r="B2706" s="132">
        <v>5.0184834788842003E-3</v>
      </c>
      <c r="C2706" s="133"/>
    </row>
    <row r="2707" spans="1:3">
      <c r="A2707" s="131" t="s">
        <v>14712</v>
      </c>
      <c r="B2707" s="132">
        <v>3.76</v>
      </c>
      <c r="C2707" s="133"/>
    </row>
    <row r="2708" spans="1:3">
      <c r="A2708" s="131" t="s">
        <v>14713</v>
      </c>
      <c r="B2708" s="132">
        <v>0.31051135702553567</v>
      </c>
      <c r="C2708" s="133"/>
    </row>
    <row r="2709" spans="1:3">
      <c r="A2709" s="131" t="s">
        <v>14714</v>
      </c>
      <c r="B2709" s="132">
        <v>4.8099999999999996</v>
      </c>
      <c r="C2709" s="133"/>
    </row>
    <row r="2710" spans="1:3">
      <c r="A2710" s="131" t="s">
        <v>14715</v>
      </c>
      <c r="B2710" s="132">
        <v>2.913060415335866E-2</v>
      </c>
      <c r="C2710" s="133"/>
    </row>
    <row r="2711" spans="1:3">
      <c r="A2711" s="131" t="s">
        <v>14716</v>
      </c>
      <c r="B2711" s="132">
        <v>0.41398522102481</v>
      </c>
      <c r="C2711" s="133"/>
    </row>
    <row r="2712" spans="1:3">
      <c r="A2712" s="131" t="s">
        <v>14717</v>
      </c>
      <c r="B2712" s="132">
        <v>8.5872133026638098E-2</v>
      </c>
      <c r="C2712" s="133"/>
    </row>
    <row r="2713" spans="1:3">
      <c r="A2713" s="131" t="s">
        <v>14718</v>
      </c>
      <c r="B2713" s="132">
        <v>1.069622903526554E-3</v>
      </c>
      <c r="C2713" s="133"/>
    </row>
    <row r="2714" spans="1:3">
      <c r="A2714" s="131" t="s">
        <v>14719</v>
      </c>
      <c r="B2714" s="132">
        <v>0.28642174330986664</v>
      </c>
      <c r="C2714" s="133"/>
    </row>
    <row r="2715" spans="1:3">
      <c r="A2715" s="131" t="s">
        <v>14720</v>
      </c>
      <c r="B2715" s="132">
        <v>3.091584260085271E-2</v>
      </c>
      <c r="C2715" s="133"/>
    </row>
    <row r="2716" spans="1:3">
      <c r="A2716" s="131" t="s">
        <v>14721</v>
      </c>
      <c r="B2716" s="132">
        <v>0.81620433441152729</v>
      </c>
      <c r="C2716" s="133"/>
    </row>
    <row r="2717" spans="1:3">
      <c r="A2717" s="131" t="s">
        <v>14722</v>
      </c>
      <c r="B2717" s="132">
        <v>0.20878878169257215</v>
      </c>
      <c r="C2717" s="133"/>
    </row>
    <row r="2718" spans="1:3">
      <c r="A2718" s="131" t="s">
        <v>14723</v>
      </c>
      <c r="B2718" s="132">
        <v>0.13116179456726129</v>
      </c>
      <c r="C2718" s="133"/>
    </row>
    <row r="2719" spans="1:3">
      <c r="A2719" s="131" t="s">
        <v>14724</v>
      </c>
      <c r="B2719" s="132">
        <v>1.2841977559171442</v>
      </c>
      <c r="C2719" s="133"/>
    </row>
    <row r="2720" spans="1:3">
      <c r="A2720" s="131" t="s">
        <v>14725</v>
      </c>
      <c r="B2720" s="132">
        <v>0.22710985940698</v>
      </c>
      <c r="C2720" s="133"/>
    </row>
    <row r="2721" spans="1:3">
      <c r="A2721" s="131" t="s">
        <v>14726</v>
      </c>
      <c r="B2721" s="132">
        <v>9.1892076621160612E-2</v>
      </c>
      <c r="C2721" s="133"/>
    </row>
    <row r="2722" spans="1:3">
      <c r="A2722" s="131" t="s">
        <v>14727</v>
      </c>
      <c r="B2722" s="132">
        <v>0.82415602027195256</v>
      </c>
      <c r="C2722" s="133"/>
    </row>
    <row r="2723" spans="1:3">
      <c r="A2723" s="131" t="s">
        <v>14728</v>
      </c>
      <c r="B2723" s="132">
        <v>9.0554628306685828E-2</v>
      </c>
      <c r="C2723" s="133"/>
    </row>
    <row r="2724" spans="1:3">
      <c r="A2724" s="131" t="s">
        <v>14729</v>
      </c>
      <c r="B2724" s="132">
        <v>8.4856315832517168E-2</v>
      </c>
      <c r="C2724" s="133"/>
    </row>
    <row r="2725" spans="1:3">
      <c r="A2725" s="131" t="s">
        <v>14730</v>
      </c>
      <c r="B2725" s="132">
        <v>1.1589798024267739E-2</v>
      </c>
      <c r="C2725" s="133"/>
    </row>
    <row r="2726" spans="1:3">
      <c r="A2726" s="131" t="s">
        <v>14731</v>
      </c>
      <c r="B2726" s="132">
        <v>4.2001558467745781E-3</v>
      </c>
      <c r="C2726" s="133"/>
    </row>
    <row r="2727" spans="1:3">
      <c r="A2727" s="131" t="s">
        <v>14732</v>
      </c>
      <c r="B2727" s="132">
        <v>3.0741156110226462E-3</v>
      </c>
      <c r="C2727" s="133"/>
    </row>
    <row r="2728" spans="1:3">
      <c r="A2728" s="131" t="s">
        <v>14733</v>
      </c>
      <c r="B2728" s="132">
        <v>440.5</v>
      </c>
      <c r="C2728" s="133"/>
    </row>
    <row r="2729" spans="1:3">
      <c r="A2729" s="131" t="s">
        <v>14734</v>
      </c>
      <c r="B2729" s="132">
        <v>0.12640186341110266</v>
      </c>
      <c r="C2729" s="133"/>
    </row>
    <row r="2730" spans="1:3">
      <c r="A2730" s="131" t="s">
        <v>14735</v>
      </c>
      <c r="B2730" s="132">
        <v>4.0264058858018294E-2</v>
      </c>
      <c r="C2730" s="133"/>
    </row>
    <row r="2731" spans="1:3">
      <c r="A2731" s="131" t="s">
        <v>14736</v>
      </c>
      <c r="B2731" s="132">
        <v>3.08</v>
      </c>
      <c r="C2731" s="133"/>
    </row>
    <row r="2732" spans="1:3">
      <c r="A2732" s="131" t="s">
        <v>14737</v>
      </c>
      <c r="B2732" s="132">
        <v>3.2566575992780573E-2</v>
      </c>
      <c r="C2732" s="133"/>
    </row>
    <row r="2733" spans="1:3">
      <c r="A2733" s="131" t="s">
        <v>14738</v>
      </c>
      <c r="B2733" s="132">
        <v>0.68183241437406727</v>
      </c>
      <c r="C2733" s="133"/>
    </row>
    <row r="2734" spans="1:3">
      <c r="A2734" s="131" t="s">
        <v>14739</v>
      </c>
      <c r="B2734" s="132">
        <v>902.74</v>
      </c>
      <c r="C2734" s="133"/>
    </row>
    <row r="2735" spans="1:3">
      <c r="A2735" s="131" t="s">
        <v>14740</v>
      </c>
      <c r="B2735" s="132">
        <v>2.4182074438615171</v>
      </c>
      <c r="C2735" s="133"/>
    </row>
    <row r="2736" spans="1:3">
      <c r="A2736" s="131" t="s">
        <v>14741</v>
      </c>
      <c r="B2736" s="132">
        <v>0.99999377710524673</v>
      </c>
      <c r="C2736" s="133"/>
    </row>
    <row r="2737" spans="1:3">
      <c r="A2737" s="131" t="s">
        <v>14742</v>
      </c>
      <c r="B2737" s="132">
        <v>8.839202359242463E-3</v>
      </c>
      <c r="C2737" s="133"/>
    </row>
    <row r="2738" spans="1:3">
      <c r="A2738" s="131" t="s">
        <v>14743</v>
      </c>
      <c r="B2738" s="132">
        <v>422.53</v>
      </c>
      <c r="C2738" s="133"/>
    </row>
    <row r="2739" spans="1:3">
      <c r="A2739" s="131" t="s">
        <v>14744</v>
      </c>
      <c r="B2739" s="132">
        <v>1.6655429222688457E-2</v>
      </c>
      <c r="C2739" s="133"/>
    </row>
    <row r="2740" spans="1:3">
      <c r="A2740" s="131" t="s">
        <v>14745</v>
      </c>
      <c r="B2740" s="132">
        <v>12.4</v>
      </c>
      <c r="C2740" s="133"/>
    </row>
    <row r="2741" spans="1:3">
      <c r="A2741" s="131" t="s">
        <v>14746</v>
      </c>
      <c r="B2741" s="132">
        <v>1.4427372100252127E-2</v>
      </c>
      <c r="C2741" s="133"/>
    </row>
    <row r="2742" spans="1:3">
      <c r="A2742" s="131" t="s">
        <v>14747</v>
      </c>
      <c r="B2742" s="132">
        <v>9.2799999999999994</v>
      </c>
      <c r="C2742" s="133"/>
    </row>
    <row r="2743" spans="1:3">
      <c r="A2743" s="131" t="s">
        <v>14748</v>
      </c>
      <c r="B2743" s="132">
        <v>2.77</v>
      </c>
      <c r="C2743" s="133"/>
    </row>
    <row r="2744" spans="1:3">
      <c r="A2744" s="131" t="s">
        <v>14749</v>
      </c>
      <c r="B2744" s="132">
        <v>19.97</v>
      </c>
      <c r="C2744" s="133"/>
    </row>
    <row r="2745" spans="1:3">
      <c r="A2745" s="131" t="s">
        <v>14750</v>
      </c>
      <c r="B2745" s="132">
        <v>0.82609632037518177</v>
      </c>
      <c r="C2745" s="133"/>
    </row>
    <row r="2746" spans="1:3">
      <c r="A2746" s="131" t="s">
        <v>14751</v>
      </c>
      <c r="B2746" s="132">
        <v>9.1143039180682839E-2</v>
      </c>
      <c r="C2746" s="133"/>
    </row>
    <row r="2747" spans="1:3">
      <c r="A2747" s="131" t="s">
        <v>14752</v>
      </c>
      <c r="B2747" s="132">
        <v>1.1113924727014869E-2</v>
      </c>
      <c r="C2747" s="133"/>
    </row>
    <row r="2748" spans="1:3">
      <c r="A2748" s="131" t="s">
        <v>14753</v>
      </c>
      <c r="B2748" s="132">
        <v>1.1197951786091398</v>
      </c>
      <c r="C2748" s="133"/>
    </row>
    <row r="2749" spans="1:3">
      <c r="A2749" s="131" t="s">
        <v>14754</v>
      </c>
      <c r="B2749" s="132">
        <v>5.854644391655682E-2</v>
      </c>
      <c r="C2749" s="133"/>
    </row>
    <row r="2750" spans="1:3">
      <c r="A2750" s="131" t="s">
        <v>14755</v>
      </c>
      <c r="B2750" s="132">
        <v>15.59</v>
      </c>
      <c r="C2750" s="133"/>
    </row>
    <row r="2751" spans="1:3">
      <c r="A2751" s="131" t="s">
        <v>14756</v>
      </c>
      <c r="B2751" s="132">
        <v>0.50163390887140458</v>
      </c>
      <c r="C2751" s="133"/>
    </row>
    <row r="2752" spans="1:3">
      <c r="A2752" s="131" t="s">
        <v>14757</v>
      </c>
      <c r="B2752" s="132">
        <v>0.76561672726307017</v>
      </c>
      <c r="C2752" s="133"/>
    </row>
    <row r="2753" spans="1:3">
      <c r="A2753" s="131" t="s">
        <v>14758</v>
      </c>
      <c r="B2753" s="132">
        <v>0.78790000000000004</v>
      </c>
      <c r="C2753" s="133"/>
    </row>
    <row r="2754" spans="1:3">
      <c r="A2754" s="131" t="s">
        <v>14759</v>
      </c>
      <c r="B2754" s="132">
        <v>7.4029249420643704E-5</v>
      </c>
      <c r="C2754" s="133"/>
    </row>
    <row r="2755" spans="1:3">
      <c r="A2755" s="131" t="s">
        <v>14760</v>
      </c>
      <c r="B2755" s="132">
        <v>3.1386002523753733E-4</v>
      </c>
      <c r="C2755" s="133"/>
    </row>
    <row r="2756" spans="1:3">
      <c r="A2756" s="131" t="s">
        <v>14761</v>
      </c>
      <c r="B2756" s="132">
        <v>5.3662242631100617E-3</v>
      </c>
      <c r="C2756" s="133"/>
    </row>
    <row r="2757" spans="1:3">
      <c r="A2757" s="131" t="s">
        <v>14762</v>
      </c>
      <c r="B2757" s="132">
        <v>5.1342766863694128E-3</v>
      </c>
      <c r="C2757" s="133"/>
    </row>
    <row r="2758" spans="1:3">
      <c r="A2758" s="131" t="s">
        <v>14763</v>
      </c>
      <c r="B2758" s="132">
        <v>0.25486053555838167</v>
      </c>
      <c r="C2758" s="133"/>
    </row>
    <row r="2759" spans="1:3">
      <c r="A2759" s="131" t="s">
        <v>14764</v>
      </c>
      <c r="B2759" s="132">
        <v>7.43</v>
      </c>
      <c r="C2759" s="133"/>
    </row>
    <row r="2760" spans="1:3">
      <c r="A2760" s="131" t="s">
        <v>14765</v>
      </c>
      <c r="B2760" s="132">
        <v>1.3824986173999897E-2</v>
      </c>
      <c r="C2760" s="133"/>
    </row>
    <row r="2761" spans="1:3">
      <c r="A2761" s="131" t="s">
        <v>14766</v>
      </c>
      <c r="B2761" s="132">
        <v>4.6486496925354004E-2</v>
      </c>
      <c r="C2761" s="133"/>
    </row>
    <row r="2762" spans="1:3">
      <c r="A2762" s="131" t="s">
        <v>14767</v>
      </c>
      <c r="B2762" s="132">
        <v>4.8364557432624879E-3</v>
      </c>
      <c r="C2762" s="133"/>
    </row>
    <row r="2763" spans="1:3">
      <c r="A2763" s="131" t="s">
        <v>14768</v>
      </c>
      <c r="B2763" s="132">
        <v>101.0891604011934</v>
      </c>
      <c r="C2763" s="133"/>
    </row>
    <row r="2764" spans="1:3">
      <c r="A2764" s="131" t="s">
        <v>14769</v>
      </c>
      <c r="B2764" s="132">
        <v>7.0052631199359894E-2</v>
      </c>
      <c r="C2764" s="133"/>
    </row>
    <row r="2765" spans="1:3">
      <c r="A2765" s="131" t="s">
        <v>14770</v>
      </c>
      <c r="B2765" s="132">
        <v>9.105156666666657E-2</v>
      </c>
      <c r="C2765" s="133"/>
    </row>
    <row r="2766" spans="1:3">
      <c r="A2766" s="131" t="s">
        <v>14771</v>
      </c>
      <c r="B2766" s="132">
        <v>2.0096196269948001E-3</v>
      </c>
      <c r="C2766" s="133"/>
    </row>
    <row r="2767" spans="1:3">
      <c r="A2767" s="131" t="s">
        <v>14772</v>
      </c>
      <c r="B2767" s="132">
        <v>19.343343061393565</v>
      </c>
      <c r="C2767" s="133"/>
    </row>
    <row r="2768" spans="1:3">
      <c r="A2768" s="131" t="s">
        <v>14773</v>
      </c>
      <c r="B2768" s="132">
        <v>3.1769049999999993E-2</v>
      </c>
      <c r="C2768" s="133"/>
    </row>
    <row r="2769" spans="1:3">
      <c r="A2769" s="131" t="s">
        <v>14774</v>
      </c>
      <c r="B2769" s="132">
        <v>2.6761104802879222E-2</v>
      </c>
      <c r="C2769" s="133"/>
    </row>
    <row r="2770" spans="1:3">
      <c r="A2770" s="131" t="s">
        <v>14775</v>
      </c>
      <c r="B2770" s="132">
        <v>1.3944457853738971E-2</v>
      </c>
      <c r="C2770" s="133"/>
    </row>
    <row r="2771" spans="1:3">
      <c r="A2771" s="131" t="s">
        <v>14776</v>
      </c>
      <c r="B2771" s="132">
        <v>2.7355398468707497</v>
      </c>
      <c r="C2771" s="133"/>
    </row>
    <row r="2772" spans="1:3">
      <c r="A2772" s="131" t="s">
        <v>14777</v>
      </c>
      <c r="B2772" s="132">
        <v>1.0189991043555227</v>
      </c>
      <c r="C2772" s="133"/>
    </row>
    <row r="2773" spans="1:3">
      <c r="A2773" s="131" t="s">
        <v>14778</v>
      </c>
      <c r="B2773" s="132">
        <v>3.0838552862405777E-2</v>
      </c>
      <c r="C2773" s="133"/>
    </row>
    <row r="2774" spans="1:3">
      <c r="A2774" s="131" t="s">
        <v>14779</v>
      </c>
      <c r="B2774" s="132">
        <v>4.9422483136039143E-3</v>
      </c>
      <c r="C2774" s="133"/>
    </row>
    <row r="2775" spans="1:3">
      <c r="A2775" s="131" t="s">
        <v>14780</v>
      </c>
      <c r="B2775" s="132">
        <v>5.2885469049215317E-3</v>
      </c>
      <c r="C2775" s="133"/>
    </row>
    <row r="2776" spans="1:3">
      <c r="A2776" s="131" t="s">
        <v>14781</v>
      </c>
      <c r="B2776" s="132">
        <v>1.7290578021976168E-2</v>
      </c>
      <c r="C2776" s="133"/>
    </row>
    <row r="2777" spans="1:3">
      <c r="A2777" s="131" t="s">
        <v>14782</v>
      </c>
      <c r="B2777" s="132">
        <v>3.4793327263173102</v>
      </c>
      <c r="C2777" s="133"/>
    </row>
    <row r="2778" spans="1:3">
      <c r="A2778" s="131" t="s">
        <v>14783</v>
      </c>
      <c r="B2778" s="132">
        <v>1.4667782001197338E-2</v>
      </c>
      <c r="C2778" s="133"/>
    </row>
    <row r="2779" spans="1:3">
      <c r="A2779" s="131" t="s">
        <v>14784</v>
      </c>
      <c r="B2779" s="132">
        <v>0.22742937579999997</v>
      </c>
      <c r="C2779" s="133"/>
    </row>
    <row r="2780" spans="1:3">
      <c r="A2780" s="131" t="s">
        <v>14785</v>
      </c>
      <c r="B2780" s="132">
        <v>5.4652661058803703E-3</v>
      </c>
      <c r="C2780" s="133"/>
    </row>
    <row r="2781" spans="1:3">
      <c r="A2781" s="131" t="s">
        <v>14786</v>
      </c>
      <c r="B2781" s="132">
        <v>1.1052359792964488</v>
      </c>
      <c r="C2781" s="133"/>
    </row>
    <row r="2782" spans="1:3">
      <c r="A2782" s="131" t="s">
        <v>14787</v>
      </c>
      <c r="B2782" s="132">
        <v>1.0761540955856173</v>
      </c>
      <c r="C2782" s="133"/>
    </row>
    <row r="2783" spans="1:3">
      <c r="A2783" s="131" t="s">
        <v>14788</v>
      </c>
      <c r="B2783" s="132">
        <v>1.184234033338025</v>
      </c>
      <c r="C2783" s="133"/>
    </row>
    <row r="2784" spans="1:3">
      <c r="A2784" s="131" t="s">
        <v>14789</v>
      </c>
      <c r="B2784" s="132">
        <v>4.1103300099891868E-2</v>
      </c>
      <c r="C2784" s="133"/>
    </row>
    <row r="2785" spans="1:3">
      <c r="A2785" s="131" t="s">
        <v>14790</v>
      </c>
      <c r="B2785" s="132">
        <v>1.3841005676920651E-2</v>
      </c>
      <c r="C2785" s="133"/>
    </row>
    <row r="2786" spans="1:3">
      <c r="A2786" s="131" t="s">
        <v>14791</v>
      </c>
      <c r="B2786" s="132">
        <v>6.51</v>
      </c>
      <c r="C2786" s="133"/>
    </row>
    <row r="2787" spans="1:3">
      <c r="A2787" s="131" t="s">
        <v>14792</v>
      </c>
      <c r="B2787" s="132">
        <v>0.21361309789976296</v>
      </c>
      <c r="C2787" s="133"/>
    </row>
    <row r="2788" spans="1:3">
      <c r="A2788" s="131" t="s">
        <v>14793</v>
      </c>
      <c r="B2788" s="132">
        <v>9.341781713384453E-4</v>
      </c>
      <c r="C2788" s="133"/>
    </row>
    <row r="2789" spans="1:3">
      <c r="A2789" s="131" t="s">
        <v>14794</v>
      </c>
      <c r="B2789" s="132">
        <v>1.1936760333333334</v>
      </c>
      <c r="C2789" s="133"/>
    </row>
    <row r="2790" spans="1:3">
      <c r="A2790" s="131" t="s">
        <v>14795</v>
      </c>
      <c r="B2790" s="132">
        <v>0.56119772386654998</v>
      </c>
      <c r="C2790" s="133"/>
    </row>
    <row r="2791" spans="1:3">
      <c r="A2791" s="131" t="s">
        <v>14796</v>
      </c>
      <c r="B2791" s="132">
        <v>7.91</v>
      </c>
      <c r="C2791" s="133"/>
    </row>
    <row r="2792" spans="1:3">
      <c r="A2792" s="131" t="s">
        <v>14797</v>
      </c>
      <c r="B2792" s="132">
        <v>4.5238994981469827E-2</v>
      </c>
      <c r="C2792" s="133"/>
    </row>
    <row r="2793" spans="1:3">
      <c r="A2793" s="131" t="s">
        <v>14798</v>
      </c>
      <c r="B2793" s="132">
        <v>1.8504874186328799</v>
      </c>
      <c r="C2793" s="133"/>
    </row>
    <row r="2794" spans="1:3">
      <c r="A2794" s="131" t="s">
        <v>14799</v>
      </c>
      <c r="B2794" s="132">
        <v>6.8545724133188563E-3</v>
      </c>
      <c r="C2794" s="133"/>
    </row>
    <row r="2795" spans="1:3">
      <c r="A2795" s="131" t="s">
        <v>14800</v>
      </c>
      <c r="B2795" s="132">
        <v>2.4016700992786104E-3</v>
      </c>
      <c r="C2795" s="133"/>
    </row>
    <row r="2796" spans="1:3">
      <c r="A2796" s="131" t="s">
        <v>14801</v>
      </c>
      <c r="B2796" s="132">
        <v>6.3500517178049221E-2</v>
      </c>
      <c r="C2796" s="133"/>
    </row>
    <row r="2797" spans="1:3">
      <c r="A2797" s="131" t="s">
        <v>14802</v>
      </c>
      <c r="B2797" s="132">
        <v>8.169571175613578E-3</v>
      </c>
      <c r="C2797" s="133"/>
    </row>
    <row r="2798" spans="1:3">
      <c r="A2798" s="131" t="s">
        <v>14803</v>
      </c>
      <c r="B2798" s="132">
        <v>1.2009299825876951E-4</v>
      </c>
      <c r="C2798" s="133"/>
    </row>
    <row r="2799" spans="1:3">
      <c r="A2799" s="131" t="s">
        <v>14804</v>
      </c>
      <c r="B2799" s="132">
        <v>9.5826451775759797E-2</v>
      </c>
      <c r="C2799" s="133"/>
    </row>
    <row r="2800" spans="1:3">
      <c r="A2800" s="131" t="s">
        <v>14805</v>
      </c>
      <c r="B2800" s="132">
        <v>6.5106218705729038E-2</v>
      </c>
      <c r="C2800" s="133"/>
    </row>
    <row r="2801" spans="1:3">
      <c r="A2801" s="131" t="s">
        <v>14806</v>
      </c>
      <c r="B2801" s="132">
        <v>0.27923912899999997</v>
      </c>
      <c r="C2801" s="133"/>
    </row>
    <row r="2802" spans="1:3">
      <c r="A2802" s="131" t="s">
        <v>14807</v>
      </c>
      <c r="B2802" s="132">
        <v>3.3034840148458998E-2</v>
      </c>
      <c r="C2802" s="133"/>
    </row>
    <row r="2803" spans="1:3">
      <c r="A2803" s="131" t="s">
        <v>14808</v>
      </c>
      <c r="B2803" s="132">
        <v>1.72961120928758E-2</v>
      </c>
      <c r="C2803" s="133"/>
    </row>
    <row r="2804" spans="1:3">
      <c r="A2804" s="131" t="s">
        <v>14809</v>
      </c>
      <c r="B2804" s="132">
        <v>1.1186261931093129</v>
      </c>
      <c r="C2804" s="133"/>
    </row>
    <row r="2805" spans="1:3">
      <c r="A2805" s="131" t="s">
        <v>14810</v>
      </c>
      <c r="B2805" s="132">
        <v>4.8452929597426067E-3</v>
      </c>
      <c r="C2805" s="133"/>
    </row>
    <row r="2806" spans="1:3">
      <c r="A2806" s="131" t="s">
        <v>14811</v>
      </c>
      <c r="B2806" s="132">
        <v>4.1909489310696449E-3</v>
      </c>
      <c r="C2806" s="133"/>
    </row>
    <row r="2807" spans="1:3">
      <c r="A2807" s="131" t="s">
        <v>14812</v>
      </c>
      <c r="B2807" s="132">
        <v>1.4463299885392189E-4</v>
      </c>
      <c r="C2807" s="133"/>
    </row>
    <row r="2808" spans="1:3">
      <c r="A2808" s="131" t="s">
        <v>14813</v>
      </c>
      <c r="B2808" s="132">
        <v>0.70054154814403025</v>
      </c>
      <c r="C2808" s="133"/>
    </row>
    <row r="2809" spans="1:3">
      <c r="A2809" s="131" t="s">
        <v>14814</v>
      </c>
      <c r="B2809" s="132">
        <v>1.2541171545246756</v>
      </c>
      <c r="C2809" s="133"/>
    </row>
    <row r="2810" spans="1:3">
      <c r="A2810" s="131" t="s">
        <v>14815</v>
      </c>
      <c r="B2810" s="132">
        <v>6.743977679622943E-3</v>
      </c>
      <c r="C2810" s="133"/>
    </row>
    <row r="2811" spans="1:3">
      <c r="A2811" s="131" t="s">
        <v>10619</v>
      </c>
      <c r="B2811" s="132">
        <v>3.0827458999999936E-5</v>
      </c>
      <c r="C2811" s="133"/>
    </row>
    <row r="2812" spans="1:3">
      <c r="A2812" s="131" t="s">
        <v>10620</v>
      </c>
      <c r="B2812" s="132">
        <v>2.0065680140157892E-3</v>
      </c>
      <c r="C2812" s="133"/>
    </row>
    <row r="2813" spans="1:3">
      <c r="A2813" s="131" t="s">
        <v>10621</v>
      </c>
      <c r="B2813" s="132">
        <v>1.1654335828729014E-2</v>
      </c>
      <c r="C2813" s="133"/>
    </row>
    <row r="2814" spans="1:3">
      <c r="A2814" s="131" t="s">
        <v>10622</v>
      </c>
      <c r="B2814" s="132">
        <v>1.3994277086212032</v>
      </c>
      <c r="C2814" s="133"/>
    </row>
    <row r="2815" spans="1:3">
      <c r="A2815" s="131" t="s">
        <v>10623</v>
      </c>
      <c r="B2815" s="132">
        <v>2.6062944927418133E-2</v>
      </c>
      <c r="C2815" s="133"/>
    </row>
    <row r="2816" spans="1:3">
      <c r="A2816" s="131" t="s">
        <v>10624</v>
      </c>
      <c r="B2816" s="132">
        <v>0.82106036142172867</v>
      </c>
      <c r="C2816" s="133"/>
    </row>
    <row r="2817" spans="1:3">
      <c r="A2817" s="131" t="s">
        <v>10625</v>
      </c>
      <c r="B2817" s="132">
        <v>1.4403684106697678E-2</v>
      </c>
      <c r="C2817" s="133"/>
    </row>
    <row r="2818" spans="1:3">
      <c r="A2818" s="131" t="s">
        <v>10626</v>
      </c>
      <c r="B2818" s="132">
        <v>6.3314224489256308E-3</v>
      </c>
      <c r="C2818" s="133"/>
    </row>
    <row r="2819" spans="1:3">
      <c r="A2819" s="131" t="s">
        <v>10627</v>
      </c>
      <c r="B2819" s="132">
        <v>6.7385436060661191E-2</v>
      </c>
      <c r="C2819" s="133"/>
    </row>
    <row r="2820" spans="1:3">
      <c r="A2820" s="131" t="s">
        <v>10628</v>
      </c>
      <c r="B2820" s="132">
        <v>1.7896523387673387E-2</v>
      </c>
      <c r="C2820" s="133"/>
    </row>
    <row r="2821" spans="1:3">
      <c r="A2821" s="131" t="s">
        <v>10629</v>
      </c>
      <c r="B2821" s="132">
        <v>1.7528149764984846E-3</v>
      </c>
      <c r="C2821" s="133"/>
    </row>
    <row r="2822" spans="1:3">
      <c r="A2822" s="131" t="s">
        <v>10630</v>
      </c>
      <c r="B2822" s="132">
        <v>2.5091172069047785</v>
      </c>
      <c r="C2822" s="133"/>
    </row>
    <row r="2823" spans="1:3">
      <c r="A2823" s="131" t="s">
        <v>10631</v>
      </c>
      <c r="B2823" s="132">
        <v>0.43596587201973247</v>
      </c>
      <c r="C2823" s="133"/>
    </row>
    <row r="2824" spans="1:3">
      <c r="A2824" s="131" t="s">
        <v>10632</v>
      </c>
      <c r="B2824" s="132">
        <v>5.7530015201462375E-3</v>
      </c>
      <c r="C2824" s="133"/>
    </row>
    <row r="2825" spans="1:3">
      <c r="A2825" s="131" t="s">
        <v>10633</v>
      </c>
      <c r="B2825" s="132">
        <v>0.45146663805437048</v>
      </c>
      <c r="C2825" s="133"/>
    </row>
    <row r="2826" spans="1:3">
      <c r="A2826" s="131" t="s">
        <v>10634</v>
      </c>
      <c r="B2826" s="132">
        <v>3.8708896597142217E-2</v>
      </c>
      <c r="C2826" s="133"/>
    </row>
    <row r="2827" spans="1:3">
      <c r="A2827" s="131" t="s">
        <v>10635</v>
      </c>
      <c r="B2827" s="132">
        <v>4.1399999999999997</v>
      </c>
      <c r="C2827" s="133"/>
    </row>
    <row r="2828" spans="1:3">
      <c r="A2828" s="131" t="s">
        <v>10636</v>
      </c>
      <c r="B2828" s="132">
        <v>0.18582794423222074</v>
      </c>
      <c r="C2828" s="133"/>
    </row>
    <row r="2829" spans="1:3">
      <c r="A2829" s="131" t="s">
        <v>10637</v>
      </c>
      <c r="B2829" s="132">
        <v>0.32620203075980081</v>
      </c>
      <c r="C2829" s="133"/>
    </row>
    <row r="2830" spans="1:3">
      <c r="A2830" s="131" t="s">
        <v>10638</v>
      </c>
      <c r="B2830" s="132">
        <v>2.3778293205000002E-2</v>
      </c>
      <c r="C2830" s="133"/>
    </row>
    <row r="2831" spans="1:3">
      <c r="A2831" s="131" t="s">
        <v>10639</v>
      </c>
      <c r="B2831" s="132">
        <v>4.1582745340739857E-2</v>
      </c>
      <c r="C2831" s="133"/>
    </row>
    <row r="2832" spans="1:3">
      <c r="A2832" s="131" t="s">
        <v>10640</v>
      </c>
      <c r="B2832" s="132">
        <v>0.79764482404887338</v>
      </c>
      <c r="C2832" s="133"/>
    </row>
    <row r="2833" spans="1:3">
      <c r="A2833" s="131" t="s">
        <v>10641</v>
      </c>
      <c r="B2833" s="132">
        <v>2.0023664743890977E-2</v>
      </c>
      <c r="C2833" s="133"/>
    </row>
    <row r="2834" spans="1:3">
      <c r="A2834" s="131" t="s">
        <v>10642</v>
      </c>
      <c r="B2834" s="132">
        <v>4.6486496925354004E-2</v>
      </c>
      <c r="C2834" s="133"/>
    </row>
    <row r="2835" spans="1:3">
      <c r="A2835" s="131" t="s">
        <v>10643</v>
      </c>
      <c r="B2835" s="132">
        <v>7.002361705220892E-4</v>
      </c>
      <c r="C2835" s="133"/>
    </row>
    <row r="2836" spans="1:3">
      <c r="A2836" s="131" t="s">
        <v>10644</v>
      </c>
      <c r="B2836" s="132">
        <v>0.15785407285788425</v>
      </c>
      <c r="C2836" s="133"/>
    </row>
    <row r="2837" spans="1:3">
      <c r="A2837" s="131" t="s">
        <v>10645</v>
      </c>
      <c r="B2837" s="132">
        <v>6.7582059053362804E-5</v>
      </c>
      <c r="C2837" s="133"/>
    </row>
    <row r="2838" spans="1:3">
      <c r="A2838" s="131" t="s">
        <v>10646</v>
      </c>
      <c r="B2838" s="132">
        <v>4.9642979692310551E-3</v>
      </c>
      <c r="C2838" s="133"/>
    </row>
    <row r="2839" spans="1:3">
      <c r="A2839" s="131" t="s">
        <v>10647</v>
      </c>
      <c r="B2839" s="132">
        <v>0.22371202134297805</v>
      </c>
      <c r="C2839" s="133"/>
    </row>
    <row r="2840" spans="1:3">
      <c r="A2840" s="131" t="s">
        <v>10648</v>
      </c>
      <c r="B2840" s="132">
        <v>5.31</v>
      </c>
      <c r="C2840" s="133"/>
    </row>
    <row r="2841" spans="1:3">
      <c r="A2841" s="131" t="s">
        <v>10649</v>
      </c>
      <c r="B2841" s="132">
        <v>7.8173188066718219E-2</v>
      </c>
      <c r="C2841" s="133"/>
    </row>
    <row r="2842" spans="1:3">
      <c r="A2842" s="131" t="s">
        <v>10650</v>
      </c>
      <c r="B2842" s="132">
        <v>1.6702903466666665E-2</v>
      </c>
      <c r="C2842" s="133"/>
    </row>
    <row r="2843" spans="1:3">
      <c r="A2843" s="131" t="s">
        <v>10651</v>
      </c>
      <c r="B2843" s="132">
        <v>0.82429313742181498</v>
      </c>
      <c r="C2843" s="133"/>
    </row>
    <row r="2844" spans="1:3">
      <c r="A2844" s="131" t="s">
        <v>10652</v>
      </c>
      <c r="B2844" s="132">
        <v>1.7711803000000002E-2</v>
      </c>
      <c r="C2844" s="133"/>
    </row>
    <row r="2845" spans="1:3">
      <c r="A2845" s="131" t="s">
        <v>10653</v>
      </c>
      <c r="B2845" s="132">
        <v>9.6491002477705479E-4</v>
      </c>
      <c r="C2845" s="133"/>
    </row>
    <row r="2846" spans="1:3">
      <c r="A2846" s="131" t="s">
        <v>10654</v>
      </c>
      <c r="B2846" s="132">
        <v>0.15386666666666668</v>
      </c>
      <c r="C2846" s="133"/>
    </row>
    <row r="2847" spans="1:3">
      <c r="A2847" s="131" t="s">
        <v>10655</v>
      </c>
      <c r="B2847" s="132">
        <v>7.1874821253463478E-2</v>
      </c>
      <c r="C2847" s="133"/>
    </row>
    <row r="2848" spans="1:3">
      <c r="A2848" s="131" t="s">
        <v>10656</v>
      </c>
      <c r="B2848" s="132">
        <v>2.5613869517992653E-2</v>
      </c>
      <c r="C2848" s="133"/>
    </row>
    <row r="2849" spans="1:3">
      <c r="A2849" s="131" t="s">
        <v>10657</v>
      </c>
      <c r="B2849" s="132">
        <v>5.6844544596707375E-3</v>
      </c>
      <c r="C2849" s="133"/>
    </row>
    <row r="2850" spans="1:3">
      <c r="A2850" s="131" t="s">
        <v>10658</v>
      </c>
      <c r="B2850" s="132">
        <v>2.1248735879421665E-5</v>
      </c>
      <c r="C2850" s="133"/>
    </row>
    <row r="2851" spans="1:3">
      <c r="A2851" s="131" t="s">
        <v>10659</v>
      </c>
      <c r="B2851" s="132">
        <v>0.42323005899999999</v>
      </c>
      <c r="C2851" s="133"/>
    </row>
    <row r="2852" spans="1:3">
      <c r="A2852" s="131" t="s">
        <v>10660</v>
      </c>
      <c r="B2852" s="132">
        <v>4.0049480989024361E-3</v>
      </c>
      <c r="C2852" s="133"/>
    </row>
    <row r="2853" spans="1:3">
      <c r="A2853" s="131" t="s">
        <v>10661</v>
      </c>
      <c r="B2853" s="132">
        <v>37.16500608838237</v>
      </c>
      <c r="C2853" s="133"/>
    </row>
    <row r="2854" spans="1:3">
      <c r="A2854" s="131" t="s">
        <v>10662</v>
      </c>
      <c r="B2854" s="132">
        <v>2.9015053629559999E-3</v>
      </c>
      <c r="C2854" s="133"/>
    </row>
    <row r="2855" spans="1:3">
      <c r="A2855" s="131" t="s">
        <v>10663</v>
      </c>
      <c r="B2855" s="132">
        <v>19.25</v>
      </c>
      <c r="C2855" s="133"/>
    </row>
    <row r="2856" spans="1:3">
      <c r="A2856" s="131" t="s">
        <v>10664</v>
      </c>
      <c r="B2856" s="132">
        <v>2.1708933636546135E-2</v>
      </c>
      <c r="C2856" s="133"/>
    </row>
    <row r="2857" spans="1:3">
      <c r="A2857" s="131" t="s">
        <v>10665</v>
      </c>
      <c r="B2857" s="132">
        <v>6.1691041183869924E-4</v>
      </c>
      <c r="C2857" s="133"/>
    </row>
    <row r="2858" spans="1:3">
      <c r="A2858" s="131" t="s">
        <v>10666</v>
      </c>
      <c r="B2858" s="132">
        <v>0.31804069876670837</v>
      </c>
      <c r="C2858" s="133"/>
    </row>
    <row r="2859" spans="1:3">
      <c r="A2859" s="131" t="s">
        <v>10667</v>
      </c>
      <c r="B2859" s="132">
        <v>1.4051751976850154E-2</v>
      </c>
      <c r="C2859" s="133"/>
    </row>
    <row r="2860" spans="1:3">
      <c r="A2860" s="131" t="s">
        <v>10668</v>
      </c>
      <c r="B2860" s="132">
        <v>1.4290812020621903E-2</v>
      </c>
      <c r="C2860" s="133"/>
    </row>
    <row r="2861" spans="1:3">
      <c r="A2861" s="131" t="s">
        <v>10669</v>
      </c>
      <c r="B2861" s="132">
        <v>4.57</v>
      </c>
      <c r="C2861" s="133"/>
    </row>
    <row r="2862" spans="1:3">
      <c r="A2862" s="131" t="s">
        <v>10670</v>
      </c>
      <c r="B2862" s="132">
        <v>7.1005630200372774E-2</v>
      </c>
      <c r="C2862" s="133"/>
    </row>
    <row r="2863" spans="1:3">
      <c r="A2863" s="131" t="s">
        <v>10671</v>
      </c>
      <c r="B2863" s="132">
        <v>4.1996847481189273E-2</v>
      </c>
      <c r="C2863" s="133"/>
    </row>
    <row r="2864" spans="1:3">
      <c r="A2864" s="131" t="s">
        <v>10672</v>
      </c>
      <c r="B2864" s="132">
        <v>0.23304266978555394</v>
      </c>
      <c r="C2864" s="133"/>
    </row>
    <row r="2865" spans="1:3">
      <c r="A2865" s="131" t="s">
        <v>10673</v>
      </c>
      <c r="B2865" s="132">
        <v>0.33760326572896215</v>
      </c>
      <c r="C2865" s="133"/>
    </row>
    <row r="2866" spans="1:3">
      <c r="A2866" s="131" t="s">
        <v>10674</v>
      </c>
      <c r="B2866" s="132">
        <v>3.6649720349162071E-2</v>
      </c>
      <c r="C2866" s="133"/>
    </row>
    <row r="2867" spans="1:3">
      <c r="A2867" s="131" t="s">
        <v>10675</v>
      </c>
      <c r="B2867" s="132">
        <v>4.0199999999999996</v>
      </c>
      <c r="C2867" s="133"/>
    </row>
    <row r="2868" spans="1:3">
      <c r="A2868" s="131" t="s">
        <v>10676</v>
      </c>
      <c r="B2868" s="132">
        <v>4.7957247560697025E-2</v>
      </c>
      <c r="C2868" s="133"/>
    </row>
    <row r="2869" spans="1:3">
      <c r="A2869" s="131" t="s">
        <v>10677</v>
      </c>
      <c r="B2869" s="132">
        <v>1.8901759438298062E-2</v>
      </c>
      <c r="C2869" s="133"/>
    </row>
    <row r="2870" spans="1:3">
      <c r="A2870" s="131" t="s">
        <v>10678</v>
      </c>
      <c r="B2870" s="132">
        <v>2.796974189682128E-2</v>
      </c>
      <c r="C2870" s="133"/>
    </row>
    <row r="2871" spans="1:3">
      <c r="A2871" s="131" t="s">
        <v>10679</v>
      </c>
      <c r="B2871" s="132">
        <v>0.1175468668975396</v>
      </c>
      <c r="C2871" s="133"/>
    </row>
    <row r="2872" spans="1:3">
      <c r="A2872" s="131" t="s">
        <v>10680</v>
      </c>
      <c r="B2872" s="132">
        <v>5.6342370808124542E-3</v>
      </c>
      <c r="C2872" s="133"/>
    </row>
    <row r="2873" spans="1:3">
      <c r="A2873" s="131" t="s">
        <v>10681</v>
      </c>
      <c r="B2873" s="132">
        <v>2.7708556548650001E-4</v>
      </c>
      <c r="C2873" s="133"/>
    </row>
    <row r="2874" spans="1:3">
      <c r="A2874" s="131" t="s">
        <v>10682</v>
      </c>
      <c r="B2874" s="132">
        <v>4.2714035518143382E-3</v>
      </c>
      <c r="C2874" s="133"/>
    </row>
    <row r="2875" spans="1:3">
      <c r="A2875" s="131" t="s">
        <v>10683</v>
      </c>
      <c r="B2875" s="132">
        <v>1.1830000439658761E-3</v>
      </c>
      <c r="C2875" s="133"/>
    </row>
    <row r="2876" spans="1:3">
      <c r="A2876" s="131" t="s">
        <v>10684</v>
      </c>
      <c r="B2876" s="132">
        <v>0.42275696992874146</v>
      </c>
      <c r="C2876" s="133"/>
    </row>
    <row r="2877" spans="1:3">
      <c r="A2877" s="131" t="s">
        <v>10685</v>
      </c>
      <c r="B2877" s="132">
        <v>1.2109957463227222E-2</v>
      </c>
      <c r="C2877" s="133"/>
    </row>
    <row r="2878" spans="1:3">
      <c r="A2878" s="131" t="s">
        <v>10686</v>
      </c>
      <c r="B2878" s="132">
        <v>0.26972329616546631</v>
      </c>
      <c r="C2878" s="133"/>
    </row>
    <row r="2879" spans="1:3">
      <c r="A2879" s="131" t="s">
        <v>10687</v>
      </c>
      <c r="B2879" s="132">
        <v>8.9411297813057899E-3</v>
      </c>
      <c r="C2879" s="133"/>
    </row>
    <row r="2880" spans="1:3">
      <c r="A2880" s="131" t="s">
        <v>10688</v>
      </c>
      <c r="B2880" s="132">
        <v>0.15526701023246167</v>
      </c>
      <c r="C2880" s="133"/>
    </row>
    <row r="2881" spans="1:3">
      <c r="A2881" s="131" t="s">
        <v>10689</v>
      </c>
      <c r="B2881" s="132">
        <v>1.1138213428833368</v>
      </c>
      <c r="C2881" s="133"/>
    </row>
    <row r="2882" spans="1:3">
      <c r="A2882" s="131" t="s">
        <v>10690</v>
      </c>
      <c r="B2882" s="132">
        <v>8.1573463908891832E-4</v>
      </c>
      <c r="C2882" s="133"/>
    </row>
    <row r="2883" spans="1:3">
      <c r="A2883" s="131" t="s">
        <v>10691</v>
      </c>
      <c r="B2883" s="132">
        <v>24.7</v>
      </c>
      <c r="C2883" s="133"/>
    </row>
    <row r="2884" spans="1:3">
      <c r="A2884" s="131" t="s">
        <v>10692</v>
      </c>
      <c r="B2884" s="132">
        <v>2.1060144266088463E-2</v>
      </c>
      <c r="C2884" s="133"/>
    </row>
    <row r="2885" spans="1:3">
      <c r="A2885" s="131" t="s">
        <v>10693</v>
      </c>
      <c r="B2885" s="132">
        <v>2.83</v>
      </c>
      <c r="C2885" s="133"/>
    </row>
    <row r="2886" spans="1:3">
      <c r="A2886" s="131" t="s">
        <v>10694</v>
      </c>
      <c r="B2886" s="132">
        <v>0.13044538625125365</v>
      </c>
      <c r="C2886" s="133"/>
    </row>
    <row r="2887" spans="1:3">
      <c r="A2887" s="131" t="s">
        <v>10695</v>
      </c>
      <c r="B2887" s="132">
        <v>4.5534131303166011E-4</v>
      </c>
      <c r="C2887" s="133"/>
    </row>
    <row r="2888" spans="1:3">
      <c r="A2888" s="131" t="s">
        <v>10696</v>
      </c>
      <c r="B2888" s="132">
        <v>5.4069402118244063E-2</v>
      </c>
      <c r="C2888" s="133"/>
    </row>
    <row r="2889" spans="1:3">
      <c r="A2889" s="131" t="s">
        <v>10697</v>
      </c>
      <c r="B2889" s="132">
        <v>0.13235898501591881</v>
      </c>
      <c r="C2889" s="133"/>
    </row>
    <row r="2890" spans="1:3">
      <c r="A2890" s="131" t="s">
        <v>10698</v>
      </c>
      <c r="B2890" s="132">
        <v>4.5255883986521512E-4</v>
      </c>
      <c r="C2890" s="133"/>
    </row>
    <row r="2891" spans="1:3">
      <c r="A2891" s="131" t="s">
        <v>10699</v>
      </c>
      <c r="B2891" s="132">
        <v>6.0932170774271321E-3</v>
      </c>
      <c r="C2891" s="133"/>
    </row>
    <row r="2892" spans="1:3">
      <c r="A2892" s="131" t="s">
        <v>10700</v>
      </c>
      <c r="B2892" s="132">
        <v>8.2729036081702328E-3</v>
      </c>
      <c r="C2892" s="133"/>
    </row>
    <row r="2893" spans="1:3">
      <c r="A2893" s="131" t="s">
        <v>10701</v>
      </c>
      <c r="B2893" s="132">
        <v>0.29707473047940147</v>
      </c>
      <c r="C2893" s="133"/>
    </row>
    <row r="2894" spans="1:3">
      <c r="A2894" s="131" t="s">
        <v>10702</v>
      </c>
      <c r="B2894" s="132">
        <v>0.10297713669437014</v>
      </c>
      <c r="C2894" s="133"/>
    </row>
    <row r="2895" spans="1:3">
      <c r="A2895" s="131" t="s">
        <v>10703</v>
      </c>
      <c r="B2895" s="132">
        <v>5.0641851719169231E-5</v>
      </c>
      <c r="C2895" s="133"/>
    </row>
    <row r="2896" spans="1:3">
      <c r="A2896" s="131" t="s">
        <v>10704</v>
      </c>
      <c r="B2896" s="132">
        <v>1.3878006999999999E-2</v>
      </c>
      <c r="C2896" s="133"/>
    </row>
    <row r="2897" spans="1:3">
      <c r="A2897" s="131" t="s">
        <v>10705</v>
      </c>
      <c r="B2897" s="132">
        <v>0.15029334568215746</v>
      </c>
      <c r="C2897" s="133"/>
    </row>
    <row r="2898" spans="1:3">
      <c r="A2898" s="131" t="s">
        <v>10706</v>
      </c>
      <c r="B2898" s="132">
        <v>1.7741928085732918E-3</v>
      </c>
      <c r="C2898" s="133"/>
    </row>
    <row r="2899" spans="1:3">
      <c r="A2899" s="131" t="s">
        <v>10707</v>
      </c>
      <c r="B2899" s="132">
        <v>3.0016453929426509E-3</v>
      </c>
      <c r="C2899" s="133"/>
    </row>
    <row r="2900" spans="1:3">
      <c r="A2900" s="131" t="s">
        <v>10708</v>
      </c>
      <c r="B2900" s="132">
        <v>6.91</v>
      </c>
      <c r="C2900" s="133"/>
    </row>
    <row r="2901" spans="1:3">
      <c r="A2901" s="131" t="s">
        <v>10709</v>
      </c>
      <c r="B2901" s="132">
        <v>11.8</v>
      </c>
      <c r="C2901" s="133"/>
    </row>
    <row r="2902" spans="1:3">
      <c r="A2902" s="131" t="s">
        <v>10710</v>
      </c>
      <c r="B2902" s="132">
        <v>1.088636726447207E-2</v>
      </c>
      <c r="C2902" s="133"/>
    </row>
    <row r="2903" spans="1:3">
      <c r="A2903" s="131" t="s">
        <v>10711</v>
      </c>
      <c r="B2903" s="132">
        <v>0.49412504370370158</v>
      </c>
      <c r="C2903" s="133"/>
    </row>
    <row r="2904" spans="1:3">
      <c r="A2904" s="131" t="s">
        <v>10712</v>
      </c>
      <c r="B2904" s="132">
        <v>0.32833791602535672</v>
      </c>
      <c r="C2904" s="133"/>
    </row>
    <row r="2905" spans="1:3">
      <c r="A2905" s="131" t="s">
        <v>10713</v>
      </c>
      <c r="B2905" s="132">
        <v>8.0522019416093826E-3</v>
      </c>
      <c r="C2905" s="133"/>
    </row>
    <row r="2906" spans="1:3">
      <c r="A2906" s="131" t="s">
        <v>10714</v>
      </c>
      <c r="B2906" s="132">
        <v>4.2545174050593056E-2</v>
      </c>
      <c r="C2906" s="133"/>
    </row>
    <row r="2907" spans="1:3">
      <c r="A2907" s="131" t="s">
        <v>10715</v>
      </c>
      <c r="B2907" s="132">
        <v>0.13277308218849015</v>
      </c>
      <c r="C2907" s="133"/>
    </row>
    <row r="2908" spans="1:3">
      <c r="A2908" s="131" t="s">
        <v>10716</v>
      </c>
      <c r="B2908" s="132">
        <v>3.6699532855460504</v>
      </c>
      <c r="C2908" s="133"/>
    </row>
    <row r="2909" spans="1:3">
      <c r="A2909" s="131" t="s">
        <v>10717</v>
      </c>
      <c r="B2909" s="132">
        <v>8.7019757382610946E-2</v>
      </c>
      <c r="C2909" s="133"/>
    </row>
    <row r="2910" spans="1:3">
      <c r="A2910" s="131" t="s">
        <v>10718</v>
      </c>
      <c r="B2910" s="132">
        <v>9.4062666666666649E-5</v>
      </c>
      <c r="C2910" s="133"/>
    </row>
    <row r="2911" spans="1:3">
      <c r="A2911" s="131" t="s">
        <v>10719</v>
      </c>
      <c r="B2911" s="132">
        <v>2.4986229836940765E-2</v>
      </c>
      <c r="C2911" s="133"/>
    </row>
    <row r="2912" spans="1:3">
      <c r="A2912" s="131" t="s">
        <v>10720</v>
      </c>
      <c r="B2912" s="132">
        <v>4.5247548147568494E-3</v>
      </c>
      <c r="C2912" s="133"/>
    </row>
    <row r="2913" spans="1:3">
      <c r="A2913" s="131" t="s">
        <v>10721</v>
      </c>
      <c r="B2913" s="132">
        <v>6.93</v>
      </c>
      <c r="C2913" s="133"/>
    </row>
    <row r="2914" spans="1:3">
      <c r="A2914" s="131" t="s">
        <v>10722</v>
      </c>
      <c r="B2914" s="132">
        <v>2.8415041295438813E-4</v>
      </c>
      <c r="C2914" s="133"/>
    </row>
    <row r="2915" spans="1:3">
      <c r="A2915" s="131" t="s">
        <v>10723</v>
      </c>
      <c r="B2915" s="132">
        <v>1.5929824470323202E-3</v>
      </c>
      <c r="C2915" s="133"/>
    </row>
    <row r="2916" spans="1:3">
      <c r="A2916" s="131" t="s">
        <v>10724</v>
      </c>
      <c r="B2916" s="132">
        <v>2.102062351679259E-2</v>
      </c>
      <c r="C2916" s="133"/>
    </row>
    <row r="2917" spans="1:3">
      <c r="A2917" s="131" t="s">
        <v>10725</v>
      </c>
      <c r="B2917" s="132">
        <v>7.0546663755728683E-5</v>
      </c>
      <c r="C2917" s="133"/>
    </row>
    <row r="2918" spans="1:3">
      <c r="A2918" s="131" t="s">
        <v>10726</v>
      </c>
      <c r="B2918" s="132">
        <v>6.3395619220923974E-2</v>
      </c>
      <c r="C2918" s="133"/>
    </row>
    <row r="2919" spans="1:3">
      <c r="A2919" s="131" t="s">
        <v>10727</v>
      </c>
      <c r="B2919" s="132">
        <v>5.6641192533333329E-2</v>
      </c>
      <c r="C2919" s="133"/>
    </row>
    <row r="2920" spans="1:3">
      <c r="A2920" s="131" t="s">
        <v>10728</v>
      </c>
      <c r="B2920" s="132">
        <v>5.5618703365325928E-2</v>
      </c>
      <c r="C2920" s="133"/>
    </row>
    <row r="2921" spans="1:3">
      <c r="A2921" s="131" t="s">
        <v>10729</v>
      </c>
      <c r="B2921" s="132">
        <v>0.25443580854446485</v>
      </c>
      <c r="C2921" s="133"/>
    </row>
    <row r="2922" spans="1:3">
      <c r="A2922" s="131" t="s">
        <v>10730</v>
      </c>
      <c r="B2922" s="132">
        <v>0.16091479361057281</v>
      </c>
      <c r="C2922" s="133"/>
    </row>
    <row r="2923" spans="1:3">
      <c r="A2923" s="131" t="s">
        <v>10731</v>
      </c>
      <c r="B2923" s="132">
        <v>0.225155351</v>
      </c>
      <c r="C2923" s="133"/>
    </row>
    <row r="2924" spans="1:3">
      <c r="A2924" s="131" t="s">
        <v>10732</v>
      </c>
      <c r="B2924" s="132">
        <v>0.65039000000000002</v>
      </c>
      <c r="C2924" s="133"/>
    </row>
    <row r="2925" spans="1:3">
      <c r="A2925" s="131" t="s">
        <v>10733</v>
      </c>
      <c r="B2925" s="132">
        <v>2.3046816121757223E-3</v>
      </c>
      <c r="C2925" s="133"/>
    </row>
    <row r="2926" spans="1:3">
      <c r="A2926" s="131" t="s">
        <v>10734</v>
      </c>
      <c r="B2926" s="132">
        <v>1.5400854388477372E-2</v>
      </c>
      <c r="C2926" s="133"/>
    </row>
    <row r="2927" spans="1:3">
      <c r="A2927" s="131" t="s">
        <v>10735</v>
      </c>
      <c r="B2927" s="132">
        <v>5.0845615104788341E-2</v>
      </c>
      <c r="C2927" s="133"/>
    </row>
    <row r="2928" spans="1:3">
      <c r="A2928" s="131" t="s">
        <v>10736</v>
      </c>
      <c r="B2928" s="132">
        <v>0.27733249986843928</v>
      </c>
      <c r="C2928" s="133"/>
    </row>
    <row r="2929" spans="1:3">
      <c r="A2929" s="131" t="s">
        <v>10737</v>
      </c>
      <c r="B2929" s="132">
        <v>57.59</v>
      </c>
      <c r="C2929" s="133"/>
    </row>
    <row r="2930" spans="1:3">
      <c r="A2930" s="131" t="s">
        <v>10738</v>
      </c>
      <c r="B2930" s="132">
        <v>5.4167763168961915E-3</v>
      </c>
      <c r="C2930" s="133"/>
    </row>
    <row r="2931" spans="1:3">
      <c r="A2931" s="131" t="s">
        <v>10739</v>
      </c>
      <c r="B2931" s="132">
        <v>4.2900355346300732E-4</v>
      </c>
      <c r="C2931" s="133"/>
    </row>
    <row r="2932" spans="1:3">
      <c r="A2932" s="131" t="s">
        <v>7377</v>
      </c>
      <c r="B2932" s="132">
        <v>1.1145013404425605E-4</v>
      </c>
      <c r="C2932" s="133"/>
    </row>
    <row r="2933" spans="1:3">
      <c r="A2933" s="131" t="s">
        <v>7378</v>
      </c>
      <c r="B2933" s="132">
        <v>5.673109657927132E-3</v>
      </c>
      <c r="C2933" s="133"/>
    </row>
    <row r="2934" spans="1:3">
      <c r="A2934" s="131" t="s">
        <v>7379</v>
      </c>
      <c r="B2934" s="132">
        <v>0.12525256709215332</v>
      </c>
      <c r="C2934" s="133"/>
    </row>
    <row r="2935" spans="1:3">
      <c r="A2935" s="131" t="s">
        <v>7380</v>
      </c>
      <c r="B2935" s="132">
        <v>1.2526995442762158E-2</v>
      </c>
      <c r="C2935" s="133"/>
    </row>
    <row r="2936" spans="1:3">
      <c r="A2936" s="131" t="s">
        <v>7381</v>
      </c>
      <c r="B2936" s="132">
        <v>1.325318519794926E-2</v>
      </c>
      <c r="C2936" s="133"/>
    </row>
    <row r="2937" spans="1:3">
      <c r="A2937" s="131" t="s">
        <v>7382</v>
      </c>
      <c r="B2937" s="132">
        <v>5.2974839746034287E-3</v>
      </c>
      <c r="C2937" s="133"/>
    </row>
    <row r="2938" spans="1:3">
      <c r="A2938" s="131" t="s">
        <v>7383</v>
      </c>
      <c r="B2938" s="132">
        <v>2.65</v>
      </c>
      <c r="C2938" s="133"/>
    </row>
    <row r="2939" spans="1:3">
      <c r="A2939" s="131" t="s">
        <v>7384</v>
      </c>
      <c r="B2939" s="132">
        <v>5.2718379267455982E-5</v>
      </c>
      <c r="C2939" s="133"/>
    </row>
    <row r="2940" spans="1:3">
      <c r="A2940" s="131" t="s">
        <v>7385</v>
      </c>
      <c r="B2940" s="132">
        <v>6.9802166660534473E-2</v>
      </c>
      <c r="C2940" s="133"/>
    </row>
    <row r="2941" spans="1:3">
      <c r="A2941" s="131" t="s">
        <v>7386</v>
      </c>
      <c r="B2941" s="132">
        <v>3.8902449107068679E-2</v>
      </c>
      <c r="C2941" s="133"/>
    </row>
    <row r="2942" spans="1:3">
      <c r="A2942" s="131" t="s">
        <v>7387</v>
      </c>
      <c r="B2942" s="132">
        <v>2.0033454175314721E-19</v>
      </c>
      <c r="C2942" s="133"/>
    </row>
    <row r="2943" spans="1:3">
      <c r="A2943" s="131" t="s">
        <v>7388</v>
      </c>
      <c r="B2943" s="132">
        <v>6.0104006666666663E-3</v>
      </c>
      <c r="C2943" s="133"/>
    </row>
    <row r="2944" spans="1:3">
      <c r="A2944" s="131" t="s">
        <v>7389</v>
      </c>
      <c r="B2944" s="132">
        <v>6.0267290100455284E-3</v>
      </c>
      <c r="C2944" s="133"/>
    </row>
    <row r="2945" spans="1:3">
      <c r="A2945" s="131" t="s">
        <v>7390</v>
      </c>
      <c r="B2945" s="132">
        <v>8.0948743757061903E-2</v>
      </c>
      <c r="C2945" s="133"/>
    </row>
    <row r="2946" spans="1:3">
      <c r="A2946" s="131" t="s">
        <v>7391</v>
      </c>
      <c r="B2946" s="132">
        <v>109.47927168954</v>
      </c>
      <c r="C2946" s="133"/>
    </row>
    <row r="2947" spans="1:3">
      <c r="A2947" s="131" t="s">
        <v>7392</v>
      </c>
      <c r="B2947" s="132">
        <v>8.0462674467520479E-2</v>
      </c>
      <c r="C2947" s="133"/>
    </row>
    <row r="2948" spans="1:3">
      <c r="A2948" s="131" t="s">
        <v>7393</v>
      </c>
      <c r="B2948" s="132">
        <v>3.4956489603542272E-3</v>
      </c>
      <c r="C2948" s="133"/>
    </row>
    <row r="2949" spans="1:3">
      <c r="A2949" s="131" t="s">
        <v>7394</v>
      </c>
      <c r="B2949" s="132">
        <v>1.0353316634273593E-3</v>
      </c>
      <c r="C2949" s="133"/>
    </row>
    <row r="2950" spans="1:3">
      <c r="A2950" s="131" t="s">
        <v>7395</v>
      </c>
      <c r="B2950" s="132">
        <v>6.6790368236966546E-2</v>
      </c>
      <c r="C2950" s="133"/>
    </row>
    <row r="2951" spans="1:3">
      <c r="A2951" s="131" t="s">
        <v>7396</v>
      </c>
      <c r="B2951" s="132">
        <v>9.3357769714113546E-3</v>
      </c>
      <c r="C2951" s="133"/>
    </row>
    <row r="2952" spans="1:3">
      <c r="A2952" s="131" t="s">
        <v>7397</v>
      </c>
      <c r="B2952" s="132">
        <v>4.2064824955880291E-3</v>
      </c>
      <c r="C2952" s="133"/>
    </row>
    <row r="2953" spans="1:3">
      <c r="A2953" s="131" t="s">
        <v>7398</v>
      </c>
      <c r="B2953" s="132">
        <v>8.41</v>
      </c>
      <c r="C2953" s="133"/>
    </row>
    <row r="2954" spans="1:3">
      <c r="A2954" s="131" t="s">
        <v>7399</v>
      </c>
      <c r="B2954" s="132">
        <v>7.7951098792254925E-3</v>
      </c>
      <c r="C2954" s="133"/>
    </row>
    <row r="2955" spans="1:3">
      <c r="A2955" s="131" t="s">
        <v>7400</v>
      </c>
      <c r="B2955" s="132">
        <v>1.9650499939996746</v>
      </c>
      <c r="C2955" s="133"/>
    </row>
    <row r="2956" spans="1:3">
      <c r="A2956" s="131" t="s">
        <v>7401</v>
      </c>
      <c r="B2956" s="132">
        <v>1.076358437538147</v>
      </c>
      <c r="C2956" s="133"/>
    </row>
    <row r="2957" spans="1:3">
      <c r="A2957" s="131" t="s">
        <v>7402</v>
      </c>
      <c r="B2957" s="132">
        <v>1.0022117954804484E-2</v>
      </c>
      <c r="C2957" s="133"/>
    </row>
    <row r="2958" spans="1:3">
      <c r="A2958" s="131" t="s">
        <v>7403</v>
      </c>
      <c r="B2958" s="132">
        <v>2.8909140843528254E-2</v>
      </c>
      <c r="C2958" s="133"/>
    </row>
    <row r="2959" spans="1:3">
      <c r="A2959" s="131" t="s">
        <v>7404</v>
      </c>
      <c r="B2959" s="132">
        <v>5.9861535793494778E-4</v>
      </c>
      <c r="C2959" s="133"/>
    </row>
    <row r="2960" spans="1:3">
      <c r="A2960" s="131" t="s">
        <v>7405</v>
      </c>
      <c r="B2960" s="132">
        <v>2.7516255523577335E-3</v>
      </c>
      <c r="C2960" s="133"/>
    </row>
    <row r="2961" spans="1:3">
      <c r="A2961" s="131" t="s">
        <v>7406</v>
      </c>
      <c r="B2961" s="132">
        <v>5.3991180000000007E-4</v>
      </c>
      <c r="C2961" s="133"/>
    </row>
    <row r="2962" spans="1:3">
      <c r="A2962" s="131" t="s">
        <v>7407</v>
      </c>
      <c r="B2962" s="132">
        <v>4.6651670489182451E-2</v>
      </c>
      <c r="C2962" s="133"/>
    </row>
    <row r="2963" spans="1:3">
      <c r="A2963" s="131" t="s">
        <v>7408</v>
      </c>
      <c r="B2963" s="132">
        <v>1.6401584987807846E-2</v>
      </c>
      <c r="C2963" s="133"/>
    </row>
    <row r="2964" spans="1:3">
      <c r="A2964" s="131" t="s">
        <v>7409</v>
      </c>
      <c r="B2964" s="132">
        <v>7.262461776145826E-2</v>
      </c>
      <c r="C2964" s="133"/>
    </row>
    <row r="2965" spans="1:3">
      <c r="A2965" s="131" t="s">
        <v>7410</v>
      </c>
      <c r="B2965" s="132">
        <v>9.8736471182402516E-2</v>
      </c>
      <c r="C2965" s="133"/>
    </row>
    <row r="2966" spans="1:3">
      <c r="A2966" s="131" t="s">
        <v>7411</v>
      </c>
      <c r="B2966" s="132">
        <v>2.3838247085186783E-3</v>
      </c>
      <c r="C2966" s="133"/>
    </row>
    <row r="2967" spans="1:3">
      <c r="A2967" s="131" t="s">
        <v>7412</v>
      </c>
      <c r="B2967" s="132">
        <v>3.2776732677061073E-3</v>
      </c>
      <c r="C2967" s="133"/>
    </row>
    <row r="2968" spans="1:3">
      <c r="A2968" s="131" t="s">
        <v>7413</v>
      </c>
      <c r="B2968" s="132">
        <v>2.7720568183257337E-3</v>
      </c>
      <c r="C2968" s="133"/>
    </row>
    <row r="2969" spans="1:3">
      <c r="A2969" s="131" t="s">
        <v>7414</v>
      </c>
      <c r="B2969" s="132">
        <v>0.1501360408168374</v>
      </c>
      <c r="C2969" s="133"/>
    </row>
    <row r="2970" spans="1:3">
      <c r="A2970" s="131" t="s">
        <v>7415</v>
      </c>
      <c r="B2970" s="132">
        <v>3.781627608140649E-3</v>
      </c>
      <c r="C2970" s="133"/>
    </row>
    <row r="2971" spans="1:3">
      <c r="A2971" s="131" t="s">
        <v>7416</v>
      </c>
      <c r="B2971" s="132">
        <v>1.8970890282257357E-2</v>
      </c>
      <c r="C2971" s="133"/>
    </row>
    <row r="2972" spans="1:3">
      <c r="A2972" s="131" t="s">
        <v>7417</v>
      </c>
      <c r="B2972" s="132">
        <v>3.31</v>
      </c>
      <c r="C2972" s="133"/>
    </row>
    <row r="2973" spans="1:3">
      <c r="A2973" s="131" t="s">
        <v>7418</v>
      </c>
      <c r="B2973" s="132">
        <v>4.0548150427639484E-3</v>
      </c>
      <c r="C2973" s="133"/>
    </row>
    <row r="2974" spans="1:3">
      <c r="A2974" s="131" t="s">
        <v>7419</v>
      </c>
      <c r="B2974" s="132">
        <v>9.250143459810737E-3</v>
      </c>
      <c r="C2974" s="133"/>
    </row>
    <row r="2975" spans="1:3">
      <c r="A2975" s="131" t="s">
        <v>7420</v>
      </c>
      <c r="B2975" s="132">
        <v>0.10391639173030853</v>
      </c>
      <c r="C2975" s="133"/>
    </row>
    <row r="2976" spans="1:3">
      <c r="A2976" s="131" t="s">
        <v>7421</v>
      </c>
      <c r="B2976" s="132">
        <v>1.4582143094547022</v>
      </c>
      <c r="C2976" s="133"/>
    </row>
    <row r="2977" spans="1:3">
      <c r="A2977" s="131" t="s">
        <v>7422</v>
      </c>
      <c r="B2977" s="132">
        <v>4.2237210491141377E-4</v>
      </c>
      <c r="C2977" s="133"/>
    </row>
    <row r="2978" spans="1:3">
      <c r="A2978" s="131" t="s">
        <v>7423</v>
      </c>
      <c r="B2978" s="132">
        <v>5.7485219999999997E-2</v>
      </c>
      <c r="C2978" s="133"/>
    </row>
    <row r="2979" spans="1:3">
      <c r="A2979" s="131" t="s">
        <v>7424</v>
      </c>
      <c r="B2979" s="132">
        <v>2.4660902378726194E-4</v>
      </c>
      <c r="C2979" s="133"/>
    </row>
    <row r="2980" spans="1:3">
      <c r="A2980" s="131" t="s">
        <v>7425</v>
      </c>
      <c r="B2980" s="132">
        <v>1.3583685777462617E-4</v>
      </c>
      <c r="C2980" s="133"/>
    </row>
    <row r="2981" spans="1:3">
      <c r="A2981" s="131" t="s">
        <v>7426</v>
      </c>
      <c r="B2981" s="132">
        <v>0.8456542373999083</v>
      </c>
      <c r="C2981" s="133"/>
    </row>
    <row r="2982" spans="1:3">
      <c r="A2982" s="131" t="s">
        <v>7427</v>
      </c>
      <c r="B2982" s="132">
        <v>2.6478260667157957E-2</v>
      </c>
      <c r="C2982" s="133"/>
    </row>
    <row r="2983" spans="1:3">
      <c r="A2983" s="131" t="s">
        <v>7428</v>
      </c>
      <c r="B2983" s="132">
        <v>4.946143772524025E-5</v>
      </c>
      <c r="C2983" s="133"/>
    </row>
    <row r="2984" spans="1:3">
      <c r="A2984" s="131" t="s">
        <v>7429</v>
      </c>
      <c r="B2984" s="132">
        <v>2.7570932969569412E-3</v>
      </c>
      <c r="C2984" s="133"/>
    </row>
    <row r="2985" spans="1:3">
      <c r="A2985" s="131" t="s">
        <v>7430</v>
      </c>
      <c r="B2985" s="132">
        <v>2.0061790513661599E-3</v>
      </c>
      <c r="C2985" s="133"/>
    </row>
    <row r="2986" spans="1:3">
      <c r="A2986" s="131" t="s">
        <v>7431</v>
      </c>
      <c r="B2986" s="132">
        <v>1.1312378315629921E-2</v>
      </c>
      <c r="C2986" s="133"/>
    </row>
    <row r="2987" spans="1:3">
      <c r="A2987" s="131" t="s">
        <v>7432</v>
      </c>
      <c r="B2987" s="132">
        <v>1.0005999999999998E-2</v>
      </c>
      <c r="C2987" s="133"/>
    </row>
    <row r="2988" spans="1:3">
      <c r="A2988" s="131" t="s">
        <v>7433</v>
      </c>
      <c r="B2988" s="132">
        <v>0.2281722957832153</v>
      </c>
      <c r="C2988" s="133"/>
    </row>
    <row r="2989" spans="1:3">
      <c r="A2989" s="131" t="s">
        <v>7434</v>
      </c>
      <c r="B2989" s="132">
        <v>3.8227739080662641E-4</v>
      </c>
      <c r="C2989" s="133"/>
    </row>
    <row r="2990" spans="1:3">
      <c r="A2990" s="131" t="s">
        <v>7435</v>
      </c>
      <c r="B2990" s="132">
        <v>1.1775919394724648E-2</v>
      </c>
      <c r="C2990" s="133"/>
    </row>
    <row r="2991" spans="1:3">
      <c r="A2991" s="131" t="s">
        <v>7436</v>
      </c>
      <c r="B2991" s="132">
        <v>0.12539681267334954</v>
      </c>
      <c r="C2991" s="133"/>
    </row>
    <row r="2992" spans="1:3">
      <c r="A2992" s="131" t="s">
        <v>7437</v>
      </c>
      <c r="B2992" s="132">
        <v>0.18033995825898</v>
      </c>
      <c r="C2992" s="133"/>
    </row>
    <row r="2993" spans="1:3">
      <c r="A2993" s="131" t="s">
        <v>7438</v>
      </c>
      <c r="B2993" s="132">
        <v>5.7143908925354481E-3</v>
      </c>
      <c r="C2993" s="133"/>
    </row>
    <row r="2994" spans="1:3">
      <c r="A2994" s="131" t="s">
        <v>7439</v>
      </c>
      <c r="B2994" s="132">
        <v>2.4800727113986641E-2</v>
      </c>
      <c r="C2994" s="133"/>
    </row>
    <row r="2995" spans="1:3">
      <c r="A2995" s="131" t="s">
        <v>7440</v>
      </c>
      <c r="B2995" s="132">
        <v>1.5232823021299E-3</v>
      </c>
      <c r="C2995" s="133"/>
    </row>
    <row r="2996" spans="1:3">
      <c r="A2996" s="131" t="s">
        <v>7441</v>
      </c>
      <c r="B2996" s="132">
        <v>6.3721593522139033E-2</v>
      </c>
      <c r="C2996" s="133"/>
    </row>
    <row r="2997" spans="1:3">
      <c r="A2997" s="131" t="s">
        <v>7442</v>
      </c>
      <c r="B2997" s="132">
        <v>9.2124782598529506E-2</v>
      </c>
      <c r="C2997" s="133"/>
    </row>
    <row r="2998" spans="1:3">
      <c r="A2998" s="131" t="s">
        <v>7443</v>
      </c>
      <c r="B2998" s="132">
        <v>4.0627884896176893E-2</v>
      </c>
      <c r="C2998" s="133"/>
    </row>
    <row r="2999" spans="1:3">
      <c r="A2999" s="131" t="s">
        <v>7444</v>
      </c>
      <c r="B2999" s="132">
        <v>9.5489621022094937E-3</v>
      </c>
      <c r="C2999" s="133"/>
    </row>
    <row r="3000" spans="1:3">
      <c r="A3000" s="131" t="s">
        <v>7445</v>
      </c>
      <c r="B3000" s="132">
        <v>1.3304540188983083E-3</v>
      </c>
      <c r="C3000" s="133"/>
    </row>
    <row r="3001" spans="1:3">
      <c r="A3001" s="131" t="s">
        <v>7446</v>
      </c>
      <c r="B3001" s="132">
        <v>1.4700489999999945E-3</v>
      </c>
      <c r="C3001" s="133"/>
    </row>
    <row r="3002" spans="1:3">
      <c r="A3002" s="131" t="s">
        <v>7447</v>
      </c>
      <c r="B3002" s="132">
        <v>0.32120062444936559</v>
      </c>
      <c r="C3002" s="133"/>
    </row>
    <row r="3003" spans="1:3">
      <c r="A3003" s="131" t="s">
        <v>7448</v>
      </c>
      <c r="B3003" s="132">
        <v>9.2922952026128769E-3</v>
      </c>
      <c r="C3003" s="133"/>
    </row>
    <row r="3004" spans="1:3">
      <c r="A3004" s="131" t="s">
        <v>7449</v>
      </c>
      <c r="B3004" s="132">
        <v>1.5455780085176229E-3</v>
      </c>
      <c r="C3004" s="133"/>
    </row>
    <row r="3005" spans="1:3">
      <c r="A3005" s="131" t="s">
        <v>7450</v>
      </c>
      <c r="B3005" s="132">
        <v>0.84985107675031002</v>
      </c>
      <c r="C3005" s="133"/>
    </row>
    <row r="3006" spans="1:3">
      <c r="A3006" s="131" t="s">
        <v>7451</v>
      </c>
      <c r="B3006" s="132">
        <v>2.0704759632030154E-2</v>
      </c>
      <c r="C3006" s="133"/>
    </row>
    <row r="3007" spans="1:3">
      <c r="A3007" s="131" t="s">
        <v>7452</v>
      </c>
      <c r="B3007" s="132">
        <v>0.28738080522597464</v>
      </c>
      <c r="C3007" s="133"/>
    </row>
    <row r="3008" spans="1:3">
      <c r="A3008" s="131" t="s">
        <v>7453</v>
      </c>
      <c r="B3008" s="132">
        <v>0.130078</v>
      </c>
      <c r="C3008" s="133"/>
    </row>
    <row r="3009" spans="1:3">
      <c r="A3009" s="131" t="s">
        <v>7454</v>
      </c>
      <c r="B3009" s="132">
        <v>3.8974998460616916E-5</v>
      </c>
      <c r="C3009" s="133"/>
    </row>
    <row r="3010" spans="1:3">
      <c r="A3010" s="131" t="s">
        <v>7455</v>
      </c>
      <c r="B3010" s="132">
        <v>0.1846828880045428</v>
      </c>
      <c r="C3010" s="133"/>
    </row>
    <row r="3011" spans="1:3">
      <c r="A3011" s="131" t="s">
        <v>7456</v>
      </c>
      <c r="B3011" s="132">
        <v>0.18300879583287988</v>
      </c>
      <c r="C3011" s="133"/>
    </row>
    <row r="3012" spans="1:3">
      <c r="A3012" s="131" t="s">
        <v>7457</v>
      </c>
      <c r="B3012" s="132">
        <v>2.7084593223894709E-4</v>
      </c>
      <c r="C3012" s="133"/>
    </row>
    <row r="3013" spans="1:3">
      <c r="A3013" s="131" t="s">
        <v>7458</v>
      </c>
      <c r="B3013" s="132">
        <v>7.4092831513432458E-5</v>
      </c>
      <c r="C3013" s="133"/>
    </row>
    <row r="3014" spans="1:3">
      <c r="A3014" s="131" t="s">
        <v>7459</v>
      </c>
      <c r="B3014" s="132">
        <v>1.5007182347815238E-2</v>
      </c>
      <c r="C3014" s="133"/>
    </row>
    <row r="3015" spans="1:3">
      <c r="A3015" s="131" t="s">
        <v>7460</v>
      </c>
      <c r="B3015" s="132">
        <v>6.3481361385259085E-3</v>
      </c>
      <c r="C3015" s="133"/>
    </row>
    <row r="3016" spans="1:3">
      <c r="A3016" s="131" t="s">
        <v>7461</v>
      </c>
      <c r="B3016" s="132">
        <v>3.36</v>
      </c>
      <c r="C3016" s="133"/>
    </row>
    <row r="3017" spans="1:3">
      <c r="A3017" s="131" t="s">
        <v>7462</v>
      </c>
      <c r="B3017" s="132">
        <v>7.0143989891761424E-5</v>
      </c>
      <c r="C3017" s="133"/>
    </row>
    <row r="3018" spans="1:3">
      <c r="A3018" s="131" t="s">
        <v>7463</v>
      </c>
      <c r="B3018" s="132">
        <v>1.1259396292701982E-2</v>
      </c>
      <c r="C3018" s="133"/>
    </row>
    <row r="3019" spans="1:3">
      <c r="A3019" s="131" t="s">
        <v>7464</v>
      </c>
      <c r="B3019" s="132">
        <v>0.42084352133607522</v>
      </c>
      <c r="C3019" s="133"/>
    </row>
    <row r="3020" spans="1:3">
      <c r="A3020" s="131" t="s">
        <v>7465</v>
      </c>
      <c r="B3020" s="132">
        <v>3.8165723060394935E-3</v>
      </c>
      <c r="C3020" s="133"/>
    </row>
    <row r="3021" spans="1:3">
      <c r="A3021" s="131" t="s">
        <v>7466</v>
      </c>
      <c r="B3021" s="132">
        <v>5.8232688271698402E-4</v>
      </c>
      <c r="C3021" s="133"/>
    </row>
    <row r="3022" spans="1:3">
      <c r="A3022" s="131" t="s">
        <v>7467</v>
      </c>
      <c r="B3022" s="132">
        <v>1.2405525119286965E-3</v>
      </c>
      <c r="C3022" s="133"/>
    </row>
    <row r="3023" spans="1:3">
      <c r="A3023" s="131" t="s">
        <v>7468</v>
      </c>
      <c r="B3023" s="132">
        <v>4.8375138037404189E-2</v>
      </c>
      <c r="C3023" s="133"/>
    </row>
    <row r="3024" spans="1:3">
      <c r="A3024" s="131" t="s">
        <v>7469</v>
      </c>
      <c r="B3024" s="132">
        <v>0.97590393897642269</v>
      </c>
      <c r="C3024" s="133"/>
    </row>
    <row r="3025" spans="1:3">
      <c r="A3025" s="131" t="s">
        <v>7470</v>
      </c>
      <c r="B3025" s="132">
        <v>7.9474867549196427E-5</v>
      </c>
      <c r="C3025" s="133"/>
    </row>
    <row r="3026" spans="1:3">
      <c r="A3026" s="131" t="s">
        <v>7471</v>
      </c>
      <c r="B3026" s="132">
        <v>2.2386308843305475E-2</v>
      </c>
      <c r="C3026" s="133"/>
    </row>
    <row r="3027" spans="1:3">
      <c r="A3027" s="131" t="s">
        <v>7472</v>
      </c>
      <c r="B3027" s="132">
        <v>1.3945949263870716E-2</v>
      </c>
      <c r="C3027" s="133"/>
    </row>
    <row r="3028" spans="1:3">
      <c r="A3028" s="131" t="s">
        <v>7473</v>
      </c>
      <c r="B3028" s="132">
        <v>1.8474743445932758E-3</v>
      </c>
      <c r="C3028" s="133"/>
    </row>
    <row r="3029" spans="1:3">
      <c r="A3029" s="131" t="s">
        <v>7474</v>
      </c>
      <c r="B3029" s="132">
        <v>2.8645112946335303E-4</v>
      </c>
      <c r="C3029" s="133"/>
    </row>
    <row r="3030" spans="1:3">
      <c r="A3030" s="131" t="s">
        <v>7475</v>
      </c>
      <c r="B3030" s="132">
        <v>2.9668455145698278E-3</v>
      </c>
      <c r="C3030" s="133"/>
    </row>
    <row r="3031" spans="1:3">
      <c r="A3031" s="131" t="s">
        <v>7476</v>
      </c>
      <c r="B3031" s="132">
        <v>3.8080939557403326E-3</v>
      </c>
      <c r="C3031" s="133"/>
    </row>
    <row r="3032" spans="1:3">
      <c r="A3032" s="131" t="s">
        <v>7477</v>
      </c>
      <c r="B3032" s="132">
        <v>6.0986199999999997E-4</v>
      </c>
      <c r="C3032" s="133"/>
    </row>
    <row r="3033" spans="1:3">
      <c r="A3033" s="131" t="s">
        <v>7478</v>
      </c>
      <c r="B3033" s="132">
        <v>4423.2265977875995</v>
      </c>
      <c r="C3033" s="133"/>
    </row>
    <row r="3034" spans="1:3">
      <c r="A3034" s="131" t="s">
        <v>7479</v>
      </c>
      <c r="B3034" s="132">
        <v>103.1965095907</v>
      </c>
      <c r="C3034" s="133"/>
    </row>
    <row r="3035" spans="1:3">
      <c r="A3035" s="131" t="s">
        <v>7480</v>
      </c>
      <c r="B3035" s="132">
        <v>6.8085935523610003E-2</v>
      </c>
      <c r="C3035" s="133"/>
    </row>
    <row r="3036" spans="1:3">
      <c r="A3036" s="131" t="s">
        <v>7481</v>
      </c>
      <c r="B3036" s="132">
        <v>3.0074092404338351E-2</v>
      </c>
      <c r="C3036" s="133"/>
    </row>
    <row r="3037" spans="1:3">
      <c r="A3037" s="131" t="s">
        <v>7482</v>
      </c>
      <c r="B3037" s="132">
        <v>4.0694401999999998E-3</v>
      </c>
      <c r="C3037" s="133"/>
    </row>
    <row r="3038" spans="1:3">
      <c r="A3038" s="131" t="s">
        <v>7483</v>
      </c>
      <c r="B3038" s="132">
        <v>0.48365199718800794</v>
      </c>
      <c r="C3038" s="133"/>
    </row>
    <row r="3039" spans="1:3">
      <c r="A3039" s="131" t="s">
        <v>7484</v>
      </c>
      <c r="B3039" s="132">
        <v>2.0385460996933302E-4</v>
      </c>
      <c r="C3039" s="133"/>
    </row>
    <row r="3040" spans="1:3">
      <c r="A3040" s="131" t="s">
        <v>7485</v>
      </c>
      <c r="B3040" s="132">
        <v>1.1006700059999999</v>
      </c>
      <c r="C3040" s="133"/>
    </row>
    <row r="3041" spans="1:3">
      <c r="A3041" s="131" t="s">
        <v>7486</v>
      </c>
      <c r="B3041" s="132">
        <v>7.3982699541375041E-4</v>
      </c>
      <c r="C3041" s="133"/>
    </row>
    <row r="3042" spans="1:3">
      <c r="A3042" s="131" t="s">
        <v>7487</v>
      </c>
      <c r="B3042" s="132">
        <v>6.4710965661679692E-2</v>
      </c>
      <c r="C3042" s="133"/>
    </row>
    <row r="3043" spans="1:3">
      <c r="A3043" s="131" t="s">
        <v>7488</v>
      </c>
      <c r="B3043" s="132">
        <v>2.0014301379999984E-3</v>
      </c>
      <c r="C3043" s="133"/>
    </row>
    <row r="3044" spans="1:3">
      <c r="A3044" s="131" t="s">
        <v>7489</v>
      </c>
      <c r="B3044" s="132">
        <v>6.7748745938666739E-3</v>
      </c>
      <c r="C3044" s="133"/>
    </row>
    <row r="3045" spans="1:3">
      <c r="A3045" s="131" t="s">
        <v>7490</v>
      </c>
      <c r="B3045" s="132">
        <v>0.3340415980140668</v>
      </c>
      <c r="C3045" s="133"/>
    </row>
    <row r="3046" spans="1:3">
      <c r="A3046" s="131" t="s">
        <v>7491</v>
      </c>
      <c r="B3046" s="132">
        <v>3.2994594456546789E-2</v>
      </c>
      <c r="C3046" s="133"/>
    </row>
    <row r="3047" spans="1:3">
      <c r="A3047" s="131" t="s">
        <v>7492</v>
      </c>
      <c r="B3047" s="132">
        <v>0.26945519104330534</v>
      </c>
      <c r="C3047" s="133"/>
    </row>
    <row r="3048" spans="1:3">
      <c r="A3048" s="131" t="s">
        <v>7493</v>
      </c>
      <c r="B3048" s="132">
        <v>2.6588265156911855E-3</v>
      </c>
      <c r="C3048" s="133"/>
    </row>
    <row r="3049" spans="1:3">
      <c r="A3049" s="131" t="s">
        <v>7494</v>
      </c>
      <c r="B3049" s="132">
        <v>1.8123356637483955E-2</v>
      </c>
      <c r="C3049" s="133"/>
    </row>
    <row r="3050" spans="1:3">
      <c r="A3050" s="131" t="s">
        <v>7495</v>
      </c>
      <c r="B3050" s="132">
        <v>1.480916499118249E-2</v>
      </c>
      <c r="C3050" s="133"/>
    </row>
    <row r="3051" spans="1:3">
      <c r="A3051" s="131" t="s">
        <v>7496</v>
      </c>
      <c r="B3051" s="132">
        <v>1.0051224154168972</v>
      </c>
      <c r="C3051" s="133"/>
    </row>
    <row r="3052" spans="1:3">
      <c r="A3052" s="131" t="s">
        <v>7497</v>
      </c>
      <c r="B3052" s="132">
        <v>2.1245184514280481E-4</v>
      </c>
      <c r="C3052" s="133"/>
    </row>
    <row r="3053" spans="1:3">
      <c r="A3053" s="131" t="s">
        <v>7498</v>
      </c>
      <c r="B3053" s="132">
        <v>3.0794139838094943E-4</v>
      </c>
      <c r="C3053" s="133"/>
    </row>
    <row r="3054" spans="1:3">
      <c r="A3054" s="131" t="s">
        <v>7499</v>
      </c>
      <c r="B3054" s="132">
        <v>1.1536990212587788E-3</v>
      </c>
      <c r="C3054" s="133"/>
    </row>
    <row r="3055" spans="1:3">
      <c r="A3055" s="131" t="s">
        <v>7500</v>
      </c>
      <c r="B3055" s="132">
        <v>2.8451360071185258E-2</v>
      </c>
      <c r="C3055" s="133"/>
    </row>
    <row r="3056" spans="1:3">
      <c r="A3056" s="131" t="s">
        <v>7501</v>
      </c>
      <c r="B3056" s="132">
        <v>1.39</v>
      </c>
      <c r="C3056" s="133"/>
    </row>
    <row r="3057" spans="1:3">
      <c r="A3057" s="131" t="s">
        <v>7502</v>
      </c>
      <c r="B3057" s="132">
        <v>2.7127665847541875E-3</v>
      </c>
      <c r="C3057" s="133"/>
    </row>
    <row r="3058" spans="1:3">
      <c r="A3058" s="131" t="s">
        <v>7503</v>
      </c>
      <c r="B3058" s="132">
        <v>7.6317599999999996E-3</v>
      </c>
      <c r="C3058" s="133"/>
    </row>
    <row r="3059" spans="1:3">
      <c r="A3059" s="131" t="s">
        <v>7504</v>
      </c>
      <c r="B3059" s="132">
        <v>1.861426E-5</v>
      </c>
      <c r="C3059" s="133"/>
    </row>
    <row r="3060" spans="1:3">
      <c r="A3060" s="131" t="s">
        <v>7505</v>
      </c>
      <c r="B3060" s="132">
        <v>1.0941800428554416E-3</v>
      </c>
      <c r="C3060" s="133"/>
    </row>
    <row r="3061" spans="1:3">
      <c r="A3061" s="131" t="s">
        <v>7506</v>
      </c>
      <c r="B3061" s="132">
        <v>0.10878477027767035</v>
      </c>
      <c r="C3061" s="133"/>
    </row>
    <row r="3062" spans="1:3">
      <c r="A3062" s="131" t="s">
        <v>7507</v>
      </c>
      <c r="B3062" s="132">
        <v>1.297630853500863E-3</v>
      </c>
      <c r="C3062" s="133"/>
    </row>
    <row r="3063" spans="1:3">
      <c r="A3063" s="131" t="s">
        <v>7508</v>
      </c>
      <c r="B3063" s="132">
        <v>4.4587380558858879E-2</v>
      </c>
      <c r="C3063" s="133"/>
    </row>
    <row r="3064" spans="1:3">
      <c r="A3064" s="131" t="s">
        <v>7509</v>
      </c>
      <c r="B3064" s="132">
        <v>7.7</v>
      </c>
      <c r="C3064" s="133"/>
    </row>
    <row r="3065" spans="1:3">
      <c r="A3065" s="131" t="s">
        <v>7510</v>
      </c>
      <c r="B3065" s="132">
        <v>8.4226236809844998E-5</v>
      </c>
      <c r="C3065" s="133"/>
    </row>
    <row r="3066" spans="1:3">
      <c r="A3066" s="131" t="s">
        <v>7511</v>
      </c>
      <c r="B3066" s="132">
        <v>0.51364086126282216</v>
      </c>
      <c r="C3066" s="133"/>
    </row>
    <row r="3067" spans="1:3">
      <c r="A3067" s="131" t="s">
        <v>7512</v>
      </c>
      <c r="B3067" s="132">
        <v>4.7099409829004001E-3</v>
      </c>
      <c r="C3067" s="133"/>
    </row>
    <row r="3068" spans="1:3">
      <c r="A3068" s="131" t="s">
        <v>7513</v>
      </c>
      <c r="B3068" s="132">
        <v>4.6255293774063929E-4</v>
      </c>
      <c r="C3068" s="133"/>
    </row>
    <row r="3069" spans="1:3">
      <c r="A3069" s="131" t="s">
        <v>7514</v>
      </c>
      <c r="B3069" s="132">
        <v>1.8085423856973648E-2</v>
      </c>
      <c r="C3069" s="133"/>
    </row>
    <row r="3070" spans="1:3">
      <c r="A3070" s="131" t="s">
        <v>7515</v>
      </c>
      <c r="B3070" s="132">
        <v>1.4159079873934388E-3</v>
      </c>
      <c r="C3070" s="133"/>
    </row>
    <row r="3071" spans="1:3">
      <c r="A3071" s="131" t="s">
        <v>7516</v>
      </c>
      <c r="B3071" s="132">
        <v>7.7711749398419125E-4</v>
      </c>
      <c r="C3071" s="133"/>
    </row>
    <row r="3072" spans="1:3">
      <c r="A3072" s="131" t="s">
        <v>7517</v>
      </c>
      <c r="B3072" s="132">
        <v>300.47544623658996</v>
      </c>
      <c r="C3072" s="133"/>
    </row>
    <row r="3073" spans="1:3">
      <c r="A3073" s="131" t="s">
        <v>7518</v>
      </c>
      <c r="B3073" s="132">
        <v>2.0884605831311551E-2</v>
      </c>
      <c r="C3073" s="133"/>
    </row>
    <row r="3074" spans="1:3">
      <c r="A3074" s="131" t="s">
        <v>7519</v>
      </c>
      <c r="B3074" s="132">
        <v>0.7586205578717633</v>
      </c>
      <c r="C3074" s="133"/>
    </row>
    <row r="3075" spans="1:3">
      <c r="A3075" s="131" t="s">
        <v>7520</v>
      </c>
      <c r="B3075" s="132">
        <v>1.3457173333333333E-3</v>
      </c>
      <c r="C3075" s="133"/>
    </row>
    <row r="3076" spans="1:3">
      <c r="A3076" s="131" t="s">
        <v>7521</v>
      </c>
      <c r="B3076" s="132">
        <v>3.0017E-6</v>
      </c>
      <c r="C3076" s="133"/>
    </row>
    <row r="3077" spans="1:3">
      <c r="A3077" s="131" t="s">
        <v>7522</v>
      </c>
      <c r="B3077" s="132">
        <v>2.6872009038925171E-3</v>
      </c>
      <c r="C3077" s="133"/>
    </row>
    <row r="3078" spans="1:3">
      <c r="A3078" s="131" t="s">
        <v>7523</v>
      </c>
      <c r="B3078" s="132">
        <v>1.9695779774338007E-3</v>
      </c>
      <c r="C3078" s="133"/>
    </row>
    <row r="3079" spans="1:3">
      <c r="A3079" s="131" t="s">
        <v>7524</v>
      </c>
      <c r="B3079" s="132">
        <v>1.336447971088721E-2</v>
      </c>
      <c r="C3079" s="133"/>
    </row>
    <row r="3080" spans="1:3">
      <c r="A3080" s="131" t="s">
        <v>7525</v>
      </c>
      <c r="B3080" s="132">
        <v>1.6964150127023458E-3</v>
      </c>
      <c r="C3080" s="133"/>
    </row>
    <row r="3081" spans="1:3">
      <c r="A3081" s="131" t="s">
        <v>7526</v>
      </c>
      <c r="B3081" s="132">
        <v>4.1566699268724999E-2</v>
      </c>
      <c r="C3081" s="133"/>
    </row>
    <row r="3082" spans="1:3">
      <c r="A3082" s="131" t="s">
        <v>7527</v>
      </c>
      <c r="B3082" s="132">
        <v>2.2917348523060434E-4</v>
      </c>
      <c r="C3082" s="133"/>
    </row>
    <row r="3083" spans="1:3">
      <c r="A3083" s="131" t="s">
        <v>7528</v>
      </c>
      <c r="B3083" s="132">
        <v>7.8948119660333747E-3</v>
      </c>
      <c r="C3083" s="133"/>
    </row>
    <row r="3084" spans="1:3">
      <c r="A3084" s="131" t="s">
        <v>7529</v>
      </c>
      <c r="B3084" s="132">
        <v>7.0972758450953567E-4</v>
      </c>
      <c r="C3084" s="133"/>
    </row>
    <row r="3085" spans="1:3">
      <c r="A3085" s="131" t="s">
        <v>7530</v>
      </c>
      <c r="B3085" s="132">
        <v>2.6310026696979998E-2</v>
      </c>
      <c r="C3085" s="133"/>
    </row>
    <row r="3086" spans="1:3">
      <c r="A3086" s="131" t="s">
        <v>7531</v>
      </c>
      <c r="B3086" s="132">
        <v>7.3193889999999999E-3</v>
      </c>
      <c r="C3086" s="133"/>
    </row>
    <row r="3087" spans="1:3">
      <c r="A3087" s="131" t="s">
        <v>7532</v>
      </c>
      <c r="B3087" s="132">
        <v>2.4711241568019619E-2</v>
      </c>
      <c r="C3087" s="133"/>
    </row>
    <row r="3088" spans="1:3">
      <c r="A3088" s="131" t="s">
        <v>7533</v>
      </c>
      <c r="B3088" s="132">
        <v>1.4001400209963322E-2</v>
      </c>
      <c r="C3088" s="133"/>
    </row>
    <row r="3089" spans="1:3">
      <c r="A3089" s="131" t="s">
        <v>7534</v>
      </c>
      <c r="B3089" s="132">
        <v>3.1482228165711043E-2</v>
      </c>
      <c r="C3089" s="133"/>
    </row>
    <row r="3090" spans="1:3">
      <c r="A3090" s="131" t="s">
        <v>7535</v>
      </c>
      <c r="B3090" s="132">
        <v>3.711855E-2</v>
      </c>
      <c r="C3090" s="133"/>
    </row>
    <row r="3091" spans="1:3">
      <c r="A3091" s="131" t="s">
        <v>7536</v>
      </c>
      <c r="B3091" s="132">
        <v>0.428021132576618</v>
      </c>
      <c r="C3091" s="133"/>
    </row>
    <row r="3092" spans="1:3">
      <c r="A3092" s="131" t="s">
        <v>7537</v>
      </c>
      <c r="B3092" s="132">
        <v>3.4130111216305993E-3</v>
      </c>
      <c r="C3092" s="133"/>
    </row>
    <row r="3093" spans="1:3">
      <c r="A3093" s="131" t="s">
        <v>7538</v>
      </c>
      <c r="B3093" s="132">
        <v>6.54</v>
      </c>
      <c r="C3093" s="133"/>
    </row>
    <row r="3094" spans="1:3">
      <c r="A3094" s="131" t="s">
        <v>7539</v>
      </c>
      <c r="B3094" s="132">
        <v>1.46350318408976E-2</v>
      </c>
      <c r="C3094" s="133"/>
    </row>
    <row r="3095" spans="1:3">
      <c r="A3095" s="131" t="s">
        <v>7540</v>
      </c>
      <c r="B3095" s="132">
        <v>2.06</v>
      </c>
      <c r="C3095" s="133"/>
    </row>
    <row r="3096" spans="1:3">
      <c r="A3096" s="131" t="s">
        <v>7541</v>
      </c>
      <c r="B3096" s="132">
        <v>0.14001270494349743</v>
      </c>
      <c r="C3096" s="133"/>
    </row>
    <row r="3097" spans="1:3">
      <c r="A3097" s="131" t="s">
        <v>7542</v>
      </c>
      <c r="B3097" s="132">
        <v>2.8998025720590971E-3</v>
      </c>
      <c r="C3097" s="133"/>
    </row>
    <row r="3098" spans="1:3">
      <c r="A3098" s="131" t="s">
        <v>7543</v>
      </c>
      <c r="B3098" s="132">
        <v>4.9508627525119663E-3</v>
      </c>
      <c r="C3098" s="133"/>
    </row>
    <row r="3099" spans="1:3">
      <c r="A3099" s="131" t="s">
        <v>7544</v>
      </c>
      <c r="B3099" s="132">
        <v>0.21102657522221022</v>
      </c>
      <c r="C3099" s="133"/>
    </row>
    <row r="3100" spans="1:3">
      <c r="A3100" s="131" t="s">
        <v>7545</v>
      </c>
      <c r="B3100" s="132">
        <v>3.2433504558025711E-2</v>
      </c>
      <c r="C3100" s="133"/>
    </row>
    <row r="3101" spans="1:3">
      <c r="A3101" s="131" t="s">
        <v>7546</v>
      </c>
      <c r="B3101" s="132">
        <v>7.0490179622654094E-4</v>
      </c>
      <c r="C3101" s="133"/>
    </row>
    <row r="3102" spans="1:3">
      <c r="A3102" s="131" t="s">
        <v>7547</v>
      </c>
      <c r="B3102" s="132">
        <v>5.6381401373073459E-4</v>
      </c>
      <c r="C3102" s="133"/>
    </row>
    <row r="3103" spans="1:3">
      <c r="A3103" s="131" t="s">
        <v>7548</v>
      </c>
      <c r="B3103" s="132">
        <v>1.4207520647719405E-2</v>
      </c>
      <c r="C3103" s="133"/>
    </row>
    <row r="3104" spans="1:3">
      <c r="A3104" s="131" t="s">
        <v>7549</v>
      </c>
      <c r="B3104" s="132">
        <v>3.106579342320893E-4</v>
      </c>
      <c r="C3104" s="133"/>
    </row>
    <row r="3105" spans="1:3">
      <c r="A3105" s="131" t="s">
        <v>7550</v>
      </c>
      <c r="B3105" s="132">
        <v>1.7133892770134813E-4</v>
      </c>
      <c r="C3105" s="133"/>
    </row>
    <row r="3106" spans="1:3">
      <c r="A3106" s="131" t="s">
        <v>7551</v>
      </c>
      <c r="B3106" s="132">
        <v>2.4327702543723812E-2</v>
      </c>
      <c r="C3106" s="133"/>
    </row>
    <row r="3107" spans="1:3">
      <c r="A3107" s="131" t="s">
        <v>7552</v>
      </c>
      <c r="B3107" s="132">
        <v>0.65120287020974066</v>
      </c>
      <c r="C3107" s="133"/>
    </row>
    <row r="3108" spans="1:3">
      <c r="A3108" s="131" t="s">
        <v>7553</v>
      </c>
      <c r="B3108" s="132">
        <v>5.0843188663037327E-3</v>
      </c>
      <c r="C3108" s="133"/>
    </row>
    <row r="3109" spans="1:3">
      <c r="A3109" s="131" t="s">
        <v>7554</v>
      </c>
      <c r="B3109" s="132">
        <v>9.4307299510880249E-3</v>
      </c>
      <c r="C3109" s="133"/>
    </row>
    <row r="3110" spans="1:3">
      <c r="A3110" s="131" t="s">
        <v>7555</v>
      </c>
      <c r="B3110" s="132">
        <v>3.0093200039118528E-3</v>
      </c>
      <c r="C3110" s="133"/>
    </row>
    <row r="3111" spans="1:3">
      <c r="A3111" s="131" t="s">
        <v>7556</v>
      </c>
      <c r="B3111" s="132">
        <v>1.6392629796569341E-2</v>
      </c>
      <c r="C3111" s="133"/>
    </row>
    <row r="3112" spans="1:3">
      <c r="A3112" s="131" t="s">
        <v>7557</v>
      </c>
      <c r="B3112" s="132">
        <v>2.714684935024692E-3</v>
      </c>
      <c r="C3112" s="133"/>
    </row>
    <row r="3113" spans="1:3">
      <c r="A3113" s="131" t="s">
        <v>7558</v>
      </c>
      <c r="B3113" s="132">
        <v>1.6609410522505641E-3</v>
      </c>
      <c r="C3113" s="133"/>
    </row>
    <row r="3114" spans="1:3">
      <c r="A3114" s="131" t="s">
        <v>7559</v>
      </c>
      <c r="B3114" s="132">
        <v>3.4172855331672955E-2</v>
      </c>
      <c r="C3114" s="133"/>
    </row>
    <row r="3115" spans="1:3">
      <c r="A3115" s="131" t="s">
        <v>7560</v>
      </c>
      <c r="B3115" s="132">
        <v>1.5560700558125973E-3</v>
      </c>
      <c r="C3115" s="133"/>
    </row>
    <row r="3116" spans="1:3">
      <c r="A3116" s="131" t="s">
        <v>7561</v>
      </c>
      <c r="B3116" s="132">
        <v>0.39153584837913513</v>
      </c>
      <c r="C3116" s="133"/>
    </row>
    <row r="3117" spans="1:3">
      <c r="A3117" s="131" t="s">
        <v>7562</v>
      </c>
      <c r="B3117" s="132">
        <v>1.9991997384880651E-3</v>
      </c>
      <c r="C3117" s="133"/>
    </row>
    <row r="3118" spans="1:3">
      <c r="A3118" s="131" t="s">
        <v>7563</v>
      </c>
      <c r="B3118" s="132">
        <v>4.9478860197962227E-5</v>
      </c>
      <c r="C3118" s="133"/>
    </row>
    <row r="3119" spans="1:3">
      <c r="A3119" s="131" t="s">
        <v>7564</v>
      </c>
      <c r="B3119" s="132">
        <v>1.2183869359783144E-2</v>
      </c>
      <c r="C3119" s="133"/>
    </row>
    <row r="3120" spans="1:3">
      <c r="A3120" s="131" t="s">
        <v>7565</v>
      </c>
      <c r="B3120" s="132">
        <v>4.8779130442591166E-3</v>
      </c>
      <c r="C3120" s="133"/>
    </row>
    <row r="3121" spans="1:3">
      <c r="A3121" s="131" t="s">
        <v>7566</v>
      </c>
      <c r="B3121" s="132">
        <v>3.996325159257994E-4</v>
      </c>
      <c r="C3121" s="133"/>
    </row>
    <row r="3122" spans="1:3">
      <c r="A3122" s="131" t="s">
        <v>7567</v>
      </c>
      <c r="B3122" s="132">
        <v>4.8198190773028463E-4</v>
      </c>
      <c r="C3122" s="133"/>
    </row>
    <row r="3123" spans="1:3">
      <c r="A3123" s="131" t="s">
        <v>7568</v>
      </c>
      <c r="B3123" s="132">
        <v>3.9071100763976574E-4</v>
      </c>
      <c r="C3123" s="133"/>
    </row>
    <row r="3124" spans="1:3">
      <c r="A3124" s="131" t="s">
        <v>7569</v>
      </c>
      <c r="B3124" s="132">
        <v>1.3098113365522259</v>
      </c>
      <c r="C3124" s="133"/>
    </row>
    <row r="3125" spans="1:3">
      <c r="A3125" s="131" t="s">
        <v>7570</v>
      </c>
      <c r="B3125" s="132">
        <v>3.9601303515391052E-3</v>
      </c>
      <c r="C3125" s="133"/>
    </row>
    <row r="3126" spans="1:3">
      <c r="A3126" s="131" t="s">
        <v>7571</v>
      </c>
      <c r="B3126" s="132">
        <v>6.9418925708854005</v>
      </c>
      <c r="C3126" s="133"/>
    </row>
    <row r="3127" spans="1:3">
      <c r="A3127" s="131" t="s">
        <v>7572</v>
      </c>
      <c r="B3127" s="132">
        <v>4.5914886012988716E-2</v>
      </c>
      <c r="C3127" s="133"/>
    </row>
    <row r="3128" spans="1:3">
      <c r="A3128" s="131" t="s">
        <v>7573</v>
      </c>
      <c r="B3128" s="132">
        <v>1.7274359706789255E-3</v>
      </c>
      <c r="C3128" s="133"/>
    </row>
    <row r="3129" spans="1:3">
      <c r="A3129" s="131" t="s">
        <v>7574</v>
      </c>
      <c r="B3129" s="132">
        <v>3.5377331078052521E-3</v>
      </c>
      <c r="C3129" s="133"/>
    </row>
    <row r="3130" spans="1:3">
      <c r="A3130" s="131" t="s">
        <v>7575</v>
      </c>
      <c r="B3130" s="132">
        <v>6.8529074026931955E-4</v>
      </c>
      <c r="C3130" s="133"/>
    </row>
    <row r="3131" spans="1:3">
      <c r="A3131" s="131" t="s">
        <v>7576</v>
      </c>
      <c r="B3131" s="132">
        <v>0.53809769906279425</v>
      </c>
      <c r="C3131" s="133"/>
    </row>
    <row r="3132" spans="1:3">
      <c r="A3132" s="131" t="s">
        <v>7577</v>
      </c>
      <c r="B3132" s="132">
        <v>3.5261000448372215E-5</v>
      </c>
      <c r="C3132" s="133"/>
    </row>
    <row r="3133" spans="1:3">
      <c r="A3133" s="131" t="s">
        <v>7578</v>
      </c>
      <c r="B3133" s="132">
        <v>0.12296221322358727</v>
      </c>
      <c r="C3133" s="133"/>
    </row>
    <row r="3134" spans="1:3">
      <c r="A3134" s="131" t="s">
        <v>7579</v>
      </c>
      <c r="B3134" s="132">
        <v>2.4045726400291137E-3</v>
      </c>
      <c r="C3134" s="133"/>
    </row>
    <row r="3135" spans="1:3">
      <c r="A3135" s="131" t="s">
        <v>7580</v>
      </c>
      <c r="B3135" s="132">
        <v>3.81</v>
      </c>
      <c r="C3135" s="133"/>
    </row>
    <row r="3136" spans="1:3">
      <c r="A3136" s="131" t="s">
        <v>7581</v>
      </c>
      <c r="B3136" s="132">
        <v>3.0560638804761685E-3</v>
      </c>
      <c r="C3136" s="133"/>
    </row>
    <row r="3137" spans="1:3">
      <c r="A3137" s="131" t="s">
        <v>7582</v>
      </c>
      <c r="B3137" s="132">
        <v>1.5736E-2</v>
      </c>
      <c r="C3137" s="133"/>
    </row>
    <row r="3138" spans="1:3">
      <c r="A3138" s="131" t="s">
        <v>7583</v>
      </c>
      <c r="B3138" s="132">
        <v>5.6318395038432757E-2</v>
      </c>
      <c r="C3138" s="133"/>
    </row>
    <row r="3139" spans="1:3">
      <c r="A3139" s="131" t="s">
        <v>7584</v>
      </c>
      <c r="B3139" s="132">
        <v>1.7542039956403448E-2</v>
      </c>
      <c r="C3139" s="133"/>
    </row>
    <row r="3140" spans="1:3">
      <c r="A3140" s="131" t="s">
        <v>7585</v>
      </c>
      <c r="B3140" s="132">
        <v>3.9651599945500493E-4</v>
      </c>
      <c r="C3140" s="133"/>
    </row>
    <row r="3141" spans="1:3">
      <c r="A3141" s="131" t="s">
        <v>7586</v>
      </c>
      <c r="B3141" s="132">
        <v>2.204700321762576E-2</v>
      </c>
      <c r="C3141" s="133"/>
    </row>
    <row r="3142" spans="1:3">
      <c r="A3142" s="131" t="s">
        <v>7587</v>
      </c>
      <c r="B3142" s="132">
        <v>9.15</v>
      </c>
      <c r="C3142" s="133"/>
    </row>
    <row r="3143" spans="1:3">
      <c r="A3143" s="131" t="s">
        <v>7588</v>
      </c>
      <c r="B3143" s="132">
        <v>1.3000000035390258E-3</v>
      </c>
      <c r="C3143" s="133"/>
    </row>
    <row r="3144" spans="1:3">
      <c r="A3144" s="131" t="s">
        <v>7589</v>
      </c>
      <c r="B3144" s="132">
        <v>8.2813169269809993E-3</v>
      </c>
      <c r="C3144" s="133"/>
    </row>
    <row r="3145" spans="1:3">
      <c r="A3145" s="131" t="s">
        <v>7590</v>
      </c>
      <c r="B3145" s="132">
        <v>1.7058463186321111E-2</v>
      </c>
      <c r="C3145" s="133"/>
    </row>
    <row r="3146" spans="1:3">
      <c r="A3146" s="131" t="s">
        <v>7591</v>
      </c>
      <c r="B3146" s="132">
        <v>2.5036900769919157E-3</v>
      </c>
      <c r="C3146" s="133"/>
    </row>
    <row r="3147" spans="1:3">
      <c r="A3147" s="131" t="s">
        <v>7592</v>
      </c>
      <c r="B3147" s="132">
        <v>1.8923744559288025E-2</v>
      </c>
      <c r="C3147" s="133"/>
    </row>
    <row r="3148" spans="1:3">
      <c r="A3148" s="131" t="s">
        <v>7593</v>
      </c>
      <c r="B3148" s="132">
        <v>6.2229252243210548E-4</v>
      </c>
      <c r="C3148" s="133"/>
    </row>
    <row r="3149" spans="1:3">
      <c r="A3149" s="131" t="s">
        <v>7594</v>
      </c>
      <c r="B3149" s="132">
        <v>4.0518635865253538E-4</v>
      </c>
      <c r="C3149" s="133"/>
    </row>
    <row r="3150" spans="1:3">
      <c r="A3150" s="131" t="s">
        <v>7595</v>
      </c>
      <c r="B3150" s="132">
        <v>1.0656262840695456E-2</v>
      </c>
      <c r="C3150" s="133"/>
    </row>
    <row r="3151" spans="1:3">
      <c r="A3151" s="131" t="s">
        <v>7596</v>
      </c>
      <c r="B3151" s="132">
        <v>1.2612590484189915E-3</v>
      </c>
      <c r="C3151" s="133"/>
    </row>
    <row r="3152" spans="1:3">
      <c r="A3152" s="131" t="s">
        <v>7597</v>
      </c>
      <c r="B3152" s="132">
        <v>1.0129394E-2</v>
      </c>
      <c r="C3152" s="133"/>
    </row>
    <row r="3153" spans="1:3">
      <c r="A3153" s="131" t="s">
        <v>7598</v>
      </c>
      <c r="B3153" s="132">
        <v>6.3032428167418412E-4</v>
      </c>
      <c r="C3153" s="133"/>
    </row>
    <row r="3154" spans="1:3">
      <c r="A3154" s="131" t="s">
        <v>7599</v>
      </c>
      <c r="B3154" s="132">
        <v>1.0312921190541193E-2</v>
      </c>
      <c r="C3154" s="133"/>
    </row>
    <row r="3155" spans="1:3">
      <c r="A3155" s="131" t="s">
        <v>7600</v>
      </c>
      <c r="B3155" s="132">
        <v>4.4400000000000004</v>
      </c>
      <c r="C3155" s="133"/>
    </row>
    <row r="3156" spans="1:3">
      <c r="A3156" s="131" t="s">
        <v>7601</v>
      </c>
      <c r="B3156" s="132">
        <v>9.2005997430533171E-5</v>
      </c>
      <c r="C3156" s="133"/>
    </row>
    <row r="3157" spans="1:3">
      <c r="A3157" s="131" t="s">
        <v>7602</v>
      </c>
      <c r="B3157" s="132">
        <v>1.0445896095975875E-3</v>
      </c>
      <c r="C3157" s="133"/>
    </row>
    <row r="3158" spans="1:3">
      <c r="A3158" s="131" t="s">
        <v>7603</v>
      </c>
      <c r="B3158" s="132">
        <v>0.98798024299999998</v>
      </c>
      <c r="C3158" s="133"/>
    </row>
    <row r="3159" spans="1:3">
      <c r="A3159" s="131" t="s">
        <v>7604</v>
      </c>
      <c r="B3159" s="132">
        <v>1.7994600348174572E-3</v>
      </c>
      <c r="C3159" s="133"/>
    </row>
    <row r="3160" spans="1:3">
      <c r="A3160" s="131" t="s">
        <v>7605</v>
      </c>
      <c r="B3160" s="132">
        <v>10.63</v>
      </c>
      <c r="C3160" s="133"/>
    </row>
    <row r="3161" spans="1:3">
      <c r="A3161" s="131" t="s">
        <v>7606</v>
      </c>
      <c r="B3161" s="132">
        <v>2.7670332368266428E-3</v>
      </c>
      <c r="C3161" s="133"/>
    </row>
    <row r="3162" spans="1:3">
      <c r="A3162" s="131" t="s">
        <v>7607</v>
      </c>
      <c r="B3162" s="132">
        <v>2.1027539779353427E-3</v>
      </c>
      <c r="C3162" s="133"/>
    </row>
    <row r="3163" spans="1:3">
      <c r="A3163" s="131" t="s">
        <v>7608</v>
      </c>
      <c r="B3163" s="132">
        <v>5.1028899999999995E-2</v>
      </c>
      <c r="C3163" s="133"/>
    </row>
    <row r="3164" spans="1:3">
      <c r="A3164" s="131" t="s">
        <v>7609</v>
      </c>
      <c r="B3164" s="132">
        <v>7.225509386590224E-3</v>
      </c>
      <c r="C3164" s="133"/>
    </row>
    <row r="3165" spans="1:3">
      <c r="A3165" s="131" t="s">
        <v>7610</v>
      </c>
      <c r="B3165" s="132">
        <v>7.09</v>
      </c>
      <c r="C3165" s="133"/>
    </row>
    <row r="3166" spans="1:3">
      <c r="A3166" s="131" t="s">
        <v>7611</v>
      </c>
      <c r="B3166" s="132">
        <v>2.4827308716241174E-6</v>
      </c>
      <c r="C3166" s="133"/>
    </row>
    <row r="3167" spans="1:3">
      <c r="A3167" s="131" t="s">
        <v>7612</v>
      </c>
      <c r="B3167" s="132">
        <v>8.7135871243917945E-2</v>
      </c>
      <c r="C3167" s="133"/>
    </row>
    <row r="3168" spans="1:3">
      <c r="A3168" s="131" t="s">
        <v>7613</v>
      </c>
      <c r="B3168" s="132">
        <v>4.6608346075712256E-4</v>
      </c>
      <c r="C3168" s="133"/>
    </row>
    <row r="3169" spans="1:3">
      <c r="A3169" s="131" t="s">
        <v>7614</v>
      </c>
      <c r="B3169" s="132">
        <v>4.5780299114994705E-4</v>
      </c>
      <c r="C3169" s="133"/>
    </row>
    <row r="3170" spans="1:3">
      <c r="A3170" s="131" t="s">
        <v>7615</v>
      </c>
      <c r="B3170" s="132">
        <v>0.18506166666666671</v>
      </c>
      <c r="C3170" s="133"/>
    </row>
    <row r="3171" spans="1:3">
      <c r="A3171" s="131" t="s">
        <v>7616</v>
      </c>
      <c r="B3171" s="132">
        <v>4.5242286610406725E-2</v>
      </c>
      <c r="C3171" s="133"/>
    </row>
    <row r="3172" spans="1:3">
      <c r="A3172" s="131" t="s">
        <v>7617</v>
      </c>
      <c r="B3172" s="132">
        <v>5.7854580096813046E-3</v>
      </c>
      <c r="C3172" s="133"/>
    </row>
    <row r="3173" spans="1:3">
      <c r="A3173" s="131" t="s">
        <v>7618</v>
      </c>
      <c r="B3173" s="132">
        <v>6.4250928735168635E-5</v>
      </c>
      <c r="C3173" s="133"/>
    </row>
    <row r="3174" spans="1:3">
      <c r="A3174" s="131" t="s">
        <v>7619</v>
      </c>
      <c r="B3174" s="132">
        <v>3.0969689763962121E-5</v>
      </c>
      <c r="C3174" s="133"/>
    </row>
    <row r="3175" spans="1:3">
      <c r="A3175" s="131" t="s">
        <v>7620</v>
      </c>
      <c r="B3175" s="132">
        <v>1.9665714081490573E-4</v>
      </c>
      <c r="C3175" s="133"/>
    </row>
    <row r="3176" spans="1:3">
      <c r="A3176" s="131" t="s">
        <v>7621</v>
      </c>
      <c r="B3176" s="132">
        <v>0.26866114755977177</v>
      </c>
      <c r="C3176" s="133"/>
    </row>
    <row r="3177" spans="1:3">
      <c r="A3177" s="131" t="s">
        <v>7622</v>
      </c>
      <c r="B3177" s="132">
        <v>4.6774111688137054E-2</v>
      </c>
      <c r="C3177" s="133"/>
    </row>
    <row r="3178" spans="1:3">
      <c r="A3178" s="131" t="s">
        <v>7623</v>
      </c>
      <c r="B3178" s="132">
        <v>0.21302008537578532</v>
      </c>
      <c r="C3178" s="133"/>
    </row>
    <row r="3179" spans="1:3">
      <c r="A3179" s="131" t="s">
        <v>7624</v>
      </c>
      <c r="B3179" s="132">
        <v>0.1894961763635864</v>
      </c>
      <c r="C3179" s="133"/>
    </row>
    <row r="3180" spans="1:3">
      <c r="A3180" s="131" t="s">
        <v>7625</v>
      </c>
      <c r="B3180" s="132">
        <v>3.7507370579987764E-3</v>
      </c>
      <c r="C3180" s="133"/>
    </row>
    <row r="3181" spans="1:3">
      <c r="A3181" s="131" t="s">
        <v>7626</v>
      </c>
      <c r="B3181" s="132">
        <v>2.4516938840726111E-3</v>
      </c>
      <c r="C3181" s="133"/>
    </row>
    <row r="3182" spans="1:3">
      <c r="A3182" s="131" t="s">
        <v>7627</v>
      </c>
      <c r="B3182" s="132">
        <v>5.6581042762208274E-2</v>
      </c>
      <c r="C3182" s="133"/>
    </row>
    <row r="3183" spans="1:3">
      <c r="A3183" s="131" t="s">
        <v>7628</v>
      </c>
      <c r="B3183" s="132">
        <v>7.6722331695768392E-2</v>
      </c>
      <c r="C3183" s="133"/>
    </row>
    <row r="3184" spans="1:3">
      <c r="A3184" s="131" t="s">
        <v>7629</v>
      </c>
      <c r="B3184" s="132">
        <v>1.7909617877637169E-3</v>
      </c>
      <c r="C3184" s="133"/>
    </row>
    <row r="3185" spans="1:3">
      <c r="A3185" s="131" t="s">
        <v>7630</v>
      </c>
      <c r="B3185" s="132">
        <v>0.18860449998797285</v>
      </c>
      <c r="C3185" s="133"/>
    </row>
    <row r="3186" spans="1:3">
      <c r="A3186" s="131" t="s">
        <v>7631</v>
      </c>
      <c r="B3186" s="132">
        <v>2.4244500673376024E-4</v>
      </c>
      <c r="C3186" s="133"/>
    </row>
    <row r="3187" spans="1:3">
      <c r="A3187" s="131" t="s">
        <v>7632</v>
      </c>
      <c r="B3187" s="132">
        <v>2.0380299538373947E-3</v>
      </c>
      <c r="C3187" s="133"/>
    </row>
    <row r="3188" spans="1:3">
      <c r="A3188" s="131" t="s">
        <v>7633</v>
      </c>
      <c r="B3188" s="132">
        <v>1.0105596282681166E-3</v>
      </c>
      <c r="C3188" s="133"/>
    </row>
    <row r="3189" spans="1:3">
      <c r="A3189" s="131" t="s">
        <v>7634</v>
      </c>
      <c r="B3189" s="132">
        <v>7.2890097447021227E-2</v>
      </c>
      <c r="C3189" s="133"/>
    </row>
    <row r="3190" spans="1:3">
      <c r="A3190" s="131" t="s">
        <v>7635</v>
      </c>
      <c r="B3190" s="132">
        <v>4.2373082425494089E-3</v>
      </c>
      <c r="C3190" s="133"/>
    </row>
    <row r="3191" spans="1:3">
      <c r="A3191" s="131" t="s">
        <v>7636</v>
      </c>
      <c r="B3191" s="132">
        <v>9.5472871019153678E-5</v>
      </c>
      <c r="C3191" s="133"/>
    </row>
    <row r="3192" spans="1:3">
      <c r="A3192" s="131" t="s">
        <v>7637</v>
      </c>
      <c r="B3192" s="132">
        <v>4.059430049828483E-2</v>
      </c>
      <c r="C3192" s="133"/>
    </row>
    <row r="3193" spans="1:3">
      <c r="A3193" s="131" t="s">
        <v>7638</v>
      </c>
      <c r="B3193" s="132">
        <v>1.6795881472132197E-2</v>
      </c>
      <c r="C3193" s="133"/>
    </row>
    <row r="3194" spans="1:3">
      <c r="A3194" s="131" t="s">
        <v>7639</v>
      </c>
      <c r="B3194" s="132">
        <v>4.3369606584993956E-3</v>
      </c>
      <c r="C3194" s="133"/>
    </row>
    <row r="3195" spans="1:3">
      <c r="A3195" s="131" t="s">
        <v>7640</v>
      </c>
      <c r="B3195" s="132">
        <v>0.12256798148155212</v>
      </c>
      <c r="C3195" s="133"/>
    </row>
    <row r="3196" spans="1:3">
      <c r="A3196" s="131" t="s">
        <v>7641</v>
      </c>
      <c r="B3196" s="132">
        <v>6.1771828903127858E-4</v>
      </c>
      <c r="C3196" s="133"/>
    </row>
    <row r="3197" spans="1:3">
      <c r="A3197" s="131" t="s">
        <v>7642</v>
      </c>
      <c r="B3197" s="132">
        <v>1.8351782399999999E-2</v>
      </c>
      <c r="C3197" s="133"/>
    </row>
    <row r="3198" spans="1:3">
      <c r="A3198" s="131" t="s">
        <v>7643</v>
      </c>
      <c r="B3198" s="132">
        <v>1.233641580796216</v>
      </c>
      <c r="C3198" s="133"/>
    </row>
    <row r="3199" spans="1:3">
      <c r="A3199" s="131" t="s">
        <v>7644</v>
      </c>
      <c r="B3199" s="132">
        <v>3.4921742054825046E-2</v>
      </c>
      <c r="C3199" s="133"/>
    </row>
    <row r="3200" spans="1:3">
      <c r="A3200" s="131" t="s">
        <v>7645</v>
      </c>
      <c r="B3200" s="132">
        <v>9.8643972774675737E-4</v>
      </c>
      <c r="C3200" s="133"/>
    </row>
    <row r="3201" spans="1:3">
      <c r="A3201" s="131" t="s">
        <v>7646</v>
      </c>
      <c r="B3201" s="132">
        <v>12.26</v>
      </c>
      <c r="C3201" s="133"/>
    </row>
    <row r="3202" spans="1:3">
      <c r="A3202" s="131" t="s">
        <v>7647</v>
      </c>
      <c r="B3202" s="132">
        <v>5.8110500685870647E-4</v>
      </c>
      <c r="C3202" s="133"/>
    </row>
    <row r="3203" spans="1:3">
      <c r="A3203" s="131" t="s">
        <v>7648</v>
      </c>
      <c r="B3203" s="132">
        <v>2.05572505411953E-2</v>
      </c>
      <c r="C3203" s="133"/>
    </row>
    <row r="3204" spans="1:3">
      <c r="A3204" s="131" t="s">
        <v>7649</v>
      </c>
      <c r="B3204" s="132">
        <v>1.7524826967055483E-5</v>
      </c>
      <c r="C3204" s="133"/>
    </row>
    <row r="3205" spans="1:3">
      <c r="A3205" s="131" t="s">
        <v>7650</v>
      </c>
      <c r="B3205" s="132">
        <v>0.50185829401016235</v>
      </c>
      <c r="C3205" s="133"/>
    </row>
    <row r="3206" spans="1:3">
      <c r="A3206" s="131" t="s">
        <v>7651</v>
      </c>
      <c r="B3206" s="132">
        <v>1.0004900104831904E-4</v>
      </c>
      <c r="C3206" s="133"/>
    </row>
    <row r="3207" spans="1:3">
      <c r="A3207" s="131" t="s">
        <v>7652</v>
      </c>
      <c r="B3207" s="132">
        <v>9.9106346086496166E-3</v>
      </c>
      <c r="C3207" s="133"/>
    </row>
    <row r="3208" spans="1:3">
      <c r="A3208" s="131" t="s">
        <v>7653</v>
      </c>
      <c r="B3208" s="132">
        <v>3.09</v>
      </c>
      <c r="C3208" s="133"/>
    </row>
    <row r="3209" spans="1:3">
      <c r="A3209" s="131" t="s">
        <v>7654</v>
      </c>
      <c r="B3209" s="132">
        <v>5.730766077221677E-3</v>
      </c>
      <c r="C3209" s="133"/>
    </row>
    <row r="3210" spans="1:3">
      <c r="A3210" s="131" t="s">
        <v>7655</v>
      </c>
      <c r="B3210" s="132">
        <v>1.1346976086965819</v>
      </c>
      <c r="C3210" s="133"/>
    </row>
    <row r="3211" spans="1:3">
      <c r="A3211" s="131" t="s">
        <v>7656</v>
      </c>
      <c r="B3211" s="132">
        <v>1.3594799675047398E-3</v>
      </c>
      <c r="C3211" s="133"/>
    </row>
    <row r="3212" spans="1:3">
      <c r="A3212" s="131" t="s">
        <v>7657</v>
      </c>
      <c r="B3212" s="132">
        <v>7.5948338293518013E-3</v>
      </c>
      <c r="C3212" s="133"/>
    </row>
    <row r="3213" spans="1:3">
      <c r="A3213" s="131" t="s">
        <v>7658</v>
      </c>
      <c r="B3213" s="132">
        <v>4.6541554715266989E-3</v>
      </c>
      <c r="C3213" s="133"/>
    </row>
    <row r="3214" spans="1:3">
      <c r="A3214" s="131" t="s">
        <v>7659</v>
      </c>
      <c r="B3214" s="132">
        <v>5.1436258039082056E-4</v>
      </c>
      <c r="C3214" s="133"/>
    </row>
    <row r="3215" spans="1:3">
      <c r="A3215" s="131" t="s">
        <v>7660</v>
      </c>
      <c r="B3215" s="132">
        <v>1.5308271421238936E-3</v>
      </c>
      <c r="C3215" s="133"/>
    </row>
    <row r="3216" spans="1:3">
      <c r="A3216" s="131" t="s">
        <v>7661</v>
      </c>
      <c r="B3216" s="132">
        <v>2.0456722718616868E-4</v>
      </c>
      <c r="C3216" s="133"/>
    </row>
    <row r="3217" spans="1:3">
      <c r="A3217" s="131" t="s">
        <v>7662</v>
      </c>
      <c r="B3217" s="132">
        <v>1.4177961135019197E-3</v>
      </c>
      <c r="C3217" s="133"/>
    </row>
    <row r="3218" spans="1:3">
      <c r="A3218" s="131" t="s">
        <v>7663</v>
      </c>
      <c r="B3218" s="132">
        <v>0.26488001366666503</v>
      </c>
      <c r="C3218" s="133"/>
    </row>
    <row r="3219" spans="1:3">
      <c r="A3219" s="131" t="s">
        <v>7664</v>
      </c>
      <c r="B3219" s="132">
        <v>0.16993987099711308</v>
      </c>
      <c r="C3219" s="133"/>
    </row>
    <row r="3220" spans="1:3">
      <c r="A3220" s="131" t="s">
        <v>7665</v>
      </c>
      <c r="B3220" s="132">
        <v>8.6578357206178198E-3</v>
      </c>
      <c r="C3220" s="133"/>
    </row>
    <row r="3221" spans="1:3">
      <c r="A3221" s="131" t="s">
        <v>7666</v>
      </c>
      <c r="B3221" s="132">
        <v>2.9271894037777899E-2</v>
      </c>
      <c r="C3221" s="133"/>
    </row>
    <row r="3222" spans="1:3">
      <c r="A3222" s="131" t="s">
        <v>7667</v>
      </c>
      <c r="B3222" s="132">
        <v>1.7441876400711037E-4</v>
      </c>
      <c r="C3222" s="133"/>
    </row>
    <row r="3223" spans="1:3">
      <c r="A3223" s="131" t="s">
        <v>7668</v>
      </c>
      <c r="B3223" s="132">
        <v>3.1473852446135459E-2</v>
      </c>
      <c r="C3223" s="133"/>
    </row>
    <row r="3224" spans="1:3">
      <c r="A3224" s="131" t="s">
        <v>7669</v>
      </c>
      <c r="B3224" s="132">
        <v>6.1771828903127858E-4</v>
      </c>
      <c r="C3224" s="133"/>
    </row>
    <row r="3225" spans="1:3">
      <c r="A3225" s="131" t="s">
        <v>7670</v>
      </c>
      <c r="B3225" s="132">
        <v>6.0691233781477282E-4</v>
      </c>
      <c r="C3225" s="133"/>
    </row>
    <row r="3226" spans="1:3">
      <c r="A3226" s="131" t="s">
        <v>7671</v>
      </c>
      <c r="B3226" s="132">
        <v>1.1195429256845919E-2</v>
      </c>
      <c r="C3226" s="133"/>
    </row>
    <row r="3227" spans="1:3">
      <c r="A3227" s="131" t="s">
        <v>7672</v>
      </c>
      <c r="B3227" s="132">
        <v>0.8817567856247257</v>
      </c>
      <c r="C3227" s="133"/>
    </row>
    <row r="3228" spans="1:3">
      <c r="A3228" s="131" t="s">
        <v>7673</v>
      </c>
      <c r="B3228" s="132">
        <v>9.0047999999999986E-3</v>
      </c>
      <c r="C3228" s="133"/>
    </row>
    <row r="3229" spans="1:3">
      <c r="A3229" s="131" t="s">
        <v>7674</v>
      </c>
      <c r="B3229" s="132">
        <v>5.4056691005825996E-3</v>
      </c>
      <c r="C3229" s="133"/>
    </row>
    <row r="3230" spans="1:3">
      <c r="A3230" s="131" t="s">
        <v>7675</v>
      </c>
      <c r="B3230" s="132">
        <v>3.5686884903732376E-2</v>
      </c>
      <c r="C3230" s="133"/>
    </row>
    <row r="3231" spans="1:3">
      <c r="A3231" s="131" t="s">
        <v>7676</v>
      </c>
      <c r="B3231" s="132">
        <v>2.5873481812028398E-3</v>
      </c>
      <c r="C3231" s="133"/>
    </row>
    <row r="3232" spans="1:3">
      <c r="A3232" s="131" t="s">
        <v>7677</v>
      </c>
      <c r="B3232" s="132">
        <v>8.2362643502090147E-3</v>
      </c>
      <c r="C3232" s="133"/>
    </row>
    <row r="3233" spans="1:3">
      <c r="A3233" s="131" t="s">
        <v>7678</v>
      </c>
      <c r="B3233" s="132">
        <v>5.1849684943620668E-2</v>
      </c>
      <c r="C3233" s="133"/>
    </row>
    <row r="3234" spans="1:3">
      <c r="A3234" s="131" t="s">
        <v>7679</v>
      </c>
      <c r="B3234" s="132">
        <v>5.4490109418772596E-4</v>
      </c>
      <c r="C3234" s="133"/>
    </row>
    <row r="3235" spans="1:3">
      <c r="A3235" s="131" t="s">
        <v>7680</v>
      </c>
      <c r="B3235" s="132">
        <v>1.1104387413096463E-3</v>
      </c>
      <c r="C3235" s="133"/>
    </row>
    <row r="3236" spans="1:3">
      <c r="A3236" s="131" t="s">
        <v>7681</v>
      </c>
      <c r="B3236" s="132">
        <v>4.9221118904934835E-3</v>
      </c>
      <c r="C3236" s="133"/>
    </row>
    <row r="3237" spans="1:3">
      <c r="A3237" s="131" t="s">
        <v>7682</v>
      </c>
      <c r="B3237" s="132">
        <v>3.7135599739439784E-4</v>
      </c>
      <c r="C3237" s="133"/>
    </row>
    <row r="3238" spans="1:3">
      <c r="A3238" s="131" t="s">
        <v>7683</v>
      </c>
      <c r="B3238" s="132">
        <v>6.7103388719260693E-3</v>
      </c>
      <c r="C3238" s="133"/>
    </row>
    <row r="3239" spans="1:3">
      <c r="A3239" s="131" t="s">
        <v>7684</v>
      </c>
      <c r="B3239" s="132">
        <v>3.5265345762219564E-4</v>
      </c>
      <c r="C3239" s="133"/>
    </row>
    <row r="3240" spans="1:3">
      <c r="A3240" s="131" t="s">
        <v>7685</v>
      </c>
      <c r="B3240" s="132">
        <v>1.4825238936750683E-2</v>
      </c>
      <c r="C3240" s="133"/>
    </row>
    <row r="3241" spans="1:3">
      <c r="A3241" s="131" t="s">
        <v>7686</v>
      </c>
      <c r="B3241" s="132">
        <v>1.3412904420387787E-2</v>
      </c>
      <c r="C3241" s="133"/>
    </row>
    <row r="3242" spans="1:3">
      <c r="A3242" s="131" t="s">
        <v>7687</v>
      </c>
      <c r="B3242" s="132">
        <v>1.752192610703136E-2</v>
      </c>
      <c r="C3242" s="133"/>
    </row>
    <row r="3243" spans="1:3">
      <c r="A3243" s="131" t="s">
        <v>7688</v>
      </c>
      <c r="B3243" s="132">
        <v>8.0823898315429688E-4</v>
      </c>
      <c r="C3243" s="133"/>
    </row>
    <row r="3244" spans="1:3">
      <c r="A3244" s="131" t="s">
        <v>7689</v>
      </c>
      <c r="B3244" s="132">
        <v>3.9125605227825714E-3</v>
      </c>
      <c r="C3244" s="133"/>
    </row>
    <row r="3245" spans="1:3">
      <c r="A3245" s="131" t="s">
        <v>7690</v>
      </c>
      <c r="B3245" s="132">
        <v>3.9832398761063814E-4</v>
      </c>
      <c r="C3245" s="133"/>
    </row>
    <row r="3246" spans="1:3">
      <c r="A3246" s="131" t="s">
        <v>7691</v>
      </c>
      <c r="B3246" s="132">
        <v>2.0011799642816186E-4</v>
      </c>
      <c r="C3246" s="133"/>
    </row>
    <row r="3247" spans="1:3">
      <c r="A3247" s="131" t="s">
        <v>7692</v>
      </c>
      <c r="B3247" s="132">
        <v>2.1605112999999996E-3</v>
      </c>
      <c r="C3247" s="133"/>
    </row>
    <row r="3248" spans="1:3">
      <c r="A3248" s="131" t="s">
        <v>7693</v>
      </c>
      <c r="B3248" s="132">
        <v>5.0665644496289755E-4</v>
      </c>
      <c r="C3248" s="133"/>
    </row>
    <row r="3249" spans="1:3">
      <c r="A3249" s="131" t="s">
        <v>7694</v>
      </c>
      <c r="B3249" s="132">
        <v>9.8475630999999994E-2</v>
      </c>
      <c r="C3249" s="133"/>
    </row>
    <row r="3250" spans="1:3">
      <c r="A3250" s="131" t="s">
        <v>7695</v>
      </c>
      <c r="B3250" s="132">
        <v>0.28196236425010668</v>
      </c>
      <c r="C3250" s="133"/>
    </row>
    <row r="3251" spans="1:3">
      <c r="A3251" s="131" t="s">
        <v>7696</v>
      </c>
      <c r="B3251" s="132">
        <v>5.7910117562520996E-4</v>
      </c>
      <c r="C3251" s="133"/>
    </row>
    <row r="3252" spans="1:3">
      <c r="A3252" s="131" t="s">
        <v>7697</v>
      </c>
      <c r="B3252" s="132">
        <v>2.4709298693353617E-3</v>
      </c>
      <c r="C3252" s="133"/>
    </row>
    <row r="3253" spans="1:3">
      <c r="A3253" s="131" t="s">
        <v>7698</v>
      </c>
      <c r="B3253" s="132">
        <v>1.8483076039383999E-3</v>
      </c>
      <c r="C3253" s="133"/>
    </row>
    <row r="3254" spans="1:3">
      <c r="A3254" s="131" t="s">
        <v>7699</v>
      </c>
      <c r="B3254" s="132">
        <v>5.7495686695759995E-4</v>
      </c>
      <c r="C3254" s="133"/>
    </row>
    <row r="3255" spans="1:3">
      <c r="A3255" s="131" t="s">
        <v>7700</v>
      </c>
      <c r="B3255" s="132">
        <v>4.0818899287842214E-4</v>
      </c>
      <c r="C3255" s="133"/>
    </row>
    <row r="3256" spans="1:3">
      <c r="A3256" s="131" t="s">
        <v>7701</v>
      </c>
      <c r="B3256" s="132">
        <v>6.0871516306194536E-4</v>
      </c>
      <c r="C3256" s="133"/>
    </row>
    <row r="3257" spans="1:3">
      <c r="A3257" s="131" t="s">
        <v>7702</v>
      </c>
      <c r="B3257" s="132">
        <v>2.7988065980507715E-4</v>
      </c>
      <c r="C3257" s="133"/>
    </row>
    <row r="3258" spans="1:3">
      <c r="A3258" s="131" t="s">
        <v>7703</v>
      </c>
      <c r="B3258" s="132">
        <v>0.27903951484952816</v>
      </c>
      <c r="C3258" s="133"/>
    </row>
    <row r="3259" spans="1:3">
      <c r="A3259" s="131" t="s">
        <v>7704</v>
      </c>
      <c r="B3259" s="132">
        <v>2.2648614429746E-2</v>
      </c>
      <c r="C3259" s="133"/>
    </row>
    <row r="3260" spans="1:3">
      <c r="A3260" s="131" t="s">
        <v>7705</v>
      </c>
      <c r="B3260" s="132">
        <v>3.9433956713985567E-5</v>
      </c>
      <c r="C3260" s="133"/>
    </row>
    <row r="3261" spans="1:3">
      <c r="A3261" s="131" t="s">
        <v>7706</v>
      </c>
      <c r="B3261" s="132">
        <v>0.67780220538521174</v>
      </c>
      <c r="C3261" s="133"/>
    </row>
    <row r="3262" spans="1:3">
      <c r="A3262" s="131" t="s">
        <v>7707</v>
      </c>
      <c r="B3262" s="132">
        <v>1.0125397333333333E-3</v>
      </c>
      <c r="C3262" s="133"/>
    </row>
    <row r="3263" spans="1:3">
      <c r="A3263" s="131" t="s">
        <v>7708</v>
      </c>
      <c r="B3263" s="132">
        <v>1.3212287101088999E-4</v>
      </c>
      <c r="C3263" s="133"/>
    </row>
    <row r="3264" spans="1:3">
      <c r="A3264" s="131" t="s">
        <v>7709</v>
      </c>
      <c r="B3264" s="132">
        <v>4.4647871312886488E-3</v>
      </c>
      <c r="C3264" s="133"/>
    </row>
    <row r="3265" spans="1:3">
      <c r="A3265" s="131" t="s">
        <v>7710</v>
      </c>
      <c r="B3265" s="132">
        <v>2.873299480817135E-3</v>
      </c>
      <c r="C3265" s="133"/>
    </row>
    <row r="3266" spans="1:3">
      <c r="A3266" s="131" t="s">
        <v>7711</v>
      </c>
      <c r="B3266" s="132">
        <v>2.8535330202430487E-3</v>
      </c>
      <c r="C3266" s="133"/>
    </row>
    <row r="3267" spans="1:3">
      <c r="A3267" s="131" t="s">
        <v>7712</v>
      </c>
      <c r="B3267" s="132">
        <v>1.4827738719257733</v>
      </c>
      <c r="C3267" s="133"/>
    </row>
    <row r="3268" spans="1:3">
      <c r="A3268" s="131" t="s">
        <v>7713</v>
      </c>
      <c r="B3268" s="132">
        <v>5.0958921201527119E-3</v>
      </c>
      <c r="C3268" s="133"/>
    </row>
    <row r="3269" spans="1:3">
      <c r="A3269" s="131" t="s">
        <v>7714</v>
      </c>
      <c r="B3269" s="132">
        <v>7.4029249420643857E-3</v>
      </c>
      <c r="C3269" s="133"/>
    </row>
    <row r="3270" spans="1:3">
      <c r="A3270" s="131" t="s">
        <v>7715</v>
      </c>
      <c r="B3270" s="132">
        <v>1.8864657018637901E-3</v>
      </c>
      <c r="C3270" s="133"/>
    </row>
    <row r="3271" spans="1:3">
      <c r="A3271" s="131" t="s">
        <v>7716</v>
      </c>
      <c r="B3271" s="132">
        <v>7.2930503552454508E-3</v>
      </c>
      <c r="C3271" s="133"/>
    </row>
    <row r="3272" spans="1:3">
      <c r="A3272" s="131" t="s">
        <v>7717</v>
      </c>
      <c r="B3272" s="132">
        <v>9.3280259443490429E-5</v>
      </c>
      <c r="C3272" s="133"/>
    </row>
    <row r="3273" spans="1:3">
      <c r="A3273" s="131" t="s">
        <v>11310</v>
      </c>
      <c r="B3273" s="132">
        <v>2.4551574955328694E-3</v>
      </c>
      <c r="C3273" s="133"/>
    </row>
    <row r="3274" spans="1:3">
      <c r="A3274" s="131" t="s">
        <v>11311</v>
      </c>
      <c r="B3274" s="132">
        <v>5.6385765228348109E-2</v>
      </c>
      <c r="C3274" s="133"/>
    </row>
    <row r="3275" spans="1:3">
      <c r="A3275" s="131" t="s">
        <v>11312</v>
      </c>
      <c r="B3275" s="132">
        <v>3.1250899191945791E-3</v>
      </c>
      <c r="C3275" s="133"/>
    </row>
    <row r="3276" spans="1:3">
      <c r="A3276" s="131" t="s">
        <v>11313</v>
      </c>
      <c r="B3276" s="132">
        <v>0.53011960144136838</v>
      </c>
      <c r="C3276" s="133"/>
    </row>
    <row r="3277" spans="1:3">
      <c r="A3277" s="131" t="s">
        <v>11314</v>
      </c>
      <c r="B3277" s="132">
        <v>3.41</v>
      </c>
      <c r="C3277" s="133"/>
    </row>
    <row r="3278" spans="1:3">
      <c r="A3278" s="131" t="s">
        <v>11315</v>
      </c>
      <c r="B3278" s="132">
        <v>3.7024844488229528E-4</v>
      </c>
      <c r="C3278" s="133"/>
    </row>
    <row r="3279" spans="1:3">
      <c r="A3279" s="131" t="s">
        <v>11316</v>
      </c>
      <c r="B3279" s="132">
        <v>3.4894196534954144E-6</v>
      </c>
      <c r="C3279" s="133"/>
    </row>
    <row r="3280" spans="1:3">
      <c r="A3280" s="131" t="s">
        <v>11317</v>
      </c>
      <c r="B3280" s="132">
        <v>5.3363386389867672E-2</v>
      </c>
      <c r="C3280" s="133"/>
    </row>
    <row r="3281" spans="1:3">
      <c r="A3281" s="131" t="s">
        <v>11318</v>
      </c>
      <c r="B3281" s="132">
        <v>2.0232000679243356E-5</v>
      </c>
      <c r="C3281" s="133"/>
    </row>
    <row r="3282" spans="1:3">
      <c r="A3282" s="131" t="s">
        <v>11319</v>
      </c>
      <c r="B3282" s="132">
        <v>8.2000902839575077E-2</v>
      </c>
      <c r="C3282" s="133"/>
    </row>
    <row r="3283" spans="1:3">
      <c r="A3283" s="131" t="s">
        <v>11320</v>
      </c>
      <c r="B3283" s="132">
        <v>3.3583443369826577E-2</v>
      </c>
      <c r="C3283" s="133"/>
    </row>
    <row r="3284" spans="1:3">
      <c r="A3284" s="131" t="s">
        <v>11321</v>
      </c>
      <c r="B3284" s="132">
        <v>8.2238493883653903E-3</v>
      </c>
      <c r="C3284" s="133"/>
    </row>
    <row r="3285" spans="1:3">
      <c r="A3285" s="131" t="s">
        <v>11322</v>
      </c>
      <c r="B3285" s="132">
        <v>4.9352832947096147E-3</v>
      </c>
      <c r="C3285" s="133"/>
    </row>
    <row r="3286" spans="1:3">
      <c r="A3286" s="131" t="s">
        <v>11323</v>
      </c>
      <c r="B3286" s="132">
        <v>4.3646535241833749E-4</v>
      </c>
      <c r="C3286" s="133"/>
    </row>
    <row r="3287" spans="1:3">
      <c r="A3287" s="131" t="s">
        <v>11324</v>
      </c>
      <c r="B3287" s="132">
        <v>0.30036114495623067</v>
      </c>
      <c r="C3287" s="133"/>
    </row>
    <row r="3288" spans="1:3">
      <c r="A3288" s="131" t="s">
        <v>11325</v>
      </c>
      <c r="B3288" s="132">
        <v>8.2290312381737406E-3</v>
      </c>
      <c r="C3288" s="133"/>
    </row>
    <row r="3289" spans="1:3">
      <c r="A3289" s="131" t="s">
        <v>11326</v>
      </c>
      <c r="B3289" s="132">
        <v>0.36337692680247441</v>
      </c>
      <c r="C3289" s="133"/>
    </row>
    <row r="3290" spans="1:3">
      <c r="A3290" s="131" t="s">
        <v>11327</v>
      </c>
      <c r="B3290" s="132">
        <v>1.2175375227855393E-3</v>
      </c>
      <c r="C3290" s="133"/>
    </row>
    <row r="3291" spans="1:3">
      <c r="A3291" s="131" t="s">
        <v>11328</v>
      </c>
      <c r="B3291" s="132">
        <v>2.2043673119305187E-2</v>
      </c>
      <c r="C3291" s="133"/>
    </row>
    <row r="3292" spans="1:3">
      <c r="A3292" s="131" t="s">
        <v>11329</v>
      </c>
      <c r="B3292" s="132">
        <v>2.5464330283581214E-2</v>
      </c>
      <c r="C3292" s="133"/>
    </row>
    <row r="3293" spans="1:3">
      <c r="A3293" s="131" t="s">
        <v>11330</v>
      </c>
      <c r="B3293" s="132">
        <v>1.261536812958819E-4</v>
      </c>
      <c r="C3293" s="133"/>
    </row>
    <row r="3294" spans="1:3">
      <c r="A3294" s="131" t="s">
        <v>11331</v>
      </c>
      <c r="B3294" s="132">
        <v>0.77545246609798757</v>
      </c>
      <c r="C3294" s="133"/>
    </row>
    <row r="3295" spans="1:3">
      <c r="A3295" s="131" t="s">
        <v>11332</v>
      </c>
      <c r="B3295" s="132">
        <v>0.36849412655272251</v>
      </c>
      <c r="C3295" s="133"/>
    </row>
    <row r="3296" spans="1:3">
      <c r="A3296" s="131" t="s">
        <v>11333</v>
      </c>
      <c r="B3296" s="132">
        <v>1.7005323203252427E-3</v>
      </c>
      <c r="C3296" s="133"/>
    </row>
    <row r="3297" spans="1:3">
      <c r="A3297" s="131" t="s">
        <v>11334</v>
      </c>
      <c r="B3297" s="132">
        <v>7.5642932765082799E-2</v>
      </c>
      <c r="C3297" s="133"/>
    </row>
    <row r="3298" spans="1:3">
      <c r="A3298" s="131" t="s">
        <v>11335</v>
      </c>
      <c r="B3298" s="132">
        <v>0.49375651921826391</v>
      </c>
      <c r="C3298" s="133"/>
    </row>
    <row r="3299" spans="1:3">
      <c r="A3299" s="131" t="s">
        <v>11336</v>
      </c>
      <c r="B3299" s="132">
        <v>2.3181610740721226E-3</v>
      </c>
      <c r="C3299" s="133"/>
    </row>
    <row r="3300" spans="1:3">
      <c r="A3300" s="131" t="s">
        <v>11337</v>
      </c>
      <c r="B3300" s="132">
        <v>1.0775369592010975E-3</v>
      </c>
      <c r="C3300" s="133"/>
    </row>
    <row r="3301" spans="1:3">
      <c r="A3301" s="131" t="s">
        <v>11338</v>
      </c>
      <c r="B3301" s="132">
        <v>4.3240280232189496E-2</v>
      </c>
      <c r="C3301" s="133"/>
    </row>
    <row r="3302" spans="1:3">
      <c r="A3302" s="131" t="s">
        <v>11339</v>
      </c>
      <c r="B3302" s="132">
        <v>0.53646619840991239</v>
      </c>
      <c r="C3302" s="133"/>
    </row>
    <row r="3303" spans="1:3">
      <c r="A3303" s="131" t="s">
        <v>11340</v>
      </c>
      <c r="B3303" s="132">
        <v>4.6900000000000004</v>
      </c>
      <c r="C3303" s="133"/>
    </row>
    <row r="3304" spans="1:3">
      <c r="A3304" s="131" t="s">
        <v>11341</v>
      </c>
      <c r="B3304" s="132">
        <v>5.1729109756273102E-2</v>
      </c>
      <c r="C3304" s="133"/>
    </row>
    <row r="3305" spans="1:3">
      <c r="A3305" s="131" t="s">
        <v>11342</v>
      </c>
      <c r="B3305" s="132">
        <v>4.1360650066631706E-5</v>
      </c>
      <c r="C3305" s="133"/>
    </row>
    <row r="3306" spans="1:3">
      <c r="A3306" s="131" t="s">
        <v>11343</v>
      </c>
      <c r="B3306" s="132">
        <v>1.0566999662842136E-5</v>
      </c>
      <c r="C3306" s="133"/>
    </row>
    <row r="3307" spans="1:3">
      <c r="A3307" s="131" t="s">
        <v>11344</v>
      </c>
      <c r="B3307" s="132">
        <v>2.6085142070276157E-4</v>
      </c>
      <c r="C3307" s="133"/>
    </row>
    <row r="3308" spans="1:3">
      <c r="A3308" s="131" t="s">
        <v>11345</v>
      </c>
      <c r="B3308" s="132">
        <v>1.4093205344637878E-3</v>
      </c>
      <c r="C3308" s="133"/>
    </row>
    <row r="3309" spans="1:3">
      <c r="A3309" s="131" t="s">
        <v>11346</v>
      </c>
      <c r="B3309" s="132">
        <v>2.6002826169133186E-2</v>
      </c>
      <c r="C3309" s="133"/>
    </row>
    <row r="3310" spans="1:3">
      <c r="A3310" s="131" t="s">
        <v>11347</v>
      </c>
      <c r="B3310" s="132">
        <v>0.24058651289831989</v>
      </c>
      <c r="C3310" s="133"/>
    </row>
    <row r="3311" spans="1:3">
      <c r="A3311" s="131" t="s">
        <v>11348</v>
      </c>
      <c r="B3311" s="132">
        <v>2.3174126840888196E-2</v>
      </c>
      <c r="C3311" s="133"/>
    </row>
    <row r="3312" spans="1:3">
      <c r="A3312" s="131" t="s">
        <v>11349</v>
      </c>
      <c r="B3312" s="132">
        <v>8.4028E-4</v>
      </c>
      <c r="C3312" s="133"/>
    </row>
    <row r="3313" spans="1:3">
      <c r="A3313" s="131" t="s">
        <v>11350</v>
      </c>
      <c r="B3313" s="132">
        <v>1.1994790508390138E-4</v>
      </c>
      <c r="C3313" s="133"/>
    </row>
    <row r="3314" spans="1:3">
      <c r="A3314" s="131" t="s">
        <v>11351</v>
      </c>
      <c r="B3314" s="132">
        <v>4.3022478324735375E-3</v>
      </c>
      <c r="C3314" s="133"/>
    </row>
    <row r="3315" spans="1:3">
      <c r="A3315" s="131" t="s">
        <v>11352</v>
      </c>
      <c r="B3315" s="132">
        <v>1.5912073703110218E-2</v>
      </c>
      <c r="C3315" s="133"/>
    </row>
    <row r="3316" spans="1:3">
      <c r="A3316" s="131" t="s">
        <v>11353</v>
      </c>
      <c r="B3316" s="132">
        <v>6.0142373929772865E-3</v>
      </c>
      <c r="C3316" s="133"/>
    </row>
    <row r="3317" spans="1:3">
      <c r="A3317" s="131" t="s">
        <v>11354</v>
      </c>
      <c r="B3317" s="132">
        <v>3.0432960484176874E-3</v>
      </c>
      <c r="C3317" s="133"/>
    </row>
    <row r="3318" spans="1:3">
      <c r="A3318" s="131" t="s">
        <v>11355</v>
      </c>
      <c r="B3318" s="132">
        <v>1.5508266666666666E-4</v>
      </c>
      <c r="C3318" s="133"/>
    </row>
    <row r="3319" spans="1:3">
      <c r="A3319" s="131" t="s">
        <v>11356</v>
      </c>
      <c r="B3319" s="132">
        <v>7.4847348299556064E-5</v>
      </c>
      <c r="C3319" s="133"/>
    </row>
    <row r="3320" spans="1:3">
      <c r="A3320" s="131" t="s">
        <v>11357</v>
      </c>
      <c r="B3320" s="132">
        <v>1.1480272479409011E-3</v>
      </c>
      <c r="C3320" s="133"/>
    </row>
    <row r="3321" spans="1:3">
      <c r="A3321" s="131" t="s">
        <v>11358</v>
      </c>
      <c r="B3321" s="132">
        <v>1.3109960127621889E-3</v>
      </c>
      <c r="C3321" s="133"/>
    </row>
    <row r="3322" spans="1:3">
      <c r="A3322" s="131" t="s">
        <v>11359</v>
      </c>
      <c r="B3322" s="132">
        <v>2.0814567552091134E-4</v>
      </c>
      <c r="C3322" s="133"/>
    </row>
    <row r="3323" spans="1:3">
      <c r="A3323" s="131" t="s">
        <v>11360</v>
      </c>
      <c r="B3323" s="132">
        <v>37.799999999999997</v>
      </c>
      <c r="C3323" s="133"/>
    </row>
    <row r="3324" spans="1:3">
      <c r="A3324" s="131" t="s">
        <v>11361</v>
      </c>
      <c r="B3324" s="132">
        <v>1.1002810671925545E-2</v>
      </c>
      <c r="C3324" s="133"/>
    </row>
    <row r="3325" spans="1:3">
      <c r="A3325" s="131" t="s">
        <v>11362</v>
      </c>
      <c r="B3325" s="132">
        <v>29.14</v>
      </c>
      <c r="C3325" s="133"/>
    </row>
    <row r="3326" spans="1:3">
      <c r="A3326" s="131" t="s">
        <v>11363</v>
      </c>
      <c r="B3326" s="132">
        <v>1.6408254471216523E-4</v>
      </c>
      <c r="C3326" s="133"/>
    </row>
    <row r="3327" spans="1:3">
      <c r="A3327" s="131" t="s">
        <v>11364</v>
      </c>
      <c r="B3327" s="132">
        <v>0.79007378028825748</v>
      </c>
      <c r="C3327" s="133"/>
    </row>
    <row r="3328" spans="1:3">
      <c r="A3328" s="131" t="s">
        <v>11365</v>
      </c>
      <c r="B3328" s="132">
        <v>5.1633104950932623E-2</v>
      </c>
      <c r="C3328" s="133"/>
    </row>
    <row r="3329" spans="1:3">
      <c r="A3329" s="131" t="s">
        <v>11366</v>
      </c>
      <c r="B3329" s="132">
        <v>1.9149266959969636E-3</v>
      </c>
      <c r="C3329" s="133"/>
    </row>
    <row r="3330" spans="1:3">
      <c r="A3330" s="131" t="s">
        <v>11367</v>
      </c>
      <c r="B3330" s="132">
        <v>6.4269367049904838E-4</v>
      </c>
      <c r="C3330" s="133"/>
    </row>
    <row r="3331" spans="1:3">
      <c r="A3331" s="131" t="s">
        <v>11368</v>
      </c>
      <c r="B3331" s="132">
        <v>2.1513622934411893E-3</v>
      </c>
      <c r="C3331" s="133"/>
    </row>
    <row r="3332" spans="1:3">
      <c r="A3332" s="131" t="s">
        <v>11369</v>
      </c>
      <c r="B3332" s="132">
        <v>1.9095090480742558E-4</v>
      </c>
      <c r="C3332" s="133"/>
    </row>
    <row r="3333" spans="1:3">
      <c r="A3333" s="131" t="s">
        <v>11370</v>
      </c>
      <c r="B3333" s="132">
        <v>0.37431269884109497</v>
      </c>
      <c r="C3333" s="133"/>
    </row>
    <row r="3334" spans="1:3">
      <c r="A3334" s="131" t="s">
        <v>11371</v>
      </c>
      <c r="B3334" s="132">
        <v>3.6376140037280077E-4</v>
      </c>
      <c r="C3334" s="133"/>
    </row>
    <row r="3335" spans="1:3">
      <c r="A3335" s="131" t="s">
        <v>11372</v>
      </c>
      <c r="B3335" s="132">
        <v>8.118030652162999E-3</v>
      </c>
      <c r="C3335" s="133"/>
    </row>
    <row r="3336" spans="1:3">
      <c r="A3336" s="131" t="s">
        <v>11373</v>
      </c>
      <c r="B3336" s="132">
        <v>3.3254600147868824E-4</v>
      </c>
      <c r="C3336" s="133"/>
    </row>
    <row r="3337" spans="1:3">
      <c r="A3337" s="131" t="s">
        <v>11374</v>
      </c>
      <c r="B3337" s="132">
        <v>4.0803592652082443E-2</v>
      </c>
      <c r="C3337" s="133"/>
    </row>
    <row r="3338" spans="1:3">
      <c r="A3338" s="131" t="s">
        <v>11375</v>
      </c>
      <c r="B3338" s="132">
        <v>2.510617021471262E-3</v>
      </c>
      <c r="C3338" s="133"/>
    </row>
    <row r="3339" spans="1:3">
      <c r="A3339" s="131" t="s">
        <v>11376</v>
      </c>
      <c r="B3339" s="132">
        <v>1.6715859219251208E-3</v>
      </c>
      <c r="C3339" s="133"/>
    </row>
    <row r="3340" spans="1:3">
      <c r="A3340" s="131" t="s">
        <v>11377</v>
      </c>
      <c r="B3340" s="132">
        <v>1.7009633333333246E-4</v>
      </c>
      <c r="C3340" s="133"/>
    </row>
    <row r="3341" spans="1:3">
      <c r="A3341" s="131" t="s">
        <v>11378</v>
      </c>
      <c r="B3341" s="132">
        <v>0.49918307748392382</v>
      </c>
      <c r="C3341" s="133"/>
    </row>
    <row r="3342" spans="1:3">
      <c r="A3342" s="131" t="s">
        <v>11379</v>
      </c>
      <c r="B3342" s="132">
        <v>7.1400000933863339E-7</v>
      </c>
      <c r="C3342" s="133"/>
    </row>
    <row r="3343" spans="1:3">
      <c r="A3343" s="131" t="s">
        <v>11380</v>
      </c>
      <c r="B3343" s="132">
        <v>9.1050421952871288E-5</v>
      </c>
      <c r="C3343" s="133"/>
    </row>
    <row r="3344" spans="1:3">
      <c r="A3344" s="131" t="s">
        <v>11381</v>
      </c>
      <c r="B3344" s="132">
        <v>2.0610999999999999E-4</v>
      </c>
      <c r="C3344" s="133"/>
    </row>
    <row r="3345" spans="1:3">
      <c r="A3345" s="131" t="s">
        <v>11382</v>
      </c>
      <c r="B3345" s="132">
        <v>2.4339999527001055E-6</v>
      </c>
      <c r="C3345" s="133"/>
    </row>
    <row r="3346" spans="1:3">
      <c r="A3346" s="131" t="s">
        <v>11383</v>
      </c>
      <c r="B3346" s="132">
        <v>8.0921095863097481E-2</v>
      </c>
      <c r="C3346" s="133"/>
    </row>
    <row r="3347" spans="1:3">
      <c r="A3347" s="131" t="s">
        <v>11384</v>
      </c>
      <c r="B3347" s="132">
        <v>7.4973702430725098E-4</v>
      </c>
      <c r="C3347" s="133"/>
    </row>
    <row r="3348" spans="1:3">
      <c r="A3348" s="131" t="s">
        <v>11385</v>
      </c>
      <c r="B3348" s="132">
        <v>1.919430069392547E-4</v>
      </c>
      <c r="C3348" s="133"/>
    </row>
    <row r="3349" spans="1:3">
      <c r="A3349" s="131" t="s">
        <v>11386</v>
      </c>
      <c r="B3349" s="132">
        <v>4.9150999984703958E-5</v>
      </c>
      <c r="C3349" s="133"/>
    </row>
    <row r="3350" spans="1:3">
      <c r="A3350" s="131" t="s">
        <v>11387</v>
      </c>
      <c r="B3350" s="132">
        <v>2.3487210273742676E-3</v>
      </c>
      <c r="C3350" s="133"/>
    </row>
    <row r="3351" spans="1:3">
      <c r="A3351" s="131" t="s">
        <v>11388</v>
      </c>
      <c r="B3351" s="132">
        <v>6.0142797883599997E-4</v>
      </c>
      <c r="C3351" s="133"/>
    </row>
    <row r="3352" spans="1:3">
      <c r="A3352" s="131" t="s">
        <v>11389</v>
      </c>
      <c r="B3352" s="132">
        <v>1.1006599999999998E-3</v>
      </c>
      <c r="C3352" s="133"/>
    </row>
    <row r="3353" spans="1:3">
      <c r="A3353" s="131" t="s">
        <v>11390</v>
      </c>
      <c r="B3353" s="132">
        <v>1.8332096578935208E-4</v>
      </c>
      <c r="C3353" s="133"/>
    </row>
    <row r="3354" spans="1:3">
      <c r="A3354" s="131" t="s">
        <v>11391</v>
      </c>
      <c r="B3354" s="132">
        <v>1.1941115730317167E-2</v>
      </c>
      <c r="C3354" s="133"/>
    </row>
    <row r="3355" spans="1:3">
      <c r="A3355" s="131" t="s">
        <v>11392</v>
      </c>
      <c r="B3355" s="132">
        <v>1.0509280698047144E-2</v>
      </c>
      <c r="C3355" s="133"/>
    </row>
    <row r="3356" spans="1:3">
      <c r="A3356" s="131" t="s">
        <v>11393</v>
      </c>
      <c r="B3356" s="132">
        <v>4.2140000005019829E-6</v>
      </c>
      <c r="C3356" s="133"/>
    </row>
    <row r="3357" spans="1:3">
      <c r="A3357" s="131" t="s">
        <v>11394</v>
      </c>
      <c r="B3357" s="132">
        <v>5.7131347879293157E-4</v>
      </c>
      <c r="C3357" s="133"/>
    </row>
    <row r="3358" spans="1:3">
      <c r="A3358" s="131" t="s">
        <v>11395</v>
      </c>
      <c r="B3358" s="132">
        <v>6.1505200574174523E-4</v>
      </c>
      <c r="C3358" s="133"/>
    </row>
    <row r="3359" spans="1:3">
      <c r="A3359" s="131" t="s">
        <v>11396</v>
      </c>
      <c r="B3359" s="132">
        <v>9.2657743354691326E-4</v>
      </c>
      <c r="C3359" s="133"/>
    </row>
    <row r="3360" spans="1:3">
      <c r="A3360" s="131" t="s">
        <v>11397</v>
      </c>
      <c r="B3360" s="132">
        <v>7.3593427865970354E-3</v>
      </c>
      <c r="C3360" s="133"/>
    </row>
    <row r="3361" spans="1:3">
      <c r="A3361" s="131" t="s">
        <v>11398</v>
      </c>
      <c r="B3361" s="132">
        <v>3.4122599754482508E-4</v>
      </c>
      <c r="C3361" s="133"/>
    </row>
    <row r="3362" spans="1:3">
      <c r="A3362" s="131" t="s">
        <v>11399</v>
      </c>
      <c r="B3362" s="132">
        <v>2.1448056240750687E-4</v>
      </c>
      <c r="C3362" s="133"/>
    </row>
    <row r="3363" spans="1:3">
      <c r="A3363" s="131" t="s">
        <v>11400</v>
      </c>
      <c r="B3363" s="132">
        <v>1.3922039825103626E-3</v>
      </c>
      <c r="C3363" s="133"/>
    </row>
    <row r="3364" spans="1:3">
      <c r="A3364" s="131" t="s">
        <v>11401</v>
      </c>
      <c r="B3364" s="132">
        <v>4.2911412012670257E-2</v>
      </c>
      <c r="C3364" s="133"/>
    </row>
    <row r="3365" spans="1:3">
      <c r="A3365" s="131" t="s">
        <v>11402</v>
      </c>
      <c r="B3365" s="132">
        <v>0.94790472608897103</v>
      </c>
      <c r="C3365" s="133"/>
    </row>
    <row r="3366" spans="1:3">
      <c r="A3366" s="131" t="s">
        <v>11403</v>
      </c>
      <c r="B3366" s="132">
        <v>0.13528030529785001</v>
      </c>
      <c r="C3366" s="133"/>
    </row>
    <row r="3367" spans="1:3">
      <c r="A3367" s="131" t="s">
        <v>11404</v>
      </c>
      <c r="B3367" s="132">
        <v>6.1111501418054104E-4</v>
      </c>
      <c r="C3367" s="133"/>
    </row>
    <row r="3368" spans="1:3">
      <c r="A3368" s="131" t="s">
        <v>11405</v>
      </c>
      <c r="B3368" s="132">
        <v>9.4167497009038925E-3</v>
      </c>
      <c r="C3368" s="133"/>
    </row>
    <row r="3369" spans="1:3">
      <c r="A3369" s="131" t="s">
        <v>11406</v>
      </c>
      <c r="B3369" s="132">
        <v>7.1517683565616608E-2</v>
      </c>
      <c r="C3369" s="133"/>
    </row>
    <row r="3370" spans="1:3">
      <c r="A3370" s="131" t="s">
        <v>11407</v>
      </c>
      <c r="B3370" s="132">
        <v>4.362682513773462E-5</v>
      </c>
      <c r="C3370" s="133"/>
    </row>
    <row r="3371" spans="1:3">
      <c r="A3371" s="131" t="s">
        <v>11408</v>
      </c>
      <c r="B3371" s="132">
        <v>3.2960803013776692E-2</v>
      </c>
      <c r="C3371" s="133"/>
    </row>
    <row r="3372" spans="1:3">
      <c r="A3372" s="131" t="s">
        <v>11409</v>
      </c>
      <c r="B3372" s="132">
        <v>2.7641591150313616E-3</v>
      </c>
      <c r="C3372" s="133"/>
    </row>
    <row r="3373" spans="1:3">
      <c r="A3373" s="131" t="s">
        <v>11410</v>
      </c>
      <c r="B3373" s="132">
        <v>9.3177477039845261E-2</v>
      </c>
      <c r="C3373" s="133"/>
    </row>
    <row r="3374" spans="1:3">
      <c r="A3374" s="131" t="s">
        <v>11411</v>
      </c>
      <c r="B3374" s="132">
        <v>2.4879232846197394E-4</v>
      </c>
      <c r="C3374" s="133"/>
    </row>
    <row r="3375" spans="1:3">
      <c r="A3375" s="131" t="s">
        <v>11412</v>
      </c>
      <c r="B3375" s="132">
        <v>9.7176998679060489E-5</v>
      </c>
      <c r="C3375" s="133"/>
    </row>
    <row r="3376" spans="1:3">
      <c r="A3376" s="131" t="s">
        <v>11413</v>
      </c>
      <c r="B3376" s="132">
        <v>1.7592359174137848E-2</v>
      </c>
      <c r="C3376" s="133"/>
    </row>
    <row r="3377" spans="1:3">
      <c r="A3377" s="131" t="s">
        <v>11414</v>
      </c>
      <c r="B3377" s="132">
        <v>5.3184998250799254E-5</v>
      </c>
      <c r="C3377" s="133"/>
    </row>
    <row r="3378" spans="1:3">
      <c r="A3378" s="131" t="s">
        <v>11415</v>
      </c>
      <c r="B3378" s="132">
        <v>1.9466660334337093E-2</v>
      </c>
      <c r="C3378" s="133"/>
    </row>
    <row r="3379" spans="1:3">
      <c r="A3379" s="131" t="s">
        <v>11416</v>
      </c>
      <c r="B3379" s="132">
        <v>6.501282099634409E-3</v>
      </c>
      <c r="C3379" s="133"/>
    </row>
    <row r="3380" spans="1:3">
      <c r="A3380" s="131" t="s">
        <v>11417</v>
      </c>
      <c r="B3380" s="132">
        <v>2.08</v>
      </c>
      <c r="C3380" s="133"/>
    </row>
    <row r="3381" spans="1:3">
      <c r="A3381" s="131" t="s">
        <v>11418</v>
      </c>
      <c r="B3381" s="132">
        <v>8.0386002082377672E-4</v>
      </c>
      <c r="C3381" s="133"/>
    </row>
    <row r="3382" spans="1:3">
      <c r="A3382" s="131" t="s">
        <v>11419</v>
      </c>
      <c r="B3382" s="132">
        <v>6.3314189376788928E-4</v>
      </c>
      <c r="C3382" s="133"/>
    </row>
    <row r="3383" spans="1:3">
      <c r="A3383" s="131" t="s">
        <v>11420</v>
      </c>
      <c r="B3383" s="132">
        <v>2.4423961353281878E-3</v>
      </c>
      <c r="C3383" s="133"/>
    </row>
    <row r="3384" spans="1:3">
      <c r="A3384" s="131" t="s">
        <v>11421</v>
      </c>
      <c r="B3384" s="132">
        <v>5.0929703867296514E-4</v>
      </c>
      <c r="C3384" s="133"/>
    </row>
    <row r="3385" spans="1:3">
      <c r="A3385" s="131" t="s">
        <v>11422</v>
      </c>
      <c r="B3385" s="132">
        <v>0.36243104515789998</v>
      </c>
      <c r="C3385" s="133"/>
    </row>
    <row r="3386" spans="1:3">
      <c r="A3386" s="131" t="s">
        <v>11423</v>
      </c>
      <c r="B3386" s="132">
        <v>6.4668106919166983E-4</v>
      </c>
      <c r="C3386" s="133"/>
    </row>
    <row r="3387" spans="1:3">
      <c r="A3387" s="131" t="s">
        <v>11424</v>
      </c>
      <c r="B3387" s="132">
        <v>3.0311901355162263E-4</v>
      </c>
      <c r="C3387" s="133"/>
    </row>
    <row r="3388" spans="1:3">
      <c r="A3388" s="131" t="s">
        <v>11425</v>
      </c>
      <c r="B3388" s="132">
        <v>1.7277525112621751E-3</v>
      </c>
      <c r="C3388" s="133"/>
    </row>
    <row r="3389" spans="1:3">
      <c r="A3389" s="131" t="s">
        <v>11426</v>
      </c>
      <c r="B3389" s="132">
        <v>440.45</v>
      </c>
      <c r="C3389" s="133"/>
    </row>
    <row r="3390" spans="1:3">
      <c r="A3390" s="131" t="s">
        <v>11427</v>
      </c>
      <c r="B3390" s="132">
        <v>41.03</v>
      </c>
      <c r="C3390" s="133"/>
    </row>
    <row r="3391" spans="1:3">
      <c r="A3391" s="131" t="s">
        <v>11428</v>
      </c>
      <c r="B3391" s="132">
        <v>4.522640083450824E-4</v>
      </c>
      <c r="C3391" s="133"/>
    </row>
    <row r="3392" spans="1:3">
      <c r="A3392" s="131" t="s">
        <v>11429</v>
      </c>
      <c r="B3392" s="132">
        <v>2.1399807548288818E-5</v>
      </c>
      <c r="C3392" s="133"/>
    </row>
    <row r="3393" spans="1:3">
      <c r="A3393" s="131" t="s">
        <v>11430</v>
      </c>
      <c r="B3393" s="132">
        <v>9.7732902828744105E-4</v>
      </c>
      <c r="C3393" s="133"/>
    </row>
    <row r="3394" spans="1:3">
      <c r="A3394" s="131" t="s">
        <v>11431</v>
      </c>
      <c r="B3394" s="132">
        <v>3.4112549894427333E-4</v>
      </c>
      <c r="C3394" s="133"/>
    </row>
    <row r="3395" spans="1:3">
      <c r="A3395" s="131" t="s">
        <v>11432</v>
      </c>
      <c r="B3395" s="132">
        <v>0.39571406237474172</v>
      </c>
      <c r="C3395" s="133"/>
    </row>
    <row r="3396" spans="1:3">
      <c r="A3396" s="131" t="s">
        <v>11433</v>
      </c>
      <c r="B3396" s="132">
        <v>3.3558121573711019E-2</v>
      </c>
      <c r="C3396" s="133"/>
    </row>
    <row r="3397" spans="1:3">
      <c r="A3397" s="131" t="s">
        <v>11434</v>
      </c>
      <c r="B3397" s="132">
        <v>0.26366538370798032</v>
      </c>
      <c r="C3397" s="133"/>
    </row>
    <row r="3398" spans="1:3">
      <c r="A3398" s="131" t="s">
        <v>11435</v>
      </c>
      <c r="B3398" s="132">
        <v>1.7482154749704989E-2</v>
      </c>
      <c r="C3398" s="133"/>
    </row>
    <row r="3399" spans="1:3">
      <c r="A3399" s="131" t="s">
        <v>11436</v>
      </c>
      <c r="B3399" s="132">
        <v>4.4025113178677494E-2</v>
      </c>
      <c r="C3399" s="133"/>
    </row>
    <row r="3400" spans="1:3">
      <c r="A3400" s="131" t="s">
        <v>11437</v>
      </c>
      <c r="B3400" s="132">
        <v>1.1355651617050171</v>
      </c>
      <c r="C3400" s="133"/>
    </row>
    <row r="3401" spans="1:3">
      <c r="A3401" s="131" t="s">
        <v>11438</v>
      </c>
      <c r="B3401" s="132">
        <v>1.6408257681449301E-3</v>
      </c>
      <c r="C3401" s="133"/>
    </row>
    <row r="3402" spans="1:3">
      <c r="A3402" s="131" t="s">
        <v>11439</v>
      </c>
      <c r="B3402" s="132">
        <v>8.0432399408891797E-4</v>
      </c>
      <c r="C3402" s="133"/>
    </row>
    <row r="3403" spans="1:3">
      <c r="A3403" s="131" t="s">
        <v>11440</v>
      </c>
      <c r="B3403" s="132">
        <v>5.0256079994142056E-3</v>
      </c>
      <c r="C3403" s="133"/>
    </row>
    <row r="3404" spans="1:3">
      <c r="A3404" s="131" t="s">
        <v>11441</v>
      </c>
      <c r="B3404" s="132">
        <v>3.447986268074113E-2</v>
      </c>
      <c r="C3404" s="133"/>
    </row>
    <row r="3405" spans="1:3">
      <c r="A3405" s="131" t="s">
        <v>11442</v>
      </c>
      <c r="B3405" s="132">
        <v>0.53345450530283089</v>
      </c>
      <c r="C3405" s="133"/>
    </row>
    <row r="3406" spans="1:3">
      <c r="A3406" s="131" t="s">
        <v>11443</v>
      </c>
      <c r="B3406" s="132">
        <v>1.9993699970655143E-4</v>
      </c>
      <c r="C3406" s="133"/>
    </row>
    <row r="3407" spans="1:3">
      <c r="A3407" s="131" t="s">
        <v>11444</v>
      </c>
      <c r="B3407" s="132">
        <v>1.1122525145516633E-4</v>
      </c>
      <c r="C3407" s="133"/>
    </row>
    <row r="3408" spans="1:3">
      <c r="A3408" s="131" t="s">
        <v>11445</v>
      </c>
      <c r="B3408" s="132">
        <v>10.208144526189477</v>
      </c>
      <c r="C3408" s="133"/>
    </row>
    <row r="3409" spans="1:3">
      <c r="A3409" s="131" t="s">
        <v>11446</v>
      </c>
      <c r="B3409" s="132">
        <v>6.6146664321422577E-2</v>
      </c>
      <c r="C3409" s="133"/>
    </row>
    <row r="3410" spans="1:3">
      <c r="A3410" s="131" t="s">
        <v>11447</v>
      </c>
      <c r="B3410" s="132">
        <v>1.1811500007752329E-4</v>
      </c>
      <c r="C3410" s="133"/>
    </row>
    <row r="3411" spans="1:3">
      <c r="A3411" s="131" t="s">
        <v>11448</v>
      </c>
      <c r="B3411" s="132">
        <v>1.1862127576868164E-2</v>
      </c>
      <c r="C3411" s="133"/>
    </row>
    <row r="3412" spans="1:3">
      <c r="A3412" s="131" t="s">
        <v>11449</v>
      </c>
      <c r="B3412" s="132">
        <v>4.0491828330101758E-5</v>
      </c>
      <c r="C3412" s="133"/>
    </row>
    <row r="3413" spans="1:3">
      <c r="A3413" s="131" t="s">
        <v>11450</v>
      </c>
      <c r="B3413" s="132">
        <v>0.54009687900543213</v>
      </c>
      <c r="C3413" s="133"/>
    </row>
    <row r="3414" spans="1:3">
      <c r="A3414" s="131" t="s">
        <v>11451</v>
      </c>
      <c r="B3414" s="132">
        <v>2.4929780185237079E-4</v>
      </c>
      <c r="C3414" s="133"/>
    </row>
    <row r="3415" spans="1:3">
      <c r="A3415" s="131" t="s">
        <v>11452</v>
      </c>
      <c r="B3415" s="132">
        <v>3.1047349330037832E-3</v>
      </c>
      <c r="C3415" s="133"/>
    </row>
    <row r="3416" spans="1:3">
      <c r="A3416" s="131" t="s">
        <v>11453</v>
      </c>
      <c r="B3416" s="132">
        <v>5.88</v>
      </c>
      <c r="C3416" s="133"/>
    </row>
    <row r="3417" spans="1:3">
      <c r="A3417" s="131" t="s">
        <v>11454</v>
      </c>
      <c r="B3417" s="132">
        <v>5.3544527041152437E-2</v>
      </c>
      <c r="C3417" s="133"/>
    </row>
    <row r="3418" spans="1:3">
      <c r="A3418" s="131" t="s">
        <v>11455</v>
      </c>
      <c r="B3418" s="132">
        <v>0.18497648000000003</v>
      </c>
      <c r="C3418" s="133"/>
    </row>
    <row r="3419" spans="1:3">
      <c r="A3419" s="131" t="s">
        <v>11456</v>
      </c>
      <c r="B3419" s="132">
        <v>6.1691041183869924E-4</v>
      </c>
      <c r="C3419" s="133"/>
    </row>
    <row r="3420" spans="1:3">
      <c r="A3420" s="131" t="s">
        <v>11457</v>
      </c>
      <c r="B3420" s="132">
        <v>1.0305836666666666E-4</v>
      </c>
      <c r="C3420" s="133"/>
    </row>
    <row r="3421" spans="1:3">
      <c r="A3421" s="131" t="s">
        <v>11458</v>
      </c>
      <c r="B3421" s="132">
        <v>6.385656534835334E-3</v>
      </c>
      <c r="C3421" s="133"/>
    </row>
    <row r="3422" spans="1:3">
      <c r="A3422" s="131" t="s">
        <v>11459</v>
      </c>
      <c r="B3422" s="132">
        <v>68.739999999999995</v>
      </c>
      <c r="C3422" s="133"/>
    </row>
    <row r="3423" spans="1:3">
      <c r="A3423" s="131" t="s">
        <v>11460</v>
      </c>
      <c r="B3423" s="132">
        <v>1.4283302472156744E-3</v>
      </c>
      <c r="C3423" s="133"/>
    </row>
    <row r="3424" spans="1:3">
      <c r="A3424" s="131" t="s">
        <v>11461</v>
      </c>
      <c r="B3424" s="132">
        <v>7.341521911706923E-4</v>
      </c>
      <c r="C3424" s="133"/>
    </row>
    <row r="3425" spans="1:3">
      <c r="A3425" s="131" t="s">
        <v>11462</v>
      </c>
      <c r="B3425" s="132">
        <v>1.0665100126061589E-4</v>
      </c>
      <c r="C3425" s="133"/>
    </row>
    <row r="3426" spans="1:3">
      <c r="A3426" s="131" t="s">
        <v>11463</v>
      </c>
      <c r="B3426" s="132">
        <v>5.7895793379468003E-3</v>
      </c>
      <c r="C3426" s="133"/>
    </row>
    <row r="3427" spans="1:3">
      <c r="A3427" s="131" t="s">
        <v>11464</v>
      </c>
      <c r="B3427" s="132">
        <v>3.9832452563662545E-3</v>
      </c>
      <c r="C3427" s="133"/>
    </row>
    <row r="3428" spans="1:3">
      <c r="A3428" s="131" t="s">
        <v>11465</v>
      </c>
      <c r="B3428" s="132">
        <v>1.4384390087798238E-3</v>
      </c>
      <c r="C3428" s="133"/>
    </row>
    <row r="3429" spans="1:3">
      <c r="A3429" s="131" t="s">
        <v>11466</v>
      </c>
      <c r="B3429" s="132">
        <v>9.5454334189459941E-4</v>
      </c>
      <c r="C3429" s="133"/>
    </row>
    <row r="3430" spans="1:3">
      <c r="A3430" s="131" t="s">
        <v>11467</v>
      </c>
      <c r="B3430" s="132">
        <v>2.2365904091408269E-2</v>
      </c>
      <c r="C3430" s="133"/>
    </row>
    <row r="3431" spans="1:3">
      <c r="A3431" s="131" t="s">
        <v>11468</v>
      </c>
      <c r="B3431" s="132">
        <v>1.2950450733092643E-2</v>
      </c>
      <c r="C3431" s="133"/>
    </row>
    <row r="3432" spans="1:3">
      <c r="A3432" s="131" t="s">
        <v>11469</v>
      </c>
      <c r="B3432" s="132">
        <v>5.2292400505393744E-4</v>
      </c>
      <c r="C3432" s="133"/>
    </row>
    <row r="3433" spans="1:3">
      <c r="A3433" s="131" t="s">
        <v>11470</v>
      </c>
      <c r="B3433" s="132">
        <v>5.7189474882912966E-4</v>
      </c>
      <c r="C3433" s="133"/>
    </row>
    <row r="3434" spans="1:3">
      <c r="A3434" s="131" t="s">
        <v>11471</v>
      </c>
      <c r="B3434" s="132">
        <v>5.6779574889921488E-6</v>
      </c>
      <c r="C3434" s="133"/>
    </row>
    <row r="3435" spans="1:3">
      <c r="A3435" s="131" t="s">
        <v>11472</v>
      </c>
      <c r="B3435" s="132">
        <v>3.2548290995479145E-3</v>
      </c>
      <c r="C3435" s="133"/>
    </row>
    <row r="3436" spans="1:3">
      <c r="A3436" s="131" t="s">
        <v>11473</v>
      </c>
      <c r="B3436" s="132">
        <v>1.9941299979109317E-4</v>
      </c>
      <c r="C3436" s="133"/>
    </row>
    <row r="3437" spans="1:3">
      <c r="A3437" s="131" t="s">
        <v>11474</v>
      </c>
      <c r="B3437" s="132">
        <v>1.4134956084608324E-3</v>
      </c>
      <c r="C3437" s="133"/>
    </row>
    <row r="3438" spans="1:3">
      <c r="A3438" s="131" t="s">
        <v>11475</v>
      </c>
      <c r="B3438" s="132">
        <v>7.229200127767399E-5</v>
      </c>
      <c r="C3438" s="133"/>
    </row>
    <row r="3439" spans="1:3">
      <c r="A3439" s="131" t="s">
        <v>11476</v>
      </c>
      <c r="B3439" s="132">
        <v>1.6051003030812363</v>
      </c>
      <c r="C3439" s="133"/>
    </row>
    <row r="3440" spans="1:3">
      <c r="A3440" s="131" t="s">
        <v>11477</v>
      </c>
      <c r="B3440" s="132">
        <v>2.3604900343343616E-4</v>
      </c>
      <c r="C3440" s="133"/>
    </row>
    <row r="3441" spans="1:3">
      <c r="A3441" s="131" t="s">
        <v>11478</v>
      </c>
      <c r="B3441" s="132">
        <v>0.59556951193708851</v>
      </c>
      <c r="C3441" s="133"/>
    </row>
    <row r="3442" spans="1:3">
      <c r="A3442" s="131" t="s">
        <v>11479</v>
      </c>
      <c r="B3442" s="132">
        <v>1.2007199999999997E-5</v>
      </c>
      <c r="C3442" s="133"/>
    </row>
    <row r="3443" spans="1:3">
      <c r="A3443" s="131" t="s">
        <v>11480</v>
      </c>
      <c r="B3443" s="132">
        <v>7.4126194683753416E-3</v>
      </c>
      <c r="C3443" s="133"/>
    </row>
    <row r="3444" spans="1:3">
      <c r="A3444" s="131" t="s">
        <v>11481</v>
      </c>
      <c r="B3444" s="132">
        <v>7.5989427035883948E-4</v>
      </c>
      <c r="C3444" s="133"/>
    </row>
    <row r="3445" spans="1:3">
      <c r="A3445" s="131" t="s">
        <v>11482</v>
      </c>
      <c r="B3445" s="132">
        <v>6.0983804123785783E-2</v>
      </c>
      <c r="C3445" s="133"/>
    </row>
    <row r="3446" spans="1:3">
      <c r="A3446" s="131" t="s">
        <v>11483</v>
      </c>
      <c r="B3446" s="132">
        <v>6.1771828903127858E-4</v>
      </c>
      <c r="C3446" s="133"/>
    </row>
    <row r="3447" spans="1:3">
      <c r="A3447" s="131" t="s">
        <v>11484</v>
      </c>
      <c r="B3447" s="132">
        <v>15.27</v>
      </c>
      <c r="C3447" s="133"/>
    </row>
    <row r="3448" spans="1:3">
      <c r="A3448" s="131" t="s">
        <v>11485</v>
      </c>
      <c r="B3448" s="132">
        <v>1.55289146311556E-2</v>
      </c>
      <c r="C3448" s="133"/>
    </row>
    <row r="3449" spans="1:3">
      <c r="A3449" s="131" t="s">
        <v>11486</v>
      </c>
      <c r="B3449" s="132">
        <v>6.0905887020483484E-4</v>
      </c>
      <c r="C3449" s="133"/>
    </row>
    <row r="3450" spans="1:3">
      <c r="A3450" s="131" t="s">
        <v>11487</v>
      </c>
      <c r="B3450" s="132">
        <v>3.0012849754444998E-3</v>
      </c>
      <c r="C3450" s="133"/>
    </row>
    <row r="3451" spans="1:3">
      <c r="A3451" s="131" t="s">
        <v>11488</v>
      </c>
      <c r="B3451" s="132">
        <v>1.5269156E-3</v>
      </c>
      <c r="C3451" s="133"/>
    </row>
    <row r="3452" spans="1:3">
      <c r="A3452" s="131" t="s">
        <v>11489</v>
      </c>
      <c r="B3452" s="132">
        <v>3.0885914451563926E-2</v>
      </c>
      <c r="C3452" s="133"/>
    </row>
    <row r="3453" spans="1:3">
      <c r="A3453" s="131" t="s">
        <v>11490</v>
      </c>
      <c r="B3453" s="132">
        <v>1.840580289484824E-3</v>
      </c>
      <c r="C3453" s="133"/>
    </row>
    <row r="3454" spans="1:3">
      <c r="A3454" s="131" t="s">
        <v>11491</v>
      </c>
      <c r="B3454" s="132">
        <v>6.1792340317711988E-4</v>
      </c>
      <c r="C3454" s="133"/>
    </row>
    <row r="3455" spans="1:3">
      <c r="A3455" s="131" t="s">
        <v>11492</v>
      </c>
      <c r="B3455" s="132">
        <v>0.20797971300000001</v>
      </c>
      <c r="C3455" s="133"/>
    </row>
    <row r="3456" spans="1:3">
      <c r="A3456" s="131" t="s">
        <v>11493</v>
      </c>
      <c r="B3456" s="132">
        <v>1.008556604385376</v>
      </c>
      <c r="C3456" s="133"/>
    </row>
    <row r="3457" spans="1:3">
      <c r="A3457" s="131" t="s">
        <v>11494</v>
      </c>
      <c r="B3457" s="132">
        <v>9.5962001068983227E-5</v>
      </c>
      <c r="C3457" s="133"/>
    </row>
    <row r="3458" spans="1:3">
      <c r="A3458" s="131" t="s">
        <v>11495</v>
      </c>
      <c r="B3458" s="132">
        <v>1.1106311021029538</v>
      </c>
      <c r="C3458" s="133"/>
    </row>
    <row r="3459" spans="1:3">
      <c r="A3459" s="131" t="s">
        <v>11496</v>
      </c>
      <c r="B3459" s="132">
        <v>6.5826999999999997E-4</v>
      </c>
      <c r="C3459" s="133"/>
    </row>
    <row r="3460" spans="1:3">
      <c r="A3460" s="131" t="s">
        <v>11497</v>
      </c>
      <c r="B3460" s="132">
        <v>1.4273398465786702E-4</v>
      </c>
      <c r="C3460" s="133"/>
    </row>
    <row r="3461" spans="1:3">
      <c r="A3461" s="131" t="s">
        <v>11498</v>
      </c>
      <c r="B3461" s="132">
        <v>2.615000084915664E-6</v>
      </c>
      <c r="C3461" s="133"/>
    </row>
    <row r="3462" spans="1:3">
      <c r="A3462" s="131" t="s">
        <v>11499</v>
      </c>
      <c r="B3462" s="132">
        <v>1.9715000235009938E-4</v>
      </c>
      <c r="C3462" s="133"/>
    </row>
    <row r="3463" spans="1:3">
      <c r="A3463" s="131" t="s">
        <v>11500</v>
      </c>
      <c r="B3463" s="132">
        <v>1.4541855753353528</v>
      </c>
      <c r="C3463" s="133"/>
    </row>
    <row r="3464" spans="1:3">
      <c r="A3464" s="131" t="s">
        <v>11501</v>
      </c>
      <c r="B3464" s="132">
        <v>2.5794041322905732E-4</v>
      </c>
      <c r="C3464" s="133"/>
    </row>
    <row r="3465" spans="1:3">
      <c r="A3465" s="131" t="s">
        <v>11502</v>
      </c>
      <c r="B3465" s="132">
        <v>112.37</v>
      </c>
      <c r="C3465" s="133"/>
    </row>
    <row r="3466" spans="1:3">
      <c r="A3466" s="131" t="s">
        <v>11503</v>
      </c>
      <c r="B3466" s="132">
        <v>2.7673779348601279E-2</v>
      </c>
      <c r="C3466" s="133"/>
    </row>
    <row r="3467" spans="1:3">
      <c r="A3467" s="131" t="s">
        <v>11504</v>
      </c>
      <c r="B3467" s="132">
        <v>5.6870056521999071E-4</v>
      </c>
      <c r="C3467" s="133"/>
    </row>
    <row r="3468" spans="1:3">
      <c r="A3468" s="131" t="s">
        <v>11505</v>
      </c>
      <c r="B3468" s="132">
        <v>1.7699962481856346E-2</v>
      </c>
      <c r="C3468" s="133"/>
    </row>
    <row r="3469" spans="1:3">
      <c r="A3469" s="131" t="s">
        <v>11506</v>
      </c>
      <c r="B3469" s="132">
        <v>4.0805470096462625E-5</v>
      </c>
      <c r="C3469" s="133"/>
    </row>
    <row r="3470" spans="1:3">
      <c r="A3470" s="131" t="s">
        <v>11507</v>
      </c>
      <c r="B3470" s="132">
        <v>2.111372072249651E-3</v>
      </c>
      <c r="C3470" s="133"/>
    </row>
    <row r="3471" spans="1:3">
      <c r="A3471" s="131" t="s">
        <v>11508</v>
      </c>
      <c r="B3471" s="132">
        <v>1.1340613873860097E-5</v>
      </c>
      <c r="C3471" s="133"/>
    </row>
    <row r="3472" spans="1:3">
      <c r="A3472" s="131" t="s">
        <v>11509</v>
      </c>
      <c r="B3472" s="132">
        <v>9.2376553064242692E-4</v>
      </c>
      <c r="C3472" s="133"/>
    </row>
    <row r="3473" spans="1:3">
      <c r="A3473" s="131" t="s">
        <v>11510</v>
      </c>
      <c r="B3473" s="132">
        <v>1.5650900604669005E-4</v>
      </c>
      <c r="C3473" s="133"/>
    </row>
    <row r="3474" spans="1:3">
      <c r="A3474" s="131" t="s">
        <v>11511</v>
      </c>
      <c r="B3474" s="132">
        <v>1.510932445526123</v>
      </c>
      <c r="C3474" s="133"/>
    </row>
    <row r="3475" spans="1:3">
      <c r="A3475" s="131" t="s">
        <v>11512</v>
      </c>
      <c r="B3475" s="132">
        <v>5.8683237457971462E-3</v>
      </c>
      <c r="C3475" s="133"/>
    </row>
    <row r="3476" spans="1:3">
      <c r="A3476" s="131" t="s">
        <v>11513</v>
      </c>
      <c r="B3476" s="132">
        <v>2.1567541103401842E-4</v>
      </c>
      <c r="C3476" s="133"/>
    </row>
    <row r="3477" spans="1:3">
      <c r="A3477" s="131" t="s">
        <v>11514</v>
      </c>
      <c r="B3477" s="132">
        <v>9.8055582287313175E-3</v>
      </c>
      <c r="C3477" s="133"/>
    </row>
    <row r="3478" spans="1:3">
      <c r="A3478" s="131" t="s">
        <v>11515</v>
      </c>
      <c r="B3478" s="132">
        <v>2.3241486920638182E-2</v>
      </c>
      <c r="C3478" s="133"/>
    </row>
    <row r="3479" spans="1:3">
      <c r="A3479" s="131" t="s">
        <v>11516</v>
      </c>
      <c r="B3479" s="132">
        <v>2.5108802019002988E-4</v>
      </c>
      <c r="C3479" s="133"/>
    </row>
    <row r="3480" spans="1:3">
      <c r="A3480" s="131" t="s">
        <v>11517</v>
      </c>
      <c r="B3480" s="132">
        <v>1.2119998649854214E-2</v>
      </c>
      <c r="C3480" s="133"/>
    </row>
    <row r="3481" spans="1:3">
      <c r="A3481" s="131" t="s">
        <v>11518</v>
      </c>
      <c r="B3481" s="132">
        <v>7.0036032639999996E-3</v>
      </c>
      <c r="C3481" s="133"/>
    </row>
    <row r="3482" spans="1:3">
      <c r="A3482" s="131" t="s">
        <v>11519</v>
      </c>
      <c r="B3482" s="132">
        <v>124.46</v>
      </c>
      <c r="C3482" s="133"/>
    </row>
    <row r="3483" spans="1:3">
      <c r="A3483" s="131" t="s">
        <v>11520</v>
      </c>
      <c r="B3483" s="132">
        <v>131.28</v>
      </c>
      <c r="C3483" s="133"/>
    </row>
    <row r="3484" spans="1:3">
      <c r="A3484" s="131" t="s">
        <v>11521</v>
      </c>
      <c r="B3484" s="132">
        <v>68.739999999999995</v>
      </c>
      <c r="C3484" s="133"/>
    </row>
    <row r="3485" spans="1:3">
      <c r="A3485" s="131" t="s">
        <v>11522</v>
      </c>
      <c r="B3485" s="132">
        <v>9.8317528826489409E-3</v>
      </c>
      <c r="C3485" s="133"/>
    </row>
    <row r="3486" spans="1:3">
      <c r="A3486" s="131" t="s">
        <v>11523</v>
      </c>
      <c r="B3486" s="132">
        <v>2.0079353572700154E-3</v>
      </c>
      <c r="C3486" s="133"/>
    </row>
    <row r="3487" spans="1:3">
      <c r="A3487" s="131" t="s">
        <v>11524</v>
      </c>
      <c r="B3487" s="132">
        <v>1.1126400204375386E-4</v>
      </c>
      <c r="C3487" s="133"/>
    </row>
    <row r="3488" spans="1:3">
      <c r="A3488" s="131" t="s">
        <v>11525</v>
      </c>
      <c r="B3488" s="132">
        <v>127.45</v>
      </c>
      <c r="C3488" s="133"/>
    </row>
    <row r="3489" spans="1:3">
      <c r="A3489" s="131" t="s">
        <v>11526</v>
      </c>
      <c r="B3489" s="132">
        <v>1.9144199904985726E-4</v>
      </c>
      <c r="C3489" s="133"/>
    </row>
    <row r="3490" spans="1:3">
      <c r="A3490" s="131" t="s">
        <v>11527</v>
      </c>
      <c r="B3490" s="132">
        <v>2.7707288973033428E-3</v>
      </c>
      <c r="C3490" s="133"/>
    </row>
    <row r="3491" spans="1:3">
      <c r="A3491" s="131" t="s">
        <v>11528</v>
      </c>
      <c r="B3491" s="132">
        <v>3.812159993685782E-4</v>
      </c>
      <c r="C3491" s="133"/>
    </row>
    <row r="3492" spans="1:3">
      <c r="A3492" s="131" t="s">
        <v>11529</v>
      </c>
      <c r="B3492" s="132">
        <v>70.58</v>
      </c>
      <c r="C3492" s="133"/>
    </row>
    <row r="3493" spans="1:3">
      <c r="A3493" s="131" t="s">
        <v>11530</v>
      </c>
      <c r="B3493" s="132">
        <v>4.7205425320250996E-3</v>
      </c>
      <c r="C3493" s="133"/>
    </row>
    <row r="3494" spans="1:3">
      <c r="A3494" s="131" t="s">
        <v>11531</v>
      </c>
      <c r="B3494" s="132">
        <v>5.6472641900779134E-4</v>
      </c>
      <c r="C3494" s="133"/>
    </row>
    <row r="3495" spans="1:3">
      <c r="A3495" s="131" t="s">
        <v>11532</v>
      </c>
      <c r="B3495" s="132">
        <v>7.0703325552314711E-5</v>
      </c>
      <c r="C3495" s="133"/>
    </row>
    <row r="3496" spans="1:3">
      <c r="A3496" s="131" t="s">
        <v>11533</v>
      </c>
      <c r="B3496" s="132">
        <v>3.4175998375771059E-2</v>
      </c>
      <c r="C3496" s="133"/>
    </row>
    <row r="3497" spans="1:3">
      <c r="A3497" s="131" t="s">
        <v>11534</v>
      </c>
      <c r="B3497" s="132">
        <v>106.39</v>
      </c>
      <c r="C3497" s="133"/>
    </row>
    <row r="3498" spans="1:3">
      <c r="A3498" s="131" t="s">
        <v>11535</v>
      </c>
      <c r="B3498" s="132">
        <v>9.782240017038586E-4</v>
      </c>
      <c r="C3498" s="133"/>
    </row>
    <row r="3499" spans="1:3">
      <c r="A3499" s="131" t="s">
        <v>11536</v>
      </c>
      <c r="B3499" s="132">
        <v>1.9940621066666667E-2</v>
      </c>
      <c r="C3499" s="133"/>
    </row>
    <row r="3500" spans="1:3">
      <c r="A3500" s="131" t="s">
        <v>11537</v>
      </c>
      <c r="B3500" s="132">
        <v>7.9814999480731785E-5</v>
      </c>
      <c r="C3500" s="133"/>
    </row>
    <row r="3501" spans="1:3">
      <c r="A3501" s="131" t="s">
        <v>11538</v>
      </c>
      <c r="B3501" s="132">
        <v>65.36</v>
      </c>
      <c r="C3501" s="133"/>
    </row>
    <row r="3502" spans="1:3">
      <c r="A3502" s="131" t="s">
        <v>11539</v>
      </c>
      <c r="B3502" s="132">
        <v>9.3744622853016001E-3</v>
      </c>
      <c r="C3502" s="133"/>
    </row>
    <row r="3503" spans="1:3">
      <c r="A3503" s="131" t="s">
        <v>11540</v>
      </c>
      <c r="B3503" s="132">
        <v>4.3220818382835599E-3</v>
      </c>
      <c r="C3503" s="133"/>
    </row>
    <row r="3504" spans="1:3">
      <c r="A3504" s="131" t="s">
        <v>11541</v>
      </c>
      <c r="B3504" s="132">
        <v>1.2354365780625572E-3</v>
      </c>
      <c r="C3504" s="133"/>
    </row>
    <row r="3505" spans="1:3">
      <c r="A3505" s="131" t="s">
        <v>11542</v>
      </c>
      <c r="B3505" s="132">
        <v>73.13</v>
      </c>
      <c r="C3505" s="133"/>
    </row>
    <row r="3506" spans="1:3">
      <c r="A3506" s="131" t="s">
        <v>11543</v>
      </c>
      <c r="B3506" s="132">
        <v>75.69</v>
      </c>
      <c r="C3506" s="133"/>
    </row>
    <row r="3507" spans="1:3">
      <c r="A3507" s="131" t="s">
        <v>11544</v>
      </c>
      <c r="B3507" s="132">
        <v>9.3409339999999987E-3</v>
      </c>
      <c r="C3507" s="133"/>
    </row>
    <row r="3508" spans="1:3">
      <c r="A3508" s="131" t="s">
        <v>11545</v>
      </c>
      <c r="B3508" s="132">
        <v>2.6915243333333334E-3</v>
      </c>
      <c r="C3508" s="133"/>
    </row>
    <row r="3509" spans="1:3">
      <c r="A3509" s="131" t="s">
        <v>11546</v>
      </c>
      <c r="B3509" s="132">
        <v>0.35860267678734709</v>
      </c>
      <c r="C3509" s="133"/>
    </row>
    <row r="3510" spans="1:3">
      <c r="A3510" s="131" t="s">
        <v>11547</v>
      </c>
      <c r="B3510" s="132">
        <v>1.2210380518808961E-3</v>
      </c>
      <c r="C3510" s="133"/>
    </row>
    <row r="3511" spans="1:3">
      <c r="A3511" s="131" t="s">
        <v>11548</v>
      </c>
      <c r="B3511" s="132">
        <v>16.97</v>
      </c>
      <c r="C3511" s="133"/>
    </row>
    <row r="3512" spans="1:3">
      <c r="A3512" s="131" t="s">
        <v>11549</v>
      </c>
      <c r="B3512" s="132">
        <v>3.4180076473821304E-3</v>
      </c>
      <c r="C3512" s="133"/>
    </row>
    <row r="3513" spans="1:3">
      <c r="A3513" s="131" t="s">
        <v>11550</v>
      </c>
      <c r="B3513" s="132">
        <v>2.024591277980188E-3</v>
      </c>
      <c r="C3513" s="133"/>
    </row>
    <row r="3514" spans="1:3">
      <c r="A3514" s="131" t="s">
        <v>11551</v>
      </c>
      <c r="B3514" s="132">
        <v>70.58</v>
      </c>
      <c r="C3514" s="133"/>
    </row>
    <row r="3515" spans="1:3">
      <c r="A3515" s="131" t="s">
        <v>11552</v>
      </c>
      <c r="B3515" s="132">
        <v>6.1771828903127858E-4</v>
      </c>
      <c r="C3515" s="133"/>
    </row>
    <row r="3516" spans="1:3">
      <c r="A3516" s="131" t="s">
        <v>11553</v>
      </c>
      <c r="B3516" s="132">
        <v>6.1771828903127858E-4</v>
      </c>
      <c r="C3516" s="133"/>
    </row>
    <row r="3517" spans="1:3">
      <c r="A3517" s="131" t="s">
        <v>11554</v>
      </c>
      <c r="B3517" s="132">
        <v>67.510000000000005</v>
      </c>
      <c r="C3517" s="133"/>
    </row>
    <row r="3518" spans="1:3">
      <c r="A3518" s="131" t="s">
        <v>11555</v>
      </c>
      <c r="B3518" s="132">
        <v>3.700709906653666E-2</v>
      </c>
      <c r="C3518" s="133"/>
    </row>
    <row r="3519" spans="1:3">
      <c r="A3519" s="131" t="s">
        <v>11556</v>
      </c>
      <c r="B3519" s="132">
        <v>1.2372553774330743</v>
      </c>
      <c r="C3519" s="133"/>
    </row>
    <row r="3520" spans="1:3">
      <c r="A3520" s="131" t="s">
        <v>11557</v>
      </c>
      <c r="B3520" s="132">
        <v>0.13100588321685791</v>
      </c>
      <c r="C3520" s="133"/>
    </row>
    <row r="3521" spans="1:3">
      <c r="A3521" s="131" t="s">
        <v>11558</v>
      </c>
      <c r="B3521" s="132">
        <v>6.1593520340016332E-5</v>
      </c>
      <c r="C3521" s="133"/>
    </row>
    <row r="3522" spans="1:3">
      <c r="A3522" s="131" t="s">
        <v>11559</v>
      </c>
      <c r="B3522" s="132">
        <v>1.5442957225781963E-3</v>
      </c>
      <c r="C3522" s="133"/>
    </row>
    <row r="3523" spans="1:3">
      <c r="A3523" s="131" t="s">
        <v>11560</v>
      </c>
      <c r="B3523" s="132">
        <v>9.3971600290387869E-4</v>
      </c>
      <c r="C3523" s="133"/>
    </row>
    <row r="3524" spans="1:3">
      <c r="A3524" s="131" t="s">
        <v>11561</v>
      </c>
      <c r="B3524" s="132">
        <v>1.0987400310114026E-4</v>
      </c>
      <c r="C3524" s="133"/>
    </row>
    <row r="3525" spans="1:3">
      <c r="A3525" s="131" t="s">
        <v>11562</v>
      </c>
      <c r="B3525" s="132">
        <v>0.40191023891678707</v>
      </c>
      <c r="C3525" s="133"/>
    </row>
    <row r="3526" spans="1:3">
      <c r="A3526" s="131" t="s">
        <v>11563</v>
      </c>
      <c r="B3526" s="132">
        <v>5.4331145612959666E-2</v>
      </c>
      <c r="C3526" s="133"/>
    </row>
    <row r="3527" spans="1:3">
      <c r="A3527" s="131" t="s">
        <v>11564</v>
      </c>
      <c r="B3527" s="132">
        <v>1.7502567000810726E-5</v>
      </c>
      <c r="C3527" s="133"/>
    </row>
    <row r="3528" spans="1:3">
      <c r="A3528" s="131" t="s">
        <v>11565</v>
      </c>
      <c r="B3528" s="132">
        <v>7.864114078238E-4</v>
      </c>
      <c r="C3528" s="133"/>
    </row>
    <row r="3529" spans="1:3">
      <c r="A3529" s="131" t="s">
        <v>11566</v>
      </c>
      <c r="B3529" s="132">
        <v>1.3760961953877035E-4</v>
      </c>
      <c r="C3529" s="133"/>
    </row>
    <row r="3530" spans="1:3">
      <c r="A3530" s="131" t="s">
        <v>11567</v>
      </c>
      <c r="B3530" s="132">
        <v>6.4826312268360359E-5</v>
      </c>
      <c r="C3530" s="133"/>
    </row>
    <row r="3531" spans="1:3">
      <c r="A3531" s="131" t="s">
        <v>11568</v>
      </c>
      <c r="B3531" s="132">
        <v>3.9012685418128967E-2</v>
      </c>
      <c r="C3531" s="133"/>
    </row>
    <row r="3532" spans="1:3">
      <c r="A3532" s="131" t="s">
        <v>11569</v>
      </c>
      <c r="B3532" s="132">
        <v>9.3018058293751604E-4</v>
      </c>
      <c r="C3532" s="133"/>
    </row>
    <row r="3533" spans="1:3">
      <c r="A3533" s="131" t="s">
        <v>11570</v>
      </c>
      <c r="B3533" s="132">
        <v>4.1202385355466279E-3</v>
      </c>
      <c r="C3533" s="133"/>
    </row>
    <row r="3534" spans="1:3">
      <c r="A3534" s="131" t="s">
        <v>11571</v>
      </c>
      <c r="B3534" s="132">
        <v>7.5049761131266662E-5</v>
      </c>
      <c r="C3534" s="133"/>
    </row>
    <row r="3535" spans="1:3">
      <c r="A3535" s="131" t="s">
        <v>11572</v>
      </c>
      <c r="B3535" s="132">
        <v>9.9211195483803749E-3</v>
      </c>
      <c r="C3535" s="133"/>
    </row>
    <row r="3536" spans="1:3">
      <c r="A3536" s="131" t="s">
        <v>11573</v>
      </c>
      <c r="B3536" s="132">
        <v>2.4885952512895184E-3</v>
      </c>
      <c r="C3536" s="133"/>
    </row>
    <row r="3537" spans="1:3">
      <c r="A3537" s="131" t="s">
        <v>11574</v>
      </c>
      <c r="B3537" s="132">
        <v>6.1159980593410997E-5</v>
      </c>
      <c r="C3537" s="133"/>
    </row>
    <row r="3538" spans="1:3">
      <c r="A3538" s="131" t="s">
        <v>11575</v>
      </c>
      <c r="B3538" s="132">
        <v>2.8532145316233107E-3</v>
      </c>
      <c r="C3538" s="133"/>
    </row>
    <row r="3539" spans="1:3">
      <c r="A3539" s="131" t="s">
        <v>11576</v>
      </c>
      <c r="B3539" s="132">
        <v>5.1864982059402723E-2</v>
      </c>
      <c r="C3539" s="133"/>
    </row>
    <row r="3540" spans="1:3">
      <c r="A3540" s="131" t="s">
        <v>7845</v>
      </c>
      <c r="B3540" s="132">
        <v>2.4212001778697104E-3</v>
      </c>
      <c r="C3540" s="133"/>
    </row>
    <row r="3541" spans="1:3">
      <c r="A3541" s="131" t="s">
        <v>7846</v>
      </c>
      <c r="B3541" s="132">
        <v>8.6631125277272531E-4</v>
      </c>
      <c r="C3541" s="133"/>
    </row>
    <row r="3542" spans="1:3">
      <c r="A3542" s="131" t="s">
        <v>7847</v>
      </c>
      <c r="B3542" s="132">
        <v>2.8910483517017003</v>
      </c>
      <c r="C3542" s="133"/>
    </row>
    <row r="3543" spans="1:3">
      <c r="A3543" s="131" t="s">
        <v>7848</v>
      </c>
      <c r="B3543" s="132">
        <v>8.9451348470504047E-5</v>
      </c>
      <c r="C3543" s="133"/>
    </row>
    <row r="3544" spans="1:3">
      <c r="A3544" s="131" t="s">
        <v>7849</v>
      </c>
      <c r="B3544" s="132">
        <v>4.6803199802525342E-4</v>
      </c>
      <c r="C3544" s="133"/>
    </row>
    <row r="3545" spans="1:3">
      <c r="A3545" s="131" t="s">
        <v>7850</v>
      </c>
      <c r="B3545" s="132">
        <v>2.1789412945508957E-2</v>
      </c>
      <c r="C3545" s="133"/>
    </row>
    <row r="3546" spans="1:3">
      <c r="A3546" s="131" t="s">
        <v>7851</v>
      </c>
      <c r="B3546" s="132">
        <v>2.2854582992786081E-5</v>
      </c>
      <c r="C3546" s="133"/>
    </row>
    <row r="3547" spans="1:3">
      <c r="A3547" s="131" t="s">
        <v>7852</v>
      </c>
      <c r="B3547" s="132">
        <v>2.5559829082340002E-3</v>
      </c>
      <c r="C3547" s="133"/>
    </row>
    <row r="3548" spans="1:3">
      <c r="A3548" s="131" t="s">
        <v>7853</v>
      </c>
      <c r="B3548" s="132">
        <v>3.8791518527429368E-2</v>
      </c>
      <c r="C3548" s="133"/>
    </row>
    <row r="3549" spans="1:3">
      <c r="A3549" s="131" t="s">
        <v>7854</v>
      </c>
      <c r="B3549" s="132">
        <v>8.5116997070144862E-5</v>
      </c>
      <c r="C3549" s="133"/>
    </row>
    <row r="3550" spans="1:3">
      <c r="A3550" s="131" t="s">
        <v>7855</v>
      </c>
      <c r="B3550" s="132">
        <v>3.6043199361301959E-4</v>
      </c>
      <c r="C3550" s="133"/>
    </row>
    <row r="3551" spans="1:3">
      <c r="A3551" s="131" t="s">
        <v>7856</v>
      </c>
      <c r="B3551" s="132">
        <v>2.4806189351475036E-4</v>
      </c>
      <c r="C3551" s="133"/>
    </row>
    <row r="3552" spans="1:3">
      <c r="A3552" s="131" t="s">
        <v>7857</v>
      </c>
      <c r="B3552" s="132">
        <v>2.5401693333333334E-4</v>
      </c>
      <c r="C3552" s="133"/>
    </row>
    <row r="3553" spans="1:3">
      <c r="A3553" s="131" t="s">
        <v>7858</v>
      </c>
      <c r="B3553" s="132">
        <v>2.67</v>
      </c>
      <c r="C3553" s="133"/>
    </row>
    <row r="3554" spans="1:3">
      <c r="A3554" s="131" t="s">
        <v>7859</v>
      </c>
      <c r="B3554" s="132">
        <v>0.21470653408474916</v>
      </c>
      <c r="C3554" s="133"/>
    </row>
    <row r="3555" spans="1:3">
      <c r="A3555" s="131" t="s">
        <v>7860</v>
      </c>
      <c r="B3555" s="132">
        <v>3.7999398773536086E-4</v>
      </c>
      <c r="C3555" s="133"/>
    </row>
    <row r="3556" spans="1:3">
      <c r="A3556" s="131" t="s">
        <v>7861</v>
      </c>
      <c r="B3556" s="132">
        <v>6.7949011793440577E-3</v>
      </c>
      <c r="C3556" s="133"/>
    </row>
    <row r="3557" spans="1:3">
      <c r="A3557" s="131" t="s">
        <v>7862</v>
      </c>
      <c r="B3557" s="132">
        <v>5.7428813867967587E-3</v>
      </c>
      <c r="C3557" s="133"/>
    </row>
    <row r="3558" spans="1:3">
      <c r="A3558" s="131" t="s">
        <v>7863</v>
      </c>
      <c r="B3558" s="132">
        <v>7.7213997428771108E-5</v>
      </c>
      <c r="C3558" s="133"/>
    </row>
    <row r="3559" spans="1:3">
      <c r="A3559" s="131" t="s">
        <v>7864</v>
      </c>
      <c r="B3559" s="132">
        <v>1.0013845197680041E-2</v>
      </c>
      <c r="C3559" s="133"/>
    </row>
    <row r="3560" spans="1:3">
      <c r="A3560" s="131" t="s">
        <v>7865</v>
      </c>
      <c r="B3560" s="132">
        <v>2.9920635958110447E-4</v>
      </c>
      <c r="C3560" s="133"/>
    </row>
    <row r="3561" spans="1:3">
      <c r="A3561" s="131" t="s">
        <v>7866</v>
      </c>
      <c r="B3561" s="132">
        <v>1.8921299999999999E-3</v>
      </c>
      <c r="C3561" s="133"/>
    </row>
    <row r="3562" spans="1:3">
      <c r="A3562" s="131" t="s">
        <v>7867</v>
      </c>
      <c r="B3562" s="132">
        <v>8.8726503997871536E-4</v>
      </c>
      <c r="C3562" s="133"/>
    </row>
    <row r="3563" spans="1:3">
      <c r="A3563" s="131" t="s">
        <v>7868</v>
      </c>
      <c r="B3563" s="132">
        <v>9.14232381935722E-3</v>
      </c>
      <c r="C3563" s="133"/>
    </row>
    <row r="3564" spans="1:3">
      <c r="A3564" s="131" t="s">
        <v>7869</v>
      </c>
      <c r="B3564" s="132">
        <v>2.1434700465761125E-4</v>
      </c>
      <c r="C3564" s="133"/>
    </row>
    <row r="3565" spans="1:3">
      <c r="A3565" s="131" t="s">
        <v>7870</v>
      </c>
      <c r="B3565" s="132">
        <v>6.04900014877785E-6</v>
      </c>
      <c r="C3565" s="133"/>
    </row>
    <row r="3566" spans="1:3">
      <c r="A3566" s="131" t="s">
        <v>7871</v>
      </c>
      <c r="B3566" s="132">
        <v>6.3530699117109179E-4</v>
      </c>
      <c r="C3566" s="133"/>
    </row>
    <row r="3567" spans="1:3">
      <c r="A3567" s="131" t="s">
        <v>7872</v>
      </c>
      <c r="B3567" s="132">
        <v>1.850731235516127E-3</v>
      </c>
      <c r="C3567" s="133"/>
    </row>
    <row r="3568" spans="1:3">
      <c r="A3568" s="131" t="s">
        <v>7873</v>
      </c>
      <c r="B3568" s="132">
        <v>1.0199099779129028E-4</v>
      </c>
      <c r="C3568" s="133"/>
    </row>
    <row r="3569" spans="1:3">
      <c r="A3569" s="131" t="s">
        <v>7874</v>
      </c>
      <c r="B3569" s="132">
        <v>7.0006300000000008E-6</v>
      </c>
      <c r="C3569" s="133"/>
    </row>
    <row r="3570" spans="1:3">
      <c r="A3570" s="131" t="s">
        <v>7875</v>
      </c>
      <c r="B3570" s="132">
        <v>8.5756283006043496E-4</v>
      </c>
      <c r="C3570" s="133"/>
    </row>
    <row r="3571" spans="1:3">
      <c r="A3571" s="131" t="s">
        <v>7876</v>
      </c>
      <c r="B3571" s="132">
        <v>6.1811789764496986E-5</v>
      </c>
      <c r="C3571" s="133"/>
    </row>
    <row r="3572" spans="1:3">
      <c r="A3572" s="131" t="s">
        <v>7877</v>
      </c>
      <c r="B3572" s="132">
        <v>8.4610001067630947E-6</v>
      </c>
      <c r="C3572" s="133"/>
    </row>
    <row r="3573" spans="1:3">
      <c r="A3573" s="131" t="s">
        <v>7878</v>
      </c>
      <c r="B3573" s="132">
        <v>1.3947276921816664E-4</v>
      </c>
      <c r="C3573" s="133"/>
    </row>
    <row r="3574" spans="1:3">
      <c r="A3574" s="131" t="s">
        <v>7879</v>
      </c>
      <c r="B3574" s="132">
        <v>1.0536849731579423E-3</v>
      </c>
      <c r="C3574" s="133"/>
    </row>
    <row r="3575" spans="1:3">
      <c r="A3575" s="131" t="s">
        <v>7880</v>
      </c>
      <c r="B3575" s="132">
        <v>2.7682159561663866E-3</v>
      </c>
      <c r="C3575" s="133"/>
    </row>
    <row r="3576" spans="1:3">
      <c r="A3576" s="131" t="s">
        <v>7881</v>
      </c>
      <c r="B3576" s="132">
        <v>2.1163526383717482E-4</v>
      </c>
      <c r="C3576" s="133"/>
    </row>
    <row r="3577" spans="1:3">
      <c r="A3577" s="131" t="s">
        <v>7882</v>
      </c>
      <c r="B3577" s="132">
        <v>2.3276247755121757E-3</v>
      </c>
      <c r="C3577" s="133"/>
    </row>
    <row r="3578" spans="1:3">
      <c r="A3578" s="131" t="s">
        <v>7883</v>
      </c>
      <c r="B3578" s="132">
        <v>5.1400002121226862E-7</v>
      </c>
      <c r="C3578" s="133"/>
    </row>
    <row r="3579" spans="1:3">
      <c r="A3579" s="131" t="s">
        <v>7884</v>
      </c>
      <c r="B3579" s="132">
        <v>9.6773997938726097E-5</v>
      </c>
      <c r="C3579" s="133"/>
    </row>
    <row r="3580" spans="1:3">
      <c r="A3580" s="131" t="s">
        <v>7885</v>
      </c>
      <c r="B3580" s="132">
        <v>1.2309448099947489E-3</v>
      </c>
      <c r="C3580" s="133"/>
    </row>
    <row r="3581" spans="1:3">
      <c r="A3581" s="131" t="s">
        <v>7886</v>
      </c>
      <c r="B3581" s="132">
        <v>6.1693845043522496E-4</v>
      </c>
      <c r="C3581" s="133"/>
    </row>
    <row r="3582" spans="1:3">
      <c r="A3582" s="131" t="s">
        <v>7887</v>
      </c>
      <c r="B3582" s="132">
        <v>5.0028537703042993E-3</v>
      </c>
      <c r="C3582" s="133"/>
    </row>
    <row r="3583" spans="1:3">
      <c r="A3583" s="131" t="s">
        <v>7888</v>
      </c>
      <c r="B3583" s="132">
        <v>5.7305298913768362E-6</v>
      </c>
      <c r="C3583" s="133"/>
    </row>
    <row r="3584" spans="1:3">
      <c r="A3584" s="131" t="s">
        <v>7889</v>
      </c>
      <c r="B3584" s="132">
        <v>7.1002620322735193E-4</v>
      </c>
      <c r="C3584" s="133"/>
    </row>
    <row r="3585" spans="1:3">
      <c r="A3585" s="131" t="s">
        <v>7890</v>
      </c>
      <c r="B3585" s="132">
        <v>8.8088697521016002E-4</v>
      </c>
      <c r="C3585" s="133"/>
    </row>
    <row r="3586" spans="1:3">
      <c r="A3586" s="131" t="s">
        <v>7891</v>
      </c>
      <c r="B3586" s="132">
        <v>1.6040019483835284</v>
      </c>
      <c r="C3586" s="133"/>
    </row>
    <row r="3587" spans="1:3">
      <c r="A3587" s="131" t="s">
        <v>7892</v>
      </c>
      <c r="B3587" s="132">
        <v>3.4436616049634368E-3</v>
      </c>
      <c r="C3587" s="133"/>
    </row>
    <row r="3588" spans="1:3">
      <c r="A3588" s="131" t="s">
        <v>7893</v>
      </c>
      <c r="B3588" s="132">
        <v>4.6112481762205499</v>
      </c>
      <c r="C3588" s="133"/>
    </row>
    <row r="3589" spans="1:3">
      <c r="A3589" s="131" t="s">
        <v>7894</v>
      </c>
      <c r="B3589" s="132">
        <v>0.12763209793493513</v>
      </c>
      <c r="C3589" s="133"/>
    </row>
    <row r="3590" spans="1:3">
      <c r="A3590" s="131" t="s">
        <v>7895</v>
      </c>
      <c r="B3590" s="132">
        <v>8.9248002041131258E-5</v>
      </c>
      <c r="C3590" s="133"/>
    </row>
    <row r="3591" spans="1:3">
      <c r="A3591" s="131" t="s">
        <v>7896</v>
      </c>
      <c r="B3591" s="132">
        <v>5.0132394779436613E-4</v>
      </c>
      <c r="C3591" s="133"/>
    </row>
    <row r="3592" spans="1:3">
      <c r="A3592" s="131" t="s">
        <v>7897</v>
      </c>
      <c r="B3592" s="132">
        <v>3.5654471747598198E-4</v>
      </c>
      <c r="C3592" s="133"/>
    </row>
    <row r="3593" spans="1:3">
      <c r="A3593" s="131" t="s">
        <v>7898</v>
      </c>
      <c r="B3593" s="132">
        <v>1.8531548670938354E-3</v>
      </c>
      <c r="C3593" s="133"/>
    </row>
    <row r="3594" spans="1:3">
      <c r="A3594" s="131" t="s">
        <v>7899</v>
      </c>
      <c r="B3594" s="132">
        <v>4.675690084695816E-3</v>
      </c>
      <c r="C3594" s="133"/>
    </row>
    <row r="3595" spans="1:3">
      <c r="A3595" s="131" t="s">
        <v>7900</v>
      </c>
      <c r="B3595" s="132">
        <v>6.1771828903127859E-6</v>
      </c>
      <c r="C3595" s="133"/>
    </row>
    <row r="3596" spans="1:3">
      <c r="A3596" s="131" t="s">
        <v>7901</v>
      </c>
      <c r="B3596" s="132">
        <v>3.8988699088804424E-4</v>
      </c>
      <c r="C3596" s="133"/>
    </row>
    <row r="3597" spans="1:3">
      <c r="A3597" s="131" t="s">
        <v>7902</v>
      </c>
      <c r="B3597" s="132">
        <v>0.77967801214036059</v>
      </c>
      <c r="C3597" s="133"/>
    </row>
    <row r="3598" spans="1:3">
      <c r="A3598" s="131" t="s">
        <v>7903</v>
      </c>
      <c r="B3598" s="132">
        <v>2.8005599999999988E-4</v>
      </c>
      <c r="C3598" s="133"/>
    </row>
    <row r="3599" spans="1:3">
      <c r="A3599" s="131" t="s">
        <v>7904</v>
      </c>
      <c r="B3599" s="132">
        <v>7.5888795257460923E-3</v>
      </c>
      <c r="C3599" s="133"/>
    </row>
    <row r="3600" spans="1:3">
      <c r="A3600" s="131" t="s">
        <v>7905</v>
      </c>
      <c r="B3600" s="132">
        <v>2.4415766161443658E-5</v>
      </c>
      <c r="C3600" s="133"/>
    </row>
    <row r="3601" spans="1:3">
      <c r="A3601" s="131" t="s">
        <v>7906</v>
      </c>
      <c r="B3601" s="132">
        <v>1.1426099808886647E-4</v>
      </c>
      <c r="C3601" s="133"/>
    </row>
    <row r="3602" spans="1:3">
      <c r="A3602" s="131" t="s">
        <v>7907</v>
      </c>
      <c r="B3602" s="132">
        <v>1.1526500020409003E-4</v>
      </c>
      <c r="C3602" s="133"/>
    </row>
    <row r="3603" spans="1:3">
      <c r="A3603" s="131" t="s">
        <v>7908</v>
      </c>
      <c r="B3603" s="132">
        <v>3.9131293413342988E-5</v>
      </c>
      <c r="C3603" s="133"/>
    </row>
    <row r="3604" spans="1:3">
      <c r="A3604" s="131" t="s">
        <v>7909</v>
      </c>
      <c r="B3604" s="132">
        <v>5.4984716784065323E-2</v>
      </c>
      <c r="C3604" s="133"/>
    </row>
    <row r="3605" spans="1:3">
      <c r="A3605" s="131" t="s">
        <v>7910</v>
      </c>
      <c r="B3605" s="132">
        <v>2.7227890421569997E-4</v>
      </c>
      <c r="C3605" s="133"/>
    </row>
    <row r="3606" spans="1:3">
      <c r="A3606" s="131" t="s">
        <v>7911</v>
      </c>
      <c r="B3606" s="132">
        <v>1.4467446615393311E-5</v>
      </c>
      <c r="C3606" s="133"/>
    </row>
    <row r="3607" spans="1:3">
      <c r="A3607" s="131" t="s">
        <v>7912</v>
      </c>
      <c r="B3607" s="132">
        <v>2.6049750455922675E-4</v>
      </c>
      <c r="C3607" s="133"/>
    </row>
    <row r="3608" spans="1:3">
      <c r="A3608" s="131" t="s">
        <v>7913</v>
      </c>
      <c r="B3608" s="132">
        <v>1.0574102262650245E-3</v>
      </c>
      <c r="C3608" s="133"/>
    </row>
    <row r="3609" spans="1:3">
      <c r="A3609" s="131" t="s">
        <v>7914</v>
      </c>
      <c r="B3609" s="132">
        <v>1.1007929233329771E-3</v>
      </c>
      <c r="C3609" s="133"/>
    </row>
    <row r="3610" spans="1:3">
      <c r="A3610" s="131" t="s">
        <v>7915</v>
      </c>
      <c r="B3610" s="132">
        <v>8.3369995991233736E-6</v>
      </c>
      <c r="C3610" s="133"/>
    </row>
    <row r="3611" spans="1:3">
      <c r="A3611" s="131" t="s">
        <v>7916</v>
      </c>
      <c r="B3611" s="132">
        <v>2.8338236102545586E-2</v>
      </c>
      <c r="C3611" s="133"/>
    </row>
    <row r="3612" spans="1:3">
      <c r="A3612" s="131" t="s">
        <v>7917</v>
      </c>
      <c r="B3612" s="132">
        <v>6.2988380519599776E-2</v>
      </c>
      <c r="C3612" s="133"/>
    </row>
    <row r="3613" spans="1:3">
      <c r="A3613" s="131" t="s">
        <v>7918</v>
      </c>
      <c r="B3613" s="132">
        <v>5.467780283652246E-4</v>
      </c>
      <c r="C3613" s="133"/>
    </row>
    <row r="3614" spans="1:3">
      <c r="A3614" s="131" t="s">
        <v>7919</v>
      </c>
      <c r="B3614" s="132">
        <v>2.3166400205809623E-4</v>
      </c>
      <c r="C3614" s="133"/>
    </row>
    <row r="3615" spans="1:3">
      <c r="A3615" s="131" t="s">
        <v>7920</v>
      </c>
      <c r="B3615" s="132">
        <v>7.11</v>
      </c>
      <c r="C3615" s="133"/>
    </row>
    <row r="3616" spans="1:3">
      <c r="A3616" s="131" t="s">
        <v>7921</v>
      </c>
      <c r="B3616" s="132">
        <v>5.3009000112069771E-5</v>
      </c>
      <c r="C3616" s="133"/>
    </row>
    <row r="3617" spans="1:3">
      <c r="A3617" s="131" t="s">
        <v>7922</v>
      </c>
      <c r="B3617" s="132">
        <v>4.6597830951213837E-3</v>
      </c>
      <c r="C3617" s="133"/>
    </row>
    <row r="3618" spans="1:3">
      <c r="A3618" s="131" t="s">
        <v>7923</v>
      </c>
      <c r="B3618" s="132">
        <v>0.81748086592474178</v>
      </c>
      <c r="C3618" s="133"/>
    </row>
    <row r="3619" spans="1:3">
      <c r="A3619" s="131" t="s">
        <v>7924</v>
      </c>
      <c r="B3619" s="132">
        <v>6.5356278688257136E-4</v>
      </c>
      <c r="C3619" s="133"/>
    </row>
    <row r="3620" spans="1:3">
      <c r="A3620" s="131" t="s">
        <v>7925</v>
      </c>
      <c r="B3620" s="132">
        <v>4.1488036505240305E-5</v>
      </c>
      <c r="C3620" s="133"/>
    </row>
    <row r="3621" spans="1:3">
      <c r="A3621" s="131" t="s">
        <v>7926</v>
      </c>
      <c r="B3621" s="132">
        <v>0.33690400828580969</v>
      </c>
      <c r="C3621" s="133"/>
    </row>
    <row r="3622" spans="1:3">
      <c r="A3622" s="131" t="s">
        <v>7927</v>
      </c>
      <c r="B3622" s="132">
        <v>3.0508228766190977E-2</v>
      </c>
      <c r="C3622" s="133"/>
    </row>
    <row r="3623" spans="1:3">
      <c r="A3623" s="131" t="s">
        <v>7928</v>
      </c>
      <c r="B3623" s="132">
        <v>6.9434529001448264E-5</v>
      </c>
      <c r="C3623" s="133"/>
    </row>
    <row r="3624" spans="1:3">
      <c r="A3624" s="131" t="s">
        <v>7929</v>
      </c>
      <c r="B3624" s="132">
        <v>2.249000090159825E-6</v>
      </c>
      <c r="C3624" s="133"/>
    </row>
    <row r="3625" spans="1:3">
      <c r="A3625" s="131" t="s">
        <v>7930</v>
      </c>
      <c r="B3625" s="132">
        <v>1.2289691103311176E-3</v>
      </c>
      <c r="C3625" s="133"/>
    </row>
    <row r="3626" spans="1:3">
      <c r="A3626" s="131" t="s">
        <v>7931</v>
      </c>
      <c r="B3626" s="132">
        <v>7.2744363456446151E-6</v>
      </c>
      <c r="C3626" s="133"/>
    </row>
    <row r="3627" spans="1:3">
      <c r="A3627" s="131" t="s">
        <v>7932</v>
      </c>
      <c r="B3627" s="132">
        <v>6.2875638065921725E-6</v>
      </c>
      <c r="C3627" s="133"/>
    </row>
    <row r="3628" spans="1:3">
      <c r="A3628" s="131" t="s">
        <v>7933</v>
      </c>
      <c r="B3628" s="132">
        <v>9.2536561775804658E-4</v>
      </c>
      <c r="C3628" s="133"/>
    </row>
    <row r="3629" spans="1:3">
      <c r="A3629" s="131" t="s">
        <v>7934</v>
      </c>
      <c r="B3629" s="132">
        <v>1.2157410054789105E-3</v>
      </c>
      <c r="C3629" s="133"/>
    </row>
    <row r="3630" spans="1:3">
      <c r="A3630" s="131" t="s">
        <v>7935</v>
      </c>
      <c r="B3630" s="132">
        <v>1.2339800014160573E-4</v>
      </c>
      <c r="C3630" s="133"/>
    </row>
    <row r="3631" spans="1:3">
      <c r="A3631" s="131" t="s">
        <v>7936</v>
      </c>
      <c r="B3631" s="132">
        <v>3.7840170666666666E-6</v>
      </c>
      <c r="C3631" s="133"/>
    </row>
    <row r="3632" spans="1:3">
      <c r="A3632" s="131" t="s">
        <v>7937</v>
      </c>
      <c r="B3632" s="132">
        <v>4.8009650963556172E-5</v>
      </c>
      <c r="C3632" s="133"/>
    </row>
    <row r="3633" spans="1:3">
      <c r="A3633" s="131" t="s">
        <v>7938</v>
      </c>
      <c r="B3633" s="132">
        <v>9.2688301810994744E-4</v>
      </c>
      <c r="C3633" s="133"/>
    </row>
    <row r="3634" spans="1:3">
      <c r="A3634" s="131" t="s">
        <v>7939</v>
      </c>
      <c r="B3634" s="132">
        <v>2.2246623015429302E-5</v>
      </c>
      <c r="C3634" s="133"/>
    </row>
    <row r="3635" spans="1:3">
      <c r="A3635" s="131" t="s">
        <v>7940</v>
      </c>
      <c r="B3635" s="132">
        <v>2.8781799483112991E-4</v>
      </c>
      <c r="C3635" s="133"/>
    </row>
    <row r="3636" spans="1:3">
      <c r="A3636" s="131" t="s">
        <v>7941</v>
      </c>
      <c r="B3636" s="132">
        <v>5.2691686030278625E-4</v>
      </c>
      <c r="C3636" s="133"/>
    </row>
    <row r="3637" spans="1:3">
      <c r="A3637" s="131" t="s">
        <v>7942</v>
      </c>
      <c r="B3637" s="132">
        <v>4.3573142029345036E-3</v>
      </c>
      <c r="C3637" s="133"/>
    </row>
    <row r="3638" spans="1:3">
      <c r="A3638" s="131" t="s">
        <v>7943</v>
      </c>
      <c r="B3638" s="132">
        <v>6.4314063990590436E-4</v>
      </c>
      <c r="C3638" s="133"/>
    </row>
    <row r="3639" spans="1:3">
      <c r="A3639" s="131" t="s">
        <v>7944</v>
      </c>
      <c r="B3639" s="132">
        <v>3.4416820853948593E-2</v>
      </c>
      <c r="C3639" s="133"/>
    </row>
    <row r="3640" spans="1:3">
      <c r="A3640" s="131" t="s">
        <v>7945</v>
      </c>
      <c r="B3640" s="132">
        <v>2.1463885106438237E-4</v>
      </c>
      <c r="C3640" s="133"/>
    </row>
    <row r="3641" spans="1:3">
      <c r="A3641" s="131" t="s">
        <v>7946</v>
      </c>
      <c r="B3641" s="132">
        <v>2.468228038320822E-3</v>
      </c>
      <c r="C3641" s="133"/>
    </row>
    <row r="3642" spans="1:3">
      <c r="A3642" s="131" t="s">
        <v>7947</v>
      </c>
      <c r="B3642" s="132">
        <v>2.1771920559263781E-2</v>
      </c>
      <c r="C3642" s="133"/>
    </row>
    <row r="3643" spans="1:3">
      <c r="A3643" s="131" t="s">
        <v>7948</v>
      </c>
      <c r="B3643" s="132">
        <v>5.0027704369711658E-8</v>
      </c>
      <c r="C3643" s="133"/>
    </row>
    <row r="3644" spans="1:3">
      <c r="A3644" s="131" t="s">
        <v>7949</v>
      </c>
      <c r="B3644" s="132">
        <v>1.4159099373500794E-4</v>
      </c>
      <c r="C3644" s="133"/>
    </row>
    <row r="3645" spans="1:3">
      <c r="A3645" s="131" t="s">
        <v>7950</v>
      </c>
      <c r="B3645" s="132">
        <v>0.13579604010519861</v>
      </c>
      <c r="C3645" s="133"/>
    </row>
    <row r="3646" spans="1:3">
      <c r="A3646" s="131" t="s">
        <v>7951</v>
      </c>
      <c r="B3646" s="132">
        <v>1.9726923139221629E-3</v>
      </c>
      <c r="C3646" s="133"/>
    </row>
    <row r="3647" spans="1:3">
      <c r="A3647" s="131" t="s">
        <v>7952</v>
      </c>
      <c r="B3647" s="132">
        <v>3.6526125683565449E-3</v>
      </c>
      <c r="C3647" s="133"/>
    </row>
    <row r="3648" spans="1:3">
      <c r="A3648" s="131" t="s">
        <v>7953</v>
      </c>
      <c r="B3648" s="132">
        <v>3252.88</v>
      </c>
      <c r="C3648" s="133"/>
    </row>
    <row r="3649" spans="1:3">
      <c r="A3649" s="131" t="s">
        <v>7954</v>
      </c>
      <c r="B3649" s="132">
        <v>1.8800968304276466E-2</v>
      </c>
      <c r="C3649" s="133"/>
    </row>
    <row r="3650" spans="1:3">
      <c r="A3650" s="131" t="s">
        <v>7955</v>
      </c>
      <c r="B3650" s="132">
        <v>1.9223400158807635E-4</v>
      </c>
      <c r="C3650" s="133"/>
    </row>
    <row r="3651" spans="1:3">
      <c r="A3651" s="131" t="s">
        <v>7956</v>
      </c>
      <c r="B3651" s="132">
        <v>6.3168015359248337E-4</v>
      </c>
      <c r="C3651" s="133"/>
    </row>
    <row r="3652" spans="1:3">
      <c r="A3652" s="131" t="s">
        <v>7957</v>
      </c>
      <c r="B3652" s="132">
        <v>1.10066E-3</v>
      </c>
      <c r="C3652" s="133"/>
    </row>
    <row r="3653" spans="1:3">
      <c r="A3653" s="131" t="s">
        <v>7958</v>
      </c>
      <c r="B3653" s="132">
        <v>7.156435678123461E-5</v>
      </c>
      <c r="C3653" s="133"/>
    </row>
    <row r="3654" spans="1:3">
      <c r="A3654" s="131" t="s">
        <v>7959</v>
      </c>
      <c r="B3654" s="132">
        <v>4.7114961490594826E-3</v>
      </c>
      <c r="C3654" s="133"/>
    </row>
    <row r="3655" spans="1:3">
      <c r="A3655" s="131" t="s">
        <v>7960</v>
      </c>
      <c r="B3655" s="132">
        <v>1.5364699356723577E-4</v>
      </c>
      <c r="C3655" s="133"/>
    </row>
    <row r="3656" spans="1:3">
      <c r="A3656" s="131" t="s">
        <v>7961</v>
      </c>
      <c r="B3656" s="132">
        <v>5.1615835008631398E-6</v>
      </c>
      <c r="C3656" s="133"/>
    </row>
    <row r="3657" spans="1:3">
      <c r="A3657" s="131" t="s">
        <v>7962</v>
      </c>
      <c r="B3657" s="132">
        <v>4.9295761999005043E-4</v>
      </c>
      <c r="C3657" s="133"/>
    </row>
    <row r="3658" spans="1:3">
      <c r="A3658" s="131" t="s">
        <v>7963</v>
      </c>
      <c r="B3658" s="132">
        <v>2.0784789160910488E-5</v>
      </c>
      <c r="C3658" s="133"/>
    </row>
    <row r="3659" spans="1:3">
      <c r="A3659" s="131" t="s">
        <v>7964</v>
      </c>
      <c r="B3659" s="132">
        <v>2.2728527625069431E-4</v>
      </c>
      <c r="C3659" s="133"/>
    </row>
    <row r="3660" spans="1:3">
      <c r="A3660" s="131" t="s">
        <v>7965</v>
      </c>
      <c r="B3660" s="132">
        <v>1.5008499999999998E-7</v>
      </c>
      <c r="C3660" s="133"/>
    </row>
    <row r="3661" spans="1:3">
      <c r="A3661" s="131" t="s">
        <v>7966</v>
      </c>
      <c r="B3661" s="132">
        <v>1.3495619671363717E-4</v>
      </c>
      <c r="C3661" s="133"/>
    </row>
    <row r="3662" spans="1:3">
      <c r="A3662" s="131" t="s">
        <v>7967</v>
      </c>
      <c r="B3662" s="132">
        <v>1.6217000666074455E-4</v>
      </c>
      <c r="C3662" s="133"/>
    </row>
    <row r="3663" spans="1:3">
      <c r="A3663" s="131" t="s">
        <v>7968</v>
      </c>
      <c r="B3663" s="132">
        <v>9.9999997171806854E-10</v>
      </c>
      <c r="C3663" s="133"/>
    </row>
    <row r="3664" spans="1:3">
      <c r="A3664" s="131" t="s">
        <v>7969</v>
      </c>
      <c r="B3664" s="132">
        <v>2.3136800155043602E-4</v>
      </c>
      <c r="C3664" s="133"/>
    </row>
    <row r="3665" spans="1:3">
      <c r="A3665" s="131" t="s">
        <v>7970</v>
      </c>
      <c r="B3665" s="132">
        <v>2.5346661262712475E-3</v>
      </c>
      <c r="C3665" s="133"/>
    </row>
    <row r="3666" spans="1:3">
      <c r="A3666" s="131" t="s">
        <v>7971</v>
      </c>
      <c r="B3666" s="132">
        <v>1.7149517879061E-5</v>
      </c>
      <c r="C3666" s="133"/>
    </row>
    <row r="3667" spans="1:3">
      <c r="A3667" s="131" t="s">
        <v>7972</v>
      </c>
      <c r="B3667" s="132">
        <v>9.2023516561416023E-4</v>
      </c>
      <c r="C3667" s="133"/>
    </row>
    <row r="3668" spans="1:3">
      <c r="A3668" s="131" t="s">
        <v>7973</v>
      </c>
      <c r="B3668" s="132">
        <v>0.12375772666666719</v>
      </c>
      <c r="C3668" s="133"/>
    </row>
    <row r="3669" spans="1:3">
      <c r="A3669" s="131" t="s">
        <v>7974</v>
      </c>
      <c r="B3669" s="132">
        <v>1.0610680328682065E-3</v>
      </c>
      <c r="C3669" s="133"/>
    </row>
    <row r="3670" spans="1:3">
      <c r="A3670" s="131" t="s">
        <v>7975</v>
      </c>
      <c r="B3670" s="132">
        <v>6.9256656388390495E-3</v>
      </c>
      <c r="C3670" s="133"/>
    </row>
    <row r="3671" spans="1:3">
      <c r="A3671" s="131" t="s">
        <v>7976</v>
      </c>
      <c r="B3671" s="132">
        <v>5.15</v>
      </c>
      <c r="C3671" s="133"/>
    </row>
    <row r="3672" spans="1:3">
      <c r="A3672" s="131" t="s">
        <v>7977</v>
      </c>
      <c r="B3672" s="132">
        <v>8.9378875934054198E-7</v>
      </c>
      <c r="C3672" s="133"/>
    </row>
    <row r="3673" spans="1:3">
      <c r="A3673" s="131" t="s">
        <v>7978</v>
      </c>
      <c r="B3673" s="132">
        <v>5.7660974371683037E-4</v>
      </c>
      <c r="C3673" s="133"/>
    </row>
    <row r="3674" spans="1:3">
      <c r="A3674" s="131" t="s">
        <v>7979</v>
      </c>
      <c r="B3674" s="132">
        <v>9.8150409959249811E-4</v>
      </c>
      <c r="C3674" s="133"/>
    </row>
    <row r="3675" spans="1:3">
      <c r="A3675" s="131" t="s">
        <v>7980</v>
      </c>
      <c r="B3675" s="132">
        <v>4.194917441792856E-5</v>
      </c>
      <c r="C3675" s="133"/>
    </row>
    <row r="3676" spans="1:3">
      <c r="A3676" s="131" t="s">
        <v>7981</v>
      </c>
      <c r="B3676" s="132">
        <v>6.1771828903127851E-3</v>
      </c>
      <c r="C3676" s="133"/>
    </row>
    <row r="3677" spans="1:3">
      <c r="A3677" s="131" t="s">
        <v>7982</v>
      </c>
      <c r="B3677" s="132">
        <v>7.5689202640205622E-4</v>
      </c>
      <c r="C3677" s="133"/>
    </row>
    <row r="3678" spans="1:3">
      <c r="A3678" s="131" t="s">
        <v>7983</v>
      </c>
      <c r="B3678" s="132">
        <v>4.0805470096462625E-5</v>
      </c>
      <c r="C3678" s="133"/>
    </row>
    <row r="3679" spans="1:3">
      <c r="A3679" s="131" t="s">
        <v>7984</v>
      </c>
      <c r="B3679" s="132">
        <v>1.8004899611696601E-3</v>
      </c>
      <c r="C3679" s="133"/>
    </row>
    <row r="3680" spans="1:3">
      <c r="A3680" s="131" t="s">
        <v>7985</v>
      </c>
      <c r="B3680" s="132">
        <v>6.2290723682365261E-2</v>
      </c>
      <c r="C3680" s="133"/>
    </row>
    <row r="3681" spans="1:3">
      <c r="A3681" s="131" t="s">
        <v>7986</v>
      </c>
      <c r="B3681" s="132">
        <v>1.1006080312654376E-3</v>
      </c>
      <c r="C3681" s="133"/>
    </row>
    <row r="3682" spans="1:3">
      <c r="A3682" s="131" t="s">
        <v>7987</v>
      </c>
      <c r="B3682" s="132">
        <v>1.606810060788749E-4</v>
      </c>
      <c r="C3682" s="133"/>
    </row>
    <row r="3683" spans="1:3">
      <c r="A3683" s="131" t="s">
        <v>7988</v>
      </c>
      <c r="B3683" s="132">
        <v>6.0647006533885532E-4</v>
      </c>
      <c r="C3683" s="133"/>
    </row>
    <row r="3684" spans="1:3">
      <c r="A3684" s="131" t="s">
        <v>7989</v>
      </c>
      <c r="B3684" s="132">
        <v>3.5305100027471781E-4</v>
      </c>
      <c r="C3684" s="133"/>
    </row>
    <row r="3685" spans="1:3">
      <c r="A3685" s="131" t="s">
        <v>7990</v>
      </c>
      <c r="B3685" s="132">
        <v>4.0850318626953078E-4</v>
      </c>
      <c r="C3685" s="133"/>
    </row>
    <row r="3686" spans="1:3">
      <c r="A3686" s="131" t="s">
        <v>7991</v>
      </c>
      <c r="B3686" s="132">
        <v>4.002216349576733E-5</v>
      </c>
      <c r="C3686" s="133"/>
    </row>
    <row r="3687" spans="1:3">
      <c r="A3687" s="131" t="s">
        <v>7992</v>
      </c>
      <c r="B3687" s="132">
        <v>6.1744026261193715E-3</v>
      </c>
      <c r="C3687" s="133"/>
    </row>
    <row r="3688" spans="1:3">
      <c r="A3688" s="131" t="s">
        <v>7993</v>
      </c>
      <c r="B3688" s="132">
        <v>1.7027199268341064E-2</v>
      </c>
      <c r="C3688" s="133"/>
    </row>
    <row r="3689" spans="1:3">
      <c r="A3689" s="131" t="s">
        <v>7994</v>
      </c>
      <c r="B3689" s="132">
        <v>4.8905222964757382E-5</v>
      </c>
      <c r="C3689" s="133"/>
    </row>
    <row r="3690" spans="1:3">
      <c r="A3690" s="131" t="s">
        <v>7995</v>
      </c>
      <c r="B3690" s="132">
        <v>2.7028611846337779E-4</v>
      </c>
      <c r="C3690" s="133"/>
    </row>
    <row r="3691" spans="1:3">
      <c r="A3691" s="131" t="s">
        <v>7996</v>
      </c>
      <c r="B3691" s="132">
        <v>2.0778999896720052E-5</v>
      </c>
      <c r="C3691" s="133"/>
    </row>
    <row r="3692" spans="1:3">
      <c r="A3692" s="131" t="s">
        <v>7997</v>
      </c>
      <c r="B3692" s="132">
        <v>1.9026789855683519E-3</v>
      </c>
      <c r="C3692" s="133"/>
    </row>
    <row r="3693" spans="1:3">
      <c r="A3693" s="131" t="s">
        <v>7998</v>
      </c>
      <c r="B3693" s="132">
        <v>3.0096244511397946E-5</v>
      </c>
      <c r="C3693" s="133"/>
    </row>
    <row r="3694" spans="1:3">
      <c r="A3694" s="131" t="s">
        <v>7999</v>
      </c>
      <c r="B3694" s="132">
        <v>7.4029249420643709E-3</v>
      </c>
      <c r="C3694" s="133"/>
    </row>
    <row r="3695" spans="1:3">
      <c r="A3695" s="131" t="s">
        <v>8000</v>
      </c>
      <c r="B3695" s="132">
        <v>88291</v>
      </c>
      <c r="C3695" s="133"/>
    </row>
    <row r="3696" spans="1:3">
      <c r="A3696" s="131" t="s">
        <v>8001</v>
      </c>
      <c r="B3696" s="132">
        <v>4.9352832947096147E-3</v>
      </c>
      <c r="C3696" s="133"/>
    </row>
    <row r="3697" spans="1:3">
      <c r="A3697" s="131" t="s">
        <v>8002</v>
      </c>
      <c r="B3697" s="132">
        <v>1.4928976073861122E-2</v>
      </c>
      <c r="C3697" s="133"/>
    </row>
    <row r="3698" spans="1:3">
      <c r="A3698" s="131" t="s">
        <v>8003</v>
      </c>
      <c r="B3698" s="132">
        <v>3.0000001061125658E-7</v>
      </c>
      <c r="C3698" s="133"/>
    </row>
    <row r="3699" spans="1:3">
      <c r="A3699" s="131" t="s">
        <v>8004</v>
      </c>
      <c r="B3699" s="132">
        <v>2.4698242689096914E-5</v>
      </c>
      <c r="C3699" s="133"/>
    </row>
    <row r="3700" spans="1:3">
      <c r="A3700" s="131" t="s">
        <v>8005</v>
      </c>
      <c r="B3700" s="132">
        <v>6.7949011793440577E-3</v>
      </c>
      <c r="C3700" s="133"/>
    </row>
    <row r="3701" spans="1:3">
      <c r="A3701" s="131" t="s">
        <v>8006</v>
      </c>
      <c r="B3701" s="132">
        <v>6.0384557127398861E-4</v>
      </c>
      <c r="C3701" s="133"/>
    </row>
    <row r="3702" spans="1:3">
      <c r="A3702" s="131" t="s">
        <v>8007</v>
      </c>
      <c r="B3702" s="132">
        <v>2.0531700283754617E-4</v>
      </c>
      <c r="C3702" s="133"/>
    </row>
    <row r="3703" spans="1:3">
      <c r="A3703" s="131" t="s">
        <v>8008</v>
      </c>
      <c r="B3703" s="132">
        <v>4.3676596069170374E-5</v>
      </c>
      <c r="C3703" s="133"/>
    </row>
    <row r="3704" spans="1:3">
      <c r="A3704" s="131" t="s">
        <v>8009</v>
      </c>
      <c r="B3704" s="132">
        <v>5.3017837926745415E-3</v>
      </c>
      <c r="C3704" s="133"/>
    </row>
    <row r="3705" spans="1:3">
      <c r="A3705" s="131" t="s">
        <v>8010</v>
      </c>
      <c r="B3705" s="132">
        <v>6.3916985869615387E-3</v>
      </c>
      <c r="C3705" s="133"/>
    </row>
    <row r="3706" spans="1:3">
      <c r="A3706" s="131" t="s">
        <v>8011</v>
      </c>
      <c r="B3706" s="132">
        <v>1.6035999578889459E-5</v>
      </c>
      <c r="C3706" s="133"/>
    </row>
    <row r="3707" spans="1:3">
      <c r="A3707" s="131" t="s">
        <v>8012</v>
      </c>
      <c r="B3707" s="132">
        <v>3.0537438882343126E-4</v>
      </c>
      <c r="C3707" s="133"/>
    </row>
    <row r="3708" spans="1:3">
      <c r="A3708" s="131" t="s">
        <v>8013</v>
      </c>
      <c r="B3708" s="132">
        <v>2.5226868689060211E-2</v>
      </c>
      <c r="C3708" s="133"/>
    </row>
    <row r="3709" spans="1:3">
      <c r="A3709" s="131" t="s">
        <v>8014</v>
      </c>
      <c r="B3709" s="132">
        <v>1.3220000028013601E-6</v>
      </c>
      <c r="C3709" s="133"/>
    </row>
    <row r="3710" spans="1:3">
      <c r="A3710" s="131" t="s">
        <v>8015</v>
      </c>
      <c r="B3710" s="132">
        <v>6.0000000000000002E-5</v>
      </c>
      <c r="C3710" s="133"/>
    </row>
    <row r="3711" spans="1:3">
      <c r="A3711" s="131" t="s">
        <v>8016</v>
      </c>
      <c r="B3711" s="132">
        <v>6.8360000113898423E-6</v>
      </c>
      <c r="C3711" s="133"/>
    </row>
    <row r="3712" spans="1:3">
      <c r="A3712" s="131" t="s">
        <v>8017</v>
      </c>
      <c r="B3712" s="132">
        <v>9.2091002443339676E-5</v>
      </c>
      <c r="C3712" s="133"/>
    </row>
    <row r="3713" spans="1:3">
      <c r="A3713" s="131" t="s">
        <v>8018</v>
      </c>
      <c r="B3713" s="132">
        <v>2.9657257391867272E-4</v>
      </c>
      <c r="C3713" s="133"/>
    </row>
    <row r="3714" spans="1:3">
      <c r="A3714" s="131" t="s">
        <v>8019</v>
      </c>
      <c r="B3714" s="132">
        <v>2.38149004871957E-4</v>
      </c>
      <c r="C3714" s="133"/>
    </row>
    <row r="3715" spans="1:3">
      <c r="A3715" s="131" t="s">
        <v>8020</v>
      </c>
      <c r="B3715" s="132">
        <v>4.7660602782103239E-4</v>
      </c>
      <c r="C3715" s="133"/>
    </row>
    <row r="3716" spans="1:3">
      <c r="A3716" s="131" t="s">
        <v>8021</v>
      </c>
      <c r="B3716" s="132">
        <v>2.4010891154479044E-4</v>
      </c>
      <c r="C3716" s="133"/>
    </row>
    <row r="3717" spans="1:3">
      <c r="A3717" s="131" t="s">
        <v>8022</v>
      </c>
      <c r="B3717" s="132">
        <v>5.1227575754909355E-2</v>
      </c>
      <c r="C3717" s="133"/>
    </row>
    <row r="3718" spans="1:3">
      <c r="A3718" s="131" t="s">
        <v>8023</v>
      </c>
      <c r="B3718" s="132">
        <v>8.9541462859129995E-3</v>
      </c>
      <c r="C3718" s="133"/>
    </row>
    <row r="3719" spans="1:3">
      <c r="A3719" s="131" t="s">
        <v>8024</v>
      </c>
      <c r="B3719" s="132">
        <v>1.6009066666666666E-3</v>
      </c>
      <c r="C3719" s="133"/>
    </row>
    <row r="3720" spans="1:3">
      <c r="A3720" s="131" t="s">
        <v>8025</v>
      </c>
      <c r="B3720" s="132">
        <v>1.0299999713897705</v>
      </c>
      <c r="C3720" s="133"/>
    </row>
    <row r="3721" spans="1:3">
      <c r="A3721" s="131" t="s">
        <v>8026</v>
      </c>
      <c r="B3721" s="132">
        <v>5.0897197797894478E-4</v>
      </c>
      <c r="C3721" s="133"/>
    </row>
    <row r="3722" spans="1:3">
      <c r="A3722" s="131" t="s">
        <v>8027</v>
      </c>
      <c r="B3722" s="132">
        <v>5.4365798132494092E-4</v>
      </c>
      <c r="C3722" s="133"/>
    </row>
    <row r="3723" spans="1:3">
      <c r="A3723" s="131" t="s">
        <v>8028</v>
      </c>
      <c r="B3723" s="132">
        <v>7.776348409275325E-4</v>
      </c>
      <c r="C3723" s="133"/>
    </row>
    <row r="3724" spans="1:3">
      <c r="A3724" s="131" t="s">
        <v>8029</v>
      </c>
      <c r="B3724" s="132">
        <v>1.7375180032104254E-3</v>
      </c>
      <c r="C3724" s="133"/>
    </row>
    <row r="3725" spans="1:3">
      <c r="A3725" s="131" t="s">
        <v>8030</v>
      </c>
      <c r="B3725" s="132">
        <v>1.8904693085427537E-2</v>
      </c>
      <c r="C3725" s="133"/>
    </row>
    <row r="3726" spans="1:3">
      <c r="A3726" s="131" t="s">
        <v>8031</v>
      </c>
      <c r="B3726" s="132">
        <v>65.36</v>
      </c>
      <c r="C3726" s="133"/>
    </row>
    <row r="3727" spans="1:3">
      <c r="A3727" s="131" t="s">
        <v>8032</v>
      </c>
      <c r="B3727" s="132">
        <v>8.161094019292525E-5</v>
      </c>
      <c r="C3727" s="133"/>
    </row>
    <row r="3728" spans="1:3">
      <c r="A3728" s="131" t="s">
        <v>8033</v>
      </c>
      <c r="B3728" s="132">
        <v>2.5373495677667501E-4</v>
      </c>
      <c r="C3728" s="133"/>
    </row>
    <row r="3729" spans="1:3">
      <c r="A3729" s="131" t="s">
        <v>8034</v>
      </c>
      <c r="B3729" s="132">
        <v>0.22642913532262499</v>
      </c>
      <c r="C3729" s="133"/>
    </row>
    <row r="3730" spans="1:3">
      <c r="A3730" s="131" t="s">
        <v>8035</v>
      </c>
      <c r="B3730" s="132">
        <v>1.0324000322725624E-4</v>
      </c>
      <c r="C3730" s="133"/>
    </row>
    <row r="3731" spans="1:3">
      <c r="A3731" s="131" t="s">
        <v>8036</v>
      </c>
      <c r="B3731" s="132">
        <v>2.1238620392978191E-3</v>
      </c>
      <c r="C3731" s="133"/>
    </row>
    <row r="3732" spans="1:3">
      <c r="A3732" s="131" t="s">
        <v>5059</v>
      </c>
      <c r="B3732" s="132">
        <v>1.1026541688507612E-4</v>
      </c>
      <c r="C3732" s="133"/>
    </row>
    <row r="3733" spans="1:3">
      <c r="A3733" s="131" t="s">
        <v>5060</v>
      </c>
      <c r="B3733" s="132">
        <v>8.4455243325214314E-6</v>
      </c>
      <c r="C3733" s="133"/>
    </row>
    <row r="3734" spans="1:3">
      <c r="A3734" s="131" t="s">
        <v>5061</v>
      </c>
      <c r="B3734" s="132">
        <v>4.9352832947096147E-3</v>
      </c>
      <c r="C3734" s="133"/>
    </row>
    <row r="3735" spans="1:3">
      <c r="A3735" s="131" t="s">
        <v>5062</v>
      </c>
      <c r="B3735" s="132">
        <v>1.4209037877591154E-3</v>
      </c>
      <c r="C3735" s="133"/>
    </row>
    <row r="3736" spans="1:3">
      <c r="A3736" s="131" t="s">
        <v>5063</v>
      </c>
      <c r="B3736" s="132">
        <v>4.6583923789394689E-5</v>
      </c>
      <c r="C3736" s="133"/>
    </row>
    <row r="3737" spans="1:3">
      <c r="A3737" s="131" t="s">
        <v>5064</v>
      </c>
      <c r="B3737" s="132">
        <v>3.1796779773301712E-4</v>
      </c>
      <c r="C3737" s="133"/>
    </row>
    <row r="3738" spans="1:3">
      <c r="A3738" s="131" t="s">
        <v>5065</v>
      </c>
      <c r="B3738" s="132">
        <v>1.0841658421384219E-4</v>
      </c>
      <c r="C3738" s="133"/>
    </row>
    <row r="3739" spans="1:3">
      <c r="A3739" s="131" t="s">
        <v>5066</v>
      </c>
      <c r="B3739" s="132">
        <v>1.0112099698744714E-4</v>
      </c>
      <c r="C3739" s="133"/>
    </row>
    <row r="3740" spans="1:3">
      <c r="A3740" s="131" t="s">
        <v>5067</v>
      </c>
      <c r="B3740" s="132">
        <v>2.924096514745073E-4</v>
      </c>
      <c r="C3740" s="133"/>
    </row>
    <row r="3741" spans="1:3">
      <c r="A3741" s="131" t="s">
        <v>5068</v>
      </c>
      <c r="B3741" s="132">
        <v>7.5231000664643943E-5</v>
      </c>
      <c r="C3741" s="133"/>
    </row>
    <row r="3742" spans="1:3">
      <c r="A3742" s="131" t="s">
        <v>5069</v>
      </c>
      <c r="B3742" s="132">
        <v>6.177182890312786E-5</v>
      </c>
      <c r="C3742" s="133"/>
    </row>
    <row r="3743" spans="1:3">
      <c r="A3743" s="131" t="s">
        <v>5070</v>
      </c>
      <c r="B3743" s="132">
        <v>7.0069185323050889E-3</v>
      </c>
      <c r="C3743" s="133"/>
    </row>
    <row r="3744" spans="1:3">
      <c r="A3744" s="131" t="s">
        <v>5071</v>
      </c>
      <c r="B3744" s="132">
        <v>1.2926780000000001E-2</v>
      </c>
      <c r="C3744" s="133"/>
    </row>
    <row r="3745" spans="1:3">
      <c r="A3745" s="131" t="s">
        <v>5072</v>
      </c>
      <c r="B3745" s="132">
        <v>2.0708299416583031E-4</v>
      </c>
      <c r="C3745" s="133"/>
    </row>
    <row r="3746" spans="1:3">
      <c r="A3746" s="131" t="s">
        <v>5073</v>
      </c>
      <c r="B3746" s="132">
        <v>6.2683997384738177E-5</v>
      </c>
      <c r="C3746" s="133"/>
    </row>
    <row r="3747" spans="1:3">
      <c r="A3747" s="131" t="s">
        <v>5074</v>
      </c>
      <c r="B3747" s="132">
        <v>1.1961586999999999E-2</v>
      </c>
      <c r="C3747" s="133"/>
    </row>
    <row r="3748" spans="1:3">
      <c r="A3748" s="131" t="s">
        <v>5075</v>
      </c>
      <c r="B3748" s="132">
        <v>3.9206792652180821E-5</v>
      </c>
      <c r="C3748" s="133"/>
    </row>
    <row r="3749" spans="1:3">
      <c r="A3749" s="131" t="s">
        <v>5076</v>
      </c>
      <c r="B3749" s="132">
        <v>6.7003602162003517E-3</v>
      </c>
      <c r="C3749" s="133"/>
    </row>
    <row r="3750" spans="1:3">
      <c r="A3750" s="131" t="s">
        <v>5077</v>
      </c>
      <c r="B3750" s="132">
        <v>8.7100000000000009</v>
      </c>
      <c r="C3750" s="133"/>
    </row>
    <row r="3751" spans="1:3">
      <c r="A3751" s="131" t="s">
        <v>5078</v>
      </c>
      <c r="B3751" s="132">
        <v>1.7272454852251002E-6</v>
      </c>
      <c r="C3751" s="133"/>
    </row>
    <row r="3752" spans="1:3">
      <c r="A3752" s="131" t="s">
        <v>5079</v>
      </c>
      <c r="B3752" s="132">
        <v>2.142841482026905E-2</v>
      </c>
      <c r="C3752" s="133"/>
    </row>
    <row r="3753" spans="1:3">
      <c r="A3753" s="131" t="s">
        <v>5080</v>
      </c>
      <c r="B3753" s="132">
        <v>5.3564999252557755E-3</v>
      </c>
      <c r="C3753" s="133"/>
    </row>
    <row r="3754" spans="1:3">
      <c r="A3754" s="131" t="s">
        <v>5081</v>
      </c>
      <c r="B3754" s="132">
        <v>12.24</v>
      </c>
      <c r="C3754" s="133"/>
    </row>
    <row r="3755" spans="1:3">
      <c r="A3755" s="131" t="s">
        <v>5082</v>
      </c>
      <c r="B3755" s="132">
        <v>8.1700536118075315E-5</v>
      </c>
      <c r="C3755" s="133"/>
    </row>
    <row r="3756" spans="1:3">
      <c r="A3756" s="131" t="s">
        <v>5083</v>
      </c>
      <c r="B3756" s="132">
        <v>2.5000000292152436E-8</v>
      </c>
      <c r="C3756" s="133"/>
    </row>
    <row r="3757" spans="1:3">
      <c r="A3757" s="131" t="s">
        <v>5084</v>
      </c>
      <c r="B3757" s="132">
        <v>9.3959999503567815E-5</v>
      </c>
      <c r="C3757" s="133"/>
    </row>
    <row r="3758" spans="1:3">
      <c r="A3758" s="131" t="s">
        <v>5085</v>
      </c>
      <c r="B3758" s="132">
        <v>2.0484199922066182E-4</v>
      </c>
      <c r="C3758" s="133"/>
    </row>
    <row r="3759" spans="1:3">
      <c r="A3759" s="131" t="s">
        <v>5086</v>
      </c>
      <c r="B3759" s="132">
        <v>6.3703901832923293E-4</v>
      </c>
      <c r="C3759" s="133"/>
    </row>
    <row r="3760" spans="1:3">
      <c r="A3760" s="131" t="s">
        <v>5087</v>
      </c>
      <c r="B3760" s="132">
        <v>2.0091499999999999E-3</v>
      </c>
      <c r="C3760" s="133"/>
    </row>
    <row r="3761" spans="1:3">
      <c r="A3761" s="131" t="s">
        <v>5088</v>
      </c>
      <c r="B3761" s="132">
        <v>3.9994387361399999E-5</v>
      </c>
      <c r="C3761" s="133"/>
    </row>
    <row r="3762" spans="1:3">
      <c r="A3762" s="131" t="s">
        <v>5089</v>
      </c>
      <c r="B3762" s="132">
        <v>4.4506798526057281E-3</v>
      </c>
      <c r="C3762" s="133"/>
    </row>
    <row r="3763" spans="1:3">
      <c r="A3763" s="131" t="s">
        <v>5090</v>
      </c>
      <c r="B3763" s="132">
        <v>4.5496312319156388E-3</v>
      </c>
      <c r="C3763" s="133"/>
    </row>
    <row r="3764" spans="1:3">
      <c r="A3764" s="131" t="s">
        <v>5091</v>
      </c>
      <c r="B3764" s="132">
        <v>1.3636009534820914E-3</v>
      </c>
      <c r="C3764" s="133"/>
    </row>
    <row r="3765" spans="1:3">
      <c r="A3765" s="131" t="s">
        <v>5092</v>
      </c>
      <c r="B3765" s="132">
        <v>7.6734999311156571E-5</v>
      </c>
      <c r="C3765" s="133"/>
    </row>
    <row r="3766" spans="1:3">
      <c r="A3766" s="131" t="s">
        <v>5093</v>
      </c>
      <c r="B3766" s="132">
        <v>5.6441266558047857E-3</v>
      </c>
      <c r="C3766" s="133"/>
    </row>
    <row r="3767" spans="1:3">
      <c r="A3767" s="131" t="s">
        <v>5094</v>
      </c>
      <c r="B3767" s="132">
        <v>1.8252379472732717E-5</v>
      </c>
      <c r="C3767" s="133"/>
    </row>
    <row r="3768" spans="1:3">
      <c r="A3768" s="131" t="s">
        <v>5095</v>
      </c>
      <c r="B3768" s="132">
        <v>3.2380000000000001E-4</v>
      </c>
      <c r="C3768" s="133"/>
    </row>
    <row r="3769" spans="1:3">
      <c r="A3769" s="131" t="s">
        <v>5096</v>
      </c>
      <c r="B3769" s="132">
        <v>1.1949173737595224E-3</v>
      </c>
      <c r="C3769" s="133"/>
    </row>
    <row r="3770" spans="1:3">
      <c r="A3770" s="131" t="s">
        <v>5097</v>
      </c>
      <c r="B3770" s="132">
        <v>0.1546186252047842</v>
      </c>
      <c r="C3770" s="133"/>
    </row>
    <row r="3771" spans="1:3">
      <c r="A3771" s="131" t="s">
        <v>5098</v>
      </c>
      <c r="B3771" s="132">
        <v>1.5436006565298428E-2</v>
      </c>
      <c r="C3771" s="133"/>
    </row>
    <row r="3772" spans="1:3">
      <c r="A3772" s="131" t="s">
        <v>5099</v>
      </c>
      <c r="B3772" s="132">
        <v>2.5326449850282423E-3</v>
      </c>
      <c r="C3772" s="133"/>
    </row>
    <row r="3773" spans="1:3">
      <c r="A3773" s="131" t="s">
        <v>5100</v>
      </c>
      <c r="B3773" s="132">
        <v>1.4087969356856052</v>
      </c>
      <c r="C3773" s="133"/>
    </row>
    <row r="3774" spans="1:3">
      <c r="A3774" s="131" t="s">
        <v>5101</v>
      </c>
      <c r="B3774" s="132">
        <v>1.1481050169095397E-3</v>
      </c>
      <c r="C3774" s="133"/>
    </row>
    <row r="3775" spans="1:3">
      <c r="A3775" s="131" t="s">
        <v>5102</v>
      </c>
      <c r="B3775" s="132">
        <v>24.8451372434021</v>
      </c>
      <c r="C3775" s="133"/>
    </row>
    <row r="3776" spans="1:3">
      <c r="A3776" s="131" t="s">
        <v>5103</v>
      </c>
      <c r="B3776" s="132">
        <v>5.793000127596315E-6</v>
      </c>
      <c r="C3776" s="133"/>
    </row>
    <row r="3777" spans="1:3">
      <c r="A3777" s="131" t="s">
        <v>5104</v>
      </c>
      <c r="B3777" s="132">
        <v>2.0639800641220063E-4</v>
      </c>
      <c r="C3777" s="133"/>
    </row>
    <row r="3778" spans="1:3">
      <c r="A3778" s="131" t="s">
        <v>5105</v>
      </c>
      <c r="B3778" s="132">
        <v>1.7881771330535419E-4</v>
      </c>
      <c r="C3778" s="133"/>
    </row>
    <row r="3779" spans="1:3">
      <c r="A3779" s="131" t="s">
        <v>5106</v>
      </c>
      <c r="B3779" s="132">
        <v>3.1414686556700724E-7</v>
      </c>
      <c r="C3779" s="133"/>
    </row>
    <row r="3780" spans="1:3">
      <c r="A3780" s="131" t="s">
        <v>5107</v>
      </c>
      <c r="B3780" s="132">
        <v>1.626919984119013E-4</v>
      </c>
      <c r="C3780" s="133"/>
    </row>
    <row r="3781" spans="1:3">
      <c r="A3781" s="131" t="s">
        <v>5108</v>
      </c>
      <c r="B3781" s="132">
        <v>7.3252758079489552E-3</v>
      </c>
      <c r="C3781" s="133"/>
    </row>
    <row r="3782" spans="1:3">
      <c r="A3782" s="131" t="s">
        <v>5109</v>
      </c>
      <c r="B3782" s="132">
        <v>2.676442894813225E-3</v>
      </c>
      <c r="C3782" s="133"/>
    </row>
    <row r="3783" spans="1:3">
      <c r="A3783" s="131" t="s">
        <v>5110</v>
      </c>
      <c r="B3783" s="132">
        <v>2.0015299378428608E-4</v>
      </c>
      <c r="C3783" s="133"/>
    </row>
    <row r="3784" spans="1:3">
      <c r="A3784" s="131" t="s">
        <v>5111</v>
      </c>
      <c r="B3784" s="132">
        <v>1.9136489634816596E-4</v>
      </c>
      <c r="C3784" s="133"/>
    </row>
    <row r="3785" spans="1:3">
      <c r="A3785" s="131" t="s">
        <v>5112</v>
      </c>
      <c r="B3785" s="132">
        <v>4.0882519095760454E-2</v>
      </c>
      <c r="C3785" s="133"/>
    </row>
    <row r="3786" spans="1:3">
      <c r="A3786" s="131" t="s">
        <v>5113</v>
      </c>
      <c r="B3786" s="132">
        <v>4.3220818382835599E-3</v>
      </c>
      <c r="C3786" s="133"/>
    </row>
    <row r="3787" spans="1:3">
      <c r="A3787" s="131" t="s">
        <v>5114</v>
      </c>
      <c r="B3787" s="132">
        <v>8.3220002125017345E-5</v>
      </c>
      <c r="C3787" s="133"/>
    </row>
    <row r="3788" spans="1:3">
      <c r="A3788" s="131" t="s">
        <v>5115</v>
      </c>
      <c r="B3788" s="132">
        <v>3.0000001061125658E-7</v>
      </c>
      <c r="C3788" s="133"/>
    </row>
    <row r="3789" spans="1:3">
      <c r="A3789" s="131" t="s">
        <v>5116</v>
      </c>
      <c r="B3789" s="132">
        <v>4.0805470096462625E-5</v>
      </c>
      <c r="C3789" s="133"/>
    </row>
    <row r="3790" spans="1:3">
      <c r="A3790" s="131" t="s">
        <v>5117</v>
      </c>
      <c r="B3790" s="132">
        <v>3.701462471032149E-3</v>
      </c>
      <c r="C3790" s="133"/>
    </row>
    <row r="3791" spans="1:3">
      <c r="A3791" s="131" t="s">
        <v>5118</v>
      </c>
      <c r="B3791" s="132">
        <v>7.3870000960596371E-6</v>
      </c>
      <c r="C3791" s="133"/>
    </row>
    <row r="3792" spans="1:3">
      <c r="A3792" s="131" t="s">
        <v>5119</v>
      </c>
      <c r="B3792" s="132">
        <v>9.2105001385789365E-5</v>
      </c>
      <c r="C3792" s="133"/>
    </row>
    <row r="3793" spans="1:3">
      <c r="A3793" s="131" t="s">
        <v>5120</v>
      </c>
      <c r="B3793" s="132">
        <v>5.6706292229486255E-2</v>
      </c>
      <c r="C3793" s="133"/>
    </row>
    <row r="3794" spans="1:3">
      <c r="A3794" s="131" t="s">
        <v>5121</v>
      </c>
      <c r="B3794" s="132">
        <v>1.9615999917732552E-5</v>
      </c>
      <c r="C3794" s="133"/>
    </row>
    <row r="3795" spans="1:3">
      <c r="A3795" s="131" t="s">
        <v>5122</v>
      </c>
      <c r="B3795" s="132">
        <v>1.6586464896803281E-3</v>
      </c>
      <c r="C3795" s="133"/>
    </row>
    <row r="3796" spans="1:3">
      <c r="A3796" s="131" t="s">
        <v>5123</v>
      </c>
      <c r="B3796" s="132">
        <v>6.6964563753204604E-3</v>
      </c>
      <c r="C3796" s="133"/>
    </row>
    <row r="3797" spans="1:3">
      <c r="A3797" s="131" t="s">
        <v>5124</v>
      </c>
      <c r="B3797" s="132">
        <v>4.0805470096462625E-5</v>
      </c>
      <c r="C3797" s="133"/>
    </row>
    <row r="3798" spans="1:3">
      <c r="A3798" s="131" t="s">
        <v>5125</v>
      </c>
      <c r="B3798" s="132">
        <v>2.9088612982067501E-3</v>
      </c>
      <c r="C3798" s="133"/>
    </row>
    <row r="3799" spans="1:3">
      <c r="A3799" s="131" t="s">
        <v>5126</v>
      </c>
      <c r="B3799" s="132">
        <v>1.7075502468421851E-3</v>
      </c>
      <c r="C3799" s="133"/>
    </row>
    <row r="3800" spans="1:3">
      <c r="A3800" s="131" t="s">
        <v>5127</v>
      </c>
      <c r="B3800" s="132">
        <v>1.12749999971129E-4</v>
      </c>
      <c r="C3800" s="133"/>
    </row>
    <row r="3801" spans="1:3">
      <c r="A3801" s="131" t="s">
        <v>5128</v>
      </c>
      <c r="B3801" s="132">
        <v>1.0993611313136812E-3</v>
      </c>
      <c r="C3801" s="133"/>
    </row>
    <row r="3802" spans="1:3">
      <c r="A3802" s="131" t="s">
        <v>5129</v>
      </c>
      <c r="B3802" s="132">
        <v>1.4956999999999999E-4</v>
      </c>
      <c r="C3802" s="133"/>
    </row>
    <row r="3803" spans="1:3">
      <c r="A3803" s="131" t="s">
        <v>5130</v>
      </c>
      <c r="B3803" s="132">
        <v>1.2994373122591238E-4</v>
      </c>
      <c r="C3803" s="133"/>
    </row>
    <row r="3804" spans="1:3">
      <c r="A3804" s="131" t="s">
        <v>5131</v>
      </c>
      <c r="B3804" s="132">
        <v>2.3264500487130135E-4</v>
      </c>
      <c r="C3804" s="133"/>
    </row>
    <row r="3805" spans="1:3">
      <c r="A3805" s="131" t="s">
        <v>5132</v>
      </c>
      <c r="B3805" s="132">
        <v>6.1771828903127858E-4</v>
      </c>
      <c r="C3805" s="133"/>
    </row>
    <row r="3806" spans="1:3">
      <c r="A3806" s="131" t="s">
        <v>5133</v>
      </c>
      <c r="B3806" s="132">
        <v>2.9320597918741013E-3</v>
      </c>
      <c r="C3806" s="133"/>
    </row>
    <row r="3807" spans="1:3">
      <c r="A3807" s="131" t="s">
        <v>5134</v>
      </c>
      <c r="B3807" s="132">
        <v>3.1363966964607362E-5</v>
      </c>
      <c r="C3807" s="133"/>
    </row>
    <row r="3808" spans="1:3">
      <c r="A3808" s="131" t="s">
        <v>5135</v>
      </c>
      <c r="B3808" s="132">
        <v>2.7295999461784959E-4</v>
      </c>
      <c r="C3808" s="133"/>
    </row>
    <row r="3809" spans="1:3">
      <c r="A3809" s="131" t="s">
        <v>5136</v>
      </c>
      <c r="B3809" s="132">
        <v>6.630446161790168E-3</v>
      </c>
      <c r="C3809" s="133"/>
    </row>
    <row r="3810" spans="1:3">
      <c r="A3810" s="131" t="s">
        <v>5137</v>
      </c>
      <c r="B3810" s="132">
        <v>2.2107018566376326E-3</v>
      </c>
      <c r="C3810" s="133"/>
    </row>
    <row r="3811" spans="1:3">
      <c r="A3811" s="131" t="s">
        <v>5138</v>
      </c>
      <c r="B3811" s="132">
        <v>9.5988897373899817E-4</v>
      </c>
      <c r="C3811" s="133"/>
    </row>
    <row r="3812" spans="1:3">
      <c r="A3812" s="131" t="s">
        <v>5139</v>
      </c>
      <c r="B3812" s="132">
        <v>1.2354365780625572E-3</v>
      </c>
      <c r="C3812" s="133"/>
    </row>
    <row r="3813" spans="1:3">
      <c r="A3813" s="131" t="s">
        <v>5140</v>
      </c>
      <c r="B3813" s="132">
        <v>3.7188998248893768E-5</v>
      </c>
      <c r="C3813" s="133"/>
    </row>
    <row r="3814" spans="1:3">
      <c r="A3814" s="131" t="s">
        <v>5141</v>
      </c>
      <c r="B3814" s="132">
        <v>2.670150731676686E-4</v>
      </c>
      <c r="C3814" s="133"/>
    </row>
    <row r="3815" spans="1:3">
      <c r="A3815" s="131" t="s">
        <v>5142</v>
      </c>
      <c r="B3815" s="132">
        <v>1.3431354581298306E-3</v>
      </c>
      <c r="C3815" s="133"/>
    </row>
    <row r="3816" spans="1:3">
      <c r="A3816" s="131" t="s">
        <v>5143</v>
      </c>
      <c r="B3816" s="132">
        <v>4.5285198739547836E-4</v>
      </c>
      <c r="C3816" s="133"/>
    </row>
    <row r="3817" spans="1:3">
      <c r="A3817" s="131" t="s">
        <v>5144</v>
      </c>
      <c r="B3817" s="132">
        <v>6.04900014877785E-6</v>
      </c>
      <c r="C3817" s="133"/>
    </row>
    <row r="3818" spans="1:3">
      <c r="A3818" s="131" t="s">
        <v>5145</v>
      </c>
      <c r="B3818" s="132">
        <v>3.5471999581204727E-5</v>
      </c>
      <c r="C3818" s="133"/>
    </row>
    <row r="3819" spans="1:3">
      <c r="A3819" s="131" t="s">
        <v>5146</v>
      </c>
      <c r="B3819" s="132">
        <v>4.7559299855493009E-4</v>
      </c>
      <c r="C3819" s="133"/>
    </row>
    <row r="3820" spans="1:3">
      <c r="A3820" s="131" t="s">
        <v>5147</v>
      </c>
      <c r="B3820" s="132">
        <v>2.6727940421551466E-3</v>
      </c>
      <c r="C3820" s="133"/>
    </row>
    <row r="3821" spans="1:3">
      <c r="A3821" s="131" t="s">
        <v>5148</v>
      </c>
      <c r="B3821" s="132">
        <v>1.1901200196007267E-4</v>
      </c>
      <c r="C3821" s="133"/>
    </row>
    <row r="3822" spans="1:3">
      <c r="A3822" s="131" t="s">
        <v>5149</v>
      </c>
      <c r="B3822" s="132">
        <v>6.0827391248845252E-4</v>
      </c>
      <c r="C3822" s="133"/>
    </row>
    <row r="3823" spans="1:3">
      <c r="A3823" s="131" t="s">
        <v>5150</v>
      </c>
      <c r="B3823" s="132">
        <v>9.7734703563345533E-5</v>
      </c>
      <c r="C3823" s="133"/>
    </row>
    <row r="3824" spans="1:3">
      <c r="A3824" s="131" t="s">
        <v>5151</v>
      </c>
      <c r="B3824" s="132">
        <v>2.8279799153096974E-4</v>
      </c>
      <c r="C3824" s="133"/>
    </row>
    <row r="3825" spans="1:3">
      <c r="A3825" s="131" t="s">
        <v>5152</v>
      </c>
      <c r="B3825" s="132">
        <v>9.8882834043728246E-3</v>
      </c>
      <c r="C3825" s="133"/>
    </row>
    <row r="3826" spans="1:3">
      <c r="A3826" s="131" t="s">
        <v>5153</v>
      </c>
      <c r="B3826" s="132">
        <v>1.1822800297522917E-4</v>
      </c>
      <c r="C3826" s="133"/>
    </row>
    <row r="3827" spans="1:3">
      <c r="A3827" s="131" t="s">
        <v>5154</v>
      </c>
      <c r="B3827" s="132">
        <v>1.2344012271669564</v>
      </c>
      <c r="C3827" s="133"/>
    </row>
    <row r="3828" spans="1:3">
      <c r="A3828" s="131" t="s">
        <v>5155</v>
      </c>
      <c r="B3828" s="132">
        <v>4.295100923627615E-3</v>
      </c>
      <c r="C3828" s="133"/>
    </row>
    <row r="3829" spans="1:3">
      <c r="A3829" s="131" t="s">
        <v>5156</v>
      </c>
      <c r="B3829" s="132">
        <v>5.2072469193174635E-4</v>
      </c>
      <c r="C3829" s="133"/>
    </row>
    <row r="3830" spans="1:3">
      <c r="A3830" s="131" t="s">
        <v>5157</v>
      </c>
      <c r="B3830" s="132">
        <v>2.2594856187693183E-5</v>
      </c>
      <c r="C3830" s="133"/>
    </row>
    <row r="3831" spans="1:3">
      <c r="A3831" s="131" t="s">
        <v>5158</v>
      </c>
      <c r="B3831" s="132">
        <v>3.8376577310968038E-4</v>
      </c>
      <c r="C3831" s="133"/>
    </row>
    <row r="3832" spans="1:3">
      <c r="A3832" s="131" t="s">
        <v>5159</v>
      </c>
      <c r="B3832" s="132">
        <v>5.4440999520011246E-5</v>
      </c>
      <c r="C3832" s="133"/>
    </row>
    <row r="3833" spans="1:3">
      <c r="A3833" s="131" t="s">
        <v>5160</v>
      </c>
      <c r="B3833" s="132">
        <v>1.0444593709528499E-2</v>
      </c>
      <c r="C3833" s="133"/>
    </row>
    <row r="3834" spans="1:3">
      <c r="A3834" s="131" t="s">
        <v>5161</v>
      </c>
      <c r="B3834" s="132">
        <v>2.0200673333333336E-6</v>
      </c>
      <c r="C3834" s="133"/>
    </row>
    <row r="3835" spans="1:3">
      <c r="A3835" s="131" t="s">
        <v>5162</v>
      </c>
      <c r="B3835" s="132">
        <v>2.3027310910718829E-2</v>
      </c>
      <c r="C3835" s="133"/>
    </row>
    <row r="3836" spans="1:3">
      <c r="A3836" s="131" t="s">
        <v>5163</v>
      </c>
      <c r="B3836" s="132">
        <v>6.1148131024573181E-5</v>
      </c>
      <c r="C3836" s="133"/>
    </row>
    <row r="3837" spans="1:3">
      <c r="A3837" s="131" t="s">
        <v>5164</v>
      </c>
      <c r="B3837" s="132">
        <v>6.0066244030950876E-4</v>
      </c>
      <c r="C3837" s="133"/>
    </row>
    <row r="3838" spans="1:3">
      <c r="A3838" s="131" t="s">
        <v>5165</v>
      </c>
      <c r="B3838" s="132">
        <v>1.74361305349821E-4</v>
      </c>
      <c r="C3838" s="133"/>
    </row>
    <row r="3839" spans="1:3">
      <c r="A3839" s="131" t="s">
        <v>5166</v>
      </c>
      <c r="B3839" s="132">
        <v>4.095640658209241E-2</v>
      </c>
      <c r="C3839" s="133"/>
    </row>
    <row r="3840" spans="1:3">
      <c r="A3840" s="131" t="s">
        <v>5167</v>
      </c>
      <c r="B3840" s="132">
        <v>1.0325000039301813E-4</v>
      </c>
      <c r="C3840" s="133"/>
    </row>
    <row r="3841" spans="1:3">
      <c r="A3841" s="131" t="s">
        <v>5168</v>
      </c>
      <c r="B3841" s="132">
        <v>6.0105430323788619E-3</v>
      </c>
      <c r="C3841" s="133"/>
    </row>
    <row r="3842" spans="1:3">
      <c r="A3842" s="131" t="s">
        <v>5169</v>
      </c>
      <c r="B3842" s="132">
        <v>8.7235491337385363E-6</v>
      </c>
      <c r="C3842" s="133"/>
    </row>
    <row r="3843" spans="1:3">
      <c r="A3843" s="131" t="s">
        <v>5170</v>
      </c>
      <c r="B3843" s="132">
        <v>1.9016751352948246E-3</v>
      </c>
      <c r="C3843" s="133"/>
    </row>
    <row r="3844" spans="1:3">
      <c r="A3844" s="131" t="s">
        <v>5171</v>
      </c>
      <c r="B3844" s="132">
        <v>8.1976999354083091E-5</v>
      </c>
      <c r="C3844" s="133"/>
    </row>
    <row r="3845" spans="1:3">
      <c r="A3845" s="131" t="s">
        <v>5172</v>
      </c>
      <c r="B3845" s="132">
        <v>5.6700208224356174E-3</v>
      </c>
      <c r="C3845" s="133"/>
    </row>
    <row r="3846" spans="1:3">
      <c r="A3846" s="131" t="s">
        <v>5173</v>
      </c>
      <c r="B3846" s="132">
        <v>3.8511123388766856E-4</v>
      </c>
      <c r="C3846" s="133"/>
    </row>
    <row r="3847" spans="1:3">
      <c r="A3847" s="131" t="s">
        <v>5174</v>
      </c>
      <c r="B3847" s="132">
        <v>4.6989000111352652E-5</v>
      </c>
      <c r="C3847" s="133"/>
    </row>
    <row r="3848" spans="1:3">
      <c r="A3848" s="131" t="s">
        <v>5175</v>
      </c>
      <c r="B3848" s="132">
        <v>6.1771828903127858E-4</v>
      </c>
      <c r="C3848" s="133"/>
    </row>
    <row r="3849" spans="1:3">
      <c r="A3849" s="131" t="s">
        <v>5176</v>
      </c>
      <c r="B3849" s="132">
        <v>1.20343996968586E-4</v>
      </c>
      <c r="C3849" s="133"/>
    </row>
    <row r="3850" spans="1:3">
      <c r="A3850" s="131" t="s">
        <v>5177</v>
      </c>
      <c r="B3850" s="132">
        <v>7.1832997491583228E-5</v>
      </c>
      <c r="C3850" s="133"/>
    </row>
    <row r="3851" spans="1:3">
      <c r="A3851" s="131" t="s">
        <v>5178</v>
      </c>
      <c r="B3851" s="132">
        <v>1.2554401009501494E-4</v>
      </c>
      <c r="C3851" s="133"/>
    </row>
    <row r="3852" spans="1:3">
      <c r="A3852" s="131" t="s">
        <v>5179</v>
      </c>
      <c r="B3852" s="132">
        <v>7.2964567766666672E-4</v>
      </c>
      <c r="C3852" s="133"/>
    </row>
    <row r="3853" spans="1:3">
      <c r="A3853" s="131" t="s">
        <v>5180</v>
      </c>
      <c r="B3853" s="132">
        <v>9.564130149498E-4</v>
      </c>
      <c r="C3853" s="133"/>
    </row>
    <row r="3854" spans="1:3">
      <c r="A3854" s="131" t="s">
        <v>5181</v>
      </c>
      <c r="B3854" s="132">
        <v>2.0296000002417713E-5</v>
      </c>
      <c r="C3854" s="133"/>
    </row>
    <row r="3855" spans="1:3">
      <c r="A3855" s="131" t="s">
        <v>5182</v>
      </c>
      <c r="B3855" s="132">
        <v>1.4174745395137176E-4</v>
      </c>
      <c r="C3855" s="133"/>
    </row>
    <row r="3856" spans="1:3">
      <c r="A3856" s="131" t="s">
        <v>5183</v>
      </c>
      <c r="B3856" s="132">
        <v>9.9784003396052867E-5</v>
      </c>
      <c r="C3856" s="133"/>
    </row>
    <row r="3857" spans="1:3">
      <c r="A3857" s="131" t="s">
        <v>5184</v>
      </c>
      <c r="B3857" s="132">
        <v>7.3674853892101184E-4</v>
      </c>
      <c r="C3857" s="133"/>
    </row>
    <row r="3858" spans="1:3">
      <c r="A3858" s="131" t="s">
        <v>5185</v>
      </c>
      <c r="B3858" s="132">
        <v>1.2322050692921999E-3</v>
      </c>
      <c r="C3858" s="133"/>
    </row>
    <row r="3859" spans="1:3">
      <c r="A3859" s="131" t="s">
        <v>5186</v>
      </c>
      <c r="B3859" s="132">
        <v>8.1229998613707721E-5</v>
      </c>
      <c r="C3859" s="133"/>
    </row>
    <row r="3860" spans="1:3">
      <c r="A3860" s="131" t="s">
        <v>5187</v>
      </c>
      <c r="B3860" s="132">
        <v>7.0795002102386206E-5</v>
      </c>
      <c r="C3860" s="133"/>
    </row>
    <row r="3861" spans="1:3">
      <c r="A3861" s="131" t="s">
        <v>5188</v>
      </c>
      <c r="B3861" s="132">
        <v>1.7461914911712886E-5</v>
      </c>
      <c r="C3861" s="133"/>
    </row>
    <row r="3862" spans="1:3">
      <c r="A3862" s="131" t="s">
        <v>5189</v>
      </c>
      <c r="B3862" s="132">
        <v>1.1305000043648761E-5</v>
      </c>
      <c r="C3862" s="133"/>
    </row>
    <row r="3863" spans="1:3">
      <c r="A3863" s="131" t="s">
        <v>5190</v>
      </c>
      <c r="B3863" s="132">
        <v>4.4640363150299165E-5</v>
      </c>
      <c r="C3863" s="133"/>
    </row>
    <row r="3864" spans="1:3">
      <c r="A3864" s="131" t="s">
        <v>5191</v>
      </c>
      <c r="B3864" s="132">
        <v>3.736196631388521E-4</v>
      </c>
      <c r="C3864" s="133"/>
    </row>
    <row r="3865" spans="1:3">
      <c r="A3865" s="131" t="s">
        <v>5192</v>
      </c>
      <c r="B3865" s="132">
        <v>4.6838998969178647E-5</v>
      </c>
      <c r="C3865" s="133"/>
    </row>
    <row r="3866" spans="1:3">
      <c r="A3866" s="131" t="s">
        <v>5193</v>
      </c>
      <c r="B3866" s="132">
        <v>1.6826240190717957E-4</v>
      </c>
      <c r="C3866" s="133"/>
    </row>
    <row r="3867" spans="1:3">
      <c r="A3867" s="131" t="s">
        <v>5194</v>
      </c>
      <c r="B3867" s="132">
        <v>17.37</v>
      </c>
      <c r="C3867" s="133"/>
    </row>
    <row r="3868" spans="1:3">
      <c r="A3868" s="131" t="s">
        <v>5195</v>
      </c>
      <c r="B3868" s="132">
        <v>6.050000251889287E-7</v>
      </c>
      <c r="C3868" s="133"/>
    </row>
    <row r="3869" spans="1:3">
      <c r="A3869" s="131" t="s">
        <v>5196</v>
      </c>
      <c r="B3869" s="132">
        <v>4.6838847778019154E-5</v>
      </c>
      <c r="C3869" s="133"/>
    </row>
    <row r="3870" spans="1:3">
      <c r="A3870" s="131" t="s">
        <v>5197</v>
      </c>
      <c r="B3870" s="132">
        <v>2.4190001113311155E-6</v>
      </c>
      <c r="C3870" s="133"/>
    </row>
    <row r="3871" spans="1:3">
      <c r="A3871" s="131" t="s">
        <v>5198</v>
      </c>
      <c r="B3871" s="132">
        <v>1.0662126401503604E-3</v>
      </c>
      <c r="C3871" s="133"/>
    </row>
    <row r="3872" spans="1:3">
      <c r="A3872" s="131" t="s">
        <v>5199</v>
      </c>
      <c r="B3872" s="132">
        <v>1.2338208236773785E-3</v>
      </c>
      <c r="C3872" s="133"/>
    </row>
    <row r="3873" spans="1:3">
      <c r="A3873" s="131" t="s">
        <v>5200</v>
      </c>
      <c r="B3873" s="132">
        <v>3.7014624710321852E-5</v>
      </c>
      <c r="C3873" s="133"/>
    </row>
    <row r="3874" spans="1:3">
      <c r="A3874" s="131" t="s">
        <v>5201</v>
      </c>
      <c r="B3874" s="132">
        <v>2.7418310910499468E-3</v>
      </c>
      <c r="C3874" s="133"/>
    </row>
    <row r="3875" spans="1:3">
      <c r="A3875" s="131" t="s">
        <v>5202</v>
      </c>
      <c r="B3875" s="132">
        <v>0.55006250031596737</v>
      </c>
      <c r="C3875" s="133"/>
    </row>
    <row r="3876" spans="1:3">
      <c r="A3876" s="131" t="s">
        <v>5203</v>
      </c>
      <c r="B3876" s="132">
        <v>1.3654999747814145E-5</v>
      </c>
      <c r="C3876" s="133"/>
    </row>
    <row r="3877" spans="1:3">
      <c r="A3877" s="131" t="s">
        <v>5204</v>
      </c>
      <c r="B3877" s="132">
        <v>5.2746298024430871E-4</v>
      </c>
      <c r="C3877" s="133"/>
    </row>
    <row r="3878" spans="1:3">
      <c r="A3878" s="131" t="s">
        <v>5205</v>
      </c>
      <c r="B3878" s="132">
        <v>3.3651859964704231E-5</v>
      </c>
      <c r="C3878" s="133"/>
    </row>
    <row r="3879" spans="1:3">
      <c r="A3879" s="131" t="s">
        <v>5206</v>
      </c>
      <c r="B3879" s="132">
        <v>3.712173784435125E-4</v>
      </c>
      <c r="C3879" s="133"/>
    </row>
    <row r="3880" spans="1:3">
      <c r="A3880" s="131" t="s">
        <v>5207</v>
      </c>
      <c r="B3880" s="132">
        <v>0.35763768076447466</v>
      </c>
      <c r="C3880" s="133"/>
    </row>
    <row r="3881" spans="1:3">
      <c r="A3881" s="131" t="s">
        <v>5208</v>
      </c>
      <c r="B3881" s="132">
        <v>2.2620302807500763E-3</v>
      </c>
      <c r="C3881" s="133"/>
    </row>
    <row r="3882" spans="1:3">
      <c r="A3882" s="131" t="s">
        <v>5209</v>
      </c>
      <c r="B3882" s="132">
        <v>9.0371999249327928E-5</v>
      </c>
      <c r="C3882" s="133"/>
    </row>
    <row r="3883" spans="1:3">
      <c r="A3883" s="131" t="s">
        <v>5210</v>
      </c>
      <c r="B3883" s="132">
        <v>5.6448299927244925E-3</v>
      </c>
      <c r="C3883" s="133"/>
    </row>
    <row r="3884" spans="1:3">
      <c r="A3884" s="131" t="s">
        <v>5211</v>
      </c>
      <c r="B3884" s="132">
        <v>5.9376735212152978E-4</v>
      </c>
      <c r="C3884" s="133"/>
    </row>
    <row r="3885" spans="1:3">
      <c r="A3885" s="131" t="s">
        <v>5212</v>
      </c>
      <c r="B3885" s="132">
        <v>8.7562646080684039E-4</v>
      </c>
      <c r="C3885" s="133"/>
    </row>
    <row r="3886" spans="1:3">
      <c r="A3886" s="131" t="s">
        <v>5213</v>
      </c>
      <c r="B3886" s="132">
        <v>4.4100001105107367E-5</v>
      </c>
      <c r="C3886" s="133"/>
    </row>
    <row r="3887" spans="1:3">
      <c r="A3887" s="131" t="s">
        <v>5214</v>
      </c>
      <c r="B3887" s="132">
        <v>8.7471841496200645E-2</v>
      </c>
      <c r="C3887" s="133"/>
    </row>
    <row r="3888" spans="1:3">
      <c r="A3888" s="131" t="s">
        <v>5215</v>
      </c>
      <c r="B3888" s="132">
        <v>6.177182890312786E-5</v>
      </c>
      <c r="C3888" s="133"/>
    </row>
    <row r="3889" spans="1:3">
      <c r="A3889" s="131" t="s">
        <v>5216</v>
      </c>
      <c r="B3889" s="132">
        <v>6.1472524114274943E-4</v>
      </c>
      <c r="C3889" s="133"/>
    </row>
    <row r="3890" spans="1:3">
      <c r="A3890" s="131" t="s">
        <v>5217</v>
      </c>
      <c r="B3890" s="132">
        <v>6.9241500543430445E-5</v>
      </c>
      <c r="C3890" s="133"/>
    </row>
    <row r="3891" spans="1:3">
      <c r="A3891" s="131" t="s">
        <v>5218</v>
      </c>
      <c r="B3891" s="132">
        <v>1.5E-5</v>
      </c>
      <c r="C3891" s="133"/>
    </row>
    <row r="3892" spans="1:3">
      <c r="A3892" s="131" t="s">
        <v>5219</v>
      </c>
      <c r="B3892" s="132">
        <v>1.6674200014676899E-4</v>
      </c>
      <c r="C3892" s="133"/>
    </row>
    <row r="3893" spans="1:3">
      <c r="A3893" s="131" t="s">
        <v>5220</v>
      </c>
      <c r="B3893" s="132">
        <v>2.8564498643390834E-4</v>
      </c>
      <c r="C3893" s="133"/>
    </row>
    <row r="3894" spans="1:3">
      <c r="A3894" s="131" t="s">
        <v>5221</v>
      </c>
      <c r="B3894" s="132">
        <v>1.976062123238622E-2</v>
      </c>
      <c r="C3894" s="133"/>
    </row>
    <row r="3895" spans="1:3">
      <c r="A3895" s="131" t="s">
        <v>5222</v>
      </c>
      <c r="B3895" s="132">
        <v>3.2303659245371819E-3</v>
      </c>
      <c r="C3895" s="133"/>
    </row>
    <row r="3896" spans="1:3">
      <c r="A3896" s="131" t="s">
        <v>5223</v>
      </c>
      <c r="B3896" s="132">
        <v>1.050556608602876E-6</v>
      </c>
      <c r="C3896" s="133"/>
    </row>
    <row r="3897" spans="1:3">
      <c r="A3897" s="131" t="s">
        <v>5224</v>
      </c>
      <c r="B3897" s="132">
        <v>4.1891398723237216E-4</v>
      </c>
      <c r="C3897" s="133"/>
    </row>
    <row r="3898" spans="1:3">
      <c r="A3898" s="131" t="s">
        <v>5225</v>
      </c>
      <c r="B3898" s="132">
        <v>1.3432107417863222E-4</v>
      </c>
      <c r="C3898" s="133"/>
    </row>
    <row r="3899" spans="1:3">
      <c r="A3899" s="131" t="s">
        <v>5226</v>
      </c>
      <c r="B3899" s="132">
        <v>2.8000000384054147E-5</v>
      </c>
      <c r="C3899" s="133"/>
    </row>
    <row r="3900" spans="1:3">
      <c r="A3900" s="131" t="s">
        <v>5227</v>
      </c>
      <c r="B3900" s="132">
        <v>8.2705999375320971E-5</v>
      </c>
      <c r="C3900" s="133"/>
    </row>
    <row r="3901" spans="1:3">
      <c r="A3901" s="131" t="s">
        <v>5228</v>
      </c>
      <c r="B3901" s="132">
        <v>4.7180750455209259E-5</v>
      </c>
      <c r="C3901" s="133"/>
    </row>
    <row r="3902" spans="1:3">
      <c r="A3902" s="131" t="s">
        <v>5229</v>
      </c>
      <c r="B3902" s="132">
        <v>1.0105596282681166E-6</v>
      </c>
      <c r="C3902" s="133"/>
    </row>
    <row r="3903" spans="1:3">
      <c r="A3903" s="131" t="s">
        <v>5230</v>
      </c>
      <c r="B3903" s="132">
        <v>3.0346101266331971E-4</v>
      </c>
      <c r="C3903" s="133"/>
    </row>
    <row r="3904" spans="1:3">
      <c r="A3904" s="131" t="s">
        <v>5231</v>
      </c>
      <c r="B3904" s="132">
        <v>2.4676416473548069E-4</v>
      </c>
      <c r="C3904" s="133"/>
    </row>
    <row r="3905" spans="1:3">
      <c r="A3905" s="131" t="s">
        <v>5232</v>
      </c>
      <c r="B3905" s="132">
        <v>5.5594646012815628E-3</v>
      </c>
      <c r="C3905" s="133"/>
    </row>
    <row r="3906" spans="1:3">
      <c r="A3906" s="131" t="s">
        <v>5233</v>
      </c>
      <c r="B3906" s="132">
        <v>2.0684900000000001E-3</v>
      </c>
      <c r="C3906" s="133"/>
    </row>
    <row r="3907" spans="1:3">
      <c r="A3907" s="131" t="s">
        <v>5234</v>
      </c>
      <c r="B3907" s="132">
        <v>1.6776060730399958E-4</v>
      </c>
      <c r="C3907" s="133"/>
    </row>
    <row r="3908" spans="1:3">
      <c r="A3908" s="131" t="s">
        <v>5235</v>
      </c>
      <c r="B3908" s="132">
        <v>6.118889344857454E-4</v>
      </c>
      <c r="C3908" s="133"/>
    </row>
    <row r="3909" spans="1:3">
      <c r="A3909" s="131" t="s">
        <v>5236</v>
      </c>
      <c r="B3909" s="132">
        <v>8.1700536118075315E-5</v>
      </c>
      <c r="C3909" s="133"/>
    </row>
    <row r="3910" spans="1:3">
      <c r="A3910" s="131" t="s">
        <v>5237</v>
      </c>
      <c r="B3910" s="132">
        <v>7.8712203442463328E-3</v>
      </c>
      <c r="C3910" s="133"/>
    </row>
    <row r="3911" spans="1:3">
      <c r="A3911" s="131" t="s">
        <v>5238</v>
      </c>
      <c r="B3911" s="132">
        <v>7.6378095100321916E-3</v>
      </c>
      <c r="C3911" s="133"/>
    </row>
    <row r="3912" spans="1:3">
      <c r="A3912" s="131" t="s">
        <v>5239</v>
      </c>
      <c r="B3912" s="132">
        <v>2.2576410823017077E-4</v>
      </c>
      <c r="C3912" s="133"/>
    </row>
    <row r="3913" spans="1:3">
      <c r="A3913" s="131" t="s">
        <v>5240</v>
      </c>
      <c r="B3913" s="132">
        <v>4.1904323534164124E-5</v>
      </c>
      <c r="C3913" s="133"/>
    </row>
    <row r="3914" spans="1:3">
      <c r="A3914" s="131" t="s">
        <v>5241</v>
      </c>
      <c r="B3914" s="132">
        <v>5.6799999583745375E-5</v>
      </c>
      <c r="C3914" s="133"/>
    </row>
    <row r="3915" spans="1:3">
      <c r="A3915" s="131" t="s">
        <v>5242</v>
      </c>
      <c r="B3915" s="132">
        <v>2.687068705358981E-4</v>
      </c>
      <c r="C3915" s="133"/>
    </row>
    <row r="3916" spans="1:3">
      <c r="A3916" s="131" t="s">
        <v>5243</v>
      </c>
      <c r="B3916" s="132">
        <v>6.1771828903127858E-4</v>
      </c>
      <c r="C3916" s="133"/>
    </row>
    <row r="3917" spans="1:3">
      <c r="A3917" s="131" t="s">
        <v>5244</v>
      </c>
      <c r="B3917" s="132">
        <v>1.9831325472869114E-3</v>
      </c>
      <c r="C3917" s="133"/>
    </row>
    <row r="3918" spans="1:3">
      <c r="A3918" s="131" t="s">
        <v>5245</v>
      </c>
      <c r="B3918" s="132">
        <v>9.1583002358675003E-5</v>
      </c>
      <c r="C3918" s="133"/>
    </row>
    <row r="3919" spans="1:3">
      <c r="A3919" s="131" t="s">
        <v>5246</v>
      </c>
      <c r="B3919" s="132">
        <v>4.6925453434299873E-4</v>
      </c>
      <c r="C3919" s="133"/>
    </row>
    <row r="3920" spans="1:3">
      <c r="A3920" s="131" t="s">
        <v>5247</v>
      </c>
      <c r="B3920" s="132">
        <v>4.2688722614766443E-4</v>
      </c>
      <c r="C3920" s="133"/>
    </row>
    <row r="3921" spans="1:3">
      <c r="A3921" s="131" t="s">
        <v>5248</v>
      </c>
      <c r="B3921" s="132">
        <v>8.7651998910587281E-5</v>
      </c>
      <c r="C3921" s="133"/>
    </row>
    <row r="3922" spans="1:3">
      <c r="A3922" s="131" t="s">
        <v>5249</v>
      </c>
      <c r="B3922" s="132">
        <v>1.9988779357483019E-7</v>
      </c>
      <c r="C3922" s="133"/>
    </row>
    <row r="3923" spans="1:3">
      <c r="A3923" s="131" t="s">
        <v>5250</v>
      </c>
      <c r="B3923" s="132">
        <v>8.019835353903107E-2</v>
      </c>
      <c r="C3923" s="133"/>
    </row>
    <row r="3924" spans="1:3">
      <c r="A3924" s="131" t="s">
        <v>5251</v>
      </c>
      <c r="B3924" s="132">
        <v>6.6941000113729388E-5</v>
      </c>
      <c r="C3924" s="133"/>
    </row>
    <row r="3925" spans="1:3">
      <c r="A3925" s="131" t="s">
        <v>5252</v>
      </c>
      <c r="B3925" s="132">
        <v>3.2689082857676426E-4</v>
      </c>
      <c r="C3925" s="133"/>
    </row>
    <row r="3926" spans="1:3">
      <c r="A3926" s="131" t="s">
        <v>5253</v>
      </c>
      <c r="B3926" s="132">
        <v>2.0232000679243356E-5</v>
      </c>
      <c r="C3926" s="133"/>
    </row>
    <row r="3927" spans="1:3">
      <c r="A3927" s="131" t="s">
        <v>5254</v>
      </c>
      <c r="B3927" s="132">
        <v>9.2595000751316547E-5</v>
      </c>
      <c r="C3927" s="133"/>
    </row>
    <row r="3928" spans="1:3">
      <c r="A3928" s="131" t="s">
        <v>5255</v>
      </c>
      <c r="B3928" s="132">
        <v>1.9933999283239245E-5</v>
      </c>
      <c r="C3928" s="133"/>
    </row>
    <row r="3929" spans="1:3">
      <c r="A3929" s="131" t="s">
        <v>5256</v>
      </c>
      <c r="B3929" s="132">
        <v>9.2602000222541392E-5</v>
      </c>
      <c r="C3929" s="133"/>
    </row>
    <row r="3930" spans="1:3">
      <c r="A3930" s="131" t="s">
        <v>5257</v>
      </c>
      <c r="B3930" s="132">
        <v>5.2623819481117046E-3</v>
      </c>
      <c r="C3930" s="133"/>
    </row>
    <row r="3931" spans="1:3">
      <c r="A3931" s="131" t="s">
        <v>5258</v>
      </c>
      <c r="B3931" s="132">
        <v>4.8421899555251002E-4</v>
      </c>
      <c r="C3931" s="133"/>
    </row>
    <row r="3932" spans="1:3">
      <c r="A3932" s="131" t="s">
        <v>5259</v>
      </c>
      <c r="B3932" s="132">
        <v>1.4282199845183641E-4</v>
      </c>
      <c r="C3932" s="133"/>
    </row>
    <row r="3933" spans="1:3">
      <c r="A3933" s="131" t="s">
        <v>5260</v>
      </c>
      <c r="B3933" s="132">
        <v>1.3631499314215034E-4</v>
      </c>
      <c r="C3933" s="133"/>
    </row>
    <row r="3934" spans="1:3">
      <c r="A3934" s="131" t="s">
        <v>5261</v>
      </c>
      <c r="B3934" s="132">
        <v>3.9820399251766503E-4</v>
      </c>
      <c r="C3934" s="133"/>
    </row>
    <row r="3935" spans="1:3">
      <c r="A3935" s="131" t="s">
        <v>5262</v>
      </c>
      <c r="B3935" s="132">
        <v>2.6120203309370136</v>
      </c>
      <c r="C3935" s="133"/>
    </row>
    <row r="3936" spans="1:3">
      <c r="A3936" s="131" t="s">
        <v>5263</v>
      </c>
      <c r="B3936" s="132">
        <v>2.4390500038862228E-4</v>
      </c>
      <c r="C3936" s="133"/>
    </row>
    <row r="3937" spans="1:3">
      <c r="A3937" s="131" t="s">
        <v>5264</v>
      </c>
      <c r="B3937" s="132">
        <v>3.5969990378240807E-4</v>
      </c>
      <c r="C3937" s="133"/>
    </row>
    <row r="3938" spans="1:3">
      <c r="A3938" s="131" t="s">
        <v>5265</v>
      </c>
      <c r="B3938" s="132">
        <v>6.1771828903127858E-4</v>
      </c>
      <c r="C3938" s="133"/>
    </row>
    <row r="3939" spans="1:3">
      <c r="A3939" s="131" t="s">
        <v>5266</v>
      </c>
      <c r="B3939" s="132">
        <v>2.9801600612699986E-4</v>
      </c>
      <c r="C3939" s="133"/>
    </row>
    <row r="3940" spans="1:3">
      <c r="A3940" s="131" t="s">
        <v>5267</v>
      </c>
      <c r="B3940" s="132">
        <v>3.1613167820513635E-4</v>
      </c>
      <c r="C3940" s="133"/>
    </row>
    <row r="3941" spans="1:3">
      <c r="A3941" s="131" t="s">
        <v>5268</v>
      </c>
      <c r="B3941" s="132">
        <v>3.6533400000000001E-3</v>
      </c>
      <c r="C3941" s="133"/>
    </row>
    <row r="3942" spans="1:3">
      <c r="A3942" s="131" t="s">
        <v>5269</v>
      </c>
      <c r="B3942" s="132">
        <v>6.6899997364089359E-7</v>
      </c>
      <c r="C3942" s="133"/>
    </row>
    <row r="3943" spans="1:3">
      <c r="A3943" s="131" t="s">
        <v>5270</v>
      </c>
      <c r="B3943" s="132">
        <v>1.6593890031799674E-3</v>
      </c>
      <c r="C3943" s="133"/>
    </row>
    <row r="3944" spans="1:3">
      <c r="A3944" s="131" t="s">
        <v>5271</v>
      </c>
      <c r="B3944" s="132">
        <v>2.2832999093225226E-5</v>
      </c>
      <c r="C3944" s="133"/>
    </row>
    <row r="3945" spans="1:3">
      <c r="A3945" s="131" t="s">
        <v>5272</v>
      </c>
      <c r="B3945" s="132">
        <v>2.2210858805903105E-2</v>
      </c>
      <c r="C3945" s="133"/>
    </row>
    <row r="3946" spans="1:3">
      <c r="A3946" s="131" t="s">
        <v>5273</v>
      </c>
      <c r="B3946" s="132">
        <v>5.614753668610945E-5</v>
      </c>
      <c r="C3946" s="133"/>
    </row>
    <row r="3947" spans="1:3">
      <c r="A3947" s="131" t="s">
        <v>5274</v>
      </c>
      <c r="B3947" s="132">
        <v>0.59660878481595847</v>
      </c>
      <c r="C3947" s="133"/>
    </row>
    <row r="3948" spans="1:3">
      <c r="A3948" s="131" t="s">
        <v>5275</v>
      </c>
      <c r="B3948" s="132">
        <v>2.2350999643094838E-5</v>
      </c>
      <c r="C3948" s="133"/>
    </row>
    <row r="3949" spans="1:3">
      <c r="A3949" s="131" t="s">
        <v>5276</v>
      </c>
      <c r="B3949" s="132">
        <v>5.5353349701820924E-6</v>
      </c>
      <c r="C3949" s="133"/>
    </row>
    <row r="3950" spans="1:3">
      <c r="A3950" s="131" t="s">
        <v>5277</v>
      </c>
      <c r="B3950" s="132">
        <v>1.9778100249823183E-4</v>
      </c>
      <c r="C3950" s="133"/>
    </row>
    <row r="3951" spans="1:3">
      <c r="A3951" s="131" t="s">
        <v>5278</v>
      </c>
      <c r="B3951" s="132">
        <v>61782</v>
      </c>
      <c r="C3951" s="133"/>
    </row>
    <row r="3952" spans="1:3">
      <c r="A3952" s="131" t="s">
        <v>5279</v>
      </c>
      <c r="B3952" s="132">
        <v>6.3848199253625578E-5</v>
      </c>
      <c r="C3952" s="133"/>
    </row>
    <row r="3953" spans="1:3">
      <c r="A3953" s="131" t="s">
        <v>5280</v>
      </c>
      <c r="B3953" s="132">
        <v>1.8531548670938354E-3</v>
      </c>
      <c r="C3953" s="133"/>
    </row>
    <row r="3954" spans="1:3">
      <c r="A3954" s="131" t="s">
        <v>5281</v>
      </c>
      <c r="B3954" s="132">
        <v>9.9999999747524271E-7</v>
      </c>
      <c r="C3954" s="133"/>
    </row>
    <row r="3955" spans="1:3">
      <c r="A3955" s="131" t="s">
        <v>5282</v>
      </c>
      <c r="B3955" s="132">
        <v>1.7527700401842594E-4</v>
      </c>
      <c r="C3955" s="133"/>
    </row>
    <row r="3956" spans="1:3">
      <c r="A3956" s="131" t="s">
        <v>5283</v>
      </c>
      <c r="B3956" s="132">
        <v>2.7914508818021231E-6</v>
      </c>
      <c r="C3956" s="133"/>
    </row>
    <row r="3957" spans="1:3">
      <c r="A3957" s="131" t="s">
        <v>5284</v>
      </c>
      <c r="B3957" s="132">
        <v>2.5355999241583049E-5</v>
      </c>
      <c r="C3957" s="133"/>
    </row>
    <row r="3958" spans="1:3">
      <c r="A3958" s="131" t="s">
        <v>5285</v>
      </c>
      <c r="B3958" s="132">
        <v>7.5974996434524655E-5</v>
      </c>
      <c r="C3958" s="133"/>
    </row>
    <row r="3959" spans="1:3">
      <c r="A3959" s="131" t="s">
        <v>5286</v>
      </c>
      <c r="B3959" s="132">
        <v>4.0100400422492024E-5</v>
      </c>
      <c r="C3959" s="133"/>
    </row>
    <row r="3960" spans="1:3">
      <c r="A3960" s="131" t="s">
        <v>5287</v>
      </c>
      <c r="B3960" s="132">
        <v>8.1703537450591166E-5</v>
      </c>
      <c r="C3960" s="133"/>
    </row>
    <row r="3961" spans="1:3">
      <c r="A3961" s="131" t="s">
        <v>5288</v>
      </c>
      <c r="B3961" s="132">
        <v>9.1062996943946928E-5</v>
      </c>
      <c r="C3961" s="133"/>
    </row>
    <row r="3962" spans="1:3">
      <c r="A3962" s="131" t="s">
        <v>5289</v>
      </c>
      <c r="B3962" s="132">
        <v>8.2366001151967794E-5</v>
      </c>
      <c r="C3962" s="133"/>
    </row>
    <row r="3963" spans="1:3">
      <c r="A3963" s="131" t="s">
        <v>5290</v>
      </c>
      <c r="B3963" s="132">
        <v>7.1410999225918204E-5</v>
      </c>
      <c r="C3963" s="133"/>
    </row>
    <row r="3964" spans="1:3">
      <c r="A3964" s="131" t="s">
        <v>5291</v>
      </c>
      <c r="B3964" s="132">
        <v>8.3559998529381119E-6</v>
      </c>
      <c r="C3964" s="133"/>
    </row>
    <row r="3965" spans="1:3">
      <c r="A3965" s="131" t="s">
        <v>5292</v>
      </c>
      <c r="B3965" s="132">
        <v>1.1041000107070431E-5</v>
      </c>
      <c r="C3965" s="133"/>
    </row>
    <row r="3966" spans="1:3">
      <c r="A3966" s="131" t="s">
        <v>5293</v>
      </c>
      <c r="B3966" s="132">
        <v>5.4000000091036782E-5</v>
      </c>
      <c r="C3966" s="133"/>
    </row>
    <row r="3967" spans="1:3">
      <c r="A3967" s="131" t="s">
        <v>5294</v>
      </c>
      <c r="B3967" s="132">
        <v>1.2354365780625572E-3</v>
      </c>
      <c r="C3967" s="133"/>
    </row>
    <row r="3968" spans="1:3">
      <c r="A3968" s="131" t="s">
        <v>5295</v>
      </c>
      <c r="B3968" s="132">
        <v>6.7449997004587203E-5</v>
      </c>
      <c r="C3968" s="133"/>
    </row>
    <row r="3969" spans="1:3">
      <c r="A3969" s="131" t="s">
        <v>5296</v>
      </c>
      <c r="B3969" s="132">
        <v>6.6713575215378088E-2</v>
      </c>
      <c r="C3969" s="133"/>
    </row>
    <row r="3970" spans="1:3">
      <c r="A3970" s="131" t="s">
        <v>5297</v>
      </c>
      <c r="B3970" s="132">
        <v>4.9430000217398629E-6</v>
      </c>
      <c r="C3970" s="133"/>
    </row>
    <row r="3971" spans="1:3">
      <c r="A3971" s="131" t="s">
        <v>5298</v>
      </c>
      <c r="B3971" s="132">
        <v>1.0071499855257571E-4</v>
      </c>
      <c r="C3971" s="133"/>
    </row>
    <row r="3972" spans="1:3">
      <c r="A3972" s="131" t="s">
        <v>5299</v>
      </c>
      <c r="B3972" s="132">
        <v>3.4339998819632456E-5</v>
      </c>
      <c r="C3972" s="133"/>
    </row>
    <row r="3973" spans="1:3">
      <c r="A3973" s="131" t="s">
        <v>5300</v>
      </c>
      <c r="B3973" s="132">
        <v>2.1096600685268641E-3</v>
      </c>
      <c r="C3973" s="133"/>
    </row>
    <row r="3974" spans="1:3">
      <c r="A3974" s="131" t="s">
        <v>5301</v>
      </c>
      <c r="B3974" s="132">
        <v>6.4976799333333325E-5</v>
      </c>
      <c r="C3974" s="133"/>
    </row>
    <row r="3975" spans="1:3">
      <c r="A3975" s="131" t="s">
        <v>5302</v>
      </c>
      <c r="B3975" s="132">
        <v>7.2041002567857504E-5</v>
      </c>
      <c r="C3975" s="133"/>
    </row>
    <row r="3976" spans="1:3">
      <c r="A3976" s="131" t="s">
        <v>5303</v>
      </c>
      <c r="B3976" s="132">
        <v>3.8534223990322323E-5</v>
      </c>
      <c r="C3976" s="133"/>
    </row>
    <row r="3977" spans="1:3">
      <c r="A3977" s="131" t="s">
        <v>5304</v>
      </c>
      <c r="B3977" s="132">
        <v>8.0731351070302982E-4</v>
      </c>
      <c r="C3977" s="133"/>
    </row>
    <row r="3978" spans="1:3">
      <c r="A3978" s="131" t="s">
        <v>5305</v>
      </c>
      <c r="B3978" s="132">
        <v>8.2136695279699999E-5</v>
      </c>
      <c r="C3978" s="133"/>
    </row>
    <row r="3979" spans="1:3">
      <c r="A3979" s="131" t="s">
        <v>5306</v>
      </c>
      <c r="B3979" s="132">
        <v>4.816826922864085E-5</v>
      </c>
      <c r="C3979" s="133"/>
    </row>
    <row r="3980" spans="1:3">
      <c r="A3980" s="131" t="s">
        <v>5307</v>
      </c>
      <c r="B3980" s="132">
        <v>3.0885914451563924E-7</v>
      </c>
      <c r="C3980" s="133"/>
    </row>
    <row r="3981" spans="1:3">
      <c r="A3981" s="131" t="s">
        <v>5308</v>
      </c>
      <c r="B3981" s="132">
        <v>9.3669996203971095E-6</v>
      </c>
      <c r="C3981" s="133"/>
    </row>
    <row r="3982" spans="1:3">
      <c r="A3982" s="131" t="s">
        <v>5309</v>
      </c>
      <c r="B3982" s="132">
        <v>1.7889999526232714E-6</v>
      </c>
      <c r="C3982" s="133"/>
    </row>
    <row r="3983" spans="1:3">
      <c r="A3983" s="131" t="s">
        <v>5310</v>
      </c>
      <c r="B3983" s="132">
        <v>7.5502096287789668E-4</v>
      </c>
      <c r="C3983" s="133"/>
    </row>
    <row r="3984" spans="1:3">
      <c r="A3984" s="131" t="s">
        <v>5311</v>
      </c>
      <c r="B3984" s="132">
        <v>1.6914280131459236E-3</v>
      </c>
      <c r="C3984" s="133"/>
    </row>
    <row r="3985" spans="1:3">
      <c r="A3985" s="131" t="s">
        <v>5312</v>
      </c>
      <c r="B3985" s="132">
        <v>3.3930000427062623E-6</v>
      </c>
      <c r="C3985" s="133"/>
    </row>
    <row r="3986" spans="1:3">
      <c r="A3986" s="131" t="s">
        <v>5313</v>
      </c>
      <c r="B3986" s="132">
        <v>1.6991900338325649E-4</v>
      </c>
      <c r="C3986" s="133"/>
    </row>
    <row r="3987" spans="1:3">
      <c r="A3987" s="131" t="s">
        <v>5314</v>
      </c>
      <c r="B3987" s="132">
        <v>1.6778700228314847E-4</v>
      </c>
      <c r="C3987" s="133"/>
    </row>
    <row r="3988" spans="1:3">
      <c r="A3988" s="131" t="s">
        <v>5315</v>
      </c>
      <c r="B3988" s="132">
        <v>1.1000000021965661E-8</v>
      </c>
      <c r="C3988" s="133"/>
    </row>
    <row r="3989" spans="1:3">
      <c r="A3989" s="131" t="s">
        <v>5316</v>
      </c>
      <c r="B3989" s="132">
        <v>5.2870511313251222E-6</v>
      </c>
      <c r="C3989" s="133"/>
    </row>
    <row r="3990" spans="1:3">
      <c r="A3990" s="131" t="s">
        <v>5317</v>
      </c>
      <c r="B3990" s="132">
        <v>3.1121999199967831E-5</v>
      </c>
      <c r="C3990" s="133"/>
    </row>
    <row r="3991" spans="1:3">
      <c r="A3991" s="131" t="s">
        <v>5318</v>
      </c>
      <c r="B3991" s="132">
        <v>1.8127000657841563E-5</v>
      </c>
      <c r="C3991" s="133"/>
    </row>
    <row r="3992" spans="1:3">
      <c r="A3992" s="131" t="s">
        <v>5319</v>
      </c>
      <c r="B3992" s="132">
        <v>1.201E-5</v>
      </c>
      <c r="C3992" s="133"/>
    </row>
    <row r="3993" spans="1:3">
      <c r="A3993" s="131" t="s">
        <v>5320</v>
      </c>
      <c r="B3993" s="132">
        <v>6.2720071441894746E-4</v>
      </c>
      <c r="C3993" s="133"/>
    </row>
    <row r="3994" spans="1:3">
      <c r="A3994" s="131" t="s">
        <v>5321</v>
      </c>
      <c r="B3994" s="132">
        <v>1.4209000255505089E-5</v>
      </c>
      <c r="C3994" s="133"/>
    </row>
    <row r="3995" spans="1:3">
      <c r="A3995" s="131" t="s">
        <v>5322</v>
      </c>
      <c r="B3995" s="132">
        <v>7.4210001912433654E-6</v>
      </c>
      <c r="C3995" s="133"/>
    </row>
    <row r="3996" spans="1:3">
      <c r="A3996" s="131" t="s">
        <v>5323</v>
      </c>
      <c r="B3996" s="132">
        <v>2.7071047485525295E-4</v>
      </c>
      <c r="C3996" s="133"/>
    </row>
    <row r="3997" spans="1:3">
      <c r="A3997" s="131" t="s">
        <v>5324</v>
      </c>
      <c r="B3997" s="132">
        <v>1.3988738956043656E-4</v>
      </c>
      <c r="C3997" s="133"/>
    </row>
    <row r="3998" spans="1:3">
      <c r="A3998" s="131" t="s">
        <v>5325</v>
      </c>
      <c r="B3998" s="132">
        <v>8.6391595984854628E-5</v>
      </c>
      <c r="C3998" s="133"/>
    </row>
    <row r="3999" spans="1:3">
      <c r="A3999" s="131" t="s">
        <v>5326</v>
      </c>
      <c r="B3999" s="132">
        <v>2.1423399448394775E-4</v>
      </c>
      <c r="C3999" s="133"/>
    </row>
    <row r="4000" spans="1:3">
      <c r="A4000" s="131" t="s">
        <v>5327</v>
      </c>
      <c r="B4000" s="132">
        <v>1.3969811254849857E-4</v>
      </c>
      <c r="C4000" s="133"/>
    </row>
    <row r="4001" spans="1:3">
      <c r="A4001" s="131" t="s">
        <v>5328</v>
      </c>
      <c r="B4001" s="132">
        <v>8.6789170884182075E-5</v>
      </c>
      <c r="C4001" s="133"/>
    </row>
    <row r="4002" spans="1:3">
      <c r="A4002" s="131" t="s">
        <v>5329</v>
      </c>
      <c r="B4002" s="132">
        <v>7.5622003350872546E-5</v>
      </c>
      <c r="C4002" s="133"/>
    </row>
    <row r="4003" spans="1:3">
      <c r="A4003" s="131" t="s">
        <v>5330</v>
      </c>
      <c r="B4003" s="132">
        <v>1.0669900075299665E-4</v>
      </c>
      <c r="C4003" s="133"/>
    </row>
    <row r="4004" spans="1:3">
      <c r="A4004" s="131" t="s">
        <v>5331</v>
      </c>
      <c r="B4004" s="132">
        <v>4.8015111003033547E-5</v>
      </c>
      <c r="C4004" s="133"/>
    </row>
    <row r="4005" spans="1:3">
      <c r="A4005" s="131" t="s">
        <v>5332</v>
      </c>
      <c r="B4005" s="132">
        <v>3.3558599534444511E-4</v>
      </c>
      <c r="C4005" s="133"/>
    </row>
    <row r="4006" spans="1:3">
      <c r="A4006" s="131" t="s">
        <v>5333</v>
      </c>
      <c r="B4006" s="132">
        <v>3.8723999750800431E-5</v>
      </c>
      <c r="C4006" s="133"/>
    </row>
    <row r="4007" spans="1:3">
      <c r="A4007" s="131" t="s">
        <v>5334</v>
      </c>
      <c r="B4007" s="132">
        <v>2.9700001391574915E-7</v>
      </c>
      <c r="C4007" s="133"/>
    </row>
    <row r="4008" spans="1:3">
      <c r="A4008" s="131" t="s">
        <v>5335</v>
      </c>
      <c r="B4008" s="132">
        <v>1.0205499711446464E-4</v>
      </c>
      <c r="C4008" s="133"/>
    </row>
    <row r="4009" spans="1:3">
      <c r="A4009" s="131" t="s">
        <v>5336</v>
      </c>
      <c r="B4009" s="132">
        <v>4.1884536490085227E-5</v>
      </c>
      <c r="C4009" s="133"/>
    </row>
    <row r="4010" spans="1:3">
      <c r="A4010" s="131" t="s">
        <v>5337</v>
      </c>
      <c r="B4010" s="132">
        <v>5.0745736772058662E-4</v>
      </c>
      <c r="C4010" s="133"/>
    </row>
    <row r="4011" spans="1:3">
      <c r="A4011" s="131" t="s">
        <v>5338</v>
      </c>
      <c r="B4011" s="132">
        <v>1.5663799422327429E-4</v>
      </c>
      <c r="C4011" s="133"/>
    </row>
    <row r="4012" spans="1:3">
      <c r="A4012" s="131" t="s">
        <v>5339</v>
      </c>
      <c r="B4012" s="132">
        <v>8.2831000327132642E-5</v>
      </c>
      <c r="C4012" s="133"/>
    </row>
    <row r="4013" spans="1:3">
      <c r="A4013" s="131" t="s">
        <v>5340</v>
      </c>
      <c r="B4013" s="132">
        <v>2.9479999739123741E-6</v>
      </c>
      <c r="C4013" s="133"/>
    </row>
    <row r="4014" spans="1:3">
      <c r="A4014" s="131" t="s">
        <v>5341</v>
      </c>
      <c r="B4014" s="132">
        <v>8.6705047269078617E-8</v>
      </c>
      <c r="C4014" s="133"/>
    </row>
    <row r="4015" spans="1:3">
      <c r="A4015" s="131" t="s">
        <v>5342</v>
      </c>
      <c r="B4015" s="132">
        <v>1.0487477001257868E-3</v>
      </c>
      <c r="C4015" s="133"/>
    </row>
    <row r="4016" spans="1:3">
      <c r="A4016" s="134" t="s">
        <v>5343</v>
      </c>
      <c r="B4016" s="132">
        <v>5.0618254895875101E-3</v>
      </c>
      <c r="C4016" s="133"/>
    </row>
    <row r="4017" spans="1:3">
      <c r="A4017" s="131" t="s">
        <v>5344</v>
      </c>
      <c r="B4017" s="132">
        <v>3.4524602776129103E-6</v>
      </c>
      <c r="C4017" s="133"/>
    </row>
    <row r="4018" spans="1:3">
      <c r="A4018" s="131" t="s">
        <v>5345</v>
      </c>
      <c r="B4018" s="132">
        <v>1.6781799786258489E-4</v>
      </c>
      <c r="C4018" s="133"/>
    </row>
    <row r="4019" spans="1:3">
      <c r="A4019" s="131" t="s">
        <v>5346</v>
      </c>
      <c r="B4019" s="132">
        <v>5.1167348068512136E-5</v>
      </c>
      <c r="C4019" s="133"/>
    </row>
    <row r="4020" spans="1:3">
      <c r="A4020" s="131" t="s">
        <v>5347</v>
      </c>
      <c r="B4020" s="132">
        <v>1.0085000212711748E-5</v>
      </c>
      <c r="C4020" s="133"/>
    </row>
    <row r="4021" spans="1:3">
      <c r="A4021" s="131" t="s">
        <v>5348</v>
      </c>
      <c r="B4021" s="132">
        <v>5.0357565013265852E-6</v>
      </c>
      <c r="C4021" s="133"/>
    </row>
    <row r="4022" spans="1:3">
      <c r="A4022" s="131" t="s">
        <v>5349</v>
      </c>
      <c r="B4022" s="132">
        <v>2.3815999156795442E-5</v>
      </c>
      <c r="C4022" s="133"/>
    </row>
    <row r="4023" spans="1:3">
      <c r="A4023" s="131" t="s">
        <v>5350</v>
      </c>
      <c r="B4023" s="132">
        <v>3.6219998946762644E-6</v>
      </c>
      <c r="C4023" s="133"/>
    </row>
    <row r="4024" spans="1:3">
      <c r="A4024" s="131" t="s">
        <v>5351</v>
      </c>
      <c r="B4024" s="132">
        <v>1.4100000100825127E-7</v>
      </c>
      <c r="C4024" s="133"/>
    </row>
    <row r="4025" spans="1:3">
      <c r="A4025" s="131" t="s">
        <v>5352</v>
      </c>
      <c r="B4025" s="132">
        <v>2.2533451839301028E-3</v>
      </c>
      <c r="C4025" s="133"/>
    </row>
    <row r="4026" spans="1:3">
      <c r="A4026" s="131" t="s">
        <v>5353</v>
      </c>
      <c r="B4026" s="132">
        <v>2.9212821534404999E-2</v>
      </c>
      <c r="C4026" s="133"/>
    </row>
    <row r="4027" spans="1:3">
      <c r="A4027" s="131" t="s">
        <v>5354</v>
      </c>
      <c r="B4027" s="132">
        <v>2.0999999605919584E-7</v>
      </c>
      <c r="C4027" s="133"/>
    </row>
    <row r="4028" spans="1:3">
      <c r="A4028" s="131" t="s">
        <v>5355</v>
      </c>
      <c r="B4028" s="132">
        <v>6.5000001825410436E-8</v>
      </c>
      <c r="C4028" s="133"/>
    </row>
    <row r="4029" spans="1:3">
      <c r="A4029" s="131" t="s">
        <v>5356</v>
      </c>
      <c r="B4029" s="132">
        <v>3.4999999343199306E-8</v>
      </c>
      <c r="C4029" s="133"/>
    </row>
    <row r="4030" spans="1:3">
      <c r="A4030" s="131" t="s">
        <v>5357</v>
      </c>
      <c r="B4030" s="132">
        <v>4.0805470096462625E-5</v>
      </c>
      <c r="C4030" s="133"/>
    </row>
    <row r="4031" spans="1:3">
      <c r="A4031" s="131" t="s">
        <v>8350</v>
      </c>
      <c r="B4031" s="132">
        <v>1.7763205810009499E-4</v>
      </c>
      <c r="C4031" s="133"/>
    </row>
    <row r="4032" spans="1:3">
      <c r="A4032" s="131" t="s">
        <v>8351</v>
      </c>
      <c r="B4032" s="132">
        <v>1.7975973846505413E-5</v>
      </c>
      <c r="C4032" s="133"/>
    </row>
    <row r="4033" spans="1:3">
      <c r="A4033" s="131" t="s">
        <v>8352</v>
      </c>
      <c r="B4033" s="132">
        <v>6.1477658576488856E-4</v>
      </c>
      <c r="C4033" s="133"/>
    </row>
    <row r="4034" spans="1:3">
      <c r="A4034" s="131" t="s">
        <v>8353</v>
      </c>
      <c r="B4034" s="132">
        <v>3.2237583182906618E-3</v>
      </c>
      <c r="C4034" s="133"/>
    </row>
    <row r="4035" spans="1:3">
      <c r="A4035" s="131" t="s">
        <v>8354</v>
      </c>
      <c r="B4035" s="132">
        <v>2.1387365190328991E-3</v>
      </c>
      <c r="C4035" s="133"/>
    </row>
    <row r="4036" spans="1:3">
      <c r="A4036" s="131" t="s">
        <v>8355</v>
      </c>
      <c r="B4036" s="132">
        <v>5.6067448109388351E-2</v>
      </c>
      <c r="C4036" s="133"/>
    </row>
    <row r="4037" spans="1:3">
      <c r="A4037" s="131" t="s">
        <v>8356</v>
      </c>
      <c r="B4037" s="132">
        <v>1.899999979571021E-8</v>
      </c>
      <c r="C4037" s="133"/>
    </row>
    <row r="4038" spans="1:3">
      <c r="A4038" s="131" t="s">
        <v>8357</v>
      </c>
      <c r="B4038" s="132">
        <v>4.6276878550880916E-3</v>
      </c>
      <c r="C4038" s="133"/>
    </row>
    <row r="4039" spans="1:3">
      <c r="A4039" s="131" t="s">
        <v>8358</v>
      </c>
      <c r="B4039" s="132">
        <v>0.36280978311689893</v>
      </c>
      <c r="C4039" s="133"/>
    </row>
    <row r="4040" spans="1:3">
      <c r="A4040" s="131" t="s">
        <v>8359</v>
      </c>
      <c r="B4040" s="132">
        <v>8.1832658316811463E-5</v>
      </c>
      <c r="C4040" s="133"/>
    </row>
    <row r="4041" spans="1:3">
      <c r="A4041" s="131" t="s">
        <v>8360</v>
      </c>
      <c r="B4041" s="132">
        <v>1.0298899724148214E-4</v>
      </c>
      <c r="C4041" s="133"/>
    </row>
    <row r="4042" spans="1:3">
      <c r="A4042" s="131" t="s">
        <v>8361</v>
      </c>
      <c r="B4042" s="132">
        <v>1.0110000148415565E-3</v>
      </c>
      <c r="C4042" s="133"/>
    </row>
    <row r="4043" spans="1:3">
      <c r="A4043" s="131" t="s">
        <v>8362</v>
      </c>
      <c r="B4043" s="132">
        <v>8.3119497867301106E-4</v>
      </c>
      <c r="C4043" s="133"/>
    </row>
    <row r="4044" spans="1:3">
      <c r="A4044" s="131" t="s">
        <v>8363</v>
      </c>
      <c r="B4044" s="132">
        <v>9.5765001606196165E-4</v>
      </c>
      <c r="C4044" s="133"/>
    </row>
    <row r="4045" spans="1:3">
      <c r="A4045" s="131" t="s">
        <v>8364</v>
      </c>
      <c r="B4045" s="132">
        <v>8.0198353539031111E-3</v>
      </c>
      <c r="C4045" s="133"/>
    </row>
    <row r="4046" spans="1:3">
      <c r="A4046" s="131" t="s">
        <v>8365</v>
      </c>
      <c r="B4046" s="132">
        <v>0.13190031827990689</v>
      </c>
      <c r="C4046" s="133"/>
    </row>
    <row r="4047" spans="1:3">
      <c r="A4047" s="131" t="s">
        <v>8366</v>
      </c>
      <c r="B4047" s="132">
        <v>7.0967173788197198E-5</v>
      </c>
      <c r="C4047" s="133"/>
    </row>
    <row r="4048" spans="1:3">
      <c r="A4048" s="131" t="s">
        <v>8367</v>
      </c>
      <c r="B4048" s="132">
        <v>8.6842999735381454E-5</v>
      </c>
      <c r="C4048" s="133"/>
    </row>
    <row r="4049" spans="1:3">
      <c r="A4049" s="131" t="s">
        <v>8368</v>
      </c>
      <c r="B4049" s="132">
        <v>3.4063239683749415E-7</v>
      </c>
      <c r="C4049" s="133"/>
    </row>
    <row r="4050" spans="1:3">
      <c r="A4050" s="131" t="s">
        <v>8369</v>
      </c>
      <c r="B4050" s="132">
        <v>0.78562956315810784</v>
      </c>
      <c r="C4050" s="133"/>
    </row>
    <row r="4051" spans="1:3">
      <c r="A4051" s="131" t="s">
        <v>8370</v>
      </c>
      <c r="B4051" s="132">
        <v>4.9277098150923848E-4</v>
      </c>
      <c r="C4051" s="133"/>
    </row>
    <row r="4052" spans="1:3">
      <c r="A4052" s="131" t="s">
        <v>8371</v>
      </c>
      <c r="B4052" s="132">
        <v>1.7878999642562121E-5</v>
      </c>
      <c r="C4052" s="133"/>
    </row>
    <row r="4053" spans="1:3">
      <c r="A4053" s="131" t="s">
        <v>8372</v>
      </c>
      <c r="B4053" s="132">
        <v>2.5598727166652679E-2</v>
      </c>
      <c r="C4053" s="133"/>
    </row>
    <row r="4054" spans="1:3">
      <c r="A4054" s="131" t="s">
        <v>8373</v>
      </c>
      <c r="B4054" s="132">
        <v>1.1463800183264539E-4</v>
      </c>
      <c r="C4054" s="133"/>
    </row>
    <row r="4055" spans="1:3">
      <c r="A4055" s="131" t="s">
        <v>8374</v>
      </c>
      <c r="B4055" s="132">
        <v>5.4126999999999999E-5</v>
      </c>
      <c r="C4055" s="133"/>
    </row>
    <row r="4056" spans="1:3">
      <c r="A4056" s="131" t="s">
        <v>8375</v>
      </c>
      <c r="B4056" s="132">
        <v>6.9791996793355793E-5</v>
      </c>
      <c r="C4056" s="133"/>
    </row>
    <row r="4057" spans="1:3">
      <c r="A4057" s="131" t="s">
        <v>8376</v>
      </c>
      <c r="B4057" s="132">
        <v>4.295893654896266E-3</v>
      </c>
      <c r="C4057" s="133"/>
    </row>
    <row r="4058" spans="1:3">
      <c r="A4058" s="131" t="s">
        <v>8377</v>
      </c>
      <c r="B4058" s="132">
        <v>0.69997668266296387</v>
      </c>
      <c r="C4058" s="133"/>
    </row>
    <row r="4059" spans="1:3">
      <c r="A4059" s="131" t="s">
        <v>8378</v>
      </c>
      <c r="B4059" s="132">
        <v>6.4837298123165965E-4</v>
      </c>
      <c r="C4059" s="133"/>
    </row>
    <row r="4060" spans="1:3">
      <c r="A4060" s="131" t="s">
        <v>8379</v>
      </c>
      <c r="B4060" s="132">
        <v>2.506400051061064E-5</v>
      </c>
      <c r="C4060" s="133"/>
    </row>
    <row r="4061" spans="1:3">
      <c r="A4061" s="131" t="s">
        <v>8380</v>
      </c>
      <c r="B4061" s="132">
        <v>2.3430000055668643E-6</v>
      </c>
      <c r="C4061" s="133"/>
    </row>
    <row r="4062" spans="1:3">
      <c r="A4062" s="131" t="s">
        <v>8381</v>
      </c>
      <c r="B4062" s="132">
        <v>3.6305923014879227E-2</v>
      </c>
      <c r="C4062" s="133"/>
    </row>
    <row r="4063" spans="1:3">
      <c r="A4063" s="131" t="s">
        <v>8382</v>
      </c>
      <c r="B4063" s="132">
        <v>5.7186743967368963E-5</v>
      </c>
      <c r="C4063" s="133"/>
    </row>
    <row r="4064" spans="1:3">
      <c r="A4064" s="131" t="s">
        <v>8383</v>
      </c>
      <c r="B4064" s="132">
        <v>2.0241839477284074E-2</v>
      </c>
      <c r="C4064" s="133"/>
    </row>
    <row r="4065" spans="1:3">
      <c r="A4065" s="131" t="s">
        <v>8384</v>
      </c>
      <c r="B4065" s="132">
        <v>9.2599002528004348E-5</v>
      </c>
      <c r="C4065" s="133"/>
    </row>
    <row r="4066" spans="1:3">
      <c r="A4066" s="131" t="s">
        <v>8385</v>
      </c>
      <c r="B4066" s="132">
        <v>2.8978966436805035E-2</v>
      </c>
      <c r="C4066" s="133"/>
    </row>
    <row r="4067" spans="1:3">
      <c r="A4067" s="131" t="s">
        <v>8386</v>
      </c>
      <c r="B4067" s="132">
        <v>1.6994299949146807E-4</v>
      </c>
      <c r="C4067" s="133"/>
    </row>
    <row r="4068" spans="1:3">
      <c r="A4068" s="131" t="s">
        <v>8387</v>
      </c>
      <c r="B4068" s="132">
        <v>0.82376006450287997</v>
      </c>
      <c r="C4068" s="133"/>
    </row>
    <row r="4069" spans="1:3">
      <c r="A4069" s="131" t="s">
        <v>8388</v>
      </c>
      <c r="B4069" s="132">
        <v>1.4159099373500794E-4</v>
      </c>
      <c r="C4069" s="133"/>
    </row>
    <row r="4070" spans="1:3">
      <c r="A4070" s="131" t="s">
        <v>8389</v>
      </c>
      <c r="B4070" s="132">
        <v>2.1337976847196037E-5</v>
      </c>
      <c r="C4070" s="133"/>
    </row>
    <row r="4071" spans="1:3">
      <c r="A4071" s="131" t="s">
        <v>8390</v>
      </c>
      <c r="B4071" s="132">
        <v>1.5983413904905319E-2</v>
      </c>
      <c r="C4071" s="133"/>
    </row>
    <row r="4072" spans="1:3">
      <c r="A4072" s="131" t="s">
        <v>8391</v>
      </c>
      <c r="B4072" s="132">
        <v>1.4909853333333332E-2</v>
      </c>
      <c r="C4072" s="133"/>
    </row>
    <row r="4073" spans="1:3">
      <c r="A4073" s="131" t="s">
        <v>8392</v>
      </c>
      <c r="B4073" s="132">
        <v>4.4066000555176288E-5</v>
      </c>
      <c r="C4073" s="133"/>
    </row>
    <row r="4074" spans="1:3">
      <c r="A4074" s="131" t="s">
        <v>8393</v>
      </c>
      <c r="B4074" s="132">
        <v>1.3501750072464347E-3</v>
      </c>
      <c r="C4074" s="133"/>
    </row>
    <row r="4075" spans="1:3">
      <c r="A4075" s="131" t="s">
        <v>8394</v>
      </c>
      <c r="B4075" s="132">
        <v>2.7540299925021827E-4</v>
      </c>
      <c r="C4075" s="133"/>
    </row>
    <row r="4076" spans="1:3">
      <c r="A4076" s="131" t="s">
        <v>8395</v>
      </c>
      <c r="B4076" s="132">
        <v>3.1838031333333329E-3</v>
      </c>
      <c r="C4076" s="133"/>
    </row>
    <row r="4077" spans="1:3">
      <c r="A4077" s="131" t="s">
        <v>8396</v>
      </c>
      <c r="B4077" s="132">
        <v>6.04900014877785E-6</v>
      </c>
      <c r="C4077" s="133"/>
    </row>
    <row r="4078" spans="1:3">
      <c r="A4078" s="131" t="s">
        <v>8397</v>
      </c>
      <c r="B4078" s="132">
        <v>1.9167330116033554E-2</v>
      </c>
      <c r="C4078" s="133"/>
    </row>
    <row r="4079" spans="1:3">
      <c r="A4079" s="131" t="s">
        <v>8398</v>
      </c>
      <c r="B4079" s="132">
        <v>2.2179999632498948E-6</v>
      </c>
      <c r="C4079" s="133"/>
    </row>
    <row r="4080" spans="1:3">
      <c r="A4080" s="131" t="s">
        <v>8399</v>
      </c>
      <c r="B4080" s="132">
        <v>1.038012434E-3</v>
      </c>
      <c r="C4080" s="133"/>
    </row>
    <row r="4081" spans="1:3">
      <c r="A4081" s="131" t="s">
        <v>8400</v>
      </c>
      <c r="B4081" s="132">
        <v>9.901752631717403E-4</v>
      </c>
      <c r="C4081" s="133"/>
    </row>
    <row r="4082" spans="1:3">
      <c r="A4082" s="131" t="s">
        <v>8401</v>
      </c>
      <c r="B4082" s="132">
        <v>2.6762200286611915E-4</v>
      </c>
      <c r="C4082" s="133"/>
    </row>
    <row r="4083" spans="1:3">
      <c r="A4083" s="131" t="s">
        <v>8402</v>
      </c>
      <c r="B4083" s="132">
        <v>0.15971881978425848</v>
      </c>
      <c r="C4083" s="133"/>
    </row>
    <row r="4084" spans="1:3">
      <c r="A4084" s="131" t="s">
        <v>8403</v>
      </c>
      <c r="B4084" s="132">
        <v>2.010000025620684E-5</v>
      </c>
      <c r="C4084" s="133"/>
    </row>
    <row r="4085" spans="1:3">
      <c r="A4085" s="131" t="s">
        <v>8404</v>
      </c>
      <c r="B4085" s="132">
        <v>4.0711578913033009E-3</v>
      </c>
      <c r="C4085" s="133"/>
    </row>
    <row r="4086" spans="1:3">
      <c r="A4086" s="131" t="s">
        <v>8405</v>
      </c>
      <c r="B4086" s="132">
        <v>1.0753000424301717E-5</v>
      </c>
      <c r="C4086" s="133"/>
    </row>
    <row r="4087" spans="1:3">
      <c r="A4087" s="131" t="s">
        <v>8406</v>
      </c>
      <c r="B4087" s="132">
        <v>6.38983736932295E-4</v>
      </c>
      <c r="C4087" s="133"/>
    </row>
    <row r="4088" spans="1:3">
      <c r="A4088" s="131" t="s">
        <v>8407</v>
      </c>
      <c r="B4088" s="132">
        <v>1.1927361524741182E-2</v>
      </c>
      <c r="C4088" s="133"/>
    </row>
    <row r="4089" spans="1:3">
      <c r="A4089" s="131" t="s">
        <v>8408</v>
      </c>
      <c r="B4089" s="132">
        <v>6.0076160472287031E-4</v>
      </c>
      <c r="C4089" s="133"/>
    </row>
    <row r="4090" spans="1:3">
      <c r="A4090" s="131" t="s">
        <v>8409</v>
      </c>
      <c r="B4090" s="132">
        <v>4.6808118931949139E-3</v>
      </c>
      <c r="C4090" s="133"/>
    </row>
    <row r="4091" spans="1:3">
      <c r="A4091" s="131" t="s">
        <v>8410</v>
      </c>
      <c r="B4091" s="132">
        <v>125.59</v>
      </c>
      <c r="C4091" s="133"/>
    </row>
    <row r="4092" spans="1:3">
      <c r="A4092" s="131" t="s">
        <v>8411</v>
      </c>
      <c r="B4092" s="132">
        <v>1.7730147955864885E-2</v>
      </c>
      <c r="C4092" s="133"/>
    </row>
    <row r="4093" spans="1:3">
      <c r="A4093" s="131" t="s">
        <v>8412</v>
      </c>
      <c r="B4093" s="132">
        <v>9.9900000805064337E-7</v>
      </c>
      <c r="C4093" s="133"/>
    </row>
    <row r="4094" spans="1:3">
      <c r="A4094" s="131" t="s">
        <v>8413</v>
      </c>
      <c r="B4094" s="132">
        <v>5.1642000471474603E-5</v>
      </c>
      <c r="C4094" s="133"/>
    </row>
    <row r="4095" spans="1:3">
      <c r="A4095" s="131" t="s">
        <v>8414</v>
      </c>
      <c r="B4095" s="132">
        <v>8.6284250033375033E-6</v>
      </c>
      <c r="C4095" s="133"/>
    </row>
    <row r="4096" spans="1:3">
      <c r="A4096" s="131" t="s">
        <v>8415</v>
      </c>
      <c r="B4096" s="132">
        <v>1.2719999631372048E-6</v>
      </c>
      <c r="C4096" s="133"/>
    </row>
    <row r="4097" spans="1:3">
      <c r="A4097" s="131" t="s">
        <v>8416</v>
      </c>
      <c r="B4097" s="132">
        <v>1.7082969425246119E-3</v>
      </c>
      <c r="C4097" s="133"/>
    </row>
    <row r="4098" spans="1:3">
      <c r="A4098" s="131" t="s">
        <v>8417</v>
      </c>
      <c r="B4098" s="132">
        <v>7.6588167062642751E-2</v>
      </c>
      <c r="C4098" s="133"/>
    </row>
    <row r="4099" spans="1:3">
      <c r="A4099" s="131" t="s">
        <v>8418</v>
      </c>
      <c r="B4099" s="132">
        <v>1.9667364656925201E-2</v>
      </c>
      <c r="C4099" s="133"/>
    </row>
    <row r="4100" spans="1:3">
      <c r="A4100" s="131" t="s">
        <v>8419</v>
      </c>
      <c r="B4100" s="132">
        <v>4.1541803636494044E-4</v>
      </c>
      <c r="C4100" s="133"/>
    </row>
    <row r="4101" spans="1:3">
      <c r="A4101" s="131" t="s">
        <v>8420</v>
      </c>
      <c r="B4101" s="132">
        <v>1.0710000424296595E-6</v>
      </c>
      <c r="C4101" s="133"/>
    </row>
    <row r="4102" spans="1:3">
      <c r="A4102" s="131" t="s">
        <v>8421</v>
      </c>
      <c r="B4102" s="132">
        <v>1.0359635822121205E-2</v>
      </c>
      <c r="C4102" s="133"/>
    </row>
    <row r="4103" spans="1:3">
      <c r="A4103" s="131" t="s">
        <v>8422</v>
      </c>
      <c r="B4103" s="132">
        <v>6.8</v>
      </c>
      <c r="C4103" s="133"/>
    </row>
    <row r="4104" spans="1:3">
      <c r="A4104" s="131" t="s">
        <v>8423</v>
      </c>
      <c r="B4104" s="132">
        <v>4.1805478508068509E-4</v>
      </c>
      <c r="C4104" s="133"/>
    </row>
    <row r="4105" spans="1:3">
      <c r="A4105" s="131" t="s">
        <v>8424</v>
      </c>
      <c r="B4105" s="132">
        <v>0.18290849919999999</v>
      </c>
      <c r="C4105" s="133"/>
    </row>
    <row r="4106" spans="1:3">
      <c r="A4106" s="131" t="s">
        <v>8425</v>
      </c>
      <c r="B4106" s="132">
        <v>1.7796999600250274E-5</v>
      </c>
      <c r="C4106" s="133"/>
    </row>
    <row r="4107" spans="1:3">
      <c r="A4107" s="131" t="s">
        <v>8426</v>
      </c>
      <c r="B4107" s="132">
        <v>7.8684400263933892E-4</v>
      </c>
      <c r="C4107" s="133"/>
    </row>
    <row r="4108" spans="1:3">
      <c r="A4108" s="131" t="s">
        <v>8427</v>
      </c>
      <c r="B4108" s="132">
        <v>2.70171E-3</v>
      </c>
      <c r="C4108" s="133"/>
    </row>
    <row r="4109" spans="1:3">
      <c r="A4109" s="131" t="s">
        <v>8428</v>
      </c>
      <c r="B4109" s="132">
        <v>2.0004E-5</v>
      </c>
      <c r="C4109" s="133"/>
    </row>
    <row r="4110" spans="1:3">
      <c r="A4110" s="131" t="s">
        <v>8429</v>
      </c>
      <c r="B4110" s="132">
        <v>4.5334198512136936E-3</v>
      </c>
      <c r="C4110" s="133"/>
    </row>
    <row r="4111" spans="1:3">
      <c r="A4111" s="131" t="s">
        <v>8430</v>
      </c>
      <c r="B4111" s="132">
        <v>1.2163716754789516E-3</v>
      </c>
      <c r="C4111" s="133"/>
    </row>
    <row r="4112" spans="1:3">
      <c r="A4112" s="131" t="s">
        <v>8431</v>
      </c>
      <c r="B4112" s="132">
        <v>2.0580201849029078E-4</v>
      </c>
      <c r="C4112" s="133"/>
    </row>
    <row r="4113" spans="1:3">
      <c r="A4113" s="131" t="s">
        <v>8432</v>
      </c>
      <c r="B4113" s="132">
        <v>6.0927615497502127E-4</v>
      </c>
      <c r="C4113" s="133"/>
    </row>
    <row r="4114" spans="1:3">
      <c r="A4114" s="131" t="s">
        <v>8433</v>
      </c>
      <c r="B4114" s="132">
        <v>2.1423469297587872E-3</v>
      </c>
      <c r="C4114" s="133"/>
    </row>
    <row r="4115" spans="1:3">
      <c r="A4115" s="131" t="s">
        <v>8434</v>
      </c>
      <c r="B4115" s="132">
        <v>0.20768454670906067</v>
      </c>
      <c r="C4115" s="133"/>
    </row>
    <row r="4116" spans="1:3">
      <c r="A4116" s="131" t="s">
        <v>8435</v>
      </c>
      <c r="B4116" s="132">
        <v>5.5521937065483029E-3</v>
      </c>
      <c r="C4116" s="133"/>
    </row>
    <row r="4117" spans="1:3">
      <c r="A4117" s="131" t="s">
        <v>8436</v>
      </c>
      <c r="B4117" s="132">
        <v>7.7931444266480523E-4</v>
      </c>
      <c r="C4117" s="133"/>
    </row>
    <row r="4118" spans="1:3">
      <c r="A4118" s="131" t="s">
        <v>8437</v>
      </c>
      <c r="B4118" s="132">
        <v>1.6966740367934108E-3</v>
      </c>
      <c r="C4118" s="133"/>
    </row>
    <row r="4119" spans="1:3">
      <c r="A4119" s="131" t="s">
        <v>8438</v>
      </c>
      <c r="B4119" s="132">
        <v>7.00999999025953E-6</v>
      </c>
      <c r="C4119" s="133"/>
    </row>
    <row r="4120" spans="1:3">
      <c r="A4120" s="131" t="s">
        <v>8439</v>
      </c>
      <c r="B4120" s="132">
        <v>4.6587113291025162E-2</v>
      </c>
      <c r="C4120" s="133"/>
    </row>
    <row r="4121" spans="1:3">
      <c r="A4121" s="131" t="s">
        <v>8440</v>
      </c>
      <c r="B4121" s="132">
        <v>1.4583778684874878E-2</v>
      </c>
      <c r="C4121" s="133"/>
    </row>
    <row r="4122" spans="1:3">
      <c r="A4122" s="131" t="s">
        <v>8441</v>
      </c>
      <c r="B4122" s="132">
        <v>5.4977992808421788E-3</v>
      </c>
      <c r="C4122" s="133"/>
    </row>
    <row r="4123" spans="1:3">
      <c r="A4123" s="131" t="s">
        <v>8442</v>
      </c>
      <c r="B4123" s="132">
        <v>1.9561639055609703E-2</v>
      </c>
      <c r="C4123" s="133"/>
    </row>
    <row r="4124" spans="1:3">
      <c r="A4124" s="131" t="s">
        <v>8443</v>
      </c>
      <c r="B4124" s="132">
        <v>8.3594559999999995E-3</v>
      </c>
      <c r="C4124" s="133"/>
    </row>
    <row r="4125" spans="1:3">
      <c r="A4125" s="131" t="s">
        <v>8444</v>
      </c>
      <c r="B4125" s="132">
        <v>2.5599835448108677E-2</v>
      </c>
      <c r="C4125" s="133"/>
    </row>
    <row r="4126" spans="1:3">
      <c r="A4126" s="131" t="s">
        <v>8445</v>
      </c>
      <c r="B4126" s="132">
        <v>1.9151598210352495E-2</v>
      </c>
      <c r="C4126" s="133"/>
    </row>
    <row r="4127" spans="1:3">
      <c r="A4127" s="131" t="s">
        <v>8446</v>
      </c>
      <c r="B4127" s="132">
        <v>0.12227897346019745</v>
      </c>
      <c r="C4127" s="133"/>
    </row>
    <row r="4128" spans="1:3">
      <c r="A4128" s="131" t="s">
        <v>8447</v>
      </c>
      <c r="B4128" s="132">
        <v>1.502699979027966E-5</v>
      </c>
      <c r="C4128" s="133"/>
    </row>
    <row r="4129" spans="1:3">
      <c r="A4129" s="131" t="s">
        <v>8448</v>
      </c>
      <c r="B4129" s="132">
        <v>9.9810997198801488E-5</v>
      </c>
      <c r="C4129" s="133"/>
    </row>
    <row r="4130" spans="1:3">
      <c r="A4130" s="131" t="s">
        <v>8449</v>
      </c>
      <c r="B4130" s="132">
        <v>1.1109999832115136E-5</v>
      </c>
      <c r="C4130" s="133"/>
    </row>
    <row r="4131" spans="1:3">
      <c r="A4131" s="131" t="s">
        <v>8450</v>
      </c>
      <c r="B4131" s="132">
        <v>2.033280034083873E-4</v>
      </c>
      <c r="C4131" s="133"/>
    </row>
    <row r="4132" spans="1:3">
      <c r="A4132" s="131" t="s">
        <v>8451</v>
      </c>
      <c r="B4132" s="132">
        <v>5.5207978596386463E-5</v>
      </c>
      <c r="C4132" s="133"/>
    </row>
    <row r="4133" spans="1:3">
      <c r="A4133" s="131" t="s">
        <v>8452</v>
      </c>
      <c r="B4133" s="132">
        <v>1.279540010727942E-4</v>
      </c>
      <c r="C4133" s="133"/>
    </row>
    <row r="4134" spans="1:3">
      <c r="A4134" s="131" t="s">
        <v>8453</v>
      </c>
      <c r="B4134" s="132">
        <v>2.8294000003370456E-5</v>
      </c>
      <c r="C4134" s="133"/>
    </row>
    <row r="4135" spans="1:3">
      <c r="A4135" s="131" t="s">
        <v>8454</v>
      </c>
      <c r="B4135" s="132">
        <v>1.002800479827561E-3</v>
      </c>
      <c r="C4135" s="133"/>
    </row>
    <row r="4136" spans="1:3">
      <c r="A4136" s="131" t="s">
        <v>8455</v>
      </c>
      <c r="B4136" s="132">
        <v>1.3079480997112787E-4</v>
      </c>
      <c r="C4136" s="133"/>
    </row>
    <row r="4137" spans="1:3">
      <c r="A4137" s="131" t="s">
        <v>8456</v>
      </c>
      <c r="B4137" s="132">
        <v>0.25245419606697972</v>
      </c>
      <c r="C4137" s="133"/>
    </row>
    <row r="4138" spans="1:3">
      <c r="A4138" s="131" t="s">
        <v>8457</v>
      </c>
      <c r="B4138" s="132">
        <v>5.973899969831109E-4</v>
      </c>
      <c r="C4138" s="133"/>
    </row>
    <row r="4139" spans="1:3">
      <c r="A4139" s="131" t="s">
        <v>8458</v>
      </c>
      <c r="B4139" s="132">
        <v>8.5494801169261336E-4</v>
      </c>
      <c r="C4139" s="133"/>
    </row>
    <row r="4140" spans="1:3">
      <c r="A4140" s="131" t="s">
        <v>8459</v>
      </c>
      <c r="B4140" s="132">
        <v>8.0036000000000004E-5</v>
      </c>
      <c r="C4140" s="133"/>
    </row>
    <row r="4141" spans="1:3">
      <c r="A4141" s="131" t="s">
        <v>8460</v>
      </c>
      <c r="B4141" s="132">
        <v>5.081955709844597E-5</v>
      </c>
      <c r="C4141" s="133"/>
    </row>
    <row r="4142" spans="1:3">
      <c r="A4142" s="131" t="s">
        <v>8461</v>
      </c>
      <c r="B4142" s="132">
        <v>2.9038902303834055E-4</v>
      </c>
      <c r="C4142" s="133"/>
    </row>
    <row r="4143" spans="1:3">
      <c r="A4143" s="131" t="s">
        <v>8462</v>
      </c>
      <c r="B4143" s="132">
        <v>9.5574003353249282E-5</v>
      </c>
      <c r="C4143" s="133"/>
    </row>
    <row r="4144" spans="1:3">
      <c r="A4144" s="131" t="s">
        <v>8463</v>
      </c>
      <c r="B4144" s="132">
        <v>3.8523965246195355E-4</v>
      </c>
      <c r="C4144" s="133"/>
    </row>
    <row r="4145" spans="1:3">
      <c r="A4145" s="131" t="s">
        <v>8464</v>
      </c>
      <c r="B4145" s="132">
        <v>8.2799999999999994</v>
      </c>
      <c r="C4145" s="133"/>
    </row>
    <row r="4146" spans="1:3">
      <c r="A4146" s="131" t="s">
        <v>8465</v>
      </c>
      <c r="B4146" s="132">
        <v>9.0080301743000746E-4</v>
      </c>
      <c r="C4146" s="133"/>
    </row>
    <row r="4147" spans="1:3">
      <c r="A4147" s="131" t="s">
        <v>8466</v>
      </c>
      <c r="B4147" s="132">
        <v>6.2207842079127062E-4</v>
      </c>
      <c r="C4147" s="133"/>
    </row>
    <row r="4148" spans="1:3">
      <c r="A4148" s="131" t="s">
        <v>8467</v>
      </c>
      <c r="B4148" s="132">
        <v>1.9592700118664652E-4</v>
      </c>
      <c r="C4148" s="133"/>
    </row>
    <row r="4149" spans="1:3">
      <c r="A4149" s="131" t="s">
        <v>8468</v>
      </c>
      <c r="B4149" s="132">
        <v>6.1986397486180067E-4</v>
      </c>
      <c r="C4149" s="133"/>
    </row>
    <row r="4150" spans="1:3">
      <c r="A4150" s="131" t="s">
        <v>8469</v>
      </c>
      <c r="B4150" s="132">
        <v>8.4694349210223766E-5</v>
      </c>
      <c r="C4150" s="133"/>
    </row>
    <row r="4151" spans="1:3">
      <c r="A4151" s="131" t="s">
        <v>8470</v>
      </c>
      <c r="B4151" s="132">
        <v>2.3882300592958927E-4</v>
      </c>
      <c r="C4151" s="133"/>
    </row>
    <row r="4152" spans="1:3">
      <c r="A4152" s="131" t="s">
        <v>8471</v>
      </c>
      <c r="B4152" s="132">
        <v>18.010000000000002</v>
      </c>
      <c r="C4152" s="133"/>
    </row>
    <row r="4153" spans="1:3">
      <c r="A4153" s="131" t="s">
        <v>8472</v>
      </c>
      <c r="B4153" s="132">
        <v>7.3452996730338782E-5</v>
      </c>
      <c r="C4153" s="133"/>
    </row>
    <row r="4154" spans="1:3">
      <c r="A4154" s="131" t="s">
        <v>8473</v>
      </c>
      <c r="B4154" s="132">
        <v>1.0007299715653062E-4</v>
      </c>
      <c r="C4154" s="133"/>
    </row>
    <row r="4155" spans="1:3">
      <c r="A4155" s="131" t="s">
        <v>8474</v>
      </c>
      <c r="B4155" s="132">
        <v>1.0715874914239258E-3</v>
      </c>
      <c r="C4155" s="133"/>
    </row>
    <row r="4156" spans="1:3">
      <c r="A4156" s="131" t="s">
        <v>8475</v>
      </c>
      <c r="B4156" s="132">
        <v>1.7164199380204082E-4</v>
      </c>
      <c r="C4156" s="133"/>
    </row>
    <row r="4157" spans="1:3">
      <c r="A4157" s="131" t="s">
        <v>8476</v>
      </c>
      <c r="B4157" s="132">
        <v>3.9778983270828844E-5</v>
      </c>
      <c r="C4157" s="133"/>
    </row>
    <row r="4158" spans="1:3">
      <c r="A4158" s="131" t="s">
        <v>8477</v>
      </c>
      <c r="B4158" s="132">
        <v>2.2407876815824625E-3</v>
      </c>
      <c r="C4158" s="133"/>
    </row>
    <row r="4159" spans="1:3">
      <c r="A4159" s="131" t="s">
        <v>8478</v>
      </c>
      <c r="B4159" s="132">
        <v>2.769366092979908E-2</v>
      </c>
      <c r="C4159" s="133"/>
    </row>
    <row r="4160" spans="1:3">
      <c r="A4160" s="131" t="s">
        <v>8479</v>
      </c>
      <c r="B4160" s="132">
        <v>4.9850841063688841E-3</v>
      </c>
      <c r="C4160" s="133"/>
    </row>
    <row r="4161" spans="1:3">
      <c r="A4161" s="131" t="s">
        <v>8480</v>
      </c>
      <c r="B4161" s="132">
        <v>6.1412993576127645E-4</v>
      </c>
      <c r="C4161" s="133"/>
    </row>
    <row r="4162" spans="1:3">
      <c r="A4162" s="131" t="s">
        <v>8481</v>
      </c>
      <c r="B4162" s="132">
        <v>1.3801560271531343E-3</v>
      </c>
      <c r="C4162" s="133"/>
    </row>
    <row r="4163" spans="1:3">
      <c r="A4163" s="131" t="s">
        <v>8482</v>
      </c>
      <c r="B4163" s="132">
        <v>3.2410000585514354E-6</v>
      </c>
      <c r="C4163" s="133"/>
    </row>
    <row r="4164" spans="1:3">
      <c r="A4164" s="131" t="s">
        <v>8483</v>
      </c>
      <c r="B4164" s="132">
        <v>8.3248996816109866E-5</v>
      </c>
      <c r="C4164" s="133"/>
    </row>
    <row r="4165" spans="1:3">
      <c r="A4165" s="131" t="s">
        <v>8484</v>
      </c>
      <c r="B4165" s="132">
        <v>1.5744999473099597E-5</v>
      </c>
      <c r="C4165" s="133"/>
    </row>
    <row r="4166" spans="1:3">
      <c r="A4166" s="131" t="s">
        <v>8485</v>
      </c>
      <c r="B4166" s="132">
        <v>6.9566001184284687E-4</v>
      </c>
      <c r="C4166" s="133"/>
    </row>
    <row r="4167" spans="1:3">
      <c r="A4167" s="131" t="s">
        <v>8486</v>
      </c>
      <c r="B4167" s="132">
        <v>3.3443000575061888E-5</v>
      </c>
      <c r="C4167" s="133"/>
    </row>
    <row r="4168" spans="1:3">
      <c r="A4168" s="131" t="s">
        <v>8487</v>
      </c>
      <c r="B4168" s="132">
        <v>3.4779601264744997E-4</v>
      </c>
      <c r="C4168" s="133"/>
    </row>
    <row r="4169" spans="1:3">
      <c r="A4169" s="131" t="s">
        <v>8488</v>
      </c>
      <c r="B4169" s="132">
        <v>192.76026367308009</v>
      </c>
      <c r="C4169" s="133"/>
    </row>
    <row r="4170" spans="1:3">
      <c r="A4170" s="131" t="s">
        <v>8489</v>
      </c>
      <c r="B4170" s="132">
        <v>0.18259976120964308</v>
      </c>
      <c r="C4170" s="133"/>
    </row>
    <row r="4171" spans="1:3">
      <c r="A4171" s="131" t="s">
        <v>8490</v>
      </c>
      <c r="B4171" s="132">
        <v>1.4851376183586057E-3</v>
      </c>
      <c r="C4171" s="133"/>
    </row>
    <row r="4172" spans="1:3">
      <c r="A4172" s="131" t="s">
        <v>8491</v>
      </c>
      <c r="B4172" s="132">
        <v>6.5101261542992292E-4</v>
      </c>
      <c r="C4172" s="133"/>
    </row>
    <row r="4173" spans="1:3">
      <c r="A4173" s="131" t="s">
        <v>8492</v>
      </c>
      <c r="B4173" s="132">
        <v>8.2105687797439913E-3</v>
      </c>
      <c r="C4173" s="133"/>
    </row>
    <row r="4174" spans="1:3">
      <c r="A4174" s="131" t="s">
        <v>8493</v>
      </c>
      <c r="B4174" s="132">
        <v>1.0281930444762111E-3</v>
      </c>
      <c r="C4174" s="133"/>
    </row>
    <row r="4175" spans="1:3">
      <c r="A4175" s="131" t="s">
        <v>8494</v>
      </c>
      <c r="B4175" s="132">
        <v>1.8350653859902939E-2</v>
      </c>
      <c r="C4175" s="133"/>
    </row>
    <row r="4176" spans="1:3">
      <c r="A4176" s="131" t="s">
        <v>8495</v>
      </c>
      <c r="B4176" s="132">
        <v>5.00208989251405E-4</v>
      </c>
      <c r="C4176" s="133"/>
    </row>
    <row r="4177" spans="1:3">
      <c r="A4177" s="131" t="s">
        <v>12437</v>
      </c>
      <c r="B4177" s="132">
        <v>12.27</v>
      </c>
      <c r="C4177" s="133"/>
    </row>
    <row r="4178" spans="1:3">
      <c r="A4178" s="131" t="s">
        <v>12438</v>
      </c>
      <c r="B4178" s="132">
        <v>1.1098588625207285E-2</v>
      </c>
      <c r="C4178" s="133"/>
    </row>
    <row r="4179" spans="1:3">
      <c r="A4179" s="131" t="s">
        <v>12439</v>
      </c>
      <c r="B4179" s="132">
        <v>8.0054000136442482E-5</v>
      </c>
      <c r="C4179" s="133"/>
    </row>
    <row r="4180" spans="1:3">
      <c r="A4180" s="131" t="s">
        <v>12440</v>
      </c>
      <c r="B4180" s="132">
        <v>1.631499981158413E-5</v>
      </c>
      <c r="C4180" s="133"/>
    </row>
    <row r="4181" spans="1:3">
      <c r="A4181" s="131" t="s">
        <v>12441</v>
      </c>
      <c r="B4181" s="132">
        <v>4.8551150351241009E-4</v>
      </c>
      <c r="C4181" s="133"/>
    </row>
    <row r="4182" spans="1:3">
      <c r="A4182" s="131" t="s">
        <v>12442</v>
      </c>
      <c r="B4182" s="132">
        <v>1.2128533409659485E-3</v>
      </c>
      <c r="C4182" s="133"/>
    </row>
    <row r="4183" spans="1:3">
      <c r="A4183" s="131" t="s">
        <v>12443</v>
      </c>
      <c r="B4183" s="132">
        <v>4.7869998525129631E-6</v>
      </c>
      <c r="C4183" s="133"/>
    </row>
    <row r="4184" spans="1:3">
      <c r="A4184" s="131" t="s">
        <v>12444</v>
      </c>
      <c r="B4184" s="132">
        <v>2.1912700321990997E-4</v>
      </c>
      <c r="C4184" s="133"/>
    </row>
    <row r="4185" spans="1:3">
      <c r="A4185" s="131" t="s">
        <v>12445</v>
      </c>
      <c r="B4185" s="132">
        <v>8.9338183403015137E-2</v>
      </c>
      <c r="C4185" s="133"/>
    </row>
    <row r="4186" spans="1:3">
      <c r="A4186" s="131" t="s">
        <v>12446</v>
      </c>
      <c r="B4186" s="132">
        <v>1.5904773026704788E-2</v>
      </c>
      <c r="C4186" s="133"/>
    </row>
    <row r="4187" spans="1:3">
      <c r="A4187" s="131" t="s">
        <v>12447</v>
      </c>
      <c r="B4187" s="132">
        <v>1.2002630392089486E-3</v>
      </c>
      <c r="C4187" s="133"/>
    </row>
    <row r="4188" spans="1:3">
      <c r="A4188" s="131" t="s">
        <v>12448</v>
      </c>
      <c r="B4188" s="132">
        <v>2.3400269448757172E-2</v>
      </c>
      <c r="C4188" s="133"/>
    </row>
    <row r="4189" spans="1:3">
      <c r="A4189" s="131" t="s">
        <v>12449</v>
      </c>
      <c r="B4189" s="132">
        <v>9.7423202942220188E-3</v>
      </c>
      <c r="C4189" s="133"/>
    </row>
    <row r="4190" spans="1:3">
      <c r="A4190" s="131" t="s">
        <v>12450</v>
      </c>
      <c r="B4190" s="132">
        <v>5.1225078995252701E-4</v>
      </c>
      <c r="C4190" s="133"/>
    </row>
    <row r="4191" spans="1:3">
      <c r="A4191" s="131" t="s">
        <v>12451</v>
      </c>
      <c r="B4191" s="132">
        <v>1.9343999156262726E-5</v>
      </c>
      <c r="C4191" s="133"/>
    </row>
    <row r="4192" spans="1:3">
      <c r="A4192" s="131" t="s">
        <v>12452</v>
      </c>
      <c r="B4192" s="132">
        <v>4.0014666666666669E-8</v>
      </c>
      <c r="C4192" s="133"/>
    </row>
    <row r="4193" spans="1:3">
      <c r="A4193" s="131" t="s">
        <v>12453</v>
      </c>
      <c r="B4193" s="132">
        <v>2.3610000425833277E-6</v>
      </c>
      <c r="C4193" s="133"/>
    </row>
    <row r="4194" spans="1:3">
      <c r="A4194" s="131" t="s">
        <v>12454</v>
      </c>
      <c r="B4194" s="132">
        <v>9.0863239020109177E-3</v>
      </c>
      <c r="C4194" s="133"/>
    </row>
    <row r="4195" spans="1:3">
      <c r="A4195" s="131" t="s">
        <v>12455</v>
      </c>
      <c r="B4195" s="132">
        <v>4.7959306152724478E-4</v>
      </c>
      <c r="C4195" s="133"/>
    </row>
    <row r="4196" spans="1:3">
      <c r="A4196" s="131" t="s">
        <v>12456</v>
      </c>
      <c r="B4196" s="132">
        <v>8.2666818E-3</v>
      </c>
      <c r="C4196" s="133"/>
    </row>
    <row r="4197" spans="1:3">
      <c r="A4197" s="131" t="s">
        <v>12457</v>
      </c>
      <c r="B4197" s="132">
        <v>1.20497E-4</v>
      </c>
      <c r="C4197" s="133"/>
    </row>
    <row r="4198" spans="1:3">
      <c r="A4198" s="131" t="s">
        <v>12458</v>
      </c>
      <c r="B4198" s="132">
        <v>2.1356246400372802E-5</v>
      </c>
      <c r="C4198" s="133"/>
    </row>
    <row r="4199" spans="1:3">
      <c r="A4199" s="131" t="s">
        <v>12459</v>
      </c>
      <c r="B4199" s="132">
        <v>8.2899999999999991</v>
      </c>
      <c r="C4199" s="133"/>
    </row>
    <row r="4200" spans="1:3">
      <c r="A4200" s="131" t="s">
        <v>12460</v>
      </c>
      <c r="B4200" s="132">
        <v>7.6513999374583364E-5</v>
      </c>
      <c r="C4200" s="133"/>
    </row>
    <row r="4201" spans="1:3">
      <c r="A4201" s="131" t="s">
        <v>12461</v>
      </c>
      <c r="B4201" s="132">
        <v>1.2354365780625572E-3</v>
      </c>
      <c r="C4201" s="133"/>
    </row>
    <row r="4202" spans="1:3">
      <c r="A4202" s="131" t="s">
        <v>12462</v>
      </c>
      <c r="B4202" s="132">
        <v>4.1525131091475487E-3</v>
      </c>
      <c r="C4202" s="133"/>
    </row>
    <row r="4203" spans="1:3">
      <c r="A4203" s="131" t="s">
        <v>12463</v>
      </c>
      <c r="B4203" s="132">
        <v>2.2723934438497063E-3</v>
      </c>
      <c r="C4203" s="133"/>
    </row>
    <row r="4204" spans="1:3">
      <c r="A4204" s="131" t="s">
        <v>12464</v>
      </c>
      <c r="B4204" s="132">
        <v>1.3414984271902335E-2</v>
      </c>
      <c r="C4204" s="133"/>
    </row>
    <row r="4205" spans="1:3">
      <c r="A4205" s="131" t="s">
        <v>12465</v>
      </c>
      <c r="B4205" s="132">
        <v>6.1476512582578802E-4</v>
      </c>
      <c r="C4205" s="133"/>
    </row>
    <row r="4206" spans="1:3">
      <c r="A4206" s="131" t="s">
        <v>12466</v>
      </c>
      <c r="B4206" s="132">
        <v>9.9003299999999994E-6</v>
      </c>
      <c r="C4206" s="133"/>
    </row>
    <row r="4207" spans="1:3">
      <c r="A4207" s="131" t="s">
        <v>12467</v>
      </c>
      <c r="B4207" s="132">
        <v>1.0004833340644836E-2</v>
      </c>
      <c r="C4207" s="133"/>
    </row>
    <row r="4208" spans="1:3">
      <c r="A4208" s="131" t="s">
        <v>12468</v>
      </c>
      <c r="B4208" s="132">
        <v>7.3999999017360096E-8</v>
      </c>
      <c r="C4208" s="133"/>
    </row>
    <row r="4209" spans="1:3">
      <c r="A4209" s="131" t="s">
        <v>12469</v>
      </c>
      <c r="B4209" s="132">
        <v>1.2307379999999996E-2</v>
      </c>
      <c r="C4209" s="133"/>
    </row>
    <row r="4210" spans="1:3">
      <c r="A4210" s="131" t="s">
        <v>12470</v>
      </c>
      <c r="B4210" s="132">
        <v>6.9858896199378939E-3</v>
      </c>
      <c r="C4210" s="133"/>
    </row>
    <row r="4211" spans="1:3">
      <c r="A4211" s="131" t="s">
        <v>12471</v>
      </c>
      <c r="B4211" s="132">
        <v>2.1597385570077222E-5</v>
      </c>
      <c r="C4211" s="133"/>
    </row>
    <row r="4212" spans="1:3">
      <c r="A4212" s="131" t="s">
        <v>12472</v>
      </c>
      <c r="B4212" s="132">
        <v>2.8217637912158907E-3</v>
      </c>
      <c r="C4212" s="133"/>
    </row>
    <row r="4213" spans="1:3">
      <c r="A4213" s="131" t="s">
        <v>12473</v>
      </c>
      <c r="B4213" s="132">
        <v>4.5224106666666659E-2</v>
      </c>
      <c r="C4213" s="133"/>
    </row>
    <row r="4214" spans="1:3">
      <c r="A4214" s="131" t="s">
        <v>12474</v>
      </c>
      <c r="B4214" s="132">
        <v>1.8421506149999898E-3</v>
      </c>
      <c r="C4214" s="133"/>
    </row>
    <row r="4215" spans="1:3">
      <c r="A4215" s="131" t="s">
        <v>12475</v>
      </c>
      <c r="B4215" s="132">
        <v>7.6274001912679523E-5</v>
      </c>
      <c r="C4215" s="133"/>
    </row>
    <row r="4216" spans="1:3">
      <c r="A4216" s="131" t="s">
        <v>12476</v>
      </c>
      <c r="B4216" s="132">
        <v>1.7168109770864248E-3</v>
      </c>
      <c r="C4216" s="133"/>
    </row>
    <row r="4217" spans="1:3">
      <c r="A4217" s="131" t="s">
        <v>12477</v>
      </c>
      <c r="B4217" s="132">
        <v>6.2264646740458978E-4</v>
      </c>
      <c r="C4217" s="133"/>
    </row>
    <row r="4218" spans="1:3">
      <c r="A4218" s="131" t="s">
        <v>12478</v>
      </c>
      <c r="B4218" s="132">
        <v>0.43186795711517334</v>
      </c>
      <c r="C4218" s="133"/>
    </row>
    <row r="4219" spans="1:3">
      <c r="A4219" s="131" t="s">
        <v>12479</v>
      </c>
      <c r="B4219" s="132">
        <v>4.2498371933995408E-5</v>
      </c>
      <c r="C4219" s="133"/>
    </row>
    <row r="4220" spans="1:3">
      <c r="A4220" s="131" t="s">
        <v>12480</v>
      </c>
      <c r="B4220" s="132">
        <v>4.2290195958203855E-4</v>
      </c>
      <c r="C4220" s="133"/>
    </row>
    <row r="4221" spans="1:3">
      <c r="A4221" s="131" t="s">
        <v>12481</v>
      </c>
      <c r="B4221" s="132">
        <v>3.1955799204297364E-4</v>
      </c>
      <c r="C4221" s="133"/>
    </row>
    <row r="4222" spans="1:3">
      <c r="A4222" s="131" t="s">
        <v>12482</v>
      </c>
      <c r="B4222" s="132">
        <v>2.3861851077526808E-3</v>
      </c>
      <c r="C4222" s="133"/>
    </row>
    <row r="4223" spans="1:3">
      <c r="A4223" s="131" t="s">
        <v>12483</v>
      </c>
      <c r="B4223" s="132">
        <v>8.6599147555373717E-3</v>
      </c>
      <c r="C4223" s="133"/>
    </row>
    <row r="4224" spans="1:3">
      <c r="A4224" s="131" t="s">
        <v>12484</v>
      </c>
      <c r="B4224" s="132">
        <v>7.7883E-5</v>
      </c>
      <c r="C4224" s="133"/>
    </row>
    <row r="4225" spans="1:3">
      <c r="A4225" s="131" t="s">
        <v>12485</v>
      </c>
      <c r="B4225" s="132">
        <v>2.5505471540001528E-5</v>
      </c>
      <c r="C4225" s="133"/>
    </row>
    <row r="4226" spans="1:3">
      <c r="A4226" s="131" t="s">
        <v>12486</v>
      </c>
      <c r="B4226" s="132">
        <v>1.5801314264535904E-2</v>
      </c>
      <c r="C4226" s="133"/>
    </row>
    <row r="4227" spans="1:3">
      <c r="A4227" s="131" t="s">
        <v>12487</v>
      </c>
      <c r="B4227" s="132">
        <v>9.0667776763439178E-2</v>
      </c>
      <c r="C4227" s="133"/>
    </row>
    <row r="4228" spans="1:3">
      <c r="A4228" s="131" t="s">
        <v>12488</v>
      </c>
      <c r="B4228" s="132">
        <v>5.8800001170311589E-6</v>
      </c>
      <c r="C4228" s="133"/>
    </row>
    <row r="4229" spans="1:3">
      <c r="A4229" s="131" t="s">
        <v>12489</v>
      </c>
      <c r="B4229" s="132">
        <v>4.2066301102750003E-4</v>
      </c>
      <c r="C4229" s="133"/>
    </row>
    <row r="4230" spans="1:3">
      <c r="A4230" s="131" t="s">
        <v>12490</v>
      </c>
      <c r="B4230" s="132">
        <v>7.2026898851618171E-4</v>
      </c>
      <c r="C4230" s="133"/>
    </row>
    <row r="4231" spans="1:3">
      <c r="A4231" s="131" t="s">
        <v>12491</v>
      </c>
      <c r="B4231" s="132">
        <v>2.6411439999999998E-3</v>
      </c>
      <c r="C4231" s="133"/>
    </row>
    <row r="4232" spans="1:3">
      <c r="A4232" s="131" t="s">
        <v>12492</v>
      </c>
      <c r="B4232" s="132">
        <v>3.1632798662770454E-4</v>
      </c>
      <c r="C4232" s="133"/>
    </row>
    <row r="4233" spans="1:3">
      <c r="A4233" s="131" t="s">
        <v>12493</v>
      </c>
      <c r="B4233" s="132">
        <v>1.5269999948941404E-6</v>
      </c>
      <c r="C4233" s="133"/>
    </row>
    <row r="4234" spans="1:3">
      <c r="A4234" s="131" t="s">
        <v>12494</v>
      </c>
      <c r="B4234" s="132">
        <v>6.5286702010780573E-4</v>
      </c>
      <c r="C4234" s="133"/>
    </row>
    <row r="4235" spans="1:3">
      <c r="A4235" s="131" t="s">
        <v>12495</v>
      </c>
      <c r="B4235" s="132">
        <v>5.0902015694757649E-2</v>
      </c>
      <c r="C4235" s="133"/>
    </row>
    <row r="4236" spans="1:3">
      <c r="A4236" s="131" t="s">
        <v>12496</v>
      </c>
      <c r="B4236" s="132">
        <v>9.5238522636943918E-4</v>
      </c>
      <c r="C4236" s="133"/>
    </row>
    <row r="4237" spans="1:3">
      <c r="A4237" s="131" t="s">
        <v>12497</v>
      </c>
      <c r="B4237" s="132">
        <v>1.7999999712969839E-8</v>
      </c>
      <c r="C4237" s="133"/>
    </row>
    <row r="4238" spans="1:3">
      <c r="A4238" s="131" t="s">
        <v>12498</v>
      </c>
      <c r="B4238" s="132">
        <v>4.945599939674139E-4</v>
      </c>
      <c r="C4238" s="133"/>
    </row>
    <row r="4239" spans="1:3">
      <c r="A4239" s="131" t="s">
        <v>12499</v>
      </c>
      <c r="B4239" s="132">
        <v>3.27</v>
      </c>
      <c r="C4239" s="133"/>
    </row>
    <row r="4240" spans="1:3">
      <c r="A4240" s="131" t="s">
        <v>12500</v>
      </c>
      <c r="B4240" s="132">
        <v>0.160090656661</v>
      </c>
      <c r="C4240" s="133"/>
    </row>
    <row r="4241" spans="1:3">
      <c r="A4241" s="131" t="s">
        <v>12501</v>
      </c>
      <c r="B4241" s="132">
        <v>3.8987980256149613E-3</v>
      </c>
      <c r="C4241" s="133"/>
    </row>
    <row r="4242" spans="1:3">
      <c r="A4242" s="131" t="s">
        <v>12502</v>
      </c>
      <c r="B4242" s="132">
        <v>2.899584174156189E-2</v>
      </c>
      <c r="C4242" s="133"/>
    </row>
    <row r="4243" spans="1:3">
      <c r="A4243" s="131" t="s">
        <v>12503</v>
      </c>
      <c r="B4243" s="132">
        <v>8.2874232027081215E-3</v>
      </c>
      <c r="C4243" s="133"/>
    </row>
    <row r="4244" spans="1:3">
      <c r="A4244" s="131" t="s">
        <v>12504</v>
      </c>
      <c r="B4244" s="132">
        <v>3.0720001086592674E-4</v>
      </c>
      <c r="C4244" s="133"/>
    </row>
    <row r="4245" spans="1:3">
      <c r="A4245" s="131" t="s">
        <v>12505</v>
      </c>
      <c r="B4245" s="132">
        <v>1.5404855832457542E-2</v>
      </c>
      <c r="C4245" s="133"/>
    </row>
    <row r="4246" spans="1:3">
      <c r="A4246" s="131" t="s">
        <v>12506</v>
      </c>
      <c r="B4246" s="132">
        <v>1.9810430239886045E-3</v>
      </c>
      <c r="C4246" s="133"/>
    </row>
    <row r="4247" spans="1:3">
      <c r="A4247" s="131" t="s">
        <v>12507</v>
      </c>
      <c r="B4247" s="132">
        <v>0.46771997213363647</v>
      </c>
      <c r="C4247" s="133"/>
    </row>
    <row r="4248" spans="1:3">
      <c r="A4248" s="131" t="s">
        <v>12508</v>
      </c>
      <c r="B4248" s="132">
        <v>6.9974637078628124E-4</v>
      </c>
      <c r="C4248" s="133"/>
    </row>
    <row r="4249" spans="1:3">
      <c r="A4249" s="131" t="s">
        <v>12509</v>
      </c>
      <c r="B4249" s="132">
        <v>2.87</v>
      </c>
      <c r="C4249" s="133"/>
    </row>
    <row r="4250" spans="1:3">
      <c r="A4250" s="131" t="s">
        <v>12510</v>
      </c>
      <c r="B4250" s="132">
        <v>4.0019999687501695E-6</v>
      </c>
      <c r="C4250" s="133"/>
    </row>
    <row r="4251" spans="1:3">
      <c r="A4251" s="131" t="s">
        <v>12511</v>
      </c>
      <c r="B4251" s="132">
        <v>1.3697640543799504E-2</v>
      </c>
      <c r="C4251" s="133"/>
    </row>
    <row r="4252" spans="1:3">
      <c r="A4252" s="131" t="s">
        <v>12512</v>
      </c>
      <c r="B4252" s="132">
        <v>2.3778000468155369E-5</v>
      </c>
      <c r="C4252" s="133"/>
    </row>
    <row r="4253" spans="1:3">
      <c r="A4253" s="131" t="s">
        <v>12513</v>
      </c>
      <c r="B4253" s="132">
        <v>1.1006233333333321E-3</v>
      </c>
      <c r="C4253" s="133"/>
    </row>
    <row r="4254" spans="1:3">
      <c r="A4254" s="131" t="s">
        <v>12514</v>
      </c>
      <c r="B4254" s="132">
        <v>1.2959899322595447E-4</v>
      </c>
      <c r="C4254" s="133"/>
    </row>
    <row r="4255" spans="1:3">
      <c r="A4255" s="131" t="s">
        <v>12515</v>
      </c>
      <c r="B4255" s="132">
        <v>9.735513666666665E-5</v>
      </c>
      <c r="C4255" s="133"/>
    </row>
    <row r="4256" spans="1:3">
      <c r="A4256" s="131" t="s">
        <v>12516</v>
      </c>
      <c r="B4256" s="132">
        <v>9.1378830265574404E-2</v>
      </c>
      <c r="C4256" s="133"/>
    </row>
    <row r="4257" spans="1:3">
      <c r="A4257" s="131" t="s">
        <v>12517</v>
      </c>
      <c r="B4257" s="132">
        <v>1.0027459696114962E-4</v>
      </c>
      <c r="C4257" s="133"/>
    </row>
    <row r="4258" spans="1:3">
      <c r="A4258" s="131" t="s">
        <v>12518</v>
      </c>
      <c r="B4258" s="132">
        <v>62381</v>
      </c>
      <c r="C4258" s="133"/>
    </row>
    <row r="4259" spans="1:3">
      <c r="A4259" s="131" t="s">
        <v>12519</v>
      </c>
      <c r="B4259" s="132">
        <v>3.5833926020740475E-6</v>
      </c>
      <c r="C4259" s="133"/>
    </row>
    <row r="4260" spans="1:3">
      <c r="A4260" s="131" t="s">
        <v>12520</v>
      </c>
      <c r="B4260" s="132">
        <v>0.12794748527122807</v>
      </c>
      <c r="C4260" s="133"/>
    </row>
    <row r="4261" spans="1:3">
      <c r="A4261" s="131" t="s">
        <v>12521</v>
      </c>
      <c r="B4261" s="132">
        <v>4.9044858549787728E-4</v>
      </c>
      <c r="C4261" s="133"/>
    </row>
    <row r="4262" spans="1:3">
      <c r="A4262" s="131" t="s">
        <v>12522</v>
      </c>
      <c r="B4262" s="132">
        <v>2.92499964815435E-2</v>
      </c>
      <c r="C4262" s="133"/>
    </row>
    <row r="4263" spans="1:3">
      <c r="A4263" s="131" t="s">
        <v>12523</v>
      </c>
      <c r="B4263" s="132">
        <v>2.4189399846363813E-4</v>
      </c>
      <c r="C4263" s="133"/>
    </row>
    <row r="4264" spans="1:3">
      <c r="A4264" s="131" t="s">
        <v>12524</v>
      </c>
      <c r="B4264" s="132">
        <v>4.0775450599999996E-4</v>
      </c>
      <c r="C4264" s="133"/>
    </row>
    <row r="4265" spans="1:3">
      <c r="A4265" s="131" t="s">
        <v>12525</v>
      </c>
      <c r="B4265" s="132">
        <v>2.0279999262129422E-6</v>
      </c>
      <c r="C4265" s="133"/>
    </row>
    <row r="4266" spans="1:3">
      <c r="A4266" s="131" t="s">
        <v>12526</v>
      </c>
      <c r="B4266" s="132">
        <v>1.0196359333333332E-2</v>
      </c>
      <c r="C4266" s="133"/>
    </row>
    <row r="4267" spans="1:3">
      <c r="A4267" s="131" t="s">
        <v>12527</v>
      </c>
      <c r="B4267" s="132">
        <v>4.4039401109330356E-4</v>
      </c>
      <c r="C4267" s="133"/>
    </row>
    <row r="4268" spans="1:3">
      <c r="A4268" s="131" t="s">
        <v>12528</v>
      </c>
      <c r="B4268" s="132">
        <v>1.8311900203116238E-4</v>
      </c>
      <c r="C4268" s="133"/>
    </row>
    <row r="4269" spans="1:3">
      <c r="A4269" s="131" t="s">
        <v>12529</v>
      </c>
      <c r="B4269" s="132">
        <v>1.7792500148061663E-4</v>
      </c>
      <c r="C4269" s="133"/>
    </row>
    <row r="4270" spans="1:3">
      <c r="A4270" s="131" t="s">
        <v>12530</v>
      </c>
      <c r="B4270" s="132">
        <v>1.07790001493413E-5</v>
      </c>
      <c r="C4270" s="133"/>
    </row>
    <row r="4271" spans="1:3">
      <c r="A4271" s="131" t="s">
        <v>12531</v>
      </c>
      <c r="B4271" s="132">
        <v>3.1386002523753735E-5</v>
      </c>
      <c r="C4271" s="133"/>
    </row>
    <row r="4272" spans="1:3">
      <c r="A4272" s="131" t="s">
        <v>12532</v>
      </c>
      <c r="B4272" s="132">
        <v>8.6309999460354447E-5</v>
      </c>
      <c r="C4272" s="133"/>
    </row>
    <row r="4273" spans="1:3">
      <c r="A4273" s="131" t="s">
        <v>12533</v>
      </c>
      <c r="B4273" s="132">
        <v>1.3922999642090872E-5</v>
      </c>
      <c r="C4273" s="133"/>
    </row>
    <row r="4274" spans="1:3">
      <c r="A4274" s="131" t="s">
        <v>12534</v>
      </c>
      <c r="B4274" s="132">
        <v>1.4741000086360145E-5</v>
      </c>
      <c r="C4274" s="133"/>
    </row>
    <row r="4275" spans="1:3">
      <c r="A4275" s="131" t="s">
        <v>12535</v>
      </c>
      <c r="B4275" s="132">
        <v>8.8401350291286498E-3</v>
      </c>
      <c r="C4275" s="133"/>
    </row>
    <row r="4276" spans="1:3">
      <c r="A4276" s="131" t="s">
        <v>12536</v>
      </c>
      <c r="B4276" s="132">
        <v>1.100313663482666E-2</v>
      </c>
      <c r="C4276" s="133"/>
    </row>
    <row r="4277" spans="1:3">
      <c r="A4277" s="131" t="s">
        <v>12537</v>
      </c>
      <c r="B4277" s="132">
        <v>8.9738998212851584E-5</v>
      </c>
      <c r="C4277" s="133"/>
    </row>
    <row r="4278" spans="1:3">
      <c r="A4278" s="131" t="s">
        <v>12538</v>
      </c>
      <c r="B4278" s="132">
        <v>2.900000062311392E-8</v>
      </c>
      <c r="C4278" s="133"/>
    </row>
    <row r="4279" spans="1:3">
      <c r="A4279" s="131" t="s">
        <v>12539</v>
      </c>
      <c r="B4279" s="132">
        <v>1.6130999938468449E-5</v>
      </c>
      <c r="C4279" s="133"/>
    </row>
    <row r="4280" spans="1:3">
      <c r="A4280" s="131" t="s">
        <v>12540</v>
      </c>
      <c r="B4280" s="132">
        <v>7.3821224153132196E-5</v>
      </c>
      <c r="C4280" s="133"/>
    </row>
    <row r="4281" spans="1:3">
      <c r="A4281" s="131" t="s">
        <v>12541</v>
      </c>
      <c r="B4281" s="132">
        <v>4.2017383932738494E-5</v>
      </c>
      <c r="C4281" s="133"/>
    </row>
    <row r="4282" spans="1:3">
      <c r="A4282" s="131" t="s">
        <v>12542</v>
      </c>
      <c r="B4282" s="132">
        <v>0.21088875830173492</v>
      </c>
      <c r="C4282" s="133"/>
    </row>
    <row r="4283" spans="1:3">
      <c r="A4283" s="131" t="s">
        <v>12543</v>
      </c>
      <c r="B4283" s="132">
        <v>8.2308566911047339E-4</v>
      </c>
      <c r="C4283" s="133"/>
    </row>
    <row r="4284" spans="1:3">
      <c r="A4284" s="131" t="s">
        <v>12544</v>
      </c>
      <c r="B4284" s="132">
        <v>0.37511244333333332</v>
      </c>
      <c r="C4284" s="133"/>
    </row>
    <row r="4285" spans="1:3">
      <c r="A4285" s="131" t="s">
        <v>12545</v>
      </c>
      <c r="B4285" s="132">
        <v>1.3000000365082087E-7</v>
      </c>
      <c r="C4285" s="133"/>
    </row>
    <row r="4286" spans="1:3">
      <c r="A4286" s="131" t="s">
        <v>12546</v>
      </c>
      <c r="B4286" s="132">
        <v>1.3081407300533402E-4</v>
      </c>
      <c r="C4286" s="133"/>
    </row>
    <row r="4287" spans="1:3">
      <c r="A4287" s="131" t="s">
        <v>12547</v>
      </c>
      <c r="B4287" s="132">
        <v>0.20003022253513336</v>
      </c>
      <c r="C4287" s="133"/>
    </row>
    <row r="4288" spans="1:3">
      <c r="A4288" s="131" t="s">
        <v>12548</v>
      </c>
      <c r="B4288" s="132">
        <v>9.6136197680607438E-4</v>
      </c>
      <c r="C4288" s="133"/>
    </row>
    <row r="4289" spans="1:3">
      <c r="A4289" s="131" t="s">
        <v>12549</v>
      </c>
      <c r="B4289" s="132">
        <v>1.4150878337469355E-6</v>
      </c>
      <c r="C4289" s="133"/>
    </row>
    <row r="4290" spans="1:3">
      <c r="A4290" s="131" t="s">
        <v>12550</v>
      </c>
      <c r="B4290" s="132">
        <v>1.0158639634028077E-3</v>
      </c>
      <c r="C4290" s="133"/>
    </row>
    <row r="4291" spans="1:3">
      <c r="A4291" s="131" t="s">
        <v>12551</v>
      </c>
      <c r="B4291" s="132">
        <v>4.2935746000000001E-4</v>
      </c>
      <c r="C4291" s="133"/>
    </row>
    <row r="4292" spans="1:3">
      <c r="A4292" s="131" t="s">
        <v>12552</v>
      </c>
      <c r="B4292" s="132">
        <v>9.0668996563181281E-5</v>
      </c>
      <c r="C4292" s="133"/>
    </row>
    <row r="4293" spans="1:3">
      <c r="A4293" s="131" t="s">
        <v>12553</v>
      </c>
      <c r="B4293" s="132">
        <v>2.3335364890878861E-5</v>
      </c>
      <c r="C4293" s="133"/>
    </row>
    <row r="4294" spans="1:3">
      <c r="A4294" s="131" t="s">
        <v>12554</v>
      </c>
      <c r="B4294" s="132">
        <v>1.0719699639594182E-4</v>
      </c>
      <c r="C4294" s="133"/>
    </row>
    <row r="4295" spans="1:3">
      <c r="A4295" s="131" t="s">
        <v>12555</v>
      </c>
      <c r="B4295" s="132">
        <v>3.2224069392025622E-5</v>
      </c>
      <c r="C4295" s="133"/>
    </row>
    <row r="4296" spans="1:3">
      <c r="A4296" s="131" t="s">
        <v>12556</v>
      </c>
      <c r="B4296" s="132">
        <v>7.1199997364601586E-7</v>
      </c>
      <c r="C4296" s="133"/>
    </row>
    <row r="4297" spans="1:3">
      <c r="A4297" s="131" t="s">
        <v>12557</v>
      </c>
      <c r="B4297" s="132">
        <v>3.9318096853333337E-4</v>
      </c>
      <c r="C4297" s="133"/>
    </row>
    <row r="4298" spans="1:3">
      <c r="A4298" s="131" t="s">
        <v>12558</v>
      </c>
      <c r="B4298" s="132">
        <v>1.0103366666666667E-3</v>
      </c>
      <c r="C4298" s="133"/>
    </row>
    <row r="4299" spans="1:3">
      <c r="A4299" s="131" t="s">
        <v>12559</v>
      </c>
      <c r="B4299" s="132">
        <v>1.0005666666666666E-3</v>
      </c>
      <c r="C4299" s="133"/>
    </row>
    <row r="4300" spans="1:3">
      <c r="A4300" s="131" t="s">
        <v>12560</v>
      </c>
      <c r="B4300" s="132">
        <v>3.5728460643440485E-3</v>
      </c>
      <c r="C4300" s="133"/>
    </row>
    <row r="4301" spans="1:3">
      <c r="A4301" s="131" t="s">
        <v>12561</v>
      </c>
      <c r="B4301" s="132">
        <v>3.0032009817659855E-3</v>
      </c>
      <c r="C4301" s="133"/>
    </row>
    <row r="4302" spans="1:3">
      <c r="A4302" s="131" t="s">
        <v>12562</v>
      </c>
      <c r="B4302" s="132">
        <v>3.8022799999999998E-5</v>
      </c>
      <c r="C4302" s="133"/>
    </row>
    <row r="4303" spans="1:3">
      <c r="A4303" s="131" t="s">
        <v>12563</v>
      </c>
      <c r="B4303" s="132">
        <v>2.4315389999999998E-4</v>
      </c>
      <c r="C4303" s="133"/>
    </row>
    <row r="4304" spans="1:3">
      <c r="A4304" s="131" t="s">
        <v>12564</v>
      </c>
      <c r="B4304" s="132">
        <v>1.5270360745489597E-2</v>
      </c>
      <c r="C4304" s="133"/>
    </row>
    <row r="4305" spans="1:3">
      <c r="A4305" s="131" t="s">
        <v>12565</v>
      </c>
      <c r="B4305" s="132">
        <v>2.6774082332849503E-2</v>
      </c>
      <c r="C4305" s="133"/>
    </row>
    <row r="4306" spans="1:3">
      <c r="A4306" s="131" t="s">
        <v>12566</v>
      </c>
      <c r="B4306" s="132">
        <v>2.0018000155687332E-2</v>
      </c>
      <c r="C4306" s="133"/>
    </row>
    <row r="4307" spans="1:3">
      <c r="A4307" s="131" t="s">
        <v>12567</v>
      </c>
      <c r="B4307" s="132">
        <v>2.2191100288182497E-4</v>
      </c>
      <c r="C4307" s="133"/>
    </row>
    <row r="4308" spans="1:3">
      <c r="A4308" s="131" t="s">
        <v>12568</v>
      </c>
      <c r="B4308" s="132">
        <v>6.1539588496088982E-3</v>
      </c>
      <c r="C4308" s="133"/>
    </row>
    <row r="4309" spans="1:3">
      <c r="A4309" s="131" t="s">
        <v>12569</v>
      </c>
      <c r="B4309" s="132">
        <v>3.8364522121170266E-2</v>
      </c>
      <c r="C4309" s="133"/>
    </row>
    <row r="4310" spans="1:3">
      <c r="A4310" s="131" t="s">
        <v>12570</v>
      </c>
      <c r="B4310" s="132">
        <v>1.5001442283391953E-2</v>
      </c>
      <c r="C4310" s="133"/>
    </row>
    <row r="4311" spans="1:3">
      <c r="A4311" s="131" t="s">
        <v>12571</v>
      </c>
      <c r="B4311" s="132">
        <v>1.4828523620963097E-2</v>
      </c>
      <c r="C4311" s="133"/>
    </row>
    <row r="4312" spans="1:3">
      <c r="A4312" s="131" t="s">
        <v>12572</v>
      </c>
      <c r="B4312" s="132">
        <v>0.91115307807922363</v>
      </c>
      <c r="C4312" s="133"/>
    </row>
    <row r="4313" spans="1:3">
      <c r="A4313" s="131" t="s">
        <v>12573</v>
      </c>
      <c r="B4313" s="132">
        <v>7.4039002356585115E-5</v>
      </c>
      <c r="C4313" s="133"/>
    </row>
    <row r="4314" spans="1:3">
      <c r="A4314" s="131" t="s">
        <v>12574</v>
      </c>
      <c r="B4314" s="132">
        <v>0.43578598038220001</v>
      </c>
      <c r="C4314" s="133"/>
    </row>
    <row r="4315" spans="1:3">
      <c r="A4315" s="131" t="s">
        <v>12575</v>
      </c>
      <c r="B4315" s="132">
        <v>5.3224001021590084E-5</v>
      </c>
      <c r="C4315" s="133"/>
    </row>
    <row r="4316" spans="1:3">
      <c r="A4316" s="131" t="s">
        <v>12576</v>
      </c>
      <c r="B4316" s="132">
        <v>3.7014644970407183E-3</v>
      </c>
      <c r="C4316" s="133"/>
    </row>
    <row r="4317" spans="1:3">
      <c r="A4317" s="131" t="s">
        <v>12577</v>
      </c>
      <c r="B4317" s="132">
        <v>1.1558702602203559E-4</v>
      </c>
      <c r="C4317" s="133"/>
    </row>
    <row r="4318" spans="1:3">
      <c r="A4318" s="131" t="s">
        <v>12578</v>
      </c>
      <c r="B4318" s="132">
        <v>2.4860768333333332E-3</v>
      </c>
      <c r="C4318" s="133"/>
    </row>
    <row r="4319" spans="1:3">
      <c r="A4319" s="131" t="s">
        <v>12579</v>
      </c>
      <c r="B4319" s="132">
        <v>6.9041399999999996E-3</v>
      </c>
      <c r="C4319" s="133"/>
    </row>
    <row r="4320" spans="1:3">
      <c r="A4320" s="131" t="s">
        <v>12580</v>
      </c>
      <c r="B4320" s="132">
        <v>3.4115231333333336E-2</v>
      </c>
      <c r="C4320" s="133"/>
    </row>
    <row r="4321" spans="1:3">
      <c r="A4321" s="131" t="s">
        <v>12581</v>
      </c>
      <c r="B4321" s="132">
        <v>1.6981600492727011E-4</v>
      </c>
      <c r="C4321" s="133"/>
    </row>
    <row r="4322" spans="1:3">
      <c r="A4322" s="131" t="s">
        <v>12582</v>
      </c>
      <c r="B4322" s="132">
        <v>3.65820207485747E-4</v>
      </c>
      <c r="C4322" s="133"/>
    </row>
    <row r="4323" spans="1:3">
      <c r="A4323" s="131" t="s">
        <v>12583</v>
      </c>
      <c r="B4323" s="132">
        <v>3.6036836000000003E-2</v>
      </c>
      <c r="C4323" s="133"/>
    </row>
    <row r="4324" spans="1:3">
      <c r="A4324" s="131" t="s">
        <v>12584</v>
      </c>
      <c r="B4324" s="132">
        <v>3.8413199945352972E-4</v>
      </c>
      <c r="C4324" s="133"/>
    </row>
    <row r="4325" spans="1:3">
      <c r="A4325" s="131" t="s">
        <v>12585</v>
      </c>
      <c r="B4325" s="132">
        <v>4.153829941060394E-4</v>
      </c>
      <c r="C4325" s="133"/>
    </row>
    <row r="4326" spans="1:3">
      <c r="A4326" s="131" t="s">
        <v>12586</v>
      </c>
      <c r="B4326" s="132">
        <v>1.6340000001946464E-6</v>
      </c>
      <c r="C4326" s="133"/>
    </row>
    <row r="4327" spans="1:3">
      <c r="A4327" s="131" t="s">
        <v>12587</v>
      </c>
      <c r="B4327" s="132">
        <v>0.1065939552788636</v>
      </c>
      <c r="C4327" s="133"/>
    </row>
    <row r="4328" spans="1:3">
      <c r="A4328" s="131" t="s">
        <v>12588</v>
      </c>
      <c r="B4328" s="132">
        <v>0.99303578099694467</v>
      </c>
      <c r="C4328" s="133"/>
    </row>
    <row r="4329" spans="1:3">
      <c r="A4329" s="131" t="s">
        <v>12589</v>
      </c>
      <c r="B4329" s="132">
        <v>1.2452600640244782E-4</v>
      </c>
      <c r="C4329" s="133"/>
    </row>
    <row r="4330" spans="1:3">
      <c r="A4330" s="131" t="s">
        <v>12590</v>
      </c>
      <c r="B4330" s="132">
        <v>7.10426E-4</v>
      </c>
      <c r="C4330" s="133"/>
    </row>
    <row r="4331" spans="1:3">
      <c r="A4331" s="131" t="s">
        <v>12591</v>
      </c>
      <c r="B4331" s="132">
        <v>1.9279043585562164E-4</v>
      </c>
      <c r="C4331" s="133"/>
    </row>
    <row r="4332" spans="1:3">
      <c r="A4332" s="131" t="s">
        <v>12592</v>
      </c>
      <c r="B4332" s="132">
        <v>2.0009774840079794E-5</v>
      </c>
      <c r="C4332" s="133"/>
    </row>
    <row r="4333" spans="1:3">
      <c r="A4333" s="131" t="s">
        <v>12593</v>
      </c>
      <c r="B4333" s="132">
        <v>1.1846700363093987E-4</v>
      </c>
      <c r="C4333" s="133"/>
    </row>
    <row r="4334" spans="1:3">
      <c r="A4334" s="131" t="s">
        <v>12594</v>
      </c>
      <c r="B4334" s="132">
        <v>4.200238E-4</v>
      </c>
      <c r="C4334" s="133"/>
    </row>
    <row r="4335" spans="1:3">
      <c r="A4335" s="131" t="s">
        <v>12595</v>
      </c>
      <c r="B4335" s="132">
        <v>1.6866999430931173E-5</v>
      </c>
      <c r="C4335" s="133"/>
    </row>
    <row r="4336" spans="1:3">
      <c r="A4336" s="131" t="s">
        <v>12596</v>
      </c>
      <c r="B4336" s="132">
        <v>9.1681999037973583E-5</v>
      </c>
      <c r="C4336" s="133"/>
    </row>
    <row r="4337" spans="1:3">
      <c r="A4337" s="131" t="s">
        <v>12597</v>
      </c>
      <c r="B4337" s="132">
        <v>9.2616039391790559E-3</v>
      </c>
      <c r="C4337" s="133"/>
    </row>
    <row r="4338" spans="1:3">
      <c r="A4338" s="131" t="s">
        <v>12598</v>
      </c>
      <c r="B4338" s="132">
        <v>7.4023621806767192E-2</v>
      </c>
      <c r="C4338" s="133"/>
    </row>
    <row r="4339" spans="1:3">
      <c r="A4339" s="131" t="s">
        <v>12599</v>
      </c>
      <c r="B4339" s="132">
        <v>2.38</v>
      </c>
      <c r="C4339" s="133"/>
    </row>
    <row r="4340" spans="1:3">
      <c r="A4340" s="131" t="s">
        <v>12600</v>
      </c>
      <c r="B4340" s="132">
        <v>2.81</v>
      </c>
      <c r="C4340" s="133"/>
    </row>
    <row r="4341" spans="1:3">
      <c r="A4341" s="131" t="s">
        <v>12601</v>
      </c>
      <c r="B4341" s="132">
        <v>1.6217679949477315E-3</v>
      </c>
      <c r="C4341" s="133"/>
    </row>
    <row r="4342" spans="1:3">
      <c r="A4342" s="131" t="s">
        <v>12602</v>
      </c>
      <c r="B4342" s="132">
        <v>8.8891996711026877E-5</v>
      </c>
      <c r="C4342" s="133"/>
    </row>
    <row r="4343" spans="1:3">
      <c r="A4343" s="131" t="s">
        <v>12603</v>
      </c>
      <c r="B4343" s="132">
        <v>8.0015997809823602E-5</v>
      </c>
      <c r="C4343" s="133"/>
    </row>
    <row r="4344" spans="1:3">
      <c r="A4344" s="131" t="s">
        <v>12604</v>
      </c>
      <c r="B4344" s="132">
        <v>3.1623529977116443E-4</v>
      </c>
      <c r="C4344" s="133"/>
    </row>
    <row r="4345" spans="1:3">
      <c r="A4345" s="131" t="s">
        <v>12605</v>
      </c>
      <c r="B4345" s="132">
        <v>7.0016584403049406E-5</v>
      </c>
      <c r="C4345" s="133"/>
    </row>
    <row r="4346" spans="1:3">
      <c r="A4346" s="131" t="s">
        <v>12606</v>
      </c>
      <c r="B4346" s="132">
        <v>2.1429850199999993E-2</v>
      </c>
      <c r="C4346" s="133"/>
    </row>
    <row r="4347" spans="1:3">
      <c r="A4347" s="131" t="s">
        <v>12607</v>
      </c>
      <c r="B4347" s="132">
        <v>2.8004200430586934E-4</v>
      </c>
      <c r="C4347" s="133"/>
    </row>
    <row r="4348" spans="1:3">
      <c r="A4348" s="131" t="s">
        <v>12608</v>
      </c>
      <c r="B4348" s="132">
        <v>7.6550482887734845E-6</v>
      </c>
      <c r="C4348" s="133"/>
    </row>
    <row r="4349" spans="1:3">
      <c r="A4349" s="131" t="s">
        <v>12609</v>
      </c>
      <c r="B4349" s="132">
        <v>1.7968419706448913E-3</v>
      </c>
      <c r="C4349" s="133"/>
    </row>
    <row r="4350" spans="1:3">
      <c r="A4350" s="131" t="s">
        <v>12610</v>
      </c>
      <c r="B4350" s="132">
        <v>7.6209879480302334E-3</v>
      </c>
      <c r="C4350" s="133"/>
    </row>
    <row r="4351" spans="1:3">
      <c r="A4351" s="131" t="s">
        <v>12611</v>
      </c>
      <c r="B4351" s="132">
        <v>2.1157879382371902E-3</v>
      </c>
      <c r="C4351" s="133"/>
    </row>
    <row r="4352" spans="1:3">
      <c r="A4352" s="131" t="s">
        <v>12612</v>
      </c>
      <c r="B4352" s="132">
        <v>1.3443905860185623E-2</v>
      </c>
      <c r="C4352" s="133"/>
    </row>
    <row r="4353" spans="1:3">
      <c r="A4353" s="131" t="s">
        <v>12613</v>
      </c>
      <c r="B4353" s="132">
        <v>8.9547000243328512E-5</v>
      </c>
      <c r="C4353" s="133"/>
    </row>
    <row r="4354" spans="1:3">
      <c r="A4354" s="131" t="s">
        <v>12614</v>
      </c>
      <c r="B4354" s="132">
        <v>3.3829999210865935E-6</v>
      </c>
      <c r="C4354" s="133"/>
    </row>
    <row r="4355" spans="1:3">
      <c r="A4355" s="131" t="s">
        <v>12615</v>
      </c>
      <c r="B4355" s="132">
        <v>1.8419892636496515E-2</v>
      </c>
      <c r="C4355" s="133"/>
    </row>
    <row r="4356" spans="1:3">
      <c r="A4356" s="131" t="s">
        <v>12616</v>
      </c>
      <c r="B4356" s="132">
        <v>1.0788119229085129</v>
      </c>
      <c r="C4356" s="133"/>
    </row>
    <row r="4357" spans="1:3">
      <c r="A4357" s="131" t="s">
        <v>12617</v>
      </c>
      <c r="B4357" s="132">
        <v>6.24062679708004E-3</v>
      </c>
      <c r="C4357" s="133"/>
    </row>
    <row r="4358" spans="1:3">
      <c r="A4358" s="131" t="s">
        <v>12618</v>
      </c>
      <c r="B4358" s="132">
        <v>1.4149954769152797E-3</v>
      </c>
      <c r="C4358" s="133"/>
    </row>
    <row r="4359" spans="1:3">
      <c r="A4359" s="131" t="s">
        <v>12619</v>
      </c>
      <c r="B4359" s="132">
        <v>1.0330684226511247E-2</v>
      </c>
      <c r="C4359" s="133"/>
    </row>
    <row r="4360" spans="1:3">
      <c r="A4360" s="131" t="s">
        <v>12620</v>
      </c>
      <c r="B4360" s="132">
        <v>6.2664309449135904E-4</v>
      </c>
      <c r="C4360" s="133"/>
    </row>
    <row r="4361" spans="1:3">
      <c r="A4361" s="131" t="s">
        <v>12621</v>
      </c>
      <c r="B4361" s="132">
        <v>2.9505681501198512E-3</v>
      </c>
      <c r="C4361" s="133"/>
    </row>
    <row r="4362" spans="1:3">
      <c r="A4362" s="131" t="s">
        <v>12622</v>
      </c>
      <c r="B4362" s="132">
        <v>2.0814322400000002E-3</v>
      </c>
      <c r="C4362" s="133"/>
    </row>
    <row r="4363" spans="1:3">
      <c r="A4363" s="131" t="s">
        <v>12623</v>
      </c>
      <c r="B4363" s="132">
        <v>0.10585276153644041</v>
      </c>
      <c r="C4363" s="133"/>
    </row>
    <row r="4364" spans="1:3">
      <c r="A4364" s="131" t="s">
        <v>12624</v>
      </c>
      <c r="B4364" s="132">
        <v>1.4119249254113946</v>
      </c>
      <c r="C4364" s="133"/>
    </row>
    <row r="4365" spans="1:3">
      <c r="A4365" s="131" t="s">
        <v>12625</v>
      </c>
      <c r="B4365" s="132">
        <v>9.4846000000000006E-5</v>
      </c>
      <c r="C4365" s="133"/>
    </row>
    <row r="4366" spans="1:3">
      <c r="A4366" s="131" t="s">
        <v>12626</v>
      </c>
      <c r="B4366" s="132">
        <v>1.6954299644567072E-4</v>
      </c>
      <c r="C4366" s="133"/>
    </row>
    <row r="4367" spans="1:3">
      <c r="A4367" s="131" t="s">
        <v>12627</v>
      </c>
      <c r="B4367" s="132">
        <v>2.3238999347086065E-5</v>
      </c>
      <c r="C4367" s="133"/>
    </row>
    <row r="4368" spans="1:3">
      <c r="A4368" s="131" t="s">
        <v>12628</v>
      </c>
      <c r="B4368" s="132">
        <v>7.8194003435783088E-5</v>
      </c>
      <c r="C4368" s="133"/>
    </row>
    <row r="4369" spans="1:3">
      <c r="A4369" s="131" t="s">
        <v>12629</v>
      </c>
      <c r="B4369" s="132">
        <v>8.8077002146746963E-5</v>
      </c>
      <c r="C4369" s="133"/>
    </row>
    <row r="4370" spans="1:3">
      <c r="A4370" s="131" t="s">
        <v>12630</v>
      </c>
      <c r="B4370" s="132">
        <v>1422.45</v>
      </c>
      <c r="C4370" s="133"/>
    </row>
    <row r="4371" spans="1:3">
      <c r="A4371" s="131" t="s">
        <v>12631</v>
      </c>
      <c r="B4371" s="132">
        <v>1.8531548670938357E-4</v>
      </c>
      <c r="C4371" s="133"/>
    </row>
    <row r="4372" spans="1:3">
      <c r="A4372" s="131" t="s">
        <v>12632</v>
      </c>
      <c r="B4372" s="132">
        <v>0.15034837183405014</v>
      </c>
      <c r="C4372" s="133"/>
    </row>
    <row r="4373" spans="1:3">
      <c r="A4373" s="131" t="s">
        <v>12633</v>
      </c>
      <c r="B4373" s="132">
        <v>1.2116736410883746</v>
      </c>
      <c r="C4373" s="133"/>
    </row>
    <row r="4374" spans="1:3">
      <c r="A4374" s="131" t="s">
        <v>12634</v>
      </c>
      <c r="B4374" s="132">
        <v>2.0409999706316739E-5</v>
      </c>
      <c r="C4374" s="133"/>
    </row>
    <row r="4375" spans="1:3">
      <c r="A4375" s="131" t="s">
        <v>12635</v>
      </c>
      <c r="B4375" s="132">
        <v>9.8834926245004572E-3</v>
      </c>
      <c r="C4375" s="133"/>
    </row>
    <row r="4376" spans="1:3">
      <c r="A4376" s="131" t="s">
        <v>12636</v>
      </c>
      <c r="B4376" s="132">
        <v>0.22502881288528442</v>
      </c>
      <c r="C4376" s="133"/>
    </row>
    <row r="4377" spans="1:3">
      <c r="A4377" s="131" t="s">
        <v>12637</v>
      </c>
      <c r="B4377" s="132">
        <v>0.2580713568811846</v>
      </c>
      <c r="C4377" s="133"/>
    </row>
    <row r="4378" spans="1:3">
      <c r="A4378" s="131" t="s">
        <v>12638</v>
      </c>
      <c r="B4378" s="132">
        <v>8.6774001829326153E-5</v>
      </c>
      <c r="C4378" s="133"/>
    </row>
    <row r="4379" spans="1:3">
      <c r="A4379" s="131" t="s">
        <v>12639</v>
      </c>
      <c r="B4379" s="132">
        <v>8.7267498020082712E-4</v>
      </c>
      <c r="C4379" s="133"/>
    </row>
    <row r="4380" spans="1:3">
      <c r="A4380" s="131" t="s">
        <v>12640</v>
      </c>
      <c r="B4380" s="132">
        <v>3.4282095730304718E-2</v>
      </c>
      <c r="C4380" s="133"/>
    </row>
    <row r="4381" spans="1:3">
      <c r="A4381" s="131" t="s">
        <v>12641</v>
      </c>
      <c r="B4381" s="132">
        <v>1.0239300318062305E-3</v>
      </c>
      <c r="C4381" s="133"/>
    </row>
    <row r="4382" spans="1:3">
      <c r="A4382" s="131" t="s">
        <v>12642</v>
      </c>
      <c r="B4382" s="132">
        <v>1.9206400000000001E-4</v>
      </c>
      <c r="C4382" s="133"/>
    </row>
    <row r="4383" spans="1:3">
      <c r="A4383" s="131" t="s">
        <v>12643</v>
      </c>
      <c r="B4383" s="132">
        <v>2.1838298034585184E-4</v>
      </c>
      <c r="C4383" s="133"/>
    </row>
    <row r="4384" spans="1:3">
      <c r="A4384" s="131" t="s">
        <v>12644</v>
      </c>
      <c r="B4384" s="132">
        <v>4.9000000217347406E-6</v>
      </c>
      <c r="C4384" s="133"/>
    </row>
    <row r="4385" spans="1:3">
      <c r="A4385" s="131" t="s">
        <v>12645</v>
      </c>
      <c r="B4385" s="132">
        <v>5.3741464605354446E-3</v>
      </c>
      <c r="C4385" s="133"/>
    </row>
    <row r="4386" spans="1:3">
      <c r="A4386" s="131" t="s">
        <v>12646</v>
      </c>
      <c r="B4386" s="132">
        <v>7.035899015722609E-12</v>
      </c>
      <c r="C4386" s="133"/>
    </row>
    <row r="4387" spans="1:3">
      <c r="A4387" s="131" t="s">
        <v>12647</v>
      </c>
      <c r="B4387" s="132">
        <v>8.302425599999999E-5</v>
      </c>
      <c r="C4387" s="133"/>
    </row>
    <row r="4388" spans="1:3">
      <c r="A4388" s="131" t="s">
        <v>12648</v>
      </c>
      <c r="B4388" s="132">
        <v>4.9417463122502286E-3</v>
      </c>
      <c r="C4388" s="133"/>
    </row>
    <row r="4389" spans="1:3">
      <c r="A4389" s="131" t="s">
        <v>12649</v>
      </c>
      <c r="B4389" s="132">
        <v>5.48951915479795E-5</v>
      </c>
      <c r="C4389" s="133"/>
    </row>
    <row r="4390" spans="1:3">
      <c r="A4390" s="131" t="s">
        <v>12650</v>
      </c>
      <c r="B4390" s="132">
        <v>6.5574997279327363E-5</v>
      </c>
      <c r="C4390" s="133"/>
    </row>
    <row r="4391" spans="1:3">
      <c r="A4391" s="131" t="s">
        <v>12651</v>
      </c>
      <c r="B4391" s="132">
        <v>1.1901590041816235E-3</v>
      </c>
      <c r="C4391" s="133"/>
    </row>
    <row r="4392" spans="1:3">
      <c r="A4392" s="131" t="s">
        <v>12652</v>
      </c>
      <c r="B4392" s="132">
        <v>3.3295410685241222E-3</v>
      </c>
      <c r="C4392" s="133"/>
    </row>
    <row r="4393" spans="1:3">
      <c r="A4393" s="131" t="s">
        <v>12653</v>
      </c>
      <c r="B4393" s="132">
        <v>1.4455098593411703E-3</v>
      </c>
      <c r="C4393" s="133"/>
    </row>
    <row r="4394" spans="1:3">
      <c r="A4394" s="131" t="s">
        <v>12654</v>
      </c>
      <c r="B4394" s="132">
        <v>2.6696207198306253E-2</v>
      </c>
      <c r="C4394" s="133"/>
    </row>
    <row r="4395" spans="1:3">
      <c r="A4395" s="131" t="s">
        <v>12655</v>
      </c>
      <c r="B4395" s="132">
        <v>1.4363999980560038E-5</v>
      </c>
      <c r="C4395" s="133"/>
    </row>
    <row r="4396" spans="1:3">
      <c r="A4396" s="131" t="s">
        <v>12656</v>
      </c>
      <c r="B4396" s="132">
        <v>4.2853181714508977E-2</v>
      </c>
      <c r="C4396" s="133"/>
    </row>
    <row r="4397" spans="1:3">
      <c r="A4397" s="131" t="s">
        <v>12657</v>
      </c>
      <c r="B4397" s="132">
        <v>1.4179700519889593E-4</v>
      </c>
      <c r="C4397" s="133"/>
    </row>
    <row r="4398" spans="1:3">
      <c r="A4398" s="131" t="s">
        <v>12658</v>
      </c>
      <c r="B4398" s="132">
        <v>2.7212699999999999E-4</v>
      </c>
      <c r="C4398" s="133"/>
    </row>
    <row r="4399" spans="1:3">
      <c r="A4399" s="131" t="s">
        <v>12659</v>
      </c>
      <c r="B4399" s="132">
        <v>4.0025333333333331E-4</v>
      </c>
      <c r="C4399" s="133"/>
    </row>
    <row r="4400" spans="1:3">
      <c r="A4400" s="131" t="s">
        <v>12660</v>
      </c>
      <c r="B4400" s="132">
        <v>4.2751958821454382E-4</v>
      </c>
      <c r="C4400" s="133"/>
    </row>
    <row r="4401" spans="1:3">
      <c r="A4401" s="131" t="s">
        <v>12661</v>
      </c>
      <c r="B4401" s="132">
        <v>5.0578797655643701E-5</v>
      </c>
      <c r="C4401" s="133"/>
    </row>
    <row r="4402" spans="1:3">
      <c r="A4402" s="131" t="s">
        <v>12662</v>
      </c>
      <c r="B4402" s="132">
        <v>9.5007999334484339E-5</v>
      </c>
      <c r="C4402" s="133"/>
    </row>
    <row r="4403" spans="1:3">
      <c r="A4403" s="131" t="s">
        <v>12663</v>
      </c>
      <c r="B4403" s="132">
        <v>5.5573807061315515E-4</v>
      </c>
      <c r="C4403" s="133"/>
    </row>
    <row r="4404" spans="1:3">
      <c r="A4404" s="131" t="s">
        <v>12664</v>
      </c>
      <c r="B4404" s="132">
        <v>7.704363333333325E-3</v>
      </c>
      <c r="C4404" s="133"/>
    </row>
    <row r="4405" spans="1:3">
      <c r="A4405" s="131" t="s">
        <v>12665</v>
      </c>
      <c r="B4405" s="132">
        <v>8.3249919999999974E-4</v>
      </c>
      <c r="C4405" s="133"/>
    </row>
    <row r="4406" spans="1:3">
      <c r="A4406" s="131" t="s">
        <v>12666</v>
      </c>
      <c r="B4406" s="132">
        <v>3.0012E-5</v>
      </c>
      <c r="C4406" s="133"/>
    </row>
    <row r="4407" spans="1:3">
      <c r="A4407" s="131" t="s">
        <v>12667</v>
      </c>
      <c r="B4407" s="132">
        <v>3.3611600520089269E-4</v>
      </c>
      <c r="C4407" s="133"/>
    </row>
    <row r="4408" spans="1:3">
      <c r="A4408" s="131" t="s">
        <v>12668</v>
      </c>
      <c r="B4408" s="132">
        <v>2.0099999999999998</v>
      </c>
      <c r="C4408" s="133"/>
    </row>
    <row r="4409" spans="1:3">
      <c r="A4409" s="131" t="s">
        <v>12669</v>
      </c>
      <c r="B4409" s="132">
        <v>1.026889596930592E-5</v>
      </c>
      <c r="C4409" s="133"/>
    </row>
    <row r="4410" spans="1:3">
      <c r="A4410" s="131" t="s">
        <v>12670</v>
      </c>
      <c r="B4410" s="132">
        <v>1.0969999948429177E-6</v>
      </c>
      <c r="C4410" s="133"/>
    </row>
    <row r="4411" spans="1:3">
      <c r="A4411" s="131" t="s">
        <v>12671</v>
      </c>
      <c r="B4411" s="132">
        <v>1.0002666666666666E-3</v>
      </c>
      <c r="C4411" s="133"/>
    </row>
    <row r="4412" spans="1:3">
      <c r="A4412" s="131" t="s">
        <v>12672</v>
      </c>
      <c r="B4412" s="132">
        <v>1.1221885384586176E-2</v>
      </c>
      <c r="C4412" s="133"/>
    </row>
    <row r="4413" spans="1:3">
      <c r="A4413" s="131" t="s">
        <v>12673</v>
      </c>
      <c r="B4413" s="132">
        <v>1.2239000190744629E-3</v>
      </c>
      <c r="C4413" s="133"/>
    </row>
    <row r="4414" spans="1:3">
      <c r="A4414" s="131" t="s">
        <v>12674</v>
      </c>
      <c r="B4414" s="132">
        <v>7.390324354899034E-4</v>
      </c>
      <c r="C4414" s="133"/>
    </row>
    <row r="4415" spans="1:3">
      <c r="A4415" s="131" t="s">
        <v>12675</v>
      </c>
      <c r="B4415" s="132">
        <v>1.1486000403237995E-5</v>
      </c>
      <c r="C4415" s="133"/>
    </row>
    <row r="4416" spans="1:3">
      <c r="A4416" s="131" t="s">
        <v>12676</v>
      </c>
      <c r="B4416" s="132">
        <v>2.5670000468380749E-5</v>
      </c>
      <c r="C4416" s="133"/>
    </row>
    <row r="4417" spans="1:3">
      <c r="A4417" s="131" t="s">
        <v>12677</v>
      </c>
      <c r="B4417" s="132">
        <v>1.5468600031454116E-4</v>
      </c>
      <c r="C4417" s="133"/>
    </row>
    <row r="4418" spans="1:3">
      <c r="A4418" s="131" t="s">
        <v>12678</v>
      </c>
      <c r="B4418" s="132">
        <v>1.8264780341928156E-5</v>
      </c>
      <c r="C4418" s="133"/>
    </row>
    <row r="4419" spans="1:3">
      <c r="A4419" s="131" t="s">
        <v>12679</v>
      </c>
      <c r="B4419" s="132">
        <v>7.4623999999999996E-2</v>
      </c>
      <c r="C4419" s="133"/>
    </row>
    <row r="4420" spans="1:3">
      <c r="A4420" s="131" t="s">
        <v>12680</v>
      </c>
      <c r="B4420" s="132">
        <v>2.4613751524294844E-3</v>
      </c>
      <c r="C4420" s="133"/>
    </row>
    <row r="4421" spans="1:3">
      <c r="A4421" s="131" t="s">
        <v>12681</v>
      </c>
      <c r="B4421" s="132">
        <v>0.13627161085605621</v>
      </c>
      <c r="C4421" s="133"/>
    </row>
    <row r="4422" spans="1:3">
      <c r="A4422" s="131" t="s">
        <v>12682</v>
      </c>
      <c r="B4422" s="132">
        <v>1.1139910221099854</v>
      </c>
      <c r="C4422" s="133"/>
    </row>
    <row r="4423" spans="1:3">
      <c r="A4423" s="131" t="s">
        <v>12683</v>
      </c>
      <c r="B4423" s="132">
        <v>0.15011024475097656</v>
      </c>
      <c r="C4423" s="133"/>
    </row>
    <row r="4424" spans="1:3">
      <c r="A4424" s="131" t="s">
        <v>12684</v>
      </c>
      <c r="B4424" s="132">
        <v>7.0000001350933871E-9</v>
      </c>
      <c r="C4424" s="133"/>
    </row>
    <row r="4425" spans="1:3">
      <c r="A4425" s="131" t="s">
        <v>12685</v>
      </c>
      <c r="B4425" s="132">
        <v>0.8244742751121521</v>
      </c>
      <c r="C4425" s="133"/>
    </row>
    <row r="4426" spans="1:3">
      <c r="A4426" s="131" t="s">
        <v>12686</v>
      </c>
      <c r="B4426" s="132">
        <v>2.4700000000000002</v>
      </c>
      <c r="C4426" s="133"/>
    </row>
    <row r="4427" spans="1:3">
      <c r="A4427" s="131" t="s">
        <v>12687</v>
      </c>
      <c r="B4427" s="132">
        <v>5.7508598547428846E-4</v>
      </c>
      <c r="C4427" s="133"/>
    </row>
    <row r="4428" spans="1:3">
      <c r="A4428" s="131" t="s">
        <v>12688</v>
      </c>
      <c r="B4428" s="132">
        <v>5.9129356254511252E-5</v>
      </c>
      <c r="C4428" s="133"/>
    </row>
    <row r="4429" spans="1:3">
      <c r="A4429" s="131" t="s">
        <v>12689</v>
      </c>
      <c r="B4429" s="132">
        <v>1</v>
      </c>
      <c r="C4429" s="133"/>
    </row>
    <row r="4430" spans="1:3">
      <c r="A4430" s="131" t="s">
        <v>12690</v>
      </c>
      <c r="B4430" s="132">
        <v>0.19631664648757527</v>
      </c>
      <c r="C4430" s="133"/>
    </row>
    <row r="4431" spans="1:3">
      <c r="A4431" s="131" t="s">
        <v>12691</v>
      </c>
      <c r="B4431" s="132">
        <v>8.2753365859389305E-3</v>
      </c>
      <c r="C4431" s="133"/>
    </row>
    <row r="4432" spans="1:3">
      <c r="A4432" s="131" t="s">
        <v>12692</v>
      </c>
      <c r="B4432" s="132">
        <v>6.076600038795732E-5</v>
      </c>
      <c r="C4432" s="133"/>
    </row>
    <row r="4433" spans="1:3">
      <c r="A4433" s="131" t="s">
        <v>12693</v>
      </c>
      <c r="B4433" s="132">
        <v>4.2150029200512425E-3</v>
      </c>
      <c r="C4433" s="133"/>
    </row>
    <row r="4434" spans="1:3">
      <c r="A4434" s="131" t="s">
        <v>12694</v>
      </c>
      <c r="B4434" s="132">
        <v>2.4520880878916001E-4</v>
      </c>
      <c r="C4434" s="133"/>
    </row>
    <row r="4435" spans="1:3">
      <c r="A4435" s="131" t="s">
        <v>12695</v>
      </c>
      <c r="B4435" s="132">
        <v>3.3315999999999997E-5</v>
      </c>
      <c r="C4435" s="133"/>
    </row>
    <row r="4436" spans="1:3">
      <c r="A4436" s="131" t="s">
        <v>12696</v>
      </c>
      <c r="B4436" s="132">
        <v>2.8500999906100333E-4</v>
      </c>
      <c r="C4436" s="133"/>
    </row>
    <row r="4437" spans="1:3">
      <c r="A4437" s="131" t="s">
        <v>12697</v>
      </c>
      <c r="B4437" s="132">
        <v>8.7252003140747547E-5</v>
      </c>
      <c r="C4437" s="133"/>
    </row>
    <row r="4438" spans="1:3">
      <c r="A4438" s="131" t="s">
        <v>12698</v>
      </c>
      <c r="B4438" s="132">
        <v>6.9995300145819783E-4</v>
      </c>
      <c r="C4438" s="133"/>
    </row>
    <row r="4439" spans="1:3">
      <c r="A4439" s="131" t="s">
        <v>12699</v>
      </c>
      <c r="B4439" s="132">
        <v>1.2267310172319412E-2</v>
      </c>
      <c r="C4439" s="133"/>
    </row>
    <row r="4440" spans="1:3">
      <c r="A4440" s="131" t="s">
        <v>12700</v>
      </c>
      <c r="B4440" s="132">
        <v>4.7441399280551686E-4</v>
      </c>
      <c r="C4440" s="133"/>
    </row>
    <row r="4441" spans="1:3">
      <c r="A4441" s="131" t="s">
        <v>12701</v>
      </c>
      <c r="B4441" s="132">
        <v>1.4102147734113419</v>
      </c>
      <c r="C4441" s="133"/>
    </row>
    <row r="4442" spans="1:3">
      <c r="A4442" s="131" t="s">
        <v>12702</v>
      </c>
      <c r="B4442" s="132">
        <v>1.0119799844687805E-4</v>
      </c>
      <c r="C4442" s="133"/>
    </row>
    <row r="4443" spans="1:3">
      <c r="A4443" s="131" t="s">
        <v>12703</v>
      </c>
      <c r="B4443" s="132">
        <v>2.5624168853354379E-3</v>
      </c>
      <c r="C4443" s="133"/>
    </row>
    <row r="4444" spans="1:3">
      <c r="A4444" s="131" t="s">
        <v>12704</v>
      </c>
      <c r="B4444" s="132">
        <v>2.0011333333333333E-5</v>
      </c>
      <c r="C4444" s="133"/>
    </row>
    <row r="4445" spans="1:3">
      <c r="A4445" s="131" t="s">
        <v>12705</v>
      </c>
      <c r="B4445" s="132">
        <v>1.7518838942116834E-2</v>
      </c>
      <c r="C4445" s="133"/>
    </row>
    <row r="4446" spans="1:3">
      <c r="A4446" s="131" t="s">
        <v>12706</v>
      </c>
      <c r="B4446" s="132">
        <v>9.7239468402540532E-5</v>
      </c>
      <c r="C4446" s="133"/>
    </row>
    <row r="4447" spans="1:3">
      <c r="A4447" s="131" t="s">
        <v>12707</v>
      </c>
      <c r="B4447" s="132">
        <v>6.0134056666666665E-2</v>
      </c>
      <c r="C4447" s="133"/>
    </row>
    <row r="4448" spans="1:3">
      <c r="A4448" s="131" t="s">
        <v>12708</v>
      </c>
      <c r="B4448" s="132">
        <v>2.2206599533092231E-4</v>
      </c>
      <c r="C4448" s="133"/>
    </row>
    <row r="4449" spans="1:3">
      <c r="A4449" s="131" t="s">
        <v>12709</v>
      </c>
      <c r="B4449" s="132">
        <v>8.1618003605399281E-5</v>
      </c>
      <c r="C4449" s="133"/>
    </row>
    <row r="4450" spans="1:3">
      <c r="A4450" s="131" t="s">
        <v>12710</v>
      </c>
      <c r="B4450" s="132">
        <v>1.0236218578033185E-8</v>
      </c>
      <c r="C4450" s="133"/>
    </row>
    <row r="4451" spans="1:3">
      <c r="A4451" s="131" t="s">
        <v>12711</v>
      </c>
      <c r="B4451" s="132">
        <v>1.2884689494967461E-3</v>
      </c>
      <c r="C4451" s="133"/>
    </row>
    <row r="4452" spans="1:3">
      <c r="A4452" s="131" t="s">
        <v>12712</v>
      </c>
      <c r="B4452" s="132">
        <v>8.7529828604585827E-4</v>
      </c>
      <c r="C4452" s="133"/>
    </row>
    <row r="4453" spans="1:3">
      <c r="A4453" s="131" t="s">
        <v>12713</v>
      </c>
      <c r="B4453" s="132">
        <v>6.1691041183869924E-4</v>
      </c>
      <c r="C4453" s="133"/>
    </row>
    <row r="4454" spans="1:3">
      <c r="A4454" s="131" t="s">
        <v>12714</v>
      </c>
      <c r="B4454" s="132">
        <v>129.56</v>
      </c>
      <c r="C4454" s="133"/>
    </row>
    <row r="4455" spans="1:3">
      <c r="A4455" s="131" t="s">
        <v>12715</v>
      </c>
      <c r="B4455" s="132">
        <v>7.1228998422157019E-5</v>
      </c>
      <c r="C4455" s="133"/>
    </row>
    <row r="4456" spans="1:3">
      <c r="A4456" s="131" t="s">
        <v>12716</v>
      </c>
      <c r="B4456" s="132">
        <v>2.4668661265784749E-5</v>
      </c>
      <c r="C4456" s="133"/>
    </row>
    <row r="4457" spans="1:3">
      <c r="A4457" s="131" t="s">
        <v>12717</v>
      </c>
      <c r="B4457" s="132">
        <v>3.9014001231407747E-5</v>
      </c>
      <c r="C4457" s="133"/>
    </row>
    <row r="4458" spans="1:3">
      <c r="A4458" s="131" t="s">
        <v>12718</v>
      </c>
      <c r="B4458" s="132">
        <v>1.8090245333333334E-6</v>
      </c>
      <c r="C4458" s="133"/>
    </row>
    <row r="4459" spans="1:3">
      <c r="A4459" s="131" t="s">
        <v>12719</v>
      </c>
      <c r="B4459" s="132">
        <v>4.006100061815232E-5</v>
      </c>
      <c r="C4459" s="133"/>
    </row>
    <row r="4460" spans="1:3">
      <c r="A4460" s="131" t="s">
        <v>12720</v>
      </c>
      <c r="B4460" s="132">
        <v>8.6788000771775842E-5</v>
      </c>
      <c r="C4460" s="133"/>
    </row>
    <row r="4461" spans="1:3">
      <c r="A4461" s="131" t="s">
        <v>12721</v>
      </c>
      <c r="B4461" s="132">
        <v>4.6671301242895424E-4</v>
      </c>
      <c r="C4461" s="133"/>
    </row>
    <row r="4462" spans="1:3">
      <c r="A4462" s="131" t="s">
        <v>12722</v>
      </c>
      <c r="B4462" s="132">
        <v>4.5060000957164448E-6</v>
      </c>
      <c r="C4462" s="133"/>
    </row>
    <row r="4463" spans="1:3">
      <c r="A4463" s="131" t="s">
        <v>12723</v>
      </c>
      <c r="B4463" s="132">
        <v>0.11115513741970062</v>
      </c>
      <c r="C4463" s="133"/>
    </row>
    <row r="4464" spans="1:3">
      <c r="A4464" s="131" t="s">
        <v>12724</v>
      </c>
      <c r="B4464" s="132">
        <v>7.5654999818652868E-5</v>
      </c>
      <c r="C4464" s="133"/>
    </row>
    <row r="4465" spans="1:3">
      <c r="A4465" s="131" t="s">
        <v>12725</v>
      </c>
      <c r="B4465" s="132">
        <v>1.3800920000000005E-3</v>
      </c>
      <c r="C4465" s="133"/>
    </row>
    <row r="4466" spans="1:3">
      <c r="A4466" s="131" t="s">
        <v>12726</v>
      </c>
      <c r="B4466" s="132">
        <v>2.4001599999999993E-3</v>
      </c>
      <c r="C4466" s="133"/>
    </row>
    <row r="4467" spans="1:3">
      <c r="A4467" s="131" t="s">
        <v>12727</v>
      </c>
      <c r="B4467" s="132">
        <v>2.5947326607574348E-2</v>
      </c>
      <c r="C4467" s="133"/>
    </row>
    <row r="4468" spans="1:3">
      <c r="A4468" s="131" t="s">
        <v>12728</v>
      </c>
      <c r="B4468" s="132">
        <v>2.0400600624270737E-4</v>
      </c>
      <c r="C4468" s="133"/>
    </row>
    <row r="4469" spans="1:3">
      <c r="A4469" s="131" t="s">
        <v>12729</v>
      </c>
      <c r="B4469" s="132">
        <v>9.7436978450009227E-4</v>
      </c>
      <c r="C4469" s="133"/>
    </row>
    <row r="4470" spans="1:3">
      <c r="A4470" s="131" t="s">
        <v>12730</v>
      </c>
      <c r="B4470" s="132">
        <v>3.7286260840892288E-2</v>
      </c>
      <c r="C4470" s="133"/>
    </row>
    <row r="4471" spans="1:3">
      <c r="A4471" s="131" t="s">
        <v>12731</v>
      </c>
      <c r="B4471" s="132">
        <v>1.3190000345275621E-6</v>
      </c>
      <c r="C4471" s="133"/>
    </row>
    <row r="4472" spans="1:3">
      <c r="A4472" s="131" t="s">
        <v>12732</v>
      </c>
      <c r="B4472" s="132">
        <v>7.77</v>
      </c>
      <c r="C4472" s="133"/>
    </row>
    <row r="4473" spans="1:3">
      <c r="A4473" s="131" t="s">
        <v>12733</v>
      </c>
      <c r="B4473" s="132">
        <v>6.6770997364073992E-5</v>
      </c>
      <c r="C4473" s="133"/>
    </row>
    <row r="4474" spans="1:3">
      <c r="A4474" s="131" t="s">
        <v>12734</v>
      </c>
      <c r="B4474" s="132">
        <v>4.9906480735092552E-2</v>
      </c>
      <c r="C4474" s="133"/>
    </row>
    <row r="4475" spans="1:3">
      <c r="A4475" s="131" t="s">
        <v>12735</v>
      </c>
      <c r="B4475" s="132">
        <v>1.4698139857500792E-3</v>
      </c>
      <c r="C4475" s="133"/>
    </row>
    <row r="4476" spans="1:3">
      <c r="A4476" s="131" t="s">
        <v>12736</v>
      </c>
      <c r="B4476" s="132">
        <v>1.7699999809265137</v>
      </c>
      <c r="C4476" s="133"/>
    </row>
    <row r="4477" spans="1:3">
      <c r="A4477" s="131" t="s">
        <v>12737</v>
      </c>
      <c r="B4477" s="132">
        <v>7.9405256702109479E-3</v>
      </c>
      <c r="C4477" s="133"/>
    </row>
    <row r="4478" spans="1:3">
      <c r="A4478" s="131" t="s">
        <v>12738</v>
      </c>
      <c r="B4478" s="132">
        <v>5.3575161687406322E-4</v>
      </c>
      <c r="C4478" s="133"/>
    </row>
    <row r="4479" spans="1:3">
      <c r="A4479" s="131" t="s">
        <v>12739</v>
      </c>
      <c r="B4479" s="132">
        <v>1.4717224656569962E-3</v>
      </c>
      <c r="C4479" s="133"/>
    </row>
    <row r="4480" spans="1:3">
      <c r="A4480" s="131" t="s">
        <v>12740</v>
      </c>
      <c r="B4480" s="132">
        <v>4.8640870408191122E-5</v>
      </c>
      <c r="C4480" s="133"/>
    </row>
    <row r="4481" spans="1:3">
      <c r="A4481" s="131" t="s">
        <v>12741</v>
      </c>
      <c r="B4481" s="132">
        <v>8.9916400611400604E-4</v>
      </c>
      <c r="C4481" s="133"/>
    </row>
    <row r="4482" spans="1:3">
      <c r="A4482" s="131" t="s">
        <v>12742</v>
      </c>
      <c r="B4482" s="132">
        <v>3.0991334222318321E-6</v>
      </c>
      <c r="C4482" s="133"/>
    </row>
    <row r="4483" spans="1:3">
      <c r="A4483" s="131" t="s">
        <v>12743</v>
      </c>
      <c r="B4483" s="132">
        <v>3.6627487366978628E-2</v>
      </c>
      <c r="C4483" s="133"/>
    </row>
    <row r="4484" spans="1:3">
      <c r="A4484" s="131" t="s">
        <v>12744</v>
      </c>
      <c r="B4484" s="132">
        <v>9.2251997557468712E-5</v>
      </c>
      <c r="C4484" s="133"/>
    </row>
    <row r="4485" spans="1:3">
      <c r="A4485" s="131" t="s">
        <v>12745</v>
      </c>
      <c r="B4485" s="132">
        <v>1.4324899530038238E-4</v>
      </c>
      <c r="C4485" s="133"/>
    </row>
    <row r="4486" spans="1:3">
      <c r="A4486" s="131" t="s">
        <v>12746</v>
      </c>
      <c r="B4486" s="132">
        <v>2.1813079999999994E-3</v>
      </c>
      <c r="C4486" s="133"/>
    </row>
    <row r="4487" spans="1:3">
      <c r="A4487" s="131" t="s">
        <v>12747</v>
      </c>
      <c r="B4487" s="132">
        <v>1.1805309914052486E-3</v>
      </c>
      <c r="C4487" s="133"/>
    </row>
    <row r="4488" spans="1:3">
      <c r="A4488" s="131" t="s">
        <v>12748</v>
      </c>
      <c r="B4488" s="132">
        <v>1.3190668181109196E-2</v>
      </c>
      <c r="C4488" s="133"/>
    </row>
    <row r="4489" spans="1:3">
      <c r="A4489" s="131" t="s">
        <v>12749</v>
      </c>
      <c r="B4489" s="132">
        <v>0.27468522444425836</v>
      </c>
      <c r="C4489" s="133"/>
    </row>
    <row r="4490" spans="1:3">
      <c r="A4490" s="131" t="s">
        <v>12750</v>
      </c>
      <c r="B4490" s="132">
        <v>2.8780643486284317E-5</v>
      </c>
      <c r="C4490" s="133"/>
    </row>
    <row r="4491" spans="1:3">
      <c r="A4491" s="131" t="s">
        <v>12751</v>
      </c>
      <c r="B4491" s="132">
        <v>1.2124299660535621E-4</v>
      </c>
      <c r="C4491" s="133"/>
    </row>
    <row r="4492" spans="1:3">
      <c r="A4492" s="131" t="s">
        <v>12752</v>
      </c>
      <c r="B4492" s="132">
        <v>1.1112261563539505E-2</v>
      </c>
      <c r="C4492" s="133"/>
    </row>
    <row r="4493" spans="1:3">
      <c r="A4493" s="131" t="s">
        <v>12753</v>
      </c>
      <c r="B4493" s="132">
        <v>1.5900720866276227E-4</v>
      </c>
      <c r="C4493" s="133"/>
    </row>
    <row r="4494" spans="1:3">
      <c r="A4494" s="131" t="s">
        <v>12754</v>
      </c>
      <c r="B4494" s="132">
        <v>5.0214999646414071E-5</v>
      </c>
      <c r="C4494" s="133"/>
    </row>
    <row r="4495" spans="1:3">
      <c r="A4495" s="131" t="s">
        <v>12755</v>
      </c>
      <c r="B4495" s="132">
        <v>8.2985532531424375E-4</v>
      </c>
      <c r="C4495" s="133"/>
    </row>
    <row r="4496" spans="1:3">
      <c r="A4496" s="131" t="s">
        <v>12756</v>
      </c>
      <c r="B4496" s="132">
        <v>5.8491030000000006E-2</v>
      </c>
      <c r="C4496" s="133"/>
    </row>
    <row r="4497" spans="1:3">
      <c r="A4497" s="131" t="s">
        <v>12757</v>
      </c>
      <c r="B4497" s="132">
        <v>6.7545555875334088E-3</v>
      </c>
      <c r="C4497" s="133"/>
    </row>
    <row r="4498" spans="1:3">
      <c r="A4498" s="131" t="s">
        <v>12758</v>
      </c>
      <c r="B4498" s="132">
        <v>2.2024899953976274E-4</v>
      </c>
      <c r="C4498" s="133"/>
    </row>
    <row r="4499" spans="1:3">
      <c r="A4499" s="131" t="s">
        <v>12759</v>
      </c>
      <c r="B4499" s="132">
        <v>1.06462997791823E-4</v>
      </c>
      <c r="C4499" s="133"/>
    </row>
    <row r="4500" spans="1:3">
      <c r="A4500" s="131" t="s">
        <v>12760</v>
      </c>
      <c r="B4500" s="132">
        <v>1.7319000107818283E-5</v>
      </c>
      <c r="C4500" s="133"/>
    </row>
    <row r="4501" spans="1:3">
      <c r="A4501" s="131" t="s">
        <v>8800</v>
      </c>
      <c r="B4501" s="132">
        <v>0.12450431055525731</v>
      </c>
      <c r="C4501" s="133"/>
    </row>
    <row r="4502" spans="1:3">
      <c r="A4502" s="131" t="s">
        <v>8801</v>
      </c>
      <c r="B4502" s="132">
        <v>1.4908939999999995</v>
      </c>
      <c r="C4502" s="133"/>
    </row>
    <row r="4503" spans="1:3">
      <c r="A4503" s="131" t="s">
        <v>8802</v>
      </c>
      <c r="B4503" s="132">
        <v>1.3045199448242784E-3</v>
      </c>
      <c r="C4503" s="133"/>
    </row>
    <row r="4504" spans="1:3">
      <c r="A4504" s="131" t="s">
        <v>8803</v>
      </c>
      <c r="B4504" s="132">
        <v>8.6922998889349401E-5</v>
      </c>
      <c r="C4504" s="133"/>
    </row>
    <row r="4505" spans="1:3">
      <c r="A4505" s="131" t="s">
        <v>8804</v>
      </c>
      <c r="B4505" s="132">
        <v>3.5759999263973441E-6</v>
      </c>
      <c r="C4505" s="133"/>
    </row>
    <row r="4506" spans="1:3">
      <c r="A4506" s="131" t="s">
        <v>8805</v>
      </c>
      <c r="B4506" s="132">
        <v>7.7002279999999999E-3</v>
      </c>
      <c r="C4506" s="133"/>
    </row>
    <row r="4507" spans="1:3">
      <c r="A4507" s="131" t="s">
        <v>8806</v>
      </c>
      <c r="B4507" s="132">
        <v>1.0008599929278716E-4</v>
      </c>
      <c r="C4507" s="133"/>
    </row>
    <row r="4508" spans="1:3">
      <c r="A4508" s="131" t="s">
        <v>8807</v>
      </c>
      <c r="B4508" s="132">
        <v>4.2285199742764235E-4</v>
      </c>
      <c r="C4508" s="133"/>
    </row>
    <row r="4509" spans="1:3">
      <c r="A4509" s="131" t="s">
        <v>8808</v>
      </c>
      <c r="B4509" s="132">
        <v>3.0872013130596862E-5</v>
      </c>
      <c r="C4509" s="133"/>
    </row>
    <row r="4510" spans="1:3">
      <c r="A4510" s="131" t="s">
        <v>8809</v>
      </c>
      <c r="B4510" s="132">
        <v>3.0871511799999998E-2</v>
      </c>
      <c r="C4510" s="133"/>
    </row>
    <row r="4511" spans="1:3">
      <c r="A4511" s="131" t="s">
        <v>8810</v>
      </c>
      <c r="B4511" s="132">
        <v>1.8507312355161177E-3</v>
      </c>
      <c r="C4511" s="133"/>
    </row>
    <row r="4512" spans="1:3">
      <c r="A4512" s="131" t="s">
        <v>8811</v>
      </c>
      <c r="B4512" s="132">
        <v>2.225196552538403E-2</v>
      </c>
      <c r="C4512" s="133"/>
    </row>
    <row r="4513" spans="1:3">
      <c r="A4513" s="131" t="s">
        <v>8812</v>
      </c>
      <c r="B4513" s="132">
        <v>0.43695271809622227</v>
      </c>
      <c r="C4513" s="133"/>
    </row>
    <row r="4514" spans="1:3">
      <c r="A4514" s="131" t="s">
        <v>8813</v>
      </c>
      <c r="B4514" s="132">
        <v>6.1757032000000003E-3</v>
      </c>
      <c r="C4514" s="133"/>
    </row>
    <row r="4515" spans="1:3">
      <c r="A4515" s="131" t="s">
        <v>8814</v>
      </c>
      <c r="B4515" s="132">
        <v>6.1771828903127858E-4</v>
      </c>
      <c r="C4515" s="133"/>
    </row>
    <row r="4516" spans="1:3">
      <c r="A4516" s="131" t="s">
        <v>8815</v>
      </c>
      <c r="B4516" s="132">
        <v>0.13796795701413</v>
      </c>
      <c r="C4516" s="133"/>
    </row>
    <row r="4517" spans="1:3">
      <c r="A4517" s="131" t="s">
        <v>8816</v>
      </c>
      <c r="B4517" s="132">
        <v>1.7887339646248397E-2</v>
      </c>
      <c r="C4517" s="133"/>
    </row>
    <row r="4518" spans="1:3">
      <c r="A4518" s="131" t="s">
        <v>8817</v>
      </c>
      <c r="B4518" s="132">
        <v>1.7003400000000003E-3</v>
      </c>
      <c r="C4518" s="133"/>
    </row>
    <row r="4519" spans="1:3">
      <c r="A4519" s="131" t="s">
        <v>8818</v>
      </c>
      <c r="B4519" s="132">
        <v>4.908600021735765E-5</v>
      </c>
      <c r="C4519" s="133"/>
    </row>
    <row r="4520" spans="1:3">
      <c r="A4520" s="131" t="s">
        <v>8819</v>
      </c>
      <c r="B4520" s="132">
        <v>1.8789109967468898E-3</v>
      </c>
      <c r="C4520" s="133"/>
    </row>
    <row r="4521" spans="1:3">
      <c r="A4521" s="131" t="s">
        <v>8820</v>
      </c>
      <c r="B4521" s="132">
        <v>8.239460177719593E-3</v>
      </c>
      <c r="C4521" s="133"/>
    </row>
    <row r="4522" spans="1:3">
      <c r="A4522" s="131" t="s">
        <v>8821</v>
      </c>
      <c r="B4522" s="132">
        <v>2.7586999931372702E-4</v>
      </c>
      <c r="C4522" s="133"/>
    </row>
    <row r="4523" spans="1:3">
      <c r="A4523" s="131" t="s">
        <v>8822</v>
      </c>
      <c r="B4523" s="132">
        <v>1.0020499757956713E-4</v>
      </c>
      <c r="C4523" s="133"/>
    </row>
    <row r="4524" spans="1:3">
      <c r="A4524" s="131" t="s">
        <v>8823</v>
      </c>
      <c r="B4524" s="132">
        <v>3.1999999094978193E-8</v>
      </c>
      <c r="C4524" s="133"/>
    </row>
    <row r="4525" spans="1:3">
      <c r="A4525" s="131" t="s">
        <v>8824</v>
      </c>
      <c r="B4525" s="132">
        <v>3.5326200304552913E-4</v>
      </c>
      <c r="C4525" s="133"/>
    </row>
    <row r="4526" spans="1:3">
      <c r="A4526" s="131" t="s">
        <v>8825</v>
      </c>
      <c r="B4526" s="132">
        <v>8.2898538601388716E-4</v>
      </c>
      <c r="C4526" s="133"/>
    </row>
    <row r="4527" spans="1:3">
      <c r="A4527" s="131" t="s">
        <v>8826</v>
      </c>
      <c r="B4527" s="132">
        <v>1.1411348357796669E-2</v>
      </c>
      <c r="C4527" s="133"/>
    </row>
    <row r="4528" spans="1:3">
      <c r="A4528" s="131" t="s">
        <v>8827</v>
      </c>
      <c r="B4528" s="132">
        <v>8.1325997598469257E-5</v>
      </c>
      <c r="C4528" s="133"/>
    </row>
    <row r="4529" spans="1:3">
      <c r="A4529" s="131" t="s">
        <v>8828</v>
      </c>
      <c r="B4529" s="132">
        <v>2.1338000806281343E-5</v>
      </c>
      <c r="C4529" s="133"/>
    </row>
    <row r="4530" spans="1:3">
      <c r="A4530" s="131" t="s">
        <v>8829</v>
      </c>
      <c r="B4530" s="132">
        <v>6.9523166666666646E-3</v>
      </c>
      <c r="C4530" s="133"/>
    </row>
    <row r="4531" spans="1:3">
      <c r="A4531" s="131" t="s">
        <v>8830</v>
      </c>
      <c r="B4531" s="132">
        <v>4.7888699918985367E-4</v>
      </c>
      <c r="C4531" s="133"/>
    </row>
    <row r="4532" spans="1:3">
      <c r="A4532" s="131" t="s">
        <v>8831</v>
      </c>
      <c r="B4532" s="132">
        <v>0.11755610257387161</v>
      </c>
      <c r="C4532" s="133"/>
    </row>
    <row r="4533" spans="1:3">
      <c r="A4533" s="131" t="s">
        <v>8832</v>
      </c>
      <c r="B4533" s="132">
        <v>0.25870691994569667</v>
      </c>
      <c r="C4533" s="133"/>
    </row>
    <row r="4534" spans="1:3">
      <c r="A4534" s="131" t="s">
        <v>8833</v>
      </c>
      <c r="B4534" s="132">
        <v>2.4224972991733788E-3</v>
      </c>
      <c r="C4534" s="133"/>
    </row>
    <row r="4535" spans="1:3">
      <c r="A4535" s="131" t="s">
        <v>8834</v>
      </c>
      <c r="B4535" s="132">
        <v>4.9592872612349561E-4</v>
      </c>
      <c r="C4535" s="133"/>
    </row>
    <row r="4536" spans="1:3">
      <c r="A4536" s="131" t="s">
        <v>8835</v>
      </c>
      <c r="B4536" s="132">
        <v>1.0552261318549954E-2</v>
      </c>
      <c r="C4536" s="133"/>
    </row>
    <row r="4537" spans="1:3">
      <c r="A4537" s="131" t="s">
        <v>8836</v>
      </c>
      <c r="B4537" s="132">
        <v>6.203377153724432E-3</v>
      </c>
      <c r="C4537" s="133"/>
    </row>
    <row r="4538" spans="1:3">
      <c r="A4538" s="131" t="s">
        <v>8837</v>
      </c>
      <c r="B4538" s="132">
        <v>7.7887100633233786E-4</v>
      </c>
      <c r="C4538" s="133"/>
    </row>
    <row r="4539" spans="1:3">
      <c r="A4539" s="131" t="s">
        <v>8838</v>
      </c>
      <c r="B4539" s="132">
        <v>1.3300000318849925E-5</v>
      </c>
      <c r="C4539" s="133"/>
    </row>
    <row r="4540" spans="1:3">
      <c r="A4540" s="131" t="s">
        <v>8839</v>
      </c>
      <c r="B4540" s="132">
        <v>0.19639986568831591</v>
      </c>
      <c r="C4540" s="133"/>
    </row>
    <row r="4541" spans="1:3">
      <c r="A4541" s="131" t="s">
        <v>8840</v>
      </c>
      <c r="B4541" s="132">
        <v>4.7088253510222392E-4</v>
      </c>
      <c r="C4541" s="133"/>
    </row>
    <row r="4542" spans="1:3">
      <c r="A4542" s="131" t="s">
        <v>8841</v>
      </c>
      <c r="B4542" s="132">
        <v>7.3517003329470754E-5</v>
      </c>
      <c r="C4542" s="133"/>
    </row>
    <row r="4543" spans="1:3">
      <c r="A4543" s="131" t="s">
        <v>8842</v>
      </c>
      <c r="B4543" s="132">
        <v>1.2001299910480157E-4</v>
      </c>
      <c r="C4543" s="133"/>
    </row>
    <row r="4544" spans="1:3">
      <c r="A4544" s="131" t="s">
        <v>8843</v>
      </c>
      <c r="B4544" s="132">
        <v>6.0269999266893137E-6</v>
      </c>
      <c r="C4544" s="133"/>
    </row>
    <row r="4545" spans="1:3">
      <c r="A4545" s="131" t="s">
        <v>8844</v>
      </c>
      <c r="B4545" s="132">
        <v>1.4266000653151423E-4</v>
      </c>
      <c r="C4545" s="133"/>
    </row>
    <row r="4546" spans="1:3">
      <c r="A4546" s="131" t="s">
        <v>8845</v>
      </c>
      <c r="B4546" s="132">
        <v>11.5</v>
      </c>
      <c r="C4546" s="133"/>
    </row>
    <row r="4547" spans="1:3">
      <c r="A4547" s="131" t="s">
        <v>8846</v>
      </c>
      <c r="B4547" s="132">
        <v>8.2926965333333779E-3</v>
      </c>
      <c r="C4547" s="133"/>
    </row>
    <row r="4548" spans="1:3">
      <c r="A4548" s="131" t="s">
        <v>8847</v>
      </c>
      <c r="B4548" s="132">
        <v>1.2207953872268016E-3</v>
      </c>
      <c r="C4548" s="133"/>
    </row>
    <row r="4549" spans="1:3">
      <c r="A4549" s="131" t="s">
        <v>8848</v>
      </c>
      <c r="B4549" s="132">
        <v>4.689083385254254E-3</v>
      </c>
      <c r="C4549" s="133"/>
    </row>
    <row r="4550" spans="1:3">
      <c r="A4550" s="131" t="s">
        <v>8849</v>
      </c>
      <c r="B4550" s="132">
        <v>0.38891696146333332</v>
      </c>
      <c r="C4550" s="133"/>
    </row>
    <row r="4551" spans="1:3">
      <c r="A4551" s="131" t="s">
        <v>8850</v>
      </c>
      <c r="B4551" s="132">
        <v>1.4390089781954885E-3</v>
      </c>
      <c r="C4551" s="133"/>
    </row>
    <row r="4552" spans="1:3">
      <c r="A4552" s="131" t="s">
        <v>8851</v>
      </c>
      <c r="B4552" s="132">
        <v>7.3510068372043729E-3</v>
      </c>
      <c r="C4552" s="133"/>
    </row>
    <row r="4553" spans="1:3">
      <c r="A4553" s="131" t="s">
        <v>8852</v>
      </c>
      <c r="B4553" s="132">
        <v>3.2712277251084111E-4</v>
      </c>
      <c r="C4553" s="133"/>
    </row>
    <row r="4554" spans="1:3">
      <c r="A4554" s="131" t="s">
        <v>8853</v>
      </c>
      <c r="B4554" s="132">
        <v>1.0515605333333332E-2</v>
      </c>
      <c r="C4554" s="133"/>
    </row>
    <row r="4555" spans="1:3">
      <c r="A4555" s="131" t="s">
        <v>8854</v>
      </c>
      <c r="B4555" s="132">
        <v>6.1264197574928403E-4</v>
      </c>
      <c r="C4555" s="133"/>
    </row>
    <row r="4556" spans="1:3">
      <c r="A4556" s="131" t="s">
        <v>8855</v>
      </c>
      <c r="B4556" s="132">
        <v>2.8429999474610668E-6</v>
      </c>
      <c r="C4556" s="133"/>
    </row>
    <row r="4557" spans="1:3">
      <c r="A4557" s="131" t="s">
        <v>8856</v>
      </c>
      <c r="B4557" s="132">
        <v>4.5856198994442821E-4</v>
      </c>
      <c r="C4557" s="133"/>
    </row>
    <row r="4558" spans="1:3">
      <c r="A4558" s="131" t="s">
        <v>8857</v>
      </c>
      <c r="B4558" s="132">
        <v>3.3555921167135239E-2</v>
      </c>
      <c r="C4558" s="133"/>
    </row>
    <row r="4559" spans="1:3">
      <c r="A4559" s="131" t="s">
        <v>8858</v>
      </c>
      <c r="B4559" s="132">
        <v>6.0242030769586563E-2</v>
      </c>
      <c r="C4559" s="133"/>
    </row>
    <row r="4560" spans="1:3">
      <c r="A4560" s="131" t="s">
        <v>8859</v>
      </c>
      <c r="B4560" s="132">
        <v>5.0049999117618427E-5</v>
      </c>
      <c r="C4560" s="133"/>
    </row>
    <row r="4561" spans="1:3">
      <c r="A4561" s="131" t="s">
        <v>8860</v>
      </c>
      <c r="B4561" s="132">
        <v>1.9162938459759261E-6</v>
      </c>
      <c r="C4561" s="133"/>
    </row>
    <row r="4562" spans="1:3">
      <c r="A4562" s="131" t="s">
        <v>8861</v>
      </c>
      <c r="B4562" s="132">
        <v>2.3206999685498886E-5</v>
      </c>
      <c r="C4562" s="133"/>
    </row>
    <row r="4563" spans="1:3">
      <c r="A4563" s="131" t="s">
        <v>8862</v>
      </c>
      <c r="B4563" s="132">
        <v>8.2430000475142151E-5</v>
      </c>
      <c r="C4563" s="133"/>
    </row>
    <row r="4564" spans="1:3">
      <c r="A4564" s="131" t="s">
        <v>8863</v>
      </c>
      <c r="B4564" s="132">
        <v>1.2901000445708632E-5</v>
      </c>
      <c r="C4564" s="133"/>
    </row>
    <row r="4565" spans="1:3">
      <c r="A4565" s="131" t="s">
        <v>8864</v>
      </c>
      <c r="B4565" s="132">
        <v>3.0662243456614635E-4</v>
      </c>
      <c r="C4565" s="133"/>
    </row>
    <row r="4566" spans="1:3">
      <c r="A4566" s="131" t="s">
        <v>8865</v>
      </c>
      <c r="B4566" s="132">
        <v>5.6645050644874573E-3</v>
      </c>
      <c r="C4566" s="133"/>
    </row>
    <row r="4567" spans="1:3">
      <c r="A4567" s="131" t="s">
        <v>8866</v>
      </c>
      <c r="B4567" s="132">
        <v>1.3085323700607803E-3</v>
      </c>
      <c r="C4567" s="133"/>
    </row>
    <row r="4568" spans="1:3">
      <c r="A4568" s="131" t="s">
        <v>8867</v>
      </c>
      <c r="B4568" s="132">
        <v>0.306349172061185</v>
      </c>
      <c r="C4568" s="133"/>
    </row>
    <row r="4569" spans="1:3">
      <c r="A4569" s="131" t="s">
        <v>8868</v>
      </c>
      <c r="B4569" s="132">
        <v>1.270737429681133E-3</v>
      </c>
      <c r="C4569" s="133"/>
    </row>
    <row r="4570" spans="1:3">
      <c r="A4570" s="131" t="s">
        <v>8869</v>
      </c>
      <c r="B4570" s="132">
        <v>1.7039650333333333E-3</v>
      </c>
      <c r="C4570" s="133"/>
    </row>
    <row r="4571" spans="1:3">
      <c r="A4571" s="131" t="s">
        <v>8870</v>
      </c>
      <c r="B4571" s="132">
        <v>9.8218000493943691E-4</v>
      </c>
      <c r="C4571" s="133"/>
    </row>
    <row r="4572" spans="1:3">
      <c r="A4572" s="131" t="s">
        <v>8871</v>
      </c>
      <c r="B4572" s="132">
        <v>9.5217998023144901E-5</v>
      </c>
      <c r="C4572" s="133"/>
    </row>
    <row r="4573" spans="1:3">
      <c r="A4573" s="131" t="s">
        <v>8872</v>
      </c>
      <c r="B4573" s="132">
        <v>1.1699908646245741E-2</v>
      </c>
      <c r="C4573" s="133"/>
    </row>
    <row r="4574" spans="1:3">
      <c r="A4574" s="131" t="s">
        <v>8873</v>
      </c>
      <c r="B4574" s="132">
        <v>6.3999998189956386E-8</v>
      </c>
      <c r="C4574" s="133"/>
    </row>
    <row r="4575" spans="1:3">
      <c r="A4575" s="131" t="s">
        <v>8874</v>
      </c>
      <c r="B4575" s="132">
        <v>1.067749981302768E-4</v>
      </c>
      <c r="C4575" s="133"/>
    </row>
    <row r="4576" spans="1:3">
      <c r="A4576" s="131" t="s">
        <v>8875</v>
      </c>
      <c r="B4576" s="132">
        <v>2.7588145978344402E-4</v>
      </c>
      <c r="C4576" s="133"/>
    </row>
    <row r="4577" spans="1:3">
      <c r="A4577" s="131" t="s">
        <v>8876</v>
      </c>
      <c r="B4577" s="132">
        <v>5.8065519168942509E-2</v>
      </c>
      <c r="C4577" s="133"/>
    </row>
    <row r="4578" spans="1:3">
      <c r="A4578" s="131" t="s">
        <v>8877</v>
      </c>
      <c r="B4578" s="132">
        <v>3.387903051569221E-3</v>
      </c>
      <c r="C4578" s="133"/>
    </row>
    <row r="4579" spans="1:3">
      <c r="A4579" s="131" t="s">
        <v>8878</v>
      </c>
      <c r="B4579" s="132">
        <v>2.126491462879079E-5</v>
      </c>
      <c r="C4579" s="133"/>
    </row>
    <row r="4580" spans="1:3">
      <c r="A4580" s="131" t="s">
        <v>8879</v>
      </c>
      <c r="B4580" s="132">
        <v>7.0041999999999999E-8</v>
      </c>
      <c r="C4580" s="133"/>
    </row>
    <row r="4581" spans="1:3">
      <c r="A4581" s="131" t="s">
        <v>8880</v>
      </c>
      <c r="B4581" s="132">
        <v>2.9004377090634061E-2</v>
      </c>
      <c r="C4581" s="133"/>
    </row>
    <row r="4582" spans="1:3">
      <c r="A4582" s="131" t="s">
        <v>8881</v>
      </c>
      <c r="B4582" s="132">
        <v>2.0935859614209599E-5</v>
      </c>
      <c r="C4582" s="133"/>
    </row>
    <row r="4583" spans="1:3">
      <c r="A4583" s="131" t="s">
        <v>8882</v>
      </c>
      <c r="B4583" s="132">
        <v>1.0001666666666666E-6</v>
      </c>
      <c r="C4583" s="133"/>
    </row>
    <row r="4584" spans="1:3">
      <c r="A4584" s="131" t="s">
        <v>8883</v>
      </c>
      <c r="B4584" s="132">
        <v>1.9993400201201439E-4</v>
      </c>
      <c r="C4584" s="133"/>
    </row>
    <row r="4585" spans="1:3">
      <c r="A4585" s="131" t="s">
        <v>8884</v>
      </c>
      <c r="B4585" s="132">
        <v>2.7784811817537447E-2</v>
      </c>
      <c r="C4585" s="133"/>
    </row>
    <row r="4586" spans="1:3">
      <c r="A4586" s="131" t="s">
        <v>8885</v>
      </c>
      <c r="B4586" s="132">
        <v>2.1476800611708313E-4</v>
      </c>
      <c r="C4586" s="133"/>
    </row>
    <row r="4587" spans="1:3">
      <c r="A4587" s="131" t="s">
        <v>8886</v>
      </c>
      <c r="B4587" s="132">
        <v>3.9097778402734601E-4</v>
      </c>
      <c r="C4587" s="133"/>
    </row>
    <row r="4588" spans="1:3">
      <c r="A4588" s="131" t="s">
        <v>8887</v>
      </c>
      <c r="B4588" s="132">
        <v>3.2146816027748774E-3</v>
      </c>
      <c r="C4588" s="133"/>
    </row>
    <row r="4589" spans="1:3">
      <c r="A4589" s="131" t="s">
        <v>8888</v>
      </c>
      <c r="B4589" s="132">
        <v>7.1410999225918204E-5</v>
      </c>
      <c r="C4589" s="133"/>
    </row>
    <row r="4590" spans="1:3">
      <c r="A4590" s="131" t="s">
        <v>8889</v>
      </c>
      <c r="B4590" s="132">
        <v>1.6136295418301472E-2</v>
      </c>
      <c r="C4590" s="133"/>
    </row>
    <row r="4591" spans="1:3">
      <c r="A4591" s="131" t="s">
        <v>8890</v>
      </c>
      <c r="B4591" s="132">
        <v>1.1368330867457748</v>
      </c>
      <c r="C4591" s="133"/>
    </row>
    <row r="4592" spans="1:3">
      <c r="A4592" s="131" t="s">
        <v>8891</v>
      </c>
      <c r="B4592" s="132">
        <v>79391</v>
      </c>
      <c r="C4592" s="133"/>
    </row>
    <row r="4593" spans="1:3">
      <c r="A4593" s="131" t="s">
        <v>8892</v>
      </c>
      <c r="B4593" s="132">
        <v>4.8470007360816694E-4</v>
      </c>
      <c r="C4593" s="133"/>
    </row>
    <row r="4594" spans="1:3">
      <c r="A4594" s="131" t="s">
        <v>8893</v>
      </c>
      <c r="B4594" s="132">
        <v>2.3343365678565555E-4</v>
      </c>
      <c r="C4594" s="133"/>
    </row>
    <row r="4595" spans="1:3">
      <c r="A4595" s="131" t="s">
        <v>8894</v>
      </c>
      <c r="B4595" s="132">
        <v>6.8230000324547291E-3</v>
      </c>
      <c r="C4595" s="133"/>
    </row>
    <row r="4596" spans="1:3">
      <c r="A4596" s="131" t="s">
        <v>8895</v>
      </c>
      <c r="B4596" s="132">
        <v>1.1291460933596315E-4</v>
      </c>
      <c r="C4596" s="133"/>
    </row>
    <row r="4597" spans="1:3">
      <c r="A4597" s="131" t="s">
        <v>8896</v>
      </c>
      <c r="B4597" s="132">
        <v>5.9999997858994902E-8</v>
      </c>
      <c r="C4597" s="133"/>
    </row>
    <row r="4598" spans="1:3">
      <c r="A4598" s="131" t="s">
        <v>8897</v>
      </c>
      <c r="B4598" s="132">
        <v>2.0002832636237144E-2</v>
      </c>
      <c r="C4598" s="133"/>
    </row>
    <row r="4599" spans="1:3">
      <c r="A4599" s="131" t="s">
        <v>8898</v>
      </c>
      <c r="B4599" s="132">
        <v>4.7851000999798998E-5</v>
      </c>
      <c r="C4599" s="133"/>
    </row>
    <row r="4600" spans="1:3">
      <c r="A4600" s="131" t="s">
        <v>8899</v>
      </c>
      <c r="B4600" s="132">
        <v>0.74926434266666653</v>
      </c>
      <c r="C4600" s="133"/>
    </row>
    <row r="4601" spans="1:3">
      <c r="A4601" s="131" t="s">
        <v>8900</v>
      </c>
      <c r="B4601" s="132">
        <v>3.9753837999999996E-4</v>
      </c>
      <c r="C4601" s="133"/>
    </row>
    <row r="4602" spans="1:3">
      <c r="A4602" s="131" t="s">
        <v>8901</v>
      </c>
      <c r="B4602" s="132">
        <v>5.1329489797353745E-3</v>
      </c>
      <c r="C4602" s="133"/>
    </row>
    <row r="4603" spans="1:3">
      <c r="A4603" s="131" t="s">
        <v>8902</v>
      </c>
      <c r="B4603" s="132">
        <v>6.4973399275913835E-4</v>
      </c>
      <c r="C4603" s="133"/>
    </row>
    <row r="4604" spans="1:3">
      <c r="A4604" s="131" t="s">
        <v>8903</v>
      </c>
      <c r="B4604" s="132">
        <v>9.2857034776313294E-5</v>
      </c>
      <c r="C4604" s="133"/>
    </row>
    <row r="4605" spans="1:3">
      <c r="A4605" s="131" t="s">
        <v>8904</v>
      </c>
      <c r="B4605" s="132">
        <v>8.9477576315402985E-2</v>
      </c>
      <c r="C4605" s="133"/>
    </row>
    <row r="4606" spans="1:3">
      <c r="A4606" s="131" t="s">
        <v>8905</v>
      </c>
      <c r="B4606" s="132">
        <v>6.0939837264230941E-4</v>
      </c>
      <c r="C4606" s="133"/>
    </row>
    <row r="4607" spans="1:3">
      <c r="A4607" s="131" t="s">
        <v>8906</v>
      </c>
      <c r="B4607" s="132">
        <v>6.5838001319207251E-5</v>
      </c>
      <c r="C4607" s="133"/>
    </row>
    <row r="4608" spans="1:3">
      <c r="A4608" s="131" t="s">
        <v>8907</v>
      </c>
      <c r="B4608" s="132">
        <v>7.6806900324299932E-4</v>
      </c>
      <c r="C4608" s="133"/>
    </row>
    <row r="4609" spans="1:3">
      <c r="A4609" s="131" t="s">
        <v>8908</v>
      </c>
      <c r="B4609" s="132">
        <v>5.1985254354646841E-2</v>
      </c>
      <c r="C4609" s="133"/>
    </row>
    <row r="4610" spans="1:3">
      <c r="A4610" s="131" t="s">
        <v>8909</v>
      </c>
      <c r="B4610" s="132">
        <v>1.0496169561520219E-3</v>
      </c>
      <c r="C4610" s="133"/>
    </row>
    <row r="4611" spans="1:3">
      <c r="A4611" s="131" t="s">
        <v>8910</v>
      </c>
      <c r="B4611" s="132">
        <v>0.17006813809175148</v>
      </c>
      <c r="C4611" s="133"/>
    </row>
    <row r="4612" spans="1:3">
      <c r="A4612" s="131" t="s">
        <v>8911</v>
      </c>
      <c r="B4612" s="132">
        <v>6.0988408513367176E-3</v>
      </c>
      <c r="C4612" s="133"/>
    </row>
    <row r="4613" spans="1:3">
      <c r="A4613" s="131" t="s">
        <v>8912</v>
      </c>
      <c r="B4613" s="132">
        <v>3.3440387611619</v>
      </c>
      <c r="C4613" s="133"/>
    </row>
    <row r="4614" spans="1:3">
      <c r="A4614" s="131" t="s">
        <v>8913</v>
      </c>
      <c r="B4614" s="132">
        <v>2.0480042E-2</v>
      </c>
      <c r="C4614" s="133"/>
    </row>
    <row r="4615" spans="1:3">
      <c r="A4615" s="131" t="s">
        <v>8914</v>
      </c>
      <c r="B4615" s="132">
        <v>1.5059999896038789E-5</v>
      </c>
      <c r="C4615" s="133"/>
    </row>
    <row r="4616" spans="1:3">
      <c r="A4616" s="131" t="s">
        <v>8915</v>
      </c>
      <c r="B4616" s="132">
        <v>3.1795523159999998E-6</v>
      </c>
      <c r="C4616" s="133"/>
    </row>
    <row r="4617" spans="1:3">
      <c r="A4617" s="131" t="s">
        <v>8916</v>
      </c>
      <c r="B4617" s="132">
        <v>9.0998000814579427E-5</v>
      </c>
      <c r="C4617" s="133"/>
    </row>
    <row r="4618" spans="1:3">
      <c r="A4618" s="131" t="s">
        <v>8917</v>
      </c>
      <c r="B4618" s="132">
        <v>2.4708554148674011E-2</v>
      </c>
      <c r="C4618" s="133"/>
    </row>
    <row r="4619" spans="1:3">
      <c r="A4619" s="131" t="s">
        <v>8918</v>
      </c>
      <c r="B4619" s="132">
        <v>2.0396469165047527E-6</v>
      </c>
      <c r="C4619" s="133"/>
    </row>
    <row r="4620" spans="1:3">
      <c r="A4620" s="131" t="s">
        <v>5917</v>
      </c>
      <c r="B4620" s="132">
        <v>1.31050001073163E-5</v>
      </c>
      <c r="C4620" s="133"/>
    </row>
    <row r="4621" spans="1:3">
      <c r="A4621" s="131" t="s">
        <v>5918</v>
      </c>
      <c r="B4621" s="132">
        <v>6.1901999288238585E-5</v>
      </c>
      <c r="C4621" s="133"/>
    </row>
    <row r="4622" spans="1:3">
      <c r="A4622" s="131" t="s">
        <v>5919</v>
      </c>
      <c r="B4622" s="132">
        <v>7.1465001383330673E-5</v>
      </c>
      <c r="C4622" s="133"/>
    </row>
    <row r="4623" spans="1:3">
      <c r="A4623" s="131" t="s">
        <v>5920</v>
      </c>
      <c r="B4623" s="132">
        <v>1.5999999547489097E-8</v>
      </c>
      <c r="C4623" s="133"/>
    </row>
    <row r="4624" spans="1:3">
      <c r="A4624" s="131" t="s">
        <v>5921</v>
      </c>
      <c r="B4624" s="132">
        <v>0.10421427339315414</v>
      </c>
      <c r="C4624" s="133"/>
    </row>
    <row r="4625" spans="1:3">
      <c r="A4625" s="131" t="s">
        <v>5922</v>
      </c>
      <c r="B4625" s="132">
        <v>1.3003000276512466E-5</v>
      </c>
      <c r="C4625" s="133"/>
    </row>
    <row r="4626" spans="1:3">
      <c r="A4626" s="131" t="s">
        <v>5923</v>
      </c>
      <c r="B4626" s="132">
        <v>2.7797323006407533E-2</v>
      </c>
      <c r="C4626" s="133"/>
    </row>
    <row r="4627" spans="1:3">
      <c r="A4627" s="131" t="s">
        <v>5924</v>
      </c>
      <c r="B4627" s="132">
        <v>8.8011343032121658E-3</v>
      </c>
      <c r="C4627" s="133"/>
    </row>
    <row r="4628" spans="1:3">
      <c r="A4628" s="131" t="s">
        <v>5925</v>
      </c>
      <c r="B4628" s="132">
        <v>5.3227101091927013E-2</v>
      </c>
      <c r="C4628" s="133"/>
    </row>
    <row r="4629" spans="1:3">
      <c r="A4629" s="131" t="s">
        <v>5926</v>
      </c>
      <c r="B4629" s="132">
        <v>0.1810595691204071</v>
      </c>
      <c r="C4629" s="133"/>
    </row>
    <row r="4630" spans="1:3">
      <c r="A4630" s="131" t="s">
        <v>5927</v>
      </c>
      <c r="B4630" s="132">
        <v>1.6302369767799973E-3</v>
      </c>
      <c r="C4630" s="133"/>
    </row>
    <row r="4631" spans="1:3">
      <c r="A4631" s="131" t="s">
        <v>5928</v>
      </c>
      <c r="B4631" s="132">
        <v>1.0370479431003332E-3</v>
      </c>
      <c r="C4631" s="133"/>
    </row>
    <row r="4632" spans="1:3">
      <c r="A4632" s="131" t="s">
        <v>5929</v>
      </c>
      <c r="B4632" s="132">
        <v>9.6823001513257623E-5</v>
      </c>
      <c r="C4632" s="133"/>
    </row>
    <row r="4633" spans="1:3">
      <c r="A4633" s="131" t="s">
        <v>5930</v>
      </c>
      <c r="B4633" s="132">
        <v>1.6799134737776788E-2</v>
      </c>
      <c r="C4633" s="133"/>
    </row>
    <row r="4634" spans="1:3">
      <c r="A4634" s="131" t="s">
        <v>5931</v>
      </c>
      <c r="B4634" s="132">
        <v>0.10370064526796341</v>
      </c>
      <c r="C4634" s="133"/>
    </row>
    <row r="4635" spans="1:3">
      <c r="A4635" s="131" t="s">
        <v>5932</v>
      </c>
      <c r="B4635" s="132">
        <v>6.8134166300296783E-2</v>
      </c>
      <c r="C4635" s="133"/>
    </row>
    <row r="4636" spans="1:3">
      <c r="A4636" s="131" t="s">
        <v>5933</v>
      </c>
      <c r="B4636" s="132">
        <v>0.12606073915958405</v>
      </c>
      <c r="C4636" s="133"/>
    </row>
    <row r="4637" spans="1:3">
      <c r="A4637" s="131" t="s">
        <v>5934</v>
      </c>
      <c r="B4637" s="132">
        <v>2.3480356292640966E-7</v>
      </c>
      <c r="C4637" s="133"/>
    </row>
    <row r="4638" spans="1:3">
      <c r="A4638" s="131" t="s">
        <v>5935</v>
      </c>
      <c r="B4638" s="132">
        <v>4.0128375062749237E-2</v>
      </c>
      <c r="C4638" s="133"/>
    </row>
    <row r="4639" spans="1:3">
      <c r="A4639" s="131" t="s">
        <v>5936</v>
      </c>
      <c r="B4639" s="132">
        <v>1.0542800009716302E-4</v>
      </c>
      <c r="C4639" s="133"/>
    </row>
    <row r="4640" spans="1:3">
      <c r="A4640" s="131" t="s">
        <v>5937</v>
      </c>
      <c r="B4640" s="132">
        <v>3.2000113278627396E-2</v>
      </c>
      <c r="C4640" s="133"/>
    </row>
    <row r="4641" spans="1:3">
      <c r="A4641" s="131" t="s">
        <v>5938</v>
      </c>
      <c r="B4641" s="132">
        <v>1.000359989120625E-4</v>
      </c>
      <c r="C4641" s="133"/>
    </row>
    <row r="4642" spans="1:3">
      <c r="A4642" s="131" t="s">
        <v>5939</v>
      </c>
      <c r="B4642" s="132">
        <v>5.640000040330051E-7</v>
      </c>
      <c r="C4642" s="133"/>
    </row>
    <row r="4643" spans="1:3">
      <c r="A4643" s="131" t="s">
        <v>5940</v>
      </c>
      <c r="B4643" s="132">
        <v>4.5588499051518738E-4</v>
      </c>
      <c r="C4643" s="133"/>
    </row>
    <row r="4644" spans="1:3">
      <c r="A4644" s="131" t="s">
        <v>5941</v>
      </c>
      <c r="B4644" s="132">
        <v>7.8944506490721063E-5</v>
      </c>
      <c r="C4644" s="133"/>
    </row>
    <row r="4645" spans="1:3">
      <c r="A4645" s="131" t="s">
        <v>5942</v>
      </c>
      <c r="B4645" s="132">
        <v>8.8750319555401802E-3</v>
      </c>
      <c r="C4645" s="133"/>
    </row>
    <row r="4646" spans="1:3">
      <c r="A4646" s="131" t="s">
        <v>5943</v>
      </c>
      <c r="B4646" s="132">
        <v>1.2936587314218301E-7</v>
      </c>
      <c r="C4646" s="133"/>
    </row>
    <row r="4647" spans="1:3">
      <c r="A4647" s="131" t="s">
        <v>5944</v>
      </c>
      <c r="B4647" s="132">
        <v>9.2820000645588152E-6</v>
      </c>
      <c r="C4647" s="133"/>
    </row>
    <row r="4648" spans="1:3">
      <c r="A4648" s="131" t="s">
        <v>5945</v>
      </c>
      <c r="B4648" s="132">
        <v>2.2836490534245968E-3</v>
      </c>
      <c r="C4648" s="133"/>
    </row>
    <row r="4649" spans="1:3">
      <c r="A4649" s="131" t="s">
        <v>5946</v>
      </c>
      <c r="B4649" s="132">
        <v>3.6621729772141822E-4</v>
      </c>
      <c r="C4649" s="133"/>
    </row>
    <row r="4650" spans="1:3">
      <c r="A4650" s="131" t="s">
        <v>5947</v>
      </c>
      <c r="B4650" s="132">
        <v>5.5777696112333026E-2</v>
      </c>
      <c r="C4650" s="133"/>
    </row>
    <row r="4651" spans="1:3">
      <c r="A4651" s="131" t="s">
        <v>5948</v>
      </c>
      <c r="B4651" s="132">
        <v>1.772000018718245E-6</v>
      </c>
      <c r="C4651" s="133"/>
    </row>
    <row r="4652" spans="1:3">
      <c r="A4652" s="131" t="s">
        <v>5949</v>
      </c>
      <c r="B4652" s="132">
        <v>2.4325920268893242E-2</v>
      </c>
      <c r="C4652" s="133"/>
    </row>
    <row r="4653" spans="1:3">
      <c r="A4653" s="131" t="s">
        <v>5950</v>
      </c>
      <c r="B4653" s="132">
        <v>3.0341101228259504E-4</v>
      </c>
      <c r="C4653" s="133"/>
    </row>
    <row r="4654" spans="1:3">
      <c r="A4654" s="131" t="s">
        <v>5951</v>
      </c>
      <c r="B4654" s="132">
        <v>6.1771828903127858E-4</v>
      </c>
      <c r="C4654" s="133"/>
    </row>
    <row r="4655" spans="1:3">
      <c r="A4655" s="131" t="s">
        <v>5952</v>
      </c>
      <c r="B4655" s="132">
        <v>1.2510501799999998</v>
      </c>
      <c r="C4655" s="133"/>
    </row>
    <row r="4656" spans="1:3">
      <c r="A4656" s="131" t="s">
        <v>5953</v>
      </c>
      <c r="B4656" s="132">
        <v>1.3858767747879028</v>
      </c>
      <c r="C4656" s="133"/>
    </row>
    <row r="4657" spans="1:3">
      <c r="A4657" s="131" t="s">
        <v>5954</v>
      </c>
      <c r="B4657" s="132">
        <v>2.071390044875443E-4</v>
      </c>
      <c r="C4657" s="133"/>
    </row>
    <row r="4658" spans="1:3">
      <c r="A4658" s="131" t="s">
        <v>5955</v>
      </c>
      <c r="B4658" s="132">
        <v>8.5299999999999994</v>
      </c>
      <c r="C4658" s="133"/>
    </row>
    <row r="4659" spans="1:3">
      <c r="A4659" s="131" t="s">
        <v>5956</v>
      </c>
      <c r="B4659" s="132">
        <v>3.2025920227169991E-3</v>
      </c>
      <c r="C4659" s="133"/>
    </row>
    <row r="4660" spans="1:3">
      <c r="A4660" s="131" t="s">
        <v>5957</v>
      </c>
      <c r="B4660" s="132">
        <v>8.8049866666666671E-3</v>
      </c>
      <c r="C4660" s="133"/>
    </row>
    <row r="4661" spans="1:3">
      <c r="A4661" s="131" t="s">
        <v>5958</v>
      </c>
      <c r="B4661" s="132">
        <v>1.2993026488810228E-4</v>
      </c>
      <c r="C4661" s="133"/>
    </row>
    <row r="4662" spans="1:3">
      <c r="A4662" s="131" t="s">
        <v>5959</v>
      </c>
      <c r="B4662" s="132">
        <v>1.6696237329269988E-4</v>
      </c>
      <c r="C4662" s="133"/>
    </row>
    <row r="4663" spans="1:3">
      <c r="A4663" s="131" t="s">
        <v>5960</v>
      </c>
      <c r="B4663" s="132">
        <v>6.1779702082276344E-4</v>
      </c>
      <c r="C4663" s="133"/>
    </row>
    <row r="4664" spans="1:3">
      <c r="A4664" s="131" t="s">
        <v>5961</v>
      </c>
      <c r="B4664" s="132">
        <v>8.3724000432994217E-5</v>
      </c>
      <c r="C4664" s="133"/>
    </row>
    <row r="4665" spans="1:3">
      <c r="A4665" s="131" t="s">
        <v>5962</v>
      </c>
      <c r="B4665" s="132">
        <v>0.12012344598770142</v>
      </c>
      <c r="C4665" s="133"/>
    </row>
    <row r="4666" spans="1:3">
      <c r="A4666" s="131" t="s">
        <v>5963</v>
      </c>
      <c r="B4666" s="132">
        <v>4.0805470096462625E-5</v>
      </c>
      <c r="C4666" s="133"/>
    </row>
    <row r="4667" spans="1:3">
      <c r="A4667" s="131" t="s">
        <v>5964</v>
      </c>
      <c r="B4667" s="132">
        <v>7.3083824000000006E-5</v>
      </c>
      <c r="C4667" s="133"/>
    </row>
    <row r="4668" spans="1:3">
      <c r="A4668" s="131" t="s">
        <v>5965</v>
      </c>
      <c r="B4668" s="132">
        <v>7.2790254819359826E-5</v>
      </c>
      <c r="C4668" s="133"/>
    </row>
    <row r="4669" spans="1:3">
      <c r="A4669" s="131" t="s">
        <v>5966</v>
      </c>
      <c r="B4669" s="132">
        <v>2.4996139109134674E-3</v>
      </c>
      <c r="C4669" s="133"/>
    </row>
    <row r="4670" spans="1:3">
      <c r="A4670" s="131" t="s">
        <v>5967</v>
      </c>
      <c r="B4670" s="132">
        <v>3.6767899291589856E-4</v>
      </c>
      <c r="C4670" s="133"/>
    </row>
    <row r="4671" spans="1:3">
      <c r="A4671" s="131" t="s">
        <v>5968</v>
      </c>
      <c r="B4671" s="132">
        <v>1.2240540984263955E-5</v>
      </c>
      <c r="C4671" s="133"/>
    </row>
    <row r="4672" spans="1:3">
      <c r="A4672" s="131" t="s">
        <v>5969</v>
      </c>
      <c r="B4672" s="132">
        <v>6.7575686817446072E-4</v>
      </c>
      <c r="C4672" s="133"/>
    </row>
    <row r="4673" spans="1:3">
      <c r="A4673" s="131" t="s">
        <v>5970</v>
      </c>
      <c r="B4673" s="132">
        <v>7.2669678705101187E-2</v>
      </c>
      <c r="C4673" s="133"/>
    </row>
    <row r="4674" spans="1:3">
      <c r="A4674" s="131" t="s">
        <v>5971</v>
      </c>
      <c r="B4674" s="132">
        <v>0.59637033473388334</v>
      </c>
      <c r="C4674" s="133"/>
    </row>
    <row r="4675" spans="1:3">
      <c r="A4675" s="131" t="s">
        <v>5972</v>
      </c>
      <c r="B4675" s="132">
        <v>1.7373260343447328E-3</v>
      </c>
      <c r="C4675" s="133"/>
    </row>
    <row r="4676" spans="1:3">
      <c r="A4676" s="131" t="s">
        <v>5973</v>
      </c>
      <c r="B4676" s="132">
        <v>4.3195490725338459E-3</v>
      </c>
      <c r="C4676" s="133"/>
    </row>
    <row r="4677" spans="1:3">
      <c r="A4677" s="131" t="s">
        <v>5974</v>
      </c>
      <c r="B4677" s="132">
        <v>1.1800629333333334E-4</v>
      </c>
      <c r="C4677" s="133"/>
    </row>
    <row r="4678" spans="1:3">
      <c r="A4678" s="131" t="s">
        <v>5975</v>
      </c>
      <c r="B4678" s="132">
        <v>1.2845899618696421E-4</v>
      </c>
      <c r="C4678" s="133"/>
    </row>
    <row r="4679" spans="1:3">
      <c r="A4679" s="131" t="s">
        <v>5976</v>
      </c>
      <c r="B4679" s="132">
        <v>1.4004000695422292E-4</v>
      </c>
      <c r="C4679" s="133"/>
    </row>
    <row r="4680" spans="1:3">
      <c r="A4680" s="131" t="s">
        <v>5977</v>
      </c>
      <c r="B4680" s="132">
        <v>2.9423854328989474E-2</v>
      </c>
      <c r="C4680" s="133"/>
    </row>
    <row r="4681" spans="1:3">
      <c r="A4681" s="131" t="s">
        <v>5978</v>
      </c>
      <c r="B4681" s="132">
        <v>4.4514099135994911E-4</v>
      </c>
      <c r="C4681" s="133"/>
    </row>
    <row r="4682" spans="1:3">
      <c r="A4682" s="131" t="s">
        <v>5979</v>
      </c>
      <c r="B4682" s="132">
        <v>4.4426639999999988E-4</v>
      </c>
      <c r="C4682" s="133"/>
    </row>
    <row r="4683" spans="1:3">
      <c r="A4683" s="131" t="s">
        <v>5980</v>
      </c>
      <c r="B4683" s="132">
        <v>0.13814907336678445</v>
      </c>
      <c r="C4683" s="133"/>
    </row>
    <row r="4684" spans="1:3">
      <c r="A4684" s="131" t="s">
        <v>5981</v>
      </c>
      <c r="B4684" s="132">
        <v>5.6020999181782827E-5</v>
      </c>
      <c r="C4684" s="133"/>
    </row>
    <row r="4685" spans="1:3">
      <c r="A4685" s="131" t="s">
        <v>5982</v>
      </c>
      <c r="B4685" s="132">
        <v>6.1771828903127858E-4</v>
      </c>
      <c r="C4685" s="133"/>
    </row>
    <row r="4686" spans="1:3">
      <c r="A4686" s="131" t="s">
        <v>5983</v>
      </c>
      <c r="B4686" s="132">
        <v>8.6178933440599488E-5</v>
      </c>
      <c r="C4686" s="133"/>
    </row>
    <row r="4687" spans="1:3">
      <c r="A4687" s="131" t="s">
        <v>5984</v>
      </c>
      <c r="B4687" s="132">
        <v>4.0714162701454962E-2</v>
      </c>
      <c r="C4687" s="133"/>
    </row>
    <row r="4688" spans="1:3">
      <c r="A4688" s="131" t="s">
        <v>5985</v>
      </c>
      <c r="B4688" s="132">
        <v>3.0742386150882714E-4</v>
      </c>
      <c r="C4688" s="133"/>
    </row>
    <row r="4689" spans="1:3">
      <c r="A4689" s="131" t="s">
        <v>5986</v>
      </c>
      <c r="B4689" s="132">
        <v>0.3163837054636624</v>
      </c>
      <c r="C4689" s="133"/>
    </row>
    <row r="4690" spans="1:3">
      <c r="A4690" s="131" t="s">
        <v>5987</v>
      </c>
      <c r="B4690" s="132">
        <v>0.42289323921261079</v>
      </c>
      <c r="C4690" s="133"/>
    </row>
    <row r="4691" spans="1:3">
      <c r="A4691" s="131" t="s">
        <v>5988</v>
      </c>
      <c r="B4691" s="132">
        <v>8.1516001955606043E-5</v>
      </c>
      <c r="C4691" s="133"/>
    </row>
    <row r="4692" spans="1:3">
      <c r="A4692" s="131" t="s">
        <v>5989</v>
      </c>
      <c r="B4692" s="132">
        <v>0.14097733795642853</v>
      </c>
      <c r="C4692" s="133"/>
    </row>
    <row r="4693" spans="1:3">
      <c r="A4693" s="131" t="s">
        <v>5990</v>
      </c>
      <c r="B4693" s="132">
        <v>7.0251000579446554E-4</v>
      </c>
      <c r="C4693" s="133"/>
    </row>
    <row r="4694" spans="1:3">
      <c r="A4694" s="131" t="s">
        <v>5991</v>
      </c>
      <c r="B4694" s="132">
        <v>15694</v>
      </c>
      <c r="C4694" s="133"/>
    </row>
    <row r="4695" spans="1:3">
      <c r="A4695" s="131" t="s">
        <v>5992</v>
      </c>
      <c r="B4695" s="132">
        <v>1.000180536</v>
      </c>
      <c r="C4695" s="133"/>
    </row>
    <row r="4696" spans="1:3">
      <c r="A4696" s="131" t="s">
        <v>5993</v>
      </c>
      <c r="B4696" s="132">
        <v>2.3754258706904519E-4</v>
      </c>
      <c r="C4696" s="133"/>
    </row>
    <row r="4697" spans="1:3">
      <c r="A4697" s="131" t="s">
        <v>5994</v>
      </c>
      <c r="B4697" s="132">
        <v>6.8512462079524994E-2</v>
      </c>
      <c r="C4697" s="133"/>
    </row>
    <row r="4698" spans="1:3">
      <c r="A4698" s="131" t="s">
        <v>5995</v>
      </c>
      <c r="B4698" s="132">
        <v>0.52284672119861408</v>
      </c>
      <c r="C4698" s="133"/>
    </row>
    <row r="4699" spans="1:3">
      <c r="A4699" s="131" t="s">
        <v>5996</v>
      </c>
      <c r="B4699" s="132">
        <v>4.9599677087361895E-3</v>
      </c>
      <c r="C4699" s="133"/>
    </row>
    <row r="4700" spans="1:3">
      <c r="A4700" s="131" t="s">
        <v>5997</v>
      </c>
      <c r="B4700" s="132">
        <v>2.1673585342873086E-2</v>
      </c>
      <c r="C4700" s="133"/>
    </row>
    <row r="4701" spans="1:3">
      <c r="A4701" s="131" t="s">
        <v>5998</v>
      </c>
      <c r="B4701" s="132">
        <v>2.4535111151635647E-3</v>
      </c>
      <c r="C4701" s="133"/>
    </row>
    <row r="4702" spans="1:3">
      <c r="A4702" s="131" t="s">
        <v>5999</v>
      </c>
      <c r="B4702" s="132">
        <v>5.08</v>
      </c>
      <c r="C4702" s="133"/>
    </row>
    <row r="4703" spans="1:3">
      <c r="A4703" s="131" t="s">
        <v>6000</v>
      </c>
      <c r="B4703" s="132">
        <v>5.7013728655874729E-3</v>
      </c>
      <c r="C4703" s="133"/>
    </row>
    <row r="4704" spans="1:3">
      <c r="A4704" s="131" t="s">
        <v>6001</v>
      </c>
      <c r="B4704" s="132">
        <v>1.6453099669888616E-4</v>
      </c>
      <c r="C4704" s="133"/>
    </row>
    <row r="4705" spans="1:3">
      <c r="A4705" s="131" t="s">
        <v>6002</v>
      </c>
      <c r="B4705" s="132">
        <v>0.20117230713367462</v>
      </c>
      <c r="C4705" s="133"/>
    </row>
    <row r="4706" spans="1:3">
      <c r="A4706" s="131" t="s">
        <v>6003</v>
      </c>
      <c r="B4706" s="132">
        <v>2.0863035693764687E-2</v>
      </c>
      <c r="C4706" s="133"/>
    </row>
    <row r="4707" spans="1:3">
      <c r="A4707" s="131" t="s">
        <v>6004</v>
      </c>
      <c r="B4707" s="132">
        <v>3.1783998565515503E-5</v>
      </c>
      <c r="C4707" s="133"/>
    </row>
    <row r="4708" spans="1:3">
      <c r="A4708" s="131" t="s">
        <v>6005</v>
      </c>
      <c r="B4708" s="132">
        <v>4.2948621340127084E-5</v>
      </c>
      <c r="C4708" s="133"/>
    </row>
    <row r="4709" spans="1:3">
      <c r="A4709" s="131" t="s">
        <v>6006</v>
      </c>
      <c r="B4709" s="132">
        <v>3.2739069318657762E-2</v>
      </c>
      <c r="C4709" s="133"/>
    </row>
    <row r="4710" spans="1:3">
      <c r="A4710" s="131" t="s">
        <v>6007</v>
      </c>
      <c r="B4710" s="132">
        <v>4.740992933511734E-2</v>
      </c>
      <c r="C4710" s="133"/>
    </row>
    <row r="4711" spans="1:3">
      <c r="A4711" s="131" t="s">
        <v>6008</v>
      </c>
      <c r="B4711" s="132">
        <v>4.0805470096462625E-5</v>
      </c>
      <c r="C4711" s="133"/>
    </row>
    <row r="4712" spans="1:3">
      <c r="A4712" s="131" t="s">
        <v>6009</v>
      </c>
      <c r="B4712" s="132">
        <v>55.630055563982836</v>
      </c>
      <c r="C4712" s="133"/>
    </row>
    <row r="4713" spans="1:3">
      <c r="A4713" s="131" t="s">
        <v>6010</v>
      </c>
      <c r="B4713" s="132">
        <v>2.7339999633113621E-6</v>
      </c>
      <c r="C4713" s="133"/>
    </row>
    <row r="4714" spans="1:3">
      <c r="A4714" s="131" t="s">
        <v>6011</v>
      </c>
      <c r="B4714" s="132">
        <v>4.3240225561790821E-4</v>
      </c>
      <c r="C4714" s="133"/>
    </row>
    <row r="4715" spans="1:3">
      <c r="A4715" s="131" t="s">
        <v>6012</v>
      </c>
      <c r="B4715" s="132">
        <v>2.0607160404324532E-3</v>
      </c>
      <c r="C4715" s="133"/>
    </row>
    <row r="4716" spans="1:3">
      <c r="A4716" s="131" t="s">
        <v>6013</v>
      </c>
      <c r="B4716" s="132">
        <v>4.5025299186818302E-4</v>
      </c>
      <c r="C4716" s="133"/>
    </row>
    <row r="4717" spans="1:3">
      <c r="A4717" s="131" t="s">
        <v>6014</v>
      </c>
      <c r="B4717" s="132">
        <v>1.1830488628785134</v>
      </c>
      <c r="C4717" s="133"/>
    </row>
    <row r="4718" spans="1:3">
      <c r="A4718" s="131" t="s">
        <v>6015</v>
      </c>
      <c r="B4718" s="132">
        <v>5.5538999731652439E-5</v>
      </c>
      <c r="C4718" s="133"/>
    </row>
    <row r="4719" spans="1:3">
      <c r="A4719" s="131" t="s">
        <v>6016</v>
      </c>
      <c r="B4719" s="132">
        <v>5.9300955747002733E-2</v>
      </c>
      <c r="C4719" s="133"/>
    </row>
    <row r="4720" spans="1:3">
      <c r="A4720" s="131" t="s">
        <v>6017</v>
      </c>
      <c r="B4720" s="132">
        <v>0.23138757050037384</v>
      </c>
      <c r="C4720" s="133"/>
    </row>
    <row r="4721" spans="1:3">
      <c r="A4721" s="131" t="s">
        <v>6018</v>
      </c>
      <c r="B4721" s="132">
        <v>2.5791798604682774E-3</v>
      </c>
      <c r="C4721" s="133"/>
    </row>
    <row r="4722" spans="1:3">
      <c r="A4722" s="131" t="s">
        <v>6019</v>
      </c>
      <c r="B4722" s="132">
        <v>5.7979999837698415E-5</v>
      </c>
      <c r="C4722" s="133"/>
    </row>
    <row r="4723" spans="1:3">
      <c r="A4723" s="131" t="s">
        <v>6020</v>
      </c>
      <c r="B4723" s="132">
        <v>5.3970002227288205E-6</v>
      </c>
      <c r="C4723" s="133"/>
    </row>
    <row r="4724" spans="1:3">
      <c r="A4724" s="131" t="s">
        <v>6021</v>
      </c>
      <c r="B4724" s="132">
        <v>2.4708731561251144E-4</v>
      </c>
      <c r="C4724" s="133"/>
    </row>
    <row r="4725" spans="1:3">
      <c r="A4725" s="131" t="s">
        <v>6022</v>
      </c>
      <c r="B4725" s="132">
        <v>6.1496421694755554E-2</v>
      </c>
      <c r="C4725" s="133"/>
    </row>
    <row r="4726" spans="1:3">
      <c r="A4726" s="131" t="s">
        <v>6023</v>
      </c>
      <c r="B4726" s="132">
        <v>2.9127579182386398E-3</v>
      </c>
      <c r="C4726" s="133"/>
    </row>
    <row r="4727" spans="1:3">
      <c r="A4727" s="131" t="s">
        <v>6024</v>
      </c>
      <c r="B4727" s="132">
        <v>2.8834284790087822E-4</v>
      </c>
      <c r="C4727" s="133"/>
    </row>
    <row r="4728" spans="1:3">
      <c r="A4728" s="131" t="s">
        <v>6025</v>
      </c>
      <c r="B4728" s="132">
        <v>4.7008712206650431E-4</v>
      </c>
      <c r="C4728" s="133"/>
    </row>
    <row r="4729" spans="1:3">
      <c r="A4729" s="131" t="s">
        <v>6026</v>
      </c>
      <c r="B4729" s="132">
        <v>3.0921404255413272E-3</v>
      </c>
      <c r="C4729" s="133"/>
    </row>
    <row r="4730" spans="1:3">
      <c r="A4730" s="131" t="s">
        <v>6027</v>
      </c>
      <c r="B4730" s="132">
        <v>5.6147512304000153E-3</v>
      </c>
      <c r="C4730" s="133"/>
    </row>
    <row r="4731" spans="1:3">
      <c r="A4731" s="131" t="s">
        <v>6028</v>
      </c>
      <c r="B4731" s="132">
        <v>1.5889010062368608E-4</v>
      </c>
      <c r="C4731" s="133"/>
    </row>
    <row r="4732" spans="1:3">
      <c r="A4732" s="131" t="s">
        <v>6029</v>
      </c>
      <c r="B4732" s="132">
        <v>1.5400359333333331E-3</v>
      </c>
      <c r="C4732" s="133"/>
    </row>
    <row r="4733" spans="1:3">
      <c r="A4733" s="131" t="s">
        <v>6030</v>
      </c>
      <c r="B4733" s="132">
        <v>2.7155519928783178E-3</v>
      </c>
      <c r="C4733" s="133"/>
    </row>
    <row r="4734" spans="1:3">
      <c r="A4734" s="131" t="s">
        <v>6031</v>
      </c>
      <c r="B4734" s="132">
        <v>1.0005666666666666E-2</v>
      </c>
      <c r="C4734" s="133"/>
    </row>
    <row r="4735" spans="1:3">
      <c r="A4735" s="131" t="s">
        <v>6032</v>
      </c>
      <c r="B4735" s="132">
        <v>6.8798498250544071E-4</v>
      </c>
      <c r="C4735" s="133"/>
    </row>
    <row r="4736" spans="1:3">
      <c r="A4736" s="131" t="s">
        <v>6033</v>
      </c>
      <c r="B4736" s="132">
        <v>1.0113600001204759E-4</v>
      </c>
      <c r="C4736" s="133"/>
    </row>
    <row r="4737" spans="1:3">
      <c r="A4737" s="131" t="s">
        <v>6034</v>
      </c>
      <c r="B4737" s="132">
        <v>1.1215000085940119E-5</v>
      </c>
      <c r="C4737" s="133"/>
    </row>
    <row r="4738" spans="1:3">
      <c r="A4738" s="131" t="s">
        <v>6035</v>
      </c>
      <c r="B4738" s="132">
        <v>2.0369923440226772E-3</v>
      </c>
      <c r="C4738" s="133"/>
    </row>
    <row r="4739" spans="1:3">
      <c r="A4739" s="131" t="s">
        <v>6036</v>
      </c>
      <c r="B4739" s="132">
        <v>1.0100505E-9</v>
      </c>
      <c r="C4739" s="133"/>
    </row>
    <row r="4740" spans="1:3">
      <c r="A4740" s="131" t="s">
        <v>6037</v>
      </c>
      <c r="B4740" s="132">
        <v>9.000999853014946E-6</v>
      </c>
      <c r="C4740" s="133"/>
    </row>
    <row r="4741" spans="1:3">
      <c r="A4741" s="131" t="s">
        <v>6038</v>
      </c>
      <c r="B4741" s="132">
        <v>2.739000046858564E-5</v>
      </c>
      <c r="C4741" s="133"/>
    </row>
    <row r="4742" spans="1:3">
      <c r="A4742" s="131" t="s">
        <v>6039</v>
      </c>
      <c r="B4742" s="132">
        <v>9.280684913716151E-5</v>
      </c>
      <c r="C4742" s="133"/>
    </row>
    <row r="4743" spans="1:3">
      <c r="A4743" s="131" t="s">
        <v>6040</v>
      </c>
      <c r="B4743" s="132">
        <v>9.2091002443339676E-5</v>
      </c>
      <c r="C4743" s="133"/>
    </row>
    <row r="4744" spans="1:3">
      <c r="A4744" s="131" t="s">
        <v>6041</v>
      </c>
      <c r="B4744" s="132">
        <v>4.2229965329170227E-2</v>
      </c>
      <c r="C4744" s="133"/>
    </row>
    <row r="4745" spans="1:3">
      <c r="A4745" s="131" t="s">
        <v>6042</v>
      </c>
      <c r="B4745" s="132">
        <v>1.9786336421966553</v>
      </c>
      <c r="C4745" s="133"/>
    </row>
    <row r="4746" spans="1:3">
      <c r="A4746" s="131" t="s">
        <v>6043</v>
      </c>
      <c r="B4746" s="132">
        <v>1.369999949929479E-6</v>
      </c>
      <c r="C4746" s="133"/>
    </row>
    <row r="4747" spans="1:3">
      <c r="A4747" s="131" t="s">
        <v>6044</v>
      </c>
      <c r="B4747" s="132">
        <v>0.44929975052887128</v>
      </c>
      <c r="C4747" s="133"/>
    </row>
    <row r="4748" spans="1:3">
      <c r="A4748" s="131" t="s">
        <v>6045</v>
      </c>
      <c r="B4748" s="132">
        <v>0.1002633348107338</v>
      </c>
      <c r="C4748" s="133"/>
    </row>
    <row r="4749" spans="1:3">
      <c r="A4749" s="131" t="s">
        <v>6046</v>
      </c>
      <c r="B4749" s="132">
        <v>0.16029053926467896</v>
      </c>
      <c r="C4749" s="133"/>
    </row>
    <row r="4750" spans="1:3">
      <c r="A4750" s="131" t="s">
        <v>6047</v>
      </c>
      <c r="B4750" s="132">
        <v>2.154018197333333E-3</v>
      </c>
      <c r="C4750" s="133"/>
    </row>
    <row r="4751" spans="1:3">
      <c r="A4751" s="131" t="s">
        <v>6048</v>
      </c>
      <c r="B4751" s="132">
        <v>1.6336708266666663E-2</v>
      </c>
      <c r="C4751" s="133"/>
    </row>
    <row r="4752" spans="1:3">
      <c r="A4752" s="131" t="s">
        <v>6049</v>
      </c>
      <c r="B4752" s="132">
        <v>7.7713001519441605E-4</v>
      </c>
      <c r="C4752" s="133"/>
    </row>
    <row r="4753" spans="1:3">
      <c r="A4753" s="131" t="s">
        <v>6050</v>
      </c>
      <c r="B4753" s="132">
        <v>2.6678999347495846E-5</v>
      </c>
      <c r="C4753" s="133"/>
    </row>
    <row r="4754" spans="1:3">
      <c r="A4754" s="131" t="s">
        <v>6051</v>
      </c>
      <c r="B4754" s="132">
        <v>1.1600919533520937E-3</v>
      </c>
      <c r="C4754" s="133"/>
    </row>
    <row r="4755" spans="1:3">
      <c r="A4755" s="131" t="s">
        <v>6052</v>
      </c>
      <c r="B4755" s="132">
        <v>1.2136873666666714E-3</v>
      </c>
      <c r="C4755" s="133"/>
    </row>
    <row r="4756" spans="1:3">
      <c r="A4756" s="131" t="s">
        <v>6053</v>
      </c>
      <c r="B4756" s="132">
        <v>7.9620201140642166E-3</v>
      </c>
      <c r="C4756" s="133"/>
    </row>
    <row r="4757" spans="1:3">
      <c r="A4757" s="131" t="s">
        <v>6054</v>
      </c>
      <c r="B4757" s="132">
        <v>9.349028579890728E-3</v>
      </c>
      <c r="C4757" s="133"/>
    </row>
    <row r="4758" spans="1:3">
      <c r="A4758" s="131" t="s">
        <v>6055</v>
      </c>
      <c r="B4758" s="132">
        <v>5.2761537954211235E-3</v>
      </c>
      <c r="C4758" s="133"/>
    </row>
    <row r="4759" spans="1:3">
      <c r="A4759" s="131" t="s">
        <v>6056</v>
      </c>
      <c r="B4759" s="132">
        <v>1.4643299800809473E-4</v>
      </c>
      <c r="C4759" s="133"/>
    </row>
    <row r="4760" spans="1:3">
      <c r="A4760" s="131" t="s">
        <v>6057</v>
      </c>
      <c r="B4760" s="132">
        <v>4</v>
      </c>
      <c r="C4760" s="133"/>
    </row>
    <row r="4761" spans="1:3">
      <c r="A4761" s="131" t="s">
        <v>6058</v>
      </c>
      <c r="B4761" s="132">
        <v>1.4837734401226044E-2</v>
      </c>
      <c r="C4761" s="133"/>
    </row>
    <row r="4762" spans="1:3">
      <c r="A4762" s="131" t="s">
        <v>6059</v>
      </c>
      <c r="B4762" s="132">
        <v>6.8808899959549308E-4</v>
      </c>
      <c r="C4762" s="133"/>
    </row>
    <row r="4763" spans="1:3">
      <c r="A4763" s="131" t="s">
        <v>6060</v>
      </c>
      <c r="B4763" s="132">
        <v>5.1769147974963375E-3</v>
      </c>
      <c r="C4763" s="133"/>
    </row>
    <row r="4764" spans="1:3">
      <c r="A4764" s="131" t="s">
        <v>6061</v>
      </c>
      <c r="B4764" s="132">
        <v>8.7150797480717301E-4</v>
      </c>
      <c r="C4764" s="133"/>
    </row>
    <row r="4765" spans="1:3">
      <c r="A4765" s="131" t="s">
        <v>6062</v>
      </c>
      <c r="B4765" s="132">
        <v>3.4189999951195205E-6</v>
      </c>
      <c r="C4765" s="133"/>
    </row>
    <row r="4766" spans="1:3">
      <c r="A4766" s="131" t="s">
        <v>6063</v>
      </c>
      <c r="B4766" s="132">
        <v>2.5011666666666674E-4</v>
      </c>
      <c r="C4766" s="133"/>
    </row>
    <row r="4767" spans="1:3">
      <c r="A4767" s="131" t="s">
        <v>6064</v>
      </c>
      <c r="B4767" s="132">
        <v>2.461394E-3</v>
      </c>
      <c r="C4767" s="133"/>
    </row>
    <row r="4768" spans="1:3">
      <c r="A4768" s="131" t="s">
        <v>6065</v>
      </c>
      <c r="B4768" s="132">
        <v>3.5758841782808304E-2</v>
      </c>
      <c r="C4768" s="133"/>
    </row>
    <row r="4769" spans="1:3">
      <c r="A4769" s="131" t="s">
        <v>6066</v>
      </c>
      <c r="B4769" s="132">
        <v>0.16953152418136597</v>
      </c>
      <c r="C4769" s="133"/>
    </row>
    <row r="4770" spans="1:3">
      <c r="A4770" s="131" t="s">
        <v>6067</v>
      </c>
      <c r="B4770" s="132">
        <v>1.2830999912694097E-4</v>
      </c>
      <c r="C4770" s="133"/>
    </row>
    <row r="4771" spans="1:3">
      <c r="A4771" s="131" t="s">
        <v>6068</v>
      </c>
      <c r="B4771" s="132">
        <v>6.3488956699999988E-2</v>
      </c>
      <c r="C4771" s="133"/>
    </row>
    <row r="4772" spans="1:3">
      <c r="A4772" s="131" t="s">
        <v>6069</v>
      </c>
      <c r="B4772" s="132">
        <v>1.0065035399999997E-3</v>
      </c>
      <c r="C4772" s="133"/>
    </row>
    <row r="4773" spans="1:3">
      <c r="A4773" s="131" t="s">
        <v>6070</v>
      </c>
      <c r="B4773" s="132">
        <v>6.1771828903127859E-6</v>
      </c>
      <c r="C4773" s="133"/>
    </row>
    <row r="4774" spans="1:3">
      <c r="A4774" s="131" t="s">
        <v>6071</v>
      </c>
      <c r="B4774" s="132">
        <v>1.8871079664677382E-3</v>
      </c>
      <c r="C4774" s="133"/>
    </row>
    <row r="4775" spans="1:3">
      <c r="A4775" s="131" t="s">
        <v>6072</v>
      </c>
      <c r="B4775" s="132">
        <v>1.6060675514813241E-2</v>
      </c>
      <c r="C4775" s="133"/>
    </row>
    <row r="4776" spans="1:3">
      <c r="A4776" s="131" t="s">
        <v>6073</v>
      </c>
      <c r="B4776" s="132">
        <v>1.4205489175438327E-2</v>
      </c>
      <c r="C4776" s="133"/>
    </row>
    <row r="4777" spans="1:3">
      <c r="A4777" s="131" t="s">
        <v>6074</v>
      </c>
      <c r="B4777" s="132">
        <v>295.95</v>
      </c>
      <c r="C4777" s="133"/>
    </row>
    <row r="4778" spans="1:3">
      <c r="A4778" s="131" t="s">
        <v>6075</v>
      </c>
      <c r="B4778" s="132">
        <v>4.0013599209487438E-4</v>
      </c>
      <c r="C4778" s="133"/>
    </row>
    <row r="4779" spans="1:3">
      <c r="A4779" s="131" t="s">
        <v>6076</v>
      </c>
      <c r="B4779" s="132">
        <v>2.4366667145920007E-3</v>
      </c>
      <c r="C4779" s="133"/>
    </row>
    <row r="4780" spans="1:3">
      <c r="A4780" s="131" t="s">
        <v>6077</v>
      </c>
      <c r="B4780" s="132">
        <v>2.1591864414354374E-4</v>
      </c>
      <c r="C4780" s="133"/>
    </row>
    <row r="4781" spans="1:3">
      <c r="A4781" s="131" t="s">
        <v>6078</v>
      </c>
      <c r="B4781" s="132">
        <v>2.3658447317155646E-5</v>
      </c>
      <c r="C4781" s="133"/>
    </row>
    <row r="4782" spans="1:3">
      <c r="A4782" s="131" t="s">
        <v>6079</v>
      </c>
      <c r="B4782" s="132">
        <v>3.3433448988944292E-3</v>
      </c>
      <c r="C4782" s="133"/>
    </row>
    <row r="4783" spans="1:3">
      <c r="A4783" s="131" t="s">
        <v>6080</v>
      </c>
      <c r="B4783" s="132">
        <v>5.1954071968793869E-2</v>
      </c>
      <c r="C4783" s="133"/>
    </row>
    <row r="4784" spans="1:3">
      <c r="A4784" s="131" t="s">
        <v>6081</v>
      </c>
      <c r="B4784" s="132">
        <v>8.5134215093432657E-3</v>
      </c>
      <c r="C4784" s="133"/>
    </row>
    <row r="4785" spans="1:3">
      <c r="A4785" s="131" t="s">
        <v>6082</v>
      </c>
      <c r="B4785" s="132">
        <v>3.6810600431635976E-4</v>
      </c>
      <c r="C4785" s="133"/>
    </row>
    <row r="4786" spans="1:3">
      <c r="A4786" s="131" t="s">
        <v>6083</v>
      </c>
      <c r="B4786" s="132">
        <v>1.0834929998964071E-3</v>
      </c>
      <c r="C4786" s="133"/>
    </row>
    <row r="4787" spans="1:3">
      <c r="A4787" s="131" t="s">
        <v>6084</v>
      </c>
      <c r="B4787" s="132">
        <v>4.9851316958665848E-2</v>
      </c>
      <c r="C4787" s="133"/>
    </row>
    <row r="4788" spans="1:3">
      <c r="A4788" s="131" t="s">
        <v>6085</v>
      </c>
      <c r="B4788" s="132">
        <v>2.2011733333333334E-3</v>
      </c>
      <c r="C4788" s="133"/>
    </row>
    <row r="4789" spans="1:3">
      <c r="A4789" s="131" t="s">
        <v>6086</v>
      </c>
      <c r="B4789" s="132">
        <v>3.070395439863205E-2</v>
      </c>
      <c r="C4789" s="133"/>
    </row>
    <row r="4790" spans="1:3">
      <c r="A4790" s="131" t="s">
        <v>6087</v>
      </c>
      <c r="B4790" s="132">
        <v>0.42487695813179016</v>
      </c>
      <c r="C4790" s="133"/>
    </row>
    <row r="4791" spans="1:3">
      <c r="A4791" s="131" t="s">
        <v>6088</v>
      </c>
      <c r="B4791" s="132">
        <v>2.1483999444171786E-4</v>
      </c>
      <c r="C4791" s="133"/>
    </row>
    <row r="4792" spans="1:3">
      <c r="A4792" s="131" t="s">
        <v>6089</v>
      </c>
      <c r="B4792" s="132">
        <v>2.0018599752802402E-4</v>
      </c>
      <c r="C4792" s="133"/>
    </row>
    <row r="4793" spans="1:3">
      <c r="A4793" s="131" t="s">
        <v>6090</v>
      </c>
      <c r="B4793" s="132">
        <v>0.48882979154586792</v>
      </c>
      <c r="C4793" s="133"/>
    </row>
    <row r="4794" spans="1:3">
      <c r="A4794" s="131" t="s">
        <v>6091</v>
      </c>
      <c r="B4794" s="132">
        <v>9.4510898221785626E-4</v>
      </c>
      <c r="C4794" s="133"/>
    </row>
    <row r="4795" spans="1:3">
      <c r="A4795" s="131" t="s">
        <v>6092</v>
      </c>
      <c r="B4795" s="132">
        <v>1.6091478988528252E-2</v>
      </c>
      <c r="C4795" s="133"/>
    </row>
    <row r="4796" spans="1:3">
      <c r="A4796" s="131" t="s">
        <v>6093</v>
      </c>
      <c r="B4796" s="132">
        <v>4.5999999999999996</v>
      </c>
      <c r="C4796" s="133"/>
    </row>
    <row r="4797" spans="1:3">
      <c r="A4797" s="131" t="s">
        <v>6094</v>
      </c>
      <c r="B4797" s="132">
        <v>4.4702999730361626E-5</v>
      </c>
      <c r="C4797" s="133"/>
    </row>
    <row r="4798" spans="1:3">
      <c r="A4798" s="131" t="s">
        <v>6095</v>
      </c>
      <c r="B4798" s="132">
        <v>5.0003099022433162E-4</v>
      </c>
      <c r="C4798" s="133"/>
    </row>
    <row r="4799" spans="1:3">
      <c r="A4799" s="131" t="s">
        <v>6096</v>
      </c>
      <c r="B4799" s="132">
        <v>1.2239999705343507E-5</v>
      </c>
      <c r="C4799" s="133"/>
    </row>
    <row r="4800" spans="1:3">
      <c r="A4800" s="131" t="s">
        <v>6097</v>
      </c>
      <c r="B4800" s="132">
        <v>2.4459999622195028E-5</v>
      </c>
      <c r="C4800" s="133"/>
    </row>
    <row r="4801" spans="1:3">
      <c r="A4801" s="131" t="s">
        <v>6098</v>
      </c>
      <c r="B4801" s="132">
        <v>5.0009998631139752E-6</v>
      </c>
      <c r="C4801" s="133"/>
    </row>
    <row r="4802" spans="1:3">
      <c r="A4802" s="131" t="s">
        <v>6099</v>
      </c>
      <c r="B4802" s="132">
        <v>1.0562805346198748E-3</v>
      </c>
      <c r="C4802" s="133"/>
    </row>
    <row r="4803" spans="1:3">
      <c r="A4803" s="131" t="s">
        <v>6100</v>
      </c>
      <c r="B4803" s="132">
        <v>7.6632678508758545E-2</v>
      </c>
      <c r="C4803" s="133"/>
    </row>
    <row r="4804" spans="1:3">
      <c r="A4804" s="131" t="s">
        <v>6101</v>
      </c>
      <c r="B4804" s="132">
        <v>2.0373400184325874E-4</v>
      </c>
      <c r="C4804" s="133"/>
    </row>
    <row r="4805" spans="1:3">
      <c r="A4805" s="131" t="s">
        <v>6102</v>
      </c>
      <c r="B4805" s="132">
        <v>7.0854899240657687E-4</v>
      </c>
      <c r="C4805" s="133"/>
    </row>
    <row r="4806" spans="1:3">
      <c r="A4806" s="131" t="s">
        <v>6103</v>
      </c>
      <c r="B4806" s="132">
        <v>1.0440551675856113E-2</v>
      </c>
      <c r="C4806" s="133"/>
    </row>
    <row r="4807" spans="1:3">
      <c r="A4807" s="131" t="s">
        <v>6104</v>
      </c>
      <c r="B4807" s="132">
        <v>7.0099997628858546E-7</v>
      </c>
      <c r="C4807" s="133"/>
    </row>
    <row r="4808" spans="1:3">
      <c r="A4808" s="131" t="s">
        <v>6105</v>
      </c>
      <c r="B4808" s="132">
        <v>8.813948929309845E-2</v>
      </c>
      <c r="C4808" s="133"/>
    </row>
    <row r="4809" spans="1:3">
      <c r="A4809" s="131" t="s">
        <v>6106</v>
      </c>
      <c r="B4809" s="132">
        <v>8.6480560464378999E-3</v>
      </c>
      <c r="C4809" s="133"/>
    </row>
    <row r="4810" spans="1:3">
      <c r="A4810" s="131" t="s">
        <v>6107</v>
      </c>
      <c r="B4810" s="132">
        <v>2.2579000869882293E-5</v>
      </c>
      <c r="C4810" s="133"/>
    </row>
    <row r="4811" spans="1:3">
      <c r="A4811" s="131" t="s">
        <v>6108</v>
      </c>
      <c r="B4811" s="132">
        <v>3.6632298724725842E-4</v>
      </c>
      <c r="C4811" s="133"/>
    </row>
    <row r="4812" spans="1:3">
      <c r="A4812" s="131" t="s">
        <v>6109</v>
      </c>
      <c r="B4812" s="132">
        <v>2.8363154530000006E-3</v>
      </c>
      <c r="C4812" s="133"/>
    </row>
    <row r="4813" spans="1:3">
      <c r="A4813" s="131" t="s">
        <v>6110</v>
      </c>
      <c r="B4813" s="132">
        <v>1.0005666666666666E-3</v>
      </c>
      <c r="C4813" s="133"/>
    </row>
    <row r="4814" spans="1:3">
      <c r="A4814" s="131" t="s">
        <v>6111</v>
      </c>
      <c r="B4814" s="132">
        <v>3.0700777395946242E-6</v>
      </c>
      <c r="C4814" s="133"/>
    </row>
    <row r="4815" spans="1:3">
      <c r="A4815" s="131" t="s">
        <v>6112</v>
      </c>
      <c r="B4815" s="132">
        <v>5.5399999610017403E-7</v>
      </c>
      <c r="C4815" s="133"/>
    </row>
    <row r="4816" spans="1:3">
      <c r="A4816" s="131" t="s">
        <v>6113</v>
      </c>
      <c r="B4816" s="132">
        <v>8.0498564294582476E-4</v>
      </c>
      <c r="C4816" s="133"/>
    </row>
    <row r="4817" spans="1:3">
      <c r="A4817" s="131" t="s">
        <v>6114</v>
      </c>
      <c r="B4817" s="132">
        <v>6.1691041183869924E-4</v>
      </c>
      <c r="C4817" s="133"/>
    </row>
    <row r="4818" spans="1:3">
      <c r="A4818" s="131" t="s">
        <v>6115</v>
      </c>
      <c r="B4818" s="132">
        <v>4.0529539848106885E-3</v>
      </c>
      <c r="C4818" s="133"/>
    </row>
    <row r="4819" spans="1:3">
      <c r="A4819" s="131" t="s">
        <v>6116</v>
      </c>
      <c r="B4819" s="132">
        <v>1.6389400116167963E-4</v>
      </c>
      <c r="C4819" s="133"/>
    </row>
    <row r="4820" spans="1:3">
      <c r="A4820" s="131" t="s">
        <v>6117</v>
      </c>
      <c r="B4820" s="132">
        <v>5.5569623635074346E-3</v>
      </c>
      <c r="C4820" s="133"/>
    </row>
    <row r="4821" spans="1:3">
      <c r="A4821" s="131" t="s">
        <v>6118</v>
      </c>
      <c r="B4821" s="132">
        <v>7.114670182831997E-3</v>
      </c>
      <c r="C4821" s="133"/>
    </row>
    <row r="4822" spans="1:3">
      <c r="A4822" s="131" t="s">
        <v>6119</v>
      </c>
      <c r="B4822" s="132">
        <v>2.1597710438072681E-3</v>
      </c>
      <c r="C4822" s="133"/>
    </row>
    <row r="4823" spans="1:3">
      <c r="A4823" s="131" t="s">
        <v>6120</v>
      </c>
      <c r="B4823" s="132">
        <v>2.8291798662394285E-4</v>
      </c>
      <c r="C4823" s="133"/>
    </row>
    <row r="4824" spans="1:3">
      <c r="A4824" s="131" t="s">
        <v>6121</v>
      </c>
      <c r="B4824" s="132">
        <v>7.8997301170602441E-4</v>
      </c>
      <c r="C4824" s="133"/>
    </row>
    <row r="4825" spans="1:3">
      <c r="A4825" s="131" t="s">
        <v>6122</v>
      </c>
      <c r="B4825" s="132">
        <v>1.0543388320836281E-4</v>
      </c>
      <c r="C4825" s="133"/>
    </row>
    <row r="4826" spans="1:3">
      <c r="A4826" s="131" t="s">
        <v>6123</v>
      </c>
      <c r="B4826" s="132">
        <v>1.5612089773640037E-3</v>
      </c>
      <c r="C4826" s="133"/>
    </row>
    <row r="4827" spans="1:3">
      <c r="A4827" s="131" t="s">
        <v>6124</v>
      </c>
      <c r="B4827" s="132">
        <v>0.34210883416883109</v>
      </c>
      <c r="C4827" s="133"/>
    </row>
    <row r="4828" spans="1:3">
      <c r="A4828" s="131" t="s">
        <v>6125</v>
      </c>
      <c r="B4828" s="132">
        <v>2.5162000383716077E-5</v>
      </c>
      <c r="C4828" s="133"/>
    </row>
    <row r="4829" spans="1:3">
      <c r="A4829" s="131" t="s">
        <v>6126</v>
      </c>
      <c r="B4829" s="132">
        <v>3.6940703327990773E-4</v>
      </c>
      <c r="C4829" s="133"/>
    </row>
    <row r="4830" spans="1:3">
      <c r="A4830" s="131" t="s">
        <v>6127</v>
      </c>
      <c r="B4830" s="132">
        <v>2.5601853568652164E-2</v>
      </c>
      <c r="C4830" s="133"/>
    </row>
    <row r="4831" spans="1:3">
      <c r="A4831" s="131" t="s">
        <v>6128</v>
      </c>
      <c r="B4831" s="132">
        <v>1.4089835865977587E-2</v>
      </c>
      <c r="C4831" s="133"/>
    </row>
    <row r="4832" spans="1:3">
      <c r="A4832" s="131" t="s">
        <v>6129</v>
      </c>
      <c r="B4832" s="132">
        <v>6.4054034904981886E-6</v>
      </c>
      <c r="C4832" s="133"/>
    </row>
    <row r="4833" spans="1:3">
      <c r="A4833" s="131" t="s">
        <v>6130</v>
      </c>
      <c r="B4833" s="132">
        <v>8.4860002971254289E-6</v>
      </c>
      <c r="C4833" s="133"/>
    </row>
    <row r="4834" spans="1:3">
      <c r="A4834" s="131" t="s">
        <v>6131</v>
      </c>
      <c r="B4834" s="132">
        <v>9.2972993850708008E-2</v>
      </c>
      <c r="C4834" s="133"/>
    </row>
    <row r="4835" spans="1:3">
      <c r="A4835" s="131" t="s">
        <v>6132</v>
      </c>
      <c r="B4835" s="132">
        <v>1.481856630268649E-3</v>
      </c>
      <c r="C4835" s="133"/>
    </row>
    <row r="4836" spans="1:3">
      <c r="A4836" s="131" t="s">
        <v>6133</v>
      </c>
      <c r="B4836" s="132">
        <v>9.3000000342726707E-3</v>
      </c>
      <c r="C4836" s="133"/>
    </row>
    <row r="4837" spans="1:3">
      <c r="A4837" s="131" t="s">
        <v>6134</v>
      </c>
      <c r="B4837" s="132">
        <v>5.7728E-4</v>
      </c>
      <c r="C4837" s="133"/>
    </row>
    <row r="4838" spans="1:3">
      <c r="A4838" s="131" t="s">
        <v>6135</v>
      </c>
      <c r="B4838" s="132">
        <v>0.12164837121963501</v>
      </c>
      <c r="C4838" s="133"/>
    </row>
    <row r="4839" spans="1:3">
      <c r="A4839" s="131" t="s">
        <v>6136</v>
      </c>
      <c r="B4839" s="132">
        <v>6.1012200000000001E-3</v>
      </c>
      <c r="C4839" s="133"/>
    </row>
    <row r="4840" spans="1:3">
      <c r="A4840" s="131" t="s">
        <v>6137</v>
      </c>
      <c r="B4840" s="132">
        <v>4.764109712563751E-4</v>
      </c>
      <c r="C4840" s="133"/>
    </row>
    <row r="4841" spans="1:3">
      <c r="A4841" s="131" t="s">
        <v>6138</v>
      </c>
      <c r="B4841" s="132">
        <v>3.4477899316698313E-4</v>
      </c>
      <c r="C4841" s="133"/>
    </row>
    <row r="4842" spans="1:3">
      <c r="A4842" s="131" t="s">
        <v>6139</v>
      </c>
      <c r="B4842" s="132">
        <v>8.8617001892998815E-5</v>
      </c>
      <c r="C4842" s="133"/>
    </row>
    <row r="4843" spans="1:3">
      <c r="A4843" s="131" t="s">
        <v>6140</v>
      </c>
      <c r="B4843" s="132">
        <v>1.118139989557676E-4</v>
      </c>
      <c r="C4843" s="133"/>
    </row>
    <row r="4844" spans="1:3">
      <c r="A4844" s="131" t="s">
        <v>6141</v>
      </c>
      <c r="B4844" s="132">
        <v>1.0576000022410881E-5</v>
      </c>
      <c r="C4844" s="133"/>
    </row>
    <row r="4845" spans="1:3">
      <c r="A4845" s="131" t="s">
        <v>6142</v>
      </c>
      <c r="B4845" s="132">
        <v>185.31</v>
      </c>
      <c r="C4845" s="133"/>
    </row>
    <row r="4846" spans="1:3">
      <c r="A4846" s="131" t="s">
        <v>6143</v>
      </c>
      <c r="B4846" s="132">
        <v>5.4989568889141083E-2</v>
      </c>
      <c r="C4846" s="133"/>
    </row>
    <row r="4847" spans="1:3">
      <c r="A4847" s="131" t="s">
        <v>6144</v>
      </c>
      <c r="B4847" s="132">
        <v>3.5320000000000002E-4</v>
      </c>
      <c r="C4847" s="133"/>
    </row>
    <row r="4848" spans="1:3">
      <c r="A4848" s="131" t="s">
        <v>6145</v>
      </c>
      <c r="B4848" s="132">
        <v>2.8969100094400346E-4</v>
      </c>
      <c r="C4848" s="133"/>
    </row>
    <row r="4849" spans="1:3">
      <c r="A4849" s="131" t="s">
        <v>6146</v>
      </c>
      <c r="B4849" s="132">
        <v>1790.82</v>
      </c>
      <c r="C4849" s="133"/>
    </row>
    <row r="4850" spans="1:3">
      <c r="A4850" s="131" t="s">
        <v>6147</v>
      </c>
      <c r="B4850" s="132">
        <v>8.003999937500339E-6</v>
      </c>
      <c r="C4850" s="133"/>
    </row>
    <row r="4851" spans="1:3">
      <c r="A4851" s="131" t="s">
        <v>6148</v>
      </c>
      <c r="B4851" s="132">
        <v>7.0149999999999998E-5</v>
      </c>
      <c r="C4851" s="133"/>
    </row>
    <row r="4852" spans="1:3">
      <c r="A4852" s="131" t="s">
        <v>6149</v>
      </c>
      <c r="B4852" s="132">
        <v>7.8617872924506672E-6</v>
      </c>
      <c r="C4852" s="133"/>
    </row>
    <row r="4853" spans="1:3">
      <c r="A4853" s="131" t="s">
        <v>6150</v>
      </c>
      <c r="B4853" s="132">
        <v>4.2223103031167642E-5</v>
      </c>
      <c r="C4853" s="133"/>
    </row>
    <row r="4854" spans="1:3">
      <c r="A4854" s="131" t="s">
        <v>6151</v>
      </c>
      <c r="B4854" s="132">
        <v>3.8040998333599418E-5</v>
      </c>
      <c r="C4854" s="133"/>
    </row>
    <row r="4855" spans="1:3">
      <c r="A4855" s="131" t="s">
        <v>6152</v>
      </c>
      <c r="B4855" s="132">
        <v>6.0543598374351859E-4</v>
      </c>
      <c r="C4855" s="133"/>
    </row>
    <row r="4856" spans="1:3">
      <c r="A4856" s="131" t="s">
        <v>6153</v>
      </c>
      <c r="B4856" s="132">
        <v>7.05</v>
      </c>
      <c r="C4856" s="133"/>
    </row>
    <row r="4857" spans="1:3">
      <c r="A4857" s="131" t="s">
        <v>6154</v>
      </c>
      <c r="B4857" s="132">
        <v>7.7794997196178883E-5</v>
      </c>
      <c r="C4857" s="133"/>
    </row>
    <row r="4858" spans="1:3">
      <c r="A4858" s="131" t="s">
        <v>6155</v>
      </c>
      <c r="B4858" s="132">
        <v>0.10218006880406656</v>
      </c>
      <c r="C4858" s="133"/>
    </row>
    <row r="4859" spans="1:3">
      <c r="A4859" s="131" t="s">
        <v>6156</v>
      </c>
      <c r="B4859" s="132">
        <v>1.5006499597802758E-4</v>
      </c>
      <c r="C4859" s="133"/>
    </row>
    <row r="4860" spans="1:3">
      <c r="A4860" s="131" t="s">
        <v>6157</v>
      </c>
      <c r="B4860" s="132">
        <v>2.495560038369149E-4</v>
      </c>
      <c r="C4860" s="133"/>
    </row>
    <row r="4861" spans="1:3">
      <c r="A4861" s="131" t="s">
        <v>6158</v>
      </c>
      <c r="B4861" s="132">
        <v>1.1194400787353516</v>
      </c>
      <c r="C4861" s="133"/>
    </row>
    <row r="4862" spans="1:3">
      <c r="A4862" s="131" t="s">
        <v>6159</v>
      </c>
      <c r="B4862" s="132">
        <v>3.8771416991949081E-2</v>
      </c>
      <c r="C4862" s="133"/>
    </row>
    <row r="4863" spans="1:3">
      <c r="A4863" s="131" t="s">
        <v>6160</v>
      </c>
      <c r="B4863" s="132">
        <v>3.1563490629196167E-3</v>
      </c>
      <c r="C4863" s="133"/>
    </row>
    <row r="4864" spans="1:3">
      <c r="A4864" s="131" t="s">
        <v>6161</v>
      </c>
      <c r="B4864" s="132">
        <v>8.2600068597878606E-4</v>
      </c>
      <c r="C4864" s="133"/>
    </row>
    <row r="4865" spans="1:3">
      <c r="A4865" s="131" t="s">
        <v>6162</v>
      </c>
      <c r="B4865" s="132">
        <v>1.1235296726226807E-2</v>
      </c>
      <c r="C4865" s="133"/>
    </row>
    <row r="4866" spans="1:3">
      <c r="A4866" s="131" t="s">
        <v>6163</v>
      </c>
      <c r="B4866" s="132">
        <v>4.1859998418658506E-6</v>
      </c>
      <c r="C4866" s="133"/>
    </row>
    <row r="4867" spans="1:3">
      <c r="A4867" s="131" t="s">
        <v>6164</v>
      </c>
      <c r="B4867" s="132">
        <v>2.6748000891529955E-5</v>
      </c>
      <c r="C4867" s="133"/>
    </row>
    <row r="4868" spans="1:3">
      <c r="A4868" s="131" t="s">
        <v>6165</v>
      </c>
      <c r="B4868" s="132">
        <v>4.432658E-6</v>
      </c>
      <c r="C4868" s="133"/>
    </row>
    <row r="4869" spans="1:3">
      <c r="A4869" s="131" t="s">
        <v>6166</v>
      </c>
      <c r="B4869" s="132">
        <v>8.7465002434328198E-4</v>
      </c>
      <c r="C4869" s="133"/>
    </row>
    <row r="4870" spans="1:3">
      <c r="A4870" s="131" t="s">
        <v>6167</v>
      </c>
      <c r="B4870" s="132">
        <v>5.9489859268069267E-3</v>
      </c>
      <c r="C4870" s="133"/>
    </row>
    <row r="4871" spans="1:3">
      <c r="A4871" s="131" t="s">
        <v>6168</v>
      </c>
      <c r="B4871" s="132">
        <v>8.8336567746846034E-2</v>
      </c>
      <c r="C4871" s="133"/>
    </row>
    <row r="4872" spans="1:3">
      <c r="A4872" s="131" t="s">
        <v>6169</v>
      </c>
      <c r="B4872" s="132">
        <v>1.7548389732837677E-3</v>
      </c>
      <c r="C4872" s="133"/>
    </row>
    <row r="4873" spans="1:3">
      <c r="A4873" s="131" t="s">
        <v>6170</v>
      </c>
      <c r="B4873" s="132">
        <v>2.4483936744218487E-2</v>
      </c>
      <c r="C4873" s="133"/>
    </row>
    <row r="4874" spans="1:3">
      <c r="A4874" s="131" t="s">
        <v>6171</v>
      </c>
      <c r="B4874" s="132">
        <v>1.1340613873860096E-3</v>
      </c>
      <c r="C4874" s="133"/>
    </row>
    <row r="4875" spans="1:3">
      <c r="A4875" s="131" t="s">
        <v>6172</v>
      </c>
      <c r="B4875" s="132">
        <v>7.783465659639779E-4</v>
      </c>
      <c r="C4875" s="133"/>
    </row>
    <row r="4876" spans="1:3">
      <c r="A4876" s="131" t="s">
        <v>6173</v>
      </c>
      <c r="B4876" s="132">
        <v>0.62923169136047363</v>
      </c>
      <c r="C4876" s="133"/>
    </row>
    <row r="4877" spans="1:3">
      <c r="A4877" s="131" t="s">
        <v>6174</v>
      </c>
      <c r="B4877" s="132">
        <v>9.8700002126861364E-7</v>
      </c>
      <c r="C4877" s="133"/>
    </row>
    <row r="4878" spans="1:3">
      <c r="A4878" s="131" t="s">
        <v>6175</v>
      </c>
      <c r="B4878" s="132">
        <v>1.047881013988081</v>
      </c>
      <c r="C4878" s="133"/>
    </row>
    <row r="4879" spans="1:3">
      <c r="A4879" s="131" t="s">
        <v>6176</v>
      </c>
      <c r="B4879" s="132">
        <v>1.8199999374246545E-7</v>
      </c>
      <c r="C4879" s="133"/>
    </row>
    <row r="4880" spans="1:3">
      <c r="A4880" s="131" t="s">
        <v>6177</v>
      </c>
      <c r="B4880" s="132">
        <v>1.2221594089886819E-3</v>
      </c>
      <c r="C4880" s="133"/>
    </row>
    <row r="4881" spans="1:3">
      <c r="A4881" s="131" t="s">
        <v>6178</v>
      </c>
      <c r="B4881" s="132">
        <v>7.0239999331533909E-5</v>
      </c>
      <c r="C4881" s="133"/>
    </row>
    <row r="4882" spans="1:3">
      <c r="A4882" s="131" t="s">
        <v>6179</v>
      </c>
      <c r="B4882" s="132">
        <v>4.8081001295940951E-5</v>
      </c>
      <c r="C4882" s="133"/>
    </row>
    <row r="4883" spans="1:3">
      <c r="A4883" s="131" t="s">
        <v>6180</v>
      </c>
      <c r="B4883" s="132">
        <v>2.7999999474559445E-7</v>
      </c>
      <c r="C4883" s="133"/>
    </row>
    <row r="4884" spans="1:3">
      <c r="A4884" s="131" t="s">
        <v>6181</v>
      </c>
      <c r="B4884" s="132">
        <v>2.0719500025734305E-4</v>
      </c>
      <c r="C4884" s="133"/>
    </row>
    <row r="4885" spans="1:3">
      <c r="A4885" s="131" t="s">
        <v>6182</v>
      </c>
      <c r="B4885" s="132">
        <v>3.81349993404001E-4</v>
      </c>
      <c r="C4885" s="133"/>
    </row>
    <row r="4886" spans="1:3">
      <c r="A4886" s="131" t="s">
        <v>6183</v>
      </c>
      <c r="B4886" s="132">
        <v>7.1490001573693007E-5</v>
      </c>
      <c r="C4886" s="133"/>
    </row>
    <row r="4887" spans="1:3">
      <c r="A4887" s="131" t="s">
        <v>6184</v>
      </c>
      <c r="B4887" s="132">
        <v>2.251757567148369E-2</v>
      </c>
      <c r="C4887" s="133"/>
    </row>
    <row r="4888" spans="1:3">
      <c r="A4888" s="131" t="s">
        <v>6185</v>
      </c>
      <c r="B4888" s="132">
        <v>6.3100002706050873E-2</v>
      </c>
      <c r="C4888" s="133"/>
    </row>
    <row r="4889" spans="1:3">
      <c r="A4889" s="131" t="s">
        <v>6186</v>
      </c>
      <c r="B4889" s="132">
        <v>1.7916011229039429E-2</v>
      </c>
      <c r="C4889" s="133"/>
    </row>
    <row r="4890" spans="1:3">
      <c r="A4890" s="131" t="s">
        <v>6187</v>
      </c>
      <c r="B4890" s="132">
        <v>28.95</v>
      </c>
      <c r="C4890" s="133"/>
    </row>
    <row r="4891" spans="1:3">
      <c r="A4891" s="131" t="s">
        <v>6188</v>
      </c>
      <c r="B4891" s="132">
        <v>1.1695886404129909E-3</v>
      </c>
      <c r="C4891" s="133"/>
    </row>
    <row r="4892" spans="1:3">
      <c r="A4892" s="131" t="s">
        <v>6189</v>
      </c>
      <c r="B4892" s="132">
        <v>0.11992710828781128</v>
      </c>
      <c r="C4892" s="133"/>
    </row>
    <row r="4893" spans="1:3">
      <c r="A4893" s="131" t="s">
        <v>6190</v>
      </c>
      <c r="B4893" s="132">
        <v>8.1789999967440963E-5</v>
      </c>
      <c r="C4893" s="133"/>
    </row>
    <row r="4894" spans="1:3">
      <c r="A4894" s="131" t="s">
        <v>6191</v>
      </c>
      <c r="B4894" s="132">
        <v>6.6020002122968435E-4</v>
      </c>
      <c r="C4894" s="133"/>
    </row>
    <row r="4895" spans="1:3">
      <c r="A4895" s="131" t="s">
        <v>6192</v>
      </c>
      <c r="B4895" s="132">
        <v>7.6272390919901289E-2</v>
      </c>
      <c r="C4895" s="133"/>
    </row>
    <row r="4896" spans="1:3">
      <c r="A4896" s="131" t="s">
        <v>6193</v>
      </c>
      <c r="B4896" s="132">
        <v>5.1626466320624069E-4</v>
      </c>
      <c r="C4896" s="133"/>
    </row>
    <row r="4897" spans="1:3">
      <c r="A4897" s="131" t="s">
        <v>6194</v>
      </c>
      <c r="B4897" s="132">
        <v>2.4004393999999995E-2</v>
      </c>
      <c r="C4897" s="133"/>
    </row>
    <row r="4898" spans="1:3">
      <c r="A4898" s="131" t="s">
        <v>6195</v>
      </c>
      <c r="B4898" s="132">
        <v>6.4396620728075504E-3</v>
      </c>
      <c r="C4898" s="133"/>
    </row>
    <row r="4899" spans="1:3">
      <c r="A4899" s="131" t="s">
        <v>6196</v>
      </c>
      <c r="B4899" s="132">
        <v>4.1458347636591607E-5</v>
      </c>
      <c r="C4899" s="133"/>
    </row>
    <row r="4900" spans="1:3">
      <c r="A4900" s="131" t="s">
        <v>6197</v>
      </c>
      <c r="B4900" s="132">
        <v>1.9149266959969636E-4</v>
      </c>
      <c r="C4900" s="133"/>
    </row>
    <row r="4901" spans="1:3">
      <c r="A4901" s="131" t="s">
        <v>6198</v>
      </c>
      <c r="B4901" s="132">
        <v>1.2576621426696791E-3</v>
      </c>
      <c r="C4901" s="133"/>
    </row>
    <row r="4902" spans="1:3">
      <c r="A4902" s="131" t="s">
        <v>6199</v>
      </c>
      <c r="B4902" s="132">
        <v>2.0411559999999999E-2</v>
      </c>
      <c r="C4902" s="133"/>
    </row>
    <row r="4903" spans="1:3">
      <c r="A4903" s="131" t="s">
        <v>6200</v>
      </c>
      <c r="B4903" s="132">
        <v>1.0294581644021573E-3</v>
      </c>
      <c r="C4903" s="133"/>
    </row>
    <row r="4904" spans="1:3">
      <c r="A4904" s="131" t="s">
        <v>6201</v>
      </c>
      <c r="B4904" s="132">
        <v>3.3071539364755154E-3</v>
      </c>
      <c r="C4904" s="133"/>
    </row>
    <row r="4905" spans="1:3">
      <c r="A4905" s="131" t="s">
        <v>6202</v>
      </c>
      <c r="B4905" s="132">
        <v>1.4960380194391695E-4</v>
      </c>
      <c r="C4905" s="133"/>
    </row>
    <row r="4906" spans="1:3">
      <c r="A4906" s="131" t="s">
        <v>6203</v>
      </c>
      <c r="B4906" s="132">
        <v>6.1771828903127858E-4</v>
      </c>
      <c r="C4906" s="133"/>
    </row>
    <row r="4907" spans="1:3">
      <c r="A4907" s="131" t="s">
        <v>6204</v>
      </c>
      <c r="B4907" s="132">
        <v>3.4951101406477392E-4</v>
      </c>
      <c r="C4907" s="133"/>
    </row>
    <row r="4908" spans="1:3">
      <c r="A4908" s="131" t="s">
        <v>6205</v>
      </c>
      <c r="B4908" s="132">
        <v>1.0984729742631316E-3</v>
      </c>
      <c r="C4908" s="133"/>
    </row>
    <row r="4909" spans="1:3">
      <c r="A4909" s="131" t="s">
        <v>6206</v>
      </c>
      <c r="B4909" s="132">
        <v>5.9959748759865761E-3</v>
      </c>
      <c r="C4909" s="133"/>
    </row>
    <row r="4910" spans="1:3">
      <c r="A4910" s="131" t="s">
        <v>6207</v>
      </c>
      <c r="B4910" s="132">
        <v>6.4024492166936398E-3</v>
      </c>
      <c r="C4910" s="133"/>
    </row>
    <row r="4911" spans="1:3">
      <c r="A4911" s="131" t="s">
        <v>6208</v>
      </c>
      <c r="B4911" s="132">
        <v>6.142199708847329E-5</v>
      </c>
      <c r="C4911" s="133"/>
    </row>
    <row r="4912" spans="1:3">
      <c r="A4912" s="131" t="s">
        <v>6209</v>
      </c>
      <c r="B4912" s="132">
        <v>8.2882668065538748E-3</v>
      </c>
      <c r="C4912" s="133"/>
    </row>
    <row r="4913" spans="1:3">
      <c r="A4913" s="131" t="s">
        <v>6210</v>
      </c>
      <c r="B4913" s="132">
        <v>3.3018699999999996E-4</v>
      </c>
      <c r="C4913" s="133"/>
    </row>
    <row r="4914" spans="1:3">
      <c r="A4914" s="131" t="s">
        <v>6211</v>
      </c>
      <c r="B4914" s="132">
        <v>4.0792938330095055E-3</v>
      </c>
      <c r="C4914" s="133"/>
    </row>
    <row r="4915" spans="1:3">
      <c r="A4915" s="131" t="s">
        <v>6212</v>
      </c>
      <c r="B4915" s="132">
        <v>1.2189999551992514E-6</v>
      </c>
      <c r="C4915" s="133"/>
    </row>
    <row r="4916" spans="1:3">
      <c r="A4916" s="131" t="s">
        <v>6213</v>
      </c>
      <c r="B4916" s="132">
        <v>4.9479999688628595E-6</v>
      </c>
      <c r="C4916" s="133"/>
    </row>
    <row r="4917" spans="1:3">
      <c r="A4917" s="131" t="s">
        <v>6214</v>
      </c>
      <c r="B4917" s="132">
        <v>3.6920909999999999E-4</v>
      </c>
      <c r="C4917" s="133"/>
    </row>
    <row r="4918" spans="1:3">
      <c r="A4918" s="131" t="s">
        <v>6215</v>
      </c>
      <c r="B4918" s="132">
        <v>1.1676800204440951E-4</v>
      </c>
      <c r="C4918" s="133"/>
    </row>
    <row r="4919" spans="1:3">
      <c r="A4919" s="131" t="s">
        <v>6216</v>
      </c>
      <c r="B4919" s="132">
        <v>3.1298201065510511E-4</v>
      </c>
      <c r="C4919" s="133"/>
    </row>
    <row r="4920" spans="1:3">
      <c r="A4920" s="131" t="s">
        <v>6217</v>
      </c>
      <c r="B4920" s="132">
        <v>1.6654964981166485</v>
      </c>
      <c r="C4920" s="133"/>
    </row>
    <row r="4921" spans="1:3">
      <c r="A4921" s="131" t="s">
        <v>6218</v>
      </c>
      <c r="B4921" s="132">
        <v>3.3397815392918864E-4</v>
      </c>
      <c r="C4921" s="133"/>
    </row>
    <row r="4922" spans="1:3">
      <c r="A4922" s="131" t="s">
        <v>6219</v>
      </c>
      <c r="B4922" s="132">
        <v>8.5815706045247052E-4</v>
      </c>
      <c r="C4922" s="133"/>
    </row>
    <row r="4923" spans="1:3">
      <c r="A4923" s="131" t="s">
        <v>6220</v>
      </c>
      <c r="B4923" s="132">
        <v>8.2022001151926816E-5</v>
      </c>
      <c r="C4923" s="133"/>
    </row>
    <row r="4924" spans="1:3">
      <c r="A4924" s="131" t="s">
        <v>6221</v>
      </c>
      <c r="B4924" s="132">
        <v>7.1517683565616608E-2</v>
      </c>
      <c r="C4924" s="133"/>
    </row>
    <row r="4925" spans="1:3">
      <c r="A4925" s="131" t="s">
        <v>6222</v>
      </c>
      <c r="B4925" s="132">
        <v>0.48996877670288086</v>
      </c>
      <c r="C4925" s="133"/>
    </row>
    <row r="4926" spans="1:3">
      <c r="A4926" s="131" t="s">
        <v>6223</v>
      </c>
      <c r="B4926" s="132">
        <v>3.5216810647398233E-3</v>
      </c>
      <c r="C4926" s="133"/>
    </row>
    <row r="4927" spans="1:3">
      <c r="A4927" s="131" t="s">
        <v>6224</v>
      </c>
      <c r="B4927" s="132">
        <v>1.7983065925802903E-2</v>
      </c>
      <c r="C4927" s="133"/>
    </row>
    <row r="4928" spans="1:3">
      <c r="A4928" s="131" t="s">
        <v>6225</v>
      </c>
      <c r="B4928" s="132">
        <v>2.3013033333333332E-2</v>
      </c>
      <c r="C4928" s="133"/>
    </row>
    <row r="4929" spans="1:3">
      <c r="A4929" s="131" t="s">
        <v>6226</v>
      </c>
      <c r="B4929" s="132">
        <v>1.6240507962964687E-5</v>
      </c>
      <c r="C4929" s="133"/>
    </row>
    <row r="4930" spans="1:3">
      <c r="A4930" s="131" t="s">
        <v>6227</v>
      </c>
      <c r="B4930" s="132">
        <v>1.1402599920984358E-4</v>
      </c>
      <c r="C4930" s="133"/>
    </row>
    <row r="4931" spans="1:3">
      <c r="A4931" s="131" t="s">
        <v>6228</v>
      </c>
      <c r="B4931" s="132">
        <v>1.2374217020083962E-2</v>
      </c>
      <c r="C4931" s="133"/>
    </row>
    <row r="4932" spans="1:3">
      <c r="A4932" s="131" t="s">
        <v>6229</v>
      </c>
      <c r="B4932" s="132">
        <v>6.4608374503626357E-4</v>
      </c>
      <c r="C4932" s="133"/>
    </row>
    <row r="4933" spans="1:3">
      <c r="A4933" s="131" t="s">
        <v>6230</v>
      </c>
      <c r="B4933" s="132">
        <v>1.9049851986204666E-5</v>
      </c>
      <c r="C4933" s="133"/>
    </row>
    <row r="4934" spans="1:3">
      <c r="A4934" s="131" t="s">
        <v>6231</v>
      </c>
      <c r="B4934" s="132">
        <v>1.313059483153343E-3</v>
      </c>
      <c r="C4934" s="133"/>
    </row>
    <row r="4935" spans="1:3">
      <c r="A4935" s="131" t="s">
        <v>6232</v>
      </c>
      <c r="B4935" s="132">
        <v>1.63E-5</v>
      </c>
      <c r="C4935" s="133"/>
    </row>
    <row r="4936" spans="1:3">
      <c r="A4936" s="131" t="s">
        <v>9262</v>
      </c>
      <c r="B4936" s="132">
        <v>1.2146141083387785E-2</v>
      </c>
      <c r="C4936" s="133"/>
    </row>
    <row r="4937" spans="1:3">
      <c r="A4937" s="131" t="s">
        <v>9263</v>
      </c>
      <c r="B4937" s="132">
        <v>4.3024366666666669E-6</v>
      </c>
      <c r="C4937" s="133"/>
    </row>
    <row r="4938" spans="1:3">
      <c r="A4938" s="131" t="s">
        <v>9264</v>
      </c>
      <c r="B4938" s="132">
        <v>4.1234998207073659E-5</v>
      </c>
      <c r="C4938" s="133"/>
    </row>
    <row r="4939" spans="1:3">
      <c r="A4939" s="131" t="s">
        <v>9265</v>
      </c>
      <c r="B4939" s="132">
        <v>6.1659463669348975E-4</v>
      </c>
      <c r="C4939" s="133"/>
    </row>
    <row r="4940" spans="1:3">
      <c r="A4940" s="131" t="s">
        <v>9266</v>
      </c>
      <c r="B4940" s="132">
        <v>7.9687507823109627E-3</v>
      </c>
      <c r="C4940" s="133"/>
    </row>
    <row r="4941" spans="1:3">
      <c r="A4941" s="131" t="s">
        <v>9267</v>
      </c>
      <c r="B4941" s="132">
        <v>6.3472299370914698E-4</v>
      </c>
      <c r="C4941" s="133"/>
    </row>
    <row r="4942" spans="1:3">
      <c r="A4942" s="131" t="s">
        <v>9268</v>
      </c>
      <c r="B4942" s="132">
        <v>46.93</v>
      </c>
      <c r="C4942" s="133"/>
    </row>
    <row r="4943" spans="1:3">
      <c r="A4943" s="131" t="s">
        <v>9269</v>
      </c>
      <c r="B4943" s="132">
        <v>0.4099363386631012</v>
      </c>
      <c r="C4943" s="133"/>
    </row>
    <row r="4944" spans="1:3">
      <c r="A4944" s="131" t="s">
        <v>9270</v>
      </c>
      <c r="B4944" s="132">
        <v>1.1418117458740492E-6</v>
      </c>
      <c r="C4944" s="133"/>
    </row>
    <row r="4945" spans="1:3">
      <c r="A4945" s="131" t="s">
        <v>9271</v>
      </c>
      <c r="B4945" s="132">
        <v>4.0805470096462625E-5</v>
      </c>
      <c r="C4945" s="133"/>
    </row>
    <row r="4946" spans="1:3">
      <c r="A4946" s="131" t="s">
        <v>9272</v>
      </c>
      <c r="B4946" s="132">
        <v>5.7502702111378312E-4</v>
      </c>
      <c r="C4946" s="133"/>
    </row>
    <row r="4947" spans="1:3">
      <c r="A4947" s="131" t="s">
        <v>9273</v>
      </c>
      <c r="B4947" s="132">
        <v>8.057535515852577E-3</v>
      </c>
      <c r="C4947" s="133"/>
    </row>
    <row r="4948" spans="1:3">
      <c r="A4948" s="131" t="s">
        <v>9274</v>
      </c>
      <c r="B4948" s="132">
        <v>1.1806900147348642E-4</v>
      </c>
      <c r="C4948" s="133"/>
    </row>
    <row r="4949" spans="1:3">
      <c r="A4949" s="131" t="s">
        <v>9275</v>
      </c>
      <c r="B4949" s="132">
        <v>4.0038001316133887E-5</v>
      </c>
      <c r="C4949" s="133"/>
    </row>
    <row r="4950" spans="1:3">
      <c r="A4950" s="131" t="s">
        <v>9276</v>
      </c>
      <c r="B4950" s="132">
        <v>4.2515618943306702E-2</v>
      </c>
      <c r="C4950" s="133"/>
    </row>
    <row r="4951" spans="1:3">
      <c r="A4951" s="131" t="s">
        <v>9277</v>
      </c>
      <c r="B4951" s="132">
        <v>1.3712827196128501E-3</v>
      </c>
      <c r="C4951" s="133"/>
    </row>
    <row r="4952" spans="1:3">
      <c r="A4952" s="131" t="s">
        <v>9278</v>
      </c>
      <c r="B4952" s="132">
        <v>1.4497770462185144E-3</v>
      </c>
      <c r="C4952" s="133"/>
    </row>
    <row r="4953" spans="1:3">
      <c r="A4953" s="131" t="s">
        <v>9279</v>
      </c>
      <c r="B4953" s="132">
        <v>0.98384558697586511</v>
      </c>
      <c r="C4953" s="133"/>
    </row>
    <row r="4954" spans="1:3">
      <c r="A4954" s="131" t="s">
        <v>9280</v>
      </c>
      <c r="B4954" s="132">
        <v>48.72</v>
      </c>
      <c r="C4954" s="133"/>
    </row>
    <row r="4955" spans="1:3">
      <c r="A4955" s="131" t="s">
        <v>9281</v>
      </c>
      <c r="B4955" s="132">
        <v>7.478876106262175E-3</v>
      </c>
      <c r="C4955" s="133"/>
    </row>
    <row r="4956" spans="1:3">
      <c r="A4956" s="131" t="s">
        <v>9282</v>
      </c>
      <c r="B4956" s="132">
        <v>2.8482392430305481E-2</v>
      </c>
      <c r="C4956" s="133"/>
    </row>
    <row r="4957" spans="1:3">
      <c r="A4957" s="131" t="s">
        <v>9283</v>
      </c>
      <c r="B4957" s="132">
        <v>0.68057036399841309</v>
      </c>
      <c r="C4957" s="133"/>
    </row>
    <row r="4958" spans="1:3">
      <c r="A4958" s="131" t="s">
        <v>9284</v>
      </c>
      <c r="B4958" s="132">
        <v>4.2858498237306639E-5</v>
      </c>
      <c r="C4958" s="133"/>
    </row>
    <row r="4959" spans="1:3">
      <c r="A4959" s="131" t="s">
        <v>9285</v>
      </c>
      <c r="B4959" s="132">
        <v>9.732000035000965E-5</v>
      </c>
      <c r="C4959" s="133"/>
    </row>
    <row r="4960" spans="1:3">
      <c r="A4960" s="131" t="s">
        <v>9286</v>
      </c>
      <c r="B4960" s="132">
        <v>1.9256399536971003E-4</v>
      </c>
      <c r="C4960" s="133"/>
    </row>
    <row r="4961" spans="1:3">
      <c r="A4961" s="131" t="s">
        <v>9287</v>
      </c>
      <c r="B4961" s="132">
        <v>2.0064163007598632E-3</v>
      </c>
      <c r="C4961" s="133"/>
    </row>
    <row r="4962" spans="1:3">
      <c r="A4962" s="131" t="s">
        <v>9288</v>
      </c>
      <c r="B4962" s="132">
        <v>4.4697728008031845E-3</v>
      </c>
      <c r="C4962" s="133"/>
    </row>
    <row r="4963" spans="1:3">
      <c r="A4963" s="131" t="s">
        <v>9289</v>
      </c>
      <c r="B4963" s="132">
        <v>0.28502534086341563</v>
      </c>
      <c r="C4963" s="133"/>
    </row>
    <row r="4964" spans="1:3">
      <c r="A4964" s="131" t="s">
        <v>9290</v>
      </c>
      <c r="B4964" s="132">
        <v>4.4188222545244443E-3</v>
      </c>
      <c r="C4964" s="133"/>
    </row>
    <row r="4965" spans="1:3">
      <c r="A4965" s="131" t="s">
        <v>9291</v>
      </c>
      <c r="B4965" s="132">
        <v>3.4504409413784742E-3</v>
      </c>
      <c r="C4965" s="133"/>
    </row>
    <row r="4966" spans="1:3">
      <c r="A4966" s="131" t="s">
        <v>9292</v>
      </c>
      <c r="B4966" s="132">
        <v>4.4063371424430038E-4</v>
      </c>
      <c r="C4966" s="133"/>
    </row>
    <row r="4967" spans="1:3">
      <c r="A4967" s="131" t="s">
        <v>9293</v>
      </c>
      <c r="B4967" s="132">
        <v>8.7314173579216003E-2</v>
      </c>
      <c r="C4967" s="133"/>
    </row>
    <row r="4968" spans="1:3">
      <c r="A4968" s="131" t="s">
        <v>9294</v>
      </c>
      <c r="B4968" s="132">
        <v>6.6409997998562176E-6</v>
      </c>
      <c r="C4968" s="133"/>
    </row>
    <row r="4969" spans="1:3">
      <c r="A4969" s="131" t="s">
        <v>9295</v>
      </c>
      <c r="B4969" s="132">
        <v>3.0885914451563926E-3</v>
      </c>
      <c r="C4969" s="133"/>
    </row>
    <row r="4970" spans="1:3">
      <c r="A4970" s="131" t="s">
        <v>9296</v>
      </c>
      <c r="B4970" s="132">
        <v>5.0193101888149614E-4</v>
      </c>
      <c r="C4970" s="133"/>
    </row>
    <row r="4971" spans="1:3">
      <c r="A4971" s="131" t="s">
        <v>9297</v>
      </c>
      <c r="B4971" s="132">
        <v>2.1022000510129146E-5</v>
      </c>
      <c r="C4971" s="133"/>
    </row>
    <row r="4972" spans="1:3">
      <c r="A4972" s="131" t="s">
        <v>9298</v>
      </c>
      <c r="B4972" s="132">
        <v>1.9949499983340502E-4</v>
      </c>
      <c r="C4972" s="133"/>
    </row>
    <row r="4973" spans="1:3">
      <c r="A4973" s="131" t="s">
        <v>9299</v>
      </c>
      <c r="B4973" s="132">
        <v>0.82004284858703613</v>
      </c>
      <c r="C4973" s="133"/>
    </row>
    <row r="4974" spans="1:3">
      <c r="A4974" s="131" t="s">
        <v>9300</v>
      </c>
      <c r="B4974" s="132">
        <v>1.2627246296739553E-2</v>
      </c>
      <c r="C4974" s="133"/>
    </row>
    <row r="4975" spans="1:3">
      <c r="A4975" s="131" t="s">
        <v>9301</v>
      </c>
      <c r="B4975" s="132">
        <v>2.4555300478823483E-4</v>
      </c>
      <c r="C4975" s="133"/>
    </row>
    <row r="4976" spans="1:3">
      <c r="A4976" s="131" t="s">
        <v>9302</v>
      </c>
      <c r="B4976" s="132">
        <v>2.1010000637033954E-5</v>
      </c>
      <c r="C4976" s="133"/>
    </row>
    <row r="4977" spans="1:3">
      <c r="A4977" s="131" t="s">
        <v>9303</v>
      </c>
      <c r="B4977" s="132">
        <v>1.3621080886223207E-2</v>
      </c>
      <c r="C4977" s="133"/>
    </row>
    <row r="4978" spans="1:3">
      <c r="A4978" s="131" t="s">
        <v>9304</v>
      </c>
      <c r="B4978" s="132">
        <v>7.1623070462984703E-2</v>
      </c>
      <c r="C4978" s="133"/>
    </row>
    <row r="4979" spans="1:3">
      <c r="A4979" s="131" t="s">
        <v>9305</v>
      </c>
      <c r="B4979" s="132">
        <v>6.1771828903127858E-4</v>
      </c>
      <c r="C4979" s="133"/>
    </row>
    <row r="4980" spans="1:3">
      <c r="A4980" s="131" t="s">
        <v>9306</v>
      </c>
      <c r="B4980" s="132">
        <v>0.82574485474139347</v>
      </c>
      <c r="C4980" s="133"/>
    </row>
    <row r="4981" spans="1:3">
      <c r="A4981" s="131" t="s">
        <v>9307</v>
      </c>
      <c r="B4981" s="132">
        <v>0.19799894999999998</v>
      </c>
      <c r="C4981" s="133"/>
    </row>
    <row r="4982" spans="1:3">
      <c r="A4982" s="131" t="s">
        <v>9308</v>
      </c>
      <c r="B4982" s="132">
        <v>7.9453766345977783E-2</v>
      </c>
      <c r="C4982" s="133"/>
    </row>
    <row r="4983" spans="1:3">
      <c r="A4983" s="131" t="s">
        <v>9309</v>
      </c>
      <c r="B4983" s="132">
        <v>9.7780002761282958E-6</v>
      </c>
      <c r="C4983" s="133"/>
    </row>
    <row r="4984" spans="1:3">
      <c r="A4984" s="131" t="s">
        <v>9310</v>
      </c>
      <c r="B4984" s="132">
        <v>5.682813934981823E-3</v>
      </c>
      <c r="C4984" s="133"/>
    </row>
    <row r="4985" spans="1:3">
      <c r="A4985" s="131" t="s">
        <v>9311</v>
      </c>
      <c r="B4985" s="132">
        <v>9.1924956068396568E-3</v>
      </c>
      <c r="C4985" s="133"/>
    </row>
    <row r="4986" spans="1:3">
      <c r="A4986" s="131" t="s">
        <v>9312</v>
      </c>
      <c r="B4986" s="132">
        <v>6.0678856680306206E-5</v>
      </c>
      <c r="C4986" s="133"/>
    </row>
    <row r="4987" spans="1:3">
      <c r="A4987" s="131" t="s">
        <v>9313</v>
      </c>
      <c r="B4987" s="132">
        <v>2.1566000214079395E-5</v>
      </c>
      <c r="C4987" s="133"/>
    </row>
    <row r="4988" spans="1:3">
      <c r="A4988" s="131" t="s">
        <v>9314</v>
      </c>
      <c r="B4988" s="132">
        <v>1.2026247896756513E-3</v>
      </c>
      <c r="C4988" s="133"/>
    </row>
    <row r="4989" spans="1:3">
      <c r="A4989" s="131" t="s">
        <v>9315</v>
      </c>
      <c r="B4989" s="132">
        <v>3.0986000638222322E-5</v>
      </c>
      <c r="C4989" s="133"/>
    </row>
    <row r="4990" spans="1:3">
      <c r="A4990" s="131" t="s">
        <v>9316</v>
      </c>
      <c r="B4990" s="132">
        <v>3.004562109708786E-3</v>
      </c>
      <c r="C4990" s="133"/>
    </row>
    <row r="4991" spans="1:3">
      <c r="A4991" s="131" t="s">
        <v>9317</v>
      </c>
      <c r="B4991" s="132">
        <v>8.1780590244452958E-2</v>
      </c>
      <c r="C4991" s="133"/>
    </row>
    <row r="4992" spans="1:3">
      <c r="A4992" s="131" t="s">
        <v>9318</v>
      </c>
      <c r="B4992" s="132">
        <v>4.22</v>
      </c>
      <c r="C4992" s="133"/>
    </row>
    <row r="4993" spans="1:3">
      <c r="A4993" s="131" t="s">
        <v>9319</v>
      </c>
      <c r="B4993" s="132">
        <v>4.9993999709840864E-5</v>
      </c>
      <c r="C4993" s="133"/>
    </row>
    <row r="4994" spans="1:3">
      <c r="A4994" s="131" t="s">
        <v>9320</v>
      </c>
      <c r="B4994" s="132">
        <v>2.2209148505499925E-3</v>
      </c>
      <c r="C4994" s="133"/>
    </row>
    <row r="4995" spans="1:3">
      <c r="A4995" s="131" t="s">
        <v>9321</v>
      </c>
      <c r="B4995" s="132">
        <v>2.4975996464490891E-2</v>
      </c>
      <c r="C4995" s="133"/>
    </row>
    <row r="4996" spans="1:3">
      <c r="A4996" s="131" t="s">
        <v>9322</v>
      </c>
      <c r="B4996" s="132">
        <v>9.9999999747524271E-7</v>
      </c>
      <c r="C4996" s="133"/>
    </row>
    <row r="4997" spans="1:3">
      <c r="A4997" s="131" t="s">
        <v>9323</v>
      </c>
      <c r="B4997" s="132">
        <v>8.461885783359499E-2</v>
      </c>
      <c r="C4997" s="133"/>
    </row>
    <row r="4998" spans="1:3">
      <c r="A4998" s="131" t="s">
        <v>9324</v>
      </c>
      <c r="B4998" s="132">
        <v>1.5543110202997923E-3</v>
      </c>
      <c r="C4998" s="133"/>
    </row>
    <row r="4999" spans="1:3">
      <c r="A4999" s="131" t="s">
        <v>9325</v>
      </c>
      <c r="B4999" s="132">
        <v>1.9665185070013604E-6</v>
      </c>
      <c r="C4999" s="133"/>
    </row>
    <row r="5000" spans="1:3">
      <c r="A5000" s="131" t="s">
        <v>9326</v>
      </c>
      <c r="B5000" s="132">
        <v>4.0033999539446086E-5</v>
      </c>
      <c r="C5000" s="133"/>
    </row>
    <row r="5001" spans="1:3">
      <c r="A5001" s="131" t="s">
        <v>9327</v>
      </c>
      <c r="B5001" s="132">
        <v>5.5582662473687404E-7</v>
      </c>
      <c r="C5001" s="133"/>
    </row>
    <row r="5002" spans="1:3">
      <c r="A5002" s="131" t="s">
        <v>9328</v>
      </c>
      <c r="B5002" s="132">
        <v>9.403628443977474E-4</v>
      </c>
      <c r="C5002" s="133"/>
    </row>
    <row r="5003" spans="1:3">
      <c r="A5003" s="131" t="s">
        <v>9329</v>
      </c>
      <c r="B5003" s="132">
        <v>1.1273000382061582E-5</v>
      </c>
      <c r="C5003" s="133"/>
    </row>
    <row r="5004" spans="1:3">
      <c r="A5004" s="131" t="s">
        <v>9330</v>
      </c>
      <c r="B5004" s="132">
        <v>2.3272628895938396E-3</v>
      </c>
      <c r="C5004" s="133"/>
    </row>
    <row r="5005" spans="1:3">
      <c r="A5005" s="131" t="s">
        <v>9331</v>
      </c>
      <c r="B5005" s="132">
        <v>8.9263999834656715E-3</v>
      </c>
      <c r="C5005" s="133"/>
    </row>
    <row r="5006" spans="1:3">
      <c r="A5006" s="131" t="s">
        <v>9332</v>
      </c>
      <c r="B5006" s="132">
        <v>7.51669667610966E-6</v>
      </c>
      <c r="C5006" s="133"/>
    </row>
    <row r="5007" spans="1:3">
      <c r="A5007" s="131" t="s">
        <v>9333</v>
      </c>
      <c r="B5007" s="132">
        <v>2.7781398966908455E-4</v>
      </c>
      <c r="C5007" s="133"/>
    </row>
    <row r="5008" spans="1:3">
      <c r="A5008" s="131" t="s">
        <v>9334</v>
      </c>
      <c r="B5008" s="132">
        <v>5.5521937065483029E-3</v>
      </c>
      <c r="C5008" s="133"/>
    </row>
    <row r="5009" spans="1:3">
      <c r="A5009" s="131" t="s">
        <v>9335</v>
      </c>
      <c r="B5009" s="132">
        <v>1.2995800352655351E-4</v>
      </c>
      <c r="C5009" s="133"/>
    </row>
    <row r="5010" spans="1:3">
      <c r="A5010" s="131" t="s">
        <v>9336</v>
      </c>
      <c r="B5010" s="132">
        <v>1.9007400260306895E-4</v>
      </c>
      <c r="C5010" s="133"/>
    </row>
    <row r="5011" spans="1:3">
      <c r="A5011" s="131" t="s">
        <v>9337</v>
      </c>
      <c r="B5011" s="132">
        <v>4.7710370272397995E-2</v>
      </c>
      <c r="C5011" s="133"/>
    </row>
    <row r="5012" spans="1:3">
      <c r="A5012" s="131" t="s">
        <v>9338</v>
      </c>
      <c r="B5012" s="132">
        <v>4.1716000000000001E-3</v>
      </c>
      <c r="C5012" s="133"/>
    </row>
    <row r="5013" spans="1:3">
      <c r="A5013" s="131" t="s">
        <v>9339</v>
      </c>
      <c r="B5013" s="132">
        <v>4.0380000427830964E-6</v>
      </c>
      <c r="C5013" s="133"/>
    </row>
    <row r="5014" spans="1:3">
      <c r="A5014" s="131" t="s">
        <v>9340</v>
      </c>
      <c r="B5014" s="132">
        <v>3.5705600748769939E-4</v>
      </c>
      <c r="C5014" s="133"/>
    </row>
    <row r="5015" spans="1:3">
      <c r="A5015" s="131" t="s">
        <v>9341</v>
      </c>
      <c r="B5015" s="132">
        <v>3.4927919507026672E-2</v>
      </c>
      <c r="C5015" s="133"/>
    </row>
    <row r="5016" spans="1:3">
      <c r="A5016" s="131" t="s">
        <v>9342</v>
      </c>
      <c r="B5016" s="132">
        <v>9.5287003205157816E-5</v>
      </c>
      <c r="C5016" s="133"/>
    </row>
    <row r="5017" spans="1:3">
      <c r="A5017" s="131" t="s">
        <v>9343</v>
      </c>
      <c r="B5017" s="132">
        <v>9.5752999186515808E-4</v>
      </c>
      <c r="C5017" s="133"/>
    </row>
    <row r="5018" spans="1:3">
      <c r="A5018" s="131" t="s">
        <v>9344</v>
      </c>
      <c r="B5018" s="132">
        <v>8.2200000000000006</v>
      </c>
      <c r="C5018" s="133"/>
    </row>
    <row r="5019" spans="1:3">
      <c r="A5019" s="131" t="s">
        <v>9345</v>
      </c>
      <c r="B5019" s="132">
        <v>1.697429979685694E-4</v>
      </c>
      <c r="C5019" s="133"/>
    </row>
    <row r="5020" spans="1:3">
      <c r="A5020" s="131" t="s">
        <v>9346</v>
      </c>
      <c r="B5020" s="132">
        <v>4.2645356724288448E-4</v>
      </c>
      <c r="C5020" s="133"/>
    </row>
    <row r="5021" spans="1:3">
      <c r="A5021" s="131" t="s">
        <v>9347</v>
      </c>
      <c r="B5021" s="132">
        <v>1.8584399949759245E-3</v>
      </c>
      <c r="C5021" s="133"/>
    </row>
    <row r="5022" spans="1:3">
      <c r="A5022" s="131" t="s">
        <v>9348</v>
      </c>
      <c r="B5022" s="132">
        <v>6.1676997574977577E-5</v>
      </c>
      <c r="C5022" s="133"/>
    </row>
    <row r="5023" spans="1:3">
      <c r="A5023" s="131" t="s">
        <v>9349</v>
      </c>
      <c r="B5023" s="132">
        <v>1.5640726312994957E-2</v>
      </c>
      <c r="C5023" s="133"/>
    </row>
    <row r="5024" spans="1:3">
      <c r="A5024" s="131" t="s">
        <v>9350</v>
      </c>
      <c r="B5024" s="132">
        <v>6.6435997723601758E-5</v>
      </c>
      <c r="C5024" s="133"/>
    </row>
    <row r="5025" spans="1:3">
      <c r="A5025" s="131" t="s">
        <v>9351</v>
      </c>
      <c r="B5025" s="132">
        <v>9.4471867596498724E-5</v>
      </c>
      <c r="C5025" s="133"/>
    </row>
    <row r="5026" spans="1:3">
      <c r="A5026" s="131" t="s">
        <v>9352</v>
      </c>
      <c r="B5026" s="132">
        <v>1.1400024406611919E-2</v>
      </c>
      <c r="C5026" s="133"/>
    </row>
    <row r="5027" spans="1:3">
      <c r="A5027" s="131" t="s">
        <v>9353</v>
      </c>
      <c r="B5027" s="132">
        <v>3.0532421968084875E-6</v>
      </c>
      <c r="C5027" s="133"/>
    </row>
    <row r="5028" spans="1:3">
      <c r="A5028" s="131" t="s">
        <v>9354</v>
      </c>
      <c r="B5028" s="132">
        <v>3.0583547088838345E-5</v>
      </c>
      <c r="C5028" s="133"/>
    </row>
    <row r="5029" spans="1:3">
      <c r="A5029" s="131" t="s">
        <v>9355</v>
      </c>
      <c r="B5029" s="132">
        <v>6.5357821333333344E-3</v>
      </c>
      <c r="C5029" s="133"/>
    </row>
    <row r="5030" spans="1:3">
      <c r="A5030" s="131" t="s">
        <v>9356</v>
      </c>
      <c r="B5030" s="132">
        <v>8.0030004028230906E-6</v>
      </c>
      <c r="C5030" s="133"/>
    </row>
    <row r="5031" spans="1:3">
      <c r="A5031" s="131" t="s">
        <v>9357</v>
      </c>
      <c r="B5031" s="132">
        <v>1.6249391876455052E-3</v>
      </c>
      <c r="C5031" s="133"/>
    </row>
    <row r="5032" spans="1:3">
      <c r="A5032" s="131" t="s">
        <v>9358</v>
      </c>
      <c r="B5032" s="132">
        <v>9.3277862070318893E-4</v>
      </c>
      <c r="C5032" s="133"/>
    </row>
    <row r="5033" spans="1:3">
      <c r="A5033" s="131" t="s">
        <v>9359</v>
      </c>
      <c r="B5033" s="132">
        <v>3.2773063504246999E-5</v>
      </c>
      <c r="C5033" s="133"/>
    </row>
    <row r="5034" spans="1:3">
      <c r="A5034" s="131" t="s">
        <v>9360</v>
      </c>
      <c r="B5034" s="132">
        <v>1.4109000403550453E-5</v>
      </c>
      <c r="C5034" s="133"/>
    </row>
    <row r="5035" spans="1:3">
      <c r="A5035" s="131" t="s">
        <v>9361</v>
      </c>
      <c r="B5035" s="132">
        <v>1.3802299508824944E-4</v>
      </c>
      <c r="C5035" s="133"/>
    </row>
    <row r="5036" spans="1:3">
      <c r="A5036" s="131" t="s">
        <v>9362</v>
      </c>
      <c r="B5036" s="132">
        <v>1.101717003621161E-3</v>
      </c>
      <c r="C5036" s="133"/>
    </row>
    <row r="5037" spans="1:3">
      <c r="A5037" s="131" t="s">
        <v>9363</v>
      </c>
      <c r="B5037" s="132">
        <v>1.1568739078938961E-2</v>
      </c>
      <c r="C5037" s="133"/>
    </row>
    <row r="5038" spans="1:3">
      <c r="A5038" s="131" t="s">
        <v>9364</v>
      </c>
      <c r="B5038" s="132">
        <v>1.0163999832002446E-5</v>
      </c>
      <c r="C5038" s="133"/>
    </row>
    <row r="5039" spans="1:3">
      <c r="A5039" s="131" t="s">
        <v>9365</v>
      </c>
      <c r="B5039" s="132">
        <v>5.0627000746317208E-5</v>
      </c>
      <c r="C5039" s="133"/>
    </row>
    <row r="5040" spans="1:3">
      <c r="A5040" s="131" t="s">
        <v>9366</v>
      </c>
      <c r="B5040" s="132">
        <v>6.6056175941700285E-4</v>
      </c>
      <c r="C5040" s="133"/>
    </row>
    <row r="5041" spans="1:3">
      <c r="A5041" s="131" t="s">
        <v>9367</v>
      </c>
      <c r="B5041" s="132">
        <v>2.7699999805008702E-7</v>
      </c>
      <c r="C5041" s="133"/>
    </row>
    <row r="5042" spans="1:3">
      <c r="A5042" s="131" t="s">
        <v>9368</v>
      </c>
      <c r="B5042" s="132">
        <v>1.5509133047261769E-3</v>
      </c>
      <c r="C5042" s="133"/>
    </row>
    <row r="5043" spans="1:3">
      <c r="A5043" s="131" t="s">
        <v>9369</v>
      </c>
      <c r="B5043" s="132">
        <v>1.1021686792373657</v>
      </c>
      <c r="C5043" s="133"/>
    </row>
    <row r="5044" spans="1:3">
      <c r="A5044" s="131" t="s">
        <v>9370</v>
      </c>
      <c r="B5044" s="132">
        <v>1.1800000356743112E-4</v>
      </c>
      <c r="C5044" s="133"/>
    </row>
    <row r="5045" spans="1:3">
      <c r="A5045" s="131" t="s">
        <v>9371</v>
      </c>
      <c r="B5045" s="132">
        <v>10.98</v>
      </c>
      <c r="C5045" s="133"/>
    </row>
    <row r="5046" spans="1:3">
      <c r="A5046" s="131" t="s">
        <v>9372</v>
      </c>
      <c r="B5046" s="132">
        <v>0.91569525003433228</v>
      </c>
      <c r="C5046" s="133"/>
    </row>
    <row r="5047" spans="1:3">
      <c r="A5047" s="131" t="s">
        <v>9373</v>
      </c>
      <c r="B5047" s="132">
        <v>1.6235191822052002</v>
      </c>
      <c r="C5047" s="133"/>
    </row>
    <row r="5048" spans="1:3">
      <c r="A5048" s="131" t="s">
        <v>9374</v>
      </c>
      <c r="B5048" s="132">
        <v>3.3043969888240099E-3</v>
      </c>
      <c r="C5048" s="133"/>
    </row>
    <row r="5049" spans="1:3">
      <c r="A5049" s="131" t="s">
        <v>9375</v>
      </c>
      <c r="B5049" s="132">
        <v>3.0078999770921655E-5</v>
      </c>
      <c r="C5049" s="133"/>
    </row>
    <row r="5050" spans="1:3">
      <c r="A5050" s="131" t="s">
        <v>9376</v>
      </c>
      <c r="B5050" s="132">
        <v>4.9685744930260832E-4</v>
      </c>
      <c r="C5050" s="133"/>
    </row>
    <row r="5051" spans="1:3">
      <c r="A5051" s="131" t="s">
        <v>9377</v>
      </c>
      <c r="B5051" s="132">
        <v>5.4884620757920477E-4</v>
      </c>
      <c r="C5051" s="133"/>
    </row>
    <row r="5052" spans="1:3">
      <c r="A5052" s="131" t="s">
        <v>9378</v>
      </c>
      <c r="B5052" s="132">
        <v>1.0218300303677097E-4</v>
      </c>
      <c r="C5052" s="133"/>
    </row>
    <row r="5053" spans="1:3">
      <c r="A5053" s="131" t="s">
        <v>9379</v>
      </c>
      <c r="B5053" s="132">
        <v>9.1840001914533786E-6</v>
      </c>
      <c r="C5053" s="133"/>
    </row>
    <row r="5054" spans="1:3">
      <c r="A5054" s="131" t="s">
        <v>9380</v>
      </c>
      <c r="B5054" s="132">
        <v>9.9155399948358536E-4</v>
      </c>
      <c r="C5054" s="133"/>
    </row>
    <row r="5055" spans="1:3">
      <c r="A5055" s="131" t="s">
        <v>9381</v>
      </c>
      <c r="B5055" s="132">
        <v>2.6261296002662673E-3</v>
      </c>
      <c r="C5055" s="133"/>
    </row>
    <row r="5056" spans="1:3">
      <c r="A5056" s="131" t="s">
        <v>9382</v>
      </c>
      <c r="B5056" s="132">
        <v>5.4524000006495044E-5</v>
      </c>
      <c r="C5056" s="133"/>
    </row>
    <row r="5057" spans="1:3">
      <c r="A5057" s="131" t="s">
        <v>9383</v>
      </c>
      <c r="B5057" s="132">
        <v>7.0639237761497498E-2</v>
      </c>
      <c r="C5057" s="133"/>
    </row>
    <row r="5058" spans="1:3">
      <c r="A5058" s="131" t="s">
        <v>9384</v>
      </c>
      <c r="B5058" s="132">
        <v>3.5999999425939677E-8</v>
      </c>
      <c r="C5058" s="133"/>
    </row>
    <row r="5059" spans="1:3">
      <c r="A5059" s="131" t="s">
        <v>9385</v>
      </c>
      <c r="B5059" s="132">
        <v>8.0048000000000003E-5</v>
      </c>
      <c r="C5059" s="133"/>
    </row>
    <row r="5060" spans="1:3">
      <c r="A5060" s="131" t="s">
        <v>9386</v>
      </c>
      <c r="B5060" s="132">
        <v>8.6029001977294683E-5</v>
      </c>
      <c r="C5060" s="133"/>
    </row>
    <row r="5061" spans="1:3">
      <c r="A5061" s="131" t="s">
        <v>9387</v>
      </c>
      <c r="B5061" s="132">
        <v>8.1705000000000005E-5</v>
      </c>
      <c r="C5061" s="133"/>
    </row>
    <row r="5062" spans="1:3">
      <c r="A5062" s="131" t="s">
        <v>9388</v>
      </c>
      <c r="B5062" s="132">
        <v>1.2233025624251455E-7</v>
      </c>
      <c r="C5062" s="133"/>
    </row>
    <row r="5063" spans="1:3">
      <c r="A5063" s="131" t="s">
        <v>9389</v>
      </c>
      <c r="B5063" s="132">
        <v>1.9149266959969654E-2</v>
      </c>
      <c r="C5063" s="133"/>
    </row>
    <row r="5064" spans="1:3">
      <c r="A5064" s="131" t="s">
        <v>9390</v>
      </c>
      <c r="B5064" s="132">
        <v>6.5534107387065887E-2</v>
      </c>
      <c r="C5064" s="133"/>
    </row>
    <row r="5065" spans="1:3">
      <c r="A5065" s="131" t="s">
        <v>9391</v>
      </c>
      <c r="B5065" s="132">
        <v>4.5000000170603016E-8</v>
      </c>
      <c r="C5065" s="133"/>
    </row>
    <row r="5066" spans="1:3">
      <c r="A5066" s="131" t="s">
        <v>9392</v>
      </c>
      <c r="B5066" s="132">
        <v>5.4639307782053947E-3</v>
      </c>
      <c r="C5066" s="133"/>
    </row>
    <row r="5067" spans="1:3">
      <c r="A5067" s="131" t="s">
        <v>9393</v>
      </c>
      <c r="B5067" s="132">
        <v>9.2536561775804667E-3</v>
      </c>
      <c r="C5067" s="133"/>
    </row>
    <row r="5068" spans="1:3">
      <c r="A5068" s="131" t="s">
        <v>9394</v>
      </c>
      <c r="B5068" s="132">
        <v>9.89916967228055E-4</v>
      </c>
      <c r="C5068" s="133"/>
    </row>
    <row r="5069" spans="1:3">
      <c r="A5069" s="131" t="s">
        <v>9395</v>
      </c>
      <c r="B5069" s="132">
        <v>4.9856379628181458E-3</v>
      </c>
      <c r="C5069" s="133"/>
    </row>
    <row r="5070" spans="1:3">
      <c r="A5070" s="131" t="s">
        <v>9396</v>
      </c>
      <c r="B5070" s="132">
        <v>1.761699968483299E-5</v>
      </c>
      <c r="C5070" s="133"/>
    </row>
    <row r="5071" spans="1:3">
      <c r="A5071" s="131" t="s">
        <v>9397</v>
      </c>
      <c r="B5071" s="132">
        <v>2.3719999262539204E-6</v>
      </c>
      <c r="C5071" s="133"/>
    </row>
    <row r="5072" spans="1:3">
      <c r="A5072" s="131" t="s">
        <v>9398</v>
      </c>
      <c r="B5072" s="132">
        <v>1.6464090440422297E-3</v>
      </c>
      <c r="C5072" s="133"/>
    </row>
    <row r="5073" spans="1:3">
      <c r="A5073" s="131" t="s">
        <v>9399</v>
      </c>
      <c r="B5073" s="132">
        <v>3.7642001191583077E-4</v>
      </c>
      <c r="C5073" s="133"/>
    </row>
    <row r="5074" spans="1:3">
      <c r="A5074" s="131" t="s">
        <v>9400</v>
      </c>
      <c r="B5074" s="132">
        <v>1.8710171830742062E-3</v>
      </c>
      <c r="C5074" s="133"/>
    </row>
    <row r="5075" spans="1:3">
      <c r="A5075" s="131" t="s">
        <v>9401</v>
      </c>
      <c r="B5075" s="132">
        <v>18.72</v>
      </c>
      <c r="C5075" s="133"/>
    </row>
    <row r="5076" spans="1:3">
      <c r="A5076" s="131" t="s">
        <v>9402</v>
      </c>
      <c r="B5076" s="132">
        <v>8.7734549365562895</v>
      </c>
      <c r="C5076" s="133"/>
    </row>
    <row r="5077" spans="1:3">
      <c r="A5077" s="131" t="s">
        <v>9403</v>
      </c>
      <c r="B5077" s="132">
        <v>3.2794089056551456E-3</v>
      </c>
      <c r="C5077" s="133"/>
    </row>
    <row r="5078" spans="1:3">
      <c r="A5078" s="131" t="s">
        <v>9404</v>
      </c>
      <c r="B5078" s="132">
        <v>0.38546374440193176</v>
      </c>
      <c r="C5078" s="133"/>
    </row>
    <row r="5079" spans="1:3">
      <c r="A5079" s="131" t="s">
        <v>9405</v>
      </c>
      <c r="B5079" s="132">
        <v>6.04900014877785E-6</v>
      </c>
      <c r="C5079" s="133"/>
    </row>
    <row r="5080" spans="1:3">
      <c r="A5080" s="131" t="s">
        <v>9406</v>
      </c>
      <c r="B5080" s="132">
        <v>2.099420502781868E-2</v>
      </c>
      <c r="C5080" s="133"/>
    </row>
    <row r="5081" spans="1:3">
      <c r="A5081" s="131" t="s">
        <v>9407</v>
      </c>
      <c r="B5081" s="132">
        <v>0.18258019795412656</v>
      </c>
      <c r="C5081" s="133"/>
    </row>
    <row r="5082" spans="1:3">
      <c r="A5082" s="131" t="s">
        <v>9408</v>
      </c>
      <c r="B5082" s="132">
        <v>3.7807499757036567E-4</v>
      </c>
      <c r="C5082" s="133"/>
    </row>
    <row r="5083" spans="1:3">
      <c r="A5083" s="131" t="s">
        <v>9409</v>
      </c>
      <c r="B5083" s="132">
        <v>1.8062829806666663E-2</v>
      </c>
      <c r="C5083" s="133"/>
    </row>
    <row r="5084" spans="1:3">
      <c r="A5084" s="131" t="s">
        <v>9410</v>
      </c>
      <c r="B5084" s="132">
        <v>1.9380099547561258E-4</v>
      </c>
      <c r="C5084" s="133"/>
    </row>
    <row r="5085" spans="1:3">
      <c r="A5085" s="131" t="s">
        <v>9411</v>
      </c>
      <c r="B5085" s="132">
        <v>8.5296996985562146E-5</v>
      </c>
      <c r="C5085" s="133"/>
    </row>
    <row r="5086" spans="1:3">
      <c r="A5086" s="131" t="s">
        <v>9412</v>
      </c>
      <c r="B5086" s="132">
        <v>5.7624108158051968E-3</v>
      </c>
      <c r="C5086" s="133"/>
    </row>
    <row r="5087" spans="1:3">
      <c r="A5087" s="131" t="s">
        <v>9413</v>
      </c>
      <c r="B5087" s="132">
        <v>3.3542000892339274E-5</v>
      </c>
      <c r="C5087" s="133"/>
    </row>
    <row r="5088" spans="1:3">
      <c r="A5088" s="131" t="s">
        <v>9414</v>
      </c>
      <c r="B5088" s="132">
        <v>4.5039798715151846E-4</v>
      </c>
      <c r="C5088" s="133"/>
    </row>
    <row r="5089" spans="1:3">
      <c r="A5089" s="131" t="s">
        <v>9415</v>
      </c>
      <c r="B5089" s="132">
        <v>3.0999999012237822E-8</v>
      </c>
      <c r="C5089" s="133"/>
    </row>
    <row r="5090" spans="1:3">
      <c r="A5090" s="131" t="s">
        <v>9416</v>
      </c>
      <c r="B5090" s="132">
        <v>2.9018600471317768E-3</v>
      </c>
      <c r="C5090" s="133"/>
    </row>
    <row r="5091" spans="1:3">
      <c r="A5091" s="131" t="s">
        <v>9417</v>
      </c>
      <c r="B5091" s="132">
        <v>5.5606901878491044E-4</v>
      </c>
      <c r="C5091" s="133"/>
    </row>
    <row r="5092" spans="1:3">
      <c r="A5092" s="131" t="s">
        <v>9418</v>
      </c>
      <c r="B5092" s="132">
        <v>1.1657070135697722E-3</v>
      </c>
      <c r="C5092" s="133"/>
    </row>
    <row r="5093" spans="1:3">
      <c r="A5093" s="131" t="s">
        <v>9419</v>
      </c>
      <c r="B5093" s="132">
        <v>9.2602000222541392E-5</v>
      </c>
      <c r="C5093" s="133"/>
    </row>
    <row r="5094" spans="1:3">
      <c r="A5094" s="131" t="s">
        <v>9420</v>
      </c>
      <c r="B5094" s="132">
        <v>1.4191581232379917E-3</v>
      </c>
      <c r="C5094" s="133"/>
    </row>
    <row r="5095" spans="1:3">
      <c r="A5095" s="131" t="s">
        <v>9421</v>
      </c>
      <c r="B5095" s="132">
        <v>0.3993542492389679</v>
      </c>
      <c r="C5095" s="133"/>
    </row>
    <row r="5096" spans="1:3">
      <c r="A5096" s="131" t="s">
        <v>9422</v>
      </c>
      <c r="B5096" s="132">
        <v>4.9587000830797479E-5</v>
      </c>
      <c r="C5096" s="133"/>
    </row>
    <row r="5097" spans="1:3">
      <c r="A5097" s="131" t="s">
        <v>9423</v>
      </c>
      <c r="B5097" s="132">
        <v>1.0005666666666666E-5</v>
      </c>
      <c r="C5097" s="133"/>
    </row>
    <row r="5098" spans="1:3">
      <c r="A5098" s="131" t="s">
        <v>9424</v>
      </c>
      <c r="B5098" s="132">
        <v>2.4984500487335026E-4</v>
      </c>
      <c r="C5098" s="133"/>
    </row>
    <row r="5099" spans="1:3">
      <c r="A5099" s="131" t="s">
        <v>9425</v>
      </c>
      <c r="B5099" s="132">
        <v>1.5481083653867245E-2</v>
      </c>
      <c r="C5099" s="133"/>
    </row>
    <row r="5100" spans="1:3">
      <c r="A5100" s="131" t="s">
        <v>9426</v>
      </c>
      <c r="B5100" s="132">
        <v>3.7022199830971658E-4</v>
      </c>
      <c r="C5100" s="133"/>
    </row>
    <row r="5101" spans="1:3">
      <c r="A5101" s="131" t="s">
        <v>9427</v>
      </c>
      <c r="B5101" s="132">
        <v>4.4628120981437848E-3</v>
      </c>
      <c r="C5101" s="133"/>
    </row>
    <row r="5102" spans="1:3">
      <c r="A5102" s="131" t="s">
        <v>9428</v>
      </c>
      <c r="B5102" s="132">
        <v>4.2887870222330093E-3</v>
      </c>
      <c r="C5102" s="133"/>
    </row>
    <row r="5103" spans="1:3">
      <c r="A5103" s="131" t="s">
        <v>9429</v>
      </c>
      <c r="B5103" s="132">
        <v>1.3414127752184868E-2</v>
      </c>
      <c r="C5103" s="133"/>
    </row>
    <row r="5104" spans="1:3">
      <c r="A5104" s="131" t="s">
        <v>9430</v>
      </c>
      <c r="B5104" s="132">
        <v>5.9500000000000004E-4</v>
      </c>
      <c r="C5104" s="133"/>
    </row>
    <row r="5105" spans="1:3">
      <c r="A5105" s="131" t="s">
        <v>9431</v>
      </c>
      <c r="B5105" s="132">
        <v>2.2527099645230919E-4</v>
      </c>
      <c r="C5105" s="133"/>
    </row>
    <row r="5106" spans="1:3">
      <c r="A5106" s="131" t="s">
        <v>9432</v>
      </c>
      <c r="B5106" s="132">
        <v>7.1410999225918204E-5</v>
      </c>
      <c r="C5106" s="133"/>
    </row>
    <row r="5107" spans="1:3">
      <c r="A5107" s="131" t="s">
        <v>9433</v>
      </c>
      <c r="B5107" s="132">
        <v>6.65</v>
      </c>
      <c r="C5107" s="133"/>
    </row>
    <row r="5108" spans="1:3">
      <c r="A5108" s="131" t="s">
        <v>9434</v>
      </c>
      <c r="B5108" s="132">
        <v>9.5977500313892961E-4</v>
      </c>
      <c r="C5108" s="133"/>
    </row>
    <row r="5109" spans="1:3">
      <c r="A5109" s="131" t="s">
        <v>9435</v>
      </c>
      <c r="B5109" s="132">
        <v>1.0245000157738104E-4</v>
      </c>
      <c r="C5109" s="133"/>
    </row>
    <row r="5110" spans="1:3">
      <c r="A5110" s="131" t="s">
        <v>9436</v>
      </c>
      <c r="B5110" s="132">
        <v>1.7917624417632954E-4</v>
      </c>
      <c r="C5110" s="133"/>
    </row>
    <row r="5111" spans="1:3">
      <c r="A5111" s="131" t="s">
        <v>9437</v>
      </c>
      <c r="B5111" s="132">
        <v>2.1133800328243524E-4</v>
      </c>
      <c r="C5111" s="133"/>
    </row>
    <row r="5112" spans="1:3">
      <c r="A5112" s="131" t="s">
        <v>9438</v>
      </c>
      <c r="B5112" s="132">
        <v>2.1974000264890492E-4</v>
      </c>
      <c r="C5112" s="133"/>
    </row>
    <row r="5113" spans="1:3">
      <c r="A5113" s="131" t="s">
        <v>9439</v>
      </c>
      <c r="B5113" s="132">
        <v>2.5819999791565351E-6</v>
      </c>
      <c r="C5113" s="133"/>
    </row>
    <row r="5114" spans="1:3">
      <c r="A5114" s="131" t="s">
        <v>9440</v>
      </c>
      <c r="B5114" s="132">
        <v>1.4366679770044243E-4</v>
      </c>
      <c r="C5114" s="133"/>
    </row>
    <row r="5115" spans="1:3">
      <c r="A5115" s="131" t="s">
        <v>9441</v>
      </c>
      <c r="B5115" s="132">
        <v>3.2695540071571297E-5</v>
      </c>
      <c r="C5115" s="133"/>
    </row>
    <row r="5116" spans="1:3">
      <c r="A5116" s="131" t="s">
        <v>9442</v>
      </c>
      <c r="B5116" s="132">
        <v>6.3010002122609876E-6</v>
      </c>
      <c r="C5116" s="133"/>
    </row>
    <row r="5117" spans="1:3">
      <c r="A5117" s="131" t="s">
        <v>9443</v>
      </c>
      <c r="B5117" s="132">
        <v>2.8552251457250124E-2</v>
      </c>
      <c r="C5117" s="133"/>
    </row>
    <row r="5118" spans="1:3">
      <c r="A5118" s="131" t="s">
        <v>9444</v>
      </c>
      <c r="B5118" s="132">
        <v>2.9820000690961024E-6</v>
      </c>
      <c r="C5118" s="133"/>
    </row>
    <row r="5119" spans="1:3">
      <c r="A5119" s="131" t="s">
        <v>9445</v>
      </c>
      <c r="B5119" s="132">
        <v>1.6789607758241669E-2</v>
      </c>
      <c r="C5119" s="133"/>
    </row>
    <row r="5120" spans="1:3">
      <c r="A5120" s="131" t="s">
        <v>9446</v>
      </c>
      <c r="B5120" s="132">
        <v>8.2956998085137457E-5</v>
      </c>
      <c r="C5120" s="133"/>
    </row>
    <row r="5121" spans="1:3">
      <c r="A5121" s="131" t="s">
        <v>9447</v>
      </c>
      <c r="B5121" s="132">
        <v>1.0187376500638296E-2</v>
      </c>
      <c r="C5121" s="133"/>
    </row>
    <row r="5122" spans="1:3">
      <c r="A5122" s="131" t="s">
        <v>9448</v>
      </c>
      <c r="B5122" s="132">
        <v>1.5557007789611816</v>
      </c>
      <c r="C5122" s="133"/>
    </row>
    <row r="5123" spans="1:3">
      <c r="A5123" s="131" t="s">
        <v>9449</v>
      </c>
      <c r="B5123" s="132">
        <v>2.6257999707013369E-5</v>
      </c>
      <c r="C5123" s="133"/>
    </row>
    <row r="5124" spans="1:3">
      <c r="A5124" s="131" t="s">
        <v>9450</v>
      </c>
      <c r="B5124" s="132">
        <v>7.900000298377563E-8</v>
      </c>
      <c r="C5124" s="133"/>
    </row>
    <row r="5125" spans="1:3">
      <c r="A5125" s="131" t="s">
        <v>9451</v>
      </c>
      <c r="B5125" s="132">
        <v>3.8067520363252643E-5</v>
      </c>
      <c r="C5125" s="133"/>
    </row>
    <row r="5126" spans="1:3">
      <c r="A5126" s="131" t="s">
        <v>9452</v>
      </c>
      <c r="B5126" s="132">
        <v>2.9950155371951952E-3</v>
      </c>
      <c r="C5126" s="133"/>
    </row>
    <row r="5127" spans="1:3">
      <c r="A5127" s="131" t="s">
        <v>9453</v>
      </c>
      <c r="B5127" s="132">
        <v>2.4999166666666672E-4</v>
      </c>
      <c r="C5127" s="133"/>
    </row>
    <row r="5128" spans="1:3">
      <c r="A5128" s="131" t="s">
        <v>9454</v>
      </c>
      <c r="B5128" s="132">
        <v>2.82</v>
      </c>
      <c r="C5128" s="133"/>
    </row>
    <row r="5129" spans="1:3">
      <c r="A5129" s="131" t="s">
        <v>9455</v>
      </c>
      <c r="B5129" s="132">
        <v>0.1626269519329071</v>
      </c>
      <c r="C5129" s="133"/>
    </row>
    <row r="5130" spans="1:3">
      <c r="A5130" s="131" t="s">
        <v>9456</v>
      </c>
      <c r="B5130" s="132">
        <v>7.2900857710347289</v>
      </c>
      <c r="C5130" s="133"/>
    </row>
    <row r="5131" spans="1:3">
      <c r="A5131" s="131" t="s">
        <v>9457</v>
      </c>
      <c r="B5131" s="132">
        <v>0.1298784613609314</v>
      </c>
      <c r="C5131" s="133"/>
    </row>
    <row r="5132" spans="1:3">
      <c r="A5132" s="131" t="s">
        <v>9458</v>
      </c>
      <c r="B5132" s="132">
        <v>3.0014998628757894E-4</v>
      </c>
      <c r="C5132" s="133"/>
    </row>
    <row r="5133" spans="1:3">
      <c r="A5133" s="131" t="s">
        <v>9459</v>
      </c>
      <c r="B5133" s="132">
        <v>4.7586261450986451E-4</v>
      </c>
      <c r="C5133" s="133"/>
    </row>
    <row r="5134" spans="1:3">
      <c r="A5134" s="131" t="s">
        <v>9460</v>
      </c>
      <c r="B5134" s="132">
        <v>2.9481608711503626E-4</v>
      </c>
      <c r="C5134" s="133"/>
    </row>
    <row r="5135" spans="1:3">
      <c r="A5135" s="131" t="s">
        <v>9461</v>
      </c>
      <c r="B5135" s="132">
        <v>1.2175375227855393E-3</v>
      </c>
      <c r="C5135" s="133"/>
    </row>
    <row r="5136" spans="1:3">
      <c r="A5136" s="131" t="s">
        <v>9462</v>
      </c>
      <c r="B5136" s="132">
        <v>1.0737199772847816E-4</v>
      </c>
      <c r="C5136" s="133"/>
    </row>
    <row r="5137" spans="1:3">
      <c r="A5137" s="131" t="s">
        <v>9463</v>
      </c>
      <c r="B5137" s="132">
        <v>4.4869866041047542E-4</v>
      </c>
      <c r="C5137" s="133"/>
    </row>
    <row r="5138" spans="1:3">
      <c r="A5138" s="131" t="s">
        <v>9464</v>
      </c>
      <c r="B5138" s="132">
        <v>8.1577934324741364E-3</v>
      </c>
      <c r="C5138" s="133"/>
    </row>
    <row r="5139" spans="1:3">
      <c r="A5139" s="131" t="s">
        <v>9465</v>
      </c>
      <c r="B5139" s="132">
        <v>5.6839685003892831E-2</v>
      </c>
      <c r="C5139" s="133"/>
    </row>
    <row r="5140" spans="1:3">
      <c r="A5140" s="131" t="s">
        <v>9466</v>
      </c>
      <c r="B5140" s="132">
        <v>1.2088990106015087</v>
      </c>
      <c r="C5140" s="133"/>
    </row>
    <row r="5141" spans="1:3">
      <c r="A5141" s="131" t="s">
        <v>9467</v>
      </c>
      <c r="B5141" s="132">
        <v>5.0005000957753509E-5</v>
      </c>
      <c r="C5141" s="133"/>
    </row>
    <row r="5142" spans="1:3">
      <c r="A5142" s="131" t="s">
        <v>9468</v>
      </c>
      <c r="B5142" s="132">
        <v>7.3010000960493926E-6</v>
      </c>
      <c r="C5142" s="133"/>
    </row>
    <row r="5143" spans="1:3">
      <c r="A5143" s="131" t="s">
        <v>9469</v>
      </c>
      <c r="B5143" s="132">
        <v>7.0005998713895679E-4</v>
      </c>
      <c r="C5143" s="133"/>
    </row>
    <row r="5144" spans="1:3">
      <c r="A5144" s="131" t="s">
        <v>9470</v>
      </c>
      <c r="B5144" s="132">
        <v>2.5022430345416069E-3</v>
      </c>
      <c r="C5144" s="133"/>
    </row>
    <row r="5145" spans="1:3">
      <c r="A5145" s="131" t="s">
        <v>9471</v>
      </c>
      <c r="B5145" s="132">
        <v>3.19913458981506E-2</v>
      </c>
      <c r="C5145" s="133"/>
    </row>
    <row r="5146" spans="1:3">
      <c r="A5146" s="131" t="s">
        <v>9472</v>
      </c>
      <c r="B5146" s="132">
        <v>6.1846056414275306E-4</v>
      </c>
      <c r="C5146" s="133"/>
    </row>
    <row r="5147" spans="1:3">
      <c r="A5147" s="131" t="s">
        <v>9473</v>
      </c>
      <c r="B5147" s="132">
        <v>5.0026666666666661E-4</v>
      </c>
      <c r="C5147" s="133"/>
    </row>
    <row r="5148" spans="1:3">
      <c r="A5148" s="131" t="s">
        <v>9474</v>
      </c>
      <c r="B5148" s="132">
        <v>1.9030300609301776E-4</v>
      </c>
      <c r="C5148" s="133"/>
    </row>
    <row r="5149" spans="1:3">
      <c r="A5149" s="131" t="s">
        <v>9475</v>
      </c>
      <c r="B5149" s="132">
        <v>7.9344936666666665E-4</v>
      </c>
      <c r="C5149" s="133"/>
    </row>
    <row r="5150" spans="1:3">
      <c r="A5150" s="131" t="s">
        <v>9476</v>
      </c>
      <c r="B5150" s="132">
        <v>5.7447800879908907E-4</v>
      </c>
      <c r="C5150" s="133"/>
    </row>
    <row r="5151" spans="1:3">
      <c r="A5151" s="131" t="s">
        <v>9477</v>
      </c>
      <c r="B5151" s="132">
        <v>1.7750279512256384E-3</v>
      </c>
      <c r="C5151" s="133"/>
    </row>
    <row r="5152" spans="1:3">
      <c r="A5152" s="131" t="s">
        <v>9478</v>
      </c>
      <c r="B5152" s="132">
        <v>3.1999999094978193E-8</v>
      </c>
      <c r="C5152" s="133"/>
    </row>
    <row r="5153" spans="1:3">
      <c r="A5153" s="131" t="s">
        <v>9479</v>
      </c>
      <c r="B5153" s="132">
        <v>1.260672E-2</v>
      </c>
      <c r="C5153" s="133"/>
    </row>
    <row r="5154" spans="1:3">
      <c r="A5154" s="131" t="s">
        <v>9480</v>
      </c>
      <c r="B5154" s="132">
        <v>1.5006919370101899E-2</v>
      </c>
      <c r="C5154" s="133"/>
    </row>
    <row r="5155" spans="1:3">
      <c r="A5155" s="131" t="s">
        <v>9481</v>
      </c>
      <c r="B5155" s="132">
        <v>1.899999979571021E-8</v>
      </c>
      <c r="C5155" s="133"/>
    </row>
    <row r="5156" spans="1:3">
      <c r="A5156" s="131" t="s">
        <v>9482</v>
      </c>
      <c r="B5156" s="132">
        <v>3.2003001251723617E-5</v>
      </c>
      <c r="C5156" s="133"/>
    </row>
    <row r="5157" spans="1:3">
      <c r="A5157" s="131" t="s">
        <v>9483</v>
      </c>
      <c r="B5157" s="132">
        <v>0.17852087318897247</v>
      </c>
      <c r="C5157" s="133"/>
    </row>
    <row r="5158" spans="1:3">
      <c r="A5158" s="131" t="s">
        <v>9484</v>
      </c>
      <c r="B5158" s="132">
        <v>1.9999999949504854E-6</v>
      </c>
      <c r="C5158" s="133"/>
    </row>
    <row r="5159" spans="1:3">
      <c r="A5159" s="131" t="s">
        <v>9485</v>
      </c>
      <c r="B5159" s="132">
        <v>1.2354365780625572E-3</v>
      </c>
      <c r="C5159" s="133"/>
    </row>
    <row r="5160" spans="1:3">
      <c r="A5160" s="131" t="s">
        <v>9486</v>
      </c>
      <c r="B5160" s="132">
        <v>1.0937414184335571E-7</v>
      </c>
      <c r="C5160" s="133"/>
    </row>
    <row r="5161" spans="1:3">
      <c r="A5161" s="131" t="s">
        <v>9487</v>
      </c>
      <c r="B5161" s="132">
        <v>2.731849963311106E-4</v>
      </c>
      <c r="C5161" s="133"/>
    </row>
    <row r="5162" spans="1:3">
      <c r="A5162" s="131" t="s">
        <v>9488</v>
      </c>
      <c r="B5162" s="132">
        <v>2.7910000062547624E-4</v>
      </c>
      <c r="C5162" s="133"/>
    </row>
    <row r="5163" spans="1:3">
      <c r="A5163" s="131" t="s">
        <v>9489</v>
      </c>
      <c r="B5163" s="132">
        <v>1.4466896930635687E-3</v>
      </c>
      <c r="C5163" s="133"/>
    </row>
    <row r="5164" spans="1:3">
      <c r="A5164" s="131" t="s">
        <v>9490</v>
      </c>
      <c r="B5164" s="132">
        <v>1.1263527870178223</v>
      </c>
      <c r="C5164" s="133"/>
    </row>
    <row r="5165" spans="1:3">
      <c r="A5165" s="131" t="s">
        <v>9491</v>
      </c>
      <c r="B5165" s="132">
        <v>4.18</v>
      </c>
      <c r="C5165" s="133"/>
    </row>
    <row r="5166" spans="1:3">
      <c r="A5166" s="131" t="s">
        <v>9492</v>
      </c>
      <c r="B5166" s="132">
        <v>1.7009633333333247E-3</v>
      </c>
      <c r="C5166" s="133"/>
    </row>
    <row r="5167" spans="1:3">
      <c r="A5167" s="131" t="s">
        <v>9493</v>
      </c>
      <c r="B5167" s="132">
        <v>5.999999848427251E-5</v>
      </c>
      <c r="C5167" s="133"/>
    </row>
    <row r="5168" spans="1:3">
      <c r="A5168" s="131" t="s">
        <v>9494</v>
      </c>
      <c r="B5168" s="132">
        <v>8.5503793400103006E-4</v>
      </c>
      <c r="C5168" s="133"/>
    </row>
    <row r="5169" spans="1:3">
      <c r="A5169" s="131" t="s">
        <v>9495</v>
      </c>
      <c r="B5169" s="132">
        <v>2.0606999896699563E-5</v>
      </c>
      <c r="C5169" s="133"/>
    </row>
    <row r="5170" spans="1:3">
      <c r="A5170" s="131" t="s">
        <v>9496</v>
      </c>
      <c r="B5170" s="132">
        <v>6.8517155945301056E-2</v>
      </c>
      <c r="C5170" s="133"/>
    </row>
    <row r="5171" spans="1:3">
      <c r="A5171" s="131" t="s">
        <v>9497</v>
      </c>
      <c r="B5171" s="132">
        <v>4.001663483999965E-3</v>
      </c>
      <c r="C5171" s="133"/>
    </row>
    <row r="5172" spans="1:3">
      <c r="A5172" s="131" t="s">
        <v>9498</v>
      </c>
      <c r="B5172" s="132">
        <v>8.5908599430695176E-4</v>
      </c>
      <c r="C5172" s="133"/>
    </row>
    <row r="5173" spans="1:3">
      <c r="A5173" s="131" t="s">
        <v>9499</v>
      </c>
      <c r="B5173" s="132">
        <v>5.2042840979993343E-3</v>
      </c>
      <c r="C5173" s="133"/>
    </row>
    <row r="5174" spans="1:3">
      <c r="A5174" s="131" t="s">
        <v>9500</v>
      </c>
      <c r="B5174" s="132">
        <v>0.44438505172729492</v>
      </c>
      <c r="C5174" s="133"/>
    </row>
    <row r="5175" spans="1:3">
      <c r="A5175" s="131" t="s">
        <v>9501</v>
      </c>
      <c r="B5175" s="132">
        <v>0.32960066793333331</v>
      </c>
      <c r="C5175" s="133"/>
    </row>
    <row r="5176" spans="1:3">
      <c r="A5176" s="131" t="s">
        <v>9502</v>
      </c>
      <c r="B5176" s="132">
        <v>6.279725581407547E-2</v>
      </c>
      <c r="C5176" s="133"/>
    </row>
    <row r="5177" spans="1:3">
      <c r="A5177" s="131" t="s">
        <v>9503</v>
      </c>
      <c r="B5177" s="132">
        <v>0.2536546870161</v>
      </c>
      <c r="C5177" s="133"/>
    </row>
    <row r="5178" spans="1:3">
      <c r="A5178" s="131" t="s">
        <v>9504</v>
      </c>
      <c r="B5178" s="132">
        <v>1.2991309772998863E-3</v>
      </c>
      <c r="C5178" s="133"/>
    </row>
    <row r="5179" spans="1:3">
      <c r="A5179" s="131" t="s">
        <v>9505</v>
      </c>
      <c r="B5179" s="132">
        <v>1.9952271125408885E-3</v>
      </c>
      <c r="C5179" s="133"/>
    </row>
    <row r="5180" spans="1:3">
      <c r="A5180" s="131" t="s">
        <v>9506</v>
      </c>
      <c r="B5180" s="132">
        <v>7.7530427188978647E-5</v>
      </c>
      <c r="C5180" s="133"/>
    </row>
    <row r="5181" spans="1:3">
      <c r="A5181" s="131" t="s">
        <v>9507</v>
      </c>
      <c r="B5181" s="132">
        <v>7.4603573176873425E-2</v>
      </c>
      <c r="C5181" s="133"/>
    </row>
    <row r="5182" spans="1:3">
      <c r="A5182" s="131" t="s">
        <v>9508</v>
      </c>
      <c r="B5182" s="132">
        <v>9.461999979976099E-6</v>
      </c>
      <c r="C5182" s="133"/>
    </row>
    <row r="5183" spans="1:3">
      <c r="A5183" s="131" t="s">
        <v>9509</v>
      </c>
      <c r="B5183" s="132">
        <v>1.160943997092545E-3</v>
      </c>
      <c r="C5183" s="133"/>
    </row>
    <row r="5184" spans="1:3">
      <c r="A5184" s="131" t="s">
        <v>9510</v>
      </c>
      <c r="B5184" s="132">
        <v>0.14238537847995758</v>
      </c>
      <c r="C5184" s="133"/>
    </row>
    <row r="5185" spans="1:3">
      <c r="A5185" s="131" t="s">
        <v>6480</v>
      </c>
      <c r="B5185" s="132">
        <v>2.6188254000000001E-2</v>
      </c>
      <c r="C5185" s="133"/>
    </row>
    <row r="5186" spans="1:3">
      <c r="A5186" s="131" t="s">
        <v>6481</v>
      </c>
      <c r="B5186" s="132">
        <v>6.9993205368518829E-2</v>
      </c>
      <c r="C5186" s="133"/>
    </row>
    <row r="5187" spans="1:3">
      <c r="A5187" s="131" t="s">
        <v>6482</v>
      </c>
      <c r="B5187" s="132">
        <v>5.5402553186666668E-3</v>
      </c>
      <c r="C5187" s="133"/>
    </row>
    <row r="5188" spans="1:3">
      <c r="A5188" s="131" t="s">
        <v>6483</v>
      </c>
      <c r="B5188" s="132">
        <v>3.22</v>
      </c>
      <c r="C5188" s="133"/>
    </row>
    <row r="5189" spans="1:3">
      <c r="A5189" s="131" t="s">
        <v>6484</v>
      </c>
      <c r="B5189" s="132">
        <v>2.0062690600752831E-3</v>
      </c>
      <c r="C5189" s="133"/>
    </row>
    <row r="5190" spans="1:3">
      <c r="A5190" s="131" t="s">
        <v>6485</v>
      </c>
      <c r="B5190" s="132">
        <v>4.086800036020577E-4</v>
      </c>
      <c r="C5190" s="133"/>
    </row>
    <row r="5191" spans="1:3">
      <c r="A5191" s="131" t="s">
        <v>6486</v>
      </c>
      <c r="B5191" s="132">
        <v>8.1093400716781616E-2</v>
      </c>
      <c r="C5191" s="133"/>
    </row>
    <row r="5192" spans="1:3">
      <c r="A5192" s="131" t="s">
        <v>6487</v>
      </c>
      <c r="B5192" s="132">
        <v>4.9557817392393896E-3</v>
      </c>
      <c r="C5192" s="133"/>
    </row>
    <row r="5193" spans="1:3">
      <c r="A5193" s="131" t="s">
        <v>6488</v>
      </c>
      <c r="B5193" s="132">
        <v>1.0419179452583194E-3</v>
      </c>
      <c r="C5193" s="133"/>
    </row>
    <row r="5194" spans="1:3">
      <c r="A5194" s="131" t="s">
        <v>6489</v>
      </c>
      <c r="B5194" s="132">
        <v>6.5406539999999999E-2</v>
      </c>
      <c r="C5194" s="133"/>
    </row>
    <row r="5195" spans="1:3">
      <c r="A5195" s="131" t="s">
        <v>6490</v>
      </c>
      <c r="B5195" s="132">
        <v>2.0563600119203329E-3</v>
      </c>
      <c r="C5195" s="133"/>
    </row>
    <row r="5196" spans="1:3">
      <c r="A5196" s="131" t="s">
        <v>6491</v>
      </c>
      <c r="B5196" s="132">
        <v>4.7566552389981332E-3</v>
      </c>
      <c r="C5196" s="133"/>
    </row>
    <row r="5197" spans="1:3">
      <c r="A5197" s="131" t="s">
        <v>6492</v>
      </c>
      <c r="B5197" s="132">
        <v>1.069461863169985</v>
      </c>
      <c r="C5197" s="133"/>
    </row>
    <row r="5198" spans="1:3">
      <c r="A5198" s="131" t="s">
        <v>6493</v>
      </c>
      <c r="B5198" s="132">
        <v>2.3332279229809658</v>
      </c>
      <c r="C5198" s="133"/>
    </row>
    <row r="5199" spans="1:3">
      <c r="A5199" s="131" t="s">
        <v>6494</v>
      </c>
      <c r="B5199" s="132">
        <v>2.9581903561215738E-4</v>
      </c>
      <c r="C5199" s="133"/>
    </row>
    <row r="5200" spans="1:3">
      <c r="A5200" s="131" t="s">
        <v>6495</v>
      </c>
      <c r="B5200" s="132">
        <v>8.3513570017399989E-6</v>
      </c>
      <c r="C5200" s="133"/>
    </row>
    <row r="5201" spans="1:3">
      <c r="A5201" s="131" t="s">
        <v>6496</v>
      </c>
      <c r="B5201" s="132">
        <v>5.9340000000000003E-6</v>
      </c>
      <c r="C5201" s="133"/>
    </row>
    <row r="5202" spans="1:3">
      <c r="A5202" s="131" t="s">
        <v>6497</v>
      </c>
      <c r="B5202" s="132">
        <v>8.5972998931538314E-5</v>
      </c>
      <c r="C5202" s="133"/>
    </row>
    <row r="5203" spans="1:3">
      <c r="A5203" s="131" t="s">
        <v>6498</v>
      </c>
      <c r="B5203" s="132">
        <v>6.0000000000000002E-6</v>
      </c>
      <c r="C5203" s="133"/>
    </row>
    <row r="5204" spans="1:3">
      <c r="A5204" s="131" t="s">
        <v>6499</v>
      </c>
      <c r="B5204" s="132">
        <v>29.5</v>
      </c>
      <c r="C5204" s="133"/>
    </row>
    <row r="5205" spans="1:3">
      <c r="A5205" s="131" t="s">
        <v>6500</v>
      </c>
      <c r="B5205" s="132">
        <v>4.0020598680712283E-4</v>
      </c>
      <c r="C5205" s="133"/>
    </row>
    <row r="5206" spans="1:3">
      <c r="A5206" s="131" t="s">
        <v>6501</v>
      </c>
      <c r="B5206" s="132">
        <v>3.2757770537574621E-5</v>
      </c>
      <c r="C5206" s="133"/>
    </row>
    <row r="5207" spans="1:3">
      <c r="A5207" s="131" t="s">
        <v>6502</v>
      </c>
      <c r="B5207" s="132">
        <v>0.16816830635070801</v>
      </c>
      <c r="C5207" s="133"/>
    </row>
    <row r="5208" spans="1:3">
      <c r="A5208" s="131" t="s">
        <v>6503</v>
      </c>
      <c r="B5208" s="132">
        <v>3.8251600926741958E-4</v>
      </c>
      <c r="C5208" s="133"/>
    </row>
    <row r="5209" spans="1:3">
      <c r="A5209" s="131" t="s">
        <v>6504</v>
      </c>
      <c r="B5209" s="132">
        <v>5.1920000259997323E-5</v>
      </c>
      <c r="C5209" s="133"/>
    </row>
    <row r="5210" spans="1:3">
      <c r="A5210" s="131" t="s">
        <v>6505</v>
      </c>
      <c r="B5210" s="132">
        <v>7.3</v>
      </c>
      <c r="C5210" s="133"/>
    </row>
    <row r="5211" spans="1:3">
      <c r="A5211" s="131" t="s">
        <v>6506</v>
      </c>
      <c r="B5211" s="132">
        <v>4.209100006846711E-5</v>
      </c>
      <c r="C5211" s="133"/>
    </row>
    <row r="5212" spans="1:3">
      <c r="A5212" s="131" t="s">
        <v>6507</v>
      </c>
      <c r="B5212" s="132">
        <v>5.0009841352392573E-3</v>
      </c>
      <c r="C5212" s="133"/>
    </row>
    <row r="5213" spans="1:3">
      <c r="A5213" s="131" t="s">
        <v>6508</v>
      </c>
      <c r="B5213" s="132">
        <v>1.0002100316341966E-4</v>
      </c>
      <c r="C5213" s="133"/>
    </row>
    <row r="5214" spans="1:3">
      <c r="A5214" s="131" t="s">
        <v>6509</v>
      </c>
      <c r="B5214" s="132">
        <v>7.9813302727416158E-4</v>
      </c>
      <c r="C5214" s="133"/>
    </row>
    <row r="5215" spans="1:3">
      <c r="A5215" s="131" t="s">
        <v>6510</v>
      </c>
      <c r="B5215" s="132">
        <v>5.2178998885210603E-5</v>
      </c>
      <c r="C5215" s="133"/>
    </row>
    <row r="5216" spans="1:3">
      <c r="A5216" s="131" t="s">
        <v>6511</v>
      </c>
      <c r="B5216" s="132">
        <v>2.7317000785842538E-5</v>
      </c>
      <c r="C5216" s="133"/>
    </row>
    <row r="5217" spans="1:3">
      <c r="A5217" s="131" t="s">
        <v>6512</v>
      </c>
      <c r="B5217" s="132">
        <v>3.33</v>
      </c>
      <c r="C5217" s="133"/>
    </row>
    <row r="5218" spans="1:3">
      <c r="A5218" s="131" t="s">
        <v>6513</v>
      </c>
      <c r="B5218" s="132">
        <v>4.973909817636013E-4</v>
      </c>
      <c r="C5218" s="133"/>
    </row>
    <row r="5219" spans="1:3">
      <c r="A5219" s="131" t="s">
        <v>6514</v>
      </c>
      <c r="B5219" s="132">
        <v>9.080408496216328E-46</v>
      </c>
      <c r="C5219" s="133"/>
    </row>
    <row r="5220" spans="1:3">
      <c r="A5220" s="131" t="s">
        <v>6515</v>
      </c>
      <c r="B5220" s="132">
        <v>7.0679998316336423E-5</v>
      </c>
      <c r="C5220" s="133"/>
    </row>
    <row r="5221" spans="1:3">
      <c r="A5221" s="131" t="s">
        <v>6516</v>
      </c>
      <c r="B5221" s="132">
        <v>1.9960877895355225</v>
      </c>
      <c r="C5221" s="133"/>
    </row>
    <row r="5222" spans="1:3">
      <c r="A5222" s="131" t="s">
        <v>6517</v>
      </c>
      <c r="B5222" s="132">
        <v>7.2620000537426677E-6</v>
      </c>
      <c r="C5222" s="133"/>
    </row>
    <row r="5223" spans="1:3">
      <c r="A5223" s="131" t="s">
        <v>6518</v>
      </c>
      <c r="B5223" s="132">
        <v>2.3013033333333331E-5</v>
      </c>
      <c r="C5223" s="133"/>
    </row>
    <row r="5224" spans="1:3">
      <c r="A5224" s="131" t="s">
        <v>6519</v>
      </c>
      <c r="B5224" s="132">
        <v>1.6615999629721045E-4</v>
      </c>
      <c r="C5224" s="133"/>
    </row>
    <row r="5225" spans="1:3">
      <c r="A5225" s="131" t="s">
        <v>6520</v>
      </c>
      <c r="B5225" s="132">
        <v>8.3626541312826284E-5</v>
      </c>
      <c r="C5225" s="133"/>
    </row>
    <row r="5226" spans="1:3">
      <c r="A5226" s="131" t="s">
        <v>6521</v>
      </c>
      <c r="B5226" s="132">
        <v>0.88015222549438477</v>
      </c>
      <c r="C5226" s="133"/>
    </row>
    <row r="5227" spans="1:3">
      <c r="A5227" s="131" t="s">
        <v>6522</v>
      </c>
      <c r="B5227" s="132">
        <v>9.1290497221052647E-4</v>
      </c>
      <c r="C5227" s="133"/>
    </row>
    <row r="5228" spans="1:3">
      <c r="A5228" s="131" t="s">
        <v>6523</v>
      </c>
      <c r="B5228" s="132">
        <v>6.26</v>
      </c>
      <c r="C5228" s="133"/>
    </row>
    <row r="5229" spans="1:3">
      <c r="A5229" s="131" t="s">
        <v>6524</v>
      </c>
      <c r="B5229" s="132">
        <v>3.9778983270828844E-5</v>
      </c>
      <c r="C5229" s="133"/>
    </row>
    <row r="5230" spans="1:3">
      <c r="A5230" s="131" t="s">
        <v>6525</v>
      </c>
      <c r="B5230" s="132">
        <v>3.92000004012516E-7</v>
      </c>
      <c r="C5230" s="133"/>
    </row>
    <row r="5231" spans="1:3">
      <c r="A5231" s="131" t="s">
        <v>6526</v>
      </c>
      <c r="B5231" s="132">
        <v>5.284999861032702E-5</v>
      </c>
      <c r="C5231" s="133"/>
    </row>
    <row r="5232" spans="1:3">
      <c r="A5232" s="131" t="s">
        <v>6527</v>
      </c>
      <c r="B5232" s="132">
        <v>6.5039080047999992E-2</v>
      </c>
      <c r="C5232" s="133"/>
    </row>
    <row r="5233" spans="1:3">
      <c r="A5233" s="131" t="s">
        <v>6528</v>
      </c>
      <c r="B5233" s="132">
        <v>8.7202002760022879E-5</v>
      </c>
      <c r="C5233" s="133"/>
    </row>
    <row r="5234" spans="1:3">
      <c r="A5234" s="131" t="s">
        <v>6529</v>
      </c>
      <c r="B5234" s="132">
        <v>4.1823713122581194E-2</v>
      </c>
      <c r="C5234" s="133"/>
    </row>
    <row r="5235" spans="1:3">
      <c r="A5235" s="131" t="s">
        <v>6530</v>
      </c>
      <c r="B5235" s="132">
        <v>7.3793999035842717E-5</v>
      </c>
      <c r="C5235" s="133"/>
    </row>
    <row r="5236" spans="1:3">
      <c r="A5236" s="131" t="s">
        <v>6531</v>
      </c>
      <c r="B5236" s="132">
        <v>1.2289691103311176E-3</v>
      </c>
      <c r="C5236" s="133"/>
    </row>
    <row r="5237" spans="1:3">
      <c r="A5237" s="131" t="s">
        <v>6532</v>
      </c>
      <c r="B5237" s="132">
        <v>3.4547826834347288E-9</v>
      </c>
      <c r="C5237" s="133"/>
    </row>
    <row r="5238" spans="1:3">
      <c r="A5238" s="131" t="s">
        <v>6533</v>
      </c>
      <c r="B5238" s="132">
        <v>2.754611098966649E-7</v>
      </c>
      <c r="C5238" s="133"/>
    </row>
    <row r="5239" spans="1:3">
      <c r="A5239" s="131" t="s">
        <v>6534</v>
      </c>
      <c r="B5239" s="132">
        <v>3.1099999323487282E-2</v>
      </c>
      <c r="C5239" s="133"/>
    </row>
    <row r="5240" spans="1:3">
      <c r="A5240" s="131" t="s">
        <v>6535</v>
      </c>
      <c r="B5240" s="132">
        <v>1.0001460323110223E-3</v>
      </c>
      <c r="C5240" s="133"/>
    </row>
    <row r="5241" spans="1:3">
      <c r="A5241" s="131" t="s">
        <v>6536</v>
      </c>
      <c r="B5241" s="132">
        <v>3.1069001124706119E-5</v>
      </c>
      <c r="C5241" s="133"/>
    </row>
    <row r="5242" spans="1:3">
      <c r="A5242" s="131" t="s">
        <v>6537</v>
      </c>
      <c r="B5242" s="132">
        <v>3.1932305843085715E-4</v>
      </c>
      <c r="C5242" s="133"/>
    </row>
    <row r="5243" spans="1:3">
      <c r="A5243" s="131" t="s">
        <v>6538</v>
      </c>
      <c r="B5243" s="132">
        <v>1.0000899783335626E-4</v>
      </c>
      <c r="C5243" s="133"/>
    </row>
    <row r="5244" spans="1:3">
      <c r="A5244" s="131" t="s">
        <v>6539</v>
      </c>
      <c r="B5244" s="132">
        <v>2.0013100584037602E-4</v>
      </c>
      <c r="C5244" s="133"/>
    </row>
    <row r="5245" spans="1:3">
      <c r="A5245" s="131" t="s">
        <v>6540</v>
      </c>
      <c r="B5245" s="132">
        <v>0.5697861909866333</v>
      </c>
      <c r="C5245" s="133"/>
    </row>
    <row r="5246" spans="1:3">
      <c r="A5246" s="131" t="s">
        <v>6541</v>
      </c>
      <c r="B5246" s="132">
        <v>2.9978182166814804E-2</v>
      </c>
      <c r="C5246" s="133"/>
    </row>
    <row r="5247" spans="1:3">
      <c r="A5247" s="131" t="s">
        <v>6542</v>
      </c>
      <c r="B5247" s="132">
        <v>8.0462040876352007E-3</v>
      </c>
      <c r="C5247" s="133"/>
    </row>
    <row r="5248" spans="1:3">
      <c r="A5248" s="131" t="s">
        <v>6543</v>
      </c>
      <c r="B5248" s="132">
        <v>1.099811214953661E-2</v>
      </c>
      <c r="C5248" s="133"/>
    </row>
    <row r="5249" spans="1:3">
      <c r="A5249" s="131" t="s">
        <v>6544</v>
      </c>
      <c r="B5249" s="132">
        <v>1.0007310193032026E-3</v>
      </c>
      <c r="C5249" s="133"/>
    </row>
    <row r="5250" spans="1:3">
      <c r="A5250" s="131" t="s">
        <v>6545</v>
      </c>
      <c r="B5250" s="132">
        <v>1.0709200287237763E-3</v>
      </c>
      <c r="C5250" s="133"/>
    </row>
    <row r="5251" spans="1:3">
      <c r="A5251" s="131" t="s">
        <v>6546</v>
      </c>
      <c r="B5251" s="132">
        <v>3.6528999771689996E-5</v>
      </c>
      <c r="C5251" s="133"/>
    </row>
    <row r="5252" spans="1:3">
      <c r="A5252" s="131" t="s">
        <v>6547</v>
      </c>
      <c r="B5252" s="132">
        <v>3.6739971488714218E-2</v>
      </c>
      <c r="C5252" s="133"/>
    </row>
    <row r="5253" spans="1:3">
      <c r="A5253" s="131" t="s">
        <v>6548</v>
      </c>
      <c r="B5253" s="132">
        <v>6.1691041183869929E-5</v>
      </c>
      <c r="C5253" s="133"/>
    </row>
    <row r="5254" spans="1:3">
      <c r="A5254" s="131" t="s">
        <v>6549</v>
      </c>
      <c r="B5254" s="132">
        <v>2.2170500596985221E-4</v>
      </c>
      <c r="C5254" s="133"/>
    </row>
    <row r="5255" spans="1:3">
      <c r="A5255" s="131" t="s">
        <v>6550</v>
      </c>
      <c r="B5255" s="132">
        <v>4.4710378616936363E-3</v>
      </c>
      <c r="C5255" s="133"/>
    </row>
    <row r="5256" spans="1:3">
      <c r="A5256" s="131" t="s">
        <v>6551</v>
      </c>
      <c r="B5256" s="132">
        <v>6.7079671090423281E-4</v>
      </c>
      <c r="C5256" s="133"/>
    </row>
    <row r="5257" spans="1:3">
      <c r="A5257" s="131" t="s">
        <v>6552</v>
      </c>
      <c r="B5257" s="132">
        <v>5.6826754747201196E-4</v>
      </c>
      <c r="C5257" s="133"/>
    </row>
    <row r="5258" spans="1:3">
      <c r="A5258" s="131" t="s">
        <v>6553</v>
      </c>
      <c r="B5258" s="132">
        <v>9.3614100478589535E-4</v>
      </c>
      <c r="C5258" s="133"/>
    </row>
    <row r="5259" spans="1:3">
      <c r="A5259" s="131" t="s">
        <v>6554</v>
      </c>
      <c r="B5259" s="132">
        <v>8.3920247205128407E-5</v>
      </c>
      <c r="C5259" s="133"/>
    </row>
    <row r="5260" spans="1:3">
      <c r="A5260" s="131" t="s">
        <v>6555</v>
      </c>
      <c r="B5260" s="132">
        <v>1.8094266628290449E-2</v>
      </c>
      <c r="C5260" s="133"/>
    </row>
    <row r="5261" spans="1:3">
      <c r="A5261" s="131" t="s">
        <v>6556</v>
      </c>
      <c r="B5261" s="132">
        <v>2.8813711653204455E-5</v>
      </c>
      <c r="C5261" s="133"/>
    </row>
    <row r="5262" spans="1:3">
      <c r="A5262" s="131" t="s">
        <v>6557</v>
      </c>
      <c r="B5262" s="132">
        <v>3.1817864626646042E-2</v>
      </c>
      <c r="C5262" s="133"/>
    </row>
    <row r="5263" spans="1:3">
      <c r="A5263" s="131" t="s">
        <v>6558</v>
      </c>
      <c r="B5263" s="132">
        <v>2.4039998341861035E-4</v>
      </c>
      <c r="C5263" s="133"/>
    </row>
    <row r="5264" spans="1:3">
      <c r="A5264" s="131" t="s">
        <v>6559</v>
      </c>
      <c r="B5264" s="132">
        <v>2.21</v>
      </c>
      <c r="C5264" s="133"/>
    </row>
    <row r="5265" spans="1:3">
      <c r="A5265" s="131" t="s">
        <v>6560</v>
      </c>
      <c r="B5265" s="132">
        <v>1.9465999503154308E-4</v>
      </c>
      <c r="C5265" s="133"/>
    </row>
    <row r="5266" spans="1:3">
      <c r="A5266" s="131" t="s">
        <v>6561</v>
      </c>
      <c r="B5266" s="132">
        <v>13.803190639813531</v>
      </c>
      <c r="C5266" s="133"/>
    </row>
    <row r="5267" spans="1:3">
      <c r="A5267" s="131" t="s">
        <v>6562</v>
      </c>
      <c r="B5267" s="132">
        <v>1.4605563406888317E-2</v>
      </c>
      <c r="C5267" s="133"/>
    </row>
    <row r="5268" spans="1:3">
      <c r="A5268" s="131" t="s">
        <v>6563</v>
      </c>
      <c r="B5268" s="132">
        <v>2.7627398958429694E-4</v>
      </c>
      <c r="C5268" s="133"/>
    </row>
    <row r="5269" spans="1:3">
      <c r="A5269" s="131" t="s">
        <v>6564</v>
      </c>
      <c r="B5269" s="132">
        <v>1.8326092812340539E-4</v>
      </c>
      <c r="C5269" s="133"/>
    </row>
    <row r="5270" spans="1:3">
      <c r="A5270" s="131" t="s">
        <v>6565</v>
      </c>
      <c r="B5270" s="132">
        <v>5.6854691356420517E-3</v>
      </c>
      <c r="C5270" s="133"/>
    </row>
    <row r="5271" spans="1:3">
      <c r="A5271" s="131" t="s">
        <v>6566</v>
      </c>
      <c r="B5271" s="132">
        <v>5.9945999964838848E-5</v>
      </c>
      <c r="C5271" s="133"/>
    </row>
    <row r="5272" spans="1:3">
      <c r="A5272" s="131" t="s">
        <v>6567</v>
      </c>
      <c r="B5272" s="132">
        <v>1.6802540048956871E-3</v>
      </c>
      <c r="C5272" s="133"/>
    </row>
    <row r="5273" spans="1:3">
      <c r="A5273" s="131" t="s">
        <v>6568</v>
      </c>
      <c r="B5273" s="132">
        <v>19.190000000000001</v>
      </c>
      <c r="C5273" s="133"/>
    </row>
    <row r="5274" spans="1:3">
      <c r="A5274" s="131" t="s">
        <v>6569</v>
      </c>
      <c r="B5274" s="132">
        <v>6.8298190832138062E-2</v>
      </c>
      <c r="C5274" s="133"/>
    </row>
    <row r="5275" spans="1:3">
      <c r="A5275" s="131" t="s">
        <v>6570</v>
      </c>
      <c r="B5275" s="132">
        <v>8.1218604977771978E-3</v>
      </c>
      <c r="C5275" s="133"/>
    </row>
    <row r="5276" spans="1:3">
      <c r="A5276" s="131" t="s">
        <v>6571</v>
      </c>
      <c r="B5276" s="132">
        <v>9.3444999947678298E-5</v>
      </c>
      <c r="C5276" s="133"/>
    </row>
    <row r="5277" spans="1:3">
      <c r="A5277" s="131" t="s">
        <v>6572</v>
      </c>
      <c r="B5277" s="132">
        <v>2.8059302278486513E-5</v>
      </c>
      <c r="C5277" s="133"/>
    </row>
    <row r="5278" spans="1:3">
      <c r="A5278" s="131" t="s">
        <v>6573</v>
      </c>
      <c r="B5278" s="132">
        <v>6.0812199354543291E-3</v>
      </c>
      <c r="C5278" s="133"/>
    </row>
    <row r="5279" spans="1:3">
      <c r="A5279" s="131" t="s">
        <v>6574</v>
      </c>
      <c r="B5279" s="132">
        <v>5.8397202519699931E-4</v>
      </c>
      <c r="C5279" s="133"/>
    </row>
    <row r="5280" spans="1:3">
      <c r="A5280" s="131" t="s">
        <v>6575</v>
      </c>
      <c r="B5280" s="132">
        <v>4.732680333333333E-6</v>
      </c>
      <c r="C5280" s="133"/>
    </row>
    <row r="5281" spans="1:3">
      <c r="A5281" s="131" t="s">
        <v>6576</v>
      </c>
      <c r="B5281" s="132">
        <v>3.7999999591420419E-8</v>
      </c>
      <c r="C5281" s="133"/>
    </row>
    <row r="5282" spans="1:3">
      <c r="A5282" s="131" t="s">
        <v>6577</v>
      </c>
      <c r="B5282" s="132">
        <v>1.9475699809845537E-4</v>
      </c>
      <c r="C5282" s="133"/>
    </row>
    <row r="5283" spans="1:3">
      <c r="A5283" s="131" t="s">
        <v>6578</v>
      </c>
      <c r="B5283" s="132">
        <v>4.7112603950585918E-3</v>
      </c>
      <c r="C5283" s="133"/>
    </row>
    <row r="5284" spans="1:3">
      <c r="A5284" s="131" t="s">
        <v>6579</v>
      </c>
      <c r="B5284" s="132">
        <v>1.4921171524305662E-8</v>
      </c>
      <c r="C5284" s="133"/>
    </row>
    <row r="5285" spans="1:3">
      <c r="A5285" s="131" t="s">
        <v>6580</v>
      </c>
      <c r="B5285" s="132">
        <v>501.72</v>
      </c>
      <c r="C5285" s="133"/>
    </row>
    <row r="5286" spans="1:3">
      <c r="A5286" s="131" t="s">
        <v>6581</v>
      </c>
      <c r="B5286" s="132">
        <v>574.16</v>
      </c>
      <c r="C5286" s="133"/>
    </row>
    <row r="5287" spans="1:3">
      <c r="A5287" s="131" t="s">
        <v>6582</v>
      </c>
      <c r="B5287" s="132">
        <v>2.4000000209412065E-8</v>
      </c>
      <c r="C5287" s="133"/>
    </row>
    <row r="5288" spans="1:3">
      <c r="A5288" s="131" t="s">
        <v>6583</v>
      </c>
      <c r="B5288" s="132">
        <v>0.10648469257809032</v>
      </c>
      <c r="C5288" s="133"/>
    </row>
    <row r="5289" spans="1:3">
      <c r="A5289" s="131" t="s">
        <v>6584</v>
      </c>
      <c r="B5289" s="132">
        <v>4.7159067398822133E-4</v>
      </c>
      <c r="C5289" s="133"/>
    </row>
    <row r="5290" spans="1:3">
      <c r="A5290" s="131" t="s">
        <v>6585</v>
      </c>
      <c r="B5290" s="132">
        <v>3.3286090474575758E-3</v>
      </c>
      <c r="C5290" s="133"/>
    </row>
    <row r="5291" spans="1:3">
      <c r="A5291" s="131" t="s">
        <v>6586</v>
      </c>
      <c r="B5291" s="132">
        <v>1.2526911639999999E-5</v>
      </c>
      <c r="C5291" s="133"/>
    </row>
    <row r="5292" spans="1:3">
      <c r="A5292" s="131" t="s">
        <v>6587</v>
      </c>
      <c r="B5292" s="132">
        <v>1.569338389150993E-2</v>
      </c>
      <c r="C5292" s="133"/>
    </row>
    <row r="5293" spans="1:3">
      <c r="A5293" s="131" t="s">
        <v>6588</v>
      </c>
      <c r="B5293" s="132">
        <v>5.8274902403354645E-4</v>
      </c>
      <c r="C5293" s="133"/>
    </row>
    <row r="5294" spans="1:3">
      <c r="A5294" s="131" t="s">
        <v>6589</v>
      </c>
      <c r="B5294" s="132">
        <v>2.7368299197405577E-4</v>
      </c>
      <c r="C5294" s="133"/>
    </row>
    <row r="5295" spans="1:3">
      <c r="A5295" s="131" t="s">
        <v>6590</v>
      </c>
      <c r="B5295" s="132">
        <v>1.938659988809377E-4</v>
      </c>
      <c r="C5295" s="133"/>
    </row>
    <row r="5296" spans="1:3">
      <c r="A5296" s="131" t="s">
        <v>6591</v>
      </c>
      <c r="B5296" s="132">
        <v>1.9376208099555453E-2</v>
      </c>
      <c r="C5296" s="133"/>
    </row>
    <row r="5297" spans="1:3">
      <c r="A5297" s="131" t="s">
        <v>6592</v>
      </c>
      <c r="B5297" s="132">
        <v>2.2083999283495359E-5</v>
      </c>
      <c r="C5297" s="133"/>
    </row>
    <row r="5298" spans="1:3">
      <c r="A5298" s="131" t="s">
        <v>6593</v>
      </c>
      <c r="B5298" s="132">
        <v>6.1394771888022577E-5</v>
      </c>
      <c r="C5298" s="133"/>
    </row>
    <row r="5299" spans="1:3">
      <c r="A5299" s="131" t="s">
        <v>6594</v>
      </c>
      <c r="B5299" s="132">
        <v>4.400080069899559E-3</v>
      </c>
      <c r="C5299" s="133"/>
    </row>
    <row r="5300" spans="1:3">
      <c r="A5300" s="131" t="s">
        <v>6595</v>
      </c>
      <c r="B5300" s="132">
        <v>9.2544630169868469E-2</v>
      </c>
      <c r="C5300" s="133"/>
    </row>
    <row r="5301" spans="1:3">
      <c r="A5301" s="131" t="s">
        <v>6596</v>
      </c>
      <c r="B5301" s="132">
        <v>1.8056860426440835E-3</v>
      </c>
      <c r="C5301" s="133"/>
    </row>
    <row r="5302" spans="1:3">
      <c r="A5302" s="131" t="s">
        <v>6597</v>
      </c>
      <c r="B5302" s="132">
        <v>8.007999713299796E-5</v>
      </c>
      <c r="C5302" s="133"/>
    </row>
    <row r="5303" spans="1:3">
      <c r="A5303" s="131" t="s">
        <v>6598</v>
      </c>
      <c r="B5303" s="132">
        <v>8.4454901516437531E-3</v>
      </c>
      <c r="C5303" s="133"/>
    </row>
    <row r="5304" spans="1:3">
      <c r="A5304" s="131" t="s">
        <v>6599</v>
      </c>
      <c r="B5304" s="132">
        <v>2.0649999896704685E-6</v>
      </c>
      <c r="C5304" s="133"/>
    </row>
    <row r="5305" spans="1:3">
      <c r="A5305" s="131" t="s">
        <v>6600</v>
      </c>
      <c r="B5305" s="132">
        <v>5.7269097305834293E-4</v>
      </c>
      <c r="C5305" s="133"/>
    </row>
    <row r="5306" spans="1:3">
      <c r="A5306" s="131" t="s">
        <v>6601</v>
      </c>
      <c r="B5306" s="132">
        <v>2510.67</v>
      </c>
      <c r="C5306" s="133"/>
    </row>
    <row r="5307" spans="1:3">
      <c r="A5307" s="131" t="s">
        <v>6602</v>
      </c>
      <c r="B5307" s="132">
        <v>1.1213994760994344E-2</v>
      </c>
      <c r="C5307" s="133"/>
    </row>
    <row r="5308" spans="1:3">
      <c r="A5308" s="131" t="s">
        <v>6603</v>
      </c>
      <c r="B5308" s="132">
        <v>1.4510779874399304E-3</v>
      </c>
      <c r="C5308" s="133"/>
    </row>
    <row r="5309" spans="1:3">
      <c r="A5309" s="131" t="s">
        <v>6604</v>
      </c>
      <c r="B5309" s="132">
        <v>4.847029922530055E-4</v>
      </c>
      <c r="C5309" s="133"/>
    </row>
    <row r="5310" spans="1:3">
      <c r="A5310" s="131" t="s">
        <v>6605</v>
      </c>
      <c r="B5310" s="132">
        <v>6.7585301585495472E-3</v>
      </c>
      <c r="C5310" s="133"/>
    </row>
    <row r="5311" spans="1:3">
      <c r="A5311" s="131" t="s">
        <v>6606</v>
      </c>
      <c r="B5311" s="132">
        <v>3.9279399788938463E-4</v>
      </c>
      <c r="C5311" s="133"/>
    </row>
    <row r="5312" spans="1:3">
      <c r="A5312" s="131" t="s">
        <v>6607</v>
      </c>
      <c r="B5312" s="132">
        <v>0.75934936304060374</v>
      </c>
      <c r="C5312" s="133"/>
    </row>
    <row r="5313" spans="1:3">
      <c r="A5313" s="131" t="s">
        <v>6608</v>
      </c>
      <c r="B5313" s="132">
        <v>5.7000001163487468E-8</v>
      </c>
      <c r="C5313" s="133"/>
    </row>
    <row r="5314" spans="1:3">
      <c r="A5314" s="131" t="s">
        <v>6609</v>
      </c>
      <c r="B5314" s="132">
        <v>3.6003929355865507E-4</v>
      </c>
      <c r="C5314" s="133"/>
    </row>
    <row r="5315" spans="1:3">
      <c r="A5315" s="131" t="s">
        <v>6610</v>
      </c>
      <c r="B5315" s="132">
        <v>9.9990002127015032E-6</v>
      </c>
      <c r="C5315" s="133"/>
    </row>
    <row r="5316" spans="1:3">
      <c r="A5316" s="131" t="s">
        <v>6611</v>
      </c>
      <c r="B5316" s="132">
        <v>678.3</v>
      </c>
      <c r="C5316" s="133"/>
    </row>
    <row r="5317" spans="1:3">
      <c r="A5317" s="131" t="s">
        <v>6612</v>
      </c>
      <c r="B5317" s="132">
        <v>79.47</v>
      </c>
      <c r="C5317" s="133"/>
    </row>
    <row r="5318" spans="1:3">
      <c r="A5318" s="131" t="s">
        <v>6613</v>
      </c>
      <c r="B5318" s="132">
        <v>61.66</v>
      </c>
      <c r="C5318" s="133"/>
    </row>
    <row r="5319" spans="1:3">
      <c r="A5319" s="131" t="s">
        <v>6614</v>
      </c>
      <c r="B5319" s="132">
        <v>16.63</v>
      </c>
      <c r="C5319" s="133"/>
    </row>
    <row r="5320" spans="1:3">
      <c r="A5320" s="131" t="s">
        <v>6615</v>
      </c>
      <c r="B5320" s="132">
        <v>0.14343078434467316</v>
      </c>
      <c r="C5320" s="133"/>
    </row>
    <row r="5321" spans="1:3">
      <c r="A5321" s="131" t="s">
        <v>6616</v>
      </c>
      <c r="B5321" s="132">
        <v>4.9645649634540661</v>
      </c>
      <c r="C5321" s="133"/>
    </row>
    <row r="5322" spans="1:3">
      <c r="A5322" s="131" t="s">
        <v>6617</v>
      </c>
      <c r="B5322" s="132">
        <v>8.6038002336863428E-5</v>
      </c>
      <c r="C5322" s="133"/>
    </row>
    <row r="5323" spans="1:3">
      <c r="A5323" s="131" t="s">
        <v>6618</v>
      </c>
      <c r="B5323" s="132">
        <v>2.0012090053999995E-2</v>
      </c>
      <c r="C5323" s="133"/>
    </row>
    <row r="5324" spans="1:3">
      <c r="A5324" s="131" t="s">
        <v>6619</v>
      </c>
      <c r="B5324" s="132">
        <v>6.2997899949550629E-3</v>
      </c>
      <c r="C5324" s="133"/>
    </row>
    <row r="5325" spans="1:3">
      <c r="A5325" s="131" t="s">
        <v>6620</v>
      </c>
      <c r="B5325" s="132">
        <v>4.291060846298933E-3</v>
      </c>
      <c r="C5325" s="133"/>
    </row>
    <row r="5326" spans="1:3">
      <c r="A5326" s="131" t="s">
        <v>6621</v>
      </c>
      <c r="B5326" s="132">
        <v>2.5000000292152436E-8</v>
      </c>
      <c r="C5326" s="133"/>
    </row>
    <row r="5327" spans="1:3">
      <c r="A5327" s="131" t="s">
        <v>6622</v>
      </c>
      <c r="B5327" s="132">
        <v>1.8232797067653861E-5</v>
      </c>
      <c r="C5327" s="133"/>
    </row>
    <row r="5328" spans="1:3">
      <c r="A5328" s="131" t="s">
        <v>6623</v>
      </c>
      <c r="B5328" s="132">
        <v>7.1845002821646631E-5</v>
      </c>
      <c r="C5328" s="133"/>
    </row>
    <row r="5329" spans="1:3">
      <c r="A5329" s="131" t="s">
        <v>6624</v>
      </c>
      <c r="B5329" s="132">
        <v>1.4741688214057351E-5</v>
      </c>
      <c r="C5329" s="133"/>
    </row>
    <row r="5330" spans="1:3">
      <c r="A5330" s="131" t="s">
        <v>6625</v>
      </c>
      <c r="B5330" s="132">
        <v>4.411799818626605E-5</v>
      </c>
      <c r="C5330" s="133"/>
    </row>
    <row r="5331" spans="1:3">
      <c r="A5331" s="131" t="s">
        <v>6626</v>
      </c>
      <c r="B5331" s="132">
        <v>9.2029804363846779E-3</v>
      </c>
      <c r="C5331" s="133"/>
    </row>
    <row r="5332" spans="1:3">
      <c r="A5332" s="131" t="s">
        <v>6627</v>
      </c>
      <c r="B5332" s="132">
        <v>2.2871900000609457E-4</v>
      </c>
      <c r="C5332" s="133"/>
    </row>
    <row r="5333" spans="1:3">
      <c r="A5333" s="131" t="s">
        <v>6628</v>
      </c>
      <c r="B5333" s="132">
        <v>1.4076099614612758E-4</v>
      </c>
      <c r="C5333" s="133"/>
    </row>
    <row r="5334" spans="1:3">
      <c r="A5334" s="131" t="s">
        <v>6629</v>
      </c>
      <c r="B5334" s="132">
        <v>5.2421046336691298E-4</v>
      </c>
      <c r="C5334" s="133"/>
    </row>
    <row r="5335" spans="1:3">
      <c r="A5335" s="131" t="s">
        <v>6630</v>
      </c>
      <c r="B5335" s="132">
        <v>3.35000004270114E-5</v>
      </c>
      <c r="C5335" s="133"/>
    </row>
    <row r="5336" spans="1:3">
      <c r="A5336" s="131" t="s">
        <v>6631</v>
      </c>
      <c r="B5336" s="132">
        <v>2.2270000954449642E-6</v>
      </c>
      <c r="C5336" s="133"/>
    </row>
    <row r="5337" spans="1:3">
      <c r="A5337" s="131" t="s">
        <v>6632</v>
      </c>
      <c r="B5337" s="132">
        <v>2.6653899112716317E-4</v>
      </c>
      <c r="C5337" s="133"/>
    </row>
    <row r="5338" spans="1:3">
      <c r="A5338" s="131" t="s">
        <v>6633</v>
      </c>
      <c r="B5338" s="132">
        <v>1.6608790028840303E-3</v>
      </c>
      <c r="C5338" s="133"/>
    </row>
    <row r="5339" spans="1:3">
      <c r="A5339" s="131" t="s">
        <v>6634</v>
      </c>
      <c r="B5339" s="132">
        <v>2.9774021531307629E-4</v>
      </c>
      <c r="C5339" s="133"/>
    </row>
    <row r="5340" spans="1:3">
      <c r="A5340" s="131" t="s">
        <v>6635</v>
      </c>
      <c r="B5340" s="132">
        <v>6.1771828903127858E-4</v>
      </c>
      <c r="C5340" s="133"/>
    </row>
    <row r="5341" spans="1:3">
      <c r="A5341" s="131" t="s">
        <v>6636</v>
      </c>
      <c r="B5341" s="132">
        <v>2.5739327362293293E-4</v>
      </c>
      <c r="C5341" s="133"/>
    </row>
    <row r="5342" spans="1:3">
      <c r="A5342" s="131" t="s">
        <v>6637</v>
      </c>
      <c r="B5342" s="132">
        <v>8.8702101493254304E-4</v>
      </c>
      <c r="C5342" s="133"/>
    </row>
    <row r="5343" spans="1:3">
      <c r="A5343" s="131" t="s">
        <v>6638</v>
      </c>
      <c r="B5343" s="132">
        <v>3.8232500082813203E-4</v>
      </c>
      <c r="C5343" s="133"/>
    </row>
    <row r="5344" spans="1:3">
      <c r="A5344" s="131" t="s">
        <v>6639</v>
      </c>
      <c r="B5344" s="132">
        <v>1.0237989481538534E-3</v>
      </c>
      <c r="C5344" s="133"/>
    </row>
    <row r="5345" spans="1:3">
      <c r="A5345" s="131" t="s">
        <v>6640</v>
      </c>
      <c r="B5345" s="132">
        <v>0.76991438865661621</v>
      </c>
      <c r="C5345" s="133"/>
    </row>
    <row r="5346" spans="1:3">
      <c r="A5346" s="131" t="s">
        <v>6641</v>
      </c>
      <c r="B5346" s="132">
        <v>8.5159525567864776E-4</v>
      </c>
      <c r="C5346" s="133"/>
    </row>
    <row r="5347" spans="1:3">
      <c r="A5347" s="131" t="s">
        <v>6642</v>
      </c>
      <c r="B5347" s="132">
        <v>4.0805470096462625E-5</v>
      </c>
      <c r="C5347" s="133"/>
    </row>
    <row r="5348" spans="1:3">
      <c r="A5348" s="131" t="s">
        <v>6643</v>
      </c>
      <c r="B5348" s="132">
        <v>0.61771828903127857</v>
      </c>
      <c r="C5348" s="133"/>
    </row>
    <row r="5349" spans="1:3">
      <c r="A5349" s="131" t="s">
        <v>6644</v>
      </c>
      <c r="B5349" s="132">
        <v>0.65842407941818237</v>
      </c>
      <c r="C5349" s="133"/>
    </row>
    <row r="5350" spans="1:3">
      <c r="A5350" s="131" t="s">
        <v>6645</v>
      </c>
      <c r="B5350" s="132">
        <v>1.0437999662826769E-5</v>
      </c>
      <c r="C5350" s="133"/>
    </row>
    <row r="5351" spans="1:3">
      <c r="A5351" s="131" t="s">
        <v>6646</v>
      </c>
      <c r="B5351" s="132">
        <v>6.04900014877785E-6</v>
      </c>
      <c r="C5351" s="133"/>
    </row>
    <row r="5352" spans="1:3">
      <c r="A5352" s="131" t="s">
        <v>6647</v>
      </c>
      <c r="B5352" s="132">
        <v>2.0003333333333333E-4</v>
      </c>
      <c r="C5352" s="133"/>
    </row>
    <row r="5353" spans="1:3">
      <c r="A5353" s="131" t="s">
        <v>6648</v>
      </c>
      <c r="B5353" s="132">
        <v>1.4653799589723349E-3</v>
      </c>
      <c r="C5353" s="133"/>
    </row>
    <row r="5354" spans="1:3">
      <c r="A5354" s="131" t="s">
        <v>6649</v>
      </c>
      <c r="B5354" s="132">
        <v>1.6112034696012811E-4</v>
      </c>
      <c r="C5354" s="133"/>
    </row>
    <row r="5355" spans="1:3">
      <c r="A5355" s="131" t="s">
        <v>6650</v>
      </c>
      <c r="B5355" s="132">
        <v>0.34307742118835449</v>
      </c>
      <c r="C5355" s="133"/>
    </row>
    <row r="5356" spans="1:3">
      <c r="A5356" s="131" t="s">
        <v>6651</v>
      </c>
      <c r="B5356" s="132">
        <v>1.5456669498234987E-3</v>
      </c>
      <c r="C5356" s="133"/>
    </row>
    <row r="5357" spans="1:3">
      <c r="A5357" s="131" t="s">
        <v>6652</v>
      </c>
      <c r="B5357" s="132">
        <v>1.5372999769169837E-5</v>
      </c>
      <c r="C5357" s="133"/>
    </row>
    <row r="5358" spans="1:3">
      <c r="A5358" s="131" t="s">
        <v>6653</v>
      </c>
      <c r="B5358" s="132">
        <v>1.5475290128961205E-3</v>
      </c>
      <c r="C5358" s="133"/>
    </row>
    <row r="5359" spans="1:3">
      <c r="A5359" s="131" t="s">
        <v>6654</v>
      </c>
      <c r="B5359" s="132">
        <v>6.1771828903127859E-6</v>
      </c>
      <c r="C5359" s="133"/>
    </row>
    <row r="5360" spans="1:3">
      <c r="A5360" s="131" t="s">
        <v>6655</v>
      </c>
      <c r="B5360" s="132">
        <v>4.5765716582536697E-2</v>
      </c>
      <c r="C5360" s="133"/>
    </row>
    <row r="5361" spans="1:3">
      <c r="A5361" s="131" t="s">
        <v>6656</v>
      </c>
      <c r="B5361" s="132">
        <v>9.1997752392515892E-5</v>
      </c>
      <c r="C5361" s="133"/>
    </row>
    <row r="5362" spans="1:3">
      <c r="A5362" s="131" t="s">
        <v>6657</v>
      </c>
      <c r="B5362" s="132">
        <v>1.1374549940228462E-3</v>
      </c>
      <c r="C5362" s="133"/>
    </row>
    <row r="5363" spans="1:3">
      <c r="A5363" s="131" t="s">
        <v>3666</v>
      </c>
      <c r="B5363" s="132">
        <v>2.3860386804269069E-2</v>
      </c>
      <c r="C5363" s="133"/>
    </row>
    <row r="5364" spans="1:3">
      <c r="A5364" s="131" t="s">
        <v>3667</v>
      </c>
      <c r="B5364" s="132">
        <v>9.9313147366046906E-2</v>
      </c>
      <c r="C5364" s="133"/>
    </row>
    <row r="5365" spans="1:3">
      <c r="A5365" s="131" t="s">
        <v>3668</v>
      </c>
      <c r="B5365" s="132">
        <v>2.3817059118300676E-3</v>
      </c>
      <c r="C5365" s="133"/>
    </row>
    <row r="5366" spans="1:3">
      <c r="A5366" s="131" t="s">
        <v>3669</v>
      </c>
      <c r="B5366" s="132">
        <v>2.3582800349686295E-4</v>
      </c>
      <c r="C5366" s="133"/>
    </row>
    <row r="5367" spans="1:3">
      <c r="A5367" s="131" t="s">
        <v>3670</v>
      </c>
      <c r="B5367" s="132">
        <v>7.2404996899422258E-5</v>
      </c>
      <c r="C5367" s="133"/>
    </row>
    <row r="5368" spans="1:3">
      <c r="A5368" s="131" t="s">
        <v>3671</v>
      </c>
      <c r="B5368" s="132">
        <v>5.8383500436320901E-4</v>
      </c>
      <c r="C5368" s="133"/>
    </row>
    <row r="5369" spans="1:3">
      <c r="A5369" s="131" t="s">
        <v>3672</v>
      </c>
      <c r="B5369" s="132">
        <v>7.82626320395278E-3</v>
      </c>
      <c r="C5369" s="133"/>
    </row>
    <row r="5370" spans="1:3">
      <c r="A5370" s="131" t="s">
        <v>3673</v>
      </c>
      <c r="B5370" s="132">
        <v>1.1015271923333332E-3</v>
      </c>
      <c r="C5370" s="133"/>
    </row>
    <row r="5371" spans="1:3">
      <c r="A5371" s="131" t="s">
        <v>3674</v>
      </c>
      <c r="B5371" s="132">
        <v>1.1634186841547489E-2</v>
      </c>
      <c r="C5371" s="133"/>
    </row>
    <row r="5372" spans="1:3">
      <c r="A5372" s="131" t="s">
        <v>3675</v>
      </c>
      <c r="B5372" s="132">
        <v>1.5456993375427099</v>
      </c>
      <c r="C5372" s="133"/>
    </row>
    <row r="5373" spans="1:3">
      <c r="A5373" s="131" t="s">
        <v>3676</v>
      </c>
      <c r="B5373" s="132">
        <v>1.9074705957500224E-6</v>
      </c>
      <c r="C5373" s="133"/>
    </row>
    <row r="5374" spans="1:3">
      <c r="A5374" s="131" t="s">
        <v>3677</v>
      </c>
      <c r="B5374" s="132">
        <v>9.0492164964972002</v>
      </c>
      <c r="C5374" s="133"/>
    </row>
    <row r="5375" spans="1:3">
      <c r="A5375" s="131" t="s">
        <v>3678</v>
      </c>
      <c r="B5375" s="132">
        <v>1.1325319302327821E-2</v>
      </c>
      <c r="C5375" s="133"/>
    </row>
    <row r="5376" spans="1:3">
      <c r="A5376" s="131" t="s">
        <v>3679</v>
      </c>
      <c r="B5376" s="132">
        <v>2.1012599999999833E-2</v>
      </c>
      <c r="C5376" s="133"/>
    </row>
    <row r="5377" spans="1:3">
      <c r="A5377" s="131" t="s">
        <v>3680</v>
      </c>
      <c r="B5377" s="132">
        <v>2.6563155853060499E-2</v>
      </c>
      <c r="C5377" s="133"/>
    </row>
    <row r="5378" spans="1:3">
      <c r="A5378" s="131" t="s">
        <v>3681</v>
      </c>
      <c r="B5378" s="132">
        <v>1.223219568512205E-3</v>
      </c>
      <c r="C5378" s="133"/>
    </row>
    <row r="5379" spans="1:3">
      <c r="A5379" s="131" t="s">
        <v>3682</v>
      </c>
      <c r="B5379" s="132">
        <v>1058.25</v>
      </c>
      <c r="C5379" s="133"/>
    </row>
    <row r="5380" spans="1:3">
      <c r="A5380" s="131" t="s">
        <v>3683</v>
      </c>
      <c r="B5380" s="132">
        <v>3.0748700373806059E-4</v>
      </c>
      <c r="C5380" s="133"/>
    </row>
    <row r="5381" spans="1:3">
      <c r="A5381" s="131" t="s">
        <v>3684</v>
      </c>
      <c r="B5381" s="132">
        <v>5.8648397680372E-4</v>
      </c>
      <c r="C5381" s="133"/>
    </row>
    <row r="5382" spans="1:3">
      <c r="A5382" s="131" t="s">
        <v>3685</v>
      </c>
      <c r="B5382" s="132">
        <v>4.6485998609568924E-5</v>
      </c>
      <c r="C5382" s="133"/>
    </row>
    <row r="5383" spans="1:3">
      <c r="A5383" s="131" t="s">
        <v>3686</v>
      </c>
      <c r="B5383" s="132">
        <v>5.9981485199954977E-2</v>
      </c>
      <c r="C5383" s="133"/>
    </row>
    <row r="5384" spans="1:3">
      <c r="A5384" s="131" t="s">
        <v>3687</v>
      </c>
      <c r="B5384" s="132">
        <v>1.8215656249245686</v>
      </c>
      <c r="C5384" s="133"/>
    </row>
    <row r="5385" spans="1:3">
      <c r="A5385" s="131" t="s">
        <v>3688</v>
      </c>
      <c r="B5385" s="132">
        <v>4.2857347592473271E-5</v>
      </c>
      <c r="C5385" s="133"/>
    </row>
    <row r="5386" spans="1:3">
      <c r="A5386" s="131" t="s">
        <v>3689</v>
      </c>
      <c r="B5386" s="132">
        <v>2.6999998681276338E-7</v>
      </c>
      <c r="C5386" s="133"/>
    </row>
    <row r="5387" spans="1:3">
      <c r="A5387" s="131" t="s">
        <v>3690</v>
      </c>
      <c r="B5387" s="132">
        <v>6.2331150000000405E-6</v>
      </c>
      <c r="C5387" s="133"/>
    </row>
    <row r="5388" spans="1:3">
      <c r="A5388" s="131" t="s">
        <v>3691</v>
      </c>
      <c r="B5388" s="132">
        <v>2.0654385199999999E-4</v>
      </c>
      <c r="C5388" s="133"/>
    </row>
    <row r="5389" spans="1:3">
      <c r="A5389" s="131" t="s">
        <v>3692</v>
      </c>
      <c r="B5389" s="132">
        <v>1.8731299496721476E-4</v>
      </c>
      <c r="C5389" s="133"/>
    </row>
    <row r="5390" spans="1:3">
      <c r="A5390" s="131" t="s">
        <v>3693</v>
      </c>
      <c r="B5390" s="132">
        <v>0.16177566349506378</v>
      </c>
      <c r="C5390" s="133"/>
    </row>
    <row r="5391" spans="1:3">
      <c r="A5391" s="131" t="s">
        <v>3694</v>
      </c>
      <c r="B5391" s="132">
        <v>2.6699999011725595E-7</v>
      </c>
      <c r="C5391" s="133"/>
    </row>
    <row r="5392" spans="1:3">
      <c r="A5392" s="131" t="s">
        <v>3695</v>
      </c>
      <c r="B5392" s="132">
        <v>1.1535440571606159E-3</v>
      </c>
      <c r="C5392" s="133"/>
    </row>
    <row r="5393" spans="1:3">
      <c r="A5393" s="131" t="s">
        <v>3696</v>
      </c>
      <c r="B5393" s="132">
        <v>9.9999999392252903E-9</v>
      </c>
      <c r="C5393" s="133"/>
    </row>
    <row r="5394" spans="1:3">
      <c r="A5394" s="131" t="s">
        <v>3697</v>
      </c>
      <c r="B5394" s="132">
        <v>6.6025997512042522E-5</v>
      </c>
      <c r="C5394" s="133"/>
    </row>
    <row r="5395" spans="1:3">
      <c r="A5395" s="131" t="s">
        <v>3698</v>
      </c>
      <c r="B5395" s="132">
        <v>5.4872647649894773E-5</v>
      </c>
      <c r="C5395" s="133"/>
    </row>
    <row r="5396" spans="1:3">
      <c r="A5396" s="131" t="s">
        <v>3699</v>
      </c>
      <c r="B5396" s="132">
        <v>4.7784700291231275E-4</v>
      </c>
      <c r="C5396" s="133"/>
    </row>
    <row r="5397" spans="1:3">
      <c r="A5397" s="131" t="s">
        <v>3700</v>
      </c>
      <c r="B5397" s="132">
        <v>3.6571451293345588E-3</v>
      </c>
      <c r="C5397" s="133"/>
    </row>
    <row r="5398" spans="1:3">
      <c r="A5398" s="131" t="s">
        <v>3701</v>
      </c>
      <c r="B5398" s="132">
        <v>2.075765049085021E-3</v>
      </c>
      <c r="C5398" s="133"/>
    </row>
    <row r="5399" spans="1:3">
      <c r="A5399" s="131" t="s">
        <v>3702</v>
      </c>
      <c r="B5399" s="132">
        <v>0.34634655714035034</v>
      </c>
      <c r="C5399" s="133"/>
    </row>
    <row r="5400" spans="1:3">
      <c r="A5400" s="131" t="s">
        <v>3703</v>
      </c>
      <c r="B5400" s="132">
        <v>6.2406692122841934E-4</v>
      </c>
      <c r="C5400" s="133"/>
    </row>
    <row r="5401" spans="1:3">
      <c r="A5401" s="131" t="s">
        <v>3704</v>
      </c>
      <c r="B5401" s="132">
        <v>0.34210513999999986</v>
      </c>
      <c r="C5401" s="133"/>
    </row>
    <row r="5402" spans="1:3">
      <c r="A5402" s="131" t="s">
        <v>3705</v>
      </c>
      <c r="B5402" s="132">
        <v>6.6344597144052386E-4</v>
      </c>
      <c r="C5402" s="133"/>
    </row>
    <row r="5403" spans="1:3">
      <c r="A5403" s="131" t="s">
        <v>3706</v>
      </c>
      <c r="B5403" s="132">
        <v>7.9999997979030013E-5</v>
      </c>
      <c r="C5403" s="133"/>
    </row>
    <row r="5404" spans="1:3">
      <c r="A5404" s="131" t="s">
        <v>3707</v>
      </c>
      <c r="B5404" s="132">
        <v>1.7531840801239014</v>
      </c>
      <c r="C5404" s="133"/>
    </row>
    <row r="5405" spans="1:3">
      <c r="A5405" s="131" t="s">
        <v>3708</v>
      </c>
      <c r="B5405" s="132">
        <v>3.899999967416079E-8</v>
      </c>
      <c r="C5405" s="133"/>
    </row>
    <row r="5406" spans="1:3">
      <c r="A5406" s="131" t="s">
        <v>3709</v>
      </c>
      <c r="B5406" s="132">
        <v>352.58</v>
      </c>
      <c r="C5406" s="133"/>
    </row>
    <row r="5407" spans="1:3">
      <c r="A5407" s="131" t="s">
        <v>3710</v>
      </c>
      <c r="B5407" s="132">
        <v>1.2002000403299462E-5</v>
      </c>
      <c r="C5407" s="133"/>
    </row>
    <row r="5408" spans="1:3">
      <c r="A5408" s="131" t="s">
        <v>3711</v>
      </c>
      <c r="B5408" s="132">
        <v>9.7284297225996852E-4</v>
      </c>
      <c r="C5408" s="133"/>
    </row>
    <row r="5409" spans="1:3">
      <c r="A5409" s="131" t="s">
        <v>3712</v>
      </c>
      <c r="B5409" s="132">
        <v>1.0595856234431267E-2</v>
      </c>
      <c r="C5409" s="133"/>
    </row>
    <row r="5410" spans="1:3">
      <c r="A5410" s="131" t="s">
        <v>3713</v>
      </c>
      <c r="B5410" s="132">
        <v>9.1188296675682068E-2</v>
      </c>
      <c r="C5410" s="133"/>
    </row>
    <row r="5411" spans="1:3">
      <c r="A5411" s="131" t="s">
        <v>3714</v>
      </c>
      <c r="B5411" s="132">
        <v>3.0000001061125658E-6</v>
      </c>
      <c r="C5411" s="133"/>
    </row>
    <row r="5412" spans="1:3">
      <c r="A5412" s="131" t="s">
        <v>3715</v>
      </c>
      <c r="B5412" s="132">
        <v>1.8017710121450649E-3</v>
      </c>
      <c r="C5412" s="133"/>
    </row>
    <row r="5413" spans="1:3">
      <c r="A5413" s="131" t="s">
        <v>3716</v>
      </c>
      <c r="B5413" s="132">
        <v>0.19047642274190918</v>
      </c>
      <c r="C5413" s="133"/>
    </row>
    <row r="5414" spans="1:3">
      <c r="A5414" s="131" t="s">
        <v>3717</v>
      </c>
      <c r="B5414" s="132">
        <v>4.8909069020565835E-3</v>
      </c>
      <c r="C5414" s="133"/>
    </row>
    <row r="5415" spans="1:3">
      <c r="A5415" s="131" t="s">
        <v>3718</v>
      </c>
      <c r="B5415" s="132">
        <v>7.1885835942478039E-3</v>
      </c>
      <c r="C5415" s="133"/>
    </row>
    <row r="5416" spans="1:3">
      <c r="A5416" s="131" t="s">
        <v>3719</v>
      </c>
      <c r="B5416" s="132">
        <v>7.8939436293116408E-2</v>
      </c>
      <c r="C5416" s="133"/>
    </row>
    <row r="5417" spans="1:3">
      <c r="A5417" s="131" t="s">
        <v>3720</v>
      </c>
      <c r="B5417" s="132">
        <v>3.0006099999999999E-3</v>
      </c>
      <c r="C5417" s="133"/>
    </row>
    <row r="5418" spans="1:3">
      <c r="A5418" s="131" t="s">
        <v>3721</v>
      </c>
      <c r="B5418" s="132">
        <v>1.3243099999999999E-4</v>
      </c>
      <c r="C5418" s="133"/>
    </row>
    <row r="5419" spans="1:3">
      <c r="A5419" s="131" t="s">
        <v>3722</v>
      </c>
      <c r="B5419" s="132">
        <v>5.1394068507240126E-5</v>
      </c>
      <c r="C5419" s="133"/>
    </row>
    <row r="5420" spans="1:3">
      <c r="A5420" s="131" t="s">
        <v>3723</v>
      </c>
      <c r="B5420" s="132">
        <v>5.253590177744627E-3</v>
      </c>
      <c r="C5420" s="133"/>
    </row>
    <row r="5421" spans="1:3">
      <c r="A5421" s="131" t="s">
        <v>3724</v>
      </c>
      <c r="B5421" s="132">
        <v>5.7173387211737828E-2</v>
      </c>
      <c r="C5421" s="133"/>
    </row>
    <row r="5422" spans="1:3">
      <c r="A5422" s="131" t="s">
        <v>3725</v>
      </c>
      <c r="B5422" s="132">
        <v>1.0005333333333332E-3</v>
      </c>
      <c r="C5422" s="133"/>
    </row>
    <row r="5423" spans="1:3">
      <c r="A5423" s="131" t="s">
        <v>3726</v>
      </c>
      <c r="B5423" s="132">
        <v>0.50620354000001033</v>
      </c>
      <c r="C5423" s="133"/>
    </row>
    <row r="5424" spans="1:3">
      <c r="A5424" s="131" t="s">
        <v>3727</v>
      </c>
      <c r="B5424" s="132">
        <v>18.989999999999998</v>
      </c>
      <c r="C5424" s="133"/>
    </row>
    <row r="5425" spans="1:3">
      <c r="A5425" s="131" t="s">
        <v>3728</v>
      </c>
      <c r="B5425" s="132">
        <v>5.8097002329304814E-4</v>
      </c>
      <c r="C5425" s="133"/>
    </row>
    <row r="5426" spans="1:3">
      <c r="A5426" s="131" t="s">
        <v>3729</v>
      </c>
      <c r="B5426" s="132">
        <v>2.9650477873501366E-2</v>
      </c>
      <c r="C5426" s="133"/>
    </row>
    <row r="5427" spans="1:3">
      <c r="A5427" s="131" t="s">
        <v>3730</v>
      </c>
      <c r="B5427" s="132">
        <v>4.3000000005122274E-6</v>
      </c>
      <c r="C5427" s="133"/>
    </row>
    <row r="5428" spans="1:3">
      <c r="A5428" s="131" t="s">
        <v>3731</v>
      </c>
      <c r="B5428" s="132">
        <v>2.9516716666666665E-5</v>
      </c>
      <c r="C5428" s="133"/>
    </row>
    <row r="5429" spans="1:3">
      <c r="A5429" s="131" t="s">
        <v>3732</v>
      </c>
      <c r="B5429" s="132">
        <v>7.0005997258704156E-5</v>
      </c>
      <c r="C5429" s="133"/>
    </row>
    <row r="5430" spans="1:3">
      <c r="A5430" s="131" t="s">
        <v>3733</v>
      </c>
      <c r="B5430" s="132">
        <v>3.9185625437201929E-2</v>
      </c>
      <c r="C5430" s="133"/>
    </row>
    <row r="5431" spans="1:3">
      <c r="A5431" s="131" t="s">
        <v>3734</v>
      </c>
      <c r="B5431" s="132">
        <v>4.8182026544439732E-2</v>
      </c>
      <c r="C5431" s="133"/>
    </row>
    <row r="5432" spans="1:3">
      <c r="A5432" s="131" t="s">
        <v>3735</v>
      </c>
      <c r="B5432" s="132">
        <v>488.08</v>
      </c>
      <c r="C5432" s="133"/>
    </row>
    <row r="5433" spans="1:3">
      <c r="A5433" s="134" t="s">
        <v>3736</v>
      </c>
      <c r="B5433" s="132">
        <v>0.18615147644861721</v>
      </c>
      <c r="C5433" s="133"/>
    </row>
    <row r="5434" spans="1:3">
      <c r="A5434" s="131" t="s">
        <v>3737</v>
      </c>
      <c r="B5434" s="132">
        <v>0.13904058786025889</v>
      </c>
      <c r="C5434" s="133"/>
    </row>
    <row r="5435" spans="1:3">
      <c r="A5435" s="131" t="s">
        <v>3738</v>
      </c>
      <c r="B5435" s="132">
        <v>2.0458910848329355E-7</v>
      </c>
      <c r="C5435" s="133"/>
    </row>
    <row r="5436" spans="1:3">
      <c r="A5436" s="131" t="s">
        <v>3739</v>
      </c>
      <c r="B5436" s="132">
        <v>1.4861721432455129E-3</v>
      </c>
      <c r="C5436" s="133"/>
    </row>
    <row r="5437" spans="1:3">
      <c r="A5437" s="131" t="s">
        <v>3740</v>
      </c>
      <c r="B5437" s="132">
        <v>4.2705435768981357E-5</v>
      </c>
      <c r="C5437" s="133"/>
    </row>
    <row r="5438" spans="1:3">
      <c r="A5438" s="131" t="s">
        <v>3741</v>
      </c>
      <c r="B5438" s="132">
        <v>3.7957098376879654E-2</v>
      </c>
      <c r="C5438" s="133"/>
    </row>
    <row r="5439" spans="1:3">
      <c r="A5439" s="131" t="s">
        <v>3742</v>
      </c>
      <c r="B5439" s="132">
        <v>0.17146508974894861</v>
      </c>
      <c r="C5439" s="133"/>
    </row>
    <row r="5440" spans="1:3">
      <c r="A5440" s="131" t="s">
        <v>3743</v>
      </c>
      <c r="B5440" s="132">
        <v>8.1046000056669721E-3</v>
      </c>
      <c r="C5440" s="133"/>
    </row>
    <row r="5441" spans="1:3">
      <c r="A5441" s="131" t="s">
        <v>3744</v>
      </c>
      <c r="B5441" s="132">
        <v>1.4237788651663285E-2</v>
      </c>
      <c r="C5441" s="133"/>
    </row>
    <row r="5442" spans="1:3">
      <c r="A5442" s="131" t="s">
        <v>3745</v>
      </c>
      <c r="B5442" s="132">
        <v>57.610633725084497</v>
      </c>
      <c r="C5442" s="133"/>
    </row>
    <row r="5443" spans="1:3">
      <c r="A5443" s="131" t="s">
        <v>3746</v>
      </c>
      <c r="B5443" s="132">
        <v>2.7605412801516151E-2</v>
      </c>
      <c r="C5443" s="133"/>
    </row>
    <row r="5444" spans="1:3">
      <c r="A5444" s="131" t="s">
        <v>3747</v>
      </c>
      <c r="B5444" s="132">
        <v>4.0075400816764442E-4</v>
      </c>
      <c r="C5444" s="133"/>
    </row>
    <row r="5445" spans="1:3">
      <c r="A5445" s="131" t="s">
        <v>3748</v>
      </c>
      <c r="B5445" s="132">
        <v>1.4188939472290224E-2</v>
      </c>
      <c r="C5445" s="133"/>
    </row>
    <row r="5446" spans="1:3">
      <c r="A5446" s="131" t="s">
        <v>3749</v>
      </c>
      <c r="B5446" s="132">
        <v>1.7805015526742261E-3</v>
      </c>
      <c r="C5446" s="133"/>
    </row>
    <row r="5447" spans="1:3">
      <c r="A5447" s="131" t="s">
        <v>3750</v>
      </c>
      <c r="B5447" s="132">
        <v>4.9352832947096147E-3</v>
      </c>
      <c r="C5447" s="133"/>
    </row>
    <row r="5448" spans="1:3">
      <c r="A5448" s="131" t="s">
        <v>3751</v>
      </c>
      <c r="B5448" s="132">
        <v>8431.83</v>
      </c>
      <c r="C5448" s="133"/>
    </row>
    <row r="5449" spans="1:3">
      <c r="A5449" s="131" t="s">
        <v>3752</v>
      </c>
      <c r="B5449" s="132">
        <v>4.53</v>
      </c>
      <c r="C5449" s="133"/>
    </row>
    <row r="5450" spans="1:3">
      <c r="A5450" s="131" t="s">
        <v>3753</v>
      </c>
      <c r="B5450" s="132">
        <v>0.58783729338009816</v>
      </c>
      <c r="C5450" s="133"/>
    </row>
    <row r="5451" spans="1:3">
      <c r="A5451" s="131" t="s">
        <v>3754</v>
      </c>
      <c r="B5451" s="132">
        <v>1.6074088268906061E-2</v>
      </c>
      <c r="C5451" s="133"/>
    </row>
    <row r="5452" spans="1:3">
      <c r="A5452" s="131" t="s">
        <v>3755</v>
      </c>
      <c r="B5452" s="132">
        <v>0.55995941162109375</v>
      </c>
      <c r="C5452" s="133"/>
    </row>
    <row r="5453" spans="1:3">
      <c r="A5453" s="131" t="s">
        <v>3756</v>
      </c>
      <c r="B5453" s="132">
        <v>9.1488361793684615E-3</v>
      </c>
      <c r="C5453" s="133"/>
    </row>
    <row r="5454" spans="1:3">
      <c r="A5454" s="131" t="s">
        <v>3757</v>
      </c>
      <c r="B5454" s="132">
        <v>1.1647009523585439E-3</v>
      </c>
      <c r="C5454" s="133"/>
    </row>
    <row r="5455" spans="1:3">
      <c r="A5455" s="131" t="s">
        <v>3758</v>
      </c>
      <c r="B5455" s="132">
        <v>1.2223439088262966E-2</v>
      </c>
      <c r="C5455" s="133"/>
    </row>
    <row r="5456" spans="1:3">
      <c r="A5456" s="131" t="s">
        <v>3759</v>
      </c>
      <c r="B5456" s="132">
        <v>1.0005333333333334E-5</v>
      </c>
      <c r="C5456" s="133"/>
    </row>
    <row r="5457" spans="1:3">
      <c r="A5457" s="131" t="s">
        <v>3760</v>
      </c>
      <c r="B5457" s="132">
        <v>0.13095767720835849</v>
      </c>
      <c r="C5457" s="133"/>
    </row>
    <row r="5458" spans="1:3">
      <c r="A5458" s="131" t="s">
        <v>3761</v>
      </c>
      <c r="B5458" s="132">
        <v>9.2053099069744349E-4</v>
      </c>
      <c r="C5458" s="133"/>
    </row>
    <row r="5459" spans="1:3">
      <c r="A5459" s="131" t="s">
        <v>3762</v>
      </c>
      <c r="B5459" s="132">
        <v>1.3023399515077472E-3</v>
      </c>
      <c r="C5459" s="133"/>
    </row>
    <row r="5460" spans="1:3">
      <c r="A5460" s="131" t="s">
        <v>3763</v>
      </c>
      <c r="B5460" s="132">
        <v>5.2107810042798519E-3</v>
      </c>
      <c r="C5460" s="133"/>
    </row>
    <row r="5461" spans="1:3">
      <c r="A5461" s="131" t="s">
        <v>3764</v>
      </c>
      <c r="B5461" s="132">
        <v>0.22220426500000001</v>
      </c>
      <c r="C5461" s="133"/>
    </row>
    <row r="5462" spans="1:3">
      <c r="A5462" s="131" t="s">
        <v>3765</v>
      </c>
      <c r="B5462" s="132">
        <v>1.2807163980279062</v>
      </c>
      <c r="C5462" s="133"/>
    </row>
    <row r="5463" spans="1:3">
      <c r="A5463" s="131" t="s">
        <v>3766</v>
      </c>
      <c r="B5463" s="132">
        <v>5.5365021124749187E-3</v>
      </c>
      <c r="C5463" s="133"/>
    </row>
    <row r="5464" spans="1:3">
      <c r="A5464" s="131" t="s">
        <v>3767</v>
      </c>
      <c r="B5464" s="132">
        <v>6.748000032530399E-6</v>
      </c>
      <c r="C5464" s="133"/>
    </row>
    <row r="5465" spans="1:3">
      <c r="A5465" s="131" t="s">
        <v>3768</v>
      </c>
      <c r="B5465" s="132">
        <v>1.9270000848337077E-6</v>
      </c>
      <c r="C5465" s="133"/>
    </row>
    <row r="5466" spans="1:3">
      <c r="A5466" s="131" t="s">
        <v>3769</v>
      </c>
      <c r="B5466" s="132">
        <v>0.4577486515045166</v>
      </c>
      <c r="C5466" s="133"/>
    </row>
    <row r="5467" spans="1:3">
      <c r="A5467" s="131" t="s">
        <v>3770</v>
      </c>
      <c r="B5467" s="132">
        <v>6.1064843936169751E-4</v>
      </c>
      <c r="C5467" s="133"/>
    </row>
    <row r="5468" spans="1:3">
      <c r="A5468" s="131" t="s">
        <v>3771</v>
      </c>
      <c r="B5468" s="132">
        <v>7.7721499837934971E-3</v>
      </c>
      <c r="C5468" s="133"/>
    </row>
    <row r="5469" spans="1:3">
      <c r="A5469" s="131" t="s">
        <v>3772</v>
      </c>
      <c r="B5469" s="132">
        <v>9.9561039894604294E-5</v>
      </c>
      <c r="C5469" s="133"/>
    </row>
    <row r="5470" spans="1:3">
      <c r="A5470" s="131" t="s">
        <v>3773</v>
      </c>
      <c r="B5470" s="132">
        <v>5.2896534923505996E-3</v>
      </c>
      <c r="C5470" s="133"/>
    </row>
    <row r="5471" spans="1:3">
      <c r="A5471" s="131" t="s">
        <v>3774</v>
      </c>
      <c r="B5471" s="132">
        <v>3.4505186843194868E-2</v>
      </c>
      <c r="C5471" s="133"/>
    </row>
    <row r="5472" spans="1:3">
      <c r="A5472" s="131" t="s">
        <v>3775</v>
      </c>
      <c r="B5472" s="132">
        <v>2.6400000000000001E-6</v>
      </c>
      <c r="C5472" s="133"/>
    </row>
    <row r="5473" spans="1:3">
      <c r="A5473" s="131" t="s">
        <v>3776</v>
      </c>
      <c r="B5473" s="132">
        <v>0.30078520969532735</v>
      </c>
      <c r="C5473" s="133"/>
    </row>
    <row r="5474" spans="1:3">
      <c r="A5474" s="131" t="s">
        <v>3777</v>
      </c>
      <c r="B5474" s="132">
        <v>9.0050849914999995E-2</v>
      </c>
      <c r="C5474" s="133"/>
    </row>
    <row r="5475" spans="1:3">
      <c r="A5475" s="131" t="s">
        <v>3778</v>
      </c>
      <c r="B5475" s="132">
        <v>5.7230506666666667E-2</v>
      </c>
      <c r="C5475" s="133"/>
    </row>
    <row r="5476" spans="1:3">
      <c r="A5476" s="131" t="s">
        <v>3779</v>
      </c>
      <c r="B5476" s="132">
        <v>3.62</v>
      </c>
      <c r="C5476" s="133"/>
    </row>
    <row r="5477" spans="1:3">
      <c r="A5477" s="131" t="s">
        <v>3780</v>
      </c>
      <c r="B5477" s="132">
        <v>2.4833398916690775E-7</v>
      </c>
      <c r="C5477" s="133"/>
    </row>
    <row r="5478" spans="1:3">
      <c r="A5478" s="131" t="s">
        <v>3781</v>
      </c>
      <c r="B5478" s="132">
        <v>6.2666540034115314E-3</v>
      </c>
      <c r="C5478" s="133"/>
    </row>
    <row r="5479" spans="1:3">
      <c r="A5479" s="131" t="s">
        <v>3782</v>
      </c>
      <c r="B5479" s="132">
        <v>0.16021594700540637</v>
      </c>
      <c r="C5479" s="133"/>
    </row>
    <row r="5480" spans="1:3">
      <c r="A5480" s="131" t="s">
        <v>3783</v>
      </c>
      <c r="B5480" s="132">
        <v>8.522010175511241E-4</v>
      </c>
      <c r="C5480" s="133"/>
    </row>
    <row r="5481" spans="1:3">
      <c r="A5481" s="131" t="s">
        <v>3784</v>
      </c>
      <c r="B5481" s="132">
        <v>4.3655311790862607E-5</v>
      </c>
      <c r="C5481" s="133"/>
    </row>
    <row r="5482" spans="1:3">
      <c r="A5482" s="131" t="s">
        <v>3785</v>
      </c>
      <c r="B5482" s="132">
        <v>1.1564498462109347E-4</v>
      </c>
      <c r="C5482" s="133"/>
    </row>
    <row r="5483" spans="1:3">
      <c r="A5483" s="131" t="s">
        <v>3786</v>
      </c>
      <c r="B5483" s="132">
        <v>1.8042949959635735E-3</v>
      </c>
      <c r="C5483" s="133"/>
    </row>
    <row r="5484" spans="1:3">
      <c r="A5484" s="131" t="s">
        <v>3787</v>
      </c>
      <c r="B5484" s="132">
        <v>0.16489395999896</v>
      </c>
      <c r="C5484" s="133"/>
    </row>
    <row r="5485" spans="1:3">
      <c r="A5485" s="131" t="s">
        <v>3788</v>
      </c>
      <c r="B5485" s="132">
        <v>6.1879313529122019E-3</v>
      </c>
      <c r="C5485" s="133"/>
    </row>
    <row r="5486" spans="1:3">
      <c r="A5486" s="131" t="s">
        <v>3789</v>
      </c>
      <c r="B5486" s="132">
        <v>0.33519059419631958</v>
      </c>
      <c r="C5486" s="133"/>
    </row>
    <row r="5487" spans="1:3">
      <c r="A5487" s="131" t="s">
        <v>3790</v>
      </c>
      <c r="B5487" s="132">
        <v>1.0966193783005411</v>
      </c>
      <c r="C5487" s="133"/>
    </row>
    <row r="5488" spans="1:3">
      <c r="A5488" s="131" t="s">
        <v>3791</v>
      </c>
      <c r="B5488" s="132">
        <v>1.0191685799810886</v>
      </c>
      <c r="C5488" s="133"/>
    </row>
    <row r="5489" spans="1:3">
      <c r="A5489" s="131" t="s">
        <v>3792</v>
      </c>
      <c r="B5489" s="132">
        <v>8.0683029492388619E-2</v>
      </c>
      <c r="C5489" s="133"/>
    </row>
    <row r="5490" spans="1:3">
      <c r="A5490" s="131" t="s">
        <v>3793</v>
      </c>
      <c r="B5490" s="132">
        <v>362.14140472647</v>
      </c>
      <c r="C5490" s="133"/>
    </row>
    <row r="5491" spans="1:3">
      <c r="A5491" s="131" t="s">
        <v>3794</v>
      </c>
      <c r="B5491" s="132">
        <v>0.16473829746246338</v>
      </c>
      <c r="C5491" s="133"/>
    </row>
    <row r="5492" spans="1:3">
      <c r="A5492" s="131" t="s">
        <v>3795</v>
      </c>
      <c r="B5492" s="132">
        <v>4.7816606520472531E-2</v>
      </c>
      <c r="C5492" s="133"/>
    </row>
    <row r="5493" spans="1:3">
      <c r="A5493" s="131" t="s">
        <v>3796</v>
      </c>
      <c r="B5493" s="132">
        <v>6.0499163443333325E-3</v>
      </c>
      <c r="C5493" s="133"/>
    </row>
    <row r="5494" spans="1:3">
      <c r="A5494" s="131" t="s">
        <v>3797</v>
      </c>
      <c r="B5494" s="132">
        <v>1.0000000116860974E-7</v>
      </c>
      <c r="C5494" s="133"/>
    </row>
    <row r="5495" spans="1:3">
      <c r="A5495" s="131" t="s">
        <v>3798</v>
      </c>
      <c r="B5495" s="132">
        <v>1.3575570399482135</v>
      </c>
      <c r="C5495" s="133"/>
    </row>
    <row r="5496" spans="1:3">
      <c r="A5496" s="131" t="s">
        <v>3799</v>
      </c>
      <c r="B5496" s="132">
        <v>549.74</v>
      </c>
      <c r="C5496" s="133"/>
    </row>
    <row r="5497" spans="1:3">
      <c r="A5497" s="131" t="s">
        <v>3800</v>
      </c>
      <c r="B5497" s="132">
        <v>1.9343999156262726E-5</v>
      </c>
      <c r="C5497" s="133"/>
    </row>
    <row r="5498" spans="1:3">
      <c r="A5498" s="131" t="s">
        <v>3801</v>
      </c>
      <c r="B5498" s="132">
        <v>7.5916332054490354E-4</v>
      </c>
      <c r="C5498" s="133"/>
    </row>
    <row r="5499" spans="1:3">
      <c r="A5499" s="131" t="s">
        <v>3802</v>
      </c>
      <c r="B5499" s="132">
        <v>10.09</v>
      </c>
      <c r="C5499" s="133"/>
    </row>
    <row r="5500" spans="1:3">
      <c r="A5500" s="131" t="s">
        <v>3803</v>
      </c>
      <c r="B5500" s="132">
        <v>3.1569001293973997E-5</v>
      </c>
      <c r="C5500" s="133"/>
    </row>
    <row r="5501" spans="1:3">
      <c r="A5501" s="131" t="s">
        <v>3804</v>
      </c>
      <c r="B5501" s="132">
        <v>1.0368500370532274E-3</v>
      </c>
      <c r="C5501" s="133"/>
    </row>
    <row r="5502" spans="1:3">
      <c r="A5502" s="131" t="s">
        <v>3805</v>
      </c>
      <c r="B5502" s="132">
        <v>1.4594890242078804E-2</v>
      </c>
      <c r="C5502" s="133"/>
    </row>
    <row r="5503" spans="1:3">
      <c r="A5503" s="131" t="s">
        <v>3806</v>
      </c>
      <c r="B5503" s="132">
        <v>1.8523207878358299E-2</v>
      </c>
      <c r="C5503" s="133"/>
    </row>
    <row r="5504" spans="1:3">
      <c r="A5504" s="131" t="s">
        <v>3807</v>
      </c>
      <c r="B5504" s="132">
        <v>1.1115791933002867E-3</v>
      </c>
      <c r="C5504" s="133"/>
    </row>
    <row r="5505" spans="1:3">
      <c r="A5505" s="131" t="s">
        <v>3808</v>
      </c>
      <c r="B5505" s="132">
        <v>1.2125399662181735E-3</v>
      </c>
      <c r="C5505" s="133"/>
    </row>
    <row r="5506" spans="1:3">
      <c r="A5506" s="131" t="s">
        <v>3809</v>
      </c>
      <c r="B5506" s="132">
        <v>0.6347578869111743</v>
      </c>
      <c r="C5506" s="133"/>
    </row>
    <row r="5507" spans="1:3">
      <c r="A5507" s="131" t="s">
        <v>3810</v>
      </c>
      <c r="B5507" s="132">
        <v>1.0681922239304255E-2</v>
      </c>
      <c r="C5507" s="133"/>
    </row>
    <row r="5508" spans="1:3">
      <c r="A5508" s="131" t="s">
        <v>3811</v>
      </c>
      <c r="B5508" s="132">
        <v>7.2097036042902682E-5</v>
      </c>
      <c r="C5508" s="133"/>
    </row>
    <row r="5509" spans="1:3">
      <c r="A5509" s="131" t="s">
        <v>3812</v>
      </c>
      <c r="B5509" s="132">
        <v>7.8146859999999999E-4</v>
      </c>
      <c r="C5509" s="133"/>
    </row>
    <row r="5510" spans="1:3">
      <c r="A5510" s="131" t="s">
        <v>3813</v>
      </c>
      <c r="B5510" s="132">
        <v>1.9101640209555626E-3</v>
      </c>
      <c r="C5510" s="133"/>
    </row>
    <row r="5511" spans="1:3">
      <c r="A5511" s="131" t="s">
        <v>3814</v>
      </c>
      <c r="B5511" s="132">
        <v>0.15006002000800001</v>
      </c>
      <c r="C5511" s="133"/>
    </row>
    <row r="5512" spans="1:3">
      <c r="A5512" s="131" t="s">
        <v>3815</v>
      </c>
      <c r="B5512" s="132">
        <v>1.2338208236773785E-3</v>
      </c>
      <c r="C5512" s="133"/>
    </row>
    <row r="5513" spans="1:3">
      <c r="A5513" s="131" t="s">
        <v>3816</v>
      </c>
      <c r="B5513" s="132">
        <v>1.0005666666666666E-4</v>
      </c>
      <c r="C5513" s="133"/>
    </row>
    <row r="5514" spans="1:3">
      <c r="A5514" s="131" t="s">
        <v>3817</v>
      </c>
      <c r="B5514" s="132">
        <v>0.85860059999997462</v>
      </c>
      <c r="C5514" s="133"/>
    </row>
    <row r="5515" spans="1:3">
      <c r="A5515" s="131" t="s">
        <v>3818</v>
      </c>
      <c r="B5515" s="132">
        <v>2.5214383002333503E-3</v>
      </c>
      <c r="C5515" s="133"/>
    </row>
    <row r="5516" spans="1:3">
      <c r="A5516" s="131" t="s">
        <v>3819</v>
      </c>
      <c r="B5516" s="132">
        <v>1.7256038834340497</v>
      </c>
      <c r="C5516" s="133"/>
    </row>
    <row r="5517" spans="1:3">
      <c r="A5517" s="131" t="s">
        <v>3820</v>
      </c>
      <c r="B5517" s="132">
        <v>3.1467899680137634E-4</v>
      </c>
      <c r="C5517" s="133"/>
    </row>
    <row r="5518" spans="1:3">
      <c r="A5518" s="131" t="s">
        <v>3821</v>
      </c>
      <c r="B5518" s="132">
        <v>8.606899791629985E-5</v>
      </c>
      <c r="C5518" s="133"/>
    </row>
    <row r="5519" spans="1:3">
      <c r="A5519" s="131" t="s">
        <v>3822</v>
      </c>
      <c r="B5519" s="132">
        <v>6.2443811980908209E-4</v>
      </c>
      <c r="C5519" s="133"/>
    </row>
    <row r="5520" spans="1:3">
      <c r="A5520" s="131" t="s">
        <v>3823</v>
      </c>
      <c r="B5520" s="132">
        <v>2.906082896515727E-3</v>
      </c>
      <c r="C5520" s="133"/>
    </row>
    <row r="5521" spans="1:3">
      <c r="A5521" s="131" t="s">
        <v>3824</v>
      </c>
      <c r="B5521" s="132">
        <v>1.0708600166253746E-4</v>
      </c>
      <c r="C5521" s="133"/>
    </row>
    <row r="5522" spans="1:3">
      <c r="A5522" s="131" t="s">
        <v>3825</v>
      </c>
      <c r="B5522" s="132">
        <v>6.11466658583385E-2</v>
      </c>
      <c r="C5522" s="133"/>
    </row>
    <row r="5523" spans="1:3">
      <c r="A5523" s="131" t="s">
        <v>3826</v>
      </c>
      <c r="B5523" s="132">
        <v>8.1811120985336005E-3</v>
      </c>
      <c r="C5523" s="133"/>
    </row>
    <row r="5524" spans="1:3">
      <c r="A5524" s="131" t="s">
        <v>3827</v>
      </c>
      <c r="B5524" s="132">
        <v>3.9823879999999998E-4</v>
      </c>
      <c r="C5524" s="133"/>
    </row>
    <row r="5525" spans="1:3">
      <c r="A5525" s="131" t="s">
        <v>3828</v>
      </c>
      <c r="B5525" s="132">
        <v>6.0632867522650324E-4</v>
      </c>
      <c r="C5525" s="133"/>
    </row>
    <row r="5526" spans="1:3">
      <c r="A5526" s="131" t="s">
        <v>3829</v>
      </c>
      <c r="B5526" s="132">
        <v>7.0866401074454188E-4</v>
      </c>
      <c r="C5526" s="133"/>
    </row>
    <row r="5527" spans="1:3">
      <c r="A5527" s="131" t="s">
        <v>3830</v>
      </c>
      <c r="B5527" s="132">
        <v>0.11015766859054565</v>
      </c>
      <c r="C5527" s="133"/>
    </row>
    <row r="5528" spans="1:3">
      <c r="A5528" s="131" t="s">
        <v>3831</v>
      </c>
      <c r="B5528" s="132">
        <v>2.1360177254489374E-6</v>
      </c>
      <c r="C5528" s="133"/>
    </row>
    <row r="5529" spans="1:3">
      <c r="A5529" s="131" t="s">
        <v>3832</v>
      </c>
      <c r="B5529" s="132">
        <v>1.392097556676596E-3</v>
      </c>
      <c r="C5529" s="133"/>
    </row>
    <row r="5530" spans="1:3">
      <c r="A5530" s="131" t="s">
        <v>3833</v>
      </c>
      <c r="B5530" s="132">
        <v>0.49974005049419185</v>
      </c>
      <c r="C5530" s="133"/>
    </row>
    <row r="5531" spans="1:3">
      <c r="A5531" s="131" t="s">
        <v>3834</v>
      </c>
      <c r="B5531" s="132">
        <v>6.5428340000000001E-2</v>
      </c>
      <c r="C5531" s="133"/>
    </row>
    <row r="5532" spans="1:3">
      <c r="A5532" s="131" t="s">
        <v>3835</v>
      </c>
      <c r="B5532" s="132">
        <v>3.859495487947006E-2</v>
      </c>
      <c r="C5532" s="133"/>
    </row>
    <row r="5533" spans="1:3">
      <c r="A5533" s="131" t="s">
        <v>3836</v>
      </c>
      <c r="B5533" s="132">
        <v>1.2096447999999999E-2</v>
      </c>
      <c r="C5533" s="133"/>
    </row>
    <row r="5534" spans="1:3">
      <c r="A5534" s="131" t="s">
        <v>3837</v>
      </c>
      <c r="B5534" s="132">
        <v>2.4888409505672733E-3</v>
      </c>
      <c r="C5534" s="133"/>
    </row>
    <row r="5535" spans="1:3">
      <c r="A5535" s="131" t="s">
        <v>3838</v>
      </c>
      <c r="B5535" s="132">
        <v>3.2630300847813487E-4</v>
      </c>
      <c r="C5535" s="133"/>
    </row>
    <row r="5536" spans="1:3">
      <c r="A5536" s="131" t="s">
        <v>3839</v>
      </c>
      <c r="B5536" s="132">
        <v>1.3046206906437874E-2</v>
      </c>
      <c r="C5536" s="133"/>
    </row>
    <row r="5537" spans="1:3">
      <c r="A5537" s="131" t="s">
        <v>3840</v>
      </c>
      <c r="B5537" s="132">
        <v>1.3630003851748007E-2</v>
      </c>
      <c r="C5537" s="133"/>
    </row>
    <row r="5538" spans="1:3">
      <c r="A5538" s="131" t="s">
        <v>3841</v>
      </c>
      <c r="B5538" s="132">
        <v>271.04000000000002</v>
      </c>
      <c r="C5538" s="133"/>
    </row>
    <row r="5539" spans="1:3">
      <c r="A5539" s="131" t="s">
        <v>3842</v>
      </c>
      <c r="B5539" s="132">
        <v>6.8699043156183581E-2</v>
      </c>
      <c r="C5539" s="133"/>
    </row>
    <row r="5540" spans="1:3">
      <c r="A5540" s="131" t="s">
        <v>3843</v>
      </c>
      <c r="B5540" s="132">
        <v>4.6328871677347047E-2</v>
      </c>
      <c r="C5540" s="133"/>
    </row>
    <row r="5541" spans="1:3">
      <c r="A5541" s="131" t="s">
        <v>3844</v>
      </c>
      <c r="B5541" s="132">
        <v>6.4337169188510753E-5</v>
      </c>
      <c r="C5541" s="133"/>
    </row>
    <row r="5542" spans="1:3">
      <c r="A5542" s="131" t="s">
        <v>3845</v>
      </c>
      <c r="B5542" s="132">
        <v>2.2231583866005734E-3</v>
      </c>
      <c r="C5542" s="133"/>
    </row>
    <row r="5543" spans="1:3">
      <c r="A5543" s="131" t="s">
        <v>3846</v>
      </c>
      <c r="B5543" s="132">
        <v>0.40989310915191091</v>
      </c>
      <c r="C5543" s="133"/>
    </row>
    <row r="5544" spans="1:3">
      <c r="A5544" s="131" t="s">
        <v>3847</v>
      </c>
      <c r="B5544" s="132">
        <v>1.0477299656486139E-4</v>
      </c>
      <c r="C5544" s="133"/>
    </row>
    <row r="5545" spans="1:3">
      <c r="A5545" s="131" t="s">
        <v>3848</v>
      </c>
      <c r="B5545" s="132">
        <v>46.27</v>
      </c>
      <c r="C5545" s="133"/>
    </row>
    <row r="5546" spans="1:3">
      <c r="A5546" s="131" t="s">
        <v>3849</v>
      </c>
      <c r="B5546" s="132">
        <v>5.8735999228476152E-2</v>
      </c>
      <c r="C5546" s="133"/>
    </row>
    <row r="5547" spans="1:3">
      <c r="A5547" s="131" t="s">
        <v>3850</v>
      </c>
      <c r="B5547" s="132">
        <v>1.4075628000000001E-3</v>
      </c>
      <c r="C5547" s="133"/>
    </row>
    <row r="5548" spans="1:3">
      <c r="A5548" s="131" t="s">
        <v>3851</v>
      </c>
      <c r="B5548" s="132">
        <v>1.2257139198482037E-2</v>
      </c>
      <c r="C5548" s="133"/>
    </row>
    <row r="5549" spans="1:3">
      <c r="A5549" s="131" t="s">
        <v>3852</v>
      </c>
      <c r="B5549" s="132">
        <v>0.43615930556863103</v>
      </c>
      <c r="C5549" s="133"/>
    </row>
    <row r="5550" spans="1:3">
      <c r="A5550" s="131" t="s">
        <v>3853</v>
      </c>
      <c r="B5550" s="132">
        <v>2.9572529776333975E-3</v>
      </c>
      <c r="C5550" s="133"/>
    </row>
    <row r="5551" spans="1:3">
      <c r="A5551" s="131" t="s">
        <v>3854</v>
      </c>
      <c r="B5551" s="132">
        <v>6.39</v>
      </c>
      <c r="C5551" s="133"/>
    </row>
    <row r="5552" spans="1:3">
      <c r="A5552" s="131" t="s">
        <v>3855</v>
      </c>
      <c r="B5552" s="132">
        <v>114.27</v>
      </c>
      <c r="C5552" s="133"/>
    </row>
    <row r="5553" spans="1:3">
      <c r="A5553" s="131" t="s">
        <v>3856</v>
      </c>
      <c r="B5553" s="132">
        <v>2.2292641000000001E-4</v>
      </c>
      <c r="C5553" s="133"/>
    </row>
    <row r="5554" spans="1:3">
      <c r="A5554" s="131" t="s">
        <v>3857</v>
      </c>
      <c r="B5554" s="132">
        <v>4.8025599999999996E-5</v>
      </c>
      <c r="C5554" s="133"/>
    </row>
    <row r="5555" spans="1:3">
      <c r="A5555" s="131" t="s">
        <v>3858</v>
      </c>
      <c r="B5555" s="132">
        <v>1.9324830770492554</v>
      </c>
      <c r="C5555" s="133"/>
    </row>
    <row r="5556" spans="1:3">
      <c r="A5556" s="131" t="s">
        <v>3859</v>
      </c>
      <c r="B5556" s="132">
        <v>2.87</v>
      </c>
      <c r="C5556" s="133"/>
    </row>
    <row r="5557" spans="1:3">
      <c r="A5557" s="131" t="s">
        <v>3860</v>
      </c>
      <c r="B5557" s="132">
        <v>1.1637032940000001</v>
      </c>
      <c r="C5557" s="133"/>
    </row>
    <row r="5558" spans="1:3">
      <c r="A5558" s="131" t="s">
        <v>3861</v>
      </c>
      <c r="B5558" s="132">
        <v>9.2621839932420902E-2</v>
      </c>
      <c r="C5558" s="133"/>
    </row>
    <row r="5559" spans="1:3">
      <c r="A5559" s="131" t="s">
        <v>3862</v>
      </c>
      <c r="B5559" s="132">
        <v>1.0903830035668225E-3</v>
      </c>
      <c r="C5559" s="133"/>
    </row>
    <row r="5560" spans="1:3">
      <c r="A5560" s="131" t="s">
        <v>3863</v>
      </c>
      <c r="B5560" s="132">
        <v>6.8465283253125786E-6</v>
      </c>
      <c r="C5560" s="133"/>
    </row>
    <row r="5561" spans="1:3">
      <c r="A5561" s="131" t="s">
        <v>3864</v>
      </c>
      <c r="B5561" s="132">
        <v>6.2845065284995304E-5</v>
      </c>
      <c r="C5561" s="133"/>
    </row>
    <row r="5562" spans="1:3">
      <c r="A5562" s="131" t="s">
        <v>3865</v>
      </c>
      <c r="B5562" s="132">
        <v>4.2074291622287647E-3</v>
      </c>
      <c r="C5562" s="133"/>
    </row>
    <row r="5563" spans="1:3">
      <c r="A5563" s="131" t="s">
        <v>3866</v>
      </c>
      <c r="B5563" s="132">
        <v>1.3428225606296709E-2</v>
      </c>
      <c r="C5563" s="133"/>
    </row>
    <row r="5564" spans="1:3">
      <c r="A5564" s="131" t="s">
        <v>3867</v>
      </c>
      <c r="B5564" s="132">
        <v>2.7909053303243878E-3</v>
      </c>
      <c r="C5564" s="133"/>
    </row>
    <row r="5565" spans="1:3">
      <c r="A5565" s="131" t="s">
        <v>3868</v>
      </c>
      <c r="B5565" s="132">
        <v>2.635519951581955E-3</v>
      </c>
      <c r="C5565" s="133"/>
    </row>
    <row r="5566" spans="1:3">
      <c r="A5566" s="131" t="s">
        <v>3869</v>
      </c>
      <c r="B5566" s="132">
        <v>7.4010629705391984E-3</v>
      </c>
      <c r="C5566" s="133"/>
    </row>
    <row r="5567" spans="1:3">
      <c r="A5567" s="131" t="s">
        <v>3870</v>
      </c>
      <c r="B5567" s="132">
        <v>0.13056960000000001</v>
      </c>
      <c r="C5567" s="133"/>
    </row>
    <row r="5568" spans="1:3">
      <c r="A5568" s="131" t="s">
        <v>3871</v>
      </c>
      <c r="B5568" s="132">
        <v>2.46720506929225</v>
      </c>
      <c r="C5568" s="133"/>
    </row>
    <row r="5569" spans="1:3">
      <c r="A5569" s="131" t="s">
        <v>3872</v>
      </c>
      <c r="B5569" s="132">
        <v>1.2507499999999998E-2</v>
      </c>
      <c r="C5569" s="133"/>
    </row>
    <row r="5570" spans="1:3">
      <c r="A5570" s="131" t="s">
        <v>3873</v>
      </c>
      <c r="B5570" s="132">
        <v>1.4223785472971711</v>
      </c>
      <c r="C5570" s="133"/>
    </row>
    <row r="5571" spans="1:3">
      <c r="A5571" s="131" t="s">
        <v>3874</v>
      </c>
      <c r="B5571" s="132">
        <v>8.7090177317597536E-2</v>
      </c>
      <c r="C5571" s="133"/>
    </row>
    <row r="5572" spans="1:3">
      <c r="A5572" s="131" t="s">
        <v>3875</v>
      </c>
      <c r="B5572" s="132">
        <v>2.3142336000000102E-4</v>
      </c>
      <c r="C5572" s="133"/>
    </row>
    <row r="5573" spans="1:3">
      <c r="A5573" s="131" t="s">
        <v>3876</v>
      </c>
      <c r="B5573" s="132">
        <v>0.75855805893041006</v>
      </c>
      <c r="C5573" s="133"/>
    </row>
    <row r="5574" spans="1:3">
      <c r="A5574" s="131" t="s">
        <v>3877</v>
      </c>
      <c r="B5574" s="132">
        <v>0.30926626920700073</v>
      </c>
      <c r="C5574" s="133"/>
    </row>
    <row r="5575" spans="1:3">
      <c r="A5575" s="131" t="s">
        <v>3878</v>
      </c>
      <c r="B5575" s="132">
        <v>4.2830188054709901E-2</v>
      </c>
      <c r="C5575" s="133"/>
    </row>
    <row r="5576" spans="1:3">
      <c r="A5576" s="131" t="s">
        <v>3879</v>
      </c>
      <c r="B5576" s="132">
        <v>3.4276042133569717E-2</v>
      </c>
      <c r="C5576" s="133"/>
    </row>
    <row r="5577" spans="1:3">
      <c r="A5577" s="131" t="s">
        <v>3880</v>
      </c>
      <c r="B5577" s="132">
        <v>6.0574306000000001E-3</v>
      </c>
      <c r="C5577" s="133"/>
    </row>
    <row r="5578" spans="1:3">
      <c r="A5578" s="131" t="s">
        <v>3881</v>
      </c>
      <c r="B5578" s="132">
        <v>1.0773822233290637E-2</v>
      </c>
      <c r="C5578" s="133"/>
    </row>
    <row r="5579" spans="1:3">
      <c r="A5579" s="131" t="s">
        <v>3882</v>
      </c>
      <c r="B5579" s="132">
        <v>8.0949652065002237E-2</v>
      </c>
      <c r="C5579" s="133"/>
    </row>
    <row r="5580" spans="1:3">
      <c r="A5580" s="131" t="s">
        <v>3883</v>
      </c>
      <c r="B5580" s="132">
        <v>1.2318050749474325E-4</v>
      </c>
      <c r="C5580" s="133"/>
    </row>
    <row r="5581" spans="1:3">
      <c r="A5581" s="131" t="s">
        <v>3884</v>
      </c>
      <c r="B5581" s="132">
        <v>1.2862668262206309</v>
      </c>
      <c r="C5581" s="133"/>
    </row>
    <row r="5582" spans="1:3">
      <c r="A5582" s="131" t="s">
        <v>3885</v>
      </c>
      <c r="B5582" s="132">
        <v>1.4342157195147164E-2</v>
      </c>
      <c r="C5582" s="133"/>
    </row>
    <row r="5583" spans="1:3">
      <c r="A5583" s="131" t="s">
        <v>3886</v>
      </c>
      <c r="B5583" s="132">
        <v>7.7609660985910498</v>
      </c>
      <c r="C5583" s="133"/>
    </row>
    <row r="5584" spans="1:3">
      <c r="A5584" s="131" t="s">
        <v>3887</v>
      </c>
      <c r="B5584" s="132">
        <v>6.8000901956111193E-4</v>
      </c>
      <c r="C5584" s="133"/>
    </row>
    <row r="5585" spans="1:3">
      <c r="A5585" s="131" t="s">
        <v>3888</v>
      </c>
      <c r="B5585" s="132">
        <v>0.17839704628196135</v>
      </c>
      <c r="C5585" s="133"/>
    </row>
    <row r="5586" spans="1:3">
      <c r="A5586" s="131" t="s">
        <v>3889</v>
      </c>
      <c r="B5586" s="132">
        <v>1.5044660540297627E-3</v>
      </c>
      <c r="C5586" s="133"/>
    </row>
    <row r="5587" spans="1:3">
      <c r="A5587" s="131" t="s">
        <v>3890</v>
      </c>
      <c r="B5587" s="132">
        <v>8.2710133351717903E-3</v>
      </c>
      <c r="C5587" s="133"/>
    </row>
    <row r="5588" spans="1:3">
      <c r="A5588" s="131" t="s">
        <v>3891</v>
      </c>
      <c r="B5588" s="132">
        <v>7.5415582666666661E-2</v>
      </c>
      <c r="C5588" s="133"/>
    </row>
    <row r="5589" spans="1:3">
      <c r="A5589" s="131" t="s">
        <v>3892</v>
      </c>
      <c r="B5589" s="132">
        <v>0.1691905751089875</v>
      </c>
      <c r="C5589" s="133"/>
    </row>
    <row r="5590" spans="1:3">
      <c r="A5590" s="131" t="s">
        <v>3893</v>
      </c>
      <c r="B5590" s="132">
        <v>1.9129535956935399E-2</v>
      </c>
      <c r="C5590" s="133"/>
    </row>
    <row r="5591" spans="1:3">
      <c r="A5591" s="131" t="s">
        <v>3894</v>
      </c>
      <c r="B5591" s="132">
        <v>1.7559945E-3</v>
      </c>
      <c r="C5591" s="133"/>
    </row>
    <row r="5592" spans="1:3">
      <c r="A5592" s="131" t="s">
        <v>3895</v>
      </c>
      <c r="B5592" s="132">
        <v>30.654589979078501</v>
      </c>
      <c r="C5592" s="133"/>
    </row>
    <row r="5593" spans="1:3">
      <c r="A5593" s="131" t="s">
        <v>3896</v>
      </c>
      <c r="B5593" s="132">
        <v>9.42</v>
      </c>
      <c r="C5593" s="133"/>
    </row>
    <row r="5594" spans="1:3">
      <c r="A5594" s="131" t="s">
        <v>3897</v>
      </c>
      <c r="B5594" s="132">
        <v>0.47674689964859157</v>
      </c>
      <c r="C5594" s="133"/>
    </row>
    <row r="5595" spans="1:3">
      <c r="A5595" s="131" t="s">
        <v>3898</v>
      </c>
      <c r="B5595" s="132">
        <v>1.4772428274154663</v>
      </c>
      <c r="C5595" s="133"/>
    </row>
    <row r="5596" spans="1:3">
      <c r="A5596" s="131" t="s">
        <v>3899</v>
      </c>
      <c r="B5596" s="132">
        <v>0.51695930161908565</v>
      </c>
      <c r="C5596" s="133"/>
    </row>
    <row r="5597" spans="1:3">
      <c r="A5597" s="131" t="s">
        <v>3900</v>
      </c>
      <c r="B5597" s="132">
        <v>129.33000000000001</v>
      </c>
      <c r="C5597" s="133"/>
    </row>
    <row r="5598" spans="1:3">
      <c r="A5598" s="131" t="s">
        <v>3901</v>
      </c>
      <c r="B5598" s="132">
        <v>0.16699650702353949</v>
      </c>
      <c r="C5598" s="133"/>
    </row>
    <row r="5599" spans="1:3">
      <c r="A5599" s="131" t="s">
        <v>3902</v>
      </c>
      <c r="B5599" s="132">
        <v>0.21211538318564382</v>
      </c>
      <c r="C5599" s="133"/>
    </row>
    <row r="5600" spans="1:3">
      <c r="A5600" s="131" t="s">
        <v>3903</v>
      </c>
      <c r="B5600" s="132">
        <v>4.0250752261231835E-6</v>
      </c>
      <c r="C5600" s="133"/>
    </row>
    <row r="5601" spans="1:3">
      <c r="A5601" s="131" t="s">
        <v>3904</v>
      </c>
      <c r="B5601" s="132">
        <v>5.8205098916081964E-2</v>
      </c>
      <c r="C5601" s="133"/>
    </row>
    <row r="5602" spans="1:3">
      <c r="A5602" s="131" t="s">
        <v>3905</v>
      </c>
      <c r="B5602" s="132">
        <v>3.4182938065113435E-4</v>
      </c>
      <c r="C5602" s="133"/>
    </row>
    <row r="5603" spans="1:3">
      <c r="A5603" s="131" t="s">
        <v>3906</v>
      </c>
      <c r="B5603" s="132">
        <v>1.065819792714001</v>
      </c>
      <c r="C5603" s="133"/>
    </row>
    <row r="5604" spans="1:3">
      <c r="A5604" s="131" t="s">
        <v>3907</v>
      </c>
      <c r="B5604" s="132">
        <v>0.11330188065767288</v>
      </c>
      <c r="C5604" s="133"/>
    </row>
    <row r="5605" spans="1:3">
      <c r="A5605" s="131" t="s">
        <v>3908</v>
      </c>
      <c r="B5605" s="132">
        <v>9.98</v>
      </c>
      <c r="C5605" s="133"/>
    </row>
    <row r="5606" spans="1:3">
      <c r="A5606" s="131" t="s">
        <v>3909</v>
      </c>
      <c r="B5606" s="132">
        <v>8.2308067764522611E-2</v>
      </c>
      <c r="C5606" s="133"/>
    </row>
    <row r="5607" spans="1:3">
      <c r="A5607" s="131" t="s">
        <v>3910</v>
      </c>
      <c r="B5607" s="132">
        <v>0.18575560685343412</v>
      </c>
      <c r="C5607" s="133"/>
    </row>
    <row r="5608" spans="1:3">
      <c r="A5608" s="131" t="s">
        <v>3911</v>
      </c>
      <c r="B5608" s="132">
        <v>4.9417463122502281E-2</v>
      </c>
      <c r="C5608" s="133"/>
    </row>
    <row r="5609" spans="1:3">
      <c r="A5609" s="131" t="s">
        <v>3912</v>
      </c>
      <c r="B5609" s="132">
        <v>3.0003999199834652E-5</v>
      </c>
      <c r="C5609" s="133"/>
    </row>
    <row r="5610" spans="1:3">
      <c r="A5610" s="131" t="s">
        <v>3913</v>
      </c>
      <c r="B5610" s="132">
        <v>9.0236824951750989E-6</v>
      </c>
      <c r="C5610" s="133"/>
    </row>
    <row r="5611" spans="1:3">
      <c r="A5611" s="131" t="s">
        <v>3914</v>
      </c>
      <c r="B5611" s="132">
        <v>3.1835690606385469E-3</v>
      </c>
      <c r="C5611" s="133"/>
    </row>
    <row r="5612" spans="1:3">
      <c r="A5612" s="131" t="s">
        <v>3915</v>
      </c>
      <c r="B5612" s="132">
        <v>3.9218507428934901E-2</v>
      </c>
      <c r="C5612" s="133"/>
    </row>
    <row r="5613" spans="1:3">
      <c r="A5613" s="131" t="s">
        <v>3916</v>
      </c>
      <c r="B5613" s="132">
        <v>6.614525866666667E-5</v>
      </c>
      <c r="C5613" s="133"/>
    </row>
    <row r="5614" spans="1:3">
      <c r="A5614" s="131" t="s">
        <v>3917</v>
      </c>
      <c r="B5614" s="132">
        <v>6.3589136872785924E-3</v>
      </c>
      <c r="C5614" s="133"/>
    </row>
    <row r="5615" spans="1:3">
      <c r="A5615" s="131" t="s">
        <v>3918</v>
      </c>
      <c r="B5615" s="132">
        <v>6.8230906154913274E-4</v>
      </c>
      <c r="C5615" s="133"/>
    </row>
    <row r="5616" spans="1:3">
      <c r="A5616" s="131" t="s">
        <v>3919</v>
      </c>
      <c r="B5616" s="132">
        <v>6.1691041183869924E-4</v>
      </c>
      <c r="C5616" s="133"/>
    </row>
    <row r="5617" spans="1:3">
      <c r="A5617" s="131" t="s">
        <v>3920</v>
      </c>
      <c r="B5617" s="132">
        <v>1.6702020064074847</v>
      </c>
      <c r="C5617" s="133"/>
    </row>
    <row r="5618" spans="1:3">
      <c r="A5618" s="131" t="s">
        <v>3921</v>
      </c>
      <c r="B5618" s="132">
        <v>1.7620647540029264</v>
      </c>
      <c r="C5618" s="133"/>
    </row>
    <row r="5619" spans="1:3">
      <c r="A5619" s="131" t="s">
        <v>3922</v>
      </c>
      <c r="B5619" s="132">
        <v>1.9540000266715651E-6</v>
      </c>
      <c r="C5619" s="133"/>
    </row>
    <row r="5620" spans="1:3">
      <c r="A5620" s="131" t="s">
        <v>3923</v>
      </c>
      <c r="B5620" s="132">
        <v>1.9962950609624386E-3</v>
      </c>
      <c r="C5620" s="133"/>
    </row>
    <row r="5621" spans="1:3">
      <c r="A5621" s="131" t="s">
        <v>3924</v>
      </c>
      <c r="B5621" s="132">
        <v>0.50441315018744004</v>
      </c>
      <c r="C5621" s="133"/>
    </row>
    <row r="5622" spans="1:3">
      <c r="A5622" s="131" t="s">
        <v>3925</v>
      </c>
      <c r="B5622" s="132">
        <v>4.1595114905009254E-4</v>
      </c>
      <c r="C5622" s="133"/>
    </row>
    <row r="5623" spans="1:3">
      <c r="A5623" s="131" t="s">
        <v>3926</v>
      </c>
      <c r="B5623" s="132">
        <v>1.7935379000000001E-3</v>
      </c>
      <c r="C5623" s="133"/>
    </row>
    <row r="5624" spans="1:3">
      <c r="A5624" s="131" t="s">
        <v>3927</v>
      </c>
      <c r="B5624" s="132">
        <v>6.9989000621717423E-5</v>
      </c>
      <c r="C5624" s="133"/>
    </row>
    <row r="5625" spans="1:3">
      <c r="A5625" s="131" t="s">
        <v>3928</v>
      </c>
      <c r="B5625" s="132">
        <v>1.7806020332500339E-3</v>
      </c>
      <c r="C5625" s="133"/>
    </row>
    <row r="5626" spans="1:3">
      <c r="A5626" s="131" t="s">
        <v>3929</v>
      </c>
      <c r="B5626" s="132">
        <v>1.0007691264181791</v>
      </c>
      <c r="C5626" s="133"/>
    </row>
    <row r="5627" spans="1:3">
      <c r="A5627" s="131" t="s">
        <v>3930</v>
      </c>
      <c r="B5627" s="132">
        <v>1.1994707016812535E-3</v>
      </c>
      <c r="C5627" s="133"/>
    </row>
    <row r="5628" spans="1:3">
      <c r="A5628" s="131" t="s">
        <v>3931</v>
      </c>
      <c r="B5628" s="132">
        <v>2.3064208086333332E-2</v>
      </c>
      <c r="C5628" s="133"/>
    </row>
    <row r="5629" spans="1:3">
      <c r="A5629" s="131" t="s">
        <v>3932</v>
      </c>
      <c r="B5629" s="132">
        <v>4.6971022552210039E-3</v>
      </c>
      <c r="C5629" s="133"/>
    </row>
    <row r="5630" spans="1:3">
      <c r="A5630" s="131" t="s">
        <v>3933</v>
      </c>
      <c r="B5630" s="132">
        <v>20035</v>
      </c>
      <c r="C5630" s="133"/>
    </row>
    <row r="5631" spans="1:3">
      <c r="A5631" s="131" t="s">
        <v>3934</v>
      </c>
      <c r="B5631" s="132">
        <v>1.0013170149999986E-2</v>
      </c>
      <c r="C5631" s="133"/>
    </row>
    <row r="5632" spans="1:3">
      <c r="A5632" s="131" t="s">
        <v>3935</v>
      </c>
      <c r="B5632" s="132">
        <v>2.642579989981993E-3</v>
      </c>
      <c r="C5632" s="133"/>
    </row>
    <row r="5633" spans="1:3">
      <c r="A5633" s="131" t="s">
        <v>3936</v>
      </c>
      <c r="B5633" s="132">
        <v>1.5266210984042209E-3</v>
      </c>
      <c r="C5633" s="133"/>
    </row>
    <row r="5634" spans="1:3">
      <c r="A5634" s="131" t="s">
        <v>3937</v>
      </c>
      <c r="B5634" s="132">
        <v>6.8317070603370667E-2</v>
      </c>
      <c r="C5634" s="133"/>
    </row>
    <row r="5635" spans="1:3">
      <c r="A5635" s="131" t="s">
        <v>3938</v>
      </c>
      <c r="B5635" s="132">
        <v>7.7630002124351449E-6</v>
      </c>
      <c r="C5635" s="133"/>
    </row>
    <row r="5636" spans="1:3">
      <c r="A5636" s="131" t="s">
        <v>3939</v>
      </c>
      <c r="B5636" s="132">
        <v>3.6388461592744094E-2</v>
      </c>
      <c r="C5636" s="133"/>
    </row>
    <row r="5637" spans="1:3">
      <c r="A5637" s="131" t="s">
        <v>3940</v>
      </c>
      <c r="B5637" s="132">
        <v>4.3960179294957671E-2</v>
      </c>
      <c r="C5637" s="133"/>
    </row>
    <row r="5638" spans="1:3">
      <c r="A5638" s="131" t="s">
        <v>3941</v>
      </c>
      <c r="B5638" s="132">
        <v>4.6020780725393E-3</v>
      </c>
      <c r="C5638" s="133"/>
    </row>
    <row r="5639" spans="1:3">
      <c r="A5639" s="131" t="s">
        <v>3942</v>
      </c>
      <c r="B5639" s="132">
        <v>1.750816666666671E-4</v>
      </c>
      <c r="C5639" s="133"/>
    </row>
    <row r="5640" spans="1:3">
      <c r="A5640" s="131" t="s">
        <v>3943</v>
      </c>
      <c r="B5640" s="132">
        <v>9.0649999037850648E-5</v>
      </c>
      <c r="C5640" s="133"/>
    </row>
    <row r="5641" spans="1:3">
      <c r="A5641" s="131" t="s">
        <v>3944</v>
      </c>
      <c r="B5641" s="132">
        <v>1.6667371627543857E-3</v>
      </c>
      <c r="C5641" s="133"/>
    </row>
    <row r="5642" spans="1:3">
      <c r="A5642" s="131" t="s">
        <v>3945</v>
      </c>
      <c r="B5642" s="132">
        <v>1.4633753671846411E-2</v>
      </c>
      <c r="C5642" s="133"/>
    </row>
    <row r="5643" spans="1:3">
      <c r="A5643" s="131" t="s">
        <v>3946</v>
      </c>
      <c r="B5643" s="132">
        <v>12.61</v>
      </c>
      <c r="C5643" s="133"/>
    </row>
    <row r="5644" spans="1:3">
      <c r="A5644" s="131" t="s">
        <v>3947</v>
      </c>
      <c r="B5644" s="132">
        <v>0.48578907604925908</v>
      </c>
      <c r="C5644" s="133"/>
    </row>
    <row r="5645" spans="1:3">
      <c r="A5645" s="131" t="s">
        <v>3948</v>
      </c>
      <c r="B5645" s="132">
        <v>1.116607845428057</v>
      </c>
      <c r="C5645" s="133"/>
    </row>
    <row r="5646" spans="1:3">
      <c r="A5646" s="131" t="s">
        <v>3949</v>
      </c>
      <c r="B5646" s="132">
        <v>7.0032001531217247E-5</v>
      </c>
      <c r="C5646" s="133"/>
    </row>
    <row r="5647" spans="1:3">
      <c r="A5647" s="131" t="s">
        <v>6928</v>
      </c>
      <c r="B5647" s="132">
        <v>1.8400000101337355E-7</v>
      </c>
      <c r="C5647" s="133"/>
    </row>
    <row r="5648" spans="1:3">
      <c r="A5648" s="131" t="s">
        <v>6929</v>
      </c>
      <c r="B5648" s="132">
        <v>0.60139473170608615</v>
      </c>
      <c r="C5648" s="133"/>
    </row>
    <row r="5649" spans="1:3">
      <c r="A5649" s="131" t="s">
        <v>6930</v>
      </c>
      <c r="B5649" s="132">
        <v>2.5010000000000001E-4</v>
      </c>
      <c r="C5649" s="133"/>
    </row>
    <row r="5650" spans="1:3">
      <c r="A5650" s="131" t="s">
        <v>6931</v>
      </c>
      <c r="B5650" s="132">
        <v>0.18201782293142146</v>
      </c>
      <c r="C5650" s="133"/>
    </row>
    <row r="5651" spans="1:3">
      <c r="A5651" s="131" t="s">
        <v>6932</v>
      </c>
      <c r="B5651" s="132">
        <v>1.0005666666666666E-12</v>
      </c>
      <c r="C5651" s="133"/>
    </row>
    <row r="5652" spans="1:3">
      <c r="A5652" s="131" t="s">
        <v>6933</v>
      </c>
      <c r="B5652" s="132">
        <v>0.11206719999999996</v>
      </c>
      <c r="C5652" s="133"/>
    </row>
    <row r="5653" spans="1:3">
      <c r="A5653" s="131" t="s">
        <v>6934</v>
      </c>
      <c r="B5653" s="132">
        <v>4.0063140913844109E-3</v>
      </c>
      <c r="C5653" s="133"/>
    </row>
    <row r="5654" spans="1:3">
      <c r="A5654" s="131" t="s">
        <v>6935</v>
      </c>
      <c r="B5654" s="132">
        <v>1.3999999737279722E-7</v>
      </c>
      <c r="C5654" s="133"/>
    </row>
    <row r="5655" spans="1:3">
      <c r="A5655" s="131" t="s">
        <v>6936</v>
      </c>
      <c r="B5655" s="132">
        <v>2.6420000267535215E-6</v>
      </c>
      <c r="C5655" s="133"/>
    </row>
    <row r="5656" spans="1:3">
      <c r="A5656" s="131" t="s">
        <v>6937</v>
      </c>
      <c r="B5656" s="132">
        <v>1.7001699656248093E-2</v>
      </c>
      <c r="C5656" s="133"/>
    </row>
    <row r="5657" spans="1:3">
      <c r="A5657" s="131" t="s">
        <v>6938</v>
      </c>
      <c r="B5657" s="132">
        <v>0.22486367427254883</v>
      </c>
      <c r="C5657" s="133"/>
    </row>
    <row r="5658" spans="1:3">
      <c r="A5658" s="131" t="s">
        <v>6939</v>
      </c>
      <c r="B5658" s="132">
        <v>3.0010647299435589E-2</v>
      </c>
      <c r="C5658" s="133"/>
    </row>
    <row r="5659" spans="1:3">
      <c r="A5659" s="131" t="s">
        <v>6940</v>
      </c>
      <c r="B5659" s="132">
        <v>0.13702973330696031</v>
      </c>
      <c r="C5659" s="133"/>
    </row>
    <row r="5660" spans="1:3">
      <c r="A5660" s="131" t="s">
        <v>6941</v>
      </c>
      <c r="B5660" s="132">
        <v>3.0482718140146465E-3</v>
      </c>
      <c r="C5660" s="133"/>
    </row>
    <row r="5661" spans="1:3">
      <c r="A5661" s="131" t="s">
        <v>6942</v>
      </c>
      <c r="B5661" s="132">
        <v>0.04</v>
      </c>
      <c r="C5661" s="133"/>
    </row>
    <row r="5662" spans="1:3">
      <c r="A5662" s="131" t="s">
        <v>6943</v>
      </c>
      <c r="B5662" s="132">
        <v>3.0006499999999997E-3</v>
      </c>
      <c r="C5662" s="133"/>
    </row>
    <row r="5663" spans="1:3">
      <c r="A5663" s="131" t="s">
        <v>6944</v>
      </c>
      <c r="B5663" s="132">
        <v>3.1254521169203839E-2</v>
      </c>
      <c r="C5663" s="133"/>
    </row>
    <row r="5664" spans="1:3">
      <c r="A5664" s="131" t="s">
        <v>6945</v>
      </c>
      <c r="B5664" s="132">
        <v>6.87</v>
      </c>
      <c r="C5664" s="133"/>
    </row>
    <row r="5665" spans="1:3">
      <c r="A5665" s="131" t="s">
        <v>6946</v>
      </c>
      <c r="B5665" s="132">
        <v>3.0892313893709816E-7</v>
      </c>
      <c r="C5665" s="133"/>
    </row>
    <row r="5666" spans="1:3">
      <c r="A5666" s="131" t="s">
        <v>6947</v>
      </c>
      <c r="B5666" s="132">
        <v>0.67759999999999998</v>
      </c>
      <c r="C5666" s="133"/>
    </row>
    <row r="5667" spans="1:3">
      <c r="A5667" s="131" t="s">
        <v>6948</v>
      </c>
      <c r="B5667" s="132">
        <v>58.49</v>
      </c>
      <c r="C5667" s="133"/>
    </row>
    <row r="5668" spans="1:3">
      <c r="A5668" s="131" t="s">
        <v>6949</v>
      </c>
      <c r="B5668" s="132">
        <v>8.0404112247847172E-4</v>
      </c>
      <c r="C5668" s="133"/>
    </row>
    <row r="5669" spans="1:3">
      <c r="A5669" s="131" t="s">
        <v>6950</v>
      </c>
      <c r="B5669" s="132">
        <v>1.1787245656333266E-2</v>
      </c>
      <c r="C5669" s="133"/>
    </row>
    <row r="5670" spans="1:3">
      <c r="A5670" s="131" t="s">
        <v>6951</v>
      </c>
      <c r="B5670" s="132">
        <v>0.14078664779663086</v>
      </c>
      <c r="C5670" s="133"/>
    </row>
    <row r="5671" spans="1:3">
      <c r="A5671" s="131" t="s">
        <v>6952</v>
      </c>
      <c r="B5671" s="132">
        <v>6.1771828903127851E-2</v>
      </c>
      <c r="C5671" s="133"/>
    </row>
    <row r="5672" spans="1:3">
      <c r="A5672" s="131" t="s">
        <v>6953</v>
      </c>
      <c r="B5672" s="132">
        <v>484.68</v>
      </c>
      <c r="C5672" s="133"/>
    </row>
    <row r="5673" spans="1:3">
      <c r="A5673" s="131" t="s">
        <v>6954</v>
      </c>
      <c r="B5673" s="132">
        <v>2.7071047485525295E-3</v>
      </c>
      <c r="C5673" s="133"/>
    </row>
    <row r="5674" spans="1:3">
      <c r="A5674" s="131" t="s">
        <v>6955</v>
      </c>
      <c r="B5674" s="132">
        <v>0.10150083899497986</v>
      </c>
      <c r="C5674" s="133"/>
    </row>
    <row r="5675" spans="1:3">
      <c r="A5675" s="131" t="s">
        <v>6956</v>
      </c>
      <c r="B5675" s="132">
        <v>9.0186870198566665E-4</v>
      </c>
      <c r="C5675" s="133"/>
    </row>
    <row r="5676" spans="1:3">
      <c r="A5676" s="131" t="s">
        <v>6957</v>
      </c>
      <c r="B5676" s="132">
        <v>10306</v>
      </c>
      <c r="C5676" s="133"/>
    </row>
    <row r="5677" spans="1:3">
      <c r="A5677" s="131" t="s">
        <v>6958</v>
      </c>
      <c r="B5677" s="132">
        <v>1.1056261666666676E-4</v>
      </c>
      <c r="C5677" s="133"/>
    </row>
    <row r="5678" spans="1:3">
      <c r="A5678" s="131" t="s">
        <v>6959</v>
      </c>
      <c r="B5678" s="132">
        <v>1.4961783186415896</v>
      </c>
      <c r="C5678" s="133"/>
    </row>
    <row r="5679" spans="1:3">
      <c r="A5679" s="131" t="s">
        <v>6960</v>
      </c>
      <c r="B5679" s="132">
        <v>8.4229142868052914E-2</v>
      </c>
      <c r="C5679" s="133"/>
    </row>
    <row r="5680" spans="1:3">
      <c r="A5680" s="131" t="s">
        <v>6961</v>
      </c>
      <c r="B5680" s="132">
        <v>2.3778200556989759E-4</v>
      </c>
      <c r="C5680" s="133"/>
    </row>
    <row r="5681" spans="1:3">
      <c r="A5681" s="131" t="s">
        <v>6962</v>
      </c>
      <c r="B5681" s="132">
        <v>3.5999999999999997E-2</v>
      </c>
      <c r="C5681" s="133"/>
    </row>
    <row r="5682" spans="1:3">
      <c r="A5682" s="131" t="s">
        <v>6963</v>
      </c>
      <c r="B5682" s="132">
        <v>3.1843868577664217E-4</v>
      </c>
      <c r="C5682" s="133"/>
    </row>
    <row r="5683" spans="1:3">
      <c r="A5683" s="131" t="s">
        <v>6964</v>
      </c>
      <c r="B5683" s="132">
        <v>1.7995958875408511E-3</v>
      </c>
      <c r="C5683" s="133"/>
    </row>
    <row r="5684" spans="1:3">
      <c r="A5684" s="131" t="s">
        <v>6965</v>
      </c>
      <c r="B5684" s="132">
        <v>8.5</v>
      </c>
      <c r="C5684" s="133"/>
    </row>
    <row r="5685" spans="1:3">
      <c r="A5685" s="131" t="s">
        <v>6966</v>
      </c>
      <c r="B5685" s="132">
        <v>1.5400000563658978E-7</v>
      </c>
      <c r="C5685" s="133"/>
    </row>
    <row r="5686" spans="1:3">
      <c r="A5686" s="131" t="s">
        <v>6967</v>
      </c>
      <c r="B5686" s="132">
        <v>1.0298199777025729E-4</v>
      </c>
      <c r="C5686" s="133"/>
    </row>
    <row r="5687" spans="1:3">
      <c r="A5687" s="131" t="s">
        <v>6968</v>
      </c>
      <c r="B5687" s="132">
        <v>1.527258288115263E-2</v>
      </c>
      <c r="C5687" s="133"/>
    </row>
    <row r="5688" spans="1:3">
      <c r="A5688" s="131" t="s">
        <v>6969</v>
      </c>
      <c r="B5688" s="132">
        <v>1.1430809972807765E-3</v>
      </c>
      <c r="C5688" s="133"/>
    </row>
    <row r="5689" spans="1:3">
      <c r="A5689" s="131" t="s">
        <v>6970</v>
      </c>
      <c r="B5689" s="132">
        <v>3.0808420451292502</v>
      </c>
      <c r="C5689" s="133"/>
    </row>
    <row r="5690" spans="1:3">
      <c r="A5690" s="131" t="s">
        <v>6971</v>
      </c>
      <c r="B5690" s="132">
        <v>0.39289443106482419</v>
      </c>
      <c r="C5690" s="133"/>
    </row>
    <row r="5691" spans="1:3">
      <c r="A5691" s="131" t="s">
        <v>6972</v>
      </c>
      <c r="B5691" s="132">
        <v>0.24014399999999991</v>
      </c>
      <c r="C5691" s="133"/>
    </row>
    <row r="5692" spans="1:3">
      <c r="A5692" s="131" t="s">
        <v>6973</v>
      </c>
      <c r="B5692" s="132">
        <v>5.5865243453625997</v>
      </c>
      <c r="C5692" s="133"/>
    </row>
    <row r="5693" spans="1:3">
      <c r="A5693" s="131" t="s">
        <v>6974</v>
      </c>
      <c r="B5693" s="132">
        <v>760.71622329465902</v>
      </c>
      <c r="C5693" s="133"/>
    </row>
    <row r="5694" spans="1:3">
      <c r="A5694" s="131" t="s">
        <v>6975</v>
      </c>
      <c r="B5694" s="132">
        <v>4.87</v>
      </c>
      <c r="C5694" s="133"/>
    </row>
    <row r="5695" spans="1:3">
      <c r="A5695" s="131" t="s">
        <v>6976</v>
      </c>
      <c r="B5695" s="132">
        <v>3.2413156134180186E-2</v>
      </c>
      <c r="C5695" s="133"/>
    </row>
    <row r="5696" spans="1:3">
      <c r="A5696" s="131" t="s">
        <v>6977</v>
      </c>
      <c r="B5696" s="132">
        <v>0.35977709250952344</v>
      </c>
      <c r="C5696" s="133"/>
    </row>
    <row r="5697" spans="1:3">
      <c r="A5697" s="131" t="s">
        <v>6978</v>
      </c>
      <c r="B5697" s="132">
        <v>1.321569144493823E-3</v>
      </c>
      <c r="C5697" s="133"/>
    </row>
    <row r="5698" spans="1:3">
      <c r="A5698" s="131" t="s">
        <v>6979</v>
      </c>
      <c r="B5698" s="132">
        <v>2.3426899861078709E-4</v>
      </c>
      <c r="C5698" s="133"/>
    </row>
    <row r="5699" spans="1:3">
      <c r="A5699" s="131" t="s">
        <v>6980</v>
      </c>
      <c r="B5699" s="132">
        <v>1.0606006666666714E-3</v>
      </c>
      <c r="C5699" s="133"/>
    </row>
    <row r="5700" spans="1:3">
      <c r="A5700" s="131" t="s">
        <v>6981</v>
      </c>
      <c r="B5700" s="132">
        <v>4.0199999999999996</v>
      </c>
      <c r="C5700" s="133"/>
    </row>
    <row r="5701" spans="1:3">
      <c r="A5701" s="131" t="s">
        <v>6982</v>
      </c>
      <c r="B5701" s="132">
        <v>0.66418176889419556</v>
      </c>
      <c r="C5701" s="133"/>
    </row>
    <row r="5702" spans="1:3">
      <c r="A5702" s="131" t="s">
        <v>6983</v>
      </c>
      <c r="B5702" s="132">
        <v>5.2506054567658415E-3</v>
      </c>
      <c r="C5702" s="133"/>
    </row>
    <row r="5703" spans="1:3">
      <c r="A5703" s="131" t="s">
        <v>6984</v>
      </c>
      <c r="B5703" s="132">
        <v>0.68552350289603559</v>
      </c>
      <c r="C5703" s="133"/>
    </row>
    <row r="5704" spans="1:3">
      <c r="A5704" s="131" t="s">
        <v>6985</v>
      </c>
      <c r="B5704" s="132">
        <v>1.9869337048089276E-3</v>
      </c>
      <c r="C5704" s="133"/>
    </row>
    <row r="5705" spans="1:3">
      <c r="A5705" s="131" t="s">
        <v>6986</v>
      </c>
      <c r="B5705" s="132">
        <v>0.64707553386688232</v>
      </c>
      <c r="C5705" s="133"/>
    </row>
    <row r="5706" spans="1:3">
      <c r="A5706" s="131" t="s">
        <v>6987</v>
      </c>
      <c r="B5706" s="132">
        <v>679.95</v>
      </c>
      <c r="C5706" s="133"/>
    </row>
    <row r="5707" spans="1:3">
      <c r="A5707" s="131" t="s">
        <v>6988</v>
      </c>
      <c r="B5707" s="132">
        <v>0.73872034129833886</v>
      </c>
      <c r="C5707" s="133"/>
    </row>
    <row r="5708" spans="1:3">
      <c r="A5708" s="131" t="s">
        <v>6989</v>
      </c>
      <c r="B5708" s="132">
        <v>0.14263586336469539</v>
      </c>
      <c r="C5708" s="133"/>
    </row>
    <row r="5709" spans="1:3">
      <c r="A5709" s="131" t="s">
        <v>6990</v>
      </c>
      <c r="B5709" s="132">
        <v>5.7979656266067575E-2</v>
      </c>
      <c r="C5709" s="133"/>
    </row>
    <row r="5710" spans="1:3">
      <c r="A5710" s="131" t="s">
        <v>6991</v>
      </c>
      <c r="B5710" s="132">
        <v>0.7083630940959863</v>
      </c>
      <c r="C5710" s="133"/>
    </row>
    <row r="5711" spans="1:3">
      <c r="A5711" s="131" t="s">
        <v>6992</v>
      </c>
      <c r="B5711" s="132">
        <v>8.3019366666666674E-3</v>
      </c>
      <c r="C5711" s="133"/>
    </row>
    <row r="5712" spans="1:3">
      <c r="A5712" s="131" t="s">
        <v>6993</v>
      </c>
      <c r="B5712" s="132">
        <v>2.1519810069398673E-4</v>
      </c>
      <c r="C5712" s="133"/>
    </row>
    <row r="5713" spans="1:3">
      <c r="A5713" s="131" t="s">
        <v>6994</v>
      </c>
      <c r="B5713" s="132">
        <v>1.0109377383253719</v>
      </c>
      <c r="C5713" s="133"/>
    </row>
    <row r="5714" spans="1:3">
      <c r="A5714" s="131" t="s">
        <v>6995</v>
      </c>
      <c r="B5714" s="132">
        <v>4.2882661660140993E-2</v>
      </c>
      <c r="C5714" s="133"/>
    </row>
    <row r="5715" spans="1:3">
      <c r="A5715" s="131" t="s">
        <v>6996</v>
      </c>
      <c r="B5715" s="132">
        <v>2.34</v>
      </c>
      <c r="C5715" s="133"/>
    </row>
    <row r="5716" spans="1:3">
      <c r="A5716" s="131" t="s">
        <v>6997</v>
      </c>
      <c r="B5716" s="132">
        <v>589.69000000000005</v>
      </c>
      <c r="C5716" s="133"/>
    </row>
    <row r="5717" spans="1:3">
      <c r="A5717" s="131" t="s">
        <v>6998</v>
      </c>
      <c r="B5717" s="132">
        <v>2.5015999563038349E-4</v>
      </c>
      <c r="C5717" s="133"/>
    </row>
    <row r="5718" spans="1:3">
      <c r="A5718" s="131" t="s">
        <v>6999</v>
      </c>
      <c r="B5718" s="132">
        <v>3.8228569263657239E-2</v>
      </c>
      <c r="C5718" s="133"/>
    </row>
    <row r="5719" spans="1:3">
      <c r="A5719" s="131" t="s">
        <v>7000</v>
      </c>
      <c r="B5719" s="132">
        <v>5.103687196969986E-2</v>
      </c>
      <c r="C5719" s="133"/>
    </row>
    <row r="5720" spans="1:3">
      <c r="A5720" s="131" t="s">
        <v>7001</v>
      </c>
      <c r="B5720" s="132">
        <v>1.7644431598127239</v>
      </c>
      <c r="C5720" s="133"/>
    </row>
    <row r="5721" spans="1:3">
      <c r="A5721" s="131" t="s">
        <v>7002</v>
      </c>
      <c r="B5721" s="132">
        <v>0.75902757437827806</v>
      </c>
      <c r="C5721" s="133"/>
    </row>
    <row r="5722" spans="1:3">
      <c r="A5722" s="131" t="s">
        <v>7003</v>
      </c>
      <c r="B5722" s="132">
        <v>0.40183846800962741</v>
      </c>
      <c r="C5722" s="133"/>
    </row>
    <row r="5723" spans="1:3">
      <c r="A5723" s="131" t="s">
        <v>7004</v>
      </c>
      <c r="B5723" s="132">
        <v>4.4780361166666664E-2</v>
      </c>
      <c r="C5723" s="133"/>
    </row>
    <row r="5724" spans="1:3">
      <c r="A5724" s="131" t="s">
        <v>7005</v>
      </c>
      <c r="B5724" s="132">
        <v>3.5745359491556883E-3</v>
      </c>
      <c r="C5724" s="133"/>
    </row>
    <row r="5725" spans="1:3">
      <c r="A5725" s="131" t="s">
        <v>7006</v>
      </c>
      <c r="B5725" s="132">
        <v>2463.12</v>
      </c>
      <c r="C5725" s="133"/>
    </row>
    <row r="5726" spans="1:3">
      <c r="A5726" s="131" t="s">
        <v>7007</v>
      </c>
      <c r="B5726" s="132">
        <v>2.6731612589093892E-4</v>
      </c>
      <c r="C5726" s="133"/>
    </row>
    <row r="5727" spans="1:3">
      <c r="A5727" s="131" t="s">
        <v>7008</v>
      </c>
      <c r="B5727" s="132">
        <v>27.89</v>
      </c>
      <c r="C5727" s="133"/>
    </row>
    <row r="5728" spans="1:3">
      <c r="A5728" s="131" t="s">
        <v>7009</v>
      </c>
      <c r="B5728" s="132">
        <v>2.8733498766086996E-4</v>
      </c>
      <c r="C5728" s="133"/>
    </row>
    <row r="5729" spans="1:3">
      <c r="A5729" s="131" t="s">
        <v>7010</v>
      </c>
      <c r="B5729" s="132">
        <v>4.8499999999999996</v>
      </c>
      <c r="C5729" s="133"/>
    </row>
    <row r="5730" spans="1:3">
      <c r="A5730" s="131" t="s">
        <v>7011</v>
      </c>
      <c r="B5730" s="132">
        <v>0.13878843188285828</v>
      </c>
      <c r="C5730" s="133"/>
    </row>
    <row r="5731" spans="1:3">
      <c r="A5731" s="131" t="s">
        <v>7012</v>
      </c>
      <c r="B5731" s="132">
        <v>1.2087349679708115</v>
      </c>
      <c r="C5731" s="133"/>
    </row>
    <row r="5732" spans="1:3">
      <c r="A5732" s="131" t="s">
        <v>7013</v>
      </c>
      <c r="B5732" s="132">
        <v>4.1900000000000004</v>
      </c>
      <c r="C5732" s="133"/>
    </row>
    <row r="5733" spans="1:3">
      <c r="A5733" s="131" t="s">
        <v>7014</v>
      </c>
      <c r="B5733" s="132">
        <v>6.4848886000000008E-2</v>
      </c>
      <c r="C5733" s="133"/>
    </row>
    <row r="5734" spans="1:3">
      <c r="A5734" s="131" t="s">
        <v>7015</v>
      </c>
      <c r="B5734" s="132">
        <v>7.0559690536172619E-4</v>
      </c>
      <c r="C5734" s="133"/>
    </row>
    <row r="5735" spans="1:3">
      <c r="A5735" s="131" t="s">
        <v>7016</v>
      </c>
      <c r="B5735" s="132">
        <v>10.1</v>
      </c>
      <c r="C5735" s="133"/>
    </row>
    <row r="5736" spans="1:3">
      <c r="A5736" s="131" t="s">
        <v>7017</v>
      </c>
      <c r="B5736" s="132">
        <v>3.4497946268804133E-2</v>
      </c>
      <c r="C5736" s="133"/>
    </row>
    <row r="5737" spans="1:3">
      <c r="A5737" s="131" t="s">
        <v>7018</v>
      </c>
      <c r="B5737" s="132">
        <v>0.68434209931572276</v>
      </c>
      <c r="C5737" s="133"/>
    </row>
    <row r="5738" spans="1:3">
      <c r="A5738" s="131" t="s">
        <v>7019</v>
      </c>
      <c r="B5738" s="132">
        <v>1.8812504795827302E-3</v>
      </c>
      <c r="C5738" s="133"/>
    </row>
    <row r="5739" spans="1:3">
      <c r="A5739" s="131" t="s">
        <v>7020</v>
      </c>
      <c r="B5739" s="132">
        <v>0.63639634847640991</v>
      </c>
      <c r="C5739" s="133"/>
    </row>
    <row r="5740" spans="1:3">
      <c r="A5740" s="131" t="s">
        <v>7021</v>
      </c>
      <c r="B5740" s="132">
        <v>0.77439000000000002</v>
      </c>
      <c r="C5740" s="133"/>
    </row>
    <row r="5741" spans="1:3">
      <c r="A5741" s="131" t="s">
        <v>7022</v>
      </c>
      <c r="B5741" s="132">
        <v>9.042203426361084E-3</v>
      </c>
      <c r="C5741" s="133"/>
    </row>
    <row r="5742" spans="1:3">
      <c r="A5742" s="131" t="s">
        <v>7023</v>
      </c>
      <c r="B5742" s="132">
        <v>34714</v>
      </c>
      <c r="C5742" s="133"/>
    </row>
    <row r="5743" spans="1:3">
      <c r="A5743" s="131" t="s">
        <v>7024</v>
      </c>
      <c r="B5743" s="132">
        <v>6.3156941905617714E-3</v>
      </c>
      <c r="C5743" s="133"/>
    </row>
    <row r="5744" spans="1:3">
      <c r="A5744" s="131" t="s">
        <v>7025</v>
      </c>
      <c r="B5744" s="132">
        <v>1.0087861291417632</v>
      </c>
      <c r="C5744" s="133"/>
    </row>
    <row r="5745" spans="1:3">
      <c r="A5745" s="131" t="s">
        <v>7026</v>
      </c>
      <c r="B5745" s="132">
        <v>2.0368027837211997</v>
      </c>
      <c r="C5745" s="133"/>
    </row>
    <row r="5746" spans="1:3">
      <c r="A5746" s="131" t="s">
        <v>7027</v>
      </c>
      <c r="B5746" s="132">
        <v>2.3123095666666667E-4</v>
      </c>
      <c r="C5746" s="133"/>
    </row>
    <row r="5747" spans="1:3">
      <c r="A5747" s="131" t="s">
        <v>7028</v>
      </c>
      <c r="B5747" s="132">
        <v>7.97</v>
      </c>
      <c r="C5747" s="133"/>
    </row>
    <row r="5748" spans="1:3">
      <c r="A5748" s="131" t="s">
        <v>7029</v>
      </c>
      <c r="B5748" s="132">
        <v>5.4978657513856888E-2</v>
      </c>
      <c r="C5748" s="133"/>
    </row>
    <row r="5749" spans="1:3">
      <c r="A5749" s="131" t="s">
        <v>7030</v>
      </c>
      <c r="B5749" s="132">
        <v>4.0770901250652969E-4</v>
      </c>
      <c r="C5749" s="133"/>
    </row>
    <row r="5750" spans="1:3">
      <c r="A5750" s="131" t="s">
        <v>7031</v>
      </c>
      <c r="B5750" s="132">
        <v>0.12781916558742523</v>
      </c>
      <c r="C5750" s="133"/>
    </row>
    <row r="5751" spans="1:3">
      <c r="A5751" s="131" t="s">
        <v>7032</v>
      </c>
      <c r="B5751" s="132">
        <v>1.8114755267814868</v>
      </c>
      <c r="C5751" s="133"/>
    </row>
    <row r="5752" spans="1:3">
      <c r="A5752" s="131" t="s">
        <v>7033</v>
      </c>
      <c r="B5752" s="132">
        <v>3.1236472064308358E-2</v>
      </c>
      <c r="C5752" s="133"/>
    </row>
    <row r="5753" spans="1:3">
      <c r="A5753" s="131" t="s">
        <v>7034</v>
      </c>
      <c r="B5753" s="132">
        <v>0.98692870140075684</v>
      </c>
      <c r="C5753" s="133"/>
    </row>
    <row r="5754" spans="1:3">
      <c r="A5754" s="131" t="s">
        <v>7035</v>
      </c>
      <c r="B5754" s="132">
        <v>1.3583685777462752E-2</v>
      </c>
      <c r="C5754" s="133"/>
    </row>
    <row r="5755" spans="1:3">
      <c r="A5755" s="131" t="s">
        <v>7036</v>
      </c>
      <c r="B5755" s="132">
        <v>1.8699999770888098E-7</v>
      </c>
      <c r="C5755" s="133"/>
    </row>
    <row r="5756" spans="1:3">
      <c r="A5756" s="131" t="s">
        <v>7037</v>
      </c>
      <c r="B5756" s="132">
        <v>2.4708731561251143E-5</v>
      </c>
      <c r="C5756" s="133"/>
    </row>
    <row r="5757" spans="1:3">
      <c r="A5757" s="131" t="s">
        <v>7038</v>
      </c>
      <c r="B5757" s="132">
        <v>8.1945996498689055E-5</v>
      </c>
      <c r="C5757" s="133"/>
    </row>
    <row r="5758" spans="1:3">
      <c r="A5758" s="131" t="s">
        <v>7039</v>
      </c>
      <c r="B5758" s="132">
        <v>6.7732669413089752E-3</v>
      </c>
      <c r="C5758" s="133"/>
    </row>
    <row r="5759" spans="1:3">
      <c r="A5759" s="131" t="s">
        <v>7040</v>
      </c>
      <c r="B5759" s="132">
        <v>25.71</v>
      </c>
      <c r="C5759" s="133"/>
    </row>
    <row r="5760" spans="1:3">
      <c r="A5760" s="131" t="s">
        <v>7041</v>
      </c>
      <c r="B5760" s="132">
        <v>1.1597980046644807E-3</v>
      </c>
      <c r="C5760" s="133"/>
    </row>
    <row r="5761" spans="1:3">
      <c r="A5761" s="131" t="s">
        <v>7042</v>
      </c>
      <c r="B5761" s="132">
        <v>3.459651954472065E-3</v>
      </c>
      <c r="C5761" s="133"/>
    </row>
    <row r="5762" spans="1:3">
      <c r="A5762" s="131" t="s">
        <v>7043</v>
      </c>
      <c r="B5762" s="132">
        <v>2.1491199731826782E-4</v>
      </c>
      <c r="C5762" s="133"/>
    </row>
    <row r="5763" spans="1:3">
      <c r="A5763" s="131" t="s">
        <v>7044</v>
      </c>
      <c r="B5763" s="132">
        <v>0.87231129562818477</v>
      </c>
      <c r="C5763" s="133"/>
    </row>
    <row r="5764" spans="1:3">
      <c r="A5764" s="131" t="s">
        <v>7045</v>
      </c>
      <c r="B5764" s="132">
        <v>1.6522100486326963E-4</v>
      </c>
      <c r="C5764" s="133"/>
    </row>
    <row r="5765" spans="1:3">
      <c r="A5765" s="131" t="s">
        <v>7046</v>
      </c>
      <c r="B5765" s="132">
        <v>1.919607800841365E-2</v>
      </c>
      <c r="C5765" s="133"/>
    </row>
    <row r="5766" spans="1:3">
      <c r="A5766" s="131" t="s">
        <v>7047</v>
      </c>
      <c r="B5766" s="132">
        <v>0.86219830233333328</v>
      </c>
      <c r="C5766" s="133"/>
    </row>
    <row r="5767" spans="1:3">
      <c r="A5767" s="131" t="s">
        <v>7048</v>
      </c>
      <c r="B5767" s="132">
        <v>1.6509363427758217E-2</v>
      </c>
      <c r="C5767" s="133"/>
    </row>
    <row r="5768" spans="1:3">
      <c r="A5768" s="131" t="s">
        <v>7049</v>
      </c>
      <c r="B5768" s="132">
        <v>2.1557601323777464E-3</v>
      </c>
      <c r="C5768" s="133"/>
    </row>
    <row r="5769" spans="1:3">
      <c r="A5769" s="131" t="s">
        <v>7050</v>
      </c>
      <c r="B5769" s="132">
        <v>3.0222470160476935E-2</v>
      </c>
      <c r="C5769" s="133"/>
    </row>
    <row r="5770" spans="1:3">
      <c r="A5770" s="131" t="s">
        <v>7051</v>
      </c>
      <c r="B5770" s="132">
        <v>8.3004162072782092E-2</v>
      </c>
      <c r="C5770" s="133"/>
    </row>
    <row r="5771" spans="1:3">
      <c r="A5771" s="131" t="s">
        <v>7052</v>
      </c>
      <c r="B5771" s="132">
        <v>3.1331507108466335E-2</v>
      </c>
      <c r="C5771" s="133"/>
    </row>
    <row r="5772" spans="1:3">
      <c r="A5772" s="131" t="s">
        <v>7053</v>
      </c>
      <c r="B5772" s="132">
        <v>5.51</v>
      </c>
      <c r="C5772" s="133"/>
    </row>
    <row r="5773" spans="1:3">
      <c r="A5773" s="131" t="s">
        <v>7054</v>
      </c>
      <c r="B5773" s="132">
        <v>8.0047999999999979E-4</v>
      </c>
      <c r="C5773" s="133"/>
    </row>
    <row r="5774" spans="1:3">
      <c r="A5774" s="131" t="s">
        <v>7055</v>
      </c>
      <c r="B5774" s="132">
        <v>7.1342001319862902E-5</v>
      </c>
      <c r="C5774" s="133"/>
    </row>
    <row r="5775" spans="1:3">
      <c r="A5775" s="131" t="s">
        <v>7056</v>
      </c>
      <c r="B5775" s="132">
        <v>1.2005999451503158E-3</v>
      </c>
      <c r="C5775" s="133"/>
    </row>
    <row r="5776" spans="1:3">
      <c r="A5776" s="131" t="s">
        <v>7057</v>
      </c>
      <c r="B5776" s="132">
        <v>2.2649999664281495E-5</v>
      </c>
      <c r="C5776" s="133"/>
    </row>
    <row r="5777" spans="1:3">
      <c r="A5777" s="131" t="s">
        <v>7058</v>
      </c>
      <c r="B5777" s="132">
        <v>0.17470066249370575</v>
      </c>
      <c r="C5777" s="133"/>
    </row>
    <row r="5778" spans="1:3">
      <c r="A5778" s="131" t="s">
        <v>7059</v>
      </c>
      <c r="B5778" s="132">
        <v>1.3234364720618281E-2</v>
      </c>
      <c r="C5778" s="133"/>
    </row>
    <row r="5779" spans="1:3">
      <c r="A5779" s="131" t="s">
        <v>7060</v>
      </c>
      <c r="B5779" s="132">
        <v>1.9303010776638985E-2</v>
      </c>
      <c r="C5779" s="133"/>
    </row>
    <row r="5780" spans="1:3">
      <c r="A5780" s="131" t="s">
        <v>7061</v>
      </c>
      <c r="B5780" s="132">
        <v>8.2878689684817725E-3</v>
      </c>
      <c r="C5780" s="133"/>
    </row>
    <row r="5781" spans="1:3">
      <c r="A5781" s="131" t="s">
        <v>7062</v>
      </c>
      <c r="B5781" s="132">
        <v>4.5927539999999993E-5</v>
      </c>
      <c r="C5781" s="133"/>
    </row>
    <row r="5782" spans="1:3">
      <c r="A5782" s="131" t="s">
        <v>7063</v>
      </c>
      <c r="B5782" s="132">
        <v>5.95</v>
      </c>
      <c r="C5782" s="133"/>
    </row>
    <row r="5783" spans="1:3">
      <c r="A5783" s="131" t="s">
        <v>7064</v>
      </c>
      <c r="B5783" s="132">
        <v>3.7063097341876713E-4</v>
      </c>
      <c r="C5783" s="133"/>
    </row>
    <row r="5784" spans="1:3">
      <c r="A5784" s="131" t="s">
        <v>7065</v>
      </c>
      <c r="B5784" s="132">
        <v>3.3368108414783939E-3</v>
      </c>
      <c r="C5784" s="133"/>
    </row>
    <row r="5785" spans="1:3">
      <c r="A5785" s="131" t="s">
        <v>7066</v>
      </c>
      <c r="B5785" s="132">
        <v>3.7030500243417919E-4</v>
      </c>
      <c r="C5785" s="133"/>
    </row>
    <row r="5786" spans="1:3">
      <c r="A5786" s="131" t="s">
        <v>10312</v>
      </c>
      <c r="B5786" s="132">
        <v>6.1328025136297246E-2</v>
      </c>
      <c r="C5786" s="133"/>
    </row>
    <row r="5787" spans="1:3">
      <c r="A5787" s="131" t="s">
        <v>10313</v>
      </c>
      <c r="B5787" s="132">
        <v>669.95</v>
      </c>
      <c r="C5787" s="133"/>
    </row>
    <row r="5788" spans="1:3">
      <c r="A5788" s="131" t="s">
        <v>10314</v>
      </c>
      <c r="B5788" s="132">
        <v>68.56</v>
      </c>
      <c r="C5788" s="133"/>
    </row>
    <row r="5789" spans="1:3">
      <c r="A5789" s="131" t="s">
        <v>10315</v>
      </c>
      <c r="B5789" s="132">
        <v>0.82655557759703757</v>
      </c>
      <c r="C5789" s="133"/>
    </row>
    <row r="5790" spans="1:3">
      <c r="A5790" s="131" t="s">
        <v>10316</v>
      </c>
      <c r="B5790" s="132">
        <v>2.1808872834346342E-2</v>
      </c>
      <c r="C5790" s="133"/>
    </row>
    <row r="5791" spans="1:3">
      <c r="A5791" s="131" t="s">
        <v>10317</v>
      </c>
      <c r="B5791" s="132">
        <v>0.34166916026523386</v>
      </c>
      <c r="C5791" s="133"/>
    </row>
    <row r="5792" spans="1:3">
      <c r="A5792" s="131" t="s">
        <v>10318</v>
      </c>
      <c r="B5792" s="132">
        <v>3.5393425653795497E-4</v>
      </c>
      <c r="C5792" s="133"/>
    </row>
    <row r="5793" spans="1:3">
      <c r="A5793" s="131" t="s">
        <v>10319</v>
      </c>
      <c r="B5793" s="132">
        <v>5.08</v>
      </c>
      <c r="C5793" s="133"/>
    </row>
    <row r="5794" spans="1:3">
      <c r="A5794" s="131" t="s">
        <v>10320</v>
      </c>
      <c r="B5794" s="132">
        <v>5.5158801842480898E-4</v>
      </c>
      <c r="C5794" s="133"/>
    </row>
    <row r="5795" spans="1:3">
      <c r="A5795" s="131" t="s">
        <v>10321</v>
      </c>
      <c r="B5795" s="132">
        <v>3.0872013116957924E-5</v>
      </c>
      <c r="C5795" s="133"/>
    </row>
    <row r="5796" spans="1:3">
      <c r="A5796" s="131" t="s">
        <v>10322</v>
      </c>
      <c r="B5796" s="132">
        <v>5.0001666666666669E-4</v>
      </c>
      <c r="C5796" s="133"/>
    </row>
    <row r="5797" spans="1:3">
      <c r="A5797" s="131" t="s">
        <v>10323</v>
      </c>
      <c r="B5797" s="132">
        <v>0.32736036422481868</v>
      </c>
      <c r="C5797" s="133"/>
    </row>
    <row r="5798" spans="1:3">
      <c r="A5798" s="131" t="s">
        <v>10324</v>
      </c>
      <c r="B5798" s="132">
        <v>5.4940897971391678E-3</v>
      </c>
      <c r="C5798" s="133"/>
    </row>
    <row r="5799" spans="1:3">
      <c r="A5799" s="131" t="s">
        <v>10325</v>
      </c>
      <c r="B5799" s="132">
        <v>1.455235904</v>
      </c>
      <c r="C5799" s="133"/>
    </row>
    <row r="5800" spans="1:3">
      <c r="A5800" s="131" t="s">
        <v>10326</v>
      </c>
      <c r="B5800" s="132">
        <v>3.7207865620235489E-5</v>
      </c>
      <c r="C5800" s="133"/>
    </row>
    <row r="5801" spans="1:3">
      <c r="A5801" s="131" t="s">
        <v>10327</v>
      </c>
      <c r="B5801" s="132">
        <v>1.1200000000000001</v>
      </c>
      <c r="C5801" s="133"/>
    </row>
    <row r="5802" spans="1:3">
      <c r="A5802" s="131" t="s">
        <v>10328</v>
      </c>
      <c r="B5802" s="132">
        <v>7.2417548335166901E-3</v>
      </c>
      <c r="C5802" s="133"/>
    </row>
    <row r="5803" spans="1:3">
      <c r="A5803" s="131" t="s">
        <v>10329</v>
      </c>
      <c r="B5803" s="132">
        <v>4.1855900167253837E-2</v>
      </c>
      <c r="C5803" s="133"/>
    </row>
    <row r="5804" spans="1:3">
      <c r="A5804" s="131" t="s">
        <v>10330</v>
      </c>
      <c r="B5804" s="132">
        <v>6.2939998315414414E-6</v>
      </c>
      <c r="C5804" s="133"/>
    </row>
    <row r="5805" spans="1:3">
      <c r="A5805" s="131" t="s">
        <v>10331</v>
      </c>
      <c r="B5805" s="132">
        <v>1.1074999929405749E-4</v>
      </c>
      <c r="C5805" s="133"/>
    </row>
    <row r="5806" spans="1:3">
      <c r="A5806" s="131" t="s">
        <v>10332</v>
      </c>
      <c r="B5806" s="132">
        <v>1.7091919435188174E-3</v>
      </c>
      <c r="C5806" s="133"/>
    </row>
    <row r="5807" spans="1:3">
      <c r="A5807" s="131" t="s">
        <v>10333</v>
      </c>
      <c r="B5807" s="132">
        <v>0.12780687188657552</v>
      </c>
      <c r="C5807" s="133"/>
    </row>
    <row r="5808" spans="1:3">
      <c r="A5808" s="131" t="s">
        <v>10334</v>
      </c>
      <c r="B5808" s="132">
        <v>1.1513056693967063</v>
      </c>
      <c r="C5808" s="133"/>
    </row>
    <row r="5809" spans="1:3">
      <c r="A5809" s="131" t="s">
        <v>10335</v>
      </c>
      <c r="B5809" s="132">
        <v>3.194053913292313E-3</v>
      </c>
      <c r="C5809" s="133"/>
    </row>
    <row r="5810" spans="1:3">
      <c r="A5810" s="131" t="s">
        <v>10336</v>
      </c>
      <c r="B5810" s="132">
        <v>2.19</v>
      </c>
      <c r="C5810" s="133"/>
    </row>
    <row r="5811" spans="1:3">
      <c r="A5811" s="131" t="s">
        <v>10337</v>
      </c>
      <c r="B5811" s="132">
        <v>2.0494204014539719E-2</v>
      </c>
      <c r="C5811" s="133"/>
    </row>
    <row r="5812" spans="1:3">
      <c r="A5812" s="131" t="s">
        <v>10338</v>
      </c>
      <c r="B5812" s="132">
        <v>4.1796339365621167E-4</v>
      </c>
      <c r="C5812" s="133"/>
    </row>
    <row r="5813" spans="1:3">
      <c r="A5813" s="131" t="s">
        <v>10339</v>
      </c>
      <c r="B5813" s="132">
        <v>9.0236824951750989E-5</v>
      </c>
      <c r="C5813" s="133"/>
    </row>
    <row r="5814" spans="1:3">
      <c r="A5814" s="131" t="s">
        <v>10340</v>
      </c>
      <c r="B5814" s="132">
        <v>1.5169217586517334</v>
      </c>
      <c r="C5814" s="133"/>
    </row>
    <row r="5815" spans="1:3">
      <c r="A5815" s="131" t="s">
        <v>10341</v>
      </c>
      <c r="B5815" s="132">
        <v>3.6858787926096611E-3</v>
      </c>
      <c r="C5815" s="133"/>
    </row>
    <row r="5816" spans="1:3">
      <c r="A5816" s="131" t="s">
        <v>10342</v>
      </c>
      <c r="B5816" s="132">
        <v>0.14704409999999998</v>
      </c>
      <c r="C5816" s="133"/>
    </row>
    <row r="5817" spans="1:3">
      <c r="A5817" s="131" t="s">
        <v>10343</v>
      </c>
      <c r="B5817" s="132">
        <v>9.7103498410433531E-4</v>
      </c>
      <c r="C5817" s="133"/>
    </row>
    <row r="5818" spans="1:3">
      <c r="A5818" s="131" t="s">
        <v>10344</v>
      </c>
      <c r="B5818" s="132">
        <v>9.5000627559116251E-3</v>
      </c>
      <c r="C5818" s="133"/>
    </row>
    <row r="5819" spans="1:3">
      <c r="A5819" s="131" t="s">
        <v>10345</v>
      </c>
      <c r="B5819" s="132">
        <v>3.8449998100986704E-6</v>
      </c>
      <c r="C5819" s="133"/>
    </row>
    <row r="5820" spans="1:3">
      <c r="A5820" s="131" t="s">
        <v>10346</v>
      </c>
      <c r="B5820" s="132">
        <v>6.6981000000000001E-5</v>
      </c>
      <c r="C5820" s="133"/>
    </row>
    <row r="5821" spans="1:3">
      <c r="A5821" s="131" t="s">
        <v>10347</v>
      </c>
      <c r="B5821" s="132">
        <v>0.65015542507171631</v>
      </c>
      <c r="C5821" s="133"/>
    </row>
    <row r="5822" spans="1:3">
      <c r="A5822" s="131" t="s">
        <v>10348</v>
      </c>
      <c r="B5822" s="132">
        <v>0.1596328467130661</v>
      </c>
      <c r="C5822" s="133"/>
    </row>
    <row r="5823" spans="1:3">
      <c r="A5823" s="131" t="s">
        <v>10349</v>
      </c>
      <c r="B5823" s="132">
        <v>212.63251628514502</v>
      </c>
      <c r="C5823" s="133"/>
    </row>
    <row r="5824" spans="1:3">
      <c r="A5824" s="131" t="s">
        <v>10350</v>
      </c>
      <c r="B5824" s="132">
        <v>4.2083999142050743E-4</v>
      </c>
      <c r="C5824" s="133"/>
    </row>
    <row r="5825" spans="1:3">
      <c r="A5825" s="131" t="s">
        <v>10351</v>
      </c>
      <c r="B5825" s="132">
        <v>0.75035810470581055</v>
      </c>
      <c r="C5825" s="133"/>
    </row>
    <row r="5826" spans="1:3">
      <c r="A5826" s="131" t="s">
        <v>10352</v>
      </c>
      <c r="B5826" s="132">
        <v>2.8674299828708172E-3</v>
      </c>
      <c r="C5826" s="133"/>
    </row>
    <row r="5827" spans="1:3">
      <c r="A5827" s="131" t="s">
        <v>10353</v>
      </c>
      <c r="B5827" s="132">
        <v>18.82</v>
      </c>
      <c r="C5827" s="133"/>
    </row>
    <row r="5828" spans="1:3">
      <c r="A5828" s="131" t="s">
        <v>10354</v>
      </c>
      <c r="B5828" s="132">
        <v>7.8031382848335372E-3</v>
      </c>
      <c r="C5828" s="133"/>
    </row>
    <row r="5829" spans="1:3">
      <c r="A5829" s="131" t="s">
        <v>10355</v>
      </c>
      <c r="B5829" s="132">
        <v>74.61</v>
      </c>
      <c r="C5829" s="133"/>
    </row>
    <row r="5830" spans="1:3">
      <c r="A5830" s="131" t="s">
        <v>10356</v>
      </c>
      <c r="B5830" s="132">
        <v>9.6684914857519697</v>
      </c>
      <c r="C5830" s="133"/>
    </row>
    <row r="5831" spans="1:3">
      <c r="A5831" s="131" t="s">
        <v>10357</v>
      </c>
      <c r="B5831" s="132">
        <v>6.906669699116523E-2</v>
      </c>
      <c r="C5831" s="133"/>
    </row>
    <row r="5832" spans="1:3">
      <c r="A5832" s="131" t="s">
        <v>10358</v>
      </c>
      <c r="B5832" s="132">
        <v>2.78</v>
      </c>
      <c r="C5832" s="133"/>
    </row>
    <row r="5833" spans="1:3">
      <c r="A5833" s="131" t="s">
        <v>10359</v>
      </c>
      <c r="B5833" s="132">
        <v>50.03</v>
      </c>
      <c r="C5833" s="133"/>
    </row>
    <row r="5834" spans="1:3">
      <c r="A5834" s="131" t="s">
        <v>10360</v>
      </c>
      <c r="B5834" s="132">
        <v>12.271556895329001</v>
      </c>
      <c r="C5834" s="133"/>
    </row>
    <row r="5835" spans="1:3">
      <c r="A5835" s="131" t="s">
        <v>10361</v>
      </c>
      <c r="B5835" s="132">
        <v>6.5</v>
      </c>
      <c r="C5835" s="133"/>
    </row>
    <row r="5836" spans="1:3">
      <c r="A5836" s="131" t="s">
        <v>10362</v>
      </c>
      <c r="B5836" s="132">
        <v>12.9</v>
      </c>
      <c r="C5836" s="133"/>
    </row>
    <row r="5837" spans="1:3">
      <c r="A5837" s="131" t="s">
        <v>10363</v>
      </c>
      <c r="B5837" s="132">
        <v>0.32818468465884904</v>
      </c>
      <c r="C5837" s="133"/>
    </row>
    <row r="5838" spans="1:3">
      <c r="A5838" s="131" t="s">
        <v>10364</v>
      </c>
      <c r="B5838" s="132">
        <v>3.8021533333333335E-5</v>
      </c>
      <c r="C5838" s="133"/>
    </row>
    <row r="5839" spans="1:3">
      <c r="A5839" s="131" t="s">
        <v>10365</v>
      </c>
      <c r="B5839" s="132">
        <v>1.010649167251143E-3</v>
      </c>
      <c r="C5839" s="133"/>
    </row>
    <row r="5840" spans="1:3">
      <c r="A5840" s="131" t="s">
        <v>10366</v>
      </c>
      <c r="B5840" s="132">
        <v>4.9237661237076125E-2</v>
      </c>
      <c r="C5840" s="133"/>
    </row>
    <row r="5841" spans="1:3">
      <c r="A5841" s="131" t="s">
        <v>10367</v>
      </c>
      <c r="B5841" s="132">
        <v>28.5</v>
      </c>
      <c r="C5841" s="133"/>
    </row>
    <row r="5842" spans="1:3">
      <c r="A5842" s="131" t="s">
        <v>10368</v>
      </c>
      <c r="B5842" s="132">
        <v>3.7755005001387865E-3</v>
      </c>
      <c r="C5842" s="133"/>
    </row>
    <row r="5843" spans="1:3">
      <c r="A5843" s="131" t="s">
        <v>10369</v>
      </c>
      <c r="B5843" s="132">
        <v>3.4126376013295318E-4</v>
      </c>
      <c r="C5843" s="133"/>
    </row>
    <row r="5844" spans="1:3">
      <c r="A5844" s="131" t="s">
        <v>10370</v>
      </c>
      <c r="B5844" s="132">
        <v>9.6329748630523682E-2</v>
      </c>
      <c r="C5844" s="133"/>
    </row>
    <row r="5845" spans="1:3">
      <c r="A5845" s="131" t="s">
        <v>10371</v>
      </c>
      <c r="B5845" s="132">
        <v>1.7416233999712531</v>
      </c>
      <c r="C5845" s="133"/>
    </row>
    <row r="5846" spans="1:3">
      <c r="A5846" s="131" t="s">
        <v>10372</v>
      </c>
      <c r="B5846" s="132">
        <v>5.0638967401021891E-5</v>
      </c>
      <c r="C5846" s="133"/>
    </row>
    <row r="5847" spans="1:3">
      <c r="A5847" s="131" t="s">
        <v>10373</v>
      </c>
      <c r="B5847" s="132">
        <v>45.89</v>
      </c>
      <c r="C5847" s="133"/>
    </row>
    <row r="5848" spans="1:3">
      <c r="A5848" s="131" t="s">
        <v>10374</v>
      </c>
      <c r="B5848" s="132">
        <v>8.9744449903769838E-5</v>
      </c>
      <c r="C5848" s="133"/>
    </row>
    <row r="5849" spans="1:3">
      <c r="A5849" s="131" t="s">
        <v>10375</v>
      </c>
      <c r="B5849" s="132">
        <v>2.6643614342296111E-3</v>
      </c>
      <c r="C5849" s="133"/>
    </row>
    <row r="5850" spans="1:3">
      <c r="A5850" s="131" t="s">
        <v>10376</v>
      </c>
      <c r="B5850" s="132">
        <v>3.9485440936295219E-2</v>
      </c>
      <c r="C5850" s="133"/>
    </row>
    <row r="5851" spans="1:3">
      <c r="A5851" s="131" t="s">
        <v>10377</v>
      </c>
      <c r="B5851" s="132">
        <v>4.85260657227635E-4</v>
      </c>
      <c r="C5851" s="133"/>
    </row>
    <row r="5852" spans="1:3">
      <c r="A5852" s="131" t="s">
        <v>10378</v>
      </c>
      <c r="B5852" s="132">
        <v>7.8947339999999987E-3</v>
      </c>
      <c r="C5852" s="133"/>
    </row>
    <row r="5853" spans="1:3">
      <c r="A5853" s="131" t="s">
        <v>10379</v>
      </c>
      <c r="B5853" s="132">
        <v>1.0397348730605971</v>
      </c>
      <c r="C5853" s="133"/>
    </row>
    <row r="5854" spans="1:3">
      <c r="A5854" s="131" t="s">
        <v>10380</v>
      </c>
      <c r="B5854" s="132">
        <v>9.2541341737285257E-4</v>
      </c>
      <c r="C5854" s="133"/>
    </row>
    <row r="5855" spans="1:3">
      <c r="A5855" s="131" t="s">
        <v>10381</v>
      </c>
      <c r="B5855" s="132">
        <v>3.6313604919983068E-2</v>
      </c>
      <c r="C5855" s="133"/>
    </row>
    <row r="5856" spans="1:3">
      <c r="A5856" s="131" t="s">
        <v>10382</v>
      </c>
      <c r="B5856" s="132">
        <v>7.6075084799999998E-2</v>
      </c>
      <c r="C5856" s="133"/>
    </row>
    <row r="5857" spans="1:3">
      <c r="A5857" s="131" t="s">
        <v>10383</v>
      </c>
      <c r="B5857" s="132">
        <v>4.9889150493504992</v>
      </c>
      <c r="C5857" s="133"/>
    </row>
    <row r="5858" spans="1:3">
      <c r="A5858" s="131" t="s">
        <v>10384</v>
      </c>
      <c r="B5858" s="132">
        <v>9.1282246796318169E-3</v>
      </c>
      <c r="C5858" s="133"/>
    </row>
    <row r="5859" spans="1:3">
      <c r="A5859" s="131" t="s">
        <v>10385</v>
      </c>
      <c r="B5859" s="132">
        <v>1.4895934161311764E-2</v>
      </c>
      <c r="C5859" s="133"/>
    </row>
    <row r="5860" spans="1:3">
      <c r="A5860" s="131" t="s">
        <v>10386</v>
      </c>
      <c r="B5860" s="132">
        <v>6.0564125984119439E-3</v>
      </c>
      <c r="C5860" s="133"/>
    </row>
    <row r="5861" spans="1:3">
      <c r="A5861" s="131" t="s">
        <v>10387</v>
      </c>
      <c r="B5861" s="132">
        <v>1.7773671075701714E-2</v>
      </c>
      <c r="C5861" s="133"/>
    </row>
    <row r="5862" spans="1:3">
      <c r="A5862" s="131" t="s">
        <v>10388</v>
      </c>
      <c r="B5862" s="132">
        <v>1.7834173515439034E-2</v>
      </c>
      <c r="C5862" s="133"/>
    </row>
    <row r="5863" spans="1:3">
      <c r="A5863" s="131" t="s">
        <v>10389</v>
      </c>
      <c r="B5863" s="132">
        <v>7.8735996794421226E-5</v>
      </c>
      <c r="C5863" s="133"/>
    </row>
    <row r="5864" spans="1:3">
      <c r="A5864" s="131" t="s">
        <v>10390</v>
      </c>
      <c r="B5864" s="132">
        <v>4.2531999497441575E-5</v>
      </c>
      <c r="C5864" s="133"/>
    </row>
    <row r="5865" spans="1:3">
      <c r="A5865" s="131" t="s">
        <v>10391</v>
      </c>
      <c r="B5865" s="132">
        <v>30.8</v>
      </c>
      <c r="C5865" s="133"/>
    </row>
    <row r="5866" spans="1:3">
      <c r="A5866" s="131" t="s">
        <v>10392</v>
      </c>
      <c r="B5866" s="132">
        <v>0.11773019486631844</v>
      </c>
      <c r="C5866" s="133"/>
    </row>
    <row r="5867" spans="1:3">
      <c r="A5867" s="131" t="s">
        <v>10393</v>
      </c>
      <c r="B5867" s="132">
        <v>2.9098699451424181E-4</v>
      </c>
      <c r="C5867" s="133"/>
    </row>
    <row r="5868" spans="1:3">
      <c r="A5868" s="131" t="s">
        <v>10394</v>
      </c>
      <c r="B5868" s="132">
        <v>8.6451839999999969E-4</v>
      </c>
      <c r="C5868" s="133"/>
    </row>
    <row r="5869" spans="1:3">
      <c r="A5869" s="131" t="s">
        <v>10395</v>
      </c>
      <c r="B5869" s="132">
        <v>6.2800000932838884E-7</v>
      </c>
      <c r="C5869" s="133"/>
    </row>
    <row r="5870" spans="1:3">
      <c r="A5870" s="131" t="s">
        <v>10396</v>
      </c>
      <c r="B5870" s="132">
        <v>1.0000000116860974E-7</v>
      </c>
      <c r="C5870" s="133"/>
    </row>
    <row r="5871" spans="1:3">
      <c r="A5871" s="131" t="s">
        <v>10397</v>
      </c>
      <c r="B5871" s="132">
        <v>2.8213845602426233E-4</v>
      </c>
      <c r="C5871" s="133"/>
    </row>
    <row r="5872" spans="1:3">
      <c r="A5872" s="131" t="s">
        <v>10398</v>
      </c>
      <c r="B5872" s="132">
        <v>0.28560949640708999</v>
      </c>
      <c r="C5872" s="133"/>
    </row>
    <row r="5873" spans="1:3">
      <c r="A5873" s="131" t="s">
        <v>10399</v>
      </c>
      <c r="B5873" s="132">
        <v>8.2036803051290741E-2</v>
      </c>
      <c r="C5873" s="133"/>
    </row>
    <row r="5874" spans="1:3">
      <c r="A5874" s="131" t="s">
        <v>10400</v>
      </c>
      <c r="B5874" s="132">
        <v>1.9379354000000004E-3</v>
      </c>
      <c r="C5874" s="133"/>
    </row>
    <row r="5875" spans="1:3">
      <c r="A5875" s="131" t="s">
        <v>10401</v>
      </c>
      <c r="B5875" s="132">
        <v>0.32404554770059746</v>
      </c>
      <c r="C5875" s="133"/>
    </row>
    <row r="5876" spans="1:3">
      <c r="A5876" s="131" t="s">
        <v>10402</v>
      </c>
      <c r="B5876" s="132">
        <v>1.161002914253509</v>
      </c>
      <c r="C5876" s="133"/>
    </row>
    <row r="5877" spans="1:3">
      <c r="A5877" s="131" t="s">
        <v>10403</v>
      </c>
      <c r="B5877" s="132">
        <v>1.19</v>
      </c>
      <c r="C5877" s="133"/>
    </row>
    <row r="5878" spans="1:3">
      <c r="A5878" s="131" t="s">
        <v>10404</v>
      </c>
      <c r="B5878" s="132">
        <v>0.25852097821934072</v>
      </c>
      <c r="C5878" s="133"/>
    </row>
    <row r="5879" spans="1:3">
      <c r="A5879" s="131" t="s">
        <v>10405</v>
      </c>
      <c r="B5879" s="132">
        <v>5.7706998632056639E-5</v>
      </c>
      <c r="C5879" s="133"/>
    </row>
    <row r="5880" spans="1:3">
      <c r="A5880" s="131" t="s">
        <v>10406</v>
      </c>
      <c r="B5880" s="132">
        <v>1.2832863362721918E-3</v>
      </c>
      <c r="C5880" s="133"/>
    </row>
    <row r="5881" spans="1:3">
      <c r="A5881" s="131" t="s">
        <v>10407</v>
      </c>
      <c r="B5881" s="132">
        <v>0.1375825825095103</v>
      </c>
      <c r="C5881" s="133"/>
    </row>
    <row r="5882" spans="1:3">
      <c r="A5882" s="131" t="s">
        <v>10408</v>
      </c>
      <c r="B5882" s="132">
        <v>2.4695571046322584E-3</v>
      </c>
      <c r="C5882" s="133"/>
    </row>
    <row r="5883" spans="1:3">
      <c r="A5883" s="131" t="s">
        <v>10409</v>
      </c>
      <c r="B5883" s="132">
        <v>14.8</v>
      </c>
      <c r="C5883" s="133"/>
    </row>
    <row r="5884" spans="1:3">
      <c r="A5884" s="131" t="s">
        <v>10410</v>
      </c>
      <c r="B5884" s="132">
        <v>5.2068163576697482E-2</v>
      </c>
      <c r="C5884" s="133"/>
    </row>
    <row r="5885" spans="1:3">
      <c r="A5885" s="131" t="s">
        <v>10411</v>
      </c>
      <c r="B5885" s="132">
        <v>3.0703069642186165E-3</v>
      </c>
      <c r="C5885" s="133"/>
    </row>
    <row r="5886" spans="1:3">
      <c r="A5886" s="131" t="s">
        <v>10412</v>
      </c>
      <c r="B5886" s="132">
        <v>2.5387174663670745E-2</v>
      </c>
      <c r="C5886" s="133"/>
    </row>
    <row r="5887" spans="1:3">
      <c r="A5887" s="131" t="s">
        <v>10413</v>
      </c>
      <c r="B5887" s="132">
        <v>4.1043669916689396E-3</v>
      </c>
      <c r="C5887" s="133"/>
    </row>
    <row r="5888" spans="1:3">
      <c r="A5888" s="131" t="s">
        <v>10414</v>
      </c>
      <c r="B5888" s="132">
        <v>0.34458019078267216</v>
      </c>
      <c r="C5888" s="133"/>
    </row>
    <row r="5889" spans="1:3">
      <c r="A5889" s="131" t="s">
        <v>10415</v>
      </c>
      <c r="B5889" s="132">
        <v>0.14049842370407584</v>
      </c>
      <c r="C5889" s="133"/>
    </row>
    <row r="5890" spans="1:3">
      <c r="A5890" s="131" t="s">
        <v>10416</v>
      </c>
      <c r="B5890" s="132">
        <v>7.5174961999999994E-3</v>
      </c>
      <c r="C5890" s="133"/>
    </row>
    <row r="5891" spans="1:3">
      <c r="A5891" s="131" t="s">
        <v>10417</v>
      </c>
      <c r="B5891" s="132">
        <v>4.4627788205506995</v>
      </c>
      <c r="C5891" s="133"/>
    </row>
    <row r="5892" spans="1:3">
      <c r="A5892" s="131" t="s">
        <v>10418</v>
      </c>
      <c r="B5892" s="132">
        <v>0.43448901572459248</v>
      </c>
      <c r="C5892" s="133"/>
    </row>
    <row r="5893" spans="1:3">
      <c r="A5893" s="131" t="s">
        <v>10419</v>
      </c>
      <c r="B5893" s="132">
        <v>4904.29</v>
      </c>
      <c r="C5893" s="133"/>
    </row>
    <row r="5894" spans="1:3">
      <c r="A5894" s="131" t="s">
        <v>10420</v>
      </c>
      <c r="B5894" s="132">
        <v>1.1008769506588578E-3</v>
      </c>
      <c r="C5894" s="133"/>
    </row>
    <row r="5895" spans="1:3">
      <c r="A5895" s="131" t="s">
        <v>10421</v>
      </c>
      <c r="B5895" s="132">
        <v>1.7485020278380523</v>
      </c>
      <c r="C5895" s="133"/>
    </row>
    <row r="5896" spans="1:3">
      <c r="A5896" s="131" t="s">
        <v>10422</v>
      </c>
      <c r="B5896" s="132">
        <v>4.0010666666666666E-5</v>
      </c>
      <c r="C5896" s="133"/>
    </row>
    <row r="5897" spans="1:3">
      <c r="A5897" s="131" t="s">
        <v>10423</v>
      </c>
      <c r="B5897" s="132">
        <v>2.8007834762121692E-5</v>
      </c>
      <c r="C5897" s="133"/>
    </row>
    <row r="5898" spans="1:3">
      <c r="A5898" s="131" t="s">
        <v>10424</v>
      </c>
      <c r="B5898" s="132">
        <v>1.42</v>
      </c>
      <c r="C5898" s="133"/>
    </row>
    <row r="5899" spans="1:3">
      <c r="A5899" s="131" t="s">
        <v>10425</v>
      </c>
      <c r="B5899" s="132">
        <v>2.3847692612909999</v>
      </c>
      <c r="C5899" s="133"/>
    </row>
    <row r="5900" spans="1:3">
      <c r="A5900" s="131" t="s">
        <v>10426</v>
      </c>
      <c r="B5900" s="132">
        <v>6.0775857418775558E-2</v>
      </c>
      <c r="C5900" s="133"/>
    </row>
    <row r="5901" spans="1:3">
      <c r="A5901" s="131" t="s">
        <v>10427</v>
      </c>
      <c r="B5901" s="132">
        <v>1.6453122720122337E-2</v>
      </c>
      <c r="C5901" s="133"/>
    </row>
    <row r="5902" spans="1:3">
      <c r="A5902" s="131" t="s">
        <v>10428</v>
      </c>
      <c r="B5902" s="132">
        <v>3.0725313910331935E-3</v>
      </c>
      <c r="C5902" s="133"/>
    </row>
    <row r="5903" spans="1:3">
      <c r="A5903" s="131" t="s">
        <v>10429</v>
      </c>
      <c r="B5903" s="132">
        <v>6.4631798426235273E-2</v>
      </c>
      <c r="C5903" s="133"/>
    </row>
    <row r="5904" spans="1:3">
      <c r="A5904" s="131" t="s">
        <v>10430</v>
      </c>
      <c r="B5904" s="132">
        <v>3.925597110182341E-4</v>
      </c>
      <c r="C5904" s="133"/>
    </row>
    <row r="5905" spans="1:3">
      <c r="A5905" s="131" t="s">
        <v>10431</v>
      </c>
      <c r="B5905" s="132">
        <v>2.50225E-2</v>
      </c>
      <c r="C5905" s="133"/>
    </row>
    <row r="5906" spans="1:3">
      <c r="A5906" s="131" t="s">
        <v>10432</v>
      </c>
      <c r="B5906" s="132">
        <v>25.26</v>
      </c>
      <c r="C5906" s="133"/>
    </row>
    <row r="5907" spans="1:3">
      <c r="A5907" s="131" t="s">
        <v>10433</v>
      </c>
      <c r="B5907" s="132">
        <v>1.9084219268736345E-4</v>
      </c>
      <c r="C5907" s="133"/>
    </row>
    <row r="5908" spans="1:3">
      <c r="A5908" s="131" t="s">
        <v>10434</v>
      </c>
      <c r="B5908" s="132">
        <v>7.4234513999999977E-3</v>
      </c>
      <c r="C5908" s="133"/>
    </row>
    <row r="5909" spans="1:3">
      <c r="A5909" s="131" t="s">
        <v>10435</v>
      </c>
      <c r="B5909" s="132">
        <v>1.14002610513388E-2</v>
      </c>
      <c r="C5909" s="133"/>
    </row>
    <row r="5910" spans="1:3">
      <c r="A5910" s="131" t="s">
        <v>10436</v>
      </c>
      <c r="B5910" s="132">
        <v>230.99</v>
      </c>
      <c r="C5910" s="133"/>
    </row>
    <row r="5911" spans="1:3">
      <c r="A5911" s="131" t="s">
        <v>10437</v>
      </c>
      <c r="B5911" s="132">
        <v>9.4021120000000007E-3</v>
      </c>
      <c r="C5911" s="133"/>
    </row>
    <row r="5912" spans="1:3">
      <c r="A5912" s="131" t="s">
        <v>10438</v>
      </c>
      <c r="B5912" s="132">
        <v>1.6340000001946464E-6</v>
      </c>
      <c r="C5912" s="133"/>
    </row>
    <row r="5913" spans="1:3">
      <c r="A5913" s="131" t="s">
        <v>10439</v>
      </c>
      <c r="B5913" s="132">
        <v>0.14007933333133218</v>
      </c>
      <c r="C5913" s="133"/>
    </row>
    <row r="5914" spans="1:3">
      <c r="A5914" s="131" t="s">
        <v>10440</v>
      </c>
      <c r="B5914" s="132">
        <v>1.1158727874421648</v>
      </c>
      <c r="C5914" s="133"/>
    </row>
    <row r="5915" spans="1:3">
      <c r="A5915" s="131" t="s">
        <v>10441</v>
      </c>
      <c r="B5915" s="132">
        <v>0.34669655723093168</v>
      </c>
      <c r="C5915" s="133"/>
    </row>
    <row r="5916" spans="1:3">
      <c r="A5916" s="131" t="s">
        <v>10442</v>
      </c>
      <c r="B5916" s="132">
        <v>6.0050800675526261E-4</v>
      </c>
      <c r="C5916" s="133"/>
    </row>
    <row r="5917" spans="1:3">
      <c r="A5917" s="131" t="s">
        <v>10443</v>
      </c>
      <c r="B5917" s="132">
        <v>2.6013866666666666E-3</v>
      </c>
      <c r="C5917" s="133"/>
    </row>
    <row r="5918" spans="1:3">
      <c r="A5918" s="131" t="s">
        <v>10444</v>
      </c>
      <c r="B5918" s="132">
        <v>4.9129459999999996E-3</v>
      </c>
      <c r="C5918" s="133"/>
    </row>
    <row r="5919" spans="1:3">
      <c r="A5919" s="131" t="s">
        <v>10445</v>
      </c>
      <c r="B5919" s="132">
        <v>4.0173776231586245E-3</v>
      </c>
      <c r="C5919" s="133"/>
    </row>
    <row r="5920" spans="1:3">
      <c r="A5920" s="131" t="s">
        <v>10446</v>
      </c>
      <c r="B5920" s="132">
        <v>0.21747542917728424</v>
      </c>
      <c r="C5920" s="133"/>
    </row>
    <row r="5921" spans="1:3">
      <c r="A5921" s="131" t="s">
        <v>10447</v>
      </c>
      <c r="B5921" s="132">
        <v>1.0607449803501368E-3</v>
      </c>
      <c r="C5921" s="133"/>
    </row>
    <row r="5922" spans="1:3">
      <c r="A5922" s="131" t="s">
        <v>10448</v>
      </c>
      <c r="B5922" s="132">
        <v>9.9999999747524271E-7</v>
      </c>
      <c r="C5922" s="133"/>
    </row>
    <row r="5923" spans="1:3">
      <c r="A5923" s="131" t="s">
        <v>10449</v>
      </c>
      <c r="B5923" s="132">
        <v>6.1771828903127858E-4</v>
      </c>
      <c r="C5923" s="133"/>
    </row>
    <row r="5924" spans="1:3">
      <c r="A5924" s="131" t="s">
        <v>10450</v>
      </c>
      <c r="B5924" s="132">
        <v>1.3399360468611121E-3</v>
      </c>
      <c r="C5924" s="133"/>
    </row>
    <row r="5925" spans="1:3">
      <c r="A5925" s="131" t="s">
        <v>10451</v>
      </c>
      <c r="B5925" s="132">
        <v>6.2038037289425261E-3</v>
      </c>
      <c r="C5925" s="133"/>
    </row>
    <row r="5926" spans="1:3">
      <c r="A5926" s="131" t="s">
        <v>10452</v>
      </c>
      <c r="B5926" s="132">
        <v>5.3988897707313299E-4</v>
      </c>
      <c r="C5926" s="133"/>
    </row>
    <row r="5927" spans="1:3">
      <c r="A5927" s="131" t="s">
        <v>10453</v>
      </c>
      <c r="B5927" s="132">
        <v>8.6906314035264986E-4</v>
      </c>
      <c r="C5927" s="133"/>
    </row>
    <row r="5928" spans="1:3">
      <c r="A5928" s="131" t="s">
        <v>10454</v>
      </c>
      <c r="B5928" s="132">
        <v>4.0000551311336044E-5</v>
      </c>
      <c r="C5928" s="133"/>
    </row>
    <row r="5929" spans="1:3">
      <c r="A5929" s="131" t="s">
        <v>10455</v>
      </c>
      <c r="B5929" s="132">
        <v>2.2706585624489965E-2</v>
      </c>
      <c r="C5929" s="133"/>
    </row>
    <row r="5930" spans="1:3">
      <c r="A5930" s="131" t="s">
        <v>10456</v>
      </c>
      <c r="B5930" s="132">
        <v>3.2703133515448829E-4</v>
      </c>
      <c r="C5930" s="133"/>
    </row>
    <row r="5931" spans="1:3">
      <c r="A5931" s="131" t="s">
        <v>10457</v>
      </c>
      <c r="B5931" s="132">
        <v>1.6780700534582138E-3</v>
      </c>
      <c r="C5931" s="133"/>
    </row>
    <row r="5932" spans="1:3">
      <c r="A5932" s="131" t="s">
        <v>10458</v>
      </c>
      <c r="B5932" s="132">
        <v>5.9633404795132088E-3</v>
      </c>
      <c r="C5932" s="133"/>
    </row>
    <row r="5933" spans="1:3">
      <c r="A5933" s="131" t="s">
        <v>10459</v>
      </c>
      <c r="B5933" s="132">
        <v>9.1650627806800482E-3</v>
      </c>
      <c r="C5933" s="133"/>
    </row>
    <row r="5934" spans="1:3">
      <c r="A5934" s="131" t="s">
        <v>10460</v>
      </c>
      <c r="B5934" s="132">
        <v>66.81</v>
      </c>
      <c r="C5934" s="133"/>
    </row>
    <row r="5935" spans="1:3">
      <c r="A5935" s="131" t="s">
        <v>10461</v>
      </c>
      <c r="B5935" s="132">
        <v>4.9417463122502288E-4</v>
      </c>
      <c r="C5935" s="133"/>
    </row>
    <row r="5936" spans="1:3">
      <c r="A5936" s="131" t="s">
        <v>10462</v>
      </c>
      <c r="B5936" s="132">
        <v>0.11631313617467748</v>
      </c>
      <c r="C5936" s="133"/>
    </row>
    <row r="5937" spans="1:3">
      <c r="A5937" s="131" t="s">
        <v>10463</v>
      </c>
      <c r="B5937" s="132">
        <v>0.1328018456697464</v>
      </c>
      <c r="C5937" s="133"/>
    </row>
    <row r="5938" spans="1:3">
      <c r="A5938" s="131" t="s">
        <v>10464</v>
      </c>
      <c r="B5938" s="132">
        <v>0.94353124466077243</v>
      </c>
      <c r="C5938" s="133"/>
    </row>
    <row r="5939" spans="1:3">
      <c r="A5939" s="131" t="s">
        <v>10465</v>
      </c>
      <c r="B5939" s="132">
        <v>4.5385580684043081E-3</v>
      </c>
      <c r="C5939" s="133"/>
    </row>
    <row r="5940" spans="1:3">
      <c r="A5940" s="131" t="s">
        <v>10466</v>
      </c>
      <c r="B5940" s="132">
        <v>148.94999999999999</v>
      </c>
      <c r="C5940" s="133"/>
    </row>
    <row r="5941" spans="1:3">
      <c r="A5941" s="131" t="s">
        <v>10467</v>
      </c>
      <c r="B5941" s="132">
        <v>1.2871454954147339</v>
      </c>
      <c r="C5941" s="133"/>
    </row>
    <row r="5942" spans="1:3">
      <c r="A5942" s="131" t="s">
        <v>10468</v>
      </c>
      <c r="B5942" s="132">
        <v>11.73</v>
      </c>
      <c r="C5942" s="133"/>
    </row>
    <row r="5943" spans="1:3">
      <c r="A5943" s="131" t="s">
        <v>10469</v>
      </c>
      <c r="B5943" s="132">
        <v>0.36565545201301575</v>
      </c>
      <c r="C5943" s="133"/>
    </row>
    <row r="5944" spans="1:3">
      <c r="A5944" s="131" t="s">
        <v>10470</v>
      </c>
      <c r="B5944" s="132">
        <v>4.3022079874112284E-5</v>
      </c>
      <c r="C5944" s="133"/>
    </row>
    <row r="5945" spans="1:3">
      <c r="A5945" s="131" t="s">
        <v>10471</v>
      </c>
      <c r="B5945" s="132">
        <v>2.73</v>
      </c>
      <c r="C5945" s="133"/>
    </row>
    <row r="5946" spans="1:3">
      <c r="A5946" s="131" t="s">
        <v>10472</v>
      </c>
      <c r="B5946" s="132">
        <v>2.0423799753189087E-2</v>
      </c>
      <c r="C5946" s="133"/>
    </row>
    <row r="5947" spans="1:3">
      <c r="A5947" s="131" t="s">
        <v>10473</v>
      </c>
      <c r="B5947" s="132">
        <v>86.739829309453995</v>
      </c>
      <c r="C5947" s="133"/>
    </row>
    <row r="5948" spans="1:3">
      <c r="A5948" s="131" t="s">
        <v>10474</v>
      </c>
      <c r="B5948" s="132">
        <v>9.0775955468416214E-3</v>
      </c>
      <c r="C5948" s="133"/>
    </row>
    <row r="5949" spans="1:3">
      <c r="A5949" s="131" t="s">
        <v>10475</v>
      </c>
      <c r="B5949" s="132">
        <v>1.3685700250789523E-3</v>
      </c>
      <c r="C5949" s="133"/>
    </row>
    <row r="5950" spans="1:3">
      <c r="A5950" s="131" t="s">
        <v>10476</v>
      </c>
      <c r="B5950" s="132">
        <v>3.73958272612545</v>
      </c>
      <c r="C5950" s="133"/>
    </row>
    <row r="5951" spans="1:3">
      <c r="A5951" s="131" t="s">
        <v>10477</v>
      </c>
      <c r="B5951" s="132">
        <v>4.67</v>
      </c>
      <c r="C5951" s="133"/>
    </row>
    <row r="5952" spans="1:3">
      <c r="A5952" s="131" t="s">
        <v>10478</v>
      </c>
      <c r="B5952" s="132">
        <v>1.581334989768356E-5</v>
      </c>
      <c r="C5952" s="133"/>
    </row>
    <row r="5953" spans="1:3">
      <c r="A5953" s="131" t="s">
        <v>10479</v>
      </c>
      <c r="B5953" s="132">
        <v>2.9997300589457154E-4</v>
      </c>
      <c r="C5953" s="133"/>
    </row>
    <row r="5954" spans="1:3">
      <c r="A5954" s="131" t="s">
        <v>10480</v>
      </c>
      <c r="B5954" s="132">
        <v>1.2163047111722656</v>
      </c>
      <c r="C5954" s="133"/>
    </row>
    <row r="5955" spans="1:3">
      <c r="A5955" s="131" t="s">
        <v>10481</v>
      </c>
      <c r="B5955" s="132">
        <v>0.13046388766666675</v>
      </c>
      <c r="C5955" s="133"/>
    </row>
    <row r="5956" spans="1:3">
      <c r="A5956" s="131" t="s">
        <v>10482</v>
      </c>
      <c r="B5956" s="132">
        <v>7.6272955341520534E-3</v>
      </c>
      <c r="C5956" s="133"/>
    </row>
    <row r="5957" spans="1:3">
      <c r="A5957" s="131" t="s">
        <v>10483</v>
      </c>
      <c r="B5957" s="132">
        <v>7.093545000000092E-6</v>
      </c>
      <c r="C5957" s="133"/>
    </row>
    <row r="5958" spans="1:3">
      <c r="A5958" s="131" t="s">
        <v>10484</v>
      </c>
      <c r="B5958" s="132">
        <v>1.0666041520005125E-2</v>
      </c>
      <c r="C5958" s="133"/>
    </row>
    <row r="5959" spans="1:3">
      <c r="A5959" s="131" t="s">
        <v>10485</v>
      </c>
      <c r="B5959" s="132">
        <v>0.1403048394724781</v>
      </c>
      <c r="C5959" s="133"/>
    </row>
    <row r="5960" spans="1:3">
      <c r="A5960" s="131" t="s">
        <v>10486</v>
      </c>
      <c r="B5960" s="132">
        <v>2.3909999526949832E-6</v>
      </c>
      <c r="C5960" s="133"/>
    </row>
    <row r="5961" spans="1:3">
      <c r="A5961" s="131" t="s">
        <v>10487</v>
      </c>
      <c r="B5961" s="132">
        <v>8.161094019292525E-5</v>
      </c>
      <c r="C5961" s="133"/>
    </row>
    <row r="5962" spans="1:3">
      <c r="A5962" s="131" t="s">
        <v>10488</v>
      </c>
      <c r="B5962" s="132">
        <v>5.3341065095815652E-3</v>
      </c>
      <c r="C5962" s="133"/>
    </row>
    <row r="5963" spans="1:3">
      <c r="A5963" s="131" t="s">
        <v>10489</v>
      </c>
      <c r="B5963" s="132">
        <v>4.0271344450094677E-2</v>
      </c>
      <c r="C5963" s="133"/>
    </row>
    <row r="5964" spans="1:3">
      <c r="A5964" s="131" t="s">
        <v>10490</v>
      </c>
      <c r="B5964" s="132">
        <v>17.72</v>
      </c>
      <c r="C5964" s="133"/>
    </row>
    <row r="5965" spans="1:3">
      <c r="A5965" s="131" t="s">
        <v>10491</v>
      </c>
      <c r="B5965" s="132">
        <v>3.9329268038272858E-3</v>
      </c>
      <c r="C5965" s="133"/>
    </row>
    <row r="5966" spans="1:3">
      <c r="A5966" s="131" t="s">
        <v>10492</v>
      </c>
      <c r="B5966" s="132">
        <v>5.55</v>
      </c>
      <c r="C5966" s="133"/>
    </row>
    <row r="5967" spans="1:3">
      <c r="A5967" s="131" t="s">
        <v>10493</v>
      </c>
      <c r="B5967" s="132">
        <v>0.256801689</v>
      </c>
      <c r="C5967" s="133"/>
    </row>
    <row r="5968" spans="1:3">
      <c r="A5968" s="131" t="s">
        <v>10494</v>
      </c>
      <c r="B5968" s="132">
        <v>4.642474666666666E-3</v>
      </c>
      <c r="C5968" s="133"/>
    </row>
    <row r="5969" spans="1:3">
      <c r="A5969" s="131" t="s">
        <v>10495</v>
      </c>
      <c r="B5969" s="132">
        <v>1.2119000166421756E-4</v>
      </c>
      <c r="C5969" s="133"/>
    </row>
    <row r="5970" spans="1:3">
      <c r="A5970" s="131" t="s">
        <v>10496</v>
      </c>
      <c r="B5970" s="132">
        <v>0.15093399779135286</v>
      </c>
      <c r="C5970" s="133"/>
    </row>
    <row r="5971" spans="1:3">
      <c r="A5971" s="131" t="s">
        <v>10497</v>
      </c>
      <c r="B5971" s="132">
        <v>45.84</v>
      </c>
      <c r="C5971" s="133"/>
    </row>
    <row r="5972" spans="1:3">
      <c r="A5972" s="131" t="s">
        <v>10498</v>
      </c>
      <c r="B5972" s="132">
        <v>3.8283000321825966E-5</v>
      </c>
      <c r="C5972" s="133"/>
    </row>
    <row r="5973" spans="1:3">
      <c r="A5973" s="131" t="s">
        <v>10499</v>
      </c>
      <c r="B5973" s="132">
        <v>4.2091961089949901E-5</v>
      </c>
      <c r="C5973" s="133"/>
    </row>
    <row r="5974" spans="1:3">
      <c r="A5974" s="131" t="s">
        <v>10500</v>
      </c>
      <c r="B5974" s="132">
        <v>6.2671198975294828E-4</v>
      </c>
      <c r="C5974" s="133"/>
    </row>
    <row r="5975" spans="1:3">
      <c r="A5975" s="131" t="s">
        <v>10501</v>
      </c>
      <c r="B5975" s="132">
        <v>5.0180089999999993E-4</v>
      </c>
      <c r="C5975" s="133"/>
    </row>
    <row r="5976" spans="1:3">
      <c r="A5976" s="131" t="s">
        <v>10502</v>
      </c>
      <c r="B5976" s="132">
        <v>6.1743864374206384E-2</v>
      </c>
      <c r="C5976" s="133"/>
    </row>
    <row r="5977" spans="1:3">
      <c r="A5977" s="131" t="s">
        <v>10503</v>
      </c>
      <c r="B5977" s="132">
        <v>2.3089200258255005E-3</v>
      </c>
      <c r="C5977" s="133"/>
    </row>
    <row r="5978" spans="1:3">
      <c r="A5978" s="131" t="s">
        <v>10504</v>
      </c>
      <c r="B5978" s="132">
        <v>3.3142429310828447E-3</v>
      </c>
      <c r="C5978" s="133"/>
    </row>
    <row r="5979" spans="1:3">
      <c r="A5979" s="131" t="s">
        <v>10505</v>
      </c>
      <c r="B5979" s="132">
        <v>7.5454821694347675E-3</v>
      </c>
      <c r="C5979" s="133"/>
    </row>
    <row r="5980" spans="1:3">
      <c r="A5980" s="131" t="s">
        <v>10506</v>
      </c>
      <c r="B5980" s="132">
        <v>9.9327000498306006E-5</v>
      </c>
      <c r="C5980" s="133"/>
    </row>
    <row r="5981" spans="1:3">
      <c r="A5981" s="131" t="s">
        <v>10507</v>
      </c>
      <c r="B5981" s="132">
        <v>4.5223689599412096E-3</v>
      </c>
      <c r="C5981" s="133"/>
    </row>
    <row r="5982" spans="1:3">
      <c r="A5982" s="131" t="s">
        <v>10508</v>
      </c>
      <c r="B5982" s="132">
        <v>2.2909728667436489E-2</v>
      </c>
      <c r="C5982" s="133"/>
    </row>
    <row r="5983" spans="1:3">
      <c r="A5983" s="131" t="s">
        <v>10509</v>
      </c>
      <c r="B5983" s="132">
        <v>3.9529852569103241E-2</v>
      </c>
      <c r="C5983" s="133"/>
    </row>
    <row r="5984" spans="1:3">
      <c r="A5984" s="131" t="s">
        <v>10510</v>
      </c>
      <c r="B5984" s="132">
        <v>1.7610999930184335E-4</v>
      </c>
      <c r="C5984" s="133"/>
    </row>
    <row r="5985" spans="1:3">
      <c r="A5985" s="131" t="s">
        <v>10511</v>
      </c>
      <c r="B5985" s="132">
        <v>7.86</v>
      </c>
      <c r="C5985" s="133"/>
    </row>
    <row r="5986" spans="1:3">
      <c r="A5986" s="131" t="s">
        <v>10512</v>
      </c>
      <c r="B5986" s="132">
        <v>2.1400196677827128E-3</v>
      </c>
      <c r="C5986" s="133"/>
    </row>
    <row r="5987" spans="1:3">
      <c r="A5987" s="131" t="s">
        <v>10513</v>
      </c>
      <c r="B5987" s="132">
        <v>9.66</v>
      </c>
      <c r="C5987" s="133"/>
    </row>
    <row r="5988" spans="1:3">
      <c r="A5988" s="131" t="s">
        <v>10514</v>
      </c>
      <c r="B5988" s="132">
        <v>1.1135980488934601E-2</v>
      </c>
      <c r="C5988" s="133"/>
    </row>
    <row r="5989" spans="1:3">
      <c r="A5989" s="131" t="s">
        <v>10515</v>
      </c>
      <c r="B5989" s="132">
        <v>1.762795598036548E-3</v>
      </c>
      <c r="C5989" s="133"/>
    </row>
    <row r="5990" spans="1:3">
      <c r="A5990" s="131" t="s">
        <v>10516</v>
      </c>
      <c r="B5990" s="132">
        <v>2.6691779333333325E-3</v>
      </c>
      <c r="C5990" s="133"/>
    </row>
    <row r="5991" spans="1:3">
      <c r="A5991" s="131" t="s">
        <v>10517</v>
      </c>
      <c r="B5991" s="132">
        <v>4.9925167113542557E-2</v>
      </c>
      <c r="C5991" s="133"/>
    </row>
    <row r="5992" spans="1:3">
      <c r="A5992" s="131" t="s">
        <v>10518</v>
      </c>
      <c r="B5992" s="132">
        <v>0.17390344602784241</v>
      </c>
      <c r="C5992" s="133"/>
    </row>
    <row r="5993" spans="1:3">
      <c r="A5993" s="131" t="s">
        <v>10519</v>
      </c>
      <c r="B5993" s="132">
        <v>1.2354365780625572E-3</v>
      </c>
      <c r="C5993" s="133"/>
    </row>
    <row r="5994" spans="1:3">
      <c r="A5994" s="131" t="s">
        <v>10520</v>
      </c>
      <c r="B5994" s="132">
        <v>2.0509847346435787E-2</v>
      </c>
      <c r="C5994" s="133"/>
    </row>
    <row r="5995" spans="1:3">
      <c r="A5995" s="131" t="s">
        <v>10521</v>
      </c>
      <c r="B5995" s="132">
        <v>6.4537948928773403E-3</v>
      </c>
      <c r="C5995" s="133"/>
    </row>
    <row r="5996" spans="1:3">
      <c r="A5996" s="131" t="s">
        <v>10522</v>
      </c>
      <c r="B5996" s="132">
        <v>10.98</v>
      </c>
      <c r="C5996" s="133"/>
    </row>
    <row r="5997" spans="1:3">
      <c r="A5997" s="131" t="s">
        <v>10523</v>
      </c>
      <c r="B5997" s="132">
        <v>0.10001281648874283</v>
      </c>
      <c r="C5997" s="133"/>
    </row>
    <row r="5998" spans="1:3">
      <c r="A5998" s="131" t="s">
        <v>10524</v>
      </c>
      <c r="B5998" s="132">
        <v>28.229274765724021</v>
      </c>
      <c r="C5998" s="133"/>
    </row>
    <row r="5999" spans="1:3">
      <c r="A5999" s="131" t="s">
        <v>10525</v>
      </c>
      <c r="B5999" s="132">
        <v>26.7</v>
      </c>
      <c r="C5999" s="133"/>
    </row>
    <row r="6000" spans="1:3">
      <c r="A6000" s="131" t="s">
        <v>10526</v>
      </c>
      <c r="B6000" s="132">
        <v>1.1004033333333334E-3</v>
      </c>
      <c r="C6000" s="133"/>
    </row>
    <row r="6001" spans="1:3">
      <c r="A6001" s="131" t="s">
        <v>10527</v>
      </c>
      <c r="B6001" s="132">
        <v>1.0078076532587441</v>
      </c>
      <c r="C6001" s="133"/>
    </row>
    <row r="6002" spans="1:3">
      <c r="A6002" s="131" t="s">
        <v>10528</v>
      </c>
      <c r="B6002" s="132">
        <v>1.5037164513195797E-4</v>
      </c>
      <c r="C6002" s="133"/>
    </row>
    <row r="6003" spans="1:3">
      <c r="A6003" s="131" t="s">
        <v>10529</v>
      </c>
      <c r="B6003" s="132">
        <v>2.0528885816667487E-3</v>
      </c>
      <c r="C6003" s="133"/>
    </row>
    <row r="6004" spans="1:3">
      <c r="A6004" s="131" t="s">
        <v>10530</v>
      </c>
      <c r="B6004" s="132">
        <v>0.72038000000000002</v>
      </c>
      <c r="C6004" s="133"/>
    </row>
    <row r="6005" spans="1:3">
      <c r="A6005" s="131" t="s">
        <v>10531</v>
      </c>
      <c r="B6005" s="132">
        <v>1.2798439711332321E-3</v>
      </c>
      <c r="C6005" s="133"/>
    </row>
    <row r="6006" spans="1:3">
      <c r="A6006" s="131" t="s">
        <v>10532</v>
      </c>
      <c r="B6006" s="132">
        <v>9.0044999999999986E-3</v>
      </c>
      <c r="C6006" s="133"/>
    </row>
    <row r="6007" spans="1:3">
      <c r="A6007" s="131" t="s">
        <v>10533</v>
      </c>
      <c r="B6007" s="132">
        <v>4.2116907435390148E-3</v>
      </c>
      <c r="C6007" s="133"/>
    </row>
    <row r="6008" spans="1:3">
      <c r="A6008" s="131" t="s">
        <v>10534</v>
      </c>
      <c r="B6008" s="132">
        <v>0.85401811641622627</v>
      </c>
      <c r="C6008" s="133"/>
    </row>
    <row r="6009" spans="1:3">
      <c r="A6009" s="131" t="s">
        <v>10535</v>
      </c>
      <c r="B6009" s="132">
        <v>1.3169000339985359E-5</v>
      </c>
      <c r="C6009" s="133"/>
    </row>
    <row r="6010" spans="1:3">
      <c r="A6010" s="131" t="s">
        <v>10536</v>
      </c>
      <c r="B6010" s="132">
        <v>0.10483699023760149</v>
      </c>
      <c r="C6010" s="133"/>
    </row>
    <row r="6011" spans="1:3">
      <c r="A6011" s="131" t="s">
        <v>10537</v>
      </c>
      <c r="B6011" s="132">
        <v>9.94</v>
      </c>
      <c r="C6011" s="133"/>
    </row>
    <row r="6012" spans="1:3">
      <c r="A6012" s="131" t="s">
        <v>10538</v>
      </c>
      <c r="B6012" s="132">
        <v>5.380687906904192E-31</v>
      </c>
      <c r="C6012" s="133"/>
    </row>
    <row r="6013" spans="1:3">
      <c r="A6013" s="131" t="s">
        <v>10539</v>
      </c>
      <c r="B6013" s="132">
        <v>6.0031999999999997E-5</v>
      </c>
      <c r="C6013" s="133"/>
    </row>
    <row r="6014" spans="1:3">
      <c r="A6014" s="131" t="s">
        <v>10540</v>
      </c>
      <c r="B6014" s="132">
        <v>0.1796663223611942</v>
      </c>
      <c r="C6014" s="133"/>
    </row>
    <row r="6015" spans="1:3">
      <c r="A6015" s="131" t="s">
        <v>10541</v>
      </c>
      <c r="B6015" s="132">
        <v>2.0390600548125803E-4</v>
      </c>
      <c r="C6015" s="133"/>
    </row>
    <row r="6016" spans="1:3">
      <c r="A6016" s="131" t="s">
        <v>10542</v>
      </c>
      <c r="B6016" s="132">
        <v>58.03</v>
      </c>
      <c r="C6016" s="133"/>
    </row>
    <row r="6017" spans="1:3">
      <c r="A6017" s="131" t="s">
        <v>10543</v>
      </c>
      <c r="B6017" s="132">
        <v>61425</v>
      </c>
      <c r="C6017" s="133"/>
    </row>
    <row r="6018" spans="1:3">
      <c r="A6018" s="131" t="s">
        <v>10544</v>
      </c>
      <c r="B6018" s="132">
        <v>0.1961950957775116</v>
      </c>
      <c r="C6018" s="133"/>
    </row>
    <row r="6019" spans="1:3">
      <c r="A6019" s="131" t="s">
        <v>10545</v>
      </c>
      <c r="B6019" s="132">
        <v>7.44</v>
      </c>
      <c r="C6019" s="133"/>
    </row>
    <row r="6020" spans="1:3">
      <c r="A6020" s="131" t="s">
        <v>10546</v>
      </c>
      <c r="B6020" s="132">
        <v>1.2421579681606157E-3</v>
      </c>
      <c r="C6020" s="133"/>
    </row>
    <row r="6021" spans="1:3">
      <c r="A6021" s="131" t="s">
        <v>10547</v>
      </c>
      <c r="B6021" s="132">
        <v>13.359345938034949</v>
      </c>
      <c r="C6021" s="133"/>
    </row>
    <row r="6022" spans="1:3">
      <c r="A6022" s="131" t="s">
        <v>10548</v>
      </c>
      <c r="B6022" s="132">
        <v>1.4157890204375257E-2</v>
      </c>
      <c r="C6022" s="133"/>
    </row>
    <row r="6023" spans="1:3">
      <c r="A6023" s="131" t="s">
        <v>10549</v>
      </c>
      <c r="B6023" s="132">
        <v>0.25890350341796875</v>
      </c>
      <c r="C6023" s="133"/>
    </row>
    <row r="6024" spans="1:3">
      <c r="A6024" s="131" t="s">
        <v>10550</v>
      </c>
      <c r="B6024" s="132">
        <v>1.1401900555938482E-3</v>
      </c>
      <c r="C6024" s="133"/>
    </row>
    <row r="6025" spans="1:3">
      <c r="A6025" s="131" t="s">
        <v>10551</v>
      </c>
      <c r="B6025" s="132">
        <v>3.0132363272207731E-2</v>
      </c>
      <c r="C6025" s="133"/>
    </row>
    <row r="6026" spans="1:3">
      <c r="A6026" s="131" t="s">
        <v>10552</v>
      </c>
      <c r="B6026" s="132">
        <v>4.7927143333333332E-3</v>
      </c>
      <c r="C6026" s="133"/>
    </row>
    <row r="6027" spans="1:3">
      <c r="A6027" s="131" t="s">
        <v>10553</v>
      </c>
      <c r="B6027" s="132">
        <v>1.6195000572065868E-4</v>
      </c>
      <c r="C6027" s="133"/>
    </row>
    <row r="6028" spans="1:3">
      <c r="A6028" s="131" t="s">
        <v>10554</v>
      </c>
      <c r="B6028" s="132">
        <v>3.26</v>
      </c>
      <c r="C6028" s="133"/>
    </row>
    <row r="6029" spans="1:3">
      <c r="A6029" s="131" t="s">
        <v>10555</v>
      </c>
      <c r="B6029" s="132">
        <v>36.64</v>
      </c>
      <c r="C6029" s="133"/>
    </row>
    <row r="6030" spans="1:3">
      <c r="A6030" s="131" t="s">
        <v>10556</v>
      </c>
      <c r="B6030" s="132">
        <v>5.4143508896231651E-3</v>
      </c>
      <c r="C6030" s="133"/>
    </row>
    <row r="6031" spans="1:3">
      <c r="A6031" s="131" t="s">
        <v>10557</v>
      </c>
      <c r="B6031" s="132">
        <v>0.31526986063907481</v>
      </c>
      <c r="C6031" s="133"/>
    </row>
    <row r="6032" spans="1:3">
      <c r="A6032" s="131" t="s">
        <v>10558</v>
      </c>
      <c r="B6032" s="132">
        <v>6.177182890312786E-5</v>
      </c>
      <c r="C6032" s="133"/>
    </row>
    <row r="6033" spans="1:3">
      <c r="A6033" s="131" t="s">
        <v>10559</v>
      </c>
      <c r="B6033" s="132">
        <v>1.4804215170443058E-2</v>
      </c>
      <c r="C6033" s="133"/>
    </row>
    <row r="6034" spans="1:3">
      <c r="A6034" s="131" t="s">
        <v>10560</v>
      </c>
      <c r="B6034" s="132">
        <v>8.7353192138340749E-5</v>
      </c>
      <c r="C6034" s="133"/>
    </row>
    <row r="6035" spans="1:3">
      <c r="A6035" s="131" t="s">
        <v>10561</v>
      </c>
      <c r="B6035" s="132">
        <v>9.5379357316383875E-2</v>
      </c>
      <c r="C6035" s="133"/>
    </row>
    <row r="6036" spans="1:3">
      <c r="A6036" s="131" t="s">
        <v>10562</v>
      </c>
      <c r="B6036" s="132">
        <v>1.2996649602428079E-3</v>
      </c>
      <c r="C6036" s="133"/>
    </row>
    <row r="6037" spans="1:3">
      <c r="A6037" s="131" t="s">
        <v>10563</v>
      </c>
      <c r="B6037" s="132">
        <v>73.69</v>
      </c>
      <c r="C6037" s="133"/>
    </row>
    <row r="6038" spans="1:3">
      <c r="A6038" s="131" t="s">
        <v>10564</v>
      </c>
      <c r="B6038" s="132">
        <v>1.521223935E-2</v>
      </c>
      <c r="C6038" s="133"/>
    </row>
    <row r="6039" spans="1:3">
      <c r="A6039" s="131" t="s">
        <v>10565</v>
      </c>
      <c r="B6039" s="132">
        <v>0.27536063551750323</v>
      </c>
      <c r="C6039" s="133"/>
    </row>
    <row r="6040" spans="1:3">
      <c r="A6040" s="131" t="s">
        <v>10566</v>
      </c>
      <c r="B6040" s="132">
        <v>1.5260117353539653E-2</v>
      </c>
      <c r="C6040" s="133"/>
    </row>
    <row r="6041" spans="1:3">
      <c r="A6041" s="131" t="s">
        <v>10567</v>
      </c>
      <c r="B6041" s="132">
        <v>5.6</v>
      </c>
      <c r="C6041" s="133"/>
    </row>
    <row r="6042" spans="1:3">
      <c r="A6042" s="131" t="s">
        <v>10568</v>
      </c>
      <c r="B6042" s="132">
        <v>0.10472009005117569</v>
      </c>
      <c r="C6042" s="133"/>
    </row>
    <row r="6043" spans="1:3">
      <c r="A6043" s="131" t="s">
        <v>10569</v>
      </c>
      <c r="B6043" s="132">
        <v>2.67</v>
      </c>
      <c r="C6043" s="133"/>
    </row>
    <row r="6044" spans="1:3">
      <c r="A6044" s="131" t="s">
        <v>10570</v>
      </c>
      <c r="B6044" s="132">
        <v>24.2</v>
      </c>
      <c r="C6044" s="133"/>
    </row>
    <row r="6045" spans="1:3">
      <c r="A6045" s="131" t="s">
        <v>10571</v>
      </c>
      <c r="B6045" s="132">
        <v>1.6511591151356697E-2</v>
      </c>
      <c r="C6045" s="133"/>
    </row>
    <row r="6046" spans="1:3">
      <c r="A6046" s="131" t="s">
        <v>10572</v>
      </c>
      <c r="B6046" s="132">
        <v>1.5008000000000001E-3</v>
      </c>
      <c r="C6046" s="133"/>
    </row>
    <row r="6047" spans="1:3">
      <c r="A6047" s="131" t="s">
        <v>10573</v>
      </c>
      <c r="B6047" s="132">
        <v>6.08</v>
      </c>
      <c r="C6047" s="133"/>
    </row>
    <row r="6048" spans="1:3">
      <c r="A6048" s="131" t="s">
        <v>10574</v>
      </c>
      <c r="B6048" s="132">
        <v>6.943424153335534E-2</v>
      </c>
      <c r="C6048" s="133"/>
    </row>
    <row r="6049" spans="1:3">
      <c r="A6049" s="131" t="s">
        <v>10575</v>
      </c>
      <c r="B6049" s="132">
        <v>5.6023593999999979E-3</v>
      </c>
      <c r="C6049" s="133"/>
    </row>
    <row r="6050" spans="1:3">
      <c r="A6050" s="131" t="s">
        <v>10576</v>
      </c>
      <c r="B6050" s="132">
        <v>8.0047997471410781E-5</v>
      </c>
      <c r="C6050" s="133"/>
    </row>
    <row r="6051" spans="1:3">
      <c r="A6051" s="131" t="s">
        <v>10577</v>
      </c>
      <c r="B6051" s="132">
        <v>1.23</v>
      </c>
      <c r="C6051" s="133"/>
    </row>
    <row r="6052" spans="1:3">
      <c r="A6052" s="131" t="s">
        <v>10578</v>
      </c>
      <c r="B6052" s="132">
        <v>3.59</v>
      </c>
      <c r="C6052" s="133"/>
    </row>
    <row r="6053" spans="1:3">
      <c r="A6053" s="131" t="s">
        <v>10579</v>
      </c>
      <c r="B6053" s="132">
        <v>0.23132563440940829</v>
      </c>
      <c r="C6053" s="133"/>
    </row>
    <row r="6054" spans="1:3">
      <c r="A6054" s="131" t="s">
        <v>10580</v>
      </c>
      <c r="B6054" s="132">
        <v>0.33481016755104065</v>
      </c>
      <c r="C6054" s="133"/>
    </row>
    <row r="6055" spans="1:3">
      <c r="A6055" s="131" t="s">
        <v>10581</v>
      </c>
      <c r="B6055" s="132">
        <v>8.0145390000002669E-6</v>
      </c>
      <c r="C6055" s="133"/>
    </row>
    <row r="6056" spans="1:3">
      <c r="A6056" s="131" t="s">
        <v>10582</v>
      </c>
      <c r="B6056" s="132">
        <v>8.4555853305889467E-2</v>
      </c>
      <c r="C6056" s="133"/>
    </row>
    <row r="6057" spans="1:3">
      <c r="A6057" s="131" t="s">
        <v>10583</v>
      </c>
      <c r="B6057" s="132">
        <v>5.0856047519800281E-2</v>
      </c>
      <c r="C6057" s="133"/>
    </row>
    <row r="6058" spans="1:3">
      <c r="A6058" s="131" t="s">
        <v>10584</v>
      </c>
      <c r="B6058" s="132">
        <v>6.1677139862902856E-4</v>
      </c>
      <c r="C6058" s="133"/>
    </row>
    <row r="6059" spans="1:3">
      <c r="A6059" s="131" t="s">
        <v>10585</v>
      </c>
      <c r="B6059" s="132">
        <v>1.7879616648937162</v>
      </c>
      <c r="C6059" s="133"/>
    </row>
    <row r="6060" spans="1:3">
      <c r="A6060" s="131" t="s">
        <v>10586</v>
      </c>
      <c r="B6060" s="132">
        <v>28.32</v>
      </c>
      <c r="C6060" s="133"/>
    </row>
    <row r="6061" spans="1:3">
      <c r="A6061" s="131" t="s">
        <v>10587</v>
      </c>
      <c r="B6061" s="132">
        <v>2.851452911272645E-3</v>
      </c>
      <c r="C6061" s="133"/>
    </row>
    <row r="6062" spans="1:3">
      <c r="A6062" s="131" t="s">
        <v>10588</v>
      </c>
      <c r="B6062" s="132">
        <v>2.1629980174932402E-2</v>
      </c>
      <c r="C6062" s="133"/>
    </row>
    <row r="6063" spans="1:3">
      <c r="A6063" s="131" t="s">
        <v>10589</v>
      </c>
      <c r="B6063" s="132">
        <v>0.1065689175826138</v>
      </c>
      <c r="C6063" s="133"/>
    </row>
    <row r="6064" spans="1:3">
      <c r="A6064" s="131" t="s">
        <v>10590</v>
      </c>
      <c r="B6064" s="132">
        <v>7.26</v>
      </c>
      <c r="C6064" s="133"/>
    </row>
    <row r="6065" spans="1:3">
      <c r="A6065" s="131" t="s">
        <v>10591</v>
      </c>
      <c r="B6065" s="132">
        <v>5.3468998621795473E-2</v>
      </c>
      <c r="C6065" s="133"/>
    </row>
    <row r="6066" spans="1:3">
      <c r="A6066" s="131" t="s">
        <v>10592</v>
      </c>
      <c r="B6066" s="132">
        <v>9.2839414309319107E-2</v>
      </c>
      <c r="C6066" s="133"/>
    </row>
    <row r="6067" spans="1:3">
      <c r="A6067" s="131" t="s">
        <v>10593</v>
      </c>
      <c r="B6067" s="132">
        <v>2.2847939599459554E-3</v>
      </c>
      <c r="C6067" s="133"/>
    </row>
    <row r="6068" spans="1:3">
      <c r="A6068" s="131" t="s">
        <v>10594</v>
      </c>
      <c r="B6068" s="132">
        <v>3.3404500572942197E-4</v>
      </c>
      <c r="C6068" s="133"/>
    </row>
    <row r="6069" spans="1:3">
      <c r="A6069" s="131" t="s">
        <v>10595</v>
      </c>
      <c r="B6069" s="132">
        <v>2.83482875674963E-2</v>
      </c>
      <c r="C6069" s="133"/>
    </row>
    <row r="6070" spans="1:3">
      <c r="A6070" s="131" t="s">
        <v>10596</v>
      </c>
      <c r="B6070" s="132">
        <v>4.3027233333333331E-4</v>
      </c>
      <c r="C6070" s="133"/>
    </row>
    <row r="6071" spans="1:3">
      <c r="A6071" s="131" t="s">
        <v>10597</v>
      </c>
      <c r="B6071" s="132">
        <v>3.3085323827579553E-2</v>
      </c>
      <c r="C6071" s="133"/>
    </row>
    <row r="6072" spans="1:3">
      <c r="A6072" s="131" t="s">
        <v>10598</v>
      </c>
      <c r="B6072" s="132">
        <v>2.3614252921260554E-3</v>
      </c>
      <c r="C6072" s="133"/>
    </row>
    <row r="6073" spans="1:3">
      <c r="A6073" s="131" t="s">
        <v>10599</v>
      </c>
      <c r="B6073" s="132">
        <v>20.68</v>
      </c>
      <c r="C6073" s="133"/>
    </row>
    <row r="6074" spans="1:3">
      <c r="A6074" s="131" t="s">
        <v>10600</v>
      </c>
      <c r="B6074" s="132">
        <v>1.2187534065572605E-2</v>
      </c>
      <c r="C6074" s="133"/>
    </row>
    <row r="6075" spans="1:3">
      <c r="A6075" s="131" t="s">
        <v>10601</v>
      </c>
      <c r="B6075" s="132">
        <v>8.3342989291157993E-2</v>
      </c>
      <c r="C6075" s="133"/>
    </row>
    <row r="6076" spans="1:3">
      <c r="A6076" s="131" t="s">
        <v>10602</v>
      </c>
      <c r="B6076" s="132">
        <v>5.18</v>
      </c>
      <c r="C6076" s="133"/>
    </row>
    <row r="6077" spans="1:3">
      <c r="A6077" s="131" t="s">
        <v>10603</v>
      </c>
      <c r="B6077" s="132">
        <v>0.85000002384185791</v>
      </c>
      <c r="C6077" s="133"/>
    </row>
    <row r="6078" spans="1:3">
      <c r="A6078" s="131" t="s">
        <v>10604</v>
      </c>
      <c r="B6078" s="132">
        <v>2.1378080089531001E-3</v>
      </c>
      <c r="C6078" s="133"/>
    </row>
    <row r="6079" spans="1:3">
      <c r="A6079" s="131" t="s">
        <v>10605</v>
      </c>
      <c r="B6079" s="132">
        <v>2.3675521819767555E-3</v>
      </c>
      <c r="C6079" s="133"/>
    </row>
    <row r="6080" spans="1:3">
      <c r="A6080" s="131" t="s">
        <v>10606</v>
      </c>
      <c r="B6080" s="132">
        <v>1.002839575427516E-2</v>
      </c>
      <c r="C6080" s="133"/>
    </row>
    <row r="6081" spans="1:3">
      <c r="A6081" s="131" t="s">
        <v>10607</v>
      </c>
      <c r="B6081" s="132">
        <v>0.1134641170501709</v>
      </c>
      <c r="C6081" s="133"/>
    </row>
    <row r="6082" spans="1:3">
      <c r="A6082" s="131" t="s">
        <v>10608</v>
      </c>
      <c r="B6082" s="132">
        <v>62709.805078738005</v>
      </c>
      <c r="C6082" s="133"/>
    </row>
    <row r="6083" spans="1:3">
      <c r="A6083" s="131" t="s">
        <v>10609</v>
      </c>
      <c r="B6083" s="132">
        <v>5.4670753533333331E-3</v>
      </c>
      <c r="C6083" s="133"/>
    </row>
    <row r="6084" spans="1:3">
      <c r="A6084" s="131" t="s">
        <v>10610</v>
      </c>
      <c r="B6084" s="132">
        <v>0.5002833333333333</v>
      </c>
      <c r="C6084" s="133"/>
    </row>
    <row r="6085" spans="1:3">
      <c r="A6085" s="131" t="s">
        <v>10611</v>
      </c>
      <c r="B6085" s="132">
        <v>3.4464578384113924E-2</v>
      </c>
      <c r="C6085" s="133"/>
    </row>
    <row r="6086" spans="1:3">
      <c r="A6086" s="131" t="s">
        <v>10612</v>
      </c>
      <c r="B6086" s="132">
        <v>0.13987349976119606</v>
      </c>
      <c r="C6086" s="133"/>
    </row>
    <row r="6087" spans="1:3">
      <c r="A6087" s="131" t="s">
        <v>10613</v>
      </c>
      <c r="B6087" s="132">
        <v>3.6986667662858963E-2</v>
      </c>
      <c r="C6087" s="133"/>
    </row>
    <row r="6088" spans="1:3">
      <c r="A6088" s="131" t="s">
        <v>10614</v>
      </c>
      <c r="B6088" s="132">
        <v>3.8810346666666668E-4</v>
      </c>
      <c r="C6088" s="133"/>
    </row>
    <row r="6089" spans="1:3">
      <c r="A6089" s="131" t="s">
        <v>10615</v>
      </c>
      <c r="B6089" s="132">
        <v>0.15403443574905396</v>
      </c>
      <c r="C6089" s="133"/>
    </row>
    <row r="6090" spans="1:3">
      <c r="A6090" s="131" t="s">
        <v>10616</v>
      </c>
      <c r="B6090" s="132">
        <v>0.33483186364173889</v>
      </c>
      <c r="C6090" s="133"/>
    </row>
    <row r="6091" spans="1:3">
      <c r="A6091" s="131" t="s">
        <v>10617</v>
      </c>
      <c r="B6091" s="132">
        <v>36.6</v>
      </c>
      <c r="C6091" s="133"/>
    </row>
    <row r="6092" spans="1:3">
      <c r="A6092" s="131" t="s">
        <v>10618</v>
      </c>
      <c r="B6092" s="132">
        <v>2.9307359363883734E-3</v>
      </c>
      <c r="C6092" s="133"/>
    </row>
    <row r="6093" spans="1:3">
      <c r="A6093" s="131" t="s">
        <v>7274</v>
      </c>
      <c r="B6093" s="132">
        <v>0.12638157566666666</v>
      </c>
      <c r="C6093" s="133"/>
    </row>
    <row r="6094" spans="1:3">
      <c r="A6094" s="131" t="s">
        <v>7275</v>
      </c>
      <c r="B6094" s="132">
        <v>5.4355883225028635E-2</v>
      </c>
      <c r="C6094" s="133"/>
    </row>
    <row r="6095" spans="1:3">
      <c r="A6095" s="131" t="s">
        <v>7276</v>
      </c>
      <c r="B6095" s="132">
        <v>0.39154600893782537</v>
      </c>
      <c r="C6095" s="133"/>
    </row>
    <row r="6096" spans="1:3">
      <c r="A6096" s="131" t="s">
        <v>7277</v>
      </c>
      <c r="B6096" s="132">
        <v>0.44914875342963512</v>
      </c>
      <c r="C6096" s="133"/>
    </row>
    <row r="6097" spans="1:3">
      <c r="A6097" s="131" t="s">
        <v>7278</v>
      </c>
      <c r="B6097" s="132">
        <v>1.0535966999999998E-3</v>
      </c>
      <c r="C6097" s="133"/>
    </row>
    <row r="6098" spans="1:3">
      <c r="A6098" s="131" t="s">
        <v>7279</v>
      </c>
      <c r="B6098" s="132">
        <v>9.0236824951750989E-6</v>
      </c>
      <c r="C6098" s="133"/>
    </row>
    <row r="6099" spans="1:3">
      <c r="A6099" s="131" t="s">
        <v>7280</v>
      </c>
      <c r="B6099" s="132">
        <v>7.1272389031946659E-3</v>
      </c>
      <c r="C6099" s="133"/>
    </row>
    <row r="6100" spans="1:3">
      <c r="A6100" s="131" t="s">
        <v>7281</v>
      </c>
      <c r="B6100" s="132">
        <v>0.46865308041210818</v>
      </c>
      <c r="C6100" s="133"/>
    </row>
    <row r="6101" spans="1:3">
      <c r="A6101" s="131" t="s">
        <v>7282</v>
      </c>
      <c r="B6101" s="132">
        <v>1.5118054254944457</v>
      </c>
      <c r="C6101" s="133"/>
    </row>
    <row r="6102" spans="1:3">
      <c r="A6102" s="131" t="s">
        <v>7283</v>
      </c>
      <c r="B6102" s="132">
        <v>2.324546242956</v>
      </c>
      <c r="C6102" s="133"/>
    </row>
    <row r="6103" spans="1:3">
      <c r="A6103" s="131" t="s">
        <v>7284</v>
      </c>
      <c r="B6103" s="132">
        <v>0.15124215185642242</v>
      </c>
      <c r="C6103" s="133"/>
    </row>
    <row r="6104" spans="1:3">
      <c r="A6104" s="131" t="s">
        <v>7285</v>
      </c>
      <c r="B6104" s="132">
        <v>1.0600000166505197E-7</v>
      </c>
      <c r="C6104" s="133"/>
    </row>
    <row r="6105" spans="1:3">
      <c r="A6105" s="131" t="s">
        <v>7286</v>
      </c>
      <c r="B6105" s="132">
        <v>0.91938018105717079</v>
      </c>
      <c r="C6105" s="133"/>
    </row>
    <row r="6106" spans="1:3">
      <c r="A6106" s="131" t="s">
        <v>7287</v>
      </c>
      <c r="B6106" s="132">
        <v>4.0089363643333337E-3</v>
      </c>
      <c r="C6106" s="133"/>
    </row>
    <row r="6107" spans="1:3">
      <c r="A6107" s="131" t="s">
        <v>7288</v>
      </c>
      <c r="B6107" s="132">
        <v>0.10541015539936781</v>
      </c>
      <c r="C6107" s="133"/>
    </row>
    <row r="6108" spans="1:3">
      <c r="A6108" s="131" t="s">
        <v>7289</v>
      </c>
      <c r="B6108" s="132">
        <v>7.8044199999998906E-4</v>
      </c>
      <c r="C6108" s="133"/>
    </row>
    <row r="6109" spans="1:3">
      <c r="A6109" s="131" t="s">
        <v>7290</v>
      </c>
      <c r="B6109" s="132">
        <v>2.06</v>
      </c>
      <c r="C6109" s="133"/>
    </row>
    <row r="6110" spans="1:3">
      <c r="A6110" s="131" t="s">
        <v>7291</v>
      </c>
      <c r="B6110" s="132">
        <v>105.86</v>
      </c>
      <c r="C6110" s="133"/>
    </row>
    <row r="6111" spans="1:3">
      <c r="A6111" s="131" t="s">
        <v>7292</v>
      </c>
      <c r="B6111" s="132">
        <v>6.3427455720438917E-4</v>
      </c>
      <c r="C6111" s="133"/>
    </row>
    <row r="6112" spans="1:3">
      <c r="A6112" s="131" t="s">
        <v>7293</v>
      </c>
      <c r="B6112" s="132">
        <v>1.9708144963418315E-4</v>
      </c>
      <c r="C6112" s="133"/>
    </row>
    <row r="6113" spans="1:3">
      <c r="A6113" s="131" t="s">
        <v>7294</v>
      </c>
      <c r="B6113" s="132">
        <v>3.9862316449115802E-2</v>
      </c>
      <c r="C6113" s="133"/>
    </row>
    <row r="6114" spans="1:3">
      <c r="A6114" s="131" t="s">
        <v>7295</v>
      </c>
      <c r="B6114" s="132">
        <v>0.25074115395545959</v>
      </c>
      <c r="C6114" s="133"/>
    </row>
    <row r="6115" spans="1:3">
      <c r="A6115" s="131" t="s">
        <v>7296</v>
      </c>
      <c r="B6115" s="132">
        <v>3.8837332278490067E-2</v>
      </c>
      <c r="C6115" s="133"/>
    </row>
    <row r="6116" spans="1:3">
      <c r="A6116" s="131" t="s">
        <v>7297</v>
      </c>
      <c r="B6116" s="132">
        <v>2.9986599110998213E-4</v>
      </c>
      <c r="C6116" s="133"/>
    </row>
    <row r="6117" spans="1:3">
      <c r="A6117" s="131" t="s">
        <v>7298</v>
      </c>
      <c r="B6117" s="132">
        <v>2.0191300427541137E-4</v>
      </c>
      <c r="C6117" s="133"/>
    </row>
    <row r="6118" spans="1:3">
      <c r="A6118" s="131" t="s">
        <v>7299</v>
      </c>
      <c r="B6118" s="132">
        <v>4.7418680649338773E-4</v>
      </c>
      <c r="C6118" s="133"/>
    </row>
    <row r="6119" spans="1:3">
      <c r="A6119" s="131" t="s">
        <v>7300</v>
      </c>
      <c r="B6119" s="132">
        <v>29.004849726190997</v>
      </c>
      <c r="C6119" s="133"/>
    </row>
    <row r="6120" spans="1:3">
      <c r="A6120" s="131" t="s">
        <v>7301</v>
      </c>
      <c r="B6120" s="132">
        <v>1.5758805281924237E-4</v>
      </c>
      <c r="C6120" s="133"/>
    </row>
    <row r="6121" spans="1:3">
      <c r="A6121" s="131" t="s">
        <v>7302</v>
      </c>
      <c r="B6121" s="132">
        <v>1.0099999769863643E-7</v>
      </c>
      <c r="C6121" s="133"/>
    </row>
    <row r="6122" spans="1:3">
      <c r="A6122" s="131" t="s">
        <v>7303</v>
      </c>
      <c r="B6122" s="132">
        <v>1.2017600536346436</v>
      </c>
      <c r="C6122" s="133"/>
    </row>
    <row r="6123" spans="1:3">
      <c r="A6123" s="131" t="s">
        <v>7304</v>
      </c>
      <c r="B6123" s="132">
        <v>0.71161279324369231</v>
      </c>
      <c r="C6123" s="133"/>
    </row>
    <row r="6124" spans="1:3">
      <c r="A6124" s="131" t="s">
        <v>7305</v>
      </c>
      <c r="B6124" s="132">
        <v>1.0055047929739491</v>
      </c>
      <c r="C6124" s="133"/>
    </row>
    <row r="6125" spans="1:3">
      <c r="A6125" s="131" t="s">
        <v>7306</v>
      </c>
      <c r="B6125" s="132">
        <v>4.9340001169184688E-6</v>
      </c>
      <c r="C6125" s="133"/>
    </row>
    <row r="6126" spans="1:3">
      <c r="A6126" s="131" t="s">
        <v>7307</v>
      </c>
      <c r="B6126" s="132">
        <v>0.99798190308899182</v>
      </c>
      <c r="C6126" s="133"/>
    </row>
    <row r="6127" spans="1:3">
      <c r="A6127" s="131" t="s">
        <v>7308</v>
      </c>
      <c r="B6127" s="132">
        <v>0.51066537162177683</v>
      </c>
      <c r="C6127" s="133"/>
    </row>
    <row r="6128" spans="1:3">
      <c r="A6128" s="131" t="s">
        <v>7309</v>
      </c>
      <c r="B6128" s="132">
        <v>231.86</v>
      </c>
      <c r="C6128" s="133"/>
    </row>
    <row r="6129" spans="1:3">
      <c r="A6129" s="131" t="s">
        <v>7310</v>
      </c>
      <c r="B6129" s="132">
        <v>0.78342934411161869</v>
      </c>
      <c r="C6129" s="133"/>
    </row>
    <row r="6130" spans="1:3">
      <c r="A6130" s="131" t="s">
        <v>7311</v>
      </c>
      <c r="B6130" s="132">
        <v>4.8619734201270273E-3</v>
      </c>
      <c r="C6130" s="133"/>
    </row>
    <row r="6131" spans="1:3">
      <c r="A6131" s="131" t="s">
        <v>7312</v>
      </c>
      <c r="B6131" s="132">
        <v>1.9406049251556396</v>
      </c>
      <c r="C6131" s="133"/>
    </row>
    <row r="6132" spans="1:3">
      <c r="A6132" s="131" t="s">
        <v>7313</v>
      </c>
      <c r="B6132" s="132">
        <v>1.832968357866103E-3</v>
      </c>
      <c r="C6132" s="133"/>
    </row>
    <row r="6133" spans="1:3">
      <c r="A6133" s="131" t="s">
        <v>7314</v>
      </c>
      <c r="B6133" s="132">
        <v>1.087869968614541E-4</v>
      </c>
      <c r="C6133" s="133"/>
    </row>
    <row r="6134" spans="1:3">
      <c r="A6134" s="131" t="s">
        <v>7315</v>
      </c>
      <c r="B6134" s="132">
        <v>9.656793437898159E-3</v>
      </c>
      <c r="C6134" s="133"/>
    </row>
    <row r="6135" spans="1:3">
      <c r="A6135" s="131" t="s">
        <v>7316</v>
      </c>
      <c r="B6135" s="132">
        <v>1.9488971680402756E-2</v>
      </c>
      <c r="C6135" s="133"/>
    </row>
    <row r="6136" spans="1:3">
      <c r="A6136" s="131" t="s">
        <v>7317</v>
      </c>
      <c r="B6136" s="132">
        <v>304.36</v>
      </c>
      <c r="C6136" s="133"/>
    </row>
    <row r="6137" spans="1:3">
      <c r="A6137" s="131" t="s">
        <v>7318</v>
      </c>
      <c r="B6137" s="132">
        <v>4.5446338725131808E-3</v>
      </c>
      <c r="C6137" s="133"/>
    </row>
    <row r="6138" spans="1:3">
      <c r="A6138" s="131" t="s">
        <v>7319</v>
      </c>
      <c r="B6138" s="132">
        <v>1.1578740645917678E-2</v>
      </c>
      <c r="C6138" s="133"/>
    </row>
    <row r="6139" spans="1:3">
      <c r="A6139" s="131" t="s">
        <v>7320</v>
      </c>
      <c r="B6139" s="132">
        <v>0.6902579054747191</v>
      </c>
      <c r="C6139" s="133"/>
    </row>
    <row r="6140" spans="1:3">
      <c r="A6140" s="131" t="s">
        <v>7321</v>
      </c>
      <c r="B6140" s="132">
        <v>7.7908102152898838E-5</v>
      </c>
      <c r="C6140" s="133"/>
    </row>
    <row r="6141" spans="1:3">
      <c r="A6141" s="131" t="s">
        <v>7322</v>
      </c>
      <c r="B6141" s="132">
        <v>3.5199497986640035E-3</v>
      </c>
      <c r="C6141" s="133"/>
    </row>
    <row r="6142" spans="1:3">
      <c r="A6142" s="131" t="s">
        <v>7323</v>
      </c>
      <c r="B6142" s="132">
        <v>9.6539670134745612E-3</v>
      </c>
      <c r="C6142" s="133"/>
    </row>
    <row r="6143" spans="1:3">
      <c r="A6143" s="131" t="s">
        <v>7324</v>
      </c>
      <c r="B6143" s="132">
        <v>0.33688902854919434</v>
      </c>
      <c r="C6143" s="133"/>
    </row>
    <row r="6144" spans="1:3">
      <c r="A6144" s="131" t="s">
        <v>7325</v>
      </c>
      <c r="B6144" s="132">
        <v>1.3859999307896942E-4</v>
      </c>
      <c r="C6144" s="133"/>
    </row>
    <row r="6145" spans="1:3">
      <c r="A6145" s="131" t="s">
        <v>7326</v>
      </c>
      <c r="B6145" s="132">
        <v>2.0646783059461299E-3</v>
      </c>
      <c r="C6145" s="133"/>
    </row>
    <row r="6146" spans="1:3">
      <c r="A6146" s="131" t="s">
        <v>7327</v>
      </c>
      <c r="B6146" s="132">
        <v>7.3504280298948288E-3</v>
      </c>
      <c r="C6146" s="133"/>
    </row>
    <row r="6147" spans="1:3">
      <c r="A6147" s="131" t="s">
        <v>7328</v>
      </c>
      <c r="B6147" s="132">
        <v>9.0050999999999996E-6</v>
      </c>
      <c r="C6147" s="133"/>
    </row>
    <row r="6148" spans="1:3">
      <c r="A6148" s="131" t="s">
        <v>7329</v>
      </c>
      <c r="B6148" s="132">
        <v>2.682079802526896E-2</v>
      </c>
      <c r="C6148" s="133"/>
    </row>
    <row r="6149" spans="1:3">
      <c r="A6149" s="131" t="s">
        <v>7330</v>
      </c>
      <c r="B6149" s="132">
        <v>728.74</v>
      </c>
      <c r="C6149" s="133"/>
    </row>
    <row r="6150" spans="1:3">
      <c r="A6150" s="131" t="s">
        <v>7331</v>
      </c>
      <c r="B6150" s="132">
        <v>23.68</v>
      </c>
      <c r="C6150" s="133"/>
    </row>
    <row r="6151" spans="1:3">
      <c r="A6151" s="131" t="s">
        <v>7332</v>
      </c>
      <c r="B6151" s="132">
        <v>6.1034566666666665E-3</v>
      </c>
      <c r="C6151" s="133"/>
    </row>
    <row r="6152" spans="1:3">
      <c r="A6152" s="131" t="s">
        <v>7333</v>
      </c>
      <c r="B6152" s="132">
        <v>1.8531548670938543E-3</v>
      </c>
      <c r="C6152" s="133"/>
    </row>
    <row r="6153" spans="1:3">
      <c r="A6153" s="131" t="s">
        <v>7334</v>
      </c>
      <c r="B6153" s="132">
        <v>3.8642141870663904</v>
      </c>
      <c r="C6153" s="133"/>
    </row>
    <row r="6154" spans="1:3">
      <c r="A6154" s="131" t="s">
        <v>7335</v>
      </c>
      <c r="B6154" s="132">
        <v>0.99963987543370103</v>
      </c>
      <c r="C6154" s="133"/>
    </row>
    <row r="6155" spans="1:3">
      <c r="A6155" s="131" t="s">
        <v>7336</v>
      </c>
      <c r="B6155" s="132">
        <v>4.8600000000000003</v>
      </c>
      <c r="C6155" s="133"/>
    </row>
    <row r="6156" spans="1:3">
      <c r="A6156" s="131" t="s">
        <v>7337</v>
      </c>
      <c r="B6156" s="132">
        <v>2.4010399647522718E-4</v>
      </c>
      <c r="C6156" s="133"/>
    </row>
    <row r="6157" spans="1:3">
      <c r="A6157" s="131" t="s">
        <v>7338</v>
      </c>
      <c r="B6157" s="132">
        <v>6.768456192764111E-4</v>
      </c>
      <c r="C6157" s="133"/>
    </row>
    <row r="6158" spans="1:3">
      <c r="A6158" s="131" t="s">
        <v>7339</v>
      </c>
      <c r="B6158" s="132">
        <v>33.76</v>
      </c>
      <c r="C6158" s="133"/>
    </row>
    <row r="6159" spans="1:3">
      <c r="A6159" s="131" t="s">
        <v>7340</v>
      </c>
      <c r="B6159" s="132">
        <v>0.67015391091603593</v>
      </c>
      <c r="C6159" s="133"/>
    </row>
    <row r="6160" spans="1:3">
      <c r="A6160" s="131" t="s">
        <v>7341</v>
      </c>
      <c r="B6160" s="132">
        <v>8.43</v>
      </c>
      <c r="C6160" s="133"/>
    </row>
    <row r="6161" spans="1:3">
      <c r="A6161" s="131" t="s">
        <v>7342</v>
      </c>
      <c r="B6161" s="132">
        <v>1.1530467468724308</v>
      </c>
      <c r="C6161" s="133"/>
    </row>
    <row r="6162" spans="1:3">
      <c r="A6162" s="131" t="s">
        <v>7343</v>
      </c>
      <c r="B6162" s="132">
        <v>5.97</v>
      </c>
      <c r="C6162" s="133"/>
    </row>
    <row r="6163" spans="1:3">
      <c r="A6163" s="131" t="s">
        <v>7344</v>
      </c>
      <c r="B6163" s="132">
        <v>0.83668527251903035</v>
      </c>
      <c r="C6163" s="133"/>
    </row>
    <row r="6164" spans="1:3">
      <c r="A6164" s="131" t="s">
        <v>7345</v>
      </c>
      <c r="B6164" s="132">
        <v>3.7</v>
      </c>
      <c r="C6164" s="133"/>
    </row>
    <row r="6165" spans="1:3">
      <c r="A6165" s="131" t="s">
        <v>7346</v>
      </c>
      <c r="B6165" s="132">
        <v>1.0008474811911583E-2</v>
      </c>
      <c r="C6165" s="133"/>
    </row>
    <row r="6166" spans="1:3">
      <c r="A6166" s="131" t="s">
        <v>7347</v>
      </c>
      <c r="B6166" s="132">
        <v>1.7772381794523515</v>
      </c>
      <c r="C6166" s="133"/>
    </row>
    <row r="6167" spans="1:3">
      <c r="A6167" s="131" t="s">
        <v>7348</v>
      </c>
      <c r="B6167" s="132">
        <v>0.390222594083735</v>
      </c>
      <c r="C6167" s="133"/>
    </row>
    <row r="6168" spans="1:3">
      <c r="A6168" s="131" t="s">
        <v>7349</v>
      </c>
      <c r="B6168" s="132">
        <v>5.317987197401438E-2</v>
      </c>
      <c r="C6168" s="133"/>
    </row>
    <row r="6169" spans="1:3">
      <c r="A6169" s="131" t="s">
        <v>7350</v>
      </c>
      <c r="B6169" s="132">
        <v>4.18</v>
      </c>
      <c r="C6169" s="133"/>
    </row>
    <row r="6170" spans="1:3">
      <c r="A6170" s="131" t="s">
        <v>7351</v>
      </c>
      <c r="B6170" s="132">
        <v>1.3079013668282597</v>
      </c>
      <c r="C6170" s="133"/>
    </row>
    <row r="6171" spans="1:3">
      <c r="A6171" s="131" t="s">
        <v>7352</v>
      </c>
      <c r="B6171" s="132">
        <v>0.67320367999999986</v>
      </c>
      <c r="C6171" s="133"/>
    </row>
    <row r="6172" spans="1:3">
      <c r="A6172" s="131" t="s">
        <v>7353</v>
      </c>
      <c r="B6172" s="132">
        <v>2.11</v>
      </c>
      <c r="C6172" s="133"/>
    </row>
    <row r="6173" spans="1:3">
      <c r="A6173" s="131" t="s">
        <v>7354</v>
      </c>
      <c r="B6173" s="132">
        <v>15.7</v>
      </c>
      <c r="C6173" s="133"/>
    </row>
    <row r="6174" spans="1:3">
      <c r="A6174" s="131" t="s">
        <v>7355</v>
      </c>
      <c r="B6174" s="132">
        <v>5.6304180312966494</v>
      </c>
      <c r="C6174" s="133"/>
    </row>
    <row r="6175" spans="1:3">
      <c r="A6175" s="131" t="s">
        <v>7356</v>
      </c>
      <c r="B6175" s="132">
        <v>0.59231569903367642</v>
      </c>
      <c r="C6175" s="133"/>
    </row>
    <row r="6176" spans="1:3">
      <c r="A6176" s="131" t="s">
        <v>7357</v>
      </c>
      <c r="B6176" s="132">
        <v>0.5943563999999999</v>
      </c>
      <c r="C6176" s="133"/>
    </row>
    <row r="6177" spans="1:3">
      <c r="A6177" s="131" t="s">
        <v>7358</v>
      </c>
      <c r="B6177" s="132">
        <v>1.3031433848585983</v>
      </c>
      <c r="C6177" s="133"/>
    </row>
    <row r="6178" spans="1:3">
      <c r="A6178" s="131" t="s">
        <v>7359</v>
      </c>
      <c r="B6178" s="132">
        <v>6.1705126732305997</v>
      </c>
      <c r="C6178" s="133"/>
    </row>
    <row r="6179" spans="1:3">
      <c r="A6179" s="131" t="s">
        <v>7360</v>
      </c>
      <c r="B6179" s="132">
        <v>1.9610453333333331</v>
      </c>
      <c r="C6179" s="133"/>
    </row>
    <row r="6180" spans="1:3">
      <c r="A6180" s="131" t="s">
        <v>7361</v>
      </c>
      <c r="B6180" s="132">
        <v>16.2</v>
      </c>
      <c r="C6180" s="133"/>
    </row>
    <row r="6181" spans="1:3">
      <c r="A6181" s="131" t="s">
        <v>7362</v>
      </c>
      <c r="B6181" s="132">
        <v>3.07</v>
      </c>
      <c r="C6181" s="133"/>
    </row>
    <row r="6182" spans="1:3">
      <c r="A6182" s="131" t="s">
        <v>7363</v>
      </c>
      <c r="B6182" s="132">
        <v>0.42975192489566688</v>
      </c>
      <c r="C6182" s="133"/>
    </row>
    <row r="6183" spans="1:3">
      <c r="A6183" s="131" t="s">
        <v>7364</v>
      </c>
      <c r="B6183" s="132">
        <v>1.2043600145261735E-4</v>
      </c>
      <c r="C6183" s="133"/>
    </row>
    <row r="6184" spans="1:3">
      <c r="A6184" s="131" t="s">
        <v>7365</v>
      </c>
      <c r="B6184" s="132">
        <v>6.5162822604179382E-2</v>
      </c>
      <c r="C6184" s="133"/>
    </row>
    <row r="6185" spans="1:3">
      <c r="A6185" s="131" t="s">
        <v>7366</v>
      </c>
      <c r="B6185" s="132">
        <v>0.14673090200088945</v>
      </c>
      <c r="C6185" s="133"/>
    </row>
    <row r="6186" spans="1:3">
      <c r="A6186" s="131" t="s">
        <v>7367</v>
      </c>
      <c r="B6186" s="132">
        <v>6.0078100129999992E-2</v>
      </c>
      <c r="C6186" s="133"/>
    </row>
    <row r="6187" spans="1:3">
      <c r="A6187" s="131" t="s">
        <v>7368</v>
      </c>
      <c r="B6187" s="132">
        <v>0.12484486669749119</v>
      </c>
      <c r="C6187" s="133"/>
    </row>
    <row r="6188" spans="1:3">
      <c r="A6188" s="131" t="s">
        <v>7369</v>
      </c>
      <c r="B6188" s="132">
        <v>5.8519073342345407E-2</v>
      </c>
      <c r="C6188" s="133"/>
    </row>
    <row r="6189" spans="1:3">
      <c r="A6189" s="131" t="s">
        <v>7370</v>
      </c>
      <c r="B6189" s="132">
        <v>5</v>
      </c>
      <c r="C6189" s="133"/>
    </row>
    <row r="6190" spans="1:3">
      <c r="A6190" s="131" t="s">
        <v>7371</v>
      </c>
      <c r="B6190" s="132">
        <v>98.4</v>
      </c>
      <c r="C6190" s="133"/>
    </row>
    <row r="6191" spans="1:3">
      <c r="A6191" s="131" t="s">
        <v>7372</v>
      </c>
      <c r="B6191" s="132">
        <v>8.94</v>
      </c>
      <c r="C6191" s="133"/>
    </row>
    <row r="6192" spans="1:3">
      <c r="A6192" s="131" t="s">
        <v>7373</v>
      </c>
      <c r="B6192" s="132">
        <v>299.50664710900503</v>
      </c>
      <c r="C6192" s="133"/>
    </row>
    <row r="6193" spans="1:3">
      <c r="A6193" s="131" t="s">
        <v>7374</v>
      </c>
      <c r="B6193" s="132">
        <v>9.1941637756179761E-3</v>
      </c>
      <c r="C6193" s="133"/>
    </row>
    <row r="6194" spans="1:3">
      <c r="A6194" s="131" t="s">
        <v>7375</v>
      </c>
      <c r="B6194" s="132">
        <v>12.261306590227001</v>
      </c>
      <c r="C6194" s="133"/>
    </row>
    <row r="6195" spans="1:3">
      <c r="A6195" s="131" t="s">
        <v>7376</v>
      </c>
      <c r="B6195" s="132">
        <v>3.7</v>
      </c>
      <c r="C6195" s="133"/>
    </row>
    <row r="6196" spans="1:3">
      <c r="A6196" s="131" t="s">
        <v>4468</v>
      </c>
      <c r="B6196" s="132">
        <v>33.43</v>
      </c>
      <c r="C6196" s="133"/>
    </row>
    <row r="6197" spans="1:3">
      <c r="A6197" s="131" t="s">
        <v>4469</v>
      </c>
      <c r="B6197" s="132">
        <v>1.049593767390046</v>
      </c>
      <c r="C6197" s="133"/>
    </row>
    <row r="6198" spans="1:3">
      <c r="A6198" s="131" t="s">
        <v>4470</v>
      </c>
      <c r="B6198" s="132">
        <v>86.22</v>
      </c>
      <c r="C6198" s="133"/>
    </row>
    <row r="6199" spans="1:3">
      <c r="A6199" s="131" t="s">
        <v>4471</v>
      </c>
      <c r="B6199" s="132">
        <v>0.52093672752380371</v>
      </c>
      <c r="C6199" s="133"/>
    </row>
    <row r="6200" spans="1:3">
      <c r="A6200" s="131" t="s">
        <v>4472</v>
      </c>
      <c r="B6200" s="132">
        <v>31.68</v>
      </c>
      <c r="C6200" s="133"/>
    </row>
    <row r="6201" spans="1:3">
      <c r="A6201" s="131" t="s">
        <v>4473</v>
      </c>
      <c r="B6201" s="132">
        <v>0.87029853537057689</v>
      </c>
      <c r="C6201" s="133"/>
    </row>
    <row r="6202" spans="1:3">
      <c r="A6202" s="131" t="s">
        <v>4474</v>
      </c>
      <c r="B6202" s="132">
        <v>105.01</v>
      </c>
      <c r="C6202" s="133"/>
    </row>
    <row r="6203" spans="1:3">
      <c r="A6203" s="131" t="s">
        <v>4475</v>
      </c>
      <c r="B6203" s="132">
        <v>12.98</v>
      </c>
      <c r="C6203" s="133"/>
    </row>
    <row r="6204" spans="1:3">
      <c r="A6204" s="131" t="s">
        <v>4476</v>
      </c>
      <c r="B6204" s="132">
        <v>1.0478484309006473</v>
      </c>
      <c r="C6204" s="133"/>
    </row>
    <row r="6205" spans="1:3">
      <c r="A6205" s="131" t="s">
        <v>4477</v>
      </c>
      <c r="B6205" s="132">
        <v>1.0344317486094941</v>
      </c>
      <c r="C6205" s="133"/>
    </row>
    <row r="6206" spans="1:3">
      <c r="A6206" s="131" t="s">
        <v>4478</v>
      </c>
      <c r="B6206" s="132">
        <v>0.74660848725673168</v>
      </c>
      <c r="C6206" s="133"/>
    </row>
    <row r="6207" spans="1:3">
      <c r="A6207" s="131" t="s">
        <v>4479</v>
      </c>
      <c r="B6207" s="132">
        <v>0.10049496941021058</v>
      </c>
      <c r="C6207" s="133"/>
    </row>
    <row r="6208" spans="1:3">
      <c r="A6208" s="131" t="s">
        <v>4480</v>
      </c>
      <c r="B6208" s="132">
        <v>1.0868682268211425</v>
      </c>
      <c r="C6208" s="133"/>
    </row>
    <row r="6209" spans="1:3">
      <c r="A6209" s="131" t="s">
        <v>4481</v>
      </c>
      <c r="B6209" s="132">
        <v>1.0235420378212345</v>
      </c>
      <c r="C6209" s="133"/>
    </row>
    <row r="6210" spans="1:3">
      <c r="A6210" s="131" t="s">
        <v>4482</v>
      </c>
      <c r="B6210" s="132">
        <v>62617</v>
      </c>
      <c r="C6210" s="133"/>
    </row>
    <row r="6211" spans="1:3">
      <c r="A6211" s="131" t="s">
        <v>4483</v>
      </c>
      <c r="B6211" s="132">
        <v>7.7205944147994546E-2</v>
      </c>
      <c r="C6211" s="133"/>
    </row>
    <row r="6212" spans="1:3">
      <c r="A6212" s="131" t="s">
        <v>4484</v>
      </c>
      <c r="B6212" s="132">
        <v>240.78</v>
      </c>
      <c r="C6212" s="133"/>
    </row>
    <row r="6213" spans="1:3">
      <c r="A6213" s="131" t="s">
        <v>4485</v>
      </c>
      <c r="B6213" s="132">
        <v>0.32266158085845748</v>
      </c>
      <c r="C6213" s="133"/>
    </row>
    <row r="6214" spans="1:3">
      <c r="A6214" s="131" t="s">
        <v>4486</v>
      </c>
      <c r="B6214" s="132">
        <v>0.29617759999999999</v>
      </c>
      <c r="C6214" s="133"/>
    </row>
    <row r="6215" spans="1:3">
      <c r="A6215" s="131" t="s">
        <v>4487</v>
      </c>
      <c r="B6215" s="132">
        <v>0.6892516016960144</v>
      </c>
      <c r="C6215" s="133"/>
    </row>
    <row r="6216" spans="1:3">
      <c r="A6216" s="131" t="s">
        <v>4488</v>
      </c>
      <c r="B6216" s="132">
        <v>598.75</v>
      </c>
      <c r="C6216" s="133"/>
    </row>
    <row r="6217" spans="1:3">
      <c r="A6217" s="131" t="s">
        <v>4489</v>
      </c>
      <c r="B6217" s="132">
        <v>1.9841280857708216E-2</v>
      </c>
      <c r="C6217" s="133"/>
    </row>
    <row r="6218" spans="1:3">
      <c r="A6218" s="131" t="s">
        <v>4490</v>
      </c>
      <c r="B6218" s="132">
        <v>47673</v>
      </c>
      <c r="C6218" s="133"/>
    </row>
    <row r="6219" spans="1:3">
      <c r="A6219" s="131" t="s">
        <v>4491</v>
      </c>
      <c r="B6219" s="132">
        <v>0.88760268999999992</v>
      </c>
      <c r="C6219" s="133"/>
    </row>
    <row r="6220" spans="1:3">
      <c r="A6220" s="131" t="s">
        <v>4492</v>
      </c>
      <c r="B6220" s="132">
        <v>1.0947835733333333E-4</v>
      </c>
      <c r="C6220" s="133"/>
    </row>
    <row r="6221" spans="1:3">
      <c r="A6221" s="131" t="s">
        <v>4493</v>
      </c>
      <c r="B6221" s="132">
        <v>1.000909972935915E-2</v>
      </c>
      <c r="C6221" s="133"/>
    </row>
    <row r="6222" spans="1:3">
      <c r="A6222" s="131" t="s">
        <v>4494</v>
      </c>
      <c r="B6222" s="132">
        <v>24.72</v>
      </c>
      <c r="C6222" s="133"/>
    </row>
    <row r="6223" spans="1:3">
      <c r="A6223" s="131" t="s">
        <v>4495</v>
      </c>
      <c r="B6223" s="132">
        <v>2.4154792702624418E-2</v>
      </c>
      <c r="C6223" s="133"/>
    </row>
    <row r="6224" spans="1:3">
      <c r="A6224" s="131" t="s">
        <v>4496</v>
      </c>
      <c r="B6224" s="132">
        <v>7.9710334539413452E-3</v>
      </c>
      <c r="C6224" s="133"/>
    </row>
    <row r="6225" spans="1:3">
      <c r="A6225" s="131" t="s">
        <v>4497</v>
      </c>
      <c r="B6225" s="132">
        <v>1.1237727174231874E-4</v>
      </c>
      <c r="C6225" s="133"/>
    </row>
    <row r="6226" spans="1:3">
      <c r="A6226" s="131" t="s">
        <v>4498</v>
      </c>
      <c r="B6226" s="132">
        <v>133.97999999999999</v>
      </c>
      <c r="C6226" s="133"/>
    </row>
    <row r="6227" spans="1:3">
      <c r="A6227" s="131" t="s">
        <v>4499</v>
      </c>
      <c r="B6227" s="132">
        <v>7.73</v>
      </c>
      <c r="C6227" s="133"/>
    </row>
    <row r="6228" spans="1:3">
      <c r="A6228" s="131" t="s">
        <v>4500</v>
      </c>
      <c r="B6228" s="132">
        <v>2.5808351316953467E-2</v>
      </c>
      <c r="C6228" s="133"/>
    </row>
    <row r="6229" spans="1:3">
      <c r="A6229" s="131" t="s">
        <v>4501</v>
      </c>
      <c r="B6229" s="132">
        <v>0.3702099621295929</v>
      </c>
      <c r="C6229" s="133"/>
    </row>
    <row r="6230" spans="1:3">
      <c r="A6230" s="131" t="s">
        <v>4502</v>
      </c>
      <c r="B6230" s="132">
        <v>1.5619825756581345</v>
      </c>
      <c r="C6230" s="133"/>
    </row>
    <row r="6231" spans="1:3">
      <c r="A6231" s="131" t="s">
        <v>4503</v>
      </c>
      <c r="B6231" s="132">
        <v>0.77102135537094496</v>
      </c>
      <c r="C6231" s="133"/>
    </row>
    <row r="6232" spans="1:3">
      <c r="A6232" s="131" t="s">
        <v>4504</v>
      </c>
      <c r="B6232" s="132">
        <v>3.04</v>
      </c>
      <c r="C6232" s="133"/>
    </row>
    <row r="6233" spans="1:3">
      <c r="A6233" s="131" t="s">
        <v>4505</v>
      </c>
      <c r="B6233" s="132">
        <v>2.5899590526505541E-2</v>
      </c>
      <c r="C6233" s="133"/>
    </row>
    <row r="6234" spans="1:3">
      <c r="A6234" s="131" t="s">
        <v>4506</v>
      </c>
      <c r="B6234" s="132">
        <v>6.1771828903127851E-3</v>
      </c>
      <c r="C6234" s="133"/>
    </row>
    <row r="6235" spans="1:3">
      <c r="A6235" s="131" t="s">
        <v>4507</v>
      </c>
      <c r="B6235" s="132">
        <v>33.56</v>
      </c>
      <c r="C6235" s="133"/>
    </row>
    <row r="6236" spans="1:3">
      <c r="A6236" s="131" t="s">
        <v>4508</v>
      </c>
      <c r="B6236" s="132">
        <v>6.0427652212124844E-2</v>
      </c>
      <c r="C6236" s="133"/>
    </row>
    <row r="6237" spans="1:3">
      <c r="A6237" s="131" t="s">
        <v>4509</v>
      </c>
      <c r="B6237" s="132">
        <v>0.23270479032352578</v>
      </c>
      <c r="C6237" s="133"/>
    </row>
    <row r="6238" spans="1:3">
      <c r="A6238" s="131" t="s">
        <v>4510</v>
      </c>
      <c r="B6238" s="132">
        <v>5.5594646012815064E-3</v>
      </c>
      <c r="C6238" s="133"/>
    </row>
    <row r="6239" spans="1:3">
      <c r="A6239" s="131" t="s">
        <v>4511</v>
      </c>
      <c r="B6239" s="132">
        <v>0.30592973474464369</v>
      </c>
      <c r="C6239" s="133"/>
    </row>
    <row r="6240" spans="1:3">
      <c r="A6240" s="131" t="s">
        <v>4512</v>
      </c>
      <c r="B6240" s="132">
        <v>0.17429775402611566</v>
      </c>
      <c r="C6240" s="133"/>
    </row>
    <row r="6241" spans="1:3">
      <c r="A6241" s="131" t="s">
        <v>4513</v>
      </c>
      <c r="B6241" s="132">
        <v>0.18282902366405498</v>
      </c>
      <c r="C6241" s="133"/>
    </row>
    <row r="6242" spans="1:3">
      <c r="A6242" s="131" t="s">
        <v>4514</v>
      </c>
      <c r="B6242" s="132">
        <v>11.92</v>
      </c>
      <c r="C6242" s="133"/>
    </row>
    <row r="6243" spans="1:3">
      <c r="A6243" s="131" t="s">
        <v>4515</v>
      </c>
      <c r="B6243" s="132">
        <v>28.58</v>
      </c>
      <c r="C6243" s="133"/>
    </row>
    <row r="6244" spans="1:3">
      <c r="A6244" s="131" t="s">
        <v>4516</v>
      </c>
      <c r="B6244" s="132">
        <v>4.1476584000000004E-3</v>
      </c>
      <c r="C6244" s="133"/>
    </row>
    <row r="6245" spans="1:3">
      <c r="A6245" s="131" t="s">
        <v>4517</v>
      </c>
      <c r="B6245" s="132">
        <v>9.1010401570480249E-4</v>
      </c>
      <c r="C6245" s="133"/>
    </row>
    <row r="6246" spans="1:3">
      <c r="A6246" s="131" t="s">
        <v>4518</v>
      </c>
      <c r="B6246" s="132">
        <v>8.8245469860350571E-5</v>
      </c>
      <c r="C6246" s="133"/>
    </row>
    <row r="6247" spans="1:3">
      <c r="A6247" s="131" t="s">
        <v>4519</v>
      </c>
      <c r="B6247" s="132">
        <v>325.5</v>
      </c>
      <c r="C6247" s="133"/>
    </row>
    <row r="6248" spans="1:3">
      <c r="A6248" s="131" t="s">
        <v>4520</v>
      </c>
      <c r="B6248" s="132">
        <v>10.93</v>
      </c>
      <c r="C6248" s="133"/>
    </row>
    <row r="6249" spans="1:3">
      <c r="A6249" s="131" t="s">
        <v>4521</v>
      </c>
      <c r="B6249" s="132">
        <v>4.5799898730163112E-4</v>
      </c>
      <c r="C6249" s="133"/>
    </row>
    <row r="6250" spans="1:3">
      <c r="A6250" s="131" t="s">
        <v>4522</v>
      </c>
      <c r="B6250" s="132">
        <v>212.5</v>
      </c>
      <c r="C6250" s="133"/>
    </row>
    <row r="6251" spans="1:3">
      <c r="A6251" s="131" t="s">
        <v>4523</v>
      </c>
      <c r="B6251" s="132">
        <v>2.5811935693059295E-2</v>
      </c>
      <c r="C6251" s="133"/>
    </row>
    <row r="6252" spans="1:3">
      <c r="A6252" s="131" t="s">
        <v>4524</v>
      </c>
      <c r="B6252" s="132">
        <v>1.1753370772474925E-3</v>
      </c>
      <c r="C6252" s="133"/>
    </row>
    <row r="6253" spans="1:3">
      <c r="A6253" s="131" t="s">
        <v>4525</v>
      </c>
      <c r="B6253" s="132">
        <v>17.32</v>
      </c>
      <c r="C6253" s="133"/>
    </row>
    <row r="6254" spans="1:3">
      <c r="A6254" s="131" t="s">
        <v>4526</v>
      </c>
      <c r="B6254" s="132">
        <v>0.22777620961544595</v>
      </c>
      <c r="C6254" s="133"/>
    </row>
    <row r="6255" spans="1:3">
      <c r="A6255" s="131" t="s">
        <v>4527</v>
      </c>
      <c r="B6255" s="132">
        <v>7</v>
      </c>
      <c r="C6255" s="133"/>
    </row>
    <row r="6256" spans="1:3">
      <c r="A6256" s="131" t="s">
        <v>4528</v>
      </c>
      <c r="B6256" s="132">
        <v>2.303404000342953E-2</v>
      </c>
      <c r="C6256" s="133"/>
    </row>
    <row r="6257" spans="1:3">
      <c r="A6257" s="131" t="s">
        <v>4529</v>
      </c>
      <c r="B6257" s="132">
        <v>9.1874127098157175E-5</v>
      </c>
      <c r="C6257" s="133"/>
    </row>
    <row r="6258" spans="1:3">
      <c r="A6258" s="131" t="s">
        <v>4530</v>
      </c>
      <c r="B6258" s="132">
        <v>7.47</v>
      </c>
      <c r="C6258" s="133"/>
    </row>
    <row r="6259" spans="1:3">
      <c r="A6259" s="131" t="s">
        <v>4531</v>
      </c>
      <c r="B6259" s="132">
        <v>0.6725256633333333</v>
      </c>
      <c r="C6259" s="133"/>
    </row>
    <row r="6260" spans="1:3">
      <c r="A6260" s="131" t="s">
        <v>4532</v>
      </c>
      <c r="B6260" s="132">
        <v>0.38451937434707206</v>
      </c>
      <c r="C6260" s="133"/>
    </row>
    <row r="6261" spans="1:3">
      <c r="A6261" s="131" t="s">
        <v>4533</v>
      </c>
      <c r="B6261" s="132">
        <v>2.5653528766666668E-6</v>
      </c>
      <c r="C6261" s="133"/>
    </row>
    <row r="6262" spans="1:3">
      <c r="A6262" s="131" t="s">
        <v>4534</v>
      </c>
      <c r="B6262" s="132">
        <v>2.0519008854878121E-4</v>
      </c>
      <c r="C6262" s="133"/>
    </row>
    <row r="6263" spans="1:3">
      <c r="A6263" s="131" t="s">
        <v>4535</v>
      </c>
      <c r="B6263" s="132">
        <v>8.8589945893296595E-4</v>
      </c>
      <c r="C6263" s="133"/>
    </row>
    <row r="6264" spans="1:3">
      <c r="A6264" s="131" t="s">
        <v>4536</v>
      </c>
      <c r="B6264" s="132">
        <v>116.48</v>
      </c>
      <c r="C6264" s="133"/>
    </row>
    <row r="6265" spans="1:3">
      <c r="A6265" s="131" t="s">
        <v>4537</v>
      </c>
      <c r="B6265" s="132">
        <v>2.0716808301973702E-6</v>
      </c>
      <c r="C6265" s="133"/>
    </row>
    <row r="6266" spans="1:3">
      <c r="A6266" s="131" t="s">
        <v>4538</v>
      </c>
      <c r="B6266" s="132">
        <v>336.14</v>
      </c>
      <c r="C6266" s="133"/>
    </row>
    <row r="6267" spans="1:3">
      <c r="A6267" s="131" t="s">
        <v>4539</v>
      </c>
      <c r="B6267" s="132">
        <v>0.91004569999999974</v>
      </c>
      <c r="C6267" s="133"/>
    </row>
    <row r="6268" spans="1:3">
      <c r="A6268" s="131" t="s">
        <v>4540</v>
      </c>
      <c r="B6268" s="132">
        <v>4.5967600000000001E-4</v>
      </c>
      <c r="C6268" s="133"/>
    </row>
    <row r="6269" spans="1:3">
      <c r="A6269" s="131" t="s">
        <v>4541</v>
      </c>
      <c r="B6269" s="132">
        <v>0.34269408333333334</v>
      </c>
      <c r="C6269" s="133"/>
    </row>
    <row r="6270" spans="1:3">
      <c r="A6270" s="131" t="s">
        <v>4542</v>
      </c>
      <c r="B6270" s="132">
        <v>187.49</v>
      </c>
      <c r="C6270" s="133"/>
    </row>
    <row r="6271" spans="1:3">
      <c r="A6271" s="131" t="s">
        <v>4543</v>
      </c>
      <c r="B6271" s="132">
        <v>12.98</v>
      </c>
      <c r="C6271" s="133"/>
    </row>
    <row r="6272" spans="1:3">
      <c r="A6272" s="131" t="s">
        <v>4544</v>
      </c>
      <c r="B6272" s="132">
        <v>9.0247859860417001E-2</v>
      </c>
      <c r="C6272" s="133"/>
    </row>
    <row r="6273" spans="1:3">
      <c r="A6273" s="131" t="s">
        <v>4545</v>
      </c>
      <c r="B6273" s="132">
        <v>1.1493174916774158E-2</v>
      </c>
      <c r="C6273" s="133"/>
    </row>
    <row r="6274" spans="1:3">
      <c r="A6274" s="131" t="s">
        <v>4546</v>
      </c>
      <c r="B6274" s="132">
        <v>2.2596103163391626E-2</v>
      </c>
      <c r="C6274" s="133"/>
    </row>
    <row r="6275" spans="1:3">
      <c r="A6275" s="131" t="s">
        <v>4547</v>
      </c>
      <c r="B6275" s="132">
        <v>8.6057782173156738E-2</v>
      </c>
      <c r="C6275" s="133"/>
    </row>
    <row r="6276" spans="1:3">
      <c r="A6276" s="131" t="s">
        <v>4548</v>
      </c>
      <c r="B6276" s="132">
        <v>3.24</v>
      </c>
      <c r="C6276" s="133"/>
    </row>
    <row r="6277" spans="1:3">
      <c r="A6277" s="131" t="s">
        <v>4549</v>
      </c>
      <c r="B6277" s="132">
        <v>18.329999999999998</v>
      </c>
      <c r="C6277" s="133"/>
    </row>
    <row r="6278" spans="1:3">
      <c r="A6278" s="131" t="s">
        <v>4550</v>
      </c>
      <c r="B6278" s="132">
        <v>7.6840110123157501E-2</v>
      </c>
      <c r="C6278" s="133"/>
    </row>
    <row r="6279" spans="1:3">
      <c r="A6279" s="131" t="s">
        <v>4551</v>
      </c>
      <c r="B6279" s="132">
        <v>3.2270563481948726E-2</v>
      </c>
      <c r="C6279" s="133"/>
    </row>
    <row r="6280" spans="1:3">
      <c r="A6280" s="131" t="s">
        <v>4552</v>
      </c>
      <c r="B6280" s="132">
        <v>103.13</v>
      </c>
      <c r="C6280" s="133"/>
    </row>
    <row r="6281" spans="1:3">
      <c r="A6281" s="131" t="s">
        <v>4553</v>
      </c>
      <c r="B6281" s="132">
        <v>3.5654471747598199E-2</v>
      </c>
      <c r="C6281" s="133"/>
    </row>
    <row r="6282" spans="1:3">
      <c r="A6282" s="131" t="s">
        <v>4554</v>
      </c>
      <c r="B6282" s="132">
        <v>3204.72</v>
      </c>
      <c r="C6282" s="133"/>
    </row>
    <row r="6283" spans="1:3">
      <c r="A6283" s="131" t="s">
        <v>4555</v>
      </c>
      <c r="B6283" s="132">
        <v>9.1642536067180417E-4</v>
      </c>
      <c r="C6283" s="133"/>
    </row>
    <row r="6284" spans="1:3">
      <c r="A6284" s="131" t="s">
        <v>4556</v>
      </c>
      <c r="B6284" s="132">
        <v>25.21</v>
      </c>
      <c r="C6284" s="133"/>
    </row>
    <row r="6285" spans="1:3">
      <c r="A6285" s="131" t="s">
        <v>4557</v>
      </c>
      <c r="B6285" s="132">
        <v>3.8751304026935877E-3</v>
      </c>
      <c r="C6285" s="133"/>
    </row>
    <row r="6286" spans="1:3">
      <c r="A6286" s="131" t="s">
        <v>4558</v>
      </c>
      <c r="B6286" s="132">
        <v>62.16</v>
      </c>
      <c r="C6286" s="133"/>
    </row>
    <row r="6287" spans="1:3">
      <c r="A6287" s="131" t="s">
        <v>4559</v>
      </c>
      <c r="B6287" s="132">
        <v>6.2269084351501074E-2</v>
      </c>
      <c r="C6287" s="133"/>
    </row>
    <row r="6288" spans="1:3">
      <c r="A6288" s="131" t="s">
        <v>4560</v>
      </c>
      <c r="B6288" s="132">
        <v>54.9</v>
      </c>
      <c r="C6288" s="133"/>
    </row>
    <row r="6289" spans="1:3">
      <c r="A6289" s="131" t="s">
        <v>4561</v>
      </c>
      <c r="B6289" s="132">
        <v>34</v>
      </c>
      <c r="C6289" s="133"/>
    </row>
    <row r="6290" spans="1:3">
      <c r="A6290" s="131" t="s">
        <v>4562</v>
      </c>
      <c r="B6290" s="132">
        <v>128.46</v>
      </c>
      <c r="C6290" s="133"/>
    </row>
    <row r="6291" spans="1:3">
      <c r="A6291" s="131" t="s">
        <v>4563</v>
      </c>
      <c r="B6291" s="132">
        <v>62.72</v>
      </c>
      <c r="C6291" s="133"/>
    </row>
    <row r="6292" spans="1:3">
      <c r="A6292" s="131" t="s">
        <v>4564</v>
      </c>
      <c r="B6292" s="132">
        <v>55.41</v>
      </c>
      <c r="C6292" s="133"/>
    </row>
    <row r="6293" spans="1:3">
      <c r="A6293" s="131" t="s">
        <v>4565</v>
      </c>
      <c r="B6293" s="132">
        <v>50.820848347462999</v>
      </c>
      <c r="C6293" s="133"/>
    </row>
    <row r="6294" spans="1:3">
      <c r="A6294" s="131" t="s">
        <v>4566</v>
      </c>
      <c r="B6294" s="132">
        <v>5.4602860669322628E-2</v>
      </c>
      <c r="C6294" s="133"/>
    </row>
    <row r="6295" spans="1:3">
      <c r="A6295" s="131" t="s">
        <v>4567</v>
      </c>
      <c r="B6295" s="132">
        <v>4.3899999999999997</v>
      </c>
      <c r="C6295" s="133"/>
    </row>
    <row r="6296" spans="1:3">
      <c r="A6296" s="131" t="s">
        <v>4568</v>
      </c>
      <c r="B6296" s="132">
        <v>12.73</v>
      </c>
      <c r="C6296" s="133"/>
    </row>
    <row r="6297" spans="1:3">
      <c r="A6297" s="131" t="s">
        <v>4569</v>
      </c>
      <c r="B6297" s="132">
        <v>367.89</v>
      </c>
      <c r="C6297" s="133"/>
    </row>
    <row r="6298" spans="1:3">
      <c r="A6298" s="131" t="s">
        <v>4570</v>
      </c>
      <c r="B6298" s="132">
        <v>6.1832741766055998E-3</v>
      </c>
      <c r="C6298" s="133"/>
    </row>
    <row r="6299" spans="1:3">
      <c r="A6299" s="131" t="s">
        <v>4571</v>
      </c>
      <c r="B6299" s="132">
        <v>1.6034714877605438E-2</v>
      </c>
      <c r="C6299" s="133"/>
    </row>
    <row r="6300" spans="1:3">
      <c r="A6300" s="131" t="s">
        <v>4572</v>
      </c>
      <c r="B6300" s="132">
        <v>4.9349630035167798E-2</v>
      </c>
      <c r="C6300" s="133"/>
    </row>
    <row r="6301" spans="1:3">
      <c r="A6301" s="131" t="s">
        <v>4573</v>
      </c>
      <c r="B6301" s="132">
        <v>2.1275279406839003</v>
      </c>
      <c r="C6301" s="133"/>
    </row>
    <row r="6302" spans="1:3">
      <c r="A6302" s="131" t="s">
        <v>4574</v>
      </c>
      <c r="B6302" s="132">
        <v>20.29</v>
      </c>
      <c r="C6302" s="133"/>
    </row>
    <row r="6303" spans="1:3">
      <c r="A6303" s="131" t="s">
        <v>4575</v>
      </c>
      <c r="B6303" s="132">
        <v>925.5</v>
      </c>
      <c r="C6303" s="133"/>
    </row>
    <row r="6304" spans="1:3">
      <c r="A6304" s="131" t="s">
        <v>4576</v>
      </c>
      <c r="B6304" s="132">
        <v>1.8707453281206821E-3</v>
      </c>
      <c r="C6304" s="133"/>
    </row>
    <row r="6305" spans="1:3">
      <c r="A6305" s="131" t="s">
        <v>4577</v>
      </c>
      <c r="B6305" s="132">
        <v>6.7949011793440637E-5</v>
      </c>
      <c r="C6305" s="133"/>
    </row>
    <row r="6306" spans="1:3">
      <c r="A6306" s="131" t="s">
        <v>4578</v>
      </c>
      <c r="B6306" s="132">
        <v>3.008900057466235E-5</v>
      </c>
      <c r="C6306" s="133"/>
    </row>
    <row r="6307" spans="1:3">
      <c r="A6307" s="131" t="s">
        <v>4579</v>
      </c>
      <c r="B6307" s="132">
        <v>80.430000000000007</v>
      </c>
      <c r="C6307" s="133"/>
    </row>
    <row r="6308" spans="1:3">
      <c r="A6308" s="131" t="s">
        <v>4580</v>
      </c>
      <c r="B6308" s="132">
        <v>1.0012670633333332</v>
      </c>
      <c r="C6308" s="133"/>
    </row>
    <row r="6309" spans="1:3">
      <c r="A6309" s="131" t="s">
        <v>4581</v>
      </c>
      <c r="B6309" s="132">
        <v>17.54</v>
      </c>
      <c r="C6309" s="133"/>
    </row>
    <row r="6310" spans="1:3">
      <c r="A6310" s="131" t="s">
        <v>4582</v>
      </c>
      <c r="B6310" s="132">
        <v>1.6167452325907716E-2</v>
      </c>
      <c r="C6310" s="133"/>
    </row>
    <row r="6311" spans="1:3">
      <c r="A6311" s="131" t="s">
        <v>4583</v>
      </c>
      <c r="B6311" s="132">
        <v>3.7059999158373103E-6</v>
      </c>
      <c r="C6311" s="133"/>
    </row>
    <row r="6312" spans="1:3">
      <c r="A6312" s="131" t="s">
        <v>4584</v>
      </c>
      <c r="B6312" s="132">
        <v>1.1752945458042808E-2</v>
      </c>
      <c r="C6312" s="133"/>
    </row>
    <row r="6313" spans="1:3">
      <c r="A6313" s="131" t="s">
        <v>4585</v>
      </c>
      <c r="B6313" s="132">
        <v>1.3342715043075618E-3</v>
      </c>
      <c r="C6313" s="133"/>
    </row>
    <row r="6314" spans="1:3">
      <c r="A6314" s="131" t="s">
        <v>4586</v>
      </c>
      <c r="B6314" s="132">
        <v>4.5199999476608355E-6</v>
      </c>
      <c r="C6314" s="133"/>
    </row>
    <row r="6315" spans="1:3">
      <c r="A6315" s="131" t="s">
        <v>4587</v>
      </c>
      <c r="B6315" s="132">
        <v>1.3275638290772157E-2</v>
      </c>
      <c r="C6315" s="133"/>
    </row>
    <row r="6316" spans="1:3">
      <c r="A6316" s="131" t="s">
        <v>4588</v>
      </c>
      <c r="B6316" s="132">
        <v>0.98428541382442691</v>
      </c>
      <c r="C6316" s="133"/>
    </row>
    <row r="6317" spans="1:3">
      <c r="A6317" s="131" t="s">
        <v>4589</v>
      </c>
      <c r="B6317" s="132">
        <v>88.830631552452502</v>
      </c>
      <c r="C6317" s="133"/>
    </row>
    <row r="6318" spans="1:3">
      <c r="A6318" s="131" t="s">
        <v>4590</v>
      </c>
      <c r="B6318" s="132">
        <v>1.96</v>
      </c>
      <c r="C6318" s="133"/>
    </row>
    <row r="6319" spans="1:3">
      <c r="A6319" s="131" t="s">
        <v>4591</v>
      </c>
      <c r="B6319" s="132">
        <v>1.7703430494293571E-3</v>
      </c>
      <c r="C6319" s="133"/>
    </row>
    <row r="6320" spans="1:3">
      <c r="A6320" s="131" t="s">
        <v>4592</v>
      </c>
      <c r="B6320" s="132">
        <v>1.620864E-2</v>
      </c>
      <c r="C6320" s="133"/>
    </row>
    <row r="6321" spans="1:3">
      <c r="A6321" s="131" t="s">
        <v>4593</v>
      </c>
      <c r="B6321" s="132">
        <v>9.2520248144865036E-3</v>
      </c>
      <c r="C6321" s="133"/>
    </row>
    <row r="6322" spans="1:3">
      <c r="A6322" s="131" t="s">
        <v>4594</v>
      </c>
      <c r="B6322" s="132">
        <v>1.7847000027116199E-4</v>
      </c>
      <c r="C6322" s="133"/>
    </row>
    <row r="6323" spans="1:3">
      <c r="A6323" s="131" t="s">
        <v>4595</v>
      </c>
      <c r="B6323" s="132">
        <v>8.8260688733527934E-4</v>
      </c>
      <c r="C6323" s="133"/>
    </row>
    <row r="6324" spans="1:3">
      <c r="A6324" s="131" t="s">
        <v>4596</v>
      </c>
      <c r="B6324" s="132">
        <v>4.1024599999999985E-4</v>
      </c>
      <c r="C6324" s="133"/>
    </row>
    <row r="6325" spans="1:3">
      <c r="A6325" s="131" t="s">
        <v>4597</v>
      </c>
      <c r="B6325" s="132">
        <v>3.243644954636693E-3</v>
      </c>
      <c r="C6325" s="133"/>
    </row>
    <row r="6326" spans="1:3">
      <c r="A6326" s="131" t="s">
        <v>4598</v>
      </c>
      <c r="B6326" s="132">
        <v>0.57631626772834166</v>
      </c>
      <c r="C6326" s="133"/>
    </row>
    <row r="6327" spans="1:3">
      <c r="A6327" s="131" t="s">
        <v>4599</v>
      </c>
      <c r="B6327" s="132">
        <v>0.18254862798193378</v>
      </c>
      <c r="C6327" s="133"/>
    </row>
    <row r="6328" spans="1:3">
      <c r="A6328" s="131" t="s">
        <v>4600</v>
      </c>
      <c r="B6328" s="132">
        <v>6.0444499831646681E-4</v>
      </c>
      <c r="C6328" s="133"/>
    </row>
    <row r="6329" spans="1:3">
      <c r="A6329" s="131" t="s">
        <v>4601</v>
      </c>
      <c r="B6329" s="132">
        <v>24.01</v>
      </c>
      <c r="C6329" s="133"/>
    </row>
    <row r="6330" spans="1:3">
      <c r="A6330" s="131" t="s">
        <v>4602</v>
      </c>
      <c r="B6330" s="132">
        <v>1.2338208236773785E-4</v>
      </c>
      <c r="C6330" s="133"/>
    </row>
    <row r="6331" spans="1:3">
      <c r="A6331" s="131" t="s">
        <v>4603</v>
      </c>
      <c r="B6331" s="132">
        <v>0.29495143890380859</v>
      </c>
      <c r="C6331" s="133"/>
    </row>
    <row r="6332" spans="1:3">
      <c r="A6332" s="131" t="s">
        <v>4604</v>
      </c>
      <c r="B6332" s="132">
        <v>1.6431216150522232E-2</v>
      </c>
      <c r="C6332" s="133"/>
    </row>
    <row r="6333" spans="1:3">
      <c r="A6333" s="131" t="s">
        <v>4605</v>
      </c>
      <c r="B6333" s="132">
        <v>4.7125198761932552E-4</v>
      </c>
      <c r="C6333" s="133"/>
    </row>
    <row r="6334" spans="1:3">
      <c r="A6334" s="131" t="s">
        <v>4606</v>
      </c>
      <c r="B6334" s="132">
        <v>24.56</v>
      </c>
      <c r="C6334" s="133"/>
    </row>
    <row r="6335" spans="1:3">
      <c r="A6335" s="131" t="s">
        <v>4607</v>
      </c>
      <c r="B6335" s="132">
        <v>1.2371843823063682E-2</v>
      </c>
      <c r="C6335" s="133"/>
    </row>
    <row r="6336" spans="1:3">
      <c r="A6336" s="131" t="s">
        <v>4608</v>
      </c>
      <c r="B6336" s="132">
        <v>686.53</v>
      </c>
      <c r="C6336" s="133"/>
    </row>
    <row r="6337" spans="1:3">
      <c r="A6337" s="131" t="s">
        <v>4609</v>
      </c>
      <c r="B6337" s="132">
        <v>3.7288967507756156E-2</v>
      </c>
      <c r="C6337" s="133"/>
    </row>
    <row r="6338" spans="1:3">
      <c r="A6338" s="131" t="s">
        <v>4610</v>
      </c>
      <c r="B6338" s="132">
        <v>5.5666802772675369E-2</v>
      </c>
      <c r="C6338" s="133"/>
    </row>
    <row r="6339" spans="1:3">
      <c r="A6339" s="131" t="s">
        <v>4611</v>
      </c>
      <c r="B6339" s="132">
        <v>4.5757812924351514E-2</v>
      </c>
      <c r="C6339" s="133"/>
    </row>
    <row r="6340" spans="1:3">
      <c r="A6340" s="131" t="s">
        <v>4612</v>
      </c>
      <c r="B6340" s="132">
        <v>23811</v>
      </c>
      <c r="C6340" s="133"/>
    </row>
    <row r="6341" spans="1:3">
      <c r="A6341" s="131" t="s">
        <v>4613</v>
      </c>
      <c r="B6341" s="132">
        <v>2.6944110756136813E-2</v>
      </c>
      <c r="C6341" s="133"/>
    </row>
    <row r="6342" spans="1:3">
      <c r="A6342" s="131" t="s">
        <v>4614</v>
      </c>
      <c r="B6342" s="132">
        <v>0.27942193812647326</v>
      </c>
      <c r="C6342" s="133"/>
    </row>
    <row r="6343" spans="1:3">
      <c r="A6343" s="131" t="s">
        <v>4615</v>
      </c>
      <c r="B6343" s="132">
        <v>6.0032245243651493E-4</v>
      </c>
      <c r="C6343" s="133"/>
    </row>
    <row r="6344" spans="1:3">
      <c r="A6344" s="131" t="s">
        <v>4616</v>
      </c>
      <c r="B6344" s="132">
        <v>5.3851429150099616E-8</v>
      </c>
      <c r="C6344" s="133"/>
    </row>
    <row r="6345" spans="1:3">
      <c r="A6345" s="131" t="s">
        <v>4617</v>
      </c>
      <c r="B6345" s="132">
        <v>9.15</v>
      </c>
      <c r="C6345" s="133"/>
    </row>
    <row r="6346" spans="1:3">
      <c r="A6346" s="131" t="s">
        <v>4618</v>
      </c>
      <c r="B6346" s="132">
        <v>111438.82964333643</v>
      </c>
      <c r="C6346" s="133"/>
    </row>
    <row r="6347" spans="1:3">
      <c r="A6347" s="131" t="s">
        <v>4619</v>
      </c>
      <c r="B6347" s="132">
        <v>2.1674931049346924E-3</v>
      </c>
      <c r="C6347" s="133"/>
    </row>
    <row r="6348" spans="1:3">
      <c r="A6348" s="131" t="s">
        <v>4620</v>
      </c>
      <c r="B6348" s="132">
        <v>236.5</v>
      </c>
      <c r="C6348" s="133"/>
    </row>
    <row r="6349" spans="1:3">
      <c r="A6349" s="131" t="s">
        <v>4621</v>
      </c>
      <c r="B6349" s="132">
        <v>2.1522708459890986E-3</v>
      </c>
      <c r="C6349" s="133"/>
    </row>
    <row r="6350" spans="1:3">
      <c r="A6350" s="131" t="s">
        <v>4622</v>
      </c>
      <c r="B6350" s="132">
        <v>2.4172951158071835E-5</v>
      </c>
      <c r="C6350" s="133"/>
    </row>
    <row r="6351" spans="1:3">
      <c r="A6351" s="131" t="s">
        <v>4623</v>
      </c>
      <c r="B6351" s="132">
        <v>1.2405919842422009E-3</v>
      </c>
      <c r="C6351" s="133"/>
    </row>
    <row r="6352" spans="1:3">
      <c r="A6352" s="131" t="s">
        <v>4624</v>
      </c>
      <c r="B6352" s="132">
        <v>1.7860035078218038E-4</v>
      </c>
      <c r="C6352" s="133"/>
    </row>
    <row r="6353" spans="1:3">
      <c r="A6353" s="131" t="s">
        <v>4625</v>
      </c>
      <c r="B6353" s="132">
        <v>1.6009132064973499E-3</v>
      </c>
      <c r="C6353" s="133"/>
    </row>
    <row r="6354" spans="1:3">
      <c r="A6354" s="131" t="s">
        <v>4626</v>
      </c>
      <c r="B6354" s="132">
        <v>0.20802781566666667</v>
      </c>
      <c r="C6354" s="133"/>
    </row>
    <row r="6355" spans="1:3">
      <c r="A6355" s="131" t="s">
        <v>4627</v>
      </c>
      <c r="B6355" s="132">
        <v>2.4023495614528656E-2</v>
      </c>
      <c r="C6355" s="133"/>
    </row>
    <row r="6356" spans="1:3">
      <c r="A6356" s="131" t="s">
        <v>4628</v>
      </c>
      <c r="B6356" s="132">
        <v>5.6</v>
      </c>
      <c r="C6356" s="133"/>
    </row>
    <row r="6357" spans="1:3">
      <c r="A6357" s="131" t="s">
        <v>4629</v>
      </c>
      <c r="B6357" s="132">
        <v>1.5707835337110652</v>
      </c>
      <c r="C6357" s="133"/>
    </row>
    <row r="6358" spans="1:3">
      <c r="A6358" s="131" t="s">
        <v>4630</v>
      </c>
      <c r="B6358" s="132">
        <v>1.2786768582947465E-3</v>
      </c>
      <c r="C6358" s="133"/>
    </row>
    <row r="6359" spans="1:3">
      <c r="A6359" s="131" t="s">
        <v>4631</v>
      </c>
      <c r="B6359" s="132">
        <v>4.3334267763415744E-5</v>
      </c>
      <c r="C6359" s="133"/>
    </row>
    <row r="6360" spans="1:3">
      <c r="A6360" s="131" t="s">
        <v>4632</v>
      </c>
      <c r="B6360" s="132">
        <v>5.0003333333333332E-3</v>
      </c>
      <c r="C6360" s="133"/>
    </row>
    <row r="6361" spans="1:3">
      <c r="A6361" s="131" t="s">
        <v>4633</v>
      </c>
      <c r="B6361" s="132">
        <v>4.5975737273693085E-2</v>
      </c>
      <c r="C6361" s="133"/>
    </row>
    <row r="6362" spans="1:3">
      <c r="A6362" s="131" t="s">
        <v>4634</v>
      </c>
      <c r="B6362" s="132">
        <v>53.13</v>
      </c>
      <c r="C6362" s="133"/>
    </row>
    <row r="6363" spans="1:3">
      <c r="A6363" s="131" t="s">
        <v>4635</v>
      </c>
      <c r="B6363" s="132">
        <v>0.35500923733333334</v>
      </c>
      <c r="C6363" s="133"/>
    </row>
    <row r="6364" spans="1:3">
      <c r="A6364" s="131" t="s">
        <v>4636</v>
      </c>
      <c r="B6364" s="132">
        <v>3.9923939999999999E-4</v>
      </c>
      <c r="C6364" s="133"/>
    </row>
    <row r="6365" spans="1:3">
      <c r="A6365" s="131" t="s">
        <v>4637</v>
      </c>
      <c r="B6365" s="132">
        <v>3.16</v>
      </c>
      <c r="C6365" s="133"/>
    </row>
    <row r="6366" spans="1:3">
      <c r="A6366" s="131" t="s">
        <v>4638</v>
      </c>
      <c r="B6366" s="132">
        <v>3.59</v>
      </c>
      <c r="C6366" s="133"/>
    </row>
    <row r="6367" spans="1:3">
      <c r="A6367" s="131" t="s">
        <v>4639</v>
      </c>
      <c r="B6367" s="132">
        <v>1.5225356606041172</v>
      </c>
      <c r="C6367" s="133"/>
    </row>
    <row r="6368" spans="1:3">
      <c r="A6368" s="131" t="s">
        <v>4640</v>
      </c>
      <c r="B6368" s="132">
        <v>0.840455179</v>
      </c>
      <c r="C6368" s="133"/>
    </row>
    <row r="6369" spans="1:3">
      <c r="A6369" s="131" t="s">
        <v>4641</v>
      </c>
      <c r="B6369" s="132">
        <v>1.0322904586791992</v>
      </c>
      <c r="C6369" s="133"/>
    </row>
    <row r="6370" spans="1:3">
      <c r="A6370" s="131" t="s">
        <v>4642</v>
      </c>
      <c r="B6370" s="132">
        <v>1.0002424716949463</v>
      </c>
      <c r="C6370" s="133"/>
    </row>
    <row r="6371" spans="1:3">
      <c r="A6371" s="131" t="s">
        <v>4643</v>
      </c>
      <c r="B6371" s="132">
        <v>1.3954738542227834</v>
      </c>
      <c r="C6371" s="133"/>
    </row>
    <row r="6372" spans="1:3">
      <c r="A6372" s="131" t="s">
        <v>4644</v>
      </c>
      <c r="B6372" s="132">
        <v>1.9011399999999996E-4</v>
      </c>
      <c r="C6372" s="133"/>
    </row>
    <row r="6373" spans="1:3">
      <c r="A6373" s="131" t="s">
        <v>4645</v>
      </c>
      <c r="B6373" s="132">
        <v>8.9365139745908345E-2</v>
      </c>
      <c r="C6373" s="133"/>
    </row>
    <row r="6374" spans="1:3">
      <c r="A6374" s="131" t="s">
        <v>4646</v>
      </c>
      <c r="B6374" s="132">
        <v>3.57</v>
      </c>
      <c r="C6374" s="133"/>
    </row>
    <row r="6375" spans="1:3">
      <c r="A6375" s="131" t="s">
        <v>4647</v>
      </c>
      <c r="B6375" s="132">
        <v>48.02</v>
      </c>
      <c r="C6375" s="133"/>
    </row>
    <row r="6376" spans="1:3">
      <c r="A6376" s="131" t="s">
        <v>4648</v>
      </c>
      <c r="B6376" s="132">
        <v>6.1771828903127858E-4</v>
      </c>
      <c r="C6376" s="133"/>
    </row>
    <row r="6377" spans="1:3">
      <c r="A6377" s="131" t="s">
        <v>4649</v>
      </c>
      <c r="B6377" s="132">
        <v>3.18</v>
      </c>
      <c r="C6377" s="133"/>
    </row>
    <row r="6378" spans="1:3">
      <c r="A6378" s="131" t="s">
        <v>4650</v>
      </c>
      <c r="B6378" s="132">
        <v>6.1771828903127858E-4</v>
      </c>
      <c r="C6378" s="133"/>
    </row>
    <row r="6379" spans="1:3">
      <c r="A6379" s="131" t="s">
        <v>4651</v>
      </c>
      <c r="B6379" s="132">
        <v>8.9213496000000003E-2</v>
      </c>
      <c r="C6379" s="133"/>
    </row>
    <row r="6380" spans="1:3">
      <c r="A6380" s="131" t="s">
        <v>4652</v>
      </c>
      <c r="B6380" s="132">
        <v>6.4516300335526466E-4</v>
      </c>
      <c r="C6380" s="133"/>
    </row>
    <row r="6381" spans="1:3">
      <c r="A6381" s="131" t="s">
        <v>4653</v>
      </c>
      <c r="B6381" s="132">
        <v>4.9828219999999993E-2</v>
      </c>
      <c r="C6381" s="133"/>
    </row>
    <row r="6382" spans="1:3">
      <c r="A6382" s="131" t="s">
        <v>4654</v>
      </c>
      <c r="B6382" s="132">
        <v>0.51178224080999501</v>
      </c>
      <c r="C6382" s="133"/>
    </row>
    <row r="6383" spans="1:3">
      <c r="A6383" s="131" t="s">
        <v>4655</v>
      </c>
      <c r="B6383" s="132">
        <v>3.9202380925416946E-2</v>
      </c>
      <c r="C6383" s="133"/>
    </row>
    <row r="6384" spans="1:3">
      <c r="A6384" s="131" t="s">
        <v>4656</v>
      </c>
      <c r="B6384" s="132">
        <v>0.45774546265602112</v>
      </c>
      <c r="C6384" s="133"/>
    </row>
    <row r="6385" spans="1:3">
      <c r="A6385" s="131" t="s">
        <v>4657</v>
      </c>
      <c r="B6385" s="132">
        <v>4.01</v>
      </c>
      <c r="C6385" s="133"/>
    </row>
    <row r="6386" spans="1:3">
      <c r="A6386" s="131" t="s">
        <v>4658</v>
      </c>
      <c r="B6386" s="132">
        <v>1.8811279999999992</v>
      </c>
      <c r="C6386" s="133"/>
    </row>
    <row r="6387" spans="1:3">
      <c r="A6387" s="131" t="s">
        <v>4659</v>
      </c>
      <c r="B6387" s="132">
        <v>0.20581656333333331</v>
      </c>
      <c r="C6387" s="133"/>
    </row>
    <row r="6388" spans="1:3">
      <c r="A6388" s="131" t="s">
        <v>4660</v>
      </c>
      <c r="B6388" s="132">
        <v>2.5176806757090002</v>
      </c>
      <c r="C6388" s="133"/>
    </row>
    <row r="6389" spans="1:3">
      <c r="A6389" s="131" t="s">
        <v>4661</v>
      </c>
      <c r="B6389" s="132">
        <v>4.04</v>
      </c>
      <c r="C6389" s="133"/>
    </row>
    <row r="6390" spans="1:3">
      <c r="A6390" s="131" t="s">
        <v>4662</v>
      </c>
      <c r="B6390" s="132">
        <v>5.2450000112003181E-6</v>
      </c>
      <c r="C6390" s="133"/>
    </row>
    <row r="6391" spans="1:3">
      <c r="A6391" s="131" t="s">
        <v>4663</v>
      </c>
      <c r="B6391" s="132">
        <v>0.35685499146964705</v>
      </c>
      <c r="C6391" s="133"/>
    </row>
    <row r="6392" spans="1:3">
      <c r="A6392" s="131" t="s">
        <v>4664</v>
      </c>
      <c r="B6392" s="132">
        <v>1.9912690213985664</v>
      </c>
      <c r="C6392" s="133"/>
    </row>
    <row r="6393" spans="1:3">
      <c r="A6393" s="131" t="s">
        <v>4665</v>
      </c>
      <c r="B6393" s="132">
        <v>69.349999999999994</v>
      </c>
      <c r="C6393" s="133"/>
    </row>
    <row r="6394" spans="1:3">
      <c r="A6394" s="131" t="s">
        <v>4666</v>
      </c>
      <c r="B6394" s="132">
        <v>6.2704351730644703E-3</v>
      </c>
      <c r="C6394" s="133"/>
    </row>
    <row r="6395" spans="1:3">
      <c r="A6395" s="131" t="s">
        <v>4667</v>
      </c>
      <c r="B6395" s="132">
        <v>0.13129184778392614</v>
      </c>
      <c r="C6395" s="133"/>
    </row>
    <row r="6396" spans="1:3">
      <c r="A6396" s="131" t="s">
        <v>4668</v>
      </c>
      <c r="B6396" s="132">
        <v>53461.695293231503</v>
      </c>
      <c r="C6396" s="133"/>
    </row>
    <row r="6397" spans="1:3">
      <c r="A6397" s="131" t="s">
        <v>4669</v>
      </c>
      <c r="B6397" s="132">
        <v>200.3</v>
      </c>
      <c r="C6397" s="133"/>
    </row>
    <row r="6398" spans="1:3">
      <c r="A6398" s="131" t="s">
        <v>4670</v>
      </c>
      <c r="B6398" s="132">
        <v>0.69363902666666666</v>
      </c>
      <c r="C6398" s="133"/>
    </row>
    <row r="6399" spans="1:3">
      <c r="A6399" s="131" t="s">
        <v>4671</v>
      </c>
      <c r="B6399" s="132">
        <v>72.709999999999994</v>
      </c>
      <c r="C6399" s="133"/>
    </row>
    <row r="6400" spans="1:3">
      <c r="A6400" s="131" t="s">
        <v>4672</v>
      </c>
      <c r="B6400" s="132">
        <v>84.9</v>
      </c>
      <c r="C6400" s="133"/>
    </row>
    <row r="6401" spans="1:3">
      <c r="A6401" s="131" t="s">
        <v>4673</v>
      </c>
      <c r="B6401" s="132">
        <v>21.02</v>
      </c>
      <c r="C6401" s="133"/>
    </row>
    <row r="6402" spans="1:3">
      <c r="A6402" s="131" t="s">
        <v>4674</v>
      </c>
      <c r="B6402" s="132">
        <v>0.7541703703427638</v>
      </c>
      <c r="C6402" s="133"/>
    </row>
    <row r="6403" spans="1:3">
      <c r="A6403" s="131" t="s">
        <v>4675</v>
      </c>
      <c r="B6403" s="132">
        <v>25.804010029247092</v>
      </c>
      <c r="C6403" s="133"/>
    </row>
    <row r="6404" spans="1:3">
      <c r="A6404" s="131" t="s">
        <v>4676</v>
      </c>
      <c r="B6404" s="132">
        <v>115.15</v>
      </c>
      <c r="C6404" s="133"/>
    </row>
    <row r="6405" spans="1:3">
      <c r="A6405" s="131" t="s">
        <v>4677</v>
      </c>
      <c r="B6405" s="132">
        <v>65.03</v>
      </c>
      <c r="C6405" s="133"/>
    </row>
    <row r="6406" spans="1:3">
      <c r="A6406" s="131" t="s">
        <v>4678</v>
      </c>
      <c r="B6406" s="132">
        <v>6.0491913009840213E-2</v>
      </c>
      <c r="C6406" s="133"/>
    </row>
    <row r="6407" spans="1:3">
      <c r="A6407" s="131" t="s">
        <v>4679</v>
      </c>
      <c r="B6407" s="132">
        <v>19.649999999999999</v>
      </c>
      <c r="C6407" s="133"/>
    </row>
    <row r="6408" spans="1:3">
      <c r="A6408" s="131" t="s">
        <v>4680</v>
      </c>
      <c r="B6408" s="132">
        <v>41.97</v>
      </c>
      <c r="C6408" s="133"/>
    </row>
    <row r="6409" spans="1:3">
      <c r="A6409" s="131" t="s">
        <v>4681</v>
      </c>
      <c r="B6409" s="132">
        <v>9939.9500000000007</v>
      </c>
      <c r="C6409" s="133"/>
    </row>
    <row r="6410" spans="1:3">
      <c r="A6410" s="131" t="s">
        <v>4682</v>
      </c>
      <c r="B6410" s="132">
        <v>10096</v>
      </c>
      <c r="C6410" s="133"/>
    </row>
    <row r="6411" spans="1:3">
      <c r="A6411" s="131" t="s">
        <v>4683</v>
      </c>
      <c r="B6411" s="132">
        <v>4.59</v>
      </c>
      <c r="C6411" s="133"/>
    </row>
    <row r="6412" spans="1:3">
      <c r="A6412" s="131" t="s">
        <v>4684</v>
      </c>
      <c r="B6412" s="132">
        <v>38.21</v>
      </c>
      <c r="C6412" s="133"/>
    </row>
    <row r="6413" spans="1:3">
      <c r="A6413" s="131" t="s">
        <v>4685</v>
      </c>
      <c r="B6413" s="132">
        <v>14.29</v>
      </c>
      <c r="C6413" s="133"/>
    </row>
    <row r="6414" spans="1:3">
      <c r="A6414" s="131" t="s">
        <v>4686</v>
      </c>
      <c r="B6414" s="132">
        <v>45.48</v>
      </c>
      <c r="C6414" s="133"/>
    </row>
    <row r="6415" spans="1:3">
      <c r="A6415" s="131" t="s">
        <v>4687</v>
      </c>
      <c r="B6415" s="132">
        <v>85.59</v>
      </c>
      <c r="C6415" s="133"/>
    </row>
    <row r="6416" spans="1:3">
      <c r="A6416" s="131" t="s">
        <v>4688</v>
      </c>
      <c r="B6416" s="132">
        <v>29.43</v>
      </c>
      <c r="C6416" s="133"/>
    </row>
    <row r="6417" spans="1:3">
      <c r="A6417" s="131" t="s">
        <v>4689</v>
      </c>
      <c r="B6417" s="132">
        <v>5.4</v>
      </c>
      <c r="C6417" s="133"/>
    </row>
    <row r="6418" spans="1:3">
      <c r="A6418" s="131" t="s">
        <v>4690</v>
      </c>
      <c r="B6418" s="132">
        <v>6.2</v>
      </c>
      <c r="C6418" s="133"/>
    </row>
    <row r="6419" spans="1:3">
      <c r="A6419" s="131" t="s">
        <v>4691</v>
      </c>
      <c r="B6419" s="132">
        <v>250.79</v>
      </c>
      <c r="C6419" s="133"/>
    </row>
    <row r="6420" spans="1:3">
      <c r="A6420" s="131" t="s">
        <v>4692</v>
      </c>
      <c r="B6420" s="132">
        <v>127.26</v>
      </c>
      <c r="C6420" s="133"/>
    </row>
    <row r="6421" spans="1:3">
      <c r="A6421" s="131" t="s">
        <v>4693</v>
      </c>
      <c r="B6421" s="132">
        <v>0.17504356801509857</v>
      </c>
      <c r="C6421" s="133"/>
    </row>
    <row r="6422" spans="1:3">
      <c r="A6422" s="131" t="s">
        <v>4694</v>
      </c>
      <c r="B6422" s="132">
        <v>2.1543635666666665E-2</v>
      </c>
      <c r="C6422" s="133"/>
    </row>
    <row r="6423" spans="1:3">
      <c r="A6423" s="131" t="s">
        <v>4695</v>
      </c>
      <c r="B6423" s="132">
        <v>30419</v>
      </c>
      <c r="C6423" s="133"/>
    </row>
    <row r="6424" spans="1:3">
      <c r="A6424" s="131" t="s">
        <v>4696</v>
      </c>
      <c r="B6424" s="132">
        <v>8175.66</v>
      </c>
      <c r="C6424" s="133"/>
    </row>
    <row r="6425" spans="1:3">
      <c r="A6425" s="131" t="s">
        <v>4697</v>
      </c>
      <c r="B6425" s="132">
        <v>3.71</v>
      </c>
      <c r="C6425" s="133"/>
    </row>
    <row r="6426" spans="1:3">
      <c r="A6426" s="131" t="s">
        <v>4698</v>
      </c>
      <c r="B6426" s="132">
        <v>289.10000000000002</v>
      </c>
      <c r="C6426" s="133"/>
    </row>
    <row r="6427" spans="1:3">
      <c r="A6427" s="131" t="s">
        <v>4699</v>
      </c>
      <c r="B6427" s="132">
        <v>5.7564798044040799E-4</v>
      </c>
      <c r="C6427" s="133"/>
    </row>
    <row r="6428" spans="1:3">
      <c r="A6428" s="131" t="s">
        <v>4700</v>
      </c>
      <c r="B6428" s="132">
        <v>221.25</v>
      </c>
      <c r="C6428" s="133"/>
    </row>
    <row r="6429" spans="1:3">
      <c r="A6429" s="131" t="s">
        <v>4701</v>
      </c>
      <c r="B6429" s="132">
        <v>32.25</v>
      </c>
      <c r="C6429" s="133"/>
    </row>
    <row r="6430" spans="1:3">
      <c r="A6430" s="131" t="s">
        <v>4702</v>
      </c>
      <c r="B6430" s="132">
        <v>209.45</v>
      </c>
      <c r="C6430" s="133"/>
    </row>
    <row r="6431" spans="1:3">
      <c r="A6431" s="131" t="s">
        <v>4703</v>
      </c>
      <c r="B6431" s="132">
        <v>9.9999999392252903E-9</v>
      </c>
      <c r="C6431" s="133"/>
    </row>
    <row r="6432" spans="1:3">
      <c r="A6432" s="131" t="s">
        <v>4704</v>
      </c>
      <c r="B6432" s="132">
        <v>16.96</v>
      </c>
      <c r="C6432" s="133"/>
    </row>
    <row r="6433" spans="1:3">
      <c r="A6433" s="131" t="s">
        <v>4705</v>
      </c>
      <c r="B6433" s="132">
        <v>145.19999999999999</v>
      </c>
      <c r="C6433" s="133"/>
    </row>
    <row r="6434" spans="1:3">
      <c r="A6434" s="131" t="s">
        <v>4706</v>
      </c>
      <c r="B6434" s="132">
        <v>51.37</v>
      </c>
      <c r="C6434" s="133"/>
    </row>
    <row r="6435" spans="1:3">
      <c r="A6435" s="131" t="s">
        <v>4707</v>
      </c>
      <c r="B6435" s="132">
        <v>9.4234683156846796E-6</v>
      </c>
      <c r="C6435" s="133"/>
    </row>
    <row r="6436" spans="1:3">
      <c r="A6436" s="131" t="s">
        <v>4708</v>
      </c>
      <c r="B6436" s="132">
        <v>40.659999999999997</v>
      </c>
      <c r="C6436" s="133"/>
    </row>
    <row r="6437" spans="1:3">
      <c r="A6437" s="131" t="s">
        <v>4709</v>
      </c>
      <c r="B6437" s="132">
        <v>163.74</v>
      </c>
      <c r="C6437" s="133"/>
    </row>
    <row r="6438" spans="1:3">
      <c r="A6438" s="131" t="s">
        <v>4710</v>
      </c>
      <c r="B6438" s="132">
        <v>151.05000000000001</v>
      </c>
      <c r="C6438" s="133"/>
    </row>
    <row r="6439" spans="1:3">
      <c r="A6439" s="131" t="s">
        <v>4711</v>
      </c>
      <c r="B6439" s="132">
        <v>34.22</v>
      </c>
      <c r="C6439" s="133"/>
    </row>
    <row r="6440" spans="1:3">
      <c r="A6440" s="131" t="s">
        <v>4712</v>
      </c>
      <c r="B6440" s="132">
        <v>8.774969666666666E-4</v>
      </c>
      <c r="C6440" s="133"/>
    </row>
    <row r="6441" spans="1:3">
      <c r="A6441" s="131" t="s">
        <v>4713</v>
      </c>
      <c r="B6441" s="132">
        <v>41.25</v>
      </c>
      <c r="C6441" s="133"/>
    </row>
    <row r="6442" spans="1:3">
      <c r="A6442" s="131" t="s">
        <v>4714</v>
      </c>
      <c r="B6442" s="132">
        <v>4.3057185253333331E-2</v>
      </c>
      <c r="C6442" s="133"/>
    </row>
    <row r="6443" spans="1:3">
      <c r="A6443" s="131" t="s">
        <v>4715</v>
      </c>
      <c r="B6443" s="132">
        <v>2.1800000000000002</v>
      </c>
      <c r="C6443" s="133"/>
    </row>
    <row r="6444" spans="1:3">
      <c r="A6444" s="131" t="s">
        <v>4716</v>
      </c>
      <c r="B6444" s="132">
        <v>221.09</v>
      </c>
      <c r="C6444" s="133"/>
    </row>
    <row r="6445" spans="1:3">
      <c r="A6445" s="131" t="s">
        <v>4717</v>
      </c>
      <c r="B6445" s="132">
        <v>6.177182890312786E-5</v>
      </c>
      <c r="C6445" s="133"/>
    </row>
    <row r="6446" spans="1:3">
      <c r="A6446" s="131" t="s">
        <v>7718</v>
      </c>
      <c r="B6446" s="132">
        <v>17.03</v>
      </c>
      <c r="C6446" s="133"/>
    </row>
    <row r="6447" spans="1:3">
      <c r="A6447" s="131" t="s">
        <v>7719</v>
      </c>
      <c r="B6447" s="132">
        <v>233.43</v>
      </c>
      <c r="C6447" s="133"/>
    </row>
    <row r="6448" spans="1:3">
      <c r="A6448" s="131" t="s">
        <v>7720</v>
      </c>
      <c r="B6448" s="132">
        <v>42.63</v>
      </c>
      <c r="C6448" s="133"/>
    </row>
    <row r="6449" spans="1:3">
      <c r="A6449" s="131" t="s">
        <v>7721</v>
      </c>
      <c r="B6449" s="132">
        <v>0.74900001287460327</v>
      </c>
      <c r="C6449" s="133"/>
    </row>
    <row r="6450" spans="1:3">
      <c r="A6450" s="131" t="s">
        <v>7722</v>
      </c>
      <c r="B6450" s="132">
        <v>77.22</v>
      </c>
      <c r="C6450" s="133"/>
    </row>
    <row r="6451" spans="1:3">
      <c r="A6451" s="131" t="s">
        <v>7723</v>
      </c>
      <c r="B6451" s="132">
        <v>74.489999999999995</v>
      </c>
      <c r="C6451" s="133"/>
    </row>
    <row r="6452" spans="1:3">
      <c r="A6452" s="131" t="s">
        <v>7724</v>
      </c>
      <c r="B6452" s="132">
        <v>63.44</v>
      </c>
      <c r="C6452" s="133"/>
    </row>
    <row r="6453" spans="1:3">
      <c r="A6453" s="131" t="s">
        <v>7725</v>
      </c>
      <c r="B6453" s="132">
        <v>100.47</v>
      </c>
      <c r="C6453" s="133"/>
    </row>
    <row r="6454" spans="1:3">
      <c r="A6454" s="131" t="s">
        <v>7726</v>
      </c>
      <c r="B6454" s="132">
        <v>5.7281859069423631E-2</v>
      </c>
      <c r="C6454" s="133"/>
    </row>
    <row r="6455" spans="1:3">
      <c r="A6455" s="131" t="s">
        <v>7727</v>
      </c>
      <c r="B6455" s="132">
        <v>129.01</v>
      </c>
      <c r="C6455" s="133"/>
    </row>
    <row r="6456" spans="1:3">
      <c r="A6456" s="131" t="s">
        <v>7728</v>
      </c>
      <c r="B6456" s="132">
        <v>511.96</v>
      </c>
      <c r="C6456" s="133"/>
    </row>
    <row r="6457" spans="1:3">
      <c r="A6457" s="131" t="s">
        <v>7729</v>
      </c>
      <c r="B6457" s="132">
        <v>0.99060255289077759</v>
      </c>
      <c r="C6457" s="133"/>
    </row>
    <row r="6458" spans="1:3">
      <c r="A6458" s="131" t="s">
        <v>7730</v>
      </c>
      <c r="B6458" s="132">
        <v>61.08</v>
      </c>
      <c r="C6458" s="133"/>
    </row>
    <row r="6459" spans="1:3">
      <c r="A6459" s="131" t="s">
        <v>7731</v>
      </c>
      <c r="B6459" s="132">
        <v>0.15000000596046448</v>
      </c>
      <c r="C6459" s="133"/>
    </row>
    <row r="6460" spans="1:3">
      <c r="A6460" s="131" t="s">
        <v>7732</v>
      </c>
      <c r="B6460" s="132">
        <v>15.84</v>
      </c>
      <c r="C6460" s="133"/>
    </row>
    <row r="6461" spans="1:3">
      <c r="A6461" s="131" t="s">
        <v>7733</v>
      </c>
      <c r="B6461" s="132">
        <v>11.33</v>
      </c>
      <c r="C6461" s="133"/>
    </row>
    <row r="6462" spans="1:3">
      <c r="A6462" s="131" t="s">
        <v>7734</v>
      </c>
      <c r="B6462" s="132">
        <v>148.41</v>
      </c>
      <c r="C6462" s="133"/>
    </row>
    <row r="6463" spans="1:3">
      <c r="A6463" s="131" t="s">
        <v>7735</v>
      </c>
      <c r="B6463" s="132">
        <v>39.29</v>
      </c>
      <c r="C6463" s="133"/>
    </row>
    <row r="6464" spans="1:3">
      <c r="A6464" s="131" t="s">
        <v>7736</v>
      </c>
      <c r="B6464" s="132">
        <v>9.0283176461345995</v>
      </c>
      <c r="C6464" s="133"/>
    </row>
    <row r="6465" spans="1:3">
      <c r="A6465" s="131" t="s">
        <v>7737</v>
      </c>
      <c r="B6465" s="132">
        <v>190.89</v>
      </c>
      <c r="C6465" s="133"/>
    </row>
    <row r="6466" spans="1:3">
      <c r="A6466" s="131" t="s">
        <v>7738</v>
      </c>
      <c r="B6466" s="132">
        <v>1.7910143333333333E-2</v>
      </c>
      <c r="C6466" s="133"/>
    </row>
    <row r="6467" spans="1:3">
      <c r="A6467" s="131" t="s">
        <v>7739</v>
      </c>
      <c r="B6467" s="132">
        <v>22.25</v>
      </c>
      <c r="C6467" s="133"/>
    </row>
    <row r="6468" spans="1:3">
      <c r="A6468" s="131" t="s">
        <v>7740</v>
      </c>
      <c r="B6468" s="132">
        <v>177.14</v>
      </c>
      <c r="C6468" s="133"/>
    </row>
    <row r="6469" spans="1:3">
      <c r="A6469" s="131" t="s">
        <v>7741</v>
      </c>
      <c r="B6469" s="132">
        <v>201.39</v>
      </c>
      <c r="C6469" s="133"/>
    </row>
    <row r="6470" spans="1:3">
      <c r="A6470" s="131" t="s">
        <v>7742</v>
      </c>
      <c r="B6470" s="132">
        <v>9.06</v>
      </c>
      <c r="C6470" s="133"/>
    </row>
    <row r="6471" spans="1:3">
      <c r="A6471" s="131" t="s">
        <v>7743</v>
      </c>
      <c r="B6471" s="132">
        <v>0.12242446094751358</v>
      </c>
      <c r="C6471" s="133"/>
    </row>
    <row r="6472" spans="1:3">
      <c r="A6472" s="131" t="s">
        <v>7744</v>
      </c>
      <c r="B6472" s="132">
        <v>0.53075862841863608</v>
      </c>
      <c r="C6472" s="133"/>
    </row>
    <row r="6473" spans="1:3">
      <c r="A6473" s="131" t="s">
        <v>7745</v>
      </c>
      <c r="B6473" s="132">
        <v>72.3</v>
      </c>
      <c r="C6473" s="133"/>
    </row>
    <row r="6474" spans="1:3">
      <c r="A6474" s="131" t="s">
        <v>7746</v>
      </c>
      <c r="B6474" s="132">
        <v>241.03</v>
      </c>
      <c r="C6474" s="133"/>
    </row>
    <row r="6475" spans="1:3">
      <c r="A6475" s="131" t="s">
        <v>7747</v>
      </c>
      <c r="B6475" s="132">
        <v>95.88</v>
      </c>
      <c r="C6475" s="133"/>
    </row>
    <row r="6476" spans="1:3">
      <c r="A6476" s="131" t="s">
        <v>7748</v>
      </c>
      <c r="B6476" s="132">
        <v>0.91740000247955322</v>
      </c>
      <c r="C6476" s="133"/>
    </row>
    <row r="6477" spans="1:3">
      <c r="A6477" s="131" t="s">
        <v>7749</v>
      </c>
      <c r="B6477" s="132">
        <v>8.94</v>
      </c>
      <c r="C6477" s="133"/>
    </row>
    <row r="6478" spans="1:3">
      <c r="A6478" s="131" t="s">
        <v>7750</v>
      </c>
      <c r="B6478" s="132">
        <v>37.74</v>
      </c>
      <c r="C6478" s="133"/>
    </row>
    <row r="6479" spans="1:3">
      <c r="A6479" s="131" t="s">
        <v>7751</v>
      </c>
      <c r="B6479" s="132">
        <v>5</v>
      </c>
      <c r="C6479" s="133"/>
    </row>
    <row r="6480" spans="1:3">
      <c r="A6480" s="131" t="s">
        <v>7752</v>
      </c>
      <c r="B6480" s="132">
        <v>81.99</v>
      </c>
      <c r="C6480" s="133"/>
    </row>
    <row r="6481" spans="1:3">
      <c r="A6481" s="131" t="s">
        <v>7753</v>
      </c>
      <c r="B6481" s="132">
        <v>126.66</v>
      </c>
      <c r="C6481" s="133"/>
    </row>
    <row r="6482" spans="1:3">
      <c r="A6482" s="131" t="s">
        <v>7754</v>
      </c>
      <c r="B6482" s="132">
        <v>422.84</v>
      </c>
      <c r="C6482" s="133"/>
    </row>
    <row r="6483" spans="1:3">
      <c r="A6483" s="131" t="s">
        <v>7755</v>
      </c>
      <c r="B6483" s="132">
        <v>217.92</v>
      </c>
      <c r="C6483" s="133"/>
    </row>
    <row r="6484" spans="1:3">
      <c r="A6484" s="131" t="s">
        <v>7756</v>
      </c>
      <c r="B6484" s="132">
        <v>39.159999999999997</v>
      </c>
      <c r="C6484" s="133"/>
    </row>
    <row r="6485" spans="1:3">
      <c r="A6485" s="131" t="s">
        <v>7757</v>
      </c>
      <c r="B6485" s="132">
        <v>91.98</v>
      </c>
      <c r="C6485" s="133"/>
    </row>
    <row r="6486" spans="1:3">
      <c r="A6486" s="131" t="s">
        <v>7758</v>
      </c>
      <c r="B6486" s="132">
        <v>65.22</v>
      </c>
      <c r="C6486" s="133"/>
    </row>
    <row r="6487" spans="1:3">
      <c r="A6487" s="131" t="s">
        <v>7759</v>
      </c>
      <c r="B6487" s="132">
        <v>19.97</v>
      </c>
      <c r="C6487" s="133"/>
    </row>
    <row r="6488" spans="1:3">
      <c r="A6488" s="131" t="s">
        <v>7760</v>
      </c>
      <c r="B6488" s="132">
        <v>1.5155670817475558E-3</v>
      </c>
      <c r="C6488" s="133"/>
    </row>
    <row r="6489" spans="1:3">
      <c r="A6489" s="131" t="s">
        <v>7761</v>
      </c>
      <c r="B6489" s="132">
        <v>385.06</v>
      </c>
      <c r="C6489" s="133"/>
    </row>
    <row r="6490" spans="1:3">
      <c r="A6490" s="131" t="s">
        <v>7762</v>
      </c>
      <c r="B6490" s="132">
        <v>390.99</v>
      </c>
      <c r="C6490" s="133"/>
    </row>
    <row r="6491" spans="1:3">
      <c r="A6491" s="131" t="s">
        <v>7763</v>
      </c>
      <c r="B6491" s="132">
        <v>54.5</v>
      </c>
      <c r="C6491" s="133"/>
    </row>
    <row r="6492" spans="1:3">
      <c r="A6492" s="131" t="s">
        <v>7764</v>
      </c>
      <c r="B6492" s="132">
        <v>42.58</v>
      </c>
      <c r="C6492" s="133"/>
    </row>
    <row r="6493" spans="1:3">
      <c r="A6493" s="131" t="s">
        <v>7765</v>
      </c>
      <c r="B6493" s="132">
        <v>0.56000000238418579</v>
      </c>
      <c r="C6493" s="133"/>
    </row>
    <row r="6494" spans="1:3">
      <c r="A6494" s="131" t="s">
        <v>7766</v>
      </c>
      <c r="B6494" s="132">
        <v>137.69</v>
      </c>
      <c r="C6494" s="133"/>
    </row>
    <row r="6495" spans="1:3">
      <c r="A6495" s="131" t="s">
        <v>7767</v>
      </c>
      <c r="B6495" s="132">
        <v>68.88</v>
      </c>
      <c r="C6495" s="133"/>
    </row>
    <row r="6496" spans="1:3">
      <c r="A6496" s="131" t="s">
        <v>7768</v>
      </c>
      <c r="B6496" s="132">
        <v>124.73</v>
      </c>
      <c r="C6496" s="133"/>
    </row>
    <row r="6497" spans="1:3">
      <c r="A6497" s="131" t="s">
        <v>7769</v>
      </c>
      <c r="B6497" s="132">
        <v>145.22</v>
      </c>
      <c r="C6497" s="133"/>
    </row>
    <row r="6498" spans="1:3">
      <c r="A6498" s="131" t="s">
        <v>7770</v>
      </c>
      <c r="B6498" s="132">
        <v>1.0469731574767325</v>
      </c>
      <c r="C6498" s="133"/>
    </row>
    <row r="6499" spans="1:3">
      <c r="A6499" s="131" t="s">
        <v>7771</v>
      </c>
      <c r="B6499" s="132">
        <v>7.8374054527102501</v>
      </c>
      <c r="C6499" s="133"/>
    </row>
    <row r="6500" spans="1:3">
      <c r="A6500" s="131" t="s">
        <v>7772</v>
      </c>
      <c r="B6500" s="132">
        <v>6.7030942496582719E-4</v>
      </c>
      <c r="C6500" s="133"/>
    </row>
    <row r="6501" spans="1:3">
      <c r="A6501" s="131" t="s">
        <v>7773</v>
      </c>
      <c r="B6501" s="132">
        <v>1.222300052177161E-4</v>
      </c>
      <c r="C6501" s="133"/>
    </row>
    <row r="6502" spans="1:3">
      <c r="A6502" s="131" t="s">
        <v>7774</v>
      </c>
      <c r="B6502" s="132">
        <v>0.1665082807832482</v>
      </c>
      <c r="C6502" s="133"/>
    </row>
    <row r="6503" spans="1:3">
      <c r="A6503" s="131" t="s">
        <v>7775</v>
      </c>
      <c r="B6503" s="132">
        <v>131.74</v>
      </c>
      <c r="C6503" s="133"/>
    </row>
    <row r="6504" spans="1:3">
      <c r="A6504" s="131" t="s">
        <v>7776</v>
      </c>
      <c r="B6504" s="132">
        <v>114.63</v>
      </c>
      <c r="C6504" s="133"/>
    </row>
    <row r="6505" spans="1:3">
      <c r="A6505" s="131" t="s">
        <v>7777</v>
      </c>
      <c r="B6505" s="132">
        <v>3.0016999999999997E-8</v>
      </c>
      <c r="C6505" s="133"/>
    </row>
    <row r="6506" spans="1:3">
      <c r="A6506" s="131" t="s">
        <v>7778</v>
      </c>
      <c r="B6506" s="132">
        <v>831.98</v>
      </c>
      <c r="C6506" s="133"/>
    </row>
    <row r="6507" spans="1:3">
      <c r="A6507" s="131" t="s">
        <v>7779</v>
      </c>
      <c r="B6507" s="132">
        <v>4.2375410000000001E-3</v>
      </c>
      <c r="C6507" s="133"/>
    </row>
    <row r="6508" spans="1:3">
      <c r="A6508" s="131" t="s">
        <v>7780</v>
      </c>
      <c r="B6508" s="132">
        <v>561.28</v>
      </c>
      <c r="C6508" s="133"/>
    </row>
    <row r="6509" spans="1:3">
      <c r="A6509" s="131" t="s">
        <v>7781</v>
      </c>
      <c r="B6509" s="132">
        <v>50.48</v>
      </c>
      <c r="C6509" s="133"/>
    </row>
    <row r="6510" spans="1:3">
      <c r="A6510" s="131" t="s">
        <v>7782</v>
      </c>
      <c r="B6510" s="132">
        <v>39.76</v>
      </c>
      <c r="C6510" s="133"/>
    </row>
    <row r="6511" spans="1:3">
      <c r="A6511" s="131" t="s">
        <v>7783</v>
      </c>
      <c r="B6511" s="132">
        <v>55.07</v>
      </c>
      <c r="C6511" s="133"/>
    </row>
    <row r="6512" spans="1:3">
      <c r="A6512" s="131" t="s">
        <v>7784</v>
      </c>
      <c r="B6512" s="132">
        <v>159.54</v>
      </c>
      <c r="C6512" s="133"/>
    </row>
    <row r="6513" spans="1:3">
      <c r="A6513" s="131" t="s">
        <v>7785</v>
      </c>
      <c r="B6513" s="132">
        <v>4.4170000000000439E-5</v>
      </c>
      <c r="C6513" s="133"/>
    </row>
    <row r="6514" spans="1:3">
      <c r="A6514" s="131" t="s">
        <v>7786</v>
      </c>
      <c r="B6514" s="132">
        <v>55.1</v>
      </c>
      <c r="C6514" s="133"/>
    </row>
    <row r="6515" spans="1:3">
      <c r="A6515" s="131" t="s">
        <v>7787</v>
      </c>
      <c r="B6515" s="132">
        <v>175.17</v>
      </c>
      <c r="C6515" s="133"/>
    </row>
    <row r="6516" spans="1:3">
      <c r="A6516" s="131" t="s">
        <v>7788</v>
      </c>
      <c r="B6516" s="132">
        <v>3450.55</v>
      </c>
      <c r="C6516" s="133"/>
    </row>
    <row r="6517" spans="1:3">
      <c r="A6517" s="131" t="s">
        <v>7789</v>
      </c>
      <c r="B6517" s="132">
        <v>37.04</v>
      </c>
      <c r="C6517" s="133"/>
    </row>
    <row r="6518" spans="1:3">
      <c r="A6518" s="131" t="s">
        <v>7790</v>
      </c>
      <c r="B6518" s="132">
        <v>93</v>
      </c>
      <c r="C6518" s="133"/>
    </row>
    <row r="6519" spans="1:3">
      <c r="A6519" s="131" t="s">
        <v>7791</v>
      </c>
      <c r="B6519" s="132">
        <v>213.14</v>
      </c>
      <c r="C6519" s="133"/>
    </row>
    <row r="6520" spans="1:3">
      <c r="A6520" s="131" t="s">
        <v>7792</v>
      </c>
      <c r="B6520" s="132">
        <v>29.1</v>
      </c>
      <c r="C6520" s="133"/>
    </row>
    <row r="6521" spans="1:3">
      <c r="A6521" s="131" t="s">
        <v>7793</v>
      </c>
      <c r="B6521" s="132">
        <v>1.336020166568623E-4</v>
      </c>
      <c r="C6521" s="133"/>
    </row>
    <row r="6522" spans="1:3">
      <c r="A6522" s="131" t="s">
        <v>7794</v>
      </c>
      <c r="B6522" s="132">
        <v>2.1528017600671759E-2</v>
      </c>
      <c r="C6522" s="133"/>
    </row>
    <row r="6523" spans="1:3">
      <c r="A6523" s="131" t="s">
        <v>7795</v>
      </c>
      <c r="B6523" s="132">
        <v>0.25365209999999994</v>
      </c>
      <c r="C6523" s="133"/>
    </row>
    <row r="6524" spans="1:3">
      <c r="A6524" s="131" t="s">
        <v>7796</v>
      </c>
      <c r="B6524" s="132">
        <v>186.25</v>
      </c>
      <c r="C6524" s="133"/>
    </row>
    <row r="6525" spans="1:3">
      <c r="A6525" s="131" t="s">
        <v>7797</v>
      </c>
      <c r="B6525" s="132">
        <v>383</v>
      </c>
      <c r="C6525" s="133"/>
    </row>
    <row r="6526" spans="1:3">
      <c r="A6526" s="131" t="s">
        <v>7798</v>
      </c>
      <c r="B6526" s="132">
        <v>115.54</v>
      </c>
      <c r="C6526" s="133"/>
    </row>
    <row r="6527" spans="1:3">
      <c r="A6527" s="131" t="s">
        <v>7799</v>
      </c>
      <c r="B6527" s="132">
        <v>157.87</v>
      </c>
      <c r="C6527" s="133"/>
    </row>
    <row r="6528" spans="1:3">
      <c r="A6528" s="131" t="s">
        <v>7800</v>
      </c>
      <c r="B6528" s="132">
        <v>32.75</v>
      </c>
      <c r="C6528" s="133"/>
    </row>
    <row r="6529" spans="1:3">
      <c r="A6529" s="131" t="s">
        <v>7801</v>
      </c>
      <c r="B6529" s="132">
        <v>82.75</v>
      </c>
      <c r="C6529" s="133"/>
    </row>
    <row r="6530" spans="1:3">
      <c r="A6530" s="131" t="s">
        <v>7802</v>
      </c>
      <c r="B6530" s="132">
        <v>1.0003261745494361E-8</v>
      </c>
      <c r="C6530" s="133"/>
    </row>
    <row r="6531" spans="1:3">
      <c r="A6531" s="131" t="s">
        <v>7803</v>
      </c>
      <c r="B6531" s="132">
        <v>958.62</v>
      </c>
      <c r="C6531" s="133"/>
    </row>
    <row r="6532" spans="1:3">
      <c r="A6532" s="131" t="s">
        <v>7804</v>
      </c>
      <c r="B6532" s="132">
        <v>0.13077406333333333</v>
      </c>
      <c r="C6532" s="133"/>
    </row>
    <row r="6533" spans="1:3">
      <c r="A6533" s="131" t="s">
        <v>7805</v>
      </c>
      <c r="B6533" s="132">
        <v>213.9</v>
      </c>
      <c r="C6533" s="133"/>
    </row>
    <row r="6534" spans="1:3">
      <c r="A6534" s="131" t="s">
        <v>7806</v>
      </c>
      <c r="B6534" s="132">
        <v>7.4755819538544692E-5</v>
      </c>
      <c r="C6534" s="133"/>
    </row>
    <row r="6535" spans="1:3">
      <c r="A6535" s="131" t="s">
        <v>7807</v>
      </c>
      <c r="B6535" s="132">
        <v>8.2086489333333332E-3</v>
      </c>
      <c r="C6535" s="133"/>
    </row>
    <row r="6536" spans="1:3">
      <c r="A6536" s="131" t="s">
        <v>7808</v>
      </c>
      <c r="B6536" s="132">
        <v>3.98</v>
      </c>
      <c r="C6536" s="133"/>
    </row>
    <row r="6537" spans="1:3">
      <c r="A6537" s="131" t="s">
        <v>7809</v>
      </c>
      <c r="B6537" s="132">
        <v>147.66</v>
      </c>
      <c r="C6537" s="133"/>
    </row>
    <row r="6538" spans="1:3">
      <c r="A6538" s="131" t="s">
        <v>7810</v>
      </c>
      <c r="B6538" s="132">
        <v>35.86</v>
      </c>
      <c r="C6538" s="133"/>
    </row>
    <row r="6539" spans="1:3">
      <c r="A6539" s="131" t="s">
        <v>7811</v>
      </c>
      <c r="B6539" s="132">
        <v>60.47</v>
      </c>
      <c r="C6539" s="133"/>
    </row>
    <row r="6540" spans="1:3">
      <c r="A6540" s="131" t="s">
        <v>7812</v>
      </c>
      <c r="B6540" s="132">
        <v>5.99</v>
      </c>
      <c r="C6540" s="133"/>
    </row>
    <row r="6541" spans="1:3">
      <c r="A6541" s="131" t="s">
        <v>7813</v>
      </c>
      <c r="B6541" s="132">
        <v>21.22</v>
      </c>
      <c r="C6541" s="133"/>
    </row>
    <row r="6542" spans="1:3">
      <c r="A6542" s="131" t="s">
        <v>7814</v>
      </c>
      <c r="B6542" s="132">
        <v>128.01</v>
      </c>
      <c r="C6542" s="133"/>
    </row>
    <row r="6543" spans="1:3">
      <c r="A6543" s="131" t="s">
        <v>7815</v>
      </c>
      <c r="B6543" s="132">
        <v>7.7046199999999995E-2</v>
      </c>
      <c r="C6543" s="133"/>
    </row>
    <row r="6544" spans="1:3">
      <c r="A6544" s="131" t="s">
        <v>7816</v>
      </c>
      <c r="B6544" s="132">
        <v>8.4</v>
      </c>
      <c r="C6544" s="133"/>
    </row>
    <row r="6545" spans="1:3">
      <c r="A6545" s="131" t="s">
        <v>7817</v>
      </c>
      <c r="B6545" s="132">
        <v>53.52</v>
      </c>
      <c r="C6545" s="133"/>
    </row>
    <row r="6546" spans="1:3">
      <c r="A6546" s="131" t="s">
        <v>7818</v>
      </c>
      <c r="B6546" s="132">
        <v>108.73</v>
      </c>
      <c r="C6546" s="133"/>
    </row>
    <row r="6547" spans="1:3">
      <c r="A6547" s="131" t="s">
        <v>7819</v>
      </c>
      <c r="B6547" s="132">
        <v>101.5</v>
      </c>
      <c r="C6547" s="133"/>
    </row>
    <row r="6548" spans="1:3">
      <c r="A6548" s="131" t="s">
        <v>7820</v>
      </c>
      <c r="B6548" s="132">
        <v>18.39</v>
      </c>
      <c r="C6548" s="133"/>
    </row>
    <row r="6549" spans="1:3">
      <c r="A6549" s="131" t="s">
        <v>7821</v>
      </c>
      <c r="B6549" s="132">
        <v>100.59</v>
      </c>
      <c r="C6549" s="133"/>
    </row>
    <row r="6550" spans="1:3">
      <c r="A6550" s="131" t="s">
        <v>7822</v>
      </c>
      <c r="B6550" s="132">
        <v>1.0350344999999999E-4</v>
      </c>
      <c r="C6550" s="133"/>
    </row>
    <row r="6551" spans="1:3">
      <c r="A6551" s="131" t="s">
        <v>7823</v>
      </c>
      <c r="B6551" s="132">
        <v>0.11235039567999999</v>
      </c>
      <c r="C6551" s="133"/>
    </row>
    <row r="6552" spans="1:3">
      <c r="A6552" s="131" t="s">
        <v>7824</v>
      </c>
      <c r="B6552" s="132">
        <v>77.72</v>
      </c>
      <c r="C6552" s="133"/>
    </row>
    <row r="6553" spans="1:3">
      <c r="A6553" s="131" t="s">
        <v>7825</v>
      </c>
      <c r="B6553" s="132">
        <v>65.290000000000006</v>
      </c>
      <c r="C6553" s="133"/>
    </row>
    <row r="6554" spans="1:3">
      <c r="A6554" s="131" t="s">
        <v>7826</v>
      </c>
      <c r="B6554" s="132">
        <v>1.1719981246872537E-5</v>
      </c>
      <c r="C6554" s="133"/>
    </row>
    <row r="6555" spans="1:3">
      <c r="A6555" s="131" t="s">
        <v>7827</v>
      </c>
      <c r="B6555" s="132">
        <v>6.4364718414458327E-4</v>
      </c>
      <c r="C6555" s="133"/>
    </row>
    <row r="6556" spans="1:3">
      <c r="A6556" s="131" t="s">
        <v>7828</v>
      </c>
      <c r="B6556" s="132">
        <v>3.4209374333333333E-4</v>
      </c>
      <c r="C6556" s="133"/>
    </row>
    <row r="6557" spans="1:3">
      <c r="A6557" s="131" t="s">
        <v>7829</v>
      </c>
      <c r="B6557" s="132">
        <v>514.16999999999996</v>
      </c>
      <c r="C6557" s="133"/>
    </row>
    <row r="6558" spans="1:3">
      <c r="A6558" s="131" t="s">
        <v>7830</v>
      </c>
      <c r="B6558" s="132">
        <v>5.9999999999998803E-8</v>
      </c>
      <c r="C6558" s="133"/>
    </row>
    <row r="6559" spans="1:3">
      <c r="A6559" s="131" t="s">
        <v>7831</v>
      </c>
      <c r="B6559" s="132">
        <v>5.96</v>
      </c>
      <c r="C6559" s="133"/>
    </row>
    <row r="6560" spans="1:3">
      <c r="A6560" s="131" t="s">
        <v>7832</v>
      </c>
      <c r="B6560" s="132">
        <v>7.678234048137578E-8</v>
      </c>
      <c r="C6560" s="133"/>
    </row>
    <row r="6561" spans="1:3">
      <c r="A6561" s="131" t="s">
        <v>7833</v>
      </c>
      <c r="B6561" s="132">
        <v>2343.09</v>
      </c>
      <c r="C6561" s="133"/>
    </row>
    <row r="6562" spans="1:3">
      <c r="A6562" s="131" t="s">
        <v>7834</v>
      </c>
      <c r="B6562" s="132">
        <v>0.60744402333333325</v>
      </c>
      <c r="C6562" s="133"/>
    </row>
    <row r="6563" spans="1:3">
      <c r="A6563" s="131" t="s">
        <v>7835</v>
      </c>
      <c r="B6563" s="132">
        <v>126.81</v>
      </c>
      <c r="C6563" s="133"/>
    </row>
    <row r="6564" spans="1:3">
      <c r="A6564" s="131" t="s">
        <v>7836</v>
      </c>
      <c r="B6564" s="132">
        <v>22.06</v>
      </c>
      <c r="C6564" s="133"/>
    </row>
    <row r="6565" spans="1:3">
      <c r="A6565" s="131" t="s">
        <v>7837</v>
      </c>
      <c r="B6565" s="132">
        <v>169.92</v>
      </c>
      <c r="C6565" s="133"/>
    </row>
    <row r="6566" spans="1:3">
      <c r="A6566" s="131" t="s">
        <v>7838</v>
      </c>
      <c r="B6566" s="132">
        <v>5.2307882666666661E-4</v>
      </c>
      <c r="C6566" s="133"/>
    </row>
    <row r="6567" spans="1:3">
      <c r="A6567" s="131" t="s">
        <v>7839</v>
      </c>
      <c r="B6567" s="132">
        <v>78.48</v>
      </c>
      <c r="C6567" s="133"/>
    </row>
    <row r="6568" spans="1:3">
      <c r="A6568" s="131" t="s">
        <v>7840</v>
      </c>
      <c r="B6568" s="132">
        <v>49.43</v>
      </c>
      <c r="C6568" s="133"/>
    </row>
    <row r="6569" spans="1:3">
      <c r="A6569" s="131" t="s">
        <v>7841</v>
      </c>
      <c r="B6569" s="132">
        <v>34.22</v>
      </c>
      <c r="C6569" s="133"/>
    </row>
    <row r="6570" spans="1:3">
      <c r="A6570" s="131" t="s">
        <v>7842</v>
      </c>
      <c r="B6570" s="132">
        <v>203.77</v>
      </c>
      <c r="C6570" s="133"/>
    </row>
    <row r="6571" spans="1:3">
      <c r="A6571" s="131" t="s">
        <v>7843</v>
      </c>
      <c r="B6571" s="132">
        <v>66.739999999999995</v>
      </c>
      <c r="C6571" s="133"/>
    </row>
    <row r="6572" spans="1:3">
      <c r="A6572" s="131" t="s">
        <v>7844</v>
      </c>
      <c r="B6572" s="132">
        <v>11.92</v>
      </c>
      <c r="C6572" s="133"/>
    </row>
    <row r="6573" spans="1:3">
      <c r="A6573" s="131" t="s">
        <v>4973</v>
      </c>
      <c r="B6573" s="132">
        <v>141.63</v>
      </c>
      <c r="C6573" s="133"/>
    </row>
    <row r="6574" spans="1:3">
      <c r="A6574" s="131" t="s">
        <v>4974</v>
      </c>
      <c r="B6574" s="132">
        <v>59.5</v>
      </c>
      <c r="C6574" s="133"/>
    </row>
    <row r="6575" spans="1:3">
      <c r="A6575" s="131" t="s">
        <v>4975</v>
      </c>
      <c r="B6575" s="132">
        <v>216.9</v>
      </c>
      <c r="C6575" s="133"/>
    </row>
    <row r="6576" spans="1:3">
      <c r="A6576" s="131" t="s">
        <v>4976</v>
      </c>
      <c r="B6576" s="132">
        <v>20.13</v>
      </c>
      <c r="C6576" s="133"/>
    </row>
    <row r="6577" spans="1:3">
      <c r="A6577" s="131" t="s">
        <v>4977</v>
      </c>
      <c r="B6577" s="132">
        <v>83.82</v>
      </c>
      <c r="C6577" s="133"/>
    </row>
    <row r="6578" spans="1:3">
      <c r="A6578" s="131" t="s">
        <v>4978</v>
      </c>
      <c r="B6578" s="132">
        <v>57.29</v>
      </c>
      <c r="C6578" s="133"/>
    </row>
    <row r="6579" spans="1:3">
      <c r="A6579" s="131" t="s">
        <v>4979</v>
      </c>
      <c r="B6579" s="132">
        <v>94.92</v>
      </c>
      <c r="C6579" s="133"/>
    </row>
    <row r="6580" spans="1:3">
      <c r="A6580" s="131" t="s">
        <v>4980</v>
      </c>
      <c r="B6580" s="132">
        <v>827.32</v>
      </c>
      <c r="C6580" s="133"/>
    </row>
    <row r="6581" spans="1:3">
      <c r="A6581" s="131" t="s">
        <v>4981</v>
      </c>
      <c r="B6581" s="132">
        <v>0.88674783706665039</v>
      </c>
      <c r="C6581" s="133"/>
    </row>
    <row r="6582" spans="1:3">
      <c r="A6582" s="131" t="s">
        <v>4982</v>
      </c>
      <c r="B6582" s="132">
        <v>91.78</v>
      </c>
      <c r="C6582" s="133"/>
    </row>
    <row r="6583" spans="1:3">
      <c r="A6583" s="131" t="s">
        <v>4983</v>
      </c>
      <c r="B6583" s="132">
        <v>7.3288989413633032E-4</v>
      </c>
      <c r="C6583" s="133"/>
    </row>
    <row r="6584" spans="1:3">
      <c r="A6584" s="131" t="s">
        <v>4984</v>
      </c>
      <c r="B6584" s="132">
        <v>0.12930402103994143</v>
      </c>
      <c r="C6584" s="133"/>
    </row>
    <row r="6585" spans="1:3">
      <c r="A6585" s="131" t="s">
        <v>4985</v>
      </c>
      <c r="B6585" s="132">
        <v>1.4938958</v>
      </c>
      <c r="C6585" s="133"/>
    </row>
    <row r="6586" spans="1:3">
      <c r="A6586" s="131" t="s">
        <v>4986</v>
      </c>
      <c r="B6586" s="132">
        <v>57.97</v>
      </c>
      <c r="C6586" s="133"/>
    </row>
    <row r="6587" spans="1:3">
      <c r="A6587" s="131" t="s">
        <v>4987</v>
      </c>
      <c r="B6587" s="132">
        <v>150.4</v>
      </c>
      <c r="C6587" s="133"/>
    </row>
    <row r="6588" spans="1:3">
      <c r="A6588" s="131" t="s">
        <v>4988</v>
      </c>
      <c r="B6588" s="132">
        <v>15.09</v>
      </c>
      <c r="C6588" s="133"/>
    </row>
    <row r="6589" spans="1:3">
      <c r="A6589" s="131" t="s">
        <v>4989</v>
      </c>
      <c r="B6589" s="132">
        <v>55.09</v>
      </c>
      <c r="C6589" s="133"/>
    </row>
    <row r="6590" spans="1:3">
      <c r="A6590" s="131" t="s">
        <v>4990</v>
      </c>
      <c r="B6590" s="132">
        <v>260.8</v>
      </c>
      <c r="C6590" s="133"/>
    </row>
    <row r="6591" spans="1:3">
      <c r="A6591" s="131" t="s">
        <v>4991</v>
      </c>
      <c r="B6591" s="132">
        <v>142.65</v>
      </c>
      <c r="C6591" s="133"/>
    </row>
    <row r="6592" spans="1:3">
      <c r="A6592" s="131" t="s">
        <v>4992</v>
      </c>
      <c r="B6592" s="132">
        <v>31.09</v>
      </c>
      <c r="C6592" s="133"/>
    </row>
    <row r="6593" spans="1:3">
      <c r="A6593" s="131" t="s">
        <v>4993</v>
      </c>
      <c r="B6593" s="132">
        <v>495.37</v>
      </c>
      <c r="C6593" s="133"/>
    </row>
    <row r="6594" spans="1:3">
      <c r="A6594" s="131" t="s">
        <v>4994</v>
      </c>
      <c r="B6594" s="132">
        <v>17.149999999999999</v>
      </c>
      <c r="C6594" s="133"/>
    </row>
    <row r="6595" spans="1:3">
      <c r="A6595" s="131" t="s">
        <v>4995</v>
      </c>
      <c r="B6595" s="132">
        <v>110.77</v>
      </c>
      <c r="C6595" s="133"/>
    </row>
    <row r="6596" spans="1:3">
      <c r="A6596" s="131" t="s">
        <v>4996</v>
      </c>
      <c r="B6596" s="132">
        <v>754.74</v>
      </c>
      <c r="C6596" s="133"/>
    </row>
    <row r="6597" spans="1:3">
      <c r="A6597" s="131" t="s">
        <v>4997</v>
      </c>
      <c r="B6597" s="132">
        <v>11.93</v>
      </c>
      <c r="C6597" s="133"/>
    </row>
    <row r="6598" spans="1:3">
      <c r="A6598" s="131" t="s">
        <v>4998</v>
      </c>
      <c r="B6598" s="132">
        <v>7.47</v>
      </c>
      <c r="C6598" s="133"/>
    </row>
    <row r="6599" spans="1:3">
      <c r="A6599" s="131" t="s">
        <v>4999</v>
      </c>
      <c r="B6599" s="132">
        <v>2.6000000000000312E-7</v>
      </c>
      <c r="C6599" s="133"/>
    </row>
    <row r="6600" spans="1:3">
      <c r="A6600" s="131" t="s">
        <v>5000</v>
      </c>
      <c r="B6600" s="132">
        <v>22.85</v>
      </c>
      <c r="C6600" s="133"/>
    </row>
    <row r="6601" spans="1:3">
      <c r="A6601" s="131" t="s">
        <v>5001</v>
      </c>
      <c r="B6601" s="132">
        <v>34.21</v>
      </c>
      <c r="C6601" s="133"/>
    </row>
    <row r="6602" spans="1:3">
      <c r="A6602" s="131" t="s">
        <v>5002</v>
      </c>
      <c r="B6602" s="132">
        <v>1.4929546539875188E-2</v>
      </c>
      <c r="C6602" s="133"/>
    </row>
    <row r="6603" spans="1:3">
      <c r="A6603" s="131" t="s">
        <v>5003</v>
      </c>
      <c r="B6603" s="132">
        <v>77.540000000000006</v>
      </c>
      <c r="C6603" s="133"/>
    </row>
    <row r="6604" spans="1:3">
      <c r="A6604" s="131" t="s">
        <v>5004</v>
      </c>
      <c r="B6604" s="132">
        <v>88.61</v>
      </c>
      <c r="C6604" s="133"/>
    </row>
    <row r="6605" spans="1:3">
      <c r="A6605" s="131" t="s">
        <v>5005</v>
      </c>
      <c r="B6605" s="132">
        <v>333.75</v>
      </c>
      <c r="C6605" s="133"/>
    </row>
    <row r="6606" spans="1:3">
      <c r="A6606" s="131" t="s">
        <v>5006</v>
      </c>
      <c r="B6606" s="132">
        <v>10.119999999999999</v>
      </c>
      <c r="C6606" s="133"/>
    </row>
    <row r="6607" spans="1:3">
      <c r="A6607" s="131" t="s">
        <v>5007</v>
      </c>
      <c r="B6607" s="132">
        <v>0.12051667324121813</v>
      </c>
      <c r="C6607" s="133"/>
    </row>
    <row r="6608" spans="1:3">
      <c r="A6608" s="131" t="s">
        <v>5008</v>
      </c>
      <c r="B6608" s="132">
        <v>10.32</v>
      </c>
      <c r="C6608" s="133"/>
    </row>
    <row r="6609" spans="1:3">
      <c r="A6609" s="131" t="s">
        <v>5009</v>
      </c>
      <c r="B6609" s="132">
        <v>104.57</v>
      </c>
      <c r="C6609" s="133"/>
    </row>
    <row r="6610" spans="1:3">
      <c r="A6610" s="131" t="s">
        <v>5010</v>
      </c>
      <c r="B6610" s="132">
        <v>278.45999999999998</v>
      </c>
      <c r="C6610" s="133"/>
    </row>
    <row r="6611" spans="1:3">
      <c r="A6611" s="131" t="s">
        <v>5011</v>
      </c>
      <c r="B6611" s="132">
        <v>134.88</v>
      </c>
      <c r="C6611" s="133"/>
    </row>
    <row r="6612" spans="1:3">
      <c r="A6612" s="131" t="s">
        <v>5012</v>
      </c>
      <c r="B6612" s="132">
        <v>184.26</v>
      </c>
      <c r="C6612" s="133"/>
    </row>
    <row r="6613" spans="1:3">
      <c r="A6613" s="131" t="s">
        <v>5013</v>
      </c>
      <c r="B6613" s="132">
        <v>347.33</v>
      </c>
      <c r="C6613" s="133"/>
    </row>
    <row r="6614" spans="1:3">
      <c r="A6614" s="131" t="s">
        <v>5014</v>
      </c>
      <c r="B6614" s="132">
        <v>55.07</v>
      </c>
      <c r="C6614" s="133"/>
    </row>
    <row r="6615" spans="1:3">
      <c r="A6615" s="131" t="s">
        <v>5015</v>
      </c>
      <c r="B6615" s="132">
        <v>17.16</v>
      </c>
      <c r="C6615" s="133"/>
    </row>
    <row r="6616" spans="1:3">
      <c r="A6616" s="131" t="s">
        <v>5016</v>
      </c>
      <c r="B6616" s="132">
        <v>110.79</v>
      </c>
      <c r="C6616" s="133"/>
    </row>
    <row r="6617" spans="1:3">
      <c r="A6617" s="131" t="s">
        <v>5017</v>
      </c>
      <c r="B6617" s="132">
        <v>1418.68</v>
      </c>
      <c r="C6617" s="133"/>
    </row>
    <row r="6618" spans="1:3">
      <c r="A6618" s="131" t="s">
        <v>5018</v>
      </c>
      <c r="B6618" s="132">
        <v>11.08</v>
      </c>
      <c r="C6618" s="133"/>
    </row>
    <row r="6619" spans="1:3">
      <c r="A6619" s="131" t="s">
        <v>5019</v>
      </c>
      <c r="B6619" s="132">
        <v>62.39</v>
      </c>
      <c r="C6619" s="133"/>
    </row>
    <row r="6620" spans="1:3">
      <c r="A6620" s="131" t="s">
        <v>5020</v>
      </c>
      <c r="B6620" s="132">
        <v>17.22</v>
      </c>
      <c r="C6620" s="133"/>
    </row>
    <row r="6621" spans="1:3">
      <c r="A6621" s="131" t="s">
        <v>5021</v>
      </c>
      <c r="B6621" s="132">
        <v>80.02</v>
      </c>
      <c r="C6621" s="133"/>
    </row>
    <row r="6622" spans="1:3">
      <c r="A6622" s="131" t="s">
        <v>5022</v>
      </c>
      <c r="B6622" s="132">
        <v>59</v>
      </c>
      <c r="C6622" s="133"/>
    </row>
    <row r="6623" spans="1:3">
      <c r="A6623" s="131" t="s">
        <v>5023</v>
      </c>
      <c r="B6623" s="132">
        <v>5.9243552333333331E-2</v>
      </c>
      <c r="C6623" s="133"/>
    </row>
    <row r="6624" spans="1:3">
      <c r="A6624" s="131" t="s">
        <v>5024</v>
      </c>
      <c r="B6624" s="132">
        <v>172.21</v>
      </c>
      <c r="C6624" s="133"/>
    </row>
    <row r="6625" spans="1:3">
      <c r="A6625" s="131" t="s">
        <v>5025</v>
      </c>
      <c r="B6625" s="132">
        <v>0.11496893999999999</v>
      </c>
      <c r="C6625" s="133"/>
    </row>
    <row r="6626" spans="1:3">
      <c r="A6626" s="131" t="s">
        <v>5026</v>
      </c>
      <c r="B6626" s="132">
        <v>244.89</v>
      </c>
      <c r="C6626" s="133"/>
    </row>
    <row r="6627" spans="1:3">
      <c r="A6627" s="131" t="s">
        <v>5027</v>
      </c>
      <c r="B6627" s="132">
        <v>10.3</v>
      </c>
      <c r="C6627" s="133"/>
    </row>
    <row r="6628" spans="1:3">
      <c r="A6628" s="131" t="s">
        <v>5028</v>
      </c>
      <c r="B6628" s="132">
        <v>17.78</v>
      </c>
      <c r="C6628" s="133"/>
    </row>
    <row r="6629" spans="1:3">
      <c r="A6629" s="131" t="s">
        <v>5029</v>
      </c>
      <c r="B6629" s="132">
        <v>145.65</v>
      </c>
      <c r="C6629" s="133"/>
    </row>
    <row r="6630" spans="1:3">
      <c r="A6630" s="131" t="s">
        <v>5030</v>
      </c>
      <c r="B6630" s="132">
        <v>42.28</v>
      </c>
      <c r="C6630" s="133"/>
    </row>
    <row r="6631" spans="1:3">
      <c r="A6631" s="131" t="s">
        <v>5031</v>
      </c>
      <c r="B6631" s="132">
        <v>2.1012198789813729E-7</v>
      </c>
      <c r="C6631" s="133"/>
    </row>
    <row r="6632" spans="1:3">
      <c r="A6632" s="131" t="s">
        <v>5032</v>
      </c>
      <c r="B6632" s="132">
        <v>0.35274638450467133</v>
      </c>
      <c r="C6632" s="133"/>
    </row>
    <row r="6633" spans="1:3">
      <c r="A6633" s="131" t="s">
        <v>5033</v>
      </c>
      <c r="B6633" s="132">
        <v>8.6999999999999993</v>
      </c>
      <c r="C6633" s="133"/>
    </row>
    <row r="6634" spans="1:3">
      <c r="A6634" s="131" t="s">
        <v>5034</v>
      </c>
      <c r="B6634" s="132">
        <v>616.32000000000005</v>
      </c>
      <c r="C6634" s="133"/>
    </row>
    <row r="6635" spans="1:3">
      <c r="A6635" s="131" t="s">
        <v>5035</v>
      </c>
      <c r="B6635" s="132">
        <v>170.49</v>
      </c>
      <c r="C6635" s="133"/>
    </row>
    <row r="6636" spans="1:3">
      <c r="A6636" s="131" t="s">
        <v>5036</v>
      </c>
      <c r="B6636" s="132">
        <v>361.11</v>
      </c>
      <c r="C6636" s="133"/>
    </row>
    <row r="6637" spans="1:3">
      <c r="A6637" s="131" t="s">
        <v>5037</v>
      </c>
      <c r="B6637" s="132">
        <v>60.74</v>
      </c>
      <c r="C6637" s="133"/>
    </row>
    <row r="6638" spans="1:3">
      <c r="A6638" s="131" t="s">
        <v>5038</v>
      </c>
      <c r="B6638" s="132">
        <v>49.12</v>
      </c>
      <c r="C6638" s="133"/>
    </row>
    <row r="6639" spans="1:3">
      <c r="A6639" s="131" t="s">
        <v>5039</v>
      </c>
      <c r="B6639" s="132">
        <v>7.9100318253040314E-3</v>
      </c>
      <c r="C6639" s="133"/>
    </row>
    <row r="6640" spans="1:3">
      <c r="A6640" s="131" t="s">
        <v>5040</v>
      </c>
      <c r="B6640" s="132">
        <v>1.8391027999999996</v>
      </c>
      <c r="C6640" s="133"/>
    </row>
    <row r="6641" spans="1:3">
      <c r="A6641" s="131" t="s">
        <v>5041</v>
      </c>
      <c r="B6641" s="132">
        <v>23.65</v>
      </c>
      <c r="C6641" s="133"/>
    </row>
    <row r="6642" spans="1:3">
      <c r="A6642" s="131" t="s">
        <v>5042</v>
      </c>
      <c r="B6642" s="132">
        <v>0.17404456939999999</v>
      </c>
      <c r="C6642" s="133"/>
    </row>
    <row r="6643" spans="1:3">
      <c r="A6643" s="131" t="s">
        <v>5043</v>
      </c>
      <c r="B6643" s="132">
        <v>2.79</v>
      </c>
      <c r="C6643" s="133"/>
    </row>
    <row r="6644" spans="1:3">
      <c r="A6644" s="131" t="s">
        <v>5044</v>
      </c>
      <c r="B6644" s="132">
        <v>230.61</v>
      </c>
      <c r="C6644" s="133"/>
    </row>
    <row r="6645" spans="1:3">
      <c r="A6645" s="131" t="s">
        <v>5045</v>
      </c>
      <c r="B6645" s="132">
        <v>44.65</v>
      </c>
      <c r="C6645" s="133"/>
    </row>
    <row r="6646" spans="1:3">
      <c r="A6646" s="131" t="s">
        <v>5046</v>
      </c>
      <c r="B6646" s="132">
        <v>3.83</v>
      </c>
      <c r="C6646" s="133"/>
    </row>
    <row r="6647" spans="1:3">
      <c r="A6647" s="131" t="s">
        <v>5047</v>
      </c>
      <c r="B6647" s="132">
        <v>132.27000000000001</v>
      </c>
      <c r="C6647" s="133"/>
    </row>
    <row r="6648" spans="1:3">
      <c r="A6648" s="131" t="s">
        <v>5048</v>
      </c>
      <c r="B6648" s="132">
        <v>1.3724541755981497E-7</v>
      </c>
      <c r="C6648" s="133"/>
    </row>
    <row r="6649" spans="1:3">
      <c r="A6649" s="131" t="s">
        <v>5049</v>
      </c>
      <c r="B6649" s="132">
        <v>8.7795709673002681E-3</v>
      </c>
      <c r="C6649" s="133"/>
    </row>
    <row r="6650" spans="1:3">
      <c r="A6650" s="131" t="s">
        <v>5050</v>
      </c>
      <c r="B6650" s="132">
        <v>1.2297374E-3</v>
      </c>
      <c r="C6650" s="133"/>
    </row>
    <row r="6651" spans="1:3">
      <c r="A6651" s="131" t="s">
        <v>5051</v>
      </c>
      <c r="B6651" s="132">
        <v>1.6018634033509361E-6</v>
      </c>
      <c r="C6651" s="133"/>
    </row>
    <row r="6652" spans="1:3">
      <c r="A6652" s="131" t="s">
        <v>5052</v>
      </c>
      <c r="B6652" s="132">
        <v>2.31</v>
      </c>
      <c r="C6652" s="133"/>
    </row>
    <row r="6653" spans="1:3">
      <c r="A6653" s="131" t="s">
        <v>5053</v>
      </c>
      <c r="B6653" s="132">
        <v>40.4</v>
      </c>
      <c r="C6653" s="133"/>
    </row>
    <row r="6654" spans="1:3">
      <c r="A6654" s="131" t="s">
        <v>5054</v>
      </c>
      <c r="B6654" s="132">
        <v>0.6002599999999999</v>
      </c>
      <c r="C6654" s="133"/>
    </row>
    <row r="6655" spans="1:3">
      <c r="A6655" s="131" t="s">
        <v>5055</v>
      </c>
      <c r="B6655" s="132">
        <v>3.7945833057165146E-2</v>
      </c>
      <c r="C6655" s="133"/>
    </row>
    <row r="6656" spans="1:3">
      <c r="A6656" s="131" t="s">
        <v>5056</v>
      </c>
      <c r="B6656" s="132">
        <v>69.62</v>
      </c>
      <c r="C6656" s="133"/>
    </row>
    <row r="6657" spans="1:3">
      <c r="A6657" s="131" t="s">
        <v>5057</v>
      </c>
      <c r="B6657" s="132">
        <v>20.12</v>
      </c>
      <c r="C6657" s="133"/>
    </row>
    <row r="6658" spans="1:3">
      <c r="A6658" s="131" t="s">
        <v>5058</v>
      </c>
      <c r="B6658" s="132">
        <v>4.9029399999999997E-3</v>
      </c>
      <c r="C6658" s="133"/>
    </row>
    <row r="6659" spans="1:3">
      <c r="A6659" s="131" t="s">
        <v>2127</v>
      </c>
      <c r="B6659" s="132">
        <v>7.6979668613468143E-9</v>
      </c>
      <c r="C6659" s="133"/>
    </row>
    <row r="6660" spans="1:3">
      <c r="A6660" s="131" t="s">
        <v>2128</v>
      </c>
      <c r="B6660" s="132">
        <v>9.6700000000003157E-6</v>
      </c>
      <c r="C6660" s="133"/>
    </row>
    <row r="6661" spans="1:3">
      <c r="A6661" s="131" t="s">
        <v>2129</v>
      </c>
      <c r="B6661" s="132">
        <v>1E-8</v>
      </c>
      <c r="C6661" s="133"/>
    </row>
    <row r="6662" spans="1:3">
      <c r="A6662" s="131" t="s">
        <v>2130</v>
      </c>
      <c r="B6662" s="132">
        <v>9.2133665768869888E-2</v>
      </c>
      <c r="C6662" s="133"/>
    </row>
    <row r="6663" spans="1:3">
      <c r="A6663" s="131" t="s">
        <v>2131</v>
      </c>
      <c r="B6663" s="132">
        <v>8.9499999999999194E-6</v>
      </c>
      <c r="C6663" s="133"/>
    </row>
    <row r="6664" spans="1:3">
      <c r="A6664" s="131" t="s">
        <v>2132</v>
      </c>
      <c r="B6664" s="132">
        <v>3.4979000338353217E-4</v>
      </c>
      <c r="C6664" s="133"/>
    </row>
    <row r="6665" spans="1:3">
      <c r="A6665" s="131" t="s">
        <v>2133</v>
      </c>
      <c r="B6665" s="132">
        <v>5.2050050348043442E-2</v>
      </c>
      <c r="C6665" s="133"/>
    </row>
    <row r="6666" spans="1:3">
      <c r="A6666" s="131" t="s">
        <v>2134</v>
      </c>
      <c r="B6666" s="132">
        <v>132.5</v>
      </c>
      <c r="C6666" s="133"/>
    </row>
    <row r="6667" spans="1:3">
      <c r="A6667" s="131" t="s">
        <v>2135</v>
      </c>
      <c r="B6667" s="132">
        <v>6.2799999999999568E-6</v>
      </c>
      <c r="C6667" s="133"/>
    </row>
    <row r="6668" spans="1:3">
      <c r="A6668" s="131" t="s">
        <v>2136</v>
      </c>
      <c r="B6668" s="132">
        <v>17.18</v>
      </c>
      <c r="C6668" s="133"/>
    </row>
    <row r="6669" spans="1:3">
      <c r="A6669" s="131" t="s">
        <v>2137</v>
      </c>
      <c r="B6669" s="132">
        <v>3.1259999999999768E-4</v>
      </c>
      <c r="C6669" s="133"/>
    </row>
    <row r="6670" spans="1:3">
      <c r="A6670" s="131" t="s">
        <v>2138</v>
      </c>
      <c r="B6670" s="132">
        <v>10925</v>
      </c>
      <c r="C6670" s="133"/>
    </row>
    <row r="6671" spans="1:3">
      <c r="A6671" s="131" t="s">
        <v>2139</v>
      </c>
      <c r="B6671" s="132">
        <v>6.0035999999999996E-8</v>
      </c>
      <c r="C6671" s="133"/>
    </row>
    <row r="6672" spans="1:3">
      <c r="A6672" s="131" t="s">
        <v>2140</v>
      </c>
      <c r="B6672" s="132">
        <v>1.4999530300064436</v>
      </c>
      <c r="C6672" s="133"/>
    </row>
    <row r="6673" spans="1:3">
      <c r="A6673" s="131" t="s">
        <v>2141</v>
      </c>
      <c r="B6673" s="132">
        <v>1.2737213666666665E-2</v>
      </c>
      <c r="C6673" s="133"/>
    </row>
    <row r="6674" spans="1:3">
      <c r="A6674" s="131" t="s">
        <v>2142</v>
      </c>
      <c r="B6674" s="132">
        <v>7720</v>
      </c>
      <c r="C6674" s="133"/>
    </row>
    <row r="6675" spans="1:3">
      <c r="A6675" s="131" t="s">
        <v>2143</v>
      </c>
      <c r="B6675" s="132">
        <v>4435</v>
      </c>
      <c r="C6675" s="133"/>
    </row>
    <row r="6676" spans="1:3">
      <c r="A6676" s="131" t="s">
        <v>2144</v>
      </c>
      <c r="B6676" s="132">
        <v>0.33018028900791624</v>
      </c>
      <c r="C6676" s="133"/>
    </row>
    <row r="6677" spans="1:3">
      <c r="A6677" s="131" t="s">
        <v>2145</v>
      </c>
      <c r="B6677" s="132">
        <v>9.9999999392252903E-9</v>
      </c>
      <c r="C6677" s="133"/>
    </row>
    <row r="6678" spans="1:3">
      <c r="A6678" s="131" t="s">
        <v>2146</v>
      </c>
      <c r="B6678" s="132">
        <v>3.7041440606117249E-2</v>
      </c>
      <c r="C6678" s="133"/>
    </row>
    <row r="6679" spans="1:3">
      <c r="A6679" s="131" t="s">
        <v>2147</v>
      </c>
      <c r="B6679" s="132">
        <v>2.5676485126219901E-2</v>
      </c>
      <c r="C6679" s="133"/>
    </row>
    <row r="6680" spans="1:3">
      <c r="A6680" s="131" t="s">
        <v>2148</v>
      </c>
      <c r="B6680" s="132">
        <v>9.9999999392252903E-9</v>
      </c>
      <c r="C6680" s="133"/>
    </row>
    <row r="6681" spans="1:3">
      <c r="A6681" s="131" t="s">
        <v>2149</v>
      </c>
      <c r="B6681" s="132">
        <v>0.75199997485893355</v>
      </c>
      <c r="C6681" s="133"/>
    </row>
    <row r="6682" spans="1:3">
      <c r="A6682" s="131" t="s">
        <v>2150</v>
      </c>
      <c r="B6682" s="132">
        <v>1E-8</v>
      </c>
      <c r="C6682" s="133"/>
    </row>
    <row r="6683" spans="1:3">
      <c r="A6683" s="131" t="s">
        <v>2151</v>
      </c>
      <c r="B6683" s="132">
        <v>1.7255000000000091E-4</v>
      </c>
      <c r="C6683" s="133"/>
    </row>
    <row r="6684" spans="1:3">
      <c r="A6684" s="131" t="s">
        <v>2152</v>
      </c>
      <c r="B6684" s="132">
        <v>18.97</v>
      </c>
      <c r="C6684" s="133"/>
    </row>
    <row r="6685" spans="1:3">
      <c r="A6685" s="131" t="s">
        <v>2153</v>
      </c>
      <c r="B6685" s="132">
        <v>0.97308862209320068</v>
      </c>
      <c r="C6685" s="133"/>
    </row>
    <row r="6686" spans="1:3">
      <c r="A6686" s="131" t="s">
        <v>2154</v>
      </c>
      <c r="B6686" s="132">
        <v>1.0018813040357151</v>
      </c>
      <c r="C6686" s="133"/>
    </row>
    <row r="6687" spans="1:3">
      <c r="A6687" s="131" t="s">
        <v>2155</v>
      </c>
      <c r="B6687" s="132">
        <v>12.464461636357202</v>
      </c>
      <c r="C6687" s="133"/>
    </row>
    <row r="6688" spans="1:3">
      <c r="A6688" s="131" t="s">
        <v>2156</v>
      </c>
      <c r="B6688" s="132">
        <v>0.81396288515323711</v>
      </c>
      <c r="C6688" s="133"/>
    </row>
    <row r="6689" spans="1:3">
      <c r="A6689" s="131" t="s">
        <v>2157</v>
      </c>
      <c r="B6689" s="132">
        <v>43.138107652413431</v>
      </c>
      <c r="C6689" s="133"/>
    </row>
    <row r="6690" spans="1:3">
      <c r="A6690" s="131" t="s">
        <v>2158</v>
      </c>
      <c r="B6690" s="132">
        <v>0.27302232327574161</v>
      </c>
      <c r="C6690" s="133"/>
    </row>
    <row r="6691" spans="1:3">
      <c r="A6691" s="131" t="s">
        <v>2159</v>
      </c>
      <c r="B6691" s="132">
        <v>0.47495157702559271</v>
      </c>
      <c r="C6691" s="133"/>
    </row>
    <row r="6692" spans="1:3">
      <c r="A6692" s="131" t="s">
        <v>2160</v>
      </c>
      <c r="B6692" s="132">
        <v>0.2652713131739094</v>
      </c>
      <c r="C6692" s="133"/>
    </row>
    <row r="6693" spans="1:3">
      <c r="A6693" s="131" t="s">
        <v>2161</v>
      </c>
      <c r="B6693" s="132">
        <v>49.619600909125253</v>
      </c>
      <c r="C6693" s="133"/>
    </row>
    <row r="6694" spans="1:3">
      <c r="A6694" s="131" t="s">
        <v>2162</v>
      </c>
      <c r="B6694" s="132">
        <v>9.1977034757170742E-2</v>
      </c>
      <c r="C6694" s="133"/>
    </row>
    <row r="6695" spans="1:3">
      <c r="A6695" s="131" t="s">
        <v>2163</v>
      </c>
      <c r="B6695" s="132">
        <v>5.3822895846773937</v>
      </c>
      <c r="C6695" s="133"/>
    </row>
    <row r="6696" spans="1:3">
      <c r="A6696" s="131" t="s">
        <v>2164</v>
      </c>
      <c r="B6696" s="132">
        <v>2.17</v>
      </c>
      <c r="C6696" s="133"/>
    </row>
    <row r="6697" spans="1:3">
      <c r="A6697" s="131" t="s">
        <v>2165</v>
      </c>
      <c r="B6697" s="132">
        <v>13.635812431389311</v>
      </c>
      <c r="C6697" s="133"/>
    </row>
    <row r="6698" spans="1:3">
      <c r="A6698" s="131" t="s">
        <v>2166</v>
      </c>
      <c r="B6698" s="132">
        <v>1.1640281969494823</v>
      </c>
      <c r="C6698" s="133"/>
    </row>
    <row r="6699" spans="1:3">
      <c r="A6699" s="131" t="s">
        <v>2167</v>
      </c>
      <c r="B6699" s="132">
        <v>2.1200412351914701E-2</v>
      </c>
      <c r="C6699" s="133"/>
    </row>
    <row r="6700" spans="1:3">
      <c r="A6700" s="131" t="s">
        <v>2168</v>
      </c>
      <c r="B6700" s="132">
        <v>0.1523558461862328</v>
      </c>
      <c r="C6700" s="133"/>
    </row>
    <row r="6701" spans="1:3">
      <c r="A6701" s="131" t="s">
        <v>2169</v>
      </c>
      <c r="B6701" s="132">
        <v>0.47271573983960441</v>
      </c>
      <c r="C6701" s="133"/>
    </row>
    <row r="6702" spans="1:3">
      <c r="A6702" s="131" t="s">
        <v>2170</v>
      </c>
      <c r="B6702" s="132">
        <v>1.9147252746184866</v>
      </c>
      <c r="C6702" s="133"/>
    </row>
    <row r="6703" spans="1:3">
      <c r="A6703" s="131" t="s">
        <v>2171</v>
      </c>
      <c r="B6703" s="132">
        <v>0.1830342908464285</v>
      </c>
      <c r="C6703" s="133"/>
    </row>
    <row r="6704" spans="1:3">
      <c r="A6704" s="131" t="s">
        <v>2172</v>
      </c>
      <c r="B6704" s="132">
        <v>3.7393160649221999E-3</v>
      </c>
      <c r="C6704" s="133"/>
    </row>
    <row r="6705" spans="1:3">
      <c r="A6705" s="131" t="s">
        <v>2173</v>
      </c>
      <c r="B6705" s="132">
        <v>8.3743525852063849E-2</v>
      </c>
      <c r="C6705" s="133"/>
    </row>
    <row r="6706" spans="1:3">
      <c r="A6706" s="131" t="s">
        <v>2174</v>
      </c>
      <c r="B6706" s="132">
        <v>2.546253810683853</v>
      </c>
      <c r="C6706" s="133"/>
    </row>
    <row r="6707" spans="1:3">
      <c r="A6707" s="131" t="s">
        <v>2175</v>
      </c>
      <c r="B6707" s="132">
        <v>2.6833752768476498E-3</v>
      </c>
      <c r="C6707" s="133"/>
    </row>
    <row r="6708" spans="1:3">
      <c r="A6708" s="131" t="s">
        <v>2176</v>
      </c>
      <c r="B6708" s="132">
        <v>8.6687478287319998E-4</v>
      </c>
      <c r="C6708" s="133"/>
    </row>
    <row r="6709" spans="1:3">
      <c r="A6709" s="131" t="s">
        <v>2177</v>
      </c>
      <c r="B6709" s="132">
        <v>158.42447658603285</v>
      </c>
      <c r="C6709" s="133"/>
    </row>
    <row r="6710" spans="1:3">
      <c r="A6710" s="131" t="s">
        <v>2178</v>
      </c>
      <c r="B6710" s="132">
        <v>1.5040627038652328</v>
      </c>
      <c r="C6710" s="133"/>
    </row>
    <row r="6711" spans="1:3">
      <c r="A6711" s="131" t="s">
        <v>2179</v>
      </c>
      <c r="B6711" s="132">
        <v>6.6900548468526652E-2</v>
      </c>
      <c r="C6711" s="133"/>
    </row>
    <row r="6712" spans="1:3">
      <c r="A6712" s="131" t="s">
        <v>2180</v>
      </c>
      <c r="B6712" s="132">
        <v>0.20936438023943965</v>
      </c>
      <c r="C6712" s="133"/>
    </row>
    <row r="6713" spans="1:3">
      <c r="A6713" s="131" t="s">
        <v>2181</v>
      </c>
      <c r="B6713" s="132">
        <v>2.7955542033247498E-2</v>
      </c>
      <c r="C6713" s="133"/>
    </row>
    <row r="6714" spans="1:3">
      <c r="A6714" s="131" t="s">
        <v>2182</v>
      </c>
      <c r="B6714" s="132">
        <v>17.102436571668743</v>
      </c>
      <c r="C6714" s="133"/>
    </row>
    <row r="6715" spans="1:3">
      <c r="A6715" s="131" t="s">
        <v>2183</v>
      </c>
      <c r="B6715" s="132">
        <v>4.565695625893E-4</v>
      </c>
      <c r="C6715" s="133"/>
    </row>
    <row r="6716" spans="1:3">
      <c r="A6716" s="131" t="s">
        <v>2184</v>
      </c>
      <c r="B6716" s="132">
        <v>3.090384052008055E-2</v>
      </c>
      <c r="C6716" s="133"/>
    </row>
    <row r="6717" spans="1:3">
      <c r="A6717" s="131" t="s">
        <v>2185</v>
      </c>
      <c r="B6717" s="132">
        <v>2.7</v>
      </c>
      <c r="C6717" s="133"/>
    </row>
    <row r="6718" spans="1:3">
      <c r="A6718" s="131" t="s">
        <v>2186</v>
      </c>
      <c r="B6718" s="132">
        <v>1.3007255984999E-3</v>
      </c>
      <c r="C6718" s="133"/>
    </row>
    <row r="6719" spans="1:3">
      <c r="A6719" s="131" t="s">
        <v>2187</v>
      </c>
      <c r="B6719" s="132">
        <v>0.16070116961505931</v>
      </c>
      <c r="C6719" s="133"/>
    </row>
    <row r="6720" spans="1:3">
      <c r="A6720" s="131" t="s">
        <v>2188</v>
      </c>
      <c r="B6720" s="132">
        <v>0.99917240238142824</v>
      </c>
      <c r="C6720" s="133"/>
    </row>
    <row r="6721" spans="1:3">
      <c r="A6721" s="131" t="s">
        <v>2189</v>
      </c>
      <c r="B6721" s="132">
        <v>1.0933664925110501E-2</v>
      </c>
      <c r="C6721" s="133"/>
    </row>
    <row r="6722" spans="1:3">
      <c r="A6722" s="131" t="s">
        <v>2190</v>
      </c>
      <c r="B6722" s="132">
        <v>3.8247915126013603E-2</v>
      </c>
      <c r="C6722" s="133"/>
    </row>
    <row r="6723" spans="1:3">
      <c r="A6723" s="131" t="s">
        <v>2191</v>
      </c>
      <c r="B6723" s="132">
        <v>8.0637460543344502E-5</v>
      </c>
      <c r="C6723" s="133"/>
    </row>
    <row r="6724" spans="1:3">
      <c r="A6724" s="131" t="s">
        <v>2192</v>
      </c>
      <c r="B6724" s="132">
        <v>1.13565329861544E-2</v>
      </c>
      <c r="C6724" s="133"/>
    </row>
    <row r="6725" spans="1:3">
      <c r="A6725" s="131" t="s">
        <v>2193</v>
      </c>
      <c r="B6725" s="132">
        <v>0.435231965890918</v>
      </c>
      <c r="C6725" s="133"/>
    </row>
    <row r="6726" spans="1:3">
      <c r="A6726" s="131" t="s">
        <v>2194</v>
      </c>
      <c r="B6726" s="132">
        <v>8.3171432033677703E-2</v>
      </c>
      <c r="C6726" s="133"/>
    </row>
    <row r="6727" spans="1:3">
      <c r="A6727" s="131" t="s">
        <v>2195</v>
      </c>
      <c r="B6727" s="132">
        <v>7.0353247019230306E-2</v>
      </c>
      <c r="C6727" s="133"/>
    </row>
    <row r="6728" spans="1:3">
      <c r="A6728" s="131" t="s">
        <v>2196</v>
      </c>
      <c r="B6728" s="132">
        <v>7.0945436933699999E-4</v>
      </c>
      <c r="C6728" s="133"/>
    </row>
    <row r="6729" spans="1:3">
      <c r="A6729" s="131" t="s">
        <v>2197</v>
      </c>
      <c r="B6729" s="132">
        <v>4.6746343534369999E-4</v>
      </c>
      <c r="C6729" s="133"/>
    </row>
    <row r="6730" spans="1:3">
      <c r="A6730" s="131" t="s">
        <v>2198</v>
      </c>
      <c r="B6730" s="132">
        <v>29.022435565966965</v>
      </c>
      <c r="C6730" s="133"/>
    </row>
    <row r="6731" spans="1:3">
      <c r="A6731" s="131" t="s">
        <v>2199</v>
      </c>
      <c r="B6731" s="132">
        <v>8.2327035456532305E-2</v>
      </c>
      <c r="C6731" s="133"/>
    </row>
    <row r="6732" spans="1:3">
      <c r="A6732" s="131" t="s">
        <v>2200</v>
      </c>
      <c r="B6732" s="132">
        <v>3.4592277047311</v>
      </c>
      <c r="C6732" s="133"/>
    </row>
    <row r="6733" spans="1:3">
      <c r="A6733" s="131" t="s">
        <v>2201</v>
      </c>
      <c r="B6733" s="132">
        <v>1.0276325870504146</v>
      </c>
      <c r="C6733" s="133"/>
    </row>
    <row r="6734" spans="1:3">
      <c r="A6734" s="131" t="s">
        <v>2202</v>
      </c>
      <c r="B6734" s="132">
        <v>2.5180931171120001E-4</v>
      </c>
      <c r="C6734" s="133"/>
    </row>
    <row r="6735" spans="1:3">
      <c r="A6735" s="131" t="s">
        <v>2203</v>
      </c>
      <c r="B6735" s="132">
        <v>2.28759514E-8</v>
      </c>
      <c r="C6735" s="133"/>
    </row>
    <row r="6736" spans="1:3">
      <c r="A6736" s="131" t="s">
        <v>2204</v>
      </c>
      <c r="B6736" s="132">
        <v>2.1688312725413401E-2</v>
      </c>
      <c r="C6736" s="133"/>
    </row>
    <row r="6737" spans="1:3">
      <c r="A6737" s="131" t="s">
        <v>2205</v>
      </c>
      <c r="B6737" s="132">
        <v>1.0505549140796201E-2</v>
      </c>
      <c r="C6737" s="133"/>
    </row>
    <row r="6738" spans="1:3">
      <c r="A6738" s="131" t="s">
        <v>2206</v>
      </c>
      <c r="B6738" s="132">
        <v>5.0755216172666002E-3</v>
      </c>
      <c r="C6738" s="133"/>
    </row>
    <row r="6739" spans="1:3">
      <c r="A6739" s="131" t="s">
        <v>2207</v>
      </c>
      <c r="B6739" s="132">
        <v>4.1654877670269999E-3</v>
      </c>
      <c r="C6739" s="133"/>
    </row>
    <row r="6740" spans="1:3">
      <c r="A6740" s="131" t="s">
        <v>2208</v>
      </c>
      <c r="B6740" s="132">
        <v>8.2055073030199997E-5</v>
      </c>
      <c r="C6740" s="133"/>
    </row>
    <row r="6741" spans="1:3">
      <c r="A6741" s="131" t="s">
        <v>2209</v>
      </c>
      <c r="B6741" s="132">
        <v>8.2055073030199997E-5</v>
      </c>
      <c r="C6741" s="133"/>
    </row>
    <row r="6742" spans="1:3">
      <c r="A6742" s="131" t="s">
        <v>2210</v>
      </c>
      <c r="B6742" s="132">
        <v>0.1028092065511183</v>
      </c>
      <c r="C6742" s="133"/>
    </row>
    <row r="6743" spans="1:3">
      <c r="A6743" s="131" t="s">
        <v>2211</v>
      </c>
      <c r="B6743" s="132">
        <v>3.2614220687320998E-3</v>
      </c>
      <c r="C6743" s="133"/>
    </row>
    <row r="6744" spans="1:3">
      <c r="A6744" s="131" t="s">
        <v>2212</v>
      </c>
      <c r="B6744" s="132">
        <v>1.6411014606050001E-4</v>
      </c>
      <c r="C6744" s="133"/>
    </row>
    <row r="6745" spans="1:3">
      <c r="A6745" s="131" t="s">
        <v>2213</v>
      </c>
      <c r="B6745" s="132">
        <v>7.3546859864349998E-4</v>
      </c>
      <c r="C6745" s="133"/>
    </row>
    <row r="6746" spans="1:3">
      <c r="A6746" s="131" t="s">
        <v>2214</v>
      </c>
      <c r="B6746" s="132">
        <v>8.2136695279699999E-5</v>
      </c>
      <c r="C6746" s="133"/>
    </row>
    <row r="6747" spans="1:3">
      <c r="A6747" s="131" t="s">
        <v>2215</v>
      </c>
      <c r="B6747" s="132">
        <v>1.581600738299E-4</v>
      </c>
      <c r="C6747" s="133"/>
    </row>
    <row r="6748" spans="1:3">
      <c r="A6748" s="131" t="s">
        <v>2216</v>
      </c>
      <c r="B6748" s="132">
        <v>3.2559434993427498E-2</v>
      </c>
      <c r="C6748" s="133"/>
    </row>
    <row r="6749" spans="1:3">
      <c r="A6749" s="131" t="s">
        <v>2217</v>
      </c>
      <c r="B6749" s="132">
        <v>9.905529191312624</v>
      </c>
      <c r="C6749" s="133"/>
    </row>
    <row r="6750" spans="1:3">
      <c r="A6750" s="131" t="s">
        <v>2218</v>
      </c>
      <c r="B6750" s="132">
        <v>1.8E-3</v>
      </c>
      <c r="C6750" s="133"/>
    </row>
    <row r="6751" spans="1:3">
      <c r="A6751" s="131" t="s">
        <v>2219</v>
      </c>
      <c r="B6751" s="132">
        <v>8.2055073030199997E-5</v>
      </c>
      <c r="C6751" s="133"/>
    </row>
    <row r="6752" spans="1:3">
      <c r="A6752" s="131" t="s">
        <v>2220</v>
      </c>
      <c r="B6752" s="132">
        <v>8.2011963768100006E-5</v>
      </c>
      <c r="C6752" s="133"/>
    </row>
    <row r="6753" spans="1:3">
      <c r="A6753" s="131" t="s">
        <v>2221</v>
      </c>
      <c r="B6753" s="132">
        <v>1.0667159493932001E-3</v>
      </c>
      <c r="C6753" s="133"/>
    </row>
    <row r="6754" spans="1:3">
      <c r="A6754" s="131" t="s">
        <v>2222</v>
      </c>
      <c r="B6754" s="132">
        <v>8.2055073030199997E-5</v>
      </c>
      <c r="C6754" s="133"/>
    </row>
    <row r="6755" spans="1:3">
      <c r="A6755" s="131" t="s">
        <v>2223</v>
      </c>
      <c r="B6755" s="132">
        <v>2.43450631046095E-4</v>
      </c>
      <c r="C6755" s="133"/>
    </row>
    <row r="6756" spans="1:3">
      <c r="A6756" s="131" t="s">
        <v>2224</v>
      </c>
      <c r="B6756" s="132">
        <v>4.4140661697678997E-3</v>
      </c>
      <c r="C6756" s="133"/>
    </row>
    <row r="6757" spans="1:3">
      <c r="A6757" s="131" t="s">
        <v>2225</v>
      </c>
      <c r="B6757" s="132">
        <v>0.1977076212698427</v>
      </c>
      <c r="C6757" s="133"/>
    </row>
    <row r="6758" spans="1:3">
      <c r="A6758" s="131" t="s">
        <v>2226</v>
      </c>
      <c r="B6758" s="132">
        <v>2.9843867587605586</v>
      </c>
      <c r="C6758" s="133"/>
    </row>
    <row r="6759" spans="1:3">
      <c r="A6759" s="131" t="s">
        <v>2227</v>
      </c>
      <c r="B6759" s="132">
        <v>9.3978619008217995E-3</v>
      </c>
      <c r="C6759" s="133"/>
    </row>
    <row r="6760" spans="1:3">
      <c r="A6760" s="131" t="s">
        <v>2228</v>
      </c>
      <c r="B6760" s="132">
        <v>8.2055073030199997E-5</v>
      </c>
      <c r="C6760" s="133"/>
    </row>
    <row r="6761" spans="1:3">
      <c r="A6761" s="131" t="s">
        <v>2229</v>
      </c>
      <c r="B6761" s="132">
        <v>1.6724437433430001E-4</v>
      </c>
      <c r="C6761" s="133"/>
    </row>
    <row r="6762" spans="1:3">
      <c r="A6762" s="131" t="s">
        <v>2230</v>
      </c>
      <c r="B6762" s="132">
        <v>8.2055073030199997E-5</v>
      </c>
      <c r="C6762" s="133"/>
    </row>
    <row r="6763" spans="1:3">
      <c r="A6763" s="131" t="s">
        <v>2231</v>
      </c>
      <c r="B6763" s="132">
        <v>9.6940192457390002E-4</v>
      </c>
      <c r="C6763" s="133"/>
    </row>
    <row r="6764" spans="1:3">
      <c r="A6764" s="131" t="s">
        <v>2232</v>
      </c>
      <c r="B6764" s="132">
        <v>8.2055073030199997E-5</v>
      </c>
      <c r="C6764" s="133"/>
    </row>
    <row r="6765" spans="1:3">
      <c r="A6765" s="131" t="s">
        <v>2233</v>
      </c>
      <c r="B6765" s="132">
        <v>7.3306092711835002E-3</v>
      </c>
      <c r="C6765" s="133"/>
    </row>
    <row r="6766" spans="1:3">
      <c r="A6766" s="131" t="s">
        <v>2234</v>
      </c>
      <c r="B6766" s="132">
        <v>9.0067626071237754</v>
      </c>
      <c r="C6766" s="133"/>
    </row>
    <row r="6767" spans="1:3">
      <c r="A6767" s="131" t="s">
        <v>2235</v>
      </c>
      <c r="B6767" s="132">
        <v>3.7880119557662999E-3</v>
      </c>
      <c r="C6767" s="133"/>
    </row>
    <row r="6768" spans="1:3">
      <c r="A6768" s="131" t="s">
        <v>2236</v>
      </c>
      <c r="B6768" s="132">
        <v>8.2055073030199997E-5</v>
      </c>
      <c r="C6768" s="133"/>
    </row>
    <row r="6769" spans="1:3">
      <c r="A6769" s="131" t="s">
        <v>2237</v>
      </c>
      <c r="B6769" s="132">
        <v>1.9660241198638999E-3</v>
      </c>
      <c r="C6769" s="133"/>
    </row>
    <row r="6770" spans="1:3">
      <c r="A6770" s="131" t="s">
        <v>2238</v>
      </c>
      <c r="B6770" s="132">
        <v>5.9167958014927101E-2</v>
      </c>
      <c r="C6770" s="133"/>
    </row>
    <row r="6771" spans="1:3">
      <c r="A6771" s="131" t="s">
        <v>2239</v>
      </c>
      <c r="B6771" s="132">
        <v>8.3184703584000006E-6</v>
      </c>
      <c r="C6771" s="133"/>
    </row>
    <row r="6772" spans="1:3">
      <c r="A6772" s="131" t="s">
        <v>2240</v>
      </c>
      <c r="B6772" s="132">
        <v>7.0761763093608501E-2</v>
      </c>
      <c r="C6772" s="133"/>
    </row>
    <row r="6773" spans="1:3">
      <c r="A6773" s="131" t="s">
        <v>2241</v>
      </c>
      <c r="B6773" s="132">
        <v>1.5337644576454699E-2</v>
      </c>
      <c r="C6773" s="133"/>
    </row>
    <row r="6774" spans="1:3">
      <c r="A6774" s="131" t="s">
        <v>2242</v>
      </c>
      <c r="B6774" s="132">
        <v>8.2011963768100006E-5</v>
      </c>
      <c r="C6774" s="133"/>
    </row>
    <row r="6775" spans="1:3">
      <c r="A6775" s="131" t="s">
        <v>2243</v>
      </c>
      <c r="B6775" s="132">
        <v>2.3662908754E-6</v>
      </c>
      <c r="C6775" s="133"/>
    </row>
    <row r="6776" spans="1:3">
      <c r="A6776" s="131" t="s">
        <v>2244</v>
      </c>
      <c r="B6776" s="132">
        <v>9.6905859594699994E-5</v>
      </c>
      <c r="C6776" s="133"/>
    </row>
    <row r="6777" spans="1:3">
      <c r="A6777" s="131" t="s">
        <v>2245</v>
      </c>
      <c r="B6777" s="132">
        <v>4.8487304800069004E-3</v>
      </c>
      <c r="C6777" s="133"/>
    </row>
    <row r="6778" spans="1:3">
      <c r="A6778" s="131" t="s">
        <v>2246</v>
      </c>
      <c r="B6778" s="132">
        <v>4.4512920427969998E-4</v>
      </c>
      <c r="C6778" s="133"/>
    </row>
    <row r="6779" spans="1:3">
      <c r="A6779" s="131" t="s">
        <v>2247</v>
      </c>
      <c r="B6779" s="132">
        <v>0.14638302271774031</v>
      </c>
      <c r="C6779" s="133"/>
    </row>
    <row r="6780" spans="1:3">
      <c r="A6780" s="131" t="s">
        <v>2248</v>
      </c>
      <c r="B6780" s="132">
        <v>0.21967411993676986</v>
      </c>
      <c r="C6780" s="133"/>
    </row>
    <row r="6781" spans="1:3">
      <c r="A6781" s="131" t="s">
        <v>2249</v>
      </c>
      <c r="B6781" s="132">
        <v>2.4483078227573001E-3</v>
      </c>
      <c r="C6781" s="133"/>
    </row>
    <row r="6782" spans="1:3">
      <c r="A6782" s="131" t="s">
        <v>2250</v>
      </c>
      <c r="B6782" s="132">
        <v>4.5426942411029998E-4</v>
      </c>
      <c r="C6782" s="133"/>
    </row>
    <row r="6783" spans="1:3">
      <c r="A6783" s="131" t="s">
        <v>2251</v>
      </c>
      <c r="B6783" s="132">
        <v>3.2291899424419999E-4</v>
      </c>
      <c r="C6783" s="133"/>
    </row>
    <row r="6784" spans="1:3">
      <c r="A6784" s="131" t="s">
        <v>2252</v>
      </c>
      <c r="B6784" s="132">
        <v>3.0594609127750002E-4</v>
      </c>
      <c r="C6784" s="133"/>
    </row>
    <row r="6785" spans="1:3">
      <c r="A6785" s="131" t="s">
        <v>2253</v>
      </c>
      <c r="B6785" s="132">
        <v>7.9705838108400006E-5</v>
      </c>
      <c r="C6785" s="133"/>
    </row>
    <row r="6786" spans="1:3">
      <c r="A6786" s="131" t="s">
        <v>2254</v>
      </c>
      <c r="B6786" s="132">
        <v>1.5401019121844999E-3</v>
      </c>
      <c r="C6786" s="133"/>
    </row>
    <row r="6787" spans="1:3">
      <c r="A6787" s="131" t="s">
        <v>2255</v>
      </c>
      <c r="B6787" s="132">
        <v>1.033201299318E-4</v>
      </c>
      <c r="C6787" s="133"/>
    </row>
    <row r="6788" spans="1:3">
      <c r="A6788" s="131" t="s">
        <v>2256</v>
      </c>
      <c r="B6788" s="132">
        <v>4.7702598867115802E-2</v>
      </c>
      <c r="C6788" s="133"/>
    </row>
    <row r="6789" spans="1:3">
      <c r="A6789" s="131" t="s">
        <v>2257</v>
      </c>
      <c r="B6789" s="132">
        <v>5.8695648665000398E-2</v>
      </c>
      <c r="C6789" s="133"/>
    </row>
    <row r="6790" spans="1:3">
      <c r="A6790" s="131" t="s">
        <v>2258</v>
      </c>
      <c r="B6790" s="132">
        <v>5.1818660013400003E-5</v>
      </c>
      <c r="C6790" s="133"/>
    </row>
    <row r="6791" spans="1:3">
      <c r="A6791" s="131" t="s">
        <v>2259</v>
      </c>
      <c r="B6791" s="132">
        <v>1.5935301011244E-3</v>
      </c>
      <c r="C6791" s="133"/>
    </row>
    <row r="6792" spans="1:3">
      <c r="A6792" s="131" t="s">
        <v>2260</v>
      </c>
      <c r="B6792" s="132">
        <v>1.02137712893E-4</v>
      </c>
      <c r="C6792" s="133"/>
    </row>
    <row r="6793" spans="1:3">
      <c r="A6793" s="131" t="s">
        <v>2261</v>
      </c>
      <c r="B6793" s="132">
        <v>3.7219924677642999E-3</v>
      </c>
      <c r="C6793" s="133"/>
    </row>
    <row r="6794" spans="1:3">
      <c r="A6794" s="131" t="s">
        <v>2262</v>
      </c>
      <c r="B6794" s="132">
        <v>166.02976803116385</v>
      </c>
      <c r="C6794" s="133"/>
    </row>
    <row r="6795" spans="1:3">
      <c r="A6795" s="131" t="s">
        <v>2263</v>
      </c>
      <c r="B6795" s="132">
        <v>8.2055073030199997E-5</v>
      </c>
      <c r="C6795" s="133"/>
    </row>
    <row r="6796" spans="1:3">
      <c r="A6796" s="131" t="s">
        <v>2264</v>
      </c>
      <c r="B6796" s="132">
        <v>5.8793976386820003E-4</v>
      </c>
      <c r="C6796" s="133"/>
    </row>
    <row r="6797" spans="1:3">
      <c r="A6797" s="131" t="s">
        <v>2265</v>
      </c>
      <c r="B6797" s="132">
        <v>2.5449005559333999E-2</v>
      </c>
      <c r="C6797" s="133"/>
    </row>
    <row r="6798" spans="1:3">
      <c r="A6798" s="131" t="s">
        <v>2266</v>
      </c>
      <c r="B6798" s="132">
        <v>1.9334946728799998E-5</v>
      </c>
      <c r="C6798" s="133"/>
    </row>
    <row r="6799" spans="1:3">
      <c r="A6799" s="131" t="s">
        <v>2267</v>
      </c>
      <c r="B6799" s="132">
        <v>1.1166383247995199E-2</v>
      </c>
      <c r="C6799" s="133"/>
    </row>
    <row r="6800" spans="1:3">
      <c r="A6800" s="131" t="s">
        <v>2268</v>
      </c>
      <c r="B6800" s="132">
        <v>3.3699065326745499E-2</v>
      </c>
      <c r="C6800" s="133"/>
    </row>
    <row r="6801" spans="1:3">
      <c r="A6801" s="131" t="s">
        <v>2269</v>
      </c>
      <c r="B6801" s="132">
        <v>5.4318837306622002E-3</v>
      </c>
      <c r="C6801" s="133"/>
    </row>
    <row r="6802" spans="1:3">
      <c r="A6802" s="131" t="s">
        <v>2270</v>
      </c>
      <c r="B6802" s="132">
        <v>1.341750781162E-4</v>
      </c>
      <c r="C6802" s="133"/>
    </row>
    <row r="6803" spans="1:3">
      <c r="A6803" s="131" t="s">
        <v>2271</v>
      </c>
      <c r="B6803" s="132">
        <v>2.9274914783770001E-4</v>
      </c>
      <c r="C6803" s="133"/>
    </row>
    <row r="6804" spans="1:3">
      <c r="A6804" s="131" t="s">
        <v>2272</v>
      </c>
      <c r="B6804" s="132">
        <v>8.2055073030199997E-5</v>
      </c>
      <c r="C6804" s="133"/>
    </row>
    <row r="6805" spans="1:3">
      <c r="A6805" s="131" t="s">
        <v>2273</v>
      </c>
      <c r="B6805" s="132">
        <v>6.9999999999999994E-5</v>
      </c>
      <c r="C6805" s="133"/>
    </row>
    <row r="6806" spans="1:3">
      <c r="A6806" s="131" t="s">
        <v>2274</v>
      </c>
      <c r="B6806" s="132">
        <v>3.7448751769692792E-4</v>
      </c>
      <c r="C6806" s="133"/>
    </row>
    <row r="6807" spans="1:3">
      <c r="A6807" s="131" t="s">
        <v>2275</v>
      </c>
      <c r="B6807" s="132">
        <v>2.4158891431400001E-5</v>
      </c>
      <c r="C6807" s="133"/>
    </row>
    <row r="6808" spans="1:3">
      <c r="A6808" s="131" t="s">
        <v>2276</v>
      </c>
      <c r="B6808" s="132">
        <v>1.5423716431638101E-2</v>
      </c>
      <c r="C6808" s="133"/>
    </row>
    <row r="6809" spans="1:3">
      <c r="A6809" s="131" t="s">
        <v>2277</v>
      </c>
      <c r="B6809" s="132">
        <v>7.1518139231059998E-4</v>
      </c>
      <c r="C6809" s="133"/>
    </row>
    <row r="6810" spans="1:3">
      <c r="A6810" s="131" t="s">
        <v>2278</v>
      </c>
      <c r="B6810" s="132">
        <v>4.2355454496304E-3</v>
      </c>
      <c r="C6810" s="133"/>
    </row>
    <row r="6811" spans="1:3">
      <c r="A6811" s="131" t="s">
        <v>2279</v>
      </c>
      <c r="B6811" s="132">
        <v>6.4387623674255776</v>
      </c>
      <c r="C6811" s="133"/>
    </row>
    <row r="6812" spans="1:3">
      <c r="A6812" s="131" t="s">
        <v>2280</v>
      </c>
      <c r="B6812" s="132">
        <v>0.48076067288422902</v>
      </c>
      <c r="C6812" s="133"/>
    </row>
    <row r="6813" spans="1:3">
      <c r="A6813" s="131" t="s">
        <v>2281</v>
      </c>
      <c r="B6813" s="132">
        <v>2.4065853851251099E-2</v>
      </c>
      <c r="C6813" s="133"/>
    </row>
    <row r="6814" spans="1:3">
      <c r="A6814" s="131" t="s">
        <v>2282</v>
      </c>
      <c r="B6814" s="132">
        <v>3.0733251508339998E-4</v>
      </c>
      <c r="C6814" s="133"/>
    </row>
    <row r="6815" spans="1:3">
      <c r="A6815" s="131" t="s">
        <v>2283</v>
      </c>
      <c r="B6815" s="132">
        <v>8.2055073030199997E-5</v>
      </c>
      <c r="C6815" s="133"/>
    </row>
    <row r="6816" spans="1:3">
      <c r="A6816" s="131" t="s">
        <v>2284</v>
      </c>
      <c r="B6816" s="132">
        <v>8.2136695279699999E-5</v>
      </c>
      <c r="C6816" s="133"/>
    </row>
    <row r="6817" spans="1:3">
      <c r="A6817" s="131" t="s">
        <v>2285</v>
      </c>
      <c r="B6817" s="132">
        <v>4.9928381128865997E-3</v>
      </c>
      <c r="C6817" s="133"/>
    </row>
    <row r="6818" spans="1:3">
      <c r="A6818" s="131" t="s">
        <v>2286</v>
      </c>
      <c r="B6818" s="132">
        <v>7.2912215972640998E-3</v>
      </c>
      <c r="C6818" s="133"/>
    </row>
    <row r="6819" spans="1:3">
      <c r="A6819" s="131" t="s">
        <v>2287</v>
      </c>
      <c r="B6819" s="132">
        <v>5.2081681442607899E-2</v>
      </c>
      <c r="C6819" s="133"/>
    </row>
    <row r="6820" spans="1:3">
      <c r="A6820" s="131" t="s">
        <v>2288</v>
      </c>
      <c r="B6820" s="132">
        <v>1.25394926720686E-2</v>
      </c>
      <c r="C6820" s="133"/>
    </row>
    <row r="6821" spans="1:3">
      <c r="A6821" s="131" t="s">
        <v>2289</v>
      </c>
      <c r="B6821" s="132">
        <v>0.56240560184900523</v>
      </c>
      <c r="C6821" s="133"/>
    </row>
    <row r="6822" spans="1:3">
      <c r="A6822" s="131" t="s">
        <v>2290</v>
      </c>
      <c r="B6822" s="132">
        <v>1.6818085919553E-2</v>
      </c>
      <c r="C6822" s="133"/>
    </row>
    <row r="6823" spans="1:3">
      <c r="A6823" s="131" t="s">
        <v>2291</v>
      </c>
      <c r="B6823" s="132">
        <v>4.0136768328500001E-5</v>
      </c>
      <c r="C6823" s="133"/>
    </row>
    <row r="6824" spans="1:3">
      <c r="A6824" s="131" t="s">
        <v>2292</v>
      </c>
      <c r="B6824" s="132">
        <v>8.2136695279699999E-5</v>
      </c>
      <c r="C6824" s="133"/>
    </row>
    <row r="6825" spans="1:3">
      <c r="A6825" s="131" t="s">
        <v>2293</v>
      </c>
      <c r="B6825" s="132">
        <v>2.3896432553765123</v>
      </c>
      <c r="C6825" s="133"/>
    </row>
    <row r="6826" spans="1:3">
      <c r="A6826" s="131" t="s">
        <v>2294</v>
      </c>
      <c r="B6826" s="132">
        <v>6.5061337509969997E-4</v>
      </c>
      <c r="C6826" s="133"/>
    </row>
    <row r="6827" spans="1:3">
      <c r="A6827" s="131" t="s">
        <v>2295</v>
      </c>
      <c r="B6827" s="132">
        <v>2.9641961645717502E-2</v>
      </c>
      <c r="C6827" s="133"/>
    </row>
    <row r="6828" spans="1:3">
      <c r="A6828" s="131" t="s">
        <v>2296</v>
      </c>
      <c r="B6828" s="132">
        <v>2.4616521909070002E-4</v>
      </c>
      <c r="C6828" s="133"/>
    </row>
    <row r="6829" spans="1:3">
      <c r="A6829" s="131" t="s">
        <v>2297</v>
      </c>
      <c r="B6829" s="132">
        <v>8.2055073030199997E-5</v>
      </c>
      <c r="C6829" s="133"/>
    </row>
    <row r="6830" spans="1:3">
      <c r="A6830" s="131" t="s">
        <v>2298</v>
      </c>
      <c r="B6830" s="132">
        <v>2.2017020084527002E-3</v>
      </c>
      <c r="C6830" s="133"/>
    </row>
    <row r="6831" spans="1:3">
      <c r="A6831" s="131" t="s">
        <v>2299</v>
      </c>
      <c r="B6831" s="132">
        <v>5.5799549343349001E-3</v>
      </c>
      <c r="C6831" s="133"/>
    </row>
    <row r="6832" spans="1:3">
      <c r="A6832" s="131" t="s">
        <v>2300</v>
      </c>
      <c r="B6832" s="132">
        <v>2.3532115803399999E-5</v>
      </c>
      <c r="C6832" s="133"/>
    </row>
    <row r="6833" spans="1:3">
      <c r="A6833" s="131" t="s">
        <v>2301</v>
      </c>
      <c r="B6833" s="132">
        <v>3.1995811179680002E-4</v>
      </c>
      <c r="C6833" s="133"/>
    </row>
    <row r="6834" spans="1:3">
      <c r="A6834" s="131" t="s">
        <v>2302</v>
      </c>
      <c r="B6834" s="132">
        <v>7.3803087573110003E-4</v>
      </c>
      <c r="C6834" s="133"/>
    </row>
    <row r="6835" spans="1:3">
      <c r="A6835" s="131" t="s">
        <v>2303</v>
      </c>
      <c r="B6835" s="132">
        <v>4.21403346864E-5</v>
      </c>
      <c r="C6835" s="133"/>
    </row>
    <row r="6836" spans="1:3">
      <c r="A6836" s="131" t="s">
        <v>2304</v>
      </c>
      <c r="B6836" s="132">
        <v>0.1776841653753865</v>
      </c>
      <c r="C6836" s="133"/>
    </row>
    <row r="6837" spans="1:3">
      <c r="A6837" s="131" t="s">
        <v>2305</v>
      </c>
      <c r="B6837" s="132">
        <v>3.7851302064700002E-5</v>
      </c>
      <c r="C6837" s="133"/>
    </row>
    <row r="6838" spans="1:3">
      <c r="A6838" s="131" t="s">
        <v>2306</v>
      </c>
      <c r="B6838" s="132">
        <v>1.6411014606050001E-4</v>
      </c>
      <c r="C6838" s="133"/>
    </row>
    <row r="6839" spans="1:3">
      <c r="A6839" s="131" t="s">
        <v>2307</v>
      </c>
      <c r="B6839" s="132">
        <v>4.2926865093539073</v>
      </c>
      <c r="C6839" s="133"/>
    </row>
    <row r="6840" spans="1:3">
      <c r="A6840" s="131" t="s">
        <v>2308</v>
      </c>
      <c r="B6840" s="132">
        <v>8.2011963768100006E-5</v>
      </c>
      <c r="C6840" s="133"/>
    </row>
    <row r="6841" spans="1:3">
      <c r="A6841" s="131" t="s">
        <v>2309</v>
      </c>
      <c r="B6841" s="132">
        <v>1.4751686926111E-3</v>
      </c>
      <c r="C6841" s="133"/>
    </row>
    <row r="6842" spans="1:3">
      <c r="A6842" s="131" t="s">
        <v>2310</v>
      </c>
      <c r="B6842" s="132">
        <v>8.0302829917299994E-5</v>
      </c>
      <c r="C6842" s="133"/>
    </row>
    <row r="6843" spans="1:3">
      <c r="A6843" s="131" t="s">
        <v>2311</v>
      </c>
      <c r="B6843" s="132">
        <v>1.0961809913229001E-3</v>
      </c>
      <c r="C6843" s="133"/>
    </row>
    <row r="6844" spans="1:3">
      <c r="A6844" s="131" t="s">
        <v>2312</v>
      </c>
      <c r="B6844" s="132">
        <v>5.2132480358100001E-3</v>
      </c>
      <c r="C6844" s="133"/>
    </row>
    <row r="6845" spans="1:3">
      <c r="A6845" s="131" t="s">
        <v>2313</v>
      </c>
      <c r="B6845" s="132">
        <v>1.2759297759117E-3</v>
      </c>
      <c r="C6845" s="133"/>
    </row>
    <row r="6846" spans="1:3">
      <c r="A6846" s="131" t="s">
        <v>2314</v>
      </c>
      <c r="B6846" s="132">
        <v>6.1499913537060001E-4</v>
      </c>
      <c r="C6846" s="133"/>
    </row>
    <row r="6847" spans="1:3">
      <c r="A6847" s="131" t="s">
        <v>2315</v>
      </c>
      <c r="B6847" s="132">
        <v>8.9440029602971E-3</v>
      </c>
      <c r="C6847" s="133"/>
    </row>
    <row r="6848" spans="1:3">
      <c r="A6848" s="131" t="s">
        <v>2316</v>
      </c>
      <c r="B6848" s="132">
        <v>0.1149845017196708</v>
      </c>
      <c r="C6848" s="133"/>
    </row>
    <row r="6849" spans="1:3">
      <c r="A6849" s="131" t="s">
        <v>2317</v>
      </c>
      <c r="B6849" s="132">
        <v>8.2055073030199997E-5</v>
      </c>
      <c r="C6849" s="133"/>
    </row>
    <row r="6850" spans="1:3">
      <c r="A6850" s="131" t="s">
        <v>2318</v>
      </c>
      <c r="B6850" s="132">
        <v>2.6552448516648001E-3</v>
      </c>
      <c r="C6850" s="133"/>
    </row>
    <row r="6851" spans="1:3">
      <c r="A6851" s="131" t="s">
        <v>2319</v>
      </c>
      <c r="B6851" s="132">
        <v>1.6411014606050001E-4</v>
      </c>
      <c r="C6851" s="133"/>
    </row>
    <row r="6852" spans="1:3">
      <c r="A6852" s="131" t="s">
        <v>2320</v>
      </c>
      <c r="B6852" s="132">
        <v>1.07277208846587E-2</v>
      </c>
      <c r="C6852" s="133"/>
    </row>
    <row r="6853" spans="1:3">
      <c r="A6853" s="131" t="s">
        <v>2321</v>
      </c>
      <c r="B6853" s="132">
        <v>0.1318936772715574</v>
      </c>
      <c r="C6853" s="133"/>
    </row>
    <row r="6854" spans="1:3">
      <c r="A6854" s="131" t="s">
        <v>2322</v>
      </c>
      <c r="B6854" s="132">
        <v>2.6151259450089999E-4</v>
      </c>
      <c r="C6854" s="133"/>
    </row>
    <row r="6855" spans="1:3">
      <c r="A6855" s="131" t="s">
        <v>2323</v>
      </c>
      <c r="B6855" s="132">
        <v>1.1239039812589901E-2</v>
      </c>
      <c r="C6855" s="133"/>
    </row>
    <row r="6856" spans="1:3">
      <c r="A6856" s="131" t="s">
        <v>2324</v>
      </c>
      <c r="B6856" s="132">
        <v>1.0761522925174999E-4</v>
      </c>
      <c r="C6856" s="133"/>
    </row>
    <row r="6857" spans="1:3">
      <c r="A6857" s="131" t="s">
        <v>2325</v>
      </c>
      <c r="B6857" s="132">
        <v>5.1450745404925001E-3</v>
      </c>
      <c r="C6857" s="133"/>
    </row>
    <row r="6858" spans="1:3">
      <c r="A6858" s="131" t="s">
        <v>2326</v>
      </c>
      <c r="B6858" s="132">
        <v>1.2929037208530001E-3</v>
      </c>
      <c r="C6858" s="133"/>
    </row>
    <row r="6859" spans="1:3">
      <c r="A6859" s="131" t="s">
        <v>2327</v>
      </c>
      <c r="B6859" s="132">
        <v>1.6411014606050001E-4</v>
      </c>
      <c r="C6859" s="133"/>
    </row>
    <row r="6860" spans="1:3">
      <c r="A6860" s="131" t="s">
        <v>2328</v>
      </c>
      <c r="B6860" s="132">
        <v>8.2055073030199997E-5</v>
      </c>
      <c r="C6860" s="133"/>
    </row>
    <row r="6861" spans="1:3">
      <c r="A6861" s="131" t="s">
        <v>2329</v>
      </c>
      <c r="B6861" s="132">
        <v>1.580545474164E-4</v>
      </c>
      <c r="C6861" s="133"/>
    </row>
    <row r="6862" spans="1:3">
      <c r="A6862" s="131" t="s">
        <v>2330</v>
      </c>
      <c r="B6862" s="132">
        <v>1.3853635028146E-3</v>
      </c>
      <c r="C6862" s="133"/>
    </row>
    <row r="6863" spans="1:3">
      <c r="A6863" s="131" t="s">
        <v>2331</v>
      </c>
      <c r="B6863" s="132">
        <v>1.156937159824E-4</v>
      </c>
      <c r="C6863" s="133"/>
    </row>
    <row r="6864" spans="1:3">
      <c r="A6864" s="131" t="s">
        <v>2332</v>
      </c>
      <c r="B6864" s="132">
        <v>0.70688793497893276</v>
      </c>
      <c r="C6864" s="133"/>
    </row>
    <row r="6865" spans="1:3">
      <c r="A6865" s="131" t="s">
        <v>2333</v>
      </c>
      <c r="B6865" s="132">
        <v>1.5562351271760001E-4</v>
      </c>
      <c r="C6865" s="133"/>
    </row>
    <row r="6866" spans="1:3">
      <c r="A6866" s="131" t="s">
        <v>2334</v>
      </c>
      <c r="B6866" s="132">
        <v>2.2719010623000001E-6</v>
      </c>
      <c r="C6866" s="133"/>
    </row>
    <row r="6867" spans="1:3">
      <c r="A6867" s="131" t="s">
        <v>2335</v>
      </c>
      <c r="B6867" s="132">
        <v>6.0626574412530004E-4</v>
      </c>
      <c r="C6867" s="133"/>
    </row>
    <row r="6868" spans="1:3">
      <c r="A6868" s="131" t="s">
        <v>2336</v>
      </c>
      <c r="B6868" s="132">
        <v>0.68444501182787099</v>
      </c>
      <c r="C6868" s="133"/>
    </row>
    <row r="6869" spans="1:3">
      <c r="A6869" s="131" t="s">
        <v>2337</v>
      </c>
      <c r="B6869" s="132">
        <v>1.6750035145917999E-3</v>
      </c>
      <c r="C6869" s="133"/>
    </row>
    <row r="6870" spans="1:3">
      <c r="A6870" s="131" t="s">
        <v>2338</v>
      </c>
      <c r="B6870" s="132">
        <v>8.2055073030199997E-5</v>
      </c>
      <c r="C6870" s="133"/>
    </row>
    <row r="6871" spans="1:3">
      <c r="A6871" s="131" t="s">
        <v>2339</v>
      </c>
      <c r="B6871" s="132">
        <v>2.4501338101999998E-6</v>
      </c>
      <c r="C6871" s="133"/>
    </row>
    <row r="6872" spans="1:3">
      <c r="A6872" s="131" t="s">
        <v>2340</v>
      </c>
      <c r="B6872" s="132">
        <v>1.733578749004E-4</v>
      </c>
      <c r="C6872" s="133"/>
    </row>
    <row r="6873" spans="1:3">
      <c r="A6873" s="131" t="s">
        <v>2341</v>
      </c>
      <c r="B6873" s="132">
        <v>13.648130936744115</v>
      </c>
      <c r="C6873" s="133"/>
    </row>
    <row r="6874" spans="1:3">
      <c r="A6874" s="131" t="s">
        <v>2342</v>
      </c>
      <c r="B6874" s="132">
        <v>2.4310636822867E-3</v>
      </c>
      <c r="C6874" s="133"/>
    </row>
    <row r="6875" spans="1:3">
      <c r="A6875" s="131" t="s">
        <v>2343</v>
      </c>
      <c r="B6875" s="132">
        <v>2.8607255692420002E-4</v>
      </c>
      <c r="C6875" s="133"/>
    </row>
    <row r="6876" spans="1:3">
      <c r="A6876" s="131" t="s">
        <v>2344</v>
      </c>
      <c r="B6876" s="132">
        <v>2.9312312201029998E-4</v>
      </c>
      <c r="C6876" s="133"/>
    </row>
    <row r="6877" spans="1:3">
      <c r="A6877" s="131" t="s">
        <v>2345</v>
      </c>
      <c r="B6877" s="132">
        <v>1.5161845516984299E-2</v>
      </c>
      <c r="C6877" s="133"/>
    </row>
    <row r="6878" spans="1:3">
      <c r="A6878" s="131" t="s">
        <v>2346</v>
      </c>
      <c r="B6878" s="132">
        <v>8.2055073030199997E-5</v>
      </c>
      <c r="C6878" s="133"/>
    </row>
    <row r="6879" spans="1:3">
      <c r="A6879" s="131" t="s">
        <v>2347</v>
      </c>
      <c r="B6879" s="132">
        <v>4.2070462100983995E-3</v>
      </c>
      <c r="C6879" s="133"/>
    </row>
    <row r="6880" spans="1:3">
      <c r="A6880" s="131" t="s">
        <v>2348</v>
      </c>
      <c r="B6880" s="132">
        <v>2.3620444168789999E-4</v>
      </c>
      <c r="C6880" s="133"/>
    </row>
    <row r="6881" spans="1:3">
      <c r="A6881" s="131" t="s">
        <v>2349</v>
      </c>
      <c r="B6881" s="132">
        <v>1.0619938338508E-3</v>
      </c>
      <c r="C6881" s="133"/>
    </row>
    <row r="6882" spans="1:3">
      <c r="A6882" s="131" t="s">
        <v>2350</v>
      </c>
      <c r="B6882" s="132">
        <v>2.0002138955511001E-3</v>
      </c>
      <c r="C6882" s="133"/>
    </row>
    <row r="6883" spans="1:3">
      <c r="A6883" s="131" t="s">
        <v>2351</v>
      </c>
      <c r="B6883" s="132">
        <v>1.117271231288E-4</v>
      </c>
      <c r="C6883" s="133"/>
    </row>
    <row r="6884" spans="1:3">
      <c r="A6884" s="131" t="s">
        <v>2352</v>
      </c>
      <c r="B6884" s="132">
        <v>1.0120135073914001E-2</v>
      </c>
      <c r="C6884" s="133"/>
    </row>
    <row r="6885" spans="1:3">
      <c r="A6885" s="131" t="s">
        <v>2353</v>
      </c>
      <c r="B6885" s="132">
        <v>8.2055073030199997E-5</v>
      </c>
      <c r="C6885" s="133"/>
    </row>
    <row r="6886" spans="1:3">
      <c r="A6886" s="131" t="s">
        <v>2354</v>
      </c>
      <c r="B6886" s="132">
        <v>0.43906240013553588</v>
      </c>
      <c r="C6886" s="133"/>
    </row>
    <row r="6887" spans="1:3">
      <c r="A6887" s="131" t="s">
        <v>2355</v>
      </c>
      <c r="B6887" s="132">
        <v>2.5827026948923E-3</v>
      </c>
      <c r="C6887" s="133"/>
    </row>
    <row r="6888" spans="1:3">
      <c r="A6888" s="131" t="s">
        <v>2356</v>
      </c>
      <c r="B6888" s="132">
        <v>4.8628382882814998E-3</v>
      </c>
      <c r="C6888" s="133"/>
    </row>
    <row r="6889" spans="1:3">
      <c r="A6889" s="131" t="s">
        <v>2357</v>
      </c>
      <c r="B6889" s="132">
        <v>1.7672774385059999E-4</v>
      </c>
      <c r="C6889" s="133"/>
    </row>
    <row r="6890" spans="1:3">
      <c r="A6890" s="131" t="s">
        <v>2358</v>
      </c>
      <c r="B6890" s="132">
        <v>1.3230855757746E-3</v>
      </c>
      <c r="C6890" s="133"/>
    </row>
    <row r="6891" spans="1:3">
      <c r="A6891" s="131" t="s">
        <v>2359</v>
      </c>
      <c r="B6891" s="132">
        <v>1.50711629688E-4</v>
      </c>
      <c r="C6891" s="133"/>
    </row>
    <row r="6892" spans="1:3">
      <c r="A6892" s="131" t="s">
        <v>2360</v>
      </c>
      <c r="B6892" s="132">
        <v>1.7405437882170001E-4</v>
      </c>
      <c r="C6892" s="133"/>
    </row>
    <row r="6893" spans="1:3">
      <c r="A6893" s="131" t="s">
        <v>2361</v>
      </c>
      <c r="B6893" s="132">
        <v>0.1522621184229227</v>
      </c>
      <c r="C6893" s="133"/>
    </row>
    <row r="6894" spans="1:3">
      <c r="A6894" s="131" t="s">
        <v>2362</v>
      </c>
      <c r="B6894" s="132">
        <v>1.3549992478434001E-3</v>
      </c>
      <c r="C6894" s="133"/>
    </row>
    <row r="6895" spans="1:3">
      <c r="A6895" s="131" t="s">
        <v>2363</v>
      </c>
      <c r="B6895" s="132">
        <v>1.3052060409668101E-2</v>
      </c>
      <c r="C6895" s="133"/>
    </row>
    <row r="6896" spans="1:3">
      <c r="A6896" s="131" t="s">
        <v>2364</v>
      </c>
      <c r="B6896" s="132">
        <v>1.1884716631472001E-3</v>
      </c>
      <c r="C6896" s="133"/>
    </row>
    <row r="6897" spans="1:3">
      <c r="A6897" s="131" t="s">
        <v>2365</v>
      </c>
      <c r="B6897" s="132">
        <v>1.25713938893E-5</v>
      </c>
      <c r="C6897" s="133"/>
    </row>
    <row r="6898" spans="1:3">
      <c r="A6898" s="131" t="s">
        <v>2366</v>
      </c>
      <c r="B6898" s="132">
        <v>2.0000000000000002E-5</v>
      </c>
      <c r="C6898" s="133"/>
    </row>
    <row r="6899" spans="1:3">
      <c r="A6899" s="131" t="s">
        <v>2367</v>
      </c>
      <c r="B6899" s="132">
        <v>3.2537403203459998E-4</v>
      </c>
      <c r="C6899" s="133"/>
    </row>
    <row r="6900" spans="1:3">
      <c r="A6900" s="131" t="s">
        <v>2368</v>
      </c>
      <c r="B6900" s="132">
        <v>6.3293553219485998E-3</v>
      </c>
      <c r="C6900" s="133"/>
    </row>
    <row r="6901" spans="1:3">
      <c r="A6901" s="131" t="s">
        <v>2369</v>
      </c>
      <c r="B6901" s="132">
        <v>5.50580153833E-4</v>
      </c>
      <c r="C6901" s="133"/>
    </row>
    <row r="6902" spans="1:3">
      <c r="A6902" s="131" t="s">
        <v>2370</v>
      </c>
      <c r="B6902" s="132">
        <v>2.38928189821E-5</v>
      </c>
      <c r="C6902" s="133"/>
    </row>
    <row r="6903" spans="1:3">
      <c r="A6903" s="131" t="s">
        <v>2371</v>
      </c>
      <c r="B6903" s="132">
        <v>6.807226486018678E-3</v>
      </c>
      <c r="C6903" s="133"/>
    </row>
    <row r="6904" spans="1:3">
      <c r="A6904" s="131" t="s">
        <v>2372</v>
      </c>
      <c r="B6904" s="132">
        <v>1.6411014606050001E-4</v>
      </c>
      <c r="C6904" s="133"/>
    </row>
    <row r="6905" spans="1:3">
      <c r="A6905" s="131" t="s">
        <v>2373</v>
      </c>
      <c r="B6905" s="132">
        <v>4.8158853214626002E-3</v>
      </c>
      <c r="C6905" s="133"/>
    </row>
    <row r="6906" spans="1:3">
      <c r="A6906" s="131" t="s">
        <v>2374</v>
      </c>
      <c r="B6906" s="132">
        <v>2.1730331449463499E-4</v>
      </c>
      <c r="C6906" s="133"/>
    </row>
    <row r="6907" spans="1:3">
      <c r="A6907" s="131" t="s">
        <v>2375</v>
      </c>
      <c r="B6907" s="132">
        <v>1.0698738420395E-3</v>
      </c>
      <c r="C6907" s="133"/>
    </row>
    <row r="6908" spans="1:3">
      <c r="A6908" s="131" t="s">
        <v>2376</v>
      </c>
      <c r="B6908" s="132">
        <v>1.1698826830345E-3</v>
      </c>
      <c r="C6908" s="133"/>
    </row>
    <row r="6909" spans="1:3">
      <c r="A6909" s="131" t="s">
        <v>2377</v>
      </c>
      <c r="B6909" s="132">
        <v>8.7755933695500707E-2</v>
      </c>
      <c r="C6909" s="133"/>
    </row>
    <row r="6910" spans="1:3">
      <c r="A6910" s="131" t="s">
        <v>2378</v>
      </c>
      <c r="B6910" s="132">
        <v>5.1973524876300001E-5</v>
      </c>
      <c r="C6910" s="133"/>
    </row>
    <row r="6911" spans="1:3">
      <c r="A6911" s="131" t="s">
        <v>2379</v>
      </c>
      <c r="B6911" s="132">
        <v>1.6411014606049799E-2</v>
      </c>
      <c r="C6911" s="133"/>
    </row>
    <row r="6912" spans="1:3">
      <c r="A6912" s="131" t="s">
        <v>2380</v>
      </c>
      <c r="B6912" s="132">
        <v>7.0206386097386997E-3</v>
      </c>
      <c r="C6912" s="133"/>
    </row>
    <row r="6913" spans="1:3">
      <c r="A6913" s="131" t="s">
        <v>2381</v>
      </c>
      <c r="B6913" s="132">
        <v>2.0424922504355325E-3</v>
      </c>
      <c r="C6913" s="133"/>
    </row>
    <row r="6914" spans="1:3">
      <c r="A6914" s="131" t="s">
        <v>2382</v>
      </c>
      <c r="B6914" s="132">
        <v>1.7993512213788001E-3</v>
      </c>
      <c r="C6914" s="133"/>
    </row>
    <row r="6915" spans="1:3">
      <c r="A6915" s="131" t="s">
        <v>2383</v>
      </c>
      <c r="B6915" s="132">
        <v>2.145169468507E-4</v>
      </c>
      <c r="C6915" s="133"/>
    </row>
    <row r="6916" spans="1:3">
      <c r="A6916" s="131" t="s">
        <v>2384</v>
      </c>
      <c r="B6916" s="132">
        <v>1.8456987425494E-3</v>
      </c>
      <c r="C6916" s="133"/>
    </row>
    <row r="6917" spans="1:3">
      <c r="A6917" s="131" t="s">
        <v>2385</v>
      </c>
      <c r="B6917" s="132">
        <v>1.96016229983903E-2</v>
      </c>
      <c r="C6917" s="133"/>
    </row>
    <row r="6918" spans="1:3">
      <c r="A6918" s="131" t="s">
        <v>2386</v>
      </c>
      <c r="B6918" s="132">
        <v>8.0148270582638004E-3</v>
      </c>
      <c r="C6918" s="133"/>
    </row>
    <row r="6919" spans="1:3">
      <c r="A6919" s="131" t="s">
        <v>2387</v>
      </c>
      <c r="B6919" s="132">
        <v>3.8078140750257001E-3</v>
      </c>
      <c r="C6919" s="133"/>
    </row>
    <row r="6920" spans="1:3">
      <c r="A6920" s="131" t="s">
        <v>2388</v>
      </c>
      <c r="B6920" s="132">
        <v>8.2055073030199997E-5</v>
      </c>
      <c r="C6920" s="133"/>
    </row>
    <row r="6921" spans="1:3">
      <c r="A6921" s="131" t="s">
        <v>2389</v>
      </c>
      <c r="B6921" s="132">
        <v>650.94164266730206</v>
      </c>
      <c r="C6921" s="133"/>
    </row>
    <row r="6922" spans="1:3">
      <c r="A6922" s="131" t="s">
        <v>2390</v>
      </c>
      <c r="B6922" s="132">
        <v>6.3577779707581997E-3</v>
      </c>
      <c r="C6922" s="133"/>
    </row>
    <row r="6923" spans="1:3">
      <c r="A6923" s="131" t="s">
        <v>2391</v>
      </c>
      <c r="B6923" s="132">
        <v>1.1235462627908999E-3</v>
      </c>
      <c r="C6923" s="133"/>
    </row>
    <row r="6924" spans="1:3">
      <c r="A6924" s="131" t="s">
        <v>2392</v>
      </c>
      <c r="B6924" s="132">
        <v>2.4641008583899999E-4</v>
      </c>
      <c r="C6924" s="133"/>
    </row>
    <row r="6925" spans="1:3">
      <c r="A6925" s="131" t="s">
        <v>2393</v>
      </c>
      <c r="B6925" s="132">
        <v>1.068320298384E-4</v>
      </c>
      <c r="C6925" s="133"/>
    </row>
    <row r="6926" spans="1:3">
      <c r="A6926" s="131" t="s">
        <v>2394</v>
      </c>
      <c r="B6926" s="132">
        <v>4.3648222463999999E-4</v>
      </c>
      <c r="C6926" s="133"/>
    </row>
    <row r="6927" spans="1:3">
      <c r="A6927" s="131" t="s">
        <v>2395</v>
      </c>
      <c r="B6927" s="132">
        <v>5.9416308226899997E-4</v>
      </c>
      <c r="C6927" s="133"/>
    </row>
    <row r="6928" spans="1:3">
      <c r="A6928" s="131" t="s">
        <v>2396</v>
      </c>
      <c r="B6928" s="132">
        <v>2.541573357197E-4</v>
      </c>
      <c r="C6928" s="133"/>
    </row>
    <row r="6929" spans="1:3">
      <c r="A6929" s="131" t="s">
        <v>2397</v>
      </c>
      <c r="B6929" s="132">
        <v>2.9637809876699999E-5</v>
      </c>
      <c r="C6929" s="133"/>
    </row>
    <row r="6930" spans="1:3">
      <c r="A6930" s="131" t="s">
        <v>2398</v>
      </c>
      <c r="B6930" s="132">
        <v>5.3446538090999997E-5</v>
      </c>
      <c r="C6930" s="133"/>
    </row>
    <row r="6931" spans="1:3">
      <c r="A6931" s="131" t="s">
        <v>2399</v>
      </c>
      <c r="B6931" s="132">
        <v>7.5827676856049997E-4</v>
      </c>
      <c r="C6931" s="133"/>
    </row>
    <row r="6932" spans="1:3">
      <c r="A6932" s="131" t="s">
        <v>2400</v>
      </c>
      <c r="B6932" s="132">
        <v>8.5546189453589996E-4</v>
      </c>
      <c r="C6932" s="133"/>
    </row>
    <row r="6933" spans="1:3">
      <c r="A6933" s="131" t="s">
        <v>2401</v>
      </c>
      <c r="B6933" s="132">
        <v>2.52811725288732E-2</v>
      </c>
      <c r="C6933" s="133"/>
    </row>
    <row r="6934" spans="1:3">
      <c r="A6934" s="131" t="s">
        <v>2402</v>
      </c>
      <c r="B6934" s="132">
        <v>1.5876873149679E-4</v>
      </c>
      <c r="C6934" s="133"/>
    </row>
    <row r="6935" spans="1:3">
      <c r="A6935" s="131" t="s">
        <v>2403</v>
      </c>
      <c r="B6935" s="132">
        <v>9.4787551770949999E-4</v>
      </c>
      <c r="C6935" s="133"/>
    </row>
    <row r="6936" spans="1:3">
      <c r="A6936" s="131" t="s">
        <v>5358</v>
      </c>
      <c r="B6936" s="132">
        <v>1.6548688357730999E-3</v>
      </c>
      <c r="C6936" s="133"/>
    </row>
    <row r="6937" spans="1:3">
      <c r="A6937" s="131" t="s">
        <v>5359</v>
      </c>
      <c r="B6937" s="132">
        <v>3.3018400311851748</v>
      </c>
      <c r="C6937" s="133"/>
    </row>
    <row r="6938" spans="1:3">
      <c r="A6938" s="131" t="s">
        <v>5360</v>
      </c>
      <c r="B6938" s="132">
        <v>8.3999999999999995E-3</v>
      </c>
      <c r="C6938" s="133"/>
    </row>
    <row r="6939" spans="1:3">
      <c r="A6939" s="131" t="s">
        <v>5361</v>
      </c>
      <c r="B6939" s="132">
        <v>1.9989319915080701E-2</v>
      </c>
      <c r="C6939" s="133"/>
    </row>
    <row r="6940" spans="1:3">
      <c r="A6940" s="131" t="s">
        <v>5362</v>
      </c>
      <c r="B6940" s="132">
        <v>5.3046562738919998E-4</v>
      </c>
      <c r="C6940" s="133"/>
    </row>
    <row r="6941" spans="1:3">
      <c r="A6941" s="131" t="s">
        <v>5363</v>
      </c>
      <c r="B6941" s="132">
        <v>8.2055073030199997E-5</v>
      </c>
      <c r="C6941" s="133"/>
    </row>
    <row r="6942" spans="1:3">
      <c r="A6942" s="131" t="s">
        <v>5364</v>
      </c>
      <c r="B6942" s="132">
        <v>4.1380183944743902E-2</v>
      </c>
      <c r="C6942" s="133"/>
    </row>
    <row r="6943" spans="1:3">
      <c r="A6943" s="131" t="s">
        <v>5365</v>
      </c>
      <c r="B6943" s="132">
        <v>1.3443356549375E-3</v>
      </c>
      <c r="C6943" s="133"/>
    </row>
    <row r="6944" spans="1:3">
      <c r="A6944" s="131" t="s">
        <v>5366</v>
      </c>
      <c r="B6944" s="132">
        <v>8.2958883599399744</v>
      </c>
      <c r="C6944" s="133"/>
    </row>
    <row r="6945" spans="1:3">
      <c r="A6945" s="131" t="s">
        <v>5367</v>
      </c>
      <c r="B6945" s="132">
        <v>8.2055073030199997E-5</v>
      </c>
      <c r="C6945" s="133"/>
    </row>
    <row r="6946" spans="1:3">
      <c r="A6946" s="131" t="s">
        <v>5368</v>
      </c>
      <c r="B6946" s="132">
        <v>0.3045502391663461</v>
      </c>
      <c r="C6946" s="133"/>
    </row>
    <row r="6947" spans="1:3">
      <c r="A6947" s="131" t="s">
        <v>5369</v>
      </c>
      <c r="B6947" s="132">
        <v>4.1027536515124502E-2</v>
      </c>
      <c r="C6947" s="133"/>
    </row>
    <row r="6948" spans="1:3">
      <c r="A6948" s="131" t="s">
        <v>5370</v>
      </c>
      <c r="B6948" s="132">
        <v>3.6720243839002097E-2</v>
      </c>
      <c r="C6948" s="133"/>
    </row>
    <row r="6949" spans="1:3">
      <c r="A6949" s="131" t="s">
        <v>5371</v>
      </c>
      <c r="B6949" s="132">
        <v>9.3685864791320003E-4</v>
      </c>
      <c r="C6949" s="133"/>
    </row>
    <row r="6950" spans="1:3">
      <c r="A6950" s="131" t="s">
        <v>5372</v>
      </c>
      <c r="B6950" s="132">
        <v>2.3911751432529899E-2</v>
      </c>
      <c r="C6950" s="133"/>
    </row>
    <row r="6951" spans="1:3">
      <c r="A6951" s="131" t="s">
        <v>5373</v>
      </c>
      <c r="B6951" s="132">
        <v>3.8038905677400003E-5</v>
      </c>
      <c r="C6951" s="133"/>
    </row>
    <row r="6952" spans="1:3">
      <c r="A6952" s="131" t="s">
        <v>5374</v>
      </c>
      <c r="B6952" s="132">
        <v>2.4838100403680002E-4</v>
      </c>
      <c r="C6952" s="133"/>
    </row>
    <row r="6953" spans="1:3">
      <c r="A6953" s="131" t="s">
        <v>5375</v>
      </c>
      <c r="B6953" s="132">
        <v>1.9634564465545699E-2</v>
      </c>
      <c r="C6953" s="133"/>
    </row>
    <row r="6954" spans="1:3">
      <c r="A6954" s="131" t="s">
        <v>5376</v>
      </c>
      <c r="B6954" s="132">
        <v>8.0302829917299994E-5</v>
      </c>
      <c r="C6954" s="133"/>
    </row>
    <row r="6955" spans="1:3">
      <c r="A6955" s="131" t="s">
        <v>5377</v>
      </c>
      <c r="B6955" s="132">
        <v>6.9165201968599999E-5</v>
      </c>
      <c r="C6955" s="133"/>
    </row>
    <row r="6956" spans="1:3">
      <c r="A6956" s="131" t="s">
        <v>5378</v>
      </c>
      <c r="B6956" s="132">
        <v>8.4487192059999997E-7</v>
      </c>
      <c r="C6956" s="133"/>
    </row>
    <row r="6957" spans="1:3">
      <c r="A6957" s="131" t="s">
        <v>5379</v>
      </c>
      <c r="B6957" s="132">
        <v>0.99727140645703882</v>
      </c>
      <c r="C6957" s="133"/>
    </row>
    <row r="6958" spans="1:3">
      <c r="A6958" s="131" t="s">
        <v>5380</v>
      </c>
      <c r="B6958" s="132">
        <v>1.3755448466651299E-2</v>
      </c>
      <c r="C6958" s="133"/>
    </row>
    <row r="6959" spans="1:3">
      <c r="A6959" s="131" t="s">
        <v>5381</v>
      </c>
      <c r="B6959" s="132">
        <v>1.9406799867700001E-5</v>
      </c>
      <c r="C6959" s="133"/>
    </row>
    <row r="6960" spans="1:3">
      <c r="A6960" s="131" t="s">
        <v>5382</v>
      </c>
      <c r="B6960" s="132">
        <v>9.5063124148151001E-3</v>
      </c>
      <c r="C6960" s="133"/>
    </row>
    <row r="6961" spans="1:3">
      <c r="A6961" s="131" t="s">
        <v>5383</v>
      </c>
      <c r="B6961" s="132">
        <v>1.8231288171908E-4</v>
      </c>
      <c r="C6961" s="133"/>
    </row>
    <row r="6962" spans="1:3">
      <c r="A6962" s="131" t="s">
        <v>5384</v>
      </c>
      <c r="B6962" s="132">
        <v>6.1072321248154E-3</v>
      </c>
      <c r="C6962" s="133"/>
    </row>
    <row r="6963" spans="1:3">
      <c r="A6963" s="131" t="s">
        <v>5385</v>
      </c>
      <c r="B6963" s="132">
        <v>6.2368229851539998E-4</v>
      </c>
      <c r="C6963" s="133"/>
    </row>
    <row r="6964" spans="1:3">
      <c r="A6964" s="131" t="s">
        <v>5386</v>
      </c>
      <c r="B6964" s="132">
        <v>2.03027122537069E-2</v>
      </c>
      <c r="C6964" s="133"/>
    </row>
    <row r="6965" spans="1:3">
      <c r="A6965" s="131" t="s">
        <v>5387</v>
      </c>
      <c r="B6965" s="132">
        <v>0.2046353694068748</v>
      </c>
      <c r="C6965" s="133"/>
    </row>
    <row r="6966" spans="1:3">
      <c r="A6966" s="131" t="s">
        <v>5388</v>
      </c>
      <c r="B6966" s="132">
        <v>7.5863436926720004E-4</v>
      </c>
      <c r="C6966" s="133"/>
    </row>
    <row r="6967" spans="1:3">
      <c r="A6967" s="131" t="s">
        <v>5389</v>
      </c>
      <c r="B6967" s="132">
        <v>5.7041686654529002E-3</v>
      </c>
      <c r="C6967" s="133"/>
    </row>
    <row r="6968" spans="1:3">
      <c r="A6968" s="131" t="s">
        <v>5390</v>
      </c>
      <c r="B6968" s="132">
        <v>1.0660171885211501E-2</v>
      </c>
      <c r="C6968" s="133"/>
    </row>
    <row r="6969" spans="1:3">
      <c r="A6969" s="131" t="s">
        <v>5391</v>
      </c>
      <c r="B6969" s="132">
        <v>2.3687506539711999E-3</v>
      </c>
      <c r="C6969" s="133"/>
    </row>
    <row r="6970" spans="1:3">
      <c r="A6970" s="131" t="s">
        <v>5392</v>
      </c>
      <c r="B6970" s="132">
        <v>4.3406412179879004E-3</v>
      </c>
      <c r="C6970" s="133"/>
    </row>
    <row r="6971" spans="1:3">
      <c r="A6971" s="131" t="s">
        <v>5393</v>
      </c>
      <c r="B6971" s="132">
        <v>1.3091684641471999E-3</v>
      </c>
      <c r="C6971" s="133"/>
    </row>
    <row r="6972" spans="1:3">
      <c r="A6972" s="131" t="s">
        <v>5394</v>
      </c>
      <c r="B6972" s="132">
        <v>5.3132337734299998E-5</v>
      </c>
      <c r="C6972" s="133"/>
    </row>
    <row r="6973" spans="1:3">
      <c r="A6973" s="131" t="s">
        <v>5395</v>
      </c>
      <c r="B6973" s="132">
        <v>40.049999999999997</v>
      </c>
      <c r="C6973" s="133"/>
    </row>
    <row r="6974" spans="1:3">
      <c r="A6974" s="131" t="s">
        <v>5396</v>
      </c>
      <c r="B6974" s="132">
        <v>37.010030385421999</v>
      </c>
      <c r="C6974" s="133"/>
    </row>
    <row r="6975" spans="1:3">
      <c r="A6975" s="131" t="s">
        <v>5397</v>
      </c>
      <c r="B6975" s="132">
        <v>0.732792</v>
      </c>
      <c r="C6975" s="133"/>
    </row>
    <row r="6976" spans="1:3">
      <c r="A6976" s="131" t="s">
        <v>5398</v>
      </c>
      <c r="B6976" s="132">
        <v>0.12313051583126999</v>
      </c>
      <c r="C6976" s="133"/>
    </row>
    <row r="6977" spans="1:3">
      <c r="A6977" s="131" t="s">
        <v>5399</v>
      </c>
      <c r="B6977" s="132">
        <v>0.47324540999999998</v>
      </c>
      <c r="C6977" s="133"/>
    </row>
    <row r="6978" spans="1:3">
      <c r="A6978" s="131" t="s">
        <v>5400</v>
      </c>
      <c r="B6978" s="132">
        <v>6.1610253464612001E-4</v>
      </c>
      <c r="C6978" s="133"/>
    </row>
    <row r="6979" spans="1:3">
      <c r="A6979" s="131" t="s">
        <v>5401</v>
      </c>
      <c r="B6979" s="132">
        <v>2.5642073366611E-4</v>
      </c>
      <c r="C6979" s="133"/>
    </row>
    <row r="6980" spans="1:3">
      <c r="A6980" s="131" t="s">
        <v>5402</v>
      </c>
      <c r="B6980" s="132">
        <v>1.0280000000000001E-4</v>
      </c>
      <c r="C6980" s="133"/>
    </row>
    <row r="6981" spans="1:3">
      <c r="A6981" s="131" t="s">
        <v>5403</v>
      </c>
      <c r="B6981" s="132">
        <v>3.061E-5</v>
      </c>
      <c r="C6981" s="133"/>
    </row>
    <row r="6982" spans="1:3">
      <c r="A6982" s="131" t="s">
        <v>5404</v>
      </c>
      <c r="B6982" s="132">
        <v>5.5421283978879E-6</v>
      </c>
      <c r="C6982" s="133"/>
    </row>
    <row r="6983" spans="1:3">
      <c r="A6983" s="131" t="s">
        <v>5405</v>
      </c>
      <c r="B6983" s="132">
        <v>4.1233847588307997E-6</v>
      </c>
      <c r="C6983" s="133"/>
    </row>
    <row r="6984" spans="1:3">
      <c r="A6984" s="131" t="s">
        <v>5406</v>
      </c>
      <c r="B6984" s="132">
        <v>6.1610253464612001E-4</v>
      </c>
      <c r="C6984" s="133"/>
    </row>
    <row r="6985" spans="1:3">
      <c r="A6985" s="131" t="s">
        <v>5407</v>
      </c>
      <c r="B6985" s="132">
        <v>7.1189299999999999E-3</v>
      </c>
      <c r="C6985" s="133"/>
    </row>
    <row r="6986" spans="1:3">
      <c r="A6986" s="131" t="s">
        <v>5408</v>
      </c>
      <c r="B6986" s="132">
        <v>4.4692610000000001E-2</v>
      </c>
      <c r="C6986" s="133"/>
    </row>
    <row r="6987" spans="1:3">
      <c r="A6987" s="131" t="s">
        <v>5409</v>
      </c>
      <c r="B6987" s="132">
        <v>0.17255476</v>
      </c>
      <c r="C6987" s="133"/>
    </row>
    <row r="6988" spans="1:3">
      <c r="A6988" s="131" t="s">
        <v>5410</v>
      </c>
      <c r="B6988" s="132">
        <v>0.33052014416414</v>
      </c>
      <c r="C6988" s="133"/>
    </row>
    <row r="6989" spans="1:3">
      <c r="A6989" s="131" t="s">
        <v>5411</v>
      </c>
      <c r="B6989" s="132">
        <v>3.9282327867286998E-3</v>
      </c>
      <c r="C6989" s="133"/>
    </row>
    <row r="6990" spans="1:3">
      <c r="A6990" s="131" t="s">
        <v>5412</v>
      </c>
      <c r="B6990" s="132">
        <v>9.2775679999999999E-2</v>
      </c>
      <c r="C6990" s="133"/>
    </row>
    <row r="6991" spans="1:3">
      <c r="A6991" s="131" t="s">
        <v>5413</v>
      </c>
      <c r="B6991" s="132">
        <v>1.1333825447065E-3</v>
      </c>
      <c r="C6991" s="133"/>
    </row>
    <row r="6992" spans="1:3">
      <c r="A6992" s="131" t="s">
        <v>5414</v>
      </c>
      <c r="B6992" s="132">
        <v>2.001E-5</v>
      </c>
      <c r="C6992" s="133"/>
    </row>
    <row r="6993" spans="1:3">
      <c r="A6993" s="131" t="s">
        <v>5415</v>
      </c>
      <c r="B6993" s="132">
        <v>5.6593160000000003E-2</v>
      </c>
      <c r="C6993" s="133"/>
    </row>
    <row r="6994" spans="1:3">
      <c r="A6994" s="131" t="s">
        <v>5416</v>
      </c>
      <c r="B6994" s="132">
        <v>2.3194000000000001E-4</v>
      </c>
      <c r="C6994" s="133"/>
    </row>
    <row r="6995" spans="1:3">
      <c r="A6995" s="131" t="s">
        <v>5417</v>
      </c>
      <c r="B6995" s="132">
        <v>2.1621260217305E-4</v>
      </c>
      <c r="C6995" s="133"/>
    </row>
    <row r="6996" spans="1:3">
      <c r="A6996" s="131" t="s">
        <v>5418</v>
      </c>
      <c r="B6996" s="132">
        <v>9.8610000000000006E-5</v>
      </c>
      <c r="C6996" s="133"/>
    </row>
    <row r="6997" spans="1:3">
      <c r="A6997" s="131" t="s">
        <v>5419</v>
      </c>
      <c r="B6997" s="132">
        <v>1.5131652842612E-3</v>
      </c>
      <c r="C6997" s="133"/>
    </row>
    <row r="6998" spans="1:3">
      <c r="A6998" s="131" t="s">
        <v>5420</v>
      </c>
      <c r="B6998" s="132">
        <v>1.012E-5</v>
      </c>
      <c r="C6998" s="133"/>
    </row>
    <row r="6999" spans="1:3">
      <c r="A6999" s="131" t="s">
        <v>5421</v>
      </c>
      <c r="B6999" s="132">
        <v>2.4489099999999999E-3</v>
      </c>
      <c r="C6999" s="133"/>
    </row>
    <row r="7000" spans="1:3">
      <c r="A7000" s="131" t="s">
        <v>5422</v>
      </c>
      <c r="B7000" s="132">
        <v>1.9597409999999999E-2</v>
      </c>
      <c r="C7000" s="133"/>
    </row>
    <row r="7001" spans="1:3">
      <c r="A7001" s="131" t="s">
        <v>5423</v>
      </c>
      <c r="B7001" s="132">
        <v>6.1610253464612001E-7</v>
      </c>
      <c r="C7001" s="133"/>
    </row>
    <row r="7002" spans="1:3">
      <c r="A7002" s="131" t="s">
        <v>5424</v>
      </c>
      <c r="B7002" s="132">
        <v>2.3194000000000001E-4</v>
      </c>
      <c r="C7002" s="133"/>
    </row>
    <row r="7003" spans="1:3">
      <c r="A7003" s="131" t="s">
        <v>5425</v>
      </c>
      <c r="B7003" s="132">
        <v>1.2563E-4</v>
      </c>
      <c r="C7003" s="133"/>
    </row>
    <row r="7004" spans="1:3">
      <c r="A7004" s="131" t="s">
        <v>5426</v>
      </c>
      <c r="B7004" s="132">
        <v>1.2210273566869001E-6</v>
      </c>
      <c r="C7004" s="133"/>
    </row>
    <row r="7005" spans="1:3">
      <c r="A7005" s="131" t="s">
        <v>5427</v>
      </c>
      <c r="B7005" s="132">
        <v>1.3511860000000001E-2</v>
      </c>
      <c r="C7005" s="133"/>
    </row>
    <row r="7006" spans="1:3">
      <c r="A7006" s="131" t="s">
        <v>5428</v>
      </c>
      <c r="B7006" s="132">
        <v>6.1038802757947E-2</v>
      </c>
      <c r="C7006" s="133"/>
    </row>
    <row r="7007" spans="1:3">
      <c r="A7007" s="131" t="s">
        <v>5429</v>
      </c>
      <c r="B7007" s="132">
        <v>0.10715876971322</v>
      </c>
      <c r="C7007" s="133"/>
    </row>
    <row r="7008" spans="1:3">
      <c r="A7008" s="131" t="s">
        <v>5430</v>
      </c>
      <c r="B7008" s="132">
        <v>1.9638585284344998E-6</v>
      </c>
      <c r="C7008" s="133"/>
    </row>
    <row r="7009" spans="1:3">
      <c r="A7009" s="131" t="s">
        <v>5431</v>
      </c>
      <c r="B7009" s="132">
        <v>1.3684409999999999E-2</v>
      </c>
      <c r="C7009" s="133"/>
    </row>
    <row r="7010" spans="1:3">
      <c r="A7010" s="131" t="s">
        <v>5432</v>
      </c>
      <c r="B7010" s="132">
        <v>7.1691999999999997E-3</v>
      </c>
      <c r="C7010" s="133"/>
    </row>
    <row r="7011" spans="1:3">
      <c r="A7011" s="131" t="s">
        <v>5433</v>
      </c>
      <c r="B7011" s="132">
        <v>1.4578300000000001E-2</v>
      </c>
      <c r="C7011" s="133"/>
    </row>
    <row r="7012" spans="1:3">
      <c r="A7012" s="131" t="s">
        <v>5434</v>
      </c>
      <c r="B7012" s="132">
        <v>2.3459999999999999E-5</v>
      </c>
      <c r="C7012" s="133"/>
    </row>
    <row r="7013" spans="1:3">
      <c r="A7013" s="131" t="s">
        <v>5435</v>
      </c>
      <c r="B7013" s="132">
        <v>6.7261999999999997E-4</v>
      </c>
      <c r="C7013" s="133"/>
    </row>
    <row r="7014" spans="1:3">
      <c r="A7014" s="131" t="s">
        <v>5436</v>
      </c>
      <c r="B7014" s="132">
        <v>1.3816938538835999E-2</v>
      </c>
      <c r="C7014" s="133"/>
    </row>
    <row r="7015" spans="1:3">
      <c r="A7015" s="131" t="s">
        <v>5437</v>
      </c>
      <c r="B7015" s="132">
        <v>4.0803965122996998E-4</v>
      </c>
      <c r="C7015" s="133"/>
    </row>
    <row r="7016" spans="1:3">
      <c r="A7016" s="131" t="s">
        <v>5438</v>
      </c>
      <c r="B7016" s="132">
        <v>1.1680861796999999</v>
      </c>
      <c r="C7016" s="133"/>
    </row>
    <row r="7017" spans="1:3">
      <c r="A7017" s="131" t="s">
        <v>5439</v>
      </c>
      <c r="B7017" s="132">
        <v>46.62</v>
      </c>
      <c r="C7017" s="133"/>
    </row>
    <row r="7018" spans="1:3">
      <c r="A7018" s="131" t="s">
        <v>5440</v>
      </c>
      <c r="B7018" s="132">
        <v>159.9</v>
      </c>
      <c r="C7018" s="133"/>
    </row>
    <row r="7019" spans="1:3">
      <c r="A7019" s="131" t="s">
        <v>5441</v>
      </c>
      <c r="B7019" s="132">
        <v>114.6</v>
      </c>
      <c r="C7019" s="133"/>
    </row>
    <row r="7020" spans="1:3">
      <c r="A7020" s="131" t="s">
        <v>5442</v>
      </c>
      <c r="B7020" s="132">
        <v>38.67</v>
      </c>
      <c r="C7020" s="133"/>
    </row>
    <row r="7021" spans="1:3">
      <c r="A7021" s="131" t="s">
        <v>5443</v>
      </c>
      <c r="B7021" s="132">
        <v>27.1</v>
      </c>
      <c r="C7021" s="133"/>
    </row>
    <row r="7022" spans="1:3">
      <c r="A7022" s="131" t="s">
        <v>5444</v>
      </c>
      <c r="B7022" s="132">
        <v>298.58999999999997</v>
      </c>
      <c r="C7022" s="133"/>
    </row>
    <row r="7023" spans="1:3">
      <c r="A7023" s="131" t="s">
        <v>5445</v>
      </c>
      <c r="B7023" s="132">
        <v>101.95352544872</v>
      </c>
      <c r="C7023" s="133"/>
    </row>
    <row r="7024" spans="1:3">
      <c r="A7024" s="131" t="s">
        <v>5446</v>
      </c>
      <c r="B7024" s="132">
        <v>69.47</v>
      </c>
      <c r="C7024" s="133"/>
    </row>
    <row r="7025" spans="1:3">
      <c r="A7025" s="131" t="s">
        <v>5447</v>
      </c>
      <c r="B7025" s="132">
        <v>149.38</v>
      </c>
      <c r="C7025" s="133"/>
    </row>
    <row r="7026" spans="1:3">
      <c r="A7026" s="131" t="s">
        <v>5448</v>
      </c>
      <c r="B7026" s="132">
        <v>124.87</v>
      </c>
      <c r="C7026" s="133"/>
    </row>
    <row r="7027" spans="1:3">
      <c r="A7027" s="131" t="s">
        <v>5449</v>
      </c>
      <c r="B7027" s="132">
        <v>193.84</v>
      </c>
      <c r="C7027" s="133"/>
    </row>
    <row r="7028" spans="1:3">
      <c r="A7028" s="131" t="s">
        <v>5450</v>
      </c>
      <c r="B7028" s="132">
        <v>1526.32</v>
      </c>
      <c r="C7028" s="133"/>
    </row>
    <row r="7029" spans="1:3">
      <c r="A7029" s="131" t="s">
        <v>5451</v>
      </c>
      <c r="B7029" s="132">
        <v>149.07</v>
      </c>
      <c r="C7029" s="133"/>
    </row>
    <row r="7030" spans="1:3">
      <c r="A7030" s="131" t="s">
        <v>5452</v>
      </c>
      <c r="B7030" s="132">
        <v>108.34</v>
      </c>
      <c r="C7030" s="133"/>
    </row>
    <row r="7031" spans="1:3">
      <c r="A7031" s="131" t="s">
        <v>5453</v>
      </c>
      <c r="B7031" s="132">
        <v>225.21</v>
      </c>
      <c r="C7031" s="133"/>
    </row>
    <row r="7032" spans="1:3">
      <c r="A7032" s="131" t="s">
        <v>5454</v>
      </c>
      <c r="B7032" s="132">
        <v>53.834705663435997</v>
      </c>
      <c r="C7032" s="133"/>
    </row>
    <row r="7033" spans="1:3">
      <c r="A7033" s="131" t="s">
        <v>5455</v>
      </c>
      <c r="B7033" s="132">
        <v>169.05</v>
      </c>
      <c r="C7033" s="133"/>
    </row>
    <row r="7034" spans="1:3">
      <c r="A7034" s="131" t="s">
        <v>5456</v>
      </c>
      <c r="B7034" s="132">
        <v>103.64943594843</v>
      </c>
      <c r="C7034" s="133"/>
    </row>
    <row r="7035" spans="1:3">
      <c r="A7035" s="131" t="s">
        <v>5457</v>
      </c>
      <c r="B7035" s="132">
        <v>63.21</v>
      </c>
      <c r="C7035" s="133"/>
    </row>
    <row r="7036" spans="1:3">
      <c r="A7036" s="131" t="s">
        <v>5458</v>
      </c>
      <c r="B7036" s="132">
        <v>70.37</v>
      </c>
      <c r="C7036" s="133"/>
    </row>
    <row r="7037" spans="1:3">
      <c r="A7037" s="131" t="s">
        <v>5459</v>
      </c>
      <c r="B7037" s="132">
        <v>531.11</v>
      </c>
      <c r="C7037" s="133"/>
    </row>
    <row r="7038" spans="1:3">
      <c r="A7038" s="131" t="s">
        <v>5460</v>
      </c>
      <c r="B7038" s="132">
        <v>5.63</v>
      </c>
      <c r="C7038" s="133"/>
    </row>
    <row r="7039" spans="1:3">
      <c r="A7039" s="131" t="s">
        <v>5461</v>
      </c>
      <c r="B7039" s="132">
        <v>95.76</v>
      </c>
      <c r="C7039" s="133"/>
    </row>
    <row r="7040" spans="1:3">
      <c r="A7040" s="131" t="s">
        <v>5462</v>
      </c>
      <c r="B7040" s="132">
        <v>375.68</v>
      </c>
      <c r="C7040" s="133"/>
    </row>
    <row r="7041" spans="1:3">
      <c r="A7041" s="131" t="s">
        <v>5463</v>
      </c>
      <c r="B7041" s="132">
        <v>2.3604999999999999E-4</v>
      </c>
      <c r="C7041" s="133"/>
    </row>
    <row r="7042" spans="1:3">
      <c r="A7042" s="131" t="s">
        <v>5464</v>
      </c>
      <c r="B7042" s="132">
        <v>9.1749656294761006E-2</v>
      </c>
      <c r="C7042" s="133"/>
    </row>
    <row r="7043" spans="1:3">
      <c r="A7043" s="131" t="s">
        <v>5465</v>
      </c>
      <c r="B7043" s="132">
        <v>11.263292732846001</v>
      </c>
      <c r="C7043" s="133"/>
    </row>
    <row r="7044" spans="1:3">
      <c r="A7044" s="131" t="s">
        <v>5466</v>
      </c>
      <c r="B7044" s="132">
        <v>2.1015999999999999E-3</v>
      </c>
      <c r="C7044" s="133"/>
    </row>
    <row r="7045" spans="1:3">
      <c r="A7045" s="131" t="s">
        <v>5467</v>
      </c>
      <c r="B7045" s="132">
        <v>9.1542436303214004E-3</v>
      </c>
      <c r="C7045" s="133"/>
    </row>
    <row r="7046" spans="1:3">
      <c r="A7046" s="131" t="s">
        <v>5468</v>
      </c>
      <c r="B7046" s="132">
        <v>232.85</v>
      </c>
      <c r="C7046" s="133"/>
    </row>
    <row r="7047" spans="1:3">
      <c r="A7047" s="131" t="s">
        <v>5469</v>
      </c>
      <c r="B7047" s="132">
        <v>8.8760626114258306E-2</v>
      </c>
      <c r="C7047" s="133"/>
    </row>
    <row r="7048" spans="1:3">
      <c r="A7048" s="131" t="s">
        <v>5470</v>
      </c>
      <c r="B7048" s="132">
        <v>2.3693930036554622E-3</v>
      </c>
      <c r="C7048" s="133"/>
    </row>
    <row r="7049" spans="1:3">
      <c r="A7049" s="131" t="s">
        <v>5471</v>
      </c>
      <c r="B7049" s="132">
        <v>2398.0190805314</v>
      </c>
      <c r="C7049" s="133"/>
    </row>
    <row r="7050" spans="1:3">
      <c r="A7050" s="131" t="s">
        <v>5472</v>
      </c>
      <c r="B7050" s="132">
        <v>9.8689750137000002E-4</v>
      </c>
      <c r="C7050" s="133"/>
    </row>
    <row r="7051" spans="1:3">
      <c r="A7051" s="131" t="s">
        <v>5473</v>
      </c>
      <c r="B7051" s="132">
        <v>1.2401588110224999E-3</v>
      </c>
      <c r="C7051" s="133"/>
    </row>
    <row r="7052" spans="1:3">
      <c r="A7052" s="131" t="s">
        <v>5474</v>
      </c>
      <c r="B7052" s="132">
        <v>2.6925305312451E-4</v>
      </c>
      <c r="C7052" s="133"/>
    </row>
    <row r="7053" spans="1:3">
      <c r="A7053" s="131" t="s">
        <v>5475</v>
      </c>
      <c r="B7053" s="132">
        <v>2.9022166797331998E-3</v>
      </c>
      <c r="C7053" s="133"/>
    </row>
    <row r="7054" spans="1:3">
      <c r="A7054" s="131" t="s">
        <v>5476</v>
      </c>
      <c r="B7054" s="132">
        <v>3.1671842136191E-4</v>
      </c>
      <c r="C7054" s="133"/>
    </row>
    <row r="7055" spans="1:3">
      <c r="A7055" s="131" t="s">
        <v>5477</v>
      </c>
      <c r="B7055" s="132">
        <v>6.1610253464611998E-5</v>
      </c>
      <c r="C7055" s="133"/>
    </row>
    <row r="7056" spans="1:3">
      <c r="A7056" s="131" t="s">
        <v>5478</v>
      </c>
      <c r="B7056" s="132">
        <v>9.4232900000000008E-3</v>
      </c>
      <c r="C7056" s="133"/>
    </row>
    <row r="7057" spans="1:3">
      <c r="A7057" s="131" t="s">
        <v>5479</v>
      </c>
      <c r="B7057" s="132">
        <v>2.7389799999999998E-3</v>
      </c>
      <c r="C7057" s="133"/>
    </row>
    <row r="7058" spans="1:3">
      <c r="A7058" s="131" t="s">
        <v>5480</v>
      </c>
      <c r="B7058" s="132">
        <v>1.1351147461418999E-4</v>
      </c>
      <c r="C7058" s="133"/>
    </row>
    <row r="7059" spans="1:3">
      <c r="A7059" s="131" t="s">
        <v>5481</v>
      </c>
      <c r="B7059" s="132">
        <v>7.6856879538507996E-3</v>
      </c>
      <c r="C7059" s="133"/>
    </row>
    <row r="7060" spans="1:3">
      <c r="A7060" s="131" t="s">
        <v>5482</v>
      </c>
      <c r="B7060" s="132">
        <v>3.4038622194056001E-3</v>
      </c>
      <c r="C7060" s="133"/>
    </row>
    <row r="7061" spans="1:3">
      <c r="A7061" s="131" t="s">
        <v>5483</v>
      </c>
      <c r="B7061" s="132">
        <v>1.216E-5</v>
      </c>
      <c r="C7061" s="133"/>
    </row>
    <row r="7062" spans="1:3">
      <c r="A7062" s="131" t="s">
        <v>5484</v>
      </c>
      <c r="B7062" s="132">
        <v>7.1421603943220002E-3</v>
      </c>
      <c r="C7062" s="133"/>
    </row>
    <row r="7063" spans="1:3">
      <c r="A7063" s="131" t="s">
        <v>5485</v>
      </c>
      <c r="B7063" s="132">
        <v>1.4430498067631999E-5</v>
      </c>
      <c r="C7063" s="133"/>
    </row>
    <row r="7064" spans="1:3">
      <c r="A7064" s="131" t="s">
        <v>5486</v>
      </c>
      <c r="B7064" s="132">
        <v>6.3607200000000003E-3</v>
      </c>
      <c r="C7064" s="133"/>
    </row>
    <row r="7065" spans="1:3">
      <c r="A7065" s="131" t="s">
        <v>5487</v>
      </c>
      <c r="B7065" s="132">
        <v>3.0811287757652002</v>
      </c>
      <c r="C7065" s="133"/>
    </row>
    <row r="7066" spans="1:3">
      <c r="A7066" s="131" t="s">
        <v>5488</v>
      </c>
      <c r="B7066" s="132">
        <v>8.2824109036241001E-4</v>
      </c>
      <c r="C7066" s="133"/>
    </row>
    <row r="7067" spans="1:3">
      <c r="A7067" s="131" t="s">
        <v>5489</v>
      </c>
      <c r="B7067" s="132">
        <v>2.342E-4</v>
      </c>
      <c r="C7067" s="133"/>
    </row>
    <row r="7068" spans="1:3">
      <c r="A7068" s="131" t="s">
        <v>5490</v>
      </c>
      <c r="B7068" s="132">
        <v>5.9219000000000003E-4</v>
      </c>
      <c r="C7068" s="133"/>
    </row>
    <row r="7069" spans="1:3">
      <c r="A7069" s="131" t="s">
        <v>5491</v>
      </c>
      <c r="B7069" s="132">
        <v>0.3</v>
      </c>
      <c r="C7069" s="133"/>
    </row>
    <row r="7070" spans="1:3">
      <c r="A7070" s="131" t="s">
        <v>5492</v>
      </c>
      <c r="B7070" s="132">
        <v>1.605267945251212</v>
      </c>
      <c r="C7070" s="133"/>
    </row>
    <row r="7071" spans="1:3">
      <c r="A7071" s="131" t="s">
        <v>5493</v>
      </c>
      <c r="B7071" s="132">
        <v>1.2931632928405001E-4</v>
      </c>
      <c r="C7071" s="133"/>
    </row>
    <row r="7072" spans="1:3">
      <c r="A7072" s="131" t="s">
        <v>5494</v>
      </c>
      <c r="B7072" s="132">
        <v>2.0512292315250001E-2</v>
      </c>
      <c r="C7072" s="133"/>
    </row>
    <row r="7073" spans="1:3">
      <c r="A7073" s="131" t="s">
        <v>8496</v>
      </c>
      <c r="B7073" s="132">
        <v>7.0675000000000002E-4</v>
      </c>
      <c r="C7073" s="133"/>
    </row>
    <row r="7074" spans="1:3">
      <c r="A7074" s="131" t="s">
        <v>8497</v>
      </c>
      <c r="B7074" s="132">
        <v>8.8084730511664003E-2</v>
      </c>
      <c r="C7074" s="133"/>
    </row>
    <row r="7075" spans="1:3">
      <c r="A7075" s="131" t="s">
        <v>8498</v>
      </c>
      <c r="B7075" s="132">
        <v>4.1774632454995997</v>
      </c>
      <c r="C7075" s="133"/>
    </row>
    <row r="7076" spans="1:3">
      <c r="A7076" s="131" t="s">
        <v>8499</v>
      </c>
      <c r="B7076" s="132">
        <v>229.38</v>
      </c>
      <c r="C7076" s="133"/>
    </row>
    <row r="7077" spans="1:3">
      <c r="A7077" s="131" t="s">
        <v>8500</v>
      </c>
      <c r="B7077" s="132">
        <v>24.43</v>
      </c>
      <c r="C7077" s="133"/>
    </row>
    <row r="7078" spans="1:3">
      <c r="A7078" s="131" t="s">
        <v>8501</v>
      </c>
      <c r="B7078" s="132">
        <v>70.099999999999994</v>
      </c>
      <c r="C7078" s="133"/>
    </row>
    <row r="7079" spans="1:3">
      <c r="A7079" s="131" t="s">
        <v>8502</v>
      </c>
      <c r="B7079" s="132">
        <v>180.26</v>
      </c>
      <c r="C7079" s="133"/>
    </row>
    <row r="7080" spans="1:3">
      <c r="A7080" s="131" t="s">
        <v>8503</v>
      </c>
      <c r="B7080" s="132">
        <v>18.39</v>
      </c>
      <c r="C7080" s="133"/>
    </row>
    <row r="7081" spans="1:3">
      <c r="A7081" s="131" t="s">
        <v>8504</v>
      </c>
      <c r="B7081" s="132">
        <v>21.61</v>
      </c>
      <c r="C7081" s="133"/>
    </row>
    <row r="7082" spans="1:3">
      <c r="A7082" s="131" t="s">
        <v>8505</v>
      </c>
      <c r="B7082" s="132">
        <v>54.29</v>
      </c>
      <c r="C7082" s="133"/>
    </row>
    <row r="7083" spans="1:3">
      <c r="A7083" s="131" t="s">
        <v>8506</v>
      </c>
      <c r="B7083" s="132">
        <v>102.56</v>
      </c>
      <c r="C7083" s="133"/>
    </row>
    <row r="7084" spans="1:3">
      <c r="A7084" s="131" t="s">
        <v>8507</v>
      </c>
      <c r="B7084" s="132">
        <v>172.64</v>
      </c>
      <c r="C7084" s="133"/>
    </row>
    <row r="7085" spans="1:3">
      <c r="A7085" s="131" t="s">
        <v>8508</v>
      </c>
      <c r="B7085" s="132">
        <v>27.69</v>
      </c>
      <c r="C7085" s="133"/>
    </row>
    <row r="7086" spans="1:3">
      <c r="A7086" s="131" t="s">
        <v>8509</v>
      </c>
      <c r="B7086" s="132">
        <v>23.52</v>
      </c>
      <c r="C7086" s="133"/>
    </row>
    <row r="7087" spans="1:3">
      <c r="A7087" s="131" t="s">
        <v>8510</v>
      </c>
      <c r="B7087" s="132">
        <v>0.37059157999999998</v>
      </c>
      <c r="C7087" s="133"/>
    </row>
    <row r="7088" spans="1:3">
      <c r="A7088" s="131" t="s">
        <v>8511</v>
      </c>
      <c r="B7088" s="132">
        <v>36.904056599999997</v>
      </c>
      <c r="C7088" s="133"/>
    </row>
    <row r="7089" spans="1:3">
      <c r="A7089" s="131" t="s">
        <v>8512</v>
      </c>
      <c r="B7089" s="132">
        <v>6.1610253464612001E-4</v>
      </c>
      <c r="C7089" s="133"/>
    </row>
    <row r="7090" spans="1:3">
      <c r="A7090" s="131" t="s">
        <v>8513</v>
      </c>
      <c r="B7090" s="132">
        <v>0.91776186062674436</v>
      </c>
      <c r="C7090" s="133"/>
    </row>
    <row r="7091" spans="1:3">
      <c r="A7091" s="131" t="s">
        <v>8514</v>
      </c>
      <c r="B7091" s="132">
        <v>1.1510253724477285E-2</v>
      </c>
      <c r="C7091" s="133"/>
    </row>
    <row r="7092" spans="1:3">
      <c r="A7092" s="131" t="s">
        <v>8515</v>
      </c>
      <c r="B7092" s="132">
        <v>1.3594108819961548</v>
      </c>
      <c r="C7092" s="133"/>
    </row>
    <row r="7093" spans="1:3">
      <c r="A7093" s="131" t="s">
        <v>8516</v>
      </c>
      <c r="B7093" s="132">
        <v>77.19</v>
      </c>
      <c r="C7093" s="133"/>
    </row>
    <row r="7094" spans="1:3">
      <c r="A7094" s="131" t="s">
        <v>8517</v>
      </c>
      <c r="B7094" s="132">
        <v>1.1182054281234741</v>
      </c>
      <c r="C7094" s="133"/>
    </row>
    <row r="7095" spans="1:3">
      <c r="A7095" s="131" t="s">
        <v>8518</v>
      </c>
      <c r="B7095" s="132">
        <v>0.38046290213444789</v>
      </c>
      <c r="C7095" s="133"/>
    </row>
    <row r="7096" spans="1:3">
      <c r="A7096" s="131" t="s">
        <v>8519</v>
      </c>
      <c r="B7096" s="132">
        <v>18.546252360297</v>
      </c>
      <c r="C7096" s="133"/>
    </row>
    <row r="7097" spans="1:3">
      <c r="A7097" s="131" t="s">
        <v>8520</v>
      </c>
      <c r="B7097" s="132">
        <v>5.0351603104660508E-3</v>
      </c>
      <c r="C7097" s="133"/>
    </row>
    <row r="7098" spans="1:3">
      <c r="A7098" s="131" t="s">
        <v>8521</v>
      </c>
      <c r="B7098" s="132">
        <v>0.20177132142630694</v>
      </c>
      <c r="C7098" s="133"/>
    </row>
    <row r="7099" spans="1:3">
      <c r="A7099" s="131" t="s">
        <v>8522</v>
      </c>
      <c r="B7099" s="132">
        <v>7.0167151169099116</v>
      </c>
      <c r="C7099" s="133"/>
    </row>
    <row r="7100" spans="1:3">
      <c r="A7100" s="131" t="s">
        <v>8523</v>
      </c>
      <c r="B7100" s="132">
        <v>8.2606607675279799E-3</v>
      </c>
      <c r="C7100" s="133"/>
    </row>
    <row r="7101" spans="1:3">
      <c r="A7101" s="131" t="s">
        <v>8524</v>
      </c>
      <c r="B7101" s="132">
        <v>8.6119373632466997E-4</v>
      </c>
      <c r="C7101" s="133"/>
    </row>
    <row r="7102" spans="1:3">
      <c r="A7102" s="131" t="s">
        <v>8525</v>
      </c>
      <c r="B7102" s="132">
        <v>1.0542212265329E-3</v>
      </c>
      <c r="C7102" s="133"/>
    </row>
    <row r="7103" spans="1:3">
      <c r="A7103" s="131" t="s">
        <v>8526</v>
      </c>
      <c r="B7103" s="132">
        <v>6.3343684272382998E-4</v>
      </c>
      <c r="C7103" s="133"/>
    </row>
    <row r="7104" spans="1:3">
      <c r="A7104" s="131" t="s">
        <v>8527</v>
      </c>
      <c r="B7104" s="132">
        <v>3.9025712171924002E-4</v>
      </c>
      <c r="C7104" s="133"/>
    </row>
    <row r="7105" spans="1:3">
      <c r="A7105" s="131" t="s">
        <v>8528</v>
      </c>
      <c r="B7105" s="132">
        <v>4.0520608738166003E-6</v>
      </c>
      <c r="C7105" s="133"/>
    </row>
    <row r="7106" spans="1:3">
      <c r="A7106" s="131" t="s">
        <v>8529</v>
      </c>
      <c r="B7106" s="132">
        <v>1.480624726422055E-2</v>
      </c>
      <c r="C7106" s="133"/>
    </row>
    <row r="7107" spans="1:3">
      <c r="A7107" s="131" t="s">
        <v>8530</v>
      </c>
      <c r="B7107" s="132">
        <v>4.9291384983703501E-2</v>
      </c>
      <c r="C7107" s="133"/>
    </row>
    <row r="7108" spans="1:3">
      <c r="A7108" s="131" t="s">
        <v>8531</v>
      </c>
      <c r="B7108" s="132">
        <v>100050.58389032001</v>
      </c>
      <c r="C7108" s="133"/>
    </row>
    <row r="7109" spans="1:3">
      <c r="A7109" s="131" t="s">
        <v>8532</v>
      </c>
      <c r="B7109" s="132">
        <v>3.2436757327630999E-3</v>
      </c>
      <c r="C7109" s="133"/>
    </row>
    <row r="7110" spans="1:3">
      <c r="A7110" s="131" t="s">
        <v>8533</v>
      </c>
      <c r="B7110" s="132">
        <v>0.40078624977157001</v>
      </c>
      <c r="C7110" s="133"/>
    </row>
    <row r="7111" spans="1:3">
      <c r="A7111" s="131" t="s">
        <v>8534</v>
      </c>
      <c r="B7111" s="132">
        <v>1.2786804415810401E-2</v>
      </c>
      <c r="C7111" s="133"/>
    </row>
    <row r="7112" spans="1:3">
      <c r="A7112" s="131" t="s">
        <v>8535</v>
      </c>
      <c r="B7112" s="132">
        <v>1.1580212053757999E-2</v>
      </c>
      <c r="C7112" s="133"/>
    </row>
    <row r="7113" spans="1:3">
      <c r="A7113" s="131" t="s">
        <v>8536</v>
      </c>
      <c r="B7113" s="132">
        <v>1.9463458376205045</v>
      </c>
      <c r="C7113" s="133"/>
    </row>
    <row r="7114" spans="1:3">
      <c r="A7114" s="131" t="s">
        <v>8537</v>
      </c>
      <c r="B7114" s="132">
        <v>0.17812372800738999</v>
      </c>
      <c r="C7114" s="133"/>
    </row>
    <row r="7115" spans="1:3">
      <c r="A7115" s="131" t="s">
        <v>8538</v>
      </c>
      <c r="B7115" s="132">
        <v>4.8566500980672002E-5</v>
      </c>
      <c r="C7115" s="133"/>
    </row>
    <row r="7116" spans="1:3">
      <c r="A7116" s="131" t="s">
        <v>8539</v>
      </c>
      <c r="B7116" s="132">
        <v>4.0794346281256E-3</v>
      </c>
      <c r="C7116" s="133"/>
    </row>
    <row r="7117" spans="1:3">
      <c r="A7117" s="131" t="s">
        <v>8540</v>
      </c>
      <c r="B7117" s="132">
        <v>0.14933563860719001</v>
      </c>
      <c r="C7117" s="133"/>
    </row>
    <row r="7118" spans="1:3">
      <c r="A7118" s="131" t="s">
        <v>8541</v>
      </c>
      <c r="B7118" s="132">
        <v>2.5046589947366998E-2</v>
      </c>
      <c r="C7118" s="133"/>
    </row>
    <row r="7119" spans="1:3">
      <c r="A7119" s="131" t="s">
        <v>8542</v>
      </c>
      <c r="B7119" s="132">
        <v>2.1359632462951002E-6</v>
      </c>
      <c r="C7119" s="133"/>
    </row>
    <row r="7120" spans="1:3">
      <c r="A7120" s="131" t="s">
        <v>8543</v>
      </c>
      <c r="B7120" s="132">
        <v>0.14958623182358119</v>
      </c>
      <c r="C7120" s="133"/>
    </row>
    <row r="7121" spans="1:3">
      <c r="A7121" s="131" t="s">
        <v>8544</v>
      </c>
      <c r="B7121" s="132">
        <v>0.43591636334863998</v>
      </c>
      <c r="C7121" s="133"/>
    </row>
    <row r="7122" spans="1:3">
      <c r="A7122" s="131" t="s">
        <v>8545</v>
      </c>
      <c r="B7122" s="132">
        <v>1.3407256208831001E-4</v>
      </c>
      <c r="C7122" s="133"/>
    </row>
    <row r="7123" spans="1:3">
      <c r="A7123" s="131" t="s">
        <v>8546</v>
      </c>
      <c r="B7123" s="132">
        <v>4.2797407785888998E-4</v>
      </c>
      <c r="C7123" s="133"/>
    </row>
    <row r="7124" spans="1:3">
      <c r="A7124" s="131" t="s">
        <v>8547</v>
      </c>
      <c r="B7124" s="132">
        <v>1.7209313939692999E-4</v>
      </c>
      <c r="C7124" s="133"/>
    </row>
    <row r="7125" spans="1:3">
      <c r="A7125" s="131" t="s">
        <v>8548</v>
      </c>
      <c r="B7125" s="132">
        <v>1.5449021242795E-3</v>
      </c>
      <c r="C7125" s="133"/>
    </row>
    <row r="7126" spans="1:3">
      <c r="A7126" s="131" t="s">
        <v>8549</v>
      </c>
      <c r="B7126" s="132">
        <v>9.3933296071222992E-3</v>
      </c>
      <c r="C7126" s="133"/>
    </row>
    <row r="7127" spans="1:3">
      <c r="A7127" s="131" t="s">
        <v>8550</v>
      </c>
      <c r="B7127" s="132">
        <v>3.4518885308318002E-2</v>
      </c>
      <c r="C7127" s="133"/>
    </row>
    <row r="7128" spans="1:3">
      <c r="A7128" s="131" t="s">
        <v>8551</v>
      </c>
      <c r="B7128" s="132">
        <v>7.8464945402755003E-6</v>
      </c>
      <c r="C7128" s="133"/>
    </row>
    <row r="7129" spans="1:3">
      <c r="A7129" s="131" t="s">
        <v>8552</v>
      </c>
      <c r="B7129" s="132">
        <v>4.7188964275248001E-4</v>
      </c>
      <c r="C7129" s="133"/>
    </row>
    <row r="7130" spans="1:3">
      <c r="A7130" s="131" t="s">
        <v>8553</v>
      </c>
      <c r="B7130" s="132">
        <v>5.5695088007283004E-3</v>
      </c>
      <c r="C7130" s="133"/>
    </row>
    <row r="7131" spans="1:3">
      <c r="A7131" s="131" t="s">
        <v>8554</v>
      </c>
      <c r="B7131" s="132">
        <v>4.9589637214893997E-3</v>
      </c>
      <c r="C7131" s="133"/>
    </row>
    <row r="7132" spans="1:3">
      <c r="A7132" s="131" t="s">
        <v>8555</v>
      </c>
      <c r="B7132" s="132">
        <v>6.9037364060398E-4</v>
      </c>
      <c r="C7132" s="133"/>
    </row>
    <row r="7133" spans="1:3">
      <c r="A7133" s="131" t="s">
        <v>8556</v>
      </c>
      <c r="B7133" s="132">
        <v>1.0657529765777E-2</v>
      </c>
      <c r="C7133" s="133"/>
    </row>
    <row r="7134" spans="1:3">
      <c r="A7134" s="131" t="s">
        <v>8557</v>
      </c>
      <c r="B7134" s="132">
        <v>4.2333644286028996E-3</v>
      </c>
      <c r="C7134" s="133"/>
    </row>
    <row r="7135" spans="1:3">
      <c r="A7135" s="131" t="s">
        <v>8558</v>
      </c>
      <c r="B7135" s="132">
        <v>4.3127177425228E-3</v>
      </c>
      <c r="C7135" s="133"/>
    </row>
    <row r="7136" spans="1:3">
      <c r="A7136" s="131" t="s">
        <v>8559</v>
      </c>
      <c r="B7136" s="132">
        <v>3.4917624770922002E-3</v>
      </c>
      <c r="C7136" s="133"/>
    </row>
    <row r="7137" spans="1:3">
      <c r="A7137" s="131" t="s">
        <v>8560</v>
      </c>
      <c r="B7137" s="132">
        <v>1.1152048323548001</v>
      </c>
      <c r="C7137" s="133"/>
    </row>
    <row r="7138" spans="1:3">
      <c r="A7138" s="131" t="s">
        <v>8561</v>
      </c>
      <c r="B7138" s="132">
        <v>6.1610253464612001E-4</v>
      </c>
      <c r="C7138" s="133"/>
    </row>
    <row r="7139" spans="1:3">
      <c r="A7139" s="131" t="s">
        <v>8562</v>
      </c>
      <c r="B7139" s="132">
        <v>0.86870457385102995</v>
      </c>
      <c r="C7139" s="133"/>
    </row>
    <row r="7140" spans="1:3">
      <c r="A7140" s="131" t="s">
        <v>8563</v>
      </c>
      <c r="B7140" s="132">
        <v>1.0076516624272001</v>
      </c>
      <c r="C7140" s="133"/>
    </row>
    <row r="7141" spans="1:3">
      <c r="A7141" s="131" t="s">
        <v>8564</v>
      </c>
      <c r="B7141" s="132">
        <v>2.8751343080253432E-3</v>
      </c>
      <c r="C7141" s="133"/>
    </row>
    <row r="7142" spans="1:3">
      <c r="A7142" s="131" t="s">
        <v>8565</v>
      </c>
      <c r="B7142" s="132">
        <v>3.1936484303453001E-3</v>
      </c>
      <c r="C7142" s="133"/>
    </row>
    <row r="7143" spans="1:3">
      <c r="A7143" s="131" t="s">
        <v>8566</v>
      </c>
      <c r="B7143" s="132">
        <v>0.24508555961178999</v>
      </c>
      <c r="C7143" s="133"/>
    </row>
    <row r="7144" spans="1:3">
      <c r="A7144" s="131" t="s">
        <v>8567</v>
      </c>
      <c r="B7144" s="132">
        <v>1.8896282196298877</v>
      </c>
      <c r="C7144" s="133"/>
    </row>
    <row r="7145" spans="1:3">
      <c r="A7145" s="131" t="s">
        <v>8568</v>
      </c>
      <c r="B7145" s="132">
        <v>6.1610253464612001E-4</v>
      </c>
      <c r="C7145" s="133"/>
    </row>
    <row r="7146" spans="1:3">
      <c r="A7146" s="131" t="s">
        <v>8569</v>
      </c>
      <c r="B7146" s="132">
        <v>2.2153588684318001E-5</v>
      </c>
      <c r="C7146" s="133"/>
    </row>
    <row r="7147" spans="1:3">
      <c r="A7147" s="131" t="s">
        <v>8570</v>
      </c>
      <c r="B7147" s="132">
        <v>5.9442183156648002E-5</v>
      </c>
      <c r="C7147" s="133"/>
    </row>
    <row r="7148" spans="1:3">
      <c r="A7148" s="131" t="s">
        <v>8571</v>
      </c>
      <c r="B7148" s="132">
        <v>2.2647922624036001E-2</v>
      </c>
      <c r="C7148" s="133"/>
    </row>
    <row r="7149" spans="1:3">
      <c r="A7149" s="131" t="s">
        <v>8572</v>
      </c>
      <c r="B7149" s="132">
        <v>8.2827326092589496E-4</v>
      </c>
      <c r="C7149" s="133"/>
    </row>
    <row r="7150" spans="1:3">
      <c r="A7150" s="131" t="s">
        <v>8573</v>
      </c>
      <c r="B7150" s="132">
        <v>1.0705794136902E-2</v>
      </c>
      <c r="C7150" s="133"/>
    </row>
    <row r="7151" spans="1:3">
      <c r="A7151" s="131" t="s">
        <v>8574</v>
      </c>
      <c r="B7151" s="132">
        <v>6.1610253464612001E-4</v>
      </c>
      <c r="C7151" s="133"/>
    </row>
    <row r="7152" spans="1:3">
      <c r="A7152" s="131" t="s">
        <v>8575</v>
      </c>
      <c r="B7152" s="132">
        <v>1.4637922263820999E-3</v>
      </c>
      <c r="C7152" s="133"/>
    </row>
    <row r="7153" spans="1:3">
      <c r="A7153" s="131" t="s">
        <v>8576</v>
      </c>
      <c r="B7153" s="132">
        <v>1.4966366861279999E-4</v>
      </c>
      <c r="C7153" s="133"/>
    </row>
    <row r="7154" spans="1:3">
      <c r="A7154" s="131" t="s">
        <v>8577</v>
      </c>
      <c r="B7154" s="132">
        <v>1.3107093756394E-2</v>
      </c>
      <c r="C7154" s="133"/>
    </row>
    <row r="7155" spans="1:3">
      <c r="A7155" s="131" t="s">
        <v>8578</v>
      </c>
      <c r="B7155" s="132">
        <v>1.2409019397459E-3</v>
      </c>
      <c r="C7155" s="133"/>
    </row>
    <row r="7156" spans="1:3">
      <c r="A7156" s="131" t="s">
        <v>8579</v>
      </c>
      <c r="B7156" s="132">
        <v>1.5502246811211E-5</v>
      </c>
      <c r="C7156" s="133"/>
    </row>
    <row r="7157" spans="1:3">
      <c r="A7157" s="131" t="s">
        <v>8580</v>
      </c>
      <c r="B7157" s="132">
        <v>4.0733937530438002E-7</v>
      </c>
      <c r="C7157" s="133"/>
    </row>
    <row r="7158" spans="1:3">
      <c r="A7158" s="131" t="s">
        <v>8581</v>
      </c>
      <c r="B7158" s="132">
        <v>4.9542744016680997E-3</v>
      </c>
      <c r="C7158" s="133"/>
    </row>
    <row r="7159" spans="1:3">
      <c r="A7159" s="131" t="s">
        <v>8582</v>
      </c>
      <c r="B7159" s="132">
        <v>4.664700952474064E-3</v>
      </c>
      <c r="C7159" s="133"/>
    </row>
    <row r="7160" spans="1:3">
      <c r="A7160" s="131" t="s">
        <v>8583</v>
      </c>
      <c r="B7160" s="132">
        <v>33.569381533372002</v>
      </c>
      <c r="C7160" s="133"/>
    </row>
    <row r="7161" spans="1:3">
      <c r="A7161" s="131" t="s">
        <v>8584</v>
      </c>
      <c r="B7161" s="132">
        <v>8.0743699705422001E-3</v>
      </c>
      <c r="C7161" s="133"/>
    </row>
    <row r="7162" spans="1:3">
      <c r="A7162" s="131" t="s">
        <v>8585</v>
      </c>
      <c r="B7162" s="132">
        <v>6.4272335123234997E-3</v>
      </c>
      <c r="C7162" s="133"/>
    </row>
    <row r="7163" spans="1:3">
      <c r="A7163" s="131" t="s">
        <v>8586</v>
      </c>
      <c r="B7163" s="132">
        <v>4.6527964113429998E-5</v>
      </c>
      <c r="C7163" s="133"/>
    </row>
    <row r="7164" spans="1:3">
      <c r="A7164" s="131" t="s">
        <v>8587</v>
      </c>
      <c r="B7164" s="132">
        <v>2.2932449192346999E-3</v>
      </c>
      <c r="C7164" s="133"/>
    </row>
    <row r="7165" spans="1:3">
      <c r="A7165" s="131" t="s">
        <v>8588</v>
      </c>
      <c r="B7165" s="132">
        <v>2.5013527697628001E-2</v>
      </c>
      <c r="C7165" s="133"/>
    </row>
    <row r="7166" spans="1:3">
      <c r="A7166" s="134" t="s">
        <v>8589</v>
      </c>
      <c r="B7166" s="132">
        <v>3.0063047956198998</v>
      </c>
      <c r="C7166" s="133"/>
    </row>
    <row r="7167" spans="1:3">
      <c r="A7167" s="131" t="s">
        <v>8590</v>
      </c>
      <c r="B7167" s="132">
        <v>0.14217727321577001</v>
      </c>
      <c r="C7167" s="133"/>
    </row>
    <row r="7168" spans="1:3">
      <c r="A7168" s="131" t="s">
        <v>8591</v>
      </c>
      <c r="B7168" s="132">
        <v>6.1714737077789999E-4</v>
      </c>
      <c r="C7168" s="133"/>
    </row>
    <row r="7169" spans="1:3">
      <c r="A7169" s="131" t="s">
        <v>8592</v>
      </c>
      <c r="B7169" s="132">
        <v>0.32684040068234999</v>
      </c>
      <c r="C7169" s="133"/>
    </row>
    <row r="7170" spans="1:3">
      <c r="A7170" s="131" t="s">
        <v>8593</v>
      </c>
      <c r="B7170" s="132">
        <v>2.3451630307925998E-2</v>
      </c>
      <c r="C7170" s="133"/>
    </row>
    <row r="7171" spans="1:3">
      <c r="A7171" s="131" t="s">
        <v>8594</v>
      </c>
      <c r="B7171" s="132">
        <v>9.5051443271562002E-4</v>
      </c>
      <c r="C7171" s="133"/>
    </row>
    <row r="7172" spans="1:3">
      <c r="A7172" s="131" t="s">
        <v>8595</v>
      </c>
      <c r="B7172" s="132">
        <v>6.5680785692301999E-2</v>
      </c>
      <c r="C7172" s="133"/>
    </row>
    <row r="7173" spans="1:3">
      <c r="A7173" s="131" t="s">
        <v>8596</v>
      </c>
      <c r="B7173" s="132">
        <v>0.12751469842131</v>
      </c>
      <c r="C7173" s="133"/>
    </row>
    <row r="7174" spans="1:3">
      <c r="A7174" s="131" t="s">
        <v>8597</v>
      </c>
      <c r="B7174" s="132">
        <v>3.4899887928283697E-2</v>
      </c>
      <c r="C7174" s="133"/>
    </row>
    <row r="7175" spans="1:3">
      <c r="A7175" s="131" t="s">
        <v>8598</v>
      </c>
      <c r="B7175" s="132">
        <v>8.2681266225082002</v>
      </c>
      <c r="C7175" s="133"/>
    </row>
    <row r="7176" spans="1:3">
      <c r="A7176" s="131" t="s">
        <v>8599</v>
      </c>
      <c r="B7176" s="132">
        <v>16.999828035259</v>
      </c>
      <c r="C7176" s="133"/>
    </row>
    <row r="7177" spans="1:3">
      <c r="A7177" s="131" t="s">
        <v>8600</v>
      </c>
      <c r="B7177" s="132">
        <v>0.98</v>
      </c>
      <c r="C7177" s="133"/>
    </row>
    <row r="7178" spans="1:3">
      <c r="A7178" s="131" t="s">
        <v>8601</v>
      </c>
      <c r="B7178" s="132">
        <v>2848.3245561151998</v>
      </c>
      <c r="C7178" s="133"/>
    </row>
    <row r="7179" spans="1:3">
      <c r="A7179" s="131" t="s">
        <v>8602</v>
      </c>
      <c r="B7179" s="132">
        <v>14.69</v>
      </c>
      <c r="C7179" s="133"/>
    </row>
    <row r="7180" spans="1:3">
      <c r="A7180" s="131" t="s">
        <v>8603</v>
      </c>
      <c r="B7180" s="132">
        <v>94.11</v>
      </c>
      <c r="C7180" s="133"/>
    </row>
    <row r="7181" spans="1:3">
      <c r="A7181" s="131" t="s">
        <v>8604</v>
      </c>
      <c r="B7181" s="132">
        <v>15.16</v>
      </c>
      <c r="C7181" s="133"/>
    </row>
    <row r="7182" spans="1:3">
      <c r="A7182" s="131" t="s">
        <v>8605</v>
      </c>
      <c r="B7182" s="132">
        <v>139.07</v>
      </c>
      <c r="C7182" s="133"/>
    </row>
    <row r="7183" spans="1:3">
      <c r="A7183" s="131" t="s">
        <v>8606</v>
      </c>
      <c r="B7183" s="132">
        <v>357.94</v>
      </c>
      <c r="C7183" s="133"/>
    </row>
    <row r="7184" spans="1:3">
      <c r="A7184" s="131" t="s">
        <v>8607</v>
      </c>
      <c r="B7184" s="132">
        <v>212.82</v>
      </c>
      <c r="C7184" s="133"/>
    </row>
    <row r="7185" spans="1:3">
      <c r="A7185" s="131" t="s">
        <v>8608</v>
      </c>
      <c r="B7185" s="132">
        <v>17.190000000000001</v>
      </c>
      <c r="C7185" s="133"/>
    </row>
    <row r="7186" spans="1:3">
      <c r="A7186" s="131" t="s">
        <v>8609</v>
      </c>
      <c r="B7186" s="132">
        <v>79.86</v>
      </c>
      <c r="C7186" s="133"/>
    </row>
    <row r="7187" spans="1:3">
      <c r="A7187" s="131" t="s">
        <v>8610</v>
      </c>
      <c r="B7187" s="132">
        <v>58.05</v>
      </c>
      <c r="C7187" s="133"/>
    </row>
    <row r="7188" spans="1:3">
      <c r="A7188" s="131" t="s">
        <v>8611</v>
      </c>
      <c r="B7188" s="132">
        <v>66.25</v>
      </c>
      <c r="C7188" s="133"/>
    </row>
    <row r="7189" spans="1:3">
      <c r="A7189" s="131" t="s">
        <v>8612</v>
      </c>
      <c r="B7189" s="132">
        <v>51.57</v>
      </c>
      <c r="C7189" s="133"/>
    </row>
    <row r="7190" spans="1:3">
      <c r="A7190" s="131" t="s">
        <v>8613</v>
      </c>
      <c r="B7190" s="132">
        <v>17.583367832495</v>
      </c>
      <c r="C7190" s="133"/>
    </row>
    <row r="7191" spans="1:3">
      <c r="A7191" s="131" t="s">
        <v>8614</v>
      </c>
      <c r="B7191" s="132">
        <v>2.3204740822278E-3</v>
      </c>
      <c r="C7191" s="133"/>
    </row>
    <row r="7192" spans="1:3">
      <c r="A7192" s="131" t="s">
        <v>8615</v>
      </c>
      <c r="B7192" s="132">
        <v>0.1510091236225938</v>
      </c>
      <c r="C7192" s="133"/>
    </row>
    <row r="7193" spans="1:3">
      <c r="A7193" s="131" t="s">
        <v>8616</v>
      </c>
      <c r="B7193" s="132">
        <v>0.37822204123401215</v>
      </c>
      <c r="C7193" s="133"/>
    </row>
    <row r="7194" spans="1:3">
      <c r="A7194" s="131" t="s">
        <v>8617</v>
      </c>
      <c r="B7194" s="132">
        <v>6.3430653699947997E-3</v>
      </c>
      <c r="C7194" s="133"/>
    </row>
    <row r="7195" spans="1:3">
      <c r="A7195" s="131" t="s">
        <v>8618</v>
      </c>
      <c r="B7195" s="132">
        <v>0.62944052205735002</v>
      </c>
      <c r="C7195" s="133"/>
    </row>
    <row r="7196" spans="1:3">
      <c r="A7196" s="131" t="s">
        <v>8619</v>
      </c>
      <c r="B7196" s="132">
        <v>8.0625727771936996E-4</v>
      </c>
      <c r="C7196" s="133"/>
    </row>
    <row r="7197" spans="1:3">
      <c r="A7197" s="131" t="s">
        <v>8620</v>
      </c>
      <c r="B7197" s="132">
        <v>9.3512017753265092E-2</v>
      </c>
      <c r="C7197" s="133"/>
    </row>
    <row r="7198" spans="1:3">
      <c r="A7198" s="131" t="s">
        <v>8621</v>
      </c>
      <c r="B7198" s="132">
        <v>0.31064461604296001</v>
      </c>
      <c r="C7198" s="133"/>
    </row>
    <row r="7199" spans="1:3">
      <c r="A7199" s="131" t="s">
        <v>8622</v>
      </c>
      <c r="B7199" s="132">
        <v>13.830636403928001</v>
      </c>
      <c r="C7199" s="133"/>
    </row>
    <row r="7200" spans="1:3">
      <c r="A7200" s="131" t="s">
        <v>8623</v>
      </c>
      <c r="B7200" s="132">
        <v>2.8041859069549</v>
      </c>
      <c r="C7200" s="133"/>
    </row>
    <row r="7201" spans="1:3">
      <c r="A7201" s="131" t="s">
        <v>8624</v>
      </c>
      <c r="B7201" s="132">
        <v>2.4320993676344E-3</v>
      </c>
      <c r="C7201" s="133"/>
    </row>
    <row r="7202" spans="1:3">
      <c r="A7202" s="131" t="s">
        <v>8625</v>
      </c>
      <c r="B7202" s="132">
        <v>2.2839639794415998</v>
      </c>
      <c r="C7202" s="133"/>
    </row>
    <row r="7203" spans="1:3">
      <c r="A7203" s="131" t="s">
        <v>8626</v>
      </c>
      <c r="B7203" s="132">
        <v>3.6221414090706999E-6</v>
      </c>
      <c r="C7203" s="133"/>
    </row>
    <row r="7204" spans="1:3">
      <c r="A7204" s="131" t="s">
        <v>8627</v>
      </c>
      <c r="B7204" s="132">
        <v>0.35664037564079998</v>
      </c>
      <c r="C7204" s="133"/>
    </row>
    <row r="7205" spans="1:3">
      <c r="A7205" s="131" t="s">
        <v>8628</v>
      </c>
      <c r="B7205" s="132">
        <v>92.325644428752994</v>
      </c>
      <c r="C7205" s="133"/>
    </row>
    <row r="7206" spans="1:3">
      <c r="A7206" s="131" t="s">
        <v>8629</v>
      </c>
      <c r="B7206" s="132">
        <v>9.2415380196918008E-3</v>
      </c>
      <c r="C7206" s="133"/>
    </row>
    <row r="7207" spans="1:3">
      <c r="A7207" s="131" t="s">
        <v>8630</v>
      </c>
      <c r="B7207" s="132">
        <v>5.8045976065497999E-3</v>
      </c>
      <c r="C7207" s="133"/>
    </row>
    <row r="7208" spans="1:3">
      <c r="A7208" s="131" t="s">
        <v>8631</v>
      </c>
      <c r="B7208" s="132">
        <v>2.5138750374294001</v>
      </c>
      <c r="C7208" s="133"/>
    </row>
    <row r="7209" spans="1:3">
      <c r="A7209" s="131" t="s">
        <v>8632</v>
      </c>
      <c r="B7209" s="132">
        <v>0.38304353294714999</v>
      </c>
      <c r="C7209" s="133"/>
    </row>
    <row r="7210" spans="1:3">
      <c r="A7210" s="131" t="s">
        <v>8633</v>
      </c>
      <c r="B7210" s="132">
        <v>1.3615866015679001E-2</v>
      </c>
      <c r="C7210" s="133"/>
    </row>
    <row r="7211" spans="1:3">
      <c r="A7211" s="131" t="s">
        <v>8634</v>
      </c>
      <c r="B7211" s="132">
        <v>1.0005415081217</v>
      </c>
      <c r="C7211" s="133"/>
    </row>
    <row r="7212" spans="1:3">
      <c r="A7212" s="131" t="s">
        <v>8635</v>
      </c>
      <c r="B7212" s="132">
        <v>0.42427427213969998</v>
      </c>
      <c r="C7212" s="133"/>
    </row>
    <row r="7213" spans="1:3">
      <c r="A7213" s="131" t="s">
        <v>8636</v>
      </c>
      <c r="B7213" s="132">
        <v>1.2615475962373999E-2</v>
      </c>
      <c r="C7213" s="133"/>
    </row>
    <row r="7214" spans="1:3">
      <c r="A7214" s="131" t="s">
        <v>8637</v>
      </c>
      <c r="B7214" s="132">
        <v>0.69108276223989995</v>
      </c>
      <c r="C7214" s="133"/>
    </row>
    <row r="7215" spans="1:3">
      <c r="A7215" s="131" t="s">
        <v>8638</v>
      </c>
      <c r="B7215" s="132">
        <v>8.6254354850457005E-3</v>
      </c>
      <c r="C7215" s="133"/>
    </row>
    <row r="7216" spans="1:3">
      <c r="A7216" s="131" t="s">
        <v>8639</v>
      </c>
      <c r="B7216" s="132">
        <v>2.1546331809998501E-3</v>
      </c>
      <c r="C7216" s="133"/>
    </row>
    <row r="7217" spans="1:3">
      <c r="A7217" s="131" t="s">
        <v>8640</v>
      </c>
      <c r="B7217" s="132">
        <v>4.5974882298192999E-5</v>
      </c>
      <c r="C7217" s="133"/>
    </row>
    <row r="7218" spans="1:3">
      <c r="A7218" s="131" t="s">
        <v>8641</v>
      </c>
      <c r="B7218" s="132">
        <v>6.0354905312202858E-3</v>
      </c>
      <c r="C7218" s="133"/>
    </row>
    <row r="7219" spans="1:3">
      <c r="A7219" s="131" t="s">
        <v>8642</v>
      </c>
      <c r="B7219" s="132">
        <v>0.48137381235141741</v>
      </c>
      <c r="C7219" s="133"/>
    </row>
    <row r="7220" spans="1:3">
      <c r="A7220" s="131" t="s">
        <v>8643</v>
      </c>
      <c r="B7220" s="132">
        <v>4.5153929464070002</v>
      </c>
      <c r="C7220" s="133"/>
    </row>
    <row r="7221" spans="1:3">
      <c r="A7221" s="131" t="s">
        <v>8644</v>
      </c>
      <c r="B7221" s="132">
        <v>2.5755539709713</v>
      </c>
      <c r="C7221" s="133"/>
    </row>
    <row r="7222" spans="1:3">
      <c r="A7222" s="131" t="s">
        <v>8645</v>
      </c>
      <c r="B7222" s="132">
        <v>4.9212967072671997E-2</v>
      </c>
      <c r="C7222" s="133"/>
    </row>
    <row r="7223" spans="1:3">
      <c r="A7223" s="131" t="s">
        <v>8646</v>
      </c>
      <c r="B7223" s="132">
        <v>3.2870066683071998E-3</v>
      </c>
      <c r="C7223" s="133"/>
    </row>
    <row r="7224" spans="1:3">
      <c r="A7224" s="131" t="s">
        <v>8647</v>
      </c>
      <c r="B7224" s="132">
        <v>206.43440984604999</v>
      </c>
      <c r="C7224" s="133"/>
    </row>
    <row r="7225" spans="1:3">
      <c r="A7225" s="131" t="s">
        <v>8648</v>
      </c>
      <c r="B7225" s="132">
        <v>0.16176838544511546</v>
      </c>
      <c r="C7225" s="133"/>
    </row>
    <row r="7226" spans="1:3">
      <c r="A7226" s="131" t="s">
        <v>8649</v>
      </c>
      <c r="B7226" s="132">
        <v>4.3240280232189499E-3</v>
      </c>
      <c r="C7226" s="133"/>
    </row>
    <row r="7227" spans="1:3">
      <c r="A7227" s="131" t="s">
        <v>8650</v>
      </c>
      <c r="B7227" s="132">
        <v>4.3162156857332494</v>
      </c>
      <c r="C7227" s="133"/>
    </row>
    <row r="7228" spans="1:3">
      <c r="A7228" s="131" t="s">
        <v>8651</v>
      </c>
      <c r="B7228" s="132">
        <v>4.7974556466474055E-2</v>
      </c>
      <c r="C7228" s="133"/>
    </row>
    <row r="7229" spans="1:3">
      <c r="A7229" s="131" t="s">
        <v>8652</v>
      </c>
      <c r="B7229" s="132">
        <v>1.2322050692922E-2</v>
      </c>
      <c r="C7229" s="133"/>
    </row>
    <row r="7230" spans="1:3">
      <c r="A7230" s="131" t="s">
        <v>8653</v>
      </c>
      <c r="B7230" s="132">
        <v>1.3657776071131E-2</v>
      </c>
      <c r="C7230" s="133"/>
    </row>
    <row r="7231" spans="1:3">
      <c r="A7231" s="131" t="s">
        <v>8654</v>
      </c>
      <c r="B7231" s="132">
        <v>1.9738162606835487E-4</v>
      </c>
      <c r="C7231" s="133"/>
    </row>
    <row r="7232" spans="1:3">
      <c r="A7232" s="131" t="s">
        <v>8655</v>
      </c>
      <c r="B7232" s="132">
        <v>3.8283551823043001E-2</v>
      </c>
      <c r="C7232" s="133"/>
    </row>
    <row r="7233" spans="1:3">
      <c r="A7233" s="131" t="s">
        <v>8656</v>
      </c>
      <c r="B7233" s="132">
        <v>0.27462730890963999</v>
      </c>
      <c r="C7233" s="133"/>
    </row>
    <row r="7234" spans="1:3">
      <c r="A7234" s="131" t="s">
        <v>8657</v>
      </c>
      <c r="B7234" s="132">
        <v>0.74368120364709012</v>
      </c>
      <c r="C7234" s="133"/>
    </row>
    <row r="7235" spans="1:3">
      <c r="A7235" s="131" t="s">
        <v>8658</v>
      </c>
      <c r="B7235" s="132">
        <v>3.0154468685524001</v>
      </c>
      <c r="C7235" s="133"/>
    </row>
    <row r="7236" spans="1:3">
      <c r="A7236" s="131" t="s">
        <v>8659</v>
      </c>
      <c r="B7236" s="132">
        <v>15.780856012251565</v>
      </c>
      <c r="C7236" s="133"/>
    </row>
    <row r="7237" spans="1:3">
      <c r="A7237" s="131" t="s">
        <v>8660</v>
      </c>
      <c r="B7237" s="132">
        <v>4.0484449803200998E-2</v>
      </c>
      <c r="C7237" s="133"/>
    </row>
    <row r="7238" spans="1:3">
      <c r="A7238" s="131" t="s">
        <v>8661</v>
      </c>
      <c r="B7238" s="132">
        <v>0.20799004492324999</v>
      </c>
      <c r="C7238" s="133"/>
    </row>
    <row r="7239" spans="1:3">
      <c r="A7239" s="131" t="s">
        <v>8662</v>
      </c>
      <c r="B7239" s="132">
        <v>59.864850676377003</v>
      </c>
      <c r="C7239" s="133"/>
    </row>
    <row r="7240" spans="1:3">
      <c r="A7240" s="131" t="s">
        <v>8663</v>
      </c>
      <c r="B7240" s="132">
        <v>0.56691956329483995</v>
      </c>
      <c r="C7240" s="133"/>
    </row>
    <row r="7241" spans="1:3">
      <c r="A7241" s="131" t="s">
        <v>8664</v>
      </c>
      <c r="B7241" s="132">
        <v>15.3645031935175</v>
      </c>
      <c r="C7241" s="133"/>
    </row>
    <row r="7242" spans="1:3">
      <c r="A7242" s="131" t="s">
        <v>8665</v>
      </c>
      <c r="B7242" s="132">
        <v>5.3552083933209982</v>
      </c>
      <c r="C7242" s="133"/>
    </row>
    <row r="7243" spans="1:3">
      <c r="A7243" s="131" t="s">
        <v>8666</v>
      </c>
      <c r="B7243" s="132">
        <v>0.94803748445576996</v>
      </c>
      <c r="C7243" s="133"/>
    </row>
    <row r="7244" spans="1:3">
      <c r="A7244" s="131" t="s">
        <v>8667</v>
      </c>
      <c r="B7244" s="132">
        <v>2.460243127924274E-3</v>
      </c>
      <c r="C7244" s="133"/>
    </row>
    <row r="7245" spans="1:3">
      <c r="A7245" s="131" t="s">
        <v>8668</v>
      </c>
      <c r="B7245" s="132">
        <v>7.5460109353862189E-7</v>
      </c>
      <c r="C7245" s="133"/>
    </row>
    <row r="7246" spans="1:3">
      <c r="A7246" s="131" t="s">
        <v>8669</v>
      </c>
      <c r="B7246" s="132">
        <v>6.4158682831224985E-3</v>
      </c>
      <c r="C7246" s="133"/>
    </row>
    <row r="7247" spans="1:3">
      <c r="A7247" s="131" t="s">
        <v>8670</v>
      </c>
      <c r="B7247" s="132">
        <v>17.429932443338</v>
      </c>
      <c r="C7247" s="133"/>
    </row>
    <row r="7248" spans="1:3">
      <c r="A7248" s="131" t="s">
        <v>8671</v>
      </c>
      <c r="B7248" s="132">
        <v>3.2355951308414316E-2</v>
      </c>
      <c r="C7248" s="133"/>
    </row>
    <row r="7249" spans="1:3">
      <c r="A7249" s="131" t="s">
        <v>8672</v>
      </c>
      <c r="B7249" s="132">
        <v>30.551431196968998</v>
      </c>
      <c r="C7249" s="133"/>
    </row>
    <row r="7250" spans="1:3">
      <c r="A7250" s="131" t="s">
        <v>8673</v>
      </c>
      <c r="B7250" s="132">
        <v>61.738713921102999</v>
      </c>
      <c r="C7250" s="133"/>
    </row>
    <row r="7251" spans="1:3">
      <c r="A7251" s="131" t="s">
        <v>8674</v>
      </c>
      <c r="B7251" s="132">
        <v>1.2764182719902999</v>
      </c>
      <c r="C7251" s="133"/>
    </row>
    <row r="7252" spans="1:3">
      <c r="A7252" s="131" t="s">
        <v>8675</v>
      </c>
      <c r="B7252" s="132">
        <v>1.9529404830653001E-5</v>
      </c>
      <c r="C7252" s="133"/>
    </row>
    <row r="7253" spans="1:3">
      <c r="A7253" s="131" t="s">
        <v>8676</v>
      </c>
      <c r="B7253" s="132">
        <v>0.22574544097202562</v>
      </c>
      <c r="C7253" s="133"/>
    </row>
    <row r="7254" spans="1:3">
      <c r="A7254" s="131" t="s">
        <v>8677</v>
      </c>
      <c r="B7254" s="132">
        <v>0.17373736738077</v>
      </c>
      <c r="C7254" s="133"/>
    </row>
    <row r="7255" spans="1:3">
      <c r="A7255" s="131" t="s">
        <v>8678</v>
      </c>
      <c r="B7255" s="132">
        <v>2.7724611314238E-2</v>
      </c>
      <c r="C7255" s="133"/>
    </row>
    <row r="7256" spans="1:3">
      <c r="A7256" s="131" t="s">
        <v>8679</v>
      </c>
      <c r="B7256" s="132">
        <v>9.9927610384247002E-3</v>
      </c>
      <c r="C7256" s="133"/>
    </row>
    <row r="7257" spans="1:3">
      <c r="A7257" s="131" t="s">
        <v>8680</v>
      </c>
      <c r="B7257" s="132">
        <v>0.87339294630933995</v>
      </c>
      <c r="C7257" s="133"/>
    </row>
    <row r="7258" spans="1:3">
      <c r="A7258" s="131" t="s">
        <v>8681</v>
      </c>
      <c r="B7258" s="132">
        <v>3.6574580976396001</v>
      </c>
      <c r="C7258" s="133"/>
    </row>
    <row r="7259" spans="1:3">
      <c r="A7259" s="131" t="s">
        <v>8682</v>
      </c>
      <c r="B7259" s="132">
        <v>2.0005915351971</v>
      </c>
      <c r="C7259" s="133"/>
    </row>
    <row r="7260" spans="1:3">
      <c r="A7260" s="131" t="s">
        <v>8683</v>
      </c>
      <c r="B7260" s="132">
        <v>0.99667783740933003</v>
      </c>
      <c r="C7260" s="133"/>
    </row>
    <row r="7261" spans="1:3">
      <c r="A7261" s="131" t="s">
        <v>8684</v>
      </c>
      <c r="B7261" s="132">
        <v>0.78091053172378999</v>
      </c>
      <c r="C7261" s="133"/>
    </row>
    <row r="7262" spans="1:3">
      <c r="A7262" s="131" t="s">
        <v>8685</v>
      </c>
      <c r="B7262" s="132">
        <v>6.4898356028059E-3</v>
      </c>
      <c r="C7262" s="133"/>
    </row>
    <row r="7263" spans="1:3">
      <c r="A7263" s="131" t="s">
        <v>8686</v>
      </c>
      <c r="B7263" s="132">
        <v>59.873858079582831</v>
      </c>
      <c r="C7263" s="133"/>
    </row>
    <row r="7264" spans="1:3">
      <c r="A7264" s="131" t="s">
        <v>8687</v>
      </c>
      <c r="B7264" s="132">
        <v>1.2782452139268E-2</v>
      </c>
      <c r="C7264" s="133"/>
    </row>
    <row r="7265" spans="1:3">
      <c r="A7265" s="131" t="s">
        <v>8688</v>
      </c>
      <c r="B7265" s="132">
        <v>3.1892490986079001E-4</v>
      </c>
      <c r="C7265" s="133"/>
    </row>
    <row r="7266" spans="1:3">
      <c r="A7266" s="131" t="s">
        <v>8689</v>
      </c>
      <c r="B7266" s="132">
        <v>5.27045253457E-9</v>
      </c>
      <c r="C7266" s="133"/>
    </row>
    <row r="7267" spans="1:3">
      <c r="A7267" s="131" t="s">
        <v>8690</v>
      </c>
      <c r="B7267" s="132">
        <v>28.804028086620999</v>
      </c>
      <c r="C7267" s="133"/>
    </row>
    <row r="7268" spans="1:3">
      <c r="A7268" s="131" t="s">
        <v>8691</v>
      </c>
      <c r="B7268" s="132">
        <v>7.0721793027251996E-5</v>
      </c>
      <c r="C7268" s="133"/>
    </row>
    <row r="7269" spans="1:3">
      <c r="A7269" s="131" t="s">
        <v>8692</v>
      </c>
      <c r="B7269" s="132">
        <v>2.31</v>
      </c>
      <c r="C7269" s="133"/>
    </row>
    <row r="7270" spans="1:3">
      <c r="A7270" s="131" t="s">
        <v>8693</v>
      </c>
      <c r="B7270" s="132">
        <v>12.901363806719001</v>
      </c>
      <c r="C7270" s="133"/>
    </row>
    <row r="7271" spans="1:3">
      <c r="A7271" s="131" t="s">
        <v>8694</v>
      </c>
      <c r="B7271" s="132">
        <v>11.572267675948</v>
      </c>
      <c r="C7271" s="133"/>
    </row>
    <row r="7272" spans="1:3">
      <c r="A7272" s="131" t="s">
        <v>8695</v>
      </c>
      <c r="B7272" s="132">
        <v>1.1842425904060001</v>
      </c>
      <c r="C7272" s="133"/>
    </row>
    <row r="7273" spans="1:3">
      <c r="A7273" s="131" t="s">
        <v>8696</v>
      </c>
      <c r="B7273" s="132">
        <v>0.33262487778830002</v>
      </c>
      <c r="C7273" s="133"/>
    </row>
    <row r="7274" spans="1:3">
      <c r="A7274" s="131" t="s">
        <v>8697</v>
      </c>
      <c r="B7274" s="132">
        <v>1.7436221479251026</v>
      </c>
      <c r="C7274" s="133"/>
    </row>
    <row r="7275" spans="1:3">
      <c r="A7275" s="131" t="s">
        <v>8698</v>
      </c>
      <c r="B7275" s="132">
        <v>68.068211044677</v>
      </c>
      <c r="C7275" s="133"/>
    </row>
    <row r="7276" spans="1:3">
      <c r="A7276" s="131" t="s">
        <v>8699</v>
      </c>
      <c r="B7276" s="132">
        <v>7.5140667259940004E-4</v>
      </c>
      <c r="C7276" s="133"/>
    </row>
    <row r="7277" spans="1:3">
      <c r="A7277" s="131" t="s">
        <v>8700</v>
      </c>
      <c r="B7277" s="132">
        <v>11.45</v>
      </c>
      <c r="C7277" s="133"/>
    </row>
    <row r="7278" spans="1:3">
      <c r="A7278" s="131" t="s">
        <v>8701</v>
      </c>
      <c r="B7278" s="132">
        <v>1.8531548670938543E-3</v>
      </c>
      <c r="C7278" s="133"/>
    </row>
    <row r="7279" spans="1:3">
      <c r="A7279" s="131" t="s">
        <v>8702</v>
      </c>
      <c r="B7279" s="132">
        <v>7.9892799029936002E-3</v>
      </c>
      <c r="C7279" s="133"/>
    </row>
    <row r="7280" spans="1:3">
      <c r="A7280" s="131" t="s">
        <v>8703</v>
      </c>
      <c r="B7280" s="132">
        <v>0.75481311563499032</v>
      </c>
      <c r="C7280" s="133"/>
    </row>
    <row r="7281" spans="1:3">
      <c r="A7281" s="131" t="s">
        <v>8704</v>
      </c>
      <c r="B7281" s="132">
        <v>1.7509476392129999E-3</v>
      </c>
      <c r="C7281" s="133"/>
    </row>
    <row r="7282" spans="1:3">
      <c r="A7282" s="131" t="s">
        <v>8705</v>
      </c>
      <c r="B7282" s="132">
        <v>0.9658222184076104</v>
      </c>
      <c r="C7282" s="133"/>
    </row>
    <row r="7283" spans="1:3">
      <c r="A7283" s="131" t="s">
        <v>8706</v>
      </c>
      <c r="B7283" s="132">
        <v>10.029425173205</v>
      </c>
      <c r="C7283" s="133"/>
    </row>
    <row r="7284" spans="1:3">
      <c r="A7284" s="131" t="s">
        <v>8707</v>
      </c>
      <c r="B7284" s="132">
        <v>5.0304988832795003E-3</v>
      </c>
      <c r="C7284" s="133"/>
    </row>
    <row r="7285" spans="1:3">
      <c r="A7285" s="131" t="s">
        <v>8708</v>
      </c>
      <c r="B7285" s="132">
        <v>4.0890055327401E-3</v>
      </c>
      <c r="C7285" s="133"/>
    </row>
    <row r="7286" spans="1:3">
      <c r="A7286" s="131" t="s">
        <v>8709</v>
      </c>
      <c r="B7286" s="132">
        <v>0.61610253464611997</v>
      </c>
      <c r="C7286" s="133"/>
    </row>
    <row r="7287" spans="1:3">
      <c r="A7287" s="131" t="s">
        <v>8710</v>
      </c>
      <c r="B7287" s="132">
        <v>5.8532178495874004E-3</v>
      </c>
      <c r="C7287" s="133"/>
    </row>
    <row r="7288" spans="1:3">
      <c r="A7288" s="131" t="s">
        <v>8711</v>
      </c>
      <c r="B7288" s="132">
        <v>9.2874776152685002E-5</v>
      </c>
      <c r="C7288" s="133"/>
    </row>
    <row r="7289" spans="1:3">
      <c r="A7289" s="131" t="s">
        <v>8712</v>
      </c>
      <c r="B7289" s="132">
        <v>4.0249619801879001E-2</v>
      </c>
      <c r="C7289" s="133"/>
    </row>
    <row r="7290" spans="1:3">
      <c r="A7290" s="131" t="s">
        <v>8713</v>
      </c>
      <c r="B7290" s="132">
        <v>6.3824572249894995E-4</v>
      </c>
      <c r="C7290" s="133"/>
    </row>
    <row r="7291" spans="1:3">
      <c r="A7291" s="131" t="s">
        <v>8714</v>
      </c>
      <c r="B7291" s="132">
        <v>5.2898764884540999E-3</v>
      </c>
      <c r="C7291" s="133"/>
    </row>
    <row r="7292" spans="1:3">
      <c r="A7292" s="131" t="s">
        <v>8715</v>
      </c>
      <c r="B7292" s="132">
        <v>1.191537768433E-8</v>
      </c>
      <c r="C7292" s="133"/>
    </row>
    <row r="7293" spans="1:3">
      <c r="A7293" s="131" t="s">
        <v>8716</v>
      </c>
      <c r="B7293" s="132">
        <v>3.2263072396310002</v>
      </c>
      <c r="C7293" s="133"/>
    </row>
    <row r="7294" spans="1:3">
      <c r="A7294" s="131" t="s">
        <v>8717</v>
      </c>
      <c r="B7294" s="132">
        <v>1.5662634701742999</v>
      </c>
      <c r="C7294" s="133"/>
    </row>
    <row r="7295" spans="1:3">
      <c r="A7295" s="131" t="s">
        <v>8718</v>
      </c>
      <c r="B7295" s="132">
        <v>15.272506182008</v>
      </c>
      <c r="C7295" s="133"/>
    </row>
    <row r="7296" spans="1:3">
      <c r="A7296" s="131" t="s">
        <v>8719</v>
      </c>
      <c r="B7296" s="132">
        <v>6.6973251536416316E-4</v>
      </c>
      <c r="C7296" s="133"/>
    </row>
    <row r="7297" spans="1:3">
      <c r="A7297" s="131" t="s">
        <v>8720</v>
      </c>
      <c r="B7297" s="132">
        <v>3.5391295186365523E-3</v>
      </c>
      <c r="C7297" s="133"/>
    </row>
    <row r="7298" spans="1:3">
      <c r="A7298" s="131" t="s">
        <v>8721</v>
      </c>
      <c r="B7298" s="132">
        <v>3.5439625775502228E-5</v>
      </c>
      <c r="C7298" s="133"/>
    </row>
    <row r="7299" spans="1:3">
      <c r="A7299" s="131" t="s">
        <v>8722</v>
      </c>
      <c r="B7299" s="132">
        <v>4.3342426213550001E-5</v>
      </c>
      <c r="C7299" s="133"/>
    </row>
    <row r="7300" spans="1:3">
      <c r="A7300" s="131" t="s">
        <v>8723</v>
      </c>
      <c r="B7300" s="132">
        <v>291.10972499528691</v>
      </c>
      <c r="C7300" s="133"/>
    </row>
    <row r="7301" spans="1:3">
      <c r="A7301" s="131" t="s">
        <v>8724</v>
      </c>
      <c r="B7301" s="132">
        <v>0.2065966071799358</v>
      </c>
      <c r="C7301" s="133"/>
    </row>
    <row r="7302" spans="1:3">
      <c r="A7302" s="131" t="s">
        <v>8725</v>
      </c>
      <c r="B7302" s="132">
        <v>0.43091827943530336</v>
      </c>
      <c r="C7302" s="133"/>
    </row>
    <row r="7303" spans="1:3">
      <c r="A7303" s="131" t="s">
        <v>8726</v>
      </c>
      <c r="B7303" s="132">
        <v>5.8798695683917046E-2</v>
      </c>
      <c r="C7303" s="133"/>
    </row>
    <row r="7304" spans="1:3">
      <c r="A7304" s="131" t="s">
        <v>8727</v>
      </c>
      <c r="B7304" s="132">
        <v>9.2136889312562E-4</v>
      </c>
      <c r="C7304" s="133"/>
    </row>
    <row r="7305" spans="1:3">
      <c r="A7305" s="131" t="s">
        <v>8728</v>
      </c>
      <c r="B7305" s="132">
        <v>3.7456118726791998</v>
      </c>
      <c r="C7305" s="133"/>
    </row>
    <row r="7306" spans="1:3">
      <c r="A7306" s="131" t="s">
        <v>8729</v>
      </c>
      <c r="B7306" s="132">
        <v>1.694731187756E-2</v>
      </c>
      <c r="C7306" s="133"/>
    </row>
    <row r="7307" spans="1:3">
      <c r="A7307" s="131" t="s">
        <v>8730</v>
      </c>
      <c r="B7307" s="132">
        <v>1.5732995097078001E-6</v>
      </c>
      <c r="C7307" s="133"/>
    </row>
    <row r="7308" spans="1:3">
      <c r="A7308" s="131" t="s">
        <v>8731</v>
      </c>
      <c r="B7308" s="132">
        <v>1.1351594404431</v>
      </c>
      <c r="C7308" s="133"/>
    </row>
    <row r="7309" spans="1:3">
      <c r="A7309" s="131" t="s">
        <v>8732</v>
      </c>
      <c r="B7309" s="132">
        <v>1.4043805140669E-2</v>
      </c>
      <c r="C7309" s="133"/>
    </row>
    <row r="7310" spans="1:3">
      <c r="A7310" s="131" t="s">
        <v>8733</v>
      </c>
      <c r="B7310" s="132">
        <v>2.6226786459149998E-9</v>
      </c>
      <c r="C7310" s="133"/>
    </row>
    <row r="7311" spans="1:3">
      <c r="A7311" s="131" t="s">
        <v>8734</v>
      </c>
      <c r="B7311" s="132">
        <v>15.008122621826001</v>
      </c>
      <c r="C7311" s="133"/>
    </row>
    <row r="7312" spans="1:3">
      <c r="A7312" s="131" t="s">
        <v>8735</v>
      </c>
      <c r="B7312" s="132">
        <v>1.3575398971834E-7</v>
      </c>
      <c r="C7312" s="133"/>
    </row>
    <row r="7313" spans="1:3">
      <c r="A7313" s="131" t="s">
        <v>8736</v>
      </c>
      <c r="B7313" s="132">
        <v>3.9035154501567998E-2</v>
      </c>
      <c r="C7313" s="133"/>
    </row>
    <row r="7314" spans="1:3">
      <c r="A7314" s="131" t="s">
        <v>8737</v>
      </c>
      <c r="B7314" s="132">
        <v>1.3597815342460999</v>
      </c>
      <c r="C7314" s="133"/>
    </row>
    <row r="7315" spans="1:3">
      <c r="A7315" s="131" t="s">
        <v>8738</v>
      </c>
      <c r="B7315" s="132">
        <v>0.93140408991050005</v>
      </c>
      <c r="C7315" s="133"/>
    </row>
    <row r="7316" spans="1:3">
      <c r="A7316" s="131" t="s">
        <v>8739</v>
      </c>
      <c r="B7316" s="132">
        <v>1.0129549716113271E-2</v>
      </c>
      <c r="C7316" s="133"/>
    </row>
    <row r="7317" spans="1:3">
      <c r="A7317" s="131" t="s">
        <v>8740</v>
      </c>
      <c r="B7317" s="132">
        <v>0.29363130776348001</v>
      </c>
      <c r="C7317" s="133"/>
    </row>
    <row r="7318" spans="1:3">
      <c r="A7318" s="131" t="s">
        <v>8741</v>
      </c>
      <c r="B7318" s="132">
        <v>1.0571501117230999</v>
      </c>
      <c r="C7318" s="133"/>
    </row>
    <row r="7319" spans="1:3">
      <c r="A7319" s="131" t="s">
        <v>8742</v>
      </c>
      <c r="B7319" s="132">
        <v>0.18653902395149316</v>
      </c>
      <c r="C7319" s="133"/>
    </row>
    <row r="7320" spans="1:3">
      <c r="A7320" s="131" t="s">
        <v>8743</v>
      </c>
      <c r="B7320" s="132">
        <v>0.83637397002244995</v>
      </c>
      <c r="C7320" s="133"/>
    </row>
    <row r="7321" spans="1:3">
      <c r="A7321" s="131" t="s">
        <v>8744</v>
      </c>
      <c r="B7321" s="132">
        <v>8.0093329503996002E-2</v>
      </c>
      <c r="C7321" s="133"/>
    </row>
    <row r="7322" spans="1:3">
      <c r="A7322" s="131" t="s">
        <v>8745</v>
      </c>
      <c r="B7322" s="132">
        <v>2.1577795511928999</v>
      </c>
      <c r="C7322" s="133"/>
    </row>
    <row r="7323" spans="1:3">
      <c r="A7323" s="131" t="s">
        <v>8746</v>
      </c>
      <c r="B7323" s="132">
        <v>5.8718856804547003E-4</v>
      </c>
      <c r="C7323" s="133"/>
    </row>
    <row r="7324" spans="1:3">
      <c r="A7324" s="131" t="s">
        <v>8747</v>
      </c>
      <c r="B7324" s="132">
        <v>4.7766913545420002E-8</v>
      </c>
      <c r="C7324" s="133"/>
    </row>
    <row r="7325" spans="1:3">
      <c r="A7325" s="131" t="s">
        <v>8748</v>
      </c>
      <c r="B7325" s="132">
        <v>1.2896042077800001E-2</v>
      </c>
      <c r="C7325" s="133"/>
    </row>
    <row r="7326" spans="1:3">
      <c r="A7326" s="131" t="s">
        <v>8749</v>
      </c>
      <c r="B7326" s="132">
        <v>4.4935273008187</v>
      </c>
      <c r="C7326" s="133"/>
    </row>
    <row r="7327" spans="1:3">
      <c r="A7327" s="131" t="s">
        <v>8750</v>
      </c>
      <c r="B7327" s="132">
        <v>9.3906857815740998E-5</v>
      </c>
      <c r="C7327" s="133"/>
    </row>
    <row r="7328" spans="1:3">
      <c r="A7328" s="131" t="s">
        <v>8751</v>
      </c>
      <c r="B7328" s="132">
        <v>0.26351144164425</v>
      </c>
      <c r="C7328" s="133"/>
    </row>
    <row r="7329" spans="1:3">
      <c r="A7329" s="131" t="s">
        <v>8752</v>
      </c>
      <c r="B7329" s="132">
        <v>5.1056268140846003E-4</v>
      </c>
      <c r="C7329" s="133"/>
    </row>
    <row r="7330" spans="1:3">
      <c r="A7330" s="131" t="s">
        <v>8753</v>
      </c>
      <c r="B7330" s="132">
        <v>7.4559849291065997E-4</v>
      </c>
      <c r="C7330" s="133"/>
    </row>
    <row r="7331" spans="1:3">
      <c r="A7331" s="131" t="s">
        <v>8754</v>
      </c>
      <c r="B7331" s="132">
        <v>0.15878876524905</v>
      </c>
      <c r="C7331" s="133"/>
    </row>
    <row r="7332" spans="1:3">
      <c r="A7332" s="131" t="s">
        <v>8755</v>
      </c>
      <c r="B7332" s="132">
        <v>0.99896546778148998</v>
      </c>
      <c r="C7332" s="133"/>
    </row>
    <row r="7333" spans="1:3">
      <c r="A7333" s="131" t="s">
        <v>8756</v>
      </c>
      <c r="B7333" s="132">
        <v>2.4389996901540999E-2</v>
      </c>
      <c r="C7333" s="133"/>
    </row>
    <row r="7334" spans="1:3">
      <c r="A7334" s="131" t="s">
        <v>8757</v>
      </c>
      <c r="B7334" s="132">
        <v>0.52811267419687002</v>
      </c>
      <c r="C7334" s="133"/>
    </row>
    <row r="7335" spans="1:3">
      <c r="A7335" s="131" t="s">
        <v>8758</v>
      </c>
      <c r="B7335" s="132">
        <v>1.0592615764479E-3</v>
      </c>
      <c r="C7335" s="133"/>
    </row>
    <row r="7336" spans="1:3">
      <c r="A7336" s="131" t="s">
        <v>8759</v>
      </c>
      <c r="B7336" s="132">
        <v>2.4323467810103E-2</v>
      </c>
      <c r="C7336" s="133"/>
    </row>
    <row r="7337" spans="1:3">
      <c r="A7337" s="131" t="s">
        <v>8760</v>
      </c>
      <c r="B7337" s="132">
        <v>2.2534584153999999E-10</v>
      </c>
      <c r="C7337" s="133"/>
    </row>
    <row r="7338" spans="1:3">
      <c r="A7338" s="131" t="s">
        <v>8761</v>
      </c>
      <c r="B7338" s="132">
        <v>5.8607503588554002E-2</v>
      </c>
      <c r="C7338" s="133"/>
    </row>
    <row r="7339" spans="1:3">
      <c r="A7339" s="131" t="s">
        <v>8762</v>
      </c>
      <c r="B7339" s="132">
        <v>606.30834892559005</v>
      </c>
      <c r="C7339" s="133"/>
    </row>
    <row r="7340" spans="1:3">
      <c r="A7340" s="131" t="s">
        <v>8763</v>
      </c>
      <c r="B7340" s="132">
        <v>2.1463506404335E-2</v>
      </c>
      <c r="C7340" s="133"/>
    </row>
    <row r="7341" spans="1:3">
      <c r="A7341" s="131" t="s">
        <v>8764</v>
      </c>
      <c r="B7341" s="132">
        <v>2.1126416701258002E-2</v>
      </c>
      <c r="C7341" s="133"/>
    </row>
    <row r="7342" spans="1:3">
      <c r="A7342" s="131" t="s">
        <v>8765</v>
      </c>
      <c r="B7342" s="132">
        <v>0.13996941873043001</v>
      </c>
      <c r="C7342" s="133"/>
    </row>
    <row r="7343" spans="1:3">
      <c r="A7343" s="131" t="s">
        <v>8766</v>
      </c>
      <c r="B7343" s="132">
        <v>1.0083143452663E-2</v>
      </c>
      <c r="C7343" s="133"/>
    </row>
    <row r="7344" spans="1:3">
      <c r="A7344" s="131" t="s">
        <v>8767</v>
      </c>
      <c r="B7344" s="132">
        <v>0.57017652730247004</v>
      </c>
      <c r="C7344" s="133"/>
    </row>
    <row r="7345" spans="1:3">
      <c r="A7345" s="131" t="s">
        <v>8768</v>
      </c>
      <c r="B7345" s="132">
        <v>4.0346738776209999E-2</v>
      </c>
      <c r="C7345" s="133"/>
    </row>
    <row r="7346" spans="1:3">
      <c r="A7346" s="131" t="s">
        <v>8769</v>
      </c>
      <c r="B7346" s="132">
        <v>8.1033131173922999E-3</v>
      </c>
      <c r="C7346" s="133"/>
    </row>
    <row r="7347" spans="1:3">
      <c r="A7347" s="131" t="s">
        <v>8770</v>
      </c>
      <c r="B7347" s="132">
        <v>1.1739502401885E-2</v>
      </c>
      <c r="C7347" s="133"/>
    </row>
    <row r="7348" spans="1:3">
      <c r="A7348" s="131" t="s">
        <v>8771</v>
      </c>
      <c r="B7348" s="132">
        <v>2.9708135561511999</v>
      </c>
      <c r="C7348" s="133"/>
    </row>
    <row r="7349" spans="1:3">
      <c r="A7349" s="131" t="s">
        <v>8772</v>
      </c>
      <c r="B7349" s="132">
        <v>878.78012843291003</v>
      </c>
      <c r="C7349" s="133"/>
    </row>
    <row r="7350" spans="1:3">
      <c r="A7350" s="131" t="s">
        <v>8773</v>
      </c>
      <c r="B7350" s="132">
        <v>1.091534573825E-4</v>
      </c>
      <c r="C7350" s="133"/>
    </row>
    <row r="7351" spans="1:3">
      <c r="A7351" s="131" t="s">
        <v>8774</v>
      </c>
      <c r="B7351" s="132">
        <v>9.5714435285836996E-4</v>
      </c>
      <c r="C7351" s="133"/>
    </row>
    <row r="7352" spans="1:3">
      <c r="A7352" s="131" t="s">
        <v>8775</v>
      </c>
      <c r="B7352" s="132">
        <v>4.9203684768152497E-4</v>
      </c>
      <c r="C7352" s="133"/>
    </row>
    <row r="7353" spans="1:3">
      <c r="A7353" s="131" t="s">
        <v>8776</v>
      </c>
      <c r="B7353" s="132">
        <v>1.0911757740913E-3</v>
      </c>
      <c r="C7353" s="133"/>
    </row>
    <row r="7354" spans="1:3">
      <c r="A7354" s="131" t="s">
        <v>8777</v>
      </c>
      <c r="B7354" s="132">
        <v>5.9792868823534996E-3</v>
      </c>
      <c r="C7354" s="133"/>
    </row>
    <row r="7355" spans="1:3">
      <c r="A7355" s="131" t="s">
        <v>8778</v>
      </c>
      <c r="B7355" s="132">
        <v>1.2855328396654</v>
      </c>
      <c r="C7355" s="133"/>
    </row>
    <row r="7356" spans="1:3">
      <c r="A7356" s="131" t="s">
        <v>8779</v>
      </c>
      <c r="B7356" s="132">
        <v>378.99455189269997</v>
      </c>
      <c r="C7356" s="133"/>
    </row>
    <row r="7357" spans="1:3">
      <c r="A7357" s="131" t="s">
        <v>8780</v>
      </c>
      <c r="B7357" s="132">
        <v>1.1612629116721999E-2</v>
      </c>
      <c r="C7357" s="133"/>
    </row>
    <row r="7358" spans="1:3">
      <c r="A7358" s="131" t="s">
        <v>8781</v>
      </c>
      <c r="B7358" s="132">
        <v>1.6920762515004</v>
      </c>
      <c r="C7358" s="133"/>
    </row>
    <row r="7359" spans="1:3">
      <c r="A7359" s="131" t="s">
        <v>8782</v>
      </c>
      <c r="B7359" s="132">
        <v>1.9592435151828001E-5</v>
      </c>
      <c r="C7359" s="133"/>
    </row>
    <row r="7360" spans="1:3">
      <c r="A7360" s="131" t="s">
        <v>8783</v>
      </c>
      <c r="B7360" s="132">
        <v>2.0505550458247499</v>
      </c>
      <c r="C7360" s="133"/>
    </row>
    <row r="7361" spans="1:3">
      <c r="A7361" s="131" t="s">
        <v>8784</v>
      </c>
      <c r="B7361" s="132">
        <v>0.1325305605573</v>
      </c>
      <c r="C7361" s="133"/>
    </row>
    <row r="7362" spans="1:3">
      <c r="A7362" s="131" t="s">
        <v>8785</v>
      </c>
      <c r="B7362" s="132">
        <v>1.081743906069E-4</v>
      </c>
      <c r="C7362" s="133"/>
    </row>
    <row r="7363" spans="1:3">
      <c r="A7363" s="131" t="s">
        <v>8786</v>
      </c>
      <c r="B7363" s="132">
        <v>0.29922150854362001</v>
      </c>
      <c r="C7363" s="133"/>
    </row>
    <row r="7364" spans="1:3">
      <c r="A7364" s="131" t="s">
        <v>8787</v>
      </c>
      <c r="B7364" s="132">
        <v>1.9271577590310272</v>
      </c>
      <c r="C7364" s="133"/>
    </row>
    <row r="7365" spans="1:3">
      <c r="A7365" s="131" t="s">
        <v>8788</v>
      </c>
      <c r="B7365" s="132">
        <v>0.50545453443720001</v>
      </c>
      <c r="C7365" s="133"/>
    </row>
    <row r="7366" spans="1:3">
      <c r="A7366" s="131" t="s">
        <v>8789</v>
      </c>
      <c r="B7366" s="132">
        <v>5.539408913E-11</v>
      </c>
      <c r="C7366" s="133"/>
    </row>
    <row r="7367" spans="1:3">
      <c r="A7367" s="131" t="s">
        <v>8790</v>
      </c>
      <c r="B7367" s="132">
        <v>1.838229027343E-8</v>
      </c>
      <c r="C7367" s="133"/>
    </row>
    <row r="7368" spans="1:3">
      <c r="A7368" s="131" t="s">
        <v>8791</v>
      </c>
      <c r="B7368" s="132">
        <v>6.5372226049678996E-4</v>
      </c>
      <c r="C7368" s="133"/>
    </row>
    <row r="7369" spans="1:3">
      <c r="A7369" s="131" t="s">
        <v>8792</v>
      </c>
      <c r="B7369" s="132">
        <v>0.18708171279232499</v>
      </c>
      <c r="C7369" s="133"/>
    </row>
    <row r="7370" spans="1:3">
      <c r="A7370" s="131" t="s">
        <v>8793</v>
      </c>
      <c r="B7370" s="132">
        <v>6.3369436592754E-2</v>
      </c>
      <c r="C7370" s="133"/>
    </row>
    <row r="7371" spans="1:3">
      <c r="A7371" s="131" t="s">
        <v>8794</v>
      </c>
      <c r="B7371" s="132">
        <v>4.9720690226900996E-6</v>
      </c>
      <c r="C7371" s="133"/>
    </row>
    <row r="7372" spans="1:3">
      <c r="A7372" s="131" t="s">
        <v>8795</v>
      </c>
      <c r="B7372" s="132">
        <v>1.4217127432334093</v>
      </c>
      <c r="C7372" s="133"/>
    </row>
    <row r="7373" spans="1:3">
      <c r="A7373" s="131" t="s">
        <v>8796</v>
      </c>
      <c r="B7373" s="132">
        <v>8.1931994349617005E-7</v>
      </c>
      <c r="C7373" s="133"/>
    </row>
    <row r="7374" spans="1:3">
      <c r="A7374" s="131" t="s">
        <v>8797</v>
      </c>
      <c r="B7374" s="132">
        <v>8.4970950955662002E-5</v>
      </c>
      <c r="C7374" s="133"/>
    </row>
    <row r="7375" spans="1:3">
      <c r="A7375" s="131" t="s">
        <v>8798</v>
      </c>
      <c r="B7375" s="132">
        <v>8.9956933676601E-2</v>
      </c>
      <c r="C7375" s="133"/>
    </row>
    <row r="7376" spans="1:3">
      <c r="A7376" s="131" t="s">
        <v>8799</v>
      </c>
      <c r="B7376" s="132">
        <v>5.0237067811999995E-10</v>
      </c>
      <c r="C7376" s="133"/>
    </row>
    <row r="7377" spans="1:3">
      <c r="A7377" s="131" t="s">
        <v>5806</v>
      </c>
      <c r="B7377" s="132">
        <v>6.2960239285234614E-9</v>
      </c>
      <c r="C7377" s="133"/>
    </row>
    <row r="7378" spans="1:3">
      <c r="A7378" s="131" t="s">
        <v>5807</v>
      </c>
      <c r="B7378" s="132">
        <v>4.0969336145669002E-7</v>
      </c>
      <c r="C7378" s="133"/>
    </row>
    <row r="7379" spans="1:3">
      <c r="A7379" s="131" t="s">
        <v>5808</v>
      </c>
      <c r="B7379" s="132">
        <v>0.33743568103417787</v>
      </c>
      <c r="C7379" s="133"/>
    </row>
    <row r="7380" spans="1:3">
      <c r="A7380" s="131" t="s">
        <v>5809</v>
      </c>
      <c r="B7380" s="132">
        <v>2.3019621705834001E-3</v>
      </c>
      <c r="C7380" s="133"/>
    </row>
    <row r="7381" spans="1:3">
      <c r="A7381" s="131" t="s">
        <v>5810</v>
      </c>
      <c r="B7381" s="132">
        <v>1.050049073418E-8</v>
      </c>
      <c r="C7381" s="133"/>
    </row>
    <row r="7382" spans="1:3">
      <c r="A7382" s="131" t="s">
        <v>5811</v>
      </c>
      <c r="B7382" s="132">
        <v>5.0101449601956997E-4</v>
      </c>
      <c r="C7382" s="133"/>
    </row>
    <row r="7383" spans="1:3">
      <c r="A7383" s="131" t="s">
        <v>5812</v>
      </c>
      <c r="B7383" s="132">
        <v>5.1127671065019002E-4</v>
      </c>
      <c r="C7383" s="133"/>
    </row>
    <row r="7384" spans="1:3">
      <c r="A7384" s="131" t="s">
        <v>5813</v>
      </c>
      <c r="B7384" s="132">
        <v>0.21353527643424</v>
      </c>
      <c r="C7384" s="133"/>
    </row>
    <row r="7385" spans="1:3">
      <c r="A7385" s="131" t="s">
        <v>5814</v>
      </c>
      <c r="B7385" s="132">
        <v>0.1086071922173</v>
      </c>
      <c r="C7385" s="133"/>
    </row>
    <row r="7386" spans="1:3">
      <c r="A7386" s="131" t="s">
        <v>5815</v>
      </c>
      <c r="B7386" s="132">
        <v>1.0845409333205001</v>
      </c>
      <c r="C7386" s="133"/>
    </row>
    <row r="7387" spans="1:3">
      <c r="A7387" s="131" t="s">
        <v>5816</v>
      </c>
      <c r="B7387" s="132">
        <v>5.6768981980920998E-6</v>
      </c>
      <c r="C7387" s="133"/>
    </row>
    <row r="7388" spans="1:3">
      <c r="A7388" s="131" t="s">
        <v>5817</v>
      </c>
      <c r="B7388" s="132">
        <v>0.16124865021192999</v>
      </c>
      <c r="C7388" s="133"/>
    </row>
    <row r="7389" spans="1:3">
      <c r="A7389" s="131" t="s">
        <v>5818</v>
      </c>
      <c r="B7389" s="132">
        <v>2.3572702253128044E-6</v>
      </c>
      <c r="C7389" s="133"/>
    </row>
    <row r="7390" spans="1:3">
      <c r="A7390" s="131" t="s">
        <v>5819</v>
      </c>
      <c r="B7390" s="132">
        <v>2.3382407087250397E-10</v>
      </c>
      <c r="C7390" s="133"/>
    </row>
    <row r="7391" spans="1:3">
      <c r="A7391" s="131" t="s">
        <v>5820</v>
      </c>
      <c r="B7391" s="132">
        <v>1.5957961096024001E-6</v>
      </c>
      <c r="C7391" s="133"/>
    </row>
    <row r="7392" spans="1:3">
      <c r="A7392" s="131" t="s">
        <v>5821</v>
      </c>
      <c r="B7392" s="132">
        <v>6.9752366563546556E-3</v>
      </c>
      <c r="C7392" s="133"/>
    </row>
    <row r="7393" spans="1:3">
      <c r="A7393" s="131" t="s">
        <v>5822</v>
      </c>
      <c r="B7393" s="132">
        <v>4.0450187519152997E-2</v>
      </c>
      <c r="C7393" s="133"/>
    </row>
    <row r="7394" spans="1:3">
      <c r="A7394" s="131" t="s">
        <v>5823</v>
      </c>
      <c r="B7394" s="132">
        <v>7.5043504140804001E-3</v>
      </c>
      <c r="C7394" s="133"/>
    </row>
    <row r="7395" spans="1:3">
      <c r="A7395" s="131" t="s">
        <v>5824</v>
      </c>
      <c r="B7395" s="132">
        <v>2.0366780703499999E-9</v>
      </c>
      <c r="C7395" s="133"/>
    </row>
    <row r="7396" spans="1:3">
      <c r="A7396" s="131" t="s">
        <v>5825</v>
      </c>
      <c r="B7396" s="132">
        <v>13.97</v>
      </c>
      <c r="C7396" s="133"/>
    </row>
    <row r="7397" spans="1:3">
      <c r="A7397" s="131" t="s">
        <v>5826</v>
      </c>
      <c r="B7397" s="132">
        <v>2.5221606609791002E-5</v>
      </c>
      <c r="C7397" s="133"/>
    </row>
    <row r="7398" spans="1:3">
      <c r="A7398" s="131" t="s">
        <v>5827</v>
      </c>
      <c r="B7398" s="132">
        <v>0.51678495157890003</v>
      </c>
      <c r="C7398" s="133"/>
    </row>
    <row r="7399" spans="1:3">
      <c r="A7399" s="131" t="s">
        <v>5828</v>
      </c>
      <c r="B7399" s="132">
        <v>9.6481967086411003E-6</v>
      </c>
      <c r="C7399" s="133"/>
    </row>
    <row r="7400" spans="1:3">
      <c r="A7400" s="131" t="s">
        <v>5829</v>
      </c>
      <c r="B7400" s="132">
        <v>2.0211563143871097E-7</v>
      </c>
      <c r="C7400" s="133"/>
    </row>
    <row r="7401" spans="1:3">
      <c r="A7401" s="131" t="s">
        <v>5830</v>
      </c>
      <c r="B7401" s="132">
        <v>0.89919101908082999</v>
      </c>
      <c r="C7401" s="133"/>
    </row>
    <row r="7402" spans="1:3">
      <c r="A7402" s="131" t="s">
        <v>5831</v>
      </c>
      <c r="B7402" s="132">
        <v>1.9739059581219999E-2</v>
      </c>
      <c r="C7402" s="133"/>
    </row>
    <row r="7403" spans="1:3">
      <c r="A7403" s="131" t="s">
        <v>5832</v>
      </c>
      <c r="B7403" s="132">
        <v>96.024907687861003</v>
      </c>
      <c r="C7403" s="133"/>
    </row>
    <row r="7404" spans="1:3">
      <c r="A7404" s="131" t="s">
        <v>5833</v>
      </c>
      <c r="B7404" s="132">
        <v>0.58598235809887189</v>
      </c>
      <c r="C7404" s="133"/>
    </row>
    <row r="7405" spans="1:3">
      <c r="A7405" s="131" t="s">
        <v>5834</v>
      </c>
      <c r="B7405" s="132">
        <v>1.823951758E-11</v>
      </c>
      <c r="C7405" s="133"/>
    </row>
    <row r="7406" spans="1:3">
      <c r="A7406" s="131" t="s">
        <v>5835</v>
      </c>
      <c r="B7406" s="132">
        <v>5.8048406442300002E-9</v>
      </c>
      <c r="C7406" s="133"/>
    </row>
    <row r="7407" spans="1:3">
      <c r="A7407" s="131" t="s">
        <v>5836</v>
      </c>
      <c r="B7407" s="132">
        <v>101.39821271917</v>
      </c>
      <c r="C7407" s="133"/>
    </row>
    <row r="7408" spans="1:3">
      <c r="A7408" s="131" t="s">
        <v>5837</v>
      </c>
      <c r="B7408" s="132">
        <v>55.152926996437998</v>
      </c>
      <c r="C7408" s="133"/>
    </row>
    <row r="7409" spans="1:3">
      <c r="A7409" s="131" t="s">
        <v>5838</v>
      </c>
      <c r="B7409" s="132">
        <v>11.736685409523</v>
      </c>
      <c r="C7409" s="133"/>
    </row>
    <row r="7410" spans="1:3">
      <c r="A7410" s="131" t="s">
        <v>5839</v>
      </c>
      <c r="B7410" s="132">
        <v>0.25001233676390999</v>
      </c>
      <c r="C7410" s="133"/>
    </row>
    <row r="7411" spans="1:3">
      <c r="A7411" s="131" t="s">
        <v>5840</v>
      </c>
      <c r="B7411" s="132">
        <v>0.90940361003257664</v>
      </c>
      <c r="C7411" s="133"/>
    </row>
    <row r="7412" spans="1:3">
      <c r="A7412" s="131" t="s">
        <v>5841</v>
      </c>
      <c r="B7412" s="132">
        <v>8.5462253457724E-2</v>
      </c>
      <c r="C7412" s="133"/>
    </row>
    <row r="7413" spans="1:3">
      <c r="A7413" s="131" t="s">
        <v>5842</v>
      </c>
      <c r="B7413" s="132">
        <v>2.3631026057129998</v>
      </c>
      <c r="C7413" s="133"/>
    </row>
    <row r="7414" spans="1:3">
      <c r="A7414" s="131" t="s">
        <v>5843</v>
      </c>
      <c r="B7414" s="132">
        <v>3.0046073362169934</v>
      </c>
      <c r="C7414" s="133"/>
    </row>
    <row r="7415" spans="1:3">
      <c r="A7415" s="131" t="s">
        <v>5844</v>
      </c>
      <c r="B7415" s="132">
        <v>464.77219884390001</v>
      </c>
      <c r="C7415" s="133"/>
    </row>
    <row r="7416" spans="1:3">
      <c r="A7416" s="131" t="s">
        <v>5845</v>
      </c>
      <c r="B7416" s="132">
        <v>9.1351844106118008E-3</v>
      </c>
      <c r="C7416" s="133"/>
    </row>
    <row r="7417" spans="1:3">
      <c r="A7417" s="131" t="s">
        <v>5846</v>
      </c>
      <c r="B7417" s="132">
        <v>3.6499279635497997E-2</v>
      </c>
      <c r="C7417" s="133"/>
    </row>
    <row r="7418" spans="1:3">
      <c r="A7418" s="131" t="s">
        <v>5847</v>
      </c>
      <c r="B7418" s="132">
        <v>7.0705571339258998E-3</v>
      </c>
      <c r="C7418" s="133"/>
    </row>
    <row r="7419" spans="1:3">
      <c r="A7419" s="131" t="s">
        <v>5848</v>
      </c>
      <c r="B7419" s="132">
        <v>6.4953996000000003E-13</v>
      </c>
      <c r="C7419" s="133"/>
    </row>
    <row r="7420" spans="1:3">
      <c r="A7420" s="131" t="s">
        <v>5849</v>
      </c>
      <c r="B7420" s="132">
        <v>4.5935523131968E-3</v>
      </c>
      <c r="C7420" s="133"/>
    </row>
    <row r="7421" spans="1:3">
      <c r="A7421" s="131" t="s">
        <v>5850</v>
      </c>
      <c r="B7421" s="132">
        <v>0.40021333333333331</v>
      </c>
      <c r="C7421" s="133"/>
    </row>
    <row r="7422" spans="1:3">
      <c r="A7422" s="131" t="s">
        <v>5851</v>
      </c>
      <c r="B7422" s="132">
        <v>1.9455703010867E-2</v>
      </c>
      <c r="C7422" s="133"/>
    </row>
    <row r="7423" spans="1:3">
      <c r="A7423" s="131" t="s">
        <v>5852</v>
      </c>
      <c r="B7423" s="132">
        <v>4.6707598160897999E-2</v>
      </c>
      <c r="C7423" s="133"/>
    </row>
    <row r="7424" spans="1:3">
      <c r="A7424" s="131" t="s">
        <v>5853</v>
      </c>
      <c r="B7424" s="132">
        <v>7.5189187450260995E-4</v>
      </c>
      <c r="C7424" s="133"/>
    </row>
    <row r="7425" spans="1:3">
      <c r="A7425" s="131" t="s">
        <v>5854</v>
      </c>
      <c r="B7425" s="132">
        <v>2.6093379066377001E-2</v>
      </c>
      <c r="C7425" s="133"/>
    </row>
    <row r="7426" spans="1:3">
      <c r="A7426" s="131" t="s">
        <v>5855</v>
      </c>
      <c r="B7426" s="132">
        <v>9.2196310848236998</v>
      </c>
      <c r="C7426" s="133"/>
    </row>
    <row r="7427" spans="1:3">
      <c r="A7427" s="131" t="s">
        <v>5856</v>
      </c>
      <c r="B7427" s="132">
        <v>1.4471530841817047E-11</v>
      </c>
      <c r="C7427" s="133"/>
    </row>
    <row r="7428" spans="1:3">
      <c r="A7428" s="131" t="s">
        <v>5857</v>
      </c>
      <c r="B7428" s="132">
        <v>3.1892490986079001E-4</v>
      </c>
      <c r="C7428" s="133"/>
    </row>
    <row r="7429" spans="1:3">
      <c r="A7429" s="131" t="s">
        <v>5858</v>
      </c>
      <c r="B7429" s="132">
        <v>6.4437183291945997E-3</v>
      </c>
      <c r="C7429" s="133"/>
    </row>
    <row r="7430" spans="1:3">
      <c r="A7430" s="131" t="s">
        <v>5859</v>
      </c>
      <c r="B7430" s="132">
        <v>626.06476162287004</v>
      </c>
      <c r="C7430" s="133"/>
    </row>
    <row r="7431" spans="1:3">
      <c r="A7431" s="131" t="s">
        <v>5860</v>
      </c>
      <c r="B7431" s="132">
        <v>0.16576710979847001</v>
      </c>
      <c r="C7431" s="133"/>
    </row>
    <row r="7432" spans="1:3">
      <c r="A7432" s="131" t="s">
        <v>5861</v>
      </c>
      <c r="B7432" s="132">
        <v>1.0149129774021E-2</v>
      </c>
      <c r="C7432" s="133"/>
    </row>
    <row r="7433" spans="1:3">
      <c r="A7433" s="131" t="s">
        <v>5862</v>
      </c>
      <c r="B7433" s="132">
        <v>1.5095239966310989E-4</v>
      </c>
      <c r="C7433" s="133"/>
    </row>
    <row r="7434" spans="1:3">
      <c r="A7434" s="131" t="s">
        <v>5863</v>
      </c>
      <c r="B7434" s="132">
        <v>3.4053786304796E-4</v>
      </c>
      <c r="C7434" s="133"/>
    </row>
    <row r="7435" spans="1:3">
      <c r="A7435" s="131" t="s">
        <v>5864</v>
      </c>
      <c r="B7435" s="132">
        <v>6.9528659954107994E-2</v>
      </c>
      <c r="C7435" s="133"/>
    </row>
    <row r="7436" spans="1:3">
      <c r="A7436" s="131" t="s">
        <v>5865</v>
      </c>
      <c r="B7436" s="132">
        <v>7.6628197019999997E-11</v>
      </c>
      <c r="C7436" s="133"/>
    </row>
    <row r="7437" spans="1:3">
      <c r="A7437" s="131" t="s">
        <v>5866</v>
      </c>
      <c r="B7437" s="132">
        <v>1.5034218191764E-4</v>
      </c>
      <c r="C7437" s="133"/>
    </row>
    <row r="7438" spans="1:3">
      <c r="A7438" s="131" t="s">
        <v>5867</v>
      </c>
      <c r="B7438" s="132">
        <v>0.13883610276246999</v>
      </c>
      <c r="C7438" s="133"/>
    </row>
    <row r="7439" spans="1:3">
      <c r="A7439" s="131" t="s">
        <v>5868</v>
      </c>
      <c r="B7439" s="132">
        <v>2.4049668623698</v>
      </c>
      <c r="C7439" s="133"/>
    </row>
    <row r="7440" spans="1:3">
      <c r="A7440" s="131" t="s">
        <v>5869</v>
      </c>
      <c r="B7440" s="132">
        <v>0.10284853952415</v>
      </c>
      <c r="C7440" s="133"/>
    </row>
    <row r="7441" spans="1:3">
      <c r="A7441" s="131" t="s">
        <v>5870</v>
      </c>
      <c r="B7441" s="132">
        <v>1.3833486891291001E-3</v>
      </c>
      <c r="C7441" s="133"/>
    </row>
    <row r="7442" spans="1:3">
      <c r="A7442" s="131" t="s">
        <v>5871</v>
      </c>
      <c r="B7442" s="132">
        <v>8.6197026335545004E-2</v>
      </c>
      <c r="C7442" s="133"/>
    </row>
    <row r="7443" spans="1:3">
      <c r="A7443" s="131" t="s">
        <v>5872</v>
      </c>
      <c r="B7443" s="132">
        <v>1.4804687288814</v>
      </c>
      <c r="C7443" s="133"/>
    </row>
    <row r="7444" spans="1:3">
      <c r="A7444" s="131" t="s">
        <v>5873</v>
      </c>
      <c r="B7444" s="132">
        <v>3.0521208289999998E-10</v>
      </c>
      <c r="C7444" s="133"/>
    </row>
    <row r="7445" spans="1:3">
      <c r="A7445" s="131" t="s">
        <v>5874</v>
      </c>
      <c r="B7445" s="132">
        <v>9.8632481744000001E-10</v>
      </c>
      <c r="C7445" s="133"/>
    </row>
    <row r="7446" spans="1:3">
      <c r="A7446" s="131" t="s">
        <v>5875</v>
      </c>
      <c r="B7446" s="132">
        <v>28.233739792459001</v>
      </c>
      <c r="C7446" s="133"/>
    </row>
    <row r="7447" spans="1:3">
      <c r="A7447" s="131" t="s">
        <v>5876</v>
      </c>
      <c r="B7447" s="132">
        <v>3.4610853322999999E-9</v>
      </c>
      <c r="C7447" s="133"/>
    </row>
    <row r="7448" spans="1:3">
      <c r="A7448" s="131" t="s">
        <v>5877</v>
      </c>
      <c r="B7448" s="132">
        <v>4.9463816750000003E-6</v>
      </c>
      <c r="C7448" s="133"/>
    </row>
    <row r="7449" spans="1:3">
      <c r="A7449" s="131" t="s">
        <v>5878</v>
      </c>
      <c r="B7449" s="132">
        <v>6.8900055380799999E-9</v>
      </c>
      <c r="C7449" s="133"/>
    </row>
    <row r="7450" spans="1:3">
      <c r="A7450" s="131" t="s">
        <v>5879</v>
      </c>
      <c r="B7450" s="132">
        <v>4.4469048791011998</v>
      </c>
      <c r="C7450" s="133"/>
    </row>
    <row r="7451" spans="1:3">
      <c r="A7451" s="131" t="s">
        <v>5880</v>
      </c>
      <c r="B7451" s="132">
        <v>99.267924737466004</v>
      </c>
      <c r="C7451" s="133"/>
    </row>
    <row r="7452" spans="1:3">
      <c r="A7452" s="131" t="s">
        <v>5881</v>
      </c>
      <c r="B7452" s="132">
        <v>7.0091778356518003E-2</v>
      </c>
      <c r="C7452" s="133"/>
    </row>
    <row r="7453" spans="1:3">
      <c r="A7453" s="131" t="s">
        <v>5882</v>
      </c>
      <c r="B7453" s="132">
        <v>0.11080019222386003</v>
      </c>
      <c r="C7453" s="133"/>
    </row>
    <row r="7454" spans="1:3">
      <c r="A7454" s="131" t="s">
        <v>5883</v>
      </c>
      <c r="B7454" s="132">
        <v>1.4141139373075999</v>
      </c>
      <c r="C7454" s="133"/>
    </row>
    <row r="7455" spans="1:3">
      <c r="A7455" s="131" t="s">
        <v>5884</v>
      </c>
      <c r="B7455" s="132">
        <v>4.3178562585398164E-2</v>
      </c>
      <c r="C7455" s="133"/>
    </row>
    <row r="7456" spans="1:3">
      <c r="A7456" s="131" t="s">
        <v>5885</v>
      </c>
      <c r="B7456" s="132">
        <v>0.97701542752404102</v>
      </c>
      <c r="C7456" s="133"/>
    </row>
    <row r="7457" spans="1:3">
      <c r="A7457" s="131" t="s">
        <v>5886</v>
      </c>
      <c r="B7457" s="132">
        <v>0.40327138180712002</v>
      </c>
      <c r="C7457" s="133"/>
    </row>
    <row r="7458" spans="1:3">
      <c r="A7458" s="131" t="s">
        <v>5887</v>
      </c>
      <c r="B7458" s="132">
        <v>9.9006670803556004E-2</v>
      </c>
      <c r="C7458" s="133"/>
    </row>
    <row r="7459" spans="1:3">
      <c r="A7459" s="131" t="s">
        <v>5888</v>
      </c>
      <c r="B7459" s="132">
        <v>1.0296962144610409E-8</v>
      </c>
      <c r="C7459" s="133"/>
    </row>
    <row r="7460" spans="1:3">
      <c r="A7460" s="131" t="s">
        <v>5889</v>
      </c>
      <c r="B7460" s="132">
        <v>1.0906161505484E-4</v>
      </c>
      <c r="C7460" s="133"/>
    </row>
    <row r="7461" spans="1:3">
      <c r="A7461" s="131" t="s">
        <v>5890</v>
      </c>
      <c r="B7461" s="132">
        <v>62.939433838219003</v>
      </c>
      <c r="C7461" s="133"/>
    </row>
    <row r="7462" spans="1:3">
      <c r="A7462" s="131" t="s">
        <v>5891</v>
      </c>
      <c r="B7462" s="132">
        <v>3.3789151488928999E-7</v>
      </c>
      <c r="C7462" s="133"/>
    </row>
    <row r="7463" spans="1:3">
      <c r="A7463" s="131" t="s">
        <v>5892</v>
      </c>
      <c r="B7463" s="132">
        <v>0.10535815333324999</v>
      </c>
      <c r="C7463" s="133"/>
    </row>
    <row r="7464" spans="1:3">
      <c r="A7464" s="131" t="s">
        <v>5893</v>
      </c>
      <c r="B7464" s="132">
        <v>7.597581858305E-8</v>
      </c>
      <c r="C7464" s="133"/>
    </row>
    <row r="7465" spans="1:3">
      <c r="A7465" s="131" t="s">
        <v>5894</v>
      </c>
      <c r="B7465" s="132">
        <v>25.767736602549</v>
      </c>
      <c r="C7465" s="133"/>
    </row>
    <row r="7466" spans="1:3">
      <c r="A7466" s="131" t="s">
        <v>5895</v>
      </c>
      <c r="B7466" s="132">
        <v>60529.125800621354</v>
      </c>
      <c r="C7466" s="133"/>
    </row>
    <row r="7467" spans="1:3">
      <c r="A7467" s="131" t="s">
        <v>5896</v>
      </c>
      <c r="B7467" s="132">
        <v>7.7749200372832002E-4</v>
      </c>
      <c r="C7467" s="133"/>
    </row>
    <row r="7468" spans="1:3">
      <c r="A7468" s="131" t="s">
        <v>5897</v>
      </c>
      <c r="B7468" s="132">
        <v>0.51079645072629998</v>
      </c>
      <c r="C7468" s="133"/>
    </row>
    <row r="7469" spans="1:3">
      <c r="A7469" s="131" t="s">
        <v>5898</v>
      </c>
      <c r="B7469" s="132">
        <v>1.0286641482258001</v>
      </c>
      <c r="C7469" s="133"/>
    </row>
    <row r="7470" spans="1:3">
      <c r="A7470" s="131" t="s">
        <v>5899</v>
      </c>
      <c r="B7470" s="132">
        <v>146.01904551025501</v>
      </c>
      <c r="C7470" s="133"/>
    </row>
    <row r="7471" spans="1:3">
      <c r="A7471" s="131" t="s">
        <v>5900</v>
      </c>
      <c r="B7471" s="132">
        <v>61544.325766499998</v>
      </c>
      <c r="C7471" s="133"/>
    </row>
    <row r="7472" spans="1:3">
      <c r="A7472" s="131" t="s">
        <v>5901</v>
      </c>
      <c r="B7472" s="132">
        <v>3.0223532125214999E-2</v>
      </c>
      <c r="C7472" s="133"/>
    </row>
    <row r="7473" spans="1:3">
      <c r="A7473" s="131" t="s">
        <v>5902</v>
      </c>
      <c r="B7473" s="132">
        <v>2.3700187664299999E-9</v>
      </c>
      <c r="C7473" s="133"/>
    </row>
    <row r="7474" spans="1:3">
      <c r="A7474" s="131" t="s">
        <v>5903</v>
      </c>
      <c r="B7474" s="132">
        <v>1.1580694707558425E-4</v>
      </c>
      <c r="C7474" s="133"/>
    </row>
    <row r="7475" spans="1:3">
      <c r="A7475" s="131" t="s">
        <v>5904</v>
      </c>
      <c r="B7475" s="132">
        <v>6.5322067047789995E-8</v>
      </c>
      <c r="C7475" s="133"/>
    </row>
    <row r="7476" spans="1:3">
      <c r="A7476" s="131" t="s">
        <v>5905</v>
      </c>
      <c r="B7476" s="132">
        <v>7.0650659994299998E-5</v>
      </c>
      <c r="C7476" s="133"/>
    </row>
    <row r="7477" spans="1:3">
      <c r="A7477" s="131" t="s">
        <v>5906</v>
      </c>
      <c r="B7477" s="132">
        <v>1.08059941827E-9</v>
      </c>
      <c r="C7477" s="133"/>
    </row>
    <row r="7478" spans="1:3">
      <c r="A7478" s="131" t="s">
        <v>5907</v>
      </c>
      <c r="B7478" s="132">
        <v>0.45658677702604999</v>
      </c>
      <c r="C7478" s="133"/>
    </row>
    <row r="7479" spans="1:3">
      <c r="A7479" s="131" t="s">
        <v>5908</v>
      </c>
      <c r="B7479" s="132">
        <v>0.11997295186172</v>
      </c>
      <c r="C7479" s="133"/>
    </row>
    <row r="7480" spans="1:3">
      <c r="A7480" s="131" t="s">
        <v>5909</v>
      </c>
      <c r="B7480" s="132">
        <v>0.14336331205189001</v>
      </c>
      <c r="C7480" s="133"/>
    </row>
    <row r="7481" spans="1:3">
      <c r="A7481" s="131" t="s">
        <v>5910</v>
      </c>
      <c r="B7481" s="132">
        <v>6.3038899654385003E-7</v>
      </c>
      <c r="C7481" s="133"/>
    </row>
    <row r="7482" spans="1:3">
      <c r="A7482" s="131" t="s">
        <v>5911</v>
      </c>
      <c r="B7482" s="132">
        <v>0.38070812331390003</v>
      </c>
      <c r="C7482" s="133"/>
    </row>
    <row r="7483" spans="1:3">
      <c r="A7483" s="131" t="s">
        <v>5912</v>
      </c>
      <c r="B7483" s="132">
        <v>1.3572029060451633E-2</v>
      </c>
      <c r="C7483" s="133"/>
    </row>
    <row r="7484" spans="1:3">
      <c r="A7484" s="131" t="s">
        <v>5913</v>
      </c>
      <c r="B7484" s="132">
        <v>8.7750085017840006E-3</v>
      </c>
      <c r="C7484" s="133"/>
    </row>
    <row r="7485" spans="1:3">
      <c r="A7485" s="131" t="s">
        <v>5914</v>
      </c>
      <c r="B7485" s="132">
        <v>3.4844052300000002E-11</v>
      </c>
      <c r="C7485" s="133"/>
    </row>
    <row r="7486" spans="1:3">
      <c r="A7486" s="131" t="s">
        <v>5915</v>
      </c>
      <c r="B7486" s="132">
        <v>17.220088494014</v>
      </c>
      <c r="C7486" s="133"/>
    </row>
    <row r="7487" spans="1:3">
      <c r="A7487" s="131" t="s">
        <v>5916</v>
      </c>
      <c r="B7487" s="132">
        <v>46.327495291045999</v>
      </c>
      <c r="C7487" s="133"/>
    </row>
    <row r="7488" spans="1:3">
      <c r="A7488" s="131" t="s">
        <v>2935</v>
      </c>
      <c r="B7488" s="132">
        <v>3.0552127510935002E-3</v>
      </c>
      <c r="C7488" s="133"/>
    </row>
    <row r="7489" spans="1:3">
      <c r="A7489" s="131" t="s">
        <v>2936</v>
      </c>
      <c r="B7489" s="132">
        <v>9.6827753476999992E-10</v>
      </c>
      <c r="C7489" s="133"/>
    </row>
    <row r="7490" spans="1:3">
      <c r="A7490" s="131" t="s">
        <v>2937</v>
      </c>
      <c r="B7490" s="132">
        <v>1.0035719660376499</v>
      </c>
      <c r="C7490" s="133"/>
    </row>
    <row r="7491" spans="1:3">
      <c r="A7491" s="131" t="s">
        <v>2938</v>
      </c>
      <c r="B7491" s="132">
        <v>6.6766490501764003E-2</v>
      </c>
      <c r="C7491" s="133"/>
    </row>
    <row r="7492" spans="1:3">
      <c r="A7492" s="131" t="s">
        <v>2939</v>
      </c>
      <c r="B7492" s="132">
        <v>3.7161109425655047E-3</v>
      </c>
      <c r="C7492" s="133"/>
    </row>
    <row r="7493" spans="1:3">
      <c r="A7493" s="131" t="s">
        <v>2940</v>
      </c>
      <c r="B7493" s="132">
        <v>1.95809291297E-9</v>
      </c>
      <c r="C7493" s="133"/>
    </row>
    <row r="7494" spans="1:3">
      <c r="A7494" s="131" t="s">
        <v>2941</v>
      </c>
      <c r="B7494" s="132">
        <v>1.9689936373530001E-8</v>
      </c>
      <c r="C7494" s="133"/>
    </row>
    <row r="7495" spans="1:3">
      <c r="A7495" s="131" t="s">
        <v>2942</v>
      </c>
      <c r="B7495" s="132">
        <v>6.0524562117280004E-8</v>
      </c>
      <c r="C7495" s="133"/>
    </row>
    <row r="7496" spans="1:3">
      <c r="A7496" s="131" t="s">
        <v>2943</v>
      </c>
      <c r="B7496" s="132">
        <v>4076.9484048562499</v>
      </c>
      <c r="C7496" s="133"/>
    </row>
    <row r="7497" spans="1:3">
      <c r="A7497" s="131" t="s">
        <v>2944</v>
      </c>
      <c r="B7497" s="132">
        <v>9.7767395592204993E-4</v>
      </c>
      <c r="C7497" s="133"/>
    </row>
    <row r="7498" spans="1:3">
      <c r="A7498" s="131" t="s">
        <v>2945</v>
      </c>
      <c r="B7498" s="132">
        <v>4.3809397373933869</v>
      </c>
      <c r="C7498" s="133"/>
    </row>
    <row r="7499" spans="1:3">
      <c r="A7499" s="131" t="s">
        <v>2946</v>
      </c>
      <c r="B7499" s="132">
        <v>18.219007950017499</v>
      </c>
      <c r="C7499" s="133"/>
    </row>
    <row r="7500" spans="1:3">
      <c r="A7500" s="131" t="s">
        <v>2947</v>
      </c>
      <c r="B7500" s="132">
        <v>8.7294061927305005E-4</v>
      </c>
      <c r="C7500" s="133"/>
    </row>
    <row r="7501" spans="1:3">
      <c r="A7501" s="131" t="s">
        <v>2948</v>
      </c>
      <c r="B7501" s="132">
        <v>1.9643977999999999E-12</v>
      </c>
      <c r="C7501" s="133"/>
    </row>
    <row r="7502" spans="1:3">
      <c r="A7502" s="131" t="s">
        <v>2949</v>
      </c>
      <c r="B7502" s="132">
        <v>9.7517352799999993E-12</v>
      </c>
      <c r="C7502" s="133"/>
    </row>
    <row r="7503" spans="1:3">
      <c r="A7503" s="131" t="s">
        <v>2950</v>
      </c>
      <c r="B7503" s="132">
        <v>1.11924051242E-9</v>
      </c>
      <c r="C7503" s="133"/>
    </row>
    <row r="7504" spans="1:3">
      <c r="A7504" s="131" t="s">
        <v>2951</v>
      </c>
      <c r="B7504" s="132">
        <v>2.4114378326546E-3</v>
      </c>
      <c r="C7504" s="133"/>
    </row>
    <row r="7505" spans="1:3">
      <c r="A7505" s="131" t="s">
        <v>2952</v>
      </c>
      <c r="B7505" s="132">
        <v>8.0519864220000002E-11</v>
      </c>
      <c r="C7505" s="133"/>
    </row>
    <row r="7506" spans="1:3">
      <c r="A7506" s="131" t="s">
        <v>2953</v>
      </c>
      <c r="B7506" s="132">
        <v>1.5836597683329998E-8</v>
      </c>
      <c r="C7506" s="133"/>
    </row>
    <row r="7507" spans="1:3">
      <c r="A7507" s="131" t="s">
        <v>2954</v>
      </c>
      <c r="B7507" s="132">
        <v>0.63271706977706998</v>
      </c>
      <c r="C7507" s="133"/>
    </row>
    <row r="7508" spans="1:3">
      <c r="A7508" s="131" t="s">
        <v>2955</v>
      </c>
      <c r="B7508" s="132">
        <v>7.0141805216704001E-5</v>
      </c>
      <c r="C7508" s="133"/>
    </row>
    <row r="7509" spans="1:3">
      <c r="A7509" s="131" t="s">
        <v>2956</v>
      </c>
      <c r="B7509" s="132">
        <v>1261.9379890675</v>
      </c>
      <c r="C7509" s="133"/>
    </row>
    <row r="7510" spans="1:3">
      <c r="A7510" s="131" t="s">
        <v>2957</v>
      </c>
      <c r="B7510" s="132">
        <v>1.0339917968006001E-3</v>
      </c>
      <c r="C7510" s="133"/>
    </row>
    <row r="7511" spans="1:3">
      <c r="A7511" s="131" t="s">
        <v>2958</v>
      </c>
      <c r="B7511" s="132">
        <v>6.7754654118E-9</v>
      </c>
      <c r="C7511" s="133"/>
    </row>
    <row r="7512" spans="1:3">
      <c r="A7512" s="131" t="s">
        <v>2959</v>
      </c>
      <c r="B7512" s="132">
        <v>1.60370959468E-9</v>
      </c>
      <c r="C7512" s="133"/>
    </row>
    <row r="7513" spans="1:3">
      <c r="A7513" s="131" t="s">
        <v>2960</v>
      </c>
      <c r="B7513" s="132">
        <v>1.2021190058694999E-5</v>
      </c>
      <c r="C7513" s="133"/>
    </row>
    <row r="7514" spans="1:3">
      <c r="A7514" s="131" t="s">
        <v>2961</v>
      </c>
      <c r="B7514" s="132">
        <v>3.8306226721620003E-8</v>
      </c>
      <c r="C7514" s="133"/>
    </row>
    <row r="7515" spans="1:3">
      <c r="A7515" s="131" t="s">
        <v>2962</v>
      </c>
      <c r="B7515" s="132">
        <v>9.3388035830000003E-11</v>
      </c>
      <c r="C7515" s="133"/>
    </row>
    <row r="7516" spans="1:3">
      <c r="A7516" s="131" t="s">
        <v>2963</v>
      </c>
      <c r="B7516" s="132">
        <v>9.3612932060881612E-10</v>
      </c>
      <c r="C7516" s="133"/>
    </row>
    <row r="7517" spans="1:3">
      <c r="A7517" s="131" t="s">
        <v>2964</v>
      </c>
      <c r="B7517" s="132">
        <v>1.3094109289096001E-3</v>
      </c>
      <c r="C7517" s="133"/>
    </row>
    <row r="7518" spans="1:3">
      <c r="A7518" s="131" t="s">
        <v>2965</v>
      </c>
      <c r="B7518" s="132">
        <v>3.7207665695796E-3</v>
      </c>
      <c r="C7518" s="133"/>
    </row>
    <row r="7519" spans="1:3">
      <c r="A7519" s="131" t="s">
        <v>2966</v>
      </c>
      <c r="B7519" s="132">
        <v>7.2433820169999998E-11</v>
      </c>
      <c r="C7519" s="133"/>
    </row>
    <row r="7520" spans="1:3">
      <c r="A7520" s="131" t="s">
        <v>2967</v>
      </c>
      <c r="B7520" s="132">
        <v>0.34132080419395</v>
      </c>
      <c r="C7520" s="133"/>
    </row>
    <row r="7521" spans="1:3">
      <c r="A7521" s="131" t="s">
        <v>2968</v>
      </c>
      <c r="B7521" s="132">
        <v>6.8821164391934937E-13</v>
      </c>
      <c r="C7521" s="133"/>
    </row>
    <row r="7522" spans="1:3">
      <c r="A7522" s="131" t="s">
        <v>2969</v>
      </c>
      <c r="B7522" s="132">
        <v>60.831358948216504</v>
      </c>
      <c r="C7522" s="133"/>
    </row>
    <row r="7523" spans="1:3">
      <c r="A7523" s="131" t="s">
        <v>2970</v>
      </c>
      <c r="B7523" s="132">
        <v>3.2751225456101999E-3</v>
      </c>
      <c r="C7523" s="133"/>
    </row>
    <row r="7524" spans="1:3">
      <c r="A7524" s="131" t="s">
        <v>2971</v>
      </c>
      <c r="B7524" s="132">
        <v>1.0588047370843999E-2</v>
      </c>
      <c r="C7524" s="133"/>
    </row>
    <row r="7525" spans="1:3">
      <c r="A7525" s="131" t="s">
        <v>2972</v>
      </c>
      <c r="B7525" s="132">
        <v>1.699613411380204E-10</v>
      </c>
      <c r="C7525" s="133"/>
    </row>
    <row r="7526" spans="1:3">
      <c r="A7526" s="131" t="s">
        <v>2973</v>
      </c>
      <c r="B7526" s="132">
        <v>0.33489065569485998</v>
      </c>
      <c r="C7526" s="133"/>
    </row>
    <row r="7527" spans="1:3">
      <c r="A7527" s="131" t="s">
        <v>2974</v>
      </c>
      <c r="B7527" s="132">
        <v>3.3153601140000002</v>
      </c>
      <c r="C7527" s="133"/>
    </row>
    <row r="7528" spans="1:3">
      <c r="A7528" s="131" t="s">
        <v>2975</v>
      </c>
      <c r="B7528" s="132">
        <v>0.48766634235</v>
      </c>
      <c r="C7528" s="133"/>
    </row>
    <row r="7529" spans="1:3">
      <c r="A7529" s="131" t="s">
        <v>2976</v>
      </c>
      <c r="B7529" s="132">
        <v>1.6782404298</v>
      </c>
      <c r="C7529" s="133"/>
    </row>
    <row r="7530" spans="1:3">
      <c r="A7530" s="131" t="s">
        <v>2977</v>
      </c>
      <c r="B7530" s="132">
        <v>0.67463723249999996</v>
      </c>
      <c r="C7530" s="133"/>
    </row>
    <row r="7531" spans="1:3">
      <c r="A7531" s="131" t="s">
        <v>2978</v>
      </c>
      <c r="B7531" s="132">
        <v>6.4136436725000001</v>
      </c>
      <c r="C7531" s="133"/>
    </row>
    <row r="7532" spans="1:3">
      <c r="A7532" s="131" t="s">
        <v>2979</v>
      </c>
      <c r="B7532" s="132">
        <v>0.41454851658000003</v>
      </c>
      <c r="C7532" s="133"/>
    </row>
    <row r="7533" spans="1:3">
      <c r="A7533" s="131" t="s">
        <v>2980</v>
      </c>
      <c r="B7533" s="132">
        <v>0.8802409605</v>
      </c>
      <c r="C7533" s="133"/>
    </row>
    <row r="7534" spans="1:3">
      <c r="A7534" s="131" t="s">
        <v>2981</v>
      </c>
      <c r="B7534" s="132">
        <v>6.3223146359999998</v>
      </c>
      <c r="C7534" s="133"/>
    </row>
    <row r="7535" spans="1:3">
      <c r="A7535" s="131" t="s">
        <v>2982</v>
      </c>
      <c r="B7535" s="132">
        <v>1.7150224704999999</v>
      </c>
      <c r="C7535" s="133"/>
    </row>
    <row r="7536" spans="1:3">
      <c r="A7536" s="131" t="s">
        <v>2983</v>
      </c>
      <c r="B7536" s="132">
        <v>0.54613490249999996</v>
      </c>
      <c r="C7536" s="133"/>
    </row>
    <row r="7537" spans="1:3">
      <c r="A7537" s="131" t="s">
        <v>2984</v>
      </c>
      <c r="B7537" s="132">
        <v>0.90979649640000004</v>
      </c>
      <c r="C7537" s="133"/>
    </row>
    <row r="7538" spans="1:3">
      <c r="A7538" s="131" t="s">
        <v>2985</v>
      </c>
      <c r="B7538" s="132">
        <v>1.3376935902</v>
      </c>
      <c r="C7538" s="133"/>
    </row>
    <row r="7539" spans="1:3">
      <c r="A7539" s="131" t="s">
        <v>2986</v>
      </c>
      <c r="B7539" s="132">
        <v>1.1952407165000001</v>
      </c>
      <c r="C7539" s="133"/>
    </row>
    <row r="7540" spans="1:3">
      <c r="A7540" s="131" t="s">
        <v>2987</v>
      </c>
      <c r="B7540" s="132">
        <v>5.8211555490000002</v>
      </c>
      <c r="C7540" s="133"/>
    </row>
    <row r="7541" spans="1:3">
      <c r="A7541" s="131" t="s">
        <v>2988</v>
      </c>
      <c r="B7541" s="132">
        <v>19.55</v>
      </c>
      <c r="C7541" s="133"/>
    </row>
    <row r="7542" spans="1:3">
      <c r="A7542" s="131" t="s">
        <v>2989</v>
      </c>
      <c r="B7542" s="132">
        <v>16.97</v>
      </c>
      <c r="C7542" s="133"/>
    </row>
    <row r="7543" spans="1:3">
      <c r="A7543" s="131" t="s">
        <v>2990</v>
      </c>
      <c r="B7543" s="132">
        <v>172.66</v>
      </c>
      <c r="C7543" s="133"/>
    </row>
    <row r="7544" spans="1:3">
      <c r="A7544" s="131" t="s">
        <v>2991</v>
      </c>
      <c r="B7544" s="132">
        <v>0.94973699099999997</v>
      </c>
      <c r="C7544" s="133"/>
    </row>
    <row r="7545" spans="1:3">
      <c r="A7545" s="131" t="s">
        <v>2992</v>
      </c>
      <c r="B7545" s="132">
        <v>152.13999999999999</v>
      </c>
      <c r="C7545" s="133"/>
    </row>
    <row r="7546" spans="1:3">
      <c r="A7546" s="131" t="s">
        <v>2993</v>
      </c>
      <c r="B7546" s="132">
        <v>12.89</v>
      </c>
      <c r="C7546" s="133"/>
    </row>
    <row r="7547" spans="1:3">
      <c r="A7547" s="131" t="s">
        <v>2994</v>
      </c>
      <c r="B7547" s="132">
        <v>7.64</v>
      </c>
      <c r="C7547" s="133"/>
    </row>
    <row r="7548" spans="1:3">
      <c r="A7548" s="131" t="s">
        <v>2995</v>
      </c>
      <c r="B7548" s="132">
        <v>1.8499589754000001</v>
      </c>
      <c r="C7548" s="133"/>
    </row>
    <row r="7549" spans="1:3">
      <c r="A7549" s="131" t="s">
        <v>2996</v>
      </c>
      <c r="B7549" s="132">
        <v>36.520000000000003</v>
      </c>
      <c r="C7549" s="133"/>
    </row>
    <row r="7550" spans="1:3">
      <c r="A7550" s="131" t="s">
        <v>2997</v>
      </c>
      <c r="B7550" s="132">
        <v>0.16380128420782</v>
      </c>
      <c r="C7550" s="133"/>
    </row>
    <row r="7551" spans="1:3">
      <c r="A7551" s="131" t="s">
        <v>2998</v>
      </c>
      <c r="B7551" s="132">
        <v>14.78</v>
      </c>
      <c r="C7551" s="133"/>
    </row>
    <row r="7552" spans="1:3">
      <c r="A7552" s="131" t="s">
        <v>2999</v>
      </c>
      <c r="B7552" s="132">
        <v>170.8447603223</v>
      </c>
      <c r="C7552" s="133"/>
    </row>
    <row r="7553" spans="1:3">
      <c r="A7553" s="131" t="s">
        <v>3000</v>
      </c>
      <c r="B7553" s="132">
        <v>77.45</v>
      </c>
      <c r="C7553" s="133"/>
    </row>
    <row r="7554" spans="1:3">
      <c r="A7554" s="131" t="s">
        <v>3001</v>
      </c>
      <c r="B7554" s="132">
        <v>124.48</v>
      </c>
      <c r="C7554" s="133"/>
    </row>
    <row r="7555" spans="1:3">
      <c r="A7555" s="131" t="s">
        <v>3002</v>
      </c>
      <c r="B7555" s="132">
        <v>336.03</v>
      </c>
      <c r="C7555" s="133"/>
    </row>
    <row r="7556" spans="1:3">
      <c r="A7556" s="131" t="s">
        <v>3003</v>
      </c>
      <c r="B7556" s="132">
        <v>5.66</v>
      </c>
      <c r="C7556" s="133"/>
    </row>
    <row r="7557" spans="1:3">
      <c r="A7557" s="131" t="s">
        <v>3004</v>
      </c>
      <c r="B7557" s="132">
        <v>47.58</v>
      </c>
      <c r="C7557" s="133"/>
    </row>
    <row r="7558" spans="1:3">
      <c r="A7558" s="131" t="s">
        <v>3005</v>
      </c>
      <c r="B7558" s="132">
        <v>57.401040829296001</v>
      </c>
      <c r="C7558" s="133"/>
    </row>
    <row r="7559" spans="1:3">
      <c r="A7559" s="131" t="s">
        <v>3006</v>
      </c>
      <c r="B7559" s="132">
        <v>11.23</v>
      </c>
      <c r="C7559" s="133"/>
    </row>
    <row r="7560" spans="1:3">
      <c r="A7560" s="131" t="s">
        <v>3007</v>
      </c>
      <c r="B7560" s="132">
        <v>32.270000000000003</v>
      </c>
      <c r="C7560" s="133"/>
    </row>
    <row r="7561" spans="1:3">
      <c r="A7561" s="131" t="s">
        <v>3008</v>
      </c>
      <c r="B7561" s="132">
        <v>29.18</v>
      </c>
      <c r="C7561" s="133"/>
    </row>
    <row r="7562" spans="1:3">
      <c r="A7562" s="131" t="s">
        <v>3009</v>
      </c>
      <c r="B7562" s="132">
        <v>2219.4899999999998</v>
      </c>
      <c r="C7562" s="133"/>
    </row>
    <row r="7563" spans="1:3">
      <c r="A7563" s="131" t="s">
        <v>3010</v>
      </c>
      <c r="B7563" s="132">
        <v>0.10188342036</v>
      </c>
      <c r="C7563" s="133"/>
    </row>
    <row r="7564" spans="1:3">
      <c r="A7564" s="131" t="s">
        <v>3011</v>
      </c>
      <c r="B7564" s="132">
        <v>22.99</v>
      </c>
      <c r="C7564" s="133"/>
    </row>
    <row r="7565" spans="1:3">
      <c r="A7565" s="131" t="s">
        <v>3012</v>
      </c>
      <c r="B7565" s="132">
        <v>23.056648836000001</v>
      </c>
      <c r="C7565" s="133"/>
    </row>
    <row r="7566" spans="1:3">
      <c r="A7566" s="131" t="s">
        <v>3013</v>
      </c>
      <c r="B7566" s="132">
        <v>0.84084659226682001</v>
      </c>
      <c r="C7566" s="133"/>
    </row>
    <row r="7567" spans="1:3">
      <c r="A7567" s="131" t="s">
        <v>3014</v>
      </c>
      <c r="B7567" s="132">
        <v>177.84</v>
      </c>
      <c r="C7567" s="133"/>
    </row>
    <row r="7568" spans="1:3">
      <c r="A7568" s="131" t="s">
        <v>3015</v>
      </c>
      <c r="B7568" s="132">
        <v>273.25</v>
      </c>
      <c r="C7568" s="133"/>
    </row>
    <row r="7569" spans="1:3">
      <c r="A7569" s="131" t="s">
        <v>3016</v>
      </c>
      <c r="B7569" s="132">
        <v>141.62</v>
      </c>
      <c r="C7569" s="133"/>
    </row>
    <row r="7570" spans="1:3">
      <c r="A7570" s="131" t="s">
        <v>3017</v>
      </c>
      <c r="B7570" s="132">
        <v>2308.39</v>
      </c>
      <c r="C7570" s="133"/>
    </row>
    <row r="7571" spans="1:3">
      <c r="A7571" s="131" t="s">
        <v>3018</v>
      </c>
      <c r="B7571" s="132">
        <v>238.69</v>
      </c>
      <c r="C7571" s="133"/>
    </row>
    <row r="7572" spans="1:3">
      <c r="A7572" s="131" t="s">
        <v>3019</v>
      </c>
      <c r="B7572" s="132">
        <v>1.0979548015E-2</v>
      </c>
      <c r="C7572" s="133"/>
    </row>
    <row r="7573" spans="1:3">
      <c r="A7573" s="131" t="s">
        <v>3020</v>
      </c>
      <c r="B7573" s="132">
        <v>8.7946581523726</v>
      </c>
      <c r="C7573" s="133"/>
    </row>
    <row r="7574" spans="1:3">
      <c r="A7574" s="131" t="s">
        <v>3021</v>
      </c>
      <c r="B7574" s="132">
        <v>9.49</v>
      </c>
      <c r="C7574" s="133"/>
    </row>
    <row r="7575" spans="1:3">
      <c r="A7575" s="131" t="s">
        <v>3022</v>
      </c>
      <c r="B7575" s="132">
        <v>4.9824125709000002</v>
      </c>
      <c r="C7575" s="133"/>
    </row>
    <row r="7576" spans="1:3">
      <c r="A7576" s="131" t="s">
        <v>3023</v>
      </c>
      <c r="B7576" s="132">
        <v>55.42</v>
      </c>
      <c r="C7576" s="133"/>
    </row>
    <row r="7577" spans="1:3">
      <c r="A7577" s="131" t="s">
        <v>3024</v>
      </c>
      <c r="B7577" s="132">
        <v>310.99340586</v>
      </c>
      <c r="C7577" s="133"/>
    </row>
    <row r="7578" spans="1:3">
      <c r="A7578" s="131" t="s">
        <v>3025</v>
      </c>
      <c r="B7578" s="132">
        <v>27.48</v>
      </c>
      <c r="C7578" s="133"/>
    </row>
    <row r="7579" spans="1:3">
      <c r="A7579" s="131" t="s">
        <v>3026</v>
      </c>
      <c r="B7579" s="132">
        <v>5.5380000000000003</v>
      </c>
      <c r="C7579" s="133"/>
    </row>
    <row r="7580" spans="1:3">
      <c r="A7580" s="131" t="s">
        <v>3027</v>
      </c>
      <c r="B7580" s="132">
        <v>8.27</v>
      </c>
      <c r="C7580" s="133"/>
    </row>
    <row r="7581" spans="1:3">
      <c r="A7581" s="131" t="s">
        <v>3028</v>
      </c>
      <c r="B7581" s="132">
        <v>2.2496569537137998</v>
      </c>
      <c r="C7581" s="133"/>
    </row>
    <row r="7582" spans="1:3">
      <c r="A7582" s="131" t="s">
        <v>3029</v>
      </c>
      <c r="B7582" s="132">
        <v>7.21</v>
      </c>
      <c r="C7582" s="133"/>
    </row>
    <row r="7583" spans="1:3">
      <c r="A7583" s="131" t="s">
        <v>3030</v>
      </c>
      <c r="B7583" s="132">
        <v>80.650000000000006</v>
      </c>
      <c r="C7583" s="133"/>
    </row>
    <row r="7584" spans="1:3">
      <c r="A7584" s="131" t="s">
        <v>3031</v>
      </c>
      <c r="B7584" s="132">
        <v>10.73</v>
      </c>
      <c r="C7584" s="133"/>
    </row>
    <row r="7585" spans="1:3">
      <c r="A7585" s="131" t="s">
        <v>3032</v>
      </c>
      <c r="B7585" s="132">
        <v>1.7027663681306999</v>
      </c>
      <c r="C7585" s="133"/>
    </row>
    <row r="7586" spans="1:3">
      <c r="A7586" s="131" t="s">
        <v>3033</v>
      </c>
      <c r="B7586" s="132">
        <v>5.74</v>
      </c>
      <c r="C7586" s="133"/>
    </row>
    <row r="7587" spans="1:3">
      <c r="A7587" s="131" t="s">
        <v>3034</v>
      </c>
      <c r="B7587" s="132">
        <v>0.34625333342664</v>
      </c>
      <c r="C7587" s="133"/>
    </row>
    <row r="7588" spans="1:3">
      <c r="A7588" s="131" t="s">
        <v>3035</v>
      </c>
      <c r="B7588" s="132">
        <v>7.6125701676255</v>
      </c>
      <c r="C7588" s="133"/>
    </row>
    <row r="7589" spans="1:3">
      <c r="A7589" s="131" t="s">
        <v>3036</v>
      </c>
      <c r="B7589" s="132">
        <v>15.944733563692999</v>
      </c>
      <c r="C7589" s="133"/>
    </row>
    <row r="7590" spans="1:3">
      <c r="A7590" s="131" t="s">
        <v>3037</v>
      </c>
      <c r="B7590" s="132">
        <v>91.68</v>
      </c>
      <c r="C7590" s="133"/>
    </row>
    <row r="7591" spans="1:3">
      <c r="A7591" s="131" t="s">
        <v>3038</v>
      </c>
      <c r="B7591" s="132">
        <v>92.307944250000006</v>
      </c>
      <c r="C7591" s="133"/>
    </row>
    <row r="7592" spans="1:3">
      <c r="A7592" s="131" t="s">
        <v>3039</v>
      </c>
      <c r="B7592" s="132">
        <v>0.69820297393583997</v>
      </c>
      <c r="C7592" s="133"/>
    </row>
    <row r="7593" spans="1:3">
      <c r="A7593" s="131" t="s">
        <v>3040</v>
      </c>
      <c r="B7593" s="132">
        <v>0.92658802605000001</v>
      </c>
      <c r="C7593" s="133"/>
    </row>
    <row r="7594" spans="1:3">
      <c r="A7594" s="131" t="s">
        <v>3041</v>
      </c>
      <c r="B7594" s="132">
        <v>55.23</v>
      </c>
      <c r="C7594" s="133"/>
    </row>
    <row r="7595" spans="1:3">
      <c r="A7595" s="131" t="s">
        <v>3042</v>
      </c>
      <c r="B7595" s="132">
        <v>5.8550795940000002E-3</v>
      </c>
      <c r="C7595" s="133"/>
    </row>
    <row r="7596" spans="1:3">
      <c r="A7596" s="131" t="s">
        <v>3043</v>
      </c>
      <c r="B7596" s="132">
        <v>330.73</v>
      </c>
      <c r="C7596" s="133"/>
    </row>
    <row r="7597" spans="1:3">
      <c r="A7597" s="131" t="s">
        <v>3044</v>
      </c>
      <c r="B7597" s="132">
        <v>1.8762279659999999E-2</v>
      </c>
      <c r="C7597" s="133"/>
    </row>
    <row r="7598" spans="1:3">
      <c r="A7598" s="131" t="s">
        <v>3045</v>
      </c>
      <c r="B7598" s="132">
        <v>4.3892116019999996</v>
      </c>
      <c r="C7598" s="133"/>
    </row>
    <row r="7599" spans="1:3">
      <c r="A7599" s="131" t="s">
        <v>3046</v>
      </c>
      <c r="B7599" s="132">
        <v>28.92</v>
      </c>
      <c r="C7599" s="133"/>
    </row>
    <row r="7600" spans="1:3">
      <c r="A7600" s="131" t="s">
        <v>3047</v>
      </c>
      <c r="B7600" s="132">
        <v>8.5084685069999999</v>
      </c>
      <c r="C7600" s="133"/>
    </row>
    <row r="7601" spans="1:3">
      <c r="A7601" s="131" t="s">
        <v>3048</v>
      </c>
      <c r="B7601" s="132">
        <v>209.65</v>
      </c>
      <c r="C7601" s="133"/>
    </row>
    <row r="7602" spans="1:3">
      <c r="A7602" s="131" t="s">
        <v>3049</v>
      </c>
      <c r="B7602" s="132">
        <v>18.613642096843002</v>
      </c>
      <c r="C7602" s="133"/>
    </row>
    <row r="7603" spans="1:3">
      <c r="A7603" s="131" t="s">
        <v>3050</v>
      </c>
      <c r="B7603" s="132">
        <v>39.880000000000003</v>
      </c>
      <c r="C7603" s="133"/>
    </row>
    <row r="7604" spans="1:3">
      <c r="A7604" s="131" t="s">
        <v>3051</v>
      </c>
      <c r="B7604" s="132">
        <v>12.46</v>
      </c>
      <c r="C7604" s="133"/>
    </row>
    <row r="7605" spans="1:3">
      <c r="A7605" s="131" t="s">
        <v>3052</v>
      </c>
      <c r="B7605" s="132">
        <v>40.58</v>
      </c>
      <c r="C7605" s="133"/>
    </row>
    <row r="7606" spans="1:3">
      <c r="A7606" s="131" t="s">
        <v>3053</v>
      </c>
      <c r="B7606" s="132">
        <v>180.62</v>
      </c>
      <c r="C7606" s="133"/>
    </row>
    <row r="7607" spans="1:3">
      <c r="A7607" s="131" t="s">
        <v>3054</v>
      </c>
      <c r="B7607" s="132">
        <v>2.6543632819849998</v>
      </c>
      <c r="C7607" s="133"/>
    </row>
    <row r="7608" spans="1:3">
      <c r="A7608" s="131" t="s">
        <v>3055</v>
      </c>
      <c r="B7608" s="132">
        <v>1288.4100000000001</v>
      </c>
      <c r="C7608" s="133"/>
    </row>
    <row r="7609" spans="1:3">
      <c r="A7609" s="131" t="s">
        <v>3056</v>
      </c>
      <c r="B7609" s="132">
        <v>0.92885320614679001</v>
      </c>
      <c r="C7609" s="133"/>
    </row>
    <row r="7610" spans="1:3">
      <c r="A7610" s="131" t="s">
        <v>3057</v>
      </c>
      <c r="B7610" s="132">
        <v>45.02</v>
      </c>
      <c r="C7610" s="133"/>
    </row>
    <row r="7611" spans="1:3">
      <c r="A7611" s="131" t="s">
        <v>3058</v>
      </c>
      <c r="B7611" s="132">
        <v>29.64</v>
      </c>
      <c r="C7611" s="133"/>
    </row>
    <row r="7612" spans="1:3">
      <c r="A7612" s="131" t="s">
        <v>3059</v>
      </c>
      <c r="B7612" s="132">
        <v>26.55</v>
      </c>
      <c r="C7612" s="133"/>
    </row>
    <row r="7613" spans="1:3">
      <c r="A7613" s="131" t="s">
        <v>3060</v>
      </c>
      <c r="B7613" s="132">
        <v>42.46</v>
      </c>
      <c r="C7613" s="133"/>
    </row>
    <row r="7614" spans="1:3">
      <c r="A7614" s="131" t="s">
        <v>3061</v>
      </c>
      <c r="B7614" s="132">
        <v>18.635266467000001</v>
      </c>
      <c r="C7614" s="133"/>
    </row>
    <row r="7615" spans="1:3">
      <c r="A7615" s="131" t="s">
        <v>3062</v>
      </c>
      <c r="B7615" s="132">
        <v>29.35</v>
      </c>
      <c r="C7615" s="133"/>
    </row>
    <row r="7616" spans="1:3">
      <c r="A7616" s="131" t="s">
        <v>3063</v>
      </c>
      <c r="B7616" s="132">
        <v>387.09</v>
      </c>
      <c r="C7616" s="133"/>
    </row>
    <row r="7617" spans="1:3">
      <c r="A7617" s="131" t="s">
        <v>3064</v>
      </c>
      <c r="B7617" s="132">
        <v>29.69</v>
      </c>
      <c r="C7617" s="133"/>
    </row>
    <row r="7618" spans="1:3">
      <c r="A7618" s="131" t="s">
        <v>3065</v>
      </c>
      <c r="B7618" s="132">
        <v>87.94</v>
      </c>
      <c r="C7618" s="133"/>
    </row>
    <row r="7619" spans="1:3">
      <c r="A7619" s="131" t="s">
        <v>3066</v>
      </c>
      <c r="B7619" s="132">
        <v>22.783520996273001</v>
      </c>
      <c r="C7619" s="133"/>
    </row>
    <row r="7620" spans="1:3">
      <c r="A7620" s="131" t="s">
        <v>3067</v>
      </c>
      <c r="B7620" s="132">
        <v>24.497552716889</v>
      </c>
      <c r="C7620" s="133"/>
    </row>
    <row r="7621" spans="1:3">
      <c r="A7621" s="131" t="s">
        <v>3068</v>
      </c>
      <c r="B7621" s="132">
        <v>3.7050000000000001</v>
      </c>
      <c r="C7621" s="133"/>
    </row>
    <row r="7622" spans="1:3">
      <c r="A7622" s="131" t="s">
        <v>3069</v>
      </c>
      <c r="B7622" s="132">
        <v>8.8960000000000008</v>
      </c>
      <c r="C7622" s="133"/>
    </row>
    <row r="7623" spans="1:3">
      <c r="A7623" s="131" t="s">
        <v>3070</v>
      </c>
      <c r="B7623" s="132">
        <v>1.1902893319101999</v>
      </c>
      <c r="C7623" s="133"/>
    </row>
    <row r="7624" spans="1:3">
      <c r="A7624" s="131" t="s">
        <v>3071</v>
      </c>
      <c r="B7624" s="132">
        <v>1.0103718931500001</v>
      </c>
      <c r="C7624" s="133"/>
    </row>
    <row r="7625" spans="1:3">
      <c r="A7625" s="131" t="s">
        <v>3072</v>
      </c>
      <c r="B7625" s="132">
        <v>5.2024326425999998</v>
      </c>
      <c r="C7625" s="133"/>
    </row>
    <row r="7626" spans="1:3">
      <c r="A7626" s="131" t="s">
        <v>3073</v>
      </c>
      <c r="B7626" s="132">
        <v>4.0513517627400999</v>
      </c>
      <c r="C7626" s="133"/>
    </row>
    <row r="7627" spans="1:3">
      <c r="A7627" s="131" t="s">
        <v>3074</v>
      </c>
      <c r="B7627" s="132">
        <v>258.61</v>
      </c>
      <c r="C7627" s="133"/>
    </row>
    <row r="7628" spans="1:3">
      <c r="A7628" s="131" t="s">
        <v>3075</v>
      </c>
      <c r="B7628" s="132">
        <v>7.1718430745999999</v>
      </c>
      <c r="C7628" s="133"/>
    </row>
    <row r="7629" spans="1:3">
      <c r="A7629" s="131" t="s">
        <v>3076</v>
      </c>
      <c r="B7629" s="132">
        <v>0.45035817750000001</v>
      </c>
      <c r="C7629" s="133"/>
    </row>
    <row r="7630" spans="1:3">
      <c r="A7630" s="131" t="s">
        <v>3077</v>
      </c>
      <c r="B7630" s="132">
        <v>18.989999999999998</v>
      </c>
      <c r="C7630" s="133"/>
    </row>
    <row r="7631" spans="1:3">
      <c r="A7631" s="131" t="s">
        <v>3078</v>
      </c>
      <c r="B7631" s="132">
        <v>300.8</v>
      </c>
      <c r="C7631" s="133"/>
    </row>
    <row r="7632" spans="1:3">
      <c r="A7632" s="131" t="s">
        <v>3079</v>
      </c>
      <c r="B7632" s="132">
        <v>43.1</v>
      </c>
      <c r="C7632" s="133"/>
    </row>
    <row r="7633" spans="1:3">
      <c r="A7633" s="131" t="s">
        <v>3080</v>
      </c>
      <c r="B7633" s="132">
        <v>25.37</v>
      </c>
      <c r="C7633" s="133"/>
    </row>
    <row r="7634" spans="1:3">
      <c r="A7634" s="131" t="s">
        <v>3081</v>
      </c>
      <c r="B7634" s="132">
        <v>99.9</v>
      </c>
      <c r="C7634" s="133"/>
    </row>
    <row r="7635" spans="1:3">
      <c r="A7635" s="131" t="s">
        <v>3082</v>
      </c>
      <c r="B7635" s="132">
        <v>7.722382809</v>
      </c>
      <c r="C7635" s="133"/>
    </row>
    <row r="7636" spans="1:3">
      <c r="A7636" s="131" t="s">
        <v>3083</v>
      </c>
      <c r="B7636" s="132">
        <v>4.6900000000000004</v>
      </c>
      <c r="C7636" s="133"/>
    </row>
    <row r="7637" spans="1:3">
      <c r="A7637" s="131" t="s">
        <v>3084</v>
      </c>
      <c r="B7637" s="132">
        <v>151.41</v>
      </c>
      <c r="C7637" s="133"/>
    </row>
    <row r="7638" spans="1:3">
      <c r="A7638" s="131" t="s">
        <v>3085</v>
      </c>
      <c r="B7638" s="132">
        <v>0.61834984788452996</v>
      </c>
      <c r="C7638" s="133"/>
    </row>
    <row r="7639" spans="1:3">
      <c r="A7639" s="131" t="s">
        <v>3086</v>
      </c>
      <c r="B7639" s="132">
        <v>113.9</v>
      </c>
      <c r="C7639" s="133"/>
    </row>
    <row r="7640" spans="1:3">
      <c r="A7640" s="131" t="s">
        <v>3087</v>
      </c>
      <c r="B7640" s="132">
        <v>16.14</v>
      </c>
      <c r="C7640" s="133"/>
    </row>
    <row r="7641" spans="1:3">
      <c r="A7641" s="131" t="s">
        <v>3088</v>
      </c>
      <c r="B7641" s="132">
        <v>36.869999999999997</v>
      </c>
      <c r="C7641" s="133"/>
    </row>
    <row r="7642" spans="1:3">
      <c r="A7642" s="131" t="s">
        <v>3089</v>
      </c>
      <c r="B7642" s="132">
        <v>8.0651361407627</v>
      </c>
      <c r="C7642" s="133"/>
    </row>
    <row r="7643" spans="1:3">
      <c r="A7643" s="131" t="s">
        <v>3090</v>
      </c>
      <c r="B7643" s="132">
        <v>7.4349439995000002E-4</v>
      </c>
      <c r="C7643" s="133"/>
    </row>
    <row r="7644" spans="1:3">
      <c r="A7644" s="131" t="s">
        <v>3091</v>
      </c>
      <c r="B7644" s="132">
        <v>6.89</v>
      </c>
      <c r="C7644" s="133"/>
    </row>
    <row r="7645" spans="1:3">
      <c r="A7645" s="131" t="s">
        <v>3092</v>
      </c>
      <c r="B7645" s="132">
        <v>52.85</v>
      </c>
      <c r="C7645" s="133"/>
    </row>
    <row r="7646" spans="1:3">
      <c r="A7646" s="131" t="s">
        <v>3093</v>
      </c>
      <c r="B7646" s="132">
        <v>5.42</v>
      </c>
      <c r="C7646" s="133"/>
    </row>
    <row r="7647" spans="1:3">
      <c r="A7647" s="131" t="s">
        <v>3094</v>
      </c>
      <c r="B7647" s="132">
        <v>7.22</v>
      </c>
      <c r="C7647" s="133"/>
    </row>
    <row r="7648" spans="1:3">
      <c r="A7648" s="131" t="s">
        <v>3095</v>
      </c>
      <c r="B7648" s="132">
        <v>65.56</v>
      </c>
      <c r="C7648" s="133"/>
    </row>
    <row r="7649" spans="1:3">
      <c r="A7649" s="131" t="s">
        <v>3096</v>
      </c>
      <c r="B7649" s="132">
        <v>47.76</v>
      </c>
      <c r="C7649" s="133"/>
    </row>
    <row r="7650" spans="1:3">
      <c r="A7650" s="131" t="s">
        <v>3097</v>
      </c>
      <c r="B7650" s="132">
        <v>82.359960978000004</v>
      </c>
      <c r="C7650" s="133"/>
    </row>
    <row r="7651" spans="1:3">
      <c r="A7651" s="131" t="s">
        <v>3098</v>
      </c>
      <c r="B7651" s="132">
        <v>3.2530000000000001</v>
      </c>
      <c r="C7651" s="133"/>
    </row>
    <row r="7652" spans="1:3">
      <c r="A7652" s="131" t="s">
        <v>3099</v>
      </c>
      <c r="B7652" s="132">
        <v>2.5986776265000002E-10</v>
      </c>
      <c r="C7652" s="133"/>
    </row>
    <row r="7653" spans="1:3">
      <c r="A7653" s="131" t="s">
        <v>3100</v>
      </c>
      <c r="B7653" s="132">
        <v>5.5894093796423003E-7</v>
      </c>
      <c r="C7653" s="133"/>
    </row>
    <row r="7654" spans="1:3">
      <c r="A7654" s="131" t="s">
        <v>3101</v>
      </c>
      <c r="B7654" s="132">
        <v>9.0598231000000004E-13</v>
      </c>
      <c r="C7654" s="133"/>
    </row>
    <row r="7655" spans="1:3">
      <c r="A7655" s="131" t="s">
        <v>3102</v>
      </c>
      <c r="B7655" s="132">
        <v>3.1612327141632002E-5</v>
      </c>
      <c r="C7655" s="133"/>
    </row>
    <row r="7656" spans="1:3">
      <c r="A7656" s="131" t="s">
        <v>3103</v>
      </c>
      <c r="B7656" s="132">
        <v>9.8969475688000008E-10</v>
      </c>
      <c r="C7656" s="133"/>
    </row>
    <row r="7657" spans="1:3">
      <c r="A7657" s="131" t="s">
        <v>3104</v>
      </c>
      <c r="B7657" s="132">
        <v>0.14543779983068</v>
      </c>
      <c r="C7657" s="133"/>
    </row>
    <row r="7658" spans="1:3">
      <c r="A7658" s="131" t="s">
        <v>3105</v>
      </c>
      <c r="B7658" s="132">
        <v>5.7872063356786995E-4</v>
      </c>
      <c r="C7658" s="133"/>
    </row>
    <row r="7659" spans="1:3">
      <c r="A7659" s="131" t="s">
        <v>3106</v>
      </c>
      <c r="B7659" s="132">
        <v>1.3066182753109999E-8</v>
      </c>
      <c r="C7659" s="133"/>
    </row>
    <row r="7660" spans="1:3">
      <c r="A7660" s="131" t="s">
        <v>3107</v>
      </c>
      <c r="B7660" s="132">
        <v>8.6505738836289998E-8</v>
      </c>
      <c r="C7660" s="133"/>
    </row>
    <row r="7661" spans="1:3">
      <c r="A7661" s="131" t="s">
        <v>3108</v>
      </c>
      <c r="B7661" s="132">
        <v>7.3691208674391001E-6</v>
      </c>
      <c r="C7661" s="133"/>
    </row>
    <row r="7662" spans="1:3">
      <c r="A7662" s="131" t="s">
        <v>3109</v>
      </c>
      <c r="B7662" s="132">
        <v>1.0357260108376999E-3</v>
      </c>
      <c r="C7662" s="133"/>
    </row>
    <row r="7663" spans="1:3">
      <c r="A7663" s="131" t="s">
        <v>3110</v>
      </c>
      <c r="B7663" s="132">
        <v>1.3359805172766001E-3</v>
      </c>
      <c r="C7663" s="133"/>
    </row>
    <row r="7664" spans="1:3">
      <c r="A7664" s="131" t="s">
        <v>3111</v>
      </c>
      <c r="B7664" s="132">
        <v>1.4801263476704797E-2</v>
      </c>
      <c r="C7664" s="133"/>
    </row>
    <row r="7665" spans="1:3">
      <c r="A7665" s="131" t="s">
        <v>3112</v>
      </c>
      <c r="B7665" s="132">
        <v>0.13197171230540999</v>
      </c>
      <c r="C7665" s="133"/>
    </row>
    <row r="7666" spans="1:3">
      <c r="A7666" s="131" t="s">
        <v>3113</v>
      </c>
      <c r="B7666" s="132">
        <v>0.23402390006318</v>
      </c>
      <c r="C7666" s="133"/>
    </row>
    <row r="7667" spans="1:3">
      <c r="A7667" s="131" t="s">
        <v>3114</v>
      </c>
      <c r="B7667" s="132">
        <v>6.5632191879600001E-9</v>
      </c>
      <c r="C7667" s="133"/>
    </row>
    <row r="7668" spans="1:3">
      <c r="A7668" s="131" t="s">
        <v>3115</v>
      </c>
      <c r="B7668" s="132">
        <v>1</v>
      </c>
      <c r="C7668" s="133"/>
    </row>
    <row r="7669" spans="1:3">
      <c r="A7669" s="131" t="s">
        <v>3116</v>
      </c>
      <c r="B7669" s="132">
        <v>1.735772649835005</v>
      </c>
      <c r="C7669" s="133"/>
    </row>
    <row r="7670" spans="1:3">
      <c r="A7670" s="131" t="s">
        <v>3117</v>
      </c>
      <c r="B7670" s="132">
        <v>16133.731818463</v>
      </c>
      <c r="C7670" s="133"/>
    </row>
    <row r="7671" spans="1:3">
      <c r="A7671" s="131" t="s">
        <v>3118</v>
      </c>
      <c r="B7671" s="132">
        <v>1.1006233333333334E-3</v>
      </c>
      <c r="C7671" s="133"/>
    </row>
    <row r="7672" spans="1:3">
      <c r="A7672" s="131" t="s">
        <v>3119</v>
      </c>
      <c r="B7672" s="132">
        <v>2.6474328304899999E-8</v>
      </c>
      <c r="C7672" s="133"/>
    </row>
    <row r="7673" spans="1:3">
      <c r="A7673" s="131" t="s">
        <v>3120</v>
      </c>
      <c r="B7673" s="132">
        <v>1.7600536463392765E-2</v>
      </c>
      <c r="C7673" s="133"/>
    </row>
    <row r="7674" spans="1:3">
      <c r="A7674" s="131" t="s">
        <v>3121</v>
      </c>
      <c r="B7674" s="132">
        <v>6.1691041183869924E-4</v>
      </c>
      <c r="C7674" s="133"/>
    </row>
    <row r="7675" spans="1:3">
      <c r="A7675" s="131" t="s">
        <v>3122</v>
      </c>
      <c r="B7675" s="132">
        <v>3.7099419231985854E-11</v>
      </c>
      <c r="C7675" s="133"/>
    </row>
    <row r="7676" spans="1:3">
      <c r="A7676" s="131" t="s">
        <v>3123</v>
      </c>
      <c r="B7676" s="132">
        <v>5.8080115843951002E-5</v>
      </c>
      <c r="C7676" s="133"/>
    </row>
    <row r="7677" spans="1:3">
      <c r="A7677" s="131" t="s">
        <v>3124</v>
      </c>
      <c r="B7677" s="132">
        <v>0.33470233974878999</v>
      </c>
      <c r="C7677" s="133"/>
    </row>
    <row r="7678" spans="1:3">
      <c r="A7678" s="131" t="s">
        <v>3125</v>
      </c>
      <c r="B7678" s="132">
        <v>5.9577931320178003E-2</v>
      </c>
      <c r="C7678" s="133"/>
    </row>
    <row r="7679" spans="1:3">
      <c r="A7679" s="131" t="s">
        <v>3126</v>
      </c>
      <c r="B7679" s="132">
        <v>6.0624944395872999</v>
      </c>
      <c r="C7679" s="133"/>
    </row>
    <row r="7680" spans="1:3">
      <c r="A7680" s="131" t="s">
        <v>3127</v>
      </c>
      <c r="B7680" s="132">
        <v>1.5706937910043999E-2</v>
      </c>
      <c r="C7680" s="133"/>
    </row>
    <row r="7681" spans="1:3">
      <c r="A7681" s="131" t="s">
        <v>3128</v>
      </c>
      <c r="B7681" s="132">
        <v>3.2746329290781E-3</v>
      </c>
      <c r="C7681" s="133"/>
    </row>
    <row r="7682" spans="1:3">
      <c r="A7682" s="131" t="s">
        <v>3129</v>
      </c>
      <c r="B7682" s="132">
        <v>1.7909692995378999E-2</v>
      </c>
      <c r="C7682" s="133"/>
    </row>
    <row r="7683" spans="1:3">
      <c r="A7683" s="131" t="s">
        <v>3130</v>
      </c>
      <c r="B7683" s="132">
        <v>3.5051282997421E-4</v>
      </c>
      <c r="C7683" s="133"/>
    </row>
    <row r="7684" spans="1:3">
      <c r="A7684" s="131" t="s">
        <v>3131</v>
      </c>
      <c r="B7684" s="132">
        <v>0.44986528265969927</v>
      </c>
      <c r="C7684" s="133"/>
    </row>
    <row r="7685" spans="1:3">
      <c r="A7685" s="131" t="s">
        <v>3132</v>
      </c>
      <c r="B7685" s="132">
        <v>1.7523505542206594E-2</v>
      </c>
      <c r="C7685" s="133"/>
    </row>
    <row r="7686" spans="1:3">
      <c r="A7686" s="131" t="s">
        <v>3133</v>
      </c>
      <c r="B7686" s="132">
        <v>2877.0479981009998</v>
      </c>
      <c r="C7686" s="133"/>
    </row>
    <row r="7687" spans="1:3">
      <c r="A7687" s="131" t="s">
        <v>3134</v>
      </c>
      <c r="B7687" s="132">
        <v>5.7331851409000004E-10</v>
      </c>
      <c r="C7687" s="133"/>
    </row>
    <row r="7688" spans="1:3">
      <c r="A7688" s="131" t="s">
        <v>3135</v>
      </c>
      <c r="B7688" s="132">
        <v>1.5008122621825999E-7</v>
      </c>
      <c r="C7688" s="133"/>
    </row>
    <row r="7689" spans="1:3">
      <c r="A7689" s="131" t="s">
        <v>3136</v>
      </c>
      <c r="B7689" s="132">
        <v>1.1838756453631874E-2</v>
      </c>
      <c r="C7689" s="133"/>
    </row>
    <row r="7690" spans="1:3">
      <c r="A7690" s="131" t="s">
        <v>3137</v>
      </c>
      <c r="B7690" s="132">
        <v>1.4871581611913001</v>
      </c>
      <c r="C7690" s="133"/>
    </row>
    <row r="7691" spans="1:3">
      <c r="A7691" s="131" t="s">
        <v>3138</v>
      </c>
      <c r="B7691" s="132">
        <v>2.9537394222689999E-8</v>
      </c>
      <c r="C7691" s="133"/>
    </row>
    <row r="7692" spans="1:3">
      <c r="A7692" s="131" t="s">
        <v>3139</v>
      </c>
      <c r="B7692" s="132">
        <v>1.6865038812999999E-10</v>
      </c>
      <c r="C7692" s="133"/>
    </row>
    <row r="7693" spans="1:3">
      <c r="A7693" s="131" t="s">
        <v>3140</v>
      </c>
      <c r="B7693" s="132">
        <v>2.1891975219738E-2</v>
      </c>
      <c r="C7693" s="133"/>
    </row>
    <row r="7694" spans="1:3">
      <c r="A7694" s="131" t="s">
        <v>3141</v>
      </c>
      <c r="B7694" s="132">
        <v>133.06220822444001</v>
      </c>
      <c r="C7694" s="133"/>
    </row>
    <row r="7695" spans="1:3">
      <c r="A7695" s="131" t="s">
        <v>3142</v>
      </c>
      <c r="B7695" s="132">
        <v>3852.9831595673681</v>
      </c>
      <c r="C7695" s="133"/>
    </row>
    <row r="7696" spans="1:3">
      <c r="A7696" s="131" t="s">
        <v>3143</v>
      </c>
      <c r="B7696" s="132">
        <v>3.4141539053999998E-10</v>
      </c>
      <c r="C7696" s="133"/>
    </row>
    <row r="7697" spans="1:3">
      <c r="A7697" s="131" t="s">
        <v>3144</v>
      </c>
      <c r="B7697" s="132">
        <v>1.7730881059975E-3</v>
      </c>
      <c r="C7697" s="133"/>
    </row>
    <row r="7698" spans="1:3">
      <c r="A7698" s="131" t="s">
        <v>3145</v>
      </c>
      <c r="B7698" s="132">
        <v>1.0395753627351E-2</v>
      </c>
      <c r="C7698" s="133"/>
    </row>
    <row r="7699" spans="1:3">
      <c r="A7699" s="131" t="s">
        <v>3146</v>
      </c>
      <c r="B7699" s="132">
        <v>16.787144989971502</v>
      </c>
      <c r="C7699" s="133"/>
    </row>
    <row r="7700" spans="1:3">
      <c r="A7700" s="131" t="s">
        <v>3147</v>
      </c>
      <c r="B7700" s="132">
        <v>4.6868909370702001E-3</v>
      </c>
      <c r="C7700" s="133"/>
    </row>
    <row r="7701" spans="1:3">
      <c r="A7701" s="131" t="s">
        <v>3148</v>
      </c>
      <c r="B7701" s="132">
        <v>1.5727496207699001E-4</v>
      </c>
      <c r="C7701" s="133"/>
    </row>
    <row r="7702" spans="1:3">
      <c r="A7702" s="131" t="s">
        <v>3149</v>
      </c>
      <c r="B7702" s="132">
        <v>4.3515751390453002E-2</v>
      </c>
      <c r="C7702" s="133"/>
    </row>
    <row r="7703" spans="1:3">
      <c r="A7703" s="131" t="s">
        <v>3150</v>
      </c>
      <c r="B7703" s="132">
        <v>0.43505618961656001</v>
      </c>
      <c r="C7703" s="133"/>
    </row>
    <row r="7704" spans="1:3">
      <c r="A7704" s="131" t="s">
        <v>3151</v>
      </c>
      <c r="B7704" s="132">
        <v>7.2247483702721999E-7</v>
      </c>
      <c r="C7704" s="133"/>
    </row>
    <row r="7705" spans="1:3">
      <c r="A7705" s="131" t="s">
        <v>3152</v>
      </c>
      <c r="B7705" s="132">
        <v>9.3513235432396546E-3</v>
      </c>
      <c r="C7705" s="133"/>
    </row>
    <row r="7706" spans="1:3">
      <c r="A7706" s="131" t="s">
        <v>3153</v>
      </c>
      <c r="B7706" s="132">
        <v>1.115694855808</v>
      </c>
      <c r="C7706" s="133"/>
    </row>
    <row r="7707" spans="1:3">
      <c r="A7707" s="131" t="s">
        <v>3154</v>
      </c>
      <c r="B7707" s="132">
        <v>0.18031781598141</v>
      </c>
      <c r="C7707" s="133"/>
    </row>
    <row r="7708" spans="1:3">
      <c r="A7708" s="131" t="s">
        <v>3155</v>
      </c>
      <c r="B7708" s="132">
        <v>1.8359219363071</v>
      </c>
      <c r="C7708" s="133"/>
    </row>
    <row r="7709" spans="1:3">
      <c r="A7709" s="131" t="s">
        <v>3156</v>
      </c>
      <c r="B7709" s="132">
        <v>9.4750565526111998</v>
      </c>
      <c r="C7709" s="133"/>
    </row>
    <row r="7710" spans="1:3">
      <c r="A7710" s="131" t="s">
        <v>3157</v>
      </c>
      <c r="B7710" s="132">
        <v>0.28129271010294998</v>
      </c>
      <c r="C7710" s="133"/>
    </row>
    <row r="7711" spans="1:3">
      <c r="A7711" s="131" t="s">
        <v>3158</v>
      </c>
      <c r="B7711" s="132">
        <v>6.9037364060397996E-2</v>
      </c>
      <c r="C7711" s="133"/>
    </row>
    <row r="7712" spans="1:3">
      <c r="A7712" s="131" t="s">
        <v>3159</v>
      </c>
      <c r="B7712" s="132">
        <v>3.5928057757688E-3</v>
      </c>
      <c r="C7712" s="133"/>
    </row>
    <row r="7713" spans="1:3">
      <c r="A7713" s="131" t="s">
        <v>3160</v>
      </c>
      <c r="B7713" s="132">
        <v>5.8936054572044001E-4</v>
      </c>
      <c r="C7713" s="133"/>
    </row>
    <row r="7714" spans="1:3">
      <c r="A7714" s="131" t="s">
        <v>3161</v>
      </c>
      <c r="B7714" s="132">
        <v>2.7431954510000001E-10</v>
      </c>
      <c r="C7714" s="133"/>
    </row>
    <row r="7715" spans="1:3">
      <c r="A7715" s="131" t="s">
        <v>3162</v>
      </c>
      <c r="B7715" s="132">
        <v>3.8170658534842999E-5</v>
      </c>
      <c r="C7715" s="133"/>
    </row>
    <row r="7716" spans="1:3">
      <c r="A7716" s="131" t="s">
        <v>3163</v>
      </c>
      <c r="B7716" s="132">
        <v>2.2481342733568002E-6</v>
      </c>
      <c r="C7716" s="133"/>
    </row>
    <row r="7717" spans="1:3">
      <c r="A7717" s="131" t="s">
        <v>3164</v>
      </c>
      <c r="B7717" s="132">
        <v>4.7615770371512003E-2</v>
      </c>
      <c r="C7717" s="133"/>
    </row>
    <row r="7718" spans="1:3">
      <c r="A7718" s="131" t="s">
        <v>3165</v>
      </c>
      <c r="B7718" s="132">
        <v>1.0689628012313E-3</v>
      </c>
      <c r="C7718" s="133"/>
    </row>
    <row r="7719" spans="1:3">
      <c r="A7719" s="131" t="s">
        <v>3166</v>
      </c>
      <c r="B7719" s="132">
        <v>1.7959720070785001E-4</v>
      </c>
      <c r="C7719" s="133"/>
    </row>
    <row r="7720" spans="1:3">
      <c r="A7720" s="131" t="s">
        <v>3167</v>
      </c>
      <c r="B7720" s="132">
        <v>5.0797509147639998E-5</v>
      </c>
      <c r="C7720" s="133"/>
    </row>
    <row r="7721" spans="1:3">
      <c r="A7721" s="131" t="s">
        <v>3168</v>
      </c>
      <c r="B7721" s="132">
        <v>56.002087672644002</v>
      </c>
      <c r="C7721" s="133"/>
    </row>
    <row r="7722" spans="1:3">
      <c r="A7722" s="131" t="s">
        <v>3169</v>
      </c>
      <c r="B7722" s="132">
        <v>37.755693927930501</v>
      </c>
      <c r="C7722" s="133"/>
    </row>
    <row r="7723" spans="1:3">
      <c r="A7723" s="131" t="s">
        <v>3170</v>
      </c>
      <c r="B7723" s="132">
        <v>1.1787256691480851E-2</v>
      </c>
      <c r="C7723" s="133"/>
    </row>
    <row r="7724" spans="1:3">
      <c r="A7724" s="131" t="s">
        <v>3171</v>
      </c>
      <c r="B7724" s="132">
        <v>8.6228747398899995E-9</v>
      </c>
      <c r="C7724" s="133"/>
    </row>
    <row r="7725" spans="1:3">
      <c r="A7725" s="131" t="s">
        <v>3172</v>
      </c>
      <c r="B7725" s="132">
        <v>790.90098766205006</v>
      </c>
      <c r="C7725" s="133"/>
    </row>
    <row r="7726" spans="1:3">
      <c r="A7726" s="131" t="s">
        <v>3173</v>
      </c>
      <c r="B7726" s="132">
        <v>50.697183704781501</v>
      </c>
      <c r="C7726" s="133"/>
    </row>
    <row r="7727" spans="1:3">
      <c r="A7727" s="131" t="s">
        <v>3174</v>
      </c>
      <c r="B7727" s="132">
        <v>6.5470546445479005E-2</v>
      </c>
      <c r="C7727" s="133"/>
    </row>
    <row r="7728" spans="1:3">
      <c r="A7728" s="131" t="s">
        <v>3175</v>
      </c>
      <c r="B7728" s="132">
        <v>3.6326734099062001E-2</v>
      </c>
      <c r="C7728" s="133"/>
    </row>
    <row r="7729" spans="1:3">
      <c r="A7729" s="131" t="s">
        <v>3176</v>
      </c>
      <c r="B7729" s="132">
        <v>0.11381159654884</v>
      </c>
      <c r="C7729" s="133"/>
    </row>
    <row r="7730" spans="1:3">
      <c r="A7730" s="131" t="s">
        <v>3177</v>
      </c>
      <c r="B7730" s="132">
        <v>1.5902928482152998E-2</v>
      </c>
      <c r="C7730" s="133"/>
    </row>
    <row r="7731" spans="1:3">
      <c r="A7731" s="131" t="s">
        <v>3178</v>
      </c>
      <c r="B7731" s="132">
        <v>6.7775092513796003E-7</v>
      </c>
      <c r="C7731" s="133"/>
    </row>
    <row r="7732" spans="1:3">
      <c r="A7732" s="131" t="s">
        <v>3179</v>
      </c>
      <c r="B7732" s="132">
        <v>0.17067382043449</v>
      </c>
      <c r="C7732" s="133"/>
    </row>
    <row r="7733" spans="1:3">
      <c r="A7733" s="131" t="s">
        <v>3180</v>
      </c>
      <c r="B7733" s="132">
        <v>1.5036512999999998E-4</v>
      </c>
      <c r="C7733" s="133"/>
    </row>
    <row r="7734" spans="1:3">
      <c r="A7734" s="131" t="s">
        <v>3181</v>
      </c>
      <c r="B7734" s="132">
        <v>0.10778833666995</v>
      </c>
      <c r="C7734" s="133"/>
    </row>
    <row r="7735" spans="1:3">
      <c r="A7735" s="131" t="s">
        <v>3182</v>
      </c>
      <c r="B7735" s="132">
        <v>0.14197684000246999</v>
      </c>
      <c r="C7735" s="133"/>
    </row>
    <row r="7736" spans="1:3">
      <c r="A7736" s="131" t="s">
        <v>3183</v>
      </c>
      <c r="B7736" s="132">
        <v>4.5576603245933003E-2</v>
      </c>
      <c r="C7736" s="133"/>
    </row>
    <row r="7737" spans="1:3">
      <c r="A7737" s="131" t="s">
        <v>3184</v>
      </c>
      <c r="B7737" s="132">
        <v>0.11762421417763</v>
      </c>
      <c r="C7737" s="133"/>
    </row>
    <row r="7738" spans="1:3">
      <c r="A7738" s="131" t="s">
        <v>3185</v>
      </c>
      <c r="B7738" s="132">
        <v>1.7045575718816</v>
      </c>
      <c r="C7738" s="133"/>
    </row>
    <row r="7739" spans="1:3">
      <c r="A7739" s="131" t="s">
        <v>3186</v>
      </c>
      <c r="B7739" s="132">
        <v>1.3147572972845E-2</v>
      </c>
      <c r="C7739" s="133"/>
    </row>
    <row r="7740" spans="1:3">
      <c r="A7740" s="131" t="s">
        <v>3187</v>
      </c>
      <c r="B7740" s="132">
        <v>6.9122671575299997E-9</v>
      </c>
      <c r="C7740" s="133"/>
    </row>
    <row r="7741" spans="1:3">
      <c r="A7741" s="131" t="s">
        <v>3188</v>
      </c>
      <c r="B7741" s="132">
        <v>4.3564618280800002E-9</v>
      </c>
      <c r="C7741" s="133"/>
    </row>
    <row r="7742" spans="1:3">
      <c r="A7742" s="131" t="s">
        <v>3189</v>
      </c>
      <c r="B7742" s="132">
        <v>1.728783712217</v>
      </c>
      <c r="C7742" s="133"/>
    </row>
    <row r="7743" spans="1:3">
      <c r="A7743" s="131" t="s">
        <v>3190</v>
      </c>
      <c r="B7743" s="132">
        <v>2.6033482228836499E-2</v>
      </c>
      <c r="C7743" s="133"/>
    </row>
    <row r="7744" spans="1:3">
      <c r="A7744" s="131" t="s">
        <v>3191</v>
      </c>
      <c r="B7744" s="132">
        <v>7.0538176322580996E-3</v>
      </c>
      <c r="C7744" s="133"/>
    </row>
    <row r="7745" spans="1:3">
      <c r="A7745" s="131" t="s">
        <v>3192</v>
      </c>
      <c r="B7745" s="132">
        <v>2.0277067987439998E-6</v>
      </c>
      <c r="C7745" s="133"/>
    </row>
    <row r="7746" spans="1:3">
      <c r="A7746" s="131" t="s">
        <v>3193</v>
      </c>
      <c r="B7746" s="132">
        <v>1.4767870828063999E-5</v>
      </c>
      <c r="C7746" s="133"/>
    </row>
    <row r="7747" spans="1:3">
      <c r="A7747" s="131" t="s">
        <v>3194</v>
      </c>
      <c r="B7747" s="132">
        <v>14.840749295612</v>
      </c>
      <c r="C7747" s="133"/>
    </row>
    <row r="7748" spans="1:3">
      <c r="A7748" s="131" t="s">
        <v>3195</v>
      </c>
      <c r="B7748" s="132">
        <v>4.4700564138443998E-2</v>
      </c>
      <c r="C7748" s="133"/>
    </row>
    <row r="7749" spans="1:3">
      <c r="A7749" s="131" t="s">
        <v>3196</v>
      </c>
      <c r="B7749" s="132">
        <v>6.802595833252E-4</v>
      </c>
      <c r="C7749" s="133"/>
    </row>
    <row r="7750" spans="1:3">
      <c r="A7750" s="131" t="s">
        <v>3197</v>
      </c>
      <c r="B7750" s="132">
        <v>7.3317546779645998E-2</v>
      </c>
      <c r="C7750" s="133"/>
    </row>
    <row r="7751" spans="1:3">
      <c r="A7751" s="131" t="s">
        <v>3198</v>
      </c>
      <c r="B7751" s="132">
        <v>0.13840056768494</v>
      </c>
      <c r="C7751" s="133"/>
    </row>
    <row r="7752" spans="1:3">
      <c r="A7752" s="131" t="s">
        <v>3199</v>
      </c>
      <c r="B7752" s="132">
        <v>1.0133648290467E-5</v>
      </c>
      <c r="C7752" s="133"/>
    </row>
    <row r="7753" spans="1:3">
      <c r="A7753" s="131" t="s">
        <v>3200</v>
      </c>
      <c r="B7753" s="132">
        <v>4.9327377880118003E-3</v>
      </c>
      <c r="C7753" s="133"/>
    </row>
    <row r="7754" spans="1:3">
      <c r="A7754" s="131" t="s">
        <v>3201</v>
      </c>
      <c r="B7754" s="132">
        <v>6.6335901988469004E-2</v>
      </c>
      <c r="C7754" s="133"/>
    </row>
    <row r="7755" spans="1:3">
      <c r="A7755" s="131" t="s">
        <v>3202</v>
      </c>
      <c r="B7755" s="132">
        <v>19.143592719029002</v>
      </c>
      <c r="C7755" s="133"/>
    </row>
    <row r="7756" spans="1:3">
      <c r="A7756" s="131" t="s">
        <v>3203</v>
      </c>
      <c r="B7756" s="132">
        <v>21.474935690018</v>
      </c>
      <c r="C7756" s="133"/>
    </row>
    <row r="7757" spans="1:3">
      <c r="A7757" s="131" t="s">
        <v>3204</v>
      </c>
      <c r="B7757" s="132">
        <v>1.6678995806253E-3</v>
      </c>
      <c r="C7757" s="133"/>
    </row>
    <row r="7758" spans="1:3">
      <c r="A7758" s="131" t="s">
        <v>3205</v>
      </c>
      <c r="B7758" s="132">
        <v>4.6751192623266</v>
      </c>
      <c r="C7758" s="133"/>
    </row>
    <row r="7759" spans="1:3">
      <c r="A7759" s="131" t="s">
        <v>3206</v>
      </c>
      <c r="B7759" s="132">
        <v>27.569167387842</v>
      </c>
      <c r="C7759" s="133"/>
    </row>
    <row r="7760" spans="1:3">
      <c r="A7760" s="131" t="s">
        <v>3207</v>
      </c>
      <c r="B7760" s="132">
        <v>5.4644349589466996E-3</v>
      </c>
      <c r="C7760" s="133"/>
    </row>
    <row r="7761" spans="1:3">
      <c r="A7761" s="131" t="s">
        <v>3208</v>
      </c>
      <c r="B7761" s="132">
        <v>148.35057400375001</v>
      </c>
      <c r="C7761" s="133"/>
    </row>
    <row r="7762" spans="1:3">
      <c r="A7762" s="131" t="s">
        <v>3209</v>
      </c>
      <c r="B7762" s="132">
        <v>0.12534784013749001</v>
      </c>
      <c r="C7762" s="133"/>
    </row>
    <row r="7763" spans="1:3">
      <c r="A7763" s="131" t="s">
        <v>3210</v>
      </c>
      <c r="B7763" s="132">
        <v>0.14108748043395999</v>
      </c>
      <c r="C7763" s="133"/>
    </row>
    <row r="7764" spans="1:3">
      <c r="A7764" s="131" t="s">
        <v>3211</v>
      </c>
      <c r="B7764" s="132">
        <v>20.736035436030001</v>
      </c>
      <c r="C7764" s="133"/>
    </row>
    <row r="7765" spans="1:3">
      <c r="A7765" s="131" t="s">
        <v>3212</v>
      </c>
      <c r="B7765" s="132">
        <v>2.9270519473667E-2</v>
      </c>
      <c r="C7765" s="133"/>
    </row>
    <row r="7766" spans="1:3">
      <c r="A7766" s="131" t="s">
        <v>3213</v>
      </c>
      <c r="B7766" s="132">
        <v>0.79307628328081003</v>
      </c>
      <c r="C7766" s="133"/>
    </row>
    <row r="7767" spans="1:3">
      <c r="A7767" s="131" t="s">
        <v>3214</v>
      </c>
      <c r="B7767" s="132">
        <v>0.12078384270412185</v>
      </c>
      <c r="C7767" s="133"/>
    </row>
    <row r="7768" spans="1:3">
      <c r="A7768" s="131" t="s">
        <v>3215</v>
      </c>
      <c r="B7768" s="132">
        <v>0.7227516682781</v>
      </c>
      <c r="C7768" s="133"/>
    </row>
    <row r="7769" spans="1:3">
      <c r="A7769" s="131" t="s">
        <v>3216</v>
      </c>
      <c r="B7769" s="132">
        <v>0.50774646565796999</v>
      </c>
      <c r="C7769" s="133"/>
    </row>
    <row r="7770" spans="1:3">
      <c r="A7770" s="131" t="s">
        <v>3217</v>
      </c>
      <c r="B7770" s="132">
        <v>7.2648408887378997</v>
      </c>
      <c r="C7770" s="133"/>
    </row>
    <row r="7771" spans="1:3">
      <c r="A7771" s="131" t="s">
        <v>3218</v>
      </c>
      <c r="B7771" s="132">
        <v>7.5216009105784996E-3</v>
      </c>
      <c r="C7771" s="133"/>
    </row>
    <row r="7772" spans="1:3">
      <c r="A7772" s="131" t="s">
        <v>3219</v>
      </c>
      <c r="B7772" s="132">
        <v>2.2923949003270001E-2</v>
      </c>
      <c r="C7772" s="133"/>
    </row>
    <row r="7773" spans="1:3">
      <c r="A7773" s="131" t="s">
        <v>3220</v>
      </c>
      <c r="B7773" s="132">
        <v>0.12342293698885</v>
      </c>
      <c r="C7773" s="133"/>
    </row>
    <row r="7774" spans="1:3">
      <c r="A7774" s="131" t="s">
        <v>3221</v>
      </c>
      <c r="B7774" s="132">
        <v>2.0994090902501001E-4</v>
      </c>
      <c r="C7774" s="133"/>
    </row>
    <row r="7775" spans="1:3">
      <c r="A7775" s="131" t="s">
        <v>3222</v>
      </c>
      <c r="B7775" s="132">
        <v>14.69</v>
      </c>
      <c r="C7775" s="133"/>
    </row>
    <row r="7776" spans="1:3">
      <c r="A7776" s="131" t="s">
        <v>3223</v>
      </c>
      <c r="B7776" s="132">
        <v>2.085066972095E-2</v>
      </c>
      <c r="C7776" s="133"/>
    </row>
    <row r="7777" spans="1:3">
      <c r="A7777" s="131" t="s">
        <v>3224</v>
      </c>
      <c r="B7777" s="132">
        <v>1.6731548575063999</v>
      </c>
      <c r="C7777" s="133"/>
    </row>
    <row r="7778" spans="1:3">
      <c r="A7778" s="131" t="s">
        <v>3225</v>
      </c>
      <c r="B7778" s="132">
        <v>1.4731584982953E-3</v>
      </c>
      <c r="C7778" s="133"/>
    </row>
    <row r="7779" spans="1:3">
      <c r="A7779" s="131" t="s">
        <v>3226</v>
      </c>
      <c r="B7779" s="132">
        <v>1.0897909083715999E-3</v>
      </c>
      <c r="C7779" s="133"/>
    </row>
    <row r="7780" spans="1:3">
      <c r="A7780" s="131" t="s">
        <v>3227</v>
      </c>
      <c r="B7780" s="132">
        <v>3.8000566478463001E-3</v>
      </c>
      <c r="C7780" s="133"/>
    </row>
    <row r="7781" spans="1:3">
      <c r="A7781" s="131" t="s">
        <v>3228</v>
      </c>
      <c r="B7781" s="132">
        <v>0.38135504757507999</v>
      </c>
      <c r="C7781" s="133"/>
    </row>
    <row r="7782" spans="1:3">
      <c r="A7782" s="131" t="s">
        <v>3229</v>
      </c>
      <c r="B7782" s="132">
        <v>1.9076245772241553</v>
      </c>
      <c r="C7782" s="133"/>
    </row>
    <row r="7783" spans="1:3">
      <c r="A7783" s="131" t="s">
        <v>3230</v>
      </c>
      <c r="B7783" s="132">
        <v>3.0381760389501001E-5</v>
      </c>
      <c r="C7783" s="133"/>
    </row>
    <row r="7784" spans="1:3">
      <c r="A7784" s="131" t="s">
        <v>3231</v>
      </c>
      <c r="B7784" s="132">
        <v>1.8119599151042001</v>
      </c>
      <c r="C7784" s="133"/>
    </row>
    <row r="7785" spans="1:3">
      <c r="A7785" s="131" t="s">
        <v>3232</v>
      </c>
      <c r="B7785" s="132">
        <v>9.5597351718365003E-2</v>
      </c>
      <c r="C7785" s="133"/>
    </row>
    <row r="7786" spans="1:3">
      <c r="A7786" s="131" t="s">
        <v>3233</v>
      </c>
      <c r="B7786" s="132">
        <v>4.8490548914601996</v>
      </c>
      <c r="C7786" s="133"/>
    </row>
    <row r="7787" spans="1:3">
      <c r="A7787" s="131" t="s">
        <v>3234</v>
      </c>
      <c r="B7787" s="132">
        <v>3.9780977500000002E-2</v>
      </c>
      <c r="C7787" s="133"/>
    </row>
    <row r="7788" spans="1:3">
      <c r="A7788" s="131" t="s">
        <v>3235</v>
      </c>
      <c r="B7788" s="132">
        <v>4.2892931975267003E-3</v>
      </c>
      <c r="C7788" s="133"/>
    </row>
    <row r="7789" spans="1:3">
      <c r="A7789" s="131" t="s">
        <v>3236</v>
      </c>
      <c r="B7789" s="132">
        <v>1.0928974942282E-2</v>
      </c>
      <c r="C7789" s="133"/>
    </row>
    <row r="7790" spans="1:3">
      <c r="A7790" s="131" t="s">
        <v>3237</v>
      </c>
      <c r="B7790" s="132">
        <v>25.283683910236</v>
      </c>
      <c r="C7790" s="133"/>
    </row>
    <row r="7791" spans="1:3">
      <c r="A7791" s="131" t="s">
        <v>6233</v>
      </c>
      <c r="B7791" s="132">
        <v>616.10057643704999</v>
      </c>
      <c r="C7791" s="133"/>
    </row>
    <row r="7792" spans="1:3">
      <c r="A7792" s="131" t="s">
        <v>6234</v>
      </c>
      <c r="B7792" s="132">
        <v>9.7384217366896315E-4</v>
      </c>
      <c r="C7792" s="133"/>
    </row>
    <row r="7793" spans="1:3">
      <c r="A7793" s="131" t="s">
        <v>6235</v>
      </c>
      <c r="B7793" s="132">
        <v>43.723718009887001</v>
      </c>
      <c r="C7793" s="133"/>
    </row>
    <row r="7794" spans="1:3">
      <c r="A7794" s="131" t="s">
        <v>6236</v>
      </c>
      <c r="B7794" s="132">
        <v>4.3030344004930002E-8</v>
      </c>
      <c r="C7794" s="133"/>
    </row>
    <row r="7795" spans="1:3">
      <c r="A7795" s="131" t="s">
        <v>6237</v>
      </c>
      <c r="B7795" s="132">
        <v>8.2177526037611006</v>
      </c>
      <c r="C7795" s="133"/>
    </row>
    <row r="7796" spans="1:3">
      <c r="A7796" s="131" t="s">
        <v>6238</v>
      </c>
      <c r="B7796" s="132">
        <v>3.8886630968012001</v>
      </c>
      <c r="C7796" s="133"/>
    </row>
    <row r="7797" spans="1:3">
      <c r="A7797" s="131" t="s">
        <v>6239</v>
      </c>
      <c r="B7797" s="132">
        <v>8.2499855004440512</v>
      </c>
      <c r="C7797" s="133"/>
    </row>
    <row r="7798" spans="1:3">
      <c r="A7798" s="131" t="s">
        <v>6240</v>
      </c>
      <c r="B7798" s="132">
        <v>1.6173071910862</v>
      </c>
      <c r="C7798" s="133"/>
    </row>
    <row r="7799" spans="1:3">
      <c r="A7799" s="131" t="s">
        <v>6241</v>
      </c>
      <c r="B7799" s="132">
        <v>1.2106552248272999E-3</v>
      </c>
      <c r="C7799" s="133"/>
    </row>
    <row r="7800" spans="1:3">
      <c r="A7800" s="131" t="s">
        <v>6242</v>
      </c>
      <c r="B7800" s="132">
        <v>6.8625741283957001E-2</v>
      </c>
      <c r="C7800" s="133"/>
    </row>
    <row r="7801" spans="1:3">
      <c r="A7801" s="131" t="s">
        <v>6243</v>
      </c>
      <c r="B7801" s="132">
        <v>1.46022331405E-9</v>
      </c>
      <c r="C7801" s="133"/>
    </row>
    <row r="7802" spans="1:3">
      <c r="A7802" s="131" t="s">
        <v>6244</v>
      </c>
      <c r="B7802" s="132">
        <v>7.8455745999999997E-4</v>
      </c>
      <c r="C7802" s="133"/>
    </row>
    <row r="7803" spans="1:3">
      <c r="A7803" s="131" t="s">
        <v>6245</v>
      </c>
      <c r="B7803" s="132">
        <v>6.9157403682114996E-3</v>
      </c>
      <c r="C7803" s="133"/>
    </row>
    <row r="7804" spans="1:3">
      <c r="A7804" s="131" t="s">
        <v>6246</v>
      </c>
      <c r="B7804" s="132">
        <v>1.2639359979770001E-2</v>
      </c>
      <c r="C7804" s="133"/>
    </row>
    <row r="7805" spans="1:3">
      <c r="A7805" s="131" t="s">
        <v>6247</v>
      </c>
      <c r="B7805" s="132">
        <v>5.6321575970114918E-2</v>
      </c>
      <c r="C7805" s="133"/>
    </row>
    <row r="7806" spans="1:3">
      <c r="A7806" s="131" t="s">
        <v>6248</v>
      </c>
      <c r="B7806" s="132">
        <v>1.2186963179468539E-2</v>
      </c>
      <c r="C7806" s="133"/>
    </row>
    <row r="7807" spans="1:3">
      <c r="A7807" s="131" t="s">
        <v>6249</v>
      </c>
      <c r="B7807" s="132">
        <v>0.51623497285528996</v>
      </c>
      <c r="C7807" s="133"/>
    </row>
    <row r="7808" spans="1:3">
      <c r="A7808" s="131" t="s">
        <v>6250</v>
      </c>
      <c r="B7808" s="132">
        <v>6.8534247830359003E-3</v>
      </c>
      <c r="C7808" s="133"/>
    </row>
    <row r="7809" spans="1:3">
      <c r="A7809" s="131" t="s">
        <v>6251</v>
      </c>
      <c r="B7809" s="132">
        <v>2.0011684393380002E-3</v>
      </c>
      <c r="C7809" s="133"/>
    </row>
    <row r="7810" spans="1:3">
      <c r="A7810" s="131" t="s">
        <v>6252</v>
      </c>
      <c r="B7810" s="132">
        <v>2.5813970909540001E-8</v>
      </c>
      <c r="C7810" s="133"/>
    </row>
    <row r="7811" spans="1:3">
      <c r="A7811" s="131" t="s">
        <v>6253</v>
      </c>
      <c r="B7811" s="132">
        <v>4.7089333768612997E-2</v>
      </c>
      <c r="C7811" s="133"/>
    </row>
    <row r="7812" spans="1:3">
      <c r="A7812" s="131" t="s">
        <v>6254</v>
      </c>
      <c r="B7812" s="132">
        <v>0.40027275536278001</v>
      </c>
      <c r="C7812" s="133"/>
    </row>
    <row r="7813" spans="1:3">
      <c r="A7813" s="131" t="s">
        <v>6255</v>
      </c>
      <c r="B7813" s="132">
        <v>5.5716848878823002E-3</v>
      </c>
      <c r="C7813" s="133"/>
    </row>
    <row r="7814" spans="1:3">
      <c r="A7814" s="131" t="s">
        <v>6256</v>
      </c>
      <c r="B7814" s="132">
        <v>8.0679665048901999E-4</v>
      </c>
      <c r="C7814" s="133"/>
    </row>
    <row r="7815" spans="1:3">
      <c r="A7815" s="131" t="s">
        <v>6257</v>
      </c>
      <c r="B7815" s="132">
        <v>0.36138467393419671</v>
      </c>
      <c r="C7815" s="133"/>
    </row>
    <row r="7816" spans="1:3">
      <c r="A7816" s="131" t="s">
        <v>6258</v>
      </c>
      <c r="B7816" s="132">
        <v>0.58424620283751005</v>
      </c>
      <c r="C7816" s="133"/>
    </row>
    <row r="7817" spans="1:3">
      <c r="A7817" s="131" t="s">
        <v>6259</v>
      </c>
      <c r="B7817" s="132">
        <v>3.0674342877920999</v>
      </c>
      <c r="C7817" s="133"/>
    </row>
    <row r="7818" spans="1:3">
      <c r="A7818" s="131" t="s">
        <v>6260</v>
      </c>
      <c r="B7818" s="132">
        <v>9.9803648219790996E-3</v>
      </c>
      <c r="C7818" s="133"/>
    </row>
    <row r="7819" spans="1:3">
      <c r="A7819" s="131" t="s">
        <v>6261</v>
      </c>
      <c r="B7819" s="132">
        <v>0.46366800630496002</v>
      </c>
      <c r="C7819" s="133"/>
    </row>
    <row r="7820" spans="1:3">
      <c r="A7820" s="131" t="s">
        <v>6262</v>
      </c>
      <c r="B7820" s="132">
        <v>7.5473537339443994E-2</v>
      </c>
      <c r="C7820" s="133"/>
    </row>
    <row r="7821" spans="1:3">
      <c r="A7821" s="131" t="s">
        <v>6263</v>
      </c>
      <c r="B7821" s="132">
        <v>8.4264566930871996E-7</v>
      </c>
      <c r="C7821" s="133"/>
    </row>
    <row r="7822" spans="1:3">
      <c r="A7822" s="131" t="s">
        <v>6264</v>
      </c>
      <c r="B7822" s="132">
        <v>3.0294280182206998</v>
      </c>
      <c r="C7822" s="133"/>
    </row>
    <row r="7823" spans="1:3">
      <c r="A7823" s="131" t="s">
        <v>6265</v>
      </c>
      <c r="B7823" s="132">
        <v>1.5739655739255001E-3</v>
      </c>
      <c r="C7823" s="133"/>
    </row>
    <row r="7824" spans="1:3">
      <c r="A7824" s="131" t="s">
        <v>6266</v>
      </c>
      <c r="B7824" s="132">
        <v>8.1964360345331E-2</v>
      </c>
      <c r="C7824" s="133"/>
    </row>
    <row r="7825" spans="1:3">
      <c r="A7825" s="131" t="s">
        <v>6267</v>
      </c>
      <c r="B7825" s="132">
        <v>46.144974354573002</v>
      </c>
      <c r="C7825" s="133"/>
    </row>
    <row r="7826" spans="1:3">
      <c r="A7826" s="131" t="s">
        <v>6268</v>
      </c>
      <c r="B7826" s="132">
        <v>3.9951496257472003E-5</v>
      </c>
      <c r="C7826" s="133"/>
    </row>
    <row r="7827" spans="1:3">
      <c r="A7827" s="131" t="s">
        <v>6269</v>
      </c>
      <c r="B7827" s="132">
        <v>2.5413113024931999E-2</v>
      </c>
      <c r="C7827" s="133"/>
    </row>
    <row r="7828" spans="1:3">
      <c r="A7828" s="131" t="s">
        <v>6270</v>
      </c>
      <c r="B7828" s="132">
        <v>66.777001682198005</v>
      </c>
      <c r="C7828" s="133"/>
    </row>
    <row r="7829" spans="1:3">
      <c r="A7829" s="131" t="s">
        <v>6271</v>
      </c>
      <c r="B7829" s="132">
        <v>0.32817761466391998</v>
      </c>
      <c r="C7829" s="133"/>
    </row>
    <row r="7830" spans="1:3">
      <c r="A7830" s="131" t="s">
        <v>6272</v>
      </c>
      <c r="B7830" s="132">
        <v>1.4618107228964747</v>
      </c>
      <c r="C7830" s="133"/>
    </row>
    <row r="7831" spans="1:3">
      <c r="A7831" s="131" t="s">
        <v>6273</v>
      </c>
      <c r="B7831" s="132">
        <v>6.7388695857862002E-2</v>
      </c>
      <c r="C7831" s="133"/>
    </row>
    <row r="7832" spans="1:3">
      <c r="A7832" s="131" t="s">
        <v>6274</v>
      </c>
      <c r="B7832" s="132">
        <v>7.573948295123933E-9</v>
      </c>
      <c r="C7832" s="133"/>
    </row>
    <row r="7833" spans="1:3">
      <c r="A7833" s="131" t="s">
        <v>6275</v>
      </c>
      <c r="B7833" s="132">
        <v>4.2416492837418999E-3</v>
      </c>
      <c r="C7833" s="133"/>
    </row>
    <row r="7834" spans="1:3">
      <c r="A7834" s="131" t="s">
        <v>6276</v>
      </c>
      <c r="B7834" s="132">
        <v>0.14509032168256</v>
      </c>
      <c r="C7834" s="133"/>
    </row>
    <row r="7835" spans="1:3">
      <c r="A7835" s="131" t="s">
        <v>6277</v>
      </c>
      <c r="B7835" s="132">
        <v>2.1218670478105</v>
      </c>
      <c r="C7835" s="133"/>
    </row>
    <row r="7836" spans="1:3">
      <c r="A7836" s="131" t="s">
        <v>6278</v>
      </c>
      <c r="B7836" s="132">
        <v>2.3818024447524999E-5</v>
      </c>
      <c r="C7836" s="133"/>
    </row>
    <row r="7837" spans="1:3">
      <c r="A7837" s="131" t="s">
        <v>6279</v>
      </c>
      <c r="B7837" s="132">
        <v>7.8622015751315007E-3</v>
      </c>
      <c r="C7837" s="133"/>
    </row>
    <row r="7838" spans="1:3">
      <c r="A7838" s="131" t="s">
        <v>6280</v>
      </c>
      <c r="B7838" s="132">
        <v>4.8596557768846999E-3</v>
      </c>
      <c r="C7838" s="133"/>
    </row>
    <row r="7839" spans="1:3">
      <c r="A7839" s="131" t="s">
        <v>6281</v>
      </c>
      <c r="B7839" s="132">
        <v>8.3011240242532994E-2</v>
      </c>
      <c r="C7839" s="133"/>
    </row>
    <row r="7840" spans="1:3">
      <c r="A7840" s="131" t="s">
        <v>6282</v>
      </c>
      <c r="B7840" s="132">
        <v>1.1904289076611001</v>
      </c>
      <c r="C7840" s="133"/>
    </row>
    <row r="7841" spans="1:3">
      <c r="A7841" s="131" t="s">
        <v>6283</v>
      </c>
      <c r="B7841" s="132">
        <v>0.1175453692868</v>
      </c>
      <c r="C7841" s="133"/>
    </row>
    <row r="7842" spans="1:3">
      <c r="A7842" s="131" t="s">
        <v>6284</v>
      </c>
      <c r="B7842" s="132">
        <v>1.4624993990347E-2</v>
      </c>
      <c r="C7842" s="133"/>
    </row>
    <row r="7843" spans="1:3">
      <c r="A7843" s="131" t="s">
        <v>6285</v>
      </c>
      <c r="B7843" s="132">
        <v>6.7842278221157001E-2</v>
      </c>
      <c r="C7843" s="133"/>
    </row>
    <row r="7844" spans="1:3">
      <c r="A7844" s="131" t="s">
        <v>6286</v>
      </c>
      <c r="B7844" s="132">
        <v>0.13761266213855999</v>
      </c>
      <c r="C7844" s="133"/>
    </row>
    <row r="7845" spans="1:3">
      <c r="A7845" s="131" t="s">
        <v>6287</v>
      </c>
      <c r="B7845" s="132">
        <v>7.0081912273358002E-7</v>
      </c>
      <c r="C7845" s="133"/>
    </row>
    <row r="7846" spans="1:3">
      <c r="A7846" s="131" t="s">
        <v>6288</v>
      </c>
      <c r="B7846" s="132">
        <v>4.9091169678183E-2</v>
      </c>
      <c r="C7846" s="133"/>
    </row>
    <row r="7847" spans="1:3">
      <c r="A7847" s="131" t="s">
        <v>6289</v>
      </c>
      <c r="B7847" s="132">
        <v>0.2217969124726</v>
      </c>
      <c r="C7847" s="133"/>
    </row>
    <row r="7848" spans="1:3">
      <c r="A7848" s="131" t="s">
        <v>6290</v>
      </c>
      <c r="B7848" s="132">
        <v>7.801805783231E-2</v>
      </c>
      <c r="C7848" s="133"/>
    </row>
    <row r="7849" spans="1:3">
      <c r="A7849" s="131" t="s">
        <v>6291</v>
      </c>
      <c r="B7849" s="132">
        <v>6.8001034322297121E-2</v>
      </c>
      <c r="C7849" s="133"/>
    </row>
    <row r="7850" spans="1:3">
      <c r="A7850" s="131" t="s">
        <v>6292</v>
      </c>
      <c r="B7850" s="132">
        <v>1177.1721167897001</v>
      </c>
      <c r="C7850" s="133"/>
    </row>
    <row r="7851" spans="1:3">
      <c r="A7851" s="131" t="s">
        <v>6293</v>
      </c>
      <c r="B7851" s="132">
        <v>3.3011255648060248E-2</v>
      </c>
      <c r="C7851" s="133"/>
    </row>
    <row r="7852" spans="1:3">
      <c r="A7852" s="131" t="s">
        <v>6294</v>
      </c>
      <c r="B7852" s="132">
        <v>3.8020577308625003E-5</v>
      </c>
      <c r="C7852" s="133"/>
    </row>
    <row r="7853" spans="1:3">
      <c r="A7853" s="131" t="s">
        <v>6295</v>
      </c>
      <c r="B7853" s="132">
        <v>0.22105337996471</v>
      </c>
      <c r="C7853" s="133"/>
    </row>
    <row r="7854" spans="1:3">
      <c r="A7854" s="131" t="s">
        <v>6296</v>
      </c>
      <c r="B7854" s="132">
        <v>3.2872764367199999E-9</v>
      </c>
      <c r="C7854" s="133"/>
    </row>
    <row r="7855" spans="1:3">
      <c r="A7855" s="131" t="s">
        <v>6297</v>
      </c>
      <c r="B7855" s="132">
        <v>3.1916835879200001E-9</v>
      </c>
      <c r="C7855" s="133"/>
    </row>
    <row r="7856" spans="1:3">
      <c r="A7856" s="131" t="s">
        <v>6298</v>
      </c>
      <c r="B7856" s="132">
        <v>4.3018368710653003E-2</v>
      </c>
      <c r="C7856" s="133"/>
    </row>
    <row r="7857" spans="1:3">
      <c r="A7857" s="131" t="s">
        <v>6299</v>
      </c>
      <c r="B7857" s="132">
        <v>6.1479692500000001</v>
      </c>
      <c r="C7857" s="133"/>
    </row>
    <row r="7858" spans="1:3">
      <c r="A7858" s="131" t="s">
        <v>6300</v>
      </c>
      <c r="B7858" s="132">
        <v>1.1807322634E-10</v>
      </c>
      <c r="C7858" s="133"/>
    </row>
    <row r="7859" spans="1:3">
      <c r="A7859" s="131" t="s">
        <v>6301</v>
      </c>
      <c r="B7859" s="132">
        <v>5.8888385890624779E-11</v>
      </c>
      <c r="C7859" s="133"/>
    </row>
    <row r="7860" spans="1:3">
      <c r="A7860" s="131" t="s">
        <v>6302</v>
      </c>
      <c r="B7860" s="132">
        <v>2.0448343042108E-5</v>
      </c>
      <c r="C7860" s="133"/>
    </row>
    <row r="7861" spans="1:3">
      <c r="A7861" s="131" t="s">
        <v>6303</v>
      </c>
      <c r="B7861" s="132">
        <v>9.2913551781834997E-2</v>
      </c>
      <c r="C7861" s="133"/>
    </row>
    <row r="7862" spans="1:3">
      <c r="A7862" s="131" t="s">
        <v>6304</v>
      </c>
      <c r="B7862" s="132">
        <v>4.2511074890582E-2</v>
      </c>
      <c r="C7862" s="133"/>
    </row>
    <row r="7863" spans="1:3">
      <c r="A7863" s="131" t="s">
        <v>6305</v>
      </c>
      <c r="B7863" s="132">
        <v>1.0327160237516E-3</v>
      </c>
      <c r="C7863" s="133"/>
    </row>
    <row r="7864" spans="1:3">
      <c r="A7864" s="131" t="s">
        <v>6306</v>
      </c>
      <c r="B7864" s="132">
        <v>0.30681906225376998</v>
      </c>
      <c r="C7864" s="133"/>
    </row>
    <row r="7865" spans="1:3">
      <c r="A7865" s="131" t="s">
        <v>6307</v>
      </c>
      <c r="B7865" s="132">
        <v>1.6862324103392199</v>
      </c>
      <c r="C7865" s="133"/>
    </row>
    <row r="7866" spans="1:3">
      <c r="A7866" s="131" t="s">
        <v>6308</v>
      </c>
      <c r="B7866" s="132">
        <v>0.59619321339117926</v>
      </c>
      <c r="C7866" s="133"/>
    </row>
    <row r="7867" spans="1:3">
      <c r="A7867" s="131" t="s">
        <v>6309</v>
      </c>
      <c r="B7867" s="132">
        <v>2.3147930390118E-4</v>
      </c>
      <c r="C7867" s="133"/>
    </row>
    <row r="7868" spans="1:3">
      <c r="A7868" s="131" t="s">
        <v>6310</v>
      </c>
      <c r="B7868" s="132">
        <v>3.8030082452951998E-5</v>
      </c>
      <c r="C7868" s="133"/>
    </row>
    <row r="7869" spans="1:3">
      <c r="A7869" s="131" t="s">
        <v>6311</v>
      </c>
      <c r="B7869" s="132">
        <v>3.0116299394463E-2</v>
      </c>
      <c r="C7869" s="133"/>
    </row>
    <row r="7870" spans="1:3">
      <c r="A7870" s="131" t="s">
        <v>6312</v>
      </c>
      <c r="B7870" s="132">
        <v>4.5324530317913003E-2</v>
      </c>
      <c r="C7870" s="133"/>
    </row>
    <row r="7871" spans="1:3">
      <c r="A7871" s="131" t="s">
        <v>6313</v>
      </c>
      <c r="B7871" s="132">
        <v>1.1005956589339001E-3</v>
      </c>
      <c r="C7871" s="133"/>
    </row>
    <row r="7872" spans="1:3">
      <c r="A7872" s="131" t="s">
        <v>6314</v>
      </c>
      <c r="B7872" s="132">
        <v>1.9365023391E-10</v>
      </c>
      <c r="C7872" s="133"/>
    </row>
    <row r="7873" spans="1:3">
      <c r="A7873" s="131" t="s">
        <v>6315</v>
      </c>
      <c r="B7873" s="132">
        <v>10.968904696079001</v>
      </c>
      <c r="C7873" s="133"/>
    </row>
    <row r="7874" spans="1:3">
      <c r="A7874" s="131" t="s">
        <v>6316</v>
      </c>
      <c r="B7874" s="132">
        <v>0.16224820260685999</v>
      </c>
      <c r="C7874" s="133"/>
    </row>
    <row r="7875" spans="1:3">
      <c r="A7875" s="131" t="s">
        <v>6317</v>
      </c>
      <c r="B7875" s="132">
        <v>1.2873562835911E-3</v>
      </c>
      <c r="C7875" s="133"/>
    </row>
    <row r="7876" spans="1:3">
      <c r="A7876" s="131" t="s">
        <v>6318</v>
      </c>
      <c r="B7876" s="132">
        <v>4.9950810483840923E-9</v>
      </c>
      <c r="C7876" s="133"/>
    </row>
    <row r="7877" spans="1:3">
      <c r="A7877" s="131" t="s">
        <v>6319</v>
      </c>
      <c r="B7877" s="132">
        <v>1.06211888124E-8</v>
      </c>
      <c r="C7877" s="133"/>
    </row>
    <row r="7878" spans="1:3">
      <c r="A7878" s="131" t="s">
        <v>6320</v>
      </c>
      <c r="B7878" s="132">
        <v>6.4403351163624997E-3</v>
      </c>
      <c r="C7878" s="133"/>
    </row>
    <row r="7879" spans="1:3">
      <c r="A7879" s="131" t="s">
        <v>6321</v>
      </c>
      <c r="B7879" s="132">
        <v>159.94318220149</v>
      </c>
      <c r="C7879" s="133"/>
    </row>
    <row r="7880" spans="1:3">
      <c r="A7880" s="131" t="s">
        <v>6322</v>
      </c>
      <c r="B7880" s="132">
        <v>38.435783512077002</v>
      </c>
      <c r="C7880" s="133"/>
    </row>
    <row r="7881" spans="1:3">
      <c r="A7881" s="131" t="s">
        <v>6323</v>
      </c>
      <c r="B7881" s="132">
        <v>2.7150033949679</v>
      </c>
      <c r="C7881" s="133"/>
    </row>
    <row r="7882" spans="1:3">
      <c r="A7882" s="131" t="s">
        <v>6324</v>
      </c>
      <c r="B7882" s="132">
        <v>9.2309442379471997E-3</v>
      </c>
      <c r="C7882" s="133"/>
    </row>
    <row r="7883" spans="1:3">
      <c r="A7883" s="131" t="s">
        <v>6325</v>
      </c>
      <c r="B7883" s="132">
        <v>7.3623940753352006E-5</v>
      </c>
      <c r="C7883" s="133"/>
    </row>
    <row r="7884" spans="1:3">
      <c r="A7884" s="131" t="s">
        <v>6326</v>
      </c>
      <c r="B7884" s="132">
        <v>3.3824290019142027</v>
      </c>
      <c r="C7884" s="133"/>
    </row>
    <row r="7885" spans="1:3">
      <c r="A7885" s="131" t="s">
        <v>6327</v>
      </c>
      <c r="B7885" s="132">
        <v>1.2610304250670001E-3</v>
      </c>
      <c r="C7885" s="133"/>
    </row>
    <row r="7886" spans="1:3">
      <c r="A7886" s="131" t="s">
        <v>6328</v>
      </c>
      <c r="B7886" s="132">
        <v>0.28933220572076002</v>
      </c>
      <c r="C7886" s="133"/>
    </row>
    <row r="7887" spans="1:3">
      <c r="A7887" s="131" t="s">
        <v>6329</v>
      </c>
      <c r="B7887" s="132">
        <v>1.0005415081217001E-3</v>
      </c>
      <c r="C7887" s="133"/>
    </row>
    <row r="7888" spans="1:3">
      <c r="A7888" s="131" t="s">
        <v>6330</v>
      </c>
      <c r="B7888" s="132">
        <v>2.8283843175947999E-2</v>
      </c>
      <c r="C7888" s="133"/>
    </row>
    <row r="7889" spans="1:3">
      <c r="A7889" s="131" t="s">
        <v>6331</v>
      </c>
      <c r="B7889" s="132">
        <v>0.66836172742529998</v>
      </c>
      <c r="C7889" s="133"/>
    </row>
    <row r="7890" spans="1:3">
      <c r="A7890" s="131" t="s">
        <v>6332</v>
      </c>
      <c r="B7890" s="132">
        <v>0.36419710895629998</v>
      </c>
      <c r="C7890" s="133"/>
    </row>
    <row r="7891" spans="1:3">
      <c r="A7891" s="131" t="s">
        <v>6333</v>
      </c>
      <c r="B7891" s="132">
        <v>3.684959743E-11</v>
      </c>
      <c r="C7891" s="133"/>
    </row>
    <row r="7892" spans="1:3">
      <c r="A7892" s="131" t="s">
        <v>6334</v>
      </c>
      <c r="B7892" s="132">
        <v>0.15929193117699</v>
      </c>
      <c r="C7892" s="133"/>
    </row>
    <row r="7893" spans="1:3">
      <c r="A7893" s="131" t="s">
        <v>6335</v>
      </c>
      <c r="B7893" s="132">
        <v>198.74803527334001</v>
      </c>
      <c r="C7893" s="133"/>
    </row>
    <row r="7894" spans="1:3">
      <c r="A7894" s="131" t="s">
        <v>6336</v>
      </c>
      <c r="B7894" s="132">
        <v>6.7619122897772996</v>
      </c>
      <c r="C7894" s="133"/>
    </row>
    <row r="7895" spans="1:3">
      <c r="A7895" s="131" t="s">
        <v>6337</v>
      </c>
      <c r="B7895" s="132">
        <v>3.936388762980145E-8</v>
      </c>
      <c r="C7895" s="133"/>
    </row>
    <row r="7896" spans="1:3">
      <c r="A7896" s="131" t="s">
        <v>6338</v>
      </c>
      <c r="B7896" s="132">
        <v>1.9248244315909069</v>
      </c>
      <c r="C7896" s="133"/>
    </row>
    <row r="7897" spans="1:3">
      <c r="A7897" s="131" t="s">
        <v>6339</v>
      </c>
      <c r="B7897" s="132">
        <v>3.7048221989095E-2</v>
      </c>
      <c r="C7897" s="133"/>
    </row>
    <row r="7898" spans="1:3">
      <c r="A7898" s="131" t="s">
        <v>6340</v>
      </c>
      <c r="B7898" s="132">
        <v>0.82813843491475003</v>
      </c>
      <c r="C7898" s="133"/>
    </row>
    <row r="7899" spans="1:3">
      <c r="A7899" s="131" t="s">
        <v>6341</v>
      </c>
      <c r="B7899" s="132">
        <v>4.0036136219734E-5</v>
      </c>
      <c r="C7899" s="133"/>
    </row>
    <row r="7900" spans="1:3">
      <c r="A7900" s="131" t="s">
        <v>6342</v>
      </c>
      <c r="B7900" s="132">
        <v>0.20872283624421001</v>
      </c>
      <c r="C7900" s="133"/>
    </row>
    <row r="7901" spans="1:3">
      <c r="A7901" s="131" t="s">
        <v>6343</v>
      </c>
      <c r="B7901" s="132">
        <v>0.92445286549109329</v>
      </c>
      <c r="C7901" s="133"/>
    </row>
    <row r="7902" spans="1:3">
      <c r="A7902" s="131" t="s">
        <v>6344</v>
      </c>
      <c r="B7902" s="132">
        <v>14.752865430369001</v>
      </c>
      <c r="C7902" s="133"/>
    </row>
    <row r="7903" spans="1:3">
      <c r="A7903" s="131" t="s">
        <v>6345</v>
      </c>
      <c r="B7903" s="132">
        <v>0.50881568706474312</v>
      </c>
      <c r="C7903" s="133"/>
    </row>
    <row r="7904" spans="1:3">
      <c r="A7904" s="131" t="s">
        <v>6346</v>
      </c>
      <c r="B7904" s="132">
        <v>2.3551972063000001E-10</v>
      </c>
      <c r="C7904" s="133"/>
    </row>
    <row r="7905" spans="1:3">
      <c r="A7905" s="131" t="s">
        <v>6347</v>
      </c>
      <c r="B7905" s="132">
        <v>4.5399508024296202E-2</v>
      </c>
      <c r="C7905" s="133"/>
    </row>
    <row r="7906" spans="1:3">
      <c r="A7906" s="131" t="s">
        <v>6348</v>
      </c>
      <c r="B7906" s="132">
        <v>1320.2696173986999</v>
      </c>
      <c r="C7906" s="133"/>
    </row>
    <row r="7907" spans="1:3">
      <c r="A7907" s="131" t="s">
        <v>6349</v>
      </c>
      <c r="B7907" s="132">
        <v>3.9904169405467917</v>
      </c>
      <c r="C7907" s="133"/>
    </row>
    <row r="7908" spans="1:3">
      <c r="A7908" s="131" t="s">
        <v>6350</v>
      </c>
      <c r="B7908" s="132">
        <v>2.976462781215516</v>
      </c>
      <c r="C7908" s="133"/>
    </row>
    <row r="7909" spans="1:3">
      <c r="A7909" s="131" t="s">
        <v>6351</v>
      </c>
      <c r="B7909" s="132">
        <v>1033.0032674070001</v>
      </c>
      <c r="C7909" s="133"/>
    </row>
    <row r="7910" spans="1:3">
      <c r="A7910" s="131" t="s">
        <v>6352</v>
      </c>
      <c r="B7910" s="132">
        <v>2.2231000000000001E-16</v>
      </c>
      <c r="C7910" s="133"/>
    </row>
    <row r="7911" spans="1:3">
      <c r="A7911" s="131" t="s">
        <v>6353</v>
      </c>
      <c r="B7911" s="132">
        <v>0.33431838143335002</v>
      </c>
      <c r="C7911" s="133"/>
    </row>
    <row r="7912" spans="1:3">
      <c r="A7912" s="131" t="s">
        <v>6354</v>
      </c>
      <c r="B7912" s="132">
        <v>61632.075242024999</v>
      </c>
      <c r="C7912" s="133"/>
    </row>
    <row r="7913" spans="1:3">
      <c r="A7913" s="131" t="s">
        <v>6355</v>
      </c>
      <c r="B7913" s="132">
        <v>7.0735949999704006E-2</v>
      </c>
      <c r="C7913" s="133"/>
    </row>
    <row r="7914" spans="1:3">
      <c r="A7914" s="131" t="s">
        <v>6356</v>
      </c>
      <c r="B7914" s="132">
        <v>8.7943056479610499E-3</v>
      </c>
      <c r="C7914" s="133"/>
    </row>
    <row r="7915" spans="1:3">
      <c r="A7915" s="131" t="s">
        <v>6357</v>
      </c>
      <c r="B7915" s="132">
        <v>4.4176654094705E-6</v>
      </c>
      <c r="C7915" s="133"/>
    </row>
    <row r="7916" spans="1:3">
      <c r="A7916" s="131" t="s">
        <v>6358</v>
      </c>
      <c r="B7916" s="132">
        <v>1.1406884432640361</v>
      </c>
      <c r="C7916" s="133"/>
    </row>
    <row r="7917" spans="1:3">
      <c r="A7917" s="131" t="s">
        <v>6359</v>
      </c>
      <c r="B7917" s="132">
        <v>4.5839483323335001E-3</v>
      </c>
      <c r="C7917" s="133"/>
    </row>
    <row r="7918" spans="1:3">
      <c r="A7918" s="131" t="s">
        <v>6360</v>
      </c>
      <c r="B7918" s="132">
        <v>5.4099999999999997E-18</v>
      </c>
      <c r="C7918" s="133"/>
    </row>
    <row r="7919" spans="1:3">
      <c r="A7919" s="131" t="s">
        <v>6361</v>
      </c>
      <c r="B7919" s="132">
        <v>8.2944032986368002E-2</v>
      </c>
      <c r="C7919" s="133"/>
    </row>
    <row r="7920" spans="1:3">
      <c r="A7920" s="131" t="s">
        <v>6362</v>
      </c>
      <c r="B7920" s="132">
        <v>3.2017328259894998E-4</v>
      </c>
      <c r="C7920" s="133"/>
    </row>
    <row r="7921" spans="1:3">
      <c r="A7921" s="131" t="s">
        <v>6363</v>
      </c>
      <c r="B7921" s="132">
        <v>1.0337774141E-10</v>
      </c>
      <c r="C7921" s="133"/>
    </row>
    <row r="7922" spans="1:3">
      <c r="A7922" s="131" t="s">
        <v>6364</v>
      </c>
      <c r="B7922" s="132">
        <v>1.8233928665350001E-8</v>
      </c>
      <c r="C7922" s="133"/>
    </row>
    <row r="7923" spans="1:3">
      <c r="A7923" s="131" t="s">
        <v>6365</v>
      </c>
      <c r="B7923" s="132">
        <v>2.2011873110102598E-2</v>
      </c>
      <c r="C7923" s="133"/>
    </row>
    <row r="7924" spans="1:3">
      <c r="A7924" s="131" t="s">
        <v>6366</v>
      </c>
      <c r="B7924" s="132">
        <v>3.1705905990000002E-11</v>
      </c>
      <c r="C7924" s="133"/>
    </row>
    <row r="7925" spans="1:3">
      <c r="A7925" s="131" t="s">
        <v>6367</v>
      </c>
      <c r="B7925" s="132">
        <v>0.75560530992140995</v>
      </c>
      <c r="C7925" s="133"/>
    </row>
    <row r="7926" spans="1:3">
      <c r="A7926" s="131" t="s">
        <v>6368</v>
      </c>
      <c r="B7926" s="132">
        <v>6.5891240119377003E-6</v>
      </c>
      <c r="C7926" s="133"/>
    </row>
    <row r="7927" spans="1:3">
      <c r="A7927" s="131" t="s">
        <v>6369</v>
      </c>
      <c r="B7927" s="132">
        <v>3.5632107950509001E-2</v>
      </c>
      <c r="C7927" s="133"/>
    </row>
    <row r="7928" spans="1:3">
      <c r="A7928" s="131" t="s">
        <v>6370</v>
      </c>
      <c r="B7928" s="132">
        <v>2.9015730938866998E-5</v>
      </c>
      <c r="C7928" s="133"/>
    </row>
    <row r="7929" spans="1:3">
      <c r="A7929" s="131" t="s">
        <v>6371</v>
      </c>
      <c r="B7929" s="132">
        <v>6.7264056096000005E-10</v>
      </c>
      <c r="C7929" s="133"/>
    </row>
    <row r="7930" spans="1:3">
      <c r="A7930" s="131" t="s">
        <v>6372</v>
      </c>
      <c r="B7930" s="132">
        <v>1.5901868945999999E-10</v>
      </c>
      <c r="C7930" s="133"/>
    </row>
    <row r="7931" spans="1:3">
      <c r="A7931" s="131" t="s">
        <v>6373</v>
      </c>
      <c r="B7931" s="132">
        <v>8.7056681813690489</v>
      </c>
      <c r="C7931" s="133"/>
    </row>
    <row r="7932" spans="1:3">
      <c r="A7932" s="131" t="s">
        <v>6374</v>
      </c>
      <c r="B7932" s="132">
        <v>6.2550786484274999E-3</v>
      </c>
      <c r="C7932" s="133"/>
    </row>
    <row r="7933" spans="1:3">
      <c r="A7933" s="131" t="s">
        <v>6375</v>
      </c>
      <c r="B7933" s="132">
        <v>2.4149955799999998E-12</v>
      </c>
      <c r="C7933" s="133"/>
    </row>
    <row r="7934" spans="1:3">
      <c r="A7934" s="131" t="s">
        <v>6376</v>
      </c>
      <c r="B7934" s="132">
        <v>4.4286401888132998</v>
      </c>
      <c r="C7934" s="133"/>
    </row>
    <row r="7935" spans="1:3">
      <c r="A7935" s="131" t="s">
        <v>6377</v>
      </c>
      <c r="B7935" s="132">
        <v>1.8019774219098668E-3</v>
      </c>
      <c r="C7935" s="133"/>
    </row>
    <row r="7936" spans="1:3">
      <c r="A7936" s="131" t="s">
        <v>6378</v>
      </c>
      <c r="B7936" s="132">
        <v>0.99898215023953252</v>
      </c>
      <c r="C7936" s="133"/>
    </row>
    <row r="7937" spans="1:3">
      <c r="A7937" s="131" t="s">
        <v>6379</v>
      </c>
      <c r="B7937" s="132">
        <v>0.5834311255945932</v>
      </c>
      <c r="C7937" s="133"/>
    </row>
    <row r="7938" spans="1:3">
      <c r="A7938" s="131" t="s">
        <v>6380</v>
      </c>
      <c r="B7938" s="132">
        <v>8.1979175726644999E-3</v>
      </c>
      <c r="C7938" s="133"/>
    </row>
    <row r="7939" spans="1:3">
      <c r="A7939" s="131" t="s">
        <v>6381</v>
      </c>
      <c r="B7939" s="132">
        <v>3.5032332583444215E-4</v>
      </c>
      <c r="C7939" s="133"/>
    </row>
    <row r="7940" spans="1:3">
      <c r="A7940" s="131" t="s">
        <v>6382</v>
      </c>
      <c r="B7940" s="132">
        <v>5.5549777102499997E-9</v>
      </c>
      <c r="C7940" s="133"/>
    </row>
    <row r="7941" spans="1:3">
      <c r="A7941" s="131" t="s">
        <v>6383</v>
      </c>
      <c r="B7941" s="132">
        <v>3.0080322960000001E-11</v>
      </c>
      <c r="C7941" s="133"/>
    </row>
    <row r="7942" spans="1:3">
      <c r="A7942" s="131" t="s">
        <v>6384</v>
      </c>
      <c r="B7942" s="132">
        <v>7.7871763481162995E-2</v>
      </c>
      <c r="C7942" s="133"/>
    </row>
    <row r="7943" spans="1:3">
      <c r="A7943" s="131" t="s">
        <v>6385</v>
      </c>
      <c r="B7943" s="132">
        <v>3.2452009075050002E-8</v>
      </c>
      <c r="C7943" s="133"/>
    </row>
    <row r="7944" spans="1:3">
      <c r="A7944" s="131" t="s">
        <v>6386</v>
      </c>
      <c r="B7944" s="132">
        <v>1.7683071069731999E-7</v>
      </c>
      <c r="C7944" s="133"/>
    </row>
    <row r="7945" spans="1:3">
      <c r="A7945" s="131" t="s">
        <v>6387</v>
      </c>
      <c r="B7945" s="132">
        <v>3.3326659659000002E-10</v>
      </c>
      <c r="C7945" s="133"/>
    </row>
    <row r="7946" spans="1:3">
      <c r="A7946" s="131" t="s">
        <v>6388</v>
      </c>
      <c r="B7946" s="132">
        <v>4.6696926479999998E-11</v>
      </c>
      <c r="C7946" s="133"/>
    </row>
    <row r="7947" spans="1:3">
      <c r="A7947" s="131" t="s">
        <v>6389</v>
      </c>
      <c r="B7947" s="132">
        <v>3.885303761702205E-9</v>
      </c>
      <c r="C7947" s="133"/>
    </row>
    <row r="7948" spans="1:3">
      <c r="A7948" s="131" t="s">
        <v>6390</v>
      </c>
      <c r="B7948" s="132">
        <v>1.0326863036522187E-3</v>
      </c>
      <c r="C7948" s="133"/>
    </row>
    <row r="7949" spans="1:3">
      <c r="A7949" s="131" t="s">
        <v>6391</v>
      </c>
      <c r="B7949" s="132">
        <v>0.14160648909733001</v>
      </c>
      <c r="C7949" s="133"/>
    </row>
    <row r="7950" spans="1:3">
      <c r="A7950" s="131" t="s">
        <v>6392</v>
      </c>
      <c r="B7950" s="132">
        <v>1.8992996463299999E-9</v>
      </c>
      <c r="C7950" s="133"/>
    </row>
    <row r="7951" spans="1:3">
      <c r="A7951" s="131" t="s">
        <v>6393</v>
      </c>
      <c r="B7951" s="132">
        <v>1.1232654676352999E-4</v>
      </c>
      <c r="C7951" s="133"/>
    </row>
    <row r="7952" spans="1:3">
      <c r="A7952" s="131" t="s">
        <v>6394</v>
      </c>
      <c r="B7952" s="132">
        <v>0.16056816510977001</v>
      </c>
      <c r="C7952" s="133"/>
    </row>
    <row r="7953" spans="1:3">
      <c r="A7953" s="131" t="s">
        <v>6395</v>
      </c>
      <c r="B7953" s="132">
        <v>0.56168072283598458</v>
      </c>
      <c r="C7953" s="133"/>
    </row>
    <row r="7954" spans="1:3">
      <c r="A7954" s="131" t="s">
        <v>6396</v>
      </c>
      <c r="B7954" s="132">
        <v>0.21254024013198</v>
      </c>
      <c r="C7954" s="133"/>
    </row>
    <row r="7955" spans="1:3">
      <c r="A7955" s="131" t="s">
        <v>6397</v>
      </c>
      <c r="B7955" s="132">
        <v>1.1043159615910999E-4</v>
      </c>
      <c r="C7955" s="133"/>
    </row>
    <row r="7956" spans="1:3">
      <c r="A7956" s="131" t="s">
        <v>6398</v>
      </c>
      <c r="B7956" s="132">
        <v>4.1757298052270003E-8</v>
      </c>
      <c r="C7956" s="133"/>
    </row>
    <row r="7957" spans="1:3">
      <c r="A7957" s="131" t="s">
        <v>6399</v>
      </c>
      <c r="B7957" s="132">
        <v>7.7549745730399002E-4</v>
      </c>
      <c r="C7957" s="133"/>
    </row>
    <row r="7958" spans="1:3">
      <c r="A7958" s="131" t="s">
        <v>6400</v>
      </c>
      <c r="B7958" s="132">
        <v>0.81484481206113579</v>
      </c>
      <c r="C7958" s="133"/>
    </row>
    <row r="7959" spans="1:3">
      <c r="A7959" s="131" t="s">
        <v>6401</v>
      </c>
      <c r="B7959" s="132">
        <v>9.558493307694149E-7</v>
      </c>
      <c r="C7959" s="133"/>
    </row>
    <row r="7960" spans="1:3">
      <c r="A7960" s="131" t="s">
        <v>6402</v>
      </c>
      <c r="B7960" s="132">
        <v>0.70266032299639003</v>
      </c>
      <c r="C7960" s="133"/>
    </row>
    <row r="7961" spans="1:3">
      <c r="A7961" s="131" t="s">
        <v>6403</v>
      </c>
      <c r="B7961" s="132">
        <v>7.1761942998059002E-7</v>
      </c>
      <c r="C7961" s="133"/>
    </row>
    <row r="7962" spans="1:3">
      <c r="A7962" s="131" t="s">
        <v>6404</v>
      </c>
      <c r="B7962" s="132">
        <v>8.3217452630099999E-9</v>
      </c>
      <c r="C7962" s="133"/>
    </row>
    <row r="7963" spans="1:3">
      <c r="A7963" s="131" t="s">
        <v>6405</v>
      </c>
      <c r="B7963" s="132">
        <v>1.9111779982449E-5</v>
      </c>
      <c r="C7963" s="133"/>
    </row>
    <row r="7964" spans="1:3">
      <c r="A7964" s="131" t="s">
        <v>6406</v>
      </c>
      <c r="B7964" s="132">
        <v>0.69883350284542001</v>
      </c>
      <c r="C7964" s="133"/>
    </row>
    <row r="7965" spans="1:3">
      <c r="A7965" s="131" t="s">
        <v>6407</v>
      </c>
      <c r="B7965" s="132">
        <v>3.2395532776511001E-3</v>
      </c>
      <c r="C7965" s="133"/>
    </row>
    <row r="7966" spans="1:3">
      <c r="A7966" s="131" t="s">
        <v>6408</v>
      </c>
      <c r="B7966" s="132">
        <v>6.0171209399999998E-12</v>
      </c>
      <c r="C7966" s="133"/>
    </row>
    <row r="7967" spans="1:3">
      <c r="A7967" s="131" t="s">
        <v>6409</v>
      </c>
      <c r="B7967" s="132">
        <v>4.1171774575626185E-12</v>
      </c>
      <c r="C7967" s="133"/>
    </row>
    <row r="7968" spans="1:3">
      <c r="A7968" s="131" t="s">
        <v>6410</v>
      </c>
      <c r="B7968" s="132">
        <v>1.1075621723103E-5</v>
      </c>
      <c r="C7968" s="133"/>
    </row>
    <row r="7969" spans="1:3">
      <c r="A7969" s="131" t="s">
        <v>6411</v>
      </c>
      <c r="B7969" s="132">
        <v>8.7568774270000002E-11</v>
      </c>
      <c r="C7969" s="133"/>
    </row>
    <row r="7970" spans="1:3">
      <c r="A7970" s="131" t="s">
        <v>6412</v>
      </c>
      <c r="B7970" s="132">
        <v>1.0646887080892E-5</v>
      </c>
      <c r="C7970" s="133"/>
    </row>
    <row r="7971" spans="1:3">
      <c r="A7971" s="131" t="s">
        <v>6413</v>
      </c>
      <c r="B7971" s="132">
        <v>1.4094897754059813E-2</v>
      </c>
      <c r="C7971" s="133"/>
    </row>
    <row r="7972" spans="1:3">
      <c r="A7972" s="131" t="s">
        <v>6414</v>
      </c>
      <c r="B7972" s="132">
        <v>8.8679445699999994E-12</v>
      </c>
      <c r="C7972" s="133"/>
    </row>
    <row r="7973" spans="1:3">
      <c r="A7973" s="131" t="s">
        <v>6415</v>
      </c>
      <c r="B7973" s="132">
        <v>10.167268984259501</v>
      </c>
      <c r="C7973" s="133"/>
    </row>
    <row r="7974" spans="1:3">
      <c r="A7974" s="131" t="s">
        <v>6416</v>
      </c>
      <c r="B7974" s="132">
        <v>6.2534611593227825E-4</v>
      </c>
      <c r="C7974" s="133"/>
    </row>
    <row r="7975" spans="1:3">
      <c r="A7975" s="131" t="s">
        <v>6417</v>
      </c>
      <c r="B7975" s="132">
        <v>2.8002948772219999E-8</v>
      </c>
      <c r="C7975" s="133"/>
    </row>
    <row r="7976" spans="1:3">
      <c r="A7976" s="131" t="s">
        <v>6418</v>
      </c>
      <c r="B7976" s="132">
        <v>9.9319419484480004E-8</v>
      </c>
      <c r="C7976" s="133"/>
    </row>
    <row r="7977" spans="1:3">
      <c r="A7977" s="131" t="s">
        <v>6419</v>
      </c>
      <c r="B7977" s="132">
        <v>3.6626673937971002</v>
      </c>
      <c r="C7977" s="133"/>
    </row>
    <row r="7978" spans="1:3">
      <c r="A7978" s="131" t="s">
        <v>6420</v>
      </c>
      <c r="B7978" s="132">
        <v>6.4865212753195997E-2</v>
      </c>
      <c r="C7978" s="133"/>
    </row>
    <row r="7979" spans="1:3">
      <c r="A7979" s="131" t="s">
        <v>6421</v>
      </c>
      <c r="B7979" s="132">
        <v>1.8122350111140001E-8</v>
      </c>
      <c r="C7979" s="133"/>
    </row>
    <row r="7980" spans="1:3">
      <c r="A7980" s="131" t="s">
        <v>6422</v>
      </c>
      <c r="B7980" s="132">
        <v>6.3299941999999996E-13</v>
      </c>
      <c r="C7980" s="133"/>
    </row>
    <row r="7981" spans="1:3">
      <c r="A7981" s="131" t="s">
        <v>6423</v>
      </c>
      <c r="B7981" s="132">
        <v>4.5776629790398999</v>
      </c>
      <c r="C7981" s="133"/>
    </row>
    <row r="7982" spans="1:3">
      <c r="A7982" s="131" t="s">
        <v>6424</v>
      </c>
      <c r="B7982" s="132">
        <v>1.6854043644675999E-3</v>
      </c>
      <c r="C7982" s="133"/>
    </row>
    <row r="7983" spans="1:3">
      <c r="A7983" s="131" t="s">
        <v>6425</v>
      </c>
      <c r="B7983" s="132">
        <v>37.653493763264258</v>
      </c>
      <c r="C7983" s="133"/>
    </row>
    <row r="7984" spans="1:3">
      <c r="A7984" s="131" t="s">
        <v>6426</v>
      </c>
      <c r="B7984" s="132">
        <v>1.5406727801941999E-3</v>
      </c>
      <c r="C7984" s="133"/>
    </row>
    <row r="7985" spans="1:3">
      <c r="A7985" s="131" t="s">
        <v>6427</v>
      </c>
      <c r="B7985" s="132">
        <v>0.92679531872869003</v>
      </c>
      <c r="C7985" s="133"/>
    </row>
    <row r="7986" spans="1:3">
      <c r="A7986" s="131" t="s">
        <v>6428</v>
      </c>
      <c r="B7986" s="132">
        <v>3.2723736242999998E-10</v>
      </c>
      <c r="C7986" s="133"/>
    </row>
    <row r="7987" spans="1:3">
      <c r="A7987" s="131" t="s">
        <v>6429</v>
      </c>
      <c r="B7987" s="132">
        <v>1.4843340866049963</v>
      </c>
      <c r="C7987" s="133"/>
    </row>
    <row r="7988" spans="1:3">
      <c r="A7988" s="131" t="s">
        <v>6430</v>
      </c>
      <c r="B7988" s="132">
        <v>5.2589488649572996E-3</v>
      </c>
      <c r="C7988" s="133"/>
    </row>
    <row r="7989" spans="1:3">
      <c r="A7989" s="131" t="s">
        <v>6431</v>
      </c>
      <c r="B7989" s="132">
        <v>0.14385239990505</v>
      </c>
      <c r="C7989" s="133"/>
    </row>
    <row r="7990" spans="1:3">
      <c r="A7990" s="131" t="s">
        <v>6432</v>
      </c>
      <c r="B7990" s="132">
        <v>4.5793013969773997E-6</v>
      </c>
      <c r="C7990" s="133"/>
    </row>
    <row r="7991" spans="1:3">
      <c r="A7991" s="131" t="s">
        <v>6433</v>
      </c>
      <c r="B7991" s="132">
        <v>1.4705399166546999E-2</v>
      </c>
      <c r="C7991" s="133"/>
    </row>
    <row r="7992" spans="1:3">
      <c r="A7992" s="131" t="s">
        <v>6434</v>
      </c>
      <c r="B7992" s="132">
        <v>9.0542852356002997E-4</v>
      </c>
      <c r="C7992" s="133"/>
    </row>
    <row r="7993" spans="1:3">
      <c r="A7993" s="131" t="s">
        <v>6435</v>
      </c>
      <c r="B7993" s="132">
        <v>1.6387094630230001E-8</v>
      </c>
      <c r="C7993" s="133"/>
    </row>
    <row r="7994" spans="1:3">
      <c r="A7994" s="131" t="s">
        <v>6436</v>
      </c>
      <c r="B7994" s="132">
        <v>0.22810685878184001</v>
      </c>
      <c r="C7994" s="133"/>
    </row>
    <row r="7995" spans="1:3">
      <c r="A7995" s="131" t="s">
        <v>6437</v>
      </c>
      <c r="B7995" s="132">
        <v>1.2506668797370999E-3</v>
      </c>
      <c r="C7995" s="133"/>
    </row>
    <row r="7996" spans="1:3">
      <c r="A7996" s="131" t="s">
        <v>6438</v>
      </c>
      <c r="B7996" s="132">
        <v>4.2231848340741711E-9</v>
      </c>
      <c r="C7996" s="133"/>
    </row>
    <row r="7997" spans="1:3">
      <c r="A7997" s="131" t="s">
        <v>6439</v>
      </c>
      <c r="B7997" s="132">
        <v>1.8800074883456E-3</v>
      </c>
      <c r="C7997" s="133"/>
    </row>
    <row r="7998" spans="1:3">
      <c r="A7998" s="131" t="s">
        <v>6440</v>
      </c>
      <c r="B7998" s="132">
        <v>9.4609787759770994E-6</v>
      </c>
      <c r="C7998" s="133"/>
    </row>
    <row r="7999" spans="1:3">
      <c r="A7999" s="131" t="s">
        <v>6441</v>
      </c>
      <c r="B7999" s="132">
        <v>6.6705539035702976E-2</v>
      </c>
      <c r="C7999" s="133"/>
    </row>
    <row r="8000" spans="1:3">
      <c r="A8000" s="131" t="s">
        <v>6442</v>
      </c>
      <c r="B8000" s="132">
        <v>5.0027055395255003E-2</v>
      </c>
      <c r="C8000" s="133"/>
    </row>
    <row r="8001" spans="1:3">
      <c r="A8001" s="131" t="s">
        <v>6443</v>
      </c>
      <c r="B8001" s="132">
        <v>1.050510743E-11</v>
      </c>
      <c r="C8001" s="133"/>
    </row>
    <row r="8002" spans="1:3">
      <c r="A8002" s="131" t="s">
        <v>6444</v>
      </c>
      <c r="B8002" s="132">
        <v>6.0213953203852003E-4</v>
      </c>
      <c r="C8002" s="133"/>
    </row>
    <row r="8003" spans="1:3">
      <c r="A8003" s="131" t="s">
        <v>6445</v>
      </c>
      <c r="B8003" s="132">
        <v>4.7442982863132102E-3</v>
      </c>
      <c r="C8003" s="133"/>
    </row>
    <row r="8004" spans="1:3">
      <c r="A8004" s="131" t="s">
        <v>6446</v>
      </c>
      <c r="B8004" s="132">
        <v>3.8668958009082912E-4</v>
      </c>
      <c r="C8004" s="133"/>
    </row>
    <row r="8005" spans="1:3">
      <c r="A8005" s="131" t="s">
        <v>6447</v>
      </c>
      <c r="B8005" s="132">
        <v>1.4336745100000001E-11</v>
      </c>
      <c r="C8005" s="133"/>
    </row>
    <row r="8006" spans="1:3">
      <c r="A8006" s="131" t="s">
        <v>6448</v>
      </c>
      <c r="B8006" s="132">
        <v>1.2976582311035999E-3</v>
      </c>
      <c r="C8006" s="133"/>
    </row>
    <row r="8007" spans="1:3">
      <c r="A8007" s="131" t="s">
        <v>6449</v>
      </c>
      <c r="B8007" s="132">
        <v>0.39719850000000001</v>
      </c>
      <c r="C8007" s="133"/>
    </row>
    <row r="8008" spans="1:3">
      <c r="A8008" s="131" t="s">
        <v>6450</v>
      </c>
      <c r="B8008" s="132">
        <v>3.7513726780401002E-7</v>
      </c>
      <c r="C8008" s="133"/>
    </row>
    <row r="8009" spans="1:3">
      <c r="A8009" s="131" t="s">
        <v>6451</v>
      </c>
      <c r="B8009" s="132">
        <v>3.9570773650496E-7</v>
      </c>
      <c r="C8009" s="133"/>
    </row>
    <row r="8010" spans="1:3">
      <c r="A8010" s="131" t="s">
        <v>6452</v>
      </c>
      <c r="B8010" s="132">
        <v>3.9647907834719004E-3</v>
      </c>
      <c r="C8010" s="133"/>
    </row>
    <row r="8011" spans="1:3">
      <c r="A8011" s="131" t="s">
        <v>6453</v>
      </c>
      <c r="B8011" s="132">
        <v>1.6842863909643</v>
      </c>
      <c r="C8011" s="133"/>
    </row>
    <row r="8012" spans="1:3">
      <c r="A8012" s="131" t="s">
        <v>6454</v>
      </c>
      <c r="B8012" s="132">
        <v>3.267012619E-10</v>
      </c>
      <c r="C8012" s="133"/>
    </row>
    <row r="8013" spans="1:3">
      <c r="A8013" s="131" t="s">
        <v>6455</v>
      </c>
      <c r="B8013" s="132">
        <v>1.315522964102348</v>
      </c>
      <c r="C8013" s="133"/>
    </row>
    <row r="8014" spans="1:3">
      <c r="A8014" s="131" t="s">
        <v>6456</v>
      </c>
      <c r="B8014" s="132">
        <v>2.4212228113386001E-2</v>
      </c>
      <c r="C8014" s="133"/>
    </row>
    <row r="8015" spans="1:3">
      <c r="A8015" s="131" t="s">
        <v>6457</v>
      </c>
      <c r="B8015" s="132">
        <v>6.9975356337427996E-5</v>
      </c>
      <c r="C8015" s="133"/>
    </row>
    <row r="8016" spans="1:3">
      <c r="A8016" s="131" t="s">
        <v>6458</v>
      </c>
      <c r="B8016" s="132">
        <v>2.4808986036634E-2</v>
      </c>
      <c r="C8016" s="133"/>
    </row>
    <row r="8017" spans="1:3">
      <c r="A8017" s="131" t="s">
        <v>6459</v>
      </c>
      <c r="B8017" s="132">
        <v>6.3034652717000001E-10</v>
      </c>
      <c r="C8017" s="133"/>
    </row>
    <row r="8018" spans="1:3">
      <c r="A8018" s="131" t="s">
        <v>6460</v>
      </c>
      <c r="B8018" s="132">
        <v>1.0532399580472E-7</v>
      </c>
      <c r="C8018" s="133"/>
    </row>
    <row r="8019" spans="1:3">
      <c r="A8019" s="131" t="s">
        <v>6461</v>
      </c>
      <c r="B8019" s="132">
        <v>3.7149647656E-10</v>
      </c>
      <c r="C8019" s="133"/>
    </row>
    <row r="8020" spans="1:3">
      <c r="A8020" s="131" t="s">
        <v>6462</v>
      </c>
      <c r="B8020" s="132">
        <v>1.5664915547737E-2</v>
      </c>
      <c r="C8020" s="133"/>
    </row>
    <row r="8021" spans="1:3">
      <c r="A8021" s="131" t="s">
        <v>6463</v>
      </c>
      <c r="B8021" s="132">
        <v>7.7923327300075834E-4</v>
      </c>
      <c r="C8021" s="133"/>
    </row>
    <row r="8022" spans="1:3">
      <c r="A8022" s="131" t="s">
        <v>6464</v>
      </c>
      <c r="B8022" s="132">
        <v>2.36740693E-12</v>
      </c>
      <c r="C8022" s="133"/>
    </row>
    <row r="8023" spans="1:3">
      <c r="A8023" s="131" t="s">
        <v>6465</v>
      </c>
      <c r="B8023" s="132">
        <v>2.0421042070000001E-11</v>
      </c>
      <c r="C8023" s="133"/>
    </row>
    <row r="8024" spans="1:3">
      <c r="A8024" s="131" t="s">
        <v>6466</v>
      </c>
      <c r="B8024" s="132">
        <v>3.38</v>
      </c>
      <c r="C8024" s="133"/>
    </row>
    <row r="8025" spans="1:3">
      <c r="A8025" s="131" t="s">
        <v>6467</v>
      </c>
      <c r="B8025" s="132">
        <v>1.0013102845633359E-8</v>
      </c>
      <c r="C8025" s="133"/>
    </row>
    <row r="8026" spans="1:3">
      <c r="A8026" s="131" t="s">
        <v>6468</v>
      </c>
      <c r="B8026" s="132">
        <v>0.19403419985405629</v>
      </c>
      <c r="C8026" s="133"/>
    </row>
    <row r="8027" spans="1:3">
      <c r="A8027" s="131" t="s">
        <v>6469</v>
      </c>
      <c r="B8027" s="132">
        <v>3.7142363905030291E-2</v>
      </c>
      <c r="C8027" s="133"/>
    </row>
    <row r="8028" spans="1:3">
      <c r="A8028" s="131" t="s">
        <v>6470</v>
      </c>
      <c r="B8028" s="132">
        <v>0.99510590425399004</v>
      </c>
      <c r="C8028" s="133"/>
    </row>
    <row r="8029" spans="1:3">
      <c r="A8029" s="131" t="s">
        <v>6471</v>
      </c>
      <c r="B8029" s="132">
        <v>9.4499999999999993</v>
      </c>
      <c r="C8029" s="133"/>
    </row>
    <row r="8030" spans="1:3">
      <c r="A8030" s="131" t="s">
        <v>6472</v>
      </c>
      <c r="B8030" s="132">
        <v>61707</v>
      </c>
      <c r="C8030" s="133"/>
    </row>
    <row r="8031" spans="1:3">
      <c r="A8031" s="131" t="s">
        <v>6473</v>
      </c>
      <c r="B8031" s="132">
        <v>6.52</v>
      </c>
      <c r="C8031" s="133"/>
    </row>
    <row r="8032" spans="1:3">
      <c r="A8032" s="131" t="s">
        <v>6474</v>
      </c>
      <c r="B8032" s="132">
        <v>0.22260736425008806</v>
      </c>
      <c r="C8032" s="133"/>
    </row>
    <row r="8033" spans="1:3">
      <c r="A8033" s="131" t="s">
        <v>6475</v>
      </c>
      <c r="B8033" s="132">
        <v>0.39576097594697002</v>
      </c>
      <c r="C8033" s="133"/>
    </row>
    <row r="8034" spans="1:3">
      <c r="A8034" s="131" t="s">
        <v>6476</v>
      </c>
      <c r="B8034" s="132">
        <v>1.0394975102650696</v>
      </c>
      <c r="C8034" s="133"/>
    </row>
    <row r="8035" spans="1:3">
      <c r="A8035" s="131" t="s">
        <v>6477</v>
      </c>
      <c r="B8035" s="132">
        <v>4.54</v>
      </c>
      <c r="C8035" s="133"/>
    </row>
    <row r="8036" spans="1:3">
      <c r="A8036" s="131" t="s">
        <v>6478</v>
      </c>
      <c r="B8036" s="132">
        <v>1.5931524516585824</v>
      </c>
      <c r="C8036" s="133"/>
    </row>
    <row r="8037" spans="1:3">
      <c r="A8037" s="131" t="s">
        <v>6479</v>
      </c>
      <c r="B8037" s="132">
        <v>2.6312779359049807E-3</v>
      </c>
      <c r="C8037" s="133"/>
    </row>
    <row r="8038" spans="1:3">
      <c r="A8038" s="131" t="s">
        <v>3494</v>
      </c>
      <c r="B8038" s="132">
        <v>0.25809364332526602</v>
      </c>
      <c r="C8038" s="133"/>
    </row>
    <row r="8039" spans="1:3">
      <c r="A8039" s="131" t="s">
        <v>3495</v>
      </c>
      <c r="B8039" s="132">
        <v>10.75</v>
      </c>
      <c r="C8039" s="133"/>
    </row>
    <row r="8040" spans="1:3">
      <c r="A8040" s="131" t="s">
        <v>3496</v>
      </c>
      <c r="B8040" s="132">
        <v>8.8495391578332399</v>
      </c>
      <c r="C8040" s="133"/>
    </row>
    <row r="8041" spans="1:3">
      <c r="A8041" s="131" t="s">
        <v>3497</v>
      </c>
      <c r="B8041" s="132">
        <v>3.6079484909307875E-3</v>
      </c>
      <c r="C8041" s="133"/>
    </row>
    <row r="8042" spans="1:3">
      <c r="A8042" s="131" t="s">
        <v>3498</v>
      </c>
      <c r="B8042" s="132">
        <v>3.16</v>
      </c>
      <c r="C8042" s="133"/>
    </row>
    <row r="8043" spans="1:3">
      <c r="A8043" s="131" t="s">
        <v>3499</v>
      </c>
      <c r="B8043" s="132">
        <v>5.27</v>
      </c>
      <c r="C8043" s="133"/>
    </row>
    <row r="8044" spans="1:3">
      <c r="A8044" s="131" t="s">
        <v>3500</v>
      </c>
      <c r="B8044" s="132">
        <v>0.85231511857064801</v>
      </c>
      <c r="C8044" s="133"/>
    </row>
    <row r="8045" spans="1:3">
      <c r="A8045" s="131" t="s">
        <v>3501</v>
      </c>
      <c r="B8045" s="132">
        <v>0.40050114528181369</v>
      </c>
      <c r="C8045" s="133"/>
    </row>
    <row r="8046" spans="1:3">
      <c r="A8046" s="131" t="s">
        <v>3502</v>
      </c>
      <c r="B8046" s="132">
        <v>0.90012837185654226</v>
      </c>
      <c r="C8046" s="133"/>
    </row>
    <row r="8047" spans="1:3">
      <c r="A8047" s="131" t="s">
        <v>3503</v>
      </c>
      <c r="B8047" s="132">
        <v>0.33225501744808777</v>
      </c>
      <c r="C8047" s="133"/>
    </row>
    <row r="8048" spans="1:3">
      <c r="A8048" s="131" t="s">
        <v>3504</v>
      </c>
      <c r="B8048" s="132">
        <v>0.11246602227847741</v>
      </c>
      <c r="C8048" s="133"/>
    </row>
    <row r="8049" spans="1:3">
      <c r="A8049" s="131" t="s">
        <v>3505</v>
      </c>
      <c r="B8049" s="132">
        <v>1.1639425318286354</v>
      </c>
      <c r="C8049" s="133"/>
    </row>
    <row r="8050" spans="1:3">
      <c r="A8050" s="131" t="s">
        <v>3506</v>
      </c>
      <c r="B8050" s="132">
        <v>2.2200000000000002</v>
      </c>
      <c r="C8050" s="133"/>
    </row>
    <row r="8051" spans="1:3">
      <c r="A8051" s="131" t="s">
        <v>3507</v>
      </c>
      <c r="B8051" s="132">
        <v>9.39</v>
      </c>
      <c r="C8051" s="133"/>
    </row>
    <row r="8052" spans="1:3">
      <c r="A8052" s="131" t="s">
        <v>3508</v>
      </c>
      <c r="B8052" s="132">
        <v>53.644369523598108</v>
      </c>
      <c r="C8052" s="133"/>
    </row>
    <row r="8053" spans="1:3">
      <c r="A8053" s="131" t="s">
        <v>3509</v>
      </c>
      <c r="B8053" s="132">
        <v>132.11000000000001</v>
      </c>
      <c r="C8053" s="133"/>
    </row>
    <row r="8054" spans="1:3">
      <c r="A8054" s="131" t="s">
        <v>3510</v>
      </c>
      <c r="B8054" s="132">
        <v>25.83</v>
      </c>
      <c r="C8054" s="133"/>
    </row>
    <row r="8055" spans="1:3">
      <c r="A8055" s="131" t="s">
        <v>3511</v>
      </c>
      <c r="B8055" s="132">
        <v>1.8013139594532914</v>
      </c>
      <c r="C8055" s="133"/>
    </row>
    <row r="8056" spans="1:3">
      <c r="A8056" s="131" t="s">
        <v>3512</v>
      </c>
      <c r="B8056" s="132">
        <v>28.43</v>
      </c>
      <c r="C8056" s="133"/>
    </row>
    <row r="8057" spans="1:3">
      <c r="A8057" s="131" t="s">
        <v>3513</v>
      </c>
      <c r="B8057" s="132">
        <v>1316.76</v>
      </c>
      <c r="C8057" s="133"/>
    </row>
    <row r="8058" spans="1:3">
      <c r="A8058" s="131" t="s">
        <v>3514</v>
      </c>
      <c r="B8058" s="132">
        <v>1.0008416050041999</v>
      </c>
      <c r="C8058" s="133"/>
    </row>
    <row r="8059" spans="1:3">
      <c r="A8059" s="131" t="s">
        <v>3515</v>
      </c>
      <c r="B8059" s="132">
        <v>2.7470645289231221</v>
      </c>
      <c r="C8059" s="133"/>
    </row>
    <row r="8060" spans="1:3">
      <c r="A8060" s="131" t="s">
        <v>3516</v>
      </c>
      <c r="B8060" s="132">
        <v>0.12248663054741676</v>
      </c>
      <c r="C8060" s="133"/>
    </row>
    <row r="8061" spans="1:3">
      <c r="A8061" s="131" t="s">
        <v>3517</v>
      </c>
      <c r="B8061" s="132">
        <v>2.17</v>
      </c>
      <c r="C8061" s="133"/>
    </row>
    <row r="8062" spans="1:3">
      <c r="A8062" s="131" t="s">
        <v>3518</v>
      </c>
      <c r="B8062" s="132">
        <v>8.94</v>
      </c>
      <c r="C8062" s="133"/>
    </row>
    <row r="8063" spans="1:3">
      <c r="A8063" s="131" t="s">
        <v>3519</v>
      </c>
      <c r="B8063" s="132">
        <v>5.4454992452262721E-2</v>
      </c>
      <c r="C8063" s="133"/>
    </row>
    <row r="8064" spans="1:3">
      <c r="A8064" s="131" t="s">
        <v>3520</v>
      </c>
      <c r="B8064" s="132">
        <v>8.2040278524085544</v>
      </c>
      <c r="C8064" s="133"/>
    </row>
    <row r="8065" spans="1:3">
      <c r="A8065" s="131" t="s">
        <v>3521</v>
      </c>
      <c r="B8065" s="132">
        <v>0.69873772055526606</v>
      </c>
      <c r="C8065" s="133"/>
    </row>
    <row r="8066" spans="1:3">
      <c r="A8066" s="131" t="s">
        <v>3522</v>
      </c>
      <c r="B8066" s="132">
        <v>1.1620067977170716</v>
      </c>
      <c r="C8066" s="133"/>
    </row>
    <row r="8067" spans="1:3">
      <c r="A8067" s="131" t="s">
        <v>3523</v>
      </c>
      <c r="B8067" s="132">
        <v>0.19602559702898109</v>
      </c>
      <c r="C8067" s="133"/>
    </row>
    <row r="8068" spans="1:3">
      <c r="A8068" s="131" t="s">
        <v>3524</v>
      </c>
      <c r="B8068" s="132">
        <v>1.1021836666666665E-4</v>
      </c>
      <c r="C8068" s="133"/>
    </row>
    <row r="8069" spans="1:3">
      <c r="A8069" s="131" t="s">
        <v>3525</v>
      </c>
      <c r="B8069" s="132">
        <v>3.5026630365176357E-2</v>
      </c>
      <c r="C8069" s="133"/>
    </row>
    <row r="8070" spans="1:3">
      <c r="A8070" s="131" t="s">
        <v>3526</v>
      </c>
      <c r="B8070" s="132">
        <v>13.07</v>
      </c>
      <c r="C8070" s="133"/>
    </row>
    <row r="8071" spans="1:3">
      <c r="A8071" s="131" t="s">
        <v>3527</v>
      </c>
      <c r="B8071" s="132">
        <v>0.86970855374514555</v>
      </c>
      <c r="C8071" s="133"/>
    </row>
    <row r="8072" spans="1:3">
      <c r="A8072" s="131" t="s">
        <v>3528</v>
      </c>
      <c r="B8072" s="132">
        <v>15.75</v>
      </c>
      <c r="C8072" s="133"/>
    </row>
    <row r="8073" spans="1:3">
      <c r="A8073" s="131" t="s">
        <v>3529</v>
      </c>
      <c r="B8073" s="132">
        <v>3854.79</v>
      </c>
      <c r="C8073" s="133"/>
    </row>
    <row r="8074" spans="1:3">
      <c r="A8074" s="131" t="s">
        <v>3530</v>
      </c>
      <c r="B8074" s="132">
        <v>5.5514799999999999E-5</v>
      </c>
      <c r="C8074" s="133"/>
    </row>
    <row r="8075" spans="1:3">
      <c r="A8075" s="131" t="s">
        <v>3531</v>
      </c>
      <c r="B8075" s="132">
        <v>11.759403454350768</v>
      </c>
      <c r="C8075" s="133"/>
    </row>
    <row r="8076" spans="1:3">
      <c r="A8076" s="131" t="s">
        <v>3532</v>
      </c>
      <c r="B8076" s="132">
        <v>5.9503114959191857E-3</v>
      </c>
      <c r="C8076" s="133"/>
    </row>
    <row r="8077" spans="1:3">
      <c r="A8077" s="131" t="s">
        <v>3533</v>
      </c>
      <c r="B8077" s="132">
        <v>9.5072516594784301E-2</v>
      </c>
      <c r="C8077" s="133"/>
    </row>
    <row r="8078" spans="1:3">
      <c r="A8078" s="131" t="s">
        <v>3534</v>
      </c>
      <c r="B8078" s="132">
        <v>1.144583149057371</v>
      </c>
      <c r="C8078" s="133"/>
    </row>
    <row r="8079" spans="1:3">
      <c r="A8079" s="131" t="s">
        <v>3535</v>
      </c>
      <c r="B8079" s="132">
        <v>0.65456156743105542</v>
      </c>
      <c r="C8079" s="133"/>
    </row>
    <row r="8080" spans="1:3">
      <c r="A8080" s="131" t="s">
        <v>3536</v>
      </c>
      <c r="B8080" s="132">
        <v>0.4788543159446389</v>
      </c>
      <c r="C8080" s="133"/>
    </row>
    <row r="8081" spans="1:3">
      <c r="A8081" s="131" t="s">
        <v>3537</v>
      </c>
      <c r="B8081" s="132">
        <v>14.846597423749454</v>
      </c>
      <c r="C8081" s="133"/>
    </row>
    <row r="8082" spans="1:3">
      <c r="A8082" s="131" t="s">
        <v>3538</v>
      </c>
      <c r="B8082" s="132">
        <v>38.6</v>
      </c>
      <c r="C8082" s="133"/>
    </row>
    <row r="8083" spans="1:3">
      <c r="A8083" s="131" t="s">
        <v>3539</v>
      </c>
      <c r="B8083" s="132">
        <v>0.26171337160745223</v>
      </c>
      <c r="C8083" s="133"/>
    </row>
    <row r="8084" spans="1:3">
      <c r="A8084" s="131" t="s">
        <v>3540</v>
      </c>
      <c r="B8084" s="132">
        <v>37.69</v>
      </c>
      <c r="C8084" s="133"/>
    </row>
    <row r="8085" spans="1:3">
      <c r="A8085" s="131" t="s">
        <v>3541</v>
      </c>
      <c r="B8085" s="132">
        <v>45.85</v>
      </c>
      <c r="C8085" s="133"/>
    </row>
    <row r="8086" spans="1:3">
      <c r="A8086" s="131" t="s">
        <v>3542</v>
      </c>
      <c r="B8086" s="132">
        <v>22.482307899923217</v>
      </c>
      <c r="C8086" s="133"/>
    </row>
    <row r="8087" spans="1:3">
      <c r="A8087" s="131" t="s">
        <v>3543</v>
      </c>
      <c r="B8087" s="132">
        <v>1.4681926580442333</v>
      </c>
      <c r="C8087" s="133"/>
    </row>
    <row r="8088" spans="1:3">
      <c r="A8088" s="131" t="s">
        <v>3544</v>
      </c>
      <c r="B8088" s="132">
        <v>0.6689451754408533</v>
      </c>
      <c r="C8088" s="133"/>
    </row>
    <row r="8089" spans="1:3">
      <c r="A8089" s="131" t="s">
        <v>3545</v>
      </c>
      <c r="B8089" s="132">
        <v>3.8922534389123326E-2</v>
      </c>
      <c r="C8089" s="133"/>
    </row>
    <row r="8090" spans="1:3">
      <c r="A8090" s="131" t="s">
        <v>3546</v>
      </c>
      <c r="B8090" s="132">
        <v>11.355420540415501</v>
      </c>
      <c r="C8090" s="133"/>
    </row>
    <row r="8091" spans="1:3">
      <c r="A8091" s="131" t="s">
        <v>3547</v>
      </c>
      <c r="B8091" s="132">
        <v>0.23385997238710682</v>
      </c>
      <c r="C8091" s="133"/>
    </row>
    <row r="8092" spans="1:3">
      <c r="A8092" s="131" t="s">
        <v>3548</v>
      </c>
      <c r="B8092" s="132">
        <v>0.59541468738538472</v>
      </c>
      <c r="C8092" s="133"/>
    </row>
    <row r="8093" spans="1:3">
      <c r="A8093" s="131" t="s">
        <v>3549</v>
      </c>
      <c r="B8093" s="132">
        <v>3.32</v>
      </c>
      <c r="C8093" s="133"/>
    </row>
    <row r="8094" spans="1:3">
      <c r="A8094" s="131" t="s">
        <v>3550</v>
      </c>
      <c r="B8094" s="132">
        <v>1160.8132594448039</v>
      </c>
      <c r="C8094" s="133"/>
    </row>
    <row r="8095" spans="1:3">
      <c r="A8095" s="131" t="s">
        <v>3551</v>
      </c>
      <c r="B8095" s="132">
        <v>0.26491970842771417</v>
      </c>
      <c r="C8095" s="133"/>
    </row>
    <row r="8096" spans="1:3">
      <c r="A8096" s="131" t="s">
        <v>3552</v>
      </c>
      <c r="B8096" s="132">
        <v>0.15858595857801422</v>
      </c>
      <c r="C8096" s="133"/>
    </row>
    <row r="8097" spans="1:3">
      <c r="A8097" s="131" t="s">
        <v>3553</v>
      </c>
      <c r="B8097" s="132">
        <v>9.3865411207989611E-3</v>
      </c>
      <c r="C8097" s="133"/>
    </row>
    <row r="8098" spans="1:3">
      <c r="A8098" s="131" t="s">
        <v>3554</v>
      </c>
      <c r="B8098" s="132">
        <v>7.4857371050775478E-9</v>
      </c>
      <c r="C8098" s="133"/>
    </row>
    <row r="8099" spans="1:3">
      <c r="A8099" s="131" t="s">
        <v>3555</v>
      </c>
      <c r="B8099" s="132">
        <v>60.06</v>
      </c>
      <c r="C8099" s="133"/>
    </row>
    <row r="8100" spans="1:3">
      <c r="A8100" s="131" t="s">
        <v>3556</v>
      </c>
      <c r="B8100" s="132">
        <v>1.5050694816994636</v>
      </c>
      <c r="C8100" s="133"/>
    </row>
    <row r="8101" spans="1:3">
      <c r="A8101" s="131" t="s">
        <v>3557</v>
      </c>
      <c r="B8101" s="132">
        <v>132.75450471358189</v>
      </c>
      <c r="C8101" s="133"/>
    </row>
    <row r="8102" spans="1:3">
      <c r="A8102" s="131" t="s">
        <v>3558</v>
      </c>
      <c r="B8102" s="132">
        <v>0.26222712578015261</v>
      </c>
      <c r="C8102" s="133"/>
    </row>
    <row r="8103" spans="1:3">
      <c r="A8103" s="131" t="s">
        <v>3559</v>
      </c>
      <c r="B8103" s="132">
        <v>0.4107069040623646</v>
      </c>
      <c r="C8103" s="133"/>
    </row>
    <row r="8104" spans="1:3">
      <c r="A8104" s="131" t="s">
        <v>3560</v>
      </c>
      <c r="B8104" s="132">
        <v>1.2065234799999996E-8</v>
      </c>
      <c r="C8104" s="133"/>
    </row>
    <row r="8105" spans="1:3">
      <c r="A8105" s="131" t="s">
        <v>3561</v>
      </c>
      <c r="B8105" s="132">
        <v>267.45999999999998</v>
      </c>
      <c r="C8105" s="133"/>
    </row>
    <row r="8106" spans="1:3">
      <c r="A8106" s="131" t="s">
        <v>3562</v>
      </c>
      <c r="B8106" s="132">
        <v>0.92600649844613914</v>
      </c>
      <c r="C8106" s="133"/>
    </row>
    <row r="8107" spans="1:3">
      <c r="A8107" s="131" t="s">
        <v>3563</v>
      </c>
      <c r="B8107" s="132">
        <v>2.3373418367805153E-3</v>
      </c>
      <c r="C8107" s="133"/>
    </row>
    <row r="8108" spans="1:3">
      <c r="A8108" s="131" t="s">
        <v>3564</v>
      </c>
      <c r="B8108" s="132">
        <v>1.3208901177145489</v>
      </c>
      <c r="C8108" s="133"/>
    </row>
    <row r="8109" spans="1:3">
      <c r="A8109" s="131" t="s">
        <v>3565</v>
      </c>
      <c r="B8109" s="132">
        <v>3.695500642013886E-2</v>
      </c>
      <c r="C8109" s="133"/>
    </row>
    <row r="8110" spans="1:3">
      <c r="A8110" s="131" t="s">
        <v>3566</v>
      </c>
      <c r="B8110" s="132">
        <v>2.9448967939375304E-7</v>
      </c>
      <c r="C8110" s="133"/>
    </row>
    <row r="8111" spans="1:3">
      <c r="A8111" s="131" t="s">
        <v>3567</v>
      </c>
      <c r="B8111" s="132">
        <v>1.3636374639896362E-3</v>
      </c>
      <c r="C8111" s="133"/>
    </row>
    <row r="8112" spans="1:3">
      <c r="A8112" s="131" t="s">
        <v>3568</v>
      </c>
      <c r="B8112" s="132">
        <v>9.7861939999999994E-2</v>
      </c>
      <c r="C8112" s="133"/>
    </row>
    <row r="8113" spans="1:3">
      <c r="A8113" s="131" t="s">
        <v>3569</v>
      </c>
      <c r="B8113" s="132">
        <v>0.49289106625404133</v>
      </c>
      <c r="C8113" s="133"/>
    </row>
    <row r="8114" spans="1:3">
      <c r="A8114" s="131" t="s">
        <v>3570</v>
      </c>
      <c r="B8114" s="132">
        <v>7.1605535177792001</v>
      </c>
      <c r="C8114" s="133"/>
    </row>
    <row r="8115" spans="1:3">
      <c r="A8115" s="131" t="s">
        <v>3571</v>
      </c>
      <c r="B8115" s="132">
        <v>37.18680134884287</v>
      </c>
      <c r="C8115" s="133"/>
    </row>
    <row r="8116" spans="1:3">
      <c r="A8116" s="131" t="s">
        <v>3572</v>
      </c>
      <c r="B8116" s="132">
        <v>0.76721770260720024</v>
      </c>
      <c r="C8116" s="133"/>
    </row>
    <row r="8117" spans="1:3">
      <c r="A8117" s="131" t="s">
        <v>3573</v>
      </c>
      <c r="B8117" s="132">
        <v>0.1599227637052536</v>
      </c>
      <c r="C8117" s="133"/>
    </row>
    <row r="8118" spans="1:3">
      <c r="A8118" s="131" t="s">
        <v>3574</v>
      </c>
      <c r="B8118" s="132">
        <v>48.66</v>
      </c>
      <c r="C8118" s="133"/>
    </row>
    <row r="8119" spans="1:3">
      <c r="A8119" s="131" t="s">
        <v>3575</v>
      </c>
      <c r="B8119" s="132">
        <v>0.40151688787033102</v>
      </c>
      <c r="C8119" s="133"/>
    </row>
    <row r="8120" spans="1:3">
      <c r="A8120" s="131" t="s">
        <v>3576</v>
      </c>
      <c r="B8120" s="132">
        <v>8.48</v>
      </c>
      <c r="C8120" s="133"/>
    </row>
    <row r="8121" spans="1:3">
      <c r="A8121" s="131" t="s">
        <v>3577</v>
      </c>
      <c r="B8121" s="132">
        <v>3.0438145220482271E-2</v>
      </c>
      <c r="C8121" s="133"/>
    </row>
    <row r="8122" spans="1:3">
      <c r="A8122" s="131" t="s">
        <v>3578</v>
      </c>
      <c r="B8122" s="132">
        <v>3.4209497974319248E-4</v>
      </c>
      <c r="C8122" s="133"/>
    </row>
    <row r="8123" spans="1:3">
      <c r="A8123" s="131" t="s">
        <v>3579</v>
      </c>
      <c r="B8123" s="132">
        <v>0.29492166723453622</v>
      </c>
      <c r="C8123" s="133"/>
    </row>
    <row r="8124" spans="1:3">
      <c r="A8124" s="131" t="s">
        <v>3580</v>
      </c>
      <c r="B8124" s="132">
        <v>63.15</v>
      </c>
      <c r="C8124" s="133"/>
    </row>
    <row r="8125" spans="1:3">
      <c r="A8125" s="131" t="s">
        <v>3581</v>
      </c>
      <c r="B8125" s="132">
        <v>0.6097419503560515</v>
      </c>
      <c r="C8125" s="133"/>
    </row>
    <row r="8126" spans="1:3">
      <c r="A8126" s="131" t="s">
        <v>3582</v>
      </c>
      <c r="B8126" s="132">
        <v>6.71</v>
      </c>
      <c r="C8126" s="133"/>
    </row>
    <row r="8127" spans="1:3">
      <c r="A8127" s="131" t="s">
        <v>3583</v>
      </c>
      <c r="B8127" s="132">
        <v>8.52</v>
      </c>
      <c r="C8127" s="133"/>
    </row>
    <row r="8128" spans="1:3">
      <c r="A8128" s="131" t="s">
        <v>3584</v>
      </c>
      <c r="B8128" s="132">
        <v>1.1890390887856483E-2</v>
      </c>
      <c r="C8128" s="133"/>
    </row>
    <row r="8129" spans="1:3">
      <c r="A8129" s="131" t="s">
        <v>3585</v>
      </c>
      <c r="B8129" s="132">
        <v>61239</v>
      </c>
      <c r="C8129" s="133"/>
    </row>
    <row r="8130" spans="1:3">
      <c r="A8130" s="131" t="s">
        <v>3586</v>
      </c>
      <c r="B8130" s="132">
        <v>0.38344217337180819</v>
      </c>
      <c r="C8130" s="133"/>
    </row>
    <row r="8131" spans="1:3">
      <c r="A8131" s="131" t="s">
        <v>3587</v>
      </c>
      <c r="B8131" s="132">
        <v>3.7493741920498038E-13</v>
      </c>
      <c r="C8131" s="133"/>
    </row>
    <row r="8132" spans="1:3">
      <c r="A8132" s="131" t="s">
        <v>3588</v>
      </c>
      <c r="B8132" s="132">
        <v>14.209318189982501</v>
      </c>
      <c r="C8132" s="133"/>
    </row>
    <row r="8133" spans="1:3">
      <c r="A8133" s="131" t="s">
        <v>3589</v>
      </c>
      <c r="B8133" s="132">
        <v>0.78955630012272182</v>
      </c>
      <c r="C8133" s="133"/>
    </row>
    <row r="8134" spans="1:3">
      <c r="A8134" s="131" t="s">
        <v>3590</v>
      </c>
      <c r="B8134" s="132">
        <v>4.9087789202021002</v>
      </c>
      <c r="C8134" s="133"/>
    </row>
    <row r="8135" spans="1:3">
      <c r="A8135" s="131" t="s">
        <v>3591</v>
      </c>
      <c r="B8135" s="132">
        <v>1.1529699986567721E-4</v>
      </c>
      <c r="C8135" s="133"/>
    </row>
    <row r="8136" spans="1:3">
      <c r="A8136" s="131" t="s">
        <v>3592</v>
      </c>
      <c r="B8136" s="132">
        <v>17.61</v>
      </c>
      <c r="C8136" s="133"/>
    </row>
    <row r="8137" spans="1:3">
      <c r="A8137" s="131" t="s">
        <v>3593</v>
      </c>
      <c r="B8137" s="132">
        <v>1.7996925004248668E-3</v>
      </c>
      <c r="C8137" s="133"/>
    </row>
    <row r="8138" spans="1:3">
      <c r="A8138" s="131" t="s">
        <v>3594</v>
      </c>
      <c r="B8138" s="132">
        <v>15.44</v>
      </c>
      <c r="C8138" s="133"/>
    </row>
    <row r="8139" spans="1:3">
      <c r="A8139" s="131" t="s">
        <v>3595</v>
      </c>
      <c r="B8139" s="132">
        <v>2.7472419397782977</v>
      </c>
      <c r="C8139" s="133"/>
    </row>
    <row r="8140" spans="1:3">
      <c r="A8140" s="131" t="s">
        <v>3596</v>
      </c>
      <c r="B8140" s="132">
        <v>4.2691139661014026E-3</v>
      </c>
      <c r="C8140" s="133"/>
    </row>
    <row r="8141" spans="1:3">
      <c r="A8141" s="131" t="s">
        <v>3597</v>
      </c>
      <c r="B8141" s="132">
        <v>8.3669066110150403E-2</v>
      </c>
      <c r="C8141" s="133"/>
    </row>
    <row r="8142" spans="1:3">
      <c r="A8142" s="131" t="s">
        <v>3598</v>
      </c>
      <c r="B8142" s="132">
        <v>4.04</v>
      </c>
      <c r="C8142" s="133"/>
    </row>
    <row r="8143" spans="1:3">
      <c r="A8143" s="131" t="s">
        <v>3599</v>
      </c>
      <c r="B8143" s="132">
        <v>1.5267333334729277E-2</v>
      </c>
      <c r="C8143" s="133"/>
    </row>
    <row r="8144" spans="1:3">
      <c r="A8144" s="131" t="s">
        <v>3600</v>
      </c>
      <c r="B8144" s="132">
        <v>7.214085666666666E-4</v>
      </c>
      <c r="C8144" s="133"/>
    </row>
    <row r="8145" spans="1:3">
      <c r="A8145" s="131" t="s">
        <v>3601</v>
      </c>
      <c r="B8145" s="132">
        <v>10.27</v>
      </c>
      <c r="C8145" s="133"/>
    </row>
    <row r="8146" spans="1:3">
      <c r="A8146" s="131" t="s">
        <v>3602</v>
      </c>
      <c r="B8146" s="132">
        <v>7.1590053296259865E-2</v>
      </c>
      <c r="C8146" s="133"/>
    </row>
    <row r="8147" spans="1:3">
      <c r="A8147" s="131" t="s">
        <v>3603</v>
      </c>
      <c r="B8147" s="132">
        <v>2.9491163348163707E-2</v>
      </c>
      <c r="C8147" s="133"/>
    </row>
    <row r="8148" spans="1:3">
      <c r="A8148" s="131" t="s">
        <v>3604</v>
      </c>
      <c r="B8148" s="132">
        <v>10.34</v>
      </c>
      <c r="C8148" s="133"/>
    </row>
    <row r="8149" spans="1:3">
      <c r="A8149" s="131" t="s">
        <v>3605</v>
      </c>
      <c r="B8149" s="132">
        <v>4.05</v>
      </c>
      <c r="C8149" s="133"/>
    </row>
    <row r="8150" spans="1:3">
      <c r="A8150" s="131" t="s">
        <v>3606</v>
      </c>
      <c r="B8150" s="132">
        <v>520.48239406842902</v>
      </c>
      <c r="C8150" s="133"/>
    </row>
    <row r="8151" spans="1:3">
      <c r="A8151" s="131" t="s">
        <v>3607</v>
      </c>
      <c r="B8151" s="132">
        <v>4.3600000000000003</v>
      </c>
      <c r="C8151" s="133"/>
    </row>
    <row r="8152" spans="1:3">
      <c r="A8152" s="131" t="s">
        <v>3608</v>
      </c>
      <c r="B8152" s="132">
        <v>2.3029405352666998</v>
      </c>
      <c r="C8152" s="133"/>
    </row>
    <row r="8153" spans="1:3">
      <c r="A8153" s="131" t="s">
        <v>3609</v>
      </c>
      <c r="B8153" s="132">
        <v>0.20551325038562593</v>
      </c>
      <c r="C8153" s="133"/>
    </row>
    <row r="8154" spans="1:3">
      <c r="A8154" s="131" t="s">
        <v>3610</v>
      </c>
      <c r="B8154" s="132">
        <v>6.6713198097760199E-3</v>
      </c>
      <c r="C8154" s="133"/>
    </row>
    <row r="8155" spans="1:3">
      <c r="A8155" s="131" t="s">
        <v>3611</v>
      </c>
      <c r="B8155" s="132">
        <v>9.5795006518921977E-2</v>
      </c>
      <c r="C8155" s="133"/>
    </row>
    <row r="8156" spans="1:3">
      <c r="A8156" s="131" t="s">
        <v>3612</v>
      </c>
      <c r="B8156" s="132">
        <v>1.2107663333333332E-3</v>
      </c>
      <c r="C8156" s="133"/>
    </row>
    <row r="8157" spans="1:3">
      <c r="A8157" s="131" t="s">
        <v>3613</v>
      </c>
      <c r="B8157" s="132">
        <v>0.7789316837518927</v>
      </c>
      <c r="C8157" s="133"/>
    </row>
    <row r="8158" spans="1:3">
      <c r="A8158" s="131" t="s">
        <v>3614</v>
      </c>
      <c r="B8158" s="132">
        <v>8.531179425076732E-2</v>
      </c>
      <c r="C8158" s="133"/>
    </row>
    <row r="8159" spans="1:3">
      <c r="A8159" s="131" t="s">
        <v>3615</v>
      </c>
      <c r="B8159" s="132">
        <v>0.48718908949655093</v>
      </c>
      <c r="C8159" s="133"/>
    </row>
    <row r="8160" spans="1:3">
      <c r="A8160" s="131" t="s">
        <v>3616</v>
      </c>
      <c r="B8160" s="132">
        <v>1.3191409939631304</v>
      </c>
      <c r="C8160" s="133"/>
    </row>
    <row r="8161" spans="1:3">
      <c r="A8161" s="131" t="s">
        <v>3617</v>
      </c>
      <c r="B8161" s="132">
        <v>290.19</v>
      </c>
      <c r="C8161" s="133"/>
    </row>
    <row r="8162" spans="1:3">
      <c r="A8162" s="131" t="s">
        <v>3618</v>
      </c>
      <c r="B8162" s="132">
        <v>0.26216024512532499</v>
      </c>
      <c r="C8162" s="133"/>
    </row>
    <row r="8163" spans="1:3">
      <c r="A8163" s="131" t="s">
        <v>3619</v>
      </c>
      <c r="B8163" s="132">
        <v>0.55406995166011641</v>
      </c>
      <c r="C8163" s="133"/>
    </row>
    <row r="8164" spans="1:3">
      <c r="A8164" s="131" t="s">
        <v>3620</v>
      </c>
      <c r="B8164" s="132">
        <v>0.80722332574019884</v>
      </c>
      <c r="C8164" s="133"/>
    </row>
    <row r="8165" spans="1:3">
      <c r="A8165" s="131" t="s">
        <v>3621</v>
      </c>
      <c r="B8165" s="132">
        <v>0.60801871939993635</v>
      </c>
      <c r="C8165" s="133"/>
    </row>
    <row r="8166" spans="1:3">
      <c r="A8166" s="131" t="s">
        <v>3622</v>
      </c>
      <c r="B8166" s="132">
        <v>7.16</v>
      </c>
      <c r="C8166" s="133"/>
    </row>
    <row r="8167" spans="1:3">
      <c r="A8167" s="131" t="s">
        <v>3623</v>
      </c>
      <c r="B8167" s="132">
        <v>2.2095861100937499</v>
      </c>
      <c r="C8167" s="133"/>
    </row>
    <row r="8168" spans="1:3">
      <c r="A8168" s="131" t="s">
        <v>3624</v>
      </c>
      <c r="B8168" s="132">
        <v>160.07</v>
      </c>
      <c r="C8168" s="133"/>
    </row>
    <row r="8169" spans="1:3">
      <c r="A8169" s="131" t="s">
        <v>3625</v>
      </c>
      <c r="B8169" s="132">
        <v>2.5087815312462031E-2</v>
      </c>
      <c r="C8169" s="133"/>
    </row>
    <row r="8170" spans="1:3">
      <c r="A8170" s="131" t="s">
        <v>3626</v>
      </c>
      <c r="B8170" s="132">
        <v>0.28959249136434551</v>
      </c>
      <c r="C8170" s="133"/>
    </row>
    <row r="8171" spans="1:3">
      <c r="A8171" s="131" t="s">
        <v>3627</v>
      </c>
      <c r="B8171" s="132">
        <v>0.18554992070611157</v>
      </c>
      <c r="C8171" s="133"/>
    </row>
    <row r="8172" spans="1:3">
      <c r="A8172" s="131" t="s">
        <v>3628</v>
      </c>
      <c r="B8172" s="132">
        <v>0.18160889999999999</v>
      </c>
      <c r="C8172" s="133"/>
    </row>
    <row r="8173" spans="1:3">
      <c r="A8173" s="131" t="s">
        <v>3629</v>
      </c>
      <c r="B8173" s="132">
        <v>0.16076107487698257</v>
      </c>
      <c r="C8173" s="133"/>
    </row>
    <row r="8174" spans="1:3">
      <c r="A8174" s="131" t="s">
        <v>3630</v>
      </c>
      <c r="B8174" s="132">
        <v>0.30282678393984303</v>
      </c>
      <c r="C8174" s="133"/>
    </row>
    <row r="8175" spans="1:3">
      <c r="A8175" s="131" t="s">
        <v>3631</v>
      </c>
      <c r="B8175" s="132">
        <v>1.0049467394338235E-2</v>
      </c>
      <c r="C8175" s="133"/>
    </row>
    <row r="8176" spans="1:3">
      <c r="A8176" s="131" t="s">
        <v>3632</v>
      </c>
      <c r="B8176" s="132">
        <v>0.92876546260861093</v>
      </c>
      <c r="C8176" s="133"/>
    </row>
    <row r="8177" spans="1:3">
      <c r="A8177" s="131" t="s">
        <v>3633</v>
      </c>
      <c r="B8177" s="132">
        <v>2.9690669024052664E-7</v>
      </c>
      <c r="C8177" s="133"/>
    </row>
    <row r="8178" spans="1:3">
      <c r="A8178" s="131" t="s">
        <v>3634</v>
      </c>
      <c r="B8178" s="132">
        <v>2.438990049995482E-4</v>
      </c>
      <c r="C8178" s="133"/>
    </row>
    <row r="8179" spans="1:3">
      <c r="A8179" s="131" t="s">
        <v>3635</v>
      </c>
      <c r="B8179" s="132">
        <v>4.3611339334144404E-8</v>
      </c>
      <c r="C8179" s="133"/>
    </row>
    <row r="8180" spans="1:3">
      <c r="A8180" s="131" t="s">
        <v>3636</v>
      </c>
      <c r="B8180" s="132">
        <v>1.4670652423673118</v>
      </c>
      <c r="C8180" s="133"/>
    </row>
    <row r="8181" spans="1:3">
      <c r="A8181" s="131" t="s">
        <v>3637</v>
      </c>
      <c r="B8181" s="132">
        <v>0.65319931825760225</v>
      </c>
      <c r="C8181" s="133"/>
    </row>
    <row r="8182" spans="1:3">
      <c r="A8182" s="131" t="s">
        <v>3638</v>
      </c>
      <c r="B8182" s="132">
        <v>0.45555716472902436</v>
      </c>
      <c r="C8182" s="133"/>
    </row>
    <row r="8183" spans="1:3">
      <c r="A8183" s="131" t="s">
        <v>3639</v>
      </c>
      <c r="B8183" s="132">
        <v>0.21768318350876226</v>
      </c>
      <c r="C8183" s="133"/>
    </row>
    <row r="8184" spans="1:3">
      <c r="A8184" s="131" t="s">
        <v>3640</v>
      </c>
      <c r="B8184" s="132">
        <v>0.41434673153534896</v>
      </c>
      <c r="C8184" s="133"/>
    </row>
    <row r="8185" spans="1:3">
      <c r="A8185" s="131" t="s">
        <v>3641</v>
      </c>
      <c r="B8185" s="132">
        <v>0.48973924861785784</v>
      </c>
      <c r="C8185" s="133"/>
    </row>
    <row r="8186" spans="1:3">
      <c r="A8186" s="131" t="s">
        <v>3642</v>
      </c>
      <c r="B8186" s="132">
        <v>0.64653791082641665</v>
      </c>
      <c r="C8186" s="133"/>
    </row>
    <row r="8187" spans="1:3">
      <c r="A8187" s="131" t="s">
        <v>3643</v>
      </c>
      <c r="B8187" s="132">
        <v>0.36381052699247096</v>
      </c>
      <c r="C8187" s="133"/>
    </row>
    <row r="8188" spans="1:3">
      <c r="A8188" s="131" t="s">
        <v>3644</v>
      </c>
      <c r="B8188" s="132">
        <v>0.38520812401540816</v>
      </c>
      <c r="C8188" s="133"/>
    </row>
    <row r="8189" spans="1:3">
      <c r="A8189" s="131" t="s">
        <v>3645</v>
      </c>
      <c r="B8189" s="132">
        <v>4.1615203081096607E-4</v>
      </c>
      <c r="C8189" s="133"/>
    </row>
    <row r="8190" spans="1:3">
      <c r="A8190" s="131" t="s">
        <v>3646</v>
      </c>
      <c r="B8190" s="132">
        <v>5.2597483060985942E-3</v>
      </c>
      <c r="C8190" s="133"/>
    </row>
    <row r="8191" spans="1:3">
      <c r="A8191" s="131" t="s">
        <v>3647</v>
      </c>
      <c r="B8191" s="132">
        <v>0.63715702003026553</v>
      </c>
      <c r="C8191" s="133"/>
    </row>
    <row r="8192" spans="1:3">
      <c r="A8192" s="131" t="s">
        <v>3648</v>
      </c>
      <c r="B8192" s="132">
        <v>3.6519466666666668E-6</v>
      </c>
      <c r="C8192" s="133"/>
    </row>
    <row r="8193" spans="1:3">
      <c r="A8193" s="131" t="s">
        <v>3649</v>
      </c>
      <c r="B8193" s="132">
        <v>0.2347836780620523</v>
      </c>
      <c r="C8193" s="133"/>
    </row>
    <row r="8194" spans="1:3">
      <c r="A8194" s="131" t="s">
        <v>3650</v>
      </c>
      <c r="B8194" s="132">
        <v>1.6243419686094456E-9</v>
      </c>
      <c r="C8194" s="133"/>
    </row>
    <row r="8195" spans="1:3">
      <c r="A8195" s="131" t="s">
        <v>3651</v>
      </c>
      <c r="B8195" s="132">
        <v>6.8616265000000015E-4</v>
      </c>
      <c r="C8195" s="133"/>
    </row>
    <row r="8196" spans="1:3">
      <c r="A8196" s="131" t="s">
        <v>3652</v>
      </c>
      <c r="B8196" s="132">
        <v>1.9312211986108105</v>
      </c>
      <c r="C8196" s="133"/>
    </row>
    <row r="8197" spans="1:3">
      <c r="A8197" s="131" t="s">
        <v>3653</v>
      </c>
      <c r="B8197" s="132">
        <v>6.55</v>
      </c>
      <c r="C8197" s="133"/>
    </row>
    <row r="8198" spans="1:3">
      <c r="A8198" s="131" t="s">
        <v>3654</v>
      </c>
      <c r="B8198" s="132">
        <v>3.04</v>
      </c>
      <c r="C8198" s="133"/>
    </row>
    <row r="8199" spans="1:3">
      <c r="A8199" s="131" t="s">
        <v>3655</v>
      </c>
      <c r="B8199" s="132">
        <v>1.1836477927682547</v>
      </c>
      <c r="C8199" s="133"/>
    </row>
    <row r="8200" spans="1:3">
      <c r="A8200" s="131" t="s">
        <v>3656</v>
      </c>
      <c r="B8200" s="132">
        <v>3.4711871400777473E-3</v>
      </c>
      <c r="C8200" s="133"/>
    </row>
    <row r="8201" spans="1:3">
      <c r="A8201" s="131" t="s">
        <v>3657</v>
      </c>
      <c r="B8201" s="132">
        <v>99.31</v>
      </c>
      <c r="C8201" s="133"/>
    </row>
    <row r="8202" spans="1:3">
      <c r="A8202" s="131" t="s">
        <v>3658</v>
      </c>
      <c r="B8202" s="132">
        <v>4.17</v>
      </c>
      <c r="C8202" s="133"/>
    </row>
    <row r="8203" spans="1:3">
      <c r="A8203" s="131" t="s">
        <v>3659</v>
      </c>
      <c r="B8203" s="132">
        <v>4.68</v>
      </c>
      <c r="C8203" s="133"/>
    </row>
    <row r="8204" spans="1:3">
      <c r="A8204" s="131" t="s">
        <v>3660</v>
      </c>
      <c r="B8204" s="132">
        <v>0.20691718666666664</v>
      </c>
      <c r="C8204" s="133"/>
    </row>
    <row r="8205" spans="1:3">
      <c r="A8205" s="131" t="s">
        <v>3661</v>
      </c>
      <c r="B8205" s="132">
        <v>0.93126189718582641</v>
      </c>
      <c r="C8205" s="133"/>
    </row>
    <row r="8206" spans="1:3">
      <c r="A8206" s="131" t="s">
        <v>3662</v>
      </c>
      <c r="B8206" s="132">
        <v>0.31255749344674261</v>
      </c>
      <c r="C8206" s="133"/>
    </row>
    <row r="8207" spans="1:3">
      <c r="A8207" s="131" t="s">
        <v>3663</v>
      </c>
      <c r="B8207" s="132">
        <v>7.0816991531407095E-2</v>
      </c>
      <c r="C8207" s="133"/>
    </row>
    <row r="8208" spans="1:3">
      <c r="A8208" s="131" t="s">
        <v>3664</v>
      </c>
      <c r="B8208" s="132">
        <v>3.6428975494104288E-2</v>
      </c>
      <c r="C8208" s="133"/>
    </row>
    <row r="8209" spans="1:3">
      <c r="A8209" s="131" t="s">
        <v>3665</v>
      </c>
      <c r="B8209" s="132">
        <v>1.5630152791553067</v>
      </c>
      <c r="C8209" s="133"/>
    </row>
    <row r="8210" spans="1:3">
      <c r="A8210" s="131" t="s">
        <v>598</v>
      </c>
      <c r="B8210" s="132">
        <v>0.58216305334668084</v>
      </c>
      <c r="C8210" s="133"/>
    </row>
    <row r="8211" spans="1:3">
      <c r="A8211" s="131" t="s">
        <v>599</v>
      </c>
      <c r="B8211" s="132">
        <v>3.9748267823640458E-3</v>
      </c>
      <c r="C8211" s="133"/>
    </row>
    <row r="8212" spans="1:3">
      <c r="A8212" s="131" t="s">
        <v>600</v>
      </c>
      <c r="B8212" s="132">
        <v>0.24567868169173526</v>
      </c>
      <c r="C8212" s="133"/>
    </row>
    <row r="8213" spans="1:3">
      <c r="A8213" s="131" t="s">
        <v>601</v>
      </c>
      <c r="B8213" s="132">
        <v>4.0318465964037195E-2</v>
      </c>
      <c r="C8213" s="133"/>
    </row>
    <row r="8214" spans="1:3">
      <c r="A8214" s="131" t="s">
        <v>602</v>
      </c>
      <c r="B8214" s="132">
        <v>0.12882653833767468</v>
      </c>
      <c r="C8214" s="133"/>
    </row>
    <row r="8215" spans="1:3">
      <c r="A8215" s="131" t="s">
        <v>603</v>
      </c>
      <c r="B8215" s="132">
        <v>8.8676308614942759E-2</v>
      </c>
      <c r="C8215" s="133"/>
    </row>
    <row r="8216" spans="1:3">
      <c r="A8216" s="131" t="s">
        <v>604</v>
      </c>
      <c r="B8216" s="132">
        <v>3.7083624744555483E-5</v>
      </c>
      <c r="C8216" s="133"/>
    </row>
    <row r="8217" spans="1:3">
      <c r="A8217" s="131" t="s">
        <v>605</v>
      </c>
      <c r="B8217" s="132">
        <v>0.13226898322889127</v>
      </c>
      <c r="C8217" s="133"/>
    </row>
    <row r="8218" spans="1:3">
      <c r="A8218" s="131" t="s">
        <v>606</v>
      </c>
      <c r="B8218" s="132">
        <v>3.6472420394455717E-2</v>
      </c>
      <c r="C8218" s="133"/>
    </row>
    <row r="8219" spans="1:3">
      <c r="A8219" s="131" t="s">
        <v>607</v>
      </c>
      <c r="B8219" s="132">
        <v>6.9041399999999996E-3</v>
      </c>
      <c r="C8219" s="133"/>
    </row>
    <row r="8220" spans="1:3">
      <c r="A8220" s="131" t="s">
        <v>608</v>
      </c>
      <c r="B8220" s="132">
        <v>276.13</v>
      </c>
      <c r="C8220" s="133"/>
    </row>
    <row r="8221" spans="1:3">
      <c r="A8221" s="131" t="s">
        <v>609</v>
      </c>
      <c r="B8221" s="132">
        <v>0.25242793619518911</v>
      </c>
      <c r="C8221" s="133"/>
    </row>
    <row r="8222" spans="1:3">
      <c r="A8222" s="131" t="s">
        <v>610</v>
      </c>
      <c r="B8222" s="132">
        <v>1.8512015349854201E-2</v>
      </c>
      <c r="C8222" s="133"/>
    </row>
    <row r="8223" spans="1:3">
      <c r="A8223" s="131" t="s">
        <v>611</v>
      </c>
      <c r="B8223" s="132">
        <v>8.4499697913010777E-2</v>
      </c>
      <c r="C8223" s="133"/>
    </row>
    <row r="8224" spans="1:3">
      <c r="A8224" s="131" t="s">
        <v>612</v>
      </c>
      <c r="B8224" s="132">
        <v>2.122606135683721E-2</v>
      </c>
      <c r="C8224" s="133"/>
    </row>
    <row r="8225" spans="1:3">
      <c r="A8225" s="131" t="s">
        <v>613</v>
      </c>
      <c r="B8225" s="132">
        <v>7.9454279067553868E-2</v>
      </c>
      <c r="C8225" s="133"/>
    </row>
    <row r="8226" spans="1:3">
      <c r="A8226" s="131" t="s">
        <v>614</v>
      </c>
      <c r="B8226" s="132">
        <v>4.1482464784394442E-2</v>
      </c>
      <c r="C8226" s="133"/>
    </row>
    <row r="8227" spans="1:3">
      <c r="A8227" s="131" t="s">
        <v>615</v>
      </c>
      <c r="B8227" s="132">
        <v>1.9420193087864253E-2</v>
      </c>
      <c r="C8227" s="133"/>
    </row>
    <row r="8228" spans="1:3">
      <c r="A8228" s="131" t="s">
        <v>616</v>
      </c>
      <c r="B8228" s="132">
        <v>4.3240280232189498E-4</v>
      </c>
      <c r="C8228" s="133"/>
    </row>
    <row r="8229" spans="1:3">
      <c r="A8229" s="131" t="s">
        <v>617</v>
      </c>
      <c r="B8229" s="132">
        <v>3.0011999999999999E-3</v>
      </c>
      <c r="C8229" s="133"/>
    </row>
    <row r="8230" spans="1:3">
      <c r="A8230" s="131" t="s">
        <v>618</v>
      </c>
      <c r="B8230" s="132">
        <v>7641.71</v>
      </c>
      <c r="C8230" s="133"/>
    </row>
    <row r="8231" spans="1:3">
      <c r="A8231" s="131" t="s">
        <v>619</v>
      </c>
      <c r="B8231" s="132">
        <v>1.8152265593627317</v>
      </c>
      <c r="C8231" s="133"/>
    </row>
    <row r="8232" spans="1:3">
      <c r="A8232" s="131" t="s">
        <v>620</v>
      </c>
      <c r="B8232" s="132">
        <v>7.1856453135586848E-2</v>
      </c>
      <c r="C8232" s="133"/>
    </row>
    <row r="8233" spans="1:3">
      <c r="A8233" s="131" t="s">
        <v>621</v>
      </c>
      <c r="B8233" s="132">
        <v>2.99</v>
      </c>
      <c r="C8233" s="133"/>
    </row>
    <row r="8234" spans="1:3">
      <c r="A8234" s="131" t="s">
        <v>622</v>
      </c>
      <c r="B8234" s="132">
        <v>2.323006259779515E-3</v>
      </c>
      <c r="C8234" s="133"/>
    </row>
    <row r="8235" spans="1:3">
      <c r="A8235" s="131" t="s">
        <v>623</v>
      </c>
      <c r="B8235" s="132">
        <v>7.1934325087368556E-10</v>
      </c>
      <c r="C8235" s="133"/>
    </row>
    <row r="8236" spans="1:3">
      <c r="A8236" s="131" t="s">
        <v>624</v>
      </c>
      <c r="B8236" s="132">
        <v>1.5706478347781994E-2</v>
      </c>
      <c r="C8236" s="133"/>
    </row>
    <row r="8237" spans="1:3">
      <c r="A8237" s="131" t="s">
        <v>625</v>
      </c>
      <c r="B8237" s="132">
        <v>0.12073878854357192</v>
      </c>
      <c r="C8237" s="133"/>
    </row>
    <row r="8238" spans="1:3">
      <c r="A8238" s="131" t="s">
        <v>626</v>
      </c>
      <c r="B8238" s="132">
        <v>1.0716702289519777</v>
      </c>
      <c r="C8238" s="133"/>
    </row>
    <row r="8239" spans="1:3">
      <c r="A8239" s="131" t="s">
        <v>627</v>
      </c>
      <c r="B8239" s="132">
        <v>1.5730284623503964E-7</v>
      </c>
      <c r="C8239" s="133"/>
    </row>
    <row r="8240" spans="1:3">
      <c r="A8240" s="131" t="s">
        <v>628</v>
      </c>
      <c r="B8240" s="132">
        <v>5.2029466666666663E-3</v>
      </c>
      <c r="C8240" s="133"/>
    </row>
    <row r="8241" spans="1:3">
      <c r="A8241" s="131" t="s">
        <v>629</v>
      </c>
      <c r="B8241" s="132">
        <v>0.66203016042709351</v>
      </c>
      <c r="C8241" s="133"/>
    </row>
    <row r="8242" spans="1:3">
      <c r="A8242" s="131" t="s">
        <v>630</v>
      </c>
      <c r="B8242" s="132">
        <v>6.44</v>
      </c>
      <c r="C8242" s="133"/>
    </row>
    <row r="8243" spans="1:3">
      <c r="A8243" s="131" t="s">
        <v>631</v>
      </c>
      <c r="B8243" s="132">
        <v>0.29370635581287408</v>
      </c>
      <c r="C8243" s="133"/>
    </row>
    <row r="8244" spans="1:3">
      <c r="A8244" s="131" t="s">
        <v>632</v>
      </c>
      <c r="B8244" s="132">
        <v>8.3862660753979707E-3</v>
      </c>
      <c r="C8244" s="133"/>
    </row>
    <row r="8245" spans="1:3">
      <c r="A8245" s="131" t="s">
        <v>633</v>
      </c>
      <c r="B8245" s="132">
        <v>2.3886972060522412E-9</v>
      </c>
      <c r="C8245" s="133"/>
    </row>
    <row r="8246" spans="1:3">
      <c r="A8246" s="131" t="s">
        <v>634</v>
      </c>
      <c r="B8246" s="132">
        <v>1.3890347159683468E-3</v>
      </c>
      <c r="C8246" s="133"/>
    </row>
    <row r="8247" spans="1:3">
      <c r="A8247" s="131" t="s">
        <v>635</v>
      </c>
      <c r="B8247" s="132">
        <v>6.5990032903330163E-3</v>
      </c>
      <c r="C8247" s="133"/>
    </row>
    <row r="8248" spans="1:3">
      <c r="A8248" s="131" t="s">
        <v>636</v>
      </c>
      <c r="B8248" s="132">
        <v>2.0699999999999998</v>
      </c>
      <c r="C8248" s="133"/>
    </row>
    <row r="8249" spans="1:3">
      <c r="A8249" s="131" t="s">
        <v>637</v>
      </c>
      <c r="B8249" s="132">
        <v>8.4329991154381209E-2</v>
      </c>
      <c r="C8249" s="133"/>
    </row>
    <row r="8250" spans="1:3">
      <c r="A8250" s="131" t="s">
        <v>638</v>
      </c>
      <c r="B8250" s="132">
        <v>1.6554523852539846E-2</v>
      </c>
      <c r="C8250" s="133"/>
    </row>
    <row r="8251" spans="1:3">
      <c r="A8251" s="131" t="s">
        <v>639</v>
      </c>
      <c r="B8251" s="132">
        <v>6.2213954949253102E-2</v>
      </c>
      <c r="C8251" s="133"/>
    </row>
    <row r="8252" spans="1:3">
      <c r="A8252" s="131" t="s">
        <v>640</v>
      </c>
      <c r="B8252" s="132">
        <v>9.4595357279210635E-3</v>
      </c>
      <c r="C8252" s="133"/>
    </row>
    <row r="8253" spans="1:3">
      <c r="A8253" s="131" t="s">
        <v>641</v>
      </c>
      <c r="B8253" s="132">
        <v>1.1685136172317006E-10</v>
      </c>
      <c r="C8253" s="133"/>
    </row>
    <row r="8254" spans="1:3">
      <c r="A8254" s="131" t="s">
        <v>642</v>
      </c>
      <c r="B8254" s="132">
        <v>1.0477261524740091</v>
      </c>
      <c r="C8254" s="133"/>
    </row>
    <row r="8255" spans="1:3">
      <c r="A8255" s="131" t="s">
        <v>643</v>
      </c>
      <c r="B8255" s="132">
        <v>2.0011999999999999E-2</v>
      </c>
      <c r="C8255" s="133"/>
    </row>
    <row r="8256" spans="1:3">
      <c r="A8256" s="131" t="s">
        <v>644</v>
      </c>
      <c r="B8256" s="132">
        <v>2.0929004463375589E-2</v>
      </c>
      <c r="C8256" s="133"/>
    </row>
    <row r="8257" spans="1:3">
      <c r="A8257" s="131" t="s">
        <v>645</v>
      </c>
      <c r="B8257" s="132">
        <v>1.7848950166332979E-5</v>
      </c>
      <c r="C8257" s="133"/>
    </row>
    <row r="8258" spans="1:3">
      <c r="A8258" s="131" t="s">
        <v>646</v>
      </c>
      <c r="B8258" s="132">
        <v>2.5006666666666667E-3</v>
      </c>
      <c r="C8258" s="133"/>
    </row>
    <row r="8259" spans="1:3">
      <c r="A8259" s="131" t="s">
        <v>647</v>
      </c>
      <c r="B8259" s="132">
        <v>3.7006283917741245E-3</v>
      </c>
      <c r="C8259" s="133"/>
    </row>
    <row r="8260" spans="1:3">
      <c r="A8260" s="131" t="s">
        <v>648</v>
      </c>
      <c r="B8260" s="132">
        <v>0.50827745914455369</v>
      </c>
      <c r="C8260" s="133"/>
    </row>
    <row r="8261" spans="1:3">
      <c r="A8261" s="131" t="s">
        <v>649</v>
      </c>
      <c r="B8261" s="132">
        <v>0.26323640658245329</v>
      </c>
      <c r="C8261" s="133"/>
    </row>
    <row r="8262" spans="1:3">
      <c r="A8262" s="131" t="s">
        <v>650</v>
      </c>
      <c r="B8262" s="132">
        <v>5.34</v>
      </c>
      <c r="C8262" s="133"/>
    </row>
    <row r="8263" spans="1:3">
      <c r="A8263" s="131" t="s">
        <v>651</v>
      </c>
      <c r="B8263" s="132">
        <v>0.60951052638044201</v>
      </c>
      <c r="C8263" s="133"/>
    </row>
    <row r="8264" spans="1:3">
      <c r="A8264" s="131" t="s">
        <v>652</v>
      </c>
      <c r="B8264" s="132">
        <v>0.14511116666666665</v>
      </c>
      <c r="C8264" s="133"/>
    </row>
    <row r="8265" spans="1:3">
      <c r="A8265" s="131" t="s">
        <v>653</v>
      </c>
      <c r="B8265" s="132">
        <v>1.2715587554067446E-4</v>
      </c>
      <c r="C8265" s="133"/>
    </row>
    <row r="8266" spans="1:3">
      <c r="A8266" s="131" t="s">
        <v>654</v>
      </c>
      <c r="B8266" s="132">
        <v>3.3271230207974583E-3</v>
      </c>
      <c r="C8266" s="133"/>
    </row>
    <row r="8267" spans="1:3">
      <c r="A8267" s="131" t="s">
        <v>655</v>
      </c>
      <c r="B8267" s="132">
        <v>49.56</v>
      </c>
      <c r="C8267" s="133"/>
    </row>
    <row r="8268" spans="1:3">
      <c r="A8268" s="131" t="s">
        <v>656</v>
      </c>
      <c r="B8268" s="132">
        <v>1.8815366165747533E-3</v>
      </c>
      <c r="C8268" s="133"/>
    </row>
    <row r="8269" spans="1:3">
      <c r="A8269" s="131" t="s">
        <v>657</v>
      </c>
      <c r="B8269" s="132">
        <v>3.55</v>
      </c>
      <c r="C8269" s="133"/>
    </row>
    <row r="8270" spans="1:3">
      <c r="A8270" s="131" t="s">
        <v>658</v>
      </c>
      <c r="B8270" s="132">
        <v>5.56</v>
      </c>
      <c r="C8270" s="133"/>
    </row>
    <row r="8271" spans="1:3">
      <c r="A8271" s="131" t="s">
        <v>659</v>
      </c>
      <c r="B8271" s="132">
        <v>6.1771828903127858E-4</v>
      </c>
      <c r="C8271" s="133"/>
    </row>
    <row r="8272" spans="1:3">
      <c r="A8272" s="131" t="s">
        <v>660</v>
      </c>
      <c r="B8272" s="132">
        <v>2.5644671836397379E-2</v>
      </c>
      <c r="C8272" s="133"/>
    </row>
    <row r="8273" spans="1:3">
      <c r="A8273" s="131" t="s">
        <v>661</v>
      </c>
      <c r="B8273" s="132">
        <v>7.8054205666666663E-3</v>
      </c>
      <c r="C8273" s="133"/>
    </row>
    <row r="8274" spans="1:3">
      <c r="A8274" s="131" t="s">
        <v>662</v>
      </c>
      <c r="B8274" s="132">
        <v>7.2589192122608495</v>
      </c>
      <c r="C8274" s="133"/>
    </row>
    <row r="8275" spans="1:3">
      <c r="A8275" s="131" t="s">
        <v>663</v>
      </c>
      <c r="B8275" s="132">
        <v>1.6148373975983614</v>
      </c>
      <c r="C8275" s="133"/>
    </row>
    <row r="8276" spans="1:3">
      <c r="A8276" s="131" t="s">
        <v>664</v>
      </c>
      <c r="B8276" s="132">
        <v>216.62</v>
      </c>
      <c r="C8276" s="133"/>
    </row>
    <row r="8277" spans="1:3">
      <c r="A8277" s="131" t="s">
        <v>665</v>
      </c>
      <c r="B8277" s="132">
        <v>2.23</v>
      </c>
      <c r="C8277" s="133"/>
    </row>
    <row r="8278" spans="1:3">
      <c r="A8278" s="131" t="s">
        <v>666</v>
      </c>
      <c r="B8278" s="132">
        <v>9.8048999999999996E-5</v>
      </c>
      <c r="C8278" s="133"/>
    </row>
    <row r="8279" spans="1:3">
      <c r="A8279" s="131" t="s">
        <v>667</v>
      </c>
      <c r="B8279" s="132">
        <v>7.3067479998520146E-2</v>
      </c>
      <c r="C8279" s="133"/>
    </row>
    <row r="8280" spans="1:3">
      <c r="A8280" s="131" t="s">
        <v>668</v>
      </c>
      <c r="B8280" s="132">
        <v>7.930455280084354E-4</v>
      </c>
      <c r="C8280" s="133"/>
    </row>
    <row r="8281" spans="1:3">
      <c r="A8281" s="131" t="s">
        <v>669</v>
      </c>
      <c r="B8281" s="132">
        <v>2.2446859350423074E-6</v>
      </c>
      <c r="C8281" s="133"/>
    </row>
    <row r="8282" spans="1:3">
      <c r="A8282" s="131" t="s">
        <v>670</v>
      </c>
      <c r="B8282" s="132">
        <v>0.88368552923202515</v>
      </c>
      <c r="C8282" s="133"/>
    </row>
    <row r="8283" spans="1:3">
      <c r="A8283" s="131" t="s">
        <v>671</v>
      </c>
      <c r="B8283" s="132">
        <v>7.1137065102030259E-2</v>
      </c>
      <c r="C8283" s="133"/>
    </row>
    <row r="8284" spans="1:3">
      <c r="A8284" s="131" t="s">
        <v>672</v>
      </c>
      <c r="B8284" s="132">
        <v>1.3172818085427453E-2</v>
      </c>
      <c r="C8284" s="133"/>
    </row>
    <row r="8285" spans="1:3">
      <c r="A8285" s="131" t="s">
        <v>673</v>
      </c>
      <c r="B8285" s="132">
        <v>2.1063799956359121E-8</v>
      </c>
      <c r="C8285" s="133"/>
    </row>
    <row r="8286" spans="1:3">
      <c r="A8286" s="131" t="s">
        <v>674</v>
      </c>
      <c r="B8286" s="132">
        <v>1.7313606308953498E-4</v>
      </c>
      <c r="C8286" s="133"/>
    </row>
    <row r="8287" spans="1:3">
      <c r="A8287" s="131" t="s">
        <v>675</v>
      </c>
      <c r="B8287" s="132">
        <v>1.2953275271746547E-4</v>
      </c>
      <c r="C8287" s="133"/>
    </row>
    <row r="8288" spans="1:3">
      <c r="A8288" s="131" t="s">
        <v>676</v>
      </c>
      <c r="B8288" s="132">
        <v>5.9255701489746571E-3</v>
      </c>
      <c r="C8288" s="133"/>
    </row>
    <row r="8289" spans="1:3">
      <c r="A8289" s="131" t="s">
        <v>677</v>
      </c>
      <c r="B8289" s="132">
        <v>0.99997333333333327</v>
      </c>
      <c r="C8289" s="133"/>
    </row>
    <row r="8290" spans="1:3">
      <c r="A8290" s="131" t="s">
        <v>678</v>
      </c>
      <c r="B8290" s="132">
        <v>1.56870049303565E-3</v>
      </c>
      <c r="C8290" s="133"/>
    </row>
    <row r="8291" spans="1:3">
      <c r="A8291" s="131" t="s">
        <v>679</v>
      </c>
      <c r="B8291" s="132">
        <v>5.8028999999999989E-3</v>
      </c>
      <c r="C8291" s="133"/>
    </row>
    <row r="8292" spans="1:3">
      <c r="A8292" s="131" t="s">
        <v>680</v>
      </c>
      <c r="B8292" s="132">
        <v>9.160612531989538E-7</v>
      </c>
      <c r="C8292" s="133"/>
    </row>
    <row r="8293" spans="1:3">
      <c r="A8293" s="131" t="s">
        <v>681</v>
      </c>
      <c r="B8293" s="132">
        <v>1.1961586773395538E-2</v>
      </c>
      <c r="C8293" s="133"/>
    </row>
    <row r="8294" spans="1:3">
      <c r="A8294" s="131" t="s">
        <v>682</v>
      </c>
      <c r="B8294" s="132">
        <v>3.58</v>
      </c>
      <c r="C8294" s="133"/>
    </row>
    <row r="8295" spans="1:3">
      <c r="A8295" s="131" t="s">
        <v>683</v>
      </c>
      <c r="B8295" s="132">
        <v>9.5605571426682411E-4</v>
      </c>
      <c r="C8295" s="133"/>
    </row>
    <row r="8296" spans="1:3">
      <c r="A8296" s="131" t="s">
        <v>684</v>
      </c>
      <c r="B8296" s="132">
        <v>3.2017066666666667E-3</v>
      </c>
      <c r="C8296" s="133"/>
    </row>
    <row r="8297" spans="1:3">
      <c r="A8297" s="131" t="s">
        <v>685</v>
      </c>
      <c r="B8297" s="132">
        <v>4.0022566609999996E-4</v>
      </c>
      <c r="C8297" s="133"/>
    </row>
    <row r="8298" spans="1:3">
      <c r="A8298" s="131" t="s">
        <v>686</v>
      </c>
      <c r="B8298" s="132">
        <v>3.2019199999999996E-4</v>
      </c>
      <c r="C8298" s="133"/>
    </row>
    <row r="8299" spans="1:3">
      <c r="A8299" s="131" t="s">
        <v>687</v>
      </c>
      <c r="B8299" s="132">
        <v>134.41</v>
      </c>
      <c r="C8299" s="133"/>
    </row>
    <row r="8300" spans="1:3">
      <c r="A8300" s="131" t="s">
        <v>688</v>
      </c>
      <c r="B8300" s="132">
        <v>5.2103473333333333E-6</v>
      </c>
      <c r="C8300" s="133"/>
    </row>
    <row r="8301" spans="1:3">
      <c r="A8301" s="131" t="s">
        <v>689</v>
      </c>
      <c r="B8301" s="132">
        <v>3.5017860186544142E-4</v>
      </c>
      <c r="C8301" s="133"/>
    </row>
    <row r="8302" spans="1:3">
      <c r="A8302" s="131" t="s">
        <v>690</v>
      </c>
      <c r="B8302" s="132">
        <v>9.3614969668196841E-5</v>
      </c>
      <c r="C8302" s="133"/>
    </row>
    <row r="8303" spans="1:3">
      <c r="A8303" s="131" t="s">
        <v>691</v>
      </c>
      <c r="B8303" s="132">
        <v>1.0392723540270711E-2</v>
      </c>
      <c r="C8303" s="133"/>
    </row>
    <row r="8304" spans="1:3">
      <c r="A8304" s="131" t="s">
        <v>692</v>
      </c>
      <c r="B8304" s="132">
        <v>4.5820441824961664E-6</v>
      </c>
      <c r="C8304" s="133"/>
    </row>
    <row r="8305" spans="1:3">
      <c r="A8305" s="131" t="s">
        <v>693</v>
      </c>
      <c r="B8305" s="132">
        <v>1.6437199665233493E-3</v>
      </c>
      <c r="C8305" s="133"/>
    </row>
    <row r="8306" spans="1:3">
      <c r="A8306" s="131" t="s">
        <v>694</v>
      </c>
      <c r="B8306" s="132">
        <v>1.4539390611144086E-5</v>
      </c>
      <c r="C8306" s="133"/>
    </row>
    <row r="8307" spans="1:3">
      <c r="A8307" s="131" t="s">
        <v>695</v>
      </c>
      <c r="B8307" s="132">
        <v>0.90086697648279368</v>
      </c>
      <c r="C8307" s="133"/>
    </row>
    <row r="8308" spans="1:3">
      <c r="A8308" s="131" t="s">
        <v>696</v>
      </c>
      <c r="B8308" s="132">
        <v>2.9</v>
      </c>
      <c r="C8308" s="133"/>
    </row>
    <row r="8309" spans="1:3">
      <c r="A8309" s="131" t="s">
        <v>697</v>
      </c>
      <c r="B8309" s="132">
        <v>8.240799797931686E-5</v>
      </c>
      <c r="C8309" s="133"/>
    </row>
    <row r="8310" spans="1:3">
      <c r="A8310" s="131" t="s">
        <v>698</v>
      </c>
      <c r="B8310" s="132">
        <v>1.6722475877103697E-6</v>
      </c>
      <c r="C8310" s="133"/>
    </row>
    <row r="8311" spans="1:3">
      <c r="A8311" s="131" t="s">
        <v>699</v>
      </c>
      <c r="B8311" s="132">
        <v>6.1999998024475644E-8</v>
      </c>
      <c r="C8311" s="133"/>
    </row>
    <row r="8312" spans="1:3">
      <c r="A8312" s="131" t="s">
        <v>700</v>
      </c>
      <c r="B8312" s="132">
        <v>1.0200000133409048E-7</v>
      </c>
      <c r="C8312" s="133"/>
    </row>
    <row r="8313" spans="1:3">
      <c r="A8313" s="131" t="s">
        <v>701</v>
      </c>
      <c r="B8313" s="132">
        <v>77987</v>
      </c>
      <c r="C8313" s="133"/>
    </row>
    <row r="8314" spans="1:3">
      <c r="A8314" s="131" t="s">
        <v>702</v>
      </c>
      <c r="B8314" s="132">
        <v>0.33144955952501864</v>
      </c>
      <c r="C8314" s="133"/>
    </row>
    <row r="8315" spans="1:3">
      <c r="A8315" s="131" t="s">
        <v>703</v>
      </c>
      <c r="B8315" s="132">
        <v>0.84669445478821292</v>
      </c>
      <c r="C8315" s="133"/>
    </row>
    <row r="8316" spans="1:3">
      <c r="A8316" s="131" t="s">
        <v>704</v>
      </c>
      <c r="B8316" s="132">
        <v>1.4180130958557129</v>
      </c>
      <c r="C8316" s="133"/>
    </row>
    <row r="8317" spans="1:3">
      <c r="A8317" s="131" t="s">
        <v>705</v>
      </c>
      <c r="B8317" s="132">
        <v>1.1929215814663224E-3</v>
      </c>
      <c r="C8317" s="133"/>
    </row>
    <row r="8318" spans="1:3">
      <c r="A8318" s="131" t="s">
        <v>706</v>
      </c>
      <c r="B8318" s="132">
        <v>0.99018987032854011</v>
      </c>
      <c r="C8318" s="133"/>
    </row>
    <row r="8319" spans="1:3">
      <c r="A8319" s="131" t="s">
        <v>707</v>
      </c>
      <c r="B8319" s="132">
        <v>35.93</v>
      </c>
      <c r="C8319" s="133"/>
    </row>
    <row r="8320" spans="1:3">
      <c r="A8320" s="131" t="s">
        <v>708</v>
      </c>
      <c r="B8320" s="132">
        <v>4.1524667427981631E-2</v>
      </c>
      <c r="C8320" s="133"/>
    </row>
    <row r="8321" spans="1:3">
      <c r="A8321" s="131" t="s">
        <v>709</v>
      </c>
      <c r="B8321" s="132">
        <v>1.2298992155393058E-5</v>
      </c>
      <c r="C8321" s="133"/>
    </row>
    <row r="8322" spans="1:3">
      <c r="A8322" s="131" t="s">
        <v>710</v>
      </c>
      <c r="B8322" s="132">
        <v>7.7882999903522432E-5</v>
      </c>
      <c r="C8322" s="133"/>
    </row>
    <row r="8323" spans="1:3">
      <c r="A8323" s="131" t="s">
        <v>711</v>
      </c>
      <c r="B8323" s="132">
        <v>2.1115895719564112E-8</v>
      </c>
      <c r="C8323" s="133"/>
    </row>
    <row r="8324" spans="1:3">
      <c r="A8324" s="131" t="s">
        <v>712</v>
      </c>
      <c r="B8324" s="132">
        <v>5.35</v>
      </c>
      <c r="C8324" s="133"/>
    </row>
    <row r="8325" spans="1:3">
      <c r="A8325" s="131" t="s">
        <v>713</v>
      </c>
      <c r="B8325" s="132">
        <v>1.1997141669395811E-2</v>
      </c>
      <c r="C8325" s="133"/>
    </row>
    <row r="8326" spans="1:3">
      <c r="A8326" s="131" t="s">
        <v>714</v>
      </c>
      <c r="B8326" s="132">
        <v>96.28</v>
      </c>
      <c r="C8326" s="133"/>
    </row>
    <row r="8327" spans="1:3">
      <c r="A8327" s="131" t="s">
        <v>715</v>
      </c>
      <c r="B8327" s="132">
        <v>9.4846000138204545E-5</v>
      </c>
      <c r="C8327" s="133"/>
    </row>
    <row r="8328" spans="1:3">
      <c r="A8328" s="131" t="s">
        <v>716</v>
      </c>
      <c r="B8328" s="132">
        <v>1.9989000065834261E-5</v>
      </c>
      <c r="C8328" s="133"/>
    </row>
    <row r="8329" spans="1:3">
      <c r="A8329" s="131" t="s">
        <v>717</v>
      </c>
      <c r="B8329" s="132">
        <v>2.7212701388634741E-4</v>
      </c>
      <c r="C8329" s="133"/>
    </row>
    <row r="8330" spans="1:3">
      <c r="A8330" s="131" t="s">
        <v>718</v>
      </c>
      <c r="B8330" s="132">
        <v>0.74800475085017604</v>
      </c>
      <c r="C8330" s="133"/>
    </row>
    <row r="8331" spans="1:3">
      <c r="A8331" s="131" t="s">
        <v>719</v>
      </c>
      <c r="B8331" s="132">
        <v>1.939500107561277</v>
      </c>
      <c r="C8331" s="133"/>
    </row>
    <row r="8332" spans="1:3">
      <c r="A8332" s="131" t="s">
        <v>720</v>
      </c>
      <c r="B8332" s="132">
        <v>21.11</v>
      </c>
      <c r="C8332" s="133"/>
    </row>
    <row r="8333" spans="1:3">
      <c r="A8333" s="131" t="s">
        <v>721</v>
      </c>
      <c r="B8333" s="132">
        <v>3.5320001188665628E-4</v>
      </c>
      <c r="C8333" s="133"/>
    </row>
    <row r="8334" spans="1:3">
      <c r="A8334" s="131" t="s">
        <v>722</v>
      </c>
      <c r="B8334" s="132">
        <v>1.0249857253989168E-10</v>
      </c>
      <c r="C8334" s="133"/>
    </row>
    <row r="8335" spans="1:3">
      <c r="A8335" s="131" t="s">
        <v>723</v>
      </c>
      <c r="B8335" s="132">
        <v>8.1705002230592072E-5</v>
      </c>
      <c r="C8335" s="133"/>
    </row>
    <row r="8336" spans="1:3">
      <c r="A8336" s="131" t="s">
        <v>724</v>
      </c>
      <c r="B8336" s="132">
        <v>1320.06</v>
      </c>
      <c r="C8336" s="133"/>
    </row>
    <row r="8337" spans="1:3">
      <c r="A8337" s="131" t="s">
        <v>725</v>
      </c>
      <c r="B8337" s="132">
        <v>5.2585000958060846E-5</v>
      </c>
      <c r="C8337" s="133"/>
    </row>
    <row r="8338" spans="1:3">
      <c r="A8338" s="131" t="s">
        <v>726</v>
      </c>
      <c r="B8338" s="132">
        <v>1.39</v>
      </c>
      <c r="C8338" s="133"/>
    </row>
    <row r="8339" spans="1:3">
      <c r="A8339" s="131" t="s">
        <v>727</v>
      </c>
      <c r="B8339" s="132">
        <v>0.91806283254456478</v>
      </c>
      <c r="C8339" s="133"/>
    </row>
    <row r="8340" spans="1:3">
      <c r="A8340" s="131" t="s">
        <v>728</v>
      </c>
      <c r="B8340" s="132">
        <v>8.004433276666667E-3</v>
      </c>
      <c r="C8340" s="133"/>
    </row>
    <row r="8341" spans="1:3">
      <c r="A8341" s="131" t="s">
        <v>729</v>
      </c>
      <c r="B8341" s="132">
        <v>5.8994225848929091E-2</v>
      </c>
      <c r="C8341" s="133"/>
    </row>
    <row r="8342" spans="1:3">
      <c r="A8342" s="131" t="s">
        <v>730</v>
      </c>
      <c r="B8342" s="132">
        <v>0.13430059510650028</v>
      </c>
      <c r="C8342" s="133"/>
    </row>
    <row r="8343" spans="1:3">
      <c r="A8343" s="131" t="s">
        <v>731</v>
      </c>
      <c r="B8343" s="132">
        <v>0.6687015112932706</v>
      </c>
      <c r="C8343" s="133"/>
    </row>
    <row r="8344" spans="1:3">
      <c r="A8344" s="131" t="s">
        <v>732</v>
      </c>
      <c r="B8344" s="132">
        <v>245.16</v>
      </c>
      <c r="C8344" s="133"/>
    </row>
    <row r="8345" spans="1:3">
      <c r="A8345" s="131" t="s">
        <v>733</v>
      </c>
      <c r="B8345" s="132">
        <v>0.20112059999999807</v>
      </c>
      <c r="C8345" s="133"/>
    </row>
    <row r="8346" spans="1:3">
      <c r="A8346" s="131" t="s">
        <v>734</v>
      </c>
      <c r="B8346" s="132">
        <v>20.271040278827499</v>
      </c>
      <c r="C8346" s="133"/>
    </row>
    <row r="8347" spans="1:3">
      <c r="A8347" s="131" t="s">
        <v>735</v>
      </c>
      <c r="B8347" s="132">
        <v>8.0688402288844857E-2</v>
      </c>
      <c r="C8347" s="133"/>
    </row>
    <row r="8348" spans="1:3">
      <c r="A8348" s="131" t="s">
        <v>736</v>
      </c>
      <c r="B8348" s="132">
        <v>0.76249999999999996</v>
      </c>
      <c r="C8348" s="133"/>
    </row>
    <row r="8349" spans="1:3">
      <c r="A8349" s="131" t="s">
        <v>737</v>
      </c>
      <c r="B8349" s="132">
        <v>2.76</v>
      </c>
      <c r="C8349" s="133"/>
    </row>
    <row r="8350" spans="1:3">
      <c r="A8350" s="131" t="s">
        <v>738</v>
      </c>
      <c r="B8350" s="132">
        <v>0.12385928434814647</v>
      </c>
      <c r="C8350" s="133"/>
    </row>
    <row r="8351" spans="1:3">
      <c r="A8351" s="131" t="s">
        <v>739</v>
      </c>
      <c r="B8351" s="132">
        <v>8.3265546874413017E-3</v>
      </c>
      <c r="C8351" s="133"/>
    </row>
    <row r="8352" spans="1:3">
      <c r="A8352" s="131" t="s">
        <v>740</v>
      </c>
      <c r="B8352" s="132">
        <v>1.2203900298762843E-2</v>
      </c>
      <c r="C8352" s="133"/>
    </row>
    <row r="8353" spans="1:3">
      <c r="A8353" s="131" t="s">
        <v>741</v>
      </c>
      <c r="B8353" s="132">
        <v>1.2036680731086629E-5</v>
      </c>
      <c r="C8353" s="133"/>
    </row>
    <row r="8354" spans="1:3">
      <c r="A8354" s="131" t="s">
        <v>742</v>
      </c>
      <c r="B8354" s="132">
        <v>1.9092669876266002</v>
      </c>
      <c r="C8354" s="133"/>
    </row>
    <row r="8355" spans="1:3">
      <c r="A8355" s="131" t="s">
        <v>743</v>
      </c>
      <c r="B8355" s="132">
        <v>1.6301335674840287</v>
      </c>
      <c r="C8355" s="133"/>
    </row>
    <row r="8356" spans="1:3">
      <c r="A8356" s="131" t="s">
        <v>744</v>
      </c>
      <c r="B8356" s="132">
        <v>3.8042552579291636E-2</v>
      </c>
      <c r="C8356" s="133"/>
    </row>
    <row r="8357" spans="1:3">
      <c r="A8357" s="131" t="s">
        <v>745</v>
      </c>
      <c r="B8357" s="132">
        <v>2.8149178621739043E-2</v>
      </c>
      <c r="C8357" s="133"/>
    </row>
    <row r="8358" spans="1:3">
      <c r="A8358" s="131" t="s">
        <v>746</v>
      </c>
      <c r="B8358" s="132">
        <v>0.90757977962493896</v>
      </c>
      <c r="C8358" s="133"/>
    </row>
    <row r="8359" spans="1:3">
      <c r="A8359" s="131" t="s">
        <v>747</v>
      </c>
      <c r="B8359" s="132">
        <v>0.58244618270284854</v>
      </c>
      <c r="C8359" s="133"/>
    </row>
    <row r="8360" spans="1:3">
      <c r="A8360" s="131" t="s">
        <v>748</v>
      </c>
      <c r="B8360" s="132">
        <v>2.4132894665450438E-3</v>
      </c>
      <c r="C8360" s="133"/>
    </row>
    <row r="8361" spans="1:3">
      <c r="A8361" s="131" t="s">
        <v>749</v>
      </c>
      <c r="B8361" s="132">
        <v>1.4064057805571712</v>
      </c>
      <c r="C8361" s="133"/>
    </row>
    <row r="8362" spans="1:3">
      <c r="A8362" s="131" t="s">
        <v>750</v>
      </c>
      <c r="B8362" s="132">
        <v>5.4763172378375774E-3</v>
      </c>
      <c r="C8362" s="133"/>
    </row>
    <row r="8363" spans="1:3">
      <c r="A8363" s="131" t="s">
        <v>751</v>
      </c>
      <c r="B8363" s="132">
        <v>56.78</v>
      </c>
      <c r="C8363" s="133"/>
    </row>
    <row r="8364" spans="1:3">
      <c r="A8364" s="131" t="s">
        <v>752</v>
      </c>
      <c r="B8364" s="132">
        <v>6.7040199999999994E-2</v>
      </c>
      <c r="C8364" s="133"/>
    </row>
    <row r="8365" spans="1:3">
      <c r="A8365" s="131" t="s">
        <v>753</v>
      </c>
      <c r="B8365" s="132">
        <v>0.77981189256104333</v>
      </c>
      <c r="C8365" s="133"/>
    </row>
    <row r="8366" spans="1:3">
      <c r="A8366" s="131" t="s">
        <v>754</v>
      </c>
      <c r="B8366" s="132">
        <v>4.0338407620689708E-2</v>
      </c>
      <c r="C8366" s="133"/>
    </row>
    <row r="8367" spans="1:3">
      <c r="A8367" s="131" t="s">
        <v>755</v>
      </c>
      <c r="B8367" s="132">
        <v>0.1596133915133722</v>
      </c>
      <c r="C8367" s="133"/>
    </row>
    <row r="8368" spans="1:3">
      <c r="A8368" s="131" t="s">
        <v>756</v>
      </c>
      <c r="B8368" s="132">
        <v>9.1159674982120281E-3</v>
      </c>
      <c r="C8368" s="133"/>
    </row>
    <row r="8369" spans="1:3">
      <c r="A8369" s="131" t="s">
        <v>757</v>
      </c>
      <c r="B8369" s="132">
        <v>0.14681889142736654</v>
      </c>
      <c r="C8369" s="133"/>
    </row>
    <row r="8370" spans="1:3">
      <c r="A8370" s="131" t="s">
        <v>758</v>
      </c>
      <c r="B8370" s="132">
        <v>2.0988111637372665E-2</v>
      </c>
      <c r="C8370" s="133"/>
    </row>
    <row r="8371" spans="1:3">
      <c r="A8371" s="131" t="s">
        <v>759</v>
      </c>
      <c r="B8371" s="132">
        <v>6.4001513652705351E-4</v>
      </c>
      <c r="C8371" s="133"/>
    </row>
    <row r="8372" spans="1:3">
      <c r="A8372" s="131" t="s">
        <v>760</v>
      </c>
      <c r="B8372" s="132">
        <v>0.63619099530021395</v>
      </c>
      <c r="C8372" s="133"/>
    </row>
    <row r="8373" spans="1:3">
      <c r="A8373" s="131" t="s">
        <v>761</v>
      </c>
      <c r="B8373" s="132">
        <v>0.13384752627679405</v>
      </c>
      <c r="C8373" s="133"/>
    </row>
    <row r="8374" spans="1:3">
      <c r="A8374" s="131" t="s">
        <v>762</v>
      </c>
      <c r="B8374" s="132">
        <v>8.8631842697149629E-9</v>
      </c>
      <c r="C8374" s="133"/>
    </row>
    <row r="8375" spans="1:3">
      <c r="A8375" s="131" t="s">
        <v>763</v>
      </c>
      <c r="B8375" s="132">
        <v>5.0527978897552161E-4</v>
      </c>
      <c r="C8375" s="133"/>
    </row>
    <row r="8376" spans="1:3">
      <c r="A8376" s="131" t="s">
        <v>764</v>
      </c>
      <c r="B8376" s="132">
        <v>4.1656478052059668E-3</v>
      </c>
      <c r="C8376" s="133"/>
    </row>
    <row r="8377" spans="1:3">
      <c r="A8377" s="131" t="s">
        <v>765</v>
      </c>
      <c r="B8377" s="132">
        <v>1.8531548670938354E-3</v>
      </c>
      <c r="C8377" s="133"/>
    </row>
    <row r="8378" spans="1:3">
      <c r="A8378" s="131" t="s">
        <v>766</v>
      </c>
      <c r="B8378" s="132">
        <v>1.3084339618003892E-2</v>
      </c>
      <c r="C8378" s="133"/>
    </row>
    <row r="8379" spans="1:3">
      <c r="A8379" s="131" t="s">
        <v>767</v>
      </c>
      <c r="B8379" s="132">
        <v>2.3002681284409934E-2</v>
      </c>
      <c r="C8379" s="133"/>
    </row>
    <row r="8380" spans="1:3">
      <c r="A8380" s="131" t="s">
        <v>768</v>
      </c>
      <c r="B8380" s="132">
        <v>3.0261764712219788E-3</v>
      </c>
      <c r="C8380" s="133"/>
    </row>
    <row r="8381" spans="1:3">
      <c r="A8381" s="131" t="s">
        <v>769</v>
      </c>
      <c r="B8381" s="132">
        <v>45.748377074941004</v>
      </c>
      <c r="C8381" s="133"/>
    </row>
    <row r="8382" spans="1:3">
      <c r="A8382" s="131" t="s">
        <v>770</v>
      </c>
      <c r="B8382" s="132">
        <v>1.1637033224105835</v>
      </c>
      <c r="C8382" s="133"/>
    </row>
    <row r="8383" spans="1:3">
      <c r="A8383" s="131" t="s">
        <v>771</v>
      </c>
      <c r="B8383" s="132">
        <v>0.44278390411833535</v>
      </c>
      <c r="C8383" s="133"/>
    </row>
    <row r="8384" spans="1:3">
      <c r="A8384" s="131" t="s">
        <v>772</v>
      </c>
      <c r="B8384" s="132">
        <v>8.311938999999999E-9</v>
      </c>
      <c r="C8384" s="133"/>
    </row>
    <row r="8385" spans="1:3">
      <c r="A8385" s="131" t="s">
        <v>773</v>
      </c>
      <c r="B8385" s="132">
        <v>5.7999999262392521E-4</v>
      </c>
      <c r="C8385" s="133"/>
    </row>
    <row r="8386" spans="1:3">
      <c r="A8386" s="131" t="s">
        <v>774</v>
      </c>
      <c r="B8386" s="132">
        <v>9.3528721215832035E-3</v>
      </c>
      <c r="C8386" s="133"/>
    </row>
    <row r="8387" spans="1:3">
      <c r="A8387" s="131" t="s">
        <v>775</v>
      </c>
      <c r="B8387" s="132">
        <v>0.25868180781447347</v>
      </c>
      <c r="C8387" s="133"/>
    </row>
    <row r="8388" spans="1:3">
      <c r="A8388" s="131" t="s">
        <v>776</v>
      </c>
      <c r="B8388" s="132">
        <v>0.7911510782125879</v>
      </c>
      <c r="C8388" s="133"/>
    </row>
    <row r="8389" spans="1:3">
      <c r="A8389" s="131" t="s">
        <v>777</v>
      </c>
      <c r="B8389" s="132">
        <v>2.0201023867899501E-2</v>
      </c>
      <c r="C8389" s="133"/>
    </row>
    <row r="8390" spans="1:3">
      <c r="A8390" s="131" t="s">
        <v>778</v>
      </c>
      <c r="B8390" s="132">
        <v>2.5476740721465621E-2</v>
      </c>
      <c r="C8390" s="133"/>
    </row>
    <row r="8391" spans="1:3">
      <c r="A8391" s="131" t="s">
        <v>779</v>
      </c>
      <c r="B8391" s="132">
        <v>8.99</v>
      </c>
      <c r="C8391" s="133"/>
    </row>
    <row r="8392" spans="1:3">
      <c r="A8392" s="131" t="s">
        <v>780</v>
      </c>
      <c r="B8392" s="132">
        <v>2.6547258199085894E-2</v>
      </c>
      <c r="C8392" s="133"/>
    </row>
    <row r="8393" spans="1:3">
      <c r="A8393" s="131" t="s">
        <v>781</v>
      </c>
      <c r="B8393" s="132">
        <v>9.8904535472649865E-2</v>
      </c>
      <c r="C8393" s="133"/>
    </row>
    <row r="8394" spans="1:3">
      <c r="A8394" s="131" t="s">
        <v>782</v>
      </c>
      <c r="B8394" s="132">
        <v>0.27037815938872312</v>
      </c>
      <c r="C8394" s="133"/>
    </row>
    <row r="8395" spans="1:3">
      <c r="A8395" s="131" t="s">
        <v>783</v>
      </c>
      <c r="B8395" s="132">
        <v>0.22858353522540611</v>
      </c>
      <c r="C8395" s="133"/>
    </row>
    <row r="8396" spans="1:3">
      <c r="A8396" s="131" t="s">
        <v>784</v>
      </c>
      <c r="B8396" s="132">
        <v>57.73</v>
      </c>
      <c r="C8396" s="133"/>
    </row>
    <row r="8397" spans="1:3">
      <c r="A8397" s="131" t="s">
        <v>785</v>
      </c>
      <c r="B8397" s="132">
        <v>0.21133208199367015</v>
      </c>
      <c r="C8397" s="133"/>
    </row>
    <row r="8398" spans="1:3">
      <c r="A8398" s="131" t="s">
        <v>786</v>
      </c>
      <c r="B8398" s="132">
        <v>1.7246834368942796E-2</v>
      </c>
      <c r="C8398" s="133"/>
    </row>
    <row r="8399" spans="1:3">
      <c r="A8399" s="131" t="s">
        <v>787</v>
      </c>
      <c r="B8399" s="132">
        <v>5.42</v>
      </c>
      <c r="C8399" s="133"/>
    </row>
    <row r="8400" spans="1:3">
      <c r="A8400" s="131" t="s">
        <v>788</v>
      </c>
      <c r="B8400" s="132">
        <v>1.6752234127431274</v>
      </c>
      <c r="C8400" s="133"/>
    </row>
    <row r="8401" spans="1:3">
      <c r="A8401" s="131" t="s">
        <v>789</v>
      </c>
      <c r="B8401" s="132">
        <v>26.79785428628</v>
      </c>
      <c r="C8401" s="133"/>
    </row>
    <row r="8402" spans="1:3">
      <c r="A8402" s="131" t="s">
        <v>790</v>
      </c>
      <c r="B8402" s="132">
        <v>0.2713839764875155</v>
      </c>
      <c r="C8402" s="133"/>
    </row>
    <row r="8403" spans="1:3">
      <c r="A8403" s="131" t="s">
        <v>791</v>
      </c>
      <c r="B8403" s="132">
        <v>1.2250713893211481E-4</v>
      </c>
      <c r="C8403" s="133"/>
    </row>
    <row r="8404" spans="1:3">
      <c r="A8404" s="131" t="s">
        <v>792</v>
      </c>
      <c r="B8404" s="132">
        <v>8.7280599363371E-2</v>
      </c>
      <c r="C8404" s="133"/>
    </row>
    <row r="8405" spans="1:3">
      <c r="A8405" s="131" t="s">
        <v>793</v>
      </c>
      <c r="B8405" s="132">
        <v>1.1812236937164731E-3</v>
      </c>
      <c r="C8405" s="133"/>
    </row>
    <row r="8406" spans="1:3">
      <c r="A8406" s="131" t="s">
        <v>794</v>
      </c>
      <c r="B8406" s="132">
        <v>4.4725806273626288E-8</v>
      </c>
      <c r="C8406" s="133"/>
    </row>
    <row r="8407" spans="1:3">
      <c r="A8407" s="131" t="s">
        <v>795</v>
      </c>
      <c r="B8407" s="132">
        <v>6.4455270036222568E-5</v>
      </c>
      <c r="C8407" s="133"/>
    </row>
    <row r="8408" spans="1:3">
      <c r="A8408" s="131" t="s">
        <v>796</v>
      </c>
      <c r="B8408" s="132">
        <v>0.46418107829066912</v>
      </c>
      <c r="C8408" s="133"/>
    </row>
    <row r="8409" spans="1:3">
      <c r="A8409" s="131" t="s">
        <v>797</v>
      </c>
      <c r="B8409" s="132">
        <v>8.4463229471400461E-2</v>
      </c>
      <c r="C8409" s="133"/>
    </row>
    <row r="8410" spans="1:3">
      <c r="A8410" s="131" t="s">
        <v>798</v>
      </c>
      <c r="B8410" s="132">
        <v>2.0216614691785351E-3</v>
      </c>
      <c r="C8410" s="133"/>
    </row>
    <row r="8411" spans="1:3">
      <c r="A8411" s="131" t="s">
        <v>799</v>
      </c>
      <c r="B8411" s="132">
        <v>9.7458169992435022E-4</v>
      </c>
      <c r="C8411" s="133"/>
    </row>
    <row r="8412" spans="1:3">
      <c r="A8412" s="131" t="s">
        <v>800</v>
      </c>
      <c r="B8412" s="132">
        <v>3.3760785218871657E-3</v>
      </c>
      <c r="C8412" s="133"/>
    </row>
    <row r="8413" spans="1:3">
      <c r="A8413" s="131" t="s">
        <v>801</v>
      </c>
      <c r="B8413" s="132">
        <v>0.2963931011082282</v>
      </c>
      <c r="C8413" s="133"/>
    </row>
    <row r="8414" spans="1:3">
      <c r="A8414" s="131" t="s">
        <v>802</v>
      </c>
      <c r="B8414" s="132">
        <v>1.1619271211896705</v>
      </c>
      <c r="C8414" s="133"/>
    </row>
    <row r="8415" spans="1:3">
      <c r="A8415" s="131" t="s">
        <v>803</v>
      </c>
      <c r="B8415" s="132">
        <v>4.5527902009529275E-2</v>
      </c>
      <c r="C8415" s="133"/>
    </row>
    <row r="8416" spans="1:3">
      <c r="A8416" s="131" t="s">
        <v>804</v>
      </c>
      <c r="B8416" s="132">
        <v>0.10226122589223818</v>
      </c>
      <c r="C8416" s="133"/>
    </row>
    <row r="8417" spans="1:3">
      <c r="A8417" s="131" t="s">
        <v>805</v>
      </c>
      <c r="B8417" s="132">
        <v>2.767929406511676E-9</v>
      </c>
      <c r="C8417" s="133"/>
    </row>
    <row r="8418" spans="1:3">
      <c r="A8418" s="131" t="s">
        <v>806</v>
      </c>
      <c r="B8418" s="132">
        <v>6.1006913640277566E-4</v>
      </c>
      <c r="C8418" s="133"/>
    </row>
    <row r="8419" spans="1:3">
      <c r="A8419" s="131" t="s">
        <v>807</v>
      </c>
      <c r="B8419" s="132">
        <v>42.6</v>
      </c>
      <c r="C8419" s="133"/>
    </row>
    <row r="8420" spans="1:3">
      <c r="A8420" s="131" t="s">
        <v>808</v>
      </c>
      <c r="B8420" s="132">
        <v>181.57</v>
      </c>
      <c r="C8420" s="133"/>
    </row>
    <row r="8421" spans="1:3">
      <c r="A8421" s="131" t="s">
        <v>809</v>
      </c>
      <c r="B8421" s="132">
        <v>1.2006000000000046E-2</v>
      </c>
      <c r="C8421" s="133"/>
    </row>
    <row r="8422" spans="1:3">
      <c r="A8422" s="131" t="s">
        <v>810</v>
      </c>
      <c r="B8422" s="132">
        <v>1.9797871163452475E-2</v>
      </c>
      <c r="C8422" s="133"/>
    </row>
    <row r="8423" spans="1:3">
      <c r="A8423" s="131" t="s">
        <v>811</v>
      </c>
      <c r="B8423" s="132">
        <v>90.576395365606999</v>
      </c>
      <c r="C8423" s="133"/>
    </row>
    <row r="8424" spans="1:3">
      <c r="A8424" s="131" t="s">
        <v>812</v>
      </c>
      <c r="B8424" s="132">
        <v>1.1076893700407578E-3</v>
      </c>
      <c r="C8424" s="133"/>
    </row>
    <row r="8425" spans="1:3">
      <c r="A8425" s="131" t="s">
        <v>813</v>
      </c>
      <c r="B8425" s="132">
        <v>9.7222860401818656E-2</v>
      </c>
      <c r="C8425" s="133"/>
    </row>
    <row r="8426" spans="1:3">
      <c r="A8426" s="131" t="s">
        <v>814</v>
      </c>
      <c r="B8426" s="132">
        <v>141.71</v>
      </c>
      <c r="C8426" s="133"/>
    </row>
    <row r="8427" spans="1:3">
      <c r="A8427" s="131" t="s">
        <v>815</v>
      </c>
      <c r="B8427" s="132">
        <v>6.906486423184155E-2</v>
      </c>
      <c r="C8427" s="133"/>
    </row>
    <row r="8428" spans="1:3">
      <c r="A8428" s="131" t="s">
        <v>816</v>
      </c>
      <c r="B8428" s="132">
        <v>251.88</v>
      </c>
      <c r="C8428" s="133"/>
    </row>
    <row r="8429" spans="1:3">
      <c r="A8429" s="131" t="s">
        <v>817</v>
      </c>
      <c r="B8429" s="132">
        <v>1.2835994697168564E-2</v>
      </c>
      <c r="C8429" s="133"/>
    </row>
    <row r="8430" spans="1:3">
      <c r="A8430" s="131" t="s">
        <v>818</v>
      </c>
      <c r="B8430" s="132">
        <v>1.1712331397161924</v>
      </c>
      <c r="C8430" s="133"/>
    </row>
    <row r="8431" spans="1:3">
      <c r="A8431" s="131" t="s">
        <v>819</v>
      </c>
      <c r="B8431" s="132">
        <v>1.1893037638245062E-18</v>
      </c>
      <c r="C8431" s="133"/>
    </row>
    <row r="8432" spans="1:3">
      <c r="A8432" s="131" t="s">
        <v>820</v>
      </c>
      <c r="B8432" s="132">
        <v>9.05553006E-5</v>
      </c>
      <c r="C8432" s="133"/>
    </row>
    <row r="8433" spans="1:3">
      <c r="A8433" s="131" t="s">
        <v>821</v>
      </c>
      <c r="B8433" s="132">
        <v>5.0738262819820114E-2</v>
      </c>
      <c r="C8433" s="133"/>
    </row>
    <row r="8434" spans="1:3">
      <c r="A8434" s="131" t="s">
        <v>822</v>
      </c>
      <c r="B8434" s="132">
        <v>39.020000000000003</v>
      </c>
      <c r="C8434" s="133"/>
    </row>
    <row r="8435" spans="1:3">
      <c r="A8435" s="131" t="s">
        <v>823</v>
      </c>
      <c r="B8435" s="132">
        <v>1.9092912167383761E-5</v>
      </c>
      <c r="C8435" s="133"/>
    </row>
    <row r="8436" spans="1:3">
      <c r="A8436" s="131" t="s">
        <v>824</v>
      </c>
      <c r="B8436" s="132">
        <v>9.1281558297105839E-3</v>
      </c>
      <c r="C8436" s="133"/>
    </row>
    <row r="8437" spans="1:3">
      <c r="A8437" s="131" t="s">
        <v>825</v>
      </c>
      <c r="B8437" s="132">
        <v>4.4800000000000004</v>
      </c>
      <c r="C8437" s="133"/>
    </row>
    <row r="8438" spans="1:3">
      <c r="A8438" s="131" t="s">
        <v>826</v>
      </c>
      <c r="B8438" s="132">
        <v>4.07</v>
      </c>
      <c r="C8438" s="133"/>
    </row>
    <row r="8439" spans="1:3">
      <c r="A8439" s="131" t="s">
        <v>827</v>
      </c>
      <c r="B8439" s="132">
        <v>1.7773875048846335</v>
      </c>
      <c r="C8439" s="133"/>
    </row>
    <row r="8440" spans="1:3">
      <c r="A8440" s="131" t="s">
        <v>828</v>
      </c>
      <c r="B8440" s="132">
        <v>4.2415760689942461E-2</v>
      </c>
      <c r="C8440" s="133"/>
    </row>
    <row r="8441" spans="1:3">
      <c r="A8441" s="131" t="s">
        <v>829</v>
      </c>
      <c r="B8441" s="132">
        <v>2.1594384136393598E-3</v>
      </c>
      <c r="C8441" s="133"/>
    </row>
    <row r="8442" spans="1:3">
      <c r="A8442" s="131" t="s">
        <v>830</v>
      </c>
      <c r="B8442" s="132">
        <v>18.239999999999998</v>
      </c>
      <c r="C8442" s="133"/>
    </row>
    <row r="8443" spans="1:3">
      <c r="A8443" s="131" t="s">
        <v>831</v>
      </c>
      <c r="B8443" s="132">
        <v>6.6620596389676088</v>
      </c>
      <c r="C8443" s="133"/>
    </row>
    <row r="8444" spans="1:3">
      <c r="A8444" s="131" t="s">
        <v>832</v>
      </c>
      <c r="B8444" s="132">
        <v>0.1768152574470476</v>
      </c>
      <c r="C8444" s="133"/>
    </row>
    <row r="8445" spans="1:3">
      <c r="A8445" s="131" t="s">
        <v>833</v>
      </c>
      <c r="B8445" s="132">
        <v>0.36410614366895855</v>
      </c>
      <c r="C8445" s="133"/>
    </row>
    <row r="8446" spans="1:3">
      <c r="A8446" s="131" t="s">
        <v>834</v>
      </c>
      <c r="B8446" s="132">
        <v>1.47</v>
      </c>
      <c r="C8446" s="133"/>
    </row>
    <row r="8447" spans="1:3">
      <c r="A8447" s="131" t="s">
        <v>835</v>
      </c>
      <c r="B8447" s="132">
        <v>3.79858949445335</v>
      </c>
      <c r="C8447" s="133"/>
    </row>
    <row r="8448" spans="1:3">
      <c r="A8448" s="131" t="s">
        <v>836</v>
      </c>
      <c r="B8448" s="132">
        <v>1.1756324721838114E-2</v>
      </c>
      <c r="C8448" s="133"/>
    </row>
    <row r="8449" spans="1:3">
      <c r="A8449" s="131" t="s">
        <v>837</v>
      </c>
      <c r="B8449" s="132">
        <v>4.2213492669979226E-5</v>
      </c>
      <c r="C8449" s="133"/>
    </row>
    <row r="8450" spans="1:3">
      <c r="A8450" s="131" t="s">
        <v>838</v>
      </c>
      <c r="B8450" s="132">
        <v>2.8325098666666668E-3</v>
      </c>
      <c r="C8450" s="133"/>
    </row>
    <row r="8451" spans="1:3">
      <c r="A8451" s="131" t="s">
        <v>839</v>
      </c>
      <c r="B8451" s="132">
        <v>8.6112807322886509E-2</v>
      </c>
      <c r="C8451" s="133"/>
    </row>
    <row r="8452" spans="1:3">
      <c r="A8452" s="131" t="s">
        <v>840</v>
      </c>
      <c r="B8452" s="132">
        <v>2.7451252226904907E-2</v>
      </c>
      <c r="C8452" s="133"/>
    </row>
    <row r="8453" spans="1:3">
      <c r="A8453" s="131" t="s">
        <v>841</v>
      </c>
      <c r="B8453" s="132">
        <v>3.5354754907603348E-5</v>
      </c>
      <c r="C8453" s="133"/>
    </row>
    <row r="8454" spans="1:3">
      <c r="A8454" s="131" t="s">
        <v>842</v>
      </c>
      <c r="B8454" s="132">
        <v>1.0445595592570622</v>
      </c>
      <c r="C8454" s="133"/>
    </row>
    <row r="8455" spans="1:3">
      <c r="A8455" s="131" t="s">
        <v>843</v>
      </c>
      <c r="B8455" s="132">
        <v>1.8700000047683716</v>
      </c>
      <c r="C8455" s="133"/>
    </row>
    <row r="8456" spans="1:3">
      <c r="A8456" s="131" t="s">
        <v>844</v>
      </c>
      <c r="B8456" s="132">
        <v>0.16805770592726735</v>
      </c>
      <c r="C8456" s="133"/>
    </row>
    <row r="8457" spans="1:3">
      <c r="A8457" s="131" t="s">
        <v>845</v>
      </c>
      <c r="B8457" s="132">
        <v>1.9001393999999994E-5</v>
      </c>
      <c r="C8457" s="133"/>
    </row>
    <row r="8458" spans="1:3">
      <c r="A8458" s="131" t="s">
        <v>846</v>
      </c>
      <c r="B8458" s="132">
        <v>3.161889816330371E-2</v>
      </c>
      <c r="C8458" s="133"/>
    </row>
    <row r="8459" spans="1:3">
      <c r="A8459" s="131" t="s">
        <v>847</v>
      </c>
      <c r="B8459" s="132">
        <v>6.177182890312786E-5</v>
      </c>
      <c r="C8459" s="133"/>
    </row>
    <row r="8460" spans="1:3">
      <c r="A8460" s="131" t="s">
        <v>848</v>
      </c>
      <c r="B8460" s="132">
        <v>9.43</v>
      </c>
      <c r="C8460" s="133"/>
    </row>
    <row r="8461" spans="1:3">
      <c r="A8461" s="131" t="s">
        <v>849</v>
      </c>
      <c r="B8461" s="132">
        <v>2.5499999999999998</v>
      </c>
      <c r="C8461" s="133"/>
    </row>
    <row r="8462" spans="1:3">
      <c r="A8462" s="131" t="s">
        <v>850</v>
      </c>
      <c r="B8462" s="132">
        <v>0.14008782498952466</v>
      </c>
      <c r="C8462" s="133"/>
    </row>
    <row r="8463" spans="1:3">
      <c r="A8463" s="131" t="s">
        <v>851</v>
      </c>
      <c r="B8463" s="132">
        <v>7.0617542732909634E-4</v>
      </c>
      <c r="C8463" s="133"/>
    </row>
    <row r="8464" spans="1:3">
      <c r="A8464" s="131" t="s">
        <v>852</v>
      </c>
      <c r="B8464" s="132">
        <v>5.7497182991529143E-3</v>
      </c>
      <c r="C8464" s="133"/>
    </row>
    <row r="8465" spans="1:3">
      <c r="A8465" s="131" t="s">
        <v>853</v>
      </c>
      <c r="B8465" s="132">
        <v>1.2104917636875955E-16</v>
      </c>
      <c r="C8465" s="133"/>
    </row>
    <row r="8466" spans="1:3">
      <c r="A8466" s="131" t="s">
        <v>854</v>
      </c>
      <c r="B8466" s="132">
        <v>0.68717046427548623</v>
      </c>
      <c r="C8466" s="133"/>
    </row>
    <row r="8467" spans="1:3">
      <c r="A8467" s="131" t="s">
        <v>855</v>
      </c>
      <c r="B8467" s="132">
        <v>1.8611159999999994E-4</v>
      </c>
      <c r="C8467" s="133"/>
    </row>
    <row r="8468" spans="1:3">
      <c r="A8468" s="131" t="s">
        <v>856</v>
      </c>
      <c r="B8468" s="132">
        <v>2.0230398946887747E-8</v>
      </c>
      <c r="C8468" s="133"/>
    </row>
    <row r="8469" spans="1:3">
      <c r="A8469" s="131" t="s">
        <v>857</v>
      </c>
      <c r="B8469" s="132">
        <v>1.3007789993999996E-2</v>
      </c>
      <c r="C8469" s="133"/>
    </row>
    <row r="8470" spans="1:3">
      <c r="A8470" s="131" t="s">
        <v>858</v>
      </c>
      <c r="B8470" s="132">
        <v>1.2300000190734863</v>
      </c>
      <c r="C8470" s="133"/>
    </row>
    <row r="8471" spans="1:3">
      <c r="A8471" s="131" t="s">
        <v>859</v>
      </c>
      <c r="B8471" s="132">
        <v>27.53</v>
      </c>
      <c r="C8471" s="133"/>
    </row>
    <row r="8472" spans="1:3">
      <c r="A8472" s="131" t="s">
        <v>860</v>
      </c>
      <c r="B8472" s="132">
        <v>1.8000180637739536E-3</v>
      </c>
      <c r="C8472" s="133"/>
    </row>
    <row r="8473" spans="1:3">
      <c r="A8473" s="131" t="s">
        <v>861</v>
      </c>
      <c r="B8473" s="132">
        <v>7.7743636335463204E-2</v>
      </c>
      <c r="C8473" s="133"/>
    </row>
    <row r="8474" spans="1:3">
      <c r="A8474" s="131" t="s">
        <v>862</v>
      </c>
      <c r="B8474" s="132">
        <v>3.4428369610128864E-2</v>
      </c>
      <c r="C8474" s="133"/>
    </row>
    <row r="8475" spans="1:3">
      <c r="A8475" s="131" t="s">
        <v>863</v>
      </c>
      <c r="B8475" s="132">
        <v>1.9315125957469019E-6</v>
      </c>
      <c r="C8475" s="133"/>
    </row>
    <row r="8476" spans="1:3">
      <c r="A8476" s="131" t="s">
        <v>864</v>
      </c>
      <c r="B8476" s="132">
        <v>0.15976313909945397</v>
      </c>
      <c r="C8476" s="133"/>
    </row>
    <row r="8477" spans="1:3">
      <c r="A8477" s="131" t="s">
        <v>865</v>
      </c>
      <c r="B8477" s="132">
        <v>42.36</v>
      </c>
      <c r="C8477" s="133"/>
    </row>
    <row r="8478" spans="1:3">
      <c r="A8478" s="131" t="s">
        <v>866</v>
      </c>
      <c r="B8478" s="132">
        <v>133.66999999999999</v>
      </c>
      <c r="C8478" s="133"/>
    </row>
    <row r="8479" spans="1:3">
      <c r="A8479" s="131" t="s">
        <v>867</v>
      </c>
      <c r="B8479" s="132">
        <v>0.26027764375746687</v>
      </c>
      <c r="C8479" s="133"/>
    </row>
    <row r="8480" spans="1:3">
      <c r="A8480" s="131" t="s">
        <v>868</v>
      </c>
      <c r="B8480" s="132">
        <v>2.17</v>
      </c>
      <c r="C8480" s="133"/>
    </row>
    <row r="8481" spans="1:3">
      <c r="A8481" s="131" t="s">
        <v>869</v>
      </c>
      <c r="B8481" s="132">
        <v>2.89</v>
      </c>
      <c r="C8481" s="133"/>
    </row>
    <row r="8482" spans="1:3">
      <c r="A8482" s="131" t="s">
        <v>870</v>
      </c>
      <c r="B8482" s="132">
        <v>0.26742833987207931</v>
      </c>
      <c r="C8482" s="133"/>
    </row>
    <row r="8483" spans="1:3">
      <c r="A8483" s="131" t="s">
        <v>871</v>
      </c>
      <c r="B8483" s="132">
        <v>49.24</v>
      </c>
      <c r="C8483" s="133"/>
    </row>
    <row r="8484" spans="1:3">
      <c r="A8484" s="131" t="s">
        <v>872</v>
      </c>
      <c r="B8484" s="132">
        <v>2.27</v>
      </c>
      <c r="C8484" s="133"/>
    </row>
    <row r="8485" spans="1:3">
      <c r="A8485" s="131" t="s">
        <v>873</v>
      </c>
      <c r="B8485" s="132">
        <v>0.40557296000000004</v>
      </c>
      <c r="C8485" s="133"/>
    </row>
    <row r="8486" spans="1:3">
      <c r="A8486" s="131" t="s">
        <v>874</v>
      </c>
      <c r="B8486" s="132">
        <v>0.12268248877749779</v>
      </c>
      <c r="C8486" s="133"/>
    </row>
    <row r="8487" spans="1:3">
      <c r="A8487" s="131" t="s">
        <v>875</v>
      </c>
      <c r="B8487" s="132">
        <v>8.2181234335329794E-3</v>
      </c>
      <c r="C8487" s="133"/>
    </row>
    <row r="8488" spans="1:3">
      <c r="A8488" s="131" t="s">
        <v>876</v>
      </c>
      <c r="B8488" s="132">
        <v>8.7928468220847648E-3</v>
      </c>
      <c r="C8488" s="133"/>
    </row>
    <row r="8489" spans="1:3">
      <c r="A8489" s="131" t="s">
        <v>3950</v>
      </c>
      <c r="B8489" s="132">
        <v>104.73</v>
      </c>
      <c r="C8489" s="133"/>
    </row>
    <row r="8490" spans="1:3">
      <c r="A8490" s="131" t="s">
        <v>3951</v>
      </c>
      <c r="B8490" s="132">
        <v>89.809343152287312</v>
      </c>
      <c r="C8490" s="133"/>
    </row>
    <row r="8491" spans="1:3">
      <c r="A8491" s="131" t="s">
        <v>3952</v>
      </c>
      <c r="B8491" s="132">
        <v>0.31996443954941689</v>
      </c>
      <c r="C8491" s="133"/>
    </row>
    <row r="8492" spans="1:3">
      <c r="A8492" s="131" t="s">
        <v>3953</v>
      </c>
      <c r="B8492" s="132">
        <v>251.39</v>
      </c>
      <c r="C8492" s="133"/>
    </row>
    <row r="8493" spans="1:3">
      <c r="A8493" s="131" t="s">
        <v>3954</v>
      </c>
      <c r="B8493" s="132">
        <v>1.49</v>
      </c>
      <c r="C8493" s="133"/>
    </row>
    <row r="8494" spans="1:3">
      <c r="A8494" s="131" t="s">
        <v>3955</v>
      </c>
      <c r="B8494" s="132">
        <v>4338.8500000000004</v>
      </c>
      <c r="C8494" s="133"/>
    </row>
    <row r="8495" spans="1:3">
      <c r="A8495" s="131" t="s">
        <v>3956</v>
      </c>
      <c r="B8495" s="132">
        <v>46.31</v>
      </c>
      <c r="C8495" s="133"/>
    </row>
    <row r="8496" spans="1:3">
      <c r="A8496" s="131" t="s">
        <v>3957</v>
      </c>
      <c r="B8496" s="132">
        <v>1.6134574987797363E-3</v>
      </c>
      <c r="C8496" s="133"/>
    </row>
    <row r="8497" spans="1:3">
      <c r="A8497" s="131" t="s">
        <v>3958</v>
      </c>
      <c r="B8497" s="132">
        <v>777.01</v>
      </c>
      <c r="C8497" s="133"/>
    </row>
    <row r="8498" spans="1:3">
      <c r="A8498" s="131" t="s">
        <v>3959</v>
      </c>
      <c r="B8498" s="132">
        <v>0.86003540644955812</v>
      </c>
      <c r="C8498" s="133"/>
    </row>
    <row r="8499" spans="1:3">
      <c r="A8499" s="131" t="s">
        <v>3960</v>
      </c>
      <c r="B8499" s="132">
        <v>0.23914339999999992</v>
      </c>
      <c r="C8499" s="133"/>
    </row>
    <row r="8500" spans="1:3">
      <c r="A8500" s="131" t="s">
        <v>3961</v>
      </c>
      <c r="B8500" s="132">
        <v>0.50634902715682983</v>
      </c>
      <c r="C8500" s="133"/>
    </row>
    <row r="8501" spans="1:3">
      <c r="A8501" s="131" t="s">
        <v>3962</v>
      </c>
      <c r="B8501" s="132">
        <v>1.2873966693878174</v>
      </c>
      <c r="C8501" s="133"/>
    </row>
    <row r="8502" spans="1:3">
      <c r="A8502" s="131" t="s">
        <v>3963</v>
      </c>
      <c r="B8502" s="132">
        <v>2.8014567366666672E-5</v>
      </c>
      <c r="C8502" s="133"/>
    </row>
    <row r="8503" spans="1:3">
      <c r="A8503" s="131" t="s">
        <v>3964</v>
      </c>
      <c r="B8503" s="132">
        <v>0.13880802690982819</v>
      </c>
      <c r="C8503" s="133"/>
    </row>
    <row r="8504" spans="1:3">
      <c r="A8504" s="131" t="s">
        <v>3965</v>
      </c>
      <c r="B8504" s="132">
        <v>4.93</v>
      </c>
      <c r="C8504" s="133"/>
    </row>
    <row r="8505" spans="1:3">
      <c r="A8505" s="131" t="s">
        <v>3966</v>
      </c>
      <c r="B8505" s="132">
        <v>4.483437349928464E-4</v>
      </c>
      <c r="C8505" s="133"/>
    </row>
    <row r="8506" spans="1:3">
      <c r="A8506" s="131" t="s">
        <v>3967</v>
      </c>
      <c r="B8506" s="132">
        <v>1.6485241751277087</v>
      </c>
      <c r="C8506" s="133"/>
    </row>
    <row r="8507" spans="1:3">
      <c r="A8507" s="131" t="s">
        <v>3968</v>
      </c>
      <c r="B8507" s="132">
        <v>0.17159936999358782</v>
      </c>
      <c r="C8507" s="133"/>
    </row>
    <row r="8508" spans="1:3">
      <c r="A8508" s="131" t="s">
        <v>3969</v>
      </c>
      <c r="B8508" s="132">
        <v>1.1832361892310916E-2</v>
      </c>
      <c r="C8508" s="133"/>
    </row>
    <row r="8509" spans="1:3">
      <c r="A8509" s="131" t="s">
        <v>3970</v>
      </c>
      <c r="B8509" s="132">
        <v>3.8480307435745571E-4</v>
      </c>
      <c r="C8509" s="133"/>
    </row>
    <row r="8510" spans="1:3">
      <c r="A8510" s="131" t="s">
        <v>3971</v>
      </c>
      <c r="B8510" s="132">
        <v>0.63693491581862582</v>
      </c>
      <c r="C8510" s="133"/>
    </row>
    <row r="8511" spans="1:3">
      <c r="A8511" s="131" t="s">
        <v>3972</v>
      </c>
      <c r="B8511" s="132">
        <v>0.73023842522617033</v>
      </c>
      <c r="C8511" s="133"/>
    </row>
    <row r="8512" spans="1:3">
      <c r="A8512" s="131" t="s">
        <v>3973</v>
      </c>
      <c r="B8512" s="132">
        <v>552.58000000000004</v>
      </c>
      <c r="C8512" s="133"/>
    </row>
    <row r="8513" spans="1:3">
      <c r="A8513" s="131" t="s">
        <v>3974</v>
      </c>
      <c r="B8513" s="132">
        <v>4.46</v>
      </c>
      <c r="C8513" s="133"/>
    </row>
    <row r="8514" spans="1:3">
      <c r="A8514" s="131" t="s">
        <v>3975</v>
      </c>
      <c r="B8514" s="132">
        <v>61.54</v>
      </c>
      <c r="C8514" s="133"/>
    </row>
    <row r="8515" spans="1:3">
      <c r="A8515" s="131" t="s">
        <v>3976</v>
      </c>
      <c r="B8515" s="132">
        <v>2.2340000214171596E-6</v>
      </c>
      <c r="C8515" s="133"/>
    </row>
    <row r="8516" spans="1:3">
      <c r="A8516" s="131" t="s">
        <v>3977</v>
      </c>
      <c r="B8516" s="132">
        <v>8.6360106227151012E-2</v>
      </c>
      <c r="C8516" s="133"/>
    </row>
    <row r="8517" spans="1:3">
      <c r="A8517" s="131" t="s">
        <v>3978</v>
      </c>
      <c r="B8517" s="132">
        <v>4.1208942316844459E-3</v>
      </c>
      <c r="C8517" s="133"/>
    </row>
    <row r="8518" spans="1:3">
      <c r="A8518" s="131" t="s">
        <v>3979</v>
      </c>
      <c r="B8518" s="132">
        <v>1.6790834077434692E-10</v>
      </c>
      <c r="C8518" s="133"/>
    </row>
    <row r="8519" spans="1:3">
      <c r="A8519" s="131" t="s">
        <v>3980</v>
      </c>
      <c r="B8519" s="132">
        <v>7.5042499999999992E-9</v>
      </c>
      <c r="C8519" s="133"/>
    </row>
    <row r="8520" spans="1:3">
      <c r="A8520" s="131" t="s">
        <v>3981</v>
      </c>
      <c r="B8520" s="132">
        <v>5.1885625939568532E-2</v>
      </c>
      <c r="C8520" s="133"/>
    </row>
    <row r="8521" spans="1:3">
      <c r="A8521" s="131" t="s">
        <v>3982</v>
      </c>
      <c r="B8521" s="132">
        <v>8.34</v>
      </c>
      <c r="C8521" s="133"/>
    </row>
    <row r="8522" spans="1:3">
      <c r="A8522" s="131" t="s">
        <v>3983</v>
      </c>
      <c r="B8522" s="132">
        <v>5.7032299999999999E-5</v>
      </c>
      <c r="C8522" s="133"/>
    </row>
    <row r="8523" spans="1:3">
      <c r="A8523" s="131" t="s">
        <v>3984</v>
      </c>
      <c r="B8523" s="132">
        <v>2.5594039424785803E-2</v>
      </c>
      <c r="C8523" s="133"/>
    </row>
    <row r="8524" spans="1:3">
      <c r="A8524" s="131" t="s">
        <v>3985</v>
      </c>
      <c r="B8524" s="132">
        <v>7.9488605998820332E-3</v>
      </c>
      <c r="C8524" s="133"/>
    </row>
    <row r="8525" spans="1:3">
      <c r="A8525" s="131" t="s">
        <v>3986</v>
      </c>
      <c r="B8525" s="132">
        <v>8.33</v>
      </c>
      <c r="C8525" s="133"/>
    </row>
    <row r="8526" spans="1:3">
      <c r="A8526" s="131" t="s">
        <v>3987</v>
      </c>
      <c r="B8526" s="132">
        <v>1.5159314665183892</v>
      </c>
      <c r="C8526" s="133"/>
    </row>
    <row r="8527" spans="1:3">
      <c r="A8527" s="131" t="s">
        <v>3988</v>
      </c>
      <c r="B8527" s="132">
        <v>0.5660838480241932</v>
      </c>
      <c r="C8527" s="133"/>
    </row>
    <row r="8528" spans="1:3">
      <c r="A8528" s="131" t="s">
        <v>3989</v>
      </c>
      <c r="B8528" s="132">
        <v>6.812033499390345E-2</v>
      </c>
      <c r="C8528" s="133"/>
    </row>
    <row r="8529" spans="1:3">
      <c r="A8529" s="131" t="s">
        <v>3990</v>
      </c>
      <c r="B8529" s="132">
        <v>0.21350490966771168</v>
      </c>
      <c r="C8529" s="133"/>
    </row>
    <row r="8530" spans="1:3">
      <c r="A8530" s="131" t="s">
        <v>3991</v>
      </c>
      <c r="B8530" s="132">
        <v>0.28587385087426853</v>
      </c>
      <c r="C8530" s="133"/>
    </row>
    <row r="8531" spans="1:3">
      <c r="A8531" s="131" t="s">
        <v>3992</v>
      </c>
      <c r="B8531" s="132">
        <v>1.1936876458800323E-10</v>
      </c>
      <c r="C8531" s="133"/>
    </row>
    <row r="8532" spans="1:3">
      <c r="A8532" s="131" t="s">
        <v>3993</v>
      </c>
      <c r="B8532" s="132">
        <v>2.13</v>
      </c>
      <c r="C8532" s="133"/>
    </row>
    <row r="8533" spans="1:3">
      <c r="A8533" s="131" t="s">
        <v>3994</v>
      </c>
      <c r="B8533" s="132">
        <v>0.11487547308206558</v>
      </c>
      <c r="C8533" s="133"/>
    </row>
    <row r="8534" spans="1:3">
      <c r="A8534" s="131" t="s">
        <v>3995</v>
      </c>
      <c r="B8534" s="132">
        <v>259.45</v>
      </c>
      <c r="C8534" s="133"/>
    </row>
    <row r="8535" spans="1:3">
      <c r="A8535" s="131" t="s">
        <v>3996</v>
      </c>
      <c r="B8535" s="132">
        <v>1585.53</v>
      </c>
      <c r="C8535" s="133"/>
    </row>
    <row r="8536" spans="1:3">
      <c r="A8536" s="131" t="s">
        <v>3997</v>
      </c>
      <c r="B8536" s="132">
        <v>7211.2</v>
      </c>
      <c r="C8536" s="133"/>
    </row>
    <row r="8537" spans="1:3">
      <c r="A8537" s="131" t="s">
        <v>3998</v>
      </c>
      <c r="B8537" s="132">
        <v>1.5428265461242907E-3</v>
      </c>
      <c r="C8537" s="133"/>
    </row>
    <row r="8538" spans="1:3">
      <c r="A8538" s="131" t="s">
        <v>3999</v>
      </c>
      <c r="B8538" s="132">
        <v>2.41</v>
      </c>
      <c r="C8538" s="133"/>
    </row>
    <row r="8539" spans="1:3">
      <c r="A8539" s="131" t="s">
        <v>4000</v>
      </c>
      <c r="B8539" s="132">
        <v>3.9896112161907866E-7</v>
      </c>
      <c r="C8539" s="133"/>
    </row>
    <row r="8540" spans="1:3">
      <c r="A8540" s="131" t="s">
        <v>4001</v>
      </c>
      <c r="B8540" s="132">
        <v>4353.7426221834994</v>
      </c>
      <c r="C8540" s="133"/>
    </row>
    <row r="8541" spans="1:3">
      <c r="A8541" s="131" t="s">
        <v>4002</v>
      </c>
      <c r="B8541" s="132">
        <v>1.1587176533333332</v>
      </c>
      <c r="C8541" s="133"/>
    </row>
    <row r="8542" spans="1:3">
      <c r="A8542" s="131" t="s">
        <v>4003</v>
      </c>
      <c r="B8542" s="132">
        <v>0.77443533428459177</v>
      </c>
      <c r="C8542" s="133"/>
    </row>
    <row r="8543" spans="1:3">
      <c r="A8543" s="131" t="s">
        <v>4004</v>
      </c>
      <c r="B8543" s="132">
        <v>2.24636882723987E-8</v>
      </c>
      <c r="C8543" s="133"/>
    </row>
    <row r="8544" spans="1:3">
      <c r="A8544" s="131" t="s">
        <v>4005</v>
      </c>
      <c r="B8544" s="132">
        <v>5.5757013139713256E-2</v>
      </c>
      <c r="C8544" s="133"/>
    </row>
    <row r="8545" spans="1:3">
      <c r="A8545" s="131" t="s">
        <v>4006</v>
      </c>
      <c r="B8545" s="132">
        <v>182.61</v>
      </c>
      <c r="C8545" s="133"/>
    </row>
    <row r="8546" spans="1:3">
      <c r="A8546" s="131" t="s">
        <v>4007</v>
      </c>
      <c r="B8546" s="132">
        <v>4.0408365374988544E-3</v>
      </c>
      <c r="C8546" s="133"/>
    </row>
    <row r="8547" spans="1:3">
      <c r="A8547" s="131" t="s">
        <v>4008</v>
      </c>
      <c r="B8547" s="132">
        <v>69.62</v>
      </c>
      <c r="C8547" s="133"/>
    </row>
    <row r="8548" spans="1:3">
      <c r="A8548" s="131" t="s">
        <v>4009</v>
      </c>
      <c r="B8548" s="132">
        <v>14.34</v>
      </c>
      <c r="C8548" s="133"/>
    </row>
    <row r="8549" spans="1:3">
      <c r="A8549" s="131" t="s">
        <v>4010</v>
      </c>
      <c r="B8549" s="132">
        <v>23.92</v>
      </c>
      <c r="C8549" s="133"/>
    </row>
    <row r="8550" spans="1:3">
      <c r="A8550" s="131" t="s">
        <v>4011</v>
      </c>
      <c r="B8550" s="132">
        <v>1793.82</v>
      </c>
      <c r="C8550" s="133"/>
    </row>
    <row r="8551" spans="1:3">
      <c r="A8551" s="131" t="s">
        <v>4012</v>
      </c>
      <c r="B8551" s="132">
        <v>254.51</v>
      </c>
      <c r="C8551" s="133"/>
    </row>
    <row r="8552" spans="1:3">
      <c r="A8552" s="131" t="s">
        <v>4013</v>
      </c>
      <c r="B8552" s="132">
        <v>1.0727826880856872</v>
      </c>
      <c r="C8552" s="133"/>
    </row>
    <row r="8553" spans="1:3">
      <c r="A8553" s="131" t="s">
        <v>4014</v>
      </c>
      <c r="B8553" s="132">
        <v>5.68</v>
      </c>
      <c r="C8553" s="133"/>
    </row>
    <row r="8554" spans="1:3">
      <c r="A8554" s="131" t="s">
        <v>4015</v>
      </c>
      <c r="B8554" s="132">
        <v>28.8</v>
      </c>
      <c r="C8554" s="133"/>
    </row>
    <row r="8555" spans="1:3">
      <c r="A8555" s="131" t="s">
        <v>4016</v>
      </c>
      <c r="B8555" s="132">
        <v>0.13159561333333333</v>
      </c>
      <c r="C8555" s="133"/>
    </row>
    <row r="8556" spans="1:3">
      <c r="A8556" s="131" t="s">
        <v>4017</v>
      </c>
      <c r="B8556" s="132">
        <v>0.32783777372271689</v>
      </c>
      <c r="C8556" s="133"/>
    </row>
    <row r="8557" spans="1:3">
      <c r="A8557" s="131" t="s">
        <v>4018</v>
      </c>
      <c r="B8557" s="132">
        <v>1.0000666666666666E-7</v>
      </c>
      <c r="C8557" s="133"/>
    </row>
    <row r="8558" spans="1:3">
      <c r="A8558" s="131" t="s">
        <v>4019</v>
      </c>
      <c r="B8558" s="132">
        <v>3.2860164913413477E-4</v>
      </c>
      <c r="C8558" s="133"/>
    </row>
    <row r="8559" spans="1:3">
      <c r="A8559" s="131" t="s">
        <v>4020</v>
      </c>
      <c r="B8559" s="132">
        <v>4145.93</v>
      </c>
      <c r="C8559" s="133"/>
    </row>
    <row r="8560" spans="1:3">
      <c r="A8560" s="131" t="s">
        <v>4021</v>
      </c>
      <c r="B8560" s="132">
        <v>0.18019199371337891</v>
      </c>
      <c r="C8560" s="133"/>
    </row>
    <row r="8561" spans="1:3">
      <c r="A8561" s="131" t="s">
        <v>4022</v>
      </c>
      <c r="B8561" s="132">
        <v>2.9633978588949986E-11</v>
      </c>
      <c r="C8561" s="133"/>
    </row>
    <row r="8562" spans="1:3">
      <c r="A8562" s="131" t="s">
        <v>4023</v>
      </c>
      <c r="B8562" s="132">
        <v>0.14490987282835702</v>
      </c>
      <c r="C8562" s="133"/>
    </row>
    <row r="8563" spans="1:3">
      <c r="A8563" s="131" t="s">
        <v>4024</v>
      </c>
      <c r="B8563" s="132">
        <v>5.5569623635074339E-2</v>
      </c>
      <c r="C8563" s="133"/>
    </row>
    <row r="8564" spans="1:3">
      <c r="A8564" s="131" t="s">
        <v>4025</v>
      </c>
      <c r="B8564" s="132">
        <v>0.33243875114625454</v>
      </c>
      <c r="C8564" s="133"/>
    </row>
    <row r="8565" spans="1:3">
      <c r="A8565" s="131" t="s">
        <v>4026</v>
      </c>
      <c r="B8565" s="132">
        <v>0.10123373333333333</v>
      </c>
      <c r="C8565" s="133"/>
    </row>
    <row r="8566" spans="1:3">
      <c r="A8566" s="131" t="s">
        <v>4027</v>
      </c>
      <c r="B8566" s="132">
        <v>4.5581637461380511E-2</v>
      </c>
      <c r="C8566" s="133"/>
    </row>
    <row r="8567" spans="1:3">
      <c r="A8567" s="131" t="s">
        <v>4028</v>
      </c>
      <c r="B8567" s="132">
        <v>103.17</v>
      </c>
      <c r="C8567" s="133"/>
    </row>
    <row r="8568" spans="1:3">
      <c r="A8568" s="131" t="s">
        <v>4029</v>
      </c>
      <c r="B8568" s="132">
        <v>521.45200763416017</v>
      </c>
      <c r="C8568" s="133"/>
    </row>
    <row r="8569" spans="1:3">
      <c r="A8569" s="131" t="s">
        <v>4030</v>
      </c>
      <c r="B8569" s="132">
        <v>26.46</v>
      </c>
      <c r="C8569" s="133"/>
    </row>
    <row r="8570" spans="1:3">
      <c r="A8570" s="131" t="s">
        <v>4031</v>
      </c>
      <c r="B8570" s="132">
        <v>0.7710562035622488</v>
      </c>
      <c r="C8570" s="133"/>
    </row>
    <row r="8571" spans="1:3">
      <c r="A8571" s="131" t="s">
        <v>4032</v>
      </c>
      <c r="B8571" s="132">
        <v>2.04513495644645</v>
      </c>
      <c r="C8571" s="133"/>
    </row>
    <row r="8572" spans="1:3">
      <c r="A8572" s="131" t="s">
        <v>4033</v>
      </c>
      <c r="B8572" s="132">
        <v>1.0747049772721975</v>
      </c>
      <c r="C8572" s="133"/>
    </row>
    <row r="8573" spans="1:3">
      <c r="A8573" s="131" t="s">
        <v>4034</v>
      </c>
      <c r="B8573" s="132">
        <v>390.43</v>
      </c>
      <c r="C8573" s="133"/>
    </row>
    <row r="8574" spans="1:3">
      <c r="A8574" s="131" t="s">
        <v>4035</v>
      </c>
      <c r="B8574" s="132">
        <v>1.4874639922898681E-2</v>
      </c>
      <c r="C8574" s="133"/>
    </row>
    <row r="8575" spans="1:3">
      <c r="A8575" s="131" t="s">
        <v>4036</v>
      </c>
      <c r="B8575" s="132">
        <v>540.14</v>
      </c>
      <c r="C8575" s="133"/>
    </row>
    <row r="8576" spans="1:3">
      <c r="A8576" s="131" t="s">
        <v>4037</v>
      </c>
      <c r="B8576" s="132">
        <v>0.69196174867656401</v>
      </c>
      <c r="C8576" s="133"/>
    </row>
    <row r="8577" spans="1:3">
      <c r="A8577" s="131" t="s">
        <v>4038</v>
      </c>
      <c r="B8577" s="132">
        <v>3.2007467001676559E-2</v>
      </c>
      <c r="C8577" s="133"/>
    </row>
    <row r="8578" spans="1:3">
      <c r="A8578" s="131" t="s">
        <v>4039</v>
      </c>
      <c r="B8578" s="132">
        <v>12328.951833282499</v>
      </c>
      <c r="C8578" s="133"/>
    </row>
    <row r="8579" spans="1:3">
      <c r="A8579" s="131" t="s">
        <v>4040</v>
      </c>
      <c r="B8579" s="132">
        <v>146.38999999999999</v>
      </c>
      <c r="C8579" s="133"/>
    </row>
    <row r="8580" spans="1:3">
      <c r="A8580" s="131" t="s">
        <v>4041</v>
      </c>
      <c r="B8580" s="132">
        <v>1.0178990789291473</v>
      </c>
      <c r="C8580" s="133"/>
    </row>
    <row r="8581" spans="1:3">
      <c r="A8581" s="131" t="s">
        <v>4042</v>
      </c>
      <c r="B8581" s="132">
        <v>6.0070745374014682E-2</v>
      </c>
      <c r="C8581" s="133"/>
    </row>
    <row r="8582" spans="1:3">
      <c r="A8582" s="131" t="s">
        <v>4043</v>
      </c>
      <c r="B8582" s="132">
        <v>0.68535869149925088</v>
      </c>
      <c r="C8582" s="133"/>
    </row>
    <row r="8583" spans="1:3">
      <c r="A8583" s="131" t="s">
        <v>4044</v>
      </c>
      <c r="B8583" s="132">
        <v>2.700891112908721E-3</v>
      </c>
      <c r="C8583" s="133"/>
    </row>
    <row r="8584" spans="1:3">
      <c r="A8584" s="131" t="s">
        <v>4045</v>
      </c>
      <c r="B8584" s="132">
        <v>26.14</v>
      </c>
      <c r="C8584" s="133"/>
    </row>
    <row r="8585" spans="1:3">
      <c r="A8585" s="131" t="s">
        <v>4046</v>
      </c>
      <c r="B8585" s="132">
        <v>4.015297070145607E-2</v>
      </c>
      <c r="C8585" s="133"/>
    </row>
    <row r="8586" spans="1:3">
      <c r="A8586" s="131" t="s">
        <v>4047</v>
      </c>
      <c r="B8586" s="132">
        <v>112.48</v>
      </c>
      <c r="C8586" s="133"/>
    </row>
    <row r="8587" spans="1:3">
      <c r="A8587" s="131" t="s">
        <v>4048</v>
      </c>
      <c r="B8587" s="132">
        <v>9.2607184768047288E-3</v>
      </c>
      <c r="C8587" s="133"/>
    </row>
    <row r="8588" spans="1:3">
      <c r="A8588" s="131" t="s">
        <v>4049</v>
      </c>
      <c r="B8588" s="132">
        <v>0.93376110878386331</v>
      </c>
      <c r="C8588" s="133"/>
    </row>
    <row r="8589" spans="1:3">
      <c r="A8589" s="131" t="s">
        <v>4050</v>
      </c>
      <c r="B8589" s="132">
        <v>48.5</v>
      </c>
      <c r="C8589" s="133"/>
    </row>
    <row r="8590" spans="1:3">
      <c r="A8590" s="131" t="s">
        <v>4051</v>
      </c>
      <c r="B8590" s="132">
        <v>0.1191344713</v>
      </c>
      <c r="C8590" s="133"/>
    </row>
    <row r="8591" spans="1:3">
      <c r="A8591" s="131" t="s">
        <v>4052</v>
      </c>
      <c r="B8591" s="132">
        <v>5.6505649999999996E-7</v>
      </c>
      <c r="C8591" s="133"/>
    </row>
    <row r="8592" spans="1:3">
      <c r="A8592" s="131" t="s">
        <v>4053</v>
      </c>
      <c r="B8592" s="132">
        <v>16.36</v>
      </c>
      <c r="C8592" s="133"/>
    </row>
    <row r="8593" spans="1:3">
      <c r="A8593" s="131" t="s">
        <v>4054</v>
      </c>
      <c r="B8593" s="132">
        <v>4.5931996503203882E-6</v>
      </c>
      <c r="C8593" s="133"/>
    </row>
    <row r="8594" spans="1:3">
      <c r="A8594" s="131" t="s">
        <v>4055</v>
      </c>
      <c r="B8594" s="132">
        <v>5.9473117965778742E-3</v>
      </c>
      <c r="C8594" s="133"/>
    </row>
    <row r="8595" spans="1:3">
      <c r="A8595" s="131" t="s">
        <v>4056</v>
      </c>
      <c r="B8595" s="132">
        <v>0.32335431588202601</v>
      </c>
      <c r="C8595" s="133"/>
    </row>
    <row r="8596" spans="1:3">
      <c r="A8596" s="131" t="s">
        <v>4057</v>
      </c>
      <c r="B8596" s="132">
        <v>1.001346022803435</v>
      </c>
      <c r="C8596" s="133"/>
    </row>
    <row r="8597" spans="1:3">
      <c r="A8597" s="131" t="s">
        <v>4058</v>
      </c>
      <c r="B8597" s="132">
        <v>1035.96</v>
      </c>
      <c r="C8597" s="133"/>
    </row>
    <row r="8598" spans="1:3">
      <c r="A8598" s="131" t="s">
        <v>4059</v>
      </c>
      <c r="B8598" s="132">
        <v>13.8</v>
      </c>
      <c r="C8598" s="133"/>
    </row>
    <row r="8599" spans="1:3">
      <c r="A8599" s="131" t="s">
        <v>4060</v>
      </c>
      <c r="B8599" s="132">
        <v>3547.99</v>
      </c>
      <c r="C8599" s="133"/>
    </row>
    <row r="8600" spans="1:3">
      <c r="A8600" s="131" t="s">
        <v>4061</v>
      </c>
      <c r="B8600" s="132">
        <v>24.54</v>
      </c>
      <c r="C8600" s="133"/>
    </row>
    <row r="8601" spans="1:3">
      <c r="A8601" s="131" t="s">
        <v>4062</v>
      </c>
      <c r="B8601" s="132">
        <v>1.4021664674031999</v>
      </c>
      <c r="C8601" s="133"/>
    </row>
    <row r="8602" spans="1:3">
      <c r="A8602" s="131" t="s">
        <v>4063</v>
      </c>
      <c r="B8602" s="132">
        <v>7.7440176319520757E-2</v>
      </c>
      <c r="C8602" s="133"/>
    </row>
    <row r="8603" spans="1:3">
      <c r="A8603" s="131" t="s">
        <v>4064</v>
      </c>
      <c r="B8603" s="132">
        <v>0.67457956395354235</v>
      </c>
      <c r="C8603" s="133"/>
    </row>
    <row r="8604" spans="1:3">
      <c r="A8604" s="131" t="s">
        <v>4065</v>
      </c>
      <c r="B8604" s="132">
        <v>27.09</v>
      </c>
      <c r="C8604" s="133"/>
    </row>
    <row r="8605" spans="1:3">
      <c r="A8605" s="131" t="s">
        <v>4066</v>
      </c>
      <c r="B8605" s="132">
        <v>4.8075409558666675E-2</v>
      </c>
      <c r="C8605" s="133"/>
    </row>
    <row r="8606" spans="1:3">
      <c r="A8606" s="131" t="s">
        <v>4067</v>
      </c>
      <c r="B8606" s="132">
        <v>4.1503631590767239E-4</v>
      </c>
      <c r="C8606" s="133"/>
    </row>
    <row r="8607" spans="1:3">
      <c r="A8607" s="131" t="s">
        <v>4068</v>
      </c>
      <c r="B8607" s="132">
        <v>1.4998494333333331E-3</v>
      </c>
      <c r="C8607" s="133"/>
    </row>
    <row r="8608" spans="1:3">
      <c r="A8608" s="131" t="s">
        <v>4069</v>
      </c>
      <c r="B8608" s="132">
        <v>4.3375806448435281E-3</v>
      </c>
      <c r="C8608" s="133"/>
    </row>
    <row r="8609" spans="1:3">
      <c r="A8609" s="131" t="s">
        <v>4070</v>
      </c>
      <c r="B8609" s="132">
        <v>9.6474502819954445E-3</v>
      </c>
      <c r="C8609" s="133"/>
    </row>
    <row r="8610" spans="1:3">
      <c r="A8610" s="131" t="s">
        <v>4071</v>
      </c>
      <c r="B8610" s="132">
        <v>1.3877882312214093E-8</v>
      </c>
      <c r="C8610" s="133"/>
    </row>
    <row r="8611" spans="1:3">
      <c r="A8611" s="131" t="s">
        <v>4072</v>
      </c>
      <c r="B8611" s="132">
        <v>1.3017200399190187E-4</v>
      </c>
      <c r="C8611" s="133"/>
    </row>
    <row r="8612" spans="1:3">
      <c r="A8612" s="131" t="s">
        <v>4073</v>
      </c>
      <c r="B8612" s="132">
        <v>1.0523307553653996</v>
      </c>
      <c r="C8612" s="133"/>
    </row>
    <row r="8613" spans="1:3">
      <c r="A8613" s="131" t="s">
        <v>4074</v>
      </c>
      <c r="B8613" s="132">
        <v>1.8760869834909954E-6</v>
      </c>
      <c r="C8613" s="133"/>
    </row>
    <row r="8614" spans="1:3">
      <c r="A8614" s="131" t="s">
        <v>4075</v>
      </c>
      <c r="B8614" s="132">
        <v>9.5134048065771519E-3</v>
      </c>
      <c r="C8614" s="133"/>
    </row>
    <row r="8615" spans="1:3">
      <c r="A8615" s="131" t="s">
        <v>4076</v>
      </c>
      <c r="B8615" s="132">
        <v>1.2</v>
      </c>
      <c r="C8615" s="133"/>
    </row>
    <row r="8616" spans="1:3">
      <c r="A8616" s="131" t="s">
        <v>4077</v>
      </c>
      <c r="B8616" s="132">
        <v>142.61000000000001</v>
      </c>
      <c r="C8616" s="133"/>
    </row>
    <row r="8617" spans="1:3">
      <c r="A8617" s="131" t="s">
        <v>4078</v>
      </c>
      <c r="B8617" s="132">
        <v>4.4669392520791842E-8</v>
      </c>
      <c r="C8617" s="133"/>
    </row>
    <row r="8618" spans="1:3">
      <c r="A8618" s="131" t="s">
        <v>4079</v>
      </c>
      <c r="B8618" s="132">
        <v>2.046724698493553E-2</v>
      </c>
      <c r="C8618" s="133"/>
    </row>
    <row r="8619" spans="1:3">
      <c r="A8619" s="131" t="s">
        <v>4080</v>
      </c>
      <c r="B8619" s="132">
        <v>38.96</v>
      </c>
      <c r="C8619" s="133"/>
    </row>
    <row r="8620" spans="1:3">
      <c r="A8620" s="131" t="s">
        <v>4081</v>
      </c>
      <c r="B8620" s="132">
        <v>7.3377997614443302E-4</v>
      </c>
      <c r="C8620" s="133"/>
    </row>
    <row r="8621" spans="1:3">
      <c r="A8621" s="131" t="s">
        <v>7067</v>
      </c>
      <c r="B8621" s="132">
        <v>47.54</v>
      </c>
      <c r="C8621" s="133"/>
    </row>
    <row r="8622" spans="1:3">
      <c r="A8622" s="131" t="s">
        <v>7068</v>
      </c>
      <c r="B8622" s="132">
        <v>7.01</v>
      </c>
      <c r="C8622" s="133"/>
    </row>
    <row r="8623" spans="1:3">
      <c r="A8623" s="131" t="s">
        <v>7069</v>
      </c>
      <c r="B8623" s="132">
        <v>60.29</v>
      </c>
      <c r="C8623" s="133"/>
    </row>
    <row r="8624" spans="1:3">
      <c r="A8624" s="131" t="s">
        <v>7070</v>
      </c>
      <c r="B8624" s="132">
        <v>311.47000000000003</v>
      </c>
      <c r="C8624" s="133"/>
    </row>
    <row r="8625" spans="1:3">
      <c r="A8625" s="131" t="s">
        <v>7071</v>
      </c>
      <c r="B8625" s="132">
        <v>4451.3900000000003</v>
      </c>
      <c r="C8625" s="133"/>
    </row>
    <row r="8626" spans="1:3">
      <c r="A8626" s="131" t="s">
        <v>7072</v>
      </c>
      <c r="B8626" s="132">
        <v>122.37</v>
      </c>
      <c r="C8626" s="133"/>
    </row>
    <row r="8627" spans="1:3">
      <c r="A8627" s="131" t="s">
        <v>7073</v>
      </c>
      <c r="B8627" s="132">
        <v>21.68</v>
      </c>
      <c r="C8627" s="133"/>
    </row>
    <row r="8628" spans="1:3">
      <c r="A8628" s="131" t="s">
        <v>7074</v>
      </c>
      <c r="B8628" s="132">
        <v>0.19538398822091599</v>
      </c>
      <c r="C8628" s="133"/>
    </row>
    <row r="8629" spans="1:3">
      <c r="A8629" s="131" t="s">
        <v>7075</v>
      </c>
      <c r="B8629" s="132">
        <v>73.400000000000006</v>
      </c>
      <c r="C8629" s="133"/>
    </row>
    <row r="8630" spans="1:3">
      <c r="A8630" s="131" t="s">
        <v>7076</v>
      </c>
      <c r="B8630" s="132">
        <v>6.6751421242345052E-9</v>
      </c>
      <c r="C8630" s="133"/>
    </row>
    <row r="8631" spans="1:3">
      <c r="A8631" s="131" t="s">
        <v>7077</v>
      </c>
      <c r="B8631" s="132">
        <v>2.15</v>
      </c>
      <c r="C8631" s="133"/>
    </row>
    <row r="8632" spans="1:3">
      <c r="A8632" s="131" t="s">
        <v>7078</v>
      </c>
      <c r="B8632" s="132">
        <v>0.64599740505218506</v>
      </c>
      <c r="C8632" s="133"/>
    </row>
    <row r="8633" spans="1:3">
      <c r="A8633" s="131" t="s">
        <v>7079</v>
      </c>
      <c r="B8633" s="132">
        <v>1.5700953618458675</v>
      </c>
      <c r="C8633" s="133"/>
    </row>
    <row r="8634" spans="1:3">
      <c r="A8634" s="131" t="s">
        <v>7080</v>
      </c>
      <c r="B8634" s="132">
        <v>828.91</v>
      </c>
      <c r="C8634" s="133"/>
    </row>
    <row r="8635" spans="1:3">
      <c r="A8635" s="131" t="s">
        <v>7081</v>
      </c>
      <c r="B8635" s="132">
        <v>32.17</v>
      </c>
      <c r="C8635" s="133"/>
    </row>
    <row r="8636" spans="1:3">
      <c r="A8636" s="131" t="s">
        <v>7082</v>
      </c>
      <c r="B8636" s="132">
        <v>639.54</v>
      </c>
      <c r="C8636" s="133"/>
    </row>
    <row r="8637" spans="1:3">
      <c r="A8637" s="131" t="s">
        <v>7083</v>
      </c>
      <c r="B8637" s="132">
        <v>3.91</v>
      </c>
      <c r="C8637" s="133"/>
    </row>
    <row r="8638" spans="1:3">
      <c r="A8638" s="131" t="s">
        <v>7084</v>
      </c>
      <c r="B8638" s="132">
        <v>2.2365837626146596E-2</v>
      </c>
      <c r="C8638" s="133"/>
    </row>
    <row r="8639" spans="1:3">
      <c r="A8639" s="131" t="s">
        <v>7085</v>
      </c>
      <c r="B8639" s="132">
        <v>0.23749707196675818</v>
      </c>
      <c r="C8639" s="133"/>
    </row>
    <row r="8640" spans="1:3">
      <c r="A8640" s="131" t="s">
        <v>7086</v>
      </c>
      <c r="B8640" s="132">
        <v>2.11</v>
      </c>
      <c r="C8640" s="133"/>
    </row>
    <row r="8641" spans="1:3">
      <c r="A8641" s="131" t="s">
        <v>7087</v>
      </c>
      <c r="B8641" s="132">
        <v>0.37743174107610089</v>
      </c>
      <c r="C8641" s="133"/>
    </row>
    <row r="8642" spans="1:3">
      <c r="A8642" s="131" t="s">
        <v>7088</v>
      </c>
      <c r="B8642" s="132">
        <v>0.11599533766048073</v>
      </c>
      <c r="C8642" s="133"/>
    </row>
    <row r="8643" spans="1:3">
      <c r="A8643" s="131" t="s">
        <v>7089</v>
      </c>
      <c r="B8643" s="132">
        <v>2.36</v>
      </c>
      <c r="C8643" s="133"/>
    </row>
    <row r="8644" spans="1:3">
      <c r="A8644" s="131" t="s">
        <v>7090</v>
      </c>
      <c r="B8644" s="132">
        <v>0.41611890039310595</v>
      </c>
      <c r="C8644" s="133"/>
    </row>
    <row r="8645" spans="1:3">
      <c r="A8645" s="131" t="s">
        <v>7091</v>
      </c>
      <c r="B8645" s="132">
        <v>12.87</v>
      </c>
      <c r="C8645" s="133"/>
    </row>
    <row r="8646" spans="1:3">
      <c r="A8646" s="131" t="s">
        <v>7092</v>
      </c>
      <c r="B8646" s="132">
        <v>5.4060674735624953E-2</v>
      </c>
      <c r="C8646" s="133"/>
    </row>
    <row r="8647" spans="1:3">
      <c r="A8647" s="131" t="s">
        <v>7093</v>
      </c>
      <c r="B8647" s="132">
        <v>27.54</v>
      </c>
      <c r="C8647" s="133"/>
    </row>
    <row r="8648" spans="1:3">
      <c r="A8648" s="131" t="s">
        <v>7094</v>
      </c>
      <c r="B8648" s="132">
        <v>425.3</v>
      </c>
      <c r="C8648" s="133"/>
    </row>
    <row r="8649" spans="1:3">
      <c r="A8649" s="131" t="s">
        <v>7095</v>
      </c>
      <c r="B8649" s="132">
        <v>8.7524393829754576E-2</v>
      </c>
      <c r="C8649" s="133"/>
    </row>
    <row r="8650" spans="1:3">
      <c r="A8650" s="131" t="s">
        <v>7096</v>
      </c>
      <c r="B8650" s="132">
        <v>1.7658082907671967E-2</v>
      </c>
      <c r="C8650" s="133"/>
    </row>
    <row r="8651" spans="1:3">
      <c r="A8651" s="131" t="s">
        <v>7097</v>
      </c>
      <c r="B8651" s="132">
        <v>61634</v>
      </c>
      <c r="C8651" s="133"/>
    </row>
    <row r="8652" spans="1:3">
      <c r="A8652" s="131" t="s">
        <v>7098</v>
      </c>
      <c r="B8652" s="132">
        <v>115.01</v>
      </c>
      <c r="C8652" s="133"/>
    </row>
    <row r="8653" spans="1:3">
      <c r="A8653" s="131" t="s">
        <v>7099</v>
      </c>
      <c r="B8653" s="132">
        <v>17561</v>
      </c>
      <c r="C8653" s="133"/>
    </row>
    <row r="8654" spans="1:3">
      <c r="A8654" s="131" t="s">
        <v>7100</v>
      </c>
      <c r="B8654" s="132">
        <v>108.55</v>
      </c>
      <c r="C8654" s="133"/>
    </row>
    <row r="8655" spans="1:3">
      <c r="A8655" s="131" t="s">
        <v>7101</v>
      </c>
      <c r="B8655" s="132">
        <v>0.11390797909834804</v>
      </c>
      <c r="C8655" s="133"/>
    </row>
    <row r="8656" spans="1:3">
      <c r="A8656" s="131" t="s">
        <v>7102</v>
      </c>
      <c r="B8656" s="132">
        <v>21</v>
      </c>
      <c r="C8656" s="133"/>
    </row>
    <row r="8657" spans="1:3">
      <c r="A8657" s="131" t="s">
        <v>7103</v>
      </c>
      <c r="B8657" s="132">
        <v>3.2447612124843804E-10</v>
      </c>
      <c r="C8657" s="133"/>
    </row>
    <row r="8658" spans="1:3">
      <c r="A8658" s="131" t="s">
        <v>7104</v>
      </c>
      <c r="B8658" s="132">
        <v>4317.8900000000003</v>
      </c>
      <c r="C8658" s="133"/>
    </row>
    <row r="8659" spans="1:3">
      <c r="A8659" s="131" t="s">
        <v>7105</v>
      </c>
      <c r="B8659" s="132">
        <v>2.1934870725477126E-5</v>
      </c>
      <c r="C8659" s="133"/>
    </row>
    <row r="8660" spans="1:3">
      <c r="A8660" s="131" t="s">
        <v>7106</v>
      </c>
      <c r="B8660" s="132">
        <v>0.40461136410069631</v>
      </c>
      <c r="C8660" s="133"/>
    </row>
    <row r="8661" spans="1:3">
      <c r="A8661" s="131" t="s">
        <v>7107</v>
      </c>
      <c r="B8661" s="132">
        <v>32.42</v>
      </c>
      <c r="C8661" s="133"/>
    </row>
    <row r="8662" spans="1:3">
      <c r="A8662" s="131" t="s">
        <v>7108</v>
      </c>
      <c r="B8662" s="132">
        <v>9.8433911878001989E-3</v>
      </c>
      <c r="C8662" s="133"/>
    </row>
    <row r="8663" spans="1:3">
      <c r="A8663" s="131" t="s">
        <v>7109</v>
      </c>
      <c r="B8663" s="132">
        <v>7.5912542641162872E-2</v>
      </c>
      <c r="C8663" s="133"/>
    </row>
    <row r="8664" spans="1:3">
      <c r="A8664" s="131" t="s">
        <v>7110</v>
      </c>
      <c r="B8664" s="132">
        <v>7.7769036564884464E-11</v>
      </c>
      <c r="C8664" s="133"/>
    </row>
    <row r="8665" spans="1:3">
      <c r="A8665" s="131" t="s">
        <v>7111</v>
      </c>
      <c r="B8665" s="132">
        <v>0.13351905296362787</v>
      </c>
      <c r="C8665" s="133"/>
    </row>
    <row r="8666" spans="1:3">
      <c r="A8666" s="131" t="s">
        <v>7112</v>
      </c>
      <c r="B8666" s="132">
        <v>21.62</v>
      </c>
      <c r="C8666" s="133"/>
    </row>
    <row r="8667" spans="1:3">
      <c r="A8667" s="131" t="s">
        <v>7113</v>
      </c>
      <c r="B8667" s="132">
        <v>0.67206822926779042</v>
      </c>
      <c r="C8667" s="133"/>
    </row>
    <row r="8668" spans="1:3">
      <c r="A8668" s="131" t="s">
        <v>7114</v>
      </c>
      <c r="B8668" s="132">
        <v>56.47</v>
      </c>
      <c r="C8668" s="133"/>
    </row>
    <row r="8669" spans="1:3">
      <c r="A8669" s="131" t="s">
        <v>7115</v>
      </c>
      <c r="B8669" s="132">
        <v>0.52429034179455658</v>
      </c>
      <c r="C8669" s="133"/>
    </row>
    <row r="8670" spans="1:3">
      <c r="A8670" s="131" t="s">
        <v>7116</v>
      </c>
      <c r="B8670" s="132">
        <v>2005.86</v>
      </c>
      <c r="C8670" s="133"/>
    </row>
    <row r="8671" spans="1:3">
      <c r="A8671" s="131" t="s">
        <v>7117</v>
      </c>
      <c r="B8671" s="132">
        <v>370.74</v>
      </c>
      <c r="C8671" s="133"/>
    </row>
    <row r="8672" spans="1:3">
      <c r="A8672" s="131" t="s">
        <v>7118</v>
      </c>
      <c r="B8672" s="132">
        <v>2.85</v>
      </c>
      <c r="C8672" s="133"/>
    </row>
    <row r="8673" spans="1:3">
      <c r="A8673" s="131" t="s">
        <v>7119</v>
      </c>
      <c r="B8673" s="132">
        <v>5.6266891912613555E-3</v>
      </c>
      <c r="C8673" s="133"/>
    </row>
    <row r="8674" spans="1:3">
      <c r="A8674" s="131" t="s">
        <v>7120</v>
      </c>
      <c r="B8674" s="132">
        <v>1.3381976372015698E-2</v>
      </c>
      <c r="C8674" s="133"/>
    </row>
    <row r="8675" spans="1:3">
      <c r="A8675" s="131" t="s">
        <v>7121</v>
      </c>
      <c r="B8675" s="132">
        <v>0.80127596855163574</v>
      </c>
      <c r="C8675" s="133"/>
    </row>
    <row r="8676" spans="1:3">
      <c r="A8676" s="131" t="s">
        <v>7122</v>
      </c>
      <c r="B8676" s="132">
        <v>22.24</v>
      </c>
      <c r="C8676" s="133"/>
    </row>
    <row r="8677" spans="1:3">
      <c r="A8677" s="131" t="s">
        <v>7123</v>
      </c>
      <c r="B8677" s="132">
        <v>9.09</v>
      </c>
      <c r="C8677" s="133"/>
    </row>
    <row r="8678" spans="1:3">
      <c r="A8678" s="131" t="s">
        <v>7124</v>
      </c>
      <c r="B8678" s="132">
        <v>356.66</v>
      </c>
      <c r="C8678" s="133"/>
    </row>
    <row r="8679" spans="1:3">
      <c r="A8679" s="131" t="s">
        <v>7125</v>
      </c>
      <c r="B8679" s="132">
        <v>7.37</v>
      </c>
      <c r="C8679" s="133"/>
    </row>
    <row r="8680" spans="1:3">
      <c r="A8680" s="131" t="s">
        <v>7126</v>
      </c>
      <c r="B8680" s="132">
        <v>59.36</v>
      </c>
      <c r="C8680" s="133"/>
    </row>
    <row r="8681" spans="1:3">
      <c r="A8681" s="131" t="s">
        <v>7127</v>
      </c>
      <c r="B8681" s="132">
        <v>65.540000000000006</v>
      </c>
      <c r="C8681" s="133"/>
    </row>
    <row r="8682" spans="1:3">
      <c r="A8682" s="131" t="s">
        <v>7128</v>
      </c>
      <c r="B8682" s="132">
        <v>1.6491372802285551E-5</v>
      </c>
      <c r="C8682" s="133"/>
    </row>
    <row r="8683" spans="1:3">
      <c r="A8683" s="131" t="s">
        <v>7129</v>
      </c>
      <c r="B8683" s="132">
        <v>84.93</v>
      </c>
      <c r="C8683" s="133"/>
    </row>
    <row r="8684" spans="1:3">
      <c r="A8684" s="131" t="s">
        <v>7130</v>
      </c>
      <c r="B8684" s="132">
        <v>58.26</v>
      </c>
      <c r="C8684" s="133"/>
    </row>
    <row r="8685" spans="1:3">
      <c r="A8685" s="131" t="s">
        <v>7131</v>
      </c>
      <c r="B8685" s="132">
        <v>39.69</v>
      </c>
      <c r="C8685" s="133"/>
    </row>
    <row r="8686" spans="1:3">
      <c r="A8686" s="131" t="s">
        <v>7132</v>
      </c>
      <c r="B8686" s="132">
        <v>206.51</v>
      </c>
      <c r="C8686" s="133"/>
    </row>
    <row r="8687" spans="1:3">
      <c r="A8687" s="131" t="s">
        <v>7133</v>
      </c>
      <c r="B8687" s="132">
        <v>5.46</v>
      </c>
      <c r="C8687" s="133"/>
    </row>
    <row r="8688" spans="1:3">
      <c r="A8688" s="131" t="s">
        <v>7134</v>
      </c>
      <c r="B8688" s="132">
        <v>8.0045333333333328E-4</v>
      </c>
      <c r="C8688" s="133"/>
    </row>
    <row r="8689" spans="1:3">
      <c r="A8689" s="131" t="s">
        <v>7135</v>
      </c>
      <c r="B8689" s="132">
        <v>1.8745910565899355E-3</v>
      </c>
      <c r="C8689" s="133"/>
    </row>
    <row r="8690" spans="1:3">
      <c r="A8690" s="131" t="s">
        <v>7136</v>
      </c>
      <c r="B8690" s="132">
        <v>110.24</v>
      </c>
      <c r="C8690" s="133"/>
    </row>
    <row r="8691" spans="1:3">
      <c r="A8691" s="131" t="s">
        <v>7137</v>
      </c>
      <c r="B8691" s="132">
        <v>66.959999999999994</v>
      </c>
      <c r="C8691" s="133"/>
    </row>
    <row r="8692" spans="1:3">
      <c r="A8692" s="131" t="s">
        <v>7138</v>
      </c>
      <c r="B8692" s="132">
        <v>3</v>
      </c>
      <c r="C8692" s="133"/>
    </row>
    <row r="8693" spans="1:3">
      <c r="A8693" s="131" t="s">
        <v>7139</v>
      </c>
      <c r="B8693" s="132">
        <v>3.99</v>
      </c>
      <c r="C8693" s="133"/>
    </row>
    <row r="8694" spans="1:3">
      <c r="A8694" s="131" t="s">
        <v>7140</v>
      </c>
      <c r="B8694" s="132">
        <v>0.39920217635494681</v>
      </c>
      <c r="C8694" s="133"/>
    </row>
    <row r="8695" spans="1:3">
      <c r="A8695" s="131" t="s">
        <v>7141</v>
      </c>
      <c r="B8695" s="132">
        <v>0.80874156591670621</v>
      </c>
      <c r="C8695" s="133"/>
    </row>
    <row r="8696" spans="1:3">
      <c r="A8696" s="131" t="s">
        <v>7142</v>
      </c>
      <c r="B8696" s="132">
        <v>7.48</v>
      </c>
      <c r="C8696" s="133"/>
    </row>
    <row r="8697" spans="1:3">
      <c r="A8697" s="131" t="s">
        <v>7143</v>
      </c>
      <c r="B8697" s="132">
        <v>28.49</v>
      </c>
      <c r="C8697" s="133"/>
    </row>
    <row r="8698" spans="1:3">
      <c r="A8698" s="131" t="s">
        <v>7144</v>
      </c>
      <c r="B8698" s="132">
        <v>24.03</v>
      </c>
      <c r="C8698" s="133"/>
    </row>
    <row r="8699" spans="1:3">
      <c r="A8699" s="131" t="s">
        <v>7145</v>
      </c>
      <c r="B8699" s="132">
        <v>1.0900000000000001</v>
      </c>
      <c r="C8699" s="133"/>
    </row>
    <row r="8700" spans="1:3">
      <c r="A8700" s="131" t="s">
        <v>7146</v>
      </c>
      <c r="B8700" s="132">
        <v>21.72</v>
      </c>
      <c r="C8700" s="133"/>
    </row>
    <row r="8701" spans="1:3">
      <c r="A8701" s="131" t="s">
        <v>7147</v>
      </c>
      <c r="B8701" s="132">
        <v>48.49</v>
      </c>
      <c r="C8701" s="133"/>
    </row>
    <row r="8702" spans="1:3">
      <c r="A8702" s="131" t="s">
        <v>7148</v>
      </c>
      <c r="B8702" s="132">
        <v>46.71</v>
      </c>
      <c r="C8702" s="133"/>
    </row>
    <row r="8703" spans="1:3">
      <c r="A8703" s="131" t="s">
        <v>7149</v>
      </c>
      <c r="B8703" s="132">
        <v>244.04</v>
      </c>
      <c r="C8703" s="133"/>
    </row>
    <row r="8704" spans="1:3">
      <c r="A8704" s="131" t="s">
        <v>7150</v>
      </c>
      <c r="B8704" s="132">
        <v>109.63</v>
      </c>
      <c r="C8704" s="133"/>
    </row>
    <row r="8705" spans="1:3">
      <c r="A8705" s="131" t="s">
        <v>7151</v>
      </c>
      <c r="B8705" s="132">
        <v>94.6</v>
      </c>
      <c r="C8705" s="133"/>
    </row>
    <row r="8706" spans="1:3">
      <c r="A8706" s="131" t="s">
        <v>7152</v>
      </c>
      <c r="B8706" s="132">
        <v>13.37</v>
      </c>
      <c r="C8706" s="133"/>
    </row>
    <row r="8707" spans="1:3">
      <c r="A8707" s="131" t="s">
        <v>7153</v>
      </c>
      <c r="B8707" s="132">
        <v>174.42</v>
      </c>
      <c r="C8707" s="133"/>
    </row>
    <row r="8708" spans="1:3">
      <c r="A8708" s="131" t="s">
        <v>7154</v>
      </c>
      <c r="B8708" s="132">
        <v>14.48</v>
      </c>
      <c r="C8708" s="133"/>
    </row>
    <row r="8709" spans="1:3">
      <c r="A8709" s="131" t="s">
        <v>7155</v>
      </c>
      <c r="B8709" s="132">
        <v>25.35</v>
      </c>
      <c r="C8709" s="133"/>
    </row>
    <row r="8710" spans="1:3">
      <c r="A8710" s="131" t="s">
        <v>7156</v>
      </c>
      <c r="B8710" s="132">
        <v>0.24829073894136094</v>
      </c>
      <c r="C8710" s="133"/>
    </row>
    <row r="8711" spans="1:3">
      <c r="A8711" s="131" t="s">
        <v>7157</v>
      </c>
      <c r="B8711" s="132">
        <v>12.58</v>
      </c>
      <c r="C8711" s="133"/>
    </row>
    <row r="8712" spans="1:3">
      <c r="A8712" s="131" t="s">
        <v>7158</v>
      </c>
      <c r="B8712" s="132">
        <v>1.19</v>
      </c>
      <c r="C8712" s="133"/>
    </row>
    <row r="8713" spans="1:3">
      <c r="A8713" s="131" t="s">
        <v>7159</v>
      </c>
      <c r="B8713" s="132">
        <v>9.8000000000000007</v>
      </c>
      <c r="C8713" s="133"/>
    </row>
    <row r="8714" spans="1:3">
      <c r="A8714" s="131" t="s">
        <v>7160</v>
      </c>
      <c r="B8714" s="132">
        <v>35.47</v>
      </c>
      <c r="C8714" s="133"/>
    </row>
    <row r="8715" spans="1:3">
      <c r="A8715" s="131" t="s">
        <v>7161</v>
      </c>
      <c r="B8715" s="132">
        <v>167.65</v>
      </c>
      <c r="C8715" s="133"/>
    </row>
    <row r="8716" spans="1:3">
      <c r="A8716" s="131" t="s">
        <v>7162</v>
      </c>
      <c r="B8716" s="132">
        <v>1.6011946602486398E-3</v>
      </c>
      <c r="C8716" s="133"/>
    </row>
    <row r="8717" spans="1:3">
      <c r="A8717" s="131" t="s">
        <v>7163</v>
      </c>
      <c r="B8717" s="132">
        <v>0.1287375381798524</v>
      </c>
      <c r="C8717" s="133"/>
    </row>
    <row r="8718" spans="1:3">
      <c r="A8718" s="131" t="s">
        <v>7164</v>
      </c>
      <c r="B8718" s="132">
        <v>28.54</v>
      </c>
      <c r="C8718" s="133"/>
    </row>
    <row r="8719" spans="1:3">
      <c r="A8719" s="131" t="s">
        <v>7165</v>
      </c>
      <c r="B8719" s="132">
        <v>41.25</v>
      </c>
      <c r="C8719" s="133"/>
    </row>
    <row r="8720" spans="1:3">
      <c r="A8720" s="131" t="s">
        <v>7166</v>
      </c>
      <c r="B8720" s="132">
        <v>8.69</v>
      </c>
      <c r="C8720" s="133"/>
    </row>
    <row r="8721" spans="1:3">
      <c r="A8721" s="131" t="s">
        <v>7167</v>
      </c>
      <c r="B8721" s="132">
        <v>1.4975454405885</v>
      </c>
      <c r="C8721" s="133"/>
    </row>
    <row r="8722" spans="1:3">
      <c r="A8722" s="131" t="s">
        <v>7168</v>
      </c>
      <c r="B8722" s="132">
        <v>111.05</v>
      </c>
      <c r="C8722" s="133"/>
    </row>
    <row r="8723" spans="1:3">
      <c r="A8723" s="131" t="s">
        <v>7169</v>
      </c>
      <c r="B8723" s="132">
        <v>9.0869267993142107E-3</v>
      </c>
      <c r="C8723" s="133"/>
    </row>
    <row r="8724" spans="1:3">
      <c r="A8724" s="131" t="s">
        <v>7170</v>
      </c>
      <c r="B8724" s="132">
        <v>12.46</v>
      </c>
      <c r="C8724" s="133"/>
    </row>
    <row r="8725" spans="1:3">
      <c r="A8725" s="131" t="s">
        <v>7171</v>
      </c>
      <c r="B8725" s="132">
        <v>67.56</v>
      </c>
      <c r="C8725" s="133"/>
    </row>
    <row r="8726" spans="1:3">
      <c r="A8726" s="131" t="s">
        <v>7172</v>
      </c>
      <c r="B8726" s="132">
        <v>0.85202617895742494</v>
      </c>
      <c r="C8726" s="133"/>
    </row>
    <row r="8727" spans="1:3">
      <c r="A8727" s="131" t="s">
        <v>7173</v>
      </c>
      <c r="B8727" s="132">
        <v>23.14</v>
      </c>
      <c r="C8727" s="133"/>
    </row>
    <row r="8728" spans="1:3">
      <c r="A8728" s="131" t="s">
        <v>7174</v>
      </c>
      <c r="B8728" s="132">
        <v>3.2683080265998067E-6</v>
      </c>
      <c r="C8728" s="133"/>
    </row>
    <row r="8729" spans="1:3">
      <c r="A8729" s="131" t="s">
        <v>7175</v>
      </c>
      <c r="B8729" s="132">
        <v>4.8949252750084063E-2</v>
      </c>
      <c r="C8729" s="133"/>
    </row>
    <row r="8730" spans="1:3">
      <c r="A8730" s="131" t="s">
        <v>7176</v>
      </c>
      <c r="B8730" s="132">
        <v>95.42</v>
      </c>
      <c r="C8730" s="133"/>
    </row>
    <row r="8731" spans="1:3">
      <c r="A8731" s="131" t="s">
        <v>7177</v>
      </c>
      <c r="B8731" s="132">
        <v>47.77</v>
      </c>
      <c r="C8731" s="133"/>
    </row>
    <row r="8732" spans="1:3">
      <c r="A8732" s="131" t="s">
        <v>7178</v>
      </c>
      <c r="B8732" s="132">
        <v>5.36</v>
      </c>
      <c r="C8732" s="133"/>
    </row>
    <row r="8733" spans="1:3">
      <c r="A8733" s="131" t="s">
        <v>7179</v>
      </c>
      <c r="B8733" s="132">
        <v>38.39</v>
      </c>
      <c r="C8733" s="133"/>
    </row>
    <row r="8734" spans="1:3">
      <c r="A8734" s="131" t="s">
        <v>7180</v>
      </c>
      <c r="B8734" s="132">
        <v>0.69888733350573229</v>
      </c>
      <c r="C8734" s="133"/>
    </row>
    <row r="8735" spans="1:3">
      <c r="A8735" s="131" t="s">
        <v>7181</v>
      </c>
      <c r="B8735" s="132">
        <v>0.69219991269897096</v>
      </c>
      <c r="C8735" s="133"/>
    </row>
    <row r="8736" spans="1:3">
      <c r="A8736" s="131" t="s">
        <v>7182</v>
      </c>
      <c r="B8736" s="132">
        <v>1065.52</v>
      </c>
      <c r="C8736" s="133"/>
    </row>
    <row r="8737" spans="1:3">
      <c r="A8737" s="131" t="s">
        <v>7183</v>
      </c>
      <c r="B8737" s="132">
        <v>4.3</v>
      </c>
      <c r="C8737" s="133"/>
    </row>
    <row r="8738" spans="1:3">
      <c r="A8738" s="131" t="s">
        <v>7184</v>
      </c>
      <c r="B8738" s="132">
        <v>4.7400803311475453E-4</v>
      </c>
      <c r="C8738" s="133"/>
    </row>
    <row r="8739" spans="1:3">
      <c r="A8739" s="131" t="s">
        <v>7185</v>
      </c>
      <c r="B8739" s="132">
        <v>345.24</v>
      </c>
      <c r="C8739" s="133"/>
    </row>
    <row r="8740" spans="1:3">
      <c r="A8740" s="131" t="s">
        <v>7186</v>
      </c>
      <c r="B8740" s="132">
        <v>86.52</v>
      </c>
      <c r="C8740" s="133"/>
    </row>
    <row r="8741" spans="1:3">
      <c r="A8741" s="131" t="s">
        <v>7187</v>
      </c>
      <c r="B8741" s="132">
        <v>3.63</v>
      </c>
      <c r="C8741" s="133"/>
    </row>
    <row r="8742" spans="1:3">
      <c r="A8742" s="131" t="s">
        <v>7188</v>
      </c>
      <c r="B8742" s="132">
        <v>42.95</v>
      </c>
      <c r="C8742" s="133"/>
    </row>
    <row r="8743" spans="1:3">
      <c r="A8743" s="131" t="s">
        <v>7189</v>
      </c>
      <c r="B8743" s="132">
        <v>0.12972084069656847</v>
      </c>
      <c r="C8743" s="133"/>
    </row>
    <row r="8744" spans="1:3">
      <c r="A8744" s="131" t="s">
        <v>7190</v>
      </c>
      <c r="B8744" s="132">
        <v>9.0221975184047801E-2</v>
      </c>
      <c r="C8744" s="133"/>
    </row>
    <row r="8745" spans="1:3">
      <c r="A8745" s="131" t="s">
        <v>7191</v>
      </c>
      <c r="B8745" s="132">
        <v>1.3834197627794292E-2</v>
      </c>
      <c r="C8745" s="133"/>
    </row>
    <row r="8746" spans="1:3">
      <c r="A8746" s="131" t="s">
        <v>7192</v>
      </c>
      <c r="B8746" s="132">
        <v>9.8665580359282331E-10</v>
      </c>
      <c r="C8746" s="133"/>
    </row>
    <row r="8747" spans="1:3">
      <c r="A8747" s="131" t="s">
        <v>7193</v>
      </c>
      <c r="B8747" s="132">
        <v>0.12003840733109836</v>
      </c>
      <c r="C8747" s="133"/>
    </row>
    <row r="8748" spans="1:3">
      <c r="A8748" s="131" t="s">
        <v>7194</v>
      </c>
      <c r="B8748" s="132">
        <v>8.2355832023565379E-11</v>
      </c>
      <c r="C8748" s="133"/>
    </row>
    <row r="8749" spans="1:3">
      <c r="A8749" s="131" t="s">
        <v>7195</v>
      </c>
      <c r="B8749" s="132">
        <v>18.52</v>
      </c>
      <c r="C8749" s="133"/>
    </row>
    <row r="8750" spans="1:3">
      <c r="A8750" s="131" t="s">
        <v>7196</v>
      </c>
      <c r="B8750" s="132">
        <v>27.52</v>
      </c>
      <c r="C8750" s="133"/>
    </row>
    <row r="8751" spans="1:3">
      <c r="A8751" s="131" t="s">
        <v>7197</v>
      </c>
      <c r="B8751" s="132">
        <v>24.5</v>
      </c>
      <c r="C8751" s="133"/>
    </row>
    <row r="8752" spans="1:3">
      <c r="A8752" s="131" t="s">
        <v>7198</v>
      </c>
      <c r="B8752" s="132">
        <v>49.73</v>
      </c>
      <c r="C8752" s="133"/>
    </row>
    <row r="8753" spans="1:3">
      <c r="A8753" s="131" t="s">
        <v>7199</v>
      </c>
      <c r="B8753" s="132">
        <v>4332.5</v>
      </c>
      <c r="C8753" s="133"/>
    </row>
    <row r="8754" spans="1:3">
      <c r="A8754" s="131" t="s">
        <v>7200</v>
      </c>
      <c r="B8754" s="132">
        <v>82.84</v>
      </c>
      <c r="C8754" s="133"/>
    </row>
    <row r="8755" spans="1:3">
      <c r="A8755" s="131" t="s">
        <v>7201</v>
      </c>
      <c r="B8755" s="132">
        <v>317.04000000000002</v>
      </c>
      <c r="C8755" s="133"/>
    </row>
    <row r="8756" spans="1:3">
      <c r="A8756" s="131" t="s">
        <v>7202</v>
      </c>
      <c r="B8756" s="132">
        <v>6.7738363333333329E-2</v>
      </c>
      <c r="C8756" s="133"/>
    </row>
    <row r="8757" spans="1:3">
      <c r="A8757" s="131" t="s">
        <v>7203</v>
      </c>
      <c r="B8757" s="132">
        <v>141.4</v>
      </c>
      <c r="C8757" s="133"/>
    </row>
    <row r="8758" spans="1:3">
      <c r="A8758" s="131" t="s">
        <v>7204</v>
      </c>
      <c r="B8758" s="132">
        <v>118.15</v>
      </c>
      <c r="C8758" s="133"/>
    </row>
    <row r="8759" spans="1:3">
      <c r="A8759" s="131" t="s">
        <v>7205</v>
      </c>
      <c r="B8759" s="132">
        <v>55.57</v>
      </c>
      <c r="C8759" s="133"/>
    </row>
    <row r="8760" spans="1:3">
      <c r="A8760" s="131" t="s">
        <v>7206</v>
      </c>
      <c r="B8760" s="132">
        <v>0.99919597524995651</v>
      </c>
      <c r="C8760" s="133"/>
    </row>
    <row r="8761" spans="1:3">
      <c r="A8761" s="131" t="s">
        <v>7207</v>
      </c>
      <c r="B8761" s="132">
        <v>47.63</v>
      </c>
      <c r="C8761" s="133"/>
    </row>
    <row r="8762" spans="1:3">
      <c r="A8762" s="131" t="s">
        <v>7208</v>
      </c>
      <c r="B8762" s="132">
        <v>8.104768240601648E-3</v>
      </c>
      <c r="C8762" s="133"/>
    </row>
    <row r="8763" spans="1:3">
      <c r="A8763" s="131" t="s">
        <v>7209</v>
      </c>
      <c r="B8763" s="132">
        <v>43.34</v>
      </c>
      <c r="C8763" s="133"/>
    </row>
    <row r="8764" spans="1:3">
      <c r="A8764" s="131" t="s">
        <v>7210</v>
      </c>
      <c r="B8764" s="132">
        <v>18.3</v>
      </c>
      <c r="C8764" s="133"/>
    </row>
    <row r="8765" spans="1:3">
      <c r="A8765" s="131" t="s">
        <v>7211</v>
      </c>
      <c r="B8765" s="132">
        <v>3.1315308469939303E-3</v>
      </c>
      <c r="C8765" s="133"/>
    </row>
    <row r="8766" spans="1:3">
      <c r="A8766" s="131" t="s">
        <v>7212</v>
      </c>
      <c r="B8766" s="132">
        <v>72.19</v>
      </c>
      <c r="C8766" s="133"/>
    </row>
    <row r="8767" spans="1:3">
      <c r="A8767" s="131" t="s">
        <v>7213</v>
      </c>
      <c r="B8767" s="132">
        <v>3.19</v>
      </c>
      <c r="C8767" s="133"/>
    </row>
    <row r="8768" spans="1:3">
      <c r="A8768" s="131" t="s">
        <v>7214</v>
      </c>
      <c r="B8768" s="132">
        <v>61.29</v>
      </c>
      <c r="C8768" s="133"/>
    </row>
    <row r="8769" spans="1:3">
      <c r="A8769" s="131" t="s">
        <v>7215</v>
      </c>
      <c r="B8769" s="132">
        <v>1075.5899999999999</v>
      </c>
      <c r="C8769" s="133"/>
    </row>
    <row r="8770" spans="1:3">
      <c r="A8770" s="131" t="s">
        <v>7216</v>
      </c>
      <c r="B8770" s="132">
        <v>70.53</v>
      </c>
      <c r="C8770" s="133"/>
    </row>
    <row r="8771" spans="1:3">
      <c r="A8771" s="131" t="s">
        <v>7217</v>
      </c>
      <c r="B8771" s="132">
        <v>3.0917733243310001E-6</v>
      </c>
      <c r="C8771" s="133"/>
    </row>
    <row r="8772" spans="1:3">
      <c r="A8772" s="131" t="s">
        <v>7218</v>
      </c>
      <c r="B8772" s="132">
        <v>5.86</v>
      </c>
      <c r="C8772" s="133"/>
    </row>
    <row r="8773" spans="1:3">
      <c r="A8773" s="131" t="s">
        <v>7219</v>
      </c>
      <c r="B8773" s="132">
        <v>7.0968910741549138E-2</v>
      </c>
      <c r="C8773" s="133"/>
    </row>
    <row r="8774" spans="1:3">
      <c r="A8774" s="131" t="s">
        <v>7220</v>
      </c>
      <c r="B8774" s="132">
        <v>66.19</v>
      </c>
      <c r="C8774" s="133"/>
    </row>
    <row r="8775" spans="1:3">
      <c r="A8775" s="131" t="s">
        <v>7221</v>
      </c>
      <c r="B8775" s="132">
        <v>22.74</v>
      </c>
      <c r="C8775" s="133"/>
    </row>
    <row r="8776" spans="1:3">
      <c r="A8776" s="131" t="s">
        <v>7222</v>
      </c>
      <c r="B8776" s="132">
        <v>150.15</v>
      </c>
      <c r="C8776" s="133"/>
    </row>
    <row r="8777" spans="1:3">
      <c r="A8777" s="131" t="s">
        <v>7223</v>
      </c>
      <c r="B8777" s="132">
        <v>68.349999999999994</v>
      </c>
      <c r="C8777" s="133"/>
    </row>
    <row r="8778" spans="1:3">
      <c r="A8778" s="131" t="s">
        <v>7224</v>
      </c>
      <c r="B8778" s="132">
        <v>40.01</v>
      </c>
      <c r="C8778" s="133"/>
    </row>
    <row r="8779" spans="1:3">
      <c r="A8779" s="131" t="s">
        <v>7225</v>
      </c>
      <c r="B8779" s="132">
        <v>16.04</v>
      </c>
      <c r="C8779" s="133"/>
    </row>
    <row r="8780" spans="1:3">
      <c r="A8780" s="131" t="s">
        <v>7226</v>
      </c>
      <c r="B8780" s="132">
        <v>58.15</v>
      </c>
      <c r="C8780" s="133"/>
    </row>
    <row r="8781" spans="1:3">
      <c r="A8781" s="131" t="s">
        <v>7227</v>
      </c>
      <c r="B8781" s="132">
        <v>14.98</v>
      </c>
      <c r="C8781" s="133"/>
    </row>
    <row r="8782" spans="1:3">
      <c r="A8782" s="131" t="s">
        <v>7228</v>
      </c>
      <c r="B8782" s="132">
        <v>84.7</v>
      </c>
      <c r="C8782" s="133"/>
    </row>
    <row r="8783" spans="1:3">
      <c r="A8783" s="131" t="s">
        <v>7229</v>
      </c>
      <c r="B8783" s="132">
        <v>118.56</v>
      </c>
      <c r="C8783" s="133"/>
    </row>
    <row r="8784" spans="1:3">
      <c r="A8784" s="131" t="s">
        <v>7230</v>
      </c>
      <c r="B8784" s="132">
        <v>81.88</v>
      </c>
      <c r="C8784" s="133"/>
    </row>
    <row r="8785" spans="1:3">
      <c r="A8785" s="131" t="s">
        <v>7231</v>
      </c>
      <c r="B8785" s="132">
        <v>394.61</v>
      </c>
      <c r="C8785" s="133"/>
    </row>
    <row r="8786" spans="1:3">
      <c r="A8786" s="131" t="s">
        <v>7232</v>
      </c>
      <c r="B8786" s="132">
        <v>9.6</v>
      </c>
      <c r="C8786" s="133"/>
    </row>
    <row r="8787" spans="1:3">
      <c r="A8787" s="131" t="s">
        <v>7233</v>
      </c>
      <c r="B8787" s="132">
        <v>1.4594093561172485</v>
      </c>
      <c r="C8787" s="133"/>
    </row>
    <row r="8788" spans="1:3">
      <c r="A8788" s="131" t="s">
        <v>7234</v>
      </c>
      <c r="B8788" s="132">
        <v>41.16</v>
      </c>
      <c r="C8788" s="133"/>
    </row>
    <row r="8789" spans="1:3">
      <c r="A8789" s="131" t="s">
        <v>7235</v>
      </c>
      <c r="B8789" s="132">
        <v>1.1196000541589776E-5</v>
      </c>
      <c r="C8789" s="133"/>
    </row>
    <row r="8790" spans="1:3">
      <c r="A8790" s="131" t="s">
        <v>7236</v>
      </c>
      <c r="B8790" s="132">
        <v>604</v>
      </c>
      <c r="C8790" s="133"/>
    </row>
    <row r="8791" spans="1:3">
      <c r="A8791" s="131" t="s">
        <v>7237</v>
      </c>
      <c r="B8791" s="132">
        <v>17221</v>
      </c>
      <c r="C8791" s="133"/>
    </row>
    <row r="8792" spans="1:3">
      <c r="A8792" s="131" t="s">
        <v>7238</v>
      </c>
      <c r="B8792" s="132">
        <v>230.53</v>
      </c>
      <c r="C8792" s="133"/>
    </row>
    <row r="8793" spans="1:3">
      <c r="A8793" s="131" t="s">
        <v>7239</v>
      </c>
      <c r="B8793" s="132">
        <v>164.05</v>
      </c>
      <c r="C8793" s="133"/>
    </row>
    <row r="8794" spans="1:3">
      <c r="A8794" s="131" t="s">
        <v>7240</v>
      </c>
      <c r="B8794" s="132">
        <v>261.58</v>
      </c>
      <c r="C8794" s="133"/>
    </row>
    <row r="8795" spans="1:3">
      <c r="A8795" s="131" t="s">
        <v>7241</v>
      </c>
      <c r="B8795" s="132">
        <v>27.56</v>
      </c>
      <c r="C8795" s="133"/>
    </row>
    <row r="8796" spans="1:3">
      <c r="A8796" s="131" t="s">
        <v>7242</v>
      </c>
      <c r="B8796" s="132">
        <v>161.72</v>
      </c>
      <c r="C8796" s="133"/>
    </row>
    <row r="8797" spans="1:3">
      <c r="A8797" s="131" t="s">
        <v>7243</v>
      </c>
      <c r="B8797" s="132">
        <v>22.48</v>
      </c>
      <c r="C8797" s="133"/>
    </row>
    <row r="8798" spans="1:3">
      <c r="A8798" s="131" t="s">
        <v>7244</v>
      </c>
      <c r="B8798" s="132">
        <v>171.06</v>
      </c>
      <c r="C8798" s="133"/>
    </row>
    <row r="8799" spans="1:3">
      <c r="A8799" s="131" t="s">
        <v>7245</v>
      </c>
      <c r="B8799" s="132">
        <v>4954.8599999999997</v>
      </c>
      <c r="C8799" s="133"/>
    </row>
    <row r="8800" spans="1:3">
      <c r="A8800" s="131" t="s">
        <v>7246</v>
      </c>
      <c r="B8800" s="132">
        <v>9</v>
      </c>
      <c r="C8800" s="133"/>
    </row>
    <row r="8801" spans="1:3">
      <c r="A8801" s="131" t="s">
        <v>7247</v>
      </c>
      <c r="B8801" s="132">
        <v>7958.09</v>
      </c>
      <c r="C8801" s="133"/>
    </row>
    <row r="8802" spans="1:3">
      <c r="A8802" s="131" t="s">
        <v>7248</v>
      </c>
      <c r="B8802" s="132">
        <v>57.12</v>
      </c>
      <c r="C8802" s="133"/>
    </row>
    <row r="8803" spans="1:3">
      <c r="A8803" s="131" t="s">
        <v>7249</v>
      </c>
      <c r="B8803" s="132">
        <v>29.38</v>
      </c>
      <c r="C8803" s="133"/>
    </row>
    <row r="8804" spans="1:3">
      <c r="A8804" s="131" t="s">
        <v>7250</v>
      </c>
      <c r="B8804" s="132">
        <v>31.4</v>
      </c>
      <c r="C8804" s="133"/>
    </row>
    <row r="8805" spans="1:3">
      <c r="A8805" s="131" t="s">
        <v>7251</v>
      </c>
      <c r="B8805" s="132">
        <v>18717</v>
      </c>
      <c r="C8805" s="133"/>
    </row>
    <row r="8806" spans="1:3">
      <c r="A8806" s="131" t="s">
        <v>7252</v>
      </c>
      <c r="B8806" s="132">
        <v>49.67</v>
      </c>
      <c r="C8806" s="133"/>
    </row>
    <row r="8807" spans="1:3">
      <c r="A8807" s="131" t="s">
        <v>7253</v>
      </c>
      <c r="B8807" s="132">
        <v>80.44</v>
      </c>
      <c r="C8807" s="133"/>
    </row>
    <row r="8808" spans="1:3">
      <c r="A8808" s="131" t="s">
        <v>7254</v>
      </c>
      <c r="B8808" s="132">
        <v>18.489999999999998</v>
      </c>
      <c r="C8808" s="133"/>
    </row>
    <row r="8809" spans="1:3">
      <c r="A8809" s="131" t="s">
        <v>7255</v>
      </c>
      <c r="B8809" s="132">
        <v>11.1</v>
      </c>
      <c r="C8809" s="133"/>
    </row>
    <row r="8810" spans="1:3">
      <c r="A8810" s="131" t="s">
        <v>7256</v>
      </c>
      <c r="B8810" s="132">
        <v>36.29</v>
      </c>
      <c r="C8810" s="133"/>
    </row>
    <row r="8811" spans="1:3">
      <c r="A8811" s="131" t="s">
        <v>7257</v>
      </c>
      <c r="B8811" s="132">
        <v>62.74</v>
      </c>
      <c r="C8811" s="133"/>
    </row>
    <row r="8812" spans="1:3">
      <c r="A8812" s="131" t="s">
        <v>7258</v>
      </c>
      <c r="B8812" s="132">
        <v>84.86</v>
      </c>
      <c r="C8812" s="133"/>
    </row>
    <row r="8813" spans="1:3">
      <c r="A8813" s="131" t="s">
        <v>7259</v>
      </c>
      <c r="B8813" s="132">
        <v>6.94</v>
      </c>
      <c r="C8813" s="133"/>
    </row>
    <row r="8814" spans="1:3">
      <c r="A8814" s="131" t="s">
        <v>7260</v>
      </c>
      <c r="B8814" s="132">
        <v>12.3</v>
      </c>
      <c r="C8814" s="133"/>
    </row>
    <row r="8815" spans="1:3">
      <c r="A8815" s="131" t="s">
        <v>7261</v>
      </c>
      <c r="B8815" s="132">
        <v>30593</v>
      </c>
      <c r="C8815" s="133"/>
    </row>
    <row r="8816" spans="1:3">
      <c r="A8816" s="131" t="s">
        <v>7262</v>
      </c>
      <c r="B8816" s="132">
        <v>9.5399999999999991</v>
      </c>
      <c r="C8816" s="133"/>
    </row>
    <row r="8817" spans="1:3">
      <c r="A8817" s="131" t="s">
        <v>7263</v>
      </c>
      <c r="B8817" s="132">
        <v>9.59</v>
      </c>
      <c r="C8817" s="133"/>
    </row>
    <row r="8818" spans="1:3">
      <c r="A8818" s="131" t="s">
        <v>7264</v>
      </c>
      <c r="B8818" s="132">
        <v>0.90210642594183965</v>
      </c>
      <c r="C8818" s="133"/>
    </row>
    <row r="8819" spans="1:3">
      <c r="A8819" s="131" t="s">
        <v>7265</v>
      </c>
      <c r="B8819" s="132">
        <v>29.94</v>
      </c>
      <c r="C8819" s="133"/>
    </row>
    <row r="8820" spans="1:3">
      <c r="A8820" s="131" t="s">
        <v>7266</v>
      </c>
      <c r="B8820" s="132">
        <v>80.28</v>
      </c>
      <c r="C8820" s="133"/>
    </row>
    <row r="8821" spans="1:3">
      <c r="A8821" s="131" t="s">
        <v>7267</v>
      </c>
      <c r="B8821" s="132">
        <v>202.89</v>
      </c>
      <c r="C8821" s="133"/>
    </row>
    <row r="8822" spans="1:3">
      <c r="A8822" s="131" t="s">
        <v>7268</v>
      </c>
      <c r="B8822" s="132">
        <v>630.16999999999996</v>
      </c>
      <c r="C8822" s="133"/>
    </row>
    <row r="8823" spans="1:3">
      <c r="A8823" s="131" t="s">
        <v>7269</v>
      </c>
      <c r="B8823" s="132">
        <v>179.53</v>
      </c>
      <c r="C8823" s="133"/>
    </row>
    <row r="8824" spans="1:3">
      <c r="A8824" s="131" t="s">
        <v>7270</v>
      </c>
      <c r="B8824" s="132">
        <v>14194</v>
      </c>
      <c r="C8824" s="133"/>
    </row>
    <row r="8825" spans="1:3">
      <c r="A8825" s="131" t="s">
        <v>7271</v>
      </c>
      <c r="B8825" s="132">
        <v>16.93</v>
      </c>
      <c r="C8825" s="133"/>
    </row>
    <row r="8826" spans="1:3">
      <c r="A8826" s="131" t="s">
        <v>7272</v>
      </c>
      <c r="B8826" s="132">
        <v>875.37</v>
      </c>
      <c r="C8826" s="133"/>
    </row>
    <row r="8827" spans="1:3">
      <c r="A8827" s="131" t="s">
        <v>7273</v>
      </c>
      <c r="B8827" s="132">
        <v>176.15</v>
      </c>
      <c r="C8827" s="133"/>
    </row>
    <row r="8828" spans="1:3">
      <c r="A8828" s="131" t="s">
        <v>4379</v>
      </c>
      <c r="B8828" s="132">
        <v>76.400000000000006</v>
      </c>
      <c r="C8828" s="133"/>
    </row>
    <row r="8829" spans="1:3">
      <c r="A8829" s="131" t="s">
        <v>4380</v>
      </c>
      <c r="B8829" s="132">
        <v>72.72</v>
      </c>
      <c r="C8829" s="133"/>
    </row>
    <row r="8830" spans="1:3">
      <c r="A8830" s="131" t="s">
        <v>4381</v>
      </c>
      <c r="B8830" s="132">
        <v>24.81</v>
      </c>
      <c r="C8830" s="133"/>
    </row>
    <row r="8831" spans="1:3">
      <c r="A8831" s="131" t="s">
        <v>4382</v>
      </c>
      <c r="B8831" s="132">
        <v>25.31</v>
      </c>
      <c r="C8831" s="133"/>
    </row>
    <row r="8832" spans="1:3">
      <c r="A8832" s="131" t="s">
        <v>4383</v>
      </c>
      <c r="B8832" s="132">
        <v>29.83</v>
      </c>
      <c r="C8832" s="133"/>
    </row>
    <row r="8833" spans="1:3">
      <c r="A8833" s="131" t="s">
        <v>4384</v>
      </c>
      <c r="B8833" s="132">
        <v>34.44</v>
      </c>
      <c r="C8833" s="133"/>
    </row>
    <row r="8834" spans="1:3">
      <c r="A8834" s="131" t="s">
        <v>4385</v>
      </c>
      <c r="B8834" s="132">
        <v>103.41</v>
      </c>
      <c r="C8834" s="133"/>
    </row>
    <row r="8835" spans="1:3">
      <c r="A8835" s="131" t="s">
        <v>4386</v>
      </c>
      <c r="B8835" s="132">
        <v>7.28</v>
      </c>
      <c r="C8835" s="133"/>
    </row>
    <row r="8836" spans="1:3">
      <c r="A8836" s="131" t="s">
        <v>4387</v>
      </c>
      <c r="B8836" s="132">
        <v>262.58999999999997</v>
      </c>
      <c r="C8836" s="133"/>
    </row>
    <row r="8837" spans="1:3">
      <c r="A8837" s="131" t="s">
        <v>4388</v>
      </c>
      <c r="B8837" s="132">
        <v>7.64</v>
      </c>
      <c r="C8837" s="133"/>
    </row>
    <row r="8838" spans="1:3">
      <c r="A8838" s="131" t="s">
        <v>4389</v>
      </c>
      <c r="B8838" s="132">
        <v>7.8548271834843183E-10</v>
      </c>
      <c r="C8838" s="133"/>
    </row>
    <row r="8839" spans="1:3">
      <c r="A8839" s="131" t="s">
        <v>4390</v>
      </c>
      <c r="B8839" s="132">
        <v>36.94</v>
      </c>
      <c r="C8839" s="133"/>
    </row>
    <row r="8840" spans="1:3">
      <c r="A8840" s="131" t="s">
        <v>4391</v>
      </c>
      <c r="B8840" s="132">
        <v>10904</v>
      </c>
      <c r="C8840" s="133"/>
    </row>
    <row r="8841" spans="1:3">
      <c r="A8841" s="131" t="s">
        <v>4392</v>
      </c>
      <c r="B8841" s="132">
        <v>246.56</v>
      </c>
      <c r="C8841" s="133"/>
    </row>
    <row r="8842" spans="1:3">
      <c r="A8842" s="131" t="s">
        <v>4393</v>
      </c>
      <c r="B8842" s="132">
        <v>26.68</v>
      </c>
      <c r="C8842" s="133"/>
    </row>
    <row r="8843" spans="1:3">
      <c r="A8843" s="131" t="s">
        <v>4394</v>
      </c>
      <c r="B8843" s="132">
        <v>4223.2299999999996</v>
      </c>
      <c r="C8843" s="133"/>
    </row>
    <row r="8844" spans="1:3">
      <c r="A8844" s="131" t="s">
        <v>4395</v>
      </c>
      <c r="B8844" s="132">
        <v>4.9000000000000004</v>
      </c>
      <c r="C8844" s="133"/>
    </row>
    <row r="8845" spans="1:3">
      <c r="A8845" s="131" t="s">
        <v>4396</v>
      </c>
      <c r="B8845" s="132">
        <v>156.28</v>
      </c>
      <c r="C8845" s="133"/>
    </row>
    <row r="8846" spans="1:3">
      <c r="A8846" s="131" t="s">
        <v>4397</v>
      </c>
      <c r="B8846" s="132">
        <v>43.77</v>
      </c>
      <c r="C8846" s="133"/>
    </row>
    <row r="8847" spans="1:3">
      <c r="A8847" s="131" t="s">
        <v>4398</v>
      </c>
      <c r="B8847" s="132">
        <v>50.79</v>
      </c>
      <c r="C8847" s="133"/>
    </row>
    <row r="8848" spans="1:3">
      <c r="A8848" s="131" t="s">
        <v>4399</v>
      </c>
      <c r="B8848" s="132">
        <v>31.15</v>
      </c>
      <c r="C8848" s="133"/>
    </row>
    <row r="8849" spans="1:3">
      <c r="A8849" s="131" t="s">
        <v>4400</v>
      </c>
      <c r="B8849" s="132">
        <v>22.05</v>
      </c>
      <c r="C8849" s="133"/>
    </row>
    <row r="8850" spans="1:3">
      <c r="A8850" s="131" t="s">
        <v>4401</v>
      </c>
      <c r="B8850" s="132">
        <v>269.87</v>
      </c>
      <c r="C8850" s="133"/>
    </row>
    <row r="8851" spans="1:3">
      <c r="A8851" s="131" t="s">
        <v>4402</v>
      </c>
      <c r="B8851" s="132">
        <v>188.54</v>
      </c>
      <c r="C8851" s="133"/>
    </row>
    <row r="8852" spans="1:3">
      <c r="A8852" s="131" t="s">
        <v>4403</v>
      </c>
      <c r="B8852" s="132">
        <v>8.01</v>
      </c>
      <c r="C8852" s="133"/>
    </row>
    <row r="8853" spans="1:3">
      <c r="A8853" s="131" t="s">
        <v>4404</v>
      </c>
      <c r="B8853" s="132">
        <v>4.9794134564162117E-2</v>
      </c>
      <c r="C8853" s="133"/>
    </row>
    <row r="8854" spans="1:3">
      <c r="A8854" s="131" t="s">
        <v>4405</v>
      </c>
      <c r="B8854" s="132">
        <v>11.2</v>
      </c>
      <c r="C8854" s="133"/>
    </row>
    <row r="8855" spans="1:3">
      <c r="A8855" s="131" t="s">
        <v>4406</v>
      </c>
      <c r="B8855" s="132">
        <v>14.52</v>
      </c>
      <c r="C8855" s="133"/>
    </row>
    <row r="8856" spans="1:3">
      <c r="A8856" s="131" t="s">
        <v>4407</v>
      </c>
      <c r="B8856" s="132">
        <v>26.42</v>
      </c>
      <c r="C8856" s="133"/>
    </row>
    <row r="8857" spans="1:3">
      <c r="A8857" s="131" t="s">
        <v>4408</v>
      </c>
      <c r="B8857" s="132">
        <v>1791.71</v>
      </c>
      <c r="C8857" s="133"/>
    </row>
    <row r="8858" spans="1:3">
      <c r="A8858" s="131" t="s">
        <v>4409</v>
      </c>
      <c r="B8858" s="132">
        <v>44.76</v>
      </c>
      <c r="C8858" s="133"/>
    </row>
    <row r="8859" spans="1:3">
      <c r="A8859" s="131" t="s">
        <v>4410</v>
      </c>
      <c r="B8859" s="132">
        <v>10.5</v>
      </c>
      <c r="C8859" s="133"/>
    </row>
    <row r="8860" spans="1:3">
      <c r="A8860" s="131" t="s">
        <v>4411</v>
      </c>
      <c r="B8860" s="132">
        <v>2.8448798835182669E-6</v>
      </c>
      <c r="C8860" s="133"/>
    </row>
    <row r="8861" spans="1:3">
      <c r="A8861" s="131" t="s">
        <v>4412</v>
      </c>
      <c r="B8861" s="132">
        <v>3.3563595770435728E-14</v>
      </c>
      <c r="C8861" s="133"/>
    </row>
    <row r="8862" spans="1:3">
      <c r="A8862" s="131" t="s">
        <v>4413</v>
      </c>
      <c r="B8862" s="132">
        <v>8.2187764185151186E-10</v>
      </c>
      <c r="C8862" s="133"/>
    </row>
    <row r="8863" spans="1:3">
      <c r="A8863" s="131" t="s">
        <v>4414</v>
      </c>
      <c r="B8863" s="132">
        <v>1.3825128199873494E-2</v>
      </c>
      <c r="C8863" s="133"/>
    </row>
    <row r="8864" spans="1:3">
      <c r="A8864" s="131" t="s">
        <v>4415</v>
      </c>
      <c r="B8864" s="132">
        <v>2.0331243967626991</v>
      </c>
      <c r="C8864" s="133"/>
    </row>
    <row r="8865" spans="1:3">
      <c r="A8865" s="131" t="s">
        <v>4416</v>
      </c>
      <c r="B8865" s="132">
        <v>0.99161975081169995</v>
      </c>
      <c r="C8865" s="133"/>
    </row>
    <row r="8866" spans="1:3">
      <c r="A8866" s="131" t="s">
        <v>4417</v>
      </c>
      <c r="B8866" s="132">
        <v>3.0801462892566862</v>
      </c>
      <c r="C8866" s="133"/>
    </row>
    <row r="8867" spans="1:3">
      <c r="A8867" s="131" t="s">
        <v>4418</v>
      </c>
      <c r="B8867" s="132">
        <v>1.5881540572023434</v>
      </c>
      <c r="C8867" s="133"/>
    </row>
    <row r="8868" spans="1:3">
      <c r="A8868" s="131" t="s">
        <v>4419</v>
      </c>
      <c r="B8868" s="132">
        <v>16.1855973056689</v>
      </c>
      <c r="C8868" s="133"/>
    </row>
    <row r="8869" spans="1:3">
      <c r="A8869" s="131" t="s">
        <v>4420</v>
      </c>
      <c r="B8869" s="132">
        <v>1.1037304826689147</v>
      </c>
      <c r="C8869" s="133"/>
    </row>
    <row r="8870" spans="1:3">
      <c r="A8870" s="131" t="s">
        <v>4421</v>
      </c>
      <c r="B8870" s="132">
        <v>0.29310545818313238</v>
      </c>
      <c r="C8870" s="133"/>
    </row>
    <row r="8871" spans="1:3">
      <c r="A8871" s="131" t="s">
        <v>4422</v>
      </c>
      <c r="B8871" s="132">
        <v>5.44697204393291E-2</v>
      </c>
      <c r="C8871" s="133"/>
    </row>
    <row r="8872" spans="1:3">
      <c r="A8872" s="131" t="s">
        <v>4423</v>
      </c>
      <c r="B8872" s="132">
        <v>0.6659207157768775</v>
      </c>
      <c r="C8872" s="133"/>
    </row>
    <row r="8873" spans="1:3">
      <c r="A8873" s="131" t="s">
        <v>4424</v>
      </c>
      <c r="B8873" s="132">
        <v>0.1281772837882206</v>
      </c>
      <c r="C8873" s="133"/>
    </row>
    <row r="8874" spans="1:3">
      <c r="A8874" s="131" t="s">
        <v>4425</v>
      </c>
      <c r="B8874" s="132">
        <v>15.424387496431446</v>
      </c>
      <c r="C8874" s="133"/>
    </row>
    <row r="8875" spans="1:3">
      <c r="A8875" s="131" t="s">
        <v>4426</v>
      </c>
      <c r="B8875" s="132">
        <v>2.095463272822256</v>
      </c>
      <c r="C8875" s="133"/>
    </row>
    <row r="8876" spans="1:3">
      <c r="A8876" s="131" t="s">
        <v>4427</v>
      </c>
      <c r="B8876" s="132">
        <v>0.27581101688708276</v>
      </c>
      <c r="C8876" s="133"/>
    </row>
    <row r="8877" spans="1:3">
      <c r="A8877" s="131" t="s">
        <v>4428</v>
      </c>
      <c r="B8877" s="132">
        <v>1.2786663675855778</v>
      </c>
      <c r="C8877" s="133"/>
    </row>
    <row r="8878" spans="1:3">
      <c r="A8878" s="131" t="s">
        <v>4429</v>
      </c>
      <c r="B8878" s="132">
        <v>8.8982315475935603E-2</v>
      </c>
      <c r="C8878" s="133"/>
    </row>
    <row r="8879" spans="1:3">
      <c r="A8879" s="131" t="s">
        <v>4430</v>
      </c>
      <c r="B8879" s="132">
        <v>0.138162502927592</v>
      </c>
      <c r="C8879" s="133"/>
    </row>
    <row r="8880" spans="1:3">
      <c r="A8880" s="131" t="s">
        <v>4431</v>
      </c>
      <c r="B8880" s="132">
        <v>45.946592781919001</v>
      </c>
      <c r="C8880" s="133"/>
    </row>
    <row r="8881" spans="1:3">
      <c r="A8881" s="131" t="s">
        <v>4432</v>
      </c>
      <c r="B8881" s="132">
        <v>7.2296760258591508</v>
      </c>
      <c r="C8881" s="133"/>
    </row>
    <row r="8882" spans="1:3">
      <c r="A8882" s="131" t="s">
        <v>4433</v>
      </c>
      <c r="B8882" s="132">
        <v>4.8523852430088859</v>
      </c>
      <c r="C8882" s="133"/>
    </row>
    <row r="8883" spans="1:3">
      <c r="A8883" s="131" t="s">
        <v>4434</v>
      </c>
      <c r="B8883" s="132">
        <v>11.95678381620883</v>
      </c>
      <c r="C8883" s="133"/>
    </row>
    <row r="8884" spans="1:3">
      <c r="A8884" s="131" t="s">
        <v>4435</v>
      </c>
      <c r="B8884" s="132">
        <v>0.28931825499597297</v>
      </c>
      <c r="C8884" s="133"/>
    </row>
    <row r="8885" spans="1:3">
      <c r="A8885" s="131" t="s">
        <v>4436</v>
      </c>
      <c r="B8885" s="132">
        <v>0.11006233333333333</v>
      </c>
      <c r="C8885" s="133"/>
    </row>
    <row r="8886" spans="1:3">
      <c r="A8886" s="131" t="s">
        <v>4437</v>
      </c>
      <c r="B8886" s="132">
        <v>0.44113264663634438</v>
      </c>
      <c r="C8886" s="133"/>
    </row>
    <row r="8887" spans="1:3">
      <c r="A8887" s="131" t="s">
        <v>4438</v>
      </c>
      <c r="B8887" s="132">
        <v>2.0193745795123959</v>
      </c>
      <c r="C8887" s="133"/>
    </row>
    <row r="8888" spans="1:3">
      <c r="A8888" s="131" t="s">
        <v>4439</v>
      </c>
      <c r="B8888" s="132">
        <v>2.2327165856943401E-2</v>
      </c>
      <c r="C8888" s="133"/>
    </row>
    <row r="8889" spans="1:3">
      <c r="A8889" s="131" t="s">
        <v>4440</v>
      </c>
      <c r="B8889" s="132">
        <v>23.066399400447157</v>
      </c>
      <c r="C8889" s="133"/>
    </row>
    <row r="8890" spans="1:3">
      <c r="A8890" s="131" t="s">
        <v>4441</v>
      </c>
      <c r="B8890" s="132">
        <v>0.85336075518610532</v>
      </c>
      <c r="C8890" s="133"/>
    </row>
    <row r="8891" spans="1:3">
      <c r="A8891" s="131" t="s">
        <v>4442</v>
      </c>
      <c r="B8891" s="132">
        <v>0.81663609286524186</v>
      </c>
      <c r="C8891" s="133"/>
    </row>
    <row r="8892" spans="1:3">
      <c r="A8892" s="131" t="s">
        <v>4443</v>
      </c>
      <c r="B8892" s="132">
        <v>6.2920169852358647</v>
      </c>
      <c r="C8892" s="133"/>
    </row>
    <row r="8893" spans="1:3">
      <c r="A8893" s="131" t="s">
        <v>4444</v>
      </c>
      <c r="B8893" s="132">
        <v>0.86654157652300778</v>
      </c>
      <c r="C8893" s="133"/>
    </row>
    <row r="8894" spans="1:3">
      <c r="A8894" s="131" t="s">
        <v>4445</v>
      </c>
      <c r="B8894" s="132">
        <v>462.13</v>
      </c>
      <c r="C8894" s="133"/>
    </row>
    <row r="8895" spans="1:3">
      <c r="A8895" s="131" t="s">
        <v>4446</v>
      </c>
      <c r="B8895" s="132">
        <v>2921.6334436999409</v>
      </c>
      <c r="C8895" s="133"/>
    </row>
    <row r="8896" spans="1:3">
      <c r="A8896" s="131" t="s">
        <v>4447</v>
      </c>
      <c r="B8896" s="132">
        <v>3.1664477976110166</v>
      </c>
      <c r="C8896" s="133"/>
    </row>
    <row r="8897" spans="1:3">
      <c r="A8897" s="131" t="s">
        <v>4448</v>
      </c>
      <c r="B8897" s="132">
        <v>1.4741395720231001E-3</v>
      </c>
      <c r="C8897" s="133"/>
    </row>
    <row r="8898" spans="1:3">
      <c r="A8898" s="131" t="s">
        <v>4449</v>
      </c>
      <c r="B8898" s="132">
        <v>4.5565933874843445</v>
      </c>
      <c r="C8898" s="133"/>
    </row>
    <row r="8899" spans="1:3">
      <c r="A8899" s="131" t="s">
        <v>4450</v>
      </c>
      <c r="B8899" s="132">
        <v>1.0378632677139237</v>
      </c>
      <c r="C8899" s="133"/>
    </row>
    <row r="8900" spans="1:3">
      <c r="A8900" s="131" t="s">
        <v>4451</v>
      </c>
      <c r="B8900" s="132">
        <v>0.16001209811243849</v>
      </c>
      <c r="C8900" s="133"/>
    </row>
    <row r="8901" spans="1:3">
      <c r="A8901" s="131" t="s">
        <v>4452</v>
      </c>
      <c r="B8901" s="132">
        <v>0.72279696864986964</v>
      </c>
      <c r="C8901" s="133"/>
    </row>
    <row r="8902" spans="1:3">
      <c r="A8902" s="131" t="s">
        <v>4453</v>
      </c>
      <c r="B8902" s="132">
        <v>1.6213820270483702E-2</v>
      </c>
      <c r="C8902" s="133"/>
    </row>
    <row r="8903" spans="1:3">
      <c r="A8903" s="131" t="s">
        <v>4454</v>
      </c>
      <c r="B8903" s="132">
        <v>0.27207712281288066</v>
      </c>
      <c r="C8903" s="133"/>
    </row>
    <row r="8904" spans="1:3">
      <c r="A8904" s="131" t="s">
        <v>4455</v>
      </c>
      <c r="B8904" s="132">
        <v>1.3860714916799999E-5</v>
      </c>
      <c r="C8904" s="133"/>
    </row>
    <row r="8905" spans="1:3">
      <c r="A8905" s="131" t="s">
        <v>4456</v>
      </c>
      <c r="B8905" s="132">
        <v>4.1258593078110702E-2</v>
      </c>
      <c r="C8905" s="133"/>
    </row>
    <row r="8906" spans="1:3">
      <c r="A8906" s="131" t="s">
        <v>4457</v>
      </c>
      <c r="B8906" s="132">
        <v>5.8077316200752004E-3</v>
      </c>
      <c r="C8906" s="133"/>
    </row>
    <row r="8907" spans="1:3">
      <c r="A8907" s="131" t="s">
        <v>4458</v>
      </c>
      <c r="B8907" s="132">
        <v>16.141597767058585</v>
      </c>
      <c r="C8907" s="133"/>
    </row>
    <row r="8908" spans="1:3">
      <c r="A8908" s="131" t="s">
        <v>4459</v>
      </c>
      <c r="B8908" s="132">
        <v>1.3013042854631001</v>
      </c>
      <c r="C8908" s="133"/>
    </row>
    <row r="8909" spans="1:3">
      <c r="A8909" s="131" t="s">
        <v>4460</v>
      </c>
      <c r="B8909" s="132">
        <v>6.9533982954530504E-2</v>
      </c>
      <c r="C8909" s="133"/>
    </row>
    <row r="8910" spans="1:3">
      <c r="A8910" s="131" t="s">
        <v>4461</v>
      </c>
      <c r="B8910" s="132">
        <v>3.7623263296327307</v>
      </c>
      <c r="C8910" s="133"/>
    </row>
    <row r="8911" spans="1:3">
      <c r="A8911" s="131" t="s">
        <v>4462</v>
      </c>
      <c r="B8911" s="132">
        <v>0.42181652395973318</v>
      </c>
      <c r="C8911" s="133"/>
    </row>
    <row r="8912" spans="1:3">
      <c r="A8912" s="131" t="s">
        <v>4463</v>
      </c>
      <c r="B8912" s="132">
        <v>3.5310167345406054E-2</v>
      </c>
      <c r="C8912" s="133"/>
    </row>
    <row r="8913" spans="1:3">
      <c r="A8913" s="131" t="s">
        <v>4464</v>
      </c>
      <c r="B8913" s="132">
        <v>0.23017793724732419</v>
      </c>
      <c r="C8913" s="133"/>
    </row>
    <row r="8914" spans="1:3">
      <c r="A8914" s="131" t="s">
        <v>4465</v>
      </c>
      <c r="B8914" s="132">
        <v>2.3668036982120109</v>
      </c>
      <c r="C8914" s="133"/>
    </row>
    <row r="8915" spans="1:3">
      <c r="A8915" s="131" t="s">
        <v>4466</v>
      </c>
      <c r="B8915" s="132">
        <v>1.8785265187513001E-3</v>
      </c>
      <c r="C8915" s="133"/>
    </row>
    <row r="8916" spans="1:3">
      <c r="A8916" s="131" t="s">
        <v>4467</v>
      </c>
      <c r="B8916" s="132">
        <v>0.46655895694261368</v>
      </c>
      <c r="C8916" s="133"/>
    </row>
    <row r="8917" spans="1:3">
      <c r="A8917" s="131" t="s">
        <v>1390</v>
      </c>
      <c r="B8917" s="132">
        <v>5.8185261819155999E-3</v>
      </c>
      <c r="C8917" s="133"/>
    </row>
    <row r="8918" spans="1:3">
      <c r="A8918" s="131" t="s">
        <v>1391</v>
      </c>
      <c r="B8918" s="132">
        <v>0.71712615443926997</v>
      </c>
      <c r="C8918" s="133"/>
    </row>
    <row r="8919" spans="1:3">
      <c r="A8919" s="131" t="s">
        <v>1392</v>
      </c>
      <c r="B8919" s="132">
        <v>1.0143136184223999E-2</v>
      </c>
      <c r="C8919" s="133"/>
    </row>
    <row r="8920" spans="1:3">
      <c r="A8920" s="131" t="s">
        <v>1393</v>
      </c>
      <c r="B8920" s="132">
        <v>0.12841956484558001</v>
      </c>
      <c r="C8920" s="133"/>
    </row>
    <row r="8921" spans="1:3">
      <c r="A8921" s="131" t="s">
        <v>1394</v>
      </c>
      <c r="B8921" s="132">
        <v>2.1974741893236001</v>
      </c>
      <c r="C8921" s="133"/>
    </row>
    <row r="8922" spans="1:3">
      <c r="A8922" s="131" t="s">
        <v>1395</v>
      </c>
      <c r="B8922" s="132">
        <v>51.41</v>
      </c>
      <c r="C8922" s="133"/>
    </row>
    <row r="8923" spans="1:3">
      <c r="A8923" s="131" t="s">
        <v>1396</v>
      </c>
      <c r="B8923" s="132">
        <v>25.546386456</v>
      </c>
      <c r="C8923" s="133"/>
    </row>
    <row r="8924" spans="1:3">
      <c r="A8924" s="131" t="s">
        <v>1397</v>
      </c>
      <c r="B8924" s="132">
        <v>4.3717560389181003</v>
      </c>
      <c r="C8924" s="133"/>
    </row>
    <row r="8925" spans="1:3">
      <c r="A8925" s="131" t="s">
        <v>1398</v>
      </c>
      <c r="B8925" s="132">
        <v>1.2607496816026</v>
      </c>
      <c r="C8925" s="133"/>
    </row>
    <row r="8926" spans="1:3">
      <c r="A8926" s="131" t="s">
        <v>1399</v>
      </c>
      <c r="B8926" s="132">
        <v>0.12718536161239</v>
      </c>
      <c r="C8926" s="133"/>
    </row>
    <row r="8927" spans="1:3">
      <c r="A8927" s="131" t="s">
        <v>1400</v>
      </c>
      <c r="B8927" s="132">
        <v>6.18</v>
      </c>
      <c r="C8927" s="133"/>
    </row>
    <row r="8928" spans="1:3">
      <c r="A8928" s="131" t="s">
        <v>1401</v>
      </c>
      <c r="B8928" s="132">
        <v>0.23511097729500999</v>
      </c>
      <c r="C8928" s="133"/>
    </row>
    <row r="8929" spans="1:3">
      <c r="A8929" s="131" t="s">
        <v>1402</v>
      </c>
      <c r="B8929" s="132">
        <v>1.5629716432742E-3</v>
      </c>
      <c r="C8929" s="133"/>
    </row>
    <row r="8930" spans="1:3">
      <c r="A8930" s="131" t="s">
        <v>1403</v>
      </c>
      <c r="B8930" s="132">
        <v>9.5727233391360994E-2</v>
      </c>
      <c r="C8930" s="133"/>
    </row>
    <row r="8931" spans="1:3">
      <c r="A8931" s="131" t="s">
        <v>1404</v>
      </c>
      <c r="B8931" s="132">
        <v>0.13630372383160999</v>
      </c>
      <c r="C8931" s="133"/>
    </row>
    <row r="8932" spans="1:3">
      <c r="A8932" s="131" t="s">
        <v>1405</v>
      </c>
      <c r="B8932" s="132">
        <v>6.60981834195E-9</v>
      </c>
      <c r="C8932" s="133"/>
    </row>
    <row r="8933" spans="1:3">
      <c r="A8933" s="131" t="s">
        <v>1406</v>
      </c>
      <c r="B8933" s="132">
        <v>3.0805126732305998E-3</v>
      </c>
      <c r="C8933" s="133"/>
    </row>
    <row r="8934" spans="1:3">
      <c r="A8934" s="131" t="s">
        <v>1407</v>
      </c>
      <c r="B8934" s="132">
        <v>88.279851556344994</v>
      </c>
      <c r="C8934" s="133"/>
    </row>
    <row r="8935" spans="1:3">
      <c r="A8935" s="131" t="s">
        <v>1408</v>
      </c>
      <c r="B8935" s="132">
        <v>8.7509977780691995E-4</v>
      </c>
      <c r="C8935" s="133"/>
    </row>
    <row r="8936" spans="1:3">
      <c r="A8936" s="131" t="s">
        <v>1409</v>
      </c>
      <c r="B8936" s="132">
        <v>37.43</v>
      </c>
      <c r="C8936" s="133"/>
    </row>
    <row r="8937" spans="1:3">
      <c r="A8937" s="131" t="s">
        <v>1410</v>
      </c>
      <c r="B8937" s="132">
        <v>243.33</v>
      </c>
      <c r="C8937" s="133"/>
    </row>
    <row r="8938" spans="1:3">
      <c r="A8938" s="131" t="s">
        <v>1411</v>
      </c>
      <c r="B8938" s="132">
        <v>92.66579625</v>
      </c>
      <c r="C8938" s="133"/>
    </row>
    <row r="8939" spans="1:3">
      <c r="A8939" s="131" t="s">
        <v>1412</v>
      </c>
      <c r="B8939" s="132">
        <v>1.3981503762198</v>
      </c>
      <c r="C8939" s="133"/>
    </row>
    <row r="8940" spans="1:3">
      <c r="A8940" s="131" t="s">
        <v>1413</v>
      </c>
      <c r="B8940" s="132">
        <v>4.2022743341112003E-3</v>
      </c>
      <c r="C8940" s="133"/>
    </row>
    <row r="8941" spans="1:3">
      <c r="A8941" s="131" t="s">
        <v>1414</v>
      </c>
      <c r="B8941" s="132">
        <v>3.6816907260341002E-2</v>
      </c>
      <c r="C8941" s="133"/>
    </row>
    <row r="8942" spans="1:3">
      <c r="A8942" s="131" t="s">
        <v>1415</v>
      </c>
      <c r="B8942" s="132">
        <v>72.327608622696005</v>
      </c>
      <c r="C8942" s="133"/>
    </row>
    <row r="8943" spans="1:3">
      <c r="A8943" s="131" t="s">
        <v>1416</v>
      </c>
      <c r="B8943" s="132">
        <v>0.34918898633447998</v>
      </c>
      <c r="C8943" s="133"/>
    </row>
    <row r="8944" spans="1:3">
      <c r="A8944" s="131" t="s">
        <v>1417</v>
      </c>
      <c r="B8944" s="132">
        <v>2.0436266004064001E-2</v>
      </c>
      <c r="C8944" s="133"/>
    </row>
    <row r="8945" spans="1:3">
      <c r="A8945" s="131" t="s">
        <v>1418</v>
      </c>
      <c r="B8945" s="132">
        <v>2.658923246225E-2</v>
      </c>
      <c r="C8945" s="133"/>
    </row>
    <row r="8946" spans="1:3">
      <c r="A8946" s="131" t="s">
        <v>1419</v>
      </c>
      <c r="B8946" s="132">
        <v>5.9145843326028E-2</v>
      </c>
      <c r="C8946" s="133"/>
    </row>
    <row r="8947" spans="1:3">
      <c r="A8947" s="131" t="s">
        <v>1420</v>
      </c>
      <c r="B8947" s="132">
        <v>45.890362560325997</v>
      </c>
      <c r="C8947" s="133"/>
    </row>
    <row r="8948" spans="1:3">
      <c r="A8948" s="131" t="s">
        <v>1421</v>
      </c>
      <c r="B8948" s="132">
        <v>332.67</v>
      </c>
      <c r="C8948" s="133"/>
    </row>
    <row r="8949" spans="1:3">
      <c r="A8949" s="131" t="s">
        <v>1422</v>
      </c>
      <c r="B8949" s="132">
        <v>1.4527815116545E-3</v>
      </c>
      <c r="C8949" s="133"/>
    </row>
    <row r="8950" spans="1:3">
      <c r="A8950" s="131" t="s">
        <v>1423</v>
      </c>
      <c r="B8950" s="132">
        <v>6.1316735439999996E-11</v>
      </c>
      <c r="C8950" s="133"/>
    </row>
    <row r="8951" spans="1:3">
      <c r="A8951" s="131" t="s">
        <v>1424</v>
      </c>
      <c r="B8951" s="132">
        <v>7.6696656919509002E-3</v>
      </c>
      <c r="C8951" s="133"/>
    </row>
    <row r="8952" spans="1:3">
      <c r="A8952" s="131" t="s">
        <v>1425</v>
      </c>
      <c r="B8952" s="132">
        <v>0.15887448352047001</v>
      </c>
      <c r="C8952" s="133"/>
    </row>
    <row r="8953" spans="1:3">
      <c r="A8953" s="131" t="s">
        <v>1426</v>
      </c>
      <c r="B8953" s="132">
        <v>0.60395752184298002</v>
      </c>
      <c r="C8953" s="133"/>
    </row>
    <row r="8954" spans="1:3">
      <c r="A8954" s="131" t="s">
        <v>1427</v>
      </c>
      <c r="B8954" s="132">
        <v>11.639030496701</v>
      </c>
      <c r="C8954" s="133"/>
    </row>
    <row r="8955" spans="1:3">
      <c r="A8955" s="131" t="s">
        <v>1428</v>
      </c>
      <c r="B8955" s="132">
        <v>4.4754181823487746</v>
      </c>
      <c r="C8955" s="133"/>
    </row>
    <row r="8956" spans="1:3">
      <c r="A8956" s="131" t="s">
        <v>1429</v>
      </c>
      <c r="B8956" s="132">
        <v>5.4989756722002001E-4</v>
      </c>
      <c r="C8956" s="133"/>
    </row>
    <row r="8957" spans="1:3">
      <c r="A8957" s="131" t="s">
        <v>1430</v>
      </c>
      <c r="B8957" s="132">
        <v>31.911321102854</v>
      </c>
      <c r="C8957" s="133"/>
    </row>
    <row r="8958" spans="1:3">
      <c r="A8958" s="131" t="s">
        <v>1431</v>
      </c>
      <c r="B8958" s="132">
        <v>90.16</v>
      </c>
      <c r="C8958" s="133"/>
    </row>
    <row r="8959" spans="1:3">
      <c r="A8959" s="131" t="s">
        <v>1432</v>
      </c>
      <c r="B8959" s="132">
        <v>62.37</v>
      </c>
      <c r="C8959" s="133"/>
    </row>
    <row r="8960" spans="1:3">
      <c r="A8960" s="131" t="s">
        <v>1433</v>
      </c>
      <c r="B8960" s="132">
        <v>184.03</v>
      </c>
      <c r="C8960" s="133"/>
    </row>
    <row r="8961" spans="1:3">
      <c r="A8961" s="131" t="s">
        <v>1434</v>
      </c>
      <c r="B8961" s="132">
        <v>6.5977719022476001E-6</v>
      </c>
      <c r="C8961" s="133"/>
    </row>
    <row r="8962" spans="1:3">
      <c r="A8962" s="131" t="s">
        <v>1435</v>
      </c>
      <c r="B8962" s="132">
        <v>6.9835249541844002E-2</v>
      </c>
      <c r="C8962" s="133"/>
    </row>
    <row r="8963" spans="1:3">
      <c r="A8963" s="131" t="s">
        <v>1436</v>
      </c>
      <c r="B8963" s="132">
        <v>110.76</v>
      </c>
      <c r="C8963" s="133"/>
    </row>
    <row r="8964" spans="1:3">
      <c r="A8964" s="131" t="s">
        <v>1437</v>
      </c>
      <c r="B8964" s="132">
        <v>79.540000000000006</v>
      </c>
      <c r="C8964" s="133"/>
    </row>
    <row r="8965" spans="1:3">
      <c r="A8965" s="131" t="s">
        <v>1438</v>
      </c>
      <c r="B8965" s="132">
        <v>87.449986325487004</v>
      </c>
      <c r="C8965" s="133"/>
    </row>
    <row r="8966" spans="1:3">
      <c r="A8966" s="131" t="s">
        <v>1439</v>
      </c>
      <c r="B8966" s="132">
        <v>9.93</v>
      </c>
      <c r="C8966" s="133"/>
    </row>
    <row r="8967" spans="1:3">
      <c r="A8967" s="131" t="s">
        <v>1440</v>
      </c>
      <c r="B8967" s="132">
        <v>121.08</v>
      </c>
      <c r="C8967" s="133"/>
    </row>
    <row r="8968" spans="1:3">
      <c r="A8968" s="131" t="s">
        <v>1441</v>
      </c>
      <c r="B8968" s="132">
        <v>185.15</v>
      </c>
      <c r="C8968" s="133"/>
    </row>
    <row r="8969" spans="1:3">
      <c r="A8969" s="131" t="s">
        <v>1442</v>
      </c>
      <c r="B8969" s="132">
        <v>75.489999999999995</v>
      </c>
      <c r="C8969" s="133"/>
    </row>
    <row r="8970" spans="1:3">
      <c r="A8970" s="131" t="s">
        <v>1443</v>
      </c>
      <c r="B8970" s="132">
        <v>25.535446003474</v>
      </c>
      <c r="C8970" s="133"/>
    </row>
    <row r="8971" spans="1:3">
      <c r="A8971" s="131" t="s">
        <v>1444</v>
      </c>
      <c r="B8971" s="132">
        <v>2.4325296038999999</v>
      </c>
      <c r="C8971" s="133"/>
    </row>
    <row r="8972" spans="1:3">
      <c r="A8972" s="131" t="s">
        <v>1445</v>
      </c>
      <c r="B8972" s="132">
        <v>148.22</v>
      </c>
      <c r="C8972" s="133"/>
    </row>
    <row r="8973" spans="1:3">
      <c r="A8973" s="131" t="s">
        <v>1446</v>
      </c>
      <c r="B8973" s="132">
        <v>1.6340009174976269E-10</v>
      </c>
      <c r="C8973" s="133"/>
    </row>
    <row r="8974" spans="1:3">
      <c r="A8974" s="131" t="s">
        <v>1447</v>
      </c>
      <c r="B8974" s="132">
        <v>9.1748622014999981E-10</v>
      </c>
      <c r="C8974" s="133"/>
    </row>
    <row r="8975" spans="1:3">
      <c r="A8975" s="131" t="s">
        <v>1448</v>
      </c>
      <c r="B8975" s="132">
        <v>3.1892490986079001E-4</v>
      </c>
      <c r="C8975" s="133"/>
    </row>
    <row r="8976" spans="1:3">
      <c r="A8976" s="131" t="s">
        <v>1449</v>
      </c>
      <c r="B8976" s="132">
        <v>414.88</v>
      </c>
      <c r="C8976" s="133"/>
    </row>
    <row r="8977" spans="1:3">
      <c r="A8977" s="131" t="s">
        <v>1450</v>
      </c>
      <c r="B8977" s="132">
        <v>16.18</v>
      </c>
      <c r="C8977" s="133"/>
    </row>
    <row r="8978" spans="1:3">
      <c r="A8978" s="131" t="s">
        <v>1451</v>
      </c>
      <c r="B8978" s="132">
        <v>300.26</v>
      </c>
      <c r="C8978" s="133"/>
    </row>
    <row r="8979" spans="1:3">
      <c r="A8979" s="131" t="s">
        <v>1452</v>
      </c>
      <c r="B8979" s="132">
        <v>1.1079677509730001E-2</v>
      </c>
      <c r="C8979" s="133"/>
    </row>
    <row r="8980" spans="1:3">
      <c r="A8980" s="131" t="s">
        <v>1453</v>
      </c>
      <c r="B8980" s="132">
        <v>20.69</v>
      </c>
      <c r="C8980" s="133"/>
    </row>
    <row r="8981" spans="1:3">
      <c r="A8981" s="131" t="s">
        <v>1454</v>
      </c>
      <c r="B8981" s="132">
        <v>102.58</v>
      </c>
      <c r="C8981" s="133"/>
    </row>
    <row r="8982" spans="1:3">
      <c r="A8982" s="131" t="s">
        <v>1455</v>
      </c>
      <c r="B8982" s="132">
        <v>23.44</v>
      </c>
      <c r="C8982" s="133"/>
    </row>
    <row r="8983" spans="1:3">
      <c r="A8983" s="131" t="s">
        <v>1456</v>
      </c>
      <c r="B8983" s="132">
        <v>268.7</v>
      </c>
      <c r="C8983" s="133"/>
    </row>
    <row r="8984" spans="1:3">
      <c r="A8984" s="131" t="s">
        <v>1457</v>
      </c>
      <c r="B8984" s="132">
        <v>302.04000000000002</v>
      </c>
      <c r="C8984" s="133"/>
    </row>
    <row r="8985" spans="1:3">
      <c r="A8985" s="131" t="s">
        <v>1458</v>
      </c>
      <c r="B8985" s="132">
        <v>39.403595301792954</v>
      </c>
      <c r="C8985" s="133"/>
    </row>
    <row r="8986" spans="1:3">
      <c r="A8986" s="131" t="s">
        <v>1459</v>
      </c>
      <c r="B8986" s="132">
        <v>6.1610252743686002E-4</v>
      </c>
      <c r="C8986" s="133"/>
    </row>
    <row r="8987" spans="1:3">
      <c r="A8987" s="131" t="s">
        <v>1460</v>
      </c>
      <c r="B8987" s="132">
        <v>2.0832864529806E-4</v>
      </c>
      <c r="C8987" s="133"/>
    </row>
    <row r="8988" spans="1:3">
      <c r="A8988" s="131" t="s">
        <v>1461</v>
      </c>
      <c r="B8988" s="132">
        <v>1.102362897636E-3</v>
      </c>
      <c r="C8988" s="133"/>
    </row>
    <row r="8989" spans="1:3">
      <c r="A8989" s="131" t="s">
        <v>1462</v>
      </c>
      <c r="B8989" s="132">
        <v>2.5531000000000002E-4</v>
      </c>
      <c r="C8989" s="133"/>
    </row>
    <row r="8990" spans="1:3">
      <c r="A8990" s="131" t="s">
        <v>1463</v>
      </c>
      <c r="B8990" s="132">
        <v>3.4873309067890998E-6</v>
      </c>
      <c r="C8990" s="133"/>
    </row>
    <row r="8991" spans="1:3">
      <c r="A8991" s="131" t="s">
        <v>1464</v>
      </c>
      <c r="B8991" s="132">
        <v>6.2184962173960998E-3</v>
      </c>
      <c r="C8991" s="133"/>
    </row>
    <row r="8992" spans="1:3">
      <c r="A8992" s="131" t="s">
        <v>1465</v>
      </c>
      <c r="B8992" s="132">
        <v>4.3647030963651998E-4</v>
      </c>
      <c r="C8992" s="133"/>
    </row>
    <row r="8993" spans="1:3">
      <c r="A8993" s="131" t="s">
        <v>1466</v>
      </c>
      <c r="B8993" s="132">
        <v>102.06</v>
      </c>
      <c r="C8993" s="133"/>
    </row>
    <row r="8994" spans="1:3">
      <c r="A8994" s="131" t="s">
        <v>1467</v>
      </c>
      <c r="B8994" s="132">
        <v>72.86</v>
      </c>
      <c r="C8994" s="133"/>
    </row>
    <row r="8995" spans="1:3">
      <c r="A8995" s="131" t="s">
        <v>1468</v>
      </c>
      <c r="B8995" s="132">
        <v>62.58</v>
      </c>
      <c r="C8995" s="133"/>
    </row>
    <row r="8996" spans="1:3">
      <c r="A8996" s="131" t="s">
        <v>1469</v>
      </c>
      <c r="B8996" s="132">
        <v>19.138229383561999</v>
      </c>
      <c r="C8996" s="133"/>
    </row>
    <row r="8997" spans="1:3">
      <c r="A8997" s="131" t="s">
        <v>1470</v>
      </c>
      <c r="B8997" s="132">
        <v>1.6616551263886E-2</v>
      </c>
      <c r="C8997" s="133"/>
    </row>
    <row r="8998" spans="1:3">
      <c r="A8998" s="131" t="s">
        <v>1471</v>
      </c>
      <c r="B8998" s="132">
        <v>6.1610253464612001E-4</v>
      </c>
      <c r="C8998" s="133"/>
    </row>
    <row r="8999" spans="1:3">
      <c r="A8999" s="131" t="s">
        <v>1472</v>
      </c>
      <c r="B8999" s="132">
        <v>6.6138162691470007E-2</v>
      </c>
      <c r="C8999" s="133"/>
    </row>
    <row r="9000" spans="1:3">
      <c r="A9000" s="131" t="s">
        <v>1473</v>
      </c>
      <c r="B9000" s="132">
        <v>9.2169298949767997E-2</v>
      </c>
      <c r="C9000" s="133"/>
    </row>
    <row r="9001" spans="1:3">
      <c r="A9001" s="131" t="s">
        <v>1474</v>
      </c>
      <c r="B9001" s="132">
        <v>6.1610253464612001E-4</v>
      </c>
      <c r="C9001" s="133"/>
    </row>
    <row r="9002" spans="1:3">
      <c r="A9002" s="131" t="s">
        <v>1475</v>
      </c>
      <c r="B9002" s="132">
        <v>1.0026125734340001E-3</v>
      </c>
      <c r="C9002" s="133"/>
    </row>
    <row r="9003" spans="1:3">
      <c r="A9003" s="131" t="s">
        <v>1476</v>
      </c>
      <c r="B9003" s="132">
        <v>2.1659355089999999E-11</v>
      </c>
      <c r="C9003" s="133"/>
    </row>
    <row r="9004" spans="1:3">
      <c r="A9004" s="131" t="s">
        <v>1477</v>
      </c>
      <c r="B9004" s="132">
        <v>29.141313563187001</v>
      </c>
      <c r="C9004" s="133"/>
    </row>
    <row r="9005" spans="1:3">
      <c r="A9005" s="131" t="s">
        <v>1478</v>
      </c>
      <c r="B9005" s="132">
        <v>0.22894487594749</v>
      </c>
      <c r="C9005" s="133"/>
    </row>
    <row r="9006" spans="1:3">
      <c r="A9006" s="131" t="s">
        <v>1479</v>
      </c>
      <c r="B9006" s="132">
        <v>1.0832746418999999</v>
      </c>
      <c r="C9006" s="133"/>
    </row>
    <row r="9007" spans="1:3">
      <c r="A9007" s="131" t="s">
        <v>1480</v>
      </c>
      <c r="B9007" s="132">
        <v>0.24749548758000001</v>
      </c>
      <c r="C9007" s="133"/>
    </row>
    <row r="9008" spans="1:3">
      <c r="A9008" s="131" t="s">
        <v>1481</v>
      </c>
      <c r="B9008" s="132">
        <v>43.23</v>
      </c>
      <c r="C9008" s="133"/>
    </row>
    <row r="9009" spans="1:3">
      <c r="A9009" s="131" t="s">
        <v>1482</v>
      </c>
      <c r="B9009" s="132">
        <v>3.71</v>
      </c>
      <c r="C9009" s="133"/>
    </row>
    <row r="9010" spans="1:3">
      <c r="A9010" s="131" t="s">
        <v>1483</v>
      </c>
      <c r="B9010" s="132">
        <v>30.54</v>
      </c>
      <c r="C9010" s="133"/>
    </row>
    <row r="9011" spans="1:3">
      <c r="A9011" s="131" t="s">
        <v>1484</v>
      </c>
      <c r="B9011" s="132">
        <v>32.909999999999997</v>
      </c>
      <c r="C9011" s="133"/>
    </row>
    <row r="9012" spans="1:3">
      <c r="A9012" s="131" t="s">
        <v>1485</v>
      </c>
      <c r="B9012" s="132">
        <v>68.23</v>
      </c>
      <c r="C9012" s="133"/>
    </row>
    <row r="9013" spans="1:3">
      <c r="A9013" s="131" t="s">
        <v>1486</v>
      </c>
      <c r="B9013" s="132">
        <v>3.6616548499999998E-12</v>
      </c>
      <c r="C9013" s="133"/>
    </row>
    <row r="9014" spans="1:3">
      <c r="A9014" s="131" t="s">
        <v>1487</v>
      </c>
      <c r="B9014" s="132">
        <v>9.2645434725099996E-9</v>
      </c>
      <c r="C9014" s="133"/>
    </row>
    <row r="9015" spans="1:3">
      <c r="A9015" s="131" t="s">
        <v>1488</v>
      </c>
      <c r="B9015" s="132">
        <v>2.1202165657899703E-6</v>
      </c>
      <c r="C9015" s="133"/>
    </row>
    <row r="9016" spans="1:3">
      <c r="A9016" s="131" t="s">
        <v>1489</v>
      </c>
      <c r="B9016" s="132">
        <v>1.6330676198160775E-2</v>
      </c>
      <c r="C9016" s="133"/>
    </row>
    <row r="9017" spans="1:3">
      <c r="A9017" s="131" t="s">
        <v>1490</v>
      </c>
      <c r="B9017" s="132">
        <v>4.8092850431574004</v>
      </c>
      <c r="C9017" s="133"/>
    </row>
    <row r="9018" spans="1:3">
      <c r="A9018" s="131" t="s">
        <v>1491</v>
      </c>
      <c r="B9018" s="132">
        <v>0.46813398819000002</v>
      </c>
      <c r="C9018" s="133"/>
    </row>
    <row r="9019" spans="1:3">
      <c r="A9019" s="131" t="s">
        <v>1492</v>
      </c>
      <c r="B9019" s="132">
        <v>8.9700490770000005</v>
      </c>
      <c r="C9019" s="133"/>
    </row>
    <row r="9020" spans="1:3">
      <c r="A9020" s="131" t="s">
        <v>1493</v>
      </c>
      <c r="B9020" s="132">
        <v>1.5896827538586E-4</v>
      </c>
      <c r="C9020" s="133"/>
    </row>
    <row r="9021" spans="1:3">
      <c r="A9021" s="131" t="s">
        <v>1494</v>
      </c>
      <c r="B9021" s="132">
        <v>1.9685913318595E-2</v>
      </c>
      <c r="C9021" s="133"/>
    </row>
    <row r="9022" spans="1:3">
      <c r="A9022" s="131" t="s">
        <v>1495</v>
      </c>
      <c r="B9022" s="132">
        <v>2.5937702953132001E-3</v>
      </c>
      <c r="C9022" s="133"/>
    </row>
    <row r="9023" spans="1:3">
      <c r="A9023" s="131" t="s">
        <v>1496</v>
      </c>
      <c r="B9023" s="132">
        <v>4.4559702829938E-2</v>
      </c>
      <c r="C9023" s="133"/>
    </row>
    <row r="9024" spans="1:3">
      <c r="A9024" s="131" t="s">
        <v>1497</v>
      </c>
      <c r="B9024" s="132">
        <v>5.7482989995064999E-3</v>
      </c>
      <c r="C9024" s="133"/>
    </row>
    <row r="9025" spans="1:3">
      <c r="A9025" s="131" t="s">
        <v>1498</v>
      </c>
      <c r="B9025" s="132">
        <v>11.341054127485</v>
      </c>
      <c r="C9025" s="133"/>
    </row>
    <row r="9026" spans="1:3">
      <c r="A9026" s="131" t="s">
        <v>1499</v>
      </c>
      <c r="B9026" s="132">
        <v>0.35136394689447997</v>
      </c>
      <c r="C9026" s="133"/>
    </row>
    <row r="9027" spans="1:3">
      <c r="A9027" s="131" t="s">
        <v>1500</v>
      </c>
      <c r="B9027" s="132">
        <v>47.54</v>
      </c>
      <c r="C9027" s="133"/>
    </row>
    <row r="9028" spans="1:3">
      <c r="A9028" s="131" t="s">
        <v>1501</v>
      </c>
      <c r="B9028" s="132">
        <v>0.59329659338551965</v>
      </c>
      <c r="C9028" s="133"/>
    </row>
    <row r="9029" spans="1:3">
      <c r="A9029" s="131" t="s">
        <v>1502</v>
      </c>
      <c r="B9029" s="132">
        <v>1.1853454899999999E-2</v>
      </c>
      <c r="C9029" s="133"/>
    </row>
    <row r="9030" spans="1:3">
      <c r="A9030" s="131" t="s">
        <v>1503</v>
      </c>
      <c r="B9030" s="132">
        <v>7.0163606200000001E-11</v>
      </c>
      <c r="C9030" s="133"/>
    </row>
    <row r="9031" spans="1:3">
      <c r="A9031" s="131" t="s">
        <v>1504</v>
      </c>
      <c r="B9031" s="132">
        <v>1.5321743203645E-4</v>
      </c>
      <c r="C9031" s="133"/>
    </row>
    <row r="9032" spans="1:3">
      <c r="A9032" s="131" t="s">
        <v>1505</v>
      </c>
      <c r="B9032" s="132">
        <v>0.56805078760476002</v>
      </c>
      <c r="C9032" s="133"/>
    </row>
    <row r="9033" spans="1:3">
      <c r="A9033" s="131" t="s">
        <v>1506</v>
      </c>
      <c r="B9033" s="132">
        <v>1.1379384882154</v>
      </c>
      <c r="C9033" s="133"/>
    </row>
    <row r="9034" spans="1:3">
      <c r="A9034" s="131" t="s">
        <v>1507</v>
      </c>
      <c r="B9034" s="132">
        <v>9.1210400777853001E-2</v>
      </c>
      <c r="C9034" s="133"/>
    </row>
    <row r="9035" spans="1:3">
      <c r="A9035" s="131" t="s">
        <v>1508</v>
      </c>
      <c r="B9035" s="132">
        <v>0.49800856956086997</v>
      </c>
      <c r="C9035" s="133"/>
    </row>
    <row r="9036" spans="1:3">
      <c r="A9036" s="131" t="s">
        <v>1509</v>
      </c>
      <c r="B9036" s="132">
        <v>0.91125077870438997</v>
      </c>
      <c r="C9036" s="133"/>
    </row>
    <row r="9037" spans="1:3">
      <c r="A9037" s="131" t="s">
        <v>1510</v>
      </c>
      <c r="B9037" s="132">
        <v>1.5481344926E-10</v>
      </c>
      <c r="C9037" s="133"/>
    </row>
    <row r="9038" spans="1:3">
      <c r="A9038" s="131" t="s">
        <v>1511</v>
      </c>
      <c r="B9038" s="132">
        <v>0.6866125121215112</v>
      </c>
      <c r="C9038" s="133"/>
    </row>
    <row r="9039" spans="1:3">
      <c r="A9039" s="131" t="s">
        <v>1512</v>
      </c>
      <c r="B9039" s="132">
        <v>0.20611155067306999</v>
      </c>
      <c r="C9039" s="133"/>
    </row>
    <row r="9040" spans="1:3">
      <c r="A9040" s="131" t="s">
        <v>1513</v>
      </c>
      <c r="B9040" s="132">
        <v>0.27602891922801565</v>
      </c>
      <c r="C9040" s="133"/>
    </row>
    <row r="9041" spans="1:3">
      <c r="A9041" s="131" t="s">
        <v>1514</v>
      </c>
      <c r="B9041" s="132">
        <v>1.15062273434E-4</v>
      </c>
      <c r="C9041" s="133"/>
    </row>
    <row r="9042" spans="1:3">
      <c r="A9042" s="131" t="s">
        <v>1515</v>
      </c>
      <c r="B9042" s="132">
        <v>7.2052533139999995E-10</v>
      </c>
      <c r="C9042" s="133"/>
    </row>
    <row r="9043" spans="1:3">
      <c r="A9043" s="131" t="s">
        <v>1516</v>
      </c>
      <c r="B9043" s="132">
        <v>1.7760651056790999</v>
      </c>
      <c r="C9043" s="133"/>
    </row>
    <row r="9044" spans="1:3">
      <c r="A9044" s="131" t="s">
        <v>1517</v>
      </c>
      <c r="B9044" s="132">
        <v>0.18316352511866379</v>
      </c>
      <c r="C9044" s="133"/>
    </row>
    <row r="9045" spans="1:3">
      <c r="A9045" s="131" t="s">
        <v>1518</v>
      </c>
      <c r="B9045" s="132">
        <v>4.5610269434470009E-10</v>
      </c>
      <c r="C9045" s="133"/>
    </row>
    <row r="9046" spans="1:3">
      <c r="A9046" s="131" t="s">
        <v>1519</v>
      </c>
      <c r="B9046" s="132">
        <v>0.20137497923985562</v>
      </c>
      <c r="C9046" s="133"/>
    </row>
    <row r="9047" spans="1:3">
      <c r="A9047" s="131" t="s">
        <v>1520</v>
      </c>
      <c r="B9047" s="132">
        <v>354.75</v>
      </c>
      <c r="C9047" s="133"/>
    </row>
    <row r="9048" spans="1:3">
      <c r="A9048" s="131" t="s">
        <v>1521</v>
      </c>
      <c r="B9048" s="132">
        <v>17.09</v>
      </c>
      <c r="C9048" s="133"/>
    </row>
    <row r="9049" spans="1:3">
      <c r="A9049" s="131" t="s">
        <v>1522</v>
      </c>
      <c r="B9049" s="132">
        <v>30.34</v>
      </c>
      <c r="C9049" s="133"/>
    </row>
    <row r="9050" spans="1:3">
      <c r="A9050" s="131" t="s">
        <v>1523</v>
      </c>
      <c r="B9050" s="132">
        <v>9.6941388285681001</v>
      </c>
      <c r="C9050" s="133"/>
    </row>
    <row r="9051" spans="1:3">
      <c r="A9051" s="131" t="s">
        <v>1524</v>
      </c>
      <c r="B9051" s="132">
        <v>36.189</v>
      </c>
      <c r="C9051" s="133"/>
    </row>
    <row r="9052" spans="1:3">
      <c r="A9052" s="131" t="s">
        <v>1525</v>
      </c>
      <c r="B9052" s="132">
        <v>6.0291598911549002E-4</v>
      </c>
      <c r="C9052" s="133"/>
    </row>
    <row r="9053" spans="1:3">
      <c r="A9053" s="131" t="s">
        <v>1526</v>
      </c>
      <c r="B9053" s="132">
        <v>5.0717737263749984E-9</v>
      </c>
      <c r="C9053" s="133"/>
    </row>
    <row r="9054" spans="1:3">
      <c r="A9054" s="131" t="s">
        <v>1527</v>
      </c>
      <c r="B9054" s="132">
        <v>2.1751772386566</v>
      </c>
      <c r="C9054" s="133"/>
    </row>
    <row r="9055" spans="1:3">
      <c r="A9055" s="131" t="s">
        <v>1528</v>
      </c>
      <c r="B9055" s="132">
        <v>6.2433821728774997E-4</v>
      </c>
      <c r="C9055" s="133"/>
    </row>
    <row r="9056" spans="1:3">
      <c r="A9056" s="131" t="s">
        <v>1529</v>
      </c>
      <c r="B9056" s="132">
        <v>83.75</v>
      </c>
      <c r="C9056" s="133"/>
    </row>
    <row r="9057" spans="1:3">
      <c r="A9057" s="131" t="s">
        <v>1530</v>
      </c>
      <c r="B9057" s="132">
        <v>0.69952727452203645</v>
      </c>
      <c r="C9057" s="133"/>
    </row>
    <row r="9058" spans="1:3">
      <c r="A9058" s="131" t="s">
        <v>1531</v>
      </c>
      <c r="B9058" s="132">
        <v>2.0045624255686002E-2</v>
      </c>
      <c r="C9058" s="133"/>
    </row>
    <row r="9059" spans="1:3">
      <c r="A9059" s="131" t="s">
        <v>1532</v>
      </c>
      <c r="B9059" s="132">
        <v>1.9358478207606999E-3</v>
      </c>
      <c r="C9059" s="133"/>
    </row>
    <row r="9060" spans="1:3">
      <c r="A9060" s="131" t="s">
        <v>1533</v>
      </c>
      <c r="B9060" s="132">
        <v>1.4547389106201001E-3</v>
      </c>
      <c r="C9060" s="133"/>
    </row>
    <row r="9061" spans="1:3">
      <c r="A9061" s="131" t="s">
        <v>1534</v>
      </c>
      <c r="B9061" s="132">
        <v>4.3821761279935395E-2</v>
      </c>
      <c r="C9061" s="133"/>
    </row>
    <row r="9062" spans="1:3">
      <c r="A9062" s="131" t="s">
        <v>1535</v>
      </c>
      <c r="B9062" s="132">
        <v>4.8005693985859002E-4</v>
      </c>
      <c r="C9062" s="133"/>
    </row>
    <row r="9063" spans="1:3">
      <c r="A9063" s="131" t="s">
        <v>1536</v>
      </c>
      <c r="B9063" s="132">
        <v>0.44912794861597999</v>
      </c>
      <c r="C9063" s="133"/>
    </row>
    <row r="9064" spans="1:3">
      <c r="A9064" s="131" t="s">
        <v>1537</v>
      </c>
      <c r="B9064" s="132">
        <v>2.0306087327667999E-7</v>
      </c>
      <c r="C9064" s="133"/>
    </row>
    <row r="9065" spans="1:3">
      <c r="A9065" s="131" t="s">
        <v>1538</v>
      </c>
      <c r="B9065" s="132">
        <v>1.0805463060155001</v>
      </c>
      <c r="C9065" s="133"/>
    </row>
    <row r="9066" spans="1:3">
      <c r="A9066" s="131" t="s">
        <v>1539</v>
      </c>
      <c r="B9066" s="132">
        <v>0.64587661127549001</v>
      </c>
      <c r="C9066" s="133"/>
    </row>
    <row r="9067" spans="1:3">
      <c r="A9067" s="131" t="s">
        <v>1540</v>
      </c>
      <c r="B9067" s="132">
        <v>7.2522085857723996E-4</v>
      </c>
      <c r="C9067" s="133"/>
    </row>
    <row r="9068" spans="1:3">
      <c r="A9068" s="131" t="s">
        <v>1541</v>
      </c>
      <c r="B9068" s="132">
        <v>1.5160566042545001E-2</v>
      </c>
      <c r="C9068" s="133"/>
    </row>
    <row r="9069" spans="1:3">
      <c r="A9069" s="131" t="s">
        <v>1542</v>
      </c>
      <c r="B9069" s="132">
        <v>12.012589223597001</v>
      </c>
      <c r="C9069" s="133"/>
    </row>
    <row r="9070" spans="1:3">
      <c r="A9070" s="131" t="s">
        <v>1543</v>
      </c>
      <c r="B9070" s="132">
        <v>47.712440907503002</v>
      </c>
      <c r="C9070" s="133"/>
    </row>
    <row r="9071" spans="1:3">
      <c r="A9071" s="131" t="s">
        <v>1544</v>
      </c>
      <c r="B9071" s="132">
        <v>33.89</v>
      </c>
      <c r="C9071" s="133"/>
    </row>
    <row r="9072" spans="1:3">
      <c r="A9072" s="131" t="s">
        <v>1545</v>
      </c>
      <c r="B9072" s="132">
        <v>45.03</v>
      </c>
      <c r="C9072" s="133"/>
    </row>
    <row r="9073" spans="1:3">
      <c r="A9073" s="131" t="s">
        <v>1546</v>
      </c>
      <c r="B9073" s="132">
        <v>257.83</v>
      </c>
      <c r="C9073" s="133"/>
    </row>
    <row r="9074" spans="1:3">
      <c r="A9074" s="131" t="s">
        <v>1547</v>
      </c>
      <c r="B9074" s="132">
        <v>69.290000000000006</v>
      </c>
      <c r="C9074" s="133"/>
    </row>
    <row r="9075" spans="1:3">
      <c r="A9075" s="131" t="s">
        <v>1548</v>
      </c>
      <c r="B9075" s="132">
        <v>153.63999999999999</v>
      </c>
      <c r="C9075" s="133"/>
    </row>
    <row r="9076" spans="1:3">
      <c r="A9076" s="131" t="s">
        <v>1549</v>
      </c>
      <c r="B9076" s="132">
        <v>8.75</v>
      </c>
      <c r="C9076" s="133"/>
    </row>
    <row r="9077" spans="1:3">
      <c r="A9077" s="131" t="s">
        <v>1550</v>
      </c>
      <c r="B9077" s="132">
        <v>0.25195067879001998</v>
      </c>
      <c r="C9077" s="133"/>
    </row>
    <row r="9078" spans="1:3">
      <c r="A9078" s="131" t="s">
        <v>1551</v>
      </c>
      <c r="B9078" s="132">
        <v>3.0757929776851997E-5</v>
      </c>
      <c r="C9078" s="133"/>
    </row>
    <row r="9079" spans="1:3">
      <c r="A9079" s="131" t="s">
        <v>1552</v>
      </c>
      <c r="B9079" s="132">
        <v>35.929449769177999</v>
      </c>
      <c r="C9079" s="133"/>
    </row>
    <row r="9080" spans="1:3">
      <c r="A9080" s="131" t="s">
        <v>1553</v>
      </c>
      <c r="B9080" s="132">
        <v>3.1991901906155999</v>
      </c>
      <c r="C9080" s="133"/>
    </row>
    <row r="9081" spans="1:3">
      <c r="A9081" s="131" t="s">
        <v>1554</v>
      </c>
      <c r="B9081" s="132">
        <v>5.9924673491091999E-4</v>
      </c>
      <c r="C9081" s="133"/>
    </row>
    <row r="9082" spans="1:3">
      <c r="A9082" s="131" t="s">
        <v>1555</v>
      </c>
      <c r="B9082" s="132">
        <v>4.5159380768255999E-2</v>
      </c>
      <c r="C9082" s="133"/>
    </row>
    <row r="9083" spans="1:3">
      <c r="A9083" s="131" t="s">
        <v>1556</v>
      </c>
      <c r="B9083" s="132">
        <v>0.39009452999778998</v>
      </c>
      <c r="C9083" s="133"/>
    </row>
    <row r="9084" spans="1:3">
      <c r="A9084" s="131" t="s">
        <v>1557</v>
      </c>
      <c r="B9084" s="132">
        <v>2.0692364826181E-2</v>
      </c>
      <c r="C9084" s="133"/>
    </row>
    <row r="9085" spans="1:3">
      <c r="A9085" s="131" t="s">
        <v>1558</v>
      </c>
      <c r="B9085" s="132">
        <v>9.7325394607609998E-8</v>
      </c>
      <c r="C9085" s="133"/>
    </row>
    <row r="9086" spans="1:3">
      <c r="A9086" s="131" t="s">
        <v>1559</v>
      </c>
      <c r="B9086" s="132">
        <v>6.4167010502917004E-4</v>
      </c>
      <c r="C9086" s="133"/>
    </row>
    <row r="9087" spans="1:3">
      <c r="A9087" s="131" t="s">
        <v>1560</v>
      </c>
      <c r="B9087" s="132">
        <v>1.3242974985586E-7</v>
      </c>
      <c r="C9087" s="133"/>
    </row>
    <row r="9088" spans="1:3">
      <c r="A9088" s="131" t="s">
        <v>1561</v>
      </c>
      <c r="B9088" s="132">
        <v>3.2199046917748002E-3</v>
      </c>
      <c r="C9088" s="133"/>
    </row>
    <row r="9089" spans="1:3">
      <c r="A9089" s="131" t="s">
        <v>1562</v>
      </c>
      <c r="B9089" s="132">
        <v>0.40437476555000001</v>
      </c>
      <c r="C9089" s="133"/>
    </row>
    <row r="9090" spans="1:3">
      <c r="A9090" s="131" t="s">
        <v>1563</v>
      </c>
      <c r="B9090" s="132">
        <v>5.3947131000000002E-2</v>
      </c>
      <c r="C9090" s="133"/>
    </row>
    <row r="9091" spans="1:3">
      <c r="A9091" s="131" t="s">
        <v>1564</v>
      </c>
      <c r="B9091" s="132">
        <v>0.58025141349999998</v>
      </c>
      <c r="C9091" s="133"/>
    </row>
    <row r="9092" spans="1:3">
      <c r="A9092" s="131" t="s">
        <v>1565</v>
      </c>
      <c r="B9092" s="132">
        <v>1.4752067484</v>
      </c>
      <c r="C9092" s="133"/>
    </row>
    <row r="9093" spans="1:3">
      <c r="A9093" s="131" t="s">
        <v>1566</v>
      </c>
      <c r="B9093" s="132">
        <v>0.7041927684</v>
      </c>
      <c r="C9093" s="133"/>
    </row>
    <row r="9094" spans="1:3">
      <c r="A9094" s="131" t="s">
        <v>1567</v>
      </c>
      <c r="B9094" s="132">
        <v>0.58879767606</v>
      </c>
      <c r="C9094" s="133"/>
    </row>
    <row r="9095" spans="1:3">
      <c r="A9095" s="131" t="s">
        <v>1568</v>
      </c>
      <c r="B9095" s="132">
        <v>103.92487432569</v>
      </c>
      <c r="C9095" s="133"/>
    </row>
    <row r="9096" spans="1:3">
      <c r="A9096" s="131" t="s">
        <v>1569</v>
      </c>
      <c r="B9096" s="132">
        <v>1.2594945382</v>
      </c>
      <c r="C9096" s="133"/>
    </row>
    <row r="9097" spans="1:3">
      <c r="A9097" s="131" t="s">
        <v>1570</v>
      </c>
      <c r="B9097" s="132">
        <v>19.02</v>
      </c>
      <c r="C9097" s="133"/>
    </row>
    <row r="9098" spans="1:3">
      <c r="A9098" s="131" t="s">
        <v>1571</v>
      </c>
      <c r="B9098" s="132">
        <v>146.01</v>
      </c>
      <c r="C9098" s="133"/>
    </row>
    <row r="9099" spans="1:3">
      <c r="A9099" s="131" t="s">
        <v>1572</v>
      </c>
      <c r="B9099" s="132">
        <v>51.21</v>
      </c>
      <c r="C9099" s="133"/>
    </row>
    <row r="9100" spans="1:3">
      <c r="A9100" s="131" t="s">
        <v>1573</v>
      </c>
      <c r="B9100" s="132">
        <v>48.95</v>
      </c>
      <c r="C9100" s="133"/>
    </row>
    <row r="9101" spans="1:3">
      <c r="A9101" s="131" t="s">
        <v>1574</v>
      </c>
      <c r="B9101" s="132">
        <v>96.92</v>
      </c>
      <c r="C9101" s="133"/>
    </row>
    <row r="9102" spans="1:3">
      <c r="A9102" s="131" t="s">
        <v>1575</v>
      </c>
      <c r="B9102" s="132">
        <v>18.006685313519</v>
      </c>
      <c r="C9102" s="133"/>
    </row>
    <row r="9103" spans="1:3">
      <c r="A9103" s="131" t="s">
        <v>1576</v>
      </c>
      <c r="B9103" s="132">
        <v>3.3442579110775003E-5</v>
      </c>
      <c r="C9103" s="133"/>
    </row>
    <row r="9104" spans="1:3">
      <c r="A9104" s="131" t="s">
        <v>1577</v>
      </c>
      <c r="B9104" s="132">
        <v>0.40047849297494997</v>
      </c>
      <c r="C9104" s="133"/>
    </row>
    <row r="9105" spans="1:3">
      <c r="A9105" s="131" t="s">
        <v>1578</v>
      </c>
      <c r="B9105" s="132">
        <v>2.1563706306142998E-2</v>
      </c>
      <c r="C9105" s="133"/>
    </row>
    <row r="9106" spans="1:3">
      <c r="A9106" s="131" t="s">
        <v>1579</v>
      </c>
      <c r="B9106" s="132">
        <v>9.2135385225113997E-2</v>
      </c>
      <c r="C9106" s="133"/>
    </row>
    <row r="9107" spans="1:3">
      <c r="A9107" s="131" t="s">
        <v>1580</v>
      </c>
      <c r="B9107" s="132">
        <v>114.11650041802</v>
      </c>
      <c r="C9107" s="133"/>
    </row>
    <row r="9108" spans="1:3">
      <c r="A9108" s="131" t="s">
        <v>1581</v>
      </c>
      <c r="B9108" s="132">
        <v>6.1329680565770997E-4</v>
      </c>
      <c r="C9108" s="133"/>
    </row>
    <row r="9109" spans="1:3">
      <c r="A9109" s="131" t="s">
        <v>1582</v>
      </c>
      <c r="B9109" s="132">
        <v>1.9509432213033999</v>
      </c>
      <c r="C9109" s="133"/>
    </row>
    <row r="9110" spans="1:3">
      <c r="A9110" s="131" t="s">
        <v>1583</v>
      </c>
      <c r="B9110" s="132">
        <v>1.1688770943172E-4</v>
      </c>
      <c r="C9110" s="133"/>
    </row>
    <row r="9111" spans="1:3">
      <c r="A9111" s="131" t="s">
        <v>1584</v>
      </c>
      <c r="B9111" s="132">
        <v>2.0131776564417999E-3</v>
      </c>
      <c r="C9111" s="133"/>
    </row>
    <row r="9112" spans="1:3">
      <c r="A9112" s="131" t="s">
        <v>1585</v>
      </c>
      <c r="B9112" s="132">
        <v>0.12122002910083844</v>
      </c>
      <c r="C9112" s="133"/>
    </row>
    <row r="9113" spans="1:3">
      <c r="A9113" s="131" t="s">
        <v>1586</v>
      </c>
      <c r="B9113" s="132">
        <v>8.171654758348855E-2</v>
      </c>
      <c r="C9113" s="133"/>
    </row>
    <row r="9114" spans="1:3">
      <c r="A9114" s="131" t="s">
        <v>1587</v>
      </c>
      <c r="B9114" s="132">
        <v>2.2872378875661998</v>
      </c>
      <c r="C9114" s="133"/>
    </row>
    <row r="9115" spans="1:3">
      <c r="A9115" s="131" t="s">
        <v>1588</v>
      </c>
      <c r="B9115" s="132">
        <v>2.0348859484582002E-3</v>
      </c>
      <c r="C9115" s="133"/>
    </row>
    <row r="9116" spans="1:3">
      <c r="A9116" s="131" t="s">
        <v>1589</v>
      </c>
      <c r="B9116" s="132">
        <v>5.1868455079347997E-5</v>
      </c>
      <c r="C9116" s="133"/>
    </row>
    <row r="9117" spans="1:3">
      <c r="A9117" s="131" t="s">
        <v>1590</v>
      </c>
      <c r="B9117" s="132">
        <v>0.17521060704154001</v>
      </c>
      <c r="C9117" s="133"/>
    </row>
    <row r="9118" spans="1:3">
      <c r="A9118" s="131" t="s">
        <v>1591</v>
      </c>
      <c r="B9118" s="132">
        <v>1.1589133910559</v>
      </c>
      <c r="C9118" s="133"/>
    </row>
    <row r="9119" spans="1:3">
      <c r="A9119" s="131" t="s">
        <v>1592</v>
      </c>
      <c r="B9119" s="132">
        <v>4.7255672087177001E-6</v>
      </c>
      <c r="C9119" s="133"/>
    </row>
    <row r="9120" spans="1:3">
      <c r="A9120" s="131" t="s">
        <v>1593</v>
      </c>
      <c r="B9120" s="132">
        <v>2.7986950598669E-3</v>
      </c>
      <c r="C9120" s="133"/>
    </row>
    <row r="9121" spans="1:3">
      <c r="A9121" s="131" t="s">
        <v>1594</v>
      </c>
      <c r="B9121" s="132">
        <v>1.1936450220715999</v>
      </c>
      <c r="C9121" s="133"/>
    </row>
    <row r="9122" spans="1:3">
      <c r="A9122" s="131" t="s">
        <v>1595</v>
      </c>
      <c r="B9122" s="132">
        <v>6.1633356900297001</v>
      </c>
      <c r="C9122" s="133"/>
    </row>
    <row r="9123" spans="1:3">
      <c r="A9123" s="131" t="s">
        <v>1596</v>
      </c>
      <c r="B9123" s="132">
        <v>3.8664261599741001E-4</v>
      </c>
      <c r="C9123" s="133"/>
    </row>
    <row r="9124" spans="1:3">
      <c r="A9124" s="131" t="s">
        <v>1597</v>
      </c>
      <c r="B9124" s="132">
        <v>0.49369524789057001</v>
      </c>
      <c r="C9124" s="133"/>
    </row>
    <row r="9125" spans="1:3">
      <c r="A9125" s="131" t="s">
        <v>1598</v>
      </c>
      <c r="B9125" s="132">
        <v>8.8287951725233002E-2</v>
      </c>
      <c r="C9125" s="133"/>
    </row>
    <row r="9126" spans="1:3">
      <c r="A9126" s="131" t="s">
        <v>1599</v>
      </c>
      <c r="B9126" s="132">
        <v>0.45038949390288002</v>
      </c>
      <c r="C9126" s="133"/>
    </row>
    <row r="9127" spans="1:3">
      <c r="A9127" s="131" t="s">
        <v>1600</v>
      </c>
      <c r="B9127" s="132">
        <v>308.01685042541999</v>
      </c>
      <c r="C9127" s="133"/>
    </row>
    <row r="9128" spans="1:3">
      <c r="A9128" s="131" t="s">
        <v>1601</v>
      </c>
      <c r="B9128" s="132">
        <v>420.17301726568002</v>
      </c>
      <c r="C9128" s="133"/>
    </row>
    <row r="9129" spans="1:3">
      <c r="A9129" s="131" t="s">
        <v>1602</v>
      </c>
      <c r="B9129" s="132">
        <v>0.27950947336714999</v>
      </c>
      <c r="C9129" s="133"/>
    </row>
    <row r="9130" spans="1:3">
      <c r="A9130" s="131" t="s">
        <v>1603</v>
      </c>
      <c r="B9130" s="132">
        <v>1.1855217834936999E-4</v>
      </c>
      <c r="C9130" s="133"/>
    </row>
    <row r="9131" spans="1:3">
      <c r="A9131" s="131" t="s">
        <v>1604</v>
      </c>
      <c r="B9131" s="132">
        <v>12.998545699609032</v>
      </c>
      <c r="C9131" s="133"/>
    </row>
    <row r="9132" spans="1:3">
      <c r="A9132" s="131" t="s">
        <v>1605</v>
      </c>
      <c r="B9132" s="132">
        <v>6.8159278892101997E-3</v>
      </c>
      <c r="C9132" s="133"/>
    </row>
    <row r="9133" spans="1:3">
      <c r="A9133" s="131" t="s">
        <v>1606</v>
      </c>
      <c r="B9133" s="132">
        <v>6.9742222800000002E-3</v>
      </c>
      <c r="C9133" s="133"/>
    </row>
    <row r="9134" spans="1:3">
      <c r="A9134" s="131" t="s">
        <v>1607</v>
      </c>
      <c r="B9134" s="132">
        <v>2.0685352804250001E-2</v>
      </c>
      <c r="C9134" s="133"/>
    </row>
    <row r="9135" spans="1:3">
      <c r="A9135" s="131" t="s">
        <v>1608</v>
      </c>
      <c r="B9135" s="132">
        <v>65.2904035957405</v>
      </c>
      <c r="C9135" s="133"/>
    </row>
    <row r="9136" spans="1:3">
      <c r="A9136" s="131" t="s">
        <v>1609</v>
      </c>
      <c r="B9136" s="132">
        <v>6.2004368762300002E-9</v>
      </c>
      <c r="C9136" s="133"/>
    </row>
    <row r="9137" spans="1:3">
      <c r="A9137" s="131" t="s">
        <v>1610</v>
      </c>
      <c r="B9137" s="132">
        <v>6.8415563725199998E-9</v>
      </c>
      <c r="C9137" s="133"/>
    </row>
    <row r="9138" spans="1:3">
      <c r="A9138" s="131" t="s">
        <v>1611</v>
      </c>
      <c r="B9138" s="132">
        <v>0.10228188670143382</v>
      </c>
      <c r="C9138" s="133"/>
    </row>
    <row r="9139" spans="1:3">
      <c r="A9139" s="131" t="s">
        <v>1612</v>
      </c>
      <c r="B9139" s="132">
        <v>0.18750147862201</v>
      </c>
      <c r="C9139" s="133"/>
    </row>
    <row r="9140" spans="1:3">
      <c r="A9140" s="131" t="s">
        <v>1613</v>
      </c>
      <c r="B9140" s="132">
        <v>2.3711406263302999E-4</v>
      </c>
      <c r="C9140" s="133"/>
    </row>
    <row r="9141" spans="1:3">
      <c r="A9141" s="131" t="s">
        <v>1614</v>
      </c>
      <c r="B9141" s="132">
        <v>0.14513753537714999</v>
      </c>
      <c r="C9141" s="133"/>
    </row>
    <row r="9142" spans="1:3">
      <c r="A9142" s="131" t="s">
        <v>1615</v>
      </c>
      <c r="B9142" s="132">
        <v>10.074380121116999</v>
      </c>
      <c r="C9142" s="133"/>
    </row>
    <row r="9143" spans="1:3">
      <c r="A9143" s="131" t="s">
        <v>1616</v>
      </c>
      <c r="B9143" s="132">
        <v>138.9135698195</v>
      </c>
      <c r="C9143" s="133"/>
    </row>
    <row r="9144" spans="1:3">
      <c r="A9144" s="131" t="s">
        <v>1617</v>
      </c>
      <c r="B9144" s="132">
        <v>4.3615292569884993E-3</v>
      </c>
      <c r="C9144" s="133"/>
    </row>
    <row r="9145" spans="1:3">
      <c r="A9145" s="131" t="s">
        <v>1618</v>
      </c>
      <c r="B9145" s="132">
        <v>2.5564392096924651E-2</v>
      </c>
      <c r="C9145" s="133"/>
    </row>
    <row r="9146" spans="1:3">
      <c r="A9146" s="131" t="s">
        <v>1619</v>
      </c>
      <c r="B9146" s="132">
        <v>3.0072275568106002</v>
      </c>
      <c r="C9146" s="133"/>
    </row>
    <row r="9147" spans="1:3">
      <c r="A9147" s="131" t="s">
        <v>1620</v>
      </c>
      <c r="B9147" s="132">
        <v>0.64792038758417003</v>
      </c>
      <c r="C9147" s="133"/>
    </row>
    <row r="9148" spans="1:3">
      <c r="A9148" s="131" t="s">
        <v>1621</v>
      </c>
      <c r="B9148" s="132">
        <v>2.1125448444197E-2</v>
      </c>
      <c r="C9148" s="133"/>
    </row>
    <row r="9149" spans="1:3">
      <c r="A9149" s="131" t="s">
        <v>1622</v>
      </c>
      <c r="B9149" s="132">
        <v>1.9400088795193</v>
      </c>
      <c r="C9149" s="133"/>
    </row>
    <row r="9150" spans="1:3">
      <c r="A9150" s="131" t="s">
        <v>1623</v>
      </c>
      <c r="B9150" s="132">
        <v>3.4606712842483997E-2</v>
      </c>
      <c r="C9150" s="133"/>
    </row>
    <row r="9151" spans="1:3">
      <c r="A9151" s="131" t="s">
        <v>1624</v>
      </c>
      <c r="B9151" s="132">
        <v>3.0462351324826E-3</v>
      </c>
      <c r="C9151" s="133"/>
    </row>
    <row r="9152" spans="1:3">
      <c r="A9152" s="131" t="s">
        <v>1625</v>
      </c>
      <c r="B9152" s="132">
        <v>3.6647041713518001E-6</v>
      </c>
      <c r="C9152" s="133"/>
    </row>
    <row r="9153" spans="1:3">
      <c r="A9153" s="131" t="s">
        <v>1626</v>
      </c>
      <c r="B9153" s="132">
        <v>14.113219554524999</v>
      </c>
      <c r="C9153" s="133"/>
    </row>
    <row r="9154" spans="1:3">
      <c r="A9154" s="131" t="s">
        <v>1627</v>
      </c>
      <c r="B9154" s="132">
        <v>2.5799715079425999E-4</v>
      </c>
      <c r="C9154" s="133"/>
    </row>
    <row r="9155" spans="1:3">
      <c r="A9155" s="131" t="s">
        <v>1628</v>
      </c>
      <c r="B9155" s="132">
        <v>0.1388594328145</v>
      </c>
      <c r="C9155" s="133"/>
    </row>
    <row r="9156" spans="1:3">
      <c r="A9156" s="131" t="s">
        <v>1629</v>
      </c>
      <c r="B9156" s="132">
        <v>3.2446502953413E-3</v>
      </c>
      <c r="C9156" s="133"/>
    </row>
    <row r="9157" spans="1:3">
      <c r="A9157" s="131" t="s">
        <v>1630</v>
      </c>
      <c r="B9157" s="132">
        <v>0.34001476341193998</v>
      </c>
      <c r="C9157" s="133"/>
    </row>
    <row r="9158" spans="1:3">
      <c r="A9158" s="131" t="s">
        <v>1631</v>
      </c>
      <c r="B9158" s="132">
        <v>5.8781996920854999E-2</v>
      </c>
      <c r="C9158" s="133"/>
    </row>
    <row r="9159" spans="1:3">
      <c r="A9159" s="131" t="s">
        <v>1632</v>
      </c>
      <c r="B9159" s="132">
        <v>3.5068623986847999E-3</v>
      </c>
      <c r="C9159" s="133"/>
    </row>
    <row r="9160" spans="1:3">
      <c r="A9160" s="131" t="s">
        <v>1633</v>
      </c>
      <c r="B9160" s="132">
        <v>0.10117181146172</v>
      </c>
      <c r="C9160" s="133"/>
    </row>
    <row r="9161" spans="1:3">
      <c r="A9161" s="131" t="s">
        <v>1634</v>
      </c>
      <c r="B9161" s="132">
        <v>2.7806868906297001E-4</v>
      </c>
      <c r="C9161" s="133"/>
    </row>
    <row r="9162" spans="1:3">
      <c r="A9162" s="131" t="s">
        <v>1635</v>
      </c>
      <c r="B9162" s="132">
        <v>4.1580560444851998E-2</v>
      </c>
      <c r="C9162" s="133"/>
    </row>
    <row r="9163" spans="1:3">
      <c r="A9163" s="131" t="s">
        <v>1636</v>
      </c>
      <c r="B9163" s="132">
        <v>4.5200886322168703E-9</v>
      </c>
      <c r="C9163" s="133"/>
    </row>
    <row r="9164" spans="1:3">
      <c r="A9164" s="131" t="s">
        <v>1637</v>
      </c>
      <c r="B9164" s="132">
        <v>5.7221093020492004</v>
      </c>
      <c r="C9164" s="133"/>
    </row>
    <row r="9165" spans="1:3">
      <c r="A9165" s="131" t="s">
        <v>1638</v>
      </c>
      <c r="B9165" s="132">
        <v>1.8640756576041001E-3</v>
      </c>
      <c r="C9165" s="133"/>
    </row>
    <row r="9166" spans="1:3">
      <c r="A9166" s="131" t="s">
        <v>1639</v>
      </c>
      <c r="B9166" s="132">
        <v>7.1266533599999997E-12</v>
      </c>
      <c r="C9166" s="133"/>
    </row>
    <row r="9167" spans="1:3">
      <c r="A9167" s="131" t="s">
        <v>1640</v>
      </c>
      <c r="B9167" s="132">
        <v>9.2712468395369999E-8</v>
      </c>
      <c r="C9167" s="133"/>
    </row>
    <row r="9168" spans="1:3">
      <c r="A9168" s="131" t="s">
        <v>1641</v>
      </c>
      <c r="B9168" s="132">
        <v>2.5072110225260001E-8</v>
      </c>
      <c r="C9168" s="133"/>
    </row>
    <row r="9169" spans="1:3">
      <c r="A9169" s="131" t="s">
        <v>1642</v>
      </c>
      <c r="B9169" s="132">
        <v>4.4745046522566458E-8</v>
      </c>
      <c r="C9169" s="133"/>
    </row>
    <row r="9170" spans="1:3">
      <c r="A9170" s="131" t="s">
        <v>1643</v>
      </c>
      <c r="B9170" s="132">
        <v>0.10619636620928</v>
      </c>
      <c r="C9170" s="133"/>
    </row>
    <row r="9171" spans="1:3">
      <c r="A9171" s="131" t="s">
        <v>1644</v>
      </c>
      <c r="B9171" s="132">
        <v>1.7836992286802002E-2</v>
      </c>
      <c r="C9171" s="133"/>
    </row>
    <row r="9172" spans="1:3">
      <c r="A9172" s="131" t="s">
        <v>1645</v>
      </c>
      <c r="B9172" s="132">
        <v>0.25034171666666666</v>
      </c>
      <c r="C9172" s="133"/>
    </row>
    <row r="9173" spans="1:3">
      <c r="A9173" s="131" t="s">
        <v>1646</v>
      </c>
      <c r="B9173" s="132">
        <v>9.6115893084841003E-2</v>
      </c>
      <c r="C9173" s="133"/>
    </row>
    <row r="9174" spans="1:3">
      <c r="A9174" s="131" t="s">
        <v>1647</v>
      </c>
      <c r="B9174" s="132">
        <v>9.9627063233376688E-10</v>
      </c>
      <c r="C9174" s="133"/>
    </row>
    <row r="9175" spans="1:3">
      <c r="A9175" s="131" t="s">
        <v>1648</v>
      </c>
      <c r="B9175" s="132">
        <v>5.9897299896092E-2</v>
      </c>
      <c r="C9175" s="133"/>
    </row>
    <row r="9176" spans="1:3">
      <c r="A9176" s="131" t="s">
        <v>1649</v>
      </c>
      <c r="B9176" s="132">
        <v>7.0150689833333333E-3</v>
      </c>
      <c r="C9176" s="133"/>
    </row>
    <row r="9177" spans="1:3">
      <c r="A9177" s="131" t="s">
        <v>1650</v>
      </c>
      <c r="B9177" s="132">
        <v>7.1597827148199998E-9</v>
      </c>
      <c r="C9177" s="133"/>
    </row>
    <row r="9178" spans="1:3">
      <c r="A9178" s="131" t="s">
        <v>1651</v>
      </c>
      <c r="B9178" s="132">
        <v>7.2978486862028996E-5</v>
      </c>
      <c r="C9178" s="133"/>
    </row>
    <row r="9179" spans="1:3">
      <c r="A9179" s="131" t="s">
        <v>1652</v>
      </c>
      <c r="B9179" s="132">
        <v>0.14478950093312001</v>
      </c>
      <c r="C9179" s="133"/>
    </row>
    <row r="9180" spans="1:3">
      <c r="A9180" s="131" t="s">
        <v>1653</v>
      </c>
      <c r="B9180" s="132">
        <v>2.1014996769129E-3</v>
      </c>
      <c r="C9180" s="133"/>
    </row>
    <row r="9181" spans="1:3">
      <c r="A9181" s="131" t="s">
        <v>1654</v>
      </c>
      <c r="B9181" s="132">
        <v>2.7112681000000001E-12</v>
      </c>
      <c r="C9181" s="133"/>
    </row>
    <row r="9182" spans="1:3">
      <c r="A9182" s="131" t="s">
        <v>1655</v>
      </c>
      <c r="B9182" s="132">
        <v>2.1377569862527999</v>
      </c>
      <c r="C9182" s="133"/>
    </row>
    <row r="9183" spans="1:3">
      <c r="A9183" s="131" t="s">
        <v>1656</v>
      </c>
      <c r="B9183" s="132">
        <v>8.1935476082588004</v>
      </c>
      <c r="C9183" s="133"/>
    </row>
    <row r="9184" spans="1:3">
      <c r="A9184" s="131" t="s">
        <v>1657</v>
      </c>
      <c r="B9184" s="132">
        <v>0.16855404554260001</v>
      </c>
      <c r="C9184" s="133"/>
    </row>
    <row r="9185" spans="1:3">
      <c r="A9185" s="131" t="s">
        <v>1658</v>
      </c>
      <c r="B9185" s="132">
        <v>0.15649004380011</v>
      </c>
      <c r="C9185" s="133"/>
    </row>
    <row r="9186" spans="1:3">
      <c r="A9186" s="131" t="s">
        <v>1659</v>
      </c>
      <c r="B9186" s="132">
        <v>1.0020423203839E-2</v>
      </c>
      <c r="C9186" s="133"/>
    </row>
    <row r="9187" spans="1:3">
      <c r="A9187" s="131" t="s">
        <v>1660</v>
      </c>
      <c r="B9187" s="132">
        <v>7.5098062347470004E-3</v>
      </c>
      <c r="C9187" s="133"/>
    </row>
    <row r="9188" spans="1:3">
      <c r="A9188" s="131" t="s">
        <v>1661</v>
      </c>
      <c r="B9188" s="132">
        <v>9.6556606191252992E-7</v>
      </c>
      <c r="C9188" s="133"/>
    </row>
    <row r="9189" spans="1:3">
      <c r="A9189" s="131" t="s">
        <v>1662</v>
      </c>
      <c r="B9189" s="132">
        <v>1.1488475063E-10</v>
      </c>
      <c r="C9189" s="133"/>
    </row>
    <row r="9190" spans="1:3">
      <c r="A9190" s="131" t="s">
        <v>1663</v>
      </c>
      <c r="B9190" s="132">
        <v>1.4983892693786E-4</v>
      </c>
      <c r="C9190" s="133"/>
    </row>
    <row r="9191" spans="1:3">
      <c r="A9191" s="131" t="s">
        <v>1664</v>
      </c>
      <c r="B9191" s="132">
        <v>2.0854233945557001E-2</v>
      </c>
      <c r="C9191" s="133"/>
    </row>
    <row r="9192" spans="1:3">
      <c r="A9192" s="131" t="s">
        <v>1665</v>
      </c>
      <c r="B9192" s="132">
        <v>6.6782218975999997E-10</v>
      </c>
      <c r="C9192" s="133"/>
    </row>
    <row r="9193" spans="1:3">
      <c r="A9193" s="131" t="s">
        <v>1666</v>
      </c>
      <c r="B9193" s="132">
        <v>9.2877301270000004E-11</v>
      </c>
      <c r="C9193" s="133"/>
    </row>
    <row r="9194" spans="1:3">
      <c r="A9194" s="131" t="s">
        <v>1667</v>
      </c>
      <c r="B9194" s="132">
        <v>2.0787279954471001E-2</v>
      </c>
      <c r="C9194" s="133"/>
    </row>
    <row r="9195" spans="1:3">
      <c r="A9195" s="131" t="s">
        <v>1668</v>
      </c>
      <c r="B9195" s="132">
        <v>4.8279022999999998E-13</v>
      </c>
      <c r="C9195" s="133"/>
    </row>
    <row r="9196" spans="1:3">
      <c r="A9196" s="131" t="s">
        <v>1669</v>
      </c>
      <c r="B9196" s="132">
        <v>0.36819927498879002</v>
      </c>
      <c r="C9196" s="133"/>
    </row>
    <row r="9197" spans="1:3">
      <c r="A9197" s="131" t="s">
        <v>1670</v>
      </c>
      <c r="B9197" s="132">
        <v>1.0031163247826289E-7</v>
      </c>
      <c r="C9197" s="133"/>
    </row>
    <row r="9198" spans="1:3">
      <c r="A9198" s="131" t="s">
        <v>1671</v>
      </c>
      <c r="B9198" s="132">
        <v>5.1907217700000003E-12</v>
      </c>
      <c r="C9198" s="133"/>
    </row>
    <row r="9199" spans="1:3">
      <c r="A9199" s="131" t="s">
        <v>1672</v>
      </c>
      <c r="B9199" s="132">
        <v>4.7004190738574732E-11</v>
      </c>
      <c r="C9199" s="133"/>
    </row>
    <row r="9200" spans="1:3">
      <c r="A9200" s="131" t="s">
        <v>1673</v>
      </c>
      <c r="B9200" s="132">
        <v>6.237148515666E-3</v>
      </c>
      <c r="C9200" s="133"/>
    </row>
    <row r="9201" spans="1:3">
      <c r="A9201" s="131" t="s">
        <v>1674</v>
      </c>
      <c r="B9201" s="132">
        <v>7.0890112300805002E-5</v>
      </c>
      <c r="C9201" s="133"/>
    </row>
    <row r="9202" spans="1:3">
      <c r="A9202" s="131" t="s">
        <v>1675</v>
      </c>
      <c r="B9202" s="132">
        <v>6.1610253464612001E-4</v>
      </c>
      <c r="C9202" s="133"/>
    </row>
    <row r="9203" spans="1:3">
      <c r="A9203" s="131" t="s">
        <v>1676</v>
      </c>
      <c r="B9203" s="132">
        <v>1.2360702883417E-2</v>
      </c>
      <c r="C9203" s="133"/>
    </row>
    <row r="9204" spans="1:3">
      <c r="A9204" s="131" t="s">
        <v>1677</v>
      </c>
      <c r="B9204" s="132">
        <v>1.902130744E-11</v>
      </c>
      <c r="C9204" s="133"/>
    </row>
    <row r="9205" spans="1:3">
      <c r="A9205" s="131" t="s">
        <v>1678</v>
      </c>
      <c r="B9205" s="132">
        <v>8.5920964548233334E-8</v>
      </c>
      <c r="C9205" s="133"/>
    </row>
    <row r="9206" spans="1:3">
      <c r="A9206" s="131" t="s">
        <v>1679</v>
      </c>
      <c r="B9206" s="132">
        <v>4.6420057975884998E-3</v>
      </c>
      <c r="C9206" s="133"/>
    </row>
    <row r="9207" spans="1:3">
      <c r="A9207" s="131" t="s">
        <v>1680</v>
      </c>
      <c r="B9207" s="132">
        <v>2.0201080837945001E-2</v>
      </c>
      <c r="C9207" s="133"/>
    </row>
    <row r="9208" spans="1:3">
      <c r="A9208" s="131" t="s">
        <v>1681</v>
      </c>
      <c r="B9208" s="132">
        <v>9.5221409999999998E-12</v>
      </c>
      <c r="C9208" s="133"/>
    </row>
    <row r="9209" spans="1:3">
      <c r="A9209" s="131" t="s">
        <v>1682</v>
      </c>
      <c r="B9209" s="132">
        <v>4.7443379721466002E-7</v>
      </c>
      <c r="C9209" s="133"/>
    </row>
    <row r="9210" spans="1:3">
      <c r="A9210" s="131" t="s">
        <v>1683</v>
      </c>
      <c r="B9210" s="132">
        <v>1.1915062604000001E-10</v>
      </c>
      <c r="C9210" s="133"/>
    </row>
    <row r="9211" spans="1:3">
      <c r="A9211" s="131" t="s">
        <v>1684</v>
      </c>
      <c r="B9211" s="132">
        <v>5.1023800000000013E-17</v>
      </c>
      <c r="C9211" s="133"/>
    </row>
    <row r="9212" spans="1:3">
      <c r="A9212" s="131" t="s">
        <v>1685</v>
      </c>
      <c r="B9212" s="132">
        <v>0.19001137145124</v>
      </c>
      <c r="C9212" s="133"/>
    </row>
    <row r="9213" spans="1:3">
      <c r="A9213" s="131" t="s">
        <v>1686</v>
      </c>
      <c r="B9213" s="132">
        <v>5.1193360392899E-7</v>
      </c>
      <c r="C9213" s="133"/>
    </row>
    <row r="9214" spans="1:3">
      <c r="A9214" s="131" t="s">
        <v>1687</v>
      </c>
      <c r="B9214" s="132">
        <v>3.766696368996E-4</v>
      </c>
      <c r="C9214" s="133"/>
    </row>
    <row r="9215" spans="1:3">
      <c r="A9215" s="131" t="s">
        <v>1688</v>
      </c>
      <c r="B9215" s="132">
        <v>28.376242492476543</v>
      </c>
      <c r="C9215" s="133"/>
    </row>
    <row r="9216" spans="1:3">
      <c r="A9216" s="131" t="s">
        <v>1689</v>
      </c>
      <c r="B9216" s="132">
        <v>9.949675578381148E-2</v>
      </c>
      <c r="C9216" s="133"/>
    </row>
    <row r="9217" spans="1:3">
      <c r="A9217" s="131" t="s">
        <v>1690</v>
      </c>
      <c r="B9217" s="132">
        <v>0.28649683611923998</v>
      </c>
      <c r="C9217" s="133"/>
    </row>
    <row r="9218" spans="1:3">
      <c r="A9218" s="131" t="s">
        <v>1691</v>
      </c>
      <c r="B9218" s="132">
        <v>0.40780050983786997</v>
      </c>
      <c r="C9218" s="133"/>
    </row>
    <row r="9219" spans="1:3">
      <c r="A9219" s="131" t="s">
        <v>1692</v>
      </c>
      <c r="B9219" s="132">
        <v>1.1235332043417999E-3</v>
      </c>
      <c r="C9219" s="133"/>
    </row>
    <row r="9220" spans="1:3">
      <c r="A9220" s="131" t="s">
        <v>1693</v>
      </c>
      <c r="B9220" s="132">
        <v>5.3781534575385998E-5</v>
      </c>
      <c r="C9220" s="133"/>
    </row>
    <row r="9221" spans="1:3">
      <c r="A9221" s="131" t="s">
        <v>1694</v>
      </c>
      <c r="B9221" s="132">
        <v>2.2581594289221001E-4</v>
      </c>
      <c r="C9221" s="133"/>
    </row>
    <row r="9222" spans="1:3">
      <c r="A9222" s="131" t="s">
        <v>1695</v>
      </c>
      <c r="B9222" s="132">
        <v>3.6048980757119999E-4</v>
      </c>
      <c r="C9222" s="133"/>
    </row>
    <row r="9223" spans="1:3">
      <c r="A9223" s="131" t="s">
        <v>1696</v>
      </c>
      <c r="B9223" s="132">
        <v>5.9013478339756004E-7</v>
      </c>
      <c r="C9223" s="133"/>
    </row>
    <row r="9224" spans="1:3">
      <c r="A9224" s="131" t="s">
        <v>1697</v>
      </c>
      <c r="B9224" s="132">
        <v>3.5756155045929997E-8</v>
      </c>
      <c r="C9224" s="133"/>
    </row>
    <row r="9225" spans="1:3">
      <c r="A9225" s="131" t="s">
        <v>1698</v>
      </c>
      <c r="B9225" s="132">
        <v>1.2642259974633977E-5</v>
      </c>
      <c r="C9225" s="133"/>
    </row>
    <row r="9226" spans="1:3">
      <c r="A9226" s="131" t="s">
        <v>4718</v>
      </c>
      <c r="B9226" s="132">
        <v>3.8293668681822997E-2</v>
      </c>
      <c r="C9226" s="133"/>
    </row>
    <row r="9227" spans="1:3">
      <c r="A9227" s="131" t="s">
        <v>4719</v>
      </c>
      <c r="B9227" s="132">
        <v>2.4747351339908999E-6</v>
      </c>
      <c r="C9227" s="133"/>
    </row>
    <row r="9228" spans="1:3">
      <c r="A9228" s="131" t="s">
        <v>4720</v>
      </c>
      <c r="B9228" s="132">
        <v>4.6598333560000002E-11</v>
      </c>
      <c r="C9228" s="133"/>
    </row>
    <row r="9229" spans="1:3">
      <c r="A9229" s="131" t="s">
        <v>4721</v>
      </c>
      <c r="B9229" s="132">
        <v>9.8144690396095993E-6</v>
      </c>
      <c r="C9229" s="133"/>
    </row>
    <row r="9230" spans="1:3">
      <c r="A9230" s="131" t="s">
        <v>4722</v>
      </c>
      <c r="B9230" s="132">
        <v>0.43765713053263</v>
      </c>
      <c r="C9230" s="133"/>
    </row>
    <row r="9231" spans="1:3">
      <c r="A9231" s="131" t="s">
        <v>4723</v>
      </c>
      <c r="B9231" s="132">
        <v>1.5073709647862233E-10</v>
      </c>
      <c r="C9231" s="133"/>
    </row>
    <row r="9232" spans="1:3">
      <c r="A9232" s="131" t="s">
        <v>4724</v>
      </c>
      <c r="B9232" s="132">
        <v>470439.60846467997</v>
      </c>
      <c r="C9232" s="133"/>
    </row>
    <row r="9233" spans="1:3">
      <c r="A9233" s="131" t="s">
        <v>4725</v>
      </c>
      <c r="B9233" s="132">
        <v>5.9997416201634001E-3</v>
      </c>
      <c r="C9233" s="133"/>
    </row>
    <row r="9234" spans="1:3">
      <c r="A9234" s="131" t="s">
        <v>4726</v>
      </c>
      <c r="B9234" s="132">
        <v>1.2801522195696E-5</v>
      </c>
      <c r="C9234" s="133"/>
    </row>
    <row r="9235" spans="1:3">
      <c r="A9235" s="131" t="s">
        <v>4727</v>
      </c>
      <c r="B9235" s="132">
        <v>1.2896055339659106E-2</v>
      </c>
      <c r="C9235" s="133"/>
    </row>
    <row r="9236" spans="1:3">
      <c r="A9236" s="131" t="s">
        <v>4728</v>
      </c>
      <c r="B9236" s="132">
        <v>1.2362023328999999E-10</v>
      </c>
      <c r="C9236" s="133"/>
    </row>
    <row r="9237" spans="1:3">
      <c r="A9237" s="131" t="s">
        <v>4729</v>
      </c>
      <c r="B9237" s="132">
        <v>1.0024808063E-9</v>
      </c>
      <c r="C9237" s="133"/>
    </row>
    <row r="9238" spans="1:3">
      <c r="A9238" s="131" t="s">
        <v>4730</v>
      </c>
      <c r="B9238" s="132">
        <v>3.0133892831107081E-6</v>
      </c>
      <c r="C9238" s="133"/>
    </row>
    <row r="9239" spans="1:3">
      <c r="A9239" s="131" t="s">
        <v>4731</v>
      </c>
      <c r="B9239" s="132">
        <v>0.12246510340961</v>
      </c>
      <c r="C9239" s="133"/>
    </row>
    <row r="9240" spans="1:3">
      <c r="A9240" s="131" t="s">
        <v>4732</v>
      </c>
      <c r="B9240" s="132">
        <v>1.1676992170273852</v>
      </c>
      <c r="C9240" s="133"/>
    </row>
    <row r="9241" spans="1:3">
      <c r="A9241" s="131" t="s">
        <v>4733</v>
      </c>
      <c r="B9241" s="132">
        <v>3.2866444252807999E-4</v>
      </c>
      <c r="C9241" s="133"/>
    </row>
    <row r="9242" spans="1:3">
      <c r="A9242" s="131" t="s">
        <v>4734</v>
      </c>
      <c r="B9242" s="132">
        <v>2.6735390043955244E-11</v>
      </c>
      <c r="C9242" s="133"/>
    </row>
    <row r="9243" spans="1:3">
      <c r="A9243" s="131" t="s">
        <v>4735</v>
      </c>
      <c r="B9243" s="132">
        <v>1.898325387308E-5</v>
      </c>
      <c r="C9243" s="133"/>
    </row>
    <row r="9244" spans="1:3">
      <c r="A9244" s="131" t="s">
        <v>4736</v>
      </c>
      <c r="B9244" s="132">
        <v>3.5049624082473998</v>
      </c>
      <c r="C9244" s="133"/>
    </row>
    <row r="9245" spans="1:3">
      <c r="A9245" s="131" t="s">
        <v>4737</v>
      </c>
      <c r="B9245" s="132">
        <v>8.9443039940999999E-10</v>
      </c>
      <c r="C9245" s="133"/>
    </row>
    <row r="9246" spans="1:3">
      <c r="A9246" s="131" t="s">
        <v>4738</v>
      </c>
      <c r="B9246" s="132">
        <v>5.4721055495300004E-7</v>
      </c>
      <c r="C9246" s="133"/>
    </row>
    <row r="9247" spans="1:3">
      <c r="A9247" s="131" t="s">
        <v>4739</v>
      </c>
      <c r="B9247" s="132">
        <v>1.0952386607414001E-6</v>
      </c>
      <c r="C9247" s="133"/>
    </row>
    <row r="9248" spans="1:3">
      <c r="A9248" s="131" t="s">
        <v>4740</v>
      </c>
      <c r="B9248" s="132">
        <v>1.3307814748356E-2</v>
      </c>
      <c r="C9248" s="133"/>
    </row>
    <row r="9249" spans="1:3">
      <c r="A9249" s="131" t="s">
        <v>4741</v>
      </c>
      <c r="B9249" s="132">
        <v>1.7585304190136999E-2</v>
      </c>
      <c r="C9249" s="133"/>
    </row>
    <row r="9250" spans="1:3">
      <c r="A9250" s="131" t="s">
        <v>4742</v>
      </c>
      <c r="B9250" s="132">
        <v>9.2488223859629008E-3</v>
      </c>
      <c r="C9250" s="133"/>
    </row>
    <row r="9251" spans="1:3">
      <c r="A9251" s="131" t="s">
        <v>4743</v>
      </c>
      <c r="B9251" s="132">
        <v>0.56241083902336997</v>
      </c>
      <c r="C9251" s="133"/>
    </row>
    <row r="9252" spans="1:3">
      <c r="A9252" s="131" t="s">
        <v>4744</v>
      </c>
      <c r="B9252" s="132">
        <v>7.2550166300000006E-11</v>
      </c>
      <c r="C9252" s="133"/>
    </row>
    <row r="9253" spans="1:3">
      <c r="A9253" s="131" t="s">
        <v>4745</v>
      </c>
      <c r="B9253" s="132">
        <v>2.4673459992174001E-2</v>
      </c>
      <c r="C9253" s="133"/>
    </row>
    <row r="9254" spans="1:3">
      <c r="A9254" s="131" t="s">
        <v>4746</v>
      </c>
      <c r="B9254" s="132">
        <v>2.3052357799999998E-12</v>
      </c>
      <c r="C9254" s="133"/>
    </row>
    <row r="9255" spans="1:3">
      <c r="A9255" s="131" t="s">
        <v>4747</v>
      </c>
      <c r="B9255" s="132">
        <v>1.4686367450000002E-11</v>
      </c>
      <c r="C9255" s="133"/>
    </row>
    <row r="9256" spans="1:3">
      <c r="A9256" s="131" t="s">
        <v>4748</v>
      </c>
      <c r="B9256" s="132">
        <v>1.0074378659334238</v>
      </c>
      <c r="C9256" s="133"/>
    </row>
    <row r="9257" spans="1:3">
      <c r="A9257" s="131" t="s">
        <v>4749</v>
      </c>
      <c r="B9257" s="132">
        <v>1.3061046274427229E-2</v>
      </c>
      <c r="C9257" s="133"/>
    </row>
    <row r="9258" spans="1:3">
      <c r="A9258" s="131" t="s">
        <v>4750</v>
      </c>
      <c r="B9258" s="132">
        <v>2.4244525882313257E-2</v>
      </c>
      <c r="C9258" s="133"/>
    </row>
    <row r="9259" spans="1:3">
      <c r="A9259" s="131" t="s">
        <v>4751</v>
      </c>
      <c r="B9259" s="132">
        <v>0.43664556760971535</v>
      </c>
      <c r="C9259" s="133"/>
    </row>
    <row r="9260" spans="1:3">
      <c r="A9260" s="131" t="s">
        <v>4752</v>
      </c>
      <c r="B9260" s="132">
        <v>5.9868937999999997E-2</v>
      </c>
      <c r="C9260" s="133"/>
    </row>
    <row r="9261" spans="1:3">
      <c r="A9261" s="131" t="s">
        <v>4753</v>
      </c>
      <c r="B9261" s="132">
        <v>275.12</v>
      </c>
      <c r="C9261" s="133"/>
    </row>
    <row r="9262" spans="1:3">
      <c r="A9262" s="131" t="s">
        <v>4754</v>
      </c>
      <c r="B9262" s="132">
        <v>1.624375221138894E-4</v>
      </c>
      <c r="C9262" s="133"/>
    </row>
    <row r="9263" spans="1:3">
      <c r="A9263" s="131" t="s">
        <v>4755</v>
      </c>
      <c r="B9263" s="132">
        <v>0.10297302352154677</v>
      </c>
      <c r="C9263" s="133"/>
    </row>
    <row r="9264" spans="1:3">
      <c r="A9264" s="131" t="s">
        <v>4756</v>
      </c>
      <c r="B9264" s="132">
        <v>1.0005999999999997</v>
      </c>
      <c r="C9264" s="133"/>
    </row>
    <row r="9265" spans="1:3">
      <c r="A9265" s="131" t="s">
        <v>4757</v>
      </c>
      <c r="B9265" s="132">
        <v>1.0921883515440647E-4</v>
      </c>
      <c r="C9265" s="133"/>
    </row>
    <row r="9266" spans="1:3">
      <c r="A9266" s="131" t="s">
        <v>4758</v>
      </c>
      <c r="B9266" s="132">
        <v>0.79262364117323625</v>
      </c>
      <c r="C9266" s="133"/>
    </row>
    <row r="9267" spans="1:3">
      <c r="A9267" s="131" t="s">
        <v>4759</v>
      </c>
      <c r="B9267" s="132">
        <v>3.8635744243179601E-2</v>
      </c>
      <c r="C9267" s="133"/>
    </row>
    <row r="9268" spans="1:3">
      <c r="A9268" s="131" t="s">
        <v>4760</v>
      </c>
      <c r="B9268" s="132">
        <v>1.3736383618329703E-11</v>
      </c>
      <c r="C9268" s="133"/>
    </row>
    <row r="9269" spans="1:3">
      <c r="A9269" s="131" t="s">
        <v>4761</v>
      </c>
      <c r="B9269" s="132">
        <v>0.39801877815980002</v>
      </c>
      <c r="C9269" s="133"/>
    </row>
    <row r="9270" spans="1:3">
      <c r="A9270" s="131" t="s">
        <v>4762</v>
      </c>
      <c r="B9270" s="132">
        <v>3.0150476698486417E-2</v>
      </c>
      <c r="C9270" s="133"/>
    </row>
    <row r="9271" spans="1:3">
      <c r="A9271" s="131" t="s">
        <v>4763</v>
      </c>
      <c r="B9271" s="132">
        <v>1.3275508917775893</v>
      </c>
      <c r="C9271" s="133"/>
    </row>
    <row r="9272" spans="1:3">
      <c r="A9272" s="131" t="s">
        <v>4764</v>
      </c>
      <c r="B9272" s="132">
        <v>2.6973307750957652E-2</v>
      </c>
      <c r="C9272" s="133"/>
    </row>
    <row r="9273" spans="1:3">
      <c r="A9273" s="131" t="s">
        <v>4765</v>
      </c>
      <c r="B9273" s="132">
        <v>1.4148842123410891E-3</v>
      </c>
      <c r="C9273" s="133"/>
    </row>
    <row r="9274" spans="1:3">
      <c r="A9274" s="131" t="s">
        <v>4766</v>
      </c>
      <c r="B9274" s="132">
        <v>9.4811076968156258E-2</v>
      </c>
      <c r="C9274" s="133"/>
    </row>
    <row r="9275" spans="1:3">
      <c r="A9275" s="131" t="s">
        <v>4767</v>
      </c>
      <c r="B9275" s="132">
        <v>3.0823948883232838E-2</v>
      </c>
      <c r="C9275" s="133"/>
    </row>
    <row r="9276" spans="1:3">
      <c r="A9276" s="131" t="s">
        <v>4768</v>
      </c>
      <c r="B9276" s="132">
        <v>4.5155336121477804E-10</v>
      </c>
      <c r="C9276" s="133"/>
    </row>
    <row r="9277" spans="1:3">
      <c r="A9277" s="131" t="s">
        <v>4769</v>
      </c>
      <c r="B9277" s="132">
        <v>1.7609973333333332E-6</v>
      </c>
      <c r="C9277" s="133"/>
    </row>
    <row r="9278" spans="1:3">
      <c r="A9278" s="131" t="s">
        <v>4770</v>
      </c>
      <c r="B9278" s="132">
        <v>0.13831896623405426</v>
      </c>
      <c r="C9278" s="133"/>
    </row>
    <row r="9279" spans="1:3">
      <c r="A9279" s="131" t="s">
        <v>4771</v>
      </c>
      <c r="B9279" s="132">
        <v>1.059684045158924E-2</v>
      </c>
      <c r="C9279" s="133"/>
    </row>
    <row r="9280" spans="1:3">
      <c r="A9280" s="131" t="s">
        <v>4772</v>
      </c>
      <c r="B9280" s="132">
        <v>8.7949045844387064E-2</v>
      </c>
      <c r="C9280" s="133"/>
    </row>
    <row r="9281" spans="1:3">
      <c r="A9281" s="131" t="s">
        <v>4773</v>
      </c>
      <c r="B9281" s="132">
        <v>1.8515885466666667E-11</v>
      </c>
      <c r="C9281" s="133"/>
    </row>
    <row r="9282" spans="1:3">
      <c r="A9282" s="131" t="s">
        <v>4774</v>
      </c>
      <c r="B9282" s="132">
        <v>1.7659835483127453E-11</v>
      </c>
      <c r="C9282" s="133"/>
    </row>
    <row r="9283" spans="1:3">
      <c r="A9283" s="131" t="s">
        <v>4775</v>
      </c>
      <c r="B9283" s="132">
        <v>0.56400126103439452</v>
      </c>
      <c r="C9283" s="133"/>
    </row>
    <row r="9284" spans="1:3">
      <c r="A9284" s="131" t="s">
        <v>4776</v>
      </c>
      <c r="B9284" s="132">
        <v>0.85031166666666658</v>
      </c>
      <c r="C9284" s="133"/>
    </row>
    <row r="9285" spans="1:3">
      <c r="A9285" s="131" t="s">
        <v>4777</v>
      </c>
      <c r="B9285" s="132">
        <v>3.6820873125226602E-5</v>
      </c>
      <c r="C9285" s="133"/>
    </row>
    <row r="9286" spans="1:3">
      <c r="A9286" s="131" t="s">
        <v>4778</v>
      </c>
      <c r="B9286" s="132">
        <v>5.3406599909067154E-4</v>
      </c>
      <c r="C9286" s="133"/>
    </row>
    <row r="9287" spans="1:3">
      <c r="A9287" s="131" t="s">
        <v>4779</v>
      </c>
      <c r="B9287" s="132">
        <v>3.7633943647724499</v>
      </c>
      <c r="C9287" s="133"/>
    </row>
    <row r="9288" spans="1:3">
      <c r="A9288" s="131" t="s">
        <v>4780</v>
      </c>
      <c r="B9288" s="132">
        <v>6.3010499999999997E-2</v>
      </c>
      <c r="C9288" s="133"/>
    </row>
    <row r="9289" spans="1:3">
      <c r="A9289" s="131" t="s">
        <v>4781</v>
      </c>
      <c r="B9289" s="132">
        <v>1.0006333333333333E-3</v>
      </c>
      <c r="C9289" s="133"/>
    </row>
    <row r="9290" spans="1:3">
      <c r="A9290" s="131" t="s">
        <v>4782</v>
      </c>
      <c r="B9290" s="132">
        <v>4.7154438529613986E-10</v>
      </c>
      <c r="C9290" s="133"/>
    </row>
    <row r="9291" spans="1:3">
      <c r="A9291" s="131" t="s">
        <v>4783</v>
      </c>
      <c r="B9291" s="132">
        <v>5.8250644049303767E-2</v>
      </c>
      <c r="C9291" s="133"/>
    </row>
    <row r="9292" spans="1:3">
      <c r="A9292" s="131" t="s">
        <v>4784</v>
      </c>
      <c r="B9292" s="132">
        <v>4.8353398026963401E-5</v>
      </c>
      <c r="C9292" s="133"/>
    </row>
    <row r="9293" spans="1:3">
      <c r="A9293" s="131" t="s">
        <v>4785</v>
      </c>
      <c r="B9293" s="132">
        <v>2.5013333333333331E-4</v>
      </c>
      <c r="C9293" s="133"/>
    </row>
    <row r="9294" spans="1:3">
      <c r="A9294" s="131" t="s">
        <v>4786</v>
      </c>
      <c r="B9294" s="132">
        <v>1.7959862680580647</v>
      </c>
      <c r="C9294" s="133"/>
    </row>
    <row r="9295" spans="1:3">
      <c r="A9295" s="131" t="s">
        <v>4787</v>
      </c>
      <c r="B9295" s="132">
        <v>1.1699977278892841E-4</v>
      </c>
      <c r="C9295" s="133"/>
    </row>
    <row r="9296" spans="1:3">
      <c r="A9296" s="131" t="s">
        <v>4788</v>
      </c>
      <c r="B9296" s="132">
        <v>0.13319436096642864</v>
      </c>
      <c r="C9296" s="133"/>
    </row>
    <row r="9297" spans="1:3">
      <c r="A9297" s="131" t="s">
        <v>4789</v>
      </c>
      <c r="B9297" s="132">
        <v>0.88220520772327227</v>
      </c>
      <c r="C9297" s="133"/>
    </row>
    <row r="9298" spans="1:3">
      <c r="A9298" s="131" t="s">
        <v>4790</v>
      </c>
      <c r="B9298" s="132">
        <v>1.6666039438063895</v>
      </c>
      <c r="C9298" s="133"/>
    </row>
    <row r="9299" spans="1:3">
      <c r="A9299" s="131" t="s">
        <v>4791</v>
      </c>
      <c r="B9299" s="132">
        <v>1.138906729005422</v>
      </c>
      <c r="C9299" s="133"/>
    </row>
    <row r="9300" spans="1:3">
      <c r="A9300" s="131" t="s">
        <v>4792</v>
      </c>
      <c r="B9300" s="132">
        <v>3.5826821129769484E-5</v>
      </c>
      <c r="C9300" s="133"/>
    </row>
    <row r="9301" spans="1:3">
      <c r="A9301" s="131" t="s">
        <v>4793</v>
      </c>
      <c r="B9301" s="132">
        <v>0.31991151125946138</v>
      </c>
      <c r="C9301" s="133"/>
    </row>
    <row r="9302" spans="1:3">
      <c r="A9302" s="131" t="s">
        <v>4794</v>
      </c>
      <c r="B9302" s="132">
        <v>6.2035386751772992E-3</v>
      </c>
      <c r="C9302" s="133"/>
    </row>
    <row r="9303" spans="1:3">
      <c r="A9303" s="131" t="s">
        <v>4795</v>
      </c>
      <c r="B9303" s="132">
        <v>1.78197754375E-4</v>
      </c>
      <c r="C9303" s="133"/>
    </row>
    <row r="9304" spans="1:3">
      <c r="A9304" s="131" t="s">
        <v>4796</v>
      </c>
      <c r="B9304" s="132">
        <v>5.1046478672944057E-4</v>
      </c>
      <c r="C9304" s="133"/>
    </row>
    <row r="9305" spans="1:3">
      <c r="A9305" s="131" t="s">
        <v>4797</v>
      </c>
      <c r="B9305" s="132">
        <v>4.1542206750655496E-3</v>
      </c>
      <c r="C9305" s="133"/>
    </row>
    <row r="9306" spans="1:3">
      <c r="A9306" s="131" t="s">
        <v>4798</v>
      </c>
      <c r="B9306" s="132">
        <v>1.3564138752809944</v>
      </c>
      <c r="C9306" s="133"/>
    </row>
    <row r="9307" spans="1:3">
      <c r="A9307" s="131" t="s">
        <v>4799</v>
      </c>
      <c r="B9307" s="132">
        <v>0.11837413535930544</v>
      </c>
      <c r="C9307" s="133"/>
    </row>
    <row r="9308" spans="1:3">
      <c r="A9308" s="131" t="s">
        <v>4800</v>
      </c>
      <c r="B9308" s="132">
        <v>6.7236866832319766E-3</v>
      </c>
      <c r="C9308" s="133"/>
    </row>
    <row r="9309" spans="1:3">
      <c r="A9309" s="131" t="s">
        <v>4801</v>
      </c>
      <c r="B9309" s="132">
        <v>2.9955052737209703E-10</v>
      </c>
      <c r="C9309" s="133"/>
    </row>
    <row r="9310" spans="1:3">
      <c r="A9310" s="131" t="s">
        <v>4802</v>
      </c>
      <c r="B9310" s="132">
        <v>0.98692764737715333</v>
      </c>
      <c r="C9310" s="133"/>
    </row>
    <row r="9311" spans="1:3">
      <c r="A9311" s="131" t="s">
        <v>4803</v>
      </c>
      <c r="B9311" s="132">
        <v>1.5809479999999997E-18</v>
      </c>
      <c r="C9311" s="133"/>
    </row>
    <row r="9312" spans="1:3">
      <c r="A9312" s="131" t="s">
        <v>4804</v>
      </c>
      <c r="B9312" s="132">
        <v>8.8537707274185971E-12</v>
      </c>
      <c r="C9312" s="133"/>
    </row>
    <row r="9313" spans="1:3">
      <c r="A9313" s="131" t="s">
        <v>4805</v>
      </c>
      <c r="B9313" s="132">
        <v>0.12753400000000001</v>
      </c>
      <c r="C9313" s="133"/>
    </row>
    <row r="9314" spans="1:3">
      <c r="A9314" s="131" t="s">
        <v>4806</v>
      </c>
      <c r="B9314" s="132">
        <v>1.2449772021604875E-3</v>
      </c>
      <c r="C9314" s="133"/>
    </row>
    <row r="9315" spans="1:3">
      <c r="A9315" s="131" t="s">
        <v>4807</v>
      </c>
      <c r="B9315" s="132">
        <v>5.5741993334890876E-2</v>
      </c>
      <c r="C9315" s="133"/>
    </row>
    <row r="9316" spans="1:3">
      <c r="A9316" s="131" t="s">
        <v>4808</v>
      </c>
      <c r="B9316" s="132">
        <v>2.0542317999999997E-2</v>
      </c>
      <c r="C9316" s="133"/>
    </row>
    <row r="9317" spans="1:3">
      <c r="A9317" s="131" t="s">
        <v>4809</v>
      </c>
      <c r="B9317" s="132">
        <v>2.5103832005999443E-10</v>
      </c>
      <c r="C9317" s="133"/>
    </row>
    <row r="9318" spans="1:3">
      <c r="A9318" s="131" t="s">
        <v>4810</v>
      </c>
      <c r="B9318" s="132">
        <v>0.15534956246199944</v>
      </c>
      <c r="C9318" s="133"/>
    </row>
    <row r="9319" spans="1:3">
      <c r="A9319" s="131" t="s">
        <v>4811</v>
      </c>
      <c r="B9319" s="132">
        <v>5.0030926342892501</v>
      </c>
      <c r="C9319" s="133"/>
    </row>
    <row r="9320" spans="1:3">
      <c r="A9320" s="131" t="s">
        <v>4812</v>
      </c>
      <c r="B9320" s="132">
        <v>8.5745706666666664E-3</v>
      </c>
      <c r="C9320" s="133"/>
    </row>
    <row r="9321" spans="1:3">
      <c r="A9321" s="131" t="s">
        <v>4813</v>
      </c>
      <c r="B9321" s="132">
        <v>3.1633498562381804E-2</v>
      </c>
      <c r="C9321" s="133"/>
    </row>
    <row r="9322" spans="1:3">
      <c r="A9322" s="131" t="s">
        <v>4814</v>
      </c>
      <c r="B9322" s="132">
        <v>2.9630610737542674E-3</v>
      </c>
      <c r="C9322" s="133"/>
    </row>
    <row r="9323" spans="1:3">
      <c r="A9323" s="131" t="s">
        <v>4815</v>
      </c>
      <c r="B9323" s="132">
        <v>3.8755458810604881E-2</v>
      </c>
      <c r="C9323" s="133"/>
    </row>
    <row r="9324" spans="1:3">
      <c r="A9324" s="131" t="s">
        <v>4816</v>
      </c>
      <c r="B9324" s="132">
        <v>2.4618154754594711E-4</v>
      </c>
      <c r="C9324" s="133"/>
    </row>
    <row r="9325" spans="1:3">
      <c r="A9325" s="131" t="s">
        <v>4817</v>
      </c>
      <c r="B9325" s="132">
        <v>6.8532945265243799E-3</v>
      </c>
      <c r="C9325" s="133"/>
    </row>
    <row r="9326" spans="1:3">
      <c r="A9326" s="131" t="s">
        <v>4818</v>
      </c>
      <c r="B9326" s="132">
        <v>1.3188349045363571E-5</v>
      </c>
      <c r="C9326" s="133"/>
    </row>
    <row r="9327" spans="1:3">
      <c r="A9327" s="131" t="s">
        <v>4819</v>
      </c>
      <c r="B9327" s="132">
        <v>9.2483224546792604E-4</v>
      </c>
      <c r="C9327" s="133"/>
    </row>
    <row r="9328" spans="1:3">
      <c r="A9328" s="131" t="s">
        <v>4820</v>
      </c>
      <c r="B9328" s="132">
        <v>5.6535112371834999E-2</v>
      </c>
      <c r="C9328" s="133"/>
    </row>
    <row r="9329" spans="1:3">
      <c r="A9329" s="131" t="s">
        <v>4821</v>
      </c>
      <c r="B9329" s="132">
        <v>0.12128357817803706</v>
      </c>
      <c r="C9329" s="133"/>
    </row>
    <row r="9330" spans="1:3">
      <c r="A9330" s="131" t="s">
        <v>4822</v>
      </c>
      <c r="B9330" s="132">
        <v>0.28166889999999994</v>
      </c>
      <c r="C9330" s="133"/>
    </row>
    <row r="9331" spans="1:3">
      <c r="A9331" s="131" t="s">
        <v>4823</v>
      </c>
      <c r="B9331" s="132">
        <v>9.1748512101607493E-10</v>
      </c>
      <c r="C9331" s="133"/>
    </row>
    <row r="9332" spans="1:3">
      <c r="A9332" s="131" t="s">
        <v>4824</v>
      </c>
      <c r="B9332" s="132">
        <v>1.9967271147701244E-8</v>
      </c>
      <c r="C9332" s="133"/>
    </row>
    <row r="9333" spans="1:3">
      <c r="A9333" s="131" t="s">
        <v>4825</v>
      </c>
      <c r="B9333" s="132">
        <v>1.2799583570130925E-9</v>
      </c>
      <c r="C9333" s="133"/>
    </row>
    <row r="9334" spans="1:3">
      <c r="A9334" s="131" t="s">
        <v>4826</v>
      </c>
      <c r="B9334" s="132">
        <v>1.0404046273800899E-7</v>
      </c>
      <c r="C9334" s="133"/>
    </row>
    <row r="9335" spans="1:3">
      <c r="A9335" s="131" t="s">
        <v>4827</v>
      </c>
      <c r="B9335" s="132">
        <v>3.0871106271849083E-8</v>
      </c>
      <c r="C9335" s="133"/>
    </row>
    <row r="9336" spans="1:3">
      <c r="A9336" s="131" t="s">
        <v>4828</v>
      </c>
      <c r="B9336" s="132">
        <v>1.8693643888481357E-8</v>
      </c>
      <c r="C9336" s="133"/>
    </row>
    <row r="9337" spans="1:3">
      <c r="A9337" s="131" t="s">
        <v>4829</v>
      </c>
      <c r="B9337" s="132">
        <v>6.2204822469806711</v>
      </c>
      <c r="C9337" s="133"/>
    </row>
    <row r="9338" spans="1:3">
      <c r="A9338" s="131" t="s">
        <v>4830</v>
      </c>
      <c r="B9338" s="132">
        <v>2.0249825256545447E-2</v>
      </c>
      <c r="C9338" s="133"/>
    </row>
    <row r="9339" spans="1:3">
      <c r="A9339" s="131" t="s">
        <v>4831</v>
      </c>
      <c r="B9339" s="132">
        <v>1.9352980653508576</v>
      </c>
      <c r="C9339" s="133"/>
    </row>
    <row r="9340" spans="1:3">
      <c r="A9340" s="131" t="s">
        <v>4832</v>
      </c>
      <c r="B9340" s="132">
        <v>7.4297435048875426</v>
      </c>
      <c r="C9340" s="133"/>
    </row>
    <row r="9341" spans="1:3">
      <c r="A9341" s="131" t="s">
        <v>4833</v>
      </c>
      <c r="B9341" s="132">
        <v>3.1099002286553166</v>
      </c>
      <c r="C9341" s="133"/>
    </row>
    <row r="9342" spans="1:3">
      <c r="A9342" s="131" t="s">
        <v>4834</v>
      </c>
      <c r="B9342" s="132">
        <v>9.1504555100741597E-2</v>
      </c>
      <c r="C9342" s="133"/>
    </row>
    <row r="9343" spans="1:3">
      <c r="A9343" s="131" t="s">
        <v>4835</v>
      </c>
      <c r="B9343" s="132">
        <v>9.0534910960889059E-2</v>
      </c>
      <c r="C9343" s="133"/>
    </row>
    <row r="9344" spans="1:3">
      <c r="A9344" s="131" t="s">
        <v>4836</v>
      </c>
      <c r="B9344" s="132">
        <v>0.1065456334304314</v>
      </c>
      <c r="C9344" s="133"/>
    </row>
    <row r="9345" spans="1:3">
      <c r="A9345" s="131" t="s">
        <v>4837</v>
      </c>
      <c r="B9345" s="132">
        <v>3.8938436185192299E-2</v>
      </c>
      <c r="C9345" s="133"/>
    </row>
    <row r="9346" spans="1:3">
      <c r="A9346" s="131" t="s">
        <v>4838</v>
      </c>
      <c r="B9346" s="132">
        <v>521.84996472805994</v>
      </c>
      <c r="C9346" s="133"/>
    </row>
    <row r="9347" spans="1:3">
      <c r="A9347" s="131" t="s">
        <v>4839</v>
      </c>
      <c r="B9347" s="132">
        <v>3.1646309257386498E-2</v>
      </c>
      <c r="C9347" s="133"/>
    </row>
    <row r="9348" spans="1:3">
      <c r="A9348" s="131" t="s">
        <v>4840</v>
      </c>
      <c r="B9348" s="132">
        <v>4.2044386653799004E-2</v>
      </c>
      <c r="C9348" s="133"/>
    </row>
    <row r="9349" spans="1:3">
      <c r="A9349" s="131" t="s">
        <v>4841</v>
      </c>
      <c r="B9349" s="132">
        <v>0.1911415445314941</v>
      </c>
      <c r="C9349" s="133"/>
    </row>
    <row r="9350" spans="1:3">
      <c r="A9350" s="131" t="s">
        <v>4842</v>
      </c>
      <c r="B9350" s="132">
        <v>17.232943985160283</v>
      </c>
      <c r="C9350" s="133"/>
    </row>
    <row r="9351" spans="1:3">
      <c r="A9351" s="131" t="s">
        <v>4843</v>
      </c>
      <c r="B9351" s="132">
        <v>0.58833633130158336</v>
      </c>
      <c r="C9351" s="133"/>
    </row>
    <row r="9352" spans="1:3">
      <c r="A9352" s="131" t="s">
        <v>4844</v>
      </c>
      <c r="B9352" s="132">
        <v>9.9533398351147149</v>
      </c>
      <c r="C9352" s="133"/>
    </row>
    <row r="9353" spans="1:3">
      <c r="A9353" s="131" t="s">
        <v>4845</v>
      </c>
      <c r="B9353" s="132">
        <v>3.0829611437656998E-3</v>
      </c>
      <c r="C9353" s="133"/>
    </row>
    <row r="9354" spans="1:3">
      <c r="A9354" s="131" t="s">
        <v>4846</v>
      </c>
      <c r="B9354" s="132">
        <v>2.2619697571898949E-2</v>
      </c>
      <c r="C9354" s="133"/>
    </row>
    <row r="9355" spans="1:3">
      <c r="A9355" s="131" t="s">
        <v>4847</v>
      </c>
      <c r="B9355" s="132">
        <v>1.7246238235850702</v>
      </c>
      <c r="C9355" s="133"/>
    </row>
    <row r="9356" spans="1:3">
      <c r="A9356" s="131" t="s">
        <v>4848</v>
      </c>
      <c r="B9356" s="132">
        <v>2.4748230257770998</v>
      </c>
      <c r="C9356" s="133"/>
    </row>
    <row r="9357" spans="1:3">
      <c r="A9357" s="131" t="s">
        <v>4849</v>
      </c>
      <c r="B9357" s="132">
        <v>0.30982978895513341</v>
      </c>
      <c r="C9357" s="133"/>
    </row>
    <row r="9358" spans="1:3">
      <c r="A9358" s="131" t="s">
        <v>4850</v>
      </c>
      <c r="B9358" s="132">
        <v>3.4709036299456798E-2</v>
      </c>
      <c r="C9358" s="133"/>
    </row>
    <row r="9359" spans="1:3">
      <c r="A9359" s="131" t="s">
        <v>4851</v>
      </c>
      <c r="B9359" s="132">
        <v>0.17632482620769149</v>
      </c>
      <c r="C9359" s="133"/>
    </row>
    <row r="9360" spans="1:3">
      <c r="A9360" s="131" t="s">
        <v>4852</v>
      </c>
      <c r="B9360" s="132">
        <v>3.7279329323732152E-2</v>
      </c>
      <c r="C9360" s="133"/>
    </row>
    <row r="9361" spans="1:3">
      <c r="A9361" s="131" t="s">
        <v>4853</v>
      </c>
      <c r="B9361" s="132">
        <v>6.1346870185604196E-2</v>
      </c>
      <c r="C9361" s="133"/>
    </row>
    <row r="9362" spans="1:3">
      <c r="A9362" s="131" t="s">
        <v>4854</v>
      </c>
      <c r="B9362" s="132">
        <v>1.6247808034470326</v>
      </c>
      <c r="C9362" s="133"/>
    </row>
    <row r="9363" spans="1:3">
      <c r="A9363" s="131" t="s">
        <v>4855</v>
      </c>
      <c r="B9363" s="132">
        <v>1.33929241678707E-2</v>
      </c>
      <c r="C9363" s="133"/>
    </row>
    <row r="9364" spans="1:3">
      <c r="A9364" s="131" t="s">
        <v>4856</v>
      </c>
      <c r="B9364" s="132">
        <v>1.18141909675008E-2</v>
      </c>
      <c r="C9364" s="133"/>
    </row>
    <row r="9365" spans="1:3">
      <c r="A9365" s="131" t="s">
        <v>4857</v>
      </c>
      <c r="B9365" s="132">
        <v>6.8528846966375789E-2</v>
      </c>
      <c r="C9365" s="133"/>
    </row>
    <row r="9366" spans="1:3">
      <c r="A9366" s="131" t="s">
        <v>4858</v>
      </c>
      <c r="B9366" s="132">
        <v>3.0721772210767001E-3</v>
      </c>
      <c r="C9366" s="133"/>
    </row>
    <row r="9367" spans="1:3">
      <c r="A9367" s="131" t="s">
        <v>4859</v>
      </c>
      <c r="B9367" s="132">
        <v>11.710497480804548</v>
      </c>
      <c r="C9367" s="133"/>
    </row>
    <row r="9368" spans="1:3">
      <c r="A9368" s="131" t="s">
        <v>4860</v>
      </c>
      <c r="B9368" s="132">
        <v>0.29744474475932819</v>
      </c>
      <c r="C9368" s="133"/>
    </row>
    <row r="9369" spans="1:3">
      <c r="A9369" s="131" t="s">
        <v>4861</v>
      </c>
      <c r="B9369" s="132">
        <v>0.40642605404784771</v>
      </c>
      <c r="C9369" s="133"/>
    </row>
    <row r="9370" spans="1:3">
      <c r="A9370" s="131" t="s">
        <v>4862</v>
      </c>
      <c r="B9370" s="132">
        <v>7.2035020099729999E-4</v>
      </c>
      <c r="C9370" s="133"/>
    </row>
    <row r="9371" spans="1:3">
      <c r="A9371" s="131" t="s">
        <v>4863</v>
      </c>
      <c r="B9371" s="132">
        <v>3.4926940860926597E-2</v>
      </c>
      <c r="C9371" s="133"/>
    </row>
    <row r="9372" spans="1:3">
      <c r="A9372" s="131" t="s">
        <v>4864</v>
      </c>
      <c r="B9372" s="132">
        <v>1.4531685925975377</v>
      </c>
      <c r="C9372" s="133"/>
    </row>
    <row r="9373" spans="1:3">
      <c r="A9373" s="131" t="s">
        <v>4865</v>
      </c>
      <c r="B9373" s="132">
        <v>5.4676872451551999</v>
      </c>
      <c r="C9373" s="133"/>
    </row>
    <row r="9374" spans="1:3">
      <c r="A9374" s="131" t="s">
        <v>4866</v>
      </c>
      <c r="B9374" s="132">
        <v>0.56463850095900925</v>
      </c>
      <c r="C9374" s="133"/>
    </row>
    <row r="9375" spans="1:3">
      <c r="A9375" s="131" t="s">
        <v>4867</v>
      </c>
      <c r="B9375" s="132">
        <v>4.3552558683968616</v>
      </c>
      <c r="C9375" s="133"/>
    </row>
    <row r="9376" spans="1:3">
      <c r="A9376" s="131" t="s">
        <v>4868</v>
      </c>
      <c r="B9376" s="132">
        <v>1.0036758837623541</v>
      </c>
      <c r="C9376" s="133"/>
    </row>
    <row r="9377" spans="1:3">
      <c r="A9377" s="131" t="s">
        <v>4869</v>
      </c>
      <c r="B9377" s="132">
        <v>0.2338828241414464</v>
      </c>
      <c r="C9377" s="133"/>
    </row>
    <row r="9378" spans="1:3">
      <c r="A9378" s="131" t="s">
        <v>4870</v>
      </c>
      <c r="B9378" s="132">
        <v>8.6862647134613979</v>
      </c>
      <c r="C9378" s="133"/>
    </row>
    <row r="9379" spans="1:3">
      <c r="A9379" s="131" t="s">
        <v>4871</v>
      </c>
      <c r="B9379" s="132">
        <v>0.66227621428029704</v>
      </c>
      <c r="C9379" s="133"/>
    </row>
    <row r="9380" spans="1:3">
      <c r="A9380" s="131" t="s">
        <v>4872</v>
      </c>
      <c r="B9380" s="132">
        <v>1.515287379786967</v>
      </c>
      <c r="C9380" s="133"/>
    </row>
    <row r="9381" spans="1:3">
      <c r="A9381" s="131" t="s">
        <v>4873</v>
      </c>
      <c r="B9381" s="132">
        <v>0.66271402103707866</v>
      </c>
      <c r="C9381" s="133"/>
    </row>
    <row r="9382" spans="1:3">
      <c r="A9382" s="131" t="s">
        <v>4874</v>
      </c>
      <c r="B9382" s="132">
        <v>4.0517672549907E-3</v>
      </c>
      <c r="C9382" s="133"/>
    </row>
    <row r="9383" spans="1:3">
      <c r="A9383" s="131" t="s">
        <v>4875</v>
      </c>
      <c r="B9383" s="132">
        <v>15.594302534381331</v>
      </c>
      <c r="C9383" s="133"/>
    </row>
    <row r="9384" spans="1:3">
      <c r="A9384" s="131" t="s">
        <v>4876</v>
      </c>
      <c r="B9384" s="132">
        <v>1.2072920015033001E-3</v>
      </c>
      <c r="C9384" s="133"/>
    </row>
    <row r="9385" spans="1:3">
      <c r="A9385" s="131" t="s">
        <v>4877</v>
      </c>
      <c r="B9385" s="132">
        <v>4.19069032926421E-2</v>
      </c>
      <c r="C9385" s="133"/>
    </row>
    <row r="9386" spans="1:3">
      <c r="A9386" s="131" t="s">
        <v>4878</v>
      </c>
      <c r="B9386" s="132">
        <v>0.42335409948907121</v>
      </c>
      <c r="C9386" s="133"/>
    </row>
    <row r="9387" spans="1:3">
      <c r="A9387" s="131" t="s">
        <v>4879</v>
      </c>
      <c r="B9387" s="132">
        <v>0.68201998018736965</v>
      </c>
      <c r="C9387" s="133"/>
    </row>
    <row r="9388" spans="1:3">
      <c r="A9388" s="131" t="s">
        <v>4880</v>
      </c>
      <c r="B9388" s="132">
        <v>3.2149056182165903E-2</v>
      </c>
      <c r="C9388" s="133"/>
    </row>
    <row r="9389" spans="1:3">
      <c r="A9389" s="131" t="s">
        <v>4881</v>
      </c>
      <c r="B9389" s="132">
        <v>4.7461238084922872</v>
      </c>
      <c r="C9389" s="133"/>
    </row>
    <row r="9390" spans="1:3">
      <c r="A9390" s="131" t="s">
        <v>4882</v>
      </c>
      <c r="B9390" s="132">
        <v>0.3480539090913603</v>
      </c>
      <c r="C9390" s="133"/>
    </row>
    <row r="9391" spans="1:3">
      <c r="A9391" s="131" t="s">
        <v>4883</v>
      </c>
      <c r="B9391" s="132">
        <v>0.17036388611693964</v>
      </c>
      <c r="C9391" s="133"/>
    </row>
    <row r="9392" spans="1:3">
      <c r="A9392" s="131" t="s">
        <v>4884</v>
      </c>
      <c r="B9392" s="132">
        <v>0.1505392841160981</v>
      </c>
      <c r="C9392" s="133"/>
    </row>
    <row r="9393" spans="1:3">
      <c r="A9393" s="131" t="s">
        <v>4885</v>
      </c>
      <c r="B9393" s="132">
        <v>0.72216132447441428</v>
      </c>
      <c r="C9393" s="133"/>
    </row>
    <row r="9394" spans="1:3">
      <c r="A9394" s="131" t="s">
        <v>4886</v>
      </c>
      <c r="B9394" s="132">
        <v>177.47534768995999</v>
      </c>
      <c r="C9394" s="133"/>
    </row>
    <row r="9395" spans="1:3">
      <c r="A9395" s="131" t="s">
        <v>4887</v>
      </c>
      <c r="B9395" s="132">
        <v>0.47870717813491848</v>
      </c>
      <c r="C9395" s="133"/>
    </row>
    <row r="9396" spans="1:3">
      <c r="A9396" s="131" t="s">
        <v>4888</v>
      </c>
      <c r="B9396" s="132">
        <v>6.0722951958365599E-2</v>
      </c>
      <c r="C9396" s="133"/>
    </row>
    <row r="9397" spans="1:3">
      <c r="A9397" s="131" t="s">
        <v>4889</v>
      </c>
      <c r="B9397" s="132">
        <v>2.6511077003485851E-2</v>
      </c>
      <c r="C9397" s="133"/>
    </row>
    <row r="9398" spans="1:3">
      <c r="A9398" s="131" t="s">
        <v>4890</v>
      </c>
      <c r="B9398" s="132">
        <v>12.890364795306237</v>
      </c>
      <c r="C9398" s="133"/>
    </row>
    <row r="9399" spans="1:3">
      <c r="A9399" s="131" t="s">
        <v>4891</v>
      </c>
      <c r="B9399" s="132">
        <v>4.2804188750610001E-4</v>
      </c>
      <c r="C9399" s="133"/>
    </row>
    <row r="9400" spans="1:3">
      <c r="A9400" s="131" t="s">
        <v>4892</v>
      </c>
      <c r="B9400" s="132">
        <v>2.1</v>
      </c>
      <c r="C9400" s="133"/>
    </row>
    <row r="9401" spans="1:3">
      <c r="A9401" s="131" t="s">
        <v>4893</v>
      </c>
      <c r="B9401" s="132">
        <v>0.36343351426781439</v>
      </c>
      <c r="C9401" s="133"/>
    </row>
    <row r="9402" spans="1:3">
      <c r="A9402" s="131" t="s">
        <v>4894</v>
      </c>
      <c r="B9402" s="132">
        <v>0.84254543760267064</v>
      </c>
      <c r="C9402" s="133"/>
    </row>
    <row r="9403" spans="1:3">
      <c r="A9403" s="131" t="s">
        <v>4895</v>
      </c>
      <c r="B9403" s="132">
        <v>4.2487922361053148</v>
      </c>
      <c r="C9403" s="133"/>
    </row>
    <row r="9404" spans="1:3">
      <c r="A9404" s="131" t="s">
        <v>4896</v>
      </c>
      <c r="B9404" s="132">
        <v>19936.389101329467</v>
      </c>
      <c r="C9404" s="133"/>
    </row>
    <row r="9405" spans="1:3">
      <c r="A9405" s="131" t="s">
        <v>4897</v>
      </c>
      <c r="B9405" s="132">
        <v>129.3757177342882</v>
      </c>
      <c r="C9405" s="133"/>
    </row>
    <row r="9406" spans="1:3">
      <c r="A9406" s="131" t="s">
        <v>4898</v>
      </c>
      <c r="B9406" s="132">
        <v>2.1494158233248837</v>
      </c>
      <c r="C9406" s="133"/>
    </row>
    <row r="9407" spans="1:3">
      <c r="A9407" s="131" t="s">
        <v>4899</v>
      </c>
      <c r="B9407" s="132">
        <v>0.37519003771313841</v>
      </c>
      <c r="C9407" s="133"/>
    </row>
    <row r="9408" spans="1:3">
      <c r="A9408" s="131" t="s">
        <v>4900</v>
      </c>
      <c r="B9408" s="132">
        <v>1.0006985821827401E-2</v>
      </c>
      <c r="C9408" s="133"/>
    </row>
    <row r="9409" spans="1:3">
      <c r="A9409" s="131" t="s">
        <v>4901</v>
      </c>
      <c r="B9409" s="132">
        <v>7.6611593809994298</v>
      </c>
      <c r="C9409" s="133"/>
    </row>
    <row r="9410" spans="1:3">
      <c r="A9410" s="131" t="s">
        <v>4902</v>
      </c>
      <c r="B9410" s="132">
        <v>1.7103221511116401E-2</v>
      </c>
      <c r="C9410" s="133"/>
    </row>
    <row r="9411" spans="1:3">
      <c r="A9411" s="131" t="s">
        <v>4903</v>
      </c>
      <c r="B9411" s="132">
        <v>0.31252462805246123</v>
      </c>
      <c r="C9411" s="133"/>
    </row>
    <row r="9412" spans="1:3">
      <c r="A9412" s="131" t="s">
        <v>4904</v>
      </c>
      <c r="B9412" s="132">
        <v>2.0635781651958909</v>
      </c>
      <c r="C9412" s="133"/>
    </row>
    <row r="9413" spans="1:3">
      <c r="A9413" s="131" t="s">
        <v>4905</v>
      </c>
      <c r="B9413" s="132">
        <v>4.5334355099273999E-2</v>
      </c>
      <c r="C9413" s="133"/>
    </row>
    <row r="9414" spans="1:3">
      <c r="A9414" s="131" t="s">
        <v>4906</v>
      </c>
      <c r="B9414" s="132">
        <v>4.6295672071186997E-2</v>
      </c>
      <c r="C9414" s="133"/>
    </row>
    <row r="9415" spans="1:3">
      <c r="A9415" s="131" t="s">
        <v>4907</v>
      </c>
      <c r="B9415" s="132">
        <v>1.4858543863662799E-2</v>
      </c>
      <c r="C9415" s="133"/>
    </row>
    <row r="9416" spans="1:3">
      <c r="A9416" s="131" t="s">
        <v>4908</v>
      </c>
      <c r="B9416" s="132">
        <v>3.6387758286490504E-2</v>
      </c>
      <c r="C9416" s="133"/>
    </row>
    <row r="9417" spans="1:3">
      <c r="A9417" s="131" t="s">
        <v>4909</v>
      </c>
      <c r="B9417" s="132">
        <v>2.9038658100376001E-2</v>
      </c>
      <c r="C9417" s="133"/>
    </row>
    <row r="9418" spans="1:3">
      <c r="A9418" s="131" t="s">
        <v>4910</v>
      </c>
      <c r="B9418" s="132">
        <v>0.25050644825077112</v>
      </c>
      <c r="C9418" s="133"/>
    </row>
    <row r="9419" spans="1:3">
      <c r="A9419" s="131" t="s">
        <v>4911</v>
      </c>
      <c r="B9419" s="132">
        <v>0.16892223921383082</v>
      </c>
      <c r="C9419" s="133"/>
    </row>
    <row r="9420" spans="1:3">
      <c r="A9420" s="131" t="s">
        <v>4912</v>
      </c>
      <c r="B9420" s="132">
        <v>1.9013800734008799E-2</v>
      </c>
      <c r="C9420" s="133"/>
    </row>
    <row r="9421" spans="1:3">
      <c r="A9421" s="131" t="s">
        <v>4913</v>
      </c>
      <c r="B9421" s="132">
        <v>4.3596602405492997E-3</v>
      </c>
      <c r="C9421" s="133"/>
    </row>
    <row r="9422" spans="1:3">
      <c r="A9422" s="131" t="s">
        <v>4914</v>
      </c>
      <c r="B9422" s="132">
        <v>1.0107906668793999E-3</v>
      </c>
      <c r="C9422" s="133"/>
    </row>
    <row r="9423" spans="1:3">
      <c r="A9423" s="131" t="s">
        <v>4915</v>
      </c>
      <c r="B9423" s="132">
        <v>6.2594464915768002E-3</v>
      </c>
      <c r="C9423" s="133"/>
    </row>
    <row r="9424" spans="1:3">
      <c r="A9424" s="131" t="s">
        <v>4916</v>
      </c>
      <c r="B9424" s="132">
        <v>2.9871487298799501E-2</v>
      </c>
      <c r="C9424" s="133"/>
    </row>
    <row r="9425" spans="1:3">
      <c r="A9425" s="131" t="s">
        <v>4917</v>
      </c>
      <c r="B9425" s="132">
        <v>0.57308821991412495</v>
      </c>
      <c r="C9425" s="133"/>
    </row>
    <row r="9426" spans="1:3">
      <c r="A9426" s="131" t="s">
        <v>4918</v>
      </c>
      <c r="B9426" s="132">
        <v>1.06163399752311E-2</v>
      </c>
      <c r="C9426" s="133"/>
    </row>
    <row r="9427" spans="1:3">
      <c r="A9427" s="131" t="s">
        <v>4919</v>
      </c>
      <c r="B9427" s="132">
        <v>3.9816927141328997E-3</v>
      </c>
      <c r="C9427" s="133"/>
    </row>
    <row r="9428" spans="1:3">
      <c r="A9428" s="131" t="s">
        <v>4920</v>
      </c>
      <c r="B9428" s="132">
        <v>900.58757319819995</v>
      </c>
      <c r="C9428" s="133"/>
    </row>
    <row r="9429" spans="1:3">
      <c r="A9429" s="131" t="s">
        <v>4921</v>
      </c>
      <c r="B9429" s="132">
        <v>5.1187019433020002E-2</v>
      </c>
      <c r="C9429" s="133"/>
    </row>
    <row r="9430" spans="1:3">
      <c r="A9430" s="131" t="s">
        <v>4922</v>
      </c>
      <c r="B9430" s="132">
        <v>7.5716183980000006E-11</v>
      </c>
      <c r="C9430" s="133"/>
    </row>
    <row r="9431" spans="1:3">
      <c r="A9431" s="131" t="s">
        <v>4923</v>
      </c>
      <c r="B9431" s="132">
        <v>1.8291860149999998E-11</v>
      </c>
      <c r="C9431" s="133"/>
    </row>
    <row r="9432" spans="1:3">
      <c r="A9432" s="131" t="s">
        <v>4924</v>
      </c>
      <c r="B9432" s="132">
        <v>7.3557533211116998E-5</v>
      </c>
      <c r="C9432" s="133"/>
    </row>
    <row r="9433" spans="1:3">
      <c r="A9433" s="131" t="s">
        <v>4925</v>
      </c>
      <c r="B9433" s="132">
        <v>1.2317982265014999E-3</v>
      </c>
      <c r="C9433" s="133"/>
    </row>
    <row r="9434" spans="1:3">
      <c r="A9434" s="131" t="s">
        <v>4926</v>
      </c>
      <c r="B9434" s="132">
        <v>5.727421500524723E-2</v>
      </c>
      <c r="C9434" s="133"/>
    </row>
    <row r="9435" spans="1:3">
      <c r="A9435" s="131" t="s">
        <v>4927</v>
      </c>
      <c r="B9435" s="132">
        <v>1.2417181792091077</v>
      </c>
      <c r="C9435" s="133"/>
    </row>
    <row r="9436" spans="1:3">
      <c r="A9436" s="131" t="s">
        <v>4928</v>
      </c>
      <c r="B9436" s="132">
        <v>1.3424535841575244E-4</v>
      </c>
      <c r="C9436" s="133"/>
    </row>
    <row r="9437" spans="1:3">
      <c r="A9437" s="131" t="s">
        <v>4929</v>
      </c>
      <c r="B9437" s="132">
        <v>5.2216599999999997E-14</v>
      </c>
      <c r="C9437" s="133"/>
    </row>
    <row r="9438" spans="1:3">
      <c r="A9438" s="131" t="s">
        <v>4930</v>
      </c>
      <c r="B9438" s="132">
        <v>46.642277374340999</v>
      </c>
      <c r="C9438" s="133"/>
    </row>
    <row r="9439" spans="1:3">
      <c r="A9439" s="131" t="s">
        <v>4931</v>
      </c>
      <c r="B9439" s="132">
        <v>0.11261631683763454</v>
      </c>
      <c r="C9439" s="133"/>
    </row>
    <row r="9440" spans="1:3">
      <c r="A9440" s="131" t="s">
        <v>4932</v>
      </c>
      <c r="B9440" s="132">
        <v>8.5254983373095408E-2</v>
      </c>
      <c r="C9440" s="133"/>
    </row>
    <row r="9441" spans="1:3">
      <c r="A9441" s="131" t="s">
        <v>4933</v>
      </c>
      <c r="B9441" s="132">
        <v>0.13235663232013001</v>
      </c>
      <c r="C9441" s="133"/>
    </row>
    <row r="9442" spans="1:3">
      <c r="A9442" s="131" t="s">
        <v>15045</v>
      </c>
      <c r="B9442" s="132">
        <v>1</v>
      </c>
      <c r="C9442" s="133"/>
    </row>
    <row r="9443" spans="1:3">
      <c r="A9443" s="131" t="s">
        <v>13375</v>
      </c>
      <c r="B9443" s="132">
        <v>3.75</v>
      </c>
      <c r="C9443" s="133"/>
    </row>
    <row r="9444" spans="1:3">
      <c r="A9444" s="131" t="s">
        <v>13039</v>
      </c>
      <c r="B9444" s="132">
        <v>267.39999999999998</v>
      </c>
      <c r="C9444" s="133"/>
    </row>
    <row r="9445" spans="1:3">
      <c r="A9445" s="131" t="s">
        <v>13223</v>
      </c>
      <c r="B9445" s="132">
        <v>10.45</v>
      </c>
      <c r="C9445" s="133"/>
    </row>
    <row r="9446" spans="1:3">
      <c r="A9446" s="131" t="s">
        <v>13134</v>
      </c>
      <c r="B9446" s="132">
        <v>32.11</v>
      </c>
      <c r="C9446" s="133"/>
    </row>
    <row r="9447" spans="1:3">
      <c r="A9447" s="131" t="s">
        <v>13282</v>
      </c>
      <c r="B9447" s="132">
        <v>7.01</v>
      </c>
      <c r="C9447" s="133"/>
    </row>
    <row r="9448" spans="1:3">
      <c r="A9448" s="131" t="s">
        <v>13200</v>
      </c>
      <c r="B9448" s="132">
        <v>13.21</v>
      </c>
      <c r="C9448" s="133"/>
    </row>
    <row r="9449" spans="1:3">
      <c r="A9449" s="131" t="s">
        <v>13064</v>
      </c>
      <c r="B9449" s="132">
        <v>121.52</v>
      </c>
      <c r="C9449" s="133"/>
    </row>
    <row r="9450" spans="1:3">
      <c r="A9450" s="131" t="s">
        <v>14942</v>
      </c>
      <c r="B9450" s="132">
        <v>1.55</v>
      </c>
      <c r="C9450" s="133"/>
    </row>
    <row r="9451" spans="1:3">
      <c r="A9451" s="131" t="s">
        <v>14891</v>
      </c>
      <c r="B9451" s="132">
        <v>1.95</v>
      </c>
      <c r="C9451" s="133"/>
    </row>
    <row r="9452" spans="1:3">
      <c r="A9452" s="131" t="s">
        <v>13305</v>
      </c>
      <c r="B9452" s="132">
        <v>6.04</v>
      </c>
      <c r="C9452" s="133"/>
    </row>
    <row r="9453" spans="1:3">
      <c r="A9453" s="131" t="s">
        <v>13354</v>
      </c>
      <c r="B9453" s="132">
        <v>4.1500000000000004</v>
      </c>
      <c r="C9453" s="133"/>
    </row>
    <row r="9454" spans="1:3">
      <c r="A9454" s="131" t="s">
        <v>15049</v>
      </c>
      <c r="B9454" s="132">
        <v>1.01</v>
      </c>
      <c r="C9454" s="133"/>
    </row>
    <row r="9455" spans="1:3">
      <c r="A9455" s="131" t="s">
        <v>13251</v>
      </c>
      <c r="B9455" s="132">
        <v>8.41</v>
      </c>
      <c r="C9455" s="133"/>
    </row>
    <row r="9456" spans="1:3">
      <c r="A9456" s="131" t="s">
        <v>13311</v>
      </c>
      <c r="B9456" s="132">
        <v>83.17</v>
      </c>
      <c r="C9456" s="133"/>
    </row>
    <row r="9457" spans="1:3">
      <c r="A9457" s="131" t="s">
        <v>10019</v>
      </c>
      <c r="B9457" s="132">
        <v>1.4830900000000001E-3</v>
      </c>
      <c r="C9457" s="133"/>
    </row>
    <row r="9458" spans="1:3">
      <c r="A9458" s="131" t="s">
        <v>13179</v>
      </c>
      <c r="B9458" s="132">
        <v>88.58</v>
      </c>
      <c r="C9458" s="133"/>
    </row>
    <row r="9459" spans="1:3">
      <c r="A9459" s="131" t="s">
        <v>4934</v>
      </c>
      <c r="B9459" s="132">
        <v>0.20331383643322001</v>
      </c>
      <c r="C9459" s="133"/>
    </row>
    <row r="9460" spans="1:3">
      <c r="A9460" s="131" t="s">
        <v>4935</v>
      </c>
      <c r="B9460" s="132">
        <v>4.9578102639000002E-10</v>
      </c>
      <c r="C9460" s="133"/>
    </row>
    <row r="9461" spans="1:3">
      <c r="A9461" s="131" t="s">
        <v>4936</v>
      </c>
      <c r="B9461" s="132">
        <v>5.1908297000000004E-11</v>
      </c>
      <c r="C9461" s="133"/>
    </row>
    <row r="9462" spans="1:3">
      <c r="A9462" s="131" t="s">
        <v>4937</v>
      </c>
      <c r="B9462" s="132">
        <v>4.1597131150688305E-2</v>
      </c>
      <c r="C9462" s="133"/>
    </row>
    <row r="9463" spans="1:3">
      <c r="A9463" s="131" t="s">
        <v>4938</v>
      </c>
      <c r="B9463" s="132">
        <v>68.86</v>
      </c>
      <c r="C9463" s="133"/>
    </row>
    <row r="9464" spans="1:3">
      <c r="A9464" s="131" t="s">
        <v>4939</v>
      </c>
      <c r="B9464" s="132">
        <v>77.77</v>
      </c>
      <c r="C9464" s="133"/>
    </row>
    <row r="9465" spans="1:3">
      <c r="A9465" s="131" t="s">
        <v>4940</v>
      </c>
      <c r="B9465" s="132">
        <v>2.2431930617969002E-2</v>
      </c>
      <c r="C9465" s="133"/>
    </row>
    <row r="9466" spans="1:3">
      <c r="A9466" s="131" t="s">
        <v>4941</v>
      </c>
      <c r="B9466" s="132">
        <v>6.0057190856688996E-3</v>
      </c>
      <c r="C9466" s="133"/>
    </row>
    <row r="9467" spans="1:3">
      <c r="A9467" s="131" t="s">
        <v>4942</v>
      </c>
      <c r="B9467" s="132">
        <v>7.6787868353028E-3</v>
      </c>
      <c r="C9467" s="133"/>
    </row>
    <row r="9468" spans="1:3">
      <c r="A9468" s="131" t="s">
        <v>4943</v>
      </c>
      <c r="B9468" s="132">
        <v>7.8898687281879997E-4</v>
      </c>
      <c r="C9468" s="133"/>
    </row>
    <row r="9469" spans="1:3">
      <c r="A9469" s="131" t="s">
        <v>4944</v>
      </c>
      <c r="B9469" s="132">
        <v>1.0654096847429E-2</v>
      </c>
      <c r="C9469" s="133"/>
    </row>
    <row r="9470" spans="1:3">
      <c r="A9470" s="131" t="s">
        <v>4945</v>
      </c>
      <c r="B9470" s="132">
        <v>1.2995505257052001E-3</v>
      </c>
      <c r="C9470" s="133"/>
    </row>
    <row r="9471" spans="1:3">
      <c r="A9471" s="131" t="s">
        <v>4946</v>
      </c>
      <c r="B9471" s="132">
        <v>3.1242850566533002E-3</v>
      </c>
      <c r="C9471" s="133"/>
    </row>
    <row r="9472" spans="1:3">
      <c r="A9472" s="131" t="s">
        <v>4947</v>
      </c>
      <c r="B9472" s="132">
        <v>14.88</v>
      </c>
      <c r="C9472" s="133"/>
    </row>
    <row r="9473" spans="1:3">
      <c r="A9473" s="131" t="s">
        <v>4948</v>
      </c>
      <c r="B9473" s="132">
        <v>1.118621398677E-4</v>
      </c>
      <c r="C9473" s="133"/>
    </row>
    <row r="9474" spans="1:3">
      <c r="A9474" s="131" t="s">
        <v>4949</v>
      </c>
      <c r="B9474" s="132">
        <v>58.57</v>
      </c>
      <c r="C9474" s="133"/>
    </row>
    <row r="9475" spans="1:3">
      <c r="A9475" s="131" t="s">
        <v>4950</v>
      </c>
      <c r="B9475" s="132">
        <v>114.44</v>
      </c>
      <c r="C9475" s="133"/>
    </row>
    <row r="9476" spans="1:3">
      <c r="A9476" s="131" t="s">
        <v>4951</v>
      </c>
      <c r="B9476" s="132">
        <v>7.63</v>
      </c>
      <c r="C9476" s="133"/>
    </row>
    <row r="9477" spans="1:3">
      <c r="A9477" s="131" t="s">
        <v>4952</v>
      </c>
      <c r="B9477" s="132">
        <v>5.65</v>
      </c>
      <c r="C9477" s="133"/>
    </row>
    <row r="9478" spans="1:3">
      <c r="A9478" s="131" t="s">
        <v>4953</v>
      </c>
      <c r="B9478" s="132">
        <v>26.71</v>
      </c>
      <c r="C9478" s="133"/>
    </row>
    <row r="9479" spans="1:3">
      <c r="A9479" s="131" t="s">
        <v>4954</v>
      </c>
      <c r="B9479" s="132">
        <v>12.82</v>
      </c>
      <c r="C9479" s="133"/>
    </row>
    <row r="9480" spans="1:3">
      <c r="A9480" s="131" t="s">
        <v>4955</v>
      </c>
      <c r="B9480" s="132">
        <v>1.1569633044948999</v>
      </c>
      <c r="C9480" s="133"/>
    </row>
    <row r="9481" spans="1:3">
      <c r="A9481" s="131" t="s">
        <v>4956</v>
      </c>
      <c r="B9481" s="132">
        <v>6.1005489999999997E-5</v>
      </c>
      <c r="C9481" s="133"/>
    </row>
    <row r="9482" spans="1:3">
      <c r="A9482" s="131" t="s">
        <v>4957</v>
      </c>
      <c r="B9482" s="132">
        <v>1.7729410311332999E-2</v>
      </c>
      <c r="C9482" s="133"/>
    </row>
    <row r="9483" spans="1:3">
      <c r="A9483" s="131" t="s">
        <v>4958</v>
      </c>
      <c r="B9483" s="132">
        <v>1.2124090501590552</v>
      </c>
      <c r="C9483" s="133"/>
    </row>
    <row r="9484" spans="1:3">
      <c r="A9484" s="131" t="s">
        <v>4959</v>
      </c>
      <c r="B9484" s="132">
        <v>0.21061082441101348</v>
      </c>
      <c r="C9484" s="133"/>
    </row>
    <row r="9485" spans="1:3">
      <c r="A9485" s="131" t="s">
        <v>4960</v>
      </c>
      <c r="B9485" s="132">
        <v>0.23423113300576456</v>
      </c>
      <c r="C9485" s="133"/>
    </row>
    <row r="9486" spans="1:3">
      <c r="A9486" s="131" t="s">
        <v>4961</v>
      </c>
      <c r="B9486" s="132">
        <v>5.0118575755434003E-4</v>
      </c>
      <c r="C9486" s="133"/>
    </row>
    <row r="9487" spans="1:3">
      <c r="A9487" s="131" t="s">
        <v>4962</v>
      </c>
      <c r="B9487" s="132">
        <v>1.1792773155708E-2</v>
      </c>
      <c r="C9487" s="133"/>
    </row>
    <row r="9488" spans="1:3">
      <c r="A9488" s="131" t="s">
        <v>4963</v>
      </c>
      <c r="B9488" s="132">
        <v>372.83383817155999</v>
      </c>
      <c r="C9488" s="133"/>
    </row>
    <row r="9489" spans="1:3">
      <c r="A9489" s="131" t="s">
        <v>4964</v>
      </c>
      <c r="B9489" s="132">
        <v>2.4144269798299999E-8</v>
      </c>
      <c r="C9489" s="133"/>
    </row>
    <row r="9490" spans="1:3">
      <c r="A9490" s="131" t="s">
        <v>4965</v>
      </c>
      <c r="B9490" s="132">
        <v>2.5891562181779002</v>
      </c>
      <c r="C9490" s="133"/>
    </row>
    <row r="9491" spans="1:3">
      <c r="A9491" s="131" t="s">
        <v>4966</v>
      </c>
      <c r="B9491" s="132">
        <v>7.5595500521901998E-5</v>
      </c>
      <c r="C9491" s="133"/>
    </row>
    <row r="9492" spans="1:3">
      <c r="A9492" s="131" t="s">
        <v>4967</v>
      </c>
      <c r="B9492" s="132">
        <v>12.907099005145</v>
      </c>
      <c r="C9492" s="133"/>
    </row>
    <row r="9493" spans="1:3">
      <c r="A9493" s="131" t="s">
        <v>4968</v>
      </c>
      <c r="B9493" s="132">
        <v>27.278949956026</v>
      </c>
      <c r="C9493" s="133"/>
    </row>
    <row r="9494" spans="1:3">
      <c r="A9494" s="131" t="s">
        <v>4969</v>
      </c>
      <c r="B9494" s="132">
        <v>8.5580164170441001E-7</v>
      </c>
      <c r="C9494" s="133"/>
    </row>
    <row r="9495" spans="1:3">
      <c r="A9495" s="131" t="s">
        <v>4970</v>
      </c>
      <c r="B9495" s="132">
        <v>32.159999999999997</v>
      </c>
      <c r="C9495" s="133"/>
    </row>
    <row r="9496" spans="1:3">
      <c r="A9496" s="131" t="s">
        <v>4971</v>
      </c>
      <c r="B9496" s="132">
        <v>123.03</v>
      </c>
      <c r="C9496" s="133"/>
    </row>
    <row r="9497" spans="1:3">
      <c r="A9497" s="131" t="s">
        <v>4972</v>
      </c>
      <c r="B9497" s="132">
        <v>39.25</v>
      </c>
      <c r="C9497" s="133"/>
    </row>
    <row r="9498" spans="1:3">
      <c r="A9498" s="131" t="s">
        <v>1959</v>
      </c>
      <c r="B9498" s="132">
        <v>166.24</v>
      </c>
      <c r="C9498" s="133"/>
    </row>
    <row r="9499" spans="1:3">
      <c r="A9499" s="131" t="s">
        <v>1960</v>
      </c>
      <c r="B9499" s="132">
        <v>1.6508892263201999E-4</v>
      </c>
      <c r="C9499" s="133"/>
    </row>
    <row r="9500" spans="1:3">
      <c r="A9500" s="131" t="s">
        <v>1961</v>
      </c>
      <c r="B9500" s="132">
        <v>0.29484362605589998</v>
      </c>
      <c r="C9500" s="133"/>
    </row>
    <row r="9501" spans="1:3">
      <c r="A9501" s="131" t="s">
        <v>1962</v>
      </c>
      <c r="B9501" s="132">
        <v>2.2465126694999999</v>
      </c>
      <c r="C9501" s="133"/>
    </row>
    <row r="9502" spans="1:3">
      <c r="A9502" s="131" t="s">
        <v>1963</v>
      </c>
      <c r="B9502" s="132">
        <v>7.5179047023971002</v>
      </c>
      <c r="C9502" s="133"/>
    </row>
    <row r="9503" spans="1:3">
      <c r="A9503" s="131" t="s">
        <v>1964</v>
      </c>
      <c r="B9503" s="132">
        <v>0.18037828773719999</v>
      </c>
      <c r="C9503" s="133"/>
    </row>
    <row r="9504" spans="1:3">
      <c r="A9504" s="131" t="s">
        <v>1965</v>
      </c>
      <c r="B9504" s="132">
        <v>7.0360697647649005E-7</v>
      </c>
      <c r="C9504" s="133"/>
    </row>
    <row r="9505" spans="1:3">
      <c r="A9505" s="131" t="s">
        <v>1966</v>
      </c>
      <c r="B9505" s="132">
        <v>0.12133164765814999</v>
      </c>
      <c r="C9505" s="133"/>
    </row>
    <row r="9506" spans="1:3">
      <c r="A9506" s="131" t="s">
        <v>1967</v>
      </c>
      <c r="B9506" s="132">
        <v>2.7685345889999999E-11</v>
      </c>
      <c r="C9506" s="133"/>
    </row>
    <row r="9507" spans="1:3">
      <c r="A9507" s="131" t="s">
        <v>1968</v>
      </c>
      <c r="B9507" s="132">
        <v>2.744215670225757E-2</v>
      </c>
      <c r="C9507" s="133"/>
    </row>
    <row r="9508" spans="1:3">
      <c r="A9508" s="131" t="s">
        <v>1969</v>
      </c>
      <c r="B9508" s="132">
        <v>0.17469213804824654</v>
      </c>
      <c r="C9508" s="133"/>
    </row>
    <row r="9509" spans="1:3">
      <c r="A9509" s="131" t="s">
        <v>1970</v>
      </c>
      <c r="B9509" s="132">
        <v>1.7458812385461001E-3</v>
      </c>
      <c r="C9509" s="133"/>
    </row>
    <row r="9510" spans="1:3">
      <c r="A9510" s="131" t="s">
        <v>1971</v>
      </c>
      <c r="B9510" s="132">
        <v>7.9681449449095994E-5</v>
      </c>
      <c r="C9510" s="133"/>
    </row>
    <row r="9511" spans="1:3">
      <c r="A9511" s="131" t="s">
        <v>1972</v>
      </c>
      <c r="B9511" s="132">
        <v>2.1535867908550001E-4</v>
      </c>
      <c r="C9511" s="133"/>
    </row>
    <row r="9512" spans="1:3">
      <c r="A9512" s="131" t="s">
        <v>1973</v>
      </c>
      <c r="B9512" s="132">
        <v>5.9099489856432999E-2</v>
      </c>
      <c r="C9512" s="133"/>
    </row>
    <row r="9513" spans="1:3">
      <c r="A9513" s="131" t="s">
        <v>1974</v>
      </c>
      <c r="B9513" s="132">
        <v>0.14464859941905001</v>
      </c>
      <c r="C9513" s="133"/>
    </row>
    <row r="9514" spans="1:3">
      <c r="A9514" s="131" t="s">
        <v>1975</v>
      </c>
      <c r="B9514" s="132">
        <v>8.9950970058334002E-3</v>
      </c>
      <c r="C9514" s="133"/>
    </row>
    <row r="9515" spans="1:3">
      <c r="A9515" s="131" t="s">
        <v>1976</v>
      </c>
      <c r="B9515" s="132">
        <v>1.6660637291128</v>
      </c>
      <c r="C9515" s="133"/>
    </row>
    <row r="9516" spans="1:3">
      <c r="A9516" s="131" t="s">
        <v>1977</v>
      </c>
      <c r="B9516" s="132">
        <v>6.9835249541844004E-3</v>
      </c>
      <c r="C9516" s="133"/>
    </row>
    <row r="9517" spans="1:3">
      <c r="A9517" s="131" t="s">
        <v>1978</v>
      </c>
      <c r="B9517" s="132">
        <v>88.24</v>
      </c>
      <c r="C9517" s="133"/>
    </row>
    <row r="9518" spans="1:3">
      <c r="A9518" s="131" t="s">
        <v>1979</v>
      </c>
      <c r="B9518" s="132">
        <v>7.0118038812716998E-4</v>
      </c>
      <c r="C9518" s="133"/>
    </row>
    <row r="9519" spans="1:3">
      <c r="A9519" s="131" t="s">
        <v>1980</v>
      </c>
      <c r="B9519" s="132">
        <v>1.2984123359012999E-3</v>
      </c>
      <c r="C9519" s="133"/>
    </row>
    <row r="9520" spans="1:3">
      <c r="A9520" s="131" t="s">
        <v>1981</v>
      </c>
      <c r="B9520" s="132">
        <v>7.9687230588010999E-4</v>
      </c>
      <c r="C9520" s="133"/>
    </row>
    <row r="9521" spans="1:3">
      <c r="A9521" s="131" t="s">
        <v>1982</v>
      </c>
      <c r="B9521" s="132">
        <v>0.14013829215612</v>
      </c>
      <c r="C9521" s="133"/>
    </row>
    <row r="9522" spans="1:3">
      <c r="A9522" s="131" t="s">
        <v>1983</v>
      </c>
      <c r="B9522" s="132">
        <v>1.8848450054492001E-7</v>
      </c>
      <c r="C9522" s="133"/>
    </row>
    <row r="9523" spans="1:3">
      <c r="A9523" s="131" t="s">
        <v>1984</v>
      </c>
      <c r="B9523" s="132">
        <v>58.147398994200003</v>
      </c>
      <c r="C9523" s="133"/>
    </row>
    <row r="9524" spans="1:3">
      <c r="A9524" s="131" t="s">
        <v>1985</v>
      </c>
      <c r="B9524" s="132">
        <v>1.2493607973649999E-2</v>
      </c>
      <c r="C9524" s="133"/>
    </row>
    <row r="9525" spans="1:3">
      <c r="A9525" s="131" t="s">
        <v>1986</v>
      </c>
      <c r="B9525" s="132">
        <v>4.0569942030090997</v>
      </c>
      <c r="C9525" s="133"/>
    </row>
    <row r="9526" spans="1:3">
      <c r="A9526" s="131" t="s">
        <v>1987</v>
      </c>
      <c r="B9526" s="132">
        <v>3.8821010515121997E-2</v>
      </c>
      <c r="C9526" s="133"/>
    </row>
    <row r="9527" spans="1:3">
      <c r="A9527" s="131" t="s">
        <v>1988</v>
      </c>
      <c r="B9527" s="132">
        <v>3.7331305583212</v>
      </c>
      <c r="C9527" s="133"/>
    </row>
    <row r="9528" spans="1:3">
      <c r="A9528" s="131" t="s">
        <v>1989</v>
      </c>
      <c r="B9528" s="132">
        <v>0.37559340814772002</v>
      </c>
      <c r="C9528" s="133"/>
    </row>
    <row r="9529" spans="1:3">
      <c r="A9529" s="131" t="s">
        <v>1990</v>
      </c>
      <c r="B9529" s="132">
        <v>3.6953830028074002</v>
      </c>
      <c r="C9529" s="133"/>
    </row>
    <row r="9530" spans="1:3">
      <c r="A9530" s="131" t="s">
        <v>1991</v>
      </c>
      <c r="B9530" s="132">
        <v>1.4646235521946E-4</v>
      </c>
      <c r="C9530" s="133"/>
    </row>
    <row r="9531" spans="1:3">
      <c r="A9531" s="131" t="s">
        <v>1992</v>
      </c>
      <c r="B9531" s="132">
        <v>1.3119630211E-10</v>
      </c>
      <c r="C9531" s="133"/>
    </row>
    <row r="9532" spans="1:3">
      <c r="A9532" s="131" t="s">
        <v>1993</v>
      </c>
      <c r="B9532" s="132">
        <v>1.7609530542942001E-6</v>
      </c>
      <c r="C9532" s="133"/>
    </row>
    <row r="9533" spans="1:3">
      <c r="A9533" s="131" t="s">
        <v>1994</v>
      </c>
      <c r="B9533" s="132">
        <v>2.7329870704107E-4</v>
      </c>
      <c r="C9533" s="133"/>
    </row>
    <row r="9534" spans="1:3">
      <c r="A9534" s="131" t="s">
        <v>1995</v>
      </c>
      <c r="B9534" s="132">
        <v>1.3307814748356E-2</v>
      </c>
      <c r="C9534" s="133"/>
    </row>
    <row r="9535" spans="1:3">
      <c r="A9535" s="131" t="s">
        <v>1996</v>
      </c>
      <c r="B9535" s="132">
        <v>1.7664413893947999E-2</v>
      </c>
      <c r="C9535" s="133"/>
    </row>
    <row r="9536" spans="1:3">
      <c r="A9536" s="131" t="s">
        <v>1997</v>
      </c>
      <c r="B9536" s="132">
        <v>2.8296296209398027E-12</v>
      </c>
      <c r="C9536" s="133"/>
    </row>
    <row r="9537" spans="1:3">
      <c r="A9537" s="131" t="s">
        <v>1998</v>
      </c>
      <c r="B9537" s="132">
        <v>2.8155555445160001E-2</v>
      </c>
      <c r="C9537" s="133"/>
    </row>
    <row r="9538" spans="1:3">
      <c r="A9538" s="131" t="s">
        <v>1999</v>
      </c>
      <c r="B9538" s="132">
        <v>5.1689931724927169E-4</v>
      </c>
      <c r="C9538" s="133"/>
    </row>
    <row r="9539" spans="1:3">
      <c r="A9539" s="131" t="s">
        <v>2000</v>
      </c>
      <c r="B9539" s="132">
        <v>5.0425283634763005</v>
      </c>
      <c r="C9539" s="133"/>
    </row>
    <row r="9540" spans="1:3">
      <c r="A9540" s="131" t="s">
        <v>2001</v>
      </c>
      <c r="B9540" s="132">
        <v>2.8974658327306144E-8</v>
      </c>
      <c r="C9540" s="133"/>
    </row>
    <row r="9541" spans="1:3">
      <c r="A9541" s="131" t="s">
        <v>2002</v>
      </c>
      <c r="B9541" s="132">
        <v>1.9367481972712</v>
      </c>
      <c r="C9541" s="133"/>
    </row>
    <row r="9542" spans="1:3">
      <c r="A9542" s="131" t="s">
        <v>2003</v>
      </c>
      <c r="B9542" s="132">
        <v>8.4446597964270131E-12</v>
      </c>
      <c r="C9542" s="133"/>
    </row>
    <row r="9543" spans="1:3">
      <c r="A9543" s="131" t="s">
        <v>2004</v>
      </c>
      <c r="B9543" s="132">
        <v>1.4069449036551E-5</v>
      </c>
      <c r="C9543" s="133"/>
    </row>
    <row r="9544" spans="1:3">
      <c r="A9544" s="131" t="s">
        <v>2005</v>
      </c>
      <c r="B9544" s="132">
        <v>8.5979049559892001E-4</v>
      </c>
      <c r="C9544" s="133"/>
    </row>
    <row r="9545" spans="1:3">
      <c r="A9545" s="131" t="s">
        <v>2006</v>
      </c>
      <c r="B9545" s="132">
        <v>7.2094477701358999</v>
      </c>
      <c r="C9545" s="133"/>
    </row>
    <row r="9546" spans="1:3">
      <c r="A9546" s="131" t="s">
        <v>2007</v>
      </c>
      <c r="B9546" s="132">
        <v>2.9415162547051999E-2</v>
      </c>
      <c r="C9546" s="133"/>
    </row>
    <row r="9547" spans="1:3">
      <c r="A9547" s="131" t="s">
        <v>2008</v>
      </c>
      <c r="B9547" s="132">
        <v>1.2761033645830999</v>
      </c>
      <c r="C9547" s="133"/>
    </row>
    <row r="9548" spans="1:3">
      <c r="A9548" s="131" t="s">
        <v>2009</v>
      </c>
      <c r="B9548" s="132">
        <v>7.3464719820600002E-9</v>
      </c>
      <c r="C9548" s="133"/>
    </row>
    <row r="9549" spans="1:3">
      <c r="A9549" s="131" t="s">
        <v>2010</v>
      </c>
      <c r="B9549" s="132">
        <v>6.6390661033001001E-3</v>
      </c>
      <c r="C9549" s="133"/>
    </row>
    <row r="9550" spans="1:3">
      <c r="A9550" s="131" t="s">
        <v>2011</v>
      </c>
      <c r="B9550" s="132">
        <v>9.7407501407558998E-5</v>
      </c>
      <c r="C9550" s="133"/>
    </row>
    <row r="9551" spans="1:3">
      <c r="A9551" s="131" t="s">
        <v>2012</v>
      </c>
      <c r="B9551" s="132">
        <v>1.4996017947601999E-4</v>
      </c>
      <c r="C9551" s="133"/>
    </row>
    <row r="9552" spans="1:3">
      <c r="A9552" s="131" t="s">
        <v>2013</v>
      </c>
      <c r="B9552" s="132">
        <v>7.3441710050000004E-11</v>
      </c>
      <c r="C9552" s="133"/>
    </row>
    <row r="9553" spans="1:3">
      <c r="A9553" s="131" t="s">
        <v>2014</v>
      </c>
      <c r="B9553" s="132">
        <v>6.8126576177014841E-2</v>
      </c>
      <c r="C9553" s="133"/>
    </row>
    <row r="9554" spans="1:3">
      <c r="A9554" s="131" t="s">
        <v>2015</v>
      </c>
      <c r="B9554" s="132">
        <v>5.4634163328919473E-4</v>
      </c>
      <c r="C9554" s="133"/>
    </row>
    <row r="9555" spans="1:3">
      <c r="A9555" s="131" t="s">
        <v>2016</v>
      </c>
      <c r="B9555" s="132">
        <v>8.1151136281723928E-3</v>
      </c>
      <c r="C9555" s="133"/>
    </row>
    <row r="9556" spans="1:3">
      <c r="A9556" s="131" t="s">
        <v>2017</v>
      </c>
      <c r="B9556" s="132">
        <v>1.2354365780625572E-3</v>
      </c>
      <c r="C9556" s="133"/>
    </row>
    <row r="9557" spans="1:3">
      <c r="A9557" s="131" t="s">
        <v>2018</v>
      </c>
      <c r="B9557" s="132">
        <v>3.4210150202295909E-3</v>
      </c>
      <c r="C9557" s="133"/>
    </row>
    <row r="9558" spans="1:3">
      <c r="A9558" s="131" t="s">
        <v>2019</v>
      </c>
      <c r="B9558" s="132">
        <v>1.7730235309772482</v>
      </c>
      <c r="C9558" s="133"/>
    </row>
    <row r="9559" spans="1:3">
      <c r="A9559" s="131" t="s">
        <v>2020</v>
      </c>
      <c r="B9559" s="132">
        <v>0.12458247084097332</v>
      </c>
      <c r="C9559" s="133"/>
    </row>
    <row r="9560" spans="1:3">
      <c r="A9560" s="131" t="s">
        <v>2021</v>
      </c>
      <c r="B9560" s="132">
        <v>0.75044999999999984</v>
      </c>
      <c r="C9560" s="133"/>
    </row>
    <row r="9561" spans="1:3">
      <c r="A9561" s="131" t="s">
        <v>2022</v>
      </c>
      <c r="B9561" s="132">
        <v>7.4610770861340591E-3</v>
      </c>
      <c r="C9561" s="133"/>
    </row>
    <row r="9562" spans="1:3">
      <c r="A9562" s="131" t="s">
        <v>2023</v>
      </c>
      <c r="B9562" s="132">
        <v>8.3000000000000007</v>
      </c>
      <c r="C9562" s="133"/>
    </row>
    <row r="9563" spans="1:3">
      <c r="A9563" s="131" t="s">
        <v>2024</v>
      </c>
      <c r="B9563" s="132">
        <v>2.6210317767720934E-4</v>
      </c>
      <c r="C9563" s="133"/>
    </row>
    <row r="9564" spans="1:3">
      <c r="A9564" s="131" t="s">
        <v>2025</v>
      </c>
      <c r="B9564" s="132">
        <v>1.1637033224105835</v>
      </c>
      <c r="C9564" s="133"/>
    </row>
    <row r="9565" spans="1:3">
      <c r="A9565" s="131" t="s">
        <v>2026</v>
      </c>
      <c r="B9565" s="132">
        <v>8.7652560000001904E-10</v>
      </c>
      <c r="C9565" s="133"/>
    </row>
    <row r="9566" spans="1:3">
      <c r="A9566" s="131" t="s">
        <v>2027</v>
      </c>
      <c r="B9566" s="132">
        <v>8.1479409951138733E-11</v>
      </c>
      <c r="C9566" s="133"/>
    </row>
    <row r="9567" spans="1:3">
      <c r="A9567" s="131" t="s">
        <v>2028</v>
      </c>
      <c r="B9567" s="132">
        <v>7.5468050166049413E-10</v>
      </c>
      <c r="C9567" s="133"/>
    </row>
    <row r="9568" spans="1:3">
      <c r="A9568" s="131" t="s">
        <v>2029</v>
      </c>
      <c r="B9568" s="132">
        <v>6.01</v>
      </c>
      <c r="C9568" s="133"/>
    </row>
    <row r="9569" spans="1:3">
      <c r="A9569" s="131" t="s">
        <v>2030</v>
      </c>
      <c r="B9569" s="132">
        <v>9.7676260607606883E-4</v>
      </c>
      <c r="C9569" s="133"/>
    </row>
    <row r="9570" spans="1:3">
      <c r="A9570" s="131" t="s">
        <v>2031</v>
      </c>
      <c r="B9570" s="132">
        <v>4.0491724805242155E-12</v>
      </c>
      <c r="C9570" s="133"/>
    </row>
    <row r="9571" spans="1:3">
      <c r="A9571" s="131" t="s">
        <v>2032</v>
      </c>
      <c r="B9571" s="132">
        <v>4859.7567968391577</v>
      </c>
      <c r="C9571" s="133"/>
    </row>
    <row r="9572" spans="1:3">
      <c r="A9572" s="131" t="s">
        <v>2033</v>
      </c>
      <c r="B9572" s="132">
        <v>1.5676173793252E-2</v>
      </c>
      <c r="C9572" s="133"/>
    </row>
    <row r="9573" spans="1:3">
      <c r="A9573" s="131" t="s">
        <v>2034</v>
      </c>
      <c r="B9573" s="132">
        <v>1.0051833973148001</v>
      </c>
      <c r="C9573" s="133"/>
    </row>
    <row r="9574" spans="1:3">
      <c r="A9574" s="131" t="s">
        <v>2035</v>
      </c>
      <c r="B9574" s="132">
        <v>3.7056812689254</v>
      </c>
      <c r="C9574" s="133"/>
    </row>
    <row r="9575" spans="1:3">
      <c r="A9575" s="131" t="s">
        <v>2036</v>
      </c>
      <c r="B9575" s="132">
        <v>0.50422661091580157</v>
      </c>
      <c r="C9575" s="133"/>
    </row>
    <row r="9576" spans="1:3">
      <c r="A9576" s="131" t="s">
        <v>2037</v>
      </c>
      <c r="B9576" s="132">
        <v>7.1717616809218551E-2</v>
      </c>
      <c r="C9576" s="133"/>
    </row>
    <row r="9577" spans="1:3">
      <c r="A9577" s="131" t="s">
        <v>2038</v>
      </c>
      <c r="B9577" s="132">
        <v>2.1155271749738769</v>
      </c>
      <c r="C9577" s="133"/>
    </row>
    <row r="9578" spans="1:3">
      <c r="A9578" s="131" t="s">
        <v>2039</v>
      </c>
      <c r="B9578" s="132">
        <v>1.6337702489563E-2</v>
      </c>
      <c r="C9578" s="133"/>
    </row>
    <row r="9579" spans="1:3">
      <c r="A9579" s="131" t="s">
        <v>2040</v>
      </c>
      <c r="B9579" s="132">
        <v>18.009202861818</v>
      </c>
      <c r="C9579" s="133"/>
    </row>
    <row r="9580" spans="1:3">
      <c r="A9580" s="131" t="s">
        <v>2041</v>
      </c>
      <c r="B9580" s="132">
        <v>0.19395870549215999</v>
      </c>
      <c r="C9580" s="133"/>
    </row>
    <row r="9581" spans="1:3">
      <c r="A9581" s="131" t="s">
        <v>2042</v>
      </c>
      <c r="B9581" s="132">
        <v>4.1473000000000004</v>
      </c>
      <c r="C9581" s="133"/>
    </row>
    <row r="9582" spans="1:3">
      <c r="A9582" s="131" t="s">
        <v>2043</v>
      </c>
      <c r="B9582" s="132">
        <v>4.6932928792102997</v>
      </c>
      <c r="C9582" s="133"/>
    </row>
    <row r="9583" spans="1:3">
      <c r="A9583" s="131" t="s">
        <v>2044</v>
      </c>
      <c r="B9583" s="132">
        <v>8.5281456303902006E-2</v>
      </c>
      <c r="C9583" s="133"/>
    </row>
    <row r="9584" spans="1:3">
      <c r="A9584" s="131" t="s">
        <v>2045</v>
      </c>
      <c r="B9584" s="132">
        <v>7.7214903088701006E-3</v>
      </c>
      <c r="C9584" s="133"/>
    </row>
    <row r="9585" spans="1:3">
      <c r="A9585" s="131" t="s">
        <v>2046</v>
      </c>
      <c r="B9585" s="132">
        <v>2.2519633215488497</v>
      </c>
      <c r="C9585" s="133"/>
    </row>
    <row r="9586" spans="1:3">
      <c r="A9586" s="131" t="s">
        <v>2047</v>
      </c>
      <c r="B9586" s="132">
        <v>1.3179616422419</v>
      </c>
      <c r="C9586" s="133"/>
    </row>
    <row r="9587" spans="1:3">
      <c r="A9587" s="131" t="s">
        <v>2048</v>
      </c>
      <c r="B9587" s="132">
        <v>2.0499999999999998</v>
      </c>
      <c r="C9587" s="133"/>
    </row>
    <row r="9588" spans="1:3">
      <c r="A9588" s="131" t="s">
        <v>2049</v>
      </c>
      <c r="B9588" s="132">
        <v>0.30336747995511998</v>
      </c>
      <c r="C9588" s="133"/>
    </row>
    <row r="9589" spans="1:3">
      <c r="A9589" s="131" t="s">
        <v>2050</v>
      </c>
      <c r="B9589" s="132">
        <v>3.64</v>
      </c>
      <c r="C9589" s="133"/>
    </row>
    <row r="9590" spans="1:3">
      <c r="A9590" s="131" t="s">
        <v>2051</v>
      </c>
      <c r="B9590" s="132">
        <v>3.7269870705958001</v>
      </c>
      <c r="C9590" s="133"/>
    </row>
    <row r="9591" spans="1:3">
      <c r="A9591" s="131" t="s">
        <v>2052</v>
      </c>
      <c r="B9591" s="132">
        <v>0.7555724503525465</v>
      </c>
      <c r="C9591" s="133"/>
    </row>
    <row r="9592" spans="1:3">
      <c r="A9592" s="131" t="s">
        <v>2053</v>
      </c>
      <c r="B9592" s="132">
        <v>3.6102773349066002</v>
      </c>
      <c r="C9592" s="133"/>
    </row>
    <row r="9593" spans="1:3">
      <c r="A9593" s="131" t="s">
        <v>2054</v>
      </c>
      <c r="B9593" s="132">
        <v>338.40218782373</v>
      </c>
      <c r="C9593" s="133"/>
    </row>
    <row r="9594" spans="1:3">
      <c r="A9594" s="131" t="s">
        <v>2055</v>
      </c>
      <c r="B9594" s="132">
        <v>1.1956318796358374E-7</v>
      </c>
      <c r="C9594" s="133"/>
    </row>
    <row r="9595" spans="1:3">
      <c r="A9595" s="131" t="s">
        <v>2056</v>
      </c>
      <c r="B9595" s="132">
        <v>5.5439637536502868</v>
      </c>
      <c r="C9595" s="133"/>
    </row>
    <row r="9596" spans="1:3">
      <c r="A9596" s="131" t="s">
        <v>2057</v>
      </c>
      <c r="B9596" s="132">
        <v>7.5514351622492995E-2</v>
      </c>
      <c r="C9596" s="133"/>
    </row>
    <row r="9597" spans="1:3">
      <c r="A9597" s="131" t="s">
        <v>2058</v>
      </c>
      <c r="B9597" s="132">
        <v>3.3762752414890997E-2</v>
      </c>
      <c r="C9597" s="133"/>
    </row>
    <row r="9598" spans="1:3">
      <c r="A9598" s="131" t="s">
        <v>2059</v>
      </c>
      <c r="B9598" s="132">
        <v>0.24076039671609001</v>
      </c>
      <c r="C9598" s="133"/>
    </row>
    <row r="9599" spans="1:3">
      <c r="A9599" s="131" t="s">
        <v>2060</v>
      </c>
      <c r="B9599" s="132">
        <v>9.1053440172952999E-2</v>
      </c>
      <c r="C9599" s="133"/>
    </row>
    <row r="9600" spans="1:3">
      <c r="A9600" s="131" t="s">
        <v>2061</v>
      </c>
      <c r="B9600" s="132">
        <v>1.2950612520223E-4</v>
      </c>
      <c r="C9600" s="133"/>
    </row>
    <row r="9601" spans="1:3">
      <c r="A9601" s="131" t="s">
        <v>2062</v>
      </c>
      <c r="B9601" s="132">
        <v>1.289704757321E-2</v>
      </c>
      <c r="C9601" s="133"/>
    </row>
    <row r="9602" spans="1:3">
      <c r="A9602" s="131" t="s">
        <v>2063</v>
      </c>
      <c r="B9602" s="132">
        <v>3.5383512471405E-4</v>
      </c>
      <c r="C9602" s="133"/>
    </row>
    <row r="9603" spans="1:3">
      <c r="A9603" s="131" t="s">
        <v>2064</v>
      </c>
      <c r="B9603" s="132">
        <v>2.0386688077924</v>
      </c>
      <c r="C9603" s="133"/>
    </row>
    <row r="9604" spans="1:3">
      <c r="A9604" s="131" t="s">
        <v>2065</v>
      </c>
      <c r="B9604" s="132">
        <v>1.0127715809184E-2</v>
      </c>
      <c r="C9604" s="133"/>
    </row>
    <row r="9605" spans="1:3">
      <c r="A9605" s="131" t="s">
        <v>2066</v>
      </c>
      <c r="B9605" s="132">
        <v>4.0425221394465999E-2</v>
      </c>
      <c r="C9605" s="133"/>
    </row>
    <row r="9606" spans="1:3">
      <c r="A9606" s="131" t="s">
        <v>2067</v>
      </c>
      <c r="B9606" s="132">
        <v>2.2430108664514999E-2</v>
      </c>
      <c r="C9606" s="133"/>
    </row>
    <row r="9607" spans="1:3">
      <c r="A9607" s="131" t="s">
        <v>2068</v>
      </c>
      <c r="B9607" s="132">
        <v>5.3604866538181997E-7</v>
      </c>
      <c r="C9607" s="133"/>
    </row>
    <row r="9608" spans="1:3">
      <c r="A9608" s="131" t="s">
        <v>2069</v>
      </c>
      <c r="B9608" s="132">
        <v>9.2969539623983</v>
      </c>
      <c r="C9608" s="133"/>
    </row>
    <row r="9609" spans="1:3">
      <c r="A9609" s="131" t="s">
        <v>2070</v>
      </c>
      <c r="B9609" s="132">
        <v>0.16424429476663113</v>
      </c>
      <c r="C9609" s="133"/>
    </row>
    <row r="9610" spans="1:3">
      <c r="A9610" s="131" t="s">
        <v>2071</v>
      </c>
      <c r="B9610" s="132">
        <v>4.0981676530426003E-2</v>
      </c>
      <c r="C9610" s="133"/>
    </row>
    <row r="9611" spans="1:3">
      <c r="A9611" s="131" t="s">
        <v>2072</v>
      </c>
      <c r="B9611" s="132">
        <v>1.7587877802395</v>
      </c>
      <c r="C9611" s="133"/>
    </row>
    <row r="9612" spans="1:3">
      <c r="A9612" s="131" t="s">
        <v>2073</v>
      </c>
      <c r="B9612" s="132">
        <v>5.6070624545157002E-2</v>
      </c>
      <c r="C9612" s="133"/>
    </row>
    <row r="9613" spans="1:3">
      <c r="A9613" s="131" t="s">
        <v>2074</v>
      </c>
      <c r="B9613" s="132">
        <v>5.2821790743114001E-2</v>
      </c>
      <c r="C9613" s="133"/>
    </row>
    <row r="9614" spans="1:3">
      <c r="A9614" s="131" t="s">
        <v>2075</v>
      </c>
      <c r="B9614" s="132">
        <v>1.2443688758555E-2</v>
      </c>
      <c r="C9614" s="133"/>
    </row>
    <row r="9615" spans="1:3">
      <c r="A9615" s="131" t="s">
        <v>2076</v>
      </c>
      <c r="B9615" s="132">
        <v>0.16171747174166001</v>
      </c>
      <c r="C9615" s="133"/>
    </row>
    <row r="9616" spans="1:3">
      <c r="A9616" s="131" t="s">
        <v>2077</v>
      </c>
      <c r="B9616" s="132">
        <v>4.0462608957250996</v>
      </c>
      <c r="C9616" s="133"/>
    </row>
    <row r="9617" spans="1:3">
      <c r="A9617" s="131" t="s">
        <v>2078</v>
      </c>
      <c r="B9617" s="132">
        <v>3.0082218983207999E-3</v>
      </c>
      <c r="C9617" s="133"/>
    </row>
    <row r="9618" spans="1:3">
      <c r="A9618" s="131" t="s">
        <v>2079</v>
      </c>
      <c r="B9618" s="132">
        <v>0.66976540492386194</v>
      </c>
      <c r="C9618" s="133"/>
    </row>
    <row r="9619" spans="1:3">
      <c r="A9619" s="131" t="s">
        <v>2080</v>
      </c>
      <c r="B9619" s="132">
        <v>0.27280767210253998</v>
      </c>
      <c r="C9619" s="133"/>
    </row>
    <row r="9620" spans="1:3">
      <c r="A9620" s="131" t="s">
        <v>2081</v>
      </c>
      <c r="B9620" s="132">
        <v>9.2474281273440997E-2</v>
      </c>
      <c r="C9620" s="133"/>
    </row>
    <row r="9621" spans="1:3">
      <c r="A9621" s="131" t="s">
        <v>2082</v>
      </c>
      <c r="B9621" s="132">
        <v>1.1465505540889001</v>
      </c>
      <c r="C9621" s="133"/>
    </row>
    <row r="9622" spans="1:3">
      <c r="A9622" s="131" t="s">
        <v>2083</v>
      </c>
      <c r="B9622" s="132">
        <v>4.0942732333128999E-2</v>
      </c>
      <c r="C9622" s="133"/>
    </row>
    <row r="9623" spans="1:3">
      <c r="A9623" s="131" t="s">
        <v>2084</v>
      </c>
      <c r="B9623" s="132">
        <v>1.6440176115443E-3</v>
      </c>
      <c r="C9623" s="133"/>
    </row>
    <row r="9624" spans="1:3">
      <c r="A9624" s="131" t="s">
        <v>2085</v>
      </c>
      <c r="B9624" s="132">
        <v>0.51361319376978998</v>
      </c>
      <c r="C9624" s="133"/>
    </row>
    <row r="9625" spans="1:3">
      <c r="A9625" s="131" t="s">
        <v>2086</v>
      </c>
      <c r="B9625" s="132">
        <v>0.26125650605326001</v>
      </c>
      <c r="C9625" s="133"/>
    </row>
    <row r="9626" spans="1:3">
      <c r="A9626" s="131" t="s">
        <v>2087</v>
      </c>
      <c r="B9626" s="132">
        <v>0.29100901733697998</v>
      </c>
      <c r="C9626" s="133"/>
    </row>
    <row r="9627" spans="1:3">
      <c r="A9627" s="131" t="s">
        <v>2088</v>
      </c>
      <c r="B9627" s="132">
        <v>6.2309586927613E-2</v>
      </c>
      <c r="C9627" s="133"/>
    </row>
    <row r="9628" spans="1:3">
      <c r="A9628" s="131" t="s">
        <v>2089</v>
      </c>
      <c r="B9628" s="132">
        <v>0.21087221157545999</v>
      </c>
      <c r="C9628" s="133"/>
    </row>
    <row r="9629" spans="1:3">
      <c r="A9629" s="131" t="s">
        <v>2090</v>
      </c>
      <c r="B9629" s="132">
        <v>4.6224993596936839E-2</v>
      </c>
      <c r="C9629" s="133"/>
    </row>
    <row r="9630" spans="1:3">
      <c r="A9630" s="131" t="s">
        <v>2091</v>
      </c>
      <c r="B9630" s="132">
        <v>0.26097990323025</v>
      </c>
      <c r="C9630" s="133"/>
    </row>
    <row r="9631" spans="1:3">
      <c r="A9631" s="131" t="s">
        <v>2092</v>
      </c>
      <c r="B9631" s="132">
        <v>7.0800970050513003E-4</v>
      </c>
      <c r="C9631" s="133"/>
    </row>
    <row r="9632" spans="1:3">
      <c r="A9632" s="131" t="s">
        <v>2093</v>
      </c>
      <c r="B9632" s="132">
        <v>1.1406173192587E-4</v>
      </c>
      <c r="C9632" s="133"/>
    </row>
    <row r="9633" spans="1:3">
      <c r="A9633" s="131" t="s">
        <v>2094</v>
      </c>
      <c r="B9633" s="132">
        <v>41.790131708437997</v>
      </c>
      <c r="C9633" s="133"/>
    </row>
    <row r="9634" spans="1:3">
      <c r="A9634" s="131" t="s">
        <v>2095</v>
      </c>
      <c r="B9634" s="132">
        <v>2.4232244836591001E-2</v>
      </c>
      <c r="C9634" s="133"/>
    </row>
    <row r="9635" spans="1:3">
      <c r="A9635" s="131" t="s">
        <v>2096</v>
      </c>
      <c r="B9635" s="132">
        <v>8.2004877966119008E-3</v>
      </c>
      <c r="C9635" s="133"/>
    </row>
    <row r="9636" spans="1:3">
      <c r="A9636" s="131" t="s">
        <v>2097</v>
      </c>
      <c r="B9636" s="132">
        <v>1.2828360630630999</v>
      </c>
      <c r="C9636" s="133"/>
    </row>
    <row r="9637" spans="1:3">
      <c r="A9637" s="131" t="s">
        <v>2098</v>
      </c>
      <c r="B9637" s="132">
        <v>0.11739058059681</v>
      </c>
      <c r="C9637" s="133"/>
    </row>
    <row r="9638" spans="1:3">
      <c r="A9638" s="131" t="s">
        <v>2099</v>
      </c>
      <c r="B9638" s="132">
        <v>4.0627568583022E-3</v>
      </c>
      <c r="C9638" s="133"/>
    </row>
    <row r="9639" spans="1:3">
      <c r="A9639" s="131" t="s">
        <v>2100</v>
      </c>
      <c r="B9639" s="132">
        <v>0.85344232639938</v>
      </c>
      <c r="C9639" s="133"/>
    </row>
    <row r="9640" spans="1:3">
      <c r="A9640" s="131" t="s">
        <v>2101</v>
      </c>
      <c r="B9640" s="132">
        <v>5.2627482785693998E-4</v>
      </c>
      <c r="C9640" s="133"/>
    </row>
    <row r="9641" spans="1:3">
      <c r="A9641" s="131" t="s">
        <v>2102</v>
      </c>
      <c r="B9641" s="132">
        <v>2.9280938760869002E-3</v>
      </c>
      <c r="C9641" s="133"/>
    </row>
    <row r="9642" spans="1:3">
      <c r="A9642" s="131" t="s">
        <v>2103</v>
      </c>
      <c r="B9642" s="132">
        <v>3.0231129187764001E-3</v>
      </c>
      <c r="C9642" s="133"/>
    </row>
    <row r="9643" spans="1:3">
      <c r="A9643" s="131" t="s">
        <v>2104</v>
      </c>
      <c r="B9643" s="132">
        <v>2.6288461076749862E-2</v>
      </c>
      <c r="C9643" s="133"/>
    </row>
    <row r="9644" spans="1:3">
      <c r="A9644" s="131" t="s">
        <v>2105</v>
      </c>
      <c r="B9644" s="132">
        <v>365.38</v>
      </c>
      <c r="C9644" s="133"/>
    </row>
    <row r="9645" spans="1:3">
      <c r="A9645" s="131" t="s">
        <v>2106</v>
      </c>
      <c r="B9645" s="132">
        <v>1.2096348553148</v>
      </c>
      <c r="C9645" s="133"/>
    </row>
    <row r="9646" spans="1:3">
      <c r="A9646" s="131" t="s">
        <v>2107</v>
      </c>
      <c r="B9646" s="132">
        <v>2.0416058919049999E-4</v>
      </c>
      <c r="C9646" s="133"/>
    </row>
    <row r="9647" spans="1:3">
      <c r="A9647" s="131" t="s">
        <v>2108</v>
      </c>
      <c r="B9647" s="132">
        <v>4.3591636334864003E-5</v>
      </c>
      <c r="C9647" s="133"/>
    </row>
    <row r="9648" spans="1:3">
      <c r="A9648" s="131" t="s">
        <v>2109</v>
      </c>
      <c r="B9648" s="132">
        <v>4.0535565513008997E-3</v>
      </c>
      <c r="C9648" s="133"/>
    </row>
    <row r="9649" spans="1:3">
      <c r="A9649" s="131" t="s">
        <v>2110</v>
      </c>
      <c r="B9649" s="132">
        <v>1.5992853385438999E-3</v>
      </c>
      <c r="C9649" s="133"/>
    </row>
    <row r="9650" spans="1:3">
      <c r="A9650" s="131" t="s">
        <v>2111</v>
      </c>
      <c r="B9650" s="132">
        <v>2.2061940254084001E-3</v>
      </c>
      <c r="C9650" s="133"/>
    </row>
    <row r="9651" spans="1:3">
      <c r="A9651" s="131" t="s">
        <v>2112</v>
      </c>
      <c r="B9651" s="132">
        <v>0.60160750597215995</v>
      </c>
      <c r="C9651" s="133"/>
    </row>
    <row r="9652" spans="1:3">
      <c r="A9652" s="131" t="s">
        <v>2113</v>
      </c>
      <c r="B9652" s="132">
        <v>38.991773199191002</v>
      </c>
      <c r="C9652" s="133"/>
    </row>
    <row r="9653" spans="1:3">
      <c r="A9653" s="131" t="s">
        <v>2114</v>
      </c>
      <c r="B9653" s="132">
        <v>1.5729593882279955</v>
      </c>
      <c r="C9653" s="133"/>
    </row>
    <row r="9654" spans="1:3">
      <c r="A9654" s="131" t="s">
        <v>2115</v>
      </c>
      <c r="B9654" s="132">
        <v>29.721995735636</v>
      </c>
      <c r="C9654" s="133"/>
    </row>
    <row r="9655" spans="1:3">
      <c r="A9655" s="131" t="s">
        <v>2116</v>
      </c>
      <c r="B9655" s="132">
        <v>23.938614786447999</v>
      </c>
      <c r="C9655" s="133"/>
    </row>
    <row r="9656" spans="1:3">
      <c r="A9656" s="131" t="s">
        <v>2117</v>
      </c>
      <c r="B9656" s="132">
        <v>1.9550489885610038</v>
      </c>
      <c r="C9656" s="133"/>
    </row>
    <row r="9657" spans="1:3">
      <c r="A9657" s="131" t="s">
        <v>2118</v>
      </c>
      <c r="B9657" s="132">
        <v>16.559453930646001</v>
      </c>
      <c r="C9657" s="133"/>
    </row>
    <row r="9658" spans="1:3">
      <c r="A9658" s="131" t="s">
        <v>2119</v>
      </c>
      <c r="B9658" s="132">
        <v>0.45896073241796997</v>
      </c>
      <c r="C9658" s="133"/>
    </row>
    <row r="9659" spans="1:3">
      <c r="A9659" s="131" t="s">
        <v>2120</v>
      </c>
      <c r="B9659" s="132">
        <v>1128.3703848205371</v>
      </c>
      <c r="C9659" s="133"/>
    </row>
    <row r="9660" spans="1:3">
      <c r="A9660" s="131" t="s">
        <v>2121</v>
      </c>
      <c r="B9660" s="132">
        <v>6.8</v>
      </c>
      <c r="C9660" s="133"/>
    </row>
    <row r="9661" spans="1:3">
      <c r="A9661" s="131" t="s">
        <v>2122</v>
      </c>
      <c r="B9661" s="132">
        <v>1.1559935991106001</v>
      </c>
      <c r="C9661" s="133"/>
    </row>
    <row r="9662" spans="1:3">
      <c r="A9662" s="131" t="s">
        <v>2123</v>
      </c>
      <c r="B9662" s="132">
        <v>1791.5596190276999</v>
      </c>
      <c r="C9662" s="133"/>
    </row>
    <row r="9663" spans="1:3">
      <c r="A9663" s="131" t="s">
        <v>2124</v>
      </c>
      <c r="B9663" s="132">
        <v>3.4468493991882003E-2</v>
      </c>
      <c r="C9663" s="133"/>
    </row>
    <row r="9664" spans="1:3">
      <c r="A9664" s="131" t="s">
        <v>2125</v>
      </c>
      <c r="B9664" s="132">
        <v>0.11232427321044</v>
      </c>
      <c r="C9664" s="133"/>
    </row>
    <row r="9665" spans="1:3">
      <c r="A9665" s="131" t="s">
        <v>2126</v>
      </c>
      <c r="B9665" s="132">
        <v>19.964935417229</v>
      </c>
      <c r="C9665" s="133"/>
    </row>
    <row r="9666" spans="1:3">
      <c r="A9666" s="131" t="s">
        <v>144</v>
      </c>
      <c r="B9666" s="132">
        <v>5.6943467803777667E-2</v>
      </c>
      <c r="C9666" s="133"/>
    </row>
    <row r="9667" spans="1:3">
      <c r="A9667" s="131" t="s">
        <v>145</v>
      </c>
      <c r="B9667" s="132">
        <v>6.3557208361256001E-2</v>
      </c>
      <c r="C9667" s="133"/>
    </row>
    <row r="9668" spans="1:3">
      <c r="A9668" s="131" t="s">
        <v>146</v>
      </c>
      <c r="B9668" s="132">
        <v>1.3650318077385</v>
      </c>
      <c r="C9668" s="133"/>
    </row>
    <row r="9669" spans="1:3">
      <c r="A9669" s="131" t="s">
        <v>147</v>
      </c>
      <c r="B9669" s="132">
        <v>29.752047785833835</v>
      </c>
      <c r="C9669" s="133"/>
    </row>
    <row r="9670" spans="1:3">
      <c r="A9670" s="131" t="s">
        <v>148</v>
      </c>
      <c r="B9670" s="132">
        <v>2.7580781309261626</v>
      </c>
      <c r="C9670" s="133"/>
    </row>
    <row r="9671" spans="1:3">
      <c r="A9671" s="131" t="s">
        <v>149</v>
      </c>
      <c r="B9671" s="132">
        <v>6.1215408445809443</v>
      </c>
      <c r="C9671" s="133"/>
    </row>
    <row r="9672" spans="1:3">
      <c r="A9672" s="131" t="s">
        <v>150</v>
      </c>
      <c r="B9672" s="132">
        <v>0.43363259540061999</v>
      </c>
      <c r="C9672" s="133"/>
    </row>
    <row r="9673" spans="1:3">
      <c r="A9673" s="131" t="s">
        <v>151</v>
      </c>
      <c r="B9673" s="132">
        <v>0.19907682604807</v>
      </c>
      <c r="C9673" s="133"/>
    </row>
    <row r="9674" spans="1:3">
      <c r="A9674" s="131" t="s">
        <v>152</v>
      </c>
      <c r="B9674" s="132">
        <v>0.9209638269057201</v>
      </c>
      <c r="C9674" s="133"/>
    </row>
    <row r="9675" spans="1:3">
      <c r="A9675" s="131" t="s">
        <v>153</v>
      </c>
      <c r="B9675" s="132">
        <v>1.1571805741800001</v>
      </c>
      <c r="C9675" s="133"/>
    </row>
    <row r="9676" spans="1:3">
      <c r="A9676" s="131" t="s">
        <v>154</v>
      </c>
      <c r="B9676" s="132">
        <v>69.819999999999993</v>
      </c>
      <c r="C9676" s="133"/>
    </row>
    <row r="9677" spans="1:3">
      <c r="A9677" s="131" t="s">
        <v>155</v>
      </c>
      <c r="B9677" s="132">
        <v>2.1130847173544001</v>
      </c>
      <c r="C9677" s="133"/>
    </row>
    <row r="9678" spans="1:3">
      <c r="A9678" s="131" t="s">
        <v>156</v>
      </c>
      <c r="B9678" s="132">
        <v>3.3443837762115001</v>
      </c>
      <c r="C9678" s="133"/>
    </row>
    <row r="9679" spans="1:3">
      <c r="A9679" s="131" t="s">
        <v>157</v>
      </c>
      <c r="B9679" s="132">
        <v>22.869450162912997</v>
      </c>
      <c r="C9679" s="133"/>
    </row>
    <row r="9680" spans="1:3">
      <c r="A9680" s="131" t="s">
        <v>158</v>
      </c>
      <c r="B9680" s="132">
        <v>3.4356860396869733</v>
      </c>
      <c r="C9680" s="133"/>
    </row>
    <row r="9681" spans="1:3">
      <c r="A9681" s="131" t="s">
        <v>159</v>
      </c>
      <c r="B9681" s="132">
        <v>3.3669141398387001</v>
      </c>
      <c r="C9681" s="133"/>
    </row>
    <row r="9682" spans="1:3">
      <c r="A9682" s="131" t="s">
        <v>160</v>
      </c>
      <c r="B9682" s="132">
        <v>4138.4463634702997</v>
      </c>
      <c r="C9682" s="133"/>
    </row>
    <row r="9683" spans="1:3">
      <c r="A9683" s="131" t="s">
        <v>161</v>
      </c>
      <c r="B9683" s="132">
        <v>0.87851405884275002</v>
      </c>
      <c r="C9683" s="133"/>
    </row>
    <row r="9684" spans="1:3">
      <c r="A9684" s="131" t="s">
        <v>162</v>
      </c>
      <c r="B9684" s="132">
        <v>7.9383009106757441E-2</v>
      </c>
      <c r="C9684" s="133"/>
    </row>
    <row r="9685" spans="1:3">
      <c r="A9685" s="131" t="s">
        <v>163</v>
      </c>
      <c r="B9685" s="132">
        <v>37.285898758888997</v>
      </c>
      <c r="C9685" s="133"/>
    </row>
    <row r="9686" spans="1:3">
      <c r="A9686" s="131" t="s">
        <v>164</v>
      </c>
      <c r="B9686" s="132">
        <v>0.35054628043696001</v>
      </c>
      <c r="C9686" s="133"/>
    </row>
    <row r="9687" spans="1:3">
      <c r="A9687" s="131" t="s">
        <v>165</v>
      </c>
      <c r="B9687" s="132">
        <v>2.8700533160471</v>
      </c>
      <c r="C9687" s="133"/>
    </row>
    <row r="9688" spans="1:3">
      <c r="A9688" s="131" t="s">
        <v>166</v>
      </c>
      <c r="B9688" s="132">
        <v>0.16045684165748</v>
      </c>
      <c r="C9688" s="133"/>
    </row>
    <row r="9689" spans="1:3">
      <c r="A9689" s="131" t="s">
        <v>167</v>
      </c>
      <c r="B9689" s="132">
        <v>37.153018842489999</v>
      </c>
      <c r="C9689" s="133"/>
    </row>
    <row r="9690" spans="1:3">
      <c r="A9690" s="131" t="s">
        <v>168</v>
      </c>
      <c r="B9690" s="132">
        <v>2.8445338642949632E-2</v>
      </c>
      <c r="C9690" s="133"/>
    </row>
    <row r="9691" spans="1:3">
      <c r="A9691" s="131" t="s">
        <v>169</v>
      </c>
      <c r="B9691" s="132">
        <v>0.20894789790377</v>
      </c>
      <c r="C9691" s="133"/>
    </row>
    <row r="9692" spans="1:3">
      <c r="A9692" s="131" t="s">
        <v>170</v>
      </c>
      <c r="B9692" s="132">
        <v>3.3835569291692999E-3</v>
      </c>
      <c r="C9692" s="133"/>
    </row>
    <row r="9693" spans="1:3">
      <c r="A9693" s="131" t="s">
        <v>171</v>
      </c>
      <c r="B9693" s="132">
        <v>2.0292539646361001</v>
      </c>
      <c r="C9693" s="133"/>
    </row>
    <row r="9694" spans="1:3">
      <c r="A9694" s="131" t="s">
        <v>172</v>
      </c>
      <c r="B9694" s="132">
        <v>0.11643162449433</v>
      </c>
      <c r="C9694" s="133"/>
    </row>
    <row r="9695" spans="1:3">
      <c r="A9695" s="131" t="s">
        <v>173</v>
      </c>
      <c r="B9695" s="132">
        <v>3.1694821972245997E-2</v>
      </c>
      <c r="C9695" s="133"/>
    </row>
    <row r="9696" spans="1:3">
      <c r="A9696" s="131" t="s">
        <v>174</v>
      </c>
      <c r="B9696" s="132">
        <v>5.2220262391887999</v>
      </c>
      <c r="C9696" s="133"/>
    </row>
    <row r="9697" spans="1:3">
      <c r="A9697" s="131" t="s">
        <v>175</v>
      </c>
      <c r="B9697" s="132">
        <v>3.5312403245346999</v>
      </c>
      <c r="C9697" s="133"/>
    </row>
    <row r="9698" spans="1:3">
      <c r="A9698" s="131" t="s">
        <v>176</v>
      </c>
      <c r="B9698" s="132">
        <v>0.15953559296</v>
      </c>
      <c r="C9698" s="133"/>
    </row>
    <row r="9699" spans="1:3">
      <c r="A9699" s="131" t="s">
        <v>177</v>
      </c>
      <c r="B9699" s="132">
        <v>5.9825847359999997</v>
      </c>
      <c r="C9699" s="133"/>
    </row>
    <row r="9700" spans="1:3">
      <c r="A9700" s="131" t="s">
        <v>178</v>
      </c>
      <c r="B9700" s="132">
        <v>0.89191891441545001</v>
      </c>
      <c r="C9700" s="133"/>
    </row>
    <row r="9701" spans="1:3">
      <c r="A9701" s="131" t="s">
        <v>179</v>
      </c>
      <c r="B9701" s="132">
        <v>0.14896111594559999</v>
      </c>
      <c r="C9701" s="133"/>
    </row>
    <row r="9702" spans="1:3">
      <c r="A9702" s="131" t="s">
        <v>180</v>
      </c>
      <c r="B9702" s="132">
        <v>0.48921970708051998</v>
      </c>
      <c r="C9702" s="133"/>
    </row>
    <row r="9703" spans="1:3">
      <c r="A9703" s="131" t="s">
        <v>181</v>
      </c>
      <c r="B9703" s="132">
        <v>2.938290246901E-2</v>
      </c>
      <c r="C9703" s="133"/>
    </row>
    <row r="9704" spans="1:3">
      <c r="A9704" s="131" t="s">
        <v>182</v>
      </c>
      <c r="B9704" s="132">
        <v>8.8393995757375998E-2</v>
      </c>
      <c r="C9704" s="133"/>
    </row>
    <row r="9705" spans="1:3">
      <c r="A9705" s="131" t="s">
        <v>183</v>
      </c>
      <c r="B9705" s="132">
        <v>2.1606678635907</v>
      </c>
      <c r="C9705" s="133"/>
    </row>
    <row r="9706" spans="1:3">
      <c r="A9706" s="131" t="s">
        <v>184</v>
      </c>
      <c r="B9706" s="132">
        <v>1.3950582028287</v>
      </c>
      <c r="C9706" s="133"/>
    </row>
    <row r="9707" spans="1:3">
      <c r="A9707" s="131" t="s">
        <v>185</v>
      </c>
      <c r="B9707" s="132">
        <v>2.3096872988328E-2</v>
      </c>
      <c r="C9707" s="133"/>
    </row>
    <row r="9708" spans="1:3">
      <c r="A9708" s="131" t="s">
        <v>186</v>
      </c>
      <c r="B9708" s="132">
        <v>0.59911349028451</v>
      </c>
      <c r="C9708" s="133"/>
    </row>
    <row r="9709" spans="1:3">
      <c r="A9709" s="131" t="s">
        <v>187</v>
      </c>
      <c r="B9709" s="132">
        <v>1.2804930220941999</v>
      </c>
      <c r="C9709" s="133"/>
    </row>
    <row r="9710" spans="1:3">
      <c r="A9710" s="131" t="s">
        <v>188</v>
      </c>
      <c r="B9710" s="132">
        <v>1.9663505000931999E-2</v>
      </c>
      <c r="C9710" s="133"/>
    </row>
    <row r="9711" spans="1:3">
      <c r="A9711" s="131" t="s">
        <v>189</v>
      </c>
      <c r="B9711" s="132">
        <v>55.093817603213999</v>
      </c>
      <c r="C9711" s="133"/>
    </row>
    <row r="9712" spans="1:3">
      <c r="A9712" s="131" t="s">
        <v>190</v>
      </c>
      <c r="B9712" s="132">
        <v>2.1647659199999999E-2</v>
      </c>
      <c r="C9712" s="133"/>
    </row>
    <row r="9713" spans="1:3">
      <c r="A9713" s="131" t="s">
        <v>191</v>
      </c>
      <c r="B9713" s="132">
        <v>4.7773764361081001</v>
      </c>
      <c r="C9713" s="133"/>
    </row>
    <row r="9714" spans="1:3">
      <c r="A9714" s="131" t="s">
        <v>192</v>
      </c>
      <c r="B9714" s="132">
        <v>1.0517538403202424</v>
      </c>
      <c r="C9714" s="133"/>
    </row>
    <row r="9715" spans="1:3">
      <c r="A9715" s="131" t="s">
        <v>193</v>
      </c>
      <c r="B9715" s="132">
        <v>0.99398796124350997</v>
      </c>
      <c r="C9715" s="133"/>
    </row>
    <row r="9716" spans="1:3">
      <c r="A9716" s="131" t="s">
        <v>194</v>
      </c>
      <c r="B9716" s="132">
        <v>2333.1493646602999</v>
      </c>
      <c r="C9716" s="133"/>
    </row>
    <row r="9717" spans="1:3">
      <c r="A9717" s="131" t="s">
        <v>195</v>
      </c>
      <c r="B9717" s="132">
        <v>1.2707877694654</v>
      </c>
      <c r="C9717" s="133"/>
    </row>
    <row r="9718" spans="1:3">
      <c r="A9718" s="131" t="s">
        <v>196</v>
      </c>
      <c r="B9718" s="132">
        <v>3.0539642578657764</v>
      </c>
      <c r="C9718" s="133"/>
    </row>
    <row r="9719" spans="1:3">
      <c r="A9719" s="131" t="s">
        <v>197</v>
      </c>
      <c r="B9719" s="132">
        <v>1.0089040472824</v>
      </c>
      <c r="C9719" s="133"/>
    </row>
    <row r="9720" spans="1:3">
      <c r="A9720" s="131" t="s">
        <v>198</v>
      </c>
      <c r="B9720" s="132">
        <v>1.0461992720367001E-3</v>
      </c>
      <c r="C9720" s="133"/>
    </row>
    <row r="9721" spans="1:3">
      <c r="A9721" s="131" t="s">
        <v>199</v>
      </c>
      <c r="B9721" s="132">
        <v>0.28160240746086002</v>
      </c>
      <c r="C9721" s="133"/>
    </row>
    <row r="9722" spans="1:3">
      <c r="A9722" s="131" t="s">
        <v>200</v>
      </c>
      <c r="B9722" s="132">
        <v>2.7445069710221999</v>
      </c>
      <c r="C9722" s="133"/>
    </row>
    <row r="9723" spans="1:3">
      <c r="A9723" s="131" t="s">
        <v>201</v>
      </c>
      <c r="B9723" s="132">
        <v>0.2064448610553978</v>
      </c>
      <c r="C9723" s="133"/>
    </row>
    <row r="9724" spans="1:3">
      <c r="A9724" s="131" t="s">
        <v>202</v>
      </c>
      <c r="B9724" s="132">
        <v>1.431882423459863E-2</v>
      </c>
      <c r="C9724" s="133"/>
    </row>
    <row r="9725" spans="1:3">
      <c r="A9725" s="131" t="s">
        <v>203</v>
      </c>
      <c r="B9725" s="132">
        <v>1.251698576521</v>
      </c>
      <c r="C9725" s="133"/>
    </row>
    <row r="9726" spans="1:3">
      <c r="A9726" s="131" t="s">
        <v>204</v>
      </c>
      <c r="B9726" s="132">
        <v>0.33146484852057001</v>
      </c>
      <c r="C9726" s="133"/>
    </row>
    <row r="9727" spans="1:3">
      <c r="A9727" s="131" t="s">
        <v>205</v>
      </c>
      <c r="B9727" s="132">
        <v>6.3202848875994002</v>
      </c>
      <c r="C9727" s="133"/>
    </row>
    <row r="9728" spans="1:3">
      <c r="A9728" s="131" t="s">
        <v>206</v>
      </c>
      <c r="B9728" s="132">
        <v>0.19108976927433358</v>
      </c>
      <c r="C9728" s="133"/>
    </row>
    <row r="9729" spans="1:3">
      <c r="A9729" s="131" t="s">
        <v>207</v>
      </c>
      <c r="B9729" s="132">
        <v>29.279857612044001</v>
      </c>
      <c r="C9729" s="133"/>
    </row>
    <row r="9730" spans="1:3">
      <c r="A9730" s="131" t="s">
        <v>208</v>
      </c>
      <c r="B9730" s="132">
        <v>3.2042341649864001</v>
      </c>
      <c r="C9730" s="133"/>
    </row>
    <row r="9731" spans="1:3">
      <c r="A9731" s="131" t="s">
        <v>209</v>
      </c>
      <c r="B9731" s="132">
        <v>14.81164326224</v>
      </c>
      <c r="C9731" s="133"/>
    </row>
    <row r="9732" spans="1:3">
      <c r="A9732" s="131" t="s">
        <v>210</v>
      </c>
      <c r="B9732" s="132">
        <v>4.1922689190299997E-2</v>
      </c>
      <c r="C9732" s="133"/>
    </row>
    <row r="9733" spans="1:3">
      <c r="A9733" s="131" t="s">
        <v>211</v>
      </c>
      <c r="B9733" s="132">
        <v>0.12506881453315999</v>
      </c>
      <c r="C9733" s="133"/>
    </row>
    <row r="9734" spans="1:3">
      <c r="A9734" s="131" t="s">
        <v>212</v>
      </c>
      <c r="B9734" s="132">
        <v>1.9070793539834999E-2</v>
      </c>
      <c r="C9734" s="133"/>
    </row>
    <row r="9735" spans="1:3">
      <c r="A9735" s="131" t="s">
        <v>213</v>
      </c>
      <c r="B9735" s="132">
        <v>5.8795061171586003</v>
      </c>
      <c r="C9735" s="133"/>
    </row>
    <row r="9736" spans="1:3">
      <c r="A9736" s="131" t="s">
        <v>214</v>
      </c>
      <c r="B9736" s="132">
        <v>2.9990000000000001</v>
      </c>
      <c r="C9736" s="133"/>
    </row>
    <row r="9737" spans="1:3">
      <c r="A9737" s="131" t="s">
        <v>215</v>
      </c>
      <c r="B9737" s="132">
        <v>3.0645195954256001E-2</v>
      </c>
      <c r="C9737" s="133"/>
    </row>
    <row r="9738" spans="1:3">
      <c r="A9738" s="131" t="s">
        <v>216</v>
      </c>
      <c r="B9738" s="132">
        <v>10.528373025545999</v>
      </c>
      <c r="C9738" s="133"/>
    </row>
    <row r="9739" spans="1:3">
      <c r="A9739" s="131" t="s">
        <v>217</v>
      </c>
      <c r="B9739" s="132">
        <v>5.0396512577703003</v>
      </c>
      <c r="C9739" s="133"/>
    </row>
    <row r="9740" spans="1:3">
      <c r="A9740" s="131" t="s">
        <v>218</v>
      </c>
      <c r="B9740" s="132">
        <v>0.39768523323313998</v>
      </c>
      <c r="C9740" s="133"/>
    </row>
    <row r="9741" spans="1:3">
      <c r="A9741" s="131" t="s">
        <v>219</v>
      </c>
      <c r="B9741" s="132">
        <v>1.5223039180625999</v>
      </c>
      <c r="C9741" s="133"/>
    </row>
    <row r="9742" spans="1:3">
      <c r="A9742" s="131" t="s">
        <v>220</v>
      </c>
      <c r="B9742" s="132">
        <v>1.2001897909154999</v>
      </c>
      <c r="C9742" s="133"/>
    </row>
    <row r="9743" spans="1:3">
      <c r="A9743" s="131" t="s">
        <v>221</v>
      </c>
      <c r="B9743" s="132">
        <v>0.25931034889485</v>
      </c>
      <c r="C9743" s="133"/>
    </row>
    <row r="9744" spans="1:3">
      <c r="A9744" s="131" t="s">
        <v>222</v>
      </c>
      <c r="B9744" s="132">
        <v>1.2479195957054952</v>
      </c>
      <c r="C9744" s="133"/>
    </row>
    <row r="9745" spans="1:3">
      <c r="A9745" s="131" t="s">
        <v>223</v>
      </c>
      <c r="B9745" s="132">
        <v>0.60092316571450999</v>
      </c>
      <c r="C9745" s="133"/>
    </row>
    <row r="9746" spans="1:3">
      <c r="A9746" s="131" t="s">
        <v>224</v>
      </c>
      <c r="B9746" s="132">
        <v>6.3074191015494001E-4</v>
      </c>
      <c r="C9746" s="133"/>
    </row>
    <row r="9747" spans="1:3">
      <c r="A9747" s="131" t="s">
        <v>225</v>
      </c>
      <c r="B9747" s="132">
        <v>4.6486305899999997E-2</v>
      </c>
      <c r="C9747" s="133"/>
    </row>
    <row r="9748" spans="1:3">
      <c r="A9748" s="131" t="s">
        <v>226</v>
      </c>
      <c r="B9748" s="132">
        <v>6.030777429577E-2</v>
      </c>
      <c r="C9748" s="133"/>
    </row>
    <row r="9749" spans="1:3">
      <c r="A9749" s="131" t="s">
        <v>227</v>
      </c>
      <c r="B9749" s="132">
        <v>0.58730451790328997</v>
      </c>
      <c r="C9749" s="133"/>
    </row>
    <row r="9750" spans="1:3">
      <c r="A9750" s="131" t="s">
        <v>228</v>
      </c>
      <c r="B9750" s="132">
        <v>0.30799771436620071</v>
      </c>
      <c r="C9750" s="133"/>
    </row>
    <row r="9751" spans="1:3">
      <c r="A9751" s="131" t="s">
        <v>229</v>
      </c>
      <c r="B9751" s="132">
        <v>1.4478330775171999</v>
      </c>
      <c r="C9751" s="133"/>
    </row>
    <row r="9752" spans="1:3">
      <c r="A9752" s="131" t="s">
        <v>230</v>
      </c>
      <c r="B9752" s="132">
        <v>0.76508164065823547</v>
      </c>
      <c r="C9752" s="133"/>
    </row>
    <row r="9753" spans="1:3">
      <c r="A9753" s="131" t="s">
        <v>231</v>
      </c>
      <c r="B9753" s="132">
        <v>0.14538435895214</v>
      </c>
      <c r="C9753" s="133"/>
    </row>
    <row r="9754" spans="1:3">
      <c r="A9754" s="131" t="s">
        <v>232</v>
      </c>
      <c r="B9754" s="132">
        <v>6.7315675038257888E-2</v>
      </c>
      <c r="C9754" s="133"/>
    </row>
    <row r="9755" spans="1:3">
      <c r="A9755" s="131" t="s">
        <v>233</v>
      </c>
      <c r="B9755" s="132">
        <v>8.4029454681162008</v>
      </c>
      <c r="C9755" s="133"/>
    </row>
    <row r="9756" spans="1:3">
      <c r="A9756" s="131" t="s">
        <v>234</v>
      </c>
      <c r="B9756" s="132">
        <v>0.38742336512456998</v>
      </c>
      <c r="C9756" s="133"/>
    </row>
    <row r="9757" spans="1:3">
      <c r="A9757" s="131" t="s">
        <v>235</v>
      </c>
      <c r="B9757" s="132">
        <v>1.3307972497322001E-3</v>
      </c>
      <c r="C9757" s="133"/>
    </row>
    <row r="9758" spans="1:3">
      <c r="A9758" s="131" t="s">
        <v>236</v>
      </c>
      <c r="B9758" s="132">
        <v>1.3078069002692001</v>
      </c>
      <c r="C9758" s="133"/>
    </row>
    <row r="9759" spans="1:3">
      <c r="A9759" s="131" t="s">
        <v>237</v>
      </c>
      <c r="B9759" s="132">
        <v>0.50184913839462997</v>
      </c>
      <c r="C9759" s="133"/>
    </row>
    <row r="9760" spans="1:3">
      <c r="A9760" s="131" t="s">
        <v>238</v>
      </c>
      <c r="B9760" s="132">
        <v>0.43275070144797001</v>
      </c>
      <c r="C9760" s="133"/>
    </row>
    <row r="9761" spans="1:3">
      <c r="A9761" s="131" t="s">
        <v>239</v>
      </c>
      <c r="B9761" s="132">
        <v>0.95665605220405003</v>
      </c>
      <c r="C9761" s="133"/>
    </row>
    <row r="9762" spans="1:3">
      <c r="A9762" s="131" t="s">
        <v>240</v>
      </c>
      <c r="B9762" s="132">
        <v>0.70516164409402005</v>
      </c>
      <c r="C9762" s="133"/>
    </row>
    <row r="9763" spans="1:3">
      <c r="A9763" s="131" t="s">
        <v>241</v>
      </c>
      <c r="B9763" s="132">
        <v>171.30176483554001</v>
      </c>
      <c r="C9763" s="133"/>
    </row>
    <row r="9764" spans="1:3">
      <c r="A9764" s="131" t="s">
        <v>242</v>
      </c>
      <c r="B9764" s="132">
        <v>1.0559789591113216</v>
      </c>
      <c r="C9764" s="133"/>
    </row>
    <row r="9765" spans="1:3">
      <c r="A9765" s="131" t="s">
        <v>243</v>
      </c>
      <c r="B9765" s="132">
        <v>15.423436133541845</v>
      </c>
      <c r="C9765" s="133"/>
    </row>
    <row r="9766" spans="1:3">
      <c r="A9766" s="131" t="s">
        <v>244</v>
      </c>
      <c r="B9766" s="132">
        <v>0.61358076365499004</v>
      </c>
      <c r="C9766" s="133"/>
    </row>
    <row r="9767" spans="1:3">
      <c r="A9767" s="131" t="s">
        <v>245</v>
      </c>
      <c r="B9767" s="132">
        <v>2.4379116006384659E-5</v>
      </c>
      <c r="C9767" s="133"/>
    </row>
    <row r="9768" spans="1:3">
      <c r="A9768" s="131" t="s">
        <v>246</v>
      </c>
      <c r="B9768" s="132">
        <v>69.510467588175004</v>
      </c>
      <c r="C9768" s="133"/>
    </row>
    <row r="9769" spans="1:3">
      <c r="A9769" s="131" t="s">
        <v>247</v>
      </c>
      <c r="B9769" s="132">
        <v>0.4341017686102</v>
      </c>
      <c r="C9769" s="133"/>
    </row>
    <row r="9770" spans="1:3">
      <c r="A9770" s="131" t="s">
        <v>248</v>
      </c>
      <c r="B9770" s="132">
        <v>1.3889184540801001</v>
      </c>
      <c r="C9770" s="133"/>
    </row>
    <row r="9771" spans="1:3">
      <c r="A9771" s="131" t="s">
        <v>249</v>
      </c>
      <c r="B9771" s="132">
        <v>0.30996101931058001</v>
      </c>
      <c r="C9771" s="133"/>
    </row>
    <row r="9772" spans="1:3">
      <c r="A9772" s="131" t="s">
        <v>250</v>
      </c>
      <c r="B9772" s="132">
        <v>3.3492140235329</v>
      </c>
      <c r="C9772" s="133"/>
    </row>
    <row r="9773" spans="1:3">
      <c r="A9773" s="131" t="s">
        <v>251</v>
      </c>
      <c r="B9773" s="132">
        <v>0.49554945299592001</v>
      </c>
      <c r="C9773" s="133"/>
    </row>
    <row r="9774" spans="1:3">
      <c r="A9774" s="131" t="s">
        <v>252</v>
      </c>
      <c r="B9774" s="132">
        <v>6.3128394018046999E-2</v>
      </c>
      <c r="C9774" s="133"/>
    </row>
    <row r="9775" spans="1:3">
      <c r="A9775" s="131" t="s">
        <v>253</v>
      </c>
      <c r="B9775" s="132">
        <v>0.20160911388652</v>
      </c>
      <c r="C9775" s="133"/>
    </row>
    <row r="9776" spans="1:3">
      <c r="A9776" s="131" t="s">
        <v>254</v>
      </c>
      <c r="B9776" s="132">
        <v>0.43639857086062928</v>
      </c>
      <c r="C9776" s="133"/>
    </row>
    <row r="9777" spans="1:3">
      <c r="A9777" s="131" t="s">
        <v>255</v>
      </c>
      <c r="B9777" s="132">
        <v>0.39275155106824999</v>
      </c>
      <c r="C9777" s="133"/>
    </row>
    <row r="9778" spans="1:3">
      <c r="A9778" s="131" t="s">
        <v>256</v>
      </c>
      <c r="B9778" s="132">
        <v>6.4634981424661994E-2</v>
      </c>
      <c r="C9778" s="133"/>
    </row>
    <row r="9779" spans="1:3">
      <c r="A9779" s="131" t="s">
        <v>257</v>
      </c>
      <c r="B9779" s="132">
        <v>8.0251181666851999E-3</v>
      </c>
      <c r="C9779" s="133"/>
    </row>
    <row r="9780" spans="1:3">
      <c r="A9780" s="131" t="s">
        <v>258</v>
      </c>
      <c r="B9780" s="132">
        <v>9.2674590849988991</v>
      </c>
      <c r="C9780" s="133"/>
    </row>
    <row r="9781" spans="1:3">
      <c r="A9781" s="131" t="s">
        <v>259</v>
      </c>
      <c r="B9781" s="132">
        <v>6.2786158889742998</v>
      </c>
      <c r="C9781" s="133"/>
    </row>
    <row r="9782" spans="1:3">
      <c r="A9782" s="131" t="s">
        <v>260</v>
      </c>
      <c r="B9782" s="132">
        <v>0.38277716476211998</v>
      </c>
      <c r="C9782" s="133"/>
    </row>
    <row r="9783" spans="1:3">
      <c r="A9783" s="131" t="s">
        <v>261</v>
      </c>
      <c r="B9783" s="132">
        <v>2.0010810151604001E-2</v>
      </c>
      <c r="C9783" s="133"/>
    </row>
    <row r="9784" spans="1:3">
      <c r="A9784" s="131" t="s">
        <v>262</v>
      </c>
      <c r="B9784" s="132">
        <v>4.4664128646524998E-2</v>
      </c>
      <c r="C9784" s="133"/>
    </row>
    <row r="9785" spans="1:3">
      <c r="A9785" s="131" t="s">
        <v>263</v>
      </c>
      <c r="B9785" s="132">
        <v>28.557501137014999</v>
      </c>
      <c r="C9785" s="133"/>
    </row>
    <row r="9786" spans="1:3">
      <c r="A9786" s="131" t="s">
        <v>264</v>
      </c>
      <c r="B9786" s="132">
        <v>0.70665485739988998</v>
      </c>
      <c r="C9786" s="133"/>
    </row>
    <row r="9787" spans="1:3">
      <c r="A9787" s="131" t="s">
        <v>265</v>
      </c>
      <c r="B9787" s="132">
        <v>0.25792820156016999</v>
      </c>
      <c r="C9787" s="133"/>
    </row>
    <row r="9788" spans="1:3">
      <c r="A9788" s="131" t="s">
        <v>266</v>
      </c>
      <c r="B9788" s="132">
        <v>0.32273335797479002</v>
      </c>
      <c r="C9788" s="133"/>
    </row>
    <row r="9789" spans="1:3">
      <c r="A9789" s="131" t="s">
        <v>267</v>
      </c>
      <c r="B9789" s="132">
        <v>0.14629562225636999</v>
      </c>
      <c r="C9789" s="133"/>
    </row>
    <row r="9790" spans="1:3">
      <c r="A9790" s="131" t="s">
        <v>268</v>
      </c>
      <c r="B9790" s="132">
        <v>2.82916697334685E-2</v>
      </c>
      <c r="C9790" s="133"/>
    </row>
    <row r="9791" spans="1:3">
      <c r="A9791" s="131" t="s">
        <v>269</v>
      </c>
      <c r="B9791" s="132">
        <v>5.12174767E-2</v>
      </c>
      <c r="C9791" s="133"/>
    </row>
    <row r="9792" spans="1:3">
      <c r="A9792" s="131" t="s">
        <v>270</v>
      </c>
      <c r="B9792" s="132">
        <v>0.71684134636525298</v>
      </c>
      <c r="C9792" s="133"/>
    </row>
    <row r="9793" spans="1:3">
      <c r="A9793" s="131" t="s">
        <v>271</v>
      </c>
      <c r="B9793" s="132">
        <v>2.7311294073745999E-5</v>
      </c>
      <c r="C9793" s="133"/>
    </row>
    <row r="9794" spans="1:3">
      <c r="A9794" s="131" t="s">
        <v>272</v>
      </c>
      <c r="B9794" s="132">
        <v>1.3745932421284999E-4</v>
      </c>
      <c r="C9794" s="133"/>
    </row>
    <row r="9795" spans="1:3">
      <c r="A9795" s="131" t="s">
        <v>273</v>
      </c>
      <c r="B9795" s="132">
        <v>7.7421727784487996E-3</v>
      </c>
      <c r="C9795" s="133"/>
    </row>
    <row r="9796" spans="1:3">
      <c r="A9796" s="131" t="s">
        <v>274</v>
      </c>
      <c r="B9796" s="132">
        <v>1.0071722698523999</v>
      </c>
      <c r="C9796" s="133"/>
    </row>
    <row r="9797" spans="1:3">
      <c r="A9797" s="131" t="s">
        <v>275</v>
      </c>
      <c r="B9797" s="132">
        <v>0.32643447401647002</v>
      </c>
      <c r="C9797" s="133"/>
    </row>
    <row r="9798" spans="1:3">
      <c r="A9798" s="131" t="s">
        <v>276</v>
      </c>
      <c r="B9798" s="132">
        <v>0.19937461517174482</v>
      </c>
      <c r="C9798" s="133"/>
    </row>
    <row r="9799" spans="1:3">
      <c r="A9799" s="131" t="s">
        <v>277</v>
      </c>
      <c r="B9799" s="132">
        <v>3.4171490581708E-2</v>
      </c>
      <c r="C9799" s="133"/>
    </row>
    <row r="9800" spans="1:3">
      <c r="A9800" s="131" t="s">
        <v>278</v>
      </c>
      <c r="B9800" s="132">
        <v>0.51667392754020547</v>
      </c>
      <c r="C9800" s="133"/>
    </row>
    <row r="9801" spans="1:3">
      <c r="A9801" s="131" t="s">
        <v>279</v>
      </c>
      <c r="B9801" s="132">
        <v>0.85148709984974003</v>
      </c>
      <c r="C9801" s="133"/>
    </row>
    <row r="9802" spans="1:3">
      <c r="A9802" s="131" t="s">
        <v>280</v>
      </c>
      <c r="B9802" s="132">
        <v>7.3209622149266004E-2</v>
      </c>
      <c r="C9802" s="133"/>
    </row>
    <row r="9803" spans="1:3">
      <c r="A9803" s="131" t="s">
        <v>281</v>
      </c>
      <c r="B9803" s="132">
        <v>7.2907682400000003E-3</v>
      </c>
      <c r="C9803" s="133"/>
    </row>
    <row r="9804" spans="1:3">
      <c r="A9804" s="131" t="s">
        <v>282</v>
      </c>
      <c r="B9804" s="132">
        <v>1.3804975899228817E-2</v>
      </c>
      <c r="C9804" s="133"/>
    </row>
    <row r="9805" spans="1:3">
      <c r="A9805" s="131" t="s">
        <v>283</v>
      </c>
      <c r="B9805" s="132">
        <v>2.3876643694671E-3</v>
      </c>
      <c r="C9805" s="133"/>
    </row>
    <row r="9806" spans="1:3">
      <c r="A9806" s="131" t="s">
        <v>284</v>
      </c>
      <c r="B9806" s="132">
        <v>9.4648225043788994</v>
      </c>
      <c r="C9806" s="133"/>
    </row>
    <row r="9807" spans="1:3">
      <c r="A9807" s="131" t="s">
        <v>285</v>
      </c>
      <c r="B9807" s="132">
        <v>0.19429296914183</v>
      </c>
      <c r="C9807" s="133"/>
    </row>
    <row r="9808" spans="1:3">
      <c r="A9808" s="131" t="s">
        <v>286</v>
      </c>
      <c r="B9808" s="132">
        <v>6.1188798439804001E-2</v>
      </c>
      <c r="C9808" s="133"/>
    </row>
    <row r="9809" spans="1:3">
      <c r="A9809" s="131" t="s">
        <v>287</v>
      </c>
      <c r="B9809" s="132">
        <v>1.6361791559285001E-4</v>
      </c>
      <c r="C9809" s="133"/>
    </row>
    <row r="9810" spans="1:3">
      <c r="A9810" s="131" t="s">
        <v>288</v>
      </c>
      <c r="B9810" s="132">
        <v>0.15388370328939707</v>
      </c>
      <c r="C9810" s="133"/>
    </row>
    <row r="9811" spans="1:3">
      <c r="A9811" s="131" t="s">
        <v>289</v>
      </c>
      <c r="B9811" s="132">
        <v>1.0417935130622</v>
      </c>
      <c r="C9811" s="133"/>
    </row>
    <row r="9812" spans="1:3">
      <c r="A9812" s="131" t="s">
        <v>290</v>
      </c>
      <c r="B9812" s="132">
        <v>0.64937207151701004</v>
      </c>
      <c r="C9812" s="133"/>
    </row>
    <row r="9813" spans="1:3">
      <c r="A9813" s="131" t="s">
        <v>291</v>
      </c>
      <c r="B9813" s="132">
        <v>6.6816161912367997</v>
      </c>
      <c r="C9813" s="133"/>
    </row>
    <row r="9814" spans="1:3">
      <c r="A9814" s="131" t="s">
        <v>292</v>
      </c>
      <c r="B9814" s="132">
        <v>1.0250250352188</v>
      </c>
      <c r="C9814" s="133"/>
    </row>
    <row r="9815" spans="1:3">
      <c r="A9815" s="131" t="s">
        <v>293</v>
      </c>
      <c r="B9815" s="132">
        <v>3.9446012248108002E-2</v>
      </c>
      <c r="C9815" s="133"/>
    </row>
    <row r="9816" spans="1:3">
      <c r="A9816" s="131" t="s">
        <v>294</v>
      </c>
      <c r="B9816" s="132">
        <v>45.068553867902999</v>
      </c>
      <c r="C9816" s="133"/>
    </row>
    <row r="9817" spans="1:3">
      <c r="A9817" s="131" t="s">
        <v>295</v>
      </c>
      <c r="B9817" s="132">
        <v>0.31263639299954998</v>
      </c>
      <c r="C9817" s="133"/>
    </row>
    <row r="9818" spans="1:3">
      <c r="A9818" s="131" t="s">
        <v>296</v>
      </c>
      <c r="B9818" s="132">
        <v>4.3847055280592999E-4</v>
      </c>
      <c r="C9818" s="133"/>
    </row>
    <row r="9819" spans="1:3">
      <c r="A9819" s="131" t="s">
        <v>297</v>
      </c>
      <c r="B9819" s="132">
        <v>0.1050686848390481</v>
      </c>
      <c r="C9819" s="133"/>
    </row>
    <row r="9820" spans="1:3">
      <c r="A9820" s="131" t="s">
        <v>298</v>
      </c>
      <c r="B9820" s="132">
        <v>1.0268186449685E-2</v>
      </c>
      <c r="C9820" s="133"/>
    </row>
    <row r="9821" spans="1:3">
      <c r="A9821" s="131" t="s">
        <v>299</v>
      </c>
      <c r="B9821" s="132">
        <v>1.0327544872734999</v>
      </c>
      <c r="C9821" s="133"/>
    </row>
    <row r="9822" spans="1:3">
      <c r="A9822" s="131" t="s">
        <v>300</v>
      </c>
      <c r="B9822" s="132">
        <v>7.2629678131129003E-3</v>
      </c>
      <c r="C9822" s="133"/>
    </row>
    <row r="9823" spans="1:3">
      <c r="A9823" s="131" t="s">
        <v>301</v>
      </c>
      <c r="B9823" s="132">
        <v>2.8025461505851998</v>
      </c>
      <c r="C9823" s="133"/>
    </row>
    <row r="9824" spans="1:3">
      <c r="A9824" s="131" t="s">
        <v>302</v>
      </c>
      <c r="B9824" s="132">
        <v>0.26350065414896284</v>
      </c>
      <c r="C9824" s="133"/>
    </row>
    <row r="9825" spans="1:3">
      <c r="A9825" s="131" t="s">
        <v>303</v>
      </c>
      <c r="B9825" s="132">
        <v>0.62462044028015995</v>
      </c>
      <c r="C9825" s="133"/>
    </row>
    <row r="9826" spans="1:3">
      <c r="A9826" s="131" t="s">
        <v>304</v>
      </c>
      <c r="B9826" s="132">
        <v>1.9719587074278999</v>
      </c>
      <c r="C9826" s="133"/>
    </row>
    <row r="9827" spans="1:3">
      <c r="A9827" s="131" t="s">
        <v>305</v>
      </c>
      <c r="B9827" s="132">
        <v>2.3739612530314001E-2</v>
      </c>
      <c r="C9827" s="133"/>
    </row>
    <row r="9828" spans="1:3">
      <c r="A9828" s="131" t="s">
        <v>306</v>
      </c>
      <c r="B9828" s="132">
        <v>3.5898850219317997E-2</v>
      </c>
      <c r="C9828" s="133"/>
    </row>
    <row r="9829" spans="1:3">
      <c r="A9829" s="131" t="s">
        <v>307</v>
      </c>
      <c r="B9829" s="132">
        <v>2.0935064804708001E-3</v>
      </c>
      <c r="C9829" s="133"/>
    </row>
    <row r="9830" spans="1:3">
      <c r="A9830" s="131" t="s">
        <v>308</v>
      </c>
      <c r="B9830" s="132">
        <v>100.20356087887809</v>
      </c>
      <c r="C9830" s="133"/>
    </row>
    <row r="9831" spans="1:3">
      <c r="A9831" s="131" t="s">
        <v>309</v>
      </c>
      <c r="B9831" s="132">
        <v>1.6036320979453</v>
      </c>
      <c r="C9831" s="133"/>
    </row>
    <row r="9832" spans="1:3">
      <c r="A9832" s="131" t="s">
        <v>310</v>
      </c>
      <c r="B9832" s="132">
        <v>0.50276154858337918</v>
      </c>
      <c r="C9832" s="133"/>
    </row>
    <row r="9833" spans="1:3">
      <c r="A9833" s="131" t="s">
        <v>311</v>
      </c>
      <c r="B9833" s="132">
        <v>2.0405121615884002E-3</v>
      </c>
      <c r="C9833" s="133"/>
    </row>
    <row r="9834" spans="1:3">
      <c r="A9834" s="131" t="s">
        <v>312</v>
      </c>
      <c r="B9834" s="132">
        <v>6.5028070600000004E-4</v>
      </c>
      <c r="C9834" s="133"/>
    </row>
    <row r="9835" spans="1:3">
      <c r="A9835" s="131" t="s">
        <v>313</v>
      </c>
      <c r="B9835" s="132">
        <v>8.9821898756909005E-2</v>
      </c>
      <c r="C9835" s="133"/>
    </row>
    <row r="9836" spans="1:3">
      <c r="A9836" s="131" t="s">
        <v>314</v>
      </c>
      <c r="B9836" s="132">
        <v>0.14590322881945</v>
      </c>
      <c r="C9836" s="133"/>
    </row>
    <row r="9837" spans="1:3">
      <c r="A9837" s="131" t="s">
        <v>315</v>
      </c>
      <c r="B9837" s="132">
        <v>7.9385521315998003E-3</v>
      </c>
      <c r="C9837" s="133"/>
    </row>
    <row r="9838" spans="1:3">
      <c r="A9838" s="131" t="s">
        <v>316</v>
      </c>
      <c r="B9838" s="132">
        <v>57.916404203585998</v>
      </c>
      <c r="C9838" s="133"/>
    </row>
    <row r="9839" spans="1:3">
      <c r="A9839" s="131" t="s">
        <v>317</v>
      </c>
      <c r="B9839" s="132">
        <v>5.7113806329103997E-2</v>
      </c>
      <c r="C9839" s="133"/>
    </row>
    <row r="9840" spans="1:3">
      <c r="A9840" s="131" t="s">
        <v>318</v>
      </c>
      <c r="B9840" s="132">
        <v>0.94721287965776002</v>
      </c>
      <c r="C9840" s="133"/>
    </row>
    <row r="9841" spans="1:3">
      <c r="A9841" s="131" t="s">
        <v>319</v>
      </c>
      <c r="B9841" s="132">
        <v>33.891249999999999</v>
      </c>
      <c r="C9841" s="133"/>
    </row>
    <row r="9842" spans="1:3">
      <c r="A9842" s="131" t="s">
        <v>320</v>
      </c>
      <c r="B9842" s="132">
        <v>5.5625750894605003E-2</v>
      </c>
      <c r="C9842" s="133"/>
    </row>
    <row r="9843" spans="1:3">
      <c r="A9843" s="131" t="s">
        <v>321</v>
      </c>
      <c r="B9843" s="132">
        <v>1.0468386053848</v>
      </c>
      <c r="C9843" s="133"/>
    </row>
    <row r="9844" spans="1:3">
      <c r="A9844" s="131" t="s">
        <v>322</v>
      </c>
      <c r="B9844" s="132">
        <v>9.3002409087014003E-7</v>
      </c>
      <c r="C9844" s="133"/>
    </row>
    <row r="9845" spans="1:3">
      <c r="A9845" s="131" t="s">
        <v>323</v>
      </c>
      <c r="B9845" s="132">
        <v>1.2537098283429</v>
      </c>
      <c r="C9845" s="133"/>
    </row>
    <row r="9846" spans="1:3">
      <c r="A9846" s="131" t="s">
        <v>324</v>
      </c>
      <c r="B9846" s="132">
        <v>9.1337219477226533E-2</v>
      </c>
      <c r="C9846" s="133"/>
    </row>
    <row r="9847" spans="1:3">
      <c r="A9847" s="131" t="s">
        <v>325</v>
      </c>
      <c r="B9847" s="132">
        <v>0.18550039560577</v>
      </c>
      <c r="C9847" s="133"/>
    </row>
    <row r="9848" spans="1:3">
      <c r="A9848" s="131" t="s">
        <v>326</v>
      </c>
      <c r="B9848" s="132">
        <v>2.9307509915483001E-2</v>
      </c>
      <c r="C9848" s="133"/>
    </row>
    <row r="9849" spans="1:3">
      <c r="A9849" s="131" t="s">
        <v>327</v>
      </c>
      <c r="B9849" s="132">
        <v>3.8217246571620482E-3</v>
      </c>
      <c r="C9849" s="133"/>
    </row>
    <row r="9850" spans="1:3">
      <c r="A9850" s="131" t="s">
        <v>328</v>
      </c>
      <c r="B9850" s="132">
        <v>2.1175024242755E-3</v>
      </c>
      <c r="C9850" s="133"/>
    </row>
    <row r="9851" spans="1:3">
      <c r="A9851" s="131" t="s">
        <v>329</v>
      </c>
      <c r="B9851" s="132">
        <v>9.8932543781566995</v>
      </c>
      <c r="C9851" s="133"/>
    </row>
    <row r="9852" spans="1:3">
      <c r="A9852" s="131" t="s">
        <v>330</v>
      </c>
      <c r="B9852" s="132">
        <v>6.6014952460838003</v>
      </c>
      <c r="C9852" s="133"/>
    </row>
    <row r="9853" spans="1:3">
      <c r="A9853" s="131" t="s">
        <v>331</v>
      </c>
      <c r="B9853" s="132">
        <v>7.4988149812102002E-3</v>
      </c>
      <c r="C9853" s="133"/>
    </row>
    <row r="9854" spans="1:3">
      <c r="A9854" s="131" t="s">
        <v>332</v>
      </c>
      <c r="B9854" s="132">
        <v>1.0713120518650999E-3</v>
      </c>
      <c r="C9854" s="133"/>
    </row>
    <row r="9855" spans="1:3">
      <c r="A9855" s="131" t="s">
        <v>333</v>
      </c>
      <c r="B9855" s="132">
        <v>4.5014802354799004</v>
      </c>
      <c r="C9855" s="133"/>
    </row>
    <row r="9856" spans="1:3">
      <c r="A9856" s="131" t="s">
        <v>334</v>
      </c>
      <c r="B9856" s="132">
        <v>0.14563692325540376</v>
      </c>
      <c r="C9856" s="133"/>
    </row>
    <row r="9857" spans="1:3">
      <c r="A9857" s="131" t="s">
        <v>335</v>
      </c>
      <c r="B9857" s="132">
        <v>0.46297506006245515</v>
      </c>
      <c r="C9857" s="133"/>
    </row>
    <row r="9858" spans="1:3">
      <c r="A9858" s="131" t="s">
        <v>336</v>
      </c>
      <c r="B9858" s="132">
        <v>0.22192010650140001</v>
      </c>
      <c r="C9858" s="133"/>
    </row>
    <row r="9859" spans="1:3">
      <c r="A9859" s="131" t="s">
        <v>337</v>
      </c>
      <c r="B9859" s="132">
        <v>0.23001772421833744</v>
      </c>
      <c r="C9859" s="133"/>
    </row>
    <row r="9860" spans="1:3">
      <c r="A9860" s="131" t="s">
        <v>338</v>
      </c>
      <c r="B9860" s="132">
        <v>0.37856607153140898</v>
      </c>
      <c r="C9860" s="133"/>
    </row>
    <row r="9861" spans="1:3">
      <c r="A9861" s="131" t="s">
        <v>339</v>
      </c>
      <c r="B9861" s="132">
        <v>7.14403658207E-2</v>
      </c>
      <c r="C9861" s="133"/>
    </row>
    <row r="9862" spans="1:3">
      <c r="A9862" s="131" t="s">
        <v>340</v>
      </c>
      <c r="B9862" s="132">
        <v>0.51027616914206997</v>
      </c>
      <c r="C9862" s="133"/>
    </row>
    <row r="9863" spans="1:3">
      <c r="A9863" s="131" t="s">
        <v>341</v>
      </c>
      <c r="B9863" s="132">
        <v>1.9521422226273835</v>
      </c>
      <c r="C9863" s="133"/>
    </row>
    <row r="9864" spans="1:3">
      <c r="A9864" s="131" t="s">
        <v>342</v>
      </c>
      <c r="B9864" s="132">
        <v>0.16031906944373001</v>
      </c>
      <c r="C9864" s="133"/>
    </row>
    <row r="9865" spans="1:3">
      <c r="A9865" s="131" t="s">
        <v>343</v>
      </c>
      <c r="B9865" s="132">
        <v>0.48520556826604</v>
      </c>
      <c r="C9865" s="133"/>
    </row>
    <row r="9866" spans="1:3">
      <c r="A9866" s="131" t="s">
        <v>344</v>
      </c>
      <c r="B9866" s="132">
        <v>5.4336480778605996</v>
      </c>
      <c r="C9866" s="133"/>
    </row>
    <row r="9867" spans="1:3">
      <c r="A9867" s="131" t="s">
        <v>345</v>
      </c>
      <c r="B9867" s="132">
        <v>2.1391577443642001E-4</v>
      </c>
      <c r="C9867" s="133"/>
    </row>
    <row r="9868" spans="1:3">
      <c r="A9868" s="131" t="s">
        <v>346</v>
      </c>
      <c r="B9868" s="132">
        <v>3.6429716310710999E-3</v>
      </c>
      <c r="C9868" s="133"/>
    </row>
    <row r="9869" spans="1:3">
      <c r="A9869" s="131" t="s">
        <v>347</v>
      </c>
      <c r="B9869" s="132">
        <v>1.9523170052182001E-3</v>
      </c>
      <c r="C9869" s="133"/>
    </row>
    <row r="9870" spans="1:3">
      <c r="A9870" s="131" t="s">
        <v>348</v>
      </c>
      <c r="B9870" s="132">
        <v>8.599715716558079E-2</v>
      </c>
      <c r="C9870" s="133"/>
    </row>
    <row r="9871" spans="1:3">
      <c r="A9871" s="131" t="s">
        <v>349</v>
      </c>
      <c r="B9871" s="132">
        <v>1.7689200337197999</v>
      </c>
      <c r="C9871" s="133"/>
    </row>
    <row r="9872" spans="1:3">
      <c r="A9872" s="131" t="s">
        <v>350</v>
      </c>
      <c r="B9872" s="132">
        <v>0.25478378004694002</v>
      </c>
      <c r="C9872" s="133"/>
    </row>
    <row r="9873" spans="1:3">
      <c r="A9873" s="131" t="s">
        <v>351</v>
      </c>
      <c r="B9873" s="132">
        <v>3.5920846769445003</v>
      </c>
      <c r="C9873" s="133"/>
    </row>
    <row r="9874" spans="1:3">
      <c r="A9874" s="131" t="s">
        <v>352</v>
      </c>
      <c r="B9874" s="132">
        <v>133.50901742740999</v>
      </c>
      <c r="C9874" s="133"/>
    </row>
    <row r="9875" spans="1:3">
      <c r="A9875" s="131" t="s">
        <v>353</v>
      </c>
      <c r="B9875" s="132">
        <v>0.17749012845230999</v>
      </c>
      <c r="C9875" s="133"/>
    </row>
    <row r="9876" spans="1:3">
      <c r="A9876" s="131" t="s">
        <v>354</v>
      </c>
      <c r="B9876" s="132">
        <v>0.50528823080073004</v>
      </c>
      <c r="C9876" s="133"/>
    </row>
    <row r="9877" spans="1:3">
      <c r="A9877" s="131" t="s">
        <v>355</v>
      </c>
      <c r="B9877" s="132">
        <v>6.7801036340732002E-3</v>
      </c>
      <c r="C9877" s="133"/>
    </row>
    <row r="9878" spans="1:3">
      <c r="A9878" s="131" t="s">
        <v>356</v>
      </c>
      <c r="B9878" s="132">
        <v>0.30688387064700001</v>
      </c>
      <c r="C9878" s="133"/>
    </row>
    <row r="9879" spans="1:3">
      <c r="A9879" s="131" t="s">
        <v>357</v>
      </c>
      <c r="B9879" s="132">
        <v>1.5402563366153E-2</v>
      </c>
      <c r="C9879" s="133"/>
    </row>
    <row r="9880" spans="1:3">
      <c r="A9880" s="131" t="s">
        <v>358</v>
      </c>
      <c r="B9880" s="132">
        <v>8.0253555967257001E-2</v>
      </c>
      <c r="C9880" s="133"/>
    </row>
    <row r="9881" spans="1:3">
      <c r="A9881" s="131" t="s">
        <v>359</v>
      </c>
      <c r="B9881" s="132">
        <v>0.93920831367385005</v>
      </c>
      <c r="C9881" s="133"/>
    </row>
    <row r="9882" spans="1:3">
      <c r="A9882" s="131" t="s">
        <v>360</v>
      </c>
      <c r="B9882" s="132">
        <v>0.11175428137927</v>
      </c>
      <c r="C9882" s="133"/>
    </row>
    <row r="9883" spans="1:3">
      <c r="A9883" s="131" t="s">
        <v>361</v>
      </c>
      <c r="B9883" s="132">
        <v>2.2867133183804754E-2</v>
      </c>
      <c r="C9883" s="133"/>
    </row>
    <row r="9884" spans="1:3">
      <c r="A9884" s="131" t="s">
        <v>362</v>
      </c>
      <c r="B9884" s="132">
        <v>1.2131542732138001E-5</v>
      </c>
      <c r="C9884" s="133"/>
    </row>
    <row r="9885" spans="1:3">
      <c r="A9885" s="131" t="s">
        <v>363</v>
      </c>
      <c r="B9885" s="132">
        <v>3.9098098086514002E-2</v>
      </c>
      <c r="C9885" s="133"/>
    </row>
    <row r="9886" spans="1:3">
      <c r="A9886" s="131" t="s">
        <v>364</v>
      </c>
      <c r="B9886" s="132">
        <v>1.2812856675918001</v>
      </c>
      <c r="C9886" s="133"/>
    </row>
    <row r="9887" spans="1:3">
      <c r="A9887" s="131" t="s">
        <v>365</v>
      </c>
      <c r="B9887" s="132">
        <v>0.57218296232225119</v>
      </c>
      <c r="C9887" s="133"/>
    </row>
    <row r="9888" spans="1:3">
      <c r="A9888" s="131" t="s">
        <v>366</v>
      </c>
      <c r="B9888" s="132">
        <v>0.14851301521339999</v>
      </c>
      <c r="C9888" s="133"/>
    </row>
    <row r="9889" spans="1:3">
      <c r="A9889" s="131" t="s">
        <v>367</v>
      </c>
      <c r="B9889" s="132">
        <v>9.2676458188341998E-2</v>
      </c>
      <c r="C9889" s="133"/>
    </row>
    <row r="9890" spans="1:3">
      <c r="A9890" s="131" t="s">
        <v>368</v>
      </c>
      <c r="B9890" s="132">
        <v>5.0860581051258965E-6</v>
      </c>
      <c r="C9890" s="133"/>
    </row>
    <row r="9891" spans="1:3">
      <c r="A9891" s="131" t="s">
        <v>369</v>
      </c>
      <c r="B9891" s="132">
        <v>2.2990282606379999E-2</v>
      </c>
      <c r="C9891" s="133"/>
    </row>
    <row r="9892" spans="1:3">
      <c r="A9892" s="131" t="s">
        <v>370</v>
      </c>
      <c r="B9892" s="132">
        <v>4.3993440233775001</v>
      </c>
      <c r="C9892" s="133"/>
    </row>
    <row r="9893" spans="1:3">
      <c r="A9893" s="131" t="s">
        <v>371</v>
      </c>
      <c r="B9893" s="132">
        <v>1.2850120496779E-4</v>
      </c>
      <c r="C9893" s="133"/>
    </row>
    <row r="9894" spans="1:3">
      <c r="A9894" s="131" t="s">
        <v>372</v>
      </c>
      <c r="B9894" s="132">
        <v>3.1811932557924E-2</v>
      </c>
      <c r="C9894" s="133"/>
    </row>
    <row r="9895" spans="1:3">
      <c r="A9895" s="131" t="s">
        <v>373</v>
      </c>
      <c r="B9895" s="132">
        <v>1.1584068668789897</v>
      </c>
      <c r="C9895" s="133"/>
    </row>
    <row r="9896" spans="1:3">
      <c r="A9896" s="131" t="s">
        <v>374</v>
      </c>
      <c r="B9896" s="132">
        <v>0.19707301078117281</v>
      </c>
      <c r="C9896" s="133"/>
    </row>
    <row r="9897" spans="1:3">
      <c r="A9897" s="131" t="s">
        <v>375</v>
      </c>
      <c r="B9897" s="132">
        <v>3.0319838801988186E-3</v>
      </c>
      <c r="C9897" s="133"/>
    </row>
    <row r="9898" spans="1:3">
      <c r="A9898" s="131" t="s">
        <v>376</v>
      </c>
      <c r="B9898" s="132">
        <v>0.78784794036170003</v>
      </c>
      <c r="C9898" s="133"/>
    </row>
    <row r="9899" spans="1:3">
      <c r="A9899" s="131" t="s">
        <v>377</v>
      </c>
      <c r="B9899" s="132">
        <v>6.7654345362428994E-2</v>
      </c>
      <c r="C9899" s="133"/>
    </row>
    <row r="9900" spans="1:3">
      <c r="A9900" s="131" t="s">
        <v>378</v>
      </c>
      <c r="B9900" s="132">
        <v>3.191713899596306E-2</v>
      </c>
      <c r="C9900" s="133"/>
    </row>
    <row r="9901" spans="1:3">
      <c r="A9901" s="131" t="s">
        <v>379</v>
      </c>
      <c r="B9901" s="132">
        <v>1.7257464995656E-3</v>
      </c>
      <c r="C9901" s="133"/>
    </row>
    <row r="9902" spans="1:3">
      <c r="A9902" s="131" t="s">
        <v>380</v>
      </c>
      <c r="B9902" s="132">
        <v>2.6642492770028999E-2</v>
      </c>
      <c r="C9902" s="133"/>
    </row>
    <row r="9903" spans="1:3">
      <c r="A9903" s="131" t="s">
        <v>381</v>
      </c>
      <c r="B9903" s="132">
        <v>0.99263597094218003</v>
      </c>
      <c r="C9903" s="133"/>
    </row>
    <row r="9904" spans="1:3">
      <c r="A9904" s="131" t="s">
        <v>382</v>
      </c>
      <c r="B9904" s="132">
        <v>9.1575095892210995E-2</v>
      </c>
      <c r="C9904" s="133"/>
    </row>
    <row r="9905" spans="1:3">
      <c r="A9905" s="131" t="s">
        <v>383</v>
      </c>
      <c r="B9905" s="132">
        <v>2.0511100916494999E-2</v>
      </c>
      <c r="C9905" s="133"/>
    </row>
    <row r="9906" spans="1:3">
      <c r="A9906" s="131" t="s">
        <v>384</v>
      </c>
      <c r="B9906" s="132">
        <v>2.0101726627645999E-3</v>
      </c>
      <c r="C9906" s="133"/>
    </row>
    <row r="9907" spans="1:3">
      <c r="A9907" s="131" t="s">
        <v>385</v>
      </c>
      <c r="B9907" s="132">
        <v>14.585558982322</v>
      </c>
      <c r="C9907" s="133"/>
    </row>
    <row r="9908" spans="1:3">
      <c r="A9908" s="131" t="s">
        <v>386</v>
      </c>
      <c r="B9908" s="132">
        <v>0.25286092057227283</v>
      </c>
      <c r="C9908" s="133"/>
    </row>
    <row r="9909" spans="1:3">
      <c r="A9909" s="131" t="s">
        <v>387</v>
      </c>
      <c r="B9909" s="132">
        <v>0.13187137077044001</v>
      </c>
      <c r="C9909" s="133"/>
    </row>
    <row r="9910" spans="1:3">
      <c r="A9910" s="131" t="s">
        <v>388</v>
      </c>
      <c r="B9910" s="132">
        <v>0.10945924098852</v>
      </c>
      <c r="C9910" s="133"/>
    </row>
    <row r="9911" spans="1:3">
      <c r="A9911" s="131" t="s">
        <v>389</v>
      </c>
      <c r="B9911" s="132">
        <v>0.44985307008033709</v>
      </c>
      <c r="C9911" s="133"/>
    </row>
    <row r="9912" spans="1:3">
      <c r="A9912" s="131" t="s">
        <v>390</v>
      </c>
      <c r="B9912" s="132">
        <v>1.1832770555827001E-3</v>
      </c>
      <c r="C9912" s="133"/>
    </row>
    <row r="9913" spans="1:3">
      <c r="A9913" s="131" t="s">
        <v>391</v>
      </c>
      <c r="B9913" s="132">
        <v>9.9743809974510003E-2</v>
      </c>
      <c r="C9913" s="133"/>
    </row>
    <row r="9914" spans="1:3">
      <c r="A9914" s="131" t="s">
        <v>392</v>
      </c>
      <c r="B9914" s="132">
        <v>5.1123772737526863E-4</v>
      </c>
      <c r="C9914" s="133"/>
    </row>
    <row r="9915" spans="1:3">
      <c r="A9915" s="131" t="s">
        <v>393</v>
      </c>
      <c r="B9915" s="132">
        <v>2.6751742252735</v>
      </c>
      <c r="C9915" s="133"/>
    </row>
    <row r="9916" spans="1:3">
      <c r="A9916" s="131" t="s">
        <v>394</v>
      </c>
      <c r="B9916" s="132">
        <v>1.3066251242230618E-3</v>
      </c>
      <c r="C9916" s="133"/>
    </row>
    <row r="9917" spans="1:3">
      <c r="A9917" s="131" t="s">
        <v>395</v>
      </c>
      <c r="B9917" s="132">
        <v>0.34805138195071</v>
      </c>
      <c r="C9917" s="133"/>
    </row>
    <row r="9918" spans="1:3">
      <c r="A9918" s="131" t="s">
        <v>396</v>
      </c>
      <c r="B9918" s="132">
        <v>3.7151303765825001</v>
      </c>
      <c r="C9918" s="133"/>
    </row>
    <row r="9919" spans="1:3">
      <c r="A9919" s="131" t="s">
        <v>397</v>
      </c>
      <c r="B9919" s="132">
        <v>1.4770156313804053</v>
      </c>
      <c r="C9919" s="133"/>
    </row>
    <row r="9920" spans="1:3">
      <c r="A9920" s="131" t="s">
        <v>398</v>
      </c>
      <c r="B9920" s="132">
        <v>1.2304841090477E-2</v>
      </c>
      <c r="C9920" s="133"/>
    </row>
    <row r="9921" spans="1:3">
      <c r="A9921" s="131" t="s">
        <v>399</v>
      </c>
      <c r="B9921" s="132">
        <v>6.1450284890831382E-2</v>
      </c>
      <c r="C9921" s="133"/>
    </row>
    <row r="9922" spans="1:3">
      <c r="A9922" s="131" t="s">
        <v>400</v>
      </c>
      <c r="B9922" s="132">
        <v>2.0551330549048001E-2</v>
      </c>
      <c r="C9922" s="133"/>
    </row>
    <row r="9923" spans="1:3">
      <c r="A9923" s="131" t="s">
        <v>401</v>
      </c>
      <c r="B9923" s="132">
        <v>1.2758025718788977E-2</v>
      </c>
      <c r="C9923" s="133"/>
    </row>
    <row r="9924" spans="1:3">
      <c r="A9924" s="131" t="s">
        <v>402</v>
      </c>
      <c r="B9924" s="132">
        <v>0.57372011564318004</v>
      </c>
      <c r="C9924" s="133"/>
    </row>
    <row r="9925" spans="1:3">
      <c r="A9925" s="131" t="s">
        <v>403</v>
      </c>
      <c r="B9925" s="132">
        <v>6.3597200626866995E-2</v>
      </c>
      <c r="C9925" s="133"/>
    </row>
    <row r="9926" spans="1:3">
      <c r="A9926" s="131" t="s">
        <v>404</v>
      </c>
      <c r="B9926" s="132">
        <v>0.43650294985051696</v>
      </c>
      <c r="C9926" s="133"/>
    </row>
    <row r="9927" spans="1:3">
      <c r="A9927" s="131" t="s">
        <v>405</v>
      </c>
      <c r="B9927" s="132">
        <v>1.2116484721841001</v>
      </c>
      <c r="C9927" s="133"/>
    </row>
    <row r="9928" spans="1:3">
      <c r="A9928" s="131" t="s">
        <v>406</v>
      </c>
      <c r="B9928" s="132">
        <v>4.5039861199564997E-2</v>
      </c>
      <c r="C9928" s="133"/>
    </row>
    <row r="9929" spans="1:3">
      <c r="A9929" s="131" t="s">
        <v>407</v>
      </c>
      <c r="B9929" s="132">
        <v>12.990752806024</v>
      </c>
      <c r="C9929" s="133"/>
    </row>
    <row r="9930" spans="1:3">
      <c r="A9930" s="131" t="s">
        <v>408</v>
      </c>
      <c r="B9930" s="132">
        <v>2.1818508063830999E-4</v>
      </c>
      <c r="C9930" s="133"/>
    </row>
    <row r="9931" spans="1:3">
      <c r="A9931" s="131" t="s">
        <v>409</v>
      </c>
      <c r="B9931" s="132">
        <v>2.8235281359195001E-3</v>
      </c>
      <c r="C9931" s="133"/>
    </row>
    <row r="9932" spans="1:3">
      <c r="A9932" s="131" t="s">
        <v>410</v>
      </c>
      <c r="B9932" s="132">
        <v>0.27883259903896002</v>
      </c>
      <c r="C9932" s="133"/>
    </row>
    <row r="9933" spans="1:3">
      <c r="A9933" s="131" t="s">
        <v>411</v>
      </c>
      <c r="B9933" s="132">
        <v>8.8247761016334997E-2</v>
      </c>
      <c r="C9933" s="133"/>
    </row>
    <row r="9934" spans="1:3">
      <c r="A9934" s="131" t="s">
        <v>412</v>
      </c>
      <c r="B9934" s="132">
        <v>1.1315920470964001E-2</v>
      </c>
      <c r="C9934" s="133"/>
    </row>
    <row r="9935" spans="1:3">
      <c r="A9935" s="131" t="s">
        <v>413</v>
      </c>
      <c r="B9935" s="132">
        <v>0.63876875420208001</v>
      </c>
      <c r="C9935" s="133"/>
    </row>
    <row r="9936" spans="1:3">
      <c r="A9936" s="131" t="s">
        <v>414</v>
      </c>
      <c r="B9936" s="132">
        <v>4.3562634588166997E-2</v>
      </c>
      <c r="C9936" s="133"/>
    </row>
    <row r="9937" spans="1:3">
      <c r="A9937" s="131" t="s">
        <v>415</v>
      </c>
      <c r="B9937" s="132">
        <v>1.1073222663867E-2</v>
      </c>
      <c r="C9937" s="133"/>
    </row>
    <row r="9938" spans="1:3">
      <c r="A9938" s="131" t="s">
        <v>416</v>
      </c>
      <c r="B9938" s="132">
        <v>9.5490603151318003E-4</v>
      </c>
      <c r="C9938" s="133"/>
    </row>
    <row r="9939" spans="1:3">
      <c r="A9939" s="131" t="s">
        <v>417</v>
      </c>
      <c r="B9939" s="132">
        <v>2.6081322537288999E-4</v>
      </c>
      <c r="C9939" s="133"/>
    </row>
    <row r="9940" spans="1:3">
      <c r="A9940" s="131" t="s">
        <v>418</v>
      </c>
      <c r="B9940" s="132">
        <v>0.23362644214642</v>
      </c>
      <c r="C9940" s="133"/>
    </row>
    <row r="9941" spans="1:3">
      <c r="A9941" s="131" t="s">
        <v>419</v>
      </c>
      <c r="B9941" s="132">
        <v>0.48035997804922997</v>
      </c>
      <c r="C9941" s="133"/>
    </row>
    <row r="9942" spans="1:3">
      <c r="A9942" s="131" t="s">
        <v>420</v>
      </c>
      <c r="B9942" s="132">
        <v>2.3923626568828002E-5</v>
      </c>
      <c r="C9942" s="133"/>
    </row>
    <row r="9943" spans="1:3">
      <c r="A9943" s="131" t="s">
        <v>421</v>
      </c>
      <c r="B9943" s="132">
        <v>4.3820633911463E-2</v>
      </c>
      <c r="C9943" s="133"/>
    </row>
    <row r="9944" spans="1:3">
      <c r="A9944" s="131" t="s">
        <v>422</v>
      </c>
      <c r="B9944" s="132">
        <v>0.81912785126078003</v>
      </c>
      <c r="C9944" s="133"/>
    </row>
    <row r="9945" spans="1:3">
      <c r="A9945" s="131" t="s">
        <v>423</v>
      </c>
      <c r="B9945" s="132">
        <v>0.30604899488590998</v>
      </c>
      <c r="C9945" s="133"/>
    </row>
    <row r="9946" spans="1:3">
      <c r="A9946" s="131" t="s">
        <v>424</v>
      </c>
      <c r="B9946" s="132">
        <v>0.91106297270492997</v>
      </c>
      <c r="C9946" s="133"/>
    </row>
    <row r="9947" spans="1:3">
      <c r="A9947" s="131" t="s">
        <v>425</v>
      </c>
      <c r="B9947" s="132">
        <v>1.9970808502108999E-5</v>
      </c>
      <c r="C9947" s="133"/>
    </row>
    <row r="9948" spans="1:3">
      <c r="A9948" s="131" t="s">
        <v>426</v>
      </c>
      <c r="B9948" s="132">
        <v>30.712177265501001</v>
      </c>
      <c r="C9948" s="133"/>
    </row>
    <row r="9949" spans="1:3">
      <c r="A9949" s="131" t="s">
        <v>427</v>
      </c>
      <c r="B9949" s="132">
        <v>1.8209855447815001E-2</v>
      </c>
      <c r="C9949" s="133"/>
    </row>
    <row r="9950" spans="1:3">
      <c r="A9950" s="131" t="s">
        <v>428</v>
      </c>
      <c r="B9950" s="132">
        <v>1.44573007E-2</v>
      </c>
      <c r="C9950" s="133"/>
    </row>
    <row r="9951" spans="1:3">
      <c r="A9951" s="131" t="s">
        <v>429</v>
      </c>
      <c r="B9951" s="132">
        <v>1.3399805616543E-2</v>
      </c>
      <c r="C9951" s="133"/>
    </row>
    <row r="9952" spans="1:3">
      <c r="A9952" s="131" t="s">
        <v>430</v>
      </c>
      <c r="B9952" s="132">
        <v>0.50976804445634771</v>
      </c>
      <c r="C9952" s="133"/>
    </row>
    <row r="9953" spans="1:3">
      <c r="A9953" s="131" t="s">
        <v>431</v>
      </c>
      <c r="B9953" s="132">
        <v>0.20777723284710001</v>
      </c>
      <c r="C9953" s="133"/>
    </row>
    <row r="9954" spans="1:3">
      <c r="A9954" s="131" t="s">
        <v>432</v>
      </c>
      <c r="B9954" s="132">
        <v>8.5275286613125001E-2</v>
      </c>
      <c r="C9954" s="133"/>
    </row>
    <row r="9955" spans="1:3">
      <c r="A9955" s="131" t="s">
        <v>433</v>
      </c>
      <c r="B9955" s="132">
        <v>9.9084940929611995E-2</v>
      </c>
      <c r="C9955" s="133"/>
    </row>
    <row r="9956" spans="1:3">
      <c r="A9956" s="131" t="s">
        <v>434</v>
      </c>
      <c r="B9956" s="132">
        <v>7.4092280423472988E-3</v>
      </c>
      <c r="C9956" s="133"/>
    </row>
    <row r="9957" spans="1:3">
      <c r="A9957" s="131" t="s">
        <v>435</v>
      </c>
      <c r="B9957" s="132">
        <v>8.9516203576649994E-2</v>
      </c>
      <c r="C9957" s="133"/>
    </row>
    <row r="9958" spans="1:3">
      <c r="A9958" s="131" t="s">
        <v>436</v>
      </c>
      <c r="B9958" s="132">
        <v>1.2363592256585001</v>
      </c>
      <c r="C9958" s="133"/>
    </row>
    <row r="9959" spans="1:3">
      <c r="A9959" s="131" t="s">
        <v>2404</v>
      </c>
      <c r="B9959" s="132">
        <v>2.3150222743459001E-3</v>
      </c>
      <c r="C9959" s="133"/>
    </row>
    <row r="9960" spans="1:3">
      <c r="A9960" s="131" t="s">
        <v>2405</v>
      </c>
      <c r="B9960" s="132">
        <v>0.34139506245973</v>
      </c>
      <c r="C9960" s="133"/>
    </row>
    <row r="9961" spans="1:3">
      <c r="A9961" s="131" t="s">
        <v>2406</v>
      </c>
      <c r="B9961" s="132">
        <v>7.9749279666616005E-2</v>
      </c>
      <c r="C9961" s="133"/>
    </row>
    <row r="9962" spans="1:3">
      <c r="A9962" s="131" t="s">
        <v>2407</v>
      </c>
      <c r="B9962" s="132">
        <v>103.98808288049</v>
      </c>
      <c r="C9962" s="133"/>
    </row>
    <row r="9963" spans="1:3">
      <c r="A9963" s="131" t="s">
        <v>2408</v>
      </c>
      <c r="B9963" s="132">
        <v>4.1637151258073004</v>
      </c>
      <c r="C9963" s="133"/>
    </row>
    <row r="9964" spans="1:3">
      <c r="A9964" s="131" t="s">
        <v>2409</v>
      </c>
      <c r="B9964" s="132">
        <v>0.15891973487559</v>
      </c>
      <c r="C9964" s="133"/>
    </row>
    <row r="9965" spans="1:3">
      <c r="A9965" s="131" t="s">
        <v>2410</v>
      </c>
      <c r="B9965" s="132">
        <v>1.7289022962737001E-3</v>
      </c>
      <c r="C9965" s="133"/>
    </row>
    <row r="9966" spans="1:3">
      <c r="A9966" s="131" t="s">
        <v>2411</v>
      </c>
      <c r="B9966" s="132">
        <v>3.6643378413051819E-2</v>
      </c>
      <c r="C9966" s="133"/>
    </row>
    <row r="9967" spans="1:3">
      <c r="A9967" s="131" t="s">
        <v>2412</v>
      </c>
      <c r="B9967" s="132">
        <v>4.5798729576330924E-2</v>
      </c>
      <c r="C9967" s="133"/>
    </row>
    <row r="9968" spans="1:3">
      <c r="A9968" s="131" t="s">
        <v>2413</v>
      </c>
      <c r="B9968" s="132">
        <v>25.25</v>
      </c>
      <c r="C9968" s="133"/>
    </row>
    <row r="9969" spans="1:3">
      <c r="A9969" s="131" t="s">
        <v>2414</v>
      </c>
      <c r="B9969" s="132">
        <v>9.0009852481903005E-2</v>
      </c>
      <c r="C9969" s="133"/>
    </row>
    <row r="9970" spans="1:3">
      <c r="A9970" s="131" t="s">
        <v>2415</v>
      </c>
      <c r="B9970" s="132">
        <v>1.4395312826348251E-2</v>
      </c>
      <c r="C9970" s="133"/>
    </row>
    <row r="9971" spans="1:3">
      <c r="A9971" s="131" t="s">
        <v>2416</v>
      </c>
      <c r="B9971" s="132">
        <v>6.1107171215170997</v>
      </c>
      <c r="C9971" s="133"/>
    </row>
    <row r="9972" spans="1:3">
      <c r="A9972" s="131" t="s">
        <v>2417</v>
      </c>
      <c r="B9972" s="132">
        <v>0.24265532212478</v>
      </c>
      <c r="C9972" s="133"/>
    </row>
    <row r="9973" spans="1:3">
      <c r="A9973" s="131" t="s">
        <v>2418</v>
      </c>
      <c r="B9973" s="132">
        <v>0.25303921485761999</v>
      </c>
      <c r="C9973" s="133"/>
    </row>
    <row r="9974" spans="1:3">
      <c r="A9974" s="131" t="s">
        <v>2419</v>
      </c>
      <c r="B9974" s="132">
        <v>8.3021569977904004E-3</v>
      </c>
      <c r="C9974" s="133"/>
    </row>
    <row r="9975" spans="1:3">
      <c r="A9975" s="131" t="s">
        <v>2420</v>
      </c>
      <c r="B9975" s="132">
        <v>0.78052243048574999</v>
      </c>
      <c r="C9975" s="133"/>
    </row>
    <row r="9976" spans="1:3">
      <c r="A9976" s="131" t="s">
        <v>2421</v>
      </c>
      <c r="B9976" s="132">
        <v>3.9793253841642999E-2</v>
      </c>
      <c r="C9976" s="133"/>
    </row>
    <row r="9977" spans="1:3">
      <c r="A9977" s="131" t="s">
        <v>2422</v>
      </c>
      <c r="B9977" s="132">
        <v>0.23114190381234001</v>
      </c>
      <c r="C9977" s="133"/>
    </row>
    <row r="9978" spans="1:3">
      <c r="A9978" s="131" t="s">
        <v>2423</v>
      </c>
      <c r="B9978" s="132">
        <v>0.47600642805095</v>
      </c>
      <c r="C9978" s="133"/>
    </row>
    <row r="9979" spans="1:3">
      <c r="A9979" s="131" t="s">
        <v>2424</v>
      </c>
      <c r="B9979" s="132">
        <v>0.27106297932412998</v>
      </c>
      <c r="C9979" s="133"/>
    </row>
    <row r="9980" spans="1:3">
      <c r="A9980" s="131" t="s">
        <v>2425</v>
      </c>
      <c r="B9980" s="132">
        <v>0.94401091291283001</v>
      </c>
      <c r="C9980" s="133"/>
    </row>
    <row r="9981" spans="1:3">
      <c r="A9981" s="131" t="s">
        <v>2426</v>
      </c>
      <c r="B9981" s="132">
        <v>5.1895084392809996E-6</v>
      </c>
      <c r="C9981" s="133"/>
    </row>
    <row r="9982" spans="1:3">
      <c r="A9982" s="131" t="s">
        <v>2427</v>
      </c>
      <c r="B9982" s="132">
        <v>0.2541326541921739</v>
      </c>
      <c r="C9982" s="133"/>
    </row>
    <row r="9983" spans="1:3">
      <c r="A9983" s="131" t="s">
        <v>2428</v>
      </c>
      <c r="B9983" s="132">
        <v>0.32751652430382999</v>
      </c>
      <c r="C9983" s="133"/>
    </row>
    <row r="9984" spans="1:3">
      <c r="A9984" s="131" t="s">
        <v>2429</v>
      </c>
      <c r="B9984" s="132">
        <v>4.3127177425228E-3</v>
      </c>
      <c r="C9984" s="133"/>
    </row>
    <row r="9985" spans="1:3">
      <c r="A9985" s="131" t="s">
        <v>2430</v>
      </c>
      <c r="B9985" s="132">
        <v>0.60132544638115004</v>
      </c>
      <c r="C9985" s="133"/>
    </row>
    <row r="9986" spans="1:3">
      <c r="A9986" s="131" t="s">
        <v>2431</v>
      </c>
      <c r="B9986" s="132">
        <v>185.22024398349001</v>
      </c>
      <c r="C9986" s="133"/>
    </row>
    <row r="9987" spans="1:3">
      <c r="A9987" s="131" t="s">
        <v>2432</v>
      </c>
      <c r="B9987" s="132">
        <v>1.3657391585861001</v>
      </c>
      <c r="C9987" s="133"/>
    </row>
    <row r="9988" spans="1:3">
      <c r="A9988" s="131" t="s">
        <v>2433</v>
      </c>
      <c r="B9988" s="132">
        <v>91.948579996125005</v>
      </c>
      <c r="C9988" s="133"/>
    </row>
    <row r="9989" spans="1:3">
      <c r="A9989" s="131" t="s">
        <v>2434</v>
      </c>
      <c r="B9989" s="132">
        <v>2.6964593643880002</v>
      </c>
      <c r="C9989" s="133"/>
    </row>
    <row r="9990" spans="1:3">
      <c r="A9990" s="131" t="s">
        <v>2435</v>
      </c>
      <c r="B9990" s="132">
        <v>0.28760403763446385</v>
      </c>
      <c r="C9990" s="133"/>
    </row>
    <row r="9991" spans="1:3">
      <c r="A9991" s="131" t="s">
        <v>2436</v>
      </c>
      <c r="B9991" s="132">
        <v>542.51844038809998</v>
      </c>
      <c r="C9991" s="133"/>
    </row>
    <row r="9992" spans="1:3">
      <c r="A9992" s="131" t="s">
        <v>2437</v>
      </c>
      <c r="B9992" s="132">
        <v>1.5678614754164001E-6</v>
      </c>
      <c r="C9992" s="133"/>
    </row>
    <row r="9993" spans="1:3">
      <c r="A9993" s="131" t="s">
        <v>2438</v>
      </c>
      <c r="B9993" s="132">
        <v>0.11078593821631</v>
      </c>
      <c r="C9993" s="133"/>
    </row>
    <row r="9994" spans="1:3">
      <c r="A9994" s="131" t="s">
        <v>2439</v>
      </c>
      <c r="B9994" s="132">
        <v>0.144573007</v>
      </c>
      <c r="C9994" s="133"/>
    </row>
    <row r="9995" spans="1:3">
      <c r="A9995" s="131" t="s">
        <v>2440</v>
      </c>
      <c r="B9995" s="132">
        <v>2.6354238181762999E-2</v>
      </c>
      <c r="C9995" s="133"/>
    </row>
    <row r="9996" spans="1:3">
      <c r="A9996" s="131" t="s">
        <v>2441</v>
      </c>
      <c r="B9996" s="132">
        <v>0.24985315862369001</v>
      </c>
      <c r="C9996" s="133"/>
    </row>
    <row r="9997" spans="1:3">
      <c r="A9997" s="131" t="s">
        <v>2442</v>
      </c>
      <c r="B9997" s="132">
        <v>44.549652165962002</v>
      </c>
      <c r="C9997" s="133"/>
    </row>
    <row r="9998" spans="1:3">
      <c r="A9998" s="131" t="s">
        <v>2443</v>
      </c>
      <c r="B9998" s="132">
        <v>0.31855981639903003</v>
      </c>
      <c r="C9998" s="133"/>
    </row>
    <row r="9999" spans="1:3">
      <c r="A9999" s="131" t="s">
        <v>2444</v>
      </c>
      <c r="B9999" s="132">
        <v>1.3573524711845</v>
      </c>
      <c r="C9999" s="133"/>
    </row>
    <row r="10000" spans="1:3">
      <c r="A10000" s="131" t="s">
        <v>2445</v>
      </c>
      <c r="B10000" s="132">
        <v>4.2872232615140997E-6</v>
      </c>
      <c r="C10000" s="133"/>
    </row>
    <row r="10001" spans="1:3">
      <c r="A10001" s="131" t="s">
        <v>2446</v>
      </c>
      <c r="B10001" s="132">
        <v>111.64309293142</v>
      </c>
      <c r="C10001" s="133"/>
    </row>
    <row r="10002" spans="1:3">
      <c r="A10002" s="131" t="s">
        <v>2447</v>
      </c>
      <c r="B10002" s="132">
        <v>8.2803245614848003E-2</v>
      </c>
      <c r="C10002" s="133"/>
    </row>
    <row r="10003" spans="1:3">
      <c r="A10003" s="131" t="s">
        <v>2448</v>
      </c>
      <c r="B10003" s="132">
        <v>4.3463523112806997E-2</v>
      </c>
      <c r="C10003" s="133"/>
    </row>
    <row r="10004" spans="1:3">
      <c r="A10004" s="131" t="s">
        <v>2449</v>
      </c>
      <c r="B10004" s="132">
        <v>1.8459399495921001</v>
      </c>
      <c r="C10004" s="133"/>
    </row>
    <row r="10005" spans="1:3">
      <c r="A10005" s="131" t="s">
        <v>2450</v>
      </c>
      <c r="B10005" s="132">
        <v>1.0475669590034</v>
      </c>
      <c r="C10005" s="133"/>
    </row>
    <row r="10006" spans="1:3">
      <c r="A10006" s="131" t="s">
        <v>2451</v>
      </c>
      <c r="B10006" s="132">
        <v>8.4645811587097004E-3</v>
      </c>
      <c r="C10006" s="133"/>
    </row>
    <row r="10007" spans="1:3">
      <c r="A10007" s="131" t="s">
        <v>2452</v>
      </c>
      <c r="B10007" s="132">
        <v>2.844559382975E-4</v>
      </c>
      <c r="C10007" s="133"/>
    </row>
    <row r="10008" spans="1:3">
      <c r="A10008" s="131" t="s">
        <v>2453</v>
      </c>
      <c r="B10008" s="132">
        <v>8.2425884376771993E-2</v>
      </c>
      <c r="C10008" s="133"/>
    </row>
    <row r="10009" spans="1:3">
      <c r="A10009" s="131" t="s">
        <v>2454</v>
      </c>
      <c r="B10009" s="132">
        <v>1.7866973504737E-2</v>
      </c>
      <c r="C10009" s="133"/>
    </row>
    <row r="10010" spans="1:3">
      <c r="A10010" s="131" t="s">
        <v>2455</v>
      </c>
      <c r="B10010" s="132">
        <v>4.7217475701914022E-2</v>
      </c>
      <c r="C10010" s="133"/>
    </row>
    <row r="10011" spans="1:3">
      <c r="A10011" s="131" t="s">
        <v>2456</v>
      </c>
      <c r="B10011" s="132">
        <v>0.48275554326366998</v>
      </c>
      <c r="C10011" s="133"/>
    </row>
    <row r="10012" spans="1:3">
      <c r="A10012" s="131" t="s">
        <v>2457</v>
      </c>
      <c r="B10012" s="132">
        <v>1.5486112954055</v>
      </c>
      <c r="C10012" s="133"/>
    </row>
    <row r="10013" spans="1:3">
      <c r="A10013" s="131" t="s">
        <v>2458</v>
      </c>
      <c r="B10013" s="132">
        <v>3.1626354428858999E-2</v>
      </c>
      <c r="C10013" s="133"/>
    </row>
    <row r="10014" spans="1:3">
      <c r="A10014" s="131" t="s">
        <v>2459</v>
      </c>
      <c r="B10014" s="132">
        <v>1.2813873140531E-2</v>
      </c>
      <c r="C10014" s="133"/>
    </row>
    <row r="10015" spans="1:3">
      <c r="A10015" s="131" t="s">
        <v>2460</v>
      </c>
      <c r="B10015" s="132">
        <v>2.4646199111814999E-2</v>
      </c>
      <c r="C10015" s="133"/>
    </row>
    <row r="10016" spans="1:3">
      <c r="A10016" s="131" t="s">
        <v>2461</v>
      </c>
      <c r="B10016" s="132">
        <v>0.19231181677826001</v>
      </c>
      <c r="C10016" s="133"/>
    </row>
    <row r="10017" spans="1:3">
      <c r="A10017" s="131" t="s">
        <v>2462</v>
      </c>
      <c r="B10017" s="132">
        <v>2.0759916248957001E-5</v>
      </c>
      <c r="C10017" s="133"/>
    </row>
    <row r="10018" spans="1:3">
      <c r="A10018" s="131" t="s">
        <v>2463</v>
      </c>
      <c r="B10018" s="132">
        <v>91.417374218122006</v>
      </c>
      <c r="C10018" s="133"/>
    </row>
    <row r="10019" spans="1:3">
      <c r="A10019" s="131" t="s">
        <v>2464</v>
      </c>
      <c r="B10019" s="132">
        <v>1.0005415081217E-2</v>
      </c>
      <c r="C10019" s="133"/>
    </row>
    <row r="10020" spans="1:3">
      <c r="A10020" s="131" t="s">
        <v>2465</v>
      </c>
      <c r="B10020" s="132">
        <v>1.0767717881765999</v>
      </c>
      <c r="C10020" s="133"/>
    </row>
    <row r="10021" spans="1:3">
      <c r="A10021" s="131" t="s">
        <v>2466</v>
      </c>
      <c r="B10021" s="132">
        <v>0.42872387641025</v>
      </c>
      <c r="C10021" s="133"/>
    </row>
    <row r="10022" spans="1:3">
      <c r="A10022" s="131" t="s">
        <v>2467</v>
      </c>
      <c r="B10022" s="132">
        <v>1.3292831759999999</v>
      </c>
      <c r="C10022" s="133"/>
    </row>
    <row r="10023" spans="1:3">
      <c r="A10023" s="131" t="s">
        <v>2468</v>
      </c>
      <c r="B10023" s="132">
        <v>0.28417026030514841</v>
      </c>
      <c r="C10023" s="133"/>
    </row>
    <row r="10024" spans="1:3">
      <c r="A10024" s="131" t="s">
        <v>2469</v>
      </c>
      <c r="B10024" s="132">
        <v>5.0528837703042999E-2</v>
      </c>
      <c r="C10024" s="133"/>
    </row>
    <row r="10025" spans="1:3">
      <c r="A10025" s="131" t="s">
        <v>2470</v>
      </c>
      <c r="B10025" s="132">
        <v>4.1466392665355997E-3</v>
      </c>
      <c r="C10025" s="133"/>
    </row>
    <row r="10026" spans="1:3">
      <c r="A10026" s="131" t="s">
        <v>2471</v>
      </c>
      <c r="B10026" s="132">
        <v>6.2191763621181001E-3</v>
      </c>
      <c r="C10026" s="133"/>
    </row>
    <row r="10027" spans="1:3">
      <c r="A10027" s="131" t="s">
        <v>2472</v>
      </c>
      <c r="B10027" s="132">
        <v>3.7930528572894001E-2</v>
      </c>
      <c r="C10027" s="133"/>
    </row>
    <row r="10028" spans="1:3">
      <c r="A10028" s="131" t="s">
        <v>2473</v>
      </c>
      <c r="B10028" s="132">
        <v>7.1458996464420004</v>
      </c>
      <c r="C10028" s="133"/>
    </row>
    <row r="10029" spans="1:3">
      <c r="A10029" s="131" t="s">
        <v>2474</v>
      </c>
      <c r="B10029" s="132">
        <v>0.57547943748135</v>
      </c>
      <c r="C10029" s="133"/>
    </row>
    <row r="10030" spans="1:3">
      <c r="A10030" s="131" t="s">
        <v>2475</v>
      </c>
      <c r="B10030" s="132">
        <v>3.2921726130742002</v>
      </c>
      <c r="C10030" s="133"/>
    </row>
    <row r="10031" spans="1:3">
      <c r="A10031" s="131" t="s">
        <v>2476</v>
      </c>
      <c r="B10031" s="132">
        <v>9.3736829557307007E-3</v>
      </c>
      <c r="C10031" s="133"/>
    </row>
    <row r="10032" spans="1:3">
      <c r="A10032" s="131" t="s">
        <v>2477</v>
      </c>
      <c r="B10032" s="132">
        <v>7.0825585505932996E-4</v>
      </c>
      <c r="C10032" s="133"/>
    </row>
    <row r="10033" spans="1:3">
      <c r="A10033" s="131" t="s">
        <v>2478</v>
      </c>
      <c r="B10033" s="132">
        <v>4.9794428431451996</v>
      </c>
      <c r="C10033" s="133"/>
    </row>
    <row r="10034" spans="1:3">
      <c r="A10034" s="131" t="s">
        <v>2479</v>
      </c>
      <c r="B10034" s="132">
        <v>2.0716448090318001E-2</v>
      </c>
      <c r="C10034" s="133"/>
    </row>
    <row r="10035" spans="1:3">
      <c r="A10035" s="131" t="s">
        <v>2480</v>
      </c>
      <c r="B10035" s="132">
        <v>46.563701383108999</v>
      </c>
      <c r="C10035" s="133"/>
    </row>
    <row r="10036" spans="1:3">
      <c r="A10036" s="131" t="s">
        <v>2481</v>
      </c>
      <c r="B10036" s="132">
        <v>0.17189260716627</v>
      </c>
      <c r="C10036" s="133"/>
    </row>
    <row r="10037" spans="1:3">
      <c r="A10037" s="131" t="s">
        <v>2482</v>
      </c>
      <c r="B10037" s="132">
        <v>0.12324035027437</v>
      </c>
      <c r="C10037" s="133"/>
    </row>
    <row r="10038" spans="1:3">
      <c r="A10038" s="131" t="s">
        <v>2483</v>
      </c>
      <c r="B10038" s="132">
        <v>0.15668480017186001</v>
      </c>
      <c r="C10038" s="133"/>
    </row>
    <row r="10039" spans="1:3">
      <c r="A10039" s="131" t="s">
        <v>2484</v>
      </c>
      <c r="B10039" s="132">
        <v>3.262298567169826E-2</v>
      </c>
      <c r="C10039" s="133"/>
    </row>
    <row r="10040" spans="1:3">
      <c r="A10040" s="131" t="s">
        <v>2485</v>
      </c>
      <c r="B10040" s="132">
        <v>0.3954135753161383</v>
      </c>
      <c r="C10040" s="133"/>
    </row>
    <row r="10041" spans="1:3">
      <c r="A10041" s="131" t="s">
        <v>2486</v>
      </c>
      <c r="B10041" s="132">
        <v>0.91322837640260002</v>
      </c>
      <c r="C10041" s="133"/>
    </row>
    <row r="10042" spans="1:3">
      <c r="A10042" s="131" t="s">
        <v>2487</v>
      </c>
      <c r="B10042" s="132">
        <v>3.0776307204248001E-3</v>
      </c>
      <c r="C10042" s="133"/>
    </row>
    <row r="10043" spans="1:3">
      <c r="A10043" s="131" t="s">
        <v>2488</v>
      </c>
      <c r="B10043" s="132">
        <v>0.3123101399236517</v>
      </c>
      <c r="C10043" s="133"/>
    </row>
    <row r="10044" spans="1:3">
      <c r="A10044" s="131" t="s">
        <v>2489</v>
      </c>
      <c r="B10044" s="132">
        <v>2.0071806553886595E-3</v>
      </c>
      <c r="C10044" s="133"/>
    </row>
    <row r="10045" spans="1:3">
      <c r="A10045" s="131" t="s">
        <v>2490</v>
      </c>
      <c r="B10045" s="132">
        <v>9.0165396421711501E-3</v>
      </c>
      <c r="C10045" s="133"/>
    </row>
    <row r="10046" spans="1:3">
      <c r="A10046" s="131" t="s">
        <v>2491</v>
      </c>
      <c r="B10046" s="132">
        <v>3.4029665983413997E-2</v>
      </c>
      <c r="C10046" s="133"/>
    </row>
    <row r="10047" spans="1:3">
      <c r="A10047" s="131" t="s">
        <v>2492</v>
      </c>
      <c r="B10047" s="132">
        <v>0.45796043053277002</v>
      </c>
      <c r="C10047" s="133"/>
    </row>
    <row r="10048" spans="1:3">
      <c r="A10048" s="131" t="s">
        <v>2493</v>
      </c>
      <c r="B10048" s="132">
        <v>0.43957220379950224</v>
      </c>
      <c r="C10048" s="133"/>
    </row>
    <row r="10049" spans="1:3">
      <c r="A10049" s="131" t="s">
        <v>2494</v>
      </c>
      <c r="B10049" s="132">
        <v>0.48604329488957221</v>
      </c>
      <c r="C10049" s="133"/>
    </row>
    <row r="10050" spans="1:3">
      <c r="A10050" s="131" t="s">
        <v>2495</v>
      </c>
      <c r="B10050" s="132">
        <v>4.0827798509661437E-2</v>
      </c>
      <c r="C10050" s="133"/>
    </row>
    <row r="10051" spans="1:3">
      <c r="A10051" s="131" t="s">
        <v>2496</v>
      </c>
      <c r="B10051" s="132">
        <v>1.7994050527065999</v>
      </c>
      <c r="C10051" s="133"/>
    </row>
    <row r="10052" spans="1:3">
      <c r="A10052" s="131" t="s">
        <v>2497</v>
      </c>
      <c r="B10052" s="132">
        <v>2.8898535762795997E-4</v>
      </c>
      <c r="C10052" s="133"/>
    </row>
    <row r="10053" spans="1:3">
      <c r="A10053" s="131" t="s">
        <v>2498</v>
      </c>
      <c r="B10053" s="132">
        <v>0.19838501615605</v>
      </c>
      <c r="C10053" s="133"/>
    </row>
    <row r="10054" spans="1:3">
      <c r="A10054" s="131" t="s">
        <v>2499</v>
      </c>
      <c r="B10054" s="132">
        <v>1.6282515962156999E-3</v>
      </c>
      <c r="C10054" s="133"/>
    </row>
    <row r="10055" spans="1:3">
      <c r="A10055" s="131" t="s">
        <v>2500</v>
      </c>
      <c r="B10055" s="132">
        <v>3.7487205430479999E-3</v>
      </c>
      <c r="C10055" s="133"/>
    </row>
    <row r="10056" spans="1:3">
      <c r="A10056" s="131" t="s">
        <v>2501</v>
      </c>
      <c r="B10056" s="132">
        <v>112.41817283284</v>
      </c>
      <c r="C10056" s="133"/>
    </row>
    <row r="10057" spans="1:3">
      <c r="A10057" s="131" t="s">
        <v>2502</v>
      </c>
      <c r="B10057" s="132">
        <v>2.2787659179982999E-6</v>
      </c>
      <c r="C10057" s="133"/>
    </row>
    <row r="10058" spans="1:3">
      <c r="A10058" s="131" t="s">
        <v>2503</v>
      </c>
      <c r="B10058" s="132">
        <v>5.3106541300000003E-4</v>
      </c>
      <c r="C10058" s="133"/>
    </row>
    <row r="10059" spans="1:3">
      <c r="A10059" s="131" t="s">
        <v>2504</v>
      </c>
      <c r="B10059" s="132">
        <v>0.49987051744678002</v>
      </c>
      <c r="C10059" s="133"/>
    </row>
    <row r="10060" spans="1:3">
      <c r="A10060" s="131" t="s">
        <v>2505</v>
      </c>
      <c r="B10060" s="132">
        <v>0.12118844324003999</v>
      </c>
      <c r="C10060" s="133"/>
    </row>
    <row r="10061" spans="1:3">
      <c r="A10061" s="131" t="s">
        <v>2506</v>
      </c>
      <c r="B10061" s="132">
        <v>0.21169445961528</v>
      </c>
      <c r="C10061" s="133"/>
    </row>
    <row r="10062" spans="1:3">
      <c r="A10062" s="131" t="s">
        <v>2507</v>
      </c>
      <c r="B10062" s="132">
        <v>8.6207462506918006E-2</v>
      </c>
      <c r="C10062" s="133"/>
    </row>
    <row r="10063" spans="1:3">
      <c r="A10063" s="131" t="s">
        <v>2508</v>
      </c>
      <c r="B10063" s="132">
        <v>8.7149027601254994E-2</v>
      </c>
      <c r="C10063" s="133"/>
    </row>
    <row r="10064" spans="1:3">
      <c r="A10064" s="131" t="s">
        <v>2509</v>
      </c>
      <c r="B10064" s="132">
        <v>0.79713832582998001</v>
      </c>
      <c r="C10064" s="133"/>
    </row>
    <row r="10065" spans="1:3">
      <c r="A10065" s="131" t="s">
        <v>2510</v>
      </c>
      <c r="B10065" s="132">
        <v>4.7369567497608997E-3</v>
      </c>
      <c r="C10065" s="133"/>
    </row>
    <row r="10066" spans="1:3">
      <c r="A10066" s="131" t="s">
        <v>2511</v>
      </c>
      <c r="B10066" s="132">
        <v>1.7223904876616001</v>
      </c>
      <c r="C10066" s="133"/>
    </row>
    <row r="10067" spans="1:3">
      <c r="A10067" s="131" t="s">
        <v>2512</v>
      </c>
      <c r="B10067" s="132">
        <v>21.935112737979001</v>
      </c>
      <c r="C10067" s="133"/>
    </row>
    <row r="10068" spans="1:3">
      <c r="A10068" s="131" t="s">
        <v>2513</v>
      </c>
      <c r="B10068" s="132">
        <v>2.2959771856665999E-2</v>
      </c>
      <c r="C10068" s="133"/>
    </row>
    <row r="10069" spans="1:3">
      <c r="A10069" s="131" t="s">
        <v>2514</v>
      </c>
      <c r="B10069" s="132">
        <v>0.25872055184298998</v>
      </c>
      <c r="C10069" s="133"/>
    </row>
    <row r="10070" spans="1:3">
      <c r="A10070" s="131" t="s">
        <v>2515</v>
      </c>
      <c r="B10070" s="132">
        <v>0.35866471230685737</v>
      </c>
      <c r="C10070" s="133"/>
    </row>
    <row r="10071" spans="1:3">
      <c r="A10071" s="131" t="s">
        <v>2516</v>
      </c>
      <c r="B10071" s="132">
        <v>46.294708614897999</v>
      </c>
      <c r="C10071" s="133"/>
    </row>
    <row r="10072" spans="1:3">
      <c r="A10072" s="131" t="s">
        <v>2517</v>
      </c>
      <c r="B10072" s="132">
        <v>1.7629048267964001E-6</v>
      </c>
      <c r="C10072" s="133"/>
    </row>
    <row r="10073" spans="1:3">
      <c r="A10073" s="131" t="s">
        <v>2518</v>
      </c>
      <c r="B10073" s="132">
        <v>4.5624318322704003</v>
      </c>
      <c r="C10073" s="133"/>
    </row>
    <row r="10074" spans="1:3">
      <c r="A10074" s="131" t="s">
        <v>2519</v>
      </c>
      <c r="B10074" s="132">
        <v>0.12836982391654</v>
      </c>
      <c r="C10074" s="133"/>
    </row>
    <row r="10075" spans="1:3">
      <c r="A10075" s="131" t="s">
        <v>2520</v>
      </c>
      <c r="B10075" s="132">
        <v>2.0262951692800999</v>
      </c>
      <c r="C10075" s="133"/>
    </row>
    <row r="10076" spans="1:3">
      <c r="A10076" s="131" t="s">
        <v>2521</v>
      </c>
      <c r="B10076" s="132">
        <v>6.4186861577009997E-3</v>
      </c>
      <c r="C10076" s="133"/>
    </row>
    <row r="10077" spans="1:3">
      <c r="A10077" s="131" t="s">
        <v>2522</v>
      </c>
      <c r="B10077" s="132">
        <v>6.3130619709874006E-2</v>
      </c>
      <c r="C10077" s="133"/>
    </row>
    <row r="10078" spans="1:3">
      <c r="A10078" s="131" t="s">
        <v>2523</v>
      </c>
      <c r="B10078" s="132">
        <v>2.7483315484564001E-2</v>
      </c>
      <c r="C10078" s="133"/>
    </row>
    <row r="10079" spans="1:3">
      <c r="A10079" s="131" t="s">
        <v>2524</v>
      </c>
      <c r="B10079" s="132">
        <v>7.2700099088242001E-2</v>
      </c>
      <c r="C10079" s="133"/>
    </row>
    <row r="10080" spans="1:3">
      <c r="A10080" s="131" t="s">
        <v>2525</v>
      </c>
      <c r="B10080" s="132">
        <v>6.8665018592321E-6</v>
      </c>
      <c r="C10080" s="133"/>
    </row>
    <row r="10081" spans="1:3">
      <c r="A10081" s="131" t="s">
        <v>2526</v>
      </c>
      <c r="B10081" s="132">
        <v>1.5064504603094999</v>
      </c>
      <c r="C10081" s="133"/>
    </row>
    <row r="10082" spans="1:3">
      <c r="A10082" s="131" t="s">
        <v>2527</v>
      </c>
      <c r="B10082" s="132">
        <v>9.3830782631654005E-3</v>
      </c>
      <c r="C10082" s="133"/>
    </row>
    <row r="10083" spans="1:3">
      <c r="A10083" s="131" t="s">
        <v>2528</v>
      </c>
      <c r="B10083" s="132">
        <v>3.9231265292924998E-2</v>
      </c>
      <c r="C10083" s="133"/>
    </row>
    <row r="10084" spans="1:3">
      <c r="A10084" s="131" t="s">
        <v>2529</v>
      </c>
      <c r="B10084" s="132">
        <v>2.6658912648357001E-7</v>
      </c>
      <c r="C10084" s="133"/>
    </row>
    <row r="10085" spans="1:3">
      <c r="A10085" s="131" t="s">
        <v>2530</v>
      </c>
      <c r="B10085" s="132">
        <v>2.6620546228011001E-2</v>
      </c>
      <c r="C10085" s="133"/>
    </row>
    <row r="10086" spans="1:3">
      <c r="A10086" s="131" t="s">
        <v>2531</v>
      </c>
      <c r="B10086" s="132">
        <v>0.10273400240149999</v>
      </c>
      <c r="C10086" s="133"/>
    </row>
    <row r="10087" spans="1:3">
      <c r="A10087" s="131" t="s">
        <v>2532</v>
      </c>
      <c r="B10087" s="132">
        <v>7.1748503566442E-4</v>
      </c>
      <c r="C10087" s="133"/>
    </row>
    <row r="10088" spans="1:3">
      <c r="A10088" s="131" t="s">
        <v>2533</v>
      </c>
      <c r="B10088" s="132">
        <v>5.9784301557794998E-4</v>
      </c>
      <c r="C10088" s="133"/>
    </row>
    <row r="10089" spans="1:3">
      <c r="A10089" s="131" t="s">
        <v>2534</v>
      </c>
      <c r="B10089" s="132">
        <v>0.57272530748423001</v>
      </c>
      <c r="C10089" s="133"/>
    </row>
    <row r="10090" spans="1:3">
      <c r="A10090" s="131" t="s">
        <v>2535</v>
      </c>
      <c r="B10090" s="132">
        <v>8.6236354473305005E-7</v>
      </c>
      <c r="C10090" s="133"/>
    </row>
    <row r="10091" spans="1:3">
      <c r="A10091" s="131" t="s">
        <v>2536</v>
      </c>
      <c r="B10091" s="132">
        <v>0.15975396887344001</v>
      </c>
      <c r="C10091" s="133"/>
    </row>
    <row r="10092" spans="1:3">
      <c r="A10092" s="131" t="s">
        <v>5495</v>
      </c>
      <c r="B10092" s="132">
        <v>1.0502452290098999E-2</v>
      </c>
      <c r="C10092" s="133"/>
    </row>
    <row r="10093" spans="1:3">
      <c r="A10093" s="131" t="s">
        <v>5496</v>
      </c>
      <c r="B10093" s="132">
        <v>676.92155320664995</v>
      </c>
      <c r="C10093" s="133"/>
    </row>
    <row r="10094" spans="1:3">
      <c r="A10094" s="131" t="s">
        <v>5497</v>
      </c>
      <c r="B10094" s="132">
        <v>2.6376634295293001E-2</v>
      </c>
      <c r="C10094" s="133"/>
    </row>
    <row r="10095" spans="1:3">
      <c r="A10095" s="131" t="s">
        <v>5498</v>
      </c>
      <c r="B10095" s="132">
        <v>9.7350077748276E-4</v>
      </c>
      <c r="C10095" s="133"/>
    </row>
    <row r="10096" spans="1:3">
      <c r="A10096" s="131" t="s">
        <v>5499</v>
      </c>
      <c r="B10096" s="132">
        <v>9.2849772635888002</v>
      </c>
      <c r="C10096" s="133"/>
    </row>
    <row r="10097" spans="1:3">
      <c r="A10097" s="131" t="s">
        <v>5500</v>
      </c>
      <c r="B10097" s="132">
        <v>0.17373340227860001</v>
      </c>
      <c r="C10097" s="133"/>
    </row>
    <row r="10098" spans="1:3">
      <c r="A10098" s="131" t="s">
        <v>5501</v>
      </c>
      <c r="B10098" s="132">
        <v>0.19392045918145001</v>
      </c>
      <c r="C10098" s="133"/>
    </row>
    <row r="10099" spans="1:3">
      <c r="A10099" s="131" t="s">
        <v>5502</v>
      </c>
      <c r="B10099" s="132">
        <v>9.0164167328678005E-2</v>
      </c>
      <c r="C10099" s="133"/>
    </row>
    <row r="10100" spans="1:3">
      <c r="A10100" s="131" t="s">
        <v>5503</v>
      </c>
      <c r="B10100" s="132">
        <v>1.2012062637058232</v>
      </c>
      <c r="C10100" s="133"/>
    </row>
    <row r="10101" spans="1:3">
      <c r="A10101" s="131" t="s">
        <v>5504</v>
      </c>
      <c r="B10101" s="132">
        <v>1.0100669416416001E-4</v>
      </c>
      <c r="C10101" s="133"/>
    </row>
    <row r="10102" spans="1:3">
      <c r="A10102" s="131" t="s">
        <v>5505</v>
      </c>
      <c r="B10102" s="132">
        <v>4330.5233838508002</v>
      </c>
      <c r="C10102" s="133"/>
    </row>
    <row r="10103" spans="1:3">
      <c r="A10103" s="131" t="s">
        <v>5506</v>
      </c>
      <c r="B10103" s="132">
        <v>5.4543378714830997E-4</v>
      </c>
      <c r="C10103" s="133"/>
    </row>
    <row r="10104" spans="1:3">
      <c r="A10104" s="131" t="s">
        <v>5507</v>
      </c>
      <c r="B10104" s="132">
        <v>1.0063285081289905E-2</v>
      </c>
      <c r="C10104" s="133"/>
    </row>
    <row r="10105" spans="1:3">
      <c r="A10105" s="131" t="s">
        <v>5508</v>
      </c>
      <c r="B10105" s="132">
        <v>0.27234739851072998</v>
      </c>
      <c r="C10105" s="133"/>
    </row>
    <row r="10106" spans="1:3">
      <c r="A10106" s="131" t="s">
        <v>5509</v>
      </c>
      <c r="B10106" s="132">
        <v>0.34785631935743</v>
      </c>
      <c r="C10106" s="133"/>
    </row>
    <row r="10107" spans="1:3">
      <c r="A10107" s="131" t="s">
        <v>5510</v>
      </c>
      <c r="B10107" s="132">
        <v>40.466142146971997</v>
      </c>
      <c r="C10107" s="133"/>
    </row>
    <row r="10108" spans="1:3">
      <c r="A10108" s="131" t="s">
        <v>5511</v>
      </c>
      <c r="B10108" s="132">
        <v>0.22531883649703</v>
      </c>
      <c r="C10108" s="133"/>
    </row>
    <row r="10109" spans="1:3">
      <c r="A10109" s="131" t="s">
        <v>5512</v>
      </c>
      <c r="B10109" s="132">
        <v>1.1143526049197999E-3</v>
      </c>
      <c r="C10109" s="133"/>
    </row>
    <row r="10110" spans="1:3">
      <c r="A10110" s="131" t="s">
        <v>5513</v>
      </c>
      <c r="B10110" s="132">
        <v>3.0438005474311999E-3</v>
      </c>
      <c r="C10110" s="133"/>
    </row>
    <row r="10111" spans="1:3">
      <c r="A10111" s="131" t="s">
        <v>5514</v>
      </c>
      <c r="B10111" s="132">
        <v>2.5060816955110001E-2</v>
      </c>
      <c r="C10111" s="133"/>
    </row>
    <row r="10112" spans="1:3">
      <c r="A10112" s="131" t="s">
        <v>5515</v>
      </c>
      <c r="B10112" s="132">
        <v>0.86314830702814005</v>
      </c>
      <c r="C10112" s="133"/>
    </row>
    <row r="10113" spans="1:3">
      <c r="A10113" s="131" t="s">
        <v>5516</v>
      </c>
      <c r="B10113" s="132">
        <v>1.1973042410435</v>
      </c>
      <c r="C10113" s="133"/>
    </row>
    <row r="10114" spans="1:3">
      <c r="A10114" s="131" t="s">
        <v>5517</v>
      </c>
      <c r="B10114" s="132">
        <v>4.1588362963475997E-6</v>
      </c>
      <c r="C10114" s="133"/>
    </row>
    <row r="10115" spans="1:3">
      <c r="A10115" s="131" t="s">
        <v>5518</v>
      </c>
      <c r="B10115" s="132">
        <v>0.73870693904069995</v>
      </c>
      <c r="C10115" s="133"/>
    </row>
    <row r="10116" spans="1:3">
      <c r="A10116" s="131" t="s">
        <v>5519</v>
      </c>
      <c r="B10116" s="132">
        <v>1.5408339225073999E-2</v>
      </c>
      <c r="C10116" s="133"/>
    </row>
    <row r="10117" spans="1:3">
      <c r="A10117" s="131" t="s">
        <v>5520</v>
      </c>
      <c r="B10117" s="132">
        <v>0.61998346672936999</v>
      </c>
      <c r="C10117" s="133"/>
    </row>
    <row r="10118" spans="1:3">
      <c r="A10118" s="131" t="s">
        <v>5521</v>
      </c>
      <c r="B10118" s="132">
        <v>0.14931560921048415</v>
      </c>
      <c r="C10118" s="133"/>
    </row>
    <row r="10119" spans="1:3">
      <c r="A10119" s="131" t="s">
        <v>5522</v>
      </c>
      <c r="B10119" s="132">
        <v>1.1453919004352999</v>
      </c>
      <c r="C10119" s="133"/>
    </row>
    <row r="10120" spans="1:3">
      <c r="A10120" s="131" t="s">
        <v>5523</v>
      </c>
      <c r="B10120" s="132">
        <v>7.8365192162593994E-2</v>
      </c>
      <c r="C10120" s="133"/>
    </row>
    <row r="10121" spans="1:3">
      <c r="A10121" s="131" t="s">
        <v>5524</v>
      </c>
      <c r="B10121" s="132">
        <v>4.69806024654707E-2</v>
      </c>
      <c r="C10121" s="133"/>
    </row>
    <row r="10122" spans="1:3">
      <c r="A10122" s="131" t="s">
        <v>5525</v>
      </c>
      <c r="B10122" s="132">
        <v>0.66296138594427001</v>
      </c>
      <c r="C10122" s="133"/>
    </row>
    <row r="10123" spans="1:3">
      <c r="A10123" s="131" t="s">
        <v>5526</v>
      </c>
      <c r="B10123" s="132">
        <v>8.4909954545239994E-8</v>
      </c>
      <c r="C10123" s="133"/>
    </row>
    <row r="10124" spans="1:3">
      <c r="A10124" s="131" t="s">
        <v>5527</v>
      </c>
      <c r="B10124" s="132">
        <v>1.8514647630900001E-2</v>
      </c>
      <c r="C10124" s="133"/>
    </row>
    <row r="10125" spans="1:3">
      <c r="A10125" s="131" t="s">
        <v>5528</v>
      </c>
      <c r="B10125" s="132">
        <v>1.4591571088635E-2</v>
      </c>
      <c r="C10125" s="133"/>
    </row>
    <row r="10126" spans="1:3">
      <c r="A10126" s="131" t="s">
        <v>5529</v>
      </c>
      <c r="B10126" s="132">
        <v>3.1917274109083001E-3</v>
      </c>
      <c r="C10126" s="133"/>
    </row>
    <row r="10127" spans="1:3">
      <c r="A10127" s="131" t="s">
        <v>5530</v>
      </c>
      <c r="B10127" s="132">
        <v>0.47294514525087</v>
      </c>
      <c r="C10127" s="133"/>
    </row>
    <row r="10128" spans="1:3">
      <c r="A10128" s="131" t="s">
        <v>5531</v>
      </c>
      <c r="B10128" s="132">
        <v>0.54876297347938996</v>
      </c>
      <c r="C10128" s="133"/>
    </row>
    <row r="10129" spans="1:3">
      <c r="A10129" s="131" t="s">
        <v>5532</v>
      </c>
      <c r="B10129" s="132">
        <v>934.19844257605007</v>
      </c>
      <c r="C10129" s="133"/>
    </row>
    <row r="10130" spans="1:3">
      <c r="A10130" s="131" t="s">
        <v>5533</v>
      </c>
      <c r="B10130" s="132">
        <v>4.8852452928823996E-3</v>
      </c>
      <c r="C10130" s="133"/>
    </row>
    <row r="10131" spans="1:3">
      <c r="A10131" s="131" t="s">
        <v>5534</v>
      </c>
      <c r="B10131" s="132">
        <v>1.3599881185585E-2</v>
      </c>
      <c r="C10131" s="133"/>
    </row>
    <row r="10132" spans="1:3">
      <c r="A10132" s="131" t="s">
        <v>5535</v>
      </c>
      <c r="B10132" s="132">
        <v>2.4035616689258917E-2</v>
      </c>
      <c r="C10132" s="133"/>
    </row>
    <row r="10133" spans="1:3">
      <c r="A10133" s="131" t="s">
        <v>5536</v>
      </c>
      <c r="B10133" s="132">
        <v>1.1611284201751999</v>
      </c>
      <c r="C10133" s="133"/>
    </row>
    <row r="10134" spans="1:3">
      <c r="A10134" s="131" t="s">
        <v>5537</v>
      </c>
      <c r="B10134" s="132">
        <v>1.3900978772795284E-2</v>
      </c>
      <c r="C10134" s="133"/>
    </row>
    <row r="10135" spans="1:3">
      <c r="A10135" s="131" t="s">
        <v>5538</v>
      </c>
      <c r="B10135" s="132">
        <v>6.1158108004574177E-2</v>
      </c>
      <c r="C10135" s="133"/>
    </row>
    <row r="10136" spans="1:3">
      <c r="A10136" s="131" t="s">
        <v>5539</v>
      </c>
      <c r="B10136" s="132">
        <v>2.0205811816532242E-2</v>
      </c>
      <c r="C10136" s="133"/>
    </row>
    <row r="10137" spans="1:3">
      <c r="A10137" s="131" t="s">
        <v>5540</v>
      </c>
      <c r="B10137" s="132">
        <v>1.2554532927039609E-5</v>
      </c>
      <c r="C10137" s="133"/>
    </row>
    <row r="10138" spans="1:3">
      <c r="A10138" s="131" t="s">
        <v>5541</v>
      </c>
      <c r="B10138" s="132">
        <v>1.3538507843773001E-3</v>
      </c>
      <c r="C10138" s="133"/>
    </row>
    <row r="10139" spans="1:3">
      <c r="A10139" s="131" t="s">
        <v>5542</v>
      </c>
      <c r="B10139" s="132">
        <v>0.59031948979181004</v>
      </c>
      <c r="C10139" s="133"/>
    </row>
    <row r="10140" spans="1:3">
      <c r="A10140" s="131" t="s">
        <v>5543</v>
      </c>
      <c r="B10140" s="132">
        <v>7.9991132779485473E-5</v>
      </c>
      <c r="C10140" s="133"/>
    </row>
    <row r="10141" spans="1:3">
      <c r="A10141" s="131" t="s">
        <v>5544</v>
      </c>
      <c r="B10141" s="132">
        <v>1.6508041999999999E-4</v>
      </c>
      <c r="C10141" s="133"/>
    </row>
    <row r="10142" spans="1:3">
      <c r="A10142" s="131" t="s">
        <v>5545</v>
      </c>
      <c r="B10142" s="132">
        <v>3.9339964608231998E-2</v>
      </c>
      <c r="C10142" s="133"/>
    </row>
    <row r="10143" spans="1:3">
      <c r="A10143" s="131" t="s">
        <v>5546</v>
      </c>
      <c r="B10143" s="132">
        <v>9.7611280508330567E-2</v>
      </c>
      <c r="C10143" s="133"/>
    </row>
    <row r="10144" spans="1:3">
      <c r="A10144" s="131" t="s">
        <v>5547</v>
      </c>
      <c r="B10144" s="132">
        <v>3.2538626324618E-2</v>
      </c>
      <c r="C10144" s="133"/>
    </row>
    <row r="10145" spans="1:3">
      <c r="A10145" s="131" t="s">
        <v>5548</v>
      </c>
      <c r="B10145" s="132">
        <v>1.2911348629758001E-4</v>
      </c>
      <c r="C10145" s="133"/>
    </row>
    <row r="10146" spans="1:3">
      <c r="A10146" s="131" t="s">
        <v>5549</v>
      </c>
      <c r="B10146" s="132">
        <v>1.5111622751188999E-4</v>
      </c>
      <c r="C10146" s="133"/>
    </row>
    <row r="10147" spans="1:3">
      <c r="A10147" s="131" t="s">
        <v>5550</v>
      </c>
      <c r="B10147" s="132">
        <v>0.14732674609974</v>
      </c>
      <c r="C10147" s="133"/>
    </row>
    <row r="10148" spans="1:3">
      <c r="A10148" s="131" t="s">
        <v>5551</v>
      </c>
      <c r="B10148" s="132">
        <v>1.6093181295135999</v>
      </c>
      <c r="C10148" s="133"/>
    </row>
    <row r="10149" spans="1:3">
      <c r="A10149" s="131" t="s">
        <v>5552</v>
      </c>
      <c r="B10149" s="132">
        <v>1.2938188329583862</v>
      </c>
      <c r="C10149" s="133"/>
    </row>
    <row r="10150" spans="1:3">
      <c r="A10150" s="131" t="s">
        <v>5553</v>
      </c>
      <c r="B10150" s="132">
        <v>8.1525497683773001</v>
      </c>
      <c r="C10150" s="133"/>
    </row>
    <row r="10151" spans="1:3">
      <c r="A10151" s="131" t="s">
        <v>5554</v>
      </c>
      <c r="B10151" s="132">
        <v>5.4216341500171003E-2</v>
      </c>
      <c r="C10151" s="133"/>
    </row>
    <row r="10152" spans="1:3">
      <c r="A10152" s="131" t="s">
        <v>5555</v>
      </c>
      <c r="B10152" s="132">
        <v>9.3373110662733003E-3</v>
      </c>
      <c r="C10152" s="133"/>
    </row>
    <row r="10153" spans="1:3">
      <c r="A10153" s="131" t="s">
        <v>5556</v>
      </c>
      <c r="B10153" s="132">
        <v>0.23539211021053999</v>
      </c>
      <c r="C10153" s="133"/>
    </row>
    <row r="10154" spans="1:3">
      <c r="A10154" s="131" t="s">
        <v>5557</v>
      </c>
      <c r="B10154" s="132">
        <v>3.4217613917081002E-2</v>
      </c>
      <c r="C10154" s="133"/>
    </row>
    <row r="10155" spans="1:3">
      <c r="A10155" s="131" t="s">
        <v>5558</v>
      </c>
      <c r="B10155" s="132">
        <v>2.014415856504E-2</v>
      </c>
      <c r="C10155" s="133"/>
    </row>
    <row r="10156" spans="1:3">
      <c r="A10156" s="131" t="s">
        <v>5559</v>
      </c>
      <c r="B10156" s="132">
        <v>1.5934581854916999E-4</v>
      </c>
      <c r="C10156" s="133"/>
    </row>
    <row r="10157" spans="1:3">
      <c r="A10157" s="131" t="s">
        <v>5560</v>
      </c>
      <c r="B10157" s="132">
        <v>5.3162042386359003</v>
      </c>
      <c r="C10157" s="133"/>
    </row>
    <row r="10158" spans="1:3">
      <c r="A10158" s="131" t="s">
        <v>5561</v>
      </c>
      <c r="B10158" s="132">
        <v>0.16719048600714001</v>
      </c>
      <c r="C10158" s="133"/>
    </row>
    <row r="10159" spans="1:3">
      <c r="A10159" s="131" t="s">
        <v>5562</v>
      </c>
      <c r="B10159" s="132">
        <v>2.5157532212071999E-4</v>
      </c>
      <c r="C10159" s="133"/>
    </row>
    <row r="10160" spans="1:3">
      <c r="A10160" s="131" t="s">
        <v>5563</v>
      </c>
      <c r="B10160" s="132">
        <v>6.8437013341657001E-3</v>
      </c>
      <c r="C10160" s="133"/>
    </row>
    <row r="10161" spans="1:3">
      <c r="A10161" s="131" t="s">
        <v>5564</v>
      </c>
      <c r="B10161" s="132">
        <v>3.6011656284497999E-3</v>
      </c>
      <c r="C10161" s="133"/>
    </row>
    <row r="10162" spans="1:3">
      <c r="A10162" s="131" t="s">
        <v>5565</v>
      </c>
      <c r="B10162" s="132">
        <v>5.5029782946693997</v>
      </c>
      <c r="C10162" s="133"/>
    </row>
    <row r="10163" spans="1:3">
      <c r="A10163" s="131" t="s">
        <v>5566</v>
      </c>
      <c r="B10163" s="132">
        <v>0.53045301255628996</v>
      </c>
      <c r="C10163" s="133"/>
    </row>
    <row r="10164" spans="1:3">
      <c r="A10164" s="131" t="s">
        <v>5567</v>
      </c>
      <c r="B10164" s="132">
        <v>1.2493502229849256E-7</v>
      </c>
      <c r="C10164" s="133"/>
    </row>
    <row r="10165" spans="1:3">
      <c r="A10165" s="131" t="s">
        <v>5568</v>
      </c>
      <c r="B10165" s="132">
        <v>0.15689488007172001</v>
      </c>
      <c r="C10165" s="133"/>
    </row>
    <row r="10166" spans="1:3">
      <c r="A10166" s="131" t="s">
        <v>5569</v>
      </c>
      <c r="B10166" s="132">
        <v>1.6394262034721649E-2</v>
      </c>
      <c r="C10166" s="133"/>
    </row>
    <row r="10167" spans="1:3">
      <c r="A10167" s="131" t="s">
        <v>5570</v>
      </c>
      <c r="B10167" s="132">
        <v>8.0534067589691997E-6</v>
      </c>
      <c r="C10167" s="133"/>
    </row>
    <row r="10168" spans="1:3">
      <c r="A10168" s="131" t="s">
        <v>5571</v>
      </c>
      <c r="B10168" s="132">
        <v>0.78282348249748002</v>
      </c>
      <c r="C10168" s="133"/>
    </row>
    <row r="10169" spans="1:3">
      <c r="A10169" s="131" t="s">
        <v>5572</v>
      </c>
      <c r="B10169" s="132">
        <v>2.0963673466128E-4</v>
      </c>
      <c r="C10169" s="133"/>
    </row>
    <row r="10170" spans="1:3">
      <c r="A10170" s="131" t="s">
        <v>5573</v>
      </c>
      <c r="B10170" s="132">
        <v>6.7488501134520998E-2</v>
      </c>
      <c r="C10170" s="133"/>
    </row>
    <row r="10171" spans="1:3">
      <c r="A10171" s="131" t="s">
        <v>5574</v>
      </c>
      <c r="B10171" s="132">
        <v>1.8034253095549</v>
      </c>
      <c r="C10171" s="133"/>
    </row>
    <row r="10172" spans="1:3">
      <c r="A10172" s="131" t="s">
        <v>5575</v>
      </c>
      <c r="B10172" s="132">
        <v>5.9531052755577421E-2</v>
      </c>
      <c r="C10172" s="133"/>
    </row>
    <row r="10173" spans="1:3">
      <c r="A10173" s="131" t="s">
        <v>5576</v>
      </c>
      <c r="B10173" s="132">
        <v>4.8907244836482002</v>
      </c>
      <c r="C10173" s="133"/>
    </row>
    <row r="10174" spans="1:3">
      <c r="A10174" s="131" t="s">
        <v>5577</v>
      </c>
      <c r="B10174" s="132">
        <v>1.8203703762727001E-2</v>
      </c>
      <c r="C10174" s="133"/>
    </row>
    <row r="10175" spans="1:3">
      <c r="A10175" s="131" t="s">
        <v>5578</v>
      </c>
      <c r="B10175" s="132">
        <v>1.7489465561966999E-3</v>
      </c>
      <c r="C10175" s="133"/>
    </row>
    <row r="10176" spans="1:3">
      <c r="A10176" s="131" t="s">
        <v>5579</v>
      </c>
      <c r="B10176" s="132">
        <v>6.9140419835735004E-2</v>
      </c>
      <c r="C10176" s="133"/>
    </row>
    <row r="10177" spans="1:3">
      <c r="A10177" s="131" t="s">
        <v>5580</v>
      </c>
      <c r="B10177" s="132">
        <v>8.9668210944915003</v>
      </c>
      <c r="C10177" s="133"/>
    </row>
    <row r="10178" spans="1:3">
      <c r="A10178" s="131" t="s">
        <v>5581</v>
      </c>
      <c r="B10178" s="132">
        <v>5.3959342100842002E-2</v>
      </c>
      <c r="C10178" s="133"/>
    </row>
    <row r="10179" spans="1:3">
      <c r="A10179" s="131" t="s">
        <v>5582</v>
      </c>
      <c r="B10179" s="132">
        <v>0.1339518757773</v>
      </c>
      <c r="C10179" s="133"/>
    </row>
    <row r="10180" spans="1:3">
      <c r="A10180" s="131" t="s">
        <v>5583</v>
      </c>
      <c r="B10180" s="132">
        <v>5.2205325681791998E-3</v>
      </c>
      <c r="C10180" s="133"/>
    </row>
    <row r="10181" spans="1:3">
      <c r="A10181" s="131" t="s">
        <v>5584</v>
      </c>
      <c r="B10181" s="132">
        <v>8.0901247234987008E-3</v>
      </c>
      <c r="C10181" s="133"/>
    </row>
    <row r="10182" spans="1:3">
      <c r="A10182" s="131" t="s">
        <v>5585</v>
      </c>
      <c r="B10182" s="132">
        <v>6.0723808994429994E-8</v>
      </c>
      <c r="C10182" s="133"/>
    </row>
    <row r="10183" spans="1:3">
      <c r="A10183" s="131" t="s">
        <v>5586</v>
      </c>
      <c r="B10183" s="132">
        <v>3.5865619061760001</v>
      </c>
      <c r="C10183" s="133"/>
    </row>
    <row r="10184" spans="1:3">
      <c r="A10184" s="131" t="s">
        <v>5587</v>
      </c>
      <c r="B10184" s="132">
        <v>7.8298900961119994E-3</v>
      </c>
      <c r="C10184" s="133"/>
    </row>
    <row r="10185" spans="1:3">
      <c r="A10185" s="131" t="s">
        <v>5588</v>
      </c>
      <c r="B10185" s="132">
        <v>6.5952720482789999</v>
      </c>
      <c r="C10185" s="133"/>
    </row>
    <row r="10186" spans="1:3">
      <c r="A10186" s="131" t="s">
        <v>5589</v>
      </c>
      <c r="B10186" s="132">
        <v>5.6645939064038003E-2</v>
      </c>
      <c r="C10186" s="133"/>
    </row>
    <row r="10187" spans="1:3">
      <c r="A10187" s="131" t="s">
        <v>5590</v>
      </c>
      <c r="B10187" s="132">
        <v>0.69937851417707997</v>
      </c>
      <c r="C10187" s="133"/>
    </row>
    <row r="10188" spans="1:3">
      <c r="A10188" s="131" t="s">
        <v>5591</v>
      </c>
      <c r="B10188" s="132">
        <v>2.4213104496545001E-4</v>
      </c>
      <c r="C10188" s="133"/>
    </row>
    <row r="10189" spans="1:3">
      <c r="A10189" s="131" t="s">
        <v>5592</v>
      </c>
      <c r="B10189" s="132">
        <v>2.5158147880893999E-2</v>
      </c>
      <c r="C10189" s="133"/>
    </row>
    <row r="10190" spans="1:3">
      <c r="A10190" s="131" t="s">
        <v>5593</v>
      </c>
      <c r="B10190" s="132">
        <v>4.7553701910253002E-2</v>
      </c>
      <c r="C10190" s="133"/>
    </row>
    <row r="10191" spans="1:3">
      <c r="A10191" s="131" t="s">
        <v>5594</v>
      </c>
      <c r="B10191" s="132">
        <v>0.19515852353569568</v>
      </c>
      <c r="C10191" s="133"/>
    </row>
    <row r="10192" spans="1:3">
      <c r="A10192" s="131" t="s">
        <v>5595</v>
      </c>
      <c r="B10192" s="132">
        <v>1.2245530702179999E-2</v>
      </c>
      <c r="C10192" s="133"/>
    </row>
    <row r="10193" spans="1:3">
      <c r="A10193" s="131" t="s">
        <v>5596</v>
      </c>
      <c r="B10193" s="132">
        <v>8.7456694377101005</v>
      </c>
      <c r="C10193" s="133"/>
    </row>
    <row r="10194" spans="1:3">
      <c r="A10194" s="131" t="s">
        <v>5597</v>
      </c>
      <c r="B10194" s="132">
        <v>0.42170590331613</v>
      </c>
      <c r="C10194" s="133"/>
    </row>
    <row r="10195" spans="1:3">
      <c r="A10195" s="131" t="s">
        <v>5598</v>
      </c>
      <c r="B10195" s="132">
        <v>0.91814953495842</v>
      </c>
      <c r="C10195" s="133"/>
    </row>
    <row r="10196" spans="1:3">
      <c r="A10196" s="131" t="s">
        <v>5599</v>
      </c>
      <c r="B10196" s="132">
        <v>0.18581700616866001</v>
      </c>
      <c r="C10196" s="133"/>
    </row>
    <row r="10197" spans="1:3">
      <c r="A10197" s="131" t="s">
        <v>5600</v>
      </c>
      <c r="B10197" s="132">
        <v>2.7958019509823</v>
      </c>
      <c r="C10197" s="133"/>
    </row>
    <row r="10198" spans="1:3">
      <c r="A10198" s="131" t="s">
        <v>5601</v>
      </c>
      <c r="B10198" s="132">
        <v>547.16518934191004</v>
      </c>
      <c r="C10198" s="133"/>
    </row>
    <row r="10199" spans="1:3">
      <c r="A10199" s="131" t="s">
        <v>5602</v>
      </c>
      <c r="B10199" s="132">
        <v>3.7714621874194998E-6</v>
      </c>
      <c r="C10199" s="133"/>
    </row>
    <row r="10200" spans="1:3">
      <c r="A10200" s="131" t="s">
        <v>5603</v>
      </c>
      <c r="B10200" s="132">
        <v>2.1684156684423049E-3</v>
      </c>
      <c r="C10200" s="133"/>
    </row>
    <row r="10201" spans="1:3">
      <c r="A10201" s="131" t="s">
        <v>5604</v>
      </c>
      <c r="B10201" s="132">
        <v>13.940540456645</v>
      </c>
      <c r="C10201" s="133"/>
    </row>
    <row r="10202" spans="1:3">
      <c r="A10202" s="131" t="s">
        <v>5605</v>
      </c>
      <c r="B10202" s="132">
        <v>2.2928690194321999E-7</v>
      </c>
      <c r="C10202" s="133"/>
    </row>
    <row r="10203" spans="1:3">
      <c r="A10203" s="131" t="s">
        <v>5606</v>
      </c>
      <c r="B10203" s="132">
        <v>4.4191370285622E-4</v>
      </c>
      <c r="C10203" s="133"/>
    </row>
    <row r="10204" spans="1:3">
      <c r="A10204" s="131" t="s">
        <v>5607</v>
      </c>
      <c r="B10204" s="132">
        <v>0.10761089811331698</v>
      </c>
      <c r="C10204" s="133"/>
    </row>
    <row r="10205" spans="1:3">
      <c r="A10205" s="131" t="s">
        <v>5608</v>
      </c>
      <c r="B10205" s="132">
        <v>10.942361057232</v>
      </c>
      <c r="C10205" s="133"/>
    </row>
    <row r="10206" spans="1:3">
      <c r="A10206" s="131" t="s">
        <v>5609</v>
      </c>
      <c r="B10206" s="132">
        <v>0.13226939343221999</v>
      </c>
      <c r="C10206" s="133"/>
    </row>
    <row r="10207" spans="1:3">
      <c r="A10207" s="131" t="s">
        <v>5610</v>
      </c>
      <c r="B10207" s="132">
        <v>5.9070556408684999E-2</v>
      </c>
      <c r="C10207" s="133"/>
    </row>
    <row r="10208" spans="1:3">
      <c r="A10208" s="131" t="s">
        <v>5611</v>
      </c>
      <c r="B10208" s="132">
        <v>0.15415195054259251</v>
      </c>
      <c r="C10208" s="133"/>
    </row>
    <row r="10209" spans="1:3">
      <c r="A10209" s="131" t="s">
        <v>5612</v>
      </c>
      <c r="B10209" s="132">
        <v>1.1907394735497939E-2</v>
      </c>
      <c r="C10209" s="133"/>
    </row>
    <row r="10210" spans="1:3">
      <c r="A10210" s="131" t="s">
        <v>5613</v>
      </c>
      <c r="B10210" s="132">
        <v>0.17334181519906999</v>
      </c>
      <c r="C10210" s="133"/>
    </row>
    <row r="10211" spans="1:3">
      <c r="A10211" s="131" t="s">
        <v>5614</v>
      </c>
      <c r="B10211" s="132">
        <v>3.3358347082012997E-2</v>
      </c>
      <c r="C10211" s="133"/>
    </row>
    <row r="10212" spans="1:3">
      <c r="A10212" s="131" t="s">
        <v>5615</v>
      </c>
      <c r="B10212" s="132">
        <v>1.0892895398921001</v>
      </c>
      <c r="C10212" s="133"/>
    </row>
    <row r="10213" spans="1:3">
      <c r="A10213" s="131" t="s">
        <v>5616</v>
      </c>
      <c r="B10213" s="132">
        <v>1.2101939751919999E-2</v>
      </c>
      <c r="C10213" s="133"/>
    </row>
    <row r="10214" spans="1:3">
      <c r="A10214" s="131" t="s">
        <v>5617</v>
      </c>
      <c r="B10214" s="132">
        <v>4.0419175000000002E-4</v>
      </c>
      <c r="C10214" s="133"/>
    </row>
    <row r="10215" spans="1:3">
      <c r="A10215" s="131" t="s">
        <v>5618</v>
      </c>
      <c r="B10215" s="132">
        <v>3.3899250181877001E-5</v>
      </c>
      <c r="C10215" s="133"/>
    </row>
    <row r="10216" spans="1:3">
      <c r="A10216" s="131" t="s">
        <v>5619</v>
      </c>
      <c r="B10216" s="132">
        <v>0.12318780318401669</v>
      </c>
      <c r="C10216" s="133"/>
    </row>
    <row r="10217" spans="1:3">
      <c r="A10217" s="131" t="s">
        <v>5620</v>
      </c>
      <c r="B10217" s="132">
        <v>1.830909838719202E-4</v>
      </c>
      <c r="C10217" s="133"/>
    </row>
    <row r="10218" spans="1:3">
      <c r="A10218" s="131" t="s">
        <v>5621</v>
      </c>
      <c r="B10218" s="132">
        <v>9.17530392822406E-2</v>
      </c>
      <c r="C10218" s="133"/>
    </row>
    <row r="10219" spans="1:3">
      <c r="A10219" s="131" t="s">
        <v>5622</v>
      </c>
      <c r="B10219" s="132">
        <v>1.1462027099999999E-2</v>
      </c>
      <c r="C10219" s="133"/>
    </row>
    <row r="10220" spans="1:3">
      <c r="A10220" s="131" t="s">
        <v>5623</v>
      </c>
      <c r="B10220" s="132">
        <v>0.20945814018542999</v>
      </c>
      <c r="C10220" s="133"/>
    </row>
    <row r="10221" spans="1:3">
      <c r="A10221" s="131" t="s">
        <v>5624</v>
      </c>
      <c r="B10221" s="132">
        <v>0.13509202914620852</v>
      </c>
      <c r="C10221" s="133"/>
    </row>
    <row r="10222" spans="1:3">
      <c r="A10222" s="131" t="s">
        <v>5625</v>
      </c>
      <c r="B10222" s="132">
        <v>2.7671976490121999</v>
      </c>
      <c r="C10222" s="133"/>
    </row>
    <row r="10223" spans="1:3">
      <c r="A10223" s="131" t="s">
        <v>5626</v>
      </c>
      <c r="B10223" s="132">
        <v>0.35569003712873998</v>
      </c>
      <c r="C10223" s="133"/>
    </row>
    <row r="10224" spans="1:3">
      <c r="A10224" s="131" t="s">
        <v>5627</v>
      </c>
      <c r="B10224" s="132">
        <v>0.95693975476474524</v>
      </c>
      <c r="C10224" s="133"/>
    </row>
    <row r="10225" spans="1:3">
      <c r="A10225" s="131" t="s">
        <v>5628</v>
      </c>
      <c r="B10225" s="132">
        <v>5.6345756963359726E-3</v>
      </c>
      <c r="C10225" s="133"/>
    </row>
    <row r="10226" spans="1:3">
      <c r="A10226" s="131" t="s">
        <v>5629</v>
      </c>
      <c r="B10226" s="132">
        <v>2.3552747101185001E-3</v>
      </c>
      <c r="C10226" s="133"/>
    </row>
    <row r="10227" spans="1:3">
      <c r="A10227" s="131" t="s">
        <v>5630</v>
      </c>
      <c r="B10227" s="132">
        <v>2.5704661629757999E-2</v>
      </c>
      <c r="C10227" s="133"/>
    </row>
    <row r="10228" spans="1:3">
      <c r="A10228" s="131" t="s">
        <v>5631</v>
      </c>
      <c r="B10228" s="132">
        <v>0.31474775187010001</v>
      </c>
      <c r="C10228" s="133"/>
    </row>
    <row r="10229" spans="1:3">
      <c r="A10229" s="131" t="s">
        <v>5632</v>
      </c>
      <c r="B10229" s="132">
        <v>4.9392236119488002E-2</v>
      </c>
      <c r="C10229" s="133"/>
    </row>
    <row r="10230" spans="1:3">
      <c r="A10230" s="131" t="s">
        <v>5633</v>
      </c>
      <c r="B10230" s="132">
        <v>8.4972473008488005E-6</v>
      </c>
      <c r="C10230" s="133"/>
    </row>
    <row r="10231" spans="1:3">
      <c r="A10231" s="131" t="s">
        <v>5634</v>
      </c>
      <c r="B10231" s="132">
        <v>3.1642374709679001E-4</v>
      </c>
      <c r="C10231" s="133"/>
    </row>
    <row r="10232" spans="1:3">
      <c r="A10232" s="131" t="s">
        <v>5635</v>
      </c>
      <c r="B10232" s="132">
        <v>1.7678983539391406</v>
      </c>
      <c r="C10232" s="133"/>
    </row>
    <row r="10233" spans="1:3">
      <c r="A10233" s="131" t="s">
        <v>5636</v>
      </c>
      <c r="B10233" s="132">
        <v>1.1781881822151E-4</v>
      </c>
      <c r="C10233" s="133"/>
    </row>
    <row r="10234" spans="1:3">
      <c r="A10234" s="131" t="s">
        <v>5637</v>
      </c>
      <c r="B10234" s="132">
        <v>0.31136851732748</v>
      </c>
      <c r="C10234" s="133"/>
    </row>
    <row r="10235" spans="1:3">
      <c r="A10235" s="131" t="s">
        <v>5638</v>
      </c>
      <c r="B10235" s="132">
        <v>5.7472739156867E-2</v>
      </c>
      <c r="C10235" s="133"/>
    </row>
    <row r="10236" spans="1:3">
      <c r="A10236" s="131" t="s">
        <v>5639</v>
      </c>
      <c r="B10236" s="132">
        <v>107.10598444822</v>
      </c>
      <c r="C10236" s="133"/>
    </row>
    <row r="10237" spans="1:3">
      <c r="A10237" s="131" t="s">
        <v>5640</v>
      </c>
      <c r="B10237" s="132">
        <v>0.12087329027316999</v>
      </c>
      <c r="C10237" s="133"/>
    </row>
    <row r="10238" spans="1:3">
      <c r="A10238" s="131" t="s">
        <v>5641</v>
      </c>
      <c r="B10238" s="132">
        <v>0.12274503265219</v>
      </c>
      <c r="C10238" s="133"/>
    </row>
    <row r="10239" spans="1:3">
      <c r="A10239" s="131" t="s">
        <v>5642</v>
      </c>
      <c r="B10239" s="132">
        <v>3.276786412461917E-2</v>
      </c>
      <c r="C10239" s="133"/>
    </row>
    <row r="10240" spans="1:3">
      <c r="A10240" s="131" t="s">
        <v>5643</v>
      </c>
      <c r="B10240" s="132">
        <v>56.740205560593999</v>
      </c>
      <c r="C10240" s="133"/>
    </row>
    <row r="10241" spans="1:3">
      <c r="A10241" s="131" t="s">
        <v>5644</v>
      </c>
      <c r="B10241" s="132">
        <v>1.6034546255660001E-4</v>
      </c>
      <c r="C10241" s="133"/>
    </row>
    <row r="10242" spans="1:3">
      <c r="A10242" s="131" t="s">
        <v>5645</v>
      </c>
      <c r="B10242" s="132">
        <v>1.0896633266977627E-4</v>
      </c>
      <c r="C10242" s="133"/>
    </row>
    <row r="10243" spans="1:3">
      <c r="A10243" s="131" t="s">
        <v>5646</v>
      </c>
      <c r="B10243" s="132">
        <v>1.3970222782552999</v>
      </c>
      <c r="C10243" s="133"/>
    </row>
    <row r="10244" spans="1:3">
      <c r="A10244" s="131" t="s">
        <v>5647</v>
      </c>
      <c r="B10244" s="132">
        <v>1.6749064845957</v>
      </c>
      <c r="C10244" s="133"/>
    </row>
    <row r="10245" spans="1:3">
      <c r="A10245" s="131" t="s">
        <v>5648</v>
      </c>
      <c r="B10245" s="132">
        <v>9.1254112003818999E-7</v>
      </c>
      <c r="C10245" s="133"/>
    </row>
    <row r="10246" spans="1:3">
      <c r="A10246" s="131" t="s">
        <v>5649</v>
      </c>
      <c r="B10246" s="132">
        <v>1.1472810574577001E-2</v>
      </c>
      <c r="C10246" s="133"/>
    </row>
    <row r="10247" spans="1:3">
      <c r="A10247" s="131" t="s">
        <v>5650</v>
      </c>
      <c r="B10247" s="132">
        <v>0.20591177876405001</v>
      </c>
      <c r="C10247" s="133"/>
    </row>
    <row r="10248" spans="1:3">
      <c r="A10248" s="131" t="s">
        <v>5651</v>
      </c>
      <c r="B10248" s="132">
        <v>4.9202874375160999</v>
      </c>
      <c r="C10248" s="133"/>
    </row>
    <row r="10249" spans="1:3">
      <c r="A10249" s="131" t="s">
        <v>5652</v>
      </c>
      <c r="B10249" s="132">
        <v>2.0649632349818998</v>
      </c>
      <c r="C10249" s="133"/>
    </row>
    <row r="10250" spans="1:3">
      <c r="A10250" s="131" t="s">
        <v>5653</v>
      </c>
      <c r="B10250" s="132">
        <v>5.6870296516698003E-3</v>
      </c>
      <c r="C10250" s="133"/>
    </row>
    <row r="10251" spans="1:3">
      <c r="A10251" s="131" t="s">
        <v>5654</v>
      </c>
      <c r="B10251" s="132">
        <v>0.12740766441731999</v>
      </c>
      <c r="C10251" s="133"/>
    </row>
    <row r="10252" spans="1:3">
      <c r="A10252" s="131" t="s">
        <v>5655</v>
      </c>
      <c r="B10252" s="132">
        <v>3.2027532847687001</v>
      </c>
      <c r="C10252" s="133"/>
    </row>
    <row r="10253" spans="1:3">
      <c r="A10253" s="131" t="s">
        <v>5656</v>
      </c>
      <c r="B10253" s="132">
        <v>5.2974815668633997E-2</v>
      </c>
      <c r="C10253" s="133"/>
    </row>
    <row r="10254" spans="1:3">
      <c r="A10254" s="131" t="s">
        <v>5657</v>
      </c>
      <c r="B10254" s="132">
        <v>9.1153800058548003E-3</v>
      </c>
      <c r="C10254" s="133"/>
    </row>
    <row r="10255" spans="1:3">
      <c r="A10255" s="131" t="s">
        <v>5658</v>
      </c>
      <c r="B10255" s="132">
        <v>3.6329268038446001E-3</v>
      </c>
      <c r="C10255" s="133"/>
    </row>
    <row r="10256" spans="1:3">
      <c r="A10256" s="131" t="s">
        <v>5659</v>
      </c>
      <c r="B10256" s="132">
        <v>18634.285429377</v>
      </c>
      <c r="C10256" s="133"/>
    </row>
    <row r="10257" spans="1:3">
      <c r="A10257" s="131" t="s">
        <v>5660</v>
      </c>
      <c r="B10257" s="132">
        <v>0.60346744747130998</v>
      </c>
      <c r="C10257" s="133"/>
    </row>
    <row r="10258" spans="1:3">
      <c r="A10258" s="131" t="s">
        <v>5661</v>
      </c>
      <c r="B10258" s="132">
        <v>449.44227974909001</v>
      </c>
      <c r="C10258" s="133"/>
    </row>
    <row r="10259" spans="1:3">
      <c r="A10259" s="131" t="s">
        <v>5662</v>
      </c>
      <c r="B10259" s="132">
        <v>5.8862755296201896E-3</v>
      </c>
      <c r="C10259" s="133"/>
    </row>
    <row r="10260" spans="1:3">
      <c r="A10260" s="131" t="s">
        <v>5663</v>
      </c>
      <c r="B10260" s="132">
        <v>0.21109402390602</v>
      </c>
      <c r="C10260" s="133"/>
    </row>
    <row r="10261" spans="1:3">
      <c r="A10261" s="131" t="s">
        <v>5664</v>
      </c>
      <c r="B10261" s="132">
        <v>5.0835609332781001E-2</v>
      </c>
      <c r="C10261" s="133"/>
    </row>
    <row r="10262" spans="1:3">
      <c r="A10262" s="131" t="s">
        <v>5665</v>
      </c>
      <c r="B10262" s="132">
        <v>5.6195514914866998E-3</v>
      </c>
      <c r="C10262" s="133"/>
    </row>
    <row r="10263" spans="1:3">
      <c r="A10263" s="131" t="s">
        <v>5666</v>
      </c>
      <c r="B10263" s="132">
        <v>4.407919439577E-8</v>
      </c>
      <c r="C10263" s="133"/>
    </row>
    <row r="10264" spans="1:3">
      <c r="A10264" s="131" t="s">
        <v>5667</v>
      </c>
      <c r="B10264" s="132">
        <v>9.9507717499338027E-4</v>
      </c>
      <c r="C10264" s="133"/>
    </row>
    <row r="10265" spans="1:3">
      <c r="A10265" s="131" t="s">
        <v>5668</v>
      </c>
      <c r="B10265" s="132">
        <v>1.1403090931513E-2</v>
      </c>
      <c r="C10265" s="133"/>
    </row>
    <row r="10266" spans="1:3">
      <c r="A10266" s="131" t="s">
        <v>5669</v>
      </c>
      <c r="B10266" s="132">
        <v>5.0219848617348E-3</v>
      </c>
      <c r="C10266" s="133"/>
    </row>
    <row r="10267" spans="1:3">
      <c r="A10267" s="131" t="s">
        <v>5670</v>
      </c>
      <c r="B10267" s="132">
        <v>1.0031077902506849</v>
      </c>
      <c r="C10267" s="133"/>
    </row>
    <row r="10268" spans="1:3">
      <c r="A10268" s="131" t="s">
        <v>5671</v>
      </c>
      <c r="B10268" s="132">
        <v>3.5738933470953999E-6</v>
      </c>
      <c r="C10268" s="133"/>
    </row>
    <row r="10269" spans="1:3">
      <c r="A10269" s="131" t="s">
        <v>5672</v>
      </c>
      <c r="B10269" s="132">
        <v>1.1765237077401999E-2</v>
      </c>
      <c r="C10269" s="133"/>
    </row>
    <row r="10270" spans="1:3">
      <c r="A10270" s="131" t="s">
        <v>5673</v>
      </c>
      <c r="B10270" s="132">
        <v>0.15623595725132</v>
      </c>
      <c r="C10270" s="133"/>
    </row>
    <row r="10271" spans="1:3">
      <c r="A10271" s="131" t="s">
        <v>5674</v>
      </c>
      <c r="B10271" s="132">
        <v>7.3597743573961E-3</v>
      </c>
      <c r="C10271" s="133"/>
    </row>
    <row r="10272" spans="1:3">
      <c r="A10272" s="131" t="s">
        <v>5675</v>
      </c>
      <c r="B10272" s="132">
        <v>9.0603444714732007</v>
      </c>
      <c r="C10272" s="133"/>
    </row>
    <row r="10273" spans="1:3">
      <c r="A10273" s="131" t="s">
        <v>5676</v>
      </c>
      <c r="B10273" s="132">
        <v>3.0038616783699998</v>
      </c>
      <c r="C10273" s="133"/>
    </row>
    <row r="10274" spans="1:3">
      <c r="A10274" s="131" t="s">
        <v>5677</v>
      </c>
      <c r="B10274" s="132">
        <v>0.389929542139063</v>
      </c>
      <c r="C10274" s="133"/>
    </row>
    <row r="10275" spans="1:3">
      <c r="A10275" s="131" t="s">
        <v>5678</v>
      </c>
      <c r="B10275" s="132">
        <v>0.75154310001197</v>
      </c>
      <c r="C10275" s="133"/>
    </row>
    <row r="10276" spans="1:3">
      <c r="A10276" s="131" t="s">
        <v>5679</v>
      </c>
      <c r="B10276" s="132">
        <v>4.1009267081051001E-2</v>
      </c>
      <c r="C10276" s="133"/>
    </row>
    <row r="10277" spans="1:3">
      <c r="A10277" s="131" t="s">
        <v>5680</v>
      </c>
      <c r="B10277" s="132">
        <v>2.8340716593722001E-2</v>
      </c>
      <c r="C10277" s="133"/>
    </row>
    <row r="10278" spans="1:3">
      <c r="A10278" s="131" t="s">
        <v>5681</v>
      </c>
      <c r="B10278" s="132">
        <v>0.10963922741940001</v>
      </c>
      <c r="C10278" s="133"/>
    </row>
    <row r="10279" spans="1:3">
      <c r="A10279" s="131" t="s">
        <v>5682</v>
      </c>
      <c r="B10279" s="132">
        <v>6.7136335194967005E-4</v>
      </c>
      <c r="C10279" s="133"/>
    </row>
    <row r="10280" spans="1:3">
      <c r="A10280" s="131" t="s">
        <v>5683</v>
      </c>
      <c r="B10280" s="132">
        <v>5.5884942482517996E-3</v>
      </c>
      <c r="C10280" s="133"/>
    </row>
    <row r="10281" spans="1:3">
      <c r="A10281" s="131" t="s">
        <v>5684</v>
      </c>
      <c r="B10281" s="132">
        <v>1.8009747146190999E-5</v>
      </c>
      <c r="C10281" s="133"/>
    </row>
    <row r="10282" spans="1:3">
      <c r="A10282" s="131" t="s">
        <v>5685</v>
      </c>
      <c r="B10282" s="132">
        <v>9.0737071581367998E-2</v>
      </c>
      <c r="C10282" s="133"/>
    </row>
    <row r="10283" spans="1:3">
      <c r="A10283" s="131" t="s">
        <v>5686</v>
      </c>
      <c r="B10283" s="132">
        <v>0.21403885100497999</v>
      </c>
      <c r="C10283" s="133"/>
    </row>
    <row r="10284" spans="1:3">
      <c r="A10284" s="131" t="s">
        <v>5687</v>
      </c>
      <c r="B10284" s="132">
        <v>7.9473011990107006E-3</v>
      </c>
      <c r="C10284" s="133"/>
    </row>
    <row r="10285" spans="1:3">
      <c r="A10285" s="131" t="s">
        <v>5688</v>
      </c>
      <c r="B10285" s="132">
        <v>0.94837327388824</v>
      </c>
      <c r="C10285" s="133"/>
    </row>
    <row r="10286" spans="1:3">
      <c r="A10286" s="131" t="s">
        <v>5689</v>
      </c>
      <c r="B10286" s="132">
        <v>1.3426836592479001E-7</v>
      </c>
      <c r="C10286" s="133"/>
    </row>
    <row r="10287" spans="1:3">
      <c r="A10287" s="131" t="s">
        <v>5690</v>
      </c>
      <c r="B10287" s="132">
        <v>3.5778724127546999E-3</v>
      </c>
      <c r="C10287" s="133"/>
    </row>
    <row r="10288" spans="1:3">
      <c r="A10288" s="131" t="s">
        <v>5691</v>
      </c>
      <c r="B10288" s="132">
        <v>0.10345599193978</v>
      </c>
      <c r="C10288" s="133"/>
    </row>
    <row r="10289" spans="1:3">
      <c r="A10289" s="131" t="s">
        <v>5692</v>
      </c>
      <c r="B10289" s="132">
        <v>3.7506065885397</v>
      </c>
      <c r="C10289" s="133"/>
    </row>
    <row r="10290" spans="1:3">
      <c r="A10290" s="131" t="s">
        <v>5693</v>
      </c>
      <c r="B10290" s="132">
        <v>8.6082448890193994E-2</v>
      </c>
      <c r="C10290" s="133"/>
    </row>
    <row r="10291" spans="1:3">
      <c r="A10291" s="131" t="s">
        <v>5694</v>
      </c>
      <c r="B10291" s="132">
        <v>3.4027042688739997E-8</v>
      </c>
      <c r="C10291" s="133"/>
    </row>
    <row r="10292" spans="1:3">
      <c r="A10292" s="131" t="s">
        <v>5695</v>
      </c>
      <c r="B10292" s="132">
        <v>1.0441389952141E-2</v>
      </c>
      <c r="C10292" s="133"/>
    </row>
    <row r="10293" spans="1:3">
      <c r="A10293" s="131" t="s">
        <v>5696</v>
      </c>
      <c r="B10293" s="132">
        <v>1.4461985996721602</v>
      </c>
      <c r="C10293" s="133"/>
    </row>
    <row r="10294" spans="1:3">
      <c r="A10294" s="131" t="s">
        <v>5697</v>
      </c>
      <c r="B10294" s="132">
        <v>1.7308642547924E-2</v>
      </c>
      <c r="C10294" s="133"/>
    </row>
    <row r="10295" spans="1:3">
      <c r="A10295" s="131" t="s">
        <v>5698</v>
      </c>
      <c r="B10295" s="132">
        <v>1.4705365264137001E-7</v>
      </c>
      <c r="C10295" s="133"/>
    </row>
    <row r="10296" spans="1:3">
      <c r="A10296" s="131" t="s">
        <v>5699</v>
      </c>
      <c r="B10296" s="132">
        <v>8.0383732416706E-7</v>
      </c>
      <c r="C10296" s="133"/>
    </row>
    <row r="10297" spans="1:3">
      <c r="A10297" s="131" t="s">
        <v>5700</v>
      </c>
      <c r="B10297" s="132">
        <v>8.7986089659461003E-2</v>
      </c>
      <c r="C10297" s="133"/>
    </row>
    <row r="10298" spans="1:3">
      <c r="A10298" s="131" t="s">
        <v>5701</v>
      </c>
      <c r="B10298" s="132">
        <v>1.9694427642415E-2</v>
      </c>
      <c r="C10298" s="133"/>
    </row>
    <row r="10299" spans="1:3">
      <c r="A10299" s="131" t="s">
        <v>5702</v>
      </c>
      <c r="B10299" s="132">
        <v>0.33133732613764999</v>
      </c>
      <c r="C10299" s="133"/>
    </row>
    <row r="10300" spans="1:3">
      <c r="A10300" s="131" t="s">
        <v>5703</v>
      </c>
      <c r="B10300" s="132">
        <v>2.0145403966375409E-2</v>
      </c>
      <c r="C10300" s="133"/>
    </row>
    <row r="10301" spans="1:3">
      <c r="A10301" s="131" t="s">
        <v>5704</v>
      </c>
      <c r="B10301" s="132">
        <v>8.9611272947857007E-2</v>
      </c>
      <c r="C10301" s="133"/>
    </row>
    <row r="10302" spans="1:3">
      <c r="A10302" s="131" t="s">
        <v>5705</v>
      </c>
      <c r="B10302" s="132">
        <v>1.5199911278787E-5</v>
      </c>
      <c r="C10302" s="133"/>
    </row>
    <row r="10303" spans="1:3">
      <c r="A10303" s="131" t="s">
        <v>5706</v>
      </c>
      <c r="B10303" s="132">
        <v>1.0501293322034E-2</v>
      </c>
      <c r="C10303" s="133"/>
    </row>
    <row r="10304" spans="1:3">
      <c r="A10304" s="131" t="s">
        <v>5707</v>
      </c>
      <c r="B10304" s="132">
        <v>0.34469089311513001</v>
      </c>
      <c r="C10304" s="133"/>
    </row>
    <row r="10305" spans="1:3">
      <c r="A10305" s="131" t="s">
        <v>5708</v>
      </c>
      <c r="B10305" s="132">
        <v>1.8544705854043001E-2</v>
      </c>
      <c r="C10305" s="133"/>
    </row>
    <row r="10306" spans="1:3">
      <c r="A10306" s="131" t="s">
        <v>5709</v>
      </c>
      <c r="B10306" s="132">
        <v>3.6525145331732227E-2</v>
      </c>
      <c r="C10306" s="133"/>
    </row>
    <row r="10307" spans="1:3">
      <c r="A10307" s="131" t="s">
        <v>5710</v>
      </c>
      <c r="B10307" s="132">
        <v>0.12092918654528</v>
      </c>
      <c r="C10307" s="133"/>
    </row>
    <row r="10308" spans="1:3">
      <c r="A10308" s="131" t="s">
        <v>5711</v>
      </c>
      <c r="B10308" s="132">
        <v>0.20015693784633001</v>
      </c>
      <c r="C10308" s="133"/>
    </row>
    <row r="10309" spans="1:3">
      <c r="A10309" s="131" t="s">
        <v>5712</v>
      </c>
      <c r="B10309" s="132">
        <v>1.4425622539094001E-4</v>
      </c>
      <c r="C10309" s="133"/>
    </row>
    <row r="10310" spans="1:3">
      <c r="A10310" s="131" t="s">
        <v>5713</v>
      </c>
      <c r="B10310" s="132">
        <v>2.8769570524531999E-2</v>
      </c>
      <c r="C10310" s="133"/>
    </row>
    <row r="10311" spans="1:3">
      <c r="A10311" s="131" t="s">
        <v>5714</v>
      </c>
      <c r="B10311" s="132">
        <v>4.0662118032199998E-4</v>
      </c>
      <c r="C10311" s="133"/>
    </row>
    <row r="10312" spans="1:3">
      <c r="A10312" s="131" t="s">
        <v>5715</v>
      </c>
      <c r="B10312" s="132">
        <v>7.5269198351907429E-2</v>
      </c>
      <c r="C10312" s="133"/>
    </row>
    <row r="10313" spans="1:3">
      <c r="A10313" s="131" t="s">
        <v>5716</v>
      </c>
      <c r="B10313" s="132">
        <v>867.05575995989</v>
      </c>
      <c r="C10313" s="133"/>
    </row>
    <row r="10314" spans="1:3">
      <c r="A10314" s="131" t="s">
        <v>5717</v>
      </c>
      <c r="B10314" s="132">
        <v>2.4293886367389998E-8</v>
      </c>
      <c r="C10314" s="133"/>
    </row>
    <row r="10315" spans="1:3">
      <c r="A10315" s="131" t="s">
        <v>5718</v>
      </c>
      <c r="B10315" s="132">
        <v>1.3607364510455E-2</v>
      </c>
      <c r="C10315" s="133"/>
    </row>
    <row r="10316" spans="1:3">
      <c r="A10316" s="131" t="s">
        <v>5719</v>
      </c>
      <c r="B10316" s="132">
        <v>1.5461553518288</v>
      </c>
      <c r="C10316" s="133"/>
    </row>
    <row r="10317" spans="1:3">
      <c r="A10317" s="131" t="s">
        <v>5720</v>
      </c>
      <c r="B10317" s="132">
        <v>2.7637863657176999E-4</v>
      </c>
      <c r="C10317" s="133"/>
    </row>
    <row r="10318" spans="1:3">
      <c r="A10318" s="131" t="s">
        <v>5721</v>
      </c>
      <c r="B10318" s="132">
        <v>0.13101158378896999</v>
      </c>
      <c r="C10318" s="133"/>
    </row>
    <row r="10319" spans="1:3">
      <c r="A10319" s="131" t="s">
        <v>5722</v>
      </c>
      <c r="B10319" s="132">
        <v>1.4711542664322E-3</v>
      </c>
      <c r="C10319" s="133"/>
    </row>
    <row r="10320" spans="1:3">
      <c r="A10320" s="131" t="s">
        <v>5723</v>
      </c>
      <c r="B10320" s="132">
        <v>8.2288253487718467E-8</v>
      </c>
      <c r="C10320" s="133"/>
    </row>
    <row r="10321" spans="1:3">
      <c r="A10321" s="131" t="s">
        <v>5724</v>
      </c>
      <c r="B10321" s="132">
        <v>0.19731384773845001</v>
      </c>
      <c r="C10321" s="133"/>
    </row>
    <row r="10322" spans="1:3">
      <c r="A10322" s="131" t="s">
        <v>5725</v>
      </c>
      <c r="B10322" s="132">
        <v>1.5973004830598001</v>
      </c>
      <c r="C10322" s="133"/>
    </row>
    <row r="10323" spans="1:3">
      <c r="A10323" s="131" t="s">
        <v>5726</v>
      </c>
      <c r="B10323" s="132">
        <v>3.0251232005683998E-3</v>
      </c>
      <c r="C10323" s="133"/>
    </row>
    <row r="10324" spans="1:3">
      <c r="A10324" s="131" t="s">
        <v>5727</v>
      </c>
      <c r="B10324" s="132">
        <v>0.10764346108281</v>
      </c>
      <c r="C10324" s="133"/>
    </row>
    <row r="10325" spans="1:3">
      <c r="A10325" s="131" t="s">
        <v>5728</v>
      </c>
      <c r="B10325" s="132">
        <v>3.9011113401670002E-8</v>
      </c>
      <c r="C10325" s="133"/>
    </row>
    <row r="10326" spans="1:3">
      <c r="A10326" s="131" t="s">
        <v>5729</v>
      </c>
      <c r="B10326" s="132">
        <v>1.3115477332879999E-8</v>
      </c>
      <c r="C10326" s="133"/>
    </row>
    <row r="10327" spans="1:3">
      <c r="A10327" s="131" t="s">
        <v>5730</v>
      </c>
      <c r="B10327" s="132">
        <v>1.9874427871099001</v>
      </c>
      <c r="C10327" s="133"/>
    </row>
    <row r="10328" spans="1:3">
      <c r="A10328" s="131" t="s">
        <v>5731</v>
      </c>
      <c r="B10328" s="132">
        <v>4.5388573270055996</v>
      </c>
      <c r="C10328" s="133"/>
    </row>
    <row r="10329" spans="1:3">
      <c r="A10329" s="131" t="s">
        <v>5732</v>
      </c>
      <c r="B10329" s="132">
        <v>1.9322394846062001E-2</v>
      </c>
      <c r="C10329" s="133"/>
    </row>
    <row r="10330" spans="1:3">
      <c r="A10330" s="131" t="s">
        <v>5733</v>
      </c>
      <c r="B10330" s="132">
        <v>2.7600055628609002</v>
      </c>
      <c r="C10330" s="133"/>
    </row>
    <row r="10331" spans="1:3">
      <c r="A10331" s="131" t="s">
        <v>5734</v>
      </c>
      <c r="B10331" s="132">
        <v>2.9360682044045001E-5</v>
      </c>
      <c r="C10331" s="133"/>
    </row>
    <row r="10332" spans="1:3">
      <c r="A10332" s="131" t="s">
        <v>5735</v>
      </c>
      <c r="B10332" s="132">
        <v>0.16865719590671999</v>
      </c>
      <c r="C10332" s="133"/>
    </row>
    <row r="10333" spans="1:3">
      <c r="A10333" s="131" t="s">
        <v>5736</v>
      </c>
      <c r="B10333" s="132">
        <v>4.7720842234599995E-7</v>
      </c>
      <c r="C10333" s="133"/>
    </row>
    <row r="10334" spans="1:3">
      <c r="A10334" s="131" t="s">
        <v>5737</v>
      </c>
      <c r="B10334" s="132">
        <v>3.0905576962608002E-4</v>
      </c>
      <c r="C10334" s="133"/>
    </row>
    <row r="10335" spans="1:3">
      <c r="A10335" s="131" t="s">
        <v>5738</v>
      </c>
      <c r="B10335" s="132">
        <v>0.42556484260686001</v>
      </c>
      <c r="C10335" s="133"/>
    </row>
    <row r="10336" spans="1:3">
      <c r="A10336" s="131" t="s">
        <v>5739</v>
      </c>
      <c r="B10336" s="132">
        <v>1.2114556580338E-2</v>
      </c>
      <c r="C10336" s="133"/>
    </row>
    <row r="10337" spans="1:3">
      <c r="A10337" s="131" t="s">
        <v>5740</v>
      </c>
      <c r="B10337" s="132">
        <v>2.2754406665485001E-5</v>
      </c>
      <c r="C10337" s="133"/>
    </row>
    <row r="10338" spans="1:3">
      <c r="A10338" s="131" t="s">
        <v>5741</v>
      </c>
      <c r="B10338" s="132">
        <v>0.12722826596184</v>
      </c>
      <c r="C10338" s="133"/>
    </row>
    <row r="10339" spans="1:3">
      <c r="A10339" s="131" t="s">
        <v>5742</v>
      </c>
      <c r="B10339" s="132">
        <v>0.13869086123793001</v>
      </c>
      <c r="C10339" s="133"/>
    </row>
    <row r="10340" spans="1:3">
      <c r="A10340" s="131" t="s">
        <v>5743</v>
      </c>
      <c r="B10340" s="132">
        <v>1.1133729503319001</v>
      </c>
      <c r="C10340" s="133"/>
    </row>
    <row r="10341" spans="1:3">
      <c r="A10341" s="131" t="s">
        <v>5744</v>
      </c>
      <c r="B10341" s="132">
        <v>1.0365982627237001E-6</v>
      </c>
      <c r="C10341" s="133"/>
    </row>
    <row r="10342" spans="1:3">
      <c r="A10342" s="131" t="s">
        <v>5745</v>
      </c>
      <c r="B10342" s="132">
        <v>4.1256245708232329E-6</v>
      </c>
      <c r="C10342" s="133"/>
    </row>
    <row r="10343" spans="1:3">
      <c r="A10343" s="131" t="s">
        <v>5746</v>
      </c>
      <c r="B10343" s="132">
        <v>0.41731932096829999</v>
      </c>
      <c r="C10343" s="133"/>
    </row>
    <row r="10344" spans="1:3">
      <c r="A10344" s="131" t="s">
        <v>5747</v>
      </c>
      <c r="B10344" s="132">
        <v>4.6306451382008E-2</v>
      </c>
      <c r="C10344" s="133"/>
    </row>
    <row r="10345" spans="1:3">
      <c r="A10345" s="131" t="s">
        <v>5748</v>
      </c>
      <c r="B10345" s="132">
        <v>4.514025162314E-8</v>
      </c>
      <c r="C10345" s="133"/>
    </row>
    <row r="10346" spans="1:3">
      <c r="A10346" s="131" t="s">
        <v>5749</v>
      </c>
      <c r="B10346" s="132">
        <v>172.7721393018</v>
      </c>
      <c r="C10346" s="133"/>
    </row>
    <row r="10347" spans="1:3">
      <c r="A10347" s="131" t="s">
        <v>5750</v>
      </c>
      <c r="B10347" s="132">
        <v>1.1330665262594001E-3</v>
      </c>
      <c r="C10347" s="133"/>
    </row>
    <row r="10348" spans="1:3">
      <c r="A10348" s="131" t="s">
        <v>5751</v>
      </c>
      <c r="B10348" s="132">
        <v>3.5394024606834001E-6</v>
      </c>
      <c r="C10348" s="133"/>
    </row>
    <row r="10349" spans="1:3">
      <c r="A10349" s="131" t="s">
        <v>5752</v>
      </c>
      <c r="B10349" s="132">
        <v>1.1381913200280999E-3</v>
      </c>
      <c r="C10349" s="133"/>
    </row>
    <row r="10350" spans="1:3">
      <c r="A10350" s="131" t="s">
        <v>5753</v>
      </c>
      <c r="B10350" s="132">
        <v>3.0685033106860003E-8</v>
      </c>
      <c r="C10350" s="133"/>
    </row>
    <row r="10351" spans="1:3">
      <c r="A10351" s="131" t="s">
        <v>5754</v>
      </c>
      <c r="B10351" s="132">
        <v>3.1798503433609965E-7</v>
      </c>
      <c r="C10351" s="133"/>
    </row>
    <row r="10352" spans="1:3">
      <c r="A10352" s="131" t="s">
        <v>5755</v>
      </c>
      <c r="B10352" s="132">
        <v>73.566320985567003</v>
      </c>
      <c r="C10352" s="133"/>
    </row>
    <row r="10353" spans="1:3">
      <c r="A10353" s="131" t="s">
        <v>5756</v>
      </c>
      <c r="B10353" s="132">
        <v>1.7960902297657</v>
      </c>
      <c r="C10353" s="133"/>
    </row>
    <row r="10354" spans="1:3">
      <c r="A10354" s="131" t="s">
        <v>5757</v>
      </c>
      <c r="B10354" s="132">
        <v>2.3825879686179001E-3</v>
      </c>
      <c r="C10354" s="133"/>
    </row>
    <row r="10355" spans="1:3">
      <c r="A10355" s="131" t="s">
        <v>5758</v>
      </c>
      <c r="B10355" s="132">
        <v>1.258620697172E-3</v>
      </c>
      <c r="C10355" s="133"/>
    </row>
    <row r="10356" spans="1:3">
      <c r="A10356" s="131" t="s">
        <v>5759</v>
      </c>
      <c r="B10356" s="132">
        <v>4.7082535034099997E-8</v>
      </c>
      <c r="C10356" s="133"/>
    </row>
    <row r="10357" spans="1:3">
      <c r="A10357" s="131" t="s">
        <v>5760</v>
      </c>
      <c r="B10357" s="132">
        <v>8.2659084862686995E-3</v>
      </c>
      <c r="C10357" s="133"/>
    </row>
    <row r="10358" spans="1:3">
      <c r="A10358" s="131" t="s">
        <v>5761</v>
      </c>
      <c r="B10358" s="132">
        <v>0.31301420016615</v>
      </c>
      <c r="C10358" s="133"/>
    </row>
    <row r="10359" spans="1:3">
      <c r="A10359" s="131" t="s">
        <v>5762</v>
      </c>
      <c r="B10359" s="132">
        <v>3.9175483618152998E-3</v>
      </c>
      <c r="C10359" s="133"/>
    </row>
    <row r="10360" spans="1:3">
      <c r="A10360" s="131" t="s">
        <v>5763</v>
      </c>
      <c r="B10360" s="132">
        <v>2.4991037714542998</v>
      </c>
      <c r="C10360" s="133"/>
    </row>
    <row r="10361" spans="1:3">
      <c r="A10361" s="131" t="s">
        <v>5764</v>
      </c>
      <c r="B10361" s="132">
        <v>0.91502173523628005</v>
      </c>
      <c r="C10361" s="133"/>
    </row>
    <row r="10362" spans="1:3">
      <c r="A10362" s="131" t="s">
        <v>5765</v>
      </c>
      <c r="B10362" s="132">
        <v>1.4870979574183E-3</v>
      </c>
      <c r="C10362" s="133"/>
    </row>
    <row r="10363" spans="1:3">
      <c r="A10363" s="131" t="s">
        <v>5766</v>
      </c>
      <c r="B10363" s="132">
        <v>9.7106327144882998E-4</v>
      </c>
      <c r="C10363" s="133"/>
    </row>
    <row r="10364" spans="1:3">
      <c r="A10364" s="131" t="s">
        <v>5767</v>
      </c>
      <c r="B10364" s="132">
        <v>3.0872661306177999E-2</v>
      </c>
      <c r="C10364" s="133"/>
    </row>
    <row r="10365" spans="1:3">
      <c r="A10365" s="131" t="s">
        <v>5768</v>
      </c>
      <c r="B10365" s="132">
        <v>1.7744835328901999E-3</v>
      </c>
      <c r="C10365" s="133"/>
    </row>
    <row r="10366" spans="1:3">
      <c r="A10366" s="131" t="s">
        <v>5769</v>
      </c>
      <c r="B10366" s="132">
        <v>5.2622372418007996E-7</v>
      </c>
      <c r="C10366" s="133"/>
    </row>
    <row r="10367" spans="1:3">
      <c r="A10367" s="131" t="s">
        <v>5770</v>
      </c>
      <c r="B10367" s="132">
        <v>7.4822603905575001E-4</v>
      </c>
      <c r="C10367" s="133"/>
    </row>
    <row r="10368" spans="1:3">
      <c r="A10368" s="131" t="s">
        <v>5771</v>
      </c>
      <c r="B10368" s="132">
        <v>1.7602905054767001E-6</v>
      </c>
      <c r="C10368" s="133"/>
    </row>
    <row r="10369" spans="1:3">
      <c r="A10369" s="131" t="s">
        <v>5772</v>
      </c>
      <c r="B10369" s="132">
        <v>1.5916202779193001E-7</v>
      </c>
      <c r="C10369" s="133"/>
    </row>
    <row r="10370" spans="1:3">
      <c r="A10370" s="131" t="s">
        <v>5773</v>
      </c>
      <c r="B10370" s="132">
        <v>2.1638906866926999</v>
      </c>
      <c r="C10370" s="133"/>
    </row>
    <row r="10371" spans="1:3">
      <c r="A10371" s="131" t="s">
        <v>5774</v>
      </c>
      <c r="B10371" s="132">
        <v>1.3764570522813688E-2</v>
      </c>
      <c r="C10371" s="133"/>
    </row>
    <row r="10372" spans="1:3">
      <c r="A10372" s="131" t="s">
        <v>5775</v>
      </c>
      <c r="B10372" s="132">
        <v>7.8213650482616005E-4</v>
      </c>
      <c r="C10372" s="133"/>
    </row>
    <row r="10373" spans="1:3">
      <c r="A10373" s="131" t="s">
        <v>5776</v>
      </c>
      <c r="B10373" s="132">
        <v>0.6479040139855502</v>
      </c>
      <c r="C10373" s="133"/>
    </row>
    <row r="10374" spans="1:3">
      <c r="A10374" s="131" t="s">
        <v>5777</v>
      </c>
      <c r="B10374" s="132">
        <v>5.1628199258496002E-2</v>
      </c>
      <c r="C10374" s="133"/>
    </row>
    <row r="10375" spans="1:3">
      <c r="A10375" s="131" t="s">
        <v>5778</v>
      </c>
      <c r="B10375" s="132">
        <v>923.76242318769005</v>
      </c>
      <c r="C10375" s="133"/>
    </row>
    <row r="10376" spans="1:3">
      <c r="A10376" s="131" t="s">
        <v>5779</v>
      </c>
      <c r="B10376" s="132">
        <v>0.84338427853687004</v>
      </c>
      <c r="C10376" s="133"/>
    </row>
    <row r="10377" spans="1:3">
      <c r="A10377" s="131" t="s">
        <v>5780</v>
      </c>
      <c r="B10377" s="132">
        <v>0.32514066720238999</v>
      </c>
      <c r="C10377" s="133"/>
    </row>
    <row r="10378" spans="1:3">
      <c r="A10378" s="131" t="s">
        <v>5781</v>
      </c>
      <c r="B10378" s="132">
        <v>5.6364625535690996E-6</v>
      </c>
      <c r="C10378" s="133"/>
    </row>
    <row r="10379" spans="1:3">
      <c r="A10379" s="131" t="s">
        <v>5782</v>
      </c>
      <c r="B10379" s="132">
        <v>0.18009747146190999</v>
      </c>
      <c r="C10379" s="133"/>
    </row>
    <row r="10380" spans="1:3">
      <c r="A10380" s="131" t="s">
        <v>5783</v>
      </c>
      <c r="B10380" s="132">
        <v>0.34218519577762002</v>
      </c>
      <c r="C10380" s="133"/>
    </row>
    <row r="10381" spans="1:3">
      <c r="A10381" s="131" t="s">
        <v>5784</v>
      </c>
      <c r="B10381" s="132">
        <v>5.3247455517765E-3</v>
      </c>
      <c r="C10381" s="133"/>
    </row>
    <row r="10382" spans="1:3">
      <c r="A10382" s="131" t="s">
        <v>5785</v>
      </c>
      <c r="B10382" s="132">
        <v>1.8775218594255998E-2</v>
      </c>
      <c r="C10382" s="133"/>
    </row>
    <row r="10383" spans="1:3">
      <c r="A10383" s="131" t="s">
        <v>5786</v>
      </c>
      <c r="B10383" s="132">
        <v>137.98321934431999</v>
      </c>
      <c r="C10383" s="133"/>
    </row>
    <row r="10384" spans="1:3">
      <c r="A10384" s="131" t="s">
        <v>5787</v>
      </c>
      <c r="B10384" s="132">
        <v>0.1683350486555</v>
      </c>
      <c r="C10384" s="133"/>
    </row>
    <row r="10385" spans="1:3">
      <c r="A10385" s="131" t="s">
        <v>5788</v>
      </c>
      <c r="B10385" s="132">
        <v>7.6225950101345627E-8</v>
      </c>
      <c r="C10385" s="133"/>
    </row>
    <row r="10386" spans="1:3">
      <c r="A10386" s="131" t="s">
        <v>5789</v>
      </c>
      <c r="B10386" s="132">
        <v>2.5801179349043002E-7</v>
      </c>
      <c r="C10386" s="133"/>
    </row>
    <row r="10387" spans="1:3">
      <c r="A10387" s="131" t="s">
        <v>5790</v>
      </c>
      <c r="B10387" s="132">
        <v>3.1763744806338998</v>
      </c>
      <c r="C10387" s="133"/>
    </row>
    <row r="10388" spans="1:3">
      <c r="A10388" s="131" t="s">
        <v>5791</v>
      </c>
      <c r="B10388" s="132">
        <v>9.452042810857866E-3</v>
      </c>
      <c r="C10388" s="133"/>
    </row>
    <row r="10389" spans="1:3">
      <c r="A10389" s="131" t="s">
        <v>5792</v>
      </c>
      <c r="B10389" s="132">
        <v>1.3398498921716999E-5</v>
      </c>
      <c r="C10389" s="133"/>
    </row>
    <row r="10390" spans="1:3">
      <c r="A10390" s="131" t="s">
        <v>5793</v>
      </c>
      <c r="B10390" s="132">
        <v>1.4780821865678E-3</v>
      </c>
      <c r="C10390" s="133"/>
    </row>
    <row r="10391" spans="1:3">
      <c r="A10391" s="131" t="s">
        <v>5794</v>
      </c>
      <c r="B10391" s="132">
        <v>1.4586084179571E-6</v>
      </c>
      <c r="C10391" s="133"/>
    </row>
    <row r="10392" spans="1:3">
      <c r="A10392" s="131" t="s">
        <v>5795</v>
      </c>
      <c r="B10392" s="132">
        <v>1.3404755718828001</v>
      </c>
      <c r="C10392" s="133"/>
    </row>
    <row r="10393" spans="1:3">
      <c r="A10393" s="131" t="s">
        <v>5796</v>
      </c>
      <c r="B10393" s="132">
        <v>0.27110690391188003</v>
      </c>
      <c r="C10393" s="133"/>
    </row>
    <row r="10394" spans="1:3">
      <c r="A10394" s="131" t="s">
        <v>5797</v>
      </c>
      <c r="B10394" s="132">
        <v>2.262813916486E-7</v>
      </c>
      <c r="C10394" s="133"/>
    </row>
    <row r="10395" spans="1:3">
      <c r="A10395" s="131" t="s">
        <v>5798</v>
      </c>
      <c r="B10395" s="132">
        <v>2.5416681616091002E-3</v>
      </c>
      <c r="C10395" s="133"/>
    </row>
    <row r="10396" spans="1:3">
      <c r="A10396" s="131" t="s">
        <v>5799</v>
      </c>
      <c r="B10396" s="132">
        <v>1.8414348785966275E-2</v>
      </c>
      <c r="C10396" s="133"/>
    </row>
    <row r="10397" spans="1:3">
      <c r="A10397" s="131" t="s">
        <v>5800</v>
      </c>
      <c r="B10397" s="132">
        <v>0.25586213148495002</v>
      </c>
      <c r="C10397" s="133"/>
    </row>
    <row r="10398" spans="1:3">
      <c r="A10398" s="131" t="s">
        <v>5801</v>
      </c>
      <c r="B10398" s="132">
        <v>0.85905949654518998</v>
      </c>
      <c r="C10398" s="133"/>
    </row>
    <row r="10399" spans="1:3">
      <c r="A10399" s="131" t="s">
        <v>5802</v>
      </c>
      <c r="B10399" s="132">
        <v>6.6866321574353996E-6</v>
      </c>
      <c r="C10399" s="133"/>
    </row>
    <row r="10400" spans="1:3">
      <c r="A10400" s="131" t="s">
        <v>5803</v>
      </c>
      <c r="B10400" s="132">
        <v>2.3483031770130001E-8</v>
      </c>
      <c r="C10400" s="133"/>
    </row>
    <row r="10401" spans="1:3">
      <c r="A10401" s="131" t="s">
        <v>5804</v>
      </c>
      <c r="B10401" s="132">
        <v>0.21494248512718001</v>
      </c>
      <c r="C10401" s="133"/>
    </row>
    <row r="10402" spans="1:3">
      <c r="A10402" s="131" t="s">
        <v>5805</v>
      </c>
      <c r="B10402" s="132">
        <v>4.0638669771428E-2</v>
      </c>
      <c r="C10402" s="133"/>
    </row>
    <row r="10403" spans="1:3">
      <c r="A10403" s="131" t="s">
        <v>2830</v>
      </c>
      <c r="B10403" s="132">
        <v>14.364385098065</v>
      </c>
      <c r="C10403" s="133"/>
    </row>
    <row r="10404" spans="1:3">
      <c r="A10404" s="131" t="s">
        <v>2831</v>
      </c>
      <c r="B10404" s="132">
        <v>1.0026154117246E-7</v>
      </c>
      <c r="C10404" s="133"/>
    </row>
    <row r="10405" spans="1:3">
      <c r="A10405" s="131" t="s">
        <v>2832</v>
      </c>
      <c r="B10405" s="132">
        <v>2.8115751131248E-2</v>
      </c>
      <c r="C10405" s="133"/>
    </row>
    <row r="10406" spans="1:3">
      <c r="A10406" s="131" t="s">
        <v>2833</v>
      </c>
      <c r="B10406" s="132">
        <v>1.459682215673E-6</v>
      </c>
      <c r="C10406" s="133"/>
    </row>
    <row r="10407" spans="1:3">
      <c r="A10407" s="131" t="s">
        <v>2834</v>
      </c>
      <c r="B10407" s="132">
        <v>3.7951230723200003E-9</v>
      </c>
      <c r="C10407" s="133"/>
    </row>
    <row r="10408" spans="1:3">
      <c r="A10408" s="131" t="s">
        <v>2835</v>
      </c>
      <c r="B10408" s="132">
        <v>25043.163492414002</v>
      </c>
      <c r="C10408" s="133"/>
    </row>
    <row r="10409" spans="1:3">
      <c r="A10409" s="131" t="s">
        <v>2836</v>
      </c>
      <c r="B10409" s="132">
        <v>4.1279932830145E-2</v>
      </c>
      <c r="C10409" s="133"/>
    </row>
    <row r="10410" spans="1:3">
      <c r="A10410" s="131" t="s">
        <v>2837</v>
      </c>
      <c r="B10410" s="132">
        <v>0.12169583410611796</v>
      </c>
      <c r="C10410" s="133"/>
    </row>
    <row r="10411" spans="1:3">
      <c r="A10411" s="131" t="s">
        <v>2838</v>
      </c>
      <c r="B10411" s="132">
        <v>2.3903793380269647E-3</v>
      </c>
      <c r="C10411" s="133"/>
    </row>
    <row r="10412" spans="1:3">
      <c r="A10412" s="131" t="s">
        <v>2839</v>
      </c>
      <c r="B10412" s="132">
        <v>2.3835387977143001</v>
      </c>
      <c r="C10412" s="133"/>
    </row>
    <row r="10413" spans="1:3">
      <c r="A10413" s="131" t="s">
        <v>2840</v>
      </c>
      <c r="B10413" s="132">
        <v>6.3956427365772996E-4</v>
      </c>
      <c r="C10413" s="133"/>
    </row>
    <row r="10414" spans="1:3">
      <c r="A10414" s="131" t="s">
        <v>2841</v>
      </c>
      <c r="B10414" s="132">
        <v>4.7617197688326997E-6</v>
      </c>
      <c r="C10414" s="133"/>
    </row>
    <row r="10415" spans="1:3">
      <c r="A10415" s="131" t="s">
        <v>2842</v>
      </c>
      <c r="B10415" s="132">
        <v>1.5008122621826001E-3</v>
      </c>
      <c r="C10415" s="133"/>
    </row>
    <row r="10416" spans="1:3">
      <c r="A10416" s="131" t="s">
        <v>2843</v>
      </c>
      <c r="B10416" s="132">
        <v>0.36350776086902081</v>
      </c>
      <c r="C10416" s="133"/>
    </row>
    <row r="10417" spans="1:3">
      <c r="A10417" s="131" t="s">
        <v>2844</v>
      </c>
      <c r="B10417" s="132">
        <v>1.6483717891508966E-3</v>
      </c>
      <c r="C10417" s="133"/>
    </row>
    <row r="10418" spans="1:3">
      <c r="A10418" s="131" t="s">
        <v>2845</v>
      </c>
      <c r="B10418" s="132">
        <v>2.3660921019595E-6</v>
      </c>
      <c r="C10418" s="133"/>
    </row>
    <row r="10419" spans="1:3">
      <c r="A10419" s="131" t="s">
        <v>2846</v>
      </c>
      <c r="B10419" s="132">
        <v>6.2996923923442E-2</v>
      </c>
      <c r="C10419" s="133"/>
    </row>
    <row r="10420" spans="1:3">
      <c r="A10420" s="131" t="s">
        <v>2847</v>
      </c>
      <c r="B10420" s="132">
        <v>1.2214190849098E-2</v>
      </c>
      <c r="C10420" s="133"/>
    </row>
    <row r="10421" spans="1:3">
      <c r="A10421" s="131" t="s">
        <v>2848</v>
      </c>
      <c r="B10421" s="132">
        <v>3.3797375101605001</v>
      </c>
      <c r="C10421" s="133"/>
    </row>
    <row r="10422" spans="1:3">
      <c r="A10422" s="131" t="s">
        <v>2849</v>
      </c>
      <c r="B10422" s="132">
        <v>1.5818178401632099E-4</v>
      </c>
      <c r="C10422" s="133"/>
    </row>
    <row r="10423" spans="1:3">
      <c r="A10423" s="131" t="s">
        <v>2850</v>
      </c>
      <c r="B10423" s="132">
        <v>2.1038288033105792E-8</v>
      </c>
      <c r="C10423" s="133"/>
    </row>
    <row r="10424" spans="1:3">
      <c r="A10424" s="131" t="s">
        <v>2851</v>
      </c>
      <c r="B10424" s="132">
        <v>1.0498597183010699E-2</v>
      </c>
      <c r="C10424" s="133"/>
    </row>
    <row r="10425" spans="1:3">
      <c r="A10425" s="131" t="s">
        <v>2852</v>
      </c>
      <c r="B10425" s="132">
        <v>0.48564624924686001</v>
      </c>
      <c r="C10425" s="133"/>
    </row>
    <row r="10426" spans="1:3">
      <c r="A10426" s="131" t="s">
        <v>2853</v>
      </c>
      <c r="B10426" s="132">
        <v>0.13005038522566001</v>
      </c>
      <c r="C10426" s="133"/>
    </row>
    <row r="10427" spans="1:3">
      <c r="A10427" s="131" t="s">
        <v>2854</v>
      </c>
      <c r="B10427" s="132">
        <v>8.2865789287447998E-4</v>
      </c>
      <c r="C10427" s="133"/>
    </row>
    <row r="10428" spans="1:3">
      <c r="A10428" s="131" t="s">
        <v>2855</v>
      </c>
      <c r="B10428" s="132">
        <v>2.5471926133506999</v>
      </c>
      <c r="C10428" s="133"/>
    </row>
    <row r="10429" spans="1:3">
      <c r="A10429" s="131" t="s">
        <v>2856</v>
      </c>
      <c r="B10429" s="132">
        <v>0.32418769576199002</v>
      </c>
      <c r="C10429" s="133"/>
    </row>
    <row r="10430" spans="1:3">
      <c r="A10430" s="131" t="s">
        <v>2857</v>
      </c>
      <c r="B10430" s="132">
        <v>8.9702004053034004E-7</v>
      </c>
      <c r="C10430" s="133"/>
    </row>
    <row r="10431" spans="1:3">
      <c r="A10431" s="131" t="s">
        <v>2858</v>
      </c>
      <c r="B10431" s="132">
        <v>5.7021683187828E-2</v>
      </c>
      <c r="C10431" s="133"/>
    </row>
    <row r="10432" spans="1:3">
      <c r="A10432" s="131" t="s">
        <v>2859</v>
      </c>
      <c r="B10432" s="132">
        <v>13.52969123686</v>
      </c>
      <c r="C10432" s="133"/>
    </row>
    <row r="10433" spans="1:3">
      <c r="A10433" s="131" t="s">
        <v>2860</v>
      </c>
      <c r="B10433" s="132">
        <v>5.1146523703394207E-9</v>
      </c>
      <c r="C10433" s="133"/>
    </row>
    <row r="10434" spans="1:3">
      <c r="A10434" s="131" t="s">
        <v>2861</v>
      </c>
      <c r="B10434" s="132">
        <v>4.7267842773733998E-2</v>
      </c>
      <c r="C10434" s="133"/>
    </row>
    <row r="10435" spans="1:3">
      <c r="A10435" s="131" t="s">
        <v>2862</v>
      </c>
      <c r="B10435" s="132">
        <v>0.10183095568153</v>
      </c>
      <c r="C10435" s="133"/>
    </row>
    <row r="10436" spans="1:3">
      <c r="A10436" s="131" t="s">
        <v>2863</v>
      </c>
      <c r="B10436" s="132">
        <v>0.10795342601879</v>
      </c>
      <c r="C10436" s="133"/>
    </row>
    <row r="10437" spans="1:3">
      <c r="A10437" s="131" t="s">
        <v>2864</v>
      </c>
      <c r="B10437" s="132">
        <v>9.1054579881756997E-2</v>
      </c>
      <c r="C10437" s="133"/>
    </row>
    <row r="10438" spans="1:3">
      <c r="A10438" s="131" t="s">
        <v>2865</v>
      </c>
      <c r="B10438" s="132">
        <v>0.15754840911925999</v>
      </c>
      <c r="C10438" s="133"/>
    </row>
    <row r="10439" spans="1:3">
      <c r="A10439" s="131" t="s">
        <v>2866</v>
      </c>
      <c r="B10439" s="132">
        <v>8.0983555505848264E-5</v>
      </c>
      <c r="C10439" s="133"/>
    </row>
    <row r="10440" spans="1:3">
      <c r="A10440" s="131" t="s">
        <v>2867</v>
      </c>
      <c r="B10440" s="132">
        <v>1.0712415472777001E-3</v>
      </c>
      <c r="C10440" s="133"/>
    </row>
    <row r="10441" spans="1:3">
      <c r="A10441" s="131" t="s">
        <v>2868</v>
      </c>
      <c r="B10441" s="132">
        <v>1257.8791576732001</v>
      </c>
      <c r="C10441" s="133"/>
    </row>
    <row r="10442" spans="1:3">
      <c r="A10442" s="131" t="s">
        <v>2869</v>
      </c>
      <c r="B10442" s="132">
        <v>86.682665265647003</v>
      </c>
      <c r="C10442" s="133"/>
    </row>
    <row r="10443" spans="1:3">
      <c r="A10443" s="131" t="s">
        <v>2870</v>
      </c>
      <c r="B10443" s="132">
        <v>2.3080140030463999E-6</v>
      </c>
      <c r="C10443" s="133"/>
    </row>
    <row r="10444" spans="1:3">
      <c r="A10444" s="131" t="s">
        <v>2871</v>
      </c>
      <c r="B10444" s="132">
        <v>6.3756113154982003E-2</v>
      </c>
      <c r="C10444" s="133"/>
    </row>
    <row r="10445" spans="1:3">
      <c r="A10445" s="131" t="s">
        <v>2872</v>
      </c>
      <c r="B10445" s="132">
        <v>2.1267866829218001</v>
      </c>
      <c r="C10445" s="133"/>
    </row>
    <row r="10446" spans="1:3">
      <c r="A10446" s="131" t="s">
        <v>2873</v>
      </c>
      <c r="B10446" s="132">
        <v>8.2227376744645431E-8</v>
      </c>
      <c r="C10446" s="133"/>
    </row>
    <row r="10447" spans="1:3">
      <c r="A10447" s="131" t="s">
        <v>2874</v>
      </c>
      <c r="B10447" s="132">
        <v>0.11267451338661907</v>
      </c>
      <c r="C10447" s="133"/>
    </row>
    <row r="10448" spans="1:3">
      <c r="A10448" s="131" t="s">
        <v>2875</v>
      </c>
      <c r="B10448" s="132">
        <v>5.2023360414861997E-2</v>
      </c>
      <c r="C10448" s="133"/>
    </row>
    <row r="10449" spans="1:3">
      <c r="A10449" s="131" t="s">
        <v>2876</v>
      </c>
      <c r="B10449" s="132">
        <v>5.2229817099754001E-2</v>
      </c>
      <c r="C10449" s="133"/>
    </row>
    <row r="10450" spans="1:3">
      <c r="A10450" s="131" t="s">
        <v>2877</v>
      </c>
      <c r="B10450" s="132">
        <v>1.4006153349301E-4</v>
      </c>
      <c r="C10450" s="133"/>
    </row>
    <row r="10451" spans="1:3">
      <c r="A10451" s="131" t="s">
        <v>2878</v>
      </c>
      <c r="B10451" s="132">
        <v>0.17652611228358001</v>
      </c>
      <c r="C10451" s="133"/>
    </row>
    <row r="10452" spans="1:3">
      <c r="A10452" s="131" t="s">
        <v>2879</v>
      </c>
      <c r="B10452" s="132">
        <v>3.3689977173317044E-5</v>
      </c>
      <c r="C10452" s="133"/>
    </row>
    <row r="10453" spans="1:3">
      <c r="A10453" s="131" t="s">
        <v>2880</v>
      </c>
      <c r="B10453" s="132">
        <v>1.6069941497713E-2</v>
      </c>
      <c r="C10453" s="133"/>
    </row>
    <row r="10454" spans="1:3">
      <c r="A10454" s="131" t="s">
        <v>2881</v>
      </c>
      <c r="B10454" s="132">
        <v>5.3668020061770996</v>
      </c>
      <c r="C10454" s="133"/>
    </row>
    <row r="10455" spans="1:3">
      <c r="A10455" s="131" t="s">
        <v>2882</v>
      </c>
      <c r="B10455" s="132">
        <v>4.8114810502390001E-8</v>
      </c>
      <c r="C10455" s="133"/>
    </row>
    <row r="10456" spans="1:3">
      <c r="A10456" s="131" t="s">
        <v>2883</v>
      </c>
      <c r="B10456" s="132">
        <v>3.7488807247982999E-3</v>
      </c>
      <c r="C10456" s="133"/>
    </row>
    <row r="10457" spans="1:3">
      <c r="A10457" s="131" t="s">
        <v>2884</v>
      </c>
      <c r="B10457" s="132">
        <v>1.9209114258279001</v>
      </c>
      <c r="C10457" s="133"/>
    </row>
    <row r="10458" spans="1:3">
      <c r="A10458" s="131" t="s">
        <v>2885</v>
      </c>
      <c r="B10458" s="132">
        <v>2.383426618074E-7</v>
      </c>
      <c r="C10458" s="133"/>
    </row>
    <row r="10459" spans="1:3">
      <c r="A10459" s="131" t="s">
        <v>2886</v>
      </c>
      <c r="B10459" s="132">
        <v>0.23031386944067</v>
      </c>
      <c r="C10459" s="133"/>
    </row>
    <row r="10460" spans="1:3">
      <c r="A10460" s="131" t="s">
        <v>2887</v>
      </c>
      <c r="B10460" s="132">
        <v>1.3312185640471942E-8</v>
      </c>
      <c r="C10460" s="133"/>
    </row>
    <row r="10461" spans="1:3">
      <c r="A10461" s="131" t="s">
        <v>2888</v>
      </c>
      <c r="B10461" s="132">
        <v>1.9351074464579998E-8</v>
      </c>
      <c r="C10461" s="133"/>
    </row>
    <row r="10462" spans="1:3">
      <c r="A10462" s="131" t="s">
        <v>2889</v>
      </c>
      <c r="B10462" s="132">
        <v>2.1871837367541001E-3</v>
      </c>
      <c r="C10462" s="133"/>
    </row>
    <row r="10463" spans="1:3">
      <c r="A10463" s="131" t="s">
        <v>2890</v>
      </c>
      <c r="B10463" s="132">
        <v>1.3158054112298E-2</v>
      </c>
      <c r="C10463" s="133"/>
    </row>
    <row r="10464" spans="1:3">
      <c r="A10464" s="131" t="s">
        <v>2891</v>
      </c>
      <c r="B10464" s="132">
        <v>1.8920809136770407E-8</v>
      </c>
      <c r="C10464" s="133"/>
    </row>
    <row r="10465" spans="1:3">
      <c r="A10465" s="131" t="s">
        <v>2892</v>
      </c>
      <c r="B10465" s="132">
        <v>8.2103861173801005E-3</v>
      </c>
      <c r="C10465" s="133"/>
    </row>
    <row r="10466" spans="1:3">
      <c r="A10466" s="131" t="s">
        <v>2893</v>
      </c>
      <c r="B10466" s="132">
        <v>3.2002134143615999</v>
      </c>
      <c r="C10466" s="133"/>
    </row>
    <row r="10467" spans="1:3">
      <c r="A10467" s="131" t="s">
        <v>2894</v>
      </c>
      <c r="B10467" s="132">
        <v>69.556462928586996</v>
      </c>
      <c r="C10467" s="133"/>
    </row>
    <row r="10468" spans="1:3">
      <c r="A10468" s="131" t="s">
        <v>2895</v>
      </c>
      <c r="B10468" s="132">
        <v>7.8948200664641994E-6</v>
      </c>
      <c r="C10468" s="133"/>
    </row>
    <row r="10469" spans="1:3">
      <c r="A10469" s="131" t="s">
        <v>2896</v>
      </c>
      <c r="B10469" s="132">
        <v>0.5052364789948971</v>
      </c>
      <c r="C10469" s="133"/>
    </row>
    <row r="10470" spans="1:3">
      <c r="A10470" s="131" t="s">
        <v>2897</v>
      </c>
      <c r="B10470" s="132">
        <v>1.022614249797E-8</v>
      </c>
      <c r="C10470" s="133"/>
    </row>
    <row r="10471" spans="1:3">
      <c r="A10471" s="131" t="s">
        <v>2898</v>
      </c>
      <c r="B10471" s="132">
        <v>4.4015234106764001E-3</v>
      </c>
      <c r="C10471" s="133"/>
    </row>
    <row r="10472" spans="1:3">
      <c r="A10472" s="131" t="s">
        <v>2899</v>
      </c>
      <c r="B10472" s="132">
        <v>499.61</v>
      </c>
      <c r="C10472" s="133"/>
    </row>
    <row r="10473" spans="1:3">
      <c r="A10473" s="131" t="s">
        <v>2900</v>
      </c>
      <c r="B10473" s="132">
        <v>1.069394055472E-8</v>
      </c>
      <c r="C10473" s="133"/>
    </row>
    <row r="10474" spans="1:3">
      <c r="A10474" s="131" t="s">
        <v>2901</v>
      </c>
      <c r="B10474" s="132">
        <v>2.4898294345081998E-7</v>
      </c>
      <c r="C10474" s="133"/>
    </row>
    <row r="10475" spans="1:3">
      <c r="A10475" s="131" t="s">
        <v>2902</v>
      </c>
      <c r="B10475" s="132">
        <v>0.24660572494464</v>
      </c>
      <c r="C10475" s="133"/>
    </row>
    <row r="10476" spans="1:3">
      <c r="A10476" s="131" t="s">
        <v>2903</v>
      </c>
      <c r="B10476" s="132">
        <v>1.2692156309549999E-8</v>
      </c>
      <c r="C10476" s="133"/>
    </row>
    <row r="10477" spans="1:3">
      <c r="A10477" s="131" t="s">
        <v>2904</v>
      </c>
      <c r="B10477" s="132">
        <v>2.0064417383509E-2</v>
      </c>
      <c r="C10477" s="133"/>
    </row>
    <row r="10478" spans="1:3">
      <c r="A10478" s="131" t="s">
        <v>2905</v>
      </c>
      <c r="B10478" s="132">
        <v>8.2478613390056001E-4</v>
      </c>
      <c r="C10478" s="133"/>
    </row>
    <row r="10479" spans="1:3">
      <c r="A10479" s="131" t="s">
        <v>2906</v>
      </c>
      <c r="B10479" s="132">
        <v>1.3797392361530001E-8</v>
      </c>
      <c r="C10479" s="133"/>
    </row>
    <row r="10480" spans="1:3">
      <c r="A10480" s="131" t="s">
        <v>2907</v>
      </c>
      <c r="B10480" s="132">
        <v>7.1467894018949998E-2</v>
      </c>
      <c r="C10480" s="133"/>
    </row>
    <row r="10481" spans="1:3">
      <c r="A10481" s="131" t="s">
        <v>2908</v>
      </c>
      <c r="B10481" s="132">
        <v>2.303462865104E-8</v>
      </c>
      <c r="C10481" s="133"/>
    </row>
    <row r="10482" spans="1:3">
      <c r="A10482" s="131" t="s">
        <v>2909</v>
      </c>
      <c r="B10482" s="132">
        <v>7.4555407958401002E-2</v>
      </c>
      <c r="C10482" s="133"/>
    </row>
    <row r="10483" spans="1:3">
      <c r="A10483" s="131" t="s">
        <v>2910</v>
      </c>
      <c r="B10483" s="132">
        <v>8.2560002199666999E-2</v>
      </c>
      <c r="C10483" s="133"/>
    </row>
    <row r="10484" spans="1:3">
      <c r="A10484" s="131" t="s">
        <v>2911</v>
      </c>
      <c r="B10484" s="132">
        <v>15.345265830431</v>
      </c>
      <c r="C10484" s="133"/>
    </row>
    <row r="10485" spans="1:3">
      <c r="A10485" s="131" t="s">
        <v>2912</v>
      </c>
      <c r="B10485" s="132">
        <v>8.6281479023485005E-5</v>
      </c>
      <c r="C10485" s="133"/>
    </row>
    <row r="10486" spans="1:3">
      <c r="A10486" s="131" t="s">
        <v>2913</v>
      </c>
      <c r="B10486" s="132">
        <v>0.20447663929987497</v>
      </c>
      <c r="C10486" s="133"/>
    </row>
    <row r="10487" spans="1:3">
      <c r="A10487" s="131" t="s">
        <v>2914</v>
      </c>
      <c r="B10487" s="132">
        <v>8.0043320649737001E-4</v>
      </c>
      <c r="C10487" s="133"/>
    </row>
    <row r="10488" spans="1:3">
      <c r="A10488" s="131" t="s">
        <v>2915</v>
      </c>
      <c r="B10488" s="132">
        <v>2.4210849035874999E-5</v>
      </c>
      <c r="C10488" s="133"/>
    </row>
    <row r="10489" spans="1:3">
      <c r="A10489" s="131" t="s">
        <v>2916</v>
      </c>
      <c r="B10489" s="132">
        <v>1.0196746180352999E-3</v>
      </c>
      <c r="C10489" s="133"/>
    </row>
    <row r="10490" spans="1:3">
      <c r="A10490" s="131" t="s">
        <v>2917</v>
      </c>
      <c r="B10490" s="132">
        <v>2.4830942202449E-7</v>
      </c>
      <c r="C10490" s="133"/>
    </row>
    <row r="10491" spans="1:3">
      <c r="A10491" s="131" t="s">
        <v>2918</v>
      </c>
      <c r="B10491" s="132">
        <v>4.7668855943167996</v>
      </c>
      <c r="C10491" s="133"/>
    </row>
    <row r="10492" spans="1:3">
      <c r="A10492" s="131" t="s">
        <v>2919</v>
      </c>
      <c r="B10492" s="132">
        <v>3.2448928722300001E-9</v>
      </c>
      <c r="C10492" s="133"/>
    </row>
    <row r="10493" spans="1:3">
      <c r="A10493" s="131" t="s">
        <v>2920</v>
      </c>
      <c r="B10493" s="132">
        <v>1.2358237439701605</v>
      </c>
      <c r="C10493" s="133"/>
    </row>
    <row r="10494" spans="1:3">
      <c r="A10494" s="131" t="s">
        <v>2921</v>
      </c>
      <c r="B10494" s="132">
        <v>1.5442927973079E-7</v>
      </c>
      <c r="C10494" s="133"/>
    </row>
    <row r="10495" spans="1:3">
      <c r="A10495" s="131" t="s">
        <v>2922</v>
      </c>
      <c r="B10495" s="132">
        <v>1.2322050692921999E-3</v>
      </c>
      <c r="C10495" s="133"/>
    </row>
    <row r="10496" spans="1:3">
      <c r="A10496" s="131" t="s">
        <v>2923</v>
      </c>
      <c r="B10496" s="132">
        <v>2.2083679314599998E-9</v>
      </c>
      <c r="C10496" s="133"/>
    </row>
    <row r="10497" spans="1:3">
      <c r="A10497" s="131" t="s">
        <v>2924</v>
      </c>
      <c r="B10497" s="132">
        <v>3.1218099717107456E-2</v>
      </c>
      <c r="C10497" s="133"/>
    </row>
    <row r="10498" spans="1:3">
      <c r="A10498" s="131" t="s">
        <v>2925</v>
      </c>
      <c r="B10498" s="132">
        <v>7.9905659067143431E-7</v>
      </c>
      <c r="C10498" s="133"/>
    </row>
    <row r="10499" spans="1:3">
      <c r="A10499" s="131" t="s">
        <v>2926</v>
      </c>
      <c r="B10499" s="132">
        <v>1.9811452518544999E-5</v>
      </c>
      <c r="C10499" s="133"/>
    </row>
    <row r="10500" spans="1:3">
      <c r="A10500" s="131" t="s">
        <v>2927</v>
      </c>
      <c r="B10500" s="132">
        <v>1.070753012126027E-3</v>
      </c>
      <c r="C10500" s="133"/>
    </row>
    <row r="10501" spans="1:3">
      <c r="A10501" s="131" t="s">
        <v>2928</v>
      </c>
      <c r="B10501" s="132">
        <v>0.16503347860227</v>
      </c>
      <c r="C10501" s="133"/>
    </row>
    <row r="10502" spans="1:3">
      <c r="A10502" s="131" t="s">
        <v>2929</v>
      </c>
      <c r="B10502" s="132">
        <v>1.3133158470505999E-2</v>
      </c>
      <c r="C10502" s="133"/>
    </row>
    <row r="10503" spans="1:3">
      <c r="A10503" s="131" t="s">
        <v>2930</v>
      </c>
      <c r="B10503" s="132">
        <v>0.16762068138837999</v>
      </c>
      <c r="C10503" s="133"/>
    </row>
    <row r="10504" spans="1:3">
      <c r="A10504" s="131" t="s">
        <v>2931</v>
      </c>
      <c r="B10504" s="132">
        <v>30.932977109079999</v>
      </c>
      <c r="C10504" s="133"/>
    </row>
    <row r="10505" spans="1:3">
      <c r="A10505" s="131" t="s">
        <v>2932</v>
      </c>
      <c r="B10505" s="132">
        <v>8.9855802242400005E-9</v>
      </c>
      <c r="C10505" s="133"/>
    </row>
    <row r="10506" spans="1:3">
      <c r="A10506" s="131" t="s">
        <v>2933</v>
      </c>
      <c r="B10506" s="132">
        <v>5.3285639991786003E-2</v>
      </c>
      <c r="C10506" s="133"/>
    </row>
    <row r="10507" spans="1:3">
      <c r="A10507" s="131" t="s">
        <v>2934</v>
      </c>
      <c r="B10507" s="132">
        <v>3.8518334077153001E-4</v>
      </c>
      <c r="C10507" s="133"/>
    </row>
    <row r="10508" spans="1:3">
      <c r="A10508" s="131" t="s">
        <v>975</v>
      </c>
      <c r="B10508" s="132">
        <v>2.2331135442560001E-8</v>
      </c>
      <c r="C10508" s="133"/>
    </row>
    <row r="10509" spans="1:3">
      <c r="A10509" s="131" t="s">
        <v>976</v>
      </c>
      <c r="B10509" s="132">
        <v>4.097274784649E-8</v>
      </c>
      <c r="C10509" s="133"/>
    </row>
    <row r="10510" spans="1:3">
      <c r="A10510" s="131" t="s">
        <v>977</v>
      </c>
      <c r="B10510" s="132">
        <v>4.7157824220232997E-4</v>
      </c>
      <c r="C10510" s="133"/>
    </row>
    <row r="10511" spans="1:3">
      <c r="A10511" s="131" t="s">
        <v>978</v>
      </c>
      <c r="B10511" s="132">
        <v>76.248258192039003</v>
      </c>
      <c r="C10511" s="133"/>
    </row>
    <row r="10512" spans="1:3">
      <c r="A10512" s="131" t="s">
        <v>979</v>
      </c>
      <c r="B10512" s="132">
        <v>2.9481765480498445E-3</v>
      </c>
      <c r="C10512" s="133"/>
    </row>
    <row r="10513" spans="1:3">
      <c r="A10513" s="131" t="s">
        <v>980</v>
      </c>
      <c r="B10513" s="132">
        <v>6.1619801000000001</v>
      </c>
      <c r="C10513" s="133"/>
    </row>
    <row r="10514" spans="1:3">
      <c r="A10514" s="131" t="s">
        <v>981</v>
      </c>
      <c r="B10514" s="132">
        <v>0.11966475436594</v>
      </c>
      <c r="C10514" s="133"/>
    </row>
    <row r="10515" spans="1:3">
      <c r="A10515" s="131" t="s">
        <v>982</v>
      </c>
      <c r="B10515" s="132">
        <v>7.7331853162726998E-5</v>
      </c>
      <c r="C10515" s="133"/>
    </row>
    <row r="10516" spans="1:3">
      <c r="A10516" s="131" t="s">
        <v>983</v>
      </c>
      <c r="B10516" s="132">
        <v>2.51817203232E-9</v>
      </c>
      <c r="C10516" s="133"/>
    </row>
    <row r="10517" spans="1:3">
      <c r="A10517" s="131" t="s">
        <v>984</v>
      </c>
      <c r="B10517" s="132">
        <v>0.11322858038556</v>
      </c>
      <c r="C10517" s="133"/>
    </row>
    <row r="10518" spans="1:3">
      <c r="A10518" s="131" t="s">
        <v>985</v>
      </c>
      <c r="B10518" s="132">
        <v>0.39983298181123</v>
      </c>
      <c r="C10518" s="133"/>
    </row>
    <row r="10519" spans="1:3">
      <c r="A10519" s="131" t="s">
        <v>986</v>
      </c>
      <c r="B10519" s="132">
        <v>3.3477216054587998E-2</v>
      </c>
      <c r="C10519" s="133"/>
    </row>
    <row r="10520" spans="1:3">
      <c r="A10520" s="131" t="s">
        <v>987</v>
      </c>
      <c r="B10520" s="132">
        <v>1.9496537127281001E-7</v>
      </c>
      <c r="C10520" s="133"/>
    </row>
    <row r="10521" spans="1:3">
      <c r="A10521" s="131" t="s">
        <v>988</v>
      </c>
      <c r="B10521" s="132">
        <v>6.5539816526227999E-3</v>
      </c>
      <c r="C10521" s="133"/>
    </row>
    <row r="10522" spans="1:3">
      <c r="A10522" s="131" t="s">
        <v>989</v>
      </c>
      <c r="B10522" s="132">
        <v>2564.8738509105497</v>
      </c>
      <c r="C10522" s="133"/>
    </row>
    <row r="10523" spans="1:3">
      <c r="A10523" s="131" t="s">
        <v>990</v>
      </c>
      <c r="B10523" s="132">
        <v>3.4556749277194002E-2</v>
      </c>
      <c r="C10523" s="133"/>
    </row>
    <row r="10524" spans="1:3">
      <c r="A10524" s="131" t="s">
        <v>991</v>
      </c>
      <c r="B10524" s="132">
        <v>2.4129616311482999E-2</v>
      </c>
      <c r="C10524" s="133"/>
    </row>
    <row r="10525" spans="1:3">
      <c r="A10525" s="131" t="s">
        <v>992</v>
      </c>
      <c r="B10525" s="132">
        <v>0.20432767680008357</v>
      </c>
      <c r="C10525" s="133"/>
    </row>
    <row r="10526" spans="1:3">
      <c r="A10526" s="131" t="s">
        <v>993</v>
      </c>
      <c r="B10526" s="132">
        <v>2.3210015669900001E-9</v>
      </c>
      <c r="C10526" s="133"/>
    </row>
    <row r="10527" spans="1:3">
      <c r="A10527" s="131" t="s">
        <v>994</v>
      </c>
      <c r="B10527" s="132">
        <v>1.0605739986090001E-8</v>
      </c>
      <c r="C10527" s="133"/>
    </row>
    <row r="10528" spans="1:3">
      <c r="A10528" s="131" t="s">
        <v>995</v>
      </c>
      <c r="B10528" s="132">
        <v>0.42790712971806821</v>
      </c>
      <c r="C10528" s="133"/>
    </row>
    <row r="10529" spans="1:3">
      <c r="A10529" s="131" t="s">
        <v>996</v>
      </c>
      <c r="B10529" s="132">
        <v>1.6603299455452001E-2</v>
      </c>
      <c r="C10529" s="133"/>
    </row>
    <row r="10530" spans="1:3">
      <c r="A10530" s="131" t="s">
        <v>997</v>
      </c>
      <c r="B10530" s="132">
        <v>2.144452067821E-8</v>
      </c>
      <c r="C10530" s="133"/>
    </row>
    <row r="10531" spans="1:3">
      <c r="A10531" s="131" t="s">
        <v>998</v>
      </c>
      <c r="B10531" s="132">
        <v>1.2386889239666999E-7</v>
      </c>
      <c r="C10531" s="133"/>
    </row>
    <row r="10532" spans="1:3">
      <c r="A10532" s="131" t="s">
        <v>999</v>
      </c>
      <c r="B10532" s="132">
        <v>1.3979107543069999E-8</v>
      </c>
      <c r="C10532" s="133"/>
    </row>
    <row r="10533" spans="1:3">
      <c r="A10533" s="131" t="s">
        <v>1000</v>
      </c>
      <c r="B10533" s="132">
        <v>6.1223134881967E-3</v>
      </c>
      <c r="C10533" s="133"/>
    </row>
    <row r="10534" spans="1:3">
      <c r="A10534" s="131" t="s">
        <v>1001</v>
      </c>
      <c r="B10534" s="132">
        <v>6.7250905575395002E-3</v>
      </c>
      <c r="C10534" s="133"/>
    </row>
    <row r="10535" spans="1:3">
      <c r="A10535" s="131" t="s">
        <v>1002</v>
      </c>
      <c r="B10535" s="132">
        <v>1.32471603E-2</v>
      </c>
      <c r="C10535" s="133"/>
    </row>
    <row r="10536" spans="1:3">
      <c r="A10536" s="131" t="s">
        <v>1003</v>
      </c>
      <c r="B10536" s="132">
        <v>7.5525439846038003E-2</v>
      </c>
      <c r="C10536" s="133"/>
    </row>
    <row r="10537" spans="1:3">
      <c r="A10537" s="131" t="s">
        <v>1004</v>
      </c>
      <c r="B10537" s="132">
        <v>9.5069222963406995E-6</v>
      </c>
      <c r="C10537" s="133"/>
    </row>
    <row r="10538" spans="1:3">
      <c r="A10538" s="131" t="s">
        <v>1005</v>
      </c>
      <c r="B10538" s="132">
        <v>1.6327190317983E-5</v>
      </c>
      <c r="C10538" s="133"/>
    </row>
    <row r="10539" spans="1:3">
      <c r="A10539" s="131" t="s">
        <v>1006</v>
      </c>
      <c r="B10539" s="132">
        <v>0.62895075</v>
      </c>
      <c r="C10539" s="133"/>
    </row>
    <row r="10540" spans="1:3">
      <c r="A10540" s="131" t="s">
        <v>1007</v>
      </c>
      <c r="B10540" s="132">
        <v>1.1294312651979001E-3</v>
      </c>
      <c r="C10540" s="133"/>
    </row>
    <row r="10541" spans="1:3">
      <c r="A10541" s="131" t="s">
        <v>1008</v>
      </c>
      <c r="B10541" s="132">
        <v>0.68779991178690003</v>
      </c>
      <c r="C10541" s="133"/>
    </row>
    <row r="10542" spans="1:3">
      <c r="A10542" s="131" t="s">
        <v>1009</v>
      </c>
      <c r="B10542" s="132">
        <v>1.6928121339748E-6</v>
      </c>
      <c r="C10542" s="133"/>
    </row>
    <row r="10543" spans="1:3">
      <c r="A10543" s="131" t="s">
        <v>1010</v>
      </c>
      <c r="B10543" s="132">
        <v>2.4928450253105E-7</v>
      </c>
      <c r="C10543" s="133"/>
    </row>
    <row r="10544" spans="1:3">
      <c r="A10544" s="131" t="s">
        <v>1011</v>
      </c>
      <c r="B10544" s="132">
        <v>1.0152947622507</v>
      </c>
      <c r="C10544" s="133"/>
    </row>
    <row r="10545" spans="1:3">
      <c r="A10545" s="131" t="s">
        <v>1012</v>
      </c>
      <c r="B10545" s="132">
        <v>2.0595573029270999E-7</v>
      </c>
      <c r="C10545" s="133"/>
    </row>
    <row r="10546" spans="1:3">
      <c r="A10546" s="131" t="s">
        <v>1013</v>
      </c>
      <c r="B10546" s="132">
        <v>56.751799372901999</v>
      </c>
      <c r="C10546" s="133"/>
    </row>
    <row r="10547" spans="1:3">
      <c r="A10547" s="131" t="s">
        <v>1014</v>
      </c>
      <c r="B10547" s="132">
        <v>7.1134526947998027E-6</v>
      </c>
      <c r="C10547" s="133"/>
    </row>
    <row r="10548" spans="1:3">
      <c r="A10548" s="131" t="s">
        <v>1015</v>
      </c>
      <c r="B10548" s="132">
        <v>6.1087435100294E-4</v>
      </c>
      <c r="C10548" s="133"/>
    </row>
    <row r="10549" spans="1:3">
      <c r="A10549" s="131" t="s">
        <v>1016</v>
      </c>
      <c r="B10549" s="132">
        <v>1.0038418291773E-4</v>
      </c>
      <c r="C10549" s="133"/>
    </row>
    <row r="10550" spans="1:3">
      <c r="A10550" s="131" t="s">
        <v>1017</v>
      </c>
      <c r="B10550" s="132">
        <v>7.6912090407000004E-10</v>
      </c>
      <c r="C10550" s="133"/>
    </row>
    <row r="10551" spans="1:3">
      <c r="A10551" s="131" t="s">
        <v>1018</v>
      </c>
      <c r="B10551" s="132">
        <v>1.6634768435445001E-2</v>
      </c>
      <c r="C10551" s="133"/>
    </row>
    <row r="10552" spans="1:3">
      <c r="A10552" s="131" t="s">
        <v>1019</v>
      </c>
      <c r="B10552" s="132">
        <v>1.0205523382841E-3</v>
      </c>
      <c r="C10552" s="133"/>
    </row>
    <row r="10553" spans="1:3">
      <c r="A10553" s="131" t="s">
        <v>1020</v>
      </c>
      <c r="B10553" s="132">
        <v>1.75494131879E-9</v>
      </c>
      <c r="C10553" s="133"/>
    </row>
    <row r="10554" spans="1:3">
      <c r="A10554" s="131" t="s">
        <v>1021</v>
      </c>
      <c r="B10554" s="132">
        <v>1.0603221389862E-4</v>
      </c>
      <c r="C10554" s="133"/>
    </row>
    <row r="10555" spans="1:3">
      <c r="A10555" s="131" t="s">
        <v>1022</v>
      </c>
      <c r="B10555" s="132">
        <v>4.8661973332174999E-4</v>
      </c>
      <c r="C10555" s="133"/>
    </row>
    <row r="10556" spans="1:3">
      <c r="A10556" s="131" t="s">
        <v>1023</v>
      </c>
      <c r="B10556" s="132">
        <v>1.4323372669013E-3</v>
      </c>
      <c r="C10556" s="133"/>
    </row>
    <row r="10557" spans="1:3">
      <c r="A10557" s="131" t="s">
        <v>1024</v>
      </c>
      <c r="B10557" s="132">
        <v>2.0329532607798999E-2</v>
      </c>
      <c r="C10557" s="133"/>
    </row>
    <row r="10558" spans="1:3">
      <c r="A10558" s="131" t="s">
        <v>1025</v>
      </c>
      <c r="B10558" s="132">
        <v>20.330138967286</v>
      </c>
      <c r="C10558" s="133"/>
    </row>
    <row r="10559" spans="1:3">
      <c r="A10559" s="131" t="s">
        <v>1026</v>
      </c>
      <c r="B10559" s="132">
        <v>1.0005666666666666E-5</v>
      </c>
      <c r="C10559" s="133"/>
    </row>
    <row r="10560" spans="1:3">
      <c r="A10560" s="131" t="s">
        <v>1027</v>
      </c>
      <c r="B10560" s="132">
        <v>1.6676122298878E-2</v>
      </c>
      <c r="C10560" s="133"/>
    </row>
    <row r="10561" spans="1:3">
      <c r="A10561" s="131" t="s">
        <v>1028</v>
      </c>
      <c r="B10561" s="132">
        <v>8.9912883785124006E-2</v>
      </c>
      <c r="C10561" s="133"/>
    </row>
    <row r="10562" spans="1:3">
      <c r="A10562" s="131" t="s">
        <v>1029</v>
      </c>
      <c r="B10562" s="132">
        <v>6.9232608168885998E-3</v>
      </c>
      <c r="C10562" s="133"/>
    </row>
    <row r="10563" spans="1:3">
      <c r="A10563" s="131" t="s">
        <v>1030</v>
      </c>
      <c r="B10563" s="132">
        <v>0.79470158710625949</v>
      </c>
      <c r="C10563" s="133"/>
    </row>
    <row r="10564" spans="1:3">
      <c r="A10564" s="131" t="s">
        <v>1031</v>
      </c>
      <c r="B10564" s="132">
        <v>0.11096005325070001</v>
      </c>
      <c r="C10564" s="133"/>
    </row>
    <row r="10565" spans="1:3">
      <c r="A10565" s="131" t="s">
        <v>1032</v>
      </c>
      <c r="B10565" s="132">
        <v>1.6606130993525846E-9</v>
      </c>
      <c r="C10565" s="133"/>
    </row>
    <row r="10566" spans="1:3">
      <c r="A10566" s="131" t="s">
        <v>1033</v>
      </c>
      <c r="B10566" s="132">
        <v>0.72795708266754999</v>
      </c>
      <c r="C10566" s="133"/>
    </row>
    <row r="10567" spans="1:3">
      <c r="A10567" s="131" t="s">
        <v>1034</v>
      </c>
      <c r="B10567" s="132">
        <v>4.3881094911416998E-7</v>
      </c>
      <c r="C10567" s="133"/>
    </row>
    <row r="10568" spans="1:3">
      <c r="A10568" s="131" t="s">
        <v>1035</v>
      </c>
      <c r="B10568" s="132">
        <v>1.7179147613224002E-2</v>
      </c>
      <c r="C10568" s="133"/>
    </row>
    <row r="10569" spans="1:3">
      <c r="A10569" s="131" t="s">
        <v>1036</v>
      </c>
      <c r="B10569" s="132">
        <v>4.7912309295315E-3</v>
      </c>
      <c r="C10569" s="133"/>
    </row>
    <row r="10570" spans="1:3">
      <c r="A10570" s="131" t="s">
        <v>1037</v>
      </c>
      <c r="B10570" s="132">
        <v>3.2893802621008998E-6</v>
      </c>
      <c r="C10570" s="133"/>
    </row>
    <row r="10571" spans="1:3">
      <c r="A10571" s="131" t="s">
        <v>1038</v>
      </c>
      <c r="B10571" s="132">
        <v>273.27075524172</v>
      </c>
      <c r="C10571" s="133"/>
    </row>
    <row r="10572" spans="1:3">
      <c r="A10572" s="131" t="s">
        <v>1039</v>
      </c>
      <c r="B10572" s="132">
        <v>0.13458574807526</v>
      </c>
      <c r="C10572" s="133"/>
    </row>
    <row r="10573" spans="1:3">
      <c r="A10573" s="131" t="s">
        <v>1040</v>
      </c>
      <c r="B10573" s="132">
        <v>2.1377850660116999E-7</v>
      </c>
      <c r="C10573" s="133"/>
    </row>
    <row r="10574" spans="1:3">
      <c r="A10574" s="131" t="s">
        <v>1041</v>
      </c>
      <c r="B10574" s="132">
        <v>2.5240313603123999E-6</v>
      </c>
      <c r="C10574" s="133"/>
    </row>
    <row r="10575" spans="1:3">
      <c r="A10575" s="131" t="s">
        <v>1042</v>
      </c>
      <c r="B10575" s="132">
        <v>1.0465249393283334E-9</v>
      </c>
      <c r="C10575" s="133"/>
    </row>
    <row r="10576" spans="1:3">
      <c r="A10576" s="131" t="s">
        <v>1043</v>
      </c>
      <c r="B10576" s="132">
        <v>1.0830310707368001</v>
      </c>
      <c r="C10576" s="133"/>
    </row>
    <row r="10577" spans="1:3">
      <c r="A10577" s="131" t="s">
        <v>1044</v>
      </c>
      <c r="B10577" s="132">
        <v>1.3876694792755999</v>
      </c>
      <c r="C10577" s="133"/>
    </row>
    <row r="10578" spans="1:3">
      <c r="A10578" s="131" t="s">
        <v>1045</v>
      </c>
      <c r="B10578" s="132">
        <v>1.9377146868900002E-9</v>
      </c>
      <c r="C10578" s="133"/>
    </row>
    <row r="10579" spans="1:3">
      <c r="A10579" s="131" t="s">
        <v>1046</v>
      </c>
      <c r="B10579" s="132">
        <v>1.1890974815596576E-9</v>
      </c>
      <c r="C10579" s="133"/>
    </row>
    <row r="10580" spans="1:3">
      <c r="A10580" s="131" t="s">
        <v>1047</v>
      </c>
      <c r="B10580" s="132">
        <v>1.1274508503261E-3</v>
      </c>
      <c r="C10580" s="133"/>
    </row>
    <row r="10581" spans="1:3">
      <c r="A10581" s="131" t="s">
        <v>1048</v>
      </c>
      <c r="B10581" s="132">
        <v>4.4285570999999996E-2</v>
      </c>
      <c r="C10581" s="133"/>
    </row>
    <row r="10582" spans="1:3">
      <c r="A10582" s="131" t="s">
        <v>1049</v>
      </c>
      <c r="B10582" s="132">
        <v>0.70068188538802001</v>
      </c>
      <c r="C10582" s="133"/>
    </row>
    <row r="10583" spans="1:3">
      <c r="A10583" s="131" t="s">
        <v>1050</v>
      </c>
      <c r="B10583" s="132">
        <v>3.1750060928249999</v>
      </c>
      <c r="C10583" s="133"/>
    </row>
    <row r="10584" spans="1:3">
      <c r="A10584" s="131" t="s">
        <v>1051</v>
      </c>
      <c r="B10584" s="132">
        <v>1.6620185946445001</v>
      </c>
      <c r="C10584" s="133"/>
    </row>
    <row r="10585" spans="1:3">
      <c r="A10585" s="131" t="s">
        <v>1052</v>
      </c>
      <c r="B10585" s="132">
        <v>3.1408055843484998E-6</v>
      </c>
      <c r="C10585" s="133"/>
    </row>
    <row r="10586" spans="1:3">
      <c r="A10586" s="131" t="s">
        <v>1053</v>
      </c>
      <c r="B10586" s="132">
        <v>4.7201037074000002E-10</v>
      </c>
      <c r="C10586" s="133"/>
    </row>
    <row r="10587" spans="1:3">
      <c r="A10587" s="131" t="s">
        <v>1054</v>
      </c>
      <c r="B10587" s="132">
        <v>320.39180109201999</v>
      </c>
      <c r="C10587" s="133"/>
    </row>
    <row r="10588" spans="1:3">
      <c r="A10588" s="131" t="s">
        <v>1055</v>
      </c>
      <c r="B10588" s="132">
        <v>1.1510454237200001E-9</v>
      </c>
      <c r="C10588" s="133"/>
    </row>
    <row r="10589" spans="1:3">
      <c r="A10589" s="131" t="s">
        <v>1056</v>
      </c>
      <c r="B10589" s="132">
        <v>1.1157170450571076E-8</v>
      </c>
      <c r="C10589" s="133"/>
    </row>
    <row r="10590" spans="1:3">
      <c r="A10590" s="131" t="s">
        <v>1057</v>
      </c>
      <c r="B10590" s="132">
        <v>536.88975172693995</v>
      </c>
      <c r="C10590" s="133"/>
    </row>
    <row r="10591" spans="1:3">
      <c r="A10591" s="131" t="s">
        <v>1058</v>
      </c>
      <c r="B10591" s="132">
        <v>2.4079159988255001</v>
      </c>
      <c r="C10591" s="133"/>
    </row>
    <row r="10592" spans="1:3">
      <c r="A10592" s="131" t="s">
        <v>1059</v>
      </c>
      <c r="B10592" s="132">
        <v>1.1127024661843E-2</v>
      </c>
      <c r="C10592" s="133"/>
    </row>
    <row r="10593" spans="1:3">
      <c r="A10593" s="131" t="s">
        <v>1060</v>
      </c>
      <c r="B10593" s="132">
        <v>1.7009205638068999E-4</v>
      </c>
      <c r="C10593" s="133"/>
    </row>
    <row r="10594" spans="1:3">
      <c r="A10594" s="131" t="s">
        <v>1061</v>
      </c>
      <c r="B10594" s="132">
        <v>1.43536367781E-9</v>
      </c>
      <c r="C10594" s="133"/>
    </row>
    <row r="10595" spans="1:3">
      <c r="A10595" s="131" t="s">
        <v>1062</v>
      </c>
      <c r="B10595" s="132">
        <v>21.650955313722001</v>
      </c>
      <c r="C10595" s="133"/>
    </row>
    <row r="10596" spans="1:3">
      <c r="A10596" s="131" t="s">
        <v>1063</v>
      </c>
      <c r="B10596" s="132">
        <v>1.0904252300599999E-9</v>
      </c>
      <c r="C10596" s="133"/>
    </row>
    <row r="10597" spans="1:3">
      <c r="A10597" s="131" t="s">
        <v>1064</v>
      </c>
      <c r="B10597" s="132">
        <v>3.7681702091000001E-10</v>
      </c>
      <c r="C10597" s="133"/>
    </row>
    <row r="10598" spans="1:3">
      <c r="A10598" s="131" t="s">
        <v>1065</v>
      </c>
      <c r="B10598" s="132">
        <v>0.38110852376275001</v>
      </c>
      <c r="C10598" s="133"/>
    </row>
    <row r="10599" spans="1:3">
      <c r="A10599" s="131" t="s">
        <v>1066</v>
      </c>
      <c r="B10599" s="132">
        <v>9.3363019519179994E-8</v>
      </c>
      <c r="C10599" s="133"/>
    </row>
    <row r="10600" spans="1:3">
      <c r="A10600" s="131" t="s">
        <v>1067</v>
      </c>
      <c r="B10600" s="132">
        <v>130.76</v>
      </c>
      <c r="C10600" s="133"/>
    </row>
    <row r="10601" spans="1:3">
      <c r="A10601" s="131" t="s">
        <v>1068</v>
      </c>
      <c r="B10601" s="132">
        <v>5.4253868799000005E-10</v>
      </c>
      <c r="C10601" s="133"/>
    </row>
    <row r="10602" spans="1:3">
      <c r="A10602" s="131" t="s">
        <v>1069</v>
      </c>
      <c r="B10602" s="132">
        <v>0.72830989328003282</v>
      </c>
      <c r="C10602" s="133"/>
    </row>
    <row r="10603" spans="1:3">
      <c r="A10603" s="131" t="s">
        <v>1070</v>
      </c>
      <c r="B10603" s="132">
        <v>1.0201597031605E-7</v>
      </c>
      <c r="C10603" s="133"/>
    </row>
    <row r="10604" spans="1:3">
      <c r="A10604" s="131" t="s">
        <v>1071</v>
      </c>
      <c r="B10604" s="132">
        <v>1.3762403899648E-2</v>
      </c>
      <c r="C10604" s="133"/>
    </row>
    <row r="10605" spans="1:3">
      <c r="A10605" s="131" t="s">
        <v>1072</v>
      </c>
      <c r="B10605" s="132">
        <v>1.8998584224698241E-9</v>
      </c>
      <c r="C10605" s="133"/>
    </row>
    <row r="10606" spans="1:3">
      <c r="A10606" s="131" t="s">
        <v>1073</v>
      </c>
      <c r="B10606" s="132">
        <v>4.0805267781204E-4</v>
      </c>
      <c r="C10606" s="133"/>
    </row>
    <row r="10607" spans="1:3">
      <c r="A10607" s="131" t="s">
        <v>1074</v>
      </c>
      <c r="B10607" s="132">
        <v>1.6666365495806E-5</v>
      </c>
      <c r="C10607" s="133"/>
    </row>
    <row r="10608" spans="1:3">
      <c r="A10608" s="131" t="s">
        <v>1075</v>
      </c>
      <c r="B10608" s="132">
        <v>0.24019851251968</v>
      </c>
      <c r="C10608" s="133"/>
    </row>
    <row r="10609" spans="1:3">
      <c r="A10609" s="131" t="s">
        <v>1076</v>
      </c>
      <c r="B10609" s="132">
        <v>2.6257938348067999E-5</v>
      </c>
      <c r="C10609" s="133"/>
    </row>
    <row r="10610" spans="1:3">
      <c r="A10610" s="131" t="s">
        <v>1077</v>
      </c>
      <c r="B10610" s="132">
        <v>1.9606626179414999E-6</v>
      </c>
      <c r="C10610" s="133"/>
    </row>
    <row r="10611" spans="1:3">
      <c r="A10611" s="131" t="s">
        <v>1078</v>
      </c>
      <c r="B10611" s="132">
        <v>1.0085458401867</v>
      </c>
      <c r="C10611" s="133"/>
    </row>
    <row r="10612" spans="1:3">
      <c r="A10612" s="131" t="s">
        <v>1079</v>
      </c>
      <c r="B10612" s="132">
        <v>1.6824305787774999E-2</v>
      </c>
      <c r="C10612" s="133"/>
    </row>
    <row r="10613" spans="1:3">
      <c r="A10613" s="131" t="s">
        <v>1080</v>
      </c>
      <c r="B10613" s="132">
        <v>0.11943304470342</v>
      </c>
      <c r="C10613" s="133"/>
    </row>
    <row r="10614" spans="1:3">
      <c r="A10614" s="131" t="s">
        <v>1081</v>
      </c>
      <c r="B10614" s="132">
        <v>2.1614955701932E-4</v>
      </c>
      <c r="C10614" s="133"/>
    </row>
    <row r="10615" spans="1:3">
      <c r="A10615" s="131" t="s">
        <v>1082</v>
      </c>
      <c r="B10615" s="132">
        <v>1.61109530808E-9</v>
      </c>
      <c r="C10615" s="133"/>
    </row>
    <row r="10616" spans="1:3">
      <c r="A10616" s="131" t="s">
        <v>1083</v>
      </c>
      <c r="B10616" s="132">
        <v>1.4003394269444001E-7</v>
      </c>
      <c r="C10616" s="133"/>
    </row>
    <row r="10617" spans="1:3">
      <c r="A10617" s="131" t="s">
        <v>1084</v>
      </c>
      <c r="B10617" s="132">
        <v>1.04294190438E-9</v>
      </c>
      <c r="C10617" s="133"/>
    </row>
    <row r="10618" spans="1:3">
      <c r="A10618" s="131" t="s">
        <v>1085</v>
      </c>
      <c r="B10618" s="132">
        <v>2.4373357829288514E-10</v>
      </c>
      <c r="C10618" s="133"/>
    </row>
    <row r="10619" spans="1:3">
      <c r="A10619" s="131" t="s">
        <v>1086</v>
      </c>
      <c r="B10619" s="132">
        <v>170.98444222044</v>
      </c>
      <c r="C10619" s="133"/>
    </row>
    <row r="10620" spans="1:3">
      <c r="A10620" s="131" t="s">
        <v>1087</v>
      </c>
      <c r="B10620" s="132">
        <v>1.3263216829507E-3</v>
      </c>
      <c r="C10620" s="133"/>
    </row>
    <row r="10621" spans="1:3">
      <c r="A10621" s="131" t="s">
        <v>1088</v>
      </c>
      <c r="B10621" s="132">
        <v>5.7012379020999998E-10</v>
      </c>
      <c r="C10621" s="133"/>
    </row>
    <row r="10622" spans="1:3">
      <c r="A10622" s="131" t="s">
        <v>1089</v>
      </c>
      <c r="B10622" s="132">
        <v>1.2073107494579001E-2</v>
      </c>
      <c r="C10622" s="133"/>
    </row>
    <row r="10623" spans="1:3">
      <c r="A10623" s="131" t="s">
        <v>1090</v>
      </c>
      <c r="B10623" s="132">
        <v>8.1768360052999997E-10</v>
      </c>
      <c r="C10623" s="133"/>
    </row>
    <row r="10624" spans="1:3">
      <c r="A10624" s="131" t="s">
        <v>1091</v>
      </c>
      <c r="B10624" s="132">
        <v>6.0575037499999997E-12</v>
      </c>
      <c r="C10624" s="133"/>
    </row>
    <row r="10625" spans="1:3">
      <c r="A10625" s="131" t="s">
        <v>1092</v>
      </c>
      <c r="B10625" s="132">
        <v>2.3923788036364E-2</v>
      </c>
      <c r="C10625" s="133"/>
    </row>
    <row r="10626" spans="1:3">
      <c r="A10626" s="131" t="s">
        <v>1093</v>
      </c>
      <c r="B10626" s="132">
        <v>1.7099012097807</v>
      </c>
      <c r="C10626" s="133"/>
    </row>
    <row r="10627" spans="1:3">
      <c r="A10627" s="131" t="s">
        <v>1094</v>
      </c>
      <c r="B10627" s="132">
        <v>4.3310280633874999E-3</v>
      </c>
      <c r="C10627" s="133"/>
    </row>
    <row r="10628" spans="1:3">
      <c r="A10628" s="131" t="s">
        <v>1095</v>
      </c>
      <c r="B10628" s="132">
        <v>9.4197550262758001E-2</v>
      </c>
      <c r="C10628" s="133"/>
    </row>
    <row r="10629" spans="1:3">
      <c r="A10629" s="131" t="s">
        <v>1096</v>
      </c>
      <c r="B10629" s="132">
        <v>1.5992875482508081E-9</v>
      </c>
      <c r="C10629" s="133"/>
    </row>
    <row r="10630" spans="1:3">
      <c r="A10630" s="131" t="s">
        <v>1097</v>
      </c>
      <c r="B10630" s="132">
        <v>1.0112238238639999E-3</v>
      </c>
      <c r="C10630" s="133"/>
    </row>
    <row r="10631" spans="1:3">
      <c r="A10631" s="131" t="s">
        <v>1098</v>
      </c>
      <c r="B10631" s="132">
        <v>6.3585960262029007E-2</v>
      </c>
      <c r="C10631" s="133"/>
    </row>
    <row r="10632" spans="1:3">
      <c r="A10632" s="131" t="s">
        <v>1099</v>
      </c>
      <c r="B10632" s="132">
        <v>1.8364587972046001E-7</v>
      </c>
      <c r="C10632" s="133"/>
    </row>
    <row r="10633" spans="1:3">
      <c r="A10633" s="131" t="s">
        <v>1100</v>
      </c>
      <c r="B10633" s="132">
        <v>2.159760433023E-4</v>
      </c>
      <c r="C10633" s="133"/>
    </row>
    <row r="10634" spans="1:3">
      <c r="A10634" s="131" t="s">
        <v>1101</v>
      </c>
      <c r="B10634" s="132">
        <v>2.4854000000000001E-2</v>
      </c>
      <c r="C10634" s="133"/>
    </row>
    <row r="10635" spans="1:3">
      <c r="A10635" s="131" t="s">
        <v>1102</v>
      </c>
      <c r="B10635" s="132">
        <v>4.5758145298299354E-10</v>
      </c>
      <c r="C10635" s="133"/>
    </row>
    <row r="10636" spans="1:3">
      <c r="A10636" s="131" t="s">
        <v>1103</v>
      </c>
      <c r="B10636" s="132">
        <v>0.11350988096401</v>
      </c>
      <c r="C10636" s="133"/>
    </row>
    <row r="10637" spans="1:3">
      <c r="A10637" s="131" t="s">
        <v>1104</v>
      </c>
      <c r="B10637" s="132">
        <v>5.2608656040017E-4</v>
      </c>
      <c r="C10637" s="133"/>
    </row>
    <row r="10638" spans="1:3">
      <c r="A10638" s="131" t="s">
        <v>1105</v>
      </c>
      <c r="B10638" s="132">
        <v>55.838259349746998</v>
      </c>
      <c r="C10638" s="133"/>
    </row>
    <row r="10639" spans="1:3">
      <c r="A10639" s="131" t="s">
        <v>1106</v>
      </c>
      <c r="B10639" s="132">
        <v>9.4506248821285999E-2</v>
      </c>
      <c r="C10639" s="133"/>
    </row>
    <row r="10640" spans="1:3">
      <c r="A10640" s="131" t="s">
        <v>1107</v>
      </c>
      <c r="B10640" s="132">
        <v>1.6749064845957E-3</v>
      </c>
      <c r="C10640" s="133"/>
    </row>
    <row r="10641" spans="1:3">
      <c r="A10641" s="131" t="s">
        <v>1108</v>
      </c>
      <c r="B10641" s="132">
        <v>3.2693760392898001</v>
      </c>
      <c r="C10641" s="133"/>
    </row>
    <row r="10642" spans="1:3">
      <c r="A10642" s="131" t="s">
        <v>1109</v>
      </c>
      <c r="B10642" s="132">
        <v>1.3212648569184001E-2</v>
      </c>
      <c r="C10642" s="133"/>
    </row>
    <row r="10643" spans="1:3">
      <c r="A10643" s="131" t="s">
        <v>1110</v>
      </c>
      <c r="B10643" s="132">
        <v>0.22412475958055</v>
      </c>
      <c r="C10643" s="133"/>
    </row>
    <row r="10644" spans="1:3">
      <c r="A10644" s="131" t="s">
        <v>1111</v>
      </c>
      <c r="B10644" s="132">
        <v>2.9710715659200999E-3</v>
      </c>
      <c r="C10644" s="133"/>
    </row>
    <row r="10645" spans="1:3">
      <c r="A10645" s="131" t="s">
        <v>1112</v>
      </c>
      <c r="B10645" s="132">
        <v>1.8278600470534E-3</v>
      </c>
      <c r="C10645" s="133"/>
    </row>
    <row r="10646" spans="1:3">
      <c r="A10646" s="131" t="s">
        <v>1113</v>
      </c>
      <c r="B10646" s="132">
        <v>6.0012933552999996E-10</v>
      </c>
      <c r="C10646" s="133"/>
    </row>
    <row r="10647" spans="1:3">
      <c r="A10647" s="131" t="s">
        <v>1114</v>
      </c>
      <c r="B10647" s="132">
        <v>7.1097819431129005E-7</v>
      </c>
      <c r="C10647" s="133"/>
    </row>
    <row r="10648" spans="1:3">
      <c r="A10648" s="131" t="s">
        <v>1115</v>
      </c>
      <c r="B10648" s="132">
        <v>9.1839249065999996E-10</v>
      </c>
      <c r="C10648" s="133"/>
    </row>
    <row r="10649" spans="1:3">
      <c r="A10649" s="131" t="s">
        <v>1116</v>
      </c>
      <c r="B10649" s="132">
        <v>7.5040613109127999E-4</v>
      </c>
      <c r="C10649" s="133"/>
    </row>
    <row r="10650" spans="1:3">
      <c r="A10650" s="131" t="s">
        <v>1117</v>
      </c>
      <c r="B10650" s="132">
        <v>2.006592558921E-8</v>
      </c>
      <c r="C10650" s="133"/>
    </row>
    <row r="10651" spans="1:3">
      <c r="A10651" s="131" t="s">
        <v>1118</v>
      </c>
      <c r="B10651" s="132">
        <v>1.6589145053069001E-3</v>
      </c>
      <c r="C10651" s="133"/>
    </row>
    <row r="10652" spans="1:3">
      <c r="A10652" s="131" t="s">
        <v>1119</v>
      </c>
      <c r="B10652" s="132">
        <v>2.1467409956748E-2</v>
      </c>
      <c r="C10652" s="133"/>
    </row>
    <row r="10653" spans="1:3">
      <c r="A10653" s="131" t="s">
        <v>1120</v>
      </c>
      <c r="B10653" s="132">
        <v>3.1152500353357999E-2</v>
      </c>
      <c r="C10653" s="133"/>
    </row>
    <row r="10654" spans="1:3">
      <c r="A10654" s="131" t="s">
        <v>1121</v>
      </c>
      <c r="B10654" s="132">
        <v>8.9137816417300008E-9</v>
      </c>
      <c r="C10654" s="133"/>
    </row>
    <row r="10655" spans="1:3">
      <c r="A10655" s="131" t="s">
        <v>1122</v>
      </c>
      <c r="B10655" s="132">
        <v>1.0872589322122638E-9</v>
      </c>
      <c r="C10655" s="133"/>
    </row>
    <row r="10656" spans="1:3">
      <c r="A10656" s="131" t="s">
        <v>1123</v>
      </c>
      <c r="B10656" s="132">
        <v>1.8558356242169999E-8</v>
      </c>
      <c r="C10656" s="133"/>
    </row>
    <row r="10657" spans="1:3">
      <c r="A10657" s="131" t="s">
        <v>1124</v>
      </c>
      <c r="B10657" s="132">
        <v>1.1055983664745001E-4</v>
      </c>
      <c r="C10657" s="133"/>
    </row>
    <row r="10658" spans="1:3">
      <c r="A10658" s="131" t="s">
        <v>1125</v>
      </c>
      <c r="B10658" s="132">
        <v>2.9141780605712576E-9</v>
      </c>
      <c r="C10658" s="133"/>
    </row>
    <row r="10659" spans="1:3">
      <c r="A10659" s="131" t="s">
        <v>1126</v>
      </c>
      <c r="B10659" s="132">
        <v>2.0995231378000001E-10</v>
      </c>
      <c r="C10659" s="133"/>
    </row>
    <row r="10660" spans="1:3">
      <c r="A10660" s="131" t="s">
        <v>1127</v>
      </c>
      <c r="B10660" s="132">
        <v>3.3906651491189999E-7</v>
      </c>
      <c r="C10660" s="133"/>
    </row>
    <row r="10661" spans="1:3">
      <c r="A10661" s="131" t="s">
        <v>1128</v>
      </c>
      <c r="B10661" s="132">
        <v>6.1844774068111003E-3</v>
      </c>
      <c r="C10661" s="133"/>
    </row>
    <row r="10662" spans="1:3">
      <c r="A10662" s="131" t="s">
        <v>1129</v>
      </c>
      <c r="B10662" s="132">
        <v>1.0773299087333333E-10</v>
      </c>
      <c r="C10662" s="133"/>
    </row>
    <row r="10663" spans="1:3">
      <c r="A10663" s="131" t="s">
        <v>1130</v>
      </c>
      <c r="B10663" s="132">
        <v>5.6627288933096005E-4</v>
      </c>
      <c r="C10663" s="133"/>
    </row>
    <row r="10664" spans="1:3">
      <c r="A10664" s="131" t="s">
        <v>1131</v>
      </c>
      <c r="B10664" s="132">
        <v>1.0838585699999999E-3</v>
      </c>
      <c r="C10664" s="133"/>
    </row>
    <row r="10665" spans="1:3">
      <c r="A10665" s="131" t="s">
        <v>1132</v>
      </c>
      <c r="B10665" s="132">
        <v>0.27231732031359002</v>
      </c>
      <c r="C10665" s="133"/>
    </row>
    <row r="10666" spans="1:3">
      <c r="A10666" s="131" t="s">
        <v>1133</v>
      </c>
      <c r="B10666" s="132">
        <v>7.5757820688000002E-10</v>
      </c>
      <c r="C10666" s="133"/>
    </row>
    <row r="10667" spans="1:3">
      <c r="A10667" s="131" t="s">
        <v>1134</v>
      </c>
      <c r="B10667" s="132">
        <v>5.5026855404000001E-10</v>
      </c>
      <c r="C10667" s="133"/>
    </row>
    <row r="10668" spans="1:3">
      <c r="A10668" s="131" t="s">
        <v>1135</v>
      </c>
      <c r="B10668" s="132">
        <v>1.5970028348999999E-10</v>
      </c>
      <c r="C10668" s="133"/>
    </row>
    <row r="10669" spans="1:3">
      <c r="A10669" s="131" t="s">
        <v>1136</v>
      </c>
      <c r="B10669" s="132">
        <v>8.0143374800548997E-6</v>
      </c>
      <c r="C10669" s="133"/>
    </row>
    <row r="10670" spans="1:3">
      <c r="A10670" s="131" t="s">
        <v>1137</v>
      </c>
      <c r="B10670" s="132">
        <v>2.3520383084964001E-5</v>
      </c>
      <c r="C10670" s="133"/>
    </row>
    <row r="10671" spans="1:3">
      <c r="A10671" s="131" t="s">
        <v>1138</v>
      </c>
      <c r="B10671" s="132">
        <v>2.6665417283518001E-2</v>
      </c>
      <c r="C10671" s="133"/>
    </row>
    <row r="10672" spans="1:3">
      <c r="A10672" s="131" t="s">
        <v>1139</v>
      </c>
      <c r="B10672" s="132">
        <v>3.5338449200000001E-10</v>
      </c>
      <c r="C10672" s="133"/>
    </row>
    <row r="10673" spans="1:3">
      <c r="A10673" s="131" t="s">
        <v>1140</v>
      </c>
      <c r="B10673" s="132">
        <v>3.1152981027754E-4</v>
      </c>
      <c r="C10673" s="133"/>
    </row>
    <row r="10674" spans="1:3">
      <c r="A10674" s="131" t="s">
        <v>1141</v>
      </c>
      <c r="B10674" s="132">
        <v>9.6072387161179996E-8</v>
      </c>
      <c r="C10674" s="133"/>
    </row>
    <row r="10675" spans="1:3">
      <c r="A10675" s="131" t="s">
        <v>1142</v>
      </c>
      <c r="B10675" s="132">
        <v>6.0032490487302999E-5</v>
      </c>
      <c r="C10675" s="133"/>
    </row>
    <row r="10676" spans="1:3">
      <c r="A10676" s="131" t="s">
        <v>1143</v>
      </c>
      <c r="B10676" s="132">
        <v>3.9597688917603998E-6</v>
      </c>
      <c r="C10676" s="133"/>
    </row>
    <row r="10677" spans="1:3">
      <c r="A10677" s="131" t="s">
        <v>1144</v>
      </c>
      <c r="B10677" s="132">
        <v>1.2962059328448999E-5</v>
      </c>
      <c r="C10677" s="133"/>
    </row>
    <row r="10678" spans="1:3">
      <c r="A10678" s="131" t="s">
        <v>1145</v>
      </c>
      <c r="B10678" s="132">
        <v>0.29823982154272999</v>
      </c>
      <c r="C10678" s="133"/>
    </row>
    <row r="10679" spans="1:3">
      <c r="A10679" s="131" t="s">
        <v>1146</v>
      </c>
      <c r="B10679" s="132">
        <v>0.35142332180462998</v>
      </c>
      <c r="C10679" s="133"/>
    </row>
    <row r="10680" spans="1:3">
      <c r="A10680" s="131" t="s">
        <v>1147</v>
      </c>
      <c r="B10680" s="132">
        <v>1.80680558307E-9</v>
      </c>
      <c r="C10680" s="133"/>
    </row>
    <row r="10681" spans="1:3">
      <c r="A10681" s="131" t="s">
        <v>1148</v>
      </c>
      <c r="B10681" s="132">
        <v>5.6024229672680768E-10</v>
      </c>
      <c r="C10681" s="133"/>
    </row>
    <row r="10682" spans="1:3">
      <c r="A10682" s="131" t="s">
        <v>1149</v>
      </c>
      <c r="B10682" s="132">
        <v>5.2056703453098999E-2</v>
      </c>
      <c r="C10682" s="133"/>
    </row>
    <row r="10683" spans="1:3">
      <c r="A10683" s="131" t="s">
        <v>1150</v>
      </c>
      <c r="B10683" s="132">
        <v>6.4354734326694327E-10</v>
      </c>
      <c r="C10683" s="133"/>
    </row>
    <row r="10684" spans="1:3">
      <c r="A10684" s="131" t="s">
        <v>1151</v>
      </c>
      <c r="B10684" s="132">
        <v>1.6809097336444999E-4</v>
      </c>
      <c r="C10684" s="133"/>
    </row>
    <row r="10685" spans="1:3">
      <c r="A10685" s="131" t="s">
        <v>1152</v>
      </c>
      <c r="B10685" s="132">
        <v>8.6786632726708996E-4</v>
      </c>
      <c r="C10685" s="133"/>
    </row>
    <row r="10686" spans="1:3">
      <c r="A10686" s="131" t="s">
        <v>1153</v>
      </c>
      <c r="B10686" s="132">
        <v>1.0292535983E-10</v>
      </c>
      <c r="C10686" s="133"/>
    </row>
    <row r="10687" spans="1:3">
      <c r="A10687" s="131" t="s">
        <v>1154</v>
      </c>
      <c r="B10687" s="132">
        <v>2.8029683602601999E-2</v>
      </c>
      <c r="C10687" s="133"/>
    </row>
    <row r="10688" spans="1:3">
      <c r="A10688" s="131" t="s">
        <v>1155</v>
      </c>
      <c r="B10688" s="132">
        <v>1.1708918364000001E-10</v>
      </c>
      <c r="C10688" s="133"/>
    </row>
    <row r="10689" spans="1:3">
      <c r="A10689" s="131" t="s">
        <v>1156</v>
      </c>
      <c r="B10689" s="132">
        <v>0.17188923468643999</v>
      </c>
      <c r="C10689" s="133"/>
    </row>
    <row r="10690" spans="1:3">
      <c r="A10690" s="131" t="s">
        <v>1157</v>
      </c>
      <c r="B10690" s="132">
        <v>1.009224417048E-7</v>
      </c>
      <c r="C10690" s="133"/>
    </row>
    <row r="10691" spans="1:3">
      <c r="A10691" s="131" t="s">
        <v>1158</v>
      </c>
      <c r="B10691" s="132">
        <v>0.11333964874249</v>
      </c>
      <c r="C10691" s="133"/>
    </row>
    <row r="10692" spans="1:3">
      <c r="A10692" s="131" t="s">
        <v>1159</v>
      </c>
      <c r="B10692" s="132">
        <v>1.879470334E-11</v>
      </c>
      <c r="C10692" s="133"/>
    </row>
    <row r="10693" spans="1:3">
      <c r="A10693" s="131" t="s">
        <v>1160</v>
      </c>
      <c r="B10693" s="132">
        <v>42.85</v>
      </c>
      <c r="C10693" s="133"/>
    </row>
    <row r="10694" spans="1:3">
      <c r="A10694" s="131" t="s">
        <v>1161</v>
      </c>
      <c r="B10694" s="132">
        <v>8.506874182E-11</v>
      </c>
      <c r="C10694" s="133"/>
    </row>
    <row r="10695" spans="1:3">
      <c r="A10695" s="131" t="s">
        <v>1162</v>
      </c>
      <c r="B10695" s="132">
        <v>8.4998374032649</v>
      </c>
      <c r="C10695" s="133"/>
    </row>
    <row r="10696" spans="1:3">
      <c r="A10696" s="131" t="s">
        <v>1163</v>
      </c>
      <c r="B10696" s="132">
        <v>3.0808405604179E-7</v>
      </c>
      <c r="C10696" s="133"/>
    </row>
    <row r="10697" spans="1:3">
      <c r="A10697" s="131" t="s">
        <v>1164</v>
      </c>
      <c r="B10697" s="132">
        <v>1.0818726064923999E-2</v>
      </c>
      <c r="C10697" s="133"/>
    </row>
    <row r="10698" spans="1:3">
      <c r="A10698" s="131" t="s">
        <v>1165</v>
      </c>
      <c r="B10698" s="132">
        <v>60.2</v>
      </c>
      <c r="C10698" s="133"/>
    </row>
    <row r="10699" spans="1:3">
      <c r="A10699" s="131" t="s">
        <v>1166</v>
      </c>
      <c r="B10699" s="132">
        <v>3.9827409906999998E-10</v>
      </c>
      <c r="C10699" s="133"/>
    </row>
    <row r="10700" spans="1:3">
      <c r="A10700" s="131" t="s">
        <v>1167</v>
      </c>
      <c r="B10700" s="132">
        <v>5.278947723E-11</v>
      </c>
      <c r="C10700" s="133"/>
    </row>
    <row r="10701" spans="1:3">
      <c r="A10701" s="131" t="s">
        <v>1168</v>
      </c>
      <c r="B10701" s="132">
        <v>22.205543110851998</v>
      </c>
      <c r="C10701" s="133"/>
    </row>
    <row r="10702" spans="1:3">
      <c r="A10702" s="131" t="s">
        <v>1169</v>
      </c>
      <c r="B10702" s="132">
        <v>9.5862748750900723E-6</v>
      </c>
      <c r="C10702" s="133"/>
    </row>
    <row r="10703" spans="1:3">
      <c r="A10703" s="131" t="s">
        <v>1170</v>
      </c>
      <c r="B10703" s="132">
        <v>0.25753085948207999</v>
      </c>
      <c r="C10703" s="133"/>
    </row>
    <row r="10704" spans="1:3">
      <c r="A10704" s="131" t="s">
        <v>1171</v>
      </c>
      <c r="B10704" s="132">
        <v>2.0103620381896999E-2</v>
      </c>
      <c r="C10704" s="133"/>
    </row>
    <row r="10705" spans="1:3">
      <c r="A10705" s="131" t="s">
        <v>1172</v>
      </c>
      <c r="B10705" s="132">
        <v>1.6278150015612001E-3</v>
      </c>
      <c r="C10705" s="133"/>
    </row>
    <row r="10706" spans="1:3">
      <c r="A10706" s="131" t="s">
        <v>1173</v>
      </c>
      <c r="B10706" s="132">
        <v>7.5123023730584005E-5</v>
      </c>
      <c r="C10706" s="133"/>
    </row>
    <row r="10707" spans="1:3">
      <c r="A10707" s="131" t="s">
        <v>1174</v>
      </c>
      <c r="B10707" s="132">
        <v>1.0298263982291E-4</v>
      </c>
      <c r="C10707" s="133"/>
    </row>
    <row r="10708" spans="1:3">
      <c r="A10708" s="131" t="s">
        <v>1175</v>
      </c>
      <c r="B10708" s="132">
        <v>1199.3286058384999</v>
      </c>
      <c r="C10708" s="133"/>
    </row>
    <row r="10709" spans="1:3">
      <c r="A10709" s="131" t="s">
        <v>1176</v>
      </c>
      <c r="B10709" s="132">
        <v>2.1823515481825999E-3</v>
      </c>
      <c r="C10709" s="133"/>
    </row>
    <row r="10710" spans="1:3">
      <c r="A10710" s="131" t="s">
        <v>1177</v>
      </c>
      <c r="B10710" s="132">
        <v>11.121579604866</v>
      </c>
      <c r="C10710" s="133"/>
    </row>
    <row r="10711" spans="1:3">
      <c r="A10711" s="131" t="s">
        <v>1178</v>
      </c>
      <c r="B10711" s="132">
        <v>5.1484542920251998E-4</v>
      </c>
      <c r="C10711" s="133"/>
    </row>
    <row r="10712" spans="1:3">
      <c r="A10712" s="131" t="s">
        <v>1179</v>
      </c>
      <c r="B10712" s="132">
        <v>12.199397505883001</v>
      </c>
      <c r="C10712" s="133"/>
    </row>
    <row r="10713" spans="1:3">
      <c r="A10713" s="131" t="s">
        <v>1180</v>
      </c>
      <c r="B10713" s="132">
        <v>1.2496763436440001E-3</v>
      </c>
      <c r="C10713" s="133"/>
    </row>
    <row r="10714" spans="1:3">
      <c r="A10714" s="131" t="s">
        <v>1181</v>
      </c>
      <c r="B10714" s="132">
        <v>4.4971523923967999E-5</v>
      </c>
      <c r="C10714" s="133"/>
    </row>
    <row r="10715" spans="1:3">
      <c r="A10715" s="131" t="s">
        <v>1182</v>
      </c>
      <c r="B10715" s="132">
        <v>6.3520519590000001E-11</v>
      </c>
      <c r="C10715" s="133"/>
    </row>
    <row r="10716" spans="1:3">
      <c r="A10716" s="131" t="s">
        <v>1183</v>
      </c>
      <c r="B10716" s="132">
        <v>4.7210094377000003E-10</v>
      </c>
      <c r="C10716" s="133"/>
    </row>
    <row r="10717" spans="1:3">
      <c r="A10717" s="131" t="s">
        <v>1184</v>
      </c>
      <c r="B10717" s="132">
        <v>5.0825182377936998E-2</v>
      </c>
      <c r="C10717" s="133"/>
    </row>
    <row r="10718" spans="1:3">
      <c r="A10718" s="131" t="s">
        <v>1185</v>
      </c>
      <c r="B10718" s="132">
        <v>4.9077266112834998E-4</v>
      </c>
      <c r="C10718" s="133"/>
    </row>
    <row r="10719" spans="1:3">
      <c r="A10719" s="131" t="s">
        <v>1186</v>
      </c>
      <c r="B10719" s="132">
        <v>2.0198698699689001E-7</v>
      </c>
      <c r="C10719" s="133"/>
    </row>
    <row r="10720" spans="1:3">
      <c r="A10720" s="131" t="s">
        <v>1187</v>
      </c>
      <c r="B10720" s="132">
        <v>5.2127915569999998E-11</v>
      </c>
      <c r="C10720" s="133"/>
    </row>
    <row r="10721" spans="1:3">
      <c r="A10721" s="131" t="s">
        <v>1188</v>
      </c>
      <c r="B10721" s="132">
        <v>9.8593741389626999</v>
      </c>
      <c r="C10721" s="133"/>
    </row>
    <row r="10722" spans="1:3">
      <c r="A10722" s="131" t="s">
        <v>1189</v>
      </c>
      <c r="B10722" s="132">
        <v>0.28064662215082165</v>
      </c>
      <c r="C10722" s="133"/>
    </row>
    <row r="10723" spans="1:3">
      <c r="A10723" s="131" t="s">
        <v>1190</v>
      </c>
      <c r="B10723" s="132">
        <v>6.9458827170648001E-7</v>
      </c>
      <c r="C10723" s="133"/>
    </row>
    <row r="10724" spans="1:3">
      <c r="A10724" s="131" t="s">
        <v>1191</v>
      </c>
      <c r="B10724" s="132">
        <v>2.2357581361282E-7</v>
      </c>
      <c r="C10724" s="133"/>
    </row>
    <row r="10725" spans="1:3">
      <c r="A10725" s="131" t="s">
        <v>1192</v>
      </c>
      <c r="B10725" s="132">
        <v>1.4122657231E-10</v>
      </c>
      <c r="C10725" s="133"/>
    </row>
    <row r="10726" spans="1:3">
      <c r="A10726" s="131" t="s">
        <v>1193</v>
      </c>
      <c r="B10726" s="132">
        <v>4.357978515E-11</v>
      </c>
      <c r="C10726" s="133"/>
    </row>
    <row r="10727" spans="1:3">
      <c r="A10727" s="131" t="s">
        <v>1194</v>
      </c>
      <c r="B10727" s="132">
        <v>1.7491646523013001E-3</v>
      </c>
      <c r="C10727" s="133"/>
    </row>
    <row r="10728" spans="1:3">
      <c r="A10728" s="131" t="s">
        <v>1195</v>
      </c>
      <c r="B10728" s="132">
        <v>3.3894670131356003E-5</v>
      </c>
      <c r="C10728" s="133"/>
    </row>
    <row r="10729" spans="1:3">
      <c r="A10729" s="131" t="s">
        <v>1196</v>
      </c>
      <c r="B10729" s="132">
        <v>0.29082495745217002</v>
      </c>
      <c r="C10729" s="133"/>
    </row>
    <row r="10730" spans="1:3">
      <c r="A10730" s="131" t="s">
        <v>1197</v>
      </c>
      <c r="B10730" s="132">
        <v>5.2505748726144998E-3</v>
      </c>
      <c r="C10730" s="133"/>
    </row>
    <row r="10731" spans="1:3">
      <c r="A10731" s="131" t="s">
        <v>1198</v>
      </c>
      <c r="B10731" s="132">
        <v>8.2342942730654E-7</v>
      </c>
      <c r="C10731" s="133"/>
    </row>
    <row r="10732" spans="1:3">
      <c r="A10732" s="131" t="s">
        <v>1199</v>
      </c>
      <c r="B10732" s="132">
        <v>1.1828402866999999E-10</v>
      </c>
      <c r="C10732" s="133"/>
    </row>
    <row r="10733" spans="1:3">
      <c r="A10733" s="131" t="s">
        <v>1200</v>
      </c>
      <c r="B10733" s="132">
        <v>4.7845872165566E-4</v>
      </c>
      <c r="C10733" s="133"/>
    </row>
    <row r="10734" spans="1:3">
      <c r="A10734" s="131" t="s">
        <v>1201</v>
      </c>
      <c r="B10734" s="132">
        <v>2.9194661632259998E-5</v>
      </c>
      <c r="C10734" s="133"/>
    </row>
    <row r="10735" spans="1:3">
      <c r="A10735" s="131" t="s">
        <v>1202</v>
      </c>
      <c r="B10735" s="132">
        <v>4.4705125092E-10</v>
      </c>
      <c r="C10735" s="133"/>
    </row>
    <row r="10736" spans="1:3">
      <c r="A10736" s="131" t="s">
        <v>1203</v>
      </c>
      <c r="B10736" s="132">
        <v>1.8009747146190999E-5</v>
      </c>
      <c r="C10736" s="133"/>
    </row>
    <row r="10737" spans="1:3">
      <c r="A10737" s="131" t="s">
        <v>1204</v>
      </c>
      <c r="B10737" s="132">
        <v>8.6254354850457005E-3</v>
      </c>
      <c r="C10737" s="133"/>
    </row>
    <row r="10738" spans="1:3">
      <c r="A10738" s="131" t="s">
        <v>1205</v>
      </c>
      <c r="B10738" s="132">
        <v>1.1334113461473999E-2</v>
      </c>
      <c r="C10738" s="133"/>
    </row>
    <row r="10739" spans="1:3">
      <c r="A10739" s="131" t="s">
        <v>1206</v>
      </c>
      <c r="B10739" s="132">
        <v>5.1495141286060003E-2</v>
      </c>
      <c r="C10739" s="133"/>
    </row>
    <row r="10740" spans="1:3">
      <c r="A10740" s="131" t="s">
        <v>1207</v>
      </c>
      <c r="B10740" s="132">
        <v>3.8845739906666662E-11</v>
      </c>
      <c r="C10740" s="133"/>
    </row>
    <row r="10741" spans="1:3">
      <c r="A10741" s="131" t="s">
        <v>1208</v>
      </c>
      <c r="B10741" s="132">
        <v>9.0048735730954E-5</v>
      </c>
      <c r="C10741" s="133"/>
    </row>
    <row r="10742" spans="1:3">
      <c r="A10742" s="131" t="s">
        <v>1209</v>
      </c>
      <c r="B10742" s="132">
        <v>4.5767116320060001E-8</v>
      </c>
      <c r="C10742" s="133"/>
    </row>
    <row r="10743" spans="1:3">
      <c r="A10743" s="131" t="s">
        <v>1210</v>
      </c>
      <c r="B10743" s="132">
        <v>1.6969183977744E-3</v>
      </c>
      <c r="C10743" s="133"/>
    </row>
    <row r="10744" spans="1:3">
      <c r="A10744" s="131" t="s">
        <v>1211</v>
      </c>
      <c r="B10744" s="132">
        <v>7.2544311320294998E-5</v>
      </c>
      <c r="C10744" s="133"/>
    </row>
    <row r="10745" spans="1:3">
      <c r="A10745" s="131" t="s">
        <v>1212</v>
      </c>
      <c r="B10745" s="132">
        <v>2.5723090561895002E-3</v>
      </c>
      <c r="C10745" s="133"/>
    </row>
    <row r="10746" spans="1:3">
      <c r="A10746" s="131" t="s">
        <v>1213</v>
      </c>
      <c r="B10746" s="132">
        <v>1.3482388797523999E-7</v>
      </c>
      <c r="C10746" s="133"/>
    </row>
    <row r="10747" spans="1:3">
      <c r="A10747" s="131" t="s">
        <v>1214</v>
      </c>
      <c r="B10747" s="132">
        <v>2.1677201076E-10</v>
      </c>
      <c r="C10747" s="133"/>
    </row>
    <row r="10748" spans="1:3">
      <c r="A10748" s="131" t="s">
        <v>1215</v>
      </c>
      <c r="B10748" s="132">
        <v>6.5235306329536003E-2</v>
      </c>
      <c r="C10748" s="133"/>
    </row>
    <row r="10749" spans="1:3">
      <c r="A10749" s="131" t="s">
        <v>1216</v>
      </c>
      <c r="B10749" s="132">
        <v>3.5239753652080002E-7</v>
      </c>
      <c r="C10749" s="133"/>
    </row>
    <row r="10750" spans="1:3">
      <c r="A10750" s="131" t="s">
        <v>1217</v>
      </c>
      <c r="B10750" s="132">
        <v>0.17336340805361999</v>
      </c>
      <c r="C10750" s="133"/>
    </row>
    <row r="10751" spans="1:3">
      <c r="A10751" s="131" t="s">
        <v>1218</v>
      </c>
      <c r="B10751" s="132">
        <v>8.7007764216874E-6</v>
      </c>
      <c r="C10751" s="133"/>
    </row>
    <row r="10752" spans="1:3">
      <c r="A10752" s="131" t="s">
        <v>1219</v>
      </c>
      <c r="B10752" s="132">
        <v>6.1442030305683999E-7</v>
      </c>
      <c r="C10752" s="133"/>
    </row>
    <row r="10753" spans="1:3">
      <c r="A10753" s="131" t="s">
        <v>1220</v>
      </c>
      <c r="B10753" s="132">
        <v>4.190362132E-6</v>
      </c>
      <c r="C10753" s="133"/>
    </row>
    <row r="10754" spans="1:3">
      <c r="A10754" s="131" t="s">
        <v>1221</v>
      </c>
      <c r="B10754" s="132">
        <v>8.0598067100000004E-12</v>
      </c>
      <c r="C10754" s="133"/>
    </row>
    <row r="10755" spans="1:3">
      <c r="A10755" s="131" t="s">
        <v>1222</v>
      </c>
      <c r="B10755" s="132">
        <v>3.8241799360000001E-11</v>
      </c>
      <c r="C10755" s="133"/>
    </row>
    <row r="10756" spans="1:3">
      <c r="A10756" s="131" t="s">
        <v>1223</v>
      </c>
      <c r="B10756" s="132">
        <v>316.88491351151998</v>
      </c>
      <c r="C10756" s="133"/>
    </row>
    <row r="10757" spans="1:3">
      <c r="A10757" s="131" t="s">
        <v>1224</v>
      </c>
      <c r="B10757" s="132">
        <v>8.3133224400000005E-12</v>
      </c>
      <c r="C10757" s="133"/>
    </row>
    <row r="10758" spans="1:3">
      <c r="A10758" s="131" t="s">
        <v>1225</v>
      </c>
      <c r="B10758" s="132">
        <v>7.2896940750261997E-4</v>
      </c>
      <c r="C10758" s="133"/>
    </row>
    <row r="10759" spans="1:3">
      <c r="A10759" s="131" t="s">
        <v>1226</v>
      </c>
      <c r="B10759" s="132">
        <v>1.7526255907665E-2</v>
      </c>
      <c r="C10759" s="133"/>
    </row>
    <row r="10760" spans="1:3">
      <c r="A10760" s="131" t="s">
        <v>1227</v>
      </c>
      <c r="B10760" s="132">
        <v>1.0005415081217E-2</v>
      </c>
      <c r="C10760" s="133"/>
    </row>
    <row r="10761" spans="1:3">
      <c r="A10761" s="131" t="s">
        <v>1228</v>
      </c>
      <c r="B10761" s="132">
        <v>0.19073169686774999</v>
      </c>
      <c r="C10761" s="133"/>
    </row>
    <row r="10762" spans="1:3">
      <c r="A10762" s="131" t="s">
        <v>1229</v>
      </c>
      <c r="B10762" s="132">
        <v>2.1011371670556E-4</v>
      </c>
      <c r="C10762" s="133"/>
    </row>
    <row r="10763" spans="1:3">
      <c r="A10763" s="131" t="s">
        <v>1230</v>
      </c>
      <c r="B10763" s="132">
        <v>5.3073749278516998E-2</v>
      </c>
      <c r="C10763" s="133"/>
    </row>
    <row r="10764" spans="1:3">
      <c r="A10764" s="131" t="s">
        <v>1231</v>
      </c>
      <c r="B10764" s="132">
        <v>4.3023284849233998E-4</v>
      </c>
      <c r="C10764" s="133"/>
    </row>
    <row r="10765" spans="1:3">
      <c r="A10765" s="131" t="s">
        <v>1232</v>
      </c>
      <c r="B10765" s="132">
        <v>1.2134295200000001E-12</v>
      </c>
      <c r="C10765" s="133"/>
    </row>
    <row r="10766" spans="1:3">
      <c r="A10766" s="131" t="s">
        <v>1233</v>
      </c>
      <c r="B10766" s="132">
        <v>3.9280581986048998E-3</v>
      </c>
      <c r="C10766" s="133"/>
    </row>
    <row r="10767" spans="1:3">
      <c r="A10767" s="131" t="s">
        <v>1234</v>
      </c>
      <c r="B10767" s="132">
        <v>1.2713552609730001E-4</v>
      </c>
      <c r="C10767" s="133"/>
    </row>
    <row r="10768" spans="1:3">
      <c r="A10768" s="131" t="s">
        <v>1235</v>
      </c>
      <c r="B10768" s="132">
        <v>1.380747281208E-5</v>
      </c>
      <c r="C10768" s="133"/>
    </row>
    <row r="10769" spans="1:3">
      <c r="A10769" s="131" t="s">
        <v>1236</v>
      </c>
      <c r="B10769" s="132">
        <v>6.2037511040000003E-11</v>
      </c>
      <c r="C10769" s="133"/>
    </row>
    <row r="10770" spans="1:3">
      <c r="A10770" s="131" t="s">
        <v>1237</v>
      </c>
      <c r="B10770" s="132">
        <v>2.5782963265322002E-7</v>
      </c>
      <c r="C10770" s="133"/>
    </row>
    <row r="10771" spans="1:3">
      <c r="A10771" s="131" t="s">
        <v>1238</v>
      </c>
      <c r="B10771" s="132">
        <v>8.4043199940000002E-11</v>
      </c>
      <c r="C10771" s="133"/>
    </row>
    <row r="10772" spans="1:3">
      <c r="A10772" s="131" t="s">
        <v>1239</v>
      </c>
      <c r="B10772" s="132">
        <v>6.7338686190088995E-4</v>
      </c>
      <c r="C10772" s="133"/>
    </row>
    <row r="10773" spans="1:3">
      <c r="A10773" s="131" t="s">
        <v>1240</v>
      </c>
      <c r="B10773" s="132">
        <v>1.6574760439851E-2</v>
      </c>
      <c r="C10773" s="133"/>
    </row>
    <row r="10774" spans="1:3">
      <c r="A10774" s="131" t="s">
        <v>1241</v>
      </c>
      <c r="B10774" s="132">
        <v>1.014199329435</v>
      </c>
      <c r="C10774" s="133"/>
    </row>
    <row r="10775" spans="1:3">
      <c r="A10775" s="131" t="s">
        <v>1242</v>
      </c>
      <c r="B10775" s="132">
        <v>4.2413193699999997E-12</v>
      </c>
      <c r="C10775" s="133"/>
    </row>
    <row r="10776" spans="1:3">
      <c r="A10776" s="131" t="s">
        <v>1243</v>
      </c>
      <c r="B10776" s="132">
        <v>4.5524638619538001E-4</v>
      </c>
      <c r="C10776" s="133"/>
    </row>
    <row r="10777" spans="1:3">
      <c r="A10777" s="131" t="s">
        <v>1244</v>
      </c>
      <c r="B10777" s="132">
        <v>3.2803496200000002E-12</v>
      </c>
      <c r="C10777" s="133"/>
    </row>
    <row r="10778" spans="1:3">
      <c r="A10778" s="131" t="s">
        <v>1245</v>
      </c>
      <c r="B10778" s="132">
        <v>2.2551452800000001E-12</v>
      </c>
      <c r="C10778" s="133"/>
    </row>
    <row r="10779" spans="1:3">
      <c r="A10779" s="131" t="s">
        <v>1246</v>
      </c>
      <c r="B10779" s="132">
        <v>3.0873233100000002E-12</v>
      </c>
      <c r="C10779" s="133"/>
    </row>
    <row r="10780" spans="1:3">
      <c r="A10780" s="131" t="s">
        <v>1247</v>
      </c>
      <c r="B10780" s="132">
        <v>1.406439597E-11</v>
      </c>
      <c r="C10780" s="133"/>
    </row>
    <row r="10781" spans="1:3">
      <c r="A10781" s="131" t="s">
        <v>1248</v>
      </c>
      <c r="B10781" s="132">
        <v>0.11817693076815999</v>
      </c>
      <c r="C10781" s="133"/>
    </row>
    <row r="10782" spans="1:3">
      <c r="A10782" s="131" t="s">
        <v>1249</v>
      </c>
      <c r="B10782" s="132">
        <v>9.5017840196058006E-5</v>
      </c>
      <c r="C10782" s="133"/>
    </row>
    <row r="10783" spans="1:3">
      <c r="A10783" s="131" t="s">
        <v>1250</v>
      </c>
      <c r="B10783" s="132">
        <v>8.6270345489886997E-5</v>
      </c>
      <c r="C10783" s="133"/>
    </row>
    <row r="10784" spans="1:3">
      <c r="A10784" s="131" t="s">
        <v>1251</v>
      </c>
      <c r="B10784" s="132">
        <v>1.5330283369548001E-3</v>
      </c>
      <c r="C10784" s="133"/>
    </row>
    <row r="10785" spans="1:3">
      <c r="A10785" s="131" t="s">
        <v>1252</v>
      </c>
      <c r="B10785" s="132">
        <v>3.9572572119222996E-3</v>
      </c>
      <c r="C10785" s="133"/>
    </row>
    <row r="10786" spans="1:3">
      <c r="A10786" s="131" t="s">
        <v>1253</v>
      </c>
      <c r="B10786" s="132">
        <v>8.5612993399999998E-12</v>
      </c>
      <c r="C10786" s="133"/>
    </row>
    <row r="10787" spans="1:3">
      <c r="A10787" s="131" t="s">
        <v>1254</v>
      </c>
      <c r="B10787" s="132">
        <v>5.30450874E-12</v>
      </c>
      <c r="C10787" s="133"/>
    </row>
    <row r="10788" spans="1:3">
      <c r="A10788" s="131" t="s">
        <v>1255</v>
      </c>
      <c r="B10788" s="132">
        <v>2.0042031970799999E-4</v>
      </c>
      <c r="C10788" s="133"/>
    </row>
    <row r="10789" spans="1:3">
      <c r="A10789" s="131" t="s">
        <v>1256</v>
      </c>
      <c r="B10789" s="132">
        <v>2.7046901270964999E-5</v>
      </c>
      <c r="C10789" s="133"/>
    </row>
    <row r="10790" spans="1:3">
      <c r="A10790" s="131" t="s">
        <v>1257</v>
      </c>
      <c r="B10790" s="132">
        <v>5.6107931264330001E-8</v>
      </c>
      <c r="C10790" s="133"/>
    </row>
    <row r="10791" spans="1:3">
      <c r="A10791" s="131" t="s">
        <v>1258</v>
      </c>
      <c r="B10791" s="132">
        <v>9.3857124611559997E-7</v>
      </c>
      <c r="C10791" s="133"/>
    </row>
    <row r="10792" spans="1:3">
      <c r="A10792" s="131" t="s">
        <v>1259</v>
      </c>
      <c r="B10792" s="132">
        <v>2.9799546484207001E-4</v>
      </c>
      <c r="C10792" s="133"/>
    </row>
    <row r="10793" spans="1:3">
      <c r="A10793" s="131" t="s">
        <v>1260</v>
      </c>
      <c r="B10793" s="132">
        <v>4.1986945894890004E-3</v>
      </c>
      <c r="C10793" s="133"/>
    </row>
    <row r="10794" spans="1:3">
      <c r="A10794" s="131" t="s">
        <v>1261</v>
      </c>
      <c r="B10794" s="132">
        <v>6.5470546445479004E-3</v>
      </c>
      <c r="C10794" s="133"/>
    </row>
    <row r="10795" spans="1:3">
      <c r="A10795" s="131" t="s">
        <v>1262</v>
      </c>
      <c r="B10795" s="132">
        <v>3.6660205266222999E-4</v>
      </c>
      <c r="C10795" s="133"/>
    </row>
    <row r="10796" spans="1:3">
      <c r="A10796" s="131" t="s">
        <v>1263</v>
      </c>
      <c r="B10796" s="132">
        <v>8.0043320649737001E-2</v>
      </c>
      <c r="C10796" s="133"/>
    </row>
    <row r="10797" spans="1:3">
      <c r="A10797" s="131" t="s">
        <v>1264</v>
      </c>
      <c r="B10797" s="132">
        <v>1.412658892E-11</v>
      </c>
      <c r="C10797" s="133"/>
    </row>
    <row r="10798" spans="1:3">
      <c r="A10798" s="131" t="s">
        <v>1265</v>
      </c>
      <c r="B10798" s="132">
        <v>1.00255805E-12</v>
      </c>
      <c r="C10798" s="133"/>
    </row>
    <row r="10799" spans="1:3">
      <c r="A10799" s="131" t="s">
        <v>1266</v>
      </c>
      <c r="B10799" s="132">
        <v>3.8530424676113E-2</v>
      </c>
      <c r="C10799" s="133"/>
    </row>
    <row r="10800" spans="1:3">
      <c r="A10800" s="131" t="s">
        <v>1267</v>
      </c>
      <c r="B10800" s="132">
        <v>3.6167029999999997E-14</v>
      </c>
      <c r="C10800" s="133"/>
    </row>
    <row r="10801" spans="1:3">
      <c r="A10801" s="131" t="s">
        <v>1268</v>
      </c>
      <c r="B10801" s="132">
        <v>1.5685401872465999E-5</v>
      </c>
      <c r="C10801" s="133"/>
    </row>
    <row r="10802" spans="1:3">
      <c r="A10802" s="131" t="s">
        <v>1269</v>
      </c>
      <c r="B10802" s="132">
        <v>1.2322050692921999E-3</v>
      </c>
      <c r="C10802" s="133"/>
    </row>
    <row r="10803" spans="1:3">
      <c r="A10803" s="131" t="s">
        <v>1270</v>
      </c>
      <c r="B10803" s="132">
        <v>6.1610253464612001E-4</v>
      </c>
      <c r="C10803" s="133"/>
    </row>
    <row r="10804" spans="1:3">
      <c r="A10804" s="131" t="s">
        <v>1271</v>
      </c>
      <c r="B10804" s="132">
        <v>7.0037905568519999E-8</v>
      </c>
      <c r="C10804" s="133"/>
    </row>
    <row r="10805" spans="1:3">
      <c r="A10805" s="131" t="s">
        <v>1272</v>
      </c>
      <c r="B10805" s="132">
        <v>6.3010000000000002E-16</v>
      </c>
      <c r="C10805" s="133"/>
    </row>
    <row r="10806" spans="1:3">
      <c r="A10806" s="131" t="s">
        <v>1273</v>
      </c>
      <c r="B10806" s="132">
        <v>5.4099999999999997E-18</v>
      </c>
      <c r="C10806" s="133"/>
    </row>
    <row r="10807" spans="1:3">
      <c r="A10807" s="131" t="s">
        <v>1274</v>
      </c>
      <c r="B10807" s="132">
        <v>5.4099999999999997E-18</v>
      </c>
      <c r="C10807" s="133"/>
    </row>
    <row r="10808" spans="1:3">
      <c r="A10808" s="131" t="s">
        <v>1275</v>
      </c>
      <c r="B10808" s="132">
        <v>5.4099999999999997E-18</v>
      </c>
      <c r="C10808" s="133"/>
    </row>
    <row r="10809" spans="1:3">
      <c r="A10809" s="131" t="s">
        <v>1276</v>
      </c>
      <c r="B10809" s="132">
        <v>0.11625264098971023</v>
      </c>
      <c r="C10809" s="133"/>
    </row>
    <row r="10810" spans="1:3">
      <c r="A10810" s="131" t="s">
        <v>1277</v>
      </c>
      <c r="B10810" s="132">
        <v>0.22283890319527444</v>
      </c>
      <c r="C10810" s="133"/>
    </row>
    <row r="10811" spans="1:3">
      <c r="A10811" s="131" t="s">
        <v>1278</v>
      </c>
      <c r="B10811" s="132">
        <v>1.0169786425090848</v>
      </c>
      <c r="C10811" s="133"/>
    </row>
    <row r="10812" spans="1:3">
      <c r="A10812" s="131" t="s">
        <v>1279</v>
      </c>
      <c r="B10812" s="132">
        <v>4.33</v>
      </c>
      <c r="C10812" s="133"/>
    </row>
    <row r="10813" spans="1:3">
      <c r="A10813" s="131" t="s">
        <v>1280</v>
      </c>
      <c r="B10813" s="132">
        <v>16.483102701393257</v>
      </c>
      <c r="C10813" s="133"/>
    </row>
    <row r="10814" spans="1:3">
      <c r="A10814" s="131" t="s">
        <v>1281</v>
      </c>
      <c r="B10814" s="132">
        <v>1091.2</v>
      </c>
      <c r="C10814" s="133"/>
    </row>
    <row r="10815" spans="1:3">
      <c r="A10815" s="131" t="s">
        <v>1282</v>
      </c>
      <c r="B10815" s="132">
        <v>369.08</v>
      </c>
      <c r="C10815" s="133"/>
    </row>
    <row r="10816" spans="1:3">
      <c r="A10816" s="131" t="s">
        <v>1283</v>
      </c>
      <c r="B10816" s="132">
        <v>0.12285561073822585</v>
      </c>
      <c r="C10816" s="133"/>
    </row>
    <row r="10817" spans="1:3">
      <c r="A10817" s="131" t="s">
        <v>1284</v>
      </c>
      <c r="B10817" s="132">
        <v>2.75</v>
      </c>
      <c r="C10817" s="133"/>
    </row>
    <row r="10818" spans="1:3">
      <c r="A10818" s="131" t="s">
        <v>1285</v>
      </c>
      <c r="B10818" s="132">
        <v>6.22</v>
      </c>
      <c r="C10818" s="133"/>
    </row>
    <row r="10819" spans="1:3">
      <c r="A10819" s="131" t="s">
        <v>1286</v>
      </c>
      <c r="B10819" s="132">
        <v>3.43</v>
      </c>
      <c r="C10819" s="133"/>
    </row>
    <row r="10820" spans="1:3">
      <c r="A10820" s="131" t="s">
        <v>1287</v>
      </c>
      <c r="B10820" s="132">
        <v>8.2668394715186121E-4</v>
      </c>
      <c r="C10820" s="133"/>
    </row>
    <row r="10821" spans="1:3">
      <c r="A10821" s="131" t="s">
        <v>1288</v>
      </c>
      <c r="B10821" s="132">
        <v>2.08</v>
      </c>
      <c r="C10821" s="133"/>
    </row>
    <row r="10822" spans="1:3">
      <c r="A10822" s="131" t="s">
        <v>3238</v>
      </c>
      <c r="B10822" s="132">
        <v>4.46</v>
      </c>
      <c r="C10822" s="133"/>
    </row>
    <row r="10823" spans="1:3">
      <c r="A10823" s="131" t="s">
        <v>3239</v>
      </c>
      <c r="B10823" s="132">
        <v>2.0699999999999998</v>
      </c>
      <c r="C10823" s="133"/>
    </row>
    <row r="10824" spans="1:3">
      <c r="A10824" s="131" t="s">
        <v>3240</v>
      </c>
      <c r="B10824" s="132">
        <v>2.88</v>
      </c>
      <c r="C10824" s="133"/>
    </row>
    <row r="10825" spans="1:3">
      <c r="A10825" s="131" t="s">
        <v>3241</v>
      </c>
      <c r="B10825" s="132">
        <v>0.50997143984990223</v>
      </c>
      <c r="C10825" s="133"/>
    </row>
    <row r="10826" spans="1:3">
      <c r="A10826" s="131" t="s">
        <v>3242</v>
      </c>
      <c r="B10826" s="132">
        <v>0.1330879061596599</v>
      </c>
      <c r="C10826" s="133"/>
    </row>
    <row r="10827" spans="1:3">
      <c r="A10827" s="131" t="s">
        <v>3243</v>
      </c>
      <c r="B10827" s="132">
        <v>0.51116579069266155</v>
      </c>
      <c r="C10827" s="133"/>
    </row>
    <row r="10828" spans="1:3">
      <c r="A10828" s="131" t="s">
        <v>3244</v>
      </c>
      <c r="B10828" s="132">
        <v>4.21</v>
      </c>
      <c r="C10828" s="133"/>
    </row>
    <row r="10829" spans="1:3">
      <c r="A10829" s="131" t="s">
        <v>3245</v>
      </c>
      <c r="B10829" s="132">
        <v>3.27</v>
      </c>
      <c r="C10829" s="133"/>
    </row>
    <row r="10830" spans="1:3">
      <c r="A10830" s="131" t="s">
        <v>3246</v>
      </c>
      <c r="B10830" s="132">
        <v>1.8296352227863595</v>
      </c>
      <c r="C10830" s="133"/>
    </row>
    <row r="10831" spans="1:3">
      <c r="A10831" s="131" t="s">
        <v>3247</v>
      </c>
      <c r="B10831" s="132">
        <v>7.45</v>
      </c>
      <c r="C10831" s="133"/>
    </row>
    <row r="10832" spans="1:3">
      <c r="A10832" s="131" t="s">
        <v>3248</v>
      </c>
      <c r="B10832" s="132">
        <v>0.98359198869111575</v>
      </c>
      <c r="C10832" s="133"/>
    </row>
    <row r="10833" spans="1:3">
      <c r="A10833" s="131" t="s">
        <v>3249</v>
      </c>
      <c r="B10833" s="132">
        <v>1.3606252836211581</v>
      </c>
      <c r="C10833" s="133"/>
    </row>
    <row r="10834" spans="1:3">
      <c r="A10834" s="131" t="s">
        <v>3250</v>
      </c>
      <c r="B10834" s="132">
        <v>3.487905874831207E-2</v>
      </c>
      <c r="C10834" s="133"/>
    </row>
    <row r="10835" spans="1:3">
      <c r="A10835" s="131" t="s">
        <v>3251</v>
      </c>
      <c r="B10835" s="132">
        <v>0.50987857401785652</v>
      </c>
      <c r="C10835" s="133"/>
    </row>
    <row r="10836" spans="1:3">
      <c r="A10836" s="131" t="s">
        <v>3252</v>
      </c>
      <c r="B10836" s="132">
        <v>1.8884075622108718</v>
      </c>
      <c r="C10836" s="133"/>
    </row>
    <row r="10837" spans="1:3">
      <c r="A10837" s="131" t="s">
        <v>3253</v>
      </c>
      <c r="B10837" s="132">
        <v>4.37</v>
      </c>
      <c r="C10837" s="133"/>
    </row>
    <row r="10838" spans="1:3">
      <c r="A10838" s="131" t="s">
        <v>3254</v>
      </c>
      <c r="B10838" s="132">
        <v>1.0636646720382532E-8</v>
      </c>
      <c r="C10838" s="133"/>
    </row>
    <row r="10839" spans="1:3">
      <c r="A10839" s="131" t="s">
        <v>3255</v>
      </c>
      <c r="B10839" s="132">
        <v>0.50180935057064413</v>
      </c>
      <c r="C10839" s="133"/>
    </row>
    <row r="10840" spans="1:3">
      <c r="A10840" s="131" t="s">
        <v>3256</v>
      </c>
      <c r="B10840" s="132">
        <v>3.38</v>
      </c>
      <c r="C10840" s="133"/>
    </row>
    <row r="10841" spans="1:3">
      <c r="A10841" s="131" t="s">
        <v>3257</v>
      </c>
      <c r="B10841" s="132">
        <v>2.7389899718384757E-5</v>
      </c>
      <c r="C10841" s="133"/>
    </row>
    <row r="10842" spans="1:3">
      <c r="A10842" s="131" t="s">
        <v>3258</v>
      </c>
      <c r="B10842" s="132">
        <v>4.7440021646984655E-6</v>
      </c>
      <c r="C10842" s="133"/>
    </row>
    <row r="10843" spans="1:3">
      <c r="A10843" s="131" t="s">
        <v>3259</v>
      </c>
      <c r="B10843" s="132">
        <v>0.32926997542381287</v>
      </c>
      <c r="C10843" s="133"/>
    </row>
    <row r="10844" spans="1:3">
      <c r="A10844" s="131" t="s">
        <v>3260</v>
      </c>
      <c r="B10844" s="132">
        <v>0.84451926635837637</v>
      </c>
      <c r="C10844" s="133"/>
    </row>
    <row r="10845" spans="1:3">
      <c r="A10845" s="131" t="s">
        <v>3261</v>
      </c>
      <c r="B10845" s="132">
        <v>0.37585454281639258</v>
      </c>
      <c r="C10845" s="133"/>
    </row>
    <row r="10846" spans="1:3">
      <c r="A10846" s="131" t="s">
        <v>3262</v>
      </c>
      <c r="B10846" s="132">
        <v>8.3368192779639787E-9</v>
      </c>
      <c r="C10846" s="133"/>
    </row>
    <row r="10847" spans="1:3">
      <c r="A10847" s="131" t="s">
        <v>3263</v>
      </c>
      <c r="B10847" s="132">
        <v>0.11661772988689051</v>
      </c>
      <c r="C10847" s="133"/>
    </row>
    <row r="10848" spans="1:3">
      <c r="A10848" s="131" t="s">
        <v>3264</v>
      </c>
      <c r="B10848" s="132">
        <v>0.62344749878601724</v>
      </c>
      <c r="C10848" s="133"/>
    </row>
    <row r="10849" spans="1:3">
      <c r="A10849" s="131" t="s">
        <v>3265</v>
      </c>
      <c r="B10849" s="132">
        <v>0.42867806310208362</v>
      </c>
      <c r="C10849" s="133"/>
    </row>
    <row r="10850" spans="1:3">
      <c r="A10850" s="131" t="s">
        <v>3266</v>
      </c>
      <c r="B10850" s="132">
        <v>0.1494830591051855</v>
      </c>
      <c r="C10850" s="133"/>
    </row>
    <row r="10851" spans="1:3">
      <c r="A10851" s="131" t="s">
        <v>3267</v>
      </c>
      <c r="B10851" s="132">
        <v>0.81344915610237845</v>
      </c>
      <c r="C10851" s="133"/>
    </row>
    <row r="10852" spans="1:3">
      <c r="A10852" s="131" t="s">
        <v>3268</v>
      </c>
      <c r="B10852" s="132">
        <v>9.0804676522748345E-2</v>
      </c>
      <c r="C10852" s="133"/>
    </row>
    <row r="10853" spans="1:3">
      <c r="A10853" s="131" t="s">
        <v>3269</v>
      </c>
      <c r="B10853" s="132">
        <v>0.17719445333333333</v>
      </c>
      <c r="C10853" s="133"/>
    </row>
    <row r="10854" spans="1:3">
      <c r="A10854" s="131" t="s">
        <v>3270</v>
      </c>
      <c r="B10854" s="132">
        <v>0.5783084755574176</v>
      </c>
      <c r="C10854" s="133"/>
    </row>
    <row r="10855" spans="1:3">
      <c r="A10855" s="131" t="s">
        <v>3271</v>
      </c>
      <c r="B10855" s="132">
        <v>1.5220102726501765</v>
      </c>
      <c r="C10855" s="133"/>
    </row>
    <row r="10856" spans="1:3">
      <c r="A10856" s="131" t="s">
        <v>3272</v>
      </c>
      <c r="B10856" s="132">
        <v>22.26</v>
      </c>
      <c r="C10856" s="133"/>
    </row>
    <row r="10857" spans="1:3">
      <c r="A10857" s="131" t="s">
        <v>3273</v>
      </c>
      <c r="B10857" s="132">
        <v>7.7407913217382562E-3</v>
      </c>
      <c r="C10857" s="133"/>
    </row>
    <row r="10858" spans="1:3">
      <c r="A10858" s="131" t="s">
        <v>3274</v>
      </c>
      <c r="B10858" s="132">
        <v>3.86</v>
      </c>
      <c r="C10858" s="133"/>
    </row>
    <row r="10859" spans="1:3">
      <c r="A10859" s="131" t="s">
        <v>3275</v>
      </c>
      <c r="B10859" s="132">
        <v>0.11387600497271627</v>
      </c>
      <c r="C10859" s="133"/>
    </row>
    <row r="10860" spans="1:3">
      <c r="A10860" s="131" t="s">
        <v>3276</v>
      </c>
      <c r="B10860" s="132">
        <v>0.53042382307832969</v>
      </c>
      <c r="C10860" s="133"/>
    </row>
    <row r="10861" spans="1:3">
      <c r="A10861" s="131" t="s">
        <v>3277</v>
      </c>
      <c r="B10861" s="132">
        <v>0.27015785695781663</v>
      </c>
      <c r="C10861" s="133"/>
    </row>
    <row r="10862" spans="1:3">
      <c r="A10862" s="131" t="s">
        <v>3278</v>
      </c>
      <c r="B10862" s="132">
        <v>0.20807053293466063</v>
      </c>
      <c r="C10862" s="133"/>
    </row>
    <row r="10863" spans="1:3">
      <c r="A10863" s="131" t="s">
        <v>3279</v>
      </c>
      <c r="B10863" s="132">
        <v>0.96998884286582387</v>
      </c>
      <c r="C10863" s="133"/>
    </row>
    <row r="10864" spans="1:3">
      <c r="A10864" s="131" t="s">
        <v>3280</v>
      </c>
      <c r="B10864" s="132">
        <v>3.6927816856185014E-2</v>
      </c>
      <c r="C10864" s="133"/>
    </row>
    <row r="10865" spans="1:3">
      <c r="A10865" s="131" t="s">
        <v>3281</v>
      </c>
      <c r="B10865" s="132">
        <v>0.63484732980036163</v>
      </c>
      <c r="C10865" s="133"/>
    </row>
    <row r="10866" spans="1:3">
      <c r="A10866" s="131" t="s">
        <v>3282</v>
      </c>
      <c r="B10866" s="132">
        <v>0.11755525539731881</v>
      </c>
      <c r="C10866" s="133"/>
    </row>
    <row r="10867" spans="1:3">
      <c r="A10867" s="131" t="s">
        <v>3283</v>
      </c>
      <c r="B10867" s="132">
        <v>0.33016787066977488</v>
      </c>
      <c r="C10867" s="133"/>
    </row>
    <row r="10868" spans="1:3">
      <c r="A10868" s="131" t="s">
        <v>3284</v>
      </c>
      <c r="B10868" s="132">
        <v>1.617706517738033E-2</v>
      </c>
      <c r="C10868" s="133"/>
    </row>
    <row r="10869" spans="1:3">
      <c r="A10869" s="131" t="s">
        <v>3285</v>
      </c>
      <c r="B10869" s="132">
        <v>0.40992732666666665</v>
      </c>
      <c r="C10869" s="133"/>
    </row>
    <row r="10870" spans="1:3">
      <c r="A10870" s="131" t="s">
        <v>3286</v>
      </c>
      <c r="B10870" s="132">
        <v>1.4608273333333331E-4</v>
      </c>
      <c r="C10870" s="133"/>
    </row>
    <row r="10871" spans="1:3">
      <c r="A10871" s="131" t="s">
        <v>3287</v>
      </c>
      <c r="B10871" s="132">
        <v>3.1150394047145178E-10</v>
      </c>
      <c r="C10871" s="133"/>
    </row>
    <row r="10872" spans="1:3">
      <c r="A10872" s="131" t="s">
        <v>3288</v>
      </c>
      <c r="B10872" s="132">
        <v>7.9857808198356478E-4</v>
      </c>
      <c r="C10872" s="133"/>
    </row>
    <row r="10873" spans="1:3">
      <c r="A10873" s="131" t="s">
        <v>3289</v>
      </c>
      <c r="B10873" s="132">
        <v>9.1415947120234257E-3</v>
      </c>
      <c r="C10873" s="133"/>
    </row>
    <row r="10874" spans="1:3">
      <c r="A10874" s="131" t="s">
        <v>3290</v>
      </c>
      <c r="B10874" s="132">
        <v>4.0197010286347791E-2</v>
      </c>
      <c r="C10874" s="133"/>
    </row>
    <row r="10875" spans="1:3">
      <c r="A10875" s="131" t="s">
        <v>3291</v>
      </c>
      <c r="B10875" s="132">
        <v>46.39</v>
      </c>
      <c r="C10875" s="133"/>
    </row>
    <row r="10876" spans="1:3">
      <c r="A10876" s="131" t="s">
        <v>3292</v>
      </c>
      <c r="B10876" s="132">
        <v>0.14878768033175313</v>
      </c>
      <c r="C10876" s="133"/>
    </row>
    <row r="10877" spans="1:3">
      <c r="A10877" s="131" t="s">
        <v>3293</v>
      </c>
      <c r="B10877" s="132">
        <v>476.03</v>
      </c>
      <c r="C10877" s="133"/>
    </row>
    <row r="10878" spans="1:3">
      <c r="A10878" s="131" t="s">
        <v>3294</v>
      </c>
      <c r="B10878" s="132">
        <v>172.58</v>
      </c>
      <c r="C10878" s="133"/>
    </row>
    <row r="10879" spans="1:3">
      <c r="A10879" s="131" t="s">
        <v>3295</v>
      </c>
      <c r="B10879" s="132">
        <v>0.1994513278070999</v>
      </c>
      <c r="C10879" s="133"/>
    </row>
    <row r="10880" spans="1:3">
      <c r="A10880" s="131" t="s">
        <v>3296</v>
      </c>
      <c r="B10880" s="132">
        <v>5.6158982742156749E-10</v>
      </c>
      <c r="C10880" s="133"/>
    </row>
    <row r="10881" spans="1:3">
      <c r="A10881" s="131" t="s">
        <v>3297</v>
      </c>
      <c r="B10881" s="132">
        <v>1.2875613047975455E-2</v>
      </c>
      <c r="C10881" s="133"/>
    </row>
    <row r="10882" spans="1:3">
      <c r="A10882" s="131" t="s">
        <v>3298</v>
      </c>
      <c r="B10882" s="132">
        <v>77.09</v>
      </c>
      <c r="C10882" s="133"/>
    </row>
    <row r="10883" spans="1:3">
      <c r="A10883" s="131" t="s">
        <v>3299</v>
      </c>
      <c r="B10883" s="132">
        <v>1.1602826019151271</v>
      </c>
      <c r="C10883" s="133"/>
    </row>
    <row r="10884" spans="1:3">
      <c r="A10884" s="131" t="s">
        <v>3300</v>
      </c>
      <c r="B10884" s="132">
        <v>2.8</v>
      </c>
      <c r="C10884" s="133"/>
    </row>
    <row r="10885" spans="1:3">
      <c r="A10885" s="131" t="s">
        <v>3301</v>
      </c>
      <c r="B10885" s="132">
        <v>8.9700000000000006</v>
      </c>
      <c r="C10885" s="133"/>
    </row>
    <row r="10886" spans="1:3">
      <c r="A10886" s="131" t="s">
        <v>3302</v>
      </c>
      <c r="B10886" s="132">
        <v>5.0029979987999983E-2</v>
      </c>
      <c r="C10886" s="133"/>
    </row>
    <row r="10887" spans="1:3">
      <c r="A10887" s="131" t="s">
        <v>3303</v>
      </c>
      <c r="B10887" s="132">
        <v>1.0846238601256641E-19</v>
      </c>
      <c r="C10887" s="133"/>
    </row>
    <row r="10888" spans="1:3">
      <c r="A10888" s="131" t="s">
        <v>3304</v>
      </c>
      <c r="B10888" s="132">
        <v>0.14167354716908021</v>
      </c>
      <c r="C10888" s="133"/>
    </row>
    <row r="10889" spans="1:3">
      <c r="A10889" s="131" t="s">
        <v>3305</v>
      </c>
      <c r="B10889" s="132">
        <v>0.14190431299490935</v>
      </c>
      <c r="C10889" s="133"/>
    </row>
    <row r="10890" spans="1:3">
      <c r="A10890" s="131" t="s">
        <v>3306</v>
      </c>
      <c r="B10890" s="132">
        <v>3.25188239246775</v>
      </c>
      <c r="C10890" s="133"/>
    </row>
    <row r="10891" spans="1:3">
      <c r="A10891" s="131" t="s">
        <v>3307</v>
      </c>
      <c r="B10891" s="132">
        <v>5.231304040977449E-2</v>
      </c>
      <c r="C10891" s="133"/>
    </row>
    <row r="10892" spans="1:3">
      <c r="A10892" s="131" t="s">
        <v>3308</v>
      </c>
      <c r="B10892" s="132">
        <v>1.0656006229923922</v>
      </c>
      <c r="C10892" s="133"/>
    </row>
    <row r="10893" spans="1:3">
      <c r="A10893" s="131" t="s">
        <v>3309</v>
      </c>
      <c r="B10893" s="132">
        <v>2.6245355409548338E-2</v>
      </c>
      <c r="C10893" s="133"/>
    </row>
    <row r="10894" spans="1:3">
      <c r="A10894" s="131" t="s">
        <v>3310</v>
      </c>
      <c r="B10894" s="132">
        <v>1.8980723189159542E-16</v>
      </c>
      <c r="C10894" s="133"/>
    </row>
    <row r="10895" spans="1:3">
      <c r="A10895" s="131" t="s">
        <v>3311</v>
      </c>
      <c r="B10895" s="132">
        <v>1.3309038687570796</v>
      </c>
      <c r="C10895" s="133"/>
    </row>
    <row r="10896" spans="1:3">
      <c r="A10896" s="131" t="s">
        <v>3312</v>
      </c>
      <c r="B10896" s="132">
        <v>0.26524443799392533</v>
      </c>
      <c r="C10896" s="133"/>
    </row>
    <row r="10897" spans="1:3">
      <c r="A10897" s="131" t="s">
        <v>3313</v>
      </c>
      <c r="B10897" s="132">
        <v>0.33749772858316496</v>
      </c>
      <c r="C10897" s="133"/>
    </row>
    <row r="10898" spans="1:3">
      <c r="A10898" s="131" t="s">
        <v>3314</v>
      </c>
      <c r="B10898" s="132">
        <v>1.989238858460452E-3</v>
      </c>
      <c r="C10898" s="133"/>
    </row>
    <row r="10899" spans="1:3">
      <c r="A10899" s="131" t="s">
        <v>3315</v>
      </c>
      <c r="B10899" s="132">
        <v>3.914995186366991E-5</v>
      </c>
      <c r="C10899" s="133"/>
    </row>
    <row r="10900" spans="1:3">
      <c r="A10900" s="131" t="s">
        <v>3316</v>
      </c>
      <c r="B10900" s="132">
        <v>0.25791767258538034</v>
      </c>
      <c r="C10900" s="133"/>
    </row>
    <row r="10901" spans="1:3">
      <c r="A10901" s="131" t="s">
        <v>3317</v>
      </c>
      <c r="B10901" s="132">
        <v>1.7101615147039904E-6</v>
      </c>
      <c r="C10901" s="133"/>
    </row>
    <row r="10902" spans="1:3">
      <c r="A10902" s="131" t="s">
        <v>3318</v>
      </c>
      <c r="B10902" s="132">
        <v>0.29801237779734308</v>
      </c>
      <c r="C10902" s="133"/>
    </row>
    <row r="10903" spans="1:3">
      <c r="A10903" s="131" t="s">
        <v>3319</v>
      </c>
      <c r="B10903" s="132">
        <v>0.24189911997366842</v>
      </c>
      <c r="C10903" s="133"/>
    </row>
    <row r="10904" spans="1:3">
      <c r="A10904" s="131" t="s">
        <v>3320</v>
      </c>
      <c r="B10904" s="132">
        <v>3.1660443072895838E-9</v>
      </c>
      <c r="C10904" s="133"/>
    </row>
    <row r="10905" spans="1:3">
      <c r="A10905" s="131" t="s">
        <v>3321</v>
      </c>
      <c r="B10905" s="132">
        <v>2.6858711245356814E-4</v>
      </c>
      <c r="C10905" s="133"/>
    </row>
    <row r="10906" spans="1:3">
      <c r="A10906" s="131" t="s">
        <v>3322</v>
      </c>
      <c r="B10906" s="132">
        <v>5.1191532204001703E-7</v>
      </c>
      <c r="C10906" s="133"/>
    </row>
    <row r="10907" spans="1:3">
      <c r="A10907" s="131" t="s">
        <v>3323</v>
      </c>
      <c r="B10907" s="132">
        <v>3.5531305999999996E-3</v>
      </c>
      <c r="C10907" s="133"/>
    </row>
    <row r="10908" spans="1:3">
      <c r="A10908" s="131" t="s">
        <v>3324</v>
      </c>
      <c r="B10908" s="132">
        <v>7.88</v>
      </c>
      <c r="C10908" s="133"/>
    </row>
    <row r="10909" spans="1:3">
      <c r="A10909" s="131" t="s">
        <v>3325</v>
      </c>
      <c r="B10909" s="132">
        <v>0.12036161910735391</v>
      </c>
      <c r="C10909" s="133"/>
    </row>
    <row r="10910" spans="1:3">
      <c r="A10910" s="131" t="s">
        <v>3326</v>
      </c>
      <c r="B10910" s="132">
        <v>6.91</v>
      </c>
      <c r="C10910" s="133"/>
    </row>
    <row r="10911" spans="1:3">
      <c r="A10911" s="131" t="s">
        <v>3327</v>
      </c>
      <c r="B10911" s="132">
        <v>3.6225388018060206E-4</v>
      </c>
      <c r="C10911" s="133"/>
    </row>
    <row r="10912" spans="1:3">
      <c r="A10912" s="131" t="s">
        <v>3328</v>
      </c>
      <c r="B10912" s="132">
        <v>6.6049775313599991E-3</v>
      </c>
      <c r="C10912" s="133"/>
    </row>
    <row r="10913" spans="1:3">
      <c r="A10913" s="131" t="s">
        <v>3329</v>
      </c>
      <c r="B10913" s="132">
        <v>7.7717231378761242E-2</v>
      </c>
      <c r="C10913" s="133"/>
    </row>
    <row r="10914" spans="1:3">
      <c r="A10914" s="131" t="s">
        <v>3330</v>
      </c>
      <c r="B10914" s="132">
        <v>1.0071499855257571E-4</v>
      </c>
      <c r="C10914" s="133"/>
    </row>
    <row r="10915" spans="1:3">
      <c r="A10915" s="131" t="s">
        <v>3331</v>
      </c>
      <c r="B10915" s="132">
        <v>1.8127000657841563E-5</v>
      </c>
      <c r="C10915" s="133"/>
    </row>
    <row r="10916" spans="1:3">
      <c r="A10916" s="131" t="s">
        <v>3332</v>
      </c>
      <c r="B10916" s="132">
        <v>6.5326471466666667E-7</v>
      </c>
      <c r="C10916" s="133"/>
    </row>
    <row r="10917" spans="1:3">
      <c r="A10917" s="131" t="s">
        <v>3333</v>
      </c>
      <c r="B10917" s="132">
        <v>1039.33</v>
      </c>
      <c r="C10917" s="133"/>
    </row>
    <row r="10918" spans="1:3">
      <c r="A10918" s="131" t="s">
        <v>3334</v>
      </c>
      <c r="B10918" s="132">
        <v>2.9389568101428177E-36</v>
      </c>
      <c r="C10918" s="133"/>
    </row>
    <row r="10919" spans="1:3">
      <c r="A10919" s="131" t="s">
        <v>3335</v>
      </c>
      <c r="B10919" s="132">
        <v>1.3582176048879762E-3</v>
      </c>
      <c r="C10919" s="133"/>
    </row>
    <row r="10920" spans="1:3">
      <c r="A10920" s="131" t="s">
        <v>3336</v>
      </c>
      <c r="B10920" s="132">
        <v>7.6030437328529848E-2</v>
      </c>
      <c r="C10920" s="133"/>
    </row>
    <row r="10921" spans="1:3">
      <c r="A10921" s="131" t="s">
        <v>3337</v>
      </c>
      <c r="B10921" s="132">
        <v>4.9897692588766551</v>
      </c>
      <c r="C10921" s="133"/>
    </row>
    <row r="10922" spans="1:3">
      <c r="A10922" s="131" t="s">
        <v>3338</v>
      </c>
      <c r="B10922" s="132">
        <v>3.0015999999999995E-4</v>
      </c>
      <c r="C10922" s="133"/>
    </row>
    <row r="10923" spans="1:3">
      <c r="A10923" s="131" t="s">
        <v>3339</v>
      </c>
      <c r="B10923" s="132">
        <v>4.5478861674588228E-2</v>
      </c>
      <c r="C10923" s="133"/>
    </row>
    <row r="10924" spans="1:3">
      <c r="A10924" s="131" t="s">
        <v>3340</v>
      </c>
      <c r="B10924" s="132">
        <v>2.6291774646164211E-4</v>
      </c>
      <c r="C10924" s="133"/>
    </row>
    <row r="10925" spans="1:3">
      <c r="A10925" s="131" t="s">
        <v>3341</v>
      </c>
      <c r="B10925" s="132">
        <v>4.8634462077100399E-8</v>
      </c>
      <c r="C10925" s="133"/>
    </row>
    <row r="10926" spans="1:3">
      <c r="A10926" s="131" t="s">
        <v>3342</v>
      </c>
      <c r="B10926" s="132">
        <v>1.1622171057321014</v>
      </c>
      <c r="C10926" s="133"/>
    </row>
    <row r="10927" spans="1:3">
      <c r="A10927" s="131" t="s">
        <v>3343</v>
      </c>
      <c r="B10927" s="132">
        <v>1.1736717871624238E-3</v>
      </c>
      <c r="C10927" s="133"/>
    </row>
    <row r="10928" spans="1:3">
      <c r="A10928" s="131" t="s">
        <v>3344</v>
      </c>
      <c r="B10928" s="132">
        <v>2.4756594433920258E-4</v>
      </c>
      <c r="C10928" s="133"/>
    </row>
    <row r="10929" spans="1:3">
      <c r="A10929" s="131" t="s">
        <v>3345</v>
      </c>
      <c r="B10929" s="132">
        <v>1.6913467001772442E-6</v>
      </c>
      <c r="C10929" s="133"/>
    </row>
    <row r="10930" spans="1:3">
      <c r="A10930" s="131" t="s">
        <v>3346</v>
      </c>
      <c r="B10930" s="132">
        <v>2.1968896431777849E-3</v>
      </c>
      <c r="C10930" s="133"/>
    </row>
    <row r="10931" spans="1:3">
      <c r="A10931" s="131" t="s">
        <v>3347</v>
      </c>
      <c r="B10931" s="132">
        <v>2.3713031815833668E-3</v>
      </c>
      <c r="C10931" s="133"/>
    </row>
    <row r="10932" spans="1:3">
      <c r="A10932" s="131" t="s">
        <v>3348</v>
      </c>
      <c r="B10932" s="132">
        <v>1.1003659659056897E-3</v>
      </c>
      <c r="C10932" s="133"/>
    </row>
    <row r="10933" spans="1:3">
      <c r="A10933" s="131" t="s">
        <v>3349</v>
      </c>
      <c r="B10933" s="132">
        <v>3</v>
      </c>
      <c r="C10933" s="133"/>
    </row>
    <row r="10934" spans="1:3">
      <c r="A10934" s="131" t="s">
        <v>3350</v>
      </c>
      <c r="B10934" s="132">
        <v>1.5022006942436078E-9</v>
      </c>
      <c r="C10934" s="133"/>
    </row>
    <row r="10935" spans="1:3">
      <c r="A10935" s="131" t="s">
        <v>3351</v>
      </c>
      <c r="B10935" s="132">
        <v>6.3140525828015879E-4</v>
      </c>
      <c r="C10935" s="133"/>
    </row>
    <row r="10936" spans="1:3">
      <c r="A10936" s="131" t="s">
        <v>3352</v>
      </c>
      <c r="B10936" s="132">
        <v>1.0008535066666666E-10</v>
      </c>
      <c r="C10936" s="133"/>
    </row>
    <row r="10937" spans="1:3">
      <c r="A10937" s="131" t="s">
        <v>3353</v>
      </c>
      <c r="B10937" s="132">
        <v>0.13116428433333333</v>
      </c>
      <c r="C10937" s="133"/>
    </row>
    <row r="10938" spans="1:3">
      <c r="A10938" s="131" t="s">
        <v>3354</v>
      </c>
      <c r="B10938" s="132">
        <v>1.9750843399999993</v>
      </c>
      <c r="C10938" s="133"/>
    </row>
    <row r="10939" spans="1:3">
      <c r="A10939" s="131" t="s">
        <v>3355</v>
      </c>
      <c r="B10939" s="132">
        <v>10.99</v>
      </c>
      <c r="C10939" s="133"/>
    </row>
    <row r="10940" spans="1:3">
      <c r="A10940" s="131" t="s">
        <v>3356</v>
      </c>
      <c r="B10940" s="132">
        <v>4.2543859916649679E-13</v>
      </c>
      <c r="C10940" s="133"/>
    </row>
    <row r="10941" spans="1:3">
      <c r="A10941" s="131" t="s">
        <v>3357</v>
      </c>
      <c r="B10941" s="132">
        <v>1.2487071999999998E-4</v>
      </c>
      <c r="C10941" s="133"/>
    </row>
    <row r="10942" spans="1:3">
      <c r="A10942" s="131" t="s">
        <v>3358</v>
      </c>
      <c r="B10942" s="132">
        <v>5.0590834209834189E-3</v>
      </c>
      <c r="C10942" s="133"/>
    </row>
    <row r="10943" spans="1:3">
      <c r="A10943" s="131" t="s">
        <v>3359</v>
      </c>
      <c r="B10943" s="132">
        <v>4.4183328905113608E-6</v>
      </c>
      <c r="C10943" s="133"/>
    </row>
    <row r="10944" spans="1:3">
      <c r="A10944" s="131" t="s">
        <v>3360</v>
      </c>
      <c r="B10944" s="132">
        <v>1.6980604731708544E-3</v>
      </c>
      <c r="C10944" s="133"/>
    </row>
    <row r="10945" spans="1:3">
      <c r="A10945" s="131" t="s">
        <v>3361</v>
      </c>
      <c r="B10945" s="132">
        <v>0.34998105441973359</v>
      </c>
      <c r="C10945" s="133"/>
    </row>
    <row r="10946" spans="1:3">
      <c r="A10946" s="131" t="s">
        <v>3362</v>
      </c>
      <c r="B10946" s="132">
        <v>1.1588849931158549</v>
      </c>
      <c r="C10946" s="133"/>
    </row>
    <row r="10947" spans="1:3">
      <c r="A10947" s="131" t="s">
        <v>3363</v>
      </c>
      <c r="B10947" s="132">
        <v>2.4934951999999993E-3</v>
      </c>
      <c r="C10947" s="133"/>
    </row>
    <row r="10948" spans="1:3">
      <c r="A10948" s="131" t="s">
        <v>3364</v>
      </c>
      <c r="B10948" s="132">
        <v>9.6974738921500964E-2</v>
      </c>
      <c r="C10948" s="133"/>
    </row>
    <row r="10949" spans="1:3">
      <c r="A10949" s="131" t="s">
        <v>3365</v>
      </c>
      <c r="B10949" s="132">
        <v>0.1586678187210058</v>
      </c>
      <c r="C10949" s="133"/>
    </row>
    <row r="10950" spans="1:3">
      <c r="A10950" s="131" t="s">
        <v>3366</v>
      </c>
      <c r="B10950" s="132">
        <v>1.3103493333333334E-9</v>
      </c>
      <c r="C10950" s="133"/>
    </row>
    <row r="10951" spans="1:3">
      <c r="A10951" s="131" t="s">
        <v>3367</v>
      </c>
      <c r="B10951" s="132">
        <v>1.4521292390313936</v>
      </c>
      <c r="C10951" s="133"/>
    </row>
    <row r="10952" spans="1:3">
      <c r="A10952" s="131" t="s">
        <v>3368</v>
      </c>
      <c r="B10952" s="132">
        <v>3.25</v>
      </c>
      <c r="C10952" s="133"/>
    </row>
    <row r="10953" spans="1:3">
      <c r="A10953" s="131" t="s">
        <v>3369</v>
      </c>
      <c r="B10953" s="132">
        <v>4.7104268670979547E-2</v>
      </c>
      <c r="C10953" s="133"/>
    </row>
    <row r="10954" spans="1:3">
      <c r="A10954" s="131" t="s">
        <v>3370</v>
      </c>
      <c r="B10954" s="132">
        <v>4.1140658832514207E-6</v>
      </c>
      <c r="C10954" s="133"/>
    </row>
    <row r="10955" spans="1:3">
      <c r="A10955" s="131" t="s">
        <v>3371</v>
      </c>
      <c r="B10955" s="132">
        <v>1.501893612772959E-4</v>
      </c>
      <c r="C10955" s="133"/>
    </row>
    <row r="10956" spans="1:3">
      <c r="A10956" s="131" t="s">
        <v>3372</v>
      </c>
      <c r="B10956" s="132">
        <v>5.8989994166666667E-13</v>
      </c>
      <c r="C10956" s="133"/>
    </row>
    <row r="10957" spans="1:3">
      <c r="A10957" s="131" t="s">
        <v>3373</v>
      </c>
      <c r="B10957" s="132">
        <v>2372937</v>
      </c>
      <c r="C10957" s="133"/>
    </row>
    <row r="10958" spans="1:3">
      <c r="A10958" s="131" t="s">
        <v>3374</v>
      </c>
      <c r="B10958" s="132">
        <v>1.6310969457522576E-8</v>
      </c>
      <c r="C10958" s="133"/>
    </row>
    <row r="10959" spans="1:3">
      <c r="A10959" s="131" t="s">
        <v>3375</v>
      </c>
      <c r="B10959" s="132">
        <v>3.4267588500312796E-8</v>
      </c>
      <c r="C10959" s="133"/>
    </row>
    <row r="10960" spans="1:3">
      <c r="A10960" s="131" t="s">
        <v>3376</v>
      </c>
      <c r="B10960" s="132">
        <v>2.2410727673739791E-2</v>
      </c>
      <c r="C10960" s="133"/>
    </row>
    <row r="10961" spans="1:3">
      <c r="A10961" s="131" t="s">
        <v>3377</v>
      </c>
      <c r="B10961" s="132">
        <v>0.26055753748538163</v>
      </c>
      <c r="C10961" s="133"/>
    </row>
    <row r="10962" spans="1:3">
      <c r="A10962" s="131" t="s">
        <v>3378</v>
      </c>
      <c r="B10962" s="132">
        <v>1.5832499184713793E-6</v>
      </c>
      <c r="C10962" s="133"/>
    </row>
    <row r="10963" spans="1:3">
      <c r="A10963" s="131" t="s">
        <v>3379</v>
      </c>
      <c r="B10963" s="132">
        <v>2.4019142972581887E-2</v>
      </c>
      <c r="C10963" s="133"/>
    </row>
    <row r="10964" spans="1:3">
      <c r="A10964" s="131" t="s">
        <v>3380</v>
      </c>
      <c r="B10964" s="132">
        <v>2.4716295386554066E-2</v>
      </c>
      <c r="C10964" s="133"/>
    </row>
    <row r="10965" spans="1:3">
      <c r="A10965" s="131" t="s">
        <v>3381</v>
      </c>
      <c r="B10965" s="132">
        <v>2.465227574870964E-8</v>
      </c>
      <c r="C10965" s="133"/>
    </row>
    <row r="10966" spans="1:3">
      <c r="A10966" s="131" t="s">
        <v>3382</v>
      </c>
      <c r="B10966" s="132">
        <v>2.11</v>
      </c>
      <c r="C10966" s="133"/>
    </row>
    <row r="10967" spans="1:3">
      <c r="A10967" s="131" t="s">
        <v>3383</v>
      </c>
      <c r="B10967" s="132">
        <v>0.47003133333333319</v>
      </c>
      <c r="C10967" s="133"/>
    </row>
    <row r="10968" spans="1:3">
      <c r="A10968" s="131" t="s">
        <v>3384</v>
      </c>
      <c r="B10968" s="132">
        <v>1202.47</v>
      </c>
      <c r="C10968" s="133"/>
    </row>
    <row r="10969" spans="1:3">
      <c r="A10969" s="131" t="s">
        <v>3385</v>
      </c>
      <c r="B10969" s="132">
        <v>3.5543635324466104E-2</v>
      </c>
      <c r="C10969" s="133"/>
    </row>
    <row r="10970" spans="1:3">
      <c r="A10970" s="131" t="s">
        <v>3386</v>
      </c>
      <c r="B10970" s="132">
        <v>0.41633749076472004</v>
      </c>
      <c r="C10970" s="133"/>
    </row>
    <row r="10971" spans="1:3">
      <c r="A10971" s="131" t="s">
        <v>3387</v>
      </c>
      <c r="B10971" s="132">
        <v>2.8176368999040375E-2</v>
      </c>
      <c r="C10971" s="133"/>
    </row>
    <row r="10972" spans="1:3">
      <c r="A10972" s="131" t="s">
        <v>3388</v>
      </c>
      <c r="B10972" s="132">
        <v>4.1823686666666665E-4</v>
      </c>
      <c r="C10972" s="133"/>
    </row>
    <row r="10973" spans="1:3">
      <c r="A10973" s="131" t="s">
        <v>3389</v>
      </c>
      <c r="B10973" s="132">
        <v>2.9</v>
      </c>
      <c r="C10973" s="133"/>
    </row>
    <row r="10974" spans="1:3">
      <c r="A10974" s="131" t="s">
        <v>3390</v>
      </c>
      <c r="B10974" s="132">
        <v>5.0989217304300001E-7</v>
      </c>
      <c r="C10974" s="133"/>
    </row>
    <row r="10975" spans="1:3">
      <c r="A10975" s="131" t="s">
        <v>3391</v>
      </c>
      <c r="B10975" s="132">
        <v>1.0723745396997713</v>
      </c>
      <c r="C10975" s="133"/>
    </row>
    <row r="10976" spans="1:3">
      <c r="A10976" s="131" t="s">
        <v>3392</v>
      </c>
      <c r="B10976" s="132">
        <v>1.0021008999999997E-2</v>
      </c>
      <c r="C10976" s="133"/>
    </row>
    <row r="10977" spans="1:3">
      <c r="A10977" s="131" t="s">
        <v>3393</v>
      </c>
      <c r="B10977" s="132">
        <v>2.4131026934199995E-2</v>
      </c>
      <c r="C10977" s="133"/>
    </row>
    <row r="10978" spans="1:3">
      <c r="A10978" s="131" t="s">
        <v>3394</v>
      </c>
      <c r="B10978" s="132">
        <v>3.658193599999999E-3</v>
      </c>
      <c r="C10978" s="133"/>
    </row>
    <row r="10979" spans="1:3">
      <c r="A10979" s="131" t="s">
        <v>3395</v>
      </c>
      <c r="B10979" s="132">
        <v>1.3928287549898668E-2</v>
      </c>
      <c r="C10979" s="133"/>
    </row>
    <row r="10980" spans="1:3">
      <c r="A10980" s="131" t="s">
        <v>3396</v>
      </c>
      <c r="B10980" s="132">
        <v>9.993080205625248E-10</v>
      </c>
      <c r="C10980" s="133"/>
    </row>
    <row r="10981" spans="1:3">
      <c r="A10981" s="131" t="s">
        <v>3397</v>
      </c>
      <c r="B10981" s="132">
        <v>2.0299999999999998</v>
      </c>
      <c r="C10981" s="133"/>
    </row>
    <row r="10982" spans="1:3">
      <c r="A10982" s="131" t="s">
        <v>3398</v>
      </c>
      <c r="B10982" s="132">
        <v>1.3707763333333332E-6</v>
      </c>
      <c r="C10982" s="133"/>
    </row>
    <row r="10983" spans="1:3">
      <c r="A10983" s="131" t="s">
        <v>3399</v>
      </c>
      <c r="B10983" s="132">
        <v>0.40684596531999145</v>
      </c>
      <c r="C10983" s="133"/>
    </row>
    <row r="10984" spans="1:3">
      <c r="A10984" s="131" t="s">
        <v>3400</v>
      </c>
      <c r="B10984" s="132">
        <v>7.9559214554911118E-7</v>
      </c>
      <c r="C10984" s="133"/>
    </row>
    <row r="10985" spans="1:3">
      <c r="A10985" s="131" t="s">
        <v>3401</v>
      </c>
      <c r="B10985" s="132">
        <v>7.9841734247274514E-10</v>
      </c>
      <c r="C10985" s="133"/>
    </row>
    <row r="10986" spans="1:3">
      <c r="A10986" s="131" t="s">
        <v>3402</v>
      </c>
      <c r="B10986" s="132">
        <v>0.31291399168604117</v>
      </c>
      <c r="C10986" s="133"/>
    </row>
    <row r="10987" spans="1:3">
      <c r="A10987" s="131" t="s">
        <v>3403</v>
      </c>
      <c r="B10987" s="132">
        <v>2.4414982598072221E-8</v>
      </c>
      <c r="C10987" s="133"/>
    </row>
    <row r="10988" spans="1:3">
      <c r="A10988" s="131" t="s">
        <v>3404</v>
      </c>
      <c r="B10988" s="132">
        <v>2.8</v>
      </c>
      <c r="C10988" s="133"/>
    </row>
    <row r="10989" spans="1:3">
      <c r="A10989" s="131" t="s">
        <v>3405</v>
      </c>
      <c r="B10989" s="132">
        <v>8.8295138081435146E-2</v>
      </c>
      <c r="C10989" s="133"/>
    </row>
    <row r="10990" spans="1:3">
      <c r="A10990" s="131" t="s">
        <v>3406</v>
      </c>
      <c r="B10990" s="132">
        <v>1.6319202446314838E-4</v>
      </c>
      <c r="C10990" s="133"/>
    </row>
    <row r="10991" spans="1:3">
      <c r="A10991" s="131" t="s">
        <v>3407</v>
      </c>
      <c r="B10991" s="132">
        <v>3.9105213333333333E-3</v>
      </c>
      <c r="C10991" s="133"/>
    </row>
    <row r="10992" spans="1:3">
      <c r="A10992" s="131" t="s">
        <v>3408</v>
      </c>
      <c r="B10992" s="132">
        <v>4.670633614807958E-8</v>
      </c>
      <c r="C10992" s="133"/>
    </row>
    <row r="10993" spans="1:3">
      <c r="A10993" s="131" t="s">
        <v>3409</v>
      </c>
      <c r="B10993" s="132">
        <v>9.3429036751357039E-3</v>
      </c>
      <c r="C10993" s="133"/>
    </row>
    <row r="10994" spans="1:3">
      <c r="A10994" s="131" t="s">
        <v>3410</v>
      </c>
      <c r="B10994" s="132">
        <v>5.1010200000000005E-6</v>
      </c>
      <c r="C10994" s="133"/>
    </row>
    <row r="10995" spans="1:3">
      <c r="A10995" s="131" t="s">
        <v>3411</v>
      </c>
      <c r="B10995" s="132">
        <v>3.3466038899225878E-2</v>
      </c>
      <c r="C10995" s="133"/>
    </row>
    <row r="10996" spans="1:3">
      <c r="A10996" s="131" t="s">
        <v>3412</v>
      </c>
      <c r="B10996" s="132">
        <v>2.4442966041183664E-2</v>
      </c>
      <c r="C10996" s="133"/>
    </row>
    <row r="10997" spans="1:3">
      <c r="A10997" s="131" t="s">
        <v>3413</v>
      </c>
      <c r="B10997" s="132">
        <v>43.23</v>
      </c>
      <c r="C10997" s="133"/>
    </row>
    <row r="10998" spans="1:3">
      <c r="A10998" s="131" t="s">
        <v>3414</v>
      </c>
      <c r="B10998" s="132">
        <v>1.3102920526430941E-7</v>
      </c>
      <c r="C10998" s="133"/>
    </row>
    <row r="10999" spans="1:3">
      <c r="A10999" s="131" t="s">
        <v>3415</v>
      </c>
      <c r="B10999" s="132">
        <v>2.1339246216701398E-8</v>
      </c>
      <c r="C10999" s="133"/>
    </row>
    <row r="11000" spans="1:3">
      <c r="A11000" s="131" t="s">
        <v>3416</v>
      </c>
      <c r="B11000" s="132">
        <v>7.12</v>
      </c>
      <c r="C11000" s="133"/>
    </row>
    <row r="11001" spans="1:3">
      <c r="A11001" s="131" t="s">
        <v>3417</v>
      </c>
      <c r="B11001" s="132">
        <v>3.0011999999999997E-4</v>
      </c>
      <c r="C11001" s="133"/>
    </row>
    <row r="11002" spans="1:3">
      <c r="A11002" s="131" t="s">
        <v>3418</v>
      </c>
      <c r="B11002" s="132">
        <v>1.2517390420299632E-10</v>
      </c>
      <c r="C11002" s="133"/>
    </row>
    <row r="11003" spans="1:3">
      <c r="A11003" s="131" t="s">
        <v>3419</v>
      </c>
      <c r="B11003" s="132">
        <v>3.8333108203754202E-7</v>
      </c>
      <c r="C11003" s="133"/>
    </row>
    <row r="11004" spans="1:3">
      <c r="A11004" s="131" t="s">
        <v>3420</v>
      </c>
      <c r="B11004" s="132">
        <v>4.4942592544942517E-15</v>
      </c>
      <c r="C11004" s="133"/>
    </row>
    <row r="11005" spans="1:3">
      <c r="A11005" s="131" t="s">
        <v>3421</v>
      </c>
      <c r="B11005" s="132">
        <v>0.2821463094454848</v>
      </c>
      <c r="C11005" s="133"/>
    </row>
    <row r="11006" spans="1:3">
      <c r="A11006" s="131" t="s">
        <v>3422</v>
      </c>
      <c r="B11006" s="132">
        <v>1.7379549103354695E-8</v>
      </c>
      <c r="C11006" s="133"/>
    </row>
    <row r="11007" spans="1:3">
      <c r="A11007" s="131" t="s">
        <v>3423</v>
      </c>
      <c r="B11007" s="132">
        <v>2.2463401754419787E-9</v>
      </c>
      <c r="C11007" s="133"/>
    </row>
    <row r="11008" spans="1:3">
      <c r="A11008" s="131" t="s">
        <v>3424</v>
      </c>
      <c r="B11008" s="132">
        <v>1.2466567047677342E-8</v>
      </c>
      <c r="C11008" s="133"/>
    </row>
    <row r="11009" spans="1:3">
      <c r="A11009" s="131" t="s">
        <v>3425</v>
      </c>
      <c r="B11009" s="132">
        <v>4.7358078854673755E-3</v>
      </c>
      <c r="C11009" s="133"/>
    </row>
    <row r="11010" spans="1:3">
      <c r="A11010" s="131" t="s">
        <v>3426</v>
      </c>
      <c r="B11010" s="132">
        <v>0.12419917458443772</v>
      </c>
      <c r="C11010" s="133"/>
    </row>
    <row r="11011" spans="1:3">
      <c r="A11011" s="131" t="s">
        <v>3427</v>
      </c>
      <c r="B11011" s="132">
        <v>3.28</v>
      </c>
      <c r="C11011" s="133"/>
    </row>
    <row r="11012" spans="1:3">
      <c r="A11012" s="131" t="s">
        <v>3428</v>
      </c>
      <c r="B11012" s="132">
        <v>1.3266510030276015</v>
      </c>
      <c r="C11012" s="133"/>
    </row>
    <row r="11013" spans="1:3">
      <c r="A11013" s="131" t="s">
        <v>3429</v>
      </c>
      <c r="B11013" s="132">
        <v>0.32792317705744334</v>
      </c>
      <c r="C11013" s="133"/>
    </row>
    <row r="11014" spans="1:3">
      <c r="A11014" s="131" t="s">
        <v>3430</v>
      </c>
      <c r="B11014" s="132">
        <v>0.20437340956942068</v>
      </c>
      <c r="C11014" s="133"/>
    </row>
    <row r="11015" spans="1:3">
      <c r="A11015" s="131" t="s">
        <v>3431</v>
      </c>
      <c r="B11015" s="132">
        <v>4.6702867173183012E-3</v>
      </c>
      <c r="C11015" s="133"/>
    </row>
    <row r="11016" spans="1:3">
      <c r="A11016" s="131" t="s">
        <v>3432</v>
      </c>
      <c r="B11016" s="132">
        <v>7.5983882216900936E-3</v>
      </c>
      <c r="C11016" s="133"/>
    </row>
    <row r="11017" spans="1:3">
      <c r="A11017" s="131" t="s">
        <v>3433</v>
      </c>
      <c r="B11017" s="132">
        <v>4.1449244546774135E-13</v>
      </c>
      <c r="C11017" s="133"/>
    </row>
    <row r="11018" spans="1:3">
      <c r="A11018" s="131" t="s">
        <v>3434</v>
      </c>
      <c r="B11018" s="132">
        <v>0.28465572519015192</v>
      </c>
      <c r="C11018" s="133"/>
    </row>
    <row r="11019" spans="1:3">
      <c r="A11019" s="131" t="s">
        <v>3435</v>
      </c>
      <c r="B11019" s="132">
        <v>1.9977009467271547</v>
      </c>
      <c r="C11019" s="133"/>
    </row>
    <row r="11020" spans="1:3">
      <c r="A11020" s="131" t="s">
        <v>3436</v>
      </c>
      <c r="B11020" s="132">
        <v>3.1317736666667036E-3</v>
      </c>
      <c r="C11020" s="133"/>
    </row>
    <row r="11021" spans="1:3">
      <c r="A11021" s="131" t="s">
        <v>3437</v>
      </c>
      <c r="B11021" s="132">
        <v>6.0781096303987505E-3</v>
      </c>
      <c r="C11021" s="133"/>
    </row>
    <row r="11022" spans="1:3">
      <c r="A11022" s="131" t="s">
        <v>3438</v>
      </c>
      <c r="B11022" s="132">
        <v>2.85</v>
      </c>
      <c r="C11022" s="133"/>
    </row>
    <row r="11023" spans="1:3">
      <c r="A11023" s="131" t="s">
        <v>3439</v>
      </c>
      <c r="B11023" s="132">
        <v>1.3449303692957494E-2</v>
      </c>
      <c r="C11023" s="133"/>
    </row>
    <row r="11024" spans="1:3">
      <c r="A11024" s="131" t="s">
        <v>3440</v>
      </c>
      <c r="B11024" s="132">
        <v>7.9870120241186029E-3</v>
      </c>
      <c r="C11024" s="133"/>
    </row>
    <row r="11025" spans="1:3">
      <c r="A11025" s="131" t="s">
        <v>3441</v>
      </c>
      <c r="B11025" s="132">
        <v>0.35722432313191571</v>
      </c>
      <c r="C11025" s="133"/>
    </row>
    <row r="11026" spans="1:3">
      <c r="A11026" s="131" t="s">
        <v>3442</v>
      </c>
      <c r="B11026" s="132">
        <v>3.7867778963218794E-2</v>
      </c>
      <c r="C11026" s="133"/>
    </row>
    <row r="11027" spans="1:3">
      <c r="A11027" s="131" t="s">
        <v>3443</v>
      </c>
      <c r="B11027" s="132">
        <v>3.381484705630659E-10</v>
      </c>
      <c r="C11027" s="133"/>
    </row>
    <row r="11028" spans="1:3">
      <c r="A11028" s="131" t="s">
        <v>3444</v>
      </c>
      <c r="B11028" s="132">
        <v>0.46125158941118322</v>
      </c>
      <c r="C11028" s="133"/>
    </row>
    <row r="11029" spans="1:3">
      <c r="A11029" s="131" t="s">
        <v>3445</v>
      </c>
      <c r="B11029" s="132">
        <v>0.37846327491016568</v>
      </c>
      <c r="C11029" s="133"/>
    </row>
    <row r="11030" spans="1:3">
      <c r="A11030" s="131" t="s">
        <v>3446</v>
      </c>
      <c r="B11030" s="132">
        <v>6.9497663898641204E-2</v>
      </c>
      <c r="C11030" s="133"/>
    </row>
    <row r="11031" spans="1:3">
      <c r="A11031" s="131" t="s">
        <v>3447</v>
      </c>
      <c r="B11031" s="132">
        <v>5.9035399999999997E-3</v>
      </c>
      <c r="C11031" s="133"/>
    </row>
    <row r="11032" spans="1:3">
      <c r="A11032" s="131" t="s">
        <v>3448</v>
      </c>
      <c r="B11032" s="132">
        <v>0.10160200248055433</v>
      </c>
      <c r="C11032" s="133"/>
    </row>
    <row r="11033" spans="1:3">
      <c r="A11033" s="131" t="s">
        <v>3449</v>
      </c>
      <c r="B11033" s="132">
        <v>1.5235973900143891</v>
      </c>
      <c r="C11033" s="133"/>
    </row>
    <row r="11034" spans="1:3">
      <c r="A11034" s="131" t="s">
        <v>3450</v>
      </c>
      <c r="B11034" s="132">
        <v>4979.4944492909499</v>
      </c>
      <c r="C11034" s="133"/>
    </row>
    <row r="11035" spans="1:3">
      <c r="A11035" s="131" t="s">
        <v>3451</v>
      </c>
      <c r="B11035" s="132">
        <v>5.0960060943124406E-2</v>
      </c>
      <c r="C11035" s="133"/>
    </row>
    <row r="11036" spans="1:3">
      <c r="A11036" s="131" t="s">
        <v>3452</v>
      </c>
      <c r="B11036" s="132">
        <v>2.2391808193159904E-3</v>
      </c>
      <c r="C11036" s="133"/>
    </row>
    <row r="11037" spans="1:3">
      <c r="A11037" s="131" t="s">
        <v>3453</v>
      </c>
      <c r="B11037" s="132">
        <v>1.4008933899999998</v>
      </c>
      <c r="C11037" s="133"/>
    </row>
    <row r="11038" spans="1:3">
      <c r="A11038" s="131" t="s">
        <v>3454</v>
      </c>
      <c r="B11038" s="132">
        <v>1.0176844708161028</v>
      </c>
      <c r="C11038" s="133"/>
    </row>
    <row r="11039" spans="1:3">
      <c r="A11039" s="131" t="s">
        <v>3455</v>
      </c>
      <c r="B11039" s="132">
        <v>3.7320574622937849E-2</v>
      </c>
      <c r="C11039" s="133"/>
    </row>
    <row r="11040" spans="1:3">
      <c r="A11040" s="131" t="s">
        <v>3456</v>
      </c>
      <c r="B11040" s="132">
        <v>0.81351211204844054</v>
      </c>
      <c r="C11040" s="133"/>
    </row>
    <row r="11041" spans="1:3">
      <c r="A11041" s="131" t="s">
        <v>3457</v>
      </c>
      <c r="B11041" s="132">
        <v>0.17934324039407429</v>
      </c>
      <c r="C11041" s="133"/>
    </row>
    <row r="11042" spans="1:3">
      <c r="A11042" s="131" t="s">
        <v>3458</v>
      </c>
      <c r="B11042" s="132">
        <v>1.2642739199999999</v>
      </c>
      <c r="C11042" s="133"/>
    </row>
    <row r="11043" spans="1:3">
      <c r="A11043" s="131" t="s">
        <v>3459</v>
      </c>
      <c r="B11043" s="132">
        <v>14.97</v>
      </c>
      <c r="C11043" s="133"/>
    </row>
    <row r="11044" spans="1:3">
      <c r="A11044" s="131" t="s">
        <v>3460</v>
      </c>
      <c r="B11044" s="132">
        <v>2.0984268278975086E-9</v>
      </c>
      <c r="C11044" s="133"/>
    </row>
    <row r="11045" spans="1:3">
      <c r="A11045" s="131" t="s">
        <v>3461</v>
      </c>
      <c r="B11045" s="132">
        <v>3.1414245278384607E-2</v>
      </c>
      <c r="C11045" s="133"/>
    </row>
    <row r="11046" spans="1:3">
      <c r="A11046" s="131" t="s">
        <v>3462</v>
      </c>
      <c r="B11046" s="132">
        <v>1.2275611144960705E-10</v>
      </c>
      <c r="C11046" s="133"/>
    </row>
    <row r="11047" spans="1:3">
      <c r="A11047" s="131" t="s">
        <v>3463</v>
      </c>
      <c r="B11047" s="132">
        <v>5.299765604913291E-2</v>
      </c>
      <c r="C11047" s="133"/>
    </row>
    <row r="11048" spans="1:3">
      <c r="A11048" s="131" t="s">
        <v>3464</v>
      </c>
      <c r="B11048" s="132">
        <v>450.59</v>
      </c>
      <c r="C11048" s="133"/>
    </row>
    <row r="11049" spans="1:3">
      <c r="A11049" s="131" t="s">
        <v>3465</v>
      </c>
      <c r="B11049" s="132">
        <v>0.125245102</v>
      </c>
      <c r="C11049" s="133"/>
    </row>
    <row r="11050" spans="1:3">
      <c r="A11050" s="131" t="s">
        <v>3466</v>
      </c>
      <c r="B11050" s="132">
        <v>0.623504953247487</v>
      </c>
      <c r="C11050" s="133"/>
    </row>
    <row r="11051" spans="1:3">
      <c r="A11051" s="131" t="s">
        <v>3467</v>
      </c>
      <c r="B11051" s="132">
        <v>3.9799530090828044E-6</v>
      </c>
      <c r="C11051" s="133"/>
    </row>
    <row r="11052" spans="1:3">
      <c r="A11052" s="131" t="s">
        <v>3468</v>
      </c>
      <c r="B11052" s="132">
        <v>1.5332251631270348</v>
      </c>
      <c r="C11052" s="133"/>
    </row>
    <row r="11053" spans="1:3">
      <c r="A11053" s="131" t="s">
        <v>3469</v>
      </c>
      <c r="B11053" s="132">
        <v>1.1455389879041216E-35</v>
      </c>
      <c r="C11053" s="133"/>
    </row>
    <row r="11054" spans="1:3">
      <c r="A11054" s="131" t="s">
        <v>3470</v>
      </c>
      <c r="B11054" s="132">
        <v>0.26366927256724726</v>
      </c>
      <c r="C11054" s="133"/>
    </row>
    <row r="11055" spans="1:3">
      <c r="A11055" s="131" t="s">
        <v>3471</v>
      </c>
      <c r="B11055" s="132">
        <v>2.74</v>
      </c>
      <c r="C11055" s="133"/>
    </row>
    <row r="11056" spans="1:3">
      <c r="A11056" s="131" t="s">
        <v>3472</v>
      </c>
      <c r="B11056" s="132">
        <v>1.6456647186782552E-6</v>
      </c>
      <c r="C11056" s="133"/>
    </row>
    <row r="11057" spans="1:3">
      <c r="A11057" s="131" t="s">
        <v>3473</v>
      </c>
      <c r="B11057" s="132">
        <v>8.0137841607566039E-7</v>
      </c>
      <c r="C11057" s="133"/>
    </row>
    <row r="11058" spans="1:3">
      <c r="A11058" s="131" t="s">
        <v>3474</v>
      </c>
      <c r="B11058" s="132">
        <v>4.38</v>
      </c>
      <c r="C11058" s="133"/>
    </row>
    <row r="11059" spans="1:3">
      <c r="A11059" s="131" t="s">
        <v>3475</v>
      </c>
      <c r="B11059" s="132">
        <v>0.43155877999999998</v>
      </c>
      <c r="C11059" s="133"/>
    </row>
    <row r="11060" spans="1:3">
      <c r="A11060" s="131" t="s">
        <v>3476</v>
      </c>
      <c r="B11060" s="132">
        <v>1.899418177035223E-6</v>
      </c>
      <c r="C11060" s="133"/>
    </row>
    <row r="11061" spans="1:3">
      <c r="A11061" s="131" t="s">
        <v>3477</v>
      </c>
      <c r="B11061" s="132">
        <v>8.6546133333333317E-2</v>
      </c>
      <c r="C11061" s="133"/>
    </row>
    <row r="11062" spans="1:3">
      <c r="A11062" s="131" t="s">
        <v>3478</v>
      </c>
      <c r="B11062" s="132">
        <v>1.2437892956868774E-2</v>
      </c>
      <c r="C11062" s="133"/>
    </row>
    <row r="11063" spans="1:3">
      <c r="A11063" s="131" t="s">
        <v>3479</v>
      </c>
      <c r="B11063" s="132">
        <v>6.3811913245627634E-4</v>
      </c>
      <c r="C11063" s="133"/>
    </row>
    <row r="11064" spans="1:3">
      <c r="A11064" s="131" t="s">
        <v>3480</v>
      </c>
      <c r="B11064" s="132">
        <v>1.8767295322271126E-2</v>
      </c>
      <c r="C11064" s="133"/>
    </row>
    <row r="11065" spans="1:3">
      <c r="A11065" s="131" t="s">
        <v>3481</v>
      </c>
      <c r="B11065" s="132">
        <v>0.15926323838104881</v>
      </c>
      <c r="C11065" s="133"/>
    </row>
    <row r="11066" spans="1:3">
      <c r="A11066" s="131" t="s">
        <v>3482</v>
      </c>
      <c r="B11066" s="132">
        <v>1.8767842804301218</v>
      </c>
      <c r="C11066" s="133"/>
    </row>
    <row r="11067" spans="1:3">
      <c r="A11067" s="131" t="s">
        <v>3483</v>
      </c>
      <c r="B11067" s="132">
        <v>100.03664951739923</v>
      </c>
      <c r="C11067" s="133"/>
    </row>
    <row r="11068" spans="1:3">
      <c r="A11068" s="131" t="s">
        <v>3484</v>
      </c>
      <c r="B11068" s="132">
        <v>0.25849893713066485</v>
      </c>
      <c r="C11068" s="133"/>
    </row>
    <row r="11069" spans="1:3">
      <c r="A11069" s="131" t="s">
        <v>3485</v>
      </c>
      <c r="B11069" s="132">
        <v>0.33270652360114966</v>
      </c>
      <c r="C11069" s="133"/>
    </row>
    <row r="11070" spans="1:3">
      <c r="A11070" s="131" t="s">
        <v>3486</v>
      </c>
      <c r="B11070" s="132">
        <v>1.8300435125050165</v>
      </c>
      <c r="C11070" s="133"/>
    </row>
    <row r="11071" spans="1:3">
      <c r="A11071" s="131" t="s">
        <v>3487</v>
      </c>
      <c r="B11071" s="132">
        <v>0.47304798352355409</v>
      </c>
      <c r="C11071" s="133"/>
    </row>
    <row r="11072" spans="1:3">
      <c r="A11072" s="131" t="s">
        <v>3488</v>
      </c>
      <c r="B11072" s="132">
        <v>2.54</v>
      </c>
      <c r="C11072" s="133"/>
    </row>
    <row r="11073" spans="1:3">
      <c r="A11073" s="131" t="s">
        <v>3489</v>
      </c>
      <c r="B11073" s="132">
        <v>5.0341075482305056E-4</v>
      </c>
      <c r="C11073" s="133"/>
    </row>
    <row r="11074" spans="1:3">
      <c r="A11074" s="131" t="s">
        <v>3490</v>
      </c>
      <c r="B11074" s="132">
        <v>2.3769098320590903E-2</v>
      </c>
      <c r="C11074" s="133"/>
    </row>
    <row r="11075" spans="1:3">
      <c r="A11075" s="131" t="s">
        <v>3491</v>
      </c>
      <c r="B11075" s="132">
        <v>0.84817365852214377</v>
      </c>
      <c r="C11075" s="133"/>
    </row>
    <row r="11076" spans="1:3">
      <c r="A11076" s="131" t="s">
        <v>3492</v>
      </c>
      <c r="B11076" s="132">
        <v>2.7</v>
      </c>
      <c r="C11076" s="133"/>
    </row>
    <row r="11077" spans="1:3">
      <c r="A11077" s="131" t="s">
        <v>3493</v>
      </c>
      <c r="B11077" s="132">
        <v>5.63455970175405E-4</v>
      </c>
      <c r="C11077" s="133"/>
    </row>
    <row r="11078" spans="1:3">
      <c r="A11078" s="131" t="s">
        <v>440</v>
      </c>
      <c r="B11078" s="132">
        <v>8.1905991846269052E-5</v>
      </c>
      <c r="C11078" s="133"/>
    </row>
    <row r="11079" spans="1:3">
      <c r="A11079" s="131" t="s">
        <v>441</v>
      </c>
      <c r="B11079" s="132">
        <v>6.6181028333333327E-3</v>
      </c>
      <c r="C11079" s="133"/>
    </row>
    <row r="11080" spans="1:3">
      <c r="A11080" s="131" t="s">
        <v>442</v>
      </c>
      <c r="B11080" s="132">
        <v>9.8976000603025637E-10</v>
      </c>
      <c r="C11080" s="133"/>
    </row>
    <row r="11081" spans="1:3">
      <c r="A11081" s="131" t="s">
        <v>443</v>
      </c>
      <c r="B11081" s="132">
        <v>9.9119922892327347E-4</v>
      </c>
      <c r="C11081" s="133"/>
    </row>
    <row r="11082" spans="1:3">
      <c r="A11082" s="131" t="s">
        <v>444</v>
      </c>
      <c r="B11082" s="132">
        <v>0.9358091580335417</v>
      </c>
      <c r="C11082" s="133"/>
    </row>
    <row r="11083" spans="1:3">
      <c r="A11083" s="131" t="s">
        <v>445</v>
      </c>
      <c r="B11083" s="132">
        <v>0.15172580447977738</v>
      </c>
      <c r="C11083" s="133"/>
    </row>
    <row r="11084" spans="1:3">
      <c r="A11084" s="131" t="s">
        <v>446</v>
      </c>
      <c r="B11084" s="132">
        <v>9.6095747034606888E-11</v>
      </c>
      <c r="C11084" s="133"/>
    </row>
    <row r="11085" spans="1:3">
      <c r="A11085" s="131" t="s">
        <v>447</v>
      </c>
      <c r="B11085" s="132">
        <v>3.607350039838279E-3</v>
      </c>
      <c r="C11085" s="133"/>
    </row>
    <row r="11086" spans="1:3">
      <c r="A11086" s="131" t="s">
        <v>448</v>
      </c>
      <c r="B11086" s="132">
        <v>1.761327520333333E-2</v>
      </c>
      <c r="C11086" s="133"/>
    </row>
    <row r="11087" spans="1:3">
      <c r="A11087" s="131" t="s">
        <v>449</v>
      </c>
      <c r="B11087" s="132">
        <v>3.1261882853350089E-5</v>
      </c>
      <c r="C11087" s="133"/>
    </row>
    <row r="11088" spans="1:3">
      <c r="A11088" s="131" t="s">
        <v>450</v>
      </c>
      <c r="B11088" s="132">
        <v>425169</v>
      </c>
      <c r="C11088" s="133"/>
    </row>
    <row r="11089" spans="1:3">
      <c r="A11089" s="131" t="s">
        <v>451</v>
      </c>
      <c r="B11089" s="132">
        <v>0.30788441572889258</v>
      </c>
      <c r="C11089" s="133"/>
    </row>
    <row r="11090" spans="1:3">
      <c r="A11090" s="131" t="s">
        <v>452</v>
      </c>
      <c r="B11090" s="132">
        <v>8.5220387989189586E-2</v>
      </c>
      <c r="C11090" s="133"/>
    </row>
    <row r="11091" spans="1:3">
      <c r="A11091" s="131" t="s">
        <v>453</v>
      </c>
      <c r="B11091" s="132">
        <v>3.37</v>
      </c>
      <c r="C11091" s="133"/>
    </row>
    <row r="11092" spans="1:3">
      <c r="A11092" s="131" t="s">
        <v>454</v>
      </c>
      <c r="B11092" s="132">
        <v>0.11978725208796302</v>
      </c>
      <c r="C11092" s="133"/>
    </row>
    <row r="11093" spans="1:3">
      <c r="A11093" s="131" t="s">
        <v>455</v>
      </c>
      <c r="B11093" s="132">
        <v>0.23875467447972504</v>
      </c>
      <c r="C11093" s="133"/>
    </row>
    <row r="11094" spans="1:3">
      <c r="A11094" s="131" t="s">
        <v>456</v>
      </c>
      <c r="B11094" s="132">
        <v>0.94687716555963564</v>
      </c>
      <c r="C11094" s="133"/>
    </row>
    <row r="11095" spans="1:3">
      <c r="A11095" s="131" t="s">
        <v>457</v>
      </c>
      <c r="B11095" s="132">
        <v>1.29487646</v>
      </c>
      <c r="C11095" s="133"/>
    </row>
    <row r="11096" spans="1:3">
      <c r="A11096" s="131" t="s">
        <v>458</v>
      </c>
      <c r="B11096" s="132">
        <v>0.19435843985052378</v>
      </c>
      <c r="C11096" s="133"/>
    </row>
    <row r="11097" spans="1:3">
      <c r="A11097" s="131" t="s">
        <v>459</v>
      </c>
      <c r="B11097" s="132">
        <v>0.31182652423278889</v>
      </c>
      <c r="C11097" s="133"/>
    </row>
    <row r="11098" spans="1:3">
      <c r="A11098" s="131" t="s">
        <v>460</v>
      </c>
      <c r="B11098" s="132">
        <v>7.1845875811478402E-2</v>
      </c>
      <c r="C11098" s="133"/>
    </row>
    <row r="11099" spans="1:3">
      <c r="A11099" s="131" t="s">
        <v>461</v>
      </c>
      <c r="B11099" s="132">
        <v>7.75</v>
      </c>
      <c r="C11099" s="133"/>
    </row>
    <row r="11100" spans="1:3">
      <c r="A11100" s="131" t="s">
        <v>462</v>
      </c>
      <c r="B11100" s="132">
        <v>9.4938426638239731E-2</v>
      </c>
      <c r="C11100" s="133"/>
    </row>
    <row r="11101" spans="1:3">
      <c r="A11101" s="131" t="s">
        <v>463</v>
      </c>
      <c r="B11101" s="132">
        <v>14.54</v>
      </c>
      <c r="C11101" s="133"/>
    </row>
    <row r="11102" spans="1:3">
      <c r="A11102" s="131" t="s">
        <v>464</v>
      </c>
      <c r="B11102" s="132">
        <v>2.75</v>
      </c>
      <c r="C11102" s="133"/>
    </row>
    <row r="11103" spans="1:3">
      <c r="A11103" s="131" t="s">
        <v>465</v>
      </c>
      <c r="B11103" s="132">
        <v>8.3592163076044446E-2</v>
      </c>
      <c r="C11103" s="133"/>
    </row>
    <row r="11104" spans="1:3">
      <c r="A11104" s="131" t="s">
        <v>466</v>
      </c>
      <c r="B11104" s="132">
        <v>2.2599999999999998</v>
      </c>
      <c r="C11104" s="133"/>
    </row>
    <row r="11105" spans="1:3">
      <c r="A11105" s="131" t="s">
        <v>467</v>
      </c>
      <c r="B11105" s="132">
        <v>0.12399751998751847</v>
      </c>
      <c r="C11105" s="133"/>
    </row>
    <row r="11106" spans="1:3">
      <c r="A11106" s="131" t="s">
        <v>468</v>
      </c>
      <c r="B11106" s="132">
        <v>9.2017374541064558E-4</v>
      </c>
      <c r="C11106" s="133"/>
    </row>
    <row r="11107" spans="1:3">
      <c r="A11107" s="131" t="s">
        <v>469</v>
      </c>
      <c r="B11107" s="132">
        <v>0.13438393505986293</v>
      </c>
      <c r="C11107" s="133"/>
    </row>
    <row r="11108" spans="1:3">
      <c r="A11108" s="131" t="s">
        <v>470</v>
      </c>
      <c r="B11108" s="132">
        <v>0.297872912723391</v>
      </c>
      <c r="C11108" s="133"/>
    </row>
    <row r="11109" spans="1:3">
      <c r="A11109" s="131" t="s">
        <v>471</v>
      </c>
      <c r="B11109" s="132">
        <v>1.9641850593682881E-6</v>
      </c>
      <c r="C11109" s="133"/>
    </row>
    <row r="11110" spans="1:3">
      <c r="A11110" s="131" t="s">
        <v>472</v>
      </c>
      <c r="B11110" s="132">
        <v>10610</v>
      </c>
      <c r="C11110" s="133"/>
    </row>
    <row r="11111" spans="1:3">
      <c r="A11111" s="131" t="s">
        <v>473</v>
      </c>
      <c r="B11111" s="132">
        <v>5.37</v>
      </c>
      <c r="C11111" s="133"/>
    </row>
    <row r="11112" spans="1:3">
      <c r="A11112" s="131" t="s">
        <v>474</v>
      </c>
      <c r="B11112" s="132">
        <v>5.3116631597762592E-4</v>
      </c>
      <c r="C11112" s="133"/>
    </row>
    <row r="11113" spans="1:3">
      <c r="A11113" s="131" t="s">
        <v>475</v>
      </c>
      <c r="B11113" s="132">
        <v>9.2775990637836624E-36</v>
      </c>
      <c r="C11113" s="133"/>
    </row>
    <row r="11114" spans="1:3">
      <c r="A11114" s="131" t="s">
        <v>476</v>
      </c>
      <c r="B11114" s="132">
        <v>3.5299298291205361E-8</v>
      </c>
      <c r="C11114" s="133"/>
    </row>
    <row r="11115" spans="1:3">
      <c r="A11115" s="131" t="s">
        <v>477</v>
      </c>
      <c r="B11115" s="132">
        <v>1.0002333333333332E-7</v>
      </c>
      <c r="C11115" s="133"/>
    </row>
    <row r="11116" spans="1:3">
      <c r="A11116" s="131" t="s">
        <v>478</v>
      </c>
      <c r="B11116" s="132">
        <v>7.7309579246540187E-7</v>
      </c>
      <c r="C11116" s="133"/>
    </row>
    <row r="11117" spans="1:3">
      <c r="A11117" s="131" t="s">
        <v>479</v>
      </c>
      <c r="B11117" s="132">
        <v>9.8793362486418825E-4</v>
      </c>
      <c r="C11117" s="133"/>
    </row>
    <row r="11118" spans="1:3">
      <c r="A11118" s="131" t="s">
        <v>480</v>
      </c>
      <c r="B11118" s="132">
        <v>4.0182789875149937E-6</v>
      </c>
      <c r="C11118" s="133"/>
    </row>
    <row r="11119" spans="1:3">
      <c r="A11119" s="131" t="s">
        <v>481</v>
      </c>
      <c r="B11119" s="132">
        <v>8.1300000000000008</v>
      </c>
      <c r="C11119" s="133"/>
    </row>
    <row r="11120" spans="1:3">
      <c r="A11120" s="131" t="s">
        <v>482</v>
      </c>
      <c r="B11120" s="132">
        <v>4.12</v>
      </c>
      <c r="C11120" s="133"/>
    </row>
    <row r="11121" spans="1:3">
      <c r="A11121" s="131" t="s">
        <v>483</v>
      </c>
      <c r="B11121" s="132">
        <v>4.0194833322222241E-2</v>
      </c>
      <c r="C11121" s="133"/>
    </row>
    <row r="11122" spans="1:3">
      <c r="A11122" s="131" t="s">
        <v>484</v>
      </c>
      <c r="B11122" s="132">
        <v>4.7843197283369103E-3</v>
      </c>
      <c r="C11122" s="133"/>
    </row>
    <row r="11123" spans="1:3">
      <c r="A11123" s="131" t="s">
        <v>485</v>
      </c>
      <c r="B11123" s="132">
        <v>6.6686516316694436E-10</v>
      </c>
      <c r="C11123" s="133"/>
    </row>
    <row r="11124" spans="1:3">
      <c r="A11124" s="131" t="s">
        <v>486</v>
      </c>
      <c r="B11124" s="132">
        <v>2.428575413333333E-2</v>
      </c>
      <c r="C11124" s="133"/>
    </row>
    <row r="11125" spans="1:3">
      <c r="A11125" s="131" t="s">
        <v>487</v>
      </c>
      <c r="B11125" s="132">
        <v>3.6938492473290051E-6</v>
      </c>
      <c r="C11125" s="133"/>
    </row>
    <row r="11126" spans="1:3">
      <c r="A11126" s="131" t="s">
        <v>488</v>
      </c>
      <c r="B11126" s="132">
        <v>0.1255753</v>
      </c>
      <c r="C11126" s="133"/>
    </row>
    <row r="11127" spans="1:3">
      <c r="A11127" s="131" t="s">
        <v>489</v>
      </c>
      <c r="B11127" s="132">
        <v>8.9901026629148704E-9</v>
      </c>
      <c r="C11127" s="133"/>
    </row>
    <row r="11128" spans="1:3">
      <c r="A11128" s="131" t="s">
        <v>490</v>
      </c>
      <c r="B11128" s="132">
        <v>9.8333124718556861E-2</v>
      </c>
      <c r="C11128" s="133"/>
    </row>
    <row r="11129" spans="1:3">
      <c r="A11129" s="131" t="s">
        <v>491</v>
      </c>
      <c r="B11129" s="132">
        <v>0.35845830692306746</v>
      </c>
      <c r="C11129" s="133"/>
    </row>
    <row r="11130" spans="1:3">
      <c r="A11130" s="131" t="s">
        <v>492</v>
      </c>
      <c r="B11130" s="132">
        <v>1.235209867796986E-9</v>
      </c>
      <c r="C11130" s="133"/>
    </row>
    <row r="11131" spans="1:3">
      <c r="A11131" s="131" t="s">
        <v>493</v>
      </c>
      <c r="B11131" s="132">
        <v>7.5073993727763225E-3</v>
      </c>
      <c r="C11131" s="133"/>
    </row>
    <row r="11132" spans="1:3">
      <c r="A11132" s="131" t="s">
        <v>494</v>
      </c>
      <c r="B11132" s="132">
        <v>6.7051323190689072E-2</v>
      </c>
      <c r="C11132" s="133"/>
    </row>
    <row r="11133" spans="1:3">
      <c r="A11133" s="131" t="s">
        <v>495</v>
      </c>
      <c r="B11133" s="132">
        <v>0.85035299412403997</v>
      </c>
      <c r="C11133" s="133"/>
    </row>
    <row r="11134" spans="1:3">
      <c r="A11134" s="131" t="s">
        <v>496</v>
      </c>
      <c r="B11134" s="132">
        <v>65.48</v>
      </c>
      <c r="C11134" s="133"/>
    </row>
    <row r="11135" spans="1:3">
      <c r="A11135" s="131" t="s">
        <v>497</v>
      </c>
      <c r="B11135" s="132">
        <v>0.13328136745140592</v>
      </c>
      <c r="C11135" s="133"/>
    </row>
    <row r="11136" spans="1:3">
      <c r="A11136" s="131" t="s">
        <v>498</v>
      </c>
      <c r="B11136" s="132">
        <v>0.29845753425506394</v>
      </c>
      <c r="C11136" s="133"/>
    </row>
    <row r="11137" spans="1:3">
      <c r="A11137" s="131" t="s">
        <v>499</v>
      </c>
      <c r="B11137" s="132">
        <v>13.52</v>
      </c>
      <c r="C11137" s="133"/>
    </row>
    <row r="11138" spans="1:3">
      <c r="A11138" s="131" t="s">
        <v>500</v>
      </c>
      <c r="B11138" s="132">
        <v>3.5885268676840599E-10</v>
      </c>
      <c r="C11138" s="133"/>
    </row>
    <row r="11139" spans="1:3">
      <c r="A11139" s="131" t="s">
        <v>501</v>
      </c>
      <c r="B11139" s="132">
        <v>1.6660479134067933E-3</v>
      </c>
      <c r="C11139" s="133"/>
    </row>
    <row r="11140" spans="1:3">
      <c r="A11140" s="131" t="s">
        <v>502</v>
      </c>
      <c r="B11140" s="132">
        <v>104.87</v>
      </c>
      <c r="C11140" s="133"/>
    </row>
    <row r="11141" spans="1:3">
      <c r="A11141" s="131" t="s">
        <v>503</v>
      </c>
      <c r="B11141" s="132">
        <v>4.9463415496920314E-3</v>
      </c>
      <c r="C11141" s="133"/>
    </row>
    <row r="11142" spans="1:3">
      <c r="A11142" s="131" t="s">
        <v>504</v>
      </c>
      <c r="B11142" s="132">
        <v>2.8982392637580177E-7</v>
      </c>
      <c r="C11142" s="133"/>
    </row>
    <row r="11143" spans="1:3">
      <c r="A11143" s="131" t="s">
        <v>505</v>
      </c>
      <c r="B11143" s="132">
        <v>5.6033599999999996E-9</v>
      </c>
      <c r="C11143" s="133"/>
    </row>
    <row r="11144" spans="1:3">
      <c r="A11144" s="131" t="s">
        <v>506</v>
      </c>
      <c r="B11144" s="132">
        <v>5.9982422035498237E-10</v>
      </c>
      <c r="C11144" s="133"/>
    </row>
    <row r="11145" spans="1:3">
      <c r="A11145" s="131" t="s">
        <v>507</v>
      </c>
      <c r="B11145" s="132">
        <v>4.7629335437720042E-7</v>
      </c>
      <c r="C11145" s="133"/>
    </row>
    <row r="11146" spans="1:3">
      <c r="A11146" s="131" t="s">
        <v>508</v>
      </c>
      <c r="B11146" s="132">
        <v>2.5178298527194286E-10</v>
      </c>
      <c r="C11146" s="133"/>
    </row>
    <row r="11147" spans="1:3">
      <c r="A11147" s="131" t="s">
        <v>509</v>
      </c>
      <c r="B11147" s="132">
        <v>0.8590008457303302</v>
      </c>
      <c r="C11147" s="133"/>
    </row>
    <row r="11148" spans="1:3">
      <c r="A11148" s="131" t="s">
        <v>510</v>
      </c>
      <c r="B11148" s="132">
        <v>5.4571539445566808E-2</v>
      </c>
      <c r="C11148" s="133"/>
    </row>
    <row r="11149" spans="1:3">
      <c r="A11149" s="131" t="s">
        <v>511</v>
      </c>
      <c r="B11149" s="132">
        <v>8.4274641885862006E-2</v>
      </c>
      <c r="C11149" s="133"/>
    </row>
    <row r="11150" spans="1:3">
      <c r="A11150" s="131" t="s">
        <v>512</v>
      </c>
      <c r="B11150" s="132">
        <v>1.8303458146135444E-9</v>
      </c>
      <c r="C11150" s="133"/>
    </row>
    <row r="11151" spans="1:3">
      <c r="A11151" s="131" t="s">
        <v>513</v>
      </c>
      <c r="B11151" s="132">
        <v>5.8805951772210001</v>
      </c>
      <c r="C11151" s="133"/>
    </row>
    <row r="11152" spans="1:3">
      <c r="A11152" s="131" t="s">
        <v>514</v>
      </c>
      <c r="B11152" s="132">
        <v>1.9528260188798448E-6</v>
      </c>
      <c r="C11152" s="133"/>
    </row>
    <row r="11153" spans="1:3">
      <c r="A11153" s="131" t="s">
        <v>515</v>
      </c>
      <c r="B11153" s="132">
        <v>1.9156896328982842</v>
      </c>
      <c r="C11153" s="133"/>
    </row>
    <row r="11154" spans="1:3">
      <c r="A11154" s="131" t="s">
        <v>516</v>
      </c>
      <c r="B11154" s="132">
        <v>1.4982437682485363E-6</v>
      </c>
      <c r="C11154" s="133"/>
    </row>
    <row r="11155" spans="1:3">
      <c r="A11155" s="131" t="s">
        <v>517</v>
      </c>
      <c r="B11155" s="132">
        <v>1.7236799111810844E-6</v>
      </c>
      <c r="C11155" s="133"/>
    </row>
    <row r="11156" spans="1:3">
      <c r="A11156" s="131" t="s">
        <v>518</v>
      </c>
      <c r="B11156" s="132">
        <v>1.60870397236253E-4</v>
      </c>
      <c r="C11156" s="133"/>
    </row>
    <row r="11157" spans="1:3">
      <c r="A11157" s="131" t="s">
        <v>519</v>
      </c>
      <c r="B11157" s="132">
        <v>1.5573350706337505E-8</v>
      </c>
      <c r="C11157" s="133"/>
    </row>
    <row r="11158" spans="1:3">
      <c r="A11158" s="131" t="s">
        <v>520</v>
      </c>
      <c r="B11158" s="132">
        <v>1.8703785692354664E-4</v>
      </c>
      <c r="C11158" s="133"/>
    </row>
    <row r="11159" spans="1:3">
      <c r="A11159" s="131" t="s">
        <v>521</v>
      </c>
      <c r="B11159" s="132">
        <v>6.5152893149098167E-9</v>
      </c>
      <c r="C11159" s="133"/>
    </row>
    <row r="11160" spans="1:3">
      <c r="A11160" s="131" t="s">
        <v>522</v>
      </c>
      <c r="B11160" s="132">
        <v>0.99098868329301559</v>
      </c>
      <c r="C11160" s="133"/>
    </row>
    <row r="11161" spans="1:3">
      <c r="A11161" s="131" t="s">
        <v>523</v>
      </c>
      <c r="B11161" s="132">
        <v>1.4884014203373384E-9</v>
      </c>
      <c r="C11161" s="133"/>
    </row>
    <row r="11162" spans="1:3">
      <c r="A11162" s="131" t="s">
        <v>524</v>
      </c>
      <c r="B11162" s="132">
        <v>3.8304714503662309E-4</v>
      </c>
      <c r="C11162" s="133"/>
    </row>
    <row r="11163" spans="1:3">
      <c r="A11163" s="131" t="s">
        <v>525</v>
      </c>
      <c r="B11163" s="132">
        <v>13.65</v>
      </c>
      <c r="C11163" s="133"/>
    </row>
    <row r="11164" spans="1:3">
      <c r="A11164" s="131" t="s">
        <v>526</v>
      </c>
      <c r="B11164" s="132">
        <v>2.4013599999999997E-9</v>
      </c>
      <c r="C11164" s="133"/>
    </row>
    <row r="11165" spans="1:3">
      <c r="A11165" s="131" t="s">
        <v>527</v>
      </c>
      <c r="B11165" s="132">
        <v>2.3711046799735163E-4</v>
      </c>
      <c r="C11165" s="133"/>
    </row>
    <row r="11166" spans="1:3">
      <c r="A11166" s="131" t="s">
        <v>528</v>
      </c>
      <c r="B11166" s="132">
        <v>1.001023566786208</v>
      </c>
      <c r="C11166" s="133"/>
    </row>
    <row r="11167" spans="1:3">
      <c r="A11167" s="131" t="s">
        <v>529</v>
      </c>
      <c r="B11167" s="132">
        <v>1.3129590382606656E-12</v>
      </c>
      <c r="C11167" s="133"/>
    </row>
    <row r="11168" spans="1:3">
      <c r="A11168" s="131" t="s">
        <v>530</v>
      </c>
      <c r="B11168" s="132">
        <v>9.2676097175243371E-7</v>
      </c>
      <c r="C11168" s="133"/>
    </row>
    <row r="11169" spans="1:3">
      <c r="A11169" s="131" t="s">
        <v>531</v>
      </c>
      <c r="B11169" s="132">
        <v>3.1792929087088309E-6</v>
      </c>
      <c r="C11169" s="133"/>
    </row>
    <row r="11170" spans="1:3">
      <c r="A11170" s="131" t="s">
        <v>532</v>
      </c>
      <c r="B11170" s="132">
        <v>8.9857556402649762E-12</v>
      </c>
      <c r="C11170" s="133"/>
    </row>
    <row r="11171" spans="1:3">
      <c r="A11171" s="131" t="s">
        <v>533</v>
      </c>
      <c r="B11171" s="132">
        <v>6.8939593751319594E-6</v>
      </c>
      <c r="C11171" s="133"/>
    </row>
    <row r="11172" spans="1:3">
      <c r="A11172" s="131" t="s">
        <v>534</v>
      </c>
      <c r="B11172" s="132">
        <v>0.32668620572447638</v>
      </c>
      <c r="C11172" s="133"/>
    </row>
    <row r="11173" spans="1:3">
      <c r="A11173" s="131" t="s">
        <v>535</v>
      </c>
      <c r="B11173" s="132">
        <v>1.2564302938310381</v>
      </c>
      <c r="C11173" s="133"/>
    </row>
    <row r="11174" spans="1:3">
      <c r="A11174" s="131" t="s">
        <v>536</v>
      </c>
      <c r="B11174" s="132">
        <v>0.36820395357933089</v>
      </c>
      <c r="C11174" s="133"/>
    </row>
    <row r="11175" spans="1:3">
      <c r="A11175" s="131" t="s">
        <v>537</v>
      </c>
      <c r="B11175" s="132">
        <v>1.048303242495644</v>
      </c>
      <c r="C11175" s="133"/>
    </row>
    <row r="11176" spans="1:3">
      <c r="A11176" s="131" t="s">
        <v>538</v>
      </c>
      <c r="B11176" s="132">
        <v>4.6281056349002245</v>
      </c>
      <c r="C11176" s="133"/>
    </row>
    <row r="11177" spans="1:3">
      <c r="A11177" s="131" t="s">
        <v>539</v>
      </c>
      <c r="B11177" s="132">
        <v>0.96162391755304044</v>
      </c>
      <c r="C11177" s="133"/>
    </row>
    <row r="11178" spans="1:3">
      <c r="A11178" s="131" t="s">
        <v>540</v>
      </c>
      <c r="B11178" s="132">
        <v>0.50508044847544376</v>
      </c>
      <c r="C11178" s="133"/>
    </row>
    <row r="11179" spans="1:3">
      <c r="A11179" s="131" t="s">
        <v>541</v>
      </c>
      <c r="B11179" s="132">
        <v>0.42937545356698681</v>
      </c>
      <c r="C11179" s="133"/>
    </row>
    <row r="11180" spans="1:3">
      <c r="A11180" s="131" t="s">
        <v>542</v>
      </c>
      <c r="B11180" s="132">
        <v>0.23045573343489861</v>
      </c>
      <c r="C11180" s="133"/>
    </row>
    <row r="11181" spans="1:3">
      <c r="A11181" s="131" t="s">
        <v>543</v>
      </c>
      <c r="B11181" s="132">
        <v>0.33172350747835</v>
      </c>
      <c r="C11181" s="133"/>
    </row>
    <row r="11182" spans="1:3">
      <c r="A11182" s="131" t="s">
        <v>544</v>
      </c>
      <c r="B11182" s="132">
        <v>0.16457929941298</v>
      </c>
      <c r="C11182" s="133"/>
    </row>
    <row r="11183" spans="1:3">
      <c r="A11183" s="131" t="s">
        <v>545</v>
      </c>
      <c r="B11183" s="132">
        <v>8.4435697870390999E-2</v>
      </c>
      <c r="C11183" s="133"/>
    </row>
    <row r="11184" spans="1:3">
      <c r="A11184" s="131" t="s">
        <v>546</v>
      </c>
      <c r="B11184" s="132">
        <v>9.2477196365473996E-3</v>
      </c>
      <c r="C11184" s="133"/>
    </row>
    <row r="11185" spans="1:3">
      <c r="A11185" s="131" t="s">
        <v>547</v>
      </c>
      <c r="B11185" s="132">
        <v>4.4398028881392999E-2</v>
      </c>
      <c r="C11185" s="133"/>
    </row>
    <row r="11186" spans="1:3">
      <c r="A11186" s="131" t="s">
        <v>548</v>
      </c>
      <c r="B11186" s="132">
        <v>0.22453595064599999</v>
      </c>
      <c r="C11186" s="133"/>
    </row>
    <row r="11187" spans="1:3">
      <c r="A11187" s="131" t="s">
        <v>549</v>
      </c>
      <c r="B11187" s="132">
        <v>2.5557456333616</v>
      </c>
      <c r="C11187" s="133"/>
    </row>
    <row r="11188" spans="1:3">
      <c r="A11188" s="131" t="s">
        <v>550</v>
      </c>
      <c r="B11188" s="132">
        <v>6.9344879617231001E-2</v>
      </c>
      <c r="C11188" s="133"/>
    </row>
    <row r="11189" spans="1:3">
      <c r="A11189" s="131" t="s">
        <v>551</v>
      </c>
      <c r="B11189" s="132">
        <v>0.40005531222411</v>
      </c>
      <c r="C11189" s="133"/>
    </row>
    <row r="11190" spans="1:3">
      <c r="A11190" s="131" t="s">
        <v>552</v>
      </c>
      <c r="B11190" s="132">
        <v>2754.1654942974001</v>
      </c>
      <c r="C11190" s="133"/>
    </row>
    <row r="11191" spans="1:3">
      <c r="A11191" s="131" t="s">
        <v>553</v>
      </c>
      <c r="B11191" s="132">
        <v>542.32351364721001</v>
      </c>
      <c r="C11191" s="133"/>
    </row>
    <row r="11192" spans="1:3">
      <c r="A11192" s="131" t="s">
        <v>554</v>
      </c>
      <c r="B11192" s="132">
        <v>0.69435753679026002</v>
      </c>
      <c r="C11192" s="133"/>
    </row>
    <row r="11193" spans="1:3">
      <c r="A11193" s="131" t="s">
        <v>555</v>
      </c>
      <c r="B11193" s="132">
        <v>1.0532791724988</v>
      </c>
      <c r="C11193" s="133"/>
    </row>
    <row r="11194" spans="1:3">
      <c r="A11194" s="131" t="s">
        <v>556</v>
      </c>
      <c r="B11194" s="132">
        <v>149.70152456346</v>
      </c>
      <c r="C11194" s="133"/>
    </row>
    <row r="11195" spans="1:3">
      <c r="A11195" s="131" t="s">
        <v>557</v>
      </c>
      <c r="B11195" s="132">
        <v>0.50779253686415005</v>
      </c>
      <c r="C11195" s="133"/>
    </row>
    <row r="11196" spans="1:3">
      <c r="A11196" s="131" t="s">
        <v>558</v>
      </c>
      <c r="B11196" s="132">
        <v>352.04308441964002</v>
      </c>
      <c r="C11196" s="133"/>
    </row>
    <row r="11197" spans="1:3">
      <c r="A11197" s="131" t="s">
        <v>559</v>
      </c>
      <c r="B11197" s="132">
        <v>4.0571948978906001E-2</v>
      </c>
      <c r="C11197" s="133"/>
    </row>
    <row r="11198" spans="1:3">
      <c r="A11198" s="131" t="s">
        <v>560</v>
      </c>
      <c r="B11198" s="132">
        <v>3.2784955244464</v>
      </c>
      <c r="C11198" s="133"/>
    </row>
    <row r="11199" spans="1:3">
      <c r="A11199" s="131" t="s">
        <v>561</v>
      </c>
      <c r="B11199" s="132">
        <v>1.7222940059138001</v>
      </c>
      <c r="C11199" s="133"/>
    </row>
    <row r="11200" spans="1:3">
      <c r="A11200" s="131" t="s">
        <v>562</v>
      </c>
      <c r="B11200" s="132">
        <v>5.7309213186245003E-2</v>
      </c>
      <c r="C11200" s="133"/>
    </row>
    <row r="11201" spans="1:3">
      <c r="A11201" s="131" t="s">
        <v>563</v>
      </c>
      <c r="B11201" s="132">
        <v>6.7771278811072999E-3</v>
      </c>
      <c r="C11201" s="133"/>
    </row>
    <row r="11202" spans="1:3">
      <c r="A11202" s="131" t="s">
        <v>564</v>
      </c>
      <c r="B11202" s="132">
        <v>0.61328388912118004</v>
      </c>
      <c r="C11202" s="133"/>
    </row>
    <row r="11203" spans="1:3">
      <c r="A11203" s="131" t="s">
        <v>565</v>
      </c>
      <c r="B11203" s="132">
        <v>22.75</v>
      </c>
      <c r="C11203" s="133"/>
    </row>
    <row r="11204" spans="1:3">
      <c r="A11204" s="131" t="s">
        <v>566</v>
      </c>
      <c r="B11204" s="132">
        <v>7.52</v>
      </c>
      <c r="C11204" s="133"/>
    </row>
    <row r="11205" spans="1:3">
      <c r="A11205" s="131" t="s">
        <v>567</v>
      </c>
      <c r="B11205" s="132">
        <v>7.6671840440680007E-5</v>
      </c>
      <c r="C11205" s="133"/>
    </row>
    <row r="11206" spans="1:3">
      <c r="A11206" s="131" t="s">
        <v>568</v>
      </c>
      <c r="B11206" s="132">
        <v>3.6745728621999999E-10</v>
      </c>
      <c r="C11206" s="133"/>
    </row>
    <row r="11207" spans="1:3">
      <c r="A11207" s="131" t="s">
        <v>569</v>
      </c>
      <c r="B11207" s="132">
        <v>2.1261284986711E-4</v>
      </c>
      <c r="C11207" s="133"/>
    </row>
    <row r="11208" spans="1:3">
      <c r="A11208" s="131" t="s">
        <v>570</v>
      </c>
      <c r="B11208" s="132">
        <v>3.2127846539025998E-5</v>
      </c>
      <c r="C11208" s="133"/>
    </row>
    <row r="11209" spans="1:3">
      <c r="A11209" s="131" t="s">
        <v>571</v>
      </c>
      <c r="B11209" s="132">
        <v>519.68125931841996</v>
      </c>
      <c r="C11209" s="133"/>
    </row>
    <row r="11210" spans="1:3">
      <c r="A11210" s="131" t="s">
        <v>572</v>
      </c>
      <c r="B11210" s="132">
        <v>0.13019035908509874</v>
      </c>
      <c r="C11210" s="133"/>
    </row>
    <row r="11211" spans="1:3">
      <c r="A11211" s="131" t="s">
        <v>573</v>
      </c>
      <c r="B11211" s="132">
        <v>6.2977329299999996E-2</v>
      </c>
      <c r="C11211" s="133"/>
    </row>
    <row r="11212" spans="1:3">
      <c r="A11212" s="131" t="s">
        <v>574</v>
      </c>
      <c r="B11212" s="132">
        <v>7080.0190740789003</v>
      </c>
      <c r="C11212" s="133"/>
    </row>
    <row r="11213" spans="1:3">
      <c r="A11213" s="131" t="s">
        <v>575</v>
      </c>
      <c r="B11213" s="132">
        <v>5.4690901119072004</v>
      </c>
      <c r="C11213" s="133"/>
    </row>
    <row r="11214" spans="1:3">
      <c r="A11214" s="131" t="s">
        <v>576</v>
      </c>
      <c r="B11214" s="132">
        <v>5.0490696263118995</v>
      </c>
      <c r="C11214" s="133"/>
    </row>
    <row r="11215" spans="1:3">
      <c r="A11215" s="131" t="s">
        <v>577</v>
      </c>
      <c r="B11215" s="132">
        <v>5.1132158998027002</v>
      </c>
      <c r="C11215" s="133"/>
    </row>
    <row r="11216" spans="1:3">
      <c r="A11216" s="131" t="s">
        <v>578</v>
      </c>
      <c r="B11216" s="132">
        <v>0.55583650420482</v>
      </c>
      <c r="C11216" s="133"/>
    </row>
    <row r="11217" spans="1:3">
      <c r="A11217" s="131" t="s">
        <v>579</v>
      </c>
      <c r="B11217" s="132">
        <v>0.99975239071781341</v>
      </c>
      <c r="C11217" s="133"/>
    </row>
    <row r="11218" spans="1:3">
      <c r="A11218" s="131" t="s">
        <v>580</v>
      </c>
      <c r="B11218" s="132">
        <v>0.37436350111514</v>
      </c>
      <c r="C11218" s="133"/>
    </row>
    <row r="11219" spans="1:3">
      <c r="A11219" s="131" t="s">
        <v>581</v>
      </c>
      <c r="B11219" s="132">
        <v>0.35475189713110999</v>
      </c>
      <c r="C11219" s="133"/>
    </row>
    <row r="11220" spans="1:3">
      <c r="A11220" s="131" t="s">
        <v>582</v>
      </c>
      <c r="B11220" s="132">
        <v>2.5151775609892</v>
      </c>
      <c r="C11220" s="133"/>
    </row>
    <row r="11221" spans="1:3">
      <c r="A11221" s="131" t="s">
        <v>583</v>
      </c>
      <c r="B11221" s="132">
        <v>1.4047595015889E-2</v>
      </c>
      <c r="C11221" s="133"/>
    </row>
    <row r="11222" spans="1:3">
      <c r="A11222" s="131" t="s">
        <v>584</v>
      </c>
      <c r="B11222" s="132">
        <v>0.52693975940816773</v>
      </c>
      <c r="C11222" s="133"/>
    </row>
    <row r="11223" spans="1:3">
      <c r="A11223" s="131" t="s">
        <v>585</v>
      </c>
      <c r="B11223" s="132">
        <v>3.9745691200503998E-5</v>
      </c>
      <c r="C11223" s="133"/>
    </row>
    <row r="11224" spans="1:3">
      <c r="A11224" s="131" t="s">
        <v>586</v>
      </c>
      <c r="B11224" s="132">
        <v>0.68123592916422004</v>
      </c>
      <c r="C11224" s="133"/>
    </row>
    <row r="11225" spans="1:3">
      <c r="A11225" s="131" t="s">
        <v>587</v>
      </c>
      <c r="B11225" s="132">
        <v>1.9058028550296</v>
      </c>
      <c r="C11225" s="133"/>
    </row>
    <row r="11226" spans="1:3">
      <c r="A11226" s="131" t="s">
        <v>588</v>
      </c>
      <c r="B11226" s="132">
        <v>2.0785422008229002</v>
      </c>
      <c r="C11226" s="133"/>
    </row>
    <row r="11227" spans="1:3">
      <c r="A11227" s="131" t="s">
        <v>589</v>
      </c>
      <c r="B11227" s="132">
        <v>3.0106809200398001</v>
      </c>
      <c r="C11227" s="133"/>
    </row>
    <row r="11228" spans="1:3">
      <c r="A11228" s="131" t="s">
        <v>590</v>
      </c>
      <c r="B11228" s="132">
        <v>0.11976956092359131</v>
      </c>
      <c r="C11228" s="133"/>
    </row>
    <row r="11229" spans="1:3">
      <c r="A11229" s="131" t="s">
        <v>591</v>
      </c>
      <c r="B11229" s="132">
        <v>3.3062090545622</v>
      </c>
      <c r="C11229" s="133"/>
    </row>
    <row r="11230" spans="1:3">
      <c r="A11230" s="131" t="s">
        <v>592</v>
      </c>
      <c r="B11230" s="132">
        <v>7.7550173357245002</v>
      </c>
      <c r="C11230" s="133"/>
    </row>
    <row r="11231" spans="1:3">
      <c r="A11231" s="131" t="s">
        <v>593</v>
      </c>
      <c r="B11231" s="132">
        <v>5.18678114531685</v>
      </c>
      <c r="C11231" s="133"/>
    </row>
    <row r="11232" spans="1:3">
      <c r="A11232" s="131" t="s">
        <v>594</v>
      </c>
      <c r="B11232" s="132">
        <v>0.29760323868945998</v>
      </c>
      <c r="C11232" s="133"/>
    </row>
    <row r="11233" spans="1:3">
      <c r="A11233" s="131" t="s">
        <v>595</v>
      </c>
      <c r="B11233" s="132">
        <v>2.9618099885047999</v>
      </c>
      <c r="C11233" s="133"/>
    </row>
    <row r="11234" spans="1:3">
      <c r="A11234" s="131" t="s">
        <v>596</v>
      </c>
      <c r="B11234" s="132">
        <v>5.1623304787104001</v>
      </c>
      <c r="C11234" s="133"/>
    </row>
    <row r="11235" spans="1:3">
      <c r="A11235" s="131" t="s">
        <v>597</v>
      </c>
      <c r="B11235" s="132">
        <v>15.349813208597</v>
      </c>
      <c r="C11235" s="133"/>
    </row>
    <row r="11236" spans="1:3">
      <c r="A11236" s="131" t="s">
        <v>1699</v>
      </c>
      <c r="B11236" s="132">
        <v>0.30482088386147999</v>
      </c>
      <c r="C11236" s="133"/>
    </row>
    <row r="11237" spans="1:3">
      <c r="A11237" s="131" t="s">
        <v>1700</v>
      </c>
      <c r="B11237" s="132">
        <v>6.3196988675285004E-2</v>
      </c>
      <c r="C11237" s="133"/>
    </row>
    <row r="11238" spans="1:3">
      <c r="A11238" s="131" t="s">
        <v>1701</v>
      </c>
      <c r="B11238" s="132">
        <v>0.97214957358009002</v>
      </c>
      <c r="C11238" s="133"/>
    </row>
    <row r="11239" spans="1:3">
      <c r="A11239" s="131" t="s">
        <v>1702</v>
      </c>
      <c r="B11239" s="132">
        <v>3.9907995057987999E-4</v>
      </c>
      <c r="C11239" s="133"/>
    </row>
    <row r="11240" spans="1:3">
      <c r="A11240" s="131" t="s">
        <v>1703</v>
      </c>
      <c r="B11240" s="132">
        <v>2.7874319049941998</v>
      </c>
      <c r="C11240" s="133"/>
    </row>
    <row r="11241" spans="1:3">
      <c r="A11241" s="131" t="s">
        <v>1704</v>
      </c>
      <c r="B11241" s="132">
        <v>8.1270278189625998E-5</v>
      </c>
      <c r="C11241" s="133"/>
    </row>
    <row r="11242" spans="1:3">
      <c r="A11242" s="131" t="s">
        <v>1705</v>
      </c>
      <c r="B11242" s="132">
        <v>0.20021931992322001</v>
      </c>
      <c r="C11242" s="133"/>
    </row>
    <row r="11243" spans="1:3">
      <c r="A11243" s="131" t="s">
        <v>1706</v>
      </c>
      <c r="B11243" s="132">
        <v>7.5763858172667002E-4</v>
      </c>
      <c r="C11243" s="133"/>
    </row>
    <row r="11244" spans="1:3">
      <c r="A11244" s="131" t="s">
        <v>1707</v>
      </c>
      <c r="B11244" s="132">
        <v>2.9254571953137E-6</v>
      </c>
      <c r="C11244" s="133"/>
    </row>
    <row r="11245" spans="1:3">
      <c r="A11245" s="131" t="s">
        <v>1708</v>
      </c>
      <c r="B11245" s="132">
        <v>4.0024912370296999</v>
      </c>
      <c r="C11245" s="133"/>
    </row>
    <row r="11246" spans="1:3">
      <c r="A11246" s="131" t="s">
        <v>1709</v>
      </c>
      <c r="B11246" s="132">
        <v>8.6912999130828311E-2</v>
      </c>
      <c r="C11246" s="133"/>
    </row>
    <row r="11247" spans="1:3">
      <c r="A11247" s="131" t="s">
        <v>1710</v>
      </c>
      <c r="B11247" s="132">
        <v>1432.7369888200999</v>
      </c>
      <c r="C11247" s="133"/>
    </row>
    <row r="11248" spans="1:3">
      <c r="A11248" s="131" t="s">
        <v>1711</v>
      </c>
      <c r="B11248" s="132">
        <v>7.3786715772562004E-5</v>
      </c>
      <c r="C11248" s="133"/>
    </row>
    <row r="11249" spans="1:3">
      <c r="A11249" s="131" t="s">
        <v>1712</v>
      </c>
      <c r="B11249" s="132">
        <v>0.98983316858898995</v>
      </c>
      <c r="C11249" s="133"/>
    </row>
    <row r="11250" spans="1:3">
      <c r="A11250" s="131" t="s">
        <v>1713</v>
      </c>
      <c r="B11250" s="132">
        <v>2.2124956081851002</v>
      </c>
      <c r="C11250" s="133"/>
    </row>
    <row r="11251" spans="1:3">
      <c r="A11251" s="131" t="s">
        <v>1714</v>
      </c>
      <c r="B11251" s="132">
        <v>1.4170309827439</v>
      </c>
      <c r="C11251" s="133"/>
    </row>
    <row r="11252" spans="1:3">
      <c r="A11252" s="131" t="s">
        <v>1715</v>
      </c>
      <c r="B11252" s="132">
        <v>3.2301674938621998</v>
      </c>
      <c r="C11252" s="133"/>
    </row>
    <row r="11253" spans="1:3">
      <c r="A11253" s="131" t="s">
        <v>1716</v>
      </c>
      <c r="B11253" s="132">
        <v>8.7662123221408008E-3</v>
      </c>
      <c r="C11253" s="133"/>
    </row>
    <row r="11254" spans="1:3">
      <c r="A11254" s="131" t="s">
        <v>1717</v>
      </c>
      <c r="B11254" s="132">
        <v>1.7184600564443001E-2</v>
      </c>
      <c r="C11254" s="133"/>
    </row>
    <row r="11255" spans="1:3">
      <c r="A11255" s="131" t="s">
        <v>1718</v>
      </c>
      <c r="B11255" s="132">
        <v>3.3786194278477999</v>
      </c>
      <c r="C11255" s="133"/>
    </row>
    <row r="11256" spans="1:3">
      <c r="A11256" s="131" t="s">
        <v>1719</v>
      </c>
      <c r="B11256" s="132">
        <v>0.15228241753612001</v>
      </c>
      <c r="C11256" s="133"/>
    </row>
    <row r="11257" spans="1:3">
      <c r="A11257" s="131" t="s">
        <v>1720</v>
      </c>
      <c r="B11257" s="132">
        <v>2.2803018408987801</v>
      </c>
      <c r="C11257" s="133"/>
    </row>
    <row r="11258" spans="1:3">
      <c r="A11258" s="131" t="s">
        <v>1721</v>
      </c>
      <c r="B11258" s="132">
        <v>5.5530013803407998E-6</v>
      </c>
      <c r="C11258" s="133"/>
    </row>
    <row r="11259" spans="1:3">
      <c r="A11259" s="131" t="s">
        <v>1722</v>
      </c>
      <c r="B11259" s="132">
        <v>1.6098322866388001E-2</v>
      </c>
      <c r="C11259" s="133"/>
    </row>
    <row r="11260" spans="1:3">
      <c r="A11260" s="131" t="s">
        <v>1723</v>
      </c>
      <c r="B11260" s="132">
        <v>0.74314752347766</v>
      </c>
      <c r="C11260" s="133"/>
    </row>
    <row r="11261" spans="1:3">
      <c r="A11261" s="131" t="s">
        <v>1724</v>
      </c>
      <c r="B11261" s="132">
        <v>2.2416382790623614E-6</v>
      </c>
      <c r="C11261" s="133"/>
    </row>
    <row r="11262" spans="1:3">
      <c r="A11262" s="131" t="s">
        <v>1725</v>
      </c>
      <c r="B11262" s="132">
        <v>0.18350185314730999</v>
      </c>
      <c r="C11262" s="133"/>
    </row>
    <row r="11263" spans="1:3">
      <c r="A11263" s="131" t="s">
        <v>1726</v>
      </c>
      <c r="B11263" s="132">
        <v>0.46105501711632002</v>
      </c>
      <c r="C11263" s="133"/>
    </row>
    <row r="11264" spans="1:3">
      <c r="A11264" s="131" t="s">
        <v>1727</v>
      </c>
      <c r="B11264" s="132">
        <v>0.80563602233959997</v>
      </c>
      <c r="C11264" s="133"/>
    </row>
    <row r="11265" spans="1:3">
      <c r="A11265" s="131" t="s">
        <v>1728</v>
      </c>
      <c r="B11265" s="132">
        <v>6.2296667029608E-6</v>
      </c>
      <c r="C11265" s="133"/>
    </row>
    <row r="11266" spans="1:3">
      <c r="A11266" s="131" t="s">
        <v>1729</v>
      </c>
      <c r="B11266" s="132">
        <v>2.7496445403582501</v>
      </c>
      <c r="C11266" s="133"/>
    </row>
    <row r="11267" spans="1:3">
      <c r="A11267" s="131" t="s">
        <v>1730</v>
      </c>
      <c r="B11267" s="132">
        <v>0.69938188166090998</v>
      </c>
      <c r="C11267" s="133"/>
    </row>
    <row r="11268" spans="1:3">
      <c r="A11268" s="131" t="s">
        <v>1731</v>
      </c>
      <c r="B11268" s="132">
        <v>0.40833015199715716</v>
      </c>
      <c r="C11268" s="133"/>
    </row>
    <row r="11269" spans="1:3">
      <c r="A11269" s="131" t="s">
        <v>1732</v>
      </c>
      <c r="B11269" s="132">
        <v>1.9575771995863161E-3</v>
      </c>
      <c r="C11269" s="133"/>
    </row>
    <row r="11270" spans="1:3">
      <c r="A11270" s="131" t="s">
        <v>1733</v>
      </c>
      <c r="B11270" s="132">
        <v>1.57805501116178E-5</v>
      </c>
      <c r="C11270" s="133"/>
    </row>
    <row r="11271" spans="1:3">
      <c r="A11271" s="131" t="s">
        <v>1734</v>
      </c>
      <c r="B11271" s="132">
        <v>2.3628714272630999E-5</v>
      </c>
      <c r="C11271" s="133"/>
    </row>
    <row r="11272" spans="1:3">
      <c r="A11272" s="131" t="s">
        <v>1735</v>
      </c>
      <c r="B11272" s="132">
        <v>0.44706813628372999</v>
      </c>
      <c r="C11272" s="133"/>
    </row>
    <row r="11273" spans="1:3">
      <c r="A11273" s="131" t="s">
        <v>1736</v>
      </c>
      <c r="B11273" s="132">
        <v>1.971732931009E-4</v>
      </c>
      <c r="C11273" s="133"/>
    </row>
    <row r="11274" spans="1:3">
      <c r="A11274" s="131" t="s">
        <v>1737</v>
      </c>
      <c r="B11274" s="132">
        <v>1.2188203435704E-5</v>
      </c>
      <c r="C11274" s="133"/>
    </row>
    <row r="11275" spans="1:3">
      <c r="A11275" s="131" t="s">
        <v>1738</v>
      </c>
      <c r="B11275" s="132">
        <v>0.2424717348447</v>
      </c>
      <c r="C11275" s="133"/>
    </row>
    <row r="11276" spans="1:3">
      <c r="A11276" s="131" t="s">
        <v>1739</v>
      </c>
      <c r="B11276" s="132">
        <v>9.541728774409719E-2</v>
      </c>
      <c r="C11276" s="133"/>
    </row>
    <row r="11277" spans="1:3">
      <c r="A11277" s="131" t="s">
        <v>1740</v>
      </c>
      <c r="B11277" s="132">
        <v>4.5370661167867002E-4</v>
      </c>
      <c r="C11277" s="133"/>
    </row>
    <row r="11278" spans="1:3">
      <c r="A11278" s="131" t="s">
        <v>1741</v>
      </c>
      <c r="B11278" s="132">
        <v>0.58083423904510001</v>
      </c>
      <c r="C11278" s="133"/>
    </row>
    <row r="11279" spans="1:3">
      <c r="A11279" s="131" t="s">
        <v>1742</v>
      </c>
      <c r="B11279" s="132">
        <v>0.72187576977197998</v>
      </c>
      <c r="C11279" s="133"/>
    </row>
    <row r="11280" spans="1:3">
      <c r="A11280" s="131" t="s">
        <v>1743</v>
      </c>
      <c r="B11280" s="132">
        <v>1.5029401586330985E-2</v>
      </c>
      <c r="C11280" s="133"/>
    </row>
    <row r="11281" spans="1:3">
      <c r="A11281" s="131" t="s">
        <v>1744</v>
      </c>
      <c r="B11281" s="132">
        <v>0.33266350903703001</v>
      </c>
      <c r="C11281" s="133"/>
    </row>
    <row r="11282" spans="1:3">
      <c r="A11282" s="131" t="s">
        <v>1745</v>
      </c>
      <c r="B11282" s="132">
        <v>4.5919531969614999E-2</v>
      </c>
      <c r="C11282" s="133"/>
    </row>
    <row r="11283" spans="1:3">
      <c r="A11283" s="131" t="s">
        <v>1746</v>
      </c>
      <c r="B11283" s="132">
        <v>4.7701242695180002E-2</v>
      </c>
      <c r="C11283" s="133"/>
    </row>
    <row r="11284" spans="1:3">
      <c r="A11284" s="131" t="s">
        <v>1747</v>
      </c>
      <c r="B11284" s="132">
        <v>0.27857962302812966</v>
      </c>
      <c r="C11284" s="133"/>
    </row>
    <row r="11285" spans="1:3">
      <c r="A11285" s="131" t="s">
        <v>1748</v>
      </c>
      <c r="B11285" s="132">
        <v>3.159557934104E-2</v>
      </c>
      <c r="C11285" s="133"/>
    </row>
    <row r="11286" spans="1:3">
      <c r="A11286" s="131" t="s">
        <v>1749</v>
      </c>
      <c r="B11286" s="132">
        <v>6.7158799851552001E-2</v>
      </c>
      <c r="C11286" s="133"/>
    </row>
    <row r="11287" spans="1:3">
      <c r="A11287" s="131" t="s">
        <v>1750</v>
      </c>
      <c r="B11287" s="132">
        <v>0.73159860054337666</v>
      </c>
      <c r="C11287" s="133"/>
    </row>
    <row r="11288" spans="1:3">
      <c r="A11288" s="131" t="s">
        <v>1751</v>
      </c>
      <c r="B11288" s="132">
        <v>47.393982438981496</v>
      </c>
      <c r="C11288" s="133"/>
    </row>
    <row r="11289" spans="1:3">
      <c r="A11289" s="131" t="s">
        <v>1752</v>
      </c>
      <c r="B11289" s="132">
        <v>1.6540099976106001E-2</v>
      </c>
      <c r="C11289" s="133"/>
    </row>
    <row r="11290" spans="1:3">
      <c r="A11290" s="131" t="s">
        <v>1753</v>
      </c>
      <c r="B11290" s="132">
        <v>1.5433695578783999</v>
      </c>
      <c r="C11290" s="133"/>
    </row>
    <row r="11291" spans="1:3">
      <c r="A11291" s="131" t="s">
        <v>1754</v>
      </c>
      <c r="B11291" s="132">
        <v>2.9929967144812523E-5</v>
      </c>
      <c r="C11291" s="133"/>
    </row>
    <row r="11292" spans="1:3">
      <c r="A11292" s="131" t="s">
        <v>1755</v>
      </c>
      <c r="B11292" s="132">
        <v>3.2905074564642998E-2</v>
      </c>
      <c r="C11292" s="133"/>
    </row>
    <row r="11293" spans="1:3">
      <c r="A11293" s="131" t="s">
        <v>1756</v>
      </c>
      <c r="B11293" s="132">
        <v>3.3531147561683001</v>
      </c>
      <c r="C11293" s="133"/>
    </row>
    <row r="11294" spans="1:3">
      <c r="A11294" s="131" t="s">
        <v>1757</v>
      </c>
      <c r="B11294" s="132">
        <v>0.13027050435745</v>
      </c>
      <c r="C11294" s="133"/>
    </row>
    <row r="11295" spans="1:3">
      <c r="A11295" s="131" t="s">
        <v>1758</v>
      </c>
      <c r="B11295" s="132">
        <v>1.2017750371542001E-3</v>
      </c>
      <c r="C11295" s="133"/>
    </row>
    <row r="11296" spans="1:3">
      <c r="A11296" s="131" t="s">
        <v>1759</v>
      </c>
      <c r="B11296" s="132">
        <v>0.58436962471437004</v>
      </c>
      <c r="C11296" s="133"/>
    </row>
    <row r="11297" spans="1:3">
      <c r="A11297" s="131" t="s">
        <v>1760</v>
      </c>
      <c r="B11297" s="132">
        <v>36.933090300495998</v>
      </c>
      <c r="C11297" s="133"/>
    </row>
    <row r="11298" spans="1:3">
      <c r="A11298" s="131" t="s">
        <v>1761</v>
      </c>
      <c r="B11298" s="132">
        <v>1.0476072646428E-3</v>
      </c>
      <c r="C11298" s="133"/>
    </row>
    <row r="11299" spans="1:3">
      <c r="A11299" s="131" t="s">
        <v>1762</v>
      </c>
      <c r="B11299" s="132">
        <v>5.9472187242753998E-3</v>
      </c>
      <c r="C11299" s="133"/>
    </row>
    <row r="11300" spans="1:3">
      <c r="A11300" s="131" t="s">
        <v>1763</v>
      </c>
      <c r="B11300" s="132">
        <v>9.4581801996739004E-2</v>
      </c>
      <c r="C11300" s="133"/>
    </row>
    <row r="11301" spans="1:3">
      <c r="A11301" s="131" t="s">
        <v>1764</v>
      </c>
      <c r="B11301" s="132">
        <v>0.41619180083842999</v>
      </c>
      <c r="C11301" s="133"/>
    </row>
    <row r="11302" spans="1:3">
      <c r="A11302" s="131" t="s">
        <v>1765</v>
      </c>
      <c r="B11302" s="132">
        <v>0.19177100187691001</v>
      </c>
      <c r="C11302" s="133"/>
    </row>
    <row r="11303" spans="1:3">
      <c r="A11303" s="131" t="s">
        <v>1766</v>
      </c>
      <c r="B11303" s="132">
        <v>1.3358739951102001</v>
      </c>
      <c r="C11303" s="133"/>
    </row>
    <row r="11304" spans="1:3">
      <c r="A11304" s="131" t="s">
        <v>1767</v>
      </c>
      <c r="B11304" s="132">
        <v>7.2275437020527997</v>
      </c>
      <c r="C11304" s="133"/>
    </row>
    <row r="11305" spans="1:3">
      <c r="A11305" s="131" t="s">
        <v>1768</v>
      </c>
      <c r="B11305" s="132">
        <v>7.7026283855856997E-2</v>
      </c>
      <c r="C11305" s="133"/>
    </row>
    <row r="11306" spans="1:3">
      <c r="A11306" s="131" t="s">
        <v>1769</v>
      </c>
      <c r="B11306" s="132">
        <v>9.9811694648089006E-5</v>
      </c>
      <c r="C11306" s="133"/>
    </row>
    <row r="11307" spans="1:3">
      <c r="A11307" s="131" t="s">
        <v>1770</v>
      </c>
      <c r="B11307" s="132">
        <v>1.5678251171651E-3</v>
      </c>
      <c r="C11307" s="133"/>
    </row>
    <row r="11308" spans="1:3">
      <c r="A11308" s="131" t="s">
        <v>1771</v>
      </c>
      <c r="B11308" s="132">
        <v>20.760903443145999</v>
      </c>
      <c r="C11308" s="133"/>
    </row>
    <row r="11309" spans="1:3">
      <c r="A11309" s="131" t="s">
        <v>1772</v>
      </c>
      <c r="B11309" s="132">
        <v>5.3284297799156999E-2</v>
      </c>
      <c r="C11309" s="133"/>
    </row>
    <row r="11310" spans="1:3">
      <c r="A11310" s="131" t="s">
        <v>1773</v>
      </c>
      <c r="B11310" s="132">
        <v>4.7618771996037E-2</v>
      </c>
      <c r="C11310" s="133"/>
    </row>
    <row r="11311" spans="1:3">
      <c r="A11311" s="131" t="s">
        <v>1774</v>
      </c>
      <c r="B11311" s="132">
        <v>1.386561044073E-2</v>
      </c>
      <c r="C11311" s="133"/>
    </row>
    <row r="11312" spans="1:3">
      <c r="A11312" s="131" t="s">
        <v>1775</v>
      </c>
      <c r="B11312" s="132">
        <v>1.4247695631852999E-5</v>
      </c>
      <c r="C11312" s="133"/>
    </row>
    <row r="11313" spans="1:3">
      <c r="A11313" s="131" t="s">
        <v>1776</v>
      </c>
      <c r="B11313" s="132">
        <v>2.8298260003033998E-3</v>
      </c>
      <c r="C11313" s="133"/>
    </row>
    <row r="11314" spans="1:3">
      <c r="A11314" s="131" t="s">
        <v>1777</v>
      </c>
      <c r="B11314" s="132">
        <v>8.5692350487761998E-2</v>
      </c>
      <c r="C11314" s="133"/>
    </row>
    <row r="11315" spans="1:3">
      <c r="A11315" s="131" t="s">
        <v>1778</v>
      </c>
      <c r="B11315" s="132">
        <v>4.7712056015308002E-7</v>
      </c>
      <c r="C11315" s="133"/>
    </row>
    <row r="11316" spans="1:3">
      <c r="A11316" s="131" t="s">
        <v>1779</v>
      </c>
      <c r="B11316" s="132">
        <v>0.18341999882571081</v>
      </c>
      <c r="C11316" s="133"/>
    </row>
    <row r="11317" spans="1:3">
      <c r="A11317" s="131" t="s">
        <v>1780</v>
      </c>
      <c r="B11317" s="132">
        <v>1.1054517054516</v>
      </c>
      <c r="C11317" s="133"/>
    </row>
    <row r="11318" spans="1:3">
      <c r="A11318" s="131" t="s">
        <v>1781</v>
      </c>
      <c r="B11318" s="132">
        <v>1.9796645112883</v>
      </c>
      <c r="C11318" s="133"/>
    </row>
    <row r="11319" spans="1:3">
      <c r="A11319" s="131" t="s">
        <v>1782</v>
      </c>
      <c r="B11319" s="132">
        <v>4.01869887528E-7</v>
      </c>
      <c r="C11319" s="133"/>
    </row>
    <row r="11320" spans="1:3">
      <c r="A11320" s="131" t="s">
        <v>1783</v>
      </c>
      <c r="B11320" s="132">
        <v>0.23175918800909001</v>
      </c>
      <c r="C11320" s="133"/>
    </row>
    <row r="11321" spans="1:3">
      <c r="A11321" s="131" t="s">
        <v>1784</v>
      </c>
      <c r="B11321" s="132">
        <v>4.8668672902113005E-7</v>
      </c>
      <c r="C11321" s="133"/>
    </row>
    <row r="11322" spans="1:3">
      <c r="A11322" s="131" t="s">
        <v>1785</v>
      </c>
      <c r="B11322" s="132">
        <v>6.8957320739748001E-2</v>
      </c>
      <c r="C11322" s="133"/>
    </row>
    <row r="11323" spans="1:3">
      <c r="A11323" s="131" t="s">
        <v>1786</v>
      </c>
      <c r="B11323" s="132">
        <v>36.012224247734999</v>
      </c>
      <c r="C11323" s="133"/>
    </row>
    <row r="11324" spans="1:3">
      <c r="A11324" s="131" t="s">
        <v>1787</v>
      </c>
      <c r="B11324" s="132">
        <v>0.48195446960082999</v>
      </c>
      <c r="C11324" s="133"/>
    </row>
    <row r="11325" spans="1:3">
      <c r="A11325" s="131" t="s">
        <v>1788</v>
      </c>
      <c r="B11325" s="132">
        <v>1.6673572270285</v>
      </c>
      <c r="C11325" s="133"/>
    </row>
    <row r="11326" spans="1:3">
      <c r="A11326" s="131" t="s">
        <v>1789</v>
      </c>
      <c r="B11326" s="132">
        <v>4.8667832433079003E-3</v>
      </c>
      <c r="C11326" s="133"/>
    </row>
    <row r="11327" spans="1:3">
      <c r="A11327" s="131" t="s">
        <v>1790</v>
      </c>
      <c r="B11327" s="132">
        <v>0.12979095502401</v>
      </c>
      <c r="C11327" s="133"/>
    </row>
    <row r="11328" spans="1:3">
      <c r="A11328" s="131" t="s">
        <v>1791</v>
      </c>
      <c r="B11328" s="132">
        <v>12.305638159209</v>
      </c>
      <c r="C11328" s="133"/>
    </row>
    <row r="11329" spans="1:3">
      <c r="A11329" s="131" t="s">
        <v>1792</v>
      </c>
      <c r="B11329" s="132">
        <v>1.1476312006054999E-2</v>
      </c>
      <c r="C11329" s="133"/>
    </row>
    <row r="11330" spans="1:3">
      <c r="A11330" s="131" t="s">
        <v>1793</v>
      </c>
      <c r="B11330" s="132">
        <v>5.2765352885115998E-6</v>
      </c>
      <c r="C11330" s="133"/>
    </row>
    <row r="11331" spans="1:3">
      <c r="A11331" s="131" t="s">
        <v>1794</v>
      </c>
      <c r="B11331" s="132">
        <v>7.1945722169411998E-6</v>
      </c>
      <c r="C11331" s="133"/>
    </row>
    <row r="11332" spans="1:3">
      <c r="A11332" s="131" t="s">
        <v>1795</v>
      </c>
      <c r="B11332" s="132">
        <v>23.033377066436</v>
      </c>
      <c r="C11332" s="133"/>
    </row>
    <row r="11333" spans="1:3">
      <c r="A11333" s="131" t="s">
        <v>1796</v>
      </c>
      <c r="B11333" s="132">
        <v>13.937823202605999</v>
      </c>
      <c r="C11333" s="133"/>
    </row>
    <row r="11334" spans="1:3">
      <c r="A11334" s="131" t="s">
        <v>1797</v>
      </c>
      <c r="B11334" s="132">
        <v>8.0343483102172999E-3</v>
      </c>
      <c r="C11334" s="133"/>
    </row>
    <row r="11335" spans="1:3">
      <c r="A11335" s="131" t="s">
        <v>1798</v>
      </c>
      <c r="B11335" s="132">
        <v>11.106219445491</v>
      </c>
      <c r="C11335" s="133"/>
    </row>
    <row r="11336" spans="1:3">
      <c r="A11336" s="131" t="s">
        <v>1799</v>
      </c>
      <c r="B11336" s="132">
        <v>5.0483173437199998E-2</v>
      </c>
      <c r="C11336" s="133"/>
    </row>
    <row r="11337" spans="1:3">
      <c r="A11337" s="131" t="s">
        <v>1800</v>
      </c>
      <c r="B11337" s="132">
        <v>10.569058583083001</v>
      </c>
      <c r="C11337" s="133"/>
    </row>
    <row r="11338" spans="1:3">
      <c r="A11338" s="131" t="s">
        <v>1801</v>
      </c>
      <c r="B11338" s="132">
        <v>0.74797231680815002</v>
      </c>
      <c r="C11338" s="133"/>
    </row>
    <row r="11339" spans="1:3">
      <c r="A11339" s="131" t="s">
        <v>1802</v>
      </c>
      <c r="B11339" s="132">
        <v>0.28411383131734003</v>
      </c>
      <c r="C11339" s="133"/>
    </row>
    <row r="11340" spans="1:3">
      <c r="A11340" s="131" t="s">
        <v>1803</v>
      </c>
      <c r="B11340" s="132">
        <v>8.3798787624639992</v>
      </c>
      <c r="C11340" s="133"/>
    </row>
    <row r="11341" spans="1:3">
      <c r="A11341" s="131" t="s">
        <v>1804</v>
      </c>
      <c r="B11341" s="132">
        <v>1.1035374737700001</v>
      </c>
      <c r="C11341" s="133"/>
    </row>
    <row r="11342" spans="1:3">
      <c r="A11342" s="131" t="s">
        <v>1805</v>
      </c>
      <c r="B11342" s="132">
        <v>1.9750418082893E-2</v>
      </c>
      <c r="C11342" s="133"/>
    </row>
    <row r="11343" spans="1:3">
      <c r="A11343" s="131" t="s">
        <v>1806</v>
      </c>
      <c r="B11343" s="132">
        <v>4.9055067954594002E-2</v>
      </c>
      <c r="C11343" s="133"/>
    </row>
    <row r="11344" spans="1:3">
      <c r="A11344" s="131" t="s">
        <v>1807</v>
      </c>
      <c r="B11344" s="132">
        <v>62.405594159815998</v>
      </c>
      <c r="C11344" s="133"/>
    </row>
    <row r="11345" spans="1:3">
      <c r="A11345" s="131" t="s">
        <v>1808</v>
      </c>
      <c r="B11345" s="132">
        <v>0.15197531069913001</v>
      </c>
      <c r="C11345" s="133"/>
    </row>
    <row r="11346" spans="1:3">
      <c r="A11346" s="131" t="s">
        <v>1809</v>
      </c>
      <c r="B11346" s="132">
        <v>0.38188837618542998</v>
      </c>
      <c r="C11346" s="133"/>
    </row>
    <row r="11347" spans="1:3">
      <c r="A11347" s="131" t="s">
        <v>1810</v>
      </c>
      <c r="B11347" s="132">
        <v>0.22485700708737999</v>
      </c>
      <c r="C11347" s="133"/>
    </row>
    <row r="11348" spans="1:3">
      <c r="A11348" s="131" t="s">
        <v>1811</v>
      </c>
      <c r="B11348" s="132">
        <v>5.4435757225041043E-2</v>
      </c>
      <c r="C11348" s="133"/>
    </row>
    <row r="11349" spans="1:3">
      <c r="A11349" s="131" t="s">
        <v>1812</v>
      </c>
      <c r="B11349" s="132">
        <v>2.6451953588295001</v>
      </c>
      <c r="C11349" s="133"/>
    </row>
    <row r="11350" spans="1:3">
      <c r="A11350" s="131" t="s">
        <v>1813</v>
      </c>
      <c r="B11350" s="132">
        <v>7.0349967306295752E-2</v>
      </c>
      <c r="C11350" s="133"/>
    </row>
    <row r="11351" spans="1:3">
      <c r="A11351" s="131" t="s">
        <v>1814</v>
      </c>
      <c r="B11351" s="132">
        <v>0.50166150675714005</v>
      </c>
      <c r="C11351" s="133"/>
    </row>
    <row r="11352" spans="1:3">
      <c r="A11352" s="131" t="s">
        <v>1815</v>
      </c>
      <c r="B11352" s="132">
        <v>4.8188599118082001E-2</v>
      </c>
      <c r="C11352" s="133"/>
    </row>
    <row r="11353" spans="1:3">
      <c r="A11353" s="131" t="s">
        <v>1816</v>
      </c>
      <c r="B11353" s="132">
        <v>0.95951439755523005</v>
      </c>
      <c r="C11353" s="133"/>
    </row>
    <row r="11354" spans="1:3">
      <c r="A11354" s="131" t="s">
        <v>1817</v>
      </c>
      <c r="B11354" s="132">
        <v>0.45353912178497774</v>
      </c>
      <c r="C11354" s="133"/>
    </row>
    <row r="11355" spans="1:3">
      <c r="A11355" s="131" t="s">
        <v>1818</v>
      </c>
      <c r="B11355" s="132">
        <v>4.7016063028557001E-2</v>
      </c>
      <c r="C11355" s="133"/>
    </row>
    <row r="11356" spans="1:3">
      <c r="A11356" s="131" t="s">
        <v>1819</v>
      </c>
      <c r="B11356" s="132">
        <v>1.7450105661343001</v>
      </c>
      <c r="C11356" s="133"/>
    </row>
    <row r="11357" spans="1:3">
      <c r="A11357" s="131" t="s">
        <v>1820</v>
      </c>
      <c r="B11357" s="132">
        <v>1.5020941384021999E-2</v>
      </c>
      <c r="C11357" s="133"/>
    </row>
    <row r="11358" spans="1:3">
      <c r="A11358" s="131" t="s">
        <v>1821</v>
      </c>
      <c r="B11358" s="132">
        <v>5.8331569923496002E-2</v>
      </c>
      <c r="C11358" s="133"/>
    </row>
    <row r="11359" spans="1:3">
      <c r="A11359" s="131" t="s">
        <v>1822</v>
      </c>
      <c r="B11359" s="132">
        <v>0.42849244444852086</v>
      </c>
      <c r="C11359" s="133"/>
    </row>
    <row r="11360" spans="1:3">
      <c r="A11360" s="131" t="s">
        <v>1823</v>
      </c>
      <c r="B11360" s="132">
        <v>2.3927401764703002E-5</v>
      </c>
      <c r="C11360" s="133"/>
    </row>
    <row r="11361" spans="1:3">
      <c r="A11361" s="131" t="s">
        <v>1824</v>
      </c>
      <c r="B11361" s="132">
        <v>1.6740037165826002E-2</v>
      </c>
      <c r="C11361" s="133"/>
    </row>
    <row r="11362" spans="1:3">
      <c r="A11362" s="131" t="s">
        <v>1825</v>
      </c>
      <c r="B11362" s="132">
        <v>4.6421661951421998E-3</v>
      </c>
      <c r="C11362" s="133"/>
    </row>
    <row r="11363" spans="1:3">
      <c r="A11363" s="131" t="s">
        <v>1826</v>
      </c>
      <c r="B11363" s="132">
        <v>7.3415058501870994E-2</v>
      </c>
      <c r="C11363" s="133"/>
    </row>
    <row r="11364" spans="1:3">
      <c r="A11364" s="131" t="s">
        <v>1827</v>
      </c>
      <c r="B11364" s="132">
        <v>2.3097999475147998E-2</v>
      </c>
      <c r="C11364" s="133"/>
    </row>
    <row r="11365" spans="1:3">
      <c r="A11365" s="131" t="s">
        <v>1828</v>
      </c>
      <c r="B11365" s="132">
        <v>3.9323762247405998E-3</v>
      </c>
      <c r="C11365" s="133"/>
    </row>
    <row r="11366" spans="1:3">
      <c r="A11366" s="131" t="s">
        <v>1829</v>
      </c>
      <c r="B11366" s="132">
        <v>1.4287943487193791E-3</v>
      </c>
      <c r="C11366" s="133"/>
    </row>
    <row r="11367" spans="1:3">
      <c r="A11367" s="131" t="s">
        <v>1830</v>
      </c>
      <c r="B11367" s="132">
        <v>2.0170841409774999E-5</v>
      </c>
      <c r="C11367" s="133"/>
    </row>
    <row r="11368" spans="1:3">
      <c r="A11368" s="131" t="s">
        <v>1831</v>
      </c>
      <c r="B11368" s="132">
        <v>5.2975113371395996E-3</v>
      </c>
      <c r="C11368" s="133"/>
    </row>
    <row r="11369" spans="1:3">
      <c r="A11369" s="131" t="s">
        <v>1832</v>
      </c>
      <c r="B11369" s="132">
        <v>2.6154981800918E-4</v>
      </c>
      <c r="C11369" s="133"/>
    </row>
    <row r="11370" spans="1:3">
      <c r="A11370" s="131" t="s">
        <v>1833</v>
      </c>
      <c r="B11370" s="132">
        <v>0.64393740843544001</v>
      </c>
      <c r="C11370" s="133"/>
    </row>
    <row r="11371" spans="1:3">
      <c r="A11371" s="131" t="s">
        <v>1834</v>
      </c>
      <c r="B11371" s="132">
        <v>1.8479030145003E-5</v>
      </c>
      <c r="C11371" s="133"/>
    </row>
    <row r="11372" spans="1:3">
      <c r="A11372" s="131" t="s">
        <v>1835</v>
      </c>
      <c r="B11372" s="132">
        <v>0.54127246861699996</v>
      </c>
      <c r="C11372" s="133"/>
    </row>
    <row r="11373" spans="1:3">
      <c r="A11373" s="131" t="s">
        <v>1836</v>
      </c>
      <c r="B11373" s="132">
        <v>0.24106320620923</v>
      </c>
      <c r="C11373" s="133"/>
    </row>
    <row r="11374" spans="1:3">
      <c r="A11374" s="131" t="s">
        <v>1837</v>
      </c>
      <c r="B11374" s="132">
        <v>1.295588721293</v>
      </c>
      <c r="C11374" s="133"/>
    </row>
    <row r="11375" spans="1:3">
      <c r="A11375" s="131" t="s">
        <v>1838</v>
      </c>
      <c r="B11375" s="132">
        <v>2.1298481489538001E-7</v>
      </c>
      <c r="C11375" s="133"/>
    </row>
    <row r="11376" spans="1:3">
      <c r="A11376" s="131" t="s">
        <v>1839</v>
      </c>
      <c r="B11376" s="132">
        <v>0.35322858094664</v>
      </c>
      <c r="C11376" s="133"/>
    </row>
    <row r="11377" spans="1:3">
      <c r="A11377" s="131" t="s">
        <v>1840</v>
      </c>
      <c r="B11377" s="132">
        <v>58.295867143849001</v>
      </c>
      <c r="C11377" s="133"/>
    </row>
    <row r="11378" spans="1:3">
      <c r="A11378" s="131" t="s">
        <v>1841</v>
      </c>
      <c r="B11378" s="132">
        <v>9.0579644389325998E-5</v>
      </c>
      <c r="C11378" s="133"/>
    </row>
    <row r="11379" spans="1:3">
      <c r="A11379" s="131" t="s">
        <v>1842</v>
      </c>
      <c r="B11379" s="132">
        <v>1.8297523772479E-2</v>
      </c>
      <c r="C11379" s="133"/>
    </row>
    <row r="11380" spans="1:3">
      <c r="A11380" s="131" t="s">
        <v>1843</v>
      </c>
      <c r="B11380" s="132">
        <v>3.5731116851243998</v>
      </c>
      <c r="C11380" s="133"/>
    </row>
    <row r="11381" spans="1:3">
      <c r="A11381" s="131" t="s">
        <v>1844</v>
      </c>
      <c r="B11381" s="132">
        <v>7.7041696125372001E-3</v>
      </c>
      <c r="C11381" s="133"/>
    </row>
    <row r="11382" spans="1:3">
      <c r="A11382" s="131" t="s">
        <v>1845</v>
      </c>
      <c r="B11382" s="132">
        <v>6.3091396136162006E-2</v>
      </c>
      <c r="C11382" s="133"/>
    </row>
    <row r="11383" spans="1:3">
      <c r="A11383" s="131" t="s">
        <v>1846</v>
      </c>
      <c r="B11383" s="132">
        <v>2.8591756662674999E-5</v>
      </c>
      <c r="C11383" s="133"/>
    </row>
    <row r="11384" spans="1:3">
      <c r="A11384" s="131" t="s">
        <v>1847</v>
      </c>
      <c r="B11384" s="132">
        <v>0.80483558913310005</v>
      </c>
      <c r="C11384" s="133"/>
    </row>
    <row r="11385" spans="1:3">
      <c r="A11385" s="131" t="s">
        <v>1848</v>
      </c>
      <c r="B11385" s="132">
        <v>7.4492786531623001E-2</v>
      </c>
      <c r="C11385" s="133"/>
    </row>
    <row r="11386" spans="1:3">
      <c r="A11386" s="131" t="s">
        <v>1849</v>
      </c>
      <c r="B11386" s="132">
        <v>3.7060863033741498</v>
      </c>
      <c r="C11386" s="133"/>
    </row>
    <row r="11387" spans="1:3">
      <c r="A11387" s="131" t="s">
        <v>1850</v>
      </c>
      <c r="B11387" s="132">
        <v>73.423947284793002</v>
      </c>
      <c r="C11387" s="133"/>
    </row>
    <row r="11388" spans="1:3">
      <c r="A11388" s="131" t="s">
        <v>1851</v>
      </c>
      <c r="B11388" s="132">
        <v>0.1031927859337</v>
      </c>
      <c r="C11388" s="133"/>
    </row>
    <row r="11389" spans="1:3">
      <c r="A11389" s="131" t="s">
        <v>1852</v>
      </c>
      <c r="B11389" s="132">
        <v>1.1823050428669</v>
      </c>
      <c r="C11389" s="133"/>
    </row>
    <row r="11390" spans="1:3">
      <c r="A11390" s="131" t="s">
        <v>1853</v>
      </c>
      <c r="B11390" s="132">
        <v>1.1347807061537001</v>
      </c>
      <c r="C11390" s="133"/>
    </row>
    <row r="11391" spans="1:3">
      <c r="A11391" s="131" t="s">
        <v>1854</v>
      </c>
      <c r="B11391" s="132">
        <v>1.8606963557792</v>
      </c>
      <c r="C11391" s="133"/>
    </row>
    <row r="11392" spans="1:3">
      <c r="A11392" s="131" t="s">
        <v>1855</v>
      </c>
      <c r="B11392" s="132">
        <v>1.0195889917106999E-2</v>
      </c>
      <c r="C11392" s="133"/>
    </row>
    <row r="11393" spans="1:3">
      <c r="A11393" s="131" t="s">
        <v>1856</v>
      </c>
      <c r="B11393" s="132">
        <v>1.2451264588209001E-2</v>
      </c>
      <c r="C11393" s="133"/>
    </row>
    <row r="11394" spans="1:3">
      <c r="A11394" s="131" t="s">
        <v>1857</v>
      </c>
      <c r="B11394" s="132">
        <v>1.2522538981128499</v>
      </c>
      <c r="C11394" s="133"/>
    </row>
    <row r="11395" spans="1:3">
      <c r="A11395" s="131" t="s">
        <v>1858</v>
      </c>
      <c r="B11395" s="132">
        <v>0.12162252683216999</v>
      </c>
      <c r="C11395" s="133"/>
    </row>
    <row r="11396" spans="1:3">
      <c r="A11396" s="131" t="s">
        <v>1859</v>
      </c>
      <c r="B11396" s="132">
        <v>5.6147600638850999E-2</v>
      </c>
      <c r="C11396" s="133"/>
    </row>
    <row r="11397" spans="1:3">
      <c r="A11397" s="131" t="s">
        <v>1860</v>
      </c>
      <c r="B11397" s="132">
        <v>5.2611933801081278E-6</v>
      </c>
      <c r="C11397" s="133"/>
    </row>
    <row r="11398" spans="1:3">
      <c r="A11398" s="131" t="s">
        <v>1861</v>
      </c>
      <c r="B11398" s="132">
        <v>3.5456850316847997E-2</v>
      </c>
      <c r="C11398" s="133"/>
    </row>
    <row r="11399" spans="1:3">
      <c r="A11399" s="131" t="s">
        <v>1862</v>
      </c>
      <c r="B11399" s="132">
        <v>6.0715819404159002E-2</v>
      </c>
      <c r="C11399" s="133"/>
    </row>
    <row r="11400" spans="1:3">
      <c r="A11400" s="131" t="s">
        <v>1863</v>
      </c>
      <c r="B11400" s="132">
        <v>0.14196287635853999</v>
      </c>
      <c r="C11400" s="133"/>
    </row>
    <row r="11401" spans="1:3">
      <c r="A11401" s="131" t="s">
        <v>1864</v>
      </c>
      <c r="B11401" s="132">
        <v>0.17362123203624999</v>
      </c>
      <c r="C11401" s="133"/>
    </row>
    <row r="11402" spans="1:3">
      <c r="A11402" s="131" t="s">
        <v>1865</v>
      </c>
      <c r="B11402" s="132">
        <v>0.13973231960480001</v>
      </c>
      <c r="C11402" s="133"/>
    </row>
    <row r="11403" spans="1:3">
      <c r="A11403" s="131" t="s">
        <v>1866</v>
      </c>
      <c r="B11403" s="132">
        <v>1.6129381042626001</v>
      </c>
      <c r="C11403" s="133"/>
    </row>
    <row r="11404" spans="1:3">
      <c r="A11404" s="131" t="s">
        <v>1867</v>
      </c>
      <c r="B11404" s="132">
        <v>1.1808553746324999E-5</v>
      </c>
      <c r="C11404" s="133"/>
    </row>
    <row r="11405" spans="1:3">
      <c r="A11405" s="131" t="s">
        <v>1868</v>
      </c>
      <c r="B11405" s="132">
        <v>0.47176091855003</v>
      </c>
      <c r="C11405" s="133"/>
    </row>
    <row r="11406" spans="1:3">
      <c r="A11406" s="131" t="s">
        <v>1869</v>
      </c>
      <c r="B11406" s="132">
        <v>1.4679243090280872E-7</v>
      </c>
      <c r="C11406" s="133"/>
    </row>
    <row r="11407" spans="1:3">
      <c r="A11407" s="131" t="s">
        <v>1870</v>
      </c>
      <c r="B11407" s="132">
        <v>1.1161801481108999</v>
      </c>
      <c r="C11407" s="133"/>
    </row>
    <row r="11408" spans="1:3">
      <c r="A11408" s="131" t="s">
        <v>1871</v>
      </c>
      <c r="B11408" s="132">
        <v>0.73585159271737</v>
      </c>
      <c r="C11408" s="133"/>
    </row>
    <row r="11409" spans="1:3">
      <c r="A11409" s="131" t="s">
        <v>1872</v>
      </c>
      <c r="B11409" s="132">
        <v>0.93823801871895995</v>
      </c>
      <c r="C11409" s="133"/>
    </row>
    <row r="11410" spans="1:3">
      <c r="A11410" s="131" t="s">
        <v>1873</v>
      </c>
      <c r="B11410" s="132">
        <v>0.18964263744939</v>
      </c>
      <c r="C11410" s="133"/>
    </row>
    <row r="11411" spans="1:3">
      <c r="A11411" s="131" t="s">
        <v>1874</v>
      </c>
      <c r="B11411" s="132">
        <v>3.4846289888182001E-3</v>
      </c>
      <c r="C11411" s="133"/>
    </row>
    <row r="11412" spans="1:3">
      <c r="A11412" s="131" t="s">
        <v>1875</v>
      </c>
      <c r="B11412" s="132">
        <v>0.12808595363393999</v>
      </c>
      <c r="C11412" s="133"/>
    </row>
    <row r="11413" spans="1:3">
      <c r="A11413" s="131" t="s">
        <v>1876</v>
      </c>
      <c r="B11413" s="132">
        <v>0.43632530662579999</v>
      </c>
      <c r="C11413" s="133"/>
    </row>
    <row r="11414" spans="1:3">
      <c r="A11414" s="131" t="s">
        <v>1877</v>
      </c>
      <c r="B11414" s="132">
        <v>2.1802917667978001E-6</v>
      </c>
      <c r="C11414" s="133"/>
    </row>
    <row r="11415" spans="1:3">
      <c r="A11415" s="131" t="s">
        <v>1878</v>
      </c>
      <c r="B11415" s="132">
        <v>9.437931610128017E-2</v>
      </c>
      <c r="C11415" s="133"/>
    </row>
    <row r="11416" spans="1:3">
      <c r="A11416" s="131" t="s">
        <v>1879</v>
      </c>
      <c r="B11416" s="132">
        <v>2.3759776869884001E-2</v>
      </c>
      <c r="C11416" s="133"/>
    </row>
    <row r="11417" spans="1:3">
      <c r="A11417" s="131" t="s">
        <v>1880</v>
      </c>
      <c r="B11417" s="132">
        <v>0.51818300419684005</v>
      </c>
      <c r="C11417" s="133"/>
    </row>
    <row r="11418" spans="1:3">
      <c r="A11418" s="131" t="s">
        <v>1881</v>
      </c>
      <c r="B11418" s="132">
        <v>2.5380028349819998E-2</v>
      </c>
      <c r="C11418" s="133"/>
    </row>
    <row r="11419" spans="1:3">
      <c r="A11419" s="131" t="s">
        <v>1882</v>
      </c>
      <c r="B11419" s="132">
        <v>2.1704682579101E-7</v>
      </c>
      <c r="C11419" s="133"/>
    </row>
    <row r="11420" spans="1:3">
      <c r="A11420" s="131" t="s">
        <v>1883</v>
      </c>
      <c r="B11420" s="132">
        <v>2.5188419315757E-6</v>
      </c>
      <c r="C11420" s="133"/>
    </row>
    <row r="11421" spans="1:3">
      <c r="A11421" s="131" t="s">
        <v>1884</v>
      </c>
      <c r="B11421" s="132">
        <v>1.8472142190307001E-3</v>
      </c>
      <c r="C11421" s="133"/>
    </row>
    <row r="11422" spans="1:3">
      <c r="A11422" s="131" t="s">
        <v>1885</v>
      </c>
      <c r="B11422" s="132">
        <v>0.40794485712909001</v>
      </c>
      <c r="C11422" s="133"/>
    </row>
    <row r="11423" spans="1:3">
      <c r="A11423" s="131" t="s">
        <v>1886</v>
      </c>
      <c r="B11423" s="132">
        <v>0.15001830294589</v>
      </c>
      <c r="C11423" s="133"/>
    </row>
    <row r="11424" spans="1:3">
      <c r="A11424" s="131" t="s">
        <v>1887</v>
      </c>
      <c r="B11424" s="132">
        <v>3.2604852108247998E-2</v>
      </c>
      <c r="C11424" s="133"/>
    </row>
    <row r="11425" spans="1:3">
      <c r="A11425" s="131" t="s">
        <v>1888</v>
      </c>
      <c r="B11425" s="132">
        <v>15.261613775053</v>
      </c>
      <c r="C11425" s="133"/>
    </row>
    <row r="11426" spans="1:3">
      <c r="A11426" s="131" t="s">
        <v>1889</v>
      </c>
      <c r="B11426" s="132">
        <v>0.38957301958455998</v>
      </c>
      <c r="C11426" s="133"/>
    </row>
    <row r="11427" spans="1:3">
      <c r="A11427" s="131" t="s">
        <v>1890</v>
      </c>
      <c r="B11427" s="132">
        <v>8.1503595853825994E-2</v>
      </c>
      <c r="C11427" s="133"/>
    </row>
    <row r="11428" spans="1:3">
      <c r="A11428" s="131" t="s">
        <v>1891</v>
      </c>
      <c r="B11428" s="132">
        <v>1.77759277</v>
      </c>
      <c r="C11428" s="133"/>
    </row>
    <row r="11429" spans="1:3">
      <c r="A11429" s="131" t="s">
        <v>1892</v>
      </c>
      <c r="B11429" s="132">
        <v>0.14860883791158999</v>
      </c>
      <c r="C11429" s="133"/>
    </row>
    <row r="11430" spans="1:3">
      <c r="A11430" s="131" t="s">
        <v>1893</v>
      </c>
      <c r="B11430" s="132">
        <v>0.48775506218950998</v>
      </c>
      <c r="C11430" s="133"/>
    </row>
    <row r="11431" spans="1:3">
      <c r="A11431" s="131" t="s">
        <v>1894</v>
      </c>
      <c r="B11431" s="132">
        <v>6.4323842438491666E-2</v>
      </c>
      <c r="C11431" s="133"/>
    </row>
    <row r="11432" spans="1:3">
      <c r="A11432" s="131" t="s">
        <v>1895</v>
      </c>
      <c r="B11432" s="132">
        <v>3.0411504674976001E-2</v>
      </c>
      <c r="C11432" s="133"/>
    </row>
    <row r="11433" spans="1:3">
      <c r="A11433" s="131" t="s">
        <v>1896</v>
      </c>
      <c r="B11433" s="132">
        <v>2.0637536879048E-6</v>
      </c>
      <c r="C11433" s="133"/>
    </row>
    <row r="11434" spans="1:3">
      <c r="A11434" s="131" t="s">
        <v>1897</v>
      </c>
      <c r="B11434" s="132">
        <v>1.9708621538968001E-2</v>
      </c>
      <c r="C11434" s="133"/>
    </row>
    <row r="11435" spans="1:3">
      <c r="A11435" s="131" t="s">
        <v>1898</v>
      </c>
      <c r="B11435" s="132">
        <v>3.4159938521653998E-7</v>
      </c>
      <c r="C11435" s="133"/>
    </row>
    <row r="11436" spans="1:3">
      <c r="A11436" s="131" t="s">
        <v>1899</v>
      </c>
      <c r="B11436" s="132">
        <v>6.1458061978398003E-2</v>
      </c>
      <c r="C11436" s="133"/>
    </row>
    <row r="11437" spans="1:3">
      <c r="A11437" s="131" t="s">
        <v>1900</v>
      </c>
      <c r="B11437" s="132">
        <v>1.4326892601282999</v>
      </c>
      <c r="C11437" s="133"/>
    </row>
    <row r="11438" spans="1:3">
      <c r="A11438" s="131" t="s">
        <v>1901</v>
      </c>
      <c r="B11438" s="132">
        <v>0.49075460377711</v>
      </c>
      <c r="C11438" s="133"/>
    </row>
    <row r="11439" spans="1:3">
      <c r="A11439" s="131" t="s">
        <v>1902</v>
      </c>
      <c r="B11439" s="132">
        <v>1.1210039538396999E-3</v>
      </c>
      <c r="C11439" s="133"/>
    </row>
    <row r="11440" spans="1:3">
      <c r="A11440" s="131" t="s">
        <v>1903</v>
      </c>
      <c r="B11440" s="132">
        <v>2.3812887893297E-2</v>
      </c>
      <c r="C11440" s="133"/>
    </row>
    <row r="11441" spans="1:3">
      <c r="A11441" s="131" t="s">
        <v>1904</v>
      </c>
      <c r="B11441" s="132">
        <v>2.9219012570305999E-2</v>
      </c>
      <c r="C11441" s="133"/>
    </row>
    <row r="11442" spans="1:3">
      <c r="A11442" s="131" t="s">
        <v>1905</v>
      </c>
      <c r="B11442" s="132">
        <v>6.3121992562529996E-6</v>
      </c>
      <c r="C11442" s="133"/>
    </row>
    <row r="11443" spans="1:3">
      <c r="A11443" s="131" t="s">
        <v>1906</v>
      </c>
      <c r="B11443" s="132">
        <v>3.9361302929508003E-3</v>
      </c>
      <c r="C11443" s="133"/>
    </row>
    <row r="11444" spans="1:3">
      <c r="A11444" s="131" t="s">
        <v>1907</v>
      </c>
      <c r="B11444" s="132">
        <v>4.8304428508896E-3</v>
      </c>
      <c r="C11444" s="133"/>
    </row>
    <row r="11445" spans="1:3">
      <c r="A11445" s="131" t="s">
        <v>1908</v>
      </c>
      <c r="B11445" s="132">
        <v>3.0126304809545E-2</v>
      </c>
      <c r="C11445" s="133"/>
    </row>
    <row r="11446" spans="1:3">
      <c r="A11446" s="131" t="s">
        <v>1909</v>
      </c>
      <c r="B11446" s="132">
        <v>1.7483891488761837E-6</v>
      </c>
      <c r="C11446" s="133"/>
    </row>
    <row r="11447" spans="1:3">
      <c r="A11447" s="131" t="s">
        <v>1910</v>
      </c>
      <c r="B11447" s="132">
        <v>9.9858046084759008E-3</v>
      </c>
      <c r="C11447" s="133"/>
    </row>
    <row r="11448" spans="1:3">
      <c r="A11448" s="131" t="s">
        <v>1911</v>
      </c>
      <c r="B11448" s="132">
        <v>8.6893834364326003E-3</v>
      </c>
      <c r="C11448" s="133"/>
    </row>
    <row r="11449" spans="1:3">
      <c r="A11449" s="131" t="s">
        <v>1912</v>
      </c>
      <c r="B11449" s="132">
        <v>9.6531173465294495E-2</v>
      </c>
      <c r="C11449" s="133"/>
    </row>
    <row r="11450" spans="1:3">
      <c r="A11450" s="131" t="s">
        <v>1913</v>
      </c>
      <c r="B11450" s="132">
        <v>20.499544453896998</v>
      </c>
      <c r="C11450" s="133"/>
    </row>
    <row r="11451" spans="1:3">
      <c r="A11451" s="131" t="s">
        <v>1914</v>
      </c>
      <c r="B11451" s="132">
        <v>4.4153908103225996</v>
      </c>
      <c r="C11451" s="133"/>
    </row>
    <row r="11452" spans="1:3">
      <c r="A11452" s="131" t="s">
        <v>1915</v>
      </c>
      <c r="B11452" s="132">
        <v>1.5642615861478</v>
      </c>
      <c r="C11452" s="133"/>
    </row>
    <row r="11453" spans="1:3">
      <c r="A11453" s="131" t="s">
        <v>1916</v>
      </c>
      <c r="B11453" s="132">
        <v>6.3937606575621997E-7</v>
      </c>
      <c r="C11453" s="133"/>
    </row>
    <row r="11454" spans="1:3">
      <c r="A11454" s="131" t="s">
        <v>1917</v>
      </c>
      <c r="B11454" s="132">
        <v>1.9096035798176708E-6</v>
      </c>
      <c r="C11454" s="133"/>
    </row>
    <row r="11455" spans="1:3">
      <c r="A11455" s="131" t="s">
        <v>1918</v>
      </c>
      <c r="B11455" s="132">
        <v>0.99776676098039996</v>
      </c>
      <c r="C11455" s="133"/>
    </row>
    <row r="11456" spans="1:3">
      <c r="A11456" s="131" t="s">
        <v>1919</v>
      </c>
      <c r="B11456" s="132">
        <v>9.8710147373900002E-8</v>
      </c>
      <c r="C11456" s="133"/>
    </row>
    <row r="11457" spans="1:3">
      <c r="A11457" s="131" t="s">
        <v>1920</v>
      </c>
      <c r="B11457" s="132">
        <v>1.8027048019912999E-2</v>
      </c>
      <c r="C11457" s="133"/>
    </row>
    <row r="11458" spans="1:3">
      <c r="A11458" s="131" t="s">
        <v>1921</v>
      </c>
      <c r="B11458" s="132">
        <v>1.9759101507768</v>
      </c>
      <c r="C11458" s="133"/>
    </row>
    <row r="11459" spans="1:3">
      <c r="A11459" s="131" t="s">
        <v>1922</v>
      </c>
      <c r="B11459" s="132">
        <v>1.0527622583990001E-2</v>
      </c>
      <c r="C11459" s="133"/>
    </row>
    <row r="11460" spans="1:3">
      <c r="A11460" s="131" t="s">
        <v>1923</v>
      </c>
      <c r="B11460" s="132">
        <v>7.9913250253680997E-5</v>
      </c>
      <c r="C11460" s="133"/>
    </row>
    <row r="11461" spans="1:3">
      <c r="A11461" s="131" t="s">
        <v>1924</v>
      </c>
      <c r="B11461" s="132">
        <v>13.812139837917</v>
      </c>
      <c r="C11461" s="133"/>
    </row>
    <row r="11462" spans="1:3">
      <c r="A11462" s="131" t="s">
        <v>1925</v>
      </c>
      <c r="B11462" s="132">
        <v>0.29693363054500999</v>
      </c>
      <c r="C11462" s="133"/>
    </row>
    <row r="11463" spans="1:3">
      <c r="A11463" s="131" t="s">
        <v>1926</v>
      </c>
      <c r="B11463" s="132">
        <v>0.19521907710767</v>
      </c>
      <c r="C11463" s="133"/>
    </row>
    <row r="11464" spans="1:3">
      <c r="A11464" s="131" t="s">
        <v>1927</v>
      </c>
      <c r="B11464" s="132">
        <v>2.4564191803761002</v>
      </c>
      <c r="C11464" s="133"/>
    </row>
    <row r="11465" spans="1:3">
      <c r="A11465" s="131" t="s">
        <v>1928</v>
      </c>
      <c r="B11465" s="132">
        <v>7.9502327497510003E-2</v>
      </c>
      <c r="C11465" s="133"/>
    </row>
    <row r="11466" spans="1:3">
      <c r="A11466" s="131" t="s">
        <v>1929</v>
      </c>
      <c r="B11466" s="132">
        <v>32.580194508232999</v>
      </c>
      <c r="C11466" s="133"/>
    </row>
    <row r="11467" spans="1:3">
      <c r="A11467" s="131" t="s">
        <v>1930</v>
      </c>
      <c r="B11467" s="132">
        <v>0.39009243010349998</v>
      </c>
      <c r="C11467" s="133"/>
    </row>
    <row r="11468" spans="1:3">
      <c r="A11468" s="131" t="s">
        <v>1931</v>
      </c>
      <c r="B11468" s="132">
        <v>61857.742243596003</v>
      </c>
      <c r="C11468" s="133"/>
    </row>
    <row r="11469" spans="1:3">
      <c r="A11469" s="131" t="s">
        <v>1932</v>
      </c>
      <c r="B11469" s="132">
        <v>5.8484169559841004E-4</v>
      </c>
      <c r="C11469" s="133"/>
    </row>
    <row r="11470" spans="1:3">
      <c r="A11470" s="131" t="s">
        <v>1933</v>
      </c>
      <c r="B11470" s="132">
        <v>0.19466787701214</v>
      </c>
      <c r="C11470" s="133"/>
    </row>
    <row r="11471" spans="1:3">
      <c r="A11471" s="131" t="s">
        <v>1934</v>
      </c>
      <c r="B11471" s="132">
        <v>0.98420366583559005</v>
      </c>
      <c r="C11471" s="133"/>
    </row>
    <row r="11472" spans="1:3">
      <c r="A11472" s="131" t="s">
        <v>1935</v>
      </c>
      <c r="B11472" s="132">
        <v>2.4744938921770999E-4</v>
      </c>
      <c r="C11472" s="133"/>
    </row>
    <row r="11473" spans="1:3">
      <c r="A11473" s="131" t="s">
        <v>1936</v>
      </c>
      <c r="B11473" s="132">
        <v>0.12948035518921616</v>
      </c>
      <c r="C11473" s="133"/>
    </row>
    <row r="11474" spans="1:3">
      <c r="A11474" s="131" t="s">
        <v>1937</v>
      </c>
      <c r="B11474" s="132">
        <v>2.4673680744761999E-2</v>
      </c>
      <c r="C11474" s="133"/>
    </row>
    <row r="11475" spans="1:3">
      <c r="A11475" s="131" t="s">
        <v>1938</v>
      </c>
      <c r="B11475" s="132">
        <v>14.942611202433</v>
      </c>
      <c r="C11475" s="133"/>
    </row>
    <row r="11476" spans="1:3">
      <c r="A11476" s="131" t="s">
        <v>1939</v>
      </c>
      <c r="B11476" s="132">
        <v>2264.0844977390002</v>
      </c>
      <c r="C11476" s="133"/>
    </row>
    <row r="11477" spans="1:3">
      <c r="A11477" s="131" t="s">
        <v>1940</v>
      </c>
      <c r="B11477" s="132">
        <v>5.1074397596244409E-2</v>
      </c>
      <c r="C11477" s="133"/>
    </row>
    <row r="11478" spans="1:3">
      <c r="A11478" s="131" t="s">
        <v>1941</v>
      </c>
      <c r="B11478" s="132">
        <v>1.5825682694796998E-2</v>
      </c>
      <c r="C11478" s="133"/>
    </row>
    <row r="11479" spans="1:3">
      <c r="A11479" s="131" t="s">
        <v>1942</v>
      </c>
      <c r="B11479" s="132">
        <v>2.0361113951293999E-4</v>
      </c>
      <c r="C11479" s="133"/>
    </row>
    <row r="11480" spans="1:3">
      <c r="A11480" s="131" t="s">
        <v>1943</v>
      </c>
      <c r="B11480" s="132">
        <v>0.37593122924122002</v>
      </c>
      <c r="C11480" s="133"/>
    </row>
    <row r="11481" spans="1:3">
      <c r="A11481" s="131" t="s">
        <v>1944</v>
      </c>
      <c r="B11481" s="132">
        <v>834.30615457975</v>
      </c>
      <c r="C11481" s="133"/>
    </row>
    <row r="11482" spans="1:3">
      <c r="A11482" s="131" t="s">
        <v>1945</v>
      </c>
      <c r="B11482" s="132">
        <v>1.2148427025527186</v>
      </c>
      <c r="C11482" s="133"/>
    </row>
    <row r="11483" spans="1:3">
      <c r="A11483" s="131" t="s">
        <v>1946</v>
      </c>
      <c r="B11483" s="132">
        <v>16.462907763257</v>
      </c>
      <c r="C11483" s="133"/>
    </row>
    <row r="11484" spans="1:3">
      <c r="A11484" s="131" t="s">
        <v>1947</v>
      </c>
      <c r="B11484" s="132">
        <v>9.1150187484040004E-8</v>
      </c>
      <c r="C11484" s="133"/>
    </row>
    <row r="11485" spans="1:3">
      <c r="A11485" s="131" t="s">
        <v>1948</v>
      </c>
      <c r="B11485" s="132">
        <v>2.4773407741094</v>
      </c>
      <c r="C11485" s="133"/>
    </row>
    <row r="11486" spans="1:3">
      <c r="A11486" s="131" t="s">
        <v>1949</v>
      </c>
      <c r="B11486" s="132">
        <v>0.1970700259123892</v>
      </c>
      <c r="C11486" s="133"/>
    </row>
    <row r="11487" spans="1:3">
      <c r="A11487" s="131" t="s">
        <v>1950</v>
      </c>
      <c r="B11487" s="132">
        <v>7.7305288169786997E-4</v>
      </c>
      <c r="C11487" s="133"/>
    </row>
    <row r="11488" spans="1:3">
      <c r="A11488" s="131" t="s">
        <v>1951</v>
      </c>
      <c r="B11488" s="132">
        <v>3.9120063316652E-2</v>
      </c>
      <c r="C11488" s="133"/>
    </row>
    <row r="11489" spans="1:3">
      <c r="A11489" s="131" t="s">
        <v>1952</v>
      </c>
      <c r="B11489" s="132">
        <v>5.6448946595832001E-7</v>
      </c>
      <c r="C11489" s="133"/>
    </row>
    <row r="11490" spans="1:3">
      <c r="A11490" s="131" t="s">
        <v>1953</v>
      </c>
      <c r="B11490" s="132">
        <v>1.1516526727011001</v>
      </c>
      <c r="C11490" s="133"/>
    </row>
    <row r="11491" spans="1:3">
      <c r="A11491" s="131" t="s">
        <v>1954</v>
      </c>
      <c r="B11491" s="132">
        <v>0.26718634420853998</v>
      </c>
      <c r="C11491" s="133"/>
    </row>
    <row r="11492" spans="1:3">
      <c r="A11492" s="131" t="s">
        <v>1955</v>
      </c>
      <c r="B11492" s="132">
        <v>8.4838706654235998E-4</v>
      </c>
      <c r="C11492" s="133"/>
    </row>
    <row r="11493" spans="1:3">
      <c r="A11493" s="131" t="s">
        <v>1956</v>
      </c>
      <c r="B11493" s="132">
        <v>80.308205844221007</v>
      </c>
      <c r="C11493" s="133"/>
    </row>
    <row r="11494" spans="1:3">
      <c r="A11494" s="131" t="s">
        <v>1957</v>
      </c>
      <c r="B11494" s="132">
        <v>8.9434707555506121E-4</v>
      </c>
      <c r="C11494" s="133"/>
    </row>
    <row r="11495" spans="1:3">
      <c r="A11495" s="131" t="s">
        <v>1958</v>
      </c>
      <c r="B11495" s="132">
        <v>1.2734912315763001</v>
      </c>
      <c r="C11495" s="133"/>
    </row>
    <row r="11496" spans="1:3">
      <c r="A11496" s="131" t="s">
        <v>0</v>
      </c>
      <c r="B11496" s="132">
        <v>0.27062328047433998</v>
      </c>
      <c r="C11496" s="133"/>
    </row>
    <row r="11497" spans="1:3">
      <c r="A11497" s="131" t="s">
        <v>1</v>
      </c>
      <c r="B11497" s="132">
        <v>3.8725967282564E-2</v>
      </c>
      <c r="C11497" s="133"/>
    </row>
    <row r="11498" spans="1:3">
      <c r="A11498" s="131" t="s">
        <v>2</v>
      </c>
      <c r="B11498" s="132">
        <v>2.5277217481750001E-5</v>
      </c>
      <c r="C11498" s="133"/>
    </row>
    <row r="11499" spans="1:3">
      <c r="A11499" s="131" t="s">
        <v>3</v>
      </c>
      <c r="B11499" s="132">
        <v>2.3317663287159E-2</v>
      </c>
      <c r="C11499" s="133"/>
    </row>
    <row r="11500" spans="1:3">
      <c r="A11500" s="131" t="s">
        <v>4</v>
      </c>
      <c r="B11500" s="132">
        <v>6.4177396804413001E-3</v>
      </c>
      <c r="C11500" s="133"/>
    </row>
    <row r="11501" spans="1:3">
      <c r="A11501" s="131" t="s">
        <v>5</v>
      </c>
      <c r="B11501" s="132">
        <v>0.12989870659121999</v>
      </c>
      <c r="C11501" s="133"/>
    </row>
    <row r="11502" spans="1:3">
      <c r="A11502" s="131" t="s">
        <v>6</v>
      </c>
      <c r="B11502" s="132">
        <v>20.130112359755</v>
      </c>
      <c r="C11502" s="133"/>
    </row>
    <row r="11503" spans="1:3">
      <c r="A11503" s="131" t="s">
        <v>7</v>
      </c>
      <c r="B11503" s="132">
        <v>0.32414740778605</v>
      </c>
      <c r="C11503" s="133"/>
    </row>
    <row r="11504" spans="1:3">
      <c r="A11504" s="131" t="s">
        <v>8</v>
      </c>
      <c r="B11504" s="132">
        <v>0.45080398189932003</v>
      </c>
      <c r="C11504" s="133"/>
    </row>
    <row r="11505" spans="1:3">
      <c r="A11505" s="131" t="s">
        <v>9</v>
      </c>
      <c r="B11505" s="132">
        <v>96.360681529600996</v>
      </c>
      <c r="C11505" s="133"/>
    </row>
    <row r="11506" spans="1:3">
      <c r="A11506" s="131" t="s">
        <v>10</v>
      </c>
      <c r="B11506" s="132">
        <v>1.9724942403610696E-2</v>
      </c>
      <c r="C11506" s="133"/>
    </row>
    <row r="11507" spans="1:3">
      <c r="A11507" s="131" t="s">
        <v>11</v>
      </c>
      <c r="B11507" s="132">
        <v>2.1856297734306999E-6</v>
      </c>
      <c r="C11507" s="133"/>
    </row>
    <row r="11508" spans="1:3">
      <c r="A11508" s="131" t="s">
        <v>12</v>
      </c>
      <c r="B11508" s="132">
        <v>1.2938662598916999</v>
      </c>
      <c r="C11508" s="133"/>
    </row>
    <row r="11509" spans="1:3">
      <c r="A11509" s="131" t="s">
        <v>13</v>
      </c>
      <c r="B11509" s="132">
        <v>1.0211069956994999E-4</v>
      </c>
      <c r="C11509" s="133"/>
    </row>
    <row r="11510" spans="1:3">
      <c r="A11510" s="131" t="s">
        <v>14</v>
      </c>
      <c r="B11510" s="132">
        <v>7.4107948054280003E-8</v>
      </c>
      <c r="C11510" s="133"/>
    </row>
    <row r="11511" spans="1:3">
      <c r="A11511" s="131" t="s">
        <v>15</v>
      </c>
      <c r="B11511" s="132">
        <v>10.700662589239</v>
      </c>
      <c r="C11511" s="133"/>
    </row>
    <row r="11512" spans="1:3">
      <c r="A11512" s="131" t="s">
        <v>16</v>
      </c>
      <c r="B11512" s="132">
        <v>12.616695212025</v>
      </c>
      <c r="C11512" s="133"/>
    </row>
    <row r="11513" spans="1:3">
      <c r="A11513" s="131" t="s">
        <v>17</v>
      </c>
      <c r="B11513" s="132">
        <v>6.8430196718750463E-8</v>
      </c>
      <c r="C11513" s="133"/>
    </row>
    <row r="11514" spans="1:3">
      <c r="A11514" s="131" t="s">
        <v>18</v>
      </c>
      <c r="B11514" s="132">
        <v>1.0011273380091E-2</v>
      </c>
      <c r="C11514" s="133"/>
    </row>
    <row r="11515" spans="1:3">
      <c r="A11515" s="131" t="s">
        <v>19</v>
      </c>
      <c r="B11515" s="132">
        <v>1.7353647474568655E-2</v>
      </c>
      <c r="C11515" s="133"/>
    </row>
    <row r="11516" spans="1:3">
      <c r="A11516" s="131" t="s">
        <v>20</v>
      </c>
      <c r="B11516" s="132">
        <v>9.7449043837833001E-7</v>
      </c>
      <c r="C11516" s="133"/>
    </row>
    <row r="11517" spans="1:3">
      <c r="A11517" s="131" t="s">
        <v>21</v>
      </c>
      <c r="B11517" s="132">
        <v>10.127557692205</v>
      </c>
      <c r="C11517" s="133"/>
    </row>
    <row r="11518" spans="1:3">
      <c r="A11518" s="131" t="s">
        <v>22</v>
      </c>
      <c r="B11518" s="132">
        <v>1.3952283450197001E-6</v>
      </c>
      <c r="C11518" s="133"/>
    </row>
    <row r="11519" spans="1:3">
      <c r="A11519" s="131" t="s">
        <v>23</v>
      </c>
      <c r="B11519" s="132">
        <v>3.6211452214239002E-6</v>
      </c>
      <c r="C11519" s="133"/>
    </row>
    <row r="11520" spans="1:3">
      <c r="A11520" s="131" t="s">
        <v>24</v>
      </c>
      <c r="B11520" s="132">
        <v>4.6261651772995998E-4</v>
      </c>
      <c r="C11520" s="133"/>
    </row>
    <row r="11521" spans="1:3">
      <c r="A11521" s="131" t="s">
        <v>25</v>
      </c>
      <c r="B11521" s="132">
        <v>2.5539117157721999E-2</v>
      </c>
      <c r="C11521" s="133"/>
    </row>
    <row r="11522" spans="1:3">
      <c r="A11522" s="131" t="s">
        <v>26</v>
      </c>
      <c r="B11522" s="132">
        <v>0.54896063816975005</v>
      </c>
      <c r="C11522" s="133"/>
    </row>
    <row r="11523" spans="1:3">
      <c r="A11523" s="131" t="s">
        <v>27</v>
      </c>
      <c r="B11523" s="132">
        <v>7.3972404755618002E-3</v>
      </c>
      <c r="C11523" s="133"/>
    </row>
    <row r="11524" spans="1:3">
      <c r="A11524" s="131" t="s">
        <v>28</v>
      </c>
      <c r="B11524" s="132">
        <v>13.517072064412</v>
      </c>
      <c r="C11524" s="133"/>
    </row>
    <row r="11525" spans="1:3">
      <c r="A11525" s="131" t="s">
        <v>29</v>
      </c>
      <c r="B11525" s="132">
        <v>0.10119189922317</v>
      </c>
      <c r="C11525" s="133"/>
    </row>
    <row r="11526" spans="1:3">
      <c r="A11526" s="131" t="s">
        <v>30</v>
      </c>
      <c r="B11526" s="132">
        <v>0.1453835494662534</v>
      </c>
      <c r="C11526" s="133"/>
    </row>
    <row r="11527" spans="1:3">
      <c r="A11527" s="131" t="s">
        <v>31</v>
      </c>
      <c r="B11527" s="132">
        <v>0.18887907507592999</v>
      </c>
      <c r="C11527" s="133"/>
    </row>
    <row r="11528" spans="1:3">
      <c r="A11528" s="131" t="s">
        <v>32</v>
      </c>
      <c r="B11528" s="132">
        <v>2.9920626159224999E-6</v>
      </c>
      <c r="C11528" s="133"/>
    </row>
    <row r="11529" spans="1:3">
      <c r="A11529" s="131" t="s">
        <v>33</v>
      </c>
      <c r="B11529" s="132">
        <v>2.3666499936298001E-2</v>
      </c>
      <c r="C11529" s="133"/>
    </row>
    <row r="11530" spans="1:3">
      <c r="A11530" s="131" t="s">
        <v>34</v>
      </c>
      <c r="B11530" s="132">
        <v>5.0252376648758758E-3</v>
      </c>
      <c r="C11530" s="133"/>
    </row>
    <row r="11531" spans="1:3">
      <c r="A11531" s="131" t="s">
        <v>35</v>
      </c>
      <c r="B11531" s="132">
        <v>3.4521136560981998E-2</v>
      </c>
      <c r="C11531" s="133"/>
    </row>
    <row r="11532" spans="1:3">
      <c r="A11532" s="131" t="s">
        <v>36</v>
      </c>
      <c r="B11532" s="132">
        <v>0.19404210105260711</v>
      </c>
      <c r="C11532" s="133"/>
    </row>
    <row r="11533" spans="1:3">
      <c r="A11533" s="131" t="s">
        <v>37</v>
      </c>
      <c r="B11533" s="132">
        <v>3.0392758459770998E-4</v>
      </c>
      <c r="C11533" s="133"/>
    </row>
    <row r="11534" spans="1:3">
      <c r="A11534" s="131" t="s">
        <v>38</v>
      </c>
      <c r="B11534" s="132">
        <v>0.13262134828097999</v>
      </c>
      <c r="C11534" s="133"/>
    </row>
    <row r="11535" spans="1:3">
      <c r="A11535" s="131" t="s">
        <v>39</v>
      </c>
      <c r="B11535" s="132">
        <v>6.0264374430981999E-6</v>
      </c>
      <c r="C11535" s="133"/>
    </row>
    <row r="11536" spans="1:3">
      <c r="A11536" s="131" t="s">
        <v>40</v>
      </c>
      <c r="B11536" s="132">
        <v>2.9406815320275E-4</v>
      </c>
      <c r="C11536" s="133"/>
    </row>
    <row r="11537" spans="1:3">
      <c r="A11537" s="131" t="s">
        <v>41</v>
      </c>
      <c r="B11537" s="132">
        <v>2.7938172888227999E-4</v>
      </c>
      <c r="C11537" s="133"/>
    </row>
    <row r="11538" spans="1:3">
      <c r="A11538" s="131" t="s">
        <v>42</v>
      </c>
      <c r="B11538" s="132">
        <v>6.49127197413E-4</v>
      </c>
      <c r="C11538" s="133"/>
    </row>
    <row r="11539" spans="1:3">
      <c r="A11539" s="131" t="s">
        <v>43</v>
      </c>
      <c r="B11539" s="132">
        <v>3.5805269631681903E-3</v>
      </c>
      <c r="C11539" s="133"/>
    </row>
    <row r="11540" spans="1:3">
      <c r="A11540" s="131" t="s">
        <v>44</v>
      </c>
      <c r="B11540" s="132">
        <v>1.5835472026171</v>
      </c>
      <c r="C11540" s="133"/>
    </row>
    <row r="11541" spans="1:3">
      <c r="A11541" s="131" t="s">
        <v>45</v>
      </c>
      <c r="B11541" s="132">
        <v>0.22938484133904999</v>
      </c>
      <c r="C11541" s="133"/>
    </row>
    <row r="11542" spans="1:3">
      <c r="A11542" s="131" t="s">
        <v>46</v>
      </c>
      <c r="B11542" s="132">
        <v>1.1159066129644999E-4</v>
      </c>
      <c r="C11542" s="133"/>
    </row>
    <row r="11543" spans="1:3">
      <c r="A11543" s="131" t="s">
        <v>47</v>
      </c>
      <c r="B11543" s="132">
        <v>2.0948252702227001E-7</v>
      </c>
      <c r="C11543" s="133"/>
    </row>
    <row r="11544" spans="1:3">
      <c r="A11544" s="131" t="s">
        <v>48</v>
      </c>
      <c r="B11544" s="132">
        <v>1.9901311668117001E-2</v>
      </c>
      <c r="C11544" s="133"/>
    </row>
    <row r="11545" spans="1:3">
      <c r="A11545" s="131" t="s">
        <v>49</v>
      </c>
      <c r="B11545" s="132">
        <v>1.8176674918466999E-3</v>
      </c>
      <c r="C11545" s="133"/>
    </row>
    <row r="11546" spans="1:3">
      <c r="A11546" s="131" t="s">
        <v>50</v>
      </c>
      <c r="B11546" s="132">
        <v>2.8442536104029002E-2</v>
      </c>
      <c r="C11546" s="133"/>
    </row>
    <row r="11547" spans="1:3">
      <c r="A11547" s="131" t="s">
        <v>51</v>
      </c>
      <c r="B11547" s="132">
        <v>6.1579239517903998E-2</v>
      </c>
      <c r="C11547" s="133"/>
    </row>
    <row r="11548" spans="1:3">
      <c r="A11548" s="131" t="s">
        <v>52</v>
      </c>
      <c r="B11548" s="132">
        <v>1.4664271769924001E-2</v>
      </c>
      <c r="C11548" s="133"/>
    </row>
    <row r="11549" spans="1:3">
      <c r="A11549" s="131" t="s">
        <v>53</v>
      </c>
      <c r="B11549" s="132">
        <v>5.7005380929186E-2</v>
      </c>
      <c r="C11549" s="133"/>
    </row>
    <row r="11550" spans="1:3">
      <c r="A11550" s="131" t="s">
        <v>54</v>
      </c>
      <c r="B11550" s="132">
        <v>4.2753404541466004E-3</v>
      </c>
      <c r="C11550" s="133"/>
    </row>
    <row r="11551" spans="1:3">
      <c r="A11551" s="131" t="s">
        <v>55</v>
      </c>
      <c r="B11551" s="132">
        <v>7.7210106301109002E-4</v>
      </c>
      <c r="C11551" s="133"/>
    </row>
    <row r="11552" spans="1:3">
      <c r="A11552" s="131" t="s">
        <v>56</v>
      </c>
      <c r="B11552" s="132">
        <v>4.8087434535039999E-5</v>
      </c>
      <c r="C11552" s="133"/>
    </row>
    <row r="11553" spans="1:3">
      <c r="A11553" s="131" t="s">
        <v>57</v>
      </c>
      <c r="B11553" s="132">
        <v>5.7959996481829E-2</v>
      </c>
      <c r="C11553" s="133"/>
    </row>
    <row r="11554" spans="1:3">
      <c r="A11554" s="131" t="s">
        <v>58</v>
      </c>
      <c r="B11554" s="132">
        <v>11.959555125581</v>
      </c>
      <c r="C11554" s="133"/>
    </row>
    <row r="11555" spans="1:3">
      <c r="A11555" s="131" t="s">
        <v>59</v>
      </c>
      <c r="B11555" s="132">
        <v>8.7395116776073995E-6</v>
      </c>
      <c r="C11555" s="133"/>
    </row>
    <row r="11556" spans="1:3">
      <c r="A11556" s="131" t="s">
        <v>60</v>
      </c>
      <c r="B11556" s="132">
        <v>8.4365452088734999E-2</v>
      </c>
      <c r="C11556" s="133"/>
    </row>
    <row r="11557" spans="1:3">
      <c r="A11557" s="131" t="s">
        <v>61</v>
      </c>
      <c r="B11557" s="132">
        <v>5.2031948122439998E-8</v>
      </c>
      <c r="C11557" s="133"/>
    </row>
    <row r="11558" spans="1:3">
      <c r="A11558" s="131" t="s">
        <v>62</v>
      </c>
      <c r="B11558" s="132">
        <v>58.283254263261</v>
      </c>
      <c r="C11558" s="133"/>
    </row>
    <row r="11559" spans="1:3">
      <c r="A11559" s="131" t="s">
        <v>63</v>
      </c>
      <c r="B11559" s="132">
        <v>8.9066699215814005</v>
      </c>
      <c r="C11559" s="133"/>
    </row>
    <row r="11560" spans="1:3">
      <c r="A11560" s="131" t="s">
        <v>64</v>
      </c>
      <c r="B11560" s="132">
        <v>5.2427796858597001E-3</v>
      </c>
      <c r="C11560" s="133"/>
    </row>
    <row r="11561" spans="1:3">
      <c r="A11561" s="131" t="s">
        <v>65</v>
      </c>
      <c r="B11561" s="132">
        <v>3.0595628341665002E-2</v>
      </c>
      <c r="C11561" s="133"/>
    </row>
    <row r="11562" spans="1:3">
      <c r="A11562" s="131" t="s">
        <v>66</v>
      </c>
      <c r="B11562" s="132">
        <v>4.1642971521062E-2</v>
      </c>
      <c r="C11562" s="133"/>
    </row>
    <row r="11563" spans="1:3">
      <c r="A11563" s="131" t="s">
        <v>67</v>
      </c>
      <c r="B11563" s="132">
        <v>2.5510065766917001E-2</v>
      </c>
      <c r="C11563" s="133"/>
    </row>
    <row r="11564" spans="1:3">
      <c r="A11564" s="131" t="s">
        <v>68</v>
      </c>
      <c r="B11564" s="132">
        <v>0.21692579717416999</v>
      </c>
      <c r="C11564" s="133"/>
    </row>
    <row r="11565" spans="1:3">
      <c r="A11565" s="131" t="s">
        <v>69</v>
      </c>
      <c r="B11565" s="132">
        <v>1.0271303937471999E-5</v>
      </c>
      <c r="C11565" s="133"/>
    </row>
    <row r="11566" spans="1:3">
      <c r="A11566" s="131" t="s">
        <v>70</v>
      </c>
      <c r="B11566" s="132">
        <v>4.9893330658968288E-8</v>
      </c>
      <c r="C11566" s="133"/>
    </row>
    <row r="11567" spans="1:3">
      <c r="A11567" s="131" t="s">
        <v>71</v>
      </c>
      <c r="B11567" s="132">
        <v>2.1610991443759001E-2</v>
      </c>
      <c r="C11567" s="133"/>
    </row>
    <row r="11568" spans="1:3">
      <c r="A11568" s="131" t="s">
        <v>72</v>
      </c>
      <c r="B11568" s="132">
        <v>3.5834397130126469E-4</v>
      </c>
      <c r="C11568" s="133"/>
    </row>
    <row r="11569" spans="1:3">
      <c r="A11569" s="131" t="s">
        <v>73</v>
      </c>
      <c r="B11569" s="132">
        <v>1.7176458230434E-6</v>
      </c>
      <c r="C11569" s="133"/>
    </row>
    <row r="11570" spans="1:3">
      <c r="A11570" s="131" t="s">
        <v>74</v>
      </c>
      <c r="B11570" s="132">
        <v>6.7378818269247995E-7</v>
      </c>
      <c r="C11570" s="133"/>
    </row>
    <row r="11571" spans="1:3">
      <c r="A11571" s="131" t="s">
        <v>75</v>
      </c>
      <c r="B11571" s="132">
        <v>202.74068843916999</v>
      </c>
      <c r="C11571" s="133"/>
    </row>
    <row r="11572" spans="1:3">
      <c r="A11572" s="131" t="s">
        <v>76</v>
      </c>
      <c r="B11572" s="132">
        <v>7.0712084142870002E-2</v>
      </c>
      <c r="C11572" s="133"/>
    </row>
    <row r="11573" spans="1:3">
      <c r="A11573" s="131" t="s">
        <v>77</v>
      </c>
      <c r="B11573" s="132">
        <v>8.6744524775992995E-3</v>
      </c>
      <c r="C11573" s="133"/>
    </row>
    <row r="11574" spans="1:3">
      <c r="A11574" s="131" t="s">
        <v>78</v>
      </c>
      <c r="B11574" s="132">
        <v>5.2849015288151003E-6</v>
      </c>
      <c r="C11574" s="133"/>
    </row>
    <row r="11575" spans="1:3">
      <c r="A11575" s="131" t="s">
        <v>79</v>
      </c>
      <c r="B11575" s="132">
        <v>7.1359883320570999E-2</v>
      </c>
      <c r="C11575" s="133"/>
    </row>
    <row r="11576" spans="1:3">
      <c r="A11576" s="131" t="s">
        <v>80</v>
      </c>
      <c r="B11576" s="132">
        <v>5.9219763928403998E-3</v>
      </c>
      <c r="C11576" s="133"/>
    </row>
    <row r="11577" spans="1:3">
      <c r="A11577" s="131" t="s">
        <v>81</v>
      </c>
      <c r="B11577" s="132">
        <v>1.8760848725397001E-3</v>
      </c>
      <c r="C11577" s="133"/>
    </row>
    <row r="11578" spans="1:3">
      <c r="A11578" s="131" t="s">
        <v>82</v>
      </c>
      <c r="B11578" s="132">
        <v>0.46495015702053</v>
      </c>
      <c r="C11578" s="133"/>
    </row>
    <row r="11579" spans="1:3">
      <c r="A11579" s="131" t="s">
        <v>83</v>
      </c>
      <c r="B11579" s="132">
        <v>1.1621218597067</v>
      </c>
      <c r="C11579" s="133"/>
    </row>
    <row r="11580" spans="1:3">
      <c r="A11580" s="131" t="s">
        <v>84</v>
      </c>
      <c r="B11580" s="132">
        <v>10.549909141504999</v>
      </c>
      <c r="C11580" s="133"/>
    </row>
    <row r="11581" spans="1:3">
      <c r="A11581" s="131" t="s">
        <v>85</v>
      </c>
      <c r="B11581" s="132">
        <v>1.0291983698039E-3</v>
      </c>
      <c r="C11581" s="133"/>
    </row>
    <row r="11582" spans="1:3">
      <c r="A11582" s="131" t="s">
        <v>86</v>
      </c>
      <c r="B11582" s="132">
        <v>0.20564396947686001</v>
      </c>
      <c r="C11582" s="133"/>
    </row>
    <row r="11583" spans="1:3">
      <c r="A11583" s="131" t="s">
        <v>87</v>
      </c>
      <c r="B11583" s="132">
        <v>2.4412888110574E-4</v>
      </c>
      <c r="C11583" s="133"/>
    </row>
    <row r="11584" spans="1:3">
      <c r="A11584" s="131" t="s">
        <v>88</v>
      </c>
      <c r="B11584" s="132">
        <v>0.14345240554345001</v>
      </c>
      <c r="C11584" s="133"/>
    </row>
    <row r="11585" spans="1:3">
      <c r="A11585" s="131" t="s">
        <v>89</v>
      </c>
      <c r="B11585" s="132">
        <v>0.38024188574592999</v>
      </c>
      <c r="C11585" s="133"/>
    </row>
    <row r="11586" spans="1:3">
      <c r="A11586" s="131" t="s">
        <v>90</v>
      </c>
      <c r="B11586" s="132">
        <v>3.9003291136094662E-5</v>
      </c>
      <c r="C11586" s="133"/>
    </row>
    <row r="11587" spans="1:3">
      <c r="A11587" s="131" t="s">
        <v>91</v>
      </c>
      <c r="B11587" s="132">
        <v>9.1096166961583728E-8</v>
      </c>
      <c r="C11587" s="133"/>
    </row>
    <row r="11588" spans="1:3">
      <c r="A11588" s="131" t="s">
        <v>92</v>
      </c>
      <c r="B11588" s="132">
        <v>4.0358969798189379E-8</v>
      </c>
      <c r="C11588" s="133"/>
    </row>
    <row r="11589" spans="1:3">
      <c r="A11589" s="131" t="s">
        <v>93</v>
      </c>
      <c r="B11589" s="132">
        <v>7.2967553636273996E-2</v>
      </c>
      <c r="C11589" s="133"/>
    </row>
    <row r="11590" spans="1:3">
      <c r="A11590" s="131" t="s">
        <v>94</v>
      </c>
      <c r="B11590" s="132">
        <v>1.3968805104922001E-4</v>
      </c>
      <c r="C11590" s="133"/>
    </row>
    <row r="11591" spans="1:3">
      <c r="A11591" s="131" t="s">
        <v>95</v>
      </c>
      <c r="B11591" s="132">
        <v>7.6453459672051E-2</v>
      </c>
      <c r="C11591" s="133"/>
    </row>
    <row r="11592" spans="1:3">
      <c r="A11592" s="131" t="s">
        <v>96</v>
      </c>
      <c r="B11592" s="132">
        <v>7.6296011410084002E-4</v>
      </c>
      <c r="C11592" s="133"/>
    </row>
    <row r="11593" spans="1:3">
      <c r="A11593" s="131" t="s">
        <v>97</v>
      </c>
      <c r="B11593" s="132">
        <v>7.3267975834178999E-6</v>
      </c>
      <c r="C11593" s="133"/>
    </row>
    <row r="11594" spans="1:3">
      <c r="A11594" s="131" t="s">
        <v>98</v>
      </c>
      <c r="B11594" s="132">
        <v>1.4784895517007</v>
      </c>
      <c r="C11594" s="133"/>
    </row>
    <row r="11595" spans="1:3">
      <c r="A11595" s="131" t="s">
        <v>99</v>
      </c>
      <c r="B11595" s="132">
        <v>0.44320781412034999</v>
      </c>
      <c r="C11595" s="133"/>
    </row>
    <row r="11596" spans="1:3">
      <c r="A11596" s="131" t="s">
        <v>100</v>
      </c>
      <c r="B11596" s="132">
        <v>7.9172440330673999E-2</v>
      </c>
      <c r="C11596" s="133"/>
    </row>
    <row r="11597" spans="1:3">
      <c r="A11597" s="131" t="s">
        <v>101</v>
      </c>
      <c r="B11597" s="132">
        <v>1.1322438079608001E-3</v>
      </c>
      <c r="C11597" s="133"/>
    </row>
    <row r="11598" spans="1:3">
      <c r="A11598" s="131" t="s">
        <v>102</v>
      </c>
      <c r="B11598" s="132">
        <v>1.033361923239E-2</v>
      </c>
      <c r="C11598" s="133"/>
    </row>
    <row r="11599" spans="1:3">
      <c r="A11599" s="131" t="s">
        <v>103</v>
      </c>
      <c r="B11599" s="132">
        <v>2.7954109839527003E-4</v>
      </c>
      <c r="C11599" s="133"/>
    </row>
    <row r="11600" spans="1:3">
      <c r="A11600" s="131" t="s">
        <v>104</v>
      </c>
      <c r="B11600" s="132">
        <v>3.7004504175059999E-8</v>
      </c>
      <c r="C11600" s="133"/>
    </row>
    <row r="11601" spans="1:3">
      <c r="A11601" s="131" t="s">
        <v>105</v>
      </c>
      <c r="B11601" s="132">
        <v>7.5352013750100999E-5</v>
      </c>
      <c r="C11601" s="133"/>
    </row>
    <row r="11602" spans="1:3">
      <c r="A11602" s="131" t="s">
        <v>106</v>
      </c>
      <c r="B11602" s="132">
        <v>4.3247676726434002E-2</v>
      </c>
      <c r="C11602" s="133"/>
    </row>
    <row r="11603" spans="1:3">
      <c r="A11603" s="131" t="s">
        <v>107</v>
      </c>
      <c r="B11603" s="132">
        <v>28.56</v>
      </c>
      <c r="C11603" s="133"/>
    </row>
    <row r="11604" spans="1:3">
      <c r="A11604" s="131" t="s">
        <v>108</v>
      </c>
      <c r="B11604" s="132">
        <v>1.7978019161515001E-4</v>
      </c>
      <c r="C11604" s="133"/>
    </row>
    <row r="11605" spans="1:3">
      <c r="A11605" s="131" t="s">
        <v>109</v>
      </c>
      <c r="B11605" s="132">
        <v>4.3285973245975997</v>
      </c>
      <c r="C11605" s="133"/>
    </row>
    <row r="11606" spans="1:3">
      <c r="A11606" s="131" t="s">
        <v>110</v>
      </c>
      <c r="B11606" s="132">
        <v>5.2036014227278E-2</v>
      </c>
      <c r="C11606" s="133"/>
    </row>
    <row r="11607" spans="1:3">
      <c r="A11607" s="131" t="s">
        <v>111</v>
      </c>
      <c r="B11607" s="132">
        <v>1.2051500464199229E-3</v>
      </c>
      <c r="C11607" s="133"/>
    </row>
    <row r="11608" spans="1:3">
      <c r="A11608" s="131" t="s">
        <v>112</v>
      </c>
      <c r="B11608" s="132">
        <v>4.9802331189585001</v>
      </c>
      <c r="C11608" s="133"/>
    </row>
    <row r="11609" spans="1:3">
      <c r="A11609" s="131" t="s">
        <v>113</v>
      </c>
      <c r="B11609" s="132">
        <v>0.29327163586611998</v>
      </c>
      <c r="C11609" s="133"/>
    </row>
    <row r="11610" spans="1:3">
      <c r="A11610" s="131" t="s">
        <v>114</v>
      </c>
      <c r="B11610" s="132">
        <v>3.3134049808249998E-8</v>
      </c>
      <c r="C11610" s="133"/>
    </row>
    <row r="11611" spans="1:3">
      <c r="A11611" s="131" t="s">
        <v>115</v>
      </c>
      <c r="B11611" s="132">
        <v>4.3054301635985003E-4</v>
      </c>
      <c r="C11611" s="133"/>
    </row>
    <row r="11612" spans="1:3">
      <c r="A11612" s="131" t="s">
        <v>116</v>
      </c>
      <c r="B11612" s="132">
        <v>75.761002994975996</v>
      </c>
      <c r="C11612" s="133"/>
    </row>
    <row r="11613" spans="1:3">
      <c r="A11613" s="131" t="s">
        <v>117</v>
      </c>
      <c r="B11613" s="132">
        <v>3.350804698871E-8</v>
      </c>
      <c r="C11613" s="133"/>
    </row>
    <row r="11614" spans="1:3">
      <c r="A11614" s="131" t="s">
        <v>118</v>
      </c>
      <c r="B11614" s="132">
        <v>3.3314030054419998E-2</v>
      </c>
      <c r="C11614" s="133"/>
    </row>
    <row r="11615" spans="1:3">
      <c r="A11615" s="131" t="s">
        <v>119</v>
      </c>
      <c r="B11615" s="132">
        <v>1.0716752459278646E-5</v>
      </c>
      <c r="C11615" s="133"/>
    </row>
    <row r="11616" spans="1:3">
      <c r="A11616" s="131" t="s">
        <v>120</v>
      </c>
      <c r="B11616" s="132">
        <v>4.8361529951515079E-3</v>
      </c>
      <c r="C11616" s="133"/>
    </row>
    <row r="11617" spans="1:3">
      <c r="A11617" s="131" t="s">
        <v>121</v>
      </c>
      <c r="B11617" s="132">
        <v>5.2164190353143E-3</v>
      </c>
      <c r="C11617" s="133"/>
    </row>
    <row r="11618" spans="1:3">
      <c r="A11618" s="131" t="s">
        <v>122</v>
      </c>
      <c r="B11618" s="132">
        <v>8.6625340490953912E-2</v>
      </c>
      <c r="C11618" s="133"/>
    </row>
    <row r="11619" spans="1:3">
      <c r="A11619" s="131" t="s">
        <v>123</v>
      </c>
      <c r="B11619" s="132">
        <v>3.2508407181829998E-8</v>
      </c>
      <c r="C11619" s="133"/>
    </row>
    <row r="11620" spans="1:3">
      <c r="A11620" s="131" t="s">
        <v>124</v>
      </c>
      <c r="B11620" s="132">
        <v>1.5725149334246E-2</v>
      </c>
      <c r="C11620" s="133"/>
    </row>
    <row r="11621" spans="1:3">
      <c r="A11621" s="131" t="s">
        <v>125</v>
      </c>
      <c r="B11621" s="132">
        <v>0.21711750726241</v>
      </c>
      <c r="C11621" s="133"/>
    </row>
    <row r="11622" spans="1:3">
      <c r="A11622" s="131" t="s">
        <v>126</v>
      </c>
      <c r="B11622" s="132">
        <v>3.8357530871703997E-6</v>
      </c>
      <c r="C11622" s="133"/>
    </row>
    <row r="11623" spans="1:3">
      <c r="A11623" s="131" t="s">
        <v>127</v>
      </c>
      <c r="B11623" s="132">
        <v>6.1028290868809002E-4</v>
      </c>
      <c r="C11623" s="133"/>
    </row>
    <row r="11624" spans="1:3">
      <c r="A11624" s="131" t="s">
        <v>128</v>
      </c>
      <c r="B11624" s="132">
        <v>7.7739178407823004E-2</v>
      </c>
      <c r="C11624" s="133"/>
    </row>
    <row r="11625" spans="1:3">
      <c r="A11625" s="131" t="s">
        <v>129</v>
      </c>
      <c r="B11625" s="132">
        <v>0.16598983619738999</v>
      </c>
      <c r="C11625" s="133"/>
    </row>
    <row r="11626" spans="1:3">
      <c r="A11626" s="131" t="s">
        <v>130</v>
      </c>
      <c r="B11626" s="132">
        <v>1.7030621633200647</v>
      </c>
      <c r="C11626" s="133"/>
    </row>
    <row r="11627" spans="1:3">
      <c r="A11627" s="131" t="s">
        <v>131</v>
      </c>
      <c r="B11627" s="132">
        <v>3.0741125162549997E-8</v>
      </c>
      <c r="C11627" s="133"/>
    </row>
    <row r="11628" spans="1:3">
      <c r="A11628" s="131" t="s">
        <v>132</v>
      </c>
      <c r="B11628" s="132">
        <v>2.342941669228881E-5</v>
      </c>
      <c r="C11628" s="133"/>
    </row>
    <row r="11629" spans="1:3">
      <c r="A11629" s="131" t="s">
        <v>133</v>
      </c>
      <c r="B11629" s="132">
        <v>3.0531507448499998E-8</v>
      </c>
      <c r="C11629" s="133"/>
    </row>
    <row r="11630" spans="1:3">
      <c r="A11630" s="131" t="s">
        <v>134</v>
      </c>
      <c r="B11630" s="132">
        <v>0.13225841818296999</v>
      </c>
      <c r="C11630" s="133"/>
    </row>
    <row r="11631" spans="1:3">
      <c r="A11631" s="131" t="s">
        <v>135</v>
      </c>
      <c r="B11631" s="132">
        <v>8.5437473667532002E-2</v>
      </c>
      <c r="C11631" s="133"/>
    </row>
    <row r="11632" spans="1:3">
      <c r="A11632" s="131" t="s">
        <v>136</v>
      </c>
      <c r="B11632" s="132">
        <v>0.16809809383623001</v>
      </c>
      <c r="C11632" s="133"/>
    </row>
    <row r="11633" spans="1:3">
      <c r="A11633" s="131" t="s">
        <v>137</v>
      </c>
      <c r="B11633" s="132">
        <v>0.46228464557343002</v>
      </c>
      <c r="C11633" s="133"/>
    </row>
    <row r="11634" spans="1:3">
      <c r="A11634" s="131" t="s">
        <v>138</v>
      </c>
      <c r="B11634" s="132">
        <v>6.6684991290990999E-3</v>
      </c>
      <c r="C11634" s="133"/>
    </row>
    <row r="11635" spans="1:3">
      <c r="A11635" s="131" t="s">
        <v>139</v>
      </c>
      <c r="B11635" s="132">
        <v>2.4387169100263</v>
      </c>
      <c r="C11635" s="133"/>
    </row>
    <row r="11636" spans="1:3">
      <c r="A11636" s="131" t="s">
        <v>140</v>
      </c>
      <c r="B11636" s="132">
        <v>1.1486209506090055</v>
      </c>
      <c r="C11636" s="133"/>
    </row>
    <row r="11637" spans="1:3">
      <c r="A11637" s="131" t="s">
        <v>141</v>
      </c>
      <c r="B11637" s="132">
        <v>1.6665239270461001</v>
      </c>
      <c r="C11637" s="133"/>
    </row>
    <row r="11638" spans="1:3">
      <c r="A11638" s="131" t="s">
        <v>142</v>
      </c>
      <c r="B11638" s="132">
        <v>4.5303662421142003E-3</v>
      </c>
      <c r="C11638" s="133"/>
    </row>
    <row r="11639" spans="1:3">
      <c r="A11639" s="131" t="s">
        <v>143</v>
      </c>
      <c r="B11639" s="132">
        <v>5.8936849127824003</v>
      </c>
      <c r="C11639" s="133"/>
    </row>
    <row r="11640" spans="1:3">
      <c r="A11640" s="131" t="s">
        <v>4082</v>
      </c>
      <c r="B11640" s="132">
        <v>8.5422170561799007</v>
      </c>
      <c r="C11640" s="133"/>
    </row>
    <row r="11641" spans="1:3">
      <c r="A11641" s="131" t="s">
        <v>4083</v>
      </c>
      <c r="B11641" s="132">
        <v>1.4912071353613001E-2</v>
      </c>
      <c r="C11641" s="133"/>
    </row>
    <row r="11642" spans="1:3">
      <c r="A11642" s="131" t="s">
        <v>4084</v>
      </c>
      <c r="B11642" s="132">
        <v>4.8068497386454002E-2</v>
      </c>
      <c r="C11642" s="133"/>
    </row>
    <row r="11643" spans="1:3">
      <c r="A11643" s="131" t="s">
        <v>4085</v>
      </c>
      <c r="B11643" s="132">
        <v>1.1274342154531001</v>
      </c>
      <c r="C11643" s="133"/>
    </row>
    <row r="11644" spans="1:3">
      <c r="A11644" s="131" t="s">
        <v>4086</v>
      </c>
      <c r="B11644" s="132">
        <v>1.1970963379684E-7</v>
      </c>
      <c r="C11644" s="133"/>
    </row>
    <row r="11645" spans="1:3">
      <c r="A11645" s="131" t="s">
        <v>4087</v>
      </c>
      <c r="B11645" s="132">
        <v>2.5250009326717002E-3</v>
      </c>
      <c r="C11645" s="133"/>
    </row>
    <row r="11646" spans="1:3">
      <c r="A11646" s="131" t="s">
        <v>4088</v>
      </c>
      <c r="B11646" s="132">
        <v>4.2781740181142003E-3</v>
      </c>
      <c r="C11646" s="133"/>
    </row>
    <row r="11647" spans="1:3">
      <c r="A11647" s="131" t="s">
        <v>4089</v>
      </c>
      <c r="B11647" s="132">
        <v>2.667314626355E-8</v>
      </c>
      <c r="C11647" s="133"/>
    </row>
    <row r="11648" spans="1:3">
      <c r="A11648" s="131" t="s">
        <v>4090</v>
      </c>
      <c r="B11648" s="132">
        <v>1.4878607538774001E-3</v>
      </c>
      <c r="C11648" s="133"/>
    </row>
    <row r="11649" spans="1:3">
      <c r="A11649" s="131" t="s">
        <v>4091</v>
      </c>
      <c r="B11649" s="132">
        <v>1.8208748918409999E-8</v>
      </c>
      <c r="C11649" s="133"/>
    </row>
    <row r="11650" spans="1:3">
      <c r="A11650" s="131" t="s">
        <v>4092</v>
      </c>
      <c r="B11650" s="132">
        <v>4.2318473632707E-2</v>
      </c>
      <c r="C11650" s="133"/>
    </row>
    <row r="11651" spans="1:3">
      <c r="A11651" s="131" t="s">
        <v>4093</v>
      </c>
      <c r="B11651" s="132">
        <v>1.9988454021653999E-3</v>
      </c>
      <c r="C11651" s="133"/>
    </row>
    <row r="11652" spans="1:3">
      <c r="A11652" s="131" t="s">
        <v>4094</v>
      </c>
      <c r="B11652" s="132">
        <v>2.5822335768830001E-8</v>
      </c>
      <c r="C11652" s="133"/>
    </row>
    <row r="11653" spans="1:3">
      <c r="A11653" s="131" t="s">
        <v>4095</v>
      </c>
      <c r="B11653" s="132">
        <v>3.1738691851177878E-2</v>
      </c>
      <c r="C11653" s="133"/>
    </row>
    <row r="11654" spans="1:3">
      <c r="A11654" s="131" t="s">
        <v>4096</v>
      </c>
      <c r="B11654" s="132">
        <v>2.4429625417030001E-4</v>
      </c>
      <c r="C11654" s="133"/>
    </row>
    <row r="11655" spans="1:3">
      <c r="A11655" s="131" t="s">
        <v>4097</v>
      </c>
      <c r="B11655" s="132">
        <v>5.0041940653162531E-2</v>
      </c>
      <c r="C11655" s="133"/>
    </row>
    <row r="11656" spans="1:3">
      <c r="A11656" s="131" t="s">
        <v>4098</v>
      </c>
      <c r="B11656" s="132">
        <v>0.11017645659986919</v>
      </c>
      <c r="C11656" s="133"/>
    </row>
    <row r="11657" spans="1:3">
      <c r="A11657" s="131" t="s">
        <v>4099</v>
      </c>
      <c r="B11657" s="132">
        <v>1.4365544794265E-2</v>
      </c>
      <c r="C11657" s="133"/>
    </row>
    <row r="11658" spans="1:3">
      <c r="A11658" s="131" t="s">
        <v>4100</v>
      </c>
      <c r="B11658" s="132">
        <v>8.2862053035211995E-6</v>
      </c>
      <c r="C11658" s="133"/>
    </row>
    <row r="11659" spans="1:3">
      <c r="A11659" s="131" t="s">
        <v>4101</v>
      </c>
      <c r="B11659" s="132">
        <v>2.2417473345108001</v>
      </c>
      <c r="C11659" s="133"/>
    </row>
    <row r="11660" spans="1:3">
      <c r="A11660" s="131" t="s">
        <v>4102</v>
      </c>
      <c r="B11660" s="132">
        <v>5.3213464114963004E-6</v>
      </c>
      <c r="C11660" s="133"/>
    </row>
    <row r="11661" spans="1:3">
      <c r="A11661" s="131" t="s">
        <v>4103</v>
      </c>
      <c r="B11661" s="132">
        <v>1.1551783628739E-4</v>
      </c>
      <c r="C11661" s="133"/>
    </row>
    <row r="11662" spans="1:3">
      <c r="A11662" s="131" t="s">
        <v>4104</v>
      </c>
      <c r="B11662" s="132">
        <v>3.4839154339816999E-6</v>
      </c>
      <c r="C11662" s="133"/>
    </row>
    <row r="11663" spans="1:3">
      <c r="A11663" s="131" t="s">
        <v>4105</v>
      </c>
      <c r="B11663" s="132">
        <v>8.0246395722700006E-3</v>
      </c>
      <c r="C11663" s="133"/>
    </row>
    <row r="11664" spans="1:3">
      <c r="A11664" s="131" t="s">
        <v>4106</v>
      </c>
      <c r="B11664" s="132">
        <v>2.8045573983317001E-3</v>
      </c>
      <c r="C11664" s="133"/>
    </row>
    <row r="11665" spans="1:3">
      <c r="A11665" s="131" t="s">
        <v>4107</v>
      </c>
      <c r="B11665" s="132">
        <v>5.0130361219076165E-2</v>
      </c>
      <c r="C11665" s="133"/>
    </row>
    <row r="11666" spans="1:3">
      <c r="A11666" s="131" t="s">
        <v>4108</v>
      </c>
      <c r="B11666" s="132">
        <v>1.0576009547209999</v>
      </c>
      <c r="C11666" s="133"/>
    </row>
    <row r="11667" spans="1:3">
      <c r="A11667" s="131" t="s">
        <v>4109</v>
      </c>
      <c r="B11667" s="132">
        <v>1.8666938158642999E-3</v>
      </c>
      <c r="C11667" s="133"/>
    </row>
    <row r="11668" spans="1:3">
      <c r="A11668" s="131" t="s">
        <v>4110</v>
      </c>
      <c r="B11668" s="132">
        <v>7.3554137761747</v>
      </c>
      <c r="C11668" s="133"/>
    </row>
    <row r="11669" spans="1:3">
      <c r="A11669" s="131" t="s">
        <v>4111</v>
      </c>
      <c r="B11669" s="132">
        <v>0.36480127405306001</v>
      </c>
      <c r="C11669" s="133"/>
    </row>
    <row r="11670" spans="1:3">
      <c r="A11670" s="131" t="s">
        <v>4112</v>
      </c>
      <c r="B11670" s="132">
        <v>3.3427913968896002E-2</v>
      </c>
      <c r="C11670" s="133"/>
    </row>
    <row r="11671" spans="1:3">
      <c r="A11671" s="131" t="s">
        <v>4113</v>
      </c>
      <c r="B11671" s="132">
        <v>3.2967842692610001E-2</v>
      </c>
      <c r="C11671" s="133"/>
    </row>
    <row r="11672" spans="1:3">
      <c r="A11672" s="131" t="s">
        <v>4114</v>
      </c>
      <c r="B11672" s="132">
        <v>3.3718524140409999E-4</v>
      </c>
      <c r="C11672" s="133"/>
    </row>
    <row r="11673" spans="1:3">
      <c r="A11673" s="131" t="s">
        <v>4115</v>
      </c>
      <c r="B11673" s="132">
        <v>0.14200721369586999</v>
      </c>
      <c r="C11673" s="133"/>
    </row>
    <row r="11674" spans="1:3">
      <c r="A11674" s="131" t="s">
        <v>4116</v>
      </c>
      <c r="B11674" s="132">
        <v>3.5284822887612E-6</v>
      </c>
      <c r="C11674" s="133"/>
    </row>
    <row r="11675" spans="1:3">
      <c r="A11675" s="131" t="s">
        <v>4117</v>
      </c>
      <c r="B11675" s="132">
        <v>4.4126380524134E-2</v>
      </c>
      <c r="C11675" s="133"/>
    </row>
    <row r="11676" spans="1:3">
      <c r="A11676" s="131" t="s">
        <v>4118</v>
      </c>
      <c r="B11676" s="132">
        <v>2.0778533641066001E-3</v>
      </c>
      <c r="C11676" s="133"/>
    </row>
    <row r="11677" spans="1:3">
      <c r="A11677" s="131" t="s">
        <v>4119</v>
      </c>
      <c r="B11677" s="132">
        <v>0.3170703844248195</v>
      </c>
      <c r="C11677" s="133"/>
    </row>
    <row r="11678" spans="1:3">
      <c r="A11678" s="131" t="s">
        <v>4120</v>
      </c>
      <c r="B11678" s="132">
        <v>6.1324271759795003E-3</v>
      </c>
      <c r="C11678" s="133"/>
    </row>
    <row r="11679" spans="1:3">
      <c r="A11679" s="131" t="s">
        <v>4121</v>
      </c>
      <c r="B11679" s="132">
        <v>0.17908867517214999</v>
      </c>
      <c r="C11679" s="133"/>
    </row>
    <row r="11680" spans="1:3">
      <c r="A11680" s="131" t="s">
        <v>4122</v>
      </c>
      <c r="B11680" s="132">
        <v>3.4604393679798</v>
      </c>
      <c r="C11680" s="133"/>
    </row>
    <row r="11681" spans="1:3">
      <c r="A11681" s="131" t="s">
        <v>4123</v>
      </c>
      <c r="B11681" s="132">
        <v>2.2244457086874999E-2</v>
      </c>
      <c r="C11681" s="133"/>
    </row>
    <row r="11682" spans="1:3">
      <c r="A11682" s="131" t="s">
        <v>4124</v>
      </c>
      <c r="B11682" s="132">
        <v>0.38149015772776002</v>
      </c>
      <c r="C11682" s="133"/>
    </row>
    <row r="11683" spans="1:3">
      <c r="A11683" s="131" t="s">
        <v>4125</v>
      </c>
      <c r="B11683" s="132">
        <v>1.1514261882014001E-3</v>
      </c>
      <c r="C11683" s="133"/>
    </row>
    <row r="11684" spans="1:3">
      <c r="A11684" s="131" t="s">
        <v>4126</v>
      </c>
      <c r="B11684" s="132">
        <v>4.8131827082689999E-3</v>
      </c>
      <c r="C11684" s="133"/>
    </row>
    <row r="11685" spans="1:3">
      <c r="A11685" s="131" t="s">
        <v>4127</v>
      </c>
      <c r="B11685" s="132">
        <v>0.27776666672297001</v>
      </c>
      <c r="C11685" s="133"/>
    </row>
    <row r="11686" spans="1:3">
      <c r="A11686" s="131" t="s">
        <v>4128</v>
      </c>
      <c r="B11686" s="132">
        <v>4.3519797433506001E-2</v>
      </c>
      <c r="C11686" s="133"/>
    </row>
    <row r="11687" spans="1:3">
      <c r="A11687" s="131" t="s">
        <v>4129</v>
      </c>
      <c r="B11687" s="132">
        <v>59.992260328249998</v>
      </c>
      <c r="C11687" s="133"/>
    </row>
    <row r="11688" spans="1:3">
      <c r="A11688" s="131" t="s">
        <v>4130</v>
      </c>
      <c r="B11688" s="132">
        <v>4.8</v>
      </c>
      <c r="C11688" s="133"/>
    </row>
    <row r="11689" spans="1:3">
      <c r="A11689" s="131" t="s">
        <v>4131</v>
      </c>
      <c r="B11689" s="132">
        <v>2070.93615376855</v>
      </c>
      <c r="C11689" s="133"/>
    </row>
    <row r="11690" spans="1:3">
      <c r="A11690" s="131" t="s">
        <v>4132</v>
      </c>
      <c r="B11690" s="132">
        <v>1.8174780121328E-4</v>
      </c>
      <c r="C11690" s="133"/>
    </row>
    <row r="11691" spans="1:3">
      <c r="A11691" s="131" t="s">
        <v>4133</v>
      </c>
      <c r="B11691" s="132">
        <v>2.1628217280607999E-6</v>
      </c>
      <c r="C11691" s="133"/>
    </row>
    <row r="11692" spans="1:3">
      <c r="A11692" s="131" t="s">
        <v>4134</v>
      </c>
      <c r="B11692" s="132">
        <v>1.320069150797437E-2</v>
      </c>
      <c r="C11692" s="133"/>
    </row>
    <row r="11693" spans="1:3">
      <c r="A11693" s="131" t="s">
        <v>4135</v>
      </c>
      <c r="B11693" s="132">
        <v>9.813724067168799E-4</v>
      </c>
      <c r="C11693" s="133"/>
    </row>
    <row r="11694" spans="1:3">
      <c r="A11694" s="131" t="s">
        <v>4136</v>
      </c>
      <c r="B11694" s="132">
        <v>1.1035424192287999</v>
      </c>
      <c r="C11694" s="133"/>
    </row>
    <row r="11695" spans="1:3">
      <c r="A11695" s="131" t="s">
        <v>4137</v>
      </c>
      <c r="B11695" s="132">
        <v>1.9210016635429998E-8</v>
      </c>
      <c r="C11695" s="133"/>
    </row>
    <row r="11696" spans="1:3">
      <c r="A11696" s="131" t="s">
        <v>4138</v>
      </c>
      <c r="B11696" s="132">
        <v>4.6686143082172997E-2</v>
      </c>
      <c r="C11696" s="133"/>
    </row>
    <row r="11697" spans="1:3">
      <c r="A11697" s="131" t="s">
        <v>4139</v>
      </c>
      <c r="B11697" s="132">
        <v>0.10706948044211023</v>
      </c>
      <c r="C11697" s="133"/>
    </row>
    <row r="11698" spans="1:3">
      <c r="A11698" s="131" t="s">
        <v>4140</v>
      </c>
      <c r="B11698" s="132">
        <v>1.7838795584717E-5</v>
      </c>
      <c r="C11698" s="133"/>
    </row>
    <row r="11699" spans="1:3">
      <c r="A11699" s="131" t="s">
        <v>4141</v>
      </c>
      <c r="B11699" s="132">
        <v>4.3353615230218003E-2</v>
      </c>
      <c r="C11699" s="133"/>
    </row>
    <row r="11700" spans="1:3">
      <c r="A11700" s="131" t="s">
        <v>4142</v>
      </c>
      <c r="B11700" s="132">
        <v>5.0079008287963996E-3</v>
      </c>
      <c r="C11700" s="133"/>
    </row>
    <row r="11701" spans="1:3">
      <c r="A11701" s="131" t="s">
        <v>4143</v>
      </c>
      <c r="B11701" s="132">
        <v>1.6371314889029E-4</v>
      </c>
      <c r="C11701" s="133"/>
    </row>
    <row r="11702" spans="1:3">
      <c r="A11702" s="131" t="s">
        <v>4144</v>
      </c>
      <c r="B11702" s="132">
        <v>1.8058209369830457E-2</v>
      </c>
      <c r="C11702" s="133"/>
    </row>
    <row r="11703" spans="1:3">
      <c r="A11703" s="131" t="s">
        <v>4145</v>
      </c>
      <c r="B11703" s="132">
        <v>1.7322579305002E-7</v>
      </c>
      <c r="C11703" s="133"/>
    </row>
    <row r="11704" spans="1:3">
      <c r="A11704" s="131" t="s">
        <v>4146</v>
      </c>
      <c r="B11704" s="132">
        <v>1151.0548523657999</v>
      </c>
      <c r="C11704" s="133"/>
    </row>
    <row r="11705" spans="1:3">
      <c r="A11705" s="131" t="s">
        <v>4147</v>
      </c>
      <c r="B11705" s="132">
        <v>0.3500318726828</v>
      </c>
      <c r="C11705" s="133"/>
    </row>
    <row r="11706" spans="1:3">
      <c r="A11706" s="131" t="s">
        <v>4148</v>
      </c>
      <c r="B11706" s="132">
        <v>8.6885185109167005E-3</v>
      </c>
      <c r="C11706" s="133"/>
    </row>
    <row r="11707" spans="1:3">
      <c r="A11707" s="131" t="s">
        <v>4149</v>
      </c>
      <c r="B11707" s="132">
        <v>2.6100731086904E-2</v>
      </c>
      <c r="C11707" s="133"/>
    </row>
    <row r="11708" spans="1:3">
      <c r="A11708" s="131" t="s">
        <v>4150</v>
      </c>
      <c r="B11708" s="132">
        <v>8.2039162297940004E-8</v>
      </c>
      <c r="C11708" s="133"/>
    </row>
    <row r="11709" spans="1:3">
      <c r="A11709" s="131" t="s">
        <v>4151</v>
      </c>
      <c r="B11709" s="132">
        <v>5.5299929153886998E-3</v>
      </c>
      <c r="C11709" s="133"/>
    </row>
    <row r="11710" spans="1:3">
      <c r="A11710" s="131" t="s">
        <v>4152</v>
      </c>
      <c r="B11710" s="132">
        <v>0.17872629758374001</v>
      </c>
      <c r="C11710" s="133"/>
    </row>
    <row r="11711" spans="1:3">
      <c r="A11711" s="131" t="s">
        <v>4153</v>
      </c>
      <c r="B11711" s="132">
        <v>2.6419352935040001E-8</v>
      </c>
      <c r="C11711" s="133"/>
    </row>
    <row r="11712" spans="1:3">
      <c r="A11712" s="131" t="s">
        <v>4154</v>
      </c>
      <c r="B11712" s="132">
        <v>0.18243614310264</v>
      </c>
      <c r="C11712" s="133"/>
    </row>
    <row r="11713" spans="1:3">
      <c r="A11713" s="131" t="s">
        <v>4155</v>
      </c>
      <c r="B11713" s="132">
        <v>1.3784666902679999E-3</v>
      </c>
      <c r="C11713" s="133"/>
    </row>
    <row r="11714" spans="1:3">
      <c r="A11714" s="131" t="s">
        <v>4156</v>
      </c>
      <c r="B11714" s="132">
        <v>2.4711839348363001E-2</v>
      </c>
      <c r="C11714" s="133"/>
    </row>
    <row r="11715" spans="1:3">
      <c r="A11715" s="131" t="s">
        <v>4157</v>
      </c>
      <c r="B11715" s="132">
        <v>1.4509113665533E-6</v>
      </c>
      <c r="C11715" s="133"/>
    </row>
    <row r="11716" spans="1:3">
      <c r="A11716" s="131" t="s">
        <v>4158</v>
      </c>
      <c r="B11716" s="132">
        <v>1.2274858566005</v>
      </c>
      <c r="C11716" s="133"/>
    </row>
    <row r="11717" spans="1:3">
      <c r="A11717" s="131" t="s">
        <v>4159</v>
      </c>
      <c r="B11717" s="132">
        <v>2.0799708108700826E-2</v>
      </c>
      <c r="C11717" s="133"/>
    </row>
    <row r="11718" spans="1:3">
      <c r="A11718" s="131" t="s">
        <v>4160</v>
      </c>
      <c r="B11718" s="132">
        <v>1.6197379736930001E-8</v>
      </c>
      <c r="C11718" s="133"/>
    </row>
    <row r="11719" spans="1:3">
      <c r="A11719" s="131" t="s">
        <v>4161</v>
      </c>
      <c r="B11719" s="132">
        <v>1.6145586749859999E-8</v>
      </c>
      <c r="C11719" s="133"/>
    </row>
    <row r="11720" spans="1:3">
      <c r="A11720" s="131" t="s">
        <v>4162</v>
      </c>
      <c r="B11720" s="132">
        <v>2.2136439956572001E-6</v>
      </c>
      <c r="C11720" s="133"/>
    </row>
    <row r="11721" spans="1:3">
      <c r="A11721" s="131" t="s">
        <v>4163</v>
      </c>
      <c r="B11721" s="132">
        <v>1.5834855021980001E-8</v>
      </c>
      <c r="C11721" s="133"/>
    </row>
    <row r="11722" spans="1:3">
      <c r="A11722" s="131" t="s">
        <v>4164</v>
      </c>
      <c r="B11722" s="132">
        <v>5.0027075406085999E-3</v>
      </c>
      <c r="C11722" s="133"/>
    </row>
    <row r="11723" spans="1:3">
      <c r="A11723" s="131" t="s">
        <v>4165</v>
      </c>
      <c r="B11723" s="132">
        <v>3.4843632132736998E-3</v>
      </c>
      <c r="C11723" s="133"/>
    </row>
    <row r="11724" spans="1:3">
      <c r="A11724" s="131" t="s">
        <v>4166</v>
      </c>
      <c r="B11724" s="132">
        <v>5.4986990105893003E-5</v>
      </c>
      <c r="C11724" s="133"/>
    </row>
    <row r="11725" spans="1:3">
      <c r="A11725" s="131" t="s">
        <v>4167</v>
      </c>
      <c r="B11725" s="132">
        <v>2.9389889365290001E-8</v>
      </c>
      <c r="C11725" s="133"/>
    </row>
    <row r="11726" spans="1:3">
      <c r="A11726" s="131" t="s">
        <v>4168</v>
      </c>
      <c r="B11726" s="132">
        <v>1.3635314394622001E-2</v>
      </c>
      <c r="C11726" s="133"/>
    </row>
    <row r="11727" spans="1:3">
      <c r="A11727" s="131" t="s">
        <v>4169</v>
      </c>
      <c r="B11727" s="132">
        <v>0.17009205638069</v>
      </c>
      <c r="C11727" s="133"/>
    </row>
    <row r="11728" spans="1:3">
      <c r="A11728" s="131" t="s">
        <v>4170</v>
      </c>
      <c r="B11728" s="132">
        <v>4.1964073648528999E-7</v>
      </c>
      <c r="C11728" s="133"/>
    </row>
    <row r="11729" spans="1:3">
      <c r="A11729" s="131" t="s">
        <v>4171</v>
      </c>
      <c r="B11729" s="132">
        <v>6.0975230781796001E-2</v>
      </c>
      <c r="C11729" s="133"/>
    </row>
    <row r="11730" spans="1:3">
      <c r="A11730" s="131" t="s">
        <v>4172</v>
      </c>
      <c r="B11730" s="132">
        <v>1.3796570945259999E-8</v>
      </c>
      <c r="C11730" s="133"/>
    </row>
    <row r="11731" spans="1:3">
      <c r="A11731" s="131" t="s">
        <v>4173</v>
      </c>
      <c r="B11731" s="132">
        <v>3.1287394342822999E-6</v>
      </c>
      <c r="C11731" s="133"/>
    </row>
    <row r="11732" spans="1:3">
      <c r="A11732" s="131" t="s">
        <v>4174</v>
      </c>
      <c r="B11732" s="132">
        <v>1.0659334369673999E-2</v>
      </c>
      <c r="C11732" s="133"/>
    </row>
    <row r="11733" spans="1:3">
      <c r="A11733" s="131" t="s">
        <v>4175</v>
      </c>
      <c r="B11733" s="132">
        <v>2.1229263046639999E-2</v>
      </c>
      <c r="C11733" s="133"/>
    </row>
    <row r="11734" spans="1:3">
      <c r="A11734" s="131" t="s">
        <v>4176</v>
      </c>
      <c r="B11734" s="132">
        <v>1.385949757813E-8</v>
      </c>
      <c r="C11734" s="133"/>
    </row>
    <row r="11735" spans="1:3">
      <c r="A11735" s="131" t="s">
        <v>4177</v>
      </c>
      <c r="B11735" s="132">
        <v>9.9442395145491293E-7</v>
      </c>
      <c r="C11735" s="133"/>
    </row>
    <row r="11736" spans="1:3">
      <c r="A11736" s="131" t="s">
        <v>4178</v>
      </c>
      <c r="B11736" s="132">
        <v>0.12653694898637999</v>
      </c>
      <c r="C11736" s="133"/>
    </row>
    <row r="11737" spans="1:3">
      <c r="A11737" s="131" t="s">
        <v>4179</v>
      </c>
      <c r="B11737" s="132">
        <v>1.312362727057E-8</v>
      </c>
      <c r="C11737" s="133"/>
    </row>
    <row r="11738" spans="1:3">
      <c r="A11738" s="131" t="s">
        <v>4180</v>
      </c>
      <c r="B11738" s="132">
        <v>0.11051943453454</v>
      </c>
      <c r="C11738" s="133"/>
    </row>
    <row r="11739" spans="1:3">
      <c r="A11739" s="131" t="s">
        <v>4181</v>
      </c>
      <c r="B11739" s="132">
        <v>1.5852490911118E-4</v>
      </c>
      <c r="C11739" s="133"/>
    </row>
    <row r="11740" spans="1:3">
      <c r="A11740" s="131" t="s">
        <v>4182</v>
      </c>
      <c r="B11740" s="132">
        <v>68.109623063167007</v>
      </c>
      <c r="C11740" s="133"/>
    </row>
    <row r="11741" spans="1:3">
      <c r="A11741" s="131" t="s">
        <v>4183</v>
      </c>
      <c r="B11741" s="132">
        <v>2.2065139263668E-5</v>
      </c>
      <c r="C11741" s="133"/>
    </row>
    <row r="11742" spans="1:3">
      <c r="A11742" s="131" t="s">
        <v>4184</v>
      </c>
      <c r="B11742" s="132">
        <v>6.7423951616799351E-3</v>
      </c>
      <c r="C11742" s="133"/>
    </row>
    <row r="11743" spans="1:3">
      <c r="A11743" s="131" t="s">
        <v>4185</v>
      </c>
      <c r="B11743" s="132">
        <v>4.0219943415359003E-3</v>
      </c>
      <c r="C11743" s="133"/>
    </row>
    <row r="11744" spans="1:3">
      <c r="A11744" s="131" t="s">
        <v>4186</v>
      </c>
      <c r="B11744" s="132">
        <v>2.7330448220926E-2</v>
      </c>
      <c r="C11744" s="133"/>
    </row>
    <row r="11745" spans="1:3">
      <c r="A11745" s="131" t="s">
        <v>4187</v>
      </c>
      <c r="B11745" s="132">
        <v>7.5484738901137997E-4</v>
      </c>
      <c r="C11745" s="133"/>
    </row>
    <row r="11746" spans="1:3">
      <c r="A11746" s="131" t="s">
        <v>4188</v>
      </c>
      <c r="B11746" s="132">
        <v>2.1361981070638729E-4</v>
      </c>
      <c r="C11746" s="133"/>
    </row>
    <row r="11747" spans="1:3">
      <c r="A11747" s="131" t="s">
        <v>4189</v>
      </c>
      <c r="B11747" s="132">
        <v>11.62254800691</v>
      </c>
      <c r="C11747" s="133"/>
    </row>
    <row r="11748" spans="1:3">
      <c r="A11748" s="131" t="s">
        <v>4190</v>
      </c>
      <c r="B11748" s="132">
        <v>0.95613112652833998</v>
      </c>
      <c r="C11748" s="133"/>
    </row>
    <row r="11749" spans="1:3">
      <c r="A11749" s="131" t="s">
        <v>4191</v>
      </c>
      <c r="B11749" s="132">
        <v>1.2868055940435E-2</v>
      </c>
      <c r="C11749" s="133"/>
    </row>
    <row r="11750" spans="1:3">
      <c r="A11750" s="131" t="s">
        <v>4192</v>
      </c>
      <c r="B11750" s="132">
        <v>1.5470564726627999E-5</v>
      </c>
      <c r="C11750" s="133"/>
    </row>
    <row r="11751" spans="1:3">
      <c r="A11751" s="131" t="s">
        <v>4193</v>
      </c>
      <c r="B11751" s="132">
        <v>4.6024909373599002E-2</v>
      </c>
      <c r="C11751" s="133"/>
    </row>
    <row r="11752" spans="1:3">
      <c r="A11752" s="131" t="s">
        <v>4194</v>
      </c>
      <c r="B11752" s="132">
        <v>2.7982896675650001E-3</v>
      </c>
      <c r="C11752" s="133"/>
    </row>
    <row r="11753" spans="1:3">
      <c r="A11753" s="131" t="s">
        <v>4195</v>
      </c>
      <c r="B11753" s="132">
        <v>1.5499353885225001E-3</v>
      </c>
      <c r="C11753" s="133"/>
    </row>
    <row r="11754" spans="1:3">
      <c r="A11754" s="131" t="s">
        <v>4196</v>
      </c>
      <c r="B11754" s="132">
        <v>0.41165850361664003</v>
      </c>
      <c r="C11754" s="133"/>
    </row>
    <row r="11755" spans="1:3">
      <c r="A11755" s="131" t="s">
        <v>4197</v>
      </c>
      <c r="B11755" s="132">
        <v>2.2843681178461999E-4</v>
      </c>
      <c r="C11755" s="133"/>
    </row>
    <row r="11756" spans="1:3">
      <c r="A11756" s="131" t="s">
        <v>4198</v>
      </c>
      <c r="B11756" s="132">
        <v>0.43136962779768001</v>
      </c>
      <c r="C11756" s="133"/>
    </row>
    <row r="11757" spans="1:3">
      <c r="A11757" s="131" t="s">
        <v>4199</v>
      </c>
      <c r="B11757" s="132">
        <v>9991.2126442834997</v>
      </c>
      <c r="C11757" s="133"/>
    </row>
    <row r="11758" spans="1:3">
      <c r="A11758" s="131" t="s">
        <v>4200</v>
      </c>
      <c r="B11758" s="132">
        <v>1.5038217507799001E-3</v>
      </c>
      <c r="C11758" s="133"/>
    </row>
    <row r="11759" spans="1:3">
      <c r="A11759" s="131" t="s">
        <v>4201</v>
      </c>
      <c r="B11759" s="132">
        <v>3.0533530975380001E-8</v>
      </c>
      <c r="C11759" s="133"/>
    </row>
    <row r="11760" spans="1:3">
      <c r="A11760" s="131" t="s">
        <v>4202</v>
      </c>
      <c r="B11760" s="132">
        <v>0.33639072853455998</v>
      </c>
      <c r="C11760" s="133"/>
    </row>
    <row r="11761" spans="1:3">
      <c r="A11761" s="131" t="s">
        <v>4203</v>
      </c>
      <c r="B11761" s="132">
        <v>1.6113901931766001E-6</v>
      </c>
      <c r="C11761" s="133"/>
    </row>
    <row r="11762" spans="1:3">
      <c r="A11762" s="131" t="s">
        <v>4204</v>
      </c>
      <c r="B11762" s="132">
        <v>1.0862721121749999E-8</v>
      </c>
      <c r="C11762" s="133"/>
    </row>
    <row r="11763" spans="1:3">
      <c r="A11763" s="131" t="s">
        <v>4205</v>
      </c>
      <c r="B11763" s="132">
        <v>1.1739765850059E-2</v>
      </c>
      <c r="C11763" s="133"/>
    </row>
    <row r="11764" spans="1:3">
      <c r="A11764" s="131" t="s">
        <v>4206</v>
      </c>
      <c r="B11764" s="132">
        <v>0.34402179650153042</v>
      </c>
      <c r="C11764" s="133"/>
    </row>
    <row r="11765" spans="1:3">
      <c r="A11765" s="131" t="s">
        <v>4207</v>
      </c>
      <c r="B11765" s="132">
        <v>2.1180964910598998E-6</v>
      </c>
      <c r="C11765" s="133"/>
    </row>
    <row r="11766" spans="1:3">
      <c r="A11766" s="131" t="s">
        <v>4208</v>
      </c>
      <c r="B11766" s="132">
        <v>9.8064892732702996E-6</v>
      </c>
      <c r="C11766" s="133"/>
    </row>
    <row r="11767" spans="1:3">
      <c r="A11767" s="131" t="s">
        <v>4209</v>
      </c>
      <c r="B11767" s="132">
        <v>2.2475839743954999E-2</v>
      </c>
      <c r="C11767" s="133"/>
    </row>
    <row r="11768" spans="1:3">
      <c r="A11768" s="131" t="s">
        <v>4210</v>
      </c>
      <c r="B11768" s="132">
        <v>4.7991241669831002E-3</v>
      </c>
      <c r="C11768" s="133"/>
    </row>
    <row r="11769" spans="1:3">
      <c r="A11769" s="131" t="s">
        <v>4211</v>
      </c>
      <c r="B11769" s="132">
        <v>1.7380927735885E-2</v>
      </c>
      <c r="C11769" s="133"/>
    </row>
    <row r="11770" spans="1:3">
      <c r="A11770" s="131" t="s">
        <v>4212</v>
      </c>
      <c r="B11770" s="132">
        <v>4.3386413173758E-4</v>
      </c>
      <c r="C11770" s="133"/>
    </row>
    <row r="11771" spans="1:3">
      <c r="A11771" s="131" t="s">
        <v>4213</v>
      </c>
      <c r="B11771" s="132">
        <v>0.12591016039795999</v>
      </c>
      <c r="C11771" s="133"/>
    </row>
    <row r="11772" spans="1:3">
      <c r="A11772" s="131" t="s">
        <v>4214</v>
      </c>
      <c r="B11772" s="132">
        <v>1.7133335900460261E-2</v>
      </c>
      <c r="C11772" s="133"/>
    </row>
    <row r="11773" spans="1:3">
      <c r="A11773" s="131" t="s">
        <v>4215</v>
      </c>
      <c r="B11773" s="132">
        <v>1.0832046702577341E-2</v>
      </c>
      <c r="C11773" s="133"/>
    </row>
    <row r="11774" spans="1:3">
      <c r="A11774" s="131" t="s">
        <v>4216</v>
      </c>
      <c r="B11774" s="132">
        <v>9.9812897197700003E-9</v>
      </c>
      <c r="C11774" s="133"/>
    </row>
    <row r="11775" spans="1:3">
      <c r="A11775" s="131" t="s">
        <v>4217</v>
      </c>
      <c r="B11775" s="132">
        <v>5.5631530730183999E-3</v>
      </c>
      <c r="C11775" s="133"/>
    </row>
    <row r="11776" spans="1:3">
      <c r="A11776" s="131" t="s">
        <v>4218</v>
      </c>
      <c r="B11776" s="132">
        <v>1.0301737496057</v>
      </c>
      <c r="C11776" s="133"/>
    </row>
    <row r="11777" spans="1:3">
      <c r="A11777" s="131" t="s">
        <v>4219</v>
      </c>
      <c r="B11777" s="132">
        <v>0.42240966362562998</v>
      </c>
      <c r="C11777" s="133"/>
    </row>
    <row r="11778" spans="1:3">
      <c r="A11778" s="131" t="s">
        <v>4220</v>
      </c>
      <c r="B11778" s="132">
        <v>0.49676885878242999</v>
      </c>
      <c r="C11778" s="133"/>
    </row>
    <row r="11779" spans="1:3">
      <c r="A11779" s="131" t="s">
        <v>4221</v>
      </c>
      <c r="B11779" s="132">
        <v>0.23904760146496709</v>
      </c>
      <c r="C11779" s="133"/>
    </row>
    <row r="11780" spans="1:3">
      <c r="A11780" s="131" t="s">
        <v>4222</v>
      </c>
      <c r="B11780" s="132">
        <v>1.0189407571168999E-2</v>
      </c>
      <c r="C11780" s="133"/>
    </row>
    <row r="11781" spans="1:3">
      <c r="A11781" s="131" t="s">
        <v>4223</v>
      </c>
      <c r="B11781" s="132">
        <v>0.70502794244790001</v>
      </c>
      <c r="C11781" s="133"/>
    </row>
    <row r="11782" spans="1:3">
      <c r="A11782" s="131" t="s">
        <v>4224</v>
      </c>
      <c r="B11782" s="132">
        <v>9.5362032386199995E-9</v>
      </c>
      <c r="C11782" s="133"/>
    </row>
    <row r="11783" spans="1:3">
      <c r="A11783" s="131" t="s">
        <v>4225</v>
      </c>
      <c r="B11783" s="132">
        <v>1.5092243116761999E-2</v>
      </c>
      <c r="C11783" s="133"/>
    </row>
    <row r="11784" spans="1:3">
      <c r="A11784" s="131" t="s">
        <v>4226</v>
      </c>
      <c r="B11784" s="132">
        <v>3.5297657203638998E-2</v>
      </c>
      <c r="C11784" s="133"/>
    </row>
    <row r="11785" spans="1:3">
      <c r="A11785" s="131" t="s">
        <v>4227</v>
      </c>
      <c r="B11785" s="132">
        <v>4.1503994705322</v>
      </c>
      <c r="C11785" s="133"/>
    </row>
    <row r="11786" spans="1:3">
      <c r="A11786" s="131" t="s">
        <v>4228</v>
      </c>
      <c r="B11786" s="132">
        <v>9.2496091E-4</v>
      </c>
      <c r="C11786" s="133"/>
    </row>
    <row r="11787" spans="1:3">
      <c r="A11787" s="131" t="s">
        <v>4229</v>
      </c>
      <c r="B11787" s="132">
        <v>5.3320508963348001E-2</v>
      </c>
      <c r="C11787" s="133"/>
    </row>
    <row r="11788" spans="1:3">
      <c r="A11788" s="131" t="s">
        <v>4230</v>
      </c>
      <c r="B11788" s="132">
        <v>8.7335716090799994E-9</v>
      </c>
      <c r="C11788" s="133"/>
    </row>
    <row r="11789" spans="1:3">
      <c r="A11789" s="131" t="s">
        <v>4231</v>
      </c>
      <c r="B11789" s="132">
        <v>0.16976260293577999</v>
      </c>
      <c r="C11789" s="133"/>
    </row>
    <row r="11790" spans="1:3">
      <c r="A11790" s="131" t="s">
        <v>4232</v>
      </c>
      <c r="B11790" s="132">
        <v>37.529845636959998</v>
      </c>
      <c r="C11790" s="133"/>
    </row>
    <row r="11791" spans="1:3">
      <c r="A11791" s="131" t="s">
        <v>4233</v>
      </c>
      <c r="B11791" s="132">
        <v>0.36438623697571998</v>
      </c>
      <c r="C11791" s="133"/>
    </row>
    <row r="11792" spans="1:3">
      <c r="A11792" s="131" t="s">
        <v>4234</v>
      </c>
      <c r="B11792" s="132">
        <v>3.9089656220902E-3</v>
      </c>
      <c r="C11792" s="133"/>
    </row>
    <row r="11793" spans="1:3">
      <c r="A11793" s="131" t="s">
        <v>4235</v>
      </c>
      <c r="B11793" s="132">
        <v>12.155163039493001</v>
      </c>
      <c r="C11793" s="133"/>
    </row>
    <row r="11794" spans="1:3">
      <c r="A11794" s="131" t="s">
        <v>4236</v>
      </c>
      <c r="B11794" s="132">
        <v>1.8637140955046001E-2</v>
      </c>
      <c r="C11794" s="133"/>
    </row>
    <row r="11795" spans="1:3">
      <c r="A11795" s="131" t="s">
        <v>4237</v>
      </c>
      <c r="B11795" s="132">
        <v>1.7336641104627999E-4</v>
      </c>
      <c r="C11795" s="133"/>
    </row>
    <row r="11796" spans="1:3">
      <c r="A11796" s="131" t="s">
        <v>4238</v>
      </c>
      <c r="B11796" s="132">
        <v>7.5826373821400003E-9</v>
      </c>
      <c r="C11796" s="133"/>
    </row>
    <row r="11797" spans="1:3">
      <c r="A11797" s="131" t="s">
        <v>4239</v>
      </c>
      <c r="B11797" s="132">
        <v>8.2197373627E-9</v>
      </c>
      <c r="C11797" s="133"/>
    </row>
    <row r="11798" spans="1:3">
      <c r="A11798" s="131" t="s">
        <v>4240</v>
      </c>
      <c r="B11798" s="132">
        <v>0.84846432874578004</v>
      </c>
      <c r="C11798" s="133"/>
    </row>
    <row r="11799" spans="1:3">
      <c r="A11799" s="131" t="s">
        <v>4241</v>
      </c>
      <c r="B11799" s="132">
        <v>9516.7699848374996</v>
      </c>
      <c r="C11799" s="133"/>
    </row>
    <row r="11800" spans="1:3">
      <c r="A11800" s="131" t="s">
        <v>4242</v>
      </c>
      <c r="B11800" s="132">
        <v>1.2273712974367999E-6</v>
      </c>
      <c r="C11800" s="133"/>
    </row>
    <row r="11801" spans="1:3">
      <c r="A11801" s="131" t="s">
        <v>4243</v>
      </c>
      <c r="B11801" s="132">
        <v>82.287831757934001</v>
      </c>
      <c r="C11801" s="133"/>
    </row>
    <row r="11802" spans="1:3">
      <c r="A11802" s="131" t="s">
        <v>4244</v>
      </c>
      <c r="B11802" s="132">
        <v>1.1185081501762</v>
      </c>
      <c r="C11802" s="133"/>
    </row>
    <row r="11803" spans="1:3">
      <c r="A11803" s="131" t="s">
        <v>4245</v>
      </c>
      <c r="B11803" s="132">
        <v>3.6777531058087998E-3</v>
      </c>
      <c r="C11803" s="133"/>
    </row>
    <row r="11804" spans="1:3">
      <c r="A11804" s="131" t="s">
        <v>4246</v>
      </c>
      <c r="B11804" s="132">
        <v>1.4703377249049999E-2</v>
      </c>
      <c r="C11804" s="133"/>
    </row>
    <row r="11805" spans="1:3">
      <c r="A11805" s="131" t="s">
        <v>4247</v>
      </c>
      <c r="B11805" s="132">
        <v>9.9993755095108994E-2</v>
      </c>
      <c r="C11805" s="133"/>
    </row>
    <row r="11806" spans="1:3">
      <c r="A11806" s="131" t="s">
        <v>4248</v>
      </c>
      <c r="B11806" s="132">
        <v>3.0991237150645213E-6</v>
      </c>
      <c r="C11806" s="133"/>
    </row>
    <row r="11807" spans="1:3">
      <c r="A11807" s="131" t="s">
        <v>4249</v>
      </c>
      <c r="B11807" s="132">
        <v>11.880867725565</v>
      </c>
      <c r="C11807" s="133"/>
    </row>
    <row r="11808" spans="1:3">
      <c r="A11808" s="131" t="s">
        <v>4250</v>
      </c>
      <c r="B11808" s="132">
        <v>5.0026074864577001</v>
      </c>
      <c r="C11808" s="133"/>
    </row>
    <row r="11809" spans="1:3">
      <c r="A11809" s="131" t="s">
        <v>4251</v>
      </c>
      <c r="B11809" s="132">
        <v>0.91244990559549666</v>
      </c>
      <c r="C11809" s="133"/>
    </row>
    <row r="11810" spans="1:3">
      <c r="A11810" s="131" t="s">
        <v>4252</v>
      </c>
      <c r="B11810" s="132">
        <v>0.18223340739176999</v>
      </c>
      <c r="C11810" s="133"/>
    </row>
    <row r="11811" spans="1:3">
      <c r="A11811" s="131" t="s">
        <v>4253</v>
      </c>
      <c r="B11811" s="132">
        <v>3.850971292694E-6</v>
      </c>
      <c r="C11811" s="133"/>
    </row>
    <row r="11812" spans="1:3">
      <c r="A11812" s="131" t="s">
        <v>4254</v>
      </c>
      <c r="B11812" s="132">
        <v>0.18691525605443998</v>
      </c>
      <c r="C11812" s="133"/>
    </row>
    <row r="11813" spans="1:3">
      <c r="A11813" s="131" t="s">
        <v>4255</v>
      </c>
      <c r="B11813" s="132">
        <v>474.64738533894001</v>
      </c>
      <c r="C11813" s="133"/>
    </row>
    <row r="11814" spans="1:3">
      <c r="A11814" s="131" t="s">
        <v>4256</v>
      </c>
      <c r="B11814" s="132">
        <v>8.3395192264602998E-4</v>
      </c>
      <c r="C11814" s="133"/>
    </row>
    <row r="11815" spans="1:3">
      <c r="A11815" s="131" t="s">
        <v>4257</v>
      </c>
      <c r="B11815" s="132">
        <v>3.2804519582455498</v>
      </c>
      <c r="C11815" s="133"/>
    </row>
    <row r="11816" spans="1:3">
      <c r="A11816" s="131" t="s">
        <v>4258</v>
      </c>
      <c r="B11816" s="132">
        <v>7.7209436431702996E-4</v>
      </c>
      <c r="C11816" s="133"/>
    </row>
    <row r="11817" spans="1:3">
      <c r="A11817" s="131" t="s">
        <v>4259</v>
      </c>
      <c r="B11817" s="132">
        <v>0.15289984899773543</v>
      </c>
      <c r="C11817" s="133"/>
    </row>
    <row r="11818" spans="1:3">
      <c r="A11818" s="131" t="s">
        <v>4260</v>
      </c>
      <c r="B11818" s="132">
        <v>6.2922291995610141E-9</v>
      </c>
      <c r="C11818" s="133"/>
    </row>
    <row r="11819" spans="1:3">
      <c r="A11819" s="131" t="s">
        <v>4261</v>
      </c>
      <c r="B11819" s="132">
        <v>1.5271207722258999E-2</v>
      </c>
      <c r="C11819" s="133"/>
    </row>
    <row r="11820" spans="1:3">
      <c r="A11820" s="131" t="s">
        <v>4262</v>
      </c>
      <c r="B11820" s="132">
        <v>3.2626557695191002E-2</v>
      </c>
      <c r="C11820" s="133"/>
    </row>
    <row r="11821" spans="1:3">
      <c r="A11821" s="131" t="s">
        <v>4263</v>
      </c>
      <c r="B11821" s="132">
        <v>9.2792799132673007</v>
      </c>
      <c r="C11821" s="133"/>
    </row>
    <row r="11822" spans="1:3">
      <c r="A11822" s="131" t="s">
        <v>4264</v>
      </c>
      <c r="B11822" s="132">
        <v>3.9596597335058036E-5</v>
      </c>
      <c r="C11822" s="133"/>
    </row>
    <row r="11823" spans="1:3">
      <c r="A11823" s="131" t="s">
        <v>4265</v>
      </c>
      <c r="B11823" s="132">
        <v>0.49545395616213</v>
      </c>
      <c r="C11823" s="133"/>
    </row>
    <row r="11824" spans="1:3">
      <c r="A11824" s="131" t="s">
        <v>4266</v>
      </c>
      <c r="B11824" s="132">
        <v>2.2534316549223002E-3</v>
      </c>
      <c r="C11824" s="133"/>
    </row>
    <row r="11825" spans="1:3">
      <c r="A11825" s="131" t="s">
        <v>4267</v>
      </c>
      <c r="B11825" s="132">
        <v>2.2863025705166999E-3</v>
      </c>
      <c r="C11825" s="133"/>
    </row>
    <row r="11826" spans="1:3">
      <c r="A11826" s="131" t="s">
        <v>4268</v>
      </c>
      <c r="B11826" s="132">
        <v>3.6293004846922002E-2</v>
      </c>
      <c r="C11826" s="133"/>
    </row>
    <row r="11827" spans="1:3">
      <c r="A11827" s="131" t="s">
        <v>4269</v>
      </c>
      <c r="B11827" s="132">
        <v>8.5771560688553006E-3</v>
      </c>
      <c r="C11827" s="133"/>
    </row>
    <row r="11828" spans="1:3">
      <c r="A11828" s="131" t="s">
        <v>4270</v>
      </c>
      <c r="B11828" s="132">
        <v>4.1664471734556002E-7</v>
      </c>
      <c r="C11828" s="133"/>
    </row>
    <row r="11829" spans="1:3">
      <c r="A11829" s="131" t="s">
        <v>4271</v>
      </c>
      <c r="B11829" s="132">
        <v>5.0310182739287135E-6</v>
      </c>
      <c r="C11829" s="133"/>
    </row>
    <row r="11830" spans="1:3">
      <c r="A11830" s="131" t="s">
        <v>4272</v>
      </c>
      <c r="B11830" s="132">
        <v>5.4799752386200003E-9</v>
      </c>
      <c r="C11830" s="133"/>
    </row>
    <row r="11831" spans="1:3">
      <c r="A11831" s="131" t="s">
        <v>4273</v>
      </c>
      <c r="B11831" s="132">
        <v>5.5115549812790767E-9</v>
      </c>
      <c r="C11831" s="133"/>
    </row>
    <row r="11832" spans="1:3">
      <c r="A11832" s="131" t="s">
        <v>4274</v>
      </c>
      <c r="B11832" s="132">
        <v>3.9687919239873741E-2</v>
      </c>
      <c r="C11832" s="133"/>
    </row>
    <row r="11833" spans="1:3">
      <c r="A11833" s="131" t="s">
        <v>4275</v>
      </c>
      <c r="B11833" s="132">
        <v>3.5419738700346003E-2</v>
      </c>
      <c r="C11833" s="133"/>
    </row>
    <row r="11834" spans="1:3">
      <c r="A11834" s="131" t="s">
        <v>4276</v>
      </c>
      <c r="B11834" s="132">
        <v>1.0236101320565001E-2</v>
      </c>
      <c r="C11834" s="133"/>
    </row>
    <row r="11835" spans="1:3">
      <c r="A11835" s="131" t="s">
        <v>4277</v>
      </c>
      <c r="B11835" s="132">
        <v>2.6128866361840999E-6</v>
      </c>
      <c r="C11835" s="133"/>
    </row>
    <row r="11836" spans="1:3">
      <c r="A11836" s="131" t="s">
        <v>4278</v>
      </c>
      <c r="B11836" s="132">
        <v>9.6530678370716997E-3</v>
      </c>
      <c r="C11836" s="133"/>
    </row>
    <row r="11837" spans="1:3">
      <c r="A11837" s="131" t="s">
        <v>4279</v>
      </c>
      <c r="B11837" s="132">
        <v>1.6805433968748E-2</v>
      </c>
      <c r="C11837" s="133"/>
    </row>
    <row r="11838" spans="1:3">
      <c r="A11838" s="131" t="s">
        <v>4280</v>
      </c>
      <c r="B11838" s="132">
        <v>1.9238781335646001E-6</v>
      </c>
      <c r="C11838" s="133"/>
    </row>
    <row r="11839" spans="1:3">
      <c r="A11839" s="131" t="s">
        <v>4281</v>
      </c>
      <c r="B11839" s="132">
        <v>7.8348840834045995E-3</v>
      </c>
      <c r="C11839" s="133"/>
    </row>
    <row r="11840" spans="1:3">
      <c r="A11840" s="131" t="s">
        <v>4282</v>
      </c>
      <c r="B11840" s="132">
        <v>1.7313227237425E-6</v>
      </c>
      <c r="C11840" s="133"/>
    </row>
    <row r="11841" spans="1:3">
      <c r="A11841" s="131" t="s">
        <v>4283</v>
      </c>
      <c r="B11841" s="132">
        <v>1.5592562619506E-6</v>
      </c>
      <c r="C11841" s="133"/>
    </row>
    <row r="11842" spans="1:3">
      <c r="A11842" s="131" t="s">
        <v>4284</v>
      </c>
      <c r="B11842" s="132">
        <v>3.2556543000662998E-2</v>
      </c>
      <c r="C11842" s="133"/>
    </row>
    <row r="11843" spans="1:3">
      <c r="A11843" s="131" t="s">
        <v>4285</v>
      </c>
      <c r="B11843" s="132">
        <v>0.42760638804051282</v>
      </c>
      <c r="C11843" s="133"/>
    </row>
    <row r="11844" spans="1:3">
      <c r="A11844" s="131" t="s">
        <v>4286</v>
      </c>
      <c r="B11844" s="132">
        <v>4.6548838186295999E-4</v>
      </c>
      <c r="C11844" s="133"/>
    </row>
    <row r="11845" spans="1:3">
      <c r="A11845" s="131" t="s">
        <v>4287</v>
      </c>
      <c r="B11845" s="132">
        <v>0.46068950566645001</v>
      </c>
      <c r="C11845" s="133"/>
    </row>
    <row r="11846" spans="1:3">
      <c r="A11846" s="131" t="s">
        <v>4288</v>
      </c>
      <c r="B11846" s="132">
        <v>1.3007039605582</v>
      </c>
      <c r="C11846" s="133"/>
    </row>
    <row r="11847" spans="1:3">
      <c r="A11847" s="131" t="s">
        <v>4289</v>
      </c>
      <c r="B11847" s="132">
        <v>8.2901487448543004E-2</v>
      </c>
      <c r="C11847" s="133"/>
    </row>
    <row r="11848" spans="1:3">
      <c r="A11848" s="131" t="s">
        <v>4290</v>
      </c>
      <c r="B11848" s="132">
        <v>3.5293262165152002</v>
      </c>
      <c r="C11848" s="133"/>
    </row>
    <row r="11849" spans="1:3">
      <c r="A11849" s="131" t="s">
        <v>4291</v>
      </c>
      <c r="B11849" s="132">
        <v>0.17847865849387001</v>
      </c>
      <c r="C11849" s="133"/>
    </row>
    <row r="11850" spans="1:3">
      <c r="A11850" s="131" t="s">
        <v>4292</v>
      </c>
      <c r="B11850" s="132">
        <v>4.5270047115500003E-9</v>
      </c>
      <c r="C11850" s="133"/>
    </row>
    <row r="11851" spans="1:3">
      <c r="A11851" s="131" t="s">
        <v>4293</v>
      </c>
      <c r="B11851" s="132">
        <v>2.1030430191115999E-7</v>
      </c>
      <c r="C11851" s="133"/>
    </row>
    <row r="11852" spans="1:3">
      <c r="A11852" s="131" t="s">
        <v>4294</v>
      </c>
      <c r="B11852" s="132">
        <v>4.51410680376E-9</v>
      </c>
      <c r="C11852" s="133"/>
    </row>
    <row r="11853" spans="1:3">
      <c r="A11853" s="131" t="s">
        <v>4295</v>
      </c>
      <c r="B11853" s="132">
        <v>3.1709476201913E-4</v>
      </c>
      <c r="C11853" s="133"/>
    </row>
    <row r="11854" spans="1:3">
      <c r="A11854" s="131" t="s">
        <v>4296</v>
      </c>
      <c r="B11854" s="132">
        <v>4.4715084554100002E-9</v>
      </c>
      <c r="C11854" s="133"/>
    </row>
    <row r="11855" spans="1:3">
      <c r="A11855" s="131" t="s">
        <v>4297</v>
      </c>
      <c r="B11855" s="132">
        <v>4.4178974177596172E-9</v>
      </c>
      <c r="C11855" s="133"/>
    </row>
    <row r="11856" spans="1:3">
      <c r="A11856" s="131" t="s">
        <v>4298</v>
      </c>
      <c r="B11856" s="132">
        <v>1.3455159803157E-2</v>
      </c>
      <c r="C11856" s="133"/>
    </row>
    <row r="11857" spans="1:3">
      <c r="A11857" s="131" t="s">
        <v>4299</v>
      </c>
      <c r="B11857" s="132">
        <v>4.3289635914086001E-2</v>
      </c>
      <c r="C11857" s="133"/>
    </row>
    <row r="11858" spans="1:3">
      <c r="A11858" s="131" t="s">
        <v>4300</v>
      </c>
      <c r="B11858" s="132">
        <v>0.12123236414683999</v>
      </c>
      <c r="C11858" s="133"/>
    </row>
    <row r="11859" spans="1:3">
      <c r="A11859" s="131" t="s">
        <v>4301</v>
      </c>
      <c r="B11859" s="132">
        <v>4.0574127447199999E-9</v>
      </c>
      <c r="C11859" s="133"/>
    </row>
    <row r="11860" spans="1:3">
      <c r="A11860" s="131" t="s">
        <v>4302</v>
      </c>
      <c r="B11860" s="132">
        <v>9.8396762183437996E-7</v>
      </c>
      <c r="C11860" s="133"/>
    </row>
    <row r="11861" spans="1:3">
      <c r="A11861" s="131" t="s">
        <v>4303</v>
      </c>
      <c r="B11861" s="132">
        <v>1.7372023759553001E-2</v>
      </c>
      <c r="C11861" s="133"/>
    </row>
    <row r="11862" spans="1:3">
      <c r="A11862" s="131" t="s">
        <v>4304</v>
      </c>
      <c r="B11862" s="132">
        <v>8.1644327623105995E-6</v>
      </c>
      <c r="C11862" s="133"/>
    </row>
    <row r="11863" spans="1:3">
      <c r="A11863" s="131" t="s">
        <v>4305</v>
      </c>
      <c r="B11863" s="132">
        <v>3.6588656056100002E-9</v>
      </c>
      <c r="C11863" s="133"/>
    </row>
    <row r="11864" spans="1:3">
      <c r="A11864" s="131" t="s">
        <v>4306</v>
      </c>
      <c r="B11864" s="132">
        <v>2.7341872912882001E-3</v>
      </c>
      <c r="C11864" s="133"/>
    </row>
    <row r="11865" spans="1:3">
      <c r="A11865" s="131" t="s">
        <v>4307</v>
      </c>
      <c r="B11865" s="132">
        <v>118.66</v>
      </c>
      <c r="C11865" s="133"/>
    </row>
    <row r="11866" spans="1:3">
      <c r="A11866" s="131" t="s">
        <v>4308</v>
      </c>
      <c r="B11866" s="132">
        <v>5.1027616914206997E-4</v>
      </c>
      <c r="C11866" s="133"/>
    </row>
    <row r="11867" spans="1:3">
      <c r="A11867" s="131" t="s">
        <v>4309</v>
      </c>
      <c r="B11867" s="132">
        <v>0.19813433959716001</v>
      </c>
      <c r="C11867" s="133"/>
    </row>
    <row r="11868" spans="1:3">
      <c r="A11868" s="131" t="s">
        <v>4310</v>
      </c>
      <c r="B11868" s="132">
        <v>3.9204456672635999E-4</v>
      </c>
      <c r="C11868" s="133"/>
    </row>
    <row r="11869" spans="1:3">
      <c r="A11869" s="131" t="s">
        <v>4311</v>
      </c>
      <c r="B11869" s="132">
        <v>249.8904570701319</v>
      </c>
      <c r="C11869" s="133"/>
    </row>
    <row r="11870" spans="1:3">
      <c r="A11870" s="131" t="s">
        <v>4312</v>
      </c>
      <c r="B11870" s="132">
        <v>3.4453791983999999E-9</v>
      </c>
      <c r="C11870" s="133"/>
    </row>
    <row r="11871" spans="1:3">
      <c r="A11871" s="131" t="s">
        <v>4313</v>
      </c>
      <c r="B11871" s="132">
        <v>5.0327010301359003E-6</v>
      </c>
      <c r="C11871" s="133"/>
    </row>
    <row r="11872" spans="1:3">
      <c r="A11872" s="131" t="s">
        <v>4314</v>
      </c>
      <c r="B11872" s="132">
        <v>2.2999854599103E-3</v>
      </c>
      <c r="C11872" s="133"/>
    </row>
    <row r="11873" spans="1:3">
      <c r="A11873" s="131" t="s">
        <v>4315</v>
      </c>
      <c r="B11873" s="132">
        <v>3.4111396164899999E-9</v>
      </c>
      <c r="C11873" s="133"/>
    </row>
    <row r="11874" spans="1:3">
      <c r="A11874" s="131" t="s">
        <v>4316</v>
      </c>
      <c r="B11874" s="132">
        <v>1.1481689738678E-3</v>
      </c>
      <c r="C11874" s="133"/>
    </row>
    <row r="11875" spans="1:3">
      <c r="A11875" s="131" t="s">
        <v>4317</v>
      </c>
      <c r="B11875" s="132">
        <v>1.9242426676080999E-5</v>
      </c>
      <c r="C11875" s="133"/>
    </row>
    <row r="11876" spans="1:3">
      <c r="A11876" s="131" t="s">
        <v>4318</v>
      </c>
      <c r="B11876" s="132">
        <v>3.3388030291100001E-9</v>
      </c>
      <c r="C11876" s="133"/>
    </row>
    <row r="11877" spans="1:3">
      <c r="A11877" s="131" t="s">
        <v>4319</v>
      </c>
      <c r="B11877" s="132">
        <v>3.3879721652000001E-9</v>
      </c>
      <c r="C11877" s="133"/>
    </row>
    <row r="11878" spans="1:3">
      <c r="A11878" s="131" t="s">
        <v>4320</v>
      </c>
      <c r="B11878" s="132">
        <v>3.6068754829084E-6</v>
      </c>
      <c r="C11878" s="133"/>
    </row>
    <row r="11879" spans="1:3">
      <c r="A11879" s="131" t="s">
        <v>4321</v>
      </c>
      <c r="B11879" s="132">
        <v>3.9741634028981001E-5</v>
      </c>
      <c r="C11879" s="133"/>
    </row>
    <row r="11880" spans="1:3">
      <c r="A11880" s="131" t="s">
        <v>4322</v>
      </c>
      <c r="B11880" s="132">
        <v>6.0962287883912003</v>
      </c>
      <c r="C11880" s="133"/>
    </row>
    <row r="11881" spans="1:3">
      <c r="A11881" s="131" t="s">
        <v>4323</v>
      </c>
      <c r="B11881" s="132">
        <v>2.1178106559451001E-7</v>
      </c>
      <c r="C11881" s="133"/>
    </row>
    <row r="11882" spans="1:3">
      <c r="A11882" s="131" t="s">
        <v>4324</v>
      </c>
      <c r="B11882" s="132">
        <v>3.5921968637400001E-9</v>
      </c>
      <c r="C11882" s="133"/>
    </row>
    <row r="11883" spans="1:3">
      <c r="A11883" s="131" t="s">
        <v>4325</v>
      </c>
      <c r="B11883" s="132">
        <v>4.7869475163652</v>
      </c>
      <c r="C11883" s="133"/>
    </row>
    <row r="11884" spans="1:3">
      <c r="A11884" s="131" t="s">
        <v>4326</v>
      </c>
      <c r="B11884" s="132">
        <v>6.216401950182149E-3</v>
      </c>
      <c r="C11884" s="133"/>
    </row>
    <row r="11885" spans="1:3">
      <c r="A11885" s="131" t="s">
        <v>4327</v>
      </c>
      <c r="B11885" s="132">
        <v>1.4675296557971001E-7</v>
      </c>
      <c r="C11885" s="133"/>
    </row>
    <row r="11886" spans="1:3">
      <c r="A11886" s="131" t="s">
        <v>4328</v>
      </c>
      <c r="B11886" s="132">
        <v>1.7397669845912E-4</v>
      </c>
      <c r="C11886" s="133"/>
    </row>
    <row r="11887" spans="1:3">
      <c r="A11887" s="131" t="s">
        <v>4329</v>
      </c>
      <c r="B11887" s="132">
        <v>5.40652407694E-9</v>
      </c>
      <c r="C11887" s="133"/>
    </row>
    <row r="11888" spans="1:3">
      <c r="A11888" s="131" t="s">
        <v>4330</v>
      </c>
      <c r="B11888" s="132">
        <v>1.0505685835278E-2</v>
      </c>
      <c r="C11888" s="133"/>
    </row>
    <row r="11889" spans="1:3">
      <c r="A11889" s="131" t="s">
        <v>4331</v>
      </c>
      <c r="B11889" s="132">
        <v>0.22675676343928999</v>
      </c>
      <c r="C11889" s="133"/>
    </row>
    <row r="11890" spans="1:3">
      <c r="A11890" s="131" t="s">
        <v>4332</v>
      </c>
      <c r="B11890" s="132">
        <v>2.3802882478215E-2</v>
      </c>
      <c r="C11890" s="133"/>
    </row>
    <row r="11891" spans="1:3">
      <c r="A11891" s="131" t="s">
        <v>4333</v>
      </c>
      <c r="B11891" s="132">
        <v>5.8930651331784998E-4</v>
      </c>
      <c r="C11891" s="133"/>
    </row>
    <row r="11892" spans="1:3">
      <c r="A11892" s="131" t="s">
        <v>4334</v>
      </c>
      <c r="B11892" s="132">
        <v>2.5528413078428998E-6</v>
      </c>
      <c r="C11892" s="133"/>
    </row>
    <row r="11893" spans="1:3">
      <c r="A11893" s="131" t="s">
        <v>4335</v>
      </c>
      <c r="B11893" s="132">
        <v>1.1087279749218999E-5</v>
      </c>
      <c r="C11893" s="133"/>
    </row>
    <row r="11894" spans="1:3">
      <c r="A11894" s="131" t="s">
        <v>4336</v>
      </c>
      <c r="B11894" s="132">
        <v>0.20513717131522999</v>
      </c>
      <c r="C11894" s="133"/>
    </row>
    <row r="11895" spans="1:3">
      <c r="A11895" s="131" t="s">
        <v>4337</v>
      </c>
      <c r="B11895" s="132">
        <v>2.1733551520165024E-5</v>
      </c>
      <c r="C11895" s="133"/>
    </row>
    <row r="11896" spans="1:3">
      <c r="A11896" s="131" t="s">
        <v>4338</v>
      </c>
      <c r="B11896" s="132">
        <v>0.19879476725367001</v>
      </c>
      <c r="C11896" s="133"/>
    </row>
    <row r="11897" spans="1:3">
      <c r="A11897" s="131" t="s">
        <v>4339</v>
      </c>
      <c r="B11897" s="132">
        <v>5.0440947735499999E-9</v>
      </c>
      <c r="C11897" s="133"/>
    </row>
    <row r="11898" spans="1:3">
      <c r="A11898" s="131" t="s">
        <v>4340</v>
      </c>
      <c r="B11898" s="132">
        <v>5.4895428407781999E-2</v>
      </c>
      <c r="C11898" s="133"/>
    </row>
    <row r="11899" spans="1:3">
      <c r="A11899" s="131" t="s">
        <v>4341</v>
      </c>
      <c r="B11899" s="132">
        <v>2.5777908296499998E-9</v>
      </c>
      <c r="C11899" s="133"/>
    </row>
    <row r="11900" spans="1:3">
      <c r="A11900" s="131" t="s">
        <v>4342</v>
      </c>
      <c r="B11900" s="132">
        <v>0.26247723413648</v>
      </c>
      <c r="C11900" s="133"/>
    </row>
    <row r="11901" spans="1:3">
      <c r="A11901" s="131" t="s">
        <v>4343</v>
      </c>
      <c r="B11901" s="132">
        <v>1215.1311838443</v>
      </c>
      <c r="C11901" s="133"/>
    </row>
    <row r="11902" spans="1:3">
      <c r="A11902" s="131" t="s">
        <v>4344</v>
      </c>
      <c r="B11902" s="132">
        <v>2.2203879102895633E-9</v>
      </c>
      <c r="C11902" s="133"/>
    </row>
    <row r="11903" spans="1:3">
      <c r="A11903" s="131" t="s">
        <v>4345</v>
      </c>
      <c r="B11903" s="132">
        <v>1.3550255881288E-5</v>
      </c>
      <c r="C11903" s="133"/>
    </row>
    <row r="11904" spans="1:3">
      <c r="A11904" s="131" t="s">
        <v>4346</v>
      </c>
      <c r="B11904" s="132">
        <v>1.6235289512980999</v>
      </c>
      <c r="C11904" s="133"/>
    </row>
    <row r="11905" spans="1:3">
      <c r="A11905" s="131" t="s">
        <v>4347</v>
      </c>
      <c r="B11905" s="132">
        <v>5.9570662870530001E-8</v>
      </c>
      <c r="C11905" s="133"/>
    </row>
    <row r="11906" spans="1:3">
      <c r="A11906" s="131" t="s">
        <v>4348</v>
      </c>
      <c r="B11906" s="132">
        <v>2.2639229217917294E-9</v>
      </c>
      <c r="C11906" s="133"/>
    </row>
    <row r="11907" spans="1:3">
      <c r="A11907" s="131" t="s">
        <v>4349</v>
      </c>
      <c r="B11907" s="132">
        <v>6.8224324206401E-5</v>
      </c>
      <c r="C11907" s="133"/>
    </row>
    <row r="11908" spans="1:3">
      <c r="A11908" s="131" t="s">
        <v>4350</v>
      </c>
      <c r="B11908" s="132">
        <v>3.1805703796432998E-4</v>
      </c>
      <c r="C11908" s="133"/>
    </row>
    <row r="11909" spans="1:3">
      <c r="A11909" s="131" t="s">
        <v>4351</v>
      </c>
      <c r="B11909" s="132">
        <v>1.6575632405123001E-3</v>
      </c>
      <c r="C11909" s="133"/>
    </row>
    <row r="11910" spans="1:3">
      <c r="A11910" s="131" t="s">
        <v>4352</v>
      </c>
      <c r="B11910" s="132">
        <v>8.6828352230100006E-2</v>
      </c>
      <c r="C11910" s="133"/>
    </row>
    <row r="11911" spans="1:3">
      <c r="A11911" s="131" t="s">
        <v>4353</v>
      </c>
      <c r="B11911" s="132">
        <v>4.1461762430866002E-2</v>
      </c>
      <c r="C11911" s="133"/>
    </row>
    <row r="11912" spans="1:3">
      <c r="A11912" s="131" t="s">
        <v>4354</v>
      </c>
      <c r="B11912" s="132">
        <v>2.08204969815E-9</v>
      </c>
      <c r="C11912" s="133"/>
    </row>
    <row r="11913" spans="1:3">
      <c r="A11913" s="131" t="s">
        <v>4355</v>
      </c>
      <c r="B11913" s="132">
        <v>9.0234247379861002E-7</v>
      </c>
      <c r="C11913" s="133"/>
    </row>
    <row r="11914" spans="1:3">
      <c r="A11914" s="131" t="s">
        <v>4356</v>
      </c>
      <c r="B11914" s="132">
        <v>0.58574786483178998</v>
      </c>
      <c r="C11914" s="133"/>
    </row>
    <row r="11915" spans="1:3">
      <c r="A11915" s="131" t="s">
        <v>4357</v>
      </c>
      <c r="B11915" s="132">
        <v>0.13117579247019001</v>
      </c>
      <c r="C11915" s="133"/>
    </row>
    <row r="11916" spans="1:3">
      <c r="A11916" s="131" t="s">
        <v>4358</v>
      </c>
      <c r="B11916" s="132">
        <v>0.23975493846696999</v>
      </c>
      <c r="C11916" s="133"/>
    </row>
    <row r="11917" spans="1:3">
      <c r="A11917" s="131" t="s">
        <v>4359</v>
      </c>
      <c r="B11917" s="132">
        <v>1.8506690001E-9</v>
      </c>
      <c r="C11917" s="133"/>
    </row>
    <row r="11918" spans="1:3">
      <c r="A11918" s="131" t="s">
        <v>4360</v>
      </c>
      <c r="B11918" s="132">
        <v>1.5058517409523E-6</v>
      </c>
      <c r="C11918" s="133"/>
    </row>
    <row r="11919" spans="1:3">
      <c r="A11919" s="131" t="s">
        <v>4361</v>
      </c>
      <c r="B11919" s="132">
        <v>0.19863936861388001</v>
      </c>
      <c r="C11919" s="133"/>
    </row>
    <row r="11920" spans="1:3">
      <c r="A11920" s="131" t="s">
        <v>4362</v>
      </c>
      <c r="B11920" s="132">
        <v>2.3866284443000001E-9</v>
      </c>
      <c r="C11920" s="133"/>
    </row>
    <row r="11921" spans="1:3">
      <c r="A11921" s="131" t="s">
        <v>4363</v>
      </c>
      <c r="B11921" s="132">
        <v>1.7371582881800001E-9</v>
      </c>
      <c r="C11921" s="133"/>
    </row>
    <row r="11922" spans="1:3">
      <c r="A11922" s="131" t="s">
        <v>4364</v>
      </c>
      <c r="B11922" s="132">
        <v>8.1964499617675005E-4</v>
      </c>
      <c r="C11922" s="133"/>
    </row>
    <row r="11923" spans="1:3">
      <c r="A11923" s="131" t="s">
        <v>4365</v>
      </c>
      <c r="B11923" s="132">
        <v>1.68133378506E-9</v>
      </c>
      <c r="C11923" s="133"/>
    </row>
    <row r="11924" spans="1:3">
      <c r="A11924" s="131" t="s">
        <v>4366</v>
      </c>
      <c r="B11924" s="132">
        <v>0.26978332881973999</v>
      </c>
      <c r="C11924" s="133"/>
    </row>
    <row r="11925" spans="1:3">
      <c r="A11925" s="131" t="s">
        <v>4367</v>
      </c>
      <c r="B11925" s="132">
        <v>1.49107908919E-9</v>
      </c>
      <c r="C11925" s="133"/>
    </row>
    <row r="11926" spans="1:3">
      <c r="A11926" s="131" t="s">
        <v>4368</v>
      </c>
      <c r="B11926" s="132">
        <v>2.8032956169496001E-7</v>
      </c>
      <c r="C11926" s="133"/>
    </row>
    <row r="11927" spans="1:3">
      <c r="A11927" s="131" t="s">
        <v>4369</v>
      </c>
      <c r="B11927" s="132">
        <v>6.1457179605675996E-4</v>
      </c>
      <c r="C11927" s="133"/>
    </row>
    <row r="11928" spans="1:3">
      <c r="A11928" s="131" t="s">
        <v>4370</v>
      </c>
      <c r="B11928" s="132">
        <v>0.36444398150300999</v>
      </c>
      <c r="C11928" s="133"/>
    </row>
    <row r="11929" spans="1:3">
      <c r="A11929" s="131" t="s">
        <v>4371</v>
      </c>
      <c r="B11929" s="132">
        <v>1.25007095056E-2</v>
      </c>
      <c r="C11929" s="133"/>
    </row>
    <row r="11930" spans="1:3">
      <c r="A11930" s="131" t="s">
        <v>4372</v>
      </c>
      <c r="B11930" s="132">
        <v>3.6429191570690233E-3</v>
      </c>
      <c r="C11930" s="133"/>
    </row>
    <row r="11931" spans="1:3">
      <c r="A11931" s="131" t="s">
        <v>4373</v>
      </c>
      <c r="B11931" s="132">
        <v>1.3086958879641832</v>
      </c>
      <c r="C11931" s="133"/>
    </row>
    <row r="11932" spans="1:3">
      <c r="A11932" s="131" t="s">
        <v>4374</v>
      </c>
      <c r="B11932" s="132">
        <v>3.2365190750195003E-5</v>
      </c>
      <c r="C11932" s="133"/>
    </row>
    <row r="11933" spans="1:3">
      <c r="A11933" s="131" t="s">
        <v>4375</v>
      </c>
      <c r="B11933" s="132">
        <v>3.5174057389775E-6</v>
      </c>
      <c r="C11933" s="133"/>
    </row>
    <row r="11934" spans="1:3">
      <c r="A11934" s="131" t="s">
        <v>4376</v>
      </c>
      <c r="B11934" s="132">
        <v>2.674202415617E-2</v>
      </c>
      <c r="C11934" s="133"/>
    </row>
    <row r="11935" spans="1:3">
      <c r="A11935" s="131" t="s">
        <v>4377</v>
      </c>
      <c r="B11935" s="132">
        <v>1.4511616308300001E-9</v>
      </c>
      <c r="C11935" s="133"/>
    </row>
    <row r="11936" spans="1:3">
      <c r="A11936" s="131" t="s">
        <v>4378</v>
      </c>
      <c r="B11936" s="132">
        <v>3.7126688563818003E-7</v>
      </c>
      <c r="C11936" s="133"/>
    </row>
    <row r="11937" spans="1:3">
      <c r="A11937" s="131" t="s">
        <v>1289</v>
      </c>
      <c r="B11937" s="132">
        <v>9.6323898507778005E-3</v>
      </c>
      <c r="C11937" s="133"/>
    </row>
    <row r="11938" spans="1:3">
      <c r="A11938" s="131" t="s">
        <v>1290</v>
      </c>
      <c r="B11938" s="132">
        <v>0.43532252568766</v>
      </c>
      <c r="C11938" s="133"/>
    </row>
    <row r="11939" spans="1:3">
      <c r="A11939" s="131" t="s">
        <v>1291</v>
      </c>
      <c r="B11939" s="132">
        <v>6.8514871596951998</v>
      </c>
      <c r="C11939" s="133"/>
    </row>
    <row r="11940" spans="1:3">
      <c r="A11940" s="131" t="s">
        <v>1292</v>
      </c>
      <c r="B11940" s="132">
        <v>1.3216524337791278E-9</v>
      </c>
      <c r="C11940" s="133"/>
    </row>
    <row r="11941" spans="1:3">
      <c r="A11941" s="131" t="s">
        <v>1293</v>
      </c>
      <c r="B11941" s="132">
        <v>0.13175795705228999</v>
      </c>
      <c r="C11941" s="133"/>
    </row>
    <row r="11942" spans="1:3">
      <c r="A11942" s="131" t="s">
        <v>1294</v>
      </c>
      <c r="B11942" s="132">
        <v>6.4613618506105193E-8</v>
      </c>
      <c r="C11942" s="133"/>
    </row>
    <row r="11943" spans="1:3">
      <c r="A11943" s="131" t="s">
        <v>1295</v>
      </c>
      <c r="B11943" s="132">
        <v>1.1367051779198001E-2</v>
      </c>
      <c r="C11943" s="133"/>
    </row>
    <row r="11944" spans="1:3">
      <c r="A11944" s="131" t="s">
        <v>1296</v>
      </c>
      <c r="B11944" s="132">
        <v>0.17737694149783001</v>
      </c>
      <c r="C11944" s="133"/>
    </row>
    <row r="11945" spans="1:3">
      <c r="A11945" s="131" t="s">
        <v>1297</v>
      </c>
      <c r="B11945" s="132">
        <v>4.8523660026941003E-4</v>
      </c>
      <c r="C11945" s="133"/>
    </row>
    <row r="11946" spans="1:3">
      <c r="A11946" s="131" t="s">
        <v>1298</v>
      </c>
      <c r="B11946" s="132">
        <v>0.86300022045326996</v>
      </c>
      <c r="C11946" s="133"/>
    </row>
    <row r="11947" spans="1:3">
      <c r="A11947" s="131" t="s">
        <v>1299</v>
      </c>
      <c r="B11947" s="132">
        <v>1.0044301519568E-2</v>
      </c>
      <c r="C11947" s="133"/>
    </row>
    <row r="11948" spans="1:3">
      <c r="A11948" s="131" t="s">
        <v>1300</v>
      </c>
      <c r="B11948" s="132">
        <v>4.299613899022026E-3</v>
      </c>
      <c r="C11948" s="133"/>
    </row>
    <row r="11949" spans="1:3">
      <c r="A11949" s="131" t="s">
        <v>1301</v>
      </c>
      <c r="B11949" s="132">
        <v>2.0671187557794999E-3</v>
      </c>
      <c r="C11949" s="133"/>
    </row>
    <row r="11950" spans="1:3">
      <c r="A11950" s="131" t="s">
        <v>1302</v>
      </c>
      <c r="B11950" s="132">
        <v>5.6286763866171003E-3</v>
      </c>
      <c r="C11950" s="133"/>
    </row>
    <row r="11951" spans="1:3">
      <c r="A11951" s="131" t="s">
        <v>1303</v>
      </c>
      <c r="B11951" s="132">
        <v>8.2065301314276001E-2</v>
      </c>
      <c r="C11951" s="133"/>
    </row>
    <row r="11952" spans="1:3">
      <c r="A11952" s="131" t="s">
        <v>1304</v>
      </c>
      <c r="B11952" s="132">
        <v>9.8250970525000002E-10</v>
      </c>
      <c r="C11952" s="133"/>
    </row>
    <row r="11953" spans="1:3">
      <c r="A11953" s="131" t="s">
        <v>1305</v>
      </c>
      <c r="B11953" s="132">
        <v>7.3248957058159994E-8</v>
      </c>
      <c r="C11953" s="133"/>
    </row>
    <row r="11954" spans="1:3">
      <c r="A11954" s="131" t="s">
        <v>1306</v>
      </c>
      <c r="B11954" s="132">
        <v>1.0196874858899999E-9</v>
      </c>
      <c r="C11954" s="133"/>
    </row>
    <row r="11955" spans="1:3">
      <c r="A11955" s="131" t="s">
        <v>1307</v>
      </c>
      <c r="B11955" s="132">
        <v>9.2928774616618994E-3</v>
      </c>
      <c r="C11955" s="133"/>
    </row>
    <row r="11956" spans="1:3">
      <c r="A11956" s="131" t="s">
        <v>1308</v>
      </c>
      <c r="B11956" s="132">
        <v>9.3611527490000008E-10</v>
      </c>
      <c r="C11956" s="133"/>
    </row>
    <row r="11957" spans="1:3">
      <c r="A11957" s="131" t="s">
        <v>1309</v>
      </c>
      <c r="B11957" s="132">
        <v>9.1474615043999999E-10</v>
      </c>
      <c r="C11957" s="133"/>
    </row>
    <row r="11958" spans="1:3">
      <c r="A11958" s="131" t="s">
        <v>1310</v>
      </c>
      <c r="B11958" s="132">
        <v>6.7374142387863005E-7</v>
      </c>
      <c r="C11958" s="133"/>
    </row>
    <row r="11959" spans="1:3">
      <c r="A11959" s="131" t="s">
        <v>1311</v>
      </c>
      <c r="B11959" s="132">
        <v>8.4357920834419002E-3</v>
      </c>
      <c r="C11959" s="133"/>
    </row>
    <row r="11960" spans="1:3">
      <c r="A11960" s="131" t="s">
        <v>1312</v>
      </c>
      <c r="B11960" s="132">
        <v>0.66651050215512997</v>
      </c>
      <c r="C11960" s="133"/>
    </row>
    <row r="11961" spans="1:3">
      <c r="A11961" s="131" t="s">
        <v>1313</v>
      </c>
      <c r="B11961" s="132">
        <v>1.8589754514646E-3</v>
      </c>
      <c r="C11961" s="133"/>
    </row>
    <row r="11962" spans="1:3">
      <c r="A11962" s="131" t="s">
        <v>1314</v>
      </c>
      <c r="B11962" s="132">
        <v>8.2680826404000002E-10</v>
      </c>
      <c r="C11962" s="133"/>
    </row>
    <row r="11963" spans="1:3">
      <c r="A11963" s="131" t="s">
        <v>1315</v>
      </c>
      <c r="B11963" s="132">
        <v>8.2330198203000004E-10</v>
      </c>
      <c r="C11963" s="133"/>
    </row>
    <row r="11964" spans="1:3">
      <c r="A11964" s="131" t="s">
        <v>1316</v>
      </c>
      <c r="B11964" s="132">
        <v>2.7606854376462001E-2</v>
      </c>
      <c r="C11964" s="133"/>
    </row>
    <row r="11965" spans="1:3">
      <c r="A11965" s="131" t="s">
        <v>1317</v>
      </c>
      <c r="B11965" s="132">
        <v>329.50828787143001</v>
      </c>
      <c r="C11965" s="133"/>
    </row>
    <row r="11966" spans="1:3">
      <c r="A11966" s="131" t="s">
        <v>1318</v>
      </c>
      <c r="B11966" s="132">
        <v>2.053843247796E-8</v>
      </c>
      <c r="C11966" s="133"/>
    </row>
    <row r="11967" spans="1:3">
      <c r="A11967" s="131" t="s">
        <v>1319</v>
      </c>
      <c r="B11967" s="132">
        <v>2.0063875986632</v>
      </c>
      <c r="C11967" s="133"/>
    </row>
    <row r="11968" spans="1:3">
      <c r="A11968" s="131" t="s">
        <v>1320</v>
      </c>
      <c r="B11968" s="132">
        <v>7.8063025199999999E-10</v>
      </c>
      <c r="C11968" s="133"/>
    </row>
    <row r="11969" spans="1:3">
      <c r="A11969" s="131" t="s">
        <v>1321</v>
      </c>
      <c r="B11969" s="132">
        <v>7.7812616168000004E-10</v>
      </c>
      <c r="C11969" s="133"/>
    </row>
    <row r="11970" spans="1:3">
      <c r="A11970" s="131" t="s">
        <v>1322</v>
      </c>
      <c r="B11970" s="132">
        <v>8.0540699387356002E-2</v>
      </c>
      <c r="C11970" s="133"/>
    </row>
    <row r="11971" spans="1:3">
      <c r="A11971" s="131" t="s">
        <v>1323</v>
      </c>
      <c r="B11971" s="132">
        <v>4.924971626943E-8</v>
      </c>
      <c r="C11971" s="133"/>
    </row>
    <row r="11972" spans="1:3">
      <c r="A11972" s="131" t="s">
        <v>1324</v>
      </c>
      <c r="B11972" s="132">
        <v>9.292415407837E-2</v>
      </c>
      <c r="C11972" s="133"/>
    </row>
    <row r="11973" spans="1:3">
      <c r="A11973" s="131" t="s">
        <v>1325</v>
      </c>
      <c r="B11973" s="132">
        <v>6.9572941452000003E-10</v>
      </c>
      <c r="C11973" s="133"/>
    </row>
    <row r="11974" spans="1:3">
      <c r="A11974" s="131" t="s">
        <v>1326</v>
      </c>
      <c r="B11974" s="132">
        <v>668.64</v>
      </c>
      <c r="C11974" s="133"/>
    </row>
    <row r="11975" spans="1:3">
      <c r="A11975" s="131" t="s">
        <v>1327</v>
      </c>
      <c r="B11975" s="132">
        <v>6.6918638102999997E-10</v>
      </c>
      <c r="C11975" s="133"/>
    </row>
    <row r="11976" spans="1:3">
      <c r="A11976" s="131" t="s">
        <v>1328</v>
      </c>
      <c r="B11976" s="132">
        <v>0.41314686278091001</v>
      </c>
      <c r="C11976" s="133"/>
    </row>
    <row r="11977" spans="1:3">
      <c r="A11977" s="131" t="s">
        <v>1329</v>
      </c>
      <c r="B11977" s="132">
        <v>4.1343887267312283E-3</v>
      </c>
      <c r="C11977" s="133"/>
    </row>
    <row r="11978" spans="1:3">
      <c r="A11978" s="131" t="s">
        <v>1330</v>
      </c>
      <c r="B11978" s="132">
        <v>6.5187223764000004E-10</v>
      </c>
      <c r="C11978" s="133"/>
    </row>
    <row r="11979" spans="1:3">
      <c r="A11979" s="131" t="s">
        <v>1331</v>
      </c>
      <c r="B11979" s="132">
        <v>6.0309555398000004E-10</v>
      </c>
      <c r="C11979" s="133"/>
    </row>
    <row r="11980" spans="1:3">
      <c r="A11980" s="131" t="s">
        <v>1332</v>
      </c>
      <c r="B11980" s="132">
        <v>2.0900612940481E-4</v>
      </c>
      <c r="C11980" s="133"/>
    </row>
    <row r="11981" spans="1:3">
      <c r="A11981" s="131" t="s">
        <v>1333</v>
      </c>
      <c r="B11981" s="132">
        <v>6.2271033948000002E-10</v>
      </c>
      <c r="C11981" s="133"/>
    </row>
    <row r="11982" spans="1:3">
      <c r="A11982" s="131" t="s">
        <v>1334</v>
      </c>
      <c r="B11982" s="132">
        <v>6.6968821568792997E-2</v>
      </c>
      <c r="C11982" s="133"/>
    </row>
    <row r="11983" spans="1:3">
      <c r="A11983" s="131" t="s">
        <v>1335</v>
      </c>
      <c r="B11983" s="132">
        <v>5.3356192370000001E-10</v>
      </c>
      <c r="C11983" s="133"/>
    </row>
    <row r="11984" spans="1:3">
      <c r="A11984" s="131" t="s">
        <v>1336</v>
      </c>
      <c r="B11984" s="132">
        <v>2.3675089620296998E-6</v>
      </c>
      <c r="C11984" s="133"/>
    </row>
    <row r="11985" spans="1:3">
      <c r="A11985" s="131" t="s">
        <v>1337</v>
      </c>
      <c r="B11985" s="132">
        <v>5.2331392925000005E-10</v>
      </c>
      <c r="C11985" s="133"/>
    </row>
    <row r="11986" spans="1:3">
      <c r="A11986" s="131" t="s">
        <v>1338</v>
      </c>
      <c r="B11986" s="132">
        <v>5.2221831486000001E-10</v>
      </c>
      <c r="C11986" s="133"/>
    </row>
    <row r="11987" spans="1:3">
      <c r="A11987" s="131" t="s">
        <v>1339</v>
      </c>
      <c r="B11987" s="132">
        <v>4.0693834874860001E-4</v>
      </c>
      <c r="C11987" s="133"/>
    </row>
    <row r="11988" spans="1:3">
      <c r="A11988" s="131" t="s">
        <v>1340</v>
      </c>
      <c r="B11988" s="132">
        <v>4.9046708831000004E-10</v>
      </c>
      <c r="C11988" s="133"/>
    </row>
    <row r="11989" spans="1:3">
      <c r="A11989" s="131" t="s">
        <v>1341</v>
      </c>
      <c r="B11989" s="132">
        <v>4.8466647833999996E-10</v>
      </c>
      <c r="C11989" s="133"/>
    </row>
    <row r="11990" spans="1:3">
      <c r="A11990" s="131" t="s">
        <v>1342</v>
      </c>
      <c r="B11990" s="132">
        <v>1.4288226531720803E-6</v>
      </c>
      <c r="C11990" s="133"/>
    </row>
    <row r="11991" spans="1:3">
      <c r="A11991" s="131" t="s">
        <v>1343</v>
      </c>
      <c r="B11991" s="132">
        <v>4.7510213780000001E-10</v>
      </c>
      <c r="C11991" s="133"/>
    </row>
    <row r="11992" spans="1:3">
      <c r="A11992" s="131" t="s">
        <v>1344</v>
      </c>
      <c r="B11992" s="132">
        <v>1.2812963232860001E-4</v>
      </c>
      <c r="C11992" s="133"/>
    </row>
    <row r="11993" spans="1:3">
      <c r="A11993" s="131" t="s">
        <v>1345</v>
      </c>
      <c r="B11993" s="132">
        <v>3.4122903224007002E-7</v>
      </c>
      <c r="C11993" s="133"/>
    </row>
    <row r="11994" spans="1:3">
      <c r="A11994" s="131" t="s">
        <v>1346</v>
      </c>
      <c r="B11994" s="132">
        <v>1.1104246072845001E-4</v>
      </c>
      <c r="C11994" s="133"/>
    </row>
    <row r="11995" spans="1:3">
      <c r="A11995" s="131" t="s">
        <v>1347</v>
      </c>
      <c r="B11995" s="132">
        <v>9.3908059151091007E-6</v>
      </c>
      <c r="C11995" s="133"/>
    </row>
    <row r="11996" spans="1:3">
      <c r="A11996" s="131" t="s">
        <v>1348</v>
      </c>
      <c r="B11996" s="132">
        <v>1.095229305535E-8</v>
      </c>
      <c r="C11996" s="133"/>
    </row>
    <row r="11997" spans="1:3">
      <c r="A11997" s="131" t="s">
        <v>1349</v>
      </c>
      <c r="B11997" s="132">
        <v>6.0032490487303E-7</v>
      </c>
      <c r="C11997" s="133"/>
    </row>
    <row r="11998" spans="1:3">
      <c r="A11998" s="131" t="s">
        <v>1350</v>
      </c>
      <c r="B11998" s="132">
        <v>4.7937243731293997E-4</v>
      </c>
      <c r="C11998" s="133"/>
    </row>
    <row r="11999" spans="1:3">
      <c r="A11999" s="131" t="s">
        <v>1351</v>
      </c>
      <c r="B11999" s="132">
        <v>2.3070834027944999E-2</v>
      </c>
      <c r="C11999" s="133"/>
    </row>
    <row r="12000" spans="1:3">
      <c r="A12000" s="131" t="s">
        <v>1352</v>
      </c>
      <c r="B12000" s="132">
        <v>3.8777426054E-10</v>
      </c>
      <c r="C12000" s="133"/>
    </row>
    <row r="12001" spans="1:3">
      <c r="A12001" s="131" t="s">
        <v>1353</v>
      </c>
      <c r="B12001" s="132">
        <v>7.2144016791000005E-10</v>
      </c>
      <c r="C12001" s="133"/>
    </row>
    <row r="12002" spans="1:3">
      <c r="A12002" s="131" t="s">
        <v>1354</v>
      </c>
      <c r="B12002" s="132">
        <v>581.29000289760995</v>
      </c>
      <c r="C12002" s="133"/>
    </row>
    <row r="12003" spans="1:3">
      <c r="A12003" s="131" t="s">
        <v>1355</v>
      </c>
      <c r="B12003" s="132">
        <v>3.6701179856000001E-10</v>
      </c>
      <c r="C12003" s="133"/>
    </row>
    <row r="12004" spans="1:3">
      <c r="A12004" s="131" t="s">
        <v>1356</v>
      </c>
      <c r="B12004" s="132">
        <v>2.0086657161667999E-6</v>
      </c>
      <c r="C12004" s="133"/>
    </row>
    <row r="12005" spans="1:3">
      <c r="A12005" s="131" t="s">
        <v>1357</v>
      </c>
      <c r="B12005" s="132">
        <v>3.5085048200999998E-10</v>
      </c>
      <c r="C12005" s="133"/>
    </row>
    <row r="12006" spans="1:3">
      <c r="A12006" s="131" t="s">
        <v>1358</v>
      </c>
      <c r="B12006" s="132">
        <v>2.8018566956362001</v>
      </c>
      <c r="C12006" s="133"/>
    </row>
    <row r="12007" spans="1:3">
      <c r="A12007" s="131" t="s">
        <v>1359</v>
      </c>
      <c r="B12007" s="132">
        <v>2.3507550164592999E-4</v>
      </c>
      <c r="C12007" s="133"/>
    </row>
    <row r="12008" spans="1:3">
      <c r="A12008" s="131" t="s">
        <v>1360</v>
      </c>
      <c r="B12008" s="132">
        <v>7.2001225310201001E-3</v>
      </c>
      <c r="C12008" s="133"/>
    </row>
    <row r="12009" spans="1:3">
      <c r="A12009" s="131" t="s">
        <v>1361</v>
      </c>
      <c r="B12009" s="132">
        <v>3.1639803140000001E-10</v>
      </c>
      <c r="C12009" s="133"/>
    </row>
    <row r="12010" spans="1:3">
      <c r="A12010" s="131" t="s">
        <v>1362</v>
      </c>
      <c r="B12010" s="132">
        <v>2.7666314653442999E-2</v>
      </c>
      <c r="C12010" s="133"/>
    </row>
    <row r="12011" spans="1:3">
      <c r="A12011" s="131" t="s">
        <v>1363</v>
      </c>
      <c r="B12011" s="132">
        <v>153.91999999999999</v>
      </c>
      <c r="C12011" s="133"/>
    </row>
    <row r="12012" spans="1:3">
      <c r="A12012" s="131" t="s">
        <v>1364</v>
      </c>
      <c r="B12012" s="132">
        <v>5.0027075406086002E-2</v>
      </c>
      <c r="C12012" s="133"/>
    </row>
    <row r="12013" spans="1:3">
      <c r="A12013" s="131" t="s">
        <v>1365</v>
      </c>
      <c r="B12013" s="132">
        <v>3.0183691912000002E-10</v>
      </c>
      <c r="C12013" s="133"/>
    </row>
    <row r="12014" spans="1:3">
      <c r="A12014" s="131" t="s">
        <v>1366</v>
      </c>
      <c r="B12014" s="132">
        <v>6.8005139527001E-6</v>
      </c>
      <c r="C12014" s="133"/>
    </row>
    <row r="12015" spans="1:3">
      <c r="A12015" s="131" t="s">
        <v>1367</v>
      </c>
      <c r="B12015" s="132">
        <v>0.11664568170268</v>
      </c>
      <c r="C12015" s="133"/>
    </row>
    <row r="12016" spans="1:3">
      <c r="A12016" s="131" t="s">
        <v>1368</v>
      </c>
      <c r="B12016" s="132">
        <v>1.1862401959172001E-7</v>
      </c>
      <c r="C12016" s="133"/>
    </row>
    <row r="12017" spans="1:3">
      <c r="A12017" s="131" t="s">
        <v>1369</v>
      </c>
      <c r="B12017" s="132">
        <v>8.6254354850456991</v>
      </c>
      <c r="C12017" s="133"/>
    </row>
    <row r="12018" spans="1:3">
      <c r="A12018" s="131" t="s">
        <v>1370</v>
      </c>
      <c r="B12018" s="132">
        <v>2.8420230870000002E-10</v>
      </c>
      <c r="C12018" s="133"/>
    </row>
    <row r="12019" spans="1:3">
      <c r="A12019" s="131" t="s">
        <v>1371</v>
      </c>
      <c r="B12019" s="132">
        <v>9.4575746050968997E-6</v>
      </c>
      <c r="C12019" s="133"/>
    </row>
    <row r="12020" spans="1:3">
      <c r="A12020" s="131" t="s">
        <v>1372</v>
      </c>
      <c r="B12020" s="132">
        <v>3.2628142152523E-2</v>
      </c>
      <c r="C12020" s="133"/>
    </row>
    <row r="12021" spans="1:3">
      <c r="A12021" s="131" t="s">
        <v>1373</v>
      </c>
      <c r="B12021" s="132">
        <v>2.6866145562591998E-6</v>
      </c>
      <c r="C12021" s="133"/>
    </row>
    <row r="12022" spans="1:3">
      <c r="A12022" s="131" t="s">
        <v>1374</v>
      </c>
      <c r="B12022" s="132">
        <v>2.5036635175000001E-10</v>
      </c>
      <c r="C12022" s="133"/>
    </row>
    <row r="12023" spans="1:3">
      <c r="A12023" s="131" t="s">
        <v>1375</v>
      </c>
      <c r="B12023" s="132">
        <v>0.25181610746382871</v>
      </c>
      <c r="C12023" s="133"/>
    </row>
    <row r="12024" spans="1:3">
      <c r="A12024" s="131" t="s">
        <v>1376</v>
      </c>
      <c r="B12024" s="132">
        <v>2.3880078708000001E-10</v>
      </c>
      <c r="C12024" s="133"/>
    </row>
    <row r="12025" spans="1:3">
      <c r="A12025" s="131" t="s">
        <v>1377</v>
      </c>
      <c r="B12025" s="132">
        <v>2.2186257412284195E-10</v>
      </c>
      <c r="C12025" s="133"/>
    </row>
    <row r="12026" spans="1:3">
      <c r="A12026" s="131" t="s">
        <v>1378</v>
      </c>
      <c r="B12026" s="132">
        <v>3.1691677138132E-3</v>
      </c>
      <c r="C12026" s="133"/>
    </row>
    <row r="12027" spans="1:3">
      <c r="A12027" s="131" t="s">
        <v>1379</v>
      </c>
      <c r="B12027" s="132">
        <v>2.3820130294295E-4</v>
      </c>
      <c r="C12027" s="133"/>
    </row>
    <row r="12028" spans="1:3">
      <c r="A12028" s="131" t="s">
        <v>1380</v>
      </c>
      <c r="B12028" s="132">
        <v>3.4646058809555E-4</v>
      </c>
      <c r="C12028" s="133"/>
    </row>
    <row r="12029" spans="1:3">
      <c r="A12029" s="131" t="s">
        <v>1381</v>
      </c>
      <c r="B12029" s="132">
        <v>1.9924049048E-10</v>
      </c>
      <c r="C12029" s="133"/>
    </row>
    <row r="12030" spans="1:3">
      <c r="A12030" s="131" t="s">
        <v>1382</v>
      </c>
      <c r="B12030" s="132">
        <v>1.4864020639822</v>
      </c>
      <c r="C12030" s="133"/>
    </row>
    <row r="12031" spans="1:3">
      <c r="A12031" s="131" t="s">
        <v>1383</v>
      </c>
      <c r="B12031" s="132">
        <v>49.15</v>
      </c>
      <c r="C12031" s="133"/>
    </row>
    <row r="12032" spans="1:3">
      <c r="A12032" s="131" t="s">
        <v>1384</v>
      </c>
      <c r="B12032" s="132">
        <v>1.9590967274192524E-10</v>
      </c>
      <c r="C12032" s="133"/>
    </row>
    <row r="12033" spans="1:3">
      <c r="A12033" s="131" t="s">
        <v>1385</v>
      </c>
      <c r="B12033" s="132">
        <v>1.8505720335999999E-10</v>
      </c>
      <c r="C12033" s="133"/>
    </row>
    <row r="12034" spans="1:3">
      <c r="A12034" s="131" t="s">
        <v>1386</v>
      </c>
      <c r="B12034" s="132">
        <v>3.0711898466080001E-3</v>
      </c>
      <c r="C12034" s="133"/>
    </row>
    <row r="12035" spans="1:3">
      <c r="A12035" s="131" t="s">
        <v>1387</v>
      </c>
      <c r="B12035" s="132">
        <v>7.1043336656740003E-4</v>
      </c>
      <c r="C12035" s="133"/>
    </row>
    <row r="12036" spans="1:3">
      <c r="A12036" s="131" t="s">
        <v>1388</v>
      </c>
      <c r="B12036" s="132">
        <v>1.7574903780999999E-10</v>
      </c>
      <c r="C12036" s="133"/>
    </row>
    <row r="12037" spans="1:3">
      <c r="A12037" s="131" t="s">
        <v>1389</v>
      </c>
      <c r="B12037" s="132">
        <v>1.7161326275000001E-10</v>
      </c>
      <c r="C12037" s="133"/>
    </row>
    <row r="12038" spans="1:3">
      <c r="A12038" s="131" t="s">
        <v>2537</v>
      </c>
      <c r="B12038" s="132">
        <v>1.7816317521189E-3</v>
      </c>
      <c r="C12038" s="133"/>
    </row>
    <row r="12039" spans="1:3">
      <c r="A12039" s="131" t="s">
        <v>2538</v>
      </c>
      <c r="B12039" s="132">
        <v>1.3544413317717E-4</v>
      </c>
      <c r="C12039" s="133"/>
    </row>
    <row r="12040" spans="1:3">
      <c r="A12040" s="131" t="s">
        <v>2539</v>
      </c>
      <c r="B12040" s="132">
        <v>1.3623784619638999E-7</v>
      </c>
      <c r="C12040" s="133"/>
    </row>
    <row r="12041" spans="1:3">
      <c r="A12041" s="131" t="s">
        <v>2540</v>
      </c>
      <c r="B12041" s="132">
        <v>1.6436599848308999E-7</v>
      </c>
      <c r="C12041" s="133"/>
    </row>
    <row r="12042" spans="1:3">
      <c r="A12042" s="131" t="s">
        <v>2541</v>
      </c>
      <c r="B12042" s="132">
        <v>3.5088940111669001E-3</v>
      </c>
      <c r="C12042" s="133"/>
    </row>
    <row r="12043" spans="1:3">
      <c r="A12043" s="131" t="s">
        <v>2542</v>
      </c>
      <c r="B12043" s="132">
        <v>2.4308776566349E-2</v>
      </c>
      <c r="C12043" s="133"/>
    </row>
    <row r="12044" spans="1:3">
      <c r="A12044" s="131" t="s">
        <v>2543</v>
      </c>
      <c r="B12044" s="132">
        <v>4.2933766630999999E-9</v>
      </c>
      <c r="C12044" s="133"/>
    </row>
    <row r="12045" spans="1:3">
      <c r="A12045" s="131" t="s">
        <v>2544</v>
      </c>
      <c r="B12045" s="132">
        <v>1.1926465647999999E-10</v>
      </c>
      <c r="C12045" s="133"/>
    </row>
    <row r="12046" spans="1:3">
      <c r="A12046" s="131" t="s">
        <v>2545</v>
      </c>
      <c r="B12046" s="132">
        <v>1.1772827001000001E-10</v>
      </c>
      <c r="C12046" s="133"/>
    </row>
    <row r="12047" spans="1:3">
      <c r="A12047" s="131" t="s">
        <v>2546</v>
      </c>
      <c r="B12047" s="132">
        <v>1.5508393375886999E-2</v>
      </c>
      <c r="C12047" s="133"/>
    </row>
    <row r="12048" spans="1:3">
      <c r="A12048" s="131" t="s">
        <v>2547</v>
      </c>
      <c r="B12048" s="132">
        <v>8.6254354850457005E-3</v>
      </c>
      <c r="C12048" s="133"/>
    </row>
    <row r="12049" spans="1:3">
      <c r="A12049" s="131" t="s">
        <v>2548</v>
      </c>
      <c r="B12049" s="132">
        <v>1.0460782211E-10</v>
      </c>
      <c r="C12049" s="133"/>
    </row>
    <row r="12050" spans="1:3">
      <c r="A12050" s="131" t="s">
        <v>2549</v>
      </c>
      <c r="B12050" s="132">
        <v>1.3072578870355999E-6</v>
      </c>
      <c r="C12050" s="133"/>
    </row>
    <row r="12051" spans="1:3">
      <c r="A12051" s="131" t="s">
        <v>2550</v>
      </c>
      <c r="B12051" s="132">
        <v>7.7550652031725997E-7</v>
      </c>
      <c r="C12051" s="133"/>
    </row>
    <row r="12052" spans="1:3">
      <c r="A12052" s="131" t="s">
        <v>2551</v>
      </c>
      <c r="B12052" s="132">
        <v>41.560088224814002</v>
      </c>
      <c r="C12052" s="133"/>
    </row>
    <row r="12053" spans="1:3">
      <c r="A12053" s="131" t="s">
        <v>2552</v>
      </c>
      <c r="B12053" s="132">
        <v>0.10552668121281</v>
      </c>
      <c r="C12053" s="133"/>
    </row>
    <row r="12054" spans="1:3">
      <c r="A12054" s="131" t="s">
        <v>2553</v>
      </c>
      <c r="B12054" s="132">
        <v>9.9019671080000006E-11</v>
      </c>
      <c r="C12054" s="133"/>
    </row>
    <row r="12055" spans="1:3">
      <c r="A12055" s="131" t="s">
        <v>2554</v>
      </c>
      <c r="B12055" s="132">
        <v>9.8879658379999996E-11</v>
      </c>
      <c r="C12055" s="133"/>
    </row>
    <row r="12056" spans="1:3">
      <c r="A12056" s="131" t="s">
        <v>2555</v>
      </c>
      <c r="B12056" s="132">
        <v>41.462440096564002</v>
      </c>
      <c r="C12056" s="133"/>
    </row>
    <row r="12057" spans="1:3">
      <c r="A12057" s="131" t="s">
        <v>2556</v>
      </c>
      <c r="B12057" s="132">
        <v>8.5022866920000004E-11</v>
      </c>
      <c r="C12057" s="133"/>
    </row>
    <row r="12058" spans="1:3">
      <c r="A12058" s="131" t="s">
        <v>2557</v>
      </c>
      <c r="B12058" s="132">
        <v>9.1803682530000004E-11</v>
      </c>
      <c r="C12058" s="133"/>
    </row>
    <row r="12059" spans="1:3">
      <c r="A12059" s="131" t="s">
        <v>2558</v>
      </c>
      <c r="B12059" s="132">
        <v>7.6901062860000005E-11</v>
      </c>
      <c r="C12059" s="133"/>
    </row>
    <row r="12060" spans="1:3">
      <c r="A12060" s="131" t="s">
        <v>2559</v>
      </c>
      <c r="B12060" s="132">
        <v>1.7823934959363E-7</v>
      </c>
      <c r="C12060" s="133"/>
    </row>
    <row r="12061" spans="1:3">
      <c r="A12061" s="131" t="s">
        <v>2560</v>
      </c>
      <c r="B12061" s="132">
        <v>7.5619763820000005E-11</v>
      </c>
      <c r="C12061" s="133"/>
    </row>
    <row r="12062" spans="1:3">
      <c r="A12062" s="131" t="s">
        <v>2561</v>
      </c>
      <c r="B12062" s="132">
        <v>7.3659329199999995E-11</v>
      </c>
      <c r="C12062" s="133"/>
    </row>
    <row r="12063" spans="1:3">
      <c r="A12063" s="131" t="s">
        <v>2562</v>
      </c>
      <c r="B12063" s="132">
        <v>1.2112074024E-10</v>
      </c>
      <c r="C12063" s="133"/>
    </row>
    <row r="12064" spans="1:3">
      <c r="A12064" s="131" t="s">
        <v>2563</v>
      </c>
      <c r="B12064" s="132">
        <v>0.48980151504366998</v>
      </c>
      <c r="C12064" s="133"/>
    </row>
    <row r="12065" spans="1:3">
      <c r="A12065" s="131" t="s">
        <v>2564</v>
      </c>
      <c r="B12065" s="132">
        <v>0.21911859027864999</v>
      </c>
      <c r="C12065" s="133"/>
    </row>
    <row r="12066" spans="1:3">
      <c r="A12066" s="131" t="s">
        <v>2565</v>
      </c>
      <c r="B12066" s="132">
        <v>1.4478409564184</v>
      </c>
      <c r="C12066" s="133"/>
    </row>
    <row r="12067" spans="1:3">
      <c r="A12067" s="131" t="s">
        <v>2566</v>
      </c>
      <c r="B12067" s="132">
        <v>4.6701507068984002E-5</v>
      </c>
      <c r="C12067" s="133"/>
    </row>
    <row r="12068" spans="1:3">
      <c r="A12068" s="131" t="s">
        <v>2567</v>
      </c>
      <c r="B12068" s="132">
        <v>7.5546592164891998E-6</v>
      </c>
      <c r="C12068" s="133"/>
    </row>
    <row r="12069" spans="1:3">
      <c r="A12069" s="131" t="s">
        <v>2568</v>
      </c>
      <c r="B12069" s="132">
        <v>1.0005415081217E-2</v>
      </c>
      <c r="C12069" s="133"/>
    </row>
    <row r="12070" spans="1:3">
      <c r="A12070" s="131" t="s">
        <v>2569</v>
      </c>
      <c r="B12070" s="132">
        <v>2.9083460881756999E-4</v>
      </c>
      <c r="C12070" s="133"/>
    </row>
    <row r="12071" spans="1:3">
      <c r="A12071" s="131" t="s">
        <v>2570</v>
      </c>
      <c r="B12071" s="132">
        <v>9.5514608605932998E-6</v>
      </c>
      <c r="C12071" s="133"/>
    </row>
    <row r="12072" spans="1:3">
      <c r="A12072" s="131" t="s">
        <v>2571</v>
      </c>
      <c r="B12072" s="132">
        <v>4.829101479E-11</v>
      </c>
      <c r="C12072" s="133"/>
    </row>
    <row r="12073" spans="1:3">
      <c r="A12073" s="131" t="s">
        <v>2572</v>
      </c>
      <c r="B12073" s="132">
        <v>3.6819927498878999</v>
      </c>
      <c r="C12073" s="133"/>
    </row>
    <row r="12074" spans="1:3">
      <c r="A12074" s="131" t="s">
        <v>2573</v>
      </c>
      <c r="B12074" s="132">
        <v>0.16258474375609</v>
      </c>
      <c r="C12074" s="133"/>
    </row>
    <row r="12075" spans="1:3">
      <c r="A12075" s="131" t="s">
        <v>2574</v>
      </c>
      <c r="B12075" s="132">
        <v>1.2637600979E-9</v>
      </c>
      <c r="C12075" s="133"/>
    </row>
    <row r="12076" spans="1:3">
      <c r="A12076" s="131" t="s">
        <v>2575</v>
      </c>
      <c r="B12076" s="132">
        <v>1.7009205638069E-2</v>
      </c>
      <c r="C12076" s="133"/>
    </row>
    <row r="12077" spans="1:3">
      <c r="A12077" s="131" t="s">
        <v>2576</v>
      </c>
      <c r="B12077" s="132">
        <v>1.2091159250834999E-6</v>
      </c>
      <c r="C12077" s="133"/>
    </row>
    <row r="12078" spans="1:3">
      <c r="A12078" s="131" t="s">
        <v>2577</v>
      </c>
      <c r="B12078" s="132">
        <v>4.7162712867027996E-6</v>
      </c>
      <c r="C12078" s="133"/>
    </row>
    <row r="12079" spans="1:3">
      <c r="A12079" s="131" t="s">
        <v>2578</v>
      </c>
      <c r="B12079" s="132">
        <v>2.3407024172099999E-8</v>
      </c>
      <c r="C12079" s="133"/>
    </row>
    <row r="12080" spans="1:3">
      <c r="A12080" s="131" t="s">
        <v>2579</v>
      </c>
      <c r="B12080" s="132">
        <v>9.2821535493706002E-5</v>
      </c>
      <c r="C12080" s="133"/>
    </row>
    <row r="12081" spans="1:3">
      <c r="A12081" s="131" t="s">
        <v>2580</v>
      </c>
      <c r="B12081" s="132">
        <v>0.92415380196917996</v>
      </c>
      <c r="C12081" s="133"/>
    </row>
    <row r="12082" spans="1:3">
      <c r="A12082" s="131" t="s">
        <v>2581</v>
      </c>
      <c r="B12082" s="132">
        <v>3.5291775290000003E-11</v>
      </c>
      <c r="C12082" s="133"/>
    </row>
    <row r="12083" spans="1:3">
      <c r="A12083" s="131" t="s">
        <v>2582</v>
      </c>
      <c r="B12083" s="132">
        <v>1296.3671330663999</v>
      </c>
      <c r="C12083" s="133"/>
    </row>
    <row r="12084" spans="1:3">
      <c r="A12084" s="131" t="s">
        <v>2583</v>
      </c>
      <c r="B12084" s="132">
        <v>1.11633358794E-9</v>
      </c>
      <c r="C12084" s="133"/>
    </row>
    <row r="12085" spans="1:3">
      <c r="A12085" s="131" t="s">
        <v>2584</v>
      </c>
      <c r="B12085" s="132">
        <v>3.4652384435592914E-11</v>
      </c>
      <c r="C12085" s="133"/>
    </row>
    <row r="12086" spans="1:3">
      <c r="A12086" s="131" t="s">
        <v>2585</v>
      </c>
      <c r="B12086" s="132">
        <v>3.1254992959999997E-11</v>
      </c>
      <c r="C12086" s="133"/>
    </row>
    <row r="12087" spans="1:3">
      <c r="A12087" s="131" t="s">
        <v>2586</v>
      </c>
      <c r="B12087" s="132">
        <v>3.2108155180000001E-11</v>
      </c>
      <c r="C12087" s="133"/>
    </row>
    <row r="12088" spans="1:3">
      <c r="A12088" s="131" t="s">
        <v>2587</v>
      </c>
      <c r="B12088" s="132">
        <v>2.7003319823955999E-2</v>
      </c>
      <c r="C12088" s="133"/>
    </row>
    <row r="12089" spans="1:3">
      <c r="A12089" s="131" t="s">
        <v>2588</v>
      </c>
      <c r="B12089" s="132">
        <v>2.73606606E-11</v>
      </c>
      <c r="C12089" s="133"/>
    </row>
    <row r="12090" spans="1:3">
      <c r="A12090" s="131" t="s">
        <v>2589</v>
      </c>
      <c r="B12090" s="132">
        <v>2.0465309422992001E-5</v>
      </c>
      <c r="C12090" s="133"/>
    </row>
    <row r="12091" spans="1:3">
      <c r="A12091" s="131" t="s">
        <v>2590</v>
      </c>
      <c r="B12091" s="132">
        <v>9.619690261078E-8</v>
      </c>
      <c r="C12091" s="133"/>
    </row>
    <row r="12092" spans="1:3">
      <c r="A12092" s="131" t="s">
        <v>2591</v>
      </c>
      <c r="B12092" s="132">
        <v>1.6176547723897999E-6</v>
      </c>
      <c r="C12092" s="133"/>
    </row>
    <row r="12093" spans="1:3">
      <c r="A12093" s="131" t="s">
        <v>2592</v>
      </c>
      <c r="B12093" s="132">
        <v>1.6095383536996999E-6</v>
      </c>
      <c r="C12093" s="133"/>
    </row>
    <row r="12094" spans="1:3">
      <c r="A12094" s="131" t="s">
        <v>2593</v>
      </c>
      <c r="B12094" s="132">
        <v>0.20011081747883669</v>
      </c>
      <c r="C12094" s="133"/>
    </row>
    <row r="12095" spans="1:3">
      <c r="A12095" s="131" t="s">
        <v>2594</v>
      </c>
      <c r="B12095" s="132">
        <v>1.7399929539999999E-11</v>
      </c>
      <c r="C12095" s="133"/>
    </row>
    <row r="12096" spans="1:3">
      <c r="A12096" s="131" t="s">
        <v>2595</v>
      </c>
      <c r="B12096" s="132">
        <v>1.6109557009999999E-11</v>
      </c>
      <c r="C12096" s="133"/>
    </row>
    <row r="12097" spans="1:3">
      <c r="A12097" s="131" t="s">
        <v>2596</v>
      </c>
      <c r="B12097" s="132">
        <v>3.6350049544121001E-2</v>
      </c>
      <c r="C12097" s="133"/>
    </row>
    <row r="12098" spans="1:3">
      <c r="A12098" s="131" t="s">
        <v>2597</v>
      </c>
      <c r="B12098" s="132">
        <v>1.408182938E-11</v>
      </c>
      <c r="C12098" s="133"/>
    </row>
    <row r="12099" spans="1:3">
      <c r="A12099" s="131" t="s">
        <v>2598</v>
      </c>
      <c r="B12099" s="132">
        <v>1.4045095790000001E-11</v>
      </c>
      <c r="C12099" s="133"/>
    </row>
    <row r="12100" spans="1:3">
      <c r="A12100" s="131" t="s">
        <v>2599</v>
      </c>
      <c r="B12100" s="132">
        <v>5.1567909328593002E-2</v>
      </c>
      <c r="C12100" s="133"/>
    </row>
    <row r="12101" spans="1:3">
      <c r="A12101" s="131" t="s">
        <v>2600</v>
      </c>
      <c r="B12101" s="132">
        <v>1.3687571379999999E-11</v>
      </c>
      <c r="C12101" s="133"/>
    </row>
    <row r="12102" spans="1:3">
      <c r="A12102" s="131" t="s">
        <v>2601</v>
      </c>
      <c r="B12102" s="132">
        <v>1.345439415E-11</v>
      </c>
      <c r="C12102" s="133"/>
    </row>
    <row r="12103" spans="1:3">
      <c r="A12103" s="131" t="s">
        <v>2602</v>
      </c>
      <c r="B12103" s="132">
        <v>1.2113511629999999E-11</v>
      </c>
      <c r="C12103" s="133"/>
    </row>
    <row r="12104" spans="1:3">
      <c r="A12104" s="131" t="s">
        <v>2603</v>
      </c>
      <c r="B12104" s="132">
        <v>1.9607363385193E-5</v>
      </c>
      <c r="C12104" s="133"/>
    </row>
    <row r="12105" spans="1:3">
      <c r="A12105" s="131" t="s">
        <v>2604</v>
      </c>
      <c r="B12105" s="132">
        <v>0.42003013663132999</v>
      </c>
      <c r="C12105" s="133"/>
    </row>
    <row r="12106" spans="1:3">
      <c r="A12106" s="131" t="s">
        <v>2605</v>
      </c>
      <c r="B12106" s="132">
        <v>0.39623127112084</v>
      </c>
      <c r="C12106" s="133"/>
    </row>
    <row r="12107" spans="1:3">
      <c r="A12107" s="131" t="s">
        <v>2606</v>
      </c>
      <c r="B12107" s="132">
        <v>0.89054740084791995</v>
      </c>
      <c r="C12107" s="133"/>
    </row>
    <row r="12108" spans="1:3">
      <c r="A12108" s="131" t="s">
        <v>2607</v>
      </c>
      <c r="B12108" s="132">
        <v>1.0821155229E-10</v>
      </c>
      <c r="C12108" s="133"/>
    </row>
    <row r="12109" spans="1:3">
      <c r="A12109" s="131" t="s">
        <v>2608</v>
      </c>
      <c r="B12109" s="132">
        <v>7.8997801442540842E-12</v>
      </c>
      <c r="C12109" s="133"/>
    </row>
    <row r="12110" spans="1:3">
      <c r="A12110" s="131" t="s">
        <v>2609</v>
      </c>
      <c r="B12110" s="132">
        <v>1.5451529951108E-2</v>
      </c>
      <c r="C12110" s="133"/>
    </row>
    <row r="12111" spans="1:3">
      <c r="A12111" s="131" t="s">
        <v>2610</v>
      </c>
      <c r="B12111" s="132">
        <v>6.7801281500000003E-12</v>
      </c>
      <c r="C12111" s="133"/>
    </row>
    <row r="12112" spans="1:3">
      <c r="A12112" s="131" t="s">
        <v>2611</v>
      </c>
      <c r="B12112" s="132">
        <v>6.37671506E-12</v>
      </c>
      <c r="C12112" s="133"/>
    </row>
    <row r="12113" spans="1:3">
      <c r="A12113" s="131" t="s">
        <v>2612</v>
      </c>
      <c r="B12113" s="132">
        <v>6.3246854599999997E-12</v>
      </c>
      <c r="C12113" s="133"/>
    </row>
    <row r="12114" spans="1:3">
      <c r="A12114" s="131" t="s">
        <v>2613</v>
      </c>
      <c r="B12114" s="132">
        <v>3.6125195379732998E-3</v>
      </c>
      <c r="C12114" s="133"/>
    </row>
    <row r="12115" spans="1:3">
      <c r="A12115" s="131" t="s">
        <v>2614</v>
      </c>
      <c r="B12115" s="132">
        <v>5.7546070929960483E-12</v>
      </c>
      <c r="C12115" s="133"/>
    </row>
    <row r="12116" spans="1:3">
      <c r="A12116" s="131" t="s">
        <v>2615</v>
      </c>
      <c r="B12116" s="132">
        <v>3.5019052838411E-3</v>
      </c>
      <c r="C12116" s="133"/>
    </row>
    <row r="12117" spans="1:3">
      <c r="A12117" s="131" t="s">
        <v>2616</v>
      </c>
      <c r="B12117" s="132">
        <v>1.3307814748355999E-3</v>
      </c>
      <c r="C12117" s="133"/>
    </row>
    <row r="12118" spans="1:3">
      <c r="A12118" s="131" t="s">
        <v>2617</v>
      </c>
      <c r="B12118" s="132">
        <v>2.4013166286977E-2</v>
      </c>
      <c r="C12118" s="133"/>
    </row>
    <row r="12119" spans="1:3">
      <c r="A12119" s="131" t="s">
        <v>2618</v>
      </c>
      <c r="B12119" s="132">
        <v>4.0158500800000004E-12</v>
      </c>
      <c r="C12119" s="133"/>
    </row>
    <row r="12120" spans="1:3">
      <c r="A12120" s="131" t="s">
        <v>2619</v>
      </c>
      <c r="B12120" s="132">
        <v>1.9122713916E-10</v>
      </c>
      <c r="C12120" s="133"/>
    </row>
    <row r="12121" spans="1:3">
      <c r="A12121" s="131" t="s">
        <v>2620</v>
      </c>
      <c r="B12121" s="132">
        <v>1.2007498638968999E-2</v>
      </c>
      <c r="C12121" s="133"/>
    </row>
    <row r="12122" spans="1:3">
      <c r="A12122" s="131" t="s">
        <v>2621</v>
      </c>
      <c r="B12122" s="132">
        <v>2.9185368100000001E-12</v>
      </c>
      <c r="C12122" s="133"/>
    </row>
    <row r="12123" spans="1:3">
      <c r="A12123" s="131" t="s">
        <v>2622</v>
      </c>
      <c r="B12123" s="132">
        <v>2.78784705E-12</v>
      </c>
      <c r="C12123" s="133"/>
    </row>
    <row r="12124" spans="1:3">
      <c r="A12124" s="131" t="s">
        <v>2623</v>
      </c>
      <c r="B12124" s="132">
        <v>8.2493365387353997E-5</v>
      </c>
      <c r="C12124" s="133"/>
    </row>
    <row r="12125" spans="1:3">
      <c r="A12125" s="131" t="s">
        <v>2624</v>
      </c>
      <c r="B12125" s="132">
        <v>6.3458561068549996E-2</v>
      </c>
      <c r="C12125" s="133"/>
    </row>
    <row r="12126" spans="1:3">
      <c r="A12126" s="131" t="s">
        <v>2625</v>
      </c>
      <c r="B12126" s="132">
        <v>8.9341842667110003E-4</v>
      </c>
      <c r="C12126" s="133"/>
    </row>
    <row r="12127" spans="1:3">
      <c r="A12127" s="131" t="s">
        <v>2626</v>
      </c>
      <c r="B12127" s="132">
        <v>1.4052311515633721E-12</v>
      </c>
      <c r="C12127" s="133"/>
    </row>
    <row r="12128" spans="1:3">
      <c r="A12128" s="131" t="s">
        <v>2627</v>
      </c>
      <c r="B12128" s="132">
        <v>1.7263193020784001E-3</v>
      </c>
      <c r="C12128" s="133"/>
    </row>
    <row r="12129" spans="1:3">
      <c r="A12129" s="131" t="s">
        <v>2628</v>
      </c>
      <c r="B12129" s="132">
        <v>1.0826224064454988E-12</v>
      </c>
      <c r="C12129" s="133"/>
    </row>
    <row r="12130" spans="1:3">
      <c r="A12130" s="131" t="s">
        <v>2629</v>
      </c>
      <c r="B12130" s="132">
        <v>6.9313177399999998E-12</v>
      </c>
      <c r="C12130" s="133"/>
    </row>
    <row r="12131" spans="1:3">
      <c r="A12131" s="131" t="s">
        <v>2630</v>
      </c>
      <c r="B12131" s="132">
        <v>4.4348500311578999E-4</v>
      </c>
      <c r="C12131" s="133"/>
    </row>
    <row r="12132" spans="1:3">
      <c r="A12132" s="131" t="s">
        <v>2631</v>
      </c>
      <c r="B12132" s="132">
        <v>9.34189155E-12</v>
      </c>
      <c r="C12132" s="133"/>
    </row>
    <row r="12133" spans="1:3">
      <c r="A12133" s="131" t="s">
        <v>2632</v>
      </c>
      <c r="B12133" s="132">
        <v>5.1077614045667998E-2</v>
      </c>
      <c r="C12133" s="133"/>
    </row>
    <row r="12134" spans="1:3">
      <c r="A12134" s="131" t="s">
        <v>2633</v>
      </c>
      <c r="B12134" s="132">
        <v>4.6596076999999997E-13</v>
      </c>
      <c r="C12134" s="133"/>
    </row>
    <row r="12135" spans="1:3">
      <c r="A12135" s="131" t="s">
        <v>2634</v>
      </c>
      <c r="B12135" s="132">
        <v>6.6708769745740996E-5</v>
      </c>
      <c r="C12135" s="133"/>
    </row>
    <row r="12136" spans="1:3">
      <c r="A12136" s="131" t="s">
        <v>2635</v>
      </c>
      <c r="B12136" s="132">
        <v>8.5436239378512997E-5</v>
      </c>
      <c r="C12136" s="133"/>
    </row>
    <row r="12137" spans="1:3">
      <c r="A12137" s="131" t="s">
        <v>2636</v>
      </c>
      <c r="B12137" s="132">
        <v>1.5102406331779999E-8</v>
      </c>
      <c r="C12137" s="133"/>
    </row>
    <row r="12138" spans="1:3">
      <c r="A12138" s="131" t="s">
        <v>2637</v>
      </c>
      <c r="B12138" s="132">
        <v>1.3295434465600001E-9</v>
      </c>
      <c r="C12138" s="133"/>
    </row>
    <row r="12139" spans="1:3">
      <c r="A12139" s="131" t="s">
        <v>2638</v>
      </c>
      <c r="B12139" s="132">
        <v>1.4908068471012999E-2</v>
      </c>
      <c r="C12139" s="133"/>
    </row>
    <row r="12140" spans="1:3">
      <c r="A12140" s="131" t="s">
        <v>2639</v>
      </c>
      <c r="B12140" s="132">
        <v>3.2422962724666001E-5</v>
      </c>
      <c r="C12140" s="133"/>
    </row>
    <row r="12141" spans="1:3">
      <c r="A12141" s="131" t="s">
        <v>2640</v>
      </c>
      <c r="B12141" s="132">
        <v>6.2842458533903994E-2</v>
      </c>
      <c r="C12141" s="133"/>
    </row>
    <row r="12142" spans="1:3">
      <c r="A12142" s="131" t="s">
        <v>2641</v>
      </c>
      <c r="B12142" s="132">
        <v>6.1610253464611997E-3</v>
      </c>
      <c r="C12142" s="133"/>
    </row>
    <row r="12143" spans="1:3">
      <c r="A12143" s="131" t="s">
        <v>2642</v>
      </c>
      <c r="B12143" s="132">
        <v>3.8547039005000001E-10</v>
      </c>
      <c r="C12143" s="133"/>
    </row>
    <row r="12144" spans="1:3">
      <c r="A12144" s="131" t="s">
        <v>2643</v>
      </c>
      <c r="B12144" s="132">
        <v>1.3322499999999999E-15</v>
      </c>
      <c r="C12144" s="133"/>
    </row>
    <row r="12145" spans="1:3">
      <c r="A12145" s="131" t="s">
        <v>2644</v>
      </c>
      <c r="B12145" s="132">
        <v>5.4099999999999997E-18</v>
      </c>
      <c r="C12145" s="133"/>
    </row>
    <row r="12146" spans="1:3">
      <c r="A12146" s="131" t="s">
        <v>2645</v>
      </c>
      <c r="B12146" s="132">
        <v>2.7100021666666663E-18</v>
      </c>
      <c r="C12146" s="133"/>
    </row>
    <row r="12147" spans="1:3">
      <c r="A12147" s="131" t="s">
        <v>2646</v>
      </c>
      <c r="B12147" s="132">
        <v>4.07</v>
      </c>
      <c r="C12147" s="133"/>
    </row>
    <row r="12148" spans="1:3">
      <c r="A12148" s="131" t="s">
        <v>2647</v>
      </c>
      <c r="B12148" s="132">
        <v>5.27</v>
      </c>
      <c r="C12148" s="133"/>
    </row>
    <row r="12149" spans="1:3">
      <c r="A12149" s="131" t="s">
        <v>2648</v>
      </c>
      <c r="B12149" s="132">
        <v>38.56</v>
      </c>
      <c r="C12149" s="133"/>
    </row>
    <row r="12150" spans="1:3">
      <c r="A12150" s="131" t="s">
        <v>2649</v>
      </c>
      <c r="B12150" s="132">
        <v>1.5650528957154002</v>
      </c>
      <c r="C12150" s="133"/>
    </row>
    <row r="12151" spans="1:3">
      <c r="A12151" s="131" t="s">
        <v>2650</v>
      </c>
      <c r="B12151" s="132">
        <v>1.8114010307061728</v>
      </c>
      <c r="C12151" s="133"/>
    </row>
    <row r="12152" spans="1:3">
      <c r="A12152" s="131" t="s">
        <v>2651</v>
      </c>
      <c r="B12152" s="132">
        <v>0.20282161999999992</v>
      </c>
      <c r="C12152" s="133"/>
    </row>
    <row r="12153" spans="1:3">
      <c r="A12153" s="131" t="s">
        <v>2652</v>
      </c>
      <c r="B12153" s="132">
        <v>0.74266040876752148</v>
      </c>
      <c r="C12153" s="133"/>
    </row>
    <row r="12154" spans="1:3">
      <c r="A12154" s="131" t="s">
        <v>2653</v>
      </c>
      <c r="B12154" s="132">
        <v>12.81</v>
      </c>
      <c r="C12154" s="133"/>
    </row>
    <row r="12155" spans="1:3">
      <c r="A12155" s="131" t="s">
        <v>2654</v>
      </c>
      <c r="B12155" s="132">
        <v>25.66</v>
      </c>
      <c r="C12155" s="133"/>
    </row>
    <row r="12156" spans="1:3">
      <c r="A12156" s="131" t="s">
        <v>2655</v>
      </c>
      <c r="B12156" s="132">
        <v>2.5998637564931967E-2</v>
      </c>
      <c r="C12156" s="133"/>
    </row>
    <row r="12157" spans="1:3">
      <c r="A12157" s="131" t="s">
        <v>2656</v>
      </c>
      <c r="B12157" s="132">
        <v>4.5</v>
      </c>
      <c r="C12157" s="133"/>
    </row>
    <row r="12158" spans="1:3">
      <c r="A12158" s="131" t="s">
        <v>2657</v>
      </c>
      <c r="B12158" s="132">
        <v>11.8</v>
      </c>
      <c r="C12158" s="133"/>
    </row>
    <row r="12159" spans="1:3">
      <c r="A12159" s="131" t="s">
        <v>2658</v>
      </c>
      <c r="B12159" s="132">
        <v>1.9044825647053484E-7</v>
      </c>
      <c r="C12159" s="133"/>
    </row>
    <row r="12160" spans="1:3">
      <c r="A12160" s="131" t="s">
        <v>2659</v>
      </c>
      <c r="B12160" s="132">
        <v>6.4428930607150477E-4</v>
      </c>
      <c r="C12160" s="133"/>
    </row>
    <row r="12161" spans="1:3">
      <c r="A12161" s="131" t="s">
        <v>2660</v>
      </c>
      <c r="B12161" s="132">
        <v>0.41494223063108637</v>
      </c>
      <c r="C12161" s="133"/>
    </row>
    <row r="12162" spans="1:3">
      <c r="A12162" s="131" t="s">
        <v>2661</v>
      </c>
      <c r="B12162" s="132">
        <v>26.85</v>
      </c>
      <c r="C12162" s="133"/>
    </row>
    <row r="12163" spans="1:3">
      <c r="A12163" s="131" t="s">
        <v>2662</v>
      </c>
      <c r="B12163" s="132">
        <v>0.34776787833394374</v>
      </c>
      <c r="C12163" s="133"/>
    </row>
    <row r="12164" spans="1:3">
      <c r="A12164" s="131" t="s">
        <v>2663</v>
      </c>
      <c r="B12164" s="132">
        <v>1.9628434457433748</v>
      </c>
      <c r="C12164" s="133"/>
    </row>
    <row r="12165" spans="1:3">
      <c r="A12165" s="131" t="s">
        <v>2664</v>
      </c>
      <c r="B12165" s="132">
        <v>0.22888963066666665</v>
      </c>
      <c r="C12165" s="133"/>
    </row>
    <row r="12166" spans="1:3">
      <c r="A12166" s="131" t="s">
        <v>2665</v>
      </c>
      <c r="B12166" s="132">
        <v>62.14</v>
      </c>
      <c r="C12166" s="133"/>
    </row>
    <row r="12167" spans="1:3">
      <c r="A12167" s="131" t="s">
        <v>2666</v>
      </c>
      <c r="B12167" s="132">
        <v>1.8831394984749634</v>
      </c>
      <c r="C12167" s="133"/>
    </row>
    <row r="12168" spans="1:3">
      <c r="A12168" s="131" t="s">
        <v>2667</v>
      </c>
      <c r="B12168" s="132">
        <v>3.0171312843262917E-2</v>
      </c>
      <c r="C12168" s="133"/>
    </row>
    <row r="12169" spans="1:3">
      <c r="A12169" s="131" t="s">
        <v>2668</v>
      </c>
      <c r="B12169" s="132">
        <v>7.2396767049285438E-2</v>
      </c>
      <c r="C12169" s="133"/>
    </row>
    <row r="12170" spans="1:3">
      <c r="A12170" s="131" t="s">
        <v>2669</v>
      </c>
      <c r="B12170" s="132">
        <v>39.96</v>
      </c>
      <c r="C12170" s="133"/>
    </row>
    <row r="12171" spans="1:3">
      <c r="A12171" s="131" t="s">
        <v>2670</v>
      </c>
      <c r="B12171" s="132">
        <v>5.0984098856364499E-2</v>
      </c>
      <c r="C12171" s="133"/>
    </row>
    <row r="12172" spans="1:3">
      <c r="A12172" s="131" t="s">
        <v>2671</v>
      </c>
      <c r="B12172" s="132">
        <v>1.3100106435073961E-8</v>
      </c>
      <c r="C12172" s="133"/>
    </row>
    <row r="12173" spans="1:3">
      <c r="A12173" s="131" t="s">
        <v>2672</v>
      </c>
      <c r="B12173" s="132">
        <v>1.5483664628</v>
      </c>
      <c r="C12173" s="133"/>
    </row>
    <row r="12174" spans="1:3">
      <c r="A12174" s="131" t="s">
        <v>2673</v>
      </c>
      <c r="B12174" s="132">
        <v>3.6594031215055044E-10</v>
      </c>
      <c r="C12174" s="133"/>
    </row>
    <row r="12175" spans="1:3">
      <c r="A12175" s="131" t="s">
        <v>2674</v>
      </c>
      <c r="B12175" s="132">
        <v>0.63235813333333335</v>
      </c>
      <c r="C12175" s="133"/>
    </row>
    <row r="12176" spans="1:3">
      <c r="A12176" s="131" t="s">
        <v>2675</v>
      </c>
      <c r="B12176" s="132">
        <v>1.5814438523064529E-2</v>
      </c>
      <c r="C12176" s="133"/>
    </row>
    <row r="12177" spans="1:3">
      <c r="A12177" s="131" t="s">
        <v>2676</v>
      </c>
      <c r="B12177" s="132">
        <v>1.4373103726753818</v>
      </c>
      <c r="C12177" s="133"/>
    </row>
    <row r="12178" spans="1:3">
      <c r="A12178" s="131" t="s">
        <v>2677</v>
      </c>
      <c r="B12178" s="132">
        <v>2.04</v>
      </c>
      <c r="C12178" s="133"/>
    </row>
    <row r="12179" spans="1:3">
      <c r="A12179" s="131" t="s">
        <v>2678</v>
      </c>
      <c r="B12179" s="132">
        <v>8.6805431536606937E-9</v>
      </c>
      <c r="C12179" s="133"/>
    </row>
    <row r="12180" spans="1:3">
      <c r="A12180" s="131" t="s">
        <v>2679</v>
      </c>
      <c r="B12180" s="132">
        <v>0.44204290542293051</v>
      </c>
      <c r="C12180" s="133"/>
    </row>
    <row r="12181" spans="1:3">
      <c r="A12181" s="131" t="s">
        <v>2680</v>
      </c>
      <c r="B12181" s="132">
        <v>0.22736385300648887</v>
      </c>
      <c r="C12181" s="133"/>
    </row>
    <row r="12182" spans="1:3">
      <c r="A12182" s="131" t="s">
        <v>2681</v>
      </c>
      <c r="B12182" s="132">
        <v>2.33</v>
      </c>
      <c r="C12182" s="133"/>
    </row>
    <row r="12183" spans="1:3">
      <c r="A12183" s="131" t="s">
        <v>2682</v>
      </c>
      <c r="B12183" s="132">
        <v>1.8589224549274107E-2</v>
      </c>
      <c r="C12183" s="133"/>
    </row>
    <row r="12184" spans="1:3">
      <c r="A12184" s="131" t="s">
        <v>2683</v>
      </c>
      <c r="B12184" s="132">
        <v>5.8448689168902555E-9</v>
      </c>
      <c r="C12184" s="133"/>
    </row>
    <row r="12185" spans="1:3">
      <c r="A12185" s="131" t="s">
        <v>2684</v>
      </c>
      <c r="B12185" s="132">
        <v>4.01</v>
      </c>
      <c r="C12185" s="133"/>
    </row>
    <row r="12186" spans="1:3">
      <c r="A12186" s="131" t="s">
        <v>2685</v>
      </c>
      <c r="B12186" s="132">
        <v>3.89</v>
      </c>
      <c r="C12186" s="133"/>
    </row>
    <row r="12187" spans="1:3">
      <c r="A12187" s="131" t="s">
        <v>2686</v>
      </c>
      <c r="B12187" s="132">
        <v>5.6388284922985754E-3</v>
      </c>
      <c r="C12187" s="133"/>
    </row>
    <row r="12188" spans="1:3">
      <c r="A12188" s="131" t="s">
        <v>2687</v>
      </c>
      <c r="B12188" s="132">
        <v>8.2893102943687944E-3</v>
      </c>
      <c r="C12188" s="133"/>
    </row>
    <row r="12189" spans="1:3">
      <c r="A12189" s="131" t="s">
        <v>2688</v>
      </c>
      <c r="B12189" s="132">
        <v>5.1674586464050256E-3</v>
      </c>
      <c r="C12189" s="133"/>
    </row>
    <row r="12190" spans="1:3">
      <c r="A12190" s="131" t="s">
        <v>2689</v>
      </c>
      <c r="B12190" s="132">
        <v>3.21</v>
      </c>
      <c r="C12190" s="133"/>
    </row>
    <row r="12191" spans="1:3">
      <c r="A12191" s="131" t="s">
        <v>2690</v>
      </c>
      <c r="B12191" s="132">
        <v>0.16628955668584808</v>
      </c>
      <c r="C12191" s="133"/>
    </row>
    <row r="12192" spans="1:3">
      <c r="A12192" s="131" t="s">
        <v>2691</v>
      </c>
      <c r="B12192" s="132">
        <v>4.4662488754997579E-2</v>
      </c>
      <c r="C12192" s="133"/>
    </row>
    <row r="12193" spans="1:3">
      <c r="A12193" s="131" t="s">
        <v>2692</v>
      </c>
      <c r="B12193" s="132">
        <v>6.6945497484647938E-3</v>
      </c>
      <c r="C12193" s="133"/>
    </row>
    <row r="12194" spans="1:3">
      <c r="A12194" s="131" t="s">
        <v>2693</v>
      </c>
      <c r="B12194" s="132">
        <v>2.1558613233985916E-4</v>
      </c>
      <c r="C12194" s="133"/>
    </row>
    <row r="12195" spans="1:3">
      <c r="A12195" s="131" t="s">
        <v>2694</v>
      </c>
      <c r="B12195" s="132">
        <v>1.2680603544701968E-3</v>
      </c>
      <c r="C12195" s="133"/>
    </row>
    <row r="12196" spans="1:3">
      <c r="A12196" s="131" t="s">
        <v>2695</v>
      </c>
      <c r="B12196" s="132">
        <v>4.0002655333333331E-2</v>
      </c>
      <c r="C12196" s="133"/>
    </row>
    <row r="12197" spans="1:3">
      <c r="A12197" s="131" t="s">
        <v>2696</v>
      </c>
      <c r="B12197" s="132">
        <v>2.2819000150775537E-5</v>
      </c>
      <c r="C12197" s="133"/>
    </row>
    <row r="12198" spans="1:3">
      <c r="A12198" s="131" t="s">
        <v>2697</v>
      </c>
      <c r="B12198" s="132">
        <v>4.9250197931018384E-4</v>
      </c>
      <c r="C12198" s="133"/>
    </row>
    <row r="12199" spans="1:3">
      <c r="A12199" s="131" t="s">
        <v>2698</v>
      </c>
      <c r="B12199" s="132">
        <v>4.03</v>
      </c>
      <c r="C12199" s="133"/>
    </row>
    <row r="12200" spans="1:3">
      <c r="A12200" s="131" t="s">
        <v>2699</v>
      </c>
      <c r="B12200" s="132">
        <v>3.9867684028117734E-3</v>
      </c>
      <c r="C12200" s="133"/>
    </row>
    <row r="12201" spans="1:3">
      <c r="A12201" s="131" t="s">
        <v>2700</v>
      </c>
      <c r="B12201" s="132">
        <v>5.047137314727924E-6</v>
      </c>
      <c r="C12201" s="133"/>
    </row>
    <row r="12202" spans="1:3">
      <c r="A12202" s="131" t="s">
        <v>2701</v>
      </c>
      <c r="B12202" s="132">
        <v>1.1601573751038376E-2</v>
      </c>
      <c r="C12202" s="133"/>
    </row>
    <row r="12203" spans="1:3">
      <c r="A12203" s="131" t="s">
        <v>2702</v>
      </c>
      <c r="B12203" s="132">
        <v>10.45</v>
      </c>
      <c r="C12203" s="133"/>
    </row>
    <row r="12204" spans="1:3">
      <c r="A12204" s="131" t="s">
        <v>2703</v>
      </c>
      <c r="B12204" s="132">
        <v>2.511506000000012E-6</v>
      </c>
      <c r="C12204" s="133"/>
    </row>
    <row r="12205" spans="1:3">
      <c r="A12205" s="131" t="s">
        <v>2704</v>
      </c>
      <c r="B12205" s="132">
        <v>0.11780703732141033</v>
      </c>
      <c r="C12205" s="133"/>
    </row>
    <row r="12206" spans="1:3">
      <c r="A12206" s="131" t="s">
        <v>2705</v>
      </c>
      <c r="B12206" s="132">
        <v>1.24732987574845E-3</v>
      </c>
      <c r="C12206" s="133"/>
    </row>
    <row r="12207" spans="1:3">
      <c r="A12207" s="131" t="s">
        <v>2706</v>
      </c>
      <c r="B12207" s="132">
        <v>1.1661040971614711</v>
      </c>
      <c r="C12207" s="133"/>
    </row>
    <row r="12208" spans="1:3">
      <c r="A12208" s="131" t="s">
        <v>2707</v>
      </c>
      <c r="B12208" s="132">
        <v>34.049999999999997</v>
      </c>
      <c r="C12208" s="133"/>
    </row>
    <row r="12209" spans="1:3">
      <c r="A12209" s="131" t="s">
        <v>2708</v>
      </c>
      <c r="B12209" s="132">
        <v>0.56279207529304653</v>
      </c>
      <c r="C12209" s="133"/>
    </row>
    <row r="12210" spans="1:3">
      <c r="A12210" s="131" t="s">
        <v>2709</v>
      </c>
      <c r="B12210" s="132">
        <v>5.0076593577403818E-3</v>
      </c>
      <c r="C12210" s="133"/>
    </row>
    <row r="12211" spans="1:3">
      <c r="A12211" s="131" t="s">
        <v>2710</v>
      </c>
      <c r="B12211" s="132">
        <v>14.84</v>
      </c>
      <c r="C12211" s="133"/>
    </row>
    <row r="12212" spans="1:3">
      <c r="A12212" s="131" t="s">
        <v>2711</v>
      </c>
      <c r="B12212" s="132">
        <v>7.9765516214165052E-3</v>
      </c>
      <c r="C12212" s="133"/>
    </row>
    <row r="12213" spans="1:3">
      <c r="A12213" s="131" t="s">
        <v>2712</v>
      </c>
      <c r="B12213" s="132">
        <v>8.5500000000000007</v>
      </c>
      <c r="C12213" s="133"/>
    </row>
    <row r="12214" spans="1:3">
      <c r="A12214" s="131" t="s">
        <v>2713</v>
      </c>
      <c r="B12214" s="132">
        <v>2.56</v>
      </c>
      <c r="C12214" s="133"/>
    </row>
    <row r="12215" spans="1:3">
      <c r="A12215" s="131" t="s">
        <v>2714</v>
      </c>
      <c r="B12215" s="132">
        <v>0.47870937935316793</v>
      </c>
      <c r="C12215" s="133"/>
    </row>
    <row r="12216" spans="1:3">
      <c r="A12216" s="131" t="s">
        <v>2715</v>
      </c>
      <c r="B12216" s="132">
        <v>1.1029413419862957E-6</v>
      </c>
      <c r="C12216" s="133"/>
    </row>
    <row r="12217" spans="1:3">
      <c r="A12217" s="131" t="s">
        <v>2716</v>
      </c>
      <c r="B12217" s="132">
        <v>8.33</v>
      </c>
      <c r="C12217" s="133"/>
    </row>
    <row r="12218" spans="1:3">
      <c r="A12218" s="131" t="s">
        <v>2717</v>
      </c>
      <c r="B12218" s="132">
        <v>2.1974853229533577E-8</v>
      </c>
      <c r="C12218" s="133"/>
    </row>
    <row r="12219" spans="1:3">
      <c r="A12219" s="131" t="s">
        <v>2718</v>
      </c>
      <c r="B12219" s="132">
        <v>1.4792013442720886</v>
      </c>
      <c r="C12219" s="133"/>
    </row>
    <row r="12220" spans="1:3">
      <c r="A12220" s="131" t="s">
        <v>2719</v>
      </c>
      <c r="B12220" s="132">
        <v>1.1163263167599533</v>
      </c>
      <c r="C12220" s="133"/>
    </row>
    <row r="12221" spans="1:3">
      <c r="A12221" s="131" t="s">
        <v>2720</v>
      </c>
      <c r="B12221" s="132">
        <v>0.15064844179577608</v>
      </c>
      <c r="C12221" s="133"/>
    </row>
    <row r="12222" spans="1:3">
      <c r="A12222" s="131" t="s">
        <v>2721</v>
      </c>
      <c r="B12222" s="132">
        <v>0.69637154786681355</v>
      </c>
      <c r="C12222" s="133"/>
    </row>
    <row r="12223" spans="1:3">
      <c r="A12223" s="131" t="s">
        <v>2722</v>
      </c>
      <c r="B12223" s="132">
        <v>4.2930429401725817E-3</v>
      </c>
      <c r="C12223" s="133"/>
    </row>
    <row r="12224" spans="1:3">
      <c r="A12224" s="131" t="s">
        <v>2723</v>
      </c>
      <c r="B12224" s="132">
        <v>13.35</v>
      </c>
      <c r="C12224" s="133"/>
    </row>
    <row r="12225" spans="1:3">
      <c r="A12225" s="131" t="s">
        <v>2724</v>
      </c>
      <c r="B12225" s="132">
        <v>216.37</v>
      </c>
      <c r="C12225" s="133"/>
    </row>
    <row r="12226" spans="1:3">
      <c r="A12226" s="131" t="s">
        <v>2725</v>
      </c>
      <c r="B12226" s="132">
        <v>2.3199999999999998</v>
      </c>
      <c r="C12226" s="133"/>
    </row>
    <row r="12227" spans="1:3">
      <c r="A12227" s="131" t="s">
        <v>2726</v>
      </c>
      <c r="B12227" s="132">
        <v>9.8842687999999988E-5</v>
      </c>
      <c r="C12227" s="133"/>
    </row>
    <row r="12228" spans="1:3">
      <c r="A12228" s="131" t="s">
        <v>2727</v>
      </c>
      <c r="B12228" s="132">
        <v>2.0009332199999997E-4</v>
      </c>
      <c r="C12228" s="133"/>
    </row>
    <row r="12229" spans="1:3">
      <c r="A12229" s="131" t="s">
        <v>2728</v>
      </c>
      <c r="B12229" s="132">
        <v>0.59558275586410658</v>
      </c>
      <c r="C12229" s="133"/>
    </row>
    <row r="12230" spans="1:3">
      <c r="A12230" s="131" t="s">
        <v>2729</v>
      </c>
      <c r="B12230" s="132">
        <v>5.4898637606691468E-2</v>
      </c>
      <c r="C12230" s="133"/>
    </row>
    <row r="12231" spans="1:3">
      <c r="A12231" s="131" t="s">
        <v>2730</v>
      </c>
      <c r="B12231" s="132">
        <v>4.4999100000000441E-5</v>
      </c>
      <c r="C12231" s="133"/>
    </row>
    <row r="12232" spans="1:3">
      <c r="A12232" s="131" t="s">
        <v>2731</v>
      </c>
      <c r="B12232" s="132">
        <v>3.9876561058377006E-3</v>
      </c>
      <c r="C12232" s="133"/>
    </row>
    <row r="12233" spans="1:3">
      <c r="A12233" s="131" t="s">
        <v>2732</v>
      </c>
      <c r="B12233" s="132">
        <v>5.0214999646414071E-5</v>
      </c>
      <c r="C12233" s="133"/>
    </row>
    <row r="12234" spans="1:3">
      <c r="A12234" s="131" t="s">
        <v>2733</v>
      </c>
      <c r="B12234" s="132">
        <v>0.29040548658120413</v>
      </c>
      <c r="C12234" s="133"/>
    </row>
    <row r="12235" spans="1:3">
      <c r="A12235" s="131" t="s">
        <v>2734</v>
      </c>
      <c r="B12235" s="132">
        <v>0.9981947783826095</v>
      </c>
      <c r="C12235" s="133"/>
    </row>
    <row r="12236" spans="1:3">
      <c r="A12236" s="131" t="s">
        <v>2735</v>
      </c>
      <c r="B12236" s="132">
        <v>0.36057037632012284</v>
      </c>
      <c r="C12236" s="133"/>
    </row>
    <row r="12237" spans="1:3">
      <c r="A12237" s="131" t="s">
        <v>2736</v>
      </c>
      <c r="B12237" s="132">
        <v>3.4067605477930703E-10</v>
      </c>
      <c r="C12237" s="133"/>
    </row>
    <row r="12238" spans="1:3">
      <c r="A12238" s="131" t="s">
        <v>2737</v>
      </c>
      <c r="B12238" s="132">
        <v>4.0506866754786139E-2</v>
      </c>
      <c r="C12238" s="133"/>
    </row>
    <row r="12239" spans="1:3">
      <c r="A12239" s="131" t="s">
        <v>2738</v>
      </c>
      <c r="B12239" s="132">
        <v>2.2579753333835779E-2</v>
      </c>
      <c r="C12239" s="133"/>
    </row>
    <row r="12240" spans="1:3">
      <c r="A12240" s="131" t="s">
        <v>2739</v>
      </c>
      <c r="B12240" s="132">
        <v>6.3026863771343575E-2</v>
      </c>
      <c r="C12240" s="133"/>
    </row>
    <row r="12241" spans="1:3">
      <c r="A12241" s="131" t="s">
        <v>2740</v>
      </c>
      <c r="B12241" s="132">
        <v>0.22890068081526824</v>
      </c>
      <c r="C12241" s="133"/>
    </row>
    <row r="12242" spans="1:3">
      <c r="A12242" s="131" t="s">
        <v>2741</v>
      </c>
      <c r="B12242" s="132">
        <v>2.5647480448962294E-10</v>
      </c>
      <c r="C12242" s="133"/>
    </row>
    <row r="12243" spans="1:3">
      <c r="A12243" s="131" t="s">
        <v>2742</v>
      </c>
      <c r="B12243" s="132">
        <v>0.19527708068763086</v>
      </c>
      <c r="C12243" s="133"/>
    </row>
    <row r="12244" spans="1:3">
      <c r="A12244" s="131" t="s">
        <v>2743</v>
      </c>
      <c r="B12244" s="132">
        <v>5.8434221380934655E-3</v>
      </c>
      <c r="C12244" s="133"/>
    </row>
    <row r="12245" spans="1:3">
      <c r="A12245" s="131" t="s">
        <v>2744</v>
      </c>
      <c r="B12245" s="132">
        <v>4.41</v>
      </c>
      <c r="C12245" s="133"/>
    </row>
    <row r="12246" spans="1:3">
      <c r="A12246" s="131" t="s">
        <v>2745</v>
      </c>
      <c r="B12246" s="132">
        <v>2179.4499999999998</v>
      </c>
      <c r="C12246" s="133"/>
    </row>
    <row r="12247" spans="1:3">
      <c r="A12247" s="131" t="s">
        <v>2746</v>
      </c>
      <c r="B12247" s="132">
        <v>1.256557387509732</v>
      </c>
      <c r="C12247" s="133"/>
    </row>
    <row r="12248" spans="1:3">
      <c r="A12248" s="131" t="s">
        <v>2747</v>
      </c>
      <c r="B12248" s="132">
        <v>0.2424708315907379</v>
      </c>
      <c r="C12248" s="133"/>
    </row>
    <row r="12249" spans="1:3">
      <c r="A12249" s="131" t="s">
        <v>2748</v>
      </c>
      <c r="B12249" s="132">
        <v>0.15029469616690536</v>
      </c>
      <c r="C12249" s="133"/>
    </row>
    <row r="12250" spans="1:3">
      <c r="A12250" s="131" t="s">
        <v>2749</v>
      </c>
      <c r="B12250" s="132">
        <v>3.8567592818847786E-2</v>
      </c>
      <c r="C12250" s="133"/>
    </row>
    <row r="12251" spans="1:3">
      <c r="A12251" s="131" t="s">
        <v>2750</v>
      </c>
      <c r="B12251" s="132">
        <v>1.2567999999999999E-2</v>
      </c>
      <c r="C12251" s="133"/>
    </row>
    <row r="12252" spans="1:3">
      <c r="A12252" s="131" t="s">
        <v>2751</v>
      </c>
      <c r="B12252" s="132">
        <v>1.4761062265982667E-2</v>
      </c>
      <c r="C12252" s="133"/>
    </row>
    <row r="12253" spans="1:3">
      <c r="A12253" s="131" t="s">
        <v>2752</v>
      </c>
      <c r="B12253" s="132">
        <v>1.1104526851089239E-9</v>
      </c>
      <c r="C12253" s="133"/>
    </row>
    <row r="12254" spans="1:3">
      <c r="A12254" s="131" t="s">
        <v>2753</v>
      </c>
      <c r="B12254" s="132">
        <v>2.7729898096417213E-10</v>
      </c>
      <c r="C12254" s="133"/>
    </row>
    <row r="12255" spans="1:3">
      <c r="A12255" s="131" t="s">
        <v>2754</v>
      </c>
      <c r="B12255" s="132">
        <v>4.26</v>
      </c>
      <c r="C12255" s="133"/>
    </row>
    <row r="12256" spans="1:3">
      <c r="A12256" s="131" t="s">
        <v>2755</v>
      </c>
      <c r="B12256" s="132">
        <v>0.17673848870132386</v>
      </c>
      <c r="C12256" s="133"/>
    </row>
    <row r="12257" spans="1:3">
      <c r="A12257" s="131" t="s">
        <v>2756</v>
      </c>
      <c r="B12257" s="132">
        <v>7.8509019292663106E-5</v>
      </c>
      <c r="C12257" s="133"/>
    </row>
    <row r="12258" spans="1:3">
      <c r="A12258" s="131" t="s">
        <v>2757</v>
      </c>
      <c r="B12258" s="132">
        <v>6.1590389280698222E-6</v>
      </c>
      <c r="C12258" s="133"/>
    </row>
    <row r="12259" spans="1:3">
      <c r="A12259" s="131" t="s">
        <v>2758</v>
      </c>
      <c r="B12259" s="132">
        <v>1.8232972980069073E-3</v>
      </c>
      <c r="C12259" s="133"/>
    </row>
    <row r="12260" spans="1:3">
      <c r="A12260" s="131" t="s">
        <v>2759</v>
      </c>
      <c r="B12260" s="132">
        <v>8.8345978138260686E-12</v>
      </c>
      <c r="C12260" s="133"/>
    </row>
    <row r="12261" spans="1:3">
      <c r="A12261" s="131" t="s">
        <v>2760</v>
      </c>
      <c r="B12261" s="132">
        <v>4.160186012870478E-2</v>
      </c>
      <c r="C12261" s="133"/>
    </row>
    <row r="12262" spans="1:3">
      <c r="A12262" s="131" t="s">
        <v>2761</v>
      </c>
      <c r="B12262" s="132">
        <v>26.86</v>
      </c>
      <c r="C12262" s="133"/>
    </row>
    <row r="12263" spans="1:3">
      <c r="A12263" s="131" t="s">
        <v>2762</v>
      </c>
      <c r="B12263" s="132">
        <v>363.17</v>
      </c>
      <c r="C12263" s="133"/>
    </row>
    <row r="12264" spans="1:3">
      <c r="A12264" s="131" t="s">
        <v>2763</v>
      </c>
      <c r="B12264" s="132">
        <v>2.34</v>
      </c>
      <c r="C12264" s="133"/>
    </row>
    <row r="12265" spans="1:3">
      <c r="A12265" s="131" t="s">
        <v>2764</v>
      </c>
      <c r="B12265" s="132">
        <v>6.8038533333334138E-8</v>
      </c>
      <c r="C12265" s="133"/>
    </row>
    <row r="12266" spans="1:3">
      <c r="A12266" s="131" t="s">
        <v>2765</v>
      </c>
      <c r="B12266" s="132">
        <v>0.4286729130896193</v>
      </c>
      <c r="C12266" s="133"/>
    </row>
    <row r="12267" spans="1:3">
      <c r="A12267" s="131" t="s">
        <v>2766</v>
      </c>
      <c r="B12267" s="132">
        <v>9.956301666666667E-2</v>
      </c>
      <c r="C12267" s="133"/>
    </row>
    <row r="12268" spans="1:3">
      <c r="A12268" s="131" t="s">
        <v>2767</v>
      </c>
      <c r="B12268" s="132">
        <v>2</v>
      </c>
      <c r="C12268" s="133"/>
    </row>
    <row r="12269" spans="1:3">
      <c r="A12269" s="131" t="s">
        <v>2768</v>
      </c>
      <c r="B12269" s="132">
        <v>26.18</v>
      </c>
      <c r="C12269" s="133"/>
    </row>
    <row r="12270" spans="1:3">
      <c r="A12270" s="131" t="s">
        <v>2769</v>
      </c>
      <c r="B12270" s="132">
        <v>2.167490758810462E-6</v>
      </c>
      <c r="C12270" s="133"/>
    </row>
    <row r="12271" spans="1:3">
      <c r="A12271" s="131" t="s">
        <v>2770</v>
      </c>
      <c r="B12271" s="132">
        <v>3.0603087406076066E-2</v>
      </c>
      <c r="C12271" s="133"/>
    </row>
    <row r="12272" spans="1:3">
      <c r="A12272" s="131" t="s">
        <v>2771</v>
      </c>
      <c r="B12272" s="132">
        <v>0.20336546591581781</v>
      </c>
      <c r="C12272" s="133"/>
    </row>
    <row r="12273" spans="1:3">
      <c r="A12273" s="131" t="s">
        <v>2772</v>
      </c>
      <c r="B12273" s="132">
        <v>0.25719574851253746</v>
      </c>
      <c r="C12273" s="133"/>
    </row>
    <row r="12274" spans="1:3">
      <c r="A12274" s="131" t="s">
        <v>2773</v>
      </c>
      <c r="B12274" s="132">
        <v>0.11746714245024056</v>
      </c>
      <c r="C12274" s="133"/>
    </row>
    <row r="12275" spans="1:3">
      <c r="A12275" s="131" t="s">
        <v>2774</v>
      </c>
      <c r="B12275" s="132">
        <v>7.13</v>
      </c>
      <c r="C12275" s="133"/>
    </row>
    <row r="12276" spans="1:3">
      <c r="A12276" s="131" t="s">
        <v>2775</v>
      </c>
      <c r="B12276" s="132">
        <v>2.4708731561251143E-3</v>
      </c>
      <c r="C12276" s="133"/>
    </row>
    <row r="12277" spans="1:3">
      <c r="A12277" s="131" t="s">
        <v>2776</v>
      </c>
      <c r="B12277" s="132">
        <v>4.953153346622452E-2</v>
      </c>
      <c r="C12277" s="133"/>
    </row>
    <row r="12278" spans="1:3">
      <c r="A12278" s="131" t="s">
        <v>2777</v>
      </c>
      <c r="B12278" s="132">
        <v>0.33750795709359593</v>
      </c>
      <c r="C12278" s="133"/>
    </row>
    <row r="12279" spans="1:3">
      <c r="A12279" s="131" t="s">
        <v>2778</v>
      </c>
      <c r="B12279" s="132">
        <v>5.1577006646035825E-3</v>
      </c>
      <c r="C12279" s="133"/>
    </row>
    <row r="12280" spans="1:3">
      <c r="A12280" s="131" t="s">
        <v>2779</v>
      </c>
      <c r="B12280" s="132">
        <v>251.95</v>
      </c>
      <c r="C12280" s="133"/>
    </row>
    <row r="12281" spans="1:3">
      <c r="A12281" s="131" t="s">
        <v>2780</v>
      </c>
      <c r="B12281" s="132">
        <v>0.33075637208038611</v>
      </c>
      <c r="C12281" s="133"/>
    </row>
    <row r="12282" spans="1:3">
      <c r="A12282" s="131" t="s">
        <v>2781</v>
      </c>
      <c r="B12282" s="132">
        <v>326599</v>
      </c>
      <c r="C12282" s="133"/>
    </row>
    <row r="12283" spans="1:3">
      <c r="A12283" s="131" t="s">
        <v>2782</v>
      </c>
      <c r="B12283" s="132">
        <v>9.9824888863777467E-3</v>
      </c>
      <c r="C12283" s="133"/>
    </row>
    <row r="12284" spans="1:3">
      <c r="A12284" s="131" t="s">
        <v>2783</v>
      </c>
      <c r="B12284" s="132">
        <v>6.312478680864409E-3</v>
      </c>
      <c r="C12284" s="133"/>
    </row>
    <row r="12285" spans="1:3">
      <c r="A12285" s="131" t="s">
        <v>2784</v>
      </c>
      <c r="B12285" s="132">
        <v>0.16344928577862003</v>
      </c>
      <c r="C12285" s="133"/>
    </row>
    <row r="12286" spans="1:3">
      <c r="A12286" s="131" t="s">
        <v>2785</v>
      </c>
      <c r="B12286" s="132">
        <v>4.1637894261176926E-3</v>
      </c>
      <c r="C12286" s="133"/>
    </row>
    <row r="12287" spans="1:3">
      <c r="A12287" s="131" t="s">
        <v>2786</v>
      </c>
      <c r="B12287" s="132">
        <v>1.6264097518504425E-2</v>
      </c>
      <c r="C12287" s="133"/>
    </row>
    <row r="12288" spans="1:3">
      <c r="A12288" s="131" t="s">
        <v>2787</v>
      </c>
      <c r="B12288" s="132">
        <v>9.4465248464460638E-2</v>
      </c>
      <c r="C12288" s="133"/>
    </row>
    <row r="12289" spans="1:3">
      <c r="A12289" s="131" t="s">
        <v>2788</v>
      </c>
      <c r="B12289" s="132">
        <v>2.4284187414459219E-2</v>
      </c>
      <c r="C12289" s="133"/>
    </row>
    <row r="12290" spans="1:3">
      <c r="A12290" s="131" t="s">
        <v>2789</v>
      </c>
      <c r="B12290" s="132">
        <v>7.7115041279999978E-8</v>
      </c>
      <c r="C12290" s="133"/>
    </row>
    <row r="12291" spans="1:3">
      <c r="A12291" s="131" t="s">
        <v>2790</v>
      </c>
      <c r="B12291" s="132">
        <v>113411</v>
      </c>
      <c r="C12291" s="133"/>
    </row>
    <row r="12292" spans="1:3">
      <c r="A12292" s="131" t="s">
        <v>2791</v>
      </c>
      <c r="B12292" s="132">
        <v>32.56</v>
      </c>
      <c r="C12292" s="133"/>
    </row>
    <row r="12293" spans="1:3">
      <c r="A12293" s="131" t="s">
        <v>2792</v>
      </c>
      <c r="B12293" s="132">
        <v>4.7080383378302046E-2</v>
      </c>
      <c r="C12293" s="133"/>
    </row>
    <row r="12294" spans="1:3">
      <c r="A12294" s="131" t="s">
        <v>2793</v>
      </c>
      <c r="B12294" s="132">
        <v>2.66</v>
      </c>
      <c r="C12294" s="133"/>
    </row>
    <row r="12295" spans="1:3">
      <c r="A12295" s="131" t="s">
        <v>2794</v>
      </c>
      <c r="B12295" s="132">
        <v>1.3023399515077472E-3</v>
      </c>
      <c r="C12295" s="133"/>
    </row>
    <row r="12296" spans="1:3">
      <c r="A12296" s="131" t="s">
        <v>2795</v>
      </c>
      <c r="B12296" s="132">
        <v>0.30071463532144854</v>
      </c>
      <c r="C12296" s="133"/>
    </row>
    <row r="12297" spans="1:3">
      <c r="A12297" s="131" t="s">
        <v>2796</v>
      </c>
      <c r="B12297" s="132">
        <v>0.58026083938840023</v>
      </c>
      <c r="C12297" s="133"/>
    </row>
    <row r="12298" spans="1:3">
      <c r="A12298" s="131" t="s">
        <v>2797</v>
      </c>
      <c r="B12298" s="132">
        <v>1.6502226666739665E-2</v>
      </c>
      <c r="C12298" s="133"/>
    </row>
    <row r="12299" spans="1:3">
      <c r="A12299" s="131" t="s">
        <v>2798</v>
      </c>
      <c r="B12299" s="132">
        <v>6.4794907600001855E-4</v>
      </c>
      <c r="C12299" s="133"/>
    </row>
    <row r="12300" spans="1:3">
      <c r="A12300" s="131" t="s">
        <v>2799</v>
      </c>
      <c r="B12300" s="132">
        <v>1.9873101390727468</v>
      </c>
      <c r="C12300" s="133"/>
    </row>
    <row r="12301" spans="1:3">
      <c r="A12301" s="131" t="s">
        <v>2800</v>
      </c>
      <c r="B12301" s="132">
        <v>3.3022841824000317E-2</v>
      </c>
      <c r="C12301" s="133"/>
    </row>
    <row r="12302" spans="1:3">
      <c r="A12302" s="131" t="s">
        <v>2801</v>
      </c>
      <c r="B12302" s="132">
        <v>6.4662945107189368E-2</v>
      </c>
      <c r="C12302" s="133"/>
    </row>
    <row r="12303" spans="1:3">
      <c r="A12303" s="131" t="s">
        <v>2802</v>
      </c>
      <c r="B12303" s="132">
        <v>199.03</v>
      </c>
      <c r="C12303" s="133"/>
    </row>
    <row r="12304" spans="1:3">
      <c r="A12304" s="131" t="s">
        <v>2803</v>
      </c>
      <c r="B12304" s="132">
        <v>0.38762882310513352</v>
      </c>
      <c r="C12304" s="133"/>
    </row>
    <row r="12305" spans="1:3">
      <c r="A12305" s="131" t="s">
        <v>2804</v>
      </c>
      <c r="B12305" s="132">
        <v>0.38775189087799439</v>
      </c>
      <c r="C12305" s="133"/>
    </row>
    <row r="12306" spans="1:3">
      <c r="A12306" s="131" t="s">
        <v>2805</v>
      </c>
      <c r="B12306" s="132">
        <v>0.14204693487173017</v>
      </c>
      <c r="C12306" s="133"/>
    </row>
    <row r="12307" spans="1:3">
      <c r="A12307" s="131" t="s">
        <v>2806</v>
      </c>
      <c r="B12307" s="132">
        <v>0.19590854467137447</v>
      </c>
      <c r="C12307" s="133"/>
    </row>
    <row r="12308" spans="1:3">
      <c r="A12308" s="131" t="s">
        <v>2807</v>
      </c>
      <c r="B12308" s="132">
        <v>1.6181406061021442</v>
      </c>
      <c r="C12308" s="133"/>
    </row>
    <row r="12309" spans="1:3">
      <c r="A12309" s="131" t="s">
        <v>2808</v>
      </c>
      <c r="B12309" s="132">
        <v>0.51122513812591275</v>
      </c>
      <c r="C12309" s="133"/>
    </row>
    <row r="12310" spans="1:3">
      <c r="A12310" s="131" t="s">
        <v>2809</v>
      </c>
      <c r="B12310" s="132">
        <v>6.2209557835629887E-10</v>
      </c>
      <c r="C12310" s="133"/>
    </row>
    <row r="12311" spans="1:3">
      <c r="A12311" s="131" t="s">
        <v>2810</v>
      </c>
      <c r="B12311" s="132">
        <v>1.4408639999999999E-6</v>
      </c>
      <c r="C12311" s="133"/>
    </row>
    <row r="12312" spans="1:3">
      <c r="A12312" s="131" t="s">
        <v>2811</v>
      </c>
      <c r="B12312" s="132">
        <v>3.6020399999999998E-4</v>
      </c>
      <c r="C12312" s="133"/>
    </row>
    <row r="12313" spans="1:3">
      <c r="A12313" s="131" t="s">
        <v>2812</v>
      </c>
      <c r="B12313" s="132">
        <v>3.2542179170390373E-2</v>
      </c>
      <c r="C12313" s="133"/>
    </row>
    <row r="12314" spans="1:3">
      <c r="A12314" s="131" t="s">
        <v>2813</v>
      </c>
      <c r="B12314" s="132">
        <v>0.33119860000000001</v>
      </c>
      <c r="C12314" s="133"/>
    </row>
    <row r="12315" spans="1:3">
      <c r="A12315" s="131" t="s">
        <v>2814</v>
      </c>
      <c r="B12315" s="132">
        <v>205.71</v>
      </c>
      <c r="C12315" s="133"/>
    </row>
    <row r="12316" spans="1:3">
      <c r="A12316" s="131" t="s">
        <v>2815</v>
      </c>
      <c r="B12316" s="132">
        <v>0.61777076966765443</v>
      </c>
      <c r="C12316" s="133"/>
    </row>
    <row r="12317" spans="1:3">
      <c r="A12317" s="131" t="s">
        <v>2816</v>
      </c>
      <c r="B12317" s="132">
        <v>2.5299999999999998</v>
      </c>
      <c r="C12317" s="133"/>
    </row>
    <row r="12318" spans="1:3">
      <c r="A12318" s="131" t="s">
        <v>2817</v>
      </c>
      <c r="B12318" s="132">
        <v>3.6716648709712772E-2</v>
      </c>
      <c r="C12318" s="133"/>
    </row>
    <row r="12319" spans="1:3">
      <c r="A12319" s="131" t="s">
        <v>2818</v>
      </c>
      <c r="B12319" s="132">
        <v>3.9182674175288451E-7</v>
      </c>
      <c r="C12319" s="133"/>
    </row>
    <row r="12320" spans="1:3">
      <c r="A12320" s="131" t="s">
        <v>2819</v>
      </c>
      <c r="B12320" s="132">
        <v>0.66692961212234336</v>
      </c>
      <c r="C12320" s="133"/>
    </row>
    <row r="12321" spans="1:3">
      <c r="A12321" s="131" t="s">
        <v>2820</v>
      </c>
      <c r="B12321" s="132">
        <v>7.533641100532321E-3</v>
      </c>
      <c r="C12321" s="133"/>
    </row>
    <row r="12322" spans="1:3">
      <c r="A12322" s="131" t="s">
        <v>2821</v>
      </c>
      <c r="B12322" s="132">
        <v>1.3318210641143128E-9</v>
      </c>
      <c r="C12322" s="133"/>
    </row>
    <row r="12323" spans="1:3">
      <c r="A12323" s="131" t="s">
        <v>2822</v>
      </c>
      <c r="B12323" s="132">
        <v>2.0825585325418762E-4</v>
      </c>
      <c r="C12323" s="133"/>
    </row>
    <row r="12324" spans="1:3">
      <c r="A12324" s="131" t="s">
        <v>2823</v>
      </c>
      <c r="B12324" s="132">
        <v>6.97</v>
      </c>
      <c r="C12324" s="133"/>
    </row>
    <row r="12325" spans="1:3">
      <c r="A12325" s="131" t="s">
        <v>2824</v>
      </c>
      <c r="B12325" s="132">
        <v>0.10703532261230736</v>
      </c>
      <c r="C12325" s="133"/>
    </row>
    <row r="12326" spans="1:3">
      <c r="A12326" s="131" t="s">
        <v>2825</v>
      </c>
      <c r="B12326" s="132">
        <v>8.4945227873259969E-5</v>
      </c>
      <c r="C12326" s="133"/>
    </row>
    <row r="12327" spans="1:3">
      <c r="A12327" s="131" t="s">
        <v>2826</v>
      </c>
      <c r="B12327" s="132">
        <v>9.5932242015273842E-3</v>
      </c>
      <c r="C12327" s="133"/>
    </row>
    <row r="12328" spans="1:3">
      <c r="A12328" s="131" t="s">
        <v>2827</v>
      </c>
      <c r="B12328" s="132">
        <v>1.3836667351917438E-2</v>
      </c>
      <c r="C12328" s="133"/>
    </row>
    <row r="12329" spans="1:3">
      <c r="A12329" s="131" t="s">
        <v>2828</v>
      </c>
      <c r="B12329" s="132">
        <v>1.1914691349097098E-10</v>
      </c>
      <c r="C12329" s="133"/>
    </row>
    <row r="12330" spans="1:3">
      <c r="A12330" s="131" t="s">
        <v>2829</v>
      </c>
      <c r="B12330" s="132">
        <v>1.2439739273839845</v>
      </c>
      <c r="C12330" s="133"/>
    </row>
    <row r="12331" spans="1:3">
      <c r="A12331" s="131" t="s">
        <v>877</v>
      </c>
      <c r="B12331" s="132">
        <v>5.43</v>
      </c>
      <c r="C12331" s="133"/>
    </row>
    <row r="12332" spans="1:3">
      <c r="A12332" s="131" t="s">
        <v>878</v>
      </c>
      <c r="B12332" s="132">
        <v>6.8498723211494368E-3</v>
      </c>
      <c r="C12332" s="133"/>
    </row>
    <row r="12333" spans="1:3">
      <c r="A12333" s="131" t="s">
        <v>879</v>
      </c>
      <c r="B12333" s="132">
        <v>5.6163023538509001E-3</v>
      </c>
      <c r="C12333" s="133"/>
    </row>
    <row r="12334" spans="1:3">
      <c r="A12334" s="131" t="s">
        <v>880</v>
      </c>
      <c r="B12334" s="132">
        <v>1.613403078464801E-2</v>
      </c>
      <c r="C12334" s="133"/>
    </row>
    <row r="12335" spans="1:3">
      <c r="A12335" s="131" t="s">
        <v>881</v>
      </c>
      <c r="B12335" s="132">
        <v>3.53</v>
      </c>
      <c r="C12335" s="133"/>
    </row>
    <row r="12336" spans="1:3">
      <c r="A12336" s="131" t="s">
        <v>882</v>
      </c>
      <c r="B12336" s="132">
        <v>1.8124876669140496E-10</v>
      </c>
      <c r="C12336" s="133"/>
    </row>
    <row r="12337" spans="1:3">
      <c r="A12337" s="131" t="s">
        <v>883</v>
      </c>
      <c r="B12337" s="132">
        <v>4.3204981113188885E-2</v>
      </c>
      <c r="C12337" s="133"/>
    </row>
    <row r="12338" spans="1:3">
      <c r="A12338" s="131" t="s">
        <v>884</v>
      </c>
      <c r="B12338" s="132">
        <v>0.69034499999999988</v>
      </c>
      <c r="C12338" s="133"/>
    </row>
    <row r="12339" spans="1:3">
      <c r="A12339" s="131" t="s">
        <v>885</v>
      </c>
      <c r="B12339" s="132">
        <v>0.43320055740501029</v>
      </c>
      <c r="C12339" s="133"/>
    </row>
    <row r="12340" spans="1:3">
      <c r="A12340" s="131" t="s">
        <v>886</v>
      </c>
      <c r="B12340" s="132">
        <v>2.6743662197970097E-3</v>
      </c>
      <c r="C12340" s="133"/>
    </row>
    <row r="12341" spans="1:3">
      <c r="A12341" s="131" t="s">
        <v>887</v>
      </c>
      <c r="B12341" s="132">
        <v>3.11</v>
      </c>
      <c r="C12341" s="133"/>
    </row>
    <row r="12342" spans="1:3">
      <c r="A12342" s="131" t="s">
        <v>888</v>
      </c>
      <c r="B12342" s="132">
        <v>1087.07</v>
      </c>
      <c r="C12342" s="133"/>
    </row>
    <row r="12343" spans="1:3">
      <c r="A12343" s="131" t="s">
        <v>889</v>
      </c>
      <c r="B12343" s="132">
        <v>2.2999999999999998</v>
      </c>
      <c r="C12343" s="133"/>
    </row>
    <row r="12344" spans="1:3">
      <c r="A12344" s="131" t="s">
        <v>890</v>
      </c>
      <c r="B12344" s="132">
        <v>0.41848635015168756</v>
      </c>
      <c r="C12344" s="133"/>
    </row>
    <row r="12345" spans="1:3">
      <c r="A12345" s="131" t="s">
        <v>891</v>
      </c>
      <c r="B12345" s="132">
        <v>1.3587686788412704E-10</v>
      </c>
      <c r="C12345" s="133"/>
    </row>
    <row r="12346" spans="1:3">
      <c r="A12346" s="131" t="s">
        <v>892</v>
      </c>
      <c r="B12346" s="132">
        <v>1.5412282611258767</v>
      </c>
      <c r="C12346" s="133"/>
    </row>
    <row r="12347" spans="1:3">
      <c r="A12347" s="131" t="s">
        <v>893</v>
      </c>
      <c r="B12347" s="132">
        <v>7.8741696186111404E-2</v>
      </c>
      <c r="C12347" s="133"/>
    </row>
    <row r="12348" spans="1:3">
      <c r="A12348" s="131" t="s">
        <v>894</v>
      </c>
      <c r="B12348" s="132">
        <v>1037917</v>
      </c>
      <c r="C12348" s="133"/>
    </row>
    <row r="12349" spans="1:3">
      <c r="A12349" s="131" t="s">
        <v>895</v>
      </c>
      <c r="B12349" s="132">
        <v>14.38</v>
      </c>
      <c r="C12349" s="133"/>
    </row>
    <row r="12350" spans="1:3">
      <c r="A12350" s="131" t="s">
        <v>896</v>
      </c>
      <c r="B12350" s="132">
        <v>2.7448911904175425E-11</v>
      </c>
      <c r="C12350" s="133"/>
    </row>
    <row r="12351" spans="1:3">
      <c r="A12351" s="131" t="s">
        <v>897</v>
      </c>
      <c r="B12351" s="132">
        <v>7.4647934333868948E-13</v>
      </c>
      <c r="C12351" s="133"/>
    </row>
    <row r="12352" spans="1:3">
      <c r="A12352" s="131" t="s">
        <v>898</v>
      </c>
      <c r="B12352" s="132">
        <v>2051</v>
      </c>
      <c r="C12352" s="133"/>
    </row>
    <row r="12353" spans="1:3">
      <c r="A12353" s="131" t="s">
        <v>899</v>
      </c>
      <c r="B12353" s="132">
        <v>6.711370350036512E-9</v>
      </c>
      <c r="C12353" s="133"/>
    </row>
    <row r="12354" spans="1:3">
      <c r="A12354" s="131" t="s">
        <v>900</v>
      </c>
      <c r="B12354" s="132">
        <v>10.58</v>
      </c>
      <c r="C12354" s="133"/>
    </row>
    <row r="12355" spans="1:3">
      <c r="A12355" s="131" t="s">
        <v>901</v>
      </c>
      <c r="B12355" s="132">
        <v>0.37453245089570719</v>
      </c>
      <c r="C12355" s="133"/>
    </row>
    <row r="12356" spans="1:3">
      <c r="A12356" s="131" t="s">
        <v>902</v>
      </c>
      <c r="B12356" s="132">
        <v>3.5665872881818758E-5</v>
      </c>
      <c r="C12356" s="133"/>
    </row>
    <row r="12357" spans="1:3">
      <c r="A12357" s="131" t="s">
        <v>903</v>
      </c>
      <c r="B12357" s="132">
        <v>3.1781393973725876E-2</v>
      </c>
      <c r="C12357" s="133"/>
    </row>
    <row r="12358" spans="1:3">
      <c r="A12358" s="131" t="s">
        <v>904</v>
      </c>
      <c r="B12358" s="132">
        <v>4.0199999999999996</v>
      </c>
      <c r="C12358" s="133"/>
    </row>
    <row r="12359" spans="1:3">
      <c r="A12359" s="131" t="s">
        <v>905</v>
      </c>
      <c r="B12359" s="132">
        <v>1.4848820793445788E-4</v>
      </c>
      <c r="C12359" s="133"/>
    </row>
    <row r="12360" spans="1:3">
      <c r="A12360" s="131" t="s">
        <v>906</v>
      </c>
      <c r="B12360" s="132">
        <v>1.9165832337684079E-7</v>
      </c>
      <c r="C12360" s="133"/>
    </row>
    <row r="12361" spans="1:3">
      <c r="A12361" s="131" t="s">
        <v>907</v>
      </c>
      <c r="B12361" s="132">
        <v>1.0856965347971101E-5</v>
      </c>
      <c r="C12361" s="133"/>
    </row>
    <row r="12362" spans="1:3">
      <c r="A12362" s="131" t="s">
        <v>908</v>
      </c>
      <c r="B12362" s="132">
        <v>9.3422351407250817E-2</v>
      </c>
      <c r="C12362" s="133"/>
    </row>
    <row r="12363" spans="1:3">
      <c r="A12363" s="131" t="s">
        <v>909</v>
      </c>
      <c r="B12363" s="132">
        <v>0.94941930999999991</v>
      </c>
      <c r="C12363" s="133"/>
    </row>
    <row r="12364" spans="1:3">
      <c r="A12364" s="131" t="s">
        <v>910</v>
      </c>
      <c r="B12364" s="132">
        <v>0.16135939668514554</v>
      </c>
      <c r="C12364" s="133"/>
    </row>
    <row r="12365" spans="1:3">
      <c r="A12365" s="131" t="s">
        <v>911</v>
      </c>
      <c r="B12365" s="132">
        <v>0.22656501477259103</v>
      </c>
      <c r="C12365" s="133"/>
    </row>
    <row r="12366" spans="1:3">
      <c r="A12366" s="131" t="s">
        <v>912</v>
      </c>
      <c r="B12366" s="132">
        <v>4.3043035751670232E-3</v>
      </c>
      <c r="C12366" s="133"/>
    </row>
    <row r="12367" spans="1:3">
      <c r="A12367" s="131" t="s">
        <v>913</v>
      </c>
      <c r="B12367" s="132">
        <v>6.0722256666666666E-5</v>
      </c>
      <c r="C12367" s="133"/>
    </row>
    <row r="12368" spans="1:3">
      <c r="A12368" s="131" t="s">
        <v>914</v>
      </c>
      <c r="B12368" s="132">
        <v>1.9988312158943127E-10</v>
      </c>
      <c r="C12368" s="133"/>
    </row>
    <row r="12369" spans="1:3">
      <c r="A12369" s="131" t="s">
        <v>915</v>
      </c>
      <c r="B12369" s="132">
        <v>3261.18</v>
      </c>
      <c r="C12369" s="133"/>
    </row>
    <row r="12370" spans="1:3">
      <c r="A12370" s="131" t="s">
        <v>916</v>
      </c>
      <c r="B12370" s="132">
        <v>2.1270881946128044E-8</v>
      </c>
      <c r="C12370" s="133"/>
    </row>
    <row r="12371" spans="1:3">
      <c r="A12371" s="131" t="s">
        <v>917</v>
      </c>
      <c r="B12371" s="132">
        <v>1.2879746958471726E-11</v>
      </c>
      <c r="C12371" s="133"/>
    </row>
    <row r="12372" spans="1:3">
      <c r="A12372" s="131" t="s">
        <v>918</v>
      </c>
      <c r="B12372" s="132">
        <v>4.1525304943632456E-2</v>
      </c>
      <c r="C12372" s="133"/>
    </row>
    <row r="12373" spans="1:3">
      <c r="A12373" s="131" t="s">
        <v>919</v>
      </c>
      <c r="B12373" s="132">
        <v>9.7955558036808445E-10</v>
      </c>
      <c r="C12373" s="133"/>
    </row>
    <row r="12374" spans="1:3">
      <c r="A12374" s="131" t="s">
        <v>920</v>
      </c>
      <c r="B12374" s="132">
        <v>5.0071406053974345E-2</v>
      </c>
      <c r="C12374" s="133"/>
    </row>
    <row r="12375" spans="1:3">
      <c r="A12375" s="131" t="s">
        <v>921</v>
      </c>
      <c r="B12375" s="132">
        <v>8.1674855176551119E-3</v>
      </c>
      <c r="C12375" s="133"/>
    </row>
    <row r="12376" spans="1:3">
      <c r="A12376" s="131" t="s">
        <v>922</v>
      </c>
      <c r="B12376" s="132">
        <v>2.4022852363150502E-8</v>
      </c>
      <c r="C12376" s="133"/>
    </row>
    <row r="12377" spans="1:3">
      <c r="A12377" s="131" t="s">
        <v>923</v>
      </c>
      <c r="B12377" s="132">
        <v>1.0832472050512907E-6</v>
      </c>
      <c r="C12377" s="133"/>
    </row>
    <row r="12378" spans="1:3">
      <c r="A12378" s="131" t="s">
        <v>924</v>
      </c>
      <c r="B12378" s="132">
        <v>8.4945859431895511E-11</v>
      </c>
      <c r="C12378" s="133"/>
    </row>
    <row r="12379" spans="1:3">
      <c r="A12379" s="131" t="s">
        <v>925</v>
      </c>
      <c r="B12379" s="132">
        <v>1.3620885030333395E-4</v>
      </c>
      <c r="C12379" s="133"/>
    </row>
    <row r="12380" spans="1:3">
      <c r="A12380" s="131" t="s">
        <v>926</v>
      </c>
      <c r="B12380" s="132">
        <v>6.1198221020151229E-4</v>
      </c>
      <c r="C12380" s="133"/>
    </row>
    <row r="12381" spans="1:3">
      <c r="A12381" s="131" t="s">
        <v>927</v>
      </c>
      <c r="B12381" s="132">
        <v>0.46546361177099838</v>
      </c>
      <c r="C12381" s="133"/>
    </row>
    <row r="12382" spans="1:3">
      <c r="A12382" s="131" t="s">
        <v>928</v>
      </c>
      <c r="B12382" s="132">
        <v>1.2656061197108888E-11</v>
      </c>
      <c r="C12382" s="133"/>
    </row>
    <row r="12383" spans="1:3">
      <c r="A12383" s="131" t="s">
        <v>929</v>
      </c>
      <c r="B12383" s="132">
        <v>8.2100000000000009</v>
      </c>
      <c r="C12383" s="133"/>
    </row>
    <row r="12384" spans="1:3">
      <c r="A12384" s="131" t="s">
        <v>930</v>
      </c>
      <c r="B12384" s="132">
        <v>2.17</v>
      </c>
      <c r="C12384" s="133"/>
    </row>
    <row r="12385" spans="1:3">
      <c r="A12385" s="131" t="s">
        <v>931</v>
      </c>
      <c r="B12385" s="132">
        <v>1.1343033516882708E-5</v>
      </c>
      <c r="C12385" s="133"/>
    </row>
    <row r="12386" spans="1:3">
      <c r="A12386" s="131" t="s">
        <v>932</v>
      </c>
      <c r="B12386" s="132">
        <v>250.12</v>
      </c>
      <c r="C12386" s="133"/>
    </row>
    <row r="12387" spans="1:3">
      <c r="A12387" s="131" t="s">
        <v>933</v>
      </c>
      <c r="B12387" s="132">
        <v>1.0451865663679507E-10</v>
      </c>
      <c r="C12387" s="133"/>
    </row>
    <row r="12388" spans="1:3">
      <c r="A12388" s="131" t="s">
        <v>934</v>
      </c>
      <c r="B12388" s="132">
        <v>1.9198374836968883E-9</v>
      </c>
      <c r="C12388" s="133"/>
    </row>
    <row r="12389" spans="1:3">
      <c r="A12389" s="131" t="s">
        <v>935</v>
      </c>
      <c r="B12389" s="132">
        <v>7.9758555368567809E-9</v>
      </c>
      <c r="C12389" s="133"/>
    </row>
    <row r="12390" spans="1:3">
      <c r="A12390" s="131" t="s">
        <v>936</v>
      </c>
      <c r="B12390" s="132">
        <v>4.4890020766738247E-9</v>
      </c>
      <c r="C12390" s="133"/>
    </row>
    <row r="12391" spans="1:3">
      <c r="A12391" s="131" t="s">
        <v>937</v>
      </c>
      <c r="B12391" s="132">
        <v>1.0216848917463013E-8</v>
      </c>
      <c r="C12391" s="133"/>
    </row>
    <row r="12392" spans="1:3">
      <c r="A12392" s="131" t="s">
        <v>938</v>
      </c>
      <c r="B12392" s="132">
        <v>1.2036438608031233E-10</v>
      </c>
      <c r="C12392" s="133"/>
    </row>
    <row r="12393" spans="1:3">
      <c r="A12393" s="131" t="s">
        <v>939</v>
      </c>
      <c r="B12393" s="132">
        <v>1.2901154776185804E-5</v>
      </c>
      <c r="C12393" s="133"/>
    </row>
    <row r="12394" spans="1:3">
      <c r="A12394" s="131" t="s">
        <v>940</v>
      </c>
      <c r="B12394" s="132">
        <v>3.2105957029624953E-12</v>
      </c>
      <c r="C12394" s="133"/>
    </row>
    <row r="12395" spans="1:3">
      <c r="A12395" s="131" t="s">
        <v>941</v>
      </c>
      <c r="B12395" s="132">
        <v>0.74746409029517791</v>
      </c>
      <c r="C12395" s="133"/>
    </row>
    <row r="12396" spans="1:3">
      <c r="A12396" s="131" t="s">
        <v>942</v>
      </c>
      <c r="B12396" s="132">
        <v>2.0297316151223575E-6</v>
      </c>
      <c r="C12396" s="133"/>
    </row>
    <row r="12397" spans="1:3">
      <c r="A12397" s="131" t="s">
        <v>943</v>
      </c>
      <c r="B12397" s="132">
        <v>4.4287038955255129</v>
      </c>
      <c r="C12397" s="133"/>
    </row>
    <row r="12398" spans="1:3">
      <c r="A12398" s="131" t="s">
        <v>944</v>
      </c>
      <c r="B12398" s="132">
        <v>4.5399826315598126</v>
      </c>
      <c r="C12398" s="133"/>
    </row>
    <row r="12399" spans="1:3">
      <c r="A12399" s="131" t="s">
        <v>945</v>
      </c>
      <c r="B12399" s="132">
        <v>0.85715055172204746</v>
      </c>
      <c r="C12399" s="133"/>
    </row>
    <row r="12400" spans="1:3">
      <c r="A12400" s="131" t="s">
        <v>946</v>
      </c>
      <c r="B12400" s="132">
        <v>14.204992733481092</v>
      </c>
      <c r="C12400" s="133"/>
    </row>
    <row r="12401" spans="1:3">
      <c r="A12401" s="131" t="s">
        <v>947</v>
      </c>
      <c r="B12401" s="132">
        <v>1.0190201906107037</v>
      </c>
      <c r="C12401" s="133"/>
    </row>
    <row r="12402" spans="1:3">
      <c r="A12402" s="131" t="s">
        <v>948</v>
      </c>
      <c r="B12402" s="132">
        <v>6.5222788359176809</v>
      </c>
      <c r="C12402" s="133"/>
    </row>
    <row r="12403" spans="1:3">
      <c r="A12403" s="131" t="s">
        <v>949</v>
      </c>
      <c r="B12403" s="132">
        <v>2.8897652255965784</v>
      </c>
      <c r="C12403" s="133"/>
    </row>
    <row r="12404" spans="1:3">
      <c r="A12404" s="131" t="s">
        <v>950</v>
      </c>
      <c r="B12404" s="132">
        <v>0.20047193986125841</v>
      </c>
      <c r="C12404" s="133"/>
    </row>
    <row r="12405" spans="1:3">
      <c r="A12405" s="131" t="s">
        <v>951</v>
      </c>
      <c r="B12405" s="132">
        <v>2.5489135654893899E-2</v>
      </c>
      <c r="C12405" s="133"/>
    </row>
    <row r="12406" spans="1:3">
      <c r="A12406" s="131" t="s">
        <v>952</v>
      </c>
      <c r="B12406" s="132">
        <v>0.76719499966689342</v>
      </c>
      <c r="C12406" s="133"/>
    </row>
    <row r="12407" spans="1:3">
      <c r="A12407" s="131" t="s">
        <v>953</v>
      </c>
      <c r="B12407" s="132">
        <v>4316.9418318807484</v>
      </c>
      <c r="C12407" s="133"/>
    </row>
    <row r="12408" spans="1:3">
      <c r="A12408" s="131" t="s">
        <v>954</v>
      </c>
      <c r="B12408" s="132">
        <v>3.5124419425667526</v>
      </c>
      <c r="C12408" s="133"/>
    </row>
    <row r="12409" spans="1:3">
      <c r="A12409" s="131" t="s">
        <v>955</v>
      </c>
      <c r="B12409" s="132">
        <v>160.44296607391078</v>
      </c>
      <c r="C12409" s="133"/>
    </row>
    <row r="12410" spans="1:3">
      <c r="A12410" s="131" t="s">
        <v>956</v>
      </c>
      <c r="B12410" s="132">
        <v>17.569662503667146</v>
      </c>
      <c r="C12410" s="133"/>
    </row>
    <row r="12411" spans="1:3">
      <c r="A12411" s="131" t="s">
        <v>957</v>
      </c>
      <c r="B12411" s="132">
        <v>172.08356505329343</v>
      </c>
      <c r="C12411" s="133"/>
    </row>
    <row r="12412" spans="1:3">
      <c r="A12412" s="131" t="s">
        <v>958</v>
      </c>
      <c r="B12412" s="132">
        <v>5.0795736408910101E-2</v>
      </c>
      <c r="C12412" s="133"/>
    </row>
    <row r="12413" spans="1:3">
      <c r="A12413" s="131" t="s">
        <v>959</v>
      </c>
      <c r="B12413" s="132">
        <v>7.00841780236E-5</v>
      </c>
      <c r="C12413" s="133"/>
    </row>
    <row r="12414" spans="1:3">
      <c r="A12414" s="131" t="s">
        <v>960</v>
      </c>
      <c r="B12414" s="132">
        <v>6.1267242817749601</v>
      </c>
      <c r="C12414" s="133"/>
    </row>
    <row r="12415" spans="1:3">
      <c r="A12415" s="131" t="s">
        <v>961</v>
      </c>
      <c r="B12415" s="132">
        <v>0.14882504803499819</v>
      </c>
      <c r="C12415" s="133"/>
    </row>
    <row r="12416" spans="1:3">
      <c r="A12416" s="131" t="s">
        <v>962</v>
      </c>
      <c r="B12416" s="132">
        <v>9.497552008017081</v>
      </c>
      <c r="C12416" s="133"/>
    </row>
    <row r="12417" spans="1:3">
      <c r="A12417" s="131" t="s">
        <v>963</v>
      </c>
      <c r="B12417" s="132">
        <v>2.8516044104022899E-2</v>
      </c>
      <c r="C12417" s="133"/>
    </row>
    <row r="12418" spans="1:3">
      <c r="A12418" s="131" t="s">
        <v>964</v>
      </c>
      <c r="B12418" s="132">
        <v>2.7175107503511158</v>
      </c>
      <c r="C12418" s="133"/>
    </row>
    <row r="12419" spans="1:3">
      <c r="A12419" s="131" t="s">
        <v>965</v>
      </c>
      <c r="B12419" s="132">
        <v>2.5372614100136568</v>
      </c>
      <c r="C12419" s="133"/>
    </row>
    <row r="12420" spans="1:3">
      <c r="A12420" s="131" t="s">
        <v>966</v>
      </c>
      <c r="B12420" s="132">
        <v>1.877461356762403</v>
      </c>
      <c r="C12420" s="133"/>
    </row>
    <row r="12421" spans="1:3">
      <c r="A12421" s="131" t="s">
        <v>967</v>
      </c>
      <c r="B12421" s="132">
        <v>0.26620578829473152</v>
      </c>
      <c r="C12421" s="133"/>
    </row>
    <row r="12422" spans="1:3">
      <c r="A12422" s="131" t="s">
        <v>968</v>
      </c>
      <c r="B12422" s="132">
        <v>0.41497401180748239</v>
      </c>
      <c r="C12422" s="133"/>
    </row>
    <row r="12423" spans="1:3">
      <c r="A12423" s="131" t="s">
        <v>969</v>
      </c>
      <c r="B12423" s="132">
        <v>1305.5992832760292</v>
      </c>
      <c r="C12423" s="133"/>
    </row>
    <row r="12424" spans="1:3">
      <c r="A12424" s="131" t="s">
        <v>970</v>
      </c>
      <c r="B12424" s="132">
        <v>6.3696000000000002</v>
      </c>
      <c r="C12424" s="133"/>
    </row>
    <row r="12425" spans="1:3">
      <c r="A12425" s="131" t="s">
        <v>971</v>
      </c>
      <c r="B12425" s="132">
        <v>4.0020899999999997E-11</v>
      </c>
      <c r="C12425" s="133"/>
    </row>
    <row r="12426" spans="1:3">
      <c r="A12426" s="131" t="s">
        <v>972</v>
      </c>
      <c r="B12426" s="132">
        <v>752.02605726626336</v>
      </c>
      <c r="C12426" s="133"/>
    </row>
    <row r="12427" spans="1:3">
      <c r="A12427" s="131" t="s">
        <v>973</v>
      </c>
      <c r="B12427" s="132">
        <v>63.315087460192998</v>
      </c>
      <c r="C12427" s="133"/>
    </row>
    <row r="12428" spans="1:3">
      <c r="A12428" s="131" t="s">
        <v>974</v>
      </c>
      <c r="B12428" s="132">
        <v>5.9122196160835001</v>
      </c>
      <c r="C12428" s="133"/>
    </row>
  </sheetData>
  <phoneticPr fontId="0" type="noConversion"/>
  <hyperlinks>
    <hyperlink ref="A2134" r:id="rId1"/>
    <hyperlink ref="A4016" r:id="rId2"/>
    <hyperlink ref="A5433" r:id="rId3"/>
    <hyperlink ref="A7166" r:id="rId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Моя стратегия</vt:lpstr>
      <vt:lpstr>Мой портфель</vt:lpstr>
      <vt:lpstr>Журнал Закупок</vt:lpstr>
      <vt:lpstr>Расчеты</vt:lpstr>
      <vt:lpstr>CT BTC</vt:lpstr>
      <vt:lpstr>CT EHT</vt:lpstr>
      <vt:lpstr>CT BNB</vt:lpstr>
      <vt:lpstr>СТ Эксперимент</vt:lpstr>
      <vt:lpstr>СТ Экспериментальные</vt:lpstr>
      <vt:lpstr>СТ Криптовалюта</vt:lpstr>
      <vt:lpstr>Курсы Бинанса</vt:lpstr>
      <vt:lpstr>Курсы OKX</vt:lpstr>
      <vt:lpstr>Курсы Huobi</vt:lpstr>
      <vt:lpstr>Курсы Bybit</vt:lpstr>
      <vt:lpstr>tickers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created xsi:type="dcterms:W3CDTF">2025-04-22T10:08:47Z</dcterms:created>
  <dcterms:modified xsi:type="dcterms:W3CDTF">2025-05-27T21:52:00Z</dcterms:modified>
</cp:coreProperties>
</file>